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ptx" ContentType="application/vnd.openxmlformats-officedocument.presentationml.presentation"/>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trlProps/ctrlProp31.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activeX/activeX1.xml" ContentType="application/vnd.ms-office.activeX+xml"/>
  <Override PartName="/xl/activeX/activeX1.bin" ContentType="application/vnd.ms-office.activeX"/>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trlProps/ctrlProp33.xml" ContentType="application/vnd.ms-excel.controlproperties+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drawings/drawing19.xml" ContentType="application/vnd.openxmlformats-officedocument.drawing+xml"/>
  <Override PartName="/xl/comments18.xml" ContentType="application/vnd.openxmlformats-officedocument.spreadsheetml.comments+xml"/>
  <Override PartName="/xl/drawings/drawing20.xml" ContentType="application/vnd.openxmlformats-officedocument.drawing+xml"/>
  <Override PartName="/xl/comments19.xml" ContentType="application/vnd.openxmlformats-officedocument.spreadsheetml.comments+xml"/>
  <Override PartName="/xl/drawings/drawing21.xml" ContentType="application/vnd.openxmlformats-officedocument.drawing+xml"/>
  <Override PartName="/xl/comments20.xml" ContentType="application/vnd.openxmlformats-officedocument.spreadsheetml.comments+xml"/>
  <Override PartName="/xl/drawings/drawing22.xml" ContentType="application/vnd.openxmlformats-officedocument.drawing+xml"/>
  <Override PartName="/xl/comments21.xml" ContentType="application/vnd.openxmlformats-officedocument.spreadsheetml.comments+xml"/>
  <Override PartName="/xl/drawings/drawing23.xml" ContentType="application/vnd.openxmlformats-officedocument.drawing+xml"/>
  <Override PartName="/xl/comments22.xml" ContentType="application/vnd.openxmlformats-officedocument.spreadsheetml.comments+xml"/>
  <Override PartName="/xl/drawings/drawing24.xml" ContentType="application/vnd.openxmlformats-officedocument.drawing+xml"/>
  <Override PartName="/xl/comments23.xml" ContentType="application/vnd.openxmlformats-officedocument.spreadsheetml.comments+xml"/>
  <Override PartName="/xl/drawings/drawing25.xml" ContentType="application/vnd.openxmlformats-officedocument.drawing+xml"/>
  <Override PartName="/xl/comments24.xml" ContentType="application/vnd.openxmlformats-officedocument.spreadsheetml.comments+xml"/>
  <Override PartName="/xl/drawings/drawing26.xml" ContentType="application/vnd.openxmlformats-officedocument.drawing+xml"/>
  <Override PartName="/xl/comments25.xml" ContentType="application/vnd.openxmlformats-officedocument.spreadsheetml.comments+xml"/>
  <Override PartName="/xl/drawings/drawing27.xml" ContentType="application/vnd.openxmlformats-officedocument.drawing+xml"/>
  <Override PartName="/xl/comments26.xml" ContentType="application/vnd.openxmlformats-officedocument.spreadsheetml.comments+xml"/>
  <Override PartName="/xl/drawings/drawing28.xml" ContentType="application/vnd.openxmlformats-officedocument.drawing+xml"/>
  <Override PartName="/xl/comments27.xml" ContentType="application/vnd.openxmlformats-officedocument.spreadsheetml.comments+xml"/>
  <Override PartName="/xl/drawings/drawing29.xml" ContentType="application/vnd.openxmlformats-officedocument.drawing+xml"/>
  <Override PartName="/xl/comments28.xml" ContentType="application/vnd.openxmlformats-officedocument.spreadsheetml.comments+xml"/>
  <Override PartName="/xl/drawings/drawing30.xml" ContentType="application/vnd.openxmlformats-officedocument.drawing+xml"/>
  <Override PartName="/xl/comments29.xml" ContentType="application/vnd.openxmlformats-officedocument.spreadsheetml.comments+xml"/>
  <Override PartName="/xl/drawings/drawing31.xml" ContentType="application/vnd.openxmlformats-officedocument.drawing+xml"/>
  <Override PartName="/xl/comments30.xml" ContentType="application/vnd.openxmlformats-officedocument.spreadsheetml.comments+xml"/>
  <Override PartName="/xl/drawings/drawing32.xml" ContentType="application/vnd.openxmlformats-officedocument.drawing+xml"/>
  <Override PartName="/xl/comments31.xml" ContentType="application/vnd.openxmlformats-officedocument.spreadsheetml.comments+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omments32.xml" ContentType="application/vnd.openxmlformats-officedocument.spreadsheetml.comments+xml"/>
  <Override PartName="/xl/drawings/drawing40.xml" ContentType="application/vnd.openxmlformats-officedocument.drawing+xml"/>
  <Override PartName="/xl/comments33.xml" ContentType="application/vnd.openxmlformats-officedocument.spreadsheetml.comments+xml"/>
  <Override PartName="/xl/drawings/drawing41.xml" ContentType="application/vnd.openxmlformats-officedocument.drawing+xml"/>
  <Override PartName="/xl/comments34.xml" ContentType="application/vnd.openxmlformats-officedocument.spreadsheetml.comments+xml"/>
  <Override PartName="/xl/drawings/drawing42.xml" ContentType="application/vnd.openxmlformats-officedocument.drawing+xml"/>
  <Override PartName="/xl/comments35.xml" ContentType="application/vnd.openxmlformats-officedocument.spreadsheetml.comments+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omments36.xml" ContentType="application/vnd.openxmlformats-officedocument.spreadsheetml.comments+xml"/>
  <Override PartName="/xl/drawings/drawing46.xml" ContentType="application/vnd.openxmlformats-officedocument.drawing+xml"/>
  <Override PartName="/xl/drawings/drawing4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updateLinks="never" codeName="ThisWorkbook" defaultThemeVersion="124226"/>
  <mc:AlternateContent xmlns:mc="http://schemas.openxmlformats.org/markup-compatibility/2006">
    <mc:Choice Requires="x15">
      <x15ac:absPath xmlns:x15ac="http://schemas.microsoft.com/office/spreadsheetml/2010/11/ac" url="https://myfyi.sharepoint.com/teams/infrase/Shared Documents/2021/20213598/"/>
    </mc:Choice>
  </mc:AlternateContent>
  <xr:revisionPtr revIDLastSave="0" documentId="13_ncr:1_{0A2F9232-7BD8-42FB-8DE6-7E30F233FC83}" xr6:coauthVersionLast="44" xr6:coauthVersionMax="44" xr10:uidLastSave="{00000000-0000-0000-0000-000000000000}"/>
  <bookViews>
    <workbookView xWindow="-57720" yWindow="-4755" windowWidth="29040" windowHeight="15990" tabRatio="914" xr2:uid="{00000000-000D-0000-FFFF-FFFF00000000}"/>
  </bookViews>
  <sheets>
    <sheet name="Table of Contents" sheetId="23" r:id="rId1"/>
    <sheet name="Project Details" sheetId="41" r:id="rId2"/>
    <sheet name="VMware" sheetId="120" r:id="rId3"/>
    <sheet name="NAS" sheetId="98" state="hidden" r:id="rId4"/>
    <sheet name="Middleware - Web" sheetId="53" state="hidden" r:id="rId5"/>
    <sheet name="New DB Request" sheetId="66" state="hidden" r:id="rId6"/>
    <sheet name="SQL OPT File Refresh" sheetId="88" state="hidden" r:id="rId7"/>
    <sheet name="EAA Siteminder" sheetId="80" state="hidden" r:id="rId8"/>
    <sheet name="SD &amp; D Provisioning  Notes" sheetId="46" r:id="rId9"/>
    <sheet name="Distributed Assets" sheetId="17" r:id="rId10"/>
    <sheet name="IP" sheetId="33" r:id="rId11"/>
    <sheet name="Open Systems" sheetId="55" r:id="rId12"/>
    <sheet name="Windows HTTP FTP" sheetId="65" state="hidden" r:id="rId13"/>
    <sheet name="Windows" sheetId="86" state="hidden" r:id="rId14"/>
    <sheet name="DNS" sheetId="9" r:id="rId15"/>
    <sheet name="NAS Details" sheetId="99" state="hidden" r:id="rId16"/>
    <sheet name="Storage" sheetId="14" state="hidden" r:id="rId17"/>
    <sheet name="Backup" sheetId="54" r:id="rId18"/>
    <sheet name="Database (All)" sheetId="40" state="hidden" r:id="rId19"/>
    <sheet name="Scheduler" sheetId="83" r:id="rId20"/>
    <sheet name="Apache IHS" sheetId="84" state="hidden" r:id="rId21"/>
    <sheet name="Reverse Proxy" sheetId="68" state="hidden" r:id="rId22"/>
    <sheet name="BlueCoat Proxy" sheetId="119" state="hidden" r:id="rId23"/>
    <sheet name="Network.Firewall" sheetId="51" r:id="rId24"/>
    <sheet name="Network.Loadbalancer" sheetId="52" state="hidden" r:id="rId25"/>
    <sheet name="Traffic Manager" sheetId="85" state="hidden" r:id="rId26"/>
    <sheet name="Datapower " sheetId="71" state="hidden" r:id="rId27"/>
    <sheet name="MQ Messaging" sheetId="20" state="hidden" r:id="rId28"/>
    <sheet name="PAM" sheetId="115" r:id="rId29"/>
    <sheet name="Monitoring" sheetId="22" r:id="rId30"/>
    <sheet name="Decommissioning" sheetId="74" r:id="rId31"/>
    <sheet name="Mainframe Scope" sheetId="90" state="hidden" r:id="rId32"/>
    <sheet name="MF-CICS" sheetId="93" state="hidden" r:id="rId33"/>
    <sheet name="MF-DB2" sheetId="91" state="hidden" r:id="rId34"/>
    <sheet name="MF-DB1" sheetId="94" state="hidden" r:id="rId35"/>
    <sheet name="MF-WLM" sheetId="95" state="hidden" r:id="rId36"/>
    <sheet name="MF-Comm" sheetId="96" state="hidden" r:id="rId37"/>
    <sheet name="MF-OSSP" sheetId="92" state="hidden" r:id="rId38"/>
    <sheet name="Release Notes" sheetId="62" state="hidden" r:id="rId39"/>
    <sheet name="BOM FUNCTIONS" sheetId="49" state="hidden" r:id="rId40"/>
    <sheet name="HostNamingStandard" sheetId="69" state="hidden" r:id="rId41"/>
    <sheet name="Host Reference" sheetId="78" state="hidden" r:id="rId42"/>
    <sheet name="Admin Simp CIs" sheetId="81" state="hidden" r:id="rId43"/>
    <sheet name="SQL Drive Space" sheetId="118" state="hidden" r:id="rId44"/>
    <sheet name="DB2 File Structures" sheetId="87" state="hidden" r:id="rId45"/>
    <sheet name="Oracle File Structures" sheetId="112" state="hidden" r:id="rId46"/>
    <sheet name="Network Lookup" sheetId="111" state="hidden" r:id="rId47"/>
  </sheets>
  <functionGroups builtInGroupCount="19"/>
  <externalReferences>
    <externalReference r:id="rId48"/>
    <externalReference r:id="rId49"/>
    <externalReference r:id="rId50"/>
    <externalReference r:id="rId51"/>
    <externalReference r:id="rId52"/>
    <externalReference r:id="rId53"/>
    <externalReference r:id="rId54"/>
    <externalReference r:id="rId55"/>
    <externalReference r:id="rId56"/>
  </externalReferences>
  <definedNames>
    <definedName name="_xlnm._FilterDatabase" localSheetId="13" hidden="1">Windows!$A$1:$AW$48</definedName>
    <definedName name="Admin_Simp">'Admin Simp CIs'!$F$7</definedName>
    <definedName name="AdvMon">'Project Details'!$D$41</definedName>
    <definedName name="AIX">'BOM FUNCTIONS'!$AE$6:$AE$7</definedName>
    <definedName name="AltProd">'BOM FUNCTIONS'!$EH$8</definedName>
    <definedName name="altprod_date">'Project Details'!$D$28</definedName>
    <definedName name="app_dev_team">'Project Details'!$C$59</definedName>
    <definedName name="app_id">'Project Details'!$C$10</definedName>
    <definedName name="App_Names">'BOM FUNCTIONS'!$AW$6:$AX$148</definedName>
    <definedName name="app_owner">'Project Details'!$C$57</definedName>
    <definedName name="app_shortname">'Project Details'!$C$9</definedName>
    <definedName name="app_support_team">'Project Details'!$C$60</definedName>
    <definedName name="app_support_team_email">'Project Details'!$C$61</definedName>
    <definedName name="app_technical_contact">'Project Details'!$C$58</definedName>
    <definedName name="Appliance">'BOM FUNCTIONS'!$AJ$6:$AJ$9</definedName>
    <definedName name="asset_ident">'Distributed Assets'!$C$24</definedName>
    <definedName name="asset_removal">'Project Details'!$C$53</definedName>
    <definedName name="AssetBeginLine">'Distributed Assets'!$27:$27</definedName>
    <definedName name="AssetDecomList">OFFSET(Decommissioning!$A$9,1,0,101-COUNTBLANK(Decommissioning!$A$10:$A$101),1)</definedName>
    <definedName name="AssetDecomVIPs">OFFSET(Decommissioning!$A$112,2,0, 20-COUNTBLANK(Decommissioning!$A$114:$A$131),1)</definedName>
    <definedName name="AssetEndLine">'Distributed Assets'!$103:$103</definedName>
    <definedName name="Assetlist">OFFSET('Distributed Assets'!$A$1,27,1,75-COUNTBLANK('Distributed Assets'!$B$28:$B$102),1)</definedName>
    <definedName name="AssetsVIPs">OFFSET('BOM FUNCTIONS'!$A$4,2,0,200-COUNTBLANK('BOM FUNCTIONS'!$A$6:$A$202),1)</definedName>
    <definedName name="Axway">'BOM FUNCTIONS'!$EG$13</definedName>
    <definedName name="azure_dev">'BOM FUNCTIONS'!$EH$16</definedName>
    <definedName name="azure_prod">'BOM FUNCTIONS'!$EH$18</definedName>
    <definedName name="azure_sandbox">'BOM FUNCTIONS'!$EH$15</definedName>
    <definedName name="azure_test">'BOM FUNCTIONS'!$EH$17</definedName>
    <definedName name="B2Bi_License_Agrmnt_per_server">#REF!</definedName>
    <definedName name="BCI">'BOM FUNCTIONS'!$EG$11</definedName>
    <definedName name="budget_number">'Project Details'!$C$17</definedName>
    <definedName name="CAPAM_Middleware">'BOM FUNCTIONS'!$FW$6:$FW$15</definedName>
    <definedName name="casd_app_email" localSheetId="2">'Project Details'!#REF!</definedName>
    <definedName name="casd_app_email">'Project Details'!#REF!</definedName>
    <definedName name="checkout_comments" localSheetId="2">'Project Details'!#REF!</definedName>
    <definedName name="checkout_comments">'Project Details'!#REF!</definedName>
    <definedName name="checkout_requirements" localSheetId="2">'Project Details'!#REF!</definedName>
    <definedName name="checkout_requirements">'Project Details'!#REF!</definedName>
    <definedName name="Cics_programmer">'MF-CICS'!$E$4:$G$4</definedName>
    <definedName name="clarity">'Project Details'!$C$12</definedName>
    <definedName name="clarity_proj_name">'Project Details'!$C$13</definedName>
    <definedName name="CPU_Type">'BOM FUNCTIONS'!$EW$6:$EW$8</definedName>
    <definedName name="CTG">'Middleware - Web'!#REF!</definedName>
    <definedName name="da_hostname">'Distributed Assets'!$V$27</definedName>
    <definedName name="Database_all">'Table of Contents'!$C$41</definedName>
    <definedName name="DatabaseList">OFFSET('Distributed Assets'!$A$1,5,12,11-COUNTBLANK('Distributed Assets'!$M$6:$M$16),1)</definedName>
    <definedName name="Datapower">'BOM FUNCTIONS'!$EG$14</definedName>
    <definedName name="db_table">'BOM FUNCTIONS'!$DA$7:$DA$7</definedName>
    <definedName name="db_version">'BOM FUNCTIONS'!$DA$6:$DA$20</definedName>
    <definedName name="DB2_Excludes">'BOM FUNCTIONS'!$EV$11</definedName>
    <definedName name="db2size">'DB2 File Structures'!$F$4</definedName>
    <definedName name="decom">'Table of Contents'!$C$54</definedName>
    <definedName name="decom_array">'Distributed Assets'!$AC$26:$AF$102</definedName>
    <definedName name="decom_assets">'Project Details'!$C$52</definedName>
    <definedName name="Default_Procesor_Pool">'BOM FUNCTIONS'!$EI$6:$EI$12</definedName>
    <definedName name="Dev">'BOM FUNCTIONS'!$EH$6</definedName>
    <definedName name="dev_date">'Project Details'!$D$26</definedName>
    <definedName name="Dev_db_size">'New DB Request'!#REF!</definedName>
    <definedName name="dev_environment">'Distributed Assets'!$F$2</definedName>
    <definedName name="Dev_HADOOP_01">'BOM FUNCTIONS'!$EU$6</definedName>
    <definedName name="Dev_OS_01_WAU">'BOM FUNCTIONS'!$ET$8</definedName>
    <definedName name="Dev_OS_03_BL_CHI">'BOM FUNCTIONS'!$ES$8</definedName>
    <definedName name="Dev_SITEMINDER_01">'BOM FUNCTIONS'!$EU$7</definedName>
    <definedName name="Dev_SQL_01_CHI">'BOM FUNCTIONS'!$ES$6</definedName>
    <definedName name="Dev_SQL_01_WAU">'BOM FUNCTIONS'!$ET$6</definedName>
    <definedName name="Dev_SQL_02_WAU">'BOM FUNCTIONS'!$ET$7</definedName>
    <definedName name="dev_Tomee_export_apps">NAS!$B$11</definedName>
    <definedName name="dev_Tomee_export_logs">NAS!$B$12</definedName>
    <definedName name="Dev_WAU_SQL_02">'BOM FUNCTIONS'!$ET$7</definedName>
    <definedName name="DEV_WINTEL_01_BL_CHI">'BOM FUNCTIONS'!$ES$7</definedName>
    <definedName name="diagram_checkout">'Project Details'!$C$48</definedName>
    <definedName name="diagram_details">'Project Details'!$C$50</definedName>
    <definedName name="diagram_filename">'Project Details'!$C$49</definedName>
    <definedName name="disk_units">#REF!</definedName>
    <definedName name="dist_assets">'Distributed Assets'!$B$28:$AZ$102</definedName>
    <definedName name="dist_assets_dball_signoff">'Table of Contents'!$J$41</definedName>
    <definedName name="dist_assets_was_signoff">'Table of Contents'!$I$11</definedName>
    <definedName name="Distributed_Storage">#REF!</definedName>
    <definedName name="DMZ_list">[1]Sheet2!$X$2:$X$5</definedName>
    <definedName name="DNS">'Table of Contents'!$C$37</definedName>
    <definedName name="DNS_AliasRecordCol">DNS!$F$4</definedName>
    <definedName name="DNS_AssetCol">DNS!$K$4</definedName>
    <definedName name="DNS_AssetVIPcol">DNS!$A$4</definedName>
    <definedName name="DNS_BAOjobID">DNS!$P$4</definedName>
    <definedName name="DNS_CheckerResultsCol">DNS!$N$4</definedName>
    <definedName name="DNS_Comments">DNS!$M$4</definedName>
    <definedName name="DNS_createAliasRecord_ws_URL">'BOM FUNCTIONS'!$DW$6</definedName>
    <definedName name="DNS_createCNAMErecord_ws_URL">'BOM FUNCTIONS'!$DW$17</definedName>
    <definedName name="DNS_HostRecordCol">DNS!$C$4</definedName>
    <definedName name="DNS_InfobloxConsoleURL">'BOM FUNCTIONS'!$DV$11</definedName>
    <definedName name="DNS_IPaddressCol">DNS!$D$4</definedName>
    <definedName name="DNS_PhaseCol">DNS!$B$4</definedName>
    <definedName name="DNS_Provisioner_Debug">'BOM FUNCTIONS'!$DV$10</definedName>
    <definedName name="DNS_Provisioner_IbsearchCmd1">'BOM FUNCTIONS'!$DV$14</definedName>
    <definedName name="DNS_Provisioner_IbsearchCmd2">'BOM FUNCTIONS'!$DV$15</definedName>
    <definedName name="DNS_Provisioner_IP_validation_RegEx">'BOM FUNCTIONS'!$DV$16</definedName>
    <definedName name="DNS_Provisioner_NslookupCmd1">'BOM FUNCTIONS'!$DV$12</definedName>
    <definedName name="DNS_Provisioner_NslookupCmd2">'BOM FUNCTIONS'!$DV$13</definedName>
    <definedName name="DNS_ProvisionerResultsCol">DNS!$O$4</definedName>
    <definedName name="DNS_ProvisionerTimestampCol">DNS!$Q$4</definedName>
    <definedName name="dns_record_type">'BOM FUNCTIONS'!$DX$6:$DX$10</definedName>
    <definedName name="DNS_RecordTypeCol">DNS!$L$4</definedName>
    <definedName name="DNS_ResolveInDMZcol">DNS!$I$4</definedName>
    <definedName name="DNS_TargetIbxEnv">'BOM FUNCTIONS'!$DV$6</definedName>
    <definedName name="DNS_utility_directory">'BOM FUNCTIONS'!$DV$9</definedName>
    <definedName name="DR">'BOM FUNCTIONS'!$EH$11</definedName>
    <definedName name="dr_considerations" localSheetId="2">'Project Details'!#REF!</definedName>
    <definedName name="dr_considerations">'Project Details'!#REF!</definedName>
    <definedName name="dr_critical">'Project Details'!$C$22</definedName>
    <definedName name="dr_critical_tier">'BOM FUNCTIONS'!$BJ$7:$BJ$10</definedName>
    <definedName name="dr_date">'Project Details'!$D$31</definedName>
    <definedName name="dr_discussed" localSheetId="2">'Project Details'!#REF!</definedName>
    <definedName name="dr_discussed">'Project Details'!#REF!</definedName>
    <definedName name="dr_funding_available" localSheetId="2">'Project Details'!#REF!</definedName>
    <definedName name="dr_funding_available">'Project Details'!#REF!</definedName>
    <definedName name="dr_indicators" localSheetId="2">'Project Details'!#REF!</definedName>
    <definedName name="dr_indicators">'Project Details'!#REF!</definedName>
    <definedName name="dr_Level">'Project Details'!$C$23</definedName>
    <definedName name="dr_level_summary">'Project Details'!$D$23</definedName>
    <definedName name="dr_table">'BOM FUNCTIONS'!$BJ$6:$BK$11</definedName>
    <definedName name="du_monthly_charge">#REF!</definedName>
    <definedName name="DWAUVAVMVC01">'BOM FUNCTIONS'!$EM$6:$EM$13</definedName>
    <definedName name="EAS_IA">'Project Details'!$C$66</definedName>
    <definedName name="EAS_SA">'Project Details'!$C$65</definedName>
    <definedName name="EDH_Excludes">'BOM FUNCTIONS'!$EV$12</definedName>
    <definedName name="egateway">'BOM FUNCTIONS'!$EG$12</definedName>
    <definedName name="env_date_1">'Distributed Assets'!$G$7</definedName>
    <definedName name="env_date_10">'Distributed Assets'!$G$16</definedName>
    <definedName name="env_date_11">'Distributed Assets'!$G$17</definedName>
    <definedName name="env_date_12">'Distributed Assets'!$G$18</definedName>
    <definedName name="env_date_13">'Distributed Assets'!$G$19</definedName>
    <definedName name="env_date_14">'Distributed Assets'!$G$20</definedName>
    <definedName name="env_date_15">'Distributed Assets'!$G$21</definedName>
    <definedName name="env_date_16">'Distributed Assets'!$G$22</definedName>
    <definedName name="env_date_2">'Distributed Assets'!$G$8</definedName>
    <definedName name="env_date_3">'Distributed Assets'!$G$9</definedName>
    <definedName name="env_date_4">'Distributed Assets'!$G$10</definedName>
    <definedName name="env_date_5">'Distributed Assets'!$G$11</definedName>
    <definedName name="env_date_6">'Distributed Assets'!$G$12</definedName>
    <definedName name="env_date_7">'Distributed Assets'!$G$13</definedName>
    <definedName name="env_date_8">'Distributed Assets'!$G$14</definedName>
    <definedName name="env_date_9">'Distributed Assets'!$G$15</definedName>
    <definedName name="esb_action_2.0">'BOM FUNCTIONS'!$BP$29:$BP$30</definedName>
    <definedName name="esb_action2_2.0">'BOM FUNCTIONS'!$BP$27:$BP$28</definedName>
    <definedName name="esb_dmz_members">'BOM FUNCTIONS'!$BU$21:$BU$23</definedName>
    <definedName name="esb_dps_2.0">'BOM FUNCTIONS'!$BQ$40:$BQ$42</definedName>
    <definedName name="esb_in_2.0_dmz">'BOM FUNCTIONS'!$BQ$27:$BQ$29</definedName>
    <definedName name="esb_in_dmz">'BOM FUNCTIONS'!$BP$18:$BP$20</definedName>
    <definedName name="esb_in_fw_dest_add">'BOM FUNCTIONS'!$BS$10:$BS$14</definedName>
    <definedName name="esb_in_fw_env">'BOM FUNCTIONS'!$BR$10:$BR$14</definedName>
    <definedName name="esb_in_trust">'[2]Form.Data.DO.NOT.USE'!$O$19:$O$20</definedName>
    <definedName name="esb_out_2.0">'BOM FUNCTIONS'!$BQ$30:$BQ$34</definedName>
    <definedName name="esb_out_2.0_dmz">'BOM FUNCTIONS'!$BQ$35:$BQ$39</definedName>
    <definedName name="esb_out_dmz">'BOM FUNCTIONS'!$BQ$21:$BQ$25</definedName>
    <definedName name="esb_out_trust">'BOM FUNCTIONS'!$BP$13:$BP$14</definedName>
    <definedName name="esb_ports">'BOM FUNCTIONS'!$BT$10:$BT$12</definedName>
    <definedName name="ESX">'Table of Contents'!$C$38</definedName>
    <definedName name="firewall">'Table of Contents'!$C$48</definedName>
    <definedName name="firewallaction">OFFSET('BOM FUNCTIONS'!$Q$4,2,0,200-COUNTBLANK('BOM FUNCTIONS'!$Q$6:$Q$205),1)</definedName>
    <definedName name="FTP">'BOM FUNCTIONS'!$EG$16</definedName>
    <definedName name="ftw_date">'Project Details'!$D$30</definedName>
    <definedName name="FTW_NICE_01">'BOM FUNCTIONS'!$EO$12</definedName>
    <definedName name="FTW_Nuance_01">'BOM FUNCTIONS'!$EO$13</definedName>
    <definedName name="Ftw_svc_name">'BOM FUNCTIONS'!$EB$6:$EB$10</definedName>
    <definedName name="fwid">'BOM FUNCTIONS'!$FD$6:$FD$33</definedName>
    <definedName name="gemfire_core">#REF!</definedName>
    <definedName name="Gemfire_Maint_Core">#REF!</definedName>
    <definedName name="Government">'BOM FUNCTIONS'!$EH$13</definedName>
    <definedName name="Group">'BOM FUNCTIONS'!$EH$12</definedName>
    <definedName name="GTM">'Table of Contents'!$C$50</definedName>
    <definedName name="GTMLIST">OFFSET('Traffic Manager'!$A$3,0,0,39-COUNTBLANK('Traffic Manager'!$A$3:$A$41),1)</definedName>
    <definedName name="hacmp">'BOM FUNCTIONS'!$CH$13</definedName>
    <definedName name="hacmp_71_a">#REF!</definedName>
    <definedName name="hacmp_71_b">#REF!</definedName>
    <definedName name="hacmp_71_c">#REF!</definedName>
    <definedName name="hacmp_71_d">#REF!</definedName>
    <definedName name="hacmp_71_e">#REF!</definedName>
    <definedName name="HACMP_active_active">'BOM FUNCTIONS'!$CH$10</definedName>
    <definedName name="HACMP_active_passive">'BOM FUNCTIONS'!$CH$11</definedName>
    <definedName name="HACMP_oracle_rac">'BOM FUNCTIONS'!$CH$12</definedName>
    <definedName name="HCL_DB_Groups">'BOM FUNCTIONS'!$FV$6:$FV$13</definedName>
    <definedName name="health">OFFSET('BOM FUNCTIONS'!$P$4,2,0,205-COUNTBLANK('BOM FUNCTIONS'!$P$6:$P$210),1)</definedName>
    <definedName name="help_dbAll">'Database (All)'!$DB$1:$DT$1</definedName>
    <definedName name="help_DeComm">Decommissioning!$DA$2:$DS$2</definedName>
    <definedName name="help_distAssets">'Distributed Assets'!$DG$1:$DY$1</definedName>
    <definedName name="help_Dns">DNS!$DB$1:$DT$1</definedName>
    <definedName name="help_firewall">Network.Firewall!$DC$1:$DU$1</definedName>
    <definedName name="help_GTM">'Traffic Manager'!$DB$1:$DT$1</definedName>
    <definedName name="help_ICCProvNotes">'SD &amp; D Provisioning  Notes'!$DB$1:$DT$1</definedName>
    <definedName name="help_ihs">'Apache IHS'!$DB$1:$DT$1</definedName>
    <definedName name="help_infraEstimate">#REF!</definedName>
    <definedName name="help_IP">IP!$DB$1:$DT$1</definedName>
    <definedName name="help_ITAMreq">#REF!</definedName>
    <definedName name="help_LanMac">#REF!</definedName>
    <definedName name="help_LDAP">#REF!</definedName>
    <definedName name="help_licensingEstimate">#REF!</definedName>
    <definedName name="help_mainframeScope">'Mainframe Scope'!$DA$1:$DU$21</definedName>
    <definedName name="help_Monitoring">Monitoring!$DB$1:$DT$1</definedName>
    <definedName name="help_NAS">NAS!$DB$1:$DU$22</definedName>
    <definedName name="help_NasDetails">'NAS Details'!$DE$1:$DW$1</definedName>
    <definedName name="help_NetwLoadBal">Network.Loadbalancer!$CY$1:$DQ$1</definedName>
    <definedName name="help_newDBreq">'New DB Request'!$DA$1:$DU$35</definedName>
    <definedName name="help_OpenSystems" localSheetId="2">VMware!$CN$1:$DF$1</definedName>
    <definedName name="help_OpenSystems">'Open Systems'!$DE$1:$DW$1</definedName>
    <definedName name="help_ProjDetails">'Project Details'!$DA$1:$DV$23</definedName>
    <definedName name="help_Siteminder">'EAA Siteminder'!$DB$1:$DU$23</definedName>
    <definedName name="help_SqlOptFile">'SQL OPT File Refresh'!$DB$1:$DV$25</definedName>
    <definedName name="help_Storage">Storage!$DB$1:$DT$1</definedName>
    <definedName name="help_tsm">Backup!$DB$1:$DT$1</definedName>
    <definedName name="help_websphere">'Middleware - Web'!$DB$1:$DT$1</definedName>
    <definedName name="help_Windows">Windows!$DC$1:$DU$1</definedName>
    <definedName name="help_WinHttpFtp" localSheetId="22">'BlueCoat Proxy'!$CS$1:$DK$1</definedName>
    <definedName name="help_WinHttpFtp">'Windows HTTP FTP'!$DB$1:$DT$1</definedName>
    <definedName name="help_zena">Scheduler!$DB$1:$DT$1</definedName>
    <definedName name="HP_146GB_6G_15K_Drives">#REF!</definedName>
    <definedName name="HP_300GB_6G_10K_SAS_Drives">#REF!</definedName>
    <definedName name="HP_DL380pG8_Server_E5_2690_2P_32GB_w_HP_NC365T_ENET_Server_Adapter">#REF!</definedName>
    <definedName name="HTC_Excludes">'BOM FUNCTIONS'!$EV$10</definedName>
    <definedName name="hwul">'[3]General Data'!$B$22</definedName>
    <definedName name="icc_AIX_Sched">#REF!</definedName>
    <definedName name="icc_db2_sched">#REF!</definedName>
    <definedName name="ICC_FTP_Sched">#REF!</definedName>
    <definedName name="icc_FW_rules">#REF!</definedName>
    <definedName name="ICC_IIS_Sched">#REF!</definedName>
    <definedName name="icc_Imperva_sched">#REF!</definedName>
    <definedName name="icc_LB_sched">#REF!</definedName>
    <definedName name="ICC_linux_sched">#REF!</definedName>
    <definedName name="ICC_otherdbs_sched">#REF!</definedName>
    <definedName name="icc_sql_ora_sched">#REF!</definedName>
    <definedName name="icc_TomCat_sched">#REF!</definedName>
    <definedName name="icc_WAS_sched">#REF!</definedName>
    <definedName name="icc_wind_phy_Sched">#REF!</definedName>
    <definedName name="icc_windows_sched">#REF!</definedName>
    <definedName name="IHS">'Table of Contents'!$C$46</definedName>
    <definedName name="IIS" comment="Constant for windows IIS C &amp; D Drives">CONCATENATE("C: 100 GB",CHAR(10),"D: 100 GB")</definedName>
    <definedName name="Imperva">'Table of Contents'!$C$44</definedName>
    <definedName name="Import_list">Decommissioning!$A$10:$K$131</definedName>
    <definedName name="inbound_requested">'Project Details'!$D$85</definedName>
    <definedName name="inbound_requestid">'Project Details'!$E$85</definedName>
    <definedName name="infrastructure_integrator">'Project Details'!$C$68</definedName>
    <definedName name="Intel">'BOM FUNCTIONS'!$FB$6:$FB$9</definedName>
    <definedName name="io_51521_51733">'BOM FUNCTIONS'!$EA$14:$EA$15</definedName>
    <definedName name="io_51740_51795">'BOM FUNCTIONS'!$ED$38:$ED$39</definedName>
    <definedName name="io_51895_52739">'BOM FUNCTIONS'!$ED$40:$ED$41</definedName>
    <definedName name="io_52494_53143">'BOM FUNCTIONS'!$EA$16:$EA$17</definedName>
    <definedName name="io_53331_53335">'BOM FUNCTIONS'!$EA$18:$EA$19</definedName>
    <definedName name="io_53360_53368">'BOM FUNCTIONS'!$EA$20:$EA$21</definedName>
    <definedName name="io_53416_53453">'BOM FUNCTIONS'!$EA$6:$EA$7</definedName>
    <definedName name="io_53506_53559">'BOM FUNCTIONS'!$EA$8:$EA$9</definedName>
    <definedName name="io_53564_53568">'BOM FUNCTIONS'!$EA$10:$EA$11</definedName>
    <definedName name="io_53594_53611">'BOM FUNCTIONS'!$EA$12:$EA$13</definedName>
    <definedName name="io_54594_54693">'BOM FUNCTIONS'!$ED$42:$ED$43</definedName>
    <definedName name="io_54666_54672">'BOM FUNCTIONS'!$ED$6:$ED$7</definedName>
    <definedName name="io_54774_54775">'BOM FUNCTIONS'!$ED$8:$ED$9</definedName>
    <definedName name="io_54820_54843">'BOM FUNCTIONS'!$ED$12:$ED$13</definedName>
    <definedName name="io_54858_54872">'BOM FUNCTIONS'!$ED$44:$ED$45</definedName>
    <definedName name="io_55088_55122">'BOM FUNCTIONS'!$ED$22:$ED$23</definedName>
    <definedName name="io_55455_55476">'BOM FUNCTIONS'!$ED$24:$ED$25</definedName>
    <definedName name="io_55500_55501">'BOM FUNCTIONS'!$ED$26:$ED$27</definedName>
    <definedName name="io_55504_55506">'BOM FUNCTIONS'!$ED$28:$ED$29</definedName>
    <definedName name="io_55509_55528">'BOM FUNCTIONS'!$ED$30:$ED$31</definedName>
    <definedName name="io_55577_55596">'BOM FUNCTIONS'!$ED$34:$ED$35</definedName>
    <definedName name="io_55599_55603">'BOM FUNCTIONS'!$ED$36:$ED$37</definedName>
    <definedName name="io_55610_55612">'BOM FUNCTIONS'!$ED$32:$ED$33</definedName>
    <definedName name="io_55618_55632">'BOM FUNCTIONS'!$ED$14:$ED$15</definedName>
    <definedName name="io_55663_55678">'BOM FUNCTIONS'!$ED$16:$ED$17</definedName>
    <definedName name="io_55680_55683">'BOM FUNCTIONS'!$ED$18:$ED$19</definedName>
    <definedName name="io_55695_55702">'BOM FUNCTIONS'!$ED$20:$ED$21</definedName>
    <definedName name="io_57269_54803">'BOM FUNCTIONS'!$ED$10:$ED$11</definedName>
    <definedName name="io_58298_58345">'BOM FUNCTIONS'!$EA$30:$EA$31</definedName>
    <definedName name="io_58436_58444">'BOM FUNCTIONS'!$EA$32:$EA$33</definedName>
    <definedName name="io_58510_58452">'BOM FUNCTIONS'!$EA$34:$EA$35</definedName>
    <definedName name="io_58513_58525">'BOM FUNCTIONS'!$EA$36:$EA$37</definedName>
    <definedName name="io_58529_58532">'BOM FUNCTIONS'!$EA$22:$EA$23</definedName>
    <definedName name="io_58533_58534">'BOM FUNCTIONS'!$EA$24:$EA$25</definedName>
    <definedName name="io_58535_58536">'BOM FUNCTIONS'!$EA$26:$EA$27</definedName>
    <definedName name="io_58539_58541">'BOM FUNCTIONS'!$EA$28:$EA$29</definedName>
    <definedName name="io_66707_66730">'BOM FUNCTIONS'!$EA$38:$EA$39</definedName>
    <definedName name="io_66780_66784">'BOM FUNCTIONS'!$EA$40:$EA$41</definedName>
    <definedName name="io_66817_66885">'BOM FUNCTIONS'!$EA$42:$EA$43</definedName>
    <definedName name="io_67028_67066">'BOM FUNCTIONS'!$EA$44:$EA$45</definedName>
    <definedName name="IP">'Table of Contents'!$C$32</definedName>
    <definedName name="IP_AdminOfDevice">IP!$L$3</definedName>
    <definedName name="IP_AssetCol">IP!$B$3</definedName>
    <definedName name="IP_AssetIPNumCol" comment="Used by Excel VBA scripts like the IP Provisioner">IP!$C$3</definedName>
    <definedName name="IP_BAOjobID">IP!$U$3</definedName>
    <definedName name="IP_CheckerResultsCol">IP!$T$3</definedName>
    <definedName name="IP_DeviceType">IP!$E$3</definedName>
    <definedName name="IP_Environment">IP!$F$3</definedName>
    <definedName name="IP_Gateway">IP!$J$3</definedName>
    <definedName name="IP_HostName">IP!$D$3</definedName>
    <definedName name="IP_HostRecord">IP!$K$3</definedName>
    <definedName name="IP_InfobloxConsoleURL">'BOM FUNCTIONS'!$DK$11</definedName>
    <definedName name="IP_InterfaceDescription">IP!$H$3</definedName>
    <definedName name="IP_IPaddress">IP!$N$3</definedName>
    <definedName name="IP_IPinstanceCol" comment="Used by Excel VBA scripts like the IP Provisioner">IP!$A$3</definedName>
    <definedName name="IP_Layer">IP!$G$3</definedName>
    <definedName name="IP_PhaseCol">IP!$Q$3</definedName>
    <definedName name="IP_Provisioner_Debug">'BOM FUNCTIONS'!$DK$10</definedName>
    <definedName name="IP_ProvisionerTimestampCol">IP!$V$3</definedName>
    <definedName name="IP_ResolveInDMZcol">IP!$R$3</definedName>
    <definedName name="IP_SubnetMask">IP!$I$3</definedName>
    <definedName name="IP_TargetIbxEnv" comment="Value read by the IP Provisioner VBA script to determine what environment to operate it.  Will typically be set to production, except during automation development work.">'BOM FUNCTIONS'!$DK$6</definedName>
    <definedName name="IP_URL" comment="This is the URL that will be used by the IP Provisioner script.  Typically will be set to a production BAO web service URL.">'BOM FUNCTIONS'!$DL$6</definedName>
    <definedName name="IP_VIP_IPaddress">IP!$N$155</definedName>
    <definedName name="IP_VIP_MemberPort">IP!$L$155</definedName>
    <definedName name="IP_VIP_number">IP!$B$155</definedName>
    <definedName name="IP_VIP_PoolMembers">IP!$M$155</definedName>
    <definedName name="IP_VIP_VIPenvironment">IP!$E$155</definedName>
    <definedName name="IP_VIP_VIPinstance">IP!$A$155</definedName>
    <definedName name="IP_VIP_VIPlayer">IP!$F$155</definedName>
    <definedName name="IPList">OFFSET(IP!$A$4,0,0,150-COUNTBLANK(IP!$A$4:$A$153),1)</definedName>
    <definedName name="IS">'Table of Contents'!$C$14</definedName>
    <definedName name="ISE">'Project Details'!$C$63</definedName>
    <definedName name="ise_participants">'Project Details'!$C$62</definedName>
    <definedName name="isresource">'Project Details'!$C$67</definedName>
    <definedName name="ITAM_number">'Project Details'!$E$45</definedName>
    <definedName name="Kingston_8GB_Module">#REF!</definedName>
    <definedName name="lanmac">'Table of Contents'!$A$56</definedName>
    <definedName name="last_modified">OFFSET('Release Notes'!$A$1,3,0)</definedName>
    <definedName name="LayerList">OFFSET('Distributed Assets'!$A$1,5,6,11-COUNTBLANK('Distributed Assets'!$G$6:$G$16),1)</definedName>
    <definedName name="LB_Phase">'BOM FUNCTIONS'!$F$6:$F$7</definedName>
    <definedName name="LB_SSL_Termination">'BOM FUNCTIONS'!$CH$14:$CH$16</definedName>
    <definedName name="lb_template">'BOM FUNCTIONS'!$CO$6:$CO$34</definedName>
    <definedName name="lbom_description">'Project Details'!$C$15</definedName>
    <definedName name="lbom_number">'Project Details'!$C$69</definedName>
    <definedName name="LDAP">'Table of Contents'!#REF!</definedName>
    <definedName name="legacy_host">OFFSET(legacy_hostnames,0,0,91-COUNTBLANK(legacy_hostnames),1)</definedName>
    <definedName name="legacy_hostnames">Decommissioning!$C$10:$C$101</definedName>
    <definedName name="Linux">'BOM FUNCTIONS'!$AF$6:$AF$10</definedName>
    <definedName name="Linux_chargeback">#REF!</definedName>
    <definedName name="Linux_HW_Chargeback">#REF!</definedName>
    <definedName name="Linux_Software_Bundle">#REF!</definedName>
    <definedName name="Linux_Software_Bundle_Maint_yr">#REF!</definedName>
    <definedName name="Linux_SW_Chargeback">#REF!</definedName>
    <definedName name="list_20">OFFSET('BOM FUNCTIONS'!$E$4,2,0,200-COUNTBLANK('BOM FUNCTIONS'!$E$7:$E$202),1)</definedName>
    <definedName name="list_ad_domains">'BOM FUNCTIONS'!$BX$7:$BX$14</definedName>
    <definedName name="list_aixver">OFFSET('BOM FUNCTIONS'!$AE$4,2,0,200-COUNTBLANK('BOM FUNCTIONS'!$AE$8:$AE$203),1)</definedName>
    <definedName name="list_All_decom_IPs">OFFSET('BOM FUNCTIONS'!$W$4,2,0,200-COUNTBLANK('BOM FUNCTIONS'!$W$6:$W$202),1)</definedName>
    <definedName name="list_AllIPs">OFFSET('BOM FUNCTIONS'!$A$4,2,0,300-COUNTBLANK('BOM FUNCTIONS'!$A$6:$A$305),1)</definedName>
    <definedName name="list_appenvs">OFFSET('Distributed Assets'!$A$1,6,2,COUNTIF('Distributed Assets'!$B$7:$B$22,"&gt;0"),1)</definedName>
    <definedName name="list_appliance">'BOM FUNCTIONS'!$AJ$6:$AJ$9</definedName>
    <definedName name="list_clusters">OFFSET('BOM FUNCTIONS'!$I$4,2,0,203-COUNTBLANK('BOM FUNCTIONS'!$I$6:$I$208),1)</definedName>
    <definedName name="list_database">OFFSET('BOM FUNCTIONS'!$L$4,2,0,200-COUNTBLANK('BOM FUNCTIONS'!$L$6:$L$202),1)</definedName>
    <definedName name="list_dnsdoms">OFFSET('BOM FUNCTIONS'!$AT$4,2,0,200-COUNTBLANK('BOM FUNCTIONS'!$AT$7:$AT$204),2)</definedName>
    <definedName name="list_domain">'BOM FUNCTIONS'!$CK$6:$CK$36</definedName>
    <definedName name="list_envabbv">OFFSET('BOM FUNCTIONS'!$BM$6,0,0,214-COUNTBLANK('BOM FUNCTIONS'!$BM$12:$BM$218),1)</definedName>
    <definedName name="list_envname">OFFSET('BOM FUNCTIONS'!$BL$6,0,0,212-COUNTBLANK('BOM FUNCTIONS'!$BL$12:$BL$216),1)</definedName>
    <definedName name="list_fsalayers">'BOM FUNCTIONS'!$G$6:$G$44</definedName>
    <definedName name="list_hostnames">OFFSET('Distributed Assets'!$P$1,27,1,75-COUNTBLANK('Distributed Assets'!$V$28:$V$102),1)</definedName>
    <definedName name="list_interface">OFFSET('BOM FUNCTIONS'!$J$4,2,0,207-COUNTBLANK('BOM FUNCTIONS'!$J$7:$J$212),1)</definedName>
    <definedName name="list_linver">OFFSET('BOM FUNCTIONS'!$AF$4,2,0,194-COUNTBLANK('BOM FUNCTIONS'!$AF$11:$AF$199),1)</definedName>
    <definedName name="list_OS">OFFSET('BOM FUNCTIONS'!$D$4,2,0,200-COUNTBLANK('BOM FUNCTIONS'!$D$6:$D$207),1)</definedName>
    <definedName name="list_phase">OFFSET('BOM FUNCTIONS'!$F$4,2,0,200-COUNTBLANK('BOM FUNCTIONS'!$F$6:$F$204),1)</definedName>
    <definedName name="list_pod_ha_mod">#REF!</definedName>
    <definedName name="list_pod_layers">'BOM FUNCTIONS'!$G$40:$G$46</definedName>
    <definedName name="list_Pod_np_Layers">'BOM FUNCTIONS'!$G$40:$G$44</definedName>
    <definedName name="list_pod_standard_mod">#REF!</definedName>
    <definedName name="list_sdkver">OFFSET('BOM FUNCTIONS'!$AN$4,2,0,200-COUNTBLANK('BOM FUNCTIONS'!$AN$7:$AN$205),1)</definedName>
    <definedName name="list_snowgroups">'BOM FUNCTIONS'!$AV$6:$AV$22</definedName>
    <definedName name="list_solver">OFFSET('BOM FUNCTIONS'!$AI$4,2,0,200-COUNTBLANK('BOM FUNCTIONS'!$AI$6:$AI$202),1)</definedName>
    <definedName name="list_stdservers">OFFSET('BOM FUNCTIONS'!$H$4,2,0,200-COUNTBLANK('BOM FUNCTIONS'!$H$6:$H$202),1)</definedName>
    <definedName name="List_StorageAssets">'BOM FUNCTIONS'!$K$6:$K$101</definedName>
    <definedName name="list_wasver">'BOM FUNCTIONS'!$BV$6:$BV$26</definedName>
    <definedName name="list_windows_ftp_servers">'Host Reference'!$A$139:$A$141</definedName>
    <definedName name="list_winver">'BOM FUNCTIONS'!$AG$6:$AG$7</definedName>
    <definedName name="list_zosver">OFFSET('BOM FUNCTIONS'!$AK$4,2,0,200-COUNTBLANK('BOM FUNCTIONS'!$AK$6:$AK$202),1)</definedName>
    <definedName name="List1">'BOM FUNCTIONS'!$BQ$6:$BQ$8</definedName>
    <definedName name="List10">'BOM FUNCTIONS'!$BQ$16:$BQ$18</definedName>
    <definedName name="List11">'BOM FUNCTIONS'!$BU$15:$BU$17</definedName>
    <definedName name="List3">'BOM FUNCTIONS'!$BU$6:$BU$8</definedName>
    <definedName name="List5">'BOM FUNCTIONS'!$BP$6:$BP$8</definedName>
    <definedName name="List6">'BOM FUNCTIONS'!$BQ$9:$BQ$11</definedName>
    <definedName name="List7">'BOM FUNCTIONS'!$BU$9:$BU$11</definedName>
    <definedName name="List8">'BOM FUNCTIONS'!$BQ$12:$BQ$15</definedName>
    <definedName name="List9">'BOM FUNCTIONS'!$BU$12:$BU$14</definedName>
    <definedName name="load_balancer">'Table of Contents'!$C$49</definedName>
    <definedName name="location_table">HostNamingStandard!$C$9:$D$85</definedName>
    <definedName name="Locations">HostNamingStandard!$C$9:$C$85</definedName>
    <definedName name="mainframe_arch" localSheetId="2">'Project Details'!#REF!</definedName>
    <definedName name="mainframe_arch">'Project Details'!#REF!</definedName>
    <definedName name="maintenance_window" localSheetId="2">'Project Details'!#REF!</definedName>
    <definedName name="maintenance_window">'Project Details'!#REF!</definedName>
    <definedName name="methods">OFFSET('BOM FUNCTIONS'!$O$4,2,0,200-COUNTBLANK('BOM FUNCTIONS'!$O$6:$O$205),1)</definedName>
    <definedName name="MF">'Table of Contents'!$C$16</definedName>
    <definedName name="MF_CICS">'Table of Contents'!$C$18</definedName>
    <definedName name="MF_Class_of_Service">'BOM FUNCTIONS'!$DF$6:$DF$8</definedName>
    <definedName name="MF_COMM">'Table of Contents'!$C$21</definedName>
    <definedName name="MF_CYCLE_environment">'BOM FUNCTIONS'!$DD$6:$DD$23</definedName>
    <definedName name="MF_DB1">'Table of Contents'!$C$19</definedName>
    <definedName name="MF_DB2">'Table of Contents'!$C$17</definedName>
    <definedName name="MF_Language">'BOM FUNCTIONS'!$DJ$6:$DJ$8</definedName>
    <definedName name="MF_Operations">'BOM FUNCTIONS'!$DG$6:$DG$7</definedName>
    <definedName name="MF_OSSP">'Table of Contents'!$C$22</definedName>
    <definedName name="MF_Prod_environment">'BOM FUNCTIONS'!$DE$6:$DE$7</definedName>
    <definedName name="MF_Source">'BOM FUNCTIONS'!$DH$6:$DH$10</definedName>
    <definedName name="MF_TEST_environment">'BOM FUNCTIONS'!$DC$6:$DC$18</definedName>
    <definedName name="MF_Volume">'BOM FUNCTIONS'!$DI$6:$DI$8</definedName>
    <definedName name="MF_WLM">'Table of Contents'!$C$20</definedName>
    <definedName name="Middleware_software">'SD &amp; D Provisioning  Notes'!$A$36</definedName>
    <definedName name="MiddlewareWeb">'Table of Contents'!$C$11</definedName>
    <definedName name="Monitoring">'Table of Contents'!$C$53</definedName>
    <definedName name="Monthly_Charge">#REF!</definedName>
    <definedName name="MQ">'BOM FUNCTIONS'!$EG$15</definedName>
    <definedName name="MQ_A_Records">'BOM FUNCTIONS'!$BA$5:$BA$31</definedName>
    <definedName name="MQ_AIX_Core">#REF!</definedName>
    <definedName name="MQ_C_NAMES">'BOM FUNCTIONS'!$BB$5:$BB$22</definedName>
    <definedName name="MQ_Hostname">'BOM FUNCTIONS'!$AY$5:$AY$31</definedName>
    <definedName name="NamingStd_ClusterCol">HostNamingStandard!$K$25</definedName>
    <definedName name="NamingStd_NodeCol">HostNamingStandard!$L$25</definedName>
    <definedName name="NamingStd_ProdstatusCol">HostNamingStandard!$B$26</definedName>
    <definedName name="NamingStd_SitesCol">HostNamingStandard!$D$29</definedName>
    <definedName name="NAS">'Table of Contents'!$C$40</definedName>
    <definedName name="NAS_Dev_Size">NAS!$B$17</definedName>
    <definedName name="NAS_NFS">'BOM FUNCTIONS'!$AX$6:$AX$10</definedName>
    <definedName name="NAS_NFS_GID_Alt">NAS!$D$24</definedName>
    <definedName name="NAS_NFS_GID_Dev">NAS!$B$24</definedName>
    <definedName name="NAS_NFS_GID_Pod">NAS!$G$24</definedName>
    <definedName name="NAS_NFS_GID_Prod">NAS!$E$24</definedName>
    <definedName name="NAS_NFS_GID_ProdFW">NAS!$F$24</definedName>
    <definedName name="NAS_NFS_GID_Test">NAS!$C$24</definedName>
    <definedName name="NAS_NFS_UID_Alt">NAS!$D$23</definedName>
    <definedName name="NAS_NFS_UID_Dev">NAS!$B$23</definedName>
    <definedName name="NAS_NFS_UID_Pod">NAS!$G$23</definedName>
    <definedName name="NAS_NFS_UID_Prod">NAS!$E$23</definedName>
    <definedName name="NAS_NFS_UID_ProdFW">NAS!$F$23</definedName>
    <definedName name="NAS_NFS_UID_Test">NAS!$C$23</definedName>
    <definedName name="NAS_Pod_Size">NAS!$G$17</definedName>
    <definedName name="NAS_Prod_Size">NAS!$E$17</definedName>
    <definedName name="NAS_ProdFW_Size">NAS!$F$17</definedName>
    <definedName name="nas_short_name">NAS!$B$6</definedName>
    <definedName name="NAS_SMB">'BOM FUNCTIONS'!$AW$6:$AW$10</definedName>
    <definedName name="nas_table">'Host Reference'!$A$144:$F$156</definedName>
    <definedName name="NAS_Test_Size">NAS!$C$17</definedName>
    <definedName name="NAS_Win_AD_Group_Alt">NAS!$D$22</definedName>
    <definedName name="NAS_Win_AD_Group_Dev">NAS!$B$22</definedName>
    <definedName name="NAS_Win_AD_Group_Pod">NAS!$G$22</definedName>
    <definedName name="NAS_Win_AD_Group_Prod">NAS!$E$22</definedName>
    <definedName name="NAS_Win_AD_Group_ProdFW">NAS!$F$22</definedName>
    <definedName name="NAS_Win_AD_Group_Test">NAS!$C$22</definedName>
    <definedName name="NAS_Win_NPID_Alt">NAS!$D$21</definedName>
    <definedName name="NAS_Win_NPID_Dev">NAS!$B$21</definedName>
    <definedName name="NAS_Win_NPID_Pod">NAS!$G$21</definedName>
    <definedName name="NAS_Win_NPID_Prod">NAS!$E$21</definedName>
    <definedName name="NAS_Win_NPID_ProdFW">NAS!$F$21</definedName>
    <definedName name="NAS_Win_NPID_Test">NAS!$C$21</definedName>
    <definedName name="new_db">'Table of Contents'!$C$12</definedName>
    <definedName name="New_vlan">IP!$Q$4:$Q$153</definedName>
    <definedName name="newdbreq">'New DB Request'!$A$26:$M$55</definedName>
    <definedName name="newdbreq_assetlist">OFFSET('New DB Request'!$A$26,0,0,30-COUNTBLANK('New DB Request'!$A$26:$A$55),1)</definedName>
    <definedName name="newwasonexisting">'Project Details'!#REF!</definedName>
    <definedName name="no_phi">'BOM FUNCTIONS'!$EG$8</definedName>
    <definedName name="nonprod_otherdb">#REF!</definedName>
    <definedName name="Novell">'BOM FUNCTIONS'!$AJ$2</definedName>
    <definedName name="Offshore">'BOM FUNCTIONS'!$FS$6</definedName>
    <definedName name="Onshore">'BOM FUNCTIONS'!$FS$7</definedName>
    <definedName name="Open_Systems">'Table of Contents'!$C$33</definedName>
    <definedName name="operational_comments" localSheetId="2">'Project Details'!#REF!</definedName>
    <definedName name="operational_comments">'Project Details'!#REF!</definedName>
    <definedName name="operational_issues" localSheetId="2">'Project Details'!#REF!</definedName>
    <definedName name="operational_issues">'Project Details'!#REF!</definedName>
    <definedName name="OPT_file">'Table of Contents'!$C$13</definedName>
    <definedName name="Oracle_CPU">#REF!</definedName>
    <definedName name="Oracle_CPU_maint_year">#REF!</definedName>
    <definedName name="Oracle_RAC_CPU">#REF!</definedName>
    <definedName name="Oracle_RAC_CPU_maint_year">#REF!</definedName>
    <definedName name="oracle_table">'BOM FUNCTIONS'!$DA$6:$DB$9</definedName>
    <definedName name="oracle_version">'BOM FUNCTIONS'!$DA$17:$DA$20</definedName>
    <definedName name="Other">'BOM FUNCTIONS'!$AP$11</definedName>
    <definedName name="outbound_required">'Project Details'!$D$82</definedName>
    <definedName name="outbound_risk" localSheetId="2">'Project Details'!#REF!</definedName>
    <definedName name="outbound_risk">'Project Details'!#REF!</definedName>
    <definedName name="P_7">'BOM FUNCTIONS'!$EX$6:$EX$8</definedName>
    <definedName name="P_8">'BOM FUNCTIONS'!$EX$9:$EX$11</definedName>
    <definedName name="P7_PVU">'BOM FUNCTIONS'!$EY$6:$EY$8</definedName>
    <definedName name="P8_PVU">'BOM FUNCTIONS'!$EY$9:$EY$11</definedName>
    <definedName name="paas_prod">'BOM FUNCTIONS'!$EH$22</definedName>
    <definedName name="paas_test">'BOM FUNCTIONS'!$EH$21</definedName>
    <definedName name="PAM">'Table of Contents'!$C$51</definedName>
    <definedName name="pcf_prod">'BOM FUNCTIONS'!$EH$20</definedName>
    <definedName name="pcf_test">'BOM FUNCTIONS'!$EH$19</definedName>
    <definedName name="performance_comments" localSheetId="2">'Project Details'!#REF!</definedName>
    <definedName name="performance_comments">'Project Details'!#REF!</definedName>
    <definedName name="performance_requirements" localSheetId="2">'Project Details'!#REF!</definedName>
    <definedName name="performance_requirements">'Project Details'!#REF!</definedName>
    <definedName name="Persistence">OFFSET('BOM FUNCTIONS'!$CM$4,2,0,200-COUNTBLANK('BOM FUNCTIONS'!$CM$6:$CM$205),1)</definedName>
    <definedName name="PFTW_GENPOP_FTW_01">'BOM FUNCTIONS'!$EO$14</definedName>
    <definedName name="PFTW_PRIVATE_ODS_01_FTW">'BOM FUNCTIONS'!$EN$15</definedName>
    <definedName name="PFTW_WINDOWS_SQL_01">'BOM FUNCTIONS'!$EN$14</definedName>
    <definedName name="PFTWVAVMVC01">'BOM FUNCTIONS'!$EK$19:$EK$21</definedName>
    <definedName name="phi_access">'BOM FUNCTIONS'!$EG$7</definedName>
    <definedName name="phi_used">'BOM FUNCTIONS'!$EG$6</definedName>
    <definedName name="PII">'BOM FUNCTIONS'!$EG$17</definedName>
    <definedName name="pm">'Project Details'!$C$55</definedName>
    <definedName name="POC">'Project Details'!$D$24</definedName>
    <definedName name="Pod_HA_array">#REF!</definedName>
    <definedName name="pod_ha_template">#REF!</definedName>
    <definedName name="Pod_standard_array">#REF!</definedName>
    <definedName name="Pod_standard_mod">#REF!</definedName>
    <definedName name="pod_standard_template">#REF!</definedName>
    <definedName name="Portal_Aix_Core">#REF!</definedName>
    <definedName name="Portal_Linux_Core">#REF!</definedName>
    <definedName name="Portal_Maint_AIX_Core">#REF!</definedName>
    <definedName name="Portal_Maint_Linux_Core">#REF!</definedName>
    <definedName name="Portal_Maint_PVU">#REF!</definedName>
    <definedName name="Portal_PVU">#REF!</definedName>
    <definedName name="portfolio">'Project Details'!$C$14</definedName>
    <definedName name="prd_Tomee_export_apps">NAS!$D$11</definedName>
    <definedName name="prd_Tomee_export_logs">NAS!$D$12</definedName>
    <definedName name="Price_per_2_12way_P770">#REF!</definedName>
    <definedName name="Price_Per_48way_p770">#REF!</definedName>
    <definedName name="Pro">'BOM FUNCTIONS'!$BY$12:$BY$17</definedName>
    <definedName name="Prod">'BOM FUNCTIONS'!$EH$9</definedName>
    <definedName name="prod_date">'Project Details'!$D$29</definedName>
    <definedName name="Prod_db_size">'New DB Request'!#REF!</definedName>
    <definedName name="Prod_environment">'Distributed Assets'!$F$4</definedName>
    <definedName name="Prod_fw_db_size">'New DB Request'!#REF!</definedName>
    <definedName name="Prod_INFRASTRUCTURE_VMWARE_CORE_02_SYN02">'BOM FUNCTIONS'!$EN$8</definedName>
    <definedName name="Prod_NON_SRM_01_BL">'BOM FUNCTIONS'!$EN$6</definedName>
    <definedName name="Prod_OPENSYSTEMS_OS_01_SYN03">'BOM FUNCTIONS'!$EO$8</definedName>
    <definedName name="Prod_OS_07_RH">'BOM FUNCTIONS'!$EN$7</definedName>
    <definedName name="Prod_otherdb">#REF!</definedName>
    <definedName name="Prod_PRIVATE_EAA_WAU_01">'BOM FUNCTIONS'!$EN$10</definedName>
    <definedName name="Prod_PRIVATE_EAA_WAU_02">'BOM FUNCTIONS'!$EO$10</definedName>
    <definedName name="Prod_PRIVATE_GEMFIRE_01">'BOM FUNCTIONS'!$EN$11</definedName>
    <definedName name="Prod_PRIVATE_HADOOP_01">'BOM FUNCTIONS'!$EO$11</definedName>
    <definedName name="Prod_PRIVATE_WAS_02_SYN02">'BOM FUNCTIONS'!$EO$9</definedName>
    <definedName name="Prod_WAU_SQL_02">'BOM FUNCTIONS'!#REF!</definedName>
    <definedName name="Prod_WINDOWS_SQL_03">'BOM FUNCTIONS'!$EO$6</definedName>
    <definedName name="Prod_WINDOWS_WINTEL_02_SYN03">'BOM FUNCTIONS'!$EN$9</definedName>
    <definedName name="Prod_WINTEL_08_BL">'BOM FUNCTIONS'!$EO$7</definedName>
    <definedName name="prodftw">'BOM FUNCTIONS'!$EH$10</definedName>
    <definedName name="ProjDet_AppNameCol">'Project Details'!$C$8</definedName>
    <definedName name="project_tier">'Project Details'!$C$11</definedName>
    <definedName name="Protocol">'[4]Form.Data.DO.NOT.USE'!$A$1:$A$3</definedName>
    <definedName name="provides_input" localSheetId="2">'Project Details'!#REF!</definedName>
    <definedName name="provides_input">'Project Details'!#REF!</definedName>
    <definedName name="provides_output" localSheetId="2">'Project Details'!#REF!</definedName>
    <definedName name="provides_output">'Project Details'!#REF!</definedName>
    <definedName name="Proxy">'Table of Contents'!$C$47</definedName>
    <definedName name="PVU_Count_Aix_Core">#REF!</definedName>
    <definedName name="PVU_Count_Vmware_core">#REF!</definedName>
    <definedName name="pwauessvc01">'BOM FUNCTIONS'!$DZ$6:$DZ$9</definedName>
    <definedName name="pwauessvc02">'BOM FUNCTIONS'!$DZ$10:$DZ$13</definedName>
    <definedName name="pwauessvc03">'BOM FUNCTIONS'!$DZ$14:$DZ$17</definedName>
    <definedName name="pwauessvc04">'BOM FUNCTIONS'!$DZ$18:$DZ$21</definedName>
    <definedName name="pwauessvc05">'BOM FUNCTIONS'!$DZ$22:$DZ$25</definedName>
    <definedName name="pwausxmqmapp01">'BOM FUNCTIONS'!$BD$5</definedName>
    <definedName name="pwausxmqmapp02">'BOM FUNCTIONS'!$BD$6</definedName>
    <definedName name="pwausxmqmapp03">'BOM FUNCTIONS'!$BD$7</definedName>
    <definedName name="pwausxmqmapp04">'BOM FUNCTIONS'!$BD$8</definedName>
    <definedName name="PWAUVAVMVC01">'BOM FUNCTIONS'!$EK$6:$EK$18</definedName>
    <definedName name="PWAUVAVMVC03">'BOM FUNCTIONS'!$EK$22:$EK$25</definedName>
    <definedName name="Q_MGR">'BOM FUNCTIONS'!$AZ$5:$AZ$20</definedName>
    <definedName name="Qlogic_2560_HBA_s__require_2_per_server_so_Price_is_doubled">#REF!</definedName>
    <definedName name="Qpasa_Core__mq_monitoring">#REF!</definedName>
    <definedName name="redhat_sw">#REF!</definedName>
    <definedName name="Retail">'BOM FUNCTIONS'!$EH$14</definedName>
    <definedName name="rftwessvc01">'BOM FUNCTIONS'!$EC$6:$EC$9</definedName>
    <definedName name="rftwessvc02">'BOM FUNCTIONS'!$EC$10:$EC$13</definedName>
    <definedName name="rftwessvc03">'BOM FUNCTIONS'!$EC$14:$EC$17</definedName>
    <definedName name="rftwessvc04">'BOM FUNCTIONS'!$EC$18:$EC$21</definedName>
    <definedName name="rftwessvc05">'BOM FUNCTIONS'!$EC$22:$EC$25</definedName>
    <definedName name="rng_applications">OFFSET([5]FUNCTIONS!$A$7,1,0,COUNTA([5]FUNCTIONS!$A$1:$A$207),2)</definedName>
    <definedName name="rng_ips">OFFSET('[5]PROVISIONED IPs'!$A$4,1,0,COUNTA('[5]PROVISIONED IPs'!$A$5:$A$3999),3)</definedName>
    <definedName name="rng_servers">OFFSET('[6]PROVISIONED SERVERS'!$A$4,1,0,COUNTA('[6]PROVISIONED SERVERS'!$A$5:$A$1988),8)</definedName>
    <definedName name="SensitiveInfoAcrossEnvs">'Project Details'!$D$75</definedName>
    <definedName name="Siteminder">'Table of Contents'!$C$9</definedName>
    <definedName name="size_array">'BOM FUNCTIONS'!$FF$6:$FR$10</definedName>
    <definedName name="Solaris">'BOM FUNCTIONS'!$AI$2</definedName>
    <definedName name="spi_access">'BOM FUNCTIONS'!$EG$10</definedName>
    <definedName name="spi_used">'BOM FUNCTIONS'!$EG$9</definedName>
    <definedName name="SQL_2008_VM_Excludes">'BOM FUNCTIONS'!#REF!</definedName>
    <definedName name="SQL_2012_VM_Excludes">'BOM FUNCTIONS'!$EV$9</definedName>
    <definedName name="SQL_2014_VM_Excludes">'BOM FUNCTIONS'!$EV$8</definedName>
    <definedName name="SQL_2016_VM_Excludes">'BOM FUNCTIONS'!$EV$7</definedName>
    <definedName name="SQL_2017_VM_Excludes">'BOM FUNCTIONS'!$EV$6</definedName>
    <definedName name="SQL_Drive_Sizes">'SQL Drive Space'!$F$5</definedName>
    <definedName name="standard_server_types">'BOM FUNCTIONS'!$FE$6:$FE$10</definedName>
    <definedName name="standard_sizes">'BOM FUNCTIONS'!$FF$7:$FF$9</definedName>
    <definedName name="standard_sizes_tomee">'BOM FUNCTIONS'!$FF$6:$FF$10</definedName>
    <definedName name="Storage">'Table of Contents'!$C$39</definedName>
    <definedName name="tab_names">'BOM FUNCTIONS'!$EE$6:$EE$16</definedName>
    <definedName name="TAP">'Project Details'!$C$21</definedName>
    <definedName name="Tes">'BOM FUNCTIONS'!$BY$8:$BY$11</definedName>
    <definedName name="Test">'BOM FUNCTIONS'!$EH$7</definedName>
    <definedName name="Test_date">'Project Details'!$D$27</definedName>
    <definedName name="Test_db_size">'New DB Request'!#REF!</definedName>
    <definedName name="Test_environment">'Distributed Assets'!$F$3</definedName>
    <definedName name="Test_OPENSYSTEMS_OS_02_SYN01">'BOM FUNCTIONS'!$EP$7</definedName>
    <definedName name="TEST_PRIVATE_GEMFIRE_01">'BOM FUNCTIONS'!$ER$6</definedName>
    <definedName name="Test_PRIVATE_HADOOP_01">'BOM FUNCTIONS'!$ER$7</definedName>
    <definedName name="test_Tomee_export_apps">NAS!$C$11</definedName>
    <definedName name="test_Tomee_export_logs">NAS!$C$12</definedName>
    <definedName name="Test_WAU_SQL_04">'BOM FUNCTIONS'!$EQ$6</definedName>
    <definedName name="Test_WINTEL_01_BL">'BOM FUNCTIONS'!$EP$6</definedName>
    <definedName name="Test_WINTEL_02_SYN01">'BOM FUNCTIONS'!$EQ$7</definedName>
    <definedName name="today">'Distributed Assets'!$G$5</definedName>
    <definedName name="tomcat_linux_core">#REF!</definedName>
    <definedName name="Tomcat_Maint_linux_core">#REF!</definedName>
    <definedName name="TrafficManager">'Traffic Manager'!$A$3:$I$41</definedName>
    <definedName name="true_false">'BOM FUNCTIONS'!$CH$8:$CH$9</definedName>
    <definedName name="TSM">'Table of Contents'!$C$42</definedName>
    <definedName name="tsm_api">OFFSET('BOM FUNCTIONS'!$AP$4,2,0,200-COUNTBLANK('BOM FUNCTIONS'!$AP$6:$AP$203),1)</definedName>
    <definedName name="tsm_cver">OFFSET('BOM FUNCTIONS'!$AO$4,2,0,200-COUNTBLANK('BOM FUNCTIONS'!$AO$6:$AO$205),1)</definedName>
    <definedName name="tsm_servers">OFFSET('BOM FUNCTIONS'!$AS$4,2,0,200-COUNTBLANK('BOM FUNCTIONS'!$AS$6:$AS$202),1)</definedName>
    <definedName name="tsm_site">OFFSET('BOM FUNCTIONS'!$AQ$4,2,0,200-COUNTBLANK('BOM FUNCTIONS'!$AQ$6:$AQ$202),1)</definedName>
    <definedName name="tsm_windom">OFFSET('BOM FUNCTIONS'!$AR$4,2,0,200-COUNTBLANK('BOM FUNCTIONS'!$AR$6:$AR$202),1)</definedName>
    <definedName name="twausxmqmapp01">'BOM FUNCTIONS'!$BD$17</definedName>
    <definedName name="twausxmqmapp02">'BOM FUNCTIONS'!$BD$18</definedName>
    <definedName name="twausxmqmapp03">'BOM FUNCTIONS'!$BD$19</definedName>
    <definedName name="twausxmqmapp04">'BOM FUNCTIONS'!$BD$20</definedName>
    <definedName name="TWAUVAVMVC01">'BOM FUNCTIONS'!$EL$6:$EL$12</definedName>
    <definedName name="UAT_NICE_01">'BOM FUNCTIONS'!$EN$12</definedName>
    <definedName name="under_assessment">'Project Details'!$F$1</definedName>
    <definedName name="Unix_HW_Chargeback">#REF!</definedName>
    <definedName name="Unix_SW_Chargeback">#REF!</definedName>
    <definedName name="VCenter">'BOM FUNCTIONS'!$EJ$6:$EJ$11</definedName>
    <definedName name="version_main_number">'Release Notes'!$C$2</definedName>
    <definedName name="version_number">'Release Notes'!$C$1</definedName>
    <definedName name="VIP_AssetVIP">IP!$B$156:$V$205</definedName>
    <definedName name="VIP_AssetVIPcol">Network.Loadbalancer!$A$2</definedName>
    <definedName name="VIP_DestinationNAT">Network.Loadbalancer!$E$2</definedName>
    <definedName name="VIP_HealthMonitorCol">Network.Loadbalancer!$L$2</definedName>
    <definedName name="VIP_InstanceList">OFFSET(Network.Loadbalancer!$A$3,0,2,28-COUNTBLANK(Network.Loadbalancer!$C$3:$C$30),1)</definedName>
    <definedName name="VIP_LoadBalancingMethodCol">Network.Loadbalancer!$K$2</definedName>
    <definedName name="VIP_MemberIPsCol">Network.Loadbalancer!$J$2</definedName>
    <definedName name="VIP_NATFWRULE">Network.Loadbalancer!$F$2</definedName>
    <definedName name="VIP_NotesCol">Network.Loadbalancer!$Q$2</definedName>
    <definedName name="VIP_PersistenceCol">Network.Loadbalancer!$N$2</definedName>
    <definedName name="VIP_PortCol">Network.Loadbalancer!$H$2</definedName>
    <definedName name="VIP_ProvisionerJobIDcol" localSheetId="22">Network.Loadbalancer!#REF!</definedName>
    <definedName name="VIP_ProvisionerJobIDcol" localSheetId="2">Network.Loadbalancer!#REF!</definedName>
    <definedName name="VIP_ProvisionerJobIDcol">Network.Loadbalancer!#REF!</definedName>
    <definedName name="VIP_ProvisionerResultsCol" localSheetId="22">Network.Loadbalancer!#REF!</definedName>
    <definedName name="VIP_ProvisionerResultsCol" localSheetId="2">Network.Loadbalancer!#REF!</definedName>
    <definedName name="VIP_ProvisionerResultsCol">Network.Loadbalancer!#REF!</definedName>
    <definedName name="VIP_ProvisionerTimestampCol" localSheetId="22">Network.Loadbalancer!#REF!</definedName>
    <definedName name="VIP_ProvisionerTimestampCol" localSheetId="2">Network.Loadbalancer!#REF!</definedName>
    <definedName name="VIP_ProvisionerTimestampCol">Network.Loadbalancer!#REF!</definedName>
    <definedName name="VIP_SourceIPmaskCol">Network.Loadbalancer!$D$2</definedName>
    <definedName name="VIP_SSLcertificateCol">Network.Loadbalancer!$P$2</definedName>
    <definedName name="VIP_SSLredirectCol">Network.Loadbalancer!$I$2</definedName>
    <definedName name="VIP_SSLterminationCol">Network.Loadbalancer!$O$2</definedName>
    <definedName name="VIP_TemplateCol">Network.Loadbalancer!$B$2</definedName>
    <definedName name="VIP_VirtualIPcol">Network.Loadbalancer!$G$2</definedName>
    <definedName name="VIPList">OFFSET(IP!$A$1,155,1,50-COUNTBLANK(IP!$B$156:$B$205),1)</definedName>
    <definedName name="visio_filename">'Table of Contents'!$H$55</definedName>
    <definedName name="vlan_array">'BOM FUNCTIONS'!$Z$6:$AD$715</definedName>
    <definedName name="vm_template">'BOM FUNCTIONS'!$AH$6:$AH$13</definedName>
    <definedName name="VMList">OFFSET(VMware!$A$4,0,0,39-COUNTBLANK(VMware!$A$4:$A$41),1)</definedName>
    <definedName name="VMTab">VMware!$A$4:$H$41</definedName>
    <definedName name="VMware">'Table of Contents'!$C$7</definedName>
    <definedName name="WAS_Maint_AIX_Core">#REF!</definedName>
    <definedName name="WAS_Maint_Linux_Core">#REF!</definedName>
    <definedName name="WAS_Maint_PVU">#REF!</definedName>
    <definedName name="was_ver">'BOM FUNCTIONS'!$BV$9:$BV$14</definedName>
    <definedName name="WAU_NICE_01">'BOM FUNCTIONS'!$EN$13</definedName>
    <definedName name="Wau_svc_name">'BOM FUNCTIONS'!$DY$6:$DY$10</definedName>
    <definedName name="Websphere_8_5">'BOM FUNCTIONS'!$FQ$6:$FR$10</definedName>
    <definedName name="Websphere_AIX_Core">#REF!</definedName>
    <definedName name="Websphere_Linux_Core">#REF!</definedName>
    <definedName name="Websphere_PVU">#REF!</definedName>
    <definedName name="Wiley_Core_Maint">#REF!</definedName>
    <definedName name="Wily_Core">#REF!</definedName>
    <definedName name="Win_DR">'BOM FUNCTIONS'!$CJ$6</definedName>
    <definedName name="Windows">'BOM FUNCTIONS'!$AG$6:$AG$9</definedName>
    <definedName name="windows_dns_1">'BOM FUNCTIONS'!$FT$6:$FT$8</definedName>
    <definedName name="windows_dns_2">'BOM FUNCTIONS'!$FU$6:$FU$8</definedName>
    <definedName name="windows_ftp">'Table of Contents'!$C$35</definedName>
    <definedName name="Windows_License_Agent_Maintenance_per_Server">#REF!</definedName>
    <definedName name="Windows_SQL_04">'BOM FUNCTIONS'!$EQ$6</definedName>
    <definedName name="windows_sw_bundle">#REF!</definedName>
    <definedName name="Windows_tab">'Table of Contents'!$C$34</definedName>
    <definedName name="Windows_VM__Processor">#REF!</definedName>
    <definedName name="Windows_VM__RAM">#REF!</definedName>
    <definedName name="Wintel_HW_Chargeback">#REF!</definedName>
    <definedName name="Wintel_SW_Chargeback">#REF!</definedName>
    <definedName name="WPS_Per_Yr">#REF!</definedName>
    <definedName name="WPS_Processor_Value_Unit__PVU__Annual_SW">#REF!</definedName>
    <definedName name="yes_no">'BOM FUNCTIONS'!$CI$6:$CI$8</definedName>
    <definedName name="Zena">'Table of Contents'!$C$45</definedName>
    <definedName name="zena_clients">'BOM FUNCTIONS'!$EF$6:$EF$11</definedName>
    <definedName name="zOS">'BOM FUNCTIONS'!$AK$2</definedName>
    <definedName name="ZOSBSYS">'BOM FUNCTIONS'!$BD$23:$BH$23</definedName>
    <definedName name="ZOSESYS">'BOM FUNCTIONS'!$BD$24</definedName>
    <definedName name="ZOSFSYS">'BOM FUNCTIONS'!$BD$25</definedName>
    <definedName name="ZOSGSYS">'BOM FUNCTIONS'!$BD$26</definedName>
    <definedName name="ZOSHSYS">'BOM FUNCTIONS'!$BD$27:$BE$27</definedName>
    <definedName name="ZOSJSYS">'BOM FUNCTIONS'!$BD$28:$BH$28</definedName>
    <definedName name="ZOSKSYS">'BOM FUNCTIONS'!$BD$29:$BG$29</definedName>
    <definedName name="ZOSLSYS">'BOM FUNCTIONS'!$BD$30:$BE$30</definedName>
    <definedName name="ZOSMSYS">'BOM FUNCTIONS'!$BD$31:$BH$31</definedName>
    <definedName name="zzzTEMP">OFFSET('BOM FUNCTIONS'!$AE$4,2,0,200-COUNTBLANK('BOM FUNCTIONS'!$AE$8:$AE$203),1)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2" i="74" l="1"/>
  <c r="C44" i="23" l="1"/>
  <c r="C53" i="22"/>
  <c r="D53" i="22"/>
  <c r="E53" i="22"/>
  <c r="C54" i="22"/>
  <c r="D54" i="22"/>
  <c r="E54" i="22"/>
  <c r="C55" i="22"/>
  <c r="D55" i="22"/>
  <c r="E55" i="22"/>
  <c r="C56" i="22"/>
  <c r="D56" i="22"/>
  <c r="E56" i="22"/>
  <c r="C57" i="22"/>
  <c r="D57" i="22"/>
  <c r="E57" i="22"/>
  <c r="C58" i="22"/>
  <c r="D58" i="22"/>
  <c r="E58" i="22"/>
  <c r="C59" i="22"/>
  <c r="D59" i="22"/>
  <c r="E59" i="22"/>
  <c r="C60" i="22"/>
  <c r="D60" i="22"/>
  <c r="E60" i="22"/>
  <c r="C61" i="22"/>
  <c r="D61" i="22"/>
  <c r="E61" i="22"/>
  <c r="E52" i="22"/>
  <c r="D52" i="22"/>
  <c r="C52" i="22"/>
  <c r="B52" i="22"/>
  <c r="B53" i="22"/>
  <c r="B54" i="22"/>
  <c r="B55" i="22"/>
  <c r="B56" i="22"/>
  <c r="B57" i="22"/>
  <c r="B58" i="22"/>
  <c r="B59" i="22"/>
  <c r="B60" i="22"/>
  <c r="B61" i="22"/>
  <c r="L7" i="115"/>
  <c r="L8" i="115"/>
  <c r="L9" i="115"/>
  <c r="L10" i="115"/>
  <c r="L11" i="115"/>
  <c r="L12" i="115"/>
  <c r="L13" i="115"/>
  <c r="L14" i="115"/>
  <c r="L15" i="115"/>
  <c r="L16" i="115"/>
  <c r="L17" i="115"/>
  <c r="L18" i="115"/>
  <c r="L19" i="115"/>
  <c r="L20" i="115"/>
  <c r="L21" i="115"/>
  <c r="L22" i="115"/>
  <c r="L23" i="115"/>
  <c r="L24" i="115"/>
  <c r="L25" i="115"/>
  <c r="L26" i="115"/>
  <c r="L27" i="115"/>
  <c r="L28" i="115"/>
  <c r="L29" i="115"/>
  <c r="L30" i="115"/>
  <c r="L31" i="115"/>
  <c r="L32" i="115"/>
  <c r="L33" i="115"/>
  <c r="L34" i="115"/>
  <c r="L35" i="115"/>
  <c r="L36" i="115"/>
  <c r="L37" i="115"/>
  <c r="L38" i="115"/>
  <c r="L39" i="115"/>
  <c r="L40" i="115"/>
  <c r="L41" i="115"/>
  <c r="L42" i="115"/>
  <c r="L43" i="115"/>
  <c r="L44" i="115"/>
  <c r="L45" i="115"/>
  <c r="L46" i="115"/>
  <c r="L47" i="115"/>
  <c r="L48" i="115"/>
  <c r="L49" i="115"/>
  <c r="L50" i="115"/>
  <c r="L51" i="115"/>
  <c r="L52" i="115"/>
  <c r="L53" i="115"/>
  <c r="L54" i="115"/>
  <c r="L55" i="115"/>
  <c r="L56" i="115"/>
  <c r="L57" i="115"/>
  <c r="L58" i="115"/>
  <c r="L59" i="115"/>
  <c r="L60" i="115"/>
  <c r="L61" i="115"/>
  <c r="L62" i="115"/>
  <c r="L63" i="115"/>
  <c r="L64" i="115"/>
  <c r="L65" i="115"/>
  <c r="L66" i="115"/>
  <c r="L67" i="115"/>
  <c r="L68" i="115"/>
  <c r="L69" i="115"/>
  <c r="L70" i="115"/>
  <c r="L71" i="115"/>
  <c r="L72" i="115"/>
  <c r="L73" i="115"/>
  <c r="L74" i="115"/>
  <c r="L75" i="115"/>
  <c r="L76" i="115"/>
  <c r="L77" i="115"/>
  <c r="L78" i="115"/>
  <c r="L79" i="115"/>
  <c r="L80" i="115"/>
  <c r="L81" i="115"/>
  <c r="L82" i="115"/>
  <c r="L83" i="115"/>
  <c r="L84" i="115"/>
  <c r="L85" i="115"/>
  <c r="L86" i="115"/>
  <c r="L87" i="115"/>
  <c r="L88" i="115"/>
  <c r="L89" i="115"/>
  <c r="L90" i="115"/>
  <c r="L91" i="115"/>
  <c r="L92" i="115"/>
  <c r="L93" i="115"/>
  <c r="L94" i="115"/>
  <c r="L95" i="115"/>
  <c r="L96" i="115"/>
  <c r="L97" i="115"/>
  <c r="L98" i="115"/>
  <c r="L99" i="115"/>
  <c r="L100" i="115"/>
  <c r="K7" i="115"/>
  <c r="K8" i="115"/>
  <c r="K9" i="115"/>
  <c r="K10" i="115"/>
  <c r="K11" i="115"/>
  <c r="K12" i="115"/>
  <c r="K13" i="115"/>
  <c r="K14" i="115"/>
  <c r="K15" i="115"/>
  <c r="K16" i="115"/>
  <c r="K17" i="115"/>
  <c r="K18" i="115"/>
  <c r="K19" i="115"/>
  <c r="K20" i="115"/>
  <c r="K21" i="115"/>
  <c r="K22" i="115"/>
  <c r="K23" i="115"/>
  <c r="K24" i="115"/>
  <c r="K25" i="115"/>
  <c r="K26" i="115"/>
  <c r="K27" i="115"/>
  <c r="K28" i="115"/>
  <c r="K29" i="115"/>
  <c r="K30" i="115"/>
  <c r="K31" i="115"/>
  <c r="K32" i="115"/>
  <c r="K33" i="115"/>
  <c r="K34" i="115"/>
  <c r="K35" i="115"/>
  <c r="K36" i="115"/>
  <c r="K37" i="115"/>
  <c r="K38" i="115"/>
  <c r="K39" i="115"/>
  <c r="K40" i="115"/>
  <c r="K41" i="115"/>
  <c r="K42" i="115"/>
  <c r="K43" i="115"/>
  <c r="K44" i="115"/>
  <c r="K45" i="115"/>
  <c r="K46" i="115"/>
  <c r="K47" i="115"/>
  <c r="K48" i="115"/>
  <c r="K49" i="115"/>
  <c r="K50" i="115"/>
  <c r="K51" i="115"/>
  <c r="K52" i="115"/>
  <c r="K53" i="115"/>
  <c r="K54" i="115"/>
  <c r="K55" i="115"/>
  <c r="K56" i="115"/>
  <c r="K57" i="115"/>
  <c r="K58" i="115"/>
  <c r="K59" i="115"/>
  <c r="K60" i="115"/>
  <c r="K61" i="115"/>
  <c r="K62" i="115"/>
  <c r="K63" i="115"/>
  <c r="K64" i="115"/>
  <c r="K65" i="115"/>
  <c r="K66" i="115"/>
  <c r="K67" i="115"/>
  <c r="K68" i="115"/>
  <c r="K69" i="115"/>
  <c r="K70" i="115"/>
  <c r="K71" i="115"/>
  <c r="K72" i="115"/>
  <c r="K73" i="115"/>
  <c r="K74" i="115"/>
  <c r="K75" i="115"/>
  <c r="K76" i="115"/>
  <c r="K77" i="115"/>
  <c r="K78" i="115"/>
  <c r="K79" i="115"/>
  <c r="K80" i="115"/>
  <c r="K81" i="115"/>
  <c r="K82" i="115"/>
  <c r="K83" i="115"/>
  <c r="K84" i="115"/>
  <c r="K85" i="115"/>
  <c r="K86" i="115"/>
  <c r="K87" i="115"/>
  <c r="K88" i="115"/>
  <c r="K89" i="115"/>
  <c r="K90" i="115"/>
  <c r="K91" i="115"/>
  <c r="K92" i="115"/>
  <c r="K93" i="115"/>
  <c r="K94" i="115"/>
  <c r="K95" i="115"/>
  <c r="K96" i="115"/>
  <c r="K97" i="115"/>
  <c r="K98" i="115"/>
  <c r="K99" i="115"/>
  <c r="K100" i="115"/>
  <c r="A7" i="40" l="1" a="1"/>
  <c r="A7" i="40" s="1"/>
  <c r="A8" i="40" a="1"/>
  <c r="A8" i="40" s="1"/>
  <c r="A9" i="40" a="1"/>
  <c r="A9" i="40" s="1"/>
  <c r="A10" i="40" a="1"/>
  <c r="A10" i="40" s="1"/>
  <c r="A11" i="40" a="1"/>
  <c r="A11" i="40" s="1"/>
  <c r="A12" i="40" a="1"/>
  <c r="A12" i="40" s="1"/>
  <c r="A13" i="40" a="1"/>
  <c r="A13" i="40" s="1"/>
  <c r="A14" i="40" a="1"/>
  <c r="A14" i="40" s="1"/>
  <c r="A15" i="40" a="1"/>
  <c r="A15" i="40" s="1"/>
  <c r="A16" i="40" a="1"/>
  <c r="A16" i="40"/>
  <c r="A17" i="40" a="1"/>
  <c r="A17" i="40" s="1"/>
  <c r="A18" i="40" a="1"/>
  <c r="A18" i="40" s="1"/>
  <c r="A19" i="40" a="1"/>
  <c r="A19" i="40" s="1"/>
  <c r="E26" i="66"/>
  <c r="E27" i="66"/>
  <c r="E28" i="66"/>
  <c r="E29" i="66"/>
  <c r="E30" i="66"/>
  <c r="E31" i="66"/>
  <c r="E32" i="66"/>
  <c r="E33" i="66"/>
  <c r="E34" i="66"/>
  <c r="E35" i="66"/>
  <c r="E36" i="66"/>
  <c r="E37" i="66"/>
  <c r="E38" i="66"/>
  <c r="AC19" i="40" l="1"/>
  <c r="J8" i="55" l="1"/>
  <c r="J9" i="55"/>
  <c r="J10" i="55"/>
  <c r="J11" i="55"/>
  <c r="J12" i="55"/>
  <c r="J13" i="55"/>
  <c r="J14" i="55"/>
  <c r="J15" i="55"/>
  <c r="J16" i="55"/>
  <c r="J17" i="55"/>
  <c r="J18" i="55"/>
  <c r="J19" i="55"/>
  <c r="J20" i="55"/>
  <c r="J21" i="55"/>
  <c r="J22" i="55"/>
  <c r="J23" i="55"/>
  <c r="J24" i="55"/>
  <c r="J25" i="55"/>
  <c r="J26" i="55"/>
  <c r="J27" i="55"/>
  <c r="J28" i="55"/>
  <c r="J29" i="55"/>
  <c r="J30" i="55"/>
  <c r="J31" i="55"/>
  <c r="J32" i="55"/>
  <c r="J33" i="55"/>
  <c r="J34" i="55"/>
  <c r="J35" i="55"/>
  <c r="J36" i="55"/>
  <c r="J37" i="55"/>
  <c r="J38" i="55"/>
  <c r="J39" i="55"/>
  <c r="J40" i="55"/>
  <c r="J41" i="55"/>
  <c r="M7" i="83" l="1"/>
  <c r="M8" i="83"/>
  <c r="M9" i="83"/>
  <c r="M10" i="83"/>
  <c r="M11" i="83"/>
  <c r="M12" i="83"/>
  <c r="M13" i="83"/>
  <c r="M14" i="83"/>
  <c r="M15" i="83"/>
  <c r="M16" i="83"/>
  <c r="M17" i="83"/>
  <c r="M18" i="83"/>
  <c r="M19" i="83"/>
  <c r="M20" i="83"/>
  <c r="M21" i="83"/>
  <c r="M22" i="83"/>
  <c r="M23" i="83"/>
  <c r="M24" i="83"/>
  <c r="M25" i="83"/>
  <c r="M26" i="83"/>
  <c r="M27" i="83"/>
  <c r="M28" i="83"/>
  <c r="M29" i="83"/>
  <c r="M30" i="83"/>
  <c r="M31" i="83"/>
  <c r="M32" i="83"/>
  <c r="M33" i="83"/>
  <c r="M34" i="83"/>
  <c r="M35" i="83"/>
  <c r="M36" i="83"/>
  <c r="M37" i="83"/>
  <c r="M38" i="83"/>
  <c r="M39" i="83"/>
  <c r="M40" i="83"/>
  <c r="H33" i="87" l="1"/>
  <c r="H29" i="87"/>
  <c r="H30" i="87"/>
  <c r="H31" i="87"/>
  <c r="H32" i="87"/>
  <c r="H28" i="87"/>
  <c r="H19" i="87"/>
  <c r="H20" i="87"/>
  <c r="H21" i="87"/>
  <c r="H22" i="87"/>
  <c r="H23" i="87"/>
  <c r="H24" i="87"/>
  <c r="H25" i="87"/>
  <c r="H26" i="87"/>
  <c r="H27" i="87"/>
  <c r="H18" i="87"/>
  <c r="H9" i="87"/>
  <c r="H10" i="87"/>
  <c r="H11" i="87"/>
  <c r="H12" i="87"/>
  <c r="H13" i="87"/>
  <c r="H14" i="87"/>
  <c r="H15" i="87"/>
  <c r="H16" i="87"/>
  <c r="H17" i="87"/>
  <c r="H8" i="87"/>
  <c r="AA19" i="40" l="1"/>
  <c r="B19" i="40"/>
  <c r="L19" i="40" l="1"/>
  <c r="E24" i="40"/>
  <c r="R19" i="40" a="1"/>
  <c r="R19" i="40" s="1"/>
  <c r="AC17" i="40"/>
  <c r="AC18" i="40"/>
  <c r="A20" i="40" a="1"/>
  <c r="A20" i="40" s="1"/>
  <c r="A21" i="40" a="1"/>
  <c r="A21" i="40" s="1"/>
  <c r="F21" i="40" s="1"/>
  <c r="A22" i="40" a="1"/>
  <c r="A22" i="40" s="1"/>
  <c r="A23" i="40" a="1"/>
  <c r="A23" i="40" s="1"/>
  <c r="A24" i="40" a="1"/>
  <c r="A24" i="40" s="1"/>
  <c r="A25" i="40" a="1"/>
  <c r="A25" i="40" s="1"/>
  <c r="A26" i="40" a="1"/>
  <c r="A26" i="40" s="1"/>
  <c r="A27" i="40" a="1"/>
  <c r="A27" i="40" s="1"/>
  <c r="A28" i="40" a="1"/>
  <c r="A28" i="40" s="1"/>
  <c r="A29" i="40" a="1"/>
  <c r="A29" i="40" s="1"/>
  <c r="F29" i="40" s="1"/>
  <c r="A30" i="40" a="1"/>
  <c r="A30" i="40" s="1"/>
  <c r="A31" i="40" a="1"/>
  <c r="A31" i="40" s="1"/>
  <c r="A32" i="40" a="1"/>
  <c r="A32" i="40" s="1"/>
  <c r="E32" i="40" s="1"/>
  <c r="A33" i="40" a="1"/>
  <c r="A33" i="40" s="1"/>
  <c r="A34" i="40" a="1"/>
  <c r="A34" i="40" s="1"/>
  <c r="A35" i="40" a="1"/>
  <c r="A35" i="40" s="1"/>
  <c r="A36" i="40" a="1"/>
  <c r="A36" i="40" s="1"/>
  <c r="A37" i="40" a="1"/>
  <c r="A37" i="40" s="1"/>
  <c r="F37" i="40" s="1"/>
  <c r="A38" i="40" a="1"/>
  <c r="A38" i="40" s="1"/>
  <c r="A39" i="40" a="1"/>
  <c r="A39" i="40"/>
  <c r="A40" i="40" a="1"/>
  <c r="A40" i="40" s="1"/>
  <c r="M40" i="40" s="1"/>
  <c r="A41" i="40" a="1"/>
  <c r="A41" i="40" s="1"/>
  <c r="H41" i="40" s="1"/>
  <c r="A42" i="40" a="1"/>
  <c r="A42" i="40" s="1"/>
  <c r="A43" i="40" a="1"/>
  <c r="A43" i="40" s="1"/>
  <c r="A44" i="40" a="1"/>
  <c r="A44" i="40" s="1"/>
  <c r="A45" i="40" a="1"/>
  <c r="A45" i="40" s="1"/>
  <c r="F45" i="40" s="1"/>
  <c r="A46" i="40" a="1"/>
  <c r="A46" i="40" s="1"/>
  <c r="A47" i="40" a="1"/>
  <c r="A47" i="40"/>
  <c r="A48" i="40" a="1"/>
  <c r="A48" i="40" s="1"/>
  <c r="A49" i="40" a="1"/>
  <c r="A49" i="40" s="1"/>
  <c r="A50" i="40" a="1"/>
  <c r="A50" i="40" s="1"/>
  <c r="A51" i="40" a="1"/>
  <c r="A51" i="40"/>
  <c r="A52" i="40" a="1"/>
  <c r="A52" i="40" s="1"/>
  <c r="A53" i="40" a="1"/>
  <c r="A53" i="40" s="1"/>
  <c r="A54" i="40" a="1"/>
  <c r="A54" i="40" s="1"/>
  <c r="A55" i="40" a="1"/>
  <c r="A55" i="40" s="1"/>
  <c r="A56" i="40" a="1"/>
  <c r="A56" i="40" s="1"/>
  <c r="A57" i="40" a="1"/>
  <c r="A57" i="40" s="1"/>
  <c r="A58" i="40" a="1"/>
  <c r="A58" i="40" s="1"/>
  <c r="A59" i="40" a="1"/>
  <c r="A59" i="40" s="1"/>
  <c r="A60" i="40" a="1"/>
  <c r="A60" i="40" s="1"/>
  <c r="D60" i="40" s="1"/>
  <c r="A61" i="40" a="1"/>
  <c r="A61" i="40" s="1"/>
  <c r="F61" i="40" s="1"/>
  <c r="A62" i="40" a="1"/>
  <c r="A62" i="40" s="1"/>
  <c r="A63" i="40" a="1"/>
  <c r="A63" i="40" s="1"/>
  <c r="A64" i="40" a="1"/>
  <c r="A64" i="40" s="1"/>
  <c r="A65" i="40" a="1"/>
  <c r="A65" i="40" s="1"/>
  <c r="A66" i="40" a="1"/>
  <c r="A66" i="40" s="1"/>
  <c r="A67" i="40" a="1"/>
  <c r="A67" i="40"/>
  <c r="R67" i="40" s="1" a="1"/>
  <c r="R67" i="40" s="1"/>
  <c r="A68" i="40" a="1"/>
  <c r="A68" i="40" s="1"/>
  <c r="A69" i="40" a="1"/>
  <c r="A69" i="40" s="1"/>
  <c r="A70" i="40" a="1"/>
  <c r="A70" i="40" s="1"/>
  <c r="A71" i="40" a="1"/>
  <c r="A71" i="40"/>
  <c r="A72" i="40" a="1"/>
  <c r="A72" i="40" s="1"/>
  <c r="E72" i="40" s="1"/>
  <c r="A73" i="40" a="1"/>
  <c r="A73" i="40" s="1"/>
  <c r="A74" i="40" a="1"/>
  <c r="A74" i="40" s="1"/>
  <c r="A75" i="40" a="1"/>
  <c r="A75" i="40" s="1"/>
  <c r="A76" i="40" a="1"/>
  <c r="A76" i="40" s="1"/>
  <c r="A77" i="40" a="1"/>
  <c r="A77" i="40" s="1"/>
  <c r="A78" i="40" a="1"/>
  <c r="A78" i="40" s="1"/>
  <c r="A79" i="40" a="1"/>
  <c r="A79" i="40"/>
  <c r="A80" i="40" a="1"/>
  <c r="A80" i="40" s="1"/>
  <c r="A81" i="40" a="1"/>
  <c r="A81" i="40" s="1"/>
  <c r="A82" i="40" a="1"/>
  <c r="A82" i="40" s="1"/>
  <c r="D82" i="40" s="1"/>
  <c r="A83" i="40" a="1"/>
  <c r="A83" i="40" s="1"/>
  <c r="R83" i="40" s="1" a="1"/>
  <c r="R83" i="40" s="1"/>
  <c r="A84" i="40" a="1"/>
  <c r="A84" i="40" s="1"/>
  <c r="A85" i="40" a="1"/>
  <c r="A85" i="40" s="1"/>
  <c r="A86" i="40" a="1"/>
  <c r="A86" i="40" s="1"/>
  <c r="A87" i="40" a="1"/>
  <c r="A87" i="40"/>
  <c r="A88" i="40" a="1"/>
  <c r="A88" i="40" s="1"/>
  <c r="E88" i="40" s="1"/>
  <c r="A89" i="40" a="1"/>
  <c r="A89" i="40" s="1"/>
  <c r="A90" i="40" a="1"/>
  <c r="A90" i="40" s="1"/>
  <c r="A91" i="40" a="1"/>
  <c r="A91" i="40" s="1"/>
  <c r="A92" i="40" a="1"/>
  <c r="A92" i="40" s="1"/>
  <c r="A93" i="40" a="1"/>
  <c r="A93" i="40" s="1"/>
  <c r="A94" i="40" a="1"/>
  <c r="A94" i="40" s="1"/>
  <c r="A95" i="40" a="1"/>
  <c r="A95" i="40" s="1"/>
  <c r="A96" i="40" a="1"/>
  <c r="A96" i="40" s="1"/>
  <c r="E96" i="40" s="1"/>
  <c r="A97" i="40" a="1"/>
  <c r="A97" i="40" s="1"/>
  <c r="A98" i="40" a="1"/>
  <c r="A98" i="40" s="1"/>
  <c r="A99" i="40" a="1"/>
  <c r="A99" i="40"/>
  <c r="R99" i="40" s="1" a="1"/>
  <c r="R99" i="40" s="1"/>
  <c r="A100" i="40" a="1"/>
  <c r="A100" i="40" s="1"/>
  <c r="A101" i="40" a="1"/>
  <c r="A101" i="40" s="1"/>
  <c r="F101" i="40" s="1"/>
  <c r="A102" i="40" a="1"/>
  <c r="A102" i="40" s="1"/>
  <c r="A103" i="40" a="1"/>
  <c r="A103" i="40" s="1"/>
  <c r="K5" i="115" l="1"/>
  <c r="K4" i="115"/>
  <c r="K3" i="115"/>
  <c r="L5" i="115"/>
  <c r="K6" i="115"/>
  <c r="L4" i="115"/>
  <c r="L3" i="115"/>
  <c r="L6" i="115"/>
  <c r="D55" i="40"/>
  <c r="AC55" i="40"/>
  <c r="B55" i="40"/>
  <c r="AA55" i="40"/>
  <c r="D95" i="40"/>
  <c r="AC95" i="40"/>
  <c r="B95" i="40"/>
  <c r="AA95" i="40"/>
  <c r="D23" i="40"/>
  <c r="AC23" i="40"/>
  <c r="B23" i="40"/>
  <c r="AA23" i="40"/>
  <c r="R103" i="40" a="1"/>
  <c r="R103" i="40" s="1"/>
  <c r="AC103" i="40"/>
  <c r="B103" i="40"/>
  <c r="AA103" i="40"/>
  <c r="S35" i="40" a="1"/>
  <c r="S35" i="40" s="1"/>
  <c r="AC35" i="40"/>
  <c r="AA35" i="40"/>
  <c r="B35" i="40"/>
  <c r="R35" i="40" a="1"/>
  <c r="R35" i="40" s="1"/>
  <c r="F74" i="40"/>
  <c r="AC74" i="40"/>
  <c r="B74" i="40"/>
  <c r="AA74" i="40"/>
  <c r="F34" i="40"/>
  <c r="AC34" i="40"/>
  <c r="B34" i="40"/>
  <c r="AA34" i="40"/>
  <c r="R80" i="40" a="1"/>
  <c r="R80" i="40" s="1"/>
  <c r="AC80" i="40"/>
  <c r="B80" i="40"/>
  <c r="AA80" i="40"/>
  <c r="E53" i="40"/>
  <c r="AC53" i="40"/>
  <c r="B53" i="40"/>
  <c r="AA53" i="40"/>
  <c r="F53" i="40"/>
  <c r="D74" i="40"/>
  <c r="M72" i="40"/>
  <c r="K54" i="40"/>
  <c r="AC54" i="40"/>
  <c r="B54" i="40"/>
  <c r="AA54" i="40"/>
  <c r="AC27" i="40"/>
  <c r="AA27" i="40"/>
  <c r="B27" i="40"/>
  <c r="E40" i="40"/>
  <c r="H33" i="40"/>
  <c r="AC33" i="40"/>
  <c r="B33" i="40"/>
  <c r="AA33" i="40"/>
  <c r="E93" i="40"/>
  <c r="AC93" i="40"/>
  <c r="AA93" i="40"/>
  <c r="B93" i="40"/>
  <c r="D79" i="40"/>
  <c r="AC79" i="40"/>
  <c r="B79" i="40"/>
  <c r="AA79" i="40"/>
  <c r="AC59" i="40"/>
  <c r="AA59" i="40"/>
  <c r="B59" i="40"/>
  <c r="M32" i="40"/>
  <c r="AC32" i="40"/>
  <c r="B32" i="40"/>
  <c r="AA32" i="40"/>
  <c r="AC92" i="40"/>
  <c r="AA92" i="40"/>
  <c r="B92" i="40"/>
  <c r="S85" i="40" a="1"/>
  <c r="S85" i="40" s="1"/>
  <c r="AC85" i="40"/>
  <c r="B85" i="40"/>
  <c r="AA85" i="40"/>
  <c r="D71" i="40"/>
  <c r="AC71" i="40"/>
  <c r="B71" i="40"/>
  <c r="AA71" i="40"/>
  <c r="H65" i="40"/>
  <c r="AC65" i="40"/>
  <c r="B65" i="40"/>
  <c r="AA65" i="40"/>
  <c r="F58" i="40"/>
  <c r="AC58" i="40"/>
  <c r="B58" i="40"/>
  <c r="AA58" i="40"/>
  <c r="AC51" i="40"/>
  <c r="AA51" i="40"/>
  <c r="B51" i="40"/>
  <c r="E45" i="40"/>
  <c r="AC45" i="40"/>
  <c r="B45" i="40"/>
  <c r="AA45" i="40"/>
  <c r="AC38" i="40"/>
  <c r="B38" i="40"/>
  <c r="AA38" i="40"/>
  <c r="AC31" i="40"/>
  <c r="B31" i="40"/>
  <c r="AA31" i="40"/>
  <c r="M24" i="40"/>
  <c r="AC24" i="40"/>
  <c r="B24" i="40"/>
  <c r="AA24" i="40"/>
  <c r="E80" i="40"/>
  <c r="D31" i="40"/>
  <c r="S93" i="40" a="1"/>
  <c r="S93" i="40" s="1"/>
  <c r="E61" i="40"/>
  <c r="AC61" i="40"/>
  <c r="AA61" i="40"/>
  <c r="B61" i="40"/>
  <c r="AC47" i="40"/>
  <c r="B47" i="40"/>
  <c r="AA47" i="40"/>
  <c r="AC73" i="40"/>
  <c r="B73" i="40"/>
  <c r="AA73" i="40"/>
  <c r="F26" i="40"/>
  <c r="AC26" i="40"/>
  <c r="B26" i="40"/>
  <c r="AA26" i="40"/>
  <c r="AC99" i="40"/>
  <c r="AA99" i="40"/>
  <c r="B99" i="40"/>
  <c r="F66" i="40"/>
  <c r="AC66" i="40"/>
  <c r="AA66" i="40"/>
  <c r="B66" i="40"/>
  <c r="AC25" i="40"/>
  <c r="B25" i="40"/>
  <c r="AA25" i="40"/>
  <c r="F98" i="40"/>
  <c r="AC98" i="40"/>
  <c r="AA98" i="40"/>
  <c r="B98" i="40"/>
  <c r="AC91" i="40"/>
  <c r="AA91" i="40"/>
  <c r="B91" i="40"/>
  <c r="AC84" i="40"/>
  <c r="AA84" i="40"/>
  <c r="B84" i="40"/>
  <c r="AC78" i="40"/>
  <c r="B78" i="40"/>
  <c r="AA78" i="40"/>
  <c r="M64" i="40"/>
  <c r="AC64" i="40"/>
  <c r="B64" i="40"/>
  <c r="AA64" i="40"/>
  <c r="AC57" i="40"/>
  <c r="B57" i="40"/>
  <c r="AA57" i="40"/>
  <c r="G44" i="40"/>
  <c r="AC44" i="40"/>
  <c r="AA44" i="40"/>
  <c r="B44" i="40"/>
  <c r="E37" i="40"/>
  <c r="AC37" i="40"/>
  <c r="AA37" i="40"/>
  <c r="B37" i="40"/>
  <c r="F93" i="40"/>
  <c r="H73" i="40"/>
  <c r="S51" i="40" a="1"/>
  <c r="S51" i="40" s="1"/>
  <c r="R87" i="40" a="1"/>
  <c r="R87" i="40" s="1"/>
  <c r="AC87" i="40"/>
  <c r="B87" i="40"/>
  <c r="AA87" i="40"/>
  <c r="AC100" i="40"/>
  <c r="AA100" i="40"/>
  <c r="B100" i="40"/>
  <c r="R72" i="40" a="1"/>
  <c r="R72" i="40" s="1"/>
  <c r="AC72" i="40"/>
  <c r="B72" i="40"/>
  <c r="AA72" i="40"/>
  <c r="AC46" i="40"/>
  <c r="B46" i="40"/>
  <c r="AA46" i="40"/>
  <c r="F97" i="40"/>
  <c r="AC97" i="40"/>
  <c r="B97" i="40"/>
  <c r="AA97" i="40"/>
  <c r="F90" i="40"/>
  <c r="AC90" i="40"/>
  <c r="B90" i="40"/>
  <c r="AA90" i="40"/>
  <c r="AC83" i="40"/>
  <c r="AA83" i="40"/>
  <c r="B83" i="40"/>
  <c r="E77" i="40"/>
  <c r="AC77" i="40"/>
  <c r="AA77" i="40"/>
  <c r="B77" i="40"/>
  <c r="AC70" i="40"/>
  <c r="B70" i="40"/>
  <c r="AA70" i="40"/>
  <c r="AC63" i="40"/>
  <c r="B63" i="40"/>
  <c r="AA63" i="40"/>
  <c r="M56" i="40"/>
  <c r="AC56" i="40"/>
  <c r="AA56" i="40"/>
  <c r="B56" i="40"/>
  <c r="F50" i="40"/>
  <c r="AC50" i="40"/>
  <c r="AA50" i="40"/>
  <c r="B50" i="40"/>
  <c r="AC43" i="40"/>
  <c r="AA43" i="40"/>
  <c r="B43" i="40"/>
  <c r="AC36" i="40"/>
  <c r="AA36" i="40"/>
  <c r="B36" i="40"/>
  <c r="AC30" i="40"/>
  <c r="B30" i="40"/>
  <c r="AA30" i="40"/>
  <c r="E64" i="40"/>
  <c r="F85" i="40"/>
  <c r="T72" i="40" a="1"/>
  <c r="T72" i="40" s="1"/>
  <c r="AC81" i="40"/>
  <c r="B81" i="40"/>
  <c r="AA81" i="40"/>
  <c r="AC67" i="40"/>
  <c r="AA67" i="40"/>
  <c r="B67" i="40"/>
  <c r="AC20" i="40"/>
  <c r="AA20" i="40"/>
  <c r="B20" i="40"/>
  <c r="AC94" i="40"/>
  <c r="B94" i="40"/>
  <c r="AA94" i="40"/>
  <c r="AC60" i="40"/>
  <c r="AA60" i="40"/>
  <c r="B60" i="40"/>
  <c r="AC39" i="40"/>
  <c r="B39" i="40"/>
  <c r="AA39" i="40"/>
  <c r="K86" i="40"/>
  <c r="AC86" i="40"/>
  <c r="B86" i="40"/>
  <c r="AA86" i="40"/>
  <c r="AC52" i="40"/>
  <c r="AA52" i="40"/>
  <c r="B52" i="40"/>
  <c r="M96" i="40"/>
  <c r="AC96" i="40"/>
  <c r="AA96" i="40"/>
  <c r="B96" i="40"/>
  <c r="AC89" i="40"/>
  <c r="B89" i="40"/>
  <c r="AA89" i="40"/>
  <c r="G76" i="40"/>
  <c r="AC76" i="40"/>
  <c r="AA76" i="40"/>
  <c r="B76" i="40"/>
  <c r="Y69" i="40"/>
  <c r="AC69" i="40"/>
  <c r="AA69" i="40"/>
  <c r="B69" i="40"/>
  <c r="AC49" i="40"/>
  <c r="B49" i="40"/>
  <c r="AA49" i="40"/>
  <c r="F42" i="40"/>
  <c r="AC42" i="40"/>
  <c r="B42" i="40"/>
  <c r="AA42" i="40"/>
  <c r="AD29" i="40"/>
  <c r="AC29" i="40"/>
  <c r="AA29" i="40"/>
  <c r="B29" i="40"/>
  <c r="K22" i="40"/>
  <c r="AC22" i="40"/>
  <c r="B22" i="40"/>
  <c r="AA22" i="40"/>
  <c r="R51" i="40" a="1"/>
  <c r="R51" i="40" s="1"/>
  <c r="E56" i="40"/>
  <c r="F77" i="40"/>
  <c r="D98" i="40"/>
  <c r="L83" i="40"/>
  <c r="Y90" i="40"/>
  <c r="E101" i="40"/>
  <c r="AC101" i="40"/>
  <c r="B101" i="40"/>
  <c r="AA101" i="40"/>
  <c r="AC40" i="40"/>
  <c r="B40" i="40"/>
  <c r="AA40" i="40"/>
  <c r="AC102" i="40"/>
  <c r="B102" i="40"/>
  <c r="AA102" i="40"/>
  <c r="M88" i="40"/>
  <c r="AC88" i="40"/>
  <c r="AA88" i="40"/>
  <c r="B88" i="40"/>
  <c r="O82" i="40" a="1"/>
  <c r="O82" i="40" s="1"/>
  <c r="AC82" i="40"/>
  <c r="B82" i="40"/>
  <c r="AA82" i="40"/>
  <c r="AC75" i="40"/>
  <c r="AA75" i="40"/>
  <c r="B75" i="40"/>
  <c r="AC68" i="40"/>
  <c r="AA68" i="40"/>
  <c r="B68" i="40"/>
  <c r="AC62" i="40"/>
  <c r="B62" i="40"/>
  <c r="AA62" i="40"/>
  <c r="R48" i="40" a="1"/>
  <c r="R48" i="40" s="1"/>
  <c r="AC48" i="40"/>
  <c r="AA48" i="40"/>
  <c r="B48" i="40"/>
  <c r="AC41" i="40"/>
  <c r="B41" i="40"/>
  <c r="AA41" i="40"/>
  <c r="AC28" i="40"/>
  <c r="AA28" i="40"/>
  <c r="B28" i="40"/>
  <c r="E21" i="40"/>
  <c r="AC21" i="40"/>
  <c r="AA21" i="40"/>
  <c r="B21" i="40"/>
  <c r="E48" i="40"/>
  <c r="F69" i="40"/>
  <c r="D90" i="40"/>
  <c r="L51" i="40"/>
  <c r="AD61" i="40"/>
  <c r="AE7" i="40"/>
  <c r="T7" i="40" s="1" a="1"/>
  <c r="T7" i="40" s="1"/>
  <c r="AE91" i="40"/>
  <c r="O91" i="40" a="1"/>
  <c r="O91" i="40" s="1"/>
  <c r="AD91" i="40"/>
  <c r="Y91" i="40"/>
  <c r="T91" i="40" a="1"/>
  <c r="T91" i="40" s="1"/>
  <c r="K91" i="40"/>
  <c r="S91" i="40" a="1"/>
  <c r="S91" i="40" s="1"/>
  <c r="H91" i="40"/>
  <c r="M91" i="40"/>
  <c r="F91" i="40"/>
  <c r="E91" i="40"/>
  <c r="G91" i="40"/>
  <c r="L91" i="40"/>
  <c r="D91" i="40"/>
  <c r="R91" i="40" a="1"/>
  <c r="R91" i="40" s="1"/>
  <c r="AE43" i="40"/>
  <c r="O43" i="40" a="1"/>
  <c r="O43" i="40" s="1"/>
  <c r="AD43" i="40"/>
  <c r="Y43" i="40"/>
  <c r="T43" i="40" a="1"/>
  <c r="T43" i="40" s="1"/>
  <c r="K43" i="40"/>
  <c r="H43" i="40"/>
  <c r="M43" i="40"/>
  <c r="F43" i="40"/>
  <c r="S43" i="40" a="1"/>
  <c r="S43" i="40" s="1"/>
  <c r="D43" i="40"/>
  <c r="E43" i="40"/>
  <c r="G43" i="40"/>
  <c r="L43" i="40"/>
  <c r="R43" i="40" a="1"/>
  <c r="R43" i="40" s="1"/>
  <c r="AE27" i="40"/>
  <c r="O27" i="40" a="1"/>
  <c r="O27" i="40" s="1"/>
  <c r="AD27" i="40"/>
  <c r="Y27" i="40"/>
  <c r="T27" i="40" a="1"/>
  <c r="T27" i="40" s="1"/>
  <c r="K27" i="40"/>
  <c r="H27" i="40"/>
  <c r="M27" i="40"/>
  <c r="F27" i="40"/>
  <c r="S27" i="40" a="1"/>
  <c r="S27" i="40" s="1"/>
  <c r="D27" i="40"/>
  <c r="E27" i="40"/>
  <c r="G27" i="40"/>
  <c r="L27" i="40"/>
  <c r="R27" i="40" a="1"/>
  <c r="R27" i="40" s="1"/>
  <c r="AE59" i="40"/>
  <c r="O59" i="40" a="1"/>
  <c r="O59" i="40" s="1"/>
  <c r="AD59" i="40"/>
  <c r="Y59" i="40"/>
  <c r="T59" i="40" a="1"/>
  <c r="T59" i="40" s="1"/>
  <c r="K59" i="40"/>
  <c r="H59" i="40"/>
  <c r="M59" i="40"/>
  <c r="F59" i="40"/>
  <c r="S59" i="40" a="1"/>
  <c r="S59" i="40" s="1"/>
  <c r="E59" i="40"/>
  <c r="G59" i="40"/>
  <c r="D59" i="40"/>
  <c r="L59" i="40"/>
  <c r="R59" i="40" a="1"/>
  <c r="R59" i="40" s="1"/>
  <c r="AE75" i="40"/>
  <c r="O75" i="40" a="1"/>
  <c r="O75" i="40" s="1"/>
  <c r="AD75" i="40"/>
  <c r="Y75" i="40"/>
  <c r="T75" i="40" a="1"/>
  <c r="T75" i="40" s="1"/>
  <c r="K75" i="40"/>
  <c r="S75" i="40" a="1"/>
  <c r="S75" i="40" s="1"/>
  <c r="H75" i="40"/>
  <c r="M75" i="40"/>
  <c r="F75" i="40"/>
  <c r="E75" i="40"/>
  <c r="G75" i="40"/>
  <c r="D75" i="40"/>
  <c r="R75" i="40" a="1"/>
  <c r="R75" i="40" s="1"/>
  <c r="L75" i="40"/>
  <c r="R96" i="40" a="1"/>
  <c r="R96" i="40" s="1"/>
  <c r="R88" i="40" a="1"/>
  <c r="R88" i="40" s="1"/>
  <c r="R64" i="40" a="1"/>
  <c r="R64" i="40" s="1"/>
  <c r="R56" i="40" a="1"/>
  <c r="R56" i="40" s="1"/>
  <c r="R40" i="40" a="1"/>
  <c r="R40" i="40" s="1"/>
  <c r="R32" i="40" a="1"/>
  <c r="R32" i="40" s="1"/>
  <c r="R24" i="40" a="1"/>
  <c r="R24" i="40" s="1"/>
  <c r="E85" i="40"/>
  <c r="E69" i="40"/>
  <c r="E29" i="40"/>
  <c r="F82" i="40"/>
  <c r="D103" i="40"/>
  <c r="D87" i="40"/>
  <c r="H97" i="40"/>
  <c r="T56" i="40" a="1"/>
  <c r="T56" i="40" s="1"/>
  <c r="AE100" i="40"/>
  <c r="Y100" i="40"/>
  <c r="O100" i="40" a="1"/>
  <c r="O100" i="40" s="1"/>
  <c r="AD100" i="40"/>
  <c r="L100" i="40"/>
  <c r="T100" i="40" a="1"/>
  <c r="T100" i="40" s="1"/>
  <c r="K100" i="40"/>
  <c r="H100" i="40"/>
  <c r="D100" i="40"/>
  <c r="M100" i="40"/>
  <c r="F100" i="40"/>
  <c r="S100" i="40" a="1"/>
  <c r="S100" i="40" s="1"/>
  <c r="AE94" i="40"/>
  <c r="AD94" i="40"/>
  <c r="O94" i="40" a="1"/>
  <c r="O94" i="40" s="1"/>
  <c r="T94" i="40" a="1"/>
  <c r="T94" i="40" s="1"/>
  <c r="Y94" i="40"/>
  <c r="S94" i="40" a="1"/>
  <c r="S94" i="40" s="1"/>
  <c r="H94" i="40"/>
  <c r="M94" i="40"/>
  <c r="G94" i="40"/>
  <c r="L94" i="40"/>
  <c r="E94" i="40"/>
  <c r="R94" i="40" a="1"/>
  <c r="R94" i="40" s="1"/>
  <c r="AE84" i="40"/>
  <c r="Y84" i="40"/>
  <c r="O84" i="40" a="1"/>
  <c r="O84" i="40" s="1"/>
  <c r="AD84" i="40"/>
  <c r="L84" i="40"/>
  <c r="T84" i="40" a="1"/>
  <c r="T84" i="40" s="1"/>
  <c r="K84" i="40"/>
  <c r="H84" i="40"/>
  <c r="D84" i="40"/>
  <c r="M84" i="40"/>
  <c r="F84" i="40"/>
  <c r="S84" i="40" a="1"/>
  <c r="S84" i="40" s="1"/>
  <c r="AE81" i="40"/>
  <c r="Y81" i="40"/>
  <c r="T81" i="40" a="1"/>
  <c r="T81" i="40" s="1"/>
  <c r="AD81" i="40"/>
  <c r="M81" i="40"/>
  <c r="G81" i="40"/>
  <c r="L81" i="40"/>
  <c r="K81" i="40"/>
  <c r="R81" i="40" a="1"/>
  <c r="R81" i="40" s="1"/>
  <c r="S81" i="40" a="1"/>
  <c r="S81" i="40" s="1"/>
  <c r="D81" i="40"/>
  <c r="O81" i="40" a="1"/>
  <c r="O81" i="40" s="1"/>
  <c r="AE78" i="40"/>
  <c r="AD78" i="40"/>
  <c r="O78" i="40" a="1"/>
  <c r="O78" i="40" s="1"/>
  <c r="T78" i="40" a="1"/>
  <c r="T78" i="40" s="1"/>
  <c r="S78" i="40" a="1"/>
  <c r="S78" i="40" s="1"/>
  <c r="H78" i="40"/>
  <c r="M78" i="40"/>
  <c r="G78" i="40"/>
  <c r="Y78" i="40"/>
  <c r="L78" i="40"/>
  <c r="E78" i="40"/>
  <c r="R78" i="40" a="1"/>
  <c r="R78" i="40" s="1"/>
  <c r="AE71" i="40"/>
  <c r="O71" i="40" a="1"/>
  <c r="O71" i="40" s="1"/>
  <c r="AD71" i="40"/>
  <c r="Y71" i="40"/>
  <c r="K71" i="40"/>
  <c r="S71" i="40" a="1"/>
  <c r="S71" i="40" s="1"/>
  <c r="H71" i="40"/>
  <c r="G71" i="40"/>
  <c r="F71" i="40"/>
  <c r="L71" i="40"/>
  <c r="E71" i="40"/>
  <c r="T71" i="40" a="1"/>
  <c r="T71" i="40" s="1"/>
  <c r="M71" i="40"/>
  <c r="AE68" i="40"/>
  <c r="Y68" i="40"/>
  <c r="O68" i="40" a="1"/>
  <c r="O68" i="40" s="1"/>
  <c r="S68" i="40" a="1"/>
  <c r="S68" i="40" s="1"/>
  <c r="AD68" i="40"/>
  <c r="L68" i="40"/>
  <c r="T68" i="40" a="1"/>
  <c r="T68" i="40" s="1"/>
  <c r="K68" i="40"/>
  <c r="H68" i="40"/>
  <c r="M68" i="40"/>
  <c r="D68" i="40"/>
  <c r="F68" i="40"/>
  <c r="AE65" i="40"/>
  <c r="Y65" i="40"/>
  <c r="T65" i="40" a="1"/>
  <c r="T65" i="40" s="1"/>
  <c r="AD65" i="40"/>
  <c r="S65" i="40" a="1"/>
  <c r="S65" i="40" s="1"/>
  <c r="M65" i="40"/>
  <c r="G65" i="40"/>
  <c r="L65" i="40"/>
  <c r="D65" i="40"/>
  <c r="O65" i="40" a="1"/>
  <c r="O65" i="40" s="1"/>
  <c r="K65" i="40"/>
  <c r="R65" i="40" a="1"/>
  <c r="R65" i="40" s="1"/>
  <c r="AE62" i="40"/>
  <c r="AD62" i="40"/>
  <c r="O62" i="40" a="1"/>
  <c r="O62" i="40" s="1"/>
  <c r="T62" i="40" a="1"/>
  <c r="T62" i="40" s="1"/>
  <c r="Y62" i="40"/>
  <c r="S62" i="40" a="1"/>
  <c r="S62" i="40" s="1"/>
  <c r="H62" i="40"/>
  <c r="M62" i="40"/>
  <c r="G62" i="40"/>
  <c r="L62" i="40"/>
  <c r="D62" i="40"/>
  <c r="E62" i="40"/>
  <c r="R62" i="40" a="1"/>
  <c r="R62" i="40" s="1"/>
  <c r="AE55" i="40"/>
  <c r="O55" i="40" a="1"/>
  <c r="O55" i="40" s="1"/>
  <c r="AD55" i="40"/>
  <c r="Y55" i="40"/>
  <c r="K55" i="40"/>
  <c r="S55" i="40" a="1"/>
  <c r="S55" i="40" s="1"/>
  <c r="H55" i="40"/>
  <c r="G55" i="40"/>
  <c r="F55" i="40"/>
  <c r="L55" i="40"/>
  <c r="E55" i="40"/>
  <c r="T55" i="40" a="1"/>
  <c r="T55" i="40" s="1"/>
  <c r="M55" i="40"/>
  <c r="AE52" i="40"/>
  <c r="Y52" i="40"/>
  <c r="O52" i="40" a="1"/>
  <c r="O52" i="40" s="1"/>
  <c r="S52" i="40" a="1"/>
  <c r="S52" i="40" s="1"/>
  <c r="AD52" i="40"/>
  <c r="L52" i="40"/>
  <c r="D52" i="40"/>
  <c r="T52" i="40" a="1"/>
  <c r="T52" i="40" s="1"/>
  <c r="K52" i="40"/>
  <c r="H52" i="40"/>
  <c r="M52" i="40"/>
  <c r="F52" i="40"/>
  <c r="AE49" i="40"/>
  <c r="Y49" i="40"/>
  <c r="T49" i="40" a="1"/>
  <c r="T49" i="40" s="1"/>
  <c r="AD49" i="40"/>
  <c r="S49" i="40" a="1"/>
  <c r="S49" i="40" s="1"/>
  <c r="M49" i="40"/>
  <c r="G49" i="40"/>
  <c r="L49" i="40"/>
  <c r="D49" i="40"/>
  <c r="K49" i="40"/>
  <c r="R49" i="40" a="1"/>
  <c r="R49" i="40" s="1"/>
  <c r="O49" i="40" a="1"/>
  <c r="O49" i="40" s="1"/>
  <c r="AE46" i="40"/>
  <c r="AD46" i="40"/>
  <c r="O46" i="40" a="1"/>
  <c r="O46" i="40" s="1"/>
  <c r="T46" i="40" a="1"/>
  <c r="T46" i="40" s="1"/>
  <c r="S46" i="40" a="1"/>
  <c r="S46" i="40" s="1"/>
  <c r="H46" i="40"/>
  <c r="M46" i="40"/>
  <c r="G46" i="40"/>
  <c r="L46" i="40"/>
  <c r="E46" i="40"/>
  <c r="R46" i="40" a="1"/>
  <c r="R46" i="40" s="1"/>
  <c r="Y46" i="40"/>
  <c r="D46" i="40"/>
  <c r="AE39" i="40"/>
  <c r="O39" i="40" a="1"/>
  <c r="O39" i="40" s="1"/>
  <c r="AD39" i="40"/>
  <c r="Y39" i="40"/>
  <c r="K39" i="40"/>
  <c r="S39" i="40" a="1"/>
  <c r="S39" i="40" s="1"/>
  <c r="H39" i="40"/>
  <c r="G39" i="40"/>
  <c r="F39" i="40"/>
  <c r="L39" i="40"/>
  <c r="E39" i="40"/>
  <c r="T39" i="40" a="1"/>
  <c r="T39" i="40" s="1"/>
  <c r="M39" i="40"/>
  <c r="AE36" i="40"/>
  <c r="Y36" i="40"/>
  <c r="O36" i="40" a="1"/>
  <c r="O36" i="40" s="1"/>
  <c r="S36" i="40" a="1"/>
  <c r="S36" i="40" s="1"/>
  <c r="AD36" i="40"/>
  <c r="L36" i="40"/>
  <c r="D36" i="40"/>
  <c r="T36" i="40" a="1"/>
  <c r="T36" i="40" s="1"/>
  <c r="K36" i="40"/>
  <c r="H36" i="40"/>
  <c r="M36" i="40"/>
  <c r="F36" i="40"/>
  <c r="AE33" i="40"/>
  <c r="Y33" i="40"/>
  <c r="T33" i="40" a="1"/>
  <c r="T33" i="40" s="1"/>
  <c r="AD33" i="40"/>
  <c r="S33" i="40" a="1"/>
  <c r="S33" i="40" s="1"/>
  <c r="M33" i="40"/>
  <c r="G33" i="40"/>
  <c r="L33" i="40"/>
  <c r="D33" i="40"/>
  <c r="O33" i="40" a="1"/>
  <c r="O33" i="40" s="1"/>
  <c r="K33" i="40"/>
  <c r="R33" i="40" a="1"/>
  <c r="R33" i="40" s="1"/>
  <c r="AE30" i="40"/>
  <c r="AD30" i="40"/>
  <c r="O30" i="40" a="1"/>
  <c r="O30" i="40" s="1"/>
  <c r="T30" i="40" a="1"/>
  <c r="T30" i="40" s="1"/>
  <c r="Y30" i="40"/>
  <c r="S30" i="40" a="1"/>
  <c r="S30" i="40" s="1"/>
  <c r="H30" i="40"/>
  <c r="M30" i="40"/>
  <c r="G30" i="40"/>
  <c r="L30" i="40"/>
  <c r="E30" i="40"/>
  <c r="R30" i="40" a="1"/>
  <c r="R30" i="40" s="1"/>
  <c r="D30" i="40"/>
  <c r="AE23" i="40"/>
  <c r="O23" i="40" a="1"/>
  <c r="O23" i="40" s="1"/>
  <c r="AD23" i="40"/>
  <c r="Y23" i="40"/>
  <c r="K23" i="40"/>
  <c r="S23" i="40" a="1"/>
  <c r="S23" i="40" s="1"/>
  <c r="H23" i="40"/>
  <c r="G23" i="40"/>
  <c r="F23" i="40"/>
  <c r="L23" i="40"/>
  <c r="E23" i="40"/>
  <c r="T23" i="40" a="1"/>
  <c r="T23" i="40" s="1"/>
  <c r="M23" i="40"/>
  <c r="AE20" i="40"/>
  <c r="Y20" i="40"/>
  <c r="O20" i="40" a="1"/>
  <c r="O20" i="40" s="1"/>
  <c r="S20" i="40" a="1"/>
  <c r="S20" i="40" s="1"/>
  <c r="AD20" i="40"/>
  <c r="L20" i="40"/>
  <c r="D20" i="40"/>
  <c r="T20" i="40" a="1"/>
  <c r="T20" i="40" s="1"/>
  <c r="K20" i="40"/>
  <c r="H20" i="40"/>
  <c r="M20" i="40"/>
  <c r="F20" i="40"/>
  <c r="G84" i="40"/>
  <c r="G52" i="40"/>
  <c r="G20" i="40"/>
  <c r="K94" i="40"/>
  <c r="K62" i="40"/>
  <c r="K30" i="40"/>
  <c r="AE99" i="40"/>
  <c r="O99" i="40" a="1"/>
  <c r="O99" i="40" s="1"/>
  <c r="AD99" i="40"/>
  <c r="T99" i="40" a="1"/>
  <c r="T99" i="40" s="1"/>
  <c r="K99" i="40"/>
  <c r="S99" i="40" a="1"/>
  <c r="S99" i="40" s="1"/>
  <c r="H99" i="40"/>
  <c r="Y99" i="40"/>
  <c r="M99" i="40"/>
  <c r="F99" i="40"/>
  <c r="E99" i="40"/>
  <c r="G99" i="40"/>
  <c r="AE96" i="40"/>
  <c r="Y96" i="40"/>
  <c r="O96" i="40" a="1"/>
  <c r="O96" i="40" s="1"/>
  <c r="AD96" i="40"/>
  <c r="L96" i="40"/>
  <c r="K96" i="40"/>
  <c r="S96" i="40" a="1"/>
  <c r="S96" i="40" s="1"/>
  <c r="D96" i="40"/>
  <c r="T96" i="40" a="1"/>
  <c r="T96" i="40" s="1"/>
  <c r="G96" i="40"/>
  <c r="F96" i="40"/>
  <c r="H96" i="40"/>
  <c r="AE93" i="40"/>
  <c r="O93" i="40" a="1"/>
  <c r="O93" i="40" s="1"/>
  <c r="T93" i="40" a="1"/>
  <c r="T93" i="40" s="1"/>
  <c r="Y93" i="40"/>
  <c r="M93" i="40"/>
  <c r="G93" i="40"/>
  <c r="L93" i="40"/>
  <c r="R93" i="40" a="1"/>
  <c r="R93" i="40" s="1"/>
  <c r="H93" i="40"/>
  <c r="D93" i="40"/>
  <c r="K93" i="40"/>
  <c r="AE90" i="40"/>
  <c r="AD90" i="40"/>
  <c r="T90" i="40" a="1"/>
  <c r="T90" i="40" s="1"/>
  <c r="S90" i="40" a="1"/>
  <c r="S90" i="40" s="1"/>
  <c r="H90" i="40"/>
  <c r="O90" i="40" a="1"/>
  <c r="O90" i="40" s="1"/>
  <c r="M90" i="40"/>
  <c r="G90" i="40"/>
  <c r="E90" i="40"/>
  <c r="K90" i="40"/>
  <c r="R90" i="40" a="1"/>
  <c r="R90" i="40" s="1"/>
  <c r="L90" i="40"/>
  <c r="AE83" i="40"/>
  <c r="O83" i="40" a="1"/>
  <c r="O83" i="40" s="1"/>
  <c r="AD83" i="40"/>
  <c r="Y83" i="40"/>
  <c r="T83" i="40" a="1"/>
  <c r="T83" i="40" s="1"/>
  <c r="K83" i="40"/>
  <c r="S83" i="40" a="1"/>
  <c r="S83" i="40" s="1"/>
  <c r="H83" i="40"/>
  <c r="M83" i="40"/>
  <c r="F83" i="40"/>
  <c r="E83" i="40"/>
  <c r="G83" i="40"/>
  <c r="AE80" i="40"/>
  <c r="Y80" i="40"/>
  <c r="O80" i="40" a="1"/>
  <c r="O80" i="40" s="1"/>
  <c r="AD80" i="40"/>
  <c r="L80" i="40"/>
  <c r="K80" i="40"/>
  <c r="S80" i="40" a="1"/>
  <c r="S80" i="40" s="1"/>
  <c r="D80" i="40"/>
  <c r="T80" i="40" a="1"/>
  <c r="T80" i="40" s="1"/>
  <c r="G80" i="40"/>
  <c r="F80" i="40"/>
  <c r="H80" i="40"/>
  <c r="AE77" i="40"/>
  <c r="O77" i="40" a="1"/>
  <c r="O77" i="40" s="1"/>
  <c r="T77" i="40" a="1"/>
  <c r="T77" i="40" s="1"/>
  <c r="Y77" i="40"/>
  <c r="M77" i="40"/>
  <c r="G77" i="40"/>
  <c r="L77" i="40"/>
  <c r="R77" i="40" a="1"/>
  <c r="R77" i="40" s="1"/>
  <c r="AD77" i="40"/>
  <c r="H77" i="40"/>
  <c r="D77" i="40"/>
  <c r="K77" i="40"/>
  <c r="AE74" i="40"/>
  <c r="AD74" i="40"/>
  <c r="T74" i="40" a="1"/>
  <c r="T74" i="40" s="1"/>
  <c r="S74" i="40" a="1"/>
  <c r="S74" i="40" s="1"/>
  <c r="H74" i="40"/>
  <c r="O74" i="40" a="1"/>
  <c r="O74" i="40" s="1"/>
  <c r="Y74" i="40"/>
  <c r="M74" i="40"/>
  <c r="G74" i="40"/>
  <c r="E74" i="40"/>
  <c r="K74" i="40"/>
  <c r="R74" i="40" a="1"/>
  <c r="R74" i="40" s="1"/>
  <c r="L74" i="40"/>
  <c r="AE67" i="40"/>
  <c r="O67" i="40" a="1"/>
  <c r="O67" i="40" s="1"/>
  <c r="AD67" i="40"/>
  <c r="T67" i="40" a="1"/>
  <c r="T67" i="40" s="1"/>
  <c r="K67" i="40"/>
  <c r="H67" i="40"/>
  <c r="M67" i="40"/>
  <c r="D67" i="40"/>
  <c r="F67" i="40"/>
  <c r="E67" i="40"/>
  <c r="Y67" i="40"/>
  <c r="G67" i="40"/>
  <c r="AE64" i="40"/>
  <c r="Y64" i="40"/>
  <c r="O64" i="40" a="1"/>
  <c r="O64" i="40" s="1"/>
  <c r="AD64" i="40"/>
  <c r="S64" i="40" a="1"/>
  <c r="S64" i="40" s="1"/>
  <c r="L64" i="40"/>
  <c r="K64" i="40"/>
  <c r="T64" i="40" a="1"/>
  <c r="T64" i="40" s="1"/>
  <c r="G64" i="40"/>
  <c r="F64" i="40"/>
  <c r="H64" i="40"/>
  <c r="D64" i="40"/>
  <c r="AE61" i="40"/>
  <c r="O61" i="40" a="1"/>
  <c r="O61" i="40" s="1"/>
  <c r="T61" i="40" a="1"/>
  <c r="T61" i="40" s="1"/>
  <c r="Y61" i="40"/>
  <c r="S61" i="40" a="1"/>
  <c r="S61" i="40" s="1"/>
  <c r="M61" i="40"/>
  <c r="G61" i="40"/>
  <c r="L61" i="40"/>
  <c r="D61" i="40"/>
  <c r="R61" i="40" a="1"/>
  <c r="R61" i="40" s="1"/>
  <c r="H61" i="40"/>
  <c r="K61" i="40"/>
  <c r="AE58" i="40"/>
  <c r="AD58" i="40"/>
  <c r="T58" i="40" a="1"/>
  <c r="T58" i="40" s="1"/>
  <c r="H58" i="40"/>
  <c r="O58" i="40" a="1"/>
  <c r="O58" i="40" s="1"/>
  <c r="M58" i="40"/>
  <c r="G58" i="40"/>
  <c r="S58" i="40" a="1"/>
  <c r="S58" i="40" s="1"/>
  <c r="E58" i="40"/>
  <c r="Y58" i="40"/>
  <c r="K58" i="40"/>
  <c r="D58" i="40"/>
  <c r="R58" i="40" a="1"/>
  <c r="R58" i="40" s="1"/>
  <c r="L58" i="40"/>
  <c r="AE51" i="40"/>
  <c r="O51" i="40" a="1"/>
  <c r="O51" i="40" s="1"/>
  <c r="AD51" i="40"/>
  <c r="Y51" i="40"/>
  <c r="T51" i="40" a="1"/>
  <c r="T51" i="40" s="1"/>
  <c r="K51" i="40"/>
  <c r="H51" i="40"/>
  <c r="M51" i="40"/>
  <c r="F51" i="40"/>
  <c r="D51" i="40"/>
  <c r="E51" i="40"/>
  <c r="G51" i="40"/>
  <c r="AE48" i="40"/>
  <c r="Y48" i="40"/>
  <c r="O48" i="40" a="1"/>
  <c r="O48" i="40" s="1"/>
  <c r="AD48" i="40"/>
  <c r="S48" i="40" a="1"/>
  <c r="S48" i="40" s="1"/>
  <c r="L48" i="40"/>
  <c r="D48" i="40"/>
  <c r="K48" i="40"/>
  <c r="T48" i="40" a="1"/>
  <c r="T48" i="40" s="1"/>
  <c r="G48" i="40"/>
  <c r="F48" i="40"/>
  <c r="H48" i="40"/>
  <c r="AE45" i="40"/>
  <c r="O45" i="40" a="1"/>
  <c r="O45" i="40" s="1"/>
  <c r="T45" i="40" a="1"/>
  <c r="T45" i="40" s="1"/>
  <c r="Y45" i="40"/>
  <c r="S45" i="40" a="1"/>
  <c r="S45" i="40" s="1"/>
  <c r="M45" i="40"/>
  <c r="G45" i="40"/>
  <c r="L45" i="40"/>
  <c r="D45" i="40"/>
  <c r="R45" i="40" a="1"/>
  <c r="R45" i="40" s="1"/>
  <c r="AD45" i="40"/>
  <c r="H45" i="40"/>
  <c r="K45" i="40"/>
  <c r="AE42" i="40"/>
  <c r="AD42" i="40"/>
  <c r="T42" i="40" a="1"/>
  <c r="T42" i="40" s="1"/>
  <c r="H42" i="40"/>
  <c r="O42" i="40" a="1"/>
  <c r="O42" i="40" s="1"/>
  <c r="Y42" i="40"/>
  <c r="M42" i="40"/>
  <c r="G42" i="40"/>
  <c r="S42" i="40" a="1"/>
  <c r="S42" i="40" s="1"/>
  <c r="D42" i="40"/>
  <c r="E42" i="40"/>
  <c r="K42" i="40"/>
  <c r="R42" i="40" a="1"/>
  <c r="R42" i="40" s="1"/>
  <c r="L42" i="40"/>
  <c r="AE35" i="40"/>
  <c r="O35" i="40" a="1"/>
  <c r="O35" i="40" s="1"/>
  <c r="AD35" i="40"/>
  <c r="T35" i="40" a="1"/>
  <c r="T35" i="40" s="1"/>
  <c r="K35" i="40"/>
  <c r="H35" i="40"/>
  <c r="Y35" i="40"/>
  <c r="M35" i="40"/>
  <c r="F35" i="40"/>
  <c r="D35" i="40"/>
  <c r="E35" i="40"/>
  <c r="G35" i="40"/>
  <c r="AE32" i="40"/>
  <c r="Y32" i="40"/>
  <c r="O32" i="40" a="1"/>
  <c r="O32" i="40" s="1"/>
  <c r="AD32" i="40"/>
  <c r="S32" i="40" a="1"/>
  <c r="S32" i="40" s="1"/>
  <c r="L32" i="40"/>
  <c r="D32" i="40"/>
  <c r="K32" i="40"/>
  <c r="T32" i="40" a="1"/>
  <c r="T32" i="40" s="1"/>
  <c r="G32" i="40"/>
  <c r="F32" i="40"/>
  <c r="H32" i="40"/>
  <c r="AE29" i="40"/>
  <c r="O29" i="40" a="1"/>
  <c r="O29" i="40" s="1"/>
  <c r="T29" i="40" a="1"/>
  <c r="T29" i="40" s="1"/>
  <c r="Y29" i="40"/>
  <c r="S29" i="40" a="1"/>
  <c r="S29" i="40" s="1"/>
  <c r="M29" i="40"/>
  <c r="G29" i="40"/>
  <c r="L29" i="40"/>
  <c r="D29" i="40"/>
  <c r="R29" i="40" a="1"/>
  <c r="R29" i="40" s="1"/>
  <c r="H29" i="40"/>
  <c r="K29" i="40"/>
  <c r="AE26" i="40"/>
  <c r="AD26" i="40"/>
  <c r="T26" i="40" a="1"/>
  <c r="T26" i="40" s="1"/>
  <c r="H26" i="40"/>
  <c r="O26" i="40" a="1"/>
  <c r="O26" i="40" s="1"/>
  <c r="M26" i="40"/>
  <c r="G26" i="40"/>
  <c r="S26" i="40" a="1"/>
  <c r="S26" i="40" s="1"/>
  <c r="D26" i="40"/>
  <c r="E26" i="40"/>
  <c r="K26" i="40"/>
  <c r="R26" i="40" a="1"/>
  <c r="R26" i="40" s="1"/>
  <c r="L26" i="40"/>
  <c r="AE19" i="40"/>
  <c r="O19" i="40" a="1"/>
  <c r="O19" i="40" s="1"/>
  <c r="AD19" i="40"/>
  <c r="Y19" i="40"/>
  <c r="T19" i="40" a="1"/>
  <c r="T19" i="40" s="1"/>
  <c r="K19" i="40"/>
  <c r="H19" i="40"/>
  <c r="M19" i="40"/>
  <c r="F19" i="40"/>
  <c r="D19" i="40"/>
  <c r="E19" i="40"/>
  <c r="G19" i="40"/>
  <c r="AE102" i="40"/>
  <c r="AD102" i="40"/>
  <c r="Y102" i="40"/>
  <c r="O102" i="40" a="1"/>
  <c r="O102" i="40" s="1"/>
  <c r="T102" i="40" a="1"/>
  <c r="T102" i="40" s="1"/>
  <c r="S102" i="40" a="1"/>
  <c r="S102" i="40" s="1"/>
  <c r="H102" i="40"/>
  <c r="M102" i="40"/>
  <c r="G102" i="40"/>
  <c r="L102" i="40"/>
  <c r="E102" i="40"/>
  <c r="R102" i="40" a="1"/>
  <c r="R102" i="40" s="1"/>
  <c r="AE95" i="40"/>
  <c r="O95" i="40" a="1"/>
  <c r="O95" i="40" s="1"/>
  <c r="AD95" i="40"/>
  <c r="K95" i="40"/>
  <c r="Y95" i="40"/>
  <c r="S95" i="40" a="1"/>
  <c r="S95" i="40" s="1"/>
  <c r="H95" i="40"/>
  <c r="T95" i="40" a="1"/>
  <c r="T95" i="40" s="1"/>
  <c r="G95" i="40"/>
  <c r="F95" i="40"/>
  <c r="L95" i="40"/>
  <c r="E95" i="40"/>
  <c r="M95" i="40"/>
  <c r="AE92" i="40"/>
  <c r="Y92" i="40"/>
  <c r="O92" i="40" a="1"/>
  <c r="O92" i="40" s="1"/>
  <c r="L92" i="40"/>
  <c r="T92" i="40" a="1"/>
  <c r="T92" i="40" s="1"/>
  <c r="K92" i="40"/>
  <c r="H92" i="40"/>
  <c r="D92" i="40"/>
  <c r="M92" i="40"/>
  <c r="F92" i="40"/>
  <c r="AD92" i="40"/>
  <c r="S92" i="40" a="1"/>
  <c r="S92" i="40" s="1"/>
  <c r="AE89" i="40"/>
  <c r="T89" i="40" a="1"/>
  <c r="T89" i="40" s="1"/>
  <c r="AD89" i="40"/>
  <c r="O89" i="40" a="1"/>
  <c r="O89" i="40" s="1"/>
  <c r="M89" i="40"/>
  <c r="G89" i="40"/>
  <c r="L89" i="40"/>
  <c r="K89" i="40"/>
  <c r="R89" i="40" a="1"/>
  <c r="R89" i="40" s="1"/>
  <c r="S89" i="40" a="1"/>
  <c r="S89" i="40" s="1"/>
  <c r="D89" i="40"/>
  <c r="Y89" i="40"/>
  <c r="AE86" i="40"/>
  <c r="AD86" i="40"/>
  <c r="Y86" i="40"/>
  <c r="O86" i="40" a="1"/>
  <c r="O86" i="40" s="1"/>
  <c r="T86" i="40" a="1"/>
  <c r="T86" i="40" s="1"/>
  <c r="S86" i="40" a="1"/>
  <c r="S86" i="40" s="1"/>
  <c r="H86" i="40"/>
  <c r="M86" i="40"/>
  <c r="G86" i="40"/>
  <c r="L86" i="40"/>
  <c r="E86" i="40"/>
  <c r="R86" i="40" a="1"/>
  <c r="R86" i="40" s="1"/>
  <c r="AE79" i="40"/>
  <c r="O79" i="40" a="1"/>
  <c r="O79" i="40" s="1"/>
  <c r="AD79" i="40"/>
  <c r="K79" i="40"/>
  <c r="S79" i="40" a="1"/>
  <c r="S79" i="40" s="1"/>
  <c r="H79" i="40"/>
  <c r="T79" i="40" a="1"/>
  <c r="T79" i="40" s="1"/>
  <c r="G79" i="40"/>
  <c r="F79" i="40"/>
  <c r="Y79" i="40"/>
  <c r="L79" i="40"/>
  <c r="E79" i="40"/>
  <c r="M79" i="40"/>
  <c r="AE76" i="40"/>
  <c r="Y76" i="40"/>
  <c r="O76" i="40" a="1"/>
  <c r="O76" i="40" s="1"/>
  <c r="L76" i="40"/>
  <c r="T76" i="40" a="1"/>
  <c r="T76" i="40" s="1"/>
  <c r="K76" i="40"/>
  <c r="AD76" i="40"/>
  <c r="H76" i="40"/>
  <c r="D76" i="40"/>
  <c r="M76" i="40"/>
  <c r="F76" i="40"/>
  <c r="S76" i="40" a="1"/>
  <c r="S76" i="40" s="1"/>
  <c r="AE73" i="40"/>
  <c r="T73" i="40" a="1"/>
  <c r="T73" i="40" s="1"/>
  <c r="AD73" i="40"/>
  <c r="O73" i="40" a="1"/>
  <c r="O73" i="40" s="1"/>
  <c r="Y73" i="40"/>
  <c r="M73" i="40"/>
  <c r="G73" i="40"/>
  <c r="L73" i="40"/>
  <c r="K73" i="40"/>
  <c r="R73" i="40" a="1"/>
  <c r="R73" i="40" s="1"/>
  <c r="S73" i="40" a="1"/>
  <c r="S73" i="40" s="1"/>
  <c r="D73" i="40"/>
  <c r="AE70" i="40"/>
  <c r="AD70" i="40"/>
  <c r="Y70" i="40"/>
  <c r="O70" i="40" a="1"/>
  <c r="O70" i="40" s="1"/>
  <c r="T70" i="40" a="1"/>
  <c r="T70" i="40" s="1"/>
  <c r="S70" i="40" a="1"/>
  <c r="S70" i="40" s="1"/>
  <c r="H70" i="40"/>
  <c r="M70" i="40"/>
  <c r="G70" i="40"/>
  <c r="L70" i="40"/>
  <c r="E70" i="40"/>
  <c r="R70" i="40" a="1"/>
  <c r="R70" i="40" s="1"/>
  <c r="AE63" i="40"/>
  <c r="O63" i="40" a="1"/>
  <c r="O63" i="40" s="1"/>
  <c r="AD63" i="40"/>
  <c r="K63" i="40"/>
  <c r="Y63" i="40"/>
  <c r="S63" i="40" a="1"/>
  <c r="S63" i="40" s="1"/>
  <c r="H63" i="40"/>
  <c r="T63" i="40" a="1"/>
  <c r="T63" i="40" s="1"/>
  <c r="G63" i="40"/>
  <c r="F63" i="40"/>
  <c r="L63" i="40"/>
  <c r="D63" i="40"/>
  <c r="E63" i="40"/>
  <c r="M63" i="40"/>
  <c r="AE60" i="40"/>
  <c r="Y60" i="40"/>
  <c r="O60" i="40" a="1"/>
  <c r="O60" i="40" s="1"/>
  <c r="S60" i="40" a="1"/>
  <c r="S60" i="40" s="1"/>
  <c r="L60" i="40"/>
  <c r="T60" i="40" a="1"/>
  <c r="T60" i="40" s="1"/>
  <c r="K60" i="40"/>
  <c r="H60" i="40"/>
  <c r="M60" i="40"/>
  <c r="F60" i="40"/>
  <c r="AD60" i="40"/>
  <c r="AE57" i="40"/>
  <c r="T57" i="40" a="1"/>
  <c r="T57" i="40" s="1"/>
  <c r="AD57" i="40"/>
  <c r="S57" i="40" a="1"/>
  <c r="S57" i="40" s="1"/>
  <c r="O57" i="40" a="1"/>
  <c r="O57" i="40" s="1"/>
  <c r="M57" i="40"/>
  <c r="G57" i="40"/>
  <c r="L57" i="40"/>
  <c r="D57" i="40"/>
  <c r="Y57" i="40"/>
  <c r="K57" i="40"/>
  <c r="R57" i="40" a="1"/>
  <c r="R57" i="40" s="1"/>
  <c r="AE54" i="40"/>
  <c r="AD54" i="40"/>
  <c r="Y54" i="40"/>
  <c r="O54" i="40" a="1"/>
  <c r="O54" i="40" s="1"/>
  <c r="T54" i="40" a="1"/>
  <c r="T54" i="40" s="1"/>
  <c r="S54" i="40" a="1"/>
  <c r="S54" i="40" s="1"/>
  <c r="H54" i="40"/>
  <c r="M54" i="40"/>
  <c r="G54" i="40"/>
  <c r="L54" i="40"/>
  <c r="E54" i="40"/>
  <c r="R54" i="40" a="1"/>
  <c r="R54" i="40" s="1"/>
  <c r="D54" i="40"/>
  <c r="AE47" i="40"/>
  <c r="O47" i="40" a="1"/>
  <c r="O47" i="40" s="1"/>
  <c r="AD47" i="40"/>
  <c r="K47" i="40"/>
  <c r="S47" i="40" a="1"/>
  <c r="S47" i="40" s="1"/>
  <c r="H47" i="40"/>
  <c r="T47" i="40" a="1"/>
  <c r="T47" i="40" s="1"/>
  <c r="G47" i="40"/>
  <c r="F47" i="40"/>
  <c r="L47" i="40"/>
  <c r="E47" i="40"/>
  <c r="M47" i="40"/>
  <c r="AE44" i="40"/>
  <c r="Y44" i="40"/>
  <c r="O44" i="40" a="1"/>
  <c r="O44" i="40" s="1"/>
  <c r="S44" i="40" a="1"/>
  <c r="S44" i="40" s="1"/>
  <c r="L44" i="40"/>
  <c r="D44" i="40"/>
  <c r="T44" i="40" a="1"/>
  <c r="T44" i="40" s="1"/>
  <c r="K44" i="40"/>
  <c r="AD44" i="40"/>
  <c r="H44" i="40"/>
  <c r="M44" i="40"/>
  <c r="F44" i="40"/>
  <c r="AE41" i="40"/>
  <c r="T41" i="40" a="1"/>
  <c r="T41" i="40" s="1"/>
  <c r="AD41" i="40"/>
  <c r="S41" i="40" a="1"/>
  <c r="S41" i="40" s="1"/>
  <c r="O41" i="40" a="1"/>
  <c r="O41" i="40" s="1"/>
  <c r="Y41" i="40"/>
  <c r="M41" i="40"/>
  <c r="G41" i="40"/>
  <c r="L41" i="40"/>
  <c r="D41" i="40"/>
  <c r="K41" i="40"/>
  <c r="R41" i="40" a="1"/>
  <c r="R41" i="40" s="1"/>
  <c r="AE38" i="40"/>
  <c r="AD38" i="40"/>
  <c r="Y38" i="40"/>
  <c r="O38" i="40" a="1"/>
  <c r="O38" i="40" s="1"/>
  <c r="T38" i="40" a="1"/>
  <c r="T38" i="40" s="1"/>
  <c r="S38" i="40" a="1"/>
  <c r="S38" i="40" s="1"/>
  <c r="H38" i="40"/>
  <c r="M38" i="40"/>
  <c r="G38" i="40"/>
  <c r="L38" i="40"/>
  <c r="E38" i="40"/>
  <c r="R38" i="40" a="1"/>
  <c r="R38" i="40" s="1"/>
  <c r="D38" i="40"/>
  <c r="AE31" i="40"/>
  <c r="O31" i="40" a="1"/>
  <c r="O31" i="40" s="1"/>
  <c r="AD31" i="40"/>
  <c r="K31" i="40"/>
  <c r="Y31" i="40"/>
  <c r="S31" i="40" a="1"/>
  <c r="S31" i="40" s="1"/>
  <c r="H31" i="40"/>
  <c r="T31" i="40" a="1"/>
  <c r="T31" i="40" s="1"/>
  <c r="G31" i="40"/>
  <c r="F31" i="40"/>
  <c r="L31" i="40"/>
  <c r="E31" i="40"/>
  <c r="M31" i="40"/>
  <c r="AE28" i="40"/>
  <c r="Y28" i="40"/>
  <c r="O28" i="40" a="1"/>
  <c r="O28" i="40" s="1"/>
  <c r="S28" i="40" a="1"/>
  <c r="S28" i="40" s="1"/>
  <c r="L28" i="40"/>
  <c r="D28" i="40"/>
  <c r="T28" i="40" a="1"/>
  <c r="T28" i="40" s="1"/>
  <c r="K28" i="40"/>
  <c r="H28" i="40"/>
  <c r="M28" i="40"/>
  <c r="F28" i="40"/>
  <c r="AD28" i="40"/>
  <c r="AE25" i="40"/>
  <c r="T25" i="40" a="1"/>
  <c r="T25" i="40" s="1"/>
  <c r="AD25" i="40"/>
  <c r="S25" i="40" a="1"/>
  <c r="S25" i="40" s="1"/>
  <c r="O25" i="40" a="1"/>
  <c r="O25" i="40" s="1"/>
  <c r="M25" i="40"/>
  <c r="G25" i="40"/>
  <c r="L25" i="40"/>
  <c r="D25" i="40"/>
  <c r="K25" i="40"/>
  <c r="R25" i="40" a="1"/>
  <c r="R25" i="40" s="1"/>
  <c r="Y25" i="40"/>
  <c r="AE22" i="40"/>
  <c r="AD22" i="40"/>
  <c r="Y22" i="40"/>
  <c r="O22" i="40" a="1"/>
  <c r="O22" i="40" s="1"/>
  <c r="T22" i="40" a="1"/>
  <c r="T22" i="40" s="1"/>
  <c r="S22" i="40" a="1"/>
  <c r="S22" i="40" s="1"/>
  <c r="H22" i="40"/>
  <c r="M22" i="40"/>
  <c r="G22" i="40"/>
  <c r="L22" i="40"/>
  <c r="E22" i="40"/>
  <c r="R22" i="40" a="1"/>
  <c r="R22" i="40" s="1"/>
  <c r="D22" i="40"/>
  <c r="R95" i="40" a="1"/>
  <c r="R95" i="40" s="1"/>
  <c r="R79" i="40" a="1"/>
  <c r="R79" i="40" s="1"/>
  <c r="R71" i="40" a="1"/>
  <c r="R71" i="40" s="1"/>
  <c r="R63" i="40" a="1"/>
  <c r="R63" i="40" s="1"/>
  <c r="R55" i="40" a="1"/>
  <c r="R55" i="40" s="1"/>
  <c r="R47" i="40" a="1"/>
  <c r="R47" i="40" s="1"/>
  <c r="R39" i="40" a="1"/>
  <c r="R39" i="40" s="1"/>
  <c r="R31" i="40" a="1"/>
  <c r="R31" i="40" s="1"/>
  <c r="R23" i="40" a="1"/>
  <c r="R23" i="40" s="1"/>
  <c r="E100" i="40"/>
  <c r="E92" i="40"/>
  <c r="E84" i="40"/>
  <c r="E76" i="40"/>
  <c r="E68" i="40"/>
  <c r="E60" i="40"/>
  <c r="E52" i="40"/>
  <c r="E44" i="40"/>
  <c r="E36" i="40"/>
  <c r="E28" i="40"/>
  <c r="E20" i="40"/>
  <c r="F89" i="40"/>
  <c r="F81" i="40"/>
  <c r="F73" i="40"/>
  <c r="F65" i="40"/>
  <c r="F57" i="40"/>
  <c r="F49" i="40"/>
  <c r="F41" i="40"/>
  <c r="F33" i="40"/>
  <c r="F25" i="40"/>
  <c r="D102" i="40"/>
  <c r="D94" i="40"/>
  <c r="D86" i="40"/>
  <c r="D78" i="40"/>
  <c r="D70" i="40"/>
  <c r="D47" i="40"/>
  <c r="G100" i="40"/>
  <c r="G68" i="40"/>
  <c r="G36" i="40"/>
  <c r="H89" i="40"/>
  <c r="H57" i="40"/>
  <c r="H25" i="40"/>
  <c r="K78" i="40"/>
  <c r="K46" i="40"/>
  <c r="L99" i="40"/>
  <c r="L67" i="40"/>
  <c r="L35" i="40"/>
  <c r="S77" i="40" a="1"/>
  <c r="S77" i="40" s="1"/>
  <c r="S19" i="40" a="1"/>
  <c r="S19" i="40" s="1"/>
  <c r="T40" i="40" a="1"/>
  <c r="T40" i="40" s="1"/>
  <c r="Y47" i="40"/>
  <c r="AE103" i="40"/>
  <c r="O103" i="40" a="1"/>
  <c r="O103" i="40" s="1"/>
  <c r="AD103" i="40"/>
  <c r="Y103" i="40"/>
  <c r="K103" i="40"/>
  <c r="S103" i="40" a="1"/>
  <c r="S103" i="40" s="1"/>
  <c r="H103" i="40"/>
  <c r="G103" i="40"/>
  <c r="F103" i="40"/>
  <c r="L103" i="40"/>
  <c r="E103" i="40"/>
  <c r="T103" i="40" a="1"/>
  <c r="T103" i="40" s="1"/>
  <c r="M103" i="40"/>
  <c r="AE97" i="40"/>
  <c r="Y97" i="40"/>
  <c r="T97" i="40" a="1"/>
  <c r="T97" i="40" s="1"/>
  <c r="AD97" i="40"/>
  <c r="M97" i="40"/>
  <c r="G97" i="40"/>
  <c r="L97" i="40"/>
  <c r="O97" i="40" a="1"/>
  <c r="O97" i="40" s="1"/>
  <c r="K97" i="40"/>
  <c r="R97" i="40" a="1"/>
  <c r="R97" i="40" s="1"/>
  <c r="S97" i="40" a="1"/>
  <c r="S97" i="40" s="1"/>
  <c r="D97" i="40"/>
  <c r="AE87" i="40"/>
  <c r="O87" i="40" a="1"/>
  <c r="O87" i="40" s="1"/>
  <c r="AD87" i="40"/>
  <c r="Y87" i="40"/>
  <c r="K87" i="40"/>
  <c r="S87" i="40" a="1"/>
  <c r="S87" i="40" s="1"/>
  <c r="H87" i="40"/>
  <c r="G87" i="40"/>
  <c r="F87" i="40"/>
  <c r="L87" i="40"/>
  <c r="E87" i="40"/>
  <c r="T87" i="40" a="1"/>
  <c r="T87" i="40" s="1"/>
  <c r="M87" i="40"/>
  <c r="AE101" i="40"/>
  <c r="O101" i="40" a="1"/>
  <c r="O101" i="40" s="1"/>
  <c r="T101" i="40" a="1"/>
  <c r="T101" i="40" s="1"/>
  <c r="M101" i="40"/>
  <c r="G101" i="40"/>
  <c r="AD101" i="40"/>
  <c r="L101" i="40"/>
  <c r="R101" i="40" a="1"/>
  <c r="R101" i="40" s="1"/>
  <c r="Y101" i="40"/>
  <c r="H101" i="40"/>
  <c r="D101" i="40"/>
  <c r="K101" i="40"/>
  <c r="AE98" i="40"/>
  <c r="AD98" i="40"/>
  <c r="Y98" i="40"/>
  <c r="T98" i="40" a="1"/>
  <c r="T98" i="40" s="1"/>
  <c r="S98" i="40" a="1"/>
  <c r="S98" i="40" s="1"/>
  <c r="H98" i="40"/>
  <c r="M98" i="40"/>
  <c r="G98" i="40"/>
  <c r="E98" i="40"/>
  <c r="O98" i="40" a="1"/>
  <c r="O98" i="40" s="1"/>
  <c r="K98" i="40"/>
  <c r="R98" i="40" a="1"/>
  <c r="R98" i="40" s="1"/>
  <c r="L98" i="40"/>
  <c r="AE88" i="40"/>
  <c r="Y88" i="40"/>
  <c r="O88" i="40" a="1"/>
  <c r="O88" i="40" s="1"/>
  <c r="AD88" i="40"/>
  <c r="L88" i="40"/>
  <c r="K88" i="40"/>
  <c r="S88" i="40" a="1"/>
  <c r="S88" i="40" s="1"/>
  <c r="D88" i="40"/>
  <c r="G88" i="40"/>
  <c r="F88" i="40"/>
  <c r="H88" i="40"/>
  <c r="AE85" i="40"/>
  <c r="O85" i="40" a="1"/>
  <c r="O85" i="40" s="1"/>
  <c r="T85" i="40" a="1"/>
  <c r="T85" i="40" s="1"/>
  <c r="M85" i="40"/>
  <c r="G85" i="40"/>
  <c r="AD85" i="40"/>
  <c r="Y85" i="40"/>
  <c r="L85" i="40"/>
  <c r="R85" i="40" a="1"/>
  <c r="R85" i="40" s="1"/>
  <c r="H85" i="40"/>
  <c r="D85" i="40"/>
  <c r="K85" i="40"/>
  <c r="AE82" i="40"/>
  <c r="AD82" i="40"/>
  <c r="Y82" i="40"/>
  <c r="T82" i="40" a="1"/>
  <c r="T82" i="40" s="1"/>
  <c r="S82" i="40" a="1"/>
  <c r="S82" i="40" s="1"/>
  <c r="H82" i="40"/>
  <c r="M82" i="40"/>
  <c r="G82" i="40"/>
  <c r="E82" i="40"/>
  <c r="K82" i="40"/>
  <c r="R82" i="40" a="1"/>
  <c r="R82" i="40" s="1"/>
  <c r="L82" i="40"/>
  <c r="AE72" i="40"/>
  <c r="Y72" i="40"/>
  <c r="O72" i="40" a="1"/>
  <c r="O72" i="40" s="1"/>
  <c r="AD72" i="40"/>
  <c r="L72" i="40"/>
  <c r="K72" i="40"/>
  <c r="S72" i="40" a="1"/>
  <c r="S72" i="40" s="1"/>
  <c r="D72" i="40"/>
  <c r="G72" i="40"/>
  <c r="F72" i="40"/>
  <c r="H72" i="40"/>
  <c r="AE69" i="40"/>
  <c r="O69" i="40" a="1"/>
  <c r="O69" i="40" s="1"/>
  <c r="T69" i="40" a="1"/>
  <c r="T69" i="40" s="1"/>
  <c r="S69" i="40" a="1"/>
  <c r="S69" i="40" s="1"/>
  <c r="M69" i="40"/>
  <c r="G69" i="40"/>
  <c r="AD69" i="40"/>
  <c r="L69" i="40"/>
  <c r="D69" i="40"/>
  <c r="R69" i="40" a="1"/>
  <c r="R69" i="40" s="1"/>
  <c r="H69" i="40"/>
  <c r="K69" i="40"/>
  <c r="AE66" i="40"/>
  <c r="AD66" i="40"/>
  <c r="Y66" i="40"/>
  <c r="T66" i="40" a="1"/>
  <c r="T66" i="40" s="1"/>
  <c r="H66" i="40"/>
  <c r="M66" i="40"/>
  <c r="G66" i="40"/>
  <c r="E66" i="40"/>
  <c r="O66" i="40" a="1"/>
  <c r="O66" i="40" s="1"/>
  <c r="K66" i="40"/>
  <c r="R66" i="40" a="1"/>
  <c r="R66" i="40" s="1"/>
  <c r="S66" i="40" a="1"/>
  <c r="S66" i="40" s="1"/>
  <c r="L66" i="40"/>
  <c r="AE56" i="40"/>
  <c r="Y56" i="40"/>
  <c r="O56" i="40" a="1"/>
  <c r="O56" i="40" s="1"/>
  <c r="AD56" i="40"/>
  <c r="S56" i="40" a="1"/>
  <c r="S56" i="40" s="1"/>
  <c r="L56" i="40"/>
  <c r="K56" i="40"/>
  <c r="D56" i="40"/>
  <c r="G56" i="40"/>
  <c r="F56" i="40"/>
  <c r="H56" i="40"/>
  <c r="AE53" i="40"/>
  <c r="O53" i="40" a="1"/>
  <c r="O53" i="40" s="1"/>
  <c r="T53" i="40" a="1"/>
  <c r="T53" i="40" s="1"/>
  <c r="S53" i="40" a="1"/>
  <c r="S53" i="40" s="1"/>
  <c r="M53" i="40"/>
  <c r="G53" i="40"/>
  <c r="AD53" i="40"/>
  <c r="Y53" i="40"/>
  <c r="L53" i="40"/>
  <c r="D53" i="40"/>
  <c r="R53" i="40" a="1"/>
  <c r="R53" i="40" s="1"/>
  <c r="H53" i="40"/>
  <c r="K53" i="40"/>
  <c r="AE50" i="40"/>
  <c r="AD50" i="40"/>
  <c r="Y50" i="40"/>
  <c r="T50" i="40" a="1"/>
  <c r="T50" i="40" s="1"/>
  <c r="H50" i="40"/>
  <c r="M50" i="40"/>
  <c r="G50" i="40"/>
  <c r="D50" i="40"/>
  <c r="E50" i="40"/>
  <c r="K50" i="40"/>
  <c r="R50" i="40" a="1"/>
  <c r="R50" i="40" s="1"/>
  <c r="S50" i="40" a="1"/>
  <c r="S50" i="40" s="1"/>
  <c r="L50" i="40"/>
  <c r="AE40" i="40"/>
  <c r="Y40" i="40"/>
  <c r="O40" i="40" a="1"/>
  <c r="O40" i="40" s="1"/>
  <c r="AD40" i="40"/>
  <c r="S40" i="40" a="1"/>
  <c r="S40" i="40" s="1"/>
  <c r="L40" i="40"/>
  <c r="D40" i="40"/>
  <c r="K40" i="40"/>
  <c r="G40" i="40"/>
  <c r="F40" i="40"/>
  <c r="H40" i="40"/>
  <c r="AE37" i="40"/>
  <c r="O37" i="40" a="1"/>
  <c r="O37" i="40" s="1"/>
  <c r="T37" i="40" a="1"/>
  <c r="T37" i="40" s="1"/>
  <c r="S37" i="40" a="1"/>
  <c r="S37" i="40" s="1"/>
  <c r="M37" i="40"/>
  <c r="G37" i="40"/>
  <c r="AD37" i="40"/>
  <c r="L37" i="40"/>
  <c r="D37" i="40"/>
  <c r="R37" i="40" a="1"/>
  <c r="R37" i="40" s="1"/>
  <c r="Y37" i="40"/>
  <c r="H37" i="40"/>
  <c r="K37" i="40"/>
  <c r="AE34" i="40"/>
  <c r="AD34" i="40"/>
  <c r="Y34" i="40"/>
  <c r="T34" i="40" a="1"/>
  <c r="T34" i="40" s="1"/>
  <c r="H34" i="40"/>
  <c r="M34" i="40"/>
  <c r="G34" i="40"/>
  <c r="D34" i="40"/>
  <c r="E34" i="40"/>
  <c r="O34" i="40" a="1"/>
  <c r="O34" i="40" s="1"/>
  <c r="K34" i="40"/>
  <c r="R34" i="40" a="1"/>
  <c r="R34" i="40" s="1"/>
  <c r="S34" i="40" a="1"/>
  <c r="S34" i="40" s="1"/>
  <c r="L34" i="40"/>
  <c r="AE24" i="40"/>
  <c r="Y24" i="40"/>
  <c r="O24" i="40" a="1"/>
  <c r="O24" i="40" s="1"/>
  <c r="AD24" i="40"/>
  <c r="S24" i="40" a="1"/>
  <c r="S24" i="40" s="1"/>
  <c r="L24" i="40"/>
  <c r="D24" i="40"/>
  <c r="K24" i="40"/>
  <c r="G24" i="40"/>
  <c r="F24" i="40"/>
  <c r="H24" i="40"/>
  <c r="AE21" i="40"/>
  <c r="O21" i="40" a="1"/>
  <c r="O21" i="40" s="1"/>
  <c r="T21" i="40" a="1"/>
  <c r="T21" i="40" s="1"/>
  <c r="S21" i="40" a="1"/>
  <c r="S21" i="40" s="1"/>
  <c r="M21" i="40"/>
  <c r="G21" i="40"/>
  <c r="AD21" i="40"/>
  <c r="Y21" i="40"/>
  <c r="L21" i="40"/>
  <c r="D21" i="40"/>
  <c r="R21" i="40" a="1"/>
  <c r="R21" i="40" s="1"/>
  <c r="H21" i="40"/>
  <c r="K21" i="40"/>
  <c r="R100" i="40" a="1"/>
  <c r="R100" i="40" s="1"/>
  <c r="R92" i="40" a="1"/>
  <c r="R92" i="40" s="1"/>
  <c r="R84" i="40" a="1"/>
  <c r="R84" i="40" s="1"/>
  <c r="R76" i="40" a="1"/>
  <c r="R76" i="40" s="1"/>
  <c r="R68" i="40" a="1"/>
  <c r="R68" i="40" s="1"/>
  <c r="R60" i="40" a="1"/>
  <c r="R60" i="40" s="1"/>
  <c r="R52" i="40" a="1"/>
  <c r="R52" i="40" s="1"/>
  <c r="R44" i="40" a="1"/>
  <c r="R44" i="40" s="1"/>
  <c r="R36" i="40" a="1"/>
  <c r="R36" i="40" s="1"/>
  <c r="R28" i="40" a="1"/>
  <c r="R28" i="40" s="1"/>
  <c r="R20" i="40" a="1"/>
  <c r="R20" i="40" s="1"/>
  <c r="E97" i="40"/>
  <c r="E89" i="40"/>
  <c r="E81" i="40"/>
  <c r="E73" i="40"/>
  <c r="E65" i="40"/>
  <c r="E57" i="40"/>
  <c r="E49" i="40"/>
  <c r="E41" i="40"/>
  <c r="E33" i="40"/>
  <c r="E25" i="40"/>
  <c r="F102" i="40"/>
  <c r="F94" i="40"/>
  <c r="F86" i="40"/>
  <c r="F78" i="40"/>
  <c r="F70" i="40"/>
  <c r="F62" i="40"/>
  <c r="F54" i="40"/>
  <c r="F46" i="40"/>
  <c r="F38" i="40"/>
  <c r="F30" i="40"/>
  <c r="F22" i="40"/>
  <c r="D99" i="40"/>
  <c r="D83" i="40"/>
  <c r="D66" i="40"/>
  <c r="D39" i="40"/>
  <c r="G92" i="40"/>
  <c r="G60" i="40"/>
  <c r="G28" i="40"/>
  <c r="H81" i="40"/>
  <c r="H49" i="40"/>
  <c r="K102" i="40"/>
  <c r="K70" i="40"/>
  <c r="K38" i="40"/>
  <c r="M80" i="40"/>
  <c r="M48" i="40"/>
  <c r="S101" i="40" a="1"/>
  <c r="S101" i="40" s="1"/>
  <c r="S67" i="40" a="1"/>
  <c r="S67" i="40" s="1"/>
  <c r="T88" i="40" a="1"/>
  <c r="T88" i="40" s="1"/>
  <c r="T24" i="40" a="1"/>
  <c r="T24" i="40" s="1"/>
  <c r="Y26" i="40"/>
  <c r="AD93" i="40"/>
  <c r="O50" i="40" a="1"/>
  <c r="O50" i="40" s="1"/>
  <c r="AE18" i="40"/>
  <c r="O18" i="40" s="1" a="1"/>
  <c r="O18" i="40" s="1"/>
  <c r="D18" i="40"/>
  <c r="AE17" i="40"/>
  <c r="T17" i="40" s="1" a="1"/>
  <c r="T17" i="40" s="1"/>
  <c r="D17" i="40"/>
  <c r="D13" i="40"/>
  <c r="D12" i="40"/>
  <c r="D11" i="40"/>
  <c r="D14" i="40"/>
  <c r="D10" i="40"/>
  <c r="D15" i="40"/>
  <c r="D9" i="40"/>
  <c r="D16" i="40"/>
  <c r="D8" i="40"/>
  <c r="D7" i="40"/>
  <c r="AE14" i="40"/>
  <c r="R14" i="40" s="1" a="1"/>
  <c r="R14" i="40" s="1"/>
  <c r="AE13" i="40"/>
  <c r="AE12" i="40"/>
  <c r="R12" i="40" s="1" a="1"/>
  <c r="R12" i="40" s="1"/>
  <c r="AE11" i="40"/>
  <c r="O11" i="40" s="1" a="1"/>
  <c r="O11" i="40" s="1"/>
  <c r="AE10" i="40"/>
  <c r="AE9" i="40"/>
  <c r="AE16" i="40"/>
  <c r="R16" i="40" s="1" a="1"/>
  <c r="R16" i="40" s="1"/>
  <c r="AE8" i="40"/>
  <c r="AE15" i="40"/>
  <c r="O15" i="40" s="1" a="1"/>
  <c r="O15" i="40" s="1"/>
  <c r="R13" i="40" l="1" a="1"/>
  <c r="R13" i="40" s="1"/>
  <c r="O7" i="40" a="1"/>
  <c r="O7" i="40" s="1"/>
  <c r="T18" i="40" a="1"/>
  <c r="T18" i="40" s="1"/>
  <c r="S7" i="40" a="1"/>
  <c r="S7" i="40" s="1"/>
  <c r="R18" i="40" a="1"/>
  <c r="R18" i="40" s="1"/>
  <c r="S18" i="40" a="1"/>
  <c r="S18" i="40" s="1"/>
  <c r="S17" i="40" a="1"/>
  <c r="S17" i="40" s="1"/>
  <c r="R17" i="40" a="1"/>
  <c r="R17" i="40" s="1"/>
  <c r="O17" i="40" a="1"/>
  <c r="O17" i="40" s="1"/>
  <c r="O12" i="40" a="1"/>
  <c r="O12" i="40" s="1"/>
  <c r="O16" i="40" a="1"/>
  <c r="O16" i="40" s="1"/>
  <c r="O9" i="40" a="1"/>
  <c r="O9" i="40" s="1"/>
  <c r="O13" i="40" a="1"/>
  <c r="O13" i="40" s="1"/>
  <c r="O10" i="40" a="1"/>
  <c r="O10" i="40" s="1"/>
  <c r="O14" i="40" a="1"/>
  <c r="O14" i="40" s="1"/>
  <c r="O8" i="40" a="1"/>
  <c r="O8" i="40" s="1"/>
  <c r="T12" i="40" a="1"/>
  <c r="T12" i="40" s="1"/>
  <c r="T8" i="40" a="1"/>
  <c r="T8" i="40" s="1"/>
  <c r="R11" i="40" a="1"/>
  <c r="R11" i="40" s="1"/>
  <c r="T11" i="40" a="1"/>
  <c r="T11" i="40" s="1"/>
  <c r="T15" i="40" a="1"/>
  <c r="T15" i="40" s="1"/>
  <c r="T16" i="40" a="1"/>
  <c r="T16" i="40" s="1"/>
  <c r="T9" i="40" a="1"/>
  <c r="T9" i="40" s="1"/>
  <c r="T13" i="40" a="1"/>
  <c r="T13" i="40" s="1"/>
  <c r="T10" i="40" a="1"/>
  <c r="T10" i="40" s="1"/>
  <c r="T14" i="40" a="1"/>
  <c r="T14" i="40" s="1"/>
  <c r="S16" i="40" a="1"/>
  <c r="S16" i="40" s="1"/>
  <c r="S9" i="40" a="1"/>
  <c r="S9" i="40" s="1"/>
  <c r="S13" i="40" a="1"/>
  <c r="S13" i="40" s="1"/>
  <c r="S10" i="40" a="1"/>
  <c r="S10" i="40" s="1"/>
  <c r="S12" i="40" a="1"/>
  <c r="S12" i="40" s="1"/>
  <c r="S14" i="40" a="1"/>
  <c r="S14" i="40" s="1"/>
  <c r="S11" i="40" a="1"/>
  <c r="S11" i="40" s="1"/>
  <c r="S8" i="40" a="1"/>
  <c r="S8" i="40" s="1"/>
  <c r="S15" i="40" a="1"/>
  <c r="S15" i="40" s="1"/>
  <c r="R5" i="55" l="1"/>
  <c r="R6" i="55"/>
  <c r="R7" i="55"/>
  <c r="R8" i="55"/>
  <c r="R9" i="55"/>
  <c r="R10" i="55"/>
  <c r="R11" i="55"/>
  <c r="R12" i="55"/>
  <c r="R13" i="55"/>
  <c r="R14" i="55"/>
  <c r="R15" i="55"/>
  <c r="R16" i="55"/>
  <c r="R17" i="55"/>
  <c r="R18" i="55"/>
  <c r="R19" i="55"/>
  <c r="R20" i="55"/>
  <c r="R21" i="55"/>
  <c r="R22" i="55"/>
  <c r="R23" i="55"/>
  <c r="R24" i="55"/>
  <c r="R25" i="55"/>
  <c r="R26" i="55"/>
  <c r="R27" i="55"/>
  <c r="R28" i="55"/>
  <c r="R29" i="55"/>
  <c r="R30" i="55"/>
  <c r="R31" i="55"/>
  <c r="R32" i="55"/>
  <c r="R33" i="55"/>
  <c r="R34" i="55"/>
  <c r="R35" i="55"/>
  <c r="R36" i="55"/>
  <c r="R37" i="55"/>
  <c r="R38" i="55"/>
  <c r="R39" i="55"/>
  <c r="R40" i="55"/>
  <c r="R41" i="55"/>
  <c r="R8" i="40" l="1" a="1"/>
  <c r="R8" i="40" s="1"/>
  <c r="R9" i="40" a="1"/>
  <c r="R9" i="40" s="1"/>
  <c r="R10" i="40" a="1"/>
  <c r="R10" i="40" s="1"/>
  <c r="R15" i="40" a="1"/>
  <c r="R15" i="40" s="1"/>
  <c r="E39" i="66"/>
  <c r="E40" i="66"/>
  <c r="E41" i="66"/>
  <c r="E42" i="66"/>
  <c r="E43" i="66"/>
  <c r="E44" i="66"/>
  <c r="E45" i="66"/>
  <c r="E46" i="66"/>
  <c r="E47" i="66"/>
  <c r="E48" i="66"/>
  <c r="E49" i="66"/>
  <c r="E50" i="66"/>
  <c r="E51" i="66"/>
  <c r="E52" i="66"/>
  <c r="E53" i="66"/>
  <c r="E54" i="66"/>
  <c r="E55" i="66"/>
  <c r="R7" i="40" a="1"/>
  <c r="R7" i="40" s="1"/>
  <c r="J7" i="54"/>
  <c r="J8" i="54"/>
  <c r="J9" i="54"/>
  <c r="J10" i="54"/>
  <c r="J11" i="54"/>
  <c r="J12" i="54"/>
  <c r="J13" i="54"/>
  <c r="J14" i="54"/>
  <c r="J15" i="54"/>
  <c r="J16" i="54"/>
  <c r="J17" i="54"/>
  <c r="J18" i="54"/>
  <c r="J19" i="54"/>
  <c r="J20" i="54"/>
  <c r="J21" i="54"/>
  <c r="J22" i="54"/>
  <c r="J23" i="54"/>
  <c r="J24" i="54"/>
  <c r="J25" i="54"/>
  <c r="J26" i="54"/>
  <c r="J27" i="54"/>
  <c r="J28" i="54"/>
  <c r="J29" i="54"/>
  <c r="J30" i="54"/>
  <c r="J31" i="54"/>
  <c r="J32" i="54"/>
  <c r="J33" i="54"/>
  <c r="J34" i="54"/>
  <c r="J35" i="54"/>
  <c r="J36" i="54"/>
  <c r="J37" i="54"/>
  <c r="J38" i="54"/>
  <c r="J39" i="54"/>
  <c r="J40" i="54"/>
  <c r="H5" i="65" l="1"/>
  <c r="H6" i="65"/>
  <c r="H7" i="65"/>
  <c r="H8" i="65"/>
  <c r="H9" i="65"/>
  <c r="H10" i="65"/>
  <c r="H11" i="65"/>
  <c r="H12" i="65"/>
  <c r="H13" i="65"/>
  <c r="H14" i="65"/>
  <c r="H15" i="65"/>
  <c r="H16" i="65"/>
  <c r="H17" i="65"/>
  <c r="H18" i="65"/>
  <c r="H19" i="65"/>
  <c r="H20" i="65"/>
  <c r="H21" i="65"/>
  <c r="H22" i="65"/>
  <c r="H23" i="65"/>
  <c r="H24" i="65"/>
  <c r="H25" i="65"/>
  <c r="H26" i="65"/>
  <c r="H27" i="65"/>
  <c r="H28" i="65"/>
  <c r="H29" i="65"/>
  <c r="H30" i="65"/>
  <c r="K9" i="51" l="1"/>
  <c r="K10" i="51"/>
  <c r="K11" i="51"/>
  <c r="K12" i="51"/>
  <c r="K13" i="51"/>
  <c r="K14" i="51"/>
  <c r="K15" i="51"/>
  <c r="K16" i="51"/>
  <c r="K17" i="51"/>
  <c r="K18" i="51"/>
  <c r="K19" i="51"/>
  <c r="K20" i="51"/>
  <c r="K21" i="51"/>
  <c r="K22" i="51"/>
  <c r="K23" i="51"/>
  <c r="K24" i="51"/>
  <c r="K25" i="51"/>
  <c r="K26" i="51"/>
  <c r="K27" i="51"/>
  <c r="K28" i="51"/>
  <c r="K29" i="51"/>
  <c r="K30" i="51"/>
  <c r="K31" i="51"/>
  <c r="K32" i="51"/>
  <c r="K33" i="51"/>
  <c r="K34" i="51"/>
  <c r="K35" i="51"/>
  <c r="K36" i="51"/>
  <c r="K37" i="51"/>
  <c r="K38" i="51"/>
  <c r="K39" i="51"/>
  <c r="K40" i="51"/>
  <c r="K41" i="51"/>
  <c r="K42" i="51"/>
  <c r="K43" i="51"/>
  <c r="K44" i="51"/>
  <c r="K45" i="51"/>
  <c r="K46" i="51"/>
  <c r="K47" i="51"/>
  <c r="K48" i="51"/>
  <c r="K49" i="51"/>
  <c r="K50" i="51"/>
  <c r="K51" i="51"/>
  <c r="K52" i="51"/>
  <c r="K53" i="51"/>
  <c r="K54" i="51"/>
  <c r="K55" i="51"/>
  <c r="K56" i="51"/>
  <c r="K57" i="51"/>
  <c r="K58" i="51"/>
  <c r="K59" i="51"/>
  <c r="K60" i="51"/>
  <c r="K61" i="51"/>
  <c r="K62" i="51"/>
  <c r="K63" i="51"/>
  <c r="K64" i="51"/>
  <c r="K65" i="51"/>
  <c r="K66" i="51"/>
  <c r="K67" i="51"/>
  <c r="K68" i="51"/>
  <c r="K69" i="51"/>
  <c r="K70" i="51"/>
  <c r="K71" i="51"/>
  <c r="K72" i="51"/>
  <c r="K73" i="51"/>
  <c r="K74" i="51"/>
  <c r="K75" i="51"/>
  <c r="K76" i="51"/>
  <c r="K77" i="51"/>
  <c r="K78" i="51"/>
  <c r="K79" i="51"/>
  <c r="K80" i="51"/>
  <c r="K81" i="51"/>
  <c r="K82" i="51"/>
  <c r="K83" i="51"/>
  <c r="K84" i="51"/>
  <c r="K85" i="51"/>
  <c r="K86" i="51"/>
  <c r="K87" i="51"/>
  <c r="K88" i="51"/>
  <c r="K89" i="51"/>
  <c r="K90" i="51"/>
  <c r="K91" i="51"/>
  <c r="K92" i="51"/>
  <c r="K93" i="51"/>
  <c r="K94" i="51"/>
  <c r="K95" i="51"/>
  <c r="K96" i="51"/>
  <c r="K97" i="51"/>
  <c r="K98" i="51"/>
  <c r="K99" i="51"/>
  <c r="K100" i="51"/>
  <c r="K101" i="51"/>
  <c r="K102" i="51"/>
  <c r="K103" i="51"/>
  <c r="K104" i="51"/>
  <c r="K105" i="51"/>
  <c r="K106" i="51"/>
  <c r="K107" i="51"/>
  <c r="K108" i="51"/>
  <c r="K109" i="51"/>
  <c r="K110" i="51"/>
  <c r="K111" i="51"/>
  <c r="K112" i="51"/>
  <c r="K113" i="51"/>
  <c r="K114" i="51"/>
  <c r="K115" i="51"/>
  <c r="K116" i="51"/>
  <c r="K117" i="51"/>
  <c r="K118" i="51"/>
  <c r="K119" i="51"/>
  <c r="K120" i="51"/>
  <c r="K121" i="51"/>
  <c r="K122" i="51"/>
  <c r="K123" i="51"/>
  <c r="K124" i="51"/>
  <c r="K125" i="51"/>
  <c r="K126" i="51"/>
  <c r="K127" i="51"/>
  <c r="K128" i="51"/>
  <c r="K129" i="51"/>
  <c r="K130" i="51"/>
  <c r="K131" i="51"/>
  <c r="K132" i="51"/>
  <c r="K133" i="51"/>
  <c r="K134" i="51"/>
  <c r="K135" i="51"/>
  <c r="K136" i="51"/>
  <c r="K137" i="51"/>
  <c r="K138" i="51"/>
  <c r="K139" i="51"/>
  <c r="K140" i="51"/>
  <c r="K141" i="51"/>
  <c r="K142" i="51"/>
  <c r="K143" i="51"/>
  <c r="E75" i="41" l="1"/>
  <c r="D111" i="74" l="1"/>
  <c r="C111" i="74" a="1"/>
  <c r="C111" i="74" s="1"/>
  <c r="G111" i="74" s="1" a="1"/>
  <c r="G111" i="74" s="1"/>
  <c r="D110" i="74"/>
  <c r="C110" i="74" a="1"/>
  <c r="C110" i="74" s="1"/>
  <c r="D109" i="74"/>
  <c r="C109" i="74" a="1"/>
  <c r="C109" i="74" s="1"/>
  <c r="D108" i="74"/>
  <c r="C108" i="74" a="1"/>
  <c r="C108" i="74" s="1"/>
  <c r="D107" i="74"/>
  <c r="C107" i="74" a="1"/>
  <c r="C107" i="74" s="1"/>
  <c r="G107" i="74" s="1" a="1"/>
  <c r="G107" i="74" s="1"/>
  <c r="D106" i="74"/>
  <c r="C106" i="74" a="1"/>
  <c r="C106" i="74" s="1"/>
  <c r="D105" i="74"/>
  <c r="C105" i="74" a="1"/>
  <c r="C105" i="74" s="1"/>
  <c r="D104" i="74"/>
  <c r="C104" i="74" a="1"/>
  <c r="C104" i="74" s="1"/>
  <c r="G104" i="74" s="1" a="1"/>
  <c r="G104" i="74" s="1"/>
  <c r="D103" i="74"/>
  <c r="C103" i="74" a="1"/>
  <c r="C103" i="74" s="1"/>
  <c r="D102" i="74"/>
  <c r="C102" i="74" a="1"/>
  <c r="C102" i="74" s="1"/>
  <c r="A107" i="74" l="1"/>
  <c r="E107" i="74" a="1"/>
  <c r="E107" i="74" s="1"/>
  <c r="F107" i="74" s="1"/>
  <c r="A111" i="74"/>
  <c r="E111" i="74" a="1"/>
  <c r="E111" i="74" s="1"/>
  <c r="F111" i="74" s="1"/>
  <c r="G102" i="74" a="1"/>
  <c r="G102" i="74" s="1"/>
  <c r="E102" i="74" a="1"/>
  <c r="E102" i="74" s="1"/>
  <c r="F102" i="74" s="1"/>
  <c r="A102" i="74"/>
  <c r="E109" i="74" a="1"/>
  <c r="E109" i="74" s="1"/>
  <c r="F109" i="74" s="1"/>
  <c r="A109" i="74"/>
  <c r="G109" i="74" a="1"/>
  <c r="G109" i="74" s="1"/>
  <c r="E105" i="74" a="1"/>
  <c r="E105" i="74" s="1"/>
  <c r="F105" i="74" s="1"/>
  <c r="A105" i="74"/>
  <c r="G105" i="74" a="1"/>
  <c r="G105" i="74" s="1"/>
  <c r="G106" i="74" a="1"/>
  <c r="G106" i="74" s="1"/>
  <c r="E106" i="74" a="1"/>
  <c r="E106" i="74" s="1"/>
  <c r="F106" i="74" s="1"/>
  <c r="A106" i="74"/>
  <c r="E103" i="74" a="1"/>
  <c r="E103" i="74" s="1"/>
  <c r="F103" i="74" s="1"/>
  <c r="A103" i="74"/>
  <c r="G103" i="74" a="1"/>
  <c r="G103" i="74" s="1"/>
  <c r="G110" i="74" a="1"/>
  <c r="G110" i="74" s="1"/>
  <c r="E110" i="74" a="1"/>
  <c r="E110" i="74" s="1"/>
  <c r="F110" i="74" s="1"/>
  <c r="A110" i="74"/>
  <c r="G108" i="74" a="1"/>
  <c r="G108" i="74" s="1"/>
  <c r="A104" i="74"/>
  <c r="E104" i="74" a="1"/>
  <c r="E104" i="74" s="1"/>
  <c r="F104" i="74" s="1"/>
  <c r="A108" i="74"/>
  <c r="E108" i="74" a="1"/>
  <c r="E108" i="74" s="1"/>
  <c r="F108" i="74" s="1"/>
  <c r="A140" i="74"/>
  <c r="A141" i="74"/>
  <c r="A142" i="74"/>
  <c r="A143" i="74"/>
  <c r="A144" i="74"/>
  <c r="A145" i="74"/>
  <c r="A146" i="74"/>
  <c r="A147" i="74"/>
  <c r="A148" i="74"/>
  <c r="A149" i="74"/>
  <c r="A150" i="74"/>
  <c r="A151" i="74"/>
  <c r="A152" i="74"/>
  <c r="A153" i="74"/>
  <c r="A154" i="74"/>
  <c r="A155" i="74"/>
  <c r="A156" i="74"/>
  <c r="A157" i="74"/>
  <c r="A158" i="74"/>
  <c r="A159" i="74"/>
  <c r="A160" i="74"/>
  <c r="A161" i="74"/>
  <c r="A162" i="74"/>
  <c r="A163" i="74"/>
  <c r="A164" i="74"/>
  <c r="A165" i="74"/>
  <c r="A166" i="74"/>
  <c r="A167" i="74"/>
  <c r="A168" i="74"/>
  <c r="A169" i="74"/>
  <c r="A170" i="74"/>
  <c r="A171" i="74"/>
  <c r="A172" i="74"/>
  <c r="A173" i="74"/>
  <c r="A174" i="74"/>
  <c r="A175" i="74"/>
  <c r="A176" i="74"/>
  <c r="A177" i="74"/>
  <c r="A178" i="74"/>
  <c r="A179" i="74"/>
  <c r="A180" i="74"/>
  <c r="A181" i="74"/>
  <c r="A182" i="74"/>
  <c r="A183" i="74"/>
  <c r="A184" i="74"/>
  <c r="A185" i="74"/>
  <c r="A186" i="74"/>
  <c r="A187" i="74"/>
  <c r="A188" i="74"/>
  <c r="A189" i="74"/>
  <c r="A190" i="74"/>
  <c r="A191" i="74"/>
  <c r="A192" i="74"/>
  <c r="A193" i="74"/>
  <c r="A194" i="74"/>
  <c r="A195" i="74"/>
  <c r="A196" i="74"/>
  <c r="A197" i="74"/>
  <c r="A198" i="74"/>
  <c r="A199" i="74"/>
  <c r="A200" i="74"/>
  <c r="A201" i="74"/>
  <c r="A202" i="74"/>
  <c r="A203" i="74"/>
  <c r="A204" i="74"/>
  <c r="A205" i="74"/>
  <c r="A206" i="74"/>
  <c r="A207" i="74"/>
  <c r="A208" i="74"/>
  <c r="A209" i="74"/>
  <c r="A210" i="74"/>
  <c r="A211" i="74"/>
  <c r="A212" i="74"/>
  <c r="A213" i="74"/>
  <c r="A214" i="74"/>
  <c r="A215" i="74"/>
  <c r="A216" i="74"/>
  <c r="A217" i="74"/>
  <c r="A218" i="74"/>
  <c r="A219" i="74"/>
  <c r="A220" i="74"/>
  <c r="A221" i="74"/>
  <c r="A222" i="74"/>
  <c r="A223" i="74"/>
  <c r="A224" i="74"/>
  <c r="A225" i="74"/>
  <c r="A226" i="74"/>
  <c r="A227" i="74"/>
  <c r="A228" i="74"/>
  <c r="A229" i="74"/>
  <c r="A230" i="74"/>
  <c r="A231" i="74"/>
  <c r="A232" i="74"/>
  <c r="A233" i="74"/>
  <c r="A234" i="74"/>
  <c r="C4" i="65" l="1"/>
  <c r="D4" i="65" s="1"/>
  <c r="J4" i="65"/>
  <c r="K4" i="65"/>
  <c r="O4" i="65"/>
  <c r="G4" i="65" s="1"/>
  <c r="P4" i="65"/>
  <c r="C5" i="65"/>
  <c r="D5" i="65" s="1"/>
  <c r="J5" i="65"/>
  <c r="K5" i="65"/>
  <c r="O5" i="65"/>
  <c r="G5" i="65" s="1"/>
  <c r="F5" i="65" s="1"/>
  <c r="P5" i="65"/>
  <c r="C6" i="65"/>
  <c r="D6" i="65" s="1"/>
  <c r="J6" i="65"/>
  <c r="K6" i="65"/>
  <c r="O6" i="65"/>
  <c r="G6" i="65" s="1"/>
  <c r="M6" i="65" s="1"/>
  <c r="P6" i="65"/>
  <c r="C7" i="65"/>
  <c r="D7" i="65" s="1"/>
  <c r="J7" i="65"/>
  <c r="K7" i="65"/>
  <c r="O7" i="65"/>
  <c r="G7" i="65" s="1"/>
  <c r="F7" i="65" s="1"/>
  <c r="P7" i="65"/>
  <c r="C8" i="65"/>
  <c r="D8" i="65" s="1"/>
  <c r="J8" i="65"/>
  <c r="K8" i="65"/>
  <c r="O8" i="65"/>
  <c r="G8" i="65" s="1"/>
  <c r="M8" i="65" s="1"/>
  <c r="P8" i="65"/>
  <c r="C9" i="65"/>
  <c r="D9" i="65" s="1"/>
  <c r="J9" i="65"/>
  <c r="K9" i="65"/>
  <c r="O9" i="65"/>
  <c r="G9" i="65" s="1"/>
  <c r="F9" i="65" s="1"/>
  <c r="P9" i="65"/>
  <c r="C10" i="65"/>
  <c r="D10" i="65" s="1"/>
  <c r="J10" i="65"/>
  <c r="K10" i="65"/>
  <c r="O10" i="65"/>
  <c r="G10" i="65" s="1"/>
  <c r="M10" i="65" s="1"/>
  <c r="P10" i="65"/>
  <c r="C11" i="65"/>
  <c r="D11" i="65" s="1"/>
  <c r="J11" i="65"/>
  <c r="K11" i="65"/>
  <c r="O11" i="65"/>
  <c r="G11" i="65" s="1"/>
  <c r="F11" i="65" s="1"/>
  <c r="P11" i="65"/>
  <c r="C12" i="65"/>
  <c r="D12" i="65" s="1"/>
  <c r="J12" i="65"/>
  <c r="K12" i="65"/>
  <c r="O12" i="65"/>
  <c r="G12" i="65" s="1"/>
  <c r="M12" i="65" s="1"/>
  <c r="P12" i="65"/>
  <c r="C13" i="65"/>
  <c r="D13" i="65" s="1"/>
  <c r="J13" i="65"/>
  <c r="K13" i="65"/>
  <c r="O13" i="65"/>
  <c r="G13" i="65" s="1"/>
  <c r="P13" i="65"/>
  <c r="C14" i="65"/>
  <c r="D14" i="65" s="1"/>
  <c r="J14" i="65"/>
  <c r="K14" i="65"/>
  <c r="O14" i="65"/>
  <c r="G14" i="65" s="1"/>
  <c r="F14" i="65" s="1"/>
  <c r="P14" i="65"/>
  <c r="C15" i="65"/>
  <c r="D15" i="65" s="1"/>
  <c r="J15" i="65"/>
  <c r="K15" i="65"/>
  <c r="O15" i="65"/>
  <c r="G15" i="65" s="1"/>
  <c r="F15" i="65" s="1"/>
  <c r="P15" i="65"/>
  <c r="K16" i="65"/>
  <c r="K17" i="65"/>
  <c r="K18" i="65"/>
  <c r="K19" i="65"/>
  <c r="K20" i="65"/>
  <c r="K21" i="65"/>
  <c r="K22" i="65"/>
  <c r="K23" i="65"/>
  <c r="K24" i="65"/>
  <c r="K25" i="65"/>
  <c r="K26" i="65"/>
  <c r="K27" i="65"/>
  <c r="K28" i="65"/>
  <c r="K29" i="65"/>
  <c r="K30" i="65"/>
  <c r="P16" i="65"/>
  <c r="P17" i="65"/>
  <c r="P18" i="65"/>
  <c r="P19" i="65"/>
  <c r="P20" i="65"/>
  <c r="P21" i="65"/>
  <c r="P22" i="65"/>
  <c r="P23" i="65"/>
  <c r="P24" i="65"/>
  <c r="P25" i="65"/>
  <c r="P26" i="65"/>
  <c r="P27" i="65"/>
  <c r="P28" i="65"/>
  <c r="P29" i="65"/>
  <c r="P30" i="65"/>
  <c r="J16" i="65"/>
  <c r="J17" i="65"/>
  <c r="J18" i="65"/>
  <c r="J19" i="65"/>
  <c r="J20" i="65"/>
  <c r="J21" i="65"/>
  <c r="J22" i="65"/>
  <c r="J23" i="65"/>
  <c r="J24" i="65"/>
  <c r="J25" i="65"/>
  <c r="J26" i="65"/>
  <c r="J27" i="65"/>
  <c r="J28" i="65"/>
  <c r="J29" i="65"/>
  <c r="J30" i="65"/>
  <c r="C16" i="65"/>
  <c r="D16" i="65" s="1"/>
  <c r="C17" i="65"/>
  <c r="D17" i="65" s="1"/>
  <c r="C18" i="65"/>
  <c r="D18" i="65" s="1"/>
  <c r="C19" i="65"/>
  <c r="D19" i="65" s="1"/>
  <c r="C20" i="65"/>
  <c r="D20" i="65" s="1"/>
  <c r="C21" i="65"/>
  <c r="D21" i="65" s="1"/>
  <c r="C22" i="65"/>
  <c r="D22" i="65" s="1"/>
  <c r="C23" i="65"/>
  <c r="D23" i="65" s="1"/>
  <c r="C24" i="65"/>
  <c r="D24" i="65" s="1"/>
  <c r="C25" i="65"/>
  <c r="D25" i="65" s="1"/>
  <c r="C26" i="65"/>
  <c r="D26" i="65" s="1"/>
  <c r="C27" i="65"/>
  <c r="D27" i="65" s="1"/>
  <c r="C28" i="65"/>
  <c r="D28" i="65" s="1"/>
  <c r="C29" i="65"/>
  <c r="D29" i="65" s="1"/>
  <c r="C30" i="65"/>
  <c r="D30" i="65" s="1"/>
  <c r="M7" i="65" l="1"/>
  <c r="F13" i="65"/>
  <c r="M13" i="65"/>
  <c r="F4" i="65"/>
  <c r="M4" i="65"/>
  <c r="M9" i="65"/>
  <c r="M14" i="65"/>
  <c r="F12" i="65"/>
  <c r="F10" i="65"/>
  <c r="F8" i="65"/>
  <c r="F6" i="65"/>
  <c r="M15" i="65"/>
  <c r="M5" i="65"/>
  <c r="M11" i="65"/>
  <c r="A7" i="120" l="1"/>
  <c r="A8" i="120"/>
  <c r="A9" i="120"/>
  <c r="A10" i="120"/>
  <c r="A11" i="120"/>
  <c r="A12" i="120"/>
  <c r="A13" i="120"/>
  <c r="A14" i="120"/>
  <c r="AF14" i="14"/>
  <c r="AF15" i="14"/>
  <c r="AF16" i="14"/>
  <c r="AF17" i="14"/>
  <c r="AF18" i="14"/>
  <c r="AF19" i="14"/>
  <c r="AF20" i="14"/>
  <c r="AF21" i="14"/>
  <c r="AF22" i="14"/>
  <c r="AF23" i="14"/>
  <c r="AF24" i="14"/>
  <c r="AF25" i="14"/>
  <c r="AF26" i="14"/>
  <c r="AF27" i="14"/>
  <c r="AF28" i="14"/>
  <c r="AF29" i="14"/>
  <c r="AF30" i="14"/>
  <c r="AF31" i="14"/>
  <c r="AF32" i="14"/>
  <c r="AF33" i="14"/>
  <c r="AF34" i="14"/>
  <c r="AF35" i="14"/>
  <c r="AF36" i="14"/>
  <c r="AF37" i="14"/>
  <c r="AF38" i="14"/>
  <c r="AF39" i="14"/>
  <c r="AF40" i="14"/>
  <c r="AF41" i="14"/>
  <c r="AF42" i="14"/>
  <c r="AF43" i="14"/>
  <c r="AF44" i="14"/>
  <c r="AF45" i="14"/>
  <c r="AF46" i="14"/>
  <c r="AF47" i="14"/>
  <c r="AF48" i="14"/>
  <c r="AF49" i="14"/>
  <c r="AF50" i="14"/>
  <c r="AF51" i="14"/>
  <c r="AF52" i="14"/>
  <c r="AF53" i="14"/>
  <c r="AF54" i="14"/>
  <c r="AF55" i="14"/>
  <c r="AF56" i="14"/>
  <c r="AF57" i="14"/>
  <c r="AF58" i="14"/>
  <c r="AF59" i="14"/>
  <c r="AF60" i="14"/>
  <c r="AF61" i="14"/>
  <c r="AF62" i="14"/>
  <c r="AF63" i="14"/>
  <c r="AF64" i="14"/>
  <c r="AF65" i="14"/>
  <c r="AF66" i="14"/>
  <c r="AF67" i="14"/>
  <c r="AF68" i="14"/>
  <c r="AF69" i="14"/>
  <c r="AF70" i="14"/>
  <c r="AF71" i="14"/>
  <c r="AF72" i="14"/>
  <c r="AF73" i="14"/>
  <c r="AF74" i="14"/>
  <c r="AF75" i="14"/>
  <c r="AF76" i="14"/>
  <c r="AF77" i="14"/>
  <c r="AF78" i="14"/>
  <c r="AF79" i="14"/>
  <c r="AF80" i="14"/>
  <c r="AF81" i="14"/>
  <c r="AF82" i="14"/>
  <c r="AF83" i="14"/>
  <c r="AF84" i="14"/>
  <c r="AF85" i="14"/>
  <c r="AF86" i="14"/>
  <c r="AF87" i="14"/>
  <c r="AF88" i="14"/>
  <c r="AF89" i="14"/>
  <c r="AF90" i="14"/>
  <c r="AF91" i="14"/>
  <c r="AF92" i="14"/>
  <c r="AF93" i="14"/>
  <c r="AF94" i="14"/>
  <c r="AF95" i="14"/>
  <c r="AF96" i="14"/>
  <c r="AF97" i="14"/>
  <c r="AF98" i="14"/>
  <c r="AF99" i="14"/>
  <c r="AF100" i="14"/>
  <c r="AF101" i="14"/>
  <c r="AF102" i="14"/>
  <c r="AF103" i="14"/>
  <c r="AF104" i="14"/>
  <c r="AF105" i="14"/>
  <c r="AF106" i="14"/>
  <c r="AF107" i="14"/>
  <c r="AF108" i="14"/>
  <c r="AF109" i="14"/>
  <c r="AF110" i="14"/>
  <c r="AF111" i="14"/>
  <c r="AF112" i="14"/>
  <c r="AF113" i="14"/>
  <c r="AF114" i="14"/>
  <c r="AF115" i="14"/>
  <c r="AF116" i="14"/>
  <c r="AF117" i="14"/>
  <c r="AF118" i="14"/>
  <c r="AF119" i="14"/>
  <c r="AF120" i="14"/>
  <c r="AF121" i="14"/>
  <c r="AF122" i="14"/>
  <c r="AF123" i="14"/>
  <c r="AF124" i="14"/>
  <c r="AF125" i="14"/>
  <c r="AF126" i="14"/>
  <c r="AF127" i="14"/>
  <c r="AF128" i="14"/>
  <c r="AF129" i="14"/>
  <c r="AF130" i="14"/>
  <c r="AF131" i="14"/>
  <c r="AF132" i="14"/>
  <c r="AF133" i="14"/>
  <c r="AF134" i="14"/>
  <c r="AF135" i="14"/>
  <c r="AF136" i="14"/>
  <c r="AF137" i="14"/>
  <c r="AF138" i="14"/>
  <c r="AF139" i="14"/>
  <c r="AF140" i="14"/>
  <c r="AF141" i="14"/>
  <c r="AF142" i="14"/>
  <c r="AF143" i="14"/>
  <c r="AF144" i="14"/>
  <c r="AF145" i="14"/>
  <c r="AF146" i="14"/>
  <c r="AF147" i="14"/>
  <c r="AF148" i="14"/>
  <c r="AF149" i="14"/>
  <c r="AF150" i="14"/>
  <c r="AF151" i="14"/>
  <c r="AF152" i="14"/>
  <c r="AF153" i="14"/>
  <c r="AF154" i="14"/>
  <c r="AF155" i="14"/>
  <c r="AF6" i="14"/>
  <c r="AF7" i="14"/>
  <c r="AF8" i="14"/>
  <c r="AF9" i="14"/>
  <c r="AF10" i="14"/>
  <c r="AF11" i="14"/>
  <c r="AF12" i="14"/>
  <c r="AF13" i="14"/>
  <c r="E137" i="74" l="1"/>
  <c r="D139" i="74"/>
  <c r="E139" i="74"/>
  <c r="F139" i="74"/>
  <c r="D140" i="74"/>
  <c r="E140" i="74"/>
  <c r="F140" i="74"/>
  <c r="D141" i="74"/>
  <c r="E141" i="74"/>
  <c r="F141" i="74"/>
  <c r="D142" i="74"/>
  <c r="E142" i="74"/>
  <c r="F142" i="74"/>
  <c r="D143" i="74"/>
  <c r="E143" i="74"/>
  <c r="F143" i="74"/>
  <c r="D144" i="74"/>
  <c r="E144" i="74"/>
  <c r="F144" i="74"/>
  <c r="D145" i="74"/>
  <c r="E145" i="74"/>
  <c r="F145" i="74"/>
  <c r="D146" i="74"/>
  <c r="E146" i="74"/>
  <c r="F146" i="74"/>
  <c r="D147" i="74"/>
  <c r="E147" i="74"/>
  <c r="F147" i="74"/>
  <c r="D148" i="74"/>
  <c r="E148" i="74"/>
  <c r="F148" i="74"/>
  <c r="D149" i="74"/>
  <c r="E149" i="74"/>
  <c r="F149" i="74"/>
  <c r="D150" i="74"/>
  <c r="E150" i="74"/>
  <c r="F150" i="74"/>
  <c r="D151" i="74"/>
  <c r="E151" i="74"/>
  <c r="F151" i="74"/>
  <c r="D152" i="74"/>
  <c r="E152" i="74"/>
  <c r="F152" i="74"/>
  <c r="D153" i="74"/>
  <c r="E153" i="74"/>
  <c r="F153" i="74"/>
  <c r="D154" i="74"/>
  <c r="E154" i="74"/>
  <c r="F154" i="74"/>
  <c r="D155" i="74"/>
  <c r="E155" i="74"/>
  <c r="F155" i="74"/>
  <c r="D156" i="74"/>
  <c r="E156" i="74"/>
  <c r="F156" i="74"/>
  <c r="D157" i="74"/>
  <c r="E157" i="74"/>
  <c r="F157" i="74"/>
  <c r="D158" i="74"/>
  <c r="E158" i="74"/>
  <c r="F158" i="74"/>
  <c r="D159" i="74"/>
  <c r="E159" i="74"/>
  <c r="F159" i="74"/>
  <c r="D160" i="74"/>
  <c r="E160" i="74"/>
  <c r="F160" i="74"/>
  <c r="D161" i="74"/>
  <c r="E161" i="74"/>
  <c r="F161" i="74"/>
  <c r="D162" i="74"/>
  <c r="E162" i="74"/>
  <c r="F162" i="74"/>
  <c r="D163" i="74"/>
  <c r="E163" i="74"/>
  <c r="F163" i="74"/>
  <c r="D164" i="74"/>
  <c r="E164" i="74"/>
  <c r="F164" i="74"/>
  <c r="D165" i="74"/>
  <c r="E165" i="74"/>
  <c r="F165" i="74"/>
  <c r="D166" i="74"/>
  <c r="E166" i="74"/>
  <c r="F166" i="74"/>
  <c r="D167" i="74"/>
  <c r="E167" i="74"/>
  <c r="F167" i="74"/>
  <c r="D168" i="74"/>
  <c r="E168" i="74"/>
  <c r="F168" i="74"/>
  <c r="D169" i="74"/>
  <c r="E169" i="74"/>
  <c r="F169" i="74"/>
  <c r="D170" i="74"/>
  <c r="E170" i="74"/>
  <c r="F170" i="74"/>
  <c r="D171" i="74"/>
  <c r="E171" i="74"/>
  <c r="F171" i="74"/>
  <c r="D172" i="74"/>
  <c r="E172" i="74"/>
  <c r="F172" i="74"/>
  <c r="D173" i="74"/>
  <c r="E173" i="74"/>
  <c r="F173" i="74"/>
  <c r="D174" i="74"/>
  <c r="E174" i="74"/>
  <c r="F174" i="74"/>
  <c r="D175" i="74"/>
  <c r="E175" i="74"/>
  <c r="F175" i="74"/>
  <c r="D176" i="74"/>
  <c r="E176" i="74"/>
  <c r="F176" i="74"/>
  <c r="D177" i="74"/>
  <c r="E177" i="74"/>
  <c r="F177" i="74"/>
  <c r="D178" i="74"/>
  <c r="E178" i="74"/>
  <c r="F178" i="74"/>
  <c r="D179" i="74"/>
  <c r="E179" i="74"/>
  <c r="F179" i="74"/>
  <c r="D180" i="74"/>
  <c r="E180" i="74"/>
  <c r="F180" i="74"/>
  <c r="D181" i="74"/>
  <c r="E181" i="74"/>
  <c r="F181" i="74"/>
  <c r="D182" i="74"/>
  <c r="E182" i="74"/>
  <c r="F182" i="74"/>
  <c r="D183" i="74"/>
  <c r="E183" i="74"/>
  <c r="F183" i="74"/>
  <c r="D184" i="74"/>
  <c r="E184" i="74"/>
  <c r="F184" i="74"/>
  <c r="D185" i="74"/>
  <c r="E185" i="74"/>
  <c r="F185" i="74"/>
  <c r="D186" i="74"/>
  <c r="E186" i="74"/>
  <c r="F186" i="74"/>
  <c r="D187" i="74"/>
  <c r="E187" i="74"/>
  <c r="F187" i="74"/>
  <c r="D188" i="74"/>
  <c r="E188" i="74"/>
  <c r="F188" i="74"/>
  <c r="D189" i="74"/>
  <c r="E189" i="74"/>
  <c r="F189" i="74"/>
  <c r="D190" i="74"/>
  <c r="E190" i="74"/>
  <c r="F190" i="74"/>
  <c r="D191" i="74"/>
  <c r="E191" i="74"/>
  <c r="F191" i="74"/>
  <c r="D192" i="74"/>
  <c r="E192" i="74"/>
  <c r="F192" i="74"/>
  <c r="D193" i="74"/>
  <c r="E193" i="74"/>
  <c r="F193" i="74"/>
  <c r="D194" i="74"/>
  <c r="E194" i="74"/>
  <c r="F194" i="74"/>
  <c r="D195" i="74"/>
  <c r="E195" i="74"/>
  <c r="F195" i="74"/>
  <c r="D196" i="74"/>
  <c r="E196" i="74"/>
  <c r="F196" i="74"/>
  <c r="D197" i="74"/>
  <c r="E197" i="74"/>
  <c r="F197" i="74"/>
  <c r="D198" i="74"/>
  <c r="E198" i="74"/>
  <c r="F198" i="74"/>
  <c r="D199" i="74"/>
  <c r="E199" i="74"/>
  <c r="F199" i="74"/>
  <c r="D200" i="74"/>
  <c r="E200" i="74"/>
  <c r="F200" i="74"/>
  <c r="D201" i="74"/>
  <c r="E201" i="74"/>
  <c r="F201" i="74"/>
  <c r="D202" i="74"/>
  <c r="E202" i="74"/>
  <c r="F202" i="74"/>
  <c r="D203" i="74"/>
  <c r="E203" i="74"/>
  <c r="F203" i="74"/>
  <c r="D204" i="74"/>
  <c r="E204" i="74"/>
  <c r="F204" i="74"/>
  <c r="D205" i="74"/>
  <c r="E205" i="74"/>
  <c r="F205" i="74"/>
  <c r="D206" i="74"/>
  <c r="E206" i="74"/>
  <c r="F206" i="74"/>
  <c r="D207" i="74"/>
  <c r="E207" i="74"/>
  <c r="F207" i="74"/>
  <c r="D208" i="74"/>
  <c r="E208" i="74"/>
  <c r="F208" i="74"/>
  <c r="D209" i="74"/>
  <c r="E209" i="74"/>
  <c r="F209" i="74"/>
  <c r="D210" i="74"/>
  <c r="E210" i="74"/>
  <c r="F210" i="74"/>
  <c r="D211" i="74"/>
  <c r="E211" i="74"/>
  <c r="F211" i="74"/>
  <c r="D212" i="74"/>
  <c r="E212" i="74"/>
  <c r="F212" i="74"/>
  <c r="D213" i="74"/>
  <c r="E213" i="74"/>
  <c r="F213" i="74"/>
  <c r="D214" i="74"/>
  <c r="E214" i="74"/>
  <c r="F214" i="74"/>
  <c r="D215" i="74"/>
  <c r="E215" i="74"/>
  <c r="F215" i="74"/>
  <c r="D216" i="74"/>
  <c r="E216" i="74"/>
  <c r="F216" i="74"/>
  <c r="D217" i="74"/>
  <c r="E217" i="74"/>
  <c r="F217" i="74"/>
  <c r="D218" i="74"/>
  <c r="E218" i="74"/>
  <c r="F218" i="74"/>
  <c r="D219" i="74"/>
  <c r="E219" i="74"/>
  <c r="F219" i="74"/>
  <c r="D220" i="74"/>
  <c r="E220" i="74"/>
  <c r="F220" i="74"/>
  <c r="D221" i="74"/>
  <c r="E221" i="74"/>
  <c r="F221" i="74"/>
  <c r="D222" i="74"/>
  <c r="E222" i="74"/>
  <c r="F222" i="74"/>
  <c r="D223" i="74"/>
  <c r="E223" i="74"/>
  <c r="F223" i="74"/>
  <c r="D224" i="74"/>
  <c r="E224" i="74"/>
  <c r="F224" i="74"/>
  <c r="D225" i="74"/>
  <c r="E225" i="74"/>
  <c r="F225" i="74"/>
  <c r="D226" i="74"/>
  <c r="E226" i="74"/>
  <c r="F226" i="74"/>
  <c r="D227" i="74"/>
  <c r="E227" i="74"/>
  <c r="F227" i="74"/>
  <c r="D228" i="74"/>
  <c r="E228" i="74"/>
  <c r="F228" i="74"/>
  <c r="D229" i="74"/>
  <c r="E229" i="74"/>
  <c r="F229" i="74"/>
  <c r="D230" i="74"/>
  <c r="E230" i="74"/>
  <c r="F230" i="74"/>
  <c r="D231" i="74"/>
  <c r="E231" i="74"/>
  <c r="F231" i="74"/>
  <c r="D232" i="74"/>
  <c r="E232" i="74"/>
  <c r="F232" i="74"/>
  <c r="D233" i="74"/>
  <c r="E233" i="74"/>
  <c r="F233" i="74"/>
  <c r="D234" i="74"/>
  <c r="E234" i="74"/>
  <c r="F234" i="74"/>
  <c r="K139" i="74"/>
  <c r="K140" i="74"/>
  <c r="K141" i="74"/>
  <c r="K142" i="74"/>
  <c r="K143" i="74"/>
  <c r="K144" i="74"/>
  <c r="K145" i="74"/>
  <c r="K146" i="74"/>
  <c r="K147" i="74"/>
  <c r="K148" i="74"/>
  <c r="K149" i="74"/>
  <c r="K150" i="74"/>
  <c r="K151" i="74"/>
  <c r="K152" i="74"/>
  <c r="K153" i="74"/>
  <c r="K154" i="74"/>
  <c r="K155" i="74"/>
  <c r="K156" i="74"/>
  <c r="K157" i="74"/>
  <c r="K158" i="74"/>
  <c r="K159" i="74"/>
  <c r="K160" i="74"/>
  <c r="K161" i="74"/>
  <c r="K162" i="74"/>
  <c r="K163" i="74"/>
  <c r="K164" i="74"/>
  <c r="K165" i="74"/>
  <c r="K166" i="74"/>
  <c r="K167" i="74"/>
  <c r="K168" i="74"/>
  <c r="K169" i="74"/>
  <c r="K170" i="74"/>
  <c r="K171" i="74"/>
  <c r="K172" i="74"/>
  <c r="K173" i="74"/>
  <c r="K174" i="74"/>
  <c r="K175" i="74"/>
  <c r="K176" i="74"/>
  <c r="K177" i="74"/>
  <c r="K178" i="74"/>
  <c r="K179" i="74"/>
  <c r="K180" i="74"/>
  <c r="K181" i="74"/>
  <c r="K182" i="74"/>
  <c r="K183" i="74"/>
  <c r="K184" i="74"/>
  <c r="K185" i="74"/>
  <c r="K186" i="74"/>
  <c r="K187" i="74"/>
  <c r="K188" i="74"/>
  <c r="K189" i="74"/>
  <c r="K190" i="74"/>
  <c r="K191" i="74"/>
  <c r="K192" i="74"/>
  <c r="K193" i="74"/>
  <c r="K194" i="74"/>
  <c r="K195" i="74"/>
  <c r="K196" i="74"/>
  <c r="K197" i="74"/>
  <c r="K198" i="74"/>
  <c r="K199" i="74"/>
  <c r="K200" i="74"/>
  <c r="K201" i="74"/>
  <c r="K202" i="74"/>
  <c r="K203" i="74"/>
  <c r="K204" i="74"/>
  <c r="K205" i="74"/>
  <c r="K206" i="74"/>
  <c r="K207" i="74"/>
  <c r="K208" i="74"/>
  <c r="K209" i="74"/>
  <c r="K210" i="74"/>
  <c r="K211" i="74"/>
  <c r="K212" i="74"/>
  <c r="K213" i="74"/>
  <c r="K214" i="74"/>
  <c r="K215" i="74"/>
  <c r="K216" i="74"/>
  <c r="K217" i="74"/>
  <c r="K218" i="74"/>
  <c r="K219" i="74"/>
  <c r="K220" i="74"/>
  <c r="K221" i="74"/>
  <c r="K222" i="74"/>
  <c r="K223" i="74"/>
  <c r="K224" i="74"/>
  <c r="K225" i="74"/>
  <c r="K226" i="74"/>
  <c r="K227" i="74"/>
  <c r="K228" i="74"/>
  <c r="K229" i="74"/>
  <c r="K230" i="74"/>
  <c r="K231" i="74"/>
  <c r="K232" i="74"/>
  <c r="K233" i="74"/>
  <c r="K234" i="74"/>
  <c r="A115" i="74" l="1"/>
  <c r="A116" i="74"/>
  <c r="A117" i="74"/>
  <c r="A118" i="74"/>
  <c r="A119" i="74"/>
  <c r="A120" i="74"/>
  <c r="A121" i="74"/>
  <c r="A122" i="74"/>
  <c r="A123" i="74"/>
  <c r="A124" i="74"/>
  <c r="A125" i="74"/>
  <c r="A126" i="74"/>
  <c r="A127" i="74"/>
  <c r="A128" i="74"/>
  <c r="A129" i="74"/>
  <c r="A130" i="74"/>
  <c r="A131" i="74"/>
  <c r="A114" i="74"/>
  <c r="C135" i="74"/>
  <c r="A135" i="74" s="1"/>
  <c r="C136" i="74"/>
  <c r="A136" i="74" s="1"/>
  <c r="C139" i="74"/>
  <c r="A139" i="74" s="1"/>
  <c r="C140" i="74"/>
  <c r="C141" i="74"/>
  <c r="C142" i="74"/>
  <c r="C143" i="74"/>
  <c r="C144" i="74"/>
  <c r="C145" i="74"/>
  <c r="C146" i="74"/>
  <c r="C147" i="74"/>
  <c r="C148" i="74"/>
  <c r="C149" i="74"/>
  <c r="C150" i="74"/>
  <c r="C151" i="74"/>
  <c r="C152" i="74"/>
  <c r="C153" i="74"/>
  <c r="C154" i="74"/>
  <c r="C155" i="74"/>
  <c r="C156" i="74"/>
  <c r="C157" i="74"/>
  <c r="C158" i="74"/>
  <c r="C159" i="74"/>
  <c r="C160" i="74"/>
  <c r="C161" i="74"/>
  <c r="C162" i="74"/>
  <c r="C163" i="74"/>
  <c r="C164" i="74"/>
  <c r="C165" i="74"/>
  <c r="C166" i="74"/>
  <c r="C167" i="74"/>
  <c r="C168" i="74"/>
  <c r="C169" i="74"/>
  <c r="C170" i="74"/>
  <c r="C171" i="74"/>
  <c r="C172" i="74"/>
  <c r="C173" i="74"/>
  <c r="C174" i="74"/>
  <c r="C175" i="74"/>
  <c r="C176" i="74"/>
  <c r="C177" i="74"/>
  <c r="C178" i="74"/>
  <c r="C179" i="74"/>
  <c r="C180" i="74"/>
  <c r="C181" i="74"/>
  <c r="C182" i="74"/>
  <c r="C183" i="74"/>
  <c r="C184" i="74"/>
  <c r="C185" i="74"/>
  <c r="C186" i="74"/>
  <c r="C187" i="74"/>
  <c r="C188" i="74"/>
  <c r="C189" i="74"/>
  <c r="C190" i="74"/>
  <c r="C191" i="74"/>
  <c r="C192" i="74"/>
  <c r="C193" i="74"/>
  <c r="C194" i="74"/>
  <c r="C195" i="74"/>
  <c r="C196" i="74"/>
  <c r="C197" i="74"/>
  <c r="C198" i="74"/>
  <c r="C199" i="74"/>
  <c r="C200" i="74"/>
  <c r="C201" i="74"/>
  <c r="C202" i="74"/>
  <c r="C203" i="74"/>
  <c r="C204" i="74"/>
  <c r="C205" i="74"/>
  <c r="C206" i="74"/>
  <c r="C207" i="74"/>
  <c r="C208" i="74"/>
  <c r="C209" i="74"/>
  <c r="C210" i="74"/>
  <c r="C211" i="74"/>
  <c r="C212" i="74"/>
  <c r="C213" i="74"/>
  <c r="C214" i="74"/>
  <c r="C215" i="74"/>
  <c r="C216" i="74"/>
  <c r="C217" i="74"/>
  <c r="C218" i="74"/>
  <c r="C219" i="74"/>
  <c r="C220" i="74"/>
  <c r="C221" i="74"/>
  <c r="C222" i="74"/>
  <c r="C223" i="74"/>
  <c r="C224" i="74"/>
  <c r="C225" i="74"/>
  <c r="C226" i="74"/>
  <c r="C227" i="74"/>
  <c r="C228" i="74"/>
  <c r="C229" i="74"/>
  <c r="C230" i="74"/>
  <c r="C231" i="74"/>
  <c r="C232" i="74"/>
  <c r="C233" i="74"/>
  <c r="C234" i="74"/>
  <c r="C137" i="74" l="1"/>
  <c r="I3" i="22"/>
  <c r="A137" i="74" l="1"/>
  <c r="C138" i="74"/>
  <c r="A138" i="74" s="1"/>
  <c r="R7" i="54"/>
  <c r="R8" i="54"/>
  <c r="R9" i="54"/>
  <c r="R10" i="54"/>
  <c r="R11" i="54"/>
  <c r="R12" i="54"/>
  <c r="R13" i="54"/>
  <c r="R14" i="54"/>
  <c r="R15" i="54"/>
  <c r="R16" i="54"/>
  <c r="R17" i="54"/>
  <c r="R18" i="54"/>
  <c r="R19" i="54"/>
  <c r="R20" i="54"/>
  <c r="R21" i="54"/>
  <c r="R22" i="54"/>
  <c r="R23" i="54"/>
  <c r="R24" i="54"/>
  <c r="R25" i="54"/>
  <c r="R26" i="54"/>
  <c r="R27" i="54"/>
  <c r="R28" i="54"/>
  <c r="R29" i="54"/>
  <c r="R30" i="54"/>
  <c r="R31" i="54"/>
  <c r="R32" i="54"/>
  <c r="R33" i="54"/>
  <c r="R34" i="54"/>
  <c r="R35" i="54"/>
  <c r="R36" i="54"/>
  <c r="R37" i="54"/>
  <c r="R38" i="54"/>
  <c r="R39" i="54"/>
  <c r="R40" i="54"/>
  <c r="L9" i="51" l="1"/>
  <c r="L10" i="51"/>
  <c r="L11" i="51"/>
  <c r="L12" i="51"/>
  <c r="L13" i="51"/>
  <c r="L14" i="51"/>
  <c r="L15" i="51"/>
  <c r="L16" i="51"/>
  <c r="L17" i="51"/>
  <c r="L18" i="51"/>
  <c r="L19" i="51"/>
  <c r="L20" i="51"/>
  <c r="L21" i="51"/>
  <c r="L22" i="51"/>
  <c r="L23" i="51"/>
  <c r="L24" i="51"/>
  <c r="L25" i="51"/>
  <c r="L26" i="51"/>
  <c r="L27" i="51"/>
  <c r="L28" i="51"/>
  <c r="L29" i="51"/>
  <c r="L30" i="51"/>
  <c r="L31" i="51"/>
  <c r="L32" i="51"/>
  <c r="L33" i="51"/>
  <c r="L34" i="51"/>
  <c r="L35" i="51"/>
  <c r="L36" i="51"/>
  <c r="L37" i="51"/>
  <c r="L38" i="51"/>
  <c r="L39" i="51"/>
  <c r="L40" i="51"/>
  <c r="L41" i="51"/>
  <c r="L42" i="51"/>
  <c r="L43" i="51"/>
  <c r="L44" i="51"/>
  <c r="L45" i="51"/>
  <c r="L46" i="51"/>
  <c r="L47" i="51"/>
  <c r="L48" i="51"/>
  <c r="L49" i="51"/>
  <c r="L50" i="51"/>
  <c r="L51" i="51"/>
  <c r="L52" i="51"/>
  <c r="L53" i="51"/>
  <c r="L54" i="51"/>
  <c r="L55" i="51"/>
  <c r="L56" i="51"/>
  <c r="L57" i="51"/>
  <c r="L58" i="51"/>
  <c r="L59" i="51"/>
  <c r="L60" i="51"/>
  <c r="L61" i="51"/>
  <c r="L62" i="51"/>
  <c r="L63" i="51"/>
  <c r="L64" i="51"/>
  <c r="L65" i="51"/>
  <c r="L66" i="51"/>
  <c r="L67" i="51"/>
  <c r="L68" i="51"/>
  <c r="L69" i="51"/>
  <c r="L70" i="51"/>
  <c r="L71" i="51"/>
  <c r="L72" i="51"/>
  <c r="L73" i="51"/>
  <c r="L74" i="51"/>
  <c r="L75" i="51"/>
  <c r="L76" i="51"/>
  <c r="L77" i="51"/>
  <c r="L78" i="51"/>
  <c r="L79" i="51"/>
  <c r="L80" i="51"/>
  <c r="L81" i="51"/>
  <c r="L82" i="51"/>
  <c r="L83" i="51"/>
  <c r="L84" i="51"/>
  <c r="L85" i="51"/>
  <c r="L86" i="51"/>
  <c r="L87" i="51"/>
  <c r="L88" i="51"/>
  <c r="L89" i="51"/>
  <c r="L90" i="51"/>
  <c r="L91" i="51"/>
  <c r="L92" i="51"/>
  <c r="L93" i="51"/>
  <c r="L94" i="51"/>
  <c r="L95" i="51"/>
  <c r="L96" i="51"/>
  <c r="L97" i="51"/>
  <c r="L98" i="51"/>
  <c r="L99" i="51"/>
  <c r="L100" i="51"/>
  <c r="L101" i="51"/>
  <c r="L102" i="51"/>
  <c r="L103" i="51"/>
  <c r="L104" i="51"/>
  <c r="L105" i="51"/>
  <c r="L106" i="51"/>
  <c r="L107" i="51"/>
  <c r="L108" i="51"/>
  <c r="L109" i="51"/>
  <c r="L110" i="51"/>
  <c r="L111" i="51"/>
  <c r="L112" i="51"/>
  <c r="L113" i="51"/>
  <c r="L114" i="51"/>
  <c r="L115" i="51"/>
  <c r="L116" i="51"/>
  <c r="L117" i="51"/>
  <c r="L118" i="51"/>
  <c r="L119" i="51"/>
  <c r="L120" i="51"/>
  <c r="L121" i="51"/>
  <c r="L122" i="51"/>
  <c r="L123" i="51"/>
  <c r="L124" i="51"/>
  <c r="L125" i="51"/>
  <c r="L126" i="51"/>
  <c r="L127" i="51"/>
  <c r="L128" i="51"/>
  <c r="L129" i="51"/>
  <c r="L130" i="51"/>
  <c r="L131" i="51"/>
  <c r="L132" i="51"/>
  <c r="L133" i="51"/>
  <c r="L134" i="51"/>
  <c r="L135" i="51"/>
  <c r="L136" i="51"/>
  <c r="L137" i="51"/>
  <c r="L138" i="51"/>
  <c r="L139" i="51"/>
  <c r="L140" i="51"/>
  <c r="L141" i="51"/>
  <c r="L142" i="51"/>
  <c r="L143" i="51"/>
  <c r="Q22" i="52" l="1"/>
  <c r="Q21" i="52"/>
  <c r="Q20" i="52"/>
  <c r="Q19" i="52"/>
  <c r="Q18" i="52"/>
  <c r="Q17" i="52"/>
  <c r="Q16" i="52"/>
  <c r="Q15" i="52"/>
  <c r="Q14" i="52"/>
  <c r="Q13" i="52"/>
  <c r="Q12" i="52"/>
  <c r="Q11" i="52"/>
  <c r="Q10" i="52"/>
  <c r="Q9" i="52"/>
  <c r="Q8" i="52"/>
  <c r="Q7" i="52"/>
  <c r="Q6" i="52"/>
  <c r="Q5" i="52"/>
  <c r="T27" i="84"/>
  <c r="S27" i="84"/>
  <c r="R27" i="84"/>
  <c r="Q27" i="84"/>
  <c r="P27" i="84"/>
  <c r="O27" i="84"/>
  <c r="N27" i="84"/>
  <c r="M27" i="84"/>
  <c r="L27" i="84"/>
  <c r="K27" i="84"/>
  <c r="J27" i="84"/>
  <c r="I27" i="84"/>
  <c r="H27" i="84"/>
  <c r="G27" i="84"/>
  <c r="F27" i="84"/>
  <c r="E27" i="84"/>
  <c r="D27" i="84"/>
  <c r="C27" i="84"/>
  <c r="B27" i="84"/>
  <c r="C1" i="84"/>
  <c r="O38" i="54"/>
  <c r="O37" i="54"/>
  <c r="O36" i="54"/>
  <c r="O35" i="54"/>
  <c r="O34" i="54"/>
  <c r="O33" i="54"/>
  <c r="O32" i="54"/>
  <c r="O31" i="54"/>
  <c r="O30" i="54"/>
  <c r="O29" i="54"/>
  <c r="O28" i="54"/>
  <c r="O27" i="54"/>
  <c r="O26" i="54"/>
  <c r="O25" i="54"/>
  <c r="O24" i="54"/>
  <c r="O23" i="54"/>
  <c r="O22" i="54"/>
  <c r="O21" i="54"/>
  <c r="O20" i="54"/>
  <c r="O19" i="54"/>
  <c r="O18" i="54"/>
  <c r="O17" i="54"/>
  <c r="O16" i="54"/>
  <c r="O40" i="54"/>
  <c r="O39" i="54"/>
  <c r="U27" i="84"/>
  <c r="Q30" i="52"/>
  <c r="Q29" i="52"/>
  <c r="Q28" i="52"/>
  <c r="Q27" i="52"/>
  <c r="Q26" i="52"/>
  <c r="Q25" i="52"/>
  <c r="Q24" i="52"/>
  <c r="Q23" i="52"/>
  <c r="O15" i="54"/>
  <c r="O14" i="54"/>
  <c r="O13" i="54"/>
  <c r="O12" i="54"/>
  <c r="O11" i="54"/>
  <c r="O10" i="54"/>
  <c r="O9" i="54"/>
  <c r="O8" i="54"/>
  <c r="O7" i="54"/>
  <c r="L9" i="99"/>
  <c r="L8" i="99"/>
  <c r="L50" i="99"/>
  <c r="L49" i="99"/>
  <c r="L48" i="99"/>
  <c r="L47" i="99"/>
  <c r="L46" i="99"/>
  <c r="L45" i="99"/>
  <c r="L44" i="99"/>
  <c r="L43" i="99"/>
  <c r="L42" i="99"/>
  <c r="L41" i="99"/>
  <c r="L40" i="99"/>
  <c r="L39" i="99"/>
  <c r="L38" i="99"/>
  <c r="L37" i="99"/>
  <c r="L36" i="99"/>
  <c r="L35" i="99"/>
  <c r="L34" i="99"/>
  <c r="L33" i="99"/>
  <c r="L32" i="99"/>
  <c r="L31" i="99"/>
  <c r="L30" i="99"/>
  <c r="L29" i="99"/>
  <c r="L28" i="99"/>
  <c r="L27" i="99"/>
  <c r="L26" i="99"/>
  <c r="L25" i="99"/>
  <c r="L24" i="99"/>
  <c r="L23" i="99"/>
  <c r="L22" i="99"/>
  <c r="L21" i="99"/>
  <c r="L20" i="99"/>
  <c r="L19" i="99"/>
  <c r="L18" i="99"/>
  <c r="L17" i="99"/>
  <c r="L16" i="99"/>
  <c r="L15" i="99"/>
  <c r="L14" i="99"/>
  <c r="L13" i="99"/>
  <c r="L12" i="99"/>
  <c r="L11" i="99"/>
  <c r="L10" i="99"/>
  <c r="N2" i="55"/>
  <c r="K101" i="33"/>
  <c r="K153" i="33"/>
  <c r="K152" i="33"/>
  <c r="K151" i="33"/>
  <c r="K150" i="33"/>
  <c r="K149" i="33"/>
  <c r="K148" i="33"/>
  <c r="K147" i="33"/>
  <c r="K146" i="33"/>
  <c r="K145" i="33"/>
  <c r="K144" i="33"/>
  <c r="K143" i="33"/>
  <c r="K142" i="33"/>
  <c r="K141" i="33"/>
  <c r="K140" i="33"/>
  <c r="K139" i="33"/>
  <c r="K138" i="33"/>
  <c r="K137" i="33"/>
  <c r="K136" i="33"/>
  <c r="K135" i="33"/>
  <c r="K134" i="33"/>
  <c r="K133" i="33"/>
  <c r="K132" i="33"/>
  <c r="K131" i="33"/>
  <c r="K130" i="33"/>
  <c r="K129" i="33"/>
  <c r="K128" i="33"/>
  <c r="K127" i="33"/>
  <c r="K126" i="33"/>
  <c r="K125" i="33"/>
  <c r="K124" i="33"/>
  <c r="K123" i="33"/>
  <c r="K122" i="33"/>
  <c r="K121" i="33"/>
  <c r="K120" i="33"/>
  <c r="K119" i="33"/>
  <c r="K118" i="33"/>
  <c r="K117" i="33"/>
  <c r="K116" i="33"/>
  <c r="K115" i="33"/>
  <c r="K114" i="33"/>
  <c r="K113" i="33"/>
  <c r="K112" i="33"/>
  <c r="K111" i="33"/>
  <c r="K110" i="33"/>
  <c r="K109" i="33"/>
  <c r="K108" i="33"/>
  <c r="K107" i="33"/>
  <c r="K106" i="33"/>
  <c r="K105" i="33"/>
  <c r="K104" i="33"/>
  <c r="K103" i="33"/>
  <c r="K102" i="33"/>
  <c r="K100" i="33"/>
  <c r="K99" i="33"/>
  <c r="K98" i="33"/>
  <c r="K97" i="33"/>
  <c r="K96" i="33"/>
  <c r="K95" i="33"/>
  <c r="K94" i="33"/>
  <c r="K93" i="33"/>
  <c r="K92" i="33"/>
  <c r="K91" i="33"/>
  <c r="K90" i="33"/>
  <c r="K89" i="33"/>
  <c r="K88" i="33"/>
  <c r="K87" i="33"/>
  <c r="K86" i="33"/>
  <c r="K85" i="33"/>
  <c r="K84" i="33"/>
  <c r="K83" i="33"/>
  <c r="K82" i="33"/>
  <c r="K81" i="33"/>
  <c r="K80" i="33"/>
  <c r="K79" i="33"/>
  <c r="K78" i="33"/>
  <c r="K77" i="33"/>
  <c r="K76" i="33"/>
  <c r="K75" i="33"/>
  <c r="K74" i="33"/>
  <c r="K73" i="33"/>
  <c r="K72" i="33"/>
  <c r="K71" i="33"/>
  <c r="K70" i="33"/>
  <c r="K69" i="33"/>
  <c r="K68" i="33"/>
  <c r="K67" i="33"/>
  <c r="K66" i="33"/>
  <c r="K65" i="33"/>
  <c r="K64" i="33"/>
  <c r="K63" i="33"/>
  <c r="K62" i="33"/>
  <c r="K61" i="33"/>
  <c r="K60" i="33"/>
  <c r="K59" i="33"/>
  <c r="K58" i="33"/>
  <c r="K57" i="33"/>
  <c r="K56" i="33"/>
  <c r="K55" i="33"/>
  <c r="K54" i="33"/>
  <c r="K53" i="33"/>
  <c r="K52" i="33"/>
  <c r="K51" i="33"/>
  <c r="K50" i="33"/>
  <c r="K49" i="33"/>
  <c r="K48" i="33"/>
  <c r="K47" i="33"/>
  <c r="K46" i="33"/>
  <c r="K45" i="33"/>
  <c r="K44" i="33"/>
  <c r="K43" i="33"/>
  <c r="K42" i="33"/>
  <c r="K41" i="33"/>
  <c r="K40" i="33"/>
  <c r="K39" i="33"/>
  <c r="K38" i="33"/>
  <c r="K37" i="33"/>
  <c r="K36" i="33"/>
  <c r="K35" i="33"/>
  <c r="K34" i="33"/>
  <c r="K33" i="33"/>
  <c r="K32" i="33"/>
  <c r="K31" i="33"/>
  <c r="K30" i="33"/>
  <c r="K29" i="33"/>
  <c r="K28" i="33"/>
  <c r="K27" i="33"/>
  <c r="K26" i="33"/>
  <c r="K25" i="33"/>
  <c r="K24" i="33"/>
  <c r="K23" i="33"/>
  <c r="K22" i="33"/>
  <c r="K21" i="33"/>
  <c r="K20" i="33"/>
  <c r="K19" i="33"/>
  <c r="K18" i="33"/>
  <c r="K17" i="33"/>
  <c r="K16" i="33"/>
  <c r="K15" i="33"/>
  <c r="K14" i="33"/>
  <c r="K13" i="33"/>
  <c r="K12" i="33"/>
  <c r="D7" i="46"/>
  <c r="A13" i="46" l="1"/>
  <c r="D14" i="46"/>
  <c r="V14" i="14" l="1"/>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V48" i="14"/>
  <c r="V49" i="14"/>
  <c r="V50" i="14"/>
  <c r="V51" i="14"/>
  <c r="V52" i="14"/>
  <c r="V53" i="14"/>
  <c r="V54" i="14"/>
  <c r="V55" i="14"/>
  <c r="V56" i="14"/>
  <c r="V57" i="14"/>
  <c r="V58" i="14"/>
  <c r="V59" i="14"/>
  <c r="V60" i="14"/>
  <c r="V61" i="14"/>
  <c r="V62" i="14"/>
  <c r="V63" i="14"/>
  <c r="V64" i="14"/>
  <c r="V65" i="14"/>
  <c r="V66" i="14"/>
  <c r="V67" i="14"/>
  <c r="V68" i="14"/>
  <c r="V69" i="14"/>
  <c r="V70" i="14"/>
  <c r="V71" i="14"/>
  <c r="V72" i="14"/>
  <c r="V73" i="14"/>
  <c r="V74" i="14"/>
  <c r="V75" i="14"/>
  <c r="V76" i="14"/>
  <c r="V77" i="14"/>
  <c r="V78" i="14"/>
  <c r="V79" i="14"/>
  <c r="V80" i="14"/>
  <c r="V81" i="14"/>
  <c r="V82" i="14"/>
  <c r="V83" i="14"/>
  <c r="V84" i="14"/>
  <c r="V85" i="14"/>
  <c r="V86" i="14"/>
  <c r="V87" i="14"/>
  <c r="V88" i="14"/>
  <c r="V89" i="14"/>
  <c r="V90" i="14"/>
  <c r="V91" i="14"/>
  <c r="V92" i="14"/>
  <c r="V93" i="14"/>
  <c r="V94" i="14"/>
  <c r="V95" i="14"/>
  <c r="V96" i="14"/>
  <c r="V97" i="14"/>
  <c r="V98" i="14"/>
  <c r="V99" i="14"/>
  <c r="V100" i="14"/>
  <c r="V101" i="14"/>
  <c r="V102" i="14"/>
  <c r="V103" i="14"/>
  <c r="V104" i="14"/>
  <c r="V105" i="14"/>
  <c r="V106" i="14"/>
  <c r="V107" i="14"/>
  <c r="V108" i="14"/>
  <c r="V109" i="14"/>
  <c r="V110" i="14"/>
  <c r="V111" i="14"/>
  <c r="V112" i="14"/>
  <c r="V113" i="14"/>
  <c r="V114" i="14"/>
  <c r="V115" i="14"/>
  <c r="V116" i="14"/>
  <c r="V117" i="14"/>
  <c r="V118" i="14"/>
  <c r="V119" i="14"/>
  <c r="V120" i="14"/>
  <c r="V121" i="14"/>
  <c r="V122" i="14"/>
  <c r="V123" i="14"/>
  <c r="V124" i="14"/>
  <c r="V125" i="14"/>
  <c r="V126" i="14"/>
  <c r="V127" i="14"/>
  <c r="V128" i="14"/>
  <c r="V129" i="14"/>
  <c r="V130" i="14"/>
  <c r="V131" i="14"/>
  <c r="V132" i="14"/>
  <c r="V133" i="14"/>
  <c r="V134" i="14"/>
  <c r="V135" i="14"/>
  <c r="V136" i="14"/>
  <c r="V137" i="14"/>
  <c r="V138" i="14"/>
  <c r="V139" i="14"/>
  <c r="V140" i="14"/>
  <c r="V141" i="14"/>
  <c r="V142" i="14"/>
  <c r="V143" i="14"/>
  <c r="V144" i="14"/>
  <c r="V145" i="14"/>
  <c r="V146" i="14"/>
  <c r="V147" i="14"/>
  <c r="V148" i="14"/>
  <c r="V149" i="14"/>
  <c r="V150" i="14"/>
  <c r="V151" i="14"/>
  <c r="V152" i="14"/>
  <c r="V153" i="14"/>
  <c r="V154" i="14"/>
  <c r="V155" i="14"/>
  <c r="H6" i="14"/>
  <c r="D44" i="23" l="1"/>
  <c r="D20" i="46" l="1"/>
  <c r="A1" i="23"/>
  <c r="B20" i="46" l="1"/>
  <c r="A3" i="23" l="1"/>
  <c r="F6" i="51" l="1"/>
  <c r="G6" i="51" s="1"/>
  <c r="F7" i="51"/>
  <c r="G7" i="51" s="1"/>
  <c r="F8" i="51"/>
  <c r="G8" i="51" s="1"/>
  <c r="F9" i="51"/>
  <c r="G9" i="51"/>
  <c r="F10" i="51"/>
  <c r="G10" i="51"/>
  <c r="F11" i="51"/>
  <c r="G11" i="51"/>
  <c r="F12" i="51"/>
  <c r="G12" i="51"/>
  <c r="F13" i="51"/>
  <c r="G13" i="51"/>
  <c r="F14" i="51"/>
  <c r="G14" i="51"/>
  <c r="F15" i="51"/>
  <c r="G15" i="51"/>
  <c r="F16" i="51"/>
  <c r="G16" i="51"/>
  <c r="F17" i="51"/>
  <c r="G17" i="51"/>
  <c r="F18" i="51"/>
  <c r="G18" i="51"/>
  <c r="F19" i="51"/>
  <c r="G19" i="51"/>
  <c r="F20" i="51"/>
  <c r="G20" i="51"/>
  <c r="F21" i="51"/>
  <c r="G21" i="51"/>
  <c r="F22" i="51"/>
  <c r="G22" i="51"/>
  <c r="F23" i="51"/>
  <c r="G23" i="51"/>
  <c r="F24" i="51"/>
  <c r="G24" i="51"/>
  <c r="F25" i="51"/>
  <c r="G25" i="51"/>
  <c r="F26" i="51"/>
  <c r="G26" i="51"/>
  <c r="F27" i="51"/>
  <c r="G27" i="51"/>
  <c r="F28" i="51"/>
  <c r="G28" i="51"/>
  <c r="F29" i="51"/>
  <c r="G29" i="51"/>
  <c r="F30" i="51"/>
  <c r="G30" i="51"/>
  <c r="F31" i="51"/>
  <c r="G31" i="51"/>
  <c r="F32" i="51"/>
  <c r="G32" i="51"/>
  <c r="F33" i="51"/>
  <c r="G33" i="51"/>
  <c r="F34" i="51"/>
  <c r="G34" i="51"/>
  <c r="F35" i="51"/>
  <c r="G35" i="51"/>
  <c r="F36" i="51"/>
  <c r="G36" i="51"/>
  <c r="F37" i="51"/>
  <c r="G37" i="51"/>
  <c r="F38" i="51"/>
  <c r="G38" i="51"/>
  <c r="F39" i="51"/>
  <c r="G39" i="51"/>
  <c r="F40" i="51"/>
  <c r="G40" i="51"/>
  <c r="F41" i="51"/>
  <c r="G41" i="51"/>
  <c r="F42" i="51"/>
  <c r="G42" i="51"/>
  <c r="F43" i="51"/>
  <c r="G43" i="51"/>
  <c r="F44" i="51"/>
  <c r="G44" i="51"/>
  <c r="F45" i="51"/>
  <c r="G45" i="51"/>
  <c r="F46" i="51"/>
  <c r="G46" i="51"/>
  <c r="F47" i="51"/>
  <c r="G47" i="51"/>
  <c r="F48" i="51"/>
  <c r="G48" i="51"/>
  <c r="F49" i="51"/>
  <c r="G49" i="51"/>
  <c r="F50" i="51"/>
  <c r="G50" i="51"/>
  <c r="F51" i="51"/>
  <c r="G51" i="51"/>
  <c r="F52" i="51"/>
  <c r="G52" i="51"/>
  <c r="F53" i="51"/>
  <c r="G53" i="51"/>
  <c r="F54" i="51"/>
  <c r="G54" i="51"/>
  <c r="F55" i="51"/>
  <c r="G55" i="51"/>
  <c r="F56" i="51"/>
  <c r="G56" i="51"/>
  <c r="F57" i="51"/>
  <c r="G57" i="51"/>
  <c r="F58" i="51"/>
  <c r="G58" i="51"/>
  <c r="F59" i="51"/>
  <c r="G59" i="51"/>
  <c r="F60" i="51"/>
  <c r="G60" i="51"/>
  <c r="F61" i="51"/>
  <c r="G61" i="51"/>
  <c r="F62" i="51"/>
  <c r="G62" i="51"/>
  <c r="F63" i="51"/>
  <c r="G63" i="51"/>
  <c r="F64" i="51"/>
  <c r="G64" i="51"/>
  <c r="F65" i="51"/>
  <c r="G65" i="51"/>
  <c r="F66" i="51"/>
  <c r="G66" i="51"/>
  <c r="F67" i="51"/>
  <c r="G67" i="51"/>
  <c r="F68" i="51"/>
  <c r="G68" i="51"/>
  <c r="F69" i="51"/>
  <c r="G69" i="51"/>
  <c r="F70" i="51"/>
  <c r="G70" i="51"/>
  <c r="F71" i="51"/>
  <c r="G71" i="51"/>
  <c r="F72" i="51"/>
  <c r="G72" i="51"/>
  <c r="F73" i="51"/>
  <c r="G73" i="51"/>
  <c r="F74" i="51"/>
  <c r="G74" i="51"/>
  <c r="F75" i="51"/>
  <c r="G75" i="51"/>
  <c r="F76" i="51"/>
  <c r="G76" i="51"/>
  <c r="F77" i="51"/>
  <c r="G77" i="51"/>
  <c r="F78" i="51"/>
  <c r="G78" i="51"/>
  <c r="F79" i="51"/>
  <c r="G79" i="51"/>
  <c r="F80" i="51"/>
  <c r="G80" i="51"/>
  <c r="F81" i="51"/>
  <c r="G81" i="51"/>
  <c r="F82" i="51"/>
  <c r="G82" i="51"/>
  <c r="F83" i="51"/>
  <c r="G83" i="51"/>
  <c r="F84" i="51"/>
  <c r="G84" i="51"/>
  <c r="F85" i="51"/>
  <c r="G85" i="51"/>
  <c r="F86" i="51"/>
  <c r="G86" i="51"/>
  <c r="F87" i="51"/>
  <c r="G87" i="51"/>
  <c r="F88" i="51"/>
  <c r="G88" i="51"/>
  <c r="F89" i="51"/>
  <c r="G89" i="51"/>
  <c r="F90" i="51"/>
  <c r="G90" i="51"/>
  <c r="F91" i="51"/>
  <c r="G91" i="51"/>
  <c r="F92" i="51"/>
  <c r="G92" i="51"/>
  <c r="F93" i="51"/>
  <c r="G93" i="51"/>
  <c r="F94" i="51"/>
  <c r="G94" i="51"/>
  <c r="F95" i="51"/>
  <c r="G95" i="51"/>
  <c r="F96" i="51"/>
  <c r="G96" i="51"/>
  <c r="F97" i="51"/>
  <c r="G97" i="51"/>
  <c r="F98" i="51"/>
  <c r="G98" i="51"/>
  <c r="F99" i="51"/>
  <c r="G99" i="51"/>
  <c r="F100" i="51"/>
  <c r="G100" i="51"/>
  <c r="F101" i="51"/>
  <c r="G101" i="51"/>
  <c r="F102" i="51"/>
  <c r="G102" i="51"/>
  <c r="F103" i="51"/>
  <c r="G103" i="51"/>
  <c r="F104" i="51"/>
  <c r="G104" i="51"/>
  <c r="F105" i="51"/>
  <c r="G105" i="51"/>
  <c r="F106" i="51"/>
  <c r="G106" i="51"/>
  <c r="F107" i="51"/>
  <c r="G107" i="51"/>
  <c r="F108" i="51"/>
  <c r="G108" i="51"/>
  <c r="F109" i="51"/>
  <c r="G109" i="51"/>
  <c r="F110" i="51"/>
  <c r="G110" i="51"/>
  <c r="F111" i="51"/>
  <c r="G111" i="51"/>
  <c r="F112" i="51"/>
  <c r="G112" i="51"/>
  <c r="F113" i="51"/>
  <c r="G113" i="51"/>
  <c r="F114" i="51"/>
  <c r="G114" i="51"/>
  <c r="F115" i="51"/>
  <c r="G115" i="51"/>
  <c r="F116" i="51"/>
  <c r="G116" i="51"/>
  <c r="F117" i="51"/>
  <c r="G117" i="51"/>
  <c r="F118" i="51"/>
  <c r="G118" i="51"/>
  <c r="F119" i="51"/>
  <c r="G119" i="51"/>
  <c r="F120" i="51"/>
  <c r="G120" i="51"/>
  <c r="F121" i="51"/>
  <c r="G121" i="51"/>
  <c r="F122" i="51"/>
  <c r="G122" i="51"/>
  <c r="F123" i="51"/>
  <c r="G123" i="51"/>
  <c r="F124" i="51"/>
  <c r="G124" i="51"/>
  <c r="F125" i="51"/>
  <c r="G125" i="51"/>
  <c r="F126" i="51"/>
  <c r="G126" i="51"/>
  <c r="F127" i="51"/>
  <c r="G127" i="51"/>
  <c r="F128" i="51"/>
  <c r="G128" i="51"/>
  <c r="F129" i="51"/>
  <c r="G129" i="51"/>
  <c r="F130" i="51"/>
  <c r="G130" i="51"/>
  <c r="F131" i="51"/>
  <c r="G131" i="51"/>
  <c r="F132" i="51"/>
  <c r="G132" i="51"/>
  <c r="F133" i="51"/>
  <c r="G133" i="51"/>
  <c r="F134" i="51"/>
  <c r="G134" i="51"/>
  <c r="F135" i="51"/>
  <c r="G135" i="51"/>
  <c r="F136" i="51"/>
  <c r="G136" i="51"/>
  <c r="F137" i="51"/>
  <c r="G137" i="51"/>
  <c r="F138" i="51"/>
  <c r="G138" i="51"/>
  <c r="F139" i="51"/>
  <c r="G139" i="51"/>
  <c r="F140" i="51"/>
  <c r="G140" i="51"/>
  <c r="F141" i="51"/>
  <c r="G141" i="51"/>
  <c r="F142" i="51"/>
  <c r="G142" i="51"/>
  <c r="F143" i="51"/>
  <c r="G143" i="51"/>
  <c r="F5" i="51"/>
  <c r="G5" i="51" s="1"/>
  <c r="G7" i="115" l="1"/>
  <c r="G8" i="115"/>
  <c r="G9" i="115"/>
  <c r="G10" i="115"/>
  <c r="G11" i="115"/>
  <c r="G12" i="115"/>
  <c r="G13" i="115"/>
  <c r="G14" i="115"/>
  <c r="G15" i="115"/>
  <c r="G16" i="115"/>
  <c r="G17" i="115"/>
  <c r="G18" i="115"/>
  <c r="G19" i="115"/>
  <c r="G20" i="115"/>
  <c r="G21" i="115"/>
  <c r="G22" i="115"/>
  <c r="G23" i="115"/>
  <c r="G24" i="115"/>
  <c r="G25" i="115"/>
  <c r="G26" i="115"/>
  <c r="G27" i="115"/>
  <c r="G28" i="115"/>
  <c r="G29" i="115"/>
  <c r="G30" i="115"/>
  <c r="G31" i="115"/>
  <c r="G32" i="115"/>
  <c r="G33" i="115"/>
  <c r="G34" i="115"/>
  <c r="G35" i="115"/>
  <c r="G36" i="115"/>
  <c r="G37" i="115"/>
  <c r="G38" i="115"/>
  <c r="G39" i="115"/>
  <c r="G40" i="115"/>
  <c r="G41" i="115"/>
  <c r="G42" i="115"/>
  <c r="G43" i="115"/>
  <c r="G44" i="115"/>
  <c r="G45" i="115"/>
  <c r="G46" i="115"/>
  <c r="G47" i="115"/>
  <c r="G48" i="115"/>
  <c r="G49" i="115"/>
  <c r="G50" i="115"/>
  <c r="G51" i="115"/>
  <c r="G52" i="115"/>
  <c r="G53" i="115"/>
  <c r="G54" i="115"/>
  <c r="G55" i="115"/>
  <c r="G56" i="115"/>
  <c r="G57" i="115"/>
  <c r="G58" i="115"/>
  <c r="G59" i="115"/>
  <c r="G60" i="115"/>
  <c r="G61" i="115"/>
  <c r="G62" i="115"/>
  <c r="G63" i="115"/>
  <c r="G64" i="115"/>
  <c r="G65" i="115"/>
  <c r="G66" i="115"/>
  <c r="G67" i="115"/>
  <c r="G68" i="115"/>
  <c r="G69" i="115"/>
  <c r="G70" i="115"/>
  <c r="G71" i="115"/>
  <c r="G72" i="115"/>
  <c r="G73" i="115"/>
  <c r="G74" i="115"/>
  <c r="G75" i="115"/>
  <c r="G76" i="115"/>
  <c r="G77" i="115"/>
  <c r="G78" i="115"/>
  <c r="G79" i="115"/>
  <c r="G80" i="115"/>
  <c r="G81" i="115"/>
  <c r="G82" i="115"/>
  <c r="G83" i="115"/>
  <c r="G84" i="115"/>
  <c r="G85" i="115"/>
  <c r="G86" i="115"/>
  <c r="G87" i="115"/>
  <c r="G88" i="115"/>
  <c r="G89" i="115"/>
  <c r="G90" i="115"/>
  <c r="G91" i="115"/>
  <c r="G92" i="115"/>
  <c r="G93" i="115"/>
  <c r="G94" i="115"/>
  <c r="G95" i="115"/>
  <c r="G96" i="115"/>
  <c r="G97" i="115"/>
  <c r="G98" i="115"/>
  <c r="G99" i="115"/>
  <c r="G100" i="115"/>
  <c r="F7" i="115"/>
  <c r="F8" i="115"/>
  <c r="F9" i="115"/>
  <c r="F10" i="115"/>
  <c r="F11" i="115"/>
  <c r="F12" i="115"/>
  <c r="F13" i="115"/>
  <c r="F14" i="115"/>
  <c r="F15" i="115"/>
  <c r="F16" i="115"/>
  <c r="F17" i="115"/>
  <c r="F18" i="115"/>
  <c r="F19" i="115"/>
  <c r="F20" i="115"/>
  <c r="F21" i="115"/>
  <c r="F22" i="115"/>
  <c r="F23" i="115"/>
  <c r="F24" i="115"/>
  <c r="F25" i="115"/>
  <c r="F26" i="115"/>
  <c r="F27" i="115"/>
  <c r="F28" i="115"/>
  <c r="F29" i="115"/>
  <c r="F30" i="115"/>
  <c r="F31" i="115"/>
  <c r="F32" i="115"/>
  <c r="F33" i="115"/>
  <c r="F34" i="115"/>
  <c r="F35" i="115"/>
  <c r="F36" i="115"/>
  <c r="F37" i="115"/>
  <c r="F38" i="115"/>
  <c r="F39" i="115"/>
  <c r="F40" i="115"/>
  <c r="F41" i="115"/>
  <c r="F42" i="115"/>
  <c r="F43" i="115"/>
  <c r="F44" i="115"/>
  <c r="F45" i="115"/>
  <c r="F46" i="115"/>
  <c r="F47" i="115"/>
  <c r="F48" i="115"/>
  <c r="F49" i="115"/>
  <c r="F50" i="115"/>
  <c r="F51" i="115"/>
  <c r="F52" i="115"/>
  <c r="F53" i="115"/>
  <c r="F54" i="115"/>
  <c r="F55" i="115"/>
  <c r="F56" i="115"/>
  <c r="F57" i="115"/>
  <c r="F58" i="115"/>
  <c r="F59" i="115"/>
  <c r="F60" i="115"/>
  <c r="F61" i="115"/>
  <c r="F62" i="115"/>
  <c r="F63" i="115"/>
  <c r="F64" i="115"/>
  <c r="F65" i="115"/>
  <c r="F66" i="115"/>
  <c r="F67" i="115"/>
  <c r="F68" i="115"/>
  <c r="F69" i="115"/>
  <c r="F70" i="115"/>
  <c r="F71" i="115"/>
  <c r="F72" i="115"/>
  <c r="F73" i="115"/>
  <c r="F74" i="115"/>
  <c r="F75" i="115"/>
  <c r="F76" i="115"/>
  <c r="F77" i="115"/>
  <c r="F78" i="115"/>
  <c r="F79" i="115"/>
  <c r="F80" i="115"/>
  <c r="F81" i="115"/>
  <c r="F82" i="115"/>
  <c r="F83" i="115"/>
  <c r="F84" i="115"/>
  <c r="F85" i="115"/>
  <c r="F86" i="115"/>
  <c r="F87" i="115"/>
  <c r="F88" i="115"/>
  <c r="F89" i="115"/>
  <c r="F90" i="115"/>
  <c r="F91" i="115"/>
  <c r="F92" i="115"/>
  <c r="F93" i="115"/>
  <c r="F94" i="115"/>
  <c r="F95" i="115"/>
  <c r="F96" i="115"/>
  <c r="F97" i="115"/>
  <c r="F98" i="115"/>
  <c r="F99" i="115"/>
  <c r="F100" i="115"/>
  <c r="E7" i="115"/>
  <c r="E8" i="115"/>
  <c r="E9" i="115"/>
  <c r="E10" i="115"/>
  <c r="E11" i="115"/>
  <c r="E12" i="115"/>
  <c r="E13" i="115"/>
  <c r="E14" i="115"/>
  <c r="E15" i="115"/>
  <c r="E16" i="115"/>
  <c r="E17" i="115"/>
  <c r="E18" i="115"/>
  <c r="E19" i="115"/>
  <c r="E20" i="115"/>
  <c r="E21" i="115"/>
  <c r="E22" i="115"/>
  <c r="E23" i="115"/>
  <c r="E24" i="115"/>
  <c r="E25" i="115"/>
  <c r="E26" i="115"/>
  <c r="E27" i="115"/>
  <c r="E28" i="115"/>
  <c r="E29" i="115"/>
  <c r="E30" i="115"/>
  <c r="E31" i="115"/>
  <c r="E32" i="115"/>
  <c r="E33" i="115"/>
  <c r="E34" i="115"/>
  <c r="E35" i="115"/>
  <c r="E36" i="115"/>
  <c r="E37" i="115"/>
  <c r="E38" i="115"/>
  <c r="E39" i="115"/>
  <c r="E40" i="115"/>
  <c r="E41" i="115"/>
  <c r="E42" i="115"/>
  <c r="E43" i="115"/>
  <c r="E44" i="115"/>
  <c r="E45" i="115"/>
  <c r="E46" i="115"/>
  <c r="E47" i="115"/>
  <c r="E48" i="115"/>
  <c r="E49" i="115"/>
  <c r="E50" i="115"/>
  <c r="E51" i="115"/>
  <c r="E52" i="115"/>
  <c r="E53" i="115"/>
  <c r="E54" i="115"/>
  <c r="E55" i="115"/>
  <c r="E56" i="115"/>
  <c r="E57" i="115"/>
  <c r="E58" i="115"/>
  <c r="E59" i="115"/>
  <c r="E60" i="115"/>
  <c r="E61" i="115"/>
  <c r="E62" i="115"/>
  <c r="E63" i="115"/>
  <c r="E64" i="115"/>
  <c r="E65" i="115"/>
  <c r="E66" i="115"/>
  <c r="E67" i="115"/>
  <c r="E68" i="115"/>
  <c r="E69" i="115"/>
  <c r="E70" i="115"/>
  <c r="E71" i="115"/>
  <c r="E72" i="115"/>
  <c r="E73" i="115"/>
  <c r="E74" i="115"/>
  <c r="E75" i="115"/>
  <c r="E76" i="115"/>
  <c r="E77" i="115"/>
  <c r="E78" i="115"/>
  <c r="E79" i="115"/>
  <c r="E80" i="115"/>
  <c r="E81" i="115"/>
  <c r="E82" i="115"/>
  <c r="E83" i="115"/>
  <c r="E84" i="115"/>
  <c r="E85" i="115"/>
  <c r="E86" i="115"/>
  <c r="E87" i="115"/>
  <c r="E88" i="115"/>
  <c r="E89" i="115"/>
  <c r="E90" i="115"/>
  <c r="E91" i="115"/>
  <c r="E92" i="115"/>
  <c r="E93" i="115"/>
  <c r="E94" i="115"/>
  <c r="E95" i="115"/>
  <c r="E96" i="115"/>
  <c r="E97" i="115"/>
  <c r="E98" i="115"/>
  <c r="E99" i="115"/>
  <c r="E100" i="115"/>
  <c r="D7" i="115"/>
  <c r="D8" i="115"/>
  <c r="D9" i="115"/>
  <c r="D10" i="115"/>
  <c r="D11" i="115"/>
  <c r="D12" i="115"/>
  <c r="D13" i="115"/>
  <c r="D14" i="115"/>
  <c r="D15" i="115"/>
  <c r="D16" i="115"/>
  <c r="D17" i="115"/>
  <c r="D18" i="115"/>
  <c r="D19" i="115"/>
  <c r="D20" i="115"/>
  <c r="D21" i="115"/>
  <c r="D22" i="115"/>
  <c r="D23" i="115"/>
  <c r="D24" i="115"/>
  <c r="D25" i="115"/>
  <c r="D26" i="115"/>
  <c r="D27" i="115"/>
  <c r="D28" i="115"/>
  <c r="D29" i="115"/>
  <c r="D30" i="115"/>
  <c r="D31" i="115"/>
  <c r="D32" i="115"/>
  <c r="D33" i="115"/>
  <c r="D34" i="115"/>
  <c r="D35" i="115"/>
  <c r="D36" i="115"/>
  <c r="D37" i="115"/>
  <c r="D38" i="115"/>
  <c r="D39" i="115"/>
  <c r="D40" i="115"/>
  <c r="D41" i="115"/>
  <c r="D42" i="115"/>
  <c r="D43" i="115"/>
  <c r="D44" i="115"/>
  <c r="D45" i="115"/>
  <c r="D46" i="115"/>
  <c r="D47" i="115"/>
  <c r="D48" i="115"/>
  <c r="D49" i="115"/>
  <c r="D50" i="115"/>
  <c r="D51" i="115"/>
  <c r="D52" i="115"/>
  <c r="D53" i="115"/>
  <c r="D54" i="115"/>
  <c r="D55" i="115"/>
  <c r="D56" i="115"/>
  <c r="D57" i="115"/>
  <c r="D58" i="115"/>
  <c r="D59" i="115"/>
  <c r="D60" i="115"/>
  <c r="D61" i="115"/>
  <c r="D62" i="115"/>
  <c r="D63" i="115"/>
  <c r="D64" i="115"/>
  <c r="D65" i="115"/>
  <c r="D66" i="115"/>
  <c r="D67" i="115"/>
  <c r="D68" i="115"/>
  <c r="D69" i="115"/>
  <c r="D70" i="115"/>
  <c r="D71" i="115"/>
  <c r="D72" i="115"/>
  <c r="D73" i="115"/>
  <c r="D74" i="115"/>
  <c r="D75" i="115"/>
  <c r="D76" i="115"/>
  <c r="D77" i="115"/>
  <c r="D78" i="115"/>
  <c r="D79" i="115"/>
  <c r="D80" i="115"/>
  <c r="D81" i="115"/>
  <c r="D82" i="115"/>
  <c r="D83" i="115"/>
  <c r="D84" i="115"/>
  <c r="D85" i="115"/>
  <c r="D86" i="115"/>
  <c r="D87" i="115"/>
  <c r="D88" i="115"/>
  <c r="D89" i="115"/>
  <c r="D90" i="115"/>
  <c r="D91" i="115"/>
  <c r="D92" i="115"/>
  <c r="D93" i="115"/>
  <c r="D94" i="115"/>
  <c r="D95" i="115"/>
  <c r="D96" i="115"/>
  <c r="D97" i="115"/>
  <c r="D98" i="115"/>
  <c r="D99" i="115"/>
  <c r="D100" i="115"/>
  <c r="B7" i="115"/>
  <c r="B8" i="115"/>
  <c r="B9" i="115"/>
  <c r="B10" i="115"/>
  <c r="B11" i="115"/>
  <c r="B12" i="115"/>
  <c r="B13" i="115"/>
  <c r="B14" i="115"/>
  <c r="B15" i="115"/>
  <c r="B16" i="115"/>
  <c r="B17" i="115"/>
  <c r="B18" i="115"/>
  <c r="B19" i="115"/>
  <c r="B20" i="115"/>
  <c r="B21" i="115"/>
  <c r="B22" i="115"/>
  <c r="B23" i="115"/>
  <c r="B24" i="115"/>
  <c r="B25" i="115"/>
  <c r="B26" i="115"/>
  <c r="B27" i="115"/>
  <c r="B28" i="115"/>
  <c r="B29" i="115"/>
  <c r="B30" i="115"/>
  <c r="B31" i="115"/>
  <c r="B32" i="115"/>
  <c r="B33" i="115"/>
  <c r="B34" i="115"/>
  <c r="B35" i="115"/>
  <c r="B36" i="115"/>
  <c r="B37" i="115"/>
  <c r="B38" i="115"/>
  <c r="B39" i="115"/>
  <c r="B40" i="115"/>
  <c r="B41" i="115"/>
  <c r="B42" i="115"/>
  <c r="B43" i="115"/>
  <c r="B44" i="115"/>
  <c r="B45" i="115"/>
  <c r="B46" i="115"/>
  <c r="B47" i="115"/>
  <c r="B48" i="115"/>
  <c r="B49" i="115"/>
  <c r="B50" i="115"/>
  <c r="B51" i="115"/>
  <c r="B52" i="115"/>
  <c r="B53" i="115"/>
  <c r="B54" i="115"/>
  <c r="B55" i="115"/>
  <c r="B56" i="115"/>
  <c r="B57" i="115"/>
  <c r="B58" i="115"/>
  <c r="B59" i="115"/>
  <c r="B60" i="115"/>
  <c r="B61" i="115"/>
  <c r="B62" i="115"/>
  <c r="B63" i="115"/>
  <c r="B64" i="115"/>
  <c r="B65" i="115"/>
  <c r="B66" i="115"/>
  <c r="B67" i="115"/>
  <c r="B68" i="115"/>
  <c r="B69" i="115"/>
  <c r="B70" i="115"/>
  <c r="B71" i="115"/>
  <c r="B72" i="115"/>
  <c r="B73" i="115"/>
  <c r="B74" i="115"/>
  <c r="B75" i="115"/>
  <c r="B76" i="115"/>
  <c r="B77" i="115"/>
  <c r="B78" i="115"/>
  <c r="B79" i="115"/>
  <c r="B80" i="115"/>
  <c r="B81" i="115"/>
  <c r="B82" i="115"/>
  <c r="B83" i="115"/>
  <c r="B84" i="115"/>
  <c r="B85" i="115"/>
  <c r="B86" i="115"/>
  <c r="B87" i="115"/>
  <c r="B88" i="115"/>
  <c r="B89" i="115"/>
  <c r="B90" i="115"/>
  <c r="B91" i="115"/>
  <c r="B92" i="115"/>
  <c r="B93" i="115"/>
  <c r="B94" i="115"/>
  <c r="B95" i="115"/>
  <c r="B96" i="115"/>
  <c r="B97" i="115"/>
  <c r="B98" i="115"/>
  <c r="B99" i="115"/>
  <c r="B100" i="115"/>
  <c r="G1" i="83" l="1"/>
  <c r="H7" i="14"/>
  <c r="V7" i="14" s="1"/>
  <c r="K5" i="14"/>
  <c r="K6" i="14"/>
  <c r="V6" i="14" s="1"/>
  <c r="K7"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K8" i="14"/>
  <c r="K9" i="14"/>
  <c r="V9" i="14" s="1"/>
  <c r="K10" i="14"/>
  <c r="K11" i="14"/>
  <c r="V11" i="14" s="1"/>
  <c r="K12" i="14"/>
  <c r="V12" i="14" s="1"/>
  <c r="K13" i="14"/>
  <c r="V13" i="14" s="1"/>
  <c r="K14" i="14"/>
  <c r="K15" i="14"/>
  <c r="K16" i="14"/>
  <c r="K17" i="14"/>
  <c r="K18" i="14"/>
  <c r="K19" i="14"/>
  <c r="K20" i="14"/>
  <c r="K21" i="14"/>
  <c r="K22" i="14"/>
  <c r="K23" i="14"/>
  <c r="K24" i="14"/>
  <c r="K25" i="14"/>
  <c r="K26" i="14"/>
  <c r="K27" i="14"/>
  <c r="K28" i="14"/>
  <c r="K29" i="14"/>
  <c r="K30" i="14"/>
  <c r="K31" i="14"/>
  <c r="K32" i="14"/>
  <c r="K33" i="14"/>
  <c r="K34" i="14"/>
  <c r="K35" i="14"/>
  <c r="K36" i="14"/>
  <c r="K37" i="14"/>
  <c r="K38" i="14"/>
  <c r="K39" i="14"/>
  <c r="K40" i="14"/>
  <c r="K41" i="14"/>
  <c r="K42" i="14"/>
  <c r="K43" i="14"/>
  <c r="K44" i="14"/>
  <c r="K45" i="14"/>
  <c r="K46" i="14"/>
  <c r="K47" i="14"/>
  <c r="K48" i="14"/>
  <c r="K49" i="14"/>
  <c r="K50" i="14"/>
  <c r="K51" i="14"/>
  <c r="K52" i="14"/>
  <c r="K53" i="14"/>
  <c r="K54" i="14"/>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97" i="14"/>
  <c r="K98" i="14"/>
  <c r="K99" i="14"/>
  <c r="K100" i="14"/>
  <c r="K101"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137" i="14"/>
  <c r="K138" i="14"/>
  <c r="K139" i="14"/>
  <c r="K140" i="14"/>
  <c r="K141" i="14"/>
  <c r="K142" i="14"/>
  <c r="K143" i="14"/>
  <c r="K144" i="14"/>
  <c r="K145" i="14"/>
  <c r="K146" i="14"/>
  <c r="K147" i="14"/>
  <c r="K148" i="14"/>
  <c r="K149" i="14"/>
  <c r="K150" i="14"/>
  <c r="K151" i="14"/>
  <c r="K152" i="14"/>
  <c r="K153" i="14"/>
  <c r="K154" i="14"/>
  <c r="K15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K6" i="9"/>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42" i="9"/>
  <c r="K43" i="9"/>
  <c r="K44" i="9"/>
  <c r="K45" i="9"/>
  <c r="K46" i="9"/>
  <c r="K47" i="9"/>
  <c r="K48" i="9"/>
  <c r="K49" i="9"/>
  <c r="K50" i="9"/>
  <c r="K51" i="9"/>
  <c r="K52" i="9"/>
  <c r="K53" i="9"/>
  <c r="K54" i="9"/>
  <c r="K5"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P9" i="86"/>
  <c r="L7" i="54" l="1"/>
  <c r="L8" i="54"/>
  <c r="L9" i="54"/>
  <c r="L10" i="54"/>
  <c r="L11" i="54"/>
  <c r="L12" i="54"/>
  <c r="L13" i="54"/>
  <c r="L14" i="54"/>
  <c r="L15" i="54"/>
  <c r="L16" i="54"/>
  <c r="L17" i="54"/>
  <c r="L18" i="54"/>
  <c r="L19" i="54"/>
  <c r="L20" i="54"/>
  <c r="L21" i="54"/>
  <c r="L22" i="54"/>
  <c r="L23" i="54"/>
  <c r="L24" i="54"/>
  <c r="L25" i="54"/>
  <c r="L26" i="54"/>
  <c r="L27" i="54"/>
  <c r="L28" i="54"/>
  <c r="L29" i="54"/>
  <c r="L30" i="54"/>
  <c r="L31" i="54"/>
  <c r="L32" i="54"/>
  <c r="L33" i="54"/>
  <c r="L34" i="54"/>
  <c r="L35" i="54"/>
  <c r="L36" i="54"/>
  <c r="L37" i="54"/>
  <c r="L38" i="54"/>
  <c r="L39" i="54"/>
  <c r="L40" i="54"/>
  <c r="G5" i="88"/>
  <c r="I5" i="88" s="1"/>
  <c r="G6" i="88"/>
  <c r="I6" i="88" s="1"/>
  <c r="G7" i="88"/>
  <c r="I7" i="88" s="1"/>
  <c r="G8" i="88"/>
  <c r="I8" i="88" s="1"/>
  <c r="G9" i="88"/>
  <c r="I9" i="88" s="1"/>
  <c r="G10" i="88"/>
  <c r="I10" i="88" s="1"/>
  <c r="G11" i="88"/>
  <c r="I11" i="88" s="1"/>
  <c r="G12" i="88"/>
  <c r="I12" i="88" s="1"/>
  <c r="G13" i="88"/>
  <c r="I13" i="88" s="1"/>
  <c r="G14" i="88"/>
  <c r="I14" i="88" s="1"/>
  <c r="G15" i="88"/>
  <c r="I15" i="88" s="1"/>
  <c r="G16" i="88"/>
  <c r="I16" i="88" s="1"/>
  <c r="G17" i="88"/>
  <c r="I17" i="88" s="1"/>
  <c r="G18" i="88"/>
  <c r="I18" i="88" s="1"/>
  <c r="G19" i="88"/>
  <c r="I19" i="88" s="1"/>
  <c r="G20" i="88"/>
  <c r="I20" i="88" s="1"/>
  <c r="G21" i="88"/>
  <c r="I21" i="88" s="1"/>
  <c r="G22" i="88"/>
  <c r="I22" i="88" s="1"/>
  <c r="G23" i="88"/>
  <c r="I23" i="88" s="1"/>
  <c r="G24" i="88"/>
  <c r="I24" i="88" s="1"/>
  <c r="G25" i="88"/>
  <c r="I25" i="88" s="1"/>
  <c r="G26" i="88"/>
  <c r="I26" i="88" s="1"/>
  <c r="P10" i="86" l="1"/>
  <c r="Q10" i="86"/>
  <c r="P11" i="86"/>
  <c r="Q11" i="86"/>
  <c r="P12" i="86"/>
  <c r="Q12" i="86"/>
  <c r="P13" i="86"/>
  <c r="Q13" i="86"/>
  <c r="P14" i="86"/>
  <c r="Q14" i="86"/>
  <c r="P15" i="86"/>
  <c r="Q15" i="86"/>
  <c r="P16" i="86"/>
  <c r="Q16" i="86"/>
  <c r="P17" i="86"/>
  <c r="Q17" i="86"/>
  <c r="P18" i="86"/>
  <c r="Q18" i="86"/>
  <c r="P19" i="86"/>
  <c r="Q19" i="86"/>
  <c r="P20" i="86"/>
  <c r="Q20" i="86"/>
  <c r="P21" i="86"/>
  <c r="Q21" i="86"/>
  <c r="P22" i="86"/>
  <c r="Q22" i="86"/>
  <c r="P23" i="86"/>
  <c r="Q23" i="86"/>
  <c r="P24" i="86"/>
  <c r="Q24" i="86"/>
  <c r="P25" i="86"/>
  <c r="Q25" i="86"/>
  <c r="P26" i="86"/>
  <c r="Q26" i="86"/>
  <c r="P27" i="86"/>
  <c r="Q27" i="86"/>
  <c r="P28" i="86"/>
  <c r="Q28" i="86"/>
  <c r="P29" i="86"/>
  <c r="Q29" i="86"/>
  <c r="P30" i="86"/>
  <c r="Q30" i="86"/>
  <c r="P31" i="86"/>
  <c r="Q31" i="86"/>
  <c r="P32" i="86"/>
  <c r="Q32" i="86"/>
  <c r="P33" i="86"/>
  <c r="Q33" i="86"/>
  <c r="P34" i="86"/>
  <c r="Q34" i="86"/>
  <c r="P35" i="86"/>
  <c r="Q35" i="86"/>
  <c r="P36" i="86"/>
  <c r="Q36" i="86"/>
  <c r="P37" i="86"/>
  <c r="Q37" i="86"/>
  <c r="P38" i="86"/>
  <c r="Q38" i="86"/>
  <c r="P39" i="86"/>
  <c r="Q39" i="86"/>
  <c r="P40" i="86"/>
  <c r="Q40" i="86"/>
  <c r="P41" i="86"/>
  <c r="Q41" i="86"/>
  <c r="P42" i="86"/>
  <c r="Q42" i="86"/>
  <c r="P43" i="86"/>
  <c r="Q43" i="86"/>
  <c r="P44" i="86"/>
  <c r="Q44" i="86"/>
  <c r="P45" i="86"/>
  <c r="Q45" i="86"/>
  <c r="P46" i="86"/>
  <c r="Q46" i="86"/>
  <c r="P47" i="86"/>
  <c r="Q47" i="86"/>
  <c r="P48" i="86"/>
  <c r="Q48" i="86"/>
  <c r="F8" i="17" l="1"/>
  <c r="F9" i="17"/>
  <c r="F10" i="17"/>
  <c r="F11" i="17"/>
  <c r="G11" i="17" s="1"/>
  <c r="F12" i="17"/>
  <c r="G12" i="17" s="1"/>
  <c r="F13" i="17"/>
  <c r="G13" i="17" s="1"/>
  <c r="F14" i="17"/>
  <c r="G14" i="17" s="1"/>
  <c r="F15" i="17"/>
  <c r="G15" i="17" s="1"/>
  <c r="F16" i="17"/>
  <c r="G16" i="17" s="1"/>
  <c r="F17" i="17"/>
  <c r="G17" i="17" s="1"/>
  <c r="F18" i="17"/>
  <c r="G18" i="17" s="1"/>
  <c r="F19" i="17"/>
  <c r="G19" i="17" s="1"/>
  <c r="F20" i="17"/>
  <c r="G20" i="17" s="1"/>
  <c r="F21" i="17"/>
  <c r="G21" i="17" s="1"/>
  <c r="F22" i="17"/>
  <c r="G22" i="17" s="1"/>
  <c r="F7" i="17"/>
  <c r="G7" i="17" l="1"/>
  <c r="G10" i="17"/>
  <c r="G9" i="17"/>
  <c r="G8" i="17"/>
  <c r="K8" i="55"/>
  <c r="K9" i="55"/>
  <c r="K10" i="55"/>
  <c r="K11" i="55"/>
  <c r="K12" i="55"/>
  <c r="K13" i="55"/>
  <c r="K14" i="55"/>
  <c r="K15" i="55"/>
  <c r="K16" i="55"/>
  <c r="K17" i="55"/>
  <c r="K18" i="55"/>
  <c r="K19" i="55"/>
  <c r="K20" i="55"/>
  <c r="K21" i="55"/>
  <c r="K22" i="55"/>
  <c r="K23" i="55"/>
  <c r="K24" i="55"/>
  <c r="K25" i="55"/>
  <c r="K26" i="55"/>
  <c r="K27" i="55"/>
  <c r="K28" i="55"/>
  <c r="K29" i="55"/>
  <c r="K30" i="55"/>
  <c r="K31" i="55"/>
  <c r="K32" i="55"/>
  <c r="K33" i="55"/>
  <c r="K34" i="55"/>
  <c r="K35" i="55"/>
  <c r="K36" i="55"/>
  <c r="K37" i="55"/>
  <c r="K38" i="55"/>
  <c r="K39" i="55"/>
  <c r="K40" i="55"/>
  <c r="K41" i="55"/>
  <c r="H8" i="55" l="1"/>
  <c r="H9" i="55"/>
  <c r="H10" i="55"/>
  <c r="H11" i="55"/>
  <c r="H12" i="55"/>
  <c r="H13" i="55"/>
  <c r="H14" i="55"/>
  <c r="H15" i="55"/>
  <c r="H16" i="55"/>
  <c r="H17" i="55"/>
  <c r="H18" i="55"/>
  <c r="H19" i="55"/>
  <c r="H20" i="55"/>
  <c r="H21" i="55"/>
  <c r="H22" i="55"/>
  <c r="H23" i="55"/>
  <c r="H24" i="55"/>
  <c r="H25" i="55"/>
  <c r="H26" i="55"/>
  <c r="H27" i="55"/>
  <c r="H28" i="55"/>
  <c r="H29" i="55"/>
  <c r="H30" i="55"/>
  <c r="H31" i="55"/>
  <c r="H32" i="55"/>
  <c r="H33" i="55"/>
  <c r="H34" i="55"/>
  <c r="H35" i="55"/>
  <c r="H36" i="55"/>
  <c r="H37" i="55"/>
  <c r="H38" i="55"/>
  <c r="H39" i="55"/>
  <c r="H40" i="55"/>
  <c r="H41" i="55"/>
  <c r="R5" i="52" l="1"/>
  <c r="R6" i="52"/>
  <c r="R7" i="52"/>
  <c r="R8" i="52"/>
  <c r="R9" i="52"/>
  <c r="R10" i="52"/>
  <c r="R11" i="52"/>
  <c r="R12" i="52"/>
  <c r="R13" i="52"/>
  <c r="R14" i="52"/>
  <c r="R15" i="52"/>
  <c r="R16" i="52"/>
  <c r="R17" i="52"/>
  <c r="R18" i="52"/>
  <c r="R19" i="52"/>
  <c r="R20" i="52"/>
  <c r="R21" i="52"/>
  <c r="R22" i="52"/>
  <c r="R23" i="52"/>
  <c r="R24" i="52"/>
  <c r="R25" i="52"/>
  <c r="R26" i="52"/>
  <c r="R27" i="52"/>
  <c r="R28" i="52"/>
  <c r="R29" i="52"/>
  <c r="R30" i="52"/>
  <c r="R4" i="52"/>
  <c r="D10" i="9" l="1"/>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 i="9"/>
  <c r="P16" i="33" a="1"/>
  <c r="P16" i="33" s="1"/>
  <c r="P17" i="33" a="1"/>
  <c r="P17" i="33" s="1"/>
  <c r="P18" i="33" a="1"/>
  <c r="P18" i="33" s="1"/>
  <c r="P19" i="33" a="1"/>
  <c r="P19" i="33" s="1"/>
  <c r="P20" i="33" a="1"/>
  <c r="P20" i="33" s="1"/>
  <c r="P21" i="33" a="1"/>
  <c r="P21" i="33" s="1"/>
  <c r="P22" i="33" a="1"/>
  <c r="P22" i="33" s="1"/>
  <c r="P23" i="33" a="1"/>
  <c r="P23" i="33" s="1"/>
  <c r="P24" i="33" a="1"/>
  <c r="P24" i="33" s="1"/>
  <c r="P25" i="33" a="1"/>
  <c r="P25" i="33" s="1"/>
  <c r="P26" i="33" a="1"/>
  <c r="P26" i="33" s="1"/>
  <c r="P27" i="33" a="1"/>
  <c r="P27" i="33" s="1"/>
  <c r="P28" i="33" a="1"/>
  <c r="P28" i="33" s="1"/>
  <c r="P29" i="33" a="1"/>
  <c r="P29" i="33" s="1"/>
  <c r="P30" i="33" a="1"/>
  <c r="P30" i="33" s="1"/>
  <c r="P31" i="33" a="1"/>
  <c r="P31" i="33" s="1"/>
  <c r="P32" i="33" a="1"/>
  <c r="P32" i="33" s="1"/>
  <c r="P33" i="33" a="1"/>
  <c r="P33" i="33" s="1"/>
  <c r="P34" i="33" a="1"/>
  <c r="P34" i="33" s="1"/>
  <c r="P35" i="33" a="1"/>
  <c r="P35" i="33" s="1"/>
  <c r="P36" i="33" a="1"/>
  <c r="P36" i="33" s="1"/>
  <c r="P37" i="33" a="1"/>
  <c r="P37" i="33" s="1"/>
  <c r="P38" i="33" a="1"/>
  <c r="P38" i="33" s="1"/>
  <c r="P39" i="33" a="1"/>
  <c r="P39" i="33" s="1"/>
  <c r="P40" i="33" a="1"/>
  <c r="P40" i="33" s="1"/>
  <c r="P41" i="33" a="1"/>
  <c r="P41" i="33" s="1"/>
  <c r="P42" i="33" a="1"/>
  <c r="P42" i="33" s="1"/>
  <c r="P43" i="33" a="1"/>
  <c r="P43" i="33" s="1"/>
  <c r="P44" i="33" a="1"/>
  <c r="P44" i="33" s="1"/>
  <c r="P45" i="33" a="1"/>
  <c r="P45" i="33" s="1"/>
  <c r="P46" i="33" a="1"/>
  <c r="P46" i="33" s="1"/>
  <c r="P47" i="33" a="1"/>
  <c r="P47" i="33" s="1"/>
  <c r="P48" i="33" a="1"/>
  <c r="P48" i="33" s="1"/>
  <c r="P49" i="33" a="1"/>
  <c r="P49" i="33" s="1"/>
  <c r="P50" i="33" a="1"/>
  <c r="P50" i="33" s="1"/>
  <c r="P51" i="33" a="1"/>
  <c r="P51" i="33" s="1"/>
  <c r="P52" i="33" a="1"/>
  <c r="P52" i="33" s="1"/>
  <c r="P53" i="33" a="1"/>
  <c r="P53" i="33" s="1"/>
  <c r="P54" i="33" a="1"/>
  <c r="P54" i="33" s="1"/>
  <c r="P55" i="33" a="1"/>
  <c r="P55" i="33" s="1"/>
  <c r="P56" i="33" a="1"/>
  <c r="P56" i="33" s="1"/>
  <c r="P57" i="33" a="1"/>
  <c r="P57" i="33" s="1"/>
  <c r="P58" i="33" a="1"/>
  <c r="P58" i="33" s="1"/>
  <c r="P59" i="33" a="1"/>
  <c r="P59" i="33" s="1"/>
  <c r="P60" i="33" a="1"/>
  <c r="P60" i="33" s="1"/>
  <c r="P61" i="33" a="1"/>
  <c r="P61" i="33" s="1"/>
  <c r="P62" i="33" a="1"/>
  <c r="P62" i="33" s="1"/>
  <c r="P63" i="33" a="1"/>
  <c r="P63" i="33" s="1"/>
  <c r="P64" i="33" a="1"/>
  <c r="P64" i="33" s="1"/>
  <c r="P65" i="33" a="1"/>
  <c r="P65" i="33" s="1"/>
  <c r="P66" i="33" a="1"/>
  <c r="P66" i="33" s="1"/>
  <c r="P67" i="33" a="1"/>
  <c r="P67" i="33" s="1"/>
  <c r="P68" i="33" a="1"/>
  <c r="P68" i="33" s="1"/>
  <c r="P69" i="33" a="1"/>
  <c r="P69" i="33" s="1"/>
  <c r="P70" i="33" a="1"/>
  <c r="P70" i="33" s="1"/>
  <c r="P71" i="33" a="1"/>
  <c r="P71" i="33" s="1"/>
  <c r="P72" i="33" a="1"/>
  <c r="P72" i="33" s="1"/>
  <c r="P73" i="33" a="1"/>
  <c r="P73" i="33" s="1"/>
  <c r="P74" i="33" a="1"/>
  <c r="P74" i="33" s="1"/>
  <c r="P75" i="33" a="1"/>
  <c r="P75" i="33" s="1"/>
  <c r="P76" i="33" a="1"/>
  <c r="P76" i="33" s="1"/>
  <c r="P77" i="33" a="1"/>
  <c r="P77" i="33" s="1"/>
  <c r="P78" i="33" a="1"/>
  <c r="P78" i="33" s="1"/>
  <c r="P79" i="33" a="1"/>
  <c r="P79" i="33" s="1"/>
  <c r="P80" i="33" a="1"/>
  <c r="P80" i="33" s="1"/>
  <c r="P81" i="33" a="1"/>
  <c r="P81" i="33" s="1"/>
  <c r="P82" i="33" a="1"/>
  <c r="P82" i="33" s="1"/>
  <c r="P83" i="33" a="1"/>
  <c r="P83" i="33" s="1"/>
  <c r="P84" i="33" a="1"/>
  <c r="P84" i="33" s="1"/>
  <c r="P85" i="33" a="1"/>
  <c r="P85" i="33" s="1"/>
  <c r="P86" i="33" a="1"/>
  <c r="P86" i="33" s="1"/>
  <c r="P87" i="33" a="1"/>
  <c r="P87" i="33" s="1"/>
  <c r="P88" i="33" a="1"/>
  <c r="P88" i="33" s="1"/>
  <c r="P89" i="33" a="1"/>
  <c r="P89" i="33" s="1"/>
  <c r="P90" i="33" a="1"/>
  <c r="P90" i="33" s="1"/>
  <c r="P91" i="33" a="1"/>
  <c r="P91" i="33" s="1"/>
  <c r="P92" i="33" a="1"/>
  <c r="P92" i="33" s="1"/>
  <c r="P93" i="33" a="1"/>
  <c r="P93" i="33" s="1"/>
  <c r="P94" i="33" a="1"/>
  <c r="P94" i="33" s="1"/>
  <c r="P95" i="33" a="1"/>
  <c r="P95" i="33" s="1"/>
  <c r="P96" i="33" a="1"/>
  <c r="P96" i="33" s="1"/>
  <c r="P97" i="33" a="1"/>
  <c r="P97" i="33" s="1"/>
  <c r="P98" i="33" a="1"/>
  <c r="P98" i="33" s="1"/>
  <c r="P99" i="33" a="1"/>
  <c r="P99" i="33" s="1"/>
  <c r="P100" i="33" a="1"/>
  <c r="P100" i="33" s="1"/>
  <c r="P101" i="33" a="1"/>
  <c r="P101" i="33" s="1"/>
  <c r="P102" i="33" a="1"/>
  <c r="P102" i="33" s="1"/>
  <c r="P103" i="33" a="1"/>
  <c r="P103" i="33" s="1"/>
  <c r="P104" i="33" a="1"/>
  <c r="P104" i="33" s="1"/>
  <c r="P105" i="33" a="1"/>
  <c r="P105" i="33" s="1"/>
  <c r="P106" i="33" a="1"/>
  <c r="P106" i="33" s="1"/>
  <c r="P107" i="33" a="1"/>
  <c r="P107" i="33" s="1"/>
  <c r="P108" i="33" a="1"/>
  <c r="P108" i="33" s="1"/>
  <c r="P109" i="33" a="1"/>
  <c r="P109" i="33" s="1"/>
  <c r="P110" i="33" a="1"/>
  <c r="P110" i="33" s="1"/>
  <c r="P111" i="33" a="1"/>
  <c r="P111" i="33" s="1"/>
  <c r="P112" i="33" a="1"/>
  <c r="P112" i="33" s="1"/>
  <c r="P113" i="33" a="1"/>
  <c r="P113" i="33" s="1"/>
  <c r="P114" i="33" a="1"/>
  <c r="P114" i="33" s="1"/>
  <c r="P115" i="33" a="1"/>
  <c r="P115" i="33" s="1"/>
  <c r="P116" i="33" a="1"/>
  <c r="P116" i="33" s="1"/>
  <c r="P117" i="33" a="1"/>
  <c r="P117" i="33" s="1"/>
  <c r="P118" i="33" a="1"/>
  <c r="P118" i="33" s="1"/>
  <c r="P119" i="33" a="1"/>
  <c r="P119" i="33" s="1"/>
  <c r="P120" i="33" a="1"/>
  <c r="P120" i="33" s="1"/>
  <c r="P121" i="33" a="1"/>
  <c r="P121" i="33" s="1"/>
  <c r="P122" i="33" a="1"/>
  <c r="P122" i="33" s="1"/>
  <c r="P123" i="33" a="1"/>
  <c r="P123" i="33" s="1"/>
  <c r="P124" i="33" a="1"/>
  <c r="P124" i="33" s="1"/>
  <c r="P125" i="33" a="1"/>
  <c r="P125" i="33" s="1"/>
  <c r="P126" i="33" a="1"/>
  <c r="P126" i="33" s="1"/>
  <c r="P127" i="33" a="1"/>
  <c r="P127" i="33" s="1"/>
  <c r="P128" i="33" a="1"/>
  <c r="P128" i="33" s="1"/>
  <c r="P129" i="33" a="1"/>
  <c r="P129" i="33" s="1"/>
  <c r="P130" i="33" a="1"/>
  <c r="P130" i="33" s="1"/>
  <c r="P131" i="33" a="1"/>
  <c r="P131" i="33" s="1"/>
  <c r="P132" i="33" a="1"/>
  <c r="P132" i="33" s="1"/>
  <c r="P133" i="33" a="1"/>
  <c r="P133" i="33" s="1"/>
  <c r="P134" i="33" a="1"/>
  <c r="P134" i="33" s="1"/>
  <c r="P135" i="33" a="1"/>
  <c r="P135" i="33" s="1"/>
  <c r="P136" i="33" a="1"/>
  <c r="P136" i="33" s="1"/>
  <c r="P137" i="33" a="1"/>
  <c r="P137" i="33" s="1"/>
  <c r="P138" i="33" a="1"/>
  <c r="P138" i="33" s="1"/>
  <c r="P139" i="33" a="1"/>
  <c r="P139" i="33" s="1"/>
  <c r="P140" i="33" a="1"/>
  <c r="P140" i="33" s="1"/>
  <c r="P141" i="33" a="1"/>
  <c r="P141" i="33" s="1"/>
  <c r="P142" i="33" a="1"/>
  <c r="P142" i="33" s="1"/>
  <c r="P143" i="33" a="1"/>
  <c r="P143" i="33" s="1"/>
  <c r="P144" i="33" a="1"/>
  <c r="P144" i="33" s="1"/>
  <c r="P145" i="33" a="1"/>
  <c r="P145" i="33" s="1"/>
  <c r="P146" i="33" a="1"/>
  <c r="P146" i="33" s="1"/>
  <c r="P147" i="33" a="1"/>
  <c r="P147" i="33" s="1"/>
  <c r="P148" i="33" a="1"/>
  <c r="P148" i="33" s="1"/>
  <c r="P149" i="33" a="1"/>
  <c r="P149" i="33" s="1"/>
  <c r="P150" i="33" a="1"/>
  <c r="P150" i="33" s="1"/>
  <c r="P151" i="33" a="1"/>
  <c r="P151" i="33" s="1"/>
  <c r="P152" i="33" a="1"/>
  <c r="P152" i="33" s="1"/>
  <c r="P153" i="33" a="1"/>
  <c r="P153" i="33" s="1"/>
  <c r="J16" i="33" a="1"/>
  <c r="J16" i="33" s="1"/>
  <c r="J17" i="33" a="1"/>
  <c r="J17" i="33" s="1"/>
  <c r="J18" i="33" a="1"/>
  <c r="J18" i="33" s="1"/>
  <c r="J19" i="33" a="1"/>
  <c r="J19" i="33" s="1"/>
  <c r="J20" i="33" a="1"/>
  <c r="J20" i="33" s="1"/>
  <c r="J21" i="33" a="1"/>
  <c r="J21" i="33" s="1"/>
  <c r="J22" i="33" a="1"/>
  <c r="J22" i="33" s="1"/>
  <c r="J23" i="33" a="1"/>
  <c r="J23" i="33" s="1"/>
  <c r="J24" i="33" a="1"/>
  <c r="J24" i="33" s="1"/>
  <c r="J25" i="33" a="1"/>
  <c r="J25" i="33" s="1"/>
  <c r="J26" i="33" a="1"/>
  <c r="J26" i="33" s="1"/>
  <c r="J27" i="33" a="1"/>
  <c r="J27" i="33" s="1"/>
  <c r="J28" i="33" a="1"/>
  <c r="J28" i="33" s="1"/>
  <c r="J29" i="33" a="1"/>
  <c r="J29" i="33" s="1"/>
  <c r="J30" i="33" a="1"/>
  <c r="J30" i="33" s="1"/>
  <c r="J31" i="33" a="1"/>
  <c r="J31" i="33" s="1"/>
  <c r="J32" i="33" a="1"/>
  <c r="J32" i="33" s="1"/>
  <c r="J33" i="33" a="1"/>
  <c r="J33" i="33" s="1"/>
  <c r="J34" i="33" a="1"/>
  <c r="J34" i="33" s="1"/>
  <c r="J35" i="33" a="1"/>
  <c r="J35" i="33" s="1"/>
  <c r="J36" i="33" a="1"/>
  <c r="J36" i="33" s="1"/>
  <c r="J37" i="33" a="1"/>
  <c r="J37" i="33" s="1"/>
  <c r="J38" i="33" a="1"/>
  <c r="J38" i="33" s="1"/>
  <c r="J39" i="33" a="1"/>
  <c r="J39" i="33" s="1"/>
  <c r="J40" i="33" a="1"/>
  <c r="J40" i="33" s="1"/>
  <c r="J41" i="33" a="1"/>
  <c r="J41" i="33" s="1"/>
  <c r="J42" i="33" a="1"/>
  <c r="J42" i="33" s="1"/>
  <c r="J43" i="33" a="1"/>
  <c r="J43" i="33" s="1"/>
  <c r="J44" i="33" a="1"/>
  <c r="J44" i="33" s="1"/>
  <c r="J45" i="33" a="1"/>
  <c r="J45" i="33" s="1"/>
  <c r="J46" i="33" a="1"/>
  <c r="J46" i="33" s="1"/>
  <c r="J47" i="33" a="1"/>
  <c r="J47" i="33" s="1"/>
  <c r="J48" i="33" a="1"/>
  <c r="J48" i="33" s="1"/>
  <c r="J49" i="33" a="1"/>
  <c r="J49" i="33" s="1"/>
  <c r="J50" i="33" a="1"/>
  <c r="J50" i="33" s="1"/>
  <c r="J51" i="33" a="1"/>
  <c r="J51" i="33" s="1"/>
  <c r="J52" i="33" a="1"/>
  <c r="J52" i="33" s="1"/>
  <c r="J53" i="33" a="1"/>
  <c r="J53" i="33" s="1"/>
  <c r="J54" i="33" a="1"/>
  <c r="J54" i="33" s="1"/>
  <c r="J55" i="33" a="1"/>
  <c r="J55" i="33" s="1"/>
  <c r="J56" i="33" a="1"/>
  <c r="J56" i="33" s="1"/>
  <c r="J57" i="33" a="1"/>
  <c r="J57" i="33" s="1"/>
  <c r="J58" i="33" a="1"/>
  <c r="J58" i="33" s="1"/>
  <c r="J59" i="33" a="1"/>
  <c r="J59" i="33" s="1"/>
  <c r="J60" i="33" a="1"/>
  <c r="J60" i="33" s="1"/>
  <c r="J61" i="33" a="1"/>
  <c r="J61" i="33" s="1"/>
  <c r="J62" i="33" a="1"/>
  <c r="J62" i="33" s="1"/>
  <c r="J63" i="33" a="1"/>
  <c r="J63" i="33" s="1"/>
  <c r="J64" i="33" a="1"/>
  <c r="J64" i="33" s="1"/>
  <c r="J65" i="33" a="1"/>
  <c r="J65" i="33" s="1"/>
  <c r="J66" i="33" a="1"/>
  <c r="J66" i="33" s="1"/>
  <c r="J67" i="33" a="1"/>
  <c r="J67" i="33" s="1"/>
  <c r="J68" i="33" a="1"/>
  <c r="J68" i="33" s="1"/>
  <c r="J69" i="33" a="1"/>
  <c r="J69" i="33" s="1"/>
  <c r="J70" i="33" a="1"/>
  <c r="J70" i="33" s="1"/>
  <c r="J71" i="33" a="1"/>
  <c r="J71" i="33" s="1"/>
  <c r="J72" i="33" a="1"/>
  <c r="J72" i="33" s="1"/>
  <c r="J73" i="33" a="1"/>
  <c r="J73" i="33" s="1"/>
  <c r="J74" i="33" a="1"/>
  <c r="J74" i="33" s="1"/>
  <c r="J75" i="33" a="1"/>
  <c r="J75" i="33" s="1"/>
  <c r="J76" i="33" a="1"/>
  <c r="J76" i="33" s="1"/>
  <c r="J77" i="33" a="1"/>
  <c r="J77" i="33" s="1"/>
  <c r="J78" i="33" a="1"/>
  <c r="J78" i="33" s="1"/>
  <c r="J79" i="33" a="1"/>
  <c r="J79" i="33" s="1"/>
  <c r="J80" i="33" a="1"/>
  <c r="J80" i="33" s="1"/>
  <c r="J81" i="33" a="1"/>
  <c r="J81" i="33" s="1"/>
  <c r="J82" i="33" a="1"/>
  <c r="J82" i="33" s="1"/>
  <c r="J83" i="33" a="1"/>
  <c r="J83" i="33" s="1"/>
  <c r="J84" i="33" a="1"/>
  <c r="J84" i="33" s="1"/>
  <c r="J85" i="33" a="1"/>
  <c r="J85" i="33" s="1"/>
  <c r="J86" i="33" a="1"/>
  <c r="J86" i="33" s="1"/>
  <c r="J87" i="33" a="1"/>
  <c r="J87" i="33" s="1"/>
  <c r="J88" i="33" a="1"/>
  <c r="J88" i="33" s="1"/>
  <c r="J89" i="33" a="1"/>
  <c r="J89" i="33" s="1"/>
  <c r="J90" i="33" a="1"/>
  <c r="J90" i="33" s="1"/>
  <c r="J91" i="33" a="1"/>
  <c r="J91" i="33" s="1"/>
  <c r="J92" i="33" a="1"/>
  <c r="J92" i="33" s="1"/>
  <c r="J93" i="33" a="1"/>
  <c r="J93" i="33" s="1"/>
  <c r="J94" i="33" a="1"/>
  <c r="J94" i="33" s="1"/>
  <c r="J95" i="33" a="1"/>
  <c r="J95" i="33" s="1"/>
  <c r="J96" i="33" a="1"/>
  <c r="J96" i="33" s="1"/>
  <c r="J97" i="33" a="1"/>
  <c r="J97" i="33" s="1"/>
  <c r="J98" i="33" a="1"/>
  <c r="J98" i="33" s="1"/>
  <c r="J99" i="33" a="1"/>
  <c r="J99" i="33" s="1"/>
  <c r="J100" i="33" a="1"/>
  <c r="J100" i="33" s="1"/>
  <c r="J101" i="33" a="1"/>
  <c r="J101" i="33" s="1"/>
  <c r="J102" i="33" a="1"/>
  <c r="J102" i="33" s="1"/>
  <c r="J103" i="33" a="1"/>
  <c r="J103" i="33" s="1"/>
  <c r="J104" i="33" a="1"/>
  <c r="J104" i="33" s="1"/>
  <c r="J105" i="33" a="1"/>
  <c r="J105" i="33" s="1"/>
  <c r="J106" i="33" a="1"/>
  <c r="J106" i="33" s="1"/>
  <c r="J107" i="33" a="1"/>
  <c r="J107" i="33" s="1"/>
  <c r="J108" i="33" a="1"/>
  <c r="J108" i="33" s="1"/>
  <c r="J109" i="33" a="1"/>
  <c r="J109" i="33" s="1"/>
  <c r="J110" i="33" a="1"/>
  <c r="J110" i="33" s="1"/>
  <c r="J111" i="33" a="1"/>
  <c r="J111" i="33" s="1"/>
  <c r="J112" i="33" a="1"/>
  <c r="J112" i="33" s="1"/>
  <c r="J113" i="33" a="1"/>
  <c r="J113" i="33" s="1"/>
  <c r="J114" i="33" a="1"/>
  <c r="J114" i="33" s="1"/>
  <c r="J115" i="33" a="1"/>
  <c r="J115" i="33" s="1"/>
  <c r="J116" i="33" a="1"/>
  <c r="J116" i="33" s="1"/>
  <c r="J117" i="33" a="1"/>
  <c r="J117" i="33" s="1"/>
  <c r="J118" i="33" a="1"/>
  <c r="J118" i="33" s="1"/>
  <c r="J119" i="33" a="1"/>
  <c r="J119" i="33" s="1"/>
  <c r="J120" i="33" a="1"/>
  <c r="J120" i="33" s="1"/>
  <c r="J121" i="33" a="1"/>
  <c r="J121" i="33" s="1"/>
  <c r="J122" i="33" a="1"/>
  <c r="J122" i="33" s="1"/>
  <c r="J123" i="33" a="1"/>
  <c r="J123" i="33" s="1"/>
  <c r="J124" i="33" a="1"/>
  <c r="J124" i="33" s="1"/>
  <c r="J125" i="33" a="1"/>
  <c r="J125" i="33" s="1"/>
  <c r="J126" i="33" a="1"/>
  <c r="J126" i="33" s="1"/>
  <c r="J127" i="33" a="1"/>
  <c r="J127" i="33" s="1"/>
  <c r="J128" i="33" a="1"/>
  <c r="J128" i="33" s="1"/>
  <c r="J129" i="33" a="1"/>
  <c r="J129" i="33" s="1"/>
  <c r="J130" i="33" a="1"/>
  <c r="J130" i="33" s="1"/>
  <c r="J131" i="33" a="1"/>
  <c r="J131" i="33" s="1"/>
  <c r="J132" i="33" a="1"/>
  <c r="J132" i="33" s="1"/>
  <c r="J133" i="33" a="1"/>
  <c r="J133" i="33" s="1"/>
  <c r="J134" i="33" a="1"/>
  <c r="J134" i="33" s="1"/>
  <c r="J135" i="33" a="1"/>
  <c r="J135" i="33" s="1"/>
  <c r="J136" i="33" a="1"/>
  <c r="J136" i="33" s="1"/>
  <c r="J137" i="33" a="1"/>
  <c r="J137" i="33" s="1"/>
  <c r="J138" i="33" a="1"/>
  <c r="J138" i="33" s="1"/>
  <c r="J139" i="33" a="1"/>
  <c r="J139" i="33" s="1"/>
  <c r="J140" i="33" a="1"/>
  <c r="J140" i="33" s="1"/>
  <c r="J141" i="33" a="1"/>
  <c r="J141" i="33" s="1"/>
  <c r="J142" i="33" a="1"/>
  <c r="J142" i="33" s="1"/>
  <c r="J143" i="33" a="1"/>
  <c r="J143" i="33" s="1"/>
  <c r="J144" i="33" a="1"/>
  <c r="J144" i="33" s="1"/>
  <c r="J145" i="33" a="1"/>
  <c r="J145" i="33" s="1"/>
  <c r="J146" i="33" a="1"/>
  <c r="J146" i="33" s="1"/>
  <c r="J147" i="33" a="1"/>
  <c r="J147" i="33" s="1"/>
  <c r="J148" i="33" a="1"/>
  <c r="J148" i="33" s="1"/>
  <c r="J149" i="33" a="1"/>
  <c r="J149" i="33" s="1"/>
  <c r="J150" i="33" a="1"/>
  <c r="J150" i="33" s="1"/>
  <c r="J151" i="33" a="1"/>
  <c r="J151" i="33" s="1"/>
  <c r="J152" i="33" a="1"/>
  <c r="J152" i="33" s="1"/>
  <c r="J153" i="33" a="1"/>
  <c r="J153" i="33" s="1"/>
  <c r="I16" i="33" a="1"/>
  <c r="I16" i="33" s="1"/>
  <c r="I17" i="33" a="1"/>
  <c r="I17" i="33" s="1"/>
  <c r="I18" i="33" a="1"/>
  <c r="I18" i="33" s="1"/>
  <c r="I19" i="33" a="1"/>
  <c r="I19" i="33" s="1"/>
  <c r="I20" i="33" a="1"/>
  <c r="I20" i="33" s="1"/>
  <c r="I21" i="33" a="1"/>
  <c r="I21" i="33" s="1"/>
  <c r="I22" i="33" a="1"/>
  <c r="I22" i="33" s="1"/>
  <c r="I23" i="33" a="1"/>
  <c r="I23" i="33" s="1"/>
  <c r="I24" i="33" a="1"/>
  <c r="I24" i="33" s="1"/>
  <c r="I25" i="33" a="1"/>
  <c r="I25" i="33" s="1"/>
  <c r="I26" i="33" a="1"/>
  <c r="I26" i="33" s="1"/>
  <c r="I27" i="33" a="1"/>
  <c r="I27" i="33" s="1"/>
  <c r="I28" i="33" a="1"/>
  <c r="I28" i="33" s="1"/>
  <c r="I29" i="33" a="1"/>
  <c r="I29" i="33" s="1"/>
  <c r="I30" i="33" a="1"/>
  <c r="I30" i="33" s="1"/>
  <c r="I31" i="33" a="1"/>
  <c r="I31" i="33" s="1"/>
  <c r="I32" i="33" a="1"/>
  <c r="I32" i="33" s="1"/>
  <c r="I33" i="33" a="1"/>
  <c r="I33" i="33" s="1"/>
  <c r="I34" i="33" a="1"/>
  <c r="I34" i="33" s="1"/>
  <c r="I35" i="33" a="1"/>
  <c r="I35" i="33" s="1"/>
  <c r="I36" i="33" a="1"/>
  <c r="I36" i="33" s="1"/>
  <c r="I37" i="33" a="1"/>
  <c r="I37" i="33" s="1"/>
  <c r="I38" i="33" a="1"/>
  <c r="I38" i="33" s="1"/>
  <c r="I39" i="33" a="1"/>
  <c r="I39" i="33" s="1"/>
  <c r="I40" i="33" a="1"/>
  <c r="I40" i="33" s="1"/>
  <c r="I41" i="33" a="1"/>
  <c r="I41" i="33" s="1"/>
  <c r="I42" i="33" a="1"/>
  <c r="I42" i="33" s="1"/>
  <c r="I43" i="33" a="1"/>
  <c r="I43" i="33" s="1"/>
  <c r="I44" i="33" a="1"/>
  <c r="I44" i="33" s="1"/>
  <c r="I45" i="33" a="1"/>
  <c r="I45" i="33" s="1"/>
  <c r="I46" i="33" a="1"/>
  <c r="I46" i="33" s="1"/>
  <c r="I47" i="33" a="1"/>
  <c r="I47" i="33" s="1"/>
  <c r="I48" i="33" a="1"/>
  <c r="I48" i="33" s="1"/>
  <c r="I49" i="33" a="1"/>
  <c r="I49" i="33" s="1"/>
  <c r="I50" i="33" a="1"/>
  <c r="I50" i="33" s="1"/>
  <c r="I51" i="33" a="1"/>
  <c r="I51" i="33" s="1"/>
  <c r="I52" i="33" a="1"/>
  <c r="I52" i="33" s="1"/>
  <c r="I53" i="33" a="1"/>
  <c r="I53" i="33" s="1"/>
  <c r="I54" i="33" a="1"/>
  <c r="I54" i="33" s="1"/>
  <c r="I55" i="33" a="1"/>
  <c r="I55" i="33" s="1"/>
  <c r="I56" i="33" a="1"/>
  <c r="I56" i="33" s="1"/>
  <c r="I57" i="33" a="1"/>
  <c r="I57" i="33" s="1"/>
  <c r="I58" i="33" a="1"/>
  <c r="I58" i="33" s="1"/>
  <c r="I59" i="33" a="1"/>
  <c r="I59" i="33" s="1"/>
  <c r="I60" i="33" a="1"/>
  <c r="I60" i="33" s="1"/>
  <c r="I61" i="33" a="1"/>
  <c r="I61" i="33" s="1"/>
  <c r="I62" i="33" a="1"/>
  <c r="I62" i="33" s="1"/>
  <c r="I63" i="33" a="1"/>
  <c r="I63" i="33" s="1"/>
  <c r="I64" i="33" a="1"/>
  <c r="I64" i="33" s="1"/>
  <c r="I65" i="33" a="1"/>
  <c r="I65" i="33" s="1"/>
  <c r="I66" i="33" a="1"/>
  <c r="I66" i="33" s="1"/>
  <c r="I67" i="33" a="1"/>
  <c r="I67" i="33" s="1"/>
  <c r="I68" i="33" a="1"/>
  <c r="I68" i="33" s="1"/>
  <c r="I69" i="33" a="1"/>
  <c r="I69" i="33" s="1"/>
  <c r="I70" i="33" a="1"/>
  <c r="I70" i="33" s="1"/>
  <c r="I71" i="33" a="1"/>
  <c r="I71" i="33" s="1"/>
  <c r="I72" i="33" a="1"/>
  <c r="I72" i="33" s="1"/>
  <c r="I73" i="33" a="1"/>
  <c r="I73" i="33" s="1"/>
  <c r="I74" i="33" a="1"/>
  <c r="I74" i="33" s="1"/>
  <c r="I75" i="33" a="1"/>
  <c r="I75" i="33" s="1"/>
  <c r="I76" i="33" a="1"/>
  <c r="I76" i="33" s="1"/>
  <c r="I77" i="33" a="1"/>
  <c r="I77" i="33" s="1"/>
  <c r="I78" i="33" a="1"/>
  <c r="I78" i="33" s="1"/>
  <c r="I79" i="33" a="1"/>
  <c r="I79" i="33" s="1"/>
  <c r="I80" i="33" a="1"/>
  <c r="I80" i="33" s="1"/>
  <c r="I81" i="33" a="1"/>
  <c r="I81" i="33" s="1"/>
  <c r="I82" i="33" a="1"/>
  <c r="I82" i="33" s="1"/>
  <c r="I83" i="33" a="1"/>
  <c r="I83" i="33" s="1"/>
  <c r="I84" i="33" a="1"/>
  <c r="I84" i="33" s="1"/>
  <c r="I85" i="33" a="1"/>
  <c r="I85" i="33" s="1"/>
  <c r="I86" i="33" a="1"/>
  <c r="I86" i="33" s="1"/>
  <c r="I87" i="33" a="1"/>
  <c r="I87" i="33" s="1"/>
  <c r="I88" i="33" a="1"/>
  <c r="I88" i="33" s="1"/>
  <c r="I89" i="33" a="1"/>
  <c r="I89" i="33" s="1"/>
  <c r="I90" i="33" a="1"/>
  <c r="I90" i="33" s="1"/>
  <c r="I91" i="33" a="1"/>
  <c r="I91" i="33" s="1"/>
  <c r="I92" i="33" a="1"/>
  <c r="I92" i="33" s="1"/>
  <c r="I93" i="33" a="1"/>
  <c r="I93" i="33" s="1"/>
  <c r="I94" i="33" a="1"/>
  <c r="I94" i="33" s="1"/>
  <c r="I95" i="33" a="1"/>
  <c r="I95" i="33" s="1"/>
  <c r="I96" i="33" a="1"/>
  <c r="I96" i="33" s="1"/>
  <c r="I97" i="33" a="1"/>
  <c r="I97" i="33" s="1"/>
  <c r="I98" i="33" a="1"/>
  <c r="I98" i="33" s="1"/>
  <c r="I99" i="33" a="1"/>
  <c r="I99" i="33" s="1"/>
  <c r="I100" i="33" a="1"/>
  <c r="I100" i="33" s="1"/>
  <c r="I101" i="33" a="1"/>
  <c r="I101" i="33" s="1"/>
  <c r="I102" i="33" a="1"/>
  <c r="I102" i="33" s="1"/>
  <c r="I103" i="33" a="1"/>
  <c r="I103" i="33" s="1"/>
  <c r="I104" i="33" a="1"/>
  <c r="I104" i="33" s="1"/>
  <c r="I105" i="33" a="1"/>
  <c r="I105" i="33" s="1"/>
  <c r="I106" i="33" a="1"/>
  <c r="I106" i="33" s="1"/>
  <c r="I107" i="33" a="1"/>
  <c r="I107" i="33" s="1"/>
  <c r="I108" i="33" a="1"/>
  <c r="I108" i="33" s="1"/>
  <c r="I109" i="33" a="1"/>
  <c r="I109" i="33" s="1"/>
  <c r="I110" i="33" a="1"/>
  <c r="I110" i="33" s="1"/>
  <c r="I111" i="33" a="1"/>
  <c r="I111" i="33" s="1"/>
  <c r="I112" i="33" a="1"/>
  <c r="I112" i="33" s="1"/>
  <c r="I113" i="33" a="1"/>
  <c r="I113" i="33" s="1"/>
  <c r="I114" i="33" a="1"/>
  <c r="I114" i="33" s="1"/>
  <c r="I115" i="33" a="1"/>
  <c r="I115" i="33" s="1"/>
  <c r="I116" i="33" a="1"/>
  <c r="I116" i="33" s="1"/>
  <c r="I117" i="33" a="1"/>
  <c r="I117" i="33" s="1"/>
  <c r="I118" i="33" a="1"/>
  <c r="I118" i="33" s="1"/>
  <c r="I119" i="33" a="1"/>
  <c r="I119" i="33" s="1"/>
  <c r="I120" i="33" a="1"/>
  <c r="I120" i="33" s="1"/>
  <c r="I121" i="33" a="1"/>
  <c r="I121" i="33" s="1"/>
  <c r="I122" i="33" a="1"/>
  <c r="I122" i="33" s="1"/>
  <c r="I123" i="33" a="1"/>
  <c r="I123" i="33" s="1"/>
  <c r="I124" i="33" a="1"/>
  <c r="I124" i="33" s="1"/>
  <c r="I125" i="33" a="1"/>
  <c r="I125" i="33" s="1"/>
  <c r="I126" i="33" a="1"/>
  <c r="I126" i="33" s="1"/>
  <c r="I127" i="33" a="1"/>
  <c r="I127" i="33" s="1"/>
  <c r="I128" i="33" a="1"/>
  <c r="I128" i="33" s="1"/>
  <c r="I129" i="33" a="1"/>
  <c r="I129" i="33" s="1"/>
  <c r="I130" i="33" a="1"/>
  <c r="I130" i="33" s="1"/>
  <c r="I131" i="33" a="1"/>
  <c r="I131" i="33" s="1"/>
  <c r="I132" i="33" a="1"/>
  <c r="I132" i="33" s="1"/>
  <c r="I133" i="33" a="1"/>
  <c r="I133" i="33" s="1"/>
  <c r="I134" i="33" a="1"/>
  <c r="I134" i="33" s="1"/>
  <c r="I135" i="33" a="1"/>
  <c r="I135" i="33" s="1"/>
  <c r="I136" i="33" a="1"/>
  <c r="I136" i="33" s="1"/>
  <c r="I137" i="33" a="1"/>
  <c r="I137" i="33" s="1"/>
  <c r="I138" i="33" a="1"/>
  <c r="I138" i="33" s="1"/>
  <c r="I139" i="33" a="1"/>
  <c r="I139" i="33" s="1"/>
  <c r="I140" i="33" a="1"/>
  <c r="I140" i="33" s="1"/>
  <c r="I141" i="33" a="1"/>
  <c r="I141" i="33" s="1"/>
  <c r="I142" i="33" a="1"/>
  <c r="I142" i="33" s="1"/>
  <c r="I143" i="33" a="1"/>
  <c r="I143" i="33" s="1"/>
  <c r="I144" i="33" a="1"/>
  <c r="I144" i="33" s="1"/>
  <c r="I145" i="33" a="1"/>
  <c r="I145" i="33" s="1"/>
  <c r="I146" i="33" a="1"/>
  <c r="I146" i="33" s="1"/>
  <c r="I147" i="33" a="1"/>
  <c r="I147" i="33" s="1"/>
  <c r="I148" i="33" a="1"/>
  <c r="I148" i="33" s="1"/>
  <c r="I149" i="33" a="1"/>
  <c r="I149" i="33" s="1"/>
  <c r="I150" i="33" a="1"/>
  <c r="I150" i="33" s="1"/>
  <c r="I151" i="33" a="1"/>
  <c r="I151" i="33" s="1"/>
  <c r="I152" i="33" a="1"/>
  <c r="I152" i="33" s="1"/>
  <c r="I153" i="33" a="1"/>
  <c r="I153" i="33" s="1"/>
  <c r="P14" i="52" l="1"/>
  <c r="P15" i="52"/>
  <c r="P16" i="52"/>
  <c r="P17" i="52"/>
  <c r="P18" i="52"/>
  <c r="P19" i="52"/>
  <c r="P20" i="52"/>
  <c r="P21" i="52"/>
  <c r="P22" i="52"/>
  <c r="P23" i="52"/>
  <c r="P24" i="52"/>
  <c r="P25" i="52"/>
  <c r="P26" i="52"/>
  <c r="P27" i="52"/>
  <c r="P28" i="52"/>
  <c r="P29" i="52"/>
  <c r="P30" i="52"/>
  <c r="CH12" i="49" l="1"/>
  <c r="CH11" i="49"/>
  <c r="CH10" i="49"/>
  <c r="B2" i="23"/>
  <c r="B3" i="66"/>
  <c r="E4" i="40"/>
  <c r="I1" i="115"/>
  <c r="E1" i="115"/>
  <c r="E204" i="81"/>
  <c r="E203" i="81"/>
  <c r="E202" i="81"/>
  <c r="E201" i="81"/>
  <c r="E200" i="81"/>
  <c r="D181" i="81"/>
  <c r="D180" i="81"/>
  <c r="D179" i="81"/>
  <c r="D178" i="81"/>
  <c r="D177" i="81"/>
  <c r="D176" i="81"/>
  <c r="D175" i="81"/>
  <c r="E174" i="81"/>
  <c r="E173" i="81"/>
  <c r="E172" i="81"/>
  <c r="E171" i="81"/>
  <c r="E170" i="81"/>
  <c r="E169" i="81"/>
  <c r="E168" i="81"/>
  <c r="E167" i="81"/>
  <c r="E166" i="81"/>
  <c r="E165" i="81"/>
  <c r="E164" i="81"/>
  <c r="E163" i="81"/>
  <c r="E162" i="81"/>
  <c r="E161" i="81"/>
  <c r="E160" i="81"/>
  <c r="E159" i="81"/>
  <c r="E158" i="81"/>
  <c r="E157" i="81"/>
  <c r="E156" i="81"/>
  <c r="E155" i="81"/>
  <c r="E154" i="81"/>
  <c r="E153" i="81"/>
  <c r="E152" i="81"/>
  <c r="E151" i="81"/>
  <c r="E150" i="81"/>
  <c r="E149" i="81"/>
  <c r="E148" i="81"/>
  <c r="E147" i="81"/>
  <c r="E146" i="81"/>
  <c r="E145" i="81"/>
  <c r="E144" i="81"/>
  <c r="E143" i="81"/>
  <c r="E142" i="81"/>
  <c r="E141" i="81"/>
  <c r="E140" i="81"/>
  <c r="E139" i="81"/>
  <c r="E138" i="81"/>
  <c r="E137" i="81"/>
  <c r="E136" i="81"/>
  <c r="E135" i="81"/>
  <c r="E134" i="81"/>
  <c r="E133" i="81"/>
  <c r="E132" i="81"/>
  <c r="E131" i="81"/>
  <c r="E130" i="81"/>
  <c r="E129" i="81"/>
  <c r="E128" i="81"/>
  <c r="E127" i="81"/>
  <c r="E126" i="81"/>
  <c r="E125" i="81"/>
  <c r="E124" i="81"/>
  <c r="E123" i="81"/>
  <c r="E122" i="81"/>
  <c r="E121" i="81"/>
  <c r="E120" i="81"/>
  <c r="E119" i="81"/>
  <c r="E118" i="81"/>
  <c r="E117" i="81"/>
  <c r="E116" i="81"/>
  <c r="E115" i="81"/>
  <c r="E114" i="81"/>
  <c r="E113" i="81"/>
  <c r="E112" i="81"/>
  <c r="E111" i="81"/>
  <c r="E110" i="81"/>
  <c r="E109" i="81"/>
  <c r="E108" i="81"/>
  <c r="E107" i="81"/>
  <c r="E106" i="81"/>
  <c r="E105" i="81"/>
  <c r="E104" i="81"/>
  <c r="E103" i="81"/>
  <c r="E102" i="81"/>
  <c r="D101" i="81"/>
  <c r="D100" i="81"/>
  <c r="D99" i="81"/>
  <c r="D98" i="81"/>
  <c r="D97" i="81"/>
  <c r="D96" i="81"/>
  <c r="D95" i="81"/>
  <c r="D94" i="81"/>
  <c r="D93" i="81"/>
  <c r="D92" i="81"/>
  <c r="D91" i="81"/>
  <c r="D90" i="81"/>
  <c r="D89" i="81"/>
  <c r="D88" i="81"/>
  <c r="D87" i="81"/>
  <c r="D86" i="81"/>
  <c r="D85" i="81"/>
  <c r="D84" i="81"/>
  <c r="D83" i="81"/>
  <c r="D82" i="81"/>
  <c r="D81" i="81"/>
  <c r="D80" i="81"/>
  <c r="D79" i="81"/>
  <c r="D78" i="81"/>
  <c r="D77" i="81"/>
  <c r="D76" i="81"/>
  <c r="D75" i="81"/>
  <c r="D74" i="81"/>
  <c r="D73" i="81"/>
  <c r="D72" i="81"/>
  <c r="D71" i="81"/>
  <c r="D70" i="81"/>
  <c r="D69" i="81"/>
  <c r="D68" i="81"/>
  <c r="D67" i="81"/>
  <c r="D66" i="81"/>
  <c r="D65" i="81"/>
  <c r="D64" i="81"/>
  <c r="D63" i="81"/>
  <c r="D62" i="81"/>
  <c r="D61" i="81"/>
  <c r="D60" i="81"/>
  <c r="D59" i="81"/>
  <c r="D58" i="81"/>
  <c r="D57" i="81"/>
  <c r="D56" i="81"/>
  <c r="D55" i="81"/>
  <c r="D54" i="81"/>
  <c r="D53" i="81"/>
  <c r="D52" i="81"/>
  <c r="D51" i="81"/>
  <c r="D50" i="81"/>
  <c r="D49" i="81"/>
  <c r="D48" i="81"/>
  <c r="D47" i="81"/>
  <c r="D46" i="81"/>
  <c r="D45" i="81"/>
  <c r="D44" i="81"/>
  <c r="D43" i="81"/>
  <c r="D42" i="81"/>
  <c r="D41" i="81"/>
  <c r="D40" i="81"/>
  <c r="D39" i="81"/>
  <c r="D38" i="81"/>
  <c r="D37" i="81"/>
  <c r="D36" i="81"/>
  <c r="D35" i="81"/>
  <c r="D34" i="81"/>
  <c r="D33" i="81"/>
  <c r="D32" i="81"/>
  <c r="D31" i="81"/>
  <c r="D30" i="81"/>
  <c r="D29" i="81"/>
  <c r="D28" i="81"/>
  <c r="D27" i="81"/>
  <c r="D26" i="81"/>
  <c r="D25" i="81"/>
  <c r="D24" i="81"/>
  <c r="D23" i="81"/>
  <c r="D22" i="81"/>
  <c r="D21" i="81"/>
  <c r="D20" i="81"/>
  <c r="D19" i="81"/>
  <c r="D18" i="81"/>
  <c r="D17" i="81"/>
  <c r="D16" i="81"/>
  <c r="D15" i="81"/>
  <c r="D14" i="81"/>
  <c r="D13" i="81"/>
  <c r="D12" i="81"/>
  <c r="D11" i="81"/>
  <c r="D10" i="81"/>
  <c r="D9" i="81"/>
  <c r="D8" i="81"/>
  <c r="D7" i="81"/>
  <c r="D6" i="81"/>
  <c r="D5" i="81"/>
  <c r="D4" i="81"/>
  <c r="D3" i="81"/>
  <c r="D100" i="74"/>
  <c r="D99" i="74"/>
  <c r="D98" i="74"/>
  <c r="D97" i="74"/>
  <c r="D96" i="74"/>
  <c r="D95" i="74"/>
  <c r="D94" i="74"/>
  <c r="D93" i="74"/>
  <c r="D92" i="74"/>
  <c r="D91" i="74"/>
  <c r="D90" i="74"/>
  <c r="D89" i="74"/>
  <c r="D88" i="74"/>
  <c r="D87" i="74"/>
  <c r="D86" i="74"/>
  <c r="D85" i="74"/>
  <c r="D84" i="74"/>
  <c r="D83" i="74"/>
  <c r="D82" i="74"/>
  <c r="D81" i="74"/>
  <c r="D80" i="74"/>
  <c r="D79" i="74"/>
  <c r="D78" i="74"/>
  <c r="D77" i="74"/>
  <c r="D76" i="74"/>
  <c r="D75" i="74"/>
  <c r="D74" i="74"/>
  <c r="D73" i="74"/>
  <c r="D72" i="74"/>
  <c r="D71" i="74"/>
  <c r="D70" i="74"/>
  <c r="D69" i="74"/>
  <c r="D68" i="74"/>
  <c r="D67" i="74"/>
  <c r="D66" i="74"/>
  <c r="D65" i="74"/>
  <c r="D64" i="74"/>
  <c r="D63" i="74"/>
  <c r="D62" i="74"/>
  <c r="D61" i="74"/>
  <c r="D60" i="74"/>
  <c r="D59" i="74"/>
  <c r="D58" i="74"/>
  <c r="D57" i="74"/>
  <c r="D56" i="74"/>
  <c r="D55" i="74"/>
  <c r="D54" i="74"/>
  <c r="D53" i="74"/>
  <c r="D52" i="74"/>
  <c r="D51" i="74"/>
  <c r="D50" i="74"/>
  <c r="D49" i="74"/>
  <c r="D48" i="74"/>
  <c r="D47" i="74"/>
  <c r="D46" i="74"/>
  <c r="D45" i="74"/>
  <c r="D44" i="74"/>
  <c r="D43" i="74"/>
  <c r="D42" i="74"/>
  <c r="D41" i="74"/>
  <c r="D40" i="74"/>
  <c r="D39" i="74"/>
  <c r="D38" i="74"/>
  <c r="D37" i="74"/>
  <c r="D36" i="74"/>
  <c r="D35" i="74"/>
  <c r="D34" i="74"/>
  <c r="D33" i="74"/>
  <c r="D32" i="74"/>
  <c r="D31" i="74"/>
  <c r="D30" i="74"/>
  <c r="D29" i="74"/>
  <c r="D28" i="74"/>
  <c r="D27" i="74"/>
  <c r="D26" i="74"/>
  <c r="D25" i="74"/>
  <c r="D24" i="74"/>
  <c r="D23" i="74"/>
  <c r="D22" i="74"/>
  <c r="D21" i="74"/>
  <c r="D20" i="74"/>
  <c r="D19" i="74"/>
  <c r="D18" i="74"/>
  <c r="D17" i="74"/>
  <c r="D16" i="74"/>
  <c r="D15" i="74"/>
  <c r="D14" i="74"/>
  <c r="D13" i="74"/>
  <c r="K60" i="22"/>
  <c r="K59" i="22"/>
  <c r="K58" i="22"/>
  <c r="K57" i="22"/>
  <c r="K56" i="22"/>
  <c r="K55" i="22"/>
  <c r="K54" i="22"/>
  <c r="K53" i="22"/>
  <c r="K52" i="22"/>
  <c r="K36" i="22"/>
  <c r="D36" i="22"/>
  <c r="C36" i="22"/>
  <c r="B36" i="22"/>
  <c r="K35" i="22"/>
  <c r="D35" i="22"/>
  <c r="C35" i="22"/>
  <c r="B35" i="22"/>
  <c r="K34" i="22"/>
  <c r="D34" i="22"/>
  <c r="C34" i="22"/>
  <c r="B34" i="22"/>
  <c r="K33" i="22"/>
  <c r="D33" i="22"/>
  <c r="C33" i="22"/>
  <c r="B33" i="22"/>
  <c r="K32" i="22"/>
  <c r="D32" i="22"/>
  <c r="C32" i="22"/>
  <c r="B32" i="22"/>
  <c r="K31" i="22"/>
  <c r="D31" i="22"/>
  <c r="C31" i="22"/>
  <c r="B31" i="22"/>
  <c r="K30" i="22"/>
  <c r="D30" i="22"/>
  <c r="C30" i="22"/>
  <c r="B30" i="22"/>
  <c r="K29" i="22"/>
  <c r="D29" i="22"/>
  <c r="C29" i="22"/>
  <c r="B29" i="22"/>
  <c r="K28" i="22"/>
  <c r="D28" i="22"/>
  <c r="C28" i="22"/>
  <c r="B28" i="22"/>
  <c r="K27" i="22"/>
  <c r="D27" i="22"/>
  <c r="C27" i="22"/>
  <c r="B27" i="22"/>
  <c r="K26" i="22"/>
  <c r="D26" i="22"/>
  <c r="C26" i="22"/>
  <c r="B26" i="22"/>
  <c r="K25" i="22"/>
  <c r="D25" i="22"/>
  <c r="C25" i="22"/>
  <c r="B25" i="22"/>
  <c r="K24" i="22"/>
  <c r="D24" i="22"/>
  <c r="C24" i="22"/>
  <c r="B24" i="22"/>
  <c r="K23" i="22"/>
  <c r="D23" i="22"/>
  <c r="C23" i="22"/>
  <c r="B23" i="22"/>
  <c r="K22" i="22"/>
  <c r="D22" i="22"/>
  <c r="C22" i="22"/>
  <c r="B22" i="22"/>
  <c r="K21" i="22"/>
  <c r="D21" i="22"/>
  <c r="C21" i="22"/>
  <c r="B21" i="22"/>
  <c r="K20" i="22"/>
  <c r="D20" i="22"/>
  <c r="C20" i="22"/>
  <c r="B20" i="22"/>
  <c r="K19" i="22"/>
  <c r="D19" i="22"/>
  <c r="C19" i="22"/>
  <c r="B19" i="22"/>
  <c r="K18" i="22"/>
  <c r="D18" i="22"/>
  <c r="C18" i="22"/>
  <c r="B18" i="22"/>
  <c r="K17" i="22"/>
  <c r="D17" i="22"/>
  <c r="C17" i="22"/>
  <c r="B17" i="22"/>
  <c r="K16" i="22"/>
  <c r="D16" i="22"/>
  <c r="C16" i="22"/>
  <c r="B16" i="22"/>
  <c r="K15" i="22"/>
  <c r="D15" i="22"/>
  <c r="C15" i="22"/>
  <c r="B15" i="22"/>
  <c r="K14" i="22"/>
  <c r="D14" i="22"/>
  <c r="C14" i="22"/>
  <c r="B14" i="22"/>
  <c r="K13" i="22"/>
  <c r="D13" i="22"/>
  <c r="C13" i="22"/>
  <c r="B13" i="22"/>
  <c r="H100" i="115"/>
  <c r="C100" i="115"/>
  <c r="H99" i="115"/>
  <c r="C99" i="115"/>
  <c r="H98" i="115"/>
  <c r="C98" i="115"/>
  <c r="H97" i="115"/>
  <c r="C97" i="115"/>
  <c r="H96" i="115"/>
  <c r="C96" i="115"/>
  <c r="H95" i="115"/>
  <c r="C95" i="115"/>
  <c r="H94" i="115"/>
  <c r="C94" i="115"/>
  <c r="H93" i="115"/>
  <c r="C93" i="115"/>
  <c r="H92" i="115"/>
  <c r="C92" i="115"/>
  <c r="H91" i="115"/>
  <c r="C91" i="115"/>
  <c r="H90" i="115"/>
  <c r="C90" i="115"/>
  <c r="H89" i="115"/>
  <c r="C89" i="115"/>
  <c r="H88" i="115"/>
  <c r="C88" i="115"/>
  <c r="H87" i="115"/>
  <c r="C87" i="115"/>
  <c r="H86" i="115"/>
  <c r="C86" i="115"/>
  <c r="H85" i="115"/>
  <c r="C85" i="115"/>
  <c r="H84" i="115"/>
  <c r="C84" i="115"/>
  <c r="H83" i="115"/>
  <c r="C83" i="115"/>
  <c r="H82" i="115"/>
  <c r="C82" i="115"/>
  <c r="H81" i="115"/>
  <c r="C81" i="115"/>
  <c r="H80" i="115"/>
  <c r="C80" i="115"/>
  <c r="H79" i="115"/>
  <c r="C79" i="115"/>
  <c r="H78" i="115"/>
  <c r="C78" i="115"/>
  <c r="H77" i="115"/>
  <c r="C77" i="115"/>
  <c r="H76" i="115"/>
  <c r="C76" i="115"/>
  <c r="H75" i="115"/>
  <c r="C75" i="115"/>
  <c r="H74" i="115"/>
  <c r="C74" i="115"/>
  <c r="H73" i="115"/>
  <c r="C73" i="115"/>
  <c r="H72" i="115"/>
  <c r="C72" i="115"/>
  <c r="H71" i="115"/>
  <c r="C71" i="115"/>
  <c r="H70" i="115"/>
  <c r="C70" i="115"/>
  <c r="H69" i="115"/>
  <c r="C69" i="115"/>
  <c r="H68" i="115"/>
  <c r="C68" i="115"/>
  <c r="H67" i="115"/>
  <c r="C67" i="115"/>
  <c r="H66" i="115"/>
  <c r="C66" i="115"/>
  <c r="H65" i="115"/>
  <c r="C65" i="115"/>
  <c r="H64" i="115"/>
  <c r="C64" i="115"/>
  <c r="H63" i="115"/>
  <c r="C63" i="115"/>
  <c r="H62" i="115"/>
  <c r="C62" i="115"/>
  <c r="H61" i="115"/>
  <c r="C61" i="115"/>
  <c r="H60" i="115"/>
  <c r="C60" i="115"/>
  <c r="H59" i="115"/>
  <c r="C59" i="115"/>
  <c r="H58" i="115"/>
  <c r="C58" i="115"/>
  <c r="H57" i="115"/>
  <c r="C57" i="115"/>
  <c r="H56" i="115"/>
  <c r="C56" i="115"/>
  <c r="H55" i="115"/>
  <c r="C55" i="115"/>
  <c r="H54" i="115"/>
  <c r="C54" i="115"/>
  <c r="H53" i="115"/>
  <c r="C53" i="115"/>
  <c r="H52" i="115"/>
  <c r="C52" i="115"/>
  <c r="H51" i="115"/>
  <c r="C51" i="115"/>
  <c r="H50" i="115"/>
  <c r="C50" i="115"/>
  <c r="H49" i="115"/>
  <c r="C49" i="115"/>
  <c r="H48" i="115"/>
  <c r="C48" i="115"/>
  <c r="H47" i="115"/>
  <c r="C47" i="115"/>
  <c r="H46" i="115"/>
  <c r="C46" i="115"/>
  <c r="H45" i="115"/>
  <c r="C45" i="115"/>
  <c r="H44" i="115"/>
  <c r="C44" i="115"/>
  <c r="H43" i="115"/>
  <c r="C43" i="115"/>
  <c r="H42" i="115"/>
  <c r="C42" i="115"/>
  <c r="H41" i="115"/>
  <c r="C41" i="115"/>
  <c r="H40" i="115"/>
  <c r="C40" i="115"/>
  <c r="H39" i="115"/>
  <c r="C39" i="115"/>
  <c r="H38" i="115"/>
  <c r="C38" i="115"/>
  <c r="H37" i="115"/>
  <c r="C37" i="115"/>
  <c r="H36" i="115"/>
  <c r="C36" i="115"/>
  <c r="H35" i="115"/>
  <c r="C35" i="115"/>
  <c r="H34" i="115"/>
  <c r="C34" i="115"/>
  <c r="H33" i="115"/>
  <c r="C33" i="115"/>
  <c r="H32" i="115"/>
  <c r="C32" i="115"/>
  <c r="H31" i="115"/>
  <c r="C31" i="115"/>
  <c r="H30" i="115"/>
  <c r="C30" i="115"/>
  <c r="H29" i="115"/>
  <c r="C29" i="115"/>
  <c r="H28" i="115"/>
  <c r="C28" i="115"/>
  <c r="H27" i="115"/>
  <c r="C27" i="115"/>
  <c r="H26" i="115"/>
  <c r="C26" i="115"/>
  <c r="H25" i="115"/>
  <c r="C25" i="115"/>
  <c r="H24" i="115"/>
  <c r="C24" i="115"/>
  <c r="H23" i="115"/>
  <c r="C23" i="115"/>
  <c r="H22" i="115"/>
  <c r="C22" i="115"/>
  <c r="H21" i="115"/>
  <c r="C21" i="115"/>
  <c r="H20" i="115"/>
  <c r="C20" i="115"/>
  <c r="H19" i="115"/>
  <c r="C19" i="115"/>
  <c r="H18" i="115"/>
  <c r="C18" i="115"/>
  <c r="H17" i="115"/>
  <c r="C17" i="115"/>
  <c r="H16" i="115"/>
  <c r="C16" i="115"/>
  <c r="H15" i="115"/>
  <c r="C15" i="115"/>
  <c r="H14" i="115"/>
  <c r="C14" i="115"/>
  <c r="H13" i="115"/>
  <c r="C13" i="115"/>
  <c r="H12" i="115"/>
  <c r="C12" i="115"/>
  <c r="H11" i="115"/>
  <c r="C11" i="115"/>
  <c r="H10" i="115"/>
  <c r="C10" i="115"/>
  <c r="H9" i="115"/>
  <c r="C9" i="115"/>
  <c r="H8" i="115"/>
  <c r="C8" i="115"/>
  <c r="H7" i="115"/>
  <c r="C7" i="115"/>
  <c r="G29" i="52"/>
  <c r="B29" i="52"/>
  <c r="G28" i="52"/>
  <c r="B28" i="52"/>
  <c r="G27" i="52"/>
  <c r="B27" i="52"/>
  <c r="G26" i="52"/>
  <c r="B26" i="52"/>
  <c r="G25" i="52"/>
  <c r="B25" i="52"/>
  <c r="G24" i="52"/>
  <c r="B24" i="52"/>
  <c r="G23" i="52"/>
  <c r="B23" i="52"/>
  <c r="G22" i="52"/>
  <c r="B22" i="52"/>
  <c r="G21" i="52"/>
  <c r="B21" i="52"/>
  <c r="G20" i="52"/>
  <c r="B20" i="52"/>
  <c r="G19" i="52"/>
  <c r="B19" i="52"/>
  <c r="G18" i="52"/>
  <c r="B18" i="52"/>
  <c r="G17" i="52"/>
  <c r="B17" i="52"/>
  <c r="G16" i="52"/>
  <c r="B16" i="52"/>
  <c r="G15" i="52"/>
  <c r="B15" i="52"/>
  <c r="G14" i="52"/>
  <c r="B14" i="52"/>
  <c r="C30" i="119"/>
  <c r="B30" i="119"/>
  <c r="G29" i="119"/>
  <c r="C29" i="119"/>
  <c r="B29" i="119"/>
  <c r="G28" i="119"/>
  <c r="C28" i="119"/>
  <c r="B28" i="119"/>
  <c r="G27" i="119"/>
  <c r="C27" i="119"/>
  <c r="B27" i="119"/>
  <c r="G26" i="119"/>
  <c r="C26" i="119"/>
  <c r="B26" i="119"/>
  <c r="G25" i="119"/>
  <c r="C25" i="119"/>
  <c r="B25" i="119"/>
  <c r="G24" i="119"/>
  <c r="C24" i="119"/>
  <c r="B24" i="119"/>
  <c r="G23" i="119"/>
  <c r="C23" i="119"/>
  <c r="B23" i="119"/>
  <c r="G22" i="119"/>
  <c r="C22" i="119"/>
  <c r="B22" i="119"/>
  <c r="G21" i="119"/>
  <c r="C21" i="119"/>
  <c r="B21" i="119"/>
  <c r="G20" i="119"/>
  <c r="C20" i="119"/>
  <c r="B20" i="119"/>
  <c r="G19" i="119"/>
  <c r="C19" i="119"/>
  <c r="B19" i="119"/>
  <c r="G18" i="119"/>
  <c r="C18" i="119"/>
  <c r="B18" i="119"/>
  <c r="G17" i="119"/>
  <c r="C17" i="119"/>
  <c r="B17" i="119"/>
  <c r="G16" i="119"/>
  <c r="C16" i="119"/>
  <c r="B16" i="119"/>
  <c r="G15" i="119"/>
  <c r="C15" i="119"/>
  <c r="B15" i="119"/>
  <c r="G14" i="119"/>
  <c r="C14" i="119"/>
  <c r="B14" i="119"/>
  <c r="G13" i="119"/>
  <c r="C13" i="119"/>
  <c r="B13" i="119"/>
  <c r="G12" i="119"/>
  <c r="C12" i="119"/>
  <c r="B12" i="119"/>
  <c r="G11" i="119"/>
  <c r="C11" i="119"/>
  <c r="B11" i="119"/>
  <c r="G10" i="119"/>
  <c r="C10" i="119"/>
  <c r="B10" i="119"/>
  <c r="G9" i="119"/>
  <c r="C9" i="119"/>
  <c r="B9" i="119"/>
  <c r="G8" i="119"/>
  <c r="C8" i="119"/>
  <c r="B8" i="119"/>
  <c r="G7" i="119"/>
  <c r="C7" i="119"/>
  <c r="B7" i="119"/>
  <c r="G6" i="119"/>
  <c r="C6" i="119"/>
  <c r="B6" i="119"/>
  <c r="G5" i="119"/>
  <c r="C5" i="119"/>
  <c r="B5" i="119"/>
  <c r="G4" i="119"/>
  <c r="C4" i="119"/>
  <c r="B4" i="119"/>
  <c r="K16" i="84"/>
  <c r="J16" i="84"/>
  <c r="I16" i="84"/>
  <c r="H16" i="84"/>
  <c r="G16" i="84"/>
  <c r="F16" i="84"/>
  <c r="E16" i="84"/>
  <c r="D16" i="84"/>
  <c r="C16" i="84"/>
  <c r="B16" i="84"/>
  <c r="U15" i="84"/>
  <c r="T15" i="84"/>
  <c r="S15" i="84"/>
  <c r="R15" i="84"/>
  <c r="Q15" i="84"/>
  <c r="P15" i="84"/>
  <c r="O15" i="84"/>
  <c r="N15" i="84"/>
  <c r="M15" i="84"/>
  <c r="L15" i="84"/>
  <c r="K15" i="84"/>
  <c r="J15" i="84"/>
  <c r="I15" i="84"/>
  <c r="H15" i="84"/>
  <c r="G15" i="84"/>
  <c r="F15" i="84"/>
  <c r="E15" i="84"/>
  <c r="D15" i="84"/>
  <c r="C15" i="84"/>
  <c r="B15" i="84"/>
  <c r="D40" i="83"/>
  <c r="B40" i="83"/>
  <c r="C40" i="83" s="1"/>
  <c r="O39" i="83"/>
  <c r="I39" i="83"/>
  <c r="G39" i="83"/>
  <c r="D39" i="83"/>
  <c r="B39" i="83"/>
  <c r="C39" i="83" s="1"/>
  <c r="O38" i="83"/>
  <c r="I38" i="83"/>
  <c r="G38" i="83"/>
  <c r="D38" i="83"/>
  <c r="B38" i="83"/>
  <c r="O37" i="83"/>
  <c r="I37" i="83"/>
  <c r="G37" i="83"/>
  <c r="D37" i="83"/>
  <c r="B37" i="83"/>
  <c r="O36" i="83"/>
  <c r="I36" i="83"/>
  <c r="G36" i="83"/>
  <c r="D36" i="83"/>
  <c r="B36" i="83"/>
  <c r="O35" i="83"/>
  <c r="I35" i="83"/>
  <c r="G35" i="83"/>
  <c r="D35" i="83"/>
  <c r="B35" i="83"/>
  <c r="J35" i="83" s="1"/>
  <c r="O34" i="83"/>
  <c r="I34" i="83"/>
  <c r="G34" i="83"/>
  <c r="D34" i="83"/>
  <c r="B34" i="83"/>
  <c r="O33" i="83"/>
  <c r="I33" i="83"/>
  <c r="G33" i="83"/>
  <c r="D33" i="83"/>
  <c r="B33" i="83"/>
  <c r="H33" i="83" s="1"/>
  <c r="O32" i="83"/>
  <c r="I32" i="83"/>
  <c r="G32" i="83"/>
  <c r="D32" i="83"/>
  <c r="B32" i="83"/>
  <c r="F32" i="83" s="1"/>
  <c r="O31" i="83"/>
  <c r="I31" i="83"/>
  <c r="G31" i="83"/>
  <c r="D31" i="83"/>
  <c r="B31" i="83"/>
  <c r="C31" i="83" s="1"/>
  <c r="O30" i="83"/>
  <c r="I30" i="83"/>
  <c r="G30" i="83"/>
  <c r="D30" i="83"/>
  <c r="B30" i="83"/>
  <c r="O29" i="83"/>
  <c r="I29" i="83"/>
  <c r="G29" i="83"/>
  <c r="D29" i="83"/>
  <c r="B29" i="83"/>
  <c r="O28" i="83"/>
  <c r="I28" i="83"/>
  <c r="G28" i="83"/>
  <c r="D28" i="83"/>
  <c r="B28" i="83"/>
  <c r="O27" i="83"/>
  <c r="I27" i="83"/>
  <c r="G27" i="83"/>
  <c r="D27" i="83"/>
  <c r="B27" i="83"/>
  <c r="F27" i="83" s="1"/>
  <c r="O26" i="83"/>
  <c r="I26" i="83"/>
  <c r="G26" i="83"/>
  <c r="D26" i="83"/>
  <c r="B26" i="83"/>
  <c r="J26" i="83" s="1"/>
  <c r="O25" i="83"/>
  <c r="I25" i="83"/>
  <c r="G25" i="83"/>
  <c r="D25" i="83"/>
  <c r="B25" i="83"/>
  <c r="O24" i="83"/>
  <c r="I24" i="83"/>
  <c r="G24" i="83"/>
  <c r="D24" i="83"/>
  <c r="B24" i="83"/>
  <c r="F24" i="83" s="1"/>
  <c r="O23" i="83"/>
  <c r="I23" i="83"/>
  <c r="G23" i="83"/>
  <c r="D23" i="83"/>
  <c r="B23" i="83"/>
  <c r="O22" i="83"/>
  <c r="I22" i="83"/>
  <c r="G22" i="83"/>
  <c r="D22" i="83"/>
  <c r="B22" i="83"/>
  <c r="H22" i="83" s="1"/>
  <c r="O21" i="83"/>
  <c r="I21" i="83"/>
  <c r="G21" i="83"/>
  <c r="D21" i="83"/>
  <c r="B21" i="83"/>
  <c r="O20" i="83"/>
  <c r="I20" i="83"/>
  <c r="G20" i="83"/>
  <c r="D20" i="83"/>
  <c r="B20" i="83"/>
  <c r="O19" i="83"/>
  <c r="I19" i="83"/>
  <c r="G19" i="83"/>
  <c r="D19" i="83"/>
  <c r="B19" i="83"/>
  <c r="O18" i="83"/>
  <c r="I18" i="83"/>
  <c r="G18" i="83"/>
  <c r="D18" i="83"/>
  <c r="B18" i="83"/>
  <c r="C18" i="83" s="1"/>
  <c r="O17" i="83"/>
  <c r="I17" i="83"/>
  <c r="G17" i="83"/>
  <c r="D17" i="83"/>
  <c r="B17" i="83"/>
  <c r="O16" i="83"/>
  <c r="I16" i="83"/>
  <c r="G16" i="83"/>
  <c r="D16" i="83"/>
  <c r="B16" i="83"/>
  <c r="F16" i="83" s="1"/>
  <c r="O15" i="83"/>
  <c r="I15" i="83"/>
  <c r="G15" i="83"/>
  <c r="D15" i="83"/>
  <c r="B15" i="83"/>
  <c r="H15" i="83" s="1"/>
  <c r="O14" i="83"/>
  <c r="I14" i="83"/>
  <c r="G14" i="83"/>
  <c r="D14" i="83"/>
  <c r="B14" i="83"/>
  <c r="C14" i="83" s="1"/>
  <c r="O13" i="83"/>
  <c r="I13" i="83"/>
  <c r="G13" i="83"/>
  <c r="D13" i="83"/>
  <c r="B13" i="83"/>
  <c r="O12" i="83"/>
  <c r="I12" i="83"/>
  <c r="G12" i="83"/>
  <c r="D12" i="83"/>
  <c r="B12" i="83"/>
  <c r="J12" i="83" s="1"/>
  <c r="O11" i="83"/>
  <c r="I11" i="83"/>
  <c r="G11" i="83"/>
  <c r="D11" i="83"/>
  <c r="B11" i="83"/>
  <c r="F11" i="83" s="1"/>
  <c r="O10" i="83"/>
  <c r="I10" i="83"/>
  <c r="G10" i="83"/>
  <c r="D10" i="83"/>
  <c r="B10" i="83"/>
  <c r="O9" i="83"/>
  <c r="I9" i="83"/>
  <c r="G9" i="83"/>
  <c r="D9" i="83"/>
  <c r="B9" i="83"/>
  <c r="O8" i="83"/>
  <c r="I8" i="83"/>
  <c r="G8" i="83"/>
  <c r="D8" i="83"/>
  <c r="B8" i="83"/>
  <c r="O7" i="83"/>
  <c r="I7" i="83"/>
  <c r="G7" i="83"/>
  <c r="D7" i="83"/>
  <c r="B7" i="83"/>
  <c r="F7" i="83" s="1"/>
  <c r="J103" i="40"/>
  <c r="C103" i="40"/>
  <c r="J102" i="40"/>
  <c r="C102" i="40"/>
  <c r="J101" i="40"/>
  <c r="C101" i="40"/>
  <c r="J100" i="40"/>
  <c r="C100" i="40"/>
  <c r="J99" i="40"/>
  <c r="C99" i="40"/>
  <c r="J98" i="40"/>
  <c r="C98" i="40"/>
  <c r="J97" i="40"/>
  <c r="C97" i="40"/>
  <c r="J96" i="40"/>
  <c r="C96" i="40"/>
  <c r="J95" i="40"/>
  <c r="C95" i="40"/>
  <c r="J94" i="40"/>
  <c r="C94" i="40"/>
  <c r="J93" i="40"/>
  <c r="C93" i="40"/>
  <c r="J92" i="40"/>
  <c r="C92" i="40"/>
  <c r="J91" i="40"/>
  <c r="C91" i="40"/>
  <c r="J90" i="40"/>
  <c r="C90" i="40"/>
  <c r="J89" i="40"/>
  <c r="C89" i="40"/>
  <c r="J88" i="40"/>
  <c r="C88" i="40"/>
  <c r="J87" i="40"/>
  <c r="C87" i="40"/>
  <c r="J86" i="40"/>
  <c r="C86" i="40"/>
  <c r="J85" i="40"/>
  <c r="C85" i="40"/>
  <c r="J84" i="40"/>
  <c r="C84" i="40"/>
  <c r="J83" i="40"/>
  <c r="C83" i="40"/>
  <c r="J82" i="40"/>
  <c r="C82" i="40"/>
  <c r="J81" i="40"/>
  <c r="C81" i="40"/>
  <c r="J80" i="40"/>
  <c r="C80" i="40"/>
  <c r="J79" i="40"/>
  <c r="C79" i="40"/>
  <c r="J78" i="40"/>
  <c r="C78" i="40"/>
  <c r="J77" i="40"/>
  <c r="C77" i="40"/>
  <c r="J76" i="40"/>
  <c r="C76" i="40"/>
  <c r="J75" i="40"/>
  <c r="C75" i="40"/>
  <c r="J74" i="40"/>
  <c r="C74" i="40"/>
  <c r="J73" i="40"/>
  <c r="C73" i="40"/>
  <c r="J72" i="40"/>
  <c r="C72" i="40"/>
  <c r="J71" i="40"/>
  <c r="C71" i="40"/>
  <c r="J70" i="40"/>
  <c r="C70" i="40"/>
  <c r="J69" i="40"/>
  <c r="C69" i="40"/>
  <c r="J68" i="40"/>
  <c r="C68" i="40"/>
  <c r="J67" i="40"/>
  <c r="C67" i="40"/>
  <c r="J66" i="40"/>
  <c r="C66" i="40"/>
  <c r="J65" i="40"/>
  <c r="C65" i="40"/>
  <c r="J64" i="40"/>
  <c r="C64" i="40"/>
  <c r="J63" i="40"/>
  <c r="C63" i="40"/>
  <c r="J62" i="40"/>
  <c r="C62" i="40"/>
  <c r="J61" i="40"/>
  <c r="C61" i="40"/>
  <c r="J60" i="40"/>
  <c r="C60" i="40"/>
  <c r="J59" i="40"/>
  <c r="C59" i="40"/>
  <c r="J58" i="40"/>
  <c r="C58" i="40"/>
  <c r="J57" i="40"/>
  <c r="C57" i="40"/>
  <c r="J56" i="40"/>
  <c r="C56" i="40"/>
  <c r="J55" i="40"/>
  <c r="C55" i="40"/>
  <c r="J54" i="40"/>
  <c r="C54" i="40"/>
  <c r="J53" i="40"/>
  <c r="C53" i="40"/>
  <c r="J52" i="40"/>
  <c r="C52" i="40"/>
  <c r="J51" i="40"/>
  <c r="C51" i="40"/>
  <c r="J50" i="40"/>
  <c r="C50" i="40"/>
  <c r="J49" i="40"/>
  <c r="C49" i="40"/>
  <c r="J48" i="40"/>
  <c r="C48" i="40"/>
  <c r="J47" i="40"/>
  <c r="C47" i="40"/>
  <c r="J46" i="40"/>
  <c r="C46" i="40"/>
  <c r="J45" i="40"/>
  <c r="C45" i="40"/>
  <c r="J44" i="40"/>
  <c r="C44" i="40"/>
  <c r="J43" i="40"/>
  <c r="C43" i="40"/>
  <c r="J42" i="40"/>
  <c r="C42" i="40"/>
  <c r="J41" i="40"/>
  <c r="C41" i="40"/>
  <c r="J40" i="40"/>
  <c r="C40" i="40"/>
  <c r="J39" i="40"/>
  <c r="C39" i="40"/>
  <c r="J38" i="40"/>
  <c r="C38" i="40"/>
  <c r="J37" i="40"/>
  <c r="C37" i="40"/>
  <c r="J36" i="40"/>
  <c r="C36" i="40"/>
  <c r="J35" i="40"/>
  <c r="C35" i="40"/>
  <c r="J34" i="40"/>
  <c r="C34" i="40"/>
  <c r="J33" i="40"/>
  <c r="C33" i="40"/>
  <c r="J32" i="40"/>
  <c r="C32" i="40"/>
  <c r="J31" i="40"/>
  <c r="C31" i="40"/>
  <c r="J30" i="40"/>
  <c r="C30" i="40"/>
  <c r="J29" i="40"/>
  <c r="C29" i="40"/>
  <c r="J28" i="40"/>
  <c r="C28" i="40"/>
  <c r="J27" i="40"/>
  <c r="C27" i="40"/>
  <c r="J26" i="40"/>
  <c r="C26" i="40"/>
  <c r="J25" i="40"/>
  <c r="C25" i="40"/>
  <c r="J24" i="40"/>
  <c r="C24" i="40"/>
  <c r="J23" i="40"/>
  <c r="C23" i="40"/>
  <c r="J22" i="40"/>
  <c r="C22" i="40"/>
  <c r="J21" i="40"/>
  <c r="C21" i="40"/>
  <c r="J20" i="40"/>
  <c r="C20" i="40"/>
  <c r="J19" i="40"/>
  <c r="C19" i="40"/>
  <c r="C18" i="40"/>
  <c r="C17" i="40"/>
  <c r="C16" i="40"/>
  <c r="C15" i="40"/>
  <c r="C14" i="40"/>
  <c r="C13" i="40"/>
  <c r="C12" i="40"/>
  <c r="C11" i="40"/>
  <c r="C10" i="40"/>
  <c r="C9" i="40"/>
  <c r="D40" i="54"/>
  <c r="C40" i="54"/>
  <c r="AC39" i="54"/>
  <c r="V39" i="54"/>
  <c r="U39" i="54"/>
  <c r="T39" i="54"/>
  <c r="D39" i="54"/>
  <c r="C39" i="54"/>
  <c r="AC38" i="54"/>
  <c r="I38" i="54" s="1"/>
  <c r="V38" i="54"/>
  <c r="U38" i="54"/>
  <c r="T38" i="54"/>
  <c r="D38" i="54"/>
  <c r="C38" i="54"/>
  <c r="AC37" i="54"/>
  <c r="V37" i="54"/>
  <c r="U37" i="54"/>
  <c r="T37" i="54"/>
  <c r="D37" i="54"/>
  <c r="C37" i="54"/>
  <c r="AC36" i="54"/>
  <c r="I36" i="54" s="1"/>
  <c r="V36" i="54"/>
  <c r="U36" i="54"/>
  <c r="T36" i="54"/>
  <c r="D36" i="54"/>
  <c r="C36" i="54"/>
  <c r="AC35" i="54"/>
  <c r="I35" i="54" s="1"/>
  <c r="V35" i="54"/>
  <c r="U35" i="54"/>
  <c r="T35" i="54"/>
  <c r="D35" i="54"/>
  <c r="C35" i="54"/>
  <c r="AC34" i="54"/>
  <c r="I34" i="54" s="1"/>
  <c r="V34" i="54"/>
  <c r="U34" i="54"/>
  <c r="T34" i="54"/>
  <c r="D34" i="54"/>
  <c r="C34" i="54"/>
  <c r="AC33" i="54"/>
  <c r="I33" i="54" s="1"/>
  <c r="V33" i="54"/>
  <c r="U33" i="54"/>
  <c r="T33" i="54"/>
  <c r="D33" i="54"/>
  <c r="C33" i="54"/>
  <c r="AC32" i="54"/>
  <c r="I32" i="54" s="1"/>
  <c r="V32" i="54"/>
  <c r="U32" i="54"/>
  <c r="T32" i="54"/>
  <c r="D32" i="54"/>
  <c r="C32" i="54"/>
  <c r="AC31" i="54"/>
  <c r="V31" i="54"/>
  <c r="U31" i="54"/>
  <c r="T31" i="54"/>
  <c r="D31" i="54"/>
  <c r="C31" i="54"/>
  <c r="AC30" i="54"/>
  <c r="I30" i="54" s="1"/>
  <c r="V30" i="54"/>
  <c r="U30" i="54"/>
  <c r="T30" i="54"/>
  <c r="D30" i="54"/>
  <c r="C30" i="54"/>
  <c r="AC29" i="54"/>
  <c r="V29" i="54"/>
  <c r="U29" i="54"/>
  <c r="T29" i="54"/>
  <c r="D29" i="54"/>
  <c r="C29" i="54"/>
  <c r="AC28" i="54"/>
  <c r="I28" i="54" s="1"/>
  <c r="V28" i="54"/>
  <c r="U28" i="54"/>
  <c r="T28" i="54"/>
  <c r="D28" i="54"/>
  <c r="C28" i="54"/>
  <c r="AC27" i="54"/>
  <c r="I27" i="54" s="1"/>
  <c r="V27" i="54"/>
  <c r="U27" i="54"/>
  <c r="T27" i="54"/>
  <c r="D27" i="54"/>
  <c r="C27" i="54"/>
  <c r="AC26" i="54"/>
  <c r="I26" i="54" s="1"/>
  <c r="V26" i="54"/>
  <c r="U26" i="54"/>
  <c r="T26" i="54"/>
  <c r="D26" i="54"/>
  <c r="C26" i="54"/>
  <c r="AC25" i="54"/>
  <c r="I25" i="54" s="1"/>
  <c r="V25" i="54"/>
  <c r="U25" i="54"/>
  <c r="T25" i="54"/>
  <c r="D25" i="54"/>
  <c r="C25" i="54"/>
  <c r="AC24" i="54"/>
  <c r="I24" i="54" s="1"/>
  <c r="V24" i="54"/>
  <c r="U24" i="54"/>
  <c r="T24" i="54"/>
  <c r="D24" i="54"/>
  <c r="C24" i="54"/>
  <c r="AC23" i="54"/>
  <c r="I23" i="54" s="1"/>
  <c r="V23" i="54"/>
  <c r="U23" i="54"/>
  <c r="T23" i="54"/>
  <c r="D23" i="54"/>
  <c r="C23" i="54"/>
  <c r="AC22" i="54"/>
  <c r="I22" i="54" s="1"/>
  <c r="V22" i="54"/>
  <c r="U22" i="54"/>
  <c r="T22" i="54"/>
  <c r="D22" i="54"/>
  <c r="C22" i="54"/>
  <c r="AC21" i="54"/>
  <c r="E21" i="54" s="1"/>
  <c r="K21" i="54" s="1"/>
  <c r="V21" i="54"/>
  <c r="U21" i="54"/>
  <c r="T21" i="54"/>
  <c r="D21" i="54"/>
  <c r="C21" i="54"/>
  <c r="AC20" i="54"/>
  <c r="I20" i="54" s="1"/>
  <c r="V20" i="54"/>
  <c r="U20" i="54"/>
  <c r="T20" i="54"/>
  <c r="D20" i="54"/>
  <c r="C20" i="54"/>
  <c r="AC19" i="54"/>
  <c r="V19" i="54"/>
  <c r="U19" i="54"/>
  <c r="T19" i="54"/>
  <c r="D19" i="54"/>
  <c r="C19" i="54"/>
  <c r="AC18" i="54"/>
  <c r="V18" i="54"/>
  <c r="U18" i="54"/>
  <c r="T18" i="54"/>
  <c r="D18" i="54"/>
  <c r="C18" i="54"/>
  <c r="AC17" i="54"/>
  <c r="V17" i="54"/>
  <c r="U17" i="54"/>
  <c r="T17" i="54"/>
  <c r="D17" i="54"/>
  <c r="C17" i="54"/>
  <c r="AC16" i="54"/>
  <c r="I16" i="54" s="1"/>
  <c r="V16" i="54"/>
  <c r="U16" i="54"/>
  <c r="T16" i="54"/>
  <c r="D16" i="54"/>
  <c r="C16" i="54"/>
  <c r="AC15" i="54"/>
  <c r="I15" i="54" s="1"/>
  <c r="V15" i="54"/>
  <c r="U15" i="54"/>
  <c r="T15" i="54"/>
  <c r="D15" i="54"/>
  <c r="C15" i="54"/>
  <c r="AC14" i="54"/>
  <c r="I14" i="54" s="1"/>
  <c r="V14" i="54"/>
  <c r="U14" i="54"/>
  <c r="T14" i="54"/>
  <c r="D14" i="54"/>
  <c r="C14" i="54"/>
  <c r="AC13" i="54"/>
  <c r="I13" i="54" s="1"/>
  <c r="V13" i="54"/>
  <c r="U13" i="54"/>
  <c r="T13" i="54"/>
  <c r="D13" i="54"/>
  <c r="C13" i="54"/>
  <c r="AC12" i="54"/>
  <c r="I12" i="54" s="1"/>
  <c r="V12" i="54"/>
  <c r="U12" i="54"/>
  <c r="T12" i="54"/>
  <c r="D12" i="54"/>
  <c r="C12" i="54"/>
  <c r="AC11" i="54"/>
  <c r="V11" i="54"/>
  <c r="U11" i="54"/>
  <c r="T11" i="54"/>
  <c r="D11" i="54"/>
  <c r="C11" i="54"/>
  <c r="AC10" i="54"/>
  <c r="I10" i="54" s="1"/>
  <c r="V10" i="54"/>
  <c r="U10" i="54"/>
  <c r="T10" i="54"/>
  <c r="D10" i="54"/>
  <c r="C10" i="54"/>
  <c r="AC9" i="54"/>
  <c r="B9" i="54" s="1"/>
  <c r="V9" i="54"/>
  <c r="U9" i="54"/>
  <c r="T9" i="54"/>
  <c r="D9" i="54"/>
  <c r="C9" i="54"/>
  <c r="AC8" i="54"/>
  <c r="I8" i="54" s="1"/>
  <c r="V8" i="54"/>
  <c r="U8" i="54"/>
  <c r="T8" i="54"/>
  <c r="D8" i="54"/>
  <c r="C8" i="54"/>
  <c r="AC7" i="54"/>
  <c r="E7" i="54" s="1"/>
  <c r="K7" i="54" s="1"/>
  <c r="V7" i="54"/>
  <c r="U7" i="54"/>
  <c r="T7" i="54"/>
  <c r="D7" i="54"/>
  <c r="C7" i="54"/>
  <c r="V6" i="54"/>
  <c r="U6" i="54"/>
  <c r="T6" i="54"/>
  <c r="V5" i="54"/>
  <c r="U5" i="54"/>
  <c r="T5" i="54"/>
  <c r="V4" i="54"/>
  <c r="U4" i="54"/>
  <c r="T4" i="54"/>
  <c r="V3" i="54"/>
  <c r="U3" i="54"/>
  <c r="T3" i="54"/>
  <c r="AG154" i="14"/>
  <c r="N154" i="14"/>
  <c r="I154" i="14"/>
  <c r="H154" i="14"/>
  <c r="G154" i="14"/>
  <c r="C154" i="14"/>
  <c r="AG153" i="14"/>
  <c r="N153" i="14"/>
  <c r="I153" i="14"/>
  <c r="H153" i="14"/>
  <c r="G153" i="14"/>
  <c r="C153" i="14"/>
  <c r="AG152" i="14"/>
  <c r="N152" i="14"/>
  <c r="I152" i="14"/>
  <c r="H152" i="14"/>
  <c r="G152" i="14"/>
  <c r="C152" i="14"/>
  <c r="AG151" i="14"/>
  <c r="N151" i="14"/>
  <c r="I151" i="14"/>
  <c r="H151" i="14"/>
  <c r="G151" i="14"/>
  <c r="C151" i="14"/>
  <c r="AG150" i="14"/>
  <c r="N150" i="14"/>
  <c r="I150" i="14"/>
  <c r="H150" i="14"/>
  <c r="G150" i="14"/>
  <c r="C150" i="14"/>
  <c r="AG149" i="14"/>
  <c r="N149" i="14"/>
  <c r="I149" i="14"/>
  <c r="H149" i="14"/>
  <c r="G149" i="14"/>
  <c r="C149" i="14"/>
  <c r="AG148" i="14"/>
  <c r="N148" i="14"/>
  <c r="I148" i="14"/>
  <c r="H148" i="14"/>
  <c r="G148" i="14"/>
  <c r="C148" i="14"/>
  <c r="AG147" i="14"/>
  <c r="N147" i="14"/>
  <c r="I147" i="14"/>
  <c r="H147" i="14"/>
  <c r="G147" i="14"/>
  <c r="C147" i="14"/>
  <c r="AG146" i="14"/>
  <c r="N146" i="14"/>
  <c r="I146" i="14"/>
  <c r="H146" i="14"/>
  <c r="G146" i="14"/>
  <c r="C146" i="14"/>
  <c r="AG145" i="14"/>
  <c r="N145" i="14"/>
  <c r="I145" i="14"/>
  <c r="H145" i="14"/>
  <c r="G145" i="14"/>
  <c r="C145" i="14"/>
  <c r="AG144" i="14"/>
  <c r="N144" i="14"/>
  <c r="I144" i="14"/>
  <c r="H144" i="14"/>
  <c r="G144" i="14"/>
  <c r="C144" i="14"/>
  <c r="AG143" i="14"/>
  <c r="N143" i="14"/>
  <c r="I143" i="14"/>
  <c r="H143" i="14"/>
  <c r="G143" i="14"/>
  <c r="C143" i="14"/>
  <c r="AG142" i="14"/>
  <c r="N142" i="14"/>
  <c r="I142" i="14"/>
  <c r="H142" i="14"/>
  <c r="G142" i="14"/>
  <c r="C142" i="14"/>
  <c r="AG141" i="14"/>
  <c r="N141" i="14"/>
  <c r="I141" i="14"/>
  <c r="H141" i="14"/>
  <c r="G141" i="14"/>
  <c r="C141" i="14"/>
  <c r="AG140" i="14"/>
  <c r="N140" i="14"/>
  <c r="I140" i="14"/>
  <c r="H140" i="14"/>
  <c r="G140" i="14"/>
  <c r="C140" i="14"/>
  <c r="AG139" i="14"/>
  <c r="N139" i="14"/>
  <c r="I139" i="14"/>
  <c r="H139" i="14"/>
  <c r="G139" i="14"/>
  <c r="C139" i="14"/>
  <c r="AG138" i="14"/>
  <c r="N138" i="14"/>
  <c r="I138" i="14"/>
  <c r="H138" i="14"/>
  <c r="G138" i="14"/>
  <c r="C138" i="14"/>
  <c r="AG137" i="14"/>
  <c r="N137" i="14"/>
  <c r="I137" i="14"/>
  <c r="H137" i="14"/>
  <c r="G137" i="14"/>
  <c r="C137" i="14"/>
  <c r="AG136" i="14"/>
  <c r="N136" i="14"/>
  <c r="I136" i="14"/>
  <c r="H136" i="14"/>
  <c r="G136" i="14"/>
  <c r="C136" i="14"/>
  <c r="AG135" i="14"/>
  <c r="N135" i="14"/>
  <c r="I135" i="14"/>
  <c r="H135" i="14"/>
  <c r="G135" i="14"/>
  <c r="C135" i="14"/>
  <c r="AG134" i="14"/>
  <c r="N134" i="14"/>
  <c r="I134" i="14"/>
  <c r="H134" i="14"/>
  <c r="G134" i="14"/>
  <c r="C134" i="14"/>
  <c r="AG133" i="14"/>
  <c r="N133" i="14"/>
  <c r="I133" i="14"/>
  <c r="H133" i="14"/>
  <c r="G133" i="14"/>
  <c r="C133" i="14"/>
  <c r="AG132" i="14"/>
  <c r="N132" i="14"/>
  <c r="I132" i="14"/>
  <c r="H132" i="14"/>
  <c r="G132" i="14"/>
  <c r="C132" i="14"/>
  <c r="AG131" i="14"/>
  <c r="N131" i="14"/>
  <c r="I131" i="14"/>
  <c r="H131" i="14"/>
  <c r="G131" i="14"/>
  <c r="C131" i="14"/>
  <c r="AG130" i="14"/>
  <c r="N130" i="14"/>
  <c r="I130" i="14"/>
  <c r="H130" i="14"/>
  <c r="G130" i="14"/>
  <c r="C130" i="14"/>
  <c r="AG129" i="14"/>
  <c r="N129" i="14"/>
  <c r="I129" i="14"/>
  <c r="H129" i="14"/>
  <c r="G129" i="14"/>
  <c r="C129" i="14"/>
  <c r="AG128" i="14"/>
  <c r="N128" i="14"/>
  <c r="I128" i="14"/>
  <c r="H128" i="14"/>
  <c r="G128" i="14"/>
  <c r="C128" i="14"/>
  <c r="AG127" i="14"/>
  <c r="N127" i="14"/>
  <c r="I127" i="14"/>
  <c r="H127" i="14"/>
  <c r="G127" i="14"/>
  <c r="C127" i="14"/>
  <c r="AG126" i="14"/>
  <c r="N126" i="14"/>
  <c r="I126" i="14"/>
  <c r="H126" i="14"/>
  <c r="G126" i="14"/>
  <c r="C126" i="14"/>
  <c r="AG125" i="14"/>
  <c r="N125" i="14"/>
  <c r="I125" i="14"/>
  <c r="H125" i="14"/>
  <c r="G125" i="14"/>
  <c r="C125" i="14"/>
  <c r="AG124" i="14"/>
  <c r="N124" i="14"/>
  <c r="I124" i="14"/>
  <c r="H124" i="14"/>
  <c r="G124" i="14"/>
  <c r="C124" i="14"/>
  <c r="AG123" i="14"/>
  <c r="N123" i="14"/>
  <c r="I123" i="14"/>
  <c r="H123" i="14"/>
  <c r="G123" i="14"/>
  <c r="C123" i="14"/>
  <c r="AG122" i="14"/>
  <c r="N122" i="14"/>
  <c r="I122" i="14"/>
  <c r="H122" i="14"/>
  <c r="G122" i="14"/>
  <c r="C122" i="14"/>
  <c r="AG121" i="14"/>
  <c r="N121" i="14"/>
  <c r="I121" i="14"/>
  <c r="H121" i="14"/>
  <c r="G121" i="14"/>
  <c r="C121" i="14"/>
  <c r="AG120" i="14"/>
  <c r="N120" i="14"/>
  <c r="I120" i="14"/>
  <c r="H120" i="14"/>
  <c r="G120" i="14"/>
  <c r="C120" i="14"/>
  <c r="AG119" i="14"/>
  <c r="N119" i="14"/>
  <c r="I119" i="14"/>
  <c r="H119" i="14"/>
  <c r="G119" i="14"/>
  <c r="C119" i="14"/>
  <c r="AG118" i="14"/>
  <c r="N118" i="14"/>
  <c r="I118" i="14"/>
  <c r="H118" i="14"/>
  <c r="G118" i="14"/>
  <c r="C118" i="14"/>
  <c r="AG117" i="14"/>
  <c r="N117" i="14"/>
  <c r="I117" i="14"/>
  <c r="H117" i="14"/>
  <c r="G117" i="14"/>
  <c r="C117" i="14"/>
  <c r="AG116" i="14"/>
  <c r="N116" i="14"/>
  <c r="I116" i="14"/>
  <c r="H116" i="14"/>
  <c r="G116" i="14"/>
  <c r="C116" i="14"/>
  <c r="AG115" i="14"/>
  <c r="N115" i="14"/>
  <c r="I115" i="14"/>
  <c r="H115" i="14"/>
  <c r="G115" i="14"/>
  <c r="C115" i="14"/>
  <c r="AG114" i="14"/>
  <c r="N114" i="14"/>
  <c r="I114" i="14"/>
  <c r="H114" i="14"/>
  <c r="G114" i="14"/>
  <c r="C114" i="14"/>
  <c r="AG113" i="14"/>
  <c r="N113" i="14"/>
  <c r="I113" i="14"/>
  <c r="H113" i="14"/>
  <c r="G113" i="14"/>
  <c r="C113" i="14"/>
  <c r="AG112" i="14"/>
  <c r="N112" i="14"/>
  <c r="I112" i="14"/>
  <c r="H112" i="14"/>
  <c r="G112" i="14"/>
  <c r="C112" i="14"/>
  <c r="AG111" i="14"/>
  <c r="N111" i="14"/>
  <c r="I111" i="14"/>
  <c r="H111" i="14"/>
  <c r="G111" i="14"/>
  <c r="C111" i="14"/>
  <c r="AG110" i="14"/>
  <c r="N110" i="14"/>
  <c r="I110" i="14"/>
  <c r="H110" i="14"/>
  <c r="G110" i="14"/>
  <c r="C110" i="14"/>
  <c r="AG109" i="14"/>
  <c r="N109" i="14"/>
  <c r="I109" i="14"/>
  <c r="H109" i="14"/>
  <c r="G109" i="14"/>
  <c r="C109" i="14"/>
  <c r="AG108" i="14"/>
  <c r="N108" i="14"/>
  <c r="I108" i="14"/>
  <c r="H108" i="14"/>
  <c r="G108" i="14"/>
  <c r="C108" i="14"/>
  <c r="AG107" i="14"/>
  <c r="N107" i="14"/>
  <c r="I107" i="14"/>
  <c r="H107" i="14"/>
  <c r="G107" i="14"/>
  <c r="C107" i="14"/>
  <c r="AG106" i="14"/>
  <c r="N106" i="14"/>
  <c r="I106" i="14"/>
  <c r="H106" i="14"/>
  <c r="G106" i="14"/>
  <c r="C106" i="14"/>
  <c r="AG105" i="14"/>
  <c r="N105" i="14"/>
  <c r="I105" i="14"/>
  <c r="H105" i="14"/>
  <c r="G105" i="14"/>
  <c r="C105" i="14"/>
  <c r="AG104" i="14"/>
  <c r="N104" i="14"/>
  <c r="I104" i="14"/>
  <c r="H104" i="14"/>
  <c r="G104" i="14"/>
  <c r="C104" i="14"/>
  <c r="AG103" i="14"/>
  <c r="N103" i="14"/>
  <c r="I103" i="14"/>
  <c r="H103" i="14"/>
  <c r="G103" i="14"/>
  <c r="C103" i="14"/>
  <c r="AG102" i="14"/>
  <c r="N102" i="14"/>
  <c r="I102" i="14"/>
  <c r="H102" i="14"/>
  <c r="G102" i="14"/>
  <c r="C102" i="14"/>
  <c r="AG101" i="14"/>
  <c r="N101" i="14"/>
  <c r="I101" i="14"/>
  <c r="H101" i="14"/>
  <c r="G101" i="14"/>
  <c r="C101" i="14"/>
  <c r="AG100" i="14"/>
  <c r="N100" i="14"/>
  <c r="I100" i="14"/>
  <c r="H100" i="14"/>
  <c r="G100" i="14"/>
  <c r="C100" i="14"/>
  <c r="AG99" i="14"/>
  <c r="N99" i="14"/>
  <c r="I99" i="14"/>
  <c r="H99" i="14"/>
  <c r="G99" i="14"/>
  <c r="C99" i="14"/>
  <c r="AG98" i="14"/>
  <c r="N98" i="14"/>
  <c r="I98" i="14"/>
  <c r="H98" i="14"/>
  <c r="G98" i="14"/>
  <c r="C98" i="14"/>
  <c r="AG97" i="14"/>
  <c r="N97" i="14"/>
  <c r="I97" i="14"/>
  <c r="H97" i="14"/>
  <c r="G97" i="14"/>
  <c r="C97" i="14"/>
  <c r="AG96" i="14"/>
  <c r="N96" i="14"/>
  <c r="I96" i="14"/>
  <c r="H96" i="14"/>
  <c r="G96" i="14"/>
  <c r="C96" i="14"/>
  <c r="AG95" i="14"/>
  <c r="N95" i="14"/>
  <c r="I95" i="14"/>
  <c r="H95" i="14"/>
  <c r="G95" i="14"/>
  <c r="C95" i="14"/>
  <c r="AG94" i="14"/>
  <c r="N94" i="14"/>
  <c r="I94" i="14"/>
  <c r="H94" i="14"/>
  <c r="G94" i="14"/>
  <c r="C94" i="14"/>
  <c r="AG93" i="14"/>
  <c r="N93" i="14"/>
  <c r="I93" i="14"/>
  <c r="H93" i="14"/>
  <c r="G93" i="14"/>
  <c r="C93" i="14"/>
  <c r="AG92" i="14"/>
  <c r="N92" i="14"/>
  <c r="I92" i="14"/>
  <c r="H92" i="14"/>
  <c r="G92" i="14"/>
  <c r="C92" i="14"/>
  <c r="AG91" i="14"/>
  <c r="N91" i="14"/>
  <c r="I91" i="14"/>
  <c r="H91" i="14"/>
  <c r="G91" i="14"/>
  <c r="C91" i="14"/>
  <c r="AG90" i="14"/>
  <c r="N90" i="14"/>
  <c r="I90" i="14"/>
  <c r="H90" i="14"/>
  <c r="G90" i="14"/>
  <c r="C90" i="14"/>
  <c r="AG89" i="14"/>
  <c r="N89" i="14"/>
  <c r="I89" i="14"/>
  <c r="H89" i="14"/>
  <c r="G89" i="14"/>
  <c r="C89" i="14"/>
  <c r="AG88" i="14"/>
  <c r="N88" i="14"/>
  <c r="I88" i="14"/>
  <c r="H88" i="14"/>
  <c r="G88" i="14"/>
  <c r="C88" i="14"/>
  <c r="AG87" i="14"/>
  <c r="N87" i="14"/>
  <c r="I87" i="14"/>
  <c r="H87" i="14"/>
  <c r="G87" i="14"/>
  <c r="C87" i="14"/>
  <c r="AG86" i="14"/>
  <c r="N86" i="14"/>
  <c r="I86" i="14"/>
  <c r="H86" i="14"/>
  <c r="G86" i="14"/>
  <c r="C86" i="14"/>
  <c r="AG85" i="14"/>
  <c r="N85" i="14"/>
  <c r="I85" i="14"/>
  <c r="H85" i="14"/>
  <c r="G85" i="14"/>
  <c r="C85" i="14"/>
  <c r="AG84" i="14"/>
  <c r="N84" i="14"/>
  <c r="I84" i="14"/>
  <c r="H84" i="14"/>
  <c r="G84" i="14"/>
  <c r="C84" i="14"/>
  <c r="AG83" i="14"/>
  <c r="N83" i="14"/>
  <c r="I83" i="14"/>
  <c r="H83" i="14"/>
  <c r="G83" i="14"/>
  <c r="C83" i="14"/>
  <c r="AG82" i="14"/>
  <c r="N82" i="14"/>
  <c r="I82" i="14"/>
  <c r="H82" i="14"/>
  <c r="G82" i="14"/>
  <c r="C82" i="14"/>
  <c r="AG81" i="14"/>
  <c r="N81" i="14"/>
  <c r="I81" i="14"/>
  <c r="H81" i="14"/>
  <c r="G81" i="14"/>
  <c r="C81" i="14"/>
  <c r="AG80" i="14"/>
  <c r="N80" i="14"/>
  <c r="I80" i="14"/>
  <c r="H80" i="14"/>
  <c r="G80" i="14"/>
  <c r="C80" i="14"/>
  <c r="AG79" i="14"/>
  <c r="N79" i="14"/>
  <c r="I79" i="14"/>
  <c r="H79" i="14"/>
  <c r="G79" i="14"/>
  <c r="C79" i="14"/>
  <c r="AG78" i="14"/>
  <c r="N78" i="14"/>
  <c r="I78" i="14"/>
  <c r="H78" i="14"/>
  <c r="G78" i="14"/>
  <c r="C78" i="14"/>
  <c r="AG77" i="14"/>
  <c r="N77" i="14"/>
  <c r="I77" i="14"/>
  <c r="H77" i="14"/>
  <c r="G77" i="14"/>
  <c r="C77" i="14"/>
  <c r="AG76" i="14"/>
  <c r="N76" i="14"/>
  <c r="I76" i="14"/>
  <c r="H76" i="14"/>
  <c r="G76" i="14"/>
  <c r="C76" i="14"/>
  <c r="AG75" i="14"/>
  <c r="N75" i="14"/>
  <c r="I75" i="14"/>
  <c r="H75" i="14"/>
  <c r="G75" i="14"/>
  <c r="C75" i="14"/>
  <c r="AG74" i="14"/>
  <c r="N74" i="14"/>
  <c r="I74" i="14"/>
  <c r="H74" i="14"/>
  <c r="G74" i="14"/>
  <c r="C74" i="14"/>
  <c r="AG73" i="14"/>
  <c r="N73" i="14"/>
  <c r="I73" i="14"/>
  <c r="H73" i="14"/>
  <c r="G73" i="14"/>
  <c r="C73" i="14"/>
  <c r="AG72" i="14"/>
  <c r="N72" i="14"/>
  <c r="I72" i="14"/>
  <c r="H72" i="14"/>
  <c r="G72" i="14"/>
  <c r="C72" i="14"/>
  <c r="AG71" i="14"/>
  <c r="N71" i="14"/>
  <c r="I71" i="14"/>
  <c r="H71" i="14"/>
  <c r="G71" i="14"/>
  <c r="C71" i="14"/>
  <c r="AG70" i="14"/>
  <c r="N70" i="14"/>
  <c r="I70" i="14"/>
  <c r="H70" i="14"/>
  <c r="G70" i="14"/>
  <c r="C70" i="14"/>
  <c r="AG69" i="14"/>
  <c r="N69" i="14"/>
  <c r="I69" i="14"/>
  <c r="H69" i="14"/>
  <c r="G69" i="14"/>
  <c r="C69" i="14"/>
  <c r="AG68" i="14"/>
  <c r="N68" i="14"/>
  <c r="I68" i="14"/>
  <c r="H68" i="14"/>
  <c r="G68" i="14"/>
  <c r="C68" i="14"/>
  <c r="AG67" i="14"/>
  <c r="N67" i="14"/>
  <c r="I67" i="14"/>
  <c r="H67" i="14"/>
  <c r="G67" i="14"/>
  <c r="C67" i="14"/>
  <c r="AG66" i="14"/>
  <c r="N66" i="14"/>
  <c r="I66" i="14"/>
  <c r="H66" i="14"/>
  <c r="G66" i="14"/>
  <c r="C66" i="14"/>
  <c r="AG65" i="14"/>
  <c r="N65" i="14"/>
  <c r="I65" i="14"/>
  <c r="H65" i="14"/>
  <c r="G65" i="14"/>
  <c r="C65" i="14"/>
  <c r="AG64" i="14"/>
  <c r="N64" i="14"/>
  <c r="I64" i="14"/>
  <c r="H64" i="14"/>
  <c r="G64" i="14"/>
  <c r="C64" i="14"/>
  <c r="AG63" i="14"/>
  <c r="N63" i="14"/>
  <c r="I63" i="14"/>
  <c r="H63" i="14"/>
  <c r="G63" i="14"/>
  <c r="C63" i="14"/>
  <c r="AG62" i="14"/>
  <c r="N62" i="14"/>
  <c r="I62" i="14"/>
  <c r="H62" i="14"/>
  <c r="G62" i="14"/>
  <c r="C62" i="14"/>
  <c r="AG61" i="14"/>
  <c r="N61" i="14"/>
  <c r="I61" i="14"/>
  <c r="H61" i="14"/>
  <c r="G61" i="14"/>
  <c r="C61" i="14"/>
  <c r="AG60" i="14"/>
  <c r="N60" i="14"/>
  <c r="I60" i="14"/>
  <c r="H60" i="14"/>
  <c r="G60" i="14"/>
  <c r="C60" i="14"/>
  <c r="AG59" i="14"/>
  <c r="N59" i="14"/>
  <c r="I59" i="14"/>
  <c r="H59" i="14"/>
  <c r="G59" i="14"/>
  <c r="C59" i="14"/>
  <c r="AG58" i="14"/>
  <c r="N58" i="14"/>
  <c r="I58" i="14"/>
  <c r="H58" i="14"/>
  <c r="G58" i="14"/>
  <c r="C58" i="14"/>
  <c r="AG57" i="14"/>
  <c r="N57" i="14"/>
  <c r="I57" i="14"/>
  <c r="H57" i="14"/>
  <c r="G57" i="14"/>
  <c r="C57" i="14"/>
  <c r="AG56" i="14"/>
  <c r="N56" i="14"/>
  <c r="I56" i="14"/>
  <c r="H56" i="14"/>
  <c r="G56" i="14"/>
  <c r="C56" i="14"/>
  <c r="AG55" i="14"/>
  <c r="N55" i="14"/>
  <c r="I55" i="14"/>
  <c r="H55" i="14"/>
  <c r="G55" i="14"/>
  <c r="C55" i="14"/>
  <c r="AG54" i="14"/>
  <c r="N54" i="14"/>
  <c r="I54" i="14"/>
  <c r="H54" i="14"/>
  <c r="G54" i="14"/>
  <c r="C54" i="14"/>
  <c r="AG53" i="14"/>
  <c r="N53" i="14"/>
  <c r="I53" i="14"/>
  <c r="H53" i="14"/>
  <c r="G53" i="14"/>
  <c r="C53" i="14"/>
  <c r="AG52" i="14"/>
  <c r="N52" i="14"/>
  <c r="I52" i="14"/>
  <c r="H52" i="14"/>
  <c r="G52" i="14"/>
  <c r="C52" i="14"/>
  <c r="AG51" i="14"/>
  <c r="N51" i="14"/>
  <c r="I51" i="14"/>
  <c r="H51" i="14"/>
  <c r="G51" i="14"/>
  <c r="C51" i="14"/>
  <c r="AG50" i="14"/>
  <c r="N50" i="14"/>
  <c r="I50" i="14"/>
  <c r="H50" i="14"/>
  <c r="G50" i="14"/>
  <c r="C50" i="14"/>
  <c r="AG49" i="14"/>
  <c r="N49" i="14"/>
  <c r="I49" i="14"/>
  <c r="H49" i="14"/>
  <c r="G49" i="14"/>
  <c r="C49" i="14"/>
  <c r="AG48" i="14"/>
  <c r="N48" i="14"/>
  <c r="I48" i="14"/>
  <c r="H48" i="14"/>
  <c r="G48" i="14"/>
  <c r="C48" i="14"/>
  <c r="AG47" i="14"/>
  <c r="N47" i="14"/>
  <c r="I47" i="14"/>
  <c r="H47" i="14"/>
  <c r="G47" i="14"/>
  <c r="C47" i="14"/>
  <c r="AG46" i="14"/>
  <c r="N46" i="14"/>
  <c r="I46" i="14"/>
  <c r="H46" i="14"/>
  <c r="G46" i="14"/>
  <c r="C46" i="14"/>
  <c r="AG45" i="14"/>
  <c r="N45" i="14"/>
  <c r="I45" i="14"/>
  <c r="H45" i="14"/>
  <c r="G45" i="14"/>
  <c r="C45" i="14"/>
  <c r="AG44" i="14"/>
  <c r="N44" i="14"/>
  <c r="I44" i="14"/>
  <c r="H44" i="14"/>
  <c r="G44" i="14"/>
  <c r="C44" i="14"/>
  <c r="AG43" i="14"/>
  <c r="N43" i="14"/>
  <c r="I43" i="14"/>
  <c r="H43" i="14"/>
  <c r="G43" i="14"/>
  <c r="C43" i="14"/>
  <c r="AG42" i="14"/>
  <c r="N42" i="14"/>
  <c r="I42" i="14"/>
  <c r="H42" i="14"/>
  <c r="G42" i="14"/>
  <c r="C42" i="14"/>
  <c r="AG41" i="14"/>
  <c r="N41" i="14"/>
  <c r="I41" i="14"/>
  <c r="H41" i="14"/>
  <c r="G41" i="14"/>
  <c r="C41" i="14"/>
  <c r="AG40" i="14"/>
  <c r="N40" i="14"/>
  <c r="I40" i="14"/>
  <c r="H40" i="14"/>
  <c r="G40" i="14"/>
  <c r="C40" i="14"/>
  <c r="AG39" i="14"/>
  <c r="N39" i="14"/>
  <c r="I39" i="14"/>
  <c r="H39" i="14"/>
  <c r="G39" i="14"/>
  <c r="C39" i="14"/>
  <c r="AG38" i="14"/>
  <c r="N38" i="14"/>
  <c r="I38" i="14"/>
  <c r="H38" i="14"/>
  <c r="G38" i="14"/>
  <c r="C38" i="14"/>
  <c r="AG37" i="14"/>
  <c r="N37" i="14"/>
  <c r="I37" i="14"/>
  <c r="H37" i="14"/>
  <c r="G37" i="14"/>
  <c r="C37" i="14"/>
  <c r="AG36" i="14"/>
  <c r="N36" i="14"/>
  <c r="I36" i="14"/>
  <c r="H36" i="14"/>
  <c r="G36" i="14"/>
  <c r="C36" i="14"/>
  <c r="AG35" i="14"/>
  <c r="N35" i="14"/>
  <c r="I35" i="14"/>
  <c r="H35" i="14"/>
  <c r="G35" i="14"/>
  <c r="C35" i="14"/>
  <c r="AG34" i="14"/>
  <c r="N34" i="14"/>
  <c r="I34" i="14"/>
  <c r="H34" i="14"/>
  <c r="G34" i="14"/>
  <c r="C34" i="14"/>
  <c r="AG33" i="14"/>
  <c r="N33" i="14"/>
  <c r="I33" i="14"/>
  <c r="H33" i="14"/>
  <c r="G33" i="14"/>
  <c r="C33" i="14"/>
  <c r="AG32" i="14"/>
  <c r="N32" i="14"/>
  <c r="I32" i="14"/>
  <c r="H32" i="14"/>
  <c r="G32" i="14"/>
  <c r="C32" i="14"/>
  <c r="AG31" i="14"/>
  <c r="N31" i="14"/>
  <c r="I31" i="14"/>
  <c r="H31" i="14"/>
  <c r="G31" i="14"/>
  <c r="C31" i="14"/>
  <c r="AG30" i="14"/>
  <c r="N30" i="14"/>
  <c r="I30" i="14"/>
  <c r="H30" i="14"/>
  <c r="G30" i="14"/>
  <c r="C30" i="14"/>
  <c r="AG29" i="14"/>
  <c r="N29" i="14"/>
  <c r="I29" i="14"/>
  <c r="H29" i="14"/>
  <c r="G29" i="14"/>
  <c r="C29" i="14"/>
  <c r="AG28" i="14"/>
  <c r="N28" i="14"/>
  <c r="I28" i="14"/>
  <c r="H28" i="14"/>
  <c r="G28" i="14"/>
  <c r="C28" i="14"/>
  <c r="AG27" i="14"/>
  <c r="N27" i="14"/>
  <c r="I27" i="14"/>
  <c r="H27" i="14"/>
  <c r="G27" i="14"/>
  <c r="C27" i="14"/>
  <c r="AG26" i="14"/>
  <c r="N26" i="14"/>
  <c r="I26" i="14"/>
  <c r="H26" i="14"/>
  <c r="G26" i="14"/>
  <c r="C26" i="14"/>
  <c r="AG25" i="14"/>
  <c r="N25" i="14"/>
  <c r="I25" i="14"/>
  <c r="H25" i="14"/>
  <c r="G25" i="14"/>
  <c r="C25" i="14"/>
  <c r="AG24" i="14"/>
  <c r="N24" i="14"/>
  <c r="I24" i="14"/>
  <c r="H24" i="14"/>
  <c r="G24" i="14"/>
  <c r="C24" i="14"/>
  <c r="AG23" i="14"/>
  <c r="N23" i="14"/>
  <c r="I23" i="14"/>
  <c r="H23" i="14"/>
  <c r="G23" i="14"/>
  <c r="C23" i="14"/>
  <c r="AG22" i="14"/>
  <c r="N22" i="14"/>
  <c r="I22" i="14"/>
  <c r="H22" i="14"/>
  <c r="G22" i="14"/>
  <c r="C22" i="14"/>
  <c r="AG21" i="14"/>
  <c r="N21" i="14"/>
  <c r="I21" i="14"/>
  <c r="H21" i="14"/>
  <c r="G21" i="14"/>
  <c r="C21" i="14"/>
  <c r="AG20" i="14"/>
  <c r="N20" i="14"/>
  <c r="I20" i="14"/>
  <c r="H20" i="14"/>
  <c r="G20" i="14"/>
  <c r="C20" i="14"/>
  <c r="AG19" i="14"/>
  <c r="N19" i="14"/>
  <c r="I19" i="14"/>
  <c r="H19" i="14"/>
  <c r="G19" i="14"/>
  <c r="C19" i="14"/>
  <c r="AG18" i="14"/>
  <c r="N18" i="14"/>
  <c r="I18" i="14"/>
  <c r="H18" i="14"/>
  <c r="G18" i="14"/>
  <c r="C18" i="14"/>
  <c r="AG17" i="14"/>
  <c r="N17" i="14"/>
  <c r="I17" i="14"/>
  <c r="H17" i="14"/>
  <c r="G17" i="14"/>
  <c r="C17" i="14"/>
  <c r="AG16" i="14"/>
  <c r="N16" i="14"/>
  <c r="I16" i="14"/>
  <c r="H16" i="14"/>
  <c r="G16" i="14"/>
  <c r="C16" i="14"/>
  <c r="AG15" i="14"/>
  <c r="N15" i="14"/>
  <c r="I15" i="14"/>
  <c r="H15" i="14"/>
  <c r="G15" i="14"/>
  <c r="C15" i="14"/>
  <c r="AG14" i="14"/>
  <c r="N14" i="14"/>
  <c r="I14" i="14"/>
  <c r="H14" i="14"/>
  <c r="G14" i="14"/>
  <c r="C14" i="14"/>
  <c r="AG13" i="14"/>
  <c r="N13" i="14"/>
  <c r="I13" i="14"/>
  <c r="H13" i="14"/>
  <c r="G13" i="14"/>
  <c r="C13" i="14"/>
  <c r="AG12" i="14"/>
  <c r="N12" i="14"/>
  <c r="I12" i="14"/>
  <c r="H12" i="14"/>
  <c r="G12" i="14"/>
  <c r="C12" i="14"/>
  <c r="AG11" i="14"/>
  <c r="N11" i="14"/>
  <c r="I11" i="14"/>
  <c r="H11" i="14"/>
  <c r="G11" i="14"/>
  <c r="C11" i="14"/>
  <c r="AG10" i="14"/>
  <c r="N10" i="14"/>
  <c r="I10" i="14"/>
  <c r="H10" i="14"/>
  <c r="V10" i="14" s="1"/>
  <c r="G10" i="14"/>
  <c r="C10" i="14"/>
  <c r="AG9" i="14"/>
  <c r="N9" i="14"/>
  <c r="I9" i="14"/>
  <c r="H9" i="14"/>
  <c r="G9" i="14"/>
  <c r="C9" i="14"/>
  <c r="AG8" i="14"/>
  <c r="N8" i="14"/>
  <c r="I8" i="14"/>
  <c r="H8" i="14"/>
  <c r="V8" i="14" s="1"/>
  <c r="G8" i="14"/>
  <c r="C8" i="14"/>
  <c r="AG7" i="14"/>
  <c r="N7" i="14"/>
  <c r="I7" i="14"/>
  <c r="G7" i="14"/>
  <c r="C7" i="14"/>
  <c r="AG6" i="14"/>
  <c r="N6" i="14"/>
  <c r="I6" i="14"/>
  <c r="G6" i="14"/>
  <c r="C6" i="14"/>
  <c r="I5" i="14"/>
  <c r="I4" i="14"/>
  <c r="F49" i="99"/>
  <c r="E49" i="99"/>
  <c r="D49" i="99"/>
  <c r="T49" i="99" s="1"/>
  <c r="C49" i="99"/>
  <c r="B49" i="99"/>
  <c r="F48" i="99"/>
  <c r="E48" i="99"/>
  <c r="D48" i="99"/>
  <c r="T48" i="99" s="1"/>
  <c r="C48" i="99"/>
  <c r="B48" i="99"/>
  <c r="F47" i="99"/>
  <c r="E47" i="99"/>
  <c r="D47" i="99"/>
  <c r="T47" i="99" s="1"/>
  <c r="C47" i="99"/>
  <c r="B47" i="99"/>
  <c r="F46" i="99"/>
  <c r="E46" i="99"/>
  <c r="D46" i="99"/>
  <c r="T46" i="99" s="1"/>
  <c r="C46" i="99"/>
  <c r="B46" i="99"/>
  <c r="F45" i="99"/>
  <c r="E45" i="99"/>
  <c r="D45" i="99"/>
  <c r="T45" i="99" s="1"/>
  <c r="C45" i="99"/>
  <c r="B45" i="99"/>
  <c r="F44" i="99"/>
  <c r="E44" i="99"/>
  <c r="D44" i="99"/>
  <c r="T44" i="99" s="1"/>
  <c r="C44" i="99"/>
  <c r="B44" i="99"/>
  <c r="F43" i="99"/>
  <c r="E43" i="99"/>
  <c r="D43" i="99"/>
  <c r="T43" i="99" s="1"/>
  <c r="C43" i="99"/>
  <c r="B43" i="99"/>
  <c r="F42" i="99"/>
  <c r="E42" i="99"/>
  <c r="D42" i="99"/>
  <c r="T42" i="99" s="1"/>
  <c r="C42" i="99"/>
  <c r="B42" i="99"/>
  <c r="F41" i="99"/>
  <c r="E41" i="99"/>
  <c r="D41" i="99"/>
  <c r="T41" i="99" s="1"/>
  <c r="C41" i="99"/>
  <c r="B41" i="99"/>
  <c r="F40" i="99"/>
  <c r="E40" i="99"/>
  <c r="D40" i="99"/>
  <c r="T40" i="99" s="1"/>
  <c r="C40" i="99"/>
  <c r="B40" i="99"/>
  <c r="F39" i="99"/>
  <c r="E39" i="99"/>
  <c r="D39" i="99"/>
  <c r="T39" i="99" s="1"/>
  <c r="C39" i="99"/>
  <c r="B39" i="99"/>
  <c r="F38" i="99"/>
  <c r="E38" i="99"/>
  <c r="D38" i="99"/>
  <c r="T38" i="99" s="1"/>
  <c r="C38" i="99"/>
  <c r="B38" i="99"/>
  <c r="F37" i="99"/>
  <c r="E37" i="99"/>
  <c r="D37" i="99"/>
  <c r="T37" i="99" s="1"/>
  <c r="C37" i="99"/>
  <c r="B37" i="99"/>
  <c r="F36" i="99"/>
  <c r="E36" i="99"/>
  <c r="D36" i="99"/>
  <c r="T36" i="99" s="1"/>
  <c r="C36" i="99"/>
  <c r="B36" i="99"/>
  <c r="F35" i="99"/>
  <c r="E35" i="99"/>
  <c r="D35" i="99"/>
  <c r="T35" i="99" s="1"/>
  <c r="C35" i="99"/>
  <c r="B35" i="99"/>
  <c r="F34" i="99"/>
  <c r="E34" i="99"/>
  <c r="D34" i="99"/>
  <c r="T34" i="99" s="1"/>
  <c r="C34" i="99"/>
  <c r="B34" i="99"/>
  <c r="F33" i="99"/>
  <c r="E33" i="99"/>
  <c r="D33" i="99"/>
  <c r="T33" i="99" s="1"/>
  <c r="C33" i="99"/>
  <c r="B33" i="99"/>
  <c r="F32" i="99"/>
  <c r="E32" i="99"/>
  <c r="D32" i="99"/>
  <c r="T32" i="99" s="1"/>
  <c r="C32" i="99"/>
  <c r="B32" i="99"/>
  <c r="F31" i="99"/>
  <c r="E31" i="99"/>
  <c r="D31" i="99"/>
  <c r="T31" i="99" s="1"/>
  <c r="C31" i="99"/>
  <c r="B31" i="99"/>
  <c r="F30" i="99"/>
  <c r="E30" i="99"/>
  <c r="D30" i="99"/>
  <c r="T30" i="99" s="1"/>
  <c r="C30" i="99"/>
  <c r="B30" i="99"/>
  <c r="F29" i="99"/>
  <c r="E29" i="99"/>
  <c r="D29" i="99"/>
  <c r="T29" i="99" s="1"/>
  <c r="C29" i="99"/>
  <c r="B29" i="99"/>
  <c r="F28" i="99"/>
  <c r="E28" i="99"/>
  <c r="D28" i="99"/>
  <c r="T28" i="99" s="1"/>
  <c r="C28" i="99"/>
  <c r="B28" i="99"/>
  <c r="F27" i="99"/>
  <c r="E27" i="99"/>
  <c r="D27" i="99"/>
  <c r="T27" i="99" s="1"/>
  <c r="C27" i="99"/>
  <c r="B27" i="99"/>
  <c r="F26" i="99"/>
  <c r="E26" i="99"/>
  <c r="D26" i="99"/>
  <c r="T26" i="99" s="1"/>
  <c r="C26" i="99"/>
  <c r="B26" i="99"/>
  <c r="F25" i="99"/>
  <c r="E25" i="99"/>
  <c r="D25" i="99"/>
  <c r="T25" i="99" s="1"/>
  <c r="C25" i="99"/>
  <c r="B25" i="99"/>
  <c r="F24" i="99"/>
  <c r="E24" i="99"/>
  <c r="D24" i="99"/>
  <c r="T24" i="99" s="1"/>
  <c r="C24" i="99"/>
  <c r="B24" i="99"/>
  <c r="F23" i="99"/>
  <c r="E23" i="99"/>
  <c r="D23" i="99"/>
  <c r="T23" i="99" s="1"/>
  <c r="C23" i="99"/>
  <c r="B23" i="99"/>
  <c r="F22" i="99"/>
  <c r="E22" i="99"/>
  <c r="D22" i="99"/>
  <c r="T22" i="99" s="1"/>
  <c r="C22" i="99"/>
  <c r="B22" i="99"/>
  <c r="F21" i="99"/>
  <c r="E21" i="99"/>
  <c r="D21" i="99"/>
  <c r="T21" i="99" s="1"/>
  <c r="C21" i="99"/>
  <c r="B21" i="99"/>
  <c r="F20" i="99"/>
  <c r="E20" i="99"/>
  <c r="D20" i="99"/>
  <c r="T20" i="99" s="1"/>
  <c r="C20" i="99"/>
  <c r="B20" i="99"/>
  <c r="F19" i="99"/>
  <c r="E19" i="99"/>
  <c r="D19" i="99"/>
  <c r="T19" i="99" s="1"/>
  <c r="C19" i="99"/>
  <c r="B19" i="99"/>
  <c r="F18" i="99"/>
  <c r="E18" i="99"/>
  <c r="D18" i="99"/>
  <c r="T18" i="99" s="1"/>
  <c r="C18" i="99"/>
  <c r="B18" i="99"/>
  <c r="F17" i="99"/>
  <c r="E17" i="99"/>
  <c r="D17" i="99"/>
  <c r="T17" i="99" s="1"/>
  <c r="C17" i="99"/>
  <c r="B17" i="99"/>
  <c r="F16" i="99"/>
  <c r="E16" i="99"/>
  <c r="D16" i="99"/>
  <c r="T16" i="99" s="1"/>
  <c r="C16" i="99"/>
  <c r="B16" i="99"/>
  <c r="F15" i="99"/>
  <c r="E15" i="99"/>
  <c r="D15" i="99"/>
  <c r="T15" i="99" s="1"/>
  <c r="C15" i="99"/>
  <c r="B15" i="99"/>
  <c r="F14" i="99"/>
  <c r="E14" i="99"/>
  <c r="D14" i="99"/>
  <c r="T14" i="99" s="1"/>
  <c r="C14" i="99"/>
  <c r="B14" i="99"/>
  <c r="F13" i="99"/>
  <c r="E13" i="99"/>
  <c r="D13" i="99"/>
  <c r="T13" i="99" s="1"/>
  <c r="C13" i="99"/>
  <c r="B13" i="99"/>
  <c r="F12" i="99"/>
  <c r="E12" i="99"/>
  <c r="D12" i="99"/>
  <c r="T12" i="99" s="1"/>
  <c r="C12" i="99"/>
  <c r="B12" i="99"/>
  <c r="F11" i="99"/>
  <c r="E11" i="99"/>
  <c r="D11" i="99"/>
  <c r="T11" i="99" s="1"/>
  <c r="C11" i="99"/>
  <c r="B11" i="99"/>
  <c r="F10" i="99"/>
  <c r="E10" i="99"/>
  <c r="C10" i="99"/>
  <c r="B10" i="99"/>
  <c r="F9" i="99"/>
  <c r="E9" i="99"/>
  <c r="C9" i="99"/>
  <c r="B9" i="99"/>
  <c r="F8" i="99"/>
  <c r="E8" i="99"/>
  <c r="C8" i="99"/>
  <c r="B8" i="9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S48" i="86"/>
  <c r="O48" i="86"/>
  <c r="N48" i="86"/>
  <c r="M48" i="86"/>
  <c r="L48" i="86"/>
  <c r="K48" i="86"/>
  <c r="J48" i="86"/>
  <c r="H48" i="86"/>
  <c r="C48" i="86"/>
  <c r="AI48" i="86" s="1"/>
  <c r="B48" i="86"/>
  <c r="AU47" i="86"/>
  <c r="AS47" i="86"/>
  <c r="AN47" i="86"/>
  <c r="AJ47" i="86"/>
  <c r="AH47" i="86"/>
  <c r="S47" i="86"/>
  <c r="O47" i="86"/>
  <c r="N47" i="86"/>
  <c r="M47" i="86"/>
  <c r="L47" i="86"/>
  <c r="K47" i="86"/>
  <c r="J47" i="86"/>
  <c r="H47" i="86"/>
  <c r="C47" i="86"/>
  <c r="AI47" i="86" s="1"/>
  <c r="B47" i="86"/>
  <c r="AU46" i="86"/>
  <c r="AS46" i="86"/>
  <c r="AN46" i="86"/>
  <c r="AJ46" i="86"/>
  <c r="AH46" i="86"/>
  <c r="S46" i="86"/>
  <c r="O46" i="86"/>
  <c r="N46" i="86"/>
  <c r="M46" i="86"/>
  <c r="L46" i="86"/>
  <c r="K46" i="86"/>
  <c r="J46" i="86"/>
  <c r="H46" i="86"/>
  <c r="C46" i="86"/>
  <c r="G46" i="86" s="1"/>
  <c r="B46" i="86"/>
  <c r="AU45" i="86"/>
  <c r="AS45" i="86"/>
  <c r="AN45" i="86"/>
  <c r="AJ45" i="86"/>
  <c r="AH45" i="86"/>
  <c r="S45" i="86"/>
  <c r="O45" i="86"/>
  <c r="N45" i="86"/>
  <c r="M45" i="86"/>
  <c r="L45" i="86"/>
  <c r="K45" i="86"/>
  <c r="J45" i="86"/>
  <c r="H45" i="86"/>
  <c r="C45" i="86"/>
  <c r="AY45" i="86" s="1"/>
  <c r="B45" i="86"/>
  <c r="AU44" i="86"/>
  <c r="AS44" i="86"/>
  <c r="AN44" i="86"/>
  <c r="AJ44" i="86"/>
  <c r="AH44" i="86"/>
  <c r="S44" i="86"/>
  <c r="O44" i="86"/>
  <c r="N44" i="86"/>
  <c r="M44" i="86"/>
  <c r="L44" i="86"/>
  <c r="K44" i="86"/>
  <c r="J44" i="86"/>
  <c r="H44" i="86"/>
  <c r="C44" i="86"/>
  <c r="AI44" i="86" s="1"/>
  <c r="B44" i="86"/>
  <c r="AU43" i="86"/>
  <c r="AS43" i="86"/>
  <c r="AN43" i="86"/>
  <c r="AJ43" i="86"/>
  <c r="AH43" i="86"/>
  <c r="S43" i="86"/>
  <c r="O43" i="86"/>
  <c r="N43" i="86"/>
  <c r="M43" i="86"/>
  <c r="L43" i="86"/>
  <c r="K43" i="86"/>
  <c r="J43" i="86"/>
  <c r="H43" i="86"/>
  <c r="C43" i="86"/>
  <c r="AI43" i="86" s="1"/>
  <c r="B43" i="86"/>
  <c r="AU42" i="86"/>
  <c r="AS42" i="86"/>
  <c r="AN42" i="86"/>
  <c r="AJ42" i="86"/>
  <c r="AH42" i="86"/>
  <c r="S42" i="86"/>
  <c r="O42" i="86"/>
  <c r="N42" i="86"/>
  <c r="M42" i="86"/>
  <c r="L42" i="86"/>
  <c r="K42" i="86"/>
  <c r="J42" i="86"/>
  <c r="H42" i="86"/>
  <c r="C42" i="86"/>
  <c r="G42" i="86" s="1"/>
  <c r="B42" i="86"/>
  <c r="AU41" i="86"/>
  <c r="AS41" i="86"/>
  <c r="AN41" i="86"/>
  <c r="AJ41" i="86"/>
  <c r="AH41" i="86"/>
  <c r="S41" i="86"/>
  <c r="O41" i="86"/>
  <c r="N41" i="86"/>
  <c r="M41" i="86"/>
  <c r="L41" i="86"/>
  <c r="K41" i="86"/>
  <c r="J41" i="86"/>
  <c r="H41" i="86"/>
  <c r="C41" i="86"/>
  <c r="AY41" i="86" s="1"/>
  <c r="B41" i="86"/>
  <c r="AU40" i="86"/>
  <c r="AS40" i="86"/>
  <c r="AN40" i="86"/>
  <c r="AJ40" i="86"/>
  <c r="AH40" i="86"/>
  <c r="S40" i="86"/>
  <c r="O40" i="86"/>
  <c r="N40" i="86"/>
  <c r="M40" i="86"/>
  <c r="L40" i="86"/>
  <c r="K40" i="86"/>
  <c r="J40" i="86"/>
  <c r="H40" i="86"/>
  <c r="C40" i="86"/>
  <c r="B40" i="86"/>
  <c r="AU39" i="86"/>
  <c r="AS39" i="86"/>
  <c r="AN39" i="86"/>
  <c r="AJ39" i="86"/>
  <c r="AH39" i="86"/>
  <c r="S39" i="86"/>
  <c r="O39" i="86"/>
  <c r="N39" i="86"/>
  <c r="M39" i="86"/>
  <c r="L39" i="86"/>
  <c r="K39" i="86"/>
  <c r="J39" i="86"/>
  <c r="H39" i="86"/>
  <c r="C39" i="86"/>
  <c r="B39" i="86"/>
  <c r="AU38" i="86"/>
  <c r="AS38" i="86"/>
  <c r="AN38" i="86"/>
  <c r="AJ38" i="86"/>
  <c r="AH38" i="86"/>
  <c r="S38" i="86"/>
  <c r="O38" i="86"/>
  <c r="N38" i="86"/>
  <c r="M38" i="86"/>
  <c r="L38" i="86"/>
  <c r="K38" i="86"/>
  <c r="J38" i="86"/>
  <c r="H38" i="86"/>
  <c r="C38" i="86"/>
  <c r="G38" i="86" s="1"/>
  <c r="B38" i="86"/>
  <c r="AU37" i="86"/>
  <c r="AS37" i="86"/>
  <c r="AN37" i="86"/>
  <c r="AJ37" i="86"/>
  <c r="AH37" i="86"/>
  <c r="S37" i="86"/>
  <c r="O37" i="86"/>
  <c r="N37" i="86"/>
  <c r="M37" i="86"/>
  <c r="L37" i="86"/>
  <c r="K37" i="86"/>
  <c r="J37" i="86"/>
  <c r="H37" i="86"/>
  <c r="C37" i="86"/>
  <c r="AY37" i="86" s="1"/>
  <c r="B37" i="86"/>
  <c r="AU36" i="86"/>
  <c r="AS36" i="86"/>
  <c r="AN36" i="86"/>
  <c r="AJ36" i="86"/>
  <c r="AH36" i="86"/>
  <c r="S36" i="86"/>
  <c r="O36" i="86"/>
  <c r="N36" i="86"/>
  <c r="M36" i="86"/>
  <c r="L36" i="86"/>
  <c r="K36" i="86"/>
  <c r="J36" i="86"/>
  <c r="H36" i="86"/>
  <c r="C36" i="86"/>
  <c r="AI36" i="86" s="1"/>
  <c r="B36" i="86"/>
  <c r="AU35" i="86"/>
  <c r="AS35" i="86"/>
  <c r="AN35" i="86"/>
  <c r="AJ35" i="86"/>
  <c r="AH35" i="86"/>
  <c r="S35" i="86"/>
  <c r="O35" i="86"/>
  <c r="N35" i="86"/>
  <c r="M35" i="86"/>
  <c r="L35" i="86"/>
  <c r="K35" i="86"/>
  <c r="J35" i="86"/>
  <c r="H35" i="86"/>
  <c r="C35" i="86"/>
  <c r="AY35" i="86" s="1"/>
  <c r="B35" i="86"/>
  <c r="AU34" i="86"/>
  <c r="AS34" i="86"/>
  <c r="AN34" i="86"/>
  <c r="AJ34" i="86"/>
  <c r="AH34" i="86"/>
  <c r="S34" i="86"/>
  <c r="O34" i="86"/>
  <c r="N34" i="86"/>
  <c r="M34" i="86"/>
  <c r="L34" i="86"/>
  <c r="K34" i="86"/>
  <c r="J34" i="86"/>
  <c r="H34" i="86"/>
  <c r="C34" i="86"/>
  <c r="G34" i="86" s="1"/>
  <c r="B34" i="86"/>
  <c r="AU33" i="86"/>
  <c r="AS33" i="86"/>
  <c r="AN33" i="86"/>
  <c r="AJ33" i="86"/>
  <c r="AH33" i="86"/>
  <c r="S33" i="86"/>
  <c r="O33" i="86"/>
  <c r="N33" i="86"/>
  <c r="M33" i="86"/>
  <c r="L33" i="86"/>
  <c r="K33" i="86"/>
  <c r="J33" i="86"/>
  <c r="H33" i="86"/>
  <c r="C33" i="86"/>
  <c r="AY33" i="86" s="1"/>
  <c r="B33" i="86"/>
  <c r="AU32" i="86"/>
  <c r="AS32" i="86"/>
  <c r="AN32" i="86"/>
  <c r="AJ32" i="86"/>
  <c r="AH32" i="86"/>
  <c r="S32" i="86"/>
  <c r="O32" i="86"/>
  <c r="N32" i="86"/>
  <c r="M32" i="86"/>
  <c r="L32" i="86"/>
  <c r="K32" i="86"/>
  <c r="J32" i="86"/>
  <c r="H32" i="86"/>
  <c r="C32" i="86"/>
  <c r="AI32" i="86" s="1"/>
  <c r="B32" i="86"/>
  <c r="AU31" i="86"/>
  <c r="AS31" i="86"/>
  <c r="AN31" i="86"/>
  <c r="AJ31" i="86"/>
  <c r="AH31" i="86"/>
  <c r="S31" i="86"/>
  <c r="O31" i="86"/>
  <c r="N31" i="86"/>
  <c r="M31" i="86"/>
  <c r="L31" i="86"/>
  <c r="K31" i="86"/>
  <c r="J31" i="86"/>
  <c r="H31" i="86"/>
  <c r="C31" i="86"/>
  <c r="AI31" i="86" s="1"/>
  <c r="B31" i="86"/>
  <c r="AU30" i="86"/>
  <c r="AS30" i="86"/>
  <c r="AN30" i="86"/>
  <c r="AJ30" i="86"/>
  <c r="AH30" i="86"/>
  <c r="S30" i="86"/>
  <c r="O30" i="86"/>
  <c r="N30" i="86"/>
  <c r="M30" i="86"/>
  <c r="L30" i="86"/>
  <c r="K30" i="86"/>
  <c r="J30" i="86"/>
  <c r="H30" i="86"/>
  <c r="C30" i="86"/>
  <c r="B30" i="86"/>
  <c r="AU29" i="86"/>
  <c r="AS29" i="86"/>
  <c r="AN29" i="86"/>
  <c r="AJ29" i="86"/>
  <c r="AH29" i="86"/>
  <c r="S29" i="86"/>
  <c r="O29" i="86"/>
  <c r="N29" i="86"/>
  <c r="M29" i="86"/>
  <c r="L29" i="86"/>
  <c r="K29" i="86"/>
  <c r="J29" i="86"/>
  <c r="H29" i="86"/>
  <c r="C29" i="86"/>
  <c r="AY29" i="86" s="1"/>
  <c r="B29" i="86"/>
  <c r="AU28" i="86"/>
  <c r="AS28" i="86"/>
  <c r="AN28" i="86"/>
  <c r="AJ28" i="86"/>
  <c r="AH28" i="86"/>
  <c r="S28" i="86"/>
  <c r="O28" i="86"/>
  <c r="N28" i="86"/>
  <c r="M28" i="86"/>
  <c r="L28" i="86"/>
  <c r="K28" i="86"/>
  <c r="J28" i="86"/>
  <c r="H28" i="86"/>
  <c r="C28" i="86"/>
  <c r="B28" i="86"/>
  <c r="AU27" i="86"/>
  <c r="AS27" i="86"/>
  <c r="AN27" i="86"/>
  <c r="AJ27" i="86"/>
  <c r="AH27" i="86"/>
  <c r="S27" i="86"/>
  <c r="O27" i="86"/>
  <c r="N27" i="86"/>
  <c r="M27" i="86"/>
  <c r="L27" i="86"/>
  <c r="K27" i="86"/>
  <c r="J27" i="86"/>
  <c r="H27" i="86"/>
  <c r="C27" i="86"/>
  <c r="B27" i="86"/>
  <c r="AU26" i="86"/>
  <c r="AS26" i="86"/>
  <c r="AN26" i="86"/>
  <c r="AJ26" i="86"/>
  <c r="AH26" i="86"/>
  <c r="S26" i="86"/>
  <c r="O26" i="86"/>
  <c r="N26" i="86"/>
  <c r="M26" i="86"/>
  <c r="L26" i="86"/>
  <c r="K26" i="86"/>
  <c r="J26" i="86"/>
  <c r="H26" i="86"/>
  <c r="C26" i="86"/>
  <c r="Y26" i="86" s="1"/>
  <c r="B26" i="86"/>
  <c r="AU25" i="86"/>
  <c r="AS25" i="86"/>
  <c r="AN25" i="86"/>
  <c r="AJ25" i="86"/>
  <c r="AH25" i="86"/>
  <c r="S25" i="86"/>
  <c r="O25" i="86"/>
  <c r="N25" i="86"/>
  <c r="M25" i="86"/>
  <c r="L25" i="86"/>
  <c r="K25" i="86"/>
  <c r="J25" i="86"/>
  <c r="H25" i="86"/>
  <c r="C25" i="86"/>
  <c r="AY25" i="86" s="1"/>
  <c r="B25" i="86"/>
  <c r="AU24" i="86"/>
  <c r="AS24" i="86"/>
  <c r="AN24" i="86"/>
  <c r="AJ24" i="86"/>
  <c r="AH24" i="86"/>
  <c r="S24" i="86"/>
  <c r="O24" i="86"/>
  <c r="N24" i="86"/>
  <c r="M24" i="86"/>
  <c r="L24" i="86"/>
  <c r="K24" i="86"/>
  <c r="J24" i="86"/>
  <c r="H24" i="86"/>
  <c r="C24" i="86"/>
  <c r="B24" i="86"/>
  <c r="AU23" i="86"/>
  <c r="AS23" i="86"/>
  <c r="AN23" i="86"/>
  <c r="AJ23" i="86"/>
  <c r="AH23" i="86"/>
  <c r="S23" i="86"/>
  <c r="O23" i="86"/>
  <c r="N23" i="86"/>
  <c r="M23" i="86"/>
  <c r="L23" i="86"/>
  <c r="K23" i="86"/>
  <c r="J23" i="86"/>
  <c r="H23" i="86"/>
  <c r="C23" i="86"/>
  <c r="Z23" i="86" s="1"/>
  <c r="B23" i="86"/>
  <c r="AU22" i="86"/>
  <c r="AS22" i="86"/>
  <c r="AN22" i="86"/>
  <c r="AJ22" i="86"/>
  <c r="AH22" i="86"/>
  <c r="S22" i="86"/>
  <c r="O22" i="86"/>
  <c r="N22" i="86"/>
  <c r="M22" i="86"/>
  <c r="L22" i="86"/>
  <c r="K22" i="86"/>
  <c r="J22" i="86"/>
  <c r="H22" i="86"/>
  <c r="C22" i="86"/>
  <c r="B22" i="86"/>
  <c r="AU21" i="86"/>
  <c r="AS21" i="86"/>
  <c r="AN21" i="86"/>
  <c r="AJ21" i="86"/>
  <c r="AH21" i="86"/>
  <c r="S21" i="86"/>
  <c r="O21" i="86"/>
  <c r="N21" i="86"/>
  <c r="M21" i="86"/>
  <c r="L21" i="86"/>
  <c r="K21" i="86"/>
  <c r="J21" i="86"/>
  <c r="H21" i="86"/>
  <c r="C21" i="86"/>
  <c r="AY21" i="86" s="1"/>
  <c r="B21" i="86"/>
  <c r="AU20" i="86"/>
  <c r="AS20" i="86"/>
  <c r="AN20" i="86"/>
  <c r="AJ20" i="86"/>
  <c r="AH20" i="86"/>
  <c r="S20" i="86"/>
  <c r="O20" i="86"/>
  <c r="N20" i="86"/>
  <c r="M20" i="86"/>
  <c r="L20" i="86"/>
  <c r="K20" i="86"/>
  <c r="J20" i="86"/>
  <c r="H20" i="86"/>
  <c r="C20" i="86"/>
  <c r="AI20" i="86" s="1"/>
  <c r="B20" i="86"/>
  <c r="AU19" i="86"/>
  <c r="AS19" i="86"/>
  <c r="AN19" i="86"/>
  <c r="AJ19" i="86"/>
  <c r="AH19" i="86"/>
  <c r="S19" i="86"/>
  <c r="O19" i="86"/>
  <c r="N19" i="86"/>
  <c r="M19" i="86"/>
  <c r="L19" i="86"/>
  <c r="K19" i="86"/>
  <c r="J19" i="86"/>
  <c r="H19" i="86"/>
  <c r="C19" i="86"/>
  <c r="Y19" i="86" s="1"/>
  <c r="B19" i="86"/>
  <c r="AU18" i="86"/>
  <c r="AS18" i="86"/>
  <c r="AN18" i="86"/>
  <c r="AJ18" i="86"/>
  <c r="AH18" i="86"/>
  <c r="S18" i="86"/>
  <c r="O18" i="86"/>
  <c r="N18" i="86"/>
  <c r="M18" i="86"/>
  <c r="L18" i="86"/>
  <c r="K18" i="86"/>
  <c r="J18" i="86"/>
  <c r="H18" i="86"/>
  <c r="C18" i="86"/>
  <c r="F18" i="86" s="1"/>
  <c r="X18" i="86" s="1"/>
  <c r="B18" i="86"/>
  <c r="AU17" i="86"/>
  <c r="AS17" i="86"/>
  <c r="AN17" i="86"/>
  <c r="AJ17" i="86"/>
  <c r="AH17" i="86"/>
  <c r="S17" i="86"/>
  <c r="O17" i="86"/>
  <c r="N17" i="86"/>
  <c r="M17" i="86"/>
  <c r="L17" i="86"/>
  <c r="K17" i="86"/>
  <c r="J17" i="86"/>
  <c r="H17" i="86"/>
  <c r="C17" i="86"/>
  <c r="AI17" i="86" s="1"/>
  <c r="B17" i="86"/>
  <c r="AU16" i="86"/>
  <c r="AS16" i="86"/>
  <c r="AN16" i="86"/>
  <c r="AJ16" i="86"/>
  <c r="AH16" i="86"/>
  <c r="S16" i="86"/>
  <c r="O16" i="86"/>
  <c r="N16" i="86"/>
  <c r="M16" i="86"/>
  <c r="L16" i="86"/>
  <c r="K16" i="86"/>
  <c r="J16" i="86"/>
  <c r="H16" i="86"/>
  <c r="C16" i="86"/>
  <c r="F16" i="86" s="1"/>
  <c r="X16" i="86" s="1"/>
  <c r="B16" i="86"/>
  <c r="AU15" i="86"/>
  <c r="AS15" i="86"/>
  <c r="AN15" i="86"/>
  <c r="AJ15" i="86"/>
  <c r="AH15" i="86"/>
  <c r="S15" i="86"/>
  <c r="O15" i="86"/>
  <c r="N15" i="86"/>
  <c r="M15" i="86"/>
  <c r="L15" i="86"/>
  <c r="K15" i="86"/>
  <c r="J15" i="86"/>
  <c r="H15" i="86"/>
  <c r="C15" i="86"/>
  <c r="AY15" i="86" s="1"/>
  <c r="B15" i="86"/>
  <c r="AU14" i="86"/>
  <c r="AS14" i="86"/>
  <c r="AN14" i="86"/>
  <c r="AJ14" i="86"/>
  <c r="AH14" i="86"/>
  <c r="S14" i="86"/>
  <c r="O14" i="86"/>
  <c r="N14" i="86"/>
  <c r="M14" i="86"/>
  <c r="L14" i="86"/>
  <c r="K14" i="86"/>
  <c r="J14" i="86"/>
  <c r="H14" i="86"/>
  <c r="C14" i="86"/>
  <c r="B14" i="86"/>
  <c r="AU13" i="86"/>
  <c r="AS13" i="86"/>
  <c r="AN13" i="86"/>
  <c r="AJ13" i="86"/>
  <c r="AH13" i="86"/>
  <c r="S13" i="86"/>
  <c r="O13" i="86"/>
  <c r="N13" i="86"/>
  <c r="M13" i="86"/>
  <c r="L13" i="86"/>
  <c r="K13" i="86"/>
  <c r="J13" i="86"/>
  <c r="H13" i="86"/>
  <c r="C13" i="86"/>
  <c r="G13" i="86" s="1"/>
  <c r="B13" i="86"/>
  <c r="AU12" i="86"/>
  <c r="AS12" i="86"/>
  <c r="AN12" i="86"/>
  <c r="AJ12" i="86"/>
  <c r="AH12" i="86"/>
  <c r="S12" i="86"/>
  <c r="O12" i="86"/>
  <c r="N12" i="86"/>
  <c r="M12" i="86"/>
  <c r="L12" i="86"/>
  <c r="K12" i="86"/>
  <c r="J12" i="86"/>
  <c r="H12" i="86"/>
  <c r="C12" i="86"/>
  <c r="AY12" i="86" s="1"/>
  <c r="B12" i="86"/>
  <c r="AU11" i="86"/>
  <c r="AS11" i="86"/>
  <c r="AN11" i="86"/>
  <c r="AJ11" i="86"/>
  <c r="AH11" i="86"/>
  <c r="S11" i="86"/>
  <c r="O11" i="86"/>
  <c r="N11" i="86"/>
  <c r="M11" i="86"/>
  <c r="L11" i="86"/>
  <c r="K11" i="86"/>
  <c r="J11" i="86"/>
  <c r="H11" i="86"/>
  <c r="C11" i="86"/>
  <c r="AI11" i="86" s="1"/>
  <c r="B11" i="86"/>
  <c r="AU10" i="86"/>
  <c r="AS10" i="86"/>
  <c r="AN10" i="86"/>
  <c r="AJ10" i="86"/>
  <c r="AH10" i="86"/>
  <c r="S10" i="86"/>
  <c r="O10" i="86"/>
  <c r="N10" i="86"/>
  <c r="M10" i="86"/>
  <c r="L10" i="86"/>
  <c r="K10" i="86"/>
  <c r="J10" i="86"/>
  <c r="H10" i="86"/>
  <c r="C10" i="86"/>
  <c r="AY10" i="86" s="1"/>
  <c r="B10" i="86"/>
  <c r="AU9" i="86"/>
  <c r="AS9" i="86"/>
  <c r="O9" i="86"/>
  <c r="N9" i="86"/>
  <c r="M9" i="86"/>
  <c r="L9" i="86"/>
  <c r="K9" i="86"/>
  <c r="J9" i="86"/>
  <c r="C9" i="86"/>
  <c r="AH9" i="86" s="1"/>
  <c r="B9" i="86"/>
  <c r="O28" i="65"/>
  <c r="G28" i="65" s="1"/>
  <c r="O27" i="65"/>
  <c r="G27" i="65" s="1"/>
  <c r="O26" i="65"/>
  <c r="G26" i="65" s="1"/>
  <c r="O25" i="65"/>
  <c r="G25" i="65" s="1"/>
  <c r="O24" i="65"/>
  <c r="G24" i="65" s="1"/>
  <c r="O23" i="65"/>
  <c r="G23" i="65" s="1"/>
  <c r="O22" i="65"/>
  <c r="G22" i="65" s="1"/>
  <c r="O21" i="65"/>
  <c r="G21" i="65" s="1"/>
  <c r="O20" i="65"/>
  <c r="G20" i="65" s="1"/>
  <c r="O19" i="65"/>
  <c r="G19" i="65" s="1"/>
  <c r="O18" i="65"/>
  <c r="G18" i="65" s="1"/>
  <c r="O17" i="65"/>
  <c r="G17" i="65" s="1"/>
  <c r="O16" i="65"/>
  <c r="G16" i="65" s="1"/>
  <c r="I41" i="55"/>
  <c r="F41" i="55"/>
  <c r="E41" i="55"/>
  <c r="D41" i="55"/>
  <c r="B41" i="55"/>
  <c r="P41" i="55" s="1"/>
  <c r="W40" i="55"/>
  <c r="V40" i="55"/>
  <c r="T40" i="55"/>
  <c r="Q40" i="55"/>
  <c r="N40" i="55"/>
  <c r="L40" i="55"/>
  <c r="I40" i="55"/>
  <c r="F40" i="55"/>
  <c r="E40" i="55"/>
  <c r="D40" i="55"/>
  <c r="B40" i="55"/>
  <c r="W39" i="55"/>
  <c r="V39" i="55"/>
  <c r="T39" i="55"/>
  <c r="Q39" i="55"/>
  <c r="N39" i="55"/>
  <c r="L39" i="55"/>
  <c r="I39" i="55"/>
  <c r="F39" i="55"/>
  <c r="E39" i="55"/>
  <c r="D39" i="55"/>
  <c r="B39" i="55"/>
  <c r="W38" i="55"/>
  <c r="V38" i="55"/>
  <c r="T38" i="55"/>
  <c r="Q38" i="55"/>
  <c r="N38" i="55"/>
  <c r="L38" i="55"/>
  <c r="I38" i="55"/>
  <c r="F38" i="55"/>
  <c r="E38" i="55"/>
  <c r="D38" i="55"/>
  <c r="B38" i="55"/>
  <c r="W37" i="55"/>
  <c r="V37" i="55"/>
  <c r="T37" i="55"/>
  <c r="Q37" i="55"/>
  <c r="N37" i="55"/>
  <c r="L37" i="55"/>
  <c r="I37" i="55"/>
  <c r="F37" i="55"/>
  <c r="E37" i="55"/>
  <c r="D37" i="55"/>
  <c r="B37" i="55"/>
  <c r="W36" i="55"/>
  <c r="V36" i="55"/>
  <c r="T36" i="55"/>
  <c r="Q36" i="55"/>
  <c r="N36" i="55"/>
  <c r="L36" i="55"/>
  <c r="I36" i="55"/>
  <c r="F36" i="55"/>
  <c r="E36" i="55"/>
  <c r="D36" i="55"/>
  <c r="B36" i="55"/>
  <c r="W35" i="55"/>
  <c r="V35" i="55"/>
  <c r="T35" i="55"/>
  <c r="Q35" i="55"/>
  <c r="N35" i="55"/>
  <c r="L35" i="55"/>
  <c r="I35" i="55"/>
  <c r="F35" i="55"/>
  <c r="E35" i="55"/>
  <c r="D35" i="55"/>
  <c r="B35" i="55"/>
  <c r="W34" i="55"/>
  <c r="V34" i="55"/>
  <c r="T34" i="55"/>
  <c r="Q34" i="55"/>
  <c r="N34" i="55"/>
  <c r="L34" i="55"/>
  <c r="I34" i="55"/>
  <c r="F34" i="55"/>
  <c r="E34" i="55"/>
  <c r="D34" i="55"/>
  <c r="B34" i="55"/>
  <c r="W33" i="55"/>
  <c r="V33" i="55"/>
  <c r="T33" i="55"/>
  <c r="Q33" i="55"/>
  <c r="N33" i="55"/>
  <c r="L33" i="55"/>
  <c r="I33" i="55"/>
  <c r="F33" i="55"/>
  <c r="E33" i="55"/>
  <c r="D33" i="55"/>
  <c r="B33" i="55"/>
  <c r="W32" i="55"/>
  <c r="V32" i="55"/>
  <c r="T32" i="55"/>
  <c r="Q32" i="55"/>
  <c r="N32" i="55"/>
  <c r="L32" i="55"/>
  <c r="I32" i="55"/>
  <c r="F32" i="55"/>
  <c r="E32" i="55"/>
  <c r="D32" i="55"/>
  <c r="B32" i="55"/>
  <c r="W31" i="55"/>
  <c r="V31" i="55"/>
  <c r="T31" i="55"/>
  <c r="Q31" i="55"/>
  <c r="N31" i="55"/>
  <c r="L31" i="55"/>
  <c r="I31" i="55"/>
  <c r="F31" i="55"/>
  <c r="E31" i="55"/>
  <c r="D31" i="55"/>
  <c r="B31" i="55"/>
  <c r="W30" i="55"/>
  <c r="V30" i="55"/>
  <c r="T30" i="55"/>
  <c r="Q30" i="55"/>
  <c r="N30" i="55"/>
  <c r="L30" i="55"/>
  <c r="I30" i="55"/>
  <c r="F30" i="55"/>
  <c r="E30" i="55"/>
  <c r="D30" i="55"/>
  <c r="B30" i="55"/>
  <c r="W29" i="55"/>
  <c r="V29" i="55"/>
  <c r="T29" i="55"/>
  <c r="Q29" i="55"/>
  <c r="N29" i="55"/>
  <c r="L29" i="55"/>
  <c r="I29" i="55"/>
  <c r="F29" i="55"/>
  <c r="E29" i="55"/>
  <c r="D29" i="55"/>
  <c r="B29" i="55"/>
  <c r="W28" i="55"/>
  <c r="V28" i="55"/>
  <c r="T28" i="55"/>
  <c r="Q28" i="55"/>
  <c r="N28" i="55"/>
  <c r="L28" i="55"/>
  <c r="I28" i="55"/>
  <c r="F28" i="55"/>
  <c r="E28" i="55"/>
  <c r="D28" i="55"/>
  <c r="B28" i="55"/>
  <c r="W27" i="55"/>
  <c r="V27" i="55"/>
  <c r="T27" i="55"/>
  <c r="Q27" i="55"/>
  <c r="N27" i="55"/>
  <c r="L27" i="55"/>
  <c r="I27" i="55"/>
  <c r="F27" i="55"/>
  <c r="E27" i="55"/>
  <c r="D27" i="55"/>
  <c r="B27" i="55"/>
  <c r="W26" i="55"/>
  <c r="V26" i="55"/>
  <c r="T26" i="55"/>
  <c r="Q26" i="55"/>
  <c r="N26" i="55"/>
  <c r="L26" i="55"/>
  <c r="I26" i="55"/>
  <c r="F26" i="55"/>
  <c r="E26" i="55"/>
  <c r="D26" i="55"/>
  <c r="B26" i="55"/>
  <c r="W25" i="55"/>
  <c r="V25" i="55"/>
  <c r="T25" i="55"/>
  <c r="Q25" i="55"/>
  <c r="N25" i="55"/>
  <c r="L25" i="55"/>
  <c r="I25" i="55"/>
  <c r="F25" i="55"/>
  <c r="E25" i="55"/>
  <c r="D25" i="55"/>
  <c r="B25" i="55"/>
  <c r="W24" i="55"/>
  <c r="V24" i="55"/>
  <c r="T24" i="55"/>
  <c r="Q24" i="55"/>
  <c r="N24" i="55"/>
  <c r="L24" i="55"/>
  <c r="I24" i="55"/>
  <c r="F24" i="55"/>
  <c r="E24" i="55"/>
  <c r="D24" i="55"/>
  <c r="B24" i="55"/>
  <c r="W23" i="55"/>
  <c r="V23" i="55"/>
  <c r="T23" i="55"/>
  <c r="Q23" i="55"/>
  <c r="N23" i="55"/>
  <c r="L23" i="55"/>
  <c r="I23" i="55"/>
  <c r="F23" i="55"/>
  <c r="E23" i="55"/>
  <c r="D23" i="55"/>
  <c r="B23" i="55"/>
  <c r="W22" i="55"/>
  <c r="V22" i="55"/>
  <c r="T22" i="55"/>
  <c r="Q22" i="55"/>
  <c r="N22" i="55"/>
  <c r="L22" i="55"/>
  <c r="I22" i="55"/>
  <c r="F22" i="55"/>
  <c r="E22" i="55"/>
  <c r="D22" i="55"/>
  <c r="B22" i="55"/>
  <c r="W21" i="55"/>
  <c r="V21" i="55"/>
  <c r="T21" i="55"/>
  <c r="Q21" i="55"/>
  <c r="N21" i="55"/>
  <c r="L21" i="55"/>
  <c r="I21" i="55"/>
  <c r="F21" i="55"/>
  <c r="E21" i="55"/>
  <c r="D21" i="55"/>
  <c r="B21" i="55"/>
  <c r="W20" i="55"/>
  <c r="V20" i="55"/>
  <c r="T20" i="55"/>
  <c r="Q20" i="55"/>
  <c r="N20" i="55"/>
  <c r="L20" i="55"/>
  <c r="I20" i="55"/>
  <c r="F20" i="55"/>
  <c r="E20" i="55"/>
  <c r="D20" i="55"/>
  <c r="B20" i="55"/>
  <c r="W19" i="55"/>
  <c r="V19" i="55"/>
  <c r="T19" i="55"/>
  <c r="Q19" i="55"/>
  <c r="N19" i="55"/>
  <c r="L19" i="55"/>
  <c r="I19" i="55"/>
  <c r="F19" i="55"/>
  <c r="E19" i="55"/>
  <c r="D19" i="55"/>
  <c r="B19" i="55"/>
  <c r="W18" i="55"/>
  <c r="V18" i="55"/>
  <c r="T18" i="55"/>
  <c r="Q18" i="55"/>
  <c r="N18" i="55"/>
  <c r="L18" i="55"/>
  <c r="I18" i="55"/>
  <c r="F18" i="55"/>
  <c r="E18" i="55"/>
  <c r="D18" i="55"/>
  <c r="B18" i="55"/>
  <c r="W17" i="55"/>
  <c r="V17" i="55"/>
  <c r="T17" i="55"/>
  <c r="Q17" i="55"/>
  <c r="N17" i="55"/>
  <c r="L17" i="55"/>
  <c r="I17" i="55"/>
  <c r="F17" i="55"/>
  <c r="E17" i="55"/>
  <c r="D17" i="55"/>
  <c r="B17" i="55"/>
  <c r="W16" i="55"/>
  <c r="V16" i="55"/>
  <c r="T16" i="55"/>
  <c r="Q16" i="55"/>
  <c r="N16" i="55"/>
  <c r="L16" i="55"/>
  <c r="I16" i="55"/>
  <c r="F16" i="55"/>
  <c r="E16" i="55"/>
  <c r="D16" i="55"/>
  <c r="B16" i="55"/>
  <c r="W15" i="55"/>
  <c r="V15" i="55"/>
  <c r="T15" i="55"/>
  <c r="Q15" i="55"/>
  <c r="N15" i="55"/>
  <c r="L15" i="55"/>
  <c r="I15" i="55"/>
  <c r="F15" i="55"/>
  <c r="E15" i="55"/>
  <c r="D15" i="55"/>
  <c r="B15" i="55"/>
  <c r="W14" i="55"/>
  <c r="V14" i="55"/>
  <c r="T14" i="55"/>
  <c r="Q14" i="55"/>
  <c r="N14" i="55"/>
  <c r="L14" i="55"/>
  <c r="I14" i="55"/>
  <c r="F14" i="55"/>
  <c r="E14" i="55"/>
  <c r="D14" i="55"/>
  <c r="B14" i="55"/>
  <c r="W13" i="55"/>
  <c r="V13" i="55"/>
  <c r="T13" i="55"/>
  <c r="Q13" i="55"/>
  <c r="N13" i="55"/>
  <c r="L13" i="55"/>
  <c r="I13" i="55"/>
  <c r="F13" i="55"/>
  <c r="E13" i="55"/>
  <c r="D13" i="55"/>
  <c r="B13" i="55"/>
  <c r="W12" i="55"/>
  <c r="V12" i="55"/>
  <c r="T12" i="55"/>
  <c r="Q12" i="55"/>
  <c r="N12" i="55"/>
  <c r="L12" i="55"/>
  <c r="I12" i="55"/>
  <c r="F12" i="55"/>
  <c r="E12" i="55"/>
  <c r="D12" i="55"/>
  <c r="B12" i="55"/>
  <c r="W11" i="55"/>
  <c r="V11" i="55"/>
  <c r="T11" i="55"/>
  <c r="L11" i="55"/>
  <c r="I11" i="55"/>
  <c r="F11" i="55"/>
  <c r="E11" i="55"/>
  <c r="Q11" i="55" s="1"/>
  <c r="D11" i="55"/>
  <c r="N11" i="55" s="1"/>
  <c r="B11" i="55"/>
  <c r="W10" i="55"/>
  <c r="V10" i="55"/>
  <c r="T10" i="55"/>
  <c r="Q10" i="55"/>
  <c r="L10" i="55"/>
  <c r="I10" i="55"/>
  <c r="F10" i="55"/>
  <c r="E10" i="55"/>
  <c r="N10" i="55" s="1"/>
  <c r="D10" i="55"/>
  <c r="B10" i="55"/>
  <c r="W9" i="55"/>
  <c r="V9" i="55"/>
  <c r="T9" i="55"/>
  <c r="L9" i="55"/>
  <c r="F9" i="55"/>
  <c r="E9" i="55"/>
  <c r="D9" i="55"/>
  <c r="B9" i="55"/>
  <c r="W8" i="55"/>
  <c r="V8" i="55"/>
  <c r="T8" i="55"/>
  <c r="L8" i="55"/>
  <c r="F8" i="55"/>
  <c r="E8" i="55"/>
  <c r="Q8" i="55" s="1"/>
  <c r="D8" i="55"/>
  <c r="B8" i="55"/>
  <c r="L7" i="55"/>
  <c r="L6" i="55"/>
  <c r="L5" i="55"/>
  <c r="L4" i="55"/>
  <c r="R153" i="33"/>
  <c r="M153" i="33"/>
  <c r="G153" i="33"/>
  <c r="F153" i="33"/>
  <c r="E153" i="33"/>
  <c r="L153" i="33" s="1"/>
  <c r="D153" i="33"/>
  <c r="R152" i="33"/>
  <c r="M152" i="33"/>
  <c r="G152" i="33"/>
  <c r="F152" i="33"/>
  <c r="E152" i="33"/>
  <c r="L152" i="33" s="1"/>
  <c r="D152" i="33"/>
  <c r="R151" i="33"/>
  <c r="M151" i="33"/>
  <c r="G151" i="33"/>
  <c r="F151" i="33"/>
  <c r="E151" i="33"/>
  <c r="L151" i="33" s="1"/>
  <c r="D151" i="33"/>
  <c r="R150" i="33"/>
  <c r="M150" i="33"/>
  <c r="G150" i="33"/>
  <c r="F150" i="33"/>
  <c r="E150" i="33"/>
  <c r="L150" i="33" s="1"/>
  <c r="D150" i="33"/>
  <c r="R149" i="33"/>
  <c r="M149" i="33"/>
  <c r="G149" i="33"/>
  <c r="F149" i="33"/>
  <c r="E149" i="33"/>
  <c r="L149" i="33" s="1"/>
  <c r="D149" i="33"/>
  <c r="R148" i="33"/>
  <c r="M148" i="33"/>
  <c r="G148" i="33"/>
  <c r="F148" i="33"/>
  <c r="E148" i="33"/>
  <c r="L148" i="33" s="1"/>
  <c r="D148" i="33"/>
  <c r="R147" i="33"/>
  <c r="M147" i="33"/>
  <c r="G147" i="33"/>
  <c r="F147" i="33"/>
  <c r="E147" i="33"/>
  <c r="L147" i="33" s="1"/>
  <c r="D147" i="33"/>
  <c r="R146" i="33"/>
  <c r="M146" i="33"/>
  <c r="G146" i="33"/>
  <c r="F146" i="33"/>
  <c r="E146" i="33"/>
  <c r="L146" i="33" s="1"/>
  <c r="D146" i="33"/>
  <c r="R145" i="33"/>
  <c r="M145" i="33"/>
  <c r="G145" i="33"/>
  <c r="F145" i="33"/>
  <c r="E145" i="33"/>
  <c r="L145" i="33" s="1"/>
  <c r="D145" i="33"/>
  <c r="R144" i="33"/>
  <c r="M144" i="33"/>
  <c r="G144" i="33"/>
  <c r="F144" i="33"/>
  <c r="E144" i="33"/>
  <c r="L144" i="33" s="1"/>
  <c r="D144" i="33"/>
  <c r="R143" i="33"/>
  <c r="M143" i="33"/>
  <c r="G143" i="33"/>
  <c r="F143" i="33"/>
  <c r="E143" i="33"/>
  <c r="L143" i="33" s="1"/>
  <c r="D143" i="33"/>
  <c r="R142" i="33"/>
  <c r="M142" i="33"/>
  <c r="G142" i="33"/>
  <c r="F142" i="33"/>
  <c r="E142" i="33"/>
  <c r="L142" i="33" s="1"/>
  <c r="D142" i="33"/>
  <c r="R141" i="33"/>
  <c r="M141" i="33"/>
  <c r="G141" i="33"/>
  <c r="F141" i="33"/>
  <c r="E141" i="33"/>
  <c r="L141" i="33" s="1"/>
  <c r="D141" i="33"/>
  <c r="R140" i="33"/>
  <c r="M140" i="33"/>
  <c r="G140" i="33"/>
  <c r="F140" i="33"/>
  <c r="E140" i="33"/>
  <c r="L140" i="33" s="1"/>
  <c r="D140" i="33"/>
  <c r="R139" i="33"/>
  <c r="M139" i="33"/>
  <c r="G139" i="33"/>
  <c r="F139" i="33"/>
  <c r="E139" i="33"/>
  <c r="L139" i="33" s="1"/>
  <c r="D139" i="33"/>
  <c r="R138" i="33"/>
  <c r="M138" i="33"/>
  <c r="G138" i="33"/>
  <c r="F138" i="33"/>
  <c r="E138" i="33"/>
  <c r="L138" i="33" s="1"/>
  <c r="D138" i="33"/>
  <c r="R137" i="33"/>
  <c r="M137" i="33"/>
  <c r="G137" i="33"/>
  <c r="F137" i="33"/>
  <c r="E137" i="33"/>
  <c r="L137" i="33" s="1"/>
  <c r="D137" i="33"/>
  <c r="R136" i="33"/>
  <c r="M136" i="33"/>
  <c r="G136" i="33"/>
  <c r="F136" i="33"/>
  <c r="E136" i="33"/>
  <c r="L136" i="33" s="1"/>
  <c r="D136" i="33"/>
  <c r="R135" i="33"/>
  <c r="M135" i="33"/>
  <c r="G135" i="33"/>
  <c r="F135" i="33"/>
  <c r="E135" i="33"/>
  <c r="L135" i="33" s="1"/>
  <c r="D135" i="33"/>
  <c r="R134" i="33"/>
  <c r="M134" i="33"/>
  <c r="G134" i="33"/>
  <c r="F134" i="33"/>
  <c r="E134" i="33"/>
  <c r="L134" i="33" s="1"/>
  <c r="D134" i="33"/>
  <c r="R133" i="33"/>
  <c r="M133" i="33"/>
  <c r="G133" i="33"/>
  <c r="F133" i="33"/>
  <c r="E133" i="33"/>
  <c r="L133" i="33" s="1"/>
  <c r="D133" i="33"/>
  <c r="R132" i="33"/>
  <c r="M132" i="33"/>
  <c r="G132" i="33"/>
  <c r="F132" i="33"/>
  <c r="E132" i="33"/>
  <c r="L132" i="33" s="1"/>
  <c r="D132" i="33"/>
  <c r="R131" i="33"/>
  <c r="M131" i="33"/>
  <c r="G131" i="33"/>
  <c r="F131" i="33"/>
  <c r="E131" i="33"/>
  <c r="L131" i="33" s="1"/>
  <c r="D131" i="33"/>
  <c r="R130" i="33"/>
  <c r="M130" i="33"/>
  <c r="G130" i="33"/>
  <c r="F130" i="33"/>
  <c r="E130" i="33"/>
  <c r="L130" i="33" s="1"/>
  <c r="D130" i="33"/>
  <c r="R129" i="33"/>
  <c r="M129" i="33"/>
  <c r="G129" i="33"/>
  <c r="F129" i="33"/>
  <c r="E129" i="33"/>
  <c r="L129" i="33" s="1"/>
  <c r="D129" i="33"/>
  <c r="R128" i="33"/>
  <c r="M128" i="33"/>
  <c r="G128" i="33"/>
  <c r="F128" i="33"/>
  <c r="E128" i="33"/>
  <c r="L128" i="33" s="1"/>
  <c r="D128" i="33"/>
  <c r="R127" i="33"/>
  <c r="M127" i="33"/>
  <c r="G127" i="33"/>
  <c r="F127" i="33"/>
  <c r="E127" i="33"/>
  <c r="L127" i="33" s="1"/>
  <c r="D127" i="33"/>
  <c r="R126" i="33"/>
  <c r="M126" i="33"/>
  <c r="G126" i="33"/>
  <c r="F126" i="33"/>
  <c r="E126" i="33"/>
  <c r="L126" i="33" s="1"/>
  <c r="D126" i="33"/>
  <c r="R125" i="33"/>
  <c r="M125" i="33"/>
  <c r="G125" i="33"/>
  <c r="F125" i="33"/>
  <c r="E125" i="33"/>
  <c r="L125" i="33" s="1"/>
  <c r="D125" i="33"/>
  <c r="R124" i="33"/>
  <c r="M124" i="33"/>
  <c r="G124" i="33"/>
  <c r="F124" i="33"/>
  <c r="E124" i="33"/>
  <c r="L124" i="33" s="1"/>
  <c r="D124" i="33"/>
  <c r="R123" i="33"/>
  <c r="M123" i="33"/>
  <c r="G123" i="33"/>
  <c r="F123" i="33"/>
  <c r="E123" i="33"/>
  <c r="L123" i="33" s="1"/>
  <c r="D123" i="33"/>
  <c r="R122" i="33"/>
  <c r="M122" i="33"/>
  <c r="G122" i="33"/>
  <c r="F122" i="33"/>
  <c r="E122" i="33"/>
  <c r="L122" i="33" s="1"/>
  <c r="D122" i="33"/>
  <c r="R121" i="33"/>
  <c r="M121" i="33"/>
  <c r="G121" i="33"/>
  <c r="F121" i="33"/>
  <c r="E121" i="33"/>
  <c r="L121" i="33" s="1"/>
  <c r="D121" i="33"/>
  <c r="R120" i="33"/>
  <c r="M120" i="33"/>
  <c r="G120" i="33"/>
  <c r="F120" i="33"/>
  <c r="E120" i="33"/>
  <c r="L120" i="33" s="1"/>
  <c r="D120" i="33"/>
  <c r="R119" i="33"/>
  <c r="M119" i="33"/>
  <c r="G119" i="33"/>
  <c r="F119" i="33"/>
  <c r="E119" i="33"/>
  <c r="L119" i="33" s="1"/>
  <c r="D119" i="33"/>
  <c r="R118" i="33"/>
  <c r="M118" i="33"/>
  <c r="G118" i="33"/>
  <c r="F118" i="33"/>
  <c r="E118" i="33"/>
  <c r="L118" i="33" s="1"/>
  <c r="D118" i="33"/>
  <c r="R117" i="33"/>
  <c r="M117" i="33"/>
  <c r="G117" i="33"/>
  <c r="F117" i="33"/>
  <c r="E117" i="33"/>
  <c r="L117" i="33" s="1"/>
  <c r="D117" i="33"/>
  <c r="R116" i="33"/>
  <c r="M116" i="33"/>
  <c r="G116" i="33"/>
  <c r="F116" i="33"/>
  <c r="E116" i="33"/>
  <c r="L116" i="33" s="1"/>
  <c r="D116" i="33"/>
  <c r="R115" i="33"/>
  <c r="M115" i="33"/>
  <c r="G115" i="33"/>
  <c r="F115" i="33"/>
  <c r="E115" i="33"/>
  <c r="L115" i="33" s="1"/>
  <c r="D115" i="33"/>
  <c r="R114" i="33"/>
  <c r="M114" i="33"/>
  <c r="G114" i="33"/>
  <c r="F114" i="33"/>
  <c r="E114" i="33"/>
  <c r="L114" i="33" s="1"/>
  <c r="D114" i="33"/>
  <c r="R113" i="33"/>
  <c r="M113" i="33"/>
  <c r="G113" i="33"/>
  <c r="F113" i="33"/>
  <c r="E113" i="33"/>
  <c r="L113" i="33" s="1"/>
  <c r="D113" i="33"/>
  <c r="R112" i="33"/>
  <c r="M112" i="33"/>
  <c r="G112" i="33"/>
  <c r="F112" i="33"/>
  <c r="E112" i="33"/>
  <c r="L112" i="33" s="1"/>
  <c r="D112" i="33"/>
  <c r="R111" i="33"/>
  <c r="M111" i="33"/>
  <c r="G111" i="33"/>
  <c r="F111" i="33"/>
  <c r="E111" i="33"/>
  <c r="L111" i="33" s="1"/>
  <c r="D111" i="33"/>
  <c r="R110" i="33"/>
  <c r="M110" i="33"/>
  <c r="G110" i="33"/>
  <c r="F110" i="33"/>
  <c r="E110" i="33"/>
  <c r="L110" i="33" s="1"/>
  <c r="D110" i="33"/>
  <c r="R109" i="33"/>
  <c r="M109" i="33"/>
  <c r="G109" i="33"/>
  <c r="F109" i="33"/>
  <c r="E109" i="33"/>
  <c r="L109" i="33" s="1"/>
  <c r="D109" i="33"/>
  <c r="R108" i="33"/>
  <c r="M108" i="33"/>
  <c r="G108" i="33"/>
  <c r="F108" i="33"/>
  <c r="E108" i="33"/>
  <c r="L108" i="33" s="1"/>
  <c r="D108" i="33"/>
  <c r="R107" i="33"/>
  <c r="M107" i="33"/>
  <c r="G107" i="33"/>
  <c r="F107" i="33"/>
  <c r="E107" i="33"/>
  <c r="L107" i="33" s="1"/>
  <c r="D107" i="33"/>
  <c r="R106" i="33"/>
  <c r="M106" i="33"/>
  <c r="G106" i="33"/>
  <c r="F106" i="33"/>
  <c r="E106" i="33"/>
  <c r="L106" i="33" s="1"/>
  <c r="D106" i="33"/>
  <c r="R105" i="33"/>
  <c r="M105" i="33"/>
  <c r="G105" i="33"/>
  <c r="F105" i="33"/>
  <c r="E105" i="33"/>
  <c r="L105" i="33" s="1"/>
  <c r="D105" i="33"/>
  <c r="R104" i="33"/>
  <c r="M104" i="33"/>
  <c r="G104" i="33"/>
  <c r="F104" i="33"/>
  <c r="E104" i="33"/>
  <c r="L104" i="33" s="1"/>
  <c r="D104" i="33"/>
  <c r="R103" i="33"/>
  <c r="M103" i="33"/>
  <c r="G103" i="33"/>
  <c r="F103" i="33"/>
  <c r="E103" i="33"/>
  <c r="L103" i="33" s="1"/>
  <c r="D103" i="33"/>
  <c r="R102" i="33"/>
  <c r="M102" i="33"/>
  <c r="G102" i="33"/>
  <c r="F102" i="33"/>
  <c r="E102" i="33"/>
  <c r="L102" i="33" s="1"/>
  <c r="D102" i="33"/>
  <c r="R101" i="33"/>
  <c r="M101" i="33"/>
  <c r="G101" i="33"/>
  <c r="F101" i="33"/>
  <c r="E101" i="33"/>
  <c r="L101" i="33" s="1"/>
  <c r="D101" i="33"/>
  <c r="R100" i="33"/>
  <c r="M100" i="33"/>
  <c r="G100" i="33"/>
  <c r="F100" i="33"/>
  <c r="E100" i="33"/>
  <c r="L100" i="33" s="1"/>
  <c r="D100" i="33"/>
  <c r="R99" i="33"/>
  <c r="M99" i="33"/>
  <c r="G99" i="33"/>
  <c r="F99" i="33"/>
  <c r="E99" i="33"/>
  <c r="L99" i="33" s="1"/>
  <c r="D99" i="33"/>
  <c r="R98" i="33"/>
  <c r="M98" i="33"/>
  <c r="G98" i="33"/>
  <c r="F98" i="33"/>
  <c r="E98" i="33"/>
  <c r="L98" i="33" s="1"/>
  <c r="D98" i="33"/>
  <c r="R97" i="33"/>
  <c r="M97" i="33"/>
  <c r="G97" i="33"/>
  <c r="F97" i="33"/>
  <c r="E97" i="33"/>
  <c r="L97" i="33" s="1"/>
  <c r="D97" i="33"/>
  <c r="R96" i="33"/>
  <c r="M96" i="33"/>
  <c r="G96" i="33"/>
  <c r="F96" i="33"/>
  <c r="E96" i="33"/>
  <c r="L96" i="33" s="1"/>
  <c r="D96" i="33"/>
  <c r="R95" i="33"/>
  <c r="M95" i="33"/>
  <c r="G95" i="33"/>
  <c r="F95" i="33"/>
  <c r="E95" i="33"/>
  <c r="L95" i="33" s="1"/>
  <c r="D95" i="33"/>
  <c r="R94" i="33"/>
  <c r="M94" i="33"/>
  <c r="G94" i="33"/>
  <c r="F94" i="33"/>
  <c r="E94" i="33"/>
  <c r="L94" i="33" s="1"/>
  <c r="D94" i="33"/>
  <c r="R93" i="33"/>
  <c r="M93" i="33"/>
  <c r="G93" i="33"/>
  <c r="F93" i="33"/>
  <c r="E93" i="33"/>
  <c r="L93" i="33" s="1"/>
  <c r="D93" i="33"/>
  <c r="R92" i="33"/>
  <c r="M92" i="33"/>
  <c r="G92" i="33"/>
  <c r="F92" i="33"/>
  <c r="E92" i="33"/>
  <c r="L92" i="33" s="1"/>
  <c r="D92" i="33"/>
  <c r="R91" i="33"/>
  <c r="M91" i="33"/>
  <c r="G91" i="33"/>
  <c r="F91" i="33"/>
  <c r="E91" i="33"/>
  <c r="L91" i="33" s="1"/>
  <c r="D91" i="33"/>
  <c r="R90" i="33"/>
  <c r="M90" i="33"/>
  <c r="G90" i="33"/>
  <c r="F90" i="33"/>
  <c r="E90" i="33"/>
  <c r="L90" i="33" s="1"/>
  <c r="D90" i="33"/>
  <c r="R89" i="33"/>
  <c r="M89" i="33"/>
  <c r="G89" i="33"/>
  <c r="F89" i="33"/>
  <c r="E89" i="33"/>
  <c r="L89" i="33" s="1"/>
  <c r="D89" i="33"/>
  <c r="R88" i="33"/>
  <c r="M88" i="33"/>
  <c r="G88" i="33"/>
  <c r="F88" i="33"/>
  <c r="E88" i="33"/>
  <c r="L88" i="33" s="1"/>
  <c r="D88" i="33"/>
  <c r="R87" i="33"/>
  <c r="M87" i="33"/>
  <c r="G87" i="33"/>
  <c r="F87" i="33"/>
  <c r="E87" i="33"/>
  <c r="L87" i="33" s="1"/>
  <c r="D87" i="33"/>
  <c r="R86" i="33"/>
  <c r="M86" i="33"/>
  <c r="G86" i="33"/>
  <c r="F86" i="33"/>
  <c r="E86" i="33"/>
  <c r="L86" i="33" s="1"/>
  <c r="D86" i="33"/>
  <c r="R85" i="33"/>
  <c r="M85" i="33"/>
  <c r="G85" i="33"/>
  <c r="F85" i="33"/>
  <c r="E85" i="33"/>
  <c r="L85" i="33" s="1"/>
  <c r="D85" i="33"/>
  <c r="R84" i="33"/>
  <c r="M84" i="33"/>
  <c r="G84" i="33"/>
  <c r="F84" i="33"/>
  <c r="E84" i="33"/>
  <c r="L84" i="33" s="1"/>
  <c r="D84" i="33"/>
  <c r="R83" i="33"/>
  <c r="M83" i="33"/>
  <c r="G83" i="33"/>
  <c r="F83" i="33"/>
  <c r="E83" i="33"/>
  <c r="L83" i="33" s="1"/>
  <c r="D83" i="33"/>
  <c r="R82" i="33"/>
  <c r="M82" i="33"/>
  <c r="G82" i="33"/>
  <c r="F82" i="33"/>
  <c r="E82" i="33"/>
  <c r="L82" i="33" s="1"/>
  <c r="D82" i="33"/>
  <c r="R81" i="33"/>
  <c r="M81" i="33"/>
  <c r="G81" i="33"/>
  <c r="F81" i="33"/>
  <c r="E81" i="33"/>
  <c r="L81" i="33" s="1"/>
  <c r="D81" i="33"/>
  <c r="R80" i="33"/>
  <c r="M80" i="33"/>
  <c r="G80" i="33"/>
  <c r="F80" i="33"/>
  <c r="E80" i="33"/>
  <c r="L80" i="33" s="1"/>
  <c r="D80" i="33"/>
  <c r="R79" i="33"/>
  <c r="M79" i="33"/>
  <c r="G79" i="33"/>
  <c r="F79" i="33"/>
  <c r="E79" i="33"/>
  <c r="L79" i="33" s="1"/>
  <c r="D79" i="33"/>
  <c r="R78" i="33"/>
  <c r="M78" i="33"/>
  <c r="G78" i="33"/>
  <c r="F78" i="33"/>
  <c r="E78" i="33"/>
  <c r="L78" i="33" s="1"/>
  <c r="D78" i="33"/>
  <c r="R77" i="33"/>
  <c r="M77" i="33"/>
  <c r="G77" i="33"/>
  <c r="F77" i="33"/>
  <c r="E77" i="33"/>
  <c r="L77" i="33" s="1"/>
  <c r="D77" i="33"/>
  <c r="R76" i="33"/>
  <c r="M76" i="33"/>
  <c r="G76" i="33"/>
  <c r="F76" i="33"/>
  <c r="E76" i="33"/>
  <c r="L76" i="33" s="1"/>
  <c r="D76" i="33"/>
  <c r="R75" i="33"/>
  <c r="M75" i="33"/>
  <c r="G75" i="33"/>
  <c r="F75" i="33"/>
  <c r="E75" i="33"/>
  <c r="L75" i="33" s="1"/>
  <c r="D75" i="33"/>
  <c r="R74" i="33"/>
  <c r="M74" i="33"/>
  <c r="G74" i="33"/>
  <c r="F74" i="33"/>
  <c r="E74" i="33"/>
  <c r="L74" i="33" s="1"/>
  <c r="D74" i="33"/>
  <c r="R73" i="33"/>
  <c r="M73" i="33"/>
  <c r="G73" i="33"/>
  <c r="F73" i="33"/>
  <c r="E73" i="33"/>
  <c r="L73" i="33" s="1"/>
  <c r="D73" i="33"/>
  <c r="R72" i="33"/>
  <c r="M72" i="33"/>
  <c r="G72" i="33"/>
  <c r="F72" i="33"/>
  <c r="E72" i="33"/>
  <c r="L72" i="33" s="1"/>
  <c r="D72" i="33"/>
  <c r="R71" i="33"/>
  <c r="M71" i="33"/>
  <c r="G71" i="33"/>
  <c r="F71" i="33"/>
  <c r="E71" i="33"/>
  <c r="L71" i="33" s="1"/>
  <c r="D71" i="33"/>
  <c r="R70" i="33"/>
  <c r="M70" i="33"/>
  <c r="G70" i="33"/>
  <c r="F70" i="33"/>
  <c r="E70" i="33"/>
  <c r="L70" i="33" s="1"/>
  <c r="D70" i="33"/>
  <c r="R69" i="33"/>
  <c r="M69" i="33"/>
  <c r="G69" i="33"/>
  <c r="F69" i="33"/>
  <c r="E69" i="33"/>
  <c r="L69" i="33" s="1"/>
  <c r="D69" i="33"/>
  <c r="R68" i="33"/>
  <c r="M68" i="33"/>
  <c r="G68" i="33"/>
  <c r="F68" i="33"/>
  <c r="E68" i="33"/>
  <c r="L68" i="33" s="1"/>
  <c r="D68" i="33"/>
  <c r="R67" i="33"/>
  <c r="M67" i="33"/>
  <c r="G67" i="33"/>
  <c r="F67" i="33"/>
  <c r="E67" i="33"/>
  <c r="L67" i="33" s="1"/>
  <c r="D67" i="33"/>
  <c r="R66" i="33"/>
  <c r="M66" i="33"/>
  <c r="G66" i="33"/>
  <c r="F66" i="33"/>
  <c r="E66" i="33"/>
  <c r="L66" i="33" s="1"/>
  <c r="D66" i="33"/>
  <c r="R65" i="33"/>
  <c r="M65" i="33"/>
  <c r="G65" i="33"/>
  <c r="F65" i="33"/>
  <c r="E65" i="33"/>
  <c r="L65" i="33" s="1"/>
  <c r="D65" i="33"/>
  <c r="R64" i="33"/>
  <c r="M64" i="33"/>
  <c r="G64" i="33"/>
  <c r="F64" i="33"/>
  <c r="E64" i="33"/>
  <c r="L64" i="33" s="1"/>
  <c r="D64" i="33"/>
  <c r="R63" i="33"/>
  <c r="M63" i="33"/>
  <c r="G63" i="33"/>
  <c r="F63" i="33"/>
  <c r="E63" i="33"/>
  <c r="L63" i="33" s="1"/>
  <c r="D63" i="33"/>
  <c r="R62" i="33"/>
  <c r="M62" i="33"/>
  <c r="G62" i="33"/>
  <c r="F62" i="33"/>
  <c r="E62" i="33"/>
  <c r="L62" i="33" s="1"/>
  <c r="D62" i="33"/>
  <c r="R61" i="33"/>
  <c r="M61" i="33"/>
  <c r="G61" i="33"/>
  <c r="F61" i="33"/>
  <c r="E61" i="33"/>
  <c r="L61" i="33" s="1"/>
  <c r="D61" i="33"/>
  <c r="R60" i="33"/>
  <c r="M60" i="33"/>
  <c r="G60" i="33"/>
  <c r="F60" i="33"/>
  <c r="E60" i="33"/>
  <c r="L60" i="33" s="1"/>
  <c r="D60" i="33"/>
  <c r="R59" i="33"/>
  <c r="M59" i="33"/>
  <c r="G59" i="33"/>
  <c r="F59" i="33"/>
  <c r="E59" i="33"/>
  <c r="L59" i="33" s="1"/>
  <c r="D59" i="33"/>
  <c r="R58" i="33"/>
  <c r="M58" i="33"/>
  <c r="G58" i="33"/>
  <c r="F58" i="33"/>
  <c r="E58" i="33"/>
  <c r="L58" i="33" s="1"/>
  <c r="D58" i="33"/>
  <c r="R57" i="33"/>
  <c r="M57" i="33"/>
  <c r="G57" i="33"/>
  <c r="F57" i="33"/>
  <c r="E57" i="33"/>
  <c r="L57" i="33" s="1"/>
  <c r="D57" i="33"/>
  <c r="R56" i="33"/>
  <c r="M56" i="33"/>
  <c r="G56" i="33"/>
  <c r="F56" i="33"/>
  <c r="E56" i="33"/>
  <c r="L56" i="33" s="1"/>
  <c r="D56" i="33"/>
  <c r="R55" i="33"/>
  <c r="M55" i="33"/>
  <c r="G55" i="33"/>
  <c r="F55" i="33"/>
  <c r="E55" i="33"/>
  <c r="L55" i="33" s="1"/>
  <c r="D55" i="33"/>
  <c r="R54" i="33"/>
  <c r="M54" i="33"/>
  <c r="G54" i="33"/>
  <c r="F54" i="33"/>
  <c r="E54" i="33"/>
  <c r="L54" i="33" s="1"/>
  <c r="D54" i="33"/>
  <c r="R53" i="33"/>
  <c r="M53" i="33"/>
  <c r="G53" i="33"/>
  <c r="F53" i="33"/>
  <c r="E53" i="33"/>
  <c r="L53" i="33" s="1"/>
  <c r="D53" i="33"/>
  <c r="R52" i="33"/>
  <c r="M52" i="33"/>
  <c r="G52" i="33"/>
  <c r="F52" i="33"/>
  <c r="E52" i="33"/>
  <c r="L52" i="33" s="1"/>
  <c r="D52" i="33"/>
  <c r="R51" i="33"/>
  <c r="M51" i="33"/>
  <c r="G51" i="33"/>
  <c r="F51" i="33"/>
  <c r="E51" i="33"/>
  <c r="L51" i="33" s="1"/>
  <c r="D51" i="33"/>
  <c r="R50" i="33"/>
  <c r="M50" i="33"/>
  <c r="G50" i="33"/>
  <c r="F50" i="33"/>
  <c r="E50" i="33"/>
  <c r="L50" i="33" s="1"/>
  <c r="D50" i="33"/>
  <c r="R49" i="33"/>
  <c r="M49" i="33"/>
  <c r="G49" i="33"/>
  <c r="F49" i="33"/>
  <c r="E49" i="33"/>
  <c r="L49" i="33" s="1"/>
  <c r="D49" i="33"/>
  <c r="R48" i="33"/>
  <c r="M48" i="33"/>
  <c r="G48" i="33"/>
  <c r="F48" i="33"/>
  <c r="E48" i="33"/>
  <c r="L48" i="33" s="1"/>
  <c r="D48" i="33"/>
  <c r="R47" i="33"/>
  <c r="M47" i="33"/>
  <c r="G47" i="33"/>
  <c r="F47" i="33"/>
  <c r="E47" i="33"/>
  <c r="L47" i="33" s="1"/>
  <c r="D47" i="33"/>
  <c r="R46" i="33"/>
  <c r="M46" i="33"/>
  <c r="G46" i="33"/>
  <c r="F46" i="33"/>
  <c r="E46" i="33"/>
  <c r="L46" i="33" s="1"/>
  <c r="D46" i="33"/>
  <c r="R45" i="33"/>
  <c r="M45" i="33"/>
  <c r="G45" i="33"/>
  <c r="F45" i="33"/>
  <c r="E45" i="33"/>
  <c r="L45" i="33" s="1"/>
  <c r="D45" i="33"/>
  <c r="R44" i="33"/>
  <c r="M44" i="33"/>
  <c r="G44" i="33"/>
  <c r="F44" i="33"/>
  <c r="E44" i="33"/>
  <c r="L44" i="33" s="1"/>
  <c r="D44" i="33"/>
  <c r="R43" i="33"/>
  <c r="M43" i="33"/>
  <c r="G43" i="33"/>
  <c r="F43" i="33"/>
  <c r="E43" i="33"/>
  <c r="L43" i="33" s="1"/>
  <c r="D43" i="33"/>
  <c r="R42" i="33"/>
  <c r="M42" i="33"/>
  <c r="G42" i="33"/>
  <c r="F42" i="33"/>
  <c r="E42" i="33"/>
  <c r="L42" i="33" s="1"/>
  <c r="D42" i="33"/>
  <c r="R41" i="33"/>
  <c r="M41" i="33"/>
  <c r="G41" i="33"/>
  <c r="F41" i="33"/>
  <c r="E41" i="33"/>
  <c r="L41" i="33" s="1"/>
  <c r="D41" i="33"/>
  <c r="R40" i="33"/>
  <c r="M40" i="33"/>
  <c r="G40" i="33"/>
  <c r="F40" i="33"/>
  <c r="E40" i="33"/>
  <c r="L40" i="33" s="1"/>
  <c r="D40" i="33"/>
  <c r="R39" i="33"/>
  <c r="M39" i="33"/>
  <c r="G39" i="33"/>
  <c r="F39" i="33"/>
  <c r="E39" i="33"/>
  <c r="L39" i="33" s="1"/>
  <c r="D39" i="33"/>
  <c r="R38" i="33"/>
  <c r="M38" i="33"/>
  <c r="G38" i="33"/>
  <c r="F38" i="33"/>
  <c r="E38" i="33"/>
  <c r="L38" i="33" s="1"/>
  <c r="D38" i="33"/>
  <c r="R37" i="33"/>
  <c r="M37" i="33"/>
  <c r="G37" i="33"/>
  <c r="F37" i="33"/>
  <c r="E37" i="33"/>
  <c r="L37" i="33" s="1"/>
  <c r="D37" i="33"/>
  <c r="R36" i="33"/>
  <c r="M36" i="33"/>
  <c r="G36" i="33"/>
  <c r="F36" i="33"/>
  <c r="E36" i="33"/>
  <c r="L36" i="33" s="1"/>
  <c r="D36" i="33"/>
  <c r="R35" i="33"/>
  <c r="M35" i="33"/>
  <c r="G35" i="33"/>
  <c r="F35" i="33"/>
  <c r="E35" i="33"/>
  <c r="L35" i="33" s="1"/>
  <c r="D35" i="33"/>
  <c r="R34" i="33"/>
  <c r="M34" i="33"/>
  <c r="G34" i="33"/>
  <c r="F34" i="33"/>
  <c r="E34" i="33"/>
  <c r="L34" i="33" s="1"/>
  <c r="D34" i="33"/>
  <c r="R33" i="33"/>
  <c r="M33" i="33"/>
  <c r="G33" i="33"/>
  <c r="F33" i="33"/>
  <c r="E33" i="33"/>
  <c r="L33" i="33" s="1"/>
  <c r="D33" i="33"/>
  <c r="R32" i="33"/>
  <c r="M32" i="33"/>
  <c r="G32" i="33"/>
  <c r="F32" i="33"/>
  <c r="E32" i="33"/>
  <c r="L32" i="33" s="1"/>
  <c r="D32" i="33"/>
  <c r="R31" i="33"/>
  <c r="M31" i="33"/>
  <c r="G31" i="33"/>
  <c r="F31" i="33"/>
  <c r="E31" i="33"/>
  <c r="L31" i="33" s="1"/>
  <c r="D31" i="33"/>
  <c r="R30" i="33"/>
  <c r="M30" i="33"/>
  <c r="G30" i="33"/>
  <c r="F30" i="33"/>
  <c r="E30" i="33"/>
  <c r="L30" i="33" s="1"/>
  <c r="D30" i="33"/>
  <c r="R29" i="33"/>
  <c r="M29" i="33"/>
  <c r="G29" i="33"/>
  <c r="F29" i="33"/>
  <c r="E29" i="33"/>
  <c r="L29" i="33" s="1"/>
  <c r="D29" i="33"/>
  <c r="R28" i="33"/>
  <c r="M28" i="33"/>
  <c r="G28" i="33"/>
  <c r="F28" i="33"/>
  <c r="E28" i="33"/>
  <c r="L28" i="33" s="1"/>
  <c r="D28" i="33"/>
  <c r="R27" i="33"/>
  <c r="M27" i="33"/>
  <c r="G27" i="33"/>
  <c r="F27" i="33"/>
  <c r="E27" i="33"/>
  <c r="L27" i="33" s="1"/>
  <c r="D27" i="33"/>
  <c r="R26" i="33"/>
  <c r="M26" i="33"/>
  <c r="G26" i="33"/>
  <c r="F26" i="33"/>
  <c r="E26" i="33"/>
  <c r="L26" i="33" s="1"/>
  <c r="D26" i="33"/>
  <c r="R25" i="33"/>
  <c r="M25" i="33"/>
  <c r="G25" i="33"/>
  <c r="F25" i="33"/>
  <c r="E25" i="33"/>
  <c r="L25" i="33" s="1"/>
  <c r="D25" i="33"/>
  <c r="R24" i="33"/>
  <c r="M24" i="33"/>
  <c r="G24" i="33"/>
  <c r="F24" i="33"/>
  <c r="E24" i="33"/>
  <c r="L24" i="33" s="1"/>
  <c r="D24" i="33"/>
  <c r="R23" i="33"/>
  <c r="M23" i="33"/>
  <c r="G23" i="33"/>
  <c r="F23" i="33"/>
  <c r="E23" i="33"/>
  <c r="L23" i="33" s="1"/>
  <c r="D23" i="33"/>
  <c r="R22" i="33"/>
  <c r="M22" i="33"/>
  <c r="G22" i="33"/>
  <c r="F22" i="33"/>
  <c r="E22" i="33"/>
  <c r="L22" i="33" s="1"/>
  <c r="D22" i="33"/>
  <c r="R21" i="33"/>
  <c r="M21" i="33"/>
  <c r="G21" i="33"/>
  <c r="F21" i="33"/>
  <c r="E21" i="33"/>
  <c r="L21" i="33" s="1"/>
  <c r="D21" i="33"/>
  <c r="R20" i="33"/>
  <c r="M20" i="33"/>
  <c r="G20" i="33"/>
  <c r="F20" i="33"/>
  <c r="E20" i="33"/>
  <c r="L20" i="33" s="1"/>
  <c r="D20" i="33"/>
  <c r="R19" i="33"/>
  <c r="M19" i="33"/>
  <c r="G19" i="33"/>
  <c r="F19" i="33"/>
  <c r="E19" i="33"/>
  <c r="L19" i="33" s="1"/>
  <c r="D19" i="33"/>
  <c r="R18" i="33"/>
  <c r="M18" i="33"/>
  <c r="G18" i="33"/>
  <c r="F18" i="33"/>
  <c r="E18" i="33"/>
  <c r="L18" i="33" s="1"/>
  <c r="D18" i="33"/>
  <c r="R17" i="33"/>
  <c r="M17" i="33"/>
  <c r="G17" i="33"/>
  <c r="F17" i="33"/>
  <c r="E17" i="33"/>
  <c r="L17" i="33" s="1"/>
  <c r="D17" i="33"/>
  <c r="R16" i="33"/>
  <c r="M16" i="33"/>
  <c r="G16" i="33"/>
  <c r="F16" i="33"/>
  <c r="E16" i="33"/>
  <c r="L16" i="33" s="1"/>
  <c r="D16" i="33"/>
  <c r="E22" i="17"/>
  <c r="E21" i="17"/>
  <c r="E20" i="17"/>
  <c r="E19" i="17"/>
  <c r="E18" i="17"/>
  <c r="E17" i="17"/>
  <c r="E16" i="17"/>
  <c r="E15" i="17"/>
  <c r="E14" i="17"/>
  <c r="E13" i="17"/>
  <c r="E12" i="17"/>
  <c r="E11" i="17"/>
  <c r="E10" i="17"/>
  <c r="E9" i="17"/>
  <c r="E8" i="17"/>
  <c r="E7" i="17"/>
  <c r="A57" i="46"/>
  <c r="A56" i="46"/>
  <c r="A55" i="46"/>
  <c r="A54" i="46"/>
  <c r="A53" i="46"/>
  <c r="A52" i="46"/>
  <c r="A51" i="46"/>
  <c r="A50" i="46"/>
  <c r="A49" i="46"/>
  <c r="A48" i="46"/>
  <c r="A47" i="46"/>
  <c r="A46" i="46"/>
  <c r="A45" i="46"/>
  <c r="A44" i="46"/>
  <c r="A43" i="46"/>
  <c r="A42" i="46"/>
  <c r="A41" i="46"/>
  <c r="A40" i="46"/>
  <c r="A39" i="46"/>
  <c r="A38" i="46"/>
  <c r="B23" i="88"/>
  <c r="B22" i="88"/>
  <c r="B21" i="88"/>
  <c r="B20" i="88"/>
  <c r="B19" i="88"/>
  <c r="B18" i="88"/>
  <c r="B17" i="88"/>
  <c r="B16" i="88"/>
  <c r="B15" i="88"/>
  <c r="B14" i="88"/>
  <c r="B13" i="88"/>
  <c r="B12" i="88"/>
  <c r="B11" i="88"/>
  <c r="B10" i="88"/>
  <c r="B9" i="88"/>
  <c r="B8" i="88"/>
  <c r="B7" i="88"/>
  <c r="B6" i="88"/>
  <c r="B5" i="88"/>
  <c r="B4" i="88"/>
  <c r="D23" i="41"/>
  <c r="B26" i="88"/>
  <c r="B25" i="88"/>
  <c r="B24" i="88"/>
  <c r="A65" i="46"/>
  <c r="A64" i="46"/>
  <c r="A63" i="46"/>
  <c r="A62" i="46"/>
  <c r="A61" i="46"/>
  <c r="A60" i="46"/>
  <c r="A59" i="46"/>
  <c r="A58" i="46"/>
  <c r="W41" i="55"/>
  <c r="V41" i="55"/>
  <c r="T41" i="55"/>
  <c r="Q41" i="55"/>
  <c r="N41" i="55"/>
  <c r="L41" i="55"/>
  <c r="O30" i="65"/>
  <c r="G30" i="65" s="1"/>
  <c r="O29" i="65"/>
  <c r="G29" i="65" s="1"/>
  <c r="AU48" i="86"/>
  <c r="AS48" i="86"/>
  <c r="AN48" i="86"/>
  <c r="AJ48" i="86"/>
  <c r="AH48" i="86"/>
  <c r="E54" i="9"/>
  <c r="E53" i="9"/>
  <c r="E52" i="9"/>
  <c r="E51" i="9"/>
  <c r="F50" i="99"/>
  <c r="E50" i="99"/>
  <c r="D50" i="99"/>
  <c r="T50" i="99" s="1"/>
  <c r="C50" i="99"/>
  <c r="B50" i="99"/>
  <c r="AG155" i="14"/>
  <c r="N155" i="14"/>
  <c r="I155" i="14"/>
  <c r="H155" i="14"/>
  <c r="G155" i="14"/>
  <c r="C155" i="14"/>
  <c r="AC40" i="54"/>
  <c r="V40" i="54"/>
  <c r="U40" i="54"/>
  <c r="T40" i="54"/>
  <c r="O40" i="83"/>
  <c r="I40" i="83"/>
  <c r="G40" i="83"/>
  <c r="U16" i="84"/>
  <c r="T16" i="84"/>
  <c r="S16" i="84"/>
  <c r="R16" i="84"/>
  <c r="Q16" i="84"/>
  <c r="P16" i="84"/>
  <c r="O16" i="84"/>
  <c r="N16" i="84"/>
  <c r="M16" i="84"/>
  <c r="L16" i="84"/>
  <c r="G30" i="119"/>
  <c r="G30" i="52"/>
  <c r="B30" i="52"/>
  <c r="K61" i="22"/>
  <c r="D101" i="74"/>
  <c r="D296" i="81"/>
  <c r="D295" i="81"/>
  <c r="D294" i="81"/>
  <c r="A4" i="118"/>
  <c r="C14" i="52"/>
  <c r="C15" i="52"/>
  <c r="C16" i="52"/>
  <c r="C17" i="52"/>
  <c r="C18" i="52"/>
  <c r="C19" i="52"/>
  <c r="C20" i="52"/>
  <c r="C21" i="52"/>
  <c r="C22" i="52"/>
  <c r="C23" i="52"/>
  <c r="C24" i="52"/>
  <c r="C25" i="52"/>
  <c r="C26" i="52"/>
  <c r="C27" i="52"/>
  <c r="C28" i="52"/>
  <c r="C29" i="52"/>
  <c r="C30" i="52"/>
  <c r="AJ2" i="49"/>
  <c r="AG2" i="49"/>
  <c r="AF2" i="49"/>
  <c r="AI2" i="49"/>
  <c r="AE2" i="49"/>
  <c r="AK2" i="49"/>
  <c r="L15" i="52" l="1"/>
  <c r="M15" i="52" s="1"/>
  <c r="N15" i="52"/>
  <c r="K15" i="52"/>
  <c r="O15" i="52"/>
  <c r="N17" i="52"/>
  <c r="K17" i="52"/>
  <c r="O17" i="52"/>
  <c r="L17" i="52"/>
  <c r="M17" i="52" s="1"/>
  <c r="L19" i="52"/>
  <c r="M19" i="52" s="1"/>
  <c r="N19" i="52"/>
  <c r="K19" i="52"/>
  <c r="O19" i="52"/>
  <c r="N21" i="52"/>
  <c r="O21" i="52"/>
  <c r="K21" i="52"/>
  <c r="L21" i="52"/>
  <c r="M21" i="52" s="1"/>
  <c r="L23" i="52"/>
  <c r="M23" i="52" s="1"/>
  <c r="N23" i="52"/>
  <c r="K23" i="52"/>
  <c r="O23" i="52"/>
  <c r="N25" i="52"/>
  <c r="K25" i="52"/>
  <c r="O25" i="52"/>
  <c r="L25" i="52"/>
  <c r="M25" i="52" s="1"/>
  <c r="L27" i="52"/>
  <c r="M27" i="52" s="1"/>
  <c r="N27" i="52"/>
  <c r="K27" i="52"/>
  <c r="O27" i="52"/>
  <c r="N29" i="52"/>
  <c r="K29" i="52"/>
  <c r="O29" i="52"/>
  <c r="L29" i="52"/>
  <c r="M29" i="52" s="1"/>
  <c r="N14" i="52"/>
  <c r="K14" i="52"/>
  <c r="O14" i="52"/>
  <c r="L14" i="52"/>
  <c r="M14" i="52" s="1"/>
  <c r="K16" i="52"/>
  <c r="O16" i="52"/>
  <c r="L16" i="52"/>
  <c r="M16" i="52" s="1"/>
  <c r="N16" i="52"/>
  <c r="N18" i="52"/>
  <c r="K18" i="52"/>
  <c r="O18" i="52"/>
  <c r="L18" i="52"/>
  <c r="M18" i="52" s="1"/>
  <c r="K20" i="52"/>
  <c r="O20" i="52"/>
  <c r="L20" i="52"/>
  <c r="M20" i="52" s="1"/>
  <c r="N20" i="52"/>
  <c r="N22" i="52"/>
  <c r="K22" i="52"/>
  <c r="O22" i="52"/>
  <c r="L22" i="52"/>
  <c r="M22" i="52" s="1"/>
  <c r="K24" i="52"/>
  <c r="O24" i="52"/>
  <c r="L24" i="52"/>
  <c r="M24" i="52" s="1"/>
  <c r="N24" i="52"/>
  <c r="N26" i="52"/>
  <c r="K26" i="52"/>
  <c r="O26" i="52"/>
  <c r="L26" i="52"/>
  <c r="M26" i="52" s="1"/>
  <c r="K28" i="52"/>
  <c r="O28" i="52"/>
  <c r="L28" i="52"/>
  <c r="M28" i="52" s="1"/>
  <c r="N28" i="52"/>
  <c r="N30" i="52"/>
  <c r="K30" i="52"/>
  <c r="O30" i="52"/>
  <c r="L30" i="52"/>
  <c r="M30" i="52" s="1"/>
  <c r="I15" i="52"/>
  <c r="H15" i="52"/>
  <c r="I19" i="52"/>
  <c r="H19" i="52"/>
  <c r="H25" i="52"/>
  <c r="I25" i="52"/>
  <c r="H21" i="52"/>
  <c r="I21" i="52"/>
  <c r="I27" i="52"/>
  <c r="H27" i="52"/>
  <c r="H14" i="52"/>
  <c r="I14" i="52"/>
  <c r="H16" i="52"/>
  <c r="I16" i="52"/>
  <c r="H18" i="52"/>
  <c r="I18" i="52"/>
  <c r="H20" i="52"/>
  <c r="I20" i="52"/>
  <c r="H22" i="52"/>
  <c r="I22" i="52"/>
  <c r="H24" i="52"/>
  <c r="I24" i="52"/>
  <c r="H26" i="52"/>
  <c r="I26" i="52"/>
  <c r="H28" i="52"/>
  <c r="I28" i="52"/>
  <c r="H17" i="52"/>
  <c r="I17" i="52"/>
  <c r="I23" i="52"/>
  <c r="H23" i="52"/>
  <c r="H29" i="52"/>
  <c r="I29" i="52"/>
  <c r="H30" i="52"/>
  <c r="I30" i="52"/>
  <c r="M19" i="65"/>
  <c r="F19" i="65"/>
  <c r="M23" i="65"/>
  <c r="F23" i="65"/>
  <c r="M27" i="65"/>
  <c r="F27" i="65"/>
  <c r="M29" i="65"/>
  <c r="F29" i="65"/>
  <c r="M16" i="65"/>
  <c r="F16" i="65"/>
  <c r="M20" i="65"/>
  <c r="F20" i="65"/>
  <c r="M24" i="65"/>
  <c r="F24" i="65"/>
  <c r="M28" i="65"/>
  <c r="F28" i="65"/>
  <c r="M30" i="65"/>
  <c r="F30" i="65"/>
  <c r="M17" i="65"/>
  <c r="F17" i="65"/>
  <c r="M21" i="65"/>
  <c r="F21" i="65"/>
  <c r="M25" i="65"/>
  <c r="F25" i="65"/>
  <c r="M18" i="65"/>
  <c r="F18" i="65"/>
  <c r="M22" i="65"/>
  <c r="F22" i="65"/>
  <c r="M26" i="65"/>
  <c r="F26" i="65"/>
  <c r="S14" i="99"/>
  <c r="R14" i="99"/>
  <c r="S18" i="99"/>
  <c r="R18" i="99"/>
  <c r="S22" i="99"/>
  <c r="R22" i="99"/>
  <c r="S26" i="99"/>
  <c r="R26" i="99"/>
  <c r="S30" i="99"/>
  <c r="R30" i="99"/>
  <c r="S34" i="99"/>
  <c r="R34" i="99"/>
  <c r="S38" i="99"/>
  <c r="R38" i="99"/>
  <c r="S42" i="99"/>
  <c r="R42" i="99"/>
  <c r="S46" i="99"/>
  <c r="R46" i="99"/>
  <c r="R11" i="99"/>
  <c r="S11" i="99"/>
  <c r="R15" i="99"/>
  <c r="S15" i="99"/>
  <c r="R19" i="99"/>
  <c r="S19" i="99"/>
  <c r="R23" i="99"/>
  <c r="S23" i="99"/>
  <c r="R27" i="99"/>
  <c r="S27" i="99"/>
  <c r="R35" i="99"/>
  <c r="S35" i="99"/>
  <c r="R43" i="99"/>
  <c r="S43" i="99"/>
  <c r="S12" i="99"/>
  <c r="R12" i="99"/>
  <c r="S16" i="99"/>
  <c r="R16" i="99"/>
  <c r="S20" i="99"/>
  <c r="R20" i="99"/>
  <c r="S24" i="99"/>
  <c r="R24" i="99"/>
  <c r="S28" i="99"/>
  <c r="R28" i="99"/>
  <c r="S32" i="99"/>
  <c r="R32" i="99"/>
  <c r="S36" i="99"/>
  <c r="R36" i="99"/>
  <c r="S40" i="99"/>
  <c r="R40" i="99"/>
  <c r="S44" i="99"/>
  <c r="R44" i="99"/>
  <c r="S48" i="99"/>
  <c r="R48" i="99"/>
  <c r="S50" i="99"/>
  <c r="R50" i="99"/>
  <c r="R31" i="99"/>
  <c r="S31" i="99"/>
  <c r="R39" i="99"/>
  <c r="S39" i="99"/>
  <c r="R47" i="99"/>
  <c r="S47" i="99"/>
  <c r="R13" i="99"/>
  <c r="S13" i="99"/>
  <c r="R17" i="99"/>
  <c r="S17" i="99"/>
  <c r="R21" i="99"/>
  <c r="S21" i="99"/>
  <c r="R25" i="99"/>
  <c r="S25" i="99"/>
  <c r="R29" i="99"/>
  <c r="S29" i="99"/>
  <c r="R33" i="99"/>
  <c r="S33" i="99"/>
  <c r="R37" i="99"/>
  <c r="S37" i="99"/>
  <c r="R41" i="99"/>
  <c r="S41" i="99"/>
  <c r="R45" i="99"/>
  <c r="S45" i="99"/>
  <c r="R49" i="99"/>
  <c r="S49" i="99"/>
  <c r="Q9" i="86"/>
  <c r="S9" i="86"/>
  <c r="H9" i="86"/>
  <c r="F4" i="17"/>
  <c r="Q9" i="55"/>
  <c r="N9" i="55"/>
  <c r="N8" i="55"/>
  <c r="I9" i="55"/>
  <c r="I8" i="55"/>
  <c r="Y48" i="86"/>
  <c r="F2" i="17"/>
  <c r="F3" i="17"/>
  <c r="F40" i="83"/>
  <c r="E40" i="83"/>
  <c r="J40" i="83"/>
  <c r="B7" i="54"/>
  <c r="E35" i="54"/>
  <c r="K35" i="54" s="1"/>
  <c r="E15" i="54"/>
  <c r="K15" i="54" s="1"/>
  <c r="E26" i="83"/>
  <c r="AY48" i="86"/>
  <c r="H23" i="54"/>
  <c r="F7" i="54"/>
  <c r="AB7" i="54" s="1"/>
  <c r="H32" i="54"/>
  <c r="Z48" i="86"/>
  <c r="G47" i="86"/>
  <c r="E48" i="86"/>
  <c r="E25" i="54"/>
  <c r="K25" i="54" s="1"/>
  <c r="E33" i="54"/>
  <c r="K33" i="54" s="1"/>
  <c r="F9" i="54"/>
  <c r="AB9" i="54" s="1"/>
  <c r="H22" i="54"/>
  <c r="H25" i="54"/>
  <c r="H33" i="54"/>
  <c r="B35" i="54"/>
  <c r="F35" i="54"/>
  <c r="AB35" i="54" s="1"/>
  <c r="H40" i="83"/>
  <c r="E13" i="54"/>
  <c r="K13" i="54" s="1"/>
  <c r="E23" i="54"/>
  <c r="K23" i="54" s="1"/>
  <c r="E27" i="54"/>
  <c r="K27" i="54" s="1"/>
  <c r="H34" i="54"/>
  <c r="H35" i="54"/>
  <c r="AI40" i="86"/>
  <c r="E40" i="86"/>
  <c r="I18" i="54"/>
  <c r="H18" i="54"/>
  <c r="I37" i="54"/>
  <c r="E37" i="54"/>
  <c r="K37" i="54" s="1"/>
  <c r="E17" i="86"/>
  <c r="G18" i="86"/>
  <c r="G30" i="86"/>
  <c r="AI30" i="86"/>
  <c r="Y31" i="86"/>
  <c r="AI39" i="86"/>
  <c r="G39" i="86"/>
  <c r="G48" i="86"/>
  <c r="AF48" i="86"/>
  <c r="I19" i="54"/>
  <c r="H19" i="54"/>
  <c r="F19" i="54"/>
  <c r="AB19" i="54" s="1"/>
  <c r="B19" i="54"/>
  <c r="I17" i="54"/>
  <c r="E17" i="54"/>
  <c r="K17" i="54" s="1"/>
  <c r="I29" i="54"/>
  <c r="E29" i="54"/>
  <c r="K29" i="54" s="1"/>
  <c r="I31" i="54"/>
  <c r="E31" i="54"/>
  <c r="K31" i="54" s="1"/>
  <c r="I39" i="54"/>
  <c r="E39" i="54"/>
  <c r="K39" i="54" s="1"/>
  <c r="J28" i="83"/>
  <c r="E28" i="83"/>
  <c r="V14" i="86"/>
  <c r="Y14" i="86"/>
  <c r="G14" i="86"/>
  <c r="I9" i="54"/>
  <c r="H9" i="54"/>
  <c r="I11" i="54"/>
  <c r="E11" i="54"/>
  <c r="K11" i="54" s="1"/>
  <c r="I21" i="54"/>
  <c r="H21" i="54"/>
  <c r="F21" i="54"/>
  <c r="AB21" i="54" s="1"/>
  <c r="B21" i="54"/>
  <c r="F14" i="86"/>
  <c r="X14" i="86" s="1"/>
  <c r="AI24" i="86"/>
  <c r="Z24" i="86"/>
  <c r="D24" i="86"/>
  <c r="AI28" i="86"/>
  <c r="AF28" i="86"/>
  <c r="I7" i="54"/>
  <c r="H7" i="54"/>
  <c r="E9" i="54"/>
  <c r="K9" i="54" s="1"/>
  <c r="E19" i="54"/>
  <c r="K19" i="54" s="1"/>
  <c r="C12" i="83"/>
  <c r="C26" i="83"/>
  <c r="H26" i="83"/>
  <c r="J27" i="83"/>
  <c r="F11" i="86"/>
  <c r="X11" i="86" s="1"/>
  <c r="E21" i="86"/>
  <c r="AF25" i="86"/>
  <c r="AF44" i="86"/>
  <c r="B23" i="54"/>
  <c r="F23" i="54"/>
  <c r="AB23" i="54" s="1"/>
  <c r="B25" i="54"/>
  <c r="F25" i="54"/>
  <c r="AB25" i="54" s="1"/>
  <c r="B33" i="54"/>
  <c r="F33" i="54"/>
  <c r="AB33" i="54" s="1"/>
  <c r="E39" i="83"/>
  <c r="AY16" i="86"/>
  <c r="F17" i="86"/>
  <c r="X17" i="86" s="1"/>
  <c r="AY17" i="86"/>
  <c r="AF21" i="86"/>
  <c r="E24" i="86"/>
  <c r="E32" i="86"/>
  <c r="Y35" i="86"/>
  <c r="F36" i="86"/>
  <c r="X36" i="86" s="1"/>
  <c r="Y39" i="86"/>
  <c r="G43" i="86"/>
  <c r="AY47" i="86"/>
  <c r="B11" i="54"/>
  <c r="F11" i="54"/>
  <c r="AB11" i="54" s="1"/>
  <c r="B13" i="54"/>
  <c r="F13" i="54"/>
  <c r="AB13" i="54" s="1"/>
  <c r="B27" i="54"/>
  <c r="F27" i="54"/>
  <c r="AB27" i="54" s="1"/>
  <c r="B29" i="54"/>
  <c r="F29" i="54"/>
  <c r="AB29" i="54" s="1"/>
  <c r="B37" i="54"/>
  <c r="F37" i="54"/>
  <c r="AB37" i="54" s="1"/>
  <c r="AY31" i="86"/>
  <c r="AF32" i="86"/>
  <c r="AI34" i="86"/>
  <c r="AF36" i="86"/>
  <c r="Y43" i="86"/>
  <c r="H10" i="54"/>
  <c r="H11" i="54"/>
  <c r="H13" i="54"/>
  <c r="B15" i="54"/>
  <c r="F15" i="54"/>
  <c r="AB15" i="54" s="1"/>
  <c r="B17" i="54"/>
  <c r="F17" i="54"/>
  <c r="AB17" i="54" s="1"/>
  <c r="H26" i="54"/>
  <c r="H27" i="54"/>
  <c r="H29" i="54"/>
  <c r="B31" i="54"/>
  <c r="F31" i="54"/>
  <c r="AB31" i="54" s="1"/>
  <c r="H36" i="54"/>
  <c r="H37" i="54"/>
  <c r="B39" i="54"/>
  <c r="F39" i="54"/>
  <c r="AB39" i="54" s="1"/>
  <c r="J30" i="83"/>
  <c r="H30" i="83"/>
  <c r="C30" i="83"/>
  <c r="E30" i="83"/>
  <c r="F35" i="83"/>
  <c r="AF11" i="86"/>
  <c r="AY13" i="86"/>
  <c r="Y16" i="86"/>
  <c r="Z17" i="86"/>
  <c r="F21" i="86"/>
  <c r="X21" i="86" s="1"/>
  <c r="AF24" i="86"/>
  <c r="F25" i="86"/>
  <c r="X25" i="86" s="1"/>
  <c r="E28" i="86"/>
  <c r="G31" i="86"/>
  <c r="AY39" i="86"/>
  <c r="AF40" i="86"/>
  <c r="E44" i="86"/>
  <c r="Y47" i="86"/>
  <c r="H14" i="54"/>
  <c r="H15" i="54"/>
  <c r="H17" i="54"/>
  <c r="H30" i="54"/>
  <c r="H31" i="54"/>
  <c r="H38" i="54"/>
  <c r="H39" i="54"/>
  <c r="J9" i="83"/>
  <c r="C9" i="83"/>
  <c r="E17" i="83"/>
  <c r="J17" i="83"/>
  <c r="F17" i="83"/>
  <c r="H17" i="83"/>
  <c r="C17" i="83"/>
  <c r="H20" i="83"/>
  <c r="E20" i="83"/>
  <c r="C20" i="83"/>
  <c r="J20" i="83"/>
  <c r="AY43" i="86"/>
  <c r="J10" i="83"/>
  <c r="H10" i="83"/>
  <c r="C10" i="83"/>
  <c r="E10" i="83"/>
  <c r="E31" i="83"/>
  <c r="I12" i="86"/>
  <c r="Y15" i="86"/>
  <c r="I20" i="86"/>
  <c r="AY20" i="86"/>
  <c r="V33" i="86"/>
  <c r="I37" i="86"/>
  <c r="AI38" i="86"/>
  <c r="I45" i="86"/>
  <c r="V45" i="86"/>
  <c r="AI46" i="86"/>
  <c r="H8" i="54"/>
  <c r="H24" i="54"/>
  <c r="H28" i="54"/>
  <c r="Y10" i="86"/>
  <c r="Z15" i="86"/>
  <c r="Z16" i="86"/>
  <c r="AI19" i="86"/>
  <c r="D29" i="86"/>
  <c r="I29" i="86"/>
  <c r="V29" i="86"/>
  <c r="E37" i="86"/>
  <c r="AF37" i="86"/>
  <c r="F38" i="86"/>
  <c r="X38" i="86" s="1"/>
  <c r="AF41" i="86"/>
  <c r="F42" i="86"/>
  <c r="X42" i="86" s="1"/>
  <c r="N14" i="54"/>
  <c r="N28" i="54"/>
  <c r="N32" i="54"/>
  <c r="C23" i="83"/>
  <c r="E23" i="83"/>
  <c r="H23" i="83"/>
  <c r="J38" i="83"/>
  <c r="H38" i="83"/>
  <c r="C38" i="83"/>
  <c r="V12" i="86"/>
  <c r="V20" i="86"/>
  <c r="I33" i="86"/>
  <c r="V37" i="86"/>
  <c r="I41" i="86"/>
  <c r="V41" i="86"/>
  <c r="AI42" i="86"/>
  <c r="H12" i="54"/>
  <c r="H16" i="54"/>
  <c r="H20" i="54"/>
  <c r="E25" i="83"/>
  <c r="H25" i="83"/>
  <c r="C25" i="83"/>
  <c r="F25" i="83"/>
  <c r="J25" i="83"/>
  <c r="E12" i="86"/>
  <c r="D15" i="86"/>
  <c r="D19" i="86"/>
  <c r="D20" i="86"/>
  <c r="Z20" i="86"/>
  <c r="E33" i="86"/>
  <c r="E41" i="86"/>
  <c r="E45" i="86"/>
  <c r="AF45" i="86"/>
  <c r="F46" i="86"/>
  <c r="X46" i="86" s="1"/>
  <c r="N8" i="54"/>
  <c r="N10" i="54"/>
  <c r="N12" i="54"/>
  <c r="N16" i="54"/>
  <c r="N18" i="54"/>
  <c r="N20" i="54"/>
  <c r="N22" i="54"/>
  <c r="N24" i="54"/>
  <c r="N26" i="54"/>
  <c r="N30" i="54"/>
  <c r="N34" i="54"/>
  <c r="N36" i="54"/>
  <c r="N38" i="54"/>
  <c r="J8" i="83"/>
  <c r="F8" i="83"/>
  <c r="J19" i="83"/>
  <c r="F19" i="83"/>
  <c r="D11" i="86"/>
  <c r="I11" i="86"/>
  <c r="V11" i="86"/>
  <c r="AY11" i="86"/>
  <c r="F12" i="86"/>
  <c r="X12" i="86" s="1"/>
  <c r="AF12" i="86"/>
  <c r="AI14" i="86"/>
  <c r="F15" i="86"/>
  <c r="X15" i="86" s="1"/>
  <c r="E16" i="86"/>
  <c r="AF17" i="86"/>
  <c r="AI18" i="86"/>
  <c r="G19" i="86"/>
  <c r="AY19" i="86"/>
  <c r="E20" i="86"/>
  <c r="AF20" i="86"/>
  <c r="D25" i="86"/>
  <c r="I25" i="86"/>
  <c r="V25" i="86"/>
  <c r="I28" i="86"/>
  <c r="V28" i="86"/>
  <c r="AY28" i="86"/>
  <c r="E29" i="86"/>
  <c r="I32" i="86"/>
  <c r="V32" i="86"/>
  <c r="AY32" i="86"/>
  <c r="F33" i="86"/>
  <c r="X33" i="86" s="1"/>
  <c r="AF33" i="86"/>
  <c r="AI35" i="86"/>
  <c r="D36" i="86"/>
  <c r="I36" i="86"/>
  <c r="V36" i="86"/>
  <c r="AY36" i="86"/>
  <c r="F37" i="86"/>
  <c r="X37" i="86" s="1"/>
  <c r="I40" i="86"/>
  <c r="V40" i="86"/>
  <c r="AY40" i="86"/>
  <c r="F41" i="86"/>
  <c r="X41" i="86" s="1"/>
  <c r="I44" i="86"/>
  <c r="V44" i="86"/>
  <c r="AY44" i="86"/>
  <c r="F45" i="86"/>
  <c r="X45" i="86" s="1"/>
  <c r="I48" i="86"/>
  <c r="V48" i="86"/>
  <c r="E8" i="54"/>
  <c r="K8" i="54" s="1"/>
  <c r="E10" i="54"/>
  <c r="K10" i="54" s="1"/>
  <c r="E12" i="54"/>
  <c r="K12" i="54" s="1"/>
  <c r="E14" i="54"/>
  <c r="K14" i="54" s="1"/>
  <c r="E16" i="54"/>
  <c r="K16" i="54" s="1"/>
  <c r="E18" i="54"/>
  <c r="K18" i="54" s="1"/>
  <c r="E20" i="54"/>
  <c r="K20" i="54" s="1"/>
  <c r="E22" i="54"/>
  <c r="K22" i="54" s="1"/>
  <c r="E24" i="54"/>
  <c r="K24" i="54" s="1"/>
  <c r="E26" i="54"/>
  <c r="K26" i="54" s="1"/>
  <c r="E28" i="54"/>
  <c r="K28" i="54" s="1"/>
  <c r="E30" i="54"/>
  <c r="K30" i="54" s="1"/>
  <c r="E32" i="54"/>
  <c r="K32" i="54" s="1"/>
  <c r="E34" i="54"/>
  <c r="K34" i="54" s="1"/>
  <c r="E36" i="54"/>
  <c r="K36" i="54" s="1"/>
  <c r="E38" i="54"/>
  <c r="K38" i="54" s="1"/>
  <c r="E33" i="83"/>
  <c r="J33" i="83"/>
  <c r="F33" i="83"/>
  <c r="C33" i="83"/>
  <c r="AJ9" i="86"/>
  <c r="E11" i="86"/>
  <c r="Z11" i="86"/>
  <c r="E14" i="86"/>
  <c r="I14" i="86"/>
  <c r="G15" i="86"/>
  <c r="G16" i="86"/>
  <c r="AI16" i="86"/>
  <c r="D17" i="86"/>
  <c r="I17" i="86"/>
  <c r="V17" i="86"/>
  <c r="D21" i="86"/>
  <c r="I21" i="86"/>
  <c r="V21" i="86"/>
  <c r="I24" i="86"/>
  <c r="V24" i="86"/>
  <c r="AY24" i="86"/>
  <c r="E25" i="86"/>
  <c r="D28" i="86"/>
  <c r="Z28" i="86"/>
  <c r="F29" i="86"/>
  <c r="X29" i="86" s="1"/>
  <c r="AF29" i="86"/>
  <c r="D32" i="86"/>
  <c r="Z32" i="86"/>
  <c r="G35" i="86"/>
  <c r="E36" i="86"/>
  <c r="Z36" i="86"/>
  <c r="D39" i="86"/>
  <c r="D40" i="86"/>
  <c r="Z40" i="86"/>
  <c r="D43" i="86"/>
  <c r="D44" i="86"/>
  <c r="Z44" i="86"/>
  <c r="D47" i="86"/>
  <c r="D48" i="86"/>
  <c r="N7" i="54"/>
  <c r="B8" i="54"/>
  <c r="F8" i="54"/>
  <c r="N9" i="54"/>
  <c r="B10" i="54"/>
  <c r="F10" i="54"/>
  <c r="N11" i="54"/>
  <c r="B12" i="54"/>
  <c r="F12" i="54"/>
  <c r="N13" i="54"/>
  <c r="B14" i="54"/>
  <c r="F14" i="54"/>
  <c r="N15" i="54"/>
  <c r="B16" i="54"/>
  <c r="F16" i="54"/>
  <c r="N17" i="54"/>
  <c r="B18" i="54"/>
  <c r="F18" i="54"/>
  <c r="N19" i="54"/>
  <c r="B20" i="54"/>
  <c r="F20" i="54"/>
  <c r="N21" i="54"/>
  <c r="B22" i="54"/>
  <c r="F22" i="54"/>
  <c r="N23" i="54"/>
  <c r="B24" i="54"/>
  <c r="F24" i="54"/>
  <c r="N25" i="54"/>
  <c r="B26" i="54"/>
  <c r="F26" i="54"/>
  <c r="N27" i="54"/>
  <c r="B28" i="54"/>
  <c r="F28" i="54"/>
  <c r="N29" i="54"/>
  <c r="B30" i="54"/>
  <c r="F30" i="54"/>
  <c r="N31" i="54"/>
  <c r="B32" i="54"/>
  <c r="F32" i="54"/>
  <c r="N33" i="54"/>
  <c r="B34" i="54"/>
  <c r="F34" i="54"/>
  <c r="N35" i="54"/>
  <c r="B36" i="54"/>
  <c r="F36" i="54"/>
  <c r="N37" i="54"/>
  <c r="B38" i="54"/>
  <c r="F38" i="54"/>
  <c r="N39" i="54"/>
  <c r="J7" i="83"/>
  <c r="E7" i="83"/>
  <c r="H36" i="83"/>
  <c r="J36" i="83"/>
  <c r="C36" i="83"/>
  <c r="E36" i="83"/>
  <c r="E38" i="83"/>
  <c r="H9" i="83"/>
  <c r="H12" i="83"/>
  <c r="E12" i="83"/>
  <c r="J14" i="83"/>
  <c r="E14" i="83"/>
  <c r="H14" i="83"/>
  <c r="C15" i="83"/>
  <c r="E15" i="83"/>
  <c r="J34" i="83"/>
  <c r="H34" i="83"/>
  <c r="C34" i="83"/>
  <c r="E34" i="83"/>
  <c r="J22" i="83"/>
  <c r="E22" i="83"/>
  <c r="C22" i="83"/>
  <c r="H31" i="83"/>
  <c r="J11" i="83"/>
  <c r="J18" i="83"/>
  <c r="E18" i="83"/>
  <c r="H18" i="83"/>
  <c r="H28" i="83"/>
  <c r="C28" i="83"/>
  <c r="H39" i="83"/>
  <c r="F40" i="54"/>
  <c r="B40" i="54"/>
  <c r="N40" i="54"/>
  <c r="E40" i="54"/>
  <c r="K40" i="54" s="1"/>
  <c r="H40" i="54"/>
  <c r="P9" i="55"/>
  <c r="O9" i="55"/>
  <c r="P11" i="55"/>
  <c r="O11" i="55"/>
  <c r="P13" i="55"/>
  <c r="O13" i="55"/>
  <c r="P15" i="55"/>
  <c r="O15" i="55"/>
  <c r="P17" i="55"/>
  <c r="O17" i="55"/>
  <c r="P19" i="55"/>
  <c r="O19" i="55"/>
  <c r="P21" i="55"/>
  <c r="O21" i="55"/>
  <c r="P23" i="55"/>
  <c r="O23" i="55"/>
  <c r="P25" i="55"/>
  <c r="O25" i="55"/>
  <c r="P27" i="55"/>
  <c r="O27" i="55"/>
  <c r="P29" i="55"/>
  <c r="O29" i="55"/>
  <c r="P31" i="55"/>
  <c r="O31" i="55"/>
  <c r="P33" i="55"/>
  <c r="O33" i="55"/>
  <c r="P35" i="55"/>
  <c r="O35" i="55"/>
  <c r="P37" i="55"/>
  <c r="O37" i="55"/>
  <c r="P39" i="55"/>
  <c r="O39" i="55"/>
  <c r="F27" i="86"/>
  <c r="X27" i="86" s="1"/>
  <c r="AF27" i="86"/>
  <c r="V27" i="86"/>
  <c r="I27" i="86"/>
  <c r="E27" i="86"/>
  <c r="AI27" i="86"/>
  <c r="G27" i="86"/>
  <c r="D27" i="86"/>
  <c r="AY27" i="86"/>
  <c r="I40" i="54"/>
  <c r="AF9" i="86"/>
  <c r="V9" i="86"/>
  <c r="I9" i="86"/>
  <c r="E9" i="86"/>
  <c r="AY9" i="86"/>
  <c r="Z9" i="86"/>
  <c r="D9" i="86"/>
  <c r="Y9" i="86"/>
  <c r="F10" i="86"/>
  <c r="X10" i="86" s="1"/>
  <c r="AF10" i="86"/>
  <c r="V10" i="86"/>
  <c r="I10" i="86"/>
  <c r="E10" i="86"/>
  <c r="Z10" i="86"/>
  <c r="AF22" i="86"/>
  <c r="V22" i="86"/>
  <c r="I22" i="86"/>
  <c r="E22" i="86"/>
  <c r="AY22" i="86"/>
  <c r="Z22" i="86"/>
  <c r="D22" i="86"/>
  <c r="AI22" i="86"/>
  <c r="G22" i="86"/>
  <c r="Y27" i="86"/>
  <c r="O41" i="55"/>
  <c r="P8" i="55"/>
  <c r="O8" i="55"/>
  <c r="P10" i="55"/>
  <c r="O10" i="55"/>
  <c r="P12" i="55"/>
  <c r="O12" i="55"/>
  <c r="P14" i="55"/>
  <c r="O14" i="55"/>
  <c r="P16" i="55"/>
  <c r="O16" i="55"/>
  <c r="P18" i="55"/>
  <c r="O18" i="55"/>
  <c r="P20" i="55"/>
  <c r="O20" i="55"/>
  <c r="P22" i="55"/>
  <c r="O22" i="55"/>
  <c r="P24" i="55"/>
  <c r="O24" i="55"/>
  <c r="P26" i="55"/>
  <c r="O26" i="55"/>
  <c r="P28" i="55"/>
  <c r="O28" i="55"/>
  <c r="P30" i="55"/>
  <c r="O30" i="55"/>
  <c r="P32" i="55"/>
  <c r="O32" i="55"/>
  <c r="P34" i="55"/>
  <c r="O34" i="55"/>
  <c r="P36" i="55"/>
  <c r="O36" i="55"/>
  <c r="P38" i="55"/>
  <c r="O38" i="55"/>
  <c r="P40" i="55"/>
  <c r="O40" i="55"/>
  <c r="F9" i="86"/>
  <c r="D10" i="86"/>
  <c r="AI13" i="86"/>
  <c r="AF13" i="86"/>
  <c r="V13" i="86"/>
  <c r="I13" i="86"/>
  <c r="E13" i="86"/>
  <c r="Z13" i="86"/>
  <c r="D13" i="86"/>
  <c r="Y13" i="86"/>
  <c r="F22" i="86"/>
  <c r="X22" i="86" s="1"/>
  <c r="F23" i="86"/>
  <c r="X23" i="86" s="1"/>
  <c r="AF23" i="86"/>
  <c r="V23" i="86"/>
  <c r="I23" i="86"/>
  <c r="E23" i="86"/>
  <c r="AY23" i="86"/>
  <c r="Y23" i="86"/>
  <c r="AI23" i="86"/>
  <c r="G23" i="86"/>
  <c r="Z27" i="86"/>
  <c r="G9" i="86"/>
  <c r="AI9" i="86"/>
  <c r="G10" i="86"/>
  <c r="AI10" i="86"/>
  <c r="F13" i="86"/>
  <c r="X13" i="86" s="1"/>
  <c r="Y22" i="86"/>
  <c r="D23" i="86"/>
  <c r="AF26" i="86"/>
  <c r="V26" i="86"/>
  <c r="I26" i="86"/>
  <c r="E26" i="86"/>
  <c r="AY26" i="86"/>
  <c r="Z26" i="86"/>
  <c r="D26" i="86"/>
  <c r="AI26" i="86"/>
  <c r="G26" i="86"/>
  <c r="F26" i="86"/>
  <c r="X26" i="86" s="1"/>
  <c r="G12" i="86"/>
  <c r="Y12" i="86"/>
  <c r="AI12" i="86"/>
  <c r="AF16" i="86"/>
  <c r="AF30" i="86"/>
  <c r="V30" i="86"/>
  <c r="I30" i="86"/>
  <c r="E30" i="86"/>
  <c r="AY30" i="86"/>
  <c r="Z30" i="86"/>
  <c r="D30" i="86"/>
  <c r="Y30" i="86"/>
  <c r="F31" i="86"/>
  <c r="X31" i="86" s="1"/>
  <c r="AF31" i="86"/>
  <c r="V31" i="86"/>
  <c r="I31" i="86"/>
  <c r="E31" i="86"/>
  <c r="Z31" i="86"/>
  <c r="AF34" i="86"/>
  <c r="V34" i="86"/>
  <c r="I34" i="86"/>
  <c r="E34" i="86"/>
  <c r="AY34" i="86"/>
  <c r="Z34" i="86"/>
  <c r="D34" i="86"/>
  <c r="Y34" i="86"/>
  <c r="F35" i="86"/>
  <c r="X35" i="86" s="1"/>
  <c r="AF35" i="86"/>
  <c r="V35" i="86"/>
  <c r="I35" i="86"/>
  <c r="E35" i="86"/>
  <c r="Z35" i="86"/>
  <c r="H7" i="83"/>
  <c r="C7" i="83"/>
  <c r="E8" i="83"/>
  <c r="H8" i="83"/>
  <c r="E13" i="83"/>
  <c r="J13" i="83"/>
  <c r="F13" i="83"/>
  <c r="H13" i="83"/>
  <c r="H16" i="83"/>
  <c r="J16" i="83"/>
  <c r="E16" i="83"/>
  <c r="E21" i="83"/>
  <c r="J21" i="83"/>
  <c r="F21" i="83"/>
  <c r="H21" i="83"/>
  <c r="H24" i="83"/>
  <c r="J24" i="83"/>
  <c r="E24" i="83"/>
  <c r="E29" i="83"/>
  <c r="J29" i="83"/>
  <c r="F29" i="83"/>
  <c r="H29" i="83"/>
  <c r="H32" i="83"/>
  <c r="J32" i="83"/>
  <c r="E32" i="83"/>
  <c r="E37" i="83"/>
  <c r="J37" i="83"/>
  <c r="F37" i="83"/>
  <c r="H37" i="83"/>
  <c r="G11" i="86"/>
  <c r="Y11" i="86"/>
  <c r="D12" i="86"/>
  <c r="Z12" i="86"/>
  <c r="AY14" i="86"/>
  <c r="Z14" i="86"/>
  <c r="D14" i="86"/>
  <c r="AF14" i="86"/>
  <c r="AF15" i="86"/>
  <c r="V15" i="86"/>
  <c r="I15" i="86"/>
  <c r="E15" i="86"/>
  <c r="AI15" i="86"/>
  <c r="D16" i="86"/>
  <c r="I16" i="86"/>
  <c r="V16" i="86"/>
  <c r="AF18" i="86"/>
  <c r="V18" i="86"/>
  <c r="I18" i="86"/>
  <c r="E18" i="86"/>
  <c r="AY18" i="86"/>
  <c r="Z18" i="86"/>
  <c r="D18" i="86"/>
  <c r="Y18" i="86"/>
  <c r="F19" i="86"/>
  <c r="X19" i="86" s="1"/>
  <c r="AF19" i="86"/>
  <c r="V19" i="86"/>
  <c r="I19" i="86"/>
  <c r="E19" i="86"/>
  <c r="Z19" i="86"/>
  <c r="F30" i="86"/>
  <c r="X30" i="86" s="1"/>
  <c r="D31" i="86"/>
  <c r="F34" i="86"/>
  <c r="X34" i="86" s="1"/>
  <c r="D35" i="86"/>
  <c r="AF38" i="86"/>
  <c r="V38" i="86"/>
  <c r="I38" i="86"/>
  <c r="E38" i="86"/>
  <c r="AY38" i="86"/>
  <c r="Z38" i="86"/>
  <c r="D38" i="86"/>
  <c r="Y38" i="86"/>
  <c r="F39" i="86"/>
  <c r="X39" i="86" s="1"/>
  <c r="AF39" i="86"/>
  <c r="V39" i="86"/>
  <c r="I39" i="86"/>
  <c r="E39" i="86"/>
  <c r="Z39" i="86"/>
  <c r="AF42" i="86"/>
  <c r="V42" i="86"/>
  <c r="I42" i="86"/>
  <c r="E42" i="86"/>
  <c r="AY42" i="86"/>
  <c r="Z42" i="86"/>
  <c r="D42" i="86"/>
  <c r="Y42" i="86"/>
  <c r="F43" i="86"/>
  <c r="X43" i="86" s="1"/>
  <c r="AF43" i="86"/>
  <c r="V43" i="86"/>
  <c r="I43" i="86"/>
  <c r="E43" i="86"/>
  <c r="Z43" i="86"/>
  <c r="AF46" i="86"/>
  <c r="V46" i="86"/>
  <c r="I46" i="86"/>
  <c r="E46" i="86"/>
  <c r="AY46" i="86"/>
  <c r="Z46" i="86"/>
  <c r="D46" i="86"/>
  <c r="Y46" i="86"/>
  <c r="F47" i="86"/>
  <c r="X47" i="86" s="1"/>
  <c r="AF47" i="86"/>
  <c r="V47" i="86"/>
  <c r="I47" i="86"/>
  <c r="E47" i="86"/>
  <c r="Z47" i="86"/>
  <c r="C8" i="83"/>
  <c r="C11" i="83"/>
  <c r="E11" i="83"/>
  <c r="H11" i="83"/>
  <c r="C13" i="83"/>
  <c r="C16" i="83"/>
  <c r="C19" i="83"/>
  <c r="E19" i="83"/>
  <c r="H19" i="83"/>
  <c r="C21" i="83"/>
  <c r="C24" i="83"/>
  <c r="C27" i="83"/>
  <c r="E27" i="83"/>
  <c r="H27" i="83"/>
  <c r="C29" i="83"/>
  <c r="C32" i="83"/>
  <c r="C35" i="83"/>
  <c r="E35" i="83"/>
  <c r="H35" i="83"/>
  <c r="C37" i="83"/>
  <c r="G17" i="86"/>
  <c r="Y17" i="86"/>
  <c r="F20" i="86"/>
  <c r="X20" i="86" s="1"/>
  <c r="G21" i="86"/>
  <c r="Y21" i="86"/>
  <c r="AI21" i="86"/>
  <c r="F24" i="86"/>
  <c r="X24" i="86" s="1"/>
  <c r="G25" i="86"/>
  <c r="Y25" i="86"/>
  <c r="AI25" i="86"/>
  <c r="F28" i="86"/>
  <c r="X28" i="86" s="1"/>
  <c r="G29" i="86"/>
  <c r="Y29" i="86"/>
  <c r="AI29" i="86"/>
  <c r="F32" i="86"/>
  <c r="X32" i="86" s="1"/>
  <c r="G33" i="86"/>
  <c r="Y33" i="86"/>
  <c r="AI33" i="86"/>
  <c r="G37" i="86"/>
  <c r="Y37" i="86"/>
  <c r="AI37" i="86"/>
  <c r="F40" i="86"/>
  <c r="X40" i="86" s="1"/>
  <c r="G41" i="86"/>
  <c r="Y41" i="86"/>
  <c r="AI41" i="86"/>
  <c r="F44" i="86"/>
  <c r="X44" i="86" s="1"/>
  <c r="G45" i="86"/>
  <c r="Y45" i="86"/>
  <c r="AI45" i="86"/>
  <c r="F48" i="86"/>
  <c r="X48" i="86" s="1"/>
  <c r="E9" i="83"/>
  <c r="F10" i="83"/>
  <c r="F12" i="83"/>
  <c r="F15" i="83"/>
  <c r="J15" i="83"/>
  <c r="F20" i="83"/>
  <c r="F23" i="83"/>
  <c r="J23" i="83"/>
  <c r="F28" i="83"/>
  <c r="F31" i="83"/>
  <c r="J31" i="83"/>
  <c r="F36" i="83"/>
  <c r="F39" i="83"/>
  <c r="J39" i="83"/>
  <c r="G20" i="86"/>
  <c r="Y20" i="86"/>
  <c r="Z21" i="86"/>
  <c r="G24" i="86"/>
  <c r="Y24" i="86"/>
  <c r="Z25" i="86"/>
  <c r="G28" i="86"/>
  <c r="Y28" i="86"/>
  <c r="Z29" i="86"/>
  <c r="G32" i="86"/>
  <c r="Y32" i="86"/>
  <c r="D33" i="86"/>
  <c r="Z33" i="86"/>
  <c r="G36" i="86"/>
  <c r="Y36" i="86"/>
  <c r="D37" i="86"/>
  <c r="Z37" i="86"/>
  <c r="G40" i="86"/>
  <c r="Y40" i="86"/>
  <c r="D41" i="86"/>
  <c r="Z41" i="86"/>
  <c r="G44" i="86"/>
  <c r="Y44" i="86"/>
  <c r="D45" i="86"/>
  <c r="Z45" i="86"/>
  <c r="F9" i="83"/>
  <c r="F14" i="83"/>
  <c r="F18" i="83"/>
  <c r="F22" i="83"/>
  <c r="F26" i="83"/>
  <c r="F30" i="83"/>
  <c r="F34" i="83"/>
  <c r="F38" i="83"/>
  <c r="B158" i="33"/>
  <c r="B159" i="33"/>
  <c r="B160" i="33"/>
  <c r="B161" i="33"/>
  <c r="O161" i="33" s="1"/>
  <c r="B162" i="33"/>
  <c r="O162" i="33" s="1"/>
  <c r="B163" i="33"/>
  <c r="O163" i="33" s="1"/>
  <c r="B164" i="33"/>
  <c r="B165" i="33"/>
  <c r="B166" i="33"/>
  <c r="B167" i="33"/>
  <c r="B168" i="33"/>
  <c r="B169" i="33"/>
  <c r="B170" i="33"/>
  <c r="B171" i="33"/>
  <c r="B172" i="33"/>
  <c r="B173" i="33"/>
  <c r="B157" i="33"/>
  <c r="O157" i="33" s="1"/>
  <c r="B156" i="33"/>
  <c r="A168" i="33" l="1"/>
  <c r="O168" i="33"/>
  <c r="A160" i="33"/>
  <c r="O160" i="33"/>
  <c r="A169" i="33"/>
  <c r="O169" i="33"/>
  <c r="A167" i="33"/>
  <c r="O167" i="33"/>
  <c r="A164" i="33"/>
  <c r="O164" i="33"/>
  <c r="A159" i="33"/>
  <c r="O159" i="33"/>
  <c r="A166" i="33"/>
  <c r="O166" i="33"/>
  <c r="A158" i="33"/>
  <c r="O158" i="33"/>
  <c r="A173" i="33"/>
  <c r="O173" i="33"/>
  <c r="A165" i="33"/>
  <c r="O165" i="33"/>
  <c r="A171" i="33"/>
  <c r="O171" i="33"/>
  <c r="A170" i="33"/>
  <c r="O170" i="33"/>
  <c r="A172" i="33"/>
  <c r="O172" i="33"/>
  <c r="D173" i="81"/>
  <c r="D171" i="81"/>
  <c r="D169" i="81"/>
  <c r="D167" i="81"/>
  <c r="D165" i="81"/>
  <c r="D163" i="81"/>
  <c r="D161" i="81"/>
  <c r="D159" i="81"/>
  <c r="D157" i="81"/>
  <c r="D155" i="81"/>
  <c r="D153" i="81"/>
  <c r="D151" i="81"/>
  <c r="D149" i="81"/>
  <c r="D147" i="81"/>
  <c r="D145" i="81"/>
  <c r="D143" i="81"/>
  <c r="D141" i="81"/>
  <c r="D139" i="81"/>
  <c r="D137" i="81"/>
  <c r="D135" i="81"/>
  <c r="D133" i="81"/>
  <c r="D131" i="81"/>
  <c r="D129" i="81"/>
  <c r="D127" i="81"/>
  <c r="D125" i="81"/>
  <c r="D123" i="81"/>
  <c r="D121" i="81"/>
  <c r="D119" i="81"/>
  <c r="D117" i="81"/>
  <c r="D115" i="81"/>
  <c r="D113" i="81"/>
  <c r="D111" i="81"/>
  <c r="D109" i="81"/>
  <c r="D107" i="81"/>
  <c r="D105" i="81"/>
  <c r="D103" i="81"/>
  <c r="D204" i="81"/>
  <c r="D202" i="81"/>
  <c r="D200" i="81"/>
  <c r="D203" i="81"/>
  <c r="D174" i="81"/>
  <c r="D172" i="81"/>
  <c r="D170" i="81"/>
  <c r="D168" i="81"/>
  <c r="D166" i="81"/>
  <c r="D164" i="81"/>
  <c r="D162" i="81"/>
  <c r="D160" i="81"/>
  <c r="D158" i="81"/>
  <c r="D156" i="81"/>
  <c r="D154" i="81"/>
  <c r="D152" i="81"/>
  <c r="D150" i="81"/>
  <c r="D148" i="81"/>
  <c r="D146" i="81"/>
  <c r="D144" i="81"/>
  <c r="D142" i="81"/>
  <c r="D140" i="81"/>
  <c r="D138" i="81"/>
  <c r="D136" i="81"/>
  <c r="D134" i="81"/>
  <c r="D132" i="81"/>
  <c r="D130" i="81"/>
  <c r="D128" i="81"/>
  <c r="D126" i="81"/>
  <c r="D124" i="81"/>
  <c r="D122" i="81"/>
  <c r="D120" i="81"/>
  <c r="D118" i="81"/>
  <c r="D116" i="81"/>
  <c r="D114" i="81"/>
  <c r="D112" i="81"/>
  <c r="D110" i="81"/>
  <c r="D108" i="81"/>
  <c r="D106" i="81"/>
  <c r="D104" i="81"/>
  <c r="D102" i="81"/>
  <c r="D201" i="81"/>
  <c r="A156" i="33"/>
  <c r="O156" i="33"/>
  <c r="X9" i="86"/>
  <c r="AN9" i="86"/>
  <c r="I163" i="33"/>
  <c r="A163" i="33"/>
  <c r="I162" i="33"/>
  <c r="A162" i="33"/>
  <c r="I159" i="33"/>
  <c r="A157" i="33"/>
  <c r="J161" i="33"/>
  <c r="A161" i="33"/>
  <c r="J159" i="33"/>
  <c r="I165" i="33"/>
  <c r="M165" i="33"/>
  <c r="J165" i="33"/>
  <c r="P165" i="33"/>
  <c r="L165" i="33"/>
  <c r="R165" i="33"/>
  <c r="M164" i="33"/>
  <c r="R164" i="33"/>
  <c r="L164" i="33"/>
  <c r="I164" i="33"/>
  <c r="P164" i="33"/>
  <c r="J164" i="33"/>
  <c r="P170" i="33"/>
  <c r="J170" i="33"/>
  <c r="I170" i="33"/>
  <c r="R170" i="33"/>
  <c r="L170" i="33"/>
  <c r="M170" i="33"/>
  <c r="I173" i="33"/>
  <c r="M173" i="33"/>
  <c r="J173" i="33"/>
  <c r="P173" i="33"/>
  <c r="R173" i="33"/>
  <c r="L173" i="33"/>
  <c r="I169" i="33"/>
  <c r="M169" i="33"/>
  <c r="P169" i="33"/>
  <c r="J169" i="33"/>
  <c r="R169" i="33"/>
  <c r="L169" i="33"/>
  <c r="M172" i="33"/>
  <c r="R172" i="33"/>
  <c r="L172" i="33"/>
  <c r="I172" i="33"/>
  <c r="J172" i="33"/>
  <c r="P172" i="33"/>
  <c r="M168" i="33"/>
  <c r="R168" i="33"/>
  <c r="L168" i="33"/>
  <c r="I168" i="33"/>
  <c r="P168" i="33"/>
  <c r="J168" i="33"/>
  <c r="R171" i="33"/>
  <c r="L171" i="33"/>
  <c r="P171" i="33"/>
  <c r="J171" i="33"/>
  <c r="M171" i="33"/>
  <c r="I171" i="33"/>
  <c r="R167" i="33"/>
  <c r="L167" i="33"/>
  <c r="P167" i="33"/>
  <c r="J167" i="33"/>
  <c r="M167" i="33"/>
  <c r="I167" i="33"/>
  <c r="P166" i="33"/>
  <c r="J166" i="33"/>
  <c r="I166" i="33"/>
  <c r="L166" i="33"/>
  <c r="R166" i="33"/>
  <c r="M166" i="33"/>
  <c r="M160" i="33"/>
  <c r="P160" i="33"/>
  <c r="P161" i="33"/>
  <c r="M161" i="33"/>
  <c r="J163" i="33"/>
  <c r="J160" i="33"/>
  <c r="M159" i="33"/>
  <c r="I161" i="33"/>
  <c r="P159" i="33"/>
  <c r="P163" i="33"/>
  <c r="M163" i="33"/>
  <c r="M157" i="33"/>
  <c r="P157" i="33"/>
  <c r="M162" i="33"/>
  <c r="J162" i="33"/>
  <c r="I160" i="33"/>
  <c r="P162" i="33"/>
  <c r="M158" i="33"/>
  <c r="J158" i="33"/>
  <c r="I156" i="33"/>
  <c r="M156" i="33"/>
  <c r="Y13" i="54"/>
  <c r="Y15" i="54"/>
  <c r="Y29" i="54"/>
  <c r="Y11" i="54"/>
  <c r="Y7" i="54"/>
  <c r="Y19" i="54"/>
  <c r="Y9" i="54"/>
  <c r="Y35" i="54"/>
  <c r="Y25" i="54"/>
  <c r="Y17" i="54"/>
  <c r="Y37" i="54"/>
  <c r="Y33" i="54"/>
  <c r="Y21" i="54"/>
  <c r="Y39" i="54"/>
  <c r="Y27" i="54"/>
  <c r="Y31" i="54"/>
  <c r="Y23" i="54"/>
  <c r="AB36" i="54"/>
  <c r="Y36" i="54"/>
  <c r="AB28" i="54"/>
  <c r="Y28" i="54"/>
  <c r="AB20" i="54"/>
  <c r="Y20" i="54"/>
  <c r="AB12" i="54"/>
  <c r="Y12" i="54"/>
  <c r="AB38" i="54"/>
  <c r="Y38" i="54"/>
  <c r="AB30" i="54"/>
  <c r="Y30" i="54"/>
  <c r="AB22" i="54"/>
  <c r="Y22" i="54"/>
  <c r="AB14" i="54"/>
  <c r="Y14" i="54"/>
  <c r="AB32" i="54"/>
  <c r="Y32" i="54"/>
  <c r="AB24" i="54"/>
  <c r="Y24" i="54"/>
  <c r="AB16" i="54"/>
  <c r="Y16" i="54"/>
  <c r="AB8" i="54"/>
  <c r="Y8" i="54"/>
  <c r="AB34" i="54"/>
  <c r="Y34" i="54"/>
  <c r="AB26" i="54"/>
  <c r="Y26" i="54"/>
  <c r="AB18" i="54"/>
  <c r="Y18" i="54"/>
  <c r="AB10" i="54"/>
  <c r="Y10" i="54"/>
  <c r="AB40" i="54"/>
  <c r="Y40" i="54"/>
  <c r="E4" i="85"/>
  <c r="E5" i="85"/>
  <c r="E6" i="85"/>
  <c r="E7" i="85"/>
  <c r="E8" i="85"/>
  <c r="E9" i="85"/>
  <c r="E10" i="85"/>
  <c r="E11" i="85"/>
  <c r="E12" i="85"/>
  <c r="E13" i="85"/>
  <c r="E14" i="85"/>
  <c r="E15" i="85"/>
  <c r="E16" i="85"/>
  <c r="E17" i="85"/>
  <c r="E18" i="85"/>
  <c r="E19" i="85"/>
  <c r="E20" i="85"/>
  <c r="E21" i="85"/>
  <c r="E22" i="85"/>
  <c r="E23" i="85"/>
  <c r="E24" i="85"/>
  <c r="E25" i="85"/>
  <c r="E26" i="85"/>
  <c r="E27" i="85"/>
  <c r="E28" i="85"/>
  <c r="E29" i="85"/>
  <c r="E30" i="85"/>
  <c r="E31" i="85"/>
  <c r="E32" i="85"/>
  <c r="E33" i="85"/>
  <c r="E34" i="85"/>
  <c r="E35" i="85"/>
  <c r="E36" i="85"/>
  <c r="E37" i="85"/>
  <c r="E38" i="85"/>
  <c r="E39" i="85"/>
  <c r="E40" i="85"/>
  <c r="E41" i="85"/>
  <c r="E3" i="85"/>
  <c r="I157" i="33" l="1"/>
  <c r="J157" i="33"/>
  <c r="P158" i="33"/>
  <c r="I158" i="33"/>
  <c r="J156" i="33"/>
  <c r="P156" i="33"/>
  <c r="AC10" i="86" l="1"/>
  <c r="AC11" i="86"/>
  <c r="AC12" i="86"/>
  <c r="AC13" i="86"/>
  <c r="AC14" i="86"/>
  <c r="AC15" i="86"/>
  <c r="AC16" i="86"/>
  <c r="AC17" i="86"/>
  <c r="AC18" i="86"/>
  <c r="AC19" i="86"/>
  <c r="AC20" i="86"/>
  <c r="AC21" i="86"/>
  <c r="AC22" i="86"/>
  <c r="AC23" i="86"/>
  <c r="AC24" i="86"/>
  <c r="AC25" i="86"/>
  <c r="AC26" i="86"/>
  <c r="AC27" i="86"/>
  <c r="AC28" i="86"/>
  <c r="AC29" i="86"/>
  <c r="AC30" i="86"/>
  <c r="AC31" i="86"/>
  <c r="AC32" i="86"/>
  <c r="AC33" i="86"/>
  <c r="AC34" i="86"/>
  <c r="AC35" i="86"/>
  <c r="AC36" i="86"/>
  <c r="AC37" i="86"/>
  <c r="AC38" i="86"/>
  <c r="AC39" i="86"/>
  <c r="AC40" i="86"/>
  <c r="AC41" i="86"/>
  <c r="AC42" i="86"/>
  <c r="AC43" i="86"/>
  <c r="AC44" i="86"/>
  <c r="AC45" i="86"/>
  <c r="AC46" i="86"/>
  <c r="AC47" i="86"/>
  <c r="AC48" i="86"/>
  <c r="AC9" i="86"/>
  <c r="AB10" i="86"/>
  <c r="AB11" i="86"/>
  <c r="AB12" i="86"/>
  <c r="AB13" i="86"/>
  <c r="AB14" i="86"/>
  <c r="AB15" i="86"/>
  <c r="AB16" i="86"/>
  <c r="AB17" i="86"/>
  <c r="AB18" i="86"/>
  <c r="AB19" i="86"/>
  <c r="AB20" i="86"/>
  <c r="AB21" i="86"/>
  <c r="AB22" i="86"/>
  <c r="AB23" i="86"/>
  <c r="AB24" i="86"/>
  <c r="AB25" i="86"/>
  <c r="AB26" i="86"/>
  <c r="AB27" i="86"/>
  <c r="AB28" i="86"/>
  <c r="AB29" i="86"/>
  <c r="AB30" i="86"/>
  <c r="AB31" i="86"/>
  <c r="AB32" i="86"/>
  <c r="AB33" i="86"/>
  <c r="AB34" i="86"/>
  <c r="AB35" i="86"/>
  <c r="AB36" i="86"/>
  <c r="AB37" i="86"/>
  <c r="AB38" i="86"/>
  <c r="AB39" i="86"/>
  <c r="AB40" i="86"/>
  <c r="AB41" i="86"/>
  <c r="AB42" i="86"/>
  <c r="AB43" i="86"/>
  <c r="AB44" i="86"/>
  <c r="AB45" i="86"/>
  <c r="AB46" i="86"/>
  <c r="AB47" i="86"/>
  <c r="AB48" i="86"/>
  <c r="AB9" i="86"/>
  <c r="N7" i="115" l="1"/>
  <c r="N8" i="115"/>
  <c r="N9" i="115"/>
  <c r="N10" i="115"/>
  <c r="N11" i="115"/>
  <c r="N12" i="115"/>
  <c r="N13" i="115"/>
  <c r="N14" i="115"/>
  <c r="N15" i="115"/>
  <c r="N16" i="115"/>
  <c r="N17" i="115"/>
  <c r="N18" i="115"/>
  <c r="N19" i="115"/>
  <c r="N20" i="115"/>
  <c r="N21" i="115"/>
  <c r="N22" i="115"/>
  <c r="N23" i="115"/>
  <c r="N24" i="115"/>
  <c r="N25" i="115"/>
  <c r="N26" i="115"/>
  <c r="N27" i="115"/>
  <c r="N28" i="115"/>
  <c r="N29" i="115"/>
  <c r="N30" i="115"/>
  <c r="N31" i="115"/>
  <c r="N32" i="115"/>
  <c r="N33" i="115"/>
  <c r="N34" i="115"/>
  <c r="N35" i="115"/>
  <c r="N36" i="115"/>
  <c r="N37" i="115"/>
  <c r="N38" i="115"/>
  <c r="N39" i="115"/>
  <c r="N40" i="115"/>
  <c r="N41" i="115"/>
  <c r="N42" i="115"/>
  <c r="N43" i="115"/>
  <c r="N44" i="115"/>
  <c r="N45" i="115"/>
  <c r="N46" i="115"/>
  <c r="N47" i="115"/>
  <c r="N48" i="115"/>
  <c r="N49" i="115"/>
  <c r="N50" i="115"/>
  <c r="N51" i="115"/>
  <c r="N52" i="115"/>
  <c r="N53" i="115"/>
  <c r="N54" i="115"/>
  <c r="N55" i="115"/>
  <c r="N56" i="115"/>
  <c r="N57" i="115"/>
  <c r="N58" i="115"/>
  <c r="N59" i="115"/>
  <c r="N60" i="115"/>
  <c r="N61" i="115"/>
  <c r="N62" i="115"/>
  <c r="N63" i="115"/>
  <c r="N64" i="115"/>
  <c r="N65" i="115"/>
  <c r="N66" i="115"/>
  <c r="N67" i="115"/>
  <c r="N68" i="115"/>
  <c r="N69" i="115"/>
  <c r="N70" i="115"/>
  <c r="N71" i="115"/>
  <c r="N72" i="115"/>
  <c r="N73" i="115"/>
  <c r="N74" i="115"/>
  <c r="N75" i="115"/>
  <c r="N76" i="115"/>
  <c r="N77" i="115"/>
  <c r="N78" i="115"/>
  <c r="N79" i="115"/>
  <c r="N80" i="115"/>
  <c r="N81" i="115"/>
  <c r="N82" i="115"/>
  <c r="N83" i="115"/>
  <c r="N84" i="115"/>
  <c r="N85" i="115"/>
  <c r="N86" i="115"/>
  <c r="N87" i="115"/>
  <c r="N88" i="115"/>
  <c r="N89" i="115"/>
  <c r="N90" i="115"/>
  <c r="N91" i="115"/>
  <c r="N92" i="115"/>
  <c r="N93" i="115"/>
  <c r="N94" i="115"/>
  <c r="N95" i="115"/>
  <c r="N96" i="115"/>
  <c r="N97" i="115"/>
  <c r="N98" i="115"/>
  <c r="N99" i="115"/>
  <c r="N100" i="115"/>
  <c r="P7" i="54" l="1"/>
  <c r="P8" i="54"/>
  <c r="P9" i="54"/>
  <c r="P10" i="54"/>
  <c r="P11" i="54"/>
  <c r="P12" i="54"/>
  <c r="P13" i="54"/>
  <c r="P14" i="54"/>
  <c r="P15" i="54"/>
  <c r="P16" i="54"/>
  <c r="P17" i="54"/>
  <c r="P18" i="54"/>
  <c r="P19" i="54"/>
  <c r="P20" i="54"/>
  <c r="P21" i="54"/>
  <c r="P22" i="54"/>
  <c r="P23" i="54"/>
  <c r="P24" i="54"/>
  <c r="P25" i="54"/>
  <c r="P26" i="54"/>
  <c r="P27" i="54"/>
  <c r="P28" i="54"/>
  <c r="P29" i="54"/>
  <c r="P30" i="54"/>
  <c r="P31" i="54"/>
  <c r="P32" i="54"/>
  <c r="P33" i="54"/>
  <c r="P34" i="54"/>
  <c r="P35" i="54"/>
  <c r="P36" i="54"/>
  <c r="P37" i="54"/>
  <c r="P38" i="54"/>
  <c r="P39" i="54"/>
  <c r="P40" i="54"/>
  <c r="E5" i="119" l="1"/>
  <c r="E6" i="119"/>
  <c r="E7" i="119"/>
  <c r="E8" i="119"/>
  <c r="E9" i="119"/>
  <c r="E10" i="119"/>
  <c r="E11" i="119"/>
  <c r="E12" i="119"/>
  <c r="E13" i="119"/>
  <c r="E14" i="119"/>
  <c r="E15" i="119"/>
  <c r="E16" i="119"/>
  <c r="E17" i="119"/>
  <c r="E18" i="119"/>
  <c r="E19" i="119"/>
  <c r="E20" i="119"/>
  <c r="E21" i="119"/>
  <c r="E22" i="119"/>
  <c r="E23" i="119"/>
  <c r="E24" i="119"/>
  <c r="E25" i="119"/>
  <c r="E26" i="119"/>
  <c r="E27" i="119"/>
  <c r="E28" i="119"/>
  <c r="E29" i="119"/>
  <c r="E30" i="119"/>
  <c r="E4" i="119"/>
  <c r="S6" i="51"/>
  <c r="S7" i="51"/>
  <c r="S8" i="51"/>
  <c r="S9" i="51"/>
  <c r="S10" i="51"/>
  <c r="S11" i="51"/>
  <c r="S12" i="51"/>
  <c r="S13" i="51"/>
  <c r="S14" i="51"/>
  <c r="S15" i="51"/>
  <c r="S16" i="51"/>
  <c r="S17" i="51"/>
  <c r="S18" i="51"/>
  <c r="S19" i="51"/>
  <c r="S20" i="51"/>
  <c r="S21" i="51"/>
  <c r="S22" i="51"/>
  <c r="S23" i="51"/>
  <c r="S24" i="51"/>
  <c r="S25" i="51"/>
  <c r="S26" i="51"/>
  <c r="S27" i="51"/>
  <c r="S28" i="51"/>
  <c r="S29" i="51"/>
  <c r="S30" i="51"/>
  <c r="S31" i="51"/>
  <c r="S32" i="51"/>
  <c r="S33" i="51"/>
  <c r="S34" i="51"/>
  <c r="S35" i="51"/>
  <c r="S36" i="51"/>
  <c r="S37" i="51"/>
  <c r="S38" i="51"/>
  <c r="S39" i="51"/>
  <c r="S40" i="51"/>
  <c r="S41" i="51"/>
  <c r="S42" i="51"/>
  <c r="S43" i="51"/>
  <c r="S44" i="51"/>
  <c r="S45" i="51"/>
  <c r="S46" i="51"/>
  <c r="S47" i="51"/>
  <c r="S48" i="51"/>
  <c r="S49" i="51"/>
  <c r="S50" i="51"/>
  <c r="S51" i="51"/>
  <c r="S52" i="51"/>
  <c r="S53" i="51"/>
  <c r="S54" i="51"/>
  <c r="S55" i="51"/>
  <c r="S56" i="51"/>
  <c r="S57" i="51"/>
  <c r="S58" i="51"/>
  <c r="S59" i="51"/>
  <c r="S60" i="51"/>
  <c r="S61" i="51"/>
  <c r="S62" i="51"/>
  <c r="S63" i="51"/>
  <c r="S64" i="51"/>
  <c r="S65" i="51"/>
  <c r="S66" i="51"/>
  <c r="S67" i="51"/>
  <c r="S68" i="51"/>
  <c r="S69" i="51"/>
  <c r="S70" i="51"/>
  <c r="S71" i="51"/>
  <c r="S72" i="51"/>
  <c r="S73" i="51"/>
  <c r="S74" i="51"/>
  <c r="S75" i="51"/>
  <c r="S76" i="51"/>
  <c r="S77" i="51"/>
  <c r="S78" i="51"/>
  <c r="S79" i="51"/>
  <c r="S80" i="51"/>
  <c r="S81" i="51"/>
  <c r="S82" i="51"/>
  <c r="S83" i="51"/>
  <c r="S84" i="51"/>
  <c r="S85" i="51"/>
  <c r="S86" i="51"/>
  <c r="S87" i="51"/>
  <c r="S88" i="51"/>
  <c r="S89" i="51"/>
  <c r="S90" i="51"/>
  <c r="S91" i="51"/>
  <c r="S92" i="51"/>
  <c r="S93" i="51"/>
  <c r="S94" i="51"/>
  <c r="S95" i="51"/>
  <c r="S96" i="51"/>
  <c r="S97" i="51"/>
  <c r="S98" i="51"/>
  <c r="S99" i="51"/>
  <c r="S100" i="51"/>
  <c r="S101" i="51"/>
  <c r="S102" i="51"/>
  <c r="S103" i="51"/>
  <c r="S104" i="51"/>
  <c r="S105" i="51"/>
  <c r="S106" i="51"/>
  <c r="S107" i="51"/>
  <c r="S108" i="51"/>
  <c r="S109" i="51"/>
  <c r="S110" i="51"/>
  <c r="S111" i="51"/>
  <c r="S112" i="51"/>
  <c r="S113" i="51"/>
  <c r="S114" i="51"/>
  <c r="S115" i="51"/>
  <c r="S116" i="51"/>
  <c r="S117" i="51"/>
  <c r="S118" i="51"/>
  <c r="S119" i="51"/>
  <c r="S120" i="51"/>
  <c r="S121" i="51"/>
  <c r="S122" i="51"/>
  <c r="S123" i="51"/>
  <c r="S124" i="51"/>
  <c r="S125" i="51"/>
  <c r="S126" i="51"/>
  <c r="S127" i="51"/>
  <c r="S128" i="51"/>
  <c r="S129" i="51"/>
  <c r="S130" i="51"/>
  <c r="S131" i="51"/>
  <c r="S132" i="51"/>
  <c r="S133" i="51"/>
  <c r="S134" i="51"/>
  <c r="S135" i="51"/>
  <c r="S136" i="51"/>
  <c r="S137" i="51"/>
  <c r="S138" i="51"/>
  <c r="S139" i="51"/>
  <c r="S140" i="51"/>
  <c r="S141" i="51"/>
  <c r="S142" i="51"/>
  <c r="S143" i="51"/>
  <c r="S5" i="51"/>
  <c r="K195" i="33" l="1"/>
  <c r="K194" i="33"/>
  <c r="K193" i="33"/>
  <c r="K192" i="33"/>
  <c r="K191" i="33"/>
  <c r="K190" i="33"/>
  <c r="K189" i="33"/>
  <c r="K188" i="33"/>
  <c r="K187" i="33"/>
  <c r="K186" i="33"/>
  <c r="K185" i="33"/>
  <c r="K184" i="33"/>
  <c r="K183" i="33"/>
  <c r="K182" i="33"/>
  <c r="K181" i="33"/>
  <c r="K180" i="33"/>
  <c r="K179" i="33"/>
  <c r="K178" i="33"/>
  <c r="K177" i="33"/>
  <c r="K176" i="33"/>
  <c r="K175" i="33"/>
  <c r="K174" i="33"/>
  <c r="K173" i="33"/>
  <c r="K172" i="33"/>
  <c r="K171" i="33"/>
  <c r="K170" i="33"/>
  <c r="K169" i="33"/>
  <c r="K168" i="33"/>
  <c r="K167" i="33"/>
  <c r="K166" i="33"/>
  <c r="K165" i="33"/>
  <c r="K164" i="33"/>
  <c r="K163" i="33"/>
  <c r="K162" i="33"/>
  <c r="R162" i="33" s="1"/>
  <c r="K161" i="33"/>
  <c r="R161" i="33" s="1"/>
  <c r="K160" i="33"/>
  <c r="K159" i="33"/>
  <c r="K205" i="33"/>
  <c r="K204" i="33"/>
  <c r="K203" i="33"/>
  <c r="K202" i="33"/>
  <c r="K201" i="33"/>
  <c r="K200" i="33"/>
  <c r="K199" i="33"/>
  <c r="K198" i="33"/>
  <c r="K197" i="33"/>
  <c r="K196" i="33"/>
  <c r="B183" i="33" l="1"/>
  <c r="B184" i="33"/>
  <c r="O184" i="33" s="1"/>
  <c r="B185" i="33"/>
  <c r="O185" i="33" s="1"/>
  <c r="B186" i="33"/>
  <c r="O186" i="33" s="1"/>
  <c r="B187" i="33"/>
  <c r="O187" i="33" s="1"/>
  <c r="B188" i="33"/>
  <c r="O188" i="33" s="1"/>
  <c r="B189" i="33"/>
  <c r="O189" i="33" s="1"/>
  <c r="B190" i="33"/>
  <c r="O190" i="33" s="1"/>
  <c r="B191" i="33"/>
  <c r="O191" i="33" s="1"/>
  <c r="B192" i="33"/>
  <c r="O192" i="33" s="1"/>
  <c r="B193" i="33"/>
  <c r="O193" i="33" s="1"/>
  <c r="B194" i="33"/>
  <c r="O194" i="33" s="1"/>
  <c r="B195" i="33"/>
  <c r="O195" i="33" s="1"/>
  <c r="B196" i="33"/>
  <c r="O196" i="33" s="1"/>
  <c r="B197" i="33"/>
  <c r="O197" i="33" s="1"/>
  <c r="B198" i="33"/>
  <c r="O198" i="33" s="1"/>
  <c r="B199" i="33"/>
  <c r="O199" i="33" s="1"/>
  <c r="B200" i="33"/>
  <c r="O200" i="33" s="1"/>
  <c r="B201" i="33"/>
  <c r="O201" i="33" s="1"/>
  <c r="B202" i="33"/>
  <c r="O202" i="33" s="1"/>
  <c r="B203" i="33"/>
  <c r="O203" i="33" s="1"/>
  <c r="B204" i="33"/>
  <c r="O204" i="33" s="1"/>
  <c r="B205" i="33"/>
  <c r="O205" i="33" s="1"/>
  <c r="A183" i="33" l="1"/>
  <c r="E183" i="33" s="1"/>
  <c r="O183" i="33"/>
  <c r="A197" i="33"/>
  <c r="E197" i="33" s="1"/>
  <c r="I197" i="33"/>
  <c r="P197" i="33"/>
  <c r="M197" i="33"/>
  <c r="F197" i="33"/>
  <c r="J197" i="33"/>
  <c r="R197" i="33"/>
  <c r="L197" i="33"/>
  <c r="A203" i="33"/>
  <c r="E203" i="33" s="1"/>
  <c r="R203" i="33"/>
  <c r="L203" i="33"/>
  <c r="M203" i="33"/>
  <c r="P203" i="33"/>
  <c r="J203" i="33"/>
  <c r="F203" i="33"/>
  <c r="I203" i="33"/>
  <c r="A195" i="33"/>
  <c r="E195" i="33" s="1"/>
  <c r="R195" i="33"/>
  <c r="L195" i="33"/>
  <c r="M195" i="33"/>
  <c r="P195" i="33"/>
  <c r="J195" i="33"/>
  <c r="F195" i="33"/>
  <c r="I195" i="33"/>
  <c r="A191" i="33"/>
  <c r="E191" i="33" s="1"/>
  <c r="R191" i="33"/>
  <c r="L191" i="33"/>
  <c r="F191" i="33"/>
  <c r="P191" i="33"/>
  <c r="J191" i="33"/>
  <c r="M191" i="33"/>
  <c r="I191" i="33"/>
  <c r="A202" i="33"/>
  <c r="E202" i="33" s="1"/>
  <c r="M202" i="33"/>
  <c r="F202" i="33"/>
  <c r="R202" i="33"/>
  <c r="L202" i="33"/>
  <c r="I202" i="33"/>
  <c r="P202" i="33"/>
  <c r="J202" i="33"/>
  <c r="A198" i="33"/>
  <c r="E198" i="33" s="1"/>
  <c r="M198" i="33"/>
  <c r="F198" i="33"/>
  <c r="R198" i="33"/>
  <c r="L198" i="33"/>
  <c r="I198" i="33"/>
  <c r="P198" i="33"/>
  <c r="J198" i="33"/>
  <c r="A194" i="33"/>
  <c r="E194" i="33" s="1"/>
  <c r="M194" i="33"/>
  <c r="F194" i="33"/>
  <c r="R194" i="33"/>
  <c r="L194" i="33"/>
  <c r="I194" i="33"/>
  <c r="P194" i="33"/>
  <c r="J194" i="33"/>
  <c r="A190" i="33"/>
  <c r="E190" i="33" s="1"/>
  <c r="M190" i="33"/>
  <c r="F190" i="33"/>
  <c r="I190" i="33"/>
  <c r="R190" i="33"/>
  <c r="L190" i="33"/>
  <c r="P190" i="33"/>
  <c r="J190" i="33"/>
  <c r="A186" i="33"/>
  <c r="E186" i="33" s="1"/>
  <c r="M186" i="33"/>
  <c r="F186" i="33"/>
  <c r="R186" i="33"/>
  <c r="L186" i="33"/>
  <c r="I186" i="33"/>
  <c r="P186" i="33"/>
  <c r="J186" i="33"/>
  <c r="A205" i="33"/>
  <c r="E205" i="33" s="1"/>
  <c r="M205" i="33"/>
  <c r="I205" i="33"/>
  <c r="F205" i="33"/>
  <c r="R205" i="33"/>
  <c r="L205" i="33"/>
  <c r="P205" i="33"/>
  <c r="J205" i="33"/>
  <c r="A193" i="33"/>
  <c r="E193" i="33" s="1"/>
  <c r="I193" i="33"/>
  <c r="P193" i="33"/>
  <c r="M193" i="33"/>
  <c r="F193" i="33"/>
  <c r="J193" i="33"/>
  <c r="R193" i="33"/>
  <c r="L193" i="33"/>
  <c r="A189" i="33"/>
  <c r="E189" i="33" s="1"/>
  <c r="I189" i="33"/>
  <c r="J189" i="33"/>
  <c r="M189" i="33"/>
  <c r="F189" i="33"/>
  <c r="P189" i="33"/>
  <c r="R189" i="33"/>
  <c r="L189" i="33"/>
  <c r="A185" i="33"/>
  <c r="E185" i="33" s="1"/>
  <c r="I185" i="33"/>
  <c r="P185" i="33"/>
  <c r="M185" i="33"/>
  <c r="F185" i="33"/>
  <c r="J185" i="33"/>
  <c r="R185" i="33"/>
  <c r="L185" i="33"/>
  <c r="A204" i="33"/>
  <c r="E204" i="33" s="1"/>
  <c r="P204" i="33"/>
  <c r="J204" i="33"/>
  <c r="L204" i="33"/>
  <c r="I204" i="33"/>
  <c r="R204" i="33"/>
  <c r="M204" i="33"/>
  <c r="F204" i="33"/>
  <c r="A200" i="33"/>
  <c r="E200" i="33" s="1"/>
  <c r="P200" i="33"/>
  <c r="J200" i="33"/>
  <c r="R200" i="33"/>
  <c r="I200" i="33"/>
  <c r="L200" i="33"/>
  <c r="M200" i="33"/>
  <c r="F200" i="33"/>
  <c r="A196" i="33"/>
  <c r="E196" i="33" s="1"/>
  <c r="P196" i="33"/>
  <c r="J196" i="33"/>
  <c r="R196" i="33"/>
  <c r="I196" i="33"/>
  <c r="L196" i="33"/>
  <c r="M196" i="33"/>
  <c r="F196" i="33"/>
  <c r="A192" i="33"/>
  <c r="E192" i="33" s="1"/>
  <c r="P192" i="33"/>
  <c r="J192" i="33"/>
  <c r="R192" i="33"/>
  <c r="I192" i="33"/>
  <c r="L192" i="33"/>
  <c r="M192" i="33"/>
  <c r="F192" i="33"/>
  <c r="A188" i="33"/>
  <c r="E188" i="33" s="1"/>
  <c r="P188" i="33"/>
  <c r="J188" i="33"/>
  <c r="L188" i="33"/>
  <c r="I188" i="33"/>
  <c r="R188" i="33"/>
  <c r="M188" i="33"/>
  <c r="F188" i="33"/>
  <c r="A184" i="33"/>
  <c r="E184" i="33" s="1"/>
  <c r="P184" i="33"/>
  <c r="J184" i="33"/>
  <c r="R184" i="33"/>
  <c r="I184" i="33"/>
  <c r="L184" i="33"/>
  <c r="M184" i="33"/>
  <c r="F184" i="33"/>
  <c r="A201" i="33"/>
  <c r="E201" i="33" s="1"/>
  <c r="I201" i="33"/>
  <c r="P201" i="33"/>
  <c r="M201" i="33"/>
  <c r="F201" i="33"/>
  <c r="J201" i="33"/>
  <c r="R201" i="33"/>
  <c r="L201" i="33"/>
  <c r="A199" i="33"/>
  <c r="E199" i="33" s="1"/>
  <c r="R199" i="33"/>
  <c r="L199" i="33"/>
  <c r="M199" i="33"/>
  <c r="P199" i="33"/>
  <c r="J199" i="33"/>
  <c r="F199" i="33"/>
  <c r="I199" i="33"/>
  <c r="A187" i="33"/>
  <c r="E187" i="33" s="1"/>
  <c r="R187" i="33"/>
  <c r="L187" i="33"/>
  <c r="M187" i="33"/>
  <c r="P187" i="33"/>
  <c r="J187" i="33"/>
  <c r="F187" i="33"/>
  <c r="I187" i="33"/>
  <c r="P183" i="33"/>
  <c r="J183" i="33"/>
  <c r="I183" i="33"/>
  <c r="F183" i="33"/>
  <c r="R183" i="33"/>
  <c r="M183" i="33"/>
  <c r="L183" i="33"/>
  <c r="Q192" i="33"/>
  <c r="Q188" i="33"/>
  <c r="Q203" i="33"/>
  <c r="Q204" i="33"/>
  <c r="Q200" i="33"/>
  <c r="Q196" i="33"/>
  <c r="Q184" i="33"/>
  <c r="Q187" i="33"/>
  <c r="Q195" i="33"/>
  <c r="Q198" i="33"/>
  <c r="Q190" i="33"/>
  <c r="Q202" i="33"/>
  <c r="Q199" i="33"/>
  <c r="Q194" i="33"/>
  <c r="Q191" i="33"/>
  <c r="Q183" i="33"/>
  <c r="Q186" i="33"/>
  <c r="Q205" i="33"/>
  <c r="Q201" i="33"/>
  <c r="Q197" i="33"/>
  <c r="Q193" i="33"/>
  <c r="Q189" i="33"/>
  <c r="Q185" i="33"/>
  <c r="G4" i="88" l="1"/>
  <c r="I4" i="88" s="1"/>
  <c r="D1" i="115" l="1"/>
  <c r="D11" i="23" l="1"/>
  <c r="F44" i="23" l="1"/>
  <c r="A4" i="46" l="1"/>
  <c r="H9" i="99" l="1"/>
  <c r="H10" i="99"/>
  <c r="H11" i="99"/>
  <c r="H12" i="99"/>
  <c r="H13" i="99"/>
  <c r="H14" i="99"/>
  <c r="H15" i="99"/>
  <c r="H16" i="99"/>
  <c r="H17" i="99"/>
  <c r="H18" i="99"/>
  <c r="H19" i="99"/>
  <c r="H20" i="99"/>
  <c r="H21" i="99"/>
  <c r="H22" i="99"/>
  <c r="H23" i="99"/>
  <c r="H24" i="99"/>
  <c r="H25" i="99"/>
  <c r="H26" i="99"/>
  <c r="H27" i="99"/>
  <c r="H28" i="99"/>
  <c r="H29" i="99"/>
  <c r="H30" i="99"/>
  <c r="H31" i="99"/>
  <c r="H32" i="99"/>
  <c r="H33" i="99"/>
  <c r="H34" i="99"/>
  <c r="H35" i="99"/>
  <c r="H36" i="99"/>
  <c r="H37" i="99"/>
  <c r="H38" i="99"/>
  <c r="H39" i="99"/>
  <c r="H40" i="99"/>
  <c r="H41" i="99"/>
  <c r="H42" i="99"/>
  <c r="H43" i="99"/>
  <c r="H44" i="99"/>
  <c r="H45" i="99"/>
  <c r="H46" i="99"/>
  <c r="H47" i="99"/>
  <c r="H48" i="99"/>
  <c r="H49" i="99"/>
  <c r="H50" i="99"/>
  <c r="H8" i="99"/>
  <c r="D42" i="53" l="1"/>
  <c r="E42" i="53"/>
  <c r="F42" i="53"/>
  <c r="G42" i="53"/>
  <c r="H42" i="53"/>
  <c r="I42" i="53"/>
  <c r="J42" i="53"/>
  <c r="K42" i="53"/>
  <c r="L42" i="53"/>
  <c r="C42" i="53"/>
  <c r="B1" i="53"/>
  <c r="E18" i="53" l="1"/>
  <c r="D51" i="53"/>
  <c r="E51" i="53"/>
  <c r="F51" i="53"/>
  <c r="G51" i="53"/>
  <c r="H51" i="53"/>
  <c r="I51" i="53"/>
  <c r="J51" i="53"/>
  <c r="K51" i="53"/>
  <c r="L51" i="53"/>
  <c r="C51" i="53"/>
  <c r="B1" i="119" l="1"/>
  <c r="D5" i="46" s="1"/>
  <c r="B9" i="98" l="1"/>
  <c r="C9" i="98"/>
  <c r="D9" i="98"/>
  <c r="E9" i="98"/>
  <c r="B10" i="98"/>
  <c r="C10" i="98"/>
  <c r="D10" i="98"/>
  <c r="E10" i="98"/>
  <c r="B11" i="98"/>
  <c r="C11" i="98"/>
  <c r="D11" i="98"/>
  <c r="E11" i="98"/>
  <c r="B12" i="98"/>
  <c r="C12" i="98"/>
  <c r="D12" i="98"/>
  <c r="E12" i="98"/>
  <c r="B5" i="98" l="1"/>
  <c r="B6" i="98"/>
  <c r="G17" i="99" l="1"/>
  <c r="G18" i="99"/>
  <c r="G19" i="99"/>
  <c r="G20" i="99"/>
  <c r="G21" i="99"/>
  <c r="G22" i="99"/>
  <c r="G23" i="99"/>
  <c r="G24" i="99"/>
  <c r="G25" i="99"/>
  <c r="G26" i="99"/>
  <c r="G27" i="99"/>
  <c r="G28" i="99"/>
  <c r="G29" i="99"/>
  <c r="G30" i="99"/>
  <c r="G31" i="99"/>
  <c r="G32" i="99"/>
  <c r="G33" i="99"/>
  <c r="G34" i="99"/>
  <c r="G35" i="99"/>
  <c r="G36" i="99"/>
  <c r="G37" i="99"/>
  <c r="G38" i="99"/>
  <c r="G39" i="99"/>
  <c r="G40" i="99"/>
  <c r="G41" i="99"/>
  <c r="G42" i="99"/>
  <c r="G43" i="99"/>
  <c r="G44" i="99"/>
  <c r="G45" i="99"/>
  <c r="G46" i="99"/>
  <c r="G47" i="99"/>
  <c r="G48" i="99"/>
  <c r="G49" i="99"/>
  <c r="G50" i="99"/>
  <c r="D6" i="46" l="1"/>
  <c r="D6" i="99" l="1"/>
  <c r="B50" i="17" l="1"/>
  <c r="P50" i="17" s="1"/>
  <c r="B51" i="17"/>
  <c r="P51" i="17" s="1"/>
  <c r="B52" i="17"/>
  <c r="P52" i="17" s="1"/>
  <c r="B53" i="17"/>
  <c r="P53" i="17" s="1"/>
  <c r="B54" i="17"/>
  <c r="P54" i="17" s="1"/>
  <c r="B55" i="17"/>
  <c r="P55" i="17" s="1"/>
  <c r="B56" i="17"/>
  <c r="P56" i="17" s="1"/>
  <c r="B57" i="17"/>
  <c r="P57" i="17" s="1"/>
  <c r="B58" i="17"/>
  <c r="P58" i="17" s="1"/>
  <c r="B59" i="17"/>
  <c r="P59" i="17" s="1"/>
  <c r="B60" i="17"/>
  <c r="P60" i="17" s="1"/>
  <c r="B61" i="17"/>
  <c r="P61" i="17" s="1"/>
  <c r="B62" i="17"/>
  <c r="P62" i="17" s="1"/>
  <c r="B63" i="17"/>
  <c r="P63" i="17" s="1"/>
  <c r="B64" i="17"/>
  <c r="P64" i="17" s="1"/>
  <c r="B65" i="17"/>
  <c r="P65" i="17" s="1"/>
  <c r="B66" i="17"/>
  <c r="P66" i="17" s="1"/>
  <c r="B67" i="17"/>
  <c r="P67" i="17" s="1"/>
  <c r="B68" i="17"/>
  <c r="P68" i="17" s="1"/>
  <c r="B69" i="17"/>
  <c r="P69" i="17" s="1"/>
  <c r="B70" i="17"/>
  <c r="P70" i="17" s="1"/>
  <c r="B71" i="17"/>
  <c r="P71" i="17" s="1"/>
  <c r="B72" i="17"/>
  <c r="P72" i="17" s="1"/>
  <c r="B73" i="17"/>
  <c r="P73" i="17" s="1"/>
  <c r="B74" i="17"/>
  <c r="P74" i="17" s="1"/>
  <c r="B75" i="17"/>
  <c r="P75" i="17" s="1"/>
  <c r="B76" i="17"/>
  <c r="P76" i="17" s="1"/>
  <c r="B77" i="17"/>
  <c r="P77" i="17" s="1"/>
  <c r="B78" i="17"/>
  <c r="P78" i="17" s="1"/>
  <c r="B79" i="17"/>
  <c r="P79" i="17" s="1"/>
  <c r="B80" i="17"/>
  <c r="P80" i="17" s="1"/>
  <c r="B81" i="17"/>
  <c r="P81" i="17" s="1"/>
  <c r="B82" i="17"/>
  <c r="P82" i="17" s="1"/>
  <c r="B83" i="17"/>
  <c r="P83" i="17" s="1"/>
  <c r="B84" i="17"/>
  <c r="P84" i="17" s="1"/>
  <c r="B85" i="17"/>
  <c r="P85" i="17" s="1"/>
  <c r="B86" i="17"/>
  <c r="P86" i="17" s="1"/>
  <c r="B87" i="17"/>
  <c r="P87" i="17" s="1"/>
  <c r="B88" i="17"/>
  <c r="P88" i="17" s="1"/>
  <c r="B89" i="17"/>
  <c r="P89" i="17" s="1"/>
  <c r="B90" i="17"/>
  <c r="P90" i="17" s="1"/>
  <c r="B91" i="17"/>
  <c r="P91" i="17" s="1"/>
  <c r="B92" i="17"/>
  <c r="P92" i="17" s="1"/>
  <c r="B93" i="17"/>
  <c r="P93" i="17" s="1"/>
  <c r="B94" i="17"/>
  <c r="P94" i="17" s="1"/>
  <c r="B95" i="17"/>
  <c r="P95" i="17" s="1"/>
  <c r="B96" i="17"/>
  <c r="P96" i="17" s="1"/>
  <c r="B97" i="17"/>
  <c r="P97" i="17" s="1"/>
  <c r="B98" i="17"/>
  <c r="P98" i="17" s="1"/>
  <c r="B99" i="17"/>
  <c r="P99" i="17" s="1"/>
  <c r="B100" i="17"/>
  <c r="P100" i="17" s="1"/>
  <c r="B101" i="17"/>
  <c r="P101" i="17" s="1"/>
  <c r="B102" i="17"/>
  <c r="P102" i="17" s="1"/>
  <c r="L99" i="17" l="1"/>
  <c r="J99" i="17"/>
  <c r="AH99" i="17"/>
  <c r="AQ99" i="17"/>
  <c r="N99" i="17"/>
  <c r="L95" i="17"/>
  <c r="AQ95" i="17"/>
  <c r="N95" i="17"/>
  <c r="AH95" i="17"/>
  <c r="J95" i="17"/>
  <c r="L91" i="17"/>
  <c r="AH91" i="17"/>
  <c r="J91" i="17"/>
  <c r="AQ91" i="17"/>
  <c r="N91" i="17"/>
  <c r="L87" i="17"/>
  <c r="N87" i="17"/>
  <c r="AQ87" i="17"/>
  <c r="AH87" i="17"/>
  <c r="J87" i="17"/>
  <c r="L83" i="17"/>
  <c r="J83" i="17"/>
  <c r="AH83" i="17"/>
  <c r="N83" i="17"/>
  <c r="AQ83" i="17"/>
  <c r="L79" i="17"/>
  <c r="AQ79" i="17"/>
  <c r="N79" i="17"/>
  <c r="J79" i="17"/>
  <c r="AH79" i="17"/>
  <c r="L75" i="17"/>
  <c r="AH75" i="17"/>
  <c r="J75" i="17"/>
  <c r="AQ75" i="17"/>
  <c r="N75" i="17"/>
  <c r="L71" i="17"/>
  <c r="N71" i="17"/>
  <c r="AQ71" i="17"/>
  <c r="AH71" i="17"/>
  <c r="J71" i="17"/>
  <c r="L67" i="17"/>
  <c r="J67" i="17"/>
  <c r="AH67" i="17"/>
  <c r="N67" i="17"/>
  <c r="AQ67" i="17"/>
  <c r="L63" i="17"/>
  <c r="AQ63" i="17"/>
  <c r="N63" i="17"/>
  <c r="J63" i="17"/>
  <c r="AH63" i="17"/>
  <c r="L59" i="17"/>
  <c r="AH59" i="17"/>
  <c r="J59" i="17"/>
  <c r="AQ59" i="17"/>
  <c r="N59" i="17"/>
  <c r="L55" i="17"/>
  <c r="N55" i="17"/>
  <c r="AQ55" i="17"/>
  <c r="AH55" i="17"/>
  <c r="J55" i="17"/>
  <c r="L51" i="17"/>
  <c r="J51" i="17"/>
  <c r="AH51" i="17"/>
  <c r="N51" i="17"/>
  <c r="AQ51" i="17"/>
  <c r="AH102" i="17"/>
  <c r="N102" i="17"/>
  <c r="AQ102" i="17"/>
  <c r="L102" i="17"/>
  <c r="J102" i="17"/>
  <c r="N98" i="17"/>
  <c r="J98" i="17"/>
  <c r="AH98" i="17"/>
  <c r="L98" i="17"/>
  <c r="AQ98" i="17"/>
  <c r="N94" i="17"/>
  <c r="AQ94" i="17"/>
  <c r="L94" i="17"/>
  <c r="J94" i="17"/>
  <c r="AH94" i="17"/>
  <c r="N90" i="17"/>
  <c r="AH90" i="17"/>
  <c r="J90" i="17"/>
  <c r="AQ90" i="17"/>
  <c r="L90" i="17"/>
  <c r="N86" i="17"/>
  <c r="L86" i="17"/>
  <c r="AQ86" i="17"/>
  <c r="AH86" i="17"/>
  <c r="J86" i="17"/>
  <c r="N82" i="17"/>
  <c r="J82" i="17"/>
  <c r="AH82" i="17"/>
  <c r="L82" i="17"/>
  <c r="AQ82" i="17"/>
  <c r="N78" i="17"/>
  <c r="AQ78" i="17"/>
  <c r="L78" i="17"/>
  <c r="J78" i="17"/>
  <c r="AH78" i="17"/>
  <c r="N74" i="17"/>
  <c r="AH74" i="17"/>
  <c r="J74" i="17"/>
  <c r="AQ74" i="17"/>
  <c r="L74" i="17"/>
  <c r="N70" i="17"/>
  <c r="L70" i="17"/>
  <c r="AQ70" i="17"/>
  <c r="AH70" i="17"/>
  <c r="J70" i="17"/>
  <c r="N66" i="17"/>
  <c r="J66" i="17"/>
  <c r="AH66" i="17"/>
  <c r="L66" i="17"/>
  <c r="AQ66" i="17"/>
  <c r="N62" i="17"/>
  <c r="AQ62" i="17"/>
  <c r="L62" i="17"/>
  <c r="J62" i="17"/>
  <c r="AH62" i="17"/>
  <c r="N58" i="17"/>
  <c r="AH58" i="17"/>
  <c r="J58" i="17"/>
  <c r="AQ58" i="17"/>
  <c r="L58" i="17"/>
  <c r="N54" i="17"/>
  <c r="L54" i="17"/>
  <c r="AQ54" i="17"/>
  <c r="AH54" i="17"/>
  <c r="J54" i="17"/>
  <c r="N50" i="17"/>
  <c r="J50" i="17"/>
  <c r="AH50" i="17"/>
  <c r="L50" i="17"/>
  <c r="AQ50" i="17"/>
  <c r="AH101" i="17"/>
  <c r="L101" i="17"/>
  <c r="AQ101" i="17"/>
  <c r="N101" i="17"/>
  <c r="J101" i="17"/>
  <c r="AH97" i="17"/>
  <c r="J97" i="17"/>
  <c r="N97" i="17"/>
  <c r="L97" i="17"/>
  <c r="AQ97" i="17"/>
  <c r="AH93" i="17"/>
  <c r="AQ93" i="17"/>
  <c r="L93" i="17"/>
  <c r="J93" i="17"/>
  <c r="N93" i="17"/>
  <c r="AH89" i="17"/>
  <c r="N89" i="17"/>
  <c r="J89" i="17"/>
  <c r="AQ89" i="17"/>
  <c r="L89" i="17"/>
  <c r="AH85" i="17"/>
  <c r="L85" i="17"/>
  <c r="AQ85" i="17"/>
  <c r="N85" i="17"/>
  <c r="J85" i="17"/>
  <c r="AH81" i="17"/>
  <c r="J81" i="17"/>
  <c r="N81" i="17"/>
  <c r="L81" i="17"/>
  <c r="AQ81" i="17"/>
  <c r="AH77" i="17"/>
  <c r="AQ77" i="17"/>
  <c r="L77" i="17"/>
  <c r="J77" i="17"/>
  <c r="N77" i="17"/>
  <c r="AH73" i="17"/>
  <c r="N73" i="17"/>
  <c r="J73" i="17"/>
  <c r="AQ73" i="17"/>
  <c r="L73" i="17"/>
  <c r="AH69" i="17"/>
  <c r="L69" i="17"/>
  <c r="AQ69" i="17"/>
  <c r="N69" i="17"/>
  <c r="J69" i="17"/>
  <c r="AH65" i="17"/>
  <c r="J65" i="17"/>
  <c r="N65" i="17"/>
  <c r="AQ65" i="17"/>
  <c r="L65" i="17"/>
  <c r="AH61" i="17"/>
  <c r="AQ61" i="17"/>
  <c r="L61" i="17"/>
  <c r="N61" i="17"/>
  <c r="J61" i="17"/>
  <c r="AH57" i="17"/>
  <c r="N57" i="17"/>
  <c r="J57" i="17"/>
  <c r="AQ57" i="17"/>
  <c r="L57" i="17"/>
  <c r="AH53" i="17"/>
  <c r="L53" i="17"/>
  <c r="AQ53" i="17"/>
  <c r="N53" i="17"/>
  <c r="J53" i="17"/>
  <c r="AQ100" i="17"/>
  <c r="J100" i="17"/>
  <c r="L100" i="17"/>
  <c r="AH100" i="17"/>
  <c r="N100" i="17"/>
  <c r="AQ96" i="17"/>
  <c r="J96" i="17"/>
  <c r="N96" i="17"/>
  <c r="L96" i="17"/>
  <c r="AH96" i="17"/>
  <c r="AQ92" i="17"/>
  <c r="J92" i="17"/>
  <c r="AH92" i="17"/>
  <c r="L92" i="17"/>
  <c r="N92" i="17"/>
  <c r="AQ88" i="17"/>
  <c r="J88" i="17"/>
  <c r="N88" i="17"/>
  <c r="AH88" i="17"/>
  <c r="L88" i="17"/>
  <c r="AQ84" i="17"/>
  <c r="J84" i="17"/>
  <c r="L84" i="17"/>
  <c r="AH84" i="17"/>
  <c r="N84" i="17"/>
  <c r="AQ80" i="17"/>
  <c r="J80" i="17"/>
  <c r="N80" i="17"/>
  <c r="AH80" i="17"/>
  <c r="L80" i="17"/>
  <c r="AQ76" i="17"/>
  <c r="J76" i="17"/>
  <c r="AH76" i="17"/>
  <c r="L76" i="17"/>
  <c r="N76" i="17"/>
  <c r="AQ72" i="17"/>
  <c r="J72" i="17"/>
  <c r="N72" i="17"/>
  <c r="AH72" i="17"/>
  <c r="L72" i="17"/>
  <c r="AQ68" i="17"/>
  <c r="J68" i="17"/>
  <c r="L68" i="17"/>
  <c r="AH68" i="17"/>
  <c r="N68" i="17"/>
  <c r="AQ64" i="17"/>
  <c r="J64" i="17"/>
  <c r="N64" i="17"/>
  <c r="L64" i="17"/>
  <c r="AH64" i="17"/>
  <c r="AQ60" i="17"/>
  <c r="J60" i="17"/>
  <c r="AH60" i="17"/>
  <c r="L60" i="17"/>
  <c r="N60" i="17"/>
  <c r="AQ56" i="17"/>
  <c r="J56" i="17"/>
  <c r="N56" i="17"/>
  <c r="AH56" i="17"/>
  <c r="L56" i="17"/>
  <c r="AQ52" i="17"/>
  <c r="J52" i="17"/>
  <c r="L52" i="17"/>
  <c r="AH52" i="17"/>
  <c r="N52" i="17"/>
  <c r="T99" i="17"/>
  <c r="S99" i="17"/>
  <c r="T95" i="17"/>
  <c r="S95" i="17"/>
  <c r="T91" i="17"/>
  <c r="S91" i="17"/>
  <c r="T87" i="17"/>
  <c r="S87" i="17"/>
  <c r="T83" i="17"/>
  <c r="S83" i="17"/>
  <c r="T79" i="17"/>
  <c r="S79" i="17"/>
  <c r="T75" i="17"/>
  <c r="S75" i="17"/>
  <c r="T71" i="17"/>
  <c r="S71" i="17"/>
  <c r="T67" i="17"/>
  <c r="S67" i="17"/>
  <c r="T63" i="17"/>
  <c r="S63" i="17"/>
  <c r="T59" i="17"/>
  <c r="S59" i="17"/>
  <c r="T55" i="17"/>
  <c r="S55" i="17"/>
  <c r="T51" i="17"/>
  <c r="S51" i="17"/>
  <c r="T102" i="17"/>
  <c r="S102" i="17"/>
  <c r="T98" i="17"/>
  <c r="S98" i="17"/>
  <c r="T94" i="17"/>
  <c r="S94" i="17"/>
  <c r="T90" i="17"/>
  <c r="S90" i="17"/>
  <c r="T86" i="17"/>
  <c r="S86" i="17"/>
  <c r="T82" i="17"/>
  <c r="S82" i="17"/>
  <c r="T78" i="17"/>
  <c r="S78" i="17"/>
  <c r="T74" i="17"/>
  <c r="S74" i="17"/>
  <c r="T70" i="17"/>
  <c r="S70" i="17"/>
  <c r="T66" i="17"/>
  <c r="S66" i="17"/>
  <c r="T62" i="17"/>
  <c r="S62" i="17"/>
  <c r="T58" i="17"/>
  <c r="S58" i="17"/>
  <c r="T54" i="17"/>
  <c r="S54" i="17"/>
  <c r="T50" i="17"/>
  <c r="S50" i="17"/>
  <c r="T101" i="17"/>
  <c r="S101" i="17"/>
  <c r="T97" i="17"/>
  <c r="S97" i="17"/>
  <c r="T93" i="17"/>
  <c r="S93" i="17"/>
  <c r="T89" i="17"/>
  <c r="S89" i="17"/>
  <c r="T85" i="17"/>
  <c r="S85" i="17"/>
  <c r="T81" i="17"/>
  <c r="S81" i="17"/>
  <c r="T77" i="17"/>
  <c r="S77" i="17"/>
  <c r="T73" i="17"/>
  <c r="S73" i="17"/>
  <c r="T69" i="17"/>
  <c r="S69" i="17"/>
  <c r="T65" i="17"/>
  <c r="S65" i="17"/>
  <c r="T61" i="17"/>
  <c r="S61" i="17"/>
  <c r="T57" i="17"/>
  <c r="S57" i="17"/>
  <c r="T53" i="17"/>
  <c r="S53" i="17"/>
  <c r="T100" i="17"/>
  <c r="S100" i="17"/>
  <c r="T96" i="17"/>
  <c r="S96" i="17"/>
  <c r="T92" i="17"/>
  <c r="S92" i="17"/>
  <c r="T88" i="17"/>
  <c r="S88" i="17"/>
  <c r="T84" i="17"/>
  <c r="S84" i="17"/>
  <c r="T80" i="17"/>
  <c r="S80" i="17"/>
  <c r="T76" i="17"/>
  <c r="S76" i="17"/>
  <c r="T72" i="17"/>
  <c r="S72" i="17"/>
  <c r="T68" i="17"/>
  <c r="S68" i="17"/>
  <c r="T64" i="17"/>
  <c r="S64" i="17"/>
  <c r="T60" i="17"/>
  <c r="S60" i="17"/>
  <c r="T56" i="17"/>
  <c r="S56" i="17"/>
  <c r="T52" i="17"/>
  <c r="S52" i="17"/>
  <c r="Z155" i="14"/>
  <c r="Z154" i="14"/>
  <c r="Z153" i="14"/>
  <c r="Z152" i="14"/>
  <c r="Z151" i="14"/>
  <c r="Z150" i="14"/>
  <c r="Z149" i="14"/>
  <c r="Z148" i="14"/>
  <c r="Z147" i="14"/>
  <c r="Z146" i="14"/>
  <c r="Z145" i="14"/>
  <c r="Z144" i="14"/>
  <c r="Z143" i="14"/>
  <c r="Z142" i="14"/>
  <c r="Z141" i="14"/>
  <c r="Z140" i="14"/>
  <c r="Z139" i="14"/>
  <c r="Z138" i="14"/>
  <c r="Z137" i="14"/>
  <c r="Z136" i="14"/>
  <c r="Z135" i="14"/>
  <c r="Z134" i="14"/>
  <c r="Z133" i="14"/>
  <c r="Z132" i="14"/>
  <c r="Z131" i="14"/>
  <c r="Z130" i="14"/>
  <c r="Z129" i="14"/>
  <c r="Z128" i="14"/>
  <c r="Z127" i="14"/>
  <c r="Z126" i="14"/>
  <c r="Z125" i="14"/>
  <c r="Z124" i="14"/>
  <c r="Z123" i="14"/>
  <c r="Z122" i="14"/>
  <c r="Z121" i="14"/>
  <c r="Z120" i="14"/>
  <c r="Z119" i="14"/>
  <c r="Z118" i="14"/>
  <c r="Z117" i="14"/>
  <c r="Z116" i="14"/>
  <c r="Z115" i="14"/>
  <c r="Z114" i="14"/>
  <c r="Z113" i="14"/>
  <c r="Z112" i="14"/>
  <c r="Z111" i="14"/>
  <c r="Z110" i="14"/>
  <c r="Z109" i="14"/>
  <c r="Z108" i="14"/>
  <c r="Z107" i="14"/>
  <c r="Z106" i="14"/>
  <c r="Z105" i="14"/>
  <c r="Z104" i="14"/>
  <c r="Z103" i="14"/>
  <c r="Z102" i="14"/>
  <c r="Z101" i="14"/>
  <c r="Z100" i="14"/>
  <c r="Z99" i="14"/>
  <c r="Z98" i="14"/>
  <c r="Z97" i="14"/>
  <c r="Z96" i="14"/>
  <c r="Z95" i="14"/>
  <c r="Z94" i="14"/>
  <c r="Z93" i="14"/>
  <c r="Z92" i="14"/>
  <c r="Z91" i="14"/>
  <c r="Z90" i="14"/>
  <c r="Z89" i="14"/>
  <c r="Z88" i="14"/>
  <c r="Z87" i="14"/>
  <c r="Z86" i="14"/>
  <c r="Z85" i="14"/>
  <c r="Z84" i="14"/>
  <c r="Z83" i="14"/>
  <c r="Z82" i="14"/>
  <c r="Z81" i="14"/>
  <c r="Z80" i="14"/>
  <c r="Z79" i="14"/>
  <c r="Z78" i="14"/>
  <c r="Z77" i="14"/>
  <c r="Z76" i="14"/>
  <c r="Z75" i="14"/>
  <c r="Z74" i="14"/>
  <c r="Z73" i="14"/>
  <c r="Z72" i="14"/>
  <c r="Z71" i="14"/>
  <c r="Z70" i="14"/>
  <c r="Z69" i="14"/>
  <c r="Z68" i="14"/>
  <c r="Z67" i="14"/>
  <c r="Z66" i="14"/>
  <c r="Z65" i="14"/>
  <c r="Z64" i="14"/>
  <c r="Z63" i="14"/>
  <c r="Z62" i="14"/>
  <c r="Z61" i="14"/>
  <c r="Z60" i="14"/>
  <c r="Z59" i="14"/>
  <c r="Z58" i="14"/>
  <c r="Z57" i="14"/>
  <c r="Z56" i="14"/>
  <c r="Z55" i="14"/>
  <c r="Z54" i="14"/>
  <c r="Z53" i="14"/>
  <c r="Z52" i="14"/>
  <c r="Z51" i="14"/>
  <c r="Z50" i="14"/>
  <c r="Z49" i="14"/>
  <c r="Z48" i="14"/>
  <c r="Z47" i="14"/>
  <c r="Z46" i="14"/>
  <c r="Z45" i="14"/>
  <c r="Z44" i="14"/>
  <c r="Z43" i="14"/>
  <c r="Z42" i="14"/>
  <c r="Z41" i="14"/>
  <c r="Z40" i="14"/>
  <c r="Z39" i="14"/>
  <c r="Z38" i="14"/>
  <c r="Z37" i="14"/>
  <c r="Z36" i="14"/>
  <c r="Z35" i="14"/>
  <c r="Z34" i="14"/>
  <c r="Z33" i="14"/>
  <c r="Z32" i="14"/>
  <c r="Z31" i="14"/>
  <c r="Z30" i="14"/>
  <c r="Z29" i="14"/>
  <c r="Z28" i="14"/>
  <c r="Z27" i="14"/>
  <c r="Z26" i="14"/>
  <c r="Z25" i="14"/>
  <c r="Z24" i="14"/>
  <c r="Z23" i="14"/>
  <c r="Z22" i="14"/>
  <c r="Z21" i="14"/>
  <c r="Z20" i="14"/>
  <c r="Z19" i="14"/>
  <c r="Z18" i="14"/>
  <c r="Z17" i="14"/>
  <c r="Z16" i="14"/>
  <c r="Z15" i="14"/>
  <c r="Z14" i="14"/>
  <c r="Z13" i="14"/>
  <c r="Z12" i="14"/>
  <c r="Z11" i="14"/>
  <c r="Z10" i="14"/>
  <c r="Z9" i="14"/>
  <c r="Z8" i="14"/>
  <c r="Z7" i="14"/>
  <c r="Z6" i="14"/>
  <c r="S152" i="14"/>
  <c r="S148" i="14"/>
  <c r="S144" i="14"/>
  <c r="S140" i="14"/>
  <c r="S136" i="14"/>
  <c r="S132" i="14"/>
  <c r="S128" i="14"/>
  <c r="S124" i="14"/>
  <c r="S120" i="14"/>
  <c r="S116" i="14"/>
  <c r="S113" i="14"/>
  <c r="S109" i="14"/>
  <c r="S105" i="14"/>
  <c r="S101" i="14"/>
  <c r="S97" i="14"/>
  <c r="S92" i="14"/>
  <c r="S88" i="14"/>
  <c r="S84" i="14"/>
  <c r="S80" i="14"/>
  <c r="S76" i="14"/>
  <c r="S73" i="14"/>
  <c r="S70" i="14"/>
  <c r="S69" i="14"/>
  <c r="S66" i="14"/>
  <c r="S65" i="14"/>
  <c r="S62" i="14"/>
  <c r="S61" i="14"/>
  <c r="S58" i="14"/>
  <c r="S56" i="14"/>
  <c r="S55" i="14"/>
  <c r="S51" i="14"/>
  <c r="S50" i="14"/>
  <c r="S47" i="14"/>
  <c r="S46" i="14"/>
  <c r="S44" i="14"/>
  <c r="S42" i="14"/>
  <c r="S40" i="14"/>
  <c r="S39" i="14"/>
  <c r="S35" i="14"/>
  <c r="S34" i="14"/>
  <c r="S31" i="14"/>
  <c r="S30" i="14"/>
  <c r="Y28" i="14"/>
  <c r="Y20" i="14"/>
  <c r="S15" i="14"/>
  <c r="Y10" i="14"/>
  <c r="S6" i="14"/>
  <c r="AB21" i="14" l="1"/>
  <c r="AB43" i="14"/>
  <c r="AC98" i="14"/>
  <c r="AD98" i="14" s="1"/>
  <c r="AC102" i="14"/>
  <c r="AD102" i="14" s="1"/>
  <c r="AC106" i="14"/>
  <c r="AD106" i="14" s="1"/>
  <c r="AC110" i="14"/>
  <c r="AD110" i="14" s="1"/>
  <c r="Y40" i="14"/>
  <c r="P10" i="14"/>
  <c r="AA13" i="14"/>
  <c r="P15" i="14"/>
  <c r="P18" i="14"/>
  <c r="P20" i="14"/>
  <c r="P21" i="14"/>
  <c r="P30" i="14"/>
  <c r="P31" i="14"/>
  <c r="P32" i="14"/>
  <c r="P33" i="14"/>
  <c r="P34" i="14"/>
  <c r="P35" i="14"/>
  <c r="P36" i="14"/>
  <c r="P37" i="14"/>
  <c r="P38" i="14"/>
  <c r="P39" i="14"/>
  <c r="P40" i="14"/>
  <c r="P41" i="14"/>
  <c r="P42" i="14"/>
  <c r="P43" i="14"/>
  <c r="P44" i="14"/>
  <c r="P45" i="14"/>
  <c r="P46" i="14"/>
  <c r="P47" i="14"/>
  <c r="P48" i="14"/>
  <c r="P49" i="14"/>
  <c r="P50" i="14"/>
  <c r="P51" i="14"/>
  <c r="P52" i="14"/>
  <c r="P53" i="14"/>
  <c r="P54" i="14"/>
  <c r="P55" i="14"/>
  <c r="P56" i="14"/>
  <c r="P57" i="14"/>
  <c r="P58" i="14"/>
  <c r="P59" i="14"/>
  <c r="P60" i="14"/>
  <c r="P61" i="14"/>
  <c r="P62" i="14"/>
  <c r="P63" i="14"/>
  <c r="P64" i="14"/>
  <c r="P65" i="14"/>
  <c r="P66" i="14"/>
  <c r="P67" i="14"/>
  <c r="P68" i="14"/>
  <c r="P69" i="14"/>
  <c r="P70" i="14"/>
  <c r="P71" i="14"/>
  <c r="P72" i="14"/>
  <c r="P73" i="14"/>
  <c r="P74" i="14"/>
  <c r="P75" i="14"/>
  <c r="P77" i="14"/>
  <c r="P78" i="14"/>
  <c r="P79" i="14"/>
  <c r="AB80" i="14"/>
  <c r="P81" i="14"/>
  <c r="P82" i="14"/>
  <c r="P83" i="14"/>
  <c r="AB84" i="14"/>
  <c r="P85" i="14"/>
  <c r="P86" i="14"/>
  <c r="P87" i="14"/>
  <c r="P89" i="14"/>
  <c r="P90" i="14"/>
  <c r="P91" i="14"/>
  <c r="P93" i="14"/>
  <c r="P94" i="14"/>
  <c r="P95" i="14"/>
  <c r="P132" i="14"/>
  <c r="P140" i="14"/>
  <c r="AA42" i="14"/>
  <c r="AC62" i="14"/>
  <c r="AD62" i="14" s="1"/>
  <c r="AC9" i="14"/>
  <c r="AD9" i="14" s="1"/>
  <c r="AC12" i="14"/>
  <c r="AD12" i="14" s="1"/>
  <c r="AB18" i="14"/>
  <c r="AA30" i="14"/>
  <c r="S32" i="14"/>
  <c r="Y32" i="14"/>
  <c r="AB35" i="14"/>
  <c r="AC50" i="14"/>
  <c r="AD50" i="14" s="1"/>
  <c r="AA50" i="14"/>
  <c r="S52" i="14"/>
  <c r="Y52" i="14"/>
  <c r="AB55" i="14"/>
  <c r="AB71" i="14"/>
  <c r="AC94" i="14"/>
  <c r="AD94" i="14" s="1"/>
  <c r="S12" i="14"/>
  <c r="AB47" i="14"/>
  <c r="P84" i="14"/>
  <c r="Y56" i="14"/>
  <c r="AC58" i="14"/>
  <c r="AD58" i="14" s="1"/>
  <c r="AC66" i="14"/>
  <c r="AD66" i="14" s="1"/>
  <c r="P124" i="14"/>
  <c r="AB76" i="14"/>
  <c r="P76" i="14"/>
  <c r="AB88" i="14"/>
  <c r="P88" i="14"/>
  <c r="AB92" i="14"/>
  <c r="P92" i="14"/>
  <c r="AC70" i="14"/>
  <c r="AD70" i="14" s="1"/>
  <c r="P80" i="14"/>
  <c r="AA7" i="14"/>
  <c r="AA22" i="14"/>
  <c r="AA25" i="14"/>
  <c r="AC34" i="14"/>
  <c r="AD34" i="14" s="1"/>
  <c r="AA34" i="14"/>
  <c r="S36" i="14"/>
  <c r="Y36" i="14"/>
  <c r="AA37" i="14"/>
  <c r="AC38" i="14"/>
  <c r="AD38" i="14" s="1"/>
  <c r="S38" i="14"/>
  <c r="Y39" i="14"/>
  <c r="AB39" i="14"/>
  <c r="AA41" i="14"/>
  <c r="Y43" i="14"/>
  <c r="S43" i="14"/>
  <c r="AA45" i="14"/>
  <c r="AA46" i="14"/>
  <c r="S48" i="14"/>
  <c r="Y48" i="14"/>
  <c r="Y51" i="14"/>
  <c r="AB51" i="14"/>
  <c r="AC54" i="14"/>
  <c r="AD54" i="14" s="1"/>
  <c r="S54" i="14"/>
  <c r="AB59" i="14"/>
  <c r="AB63" i="14"/>
  <c r="AB67" i="14"/>
  <c r="AA38" i="14"/>
  <c r="AC15" i="14"/>
  <c r="AD15" i="14" s="1"/>
  <c r="AB31" i="14"/>
  <c r="Y44" i="14"/>
  <c r="AA54" i="14"/>
  <c r="P148" i="14"/>
  <c r="P96" i="14"/>
  <c r="P97" i="14"/>
  <c r="P98" i="14"/>
  <c r="P99" i="14"/>
  <c r="P100" i="14"/>
  <c r="P101" i="14"/>
  <c r="P102" i="14"/>
  <c r="P103" i="14"/>
  <c r="P104" i="14"/>
  <c r="P105" i="14"/>
  <c r="P106" i="14"/>
  <c r="P107" i="14"/>
  <c r="P108" i="14"/>
  <c r="P109" i="14"/>
  <c r="P110" i="14"/>
  <c r="P111" i="14"/>
  <c r="P112" i="14"/>
  <c r="P113" i="14"/>
  <c r="P114" i="14"/>
  <c r="P115" i="14"/>
  <c r="P116" i="14"/>
  <c r="P117" i="14"/>
  <c r="P118" i="14"/>
  <c r="P119" i="14"/>
  <c r="P120" i="14"/>
  <c r="P121" i="14"/>
  <c r="P122" i="14"/>
  <c r="P123" i="14"/>
  <c r="P125" i="14"/>
  <c r="P126" i="14"/>
  <c r="P127" i="14"/>
  <c r="P128" i="14"/>
  <c r="P129" i="14"/>
  <c r="P130" i="14"/>
  <c r="P131" i="14"/>
  <c r="P133" i="14"/>
  <c r="P134" i="14"/>
  <c r="P135" i="14"/>
  <c r="P136" i="14"/>
  <c r="P137" i="14"/>
  <c r="P138" i="14"/>
  <c r="P139" i="14"/>
  <c r="P141" i="14"/>
  <c r="P142" i="14"/>
  <c r="P143" i="14"/>
  <c r="P144" i="14"/>
  <c r="P145" i="14"/>
  <c r="P146" i="14"/>
  <c r="P147" i="14"/>
  <c r="P149" i="14"/>
  <c r="P150" i="14"/>
  <c r="P151" i="14"/>
  <c r="P152" i="14"/>
  <c r="P153" i="14"/>
  <c r="P154" i="14"/>
  <c r="P155" i="14"/>
  <c r="AB9" i="14"/>
  <c r="AA9" i="14"/>
  <c r="Y9" i="14"/>
  <c r="AC11" i="14"/>
  <c r="AD11" i="14" s="1"/>
  <c r="Y11" i="14"/>
  <c r="S11" i="14"/>
  <c r="AB11" i="14"/>
  <c r="AA11" i="14"/>
  <c r="AC13" i="14"/>
  <c r="AD13" i="14" s="1"/>
  <c r="Y13" i="14"/>
  <c r="S13" i="14"/>
  <c r="AB13" i="14"/>
  <c r="AA15" i="14"/>
  <c r="Y15" i="14"/>
  <c r="AB17" i="14"/>
  <c r="AA17" i="14"/>
  <c r="AC17" i="14"/>
  <c r="AD17" i="14" s="1"/>
  <c r="S17" i="14"/>
  <c r="Y17" i="14"/>
  <c r="AC19" i="14"/>
  <c r="AD19" i="14" s="1"/>
  <c r="Y19" i="14"/>
  <c r="S19" i="14"/>
  <c r="AB19" i="14"/>
  <c r="AA19" i="14"/>
  <c r="AC21" i="14"/>
  <c r="AD21" i="14" s="1"/>
  <c r="Y21" i="14"/>
  <c r="S21" i="14"/>
  <c r="AA21" i="14"/>
  <c r="AA23" i="14"/>
  <c r="AC23" i="14"/>
  <c r="AD23" i="14" s="1"/>
  <c r="AB23" i="14"/>
  <c r="S23" i="14"/>
  <c r="P23" i="14"/>
  <c r="AC25" i="14"/>
  <c r="AD25" i="14" s="1"/>
  <c r="Y25" i="14"/>
  <c r="AB25" i="14"/>
  <c r="S25" i="14"/>
  <c r="AA27" i="14"/>
  <c r="S27" i="14"/>
  <c r="Y27" i="14"/>
  <c r="AC27" i="14"/>
  <c r="AD27" i="14" s="1"/>
  <c r="AB27" i="14"/>
  <c r="AC29" i="14"/>
  <c r="AD29" i="14" s="1"/>
  <c r="Y29" i="14"/>
  <c r="AB29" i="14"/>
  <c r="AA29" i="14"/>
  <c r="S29" i="14"/>
  <c r="AA10" i="14"/>
  <c r="S10" i="14"/>
  <c r="AC10" i="14"/>
  <c r="AD10" i="14" s="1"/>
  <c r="AB10" i="14"/>
  <c r="AB12" i="14"/>
  <c r="AA12" i="14"/>
  <c r="Y12" i="14"/>
  <c r="AC14" i="14"/>
  <c r="AD14" i="14" s="1"/>
  <c r="Y14" i="14"/>
  <c r="AB14" i="14"/>
  <c r="S14" i="14"/>
  <c r="AA14" i="14"/>
  <c r="S16" i="14"/>
  <c r="AC16" i="14"/>
  <c r="AD16" i="14" s="1"/>
  <c r="Y16" i="14"/>
  <c r="AB16" i="14"/>
  <c r="AA16" i="14"/>
  <c r="AA18" i="14"/>
  <c r="S18" i="14"/>
  <c r="Y18" i="14"/>
  <c r="AC18" i="14"/>
  <c r="AD18" i="14" s="1"/>
  <c r="AB20" i="14"/>
  <c r="AA20" i="14"/>
  <c r="S20" i="14"/>
  <c r="AC20" i="14"/>
  <c r="AD20" i="14" s="1"/>
  <c r="AC22" i="14"/>
  <c r="AD22" i="14" s="1"/>
  <c r="Y22" i="14"/>
  <c r="AB22" i="14"/>
  <c r="S22" i="14"/>
  <c r="S24" i="14"/>
  <c r="AC24" i="14"/>
  <c r="AD24" i="14" s="1"/>
  <c r="Y24" i="14"/>
  <c r="AA24" i="14"/>
  <c r="AC26" i="14"/>
  <c r="AD26" i="14" s="1"/>
  <c r="Y26" i="14"/>
  <c r="AB26" i="14"/>
  <c r="S26" i="14"/>
  <c r="S28" i="14"/>
  <c r="AA28" i="14"/>
  <c r="AC28" i="14"/>
  <c r="AD28" i="14" s="1"/>
  <c r="AB28" i="14"/>
  <c r="S9" i="14"/>
  <c r="P12" i="14"/>
  <c r="P13" i="14"/>
  <c r="AB15" i="14"/>
  <c r="Y23" i="14"/>
  <c r="AB24" i="14"/>
  <c r="AA26" i="14"/>
  <c r="AC31" i="14"/>
  <c r="AD31" i="14" s="1"/>
  <c r="AB32" i="14"/>
  <c r="AC35" i="14"/>
  <c r="AD35" i="14" s="1"/>
  <c r="AB36" i="14"/>
  <c r="AC39" i="14"/>
  <c r="AD39" i="14" s="1"/>
  <c r="AB40" i="14"/>
  <c r="AC43" i="14"/>
  <c r="AD43" i="14" s="1"/>
  <c r="AB44" i="14"/>
  <c r="AC47" i="14"/>
  <c r="AD47" i="14" s="1"/>
  <c r="AB48" i="14"/>
  <c r="AC51" i="14"/>
  <c r="AD51" i="14" s="1"/>
  <c r="AB52" i="14"/>
  <c r="AC55" i="14"/>
  <c r="AD55" i="14" s="1"/>
  <c r="AB56" i="14"/>
  <c r="AC77" i="14"/>
  <c r="AD77" i="14" s="1"/>
  <c r="AC81" i="14"/>
  <c r="AD81" i="14" s="1"/>
  <c r="AC85" i="14"/>
  <c r="AD85" i="14" s="1"/>
  <c r="AC89" i="14"/>
  <c r="AD89" i="14" s="1"/>
  <c r="AC8" i="14"/>
  <c r="AD8" i="14" s="1"/>
  <c r="P9" i="14"/>
  <c r="P11" i="14"/>
  <c r="P14" i="14"/>
  <c r="P16" i="14"/>
  <c r="P17" i="14"/>
  <c r="P19" i="14"/>
  <c r="P22" i="14"/>
  <c r="P24" i="14"/>
  <c r="P25" i="14"/>
  <c r="P26" i="14"/>
  <c r="P27" i="14"/>
  <c r="P28" i="14"/>
  <c r="P29" i="14"/>
  <c r="AC32" i="14"/>
  <c r="AD32" i="14" s="1"/>
  <c r="AC36" i="14"/>
  <c r="AD36" i="14" s="1"/>
  <c r="AC40" i="14"/>
  <c r="AD40" i="14" s="1"/>
  <c r="AC44" i="14"/>
  <c r="AD44" i="14" s="1"/>
  <c r="AC48" i="14"/>
  <c r="AD48" i="14" s="1"/>
  <c r="AC52" i="14"/>
  <c r="AD52" i="14" s="1"/>
  <c r="AC56" i="14"/>
  <c r="AD56" i="14" s="1"/>
  <c r="AB30" i="14"/>
  <c r="AA31" i="14"/>
  <c r="AC33" i="14"/>
  <c r="AD33" i="14" s="1"/>
  <c r="Y33" i="14"/>
  <c r="AA35" i="14"/>
  <c r="AB42" i="14"/>
  <c r="AB46" i="14"/>
  <c r="AA47" i="14"/>
  <c r="AC49" i="14"/>
  <c r="AD49" i="14" s="1"/>
  <c r="Y49" i="14"/>
  <c r="AC53" i="14"/>
  <c r="AD53" i="14" s="1"/>
  <c r="Y53" i="14"/>
  <c r="AA55" i="14"/>
  <c r="AC57" i="14"/>
  <c r="AD57" i="14" s="1"/>
  <c r="Y57" i="14"/>
  <c r="AB58" i="14"/>
  <c r="AA58" i="14"/>
  <c r="AA59" i="14"/>
  <c r="S59" i="14"/>
  <c r="S60" i="14"/>
  <c r="AC60" i="14"/>
  <c r="AD60" i="14" s="1"/>
  <c r="Y60" i="14"/>
  <c r="AC61" i="14"/>
  <c r="AD61" i="14" s="1"/>
  <c r="Y61" i="14"/>
  <c r="AB61" i="14"/>
  <c r="AB62" i="14"/>
  <c r="AA62" i="14"/>
  <c r="AA63" i="14"/>
  <c r="S63" i="14"/>
  <c r="S64" i="14"/>
  <c r="AC64" i="14"/>
  <c r="AD64" i="14" s="1"/>
  <c r="Y64" i="14"/>
  <c r="AC65" i="14"/>
  <c r="AD65" i="14" s="1"/>
  <c r="Y65" i="14"/>
  <c r="AB65" i="14"/>
  <c r="AB66" i="14"/>
  <c r="AA66" i="14"/>
  <c r="AA67" i="14"/>
  <c r="S67" i="14"/>
  <c r="S68" i="14"/>
  <c r="AC68" i="14"/>
  <c r="AD68" i="14" s="1"/>
  <c r="Y68" i="14"/>
  <c r="AC69" i="14"/>
  <c r="AD69" i="14" s="1"/>
  <c r="Y69" i="14"/>
  <c r="AB69" i="14"/>
  <c r="AB70" i="14"/>
  <c r="AA70" i="14"/>
  <c r="AA71" i="14"/>
  <c r="S71" i="14"/>
  <c r="AC72" i="14"/>
  <c r="AD72" i="14" s="1"/>
  <c r="Y72" i="14"/>
  <c r="AC73" i="14"/>
  <c r="AD73" i="14" s="1"/>
  <c r="Y73" i="14"/>
  <c r="AB73" i="14"/>
  <c r="AA74" i="14"/>
  <c r="AC74" i="14"/>
  <c r="AD74" i="14" s="1"/>
  <c r="AB74" i="14"/>
  <c r="S74" i="14"/>
  <c r="S75" i="14"/>
  <c r="AC75" i="14"/>
  <c r="AD75" i="14" s="1"/>
  <c r="Y75" i="14"/>
  <c r="AB75" i="14"/>
  <c r="AC76" i="14"/>
  <c r="AD76" i="14" s="1"/>
  <c r="Y76" i="14"/>
  <c r="AB77" i="14"/>
  <c r="AA77" i="14"/>
  <c r="S77" i="14"/>
  <c r="AA78" i="14"/>
  <c r="S78" i="14"/>
  <c r="AC78" i="14"/>
  <c r="AD78" i="14" s="1"/>
  <c r="AB78" i="14"/>
  <c r="S79" i="14"/>
  <c r="AC79" i="14"/>
  <c r="AD79" i="14" s="1"/>
  <c r="Y79" i="14"/>
  <c r="AB79" i="14"/>
  <c r="AC80" i="14"/>
  <c r="AD80" i="14" s="1"/>
  <c r="Y80" i="14"/>
  <c r="AB81" i="14"/>
  <c r="AA81" i="14"/>
  <c r="S81" i="14"/>
  <c r="AA82" i="14"/>
  <c r="S82" i="14"/>
  <c r="AC82" i="14"/>
  <c r="AD82" i="14" s="1"/>
  <c r="AB82" i="14"/>
  <c r="S83" i="14"/>
  <c r="AC83" i="14"/>
  <c r="AD83" i="14" s="1"/>
  <c r="Y83" i="14"/>
  <c r="AB83" i="14"/>
  <c r="AC84" i="14"/>
  <c r="AD84" i="14" s="1"/>
  <c r="Y84" i="14"/>
  <c r="AB85" i="14"/>
  <c r="AA85" i="14"/>
  <c r="S85" i="14"/>
  <c r="AA86" i="14"/>
  <c r="S86" i="14"/>
  <c r="AC86" i="14"/>
  <c r="AD86" i="14" s="1"/>
  <c r="AB86" i="14"/>
  <c r="S87" i="14"/>
  <c r="AC87" i="14"/>
  <c r="AD87" i="14" s="1"/>
  <c r="Y87" i="14"/>
  <c r="AB87" i="14"/>
  <c r="AC88" i="14"/>
  <c r="AD88" i="14" s="1"/>
  <c r="Y88" i="14"/>
  <c r="AB89" i="14"/>
  <c r="AA89" i="14"/>
  <c r="S89" i="14"/>
  <c r="AA90" i="14"/>
  <c r="S90" i="14"/>
  <c r="AC90" i="14"/>
  <c r="AD90" i="14" s="1"/>
  <c r="AB90" i="14"/>
  <c r="S91" i="14"/>
  <c r="AC91" i="14"/>
  <c r="AD91" i="14" s="1"/>
  <c r="Y91" i="14"/>
  <c r="AB91" i="14"/>
  <c r="AC92" i="14"/>
  <c r="AD92" i="14" s="1"/>
  <c r="Y92" i="14"/>
  <c r="AB93" i="14"/>
  <c r="AA93" i="14"/>
  <c r="AC93" i="14"/>
  <c r="AD93" i="14" s="1"/>
  <c r="S93" i="14"/>
  <c r="AA94" i="14"/>
  <c r="S94" i="14"/>
  <c r="Y94" i="14"/>
  <c r="S95" i="14"/>
  <c r="AC95" i="14"/>
  <c r="AD95" i="14" s="1"/>
  <c r="Y95" i="14"/>
  <c r="AB95" i="14"/>
  <c r="AC96" i="14"/>
  <c r="AD96" i="14" s="1"/>
  <c r="Y96" i="14"/>
  <c r="AB96" i="14"/>
  <c r="AA96" i="14"/>
  <c r="AB97" i="14"/>
  <c r="AA97" i="14"/>
  <c r="AC97" i="14"/>
  <c r="AD97" i="14" s="1"/>
  <c r="AA98" i="14"/>
  <c r="S98" i="14"/>
  <c r="Y98" i="14"/>
  <c r="S99" i="14"/>
  <c r="AC99" i="14"/>
  <c r="AD99" i="14" s="1"/>
  <c r="Y99" i="14"/>
  <c r="AB99" i="14"/>
  <c r="AC100" i="14"/>
  <c r="AD100" i="14" s="1"/>
  <c r="Y100" i="14"/>
  <c r="AB100" i="14"/>
  <c r="AA100" i="14"/>
  <c r="AB101" i="14"/>
  <c r="AA101" i="14"/>
  <c r="AC101" i="14"/>
  <c r="AD101" i="14" s="1"/>
  <c r="AA102" i="14"/>
  <c r="S102" i="14"/>
  <c r="Y102" i="14"/>
  <c r="S103" i="14"/>
  <c r="AC103" i="14"/>
  <c r="AD103" i="14" s="1"/>
  <c r="Y103" i="14"/>
  <c r="AB103" i="14"/>
  <c r="AC104" i="14"/>
  <c r="AD104" i="14" s="1"/>
  <c r="Y104" i="14"/>
  <c r="AB104" i="14"/>
  <c r="AA104" i="14"/>
  <c r="AB105" i="14"/>
  <c r="AA105" i="14"/>
  <c r="AC105" i="14"/>
  <c r="AD105" i="14" s="1"/>
  <c r="AA106" i="14"/>
  <c r="S106" i="14"/>
  <c r="Y106" i="14"/>
  <c r="S107" i="14"/>
  <c r="AC107" i="14"/>
  <c r="AD107" i="14" s="1"/>
  <c r="Y107" i="14"/>
  <c r="AB107" i="14"/>
  <c r="AC108" i="14"/>
  <c r="AD108" i="14" s="1"/>
  <c r="Y108" i="14"/>
  <c r="AB108" i="14"/>
  <c r="AA108" i="14"/>
  <c r="AB109" i="14"/>
  <c r="AA109" i="14"/>
  <c r="AC109" i="14"/>
  <c r="AD109" i="14" s="1"/>
  <c r="AA110" i="14"/>
  <c r="S110" i="14"/>
  <c r="Y110" i="14"/>
  <c r="S111" i="14"/>
  <c r="AC111" i="14"/>
  <c r="AD111" i="14" s="1"/>
  <c r="Y111" i="14"/>
  <c r="AB111" i="14"/>
  <c r="AC112" i="14"/>
  <c r="AD112" i="14" s="1"/>
  <c r="Y112" i="14"/>
  <c r="AB112" i="14"/>
  <c r="AA112" i="14"/>
  <c r="AB113" i="14"/>
  <c r="AC113" i="14"/>
  <c r="AD113" i="14" s="1"/>
  <c r="AA113" i="14"/>
  <c r="AA114" i="14"/>
  <c r="S114" i="14"/>
  <c r="Y114" i="14"/>
  <c r="AC114" i="14"/>
  <c r="AD114" i="14" s="1"/>
  <c r="AB114" i="14"/>
  <c r="S115" i="14"/>
  <c r="AC115" i="14"/>
  <c r="AD115" i="14" s="1"/>
  <c r="Y115" i="14"/>
  <c r="AB115" i="14"/>
  <c r="AA115" i="14"/>
  <c r="AC116" i="14"/>
  <c r="AD116" i="14" s="1"/>
  <c r="Y116" i="14"/>
  <c r="AB116" i="14"/>
  <c r="AA116" i="14"/>
  <c r="AB117" i="14"/>
  <c r="AA117" i="14"/>
  <c r="Y117" i="14"/>
  <c r="AC117" i="14"/>
  <c r="AD117" i="14" s="1"/>
  <c r="AA118" i="14"/>
  <c r="S118" i="14"/>
  <c r="Y118" i="14"/>
  <c r="AC118" i="14"/>
  <c r="AD118" i="14" s="1"/>
  <c r="S119" i="14"/>
  <c r="AC119" i="14"/>
  <c r="AD119" i="14" s="1"/>
  <c r="Y119" i="14"/>
  <c r="AB119" i="14"/>
  <c r="AA119" i="14"/>
  <c r="AC120" i="14"/>
  <c r="AD120" i="14" s="1"/>
  <c r="Y120" i="14"/>
  <c r="AB120" i="14"/>
  <c r="AA120" i="14"/>
  <c r="AB121" i="14"/>
  <c r="AA121" i="14"/>
  <c r="Y121" i="14"/>
  <c r="AC121" i="14"/>
  <c r="AD121" i="14" s="1"/>
  <c r="AA122" i="14"/>
  <c r="S122" i="14"/>
  <c r="Y122" i="14"/>
  <c r="AC122" i="14"/>
  <c r="AD122" i="14" s="1"/>
  <c r="S123" i="14"/>
  <c r="AC123" i="14"/>
  <c r="AD123" i="14" s="1"/>
  <c r="Y123" i="14"/>
  <c r="AB123" i="14"/>
  <c r="AA123" i="14"/>
  <c r="AC124" i="14"/>
  <c r="AD124" i="14" s="1"/>
  <c r="Y124" i="14"/>
  <c r="AB124" i="14"/>
  <c r="AA124" i="14"/>
  <c r="AB125" i="14"/>
  <c r="AA125" i="14"/>
  <c r="Y125" i="14"/>
  <c r="AC125" i="14"/>
  <c r="AD125" i="14" s="1"/>
  <c r="AA126" i="14"/>
  <c r="S126" i="14"/>
  <c r="Y126" i="14"/>
  <c r="AC126" i="14"/>
  <c r="AD126" i="14" s="1"/>
  <c r="S127" i="14"/>
  <c r="AC127" i="14"/>
  <c r="AD127" i="14" s="1"/>
  <c r="Y127" i="14"/>
  <c r="AB127" i="14"/>
  <c r="AA127" i="14"/>
  <c r="AC128" i="14"/>
  <c r="AD128" i="14" s="1"/>
  <c r="Y128" i="14"/>
  <c r="AB128" i="14"/>
  <c r="AA128" i="14"/>
  <c r="AB129" i="14"/>
  <c r="AA129" i="14"/>
  <c r="Y129" i="14"/>
  <c r="AC129" i="14"/>
  <c r="AD129" i="14" s="1"/>
  <c r="AA130" i="14"/>
  <c r="S130" i="14"/>
  <c r="Y130" i="14"/>
  <c r="AC130" i="14"/>
  <c r="AD130" i="14" s="1"/>
  <c r="S131" i="14"/>
  <c r="AC131" i="14"/>
  <c r="AD131" i="14" s="1"/>
  <c r="Y131" i="14"/>
  <c r="AB131" i="14"/>
  <c r="AA131" i="14"/>
  <c r="AC132" i="14"/>
  <c r="AD132" i="14" s="1"/>
  <c r="Y132" i="14"/>
  <c r="AB132" i="14"/>
  <c r="AA132" i="14"/>
  <c r="AB133" i="14"/>
  <c r="AA133" i="14"/>
  <c r="Y133" i="14"/>
  <c r="AC133" i="14"/>
  <c r="AD133" i="14" s="1"/>
  <c r="AA134" i="14"/>
  <c r="S134" i="14"/>
  <c r="Y134" i="14"/>
  <c r="AC134" i="14"/>
  <c r="AD134" i="14" s="1"/>
  <c r="S135" i="14"/>
  <c r="AC135" i="14"/>
  <c r="AD135" i="14" s="1"/>
  <c r="Y135" i="14"/>
  <c r="AB135" i="14"/>
  <c r="AA135" i="14"/>
  <c r="AC136" i="14"/>
  <c r="AD136" i="14" s="1"/>
  <c r="Y136" i="14"/>
  <c r="AB136" i="14"/>
  <c r="AA136" i="14"/>
  <c r="AB137" i="14"/>
  <c r="AA137" i="14"/>
  <c r="Y137" i="14"/>
  <c r="AC137" i="14"/>
  <c r="AD137" i="14" s="1"/>
  <c r="AA138" i="14"/>
  <c r="S138" i="14"/>
  <c r="Y138" i="14"/>
  <c r="AC138" i="14"/>
  <c r="AD138" i="14" s="1"/>
  <c r="S139" i="14"/>
  <c r="AC139" i="14"/>
  <c r="AD139" i="14" s="1"/>
  <c r="Y139" i="14"/>
  <c r="AB139" i="14"/>
  <c r="AA139" i="14"/>
  <c r="AC140" i="14"/>
  <c r="AD140" i="14" s="1"/>
  <c r="Y140" i="14"/>
  <c r="AB140" i="14"/>
  <c r="AA140" i="14"/>
  <c r="AB141" i="14"/>
  <c r="AA141" i="14"/>
  <c r="Y141" i="14"/>
  <c r="AC141" i="14"/>
  <c r="AD141" i="14" s="1"/>
  <c r="AA142" i="14"/>
  <c r="S142" i="14"/>
  <c r="Y142" i="14"/>
  <c r="AC142" i="14"/>
  <c r="AD142" i="14" s="1"/>
  <c r="S143" i="14"/>
  <c r="AC143" i="14"/>
  <c r="AD143" i="14" s="1"/>
  <c r="Y143" i="14"/>
  <c r="AB143" i="14"/>
  <c r="AA143" i="14"/>
  <c r="AC144" i="14"/>
  <c r="AD144" i="14" s="1"/>
  <c r="Y144" i="14"/>
  <c r="AB144" i="14"/>
  <c r="AA144" i="14"/>
  <c r="AB145" i="14"/>
  <c r="AA145" i="14"/>
  <c r="Y145" i="14"/>
  <c r="AC145" i="14"/>
  <c r="AD145" i="14" s="1"/>
  <c r="AA146" i="14"/>
  <c r="S146" i="14"/>
  <c r="Y146" i="14"/>
  <c r="AC146" i="14"/>
  <c r="AD146" i="14" s="1"/>
  <c r="S147" i="14"/>
  <c r="AC147" i="14"/>
  <c r="AD147" i="14" s="1"/>
  <c r="Y147" i="14"/>
  <c r="AB147" i="14"/>
  <c r="AA147" i="14"/>
  <c r="AC148" i="14"/>
  <c r="AD148" i="14" s="1"/>
  <c r="Y148" i="14"/>
  <c r="AB148" i="14"/>
  <c r="AA148" i="14"/>
  <c r="AB149" i="14"/>
  <c r="AA149" i="14"/>
  <c r="Y149" i="14"/>
  <c r="AC149" i="14"/>
  <c r="AD149" i="14" s="1"/>
  <c r="AA150" i="14"/>
  <c r="S150" i="14"/>
  <c r="Y150" i="14"/>
  <c r="AC150" i="14"/>
  <c r="AD150" i="14" s="1"/>
  <c r="S151" i="14"/>
  <c r="AC151" i="14"/>
  <c r="AD151" i="14" s="1"/>
  <c r="Y151" i="14"/>
  <c r="AB151" i="14"/>
  <c r="AA151" i="14"/>
  <c r="AC152" i="14"/>
  <c r="AD152" i="14" s="1"/>
  <c r="Y152" i="14"/>
  <c r="AB152" i="14"/>
  <c r="AA152" i="14"/>
  <c r="AB153" i="14"/>
  <c r="AA153" i="14"/>
  <c r="Y153" i="14"/>
  <c r="AC153" i="14"/>
  <c r="AD153" i="14" s="1"/>
  <c r="AA154" i="14"/>
  <c r="S154" i="14"/>
  <c r="Y154" i="14"/>
  <c r="AC154" i="14"/>
  <c r="AD154" i="14" s="1"/>
  <c r="S155" i="14"/>
  <c r="AC155" i="14"/>
  <c r="AD155" i="14" s="1"/>
  <c r="Y155" i="14"/>
  <c r="AB155" i="14"/>
  <c r="AA155" i="14"/>
  <c r="AC30" i="14"/>
  <c r="AD30" i="14" s="1"/>
  <c r="Y31" i="14"/>
  <c r="S33" i="14"/>
  <c r="AA33" i="14"/>
  <c r="Y35" i="14"/>
  <c r="S37" i="14"/>
  <c r="S41" i="14"/>
  <c r="AC42" i="14"/>
  <c r="AD42" i="14" s="1"/>
  <c r="S45" i="14"/>
  <c r="AC46" i="14"/>
  <c r="AD46" i="14" s="1"/>
  <c r="Y47" i="14"/>
  <c r="S49" i="14"/>
  <c r="AA49" i="14"/>
  <c r="S53" i="14"/>
  <c r="AA53" i="14"/>
  <c r="Y55" i="14"/>
  <c r="S57" i="14"/>
  <c r="AA57" i="14"/>
  <c r="Y58" i="14"/>
  <c r="AC59" i="14"/>
  <c r="AD59" i="14" s="1"/>
  <c r="AA60" i="14"/>
  <c r="Y62" i="14"/>
  <c r="AC63" i="14"/>
  <c r="AD63" i="14" s="1"/>
  <c r="AA64" i="14"/>
  <c r="Y66" i="14"/>
  <c r="AC67" i="14"/>
  <c r="AD67" i="14" s="1"/>
  <c r="AA68" i="14"/>
  <c r="Y70" i="14"/>
  <c r="AC71" i="14"/>
  <c r="AD71" i="14" s="1"/>
  <c r="AA72" i="14"/>
  <c r="Y74" i="14"/>
  <c r="Y77" i="14"/>
  <c r="Y78" i="14"/>
  <c r="Y81" i="14"/>
  <c r="Y82" i="14"/>
  <c r="Y85" i="14"/>
  <c r="Y86" i="14"/>
  <c r="Y89" i="14"/>
  <c r="Y90" i="14"/>
  <c r="Y93" i="14"/>
  <c r="AA95" i="14"/>
  <c r="Y97" i="14"/>
  <c r="AA99" i="14"/>
  <c r="Y101" i="14"/>
  <c r="AA103" i="14"/>
  <c r="Y105" i="14"/>
  <c r="AA107" i="14"/>
  <c r="Y109" i="14"/>
  <c r="AA111" i="14"/>
  <c r="Y113" i="14"/>
  <c r="AB118" i="14"/>
  <c r="AB122" i="14"/>
  <c r="AB126" i="14"/>
  <c r="AB130" i="14"/>
  <c r="AB134" i="14"/>
  <c r="AB138" i="14"/>
  <c r="AB142" i="14"/>
  <c r="AB146" i="14"/>
  <c r="AB150" i="14"/>
  <c r="AB154" i="14"/>
  <c r="AB34" i="14"/>
  <c r="AC37" i="14"/>
  <c r="AD37" i="14" s="1"/>
  <c r="Y37" i="14"/>
  <c r="AB38" i="14"/>
  <c r="AA39" i="14"/>
  <c r="AC41" i="14"/>
  <c r="AD41" i="14" s="1"/>
  <c r="Y41" i="14"/>
  <c r="AA43" i="14"/>
  <c r="AC45" i="14"/>
  <c r="AD45" i="14" s="1"/>
  <c r="Y45" i="14"/>
  <c r="AB50" i="14"/>
  <c r="AA51" i="14"/>
  <c r="AB54" i="14"/>
  <c r="Y30" i="14"/>
  <c r="AA32" i="14"/>
  <c r="AB33" i="14"/>
  <c r="Y34" i="14"/>
  <c r="AA36" i="14"/>
  <c r="AB37" i="14"/>
  <c r="Y38" i="14"/>
  <c r="AA40" i="14"/>
  <c r="AB41" i="14"/>
  <c r="Y42" i="14"/>
  <c r="AA44" i="14"/>
  <c r="AB45" i="14"/>
  <c r="Y46" i="14"/>
  <c r="AA48" i="14"/>
  <c r="AB49" i="14"/>
  <c r="Y50" i="14"/>
  <c r="AA52" i="14"/>
  <c r="AB53" i="14"/>
  <c r="Y54" i="14"/>
  <c r="AA56" i="14"/>
  <c r="AB57" i="14"/>
  <c r="Y59" i="14"/>
  <c r="AB60" i="14"/>
  <c r="AA61" i="14"/>
  <c r="Y63" i="14"/>
  <c r="AB64" i="14"/>
  <c r="AA65" i="14"/>
  <c r="Y67" i="14"/>
  <c r="AB68" i="14"/>
  <c r="AA69" i="14"/>
  <c r="Y71" i="14"/>
  <c r="S72" i="14"/>
  <c r="AB72" i="14"/>
  <c r="AA73" i="14"/>
  <c r="AA75" i="14"/>
  <c r="AA76" i="14"/>
  <c r="AA79" i="14"/>
  <c r="AA80" i="14"/>
  <c r="AA83" i="14"/>
  <c r="AA84" i="14"/>
  <c r="AA87" i="14"/>
  <c r="AA88" i="14"/>
  <c r="AA91" i="14"/>
  <c r="AA92" i="14"/>
  <c r="AB94" i="14"/>
  <c r="S96" i="14"/>
  <c r="AB98" i="14"/>
  <c r="S100" i="14"/>
  <c r="AB102" i="14"/>
  <c r="S104" i="14"/>
  <c r="AB106" i="14"/>
  <c r="S108" i="14"/>
  <c r="AB110" i="14"/>
  <c r="S112" i="14"/>
  <c r="S117" i="14"/>
  <c r="S121" i="14"/>
  <c r="S125" i="14"/>
  <c r="S129" i="14"/>
  <c r="S133" i="14"/>
  <c r="S137" i="14"/>
  <c r="S141" i="14"/>
  <c r="S145" i="14"/>
  <c r="S149" i="14"/>
  <c r="S153" i="14"/>
  <c r="AA8" i="14"/>
  <c r="AB8" i="14"/>
  <c r="Y8" i="14"/>
  <c r="P7" i="14"/>
  <c r="AB7" i="14"/>
  <c r="S7" i="14"/>
  <c r="Y7" i="14"/>
  <c r="AC7" i="14"/>
  <c r="AD7" i="14" s="1"/>
  <c r="AA6" i="14"/>
  <c r="AB6" i="14"/>
  <c r="P6" i="14"/>
  <c r="Y6" i="14"/>
  <c r="AC6" i="14"/>
  <c r="AD6" i="14" s="1"/>
  <c r="S8" i="14"/>
  <c r="P8" i="14"/>
  <c r="W6" i="14"/>
  <c r="X6" i="14" s="1"/>
  <c r="W7" i="14"/>
  <c r="X7" i="14" s="1"/>
  <c r="W8" i="14"/>
  <c r="X8" i="14" s="1"/>
  <c r="W9" i="14"/>
  <c r="X9" i="14" s="1"/>
  <c r="W10" i="14"/>
  <c r="X10" i="14" s="1"/>
  <c r="W11" i="14"/>
  <c r="X11" i="14" s="1"/>
  <c r="W12" i="14"/>
  <c r="X12" i="14" s="1"/>
  <c r="W13" i="14"/>
  <c r="X13" i="14" s="1"/>
  <c r="W14" i="14"/>
  <c r="X14" i="14" s="1"/>
  <c r="W15" i="14"/>
  <c r="X15" i="14" s="1"/>
  <c r="W16" i="14"/>
  <c r="X16" i="14" s="1"/>
  <c r="W17" i="14"/>
  <c r="X17" i="14" s="1"/>
  <c r="W18" i="14"/>
  <c r="X18" i="14" s="1"/>
  <c r="W19" i="14"/>
  <c r="X19" i="14" s="1"/>
  <c r="W20" i="14"/>
  <c r="X20" i="14" s="1"/>
  <c r="W21" i="14"/>
  <c r="X21" i="14" s="1"/>
  <c r="W22" i="14"/>
  <c r="X22" i="14" s="1"/>
  <c r="W23" i="14"/>
  <c r="X23" i="14" s="1"/>
  <c r="W24" i="14"/>
  <c r="X24" i="14" s="1"/>
  <c r="W25" i="14"/>
  <c r="X25" i="14" s="1"/>
  <c r="W26" i="14"/>
  <c r="X26" i="14" s="1"/>
  <c r="W27" i="14"/>
  <c r="X27" i="14" s="1"/>
  <c r="W28" i="14"/>
  <c r="X28" i="14" s="1"/>
  <c r="W29" i="14"/>
  <c r="X29" i="14" s="1"/>
  <c r="W30" i="14"/>
  <c r="X30" i="14" s="1"/>
  <c r="W31" i="14"/>
  <c r="X31" i="14" s="1"/>
  <c r="W32" i="14"/>
  <c r="X32" i="14" s="1"/>
  <c r="W33" i="14"/>
  <c r="X33" i="14" s="1"/>
  <c r="W34" i="14"/>
  <c r="X34" i="14" s="1"/>
  <c r="W35" i="14"/>
  <c r="X35" i="14" s="1"/>
  <c r="W36" i="14"/>
  <c r="X36" i="14" s="1"/>
  <c r="W37" i="14"/>
  <c r="X37" i="14" s="1"/>
  <c r="W38" i="14"/>
  <c r="X38" i="14" s="1"/>
  <c r="W39" i="14"/>
  <c r="X39" i="14" s="1"/>
  <c r="W40" i="14"/>
  <c r="X40" i="14" s="1"/>
  <c r="W41" i="14"/>
  <c r="X41" i="14" s="1"/>
  <c r="W42" i="14"/>
  <c r="X42" i="14" s="1"/>
  <c r="W43" i="14"/>
  <c r="X43" i="14" s="1"/>
  <c r="W44" i="14"/>
  <c r="X44" i="14" s="1"/>
  <c r="W45" i="14"/>
  <c r="X45" i="14" s="1"/>
  <c r="W46" i="14"/>
  <c r="X46" i="14" s="1"/>
  <c r="W47" i="14"/>
  <c r="X47" i="14" s="1"/>
  <c r="W48" i="14"/>
  <c r="X48" i="14" s="1"/>
  <c r="W49" i="14"/>
  <c r="X49" i="14" s="1"/>
  <c r="W50" i="14"/>
  <c r="X50" i="14" s="1"/>
  <c r="W51" i="14"/>
  <c r="X51" i="14" s="1"/>
  <c r="W52" i="14"/>
  <c r="X52" i="14" s="1"/>
  <c r="W53" i="14"/>
  <c r="X53" i="14" s="1"/>
  <c r="W54" i="14"/>
  <c r="X54" i="14" s="1"/>
  <c r="W55" i="14"/>
  <c r="X55" i="14" s="1"/>
  <c r="W56" i="14"/>
  <c r="X56" i="14" s="1"/>
  <c r="W57" i="14"/>
  <c r="X57" i="14" s="1"/>
  <c r="W58" i="14"/>
  <c r="X58" i="14" s="1"/>
  <c r="W59" i="14"/>
  <c r="X59" i="14" s="1"/>
  <c r="W60" i="14"/>
  <c r="X60" i="14" s="1"/>
  <c r="W61" i="14"/>
  <c r="X61" i="14" s="1"/>
  <c r="W62" i="14"/>
  <c r="X62" i="14" s="1"/>
  <c r="W63" i="14"/>
  <c r="X63" i="14" s="1"/>
  <c r="W64" i="14"/>
  <c r="X64" i="14" s="1"/>
  <c r="W65" i="14"/>
  <c r="X65" i="14" s="1"/>
  <c r="W66" i="14"/>
  <c r="X66" i="14" s="1"/>
  <c r="W67" i="14"/>
  <c r="X67" i="14" s="1"/>
  <c r="W68" i="14"/>
  <c r="X68" i="14" s="1"/>
  <c r="W69" i="14"/>
  <c r="X69" i="14" s="1"/>
  <c r="W70" i="14"/>
  <c r="X70" i="14" s="1"/>
  <c r="W71" i="14"/>
  <c r="X71" i="14" s="1"/>
  <c r="W72" i="14"/>
  <c r="X72" i="14" s="1"/>
  <c r="W73" i="14"/>
  <c r="X73" i="14" s="1"/>
  <c r="W74" i="14"/>
  <c r="X74" i="14" s="1"/>
  <c r="W75" i="14"/>
  <c r="X75" i="14" s="1"/>
  <c r="W76" i="14"/>
  <c r="X76" i="14" s="1"/>
  <c r="W77" i="14"/>
  <c r="X77" i="14" s="1"/>
  <c r="W78" i="14"/>
  <c r="X78" i="14" s="1"/>
  <c r="W79" i="14"/>
  <c r="X79" i="14" s="1"/>
  <c r="W80" i="14"/>
  <c r="X80" i="14" s="1"/>
  <c r="W81" i="14"/>
  <c r="X81" i="14" s="1"/>
  <c r="W82" i="14"/>
  <c r="X82" i="14" s="1"/>
  <c r="W83" i="14"/>
  <c r="X83" i="14" s="1"/>
  <c r="W84" i="14"/>
  <c r="X84" i="14" s="1"/>
  <c r="W85" i="14"/>
  <c r="X85" i="14" s="1"/>
  <c r="W86" i="14"/>
  <c r="X86" i="14" s="1"/>
  <c r="W87" i="14"/>
  <c r="X87" i="14" s="1"/>
  <c r="W88" i="14"/>
  <c r="X88" i="14" s="1"/>
  <c r="W89" i="14"/>
  <c r="X89" i="14" s="1"/>
  <c r="W90" i="14"/>
  <c r="X90" i="14" s="1"/>
  <c r="W91" i="14"/>
  <c r="X91" i="14" s="1"/>
  <c r="W92" i="14"/>
  <c r="X92" i="14" s="1"/>
  <c r="W93" i="14"/>
  <c r="X93" i="14" s="1"/>
  <c r="W94" i="14"/>
  <c r="X94" i="14" s="1"/>
  <c r="W95" i="14"/>
  <c r="X95" i="14" s="1"/>
  <c r="W96" i="14"/>
  <c r="X96" i="14" s="1"/>
  <c r="W97" i="14"/>
  <c r="X97" i="14" s="1"/>
  <c r="W98" i="14"/>
  <c r="X98" i="14" s="1"/>
  <c r="W99" i="14"/>
  <c r="X99" i="14" s="1"/>
  <c r="W100" i="14"/>
  <c r="X100" i="14" s="1"/>
  <c r="W101" i="14"/>
  <c r="X101" i="14" s="1"/>
  <c r="W102" i="14"/>
  <c r="X102" i="14" s="1"/>
  <c r="W103" i="14"/>
  <c r="X103" i="14" s="1"/>
  <c r="W104" i="14"/>
  <c r="X104" i="14" s="1"/>
  <c r="W105" i="14"/>
  <c r="X105" i="14" s="1"/>
  <c r="W106" i="14"/>
  <c r="X106" i="14" s="1"/>
  <c r="W107" i="14"/>
  <c r="X107" i="14" s="1"/>
  <c r="W108" i="14"/>
  <c r="X108" i="14" s="1"/>
  <c r="W109" i="14"/>
  <c r="X109" i="14" s="1"/>
  <c r="W110" i="14"/>
  <c r="X110" i="14" s="1"/>
  <c r="W111" i="14"/>
  <c r="X111" i="14" s="1"/>
  <c r="W112" i="14"/>
  <c r="X112" i="14" s="1"/>
  <c r="W113" i="14"/>
  <c r="X113" i="14" s="1"/>
  <c r="W114" i="14"/>
  <c r="X114" i="14" s="1"/>
  <c r="W115" i="14"/>
  <c r="X115" i="14" s="1"/>
  <c r="W116" i="14"/>
  <c r="X116" i="14" s="1"/>
  <c r="W117" i="14"/>
  <c r="X117" i="14" s="1"/>
  <c r="W118" i="14"/>
  <c r="X118" i="14" s="1"/>
  <c r="W119" i="14"/>
  <c r="X119" i="14" s="1"/>
  <c r="W120" i="14"/>
  <c r="X120" i="14" s="1"/>
  <c r="W121" i="14"/>
  <c r="X121" i="14" s="1"/>
  <c r="W122" i="14"/>
  <c r="X122" i="14" s="1"/>
  <c r="W123" i="14"/>
  <c r="X123" i="14" s="1"/>
  <c r="W124" i="14"/>
  <c r="X124" i="14" s="1"/>
  <c r="W125" i="14"/>
  <c r="X125" i="14" s="1"/>
  <c r="W126" i="14"/>
  <c r="X126" i="14" s="1"/>
  <c r="W127" i="14"/>
  <c r="X127" i="14" s="1"/>
  <c r="W128" i="14"/>
  <c r="X128" i="14" s="1"/>
  <c r="W129" i="14"/>
  <c r="X129" i="14" s="1"/>
  <c r="W130" i="14"/>
  <c r="X130" i="14" s="1"/>
  <c r="W131" i="14"/>
  <c r="X131" i="14" s="1"/>
  <c r="W132" i="14"/>
  <c r="X132" i="14" s="1"/>
  <c r="W133" i="14"/>
  <c r="X133" i="14" s="1"/>
  <c r="W134" i="14"/>
  <c r="X134" i="14" s="1"/>
  <c r="W135" i="14"/>
  <c r="X135" i="14" s="1"/>
  <c r="W136" i="14"/>
  <c r="X136" i="14" s="1"/>
  <c r="W137" i="14"/>
  <c r="X137" i="14" s="1"/>
  <c r="W138" i="14"/>
  <c r="X138" i="14" s="1"/>
  <c r="W139" i="14"/>
  <c r="X139" i="14" s="1"/>
  <c r="W140" i="14"/>
  <c r="X140" i="14" s="1"/>
  <c r="W141" i="14"/>
  <c r="X141" i="14" s="1"/>
  <c r="W142" i="14"/>
  <c r="X142" i="14" s="1"/>
  <c r="W143" i="14"/>
  <c r="X143" i="14" s="1"/>
  <c r="W144" i="14"/>
  <c r="X144" i="14" s="1"/>
  <c r="W145" i="14"/>
  <c r="X145" i="14" s="1"/>
  <c r="W146" i="14"/>
  <c r="X146" i="14" s="1"/>
  <c r="W147" i="14"/>
  <c r="X147" i="14" s="1"/>
  <c r="W148" i="14"/>
  <c r="X148" i="14" s="1"/>
  <c r="W149" i="14"/>
  <c r="X149" i="14" s="1"/>
  <c r="W150" i="14"/>
  <c r="X150" i="14" s="1"/>
  <c r="W151" i="14"/>
  <c r="X151" i="14" s="1"/>
  <c r="W152" i="14"/>
  <c r="X152" i="14" s="1"/>
  <c r="W153" i="14"/>
  <c r="X153" i="14" s="1"/>
  <c r="W154" i="14"/>
  <c r="X154" i="14" s="1"/>
  <c r="W155" i="14"/>
  <c r="X155" i="14" s="1"/>
  <c r="C8" i="33" l="1"/>
  <c r="C10" i="33"/>
  <c r="C11" i="33"/>
  <c r="C12" i="33"/>
  <c r="C13" i="33"/>
  <c r="C14" i="33"/>
  <c r="D46" i="41"/>
  <c r="A6" i="46"/>
  <c r="AH6" i="14"/>
  <c r="AH8" i="14"/>
  <c r="AH10" i="14"/>
  <c r="AH12" i="14"/>
  <c r="AH16" i="14"/>
  <c r="A15" i="120"/>
  <c r="A16" i="120"/>
  <c r="A17" i="120"/>
  <c r="A18" i="120"/>
  <c r="A19" i="120"/>
  <c r="A20" i="120"/>
  <c r="A21" i="120"/>
  <c r="A22" i="120"/>
  <c r="A23" i="120"/>
  <c r="A24" i="120"/>
  <c r="A25" i="120"/>
  <c r="A26" i="120"/>
  <c r="A27" i="120"/>
  <c r="A28" i="120"/>
  <c r="A29" i="120"/>
  <c r="A30" i="120"/>
  <c r="A31" i="120"/>
  <c r="A32" i="120"/>
  <c r="A33" i="120"/>
  <c r="A34" i="120"/>
  <c r="A35" i="120"/>
  <c r="A36" i="120"/>
  <c r="A37" i="120"/>
  <c r="A38" i="120"/>
  <c r="A39" i="120"/>
  <c r="A40" i="120"/>
  <c r="A41" i="120"/>
  <c r="C6" i="33"/>
  <c r="C7" i="33" s="1"/>
  <c r="A8" i="33"/>
  <c r="A10" i="33"/>
  <c r="A12" i="33"/>
  <c r="A13"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46" i="33"/>
  <c r="A47" i="33"/>
  <c r="A48" i="33"/>
  <c r="A49" i="33"/>
  <c r="A50" i="33"/>
  <c r="A51" i="33"/>
  <c r="A52" i="33"/>
  <c r="A53" i="33"/>
  <c r="A54" i="33"/>
  <c r="A55" i="33"/>
  <c r="A56"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C24" i="17"/>
  <c r="A4" i="85"/>
  <c r="A5" i="85"/>
  <c r="A6" i="85"/>
  <c r="A7" i="85"/>
  <c r="A8" i="85"/>
  <c r="A9" i="85"/>
  <c r="A10" i="85"/>
  <c r="A11" i="85"/>
  <c r="A12" i="85"/>
  <c r="A13" i="85"/>
  <c r="A14" i="85"/>
  <c r="A15" i="85"/>
  <c r="A16" i="85"/>
  <c r="A17" i="85"/>
  <c r="A18" i="85"/>
  <c r="A19" i="85"/>
  <c r="A20" i="85"/>
  <c r="A21" i="85"/>
  <c r="A22" i="85"/>
  <c r="A23" i="85"/>
  <c r="A24" i="85"/>
  <c r="A25" i="85"/>
  <c r="A26" i="85"/>
  <c r="A27" i="85"/>
  <c r="A28" i="85"/>
  <c r="A29" i="85"/>
  <c r="A30" i="85"/>
  <c r="A31" i="85"/>
  <c r="A32" i="85"/>
  <c r="A33" i="85"/>
  <c r="A34" i="85"/>
  <c r="A35" i="85"/>
  <c r="A36" i="85"/>
  <c r="A37" i="85"/>
  <c r="A38" i="85"/>
  <c r="A39" i="85"/>
  <c r="A40" i="85"/>
  <c r="A41" i="85"/>
  <c r="A2" i="120"/>
  <c r="C2" i="120" s="1"/>
  <c r="C1" i="120"/>
  <c r="D1" i="120"/>
  <c r="B40" i="17"/>
  <c r="W40" i="17" s="1"/>
  <c r="B36" i="17"/>
  <c r="B37" i="17"/>
  <c r="B38" i="17"/>
  <c r="B39" i="17"/>
  <c r="B41" i="17"/>
  <c r="P41" i="17" s="1"/>
  <c r="B42" i="17"/>
  <c r="P42" i="17" s="1"/>
  <c r="B43" i="17"/>
  <c r="P43" i="17" s="1"/>
  <c r="B44" i="17"/>
  <c r="P44" i="17" s="1"/>
  <c r="B45" i="17"/>
  <c r="P45" i="17" s="1"/>
  <c r="B46" i="17"/>
  <c r="P46" i="17" s="1"/>
  <c r="B47" i="17"/>
  <c r="P47" i="17" s="1"/>
  <c r="B48" i="17"/>
  <c r="P48" i="17" s="1"/>
  <c r="B49" i="17"/>
  <c r="P49" i="17" s="1"/>
  <c r="U50" i="17"/>
  <c r="W50" i="17"/>
  <c r="AI50" i="17" s="1"/>
  <c r="AT50" i="17"/>
  <c r="K51" i="17"/>
  <c r="U51" i="17"/>
  <c r="W51" i="17"/>
  <c r="AI51" i="17" s="1"/>
  <c r="X51" i="17"/>
  <c r="AT51" i="17"/>
  <c r="AZ51" i="17"/>
  <c r="K52" i="17"/>
  <c r="U52" i="17"/>
  <c r="X52" i="17"/>
  <c r="AT52" i="17"/>
  <c r="AZ52" i="17"/>
  <c r="K53" i="17"/>
  <c r="U53" i="17"/>
  <c r="AT53" i="17"/>
  <c r="U54" i="17"/>
  <c r="W54" i="17"/>
  <c r="AI54" i="17" s="1"/>
  <c r="AT54" i="17"/>
  <c r="K55" i="17"/>
  <c r="U55" i="17"/>
  <c r="W55" i="17"/>
  <c r="AI55" i="17" s="1"/>
  <c r="X55" i="17"/>
  <c r="AT55" i="17"/>
  <c r="AZ55" i="17"/>
  <c r="K56" i="17"/>
  <c r="U56" i="17"/>
  <c r="X56" i="17"/>
  <c r="AT56" i="17"/>
  <c r="AZ56" i="17"/>
  <c r="K57" i="17"/>
  <c r="U57" i="17"/>
  <c r="AT57" i="17"/>
  <c r="U58" i="17"/>
  <c r="W58" i="17"/>
  <c r="AI58" i="17" s="1"/>
  <c r="AT58" i="17"/>
  <c r="K59" i="17"/>
  <c r="U59" i="17"/>
  <c r="W59" i="17"/>
  <c r="AI59" i="17" s="1"/>
  <c r="X59" i="17"/>
  <c r="AT59" i="17"/>
  <c r="AZ59" i="17"/>
  <c r="K60" i="17"/>
  <c r="U60" i="17"/>
  <c r="X60" i="17"/>
  <c r="AT60" i="17"/>
  <c r="AZ60" i="17"/>
  <c r="K61" i="17"/>
  <c r="U61" i="17"/>
  <c r="AT61" i="17"/>
  <c r="U62" i="17"/>
  <c r="W62" i="17"/>
  <c r="AI62" i="17" s="1"/>
  <c r="AT62" i="17"/>
  <c r="K63" i="17"/>
  <c r="U63" i="17"/>
  <c r="W63" i="17"/>
  <c r="AI63" i="17" s="1"/>
  <c r="X63" i="17"/>
  <c r="AT63" i="17"/>
  <c r="AZ63" i="17"/>
  <c r="K64" i="17"/>
  <c r="U64" i="17"/>
  <c r="X64" i="17"/>
  <c r="AT64" i="17"/>
  <c r="AZ64" i="17"/>
  <c r="K65" i="17"/>
  <c r="U65" i="17"/>
  <c r="AT65" i="17"/>
  <c r="U66" i="17"/>
  <c r="W66" i="17"/>
  <c r="AI66" i="17" s="1"/>
  <c r="AT66" i="17"/>
  <c r="K67" i="17"/>
  <c r="U67" i="17"/>
  <c r="W67" i="17"/>
  <c r="AI67" i="17" s="1"/>
  <c r="X67" i="17"/>
  <c r="AT67" i="17"/>
  <c r="AZ67" i="17"/>
  <c r="K68" i="17"/>
  <c r="U68" i="17"/>
  <c r="AT68" i="17"/>
  <c r="AZ68" i="17"/>
  <c r="U70" i="17"/>
  <c r="W70" i="17"/>
  <c r="AI70" i="17" s="1"/>
  <c r="X70" i="17"/>
  <c r="AT70" i="17"/>
  <c r="AZ70" i="17"/>
  <c r="K71" i="17"/>
  <c r="U71" i="17"/>
  <c r="W71" i="17"/>
  <c r="AI71" i="17" s="1"/>
  <c r="X71" i="17"/>
  <c r="AT71" i="17"/>
  <c r="AZ71" i="17"/>
  <c r="AT72" i="17"/>
  <c r="K73" i="17"/>
  <c r="AL73" i="17" s="1"/>
  <c r="U73" i="17"/>
  <c r="X74" i="17"/>
  <c r="AZ74" i="17"/>
  <c r="K75" i="17"/>
  <c r="U75" i="17"/>
  <c r="W75" i="17"/>
  <c r="AI75" i="17" s="1"/>
  <c r="X75" i="17"/>
  <c r="AT75" i="17"/>
  <c r="AZ75" i="17"/>
  <c r="K76" i="17"/>
  <c r="AL76" i="17" s="1"/>
  <c r="U76" i="17"/>
  <c r="AT76" i="17"/>
  <c r="AZ76" i="17"/>
  <c r="U78" i="17"/>
  <c r="W78" i="17"/>
  <c r="AI78" i="17" s="1"/>
  <c r="X78" i="17"/>
  <c r="AT78" i="17"/>
  <c r="AZ78" i="17"/>
  <c r="K79" i="17"/>
  <c r="U79" i="17"/>
  <c r="W79" i="17"/>
  <c r="AI79" i="17" s="1"/>
  <c r="X79" i="17"/>
  <c r="AT79" i="17"/>
  <c r="AZ79" i="17"/>
  <c r="K81" i="17"/>
  <c r="U81" i="17"/>
  <c r="W81" i="17"/>
  <c r="AI81" i="17" s="1"/>
  <c r="X81" i="17"/>
  <c r="AT81" i="17"/>
  <c r="AZ81" i="17"/>
  <c r="K82" i="17"/>
  <c r="U82" i="17"/>
  <c r="W82" i="17"/>
  <c r="AI82" i="17" s="1"/>
  <c r="X82" i="17"/>
  <c r="AT82" i="17"/>
  <c r="AZ82" i="17"/>
  <c r="U83" i="17"/>
  <c r="AT83" i="17"/>
  <c r="U84" i="17"/>
  <c r="W84" i="17"/>
  <c r="AI84" i="17" s="1"/>
  <c r="AT84" i="17"/>
  <c r="K85" i="17"/>
  <c r="U85" i="17"/>
  <c r="W85" i="17"/>
  <c r="AI85" i="17" s="1"/>
  <c r="X85" i="17"/>
  <c r="AT85" i="17"/>
  <c r="AZ85" i="17"/>
  <c r="K86" i="17"/>
  <c r="U86" i="17"/>
  <c r="W86" i="17"/>
  <c r="AI86" i="17" s="1"/>
  <c r="X86" i="17"/>
  <c r="AT86" i="17"/>
  <c r="AZ86" i="17"/>
  <c r="U88" i="17"/>
  <c r="W88" i="17"/>
  <c r="AI88" i="17" s="1"/>
  <c r="AT88" i="17"/>
  <c r="K89" i="17"/>
  <c r="U89" i="17"/>
  <c r="W89" i="17"/>
  <c r="AI89" i="17" s="1"/>
  <c r="X89" i="17"/>
  <c r="AT89" i="17"/>
  <c r="AZ89" i="17"/>
  <c r="K90" i="17"/>
  <c r="U90" i="17"/>
  <c r="W90" i="17"/>
  <c r="AI90" i="17" s="1"/>
  <c r="X90" i="17"/>
  <c r="AT90" i="17"/>
  <c r="AZ90" i="17"/>
  <c r="U92" i="17"/>
  <c r="W92" i="17"/>
  <c r="AI92" i="17" s="1"/>
  <c r="AT92" i="17"/>
  <c r="K93" i="17"/>
  <c r="U93" i="17"/>
  <c r="W93" i="17"/>
  <c r="AI93" i="17" s="1"/>
  <c r="X93" i="17"/>
  <c r="AT93" i="17"/>
  <c r="AZ93" i="17"/>
  <c r="K94" i="17"/>
  <c r="U94" i="17"/>
  <c r="W94" i="17"/>
  <c r="AI94" i="17" s="1"/>
  <c r="X94" i="17"/>
  <c r="AT94" i="17"/>
  <c r="AZ94" i="17"/>
  <c r="U95" i="17"/>
  <c r="AT95" i="17"/>
  <c r="U96" i="17"/>
  <c r="W96" i="17"/>
  <c r="AI96" i="17" s="1"/>
  <c r="AT96" i="17"/>
  <c r="K97" i="17"/>
  <c r="U97" i="17"/>
  <c r="W97" i="17"/>
  <c r="AI97" i="17" s="1"/>
  <c r="X97" i="17"/>
  <c r="AT97" i="17"/>
  <c r="AZ97" i="17"/>
  <c r="K98" i="17"/>
  <c r="U98" i="17"/>
  <c r="W98" i="17"/>
  <c r="AI98" i="17" s="1"/>
  <c r="X98" i="17"/>
  <c r="AT98" i="17"/>
  <c r="AZ98" i="17"/>
  <c r="U99" i="17"/>
  <c r="AT99" i="17"/>
  <c r="U100" i="17"/>
  <c r="W100" i="17"/>
  <c r="AI100" i="17" s="1"/>
  <c r="AT100" i="17"/>
  <c r="K101" i="17"/>
  <c r="U101" i="17"/>
  <c r="W101" i="17"/>
  <c r="AI101" i="17" s="1"/>
  <c r="X101" i="17"/>
  <c r="AT101" i="17"/>
  <c r="AZ101" i="17"/>
  <c r="K102" i="17"/>
  <c r="U102" i="17"/>
  <c r="W102" i="17"/>
  <c r="AI102" i="17" s="1"/>
  <c r="X102" i="17"/>
  <c r="AT102" i="17"/>
  <c r="AZ102" i="17"/>
  <c r="C4" i="33"/>
  <c r="A4" i="33" s="1"/>
  <c r="J3" i="23"/>
  <c r="D22" i="41"/>
  <c r="C1" i="46"/>
  <c r="D56" i="23"/>
  <c r="D36" i="23"/>
  <c r="F1" i="119"/>
  <c r="F1" i="53"/>
  <c r="S5" i="55"/>
  <c r="S6" i="55"/>
  <c r="S7" i="55"/>
  <c r="S8" i="55"/>
  <c r="S9" i="55"/>
  <c r="S10" i="55"/>
  <c r="S11" i="55"/>
  <c r="S12" i="55"/>
  <c r="S13" i="55"/>
  <c r="S14" i="55"/>
  <c r="S15" i="55"/>
  <c r="S16" i="55"/>
  <c r="S17" i="55"/>
  <c r="S18" i="55"/>
  <c r="S19" i="55"/>
  <c r="S20" i="55"/>
  <c r="S21" i="55"/>
  <c r="S22" i="55"/>
  <c r="S23" i="55"/>
  <c r="S24" i="55"/>
  <c r="S25" i="55"/>
  <c r="S26" i="55"/>
  <c r="S27" i="55"/>
  <c r="S28" i="55"/>
  <c r="S29" i="55"/>
  <c r="S30" i="55"/>
  <c r="S31" i="55"/>
  <c r="S32" i="55"/>
  <c r="S33" i="55"/>
  <c r="S34" i="55"/>
  <c r="S35" i="55"/>
  <c r="S36" i="55"/>
  <c r="S37" i="55"/>
  <c r="S38" i="55"/>
  <c r="S39" i="55"/>
  <c r="S40" i="55"/>
  <c r="S41" i="55"/>
  <c r="S4" i="55"/>
  <c r="I7" i="115"/>
  <c r="I8" i="115"/>
  <c r="I9" i="115"/>
  <c r="I10" i="115"/>
  <c r="I11" i="115"/>
  <c r="I12" i="115"/>
  <c r="I13" i="115"/>
  <c r="I14" i="115"/>
  <c r="I15" i="115"/>
  <c r="I16" i="115"/>
  <c r="I17" i="115"/>
  <c r="I18" i="115"/>
  <c r="I19" i="115"/>
  <c r="I20" i="115"/>
  <c r="I21" i="115"/>
  <c r="I22" i="115"/>
  <c r="I23" i="115"/>
  <c r="I24" i="115"/>
  <c r="I25" i="115"/>
  <c r="I26" i="115"/>
  <c r="I27" i="115"/>
  <c r="I28" i="115"/>
  <c r="I29" i="115"/>
  <c r="I30" i="115"/>
  <c r="I31" i="115"/>
  <c r="I32" i="115"/>
  <c r="I33" i="115"/>
  <c r="I34" i="115"/>
  <c r="I35" i="115"/>
  <c r="I36" i="115"/>
  <c r="I37" i="115"/>
  <c r="I38" i="115"/>
  <c r="I39" i="115"/>
  <c r="I40" i="115"/>
  <c r="I41" i="115"/>
  <c r="I42" i="115"/>
  <c r="I43" i="115"/>
  <c r="I44" i="115"/>
  <c r="I45" i="115"/>
  <c r="I46" i="115"/>
  <c r="I47" i="115"/>
  <c r="I48" i="115"/>
  <c r="I49" i="115"/>
  <c r="I50" i="115"/>
  <c r="I51" i="115"/>
  <c r="I52" i="115"/>
  <c r="I53" i="115"/>
  <c r="I54" i="115"/>
  <c r="I55" i="115"/>
  <c r="I56" i="115"/>
  <c r="I57" i="115"/>
  <c r="I58" i="115"/>
  <c r="I59" i="115"/>
  <c r="I60" i="115"/>
  <c r="I61" i="115"/>
  <c r="I62" i="115"/>
  <c r="I63" i="115"/>
  <c r="I64" i="115"/>
  <c r="I65" i="115"/>
  <c r="I66" i="115"/>
  <c r="I67" i="115"/>
  <c r="I68" i="115"/>
  <c r="I69" i="115"/>
  <c r="I70" i="115"/>
  <c r="I71" i="115"/>
  <c r="I72" i="115"/>
  <c r="I73" i="115"/>
  <c r="I74" i="115"/>
  <c r="I75" i="115"/>
  <c r="I76" i="115"/>
  <c r="I77" i="115"/>
  <c r="I78" i="115"/>
  <c r="I79" i="115"/>
  <c r="I80" i="115"/>
  <c r="I81" i="115"/>
  <c r="I82" i="115"/>
  <c r="I83" i="115"/>
  <c r="I84" i="115"/>
  <c r="I85" i="115"/>
  <c r="I86" i="115"/>
  <c r="I87" i="115"/>
  <c r="I88" i="115"/>
  <c r="I89" i="115"/>
  <c r="I90" i="115"/>
  <c r="I91" i="115"/>
  <c r="I92" i="115"/>
  <c r="I93" i="115"/>
  <c r="I94" i="115"/>
  <c r="I95" i="115"/>
  <c r="I96" i="115"/>
  <c r="I97" i="115"/>
  <c r="I98" i="115"/>
  <c r="I99" i="115"/>
  <c r="I100" i="115"/>
  <c r="BA29" i="17"/>
  <c r="BA30" i="17"/>
  <c r="BA31" i="17"/>
  <c r="BA32" i="17"/>
  <c r="BA33" i="17"/>
  <c r="BA34" i="17"/>
  <c r="BA35" i="17"/>
  <c r="BA36" i="17"/>
  <c r="BA37" i="17"/>
  <c r="BA38" i="17"/>
  <c r="BA39" i="17"/>
  <c r="BA40" i="17"/>
  <c r="BA41" i="17"/>
  <c r="BA42" i="17"/>
  <c r="BA43" i="17"/>
  <c r="BA44" i="17"/>
  <c r="BA45" i="17"/>
  <c r="BA46" i="17"/>
  <c r="BA47" i="17"/>
  <c r="BA48" i="17"/>
  <c r="BA49" i="17"/>
  <c r="BA50" i="17"/>
  <c r="BA51" i="17"/>
  <c r="BA52" i="17"/>
  <c r="BA53" i="17"/>
  <c r="BA54" i="17"/>
  <c r="BA55" i="17"/>
  <c r="BA56" i="17"/>
  <c r="BA57" i="17"/>
  <c r="BA58" i="17"/>
  <c r="BA59" i="17"/>
  <c r="BA60" i="17"/>
  <c r="BA61" i="17"/>
  <c r="BA62" i="17"/>
  <c r="BA63" i="17"/>
  <c r="BA64" i="17"/>
  <c r="BA65" i="17"/>
  <c r="BA66" i="17"/>
  <c r="BA67" i="17"/>
  <c r="BA68" i="17"/>
  <c r="BA69" i="17"/>
  <c r="BA70" i="17"/>
  <c r="BA71" i="17"/>
  <c r="BA72" i="17"/>
  <c r="BA73" i="17"/>
  <c r="BA74" i="17"/>
  <c r="BA75" i="17"/>
  <c r="BA76" i="17"/>
  <c r="BA77" i="17"/>
  <c r="BA78" i="17"/>
  <c r="BA79" i="17"/>
  <c r="BA80" i="17"/>
  <c r="BA81" i="17"/>
  <c r="BA82" i="17"/>
  <c r="BA83" i="17"/>
  <c r="BA84" i="17"/>
  <c r="BA85" i="17"/>
  <c r="BA86" i="17"/>
  <c r="BA87" i="17"/>
  <c r="BA88" i="17"/>
  <c r="BA89" i="17"/>
  <c r="BA90" i="17"/>
  <c r="BA91" i="17"/>
  <c r="BA92" i="17"/>
  <c r="BA93" i="17"/>
  <c r="BA94" i="17"/>
  <c r="BA95" i="17"/>
  <c r="BA96" i="17"/>
  <c r="BA97" i="17"/>
  <c r="BA98" i="17"/>
  <c r="BA99" i="17"/>
  <c r="BA100" i="17"/>
  <c r="BA101" i="17"/>
  <c r="BA102" i="17"/>
  <c r="BA28" i="17"/>
  <c r="D33" i="46"/>
  <c r="B182" i="33"/>
  <c r="B181" i="33"/>
  <c r="B180" i="33"/>
  <c r="B179" i="33"/>
  <c r="B178" i="33"/>
  <c r="B177" i="33"/>
  <c r="B176" i="33"/>
  <c r="B175" i="33"/>
  <c r="B174" i="33"/>
  <c r="Q170" i="33"/>
  <c r="F6" i="9"/>
  <c r="F5" i="9"/>
  <c r="X18" i="55"/>
  <c r="C134" i="74"/>
  <c r="A134" i="74" s="1"/>
  <c r="L135" i="74"/>
  <c r="L136" i="74"/>
  <c r="L137" i="74"/>
  <c r="L138" i="74"/>
  <c r="L139" i="74"/>
  <c r="L140" i="74"/>
  <c r="L141" i="74"/>
  <c r="L142" i="74"/>
  <c r="L143" i="74"/>
  <c r="L144" i="74"/>
  <c r="L145" i="74"/>
  <c r="L146" i="74"/>
  <c r="L147" i="74"/>
  <c r="L148" i="74"/>
  <c r="L149" i="74"/>
  <c r="L150" i="74"/>
  <c r="L151" i="74"/>
  <c r="L152" i="74"/>
  <c r="L153" i="74"/>
  <c r="L154" i="74"/>
  <c r="L155" i="74"/>
  <c r="L156" i="74"/>
  <c r="L157" i="74"/>
  <c r="L158" i="74"/>
  <c r="L159" i="74"/>
  <c r="L160" i="74"/>
  <c r="L161" i="74"/>
  <c r="L162" i="74"/>
  <c r="L163" i="74"/>
  <c r="L164" i="74"/>
  <c r="L165" i="74"/>
  <c r="L166" i="74"/>
  <c r="L167" i="74"/>
  <c r="L168" i="74"/>
  <c r="L169" i="74"/>
  <c r="L170" i="74"/>
  <c r="L171" i="74"/>
  <c r="L172" i="74"/>
  <c r="L173" i="74"/>
  <c r="L174" i="74"/>
  <c r="L175" i="74"/>
  <c r="L176" i="74"/>
  <c r="L177" i="74"/>
  <c r="L178" i="74"/>
  <c r="L179" i="74"/>
  <c r="L180" i="74"/>
  <c r="L181" i="74"/>
  <c r="L182" i="74"/>
  <c r="L183" i="74"/>
  <c r="L184" i="74"/>
  <c r="L185" i="74"/>
  <c r="L186" i="74"/>
  <c r="L187" i="74"/>
  <c r="L188" i="74"/>
  <c r="L189" i="74"/>
  <c r="L190" i="74"/>
  <c r="L191" i="74"/>
  <c r="L192" i="74"/>
  <c r="L193" i="74"/>
  <c r="L194" i="74"/>
  <c r="L195" i="74"/>
  <c r="L196" i="74"/>
  <c r="L197" i="74"/>
  <c r="L198" i="74"/>
  <c r="L199" i="74"/>
  <c r="L200" i="74"/>
  <c r="L201" i="74"/>
  <c r="L202" i="74"/>
  <c r="L203" i="74"/>
  <c r="L204" i="74"/>
  <c r="L205" i="74"/>
  <c r="L206" i="74"/>
  <c r="L207" i="74"/>
  <c r="L208" i="74"/>
  <c r="L209" i="74"/>
  <c r="L210" i="74"/>
  <c r="L211" i="74"/>
  <c r="L212" i="74"/>
  <c r="L213" i="74"/>
  <c r="L214" i="74"/>
  <c r="L215" i="74"/>
  <c r="L216" i="74"/>
  <c r="L217" i="74"/>
  <c r="L218" i="74"/>
  <c r="L219" i="74"/>
  <c r="L220" i="74"/>
  <c r="L221" i="74"/>
  <c r="L222" i="74"/>
  <c r="L223" i="74"/>
  <c r="L224" i="74"/>
  <c r="L225" i="74"/>
  <c r="L226" i="74"/>
  <c r="L227" i="74"/>
  <c r="L228" i="74"/>
  <c r="L229" i="74"/>
  <c r="L230" i="74"/>
  <c r="L231" i="74"/>
  <c r="L232" i="74"/>
  <c r="L233" i="74"/>
  <c r="L234" i="74"/>
  <c r="L134" i="74"/>
  <c r="F2" i="23"/>
  <c r="E1" i="17"/>
  <c r="AV14" i="86"/>
  <c r="AV15" i="86"/>
  <c r="AV16" i="86"/>
  <c r="AV17" i="86"/>
  <c r="AV18" i="86"/>
  <c r="AV19" i="86"/>
  <c r="AV20" i="86"/>
  <c r="AV21" i="86"/>
  <c r="AV22" i="86"/>
  <c r="AV23" i="86"/>
  <c r="AV24" i="86"/>
  <c r="AV25" i="86"/>
  <c r="AV26" i="86"/>
  <c r="AV27" i="86"/>
  <c r="AV28" i="86"/>
  <c r="AV29" i="86"/>
  <c r="AV30" i="86"/>
  <c r="AV31" i="86"/>
  <c r="AV32" i="86"/>
  <c r="AV33" i="86"/>
  <c r="AV34" i="86"/>
  <c r="AV35" i="86"/>
  <c r="AV36" i="86"/>
  <c r="AV37" i="86"/>
  <c r="AV38" i="86"/>
  <c r="AV39" i="86"/>
  <c r="AV40" i="86"/>
  <c r="AV41" i="86"/>
  <c r="AV42" i="86"/>
  <c r="AV43" i="86"/>
  <c r="AV44" i="86"/>
  <c r="AV45" i="86"/>
  <c r="AV46" i="86"/>
  <c r="AV47" i="86"/>
  <c r="AV48" i="86"/>
  <c r="AP22" i="86" a="1"/>
  <c r="AP22" i="86" s="1"/>
  <c r="AQ39" i="86" a="1"/>
  <c r="AQ39" i="86" s="1"/>
  <c r="AP41" i="86" a="1"/>
  <c r="AP41" i="86" s="1"/>
  <c r="AO42" i="86" a="1"/>
  <c r="AO42" i="86" s="1"/>
  <c r="AQ48" i="86" a="1"/>
  <c r="AQ48" i="86" s="1"/>
  <c r="G57" i="23"/>
  <c r="T9" i="51"/>
  <c r="T10" i="51"/>
  <c r="T11" i="51"/>
  <c r="T12" i="51"/>
  <c r="T13" i="51"/>
  <c r="T14" i="51"/>
  <c r="T15" i="51"/>
  <c r="T16" i="51"/>
  <c r="T17" i="51"/>
  <c r="T18" i="51"/>
  <c r="T19" i="51"/>
  <c r="T20" i="51"/>
  <c r="T21" i="51"/>
  <c r="T22" i="51"/>
  <c r="T23" i="51"/>
  <c r="T24" i="51"/>
  <c r="T25" i="51"/>
  <c r="T26" i="51"/>
  <c r="T27" i="51"/>
  <c r="T28" i="51"/>
  <c r="T29" i="51"/>
  <c r="T30" i="51"/>
  <c r="T31" i="51"/>
  <c r="T32" i="51"/>
  <c r="T33" i="51"/>
  <c r="T34" i="51"/>
  <c r="T35" i="51"/>
  <c r="T36" i="51"/>
  <c r="T37" i="51"/>
  <c r="T38" i="51"/>
  <c r="T39" i="51"/>
  <c r="T40" i="51"/>
  <c r="T41" i="51"/>
  <c r="T42" i="51"/>
  <c r="T43" i="51"/>
  <c r="T44" i="51"/>
  <c r="T45" i="51"/>
  <c r="T46" i="51"/>
  <c r="T47" i="51"/>
  <c r="T48" i="51"/>
  <c r="T49" i="51"/>
  <c r="T50" i="51"/>
  <c r="T51" i="51"/>
  <c r="T52" i="51"/>
  <c r="T53" i="51"/>
  <c r="T54" i="51"/>
  <c r="T55" i="51"/>
  <c r="T56" i="51"/>
  <c r="T57" i="51"/>
  <c r="T58" i="51"/>
  <c r="T59" i="51"/>
  <c r="T60" i="51"/>
  <c r="T61" i="51"/>
  <c r="T62" i="51"/>
  <c r="T63" i="51"/>
  <c r="T64" i="51"/>
  <c r="T65" i="51"/>
  <c r="T66" i="51"/>
  <c r="T67" i="51"/>
  <c r="T68" i="51"/>
  <c r="T69" i="51"/>
  <c r="T70" i="51"/>
  <c r="T71" i="51"/>
  <c r="T72" i="51"/>
  <c r="T73" i="51"/>
  <c r="T74" i="51"/>
  <c r="T75" i="51"/>
  <c r="T76" i="51"/>
  <c r="T77" i="51"/>
  <c r="T78" i="51"/>
  <c r="T79" i="51"/>
  <c r="T80" i="51"/>
  <c r="T81" i="51"/>
  <c r="T82" i="51"/>
  <c r="T83" i="51"/>
  <c r="T84" i="51"/>
  <c r="T85" i="51"/>
  <c r="T86" i="51"/>
  <c r="T87" i="51"/>
  <c r="T88" i="51"/>
  <c r="T89" i="51"/>
  <c r="T90" i="51"/>
  <c r="T91" i="51"/>
  <c r="T92" i="51"/>
  <c r="T93" i="51"/>
  <c r="T94" i="51"/>
  <c r="T95" i="51"/>
  <c r="T96" i="51"/>
  <c r="T97" i="51"/>
  <c r="T98" i="51"/>
  <c r="T99" i="51"/>
  <c r="T100" i="51"/>
  <c r="T101" i="51"/>
  <c r="T102" i="51"/>
  <c r="T103" i="51"/>
  <c r="T104" i="51"/>
  <c r="T105" i="51"/>
  <c r="T106" i="51"/>
  <c r="T107" i="51"/>
  <c r="T108" i="51"/>
  <c r="T109" i="51"/>
  <c r="T110" i="51"/>
  <c r="T111" i="51"/>
  <c r="T112" i="51"/>
  <c r="T113" i="51"/>
  <c r="T114" i="51"/>
  <c r="T115" i="51"/>
  <c r="T116" i="51"/>
  <c r="T117" i="51"/>
  <c r="T118" i="51"/>
  <c r="T119" i="51"/>
  <c r="T120" i="51"/>
  <c r="T121" i="51"/>
  <c r="T122" i="51"/>
  <c r="T123" i="51"/>
  <c r="T124" i="51"/>
  <c r="T125" i="51"/>
  <c r="T126" i="51"/>
  <c r="T127" i="51"/>
  <c r="T128" i="51"/>
  <c r="T129" i="51"/>
  <c r="T130" i="51"/>
  <c r="T131" i="51"/>
  <c r="T132" i="51"/>
  <c r="T133" i="51"/>
  <c r="T134" i="51"/>
  <c r="T135" i="51"/>
  <c r="T136" i="51"/>
  <c r="T137" i="51"/>
  <c r="T138" i="51"/>
  <c r="T139" i="51"/>
  <c r="T140" i="51"/>
  <c r="T141" i="51"/>
  <c r="T142" i="51"/>
  <c r="T143" i="51"/>
  <c r="F10" i="112"/>
  <c r="F8" i="112"/>
  <c r="F6" i="112"/>
  <c r="F4" i="112"/>
  <c r="E10" i="112"/>
  <c r="E8" i="112"/>
  <c r="E6" i="112"/>
  <c r="E4" i="112"/>
  <c r="R19" i="86"/>
  <c r="R20" i="86"/>
  <c r="R21" i="86"/>
  <c r="R22" i="86"/>
  <c r="R23" i="86"/>
  <c r="R24" i="86"/>
  <c r="R25" i="86"/>
  <c r="R26" i="86"/>
  <c r="R27" i="86"/>
  <c r="R28" i="86"/>
  <c r="R29" i="86"/>
  <c r="R30" i="86"/>
  <c r="R31" i="86"/>
  <c r="R18" i="86"/>
  <c r="D102" i="78"/>
  <c r="D100" i="78"/>
  <c r="D98" i="78"/>
  <c r="D96" i="78"/>
  <c r="E102" i="78"/>
  <c r="E100" i="78"/>
  <c r="E98" i="78"/>
  <c r="E96" i="78"/>
  <c r="C15" i="33"/>
  <c r="I8" i="40"/>
  <c r="I9" i="40"/>
  <c r="I10" i="40"/>
  <c r="I11" i="40"/>
  <c r="I12" i="40"/>
  <c r="I13" i="40"/>
  <c r="I14" i="40"/>
  <c r="I15" i="40"/>
  <c r="I16" i="40"/>
  <c r="I17" i="40"/>
  <c r="I18" i="40"/>
  <c r="I19" i="40"/>
  <c r="I20" i="40"/>
  <c r="I21" i="40"/>
  <c r="I22" i="40"/>
  <c r="I23" i="40"/>
  <c r="I24" i="40"/>
  <c r="I25" i="40"/>
  <c r="I26" i="40"/>
  <c r="I27" i="40"/>
  <c r="I28" i="40"/>
  <c r="I29" i="40"/>
  <c r="I30" i="40"/>
  <c r="I31" i="40"/>
  <c r="I32" i="40"/>
  <c r="I33" i="40"/>
  <c r="I34" i="40"/>
  <c r="I35" i="40"/>
  <c r="I36" i="40"/>
  <c r="I37" i="40"/>
  <c r="I38" i="40"/>
  <c r="I39" i="40"/>
  <c r="I40" i="40"/>
  <c r="I41" i="40"/>
  <c r="I42" i="40"/>
  <c r="I43" i="40"/>
  <c r="I44" i="40"/>
  <c r="I45" i="40"/>
  <c r="I46" i="40"/>
  <c r="I47" i="40"/>
  <c r="I48" i="40"/>
  <c r="I49" i="40"/>
  <c r="I50" i="40"/>
  <c r="I51" i="40"/>
  <c r="I52" i="40"/>
  <c r="I53" i="40"/>
  <c r="I54" i="40"/>
  <c r="I55" i="40"/>
  <c r="I56" i="40"/>
  <c r="I57" i="40"/>
  <c r="I58" i="40"/>
  <c r="I59" i="40"/>
  <c r="I60" i="40"/>
  <c r="I61" i="40"/>
  <c r="I62" i="40"/>
  <c r="I63" i="40"/>
  <c r="I64" i="40"/>
  <c r="I65" i="40"/>
  <c r="I66" i="40"/>
  <c r="I67" i="40"/>
  <c r="I68" i="40"/>
  <c r="I69" i="40"/>
  <c r="I70" i="40"/>
  <c r="I71" i="40"/>
  <c r="I72" i="40"/>
  <c r="I73" i="40"/>
  <c r="I74" i="40"/>
  <c r="I75" i="40"/>
  <c r="I76" i="40"/>
  <c r="I77" i="40"/>
  <c r="I78" i="40"/>
  <c r="I79" i="40"/>
  <c r="I80" i="40"/>
  <c r="I81" i="40"/>
  <c r="I82" i="40"/>
  <c r="I83" i="40"/>
  <c r="I84" i="40"/>
  <c r="I85" i="40"/>
  <c r="I86" i="40"/>
  <c r="I87" i="40"/>
  <c r="I88" i="40"/>
  <c r="I89" i="40"/>
  <c r="I90" i="40"/>
  <c r="I91" i="40"/>
  <c r="I92" i="40"/>
  <c r="I93" i="40"/>
  <c r="I94" i="40"/>
  <c r="I95" i="40"/>
  <c r="I96" i="40"/>
  <c r="I97" i="40"/>
  <c r="I98" i="40"/>
  <c r="I99" i="40"/>
  <c r="I100" i="40"/>
  <c r="I101" i="40"/>
  <c r="I102" i="40"/>
  <c r="I103" i="40"/>
  <c r="I7" i="40"/>
  <c r="I17" i="99"/>
  <c r="I18" i="99"/>
  <c r="I19" i="99"/>
  <c r="I20" i="99"/>
  <c r="I21" i="99"/>
  <c r="I22" i="99"/>
  <c r="I23" i="99"/>
  <c r="I24" i="99"/>
  <c r="I25" i="99"/>
  <c r="I26" i="99"/>
  <c r="I27" i="99"/>
  <c r="I28" i="99"/>
  <c r="I29" i="99"/>
  <c r="I30" i="99"/>
  <c r="I31" i="99"/>
  <c r="I32" i="99"/>
  <c r="I33" i="99"/>
  <c r="I34" i="99"/>
  <c r="I35" i="99"/>
  <c r="I36" i="99"/>
  <c r="I37" i="99"/>
  <c r="I38" i="99"/>
  <c r="I39" i="99"/>
  <c r="I40" i="99"/>
  <c r="I41" i="99"/>
  <c r="I42" i="99"/>
  <c r="I43" i="99"/>
  <c r="I44" i="99"/>
  <c r="I45" i="99"/>
  <c r="I46" i="99"/>
  <c r="I47" i="99"/>
  <c r="I48" i="99"/>
  <c r="I49" i="99"/>
  <c r="I50" i="99"/>
  <c r="C13" i="74" a="1"/>
  <c r="C13" i="74" s="1"/>
  <c r="C14" i="74" a="1"/>
  <c r="C14" i="74" s="1"/>
  <c r="C15" i="74" a="1"/>
  <c r="C15" i="74" s="1"/>
  <c r="C16" i="74" a="1"/>
  <c r="C16" i="74" s="1"/>
  <c r="C17" i="74" a="1"/>
  <c r="C17" i="74" s="1"/>
  <c r="C18" i="74" a="1"/>
  <c r="C18" i="74" s="1"/>
  <c r="C19" i="74" a="1"/>
  <c r="C19" i="74" s="1"/>
  <c r="C20" i="74" a="1"/>
  <c r="C20" i="74" s="1"/>
  <c r="C21" i="74" a="1"/>
  <c r="C21" i="74" s="1"/>
  <c r="C22" i="74" a="1"/>
  <c r="C22" i="74" s="1"/>
  <c r="C23" i="74" a="1"/>
  <c r="C23" i="74" s="1"/>
  <c r="C24" i="74" a="1"/>
  <c r="C24" i="74" s="1"/>
  <c r="C25" i="74" a="1"/>
  <c r="C25" i="74" s="1"/>
  <c r="C26" i="74" a="1"/>
  <c r="C26" i="74" s="1"/>
  <c r="C27" i="74" a="1"/>
  <c r="C27" i="74" s="1"/>
  <c r="C28" i="74" a="1"/>
  <c r="C28" i="74" s="1"/>
  <c r="C29" i="74" a="1"/>
  <c r="C29" i="74" s="1"/>
  <c r="C30" i="74" a="1"/>
  <c r="C30" i="74" s="1"/>
  <c r="C31" i="74" a="1"/>
  <c r="C31" i="74" s="1"/>
  <c r="C32" i="74" a="1"/>
  <c r="C32" i="74" s="1"/>
  <c r="C33" i="74" a="1"/>
  <c r="C33" i="74" s="1"/>
  <c r="C34" i="74" a="1"/>
  <c r="C34" i="74" s="1"/>
  <c r="C35" i="74" a="1"/>
  <c r="C35" i="74" s="1"/>
  <c r="C36" i="74" a="1"/>
  <c r="C36" i="74" s="1"/>
  <c r="C37" i="74" a="1"/>
  <c r="C37" i="74" s="1"/>
  <c r="C38" i="74" a="1"/>
  <c r="C38" i="74" s="1"/>
  <c r="C39" i="74" a="1"/>
  <c r="C39" i="74" s="1"/>
  <c r="C40" i="74" a="1"/>
  <c r="C40" i="74" s="1"/>
  <c r="C41" i="74" a="1"/>
  <c r="C41" i="74" s="1"/>
  <c r="C42" i="74" a="1"/>
  <c r="C42" i="74" s="1"/>
  <c r="C43" i="74" a="1"/>
  <c r="C43" i="74" s="1"/>
  <c r="C44" i="74" a="1"/>
  <c r="C44" i="74" s="1"/>
  <c r="C45" i="74" a="1"/>
  <c r="C45" i="74" s="1"/>
  <c r="C46" i="74" a="1"/>
  <c r="C46" i="74" s="1"/>
  <c r="C47" i="74" a="1"/>
  <c r="C47" i="74" s="1"/>
  <c r="C48" i="74" a="1"/>
  <c r="C48" i="74" s="1"/>
  <c r="C49" i="74" a="1"/>
  <c r="C49" i="74" s="1"/>
  <c r="C50" i="74" a="1"/>
  <c r="C50" i="74" s="1"/>
  <c r="C51" i="74" a="1"/>
  <c r="C51" i="74" s="1"/>
  <c r="C52" i="74" a="1"/>
  <c r="C52" i="74" s="1"/>
  <c r="C53" i="74" a="1"/>
  <c r="C53" i="74" s="1"/>
  <c r="C54" i="74" a="1"/>
  <c r="C54" i="74" s="1"/>
  <c r="C55" i="74" a="1"/>
  <c r="C55" i="74" s="1"/>
  <c r="C56" i="74" a="1"/>
  <c r="C56" i="74" s="1"/>
  <c r="C57" i="74" a="1"/>
  <c r="C57" i="74" s="1"/>
  <c r="C58" i="74" a="1"/>
  <c r="C58" i="74" s="1"/>
  <c r="C59" i="74" a="1"/>
  <c r="C59" i="74" s="1"/>
  <c r="C60" i="74" a="1"/>
  <c r="C60" i="74" s="1"/>
  <c r="C61" i="74" a="1"/>
  <c r="C61" i="74" s="1"/>
  <c r="C62" i="74" a="1"/>
  <c r="C62" i="74" s="1"/>
  <c r="C63" i="74" a="1"/>
  <c r="C63" i="74" s="1"/>
  <c r="C64" i="74" a="1"/>
  <c r="C64" i="74" s="1"/>
  <c r="C65" i="74" a="1"/>
  <c r="C65" i="74" s="1"/>
  <c r="C66" i="74" a="1"/>
  <c r="C66" i="74" s="1"/>
  <c r="C67" i="74" a="1"/>
  <c r="C67" i="74" s="1"/>
  <c r="C68" i="74" a="1"/>
  <c r="C68" i="74" s="1"/>
  <c r="C69" i="74" a="1"/>
  <c r="C69" i="74" s="1"/>
  <c r="C70" i="74" a="1"/>
  <c r="C70" i="74" s="1"/>
  <c r="C71" i="74" a="1"/>
  <c r="C71" i="74" s="1"/>
  <c r="C72" i="74" a="1"/>
  <c r="C72" i="74" s="1"/>
  <c r="C73" i="74" a="1"/>
  <c r="C73" i="74" s="1"/>
  <c r="C74" i="74" a="1"/>
  <c r="C74" i="74" s="1"/>
  <c r="C75" i="74" a="1"/>
  <c r="C75" i="74" s="1"/>
  <c r="C76" i="74" a="1"/>
  <c r="C76" i="74" s="1"/>
  <c r="C77" i="74" a="1"/>
  <c r="C77" i="74" s="1"/>
  <c r="C78" i="74" a="1"/>
  <c r="C78" i="74" s="1"/>
  <c r="C79" i="74" a="1"/>
  <c r="C79" i="74" s="1"/>
  <c r="C80" i="74" a="1"/>
  <c r="C80" i="74" s="1"/>
  <c r="C81" i="74" a="1"/>
  <c r="C81" i="74" s="1"/>
  <c r="C82" i="74" a="1"/>
  <c r="C82" i="74" s="1"/>
  <c r="C83" i="74" a="1"/>
  <c r="C83" i="74" s="1"/>
  <c r="C84" i="74" a="1"/>
  <c r="C84" i="74" s="1"/>
  <c r="C85" i="74" a="1"/>
  <c r="C85" i="74" s="1"/>
  <c r="C86" i="74" a="1"/>
  <c r="C86" i="74" s="1"/>
  <c r="C87" i="74" a="1"/>
  <c r="C87" i="74" s="1"/>
  <c r="C88" i="74" a="1"/>
  <c r="C88" i="74" s="1"/>
  <c r="C89" i="74" a="1"/>
  <c r="C89" i="74" s="1"/>
  <c r="C90" i="74" a="1"/>
  <c r="C90" i="74" s="1"/>
  <c r="C91" i="74" a="1"/>
  <c r="C91" i="74" s="1"/>
  <c r="C92" i="74" a="1"/>
  <c r="C92" i="74" s="1"/>
  <c r="C93" i="74" a="1"/>
  <c r="C93" i="74" s="1"/>
  <c r="C94" i="74" a="1"/>
  <c r="C94" i="74" s="1"/>
  <c r="C95" i="74" a="1"/>
  <c r="C95" i="74" s="1"/>
  <c r="C96" i="74" a="1"/>
  <c r="C96" i="74" s="1"/>
  <c r="C97" i="74" a="1"/>
  <c r="C97" i="74" s="1"/>
  <c r="C98" i="74" a="1"/>
  <c r="C98" i="74" s="1"/>
  <c r="C99" i="74" a="1"/>
  <c r="C99" i="74" s="1"/>
  <c r="C100" i="74" a="1"/>
  <c r="C100" i="74" s="1"/>
  <c r="C101" i="74" a="1"/>
  <c r="C101" i="74" s="1"/>
  <c r="C10" i="74" a="1"/>
  <c r="C10" i="74" s="1"/>
  <c r="D10" i="74" s="1"/>
  <c r="D15" i="23"/>
  <c r="D14" i="23"/>
  <c r="D13" i="23"/>
  <c r="D12" i="23"/>
  <c r="D10" i="23"/>
  <c r="D9" i="23"/>
  <c r="D26" i="23"/>
  <c r="D25" i="23"/>
  <c r="D28" i="23"/>
  <c r="AH51" i="14"/>
  <c r="D52" i="23"/>
  <c r="D50" i="23"/>
  <c r="D49" i="23"/>
  <c r="D47" i="23"/>
  <c r="D43" i="23"/>
  <c r="D41" i="23"/>
  <c r="D40" i="23"/>
  <c r="D39" i="23"/>
  <c r="D38" i="23"/>
  <c r="D35" i="23"/>
  <c r="D34" i="23"/>
  <c r="D16" i="23"/>
  <c r="D3" i="99"/>
  <c r="H14" i="88"/>
  <c r="H15" i="88"/>
  <c r="H16" i="88"/>
  <c r="H17" i="88"/>
  <c r="H18" i="88"/>
  <c r="H19" i="88"/>
  <c r="H20" i="88"/>
  <c r="H21" i="88"/>
  <c r="H22" i="88"/>
  <c r="H23" i="88"/>
  <c r="H24" i="88"/>
  <c r="H25" i="88"/>
  <c r="H26" i="88"/>
  <c r="K24" i="83"/>
  <c r="K23" i="83"/>
  <c r="K18" i="83"/>
  <c r="K16" i="83"/>
  <c r="K14" i="83"/>
  <c r="X40" i="54"/>
  <c r="W40" i="54"/>
  <c r="X39" i="54"/>
  <c r="W39" i="54"/>
  <c r="X38" i="54"/>
  <c r="W38" i="54"/>
  <c r="X37" i="54"/>
  <c r="W37" i="54"/>
  <c r="X36" i="54"/>
  <c r="W36" i="54"/>
  <c r="X35" i="54"/>
  <c r="W35" i="54"/>
  <c r="X34" i="54"/>
  <c r="W34" i="54"/>
  <c r="X33" i="54"/>
  <c r="W33" i="54"/>
  <c r="X32" i="54"/>
  <c r="W32" i="54"/>
  <c r="X31" i="54"/>
  <c r="W31" i="54"/>
  <c r="X30" i="54"/>
  <c r="W30" i="54"/>
  <c r="X29" i="54"/>
  <c r="W29" i="54"/>
  <c r="X28" i="54"/>
  <c r="W28" i="54"/>
  <c r="X27" i="54"/>
  <c r="W27" i="54"/>
  <c r="X26" i="54"/>
  <c r="W26" i="54"/>
  <c r="X25" i="54"/>
  <c r="W25" i="54"/>
  <c r="X24" i="54"/>
  <c r="W24" i="54"/>
  <c r="X23" i="54"/>
  <c r="W23" i="54"/>
  <c r="X22" i="54"/>
  <c r="W22" i="54"/>
  <c r="X21" i="54"/>
  <c r="W21" i="54"/>
  <c r="X20" i="54"/>
  <c r="W20" i="54"/>
  <c r="X19" i="54"/>
  <c r="W19" i="54"/>
  <c r="X18" i="54"/>
  <c r="W18" i="54"/>
  <c r="X17" i="54"/>
  <c r="W17" i="54"/>
  <c r="X16" i="54"/>
  <c r="W16" i="54"/>
  <c r="X15" i="54"/>
  <c r="W15" i="54"/>
  <c r="X14" i="54"/>
  <c r="W14" i="54"/>
  <c r="X13" i="54"/>
  <c r="W13" i="54"/>
  <c r="X12" i="54"/>
  <c r="W12" i="54"/>
  <c r="X11" i="54"/>
  <c r="W11" i="54"/>
  <c r="X10" i="54"/>
  <c r="W10" i="54"/>
  <c r="X9" i="54"/>
  <c r="W9" i="54"/>
  <c r="X8" i="54"/>
  <c r="W8" i="54"/>
  <c r="X7" i="54"/>
  <c r="W7" i="54"/>
  <c r="X6" i="54"/>
  <c r="X5" i="54"/>
  <c r="X4" i="54"/>
  <c r="X3" i="54"/>
  <c r="AW48" i="86"/>
  <c r="W48" i="86"/>
  <c r="AX48" i="86"/>
  <c r="AW47" i="86"/>
  <c r="W47" i="86"/>
  <c r="AX47" i="86"/>
  <c r="AW46" i="86"/>
  <c r="W46" i="86"/>
  <c r="AX46" i="86"/>
  <c r="AW45" i="86"/>
  <c r="W45" i="86"/>
  <c r="AX45" i="86"/>
  <c r="AW44" i="86"/>
  <c r="W44" i="86"/>
  <c r="AX44" i="86"/>
  <c r="AW43" i="86"/>
  <c r="W43" i="86"/>
  <c r="AX43" i="86"/>
  <c r="AW42" i="86"/>
  <c r="W42" i="86"/>
  <c r="AX42" i="86"/>
  <c r="AW41" i="86"/>
  <c r="W41" i="86"/>
  <c r="AX41" i="86"/>
  <c r="AW40" i="86"/>
  <c r="W40" i="86"/>
  <c r="AX40" i="86"/>
  <c r="AW39" i="86"/>
  <c r="W39" i="86"/>
  <c r="AX39" i="86"/>
  <c r="AW38" i="86"/>
  <c r="W38" i="86"/>
  <c r="AX38" i="86"/>
  <c r="AW37" i="86"/>
  <c r="W37" i="86"/>
  <c r="AX37" i="86"/>
  <c r="AW36" i="86"/>
  <c r="W36" i="86"/>
  <c r="AX36" i="86"/>
  <c r="AW35" i="86"/>
  <c r="W35" i="86"/>
  <c r="AX35" i="86"/>
  <c r="AW34" i="86"/>
  <c r="W34" i="86"/>
  <c r="AX34" i="86"/>
  <c r="AW33" i="86"/>
  <c r="W33" i="86"/>
  <c r="AX33" i="86"/>
  <c r="AW32" i="86"/>
  <c r="W32" i="86"/>
  <c r="AX32" i="86"/>
  <c r="AW31" i="86"/>
  <c r="W31" i="86"/>
  <c r="AX31" i="86"/>
  <c r="AW30" i="86"/>
  <c r="W30" i="86"/>
  <c r="AX30" i="86"/>
  <c r="AW29" i="86"/>
  <c r="W29" i="86"/>
  <c r="AX29" i="86"/>
  <c r="AW28" i="86"/>
  <c r="W28" i="86"/>
  <c r="AX28" i="86"/>
  <c r="AW27" i="86"/>
  <c r="W27" i="86"/>
  <c r="AX27" i="86"/>
  <c r="AW26" i="86"/>
  <c r="W26" i="86"/>
  <c r="AX26" i="86"/>
  <c r="AW25" i="86"/>
  <c r="W25" i="86"/>
  <c r="AX25" i="86"/>
  <c r="AW24" i="86"/>
  <c r="W24" i="86"/>
  <c r="AX24" i="86"/>
  <c r="AW23" i="86"/>
  <c r="W23" i="86"/>
  <c r="AX23" i="86"/>
  <c r="AW22" i="86"/>
  <c r="W22" i="86"/>
  <c r="AX22" i="86"/>
  <c r="AW21" i="86"/>
  <c r="W21" i="86"/>
  <c r="AX21" i="86"/>
  <c r="AW20" i="86"/>
  <c r="W20" i="86"/>
  <c r="AX20" i="86"/>
  <c r="AW19" i="86"/>
  <c r="W19" i="86"/>
  <c r="AX19" i="86"/>
  <c r="AW18" i="86"/>
  <c r="W18" i="86"/>
  <c r="AX18" i="86"/>
  <c r="AX14" i="86"/>
  <c r="X5" i="55"/>
  <c r="H13" i="88"/>
  <c r="H12" i="88"/>
  <c r="H7" i="88"/>
  <c r="H8" i="88"/>
  <c r="H9" i="88"/>
  <c r="H11" i="88"/>
  <c r="H10" i="88"/>
  <c r="J2" i="40"/>
  <c r="D1" i="40"/>
  <c r="M1" i="83"/>
  <c r="D5" i="99"/>
  <c r="B4" i="98"/>
  <c r="B3" i="80"/>
  <c r="B6" i="66"/>
  <c r="C1" i="80"/>
  <c r="D17" i="23"/>
  <c r="Z5" i="14"/>
  <c r="Z4" i="14"/>
  <c r="C16" i="33"/>
  <c r="C17" i="33"/>
  <c r="C18" i="33"/>
  <c r="C19" i="33"/>
  <c r="C20" i="33"/>
  <c r="C21" i="33"/>
  <c r="C22" i="33"/>
  <c r="C23" i="33"/>
  <c r="C24" i="33"/>
  <c r="C25" i="33"/>
  <c r="C26" i="33"/>
  <c r="C27" i="33"/>
  <c r="C28" i="33"/>
  <c r="C29" i="33"/>
  <c r="C30" i="33"/>
  <c r="C31" i="33"/>
  <c r="C32" i="33"/>
  <c r="D4" i="99"/>
  <c r="B3" i="98"/>
  <c r="D2" i="99"/>
  <c r="B2" i="98"/>
  <c r="B32" i="84"/>
  <c r="B30" i="84"/>
  <c r="B6" i="74"/>
  <c r="B4" i="74"/>
  <c r="B5" i="74"/>
  <c r="D5" i="74"/>
  <c r="C115" i="74"/>
  <c r="C116" i="74"/>
  <c r="C117" i="74"/>
  <c r="C118" i="74"/>
  <c r="C119" i="74"/>
  <c r="C120" i="74"/>
  <c r="C121" i="74"/>
  <c r="C122" i="74"/>
  <c r="C123" i="74"/>
  <c r="C124" i="74"/>
  <c r="C125" i="74"/>
  <c r="C126" i="74"/>
  <c r="C127" i="74"/>
  <c r="C128" i="74"/>
  <c r="C129" i="74"/>
  <c r="C130" i="74"/>
  <c r="C131" i="74"/>
  <c r="C114" i="74"/>
  <c r="D2" i="74"/>
  <c r="AH52" i="14"/>
  <c r="AH64" i="14"/>
  <c r="AH66" i="14"/>
  <c r="AH80" i="14"/>
  <c r="AH98" i="14"/>
  <c r="AH111" i="14"/>
  <c r="AH114" i="14"/>
  <c r="AH140" i="14"/>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49" i="51"/>
  <c r="H50" i="51"/>
  <c r="H51" i="51"/>
  <c r="H52" i="51"/>
  <c r="H53" i="51"/>
  <c r="H54" i="51"/>
  <c r="H55" i="51"/>
  <c r="H56" i="51"/>
  <c r="H57" i="51"/>
  <c r="H58" i="51"/>
  <c r="H59" i="51"/>
  <c r="H60" i="51"/>
  <c r="H61" i="51"/>
  <c r="H62" i="51"/>
  <c r="H63" i="51"/>
  <c r="H64" i="51"/>
  <c r="H65" i="51"/>
  <c r="H66" i="51"/>
  <c r="H67" i="51"/>
  <c r="H68" i="51"/>
  <c r="H69" i="51"/>
  <c r="H70" i="51"/>
  <c r="H71" i="51"/>
  <c r="H72" i="51"/>
  <c r="H73" i="51"/>
  <c r="H74" i="51"/>
  <c r="H75" i="51"/>
  <c r="H76" i="51"/>
  <c r="H77" i="51"/>
  <c r="H78" i="51"/>
  <c r="H79" i="51"/>
  <c r="H80" i="51"/>
  <c r="H81" i="51"/>
  <c r="H82" i="51"/>
  <c r="H83" i="51"/>
  <c r="H84" i="51"/>
  <c r="H85" i="51"/>
  <c r="H86" i="51"/>
  <c r="H87" i="51"/>
  <c r="H88" i="51"/>
  <c r="H89" i="51"/>
  <c r="H90" i="51"/>
  <c r="H91" i="51"/>
  <c r="H92" i="51"/>
  <c r="H93" i="51"/>
  <c r="H94" i="51"/>
  <c r="H95" i="51"/>
  <c r="H96" i="51"/>
  <c r="H97" i="51"/>
  <c r="H98" i="51"/>
  <c r="H99" i="51"/>
  <c r="H100" i="51"/>
  <c r="H101" i="51"/>
  <c r="H102" i="51"/>
  <c r="H103" i="51"/>
  <c r="H104" i="51"/>
  <c r="H105" i="51"/>
  <c r="H106" i="51"/>
  <c r="H107" i="51"/>
  <c r="H108" i="51"/>
  <c r="H109" i="51"/>
  <c r="H110" i="51"/>
  <c r="H111" i="51"/>
  <c r="H112" i="51"/>
  <c r="H113" i="51"/>
  <c r="H114" i="51"/>
  <c r="H115" i="51"/>
  <c r="H116" i="51"/>
  <c r="H117" i="51"/>
  <c r="H118" i="51"/>
  <c r="H119" i="51"/>
  <c r="H120" i="51"/>
  <c r="H121" i="51"/>
  <c r="H122" i="51"/>
  <c r="H123" i="51"/>
  <c r="H124" i="51"/>
  <c r="H125" i="51"/>
  <c r="H126" i="51"/>
  <c r="H127" i="51"/>
  <c r="H128" i="51"/>
  <c r="H129" i="51"/>
  <c r="H130" i="51"/>
  <c r="H131" i="51"/>
  <c r="H132" i="51"/>
  <c r="H133" i="51"/>
  <c r="H134" i="51"/>
  <c r="H135" i="51"/>
  <c r="H136" i="51"/>
  <c r="H137" i="51"/>
  <c r="H138" i="51"/>
  <c r="H139" i="51"/>
  <c r="H140" i="51"/>
  <c r="H141" i="51"/>
  <c r="H142" i="51"/>
  <c r="H143" i="51"/>
  <c r="H5" i="51"/>
  <c r="D18" i="23"/>
  <c r="D19" i="23"/>
  <c r="D20" i="23"/>
  <c r="D21" i="23"/>
  <c r="D22" i="23"/>
  <c r="A1" i="41"/>
  <c r="B16" i="80"/>
  <c r="B21" i="80"/>
  <c r="B29" i="84" s="1"/>
  <c r="A83" i="62"/>
  <c r="E49" i="78"/>
  <c r="E83" i="78"/>
  <c r="D83" i="78"/>
  <c r="C4" i="90"/>
  <c r="B21" i="90"/>
  <c r="B20" i="90"/>
  <c r="B19" i="90"/>
  <c r="B18" i="90"/>
  <c r="B17" i="90"/>
  <c r="B16" i="90"/>
  <c r="B15" i="90"/>
  <c r="B14" i="90"/>
  <c r="B13" i="90"/>
  <c r="B12" i="90"/>
  <c r="B11" i="90"/>
  <c r="B10" i="90"/>
  <c r="B9" i="90"/>
  <c r="B8" i="90"/>
  <c r="B7" i="90"/>
  <c r="B6" i="90"/>
  <c r="B5" i="90"/>
  <c r="A20" i="90"/>
  <c r="A21" i="90"/>
  <c r="A5" i="90"/>
  <c r="A6" i="90"/>
  <c r="A7" i="90"/>
  <c r="A8" i="90"/>
  <c r="A9" i="90"/>
  <c r="A10" i="90"/>
  <c r="A11" i="90"/>
  <c r="A12" i="90"/>
  <c r="A13" i="90"/>
  <c r="A14" i="90"/>
  <c r="A15" i="90"/>
  <c r="A16" i="90"/>
  <c r="A17" i="90"/>
  <c r="A18" i="90"/>
  <c r="A19" i="90"/>
  <c r="B19" i="80"/>
  <c r="B20" i="80"/>
  <c r="B17" i="80"/>
  <c r="B31" i="84" s="1"/>
  <c r="C15" i="95"/>
  <c r="D15" i="95"/>
  <c r="E15" i="95"/>
  <c r="F15" i="95"/>
  <c r="G15" i="95"/>
  <c r="H15" i="95"/>
  <c r="I15" i="95"/>
  <c r="J15" i="95"/>
  <c r="K15" i="95"/>
  <c r="B15" i="95"/>
  <c r="C14" i="95"/>
  <c r="D14" i="95"/>
  <c r="E14" i="95"/>
  <c r="F14" i="95"/>
  <c r="G14" i="95"/>
  <c r="H14" i="95"/>
  <c r="I14" i="95"/>
  <c r="J14" i="95"/>
  <c r="K14" i="95"/>
  <c r="B14" i="95"/>
  <c r="B1" i="80"/>
  <c r="B1" i="88"/>
  <c r="B1" i="66"/>
  <c r="C1" i="22"/>
  <c r="B1" i="20"/>
  <c r="B5" i="20" s="1"/>
  <c r="G1" i="52"/>
  <c r="D1" i="51"/>
  <c r="B1" i="84"/>
  <c r="B11" i="84" s="1"/>
  <c r="C1" i="83"/>
  <c r="C1" i="54"/>
  <c r="B1" i="14"/>
  <c r="C1" i="9"/>
  <c r="D1" i="65"/>
  <c r="K1" i="86"/>
  <c r="C6" i="86" s="1"/>
  <c r="C1" i="55"/>
  <c r="D1" i="33"/>
  <c r="D1" i="85"/>
  <c r="E10" i="91"/>
  <c r="E10" i="95" s="1"/>
  <c r="F10" i="91"/>
  <c r="F10" i="95" s="1"/>
  <c r="G10" i="91"/>
  <c r="G10" i="95" s="1"/>
  <c r="H10" i="91"/>
  <c r="H10" i="95" s="1"/>
  <c r="I10" i="91"/>
  <c r="I10" i="95" s="1"/>
  <c r="J10" i="91"/>
  <c r="J10" i="95" s="1"/>
  <c r="K10" i="91"/>
  <c r="K10" i="95" s="1"/>
  <c r="E11" i="91"/>
  <c r="F11" i="91"/>
  <c r="G11" i="91"/>
  <c r="H11" i="91"/>
  <c r="I11" i="91"/>
  <c r="J11" i="91"/>
  <c r="K11" i="91"/>
  <c r="E12" i="91"/>
  <c r="F12" i="91"/>
  <c r="G12" i="91"/>
  <c r="H12" i="91"/>
  <c r="I12" i="91"/>
  <c r="J12" i="91"/>
  <c r="K12" i="91"/>
  <c r="E13" i="91"/>
  <c r="F13" i="91"/>
  <c r="G13" i="91"/>
  <c r="H13" i="91"/>
  <c r="I13" i="91"/>
  <c r="J13" i="91"/>
  <c r="K13" i="91"/>
  <c r="E14" i="91"/>
  <c r="F14" i="91"/>
  <c r="G14" i="91"/>
  <c r="H14" i="91"/>
  <c r="I14" i="91"/>
  <c r="J14" i="91"/>
  <c r="K14" i="91"/>
  <c r="K9" i="91"/>
  <c r="J9" i="91"/>
  <c r="I9" i="91"/>
  <c r="H9" i="91"/>
  <c r="G9" i="91"/>
  <c r="F9" i="91"/>
  <c r="E9" i="91"/>
  <c r="D10" i="91"/>
  <c r="D10" i="95" s="1"/>
  <c r="D11" i="91"/>
  <c r="D12" i="91"/>
  <c r="D13" i="91"/>
  <c r="D14" i="91"/>
  <c r="D9" i="91"/>
  <c r="C10" i="91"/>
  <c r="C10" i="95" s="1"/>
  <c r="C11" i="91"/>
  <c r="C12" i="91"/>
  <c r="C13" i="91"/>
  <c r="C14" i="91"/>
  <c r="C9" i="91"/>
  <c r="B10" i="91"/>
  <c r="B10" i="95" s="1"/>
  <c r="B11" i="91"/>
  <c r="B12" i="91"/>
  <c r="B13" i="91"/>
  <c r="B14" i="91"/>
  <c r="B9" i="91"/>
  <c r="D1" i="92"/>
  <c r="D1" i="96"/>
  <c r="D1" i="95"/>
  <c r="D1" i="94"/>
  <c r="D1" i="93"/>
  <c r="D1" i="91"/>
  <c r="D1" i="90"/>
  <c r="B1" i="92"/>
  <c r="B1" i="96"/>
  <c r="B1" i="95"/>
  <c r="B1" i="94"/>
  <c r="B1" i="93"/>
  <c r="B1" i="91"/>
  <c r="F4" i="90"/>
  <c r="F3" i="90"/>
  <c r="C1" i="90"/>
  <c r="B4" i="90"/>
  <c r="A4" i="90"/>
  <c r="D73" i="78"/>
  <c r="A25" i="46"/>
  <c r="DO8" i="49"/>
  <c r="DO7" i="49"/>
  <c r="DO6" i="49"/>
  <c r="C1" i="88"/>
  <c r="AV8" i="86"/>
  <c r="X6" i="55"/>
  <c r="X7" i="55"/>
  <c r="X8" i="55"/>
  <c r="X9" i="55"/>
  <c r="X10" i="55"/>
  <c r="X11" i="55"/>
  <c r="X12" i="55"/>
  <c r="X13" i="55"/>
  <c r="X14" i="55"/>
  <c r="X15" i="55"/>
  <c r="X16" i="55"/>
  <c r="X17" i="55"/>
  <c r="X19" i="55"/>
  <c r="X20" i="55"/>
  <c r="X21" i="55"/>
  <c r="X22" i="55"/>
  <c r="X23" i="55"/>
  <c r="X24" i="55"/>
  <c r="X25" i="55"/>
  <c r="X26" i="55"/>
  <c r="X27" i="55"/>
  <c r="X28" i="55"/>
  <c r="X29" i="55"/>
  <c r="X30" i="55"/>
  <c r="X31" i="55"/>
  <c r="X32" i="55"/>
  <c r="X33" i="55"/>
  <c r="X34" i="55"/>
  <c r="X35" i="55"/>
  <c r="X36" i="55"/>
  <c r="X37" i="55"/>
  <c r="X38" i="55"/>
  <c r="X39" i="55"/>
  <c r="X40" i="55"/>
  <c r="X41" i="55"/>
  <c r="X4" i="55"/>
  <c r="AW8" i="86"/>
  <c r="AX8" i="86"/>
  <c r="O16" i="33"/>
  <c r="O17" i="33"/>
  <c r="O18" i="33"/>
  <c r="O19" i="33"/>
  <c r="O20" i="33"/>
  <c r="O21" i="33"/>
  <c r="O22" i="33"/>
  <c r="O23" i="33"/>
  <c r="O24" i="33"/>
  <c r="O25" i="33"/>
  <c r="O26" i="33"/>
  <c r="O27" i="33"/>
  <c r="O28" i="33"/>
  <c r="O29" i="33"/>
  <c r="O30" i="33"/>
  <c r="O31" i="33"/>
  <c r="O32" i="33"/>
  <c r="O33" i="33"/>
  <c r="O34" i="33"/>
  <c r="O35" i="33"/>
  <c r="O36" i="33"/>
  <c r="O37" i="33"/>
  <c r="O38" i="33"/>
  <c r="O39" i="33"/>
  <c r="O40" i="33"/>
  <c r="O41" i="33"/>
  <c r="O42" i="33"/>
  <c r="O43" i="33"/>
  <c r="O44" i="33"/>
  <c r="O45" i="33"/>
  <c r="O46" i="33"/>
  <c r="O47" i="33"/>
  <c r="O48" i="33"/>
  <c r="O49" i="33"/>
  <c r="O50" i="33"/>
  <c r="O51" i="33"/>
  <c r="O52" i="33"/>
  <c r="O53" i="33"/>
  <c r="O54" i="33"/>
  <c r="O55" i="33"/>
  <c r="O56" i="33"/>
  <c r="O57" i="33"/>
  <c r="O58" i="33"/>
  <c r="O59" i="33"/>
  <c r="O60" i="33"/>
  <c r="O61" i="33"/>
  <c r="O62" i="33"/>
  <c r="O63" i="33"/>
  <c r="O64" i="33"/>
  <c r="O65" i="33"/>
  <c r="O66" i="33"/>
  <c r="O67" i="33"/>
  <c r="O68" i="33"/>
  <c r="O69" i="33"/>
  <c r="O70" i="33"/>
  <c r="O71" i="33"/>
  <c r="O72" i="33"/>
  <c r="O73" i="33"/>
  <c r="O74" i="33"/>
  <c r="O75" i="33"/>
  <c r="O76" i="33"/>
  <c r="O77" i="33"/>
  <c r="O78" i="33"/>
  <c r="O79" i="33"/>
  <c r="O80" i="33"/>
  <c r="O81" i="33"/>
  <c r="O82" i="33"/>
  <c r="O83" i="33"/>
  <c r="O84" i="33"/>
  <c r="O85" i="33"/>
  <c r="O86" i="33"/>
  <c r="O87" i="33"/>
  <c r="O88" i="33"/>
  <c r="O89" i="33"/>
  <c r="O90" i="33"/>
  <c r="O91" i="33"/>
  <c r="O92" i="33"/>
  <c r="O93" i="33"/>
  <c r="O94" i="33"/>
  <c r="O95" i="33"/>
  <c r="O96" i="33"/>
  <c r="O97" i="33"/>
  <c r="O98" i="33"/>
  <c r="O99" i="33"/>
  <c r="O100" i="33"/>
  <c r="O101" i="33"/>
  <c r="O102" i="33"/>
  <c r="O103" i="33"/>
  <c r="O104" i="33"/>
  <c r="O105" i="33"/>
  <c r="O106" i="33"/>
  <c r="O107" i="33"/>
  <c r="O108" i="33"/>
  <c r="O109" i="33"/>
  <c r="O110" i="33"/>
  <c r="O111" i="33"/>
  <c r="O112" i="33"/>
  <c r="O113" i="33"/>
  <c r="O114" i="33"/>
  <c r="O115" i="33"/>
  <c r="O116" i="33"/>
  <c r="O117" i="33"/>
  <c r="O118" i="33"/>
  <c r="O119" i="33"/>
  <c r="O120" i="33"/>
  <c r="O121" i="33"/>
  <c r="O122" i="33"/>
  <c r="O123" i="33"/>
  <c r="O124" i="33"/>
  <c r="O125" i="33"/>
  <c r="O126" i="33"/>
  <c r="O127" i="33"/>
  <c r="O128" i="33"/>
  <c r="O129" i="33"/>
  <c r="O130" i="33"/>
  <c r="O131" i="33"/>
  <c r="O132" i="33"/>
  <c r="O133" i="33"/>
  <c r="O134" i="33"/>
  <c r="O135" i="33"/>
  <c r="O136" i="33"/>
  <c r="O137" i="33"/>
  <c r="O138" i="33"/>
  <c r="O139" i="33"/>
  <c r="O140" i="33"/>
  <c r="O141" i="33"/>
  <c r="O142" i="33"/>
  <c r="O143" i="33"/>
  <c r="O144" i="33"/>
  <c r="O145" i="33"/>
  <c r="O146" i="33"/>
  <c r="O147" i="33"/>
  <c r="O148" i="33"/>
  <c r="O149" i="33"/>
  <c r="O150" i="33"/>
  <c r="O151" i="33"/>
  <c r="O152" i="33"/>
  <c r="O153" i="33"/>
  <c r="B12" i="68"/>
  <c r="B23" i="68" s="1"/>
  <c r="B17" i="68"/>
  <c r="B22" i="68" s="1"/>
  <c r="U24" i="55"/>
  <c r="U25" i="55"/>
  <c r="U26" i="55"/>
  <c r="U27" i="55"/>
  <c r="U28" i="55"/>
  <c r="U29" i="55"/>
  <c r="U30" i="55"/>
  <c r="U31" i="55"/>
  <c r="U32" i="55"/>
  <c r="U33" i="55"/>
  <c r="U34" i="55"/>
  <c r="U35" i="55"/>
  <c r="U36" i="55"/>
  <c r="U37" i="55"/>
  <c r="U38" i="55"/>
  <c r="U39" i="55"/>
  <c r="U40" i="55"/>
  <c r="U41" i="55"/>
  <c r="U2" i="14"/>
  <c r="F7" i="9"/>
  <c r="F8" i="9"/>
  <c r="F9" i="9"/>
  <c r="F10" i="9"/>
  <c r="F11" i="9"/>
  <c r="F12" i="9"/>
  <c r="L12" i="9" s="1"/>
  <c r="M12" i="9" s="1"/>
  <c r="F13" i="9"/>
  <c r="L13" i="9" s="1"/>
  <c r="M13" i="9" s="1"/>
  <c r="B9" i="20"/>
  <c r="C12" i="68"/>
  <c r="C23" i="68" s="1"/>
  <c r="D12" i="68"/>
  <c r="D20" i="68" s="1"/>
  <c r="E12" i="68"/>
  <c r="E20" i="68" s="1"/>
  <c r="F12" i="68"/>
  <c r="F23" i="68" s="1"/>
  <c r="G12" i="68"/>
  <c r="G25" i="68" s="1"/>
  <c r="H12" i="68"/>
  <c r="H27" i="68" s="1"/>
  <c r="I12" i="68"/>
  <c r="I27" i="68" s="1"/>
  <c r="J12" i="68"/>
  <c r="J21" i="68" s="1"/>
  <c r="K12" i="68"/>
  <c r="K20" i="68" s="1"/>
  <c r="L12" i="68"/>
  <c r="L21" i="68" s="1"/>
  <c r="M12" i="68"/>
  <c r="M23" i="68" s="1"/>
  <c r="N12" i="68"/>
  <c r="N21" i="68" s="1"/>
  <c r="O12" i="68"/>
  <c r="O21" i="68" s="1"/>
  <c r="P12" i="68"/>
  <c r="P20" i="68" s="1"/>
  <c r="Q12" i="68"/>
  <c r="Q23" i="68" s="1"/>
  <c r="R12" i="68"/>
  <c r="R25" i="68" s="1"/>
  <c r="S12" i="68"/>
  <c r="S20" i="68" s="1"/>
  <c r="T12" i="68"/>
  <c r="T23" i="68" s="1"/>
  <c r="U12" i="68"/>
  <c r="U20" i="68" s="1"/>
  <c r="B4" i="80"/>
  <c r="B17" i="46"/>
  <c r="E9" i="20"/>
  <c r="F9" i="20"/>
  <c r="D9" i="20"/>
  <c r="C9" i="20"/>
  <c r="B10" i="20"/>
  <c r="K10" i="20" s="1"/>
  <c r="B11" i="20"/>
  <c r="K11" i="20" s="1"/>
  <c r="B12" i="20"/>
  <c r="K12" i="20" s="1"/>
  <c r="B13" i="20"/>
  <c r="K13" i="20" s="1"/>
  <c r="B14" i="20"/>
  <c r="K14" i="20" s="1"/>
  <c r="B15" i="20"/>
  <c r="K15" i="20" s="1"/>
  <c r="B16" i="20"/>
  <c r="K16" i="20" s="1"/>
  <c r="B17" i="20"/>
  <c r="K17" i="20" s="1"/>
  <c r="B18" i="20"/>
  <c r="K18" i="20" s="1"/>
  <c r="B19" i="20"/>
  <c r="K19" i="20" s="1"/>
  <c r="B20" i="20"/>
  <c r="K20" i="20" s="1"/>
  <c r="B21" i="20"/>
  <c r="K21" i="20" s="1"/>
  <c r="B22" i="20"/>
  <c r="K22" i="20" s="1"/>
  <c r="B23" i="20"/>
  <c r="K23" i="20" s="1"/>
  <c r="B24" i="20"/>
  <c r="K24" i="20" s="1"/>
  <c r="B25" i="20"/>
  <c r="K25" i="20" s="1"/>
  <c r="B26" i="20"/>
  <c r="K26" i="20" s="1"/>
  <c r="B27" i="20"/>
  <c r="K27" i="20" s="1"/>
  <c r="B28" i="20"/>
  <c r="K28" i="20" s="1"/>
  <c r="B29" i="20"/>
  <c r="K29" i="20" s="1"/>
  <c r="B30" i="20"/>
  <c r="K30" i="20" s="1"/>
  <c r="B31" i="20"/>
  <c r="K31" i="20" s="1"/>
  <c r="B32" i="20"/>
  <c r="K32" i="20" s="1"/>
  <c r="B33" i="20"/>
  <c r="K33" i="20" s="1"/>
  <c r="B34" i="20"/>
  <c r="K34" i="20" s="1"/>
  <c r="B35" i="20"/>
  <c r="K35" i="20" s="1"/>
  <c r="B36" i="20"/>
  <c r="K36" i="20" s="1"/>
  <c r="B37" i="20"/>
  <c r="K37" i="20" s="1"/>
  <c r="B38" i="20"/>
  <c r="K38" i="20" s="1"/>
  <c r="B39" i="20"/>
  <c r="K39" i="20" s="1"/>
  <c r="B40" i="20"/>
  <c r="K40" i="20" s="1"/>
  <c r="B41" i="20"/>
  <c r="K41" i="20" s="1"/>
  <c r="B42" i="20"/>
  <c r="K42" i="20" s="1"/>
  <c r="B43" i="20"/>
  <c r="K43" i="20" s="1"/>
  <c r="B44" i="20"/>
  <c r="K44" i="20" s="1"/>
  <c r="B45" i="20"/>
  <c r="K45" i="20" s="1"/>
  <c r="B46" i="20"/>
  <c r="K46" i="20" s="1"/>
  <c r="B1" i="65"/>
  <c r="B7" i="74"/>
  <c r="F14" i="9"/>
  <c r="L14" i="9" s="1"/>
  <c r="M14" i="9" s="1"/>
  <c r="F15" i="9"/>
  <c r="F16" i="9"/>
  <c r="L16" i="9" s="1"/>
  <c r="M16" i="9" s="1"/>
  <c r="F17" i="9"/>
  <c r="L17" i="9" s="1"/>
  <c r="M17" i="9" s="1"/>
  <c r="F18" i="9"/>
  <c r="L18" i="9" s="1"/>
  <c r="M18" i="9" s="1"/>
  <c r="A2" i="55"/>
  <c r="E63" i="78"/>
  <c r="E77" i="78"/>
  <c r="E79" i="78"/>
  <c r="E81" i="78"/>
  <c r="D63" i="78"/>
  <c r="D77" i="78"/>
  <c r="D79" i="78"/>
  <c r="D81" i="78"/>
  <c r="E45" i="78"/>
  <c r="E47" i="78"/>
  <c r="D45" i="78"/>
  <c r="D47" i="78"/>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D3" i="23"/>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17" i="68"/>
  <c r="C22" i="68" s="1"/>
  <c r="D17" i="68"/>
  <c r="D22" i="68" s="1"/>
  <c r="E17" i="68"/>
  <c r="E22" i="68" s="1"/>
  <c r="F17" i="68"/>
  <c r="G17" i="68"/>
  <c r="G22" i="68" s="1"/>
  <c r="H17" i="68"/>
  <c r="I17" i="68"/>
  <c r="I24" i="68" s="1"/>
  <c r="J17" i="68"/>
  <c r="K17" i="68"/>
  <c r="K24" i="68" s="1"/>
  <c r="L17" i="68"/>
  <c r="M17" i="68"/>
  <c r="M24" i="68" s="1"/>
  <c r="N17" i="68"/>
  <c r="N24" i="68" s="1"/>
  <c r="O17" i="68"/>
  <c r="O24" i="68" s="1"/>
  <c r="P17" i="68"/>
  <c r="Q17" i="68"/>
  <c r="Q22" i="68" s="1"/>
  <c r="R17" i="68"/>
  <c r="R22" i="68" s="1"/>
  <c r="S17" i="68"/>
  <c r="S24" i="68" s="1"/>
  <c r="T17" i="68"/>
  <c r="U17" i="68"/>
  <c r="U24" i="68" s="1"/>
  <c r="F3" i="23"/>
  <c r="E1" i="85"/>
  <c r="U23" i="55"/>
  <c r="U20" i="55"/>
  <c r="U21" i="55"/>
  <c r="U22" i="55"/>
  <c r="AA25" i="17"/>
  <c r="C1" i="62"/>
  <c r="D4" i="41" s="1"/>
  <c r="E43" i="78"/>
  <c r="E41" i="78"/>
  <c r="E39" i="78"/>
  <c r="E37" i="78"/>
  <c r="E35" i="78"/>
  <c r="D75" i="78"/>
  <c r="D71" i="78"/>
  <c r="D69" i="78"/>
  <c r="E75" i="78"/>
  <c r="E73" i="78"/>
  <c r="E71" i="78"/>
  <c r="E69" i="78"/>
  <c r="E67" i="78"/>
  <c r="D49" i="78"/>
  <c r="D43" i="78"/>
  <c r="D41" i="78"/>
  <c r="D39" i="78"/>
  <c r="D37" i="78"/>
  <c r="L10" i="20"/>
  <c r="L11" i="20"/>
  <c r="L12" i="20"/>
  <c r="L13" i="20"/>
  <c r="L14" i="20"/>
  <c r="L15" i="20"/>
  <c r="L16" i="20"/>
  <c r="L17" i="20"/>
  <c r="L18" i="20"/>
  <c r="L19" i="20"/>
  <c r="L20" i="20"/>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9" i="20"/>
  <c r="H10" i="20"/>
  <c r="I10" i="20" s="1"/>
  <c r="H11" i="20"/>
  <c r="I11" i="20" s="1"/>
  <c r="H12" i="20"/>
  <c r="I12" i="20" s="1"/>
  <c r="H13" i="20"/>
  <c r="I13" i="20" s="1"/>
  <c r="H14" i="20"/>
  <c r="I14" i="20" s="1"/>
  <c r="H15" i="20"/>
  <c r="I15" i="20" s="1"/>
  <c r="H16" i="20"/>
  <c r="I16" i="20" s="1"/>
  <c r="H17" i="20"/>
  <c r="I17" i="20" s="1"/>
  <c r="H18" i="20"/>
  <c r="I18" i="20" s="1"/>
  <c r="H19" i="20"/>
  <c r="I19" i="20" s="1"/>
  <c r="H20" i="20"/>
  <c r="I20" i="20" s="1"/>
  <c r="H21" i="20"/>
  <c r="I21" i="20" s="1"/>
  <c r="H22" i="20"/>
  <c r="I22" i="20" s="1"/>
  <c r="H23" i="20"/>
  <c r="I23" i="20" s="1"/>
  <c r="H24" i="20"/>
  <c r="I24" i="20" s="1"/>
  <c r="H25" i="20"/>
  <c r="I25" i="20" s="1"/>
  <c r="H26" i="20"/>
  <c r="I26" i="20" s="1"/>
  <c r="H27" i="20"/>
  <c r="I27" i="20" s="1"/>
  <c r="H28" i="20"/>
  <c r="I28" i="20" s="1"/>
  <c r="H29" i="20"/>
  <c r="I29" i="20" s="1"/>
  <c r="H30" i="20"/>
  <c r="I30" i="20" s="1"/>
  <c r="H31" i="20"/>
  <c r="I31" i="20" s="1"/>
  <c r="H32" i="20"/>
  <c r="I32" i="20" s="1"/>
  <c r="H33" i="20"/>
  <c r="I33" i="20" s="1"/>
  <c r="H34" i="20"/>
  <c r="I34" i="20" s="1"/>
  <c r="H35" i="20"/>
  <c r="I35" i="20" s="1"/>
  <c r="H36" i="20"/>
  <c r="I36" i="20"/>
  <c r="H37" i="20"/>
  <c r="I37" i="20" s="1"/>
  <c r="H38" i="20"/>
  <c r="I38" i="20" s="1"/>
  <c r="H39" i="20"/>
  <c r="I39" i="20" s="1"/>
  <c r="H40" i="20"/>
  <c r="I40" i="20" s="1"/>
  <c r="H41" i="20"/>
  <c r="I41" i="20" s="1"/>
  <c r="H42" i="20"/>
  <c r="I42" i="20" s="1"/>
  <c r="H43" i="20"/>
  <c r="I43" i="20" s="1"/>
  <c r="H44" i="20"/>
  <c r="I44" i="20" s="1"/>
  <c r="H45" i="20"/>
  <c r="I45" i="20" s="1"/>
  <c r="H46" i="20"/>
  <c r="I46" i="20" s="1"/>
  <c r="H9" i="20"/>
  <c r="I9" i="20" s="1"/>
  <c r="E65" i="78"/>
  <c r="E86" i="78"/>
  <c r="E88" i="78"/>
  <c r="E90" i="78"/>
  <c r="E92" i="78"/>
  <c r="D65" i="78"/>
  <c r="D67" i="78"/>
  <c r="D86" i="78"/>
  <c r="D88" i="78"/>
  <c r="D90" i="78"/>
  <c r="D92" i="78"/>
  <c r="E61" i="78"/>
  <c r="D61" i="78"/>
  <c r="D59" i="78"/>
  <c r="E57" i="78"/>
  <c r="D57" i="78"/>
  <c r="D35" i="78"/>
  <c r="D51" i="78"/>
  <c r="D53" i="78"/>
  <c r="D55" i="78"/>
  <c r="E51" i="78"/>
  <c r="E53" i="78"/>
  <c r="E55" i="78"/>
  <c r="E33" i="78"/>
  <c r="D33" i="78"/>
  <c r="E27" i="78"/>
  <c r="E29" i="78"/>
  <c r="D27" i="78"/>
  <c r="D29" i="78"/>
  <c r="E19" i="78"/>
  <c r="E21" i="78"/>
  <c r="E23" i="78"/>
  <c r="E25" i="78"/>
  <c r="D19" i="78"/>
  <c r="D21" i="78"/>
  <c r="D23" i="78"/>
  <c r="D25" i="78"/>
  <c r="DN8" i="49"/>
  <c r="DN7" i="49"/>
  <c r="DN6" i="49"/>
  <c r="G5" i="81"/>
  <c r="E45" i="23"/>
  <c r="B10" i="80"/>
  <c r="B9" i="80"/>
  <c r="B8" i="80"/>
  <c r="B7" i="80"/>
  <c r="B6" i="80"/>
  <c r="B5" i="80"/>
  <c r="Y1" i="54"/>
  <c r="C6" i="22"/>
  <c r="C5" i="22"/>
  <c r="C4" i="22"/>
  <c r="G5" i="17"/>
  <c r="C16" i="68"/>
  <c r="D16" i="68"/>
  <c r="E16" i="68"/>
  <c r="F16" i="68"/>
  <c r="G16" i="68"/>
  <c r="H16" i="68"/>
  <c r="I16" i="68"/>
  <c r="J16" i="68"/>
  <c r="K16" i="68"/>
  <c r="L16" i="68"/>
  <c r="M16" i="68"/>
  <c r="N16" i="68"/>
  <c r="O16" i="68"/>
  <c r="P16" i="68"/>
  <c r="Q16" i="68"/>
  <c r="R16" i="68"/>
  <c r="S16" i="68"/>
  <c r="T16" i="68"/>
  <c r="U16" i="68"/>
  <c r="B16" i="68"/>
  <c r="L49" i="53"/>
  <c r="K49" i="53"/>
  <c r="J49" i="53"/>
  <c r="I49" i="53"/>
  <c r="H49" i="53"/>
  <c r="G49" i="53"/>
  <c r="F49" i="53"/>
  <c r="E49" i="53"/>
  <c r="D49" i="53"/>
  <c r="C49" i="53"/>
  <c r="L46" i="53"/>
  <c r="K46" i="53"/>
  <c r="J46" i="53"/>
  <c r="I46" i="53"/>
  <c r="H46" i="53"/>
  <c r="G46" i="53"/>
  <c r="F46" i="53"/>
  <c r="E46" i="53"/>
  <c r="D46" i="53"/>
  <c r="C46" i="53"/>
  <c r="L43" i="53"/>
  <c r="K43" i="53"/>
  <c r="J43" i="53"/>
  <c r="I43" i="53"/>
  <c r="H43" i="53"/>
  <c r="G43" i="53"/>
  <c r="F43" i="53"/>
  <c r="E43" i="53"/>
  <c r="D43" i="53"/>
  <c r="C43" i="53"/>
  <c r="L27" i="53"/>
  <c r="K27" i="53"/>
  <c r="J27" i="53"/>
  <c r="I27" i="53"/>
  <c r="H27" i="53"/>
  <c r="G27" i="53"/>
  <c r="F27" i="53"/>
  <c r="E27" i="53"/>
  <c r="D27" i="53"/>
  <c r="C27" i="53"/>
  <c r="L22" i="53"/>
  <c r="K22" i="53"/>
  <c r="J22" i="53"/>
  <c r="I22" i="53"/>
  <c r="H22" i="53"/>
  <c r="G22" i="53"/>
  <c r="F22" i="53"/>
  <c r="E22" i="53"/>
  <c r="D22" i="53"/>
  <c r="C22" i="53"/>
  <c r="L18" i="53"/>
  <c r="K8" i="95" s="1"/>
  <c r="K18" i="53"/>
  <c r="J8" i="95" s="1"/>
  <c r="J18" i="53"/>
  <c r="I8" i="95" s="1"/>
  <c r="I18" i="53"/>
  <c r="H8" i="91" s="1"/>
  <c r="H18" i="53"/>
  <c r="G8" i="91" s="1"/>
  <c r="G18" i="53"/>
  <c r="F8" i="95" s="1"/>
  <c r="F18" i="53"/>
  <c r="E17" i="95" s="1"/>
  <c r="D8" i="91"/>
  <c r="D18" i="53"/>
  <c r="C8" i="95" s="1"/>
  <c r="C18" i="53"/>
  <c r="B8" i="95" s="1"/>
  <c r="D2" i="53"/>
  <c r="E42" i="23"/>
  <c r="E39" i="23"/>
  <c r="E33" i="23"/>
  <c r="E29" i="23"/>
  <c r="AB1" i="54"/>
  <c r="AA1" i="54"/>
  <c r="Z1" i="54"/>
  <c r="R2" i="14"/>
  <c r="Q2" i="14"/>
  <c r="F19" i="9"/>
  <c r="L19" i="9" s="1"/>
  <c r="M19" i="9" s="1"/>
  <c r="F20" i="9"/>
  <c r="L20" i="9" s="1"/>
  <c r="M20" i="9" s="1"/>
  <c r="F21" i="9"/>
  <c r="L21" i="9" s="1"/>
  <c r="M21" i="9" s="1"/>
  <c r="F22" i="9"/>
  <c r="L22" i="9" s="1"/>
  <c r="M22" i="9" s="1"/>
  <c r="F23" i="9"/>
  <c r="L23" i="9" s="1"/>
  <c r="M23" i="9" s="1"/>
  <c r="F24" i="9"/>
  <c r="L24" i="9" s="1"/>
  <c r="M24" i="9" s="1"/>
  <c r="F25" i="9"/>
  <c r="L25" i="9" s="1"/>
  <c r="M25" i="9" s="1"/>
  <c r="F26" i="9"/>
  <c r="L26" i="9" s="1"/>
  <c r="M26" i="9" s="1"/>
  <c r="F27" i="9"/>
  <c r="L27" i="9" s="1"/>
  <c r="M27" i="9" s="1"/>
  <c r="F28" i="9"/>
  <c r="L28" i="9" s="1"/>
  <c r="M28" i="9" s="1"/>
  <c r="F29" i="9"/>
  <c r="L29" i="9" s="1"/>
  <c r="M29" i="9" s="1"/>
  <c r="F30" i="9"/>
  <c r="L30" i="9" s="1"/>
  <c r="M30" i="9" s="1"/>
  <c r="F31" i="9"/>
  <c r="L31" i="9" s="1"/>
  <c r="M31" i="9" s="1"/>
  <c r="F32" i="9"/>
  <c r="L32" i="9" s="1"/>
  <c r="M32" i="9" s="1"/>
  <c r="F33" i="9"/>
  <c r="L33" i="9" s="1"/>
  <c r="M33" i="9" s="1"/>
  <c r="F34" i="9"/>
  <c r="L34" i="9" s="1"/>
  <c r="M34" i="9" s="1"/>
  <c r="F35" i="9"/>
  <c r="L35" i="9" s="1"/>
  <c r="M35" i="9" s="1"/>
  <c r="F36" i="9"/>
  <c r="L36" i="9" s="1"/>
  <c r="M36" i="9" s="1"/>
  <c r="F37" i="9"/>
  <c r="L37" i="9" s="1"/>
  <c r="M37" i="9" s="1"/>
  <c r="F38" i="9"/>
  <c r="L38" i="9" s="1"/>
  <c r="M38" i="9" s="1"/>
  <c r="F39" i="9"/>
  <c r="L39" i="9" s="1"/>
  <c r="M39" i="9" s="1"/>
  <c r="F40" i="9"/>
  <c r="L40" i="9" s="1"/>
  <c r="M40" i="9" s="1"/>
  <c r="F41" i="9"/>
  <c r="L41" i="9" s="1"/>
  <c r="M41" i="9" s="1"/>
  <c r="F42" i="9"/>
  <c r="L42" i="9" s="1"/>
  <c r="M42" i="9" s="1"/>
  <c r="F43" i="9"/>
  <c r="L43" i="9"/>
  <c r="M43" i="9" s="1"/>
  <c r="F44" i="9"/>
  <c r="L44" i="9" s="1"/>
  <c r="M44" i="9" s="1"/>
  <c r="F45" i="9"/>
  <c r="L45" i="9" s="1"/>
  <c r="M45" i="9" s="1"/>
  <c r="F46" i="9"/>
  <c r="L46" i="9" s="1"/>
  <c r="M46" i="9" s="1"/>
  <c r="F47" i="9"/>
  <c r="L47" i="9" s="1"/>
  <c r="M47" i="9" s="1"/>
  <c r="F48" i="9"/>
  <c r="L48" i="9" s="1"/>
  <c r="M48" i="9" s="1"/>
  <c r="F49" i="9"/>
  <c r="L49" i="9" s="1"/>
  <c r="M49" i="9" s="1"/>
  <c r="F50" i="9"/>
  <c r="L50" i="9" s="1"/>
  <c r="M50" i="9" s="1"/>
  <c r="F51" i="9"/>
  <c r="L51" i="9" s="1"/>
  <c r="M51" i="9" s="1"/>
  <c r="F52" i="9"/>
  <c r="L52" i="9" s="1"/>
  <c r="M52" i="9" s="1"/>
  <c r="F53" i="9"/>
  <c r="L53" i="9" s="1"/>
  <c r="M53" i="9" s="1"/>
  <c r="F54" i="9"/>
  <c r="L54" i="9" s="1"/>
  <c r="M54" i="9" s="1"/>
  <c r="Q2" i="55"/>
  <c r="P2" i="55"/>
  <c r="O2" i="55"/>
  <c r="C4" i="41"/>
  <c r="O3" i="55"/>
  <c r="N3" i="55"/>
  <c r="U1" i="40"/>
  <c r="W1" i="66"/>
  <c r="G52" i="71"/>
  <c r="F52" i="71"/>
  <c r="G51" i="71"/>
  <c r="F51" i="71"/>
  <c r="G50" i="71"/>
  <c r="F50" i="71"/>
  <c r="G49" i="71"/>
  <c r="F49" i="71"/>
  <c r="G48" i="71"/>
  <c r="F48" i="71"/>
  <c r="G47" i="71"/>
  <c r="F47" i="71"/>
  <c r="G46" i="71"/>
  <c r="F46" i="71"/>
  <c r="G45" i="71"/>
  <c r="F45" i="71"/>
  <c r="G44" i="71"/>
  <c r="F44" i="71"/>
  <c r="G43" i="71"/>
  <c r="F43" i="71"/>
  <c r="G42" i="71"/>
  <c r="F42" i="71"/>
  <c r="G41" i="71"/>
  <c r="F41" i="71"/>
  <c r="G40" i="71"/>
  <c r="F40" i="71"/>
  <c r="G39" i="71"/>
  <c r="F39" i="71"/>
  <c r="G38" i="71"/>
  <c r="F38" i="71"/>
  <c r="G37" i="71"/>
  <c r="F37" i="71"/>
  <c r="G36" i="71"/>
  <c r="F36" i="71"/>
  <c r="G35" i="71"/>
  <c r="F35" i="71"/>
  <c r="G34" i="71"/>
  <c r="F34" i="71"/>
  <c r="G33" i="71"/>
  <c r="F33" i="71"/>
  <c r="G32" i="71"/>
  <c r="F32" i="71"/>
  <c r="G31" i="71"/>
  <c r="F31" i="71"/>
  <c r="G30" i="71"/>
  <c r="F30" i="71"/>
  <c r="G29" i="71"/>
  <c r="F29" i="71"/>
  <c r="G28" i="71"/>
  <c r="F28" i="71"/>
  <c r="G27" i="71"/>
  <c r="F27" i="71"/>
  <c r="G26" i="71"/>
  <c r="F26" i="71"/>
  <c r="G25" i="71"/>
  <c r="F25" i="71"/>
  <c r="G24" i="71"/>
  <c r="F24" i="71"/>
  <c r="G23" i="71"/>
  <c r="F23" i="71"/>
  <c r="G22" i="71"/>
  <c r="F22" i="71"/>
  <c r="G21" i="71"/>
  <c r="F21" i="71"/>
  <c r="G20" i="71"/>
  <c r="F20" i="71"/>
  <c r="G19" i="71"/>
  <c r="F19" i="71"/>
  <c r="G18" i="71"/>
  <c r="F18" i="71"/>
  <c r="G17" i="71"/>
  <c r="F17" i="71"/>
  <c r="G16" i="71"/>
  <c r="F16" i="71"/>
  <c r="G15" i="71"/>
  <c r="F15" i="71"/>
  <c r="G14" i="71"/>
  <c r="F14" i="71"/>
  <c r="G13" i="71"/>
  <c r="F13" i="71"/>
  <c r="G12" i="71"/>
  <c r="F12" i="71"/>
  <c r="G11" i="71"/>
  <c r="F11" i="71"/>
  <c r="G10" i="71"/>
  <c r="F10" i="71"/>
  <c r="G9" i="71"/>
  <c r="F9" i="71"/>
  <c r="G8" i="71"/>
  <c r="F8" i="71"/>
  <c r="G7" i="71"/>
  <c r="F7" i="71"/>
  <c r="G6" i="71"/>
  <c r="F6" i="71"/>
  <c r="G5" i="71"/>
  <c r="F5" i="71"/>
  <c r="C2" i="22"/>
  <c r="F1" i="54"/>
  <c r="Q1" i="54" s="1"/>
  <c r="C1" i="66"/>
  <c r="F1" i="20"/>
  <c r="M1" i="20" s="1"/>
  <c r="F1" i="22"/>
  <c r="F1" i="40"/>
  <c r="P1" i="40" s="1"/>
  <c r="C1" i="68"/>
  <c r="C1" i="71"/>
  <c r="H1" i="52"/>
  <c r="E1" i="51"/>
  <c r="D1" i="14"/>
  <c r="G1" i="55"/>
  <c r="F1" i="9"/>
  <c r="F1" i="33"/>
  <c r="M1" i="33" s="1"/>
  <c r="D2" i="41"/>
  <c r="B3" i="74" s="1"/>
  <c r="B30" i="68"/>
  <c r="B2" i="74"/>
  <c r="F41" i="23"/>
  <c r="A2" i="14"/>
  <c r="B2" i="68"/>
  <c r="B5" i="68" s="1"/>
  <c r="U30" i="68"/>
  <c r="T30" i="68"/>
  <c r="S30" i="68"/>
  <c r="R30" i="68"/>
  <c r="Q30" i="68"/>
  <c r="P30" i="68"/>
  <c r="O30" i="68"/>
  <c r="N30" i="68"/>
  <c r="M30" i="68"/>
  <c r="L30" i="68"/>
  <c r="K30" i="68"/>
  <c r="J30" i="68"/>
  <c r="I30" i="68"/>
  <c r="H30" i="68"/>
  <c r="G30" i="68"/>
  <c r="F30" i="68"/>
  <c r="E30" i="68"/>
  <c r="D30" i="68"/>
  <c r="C30" i="68"/>
  <c r="B1" i="68"/>
  <c r="B1" i="46"/>
  <c r="D1" i="17"/>
  <c r="D10" i="20"/>
  <c r="E10" i="20"/>
  <c r="F10" i="20"/>
  <c r="D11" i="20"/>
  <c r="E11" i="20"/>
  <c r="F11" i="20"/>
  <c r="D12" i="20"/>
  <c r="E12" i="20"/>
  <c r="F12" i="20"/>
  <c r="D13" i="20"/>
  <c r="E13" i="20"/>
  <c r="F13" i="20"/>
  <c r="D14" i="20"/>
  <c r="E14" i="20"/>
  <c r="F14" i="20"/>
  <c r="D15" i="20"/>
  <c r="E15" i="20"/>
  <c r="F15" i="20"/>
  <c r="D16" i="20"/>
  <c r="E16" i="20"/>
  <c r="F16" i="20"/>
  <c r="D17" i="20"/>
  <c r="E17" i="20"/>
  <c r="F17" i="20"/>
  <c r="D18" i="20"/>
  <c r="E18" i="20"/>
  <c r="F18" i="20"/>
  <c r="D19" i="20"/>
  <c r="E19" i="20"/>
  <c r="F19" i="20"/>
  <c r="D20" i="20"/>
  <c r="E20" i="20"/>
  <c r="F20" i="20"/>
  <c r="D21" i="20"/>
  <c r="E21" i="20"/>
  <c r="F21" i="20"/>
  <c r="D22" i="20"/>
  <c r="E22" i="20"/>
  <c r="F22" i="20"/>
  <c r="D23" i="20"/>
  <c r="E23" i="20"/>
  <c r="F23" i="20"/>
  <c r="D24" i="20"/>
  <c r="E24" i="20"/>
  <c r="F24" i="20"/>
  <c r="D25" i="20"/>
  <c r="E25" i="20"/>
  <c r="F25" i="20"/>
  <c r="D26" i="20"/>
  <c r="E26" i="20"/>
  <c r="F26" i="20"/>
  <c r="D27" i="20"/>
  <c r="E27" i="20"/>
  <c r="F27" i="20"/>
  <c r="D28" i="20"/>
  <c r="E28" i="20"/>
  <c r="F28" i="20"/>
  <c r="D29" i="20"/>
  <c r="E29" i="20"/>
  <c r="F29" i="20"/>
  <c r="D30" i="20"/>
  <c r="E30" i="20"/>
  <c r="F30" i="20"/>
  <c r="D31" i="20"/>
  <c r="E31" i="20"/>
  <c r="F31" i="20"/>
  <c r="D32" i="20"/>
  <c r="E32" i="20"/>
  <c r="F32" i="20"/>
  <c r="D33" i="20"/>
  <c r="E33" i="20"/>
  <c r="F33" i="20"/>
  <c r="D34" i="20"/>
  <c r="E34" i="20"/>
  <c r="F34" i="20"/>
  <c r="D35" i="20"/>
  <c r="E35" i="20"/>
  <c r="F35" i="20"/>
  <c r="D36" i="20"/>
  <c r="E36" i="20"/>
  <c r="F36" i="20"/>
  <c r="D37" i="20"/>
  <c r="E37" i="20"/>
  <c r="F37" i="20"/>
  <c r="D38" i="20"/>
  <c r="E38" i="20"/>
  <c r="F38" i="20"/>
  <c r="D39" i="20"/>
  <c r="E39" i="20"/>
  <c r="F39" i="20"/>
  <c r="D40" i="20"/>
  <c r="E40" i="20"/>
  <c r="F40" i="20"/>
  <c r="D41" i="20"/>
  <c r="E41" i="20"/>
  <c r="F41" i="20"/>
  <c r="D42" i="20"/>
  <c r="E42" i="20"/>
  <c r="F42" i="20"/>
  <c r="D43" i="20"/>
  <c r="E43" i="20"/>
  <c r="F43" i="20"/>
  <c r="D44" i="20"/>
  <c r="E44" i="20"/>
  <c r="F44" i="20"/>
  <c r="D45" i="20"/>
  <c r="E45" i="20"/>
  <c r="F45" i="20"/>
  <c r="D46" i="20"/>
  <c r="F46" i="20"/>
  <c r="E46" i="20"/>
  <c r="C6" i="49"/>
  <c r="C7" i="49"/>
  <c r="C8" i="49"/>
  <c r="C9" i="49"/>
  <c r="C10" i="49"/>
  <c r="C11" i="49"/>
  <c r="C2" i="53"/>
  <c r="E2" i="53"/>
  <c r="F2" i="53"/>
  <c r="G2" i="53"/>
  <c r="H2" i="53"/>
  <c r="I2" i="53"/>
  <c r="J2" i="53"/>
  <c r="K2" i="53"/>
  <c r="L2" i="53"/>
  <c r="K2" i="9"/>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C152" i="33"/>
  <c r="C153" i="33"/>
  <c r="B8" i="17"/>
  <c r="B9" i="17"/>
  <c r="B10" i="17"/>
  <c r="B11" i="17"/>
  <c r="B12" i="17"/>
  <c r="B13" i="17"/>
  <c r="B14" i="17"/>
  <c r="B15" i="17"/>
  <c r="B16" i="17"/>
  <c r="B17" i="17"/>
  <c r="B18" i="17"/>
  <c r="B19" i="17"/>
  <c r="B20" i="17"/>
  <c r="B21" i="17"/>
  <c r="B22" i="17"/>
  <c r="W17" i="86"/>
  <c r="AQ12" i="86" a="1"/>
  <c r="AQ12" i="86" s="1"/>
  <c r="S26" i="33"/>
  <c r="W16" i="86"/>
  <c r="W14" i="86"/>
  <c r="AX16" i="86"/>
  <c r="AX15" i="86"/>
  <c r="AX17" i="86"/>
  <c r="R15" i="86"/>
  <c r="AW16" i="86"/>
  <c r="R17" i="86"/>
  <c r="R16" i="86"/>
  <c r="R14" i="86"/>
  <c r="AW17" i="86"/>
  <c r="W15" i="86"/>
  <c r="AW14" i="86"/>
  <c r="AW15" i="86"/>
  <c r="AO10" i="86" a="1"/>
  <c r="AO10" i="86" s="1"/>
  <c r="AV10" i="86"/>
  <c r="AV9" i="86"/>
  <c r="R9" i="86"/>
  <c r="AV13" i="86"/>
  <c r="AV12" i="86"/>
  <c r="R11" i="86"/>
  <c r="AV11" i="86"/>
  <c r="R13" i="86"/>
  <c r="R10" i="86"/>
  <c r="R12" i="86"/>
  <c r="W9" i="86"/>
  <c r="AW12" i="86"/>
  <c r="S17" i="33"/>
  <c r="S18" i="33"/>
  <c r="U18" i="55"/>
  <c r="AW10" i="86"/>
  <c r="W11" i="86"/>
  <c r="AW13" i="86"/>
  <c r="H6" i="88"/>
  <c r="H5" i="88"/>
  <c r="S21" i="33"/>
  <c r="S24" i="33"/>
  <c r="S20" i="33"/>
  <c r="S25" i="33"/>
  <c r="S23" i="33"/>
  <c r="S19" i="33"/>
  <c r="S22" i="33"/>
  <c r="U8" i="55"/>
  <c r="U11" i="55"/>
  <c r="U17" i="55"/>
  <c r="U13" i="55"/>
  <c r="U12" i="55"/>
  <c r="U14" i="55"/>
  <c r="U16" i="55"/>
  <c r="U15" i="55"/>
  <c r="U19" i="55"/>
  <c r="S16" i="33"/>
  <c r="AW11" i="86"/>
  <c r="W13" i="86"/>
  <c r="U10" i="55"/>
  <c r="U9" i="55"/>
  <c r="AW9" i="86"/>
  <c r="AX10" i="86"/>
  <c r="W12" i="86"/>
  <c r="AX13" i="86"/>
  <c r="W10" i="86"/>
  <c r="AX9" i="86"/>
  <c r="AX12" i="86"/>
  <c r="AX11" i="86"/>
  <c r="AH79" i="14"/>
  <c r="AH119" i="14"/>
  <c r="AH67" i="14"/>
  <c r="AH117" i="14"/>
  <c r="AH127" i="14"/>
  <c r="AH128" i="14"/>
  <c r="AH44" i="14"/>
  <c r="AH146" i="14"/>
  <c r="AH141" i="14"/>
  <c r="AH33" i="14"/>
  <c r="AH149" i="14"/>
  <c r="AH129" i="14"/>
  <c r="AH105" i="14"/>
  <c r="AH69" i="14"/>
  <c r="AH57" i="14"/>
  <c r="AH41" i="14"/>
  <c r="AH63" i="14"/>
  <c r="AH107" i="14"/>
  <c r="AH75" i="14"/>
  <c r="AH15" i="14"/>
  <c r="AH88" i="14"/>
  <c r="AH153" i="14"/>
  <c r="AH145" i="14"/>
  <c r="AH113" i="14"/>
  <c r="AH109" i="14"/>
  <c r="AH101" i="14"/>
  <c r="AH85" i="14"/>
  <c r="AH81" i="14"/>
  <c r="AH131" i="14"/>
  <c r="AH103" i="14"/>
  <c r="AH55" i="14"/>
  <c r="AH73" i="14"/>
  <c r="AH71" i="14"/>
  <c r="AH74" i="14"/>
  <c r="AH104" i="14"/>
  <c r="AH108" i="14"/>
  <c r="AH46" i="14"/>
  <c r="AH84" i="14"/>
  <c r="AH49" i="14"/>
  <c r="AH112" i="14"/>
  <c r="AH154" i="14"/>
  <c r="AH144" i="14"/>
  <c r="AH142" i="14"/>
  <c r="AH138" i="14"/>
  <c r="AH124" i="14"/>
  <c r="AH106" i="14"/>
  <c r="AH100" i="14"/>
  <c r="AH76" i="14"/>
  <c r="AH36" i="14"/>
  <c r="AH134" i="14"/>
  <c r="AH34" i="14"/>
  <c r="AH27" i="14"/>
  <c r="AH23" i="14"/>
  <c r="AH19" i="14"/>
  <c r="AH147" i="14"/>
  <c r="AH115" i="14"/>
  <c r="AH97" i="14"/>
  <c r="AH89" i="14"/>
  <c r="AH77" i="14"/>
  <c r="AH65" i="14"/>
  <c r="AH61" i="14"/>
  <c r="AH7" i="14"/>
  <c r="AH86" i="14"/>
  <c r="AH90" i="14"/>
  <c r="AH50" i="14"/>
  <c r="AH110" i="14"/>
  <c r="AH148" i="14"/>
  <c r="AH155" i="14"/>
  <c r="AH24" i="14"/>
  <c r="AH122" i="14"/>
  <c r="AH92" i="14"/>
  <c r="AH78" i="14"/>
  <c r="AH70" i="14"/>
  <c r="AH62" i="14"/>
  <c r="AH47" i="14"/>
  <c r="AH43" i="14"/>
  <c r="AH31" i="14"/>
  <c r="AH125" i="14"/>
  <c r="AH123" i="14"/>
  <c r="AH25" i="14"/>
  <c r="AH22" i="14"/>
  <c r="AH137" i="14"/>
  <c r="AH20" i="14"/>
  <c r="AH30" i="14"/>
  <c r="AH102" i="14"/>
  <c r="AH133" i="14"/>
  <c r="AH143" i="14"/>
  <c r="AH139" i="14"/>
  <c r="AH135" i="14"/>
  <c r="AH54" i="14"/>
  <c r="AH39" i="14"/>
  <c r="AH32" i="14"/>
  <c r="AH28" i="14"/>
  <c r="AH18" i="14"/>
  <c r="AH126" i="14"/>
  <c r="AH120" i="14"/>
  <c r="AH116" i="14"/>
  <c r="AH72" i="14"/>
  <c r="AH60" i="14"/>
  <c r="AH56" i="14"/>
  <c r="AH68" i="14"/>
  <c r="AH150" i="14"/>
  <c r="AH118" i="14"/>
  <c r="AH42" i="14"/>
  <c r="AH38" i="14"/>
  <c r="AH14" i="14"/>
  <c r="AH11" i="14"/>
  <c r="AH151" i="14"/>
  <c r="AH48" i="14"/>
  <c r="AH17" i="14"/>
  <c r="AH21" i="14"/>
  <c r="AH130" i="14"/>
  <c r="AH94" i="14"/>
  <c r="S27" i="68"/>
  <c r="AH82" i="14"/>
  <c r="O27" i="68"/>
  <c r="AH93" i="14"/>
  <c r="AH96" i="14"/>
  <c r="AH132" i="14"/>
  <c r="AH91" i="14"/>
  <c r="AH59" i="14"/>
  <c r="AH35" i="14"/>
  <c r="AH53" i="14"/>
  <c r="AH45" i="14"/>
  <c r="AH26" i="14"/>
  <c r="D3" i="41"/>
  <c r="L5" i="51" l="1"/>
  <c r="T5" i="51" s="1"/>
  <c r="K9" i="22"/>
  <c r="D3" i="83"/>
  <c r="B3" i="83"/>
  <c r="AC3" i="54"/>
  <c r="D3" i="54"/>
  <c r="A4" i="120"/>
  <c r="A5" i="120"/>
  <c r="A6" i="120"/>
  <c r="C3" i="86"/>
  <c r="X39" i="17"/>
  <c r="W39" i="17"/>
  <c r="P38" i="17"/>
  <c r="W38" i="17"/>
  <c r="AI38" i="17" s="1"/>
  <c r="X38" i="17"/>
  <c r="P37" i="17"/>
  <c r="W37" i="17"/>
  <c r="X37" i="17"/>
  <c r="P36" i="17"/>
  <c r="X36" i="17"/>
  <c r="K36" i="17"/>
  <c r="J36" i="17"/>
  <c r="W36" i="17"/>
  <c r="F3" i="66"/>
  <c r="B9" i="66"/>
  <c r="B13" i="66"/>
  <c r="A176" i="33"/>
  <c r="O176" i="33"/>
  <c r="A180" i="33"/>
  <c r="D180" i="33" s="1"/>
  <c r="O180" i="33"/>
  <c r="A177" i="33"/>
  <c r="D177" i="33" s="1"/>
  <c r="O177" i="33"/>
  <c r="A181" i="33"/>
  <c r="D181" i="33" s="1"/>
  <c r="O181" i="33"/>
  <c r="A174" i="33"/>
  <c r="O174" i="33"/>
  <c r="A178" i="33"/>
  <c r="O178" i="33"/>
  <c r="A182" i="33"/>
  <c r="D182" i="33" s="1"/>
  <c r="O182" i="33"/>
  <c r="A175" i="33"/>
  <c r="O175" i="33"/>
  <c r="A179" i="33"/>
  <c r="O179" i="33"/>
  <c r="B25" i="84"/>
  <c r="B23" i="84"/>
  <c r="B21" i="84"/>
  <c r="B19" i="84"/>
  <c r="J4" i="87"/>
  <c r="J39" i="17"/>
  <c r="P39" i="17"/>
  <c r="J40" i="17"/>
  <c r="P40" i="17"/>
  <c r="V5" i="14"/>
  <c r="K4" i="14"/>
  <c r="E21" i="68"/>
  <c r="I21" i="68"/>
  <c r="M21" i="68"/>
  <c r="I20" i="68"/>
  <c r="F12" i="84"/>
  <c r="J12" i="84"/>
  <c r="N12" i="84"/>
  <c r="R12" i="84"/>
  <c r="B12" i="84"/>
  <c r="F11" i="84"/>
  <c r="J11" i="84"/>
  <c r="N11" i="84"/>
  <c r="R11" i="84"/>
  <c r="C11" i="84"/>
  <c r="C12" i="84"/>
  <c r="G12" i="84"/>
  <c r="K12" i="84"/>
  <c r="O12" i="84"/>
  <c r="S12" i="84"/>
  <c r="G11" i="84"/>
  <c r="K11" i="84"/>
  <c r="O11" i="84"/>
  <c r="S11" i="84"/>
  <c r="D12" i="84"/>
  <c r="H12" i="84"/>
  <c r="L12" i="84"/>
  <c r="P12" i="84"/>
  <c r="T12" i="84"/>
  <c r="D11" i="84"/>
  <c r="H11" i="84"/>
  <c r="L11" i="84"/>
  <c r="P11" i="84"/>
  <c r="T11" i="84"/>
  <c r="E12" i="84"/>
  <c r="I12" i="84"/>
  <c r="M12" i="84"/>
  <c r="Q12" i="84"/>
  <c r="U12" i="84"/>
  <c r="E11" i="84"/>
  <c r="I11" i="84"/>
  <c r="M11" i="84"/>
  <c r="Q11" i="84"/>
  <c r="U11" i="84"/>
  <c r="J37" i="17"/>
  <c r="K37" i="17"/>
  <c r="J38" i="17"/>
  <c r="K38" i="17"/>
  <c r="C5" i="86"/>
  <c r="U23" i="68"/>
  <c r="Q20" i="68"/>
  <c r="F27" i="68"/>
  <c r="B21" i="68"/>
  <c r="O20" i="68"/>
  <c r="F21" i="68"/>
  <c r="Q27" i="68"/>
  <c r="B25" i="68"/>
  <c r="J23" i="68"/>
  <c r="Q21" i="68"/>
  <c r="I23" i="68"/>
  <c r="R21" i="68"/>
  <c r="I25" i="68"/>
  <c r="M27" i="68"/>
  <c r="B35" i="17"/>
  <c r="A15" i="33"/>
  <c r="A14" i="33"/>
  <c r="A7" i="33"/>
  <c r="C5" i="33"/>
  <c r="A5" i="33" s="1"/>
  <c r="L6" i="51" s="1"/>
  <c r="T6" i="51" s="1"/>
  <c r="C9" i="33"/>
  <c r="A11" i="33"/>
  <c r="A6" i="33"/>
  <c r="T20" i="68"/>
  <c r="T25" i="68"/>
  <c r="L27" i="68"/>
  <c r="L23" i="68"/>
  <c r="G20" i="68"/>
  <c r="H23" i="68"/>
  <c r="H25" i="68"/>
  <c r="AL94" i="17"/>
  <c r="AL68" i="17"/>
  <c r="AL64" i="17"/>
  <c r="AL60" i="17"/>
  <c r="AL56" i="17"/>
  <c r="AL52" i="17"/>
  <c r="M20" i="68"/>
  <c r="S21" i="68"/>
  <c r="AH47" i="17"/>
  <c r="L47" i="17"/>
  <c r="AQ47" i="17"/>
  <c r="N47" i="17"/>
  <c r="J47" i="17"/>
  <c r="AH43" i="17"/>
  <c r="L43" i="17"/>
  <c r="J43" i="17"/>
  <c r="AQ43" i="17"/>
  <c r="N43" i="17"/>
  <c r="AQ38" i="17"/>
  <c r="N38" i="17"/>
  <c r="L38" i="17"/>
  <c r="AH38" i="17"/>
  <c r="AL102" i="17"/>
  <c r="AL90" i="17"/>
  <c r="AL86" i="17"/>
  <c r="AL75" i="17"/>
  <c r="N48" i="17"/>
  <c r="AQ48" i="17"/>
  <c r="J48" i="17"/>
  <c r="AH48" i="17"/>
  <c r="L48" i="17"/>
  <c r="N44" i="17"/>
  <c r="AQ44" i="17"/>
  <c r="J44" i="17"/>
  <c r="AH44" i="17"/>
  <c r="L44" i="17"/>
  <c r="AH39" i="17"/>
  <c r="L39" i="17"/>
  <c r="AQ39" i="17"/>
  <c r="N39" i="17"/>
  <c r="N40" i="17"/>
  <c r="AQ40" i="17"/>
  <c r="AH40" i="17"/>
  <c r="L40" i="17"/>
  <c r="AL98" i="17"/>
  <c r="AL82" i="17"/>
  <c r="AL71" i="17"/>
  <c r="AL65" i="17"/>
  <c r="AL61" i="17"/>
  <c r="AL57" i="17"/>
  <c r="AL53" i="17"/>
  <c r="AQ46" i="17"/>
  <c r="J46" i="17"/>
  <c r="N46" i="17"/>
  <c r="L46" i="17"/>
  <c r="AH46" i="17"/>
  <c r="AQ42" i="17"/>
  <c r="J42" i="17"/>
  <c r="N42" i="17"/>
  <c r="L42" i="17"/>
  <c r="AH42" i="17"/>
  <c r="L37" i="17"/>
  <c r="AH37" i="17"/>
  <c r="N37" i="17"/>
  <c r="AQ37" i="17"/>
  <c r="AL79" i="17"/>
  <c r="AL67" i="17"/>
  <c r="AL63" i="17"/>
  <c r="AL59" i="17"/>
  <c r="AL55" i="17"/>
  <c r="AL51" i="17"/>
  <c r="L49" i="17"/>
  <c r="AH49" i="17"/>
  <c r="N49" i="17"/>
  <c r="J49" i="17"/>
  <c r="AQ49" i="17"/>
  <c r="K45" i="17"/>
  <c r="L45" i="17"/>
  <c r="AH45" i="17"/>
  <c r="N45" i="17"/>
  <c r="J45" i="17"/>
  <c r="AQ45" i="17"/>
  <c r="L41" i="17"/>
  <c r="AH41" i="17"/>
  <c r="N41" i="17"/>
  <c r="J41" i="17"/>
  <c r="AQ41" i="17"/>
  <c r="N36" i="17"/>
  <c r="AQ36" i="17"/>
  <c r="AH36" i="17"/>
  <c r="L36" i="17"/>
  <c r="D6" i="9"/>
  <c r="G12" i="52"/>
  <c r="G4" i="52"/>
  <c r="G7" i="52"/>
  <c r="B9" i="52"/>
  <c r="B10" i="52"/>
  <c r="G11" i="52"/>
  <c r="G13" i="52"/>
  <c r="B6" i="52"/>
  <c r="D7" i="9"/>
  <c r="G10" i="52"/>
  <c r="G5" i="52"/>
  <c r="B7" i="52"/>
  <c r="B8" i="52"/>
  <c r="G3" i="52"/>
  <c r="G8" i="52"/>
  <c r="B5" i="52"/>
  <c r="B13" i="52"/>
  <c r="D9" i="9"/>
  <c r="G6" i="52"/>
  <c r="G9" i="52"/>
  <c r="B11" i="52"/>
  <c r="B12" i="52"/>
  <c r="B4" i="52"/>
  <c r="Q4" i="52" s="1"/>
  <c r="B3" i="52"/>
  <c r="Q3" i="52" s="1"/>
  <c r="D8" i="9"/>
  <c r="D11" i="9"/>
  <c r="K9" i="20"/>
  <c r="D196" i="81"/>
  <c r="D192" i="81"/>
  <c r="D188" i="81"/>
  <c r="D184" i="81"/>
  <c r="D199" i="81"/>
  <c r="D195" i="81"/>
  <c r="D191" i="81"/>
  <c r="D187" i="81"/>
  <c r="D183" i="81"/>
  <c r="D198" i="81"/>
  <c r="D194" i="81"/>
  <c r="D190" i="81"/>
  <c r="D186" i="81"/>
  <c r="D182" i="81"/>
  <c r="D197" i="81"/>
  <c r="D193" i="81"/>
  <c r="D189" i="81"/>
  <c r="D185" i="81"/>
  <c r="R180" i="33"/>
  <c r="L180" i="33"/>
  <c r="P180" i="33"/>
  <c r="J180" i="33"/>
  <c r="I180" i="33"/>
  <c r="M180" i="33"/>
  <c r="M177" i="33"/>
  <c r="R177" i="33"/>
  <c r="L177" i="33"/>
  <c r="P177" i="33"/>
  <c r="J177" i="33"/>
  <c r="I177" i="33"/>
  <c r="R181" i="33"/>
  <c r="L181" i="33"/>
  <c r="P181" i="33"/>
  <c r="J181" i="33"/>
  <c r="I181" i="33"/>
  <c r="F181" i="33"/>
  <c r="M181" i="33"/>
  <c r="I174" i="33"/>
  <c r="M174" i="33"/>
  <c r="L174" i="33"/>
  <c r="J174" i="33"/>
  <c r="R174" i="33"/>
  <c r="P174" i="33"/>
  <c r="I178" i="33"/>
  <c r="M178" i="33"/>
  <c r="R178" i="33"/>
  <c r="P178" i="33"/>
  <c r="L178" i="33"/>
  <c r="J178" i="33"/>
  <c r="R182" i="33"/>
  <c r="L182" i="33"/>
  <c r="P182" i="33"/>
  <c r="J182" i="33"/>
  <c r="I182" i="33"/>
  <c r="F182" i="33"/>
  <c r="M182" i="33"/>
  <c r="R176" i="33"/>
  <c r="L176" i="33"/>
  <c r="P176" i="33"/>
  <c r="J176" i="33"/>
  <c r="M176" i="33"/>
  <c r="I176" i="33"/>
  <c r="P175" i="33"/>
  <c r="J175" i="33"/>
  <c r="I175" i="33"/>
  <c r="M175" i="33"/>
  <c r="L175" i="33"/>
  <c r="R175" i="33"/>
  <c r="P179" i="33"/>
  <c r="J179" i="33"/>
  <c r="I179" i="33"/>
  <c r="R179" i="33"/>
  <c r="M179" i="33"/>
  <c r="L179" i="33"/>
  <c r="A100" i="74"/>
  <c r="A96" i="74"/>
  <c r="A92" i="74"/>
  <c r="A84" i="74"/>
  <c r="A80" i="74"/>
  <c r="A76" i="74"/>
  <c r="A72" i="74"/>
  <c r="A64" i="74"/>
  <c r="A48" i="74"/>
  <c r="A44" i="74"/>
  <c r="A32" i="74"/>
  <c r="A91" i="74"/>
  <c r="A87" i="74"/>
  <c r="A63" i="74"/>
  <c r="A39" i="74"/>
  <c r="A15" i="74"/>
  <c r="A10" i="74"/>
  <c r="A94" i="74"/>
  <c r="A82" i="74"/>
  <c r="A18" i="74"/>
  <c r="A73" i="74"/>
  <c r="A33" i="74"/>
  <c r="L11" i="9"/>
  <c r="M11" i="9" s="1"/>
  <c r="P49" i="99"/>
  <c r="U49" i="99"/>
  <c r="U47" i="99"/>
  <c r="P47" i="99"/>
  <c r="P45" i="99"/>
  <c r="U45" i="99"/>
  <c r="U43" i="99"/>
  <c r="P43" i="99"/>
  <c r="P41" i="99"/>
  <c r="U41" i="99"/>
  <c r="U39" i="99"/>
  <c r="P39" i="99"/>
  <c r="P37" i="99"/>
  <c r="U37" i="99"/>
  <c r="U35" i="99"/>
  <c r="P35" i="99"/>
  <c r="P33" i="99"/>
  <c r="U33" i="99"/>
  <c r="U31" i="99"/>
  <c r="P31" i="99"/>
  <c r="P29" i="99"/>
  <c r="U29" i="99"/>
  <c r="U27" i="99"/>
  <c r="P27" i="99"/>
  <c r="P25" i="99"/>
  <c r="U25" i="99"/>
  <c r="U23" i="99"/>
  <c r="P23" i="99"/>
  <c r="P21" i="99"/>
  <c r="U21" i="99"/>
  <c r="U19" i="99"/>
  <c r="P19" i="99"/>
  <c r="P17" i="99"/>
  <c r="U17" i="99"/>
  <c r="P50" i="99"/>
  <c r="U50" i="99"/>
  <c r="P48" i="99"/>
  <c r="U48" i="99"/>
  <c r="P46" i="99"/>
  <c r="U46" i="99"/>
  <c r="U44" i="99"/>
  <c r="P44" i="99"/>
  <c r="P42" i="99"/>
  <c r="U42" i="99"/>
  <c r="P40" i="99"/>
  <c r="U40" i="99"/>
  <c r="P38" i="99"/>
  <c r="U38" i="99"/>
  <c r="U36" i="99"/>
  <c r="P36" i="99"/>
  <c r="P34" i="99"/>
  <c r="U34" i="99"/>
  <c r="P32" i="99"/>
  <c r="U32" i="99"/>
  <c r="P30" i="99"/>
  <c r="U30" i="99"/>
  <c r="U28" i="99"/>
  <c r="P28" i="99"/>
  <c r="P26" i="99"/>
  <c r="U26" i="99"/>
  <c r="P24" i="99"/>
  <c r="U24" i="99"/>
  <c r="P22" i="99"/>
  <c r="U22" i="99"/>
  <c r="U20" i="99"/>
  <c r="P20" i="99"/>
  <c r="P18" i="99"/>
  <c r="U18" i="99"/>
  <c r="Q178" i="33"/>
  <c r="Q174" i="33"/>
  <c r="A3" i="85"/>
  <c r="AR68" i="17"/>
  <c r="AR67" i="17"/>
  <c r="AR52" i="17"/>
  <c r="AR51" i="17"/>
  <c r="T49" i="17"/>
  <c r="S49" i="17"/>
  <c r="T43" i="17"/>
  <c r="S43" i="17"/>
  <c r="T40" i="17"/>
  <c r="S40" i="17"/>
  <c r="N23" i="68"/>
  <c r="R23" i="68"/>
  <c r="D21" i="68"/>
  <c r="L15" i="9"/>
  <c r="M15" i="9" s="1"/>
  <c r="Q168" i="33"/>
  <c r="AR98" i="17"/>
  <c r="AR94" i="17"/>
  <c r="AR85" i="17"/>
  <c r="AR84" i="17"/>
  <c r="AR81" i="17"/>
  <c r="AR64" i="17"/>
  <c r="AR63" i="17"/>
  <c r="AZ48" i="17"/>
  <c r="T48" i="17"/>
  <c r="S48" i="17"/>
  <c r="T45" i="17"/>
  <c r="S45" i="17"/>
  <c r="AT42" i="17"/>
  <c r="T42" i="17"/>
  <c r="S42" i="17"/>
  <c r="T38" i="17"/>
  <c r="S38" i="17"/>
  <c r="N25" i="68"/>
  <c r="Q25" i="68"/>
  <c r="U25" i="68"/>
  <c r="N27" i="68"/>
  <c r="R20" i="68"/>
  <c r="T21" i="68"/>
  <c r="D25" i="68"/>
  <c r="AR101" i="17"/>
  <c r="AR100" i="17"/>
  <c r="AR97" i="17"/>
  <c r="AR96" i="17"/>
  <c r="AR93" i="17"/>
  <c r="AR92" i="17"/>
  <c r="AR79" i="17"/>
  <c r="AR76" i="17"/>
  <c r="AR75" i="17"/>
  <c r="AR70" i="17"/>
  <c r="AR60" i="17"/>
  <c r="AR59" i="17"/>
  <c r="T47" i="17"/>
  <c r="S47" i="17"/>
  <c r="X44" i="17"/>
  <c r="T44" i="17"/>
  <c r="S44" i="17"/>
  <c r="T41" i="17"/>
  <c r="S41" i="17"/>
  <c r="AT37" i="17"/>
  <c r="T37" i="17"/>
  <c r="S37" i="17"/>
  <c r="AI37" i="17"/>
  <c r="N20" i="68"/>
  <c r="F20" i="68"/>
  <c r="T27" i="68"/>
  <c r="D27" i="68"/>
  <c r="G23" i="68"/>
  <c r="D23" i="68"/>
  <c r="C2" i="86"/>
  <c r="C4" i="86"/>
  <c r="AR89" i="17"/>
  <c r="AR88" i="17"/>
  <c r="AR78" i="17"/>
  <c r="AR56" i="17"/>
  <c r="AR55" i="17"/>
  <c r="T46" i="17"/>
  <c r="S46" i="17"/>
  <c r="W43" i="17"/>
  <c r="AI43" i="17" s="1"/>
  <c r="T39" i="17"/>
  <c r="S39" i="17"/>
  <c r="K39" i="17"/>
  <c r="T36" i="17"/>
  <c r="S36" i="17"/>
  <c r="AI36" i="17"/>
  <c r="B5" i="84"/>
  <c r="B4" i="84"/>
  <c r="B3" i="84"/>
  <c r="H37" i="87"/>
  <c r="U27" i="68"/>
  <c r="L25" i="68"/>
  <c r="B20" i="68"/>
  <c r="F25" i="68"/>
  <c r="U21" i="68"/>
  <c r="R27" i="68"/>
  <c r="O25" i="68"/>
  <c r="L20" i="68"/>
  <c r="O23" i="68"/>
  <c r="C27" i="68"/>
  <c r="J25" i="68"/>
  <c r="B27" i="68"/>
  <c r="C20" i="68"/>
  <c r="P27" i="68"/>
  <c r="K27" i="68"/>
  <c r="S23" i="68"/>
  <c r="C25" i="68"/>
  <c r="J20" i="68"/>
  <c r="G21" i="68"/>
  <c r="J27" i="68"/>
  <c r="H21" i="68"/>
  <c r="P23" i="68"/>
  <c r="E23" i="68"/>
  <c r="E25" i="68"/>
  <c r="G27" i="68"/>
  <c r="K21" i="68"/>
  <c r="M25" i="68"/>
  <c r="H20" i="68"/>
  <c r="K23" i="68"/>
  <c r="E27" i="68"/>
  <c r="C21" i="68"/>
  <c r="P25" i="68"/>
  <c r="K25" i="68"/>
  <c r="S25" i="68"/>
  <c r="P21" i="68"/>
  <c r="D198" i="33"/>
  <c r="D205" i="33"/>
  <c r="D202" i="33"/>
  <c r="D186" i="33"/>
  <c r="D187" i="33"/>
  <c r="H4" i="88"/>
  <c r="AR86" i="17"/>
  <c r="AR102" i="17"/>
  <c r="AR90" i="17"/>
  <c r="AR82" i="17"/>
  <c r="AR71" i="17"/>
  <c r="G17" i="95"/>
  <c r="G8" i="95"/>
  <c r="F8" i="91"/>
  <c r="F17" i="95"/>
  <c r="C17" i="95"/>
  <c r="H8" i="95"/>
  <c r="E8" i="91"/>
  <c r="C8" i="91"/>
  <c r="H17" i="95"/>
  <c r="E8" i="95"/>
  <c r="J8" i="91"/>
  <c r="J17" i="95"/>
  <c r="K8" i="91"/>
  <c r="I8" i="91"/>
  <c r="D17" i="95"/>
  <c r="D8" i="95"/>
  <c r="K17" i="95"/>
  <c r="I17" i="95"/>
  <c r="B17" i="95"/>
  <c r="B8" i="91"/>
  <c r="B3" i="68"/>
  <c r="B5" i="66"/>
  <c r="AV6" i="86"/>
  <c r="B8" i="66"/>
  <c r="D3" i="40"/>
  <c r="D4" i="40"/>
  <c r="B4" i="68"/>
  <c r="B7" i="66"/>
  <c r="B6" i="68"/>
  <c r="B4" i="66"/>
  <c r="AZ43" i="17"/>
  <c r="U43" i="17"/>
  <c r="AT38" i="17"/>
  <c r="Q177" i="33"/>
  <c r="Q175" i="33"/>
  <c r="U39" i="17"/>
  <c r="U42" i="17"/>
  <c r="AT39" i="17"/>
  <c r="X47" i="17"/>
  <c r="Q172" i="33"/>
  <c r="Q182" i="33"/>
  <c r="AT45" i="17"/>
  <c r="U45" i="17"/>
  <c r="Q176" i="33"/>
  <c r="W46" i="17"/>
  <c r="AI46" i="17" s="1"/>
  <c r="AT46" i="17"/>
  <c r="D167" i="33"/>
  <c r="K49" i="17"/>
  <c r="AT49" i="17"/>
  <c r="AT44" i="17"/>
  <c r="AI39" i="17"/>
  <c r="B6" i="20"/>
  <c r="U46" i="17"/>
  <c r="K22" i="68"/>
  <c r="B24" i="68"/>
  <c r="Q171" i="33"/>
  <c r="D171" i="33"/>
  <c r="Q181" i="33"/>
  <c r="AT47" i="17"/>
  <c r="K43" i="17"/>
  <c r="AT43" i="17"/>
  <c r="X43" i="17"/>
  <c r="AZ37" i="17"/>
  <c r="B31" i="17"/>
  <c r="B28" i="17"/>
  <c r="D168" i="33"/>
  <c r="K47" i="17"/>
  <c r="U47" i="17"/>
  <c r="U49" i="17"/>
  <c r="U38" i="17"/>
  <c r="AB98" i="17"/>
  <c r="U41" i="17"/>
  <c r="K41" i="17"/>
  <c r="AT41" i="17"/>
  <c r="K48" i="17"/>
  <c r="U48" i="17"/>
  <c r="X48" i="17"/>
  <c r="AT48" i="17"/>
  <c r="AZ36" i="17"/>
  <c r="D172" i="33"/>
  <c r="Q169" i="33"/>
  <c r="Q179" i="33"/>
  <c r="AB82" i="17"/>
  <c r="AZ40" i="17"/>
  <c r="AZ44" i="17"/>
  <c r="K44" i="17"/>
  <c r="U44" i="17"/>
  <c r="U37" i="17"/>
  <c r="Q167" i="33"/>
  <c r="Q173" i="33"/>
  <c r="Q180" i="33"/>
  <c r="W42" i="17"/>
  <c r="AI42" i="17" s="1"/>
  <c r="AB76" i="17"/>
  <c r="AB68" i="17"/>
  <c r="AZ47" i="17"/>
  <c r="W47" i="17"/>
  <c r="AI47" i="17" s="1"/>
  <c r="AA19" i="54"/>
  <c r="C24" i="68"/>
  <c r="B2" i="20"/>
  <c r="B7" i="20" s="1"/>
  <c r="D24" i="68"/>
  <c r="G24" i="68"/>
  <c r="O22" i="68"/>
  <c r="B4" i="20"/>
  <c r="E24" i="68"/>
  <c r="S22" i="68"/>
  <c r="U22" i="68"/>
  <c r="N22" i="68"/>
  <c r="I22" i="68"/>
  <c r="Q24" i="68"/>
  <c r="R24" i="68"/>
  <c r="M22" i="68"/>
  <c r="AQ15" i="86" a="1"/>
  <c r="AQ15" i="86" s="1"/>
  <c r="AP47" i="86" a="1"/>
  <c r="AP47" i="86" s="1"/>
  <c r="AP31" i="86" a="1"/>
  <c r="AP31" i="86" s="1"/>
  <c r="AP19" i="86" a="1"/>
  <c r="AP19" i="86" s="1"/>
  <c r="AQ43" i="86" a="1"/>
  <c r="AQ43" i="86" s="1"/>
  <c r="AO39" i="86" a="1"/>
  <c r="AO39" i="86" s="1"/>
  <c r="AA40" i="54"/>
  <c r="U9" i="86"/>
  <c r="AQ9" i="86" a="1"/>
  <c r="AQ9" i="86" s="1"/>
  <c r="A101" i="74"/>
  <c r="A69" i="74"/>
  <c r="AQ34" i="86" a="1"/>
  <c r="AQ34" i="86" s="1"/>
  <c r="K32" i="83"/>
  <c r="A35" i="74"/>
  <c r="K30" i="83"/>
  <c r="A16" i="74"/>
  <c r="AO27" i="86" a="1"/>
  <c r="AO27" i="86" s="1"/>
  <c r="AP45" i="86" a="1"/>
  <c r="AP45" i="86" s="1"/>
  <c r="AO45" i="86" a="1"/>
  <c r="AO45" i="86" s="1"/>
  <c r="AQ45" i="86" a="1"/>
  <c r="AQ45" i="86" s="1"/>
  <c r="AQ41" i="86" a="1"/>
  <c r="AQ41" i="86" s="1"/>
  <c r="AO37" i="86" a="1"/>
  <c r="AO37" i="86" s="1"/>
  <c r="AO33" i="86" a="1"/>
  <c r="AO33" i="86" s="1"/>
  <c r="AQ25" i="86" a="1"/>
  <c r="AQ25" i="86" s="1"/>
  <c r="AO21" i="86" a="1"/>
  <c r="AO21" i="86" s="1"/>
  <c r="P24" i="68"/>
  <c r="P22" i="68"/>
  <c r="H24" i="68"/>
  <c r="H22" i="68"/>
  <c r="T22" i="68"/>
  <c r="T24" i="68"/>
  <c r="L22" i="68"/>
  <c r="L24" i="68"/>
  <c r="J22" i="68"/>
  <c r="J24" i="68"/>
  <c r="F22" i="68"/>
  <c r="F24" i="68"/>
  <c r="AB81" i="17"/>
  <c r="X80" i="17"/>
  <c r="AZ80" i="17"/>
  <c r="K80" i="17"/>
  <c r="U80" i="17"/>
  <c r="AT80" i="17"/>
  <c r="W80" i="17"/>
  <c r="AI80" i="17" s="1"/>
  <c r="AB97" i="17"/>
  <c r="W91" i="17"/>
  <c r="AI91" i="17" s="1"/>
  <c r="X91" i="17"/>
  <c r="AZ91" i="17"/>
  <c r="K91" i="17"/>
  <c r="U91" i="17"/>
  <c r="AT91" i="17"/>
  <c r="X69" i="17"/>
  <c r="AZ69" i="17"/>
  <c r="K69" i="17"/>
  <c r="U69" i="17"/>
  <c r="W69" i="17"/>
  <c r="AI69" i="17" s="1"/>
  <c r="AT69" i="17"/>
  <c r="AB94" i="17"/>
  <c r="AB93" i="17"/>
  <c r="W87" i="17"/>
  <c r="AI87" i="17" s="1"/>
  <c r="X87" i="17"/>
  <c r="AZ87" i="17"/>
  <c r="K87" i="17"/>
  <c r="X77" i="17"/>
  <c r="AZ77" i="17"/>
  <c r="K77" i="17"/>
  <c r="U77" i="17"/>
  <c r="W77" i="17"/>
  <c r="AI77" i="17" s="1"/>
  <c r="AT77" i="17"/>
  <c r="W99" i="17"/>
  <c r="AI99" i="17" s="1"/>
  <c r="X99" i="17"/>
  <c r="AZ99" i="17"/>
  <c r="K99" i="17"/>
  <c r="AB90" i="17"/>
  <c r="AB89" i="17"/>
  <c r="W83" i="17"/>
  <c r="AI83" i="17" s="1"/>
  <c r="X83" i="17"/>
  <c r="AZ83" i="17"/>
  <c r="K83" i="17"/>
  <c r="AB102" i="17"/>
  <c r="AB101" i="17"/>
  <c r="W95" i="17"/>
  <c r="AI95" i="17" s="1"/>
  <c r="X95" i="17"/>
  <c r="AZ95" i="17"/>
  <c r="K95" i="17"/>
  <c r="AT87" i="17"/>
  <c r="U87" i="17"/>
  <c r="AB86" i="17"/>
  <c r="AB85" i="17"/>
  <c r="W72" i="17"/>
  <c r="AI72" i="17" s="1"/>
  <c r="AZ72" i="17"/>
  <c r="K72" i="17"/>
  <c r="AL72" i="17" s="1"/>
  <c r="U72" i="17"/>
  <c r="X72" i="17"/>
  <c r="U40" i="17"/>
  <c r="AT40" i="17"/>
  <c r="AI40" i="17"/>
  <c r="X40" i="17"/>
  <c r="K40" i="17"/>
  <c r="AB75" i="17"/>
  <c r="K74" i="17"/>
  <c r="AB67" i="17"/>
  <c r="AB63" i="17"/>
  <c r="AB59" i="17"/>
  <c r="AB55" i="17"/>
  <c r="AB51" i="17"/>
  <c r="K100" i="17"/>
  <c r="K96" i="17"/>
  <c r="K92" i="17"/>
  <c r="K88" i="17"/>
  <c r="K84" i="17"/>
  <c r="W76" i="17"/>
  <c r="AI76" i="17" s="1"/>
  <c r="AT74" i="17"/>
  <c r="W74" i="17"/>
  <c r="AI74" i="17" s="1"/>
  <c r="X73" i="17"/>
  <c r="AZ73" i="17"/>
  <c r="W68" i="17"/>
  <c r="AI68" i="17" s="1"/>
  <c r="AB64" i="17"/>
  <c r="AB60" i="17"/>
  <c r="AB56" i="17"/>
  <c r="AB52" i="17"/>
  <c r="B33" i="17"/>
  <c r="B34" i="17"/>
  <c r="B29" i="17"/>
  <c r="AL101" i="17"/>
  <c r="AZ100" i="17"/>
  <c r="X100" i="17"/>
  <c r="AL97" i="17"/>
  <c r="AZ96" i="17"/>
  <c r="X96" i="17"/>
  <c r="AL93" i="17"/>
  <c r="AZ92" i="17"/>
  <c r="X92" i="17"/>
  <c r="AL89" i="17"/>
  <c r="AZ88" i="17"/>
  <c r="X88" i="17"/>
  <c r="AL85" i="17"/>
  <c r="AZ84" i="17"/>
  <c r="X84" i="17"/>
  <c r="AL81" i="17"/>
  <c r="AB79" i="17"/>
  <c r="K78" i="17"/>
  <c r="X76" i="17"/>
  <c r="U74" i="17"/>
  <c r="AT73" i="17"/>
  <c r="W73" i="17"/>
  <c r="AI73" i="17" s="1"/>
  <c r="AB71" i="17"/>
  <c r="K70" i="17"/>
  <c r="X68" i="17"/>
  <c r="X66" i="17"/>
  <c r="AZ66" i="17"/>
  <c r="K66" i="17"/>
  <c r="W65" i="17"/>
  <c r="AI65" i="17" s="1"/>
  <c r="X65" i="17"/>
  <c r="AZ65" i="17"/>
  <c r="X62" i="17"/>
  <c r="AZ62" i="17"/>
  <c r="K62" i="17"/>
  <c r="W61" i="17"/>
  <c r="AI61" i="17" s="1"/>
  <c r="X61" i="17"/>
  <c r="AZ61" i="17"/>
  <c r="X58" i="17"/>
  <c r="AZ58" i="17"/>
  <c r="K58" i="17"/>
  <c r="W57" i="17"/>
  <c r="AI57" i="17" s="1"/>
  <c r="X57" i="17"/>
  <c r="AZ57" i="17"/>
  <c r="X54" i="17"/>
  <c r="AZ54" i="17"/>
  <c r="K54" i="17"/>
  <c r="W53" i="17"/>
  <c r="AI53" i="17" s="1"/>
  <c r="X53" i="17"/>
  <c r="AZ53" i="17"/>
  <c r="X50" i="17"/>
  <c r="AZ50" i="17"/>
  <c r="K50" i="17"/>
  <c r="W49" i="17"/>
  <c r="AI49" i="17" s="1"/>
  <c r="X49" i="17"/>
  <c r="AZ49" i="17"/>
  <c r="X46" i="17"/>
  <c r="AZ46" i="17"/>
  <c r="K46" i="17"/>
  <c r="W45" i="17"/>
  <c r="AI45" i="17" s="1"/>
  <c r="X45" i="17"/>
  <c r="AZ45" i="17"/>
  <c r="X42" i="17"/>
  <c r="AZ42" i="17"/>
  <c r="K42" i="17"/>
  <c r="W41" i="17"/>
  <c r="AI41" i="17" s="1"/>
  <c r="X41" i="17"/>
  <c r="AZ41" i="17"/>
  <c r="AZ39" i="17"/>
  <c r="AZ38" i="17"/>
  <c r="AT36" i="17"/>
  <c r="B30" i="17"/>
  <c r="B32" i="17"/>
  <c r="W64" i="17"/>
  <c r="AI64" i="17" s="1"/>
  <c r="W60" i="17"/>
  <c r="AI60" i="17" s="1"/>
  <c r="W56" i="17"/>
  <c r="AI56" i="17" s="1"/>
  <c r="W52" i="17"/>
  <c r="AI52" i="17" s="1"/>
  <c r="W48" i="17"/>
  <c r="AI48" i="17" s="1"/>
  <c r="W44" i="17"/>
  <c r="AI44" i="17" s="1"/>
  <c r="A17" i="74"/>
  <c r="A13" i="74"/>
  <c r="A14" i="74"/>
  <c r="A19" i="74"/>
  <c r="AH121" i="14"/>
  <c r="AH152" i="14"/>
  <c r="AH83" i="14"/>
  <c r="AH58" i="14"/>
  <c r="AH29" i="14"/>
  <c r="AH9" i="14"/>
  <c r="K11" i="83"/>
  <c r="K39" i="83"/>
  <c r="A11" i="74"/>
  <c r="AP42" i="86" a="1"/>
  <c r="AP42" i="86" s="1"/>
  <c r="AQ38" i="86" a="1"/>
  <c r="AQ38" i="86" s="1"/>
  <c r="AP34" i="86" a="1"/>
  <c r="AP34" i="86" s="1"/>
  <c r="AP30" i="86" a="1"/>
  <c r="AP30" i="86" s="1"/>
  <c r="AP26" i="86" a="1"/>
  <c r="AP26" i="86" s="1"/>
  <c r="T26" i="86"/>
  <c r="AO22" i="86" a="1"/>
  <c r="AO22" i="86" s="1"/>
  <c r="AQ46" i="86" a="1"/>
  <c r="AQ46" i="86" s="1"/>
  <c r="AH136" i="14"/>
  <c r="AH40" i="14"/>
  <c r="AH13" i="14"/>
  <c r="A29" i="46"/>
  <c r="B29" i="46" s="1"/>
  <c r="AH87" i="14"/>
  <c r="AH37" i="14"/>
  <c r="AH99" i="14"/>
  <c r="AH95" i="14"/>
  <c r="A47" i="74"/>
  <c r="A99" i="74"/>
  <c r="AO41" i="86" a="1"/>
  <c r="AO41" i="86" s="1"/>
  <c r="AO25" i="86" a="1"/>
  <c r="AO25" i="86" s="1"/>
  <c r="AQ37" i="86" a="1"/>
  <c r="AQ37" i="86" s="1"/>
  <c r="K36" i="83"/>
  <c r="AQ17" i="86" a="1"/>
  <c r="AQ17" i="86" s="1"/>
  <c r="AP9" i="86" a="1"/>
  <c r="AP9" i="86" s="1"/>
  <c r="A43" i="74"/>
  <c r="K10" i="83"/>
  <c r="A55" i="74"/>
  <c r="AP21" i="86" a="1"/>
  <c r="AP21" i="86" s="1"/>
  <c r="AO47" i="86" a="1"/>
  <c r="AO47" i="86" s="1"/>
  <c r="AO19" i="86" a="1"/>
  <c r="AO19" i="86" s="1"/>
  <c r="K38" i="83"/>
  <c r="A77" i="74"/>
  <c r="K17" i="83"/>
  <c r="AQ19" i="86" a="1"/>
  <c r="AQ19" i="86" s="1"/>
  <c r="AP15" i="86" a="1"/>
  <c r="AP15" i="86" s="1"/>
  <c r="AQ31" i="86" a="1"/>
  <c r="AQ31" i="86" s="1"/>
  <c r="A90" i="74"/>
  <c r="A38" i="74"/>
  <c r="AO28" i="86" a="1"/>
  <c r="AO28" i="86" s="1"/>
  <c r="AO34" i="86" a="1"/>
  <c r="AO34" i="86" s="1"/>
  <c r="AP46" i="86" a="1"/>
  <c r="AP46" i="86" s="1"/>
  <c r="AP38" i="86" a="1"/>
  <c r="AP38" i="86" s="1"/>
  <c r="AO14" i="86" a="1"/>
  <c r="AO14" i="86" s="1"/>
  <c r="AO30" i="86" a="1"/>
  <c r="AO30" i="86" s="1"/>
  <c r="AP32" i="86" a="1"/>
  <c r="AP32" i="86" s="1"/>
  <c r="AP48" i="86" a="1"/>
  <c r="AP48" i="86" s="1"/>
  <c r="AP36" i="86" a="1"/>
  <c r="AP36" i="86" s="1"/>
  <c r="K9" i="83"/>
  <c r="A97" i="74"/>
  <c r="A29" i="74"/>
  <c r="AQ35" i="86" a="1"/>
  <c r="AQ35" i="86" s="1"/>
  <c r="AO35" i="86" a="1"/>
  <c r="AO35" i="86" s="1"/>
  <c r="AO31" i="86" a="1"/>
  <c r="AO31" i="86" s="1"/>
  <c r="AO15" i="86" a="1"/>
  <c r="AO15" i="86" s="1"/>
  <c r="K15" i="83"/>
  <c r="K19" i="83"/>
  <c r="K35" i="83"/>
  <c r="A68" i="74"/>
  <c r="A24" i="74"/>
  <c r="AO46" i="86" a="1"/>
  <c r="AO46" i="86" s="1"/>
  <c r="AQ42" i="86" a="1"/>
  <c r="AQ42" i="86" s="1"/>
  <c r="AO38" i="86" a="1"/>
  <c r="AO38" i="86" s="1"/>
  <c r="AQ30" i="86" a="1"/>
  <c r="AQ30" i="86" s="1"/>
  <c r="AQ18" i="86" a="1"/>
  <c r="AQ18" i="86" s="1"/>
  <c r="AP18" i="86" a="1"/>
  <c r="AP18" i="86" s="1"/>
  <c r="AQ28" i="86" a="1"/>
  <c r="AQ28" i="86" s="1"/>
  <c r="AP28" i="86" a="1"/>
  <c r="AP28" i="86" s="1"/>
  <c r="AO9" i="86" a="1"/>
  <c r="AO9" i="86" s="1"/>
  <c r="A26" i="74"/>
  <c r="T38" i="86"/>
  <c r="A50" i="74"/>
  <c r="AQ32" i="86" a="1"/>
  <c r="AQ32" i="86" s="1"/>
  <c r="A22" i="74"/>
  <c r="A74" i="74"/>
  <c r="AO44" i="86" a="1"/>
  <c r="AO44" i="86" s="1"/>
  <c r="K25" i="83"/>
  <c r="A59" i="74"/>
  <c r="K33" i="83"/>
  <c r="AP20" i="86" a="1"/>
  <c r="AP20" i="86" s="1"/>
  <c r="A42" i="74"/>
  <c r="A30" i="74"/>
  <c r="A98" i="74"/>
  <c r="K13" i="83"/>
  <c r="AO32" i="86" a="1"/>
  <c r="AO32" i="86" s="1"/>
  <c r="AQ24" i="86" a="1"/>
  <c r="AQ24" i="86" s="1"/>
  <c r="K22" i="83"/>
  <c r="K21" i="83"/>
  <c r="A52" i="74"/>
  <c r="U10" i="86"/>
  <c r="AQ10" i="86" a="1"/>
  <c r="AQ10" i="86" s="1"/>
  <c r="AP10" i="86" a="1"/>
  <c r="AP10" i="86" s="1"/>
  <c r="AP11" i="86" a="1"/>
  <c r="AP11" i="86" s="1"/>
  <c r="AQ13" i="86" a="1"/>
  <c r="AQ13" i="86" s="1"/>
  <c r="K12" i="83"/>
  <c r="K26" i="83"/>
  <c r="K34" i="83"/>
  <c r="A79" i="74"/>
  <c r="A71" i="74"/>
  <c r="AQ26" i="86" a="1"/>
  <c r="AQ26" i="86" s="1"/>
  <c r="AO26" i="86" a="1"/>
  <c r="AO26" i="86" s="1"/>
  <c r="AA36" i="54"/>
  <c r="AO18" i="86" a="1"/>
  <c r="AO18" i="86" s="1"/>
  <c r="A58" i="74"/>
  <c r="A27" i="74"/>
  <c r="AP37" i="86" a="1"/>
  <c r="AP37" i="86" s="1"/>
  <c r="K7" i="83"/>
  <c r="A61" i="74"/>
  <c r="AP13" i="86" a="1"/>
  <c r="AP13" i="86" s="1"/>
  <c r="K20" i="83"/>
  <c r="AA10" i="54"/>
  <c r="K8" i="83"/>
  <c r="K27" i="83"/>
  <c r="A75" i="74"/>
  <c r="A57" i="74"/>
  <c r="A34" i="74"/>
  <c r="A28" i="74"/>
  <c r="A21" i="74"/>
  <c r="AQ44" i="86" a="1"/>
  <c r="AQ44" i="86" s="1"/>
  <c r="AP44" i="86" a="1"/>
  <c r="AP44" i="86" s="1"/>
  <c r="AO40" i="86" a="1"/>
  <c r="AO40" i="86" s="1"/>
  <c r="AQ36" i="86" a="1"/>
  <c r="AQ36" i="86" s="1"/>
  <c r="AO29" i="86" a="1"/>
  <c r="AO29" i="86" s="1"/>
  <c r="T29" i="86"/>
  <c r="AA11" i="54"/>
  <c r="A70" i="74"/>
  <c r="A88" i="74"/>
  <c r="Z38" i="54"/>
  <c r="A86" i="74"/>
  <c r="AO11" i="86" a="1"/>
  <c r="AO11" i="86" s="1"/>
  <c r="AQ11" i="86" a="1"/>
  <c r="AQ11" i="86" s="1"/>
  <c r="A95" i="74"/>
  <c r="A78" i="74"/>
  <c r="A60" i="74"/>
  <c r="A41" i="74"/>
  <c r="A31" i="74"/>
  <c r="A25" i="74"/>
  <c r="AP40" i="86" a="1"/>
  <c r="AP40" i="86" s="1"/>
  <c r="AQ40" i="86" a="1"/>
  <c r="AQ40" i="86" s="1"/>
  <c r="AO36" i="86" a="1"/>
  <c r="AO36" i="86" s="1"/>
  <c r="AO48" i="86" a="1"/>
  <c r="AO48" i="86" s="1"/>
  <c r="AQ27" i="86" a="1"/>
  <c r="AQ27" i="86" s="1"/>
  <c r="AP27" i="86" a="1"/>
  <c r="AP27" i="86" s="1"/>
  <c r="AP24" i="86" a="1"/>
  <c r="AP24" i="86" s="1"/>
  <c r="AP16" i="86" a="1"/>
  <c r="AP16" i="86" s="1"/>
  <c r="AO13" i="86" a="1"/>
  <c r="AO13" i="86" s="1"/>
  <c r="K40" i="83"/>
  <c r="A83" i="74"/>
  <c r="A56" i="74"/>
  <c r="AQ47" i="86" a="1"/>
  <c r="AQ47" i="86" s="1"/>
  <c r="AP43" i="86" a="1"/>
  <c r="AP43" i="86" s="1"/>
  <c r="AO43" i="86" a="1"/>
  <c r="AO43" i="86" s="1"/>
  <c r="AP39" i="86" a="1"/>
  <c r="AP39" i="86" s="1"/>
  <c r="AP35" i="86" a="1"/>
  <c r="AP35" i="86" s="1"/>
  <c r="AP25" i="86" a="1"/>
  <c r="AP25" i="86" s="1"/>
  <c r="AQ21" i="86" a="1"/>
  <c r="AQ21" i="86" s="1"/>
  <c r="U21" i="86"/>
  <c r="AP17" i="86" a="1"/>
  <c r="AP17" i="86" s="1"/>
  <c r="AO17" i="86" a="1"/>
  <c r="AO17" i="86" s="1"/>
  <c r="AQ33" i="86" a="1"/>
  <c r="AQ33" i="86" s="1"/>
  <c r="AP33" i="86" a="1"/>
  <c r="AP33" i="86" s="1"/>
  <c r="U41" i="86"/>
  <c r="A53" i="74"/>
  <c r="AP29" i="86" a="1"/>
  <c r="AP29" i="86" s="1"/>
  <c r="U22" i="86"/>
  <c r="T18" i="86"/>
  <c r="AP12" i="86" a="1"/>
  <c r="AP12" i="86" s="1"/>
  <c r="K29" i="83"/>
  <c r="T24" i="86"/>
  <c r="U44" i="86"/>
  <c r="AO16" i="86" a="1"/>
  <c r="AO16" i="86" s="1"/>
  <c r="T16" i="86"/>
  <c r="AO24" i="86" a="1"/>
  <c r="AO24" i="86" s="1"/>
  <c r="AQ29" i="86" a="1"/>
  <c r="AQ29" i="86" s="1"/>
  <c r="A65" i="74"/>
  <c r="A36" i="74"/>
  <c r="A81" i="74"/>
  <c r="A62" i="74"/>
  <c r="A54" i="74"/>
  <c r="A45" i="74"/>
  <c r="AQ22" i="86" a="1"/>
  <c r="AQ22" i="86" s="1"/>
  <c r="AO12" i="86" a="1"/>
  <c r="AO12" i="86" s="1"/>
  <c r="AQ14" i="86" a="1"/>
  <c r="AQ14" i="86" s="1"/>
  <c r="AP14" i="86" a="1"/>
  <c r="AP14" i="86" s="1"/>
  <c r="Z11" i="54"/>
  <c r="AQ20" i="86" a="1"/>
  <c r="AQ20" i="86" s="1"/>
  <c r="AO20" i="86" a="1"/>
  <c r="AO20" i="86" s="1"/>
  <c r="AQ16" i="86" a="1"/>
  <c r="AQ16" i="86" s="1"/>
  <c r="A40" i="74"/>
  <c r="A89" i="74"/>
  <c r="A66" i="74"/>
  <c r="A37" i="74"/>
  <c r="A20" i="74"/>
  <c r="K28" i="83"/>
  <c r="K31" i="83"/>
  <c r="A93" i="74"/>
  <c r="A85" i="74"/>
  <c r="A67" i="74"/>
  <c r="A49" i="74"/>
  <c r="A46" i="74"/>
  <c r="A23" i="74"/>
  <c r="AA20" i="54"/>
  <c r="AA25" i="54"/>
  <c r="AA32" i="54"/>
  <c r="T44" i="86"/>
  <c r="T13" i="86"/>
  <c r="U13" i="86"/>
  <c r="A51" i="74"/>
  <c r="K37" i="83"/>
  <c r="AO23" i="86" a="1"/>
  <c r="AO23" i="86" s="1"/>
  <c r="AP23" i="86" a="1"/>
  <c r="AP23" i="86" s="1"/>
  <c r="AQ23" i="86" a="1"/>
  <c r="AQ23" i="86" s="1"/>
  <c r="H3" i="23"/>
  <c r="K11" i="22" l="1"/>
  <c r="AC4" i="54"/>
  <c r="D5" i="54"/>
  <c r="G3" i="83"/>
  <c r="E3" i="83"/>
  <c r="J3" i="83"/>
  <c r="K3" i="83" s="1"/>
  <c r="F3" i="83"/>
  <c r="H3" i="83"/>
  <c r="B4" i="83"/>
  <c r="D137" i="74"/>
  <c r="F138" i="74"/>
  <c r="K137" i="74"/>
  <c r="E138" i="74"/>
  <c r="D138" i="74"/>
  <c r="K138" i="74"/>
  <c r="B3" i="54"/>
  <c r="H3" i="54"/>
  <c r="I3" i="54"/>
  <c r="N3" i="54"/>
  <c r="F3" i="54"/>
  <c r="E3" i="54"/>
  <c r="AC5" i="54"/>
  <c r="D4" i="83"/>
  <c r="B5" i="83"/>
  <c r="K10" i="22"/>
  <c r="D5" i="83"/>
  <c r="L7" i="51"/>
  <c r="T7" i="51" s="1"/>
  <c r="G4" i="115"/>
  <c r="E4" i="115"/>
  <c r="I4" i="115" s="1"/>
  <c r="D6" i="115"/>
  <c r="N6" i="115" s="1"/>
  <c r="B5" i="115"/>
  <c r="B3" i="115"/>
  <c r="G5" i="115"/>
  <c r="G3" i="115"/>
  <c r="E5" i="115"/>
  <c r="I5" i="115" s="1"/>
  <c r="E3" i="115"/>
  <c r="I3" i="115" s="1"/>
  <c r="B6" i="115"/>
  <c r="D3" i="115"/>
  <c r="N3" i="115" s="1"/>
  <c r="D5" i="115"/>
  <c r="N5" i="115" s="1"/>
  <c r="G6" i="115"/>
  <c r="E6" i="115"/>
  <c r="I6" i="115" s="1"/>
  <c r="D4" i="115"/>
  <c r="N4" i="115" s="1"/>
  <c r="B4" i="115"/>
  <c r="D7" i="55"/>
  <c r="I7" i="55" s="1"/>
  <c r="D5" i="55"/>
  <c r="H5" i="55" s="1"/>
  <c r="D6" i="55"/>
  <c r="B7" i="55"/>
  <c r="V5" i="55"/>
  <c r="B5" i="55"/>
  <c r="T6" i="55"/>
  <c r="W5" i="55"/>
  <c r="W7" i="55"/>
  <c r="W6" i="55"/>
  <c r="F6" i="55"/>
  <c r="T5" i="55"/>
  <c r="T7" i="55"/>
  <c r="F5" i="55"/>
  <c r="V7" i="55"/>
  <c r="F7" i="55"/>
  <c r="V6" i="55"/>
  <c r="B6" i="55"/>
  <c r="E7" i="55"/>
  <c r="E5" i="55"/>
  <c r="E6" i="55"/>
  <c r="D4" i="54"/>
  <c r="D9" i="22"/>
  <c r="C9" i="22"/>
  <c r="D135" i="74"/>
  <c r="E136" i="74"/>
  <c r="K135" i="74"/>
  <c r="K134" i="74"/>
  <c r="E135" i="74"/>
  <c r="F136" i="74"/>
  <c r="K136" i="74"/>
  <c r="F134" i="74"/>
  <c r="F135" i="74"/>
  <c r="E134" i="74"/>
  <c r="D136" i="74"/>
  <c r="D134" i="74"/>
  <c r="X28" i="17"/>
  <c r="F3" i="115" s="1"/>
  <c r="X31" i="17"/>
  <c r="J7" i="55" s="1"/>
  <c r="AT35" i="17"/>
  <c r="J35" i="17"/>
  <c r="W35" i="17"/>
  <c r="AI35" i="17" s="1"/>
  <c r="X35" i="17"/>
  <c r="K35" i="17"/>
  <c r="N35" i="17"/>
  <c r="L35" i="17"/>
  <c r="N32" i="17"/>
  <c r="L32" i="17"/>
  <c r="J32" i="17"/>
  <c r="W32" i="17"/>
  <c r="AI32" i="17" s="1"/>
  <c r="X32" i="17"/>
  <c r="K32" i="17"/>
  <c r="X29" i="17"/>
  <c r="F4" i="115" s="1"/>
  <c r="X30" i="17"/>
  <c r="F5" i="115" s="1"/>
  <c r="K34" i="17"/>
  <c r="X34" i="17"/>
  <c r="N34" i="17"/>
  <c r="L34" i="17"/>
  <c r="J34" i="17"/>
  <c r="W34" i="17"/>
  <c r="X33" i="17"/>
  <c r="K33" i="17"/>
  <c r="N33" i="17"/>
  <c r="L33" i="17"/>
  <c r="J33" i="17"/>
  <c r="W33" i="17"/>
  <c r="E9" i="40"/>
  <c r="AC9" i="40" s="1"/>
  <c r="E10" i="40"/>
  <c r="AC10" i="40" s="1"/>
  <c r="AD10" i="40"/>
  <c r="Y10" i="40"/>
  <c r="H10" i="40"/>
  <c r="M10" i="40" s="1"/>
  <c r="G10" i="40"/>
  <c r="AD7" i="40"/>
  <c r="G7" i="40"/>
  <c r="B9" i="40"/>
  <c r="B10" i="40"/>
  <c r="AD9" i="40"/>
  <c r="Y9" i="40"/>
  <c r="H9" i="40"/>
  <c r="M9" i="40" s="1"/>
  <c r="G9" i="40"/>
  <c r="B7" i="40"/>
  <c r="H7" i="40"/>
  <c r="M7" i="40" s="1"/>
  <c r="E8" i="40"/>
  <c r="AC8" i="40" s="1"/>
  <c r="AD8" i="40"/>
  <c r="Y8" i="40"/>
  <c r="H8" i="40"/>
  <c r="M8" i="40" s="1"/>
  <c r="G8" i="40"/>
  <c r="E7" i="40"/>
  <c r="B8" i="40"/>
  <c r="Y7" i="40"/>
  <c r="F10" i="40"/>
  <c r="F7" i="40"/>
  <c r="F9" i="40"/>
  <c r="F8" i="40"/>
  <c r="E11" i="40"/>
  <c r="H11" i="40"/>
  <c r="M11" i="40" s="1"/>
  <c r="B11" i="40"/>
  <c r="G11" i="40"/>
  <c r="AD11" i="40"/>
  <c r="Y11" i="40"/>
  <c r="F11" i="40"/>
  <c r="B18" i="40"/>
  <c r="B16" i="40"/>
  <c r="H18" i="40"/>
  <c r="M18" i="40" s="1"/>
  <c r="Y18" i="40"/>
  <c r="Y17" i="40"/>
  <c r="AD15" i="40"/>
  <c r="Y13" i="40"/>
  <c r="H15" i="40"/>
  <c r="M15" i="40" s="1"/>
  <c r="G13" i="40"/>
  <c r="G12" i="40"/>
  <c r="G17" i="40"/>
  <c r="AD18" i="40"/>
  <c r="E17" i="40"/>
  <c r="AD14" i="40"/>
  <c r="Y12" i="40"/>
  <c r="Y16" i="40"/>
  <c r="H14" i="40"/>
  <c r="M14" i="40" s="1"/>
  <c r="G16" i="40"/>
  <c r="B13" i="40"/>
  <c r="B17" i="40"/>
  <c r="B12" i="40"/>
  <c r="B15" i="40"/>
  <c r="B14" i="40"/>
  <c r="H17" i="40"/>
  <c r="M17" i="40" s="1"/>
  <c r="AD13" i="40"/>
  <c r="Y15" i="40"/>
  <c r="H13" i="40"/>
  <c r="M13" i="40" s="1"/>
  <c r="G15" i="40"/>
  <c r="E18" i="40"/>
  <c r="G18" i="40"/>
  <c r="AD17" i="40"/>
  <c r="AD12" i="40"/>
  <c r="AD16" i="40"/>
  <c r="Y14" i="40"/>
  <c r="H12" i="40"/>
  <c r="M12" i="40" s="1"/>
  <c r="H16" i="40"/>
  <c r="M16" i="40" s="1"/>
  <c r="G14" i="40"/>
  <c r="F17" i="40"/>
  <c r="F13" i="40"/>
  <c r="F15" i="40"/>
  <c r="F16" i="40"/>
  <c r="F18" i="40"/>
  <c r="F12" i="40"/>
  <c r="F14" i="40"/>
  <c r="K12" i="52"/>
  <c r="O12" i="52"/>
  <c r="L12" i="52"/>
  <c r="M12" i="52" s="1"/>
  <c r="N12" i="52"/>
  <c r="L11" i="52"/>
  <c r="M11" i="52" s="1"/>
  <c r="N11" i="52"/>
  <c r="K11" i="52"/>
  <c r="O11" i="52"/>
  <c r="N13" i="52"/>
  <c r="K13" i="52"/>
  <c r="O13" i="52"/>
  <c r="L13" i="52"/>
  <c r="M13" i="52" s="1"/>
  <c r="K8" i="52"/>
  <c r="O8" i="52"/>
  <c r="L8" i="52"/>
  <c r="M8" i="52" s="1"/>
  <c r="N8" i="52"/>
  <c r="N10" i="52"/>
  <c r="K10" i="52"/>
  <c r="O10" i="52"/>
  <c r="L10" i="52"/>
  <c r="M10" i="52" s="1"/>
  <c r="N5" i="52"/>
  <c r="L5" i="52"/>
  <c r="M5" i="52" s="1"/>
  <c r="K5" i="52"/>
  <c r="O5" i="52"/>
  <c r="L7" i="52"/>
  <c r="M7" i="52" s="1"/>
  <c r="N7" i="52"/>
  <c r="K7" i="52"/>
  <c r="O7" i="52"/>
  <c r="O6" i="52"/>
  <c r="N6" i="52"/>
  <c r="K6" i="52"/>
  <c r="L6" i="52"/>
  <c r="M6" i="52" s="1"/>
  <c r="N9" i="52"/>
  <c r="K9" i="52"/>
  <c r="O9" i="52"/>
  <c r="L9" i="52"/>
  <c r="M9" i="52" s="1"/>
  <c r="K4" i="52"/>
  <c r="L157" i="33" s="1"/>
  <c r="O4" i="52"/>
  <c r="L4" i="52"/>
  <c r="M4" i="52" s="1"/>
  <c r="N4" i="52"/>
  <c r="H12" i="52"/>
  <c r="I12" i="52"/>
  <c r="H11" i="52"/>
  <c r="I11" i="52"/>
  <c r="H13" i="52"/>
  <c r="I13" i="52"/>
  <c r="H8" i="52"/>
  <c r="I8" i="52"/>
  <c r="H10" i="52"/>
  <c r="I10" i="52"/>
  <c r="H5" i="52"/>
  <c r="I5" i="52"/>
  <c r="H7" i="52"/>
  <c r="I7" i="52"/>
  <c r="H6" i="52"/>
  <c r="I6" i="52"/>
  <c r="H9" i="52"/>
  <c r="I9" i="52"/>
  <c r="H4" i="52"/>
  <c r="I4" i="52"/>
  <c r="N3" i="52"/>
  <c r="O3" i="52"/>
  <c r="K3" i="52"/>
  <c r="L3" i="52"/>
  <c r="M3" i="52" s="1"/>
  <c r="I3" i="52"/>
  <c r="H3" i="52"/>
  <c r="AP35" i="17"/>
  <c r="S35" i="17"/>
  <c r="W7" i="49"/>
  <c r="W178" i="49"/>
  <c r="W50" i="49"/>
  <c r="W114" i="49"/>
  <c r="W66" i="49"/>
  <c r="W34" i="49"/>
  <c r="W18" i="49"/>
  <c r="W158" i="49"/>
  <c r="W78" i="49"/>
  <c r="W14" i="49"/>
  <c r="W138" i="49"/>
  <c r="W74" i="49"/>
  <c r="W10" i="49"/>
  <c r="W182" i="49"/>
  <c r="W118" i="49"/>
  <c r="W54" i="49"/>
  <c r="W173" i="49"/>
  <c r="W157" i="49"/>
  <c r="W141" i="49"/>
  <c r="W125" i="49"/>
  <c r="W109" i="49"/>
  <c r="W93" i="49"/>
  <c r="W77" i="49"/>
  <c r="W61" i="49"/>
  <c r="W45" i="49"/>
  <c r="W29" i="49"/>
  <c r="W13" i="49"/>
  <c r="W200" i="49"/>
  <c r="W184" i="49"/>
  <c r="W168" i="49"/>
  <c r="W152" i="49"/>
  <c r="W136" i="49"/>
  <c r="W120" i="49"/>
  <c r="W104" i="49"/>
  <c r="W88" i="49"/>
  <c r="W72" i="49"/>
  <c r="W56" i="49"/>
  <c r="W40" i="49"/>
  <c r="W24" i="49"/>
  <c r="W8" i="49"/>
  <c r="W195" i="49"/>
  <c r="W179" i="49"/>
  <c r="W163" i="49"/>
  <c r="W147" i="49"/>
  <c r="W131" i="49"/>
  <c r="W115" i="49"/>
  <c r="W99" i="49"/>
  <c r="W83" i="49"/>
  <c r="W67" i="49"/>
  <c r="W51" i="49"/>
  <c r="W35" i="49"/>
  <c r="W19" i="49"/>
  <c r="W162" i="49"/>
  <c r="W130" i="49"/>
  <c r="W30" i="49"/>
  <c r="W90" i="49"/>
  <c r="W198" i="49"/>
  <c r="W70" i="49"/>
  <c r="W161" i="49"/>
  <c r="W129" i="49"/>
  <c r="W65" i="49"/>
  <c r="W33" i="49"/>
  <c r="W177" i="49"/>
  <c r="W188" i="49"/>
  <c r="W156" i="49"/>
  <c r="W124" i="49"/>
  <c r="W92" i="49"/>
  <c r="W44" i="49"/>
  <c r="W12" i="49"/>
  <c r="W183" i="49"/>
  <c r="W119" i="49"/>
  <c r="W103" i="49"/>
  <c r="W39" i="49"/>
  <c r="W98" i="49"/>
  <c r="W194" i="49"/>
  <c r="W22" i="49"/>
  <c r="W142" i="49"/>
  <c r="W62" i="49"/>
  <c r="W6" i="49"/>
  <c r="W122" i="49"/>
  <c r="W58" i="49"/>
  <c r="W174" i="49"/>
  <c r="W166" i="49"/>
  <c r="W102" i="49"/>
  <c r="W38" i="49"/>
  <c r="W169" i="49"/>
  <c r="W153" i="49"/>
  <c r="W137" i="49"/>
  <c r="W121" i="49"/>
  <c r="W105" i="49"/>
  <c r="W89" i="49"/>
  <c r="W73" i="49"/>
  <c r="W57" i="49"/>
  <c r="W41" i="49"/>
  <c r="W25" i="49"/>
  <c r="W9" i="49"/>
  <c r="W196" i="49"/>
  <c r="W180" i="49"/>
  <c r="W164" i="49"/>
  <c r="W148" i="49"/>
  <c r="W132" i="49"/>
  <c r="W116" i="49"/>
  <c r="W100" i="49"/>
  <c r="W84" i="49"/>
  <c r="W68" i="49"/>
  <c r="W52" i="49"/>
  <c r="W36" i="49"/>
  <c r="W20" i="49"/>
  <c r="W189" i="49"/>
  <c r="W191" i="49"/>
  <c r="W175" i="49"/>
  <c r="W159" i="49"/>
  <c r="W143" i="49"/>
  <c r="W127" i="49"/>
  <c r="W111" i="49"/>
  <c r="W95" i="49"/>
  <c r="W79" i="49"/>
  <c r="W63" i="49"/>
  <c r="W47" i="49"/>
  <c r="W31" i="49"/>
  <c r="W15" i="49"/>
  <c r="W97" i="49"/>
  <c r="W60" i="49"/>
  <c r="W151" i="49"/>
  <c r="W71" i="49"/>
  <c r="W23" i="49"/>
  <c r="W126" i="49"/>
  <c r="W146" i="49"/>
  <c r="W190" i="49"/>
  <c r="W110" i="49"/>
  <c r="W46" i="49"/>
  <c r="W170" i="49"/>
  <c r="W106" i="49"/>
  <c r="W42" i="49"/>
  <c r="W186" i="49"/>
  <c r="W150" i="49"/>
  <c r="W86" i="49"/>
  <c r="W197" i="49"/>
  <c r="W165" i="49"/>
  <c r="W149" i="49"/>
  <c r="W133" i="49"/>
  <c r="W117" i="49"/>
  <c r="W101" i="49"/>
  <c r="W85" i="49"/>
  <c r="W69" i="49"/>
  <c r="W53" i="49"/>
  <c r="W37" i="49"/>
  <c r="W21" i="49"/>
  <c r="W193" i="49"/>
  <c r="W192" i="49"/>
  <c r="W176" i="49"/>
  <c r="W160" i="49"/>
  <c r="W144" i="49"/>
  <c r="W128" i="49"/>
  <c r="W112" i="49"/>
  <c r="W96" i="49"/>
  <c r="W80" i="49"/>
  <c r="W64" i="49"/>
  <c r="W48" i="49"/>
  <c r="W32" i="49"/>
  <c r="W16" i="49"/>
  <c r="W181" i="49"/>
  <c r="W187" i="49"/>
  <c r="W171" i="49"/>
  <c r="W155" i="49"/>
  <c r="W139" i="49"/>
  <c r="W123" i="49"/>
  <c r="W107" i="49"/>
  <c r="W91" i="49"/>
  <c r="W75" i="49"/>
  <c r="W59" i="49"/>
  <c r="W43" i="49"/>
  <c r="W27" i="49"/>
  <c r="W11" i="49"/>
  <c r="W82" i="49"/>
  <c r="W94" i="49"/>
  <c r="W154" i="49"/>
  <c r="W26" i="49"/>
  <c r="W134" i="49"/>
  <c r="W185" i="49"/>
  <c r="W145" i="49"/>
  <c r="W113" i="49"/>
  <c r="W81" i="49"/>
  <c r="W49" i="49"/>
  <c r="W17" i="49"/>
  <c r="W172" i="49"/>
  <c r="W140" i="49"/>
  <c r="W108" i="49"/>
  <c r="W76" i="49"/>
  <c r="W28" i="49"/>
  <c r="W199" i="49"/>
  <c r="W167" i="49"/>
  <c r="W135" i="49"/>
  <c r="W87" i="49"/>
  <c r="W55" i="49"/>
  <c r="P34" i="17"/>
  <c r="AI34" i="17"/>
  <c r="AZ35" i="17"/>
  <c r="P35" i="17"/>
  <c r="M25" i="84"/>
  <c r="M23" i="84"/>
  <c r="M21" i="84"/>
  <c r="M19" i="84"/>
  <c r="T25" i="84"/>
  <c r="T23" i="84"/>
  <c r="T21" i="84"/>
  <c r="T19" i="84"/>
  <c r="D25" i="84"/>
  <c r="D23" i="84"/>
  <c r="D21" i="84"/>
  <c r="D19" i="84"/>
  <c r="K25" i="84"/>
  <c r="K23" i="84"/>
  <c r="K21" i="84"/>
  <c r="K19" i="84"/>
  <c r="R25" i="84"/>
  <c r="R23" i="84"/>
  <c r="R21" i="84"/>
  <c r="R19" i="84"/>
  <c r="I25" i="84"/>
  <c r="I23" i="84"/>
  <c r="I21" i="84"/>
  <c r="I19" i="84"/>
  <c r="P25" i="84"/>
  <c r="P23" i="84"/>
  <c r="P21" i="84"/>
  <c r="P19" i="84"/>
  <c r="G25" i="84"/>
  <c r="G23" i="84"/>
  <c r="G21" i="84"/>
  <c r="G19" i="84"/>
  <c r="N25" i="84"/>
  <c r="N23" i="84"/>
  <c r="N21" i="84"/>
  <c r="N19" i="84"/>
  <c r="U25" i="84"/>
  <c r="U23" i="84"/>
  <c r="U21" i="84"/>
  <c r="U19" i="84"/>
  <c r="E25" i="84"/>
  <c r="E23" i="84"/>
  <c r="E21" i="84"/>
  <c r="E19" i="84"/>
  <c r="L25" i="84"/>
  <c r="L23" i="84"/>
  <c r="L21" i="84"/>
  <c r="L19" i="84"/>
  <c r="S25" i="84"/>
  <c r="S23" i="84"/>
  <c r="S21" i="84"/>
  <c r="S19" i="84"/>
  <c r="J25" i="84"/>
  <c r="J23" i="84"/>
  <c r="J21" i="84"/>
  <c r="J19" i="84"/>
  <c r="Q25" i="84"/>
  <c r="Q23" i="84"/>
  <c r="Q21" i="84"/>
  <c r="Q19" i="84"/>
  <c r="H25" i="84"/>
  <c r="H23" i="84"/>
  <c r="H21" i="84"/>
  <c r="H19" i="84"/>
  <c r="O25" i="84"/>
  <c r="O23" i="84"/>
  <c r="O21" i="84"/>
  <c r="O19" i="84"/>
  <c r="C25" i="84"/>
  <c r="C23" i="84"/>
  <c r="C21" i="84"/>
  <c r="C19" i="84"/>
  <c r="F25" i="84"/>
  <c r="F23" i="84"/>
  <c r="F21" i="84"/>
  <c r="F19" i="84"/>
  <c r="E16" i="40"/>
  <c r="AC16" i="40" s="1"/>
  <c r="T32" i="17"/>
  <c r="S32" i="17"/>
  <c r="S33" i="17"/>
  <c r="AI33" i="17"/>
  <c r="U33" i="17"/>
  <c r="AT30" i="17"/>
  <c r="AT29" i="17"/>
  <c r="P29" i="17"/>
  <c r="E15" i="40"/>
  <c r="AC15" i="40" s="1"/>
  <c r="T31" i="17"/>
  <c r="U30" i="17"/>
  <c r="U32" i="17"/>
  <c r="U31" i="17"/>
  <c r="U28" i="17"/>
  <c r="U29" i="17"/>
  <c r="H5" i="14"/>
  <c r="C4" i="14"/>
  <c r="H4" i="14"/>
  <c r="V4" i="14" s="1"/>
  <c r="B5" i="14"/>
  <c r="AF5" i="14" s="1"/>
  <c r="D5" i="14"/>
  <c r="AH5" i="14" s="1"/>
  <c r="M5" i="14"/>
  <c r="N5" i="14"/>
  <c r="AG5" i="14"/>
  <c r="C5" i="14"/>
  <c r="G5" i="14"/>
  <c r="M4" i="14"/>
  <c r="D4" i="14"/>
  <c r="B4" i="14"/>
  <c r="AL36" i="17"/>
  <c r="T33" i="17"/>
  <c r="AR35" i="17"/>
  <c r="N20" i="99"/>
  <c r="O20" i="99"/>
  <c r="N28" i="99"/>
  <c r="O28" i="99"/>
  <c r="N44" i="99"/>
  <c r="O44" i="99"/>
  <c r="N32" i="99"/>
  <c r="O32" i="99"/>
  <c r="N48" i="99"/>
  <c r="O48" i="99"/>
  <c r="O21" i="99"/>
  <c r="N21" i="99"/>
  <c r="O29" i="99"/>
  <c r="N29" i="99"/>
  <c r="O37" i="99"/>
  <c r="N37" i="99"/>
  <c r="O45" i="99"/>
  <c r="N45" i="99"/>
  <c r="O19" i="99"/>
  <c r="N19" i="99"/>
  <c r="O23" i="99"/>
  <c r="N23" i="99"/>
  <c r="O27" i="99"/>
  <c r="N27" i="99"/>
  <c r="O31" i="99"/>
  <c r="N31" i="99"/>
  <c r="O35" i="99"/>
  <c r="N35" i="99"/>
  <c r="O39" i="99"/>
  <c r="N39" i="99"/>
  <c r="O43" i="99"/>
  <c r="N43" i="99"/>
  <c r="O47" i="99"/>
  <c r="N47" i="99"/>
  <c r="N36" i="99"/>
  <c r="O36" i="99"/>
  <c r="N24" i="99"/>
  <c r="O24" i="99"/>
  <c r="N40" i="99"/>
  <c r="O40" i="99"/>
  <c r="O17" i="99"/>
  <c r="N17" i="99"/>
  <c r="O25" i="99"/>
  <c r="N25" i="99"/>
  <c r="O33" i="99"/>
  <c r="N33" i="99"/>
  <c r="O41" i="99"/>
  <c r="N41" i="99"/>
  <c r="O49" i="99"/>
  <c r="N49" i="99"/>
  <c r="N18" i="99"/>
  <c r="O18" i="99"/>
  <c r="N22" i="99"/>
  <c r="O22" i="99"/>
  <c r="N26" i="99"/>
  <c r="O26" i="99"/>
  <c r="N30" i="99"/>
  <c r="O30" i="99"/>
  <c r="N34" i="99"/>
  <c r="O34" i="99"/>
  <c r="N38" i="99"/>
  <c r="O38" i="99"/>
  <c r="N42" i="99"/>
  <c r="O42" i="99"/>
  <c r="N46" i="99"/>
  <c r="O46" i="99"/>
  <c r="N50" i="99"/>
  <c r="O50" i="99"/>
  <c r="AH35" i="17"/>
  <c r="AQ35" i="17"/>
  <c r="E15" i="33"/>
  <c r="L15" i="33" s="1"/>
  <c r="F14" i="33"/>
  <c r="G13" i="33"/>
  <c r="M12" i="33"/>
  <c r="D12" i="33"/>
  <c r="E11" i="33"/>
  <c r="L11" i="33" s="1"/>
  <c r="F10" i="33"/>
  <c r="G9" i="33"/>
  <c r="M8" i="33"/>
  <c r="D8" i="33"/>
  <c r="E7" i="33"/>
  <c r="L7" i="33" s="1"/>
  <c r="F6" i="33"/>
  <c r="D13" i="33"/>
  <c r="M9" i="33"/>
  <c r="G6" i="33"/>
  <c r="M15" i="33"/>
  <c r="D15" i="33"/>
  <c r="E14" i="33"/>
  <c r="L14" i="33" s="1"/>
  <c r="F13" i="33"/>
  <c r="G12" i="33"/>
  <c r="M11" i="33"/>
  <c r="D11" i="33"/>
  <c r="E10" i="33"/>
  <c r="L10" i="33" s="1"/>
  <c r="F9" i="33"/>
  <c r="G8" i="33"/>
  <c r="M7" i="33"/>
  <c r="D7" i="33"/>
  <c r="E6" i="33"/>
  <c r="L6" i="33" s="1"/>
  <c r="H4" i="115" s="1"/>
  <c r="F15" i="33"/>
  <c r="E12" i="33"/>
  <c r="L12" i="33" s="1"/>
  <c r="D9" i="33"/>
  <c r="G15" i="33"/>
  <c r="M14" i="33"/>
  <c r="D14" i="33"/>
  <c r="E13" i="33"/>
  <c r="L13" i="33" s="1"/>
  <c r="F12" i="33"/>
  <c r="G11" i="33"/>
  <c r="M10" i="33"/>
  <c r="D10" i="33"/>
  <c r="E9" i="33"/>
  <c r="L9" i="33" s="1"/>
  <c r="F8" i="33"/>
  <c r="G7" i="33"/>
  <c r="M6" i="33"/>
  <c r="D6" i="33"/>
  <c r="M13" i="33"/>
  <c r="G10" i="33"/>
  <c r="F7" i="33"/>
  <c r="G14" i="33"/>
  <c r="F11" i="33"/>
  <c r="E8" i="33"/>
  <c r="L8" i="33" s="1"/>
  <c r="H5" i="115" s="1"/>
  <c r="T35" i="17"/>
  <c r="A9" i="33"/>
  <c r="H4" i="65" s="1"/>
  <c r="D4" i="55"/>
  <c r="H4" i="55" s="1"/>
  <c r="N4" i="14"/>
  <c r="G4" i="14"/>
  <c r="B4" i="55"/>
  <c r="AG4" i="14"/>
  <c r="W4" i="55"/>
  <c r="F4" i="55"/>
  <c r="V4" i="55"/>
  <c r="T4" i="55"/>
  <c r="E4" i="55"/>
  <c r="AL50" i="17"/>
  <c r="AL66" i="17"/>
  <c r="AL78" i="17"/>
  <c r="AL95" i="17"/>
  <c r="AL100" i="17"/>
  <c r="AL77" i="17"/>
  <c r="AL42" i="17"/>
  <c r="AL48" i="17"/>
  <c r="AL54" i="17"/>
  <c r="AL83" i="17"/>
  <c r="W17" i="99"/>
  <c r="W21" i="99"/>
  <c r="W18" i="99"/>
  <c r="D10" i="99"/>
  <c r="D8" i="99"/>
  <c r="D9" i="99"/>
  <c r="AQ30" i="17"/>
  <c r="AH30" i="17"/>
  <c r="AH29" i="17"/>
  <c r="AQ29" i="17"/>
  <c r="AL38" i="17"/>
  <c r="AL62" i="17"/>
  <c r="AB70" i="17"/>
  <c r="AL70" i="17"/>
  <c r="AQ34" i="17"/>
  <c r="AH34" i="17"/>
  <c r="AB84" i="17"/>
  <c r="AL84" i="17"/>
  <c r="AB92" i="17"/>
  <c r="AL92" i="17"/>
  <c r="AL74" i="17"/>
  <c r="AL87" i="17"/>
  <c r="AL91" i="17"/>
  <c r="AL37" i="17"/>
  <c r="AL46" i="17"/>
  <c r="AL40" i="17"/>
  <c r="AL39" i="17"/>
  <c r="AQ31" i="17"/>
  <c r="AH31" i="17"/>
  <c r="AL45" i="17"/>
  <c r="AL43" i="17"/>
  <c r="AL58" i="17"/>
  <c r="AH33" i="17"/>
  <c r="AQ33" i="17"/>
  <c r="AL99" i="17"/>
  <c r="AL80" i="17"/>
  <c r="AL49" i="17"/>
  <c r="AQ32" i="17"/>
  <c r="AH32" i="17"/>
  <c r="AB88" i="17"/>
  <c r="AL88" i="17"/>
  <c r="AB96" i="17"/>
  <c r="AL96" i="17"/>
  <c r="AL69" i="17"/>
  <c r="M5" i="33"/>
  <c r="G4" i="33"/>
  <c r="D4" i="33"/>
  <c r="C3" i="83" s="1"/>
  <c r="D5" i="33"/>
  <c r="M4" i="33"/>
  <c r="AH28" i="17"/>
  <c r="G5" i="33"/>
  <c r="E4" i="33"/>
  <c r="L4" i="33" s="1"/>
  <c r="H3" i="115" s="1"/>
  <c r="AQ28" i="17"/>
  <c r="E5" i="33"/>
  <c r="L5" i="33" s="1"/>
  <c r="F5" i="33"/>
  <c r="F4" i="33"/>
  <c r="AL41" i="17"/>
  <c r="AL44" i="17"/>
  <c r="AL47" i="17"/>
  <c r="L160" i="33"/>
  <c r="C8" i="52"/>
  <c r="P8" i="52"/>
  <c r="C10" i="52"/>
  <c r="P10" i="52"/>
  <c r="L162" i="33"/>
  <c r="C5" i="52"/>
  <c r="L158" i="33"/>
  <c r="P6" i="52"/>
  <c r="C6" i="52"/>
  <c r="C4" i="52"/>
  <c r="P4" i="52"/>
  <c r="C3" i="52"/>
  <c r="P3" i="52" s="1"/>
  <c r="P7" i="52"/>
  <c r="C7" i="52"/>
  <c r="L159" i="33"/>
  <c r="C9" i="52"/>
  <c r="P9" i="52"/>
  <c r="L161" i="33"/>
  <c r="L163" i="33"/>
  <c r="D174" i="33"/>
  <c r="D175" i="33"/>
  <c r="AB47" i="17"/>
  <c r="AR42" i="17"/>
  <c r="AR46" i="17"/>
  <c r="AR50" i="17"/>
  <c r="AR62" i="17"/>
  <c r="AR66" i="17"/>
  <c r="S34" i="17"/>
  <c r="AR95" i="17"/>
  <c r="AR99" i="17"/>
  <c r="AR69" i="17"/>
  <c r="AR80" i="17"/>
  <c r="AR40" i="17"/>
  <c r="AR72" i="17"/>
  <c r="AR39" i="17"/>
  <c r="AR38" i="17"/>
  <c r="AR41" i="17"/>
  <c r="AR49" i="17"/>
  <c r="AR74" i="17"/>
  <c r="AR87" i="17"/>
  <c r="AR47" i="17"/>
  <c r="AR36" i="17"/>
  <c r="AR37" i="17"/>
  <c r="AR54" i="17"/>
  <c r="AR58" i="17"/>
  <c r="AR83" i="17"/>
  <c r="AR77" i="17"/>
  <c r="AR91" i="17"/>
  <c r="AZ31" i="17"/>
  <c r="AP31" i="17"/>
  <c r="D204" i="33"/>
  <c r="D200" i="33"/>
  <c r="D191" i="33"/>
  <c r="D183" i="33"/>
  <c r="D185" i="33"/>
  <c r="D195" i="33"/>
  <c r="D190" i="33"/>
  <c r="D192" i="33"/>
  <c r="D201" i="33"/>
  <c r="D203" i="33"/>
  <c r="D184" i="33"/>
  <c r="D197" i="33"/>
  <c r="D196" i="33"/>
  <c r="D189" i="33"/>
  <c r="D194" i="33"/>
  <c r="D188" i="33"/>
  <c r="D199" i="33"/>
  <c r="D193" i="33"/>
  <c r="AR45" i="17"/>
  <c r="AR61" i="17"/>
  <c r="AR44" i="17"/>
  <c r="AB43" i="17"/>
  <c r="AR43" i="17"/>
  <c r="AR65" i="17"/>
  <c r="AR73" i="17"/>
  <c r="AR48" i="17"/>
  <c r="AR53" i="17"/>
  <c r="AR57" i="17"/>
  <c r="W20" i="99"/>
  <c r="W19" i="99"/>
  <c r="D170" i="33"/>
  <c r="I2" i="17"/>
  <c r="Z13" i="54"/>
  <c r="Z8" i="54"/>
  <c r="AA27" i="54"/>
  <c r="AB44" i="17"/>
  <c r="AB48" i="17"/>
  <c r="D178" i="33"/>
  <c r="AP28" i="17"/>
  <c r="AB37" i="17"/>
  <c r="AZ28" i="17"/>
  <c r="AP30" i="17"/>
  <c r="AP33" i="17"/>
  <c r="D173" i="33"/>
  <c r="D179" i="33"/>
  <c r="D176" i="33"/>
  <c r="D169" i="33"/>
  <c r="AP29" i="17"/>
  <c r="AP32" i="17"/>
  <c r="AP34" i="17"/>
  <c r="Z21" i="54"/>
  <c r="Z14" i="54"/>
  <c r="Z10" i="54"/>
  <c r="Z20" i="54"/>
  <c r="Z17" i="54"/>
  <c r="Z16" i="54"/>
  <c r="Z19" i="54"/>
  <c r="Z9" i="54"/>
  <c r="AA15" i="54"/>
  <c r="Z15" i="54"/>
  <c r="AA22" i="54"/>
  <c r="Z22" i="54"/>
  <c r="Z23" i="54"/>
  <c r="Z18" i="54"/>
  <c r="Z12" i="54"/>
  <c r="AB78" i="17"/>
  <c r="U39" i="86"/>
  <c r="G4" i="81"/>
  <c r="F7" i="81" s="1"/>
  <c r="U19" i="86"/>
  <c r="U35" i="86"/>
  <c r="U15" i="86"/>
  <c r="T35" i="86"/>
  <c r="T19" i="86"/>
  <c r="T39" i="86"/>
  <c r="T15" i="86"/>
  <c r="T9" i="86"/>
  <c r="AA24" i="54"/>
  <c r="U26" i="86"/>
  <c r="T43" i="86"/>
  <c r="T33" i="86"/>
  <c r="T37" i="86"/>
  <c r="T34" i="86"/>
  <c r="T30" i="86"/>
  <c r="T23" i="86"/>
  <c r="U37" i="86"/>
  <c r="U30" i="86"/>
  <c r="AA35" i="54"/>
  <c r="T46" i="86"/>
  <c r="T31" i="86"/>
  <c r="AB46" i="17"/>
  <c r="AB62" i="17"/>
  <c r="K13" i="49"/>
  <c r="K58" i="49"/>
  <c r="K49" i="49"/>
  <c r="K33" i="49"/>
  <c r="K36" i="49"/>
  <c r="AB69" i="17"/>
  <c r="AB41" i="17"/>
  <c r="AB49" i="17"/>
  <c r="AB57" i="17"/>
  <c r="AB65" i="17"/>
  <c r="K26" i="49"/>
  <c r="K39" i="49"/>
  <c r="K46" i="49"/>
  <c r="K11" i="49"/>
  <c r="K17" i="49"/>
  <c r="K52" i="49"/>
  <c r="AZ32" i="17"/>
  <c r="AT32" i="17"/>
  <c r="AB72" i="17"/>
  <c r="AB77" i="17"/>
  <c r="K59" i="49"/>
  <c r="K45" i="49"/>
  <c r="K10" i="49"/>
  <c r="K32" i="49"/>
  <c r="K19" i="49"/>
  <c r="K51" i="49"/>
  <c r="AZ30" i="17"/>
  <c r="AB36" i="17"/>
  <c r="AB38" i="17"/>
  <c r="AB42" i="17"/>
  <c r="AB45" i="17"/>
  <c r="AB50" i="17"/>
  <c r="AB53" i="17"/>
  <c r="AB58" i="17"/>
  <c r="AB61" i="17"/>
  <c r="AB66" i="17"/>
  <c r="AB74" i="17"/>
  <c r="AZ34" i="17"/>
  <c r="AB100" i="17"/>
  <c r="AB99" i="17"/>
  <c r="K27" i="49"/>
  <c r="K42" i="49"/>
  <c r="K55" i="49"/>
  <c r="K23" i="49"/>
  <c r="K8" i="49"/>
  <c r="K30" i="49"/>
  <c r="K57" i="49"/>
  <c r="K41" i="49"/>
  <c r="K25" i="49"/>
  <c r="K60" i="49"/>
  <c r="K44" i="49"/>
  <c r="K28" i="49"/>
  <c r="AB80" i="17"/>
  <c r="AB39" i="17"/>
  <c r="AB54" i="17"/>
  <c r="AZ29" i="17"/>
  <c r="K14" i="49"/>
  <c r="K20" i="49"/>
  <c r="K35" i="49"/>
  <c r="K50" i="49"/>
  <c r="K18" i="49"/>
  <c r="K9" i="49"/>
  <c r="K31" i="49"/>
  <c r="K38" i="49"/>
  <c r="K7" i="49"/>
  <c r="K29" i="49"/>
  <c r="K48" i="49"/>
  <c r="K16" i="49"/>
  <c r="AB91" i="17"/>
  <c r="U38" i="86"/>
  <c r="T47" i="86"/>
  <c r="AA8" i="54"/>
  <c r="U47" i="86"/>
  <c r="Z39" i="54"/>
  <c r="AZ33" i="17"/>
  <c r="AT33" i="17"/>
  <c r="AB73" i="17"/>
  <c r="AB40" i="17"/>
  <c r="AB95" i="17"/>
  <c r="AB83" i="17"/>
  <c r="AB87" i="17"/>
  <c r="K43" i="49"/>
  <c r="K12" i="49"/>
  <c r="K34" i="49"/>
  <c r="K47" i="49"/>
  <c r="K15" i="49"/>
  <c r="K54" i="49"/>
  <c r="K22" i="49"/>
  <c r="K6" i="49"/>
  <c r="K53" i="49"/>
  <c r="K37" i="49"/>
  <c r="K21" i="49"/>
  <c r="K56" i="49"/>
  <c r="K40" i="49"/>
  <c r="K24" i="49"/>
  <c r="U23" i="86"/>
  <c r="Z40" i="54"/>
  <c r="T14" i="86"/>
  <c r="U43" i="86"/>
  <c r="T28" i="86"/>
  <c r="U33" i="86"/>
  <c r="AA9" i="54"/>
  <c r="AA31" i="54"/>
  <c r="U46" i="86"/>
  <c r="U32" i="86"/>
  <c r="U31" i="86"/>
  <c r="U28" i="86"/>
  <c r="T40" i="86"/>
  <c r="U42" i="86"/>
  <c r="U34" i="86"/>
  <c r="T42" i="86"/>
  <c r="T25" i="86"/>
  <c r="U40" i="86"/>
  <c r="Z32" i="54"/>
  <c r="T32" i="86"/>
  <c r="T22" i="86"/>
  <c r="U14" i="86"/>
  <c r="AA26" i="54"/>
  <c r="Z25" i="54"/>
  <c r="U25" i="86"/>
  <c r="AA16" i="54"/>
  <c r="AA28" i="54"/>
  <c r="Z30" i="54"/>
  <c r="Z28" i="54"/>
  <c r="Z24" i="54"/>
  <c r="AA12" i="54"/>
  <c r="Z36" i="54"/>
  <c r="AA34" i="54"/>
  <c r="T10" i="86"/>
  <c r="T36" i="86"/>
  <c r="Z35" i="54"/>
  <c r="T27" i="86"/>
  <c r="Z34" i="54"/>
  <c r="AA30" i="54"/>
  <c r="AA38" i="54"/>
  <c r="AA18" i="54"/>
  <c r="T17" i="86"/>
  <c r="U17" i="86"/>
  <c r="T21" i="86"/>
  <c r="U29" i="86"/>
  <c r="T41" i="86"/>
  <c r="U11" i="86"/>
  <c r="T11" i="86"/>
  <c r="AA14" i="54"/>
  <c r="U36" i="86"/>
  <c r="U27" i="86"/>
  <c r="T20" i="86"/>
  <c r="U20" i="86"/>
  <c r="AA7" i="54"/>
  <c r="Z7" i="54"/>
  <c r="Z26" i="54"/>
  <c r="T48" i="86"/>
  <c r="U48" i="86"/>
  <c r="AA23" i="54"/>
  <c r="AA13" i="54"/>
  <c r="Z33" i="54"/>
  <c r="AA33" i="54"/>
  <c r="U12" i="86"/>
  <c r="AA39" i="54"/>
  <c r="U16" i="86"/>
  <c r="U24" i="86"/>
  <c r="U18" i="86"/>
  <c r="Z31" i="54"/>
  <c r="AA29" i="54"/>
  <c r="Z29" i="54"/>
  <c r="T12" i="86"/>
  <c r="Z27" i="54"/>
  <c r="T45" i="86"/>
  <c r="U45" i="86"/>
  <c r="AA17" i="54"/>
  <c r="AA21" i="54"/>
  <c r="Z37" i="54"/>
  <c r="AA37" i="54"/>
  <c r="I12" i="99"/>
  <c r="I14" i="99"/>
  <c r="I15" i="99"/>
  <c r="I13" i="99"/>
  <c r="I16" i="99"/>
  <c r="I11" i="99"/>
  <c r="P28" i="17"/>
  <c r="J4" i="55"/>
  <c r="AA7" i="40"/>
  <c r="C4" i="83" l="1"/>
  <c r="M3" i="83"/>
  <c r="C5" i="83"/>
  <c r="Q7" i="55"/>
  <c r="O3" i="83"/>
  <c r="K12" i="22"/>
  <c r="O7" i="55"/>
  <c r="P7" i="55"/>
  <c r="N6" i="55"/>
  <c r="J6" i="55"/>
  <c r="D10" i="22"/>
  <c r="C10" i="22"/>
  <c r="F5" i="54"/>
  <c r="B5" i="54"/>
  <c r="H5" i="54"/>
  <c r="E5" i="54"/>
  <c r="W5" i="54" s="1"/>
  <c r="I5" i="54"/>
  <c r="N5" i="54"/>
  <c r="Y3" i="54"/>
  <c r="J3" i="54"/>
  <c r="L8" i="51"/>
  <c r="T8" i="51" s="1"/>
  <c r="AC6" i="54"/>
  <c r="H6" i="115"/>
  <c r="D6" i="83"/>
  <c r="O6" i="55"/>
  <c r="H7" i="55"/>
  <c r="F6" i="115"/>
  <c r="J5" i="55"/>
  <c r="G5" i="83"/>
  <c r="F5" i="83"/>
  <c r="H5" i="83"/>
  <c r="E5" i="83"/>
  <c r="J5" i="83"/>
  <c r="K5" i="83" s="1"/>
  <c r="O3" i="54"/>
  <c r="P3" i="54" s="1"/>
  <c r="D6" i="54"/>
  <c r="F4" i="83"/>
  <c r="G4" i="83"/>
  <c r="J4" i="83"/>
  <c r="K4" i="83" s="1"/>
  <c r="H4" i="83"/>
  <c r="E4" i="83"/>
  <c r="B4" i="54"/>
  <c r="I4" i="54"/>
  <c r="N4" i="54"/>
  <c r="F4" i="54"/>
  <c r="R4" i="54" s="1"/>
  <c r="H4" i="54"/>
  <c r="E4" i="54"/>
  <c r="N5" i="55"/>
  <c r="Q5" i="55"/>
  <c r="L3" i="54"/>
  <c r="K3" i="54"/>
  <c r="P6" i="55"/>
  <c r="Q6" i="55"/>
  <c r="K7" i="55"/>
  <c r="P5" i="55"/>
  <c r="O5" i="55"/>
  <c r="H6" i="55"/>
  <c r="N7" i="55"/>
  <c r="B6" i="83"/>
  <c r="C6" i="83" s="1"/>
  <c r="R3" i="54"/>
  <c r="D11" i="22"/>
  <c r="C11" i="22"/>
  <c r="K11" i="33"/>
  <c r="K10" i="33"/>
  <c r="K8" i="51" s="1"/>
  <c r="K9" i="40"/>
  <c r="L9" i="40"/>
  <c r="J9" i="40"/>
  <c r="K7" i="40"/>
  <c r="L7" i="40"/>
  <c r="J7" i="40"/>
  <c r="AC7" i="40"/>
  <c r="L10" i="40"/>
  <c r="K10" i="40"/>
  <c r="J10" i="40"/>
  <c r="L8" i="40"/>
  <c r="K8" i="40"/>
  <c r="J8" i="40"/>
  <c r="AC11" i="40"/>
  <c r="AI31" i="17"/>
  <c r="E12" i="40"/>
  <c r="AC12" i="40" s="1"/>
  <c r="E14" i="40"/>
  <c r="AC14" i="40" s="1"/>
  <c r="E13" i="40"/>
  <c r="AC13" i="40" s="1"/>
  <c r="D22" i="46"/>
  <c r="L11" i="40"/>
  <c r="K11" i="40"/>
  <c r="J11" i="40"/>
  <c r="P30" i="17"/>
  <c r="K12" i="40"/>
  <c r="L12" i="40"/>
  <c r="J12" i="40"/>
  <c r="K13" i="40"/>
  <c r="L13" i="40"/>
  <c r="J13" i="40"/>
  <c r="L18" i="40"/>
  <c r="K18" i="40"/>
  <c r="J18" i="40"/>
  <c r="L17" i="40"/>
  <c r="K17" i="40"/>
  <c r="J17" i="40"/>
  <c r="K16" i="40"/>
  <c r="L16" i="40"/>
  <c r="J16" i="40"/>
  <c r="L14" i="40"/>
  <c r="K14" i="40"/>
  <c r="J14" i="40"/>
  <c r="L15" i="40"/>
  <c r="K15" i="40"/>
  <c r="J15" i="40"/>
  <c r="K7" i="33"/>
  <c r="AF4" i="14"/>
  <c r="K8" i="33"/>
  <c r="K7" i="51" s="1"/>
  <c r="K9" i="33"/>
  <c r="K5" i="33"/>
  <c r="K6" i="33"/>
  <c r="K6" i="51" s="1"/>
  <c r="T30" i="17"/>
  <c r="T28" i="17"/>
  <c r="K4" i="33"/>
  <c r="K5" i="51" s="1"/>
  <c r="T29" i="17"/>
  <c r="N24" i="83"/>
  <c r="AL35" i="17"/>
  <c r="AB35" i="17"/>
  <c r="O14" i="33"/>
  <c r="I14" i="33" s="1" a="1"/>
  <c r="I14" i="33" s="1"/>
  <c r="O15" i="33"/>
  <c r="P15" i="33" s="1" a="1"/>
  <c r="P15" i="33" s="1"/>
  <c r="S15" i="33" s="1"/>
  <c r="O13" i="33"/>
  <c r="P13" i="33" s="1" a="1"/>
  <c r="P13" i="33" s="1"/>
  <c r="S13" i="33" s="1"/>
  <c r="T34" i="17"/>
  <c r="N4" i="55"/>
  <c r="P4" i="55"/>
  <c r="O4" i="55"/>
  <c r="Q4" i="55"/>
  <c r="AL28" i="17"/>
  <c r="AR28" i="17"/>
  <c r="L156" i="33"/>
  <c r="T8" i="99"/>
  <c r="T9" i="99"/>
  <c r="T10" i="99"/>
  <c r="AL32" i="17"/>
  <c r="AI30" i="17"/>
  <c r="I6" i="55"/>
  <c r="K6" i="55" s="1"/>
  <c r="AI29" i="17"/>
  <c r="I5" i="55"/>
  <c r="K5" i="55" s="1"/>
  <c r="AI28" i="17"/>
  <c r="I4" i="55"/>
  <c r="N21" i="83"/>
  <c r="N40" i="83"/>
  <c r="N20" i="83"/>
  <c r="N22" i="83"/>
  <c r="N27" i="83"/>
  <c r="N11" i="83"/>
  <c r="N18" i="83"/>
  <c r="N15" i="83"/>
  <c r="N8" i="83"/>
  <c r="AL34" i="17"/>
  <c r="AL29" i="17"/>
  <c r="CH13" i="49"/>
  <c r="CH1" i="49"/>
  <c r="N3" i="83"/>
  <c r="N29" i="83"/>
  <c r="N9" i="83"/>
  <c r="N17" i="83"/>
  <c r="N12" i="83"/>
  <c r="N25" i="83"/>
  <c r="N32" i="83"/>
  <c r="N37" i="83"/>
  <c r="N36" i="83"/>
  <c r="N10" i="83"/>
  <c r="N26" i="83"/>
  <c r="N7" i="83"/>
  <c r="N13" i="83"/>
  <c r="N35" i="83"/>
  <c r="N30" i="83"/>
  <c r="N39" i="83"/>
  <c r="N34" i="83"/>
  <c r="N33" i="83"/>
  <c r="AL33" i="17"/>
  <c r="N28" i="83"/>
  <c r="N23" i="83"/>
  <c r="N31" i="83"/>
  <c r="N16" i="83"/>
  <c r="N38" i="83"/>
  <c r="N14" i="83"/>
  <c r="N19" i="83"/>
  <c r="AL31" i="17"/>
  <c r="AL30" i="17"/>
  <c r="P5" i="52"/>
  <c r="C11" i="52"/>
  <c r="P11" i="52" s="1"/>
  <c r="C12" i="52"/>
  <c r="P12" i="52" s="1"/>
  <c r="U16" i="99"/>
  <c r="P16" i="99"/>
  <c r="U11" i="99"/>
  <c r="P11" i="99"/>
  <c r="U15" i="99"/>
  <c r="P15" i="99"/>
  <c r="U12" i="99"/>
  <c r="P12" i="99"/>
  <c r="P14" i="99"/>
  <c r="U14" i="99"/>
  <c r="P10" i="99"/>
  <c r="Q156" i="33"/>
  <c r="AR34" i="17"/>
  <c r="AT28" i="17"/>
  <c r="AR31" i="17"/>
  <c r="AB31" i="17"/>
  <c r="AR30" i="17"/>
  <c r="AR29" i="17"/>
  <c r="AR32" i="17"/>
  <c r="P5" i="14"/>
  <c r="Y5" i="14"/>
  <c r="W5" i="14"/>
  <c r="X5" i="14" s="1"/>
  <c r="AC5" i="14"/>
  <c r="AD5" i="14" s="1"/>
  <c r="AB5" i="14"/>
  <c r="S5" i="14"/>
  <c r="AA5" i="14"/>
  <c r="G14" i="99"/>
  <c r="G10" i="99"/>
  <c r="G12" i="99"/>
  <c r="G16" i="99"/>
  <c r="G11" i="99"/>
  <c r="G15" i="99"/>
  <c r="U35" i="17"/>
  <c r="U36" i="17"/>
  <c r="AT34" i="17"/>
  <c r="AT31" i="17"/>
  <c r="AB28" i="17"/>
  <c r="AA4" i="14"/>
  <c r="S4" i="14"/>
  <c r="AB4" i="14"/>
  <c r="AC4" i="14"/>
  <c r="Y4" i="14"/>
  <c r="P4" i="14"/>
  <c r="AA3" i="54"/>
  <c r="O8" i="33"/>
  <c r="O10" i="33"/>
  <c r="AB33" i="17"/>
  <c r="O5" i="33"/>
  <c r="P5" i="33" s="1" a="1"/>
  <c r="P5" i="33" s="1"/>
  <c r="O12" i="33"/>
  <c r="K156" i="33"/>
  <c r="AB29" i="17"/>
  <c r="A5" i="46"/>
  <c r="U34" i="17"/>
  <c r="O6" i="33"/>
  <c r="AB30" i="17"/>
  <c r="O11" i="33"/>
  <c r="O4" i="33"/>
  <c r="P4" i="33" s="1" a="1"/>
  <c r="P4" i="33" s="1"/>
  <c r="O7" i="33"/>
  <c r="AB34" i="17"/>
  <c r="AB32" i="17"/>
  <c r="O9" i="33"/>
  <c r="F5" i="118"/>
  <c r="I10" i="99"/>
  <c r="I9" i="99"/>
  <c r="I8" i="99"/>
  <c r="P31" i="17"/>
  <c r="P33" i="17"/>
  <c r="P32" i="17"/>
  <c r="AA11" i="40"/>
  <c r="AA4" i="54" l="1"/>
  <c r="C3" i="54"/>
  <c r="O4" i="54"/>
  <c r="P4" i="54" s="1"/>
  <c r="O4" i="83"/>
  <c r="O5" i="83"/>
  <c r="M4" i="83"/>
  <c r="M5" i="83"/>
  <c r="O5" i="54"/>
  <c r="P5" i="54" s="1"/>
  <c r="Y5" i="54"/>
  <c r="J5" i="54"/>
  <c r="AB5" i="54"/>
  <c r="K4" i="54"/>
  <c r="L4" i="54"/>
  <c r="K5" i="54"/>
  <c r="L5" i="54"/>
  <c r="Z5" i="54"/>
  <c r="N4" i="83"/>
  <c r="N5" i="83"/>
  <c r="H6" i="54"/>
  <c r="F6" i="54"/>
  <c r="O6" i="54" s="1"/>
  <c r="P6" i="54" s="1"/>
  <c r="I6" i="54"/>
  <c r="E6" i="54"/>
  <c r="B6" i="54"/>
  <c r="N6" i="54"/>
  <c r="R5" i="54"/>
  <c r="AA5" i="54"/>
  <c r="U4" i="55"/>
  <c r="U7" i="55"/>
  <c r="E6" i="83"/>
  <c r="H6" i="83"/>
  <c r="G6" i="83"/>
  <c r="F6" i="83"/>
  <c r="J6" i="83"/>
  <c r="K6" i="83" s="1"/>
  <c r="J4" i="54"/>
  <c r="AB4" i="54"/>
  <c r="Y4" i="54"/>
  <c r="D12" i="22"/>
  <c r="C12" i="22"/>
  <c r="C7" i="9"/>
  <c r="C5" i="54"/>
  <c r="C5" i="115"/>
  <c r="I5" i="83"/>
  <c r="B11" i="22"/>
  <c r="C6" i="9"/>
  <c r="C4" i="115"/>
  <c r="I4" i="83"/>
  <c r="C4" i="54"/>
  <c r="B10" i="22"/>
  <c r="C8" i="9"/>
  <c r="C6" i="115"/>
  <c r="I6" i="83"/>
  <c r="C6" i="54"/>
  <c r="B12" i="22"/>
  <c r="C5" i="9"/>
  <c r="C3" i="115"/>
  <c r="I3" i="83"/>
  <c r="B9" i="22"/>
  <c r="AA16" i="40"/>
  <c r="AA15" i="40"/>
  <c r="AA12" i="40"/>
  <c r="AA13" i="40"/>
  <c r="AA14" i="40"/>
  <c r="AA17" i="40"/>
  <c r="AA18" i="40"/>
  <c r="C7" i="40"/>
  <c r="C8" i="40"/>
  <c r="W4" i="14"/>
  <c r="X4" i="14" s="1"/>
  <c r="K4" i="55"/>
  <c r="U10" i="99"/>
  <c r="S10" i="99"/>
  <c r="R10" i="99"/>
  <c r="O15" i="99"/>
  <c r="N15" i="99"/>
  <c r="N16" i="99"/>
  <c r="O16" i="99"/>
  <c r="R9" i="99"/>
  <c r="S9" i="99"/>
  <c r="N14" i="99"/>
  <c r="O14" i="99"/>
  <c r="S8" i="99"/>
  <c r="R8" i="99"/>
  <c r="N10" i="99"/>
  <c r="O10" i="99"/>
  <c r="N12" i="99"/>
  <c r="O12" i="99"/>
  <c r="O11" i="99"/>
  <c r="N11" i="99"/>
  <c r="J15" i="33" a="1"/>
  <c r="J15" i="33" s="1"/>
  <c r="I15" i="33" a="1"/>
  <c r="I15" i="33" s="1"/>
  <c r="J14" i="33" a="1"/>
  <c r="J14" i="33" s="1"/>
  <c r="J13" i="33" a="1"/>
  <c r="J13" i="33" s="1"/>
  <c r="P14" i="33" a="1"/>
  <c r="P14" i="33" s="1"/>
  <c r="S14" i="33" s="1"/>
  <c r="I13" i="33" a="1"/>
  <c r="I13" i="33" s="1"/>
  <c r="P12" i="33" a="1"/>
  <c r="P12" i="33" s="1"/>
  <c r="S12" i="33" s="1"/>
  <c r="I12" i="33" a="1"/>
  <c r="I12" i="33" s="1"/>
  <c r="J12" i="33" a="1"/>
  <c r="J12" i="33" s="1"/>
  <c r="P10" i="33" a="1"/>
  <c r="P10" i="33" s="1"/>
  <c r="S10" i="33" s="1"/>
  <c r="J10" i="33" a="1"/>
  <c r="J10" i="33" s="1"/>
  <c r="I10" i="33" a="1"/>
  <c r="I10" i="33" s="1"/>
  <c r="I6" i="33" a="1"/>
  <c r="I6" i="33" s="1"/>
  <c r="P6" i="33" a="1"/>
  <c r="P6" i="33" s="1"/>
  <c r="S6" i="33" s="1"/>
  <c r="J6" i="33" a="1"/>
  <c r="J6" i="33" s="1"/>
  <c r="J9" i="33" a="1"/>
  <c r="J9" i="33" s="1"/>
  <c r="I9" i="33" a="1"/>
  <c r="I9" i="33" s="1"/>
  <c r="P9" i="33" a="1"/>
  <c r="P9" i="33" s="1"/>
  <c r="S9" i="33" s="1"/>
  <c r="P7" i="33" a="1"/>
  <c r="P7" i="33" s="1"/>
  <c r="S7" i="33" s="1"/>
  <c r="J7" i="33" a="1"/>
  <c r="J7" i="33" s="1"/>
  <c r="I7" i="33" a="1"/>
  <c r="I7" i="33" s="1"/>
  <c r="J8" i="33" a="1"/>
  <c r="J8" i="33" s="1"/>
  <c r="I8" i="33" a="1"/>
  <c r="I8" i="33" s="1"/>
  <c r="P8" i="33" a="1"/>
  <c r="P8" i="33" s="1"/>
  <c r="S8" i="33" s="1"/>
  <c r="P11" i="33" a="1"/>
  <c r="P11" i="33" s="1"/>
  <c r="S11" i="33" s="1"/>
  <c r="J11" i="33" a="1"/>
  <c r="J11" i="33" s="1"/>
  <c r="I11" i="33" a="1"/>
  <c r="I11" i="33" s="1"/>
  <c r="AH4" i="14"/>
  <c r="U5" i="55"/>
  <c r="U6" i="55"/>
  <c r="I5" i="33" a="1"/>
  <c r="I5" i="33" s="1"/>
  <c r="J5" i="33" a="1"/>
  <c r="J5" i="33" s="1"/>
  <c r="I4" i="33" a="1"/>
  <c r="I4" i="33" s="1"/>
  <c r="J4" i="33" a="1"/>
  <c r="J4" i="33" s="1"/>
  <c r="S5" i="33"/>
  <c r="S4" i="33"/>
  <c r="E6" i="9"/>
  <c r="E8" i="9"/>
  <c r="E10" i="9"/>
  <c r="C13" i="52"/>
  <c r="P13" i="52" s="1"/>
  <c r="P9" i="99"/>
  <c r="U9" i="99"/>
  <c r="U8" i="99"/>
  <c r="P8" i="99"/>
  <c r="P13" i="99"/>
  <c r="U13" i="99"/>
  <c r="Z4" i="54"/>
  <c r="W4" i="54"/>
  <c r="W3" i="54"/>
  <c r="AB3" i="54" s="1"/>
  <c r="Z3" i="54"/>
  <c r="W11" i="99"/>
  <c r="W12" i="99"/>
  <c r="W10" i="99"/>
  <c r="W15" i="99"/>
  <c r="W14" i="99"/>
  <c r="W16" i="99"/>
  <c r="G13" i="99"/>
  <c r="G9" i="99"/>
  <c r="G8" i="99"/>
  <c r="AE149" i="14"/>
  <c r="AE141" i="14"/>
  <c r="AE133" i="14"/>
  <c r="AE125" i="14"/>
  <c r="AE117" i="14"/>
  <c r="AE109" i="14"/>
  <c r="AE101" i="14"/>
  <c r="AE93" i="14"/>
  <c r="AE85" i="14"/>
  <c r="AE77" i="14"/>
  <c r="AE26" i="14"/>
  <c r="AE10" i="14"/>
  <c r="AE63" i="14"/>
  <c r="AE55" i="14"/>
  <c r="AE47" i="14"/>
  <c r="AE39" i="14"/>
  <c r="AE31" i="14"/>
  <c r="AE19" i="14"/>
  <c r="AE6" i="14"/>
  <c r="AE14" i="14"/>
  <c r="AE150" i="14"/>
  <c r="AE126" i="14"/>
  <c r="AE94" i="14"/>
  <c r="AE62" i="14"/>
  <c r="AE30" i="14"/>
  <c r="AE120" i="14"/>
  <c r="AE88" i="14"/>
  <c r="AE56" i="14"/>
  <c r="AE20" i="14"/>
  <c r="AE130" i="14"/>
  <c r="AE98" i="14"/>
  <c r="AE66" i="14"/>
  <c r="AE34" i="14"/>
  <c r="AE116" i="14"/>
  <c r="AE84" i="14"/>
  <c r="AE52" i="14"/>
  <c r="AE23" i="14"/>
  <c r="AE5" i="14"/>
  <c r="AE139" i="14"/>
  <c r="AE123" i="14"/>
  <c r="AE107" i="14"/>
  <c r="AE91" i="14"/>
  <c r="AE75" i="14"/>
  <c r="AE21" i="14"/>
  <c r="AE61" i="14"/>
  <c r="AE53" i="14"/>
  <c r="AE37" i="14"/>
  <c r="AE29" i="14"/>
  <c r="AE25" i="14"/>
  <c r="AE148" i="14"/>
  <c r="AE86" i="14"/>
  <c r="AE144" i="14"/>
  <c r="AE112" i="14"/>
  <c r="AE48" i="14"/>
  <c r="AE15" i="14"/>
  <c r="AE122" i="14"/>
  <c r="AE58" i="14"/>
  <c r="AE140" i="14"/>
  <c r="AE108" i="14"/>
  <c r="AE44" i="14"/>
  <c r="AE12" i="14"/>
  <c r="AE153" i="14"/>
  <c r="AE145" i="14"/>
  <c r="AE137" i="14"/>
  <c r="AE129" i="14"/>
  <c r="AE121" i="14"/>
  <c r="AE97" i="14"/>
  <c r="AE89" i="14"/>
  <c r="AE81" i="14"/>
  <c r="AE73" i="14"/>
  <c r="AE67" i="14"/>
  <c r="AE51" i="14"/>
  <c r="AE43" i="14"/>
  <c r="AE35" i="14"/>
  <c r="AE11" i="14"/>
  <c r="AE154" i="14"/>
  <c r="AE142" i="14"/>
  <c r="AE46" i="14"/>
  <c r="AE104" i="14"/>
  <c r="AE40" i="14"/>
  <c r="AE82" i="14"/>
  <c r="AE100" i="14"/>
  <c r="AD4" i="14"/>
  <c r="AE155" i="14"/>
  <c r="AE147" i="14"/>
  <c r="AE131" i="14"/>
  <c r="AE115" i="14"/>
  <c r="AE99" i="14"/>
  <c r="AE83" i="14"/>
  <c r="AE69" i="14"/>
  <c r="AE45" i="14"/>
  <c r="AE16" i="14"/>
  <c r="AE9" i="14"/>
  <c r="AE118" i="14"/>
  <c r="AE54" i="14"/>
  <c r="AE80" i="14"/>
  <c r="AE90" i="14"/>
  <c r="AE76" i="14"/>
  <c r="AE4" i="14"/>
  <c r="AE105" i="14"/>
  <c r="AE18" i="14"/>
  <c r="AE27" i="14"/>
  <c r="AE110" i="14"/>
  <c r="AE136" i="14"/>
  <c r="AE146" i="14"/>
  <c r="AE50" i="14"/>
  <c r="AE68" i="14"/>
  <c r="AE7" i="14"/>
  <c r="AE151" i="14"/>
  <c r="AE143" i="14"/>
  <c r="AE135" i="14"/>
  <c r="AE127" i="14"/>
  <c r="AE119" i="14"/>
  <c r="AE111" i="14"/>
  <c r="AE103" i="14"/>
  <c r="AE95" i="14"/>
  <c r="AE87" i="14"/>
  <c r="AE79" i="14"/>
  <c r="AE71" i="14"/>
  <c r="AE13" i="14"/>
  <c r="AE65" i="14"/>
  <c r="AE57" i="14"/>
  <c r="AE49" i="14"/>
  <c r="AE41" i="14"/>
  <c r="AE33" i="14"/>
  <c r="AE24" i="14"/>
  <c r="AE8" i="14"/>
  <c r="AE17" i="14"/>
  <c r="AE152" i="14"/>
  <c r="AE134" i="14"/>
  <c r="AE102" i="14"/>
  <c r="AE70" i="14"/>
  <c r="AE38" i="14"/>
  <c r="AE128" i="14"/>
  <c r="AE96" i="14"/>
  <c r="AE64" i="14"/>
  <c r="AE32" i="14"/>
  <c r="AE138" i="14"/>
  <c r="AE106" i="14"/>
  <c r="AE74" i="14"/>
  <c r="AE42" i="14"/>
  <c r="AE124" i="14"/>
  <c r="AE92" i="14"/>
  <c r="AE60" i="14"/>
  <c r="AE28" i="14"/>
  <c r="AE113" i="14"/>
  <c r="AE59" i="14"/>
  <c r="AE22" i="14"/>
  <c r="AE78" i="14"/>
  <c r="AE72" i="14"/>
  <c r="AE114" i="14"/>
  <c r="AE132" i="14"/>
  <c r="AE36" i="14"/>
  <c r="K157" i="33"/>
  <c r="AA9" i="40"/>
  <c r="AA8" i="40"/>
  <c r="AA10" i="40"/>
  <c r="R6" i="54" l="1"/>
  <c r="L6" i="54"/>
  <c r="K6" i="54"/>
  <c r="W6" i="54"/>
  <c r="AB6" i="54" s="1"/>
  <c r="O6" i="83"/>
  <c r="M6" i="83"/>
  <c r="N6" i="83"/>
  <c r="J6" i="54"/>
  <c r="Y6" i="54"/>
  <c r="AA6" i="54"/>
  <c r="Z6" i="54"/>
  <c r="N8" i="99"/>
  <c r="O8" i="99"/>
  <c r="O13" i="99"/>
  <c r="N13" i="99"/>
  <c r="O9" i="99"/>
  <c r="N9" i="99"/>
  <c r="W9" i="99"/>
  <c r="W8" i="99"/>
  <c r="W13" i="99"/>
  <c r="A7" i="49"/>
  <c r="A6" i="49"/>
  <c r="R156" i="33"/>
  <c r="E5" i="9"/>
  <c r="A18" i="49"/>
  <c r="A68" i="49"/>
  <c r="A222" i="49"/>
  <c r="A105" i="49"/>
  <c r="A173" i="49"/>
  <c r="A134" i="49"/>
  <c r="A128" i="49"/>
  <c r="A90" i="49"/>
  <c r="A37" i="49"/>
  <c r="A176" i="49"/>
  <c r="A215" i="49"/>
  <c r="A244" i="49"/>
  <c r="A43" i="49"/>
  <c r="A84" i="49"/>
  <c r="A146" i="49"/>
  <c r="A280" i="49"/>
  <c r="A230" i="49"/>
  <c r="A193" i="49"/>
  <c r="A319" i="49"/>
  <c r="A91" i="49"/>
  <c r="A85" i="49"/>
  <c r="A241" i="49"/>
  <c r="A317" i="49"/>
  <c r="A313" i="49"/>
  <c r="A210" i="49"/>
  <c r="A298" i="49"/>
  <c r="A115" i="49"/>
  <c r="A157" i="49"/>
  <c r="A187" i="49"/>
  <c r="A181" i="49"/>
  <c r="A56" i="49"/>
  <c r="A271" i="49"/>
  <c r="A300" i="49"/>
  <c r="A126" i="49"/>
  <c r="A119" i="49"/>
  <c r="A275" i="49"/>
  <c r="A324" i="49"/>
  <c r="A174" i="49"/>
  <c r="A167" i="49"/>
  <c r="A323" i="49"/>
  <c r="A64" i="49"/>
  <c r="A57" i="49"/>
  <c r="A312" i="49"/>
  <c r="A42" i="49"/>
  <c r="A182" i="49"/>
  <c r="A274" i="49"/>
  <c r="A270" i="49"/>
  <c r="A263" i="49"/>
  <c r="A81" i="49"/>
  <c r="A141" i="49"/>
  <c r="A217" i="49"/>
  <c r="A66" i="49"/>
  <c r="A202" i="49"/>
  <c r="A76" i="49"/>
  <c r="A265" i="49"/>
  <c r="A130" i="49"/>
  <c r="A250" i="49"/>
  <c r="A67" i="49"/>
  <c r="A127" i="49"/>
  <c r="A139" i="49"/>
  <c r="A133" i="49"/>
  <c r="A289" i="49"/>
  <c r="A125" i="49"/>
  <c r="A264" i="49"/>
  <c r="A290" i="49"/>
  <c r="A80" i="49"/>
  <c r="A163" i="49"/>
  <c r="A93" i="49"/>
  <c r="A299" i="49"/>
  <c r="A293" i="49"/>
  <c r="A140" i="49"/>
  <c r="A86" i="49"/>
  <c r="A63" i="49"/>
  <c r="A178" i="49"/>
  <c r="A132" i="49"/>
  <c r="A73" i="49"/>
  <c r="A155" i="49"/>
  <c r="A238" i="49"/>
  <c r="A242" i="49"/>
  <c r="A192" i="49"/>
  <c r="A149" i="49"/>
  <c r="A231" i="49"/>
  <c r="A314" i="49"/>
  <c r="A58" i="49"/>
  <c r="A305" i="49"/>
  <c r="A49" i="49"/>
  <c r="A131" i="49"/>
  <c r="A198" i="49"/>
  <c r="A61" i="49"/>
  <c r="A269" i="49"/>
  <c r="A239" i="49"/>
  <c r="A306" i="49"/>
  <c r="A328" i="49"/>
  <c r="A121" i="49"/>
  <c r="A203" i="49"/>
  <c r="A286" i="49"/>
  <c r="A322" i="49"/>
  <c r="A156" i="49"/>
  <c r="A197" i="49"/>
  <c r="A279" i="49"/>
  <c r="A116" i="49"/>
  <c r="A106" i="49"/>
  <c r="A168" i="49"/>
  <c r="A97" i="49"/>
  <c r="A179" i="49"/>
  <c r="A246" i="49"/>
  <c r="A207" i="49"/>
  <c r="A77" i="49"/>
  <c r="A175" i="49"/>
  <c r="A152" i="49"/>
  <c r="A276" i="49"/>
  <c r="A169" i="49"/>
  <c r="A251" i="49"/>
  <c r="A52" i="49"/>
  <c r="A78" i="49"/>
  <c r="A208" i="49"/>
  <c r="A245" i="49"/>
  <c r="A327" i="49"/>
  <c r="A71" i="49"/>
  <c r="A154" i="49"/>
  <c r="A160" i="49"/>
  <c r="A145" i="49"/>
  <c r="A227" i="49"/>
  <c r="A294" i="49"/>
  <c r="A38" i="49"/>
  <c r="A223" i="49"/>
  <c r="A120" i="49"/>
  <c r="A255" i="49"/>
  <c r="A50" i="49"/>
  <c r="A281" i="49"/>
  <c r="A112" i="49"/>
  <c r="A107" i="49"/>
  <c r="A190" i="49"/>
  <c r="A162" i="49"/>
  <c r="A184" i="49"/>
  <c r="A101" i="49"/>
  <c r="A183" i="49"/>
  <c r="A266" i="49"/>
  <c r="A304" i="49"/>
  <c r="A257" i="49"/>
  <c r="A60" i="49"/>
  <c r="A83" i="49"/>
  <c r="A150" i="49"/>
  <c r="A253" i="49"/>
  <c r="A272" i="49"/>
  <c r="A136" i="49"/>
  <c r="A24" i="49"/>
  <c r="A13" i="49"/>
  <c r="A30" i="49"/>
  <c r="A31" i="49"/>
  <c r="A9" i="49"/>
  <c r="A20" i="49"/>
  <c r="A144" i="49"/>
  <c r="A221" i="49"/>
  <c r="A15" i="49"/>
  <c r="A23" i="49"/>
  <c r="A29" i="49"/>
  <c r="A14" i="49"/>
  <c r="A32" i="49"/>
  <c r="A28" i="49"/>
  <c r="A22" i="49"/>
  <c r="A237" i="49"/>
  <c r="A236" i="49"/>
  <c r="A201" i="49"/>
  <c r="A283" i="49"/>
  <c r="A124" i="49"/>
  <c r="A110" i="49"/>
  <c r="A292" i="49"/>
  <c r="A277" i="49"/>
  <c r="A104" i="49"/>
  <c r="A103" i="49"/>
  <c r="A186" i="49"/>
  <c r="A212" i="49"/>
  <c r="A177" i="49"/>
  <c r="A259" i="49"/>
  <c r="A326" i="49"/>
  <c r="A70" i="49"/>
  <c r="A95" i="49"/>
  <c r="A316" i="49"/>
  <c r="A45" i="49"/>
  <c r="A196" i="49"/>
  <c r="A249" i="49"/>
  <c r="A40" i="49"/>
  <c r="A75" i="49"/>
  <c r="A158" i="49"/>
  <c r="A114" i="49"/>
  <c r="A325" i="49"/>
  <c r="A69" i="49"/>
  <c r="A151" i="49"/>
  <c r="A234" i="49"/>
  <c r="A268" i="49"/>
  <c r="A225" i="49"/>
  <c r="A307" i="49"/>
  <c r="A51" i="49"/>
  <c r="A118" i="49"/>
  <c r="A216" i="49"/>
  <c r="A47" i="49"/>
  <c r="A191" i="49"/>
  <c r="A98" i="49"/>
  <c r="A297" i="49"/>
  <c r="A41" i="49"/>
  <c r="A123" i="49"/>
  <c r="A206" i="49"/>
  <c r="A194" i="49"/>
  <c r="A248" i="49"/>
  <c r="A117" i="49"/>
  <c r="A199" i="49"/>
  <c r="A282" i="49"/>
  <c r="A260" i="49"/>
  <c r="A273" i="49"/>
  <c r="A96" i="49"/>
  <c r="A99" i="49"/>
  <c r="A166" i="49"/>
  <c r="A189" i="49"/>
  <c r="A308" i="49"/>
  <c r="A36" i="49"/>
  <c r="A256" i="49"/>
  <c r="A164" i="49"/>
  <c r="A153" i="49"/>
  <c r="A235" i="49"/>
  <c r="A318" i="49"/>
  <c r="A62" i="49"/>
  <c r="A284" i="49"/>
  <c r="A229" i="49"/>
  <c r="A311" i="49"/>
  <c r="A55" i="49"/>
  <c r="A138" i="49"/>
  <c r="A296" i="49"/>
  <c r="A129" i="49"/>
  <c r="A211" i="49"/>
  <c r="A278" i="49"/>
  <c r="A79" i="49"/>
  <c r="A287" i="49"/>
  <c r="A285" i="49"/>
  <c r="A12" i="49"/>
  <c r="A34" i="49"/>
  <c r="A35" i="49"/>
  <c r="A8" i="49"/>
  <c r="A26" i="49"/>
  <c r="A21" i="49"/>
  <c r="A16" i="49"/>
  <c r="A252" i="49"/>
  <c r="A224" i="49"/>
  <c r="A137" i="49"/>
  <c r="A219" i="49"/>
  <c r="A302" i="49"/>
  <c r="A46" i="49"/>
  <c r="A220" i="49"/>
  <c r="A213" i="49"/>
  <c r="A295" i="49"/>
  <c r="A39" i="49"/>
  <c r="A122" i="49"/>
  <c r="A232" i="49"/>
  <c r="A113" i="49"/>
  <c r="A195" i="49"/>
  <c r="A262" i="49"/>
  <c r="A143" i="49"/>
  <c r="A88" i="49"/>
  <c r="A188" i="49"/>
  <c r="A301" i="49"/>
  <c r="A172" i="49"/>
  <c r="A185" i="49"/>
  <c r="A267" i="49"/>
  <c r="A92" i="49"/>
  <c r="A94" i="49"/>
  <c r="A148" i="49"/>
  <c r="A261" i="49"/>
  <c r="A72" i="49"/>
  <c r="A87" i="49"/>
  <c r="A170" i="49"/>
  <c r="A288" i="49"/>
  <c r="A161" i="49"/>
  <c r="A243" i="49"/>
  <c r="A310" i="49"/>
  <c r="A54" i="49"/>
  <c r="A159" i="49"/>
  <c r="A111" i="49"/>
  <c r="A109" i="49"/>
  <c r="A240" i="49"/>
  <c r="A233" i="49"/>
  <c r="A315" i="49"/>
  <c r="A59" i="49"/>
  <c r="A142" i="49"/>
  <c r="A82" i="49"/>
  <c r="A309" i="49"/>
  <c r="A53" i="49"/>
  <c r="A135" i="49"/>
  <c r="A218" i="49"/>
  <c r="A204" i="49"/>
  <c r="A209" i="49"/>
  <c r="A291" i="49"/>
  <c r="A108" i="49"/>
  <c r="A102" i="49"/>
  <c r="A180" i="49"/>
  <c r="A303" i="49"/>
  <c r="A100" i="49"/>
  <c r="A226" i="49"/>
  <c r="A200" i="49"/>
  <c r="A89" i="49"/>
  <c r="A171" i="49"/>
  <c r="A254" i="49"/>
  <c r="A258" i="49"/>
  <c r="A320" i="49"/>
  <c r="A165" i="49"/>
  <c r="A247" i="49"/>
  <c r="A44" i="49"/>
  <c r="A74" i="49"/>
  <c r="A321" i="49"/>
  <c r="A65" i="49"/>
  <c r="A147" i="49"/>
  <c r="A214" i="49"/>
  <c r="A48" i="49"/>
  <c r="A205" i="49"/>
  <c r="A228" i="49"/>
  <c r="A33" i="49"/>
  <c r="A11" i="49"/>
  <c r="A19" i="49"/>
  <c r="A25" i="49"/>
  <c r="A10" i="49"/>
  <c r="A27" i="49"/>
  <c r="A17" i="49"/>
  <c r="L10" i="9"/>
  <c r="M10" i="9" s="1"/>
  <c r="L8" i="9"/>
  <c r="M8" i="9" s="1"/>
  <c r="L6" i="9"/>
  <c r="K158" i="33"/>
  <c r="E7" i="9" s="1"/>
  <c r="D156" i="33"/>
  <c r="L7" i="9" l="1"/>
  <c r="M7" i="9" s="1"/>
  <c r="R15" i="33"/>
  <c r="B26" i="84"/>
  <c r="L5" i="9"/>
  <c r="M5" i="9" s="1"/>
  <c r="R14" i="33" l="1"/>
  <c r="R6" i="33"/>
  <c r="R13" i="33"/>
  <c r="R12" i="33"/>
  <c r="R158" i="33"/>
  <c r="R10" i="33"/>
  <c r="R8" i="33"/>
  <c r="R9" i="33"/>
  <c r="R11" i="33"/>
  <c r="R7" i="33"/>
  <c r="E9" i="9"/>
  <c r="L9" i="9" s="1"/>
  <c r="M9" i="9" s="1"/>
  <c r="R157" i="33"/>
  <c r="R163" i="33"/>
  <c r="R5" i="33"/>
  <c r="R160" i="33"/>
  <c r="R159" i="33"/>
  <c r="B20" i="84"/>
  <c r="C22" i="84"/>
  <c r="B24" i="84"/>
  <c r="C24" i="84"/>
  <c r="B22" i="84"/>
  <c r="C26" i="84"/>
  <c r="C20" i="84"/>
  <c r="M6" i="9"/>
  <c r="Q22" i="84"/>
  <c r="I24" i="84"/>
  <c r="Q24" i="84"/>
  <c r="I22" i="84"/>
  <c r="F26" i="84"/>
  <c r="G24" i="84"/>
  <c r="K26" i="84"/>
  <c r="N24" i="84"/>
  <c r="U24" i="84"/>
  <c r="J26" i="84"/>
  <c r="H22" i="84"/>
  <c r="T26" i="84"/>
  <c r="L24" i="84"/>
  <c r="S24" i="84"/>
  <c r="R22" i="84"/>
  <c r="E22" i="84"/>
  <c r="F24" i="84"/>
  <c r="P24" i="84"/>
  <c r="K24" i="84"/>
  <c r="O22" i="84"/>
  <c r="U22" i="84"/>
  <c r="J24" i="84"/>
  <c r="M24" i="84"/>
  <c r="T24" i="84"/>
  <c r="L22" i="84"/>
  <c r="D24" i="84"/>
  <c r="R26" i="84"/>
  <c r="E24" i="84"/>
  <c r="Q26" i="84"/>
  <c r="G22" i="84"/>
  <c r="P22" i="84"/>
  <c r="N22" i="84"/>
  <c r="O26" i="84"/>
  <c r="U26" i="84"/>
  <c r="H26" i="84"/>
  <c r="M22" i="84"/>
  <c r="T22" i="84"/>
  <c r="S22" i="84"/>
  <c r="D22" i="84"/>
  <c r="R24" i="84"/>
  <c r="I26" i="84"/>
  <c r="F22" i="84"/>
  <c r="G26" i="84"/>
  <c r="K22" i="84"/>
  <c r="N26" i="84"/>
  <c r="O24" i="84"/>
  <c r="J22" i="84"/>
  <c r="H24" i="84"/>
  <c r="M26" i="84"/>
  <c r="L26" i="84"/>
  <c r="S26" i="84"/>
  <c r="D26" i="84"/>
  <c r="E26" i="84"/>
  <c r="P26" i="84"/>
  <c r="T20" i="84"/>
  <c r="C28" i="68"/>
  <c r="E28" i="68"/>
  <c r="H26" i="68"/>
  <c r="I26" i="68"/>
  <c r="G26" i="68"/>
  <c r="T26" i="68"/>
  <c r="F20" i="84"/>
  <c r="Q20" i="84"/>
  <c r="Q28" i="68"/>
  <c r="R26" i="68"/>
  <c r="S26" i="68"/>
  <c r="K28" i="68"/>
  <c r="D28" i="68"/>
  <c r="I20" i="84"/>
  <c r="U20" i="84"/>
  <c r="P20" i="84"/>
  <c r="Q26" i="68"/>
  <c r="E26" i="68"/>
  <c r="F28" i="68"/>
  <c r="H28" i="68"/>
  <c r="R20" i="84"/>
  <c r="S20" i="84"/>
  <c r="K26" i="68"/>
  <c r="L20" i="84"/>
  <c r="M28" i="68"/>
  <c r="L26" i="68"/>
  <c r="O28" i="68"/>
  <c r="T28" i="68"/>
  <c r="B28" i="68"/>
  <c r="J26" i="68"/>
  <c r="P26" i="68"/>
  <c r="E20" i="84"/>
  <c r="O20" i="84"/>
  <c r="D26" i="68"/>
  <c r="J20" i="84"/>
  <c r="L28" i="68"/>
  <c r="U28" i="68"/>
  <c r="K20" i="84"/>
  <c r="B26" i="68"/>
  <c r="N26" i="68"/>
  <c r="P28" i="68"/>
  <c r="M20" i="84"/>
  <c r="G20" i="84"/>
  <c r="N20" i="84"/>
  <c r="R28" i="68"/>
  <c r="N28" i="68"/>
  <c r="G28" i="68"/>
  <c r="I28" i="68"/>
  <c r="S28" i="68"/>
  <c r="O26" i="68"/>
  <c r="F26" i="68"/>
  <c r="U26" i="68"/>
  <c r="D20" i="84"/>
  <c r="C26" i="68"/>
  <c r="H20" i="84"/>
  <c r="J28" i="68"/>
  <c r="M26" i="68"/>
  <c r="Q166" i="33"/>
  <c r="Q164" i="33"/>
  <c r="Q165" i="33"/>
  <c r="Q158" i="33"/>
  <c r="D158" i="33"/>
  <c r="D165" i="33"/>
  <c r="D166" i="33"/>
  <c r="D164" i="33" l="1"/>
  <c r="Q157" i="33"/>
  <c r="D157" i="33" l="1"/>
  <c r="Q163" i="33"/>
  <c r="Q162" i="33"/>
  <c r="Q160" i="33"/>
  <c r="Q159" i="33"/>
  <c r="Q161" i="33"/>
  <c r="D163" i="33"/>
  <c r="D162" i="33"/>
  <c r="D159" i="33"/>
  <c r="D161" i="33" l="1"/>
  <c r="D160" i="33"/>
  <c r="D13" i="4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HCSC</author>
    <author>Steve Cierniak</author>
    <author>Cara Gilmore</author>
    <author>HCSC User</author>
  </authors>
  <commentList>
    <comment ref="B4" authorId="0" shapeId="0" xr:uid="{00000000-0006-0000-0000-000001000000}">
      <text>
        <r>
          <rPr>
            <b/>
            <u/>
            <sz val="8"/>
            <color indexed="81"/>
            <rFont val="Tahoma"/>
            <family val="2"/>
          </rPr>
          <t>Color Codes:</t>
        </r>
        <r>
          <rPr>
            <sz val="8"/>
            <color indexed="81"/>
            <rFont val="Tahoma"/>
            <family val="2"/>
          </rPr>
          <t xml:space="preserve">
Black -    Tab Not Required
Orange - Unsure whether Tab is required, requires additional research
Red -     Tab required &amp; Status:  have not started to compile data
Yellow - Tab required &amp; Status:  started to compile data, still researching issues
Blue -    Tab required &amp; Status:  Data compilation is complete
Green - Tab required &amp; Status:  data compilation is reviewed</t>
        </r>
      </text>
    </comment>
    <comment ref="F4" authorId="0" shapeId="0" xr:uid="{00000000-0006-0000-0000-000002000000}">
      <text>
        <r>
          <rPr>
            <b/>
            <sz val="8"/>
            <color indexed="81"/>
            <rFont val="Tahoma"/>
            <family val="2"/>
          </rPr>
          <t>HCSC:</t>
        </r>
      </text>
    </comment>
    <comment ref="G4" authorId="1" shapeId="0" xr:uid="{00000000-0006-0000-0000-000003000000}">
      <text>
        <r>
          <rPr>
            <b/>
            <sz val="9"/>
            <color indexed="81"/>
            <rFont val="Tahoma"/>
            <family val="2"/>
          </rPr>
          <t>Team Group Email:</t>
        </r>
        <r>
          <rPr>
            <sz val="9"/>
            <color indexed="81"/>
            <rFont val="Tahoma"/>
            <family val="2"/>
          </rPr>
          <t xml:space="preserve">
These are the actual Team Distribution List email names (in Blue)
</t>
        </r>
      </text>
    </comment>
    <comment ref="I4" authorId="1" shapeId="0" xr:uid="{00000000-0006-0000-0000-000004000000}">
      <text>
        <r>
          <rPr>
            <b/>
            <sz val="9"/>
            <color indexed="81"/>
            <rFont val="Tahoma"/>
            <family val="2"/>
          </rPr>
          <t>ISE Onboarding Signoff:
*Project Details</t>
        </r>
        <r>
          <rPr>
            <sz val="9"/>
            <color indexed="81"/>
            <rFont val="Tahoma"/>
            <family val="2"/>
          </rPr>
          <t xml:space="preserve"> is signed of by APP owner or representative of APP owner.
*</t>
        </r>
        <r>
          <rPr>
            <b/>
            <sz val="9"/>
            <color indexed="81"/>
            <rFont val="Tahoma"/>
            <family val="2"/>
          </rPr>
          <t>All other Onoarding  tabs:</t>
        </r>
        <r>
          <rPr>
            <sz val="9"/>
            <color indexed="81"/>
            <rFont val="Tahoma"/>
            <family val="2"/>
          </rPr>
          <t xml:space="preserve"> must be signed off by the accpeting representative of the team owning the onboarding form.</t>
        </r>
      </text>
    </comment>
    <comment ref="A6" authorId="1" shapeId="0" xr:uid="{00000000-0006-0000-0000-000005000000}">
      <text>
        <r>
          <rPr>
            <b/>
            <sz val="9"/>
            <color indexed="81"/>
            <rFont val="Tahoma"/>
            <family val="2"/>
          </rPr>
          <t>Project Details:  (on-boarding form)</t>
        </r>
        <r>
          <rPr>
            <sz val="9"/>
            <color indexed="81"/>
            <rFont val="Tahoma"/>
            <family val="2"/>
          </rPr>
          <t xml:space="preserve">
To be completed by Application Team / Project Manager, reviewed during ISE review.</t>
        </r>
      </text>
    </comment>
    <comment ref="C6" authorId="1" shapeId="0" xr:uid="{00000000-0006-0000-0000-000006000000}">
      <text>
        <r>
          <rPr>
            <b/>
            <sz val="9"/>
            <color indexed="81"/>
            <rFont val="Tahoma"/>
            <family val="2"/>
          </rPr>
          <t>Project Details:
Always Required!</t>
        </r>
        <r>
          <rPr>
            <sz val="9"/>
            <color indexed="81"/>
            <rFont val="Tahoma"/>
            <family val="2"/>
          </rPr>
          <t xml:space="preserve">
</t>
        </r>
      </text>
    </comment>
    <comment ref="A9" authorId="1" shapeId="0" xr:uid="{00000000-0006-0000-0000-000007000000}">
      <text>
        <r>
          <rPr>
            <b/>
            <sz val="9"/>
            <color indexed="81"/>
            <rFont val="Tahoma"/>
            <family val="2"/>
          </rPr>
          <t>Siteminder:</t>
        </r>
        <r>
          <rPr>
            <sz val="9"/>
            <color indexed="81"/>
            <rFont val="Tahoma"/>
            <family val="2"/>
          </rPr>
          <t xml:space="preserve">
</t>
        </r>
        <r>
          <rPr>
            <b/>
            <u/>
            <sz val="9"/>
            <color indexed="81"/>
            <rFont val="Tahoma"/>
            <family val="2"/>
          </rPr>
          <t>Tabs and SME's required:</t>
        </r>
        <r>
          <rPr>
            <sz val="9"/>
            <color indexed="81"/>
            <rFont val="Tahoma"/>
            <family val="2"/>
          </rPr>
          <t xml:space="preserve">
IS A&amp;A Tab - Joe Farrah - IS   
IHS Tab -       Feroz Syed - Websphere
LDAP -           Rob Avona - LDAP</t>
        </r>
      </text>
    </comment>
    <comment ref="C9" authorId="1" shapeId="0" xr:uid="{00000000-0006-0000-0000-000008000000}">
      <text>
        <r>
          <rPr>
            <b/>
            <sz val="9"/>
            <color indexed="81"/>
            <rFont val="Tahoma"/>
            <family val="2"/>
          </rPr>
          <t>Siteminder:</t>
        </r>
        <r>
          <rPr>
            <sz val="9"/>
            <color indexed="81"/>
            <rFont val="Tahoma"/>
            <family val="2"/>
          </rPr>
          <t xml:space="preserve">
This named Cell is a trigger for Siteminder required Tabs / Cells</t>
        </r>
      </text>
    </comment>
    <comment ref="A10" authorId="1" shapeId="0" xr:uid="{00000000-0006-0000-0000-000009000000}">
      <text>
        <r>
          <rPr>
            <b/>
            <sz val="9"/>
            <color indexed="81"/>
            <rFont val="Tahoma"/>
            <family val="2"/>
          </rPr>
          <t>NAS - Network Attached  Storage:</t>
        </r>
        <r>
          <rPr>
            <sz val="9"/>
            <color indexed="81"/>
            <rFont val="Tahoma"/>
            <family val="2"/>
          </rPr>
          <t xml:space="preserve">
To be completed with application team during ISE Design meeting .
</t>
        </r>
        <r>
          <rPr>
            <b/>
            <sz val="9"/>
            <color indexed="10"/>
            <rFont val="Tahoma"/>
            <family val="2"/>
          </rPr>
          <t>Sign off required by:
SAN Team: ( Cindy Russo,  Michael Wealther, Patrick Flaherty)</t>
        </r>
      </text>
    </comment>
    <comment ref="G10" authorId="1" shapeId="0" xr:uid="{00000000-0006-0000-0000-00000A000000}">
      <text>
        <r>
          <rPr>
            <b/>
            <sz val="9"/>
            <color indexed="81"/>
            <rFont val="Tahoma"/>
            <family val="2"/>
          </rPr>
          <t xml:space="preserve">NAS - Network Attached  Storage:
</t>
        </r>
        <r>
          <rPr>
            <sz val="9"/>
            <color indexed="81"/>
            <rFont val="Tahoma"/>
            <family val="2"/>
          </rPr>
          <t xml:space="preserve">
To be completed with application team during ISE Design meeting .
SAN/NAS Team: Michael Wealther, Vladimir Rosenbaum
</t>
        </r>
      </text>
    </comment>
    <comment ref="A11" authorId="1" shapeId="0" xr:uid="{00000000-0006-0000-0000-00000B000000}">
      <text>
        <r>
          <rPr>
            <b/>
            <sz val="9"/>
            <color indexed="81"/>
            <rFont val="Tahoma"/>
            <family val="2"/>
          </rPr>
          <t>Middleware - Web  (on-boarding form):</t>
        </r>
        <r>
          <rPr>
            <sz val="9"/>
            <color indexed="81"/>
            <rFont val="Tahoma"/>
            <family val="2"/>
          </rPr>
          <t xml:space="preserve">
To be completed by application team and project manager, reviewed during ISE review meeting .
</t>
        </r>
        <r>
          <rPr>
            <b/>
            <sz val="9"/>
            <color indexed="10"/>
            <rFont val="Tahoma"/>
            <family val="2"/>
          </rPr>
          <t>Sign off required by Middleware - Web SME.</t>
        </r>
      </text>
    </comment>
    <comment ref="C11" authorId="1" shapeId="0" xr:uid="{00000000-0006-0000-0000-00000C000000}">
      <text>
        <r>
          <rPr>
            <b/>
            <sz val="9"/>
            <color indexed="81"/>
            <rFont val="Tahoma"/>
            <family val="2"/>
          </rPr>
          <t>Websphere:</t>
        </r>
        <r>
          <rPr>
            <sz val="9"/>
            <color indexed="81"/>
            <rFont val="Tahoma"/>
            <family val="2"/>
          </rPr>
          <t xml:space="preserve">
This named cell is a trigger for Websphere Required Tabs and/or Cells</t>
        </r>
      </text>
    </comment>
    <comment ref="F11" authorId="1" shapeId="0" xr:uid="{00000000-0006-0000-0000-00000D000000}">
      <text>
        <r>
          <rPr>
            <b/>
            <sz val="9"/>
            <color indexed="81"/>
            <rFont val="Tahoma"/>
            <family val="2"/>
          </rPr>
          <t>Middleware - Web Resources:</t>
        </r>
        <r>
          <rPr>
            <sz val="9"/>
            <color indexed="81"/>
            <rFont val="Tahoma"/>
            <family val="2"/>
          </rPr>
          <t xml:space="preserve">
SiteMinder - Feroz Syed
Web - Primary: Perwaize Ahmed
Secondary: Anuradha Subramanian
WILY, Dynatrace - Randy Howarth</t>
        </r>
      </text>
    </comment>
    <comment ref="G11" authorId="1" shapeId="0" xr:uid="{00000000-0006-0000-0000-00000E000000}">
      <text>
        <r>
          <rPr>
            <b/>
            <sz val="9"/>
            <color indexed="81"/>
            <rFont val="Tahoma"/>
            <family val="2"/>
          </rPr>
          <t xml:space="preserve">Middleware - Web Resources:
</t>
        </r>
        <r>
          <rPr>
            <sz val="9"/>
            <color indexed="81"/>
            <rFont val="Tahoma"/>
            <family val="2"/>
          </rPr>
          <t xml:space="preserve">SiteMinder - Feroz Syed
Web - Gary Aguilar, Ashok Kanaparthi, 
HCL_Middleware_WebApps
WILY, Dynatrace - Randy Howarth
</t>
        </r>
      </text>
    </comment>
    <comment ref="A12" authorId="1" shapeId="0" xr:uid="{00000000-0006-0000-0000-00000F000000}">
      <text>
        <r>
          <rPr>
            <b/>
            <sz val="9"/>
            <color indexed="81"/>
            <rFont val="Tahoma"/>
            <family val="2"/>
          </rPr>
          <t>New Database Request:  (on-boarding form)</t>
        </r>
        <r>
          <rPr>
            <sz val="9"/>
            <color indexed="81"/>
            <rFont val="Tahoma"/>
            <family val="2"/>
          </rPr>
          <t xml:space="preserve">
To be completed by application team, reviewed during ISE review.
DBA's are typically assigned during the engagement process.
For GO projects, typically will need to ask for a DBA assignment.
</t>
        </r>
        <r>
          <rPr>
            <b/>
            <sz val="9"/>
            <color indexed="10"/>
            <rFont val="Tahoma"/>
            <family val="2"/>
          </rPr>
          <t>Sign off required by Database  SME.</t>
        </r>
      </text>
    </comment>
    <comment ref="G12" authorId="1" shapeId="0" xr:uid="{00000000-0006-0000-0000-000010000000}">
      <text>
        <r>
          <rPr>
            <b/>
            <sz val="9"/>
            <color indexed="81"/>
            <rFont val="Tahoma"/>
            <family val="2"/>
          </rPr>
          <t xml:space="preserve">Database Request:
</t>
        </r>
        <r>
          <rPr>
            <sz val="9"/>
            <color indexed="81"/>
            <rFont val="Tahoma"/>
            <family val="2"/>
          </rPr>
          <t xml:space="preserve">Work with the DBA assigned throught the SDM engagement process.
</t>
        </r>
      </text>
    </comment>
    <comment ref="A13" authorId="1" shapeId="0" xr:uid="{00000000-0006-0000-0000-000011000000}">
      <text>
        <r>
          <rPr>
            <b/>
            <sz val="9"/>
            <color indexed="81"/>
            <rFont val="Tahoma"/>
            <family val="2"/>
          </rPr>
          <t>SQL - TSM OPT File Refresh:  (on-boarding form)</t>
        </r>
        <r>
          <rPr>
            <sz val="9"/>
            <color indexed="81"/>
            <rFont val="Tahoma"/>
            <family val="2"/>
          </rPr>
          <t xml:space="preserve">
Only required when refreshing a SQL Database, including moving a database from one server to another.
Requires DBA and Application Represntative input.
</t>
        </r>
        <r>
          <rPr>
            <b/>
            <sz val="9"/>
            <color indexed="10"/>
            <rFont val="Tahoma"/>
            <family val="2"/>
          </rPr>
          <t>Sign off required by Database  SME &amp; TSM SME.</t>
        </r>
      </text>
    </comment>
    <comment ref="G13" authorId="1" shapeId="0" xr:uid="{00000000-0006-0000-0000-000012000000}">
      <text>
        <r>
          <rPr>
            <b/>
            <sz val="9"/>
            <color indexed="81"/>
            <rFont val="Tahoma"/>
            <family val="2"/>
          </rPr>
          <t xml:space="preserve">OPT File Refresh:
</t>
        </r>
        <r>
          <rPr>
            <sz val="9"/>
            <color indexed="81"/>
            <rFont val="Tahoma"/>
            <family val="2"/>
          </rPr>
          <t>SQL: DBA
TSM: Oscar Ramirez</t>
        </r>
      </text>
    </comment>
    <comment ref="A14" authorId="1" shapeId="0" xr:uid="{00000000-0006-0000-0000-000013000000}">
      <text>
        <r>
          <rPr>
            <b/>
            <sz val="9"/>
            <color indexed="81"/>
            <rFont val="Tahoma"/>
            <family val="2"/>
          </rPr>
          <t>I / S Authentication and Authorization:</t>
        </r>
        <r>
          <rPr>
            <sz val="9"/>
            <color indexed="81"/>
            <rFont val="Tahoma"/>
            <family val="2"/>
          </rPr>
          <t xml:space="preserve">
</t>
        </r>
        <r>
          <rPr>
            <b/>
            <sz val="9"/>
            <color indexed="81"/>
            <rFont val="Tahoma"/>
            <family val="2"/>
          </rPr>
          <t xml:space="preserve"> (on-boarding form)</t>
        </r>
        <r>
          <rPr>
            <sz val="9"/>
            <color indexed="81"/>
            <rFont val="Tahoma"/>
            <family val="2"/>
          </rPr>
          <t xml:space="preserve">
To be completed by application team and project manager with IS SME, reviewed at ISE review meeting.
</t>
        </r>
        <r>
          <rPr>
            <b/>
            <sz val="9"/>
            <color indexed="10"/>
            <rFont val="Tahoma"/>
            <family val="2"/>
          </rPr>
          <t>Sign off required by IS SME.</t>
        </r>
      </text>
    </comment>
    <comment ref="G14" authorId="1" shapeId="0" xr:uid="{00000000-0006-0000-0000-000014000000}">
      <text>
        <r>
          <rPr>
            <b/>
            <sz val="9"/>
            <color indexed="81"/>
            <rFont val="Tahoma"/>
            <family val="2"/>
          </rPr>
          <t>Siteminder:</t>
        </r>
        <r>
          <rPr>
            <sz val="9"/>
            <color indexed="81"/>
            <rFont val="Tahoma"/>
            <family val="2"/>
          </rPr>
          <t xml:space="preserve">
</t>
        </r>
        <r>
          <rPr>
            <sz val="9"/>
            <color indexed="81"/>
            <rFont val="Tahoma"/>
            <family val="2"/>
          </rPr>
          <t xml:space="preserve">
IS A&amp;A Tab - Joe Farrah - IS   
IHS Tab -       Feroz Syed - Websphere
LDAP -           Rob Avona - LDAP</t>
        </r>
      </text>
    </comment>
    <comment ref="A15" authorId="1" shapeId="0" xr:uid="{00000000-0006-0000-0000-000015000000}">
      <text>
        <r>
          <rPr>
            <b/>
            <sz val="9"/>
            <color indexed="81"/>
            <rFont val="Tahoma"/>
            <family val="2"/>
          </rPr>
          <t>ITAM Request Form:</t>
        </r>
        <r>
          <rPr>
            <sz val="9"/>
            <color indexed="81"/>
            <rFont val="Tahoma"/>
            <family val="2"/>
          </rPr>
          <t xml:space="preserve">
To be completed during ISE.</t>
        </r>
      </text>
    </comment>
    <comment ref="A16" authorId="1" shapeId="0" xr:uid="{00000000-0006-0000-0000-000016000000}">
      <text>
        <r>
          <rPr>
            <b/>
            <sz val="9"/>
            <color indexed="81"/>
            <rFont val="Tahoma"/>
            <family val="2"/>
          </rPr>
          <t xml:space="preserve">MainFrame Scope of Work:
</t>
        </r>
        <r>
          <rPr>
            <sz val="9"/>
            <color indexed="81"/>
            <rFont val="Tahoma"/>
            <family val="2"/>
          </rPr>
          <t xml:space="preserve">
To be completed by application team and project manager with MainFrame SME &amp; reviewed at ISE review meeting.
Selecting Yes or Undetermined, will enable the remaining "hidden" MainFrame Tabs.
</t>
        </r>
        <r>
          <rPr>
            <b/>
            <sz val="9"/>
            <color indexed="10"/>
            <rFont val="Tahoma"/>
            <family val="2"/>
          </rPr>
          <t>Sign off required by MF SME.</t>
        </r>
      </text>
    </comment>
    <comment ref="C16" authorId="1" shapeId="0" xr:uid="{00000000-0006-0000-0000-000017000000}">
      <text>
        <r>
          <rPr>
            <b/>
            <sz val="9"/>
            <color indexed="81"/>
            <rFont val="Tahoma"/>
            <family val="2"/>
          </rPr>
          <t xml:space="preserve">MF -  Scope of Work:
</t>
        </r>
        <r>
          <rPr>
            <sz val="9"/>
            <color indexed="81"/>
            <rFont val="Tahoma"/>
            <family val="2"/>
          </rPr>
          <t xml:space="preserve">This named cell is a "trigger" for Mainframe Tabs requiring Mainframe.
Selecting Yes or Undetermined will enable the remaining Mainframe tabs.
</t>
        </r>
      </text>
    </comment>
    <comment ref="G16" authorId="1" shapeId="0" xr:uid="{00000000-0006-0000-0000-000018000000}">
      <text>
        <r>
          <rPr>
            <b/>
            <sz val="9"/>
            <color indexed="81"/>
            <rFont val="Tahoma"/>
            <family val="2"/>
          </rPr>
          <t>MF SME:</t>
        </r>
        <r>
          <rPr>
            <sz val="9"/>
            <color indexed="81"/>
            <rFont val="Tahoma"/>
            <family val="2"/>
          </rPr>
          <t xml:space="preserve">
John Ulrich</t>
        </r>
      </text>
    </comment>
    <comment ref="G17" authorId="1" shapeId="0" xr:uid="{00000000-0006-0000-0000-000019000000}">
      <text>
        <r>
          <rPr>
            <b/>
            <sz val="9"/>
            <color indexed="81"/>
            <rFont val="Tahoma"/>
            <family val="2"/>
          </rPr>
          <t>ETS DB:
Calvin Cohn</t>
        </r>
        <r>
          <rPr>
            <sz val="9"/>
            <color indexed="81"/>
            <rFont val="Tahoma"/>
            <family val="2"/>
          </rPr>
          <t xml:space="preserve">
</t>
        </r>
      </text>
    </comment>
    <comment ref="G18" authorId="1" shapeId="0" xr:uid="{00000000-0006-0000-0000-00001A000000}">
      <text>
        <r>
          <rPr>
            <b/>
            <sz val="9"/>
            <color indexed="81"/>
            <rFont val="Tahoma"/>
            <family val="2"/>
          </rPr>
          <t>CICS:</t>
        </r>
        <r>
          <rPr>
            <sz val="9"/>
            <color indexed="81"/>
            <rFont val="Tahoma"/>
            <family val="2"/>
          </rPr>
          <t xml:space="preserve">
Doyle Skipper</t>
        </r>
      </text>
    </comment>
    <comment ref="G19" authorId="1" shapeId="0" xr:uid="{00000000-0006-0000-0000-00001B000000}">
      <text>
        <r>
          <rPr>
            <b/>
            <sz val="9"/>
            <color indexed="81"/>
            <rFont val="Tahoma"/>
            <family val="2"/>
          </rPr>
          <t>Richards-DB1:</t>
        </r>
        <r>
          <rPr>
            <sz val="9"/>
            <color indexed="81"/>
            <rFont val="Tahoma"/>
            <family val="2"/>
          </rPr>
          <t xml:space="preserve">
Mike Richards</t>
        </r>
      </text>
    </comment>
    <comment ref="G20" authorId="1" shapeId="0" xr:uid="{00000000-0006-0000-0000-00001C000000}">
      <text>
        <r>
          <rPr>
            <b/>
            <sz val="9"/>
            <color indexed="81"/>
            <rFont val="Tahoma"/>
            <family val="2"/>
          </rPr>
          <t>Steve Cierniak:</t>
        </r>
        <r>
          <rPr>
            <sz val="9"/>
            <color indexed="81"/>
            <rFont val="Tahoma"/>
            <family val="2"/>
          </rPr>
          <t xml:space="preserve">
Stu Samuels
</t>
        </r>
      </text>
    </comment>
    <comment ref="G21" authorId="1" shapeId="0" xr:uid="{00000000-0006-0000-0000-00001D000000}">
      <text>
        <r>
          <rPr>
            <b/>
            <sz val="9"/>
            <color indexed="81"/>
            <rFont val="Tahoma"/>
            <family val="2"/>
          </rPr>
          <t>Mainframe Cimmuniations:</t>
        </r>
        <r>
          <rPr>
            <sz val="9"/>
            <color indexed="81"/>
            <rFont val="Tahoma"/>
            <family val="2"/>
          </rPr>
          <t xml:space="preserve">
Dan Coffman</t>
        </r>
      </text>
    </comment>
    <comment ref="G22" authorId="1" shapeId="0" xr:uid="{00000000-0006-0000-0000-00001E000000}">
      <text>
        <r>
          <rPr>
            <b/>
            <sz val="9"/>
            <color indexed="81"/>
            <rFont val="Tahoma"/>
            <family val="2"/>
          </rPr>
          <t>OSSP:</t>
        </r>
        <r>
          <rPr>
            <sz val="9"/>
            <color indexed="81"/>
            <rFont val="Tahoma"/>
            <family val="2"/>
          </rPr>
          <t xml:space="preserve">
Mike Curtis</t>
        </r>
      </text>
    </comment>
    <comment ref="B24" authorId="0" shapeId="0" xr:uid="{00000000-0006-0000-0000-00001F000000}">
      <text>
        <r>
          <rPr>
            <b/>
            <u/>
            <sz val="8"/>
            <color indexed="81"/>
            <rFont val="Tahoma"/>
            <family val="2"/>
          </rPr>
          <t>Color Codes:</t>
        </r>
        <r>
          <rPr>
            <sz val="8"/>
            <color indexed="81"/>
            <rFont val="Tahoma"/>
            <family val="2"/>
          </rPr>
          <t xml:space="preserve">
Black -    Tab Not Required
Orange - Unsure whether Tab is required, requires additional research
Red -     Tab required &amp; Status:  have not started to compile data
Yellow - Tab required &amp; Status:  started to compile data, still researching issues
Blue -    Tabrequired &amp; Status:  Data compilation is complete
Green - Tab required &amp; Status:  data compilation is reviewed</t>
        </r>
      </text>
    </comment>
    <comment ref="F24" authorId="0" shapeId="0" xr:uid="{00000000-0006-0000-0000-000020000000}">
      <text>
        <r>
          <rPr>
            <b/>
            <sz val="8"/>
            <color indexed="81"/>
            <rFont val="Tahoma"/>
            <family val="2"/>
          </rPr>
          <t>HCSC:</t>
        </r>
      </text>
    </comment>
    <comment ref="G24" authorId="1" shapeId="0" xr:uid="{00000000-0006-0000-0000-000021000000}">
      <text>
        <r>
          <rPr>
            <b/>
            <sz val="9"/>
            <color indexed="81"/>
            <rFont val="Tahoma"/>
            <family val="2"/>
          </rPr>
          <t>Team Grooup email:</t>
        </r>
        <r>
          <rPr>
            <sz val="9"/>
            <color indexed="81"/>
            <rFont val="Tahoma"/>
            <family val="2"/>
          </rPr>
          <t xml:space="preserve">
Please refer to SME Matrix Under Planning in Document Library</t>
        </r>
      </text>
    </comment>
    <comment ref="I24" authorId="1" shapeId="0" xr:uid="{00000000-0006-0000-0000-000022000000}">
      <text>
        <r>
          <rPr>
            <b/>
            <sz val="9"/>
            <color indexed="81"/>
            <rFont val="Tahoma"/>
            <family val="2"/>
          </rPr>
          <t>ISE Onboarding Signoff:
*Project Details</t>
        </r>
        <r>
          <rPr>
            <sz val="9"/>
            <color indexed="81"/>
            <rFont val="Tahoma"/>
            <family val="2"/>
          </rPr>
          <t xml:space="preserve"> is signed of by APP owner or representative of APP owner.
*</t>
        </r>
        <r>
          <rPr>
            <b/>
            <sz val="9"/>
            <color indexed="81"/>
            <rFont val="Tahoma"/>
            <family val="2"/>
          </rPr>
          <t>All other Onoarding  tabs:</t>
        </r>
        <r>
          <rPr>
            <sz val="9"/>
            <color indexed="81"/>
            <rFont val="Tahoma"/>
            <family val="2"/>
          </rPr>
          <t xml:space="preserve"> must be signed off by the accpeting representative of the team owning the onboarding form.</t>
        </r>
      </text>
    </comment>
    <comment ref="J24" authorId="1" shapeId="0" xr:uid="{00000000-0006-0000-0000-000023000000}">
      <text>
        <r>
          <rPr>
            <b/>
            <sz val="9"/>
            <color indexed="81"/>
            <rFont val="Tahoma"/>
            <family val="2"/>
          </rPr>
          <t>Budget signoff:</t>
        </r>
        <r>
          <rPr>
            <sz val="9"/>
            <color indexed="81"/>
            <rFont val="Tahoma"/>
            <family val="2"/>
          </rPr>
          <t xml:space="preserve">
Only required if Change from SD &amp; D Design
Budget estimate is greater then 10 % ????</t>
        </r>
      </text>
    </comment>
    <comment ref="A25" authorId="1" shapeId="0" xr:uid="{00000000-0006-0000-0000-000024000000}">
      <text>
        <r>
          <rPr>
            <b/>
            <sz val="9"/>
            <color indexed="81"/>
            <rFont val="Tahoma"/>
            <family val="2"/>
          </rPr>
          <t xml:space="preserve">Infrastructure Estimate Summary:
</t>
        </r>
        <r>
          <rPr>
            <sz val="9"/>
            <color indexed="81"/>
            <rFont val="Tahoma"/>
            <family val="2"/>
          </rPr>
          <t xml:space="preserve">Summarized Infrastructure cost esitmates the project team will incur against the project budget.
</t>
        </r>
      </text>
    </comment>
    <comment ref="A26" authorId="1" shapeId="0" xr:uid="{00000000-0006-0000-0000-000025000000}">
      <text>
        <r>
          <rPr>
            <b/>
            <sz val="9"/>
            <color indexed="81"/>
            <rFont val="Tahoma"/>
            <family val="2"/>
          </rPr>
          <t xml:space="preserve">Software Licensing Estimate Summary:
</t>
        </r>
        <r>
          <rPr>
            <sz val="9"/>
            <color indexed="81"/>
            <rFont val="Tahoma"/>
            <family val="2"/>
          </rPr>
          <t xml:space="preserve">Summarized Software (Middleware) cost esitmates. These are listed for general awareness.
</t>
        </r>
      </text>
    </comment>
    <comment ref="B27" authorId="0" shapeId="0" xr:uid="{00000000-0006-0000-0000-000026000000}">
      <text>
        <r>
          <rPr>
            <b/>
            <u/>
            <sz val="8"/>
            <color indexed="81"/>
            <rFont val="Tahoma"/>
            <family val="2"/>
          </rPr>
          <t>Color Codes:</t>
        </r>
        <r>
          <rPr>
            <sz val="8"/>
            <color indexed="81"/>
            <rFont val="Tahoma"/>
            <family val="2"/>
          </rPr>
          <t xml:space="preserve">
Black -    Tab Not Required
Orange - Unsure whether Tab is required, requires additional research
Red -     Tab required &amp; Status:  have not started to compile data
Yellow - Tab required &amp; Status:  started to compile data, still researching issues
Blue -    Tabrequired &amp; Status:  Data compilation is complete
Green - Tab required &amp; Status:  data compilation is reviewed</t>
        </r>
      </text>
    </comment>
    <comment ref="I27" authorId="1" shapeId="0" xr:uid="{00000000-0006-0000-0000-000027000000}">
      <text>
        <r>
          <rPr>
            <b/>
            <sz val="9"/>
            <color indexed="81"/>
            <rFont val="Tahoma"/>
            <family val="2"/>
          </rPr>
          <t>SD &amp; D Design: Onboarding Provisioning Notes - Distributed Assets Signoff:
*Provisioning Notes:</t>
        </r>
        <r>
          <rPr>
            <sz val="9"/>
            <color indexed="81"/>
            <rFont val="Tahoma"/>
            <family val="2"/>
          </rPr>
          <t xml:space="preserve"> are extra notes that don't fit on any infrstructure tab, but are important and need to be noted. 
They are signed of by APP owner or representative of APP owner.
</t>
        </r>
        <r>
          <rPr>
            <b/>
            <sz val="9"/>
            <color indexed="81"/>
            <rFont val="Tahoma"/>
            <family val="2"/>
          </rPr>
          <t>*Distributed Assets:</t>
        </r>
        <r>
          <rPr>
            <sz val="9"/>
            <color indexed="81"/>
            <rFont val="Tahoma"/>
            <family val="2"/>
          </rPr>
          <t xml:space="preserve"> must be signed off by the accepting representative of all infrastructure teams involved with the assets, (VM, Windows, Open systems, Storage) as applicable, and the Application Owner or a representative for the app owner.</t>
        </r>
      </text>
    </comment>
    <comment ref="A28" authorId="1" shapeId="0" xr:uid="{00000000-0006-0000-0000-000028000000}">
      <text>
        <r>
          <rPr>
            <b/>
            <sz val="9"/>
            <color indexed="81"/>
            <rFont val="Tahoma"/>
            <family val="2"/>
          </rPr>
          <t xml:space="preserve">Provisioning Notes:
</t>
        </r>
        <r>
          <rPr>
            <sz val="9"/>
            <color indexed="81"/>
            <rFont val="Tahoma"/>
            <family val="2"/>
          </rPr>
          <t xml:space="preserve">Record Special Instructions that don't fit on the specific Tabs.
</t>
        </r>
      </text>
    </comment>
    <comment ref="B31" authorId="0" shapeId="0" xr:uid="{00000000-0006-0000-0000-000029000000}">
      <text>
        <r>
          <rPr>
            <b/>
            <u/>
            <sz val="8"/>
            <color indexed="81"/>
            <rFont val="Tahoma"/>
            <family val="2"/>
          </rPr>
          <t>Color Codes:</t>
        </r>
        <r>
          <rPr>
            <sz val="8"/>
            <color indexed="81"/>
            <rFont val="Tahoma"/>
            <family val="2"/>
          </rPr>
          <t xml:space="preserve">
Black -    Tab Not Required
Orange - Unsure whether Tab is required, requires additional research
Red -     Tab required &amp; Status:  have not started to compile data
Yellow - Tab required &amp; Status:  started to compile data, still researching issues
Blue -    Tabrequired &amp; Status:  Data compilation is complete
Green - Tab required &amp; Status:  data compilation is reviewed</t>
        </r>
      </text>
    </comment>
    <comment ref="A35" authorId="1" shapeId="0" xr:uid="{00000000-0006-0000-0000-00002A000000}">
      <text>
        <r>
          <rPr>
            <b/>
            <sz val="9"/>
            <color indexed="81"/>
            <rFont val="Tahoma"/>
            <family val="2"/>
          </rPr>
          <t xml:space="preserve">Windows HTTP/FTP:
</t>
        </r>
        <r>
          <rPr>
            <sz val="9"/>
            <color indexed="81"/>
            <rFont val="Tahoma"/>
            <family val="2"/>
          </rPr>
          <t>Requires APP Name in Project Details.</t>
        </r>
        <r>
          <rPr>
            <sz val="9"/>
            <color indexed="81"/>
            <rFont val="Tahoma"/>
            <family val="2"/>
          </rPr>
          <t xml:space="preserve">
</t>
        </r>
      </text>
    </comment>
    <comment ref="C35" authorId="1" shapeId="0" xr:uid="{00000000-0006-0000-0000-00002B000000}">
      <text>
        <r>
          <rPr>
            <b/>
            <sz val="9"/>
            <color indexed="81"/>
            <rFont val="Tahoma"/>
            <family val="2"/>
          </rPr>
          <t xml:space="preserve">Windows HTTP/FTP:
</t>
        </r>
        <r>
          <rPr>
            <sz val="9"/>
            <color indexed="81"/>
            <rFont val="Tahoma"/>
            <family val="2"/>
          </rPr>
          <t>This initial value is determined by Windows Tab IIS selection.</t>
        </r>
      </text>
    </comment>
    <comment ref="A38" authorId="0" shapeId="0" xr:uid="{00000000-0006-0000-0000-00002C000000}">
      <text>
        <r>
          <rPr>
            <b/>
            <sz val="8"/>
            <color indexed="81"/>
            <rFont val="Tahoma"/>
            <family val="2"/>
          </rPr>
          <t>HCSC:</t>
        </r>
        <r>
          <rPr>
            <sz val="8"/>
            <color indexed="81"/>
            <rFont val="Tahoma"/>
            <family val="2"/>
          </rPr>
          <t xml:space="preserve">
Need VM Team to evaluate whenever VM Hosts are listed on the Distributed Assets Tab, to determine whether adequate resources are available. (SAN, RAM, CPU)
When needed, please update the Distributed Assets &amp; Storage tabs as needed to depict additonal resources required for ESX Hosts.
There is no VM - ESX Hosts tab.  This is here to prompt to get signoff from that team, when needed.</t>
        </r>
      </text>
    </comment>
    <comment ref="C38" authorId="1" shapeId="0" xr:uid="{00000000-0006-0000-0000-00002D000000}">
      <text>
        <r>
          <rPr>
            <b/>
            <sz val="9"/>
            <color indexed="81"/>
            <rFont val="Tahoma"/>
            <family val="2"/>
          </rPr>
          <t>ESX Virtual Hosts:</t>
        </r>
        <r>
          <rPr>
            <sz val="9"/>
            <color indexed="81"/>
            <rFont val="Tahoma"/>
            <family val="2"/>
          </rPr>
          <t xml:space="preserve">
This initial value is determined by Distributed Assets - VM (Linux, Windows) requested</t>
        </r>
      </text>
    </comment>
    <comment ref="A43" authorId="1" shapeId="0" xr:uid="{00000000-0006-0000-0000-00002E000000}">
      <text>
        <r>
          <rPr>
            <b/>
            <sz val="9"/>
            <color indexed="81"/>
            <rFont val="Tahoma"/>
            <family val="2"/>
          </rPr>
          <t>Fusion IO:</t>
        </r>
        <r>
          <rPr>
            <sz val="9"/>
            <color indexed="81"/>
            <rFont val="Tahoma"/>
            <family val="2"/>
          </rPr>
          <t xml:space="preserve">
Fusion IO is a high performance option primarily recommended forVM  Windows SQL servers.  Its necessity will be advised by the SQL team.
It is identiified on Distributed Assets Tab.
If used, need sign off by Windows, SQL and Virtual Teams.  </t>
        </r>
      </text>
    </comment>
    <comment ref="G43" authorId="1" shapeId="0" xr:uid="{00000000-0006-0000-0000-00002F000000}">
      <text>
        <r>
          <rPr>
            <b/>
            <sz val="9"/>
            <color indexed="81"/>
            <rFont val="Tahoma"/>
            <family val="2"/>
          </rPr>
          <t>Fusion IO Contacts:</t>
        </r>
        <r>
          <rPr>
            <sz val="9"/>
            <color indexed="81"/>
            <rFont val="Tahoma"/>
            <family val="2"/>
          </rPr>
          <t xml:space="preserve">
Windows and SQL:
Steve Zuzevich
</t>
        </r>
      </text>
    </comment>
    <comment ref="A44" authorId="1" shapeId="0" xr:uid="{00000000-0006-0000-0000-000030000000}">
      <text>
        <r>
          <rPr>
            <b/>
            <sz val="9"/>
            <color indexed="81"/>
            <rFont val="Tahoma"/>
            <family val="2"/>
          </rPr>
          <t>Imperva Support:</t>
        </r>
        <r>
          <rPr>
            <sz val="9"/>
            <color indexed="81"/>
            <rFont val="Tahoma"/>
            <family val="2"/>
          </rPr>
          <t xml:space="preserve">
No Associated Tab, Just a sign off.
Guardium will be used with applications that are PHI for DEV, TEST and PROD Database servers on Windows, AIX or Linux.</t>
        </r>
      </text>
    </comment>
    <comment ref="G44" authorId="2" shapeId="0" xr:uid="{00000000-0006-0000-0000-000031000000}">
      <text>
        <r>
          <rPr>
            <sz val="9"/>
            <color indexed="81"/>
            <rFont val="Tahoma"/>
            <family val="2"/>
          </rPr>
          <t xml:space="preserve">guardium_support@bcbsil.com
</t>
        </r>
      </text>
    </comment>
    <comment ref="A45" authorId="0" shapeId="0" xr:uid="{00000000-0006-0000-0000-000032000000}">
      <text>
        <r>
          <rPr>
            <b/>
            <sz val="8"/>
            <color indexed="81"/>
            <rFont val="Tahoma"/>
            <family val="2"/>
          </rPr>
          <t>Zena:
Zena Requirements require App team, TSM &amp;  Zena Team</t>
        </r>
        <r>
          <rPr>
            <sz val="8"/>
            <color indexed="81"/>
            <rFont val="Tahoma"/>
            <family val="2"/>
          </rPr>
          <t xml:space="preserve">
Zena SME sign off is required for Final Review.
</t>
        </r>
      </text>
    </comment>
    <comment ref="C46" authorId="1" shapeId="0" xr:uid="{00000000-0006-0000-0000-000033000000}">
      <text>
        <r>
          <rPr>
            <b/>
            <sz val="9"/>
            <color indexed="81"/>
            <rFont val="Tahoma"/>
            <family val="2"/>
          </rPr>
          <t>IHS Server:</t>
        </r>
        <r>
          <rPr>
            <sz val="9"/>
            <color indexed="81"/>
            <rFont val="Tahoma"/>
            <family val="2"/>
          </rPr>
          <t xml:space="preserve">
Selecting Yes enables Autenticatoin &amp; Authorization Siteminder IHS Section.
 (If Siteminder is used)</t>
        </r>
      </text>
    </comment>
    <comment ref="G47" authorId="1" shapeId="0" xr:uid="{00000000-0006-0000-0000-000034000000}">
      <text>
        <r>
          <rPr>
            <b/>
            <sz val="9"/>
            <color indexed="81"/>
            <rFont val="Tahoma"/>
            <family val="2"/>
          </rPr>
          <t>Information Security:</t>
        </r>
        <r>
          <rPr>
            <sz val="9"/>
            <color indexed="81"/>
            <rFont val="Tahoma"/>
            <family val="2"/>
          </rPr>
          <t xml:space="preserve">
Contacts:
Frank Garcia
Doug Wagner
John Michell</t>
        </r>
      </text>
    </comment>
    <comment ref="H47" authorId="1" shapeId="0" xr:uid="{00000000-0006-0000-0000-000035000000}">
      <text>
        <r>
          <rPr>
            <b/>
            <sz val="9"/>
            <color indexed="81"/>
            <rFont val="Tahoma"/>
            <family val="2"/>
          </rPr>
          <t>Information Security:</t>
        </r>
        <r>
          <rPr>
            <sz val="9"/>
            <color indexed="81"/>
            <rFont val="Tahoma"/>
            <family val="2"/>
          </rPr>
          <t xml:space="preserve">
Contacts:
Frank Garcia
Doug Wagner
John Michell</t>
        </r>
      </text>
    </comment>
    <comment ref="A49" authorId="1" shapeId="0" xr:uid="{00000000-0006-0000-0000-000036000000}">
      <text>
        <r>
          <rPr>
            <b/>
            <sz val="9"/>
            <color indexed="81"/>
            <rFont val="Tahoma"/>
            <family val="2"/>
          </rPr>
          <t>Load Balancer:</t>
        </r>
        <r>
          <rPr>
            <sz val="9"/>
            <color indexed="81"/>
            <rFont val="Tahoma"/>
            <family val="2"/>
          </rPr>
          <t xml:space="preserve">
Checks Distributed Assets Cluster for Load Balanced, and also allows drop down selection.</t>
        </r>
      </text>
    </comment>
    <comment ref="G49" authorId="3" shapeId="0" xr:uid="{00000000-0006-0000-0000-000037000000}">
      <text>
        <r>
          <rPr>
            <b/>
            <sz val="9"/>
            <color indexed="81"/>
            <rFont val="Tahoma"/>
            <family val="2"/>
          </rPr>
          <t xml:space="preserve">Load Balancing:
Contacts:
</t>
        </r>
        <r>
          <rPr>
            <sz val="9"/>
            <color indexed="81"/>
            <rFont val="Tahoma"/>
            <family val="2"/>
          </rPr>
          <t>John Lawlor
Tony Epperson
Jeff Mirabile</t>
        </r>
        <r>
          <rPr>
            <sz val="9"/>
            <color indexed="81"/>
            <rFont val="Tahoma"/>
            <family val="2"/>
          </rPr>
          <t xml:space="preserve">
</t>
        </r>
      </text>
    </comment>
    <comment ref="A54" authorId="1" shapeId="0" xr:uid="{00000000-0006-0000-0000-000038000000}">
      <text>
        <r>
          <rPr>
            <b/>
            <sz val="9"/>
            <color indexed="81"/>
            <rFont val="Tahoma"/>
            <family val="2"/>
          </rPr>
          <t>Decom Formula:</t>
        </r>
        <r>
          <rPr>
            <sz val="9"/>
            <color indexed="81"/>
            <rFont val="Tahoma"/>
            <family val="2"/>
          </rPr>
          <t xml:space="preserve">
Check for Project Details, Assets &amp; non-Asset Decom
</t>
        </r>
      </text>
    </comment>
    <comment ref="A55" authorId="0" shapeId="0" xr:uid="{00000000-0006-0000-0000-000039000000}">
      <text>
        <r>
          <rPr>
            <b/>
            <sz val="8"/>
            <color indexed="81"/>
            <rFont val="Tahoma"/>
            <family val="2"/>
          </rPr>
          <t>HCSC:</t>
        </r>
        <r>
          <rPr>
            <sz val="8"/>
            <color indexed="81"/>
            <rFont val="Tahoma"/>
            <family val="2"/>
          </rPr>
          <t xml:space="preserve">
Before turning over the LBOM and Diagram - you must update the Future State tabs in the Diagram with the Hostname (you can pop in the hostname or the fully qualified DNS name) and the IP addresses for all servers.
</t>
        </r>
        <r>
          <rPr>
            <b/>
            <sz val="8"/>
            <color indexed="10"/>
            <rFont val="Tahoma"/>
            <family val="2"/>
          </rPr>
          <t>Record the associated Visio Diagram filename.</t>
        </r>
      </text>
    </comment>
    <comment ref="I60" authorId="0" shapeId="0" xr:uid="{00000000-0006-0000-0000-00003A000000}">
      <text>
        <r>
          <rPr>
            <b/>
            <sz val="8"/>
            <color indexed="81"/>
            <rFont val="Tahoma"/>
            <family val="2"/>
          </rPr>
          <t>Approval:</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HCSC</author>
    <author>John Messer</author>
    <author>Steve Cierniak</author>
    <author>HCSC User</author>
    <author>Stephan J Cierniak</author>
  </authors>
  <commentList>
    <comment ref="A2" authorId="0" shapeId="0" xr:uid="{00000000-0006-0000-0100-000001000000}">
      <text>
        <r>
          <rPr>
            <b/>
            <sz val="8"/>
            <color indexed="81"/>
            <rFont val="Tahoma"/>
            <family val="2"/>
          </rPr>
          <t>LBOM File Name Standard:</t>
        </r>
        <r>
          <rPr>
            <sz val="8"/>
            <color indexed="81"/>
            <rFont val="Tahoma"/>
            <family val="2"/>
          </rPr>
          <t xml:space="preserve">
&lt;Number&gt;-LBOM-&lt;Application Name&gt;-&lt;APP ID&gt;-&lt;optional naming&gt;.xls
</t>
        </r>
        <r>
          <rPr>
            <b/>
            <sz val="8"/>
            <color indexed="81"/>
            <rFont val="Tahoma"/>
            <family val="2"/>
          </rPr>
          <t>Example</t>
        </r>
        <r>
          <rPr>
            <sz val="8"/>
            <color indexed="81"/>
            <rFont val="Tahoma"/>
            <family val="2"/>
          </rPr>
          <t>:
2018xxx-LBOM-CCSP-APP0000xxxx-TEST PROD.xls
&lt;Number&gt; =  Year (YYYY) + 3 digit number (###), ex. 2016999
LBOM = Becuase it is an LBOM
&lt;Application Name&gt; = "Official" App Name as in Clarity
&lt;App ID&gt; = From Clarity matching App Name
&lt;optional naming&gt; = Environment or track - if needed
.xls = file type</t>
        </r>
      </text>
    </comment>
    <comment ref="A8" authorId="0" shapeId="0" xr:uid="{00000000-0006-0000-0100-000002000000}">
      <text>
        <r>
          <rPr>
            <b/>
            <sz val="8"/>
            <color indexed="81"/>
            <rFont val="Tahoma"/>
            <family val="2"/>
          </rPr>
          <t>Application Name:</t>
        </r>
        <r>
          <rPr>
            <sz val="8"/>
            <color indexed="81"/>
            <rFont val="Tahoma"/>
            <family val="2"/>
          </rPr>
          <t xml:space="preserve">
Enter the Official Application Name as described in Clarity and is associated to the Application ID number.
</t>
        </r>
      </text>
    </comment>
    <comment ref="A9" authorId="1" shapeId="0" xr:uid="{00000000-0006-0000-0100-000003000000}">
      <text>
        <r>
          <rPr>
            <sz val="9"/>
            <color indexed="81"/>
            <rFont val="Tahoma"/>
            <family val="2"/>
          </rPr>
          <t>If the application has an alias located in Clarity use that name. Otherwise this can be determined in ISE.</t>
        </r>
      </text>
    </comment>
    <comment ref="A10" authorId="0" shapeId="0" xr:uid="{00000000-0006-0000-0100-000004000000}">
      <text>
        <r>
          <rPr>
            <b/>
            <sz val="8"/>
            <color indexed="81"/>
            <rFont val="Tahoma"/>
            <family val="2"/>
          </rPr>
          <t xml:space="preserve">Application ID:
</t>
        </r>
        <r>
          <rPr>
            <sz val="8"/>
            <color indexed="81"/>
            <rFont val="Tahoma"/>
            <family val="2"/>
          </rPr>
          <t xml:space="preserve">
Enter the entire Application number as displayed in Clarity.
APP000#####
For New applications, please contact  Application Portfolio Management to get a new APM ID assigned.
Click Link to go to Clarity  (Clarity Login / Access required)
</t>
        </r>
        <r>
          <rPr>
            <b/>
            <sz val="8"/>
            <color indexed="81"/>
            <rFont val="Tahoma"/>
            <family val="2"/>
          </rPr>
          <t>ONLY one APP ID may be entered in C10, any additional APP ids should be listed to the right, in D10.</t>
        </r>
      </text>
    </comment>
    <comment ref="A11" authorId="0" shapeId="0" xr:uid="{00000000-0006-0000-0100-000005000000}">
      <text>
        <r>
          <rPr>
            <b/>
            <sz val="8"/>
            <color indexed="81"/>
            <rFont val="Tahoma"/>
            <family val="2"/>
          </rPr>
          <t xml:space="preserve">Project Tier:
Please use the Tier number as shown in Clarity based on the Clarity Number.
</t>
        </r>
        <r>
          <rPr>
            <sz val="8"/>
            <color indexed="81"/>
            <rFont val="Tahoma"/>
            <family val="2"/>
          </rPr>
          <t xml:space="preserve">
Tier 1:  Estimated Project Budget Over $10M
Tier 2:  Estimated Project Budget $1M - $10M
Tier 3:  Estimated Project Budget $100K - $1M
Tier 4:  Estimated Project Budget Under $100K
</t>
        </r>
      </text>
    </comment>
    <comment ref="A12" authorId="0" shapeId="0" xr:uid="{00000000-0006-0000-0100-000006000000}">
      <text>
        <r>
          <rPr>
            <b/>
            <sz val="8"/>
            <color indexed="81"/>
            <rFont val="Tahoma"/>
            <family val="2"/>
          </rPr>
          <t>Clarity Number (or Pcode):</t>
        </r>
        <r>
          <rPr>
            <sz val="8"/>
            <color indexed="81"/>
            <rFont val="Tahoma"/>
            <family val="2"/>
          </rPr>
          <t xml:space="preserve">
Please enter the entire Clarity code. 
Ex:  P00011111</t>
        </r>
      </text>
    </comment>
    <comment ref="A13" authorId="0" shapeId="0" xr:uid="{00000000-0006-0000-0100-000007000000}">
      <text>
        <r>
          <rPr>
            <b/>
            <sz val="8"/>
            <color indexed="81"/>
            <rFont val="Tahoma"/>
            <family val="2"/>
          </rPr>
          <t xml:space="preserve">Clarity Project Name:
</t>
        </r>
        <r>
          <rPr>
            <sz val="8"/>
            <color indexed="81"/>
            <rFont val="Tahoma"/>
            <family val="2"/>
          </rPr>
          <t xml:space="preserve">
Project name as entered in Clarity.</t>
        </r>
      </text>
    </comment>
    <comment ref="A14" authorId="2" shapeId="0" xr:uid="{00000000-0006-0000-0100-000008000000}">
      <text>
        <r>
          <rPr>
            <b/>
            <sz val="9"/>
            <color indexed="81"/>
            <rFont val="Tahoma"/>
            <family val="2"/>
          </rPr>
          <t xml:space="preserve">Application Portfolio:
</t>
        </r>
        <r>
          <rPr>
            <sz val="9"/>
            <color indexed="81"/>
            <rFont val="Tahoma"/>
            <family val="2"/>
          </rPr>
          <t xml:space="preserve">Which Portfolio does this application belong, as identified within Clarity.?
</t>
        </r>
      </text>
    </comment>
    <comment ref="A15" authorId="0" shapeId="0" xr:uid="{00000000-0006-0000-0100-000009000000}">
      <text>
        <r>
          <rPr>
            <b/>
            <sz val="8"/>
            <color indexed="81"/>
            <rFont val="Tahoma"/>
            <family val="2"/>
          </rPr>
          <t>LBoM Descripton:</t>
        </r>
        <r>
          <rPr>
            <sz val="8"/>
            <color indexed="81"/>
            <rFont val="Tahoma"/>
            <family val="2"/>
          </rPr>
          <t xml:space="preserve">
Describe what the LBoM is requesting to be built.  
Ex:  </t>
        </r>
        <r>
          <rPr>
            <i/>
            <sz val="8"/>
            <color indexed="81"/>
            <rFont val="Tahoma"/>
            <family val="2"/>
          </rPr>
          <t>This Lbom is requesting 2 new Websphere servers with two new JVMs  in Test2.0 and Prod 2.0 and 1 new SQL db server in both</t>
        </r>
        <r>
          <rPr>
            <sz val="8"/>
            <color indexed="81"/>
            <rFont val="Tahoma"/>
            <family val="2"/>
          </rPr>
          <t xml:space="preserve"> environments.</t>
        </r>
      </text>
    </comment>
    <comment ref="B17" authorId="0" shapeId="0" xr:uid="{00000000-0006-0000-0100-00000A000000}">
      <text>
        <r>
          <rPr>
            <b/>
            <sz val="8"/>
            <color indexed="81"/>
            <rFont val="Tahoma"/>
            <family val="2"/>
          </rPr>
          <t>Budget Number:</t>
        </r>
        <r>
          <rPr>
            <sz val="8"/>
            <color indexed="81"/>
            <rFont val="Tahoma"/>
            <family val="2"/>
          </rPr>
          <t xml:space="preserve">
Budget Z-Code is found in Clarity under the Clarity Project Number.
Other acceptable budget numbers are 
T Code (Tier 4 Projects) or IE Code (GO Projects).   
FDL/DN Projects have been approved to use a Cost Center:  000192</t>
        </r>
      </text>
    </comment>
    <comment ref="B19" authorId="3" shapeId="0" xr:uid="{00000000-0006-0000-0100-00000B000000}">
      <text>
        <r>
          <rPr>
            <b/>
            <sz val="9"/>
            <color indexed="81"/>
            <rFont val="Tahoma"/>
            <family val="2"/>
          </rPr>
          <t xml:space="preserve">Budget Approved:
</t>
        </r>
        <r>
          <rPr>
            <sz val="9"/>
            <color indexed="81"/>
            <rFont val="Tahoma"/>
            <family val="2"/>
          </rPr>
          <t>Has the budget for this project been approved?  If a Zcode or Tcode is showing in Clarity and the end date is still valid, then most likely the budget has been approved.
If an IE Code is available then most likely the budget has been approved.
Infrastructure Engagement will have verified that the budget has been approved before the project can enter the ISE/DCC process.</t>
        </r>
      </text>
    </comment>
    <comment ref="A21" authorId="0" shapeId="0" xr:uid="{00000000-0006-0000-0100-00000C000000}">
      <text>
        <r>
          <rPr>
            <b/>
            <sz val="8"/>
            <color indexed="81"/>
            <rFont val="Tahoma"/>
            <family val="2"/>
          </rPr>
          <t xml:space="preserve">TAP Approval #: </t>
        </r>
        <r>
          <rPr>
            <sz val="8"/>
            <color indexed="81"/>
            <rFont val="Tahoma"/>
            <family val="2"/>
          </rPr>
          <t xml:space="preserve">
Technology Assessment Process
Enter the TAP Approval Code for the non-standard soultion that has been approved.</t>
        </r>
      </text>
    </comment>
    <comment ref="A22" authorId="2" shapeId="0" xr:uid="{00000000-0006-0000-0100-00000D000000}">
      <text>
        <r>
          <rPr>
            <b/>
            <sz val="9"/>
            <color indexed="81"/>
            <rFont val="Tahoma"/>
            <family val="2"/>
          </rPr>
          <t xml:space="preserve">Is Application DR Critical?
</t>
        </r>
        <r>
          <rPr>
            <b/>
            <sz val="9"/>
            <color indexed="10"/>
            <rFont val="Tahoma"/>
            <family val="2"/>
          </rPr>
          <t>You must get the DR Critical Value from Clarity</t>
        </r>
        <r>
          <rPr>
            <b/>
            <sz val="9"/>
            <color indexed="81"/>
            <rFont val="Tahoma"/>
            <family val="2"/>
          </rPr>
          <t xml:space="preserve">
</t>
        </r>
        <r>
          <rPr>
            <sz val="9"/>
            <color indexed="81"/>
            <rFont val="Tahoma"/>
            <family val="2"/>
          </rPr>
          <t xml:space="preserve">Valid responses: Yes, No, TBD
</t>
        </r>
      </text>
    </comment>
    <comment ref="A23" authorId="0" shapeId="0" xr:uid="{00000000-0006-0000-0100-00000E000000}">
      <text>
        <r>
          <rPr>
            <b/>
            <sz val="8"/>
            <color indexed="81"/>
            <rFont val="Tahoma"/>
            <family val="2"/>
          </rPr>
          <t xml:space="preserve">DR Critical Level:
</t>
        </r>
        <r>
          <rPr>
            <b/>
            <sz val="8"/>
            <color indexed="10"/>
            <rFont val="Tahoma"/>
            <family val="2"/>
          </rPr>
          <t>You must get the DR Rating from Clarity</t>
        </r>
        <r>
          <rPr>
            <b/>
            <sz val="8"/>
            <color indexed="81"/>
            <rFont val="Tahoma"/>
            <family val="2"/>
          </rPr>
          <t xml:space="preserve">
</t>
        </r>
        <r>
          <rPr>
            <b/>
            <u/>
            <sz val="8"/>
            <color indexed="81"/>
            <rFont val="Tahoma"/>
            <family val="2"/>
          </rPr>
          <t xml:space="preserve">
Valid DR Tiers: </t>
        </r>
        <r>
          <rPr>
            <b/>
            <sz val="8"/>
            <color indexed="81"/>
            <rFont val="Tahoma"/>
            <family val="2"/>
          </rPr>
          <t xml:space="preserve">
</t>
        </r>
        <r>
          <rPr>
            <sz val="8"/>
            <color indexed="81"/>
            <rFont val="Tahoma"/>
            <family val="2"/>
          </rPr>
          <t>Target RTO Tier 1 = Less than 4 hrs.
Target RTO Tier 2 = 24 hrs
Target RTO Tier 3 = 72 hrs.
Target RTO Tier 4 = 3-7 days</t>
        </r>
      </text>
    </comment>
    <comment ref="C23" authorId="2" shapeId="0" xr:uid="{00000000-0006-0000-0100-00000F000000}">
      <text>
        <r>
          <rPr>
            <b/>
            <sz val="9"/>
            <color indexed="81"/>
            <rFont val="Tahoma"/>
            <family val="2"/>
          </rPr>
          <t>DR Tier Rating:</t>
        </r>
        <r>
          <rPr>
            <sz val="9"/>
            <color indexed="81"/>
            <rFont val="Tahoma"/>
            <family val="2"/>
          </rPr>
          <t xml:space="preserve">
A rating is now required. 
No Rating means the Application was assesed and determined that the application is not a DR recoverable Application.</t>
        </r>
      </text>
    </comment>
    <comment ref="A24" authorId="3" shapeId="0" xr:uid="{00000000-0006-0000-0100-000010000000}">
      <text>
        <r>
          <rPr>
            <b/>
            <sz val="9"/>
            <color indexed="81"/>
            <rFont val="Tahoma"/>
            <family val="2"/>
          </rPr>
          <t>Proof of Concept:</t>
        </r>
        <r>
          <rPr>
            <sz val="9"/>
            <color indexed="81"/>
            <rFont val="Tahoma"/>
            <family val="2"/>
          </rPr>
          <t xml:space="preserve">
If this is a POC, select "Yes" and then identify in the Comments section of the Environment section line, the intended environment to use for the POC.</t>
        </r>
      </text>
    </comment>
    <comment ref="A26" authorId="3" shapeId="0" xr:uid="{00000000-0006-0000-0100-000011000000}">
      <text>
        <r>
          <rPr>
            <b/>
            <sz val="9"/>
            <color indexed="81"/>
            <rFont val="Tahoma"/>
            <family val="2"/>
          </rPr>
          <t>Environments:
Which environments (layers) will be affected?</t>
        </r>
        <r>
          <rPr>
            <sz val="9"/>
            <color indexed="81"/>
            <rFont val="Tahoma"/>
            <family val="2"/>
          </rPr>
          <t xml:space="preserve">
DEV
TEST 2.0
ALT PROD
PROD 2.0
FW - Prod
DR
Multiple selections may be chosen.  Additionally, specific environments, such as UIT, SIT, PRODFix within these environments will be addressed on the Dist Assets Tab.</t>
        </r>
      </text>
    </comment>
    <comment ref="A42" authorId="3" shapeId="0" xr:uid="{00000000-0006-0000-0100-000012000000}">
      <text>
        <r>
          <rPr>
            <b/>
            <sz val="9"/>
            <color indexed="81"/>
            <rFont val="Tahoma"/>
            <family val="2"/>
          </rPr>
          <t xml:space="preserve">Required Services:
</t>
        </r>
        <r>
          <rPr>
            <sz val="9"/>
            <color indexed="81"/>
            <rFont val="Tahoma"/>
            <family val="2"/>
          </rPr>
          <t>This is to identify services normally outside the scope of the Infrastructure Provisioning process, that either have their own process and may need to be engaged, or needs to be assessed for capacity.  Be sure to invite those selected service teams for any Design Meetings as required.
Select all that apply.</t>
        </r>
      </text>
    </comment>
    <comment ref="E42" authorId="3" shapeId="0" xr:uid="{00000000-0006-0000-0100-000013000000}">
      <text>
        <r>
          <rPr>
            <b/>
            <sz val="9"/>
            <color indexed="81"/>
            <rFont val="Tahoma"/>
            <family val="2"/>
          </rPr>
          <t xml:space="preserve">Required Services:
</t>
        </r>
        <r>
          <rPr>
            <sz val="9"/>
            <color indexed="81"/>
            <rFont val="Tahoma"/>
            <family val="2"/>
          </rPr>
          <t>This is to identify services normally outside the scope of the Infrastructure Provisioning process, that either have their own process and may need to be engaged, or needs to be assessed for capacity.  Be sure to invite those selected service teams for any Design Meetings as required.
Select all that apply.</t>
        </r>
      </text>
    </comment>
    <comment ref="A43" authorId="3" shapeId="0" xr:uid="{00000000-0006-0000-0100-000014000000}">
      <text>
        <r>
          <rPr>
            <b/>
            <sz val="9"/>
            <color indexed="81"/>
            <rFont val="Tahoma"/>
            <family val="2"/>
          </rPr>
          <t xml:space="preserve">Business Lines impacted:
</t>
        </r>
        <r>
          <rPr>
            <sz val="9"/>
            <color indexed="81"/>
            <rFont val="Tahoma"/>
            <family val="2"/>
          </rPr>
          <t>Is this project going to impact the Group, Government or Retail lines of business?  Multiple choices may be selected.</t>
        </r>
      </text>
    </comment>
    <comment ref="E43" authorId="3" shapeId="0" xr:uid="{00000000-0006-0000-0100-000015000000}">
      <text>
        <r>
          <rPr>
            <b/>
            <sz val="9"/>
            <color indexed="81"/>
            <rFont val="Tahoma"/>
            <family val="2"/>
          </rPr>
          <t xml:space="preserve">Business Lines:
</t>
        </r>
        <r>
          <rPr>
            <sz val="9"/>
            <color indexed="81"/>
            <rFont val="Tahoma"/>
            <family val="2"/>
          </rPr>
          <t>This is to identify which Lines of Business are part of this request.
Select all that apply.</t>
        </r>
      </text>
    </comment>
    <comment ref="A44" authorId="2" shapeId="0" xr:uid="{00000000-0006-0000-0100-000016000000}">
      <text>
        <r>
          <rPr>
            <b/>
            <sz val="9"/>
            <color indexed="81"/>
            <rFont val="Tahoma"/>
            <family val="2"/>
          </rPr>
          <t>Offshore:</t>
        </r>
        <r>
          <rPr>
            <sz val="9"/>
            <color indexed="81"/>
            <rFont val="Tahoma"/>
            <family val="2"/>
          </rPr>
          <t xml:space="preserve">
This is contract driven, and should be provided by App team based on Legal's assesment.   
Examples may include:  PHI, FTI
(Personal Health Information, Federal Tax Information) prohibitng Offshore data access or storage</t>
        </r>
      </text>
    </comment>
    <comment ref="A46" authorId="3" shapeId="0" xr:uid="{00000000-0006-0000-0100-000017000000}">
      <text>
        <r>
          <rPr>
            <b/>
            <u/>
            <sz val="9"/>
            <color indexed="81"/>
            <rFont val="Tahoma"/>
            <family val="2"/>
          </rPr>
          <t>Request Type:</t>
        </r>
        <r>
          <rPr>
            <b/>
            <sz val="9"/>
            <color indexed="81"/>
            <rFont val="Tahoma"/>
            <family val="2"/>
          </rPr>
          <t xml:space="preserve">
Legacy - </t>
        </r>
        <r>
          <rPr>
            <sz val="9"/>
            <color indexed="81"/>
            <rFont val="Tahoma"/>
            <family val="2"/>
          </rPr>
          <t xml:space="preserve">provisioning in DEV, TEST, PROD Legacy environment
</t>
        </r>
        <r>
          <rPr>
            <b/>
            <sz val="9"/>
            <color indexed="81"/>
            <rFont val="Tahoma"/>
            <family val="2"/>
          </rPr>
          <t xml:space="preserve">HTC - </t>
        </r>
        <r>
          <rPr>
            <sz val="9"/>
            <color indexed="81"/>
            <rFont val="Tahoma"/>
            <family val="2"/>
          </rPr>
          <t xml:space="preserve">provisioned by HTC and post provisioning work only on this LBOM
</t>
        </r>
        <r>
          <rPr>
            <b/>
            <sz val="9"/>
            <color indexed="81"/>
            <rFont val="Tahoma"/>
            <family val="2"/>
          </rPr>
          <t xml:space="preserve">
Azure -
Streamline - </t>
        </r>
        <r>
          <rPr>
            <sz val="9"/>
            <color indexed="81"/>
            <rFont val="Tahoma"/>
            <family val="2"/>
          </rPr>
          <t xml:space="preserve">request bypassed ISE due to provisioning for capacity only
</t>
        </r>
      </text>
    </comment>
    <comment ref="A48" authorId="0" shapeId="0" xr:uid="{00000000-0006-0000-0100-000018000000}">
      <text>
        <r>
          <rPr>
            <b/>
            <sz val="8"/>
            <color indexed="81"/>
            <rFont val="Tahoma"/>
            <family val="2"/>
          </rPr>
          <t>Diagram Checkout:</t>
        </r>
        <r>
          <rPr>
            <sz val="8"/>
            <color indexed="81"/>
            <rFont val="Tahoma"/>
            <family val="2"/>
          </rPr>
          <t xml:space="preserve">
All existing diagrams should be "checked out" from Config Management and have a checkout form accompanying them when they arrive in DCC from ISE.</t>
        </r>
      </text>
    </comment>
    <comment ref="B49" authorId="0" shapeId="0" xr:uid="{00000000-0006-0000-0100-000019000000}">
      <text>
        <r>
          <rPr>
            <b/>
            <sz val="8"/>
            <color indexed="81"/>
            <rFont val="Tahoma"/>
            <family val="2"/>
          </rPr>
          <t>Diagram File Name:</t>
        </r>
        <r>
          <rPr>
            <sz val="8"/>
            <color indexed="81"/>
            <rFont val="Tahoma"/>
            <family val="2"/>
          </rPr>
          <t xml:space="preserve">
List all original Diagram names, as checked out from Config Management:</t>
        </r>
      </text>
    </comment>
    <comment ref="B50" authorId="0" shapeId="0" xr:uid="{00000000-0006-0000-0100-00001A000000}">
      <text>
        <r>
          <rPr>
            <b/>
            <sz val="8"/>
            <color indexed="81"/>
            <rFont val="Tahoma"/>
            <family val="2"/>
          </rPr>
          <t xml:space="preserve">Details of checkout:
</t>
        </r>
        <r>
          <rPr>
            <sz val="8"/>
            <color indexed="81"/>
            <rFont val="Tahoma"/>
            <family val="2"/>
          </rPr>
          <t>Include who checked out the diagram and date checked out.  Or, if this is a new diagram, enter "New Diagram."</t>
        </r>
        <r>
          <rPr>
            <b/>
            <sz val="8"/>
            <color indexed="81"/>
            <rFont val="Tahoma"/>
            <family val="2"/>
          </rPr>
          <t xml:space="preserve">
</t>
        </r>
        <r>
          <rPr>
            <sz val="8"/>
            <color indexed="81"/>
            <rFont val="Tahoma"/>
            <family val="2"/>
          </rPr>
          <t xml:space="preserve">
If necessary, list any specific details as to why file was not checked-out, or any other important information.
</t>
        </r>
      </text>
    </comment>
    <comment ref="A52" authorId="0" shapeId="0" xr:uid="{00000000-0006-0000-0100-00001B000000}">
      <text>
        <r>
          <rPr>
            <b/>
            <sz val="8"/>
            <color indexed="81"/>
            <rFont val="Tahoma"/>
            <family val="2"/>
          </rPr>
          <t xml:space="preserve">Asset Decommission:
</t>
        </r>
        <r>
          <rPr>
            <sz val="8"/>
            <color indexed="81"/>
            <rFont val="Tahoma"/>
            <family val="2"/>
          </rPr>
          <t>As  a result of completing this LBOM and the resulting Provisioning, will there be any hardware assets (Servers, appliances,..) that will no longer be required?  
If this is yes, then , these should be listed on the Decommissioning Tab.</t>
        </r>
      </text>
    </comment>
    <comment ref="A53" authorId="0" shapeId="0" xr:uid="{00000000-0006-0000-0100-00001C000000}">
      <text>
        <r>
          <rPr>
            <b/>
            <sz val="8"/>
            <color indexed="81"/>
            <rFont val="Tahoma"/>
            <family val="2"/>
          </rPr>
          <t>Non-Asset Decommission:</t>
        </r>
        <r>
          <rPr>
            <sz val="8"/>
            <color indexed="81"/>
            <rFont val="Tahoma"/>
            <family val="2"/>
          </rPr>
          <t xml:space="preserve">
As  a result of completing this LBOM and the resulting Provisioning, and assets identified for cutover, will there be any non-assets such as:
JVMs, Dbs, cnames,  hostnames, VIPs, urls etc.. that will no longer be required?  
If this is yes, then , these should be listed on the Decommissioning Tab.</t>
        </r>
      </text>
    </comment>
    <comment ref="A55" authorId="3" shapeId="0" xr:uid="{00000000-0006-0000-0100-00001D000000}">
      <text>
        <r>
          <rPr>
            <b/>
            <sz val="9"/>
            <color indexed="81"/>
            <rFont val="Tahoma"/>
            <family val="2"/>
          </rPr>
          <t xml:space="preserve">Project Manager:
</t>
        </r>
        <r>
          <rPr>
            <sz val="9"/>
            <color indexed="81"/>
            <rFont val="Tahoma"/>
            <family val="2"/>
          </rPr>
          <t>This should be the name of the PM assigned to this project.</t>
        </r>
      </text>
    </comment>
    <comment ref="A56" authorId="3" shapeId="0" xr:uid="{00000000-0006-0000-0100-00001E000000}">
      <text>
        <r>
          <rPr>
            <b/>
            <sz val="9"/>
            <color indexed="81"/>
            <rFont val="Tahoma"/>
            <family val="2"/>
          </rPr>
          <t>SDM Quality Consultant:</t>
        </r>
        <r>
          <rPr>
            <sz val="9"/>
            <color indexed="81"/>
            <rFont val="Tahoma"/>
            <family val="2"/>
          </rPr>
          <t xml:space="preserve">
This should be the name of the SDM Quality Consultant assigned to the project if the project is following SDM.  Sometimes referred to as an SDM Coach.</t>
        </r>
      </text>
    </comment>
    <comment ref="A57" authorId="4" shapeId="0" xr:uid="{00000000-0006-0000-0100-00001F000000}">
      <text>
        <r>
          <rPr>
            <b/>
            <sz val="9"/>
            <color indexed="81"/>
            <rFont val="Tahoma"/>
            <family val="2"/>
          </rPr>
          <t>Application Owner:</t>
        </r>
        <r>
          <rPr>
            <sz val="9"/>
            <color indexed="81"/>
            <rFont val="Tahoma"/>
            <family val="2"/>
          </rPr>
          <t xml:space="preserve">
Primary Contact for escalations, approvals, etc.  Typically will sign off on LBOM unless they have designated someone else.  This would be the Application Manager / Supervisor listed in Clarity.</t>
        </r>
      </text>
    </comment>
    <comment ref="A58" authorId="0" shapeId="0" xr:uid="{00000000-0006-0000-0100-000020000000}">
      <text>
        <r>
          <rPr>
            <b/>
            <sz val="8"/>
            <color indexed="81"/>
            <rFont val="Tahoma"/>
            <family val="2"/>
          </rPr>
          <t>Application Team:</t>
        </r>
        <r>
          <rPr>
            <sz val="8"/>
            <color indexed="81"/>
            <rFont val="Tahoma"/>
            <family val="2"/>
          </rPr>
          <t xml:space="preserve">
List the primary Technical contact of the Application Development Team.  
Ex. Technical Leads</t>
        </r>
      </text>
    </comment>
    <comment ref="A59" authorId="4" shapeId="0" xr:uid="{00000000-0006-0000-0100-000021000000}">
      <text>
        <r>
          <rPr>
            <b/>
            <sz val="9"/>
            <color indexed="81"/>
            <rFont val="Tahoma"/>
            <family val="2"/>
          </rPr>
          <t>Application Development Team  Members:</t>
        </r>
        <r>
          <rPr>
            <sz val="9"/>
            <color indexed="81"/>
            <rFont val="Tahoma"/>
            <family val="2"/>
          </rPr>
          <t xml:space="preserve">
List all Application Development Team Members:
These are the Application Team members who are required to be included in the DCC Discussions concerning Application configuration.</t>
        </r>
      </text>
    </comment>
    <comment ref="A60" authorId="4" shapeId="0" xr:uid="{00000000-0006-0000-0100-000022000000}">
      <text>
        <r>
          <rPr>
            <b/>
            <sz val="9"/>
            <color indexed="81"/>
            <rFont val="Tahoma"/>
            <family val="2"/>
          </rPr>
          <t>Application Support Team Name:</t>
        </r>
        <r>
          <rPr>
            <sz val="9"/>
            <color indexed="81"/>
            <rFont val="Tahoma"/>
            <family val="2"/>
          </rPr>
          <t xml:space="preserve">
AYS group name of the application support team. 
</t>
        </r>
      </text>
    </comment>
    <comment ref="A61" authorId="4" shapeId="0" xr:uid="{00000000-0006-0000-0100-000023000000}">
      <text>
        <r>
          <rPr>
            <b/>
            <sz val="9"/>
            <color indexed="81"/>
            <rFont val="Tahoma"/>
            <family val="2"/>
          </rPr>
          <t>Application Support Team Name email:</t>
        </r>
        <r>
          <rPr>
            <sz val="9"/>
            <color indexed="81"/>
            <rFont val="Tahoma"/>
            <family val="2"/>
          </rPr>
          <t xml:space="preserve">
The group email address of the application support team. 
Note:  As we transistion from Lotus Note to MS Outlook, please include the Internet Address email.
</t>
        </r>
      </text>
    </comment>
    <comment ref="A62" authorId="0" shapeId="0" xr:uid="{00000000-0006-0000-0100-000024000000}">
      <text>
        <r>
          <rPr>
            <b/>
            <sz val="8"/>
            <color indexed="81"/>
            <rFont val="Tahoma"/>
            <family val="2"/>
          </rPr>
          <t>ISE Collaboration Participants:</t>
        </r>
        <r>
          <rPr>
            <sz val="8"/>
            <color indexed="81"/>
            <rFont val="Tahoma"/>
            <family val="2"/>
          </rPr>
          <t xml:space="preserve">
List of all participants in the ISE Design Review.
(including ISE Collaboration Engineer):
List all invitees, and </t>
        </r>
        <r>
          <rPr>
            <b/>
            <sz val="8"/>
            <color indexed="81"/>
            <rFont val="Tahoma"/>
            <family val="2"/>
          </rPr>
          <t>bold</t>
        </r>
        <r>
          <rPr>
            <sz val="8"/>
            <color indexed="81"/>
            <rFont val="Tahoma"/>
            <family val="2"/>
          </rPr>
          <t xml:space="preserve"> all in attendance.
(simple copy /paste from meeting notice is sufficient)</t>
        </r>
      </text>
    </comment>
    <comment ref="A63" authorId="3" shapeId="0" xr:uid="{00000000-0006-0000-0100-000025000000}">
      <text>
        <r>
          <rPr>
            <b/>
            <sz val="9"/>
            <color indexed="81"/>
            <rFont val="Tahoma"/>
            <family val="2"/>
          </rPr>
          <t xml:space="preserve">ISE Collaboration Engineer:  
</t>
        </r>
        <r>
          <rPr>
            <sz val="9"/>
            <color indexed="81"/>
            <rFont val="Tahoma"/>
            <family val="2"/>
          </rPr>
          <t xml:space="preserve">Name of the ISE Engineer assigned to this project.
</t>
        </r>
      </text>
    </comment>
    <comment ref="A64" authorId="0" shapeId="0" xr:uid="{00000000-0006-0000-0100-000026000000}">
      <text>
        <r>
          <rPr>
            <b/>
            <sz val="8"/>
            <color indexed="81"/>
            <rFont val="Tahoma"/>
            <family val="2"/>
          </rPr>
          <t>Notes on listing Other Infrastructure SMEs:</t>
        </r>
        <r>
          <rPr>
            <sz val="8"/>
            <color indexed="81"/>
            <rFont val="Tahoma"/>
            <family val="2"/>
          </rPr>
          <t xml:space="preserve">
Please include all other Infrastructure team members and their area who should be represented during DCC calls and ICC kickoff meetings:  
Use ALT+Enter to insert CR/LF within the cell.
EX:   John Doe - Mainframe / CICS;  Jack Dude - Mainframe / DB2
         Jane Doe - Websphere
         Joe Cool -  Database (SQL/Oracle,DB2)</t>
        </r>
      </text>
    </comment>
    <comment ref="A65" authorId="3" shapeId="0" xr:uid="{00000000-0006-0000-0100-000027000000}">
      <text>
        <r>
          <rPr>
            <b/>
            <sz val="9"/>
            <color indexed="81"/>
            <rFont val="Tahoma"/>
            <family val="2"/>
          </rPr>
          <t>EAS Solutions Architect:</t>
        </r>
        <r>
          <rPr>
            <sz val="9"/>
            <color indexed="81"/>
            <rFont val="Tahoma"/>
            <family val="2"/>
          </rPr>
          <t xml:space="preserve">
Name of EAS Solutions Architect assigned to this project, if needed.</t>
        </r>
      </text>
    </comment>
    <comment ref="A66" authorId="3" shapeId="0" xr:uid="{00000000-0006-0000-0100-000028000000}">
      <text>
        <r>
          <rPr>
            <b/>
            <sz val="9"/>
            <color indexed="81"/>
            <rFont val="Tahoma"/>
            <family val="2"/>
          </rPr>
          <t xml:space="preserve">EAS Infrastructure Architect:
</t>
        </r>
        <r>
          <rPr>
            <sz val="9"/>
            <color indexed="81"/>
            <rFont val="Tahoma"/>
            <family val="2"/>
          </rPr>
          <t xml:space="preserve">Name of EAS Infrastructure Architect assigned to this project, if needed.
</t>
        </r>
      </text>
    </comment>
    <comment ref="A67" authorId="2" shapeId="0" xr:uid="{00000000-0006-0000-0100-000029000000}">
      <text>
        <r>
          <rPr>
            <b/>
            <sz val="9"/>
            <color indexed="81"/>
            <rFont val="Tahoma"/>
            <family val="2"/>
          </rPr>
          <t>Information Security Entitlement Resource:</t>
        </r>
        <r>
          <rPr>
            <sz val="9"/>
            <color indexed="81"/>
            <rFont val="Tahoma"/>
            <family val="2"/>
          </rPr>
          <t xml:space="preserve">
Identify the resource that is assigned to work with the app team to identify all required Entitlements and NPIDs, and assist with the request process for Entitlements.
This process is now a parallel process handled concurrently with the Infrastructure Delivery Process. (ISE,DCC,ICC)</t>
        </r>
      </text>
    </comment>
    <comment ref="A68" authorId="4" shapeId="0" xr:uid="{00000000-0006-0000-0100-00002A000000}">
      <text>
        <r>
          <rPr>
            <b/>
            <sz val="9"/>
            <color indexed="81"/>
            <rFont val="Tahoma"/>
            <family val="2"/>
          </rPr>
          <t>Infrastrucutre Integrator:</t>
        </r>
        <r>
          <rPr>
            <sz val="9"/>
            <color indexed="81"/>
            <rFont val="Tahoma"/>
            <family val="2"/>
          </rPr>
          <t xml:space="preserve">
Infrastructure Integration team member that is coordinating the LBoM to completion.
At times, the Infrastructure Integration team member also serves as the Architect, when EAS is not engaged.</t>
        </r>
      </text>
    </comment>
    <comment ref="A69" authorId="4" shapeId="0" xr:uid="{00000000-0006-0000-0100-00002B000000}">
      <text>
        <r>
          <rPr>
            <b/>
            <sz val="9"/>
            <color indexed="81"/>
            <rFont val="Tahoma"/>
            <family val="2"/>
          </rPr>
          <t>LBoM Number:</t>
        </r>
        <r>
          <rPr>
            <sz val="9"/>
            <color indexed="81"/>
            <rFont val="Tahoma"/>
            <family val="2"/>
          </rPr>
          <t xml:space="preserve">
This number is assigned during ISE by ISE Engineer.  
Format: YYYYNNN  ex:  2013999</t>
        </r>
      </text>
    </comment>
    <comment ref="B74" authorId="3" shapeId="0" xr:uid="{00000000-0006-0000-0100-00002C000000}">
      <text>
        <r>
          <rPr>
            <b/>
            <sz val="9"/>
            <color indexed="81"/>
            <rFont val="Tahoma"/>
            <family val="2"/>
          </rPr>
          <t xml:space="preserve">PHI/SPI/BCI:
</t>
        </r>
        <r>
          <rPr>
            <sz val="9"/>
            <color indexed="81"/>
            <rFont val="Tahoma"/>
            <family val="2"/>
          </rPr>
          <t xml:space="preserve">Does this application use or access PHI/SPI/BCI?  
</t>
        </r>
        <r>
          <rPr>
            <b/>
            <sz val="9"/>
            <color indexed="81"/>
            <rFont val="Tahoma"/>
            <family val="2"/>
          </rPr>
          <t xml:space="preserve">
</t>
        </r>
        <r>
          <rPr>
            <b/>
            <sz val="9"/>
            <color indexed="10"/>
            <rFont val="Tahoma"/>
            <family val="2"/>
          </rPr>
          <t>This information is critical if copying PROD information to DEV or TEST environments as Risk Management would need to be engaged to determine level of risk and give approval.</t>
        </r>
        <r>
          <rPr>
            <sz val="9"/>
            <color indexed="81"/>
            <rFont val="Tahoma"/>
            <family val="2"/>
          </rPr>
          <t xml:space="preserve">
</t>
        </r>
      </text>
    </comment>
    <comment ref="E74" authorId="2" shapeId="0" xr:uid="{00000000-0006-0000-0100-00002D000000}">
      <text>
        <r>
          <rPr>
            <b/>
            <sz val="9"/>
            <color indexed="81"/>
            <rFont val="Tahoma"/>
            <family val="2"/>
          </rPr>
          <t>PHI / SPI / BCI:</t>
        </r>
        <r>
          <rPr>
            <sz val="9"/>
            <color indexed="81"/>
            <rFont val="Tahoma"/>
            <family val="2"/>
          </rPr>
          <t xml:space="preserve">
</t>
        </r>
        <r>
          <rPr>
            <u/>
            <sz val="9"/>
            <color indexed="81"/>
            <rFont val="Tahoma"/>
            <family val="2"/>
          </rPr>
          <t>associated cell names to check boxes:</t>
        </r>
        <r>
          <rPr>
            <sz val="9"/>
            <color indexed="81"/>
            <rFont val="Tahoma"/>
            <family val="2"/>
          </rPr>
          <t xml:space="preserve">
PHI used:  phi_used
PHI access only: phi_access
SPI used:  phi_used
SPI access only: phi_access
BCI: bci
IF PII is selected, it will include PHI and/or SPI.  Make sure to check EOS for accurate Privacy information.</t>
        </r>
      </text>
    </comment>
    <comment ref="B75" authorId="2" shapeId="0" xr:uid="{00000000-0006-0000-0100-00002E000000}">
      <text>
        <r>
          <rPr>
            <b/>
            <sz val="9"/>
            <color indexed="81"/>
            <rFont val="Tahoma"/>
            <family val="2"/>
          </rPr>
          <t xml:space="preserve">Examples:
</t>
        </r>
        <r>
          <rPr>
            <sz val="9"/>
            <color indexed="81"/>
            <rFont val="Tahoma"/>
            <family val="2"/>
          </rPr>
          <t xml:space="preserve">
DEV to Test, Test to DEV
Test to PROD, PROD to Test
DEV to PROD, PROD to DEV
</t>
        </r>
      </text>
    </comment>
    <comment ref="B80" authorId="3" shapeId="0" xr:uid="{00000000-0006-0000-0100-00002F000000}">
      <text>
        <r>
          <rPr>
            <b/>
            <sz val="9"/>
            <color indexed="81"/>
            <rFont val="Tahoma"/>
            <family val="2"/>
          </rPr>
          <t xml:space="preserve">3rd Party Connectivity:
</t>
        </r>
        <r>
          <rPr>
            <sz val="9"/>
            <color indexed="81"/>
            <rFont val="Tahoma"/>
            <family val="2"/>
          </rPr>
          <t xml:space="preserve">The third party connectivity section is required when an application is going to receive inbound data/connectivity or send data/connectivity outbound to an entity which is not a part of HCSC.
</t>
        </r>
      </text>
    </comment>
    <comment ref="D80" authorId="4" shapeId="0" xr:uid="{00000000-0006-0000-0100-000030000000}">
      <text>
        <r>
          <rPr>
            <b/>
            <sz val="9"/>
            <color indexed="81"/>
            <rFont val="Tahoma"/>
            <family val="2"/>
          </rPr>
          <t xml:space="preserve">Examples:
</t>
        </r>
        <r>
          <rPr>
            <sz val="9"/>
            <color indexed="81"/>
            <rFont val="Tahoma"/>
            <family val="2"/>
          </rPr>
          <t xml:space="preserve">
Example 1:  Adding new connection, opening a new port will need a Risk Management Assessment.
Example 2:  Adding an additional server to a group of servers with a specific port already opened (This example does not require a Risk Management Assessment)
</t>
        </r>
        <r>
          <rPr>
            <b/>
            <sz val="9"/>
            <color indexed="81"/>
            <rFont val="Tahoma"/>
            <family val="2"/>
          </rPr>
          <t xml:space="preserve">
NOTE:</t>
        </r>
        <r>
          <rPr>
            <sz val="9"/>
            <color indexed="81"/>
            <rFont val="Tahoma"/>
            <family val="2"/>
          </rPr>
          <t xml:space="preserve">  Naperville no longer requires a 3rd Party Connectivity Request, but does constitute a Production change to the Production Firewall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HCSC User</author>
    <author>Steve Cierniak</author>
  </authors>
  <commentList>
    <comment ref="A2" authorId="0" shapeId="0" xr:uid="{00000000-0006-0000-0300-000001000000}">
      <text>
        <r>
          <rPr>
            <b/>
            <sz val="9"/>
            <color indexed="81"/>
            <rFont val="Tahoma"/>
            <family val="2"/>
          </rPr>
          <t>Application Name:</t>
        </r>
        <r>
          <rPr>
            <sz val="9"/>
            <color indexed="81"/>
            <rFont val="Tahoma"/>
            <family val="2"/>
          </rPr>
          <t xml:space="preserve">
Automatically populated from the Project Details tab via a formula.</t>
        </r>
      </text>
    </comment>
    <comment ref="A3" authorId="0" shapeId="0" xr:uid="{00000000-0006-0000-0300-000002000000}">
      <text>
        <r>
          <rPr>
            <b/>
            <sz val="9"/>
            <color indexed="81"/>
            <rFont val="Tahoma"/>
            <family val="2"/>
          </rPr>
          <t xml:space="preserve">Application POC (Points of Contact):
</t>
        </r>
        <r>
          <rPr>
            <sz val="9"/>
            <color indexed="81"/>
            <rFont val="Tahoma"/>
            <family val="2"/>
          </rPr>
          <t>Automatically populated from the Project Details tab via a formula.</t>
        </r>
      </text>
    </comment>
    <comment ref="A5" authorId="0" shapeId="0" xr:uid="{00000000-0006-0000-0300-000003000000}">
      <text>
        <r>
          <rPr>
            <b/>
            <sz val="9"/>
            <color indexed="81"/>
            <rFont val="Tahoma"/>
            <family val="2"/>
          </rPr>
          <t>Application CA Service Desk Group:</t>
        </r>
        <r>
          <rPr>
            <sz val="9"/>
            <color indexed="81"/>
            <rFont val="Tahoma"/>
            <family val="2"/>
          </rPr>
          <t xml:space="preserve">
Automatically populated from the Project Details tab via a formula.</t>
        </r>
      </text>
    </comment>
    <comment ref="A6" authorId="1" shapeId="0" xr:uid="{00000000-0006-0000-0300-000004000000}">
      <text>
        <r>
          <rPr>
            <b/>
            <sz val="9"/>
            <color indexed="81"/>
            <rFont val="Tahoma"/>
            <family val="2"/>
          </rPr>
          <t>Application Short name (SAN):</t>
        </r>
        <r>
          <rPr>
            <sz val="9"/>
            <color indexed="81"/>
            <rFont val="Tahoma"/>
            <family val="2"/>
          </rPr>
          <t xml:space="preserve">
 Not needed for TomEE, only for standard NAS Mounts.
(Different from app short name on Project details)</t>
        </r>
      </text>
    </comment>
    <comment ref="A7" authorId="1" shapeId="0" xr:uid="{00000000-0006-0000-0300-000005000000}">
      <text>
        <r>
          <rPr>
            <b/>
            <sz val="9"/>
            <color indexed="81"/>
            <rFont val="Tahoma"/>
            <family val="2"/>
          </rPr>
          <t xml:space="preserve">TomEE Standard Configuration :
</t>
        </r>
        <r>
          <rPr>
            <sz val="9"/>
            <color indexed="81"/>
            <rFont val="Tahoma"/>
            <family val="2"/>
          </rPr>
          <t xml:space="preserve">This is the standardized information used for TomEE server configurations.  The number of Servers being requested is all that is needed.
</t>
        </r>
      </text>
    </comment>
    <comment ref="A14" authorId="1" shapeId="0" xr:uid="{00000000-0006-0000-0300-000006000000}">
      <text>
        <r>
          <rPr>
            <b/>
            <sz val="9"/>
            <color indexed="81"/>
            <rFont val="Tahoma"/>
            <family val="2"/>
          </rPr>
          <t>NAS Network Availability:</t>
        </r>
        <r>
          <rPr>
            <sz val="9"/>
            <color indexed="81"/>
            <rFont val="Tahoma"/>
            <family val="2"/>
          </rPr>
          <t xml:space="preserve">
NAS is only available in Waukegan Non-Prod (DEV and TEST), Waukegan Prod, and Fort Worth DR. No other locations can use NAS at this time.</t>
        </r>
      </text>
    </comment>
    <comment ref="A15" authorId="0" shapeId="0" xr:uid="{00000000-0006-0000-0300-000007000000}">
      <text>
        <r>
          <rPr>
            <b/>
            <sz val="9"/>
            <color indexed="81"/>
            <rFont val="Tahoma"/>
            <family val="2"/>
          </rPr>
          <t>Which PROD Layer:</t>
        </r>
        <r>
          <rPr>
            <sz val="9"/>
            <color indexed="81"/>
            <rFont val="Tahoma"/>
            <family val="2"/>
          </rPr>
          <t xml:space="preserve">
Select the layer for the appropriate NAS.</t>
        </r>
      </text>
    </comment>
    <comment ref="A16" authorId="1" shapeId="0" xr:uid="{00000000-0006-0000-0300-000008000000}">
      <text>
        <r>
          <rPr>
            <b/>
            <sz val="9"/>
            <color indexed="81"/>
            <rFont val="Tahoma"/>
            <family val="2"/>
          </rPr>
          <t xml:space="preserve">Type of Server:
</t>
        </r>
        <r>
          <rPr>
            <sz val="9"/>
            <color indexed="81"/>
            <rFont val="Tahoma"/>
            <family val="2"/>
          </rPr>
          <t>Windows, Unix or Both. Your selection will make available the appropriate selections below in rows 9-15 for either Windows (SMB), Unix (NFS) or both.</t>
        </r>
        <r>
          <rPr>
            <b/>
            <sz val="9"/>
            <color indexed="81"/>
            <rFont val="Tahoma"/>
            <family val="2"/>
          </rPr>
          <t xml:space="preserve">
</t>
        </r>
      </text>
    </comment>
    <comment ref="A17" authorId="0" shapeId="0" xr:uid="{00000000-0006-0000-0300-000009000000}">
      <text>
        <r>
          <rPr>
            <b/>
            <sz val="9"/>
            <color indexed="81"/>
            <rFont val="Tahoma"/>
            <family val="2"/>
          </rPr>
          <t>Capacity Requirements:</t>
        </r>
        <r>
          <rPr>
            <sz val="9"/>
            <color indexed="81"/>
            <rFont val="Tahoma"/>
            <family val="2"/>
          </rPr>
          <t xml:space="preserve">
Enter the requested capacity for each environment being requested in GB.</t>
        </r>
      </text>
    </comment>
    <comment ref="A18" authorId="1" shapeId="0" xr:uid="{00000000-0006-0000-0300-00000A000000}">
      <text>
        <r>
          <rPr>
            <b/>
            <sz val="9"/>
            <color indexed="81"/>
            <rFont val="Tahoma"/>
            <family val="2"/>
          </rPr>
          <t xml:space="preserve">Potential File Count:
</t>
        </r>
        <r>
          <rPr>
            <sz val="9"/>
            <color indexed="81"/>
            <rFont val="Tahoma"/>
            <family val="2"/>
          </rPr>
          <t>What is the file type and potential size and amount of files that will be stored.
Standard - Average size and amount of files
Many - Many small files - Millions of small files</t>
        </r>
      </text>
    </comment>
    <comment ref="A19" authorId="1" shapeId="0" xr:uid="{00000000-0006-0000-0300-00000B000000}">
      <text>
        <r>
          <rPr>
            <b/>
            <sz val="9"/>
            <color indexed="81"/>
            <rFont val="Tahoma"/>
            <family val="2"/>
          </rPr>
          <t>Expected Workload (rate in MB/sec):</t>
        </r>
        <r>
          <rPr>
            <sz val="9"/>
            <color indexed="81"/>
            <rFont val="Tahoma"/>
            <family val="2"/>
          </rPr>
          <t xml:space="preserve">
This is used to determine if a separate network interface may be required to segregate the NAS traffic.</t>
        </r>
      </text>
    </comment>
    <comment ref="A21" authorId="0" shapeId="0" xr:uid="{00000000-0006-0000-0300-00000C000000}">
      <text>
        <r>
          <rPr>
            <b/>
            <sz val="9"/>
            <color indexed="81"/>
            <rFont val="Tahoma"/>
            <family val="2"/>
          </rPr>
          <t>Windows NPID:</t>
        </r>
        <r>
          <rPr>
            <sz val="9"/>
            <color indexed="81"/>
            <rFont val="Tahoma"/>
            <family val="2"/>
          </rPr>
          <t xml:space="preserve">
Popluate this cell with the appropriate Windows NPID that will be used for the SMB mount.</t>
        </r>
      </text>
    </comment>
    <comment ref="A22" authorId="0" shapeId="0" xr:uid="{00000000-0006-0000-0300-00000D000000}">
      <text>
        <r>
          <rPr>
            <b/>
            <sz val="9"/>
            <color indexed="81"/>
            <rFont val="Tahoma"/>
            <family val="2"/>
          </rPr>
          <t xml:space="preserve">Windows AD Group:
</t>
        </r>
        <r>
          <rPr>
            <sz val="9"/>
            <color indexed="81"/>
            <rFont val="Tahoma"/>
            <family val="2"/>
          </rPr>
          <t>Popluate this cell with the appropriate Windows AD Group that will be used for the SMB mount.</t>
        </r>
      </text>
    </comment>
    <comment ref="A23" authorId="0" shapeId="0" xr:uid="{00000000-0006-0000-0300-00000E000000}">
      <text>
        <r>
          <rPr>
            <b/>
            <sz val="9"/>
            <color indexed="81"/>
            <rFont val="Tahoma"/>
            <family val="2"/>
          </rPr>
          <t>Unix UID:</t>
        </r>
        <r>
          <rPr>
            <sz val="9"/>
            <color indexed="81"/>
            <rFont val="Tahoma"/>
            <family val="2"/>
          </rPr>
          <t xml:space="preserve">
Popluate this cell with the appropriate Unix UID that will be used for the NFS mount.</t>
        </r>
      </text>
    </comment>
    <comment ref="A24" authorId="0" shapeId="0" xr:uid="{00000000-0006-0000-0300-00000F000000}">
      <text>
        <r>
          <rPr>
            <b/>
            <sz val="9"/>
            <color indexed="81"/>
            <rFont val="Tahoma"/>
            <family val="2"/>
          </rPr>
          <t xml:space="preserve">Unix GID:
</t>
        </r>
        <r>
          <rPr>
            <sz val="9"/>
            <color indexed="81"/>
            <rFont val="Tahoma"/>
            <family val="2"/>
          </rPr>
          <t>Popluate this cell with the appropriate Unix GID that will be used for the NFS mount.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HCSC</author>
    <author>HCSC User</author>
  </authors>
  <commentList>
    <comment ref="C2" authorId="0" shapeId="0" xr:uid="{00000000-0006-0000-0400-000001000000}">
      <text>
        <r>
          <rPr>
            <b/>
            <sz val="8"/>
            <color indexed="81"/>
            <rFont val="Tahoma"/>
            <family val="2"/>
          </rPr>
          <t>HCSC:</t>
        </r>
        <r>
          <rPr>
            <sz val="8"/>
            <color indexed="81"/>
            <rFont val="Tahoma"/>
            <family val="2"/>
          </rPr>
          <t xml:space="preserve">
</t>
        </r>
        <r>
          <rPr>
            <b/>
            <sz val="8"/>
            <color indexed="81"/>
            <rFont val="Tahoma"/>
            <family val="2"/>
          </rPr>
          <t>Do not Type in this space!</t>
        </r>
        <r>
          <rPr>
            <sz val="8"/>
            <color indexed="81"/>
            <rFont val="Tahoma"/>
            <family val="2"/>
          </rPr>
          <t xml:space="preserve">
Use the Environment Drop-downs in cells A11-A20 to add the environments.</t>
        </r>
      </text>
    </comment>
    <comment ref="D2" authorId="0" shapeId="0" xr:uid="{00000000-0006-0000-0400-000002000000}">
      <text>
        <r>
          <rPr>
            <b/>
            <sz val="8"/>
            <color indexed="81"/>
            <rFont val="Tahoma"/>
            <family val="2"/>
          </rPr>
          <t>HCSC:</t>
        </r>
        <r>
          <rPr>
            <sz val="8"/>
            <color indexed="81"/>
            <rFont val="Tahoma"/>
            <family val="2"/>
          </rPr>
          <t xml:space="preserve">
</t>
        </r>
        <r>
          <rPr>
            <b/>
            <sz val="8"/>
            <color indexed="81"/>
            <rFont val="Tahoma"/>
            <family val="2"/>
          </rPr>
          <t>Do not Type in this space!</t>
        </r>
        <r>
          <rPr>
            <sz val="8"/>
            <color indexed="81"/>
            <rFont val="Tahoma"/>
            <family val="2"/>
          </rPr>
          <t xml:space="preserve">
Use the Environment Drop-downs in cells A11-A20 to add the environments.</t>
        </r>
      </text>
    </comment>
    <comment ref="E2" authorId="0" shapeId="0" xr:uid="{00000000-0006-0000-0400-000003000000}">
      <text>
        <r>
          <rPr>
            <b/>
            <sz val="8"/>
            <color indexed="81"/>
            <rFont val="Tahoma"/>
            <family val="2"/>
          </rPr>
          <t>HCSC:</t>
        </r>
        <r>
          <rPr>
            <sz val="8"/>
            <color indexed="81"/>
            <rFont val="Tahoma"/>
            <family val="2"/>
          </rPr>
          <t xml:space="preserve">
</t>
        </r>
        <r>
          <rPr>
            <b/>
            <sz val="8"/>
            <color indexed="81"/>
            <rFont val="Tahoma"/>
            <family val="2"/>
          </rPr>
          <t xml:space="preserve">Do not Type in this space!
</t>
        </r>
        <r>
          <rPr>
            <sz val="8"/>
            <color indexed="81"/>
            <rFont val="Tahoma"/>
            <family val="2"/>
          </rPr>
          <t>Use the Environment Drop-downs in cells A11-A20 to add the environments.</t>
        </r>
      </text>
    </comment>
    <comment ref="F2" authorId="0" shapeId="0" xr:uid="{00000000-0006-0000-0400-000004000000}">
      <text>
        <r>
          <rPr>
            <b/>
            <sz val="8"/>
            <color indexed="81"/>
            <rFont val="Tahoma"/>
            <family val="2"/>
          </rPr>
          <t>HCSC:</t>
        </r>
        <r>
          <rPr>
            <sz val="8"/>
            <color indexed="81"/>
            <rFont val="Tahoma"/>
            <family val="2"/>
          </rPr>
          <t xml:space="preserve">
</t>
        </r>
        <r>
          <rPr>
            <b/>
            <sz val="8"/>
            <color indexed="81"/>
            <rFont val="Tahoma"/>
            <family val="2"/>
          </rPr>
          <t>Do not Type in this space!</t>
        </r>
        <r>
          <rPr>
            <sz val="8"/>
            <color indexed="81"/>
            <rFont val="Tahoma"/>
            <family val="2"/>
          </rPr>
          <t xml:space="preserve">
Use the Environment Drop-downs in cells A11-A20 to add the environments.</t>
        </r>
      </text>
    </comment>
    <comment ref="G2" authorId="0" shapeId="0" xr:uid="{00000000-0006-0000-0400-000005000000}">
      <text>
        <r>
          <rPr>
            <b/>
            <sz val="8"/>
            <color indexed="81"/>
            <rFont val="Tahoma"/>
            <family val="2"/>
          </rPr>
          <t>HCSC:</t>
        </r>
        <r>
          <rPr>
            <sz val="8"/>
            <color indexed="81"/>
            <rFont val="Tahoma"/>
            <family val="2"/>
          </rPr>
          <t xml:space="preserve">
</t>
        </r>
        <r>
          <rPr>
            <b/>
            <sz val="8"/>
            <color indexed="81"/>
            <rFont val="Tahoma"/>
            <family val="2"/>
          </rPr>
          <t>Do not Type in this space!</t>
        </r>
        <r>
          <rPr>
            <sz val="8"/>
            <color indexed="81"/>
            <rFont val="Tahoma"/>
            <family val="2"/>
          </rPr>
          <t xml:space="preserve">
Use the Environment Drop-downs in cells A11-A20 to add the environments.</t>
        </r>
      </text>
    </comment>
    <comment ref="H2" authorId="0" shapeId="0" xr:uid="{00000000-0006-0000-0400-000006000000}">
      <text>
        <r>
          <rPr>
            <b/>
            <sz val="8"/>
            <color indexed="81"/>
            <rFont val="Tahoma"/>
            <family val="2"/>
          </rPr>
          <t>HCSC:</t>
        </r>
        <r>
          <rPr>
            <sz val="8"/>
            <color indexed="81"/>
            <rFont val="Tahoma"/>
            <family val="2"/>
          </rPr>
          <t xml:space="preserve">
</t>
        </r>
        <r>
          <rPr>
            <b/>
            <sz val="8"/>
            <color indexed="81"/>
            <rFont val="Tahoma"/>
            <family val="2"/>
          </rPr>
          <t>Do not Type in this space!</t>
        </r>
        <r>
          <rPr>
            <sz val="8"/>
            <color indexed="81"/>
            <rFont val="Tahoma"/>
            <family val="2"/>
          </rPr>
          <t xml:space="preserve">
Use the Environment Drop-downs in cells A11-A20 to add the environments.</t>
        </r>
      </text>
    </comment>
    <comment ref="I2" authorId="0" shapeId="0" xr:uid="{00000000-0006-0000-0400-000007000000}">
      <text>
        <r>
          <rPr>
            <b/>
            <sz val="8"/>
            <color indexed="81"/>
            <rFont val="Tahoma"/>
            <family val="2"/>
          </rPr>
          <t>HCSC:</t>
        </r>
        <r>
          <rPr>
            <sz val="8"/>
            <color indexed="81"/>
            <rFont val="Tahoma"/>
            <family val="2"/>
          </rPr>
          <t xml:space="preserve">
</t>
        </r>
        <r>
          <rPr>
            <b/>
            <sz val="8"/>
            <color indexed="81"/>
            <rFont val="Tahoma"/>
            <family val="2"/>
          </rPr>
          <t>Do not Type in this space!</t>
        </r>
        <r>
          <rPr>
            <sz val="8"/>
            <color indexed="81"/>
            <rFont val="Tahoma"/>
            <family val="2"/>
          </rPr>
          <t xml:space="preserve">
Use the Environment Drop-downs in cells A11-A20 to add the environments.</t>
        </r>
      </text>
    </comment>
    <comment ref="J2" authorId="0" shapeId="0" xr:uid="{00000000-0006-0000-0400-000008000000}">
      <text>
        <r>
          <rPr>
            <b/>
            <sz val="8"/>
            <color indexed="81"/>
            <rFont val="Tahoma"/>
            <family val="2"/>
          </rPr>
          <t>HCSC:</t>
        </r>
        <r>
          <rPr>
            <sz val="8"/>
            <color indexed="81"/>
            <rFont val="Tahoma"/>
            <family val="2"/>
          </rPr>
          <t xml:space="preserve">
</t>
        </r>
        <r>
          <rPr>
            <b/>
            <sz val="8"/>
            <color indexed="81"/>
            <rFont val="Tahoma"/>
            <family val="2"/>
          </rPr>
          <t>Do not Type in this space!</t>
        </r>
        <r>
          <rPr>
            <sz val="8"/>
            <color indexed="81"/>
            <rFont val="Tahoma"/>
            <family val="2"/>
          </rPr>
          <t xml:space="preserve">
Use the Environment Drop-downs in cells A11-A20 to add the environments.</t>
        </r>
      </text>
    </comment>
    <comment ref="K2" authorId="0" shapeId="0" xr:uid="{00000000-0006-0000-0400-000009000000}">
      <text>
        <r>
          <rPr>
            <b/>
            <sz val="8"/>
            <color indexed="81"/>
            <rFont val="Tahoma"/>
            <family val="2"/>
          </rPr>
          <t>HCSC:</t>
        </r>
        <r>
          <rPr>
            <sz val="8"/>
            <color indexed="81"/>
            <rFont val="Tahoma"/>
            <family val="2"/>
          </rPr>
          <t xml:space="preserve">
</t>
        </r>
        <r>
          <rPr>
            <b/>
            <sz val="8"/>
            <color indexed="81"/>
            <rFont val="Tahoma"/>
            <family val="2"/>
          </rPr>
          <t>Do not Type in this space!</t>
        </r>
        <r>
          <rPr>
            <sz val="8"/>
            <color indexed="81"/>
            <rFont val="Tahoma"/>
            <family val="2"/>
          </rPr>
          <t xml:space="preserve">
Use the Environment Drop-downs in cells A11-A20 to add the environments.</t>
        </r>
      </text>
    </comment>
    <comment ref="L2" authorId="0" shapeId="0" xr:uid="{00000000-0006-0000-0400-00000A000000}">
      <text>
        <r>
          <rPr>
            <b/>
            <sz val="8"/>
            <color indexed="81"/>
            <rFont val="Tahoma"/>
            <family val="2"/>
          </rPr>
          <t>HCSC:</t>
        </r>
        <r>
          <rPr>
            <sz val="8"/>
            <color indexed="81"/>
            <rFont val="Tahoma"/>
            <family val="2"/>
          </rPr>
          <t xml:space="preserve">
</t>
        </r>
        <r>
          <rPr>
            <b/>
            <sz val="8"/>
            <color indexed="81"/>
            <rFont val="Tahoma"/>
            <family val="2"/>
          </rPr>
          <t>Do not Type in this space!</t>
        </r>
        <r>
          <rPr>
            <sz val="8"/>
            <color indexed="81"/>
            <rFont val="Tahoma"/>
            <family val="2"/>
          </rPr>
          <t xml:space="preserve">
Use the Environment Drop-downs in cells A11-A20 to add the environments.</t>
        </r>
      </text>
    </comment>
    <comment ref="A3" authorId="0" shapeId="0" xr:uid="{00000000-0006-0000-0400-00000B000000}">
      <text>
        <r>
          <rPr>
            <sz val="8"/>
            <color indexed="81"/>
            <rFont val="Tahoma"/>
            <family val="2"/>
          </rPr>
          <t xml:space="preserve">
Use this row to prioritize the WebSphere provisioning.
Insert the priority number of each environment on this row, directly beneath the Environment description.</t>
        </r>
      </text>
    </comment>
    <comment ref="A5" authorId="1" shapeId="0" xr:uid="{00000000-0006-0000-0400-00000C000000}">
      <text>
        <r>
          <rPr>
            <b/>
            <sz val="9"/>
            <color indexed="81"/>
            <rFont val="Tahoma"/>
            <family val="2"/>
          </rPr>
          <t xml:space="preserve">Environment:
</t>
        </r>
        <r>
          <rPr>
            <sz val="9"/>
            <color indexed="81"/>
            <rFont val="Tahoma"/>
            <family val="2"/>
          </rPr>
          <t xml:space="preserve">
The options for these selections populate based on the environments which are available on the Distributed Assets Tab in the Environment Prioritization Section.
</t>
        </r>
      </text>
    </comment>
    <comment ref="B5" authorId="1" shapeId="0" xr:uid="{00000000-0006-0000-0400-00000D000000}">
      <text>
        <r>
          <rPr>
            <b/>
            <sz val="9"/>
            <color indexed="81"/>
            <rFont val="Tahoma"/>
            <family val="2"/>
          </rPr>
          <t xml:space="preserve">Placement:
</t>
        </r>
        <r>
          <rPr>
            <sz val="9"/>
            <color indexed="81"/>
            <rFont val="Tahoma"/>
            <family val="2"/>
          </rPr>
          <t>Will these be going on new servers or adding to existing Servers?</t>
        </r>
        <r>
          <rPr>
            <b/>
            <sz val="9"/>
            <color indexed="81"/>
            <rFont val="Tahoma"/>
            <family val="2"/>
          </rPr>
          <t xml:space="preserve">
Options:
</t>
        </r>
        <r>
          <rPr>
            <sz val="9"/>
            <color indexed="81"/>
            <rFont val="Tahoma"/>
            <family val="2"/>
          </rPr>
          <t>Existing Server</t>
        </r>
        <r>
          <rPr>
            <b/>
            <sz val="9"/>
            <color indexed="81"/>
            <rFont val="Tahoma"/>
            <family val="2"/>
          </rPr>
          <t xml:space="preserve">
</t>
        </r>
        <r>
          <rPr>
            <sz val="9"/>
            <color indexed="81"/>
            <rFont val="Tahoma"/>
            <family val="2"/>
          </rPr>
          <t xml:space="preserve">New Server
</t>
        </r>
      </text>
    </comment>
    <comment ref="C5" authorId="1" shapeId="0" xr:uid="{00000000-0006-0000-0400-00000E000000}">
      <text>
        <r>
          <rPr>
            <b/>
            <sz val="9"/>
            <color indexed="81"/>
            <rFont val="Tahoma"/>
            <family val="2"/>
          </rPr>
          <t xml:space="preserve"># of JVMs / Server:
</t>
        </r>
        <r>
          <rPr>
            <sz val="9"/>
            <color indexed="81"/>
            <rFont val="Tahoma"/>
            <family val="2"/>
          </rPr>
          <t xml:space="preserve">
How many JVMs will be added or created on each Web server?
</t>
        </r>
      </text>
    </comment>
    <comment ref="D5" authorId="1" shapeId="0" xr:uid="{00000000-0006-0000-0400-00000F000000}">
      <text>
        <r>
          <rPr>
            <b/>
            <sz val="9"/>
            <color indexed="81"/>
            <rFont val="Tahoma"/>
            <family val="2"/>
          </rPr>
          <t xml:space="preserve"># of Servers:
</t>
        </r>
        <r>
          <rPr>
            <sz val="9"/>
            <color indexed="81"/>
            <rFont val="Tahoma"/>
            <family val="2"/>
          </rPr>
          <t xml:space="preserve">How many Web servers will there be in the environment listed in Column A?
</t>
        </r>
      </text>
    </comment>
    <comment ref="E5" authorId="1" shapeId="0" xr:uid="{00000000-0006-0000-0400-000010000000}">
      <text>
        <r>
          <rPr>
            <b/>
            <sz val="9"/>
            <color indexed="81"/>
            <rFont val="Tahoma"/>
            <family val="2"/>
          </rPr>
          <t xml:space="preserve">Comments:
</t>
        </r>
        <r>
          <rPr>
            <sz val="9"/>
            <color indexed="81"/>
            <rFont val="Tahoma"/>
            <family val="2"/>
          </rPr>
          <t xml:space="preserve">Note anything here that the Websphere team may need to know here regarding the configuration of the Websphere servers which may not be included in the bottom section of this tab.
Ex.: Subscribe application to EAA Siteminder for WAS 8.5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Steve Cierniak</author>
    <author>Cara Gilmore</author>
  </authors>
  <commentList>
    <comment ref="A4" authorId="0" shapeId="0" xr:uid="{00000000-0006-0000-0500-000001000000}">
      <text>
        <r>
          <rPr>
            <b/>
            <sz val="9"/>
            <color indexed="81"/>
            <rFont val="Tahoma"/>
            <family val="2"/>
          </rPr>
          <t xml:space="preserve">Application Name:
</t>
        </r>
        <r>
          <rPr>
            <sz val="9"/>
            <color indexed="81"/>
            <rFont val="Tahoma"/>
            <family val="2"/>
          </rPr>
          <t xml:space="preserve">Application Name pulled from Project Details Tab, named cell: ProjDet_AppNameCol
</t>
        </r>
      </text>
    </comment>
    <comment ref="A5" authorId="0" shapeId="0" xr:uid="{00000000-0006-0000-0500-000002000000}">
      <text>
        <r>
          <rPr>
            <b/>
            <sz val="9"/>
            <color indexed="81"/>
            <rFont val="Tahoma"/>
            <family val="2"/>
          </rPr>
          <t>Project Name:</t>
        </r>
        <r>
          <rPr>
            <sz val="9"/>
            <color indexed="81"/>
            <rFont val="Tahoma"/>
            <family val="2"/>
          </rPr>
          <t xml:space="preserve">
Project name pulled from Project Details Tab, named cell: clarity_proj_name</t>
        </r>
      </text>
    </comment>
    <comment ref="A6" authorId="0" shapeId="0" xr:uid="{00000000-0006-0000-0500-000003000000}">
      <text>
        <r>
          <rPr>
            <b/>
            <sz val="9"/>
            <color indexed="81"/>
            <rFont val="Tahoma"/>
            <family val="2"/>
          </rPr>
          <t>Project Description:</t>
        </r>
        <r>
          <rPr>
            <sz val="9"/>
            <color indexed="81"/>
            <rFont val="Tahoma"/>
            <family val="2"/>
          </rPr>
          <t xml:space="preserve">
Description pulled from Project Details tab, named cell: lbom_description
</t>
        </r>
      </text>
    </comment>
    <comment ref="A7" authorId="0" shapeId="0" xr:uid="{00000000-0006-0000-0500-000004000000}">
      <text>
        <r>
          <rPr>
            <b/>
            <sz val="9"/>
            <color indexed="81"/>
            <rFont val="Tahoma"/>
            <family val="2"/>
          </rPr>
          <t xml:space="preserve">Clarity Project Number:
</t>
        </r>
        <r>
          <rPr>
            <sz val="9"/>
            <color indexed="81"/>
            <rFont val="Tahoma"/>
            <family val="2"/>
          </rPr>
          <t xml:space="preserve">Pulled from the Project Details tab
</t>
        </r>
      </text>
    </comment>
    <comment ref="A8" authorId="0" shapeId="0" xr:uid="{00000000-0006-0000-0500-000005000000}">
      <text>
        <r>
          <rPr>
            <b/>
            <sz val="9"/>
            <color indexed="81"/>
            <rFont val="Tahoma"/>
            <family val="2"/>
          </rPr>
          <t>Funding Code:</t>
        </r>
        <r>
          <rPr>
            <sz val="9"/>
            <color indexed="81"/>
            <rFont val="Tahoma"/>
            <family val="2"/>
          </rPr>
          <t xml:space="preserve">
Pulled form Project Details Tab, named cell: budget_number
</t>
        </r>
      </text>
    </comment>
    <comment ref="A9" authorId="0" shapeId="0" xr:uid="{00000000-0006-0000-0500-000006000000}">
      <text>
        <r>
          <rPr>
            <b/>
            <sz val="9"/>
            <color indexed="81"/>
            <rFont val="Tahoma"/>
            <family val="2"/>
          </rPr>
          <t>Contact Person Name:</t>
        </r>
        <r>
          <rPr>
            <sz val="9"/>
            <color indexed="81"/>
            <rFont val="Tahoma"/>
            <family val="2"/>
          </rPr>
          <t xml:space="preserve">
Pulls Lead Technical contact from Project Details tab, named cell: app_technical_contact</t>
        </r>
      </text>
    </comment>
    <comment ref="A11" authorId="0" shapeId="0" xr:uid="{00000000-0006-0000-0500-000007000000}">
      <text>
        <r>
          <rPr>
            <b/>
            <sz val="9"/>
            <color indexed="81"/>
            <rFont val="Tahoma"/>
            <family val="2"/>
          </rPr>
          <t xml:space="preserve">3rd Party Application:
</t>
        </r>
        <r>
          <rPr>
            <sz val="9"/>
            <color indexed="81"/>
            <rFont val="Tahoma"/>
            <family val="2"/>
          </rPr>
          <t xml:space="preserve">Idenitfy if this is a third party  purchased solution, or HCSC internally developed. </t>
        </r>
      </text>
    </comment>
    <comment ref="A12" authorId="0" shapeId="0" xr:uid="{00000000-0006-0000-0500-000008000000}">
      <text>
        <r>
          <rPr>
            <b/>
            <sz val="9"/>
            <color indexed="81"/>
            <rFont val="Tahoma"/>
            <family val="2"/>
          </rPr>
          <t>Data Model:</t>
        </r>
        <r>
          <rPr>
            <sz val="9"/>
            <color indexed="81"/>
            <rFont val="Tahoma"/>
            <family val="2"/>
          </rPr>
          <t xml:space="preserve">
Provide location of data model</t>
        </r>
      </text>
    </comment>
    <comment ref="A13" authorId="0" shapeId="0" xr:uid="{00000000-0006-0000-0500-000009000000}">
      <text>
        <r>
          <rPr>
            <b/>
            <sz val="9"/>
            <color indexed="81"/>
            <rFont val="Tahoma"/>
            <family val="2"/>
          </rPr>
          <t>Data Owner:</t>
        </r>
        <r>
          <rPr>
            <sz val="9"/>
            <color indexed="81"/>
            <rFont val="Tahoma"/>
            <family val="2"/>
          </rPr>
          <t xml:space="preserve">
Who owns the data?</t>
        </r>
      </text>
    </comment>
    <comment ref="A14" authorId="0" shapeId="0" xr:uid="{00000000-0006-0000-0500-00000A000000}">
      <text>
        <r>
          <rPr>
            <b/>
            <sz val="9"/>
            <color indexed="81"/>
            <rFont val="Tahoma"/>
            <family val="2"/>
          </rPr>
          <t>Standard Maintenance Window:</t>
        </r>
        <r>
          <rPr>
            <sz val="9"/>
            <color indexed="81"/>
            <rFont val="Tahoma"/>
            <family val="2"/>
          </rPr>
          <t xml:space="preserve">
</t>
        </r>
        <r>
          <rPr>
            <b/>
            <sz val="9"/>
            <color indexed="81"/>
            <rFont val="Tahoma"/>
            <family val="2"/>
          </rPr>
          <t>Test:</t>
        </r>
        <r>
          <rPr>
            <sz val="9"/>
            <color indexed="81"/>
            <rFont val="Tahoma"/>
            <family val="2"/>
          </rPr>
          <t xml:space="preserve">   Friday 5:00 PM - Sunday 11:59 PM
</t>
        </r>
        <r>
          <rPr>
            <b/>
            <sz val="9"/>
            <color indexed="81"/>
            <rFont val="Tahoma"/>
            <family val="2"/>
          </rPr>
          <t>Prod:</t>
        </r>
        <r>
          <rPr>
            <sz val="9"/>
            <color indexed="81"/>
            <rFont val="Tahoma"/>
            <family val="2"/>
          </rPr>
          <t xml:space="preserve">  Friday 7:00 PM - Sunday 11:59 PM
Pulled from Project Details, named cell Maintenenace_window</t>
        </r>
      </text>
    </comment>
    <comment ref="A15" authorId="1" shapeId="0" xr:uid="{00000000-0006-0000-0500-00000B000000}">
      <text>
        <r>
          <rPr>
            <b/>
            <sz val="9"/>
            <color indexed="81"/>
            <rFont val="Tahoma"/>
            <family val="2"/>
          </rPr>
          <t xml:space="preserve">Database Requirements:
</t>
        </r>
        <r>
          <rPr>
            <sz val="9"/>
            <color indexed="81"/>
            <rFont val="Tahoma"/>
            <family val="2"/>
          </rPr>
          <t xml:space="preserve">
These sections need to be completeed by Application Development team.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Steve Cierniak</author>
    <author>John Messer</author>
    <author>HCSC User</author>
  </authors>
  <commentList>
    <comment ref="A3" authorId="0" shapeId="0" xr:uid="{00000000-0006-0000-0600-000001000000}">
      <text>
        <r>
          <rPr>
            <b/>
            <sz val="9"/>
            <color indexed="81"/>
            <rFont val="Tahoma"/>
            <family val="2"/>
          </rPr>
          <t>Asset #:</t>
        </r>
        <r>
          <rPr>
            <sz val="9"/>
            <color indexed="81"/>
            <rFont val="Tahoma"/>
            <family val="2"/>
          </rPr>
          <t xml:space="preserve">
Select the Asset numbers of the SQL Database Servers that will require to have the OPT file copied or refreshed.</t>
        </r>
      </text>
    </comment>
    <comment ref="D3" authorId="1" shapeId="0" xr:uid="{00000000-0006-0000-0600-000002000000}">
      <text>
        <r>
          <rPr>
            <b/>
            <sz val="9"/>
            <color indexed="81"/>
            <rFont val="Tahoma"/>
            <family val="2"/>
          </rPr>
          <t xml:space="preserve">New Server File Location:
</t>
        </r>
        <r>
          <rPr>
            <sz val="9"/>
            <color indexed="81"/>
            <rFont val="Tahoma"/>
            <family val="2"/>
          </rPr>
          <t>This location is provided by the DBA, and unless a cluster:
C:\Program Files\Tivoli\TSM\Litespeed\dsm.opt</t>
        </r>
      </text>
    </comment>
    <comment ref="E3" authorId="1" shapeId="0" xr:uid="{00000000-0006-0000-0600-000003000000}">
      <text>
        <r>
          <rPr>
            <b/>
            <sz val="9"/>
            <color indexed="81"/>
            <rFont val="Tahoma"/>
            <family val="2"/>
          </rPr>
          <t xml:space="preserve">Source File Location:
</t>
        </r>
        <r>
          <rPr>
            <sz val="9"/>
            <color indexed="81"/>
            <rFont val="Tahoma"/>
            <family val="2"/>
          </rPr>
          <t>This location is provided by the DBA, but most likely:
C:\Program Files\Tivoli\TSM\Litespeed\dsm.opt</t>
        </r>
      </text>
    </comment>
    <comment ref="F3" authorId="0" shapeId="0" xr:uid="{00000000-0006-0000-0600-000004000000}">
      <text>
        <r>
          <rPr>
            <b/>
            <sz val="9"/>
            <color indexed="81"/>
            <rFont val="Tahoma"/>
            <family val="2"/>
          </rPr>
          <t>Usage:</t>
        </r>
        <r>
          <rPr>
            <sz val="9"/>
            <color indexed="81"/>
            <rFont val="Tahoma"/>
            <family val="2"/>
          </rPr>
          <t xml:space="preserve">
This column is used to identify whether the request is for a single time DB move or a refresh that will need to recur periodicaly.  
Single time use will need to have any associated firewall rules removed upon completion of move.</t>
        </r>
      </text>
    </comment>
    <comment ref="G3" authorId="0" shapeId="0" xr:uid="{00000000-0006-0000-0600-000005000000}">
      <text>
        <r>
          <rPr>
            <b/>
            <sz val="9"/>
            <color indexed="81"/>
            <rFont val="Tahoma"/>
            <family val="2"/>
          </rPr>
          <t>Copy across Environments:</t>
        </r>
        <r>
          <rPr>
            <sz val="9"/>
            <color indexed="81"/>
            <rFont val="Tahoma"/>
            <family val="2"/>
          </rPr>
          <t xml:space="preserve">
Only used when data is crossing from one environment to another environment.
Ex:  Test -&gt;  Prod</t>
        </r>
      </text>
    </comment>
    <comment ref="H3" authorId="0" shapeId="0" xr:uid="{00000000-0006-0000-0600-000006000000}">
      <text>
        <r>
          <rPr>
            <b/>
            <sz val="9"/>
            <color indexed="81"/>
            <rFont val="Tahoma"/>
            <family val="2"/>
          </rPr>
          <t>Firewall Rule Required?</t>
        </r>
        <r>
          <rPr>
            <sz val="9"/>
            <color indexed="81"/>
            <rFont val="Tahoma"/>
            <family val="2"/>
          </rPr>
          <t xml:space="preserve">
A temporary Firewall Rule will be required to copy across Environnments.  Some may also require IS Approval.
Have TSM identify the TSM Server name for the Rule and the port is 1500.</t>
        </r>
      </text>
    </comment>
    <comment ref="I3" authorId="2" shapeId="0" xr:uid="{00000000-0006-0000-0600-000007000000}">
      <text>
        <r>
          <rPr>
            <sz val="9"/>
            <color indexed="81"/>
            <rFont val="Tahoma"/>
            <family val="2"/>
          </rPr>
          <t xml:space="preserve">
Information Security must approve any refresh from test to prod. Information Security must also approve any refresh from prod to dev or vice versa. 
This is a calucalted tab based on column G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HCSC User</author>
    <author>Cara  Gilmore</author>
    <author>Steve Cierniak</author>
  </authors>
  <commentList>
    <comment ref="A13" authorId="0" shapeId="0" xr:uid="{00000000-0006-0000-0700-000001000000}">
      <text>
        <r>
          <rPr>
            <b/>
            <sz val="9"/>
            <color indexed="81"/>
            <rFont val="Tahoma"/>
            <family val="2"/>
          </rPr>
          <t>Authentication Directory:</t>
        </r>
        <r>
          <rPr>
            <sz val="9"/>
            <color indexed="81"/>
            <rFont val="Tahoma"/>
            <family val="2"/>
          </rPr>
          <t xml:space="preserve">
</t>
        </r>
        <r>
          <rPr>
            <b/>
            <sz val="9"/>
            <color indexed="81"/>
            <rFont val="Tahoma"/>
            <family val="2"/>
          </rPr>
          <t>Options:</t>
        </r>
        <r>
          <rPr>
            <sz val="9"/>
            <color indexed="81"/>
            <rFont val="Tahoma"/>
            <family val="2"/>
          </rPr>
          <t xml:space="preserve">
Active Directory
eDirectory
VDS
None (Secondary)</t>
        </r>
      </text>
    </comment>
    <comment ref="A14" authorId="0" shapeId="0" xr:uid="{00000000-0006-0000-0700-000002000000}">
      <text>
        <r>
          <rPr>
            <b/>
            <sz val="9"/>
            <color indexed="81"/>
            <rFont val="Tahoma"/>
            <family val="2"/>
          </rPr>
          <t xml:space="preserve">Authorization Directory:
Options:
</t>
        </r>
        <r>
          <rPr>
            <sz val="9"/>
            <color indexed="81"/>
            <rFont val="Tahoma"/>
            <family val="2"/>
          </rPr>
          <t xml:space="preserve">Active Directory
eDirectory
VDS
None (Secondary)
</t>
        </r>
      </text>
    </comment>
    <comment ref="A15" authorId="1" shapeId="0" xr:uid="{00000000-0006-0000-0700-000003000000}">
      <text>
        <r>
          <rPr>
            <b/>
            <sz val="9"/>
            <color indexed="81"/>
            <rFont val="Tahoma"/>
            <family val="2"/>
          </rPr>
          <t xml:space="preserve">EAA Siteminder Subscription: 
</t>
        </r>
        <r>
          <rPr>
            <sz val="9"/>
            <color indexed="81"/>
            <rFont val="Tahoma"/>
            <family val="2"/>
          </rPr>
          <t xml:space="preserve">These items will autopopulate based on the information in the Table of Contents - EAA Siteminder line:
If No, this is not required and fields are blacked out, 
If Yes - section will autopopulate based on the information provided in the short name on the Project Details Tab.
 </t>
        </r>
      </text>
    </comment>
    <comment ref="A19" authorId="2" shapeId="0" xr:uid="{00000000-0006-0000-0700-000004000000}">
      <text>
        <r>
          <rPr>
            <b/>
            <sz val="9"/>
            <color indexed="81"/>
            <rFont val="Tahoma"/>
            <family val="2"/>
          </rPr>
          <t>Siteminder &amp; IHS:</t>
        </r>
        <r>
          <rPr>
            <sz val="9"/>
            <color indexed="81"/>
            <rFont val="Tahoma"/>
            <family val="2"/>
          </rPr>
          <t xml:space="preserve">
TAI Agent, Agent Group and TAI ACO are only available when both Siteminder &amp; IHS are both selected on Table of Contents</t>
        </r>
      </text>
    </comment>
    <comment ref="A20" authorId="2" shapeId="0" xr:uid="{00000000-0006-0000-0700-000005000000}">
      <text>
        <r>
          <rPr>
            <b/>
            <sz val="9"/>
            <color indexed="81"/>
            <rFont val="Tahoma"/>
            <family val="2"/>
          </rPr>
          <t>Siteminder &amp; IHS:</t>
        </r>
        <r>
          <rPr>
            <sz val="9"/>
            <color indexed="81"/>
            <rFont val="Tahoma"/>
            <family val="2"/>
          </rPr>
          <t xml:space="preserve">
TAI Agent, Agent Group and TAI ACO are only available when both Siteminder &amp; IHS are both selected on Table of Contents</t>
        </r>
      </text>
    </comment>
    <comment ref="A21" authorId="2" shapeId="0" xr:uid="{00000000-0006-0000-0700-000006000000}">
      <text>
        <r>
          <rPr>
            <b/>
            <sz val="9"/>
            <color indexed="81"/>
            <rFont val="Tahoma"/>
            <family val="2"/>
          </rPr>
          <t>Siteminder &amp; IHS:</t>
        </r>
        <r>
          <rPr>
            <sz val="9"/>
            <color indexed="81"/>
            <rFont val="Tahoma"/>
            <family val="2"/>
          </rPr>
          <t xml:space="preserve">
TAI Agent, Agent Group and TAI ACO are only available when both Siteminder &amp; IHS are both selected on Table of Contents</t>
        </r>
      </text>
    </comment>
    <comment ref="A22" authorId="1" shapeId="0" xr:uid="{00000000-0006-0000-0700-000007000000}">
      <text>
        <r>
          <rPr>
            <b/>
            <sz val="9"/>
            <color indexed="81"/>
            <rFont val="Tahoma"/>
            <family val="2"/>
          </rPr>
          <t>Siteminder &amp; IHS:</t>
        </r>
        <r>
          <rPr>
            <sz val="9"/>
            <color indexed="81"/>
            <rFont val="Tahoma"/>
            <family val="2"/>
          </rPr>
          <t xml:space="preserve">
TAI Agent, Agent Group and TAI ACO are only available when both Siteminder &amp; IHS are both selected on Table of Contents</t>
        </r>
      </text>
    </comment>
    <comment ref="A24" authorId="1" shapeId="0" xr:uid="{00000000-0006-0000-0700-000008000000}">
      <text>
        <r>
          <rPr>
            <b/>
            <sz val="9"/>
            <color indexed="81"/>
            <rFont val="Tahoma"/>
            <family val="2"/>
          </rPr>
          <t>Resource (URI):</t>
        </r>
        <r>
          <rPr>
            <sz val="9"/>
            <color indexed="81"/>
            <rFont val="Tahoma"/>
            <family val="2"/>
          </rPr>
          <t xml:space="preserve">
Allows F5 Portchecking
/server status is for WILY IHS Monitoring Tool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Steve Cierniak</author>
    <author>John Messer</author>
  </authors>
  <commentList>
    <comment ref="A4" authorId="0" shapeId="0" xr:uid="{00000000-0006-0000-0800-000001000000}">
      <text>
        <r>
          <rPr>
            <sz val="9"/>
            <color indexed="81"/>
            <rFont val="Tahoma"/>
            <family val="2"/>
          </rPr>
          <t xml:space="preserve">An alert or notification created from the distributed assets tab where a Windows Physical Server requires greated than 2tB of storage.
</t>
        </r>
      </text>
    </comment>
    <comment ref="A5" authorId="0" shapeId="0" xr:uid="{00000000-0006-0000-0800-000002000000}">
      <text>
        <r>
          <rPr>
            <b/>
            <sz val="9"/>
            <color indexed="81"/>
            <rFont val="Tahoma"/>
            <family val="2"/>
          </rPr>
          <t>DNS Note/Reminder for Windows Blades:</t>
        </r>
        <r>
          <rPr>
            <sz val="9"/>
            <color indexed="81"/>
            <rFont val="Tahoma"/>
            <family val="2"/>
          </rPr>
          <t xml:space="preserve">
An OOB alias will be required for the iLo interface in the format of hostname.oob.domain</t>
        </r>
      </text>
    </comment>
    <comment ref="A12" authorId="0" shapeId="0" xr:uid="{00000000-0006-0000-0800-000003000000}">
      <text>
        <r>
          <rPr>
            <b/>
            <sz val="9"/>
            <color indexed="81"/>
            <rFont val="Tahoma"/>
            <family val="2"/>
          </rPr>
          <t>Application Team Cutover Tasks:</t>
        </r>
        <r>
          <rPr>
            <sz val="9"/>
            <color indexed="81"/>
            <rFont val="Tahoma"/>
            <family val="2"/>
          </rPr>
          <t xml:space="preserve">
This note is a reminder to App team, and is set by checking the DNS Tab, Checking for any Cutover DNS Alias /  urls.
Please add any additional App Team Cutover information.</t>
        </r>
      </text>
    </comment>
    <comment ref="A13" authorId="0" shapeId="0" xr:uid="{00000000-0006-0000-0800-000004000000}">
      <text>
        <r>
          <rPr>
            <b/>
            <sz val="9"/>
            <color indexed="81"/>
            <rFont val="Tahoma"/>
            <family val="2"/>
          </rPr>
          <t>Application Team Cutover Tasks:</t>
        </r>
        <r>
          <rPr>
            <sz val="9"/>
            <color indexed="81"/>
            <rFont val="Tahoma"/>
            <family val="2"/>
          </rPr>
          <t xml:space="preserve">
This note is a reminder to App team, and is set by checking the DNS Tab, Checking for any Cutover DNS Alias /  urls.
Please add any additional App Team Cutover information.</t>
        </r>
      </text>
    </comment>
    <comment ref="A17" authorId="0" shapeId="0" xr:uid="{00000000-0006-0000-0800-000005000000}">
      <text>
        <r>
          <rPr>
            <b/>
            <sz val="9"/>
            <color indexed="81"/>
            <rFont val="Tahoma"/>
            <family val="2"/>
          </rPr>
          <t>Cursor Stability:</t>
        </r>
        <r>
          <rPr>
            <sz val="9"/>
            <color indexed="81"/>
            <rFont val="Tahoma"/>
            <family val="2"/>
          </rPr>
          <t xml:space="preserve">
DBA's would request that any WAS server coming and accessing DB2 databases it should have CURSOR STABILITY(CS). The default is READ STABILITY(RS). If any databases needs RS the DBA's will request it to be changed back.</t>
        </r>
      </text>
    </comment>
    <comment ref="A25" authorId="1" shapeId="0" xr:uid="{00000000-0006-0000-0800-000006000000}">
      <text>
        <r>
          <rPr>
            <b/>
            <sz val="9"/>
            <color indexed="81"/>
            <rFont val="Tahoma"/>
            <family val="2"/>
          </rPr>
          <t xml:space="preserve">TSM:
</t>
        </r>
        <r>
          <rPr>
            <sz val="9"/>
            <color indexed="81"/>
            <rFont val="Tahoma"/>
            <family val="2"/>
          </rPr>
          <t>Auto populated based on if an OPT File Refresh is needed.</t>
        </r>
      </text>
    </comment>
    <comment ref="A29" authorId="0" shapeId="0" xr:uid="{00000000-0006-0000-0800-000007000000}">
      <text>
        <r>
          <rPr>
            <b/>
            <sz val="9"/>
            <color indexed="81"/>
            <rFont val="Tahoma"/>
            <family val="2"/>
          </rPr>
          <t>Network Security:</t>
        </r>
        <r>
          <rPr>
            <sz val="9"/>
            <color indexed="81"/>
            <rFont val="Tahoma"/>
            <family val="2"/>
          </rPr>
          <t xml:space="preserve">
 When recovering / moving data from Prod to Test, Port 1500 is required to be opened between Source and Destination as recorded on SQL OPT File Refresh tab.
-Auto Determined from OPT File Refresh Tab-
</t>
        </r>
      </text>
    </comment>
    <comment ref="B29" authorId="0" shapeId="0" xr:uid="{00000000-0006-0000-0800-000008000000}">
      <text>
        <r>
          <rPr>
            <b/>
            <sz val="9"/>
            <color indexed="81"/>
            <rFont val="Tahoma"/>
            <family val="2"/>
          </rPr>
          <t>Network Security:</t>
        </r>
        <r>
          <rPr>
            <sz val="9"/>
            <color indexed="81"/>
            <rFont val="Tahoma"/>
            <family val="2"/>
          </rPr>
          <t xml:space="preserve">
Determines whether the FW Rule is required for temporary or permanent access.
If temporary, the FW rule needs to be removed after use.</t>
        </r>
      </text>
    </comment>
    <comment ref="A37" authorId="0" shapeId="0" xr:uid="{00000000-0006-0000-0800-000009000000}">
      <text>
        <r>
          <rPr>
            <b/>
            <sz val="9"/>
            <color indexed="81"/>
            <rFont val="Tahoma"/>
            <family val="2"/>
          </rPr>
          <t>Hostname:</t>
        </r>
        <r>
          <rPr>
            <sz val="9"/>
            <color indexed="81"/>
            <rFont val="Tahoma"/>
            <family val="2"/>
          </rPr>
          <t xml:space="preserve">
Hostname of corresponding IP Instance selcted in Column B.</t>
        </r>
      </text>
    </comment>
    <comment ref="B37" authorId="0" shapeId="0" xr:uid="{00000000-0006-0000-0800-00000A000000}">
      <text>
        <r>
          <rPr>
            <b/>
            <sz val="9"/>
            <color indexed="81"/>
            <rFont val="Tahoma"/>
            <family val="2"/>
          </rPr>
          <t>IP Instance:</t>
        </r>
        <r>
          <rPr>
            <sz val="9"/>
            <color indexed="81"/>
            <rFont val="Tahoma"/>
            <family val="2"/>
          </rPr>
          <t xml:space="preserve">
Use Drop-down to select the IP Instance of the Server Hostname in Column A</t>
        </r>
      </text>
    </comment>
    <comment ref="C37" authorId="0" shapeId="0" xr:uid="{00000000-0006-0000-0800-00000B000000}">
      <text>
        <r>
          <rPr>
            <b/>
            <sz val="9"/>
            <color indexed="81"/>
            <rFont val="Tahoma"/>
            <family val="2"/>
          </rPr>
          <t>Middleware Installation required:</t>
        </r>
        <r>
          <rPr>
            <sz val="9"/>
            <color indexed="81"/>
            <rFont val="Tahoma"/>
            <family val="2"/>
          </rPr>
          <t xml:space="preserve">
Free-form cell to enter middleware or Client Packages needing to be installed on specfic servers.</t>
        </r>
      </text>
    </comment>
    <comment ref="D37" authorId="0" shapeId="0" xr:uid="{00000000-0006-0000-0800-00000C000000}">
      <text>
        <r>
          <rPr>
            <b/>
            <sz val="9"/>
            <color indexed="81"/>
            <rFont val="Tahoma"/>
            <family val="2"/>
          </rPr>
          <t>Group Responsible:</t>
        </r>
        <r>
          <rPr>
            <sz val="9"/>
            <color indexed="81"/>
            <rFont val="Tahoma"/>
            <family val="2"/>
          </rPr>
          <t xml:space="preserve">
The Group name of the team that will install the Middlware or Client software.
May include ServiceNow Group Name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Stephan J Cierniak</author>
    <author>HCSC</author>
    <author>Steve Cierniak</author>
    <author>Dave</author>
    <author>HCSC User</author>
    <author>S. Cierniak</author>
  </authors>
  <commentList>
    <comment ref="G5" authorId="0" shapeId="0" xr:uid="{00000000-0006-0000-0900-000001000000}">
      <text>
        <r>
          <rPr>
            <b/>
            <sz val="9"/>
            <color indexed="81"/>
            <rFont val="Tahoma"/>
            <family val="2"/>
          </rPr>
          <t>Today's date:</t>
        </r>
        <r>
          <rPr>
            <sz val="9"/>
            <color indexed="81"/>
            <rFont val="Tahoma"/>
            <family val="2"/>
          </rPr>
          <t xml:space="preserve">
*</t>
        </r>
        <r>
          <rPr>
            <b/>
            <sz val="9"/>
            <color indexed="81"/>
            <rFont val="Tahoma"/>
            <family val="2"/>
          </rPr>
          <t>Note</t>
        </r>
        <r>
          <rPr>
            <sz val="9"/>
            <color indexed="81"/>
            <rFont val="Tahoma"/>
            <family val="2"/>
          </rPr>
          <t>* Typical DCC / ICC throughput is 6 - 8 weeks from the time it enters DCC.
This estimate is based on:
2 weeks for DCC 
4 weeks for ICC 
2 weeks for App Config</t>
        </r>
      </text>
    </comment>
    <comment ref="B6" authorId="1" shapeId="0" xr:uid="{00000000-0006-0000-0900-000002000000}">
      <text>
        <r>
          <rPr>
            <b/>
            <sz val="8"/>
            <color indexed="81"/>
            <rFont val="Tahoma"/>
            <family val="2"/>
          </rPr>
          <t>HCSC:</t>
        </r>
        <r>
          <rPr>
            <sz val="8"/>
            <color indexed="81"/>
            <rFont val="Tahoma"/>
            <family val="2"/>
          </rPr>
          <t xml:space="preserve">
Enter Environments by priority of provisioning needs.
</t>
        </r>
      </text>
    </comment>
    <comment ref="C6" authorId="1" shapeId="0" xr:uid="{00000000-0006-0000-0900-000003000000}">
      <text>
        <r>
          <rPr>
            <b/>
            <sz val="8"/>
            <color indexed="81"/>
            <rFont val="Tahoma"/>
            <family val="2"/>
          </rPr>
          <t>HCSC:</t>
        </r>
        <r>
          <rPr>
            <sz val="8"/>
            <color indexed="81"/>
            <rFont val="Tahoma"/>
            <family val="2"/>
          </rPr>
          <t xml:space="preserve">
</t>
        </r>
        <r>
          <rPr>
            <b/>
            <sz val="8"/>
            <color indexed="81"/>
            <rFont val="Tahoma"/>
            <family val="2"/>
          </rPr>
          <t>Enter the Environment for this application in order of prioritization</t>
        </r>
        <r>
          <rPr>
            <sz val="8"/>
            <color indexed="81"/>
            <rFont val="Tahoma"/>
            <family val="2"/>
          </rPr>
          <t xml:space="preserve">
DEV - Development Environment
UIT - Unit Integration Test  (normally resides in DEV)
SIT - System Integration Test (normally resides in DEV)
UAT - User Acceptance Test (normally reside in Test 2.0)
L&amp;P - Load &amp; Performance  (normally reside in Test 2.0)
Test 2.0 - Future State Test Environment 
Prod 2.0 - Future State Prod Environemnt
Prod FW - Fort Worth Prod Environment
DR - Fort Worth DR Environment
Parallel - Parallel Test Environemnt
Prod 1.0 - old Prod  (No New work to go here!)
WTC Test 1.0 - old Test ( No new work to go here)
Data Validation - edit list to modify list if needed.</t>
        </r>
      </text>
    </comment>
    <comment ref="D6" authorId="1" shapeId="0" xr:uid="{00000000-0006-0000-0900-000004000000}">
      <text>
        <r>
          <rPr>
            <b/>
            <sz val="8"/>
            <color indexed="81"/>
            <rFont val="Tahoma"/>
            <family val="2"/>
          </rPr>
          <t>HCSC:</t>
        </r>
        <r>
          <rPr>
            <sz val="8"/>
            <color indexed="81"/>
            <rFont val="Tahoma"/>
            <family val="2"/>
          </rPr>
          <t xml:space="preserve">
Description of the environment</t>
        </r>
      </text>
    </comment>
    <comment ref="E6" authorId="2" shapeId="0" xr:uid="{00000000-0006-0000-0900-000005000000}">
      <text>
        <r>
          <rPr>
            <b/>
            <sz val="9"/>
            <color indexed="81"/>
            <rFont val="Tahoma"/>
            <family val="2"/>
          </rPr>
          <t xml:space="preserve">MF Environment:
</t>
        </r>
        <r>
          <rPr>
            <sz val="9"/>
            <color indexed="81"/>
            <rFont val="Tahoma"/>
            <family val="2"/>
          </rPr>
          <t>used to for CICS Tab
Click Cell and use Drop-Down to  to correct Enviornment as needed</t>
        </r>
      </text>
    </comment>
    <comment ref="F6" authorId="3" shapeId="0" xr:uid="{00000000-0006-0000-0900-000006000000}">
      <text>
        <r>
          <rPr>
            <b/>
            <sz val="8"/>
            <color indexed="81"/>
            <rFont val="Tahoma"/>
            <family val="2"/>
          </rPr>
          <t xml:space="preserve">Infrastructure Environment:
</t>
        </r>
        <r>
          <rPr>
            <sz val="8"/>
            <color indexed="81"/>
            <rFont val="Tahoma"/>
            <family val="2"/>
          </rPr>
          <t xml:space="preserve"> 
It is possible to overwrite Infrastructure Environment values for applications using non-standard Application environments.
</t>
        </r>
        <r>
          <rPr>
            <b/>
            <u/>
            <sz val="8"/>
            <color indexed="81"/>
            <rFont val="Tahoma"/>
            <family val="2"/>
          </rPr>
          <t>Valid Overwrite values:</t>
        </r>
        <r>
          <rPr>
            <sz val="8"/>
            <color indexed="81"/>
            <rFont val="Tahoma"/>
            <family val="2"/>
          </rPr>
          <t xml:space="preserve">
DEV
Test2.0
Prod2.0
Test1.0
Prod2.0</t>
        </r>
      </text>
    </comment>
    <comment ref="G6" authorId="0" shapeId="0" xr:uid="{00000000-0006-0000-0900-000007000000}">
      <text>
        <r>
          <rPr>
            <b/>
            <sz val="9"/>
            <color indexed="81"/>
            <rFont val="Tahoma"/>
            <family val="2"/>
          </rPr>
          <t>Desired Date:</t>
        </r>
        <r>
          <rPr>
            <sz val="9"/>
            <color indexed="81"/>
            <rFont val="Tahoma"/>
            <family val="2"/>
          </rPr>
          <t xml:space="preserve">
This is an estimated calculator to use as a guide to see approximately where your application is in the lifecycle as it is coming into DCC based on the standard time to complete each phase.  
*Note* Typical DCC / ICC throughput is 6 - 8 weeks from the time it enters DCC.
This estimate is based on:
2 weeks for DCC 
4 weeks for ICC 
2 weeks for App Config
</t>
        </r>
        <r>
          <rPr>
            <b/>
            <sz val="9"/>
            <color indexed="81"/>
            <rFont val="Tahoma"/>
            <family val="2"/>
          </rPr>
          <t>Color Code</t>
        </r>
        <r>
          <rPr>
            <sz val="9"/>
            <color indexed="81"/>
            <rFont val="Tahoma"/>
            <family val="2"/>
          </rPr>
          <t>:  
Red     -   Desired Date does not meet standard DCC / ICC timelines.
Yellow -   Desired Date is borderline, any delays may put into red
Green  -   Currently on schedule or ahead of schedule 
Note: These dates are pulled from the Project Details Tab, D25 - D29.</t>
        </r>
      </text>
    </comment>
    <comment ref="C24" authorId="2" shapeId="0" xr:uid="{00000000-0006-0000-0900-000008000000}">
      <text>
        <r>
          <rPr>
            <b/>
            <sz val="9"/>
            <color indexed="81"/>
            <rFont val="Tahoma"/>
            <family val="2"/>
          </rPr>
          <t>Asset Identifier:</t>
        </r>
        <r>
          <rPr>
            <sz val="9"/>
            <color indexed="81"/>
            <rFont val="Tahoma"/>
            <family val="2"/>
          </rPr>
          <t xml:space="preserve">
This number is a generated number based off the LBoM number and incrementing each item listed as an asset.
It is only used to identify new assets on the diagram only until Hostnames are assigned.
Recommended Asset Prefix guideline:
First Letter of A + LBoM Number + -
Formula:  =IF(lbom_number&lt;&gt;"",lbom_number,"")</t>
        </r>
      </text>
    </comment>
    <comment ref="AU26" authorId="2" shapeId="0" xr:uid="{00000000-0006-0000-0900-000009000000}">
      <text>
        <r>
          <rPr>
            <b/>
            <sz val="9"/>
            <color indexed="81"/>
            <rFont val="Tahoma"/>
            <family val="2"/>
          </rPr>
          <t xml:space="preserve">Kerberos Authentication Required:
</t>
        </r>
        <r>
          <rPr>
            <sz val="9"/>
            <color indexed="81"/>
            <rFont val="Tahoma"/>
            <family val="2"/>
          </rPr>
          <t xml:space="preserve">Will this server require Kerberos authenticaion?
</t>
        </r>
      </text>
    </comment>
    <comment ref="AV26" authorId="2" shapeId="0" xr:uid="{00000000-0006-0000-0900-00000A000000}">
      <text>
        <r>
          <rPr>
            <b/>
            <sz val="9"/>
            <color indexed="81"/>
            <rFont val="Tahoma"/>
            <family val="2"/>
          </rPr>
          <t>Total # of Primary NICs:</t>
        </r>
        <r>
          <rPr>
            <sz val="9"/>
            <color indexed="81"/>
            <rFont val="Tahoma"/>
            <family val="2"/>
          </rPr>
          <t xml:space="preserve">
This field is used for Physical Servers to identify number of NICs are available.</t>
        </r>
      </text>
    </comment>
    <comment ref="AW26" authorId="2" shapeId="0" xr:uid="{00000000-0006-0000-0900-00000B000000}">
      <text>
        <r>
          <rPr>
            <b/>
            <sz val="9"/>
            <color indexed="81"/>
            <rFont val="Tahoma"/>
            <family val="2"/>
          </rPr>
          <t>Primary NIC Configuration:</t>
        </r>
        <r>
          <rPr>
            <sz val="9"/>
            <color indexed="81"/>
            <rFont val="Tahoma"/>
            <family val="2"/>
          </rPr>
          <t xml:space="preserve">
This field is for Physical Servers and the configuration of the Primary NICs.</t>
        </r>
      </text>
    </comment>
    <comment ref="C27" authorId="1" shapeId="0" xr:uid="{00000000-0006-0000-0900-00000C000000}">
      <text>
        <r>
          <rPr>
            <b/>
            <sz val="8"/>
            <color indexed="81"/>
            <rFont val="Tahoma"/>
            <family val="2"/>
          </rPr>
          <t>HCSC:</t>
        </r>
        <r>
          <rPr>
            <sz val="8"/>
            <color indexed="81"/>
            <rFont val="Tahoma"/>
            <family val="2"/>
          </rPr>
          <t xml:space="preserve">
Environment for this asset</t>
        </r>
      </text>
    </comment>
    <comment ref="E27" authorId="1" shapeId="0" xr:uid="{00000000-0006-0000-0900-00000D000000}">
      <text>
        <r>
          <rPr>
            <b/>
            <sz val="8"/>
            <color indexed="81"/>
            <rFont val="Tahoma"/>
            <family val="2"/>
          </rPr>
          <t>Asset Description or Standard  Blueprint :</t>
        </r>
        <r>
          <rPr>
            <sz val="8"/>
            <color indexed="81"/>
            <rFont val="Tahoma"/>
            <family val="2"/>
          </rPr>
          <t xml:space="preserve">
Enter the custom description or Select one of the Drop-Down "BluePrint Standard Offerings"  
To access the Blueprint Offerings, Requirements to Select the following:
1.  POD Environments
2. POD Location
3.  HA or Standard
</t>
        </r>
        <r>
          <rPr>
            <b/>
            <sz val="14"/>
            <color indexed="10"/>
            <rFont val="Tahoma"/>
            <family val="2"/>
          </rPr>
          <t>Do NOT customize a BluePrint!</t>
        </r>
        <r>
          <rPr>
            <b/>
            <sz val="8"/>
            <color indexed="10"/>
            <rFont val="Tahoma"/>
            <family val="2"/>
          </rPr>
          <t xml:space="preserve">
</t>
        </r>
      </text>
    </comment>
    <comment ref="I27" authorId="1" shapeId="0" xr:uid="{00000000-0006-0000-0900-00000E000000}">
      <text>
        <r>
          <rPr>
            <b/>
            <sz val="8"/>
            <color indexed="81"/>
            <rFont val="Tahoma"/>
            <family val="2"/>
          </rPr>
          <t>HCSC:</t>
        </r>
        <r>
          <rPr>
            <sz val="8"/>
            <color indexed="81"/>
            <rFont val="Tahoma"/>
            <family val="2"/>
          </rPr>
          <t xml:space="preserve">
Layer for this asset, select from pull down
Note:  Since the availability is constantly changing due to Provisioning and Decommissioning efforts, the highlighting has been removed and this section will be the guide.  Actual availability should be confirmed within InfoBlox.
Checked availability: 10/4/2016 sjc   </t>
        </r>
        <r>
          <rPr>
            <sz val="8"/>
            <color indexed="10"/>
            <rFont val="Tahoma"/>
            <family val="2"/>
          </rPr>
          <t>NOTE:  See Netork Availabilty Tab- (Last Tab)</t>
        </r>
        <r>
          <rPr>
            <sz val="8"/>
            <color indexed="81"/>
            <rFont val="Tahoma"/>
            <family val="2"/>
          </rPr>
          <t xml:space="preserve">
</t>
        </r>
        <r>
          <rPr>
            <b/>
            <sz val="10"/>
            <color indexed="81"/>
            <rFont val="Tahoma"/>
            <family val="2"/>
          </rPr>
          <t xml:space="preserve">Dev - Waukegan </t>
        </r>
        <r>
          <rPr>
            <sz val="8"/>
            <color indexed="81"/>
            <rFont val="Tahoma"/>
            <family val="2"/>
          </rPr>
          <t xml:space="preserve">
Process 1 - Use                              Data -1 USE                        VIP Process  - USE
</t>
        </r>
        <r>
          <rPr>
            <b/>
            <u/>
            <sz val="8"/>
            <color indexed="81"/>
            <rFont val="Tahoma"/>
            <family val="2"/>
          </rPr>
          <t xml:space="preserve">
</t>
        </r>
        <r>
          <rPr>
            <b/>
            <sz val="10"/>
            <color indexed="81"/>
            <rFont val="Tahoma"/>
            <family val="2"/>
          </rPr>
          <t xml:space="preserve">Test </t>
        </r>
        <r>
          <rPr>
            <b/>
            <sz val="8"/>
            <color indexed="81"/>
            <rFont val="Tahoma"/>
            <family val="2"/>
          </rPr>
          <t xml:space="preserve">
</t>
        </r>
        <r>
          <rPr>
            <b/>
            <sz val="8"/>
            <color indexed="10"/>
            <rFont val="Tahoma"/>
            <family val="2"/>
          </rPr>
          <t>Process 1 - FULL</t>
        </r>
        <r>
          <rPr>
            <b/>
            <sz val="8"/>
            <color indexed="81"/>
            <rFont val="Tahoma"/>
            <family val="2"/>
          </rPr>
          <t xml:space="preserve">            </t>
        </r>
        <r>
          <rPr>
            <b/>
            <sz val="8"/>
            <color indexed="10"/>
            <rFont val="Tahoma"/>
            <family val="2"/>
          </rPr>
          <t xml:space="preserve">Data -1 FULL </t>
        </r>
        <r>
          <rPr>
            <b/>
            <sz val="8"/>
            <color indexed="81"/>
            <rFont val="Tahoma"/>
            <family val="2"/>
          </rPr>
          <t xml:space="preserve">        </t>
        </r>
        <r>
          <rPr>
            <b/>
            <sz val="8"/>
            <color indexed="10"/>
            <rFont val="Tahoma"/>
            <family val="2"/>
          </rPr>
          <t>VIP Intra DMZ - FULL</t>
        </r>
        <r>
          <rPr>
            <b/>
            <sz val="8"/>
            <color indexed="81"/>
            <rFont val="Tahoma"/>
            <family val="2"/>
          </rPr>
          <t xml:space="preserve">
</t>
        </r>
        <r>
          <rPr>
            <b/>
            <sz val="8"/>
            <color indexed="10"/>
            <rFont val="Tahoma"/>
            <family val="2"/>
          </rPr>
          <t>Process 2 - FULL</t>
        </r>
        <r>
          <rPr>
            <b/>
            <sz val="8"/>
            <color indexed="81"/>
            <rFont val="Tahoma"/>
            <family val="2"/>
          </rPr>
          <t xml:space="preserve">           </t>
        </r>
        <r>
          <rPr>
            <sz val="8"/>
            <color indexed="81"/>
            <rFont val="Tahoma"/>
            <family val="2"/>
          </rPr>
          <t xml:space="preserve"> Data -2 USE              VIP Intra DMZ-2 - USE</t>
        </r>
        <r>
          <rPr>
            <b/>
            <sz val="8"/>
            <color indexed="81"/>
            <rFont val="Tahoma"/>
            <family val="2"/>
          </rPr>
          <t xml:space="preserve">
</t>
        </r>
        <r>
          <rPr>
            <sz val="8"/>
            <color indexed="81"/>
            <rFont val="Tahoma"/>
            <family val="2"/>
          </rPr>
          <t>Process 3 - USE                                                   VIP INTER DMZ -USE
                                                                                                                       Intra DMZ - USE
                                                                                                                       Inter DMZ - USE</t>
        </r>
        <r>
          <rPr>
            <b/>
            <sz val="8"/>
            <color indexed="81"/>
            <rFont val="Tahoma"/>
            <family val="2"/>
          </rPr>
          <t xml:space="preserve">
</t>
        </r>
        <r>
          <rPr>
            <b/>
            <sz val="10"/>
            <color indexed="81"/>
            <rFont val="Tahoma"/>
            <family val="2"/>
          </rPr>
          <t>Prod</t>
        </r>
        <r>
          <rPr>
            <b/>
            <sz val="8"/>
            <color indexed="81"/>
            <rFont val="Tahoma"/>
            <family val="2"/>
          </rPr>
          <t xml:space="preserve">
</t>
        </r>
        <r>
          <rPr>
            <b/>
            <sz val="8"/>
            <color indexed="10"/>
            <rFont val="Tahoma"/>
            <family val="2"/>
          </rPr>
          <t>Process 1 - FULL</t>
        </r>
        <r>
          <rPr>
            <b/>
            <sz val="8"/>
            <color indexed="81"/>
            <rFont val="Tahoma"/>
            <family val="2"/>
          </rPr>
          <t xml:space="preserve">      </t>
        </r>
        <r>
          <rPr>
            <b/>
            <sz val="8"/>
            <color indexed="10"/>
            <rFont val="Tahoma"/>
            <family val="2"/>
          </rPr>
          <t>Data -1 FULL</t>
        </r>
        <r>
          <rPr>
            <b/>
            <sz val="8"/>
            <color indexed="81"/>
            <rFont val="Tahoma"/>
            <family val="2"/>
          </rPr>
          <t xml:space="preserve">                   </t>
        </r>
        <r>
          <rPr>
            <sz val="8"/>
            <color indexed="81"/>
            <rFont val="Tahoma"/>
            <family val="2"/>
          </rPr>
          <t>VIP Intra DMZ - USE</t>
        </r>
        <r>
          <rPr>
            <b/>
            <sz val="8"/>
            <color indexed="81"/>
            <rFont val="Tahoma"/>
            <family val="2"/>
          </rPr>
          <t xml:space="preserve">
</t>
        </r>
        <r>
          <rPr>
            <sz val="8"/>
            <color indexed="81"/>
            <rFont val="Tahoma"/>
            <family val="2"/>
          </rPr>
          <t xml:space="preserve">Process 2 - USE </t>
        </r>
        <r>
          <rPr>
            <b/>
            <sz val="8"/>
            <color indexed="81"/>
            <rFont val="Tahoma"/>
            <family val="2"/>
          </rPr>
          <t xml:space="preserve">           </t>
        </r>
        <r>
          <rPr>
            <sz val="8"/>
            <color indexed="81"/>
            <rFont val="Tahoma"/>
            <family val="2"/>
          </rPr>
          <t>Data -2 USE</t>
        </r>
        <r>
          <rPr>
            <b/>
            <sz val="8"/>
            <color indexed="81"/>
            <rFont val="Tahoma"/>
            <family val="2"/>
          </rPr>
          <t xml:space="preserve">          
</t>
        </r>
        <r>
          <rPr>
            <sz val="8"/>
            <color indexed="81"/>
            <rFont val="Tahoma"/>
            <family val="2"/>
          </rPr>
          <t>Process 3 - USE                                                       VIP INTER DMZ -USE</t>
        </r>
        <r>
          <rPr>
            <b/>
            <sz val="8"/>
            <color indexed="81"/>
            <rFont val="Tahoma"/>
            <family val="2"/>
          </rPr>
          <t xml:space="preserve">
</t>
        </r>
        <r>
          <rPr>
            <sz val="8"/>
            <color indexed="81"/>
            <rFont val="Tahoma"/>
            <family val="2"/>
          </rPr>
          <t xml:space="preserve">                                                                                                                            Intra DMZ - USE
                                                                                                                            Inter DMZ - USE
</t>
        </r>
      </text>
    </comment>
    <comment ref="J27" authorId="1" shapeId="0" xr:uid="{00000000-0006-0000-0900-00000F000000}">
      <text>
        <r>
          <rPr>
            <b/>
            <sz val="8"/>
            <color indexed="81"/>
            <rFont val="Tahoma"/>
            <family val="2"/>
          </rPr>
          <t>HCSC:</t>
        </r>
        <r>
          <rPr>
            <sz val="8"/>
            <color indexed="81"/>
            <rFont val="Tahoma"/>
            <family val="2"/>
          </rPr>
          <t xml:space="preserve">
Platform for this Asset, select from the pull down
** NOITES **
Appliances need SNMP to be discovered by ADDM*
</t>
        </r>
        <r>
          <rPr>
            <sz val="8"/>
            <color indexed="10"/>
            <rFont val="Tahoma"/>
            <family val="2"/>
          </rPr>
          <t>Keep OS Version types out of Platform - i.e. "Linux - SLES or Red Hat as it cause issues with the Provisioner."</t>
        </r>
      </text>
    </comment>
    <comment ref="K27" authorId="1" shapeId="0" xr:uid="{00000000-0006-0000-0900-000010000000}">
      <text>
        <r>
          <rPr>
            <b/>
            <sz val="8"/>
            <color indexed="81"/>
            <rFont val="Tahoma"/>
            <family val="2"/>
          </rPr>
          <t>HCSC:</t>
        </r>
        <r>
          <rPr>
            <sz val="8"/>
            <color indexed="81"/>
            <rFont val="Tahoma"/>
            <family val="2"/>
          </rPr>
          <t xml:space="preserve">
Selecting Physical will automatically change LAN/MAC requirements on Table of Contents to "Yes"</t>
        </r>
      </text>
    </comment>
    <comment ref="L27" authorId="1" shapeId="0" xr:uid="{00000000-0006-0000-0900-000011000000}">
      <text>
        <r>
          <rPr>
            <b/>
            <sz val="8"/>
            <color indexed="81"/>
            <rFont val="Tahoma"/>
            <family val="2"/>
          </rPr>
          <t>CPUs:</t>
        </r>
        <r>
          <rPr>
            <sz val="8"/>
            <color indexed="81"/>
            <rFont val="Tahoma"/>
            <family val="2"/>
          </rPr>
          <t xml:space="preserve">
New Assets:  Enter the requested number of CPUs
--- TomEE 1.7.3 Web profile along with Open JDK 8----
Size              vCPU         GB/RAM
micro            1                 1
small             1                 2
medium         1                 4
</t>
        </r>
        <r>
          <rPr>
            <i/>
            <sz val="8"/>
            <color indexed="23"/>
            <rFont val="Tahoma"/>
            <family val="2"/>
          </rPr>
          <t>large             2                 6    (Requires justification &amp; approval)
extra-large   2                 8    (Requires justification &amp; approval)</t>
        </r>
        <r>
          <rPr>
            <sz val="8"/>
            <color indexed="81"/>
            <rFont val="Tahoma"/>
            <family val="2"/>
          </rPr>
          <t xml:space="preserve">
Existing Assets:  Only enter if a change is being requested to the number of CPUs of the existing asset.  
If no change to existing asset cpu, black fill the cell.
===============================
Forumula added to default WAS DM Linux Servers to 2 cpu / 4 GB RAM</t>
        </r>
      </text>
    </comment>
    <comment ref="M27" authorId="2" shapeId="0" xr:uid="{00000000-0006-0000-0900-000012000000}">
      <text>
        <r>
          <rPr>
            <b/>
            <sz val="9"/>
            <color indexed="81"/>
            <rFont val="Tahoma"/>
            <family val="2"/>
          </rPr>
          <t xml:space="preserve">'Default  Processor Pool:
</t>
        </r>
        <r>
          <rPr>
            <sz val="9"/>
            <color indexed="81"/>
            <rFont val="Tahoma"/>
            <family val="2"/>
          </rPr>
          <t xml:space="preserve">
FOR AIX ONLY - 
Work with Open Systems to select correct value.</t>
        </r>
      </text>
    </comment>
    <comment ref="N27" authorId="1" shapeId="0" xr:uid="{00000000-0006-0000-0900-000013000000}">
      <text>
        <r>
          <rPr>
            <b/>
            <sz val="8"/>
            <color indexed="81"/>
            <rFont val="Tahoma"/>
            <family val="2"/>
          </rPr>
          <t>RAM:</t>
        </r>
        <r>
          <rPr>
            <sz val="8"/>
            <color indexed="81"/>
            <rFont val="Tahoma"/>
            <family val="2"/>
          </rPr>
          <t xml:space="preserve">
New Assets:  Enter the requested amount of RAM
Existing Assets:  Only enter if a change is being requested to the amount of RAM of the existing asset.  
If no change to existing asset cpu, black fill the cell.
===============================
Forumula added to default WAS DM Linux Servers to 2 cpu / 4 GB RAM</t>
        </r>
      </text>
    </comment>
    <comment ref="O27" authorId="1" shapeId="0" xr:uid="{00000000-0006-0000-0900-000014000000}">
      <text>
        <r>
          <rPr>
            <b/>
            <sz val="8"/>
            <color indexed="81"/>
            <rFont val="Tahoma"/>
            <family val="2"/>
          </rPr>
          <t>HCSC:</t>
        </r>
        <r>
          <rPr>
            <sz val="8"/>
            <color indexed="81"/>
            <rFont val="Tahoma"/>
            <family val="2"/>
          </rPr>
          <t xml:space="preserve">
Does this asset need external SAN Disk? YES or NO</t>
        </r>
      </text>
    </comment>
    <comment ref="P27" authorId="1" shapeId="0" xr:uid="{00000000-0006-0000-0900-000015000000}">
      <text>
        <r>
          <rPr>
            <b/>
            <sz val="8"/>
            <color indexed="81"/>
            <rFont val="Tahoma"/>
            <family val="2"/>
          </rPr>
          <t>HCSC:</t>
        </r>
        <r>
          <rPr>
            <sz val="8"/>
            <color indexed="81"/>
            <rFont val="Tahoma"/>
            <family val="2"/>
          </rPr>
          <t xml:space="preserve">
This column will now be for the Windows VM or Physical Server drive letters:
C:\100
D:\100
V:\ (If needed for SQL servers)
W:\
X:\
Y:\
Z:\
----
Additionally this column may be used for Linux Physical servers to differentiate between servers with different drive configurations:
OS: 2 x 1 TB
Data: 6 x 4TB
Most often used in Hadoop, Claims API, etc</t>
        </r>
      </text>
    </comment>
    <comment ref="Q27" authorId="1" shapeId="0" xr:uid="{00000000-0006-0000-0900-000016000000}">
      <text>
        <r>
          <rPr>
            <b/>
            <sz val="8"/>
            <color indexed="81"/>
            <rFont val="Tahoma"/>
            <family val="2"/>
          </rPr>
          <t>HCSC:</t>
        </r>
        <r>
          <rPr>
            <sz val="8"/>
            <color indexed="81"/>
            <rFont val="Tahoma"/>
            <family val="2"/>
          </rPr>
          <t xml:space="preserve">
Is this a cluster or HA?  Select method from pull down.</t>
        </r>
      </text>
    </comment>
    <comment ref="R27" authorId="1" shapeId="0" xr:uid="{00000000-0006-0000-0900-000017000000}">
      <text>
        <r>
          <rPr>
            <b/>
            <sz val="8"/>
            <color indexed="81"/>
            <rFont val="Tahoma"/>
            <family val="2"/>
          </rPr>
          <t>HCSC:</t>
        </r>
        <r>
          <rPr>
            <sz val="8"/>
            <color indexed="81"/>
            <rFont val="Tahoma"/>
            <family val="2"/>
          </rPr>
          <t xml:space="preserve">
If this asset is clustered,  select the asset is it clustered with.    
If there are more than 2 assets in the cluster, daisy chain the cluster members (example for a 3 asset cluster: asset1 clustered with asset2, asset2 clustered with asset3, asset3 clustered with asset1).  
</t>
        </r>
      </text>
    </comment>
    <comment ref="S27" authorId="4" shapeId="0" xr:uid="{00000000-0006-0000-0900-000018000000}">
      <text>
        <r>
          <rPr>
            <b/>
            <sz val="8"/>
            <color indexed="81"/>
            <rFont val="Tahoma"/>
            <family val="2"/>
          </rPr>
          <t xml:space="preserve">HCSC:
</t>
        </r>
        <r>
          <rPr>
            <sz val="8"/>
            <color indexed="81"/>
            <rFont val="Tahoma"/>
            <family val="2"/>
          </rPr>
          <t>Is this asset new or existing; dedicated or shared.  Select from pull down</t>
        </r>
      </text>
    </comment>
    <comment ref="T27" authorId="1" shapeId="0" xr:uid="{00000000-0006-0000-0900-000019000000}">
      <text>
        <r>
          <rPr>
            <b/>
            <sz val="8"/>
            <color indexed="81"/>
            <rFont val="Tahoma"/>
            <family val="2"/>
          </rPr>
          <t>HCSC:</t>
        </r>
        <r>
          <rPr>
            <sz val="8"/>
            <color indexed="81"/>
            <rFont val="Tahoma"/>
            <family val="2"/>
          </rPr>
          <t xml:space="preserve">
The number of IP addresses required for this asset.  
If it is in the DMZ we usually need 3 (Application Layer, Out of Band OOB and DMZ Backup) 
If it is the process layer then normally needs 2 (Application layer and Out of Band OOB interface)
</t>
        </r>
      </text>
    </comment>
    <comment ref="U27" authorId="1" shapeId="0" xr:uid="{00000000-0006-0000-0900-00001A000000}">
      <text>
        <r>
          <rPr>
            <b/>
            <sz val="8"/>
            <color indexed="81"/>
            <rFont val="Tahoma"/>
            <family val="2"/>
          </rPr>
          <t>HCSC:</t>
        </r>
        <r>
          <rPr>
            <sz val="8"/>
            <color indexed="81"/>
            <rFont val="Tahoma"/>
            <family val="2"/>
          </rPr>
          <t xml:space="preserve">
This auto populates from the IP tab.  This double checks that we are requesting the correct number of IP addresses.  
</t>
        </r>
      </text>
    </comment>
    <comment ref="V27" authorId="4" shapeId="0" xr:uid="{00000000-0006-0000-0900-00001B000000}">
      <text>
        <r>
          <rPr>
            <b/>
            <sz val="8"/>
            <color indexed="81"/>
            <rFont val="Tahoma"/>
            <family val="2"/>
          </rPr>
          <t xml:space="preserve">Server Name (Hostname):
</t>
        </r>
        <r>
          <rPr>
            <sz val="8"/>
            <color indexed="81"/>
            <rFont val="Tahoma"/>
            <family val="2"/>
          </rPr>
          <t>Insert the Server Name or Host Name (Server Group Provide the names)</t>
        </r>
        <r>
          <rPr>
            <b/>
            <sz val="8"/>
            <color indexed="81"/>
            <rFont val="Tahoma"/>
            <family val="2"/>
          </rPr>
          <t xml:space="preserve">
</t>
        </r>
        <r>
          <rPr>
            <sz val="8"/>
            <color indexed="81"/>
            <rFont val="Tahoma"/>
            <family val="2"/>
          </rPr>
          <t>**NOTE**   AIX HACMP Clusters, hostname ends with "p" to reflect the Persistent Interface.</t>
        </r>
        <r>
          <rPr>
            <b/>
            <sz val="8"/>
            <color indexed="81"/>
            <rFont val="Tahoma"/>
            <family val="2"/>
          </rPr>
          <t xml:space="preserve">
</t>
        </r>
        <r>
          <rPr>
            <b/>
            <sz val="8"/>
            <color indexed="10"/>
            <rFont val="Tahoma"/>
            <family val="2"/>
          </rPr>
          <t>Hostname Column - Must follow IP Requested for Parser to function</t>
        </r>
      </text>
    </comment>
    <comment ref="X27" authorId="4" shapeId="0" xr:uid="{00000000-0006-0000-0900-00001C000000}">
      <text>
        <r>
          <rPr>
            <b/>
            <sz val="9"/>
            <color indexed="81"/>
            <rFont val="Tahoma"/>
            <family val="2"/>
          </rPr>
          <t xml:space="preserve">Stephan J Cierniak:
</t>
        </r>
        <r>
          <rPr>
            <sz val="8"/>
            <color indexed="81"/>
            <rFont val="Tahoma"/>
            <family val="2"/>
          </rPr>
          <t>Select Websphere Version
OR IIS for Windows</t>
        </r>
        <r>
          <rPr>
            <sz val="9"/>
            <color indexed="81"/>
            <rFont val="Tahoma"/>
            <family val="2"/>
          </rPr>
          <t xml:space="preserve">
</t>
        </r>
      </text>
    </comment>
    <comment ref="Y27" authorId="2" shapeId="0" xr:uid="{00000000-0006-0000-0900-00001D000000}">
      <text>
        <r>
          <rPr>
            <b/>
            <sz val="9"/>
            <color indexed="81"/>
            <rFont val="Tahoma"/>
            <family val="2"/>
          </rPr>
          <t>DB Version:</t>
        </r>
        <r>
          <rPr>
            <sz val="9"/>
            <color indexed="81"/>
            <rFont val="Tahoma"/>
            <family val="2"/>
          </rPr>
          <t xml:space="preserve">
Select DB Version.
For Oracle, select correct Node when clustered.
*MySQL  5.6 -  requires Security Extension due to vulnerablity.  (5.7.12 is minimal acceptable version)</t>
        </r>
      </text>
    </comment>
    <comment ref="AH27" authorId="5" shapeId="0" xr:uid="{00000000-0006-0000-0900-00001E000000}">
      <text>
        <r>
          <rPr>
            <b/>
            <sz val="9"/>
            <color indexed="81"/>
            <rFont val="Tahoma"/>
            <family val="2"/>
          </rPr>
          <t>Instances:</t>
        </r>
        <r>
          <rPr>
            <sz val="9"/>
            <color indexed="81"/>
            <rFont val="Tahoma"/>
            <family val="2"/>
          </rPr>
          <t xml:space="preserve">
Only used for POD Blueprint configurations.
Identifies number of instances of the server required. 
i.e. HA may have 2 servers required.</t>
        </r>
      </text>
    </comment>
    <comment ref="AI27" authorId="4" shapeId="0" xr:uid="{00000000-0006-0000-0900-00001F000000}">
      <text>
        <r>
          <rPr>
            <b/>
            <sz val="8"/>
            <color indexed="81"/>
            <rFont val="Tahoma"/>
            <family val="2"/>
          </rPr>
          <t xml:space="preserve">Windows VM Template:
</t>
        </r>
        <r>
          <rPr>
            <sz val="8"/>
            <color indexed="81"/>
            <rFont val="Tahoma"/>
            <family val="2"/>
          </rPr>
          <t xml:space="preserve">
Formula looks for common pairings of Windows version and SQL verion to supply VM Template Type.
DropDowns are still selectable to over-ride template selection.
</t>
        </r>
        <r>
          <rPr>
            <b/>
            <sz val="8"/>
            <color indexed="81"/>
            <rFont val="Tahoma"/>
            <family val="2"/>
          </rPr>
          <t xml:space="preserve">
Old Templates requiring DVP Approval:</t>
        </r>
        <r>
          <rPr>
            <sz val="8"/>
            <color indexed="81"/>
            <rFont val="Tahoma"/>
            <family val="2"/>
          </rPr>
          <t xml:space="preserve">
Windows Server 2012 Standard = W2k12STD
Windows Server 2008 R2 Enterprise = W2K8R2ENT
Windows Server 2008 R2 Enterprise/MSSQL 2008 R2 SP3 64-bit = W2K8R2-SQL2K8R2</t>
        </r>
      </text>
    </comment>
    <comment ref="AL27" authorId="2" shapeId="0" xr:uid="{00000000-0006-0000-0900-000020000000}">
      <text>
        <r>
          <rPr>
            <b/>
            <sz val="9"/>
            <color indexed="81"/>
            <rFont val="Tahoma"/>
            <family val="2"/>
          </rPr>
          <t>Vcenter Name:</t>
        </r>
        <r>
          <rPr>
            <sz val="9"/>
            <color indexed="81"/>
            <rFont val="Tahoma"/>
            <family val="2"/>
          </rPr>
          <t xml:space="preserve">
ITAM - SQL Licensing requirement
</t>
        </r>
        <r>
          <rPr>
            <u/>
            <sz val="8"/>
            <color indexed="81"/>
            <rFont val="Tahoma"/>
            <family val="2"/>
          </rPr>
          <t>Required Inputs:</t>
        </r>
        <r>
          <rPr>
            <sz val="8"/>
            <color indexed="81"/>
            <rFont val="Tahoma"/>
            <family val="2"/>
          </rPr>
          <t xml:space="preserve">
Column G - (Virtual)
Column W - (DB Version = MSSQL)</t>
        </r>
      </text>
    </comment>
    <comment ref="AM27" authorId="2" shapeId="0" xr:uid="{00000000-0006-0000-0900-000021000000}">
      <text>
        <r>
          <rPr>
            <b/>
            <sz val="9"/>
            <color indexed="81"/>
            <rFont val="Tahoma"/>
            <family val="2"/>
          </rPr>
          <t>VMWare Cluster:</t>
        </r>
        <r>
          <rPr>
            <sz val="9"/>
            <color indexed="81"/>
            <rFont val="Tahoma"/>
            <family val="2"/>
          </rPr>
          <t xml:space="preserve">
ITAM - SQL Licensing requirement</t>
        </r>
      </text>
    </comment>
    <comment ref="AN27" authorId="2" shapeId="0" xr:uid="{00000000-0006-0000-0900-000022000000}">
      <text>
        <r>
          <rPr>
            <b/>
            <sz val="9"/>
            <color indexed="81"/>
            <rFont val="Tahoma"/>
            <family val="2"/>
          </rPr>
          <t>VMWare  Name:</t>
        </r>
        <r>
          <rPr>
            <sz val="9"/>
            <color indexed="81"/>
            <rFont val="Tahoma"/>
            <family val="2"/>
          </rPr>
          <t xml:space="preserve">
ITAM - SQL Licensing  requirement
Identifies all hosts within the given SQLVM Cluster.  These are all potential Hosts, based on VM failover.</t>
        </r>
      </text>
    </comment>
    <comment ref="AO27" authorId="2" shapeId="0" xr:uid="{00000000-0006-0000-0900-000023000000}">
      <text>
        <r>
          <rPr>
            <b/>
            <sz val="9"/>
            <color indexed="81"/>
            <rFont val="Tahoma"/>
            <family val="2"/>
          </rPr>
          <t>Virtual Processors:</t>
        </r>
        <r>
          <rPr>
            <sz val="9"/>
            <color indexed="81"/>
            <rFont val="Tahoma"/>
            <family val="2"/>
          </rPr>
          <t xml:space="preserve">
ITAM - SQL Licensing requirement</t>
        </r>
      </text>
    </comment>
    <comment ref="AP27" authorId="2" shapeId="0" xr:uid="{00000000-0006-0000-0900-000024000000}">
      <text>
        <r>
          <rPr>
            <b/>
            <sz val="9"/>
            <color indexed="81"/>
            <rFont val="Tahoma"/>
            <family val="2"/>
          </rPr>
          <t xml:space="preserve">Standard Bleprint # Servers
</t>
        </r>
        <r>
          <rPr>
            <sz val="9"/>
            <color indexed="81"/>
            <rFont val="Tahoma"/>
            <family val="2"/>
          </rPr>
          <t>Identifies the number of Server Blocks  in Blueprint  (Not HA instances)</t>
        </r>
        <r>
          <rPr>
            <b/>
            <sz val="9"/>
            <color indexed="81"/>
            <rFont val="Tahoma"/>
            <family val="2"/>
          </rPr>
          <t xml:space="preserve">
</t>
        </r>
      </text>
    </comment>
    <comment ref="AS27" authorId="2" shapeId="0" xr:uid="{00000000-0006-0000-0900-000025000000}">
      <text>
        <r>
          <rPr>
            <b/>
            <sz val="9"/>
            <color indexed="81"/>
            <rFont val="Tahoma"/>
            <family val="2"/>
          </rPr>
          <t>Initial Database Size:
Database Size required</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HCSC User</author>
    <author>HCSC</author>
    <author>John Messer</author>
    <author>Steve Cierniak</author>
  </authors>
  <commentList>
    <comment ref="K2" authorId="0" shapeId="0" xr:uid="{00000000-0006-0000-0A00-000001000000}">
      <text>
        <r>
          <rPr>
            <b/>
            <sz val="8"/>
            <color indexed="81"/>
            <rFont val="Tahoma"/>
            <family val="2"/>
          </rPr>
          <t>HCSC User:</t>
        </r>
        <r>
          <rPr>
            <sz val="8"/>
            <color indexed="81"/>
            <rFont val="Tahoma"/>
            <family val="2"/>
          </rPr>
          <t xml:space="preserve">
To run LOWER CASE macro, select the range you want to convert lower case, Press </t>
        </r>
        <r>
          <rPr>
            <sz val="8"/>
            <color indexed="81"/>
            <rFont val="Courier"/>
            <family val="3"/>
          </rPr>
          <t>Ctrl+l</t>
        </r>
        <r>
          <rPr>
            <sz val="8"/>
            <color indexed="81"/>
            <rFont val="Tahoma"/>
            <family val="2"/>
          </rPr>
          <t xml:space="preserve"> 
*NOTE*  - lowercase L</t>
        </r>
      </text>
    </comment>
    <comment ref="A3" authorId="1" shapeId="0" xr:uid="{00000000-0006-0000-0A00-000002000000}">
      <text>
        <r>
          <rPr>
            <sz val="8"/>
            <color indexed="81"/>
            <rFont val="Tahoma"/>
            <family val="2"/>
          </rPr>
          <t xml:space="preserve">
This autofills the asset and the count of IP addresses we have.
Defined name: for IP Macro</t>
        </r>
      </text>
    </comment>
    <comment ref="B3" authorId="1" shapeId="0" xr:uid="{00000000-0006-0000-0A00-000003000000}">
      <text>
        <r>
          <rPr>
            <sz val="8"/>
            <color indexed="81"/>
            <rFont val="Tahoma"/>
            <family val="2"/>
          </rPr>
          <t>Select from dropdown, the asset number as listed on the distributed assets tab.  We need to have a row for each asset IP needed… so if this is asset requires 2 IP address, we need two rows for this asset.
For Windows servers in the DMZ, a second IP interface is required for backups.
Defined name - for IP macro</t>
        </r>
      </text>
    </comment>
    <comment ref="C3" authorId="2" shapeId="0" xr:uid="{00000000-0006-0000-0A00-000004000000}">
      <text>
        <r>
          <rPr>
            <b/>
            <sz val="9"/>
            <color indexed="81"/>
            <rFont val="Tahoma"/>
            <family val="2"/>
          </rPr>
          <t xml:space="preserve">Asset IP No.
</t>
        </r>
        <r>
          <rPr>
            <sz val="9"/>
            <color indexed="81"/>
            <rFont val="Tahoma"/>
            <family val="2"/>
          </rPr>
          <t>An auto-completed incremented number of Ips that relate to the asset#</t>
        </r>
      </text>
    </comment>
    <comment ref="D3" authorId="2" shapeId="0" xr:uid="{00000000-0006-0000-0A00-000005000000}">
      <text>
        <r>
          <rPr>
            <b/>
            <sz val="9"/>
            <color indexed="81"/>
            <rFont val="Tahoma"/>
            <family val="2"/>
          </rPr>
          <t xml:space="preserve">Host Names:
</t>
        </r>
        <r>
          <rPr>
            <sz val="9"/>
            <color indexed="81"/>
            <rFont val="Tahoma"/>
            <family val="2"/>
          </rPr>
          <t>Auto completed from the distributed Assets tab</t>
        </r>
      </text>
    </comment>
    <comment ref="E3" authorId="2" shapeId="0" xr:uid="{00000000-0006-0000-0A00-000006000000}">
      <text>
        <r>
          <rPr>
            <sz val="9"/>
            <color indexed="81"/>
            <rFont val="Tahoma"/>
            <family val="2"/>
          </rPr>
          <t xml:space="preserve">
Auto completed from the distributed Assets tab</t>
        </r>
      </text>
    </comment>
    <comment ref="F3" authorId="2" shapeId="0" xr:uid="{00000000-0006-0000-0A00-000007000000}">
      <text>
        <r>
          <rPr>
            <sz val="9"/>
            <color indexed="81"/>
            <rFont val="Tahoma"/>
            <family val="2"/>
          </rPr>
          <t>Auto completed from the distributed Assets tab</t>
        </r>
      </text>
    </comment>
    <comment ref="G3" authorId="3" shapeId="0" xr:uid="{00000000-0006-0000-0A00-000008000000}">
      <text>
        <r>
          <rPr>
            <b/>
            <sz val="9"/>
            <color indexed="81"/>
            <rFont val="Tahoma"/>
            <family val="2"/>
          </rPr>
          <t xml:space="preserve">Process Layer:
</t>
        </r>
        <r>
          <rPr>
            <sz val="9"/>
            <color indexed="81"/>
            <rFont val="Tahoma"/>
            <family val="2"/>
          </rPr>
          <t xml:space="preserve">Auto completed - To determine whether IP is in Process (-1) or Process -2, use the 3rd octet.
</t>
        </r>
        <r>
          <rPr>
            <sz val="9"/>
            <color indexed="8"/>
            <rFont val="Tahoma"/>
            <family val="2"/>
          </rPr>
          <t>Prod Process -1     10.136.144</t>
        </r>
        <r>
          <rPr>
            <sz val="9"/>
            <color indexed="81"/>
            <rFont val="Tahoma"/>
            <family val="2"/>
          </rPr>
          <t>.1 - 10.136.147.255
Prod Process -2     10.136.</t>
        </r>
        <r>
          <rPr>
            <sz val="9"/>
            <color indexed="8"/>
            <rFont val="Tahoma"/>
            <family val="2"/>
          </rPr>
          <t>148.1 - 10.136.151.255
Test Process -1     10.134.144..1 - 10.134.147.255
Test Process -2     10.134.148.1 -  10.134.151.255</t>
        </r>
        <r>
          <rPr>
            <sz val="9"/>
            <color indexed="81"/>
            <rFont val="Tahoma"/>
            <family val="2"/>
          </rPr>
          <t xml:space="preserve">
</t>
        </r>
      </text>
    </comment>
    <comment ref="H3" authorId="0" shapeId="0" xr:uid="{00000000-0006-0000-0A00-000009000000}">
      <text>
        <r>
          <rPr>
            <b/>
            <sz val="8"/>
            <color indexed="81"/>
            <rFont val="Tahoma"/>
            <family val="2"/>
          </rPr>
          <t>Interface Description:</t>
        </r>
        <r>
          <rPr>
            <sz val="8"/>
            <color indexed="81"/>
            <rFont val="Tahoma"/>
            <family val="2"/>
          </rPr>
          <t xml:space="preserve">
Select the appropriate Interface(s) for this Asset.
 Recommendations by Platform: 
</t>
        </r>
        <r>
          <rPr>
            <u/>
            <sz val="8"/>
            <color indexed="81"/>
            <rFont val="Tahoma"/>
            <family val="2"/>
          </rPr>
          <t>AIX General standalone or WAS:</t>
        </r>
        <r>
          <rPr>
            <sz val="8"/>
            <color indexed="81"/>
            <rFont val="Tahoma"/>
            <family val="2"/>
          </rPr>
          <t xml:space="preserve">
1st IP -  Application Interface
2nd IP - Out of Band Interface 
3rd IP - DMZ Backup or other interface as required. 
</t>
        </r>
        <r>
          <rPr>
            <u/>
            <sz val="8"/>
            <color indexed="81"/>
            <rFont val="Tahoma"/>
            <family val="2"/>
          </rPr>
          <t>AIX  HACMP Clusters:</t>
        </r>
        <r>
          <rPr>
            <sz val="8"/>
            <color indexed="81"/>
            <rFont val="Tahoma"/>
            <family val="2"/>
          </rPr>
          <t xml:space="preserve">
1st IP - Persistent (aka Physical)  Interface
2nd IP Application Interface
3rd IP - Out of Band Interface 
</t>
        </r>
        <r>
          <rPr>
            <u/>
            <sz val="8"/>
            <color indexed="81"/>
            <rFont val="Tahoma"/>
            <family val="2"/>
          </rPr>
          <t xml:space="preserve">Linux 
</t>
        </r>
        <r>
          <rPr>
            <sz val="8"/>
            <color indexed="81"/>
            <rFont val="Tahoma"/>
            <family val="2"/>
          </rPr>
          <t xml:space="preserve">1st IP Application Interface
2nd IP - Out of Band Interface 
</t>
        </r>
        <r>
          <rPr>
            <u/>
            <sz val="8"/>
            <color indexed="81"/>
            <rFont val="Tahoma"/>
            <family val="2"/>
          </rPr>
          <t xml:space="preserve">Windows: (VM)
</t>
        </r>
        <r>
          <rPr>
            <sz val="8"/>
            <color indexed="81"/>
            <rFont val="Tahoma"/>
            <family val="2"/>
          </rPr>
          <t xml:space="preserve">1st IP -  Application Interface
</t>
        </r>
        <r>
          <rPr>
            <b/>
            <sz val="10"/>
            <color indexed="10"/>
            <rFont val="Tahoma"/>
            <family val="2"/>
          </rPr>
          <t>IMPORTANT!!!</t>
        </r>
        <r>
          <rPr>
            <sz val="10"/>
            <color indexed="10"/>
            <rFont val="Tahoma"/>
            <family val="2"/>
          </rPr>
          <t xml:space="preserve"> </t>
        </r>
        <r>
          <rPr>
            <sz val="10"/>
            <color indexed="81"/>
            <rFont val="Tahoma"/>
            <family val="2"/>
          </rPr>
          <t xml:space="preserve">
Prod 2.0 OOB must now use OOB-2.</t>
        </r>
      </text>
    </comment>
    <comment ref="I3" authorId="0" shapeId="0" xr:uid="{00000000-0006-0000-0A00-00000A000000}">
      <text>
        <r>
          <rPr>
            <b/>
            <sz val="8"/>
            <color indexed="81"/>
            <rFont val="Tahoma"/>
            <family val="2"/>
          </rPr>
          <t>Subnet/Mask:</t>
        </r>
        <r>
          <rPr>
            <sz val="8"/>
            <color indexed="81"/>
            <rFont val="Tahoma"/>
            <family val="2"/>
          </rPr>
          <t xml:space="preserve">
Auto populated based on distributed assets and BOM functions.
Defined name for IP Macro.</t>
        </r>
        <r>
          <rPr>
            <b/>
            <sz val="8"/>
            <color indexed="81"/>
            <rFont val="Tahoma"/>
            <family val="2"/>
          </rPr>
          <t xml:space="preserve">
</t>
        </r>
      </text>
    </comment>
    <comment ref="J3" authorId="0" shapeId="0" xr:uid="{00000000-0006-0000-0A00-00000B000000}">
      <text>
        <r>
          <rPr>
            <b/>
            <sz val="8"/>
            <color indexed="81"/>
            <rFont val="Tahoma"/>
            <family val="2"/>
          </rPr>
          <t>Gateway:</t>
        </r>
        <r>
          <rPr>
            <sz val="8"/>
            <color indexed="81"/>
            <rFont val="Tahoma"/>
            <family val="2"/>
          </rPr>
          <t xml:space="preserve">
Auto populated based on distributed assets and BOM functions.</t>
        </r>
      </text>
    </comment>
    <comment ref="K3" authorId="0" shapeId="0" xr:uid="{00000000-0006-0000-0A00-00000C000000}">
      <text>
        <r>
          <rPr>
            <b/>
            <sz val="8"/>
            <color indexed="81"/>
            <rFont val="Tahoma"/>
            <family val="2"/>
          </rPr>
          <t xml:space="preserve">DNS A record:
</t>
        </r>
        <r>
          <rPr>
            <sz val="8"/>
            <color indexed="81"/>
            <rFont val="Tahoma"/>
            <family val="2"/>
          </rPr>
          <t xml:space="preserve">Creates A Record by combining Hostname (Column D) with approriate domain based on OS (Column E) and Environment (Column F)
</t>
        </r>
        <r>
          <rPr>
            <b/>
            <u/>
            <sz val="8"/>
            <color indexed="81"/>
            <rFont val="Tahoma"/>
            <family val="2"/>
          </rPr>
          <t xml:space="preserve">Conditional Formatting Color Code: </t>
        </r>
        <r>
          <rPr>
            <sz val="8"/>
            <color indexed="81"/>
            <rFont val="Tahoma"/>
            <family val="2"/>
          </rPr>
          <t xml:space="preserve">
</t>
        </r>
        <r>
          <rPr>
            <b/>
            <sz val="8"/>
            <color indexed="81"/>
            <rFont val="Tahoma"/>
            <family val="2"/>
          </rPr>
          <t>RED</t>
        </r>
        <r>
          <rPr>
            <sz val="8"/>
            <color indexed="81"/>
            <rFont val="Tahoma"/>
            <family val="2"/>
          </rPr>
          <t xml:space="preserve"> - Checks hostname first letter (Environment Identifier) against Environment, colors cell Red if
mismatch is found.
</t>
        </r>
        <r>
          <rPr>
            <b/>
            <sz val="8"/>
            <color indexed="81"/>
            <rFont val="Tahoma"/>
            <family val="2"/>
          </rPr>
          <t>ORANGE</t>
        </r>
        <r>
          <rPr>
            <sz val="8"/>
            <color indexed="81"/>
            <rFont val="Tahoma"/>
            <family val="2"/>
          </rPr>
          <t xml:space="preserve"> - Duplicate Hostname
</t>
        </r>
        <r>
          <rPr>
            <b/>
            <sz val="8"/>
            <color indexed="81"/>
            <rFont val="Tahoma"/>
            <family val="2"/>
          </rPr>
          <t xml:space="preserve">Yellow </t>
        </r>
        <r>
          <rPr>
            <sz val="8"/>
            <color indexed="81"/>
            <rFont val="Tahoma"/>
            <family val="2"/>
          </rPr>
          <t xml:space="preserve">- </t>
        </r>
        <r>
          <rPr>
            <u/>
            <sz val="8"/>
            <color indexed="81"/>
            <rFont val="Tahoma"/>
            <family val="2"/>
          </rPr>
          <t>Possibly</t>
        </r>
        <r>
          <rPr>
            <sz val="8"/>
            <color indexed="81"/>
            <rFont val="Tahoma"/>
            <family val="2"/>
          </rPr>
          <t xml:space="preserve"> not a valid combination of OS, Environement, Interface type</t>
        </r>
      </text>
    </comment>
    <comment ref="L3" authorId="0" shapeId="0" xr:uid="{00000000-0006-0000-0A00-00000D000000}">
      <text>
        <r>
          <rPr>
            <b/>
            <sz val="8"/>
            <color indexed="81"/>
            <rFont val="Tahoma"/>
            <family val="2"/>
          </rPr>
          <t xml:space="preserve">Admin of Device:
</t>
        </r>
        <r>
          <rPr>
            <sz val="8"/>
            <color indexed="81"/>
            <rFont val="Tahoma"/>
            <family val="2"/>
          </rPr>
          <t xml:space="preserve">Auto populated for Open Systems and Windows; but can be manually entered for any other group/team. </t>
        </r>
        <r>
          <rPr>
            <b/>
            <sz val="8"/>
            <color indexed="81"/>
            <rFont val="Tahoma"/>
            <family val="2"/>
          </rPr>
          <t xml:space="preserve"> </t>
        </r>
      </text>
    </comment>
    <comment ref="M3" authorId="2" shapeId="0" xr:uid="{00000000-0006-0000-0A00-00000E000000}">
      <text>
        <r>
          <rPr>
            <b/>
            <sz val="9"/>
            <color indexed="81"/>
            <rFont val="Tahoma"/>
            <family val="2"/>
          </rPr>
          <t xml:space="preserve">Site Code:
</t>
        </r>
        <r>
          <rPr>
            <sz val="9"/>
            <color indexed="81"/>
            <rFont val="Tahoma"/>
            <family val="2"/>
          </rPr>
          <t>Auto-populated based on site listed in Distributed Assets and Host Naming standard tab.</t>
        </r>
      </text>
    </comment>
    <comment ref="N3" authorId="0" shapeId="0" xr:uid="{00000000-0006-0000-0A00-00000F000000}">
      <text>
        <r>
          <rPr>
            <b/>
            <sz val="8"/>
            <color indexed="81"/>
            <rFont val="Tahoma"/>
            <family val="2"/>
          </rPr>
          <t xml:space="preserve">IP Address:
</t>
        </r>
        <r>
          <rPr>
            <sz val="8"/>
            <color indexed="81"/>
            <rFont val="Tahoma"/>
            <family val="2"/>
          </rPr>
          <t xml:space="preserve">Populated by the IP Provisioner tool, but can be entereded manually if required/requested by the application team.  IP Provisioner will skip manually entered IPs. 
Authorized users will use the IP Provisioner Button to request IP addresses.
</t>
        </r>
      </text>
    </comment>
    <comment ref="O3" authorId="2" shapeId="0" xr:uid="{00000000-0006-0000-0A00-000010000000}">
      <text>
        <r>
          <rPr>
            <b/>
            <sz val="9"/>
            <color indexed="81"/>
            <rFont val="Tahoma"/>
            <family val="2"/>
          </rPr>
          <t xml:space="preserve">Subnet Lookup String:
</t>
        </r>
        <r>
          <rPr>
            <sz val="9"/>
            <color indexed="81"/>
            <rFont val="Tahoma"/>
            <family val="2"/>
          </rPr>
          <t xml:space="preserve">Auto-populated to lookup VLAN # based on BOM Functions tab </t>
        </r>
      </text>
    </comment>
    <comment ref="P3" authorId="3" shapeId="0" xr:uid="{00000000-0006-0000-0A00-000011000000}">
      <text>
        <r>
          <rPr>
            <b/>
            <sz val="9"/>
            <color indexed="81"/>
            <rFont val="Tahoma"/>
            <family val="2"/>
          </rPr>
          <t xml:space="preserve">VLAN:
</t>
        </r>
        <r>
          <rPr>
            <sz val="9"/>
            <color indexed="81"/>
            <rFont val="Tahoma"/>
            <family val="2"/>
          </rPr>
          <t xml:space="preserve">This uses a multiple criteria Search using Index &amp; Match. 
(Site Code &amp; {ENV-Interface-layer}) 
</t>
        </r>
      </text>
    </comment>
    <comment ref="R3" authorId="1" shapeId="0" xr:uid="{00000000-0006-0000-0A00-000012000000}">
      <text>
        <r>
          <rPr>
            <b/>
            <sz val="8"/>
            <color indexed="81"/>
            <rFont val="Tahoma"/>
            <family val="2"/>
          </rPr>
          <t>Resolve DNS DMZ:</t>
        </r>
        <r>
          <rPr>
            <sz val="8"/>
            <color indexed="81"/>
            <rFont val="Tahoma"/>
            <family val="2"/>
          </rPr>
          <t xml:space="preserve">
</t>
        </r>
        <r>
          <rPr>
            <sz val="8"/>
            <color indexed="32"/>
            <rFont val="Tahoma"/>
            <family val="2"/>
          </rPr>
          <t>Select if the DNS will need to resolve in the DMZ layer.
Should auto-populate from formulas based on DNS TAB.</t>
        </r>
        <r>
          <rPr>
            <sz val="8"/>
            <color indexed="81"/>
            <rFont val="Tahoma"/>
            <family val="2"/>
          </rPr>
          <t xml:space="preserve">
If on DNS Tab, alias is selected to resolve in DMZ, rule will
check the following, and still allow manual overide:
Test 2.0:   VLAN s  1715 - 1727 - Resolve DMZ   - YES
Prod 2.0:   VLANs   2715 - 2727 - Resolve DMZ - YES
Prod F.W.  VLANs   3020 - 3037 - Resolve DMZ - YES
====================
This Named cell ( ResolveInDMZcol)  is used by DNC Checker macro.</t>
        </r>
      </text>
    </comment>
    <comment ref="S3" authorId="3" shapeId="0" xr:uid="{00000000-0006-0000-0A00-000013000000}">
      <text>
        <r>
          <rPr>
            <b/>
            <sz val="9"/>
            <color indexed="81"/>
            <rFont val="Tahoma"/>
            <family val="2"/>
          </rPr>
          <t>Comments:</t>
        </r>
        <r>
          <rPr>
            <sz val="9"/>
            <color indexed="81"/>
            <rFont val="Tahoma"/>
            <family val="2"/>
          </rPr>
          <t xml:space="preserve">
A reminder to insert DMZ Backup Interface when provisioning a new server in the DMZ</t>
        </r>
      </text>
    </comment>
    <comment ref="T3" authorId="1" shapeId="0" xr:uid="{00000000-0006-0000-0A00-000014000000}">
      <text>
        <r>
          <rPr>
            <b/>
            <sz val="8"/>
            <color indexed="81"/>
            <rFont val="Tahoma"/>
            <family val="2"/>
          </rPr>
          <t xml:space="preserve">IP Prov. Results:
</t>
        </r>
        <r>
          <rPr>
            <sz val="8"/>
            <color indexed="81"/>
            <rFont val="Tahoma"/>
            <family val="2"/>
          </rPr>
          <t>After the IP provisioner is run, this column notes if the script ran successfully or if there were any errors and provides information for possible fixes.</t>
        </r>
      </text>
    </comment>
    <comment ref="U3" authorId="2" shapeId="0" xr:uid="{00000000-0006-0000-0A00-000015000000}">
      <text>
        <r>
          <rPr>
            <b/>
            <sz val="9"/>
            <color indexed="81"/>
            <rFont val="Tahoma"/>
            <family val="2"/>
          </rPr>
          <t xml:space="preserve">BAO Job ID:
</t>
        </r>
        <r>
          <rPr>
            <sz val="9"/>
            <color indexed="81"/>
            <rFont val="Tahoma"/>
            <family val="2"/>
          </rPr>
          <t>Auto-populated by the IP Provisioner and is a job number used for troubleshooting.</t>
        </r>
      </text>
    </comment>
    <comment ref="B155" authorId="1" shapeId="0" xr:uid="{00000000-0006-0000-0A00-000016000000}">
      <text>
        <r>
          <rPr>
            <b/>
            <sz val="8"/>
            <color indexed="81"/>
            <rFont val="Tahoma"/>
            <family val="2"/>
          </rPr>
          <t>HCSC:</t>
        </r>
        <r>
          <rPr>
            <sz val="8"/>
            <color indexed="81"/>
            <rFont val="Tahoma"/>
            <family val="2"/>
          </rPr>
          <t xml:space="preserve">
Macro named cell
</t>
        </r>
      </text>
    </comment>
    <comment ref="K155" authorId="3" shapeId="0" xr:uid="{00000000-0006-0000-0A00-000017000000}">
      <text>
        <r>
          <rPr>
            <b/>
            <sz val="9"/>
            <color indexed="81"/>
            <rFont val="Tahoma"/>
            <family val="2"/>
          </rPr>
          <t xml:space="preserve">VIP DNS Record:
</t>
        </r>
        <r>
          <rPr>
            <sz val="9"/>
            <color indexed="81"/>
            <rFont val="Tahoma"/>
            <family val="2"/>
          </rPr>
          <t>Auto-populated via a formula based on the IP address.</t>
        </r>
      </text>
    </comment>
    <comment ref="R155" authorId="1" shapeId="0" xr:uid="{00000000-0006-0000-0A00-000018000000}">
      <text>
        <r>
          <rPr>
            <b/>
            <sz val="8"/>
            <color indexed="81"/>
            <rFont val="Tahoma"/>
            <family val="2"/>
          </rPr>
          <t>Resolve DNS DMZ:</t>
        </r>
        <r>
          <rPr>
            <sz val="8"/>
            <color indexed="81"/>
            <rFont val="Tahoma"/>
            <family val="2"/>
          </rPr>
          <t xml:space="preserve">
Should auto-populate. 
formulas based on DNS TAB.
If on DNS Tab, alias is selected to resolve in DMZ, rule will
check the following, and still allow manual overide:
Test 2.0:   VLAN s  1715 - 1727 - Resolve DMZ   - YES
Prod 2.0:   VLANs   2715 - 2727 - Resolve DMZ - YES
Prod F.W.  VLANs   3020 - 3037 - Resolve DMZ - YES
====================
This Named cell ( ResolveInDMZcol)  is used by DNC Checker macro.</t>
        </r>
      </text>
    </comment>
    <comment ref="T155" authorId="1" shapeId="0" xr:uid="{00000000-0006-0000-0A00-000019000000}">
      <text>
        <r>
          <rPr>
            <b/>
            <sz val="8"/>
            <color indexed="81"/>
            <rFont val="Tahoma"/>
            <family val="2"/>
          </rPr>
          <t>HCSC:</t>
        </r>
        <r>
          <rPr>
            <sz val="8"/>
            <color indexed="81"/>
            <rFont val="Tahoma"/>
            <family val="2"/>
          </rPr>
          <t xml:space="preserve">
This Named cell (DNScheckerResultsCol)  is used by DNC Checker macro.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HCSC</author>
    <author>John Messer</author>
    <author>HCSC User</author>
    <author>Steve Cierniak</author>
  </authors>
  <commentList>
    <comment ref="N2" authorId="0" shapeId="0" xr:uid="{00000000-0006-0000-0B00-000001000000}">
      <text>
        <r>
          <rPr>
            <b/>
            <sz val="8"/>
            <color indexed="81"/>
            <rFont val="Tahoma"/>
            <family val="2"/>
          </rPr>
          <t>HCSC:</t>
        </r>
        <r>
          <rPr>
            <sz val="8"/>
            <color indexed="81"/>
            <rFont val="Tahoma"/>
            <family val="2"/>
          </rPr>
          <t xml:space="preserve">
Only tracking Prod 2.0
</t>
        </r>
      </text>
    </comment>
    <comment ref="A3" authorId="1" shapeId="0" xr:uid="{00000000-0006-0000-0B00-000002000000}">
      <text>
        <r>
          <rPr>
            <b/>
            <sz val="9"/>
            <color indexed="81"/>
            <rFont val="Tahoma"/>
            <family val="2"/>
          </rPr>
          <t>Asset Number:
Select the asset number of the Open systems based asset.</t>
        </r>
      </text>
    </comment>
    <comment ref="B3" authorId="1" shapeId="0" xr:uid="{00000000-0006-0000-0B00-000003000000}">
      <text>
        <r>
          <rPr>
            <b/>
            <sz val="9"/>
            <color indexed="81"/>
            <rFont val="Tahoma"/>
            <family val="2"/>
          </rPr>
          <t>Server Name:
Auto-populated from the Distributed assets tab.</t>
        </r>
      </text>
    </comment>
    <comment ref="C3" authorId="0" shapeId="0" xr:uid="{00000000-0006-0000-0B00-000004000000}">
      <text>
        <r>
          <rPr>
            <sz val="8"/>
            <color indexed="81"/>
            <rFont val="Tahoma"/>
            <family val="2"/>
          </rPr>
          <t xml:space="preserve">
Enter the VIO server name if this is an AIX box.
Manually entered by Open Systems for AIX servers.</t>
        </r>
      </text>
    </comment>
    <comment ref="D3" authorId="1" shapeId="0" xr:uid="{00000000-0006-0000-0B00-000005000000}">
      <text>
        <r>
          <rPr>
            <b/>
            <sz val="9"/>
            <color indexed="81"/>
            <rFont val="Tahoma"/>
            <family val="2"/>
          </rPr>
          <t>OS Type:
Auto-populated from the Distributed assets tab.</t>
        </r>
      </text>
    </comment>
    <comment ref="E3" authorId="1" shapeId="0" xr:uid="{00000000-0006-0000-0B00-000006000000}">
      <text>
        <r>
          <rPr>
            <b/>
            <sz val="9"/>
            <color indexed="81"/>
            <rFont val="Tahoma"/>
            <family val="2"/>
          </rPr>
          <t>Server Name:
Auto-populated from the Distributed assets tab.</t>
        </r>
      </text>
    </comment>
    <comment ref="F3" authorId="2" shapeId="0" xr:uid="{00000000-0006-0000-0B00-000007000000}">
      <text>
        <r>
          <rPr>
            <b/>
            <sz val="8"/>
            <color indexed="32"/>
            <rFont val="Tahoma"/>
            <family val="2"/>
          </rPr>
          <t>Layer:
idenitufy Layer</t>
        </r>
        <r>
          <rPr>
            <sz val="8"/>
            <color indexed="81"/>
            <rFont val="Tahoma"/>
            <family val="2"/>
          </rPr>
          <t xml:space="preserve">
</t>
        </r>
      </text>
    </comment>
    <comment ref="G3" authorId="1" shapeId="0" xr:uid="{00000000-0006-0000-0B00-000008000000}">
      <text>
        <r>
          <rPr>
            <b/>
            <sz val="9"/>
            <color indexed="81"/>
            <rFont val="Tahoma"/>
            <family val="2"/>
          </rPr>
          <t>Entered manually by Open Systems team when using AIX servers.</t>
        </r>
      </text>
    </comment>
    <comment ref="H3" authorId="0" shapeId="0" xr:uid="{00000000-0006-0000-0B00-000009000000}">
      <text>
        <r>
          <rPr>
            <b/>
            <sz val="8"/>
            <color indexed="81"/>
            <rFont val="Tahoma"/>
            <family val="2"/>
          </rPr>
          <t>File Systems Requirements:</t>
        </r>
        <r>
          <rPr>
            <sz val="8"/>
            <color indexed="81"/>
            <rFont val="Tahoma"/>
            <family val="2"/>
          </rPr>
          <t xml:space="preserve">
Define the File systems and their sizing. This is completed by the Open Systems team with input from the application team.
Autopopulated from the BOM funtions, but can be edited to add additional non-standard filesystems.</t>
        </r>
      </text>
    </comment>
    <comment ref="I3" authorId="0" shapeId="0" xr:uid="{00000000-0006-0000-0B00-00000A000000}">
      <text>
        <r>
          <rPr>
            <sz val="8"/>
            <color indexed="81"/>
            <rFont val="Tahoma"/>
            <family val="2"/>
          </rPr>
          <t xml:space="preserve">
</t>
        </r>
        <r>
          <rPr>
            <b/>
            <sz val="8"/>
            <color indexed="81"/>
            <rFont val="Tahoma"/>
            <family val="2"/>
          </rPr>
          <t>Total OS File System Needs</t>
        </r>
        <r>
          <rPr>
            <sz val="8"/>
            <color indexed="81"/>
            <rFont val="Tahoma"/>
            <family val="2"/>
          </rPr>
          <t>:
Calculate the total size you need for the OS file system.</t>
        </r>
      </text>
    </comment>
    <comment ref="J3" authorId="0" shapeId="0" xr:uid="{00000000-0006-0000-0B00-00000B000000}">
      <text>
        <r>
          <rPr>
            <b/>
            <sz val="8"/>
            <color indexed="81"/>
            <rFont val="Tahoma"/>
            <family val="2"/>
          </rPr>
          <t>Middleware File System Requirements:</t>
        </r>
        <r>
          <rPr>
            <sz val="8"/>
            <color indexed="81"/>
            <rFont val="Tahoma"/>
            <family val="2"/>
          </rPr>
          <t xml:space="preserve">
</t>
        </r>
        <r>
          <rPr>
            <sz val="8"/>
            <color indexed="8"/>
            <rFont val="Tahoma"/>
            <family val="2"/>
          </rPr>
          <t>List separately the file system requirements needed for middleware., for example: WAS, DB2, Oracle, etc...</t>
        </r>
        <r>
          <rPr>
            <sz val="8"/>
            <color indexed="81"/>
            <rFont val="Tahoma"/>
            <family val="2"/>
          </rPr>
          <t xml:space="preserve">
DB Requires: 
Autopopulated from BOM fuctions
ENV, Cluster, and DB from Dist Assets Tab,
DB Size from DB Request / DB ALL</t>
        </r>
      </text>
    </comment>
    <comment ref="K3" authorId="0" shapeId="0" xr:uid="{00000000-0006-0000-0B00-00000C000000}">
      <text>
        <r>
          <rPr>
            <b/>
            <sz val="8"/>
            <color indexed="81"/>
            <rFont val="Tahoma"/>
            <family val="2"/>
          </rPr>
          <t xml:space="preserve">Total Middleware  File System Needs:
For AIX: </t>
        </r>
        <r>
          <rPr>
            <sz val="8"/>
            <color indexed="81"/>
            <rFont val="Tahoma"/>
            <family val="2"/>
          </rPr>
          <t>Identify each individual LUNs (vDisks) required.
Each LUN should be listed separately do not do multiple quantites.  If you do not enter like the example, this will not work on the Storage Tab for Split VDisk Line function.
EX:                              
100
20
35
50</t>
        </r>
      </text>
    </comment>
    <comment ref="L3" authorId="2" shapeId="0" xr:uid="{00000000-0006-0000-0B00-00000D000000}">
      <text>
        <r>
          <rPr>
            <b/>
            <sz val="9"/>
            <color indexed="81"/>
            <rFont val="Tahoma"/>
            <family val="2"/>
          </rPr>
          <t>NFS Mount Point on Unix / Linux:</t>
        </r>
        <r>
          <rPr>
            <sz val="9"/>
            <color indexed="81"/>
            <rFont val="Tahoma"/>
            <family val="2"/>
          </rPr>
          <t xml:space="preserve">
Populate this cell with the Unix export path that will be used for the NFS mount.</t>
        </r>
      </text>
    </comment>
    <comment ref="N3" authorId="0" shapeId="0" xr:uid="{00000000-0006-0000-0B00-00000E000000}">
      <text>
        <r>
          <rPr>
            <b/>
            <sz val="8"/>
            <color indexed="81"/>
            <rFont val="Tahoma"/>
            <family val="2"/>
          </rPr>
          <t xml:space="preserve">
DR Tier:
</t>
        </r>
        <r>
          <rPr>
            <sz val="8"/>
            <color indexed="81"/>
            <rFont val="Tahoma"/>
            <family val="2"/>
          </rPr>
          <t xml:space="preserve">This section is auto-populated and reviewed by the Open Systems team and DR teams. </t>
        </r>
        <r>
          <rPr>
            <b/>
            <sz val="8"/>
            <color indexed="81"/>
            <rFont val="Tahoma"/>
            <family val="2"/>
          </rPr>
          <t xml:space="preserve">
</t>
        </r>
        <r>
          <rPr>
            <sz val="8"/>
            <color indexed="81"/>
            <rFont val="Tahoma"/>
            <family val="2"/>
          </rPr>
          <t xml:space="preserve">
</t>
        </r>
        <r>
          <rPr>
            <b/>
            <sz val="8"/>
            <color indexed="81"/>
            <rFont val="Tahoma"/>
            <family val="2"/>
          </rPr>
          <t>AIX:</t>
        </r>
        <r>
          <rPr>
            <sz val="8"/>
            <color indexed="81"/>
            <rFont val="Tahoma"/>
            <family val="2"/>
          </rPr>
          <t xml:space="preserve">  Tier 1 applications require the application LUNs as well as root volume group LUNs flagged for global mirror replication and are to be managed by zena.  For all tiers, we ask that odd numbered servers be backed up to odd numbered TSM servers and even numbered servers backed up to even numbered TSM servers.  This will ensure hypervisor, if implemented will be functional with the arrangement across the two DR frames.  
</t>
        </r>
        <r>
          <rPr>
            <b/>
            <sz val="8"/>
            <color indexed="81"/>
            <rFont val="Tahoma"/>
            <family val="2"/>
          </rPr>
          <t>SUN:</t>
        </r>
        <r>
          <rPr>
            <sz val="8"/>
            <color indexed="81"/>
            <rFont val="Tahoma"/>
            <family val="2"/>
          </rPr>
          <t xml:space="preserve">  Tier 1 applications require the application LUNs as well as root volume group LUNs  flagged for global  mirror replication and are to be managed by zena.  
</t>
        </r>
        <r>
          <rPr>
            <b/>
            <sz val="8"/>
            <color indexed="81"/>
            <rFont val="Tahoma"/>
            <family val="2"/>
          </rPr>
          <t xml:space="preserve">Linux: </t>
        </r>
        <r>
          <rPr>
            <sz val="8"/>
            <color indexed="81"/>
            <rFont val="Tahoma"/>
            <family val="2"/>
          </rPr>
          <t xml:space="preserve"> Tier 1-4 must be built on a replicated LUN on VMware including an SRM recovery plan created for DR recovery that matches the resources allocated in PROD.  If the application installation in PROD requires stand-alone hardware, regardless of tier, it will need stand-alone hardware resources provided for the recovery in DR.  Else a waiver of some sort would need to be signed off by the application area (with vendor supporting documentation)  indicating that recovery to virtualized hardware is acceptable.   
</t>
        </r>
      </text>
    </comment>
    <comment ref="O3" authorId="0" shapeId="0" xr:uid="{00000000-0006-0000-0B00-00000F000000}">
      <text>
        <r>
          <rPr>
            <b/>
            <sz val="8"/>
            <color indexed="81"/>
            <rFont val="Tahoma"/>
            <family val="2"/>
          </rPr>
          <t xml:space="preserve">
DR Tier Additional Instructions:
</t>
        </r>
        <r>
          <rPr>
            <sz val="8"/>
            <color indexed="81"/>
            <rFont val="Tahoma"/>
            <family val="2"/>
          </rPr>
          <t xml:space="preserve">This section is auto-populated and reviewed by the Open Systems team and DR teams. </t>
        </r>
        <r>
          <rPr>
            <b/>
            <sz val="8"/>
            <color indexed="81"/>
            <rFont val="Tahoma"/>
            <family val="2"/>
          </rPr>
          <t xml:space="preserve">
</t>
        </r>
        <r>
          <rPr>
            <sz val="8"/>
            <color indexed="81"/>
            <rFont val="Tahoma"/>
            <family val="2"/>
          </rPr>
          <t xml:space="preserve">
</t>
        </r>
      </text>
    </comment>
    <comment ref="P3" authorId="0" shapeId="0" xr:uid="{00000000-0006-0000-0B00-000010000000}">
      <text>
        <r>
          <rPr>
            <b/>
            <sz val="8"/>
            <color indexed="81"/>
            <rFont val="Tahoma"/>
            <family val="2"/>
          </rPr>
          <t xml:space="preserve">DR  VIO Server Name:
</t>
        </r>
        <r>
          <rPr>
            <sz val="8"/>
            <color indexed="81"/>
            <rFont val="Tahoma"/>
            <family val="2"/>
          </rPr>
          <t xml:space="preserve">This section is auto-populated and reviewed by the Open Systems team and DR teams. </t>
        </r>
      </text>
    </comment>
    <comment ref="Q3" authorId="0" shapeId="0" xr:uid="{00000000-0006-0000-0B00-000011000000}">
      <text>
        <r>
          <rPr>
            <b/>
            <sz val="8"/>
            <color indexed="81"/>
            <rFont val="Tahoma"/>
            <family val="2"/>
          </rPr>
          <t xml:space="preserve">
DR Frame Name:
</t>
        </r>
        <r>
          <rPr>
            <sz val="8"/>
            <color indexed="81"/>
            <rFont val="Tahoma"/>
            <family val="2"/>
          </rPr>
          <t xml:space="preserve">This section is auto-populated and reviewed by the Open Systems team and DR teams. </t>
        </r>
        <r>
          <rPr>
            <b/>
            <sz val="8"/>
            <color indexed="81"/>
            <rFont val="Tahoma"/>
            <family val="2"/>
          </rPr>
          <t xml:space="preserve">
</t>
        </r>
        <r>
          <rPr>
            <sz val="8"/>
            <color indexed="81"/>
            <rFont val="Tahoma"/>
            <family val="2"/>
          </rPr>
          <t xml:space="preserve">
</t>
        </r>
      </text>
    </comment>
    <comment ref="T3" authorId="1" shapeId="0" xr:uid="{00000000-0006-0000-0B00-000012000000}">
      <text>
        <r>
          <rPr>
            <b/>
            <sz val="9"/>
            <color indexed="81"/>
            <rFont val="Tahoma"/>
            <family val="2"/>
          </rPr>
          <t xml:space="preserve">Legacy Server Name:
</t>
        </r>
        <r>
          <rPr>
            <sz val="9"/>
            <color indexed="81"/>
            <rFont val="Tahoma"/>
            <family val="2"/>
          </rPr>
          <t>Auto-populated from Dist. Assets.</t>
        </r>
      </text>
    </comment>
    <comment ref="V3" authorId="3" shapeId="0" xr:uid="{00000000-0006-0000-0B00-000013000000}">
      <text>
        <r>
          <rPr>
            <b/>
            <sz val="9"/>
            <color indexed="81"/>
            <rFont val="Tahoma"/>
            <family val="2"/>
          </rPr>
          <t>Database configuration:</t>
        </r>
        <r>
          <rPr>
            <sz val="9"/>
            <color indexed="81"/>
            <rFont val="Tahoma"/>
            <family val="2"/>
          </rPr>
          <t xml:space="preserve">
This column is calculated based on Distributed assets settings to determine the database configuration: Either Standalone or  Clustered.
This field is used to process the DB File System and LUNs.
</t>
        </r>
      </text>
    </comment>
    <comment ref="X3" authorId="1" shapeId="0" xr:uid="{00000000-0006-0000-0B00-000014000000}">
      <text>
        <r>
          <rPr>
            <b/>
            <sz val="9"/>
            <color indexed="81"/>
            <rFont val="Tahoma"/>
            <family val="2"/>
          </rPr>
          <t>Asset Number:
Select the asset number of the Open systems based asset.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Irene Oh</author>
    <author>Steve Cierniak</author>
  </authors>
  <commentList>
    <comment ref="A3" authorId="0" shapeId="0" xr:uid="{00000000-0006-0000-0C00-000001000000}">
      <text>
        <r>
          <rPr>
            <b/>
            <sz val="9"/>
            <color indexed="81"/>
            <rFont val="Tahoma"/>
            <family val="2"/>
          </rPr>
          <t>IP Asset Number:</t>
        </r>
        <r>
          <rPr>
            <sz val="9"/>
            <color indexed="81"/>
            <rFont val="Tahoma"/>
            <family val="2"/>
          </rPr>
          <t xml:space="preserve">
Select the correct IP Instance of Select the primary IP asset from the drop down.  
Asset Number descriptions can be referenced on the Distributed Assets tab and IP Instances can be referenced on the IP Tab.</t>
        </r>
      </text>
    </comment>
    <comment ref="B3" authorId="0" shapeId="0" xr:uid="{00000000-0006-0000-0C00-000002000000}">
      <text>
        <r>
          <rPr>
            <b/>
            <sz val="9"/>
            <color indexed="81"/>
            <rFont val="Tahoma"/>
            <family val="2"/>
          </rPr>
          <t>HTTP / FTP:</t>
        </r>
        <r>
          <rPr>
            <sz val="9"/>
            <color indexed="81"/>
            <rFont val="Tahoma"/>
            <family val="2"/>
          </rPr>
          <t xml:space="preserve">
Select HTTP for Webserver (IIS) or FTP request.</t>
        </r>
      </text>
    </comment>
    <comment ref="C3" authorId="0" shapeId="0" xr:uid="{00000000-0006-0000-0C00-000003000000}">
      <text>
        <r>
          <rPr>
            <b/>
            <sz val="9"/>
            <color indexed="81"/>
            <rFont val="Tahoma"/>
            <family val="2"/>
          </rPr>
          <t>Central FTP Server:</t>
        </r>
        <r>
          <rPr>
            <sz val="9"/>
            <color indexed="81"/>
            <rFont val="Tahoma"/>
            <family val="2"/>
          </rPr>
          <t xml:space="preserve">
The Central FTP Server will auto-populate from the Host-References tab.</t>
        </r>
      </text>
    </comment>
    <comment ref="D3" authorId="0" shapeId="0" xr:uid="{00000000-0006-0000-0C00-000004000000}">
      <text>
        <r>
          <rPr>
            <b/>
            <sz val="9"/>
            <color indexed="81"/>
            <rFont val="Tahoma"/>
            <family val="2"/>
          </rPr>
          <t>Central FTP 
Server IP:</t>
        </r>
        <r>
          <rPr>
            <sz val="9"/>
            <color indexed="81"/>
            <rFont val="Tahoma"/>
            <family val="2"/>
          </rPr>
          <t xml:space="preserve">
The Central FTP Server IP will auto-populate from the Host-References tab</t>
        </r>
      </text>
    </comment>
    <comment ref="E3" authorId="0" shapeId="0" xr:uid="{00000000-0006-0000-0C00-000005000000}">
      <text>
        <r>
          <rPr>
            <b/>
            <sz val="9"/>
            <color indexed="81"/>
            <rFont val="Tahoma"/>
            <family val="2"/>
          </rPr>
          <t>NPID:</t>
        </r>
        <r>
          <rPr>
            <sz val="9"/>
            <color indexed="81"/>
            <rFont val="Tahoma"/>
            <family val="2"/>
          </rPr>
          <t xml:space="preserve">
Enter the Non Person ID that will be used for FTP Services.  A discussion should take place with Windows Engineering and the Application Team to determine the name.</t>
        </r>
      </text>
    </comment>
    <comment ref="F3" authorId="0" shapeId="0" xr:uid="{00000000-0006-0000-0C00-000006000000}">
      <text>
        <r>
          <rPr>
            <b/>
            <sz val="9"/>
            <color indexed="81"/>
            <rFont val="Tahoma"/>
            <family val="2"/>
          </rPr>
          <t>FTP virtual directory name:</t>
        </r>
        <r>
          <rPr>
            <sz val="9"/>
            <color indexed="81"/>
            <rFont val="Tahoma"/>
            <family val="2"/>
          </rPr>
          <t xml:space="preserve">
The FTP Virtual Directory Name will auto-populate based on a forumla in this column.</t>
        </r>
      </text>
    </comment>
    <comment ref="G3" authorId="0" shapeId="0" xr:uid="{00000000-0006-0000-0C00-000007000000}">
      <text>
        <r>
          <rPr>
            <b/>
            <sz val="9"/>
            <color indexed="81"/>
            <rFont val="Tahoma"/>
            <family val="2"/>
          </rPr>
          <t>New Host Name:</t>
        </r>
        <r>
          <rPr>
            <sz val="9"/>
            <color indexed="81"/>
            <rFont val="Tahoma"/>
            <family val="2"/>
          </rPr>
          <t xml:space="preserve">
The new Host Name will auto-populate from the Distributed Assets tab.</t>
        </r>
      </text>
    </comment>
    <comment ref="H3" authorId="0" shapeId="0" xr:uid="{00000000-0006-0000-0C00-000008000000}">
      <text>
        <r>
          <rPr>
            <b/>
            <sz val="9"/>
            <color indexed="81"/>
            <rFont val="Tahoma"/>
            <family val="2"/>
          </rPr>
          <t>New Server IP Address:</t>
        </r>
        <r>
          <rPr>
            <sz val="9"/>
            <color indexed="81"/>
            <rFont val="Tahoma"/>
            <family val="2"/>
          </rPr>
          <t xml:space="preserve">
The IP of the new server will auto-populate from the IP tab.</t>
        </r>
      </text>
    </comment>
    <comment ref="I3" authorId="0" shapeId="0" xr:uid="{00000000-0006-0000-0C00-000009000000}">
      <text>
        <r>
          <rPr>
            <b/>
            <sz val="9"/>
            <color indexed="81"/>
            <rFont val="Tahoma"/>
            <family val="2"/>
          </rPr>
          <t>Share Name:</t>
        </r>
        <r>
          <rPr>
            <sz val="9"/>
            <color indexed="81"/>
            <rFont val="Tahoma"/>
            <family val="2"/>
          </rPr>
          <t xml:space="preserve">
Enter the FTP Shared Directory name that will be used for FTP Services.  A discussion should take place with Windows Engineering and the Application Team to determine the name.
Share name and NPIDs are often the same.</t>
        </r>
      </text>
    </comment>
    <comment ref="J3" authorId="1" shapeId="0" xr:uid="{00000000-0006-0000-0C00-00000A000000}">
      <text>
        <r>
          <rPr>
            <b/>
            <sz val="9"/>
            <color indexed="81"/>
            <rFont val="Tahoma"/>
            <family val="2"/>
          </rPr>
          <t>Hostname\ Share Name:</t>
        </r>
        <r>
          <rPr>
            <sz val="9"/>
            <color indexed="81"/>
            <rFont val="Tahoma"/>
            <family val="2"/>
          </rPr>
          <t xml:space="preserve">
This field will auto-populate based on the Host Name and Share Name for FTP services.</t>
        </r>
      </text>
    </comment>
    <comment ref="K3" authorId="0" shapeId="0" xr:uid="{00000000-0006-0000-0C00-00000B000000}">
      <text>
        <r>
          <rPr>
            <b/>
            <sz val="9"/>
            <color indexed="81"/>
            <rFont val="Tahoma"/>
            <family val="2"/>
          </rPr>
          <t>FTP account to do FTP:</t>
        </r>
        <r>
          <rPr>
            <sz val="9"/>
            <color indexed="81"/>
            <rFont val="Tahoma"/>
            <family val="2"/>
          </rPr>
          <t xml:space="preserve">
This field will auto-populate the AD Domain/FTP Account for FTP Services based on a formula in this column.</t>
        </r>
      </text>
    </comment>
    <comment ref="L3" authorId="0" shapeId="0" xr:uid="{00000000-0006-0000-0C00-00000C000000}">
      <text>
        <r>
          <rPr>
            <b/>
            <sz val="9"/>
            <color indexed="81"/>
            <rFont val="Tahoma"/>
            <family val="2"/>
          </rPr>
          <t>Permissions:</t>
        </r>
        <r>
          <rPr>
            <sz val="9"/>
            <color indexed="81"/>
            <rFont val="Tahoma"/>
            <family val="2"/>
          </rPr>
          <t xml:space="preserve">
Select the appropriate permissions for FTP Access: 
R+W: Read+Write
R: Read
W: Write</t>
        </r>
      </text>
    </comment>
    <comment ref="M3" authorId="0" shapeId="0" xr:uid="{00000000-0006-0000-0C00-00000D000000}">
      <text>
        <r>
          <rPr>
            <sz val="9"/>
            <color indexed="81"/>
            <rFont val="Tahoma"/>
            <family val="2"/>
          </rPr>
          <t>If the servers are clustered, enter in the Virtual IP (Instance) of the share.</t>
        </r>
      </text>
    </comment>
    <comment ref="N3" authorId="0" shapeId="0" xr:uid="{00000000-0006-0000-0C00-00000E000000}">
      <text>
        <r>
          <rPr>
            <b/>
            <sz val="9"/>
            <color indexed="81"/>
            <rFont val="Tahoma"/>
            <family val="2"/>
          </rPr>
          <t>SSL:</t>
        </r>
        <r>
          <rPr>
            <sz val="9"/>
            <color indexed="81"/>
            <rFont val="Tahoma"/>
            <family val="2"/>
          </rPr>
          <t xml:space="preserve">
Determine whether encryption will be used for HTTP services.  Select Yes or No for SSL.</t>
        </r>
      </text>
    </comment>
    <comment ref="O3" authorId="0" shapeId="0" xr:uid="{00000000-0006-0000-0C00-00000F000000}">
      <text>
        <r>
          <rPr>
            <b/>
            <sz val="9"/>
            <color indexed="81"/>
            <rFont val="Tahoma"/>
            <family val="2"/>
          </rPr>
          <t>Asset:</t>
        </r>
        <r>
          <rPr>
            <sz val="9"/>
            <color indexed="81"/>
            <rFont val="Tahoma"/>
            <family val="2"/>
          </rPr>
          <t xml:space="preserve">
The Asset Number will auto-populate. This is the asset # associated with the IP Asset in column A.</t>
        </r>
      </text>
    </comment>
    <comment ref="P3" authorId="0" shapeId="0" xr:uid="{00000000-0006-0000-0C00-000010000000}">
      <text>
        <r>
          <rPr>
            <sz val="9"/>
            <color indexed="81"/>
            <rFont val="Tahoma"/>
            <family val="2"/>
          </rPr>
          <t>Enter any additional information useful to the Windows Engineering Team.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Stephan J Cierniak</author>
    <author>Steve Cierniak</author>
    <author>John Messer</author>
    <author>HCSC</author>
  </authors>
  <commentList>
    <comment ref="A2" authorId="0" shapeId="0" xr:uid="{00000000-0006-0000-0D00-000001000000}">
      <text>
        <r>
          <rPr>
            <b/>
            <sz val="9"/>
            <color indexed="81"/>
            <rFont val="Tahoma"/>
            <family val="2"/>
          </rPr>
          <t>Application Technical Contact:</t>
        </r>
        <r>
          <rPr>
            <sz val="9"/>
            <color indexed="81"/>
            <rFont val="Tahoma"/>
            <family val="2"/>
          </rPr>
          <t xml:space="preserve">
Application Technical contact copied from Project Details tab, Technical_contact</t>
        </r>
      </text>
    </comment>
    <comment ref="A3" authorId="0" shapeId="0" xr:uid="{00000000-0006-0000-0D00-000002000000}">
      <text>
        <r>
          <rPr>
            <b/>
            <sz val="9"/>
            <color indexed="81"/>
            <rFont val="Tahoma"/>
            <family val="2"/>
          </rPr>
          <t>Application Support Team:</t>
        </r>
        <r>
          <rPr>
            <sz val="9"/>
            <color indexed="81"/>
            <rFont val="Tahoma"/>
            <family val="2"/>
          </rPr>
          <t xml:space="preserve">
Application Support Team copied from Project Details tab, app_support_team</t>
        </r>
      </text>
    </comment>
    <comment ref="A5" authorId="0" shapeId="0" xr:uid="{00000000-0006-0000-0D00-000003000000}">
      <text>
        <r>
          <rPr>
            <b/>
            <sz val="9"/>
            <color indexed="81"/>
            <rFont val="Tahoma"/>
            <family val="2"/>
          </rPr>
          <t>Application Support Team email:</t>
        </r>
        <r>
          <rPr>
            <sz val="9"/>
            <color indexed="81"/>
            <rFont val="Tahoma"/>
            <family val="2"/>
          </rPr>
          <t xml:space="preserve">
Application Support Team email copied from Project Details tab, app_support_team_email</t>
        </r>
      </text>
    </comment>
    <comment ref="A6" authorId="1" shapeId="0" xr:uid="{00000000-0006-0000-0D00-000004000000}">
      <text>
        <r>
          <rPr>
            <b/>
            <sz val="9"/>
            <color indexed="81"/>
            <rFont val="Tahoma"/>
            <family val="2"/>
          </rPr>
          <t>Maintenance Window:</t>
        </r>
        <r>
          <rPr>
            <sz val="9"/>
            <color indexed="81"/>
            <rFont val="Tahoma"/>
            <family val="2"/>
          </rPr>
          <t xml:space="preserve">
As Captured from Project Details
Cell D62 &amp; D63.</t>
        </r>
      </text>
    </comment>
    <comment ref="A7" authorId="1" shapeId="0" xr:uid="{00000000-0006-0000-0D00-000005000000}">
      <text>
        <r>
          <rPr>
            <b/>
            <sz val="9"/>
            <color indexed="81"/>
            <rFont val="Tahoma"/>
            <family val="2"/>
          </rPr>
          <t xml:space="preserve">Notes for this Tab:
</t>
        </r>
        <r>
          <rPr>
            <sz val="9"/>
            <color indexed="81"/>
            <rFont val="Tahoma"/>
            <family val="2"/>
          </rPr>
          <t xml:space="preserve">The following color codes are used on this tab:
Gold:         Information populated from Dist. Assets Tab
Grey:         Information populated from IP or DNS Tab
White:       Requires input 
Lt. Blue:     Requires input - Windows Engineering
Lt. Green:  Requires VM Team input
Lt Orange: Lookup information - not used by DCA
</t>
        </r>
      </text>
    </comment>
    <comment ref="A8" authorId="1" shapeId="0" xr:uid="{00000000-0006-0000-0D00-000006000000}">
      <text>
        <r>
          <rPr>
            <b/>
            <sz val="9"/>
            <color indexed="81"/>
            <rFont val="Tahoma"/>
            <family val="2"/>
          </rPr>
          <t>Windows Asset IP Instance:</t>
        </r>
        <r>
          <rPr>
            <sz val="9"/>
            <color indexed="81"/>
            <rFont val="Tahoma"/>
            <family val="2"/>
          </rPr>
          <t xml:space="preserve">
Select Windows based Asset/s</t>
        </r>
      </text>
    </comment>
    <comment ref="B8" authorId="2" shapeId="0" xr:uid="{00000000-0006-0000-0D00-000007000000}">
      <text>
        <r>
          <rPr>
            <sz val="9"/>
            <color indexed="81"/>
            <rFont val="Tahoma"/>
            <family val="2"/>
          </rPr>
          <t>This column is auto populated from Distributed Assets tab</t>
        </r>
      </text>
    </comment>
    <comment ref="C8" authorId="2" shapeId="0" xr:uid="{00000000-0006-0000-0D00-000008000000}">
      <text>
        <r>
          <rPr>
            <sz val="9"/>
            <color indexed="81"/>
            <rFont val="Tahoma"/>
            <family val="2"/>
          </rPr>
          <t>This column is auto populated from Distributed Assets tab</t>
        </r>
      </text>
    </comment>
    <comment ref="D8" authorId="2" shapeId="0" xr:uid="{00000000-0006-0000-0D00-000009000000}">
      <text>
        <r>
          <rPr>
            <sz val="9"/>
            <color indexed="81"/>
            <rFont val="Tahoma"/>
            <family val="2"/>
          </rPr>
          <t>This column is auto populated from Distributed Assets tab</t>
        </r>
      </text>
    </comment>
    <comment ref="E8" authorId="2" shapeId="0" xr:uid="{00000000-0006-0000-0D00-00000A000000}">
      <text>
        <r>
          <rPr>
            <sz val="9"/>
            <color indexed="81"/>
            <rFont val="Tahoma"/>
            <family val="2"/>
          </rPr>
          <t>This column is auto populated from Distributed Assets tab</t>
        </r>
      </text>
    </comment>
    <comment ref="F8" authorId="2" shapeId="0" xr:uid="{00000000-0006-0000-0D00-00000B000000}">
      <text>
        <r>
          <rPr>
            <sz val="9"/>
            <color indexed="81"/>
            <rFont val="Tahoma"/>
            <family val="2"/>
          </rPr>
          <t>This column is auto populated from Distributed Assets tab</t>
        </r>
      </text>
    </comment>
    <comment ref="G8" authorId="2" shapeId="0" xr:uid="{00000000-0006-0000-0D00-00000C000000}">
      <text>
        <r>
          <rPr>
            <sz val="9"/>
            <color indexed="81"/>
            <rFont val="Tahoma"/>
            <family val="2"/>
          </rPr>
          <t>This column is auto populated from Distributed Assets tab</t>
        </r>
      </text>
    </comment>
    <comment ref="H8" authorId="2" shapeId="0" xr:uid="{00000000-0006-0000-0D00-00000D000000}">
      <text>
        <r>
          <rPr>
            <sz val="9"/>
            <color indexed="81"/>
            <rFont val="Tahoma"/>
            <family val="2"/>
          </rPr>
          <t>This column is auto populated from Distributed Assets tab</t>
        </r>
      </text>
    </comment>
    <comment ref="I8" authorId="2" shapeId="0" xr:uid="{00000000-0006-0000-0D00-00000E000000}">
      <text>
        <r>
          <rPr>
            <sz val="9"/>
            <color indexed="81"/>
            <rFont val="Tahoma"/>
            <family val="2"/>
          </rPr>
          <t>This column is auto populated from Distributed Assets tab</t>
        </r>
      </text>
    </comment>
    <comment ref="J8" authorId="2" shapeId="0" xr:uid="{00000000-0006-0000-0D00-00000F000000}">
      <text>
        <r>
          <rPr>
            <sz val="9"/>
            <color indexed="81"/>
            <rFont val="Tahoma"/>
            <family val="2"/>
          </rPr>
          <t>This column is auto populated from Distributed Assets tab</t>
        </r>
      </text>
    </comment>
    <comment ref="K8" authorId="2" shapeId="0" xr:uid="{00000000-0006-0000-0D00-000010000000}">
      <text>
        <r>
          <rPr>
            <sz val="9"/>
            <color indexed="81"/>
            <rFont val="Tahoma"/>
            <family val="2"/>
          </rPr>
          <t>This column is auto populated from Distributed Assets tab</t>
        </r>
      </text>
    </comment>
    <comment ref="L8" authorId="2" shapeId="0" xr:uid="{00000000-0006-0000-0D00-000011000000}">
      <text>
        <r>
          <rPr>
            <sz val="9"/>
            <color indexed="81"/>
            <rFont val="Tahoma"/>
            <family val="2"/>
          </rPr>
          <t>This column is auto-populated from the IP tab.</t>
        </r>
      </text>
    </comment>
    <comment ref="M8" authorId="2" shapeId="0" xr:uid="{00000000-0006-0000-0D00-000012000000}">
      <text>
        <r>
          <rPr>
            <sz val="9"/>
            <color indexed="81"/>
            <rFont val="Tahoma"/>
            <family val="2"/>
          </rPr>
          <t>This column is auto-populated from the IP tab.</t>
        </r>
      </text>
    </comment>
    <comment ref="N8" authorId="2" shapeId="0" xr:uid="{00000000-0006-0000-0D00-000013000000}">
      <text>
        <r>
          <rPr>
            <sz val="9"/>
            <color indexed="81"/>
            <rFont val="Tahoma"/>
            <family val="2"/>
          </rPr>
          <t>This column is auto-populated from the IP tab.</t>
        </r>
      </text>
    </comment>
    <comment ref="O8" authorId="2" shapeId="0" xr:uid="{00000000-0006-0000-0D00-000014000000}">
      <text>
        <r>
          <rPr>
            <sz val="9"/>
            <color indexed="81"/>
            <rFont val="Tahoma"/>
            <family val="2"/>
          </rPr>
          <t>This column is auto-populated from the IP tab.</t>
        </r>
      </text>
    </comment>
    <comment ref="P8" authorId="1" shapeId="0" xr:uid="{00000000-0006-0000-0D00-000015000000}">
      <text>
        <r>
          <rPr>
            <b/>
            <sz val="9"/>
            <color indexed="81"/>
            <rFont val="Tahoma"/>
            <family val="2"/>
          </rPr>
          <t xml:space="preserve">DNS #1:
Auto completed based on environment in Column B of the Windows Tab.
</t>
        </r>
        <r>
          <rPr>
            <sz val="9"/>
            <color indexed="81"/>
            <rFont val="Tahoma"/>
            <family val="2"/>
          </rPr>
          <t xml:space="preserve">These are auto-populated as the Default DNS Servers (Primary) but should be verified by the Windows team if it is a new/non-standard VLAN.
</t>
        </r>
        <r>
          <rPr>
            <b/>
            <sz val="9"/>
            <color indexed="81"/>
            <rFont val="Tahoma"/>
            <family val="2"/>
          </rPr>
          <t xml:space="preserve">*NOTE* </t>
        </r>
        <r>
          <rPr>
            <sz val="9"/>
            <color indexed="81"/>
            <rFont val="Tahoma"/>
            <family val="2"/>
          </rPr>
          <t xml:space="preserve"> 
</t>
        </r>
        <r>
          <rPr>
            <sz val="9"/>
            <color indexed="10"/>
            <rFont val="Tahoma"/>
            <family val="2"/>
          </rPr>
          <t>Red</t>
        </r>
        <r>
          <rPr>
            <sz val="9"/>
            <color indexed="81"/>
            <rFont val="Tahoma"/>
            <family val="2"/>
          </rPr>
          <t xml:space="preserve"> cell indicates Server asset requires Local DC IP updated for local DC IP instead of the standard Data Center locations.   (Server is in a remote site)
</t>
        </r>
        <r>
          <rPr>
            <sz val="9"/>
            <color indexed="53"/>
            <rFont val="Tahoma"/>
            <family val="2"/>
          </rPr>
          <t>Orange</t>
        </r>
        <r>
          <rPr>
            <sz val="9"/>
            <color indexed="81"/>
            <rFont val="Tahoma"/>
            <family val="2"/>
          </rPr>
          <t xml:space="preserve"> cell indicates the layers are other than Process or Data, Windows team should validate the correct DNS choise.
</t>
        </r>
        <r>
          <rPr>
            <b/>
            <sz val="9"/>
            <color indexed="81"/>
            <rFont val="Tahoma"/>
            <family val="2"/>
          </rPr>
          <t>Drop - down choices</t>
        </r>
        <r>
          <rPr>
            <sz val="9"/>
            <color indexed="81"/>
            <rFont val="Tahoma"/>
            <family val="2"/>
          </rPr>
          <t xml:space="preserve"> provide the RODCs that support the Corp DMZ, Siteminder DMZ.</t>
        </r>
      </text>
    </comment>
    <comment ref="Q8" authorId="1" shapeId="0" xr:uid="{00000000-0006-0000-0D00-000016000000}">
      <text>
        <r>
          <rPr>
            <b/>
            <sz val="9"/>
            <color indexed="81"/>
            <rFont val="Tahoma"/>
            <family val="2"/>
          </rPr>
          <t xml:space="preserve">DNS #1:
Auto completed based on environment in Column B of the Windows Tab.
</t>
        </r>
        <r>
          <rPr>
            <sz val="9"/>
            <color indexed="81"/>
            <rFont val="Tahoma"/>
            <family val="2"/>
          </rPr>
          <t xml:space="preserve">These are auto-populated as the Default DNS Servers (Primary) but should be verified by the Windows team if it is a new/non-standard VLAN.
</t>
        </r>
        <r>
          <rPr>
            <b/>
            <sz val="9"/>
            <color indexed="81"/>
            <rFont val="Tahoma"/>
            <family val="2"/>
          </rPr>
          <t xml:space="preserve">*NOTE* </t>
        </r>
        <r>
          <rPr>
            <sz val="9"/>
            <color indexed="81"/>
            <rFont val="Tahoma"/>
            <family val="2"/>
          </rPr>
          <t xml:space="preserve"> 
</t>
        </r>
        <r>
          <rPr>
            <sz val="9"/>
            <color indexed="10"/>
            <rFont val="Tahoma"/>
            <family val="2"/>
          </rPr>
          <t>Red</t>
        </r>
        <r>
          <rPr>
            <sz val="9"/>
            <color indexed="81"/>
            <rFont val="Tahoma"/>
            <family val="2"/>
          </rPr>
          <t xml:space="preserve"> cell indicates Server asset requires Local DC IP updated for local DC IP instead of the standard Data Center locations.   (Server is in a remote site)
</t>
        </r>
        <r>
          <rPr>
            <sz val="9"/>
            <color indexed="53"/>
            <rFont val="Tahoma"/>
            <family val="2"/>
          </rPr>
          <t>Orange</t>
        </r>
        <r>
          <rPr>
            <sz val="9"/>
            <color indexed="81"/>
            <rFont val="Tahoma"/>
            <family val="2"/>
          </rPr>
          <t xml:space="preserve"> cell indicates the layers are other than Process or Data, Windows team should validate the correct DNS choise.
</t>
        </r>
        <r>
          <rPr>
            <b/>
            <sz val="9"/>
            <color indexed="81"/>
            <rFont val="Tahoma"/>
            <family val="2"/>
          </rPr>
          <t>Drop - down choices</t>
        </r>
        <r>
          <rPr>
            <sz val="9"/>
            <color indexed="81"/>
            <rFont val="Tahoma"/>
            <family val="2"/>
          </rPr>
          <t xml:space="preserve"> provide the RODCs that support the Corp DMZ, Siteminder DMZ.</t>
        </r>
      </text>
    </comment>
    <comment ref="R8" authorId="1" shapeId="0" xr:uid="{00000000-0006-0000-0D00-000017000000}">
      <text>
        <r>
          <rPr>
            <b/>
            <sz val="9"/>
            <color indexed="81"/>
            <rFont val="Tahoma"/>
            <family val="2"/>
          </rPr>
          <t>Windows DNS:</t>
        </r>
        <r>
          <rPr>
            <sz val="9"/>
            <color indexed="81"/>
            <rFont val="Tahoma"/>
            <family val="2"/>
          </rPr>
          <t xml:space="preserve">
This is to flag the Windows team if servers are going into a different layer than the Process or Data layer, and to validate the DNS settings.</t>
        </r>
      </text>
    </comment>
    <comment ref="S8" authorId="1" shapeId="0" xr:uid="{00000000-0006-0000-0D00-000018000000}">
      <text>
        <r>
          <rPr>
            <b/>
            <sz val="9"/>
            <color indexed="81"/>
            <rFont val="Tahoma"/>
            <family val="2"/>
          </rPr>
          <t xml:space="preserve">VM Template:
</t>
        </r>
        <r>
          <rPr>
            <sz val="9"/>
            <color indexed="81"/>
            <rFont val="Tahoma"/>
            <family val="2"/>
          </rPr>
          <t xml:space="preserve">
The VM template is based on the Windows OS selected on Distributed Assets tab which references the BOM functions.
Completed by Windows or VM team</t>
        </r>
      </text>
    </comment>
    <comment ref="T8" authorId="1" shapeId="0" xr:uid="{00000000-0006-0000-0D00-000019000000}">
      <text>
        <r>
          <rPr>
            <b/>
            <sz val="9"/>
            <color indexed="81"/>
            <rFont val="Tahoma"/>
            <family val="2"/>
          </rPr>
          <t xml:space="preserve">Template Source:
</t>
        </r>
        <r>
          <rPr>
            <sz val="9"/>
            <color indexed="81"/>
            <rFont val="Tahoma"/>
            <family val="2"/>
          </rPr>
          <t xml:space="preserve">Based on Virtual Windows OS being selected on Distributed Assets tab which references the BOM functions.
</t>
        </r>
      </text>
    </comment>
    <comment ref="U8" authorId="1" shapeId="0" xr:uid="{00000000-0006-0000-0D00-00001A000000}">
      <text>
        <r>
          <rPr>
            <b/>
            <sz val="9"/>
            <color indexed="81"/>
            <rFont val="Tahoma"/>
            <family val="2"/>
          </rPr>
          <t xml:space="preserve">Template Destination:
</t>
        </r>
        <r>
          <rPr>
            <sz val="9"/>
            <color indexed="81"/>
            <rFont val="Tahoma"/>
            <family val="2"/>
          </rPr>
          <t>Based on Virtual Windows OS being selected on Distributed Assets tab which references the BOM functions.</t>
        </r>
      </text>
    </comment>
    <comment ref="V8" authorId="2" shapeId="0" xr:uid="{00000000-0006-0000-0D00-00001B000000}">
      <text>
        <r>
          <rPr>
            <sz val="9"/>
            <color indexed="81"/>
            <rFont val="Tahoma"/>
            <family val="2"/>
          </rPr>
          <t>This column is auto populated from Distributed Assets tab</t>
        </r>
      </text>
    </comment>
    <comment ref="W8" authorId="1" shapeId="0" xr:uid="{00000000-0006-0000-0D00-00001C000000}">
      <text>
        <r>
          <rPr>
            <b/>
            <sz val="9"/>
            <color indexed="81"/>
            <rFont val="Tahoma"/>
            <family val="2"/>
          </rPr>
          <t>Network:</t>
        </r>
        <r>
          <rPr>
            <sz val="9"/>
            <color indexed="81"/>
            <rFont val="Tahoma"/>
            <family val="2"/>
          </rPr>
          <t xml:space="preserve">
Populated from column N on this tab based on the VLAN and IP tab.
This field is the subnet reference for VLAN ID as used by Provisioning tool</t>
        </r>
      </text>
    </comment>
    <comment ref="X8" authorId="2" shapeId="0" xr:uid="{00000000-0006-0000-0D00-00001D000000}">
      <text>
        <r>
          <rPr>
            <sz val="9"/>
            <color indexed="81"/>
            <rFont val="Tahoma"/>
            <family val="2"/>
          </rPr>
          <t>This column is auto populated from Distributed Assets tab</t>
        </r>
      </text>
    </comment>
    <comment ref="Y8" authorId="2" shapeId="0" xr:uid="{00000000-0006-0000-0D00-00001E000000}">
      <text>
        <r>
          <rPr>
            <sz val="9"/>
            <color indexed="81"/>
            <rFont val="Tahoma"/>
            <family val="2"/>
          </rPr>
          <t>This column is auto populated from Distributed Assets tab</t>
        </r>
      </text>
    </comment>
    <comment ref="Z8" authorId="2" shapeId="0" xr:uid="{00000000-0006-0000-0D00-00001F000000}">
      <text>
        <r>
          <rPr>
            <sz val="9"/>
            <color indexed="81"/>
            <rFont val="Tahoma"/>
            <family val="2"/>
          </rPr>
          <t>This column is auto populated from Distributed Assets tab</t>
        </r>
      </text>
    </comment>
    <comment ref="AA8" authorId="2" shapeId="0" xr:uid="{00000000-0006-0000-0D00-000020000000}">
      <text>
        <r>
          <rPr>
            <b/>
            <sz val="9"/>
            <color indexed="81"/>
            <rFont val="Tahoma"/>
            <family val="2"/>
          </rPr>
          <t>Information completed by the Windows/VM SMEs</t>
        </r>
      </text>
    </comment>
    <comment ref="AB8" authorId="2" shapeId="0" xr:uid="{00000000-0006-0000-0D00-000021000000}">
      <text>
        <r>
          <rPr>
            <b/>
            <sz val="9"/>
            <color indexed="81"/>
            <rFont val="Tahoma"/>
            <family val="2"/>
          </rPr>
          <t>Information completed by the Windows/VM SMEs</t>
        </r>
      </text>
    </comment>
    <comment ref="AC8" authorId="2" shapeId="0" xr:uid="{00000000-0006-0000-0D00-000022000000}">
      <text>
        <r>
          <rPr>
            <b/>
            <sz val="9"/>
            <color indexed="81"/>
            <rFont val="Tahoma"/>
            <family val="2"/>
          </rPr>
          <t>Information completed by the Windows/VM SMEs</t>
        </r>
      </text>
    </comment>
    <comment ref="AD8" authorId="1" shapeId="0" xr:uid="{00000000-0006-0000-0D00-000023000000}">
      <text>
        <r>
          <rPr>
            <b/>
            <sz val="9"/>
            <color indexed="81"/>
            <rFont val="Tahoma"/>
            <family val="2"/>
          </rPr>
          <t>NPIDS:</t>
        </r>
        <r>
          <rPr>
            <sz val="9"/>
            <color indexed="81"/>
            <rFont val="Tahoma"/>
            <family val="2"/>
          </rPr>
          <t xml:space="preserve">
NPIDS requested by App team</t>
        </r>
      </text>
    </comment>
    <comment ref="AE8" authorId="2" shapeId="0" xr:uid="{00000000-0006-0000-0D00-000024000000}">
      <text>
        <r>
          <rPr>
            <b/>
            <sz val="9"/>
            <color indexed="81"/>
            <rFont val="Tahoma"/>
            <family val="2"/>
          </rPr>
          <t xml:space="preserve">Global Group:
</t>
        </r>
        <r>
          <rPr>
            <sz val="9"/>
            <color indexed="81"/>
            <rFont val="Tahoma"/>
            <family val="2"/>
          </rPr>
          <t>If required, a global group that will be assigned to the server.</t>
        </r>
      </text>
    </comment>
    <comment ref="AF8" authorId="2" shapeId="0" xr:uid="{00000000-0006-0000-0D00-000025000000}">
      <text>
        <r>
          <rPr>
            <b/>
            <sz val="9"/>
            <color indexed="81"/>
            <rFont val="Tahoma"/>
            <family val="2"/>
          </rPr>
          <t>IIS:
Will the asset run IIS?</t>
        </r>
        <r>
          <rPr>
            <sz val="9"/>
            <color indexed="81"/>
            <rFont val="Tahoma"/>
            <family val="2"/>
          </rPr>
          <t xml:space="preserve">
</t>
        </r>
      </text>
    </comment>
    <comment ref="AG8" authorId="2" shapeId="0" xr:uid="{00000000-0006-0000-0D00-000026000000}">
      <text>
        <r>
          <rPr>
            <b/>
            <sz val="9"/>
            <color indexed="81"/>
            <rFont val="Tahoma"/>
            <family val="2"/>
          </rPr>
          <t>FTP:
Will the asset host or connect to FTP</t>
        </r>
      </text>
    </comment>
    <comment ref="AH8" authorId="2" shapeId="0" xr:uid="{00000000-0006-0000-0D00-000027000000}">
      <text>
        <r>
          <rPr>
            <b/>
            <sz val="9"/>
            <color indexed="81"/>
            <rFont val="Tahoma"/>
            <family val="2"/>
          </rPr>
          <t xml:space="preserve">SQL:
</t>
        </r>
        <r>
          <rPr>
            <sz val="9"/>
            <color indexed="81"/>
            <rFont val="Tahoma"/>
            <family val="2"/>
          </rPr>
          <t>Will it be an SQL Server?  Auto-populated from Dist. Assets.</t>
        </r>
      </text>
    </comment>
    <comment ref="AI8" authorId="2" shapeId="0" xr:uid="{00000000-0006-0000-0D00-000028000000}">
      <text>
        <r>
          <rPr>
            <b/>
            <sz val="9"/>
            <color indexed="81"/>
            <rFont val="Tahoma"/>
            <family val="2"/>
          </rPr>
          <t xml:space="preserve">SAN:
</t>
        </r>
        <r>
          <rPr>
            <sz val="9"/>
            <color indexed="81"/>
            <rFont val="Tahoma"/>
            <family val="2"/>
          </rPr>
          <t>Will it require additional SAN? A physical server requiring SAN. Auto-populated by Dist. Assets.</t>
        </r>
      </text>
    </comment>
    <comment ref="AK8" authorId="1" shapeId="0" xr:uid="{00000000-0006-0000-0D00-000029000000}">
      <text>
        <r>
          <rPr>
            <b/>
            <sz val="9"/>
            <color indexed="81"/>
            <rFont val="Tahoma"/>
            <family val="2"/>
          </rPr>
          <t>Application File Shares:</t>
        </r>
        <r>
          <rPr>
            <sz val="9"/>
            <color indexed="81"/>
            <rFont val="Tahoma"/>
            <family val="2"/>
          </rPr>
          <t xml:space="preserve">
Enter Yes or No, Only for Application dependent File Shares.  Share name can be listed on Customizations column AL</t>
        </r>
      </text>
    </comment>
    <comment ref="AN8" authorId="2" shapeId="0" xr:uid="{00000000-0006-0000-0D00-00002A000000}">
      <text>
        <r>
          <rPr>
            <sz val="9"/>
            <color indexed="81"/>
            <rFont val="Tahoma"/>
            <family val="2"/>
          </rPr>
          <t>Autopopulated based on LAN/MAC, Dist. Assets and IP Tab when provisioning physical servers.</t>
        </r>
      </text>
    </comment>
    <comment ref="AO8" authorId="2" shapeId="0" xr:uid="{00000000-0006-0000-0D00-00002B000000}">
      <text>
        <r>
          <rPr>
            <sz val="9"/>
            <color indexed="81"/>
            <rFont val="Tahoma"/>
            <family val="2"/>
          </rPr>
          <t>Autopopulated based on LAN/MAC, Dist. Assets and IP Tab when provisioning physical servers.</t>
        </r>
      </text>
    </comment>
    <comment ref="AP8" authorId="2" shapeId="0" xr:uid="{00000000-0006-0000-0D00-00002C000000}">
      <text>
        <r>
          <rPr>
            <sz val="9"/>
            <color indexed="81"/>
            <rFont val="Tahoma"/>
            <family val="2"/>
          </rPr>
          <t>Autopopulated based on LAN/MAC, Dist. Assets and IP Tab when provisioning physical servers.</t>
        </r>
      </text>
    </comment>
    <comment ref="AQ8" authorId="2" shapeId="0" xr:uid="{00000000-0006-0000-0D00-00002D000000}">
      <text>
        <r>
          <rPr>
            <sz val="9"/>
            <color indexed="81"/>
            <rFont val="Tahoma"/>
            <family val="2"/>
          </rPr>
          <t>Autopopulated based on LAN/MAC, Dist. Assets and IP Tab when provisioning physical servers.</t>
        </r>
      </text>
    </comment>
    <comment ref="AR8" authorId="2" shapeId="0" xr:uid="{00000000-0006-0000-0D00-00002E000000}">
      <text>
        <r>
          <rPr>
            <sz val="9"/>
            <color indexed="81"/>
            <rFont val="Tahoma"/>
            <family val="2"/>
          </rPr>
          <t>Autopopulated based on LAN/MAC, Dist. Assets and IP Tab when provisioning physical servers.</t>
        </r>
      </text>
    </comment>
    <comment ref="AS8" authorId="2" shapeId="0" xr:uid="{00000000-0006-0000-0D00-00002F000000}">
      <text>
        <r>
          <rPr>
            <sz val="9"/>
            <color indexed="81"/>
            <rFont val="Tahoma"/>
            <family val="2"/>
          </rPr>
          <t>Autopopulated based on LAN/MAC, Dist. Assets and IP Tab when provisioning physical servers.</t>
        </r>
      </text>
    </comment>
    <comment ref="AT8" authorId="2" shapeId="0" xr:uid="{00000000-0006-0000-0D00-000030000000}">
      <text>
        <r>
          <rPr>
            <sz val="9"/>
            <color indexed="81"/>
            <rFont val="Tahoma"/>
            <family val="2"/>
          </rPr>
          <t>Autopopulated based on LAN/MAC, Dist. Assets and IP Tab when provisioning physical servers.</t>
        </r>
      </text>
    </comment>
    <comment ref="AU8" authorId="2" shapeId="0" xr:uid="{00000000-0006-0000-0D00-000031000000}">
      <text>
        <r>
          <rPr>
            <sz val="9"/>
            <color indexed="81"/>
            <rFont val="Tahoma"/>
            <family val="2"/>
          </rPr>
          <t>Autopopulated based on LAN/MAC, Dist. Assets and IP Tab when provisioning physical servers.</t>
        </r>
      </text>
    </comment>
    <comment ref="AV8" authorId="2" shapeId="0" xr:uid="{00000000-0006-0000-0D00-000032000000}">
      <text>
        <r>
          <rPr>
            <sz val="9"/>
            <color indexed="81"/>
            <rFont val="Tahoma"/>
            <family val="2"/>
          </rPr>
          <t xml:space="preserve">This section is auto-populated and reviewed by the Windows team and DR teams. </t>
        </r>
      </text>
    </comment>
    <comment ref="AW8" authorId="3" shapeId="0" xr:uid="{00000000-0006-0000-0D00-000033000000}">
      <text>
        <r>
          <rPr>
            <b/>
            <sz val="8"/>
            <color indexed="81"/>
            <rFont val="Tahoma"/>
            <family val="2"/>
          </rPr>
          <t xml:space="preserve">
</t>
        </r>
        <r>
          <rPr>
            <sz val="8"/>
            <color indexed="81"/>
            <rFont val="Tahoma"/>
            <family val="2"/>
          </rPr>
          <t xml:space="preserve">This section is auto-populated and reviewed by the Windows team and DR teams. </t>
        </r>
        <r>
          <rPr>
            <b/>
            <sz val="8"/>
            <color indexed="81"/>
            <rFont val="Tahoma"/>
            <family val="2"/>
          </rPr>
          <t xml:space="preserve">
</t>
        </r>
        <r>
          <rPr>
            <sz val="8"/>
            <color indexed="81"/>
            <rFont val="Tahoma"/>
            <family val="2"/>
          </rPr>
          <t xml:space="preserve">
</t>
        </r>
        <r>
          <rPr>
            <b/>
            <sz val="8"/>
            <color indexed="81"/>
            <rFont val="Tahoma"/>
            <family val="2"/>
          </rPr>
          <t xml:space="preserve">Stand Alone/Blade:  </t>
        </r>
        <r>
          <rPr>
            <sz val="8"/>
            <color indexed="81"/>
            <rFont val="Tahoma"/>
            <family val="2"/>
          </rPr>
          <t>For all Tiers VTL needs to be replicated.  
Tier 1 and 2 needs hardware resources provisioned in DR and any additional LUNs as well as system drive image need to be flagged for global mirror replication and are to be managed by zena.  Symantec image needs to be replicated.  For all Tiers VTL needs to be replicated.  SQL servers that are using lightspeed backup will not require zena replication scheduling.</t>
        </r>
        <r>
          <rPr>
            <b/>
            <sz val="8"/>
            <color indexed="81"/>
            <rFont val="Tahoma"/>
            <family val="2"/>
          </rPr>
          <t xml:space="preserve">
Tier 3: </t>
        </r>
        <r>
          <rPr>
            <sz val="8"/>
            <color indexed="81"/>
            <rFont val="Tahoma"/>
            <family val="2"/>
          </rPr>
          <t xml:space="preserve"> Needs hardware resources provisioned in DR, with no data replication. Symantec image needs to be replicated.</t>
        </r>
        <r>
          <rPr>
            <b/>
            <sz val="8"/>
            <color indexed="81"/>
            <rFont val="Tahoma"/>
            <family val="2"/>
          </rPr>
          <t xml:space="preserve">
Tier 4:  </t>
        </r>
        <r>
          <rPr>
            <sz val="8"/>
            <color indexed="81"/>
            <rFont val="Tahoma"/>
            <family val="2"/>
          </rPr>
          <t>Drop ship server and charge against the drop ship contract.  Symantec image needs to be replicated.</t>
        </r>
        <r>
          <rPr>
            <b/>
            <sz val="8"/>
            <color indexed="81"/>
            <rFont val="Tahoma"/>
            <family val="2"/>
          </rPr>
          <t xml:space="preserve">
Virtual:  </t>
        </r>
        <r>
          <rPr>
            <sz val="8"/>
            <color indexed="81"/>
            <rFont val="Tahoma"/>
            <family val="2"/>
          </rPr>
          <t>Tier 1-4 must be built on a replicated LUN on VMware including an SRM recovery plan created for DR recovery that matches the resources allocated in PROD.</t>
        </r>
        <r>
          <rPr>
            <b/>
            <sz val="8"/>
            <color indexed="81"/>
            <rFont val="Tahoma"/>
            <family val="2"/>
          </rPr>
          <t xml:space="preserve">
</t>
        </r>
        <r>
          <rPr>
            <sz val="8"/>
            <color indexed="81"/>
            <rFont val="Tahoma"/>
            <family val="2"/>
          </rPr>
          <t xml:space="preserve">
</t>
        </r>
      </text>
    </comment>
    <comment ref="AX8" authorId="2" shapeId="0" xr:uid="{00000000-0006-0000-0D00-000034000000}">
      <text>
        <r>
          <rPr>
            <sz val="9"/>
            <color indexed="81"/>
            <rFont val="Tahoma"/>
            <family val="2"/>
          </rPr>
          <t xml:space="preserve">This section is auto-populated and reviewed by the Windows team and DR teams. </t>
        </r>
      </text>
    </comment>
    <comment ref="AY8" authorId="2" shapeId="0" xr:uid="{00000000-0006-0000-0D00-000035000000}">
      <text>
        <r>
          <rPr>
            <sz val="9"/>
            <color indexed="81"/>
            <rFont val="Tahoma"/>
            <family val="2"/>
          </rPr>
          <t>Select Yes or No</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HCSC User</author>
    <author>HCSC</author>
    <author>Steve Cierniak</author>
    <author>Irene Oh</author>
  </authors>
  <commentList>
    <comment ref="F3" authorId="0" shapeId="0" xr:uid="{00000000-0006-0000-0E00-000001000000}">
      <text>
        <r>
          <rPr>
            <b/>
            <sz val="8"/>
            <color indexed="81"/>
            <rFont val="Tahoma"/>
            <family val="2"/>
          </rPr>
          <t>HCSC User:</t>
        </r>
        <r>
          <rPr>
            <sz val="8"/>
            <color indexed="81"/>
            <rFont val="Tahoma"/>
            <family val="2"/>
          </rPr>
          <t xml:space="preserve">
To run LOWER CASE macro, select the range you want to convert lower case, Press </t>
        </r>
        <r>
          <rPr>
            <sz val="8"/>
            <color indexed="81"/>
            <rFont val="Courier"/>
            <family val="3"/>
          </rPr>
          <t>Ctrl+l</t>
        </r>
        <r>
          <rPr>
            <sz val="8"/>
            <color indexed="81"/>
            <rFont val="Tahoma"/>
            <family val="2"/>
          </rPr>
          <t xml:space="preserve"> 
*NOTE*  - lowercase L</t>
        </r>
      </text>
    </comment>
    <comment ref="A4" authorId="1" shapeId="0" xr:uid="{00000000-0006-0000-0E00-000002000000}">
      <text>
        <r>
          <rPr>
            <b/>
            <sz val="8"/>
            <color indexed="81"/>
            <rFont val="Tahoma"/>
            <family val="2"/>
          </rPr>
          <t>ASSET/VIP NO:</t>
        </r>
        <r>
          <rPr>
            <sz val="8"/>
            <color indexed="81"/>
            <rFont val="Tahoma"/>
            <family val="2"/>
          </rPr>
          <t xml:space="preserve">
Select the correct IP Instance from the drop down menu.  Asset Number descriptions may be found in the Distributed Assets Tab, and the IP Instance may be referenced in the IP Tab.
----
This Cell is a named cell (StartAliasRecordsSection) to be  used by DNS Checker macro . </t>
        </r>
      </text>
    </comment>
    <comment ref="B4" authorId="1" shapeId="0" xr:uid="{00000000-0006-0000-0E00-000003000000}">
      <text>
        <r>
          <rPr>
            <b/>
            <sz val="8"/>
            <color indexed="81"/>
            <rFont val="Tahoma"/>
            <family val="2"/>
          </rPr>
          <t>Phase:</t>
        </r>
        <r>
          <rPr>
            <sz val="8"/>
            <color indexed="81"/>
            <rFont val="Tahoma"/>
            <family val="2"/>
          </rPr>
          <t xml:space="preserve">
Select the appropriate Phase for DNS Entry:
Provisioning: To be created new/currently doesn't exist
Cutover: Existing entry to be cutover to a new A-Record.
Remove: To remove a DNS entry.</t>
        </r>
        <r>
          <rPr>
            <b/>
            <sz val="8"/>
            <color indexed="81"/>
            <rFont val="Tahoma"/>
            <family val="2"/>
          </rPr>
          <t xml:space="preserve">
----</t>
        </r>
        <r>
          <rPr>
            <sz val="8"/>
            <color indexed="81"/>
            <rFont val="Tahoma"/>
            <family val="2"/>
          </rPr>
          <t xml:space="preserve">
This is a Macro named cell for the DNS Checker</t>
        </r>
      </text>
    </comment>
    <comment ref="C4" authorId="1" shapeId="0" xr:uid="{00000000-0006-0000-0E00-000004000000}">
      <text>
        <r>
          <rPr>
            <b/>
            <sz val="8"/>
            <color indexed="81"/>
            <rFont val="Tahoma"/>
            <family val="2"/>
          </rPr>
          <t>DNS  A Record:</t>
        </r>
        <r>
          <rPr>
            <sz val="8"/>
            <color indexed="81"/>
            <rFont val="Tahoma"/>
            <family val="2"/>
          </rPr>
          <t xml:space="preserve">
The Fully Qualified Domain Name of the DNS A-Record will be auto-populated here from the IP tab.
----
This Named cell ( HostRecord_BottomSection)  is used by DNC Checker macro.</t>
        </r>
      </text>
    </comment>
    <comment ref="D4" authorId="1" shapeId="0" xr:uid="{00000000-0006-0000-0E00-000005000000}">
      <text>
        <r>
          <rPr>
            <b/>
            <sz val="8"/>
            <color indexed="81"/>
            <rFont val="Tahoma"/>
            <family val="2"/>
          </rPr>
          <t>IP Address:</t>
        </r>
        <r>
          <rPr>
            <sz val="8"/>
            <color indexed="81"/>
            <rFont val="Tahoma"/>
            <family val="2"/>
          </rPr>
          <t xml:space="preserve">
The IP Address of the A-Record will auto-populate here from the IP tab.
----
This is a macro named cell for the DNS Checker
</t>
        </r>
      </text>
    </comment>
    <comment ref="E4" authorId="2" shapeId="0" xr:uid="{00000000-0006-0000-0E00-000006000000}">
      <text>
        <r>
          <rPr>
            <b/>
            <sz val="9"/>
            <color indexed="81"/>
            <rFont val="Tahoma"/>
            <family val="2"/>
          </rPr>
          <t>NAT:</t>
        </r>
        <r>
          <rPr>
            <sz val="9"/>
            <color indexed="81"/>
            <rFont val="Tahoma"/>
            <family val="2"/>
          </rPr>
          <t xml:space="preserve">
If a NAT exists (typically for Public Internet access to the A-Record IP), it will auto-populate here from the Load Balancer tab.  
Typically, NATs are used for external/Split DNS.</t>
        </r>
      </text>
    </comment>
    <comment ref="F4" authorId="1" shapeId="0" xr:uid="{00000000-0006-0000-0E00-000007000000}">
      <text>
        <r>
          <rPr>
            <b/>
            <sz val="8"/>
            <color indexed="81"/>
            <rFont val="Tahoma"/>
            <family val="2"/>
          </rPr>
          <t xml:space="preserve">Alias / CNAME:
</t>
        </r>
        <r>
          <rPr>
            <sz val="8"/>
            <color indexed="81"/>
            <rFont val="Tahoma"/>
            <family val="2"/>
          </rPr>
          <t>This is autopopulated based on columns G and H. Or can be manually entered without filling in G and H.
----
This is a macro named cell for the DNS Checker</t>
        </r>
      </text>
    </comment>
    <comment ref="G4" authorId="1" shapeId="0" xr:uid="{00000000-0006-0000-0E00-000008000000}">
      <text>
        <r>
          <rPr>
            <b/>
            <sz val="9"/>
            <color indexed="81"/>
            <rFont val="Tahoma"/>
            <family val="2"/>
          </rPr>
          <t>Alias / Cname :</t>
        </r>
        <r>
          <rPr>
            <sz val="9"/>
            <color indexed="81"/>
            <rFont val="Tahoma"/>
            <family val="2"/>
          </rPr>
          <t xml:space="preserve">
Optional method for entering Fully Qualified Alias / Cname.
Enter only the Alias Desired.
Examples: 
(WAS JVMs)
d-&lt;jvmname&gt;-&lt;env&gt;-app-1
t-&lt;jvmname&gt;-&lt;env&gt;-app-2
p-&lt;jvmname&gt;-&lt;env&gt;-app-3
</t>
        </r>
      </text>
    </comment>
    <comment ref="H4" authorId="1" shapeId="0" xr:uid="{00000000-0006-0000-0E00-000009000000}">
      <text>
        <r>
          <rPr>
            <b/>
            <sz val="8"/>
            <color indexed="81"/>
            <rFont val="Tahoma"/>
            <family val="2"/>
          </rPr>
          <t>Domain:</t>
        </r>
        <r>
          <rPr>
            <sz val="8"/>
            <color indexed="81"/>
            <rFont val="Tahoma"/>
            <family val="2"/>
          </rPr>
          <t xml:space="preserve">
Optional method for entering Fully Qualified Alias / Cname.
Select the correct Domain to attach to the Alias / Cname to create the Fully Qualified Alias or Cname.</t>
        </r>
      </text>
    </comment>
    <comment ref="I4" authorId="1" shapeId="0" xr:uid="{00000000-0006-0000-0E00-00000A000000}">
      <text>
        <r>
          <rPr>
            <b/>
            <sz val="8"/>
            <color indexed="81"/>
            <rFont val="Tahoma"/>
            <family val="2"/>
          </rPr>
          <t>Resolve DNS in DMZ:</t>
        </r>
        <r>
          <rPr>
            <sz val="8"/>
            <color indexed="81"/>
            <rFont val="Tahoma"/>
            <family val="2"/>
          </rPr>
          <t xml:space="preserve">
Specify whether or not the DNS Entry should reside in the DMZ View.  These results should be evaluated with App team and DNS team.  Select 'Yes' when a server is deployed in the DMZ or needs to be resolved by another server in the DMZ layer.
----
This is a macro named cell for the DNS Checker.</t>
        </r>
      </text>
    </comment>
    <comment ref="J4" authorId="1" shapeId="0" xr:uid="{00000000-0006-0000-0E00-00000B000000}">
      <text>
        <r>
          <rPr>
            <b/>
            <sz val="8"/>
            <color indexed="81"/>
            <rFont val="Tahoma"/>
            <family val="2"/>
          </rPr>
          <t>Record Type Description:</t>
        </r>
        <r>
          <rPr>
            <sz val="8"/>
            <color indexed="81"/>
            <rFont val="Tahoma"/>
            <family val="2"/>
          </rPr>
          <t xml:space="preserve">
Optional to describe the purpose or use of the ALIAS or CNAME.</t>
        </r>
      </text>
    </comment>
    <comment ref="K4" authorId="1" shapeId="0" xr:uid="{00000000-0006-0000-0E00-00000C000000}">
      <text>
        <r>
          <rPr>
            <b/>
            <sz val="8"/>
            <color indexed="81"/>
            <rFont val="Tahoma"/>
            <family val="2"/>
          </rPr>
          <t>ASSET:</t>
        </r>
        <r>
          <rPr>
            <sz val="8"/>
            <color indexed="81"/>
            <rFont val="Tahoma"/>
            <family val="2"/>
          </rPr>
          <t xml:space="preserve">
The Asset Number of the associated IP instance will auto-populate here.
----
This is a macro named cell for the DNS Checker.
</t>
        </r>
      </text>
    </comment>
    <comment ref="L4" authorId="1" shapeId="0" xr:uid="{00000000-0006-0000-0E00-00000D000000}">
      <text>
        <r>
          <rPr>
            <b/>
            <sz val="8"/>
            <color indexed="81"/>
            <rFont val="Tahoma"/>
            <family val="2"/>
          </rPr>
          <t xml:space="preserve">Record Type: 
</t>
        </r>
        <r>
          <rPr>
            <sz val="8"/>
            <color indexed="81"/>
            <rFont val="Tahoma"/>
            <family val="2"/>
          </rPr>
          <t>Automated formula that selects an Alias for all non Windows Aliases.
A Drop-Down is provided for manual over-ride.</t>
        </r>
        <r>
          <rPr>
            <b/>
            <sz val="8"/>
            <color indexed="81"/>
            <rFont val="Tahoma"/>
            <family val="2"/>
          </rPr>
          <t xml:space="preserve">
---------------------------------------------------Alias record
</t>
        </r>
        <r>
          <rPr>
            <sz val="8"/>
            <color indexed="81"/>
            <rFont val="Tahoma"/>
            <family val="2"/>
          </rPr>
          <t>The component of a host record that provides secondary names for a host.
Once we migrate to a 100% Infoblox DNS infrastructure, we will use only Aliases where we used to use CNAMEs.
E.g., awesomeapp.fyiblue.com =&gt; pwauslihsapp01.app.hcscint.net
Note:  Not to be used for Active Directory records.</t>
        </r>
        <r>
          <rPr>
            <b/>
            <sz val="8"/>
            <color indexed="81"/>
            <rFont val="Tahoma"/>
            <family val="2"/>
          </rPr>
          <t xml:space="preserve">
==========================
CNAME record
</t>
        </r>
        <r>
          <rPr>
            <sz val="8"/>
            <color indexed="81"/>
            <rFont val="Tahoma"/>
            <family val="2"/>
          </rPr>
          <t>A CNAME record or Canonical Name record is a type of resource record in the Domain Name System (DNS) that specifies that the domain name is an alias of another Canonical name.
E.g., pwauswabcapp01.hcscint.net
E.g., abcapp.fyiblue.com
Note:  CNAME must be used for Active Directory records.</t>
        </r>
        <r>
          <rPr>
            <b/>
            <sz val="8"/>
            <color indexed="81"/>
            <rFont val="Tahoma"/>
            <family val="2"/>
          </rPr>
          <t xml:space="preserve">
</t>
        </r>
      </text>
    </comment>
    <comment ref="M4" authorId="2" shapeId="0" xr:uid="{00000000-0006-0000-0E00-00000E000000}">
      <text>
        <r>
          <rPr>
            <b/>
            <sz val="9"/>
            <color indexed="81"/>
            <rFont val="Tahoma"/>
            <family val="2"/>
          </rPr>
          <t xml:space="preserve">DNS Comments:
</t>
        </r>
        <r>
          <rPr>
            <sz val="9"/>
            <color indexed="81"/>
            <rFont val="Tahoma"/>
            <family val="2"/>
          </rPr>
          <t xml:space="preserve">Insert any general comments. 
</t>
        </r>
        <r>
          <rPr>
            <b/>
            <sz val="9"/>
            <color indexed="81"/>
            <rFont val="Tahoma"/>
            <family val="2"/>
          </rPr>
          <t xml:space="preserve">
ALSO:
</t>
        </r>
        <r>
          <rPr>
            <sz val="9"/>
            <color indexed="81"/>
            <rFont val="Tahoma"/>
            <family val="2"/>
          </rPr>
          <t xml:space="preserve">If you need to have DNSchecker to ignore checking a row, simply add the text "DNSCHECKERIGNORE" (no spaces) anywhere in this Comments column.  
Can be appended to an existing comment.
</t>
        </r>
      </text>
    </comment>
    <comment ref="N4" authorId="1" shapeId="0" xr:uid="{00000000-0006-0000-0E00-00000F000000}">
      <text>
        <r>
          <rPr>
            <b/>
            <sz val="8"/>
            <color indexed="81"/>
            <rFont val="Tahoma"/>
            <family val="2"/>
          </rPr>
          <t>DNS Checker Results:</t>
        </r>
        <r>
          <rPr>
            <sz val="8"/>
            <color indexed="81"/>
            <rFont val="Tahoma"/>
            <family val="2"/>
          </rPr>
          <t xml:space="preserve">
DNS Checker will provide its results here. 
Successful entries will be designated with an 'OK'.  Otherwise, an error message will appear.
----
This Named cell (DNScheckerResultsCol)  is used by DNC Checker macro.</t>
        </r>
      </text>
    </comment>
    <comment ref="O4" authorId="3" shapeId="0" xr:uid="{00000000-0006-0000-0E00-000010000000}">
      <text>
        <r>
          <rPr>
            <b/>
            <sz val="8"/>
            <color indexed="81"/>
            <rFont val="Arial"/>
            <family val="2"/>
          </rPr>
          <t>DNS Provisioner Results:</t>
        </r>
        <r>
          <rPr>
            <sz val="8"/>
            <color indexed="81"/>
            <rFont val="Arial"/>
            <family val="2"/>
          </rPr>
          <t xml:space="preserve">
This field is for the ECS Web Infrastructure Team when they provision the DNS entries.</t>
        </r>
      </text>
    </comment>
    <comment ref="P4" authorId="3" shapeId="0" xr:uid="{00000000-0006-0000-0E00-000011000000}">
      <text>
        <r>
          <rPr>
            <b/>
            <sz val="8"/>
            <color indexed="81"/>
            <rFont val="Arial"/>
            <family val="2"/>
          </rPr>
          <t>BAO Job ID:</t>
        </r>
        <r>
          <rPr>
            <sz val="8"/>
            <color indexed="81"/>
            <rFont val="Arial"/>
            <family val="2"/>
          </rPr>
          <t xml:space="preserve">
This field is for the ECS Web Infrastructure Team when they provision the DNS entries.</t>
        </r>
      </text>
    </comment>
    <comment ref="Q4" authorId="3" shapeId="0" xr:uid="{00000000-0006-0000-0E00-000012000000}">
      <text>
        <r>
          <rPr>
            <b/>
            <sz val="8"/>
            <color indexed="81"/>
            <rFont val="Arial"/>
            <family val="2"/>
          </rPr>
          <t>DNS Provisioner Timestamp:</t>
        </r>
        <r>
          <rPr>
            <sz val="8"/>
            <color indexed="81"/>
            <rFont val="Arial"/>
            <family val="2"/>
          </rPr>
          <t xml:space="preserve">
This field is for the ECS Web Infrastructure Team when they provision the DNS entries.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Steve Cierniak</author>
    <author>HCSC User</author>
  </authors>
  <commentList>
    <comment ref="A2" authorId="0" shapeId="0" xr:uid="{00000000-0006-0000-0F00-000001000000}">
      <text>
        <r>
          <rPr>
            <b/>
            <sz val="9"/>
            <color indexed="81"/>
            <rFont val="Tahoma"/>
            <family val="2"/>
          </rPr>
          <t>Application Name:</t>
        </r>
        <r>
          <rPr>
            <sz val="9"/>
            <color indexed="81"/>
            <rFont val="Tahoma"/>
            <family val="2"/>
          </rPr>
          <t xml:space="preserve">
Copied form Project Details</t>
        </r>
      </text>
    </comment>
    <comment ref="A3" authorId="0" shapeId="0" xr:uid="{00000000-0006-0000-0F00-000002000000}">
      <text>
        <r>
          <rPr>
            <b/>
            <sz val="9"/>
            <color indexed="81"/>
            <rFont val="Tahoma"/>
            <family val="2"/>
          </rPr>
          <t>Application Short name (SAN):</t>
        </r>
        <r>
          <rPr>
            <sz val="9"/>
            <color indexed="81"/>
            <rFont val="Tahoma"/>
            <family val="2"/>
          </rPr>
          <t xml:space="preserve">
Created by SAN Team.  
Copied from NAS Tab (onboarding)
(Different from app short name on Project details)</t>
        </r>
      </text>
    </comment>
    <comment ref="A4" authorId="0" shapeId="0" xr:uid="{00000000-0006-0000-0F00-000003000000}">
      <text>
        <r>
          <rPr>
            <b/>
            <sz val="9"/>
            <color indexed="81"/>
            <rFont val="Tahoma"/>
            <family val="2"/>
          </rPr>
          <t xml:space="preserve">Application POC:
</t>
        </r>
        <r>
          <rPr>
            <sz val="9"/>
            <color indexed="81"/>
            <rFont val="Tahoma"/>
            <family val="2"/>
          </rPr>
          <t xml:space="preserve">This is the Application Technical Lead.
Copied from Project Details
</t>
        </r>
      </text>
    </comment>
    <comment ref="A5" authorId="0" shapeId="0" xr:uid="{00000000-0006-0000-0F00-000004000000}">
      <text>
        <r>
          <rPr>
            <b/>
            <sz val="9"/>
            <color indexed="81"/>
            <rFont val="Tahoma"/>
            <family val="2"/>
          </rPr>
          <t>Application Group email::</t>
        </r>
        <r>
          <rPr>
            <sz val="9"/>
            <color indexed="81"/>
            <rFont val="Tahoma"/>
            <family val="2"/>
          </rPr>
          <t xml:space="preserve">
This is the Application Support Team group email. 
Copied from Project Details.</t>
        </r>
      </text>
    </comment>
    <comment ref="A6" authorId="0" shapeId="0" xr:uid="{00000000-0006-0000-0F00-000005000000}">
      <text>
        <r>
          <rPr>
            <b/>
            <sz val="9"/>
            <color indexed="81"/>
            <rFont val="Tahoma"/>
            <family val="2"/>
          </rPr>
          <t>Applications CA Service Desk Group:
This is the CA Service Desk App team queue name.
Copied from Project Details</t>
        </r>
        <r>
          <rPr>
            <sz val="9"/>
            <color indexed="81"/>
            <rFont val="Tahoma"/>
            <family val="2"/>
          </rPr>
          <t xml:space="preserve">
</t>
        </r>
      </text>
    </comment>
    <comment ref="A7" authorId="0" shapeId="0" xr:uid="{00000000-0006-0000-0F00-000006000000}">
      <text>
        <r>
          <rPr>
            <b/>
            <sz val="9"/>
            <color indexed="81"/>
            <rFont val="Tahoma"/>
            <family val="2"/>
          </rPr>
          <t xml:space="preserve">Asset Number:
</t>
        </r>
        <r>
          <rPr>
            <sz val="9"/>
            <color indexed="81"/>
            <rFont val="Tahoma"/>
            <family val="2"/>
          </rPr>
          <t>Select only the assets that will connect to the NAS Devices.</t>
        </r>
      </text>
    </comment>
    <comment ref="B7" authorId="1" shapeId="0" xr:uid="{00000000-0006-0000-0F00-000007000000}">
      <text>
        <r>
          <rPr>
            <b/>
            <sz val="9"/>
            <color indexed="81"/>
            <rFont val="Tahoma"/>
            <family val="2"/>
          </rPr>
          <t>Server Name:</t>
        </r>
        <r>
          <rPr>
            <sz val="9"/>
            <color indexed="81"/>
            <rFont val="Tahoma"/>
            <family val="2"/>
          </rPr>
          <t xml:space="preserve">
Automatically populated from the Distributed Assets tab based on the Asset Number selected.</t>
        </r>
      </text>
    </comment>
    <comment ref="C7" authorId="1" shapeId="0" xr:uid="{00000000-0006-0000-0F00-000008000000}">
      <text>
        <r>
          <rPr>
            <b/>
            <sz val="9"/>
            <color indexed="81"/>
            <rFont val="Tahoma"/>
            <family val="2"/>
          </rPr>
          <t>New or Existing:</t>
        </r>
        <r>
          <rPr>
            <sz val="9"/>
            <color indexed="81"/>
            <rFont val="Tahoma"/>
            <family val="2"/>
          </rPr>
          <t xml:space="preserve">
Automatically populated from the Distributed Assets tab based on the Asset Number selected.</t>
        </r>
      </text>
    </comment>
    <comment ref="D7" authorId="1" shapeId="0" xr:uid="{00000000-0006-0000-0F00-000009000000}">
      <text>
        <r>
          <rPr>
            <b/>
            <sz val="9"/>
            <color indexed="81"/>
            <rFont val="Tahoma"/>
            <family val="2"/>
          </rPr>
          <t>OS Type:</t>
        </r>
        <r>
          <rPr>
            <sz val="9"/>
            <color indexed="81"/>
            <rFont val="Tahoma"/>
            <family val="2"/>
          </rPr>
          <t xml:space="preserve">
Automatically populated from the Distributed Assets tab based on the Asset Number selected.</t>
        </r>
      </text>
    </comment>
    <comment ref="E7" authorId="1" shapeId="0" xr:uid="{00000000-0006-0000-0F00-00000A000000}">
      <text>
        <r>
          <rPr>
            <b/>
            <sz val="9"/>
            <color indexed="81"/>
            <rFont val="Tahoma"/>
            <family val="2"/>
          </rPr>
          <t>Infrastructure Environment:</t>
        </r>
        <r>
          <rPr>
            <sz val="9"/>
            <color indexed="81"/>
            <rFont val="Tahoma"/>
            <family val="2"/>
          </rPr>
          <t xml:space="preserve">
Automatically populated from the Distributed Assets tab based on the Asset Number selected.</t>
        </r>
      </text>
    </comment>
    <comment ref="F7" authorId="0" shapeId="0" xr:uid="{00000000-0006-0000-0F00-00000B000000}">
      <text>
        <r>
          <rPr>
            <b/>
            <sz val="9"/>
            <color indexed="81"/>
            <rFont val="Tahoma"/>
            <family val="2"/>
          </rPr>
          <t>IP Address:</t>
        </r>
        <r>
          <rPr>
            <sz val="9"/>
            <color indexed="81"/>
            <rFont val="Tahoma"/>
            <family val="2"/>
          </rPr>
          <t xml:space="preserve">
This should be the primary Application Interface of the Server.  The first Interface from the IP tab is selected by default.
If a special Interface is added for NAS, then the IP should be corrected manually. </t>
        </r>
      </text>
    </comment>
    <comment ref="G7" authorId="1" shapeId="0" xr:uid="{00000000-0006-0000-0F00-00000C000000}">
      <text>
        <r>
          <rPr>
            <b/>
            <sz val="9"/>
            <color indexed="81"/>
            <rFont val="Tahoma"/>
            <family val="2"/>
          </rPr>
          <t>Port:</t>
        </r>
        <r>
          <rPr>
            <sz val="9"/>
            <color indexed="81"/>
            <rFont val="Tahoma"/>
            <family val="2"/>
          </rPr>
          <t xml:space="preserve">
Automatically populated based on the OS Type of the asset selected. Can be changed by selecting the appropriate value from the drop-down list.</t>
        </r>
      </text>
    </comment>
    <comment ref="H7" authorId="0" shapeId="0" xr:uid="{00000000-0006-0000-0F00-00000D000000}">
      <text>
        <r>
          <rPr>
            <b/>
            <sz val="9"/>
            <color indexed="81"/>
            <rFont val="Tahoma"/>
            <family val="2"/>
          </rPr>
          <t xml:space="preserve">Usage Type:
</t>
        </r>
        <r>
          <rPr>
            <sz val="9"/>
            <color indexed="81"/>
            <rFont val="Tahoma"/>
            <family val="2"/>
          </rPr>
          <t xml:space="preserve">Identify whether this is a new shared NAS Mount or the Standard Tomee Configuration.
</t>
        </r>
      </text>
    </comment>
    <comment ref="I7" authorId="0" shapeId="0" xr:uid="{00000000-0006-0000-0F00-00000E000000}">
      <text>
        <r>
          <rPr>
            <b/>
            <sz val="9"/>
            <color indexed="81"/>
            <rFont val="Tahoma"/>
            <family val="2"/>
          </rPr>
          <t xml:space="preserve">Requested Storage Size:
</t>
        </r>
        <r>
          <rPr>
            <sz val="9"/>
            <color indexed="81"/>
            <rFont val="Tahoma"/>
            <family val="2"/>
          </rPr>
          <t>The amount of storage requested and should be listed on the NAS tab.
If multiple assets are sharing a NAS connection, merge and center this column.</t>
        </r>
      </text>
    </comment>
    <comment ref="J7" authorId="0" shapeId="0" xr:uid="{00000000-0006-0000-0F00-00000F000000}">
      <text>
        <r>
          <rPr>
            <b/>
            <sz val="9"/>
            <color indexed="81"/>
            <rFont val="Tahoma"/>
            <family val="2"/>
          </rPr>
          <t>Access Type:</t>
        </r>
        <r>
          <rPr>
            <sz val="9"/>
            <color indexed="81"/>
            <rFont val="Tahoma"/>
            <family val="2"/>
          </rPr>
          <t xml:space="preserve">
Please identify the type of access required - Read/Write or Read Only - from the drop-down list.</t>
        </r>
      </text>
    </comment>
    <comment ref="K7" authorId="0" shapeId="0" xr:uid="{00000000-0006-0000-0F00-000010000000}">
      <text>
        <r>
          <rPr>
            <b/>
            <sz val="9"/>
            <color indexed="81"/>
            <rFont val="Tahoma"/>
            <family val="2"/>
          </rPr>
          <t xml:space="preserve">NFS4 Mount Options:
</t>
        </r>
        <r>
          <rPr>
            <sz val="9"/>
            <color indexed="81"/>
            <rFont val="Tahoma"/>
            <family val="2"/>
          </rPr>
          <t xml:space="preserve">This is for NFS Only
</t>
        </r>
      </text>
    </comment>
    <comment ref="L7" authorId="0" shapeId="0" xr:uid="{00000000-0006-0000-0F00-000011000000}">
      <text>
        <r>
          <rPr>
            <b/>
            <sz val="9"/>
            <color indexed="81"/>
            <rFont val="Tahoma"/>
            <family val="2"/>
          </rPr>
          <t>NAS Environmant:</t>
        </r>
        <r>
          <rPr>
            <sz val="9"/>
            <color indexed="81"/>
            <rFont val="Tahoma"/>
            <family val="2"/>
          </rPr>
          <t xml:space="preserve">
Automatically populated based on the Infrastructure Environment of the asset selected. Can be updated by selecting the appropriate environment from the drop-down list.</t>
        </r>
      </text>
    </comment>
    <comment ref="M7" authorId="1" shapeId="0" xr:uid="{00000000-0006-0000-0F00-000012000000}">
      <text>
        <r>
          <rPr>
            <b/>
            <sz val="9"/>
            <color indexed="81"/>
            <rFont val="Tahoma"/>
            <family val="2"/>
          </rPr>
          <t>NAS Layer:</t>
        </r>
        <r>
          <rPr>
            <sz val="9"/>
            <color indexed="81"/>
            <rFont val="Tahoma"/>
            <family val="2"/>
          </rPr>
          <t xml:space="preserve">
Select the appropriate NAS layer when being used in production.</t>
        </r>
      </text>
    </comment>
    <comment ref="N7" authorId="1" shapeId="0" xr:uid="{00000000-0006-0000-0F00-000013000000}">
      <text>
        <r>
          <rPr>
            <b/>
            <sz val="9"/>
            <color indexed="81"/>
            <rFont val="Tahoma"/>
            <family val="2"/>
          </rPr>
          <t>Windows NPID:</t>
        </r>
        <r>
          <rPr>
            <sz val="9"/>
            <color indexed="81"/>
            <rFont val="Tahoma"/>
            <family val="2"/>
          </rPr>
          <t xml:space="preserve">
Popluate this cell with the appropriate Windows NPID that will be used for the SMB mount.</t>
        </r>
      </text>
    </comment>
    <comment ref="O7" authorId="1" shapeId="0" xr:uid="{00000000-0006-0000-0F00-000014000000}">
      <text>
        <r>
          <rPr>
            <b/>
            <sz val="9"/>
            <color indexed="81"/>
            <rFont val="Tahoma"/>
            <family val="2"/>
          </rPr>
          <t xml:space="preserve">Windows AD Group:
</t>
        </r>
        <r>
          <rPr>
            <sz val="9"/>
            <color indexed="81"/>
            <rFont val="Tahoma"/>
            <family val="2"/>
          </rPr>
          <t>Popluate this cell with the appropriate Windows AD Group that will be used for the SMB mount.</t>
        </r>
      </text>
    </comment>
    <comment ref="P7" authorId="1" shapeId="0" xr:uid="{00000000-0006-0000-0F00-000015000000}">
      <text>
        <r>
          <rPr>
            <b/>
            <sz val="9"/>
            <color indexed="81"/>
            <rFont val="Tahoma"/>
            <family val="2"/>
          </rPr>
          <t>SMB NAS Name:</t>
        </r>
        <r>
          <rPr>
            <sz val="9"/>
            <color indexed="81"/>
            <rFont val="Tahoma"/>
            <family val="2"/>
          </rPr>
          <t xml:space="preserve">
This value will be automatically populated based on the server platform, environment and network layer.
SMB for servers needing longer than 30 day retention:
smb.waunas24.hcscint.net \\waunas24.hcscint.net\xxx   10.136.196.0/22 port 445
SMB for POD:
smb.pwaunas25p.hcscint.net \\smb.pwaunas25p.hcscint.net\xxx 10.220.125.46-50 port 445
</t>
        </r>
      </text>
    </comment>
    <comment ref="Q7" authorId="1" shapeId="0" xr:uid="{00000000-0006-0000-0F00-000016000000}">
      <text>
        <r>
          <rPr>
            <b/>
            <sz val="9"/>
            <color indexed="81"/>
            <rFont val="Tahoma"/>
            <family val="2"/>
          </rPr>
          <t>Windows SMB Share Name:</t>
        </r>
        <r>
          <rPr>
            <sz val="9"/>
            <color indexed="81"/>
            <rFont val="Tahoma"/>
            <family val="2"/>
          </rPr>
          <t xml:space="preserve">
Populate this cell with the agreed upon SMB share name.</t>
        </r>
      </text>
    </comment>
    <comment ref="R7" authorId="1" shapeId="0" xr:uid="{00000000-0006-0000-0F00-000017000000}">
      <text>
        <r>
          <rPr>
            <b/>
            <sz val="9"/>
            <color indexed="81"/>
            <rFont val="Tahoma"/>
            <family val="2"/>
          </rPr>
          <t>Unix UID:</t>
        </r>
        <r>
          <rPr>
            <sz val="9"/>
            <color indexed="81"/>
            <rFont val="Tahoma"/>
            <family val="2"/>
          </rPr>
          <t xml:space="preserve">
Popluate this cell with the appropriate Unix UID that will be used for the NFS mount.
May occur after DCC in cases where new servers are attaching to existing NAS.</t>
        </r>
      </text>
    </comment>
    <comment ref="S7" authorId="1" shapeId="0" xr:uid="{00000000-0006-0000-0F00-000018000000}">
      <text>
        <r>
          <rPr>
            <b/>
            <sz val="9"/>
            <color indexed="81"/>
            <rFont val="Tahoma"/>
            <family val="2"/>
          </rPr>
          <t xml:space="preserve">Unix GID:
</t>
        </r>
        <r>
          <rPr>
            <sz val="9"/>
            <color indexed="81"/>
            <rFont val="Tahoma"/>
            <family val="2"/>
          </rPr>
          <t>Popluate this cell with the appropriate Unix GID that will be used for the NFS mount.
May occur after DCC in cases where new servers are attaching to existing NAS.</t>
        </r>
      </text>
    </comment>
    <comment ref="T7" authorId="1" shapeId="0" xr:uid="{00000000-0006-0000-0F00-000019000000}">
      <text>
        <r>
          <rPr>
            <b/>
            <sz val="9"/>
            <color indexed="81"/>
            <rFont val="Tahoma"/>
            <family val="2"/>
          </rPr>
          <t>SMB NAS Name:</t>
        </r>
        <r>
          <rPr>
            <sz val="9"/>
            <color indexed="81"/>
            <rFont val="Tahoma"/>
            <family val="2"/>
          </rPr>
          <t xml:space="preserve">
This value will be automatically populated based on the server platform, environment and network layer.
NFS for servers needing longer than 30 day retention:
nfs.waunas24.hcscint.net /ifs/pwaunas24/prod/nfs/xxx  10.136.196.0/22 port 2049
NFS for POD
nfs.pwaunas25p.hcscint.net /ifs/pwaunas25p/xxxxxx 10.220.125.xxxxxx </t>
        </r>
      </text>
    </comment>
    <comment ref="U7" authorId="1" shapeId="0" xr:uid="{00000000-0006-0000-0F00-00001A000000}">
      <text>
        <r>
          <rPr>
            <b/>
            <sz val="9"/>
            <color indexed="81"/>
            <rFont val="Tahoma"/>
            <family val="2"/>
          </rPr>
          <t>NFS Export Path:</t>
        </r>
        <r>
          <rPr>
            <sz val="9"/>
            <color indexed="81"/>
            <rFont val="Tahoma"/>
            <family val="2"/>
          </rPr>
          <t xml:space="preserve">
Populate this cell with the Unix export path that will be used for the NFS mount.</t>
        </r>
      </text>
    </comment>
    <comment ref="V7" authorId="0" shapeId="0" xr:uid="{00000000-0006-0000-0F00-00001B000000}">
      <text>
        <r>
          <rPr>
            <b/>
            <sz val="9"/>
            <color indexed="81"/>
            <rFont val="Tahoma"/>
            <family val="2"/>
          </rPr>
          <t>NFS Mount Point on Unix / Linux:</t>
        </r>
        <r>
          <rPr>
            <sz val="9"/>
            <color indexed="81"/>
            <rFont val="Tahoma"/>
            <family val="2"/>
          </rPr>
          <t xml:space="preserve">
Directory path (mount point) that application team will use on UNIX/Linux server to access the NAS storage.
Example:  /opt/app/data</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Irene Oh</author>
    <author>Steve Cierniak</author>
    <author>HCSC</author>
    <author>Michael B Wealther</author>
  </authors>
  <commentList>
    <comment ref="A3" authorId="0" shapeId="0" xr:uid="{00000000-0006-0000-1000-000001000000}">
      <text>
        <r>
          <rPr>
            <b/>
            <sz val="9"/>
            <color indexed="81"/>
            <rFont val="Tahoma"/>
            <family val="2"/>
          </rPr>
          <t>Asset Number:</t>
        </r>
        <r>
          <rPr>
            <sz val="9"/>
            <color indexed="81"/>
            <rFont val="Tahoma"/>
            <family val="2"/>
          </rPr>
          <t xml:space="preserve">
Select the appropriate Asset Number.  Descriptions may be found in the Distributed Assets Tab.</t>
        </r>
      </text>
    </comment>
    <comment ref="B3" authorId="0" shapeId="0" xr:uid="{00000000-0006-0000-1000-000002000000}">
      <text>
        <r>
          <rPr>
            <b/>
            <sz val="9"/>
            <color indexed="81"/>
            <rFont val="Tahoma"/>
            <family val="2"/>
          </rPr>
          <t>Server Name:</t>
        </r>
        <r>
          <rPr>
            <sz val="9"/>
            <color indexed="81"/>
            <rFont val="Tahoma"/>
            <family val="2"/>
          </rPr>
          <t xml:space="preserve">
Server Name is auto-populated from the Distributed Assets tab.</t>
        </r>
      </text>
    </comment>
    <comment ref="C3" authorId="0" shapeId="0" xr:uid="{00000000-0006-0000-1000-000003000000}">
      <text>
        <r>
          <rPr>
            <b/>
            <sz val="9"/>
            <color indexed="81"/>
            <rFont val="Tahoma"/>
            <family val="2"/>
          </rPr>
          <t>Blade, Physical or Virtual Server:</t>
        </r>
        <r>
          <rPr>
            <sz val="9"/>
            <color indexed="81"/>
            <rFont val="Tahoma"/>
            <family val="2"/>
          </rPr>
          <t xml:space="preserve">
This field will auto-populate whether the asset is listed as a Blade, Physical Server/Appliance, or Virtual Server on the Dist. Assets tab.</t>
        </r>
      </text>
    </comment>
    <comment ref="D3" authorId="0" shapeId="0" xr:uid="{00000000-0006-0000-1000-000004000000}">
      <text>
        <r>
          <rPr>
            <b/>
            <sz val="9"/>
            <color indexed="81"/>
            <rFont val="Tahoma"/>
            <family val="2"/>
          </rPr>
          <t>New or Existing Server:</t>
        </r>
        <r>
          <rPr>
            <sz val="9"/>
            <color indexed="81"/>
            <rFont val="Tahoma"/>
            <family val="2"/>
          </rPr>
          <t xml:space="preserve">
This field will auto-populate whether the asset is selected as New or Existing asset on the Dist. Assets tab.</t>
        </r>
      </text>
    </comment>
    <comment ref="E3" authorId="1" shapeId="0" xr:uid="{00000000-0006-0000-1000-000005000000}">
      <text>
        <r>
          <rPr>
            <b/>
            <sz val="9"/>
            <color indexed="81"/>
            <rFont val="Tahoma"/>
            <family val="2"/>
          </rPr>
          <t xml:space="preserve">WWPNs (World Wide Port Name)
</t>
        </r>
        <r>
          <rPr>
            <sz val="9"/>
            <color indexed="81"/>
            <rFont val="Tahoma"/>
            <family val="2"/>
          </rPr>
          <t xml:space="preserve">Only required for New Physicall or Blade Servers
VM team will supply WWPNs for new ESX hosts. Windows team will supply WWPNs for blades.
Field requires A and B name seperated by return line.
</t>
        </r>
      </text>
    </comment>
    <comment ref="F3" authorId="1" shapeId="0" xr:uid="{00000000-0006-0000-1000-000006000000}">
      <text>
        <r>
          <rPr>
            <b/>
            <sz val="9"/>
            <color indexed="81"/>
            <rFont val="Tahoma"/>
            <family val="2"/>
          </rPr>
          <t>Host Rack:</t>
        </r>
        <r>
          <rPr>
            <sz val="9"/>
            <color indexed="81"/>
            <rFont val="Tahoma"/>
            <family val="2"/>
          </rPr>
          <t xml:space="preserve">
Host Rack of the LanMac has this information, which is only required for Physical servers.</t>
        </r>
      </text>
    </comment>
    <comment ref="G3" authorId="0" shapeId="0" xr:uid="{00000000-0006-0000-1000-000007000000}">
      <text>
        <r>
          <rPr>
            <b/>
            <sz val="9"/>
            <color indexed="81"/>
            <rFont val="Tahoma"/>
            <family val="2"/>
          </rPr>
          <t>OS Type:</t>
        </r>
        <r>
          <rPr>
            <sz val="9"/>
            <color indexed="81"/>
            <rFont val="Tahoma"/>
            <family val="2"/>
          </rPr>
          <t xml:space="preserve">
This field will auto-populate the Operating System listed in the Dist. Assets. (i.e. Windows, Linux, AIX)</t>
        </r>
      </text>
    </comment>
    <comment ref="H3" authorId="0" shapeId="0" xr:uid="{00000000-0006-0000-1000-000008000000}">
      <text>
        <r>
          <rPr>
            <b/>
            <sz val="9"/>
            <color indexed="81"/>
            <rFont val="Tahoma"/>
            <family val="2"/>
          </rPr>
          <t>Infrastructure
Environment:</t>
        </r>
        <r>
          <rPr>
            <sz val="9"/>
            <color indexed="81"/>
            <rFont val="Tahoma"/>
            <family val="2"/>
          </rPr>
          <t xml:space="preserve">
This field will auto-populate the Infrastructure Environment (i.e. DEV, Test 2.0, or Prod 2.0) based on the Dist. Assets tab.</t>
        </r>
      </text>
    </comment>
    <comment ref="I3" authorId="0" shapeId="0" xr:uid="{00000000-0006-0000-1000-000009000000}">
      <text>
        <r>
          <rPr>
            <b/>
            <sz val="9"/>
            <color indexed="81"/>
            <rFont val="Tahoma"/>
            <family val="2"/>
          </rPr>
          <t>VIO Server Name:</t>
        </r>
        <r>
          <rPr>
            <sz val="9"/>
            <color indexed="81"/>
            <rFont val="Tahoma"/>
            <family val="2"/>
          </rPr>
          <t xml:space="preserve">
This field will auto-populate the VIO Server Name from the Open Systems tab.</t>
        </r>
      </text>
    </comment>
    <comment ref="J3" authorId="2" shapeId="0" xr:uid="{00000000-0006-0000-1000-00000A000000}">
      <text>
        <r>
          <rPr>
            <b/>
            <sz val="8"/>
            <color indexed="81"/>
            <rFont val="Tahoma"/>
            <family val="2"/>
          </rPr>
          <t>vDisk Type:</t>
        </r>
        <r>
          <rPr>
            <sz val="8"/>
            <color indexed="81"/>
            <rFont val="Tahoma"/>
            <family val="2"/>
          </rPr>
          <t xml:space="preserve">
Select the vDisk type needed (OS, Middleware) and it will auto-populate the Vdisk Size from the Open Systems tab.</t>
        </r>
      </text>
    </comment>
    <comment ref="K3" authorId="2" shapeId="0" xr:uid="{00000000-0006-0000-1000-00000B000000}">
      <text>
        <r>
          <rPr>
            <b/>
            <sz val="8"/>
            <color indexed="81"/>
            <rFont val="Tahoma"/>
            <family val="2"/>
          </rPr>
          <t>vDisk Size:</t>
        </r>
        <r>
          <rPr>
            <sz val="8"/>
            <color indexed="81"/>
            <rFont val="Tahoma"/>
            <family val="2"/>
          </rPr>
          <t xml:space="preserve">
Auto-populated based on the VdiskType and pulled from the Open Systems tab.</t>
        </r>
      </text>
    </comment>
    <comment ref="L3" authorId="2" shapeId="0" xr:uid="{00000000-0006-0000-1000-00000C000000}">
      <text>
        <r>
          <rPr>
            <b/>
            <sz val="8"/>
            <color indexed="81"/>
            <rFont val="Tahoma"/>
            <family val="2"/>
          </rPr>
          <t>vDisk ID:</t>
        </r>
        <r>
          <rPr>
            <sz val="8"/>
            <color indexed="81"/>
            <rFont val="Tahoma"/>
            <family val="2"/>
          </rPr>
          <t xml:space="preserve">
vDisk ID - </t>
        </r>
        <r>
          <rPr>
            <b/>
            <sz val="8"/>
            <color indexed="81"/>
            <rFont val="Tahoma"/>
            <family val="2"/>
          </rPr>
          <t>required</t>
        </r>
        <r>
          <rPr>
            <sz val="8"/>
            <color indexed="81"/>
            <rFont val="Tahoma"/>
            <family val="2"/>
          </rPr>
          <t xml:space="preserve"> only when expanding the LUN. 
Server administrator identifies this disk ID.</t>
        </r>
      </text>
    </comment>
    <comment ref="M3" authorId="0" shapeId="0" xr:uid="{00000000-0006-0000-1000-00000D000000}">
      <text>
        <r>
          <rPr>
            <b/>
            <sz val="9"/>
            <color indexed="81"/>
            <rFont val="Tahoma"/>
            <family val="2"/>
          </rPr>
          <t>Shared with Server:</t>
        </r>
        <r>
          <rPr>
            <sz val="9"/>
            <color indexed="81"/>
            <rFont val="Tahoma"/>
            <family val="2"/>
          </rPr>
          <t xml:space="preserve">
Specify the servers that will share capacity (LUNs)
Auto-populated with the server's hostname from the Dist. Assets tab.
</t>
        </r>
      </text>
    </comment>
    <comment ref="N3" authorId="0" shapeId="0" xr:uid="{00000000-0006-0000-1000-00000E000000}">
      <text>
        <r>
          <rPr>
            <b/>
            <sz val="9"/>
            <color indexed="81"/>
            <rFont val="Tahoma"/>
            <family val="2"/>
          </rPr>
          <t>Cluster Type:</t>
        </r>
        <r>
          <rPr>
            <sz val="9"/>
            <color indexed="81"/>
            <rFont val="Tahoma"/>
            <family val="2"/>
          </rPr>
          <t xml:space="preserve">
This field will auto-populate the Cluster Type from the Distributed Assets tab.</t>
        </r>
      </text>
    </comment>
    <comment ref="O3" authorId="1" shapeId="0" xr:uid="{00000000-0006-0000-1000-00000F000000}">
      <text>
        <r>
          <rPr>
            <b/>
            <sz val="9"/>
            <color indexed="81"/>
            <rFont val="Tahoma"/>
            <family val="2"/>
          </rPr>
          <t xml:space="preserve">Swing vDisk Size:
</t>
        </r>
        <r>
          <rPr>
            <sz val="9"/>
            <color indexed="81"/>
            <rFont val="Tahoma"/>
            <family val="2"/>
          </rPr>
          <t xml:space="preserve">This is for temporary space for moving databases, info provided by DBAs when required.
</t>
        </r>
      </text>
    </comment>
    <comment ref="P3" authorId="2" shapeId="0" xr:uid="{00000000-0006-0000-1000-000010000000}">
      <text>
        <r>
          <rPr>
            <b/>
            <sz val="8"/>
            <color indexed="81"/>
            <rFont val="Tahoma"/>
            <family val="2"/>
          </rPr>
          <t xml:space="preserve">DR Server Name:
</t>
        </r>
        <r>
          <rPr>
            <sz val="8"/>
            <color indexed="81"/>
            <rFont val="Tahoma"/>
            <family val="2"/>
          </rPr>
          <t>Pulled from Distributed Assets - Server name</t>
        </r>
        <r>
          <rPr>
            <b/>
            <sz val="8"/>
            <color indexed="81"/>
            <rFont val="Tahoma"/>
            <family val="2"/>
          </rPr>
          <t xml:space="preserve">
How to Edit fields:
</t>
        </r>
        <r>
          <rPr>
            <sz val="8"/>
            <color indexed="81"/>
            <rFont val="Tahoma"/>
            <family val="2"/>
          </rPr>
          <t xml:space="preserve">1. Right Click Mouse
2. Select Copy
3. Right Click Mouse
4. Select Paste Special
5.  Edit / Delete Cell as needed </t>
        </r>
      </text>
    </comment>
    <comment ref="Q3" authorId="2" shapeId="0" xr:uid="{00000000-0006-0000-1000-000011000000}">
      <text>
        <r>
          <rPr>
            <b/>
            <sz val="8"/>
            <color indexed="81"/>
            <rFont val="Tahoma"/>
            <family val="2"/>
          </rPr>
          <t>Vdisk Global Mirror Options:</t>
        </r>
        <r>
          <rPr>
            <sz val="8"/>
            <color indexed="81"/>
            <rFont val="Tahoma"/>
            <family val="2"/>
          </rPr>
          <t xml:space="preserve">
Determining Global Mirror Requirements for vDisks </t>
        </r>
      </text>
    </comment>
    <comment ref="R3" authorId="0" shapeId="0" xr:uid="{00000000-0006-0000-1000-000012000000}">
      <text>
        <r>
          <rPr>
            <b/>
            <sz val="9"/>
            <color indexed="81"/>
            <rFont val="Tahoma"/>
            <family val="2"/>
          </rPr>
          <t>Waukegan Prod vDisk Name:</t>
        </r>
        <r>
          <rPr>
            <sz val="9"/>
            <color indexed="81"/>
            <rFont val="Tahoma"/>
            <family val="2"/>
          </rPr>
          <t xml:space="preserve">
Enter the Waukegan Prod vDisk Name if needed</t>
        </r>
      </text>
    </comment>
    <comment ref="S3" authorId="0" shapeId="0" xr:uid="{00000000-0006-0000-1000-000013000000}">
      <text>
        <r>
          <rPr>
            <b/>
            <sz val="9"/>
            <color indexed="81"/>
            <rFont val="Tahoma"/>
            <family val="2"/>
          </rPr>
          <t>Waukegan Prod Change Volume vDisk Name:</t>
        </r>
        <r>
          <rPr>
            <sz val="9"/>
            <color indexed="81"/>
            <rFont val="Tahoma"/>
            <family val="2"/>
          </rPr>
          <t xml:space="preserve">
This is required only for Vmware vDisk</t>
        </r>
      </text>
    </comment>
    <comment ref="T3" authorId="2" shapeId="0" xr:uid="{00000000-0006-0000-1000-000014000000}">
      <text>
        <r>
          <rPr>
            <b/>
            <sz val="8"/>
            <color indexed="81"/>
            <rFont val="Tahoma"/>
            <family val="2"/>
          </rPr>
          <t>Waukegan Prod SVC Cluster:</t>
        </r>
        <r>
          <rPr>
            <sz val="8"/>
            <color indexed="81"/>
            <rFont val="Tahoma"/>
            <family val="2"/>
          </rPr>
          <t xml:space="preserve">
Copied from Distributed Assets Tab (Cluster)</t>
        </r>
      </text>
    </comment>
    <comment ref="U3" authorId="2" shapeId="0" xr:uid="{00000000-0006-0000-1000-000015000000}">
      <text>
        <r>
          <rPr>
            <b/>
            <sz val="8"/>
            <color indexed="81"/>
            <rFont val="Tahoma"/>
            <family val="2"/>
          </rPr>
          <t>Waukegan Prod IO_Group ID:</t>
        </r>
        <r>
          <rPr>
            <sz val="8"/>
            <color indexed="81"/>
            <rFont val="Tahoma"/>
            <family val="2"/>
          </rPr>
          <t xml:space="preserve">
Discuss with Waukegan Prod IO_Group ID:
TBD may be used until all backlog og LBOMS are assessed for DR.</t>
        </r>
      </text>
    </comment>
    <comment ref="V3" authorId="2" shapeId="0" xr:uid="{00000000-0006-0000-1000-000016000000}">
      <text>
        <r>
          <rPr>
            <b/>
            <sz val="8"/>
            <color indexed="81"/>
            <rFont val="Tahoma"/>
            <family val="2"/>
          </rPr>
          <t>Ft Worth - Global Mirror target:</t>
        </r>
        <r>
          <rPr>
            <sz val="8"/>
            <color indexed="81"/>
            <rFont val="Tahoma"/>
            <family val="2"/>
          </rPr>
          <t xml:space="preserve">
1st Part of LUN requirement of 2.5 x storage
(1x times storage) </t>
        </r>
      </text>
    </comment>
    <comment ref="W3" authorId="1" shapeId="0" xr:uid="{00000000-0006-0000-1000-000017000000}">
      <text>
        <r>
          <rPr>
            <b/>
            <sz val="9"/>
            <color indexed="81"/>
            <rFont val="Tahoma"/>
            <family val="2"/>
          </rPr>
          <t>Ft Worth DR 
Global Mirror vDisk Name:</t>
        </r>
        <r>
          <rPr>
            <sz val="9"/>
            <color indexed="81"/>
            <rFont val="Tahoma"/>
            <family val="2"/>
          </rPr>
          <t xml:space="preserve">
Based on Waukegan vDisk name - replace -v# with -g#</t>
        </r>
      </text>
    </comment>
    <comment ref="X3" authorId="0" shapeId="0" xr:uid="{00000000-0006-0000-1000-000018000000}">
      <text>
        <r>
          <rPr>
            <b/>
            <sz val="9"/>
            <color indexed="81"/>
            <rFont val="Tahoma"/>
            <family val="2"/>
          </rPr>
          <t>Ft. Worth DR Change Volume vDisk Name:</t>
        </r>
        <r>
          <rPr>
            <sz val="9"/>
            <color indexed="81"/>
            <rFont val="Tahoma"/>
            <family val="2"/>
          </rPr>
          <t xml:space="preserve">
This is required only for Vmware vDisk and is autopopulated</t>
        </r>
      </text>
    </comment>
    <comment ref="Y3" authorId="0" shapeId="0" xr:uid="{00000000-0006-0000-1000-000019000000}">
      <text>
        <r>
          <rPr>
            <b/>
            <sz val="9"/>
            <color indexed="81"/>
            <rFont val="Tahoma"/>
            <family val="2"/>
          </rPr>
          <t>Ft. Worth DR SVC Cluster:</t>
        </r>
        <r>
          <rPr>
            <sz val="9"/>
            <color indexed="81"/>
            <rFont val="Tahoma"/>
            <family val="2"/>
          </rPr>
          <t xml:space="preserve">
This will auto-populate the Ft. Worth DR SVC Cluster if needed</t>
        </r>
      </text>
    </comment>
    <comment ref="Z3" authorId="2" shapeId="0" xr:uid="{00000000-0006-0000-1000-00001A000000}">
      <text>
        <r>
          <rPr>
            <b/>
            <sz val="8"/>
            <color indexed="81"/>
            <rFont val="Tahoma"/>
            <family val="2"/>
          </rPr>
          <t>Ft. Worth DR IO_Group ID:</t>
        </r>
        <r>
          <rPr>
            <sz val="8"/>
            <color indexed="81"/>
            <rFont val="Tahoma"/>
            <family val="2"/>
          </rPr>
          <t xml:space="preserve">
Discuss with SAN Team.
</t>
        </r>
      </text>
    </comment>
    <comment ref="AA3" authorId="2" shapeId="0" xr:uid="{00000000-0006-0000-1000-00001B000000}">
      <text>
        <r>
          <rPr>
            <b/>
            <sz val="8"/>
            <color indexed="81"/>
            <rFont val="Tahoma"/>
            <family val="2"/>
          </rPr>
          <t xml:space="preserve">Ft Worth DR Flashcopy vDisk Name:
</t>
        </r>
        <r>
          <rPr>
            <sz val="8"/>
            <color indexed="81"/>
            <rFont val="Tahoma"/>
            <family val="2"/>
          </rPr>
          <t>2nd Part of LUN requirement of 2.5 x storage 
(1x times storage)</t>
        </r>
      </text>
    </comment>
    <comment ref="AB3" authorId="2" shapeId="0" xr:uid="{00000000-0006-0000-1000-00001C000000}">
      <text>
        <r>
          <rPr>
            <b/>
            <sz val="8"/>
            <color indexed="81"/>
            <rFont val="Tahoma"/>
            <family val="2"/>
          </rPr>
          <t>Ft Worth DR SE- Flashcopy Vdisk Name:</t>
        </r>
        <r>
          <rPr>
            <sz val="8"/>
            <color indexed="81"/>
            <rFont val="Tahoma"/>
            <family val="2"/>
          </rPr>
          <t xml:space="preserve">
(.5 times storage)
Space Efficient Flashcopy</t>
        </r>
      </text>
    </comment>
    <comment ref="AC3" authorId="3" shapeId="0" xr:uid="{00000000-0006-0000-1000-00001D000000}">
      <text>
        <r>
          <rPr>
            <b/>
            <sz val="9"/>
            <color indexed="81"/>
            <rFont val="Tahoma"/>
            <family val="2"/>
          </rPr>
          <t>TPC-R Flash Copy Session Name:</t>
        </r>
        <r>
          <rPr>
            <sz val="9"/>
            <color indexed="81"/>
            <rFont val="Tahoma"/>
            <family val="2"/>
          </rPr>
          <t xml:space="preserve">
Stand Alone Server TPC-R Flash Copy Session Name Example:
servername01-fc
Active/Passive cluster TPC-R Flash Copy Session Name Example:
servername0101_0102-fc
Active/Active cluster TPC-R Flash Copy Session Name Example:
servername0101-fc
servername0102-fc
</t>
        </r>
      </text>
    </comment>
    <comment ref="AD3" authorId="3" shapeId="0" xr:uid="{00000000-0006-0000-1000-00001E000000}">
      <text>
        <r>
          <rPr>
            <b/>
            <sz val="9"/>
            <color indexed="81"/>
            <rFont val="Tahoma"/>
            <family val="2"/>
          </rPr>
          <t>TPC-R Global Mirror Session Name:</t>
        </r>
        <r>
          <rPr>
            <sz val="9"/>
            <color indexed="81"/>
            <rFont val="Tahoma"/>
            <family val="2"/>
          </rPr>
          <t xml:space="preserve">
Stand Alone Server TPC-R Global Mirror Session Name Example: 
servername01-gm
Active/Passive cluster TPC-R Global Mirror Session Name Example: 
servername0101_0102-gm
Active/Active cluster TPC-R Global Mirror Session Name Example: 
servername0101-gm
servername0102-gm
</t>
        </r>
      </text>
    </comment>
    <comment ref="AE3" authorId="3" shapeId="0" xr:uid="{00000000-0006-0000-1000-00001F000000}">
      <text>
        <r>
          <rPr>
            <b/>
            <sz val="9"/>
            <color indexed="81"/>
            <rFont val="Tahoma"/>
            <family val="2"/>
          </rPr>
          <t>TPC-R Space Efficient Flash Copy Session Name:</t>
        </r>
        <r>
          <rPr>
            <sz val="9"/>
            <color indexed="81"/>
            <rFont val="Tahoma"/>
            <family val="2"/>
          </rPr>
          <t xml:space="preserve">
Stand Alone Server TPC-R Space Efficient Flash Copy Session Name Example: 
servername01-sefc
Active/Passive cluster TPC-R Space Efficient Flash Copy Session Name Example: 
servername0101_0102-sefc
Active/Active cluster TPC-R Space Efficient Flash Copy Session Name Example: 
servername0101-sefc
servername0102-sefc</t>
        </r>
      </text>
    </comment>
    <comment ref="AF3" authorId="0" shapeId="0" xr:uid="{00000000-0006-0000-1000-000020000000}">
      <text>
        <r>
          <rPr>
            <b/>
            <sz val="9"/>
            <color indexed="81"/>
            <rFont val="Tahoma"/>
            <family val="2"/>
          </rPr>
          <t>Comments:</t>
        </r>
        <r>
          <rPr>
            <sz val="9"/>
            <color indexed="81"/>
            <rFont val="Tahoma"/>
            <family val="2"/>
          </rPr>
          <t xml:space="preserve">
Enter any comments that may be useful for the Storage team
If adding ESX Hosts, please list the Blade Center in the comments for the Storage Team.  
Ex.  Wintel BL07 (PROD)
If adding space for ESX Hosts, please be sure to include:
"Add vdisks to the shared servers with a unique SCSI ID across all of the servers."</t>
        </r>
      </text>
    </comment>
    <comment ref="AG3" authorId="0" shapeId="0" xr:uid="{00000000-0006-0000-1000-000021000000}">
      <text>
        <r>
          <rPr>
            <b/>
            <sz val="9"/>
            <color indexed="81"/>
            <rFont val="Tahoma"/>
            <family val="2"/>
          </rPr>
          <t>Legacy Server name:</t>
        </r>
        <r>
          <rPr>
            <sz val="9"/>
            <color indexed="81"/>
            <rFont val="Tahoma"/>
            <family val="2"/>
          </rPr>
          <t xml:space="preserve">
The Legacy Server name will auto-populate from the Distributed Assets tab.</t>
        </r>
      </text>
    </comment>
    <comment ref="AH3" authorId="0" shapeId="0" xr:uid="{00000000-0006-0000-1000-000022000000}">
      <text>
        <r>
          <rPr>
            <b/>
            <sz val="9"/>
            <color indexed="81"/>
            <rFont val="Tahoma"/>
            <family val="2"/>
          </rPr>
          <t>Restart Monitoring Agent:</t>
        </r>
        <r>
          <rPr>
            <sz val="9"/>
            <color indexed="81"/>
            <rFont val="Tahoma"/>
            <family val="2"/>
          </rPr>
          <t xml:space="preserve">
This field will auto-populate to be referenced by the Storage team. 'Yes' if it is an existing server.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HCSC</author>
    <author>HCSC User</author>
  </authors>
  <commentList>
    <comment ref="Y1" authorId="0" shapeId="0" xr:uid="{00000000-0006-0000-1100-000001000000}">
      <text>
        <r>
          <rPr>
            <b/>
            <sz val="8"/>
            <color indexed="81"/>
            <rFont val="Tahoma"/>
            <family val="2"/>
          </rPr>
          <t>DR Columns:</t>
        </r>
        <r>
          <rPr>
            <sz val="8"/>
            <color indexed="81"/>
            <rFont val="Tahoma"/>
            <family val="2"/>
          </rPr>
          <t xml:space="preserve">
Only populated for PROD 2.0 assets.
</t>
        </r>
      </text>
    </comment>
    <comment ref="A2" authorId="1" shapeId="0" xr:uid="{00000000-0006-0000-1100-000002000000}">
      <text>
        <r>
          <rPr>
            <b/>
            <sz val="9"/>
            <color indexed="81"/>
            <rFont val="Tahoma"/>
            <family val="2"/>
          </rPr>
          <t>Asset (IP Instance) #:</t>
        </r>
        <r>
          <rPr>
            <sz val="9"/>
            <color indexed="81"/>
            <rFont val="Tahoma"/>
            <family val="2"/>
          </rPr>
          <t xml:space="preserve">
Select the appropraite IP instance that will be used for the TSM backups.
This should be the primary IP of the server. For example: A DMZ backup interface or the persistant IP of a cluster.</t>
        </r>
      </text>
    </comment>
    <comment ref="B2" authorId="1" shapeId="0" xr:uid="{00000000-0006-0000-1100-000003000000}">
      <text>
        <r>
          <rPr>
            <b/>
            <sz val="9"/>
            <color indexed="81"/>
            <rFont val="Tahoma"/>
            <family val="2"/>
          </rPr>
          <t>Legacy Server Name:</t>
        </r>
        <r>
          <rPr>
            <sz val="9"/>
            <color indexed="81"/>
            <rFont val="Tahoma"/>
            <family val="2"/>
          </rPr>
          <t xml:space="preserve">
Automatically populated from the Distributed Assets tab via a formula.</t>
        </r>
      </text>
    </comment>
    <comment ref="C2" authorId="1" shapeId="0" xr:uid="{00000000-0006-0000-1100-000004000000}">
      <text>
        <r>
          <rPr>
            <b/>
            <sz val="9"/>
            <color indexed="81"/>
            <rFont val="Tahoma"/>
            <family val="2"/>
          </rPr>
          <t>Server Name:</t>
        </r>
        <r>
          <rPr>
            <sz val="9"/>
            <color indexed="81"/>
            <rFont val="Tahoma"/>
            <family val="2"/>
          </rPr>
          <t xml:space="preserve">
Automatically populated from the Distributed Assets tab via a formula.</t>
        </r>
      </text>
    </comment>
    <comment ref="D2" authorId="1" shapeId="0" xr:uid="{00000000-0006-0000-1100-000005000000}">
      <text>
        <r>
          <rPr>
            <b/>
            <sz val="9"/>
            <color indexed="81"/>
            <rFont val="Tahoma"/>
            <family val="2"/>
          </rPr>
          <t>IP address:</t>
        </r>
        <r>
          <rPr>
            <sz val="9"/>
            <color indexed="81"/>
            <rFont val="Tahoma"/>
            <family val="2"/>
          </rPr>
          <t xml:space="preserve">
Automatically populated from the IP tab via a formula.</t>
        </r>
      </text>
    </comment>
    <comment ref="E2" authorId="1" shapeId="0" xr:uid="{00000000-0006-0000-1100-000006000000}">
      <text>
        <r>
          <rPr>
            <b/>
            <sz val="9"/>
            <color indexed="81"/>
            <rFont val="Tahoma"/>
            <family val="2"/>
          </rPr>
          <t>OS Type:</t>
        </r>
        <r>
          <rPr>
            <sz val="9"/>
            <color indexed="81"/>
            <rFont val="Tahoma"/>
            <family val="2"/>
          </rPr>
          <t xml:space="preserve">
Automatically populated from the Distributed Assets tab via a formula.</t>
        </r>
      </text>
    </comment>
    <comment ref="F2" authorId="1" shapeId="0" xr:uid="{00000000-0006-0000-1100-000007000000}">
      <text>
        <r>
          <rPr>
            <b/>
            <sz val="9"/>
            <color indexed="81"/>
            <rFont val="Tahoma"/>
            <family val="2"/>
          </rPr>
          <t>Environment:</t>
        </r>
        <r>
          <rPr>
            <sz val="9"/>
            <color indexed="81"/>
            <rFont val="Tahoma"/>
            <family val="2"/>
          </rPr>
          <t xml:space="preserve">
Automatically populated from the Distributed Assets tab via a formula.</t>
        </r>
      </text>
    </comment>
    <comment ref="H2" authorId="1" shapeId="0" xr:uid="{00000000-0006-0000-1100-000008000000}">
      <text>
        <r>
          <rPr>
            <b/>
            <sz val="9"/>
            <color indexed="81"/>
            <rFont val="Tahoma"/>
            <family val="2"/>
          </rPr>
          <t>Network Layer:</t>
        </r>
        <r>
          <rPr>
            <sz val="9"/>
            <color indexed="81"/>
            <rFont val="Tahoma"/>
            <family val="2"/>
          </rPr>
          <t xml:space="preserve">
Automatically populated from the Distributed Assets tab via a formula.</t>
        </r>
      </text>
    </comment>
    <comment ref="I2" authorId="1" shapeId="0" xr:uid="{00000000-0006-0000-1100-000009000000}">
      <text>
        <r>
          <rPr>
            <b/>
            <sz val="9"/>
            <color indexed="81"/>
            <rFont val="Tahoma"/>
            <family val="2"/>
          </rPr>
          <t>Frame:</t>
        </r>
        <r>
          <rPr>
            <sz val="9"/>
            <color indexed="81"/>
            <rFont val="Tahoma"/>
            <family val="2"/>
          </rPr>
          <t xml:space="preserve">
Automatically populated from the OpenSystems tab via a formula if the asset is a AIX OS.</t>
        </r>
      </text>
    </comment>
    <comment ref="J2" authorId="1" shapeId="0" xr:uid="{00000000-0006-0000-1100-00000A000000}">
      <text>
        <r>
          <rPr>
            <b/>
            <sz val="9"/>
            <color indexed="81"/>
            <rFont val="Tahoma"/>
            <family val="2"/>
          </rPr>
          <t>TSM Client Version:</t>
        </r>
        <r>
          <rPr>
            <sz val="9"/>
            <color indexed="81"/>
            <rFont val="Tahoma"/>
            <family val="2"/>
          </rPr>
          <t xml:space="preserve">
Value will autopopulate based on OS Type but the value can be overwritten by selecting the TSM Client Version from the drop-down box.</t>
        </r>
      </text>
    </comment>
    <comment ref="K2" authorId="1" shapeId="0" xr:uid="{00000000-0006-0000-1100-00000B000000}">
      <text>
        <r>
          <rPr>
            <b/>
            <sz val="9"/>
            <color indexed="81"/>
            <rFont val="Tahoma"/>
            <family val="2"/>
          </rPr>
          <t>ECS Administrator:</t>
        </r>
        <r>
          <rPr>
            <sz val="9"/>
            <color indexed="81"/>
            <rFont val="Tahoma"/>
            <family val="2"/>
          </rPr>
          <t xml:space="preserve">
To be populated by the OS administrator to reflect the name of that person's group name.</t>
        </r>
      </text>
    </comment>
    <comment ref="L2" authorId="1" shapeId="0" xr:uid="{00000000-0006-0000-1100-00000C000000}">
      <text>
        <r>
          <rPr>
            <b/>
            <sz val="9"/>
            <color indexed="81"/>
            <rFont val="Tahoma"/>
            <family val="2"/>
          </rPr>
          <t>AD Server Domain:</t>
        </r>
        <r>
          <rPr>
            <sz val="9"/>
            <color indexed="81"/>
            <rFont val="Tahoma"/>
            <family val="2"/>
          </rPr>
          <t xml:space="preserve">
Will be autopopulated via a formula based on the OS Type and Environment values from this tab.</t>
        </r>
      </text>
    </comment>
    <comment ref="M2" authorId="1" shapeId="0" xr:uid="{00000000-0006-0000-1100-00000D000000}">
      <text>
        <r>
          <rPr>
            <b/>
            <sz val="9"/>
            <color indexed="81"/>
            <rFont val="Tahoma"/>
            <family val="2"/>
          </rPr>
          <t>Cluster Drives:</t>
        </r>
        <r>
          <rPr>
            <sz val="9"/>
            <color indexed="81"/>
            <rFont val="Tahoma"/>
            <family val="2"/>
          </rPr>
          <t xml:space="preserve">
To be used for Windows Clustering only, typically for SQL Clusters. To be completed by the DBA assigned to the project.</t>
        </r>
      </text>
    </comment>
    <comment ref="N2" authorId="1" shapeId="0" xr:uid="{00000000-0006-0000-1100-00000E000000}">
      <text>
        <r>
          <rPr>
            <b/>
            <sz val="9"/>
            <color indexed="81"/>
            <rFont val="Tahoma"/>
            <family val="2"/>
          </rPr>
          <t>Site Code:</t>
        </r>
        <r>
          <rPr>
            <sz val="9"/>
            <color indexed="81"/>
            <rFont val="Tahoma"/>
            <family val="2"/>
          </rPr>
          <t xml:space="preserve">
Autopopulated based on the server location from the Distributed Assets tab and the associated Site Code for that location on the HostNamingStandard tab.</t>
        </r>
      </text>
    </comment>
    <comment ref="O2" authorId="1" shapeId="0" xr:uid="{00000000-0006-0000-1100-00000F000000}">
      <text>
        <r>
          <rPr>
            <b/>
            <sz val="9"/>
            <color indexed="81"/>
            <rFont val="Tahoma"/>
            <family val="2"/>
          </rPr>
          <t>API Backup:</t>
        </r>
        <r>
          <rPr>
            <sz val="9"/>
            <color indexed="81"/>
            <rFont val="Tahoma"/>
            <family val="2"/>
          </rPr>
          <t xml:space="preserve">
The type of API backup to be utilized, if applicable. To be defined by OS or Middleware representative.</t>
        </r>
      </text>
    </comment>
    <comment ref="P2" authorId="1" shapeId="0" xr:uid="{00000000-0006-0000-1100-000010000000}">
      <text>
        <r>
          <rPr>
            <b/>
            <sz val="9"/>
            <color indexed="81"/>
            <rFont val="Tahoma"/>
            <family val="2"/>
          </rPr>
          <t>API Backup Drive Letter:</t>
        </r>
        <r>
          <rPr>
            <sz val="9"/>
            <color indexed="81"/>
            <rFont val="Tahoma"/>
            <family val="2"/>
          </rPr>
          <t xml:space="preserve">
For Windows based systems only. If an API Backup is utilized, specify the drive letter where the the configuration will be stored.</t>
        </r>
      </text>
    </comment>
    <comment ref="Q2" authorId="1" shapeId="0" xr:uid="{00000000-0006-0000-1100-000011000000}">
      <text>
        <r>
          <rPr>
            <b/>
            <sz val="9"/>
            <color indexed="81"/>
            <rFont val="Tahoma"/>
            <family val="2"/>
          </rPr>
          <t>Includes:</t>
        </r>
        <r>
          <rPr>
            <sz val="9"/>
            <color indexed="81"/>
            <rFont val="Tahoma"/>
            <family val="2"/>
          </rPr>
          <t xml:space="preserve">
Typically, this column is not used since, by default, everything would be included in a TSM backup. It is here in case it is needed.</t>
        </r>
      </text>
    </comment>
    <comment ref="R2" authorId="1" shapeId="0" xr:uid="{00000000-0006-0000-1100-000012000000}">
      <text>
        <r>
          <rPr>
            <b/>
            <sz val="9"/>
            <color indexed="81"/>
            <rFont val="Tahoma"/>
            <family val="2"/>
          </rPr>
          <t>Excludes:</t>
        </r>
        <r>
          <rPr>
            <sz val="9"/>
            <color indexed="81"/>
            <rFont val="Tahoma"/>
            <family val="2"/>
          </rPr>
          <t xml:space="preserve">
Used to define folders and/or files that should be excluded during the backup. Typically, this would be used for database servers at the direction of the DBA.
If a SQL template is selected on the distributed assets tab the excludes are auto-populated.</t>
        </r>
      </text>
    </comment>
    <comment ref="S2" authorId="0" shapeId="0" xr:uid="{00000000-0006-0000-1100-000013000000}">
      <text>
        <r>
          <rPr>
            <b/>
            <sz val="8"/>
            <color indexed="81"/>
            <rFont val="Tahoma"/>
            <family val="2"/>
          </rPr>
          <t>Backup Time:</t>
        </r>
        <r>
          <rPr>
            <sz val="8"/>
            <color indexed="81"/>
            <rFont val="Tahoma"/>
            <family val="2"/>
          </rPr>
          <t xml:space="preserve">
Provide special backup times if needed, else the TSM team will determine when it best fits in a backup window</t>
        </r>
      </text>
    </comment>
    <comment ref="T2" authorId="0" shapeId="0" xr:uid="{00000000-0006-0000-1100-000014000000}">
      <text>
        <r>
          <rPr>
            <b/>
            <sz val="8"/>
            <color indexed="81"/>
            <rFont val="Tahoma"/>
            <family val="2"/>
          </rPr>
          <t xml:space="preserve">Backup Schedule:
</t>
        </r>
        <r>
          <rPr>
            <sz val="8"/>
            <color indexed="81"/>
            <rFont val="Tahoma"/>
            <family val="2"/>
          </rPr>
          <t>Value is automatically populated from the Databas (All) tab.</t>
        </r>
      </text>
    </comment>
    <comment ref="U2" authorId="1" shapeId="0" xr:uid="{00000000-0006-0000-1100-000015000000}">
      <text>
        <r>
          <rPr>
            <b/>
            <sz val="9"/>
            <color indexed="81"/>
            <rFont val="Tahoma"/>
            <family val="2"/>
          </rPr>
          <t>Daily Incremental:</t>
        </r>
        <r>
          <rPr>
            <sz val="9"/>
            <color indexed="81"/>
            <rFont val="Tahoma"/>
            <family val="2"/>
          </rPr>
          <t xml:space="preserve">
Value is automatically populated from the Databas (All) tab.</t>
        </r>
      </text>
    </comment>
    <comment ref="V2" authorId="1" shapeId="0" xr:uid="{00000000-0006-0000-1100-000016000000}">
      <text>
        <r>
          <rPr>
            <b/>
            <sz val="9"/>
            <color indexed="81"/>
            <rFont val="Tahoma"/>
            <family val="2"/>
          </rPr>
          <t>Log Schedule:</t>
        </r>
        <r>
          <rPr>
            <sz val="9"/>
            <color indexed="81"/>
            <rFont val="Tahoma"/>
            <family val="2"/>
          </rPr>
          <t xml:space="preserve">
Value is automatically populated from the Database (All) tab.</t>
        </r>
      </text>
    </comment>
    <comment ref="W2" authorId="0" shapeId="0" xr:uid="{00000000-0006-0000-1100-000017000000}">
      <text>
        <r>
          <rPr>
            <b/>
            <sz val="8"/>
            <color indexed="81"/>
            <rFont val="Tahoma"/>
            <family val="2"/>
          </rPr>
          <t>Hypervisor Required:</t>
        </r>
        <r>
          <rPr>
            <sz val="8"/>
            <color indexed="81"/>
            <rFont val="Tahoma"/>
            <family val="2"/>
          </rPr>
          <t xml:space="preserve">
Hypervisor is an AIX only option and will be autopopulated with "Yes" if the asset is an AIX server. The value can be changed to "No" if needed. The column will be blacked out if the asset is not AIX.</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Steve Cierniak</author>
    <author>HCSC User</author>
    <author>HCSC</author>
  </authors>
  <commentList>
    <comment ref="A6" authorId="0" shapeId="0" xr:uid="{00000000-0006-0000-1200-000001000000}">
      <text>
        <r>
          <rPr>
            <b/>
            <sz val="9"/>
            <color indexed="81"/>
            <rFont val="Tahoma"/>
            <family val="2"/>
          </rPr>
          <t xml:space="preserve">Asset (IP Instance) #:
</t>
        </r>
        <r>
          <rPr>
            <sz val="9"/>
            <color indexed="81"/>
            <rFont val="Tahoma"/>
            <family val="2"/>
          </rPr>
          <t>Select the appropraite IP instance where the databases will be installed.</t>
        </r>
      </text>
    </comment>
    <comment ref="B6" authorId="1" shapeId="0" xr:uid="{00000000-0006-0000-1200-000002000000}">
      <text>
        <r>
          <rPr>
            <b/>
            <sz val="9"/>
            <color indexed="81"/>
            <rFont val="Tahoma"/>
            <family val="2"/>
          </rPr>
          <t>Legacy Server Name:</t>
        </r>
        <r>
          <rPr>
            <sz val="9"/>
            <color indexed="81"/>
            <rFont val="Tahoma"/>
            <family val="2"/>
          </rPr>
          <t xml:space="preserve">
Automatically populated from the Distributed Assets tab.</t>
        </r>
      </text>
    </comment>
    <comment ref="C6" authorId="1" shapeId="0" xr:uid="{00000000-0006-0000-1200-000003000000}">
      <text>
        <r>
          <rPr>
            <b/>
            <sz val="9"/>
            <color indexed="81"/>
            <rFont val="Tahoma"/>
            <family val="2"/>
          </rPr>
          <t>Server Name/Instance:</t>
        </r>
        <r>
          <rPr>
            <sz val="9"/>
            <color indexed="81"/>
            <rFont val="Tahoma"/>
            <family val="2"/>
          </rPr>
          <t xml:space="preserve">
Automatically populated from the IP tab with the instance host name.</t>
        </r>
      </text>
    </comment>
    <comment ref="D6" authorId="0" shapeId="0" xr:uid="{00000000-0006-0000-1200-000004000000}">
      <text>
        <r>
          <rPr>
            <b/>
            <sz val="9"/>
            <color indexed="81"/>
            <rFont val="Tahoma"/>
            <family val="2"/>
          </rPr>
          <t>Instance Home Server:</t>
        </r>
        <r>
          <rPr>
            <sz val="9"/>
            <color indexed="81"/>
            <rFont val="Tahoma"/>
            <family val="2"/>
          </rPr>
          <t xml:space="preserve">
Automatically populated from the IP tab. This column identifies the default location of an instance for Database on clusters.  As instances  can move between  servers. For Standalone (non-clustered) it just repeats the Server Name.</t>
        </r>
      </text>
    </comment>
    <comment ref="E6" authorId="1" shapeId="0" xr:uid="{00000000-0006-0000-1200-000005000000}">
      <text>
        <r>
          <rPr>
            <b/>
            <sz val="9"/>
            <color indexed="81"/>
            <rFont val="Tahoma"/>
            <family val="2"/>
          </rPr>
          <t>OS Type:</t>
        </r>
        <r>
          <rPr>
            <sz val="9"/>
            <color indexed="81"/>
            <rFont val="Tahoma"/>
            <family val="2"/>
          </rPr>
          <t xml:space="preserve">
Automatically populated from the Distributed Assets tab.</t>
        </r>
      </text>
    </comment>
    <comment ref="F6" authorId="1" shapeId="0" xr:uid="{00000000-0006-0000-1200-000006000000}">
      <text>
        <r>
          <rPr>
            <b/>
            <sz val="9"/>
            <color indexed="81"/>
            <rFont val="Tahoma"/>
            <family val="2"/>
          </rPr>
          <t>Environment:</t>
        </r>
        <r>
          <rPr>
            <sz val="9"/>
            <color indexed="81"/>
            <rFont val="Tahoma"/>
            <family val="2"/>
          </rPr>
          <t xml:space="preserve">
Automatically populated from the Distributed Assets tab.</t>
        </r>
      </text>
    </comment>
    <comment ref="G6" authorId="1" shapeId="0" xr:uid="{00000000-0006-0000-1200-000007000000}">
      <text>
        <r>
          <rPr>
            <b/>
            <sz val="9"/>
            <color indexed="81"/>
            <rFont val="Tahoma"/>
            <family val="2"/>
          </rPr>
          <t>Clustered?:</t>
        </r>
        <r>
          <rPr>
            <sz val="9"/>
            <color indexed="81"/>
            <rFont val="Tahoma"/>
            <family val="2"/>
          </rPr>
          <t xml:space="preserve">
Automatically populated from the Distributed Assets tab.</t>
        </r>
      </text>
    </comment>
    <comment ref="H6" authorId="1" shapeId="0" xr:uid="{00000000-0006-0000-1200-000008000000}">
      <text>
        <r>
          <rPr>
            <b/>
            <sz val="9"/>
            <color indexed="81"/>
            <rFont val="Tahoma"/>
            <family val="2"/>
          </rPr>
          <t>Database Version:</t>
        </r>
        <r>
          <rPr>
            <sz val="9"/>
            <color indexed="81"/>
            <rFont val="Tahoma"/>
            <family val="2"/>
          </rPr>
          <t xml:space="preserve">
Automatically populated from the Distributed Assets tab.</t>
        </r>
      </text>
    </comment>
    <comment ref="I6" authorId="1" shapeId="0" xr:uid="{00000000-0006-0000-1200-000009000000}">
      <text>
        <r>
          <rPr>
            <b/>
            <sz val="9"/>
            <color indexed="81"/>
            <rFont val="Tahoma"/>
            <family val="2"/>
          </rPr>
          <t>Zena Required for Replication?:</t>
        </r>
        <r>
          <rPr>
            <sz val="9"/>
            <color indexed="81"/>
            <rFont val="Tahoma"/>
            <family val="2"/>
          </rPr>
          <t xml:space="preserve">
Autopopulated based on the DR Recovery Tier selected on the Project Details tab.</t>
        </r>
      </text>
    </comment>
    <comment ref="J6" authorId="2" shapeId="0" xr:uid="{00000000-0006-0000-1200-00000A000000}">
      <text>
        <r>
          <rPr>
            <b/>
            <sz val="8"/>
            <color indexed="81"/>
            <rFont val="Tahoma"/>
            <family val="2"/>
          </rPr>
          <t>DR Requirements:</t>
        </r>
        <r>
          <rPr>
            <sz val="8"/>
            <color indexed="81"/>
            <rFont val="Tahoma"/>
            <family val="2"/>
          </rPr>
          <t xml:space="preserve">
Only Checks when Prod and DR Level &lt;5</t>
        </r>
      </text>
    </comment>
    <comment ref="K6" authorId="2" shapeId="0" xr:uid="{00000000-0006-0000-1200-00000B000000}">
      <text>
        <r>
          <rPr>
            <b/>
            <sz val="8"/>
            <color indexed="81"/>
            <rFont val="Tahoma"/>
            <family val="2"/>
          </rPr>
          <t>DR Requirements:</t>
        </r>
        <r>
          <rPr>
            <sz val="8"/>
            <color indexed="81"/>
            <rFont val="Tahoma"/>
            <family val="2"/>
          </rPr>
          <t xml:space="preserve">
Only Checks when Prod and DR Level &lt;5
</t>
        </r>
      </text>
    </comment>
    <comment ref="L6" authorId="2" shapeId="0" xr:uid="{00000000-0006-0000-1200-00000C000000}">
      <text>
        <r>
          <rPr>
            <b/>
            <sz val="8"/>
            <color indexed="81"/>
            <rFont val="Tahoma"/>
            <family val="2"/>
          </rPr>
          <t>DR Requirements:</t>
        </r>
        <r>
          <rPr>
            <sz val="8"/>
            <color indexed="81"/>
            <rFont val="Tahoma"/>
            <family val="2"/>
          </rPr>
          <t xml:space="preserve">
Only Checks when Prod and DR Level &lt;5
</t>
        </r>
      </text>
    </comment>
    <comment ref="M6" authorId="0" shapeId="0" xr:uid="{00000000-0006-0000-1200-00000D000000}">
      <text>
        <r>
          <rPr>
            <b/>
            <sz val="9"/>
            <color indexed="81"/>
            <rFont val="Tahoma"/>
            <family val="2"/>
          </rPr>
          <t>SSIS Required (SQL Server Only):</t>
        </r>
        <r>
          <rPr>
            <sz val="9"/>
            <color indexed="81"/>
            <rFont val="Tahoma"/>
            <family val="2"/>
          </rPr>
          <t xml:space="preserve">
SQL Server Integration Services (SSIS) is a component of the Microsoft SQL Server database software that can be used to perform a broad range of data migration tasks.
This column will autopopulate based on SQL and New/Existing Server.  Additionally it will black out if non SQL servers.</t>
        </r>
      </text>
    </comment>
    <comment ref="N6" authorId="2" shapeId="0" xr:uid="{00000000-0006-0000-1200-00000E000000}">
      <text>
        <r>
          <rPr>
            <b/>
            <sz val="8"/>
            <color indexed="81"/>
            <rFont val="Tahoma"/>
            <family val="2"/>
          </rPr>
          <t>Legacy database name:</t>
        </r>
        <r>
          <rPr>
            <sz val="8"/>
            <color indexed="81"/>
            <rFont val="Tahoma"/>
            <family val="2"/>
          </rPr>
          <t xml:space="preserve">
For migration, record the legacy database name.</t>
        </r>
      </text>
    </comment>
    <comment ref="O6" authorId="1" shapeId="0" xr:uid="{00000000-0006-0000-1200-00000F000000}">
      <text>
        <r>
          <rPr>
            <b/>
            <sz val="9"/>
            <color indexed="81"/>
            <rFont val="Tahoma"/>
            <family val="2"/>
          </rPr>
          <t>Database Name(s):</t>
        </r>
        <r>
          <rPr>
            <sz val="9"/>
            <color indexed="81"/>
            <rFont val="Tahoma"/>
            <family val="2"/>
          </rPr>
          <t xml:space="preserve">
Add the database names to this column. If there are multiple databases going on the same instance, then use Alt+Enter to add additional names.</t>
        </r>
      </text>
    </comment>
    <comment ref="P6" authorId="1" shapeId="0" xr:uid="{00000000-0006-0000-1200-000010000000}">
      <text>
        <r>
          <rPr>
            <b/>
            <sz val="9"/>
            <color indexed="81"/>
            <rFont val="Tahoma"/>
            <family val="2"/>
          </rPr>
          <t>Database Alias Name(s):</t>
        </r>
        <r>
          <rPr>
            <sz val="9"/>
            <color indexed="81"/>
            <rFont val="Tahoma"/>
            <family val="2"/>
          </rPr>
          <t xml:space="preserve">
Add the database alias names to this column if applicable. If there are multiple database aliases, use Alt+Enter to add additional aliases.</t>
        </r>
      </text>
    </comment>
    <comment ref="Q6" authorId="1" shapeId="0" xr:uid="{00000000-0006-0000-1200-000011000000}">
      <text>
        <r>
          <rPr>
            <b/>
            <sz val="9"/>
            <color indexed="81"/>
            <rFont val="Tahoma"/>
            <family val="2"/>
          </rPr>
          <t>Instance Name:</t>
        </r>
        <r>
          <rPr>
            <sz val="9"/>
            <color indexed="81"/>
            <rFont val="Tahoma"/>
            <family val="2"/>
          </rPr>
          <t xml:space="preserve">
Populate this column if an instance name is required.</t>
        </r>
      </text>
    </comment>
    <comment ref="R6" authorId="1" shapeId="0" xr:uid="{00000000-0006-0000-1200-000012000000}">
      <text>
        <r>
          <rPr>
            <b/>
            <sz val="9"/>
            <color indexed="81"/>
            <rFont val="Tahoma"/>
            <family val="2"/>
          </rPr>
          <t>Database Instance Port:</t>
        </r>
        <r>
          <rPr>
            <sz val="9"/>
            <color indexed="81"/>
            <rFont val="Tahoma"/>
            <family val="2"/>
          </rPr>
          <t xml:space="preserve">
Populate this column with the port assigned to the database instance. Should be provided by the DBA.</t>
        </r>
      </text>
    </comment>
    <comment ref="S6" authorId="0" shapeId="0" xr:uid="{00000000-0006-0000-1200-000013000000}">
      <text>
        <r>
          <rPr>
            <b/>
            <sz val="9"/>
            <color indexed="81"/>
            <rFont val="Tahoma"/>
            <family val="2"/>
          </rPr>
          <t xml:space="preserve">Initial Database Size:
</t>
        </r>
        <r>
          <rPr>
            <sz val="9"/>
            <color indexed="81"/>
            <rFont val="Tahoma"/>
            <family val="2"/>
          </rPr>
          <t>This initial value needs to be taken from the Database Request form.</t>
        </r>
      </text>
    </comment>
    <comment ref="T6" authorId="0" shapeId="0" xr:uid="{00000000-0006-0000-1200-000014000000}">
      <text>
        <r>
          <rPr>
            <b/>
            <sz val="9"/>
            <color indexed="81"/>
            <rFont val="Tahoma"/>
            <family val="2"/>
          </rPr>
          <t>Database DNS Name:</t>
        </r>
        <r>
          <rPr>
            <sz val="9"/>
            <color indexed="81"/>
            <rFont val="Tahoma"/>
            <family val="2"/>
          </rPr>
          <t xml:space="preserve">
Populate this column with the DNS aliases/cnames associated with each database name. Use Alt+Enter to add multiple records as needed. Should match the records added to the DNS tab.
Format:
ENV Letter-App Short Name-DBNAME-App ENV-db.&lt;domain&gt;
Examples: 
p-bluehealth-healthdb-prd-db.hcscint.net
t-bluehealth-healthdb-uat1-db.test.hcscint.net
d-bluehealth-healthdb-dev-db.dev.hcscint.net
(</t>
        </r>
        <r>
          <rPr>
            <sz val="9"/>
            <color indexed="39"/>
            <rFont val="Tahoma"/>
            <family val="2"/>
          </rPr>
          <t>See BOM Functions - Columns BL -BM for Environment Abbreviations</t>
        </r>
        <r>
          <rPr>
            <sz val="9"/>
            <color indexed="81"/>
            <rFont val="Tahoma"/>
            <family val="2"/>
          </rPr>
          <t>)</t>
        </r>
      </text>
    </comment>
    <comment ref="U6" authorId="1" shapeId="0" xr:uid="{00000000-0006-0000-1200-000015000000}">
      <text>
        <r>
          <rPr>
            <b/>
            <sz val="9"/>
            <color indexed="81"/>
            <rFont val="Tahoma"/>
            <family val="2"/>
          </rPr>
          <t>Synch/Replication:</t>
        </r>
        <r>
          <rPr>
            <sz val="9"/>
            <color indexed="81"/>
            <rFont val="Tahoma"/>
            <family val="2"/>
          </rPr>
          <t xml:space="preserve">
Select the type of synch/replication if required. Filled out by the DBA.</t>
        </r>
      </text>
    </comment>
    <comment ref="V6" authorId="2" shapeId="0" xr:uid="{00000000-0006-0000-1200-000016000000}">
      <text>
        <r>
          <rPr>
            <b/>
            <sz val="8"/>
            <color indexed="81"/>
            <rFont val="Tahoma"/>
            <family val="2"/>
          </rPr>
          <t xml:space="preserve">Backup Schudule:
</t>
        </r>
        <r>
          <rPr>
            <sz val="8"/>
            <color indexed="81"/>
            <rFont val="Tahoma"/>
            <family val="2"/>
          </rPr>
          <t xml:space="preserve">Select the appropriate selection from the drop down list.
</t>
        </r>
        <r>
          <rPr>
            <b/>
            <sz val="8"/>
            <color indexed="81"/>
            <rFont val="Tahoma"/>
            <family val="2"/>
          </rPr>
          <t xml:space="preserve">
-</t>
        </r>
        <r>
          <rPr>
            <sz val="8"/>
            <color indexed="81"/>
            <rFont val="Tahoma"/>
            <family val="2"/>
          </rPr>
          <t>SQL Admin Note -</t>
        </r>
        <r>
          <rPr>
            <b/>
            <sz val="8"/>
            <color indexed="81"/>
            <rFont val="Tahoma"/>
            <family val="2"/>
          </rPr>
          <t xml:space="preserve">
Management Classes for SQL Backups:
</t>
        </r>
        <r>
          <rPr>
            <sz val="8"/>
            <color indexed="81"/>
            <rFont val="Tahoma"/>
            <family val="2"/>
          </rPr>
          <t>MC_LS_FULL
MC_LS_INC
MC_LS_LOG</t>
        </r>
      </text>
    </comment>
    <comment ref="W6" authorId="2" shapeId="0" xr:uid="{00000000-0006-0000-1200-000017000000}">
      <text>
        <r>
          <rPr>
            <b/>
            <sz val="8"/>
            <color indexed="81"/>
            <rFont val="Tahoma"/>
            <family val="2"/>
          </rPr>
          <t xml:space="preserve">Daily Incremental:
</t>
        </r>
        <r>
          <rPr>
            <sz val="8"/>
            <color indexed="81"/>
            <rFont val="Tahoma"/>
            <family val="2"/>
          </rPr>
          <t xml:space="preserve">Select yes/no from the drop down.
-SQL Admin Note -
</t>
        </r>
        <r>
          <rPr>
            <b/>
            <sz val="8"/>
            <color indexed="81"/>
            <rFont val="Tahoma"/>
            <family val="2"/>
          </rPr>
          <t xml:space="preserve">Management Classes for SQL Backups:
</t>
        </r>
        <r>
          <rPr>
            <sz val="8"/>
            <color indexed="81"/>
            <rFont val="Tahoma"/>
            <family val="2"/>
          </rPr>
          <t>MC_LS_FULL
MC_LS_INC
MC_LS_LOG</t>
        </r>
      </text>
    </comment>
    <comment ref="X6" authorId="2" shapeId="0" xr:uid="{00000000-0006-0000-1200-000018000000}">
      <text>
        <r>
          <rPr>
            <b/>
            <sz val="8"/>
            <color indexed="81"/>
            <rFont val="Tahoma"/>
            <family val="2"/>
          </rPr>
          <t xml:space="preserve">Log Schedule:
</t>
        </r>
        <r>
          <rPr>
            <sz val="8"/>
            <color indexed="81"/>
            <rFont val="Tahoma"/>
            <family val="2"/>
          </rPr>
          <t xml:space="preserve">Select the appropriate value from the drop down list.
-SQL Admin Note -
</t>
        </r>
        <r>
          <rPr>
            <b/>
            <sz val="8"/>
            <color indexed="81"/>
            <rFont val="Tahoma"/>
            <family val="2"/>
          </rPr>
          <t xml:space="preserve">Management Classes for SQL Backups:
</t>
        </r>
        <r>
          <rPr>
            <sz val="8"/>
            <color indexed="81"/>
            <rFont val="Tahoma"/>
            <family val="2"/>
          </rPr>
          <t>MC_LS_FULL
MC_LS_INC
MC_LS_LOG</t>
        </r>
      </text>
    </comment>
    <comment ref="AA6" authorId="0" shapeId="0" xr:uid="{00000000-0006-0000-1200-000019000000}">
      <text>
        <r>
          <rPr>
            <b/>
            <sz val="9"/>
            <color indexed="81"/>
            <rFont val="Tahoma"/>
            <family val="2"/>
          </rPr>
          <t xml:space="preserve">Windows Drive Mappings
-Autopopulated from the distributed assets tab-
</t>
        </r>
        <r>
          <rPr>
            <i/>
            <sz val="9"/>
            <color indexed="81"/>
            <rFont val="Tahoma"/>
            <family val="2"/>
          </rPr>
          <t xml:space="preserve">
</t>
        </r>
        <r>
          <rPr>
            <sz val="9"/>
            <color indexed="81"/>
            <rFont val="Tahoma"/>
            <family val="2"/>
          </rPr>
          <t>1. Select Cell
2. Copy / Paste Special (Text)
3.Edit Cell to add drive description</t>
        </r>
        <r>
          <rPr>
            <b/>
            <sz val="9"/>
            <color indexed="81"/>
            <rFont val="Tahoma"/>
            <family val="2"/>
          </rPr>
          <t xml:space="preserve">
Open Systems - File Structure:</t>
        </r>
        <r>
          <rPr>
            <sz val="9"/>
            <color indexed="81"/>
            <rFont val="Tahoma"/>
            <family val="2"/>
          </rPr>
          <t xml:space="preserve">
</t>
        </r>
        <r>
          <rPr>
            <b/>
            <sz val="9"/>
            <color indexed="81"/>
            <rFont val="Tahoma"/>
            <family val="2"/>
          </rPr>
          <t xml:space="preserve">
</t>
        </r>
        <r>
          <rPr>
            <sz val="9"/>
            <color indexed="81"/>
            <rFont val="Tahoma"/>
            <family val="2"/>
          </rPr>
          <t>Call  1 of 3 user-functions to calculate and display File Structure based on Standards provided by DB teams. Passing DB size (S).
Oracle_Standalone_fs(db_size)
Oracle_HACMP_Node_1(db_size)
Oracle_HACMP_Node_2(db_size)
This is the DB file structure that gets passed to the Open Systems tab for this asset.
**NOTE** Oracle Rac will require Manual Config with Open Systems</t>
        </r>
      </text>
    </comment>
    <comment ref="AC6" authorId="0" shapeId="0" xr:uid="{00000000-0006-0000-1200-00001A000000}">
      <text>
        <r>
          <rPr>
            <b/>
            <sz val="9"/>
            <color indexed="81"/>
            <rFont val="Tahoma"/>
            <family val="2"/>
          </rPr>
          <t>Database configuration:</t>
        </r>
        <r>
          <rPr>
            <sz val="9"/>
            <color indexed="81"/>
            <rFont val="Tahoma"/>
            <family val="2"/>
          </rPr>
          <t xml:space="preserve">
This column is calculated based on Distributed assets settings to determine the database configuration: Standalone, Clustered. 
</t>
        </r>
        <r>
          <rPr>
            <b/>
            <sz val="9"/>
            <color indexed="81"/>
            <rFont val="Tahoma"/>
            <family val="2"/>
          </rPr>
          <t>- Currently Oracle only !!</t>
        </r>
        <r>
          <rPr>
            <sz val="9"/>
            <color indexed="81"/>
            <rFont val="Tahoma"/>
            <family val="2"/>
          </rPr>
          <t xml:space="preserve">
This field is used to process the DB File System and LUNs.
Requires DA - Cluster Field (L) and DA - DB Version (V)</t>
        </r>
      </text>
    </comment>
    <comment ref="AE6" authorId="0" shapeId="0" xr:uid="{00000000-0006-0000-1200-00001B000000}">
      <text>
        <r>
          <rPr>
            <b/>
            <sz val="9"/>
            <color indexed="81"/>
            <rFont val="Tahoma"/>
            <family val="2"/>
          </rPr>
          <t xml:space="preserve">Asset No:
</t>
        </r>
        <r>
          <rPr>
            <sz val="9"/>
            <color indexed="81"/>
            <rFont val="Tahoma"/>
            <family val="2"/>
          </rPr>
          <t>The asset number associated with the IP instance where the databases will be installed.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Steve Cierniak</author>
    <author>Irene Oh</author>
  </authors>
  <commentList>
    <comment ref="A2" authorId="0" shapeId="0" xr:uid="{00000000-0006-0000-1300-000001000000}">
      <text>
        <r>
          <rPr>
            <b/>
            <sz val="9"/>
            <color indexed="81"/>
            <rFont val="Tahoma"/>
            <family val="2"/>
          </rPr>
          <t xml:space="preserve">Asset - IP Instance:
</t>
        </r>
        <r>
          <rPr>
            <sz val="9"/>
            <color indexed="81"/>
            <rFont val="Tahoma"/>
            <family val="2"/>
          </rPr>
          <t>Primarily for new servers, but may also be dependent on application changes.
When dealing with HACMP clusters, we need to select the persistent interface (the one with the 'p') on the Zena tab. Zena will want to trigger the backups on each node of a cluster, and so must use the IP that stays with the node. In most cases, this just means selecting (IP02) rather than (IP01).</t>
        </r>
      </text>
    </comment>
    <comment ref="B2" authorId="1" shapeId="0" xr:uid="{00000000-0006-0000-1300-000002000000}">
      <text>
        <r>
          <rPr>
            <b/>
            <sz val="9"/>
            <color indexed="81"/>
            <rFont val="Tahoma"/>
            <family val="2"/>
          </rPr>
          <t>Asset Number:</t>
        </r>
        <r>
          <rPr>
            <sz val="9"/>
            <color indexed="81"/>
            <rFont val="Tahoma"/>
            <family val="2"/>
          </rPr>
          <t xml:space="preserve">
The Asset Number will auto-populate from the IP Tab.</t>
        </r>
      </text>
    </comment>
    <comment ref="C2" authorId="1" shapeId="0" xr:uid="{00000000-0006-0000-1300-000003000000}">
      <text>
        <r>
          <rPr>
            <b/>
            <sz val="9"/>
            <color indexed="81"/>
            <rFont val="Tahoma"/>
            <family val="2"/>
          </rPr>
          <t>Server Name:</t>
        </r>
        <r>
          <rPr>
            <sz val="9"/>
            <color indexed="81"/>
            <rFont val="Tahoma"/>
            <family val="2"/>
          </rPr>
          <t xml:space="preserve">
The Server Name will auto-populate from the IP Tab.</t>
        </r>
      </text>
    </comment>
    <comment ref="D2" authorId="1" shapeId="0" xr:uid="{00000000-0006-0000-1300-000004000000}">
      <text>
        <r>
          <rPr>
            <b/>
            <sz val="9"/>
            <color indexed="81"/>
            <rFont val="Tahoma"/>
            <family val="2"/>
          </rPr>
          <t>IP address:</t>
        </r>
        <r>
          <rPr>
            <sz val="9"/>
            <color indexed="81"/>
            <rFont val="Tahoma"/>
            <family val="2"/>
          </rPr>
          <t xml:space="preserve">
The IP Address will auto-populate from the IP Tab.</t>
        </r>
      </text>
    </comment>
    <comment ref="E2" authorId="1" shapeId="0" xr:uid="{00000000-0006-0000-1300-000005000000}">
      <text>
        <r>
          <rPr>
            <b/>
            <sz val="9"/>
            <color indexed="81"/>
            <rFont val="Tahoma"/>
            <family val="2"/>
          </rPr>
          <t>OS Type:</t>
        </r>
        <r>
          <rPr>
            <sz val="9"/>
            <color indexed="81"/>
            <rFont val="Tahoma"/>
            <family val="2"/>
          </rPr>
          <t xml:space="preserve">
The Operating System will auto-populate from the Distributed Assets Tab.</t>
        </r>
      </text>
    </comment>
    <comment ref="F2" authorId="1" shapeId="0" xr:uid="{00000000-0006-0000-1300-000006000000}">
      <text>
        <r>
          <rPr>
            <b/>
            <sz val="9"/>
            <color indexed="81"/>
            <rFont val="Tahoma"/>
            <family val="2"/>
          </rPr>
          <t>Type:</t>
        </r>
        <r>
          <rPr>
            <sz val="9"/>
            <color indexed="81"/>
            <rFont val="Tahoma"/>
            <family val="2"/>
          </rPr>
          <t xml:space="preserve">
The Asset Type (i.e. Blade, Physical, or Virtual) will auto-populate from the Distributed Assets Tab.</t>
        </r>
      </text>
    </comment>
    <comment ref="G2" authorId="1" shapeId="0" xr:uid="{00000000-0006-0000-1300-000007000000}">
      <text>
        <r>
          <rPr>
            <b/>
            <sz val="9"/>
            <color indexed="81"/>
            <rFont val="Tahoma"/>
            <family val="2"/>
          </rPr>
          <t>Database Type:</t>
        </r>
        <r>
          <rPr>
            <sz val="9"/>
            <color indexed="81"/>
            <rFont val="Tahoma"/>
            <family val="2"/>
          </rPr>
          <t xml:space="preserve">
If applicable, the type of database will auto-populate from the Distributed Assets Tab.</t>
        </r>
      </text>
    </comment>
    <comment ref="H2" authorId="1" shapeId="0" xr:uid="{00000000-0006-0000-1300-000008000000}">
      <text>
        <r>
          <rPr>
            <b/>
            <sz val="9"/>
            <color indexed="81"/>
            <rFont val="Tahoma"/>
            <family val="2"/>
          </rPr>
          <t>Environment:</t>
        </r>
        <r>
          <rPr>
            <sz val="9"/>
            <color indexed="81"/>
            <rFont val="Tahoma"/>
            <family val="2"/>
          </rPr>
          <t xml:space="preserve">
The Infrastructure Environment (DEV, Test 2.0, Prod 2.0) will auto-populate from the Distributed Assets Tab.</t>
        </r>
      </text>
    </comment>
    <comment ref="I2" authorId="1" shapeId="0" xr:uid="{00000000-0006-0000-1300-000009000000}">
      <text>
        <r>
          <rPr>
            <b/>
            <sz val="9"/>
            <color indexed="81"/>
            <rFont val="Tahoma"/>
            <family val="2"/>
          </rPr>
          <t>DNS Name:</t>
        </r>
        <r>
          <rPr>
            <sz val="9"/>
            <color indexed="81"/>
            <rFont val="Tahoma"/>
            <family val="2"/>
          </rPr>
          <t xml:space="preserve">
The DNS A-Record will auto-populate from the IP Tab.</t>
        </r>
      </text>
    </comment>
    <comment ref="J2" authorId="1" shapeId="0" xr:uid="{00000000-0006-0000-1300-00000A000000}">
      <text>
        <r>
          <rPr>
            <b/>
            <sz val="9"/>
            <color indexed="81"/>
            <rFont val="Tahoma"/>
            <family val="2"/>
          </rPr>
          <t>Location:</t>
        </r>
        <r>
          <rPr>
            <sz val="9"/>
            <color indexed="81"/>
            <rFont val="Tahoma"/>
            <family val="2"/>
          </rPr>
          <t xml:space="preserve">
The physical location of the asset will auto-populate from the Distributed Assets Tab.</t>
        </r>
      </text>
    </comment>
    <comment ref="K2" authorId="1" shapeId="0" xr:uid="{00000000-0006-0000-1300-00000B000000}">
      <text>
        <r>
          <rPr>
            <b/>
            <sz val="9"/>
            <color indexed="81"/>
            <rFont val="Tahoma"/>
            <family val="2"/>
          </rPr>
          <t>Fort Worth Special instructions:</t>
        </r>
        <r>
          <rPr>
            <sz val="9"/>
            <color indexed="81"/>
            <rFont val="Tahoma"/>
            <family val="2"/>
          </rPr>
          <t xml:space="preserve">
Auto populated and based on the location listed in distributed assets. 
If the asset is located in Ft. Worth, use Prod TSM.</t>
        </r>
      </text>
    </comment>
    <comment ref="L2" authorId="0" shapeId="0" xr:uid="{00000000-0006-0000-1300-00000C000000}">
      <text>
        <r>
          <rPr>
            <b/>
            <sz val="9"/>
            <color indexed="81"/>
            <rFont val="Tahoma"/>
            <family val="2"/>
          </rPr>
          <t>APP Cutover:</t>
        </r>
        <r>
          <rPr>
            <sz val="9"/>
            <color indexed="81"/>
            <rFont val="Tahoma"/>
            <family val="2"/>
          </rPr>
          <t xml:space="preserve">
Is an application is changing servers?
This is to highlight a required Cutover Task for the App team.</t>
        </r>
      </text>
    </comment>
    <comment ref="M2" authorId="0" shapeId="0" xr:uid="{00000000-0006-0000-1300-00000D000000}">
      <text>
        <r>
          <rPr>
            <b/>
            <sz val="9"/>
            <color indexed="81"/>
            <rFont val="Tahoma"/>
            <family val="2"/>
          </rPr>
          <t xml:space="preserve">DB Agent List Type:
Auto-populated.
Pulls DB Type &amp; Environment and read table for Agent Type
Dev: 
</t>
        </r>
        <r>
          <rPr>
            <sz val="9"/>
            <color indexed="81"/>
            <rFont val="Tahoma"/>
            <family val="2"/>
          </rPr>
          <t>DB2 - 41095 DB2 Backups - 6pm through 4am
Oracle - 38626 Oracle Backup List of Servers
SQL - 42755 MSSQL LS Backup File Trigger</t>
        </r>
        <r>
          <rPr>
            <b/>
            <sz val="9"/>
            <color indexed="81"/>
            <rFont val="Tahoma"/>
            <family val="2"/>
          </rPr>
          <t xml:space="preserve">
Test: 
</t>
        </r>
        <r>
          <rPr>
            <sz val="9"/>
            <color indexed="81"/>
            <rFont val="Tahoma"/>
            <family val="2"/>
          </rPr>
          <t>DB2 - 21423 DB2 Backups - 6pm through 4am
Oracle - 21451 Oracle Backup List of Servers
SQL - 21734  MSSQL LS Backup File Trigger</t>
        </r>
        <r>
          <rPr>
            <b/>
            <sz val="9"/>
            <color indexed="81"/>
            <rFont val="Tahoma"/>
            <family val="2"/>
          </rPr>
          <t xml:space="preserve">
Prod: 
</t>
        </r>
        <r>
          <rPr>
            <sz val="9"/>
            <color indexed="81"/>
            <rFont val="Tahoma"/>
            <family val="2"/>
          </rPr>
          <t xml:space="preserve">DB2 - 16157 DB2 Backups - 6pm through 4am
Oracle - 15960 Oracle Backup List of Servers
SQL - 16412 MSSQL LS Backup File Trigger
</t>
        </r>
      </text>
    </comment>
    <comment ref="N2" authorId="0" shapeId="0" xr:uid="{00000000-0006-0000-1300-00000E000000}">
      <text>
        <r>
          <rPr>
            <b/>
            <sz val="9"/>
            <color indexed="81"/>
            <rFont val="Tahoma"/>
            <family val="2"/>
          </rPr>
          <t>SAN Replication List:</t>
        </r>
        <r>
          <rPr>
            <sz val="9"/>
            <color indexed="81"/>
            <rFont val="Tahoma"/>
            <family val="2"/>
          </rPr>
          <t xml:space="preserve">
Auto-populated.
Pulls from current Dist Assets Zena list:
DB2, Oracle,MSSQL, Non DB Windows, Non DB Unix
13868 list of DB2 servers
13869 list of Non-DB AIX servers(Open Systems)
13870 list of SQL servers
13871 list of oracle servers
14277 List of Non-DB Windows servers</t>
        </r>
      </text>
    </comment>
    <comment ref="O2" authorId="0" shapeId="0" xr:uid="{00000000-0006-0000-1300-00000F000000}">
      <text>
        <r>
          <rPr>
            <b/>
            <sz val="9"/>
            <color indexed="81"/>
            <rFont val="Tahoma"/>
            <family val="2"/>
          </rPr>
          <t>Local Windows SQLCluster Node Agent List:</t>
        </r>
        <r>
          <rPr>
            <sz val="9"/>
            <color indexed="81"/>
            <rFont val="Tahoma"/>
            <family val="2"/>
          </rPr>
          <t xml:space="preserve">
Auto-populated.
Selects the Local Windows SQL Cluster Template when the following are True:
It is Windows, Physical, and has an SQL Server with Cluster.
Use the following agent list:
Dev - 42111,
Test - 21422, 
Prod - 16148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HCSC User</author>
    <author>Stephan J Cierniak</author>
    <author>Steve Cierniak</author>
    <author>HCSC</author>
    <author>Mark E Tomlinson</author>
    <author>Cara  Gilmore</author>
  </authors>
  <commentList>
    <comment ref="A2" authorId="0" shapeId="0" xr:uid="{00000000-0006-0000-1400-000001000000}">
      <text>
        <r>
          <rPr>
            <b/>
            <sz val="9"/>
            <color indexed="81"/>
            <rFont val="Tahoma"/>
            <family val="2"/>
          </rPr>
          <t>WebSphere IHS?:</t>
        </r>
        <r>
          <rPr>
            <sz val="9"/>
            <color indexed="81"/>
            <rFont val="Tahoma"/>
            <family val="2"/>
          </rPr>
          <t xml:space="preserve">
Automatically populated based on whether or not this tab is marked as required on the Table of Contents tab.</t>
        </r>
      </text>
    </comment>
    <comment ref="A3" authorId="1" shapeId="0" xr:uid="{00000000-0006-0000-1400-000002000000}">
      <text>
        <r>
          <rPr>
            <b/>
            <sz val="9"/>
            <color indexed="81"/>
            <rFont val="Tahoma"/>
            <family val="2"/>
          </rPr>
          <t>Application Technical Contact:</t>
        </r>
        <r>
          <rPr>
            <sz val="9"/>
            <color indexed="81"/>
            <rFont val="Tahoma"/>
            <family val="2"/>
          </rPr>
          <t xml:space="preserve">
Automatically populated from the Project Details tab (Technical_contact)</t>
        </r>
      </text>
    </comment>
    <comment ref="A4" authorId="1" shapeId="0" xr:uid="{00000000-0006-0000-1400-000003000000}">
      <text>
        <r>
          <rPr>
            <b/>
            <sz val="9"/>
            <color indexed="81"/>
            <rFont val="Tahoma"/>
            <family val="2"/>
          </rPr>
          <t>Application Support Team:</t>
        </r>
        <r>
          <rPr>
            <sz val="9"/>
            <color indexed="81"/>
            <rFont val="Tahoma"/>
            <family val="2"/>
          </rPr>
          <t xml:space="preserve">
Automatically populated from the Project Details tab (app_support_team).</t>
        </r>
      </text>
    </comment>
    <comment ref="A5" authorId="1" shapeId="0" xr:uid="{00000000-0006-0000-1400-000004000000}">
      <text>
        <r>
          <rPr>
            <b/>
            <sz val="9"/>
            <color indexed="81"/>
            <rFont val="Tahoma"/>
            <family val="2"/>
          </rPr>
          <t>Application Support Team email:</t>
        </r>
        <r>
          <rPr>
            <sz val="9"/>
            <color indexed="81"/>
            <rFont val="Tahoma"/>
            <family val="2"/>
          </rPr>
          <t xml:space="preserve">
Automatically populated from the Project Details tab (app_support_team_email).</t>
        </r>
      </text>
    </comment>
    <comment ref="A8" authorId="0" shapeId="0" xr:uid="{00000000-0006-0000-1400-000005000000}">
      <text>
        <r>
          <rPr>
            <b/>
            <sz val="9"/>
            <color indexed="81"/>
            <rFont val="Tahoma"/>
            <family val="2"/>
          </rPr>
          <t>IHS Version:</t>
        </r>
        <r>
          <rPr>
            <sz val="9"/>
            <color indexed="81"/>
            <rFont val="Tahoma"/>
            <family val="2"/>
          </rPr>
          <t xml:space="preserve">
Select the appropriate version of WebSphere IHS needed from the drop-down list.</t>
        </r>
      </text>
    </comment>
    <comment ref="A9" authorId="2" shapeId="0" xr:uid="{00000000-0006-0000-1400-000006000000}">
      <text>
        <r>
          <rPr>
            <b/>
            <sz val="9"/>
            <color indexed="81"/>
            <rFont val="Tahoma"/>
            <family val="2"/>
          </rPr>
          <t xml:space="preserve">Number of Nodes:
</t>
        </r>
        <r>
          <rPr>
            <sz val="9"/>
            <color indexed="81"/>
            <rFont val="Tahoma"/>
            <family val="2"/>
          </rPr>
          <t xml:space="preserve">Enter the number of IHS servers needed for this instance. Entering a number greater than 2 will uncover Alias and IHS Server 3 and 4.
</t>
        </r>
      </text>
    </comment>
    <comment ref="A11" authorId="3" shapeId="0" xr:uid="{00000000-0006-0000-1400-000007000000}">
      <text>
        <r>
          <rPr>
            <b/>
            <sz val="8"/>
            <color indexed="81"/>
            <rFont val="Tahoma"/>
            <family val="2"/>
          </rPr>
          <t>App Short Name:</t>
        </r>
        <r>
          <rPr>
            <sz val="8"/>
            <color indexed="81"/>
            <rFont val="Tahoma"/>
            <family val="2"/>
          </rPr>
          <t xml:space="preserve">
Unique Application Name generally less than 8 characters. (No special chars)  e.g.  myapp. Automatically populated from the Project Details Tab (app_short_name).</t>
        </r>
      </text>
    </comment>
    <comment ref="A12" authorId="3" shapeId="0" xr:uid="{00000000-0006-0000-1400-000008000000}">
      <text>
        <r>
          <rPr>
            <b/>
            <sz val="8"/>
            <color indexed="81"/>
            <rFont val="Tahoma"/>
            <family val="2"/>
          </rPr>
          <t>App Description:</t>
        </r>
        <r>
          <rPr>
            <sz val="8"/>
            <color indexed="81"/>
            <rFont val="Tahoma"/>
            <family val="2"/>
          </rPr>
          <t xml:space="preserve">
Plain English Application name.  E.g. My Application</t>
        </r>
      </text>
    </comment>
    <comment ref="A13" authorId="4" shapeId="0" xr:uid="{00000000-0006-0000-1400-000009000000}">
      <text>
        <r>
          <rPr>
            <b/>
            <sz val="8"/>
            <color indexed="81"/>
            <rFont val="Tahoma"/>
            <family val="2"/>
          </rPr>
          <t>URL</t>
        </r>
        <r>
          <rPr>
            <sz val="8"/>
            <color indexed="81"/>
            <rFont val="Tahoma"/>
            <family val="2"/>
          </rPr>
          <t xml:space="preserve">
URL that customer will use to access the application.  </t>
        </r>
        <r>
          <rPr>
            <i/>
            <sz val="8"/>
            <color indexed="81"/>
            <rFont val="Tahoma"/>
            <family val="2"/>
          </rPr>
          <t>Example: myapp.fyiblue.com</t>
        </r>
      </text>
    </comment>
    <comment ref="A14" authorId="4" shapeId="0" xr:uid="{00000000-0006-0000-1400-00000A000000}">
      <text>
        <r>
          <rPr>
            <b/>
            <sz val="8"/>
            <color indexed="81"/>
            <rFont val="Tahoma"/>
            <family val="2"/>
          </rPr>
          <t>Application Environment</t>
        </r>
        <r>
          <rPr>
            <sz val="8"/>
            <color indexed="81"/>
            <rFont val="Tahoma"/>
            <family val="2"/>
          </rPr>
          <t xml:space="preserve">
Select Logical environment.  </t>
        </r>
        <r>
          <rPr>
            <i/>
            <sz val="8"/>
            <color indexed="81"/>
            <rFont val="Tahoma"/>
            <family val="2"/>
          </rPr>
          <t>Examples: Prod, UAT1, Training, SIT
(Drop down options are prepopulated from Dist. Assets Tab)</t>
        </r>
      </text>
    </comment>
    <comment ref="A15" authorId="4" shapeId="0" xr:uid="{00000000-0006-0000-1400-00000B000000}">
      <text>
        <r>
          <rPr>
            <b/>
            <sz val="8"/>
            <color indexed="81"/>
            <rFont val="Tahoma"/>
            <family val="2"/>
          </rPr>
          <t xml:space="preserve">Application Environment (abv):
</t>
        </r>
        <r>
          <rPr>
            <sz val="8"/>
            <color indexed="81"/>
            <rFont val="Tahoma"/>
            <family val="2"/>
          </rPr>
          <t xml:space="preserve">Two to four character logical environment identifier automatically populated based on the Application Environment selected above.  </t>
        </r>
        <r>
          <rPr>
            <i/>
            <sz val="8"/>
            <color indexed="81"/>
            <rFont val="Tahoma"/>
            <family val="2"/>
          </rPr>
          <t>Examples: prd, uat1, trn, sit
(Provided by conversion table based on Logical Environment name).</t>
        </r>
      </text>
    </comment>
    <comment ref="A16" authorId="3" shapeId="0" xr:uid="{00000000-0006-0000-1400-00000C000000}">
      <text>
        <r>
          <rPr>
            <b/>
            <sz val="8"/>
            <color indexed="81"/>
            <rFont val="Tahoma"/>
            <family val="2"/>
          </rPr>
          <t>Infrastructure Environment:</t>
        </r>
        <r>
          <rPr>
            <sz val="8"/>
            <color indexed="81"/>
            <rFont val="Tahoma"/>
            <family val="2"/>
          </rPr>
          <t xml:space="preserve">
Automatically populated from the Distributed Assets Enviroment Table based on the Application Environment selected above.</t>
        </r>
      </text>
    </comment>
    <comment ref="A17" authorId="4" shapeId="0" xr:uid="{00000000-0006-0000-1400-00000D000000}">
      <text>
        <r>
          <rPr>
            <b/>
            <sz val="8"/>
            <color indexed="81"/>
            <rFont val="Tahoma"/>
            <family val="2"/>
          </rPr>
          <t>DMZ</t>
        </r>
        <r>
          <rPr>
            <sz val="8"/>
            <color indexed="81"/>
            <rFont val="Tahoma"/>
            <family val="2"/>
          </rPr>
          <t xml:space="preserve">
Select the DMZ where the IHS servers reside.</t>
        </r>
      </text>
    </comment>
    <comment ref="A18" authorId="4" shapeId="0" xr:uid="{00000000-0006-0000-1400-00000E000000}">
      <text>
        <r>
          <rPr>
            <b/>
            <sz val="8"/>
            <color indexed="81"/>
            <rFont val="Tahoma"/>
            <family val="2"/>
          </rPr>
          <t>Port</t>
        </r>
        <r>
          <rPr>
            <sz val="8"/>
            <color indexed="81"/>
            <rFont val="Tahoma"/>
            <family val="2"/>
          </rPr>
          <t xml:space="preserve">
The port the IHS servers will listen on for this application to be obtained by the II from the HTTP Port Assignment spreadsheet  </t>
        </r>
        <r>
          <rPr>
            <i/>
            <sz val="8"/>
            <color indexed="81"/>
            <rFont val="Tahoma"/>
            <family val="2"/>
          </rPr>
          <t>Example: 30123</t>
        </r>
      </text>
    </comment>
    <comment ref="A19" authorId="4" shapeId="0" xr:uid="{00000000-0006-0000-1400-00000F000000}">
      <text>
        <r>
          <rPr>
            <b/>
            <sz val="8"/>
            <color indexed="81"/>
            <rFont val="Tahoma"/>
            <family val="2"/>
          </rPr>
          <t>Alias 1:</t>
        </r>
        <r>
          <rPr>
            <sz val="8"/>
            <color indexed="81"/>
            <rFont val="Tahoma"/>
            <family val="2"/>
          </rPr>
          <t xml:space="preserve">
Automatically populated from the DNS tab as long as the alias has been added properly on the DNS tab.</t>
        </r>
      </text>
    </comment>
    <comment ref="A20" authorId="0" shapeId="0" xr:uid="{00000000-0006-0000-1400-000010000000}">
      <text>
        <r>
          <rPr>
            <b/>
            <sz val="9"/>
            <color indexed="81"/>
            <rFont val="Tahoma"/>
            <family val="2"/>
          </rPr>
          <t>IHS Server 1:</t>
        </r>
        <r>
          <rPr>
            <sz val="9"/>
            <color indexed="81"/>
            <rFont val="Tahoma"/>
            <family val="2"/>
          </rPr>
          <t xml:space="preserve">
Automatically populated based on the enviroment and DMZ network selections.</t>
        </r>
      </text>
    </comment>
    <comment ref="A21" authorId="4" shapeId="0" xr:uid="{00000000-0006-0000-1400-000011000000}">
      <text>
        <r>
          <rPr>
            <b/>
            <sz val="8"/>
            <color indexed="81"/>
            <rFont val="Tahoma"/>
            <family val="2"/>
          </rPr>
          <t>Alias 2:</t>
        </r>
        <r>
          <rPr>
            <sz val="8"/>
            <color indexed="81"/>
            <rFont val="Tahoma"/>
            <family val="2"/>
          </rPr>
          <t xml:space="preserve">
Automatically populated from the DNS tab as long as the alias has been added properly on the DNS tab.</t>
        </r>
      </text>
    </comment>
    <comment ref="A22" authorId="0" shapeId="0" xr:uid="{00000000-0006-0000-1400-000012000000}">
      <text>
        <r>
          <rPr>
            <b/>
            <sz val="9"/>
            <color indexed="81"/>
            <rFont val="Tahoma"/>
            <family val="2"/>
          </rPr>
          <t>IHS Server 2:</t>
        </r>
        <r>
          <rPr>
            <sz val="9"/>
            <color indexed="81"/>
            <rFont val="Tahoma"/>
            <family val="2"/>
          </rPr>
          <t xml:space="preserve">
Automatically populated based on the enviroment and DMZ network selections.</t>
        </r>
      </text>
    </comment>
    <comment ref="A23" authorId="4" shapeId="0" xr:uid="{00000000-0006-0000-1400-000013000000}">
      <text>
        <r>
          <rPr>
            <b/>
            <sz val="8"/>
            <color indexed="81"/>
            <rFont val="Tahoma"/>
            <family val="2"/>
          </rPr>
          <t>Alias 3:  (Used only when nodes &gt;2)</t>
        </r>
        <r>
          <rPr>
            <sz val="8"/>
            <color indexed="81"/>
            <rFont val="Tahoma"/>
            <family val="2"/>
          </rPr>
          <t xml:space="preserve">
Automatically populated from the DNS tab as long as the alias has been added properly on the DNS tab.</t>
        </r>
      </text>
    </comment>
    <comment ref="A24" authorId="0" shapeId="0" xr:uid="{00000000-0006-0000-1400-000014000000}">
      <text>
        <r>
          <rPr>
            <b/>
            <sz val="9"/>
            <color indexed="81"/>
            <rFont val="Tahoma"/>
            <family val="2"/>
          </rPr>
          <t>IHS Server 3:</t>
        </r>
        <r>
          <rPr>
            <sz val="9"/>
            <color indexed="81"/>
            <rFont val="Tahoma"/>
            <family val="2"/>
          </rPr>
          <t xml:space="preserve">
Automatically populated based on the enviroment and DMZ network selections.</t>
        </r>
      </text>
    </comment>
    <comment ref="A25" authorId="4" shapeId="0" xr:uid="{00000000-0006-0000-1400-000015000000}">
      <text>
        <r>
          <rPr>
            <b/>
            <sz val="8"/>
            <color indexed="81"/>
            <rFont val="Tahoma"/>
            <family val="2"/>
          </rPr>
          <t>Alias 4: (used only when nodes &gt; 2)</t>
        </r>
        <r>
          <rPr>
            <sz val="8"/>
            <color indexed="81"/>
            <rFont val="Tahoma"/>
            <family val="2"/>
          </rPr>
          <t xml:space="preserve">
Automatically populated from the DNS tab as long as the alias has been added properly on the DNS tab.</t>
        </r>
      </text>
    </comment>
    <comment ref="A26" authorId="0" shapeId="0" xr:uid="{00000000-0006-0000-1400-000016000000}">
      <text>
        <r>
          <rPr>
            <b/>
            <sz val="9"/>
            <color indexed="81"/>
            <rFont val="Tahoma"/>
            <family val="2"/>
          </rPr>
          <t>IHS Server 4:</t>
        </r>
        <r>
          <rPr>
            <sz val="9"/>
            <color indexed="81"/>
            <rFont val="Tahoma"/>
            <family val="2"/>
          </rPr>
          <t xml:space="preserve">
Automatically populated based on the enviroment and DMZ network selections.</t>
        </r>
      </text>
    </comment>
    <comment ref="A28" authorId="5" shapeId="0" xr:uid="{00000000-0006-0000-1400-000017000000}">
      <text>
        <r>
          <rPr>
            <b/>
            <sz val="9"/>
            <color indexed="81"/>
            <rFont val="Tahoma"/>
            <family val="2"/>
          </rPr>
          <t xml:space="preserve">EAA Subscription Information:
</t>
        </r>
        <r>
          <rPr>
            <sz val="9"/>
            <color indexed="81"/>
            <rFont val="Tahoma"/>
            <family val="2"/>
          </rPr>
          <t xml:space="preserve">Automatically populated from the Project Details tab. If EAA Siteminder Subscription = No, then this is not required and fields are blacked out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Stephan J Cierniak</author>
    <author>Steve Cierniak</author>
    <author>HCSC</author>
    <author>Mark E Tomlinson</author>
  </authors>
  <commentList>
    <comment ref="A3" authorId="0" shapeId="0" xr:uid="{00000000-0006-0000-1500-000001000000}">
      <text>
        <r>
          <rPr>
            <b/>
            <sz val="9"/>
            <color indexed="81"/>
            <rFont val="Tahoma"/>
            <family val="2"/>
          </rPr>
          <t xml:space="preserve">Purpose:
</t>
        </r>
        <r>
          <rPr>
            <sz val="9"/>
            <color indexed="81"/>
            <rFont val="Tahoma"/>
            <family val="2"/>
          </rPr>
          <t xml:space="preserve">LBoM Description from Project Details Tab, Lbom_descripotion
</t>
        </r>
      </text>
    </comment>
    <comment ref="A4" authorId="0" shapeId="0" xr:uid="{00000000-0006-0000-1500-000002000000}">
      <text>
        <r>
          <rPr>
            <b/>
            <sz val="9"/>
            <color indexed="81"/>
            <rFont val="Tahoma"/>
            <family val="2"/>
          </rPr>
          <t>Application Technical Contact:</t>
        </r>
        <r>
          <rPr>
            <sz val="9"/>
            <color indexed="81"/>
            <rFont val="Tahoma"/>
            <family val="2"/>
          </rPr>
          <t xml:space="preserve">
Application Technical contact copied from Project Details tab, Technical_contact</t>
        </r>
      </text>
    </comment>
    <comment ref="A5" authorId="0" shapeId="0" xr:uid="{00000000-0006-0000-1500-000003000000}">
      <text>
        <r>
          <rPr>
            <b/>
            <sz val="9"/>
            <color indexed="81"/>
            <rFont val="Tahoma"/>
            <family val="2"/>
          </rPr>
          <t>Application Support Team:</t>
        </r>
        <r>
          <rPr>
            <sz val="9"/>
            <color indexed="81"/>
            <rFont val="Tahoma"/>
            <family val="2"/>
          </rPr>
          <t xml:space="preserve">
Application Support Team copied from Project Details tab, app_support_team</t>
        </r>
      </text>
    </comment>
    <comment ref="A6" authorId="0" shapeId="0" xr:uid="{00000000-0006-0000-1500-000004000000}">
      <text>
        <r>
          <rPr>
            <b/>
            <sz val="9"/>
            <color indexed="81"/>
            <rFont val="Tahoma"/>
            <family val="2"/>
          </rPr>
          <t>Application Support Team email:</t>
        </r>
        <r>
          <rPr>
            <sz val="9"/>
            <color indexed="81"/>
            <rFont val="Tahoma"/>
            <family val="2"/>
          </rPr>
          <t xml:space="preserve">
Application Support Team email copied from Project Details tab, app_support_team_email</t>
        </r>
      </text>
    </comment>
    <comment ref="A10" authorId="1" shapeId="0" xr:uid="{00000000-0006-0000-1500-000005000000}">
      <text>
        <r>
          <rPr>
            <b/>
            <sz val="9"/>
            <color indexed="81"/>
            <rFont val="Tahoma"/>
            <family val="2"/>
          </rPr>
          <t xml:space="preserve">Number of Nodes:
</t>
        </r>
        <r>
          <rPr>
            <sz val="9"/>
            <color indexed="81"/>
            <rFont val="Tahoma"/>
            <family val="2"/>
          </rPr>
          <t xml:space="preserve">Enter the number of IHS servers for this instance. </t>
        </r>
        <r>
          <rPr>
            <b/>
            <sz val="9"/>
            <color indexed="81"/>
            <rFont val="Tahoma"/>
            <family val="2"/>
          </rPr>
          <t xml:space="preserve"> 
</t>
        </r>
        <r>
          <rPr>
            <sz val="9"/>
            <color indexed="81"/>
            <rFont val="Tahoma"/>
            <family val="2"/>
          </rPr>
          <t xml:space="preserve">Entering a number Greater than 2 will uncover Proxyin &amp; IHS Server 3 &amp;4.
</t>
        </r>
      </text>
    </comment>
    <comment ref="A12" authorId="2" shapeId="0" xr:uid="{00000000-0006-0000-1500-000006000000}">
      <text>
        <r>
          <rPr>
            <b/>
            <sz val="8"/>
            <color indexed="81"/>
            <rFont val="Tahoma"/>
            <family val="2"/>
          </rPr>
          <t>HCSC:</t>
        </r>
        <r>
          <rPr>
            <sz val="8"/>
            <color indexed="81"/>
            <rFont val="Tahoma"/>
            <family val="2"/>
          </rPr>
          <t xml:space="preserve">
Unique Application Name generally less than 8 characters. (No special chars)  e.g.  myapp</t>
        </r>
      </text>
    </comment>
    <comment ref="A13" authorId="2" shapeId="0" xr:uid="{00000000-0006-0000-1500-000007000000}">
      <text>
        <r>
          <rPr>
            <b/>
            <sz val="8"/>
            <color indexed="81"/>
            <rFont val="Tahoma"/>
            <family val="2"/>
          </rPr>
          <t>HCSC:</t>
        </r>
        <r>
          <rPr>
            <sz val="8"/>
            <color indexed="81"/>
            <rFont val="Tahoma"/>
            <family val="2"/>
          </rPr>
          <t xml:space="preserve">
Plain English Application name.  E.g. My Application</t>
        </r>
      </text>
    </comment>
    <comment ref="A14" authorId="3" shapeId="0" xr:uid="{00000000-0006-0000-1500-000008000000}">
      <text>
        <r>
          <rPr>
            <b/>
            <sz val="8"/>
            <color indexed="81"/>
            <rFont val="Tahoma"/>
            <family val="2"/>
          </rPr>
          <t>URL</t>
        </r>
        <r>
          <rPr>
            <sz val="8"/>
            <color indexed="81"/>
            <rFont val="Tahoma"/>
            <family val="2"/>
          </rPr>
          <t xml:space="preserve">
URL that customer will use to access the application.  </t>
        </r>
        <r>
          <rPr>
            <i/>
            <sz val="8"/>
            <color indexed="81"/>
            <rFont val="Tahoma"/>
            <family val="2"/>
          </rPr>
          <t>Example: myapp.fyiblue.com</t>
        </r>
      </text>
    </comment>
    <comment ref="A15" authorId="3" shapeId="0" xr:uid="{00000000-0006-0000-1500-000009000000}">
      <text>
        <r>
          <rPr>
            <b/>
            <sz val="8"/>
            <color indexed="81"/>
            <rFont val="Tahoma"/>
            <family val="2"/>
          </rPr>
          <t>Environment</t>
        </r>
        <r>
          <rPr>
            <sz val="8"/>
            <color indexed="81"/>
            <rFont val="Tahoma"/>
            <family val="2"/>
          </rPr>
          <t xml:space="preserve">
Select Logical environment.  </t>
        </r>
        <r>
          <rPr>
            <i/>
            <sz val="8"/>
            <color indexed="81"/>
            <rFont val="Tahoma"/>
            <family val="2"/>
          </rPr>
          <t>Examples: Prod, UAT1, Training, SIT
(Prepopulated from Dist. Assets Tab)</t>
        </r>
      </text>
    </comment>
    <comment ref="A16" authorId="3" shapeId="0" xr:uid="{00000000-0006-0000-1500-00000A000000}">
      <text>
        <r>
          <rPr>
            <b/>
            <sz val="8"/>
            <color indexed="81"/>
            <rFont val="Tahoma"/>
            <family val="2"/>
          </rPr>
          <t xml:space="preserve">Env Identifier
</t>
        </r>
        <r>
          <rPr>
            <sz val="8"/>
            <color indexed="81"/>
            <rFont val="Tahoma"/>
            <family val="2"/>
          </rPr>
          <t xml:space="preserve">Two to four character logical environment identifier.  </t>
        </r>
        <r>
          <rPr>
            <i/>
            <sz val="8"/>
            <color indexed="81"/>
            <rFont val="Tahoma"/>
            <family val="2"/>
          </rPr>
          <t>Examples: prd, uat1, trn, sit
(Provided by conversion Table based on Logical Environment name)</t>
        </r>
      </text>
    </comment>
    <comment ref="A17" authorId="2" shapeId="0" xr:uid="{00000000-0006-0000-1500-00000B000000}">
      <text>
        <r>
          <rPr>
            <b/>
            <sz val="8"/>
            <color indexed="81"/>
            <rFont val="Tahoma"/>
            <family val="2"/>
          </rPr>
          <t>HCSC:</t>
        </r>
        <r>
          <rPr>
            <sz val="8"/>
            <color indexed="81"/>
            <rFont val="Tahoma"/>
            <family val="2"/>
          </rPr>
          <t xml:space="preserve">
Infrastructure Environment
auto-populated from Distributed Assets Enviroment Table.  (Dist Assets C7 - E22)</t>
        </r>
      </text>
    </comment>
    <comment ref="A18" authorId="3" shapeId="0" xr:uid="{00000000-0006-0000-1500-00000C000000}">
      <text>
        <r>
          <rPr>
            <b/>
            <sz val="8"/>
            <color indexed="81"/>
            <rFont val="Tahoma"/>
            <family val="2"/>
          </rPr>
          <t>DMZ</t>
        </r>
        <r>
          <rPr>
            <sz val="8"/>
            <color indexed="81"/>
            <rFont val="Tahoma"/>
            <family val="2"/>
          </rPr>
          <t xml:space="preserve">
Select the DMZ where the application proxy resides? </t>
        </r>
      </text>
    </comment>
    <comment ref="A19" authorId="3" shapeId="0" xr:uid="{00000000-0006-0000-1500-00000D000000}">
      <text>
        <r>
          <rPr>
            <b/>
            <sz val="8"/>
            <color indexed="81"/>
            <rFont val="Tahoma"/>
            <family val="2"/>
          </rPr>
          <t>Port</t>
        </r>
        <r>
          <rPr>
            <sz val="8"/>
            <color indexed="81"/>
            <rFont val="Tahoma"/>
            <family val="2"/>
          </rPr>
          <t xml:space="preserve">
The port proxy servers will listen on for this application.  </t>
        </r>
        <r>
          <rPr>
            <i/>
            <sz val="8"/>
            <color indexed="81"/>
            <rFont val="Tahoma"/>
            <family val="2"/>
          </rPr>
          <t>Example: 30123</t>
        </r>
      </text>
    </comment>
    <comment ref="A20" authorId="2" shapeId="0" xr:uid="{00000000-0006-0000-1500-00000E000000}">
      <text>
        <r>
          <rPr>
            <b/>
            <sz val="8"/>
            <color indexed="81"/>
            <rFont val="Tahoma"/>
            <family val="2"/>
          </rPr>
          <t>HCSC:</t>
        </r>
        <r>
          <rPr>
            <sz val="8"/>
            <color indexed="81"/>
            <rFont val="Tahoma"/>
            <family val="2"/>
          </rPr>
          <t xml:space="preserve">
Map to proxy server application A record on DNS tab.
E.g. t-myapp-uat1-app.test.hcscint.net </t>
        </r>
      </text>
    </comment>
    <comment ref="A21" authorId="3" shapeId="0" xr:uid="{00000000-0006-0000-1500-00000F000000}">
      <text>
        <r>
          <rPr>
            <b/>
            <sz val="8"/>
            <color indexed="81"/>
            <rFont val="Tahoma"/>
            <family val="2"/>
          </rPr>
          <t>CNAME</t>
        </r>
        <r>
          <rPr>
            <sz val="8"/>
            <color indexed="81"/>
            <rFont val="Tahoma"/>
            <family val="2"/>
          </rPr>
          <t xml:space="preserve">
Map to proxy server application A record on DNS tab.
E.g.   t-myapp-uat1-web-1.test.hcscint.net</t>
        </r>
      </text>
    </comment>
    <comment ref="A23" authorId="3" shapeId="0" xr:uid="{00000000-0006-0000-1500-000010000000}">
      <text>
        <r>
          <rPr>
            <b/>
            <sz val="8"/>
            <color indexed="81"/>
            <rFont val="Tahoma"/>
            <family val="2"/>
          </rPr>
          <t>CNAME</t>
        </r>
        <r>
          <rPr>
            <sz val="8"/>
            <color indexed="81"/>
            <rFont val="Tahoma"/>
            <family val="2"/>
          </rPr>
          <t xml:space="preserve">
Map to proxy server application A record on DNS tab.
E.g. t-myapp-uat1-web-2.test.hcscint.net</t>
        </r>
      </text>
    </comment>
    <comment ref="A25" authorId="3" shapeId="0" xr:uid="{00000000-0006-0000-1500-000011000000}">
      <text>
        <r>
          <rPr>
            <b/>
            <sz val="8"/>
            <color indexed="81"/>
            <rFont val="Tahoma"/>
            <family val="2"/>
          </rPr>
          <t>CNAME</t>
        </r>
        <r>
          <rPr>
            <sz val="8"/>
            <color indexed="81"/>
            <rFont val="Tahoma"/>
            <family val="2"/>
          </rPr>
          <t xml:space="preserve">
Map to proxy server application A record on DNS tab.
E.g.   t-myapp-uat1-web-1.test.hcscint.net</t>
        </r>
      </text>
    </comment>
    <comment ref="A27" authorId="3" shapeId="0" xr:uid="{00000000-0006-0000-1500-000012000000}">
      <text>
        <r>
          <rPr>
            <b/>
            <sz val="8"/>
            <color indexed="81"/>
            <rFont val="Tahoma"/>
            <family val="2"/>
          </rPr>
          <t>CNAME</t>
        </r>
        <r>
          <rPr>
            <sz val="8"/>
            <color indexed="81"/>
            <rFont val="Tahoma"/>
            <family val="2"/>
          </rPr>
          <t xml:space="preserve">
Map to proxy server application A record on DNS tab.
E.g. t-myapp-uat1-web-2.test.hcscint.net</t>
        </r>
      </text>
    </comment>
    <comment ref="A29" authorId="2" shapeId="0" xr:uid="{00000000-0006-0000-1500-000013000000}">
      <text>
        <r>
          <rPr>
            <b/>
            <sz val="8"/>
            <color indexed="81"/>
            <rFont val="Tahoma"/>
            <family val="2"/>
          </rPr>
          <t>HCSC: OLD formula that was replaced in B14 - U14</t>
        </r>
        <r>
          <rPr>
            <sz val="8"/>
            <color indexed="81"/>
            <rFont val="Tahoma"/>
            <family val="2"/>
          </rPr>
          <t xml:space="preserve">
=IF(B$8&gt;"",LOWER(IF(B$11&lt;"Test","p-","t-")&amp;$B$5&amp;"-"&amp;B$10&amp;"-http-"&amp;IF(B$12&lt;"Intranet",ROW(B14)-12,ROW(B14)-10)&amp;IF(B$11&lt;"Test","",".test")&amp;".hcscint.net"),"")</t>
        </r>
      </text>
    </comment>
    <comment ref="A30" authorId="2" shapeId="0" xr:uid="{00000000-0006-0000-1500-000014000000}">
      <text>
        <r>
          <rPr>
            <b/>
            <sz val="8"/>
            <color indexed="81"/>
            <rFont val="Tahoma"/>
            <family val="2"/>
          </rPr>
          <t xml:space="preserve">Purpose:  Build ProxyPass Directives.
</t>
        </r>
        <r>
          <rPr>
            <sz val="8"/>
            <color indexed="81"/>
            <rFont val="Tahoma"/>
            <family val="2"/>
          </rPr>
          <t>Syntax:  ProxyPass [path] url</t>
        </r>
        <r>
          <rPr>
            <b/>
            <sz val="8"/>
            <color indexed="81"/>
            <rFont val="Tahoma"/>
            <family val="2"/>
          </rPr>
          <t xml:space="preserve">
ProxyPass  /mypath/  http://ip-http-proxyout-myapp-prd.hcscint.net:9080/mypath/
Enter value for path in column A.  E.g.    /mypath/
Note:  </t>
        </r>
        <r>
          <rPr>
            <sz val="8"/>
            <color indexed="81"/>
            <rFont val="Tahoma"/>
            <family val="2"/>
          </rPr>
          <t xml:space="preserve">Avoid proxying the root, as this is less secure, but if you must, do the following:  Place a forward slash ("/") in column A, and the proxyout, ending in a forward slash, in the second column. 
 </t>
        </r>
        <r>
          <rPr>
            <b/>
            <sz val="8"/>
            <color indexed="81"/>
            <rFont val="Tahoma"/>
            <family val="2"/>
          </rPr>
          <t xml:space="preserve">
For example:
ProxyPass  /  http://ip-http-proxyout-myapp-prd.hcscint.net:9080/
Note: </t>
        </r>
        <r>
          <rPr>
            <sz val="8"/>
            <color indexed="81"/>
            <rFont val="Tahoma"/>
            <family val="2"/>
          </rPr>
          <t>Path values should begin and end with slash.</t>
        </r>
      </text>
    </comment>
    <comment ref="B30" authorId="2" shapeId="0" xr:uid="{00000000-0006-0000-1500-000015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C30" authorId="2" shapeId="0" xr:uid="{00000000-0006-0000-1500-000016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D30" authorId="2" shapeId="0" xr:uid="{00000000-0006-0000-1500-000017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E30" authorId="2" shapeId="0" xr:uid="{00000000-0006-0000-1500-000018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F30" authorId="2" shapeId="0" xr:uid="{00000000-0006-0000-1500-000019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G30" authorId="2" shapeId="0" xr:uid="{00000000-0006-0000-1500-00001A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H30" authorId="2" shapeId="0" xr:uid="{00000000-0006-0000-1500-00001B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I30" authorId="2" shapeId="0" xr:uid="{00000000-0006-0000-1500-00001C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J30" authorId="2" shapeId="0" xr:uid="{00000000-0006-0000-1500-00001D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K30" authorId="2" shapeId="0" xr:uid="{00000000-0006-0000-1500-00001E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L30" authorId="2" shapeId="0" xr:uid="{00000000-0006-0000-1500-00001F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M30" authorId="2" shapeId="0" xr:uid="{00000000-0006-0000-1500-000020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N30" authorId="2" shapeId="0" xr:uid="{00000000-0006-0000-1500-000021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O30" authorId="2" shapeId="0" xr:uid="{00000000-0006-0000-1500-000022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P30" authorId="2" shapeId="0" xr:uid="{00000000-0006-0000-1500-000023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Q30" authorId="2" shapeId="0" xr:uid="{00000000-0006-0000-1500-000024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R30" authorId="2" shapeId="0" xr:uid="{00000000-0006-0000-1500-000025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S30" authorId="2" shapeId="0" xr:uid="{00000000-0006-0000-1500-000026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T30" authorId="2" shapeId="0" xr:uid="{00000000-0006-0000-1500-000027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 ref="U30" authorId="2" shapeId="0" xr:uid="{00000000-0006-0000-1500-000028000000}">
      <text>
        <r>
          <rPr>
            <b/>
            <sz val="8"/>
            <color indexed="81"/>
            <rFont val="Tahoma"/>
            <family val="2"/>
          </rPr>
          <t xml:space="preserve">Purpose: 
</t>
        </r>
        <r>
          <rPr>
            <sz val="8"/>
            <color indexed="81"/>
            <rFont val="Tahoma"/>
            <family val="2"/>
          </rPr>
          <t>Build ProxyPass Directives.
Syntax:  ProxyPass [path] url</t>
        </r>
        <r>
          <rPr>
            <b/>
            <sz val="8"/>
            <color indexed="81"/>
            <rFont val="Tahoma"/>
            <family val="2"/>
          </rPr>
          <t xml:space="preserve">
</t>
        </r>
        <r>
          <rPr>
            <sz val="8"/>
            <color indexed="81"/>
            <rFont val="Tahoma"/>
            <family val="2"/>
          </rPr>
          <t>Example of a completed ProxyPass directive built with vales from Columns A &amp; B:</t>
        </r>
        <r>
          <rPr>
            <b/>
            <sz val="8"/>
            <color indexed="81"/>
            <rFont val="Tahoma"/>
            <family val="2"/>
          </rPr>
          <t xml:space="preserve">
ProxyPass  /mypath/  http://ip-http-proxyout-myapp-prd.hcscint.net:9080/mypath/
</t>
        </r>
        <r>
          <rPr>
            <sz val="8"/>
            <color indexed="81"/>
            <rFont val="Tahoma"/>
            <family val="2"/>
          </rPr>
          <t>Enter value for URL in Column B.</t>
        </r>
        <r>
          <rPr>
            <b/>
            <sz val="8"/>
            <color indexed="81"/>
            <rFont val="Tahoma"/>
            <family val="2"/>
          </rPr>
          <t xml:space="preserve">  E.g.    http://ip-http-proxyout-myapp-prd.hcscint.net:9080/mypath/
Note: Values should begin with "http://" or "https://" and end with slash.</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Irene Oh</author>
  </authors>
  <commentList>
    <comment ref="A3" authorId="0" shapeId="0" xr:uid="{00000000-0006-0000-1600-000001000000}">
      <text>
        <r>
          <rPr>
            <b/>
            <sz val="9"/>
            <color indexed="81"/>
            <rFont val="Tahoma"/>
            <family val="2"/>
          </rPr>
          <t>IP Asset Number:</t>
        </r>
        <r>
          <rPr>
            <sz val="9"/>
            <color indexed="81"/>
            <rFont val="Tahoma"/>
            <family val="2"/>
          </rPr>
          <t xml:space="preserve">
Select the correct IP Instance of Select the primary IP asset from the drop down.  
Asset Number descriptions can be referenced on the Distributed Assets tab and IP Instances can be referenced on the IP Tab.</t>
        </r>
      </text>
    </comment>
    <comment ref="D3" authorId="0" shapeId="0" xr:uid="{00000000-0006-0000-1600-000002000000}">
      <text>
        <r>
          <rPr>
            <b/>
            <sz val="9"/>
            <color indexed="81"/>
            <rFont val="Tahoma"/>
            <family val="2"/>
          </rPr>
          <t xml:space="preserve">Firewall Rule Created:
</t>
        </r>
        <r>
          <rPr>
            <sz val="9"/>
            <color indexed="81"/>
            <rFont val="Tahoma"/>
            <family val="2"/>
          </rPr>
          <t xml:space="preserve">Outbound access from server to the Internet requires a firewall rule from the server to the BlueCoat Proxy, please click on About this Tab for destination of firewall rule
</t>
        </r>
        <r>
          <rPr>
            <b/>
            <sz val="9"/>
            <color indexed="81"/>
            <rFont val="Tahoma"/>
            <family val="2"/>
          </rPr>
          <t>**Firewall rule is only required for Prod**</t>
        </r>
      </text>
    </comment>
    <comment ref="F3" authorId="0" shapeId="0" xr:uid="{00000000-0006-0000-1600-000003000000}">
      <text>
        <r>
          <rPr>
            <sz val="9"/>
            <color indexed="81"/>
            <rFont val="Tahoma"/>
            <family val="2"/>
          </rPr>
          <t xml:space="preserve">This should be any/all URLs which are required to be accessed from servers.
</t>
        </r>
      </text>
    </comment>
    <comment ref="G3" authorId="0" shapeId="0" xr:uid="{00000000-0006-0000-1600-000004000000}">
      <text>
        <r>
          <rPr>
            <b/>
            <sz val="9"/>
            <color indexed="81"/>
            <rFont val="Tahoma"/>
            <family val="2"/>
          </rPr>
          <t>Asset:</t>
        </r>
        <r>
          <rPr>
            <sz val="9"/>
            <color indexed="81"/>
            <rFont val="Tahoma"/>
            <family val="2"/>
          </rPr>
          <t xml:space="preserve">
The Asset Number will auto-populate. This is the asset # associated with the IP Asset in column A.</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HCSC</author>
    <author>Mark Tomlinson</author>
  </authors>
  <commentList>
    <comment ref="B3" authorId="0" shapeId="0" xr:uid="{00000000-0006-0000-1700-000001000000}">
      <text>
        <r>
          <rPr>
            <b/>
            <sz val="9"/>
            <color indexed="81"/>
            <rFont val="Tahoma"/>
            <family val="2"/>
          </rPr>
          <t xml:space="preserve">Firewall Rule reminders:
</t>
        </r>
        <r>
          <rPr>
            <sz val="9"/>
            <color indexed="81"/>
            <rFont val="Tahoma"/>
            <family val="2"/>
          </rPr>
          <t xml:space="preserve">
</t>
        </r>
        <r>
          <rPr>
            <u/>
            <sz val="9"/>
            <color indexed="81"/>
            <rFont val="Tahoma"/>
            <family val="2"/>
          </rPr>
          <t>DB Servers:</t>
        </r>
        <r>
          <rPr>
            <sz val="9"/>
            <color indexed="81"/>
            <rFont val="Tahoma"/>
            <family val="2"/>
          </rPr>
          <t xml:space="preserve">
1. IF a DB server is the Source of a firewall connection we have to use the physical IP of the box and not the SQL IP.
2. When a DB server is the destination, we use the SQL Instance IP.
</t>
        </r>
        <r>
          <rPr>
            <u/>
            <sz val="9"/>
            <color indexed="81"/>
            <rFont val="Tahoma"/>
            <family val="2"/>
          </rPr>
          <t>Mainframe:</t>
        </r>
        <r>
          <rPr>
            <sz val="9"/>
            <color indexed="81"/>
            <rFont val="Tahoma"/>
            <family val="2"/>
          </rPr>
          <t xml:space="preserve">
1. When a Mainframe is the Source of a firewall connection, we use BOTH the old &amp; new IP address.
2. When a Mainframe is the Destination of a firewall connection, we use the new IP address.
</t>
        </r>
      </text>
    </comment>
    <comment ref="C3" authorId="0" shapeId="0" xr:uid="{00000000-0006-0000-1700-000002000000}">
      <text>
        <r>
          <rPr>
            <b/>
            <sz val="9"/>
            <color indexed="81"/>
            <rFont val="Tahoma"/>
            <family val="2"/>
          </rPr>
          <t>Identity Awareness Based Rule:</t>
        </r>
        <r>
          <rPr>
            <sz val="9"/>
            <color indexed="81"/>
            <rFont val="Tahoma"/>
            <family val="2"/>
          </rPr>
          <t xml:space="preserve">
Identity Awareness Based Firewall Rules are used to allow access to various environment layers normally not directly accessible.  A specific AD Group will be required, and specific users needing access will be added to that group.  New AD Groups are created by completing an IS Entitlement Request.
</t>
        </r>
        <r>
          <rPr>
            <i/>
            <sz val="9"/>
            <color indexed="81"/>
            <rFont val="Tahoma"/>
            <family val="2"/>
          </rPr>
          <t>(See Access Now for complete list of FWID Groups)</t>
        </r>
        <r>
          <rPr>
            <sz val="9"/>
            <color indexed="81"/>
            <rFont val="Tahoma"/>
            <family val="2"/>
          </rPr>
          <t xml:space="preserve">
</t>
        </r>
      </text>
    </comment>
    <comment ref="D3" authorId="0" shapeId="0" xr:uid="{00000000-0006-0000-1700-000003000000}">
      <text>
        <r>
          <rPr>
            <b/>
            <sz val="9"/>
            <color indexed="81"/>
            <rFont val="Tahoma"/>
            <family val="2"/>
          </rPr>
          <t>Is Asset Source being provisioned (Yes/ no) or FWID:</t>
        </r>
        <r>
          <rPr>
            <sz val="9"/>
            <color indexed="81"/>
            <rFont val="Tahoma"/>
            <family val="2"/>
          </rPr>
          <t xml:space="preserve">
Select:
• </t>
        </r>
        <r>
          <rPr>
            <b/>
            <sz val="9"/>
            <color indexed="81"/>
            <rFont val="Tahoma"/>
            <family val="2"/>
          </rPr>
          <t>Yes</t>
        </r>
        <r>
          <rPr>
            <sz val="9"/>
            <color indexed="81"/>
            <rFont val="Tahoma"/>
            <family val="2"/>
          </rPr>
          <t xml:space="preserve"> - if you need to create a new FW rule with a new asset
• </t>
        </r>
        <r>
          <rPr>
            <b/>
            <sz val="9"/>
            <color indexed="81"/>
            <rFont val="Tahoma"/>
            <family val="2"/>
          </rPr>
          <t>No</t>
        </r>
        <r>
          <rPr>
            <sz val="9"/>
            <color indexed="81"/>
            <rFont val="Tahoma"/>
            <family val="2"/>
          </rPr>
          <t xml:space="preserve"> - If you will create a FW with an existing asset
• </t>
        </r>
        <r>
          <rPr>
            <b/>
            <sz val="9"/>
            <color indexed="81"/>
            <rFont val="Tahoma"/>
            <family val="2"/>
          </rPr>
          <t>FWID</t>
        </r>
        <r>
          <rPr>
            <sz val="9"/>
            <color indexed="81"/>
            <rFont val="Tahoma"/>
            <family val="2"/>
          </rPr>
          <t xml:space="preserve"> - If you are creating a FWID rule</t>
        </r>
      </text>
    </comment>
    <comment ref="E3" authorId="0" shapeId="0" xr:uid="{00000000-0006-0000-1700-000004000000}">
      <text>
        <r>
          <rPr>
            <b/>
            <sz val="9"/>
            <color indexed="81"/>
            <rFont val="Tahoma"/>
            <family val="2"/>
          </rPr>
          <t>Source Provisioned ASSET IP # or FWID name:</t>
        </r>
        <r>
          <rPr>
            <sz val="9"/>
            <color indexed="81"/>
            <rFont val="Tahoma"/>
            <family val="2"/>
          </rPr>
          <t xml:space="preserve">
Select:
• The </t>
        </r>
        <r>
          <rPr>
            <b/>
            <sz val="9"/>
            <color indexed="81"/>
            <rFont val="Tahoma"/>
            <family val="2"/>
          </rPr>
          <t>IP Asset #</t>
        </r>
        <r>
          <rPr>
            <sz val="9"/>
            <color indexed="81"/>
            <rFont val="Tahoma"/>
            <family val="2"/>
          </rPr>
          <t xml:space="preserve"> that is assigned to the  interface needed (from the IP tab) as the source of the Firewall rule.
• The </t>
        </r>
        <r>
          <rPr>
            <b/>
            <sz val="9"/>
            <color indexed="81"/>
            <rFont val="Tahoma"/>
            <family val="2"/>
          </rPr>
          <t>FWID_ITG group</t>
        </r>
        <r>
          <rPr>
            <sz val="9"/>
            <color indexed="81"/>
            <rFont val="Tahoma"/>
            <family val="2"/>
          </rPr>
          <t xml:space="preserve"> for the FWID group as the source you wish to create a FWID rule.
• This field allows direct entry over the drop-down for entering new FWID groups.
-List of ITG FWIDs is located in Bom fuctions column FD
   (See Access Now for complete list of FWID Groups)</t>
        </r>
      </text>
    </comment>
    <comment ref="F3" authorId="0" shapeId="0" xr:uid="{00000000-0006-0000-1700-000005000000}">
      <text>
        <r>
          <rPr>
            <b/>
            <sz val="9"/>
            <color indexed="81"/>
            <rFont val="Tahoma"/>
            <family val="2"/>
          </rPr>
          <t xml:space="preserve">Source Hostname:
</t>
        </r>
        <r>
          <rPr>
            <sz val="9"/>
            <color indexed="81"/>
            <rFont val="Tahoma"/>
            <family val="2"/>
          </rPr>
          <t>• If asset is  being provisioned, the column is auto-populated with the asset selected in "Source Provisioned ASSET IP #" column.
• If source is an existing asset, enter the host name.
• "Internet", "Intranet", or network zones are also valid sources.</t>
        </r>
        <r>
          <rPr>
            <b/>
            <sz val="9"/>
            <color indexed="81"/>
            <rFont val="Tahoma"/>
            <family val="2"/>
          </rPr>
          <t xml:space="preserve">
</t>
        </r>
        <r>
          <rPr>
            <sz val="9"/>
            <color indexed="81"/>
            <rFont val="Tahoma"/>
            <family val="2"/>
          </rPr>
          <t xml:space="preserve">• </t>
        </r>
        <r>
          <rPr>
            <b/>
            <sz val="9"/>
            <color indexed="81"/>
            <rFont val="Tahoma"/>
            <family val="2"/>
          </rPr>
          <t>grp_hcsc_user_nets</t>
        </r>
        <r>
          <rPr>
            <sz val="9"/>
            <color indexed="81"/>
            <rFont val="Tahoma"/>
            <family val="2"/>
          </rPr>
          <t xml:space="preserve"> is a valid source when the users are internal HCSC users.</t>
        </r>
      </text>
    </comment>
    <comment ref="G3" authorId="0" shapeId="0" xr:uid="{00000000-0006-0000-1700-000006000000}">
      <text>
        <r>
          <rPr>
            <b/>
            <sz val="9"/>
            <color indexed="81"/>
            <rFont val="Tahoma"/>
            <family val="2"/>
          </rPr>
          <t>Source IP:</t>
        </r>
        <r>
          <rPr>
            <sz val="9"/>
            <color indexed="81"/>
            <rFont val="Tahoma"/>
            <family val="2"/>
          </rPr>
          <t xml:space="preserve">
IP of the asset in the "Source Hostname" column. This column is required since firewall rules are based on IPs.
• Auto populated for the asset selected in "Source Provisioned ASSET IP #" column.
• Overwrite the formula if source is not being provisioned in this LBoM.
• Subnets are valid.
</t>
        </r>
      </text>
    </comment>
    <comment ref="H3" authorId="0" shapeId="0" xr:uid="{00000000-0006-0000-1700-000007000000}">
      <text>
        <r>
          <rPr>
            <b/>
            <sz val="9"/>
            <color indexed="81"/>
            <rFont val="Tahoma"/>
            <family val="2"/>
          </rPr>
          <t>Source NAT (opt):</t>
        </r>
        <r>
          <rPr>
            <sz val="9"/>
            <color indexed="81"/>
            <rFont val="Tahoma"/>
            <family val="2"/>
          </rPr>
          <t xml:space="preserve">
The source NAT is the translated address of the source IP. Rarely used, and if you don't know this information, leave it blank. Any VIP will auto-populate this column with "F5 Self IPs"
</t>
        </r>
      </text>
    </comment>
    <comment ref="I3" authorId="0" shapeId="0" xr:uid="{00000000-0006-0000-1700-000008000000}">
      <text>
        <r>
          <rPr>
            <b/>
            <sz val="9"/>
            <color indexed="81"/>
            <rFont val="Tahoma"/>
            <family val="2"/>
          </rPr>
          <t>Is DESTINATION being provisioned?:</t>
        </r>
        <r>
          <rPr>
            <sz val="9"/>
            <color indexed="81"/>
            <rFont val="Tahoma"/>
            <family val="2"/>
          </rPr>
          <t xml:space="preserve">
Is destination asset being provisioned in this LBoM?
</t>
        </r>
      </text>
    </comment>
    <comment ref="J3" authorId="0" shapeId="0" xr:uid="{00000000-0006-0000-1700-000009000000}">
      <text>
        <r>
          <rPr>
            <b/>
            <sz val="9"/>
            <color indexed="81"/>
            <rFont val="Tahoma"/>
            <family val="2"/>
          </rPr>
          <t>Destination Provisioned ASSET IP No.:</t>
        </r>
        <r>
          <rPr>
            <sz val="9"/>
            <color indexed="81"/>
            <rFont val="Tahoma"/>
            <family val="2"/>
          </rPr>
          <t xml:space="preserve">
Select the asset and IP that is assigned to the  interface of the destination server. (From the IP tab).
</t>
        </r>
      </text>
    </comment>
    <comment ref="K3" authorId="0" shapeId="0" xr:uid="{00000000-0006-0000-1700-00000A000000}">
      <text>
        <r>
          <rPr>
            <b/>
            <sz val="9"/>
            <color indexed="81"/>
            <rFont val="Tahoma"/>
            <family val="2"/>
          </rPr>
          <t>Destination Hostname:</t>
        </r>
        <r>
          <rPr>
            <sz val="9"/>
            <color indexed="81"/>
            <rFont val="Tahoma"/>
            <family val="2"/>
          </rPr>
          <t xml:space="preserve">
• If asset is  being provisioned, the column is auto populated with the asset selected in "Destination Provisioned ASSET IP No." column.
• If destination is an existing asset, enter the host name.
• "Internet", "Intranet", or network zones are also valid destinations.
</t>
        </r>
      </text>
    </comment>
    <comment ref="L3" authorId="0" shapeId="0" xr:uid="{00000000-0006-0000-1700-00000B000000}">
      <text>
        <r>
          <rPr>
            <b/>
            <sz val="9"/>
            <color indexed="81"/>
            <rFont val="Tahoma"/>
            <family val="2"/>
          </rPr>
          <t xml:space="preserve">Destination IP:
</t>
        </r>
        <r>
          <rPr>
            <sz val="9"/>
            <color indexed="81"/>
            <rFont val="Tahoma"/>
            <family val="2"/>
          </rPr>
          <t>IP of the asset in the "Destination Hostname" column. This column is required since firewall rules are based on IPs.
• Auto populated for the asset selected in "Destination Provisioned ASSET IP #" column.
• Overwrite the formula if destination is not being provisioned in this LBoM.
• Subnets are valid.</t>
        </r>
      </text>
    </comment>
    <comment ref="M3" authorId="0" shapeId="0" xr:uid="{00000000-0006-0000-1700-00000C000000}">
      <text>
        <r>
          <rPr>
            <b/>
            <sz val="9"/>
            <color indexed="81"/>
            <rFont val="Tahoma"/>
            <family val="2"/>
          </rPr>
          <t xml:space="preserve">Dest. NAT (opt):
</t>
        </r>
        <r>
          <rPr>
            <sz val="9"/>
            <color indexed="81"/>
            <rFont val="Tahoma"/>
            <family val="2"/>
          </rPr>
          <t xml:space="preserve">Enter the destination NAT (Network Address Translation), if known.  Rarely used. Leave blank if you are unsure.
</t>
        </r>
      </text>
    </comment>
    <comment ref="N3" authorId="0" shapeId="0" xr:uid="{00000000-0006-0000-1700-00000D000000}">
      <text>
        <r>
          <rPr>
            <b/>
            <sz val="9"/>
            <color indexed="81"/>
            <rFont val="Tahoma"/>
            <family val="2"/>
          </rPr>
          <t>Port(s):</t>
        </r>
        <r>
          <rPr>
            <sz val="9"/>
            <color indexed="81"/>
            <rFont val="Tahoma"/>
            <family val="2"/>
          </rPr>
          <t xml:space="preserve">
Enter the port/s, and/or port ranges that the source asset will use to connect to the destination asset.
</t>
        </r>
        <r>
          <rPr>
            <u/>
            <sz val="9"/>
            <color indexed="81"/>
            <rFont val="Tahoma"/>
            <family val="2"/>
          </rPr>
          <t>Examples:</t>
        </r>
        <r>
          <rPr>
            <sz val="9"/>
            <color indexed="81"/>
            <rFont val="Tahoma"/>
            <family val="2"/>
          </rPr>
          <t xml:space="preserve">
• 80
• 22, 3389
• 443, 9742-9746
</t>
        </r>
        <r>
          <rPr>
            <b/>
            <u/>
            <sz val="9"/>
            <color indexed="81"/>
            <rFont val="Tahoma"/>
            <family val="2"/>
          </rPr>
          <t xml:space="preserve">
</t>
        </r>
        <r>
          <rPr>
            <u/>
            <sz val="9"/>
            <color indexed="81"/>
            <rFont val="Tahoma"/>
            <family val="2"/>
          </rPr>
          <t>Common Ports:</t>
        </r>
        <r>
          <rPr>
            <sz val="9"/>
            <color indexed="81"/>
            <rFont val="Tahoma"/>
            <family val="2"/>
          </rPr>
          <t xml:space="preserve">
WAS (80, 81, 9043, 9060)
SSH, SFTP (22)
RDP (3389)
SQL (1433)
DB2 (50nnn ask DBA for port info)
FTP (21)
SiteMinder (44441-44444)
Oracle (1521)
COD (28960 UDP)
Zena (7911,7913)</t>
        </r>
        <r>
          <rPr>
            <u/>
            <sz val="9"/>
            <color indexed="81"/>
            <rFont val="Tahoma"/>
            <family val="2"/>
          </rPr>
          <t xml:space="preserve">
</t>
        </r>
        <r>
          <rPr>
            <sz val="9"/>
            <color indexed="81"/>
            <rFont val="Tahoma"/>
            <family val="2"/>
          </rPr>
          <t>TSM (1500)
Google Search Appliance (19900)
TeraData (1025)
BlueCoat (8098)</t>
        </r>
      </text>
    </comment>
    <comment ref="O3" authorId="0" shapeId="0" xr:uid="{00000000-0006-0000-1700-00000E000000}">
      <text>
        <r>
          <rPr>
            <b/>
            <sz val="9"/>
            <color indexed="81"/>
            <rFont val="Tahoma"/>
            <family val="2"/>
          </rPr>
          <t>Type:</t>
        </r>
        <r>
          <rPr>
            <sz val="9"/>
            <color indexed="81"/>
            <rFont val="Tahoma"/>
            <family val="2"/>
          </rPr>
          <t xml:space="preserve">
Enter the protocol type for the port requested. The protocol type is a required configuration parameter for firewall changes.
This is a drop down box with the following selections:
• TCP
• UDP
• TCP &amp; UDP</t>
        </r>
      </text>
    </comment>
    <comment ref="P3" authorId="0" shapeId="0" xr:uid="{00000000-0006-0000-1700-00000F000000}">
      <text>
        <r>
          <rPr>
            <b/>
            <sz val="9"/>
            <color indexed="81"/>
            <rFont val="Tahoma"/>
            <family val="2"/>
          </rPr>
          <t>Protocol:</t>
        </r>
        <r>
          <rPr>
            <sz val="9"/>
            <color indexed="81"/>
            <rFont val="Tahoma"/>
            <family val="2"/>
          </rPr>
          <t xml:space="preserve">
Enter the function or functions of the listed ports.  
Examples:
• HTTP
• SFTP, RDP
</t>
        </r>
        <r>
          <rPr>
            <b/>
            <u/>
            <sz val="9"/>
            <color indexed="81"/>
            <rFont val="Tahoma"/>
            <family val="2"/>
          </rPr>
          <t>Common Protocols:</t>
        </r>
        <r>
          <rPr>
            <sz val="9"/>
            <color indexed="81"/>
            <rFont val="Tahoma"/>
            <family val="2"/>
          </rPr>
          <t xml:space="preserve">
HTTP (80, 81, 8080)
HTTPS (443,8443)
SSH (22)
SFTP (22)
FTP (21)
RDP (3389)
SQL (1433)
DB2 (50000-50100)
Oracle (1521)
----------
Protocol may also be app id, document as:
"app id=oracle"
</t>
        </r>
        <r>
          <rPr>
            <b/>
            <sz val="9"/>
            <color indexed="81"/>
            <rFont val="Tahoma"/>
            <family val="2"/>
          </rPr>
          <t>Commonly used app ids:</t>
        </r>
        <r>
          <rPr>
            <sz val="9"/>
            <color indexed="81"/>
            <rFont val="Tahoma"/>
            <family val="2"/>
          </rPr>
          <t xml:space="preserve">
Mssql-db
Ldap protocol
Kerberos protocol
HTTP Proxy
web-browsing
ssl protocol
ssh protocol
oracle
Microsoft RDP
ms-ds-smb
netbios session service
mount
portmapper
MSRPC Exchange Services
SOAP
</t>
        </r>
      </text>
    </comment>
    <comment ref="R3" authorId="0" shapeId="0" xr:uid="{00000000-0006-0000-1700-000010000000}">
      <text>
        <r>
          <rPr>
            <b/>
            <sz val="9"/>
            <color indexed="81"/>
            <rFont val="Tahoma"/>
            <family val="2"/>
          </rPr>
          <t>3rd Party Connection:</t>
        </r>
        <r>
          <rPr>
            <sz val="9"/>
            <color indexed="81"/>
            <rFont val="Tahoma"/>
            <family val="2"/>
          </rPr>
          <t xml:space="preserve">
Is this a connection to an existing 3rd Party?  Select Yes/No from dropdown.  
Selecting 'Yes' </t>
        </r>
        <r>
          <rPr>
            <b/>
            <sz val="9"/>
            <color indexed="81"/>
            <rFont val="Tahoma"/>
            <family val="2"/>
          </rPr>
          <t>requires</t>
        </r>
        <r>
          <rPr>
            <sz val="9"/>
            <color indexed="81"/>
            <rFont val="Tahoma"/>
            <family val="2"/>
          </rPr>
          <t xml:space="preserve"> submitting a CA Request for 3rd Party Connectivity.
</t>
        </r>
      </text>
    </comment>
    <comment ref="S3" authorId="0" shapeId="0" xr:uid="{00000000-0006-0000-1700-000011000000}">
      <text>
        <r>
          <rPr>
            <b/>
            <sz val="9"/>
            <color indexed="81"/>
            <rFont val="Tahoma"/>
            <family val="2"/>
          </rPr>
          <t>CA Incident Number:</t>
        </r>
        <r>
          <rPr>
            <sz val="9"/>
            <color indexed="81"/>
            <rFont val="Tahoma"/>
            <family val="2"/>
          </rPr>
          <t xml:space="preserve">
A CA Incident number is required if there is a 3rd Party Connection. All details are captured and processed through the CA tool.
</t>
        </r>
        <r>
          <rPr>
            <b/>
            <sz val="9"/>
            <color indexed="10"/>
            <rFont val="Tahoma"/>
            <family val="2"/>
          </rPr>
          <t>NOTE:</t>
        </r>
        <r>
          <rPr>
            <sz val="9"/>
            <color indexed="10"/>
            <rFont val="Tahoma"/>
            <family val="2"/>
          </rPr>
          <t xml:space="preserve">  </t>
        </r>
        <r>
          <rPr>
            <sz val="9"/>
            <color indexed="81"/>
            <rFont val="Tahoma"/>
            <family val="2"/>
          </rPr>
          <t xml:space="preserve">
The Blanket Third Party Request number to use when connecting to the DevOPs tools located in AWS:
</t>
        </r>
        <r>
          <rPr>
            <b/>
            <sz val="9"/>
            <color indexed="81"/>
            <rFont val="Tahoma"/>
            <family val="2"/>
          </rPr>
          <t>REQ0012114, Exception # RSAM 828</t>
        </r>
        <r>
          <rPr>
            <sz val="9"/>
            <color indexed="81"/>
            <rFont val="Tahoma"/>
            <family val="2"/>
          </rPr>
          <t xml:space="preserve">
Use this Blanket 3rd Party Request when connecting to DevOps tools located in AWS to allow firewall rules to be completed.
</t>
        </r>
      </text>
    </comment>
    <comment ref="U3" authorId="1" shapeId="0" xr:uid="{00000000-0006-0000-1700-000012000000}">
      <text>
        <r>
          <rPr>
            <b/>
            <sz val="9"/>
            <color indexed="81"/>
            <rFont val="Tahoma"/>
            <family val="2"/>
          </rPr>
          <t>Notes:</t>
        </r>
        <r>
          <rPr>
            <sz val="9"/>
            <color indexed="81"/>
            <rFont val="Tahoma"/>
            <family val="2"/>
          </rPr>
          <t xml:space="preserve">
Enter any information that the ITGNS technician will find helpful.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Steve Cierniak</author>
    <author>HCSC</author>
    <author>HCSC User</author>
    <author>Mark Tomlinson</author>
  </authors>
  <commentList>
    <comment ref="A2" authorId="0" shapeId="0" xr:uid="{00000000-0006-0000-1800-000001000000}">
      <text>
        <r>
          <rPr>
            <b/>
            <sz val="9"/>
            <color indexed="81"/>
            <rFont val="Tahoma"/>
            <family val="2"/>
          </rPr>
          <t xml:space="preserve">VIP No:
</t>
        </r>
        <r>
          <rPr>
            <sz val="9"/>
            <color indexed="81"/>
            <rFont val="Tahoma"/>
            <family val="2"/>
          </rPr>
          <t xml:space="preserve">This field is a drop down. Two Use Cases:
The same VIP No should be used in the case of multiple ports but different functions to create additional lines with the same VIP.   
The same VIP with different ports with the SAME function could be used all on a single line.
</t>
        </r>
      </text>
    </comment>
    <comment ref="B2" authorId="1" shapeId="0" xr:uid="{00000000-0006-0000-1800-000002000000}">
      <text>
        <r>
          <rPr>
            <b/>
            <sz val="9"/>
            <color indexed="81"/>
            <rFont val="Tahoma"/>
            <family val="2"/>
          </rPr>
          <t xml:space="preserve">Template:
</t>
        </r>
        <r>
          <rPr>
            <sz val="9"/>
            <color indexed="81"/>
            <rFont val="Tahoma"/>
            <family val="2"/>
          </rPr>
          <t xml:space="preserve">This will autopopulate from the IP tab.
</t>
        </r>
      </text>
    </comment>
    <comment ref="C2" authorId="2" shapeId="0" xr:uid="{00000000-0006-0000-1800-000003000000}">
      <text>
        <r>
          <rPr>
            <b/>
            <sz val="9"/>
            <color indexed="81"/>
            <rFont val="Tahoma"/>
            <family val="2"/>
          </rPr>
          <t>VIP Instance:</t>
        </r>
        <r>
          <rPr>
            <sz val="9"/>
            <color indexed="81"/>
            <rFont val="Tahoma"/>
            <family val="2"/>
          </rPr>
          <t xml:space="preserve">
The VIP Instance will auto-populate based on additional instances of the same VIP in the case of mulitple ports with different fuctions.</t>
        </r>
      </text>
    </comment>
    <comment ref="E2" authorId="1" shapeId="0" xr:uid="{00000000-0006-0000-1800-000004000000}">
      <text>
        <r>
          <rPr>
            <b/>
            <sz val="9"/>
            <color indexed="81"/>
            <rFont val="Tahoma"/>
            <family val="2"/>
          </rPr>
          <t xml:space="preserve">Destination NAT:
</t>
        </r>
        <r>
          <rPr>
            <sz val="9"/>
            <color indexed="81"/>
            <rFont val="Tahoma"/>
            <family val="2"/>
          </rPr>
          <t>Usually only required when URL is exposed externally. For instance, a VIP on 10.136.X.X might have an Internet facing address of 205.172.X.X.
Obtain the NAT address from ITGNS. Application team must have filed 3rd party request form.</t>
        </r>
      </text>
    </comment>
    <comment ref="F2" authorId="0" shapeId="0" xr:uid="{00000000-0006-0000-1800-000005000000}">
      <text>
        <r>
          <rPr>
            <b/>
            <sz val="9"/>
            <color indexed="81"/>
            <rFont val="Tahoma"/>
            <family val="2"/>
          </rPr>
          <t xml:space="preserve">NAT Firewall Rule Created?:
</t>
        </r>
        <r>
          <rPr>
            <sz val="9"/>
            <color indexed="81"/>
            <rFont val="Tahoma"/>
            <family val="2"/>
          </rPr>
          <t xml:space="preserve">This serves as a reminder that a firewall rule is required when using an external IP and NAT. Have you created this on the Firewall tab?
</t>
        </r>
      </text>
    </comment>
    <comment ref="G2" authorId="1" shapeId="0" xr:uid="{00000000-0006-0000-1800-000006000000}">
      <text>
        <r>
          <rPr>
            <b/>
            <sz val="9"/>
            <color indexed="81"/>
            <rFont val="Tahoma"/>
            <family val="2"/>
          </rPr>
          <t>Virtual IP (VIP) Auto filled (from the IP tab):</t>
        </r>
        <r>
          <rPr>
            <sz val="9"/>
            <color indexed="81"/>
            <rFont val="Tahoma"/>
            <family val="2"/>
          </rPr>
          <t xml:space="preserve">
Use the IP tab to request an IP for the VIP.
It is then Auto-populated from the IP tab.</t>
        </r>
      </text>
    </comment>
    <comment ref="H2" authorId="1" shapeId="0" xr:uid="{00000000-0006-0000-1800-000007000000}">
      <text>
        <r>
          <rPr>
            <b/>
            <sz val="9"/>
            <color indexed="81"/>
            <rFont val="Tahoma"/>
            <family val="2"/>
          </rPr>
          <t>Virtual IP Port:</t>
        </r>
        <r>
          <rPr>
            <sz val="9"/>
            <color indexed="81"/>
            <rFont val="Tahoma"/>
            <family val="2"/>
          </rPr>
          <t xml:space="preserve">
The service port that the Virtual IP (VIP) will respond to. Define a single service port for the VIP.  ITGNS will assume TCP.  If this VIP will use a protocol other than TCP, then specify the requirements in the Notes.
Use a new line for each VIP port. 
Example: 
80,
443</t>
        </r>
      </text>
    </comment>
    <comment ref="I2" authorId="1" shapeId="0" xr:uid="{00000000-0006-0000-1800-000008000000}">
      <text>
        <r>
          <rPr>
            <b/>
            <sz val="9"/>
            <color indexed="81"/>
            <rFont val="Tahoma"/>
            <family val="2"/>
          </rPr>
          <t xml:space="preserve">SSL Redirect:
</t>
        </r>
        <r>
          <rPr>
            <sz val="9"/>
            <color indexed="81"/>
            <rFont val="Tahoma"/>
            <family val="2"/>
          </rPr>
          <t xml:space="preserve">Select "True" if this VIP will terminate SSL and all client requests to HTTP should automatically be redirected to HTTPS.
</t>
        </r>
      </text>
    </comment>
    <comment ref="J2" authorId="1" shapeId="0" xr:uid="{00000000-0006-0000-1800-000009000000}">
      <text>
        <r>
          <rPr>
            <b/>
            <sz val="9"/>
            <color indexed="81"/>
            <rFont val="Tahoma"/>
            <family val="2"/>
          </rPr>
          <t>Member IPs:Port:</t>
        </r>
        <r>
          <rPr>
            <sz val="9"/>
            <color indexed="81"/>
            <rFont val="Tahoma"/>
            <family val="2"/>
          </rPr>
          <t xml:space="preserve">
Enter Pool Member IPs with Port number.  Separate each entry with a return line.
*NOTE* Port #'s assi
(Use ALT Enter for new line within cell).
</t>
        </r>
        <r>
          <rPr>
            <u/>
            <sz val="9"/>
            <color indexed="81"/>
            <rFont val="Tahoma"/>
            <family val="2"/>
          </rPr>
          <t>Example:</t>
        </r>
        <r>
          <rPr>
            <sz val="9"/>
            <color indexed="81"/>
            <rFont val="Tahoma"/>
            <family val="2"/>
          </rPr>
          <t xml:space="preserve">
10.136.128.10:80 (ALT+ENTER)
10.136.128.11:80
</t>
        </r>
      </text>
    </comment>
    <comment ref="K2" authorId="1" shapeId="0" xr:uid="{00000000-0006-0000-1800-00000A000000}">
      <text>
        <r>
          <rPr>
            <b/>
            <sz val="9"/>
            <color indexed="81"/>
            <rFont val="Tahoma"/>
            <family val="2"/>
          </rPr>
          <t xml:space="preserve">Load Balancing Method:
</t>
        </r>
        <r>
          <rPr>
            <sz val="9"/>
            <color indexed="81"/>
            <rFont val="Tahoma"/>
            <family val="2"/>
          </rPr>
          <t xml:space="preserve">Select Round Robin unless another algorithm is specifically required.
</t>
        </r>
      </text>
    </comment>
    <comment ref="L2" authorId="1" shapeId="0" xr:uid="{00000000-0006-0000-1800-00000B000000}">
      <text>
        <r>
          <rPr>
            <b/>
            <sz val="9"/>
            <color indexed="81"/>
            <rFont val="Tahoma"/>
            <family val="2"/>
          </rPr>
          <t>Health Monitor:</t>
        </r>
        <r>
          <rPr>
            <sz val="9"/>
            <color indexed="81"/>
            <rFont val="Tahoma"/>
            <family val="2"/>
          </rPr>
          <t xml:space="preserve">
This is how the load balancer checks to make sure the members are responding to traffic.
The first six options in the dropdown are the most common.  The rest are possible solutions for more intelligent service monitoring.  If a more intelligent service monitor is needed, additional design work may be required.
</t>
        </r>
        <r>
          <rPr>
            <b/>
            <sz val="9"/>
            <color indexed="81"/>
            <rFont val="Tahoma"/>
            <family val="2"/>
          </rPr>
          <t xml:space="preserve">
**NOTE***</t>
        </r>
        <r>
          <rPr>
            <sz val="9"/>
            <color indexed="81"/>
            <rFont val="Tahoma"/>
            <family val="2"/>
          </rPr>
          <t xml:space="preserve">
If using HTTP_Portchecking, the portchecking.html file must be present at the root of the server or the VIP pool members will be marked as down. This is provided by the team that installs the application.
If you choose custom, please explain your requirements in the "Notes" column.
Refer to the following document for more information:
https://ipam.fyiblue.com/changerequest/Firewalls.Loadbalancer.Request.Guidelines.doc
</t>
        </r>
      </text>
    </comment>
    <comment ref="M2" authorId="2" shapeId="0" xr:uid="{00000000-0006-0000-1800-00000C000000}">
      <text>
        <r>
          <rPr>
            <b/>
            <sz val="9"/>
            <color indexed="81"/>
            <rFont val="Tahoma"/>
            <family val="2"/>
          </rPr>
          <t xml:space="preserve">Port Checking Page Location:
</t>
        </r>
        <r>
          <rPr>
            <sz val="9"/>
            <color indexed="81"/>
            <rFont val="Tahoma"/>
            <family val="2"/>
          </rPr>
          <t xml:space="preserve">Need the specific directory location on the windows or linux server where the port checking page will be located if different from default. 
Default locations are:
</t>
        </r>
      </text>
    </comment>
    <comment ref="N2" authorId="1" shapeId="0" xr:uid="{00000000-0006-0000-1800-00000D000000}">
      <text>
        <r>
          <rPr>
            <b/>
            <sz val="9"/>
            <color indexed="81"/>
            <rFont val="Tahoma"/>
            <family val="2"/>
          </rPr>
          <t>Persistence:</t>
        </r>
        <r>
          <rPr>
            <sz val="9"/>
            <color indexed="81"/>
            <rFont val="Tahoma"/>
            <family val="2"/>
          </rPr>
          <t xml:space="preserve">
Persistence is usually not needed.  However, if this application requires server affinity for application sessions, persistence will be required.  
• </t>
        </r>
        <r>
          <rPr>
            <b/>
            <sz val="9"/>
            <color indexed="81"/>
            <rFont val="Tahoma"/>
            <family val="2"/>
          </rPr>
          <t>None</t>
        </r>
        <r>
          <rPr>
            <sz val="9"/>
            <color indexed="81"/>
            <rFont val="Tahoma"/>
            <family val="2"/>
          </rPr>
          <t xml:space="preserve"> is the default and usually the case. Most applications are built for load-balancing and don't require persistence.
• </t>
        </r>
        <r>
          <rPr>
            <b/>
            <sz val="9"/>
            <color indexed="81"/>
            <rFont val="Tahoma"/>
            <family val="2"/>
          </rPr>
          <t>Cookie</t>
        </r>
        <r>
          <rPr>
            <sz val="9"/>
            <color indexed="81"/>
            <rFont val="Tahoma"/>
            <family val="2"/>
          </rPr>
          <t xml:space="preserve"> persistence is commonly used for HTTP sessions and for HTTPS if SSL is terminated on the load-balancer.
• </t>
        </r>
        <r>
          <rPr>
            <b/>
            <sz val="9"/>
            <color indexed="81"/>
            <rFont val="Tahoma"/>
            <family val="2"/>
          </rPr>
          <t>Source Address Affinity</t>
        </r>
        <r>
          <rPr>
            <sz val="9"/>
            <color indexed="81"/>
            <rFont val="Tahoma"/>
            <family val="2"/>
          </rPr>
          <t xml:space="preserve"> persistence is commonly used where cookies are not viable.
• </t>
        </r>
        <r>
          <rPr>
            <b/>
            <sz val="9"/>
            <color indexed="81"/>
            <rFont val="Tahoma"/>
            <family val="2"/>
          </rPr>
          <t>Other</t>
        </r>
        <r>
          <rPr>
            <sz val="9"/>
            <color indexed="81"/>
            <rFont val="Tahoma"/>
            <family val="2"/>
          </rPr>
          <t xml:space="preserve"> forms of persistence are available for special circumstances.
Work with ITGNS to select an appropriate method.
</t>
        </r>
      </text>
    </comment>
    <comment ref="O2" authorId="1" shapeId="0" xr:uid="{00000000-0006-0000-1800-00000E000000}">
      <text>
        <r>
          <rPr>
            <b/>
            <sz val="9"/>
            <color indexed="81"/>
            <rFont val="Tahoma"/>
            <family val="2"/>
          </rPr>
          <t xml:space="preserve">SSL Termination:
</t>
        </r>
        <r>
          <rPr>
            <sz val="9"/>
            <color indexed="81"/>
            <rFont val="Tahoma"/>
            <family val="2"/>
          </rPr>
          <t xml:space="preserve">Select "True" if the F5 will perform SSL encryption on behalf of the web server (usually true).  If "True", specify the application URL in the certificate field.
</t>
        </r>
      </text>
    </comment>
    <comment ref="P2" authorId="0" shapeId="0" xr:uid="{00000000-0006-0000-1800-00000F000000}">
      <text>
        <r>
          <rPr>
            <b/>
            <sz val="9"/>
            <color indexed="81"/>
            <rFont val="Tahoma"/>
            <family val="2"/>
          </rPr>
          <t>SSL Certificate Info:</t>
        </r>
        <r>
          <rPr>
            <sz val="9"/>
            <color indexed="81"/>
            <rFont val="Tahoma"/>
            <family val="2"/>
          </rPr>
          <t xml:space="preserve">
If this VIP will perform SSL encryption, specify the application URL for key/certificate management. Auto-populated from the DNS tab but can be over-written. 
Will not be open for population unless the SSL Termination is TRUE.  
In the case of no SSL Termination or Passthrough, there is no Cert needed on the LoadBalancer
</t>
        </r>
      </text>
    </comment>
    <comment ref="Q2" authorId="3" shapeId="0" xr:uid="{00000000-0006-0000-1800-000010000000}">
      <text>
        <r>
          <rPr>
            <b/>
            <sz val="9"/>
            <color indexed="81"/>
            <rFont val="Tahoma"/>
            <family val="2"/>
          </rPr>
          <t>Notes (optional):</t>
        </r>
        <r>
          <rPr>
            <sz val="9"/>
            <color indexed="81"/>
            <rFont val="Tahoma"/>
            <family val="2"/>
          </rPr>
          <t xml:space="preserve">
Additional information that may be helpful to the ITGNS technician.
If custom Health Monitoring rules will be used, they should be described here.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Mark Tomlinson</author>
    <author>Jason A Barrett</author>
    <author>Steve Cierniak</author>
  </authors>
  <commentList>
    <comment ref="A2" authorId="0" shapeId="0" xr:uid="{00000000-0006-0000-1900-000001000000}">
      <text>
        <r>
          <rPr>
            <b/>
            <sz val="9"/>
            <color indexed="81"/>
            <rFont val="Tahoma"/>
            <family val="2"/>
          </rPr>
          <t xml:space="preserve">GTM #:
</t>
        </r>
        <r>
          <rPr>
            <sz val="9"/>
            <color indexed="81"/>
            <rFont val="Tahoma"/>
            <family val="2"/>
          </rPr>
          <t xml:space="preserve">This column is a derived IP asset number. It will be selectable on the DNS tab.
</t>
        </r>
      </text>
    </comment>
    <comment ref="B2" authorId="0" shapeId="0" xr:uid="{00000000-0006-0000-1900-000002000000}">
      <text>
        <r>
          <rPr>
            <b/>
            <sz val="9"/>
            <color indexed="81"/>
            <rFont val="Tahoma"/>
            <family val="2"/>
          </rPr>
          <t>Type:</t>
        </r>
        <r>
          <rPr>
            <sz val="9"/>
            <color indexed="81"/>
            <rFont val="Tahoma"/>
            <family val="2"/>
          </rPr>
          <t xml:space="preserve">
Refers to whether GTM applies only to Intranet addresses such as mysite.fyiblue.com (common) or extranet addresses used with our trading partners (rare).</t>
        </r>
      </text>
    </comment>
    <comment ref="C2" authorId="0" shapeId="0" xr:uid="{00000000-0006-0000-1900-000003000000}">
      <text>
        <r>
          <rPr>
            <b/>
            <sz val="9"/>
            <color indexed="81"/>
            <rFont val="Tahoma"/>
            <family val="2"/>
          </rPr>
          <t>Environment:</t>
        </r>
        <r>
          <rPr>
            <sz val="9"/>
            <color indexed="81"/>
            <rFont val="Tahoma"/>
            <family val="2"/>
          </rPr>
          <t xml:space="preserve">
Select either Production or Test. Test GTM is also used for Dev.
</t>
        </r>
      </text>
    </comment>
    <comment ref="D2" authorId="1" shapeId="0" xr:uid="{00000000-0006-0000-1900-000004000000}">
      <text>
        <r>
          <rPr>
            <b/>
            <sz val="9"/>
            <color indexed="81"/>
            <rFont val="Tahoma"/>
            <family val="2"/>
          </rPr>
          <t xml:space="preserve">DNS Name:
</t>
        </r>
        <r>
          <rPr>
            <sz val="9"/>
            <color indexed="81"/>
            <rFont val="Tahoma"/>
            <family val="2"/>
          </rPr>
          <t xml:space="preserve">List the DNS name or names that will be assigned to this GTM instance.
If several URLs resolve to a single service, list all the DNS names seperated by a line (ALT+Enter) or comma seperated. 
</t>
        </r>
      </text>
    </comment>
    <comment ref="E2" authorId="0" shapeId="0" xr:uid="{00000000-0006-0000-1900-000005000000}">
      <text>
        <r>
          <rPr>
            <b/>
            <sz val="9"/>
            <color indexed="81"/>
            <rFont val="Tahoma"/>
            <family val="2"/>
          </rPr>
          <t xml:space="preserve">Wide IP Name:
</t>
        </r>
        <r>
          <rPr>
            <sz val="9"/>
            <color indexed="81"/>
            <rFont val="Tahoma"/>
            <family val="2"/>
          </rPr>
          <t>This is a derived column of the A-record of this GTM asset. Copy the name that appears here to the A Record column of the GTM asset on the DNS tab.
-Auto-populated based on Column D</t>
        </r>
      </text>
    </comment>
    <comment ref="F2" authorId="1" shapeId="0" xr:uid="{00000000-0006-0000-1900-000006000000}">
      <text>
        <r>
          <rPr>
            <b/>
            <sz val="9"/>
            <color indexed="81"/>
            <rFont val="Tahoma"/>
            <family val="2"/>
          </rPr>
          <t xml:space="preserve">Load Balanced Pool:
</t>
        </r>
        <r>
          <rPr>
            <sz val="9"/>
            <color indexed="81"/>
            <rFont val="Tahoma"/>
            <family val="2"/>
          </rPr>
          <t xml:space="preserve">Add the A names and ports of the addresses that will be balanced to the Load Balanced Pool. The port is used to check the up/down status of the IP. (Use ALT Enter for new line within cell).
</t>
        </r>
        <r>
          <rPr>
            <u/>
            <sz val="9"/>
            <color indexed="81"/>
            <rFont val="Tahoma"/>
            <family val="2"/>
          </rPr>
          <t xml:space="preserve">Example:
</t>
        </r>
        <r>
          <rPr>
            <sz val="9"/>
            <color indexed="81"/>
            <rFont val="Tahoma"/>
            <family val="2"/>
          </rPr>
          <t xml:space="preserve">10.136.65.100:443   (Alt + Enter)
10.70.96.43:443
</t>
        </r>
      </text>
    </comment>
    <comment ref="G2" authorId="2" shapeId="0" xr:uid="{00000000-0006-0000-1900-000007000000}">
      <text>
        <r>
          <rPr>
            <b/>
            <sz val="9"/>
            <color indexed="81"/>
            <rFont val="Tahoma"/>
            <family val="2"/>
          </rPr>
          <t>Load Balancing Method:</t>
        </r>
        <r>
          <rPr>
            <sz val="9"/>
            <color indexed="81"/>
            <rFont val="Tahoma"/>
            <family val="2"/>
          </rPr>
          <t xml:space="preserve">
Load Balancing Methods must be discussed with the application team and the business customer in order to determine the intent of using GTM, and the best method that suits the business need.
</t>
        </r>
        <r>
          <rPr>
            <b/>
            <sz val="9"/>
            <color indexed="81"/>
            <rFont val="Tahoma"/>
            <family val="2"/>
          </rPr>
          <t>• Round Robin:</t>
        </r>
        <r>
          <rPr>
            <sz val="9"/>
            <color indexed="81"/>
            <rFont val="Tahoma"/>
            <family val="2"/>
          </rPr>
          <t xml:space="preserve"> IPs are delegated evenly. This provides even distribution of traffic and provides fail-over (it is up to the application to synchronize data between data centers).
</t>
        </r>
        <r>
          <rPr>
            <b/>
            <sz val="9"/>
            <color indexed="81"/>
            <rFont val="Tahoma"/>
            <family val="2"/>
          </rPr>
          <t>• Global Availability:</t>
        </r>
        <r>
          <rPr>
            <sz val="9"/>
            <color indexed="81"/>
            <rFont val="Tahoma"/>
            <family val="2"/>
          </rPr>
          <t xml:space="preserve"> Issue the IP of the first A name listed in the Load Balanced Pool column unless that IP is not responding. Then it will move to the next in the list. This is useful if addresses other than the first are  intended only as recovery options.
</t>
        </r>
        <r>
          <rPr>
            <b/>
            <sz val="9"/>
            <color indexed="81"/>
            <rFont val="Tahoma"/>
            <family val="2"/>
          </rPr>
          <t>• Topology:</t>
        </r>
        <r>
          <rPr>
            <sz val="9"/>
            <color indexed="81"/>
            <rFont val="Tahoma"/>
            <family val="2"/>
          </rPr>
          <t xml:space="preserve"> Issue addresses based on the geolocation of the user’s IP. Note that the geolocation of the IP is often that of the customer's Internet Service Provider or a proxy server in a central data center.
</t>
        </r>
        <r>
          <rPr>
            <b/>
            <sz val="9"/>
            <color indexed="81"/>
            <rFont val="Tahoma"/>
            <family val="2"/>
          </rPr>
          <t>• Ratio:</t>
        </r>
        <r>
          <rPr>
            <sz val="9"/>
            <color indexed="81"/>
            <rFont val="Tahoma"/>
            <family val="2"/>
          </rPr>
          <t xml:space="preserve"> IPs are issued according to a predetermined ratio such as 5:1 or 1:10,000. How the addresses are rationed should be recorded in the Notes column.
</t>
        </r>
      </text>
    </comment>
    <comment ref="H2" authorId="2" shapeId="0" xr:uid="{00000000-0006-0000-1900-000008000000}">
      <text>
        <r>
          <rPr>
            <b/>
            <sz val="9"/>
            <color indexed="81"/>
            <rFont val="Tahoma"/>
            <family val="2"/>
          </rPr>
          <t xml:space="preserve">Last Resort Pool:
</t>
        </r>
        <r>
          <rPr>
            <sz val="9"/>
            <color indexed="81"/>
            <rFont val="Tahoma"/>
            <family val="2"/>
          </rPr>
          <t>If GTM has problems determining the ‘up’ status of the addresses in the Load Balanced Pool, it will issue the address listed in the Last Resort Pool. This column can be left blank and will default to the first address listed in the Load Balanced Pool.
IP address: Port</t>
        </r>
      </text>
    </comment>
    <comment ref="I2" authorId="0" shapeId="0" xr:uid="{00000000-0006-0000-1900-000009000000}">
      <text>
        <r>
          <rPr>
            <b/>
            <sz val="9"/>
            <color indexed="81"/>
            <rFont val="Tahoma"/>
            <family val="2"/>
          </rPr>
          <t>Notes:</t>
        </r>
        <r>
          <rPr>
            <sz val="9"/>
            <color indexed="81"/>
            <rFont val="Tahoma"/>
            <family val="2"/>
          </rPr>
          <t xml:space="preserve">
Leave Notes for the network technician who will be setting up GTM -- anything that seems relevant or helpful, as determined by the network SME in the DCC meeting.
If Ratio is selected as a Load Balancing Method, record the decided ratio in this column.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HCSC</author>
  </authors>
  <commentList>
    <comment ref="A4" authorId="0" shapeId="0" xr:uid="{00000000-0006-0000-1A00-000001000000}">
      <text>
        <r>
          <rPr>
            <b/>
            <sz val="8"/>
            <color indexed="81"/>
            <rFont val="Tahoma"/>
            <family val="2"/>
          </rPr>
          <t>Scroll up on worksheet if text is not visible below.
The type column determines the direction of the transactions.
Inbound requests are requests that the Gateway accepts via the DMZ layer.
Outbound requests are requests that are initiated from the Gateway to an external partner/vendor.  
Internal (App-to-App) requests are service requests that are exchanged within the HCSC infrastructure in addition to requests that initiate from the back-end Process Layers and then traverse to external partners/vendors via the DMZ (Outbound Requests).</t>
        </r>
        <r>
          <rPr>
            <sz val="8"/>
            <color indexed="81"/>
            <rFont val="Tahoma"/>
            <family val="2"/>
          </rPr>
          <t xml:space="preserve">
</t>
        </r>
      </text>
    </comment>
    <comment ref="C4" authorId="0" shapeId="0" xr:uid="{00000000-0006-0000-1A00-000002000000}">
      <text>
        <r>
          <rPr>
            <b/>
            <sz val="8"/>
            <color indexed="81"/>
            <rFont val="Tahoma"/>
            <family val="2"/>
          </rPr>
          <t xml:space="preserve">Scroll up on worksheet if text is not visible below.
Required for Inbound requests.  Access to the Datapower in the DMZ is restricted by source IP addresses.  Firewall changes will be required to allow the external partner/vendor connectivity.
DMZ is restricted by source IP addresses.  Firewall changes will be required to allow the external partner/vendor connectivity.
Required for Outbound requests.  The IP address of the external partner/vendor is required so the appropriate VIPs can be created on the external-facing load balancers.
</t>
        </r>
        <r>
          <rPr>
            <sz val="8"/>
            <color indexed="81"/>
            <rFont val="Tahoma"/>
            <family val="2"/>
          </rPr>
          <t xml:space="preserve">
</t>
        </r>
      </text>
    </comment>
    <comment ref="D4" authorId="0" shapeId="0" xr:uid="{00000000-0006-0000-1A00-000003000000}">
      <text>
        <r>
          <rPr>
            <b/>
            <sz val="8"/>
            <color indexed="81"/>
            <rFont val="Tahoma"/>
            <family val="2"/>
          </rPr>
          <t xml:space="preserve">Scroll up on worksheet if text is not visible below.
The URI string for the service request.  The iRule will use this string to redirect the service request.
</t>
        </r>
        <r>
          <rPr>
            <sz val="8"/>
            <color indexed="81"/>
            <rFont val="Tahoma"/>
            <family val="2"/>
          </rPr>
          <t xml:space="preserve">
</t>
        </r>
      </text>
    </comment>
    <comment ref="E4" authorId="0" shapeId="0" xr:uid="{00000000-0006-0000-1A00-000004000000}">
      <text>
        <r>
          <rPr>
            <b/>
            <sz val="8"/>
            <color indexed="81"/>
            <rFont val="Tahoma"/>
            <family val="2"/>
          </rPr>
          <t>Scroll up on worksheet if text is not visible below.
This is the port number on the Gateway that the service will be listening on.  A complete list of service ports are maintained by the Access Channel/Shared Services Team.  Insert the assigned service port into this field so iRule mappings can be properly configured.</t>
        </r>
        <r>
          <rPr>
            <sz val="8"/>
            <color indexed="81"/>
            <rFont val="Tahoma"/>
            <family val="2"/>
          </rPr>
          <t xml:space="preserve">
</t>
        </r>
      </text>
    </comment>
    <comment ref="F4" authorId="0" shapeId="0" xr:uid="{00000000-0006-0000-1A00-000005000000}">
      <text>
        <r>
          <rPr>
            <b/>
            <sz val="8"/>
            <color indexed="81"/>
            <rFont val="Tahoma"/>
            <family val="2"/>
          </rPr>
          <t xml:space="preserve">Scroll up on worksheet if text is not visible below.
Do not edit this field.  All Gateway service ports are bound to a pool.  This information is required for change purposes only.
xi52 IPs:
</t>
        </r>
        <r>
          <rPr>
            <b/>
            <u/>
            <sz val="8"/>
            <color indexed="81"/>
            <rFont val="Tahoma"/>
            <family val="2"/>
          </rPr>
          <t>Test 2.0</t>
        </r>
        <r>
          <rPr>
            <b/>
            <sz val="8"/>
            <color indexed="81"/>
            <rFont val="Tahoma"/>
            <family val="2"/>
          </rPr>
          <t xml:space="preserve">
tWAUdpALLpdl03 10.134.129.172
tWAUdpALLpdl04 10.134.129.173
</t>
        </r>
        <r>
          <rPr>
            <b/>
            <u/>
            <sz val="8"/>
            <color indexed="81"/>
            <rFont val="Tahoma"/>
            <family val="2"/>
          </rPr>
          <t>Prod 2.0</t>
        </r>
        <r>
          <rPr>
            <b/>
            <sz val="8"/>
            <color indexed="81"/>
            <rFont val="Tahoma"/>
            <family val="2"/>
          </rPr>
          <t xml:space="preserve">
pWAUdpALLpdl03 10.136.130.101
pWAUdpALLpdl04 10.136.130.102</t>
        </r>
        <r>
          <rPr>
            <sz val="8"/>
            <color indexed="81"/>
            <rFont val="Tahoma"/>
            <family val="2"/>
          </rPr>
          <t xml:space="preserve">
 </t>
        </r>
      </text>
    </comment>
    <comment ref="G4" authorId="0" shapeId="0" xr:uid="{00000000-0006-0000-1A00-000006000000}">
      <text>
        <r>
          <rPr>
            <b/>
            <sz val="8"/>
            <color indexed="81"/>
            <rFont val="Tahoma"/>
            <family val="2"/>
          </rPr>
          <t xml:space="preserve">Scroll up on worksheet if text is not visible below.
Do not edit this field.  The iRule that will be changed.  This information is required for change purposes only.
</t>
        </r>
        <r>
          <rPr>
            <sz val="8"/>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Stephan J Cierniak</author>
    <author>Steve Cierniak</author>
    <author>HCSC</author>
  </authors>
  <commentList>
    <comment ref="A2" authorId="0" shapeId="0" xr:uid="{00000000-0006-0000-1B00-000001000000}">
      <text>
        <r>
          <rPr>
            <b/>
            <sz val="9"/>
            <color indexed="81"/>
            <rFont val="Tahoma"/>
            <family val="2"/>
          </rPr>
          <t>Application Name:</t>
        </r>
        <r>
          <rPr>
            <sz val="9"/>
            <color indexed="81"/>
            <rFont val="Tahoma"/>
            <family val="2"/>
          </rPr>
          <t xml:space="preserve">
Application Name copied from Project Details tab.</t>
        </r>
      </text>
    </comment>
    <comment ref="A3" authorId="1" shapeId="0" xr:uid="{00000000-0006-0000-1B00-000002000000}">
      <text>
        <r>
          <rPr>
            <b/>
            <sz val="9"/>
            <color indexed="81"/>
            <rFont val="Tahoma"/>
            <family val="2"/>
          </rPr>
          <t>Application Short Name:</t>
        </r>
        <r>
          <rPr>
            <sz val="9"/>
            <color indexed="81"/>
            <rFont val="Tahoma"/>
            <family val="2"/>
          </rPr>
          <t xml:space="preserve">
3 - 4 character abbreviation of the application name, used to create AppNPID &amp; Appgroup &amp; Svrconn Channel name.
Unofficial - not standard</t>
        </r>
      </text>
    </comment>
    <comment ref="A5" authorId="0" shapeId="0" xr:uid="{00000000-0006-0000-1B00-000003000000}">
      <text>
        <r>
          <rPr>
            <b/>
            <sz val="9"/>
            <color indexed="81"/>
            <rFont val="Tahoma"/>
            <family val="2"/>
          </rPr>
          <t>Application Technical Contact:</t>
        </r>
        <r>
          <rPr>
            <sz val="9"/>
            <color indexed="81"/>
            <rFont val="Tahoma"/>
            <family val="2"/>
          </rPr>
          <t xml:space="preserve">
Application Technical contact copied from Project Details tab, Technical_contact</t>
        </r>
      </text>
    </comment>
    <comment ref="A6" authorId="0" shapeId="0" xr:uid="{00000000-0006-0000-1B00-000004000000}">
      <text>
        <r>
          <rPr>
            <b/>
            <sz val="9"/>
            <color indexed="81"/>
            <rFont val="Tahoma"/>
            <family val="2"/>
          </rPr>
          <t>Application Support Team:</t>
        </r>
        <r>
          <rPr>
            <sz val="9"/>
            <color indexed="81"/>
            <rFont val="Tahoma"/>
            <family val="2"/>
          </rPr>
          <t xml:space="preserve">
Application Support Team copied from Project Details tab, app_support_team</t>
        </r>
      </text>
    </comment>
    <comment ref="A7" authorId="0" shapeId="0" xr:uid="{00000000-0006-0000-1B00-000005000000}">
      <text>
        <r>
          <rPr>
            <b/>
            <sz val="9"/>
            <color indexed="81"/>
            <rFont val="Tahoma"/>
            <family val="2"/>
          </rPr>
          <t>Application Support Team email:</t>
        </r>
        <r>
          <rPr>
            <sz val="9"/>
            <color indexed="81"/>
            <rFont val="Tahoma"/>
            <family val="2"/>
          </rPr>
          <t xml:space="preserve">
Application Support Team email copied from Project Details tab, app_support_team_email</t>
        </r>
      </text>
    </comment>
    <comment ref="A8" authorId="2" shapeId="0" xr:uid="{00000000-0006-0000-1B00-000006000000}">
      <text>
        <r>
          <rPr>
            <b/>
            <sz val="8"/>
            <color indexed="81"/>
            <rFont val="Tahoma"/>
            <family val="2"/>
          </rPr>
          <t>HCSC:</t>
        </r>
        <r>
          <rPr>
            <sz val="8"/>
            <color indexed="81"/>
            <rFont val="Tahoma"/>
            <family val="2"/>
          </rPr>
          <t xml:space="preserve">
Select MQ Host Name from dropdown.  </t>
        </r>
      </text>
    </comment>
    <comment ref="B8" authorId="2" shapeId="0" xr:uid="{00000000-0006-0000-1B00-000007000000}">
      <text>
        <r>
          <rPr>
            <b/>
            <sz val="8"/>
            <color indexed="81"/>
            <rFont val="Tahoma"/>
            <family val="2"/>
          </rPr>
          <t>HCSC:</t>
        </r>
        <r>
          <rPr>
            <sz val="8"/>
            <color indexed="81"/>
            <rFont val="Tahoma"/>
            <family val="2"/>
          </rPr>
          <t xml:space="preserve">
Select Queue Manager from dropdown.  
(choices vary based on MQ Host Name)</t>
        </r>
      </text>
    </comment>
    <comment ref="C8" authorId="2" shapeId="0" xr:uid="{00000000-0006-0000-1B00-000008000000}">
      <text>
        <r>
          <rPr>
            <b/>
            <sz val="8"/>
            <color indexed="81"/>
            <rFont val="Tahoma"/>
            <family val="2"/>
          </rPr>
          <t>HCSC:</t>
        </r>
        <r>
          <rPr>
            <sz val="8"/>
            <color indexed="81"/>
            <rFont val="Tahoma"/>
            <family val="2"/>
          </rPr>
          <t xml:space="preserve">
Auto-populated</t>
        </r>
      </text>
    </comment>
    <comment ref="D8" authorId="2" shapeId="0" xr:uid="{00000000-0006-0000-1B00-000009000000}">
      <text>
        <r>
          <rPr>
            <b/>
            <sz val="8"/>
            <color indexed="81"/>
            <rFont val="Tahoma"/>
            <family val="2"/>
          </rPr>
          <t>HCSC:</t>
        </r>
        <r>
          <rPr>
            <sz val="8"/>
            <color indexed="81"/>
            <rFont val="Tahoma"/>
            <family val="2"/>
          </rPr>
          <t xml:space="preserve">
Auto-populated</t>
        </r>
      </text>
    </comment>
    <comment ref="E8" authorId="2" shapeId="0" xr:uid="{00000000-0006-0000-1B00-00000A000000}">
      <text>
        <r>
          <rPr>
            <b/>
            <sz val="8"/>
            <color indexed="81"/>
            <rFont val="Tahoma"/>
            <family val="2"/>
          </rPr>
          <t>HCSC:</t>
        </r>
        <r>
          <rPr>
            <sz val="8"/>
            <color indexed="81"/>
            <rFont val="Tahoma"/>
            <family val="2"/>
          </rPr>
          <t xml:space="preserve">
Auto-populated</t>
        </r>
      </text>
    </comment>
    <comment ref="F8" authorId="2" shapeId="0" xr:uid="{00000000-0006-0000-1B00-00000B000000}">
      <text>
        <r>
          <rPr>
            <b/>
            <sz val="8"/>
            <color indexed="81"/>
            <rFont val="Tahoma"/>
            <family val="2"/>
          </rPr>
          <t>HCSC:</t>
        </r>
        <r>
          <rPr>
            <sz val="8"/>
            <color indexed="81"/>
            <rFont val="Tahoma"/>
            <family val="2"/>
          </rPr>
          <t xml:space="preserve">
Auto-populated</t>
        </r>
      </text>
    </comment>
    <comment ref="H8" authorId="1" shapeId="0" xr:uid="{00000000-0006-0000-1B00-00000C000000}">
      <text>
        <r>
          <rPr>
            <b/>
            <sz val="9"/>
            <color indexed="81"/>
            <rFont val="Tahoma"/>
            <family val="2"/>
          </rPr>
          <t>Non-Person Application ID:</t>
        </r>
        <r>
          <rPr>
            <sz val="9"/>
            <color indexed="81"/>
            <rFont val="Tahoma"/>
            <family val="2"/>
          </rPr>
          <t xml:space="preserve">
&lt;Application shortname&gt;+"app"
example:  rsaapp</t>
        </r>
      </text>
    </comment>
    <comment ref="I8" authorId="1" shapeId="0" xr:uid="{00000000-0006-0000-1B00-00000D000000}">
      <text>
        <r>
          <rPr>
            <b/>
            <sz val="9"/>
            <color indexed="81"/>
            <rFont val="Tahoma"/>
            <family val="2"/>
          </rPr>
          <t>Application group:</t>
        </r>
        <r>
          <rPr>
            <sz val="9"/>
            <color indexed="81"/>
            <rFont val="Tahoma"/>
            <family val="2"/>
          </rPr>
          <t xml:space="preserve">
&lt;Application shortname&gt;+"gp"
example:  rsaapp</t>
        </r>
      </text>
    </comment>
    <comment ref="J8" authorId="2" shapeId="0" xr:uid="{00000000-0006-0000-1B00-00000E000000}">
      <text>
        <r>
          <rPr>
            <b/>
            <sz val="8"/>
            <color indexed="81"/>
            <rFont val="Tahoma"/>
            <family val="2"/>
          </rPr>
          <t>HCSC:</t>
        </r>
        <r>
          <rPr>
            <sz val="8"/>
            <color indexed="81"/>
            <rFont val="Tahoma"/>
            <family val="2"/>
          </rPr>
          <t xml:space="preserve">
Select from dropdown</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Steve Cierniak</author>
  </authors>
  <commentList>
    <comment ref="D2" authorId="0" shapeId="0" xr:uid="{00000000-0006-0000-1C00-000001000000}">
      <text>
        <r>
          <rPr>
            <b/>
            <sz val="9"/>
            <color indexed="81"/>
            <rFont val="Tahoma"/>
            <family val="2"/>
          </rPr>
          <t>Platform:</t>
        </r>
        <r>
          <rPr>
            <sz val="9"/>
            <color indexed="81"/>
            <rFont val="Tahoma"/>
            <family val="2"/>
          </rPr>
          <t xml:space="preserve">
What type of server</t>
        </r>
      </text>
    </comment>
    <comment ref="E2" authorId="0" shapeId="0" xr:uid="{00000000-0006-0000-1C00-000002000000}">
      <text>
        <r>
          <rPr>
            <b/>
            <sz val="9"/>
            <color indexed="81"/>
            <rFont val="Tahoma"/>
            <family val="2"/>
          </rPr>
          <t>Function:</t>
        </r>
        <r>
          <rPr>
            <sz val="9"/>
            <color indexed="81"/>
            <rFont val="Tahoma"/>
            <family val="2"/>
          </rPr>
          <t xml:space="preserve">
App server or DB Server and type - Uses Description in D/A Tab Coumn 4
</t>
        </r>
      </text>
    </comment>
    <comment ref="H2" authorId="0" shapeId="0" xr:uid="{00000000-0006-0000-1C00-000003000000}">
      <text>
        <r>
          <rPr>
            <b/>
            <sz val="9"/>
            <color indexed="81"/>
            <rFont val="Tahoma"/>
            <family val="2"/>
          </rPr>
          <t>Device Groups:</t>
        </r>
        <r>
          <rPr>
            <sz val="9"/>
            <color indexed="81"/>
            <rFont val="Tahoma"/>
            <family val="2"/>
          </rPr>
          <t xml:space="preserve">
ECS Team responsible for server</t>
        </r>
      </text>
    </comment>
    <comment ref="I2" authorId="0" shapeId="0" xr:uid="{00000000-0006-0000-1C00-000004000000}">
      <text>
        <r>
          <rPr>
            <b/>
            <sz val="9"/>
            <color indexed="81"/>
            <rFont val="Tahoma"/>
            <family val="2"/>
          </rPr>
          <t>Oracle Rac:</t>
        </r>
        <r>
          <rPr>
            <sz val="9"/>
            <color indexed="81"/>
            <rFont val="Tahoma"/>
            <family val="2"/>
          </rPr>
          <t xml:space="preserve">
IS Oracle Rac being used?</t>
        </r>
      </text>
    </comment>
    <comment ref="J2" authorId="0" shapeId="0" xr:uid="{00000000-0006-0000-1C00-000005000000}">
      <text>
        <r>
          <rPr>
            <b/>
            <sz val="9"/>
            <color indexed="81"/>
            <rFont val="Tahoma"/>
            <family val="2"/>
          </rPr>
          <t>Asynchronous Storage management (ASM):</t>
        </r>
        <r>
          <rPr>
            <sz val="9"/>
            <color indexed="81"/>
            <rFont val="Tahoma"/>
            <family val="2"/>
          </rPr>
          <t xml:space="preserve">
Pertain only to Oracle
If using ASM, an additional UNIX type of account called grid needs to be vaulted. Note there are several examples of these account types already in Ca-PAM.s</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Mark Tomlinson</author>
    <author>HCSC</author>
  </authors>
  <commentList>
    <comment ref="A8" authorId="0" shapeId="0" xr:uid="{00000000-0006-0000-1D00-000001000000}">
      <text>
        <r>
          <rPr>
            <b/>
            <sz val="9"/>
            <color indexed="81"/>
            <rFont val="Tahoma"/>
            <family val="2"/>
          </rPr>
          <t>IP Asset Number:</t>
        </r>
        <r>
          <rPr>
            <sz val="9"/>
            <color indexed="81"/>
            <rFont val="Tahoma"/>
            <family val="2"/>
          </rPr>
          <t xml:space="preserve">
The IPs that the monitoring tools will check to determine if the servers are up or down. List only one IP per server; usually be the Application Interface IP. All new servers need to be listed.
</t>
        </r>
      </text>
    </comment>
    <comment ref="B8" authorId="0" shapeId="0" xr:uid="{00000000-0006-0000-1D00-000002000000}">
      <text>
        <r>
          <rPr>
            <b/>
            <sz val="9"/>
            <color indexed="81"/>
            <rFont val="Tahoma"/>
            <family val="2"/>
          </rPr>
          <t>Server Name:</t>
        </r>
        <r>
          <rPr>
            <sz val="9"/>
            <color indexed="81"/>
            <rFont val="Tahoma"/>
            <family val="2"/>
          </rPr>
          <t xml:space="preserve">
Auto-filled with the server name as found on the IP tab.</t>
        </r>
      </text>
    </comment>
    <comment ref="C8" authorId="0" shapeId="0" xr:uid="{00000000-0006-0000-1D00-000003000000}">
      <text>
        <r>
          <rPr>
            <b/>
            <sz val="9"/>
            <color indexed="81"/>
            <rFont val="Tahoma"/>
            <family val="2"/>
          </rPr>
          <t>New / Existing Server:</t>
        </r>
        <r>
          <rPr>
            <sz val="9"/>
            <color indexed="81"/>
            <rFont val="Tahoma"/>
            <family val="2"/>
          </rPr>
          <t xml:space="preserve">
Auto-filled from the Distributed Assets tab.</t>
        </r>
      </text>
    </comment>
    <comment ref="D8" authorId="0" shapeId="0" xr:uid="{00000000-0006-0000-1D00-000004000000}">
      <text>
        <r>
          <rPr>
            <b/>
            <sz val="9"/>
            <color indexed="81"/>
            <rFont val="Tahoma"/>
            <family val="2"/>
          </rPr>
          <t>IP Address:</t>
        </r>
        <r>
          <rPr>
            <sz val="9"/>
            <color indexed="81"/>
            <rFont val="Tahoma"/>
            <family val="2"/>
          </rPr>
          <t xml:space="preserve">
Auto-filled from the IP tab.</t>
        </r>
      </text>
    </comment>
    <comment ref="E8" authorId="1" shapeId="0" xr:uid="{00000000-0006-0000-1D00-000005000000}">
      <text>
        <r>
          <rPr>
            <b/>
            <sz val="9"/>
            <color indexed="81"/>
            <rFont val="Tahoma"/>
            <family val="2"/>
          </rPr>
          <t xml:space="preserve">Does it host JVMs?:
</t>
        </r>
        <r>
          <rPr>
            <sz val="9"/>
            <color indexed="81"/>
            <rFont val="Tahoma"/>
            <family val="2"/>
          </rPr>
          <t>Indicates whether the server should be monitored with tools designed for WebSphere and Tomcat. Java application servers only should be added here -- do not include IIS / ASP.NET applications servers.</t>
        </r>
      </text>
    </comment>
    <comment ref="F8" authorId="1" shapeId="0" xr:uid="{00000000-0006-0000-1D00-000006000000}">
      <text>
        <r>
          <rPr>
            <b/>
            <sz val="9"/>
            <color indexed="81"/>
            <rFont val="Tahoma"/>
            <family val="2"/>
          </rPr>
          <t>Monitoring Policies:</t>
        </r>
        <r>
          <rPr>
            <sz val="9"/>
            <color indexed="81"/>
            <rFont val="Tahoma"/>
            <family val="2"/>
          </rPr>
          <t xml:space="preserve">
Entered by the Monitoring team.
You may use Alt Enter to enter multiple lines per server.
</t>
        </r>
        <r>
          <rPr>
            <u/>
            <sz val="9"/>
            <color indexed="81"/>
            <rFont val="Tahoma"/>
            <family val="2"/>
          </rPr>
          <t>Examples:</t>
        </r>
        <r>
          <rPr>
            <sz val="9"/>
            <color indexed="81"/>
            <rFont val="Tahoma"/>
            <family val="2"/>
          </rPr>
          <t xml:space="preserve">
prod_win_base
prod_win_eivr_base
prod_jvm_base
prod_lin_base</t>
        </r>
      </text>
    </comment>
    <comment ref="G8" authorId="1" shapeId="0" xr:uid="{00000000-0006-0000-1D00-000007000000}">
      <text>
        <r>
          <rPr>
            <b/>
            <sz val="9"/>
            <color indexed="81"/>
            <rFont val="Tahoma"/>
            <family val="2"/>
          </rPr>
          <t xml:space="preserve">Message Groups:
</t>
        </r>
        <r>
          <rPr>
            <sz val="9"/>
            <color indexed="81"/>
            <rFont val="Tahoma"/>
            <family val="2"/>
          </rPr>
          <t xml:space="preserve">Entered by the Monitoring team.
</t>
        </r>
        <r>
          <rPr>
            <u/>
            <sz val="9"/>
            <color indexed="81"/>
            <rFont val="Tahoma"/>
            <family val="2"/>
          </rPr>
          <t>Examples:</t>
        </r>
        <r>
          <rPr>
            <sz val="9"/>
            <color indexed="81"/>
            <rFont val="Tahoma"/>
            <family val="2"/>
          </rPr>
          <t xml:space="preserve">
OS Windows
EIVR
</t>
        </r>
      </text>
    </comment>
    <comment ref="H8" authorId="1" shapeId="0" xr:uid="{00000000-0006-0000-1D00-000008000000}">
      <text>
        <r>
          <rPr>
            <b/>
            <sz val="9"/>
            <color indexed="81"/>
            <rFont val="Tahoma"/>
            <family val="2"/>
          </rPr>
          <t>File Spaces:</t>
        </r>
        <r>
          <rPr>
            <sz val="9"/>
            <color indexed="81"/>
            <rFont val="Tahoma"/>
            <family val="2"/>
          </rPr>
          <t xml:space="preserve">
Entered by the Monitoring team.
Information may be located on the Storage Tab.
</t>
        </r>
      </text>
    </comment>
    <comment ref="I8" authorId="0" shapeId="0" xr:uid="{00000000-0006-0000-1D00-000009000000}">
      <text>
        <r>
          <rPr>
            <b/>
            <sz val="9"/>
            <color indexed="81"/>
            <rFont val="Tahoma"/>
            <family val="2"/>
          </rPr>
          <t>Any other processes to monitor:</t>
        </r>
        <r>
          <rPr>
            <sz val="9"/>
            <color indexed="81"/>
            <rFont val="Tahoma"/>
            <family val="2"/>
          </rPr>
          <t xml:space="preserve">
Entered by the Monitoring team.</t>
        </r>
      </text>
    </comment>
    <comment ref="J8" authorId="0" shapeId="0" xr:uid="{00000000-0006-0000-1D00-00000A000000}">
      <text>
        <r>
          <rPr>
            <b/>
            <sz val="9"/>
            <color indexed="81"/>
            <rFont val="Tahoma"/>
            <family val="2"/>
          </rPr>
          <t>Notify Whom:</t>
        </r>
        <r>
          <rPr>
            <sz val="9"/>
            <color indexed="81"/>
            <rFont val="Tahoma"/>
            <family val="2"/>
          </rPr>
          <t xml:space="preserve">
Entered by the Monitoring team.</t>
        </r>
      </text>
    </comment>
    <comment ref="K8" authorId="0" shapeId="0" xr:uid="{00000000-0006-0000-1D00-00000B000000}">
      <text>
        <r>
          <rPr>
            <b/>
            <sz val="9"/>
            <color indexed="81"/>
            <rFont val="Tahoma"/>
            <family val="2"/>
          </rPr>
          <t>Asset:</t>
        </r>
        <r>
          <rPr>
            <sz val="9"/>
            <color indexed="81"/>
            <rFont val="Tahoma"/>
            <family val="2"/>
          </rPr>
          <t xml:space="preserve">
Auto-filled from the Distributed Assets tab.</t>
        </r>
      </text>
    </comment>
    <comment ref="A40" authorId="1" shapeId="0" xr:uid="{00000000-0006-0000-1D00-00000C000000}">
      <text>
        <r>
          <rPr>
            <b/>
            <sz val="9"/>
            <color indexed="81"/>
            <rFont val="Tahoma"/>
            <family val="2"/>
          </rPr>
          <t xml:space="preserve">Type:
</t>
        </r>
        <r>
          <rPr>
            <sz val="9"/>
            <color indexed="81"/>
            <rFont val="Tahoma"/>
            <family val="2"/>
          </rPr>
          <t xml:space="preserve">Entered by the Monitoring team.
Enter Type  of URL.
</t>
        </r>
        <r>
          <rPr>
            <u/>
            <sz val="9"/>
            <color indexed="81"/>
            <rFont val="Tahoma"/>
            <family val="2"/>
          </rPr>
          <t>Examples:</t>
        </r>
        <r>
          <rPr>
            <sz val="9"/>
            <color indexed="81"/>
            <rFont val="Tahoma"/>
            <family val="2"/>
          </rPr>
          <t xml:space="preserve">
'IHS Instance 1
Home Page 1
JVM Home Page 1</t>
        </r>
      </text>
    </comment>
    <comment ref="B40" authorId="1" shapeId="0" xr:uid="{00000000-0006-0000-1D00-00000D000000}">
      <text>
        <r>
          <rPr>
            <b/>
            <sz val="9"/>
            <color indexed="81"/>
            <rFont val="Tahoma"/>
            <family val="2"/>
          </rPr>
          <t xml:space="preserve">URL:
</t>
        </r>
        <r>
          <rPr>
            <sz val="9"/>
            <color indexed="81"/>
            <rFont val="Tahoma"/>
            <family val="2"/>
          </rPr>
          <t xml:space="preserve">Entered by the Monitoring team.
URLs will need to be obtained manually
</t>
        </r>
      </text>
    </comment>
    <comment ref="E40" authorId="1" shapeId="0" xr:uid="{00000000-0006-0000-1D00-00000E000000}">
      <text>
        <r>
          <rPr>
            <b/>
            <sz val="9"/>
            <color indexed="81"/>
            <rFont val="Tahoma"/>
            <family val="2"/>
          </rPr>
          <t>OK:</t>
        </r>
        <r>
          <rPr>
            <sz val="9"/>
            <color indexed="81"/>
            <rFont val="Tahoma"/>
            <family val="2"/>
          </rPr>
          <t xml:space="preserve">
Entered by the Monitoring team.
Enter Threshold of acceptable performance.
 i.e. &lt;1s
</t>
        </r>
      </text>
    </comment>
    <comment ref="F40" authorId="1" shapeId="0" xr:uid="{00000000-0006-0000-1D00-00000F000000}">
      <text>
        <r>
          <rPr>
            <b/>
            <sz val="9"/>
            <color indexed="81"/>
            <rFont val="Tahoma"/>
            <family val="2"/>
          </rPr>
          <t xml:space="preserve">Minor:
</t>
        </r>
        <r>
          <rPr>
            <sz val="9"/>
            <color indexed="81"/>
            <rFont val="Tahoma"/>
            <family val="2"/>
          </rPr>
          <t>Entered by the Monitoring team.
Enter Threshold of Minor Alarm Level.
 i.e. &lt;3s</t>
        </r>
      </text>
    </comment>
    <comment ref="G40" authorId="1" shapeId="0" xr:uid="{00000000-0006-0000-1D00-000010000000}">
      <text>
        <r>
          <rPr>
            <b/>
            <sz val="9"/>
            <color indexed="81"/>
            <rFont val="Tahoma"/>
            <family val="2"/>
          </rPr>
          <t xml:space="preserve">Critical:
</t>
        </r>
        <r>
          <rPr>
            <sz val="9"/>
            <color indexed="81"/>
            <rFont val="Tahoma"/>
            <family val="2"/>
          </rPr>
          <t xml:space="preserve">Entered by the Monitoring team.
Enter Threshold of Major Alarm Level.
 i.e. &gt;5s
</t>
        </r>
      </text>
    </comment>
    <comment ref="A51" authorId="0" shapeId="0" xr:uid="{00000000-0006-0000-1D00-000011000000}">
      <text>
        <r>
          <rPr>
            <b/>
            <sz val="9"/>
            <color indexed="81"/>
            <rFont val="Tahoma"/>
            <family val="2"/>
          </rPr>
          <t>Asset Number:</t>
        </r>
        <r>
          <rPr>
            <sz val="9"/>
            <color indexed="81"/>
            <rFont val="Tahoma"/>
            <family val="2"/>
          </rPr>
          <t xml:space="preserve">
Database instances may be listed here. This column is the IPs that the monitoring tools will check to determine if the databases are up or down. This IP must be the IP that the database instance is listening on. In a clustered configuration, this will be the virtual IP rather than the Application Interface IP. In an active/active configuration, list only the IP of the database(s) created in this LBoM.
</t>
        </r>
      </text>
    </comment>
    <comment ref="B51" authorId="1" shapeId="0" xr:uid="{00000000-0006-0000-1D00-000012000000}">
      <text>
        <r>
          <rPr>
            <b/>
            <sz val="9"/>
            <color indexed="81"/>
            <rFont val="Tahoma"/>
            <family val="2"/>
          </rPr>
          <t>Hostname:</t>
        </r>
        <r>
          <rPr>
            <sz val="9"/>
            <color indexed="81"/>
            <rFont val="Tahoma"/>
            <family val="2"/>
          </rPr>
          <t xml:space="preserve">
Auto-filled from IP Tab.
</t>
        </r>
      </text>
    </comment>
    <comment ref="C51" authorId="1" shapeId="0" xr:uid="{00000000-0006-0000-1D00-000013000000}">
      <text>
        <r>
          <rPr>
            <b/>
            <sz val="9"/>
            <color indexed="81"/>
            <rFont val="Tahoma"/>
            <family val="2"/>
          </rPr>
          <t>Instance Name:</t>
        </r>
        <r>
          <rPr>
            <sz val="9"/>
            <color indexed="81"/>
            <rFont val="Tahoma"/>
            <family val="2"/>
          </rPr>
          <t xml:space="preserve">
Auto-filled from the Database (All) tab.
</t>
        </r>
      </text>
    </comment>
    <comment ref="D51" authorId="1" shapeId="0" xr:uid="{00000000-0006-0000-1D00-000014000000}">
      <text>
        <r>
          <rPr>
            <b/>
            <sz val="9"/>
            <color indexed="81"/>
            <rFont val="Tahoma"/>
            <family val="2"/>
          </rPr>
          <t>Instance Port:</t>
        </r>
        <r>
          <rPr>
            <sz val="9"/>
            <color indexed="81"/>
            <rFont val="Tahoma"/>
            <family val="2"/>
          </rPr>
          <t xml:space="preserve">
Auto-filled from the Database (All) Tab.
</t>
        </r>
      </text>
    </comment>
    <comment ref="E51" authorId="1" shapeId="0" xr:uid="{00000000-0006-0000-1D00-000015000000}">
      <text>
        <r>
          <rPr>
            <b/>
            <sz val="9"/>
            <color indexed="81"/>
            <rFont val="Tahoma"/>
            <family val="2"/>
          </rPr>
          <t>Database Name:</t>
        </r>
        <r>
          <rPr>
            <sz val="9"/>
            <color indexed="81"/>
            <rFont val="Tahoma"/>
            <family val="2"/>
          </rPr>
          <t xml:space="preserve">
Auto-filled from the Database (All) Tab.
</t>
        </r>
      </text>
    </comment>
    <comment ref="F51" authorId="1" shapeId="0" xr:uid="{00000000-0006-0000-1D00-000016000000}">
      <text>
        <r>
          <rPr>
            <b/>
            <sz val="9"/>
            <color indexed="81"/>
            <rFont val="Tahoma"/>
            <family val="2"/>
          </rPr>
          <t xml:space="preserve">Severity:
</t>
        </r>
        <r>
          <rPr>
            <sz val="9"/>
            <color indexed="81"/>
            <rFont val="Tahoma"/>
            <family val="2"/>
          </rPr>
          <t xml:space="preserve">Entered by the Monitoring team.
</t>
        </r>
      </text>
    </comment>
    <comment ref="G51" authorId="1" shapeId="0" xr:uid="{00000000-0006-0000-1D00-000017000000}">
      <text>
        <r>
          <rPr>
            <b/>
            <sz val="9"/>
            <color indexed="81"/>
            <rFont val="Tahoma"/>
            <family val="2"/>
          </rPr>
          <t xml:space="preserve">SQL Statement Prototype:
</t>
        </r>
        <r>
          <rPr>
            <sz val="9"/>
            <color indexed="81"/>
            <rFont val="Tahoma"/>
            <family val="2"/>
          </rPr>
          <t xml:space="preserve">Entered by the Monitoring team.
</t>
        </r>
      </text>
    </comment>
    <comment ref="H51" authorId="1" shapeId="0" xr:uid="{00000000-0006-0000-1D00-000018000000}">
      <text>
        <r>
          <rPr>
            <b/>
            <sz val="9"/>
            <color indexed="81"/>
            <rFont val="Tahoma"/>
            <family val="2"/>
          </rPr>
          <t xml:space="preserve">Message(Optional):
</t>
        </r>
        <r>
          <rPr>
            <sz val="9"/>
            <color indexed="81"/>
            <rFont val="Tahoma"/>
            <family val="2"/>
          </rPr>
          <t xml:space="preserve">Entered by the Monitoring team.
</t>
        </r>
      </text>
    </comment>
    <comment ref="J51" authorId="0" shapeId="0" xr:uid="{00000000-0006-0000-1D00-000019000000}">
      <text>
        <r>
          <rPr>
            <b/>
            <sz val="9"/>
            <color indexed="81"/>
            <rFont val="Tahoma"/>
            <family val="2"/>
          </rPr>
          <t>Notify Whom:</t>
        </r>
        <r>
          <rPr>
            <sz val="9"/>
            <color indexed="81"/>
            <rFont val="Tahoma"/>
            <family val="2"/>
          </rPr>
          <t xml:space="preserve">
The name of the application team member or the email address of the application team that should be notified if the database fails.
</t>
        </r>
      </text>
    </comment>
    <comment ref="K51" authorId="0" shapeId="0" xr:uid="{00000000-0006-0000-1D00-00001A000000}">
      <text>
        <r>
          <rPr>
            <b/>
            <sz val="9"/>
            <color indexed="81"/>
            <rFont val="Tahoma"/>
            <family val="2"/>
          </rPr>
          <t>Asset:</t>
        </r>
        <r>
          <rPr>
            <sz val="9"/>
            <color indexed="81"/>
            <rFont val="Tahoma"/>
            <family val="2"/>
          </rPr>
          <t xml:space="preserve">
Auto-filled from the Distributed Assets tab.</t>
        </r>
      </text>
    </comment>
    <comment ref="C65" authorId="1" shapeId="0" xr:uid="{00000000-0006-0000-1D00-00001B000000}">
      <text>
        <r>
          <rPr>
            <b/>
            <sz val="9"/>
            <color indexed="81"/>
            <rFont val="Tahoma"/>
            <family val="2"/>
          </rPr>
          <t xml:space="preserve">Need SOAP Request:
</t>
        </r>
        <r>
          <rPr>
            <sz val="9"/>
            <color indexed="81"/>
            <rFont val="Tahoma"/>
            <family val="2"/>
          </rPr>
          <t xml:space="preserve">Entered by the Monitoring team.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HCSC User</author>
    <author>Cara  Gilmore</author>
  </authors>
  <commentList>
    <comment ref="A9" authorId="0" shapeId="0" xr:uid="{00000000-0006-0000-1E00-000001000000}">
      <text>
        <r>
          <rPr>
            <b/>
            <sz val="9"/>
            <color indexed="81"/>
            <rFont val="Tahoma"/>
            <family val="2"/>
          </rPr>
          <t xml:space="preserve">Asset #
</t>
        </r>
        <r>
          <rPr>
            <sz val="9"/>
            <color indexed="81"/>
            <rFont val="Tahoma"/>
            <family val="2"/>
          </rPr>
          <t xml:space="preserve">This field will autopopulate based on the LBOM Number and append a D to it. 
</t>
        </r>
      </text>
    </comment>
    <comment ref="B9" authorId="0" shapeId="0" xr:uid="{00000000-0006-0000-1E00-000002000000}">
      <text>
        <r>
          <rPr>
            <b/>
            <sz val="9"/>
            <color indexed="81"/>
            <rFont val="Tahoma"/>
            <family val="2"/>
          </rPr>
          <t>Legacy A-Record:</t>
        </r>
        <r>
          <rPr>
            <sz val="9"/>
            <color indexed="81"/>
            <rFont val="Tahoma"/>
            <family val="2"/>
          </rPr>
          <t xml:space="preserve">
This field would be for the FQDN and will be used as a drop down box in the bottom section below.</t>
        </r>
      </text>
    </comment>
    <comment ref="C9" authorId="0" shapeId="0" xr:uid="{00000000-0006-0000-1E00-000003000000}">
      <text>
        <r>
          <rPr>
            <b/>
            <sz val="9"/>
            <color indexed="81"/>
            <rFont val="Tahoma"/>
            <family val="2"/>
          </rPr>
          <t xml:space="preserve">Legacy Hostname:
</t>
        </r>
        <r>
          <rPr>
            <sz val="9"/>
            <color indexed="81"/>
            <rFont val="Tahoma"/>
            <family val="2"/>
          </rPr>
          <t xml:space="preserve">This field will autopopulate from Distributed Assets tab.
</t>
        </r>
      </text>
    </comment>
    <comment ref="D9" authorId="0" shapeId="0" xr:uid="{00000000-0006-0000-1E00-000004000000}">
      <text>
        <r>
          <rPr>
            <b/>
            <sz val="9"/>
            <color indexed="81"/>
            <rFont val="Tahoma"/>
            <family val="2"/>
          </rPr>
          <t xml:space="preserve">Legacy IP address:
</t>
        </r>
        <r>
          <rPr>
            <sz val="9"/>
            <color indexed="81"/>
            <rFont val="Tahoma"/>
            <family val="2"/>
          </rPr>
          <t xml:space="preserve">This field will autopopulate from Distributed Assets tab.
</t>
        </r>
      </text>
    </comment>
    <comment ref="E9" authorId="0" shapeId="0" xr:uid="{00000000-0006-0000-1E00-000005000000}">
      <text>
        <r>
          <rPr>
            <b/>
            <sz val="9"/>
            <color indexed="81"/>
            <rFont val="Tahoma"/>
            <family val="2"/>
          </rPr>
          <t xml:space="preserve">Future State Hostname:
</t>
        </r>
        <r>
          <rPr>
            <sz val="9"/>
            <color indexed="81"/>
            <rFont val="Tahoma"/>
            <family val="2"/>
          </rPr>
          <t xml:space="preserve">This field will autopopulate from Distributed Assets tab.
</t>
        </r>
      </text>
    </comment>
    <comment ref="F9" authorId="0" shapeId="0" xr:uid="{00000000-0006-0000-1E00-000006000000}">
      <text>
        <r>
          <rPr>
            <b/>
            <sz val="9"/>
            <color indexed="81"/>
            <rFont val="Tahoma"/>
            <family val="2"/>
          </rPr>
          <t xml:space="preserve">Future State IP Address:
</t>
        </r>
        <r>
          <rPr>
            <sz val="9"/>
            <color indexed="81"/>
            <rFont val="Tahoma"/>
            <family val="2"/>
          </rPr>
          <t xml:space="preserve">This field will autopopulate from IP tab based on the hostname in Column E.
</t>
        </r>
      </text>
    </comment>
    <comment ref="G9" authorId="0" shapeId="0" xr:uid="{00000000-0006-0000-1E00-000007000000}">
      <text>
        <r>
          <rPr>
            <b/>
            <sz val="9"/>
            <color indexed="81"/>
            <rFont val="Tahoma"/>
            <family val="2"/>
          </rPr>
          <t xml:space="preserve">Full or Partial Decom:
</t>
        </r>
        <r>
          <rPr>
            <sz val="9"/>
            <color indexed="81"/>
            <rFont val="Tahoma"/>
            <family val="2"/>
          </rPr>
          <t>This field will autopopulate from Distributed Assets tab.
If a Partial Decom, please see notes in Comments field to complete it accordingly.</t>
        </r>
      </text>
    </comment>
    <comment ref="H9" authorId="0" shapeId="0" xr:uid="{00000000-0006-0000-1E00-000008000000}">
      <text>
        <r>
          <rPr>
            <b/>
            <sz val="9"/>
            <color indexed="81"/>
            <rFont val="Tahoma"/>
            <family val="2"/>
          </rPr>
          <t>Type of Server:</t>
        </r>
        <r>
          <rPr>
            <sz val="9"/>
            <color indexed="81"/>
            <rFont val="Tahoma"/>
            <family val="2"/>
          </rPr>
          <t xml:space="preserve">
This would be the functionality in which the server was used for.
Websphere App
Websphere HIS
SQL
DB2
Oracle
MySQL
Oracle RAC
Informix
Proxy, 
Other</t>
        </r>
      </text>
    </comment>
    <comment ref="I9" authorId="0" shapeId="0" xr:uid="{00000000-0006-0000-1E00-000009000000}">
      <text>
        <r>
          <rPr>
            <b/>
            <sz val="9"/>
            <color indexed="81"/>
            <rFont val="Tahoma"/>
            <family val="2"/>
          </rPr>
          <t xml:space="preserve">Platform:
</t>
        </r>
        <r>
          <rPr>
            <sz val="9"/>
            <color indexed="81"/>
            <rFont val="Tahoma"/>
            <family val="2"/>
          </rPr>
          <t>Type of OS used on the server to be decommissioned.</t>
        </r>
        <r>
          <rPr>
            <b/>
            <sz val="9"/>
            <color indexed="81"/>
            <rFont val="Tahoma"/>
            <family val="2"/>
          </rPr>
          <t xml:space="preserve">
Options:
</t>
        </r>
        <r>
          <rPr>
            <sz val="9"/>
            <color indexed="81"/>
            <rFont val="Tahoma"/>
            <family val="2"/>
          </rPr>
          <t xml:space="preserve">Windows
OpenSystems
</t>
        </r>
      </text>
    </comment>
    <comment ref="J9" authorId="0" shapeId="0" xr:uid="{00000000-0006-0000-1E00-00000A000000}">
      <text>
        <r>
          <rPr>
            <b/>
            <sz val="9"/>
            <color indexed="81"/>
            <rFont val="Tahoma"/>
            <family val="2"/>
          </rPr>
          <t xml:space="preserve">Physical/Virtual:
</t>
        </r>
        <r>
          <rPr>
            <sz val="9"/>
            <color indexed="81"/>
            <rFont val="Tahoma"/>
            <family val="2"/>
          </rPr>
          <t>Type of hardware which is being decommissioned.</t>
        </r>
        <r>
          <rPr>
            <b/>
            <sz val="9"/>
            <color indexed="81"/>
            <rFont val="Tahoma"/>
            <family val="2"/>
          </rPr>
          <t xml:space="preserve">
Options:
</t>
        </r>
        <r>
          <rPr>
            <sz val="9"/>
            <color indexed="81"/>
            <rFont val="Tahoma"/>
            <family val="2"/>
          </rPr>
          <t>Physical
Virtual
Blade</t>
        </r>
        <r>
          <rPr>
            <b/>
            <sz val="9"/>
            <color indexed="81"/>
            <rFont val="Tahoma"/>
            <family val="2"/>
          </rPr>
          <t xml:space="preserve">
Note:</t>
        </r>
        <r>
          <rPr>
            <sz val="9"/>
            <color indexed="81"/>
            <rFont val="Tahoma"/>
            <family val="2"/>
          </rPr>
          <t xml:space="preserve"> While technically a blade is a physical server, it is classified differently here due to  decommissioning process.
</t>
        </r>
      </text>
    </comment>
    <comment ref="K9" authorId="1" shapeId="0" xr:uid="{00000000-0006-0000-1E00-00000B000000}">
      <text>
        <r>
          <rPr>
            <b/>
            <sz val="9"/>
            <color indexed="81"/>
            <rFont val="Tahoma"/>
            <family val="2"/>
          </rPr>
          <t xml:space="preserve">Database Servers: 
</t>
        </r>
        <r>
          <rPr>
            <sz val="9"/>
            <color indexed="81"/>
            <rFont val="Tahoma"/>
            <family val="2"/>
          </rPr>
          <t xml:space="preserve">List database names here to be decommissioned.
</t>
        </r>
        <r>
          <rPr>
            <b/>
            <sz val="9"/>
            <color indexed="81"/>
            <rFont val="Tahoma"/>
            <family val="2"/>
          </rPr>
          <t>Websphere Servers:</t>
        </r>
        <r>
          <rPr>
            <sz val="9"/>
            <color indexed="81"/>
            <rFont val="Tahoma"/>
            <family val="2"/>
          </rPr>
          <t xml:space="preserve">
List JVMs or .ear files here to be decommissioned.
</t>
        </r>
        <r>
          <rPr>
            <b/>
            <sz val="9"/>
            <color indexed="81"/>
            <rFont val="Tahoma"/>
            <family val="2"/>
          </rPr>
          <t>IHS Instances:</t>
        </r>
        <r>
          <rPr>
            <sz val="9"/>
            <color indexed="81"/>
            <rFont val="Tahoma"/>
            <family val="2"/>
          </rPr>
          <t xml:space="preserve">
List IHS Instances here to be decommissioned.
**NOTE""  
Yellow background is a Partial Decom indicator</t>
        </r>
      </text>
    </comment>
    <comment ref="B113" authorId="0" shapeId="0" xr:uid="{00000000-0006-0000-1E00-00000C000000}">
      <text>
        <r>
          <rPr>
            <b/>
            <sz val="9"/>
            <color indexed="81"/>
            <rFont val="Tahoma"/>
            <family val="2"/>
          </rPr>
          <t>Legacy A-record of VIP</t>
        </r>
        <r>
          <rPr>
            <sz val="9"/>
            <color indexed="81"/>
            <rFont val="Tahoma"/>
            <family val="2"/>
          </rPr>
          <t xml:space="preserve">
List the A-Record of a VIP that will be fully decommissioned.</t>
        </r>
      </text>
    </comment>
    <comment ref="C113" authorId="0" shapeId="0" xr:uid="{00000000-0006-0000-1E00-00000D000000}">
      <text>
        <r>
          <rPr>
            <b/>
            <sz val="9"/>
            <color indexed="81"/>
            <rFont val="Tahoma"/>
            <family val="2"/>
          </rPr>
          <t xml:space="preserve">Legacy IP Address:
</t>
        </r>
        <r>
          <rPr>
            <sz val="9"/>
            <color indexed="81"/>
            <rFont val="Tahoma"/>
            <family val="2"/>
          </rPr>
          <t xml:space="preserve">This field will autopopulate the IP address based on the record input into Column B.
</t>
        </r>
      </text>
    </comment>
    <comment ref="D113" authorId="0" shapeId="0" xr:uid="{00000000-0006-0000-1E00-00000E000000}">
      <text>
        <r>
          <rPr>
            <b/>
            <sz val="9"/>
            <color indexed="81"/>
            <rFont val="Tahoma"/>
            <family val="2"/>
          </rPr>
          <t xml:space="preserve">Environment:  
</t>
        </r>
        <r>
          <rPr>
            <sz val="9"/>
            <color indexed="81"/>
            <rFont val="Tahoma"/>
            <family val="2"/>
          </rPr>
          <t xml:space="preserve">This is the environment from which the VIP entries will be removed. </t>
        </r>
        <r>
          <rPr>
            <b/>
            <sz val="9"/>
            <color indexed="81"/>
            <rFont val="Tahoma"/>
            <family val="2"/>
          </rPr>
          <t xml:space="preserve">
Options:
</t>
        </r>
        <r>
          <rPr>
            <sz val="9"/>
            <color indexed="81"/>
            <rFont val="Tahoma"/>
            <family val="2"/>
          </rPr>
          <t xml:space="preserve">Prod 2.0
Prod 1.0
Test 2.0
Test 1.0
DEV (Chi)
DEV (Wau)
DR - Steady State
Prod FTW
</t>
        </r>
      </text>
    </comment>
    <comment ref="E113" authorId="0" shapeId="0" xr:uid="{00000000-0006-0000-1E00-00000F000000}">
      <text>
        <r>
          <rPr>
            <b/>
            <sz val="9"/>
            <color indexed="81"/>
            <rFont val="Tahoma"/>
            <family val="2"/>
          </rPr>
          <t xml:space="preserve">HTTP Port:
</t>
        </r>
        <r>
          <rPr>
            <sz val="9"/>
            <color indexed="81"/>
            <rFont val="Tahoma"/>
            <family val="2"/>
          </rPr>
          <t xml:space="preserve">If the VIP is being fully decommissioned, the port needs to be removed from the HTTP Port Assignment Document.
</t>
        </r>
      </text>
    </comment>
    <comment ref="F113" authorId="0" shapeId="0" xr:uid="{00000000-0006-0000-1E00-000010000000}">
      <text>
        <r>
          <rPr>
            <b/>
            <sz val="9"/>
            <color indexed="81"/>
            <rFont val="Tahoma"/>
            <family val="2"/>
          </rPr>
          <t xml:space="preserve">HTTP Port Reused:
</t>
        </r>
        <r>
          <rPr>
            <sz val="9"/>
            <color indexed="81"/>
            <rFont val="Tahoma"/>
            <family val="2"/>
          </rPr>
          <t>If a new VIP was assigned and the port was re-used, please note so that if the VIP is removed, the port does not get removed from the HTTP Port Assignment Document and it can be verified that the document was updated if needed.</t>
        </r>
      </text>
    </comment>
    <comment ref="H113" authorId="0" shapeId="0" xr:uid="{00000000-0006-0000-1E00-000011000000}">
      <text>
        <r>
          <rPr>
            <b/>
            <sz val="9"/>
            <color indexed="81"/>
            <rFont val="Tahoma"/>
            <family val="2"/>
          </rPr>
          <t xml:space="preserve">Port Table Updated:
</t>
        </r>
        <r>
          <rPr>
            <sz val="9"/>
            <color indexed="81"/>
            <rFont val="Tahoma"/>
            <family val="2"/>
          </rPr>
          <t xml:space="preserve">
This column is for use by the II to ensure that the HTTP Port Assignment Documentation was updated.
</t>
        </r>
      </text>
    </comment>
    <comment ref="J113" authorId="0" shapeId="0" xr:uid="{00000000-0006-0000-1E00-000012000000}">
      <text>
        <r>
          <rPr>
            <b/>
            <sz val="9"/>
            <color indexed="81"/>
            <rFont val="Tahoma"/>
            <family val="2"/>
          </rPr>
          <t>Alias to be removed as it appears in Infoblox</t>
        </r>
        <r>
          <rPr>
            <sz val="9"/>
            <color indexed="81"/>
            <rFont val="Tahoma"/>
            <family val="2"/>
          </rPr>
          <t xml:space="preserve">
</t>
        </r>
      </text>
    </comment>
    <comment ref="B133" authorId="1" shapeId="0" xr:uid="{00000000-0006-0000-1E00-000013000000}">
      <text>
        <r>
          <rPr>
            <b/>
            <sz val="9"/>
            <color indexed="81"/>
            <rFont val="Tahoma"/>
            <family val="2"/>
          </rPr>
          <t>Legacy Host:</t>
        </r>
        <r>
          <rPr>
            <sz val="9"/>
            <color indexed="81"/>
            <rFont val="Tahoma"/>
            <family val="2"/>
          </rPr>
          <t xml:space="preserve">
Populates list from top section, Legacy Hostname field.
Check the Legacy Host in Infoblox in order to get a complete list of Legacy A-Records.
Additional ones may be added if necessary, but should be used from above where appropriate.</t>
        </r>
      </text>
    </comment>
    <comment ref="D133" authorId="0" shapeId="0" xr:uid="{00000000-0006-0000-1E00-000014000000}">
      <text>
        <r>
          <rPr>
            <b/>
            <sz val="9"/>
            <color indexed="81"/>
            <rFont val="Tahoma"/>
            <family val="2"/>
          </rPr>
          <t xml:space="preserve">Legacy Host:
</t>
        </r>
        <r>
          <rPr>
            <sz val="9"/>
            <color indexed="81"/>
            <rFont val="Tahoma"/>
            <family val="2"/>
          </rPr>
          <t xml:space="preserve">Populates list from top section, Legacy Hostname field.
Check the Legacy Host in Infoblox in order to get a complete list of Legacy A-Records.
Additional ones may be added if necessary, but should be used from above where appropriate
</t>
        </r>
      </text>
    </comment>
    <comment ref="E133" authorId="1" shapeId="0" xr:uid="{00000000-0006-0000-1E00-000015000000}">
      <text>
        <r>
          <rPr>
            <b/>
            <sz val="9"/>
            <color indexed="81"/>
            <rFont val="Tahoma"/>
            <family val="2"/>
          </rPr>
          <t>Legacy A-Record (FQDN)</t>
        </r>
        <r>
          <rPr>
            <sz val="9"/>
            <color indexed="81"/>
            <rFont val="Tahoma"/>
            <family val="2"/>
          </rPr>
          <t xml:space="preserve">
Autopopulates from top section
FQDNs to match Legacy Host
</t>
        </r>
      </text>
    </comment>
    <comment ref="F133" authorId="0" shapeId="0" xr:uid="{00000000-0006-0000-1E00-000016000000}">
      <text>
        <r>
          <rPr>
            <b/>
            <sz val="9"/>
            <color indexed="81"/>
            <rFont val="Tahoma"/>
            <family val="2"/>
          </rPr>
          <t xml:space="preserve">Legacy IP Address:
</t>
        </r>
        <r>
          <rPr>
            <sz val="9"/>
            <color indexed="81"/>
            <rFont val="Tahoma"/>
            <family val="2"/>
          </rPr>
          <t xml:space="preserve">Populates from top section
</t>
        </r>
      </text>
    </comment>
    <comment ref="G133" authorId="0" shapeId="0" xr:uid="{00000000-0006-0000-1E00-000017000000}">
      <text>
        <r>
          <rPr>
            <b/>
            <sz val="9"/>
            <color indexed="81"/>
            <rFont val="Tahoma"/>
            <family val="2"/>
          </rPr>
          <t xml:space="preserve">Environment:  </t>
        </r>
        <r>
          <rPr>
            <sz val="9"/>
            <color indexed="81"/>
            <rFont val="Tahoma"/>
            <family val="2"/>
          </rPr>
          <t xml:space="preserve">
This is the environment from which the DNS entries will be removed. 
</t>
        </r>
        <r>
          <rPr>
            <b/>
            <sz val="9"/>
            <color indexed="81"/>
            <rFont val="Tahoma"/>
            <family val="2"/>
          </rPr>
          <t>Options:</t>
        </r>
        <r>
          <rPr>
            <sz val="9"/>
            <color indexed="81"/>
            <rFont val="Tahoma"/>
            <family val="2"/>
          </rPr>
          <t xml:space="preserve">
Prod 2.0
Prod 1.0
Test 2.0
Test 1.0
DEV (Chi)
DEV (Wau)
DR - Steady State
Prod FTW</t>
        </r>
      </text>
    </comment>
    <comment ref="H133" authorId="0" shapeId="0" xr:uid="{00000000-0006-0000-1E00-000018000000}">
      <text>
        <r>
          <rPr>
            <b/>
            <sz val="9"/>
            <color indexed="81"/>
            <rFont val="Tahoma"/>
            <family val="2"/>
          </rPr>
          <t xml:space="preserve">Legacy Alias:
</t>
        </r>
        <r>
          <rPr>
            <sz val="9"/>
            <color indexed="81"/>
            <rFont val="Tahoma"/>
            <family val="2"/>
          </rPr>
          <t>These are all aliases to be removed as a part of this server decommission.  These include all of the following:  
Host, A, Alias, CNAME, PTR, MX, SRV, SOA, and NS. 
Servers may have multiple aliases.  All should be listed here for removal and on separate lines.</t>
        </r>
      </text>
    </comment>
    <comment ref="I133" authorId="0" shapeId="0" xr:uid="{00000000-0006-0000-1E00-000019000000}">
      <text>
        <r>
          <rPr>
            <b/>
            <sz val="9"/>
            <color indexed="81"/>
            <rFont val="Tahoma"/>
            <family val="2"/>
          </rPr>
          <t xml:space="preserve">Resolve in DMZ:
</t>
        </r>
        <r>
          <rPr>
            <sz val="9"/>
            <color indexed="81"/>
            <rFont val="Tahoma"/>
            <family val="2"/>
          </rPr>
          <t xml:space="preserve">Do the aliases or Hostname to be removed resolve in the DMZ?
</t>
        </r>
      </text>
    </comment>
    <comment ref="J133" authorId="1" shapeId="0" xr:uid="{00000000-0006-0000-1E00-00001A000000}">
      <text>
        <r>
          <rPr>
            <b/>
            <sz val="9"/>
            <color indexed="81"/>
            <rFont val="Tahoma"/>
            <family val="2"/>
          </rPr>
          <t>Record Type:</t>
        </r>
        <r>
          <rPr>
            <sz val="9"/>
            <color indexed="81"/>
            <rFont val="Tahoma"/>
            <family val="2"/>
          </rPr>
          <t xml:space="preserve">
What is the type of record that is being decommissioned?
</t>
        </r>
        <r>
          <rPr>
            <b/>
            <sz val="9"/>
            <color indexed="81"/>
            <rFont val="Tahoma"/>
            <family val="2"/>
          </rPr>
          <t>Options:</t>
        </r>
        <r>
          <rPr>
            <sz val="9"/>
            <color indexed="81"/>
            <rFont val="Tahoma"/>
            <family val="2"/>
          </rPr>
          <t xml:space="preserve">
Host
A
Alias
CNAME
PTR
MX
SRV
SOA
NS
</t>
        </r>
      </text>
    </comment>
    <comment ref="K133" authorId="0" shapeId="0" xr:uid="{00000000-0006-0000-1E00-00001B000000}">
      <text>
        <r>
          <rPr>
            <b/>
            <sz val="9"/>
            <color indexed="81"/>
            <rFont val="Tahoma"/>
            <family val="2"/>
          </rPr>
          <t xml:space="preserve">Full Decom/Clean Up:
</t>
        </r>
        <r>
          <rPr>
            <sz val="9"/>
            <color indexed="81"/>
            <rFont val="Tahoma"/>
            <family val="2"/>
          </rPr>
          <t xml:space="preserve">Is this a full decommission of the server or will aliases just be removed?
</t>
        </r>
      </text>
    </comment>
    <comment ref="L133" authorId="0" shapeId="0" xr:uid="{00000000-0006-0000-1E00-00001C000000}">
      <text>
        <r>
          <rPr>
            <sz val="9"/>
            <color indexed="81"/>
            <rFont val="Tahoma"/>
            <family val="2"/>
          </rPr>
          <t>If Proxy Server is listed in Column B, then please list the Reverse Proxy</t>
        </r>
        <r>
          <rPr>
            <b/>
            <sz val="9"/>
            <color indexed="81"/>
            <rFont val="Tahoma"/>
            <family val="2"/>
          </rPr>
          <t xml:space="preserve"> </t>
        </r>
        <r>
          <rPr>
            <sz val="9"/>
            <color indexed="81"/>
            <rFont val="Tahoma"/>
            <family val="2"/>
          </rPr>
          <t xml:space="preserve">Instances here for decommissioning.  Consult DNS team for assistance.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Steve Cierniak</author>
  </authors>
  <commentList>
    <comment ref="D1" authorId="0" shapeId="0" xr:uid="{00000000-0006-0000-1F00-000001000000}">
      <text>
        <r>
          <rPr>
            <b/>
            <sz val="9"/>
            <color indexed="81"/>
            <rFont val="Tahoma"/>
            <family val="2"/>
          </rPr>
          <t>Mainframe Scope of Work:</t>
        </r>
        <r>
          <rPr>
            <sz val="9"/>
            <color indexed="81"/>
            <rFont val="Tahoma"/>
            <family val="2"/>
          </rPr>
          <t xml:space="preserve">
This tab is a Summary tab completed by the Mainframe HVEE team.  
Some of it is partially filled by reading the Distributed Assets Tab, the rest is manually completed, based on the request.</t>
        </r>
      </text>
    </comment>
    <comment ref="A3" authorId="0" shapeId="0" xr:uid="{00000000-0006-0000-1F00-000002000000}">
      <text>
        <r>
          <rPr>
            <b/>
            <sz val="9"/>
            <color indexed="81"/>
            <rFont val="Tahoma"/>
            <family val="2"/>
          </rPr>
          <t>Mainframe Environments:</t>
        </r>
        <r>
          <rPr>
            <sz val="9"/>
            <color indexed="81"/>
            <rFont val="Tahoma"/>
            <family val="2"/>
          </rPr>
          <t xml:space="preserve">
These autofill fields are dependant on Table of Contents (C14) = YES</t>
        </r>
      </text>
    </comment>
    <comment ref="B3" authorId="0" shapeId="0" xr:uid="{00000000-0006-0000-1F00-000003000000}">
      <text>
        <r>
          <rPr>
            <b/>
            <sz val="9"/>
            <color indexed="81"/>
            <rFont val="Tahoma"/>
            <family val="2"/>
          </rPr>
          <t>Mainframe Environments:</t>
        </r>
        <r>
          <rPr>
            <sz val="9"/>
            <color indexed="81"/>
            <rFont val="Tahoma"/>
            <family val="2"/>
          </rPr>
          <t xml:space="preserve">
These autofill fields are dependant on Table of Contents (C14) = YES</t>
        </r>
      </text>
    </comment>
    <comment ref="C3" authorId="0" shapeId="0" xr:uid="{00000000-0006-0000-1F00-000004000000}">
      <text>
        <r>
          <rPr>
            <b/>
            <sz val="9"/>
            <color indexed="81"/>
            <rFont val="Tahoma"/>
            <family val="2"/>
          </rPr>
          <t>Mainframe Environments:</t>
        </r>
        <r>
          <rPr>
            <sz val="9"/>
            <color indexed="81"/>
            <rFont val="Tahoma"/>
            <family val="2"/>
          </rPr>
          <t xml:space="preserve">
These autofill fields are dependant on Table of Contents (C14) = YES</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Steve Cierniak</author>
    <author>Cara  Gilmore</author>
  </authors>
  <commentList>
    <comment ref="D1" authorId="0" shapeId="0" xr:uid="{00000000-0006-0000-2600-000001000000}">
      <text>
        <r>
          <rPr>
            <b/>
            <sz val="9"/>
            <color indexed="81"/>
            <rFont val="Tahoma"/>
            <family val="2"/>
          </rPr>
          <t>Guide to version updates:</t>
        </r>
        <r>
          <rPr>
            <sz val="9"/>
            <color indexed="81"/>
            <rFont val="Tahoma"/>
            <family val="2"/>
          </rPr>
          <t xml:space="preserve">
</t>
        </r>
        <r>
          <rPr>
            <b/>
            <sz val="9"/>
            <color indexed="81"/>
            <rFont val="Tahoma"/>
            <family val="2"/>
          </rPr>
          <t>10.1.3</t>
        </r>
        <r>
          <rPr>
            <sz val="9"/>
            <color indexed="81"/>
            <rFont val="Tahoma"/>
            <family val="2"/>
          </rPr>
          <t xml:space="preserve">:
</t>
        </r>
        <r>
          <rPr>
            <b/>
            <sz val="9"/>
            <color indexed="81"/>
            <rFont val="Tahoma"/>
            <family val="2"/>
          </rPr>
          <t>10</t>
        </r>
        <r>
          <rPr>
            <sz val="9"/>
            <color indexed="81"/>
            <rFont val="Tahoma"/>
            <family val="2"/>
          </rPr>
          <t xml:space="preserve">:  Major release - Significant changes such as New Tabs added, or processes changed or added
</t>
        </r>
        <r>
          <rPr>
            <b/>
            <sz val="9"/>
            <color indexed="81"/>
            <rFont val="Tahoma"/>
            <family val="2"/>
          </rPr>
          <t>1</t>
        </r>
        <r>
          <rPr>
            <sz val="9"/>
            <color indexed="81"/>
            <rFont val="Tahoma"/>
            <family val="2"/>
          </rPr>
          <t xml:space="preserve">:    Minor release - A significant fix or update has been applied
</t>
        </r>
        <r>
          <rPr>
            <b/>
            <sz val="9"/>
            <color indexed="81"/>
            <rFont val="Tahoma"/>
            <family val="2"/>
          </rPr>
          <t>3</t>
        </r>
        <r>
          <rPr>
            <sz val="9"/>
            <color indexed="81"/>
            <rFont val="Tahoma"/>
            <family val="2"/>
          </rPr>
          <t xml:space="preserve">:     Sub-Release -Revision -  Normally includes enhancements that are not required, but used as an                       aid in completing the LBoM 
Red entries - Summary of the fix or important applied
Black entries - Summary of enhancement
</t>
        </r>
        <r>
          <rPr>
            <b/>
            <sz val="9"/>
            <color indexed="81"/>
            <rFont val="Tahoma"/>
            <family val="2"/>
          </rPr>
          <t>NOTE:</t>
        </r>
        <r>
          <rPr>
            <sz val="9"/>
            <color indexed="81"/>
            <rFont val="Tahoma"/>
            <family val="2"/>
          </rPr>
          <t xml:space="preserve">
need to repoint the named Cells: last_modified &amp; version_main_number
this is to allow the coorect version number and revision date to display on the Table of Contents.</t>
        </r>
      </text>
    </comment>
    <comment ref="B67" authorId="0" shapeId="0" xr:uid="{00000000-0006-0000-2600-000002000000}">
      <text>
        <r>
          <rPr>
            <b/>
            <sz val="9"/>
            <color indexed="81"/>
            <rFont val="Tahoma"/>
            <family val="2"/>
          </rPr>
          <t>owner of change:</t>
        </r>
        <r>
          <rPr>
            <sz val="9"/>
            <color indexed="81"/>
            <rFont val="Tahoma"/>
            <family val="2"/>
          </rPr>
          <t xml:space="preserve">
sc - Steve Cierniak
mt - Mark Tomlinson</t>
        </r>
      </text>
    </comment>
    <comment ref="B83" authorId="0" shapeId="0" xr:uid="{00000000-0006-0000-2600-000003000000}">
      <text>
        <r>
          <rPr>
            <b/>
            <sz val="9"/>
            <color indexed="81"/>
            <rFont val="Tahoma"/>
            <family val="2"/>
          </rPr>
          <t>owner of change:</t>
        </r>
        <r>
          <rPr>
            <sz val="9"/>
            <color indexed="81"/>
            <rFont val="Tahoma"/>
            <family val="2"/>
          </rPr>
          <t xml:space="preserve">
sc - Steve Cierniak
mt - Mark Tomlinson</t>
        </r>
      </text>
    </comment>
    <comment ref="D106" authorId="1" shapeId="0" xr:uid="{00000000-0006-0000-2600-000004000000}">
      <text>
        <r>
          <rPr>
            <b/>
            <sz val="8"/>
            <color indexed="81"/>
            <rFont val="Tahoma"/>
            <family val="2"/>
          </rPr>
          <t>Coding Notes for IP Provisioner v1.1.0</t>
        </r>
        <r>
          <rPr>
            <sz val="8"/>
            <color indexed="81"/>
            <rFont val="Tahoma"/>
            <family val="2"/>
          </rPr>
          <t xml:space="preserve">
- Write IP Provisioner script output to a log file on C: drive, instead of Debug.Print.
  Log filename: C:\IP_2013211-LBOM-AppName-etc.xlsm.log
 (Added "IP_" prefix to log filename to differentiate from DNS Checker logs.)
- Check for version of Windows that Excel is running on.  WinXP not supported, only Win7  or newer.
- IP_Provisioner_UserForm.bas: Fixed bug in StripMask() where a rare lack of "/xx" suffix caused runtime error.
- Upon routine error reported back from ipamcli, such as:
 ERROR: ipamcli v2013.08.23.02 indicates a problem occurred.  Exit code: 2  IP Range Managed by Network Team
  ... the BAO Job ID does not get written to the IP worksheets.  The Job ID is now available in this scenario, now writes it to the IP worksheet.
- Added "IP Provisioner Timestamp" column V.  Provides date/time of IP Provisioner web service call completion for forensic use.</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Steve Cierniak</author>
    <author>HCSC</author>
    <author>Timothy D Kalbas</author>
    <author>HCSC User</author>
  </authors>
  <commentList>
    <comment ref="DK4" authorId="0" shapeId="0" xr:uid="{00000000-0006-0000-2700-000001000000}">
      <text>
        <r>
          <rPr>
            <b/>
            <sz val="9"/>
            <color indexed="81"/>
            <rFont val="Tahoma"/>
            <family val="2"/>
          </rPr>
          <t xml:space="preserve">Steve Cierniak:
IP_TargetIbxEnv (DG6) - is the location read by the IP Provisioning script to determine which environment.
(Copy info from DG7 or below)
IP_URL (DH6)  -  is the location of the url that should correspond to the envirnment)
(Copy corresponding url from DH7 or below)
</t>
        </r>
        <r>
          <rPr>
            <sz val="9"/>
            <color indexed="81"/>
            <rFont val="Tahoma"/>
            <family val="2"/>
          </rPr>
          <t xml:space="preserve">
</t>
        </r>
      </text>
    </comment>
    <comment ref="DM4" authorId="0" shapeId="0" xr:uid="{00000000-0006-0000-2700-000002000000}">
      <text>
        <r>
          <rPr>
            <b/>
            <sz val="9"/>
            <color indexed="81"/>
            <rFont val="Tahoma"/>
            <family val="2"/>
          </rPr>
          <t>Oracle File Structure:</t>
        </r>
        <r>
          <rPr>
            <sz val="9"/>
            <color indexed="81"/>
            <rFont val="Tahoma"/>
            <family val="2"/>
          </rPr>
          <t xml:space="preserve">
File Structure uses  standardized names and default sizes based on DB_size in New Database Request.</t>
        </r>
      </text>
    </comment>
    <comment ref="DV4" authorId="0" shapeId="0" xr:uid="{00000000-0006-0000-2700-000003000000}">
      <text>
        <r>
          <rPr>
            <b/>
            <sz val="9"/>
            <color indexed="81"/>
            <rFont val="Tahoma"/>
            <family val="2"/>
          </rPr>
          <t xml:space="preserve">DNS_Alias_TargetIbxEnv (DU6) - is the location read by the DNS automation script to determine which environment.
(Copy info from DU7 or below)
DNS_Alias_URL (DV6)  -  is the location of the url that should correspond to the envirnment)
(Copy corresponding url from DV7 or below)
</t>
        </r>
        <r>
          <rPr>
            <sz val="9"/>
            <color indexed="81"/>
            <rFont val="Tahoma"/>
            <family val="2"/>
          </rPr>
          <t xml:space="preserve">
</t>
        </r>
      </text>
    </comment>
    <comment ref="BY5" authorId="1" shapeId="0" xr:uid="{00000000-0006-0000-2700-000004000000}">
      <text>
        <r>
          <rPr>
            <sz val="8"/>
            <color indexed="81"/>
            <rFont val="Tahoma"/>
            <family val="2"/>
          </rPr>
          <t>Named ranges used for the Data Validation to determine Environment for TSM Server:
DEV:  BT6:BT7
TES: BT8:BT11
PRO: BT12:17</t>
        </r>
      </text>
    </comment>
    <comment ref="DI5" authorId="0" shapeId="0" xr:uid="{00000000-0006-0000-2700-000005000000}">
      <text>
        <r>
          <rPr>
            <sz val="9"/>
            <color indexed="81"/>
            <rFont val="Tahoma"/>
            <family val="2"/>
          </rPr>
          <t xml:space="preserve">
MF_Volume (Tx/Pg)</t>
        </r>
      </text>
    </comment>
    <comment ref="DN5" authorId="0" shapeId="0" xr:uid="{00000000-0006-0000-2700-000006000000}">
      <text>
        <r>
          <rPr>
            <b/>
            <sz val="9"/>
            <color indexed="81"/>
            <rFont val="Tahoma"/>
            <family val="2"/>
          </rPr>
          <t>Claculated Oracle File Structure:</t>
        </r>
        <r>
          <rPr>
            <sz val="9"/>
            <color indexed="81"/>
            <rFont val="Tahoma"/>
            <family val="2"/>
          </rPr>
          <t xml:space="preserve">
</t>
        </r>
      </text>
    </comment>
    <comment ref="EA5" authorId="0" shapeId="0" xr:uid="{00000000-0006-0000-2700-000007000000}">
      <text>
        <r>
          <rPr>
            <b/>
            <sz val="9"/>
            <color indexed="81"/>
            <rFont val="Tahoma"/>
            <family val="2"/>
          </rPr>
          <t>Preferred Nodes:</t>
        </r>
        <r>
          <rPr>
            <sz val="9"/>
            <color indexed="81"/>
            <rFont val="Tahoma"/>
            <family val="2"/>
          </rPr>
          <t xml:space="preserve">
Each Vertical Pair lines up as the pair choice to the next IO Group Name
</t>
        </r>
      </text>
    </comment>
    <comment ref="ED5" authorId="0" shapeId="0" xr:uid="{00000000-0006-0000-2700-000008000000}">
      <text>
        <r>
          <rPr>
            <b/>
            <sz val="9"/>
            <color indexed="81"/>
            <rFont val="Tahoma"/>
            <family val="2"/>
          </rPr>
          <t>Preferred Nodes:</t>
        </r>
        <r>
          <rPr>
            <sz val="9"/>
            <color indexed="81"/>
            <rFont val="Tahoma"/>
            <family val="2"/>
          </rPr>
          <t xml:space="preserve">
Each Vertical Pair lines up as the pair choice to the next IO Group Name
</t>
        </r>
      </text>
    </comment>
    <comment ref="FS5" authorId="0" shapeId="0" xr:uid="{00000000-0006-0000-2700-000009000000}">
      <text>
        <r>
          <rPr>
            <b/>
            <sz val="9"/>
            <color indexed="81"/>
            <rFont val="Tahoma"/>
            <family val="2"/>
          </rPr>
          <t xml:space="preserve">Steve Cierniak:
Used as switch to identify Onshhore only or Offshore
</t>
        </r>
        <r>
          <rPr>
            <sz val="9"/>
            <color indexed="81"/>
            <rFont val="Tahoma"/>
            <family val="2"/>
          </rPr>
          <t xml:space="preserve">
</t>
        </r>
      </text>
    </comment>
    <comment ref="DV6" authorId="0" shapeId="0" xr:uid="{00000000-0006-0000-2700-00000A000000}">
      <text>
        <r>
          <rPr>
            <b/>
            <sz val="9"/>
            <color indexed="81"/>
            <rFont val="Tahoma"/>
            <family val="2"/>
          </rPr>
          <t xml:space="preserve">Target Infoblox environment
</t>
        </r>
        <r>
          <rPr>
            <sz val="9"/>
            <color indexed="81"/>
            <rFont val="Tahoma"/>
            <family val="2"/>
          </rPr>
          <t xml:space="preserve">Three-letter code for the location of the Infoblox where the DNS records will be provisioned.
The two rows below are pre-populated with the possible values.
Supported values: prd, tst
</t>
        </r>
      </text>
    </comment>
    <comment ref="DW6" authorId="0" shapeId="0" xr:uid="{00000000-0006-0000-2700-00000B000000}">
      <text>
        <r>
          <rPr>
            <b/>
            <sz val="9"/>
            <color indexed="81"/>
            <rFont val="Tahoma"/>
            <family val="2"/>
          </rPr>
          <t>BAO URL Web Service (in Use):</t>
        </r>
        <r>
          <rPr>
            <sz val="9"/>
            <color indexed="81"/>
            <rFont val="Tahoma"/>
            <family val="2"/>
          </rPr>
          <t xml:space="preserve">
URL of the BAO createAliasRecord web service that will be used by the DNS Provisioner to create Alias records.  This is the value that will be used by the DNS Provisioner.
The two rows below are pre-populated with the possible values.</t>
        </r>
      </text>
    </comment>
    <comment ref="EG6" authorId="0" shapeId="0" xr:uid="{00000000-0006-0000-2700-00000C000000}">
      <text>
        <r>
          <rPr>
            <b/>
            <sz val="9"/>
            <color indexed="81"/>
            <rFont val="Tahoma"/>
            <family val="2"/>
          </rPr>
          <t>Security PHI / SPI:
cell name: PHI_used
This is the cell that is tied to the Project Details Tab , PHI used check box.</t>
        </r>
        <r>
          <rPr>
            <sz val="9"/>
            <color indexed="81"/>
            <rFont val="Tahoma"/>
            <family val="2"/>
          </rPr>
          <t xml:space="preserve">
</t>
        </r>
      </text>
    </comment>
    <comment ref="DV7" authorId="0" shapeId="0" xr:uid="{00000000-0006-0000-2700-00000D000000}">
      <text>
        <r>
          <rPr>
            <b/>
            <sz val="9"/>
            <color indexed="81"/>
            <rFont val="Tahoma"/>
            <family val="2"/>
          </rPr>
          <t xml:space="preserve">Pord - 3 Letter location Code:
</t>
        </r>
        <r>
          <rPr>
            <sz val="9"/>
            <color indexed="81"/>
            <rFont val="Tahoma"/>
            <family val="2"/>
          </rPr>
          <t xml:space="preserve">
Three-letter code for the location of the Infoblox where the DNS records will provisioned.  "prd" = Production Infoblox, "tst" = Test Infoblox (which is actually in the ET Lab).
Copy and paste this value into "DNS_TargetIbxEnv" named cell above, as appropriate.</t>
        </r>
      </text>
    </comment>
    <comment ref="DW7" authorId="0" shapeId="0" xr:uid="{00000000-0006-0000-2700-00000E000000}">
      <text>
        <r>
          <rPr>
            <b/>
            <sz val="9"/>
            <color indexed="81"/>
            <rFont val="Tahoma"/>
            <family val="2"/>
          </rPr>
          <t>Prod BAO Url:</t>
        </r>
        <r>
          <rPr>
            <sz val="9"/>
            <color indexed="81"/>
            <rFont val="Tahoma"/>
            <family val="2"/>
          </rPr>
          <t xml:space="preserve">
Value for Production URL of the BAO createAliasRecord web service that will be used by the DNS Provisioner to create Alias records.
Copy and paste this value into "DNS_createAliasRecord_ws_URL" named cell above, as appropriate.</t>
        </r>
      </text>
    </comment>
    <comment ref="EG7" authorId="0" shapeId="0" xr:uid="{00000000-0006-0000-2700-00000F000000}">
      <text>
        <r>
          <rPr>
            <b/>
            <sz val="9"/>
            <color indexed="81"/>
            <rFont val="Tahoma"/>
            <family val="2"/>
          </rPr>
          <t>Security PHI / SPI:
cell name: PHI_acess
This is the cell that is tied to the Project Details Tab , PHI access only check box.</t>
        </r>
        <r>
          <rPr>
            <sz val="9"/>
            <color indexed="81"/>
            <rFont val="Tahoma"/>
            <family val="2"/>
          </rPr>
          <t xml:space="preserve">
</t>
        </r>
      </text>
    </comment>
    <comment ref="DV8" authorId="0" shapeId="0" xr:uid="{00000000-0006-0000-2700-000010000000}">
      <text>
        <r>
          <rPr>
            <b/>
            <sz val="9"/>
            <color indexed="81"/>
            <rFont val="Tahoma"/>
            <family val="2"/>
          </rPr>
          <t xml:space="preserve">Test- 3 Letter location Code:
</t>
        </r>
        <r>
          <rPr>
            <sz val="9"/>
            <color indexed="81"/>
            <rFont val="Tahoma"/>
            <family val="2"/>
          </rPr>
          <t xml:space="preserve">
Three-letter code for the location of the Infoblox where the DNS records will provisioned.  "prd" = Production Infoblox, "tst" = Test Infoblox (which is actually in the ET Lab).
Copy and paste this value into "DNS_TargetIbxEnv" named cell above, as appropriate.</t>
        </r>
      </text>
    </comment>
    <comment ref="DW8" authorId="0" shapeId="0" xr:uid="{00000000-0006-0000-2700-000011000000}">
      <text>
        <r>
          <rPr>
            <b/>
            <sz val="9"/>
            <color indexed="81"/>
            <rFont val="Tahoma"/>
            <family val="2"/>
          </rPr>
          <t xml:space="preserve">Test BAO Url:
</t>
        </r>
        <r>
          <rPr>
            <sz val="9"/>
            <color indexed="81"/>
            <rFont val="Tahoma"/>
            <family val="2"/>
          </rPr>
          <t xml:space="preserve">Value for Test/ETL URL of the BAO createAliasRecord web service that will be used by the DNS Provisioner to create Alias records.
Copy and paste this value into "DNS_createAliasRecord_ws_URL" named cell above, as appropriate.
</t>
        </r>
      </text>
    </comment>
    <comment ref="DV9" authorId="0" shapeId="0" xr:uid="{00000000-0006-0000-2700-000012000000}">
      <text>
        <r>
          <rPr>
            <b/>
            <sz val="9"/>
            <color indexed="81"/>
            <rFont val="Tahoma"/>
            <family val="2"/>
          </rPr>
          <t>DNS Checker - IBSearch</t>
        </r>
        <r>
          <rPr>
            <sz val="9"/>
            <color indexed="81"/>
            <rFont val="Tahoma"/>
            <family val="2"/>
          </rPr>
          <t xml:space="preserve">
This is the location on your PC where ibsearch.exe is installed.
This should match the path specified in "DNS_Alias_Provisioner_IbsearchCmd1" and "DNS_Alias_Provisioner_IbsearchCmd2", i.e., DU14 &amp; DU15"</t>
        </r>
      </text>
    </comment>
    <comment ref="EG9" authorId="0" shapeId="0" xr:uid="{00000000-0006-0000-2700-000013000000}">
      <text>
        <r>
          <rPr>
            <b/>
            <sz val="9"/>
            <color indexed="81"/>
            <rFont val="Tahoma"/>
            <family val="2"/>
          </rPr>
          <t>Security PHI / SPI:
cell name: SPI_used
This is the cell that is tied to the Project Details Tab , SPI used only check box.</t>
        </r>
        <r>
          <rPr>
            <sz val="9"/>
            <color indexed="81"/>
            <rFont val="Tahoma"/>
            <family val="2"/>
          </rPr>
          <t xml:space="preserve">
</t>
        </r>
      </text>
    </comment>
    <comment ref="CH10" authorId="0" shapeId="0" xr:uid="{00000000-0006-0000-2700-000014000000}">
      <text>
        <r>
          <rPr>
            <b/>
            <sz val="9"/>
            <color indexed="81"/>
            <rFont val="Tahoma"/>
            <family val="2"/>
          </rPr>
          <t>HACMP_active_active Flag:</t>
        </r>
        <r>
          <rPr>
            <sz val="9"/>
            <color indexed="81"/>
            <rFont val="Tahoma"/>
            <family val="2"/>
          </rPr>
          <t xml:space="preserve">
Checks Distributed Assets for Active / Active Clusters
</t>
        </r>
      </text>
    </comment>
    <comment ref="DK10" authorId="0" shapeId="0" xr:uid="{00000000-0006-0000-2700-000015000000}">
      <text>
        <r>
          <rPr>
            <b/>
            <sz val="9"/>
            <color indexed="81"/>
            <rFont val="Tahoma"/>
            <family val="2"/>
          </rPr>
          <t>Debug Setting:</t>
        </r>
        <r>
          <rPr>
            <sz val="9"/>
            <color indexed="81"/>
            <rFont val="Tahoma"/>
            <family val="2"/>
          </rPr>
          <t xml:space="preserve">
Used by IP Provisioner Macro
Default = "False"
</t>
        </r>
      </text>
    </comment>
    <comment ref="DV10" authorId="0" shapeId="0" xr:uid="{00000000-0006-0000-2700-000016000000}">
      <text>
        <r>
          <rPr>
            <b/>
            <sz val="9"/>
            <color indexed="81"/>
            <rFont val="Tahoma"/>
            <family val="2"/>
          </rPr>
          <t>Debug Setting:</t>
        </r>
        <r>
          <rPr>
            <sz val="9"/>
            <color indexed="81"/>
            <rFont val="Tahoma"/>
            <family val="2"/>
          </rPr>
          <t xml:space="preserve">
Used by DNS Automation Macro.
Suggest leaving at TRUE to ensure plenty of debug info in the DNS automation *.log file, which is written to user's C: drive.
</t>
        </r>
      </text>
    </comment>
    <comment ref="EG10" authorId="0" shapeId="0" xr:uid="{00000000-0006-0000-2700-000017000000}">
      <text>
        <r>
          <rPr>
            <b/>
            <sz val="9"/>
            <color indexed="81"/>
            <rFont val="Tahoma"/>
            <family val="2"/>
          </rPr>
          <t>Security PHI / SPI:
cell name: spi_access
This is the cell that is tied to the Project Details Tab , SPI access only check box.</t>
        </r>
        <r>
          <rPr>
            <sz val="9"/>
            <color indexed="81"/>
            <rFont val="Tahoma"/>
            <family val="2"/>
          </rPr>
          <t xml:space="preserve">
</t>
        </r>
      </text>
    </comment>
    <comment ref="CH11" authorId="0" shapeId="0" xr:uid="{00000000-0006-0000-2700-000018000000}">
      <text>
        <r>
          <rPr>
            <b/>
            <sz val="9"/>
            <color indexed="81"/>
            <rFont val="Tahoma"/>
            <family val="2"/>
          </rPr>
          <t>HACMP_active_passive Flag:</t>
        </r>
        <r>
          <rPr>
            <sz val="9"/>
            <color indexed="81"/>
            <rFont val="Tahoma"/>
            <family val="2"/>
          </rPr>
          <t xml:space="preserve">
</t>
        </r>
      </text>
    </comment>
    <comment ref="DK11" authorId="0" shapeId="0" xr:uid="{00000000-0006-0000-2700-000019000000}">
      <text>
        <r>
          <rPr>
            <b/>
            <sz val="9"/>
            <color indexed="81"/>
            <rFont val="Tahoma"/>
            <family val="2"/>
          </rPr>
          <t>InfoBlox Admin Console URL:</t>
        </r>
        <r>
          <rPr>
            <sz val="9"/>
            <color indexed="81"/>
            <rFont val="Tahoma"/>
            <family val="2"/>
          </rPr>
          <t xml:space="preserve">
Used by IP Provisioner Macro.</t>
        </r>
      </text>
    </comment>
    <comment ref="DV11" authorId="0" shapeId="0" xr:uid="{00000000-0006-0000-2700-00001A000000}">
      <text>
        <r>
          <rPr>
            <b/>
            <sz val="9"/>
            <color indexed="81"/>
            <rFont val="Tahoma"/>
            <family val="2"/>
          </rPr>
          <t>InfoBlox Admin Console URL:</t>
        </r>
        <r>
          <rPr>
            <sz val="9"/>
            <color indexed="81"/>
            <rFont val="Tahoma"/>
            <family val="2"/>
          </rPr>
          <t xml:space="preserve">
Used by DNS Automation Macro.</t>
        </r>
      </text>
    </comment>
    <comment ref="EG11" authorId="0" shapeId="0" xr:uid="{00000000-0006-0000-2700-00001B000000}">
      <text>
        <r>
          <rPr>
            <b/>
            <sz val="9"/>
            <color indexed="81"/>
            <rFont val="Tahoma"/>
            <family val="2"/>
          </rPr>
          <t>Security PHI / SPI:
cell name: BCI
This is the cell that is tied to the Project Details Tab , BCI check box.</t>
        </r>
        <r>
          <rPr>
            <sz val="9"/>
            <color indexed="81"/>
            <rFont val="Tahoma"/>
            <family val="2"/>
          </rPr>
          <t xml:space="preserve">
</t>
        </r>
      </text>
    </comment>
    <comment ref="CH12" authorId="0" shapeId="0" xr:uid="{00000000-0006-0000-2700-00001C000000}">
      <text>
        <r>
          <rPr>
            <b/>
            <sz val="9"/>
            <color indexed="81"/>
            <rFont val="Tahoma"/>
            <family val="2"/>
          </rPr>
          <t>HACMP_oracle_rac Flag:</t>
        </r>
        <r>
          <rPr>
            <sz val="9"/>
            <color indexed="81"/>
            <rFont val="Tahoma"/>
            <family val="2"/>
          </rPr>
          <t xml:space="preserve">
Checks Distributed Assets for Active / Passive Clusters</t>
        </r>
      </text>
    </comment>
    <comment ref="DV12" authorId="2" shapeId="0" xr:uid="{00000000-0006-0000-2700-00001D000000}">
      <text>
        <r>
          <rPr>
            <b/>
            <sz val="9"/>
            <color indexed="81"/>
            <rFont val="Tahoma"/>
            <family val="2"/>
          </rPr>
          <t xml:space="preserve">Nslookup command #1
</t>
        </r>
        <r>
          <rPr>
            <sz val="9"/>
            <color indexed="81"/>
            <rFont val="Tahoma"/>
            <family val="2"/>
          </rPr>
          <t>Used by DNS Automation macro.
Do not touch!</t>
        </r>
      </text>
    </comment>
    <comment ref="EN12" authorId="3" shapeId="0" xr:uid="{00000000-0006-0000-2700-00001E000000}">
      <text>
        <r>
          <rPr>
            <b/>
            <sz val="9"/>
            <color indexed="81"/>
            <rFont val="Tahoma"/>
            <family val="2"/>
          </rPr>
          <t>HCSC User:</t>
        </r>
        <r>
          <rPr>
            <sz val="9"/>
            <color indexed="81"/>
            <rFont val="Tahoma"/>
            <family val="2"/>
          </rPr>
          <t xml:space="preserve">
</t>
        </r>
      </text>
    </comment>
    <comment ref="CH13" authorId="0" shapeId="0" xr:uid="{00000000-0006-0000-2700-00001F000000}">
      <text>
        <r>
          <rPr>
            <b/>
            <sz val="9"/>
            <color indexed="81"/>
            <rFont val="Tahoma"/>
            <family val="2"/>
          </rPr>
          <t xml:space="preserve">HACMP Flag:
Checks following Flags:
</t>
        </r>
        <r>
          <rPr>
            <sz val="9"/>
            <color indexed="81"/>
            <rFont val="Tahoma"/>
            <family val="2"/>
          </rPr>
          <t xml:space="preserve">Checks Distributed Assets for AIX  with Active / Active or Active / Passive Clustering, and then is used to turnon Provisioning Notes Message.
</t>
        </r>
      </text>
    </comment>
    <comment ref="DV13" authorId="2" shapeId="0" xr:uid="{00000000-0006-0000-2700-000020000000}">
      <text>
        <r>
          <rPr>
            <b/>
            <sz val="9"/>
            <color indexed="81"/>
            <rFont val="Tahoma"/>
            <family val="2"/>
          </rPr>
          <t xml:space="preserve">Nslookup command #2
</t>
        </r>
        <r>
          <rPr>
            <sz val="9"/>
            <color indexed="81"/>
            <rFont val="Tahoma"/>
            <family val="2"/>
          </rPr>
          <t>Used by DNS Automation macro.
Do not touch!</t>
        </r>
      </text>
    </comment>
    <comment ref="DV14" authorId="2" shapeId="0" xr:uid="{00000000-0006-0000-2700-000021000000}">
      <text>
        <r>
          <rPr>
            <b/>
            <sz val="9"/>
            <color indexed="81"/>
            <rFont val="Tahoma"/>
            <family val="2"/>
          </rPr>
          <t xml:space="preserve">Ibsearch command #1
</t>
        </r>
        <r>
          <rPr>
            <sz val="9"/>
            <color indexed="81"/>
            <rFont val="Tahoma"/>
            <family val="2"/>
          </rPr>
          <t>Used by DNS Automation macro.
Do not touch!</t>
        </r>
      </text>
    </comment>
    <comment ref="DV15" authorId="2" shapeId="0" xr:uid="{00000000-0006-0000-2700-000022000000}">
      <text>
        <r>
          <rPr>
            <b/>
            <sz val="9"/>
            <color indexed="81"/>
            <rFont val="Tahoma"/>
            <family val="2"/>
          </rPr>
          <t xml:space="preserve">Ibsearch command #2
</t>
        </r>
        <r>
          <rPr>
            <sz val="9"/>
            <color indexed="81"/>
            <rFont val="Tahoma"/>
            <family val="2"/>
          </rPr>
          <t>Used by DNS Automation macro.
Do not touch!</t>
        </r>
      </text>
    </comment>
    <comment ref="DV16" authorId="2" shapeId="0" xr:uid="{00000000-0006-0000-2700-000023000000}">
      <text>
        <r>
          <rPr>
            <b/>
            <sz val="9"/>
            <color indexed="81"/>
            <rFont val="Tahoma"/>
            <family val="2"/>
          </rPr>
          <t xml:space="preserve">RegEx for IP address validation
</t>
        </r>
        <r>
          <rPr>
            <sz val="9"/>
            <color indexed="81"/>
            <rFont val="Tahoma"/>
            <family val="2"/>
          </rPr>
          <t>Used by DNS Automation macro.
Do not touch!</t>
        </r>
      </text>
    </comment>
    <comment ref="DV17" authorId="0" shapeId="0" xr:uid="{00000000-0006-0000-2700-000024000000}">
      <text>
        <r>
          <rPr>
            <b/>
            <sz val="9"/>
            <color indexed="81"/>
            <rFont val="Tahoma"/>
            <family val="2"/>
          </rPr>
          <t xml:space="preserve">Target Infoblox environment:
</t>
        </r>
        <r>
          <rPr>
            <sz val="9"/>
            <color indexed="81"/>
            <rFont val="Tahoma"/>
            <family val="2"/>
          </rPr>
          <t xml:space="preserve">Three-letter code for the location of the Infoblox where the DNS CNAME records will be provisioned.  This is the value that will be used by the DNS Provisioner.
The two rows below are pre-populated with the possible values.
Supported values: prd, tst
</t>
        </r>
      </text>
    </comment>
    <comment ref="DW17" authorId="0" shapeId="0" xr:uid="{00000000-0006-0000-2700-000025000000}">
      <text>
        <r>
          <rPr>
            <b/>
            <sz val="9"/>
            <color indexed="81"/>
            <rFont val="Tahoma"/>
            <family val="2"/>
          </rPr>
          <t>BAO URL Web Service (in Use):</t>
        </r>
        <r>
          <rPr>
            <sz val="9"/>
            <color indexed="81"/>
            <rFont val="Tahoma"/>
            <family val="2"/>
          </rPr>
          <t xml:space="preserve">
URL of the BAO createAliasRecord web service that will be used by the DNS Provisioner to create Alias records.  This is the value that will be used by the DNS Provisioner.
The two rows below are pre-populated with the possible values.</t>
        </r>
      </text>
    </comment>
    <comment ref="DV18" authorId="0" shapeId="0" xr:uid="{00000000-0006-0000-2700-000026000000}">
      <text>
        <r>
          <rPr>
            <b/>
            <sz val="9"/>
            <color indexed="81"/>
            <rFont val="Tahoma"/>
            <family val="2"/>
          </rPr>
          <t xml:space="preserve">Prod - 3 letter Location Code for Infoblox:
</t>
        </r>
        <r>
          <rPr>
            <sz val="9"/>
            <color indexed="81"/>
            <rFont val="Tahoma"/>
            <family val="2"/>
          </rPr>
          <t xml:space="preserve">
1 of 2 possible values that will be used for the three-letter code for the location of the Infoblox where the DNS CNAME records will provisioned.  "prd" = Production Infoblox, "tst" = Test Infoblox (which is actually in the ET Lab).
Copy and paste this value into "DNS_TargetIbxEnv" named cell above, as appropriate.
</t>
        </r>
      </text>
    </comment>
    <comment ref="DW18" authorId="0" shapeId="0" xr:uid="{00000000-0006-0000-2700-000027000000}">
      <text>
        <r>
          <rPr>
            <b/>
            <sz val="9"/>
            <color indexed="81"/>
            <rFont val="Tahoma"/>
            <family val="2"/>
          </rPr>
          <t>Prod BAO Url:</t>
        </r>
        <r>
          <rPr>
            <sz val="9"/>
            <color indexed="81"/>
            <rFont val="Tahoma"/>
            <family val="2"/>
          </rPr>
          <t xml:space="preserve">
Value for Production URL of the BAO createAliasRecord web service that will be used by the DNS Provisioner to create Alias records.
Copy and paste this value into "DNS_createAliasRecord_ws_URL" named cell above, as appropriate.</t>
        </r>
      </text>
    </comment>
    <comment ref="DV19" authorId="0" shapeId="0" xr:uid="{00000000-0006-0000-2700-000028000000}">
      <text>
        <r>
          <rPr>
            <b/>
            <sz val="9"/>
            <color indexed="81"/>
            <rFont val="Tahoma"/>
            <family val="2"/>
          </rPr>
          <t xml:space="preserve">Test - 3 letter Location Code for Infoblox:
</t>
        </r>
        <r>
          <rPr>
            <sz val="9"/>
            <color indexed="81"/>
            <rFont val="Tahoma"/>
            <family val="2"/>
          </rPr>
          <t xml:space="preserve">
1 of 2 possible values for the three-letter code for the location of the Infoblox where the DNS CNAME records will provisioned.  "tst" = Test Infoblox (which is actually in the ET Lab).  
Copy and paste this value into the "DNS_TargetIbxEnv" named cell above, as appropriate.
</t>
        </r>
      </text>
    </comment>
    <comment ref="DW19" authorId="0" shapeId="0" xr:uid="{00000000-0006-0000-2700-000029000000}">
      <text>
        <r>
          <rPr>
            <b/>
            <sz val="9"/>
            <color indexed="81"/>
            <rFont val="Tahoma"/>
            <family val="2"/>
          </rPr>
          <t xml:space="preserve">Test BAO Url:
</t>
        </r>
        <r>
          <rPr>
            <sz val="9"/>
            <color indexed="81"/>
            <rFont val="Tahoma"/>
            <family val="2"/>
          </rPr>
          <t xml:space="preserve">Value for Test/ETL URL of the BAO createAliasRecord web service that will be used by the DNS Provisioner to create Alias records.
Copy and paste this value into "DNS_createAliasRecord_ws_URL" named cell above, as appropriate.
</t>
        </r>
      </text>
    </comment>
    <comment ref="G40" authorId="3" shapeId="0" xr:uid="{00000000-0006-0000-2700-00002A000000}">
      <text>
        <r>
          <rPr>
            <b/>
            <sz val="9"/>
            <color indexed="81"/>
            <rFont val="Tahoma"/>
            <family val="2"/>
          </rPr>
          <t xml:space="preserve">HTC Layers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HCSC User</author>
  </authors>
  <commentList>
    <comment ref="E9" authorId="0" shapeId="0" xr:uid="{00000000-0006-0000-2800-000001000000}">
      <text>
        <r>
          <rPr>
            <b/>
            <sz val="9"/>
            <color indexed="81"/>
            <rFont val="Tahoma"/>
            <family val="2"/>
          </rPr>
          <t>HCSC User:</t>
        </r>
        <r>
          <rPr>
            <sz val="9"/>
            <color indexed="81"/>
            <rFont val="Tahoma"/>
            <family val="2"/>
          </rPr>
          <t xml:space="preserve">
Physical; black box - fully baked from vendor; non-OS supported by HCSC/HCL
</t>
        </r>
      </text>
    </comment>
    <comment ref="E13" authorId="0" shapeId="0" xr:uid="{00000000-0006-0000-2800-000002000000}">
      <text>
        <r>
          <rPr>
            <b/>
            <sz val="9"/>
            <color indexed="81"/>
            <rFont val="Tahoma"/>
            <family val="2"/>
          </rPr>
          <t>HCSC User:</t>
        </r>
        <r>
          <rPr>
            <sz val="9"/>
            <color indexed="81"/>
            <rFont val="Tahoma"/>
            <family val="2"/>
          </rPr>
          <t xml:space="preserve">
VM with ova or iso built by VM team; non-OS supported; </t>
        </r>
        <r>
          <rPr>
            <i/>
            <sz val="9"/>
            <color indexed="81"/>
            <rFont val="Tahoma"/>
            <family val="2"/>
          </rPr>
          <t>may have the abillity to add backup agents</t>
        </r>
        <r>
          <rPr>
            <sz val="9"/>
            <color indexed="81"/>
            <rFont val="Tahoma"/>
            <family val="2"/>
          </rPr>
          <t>; no patching</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Steve Cierniak</author>
  </authors>
  <commentList>
    <comment ref="J3" authorId="0" shapeId="0" xr:uid="{00000000-0006-0000-2900-000001000000}">
      <text>
        <r>
          <rPr>
            <b/>
            <sz val="9"/>
            <color indexed="81"/>
            <rFont val="Tahoma"/>
            <family val="2"/>
          </rPr>
          <t>Host Reference Table:</t>
        </r>
        <r>
          <rPr>
            <sz val="9"/>
            <color indexed="81"/>
            <rFont val="Tahoma"/>
            <family val="2"/>
          </rPr>
          <t xml:space="preserve">
This Reference is to used as a source for commonly used systems / IP addresses. It is also referenced in the network firewall tab and will try to look up a host name when entered in the hostname field,  provided the Source or Destination being provisioned question is set to "No".</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HCSC User</author>
  </authors>
  <commentList>
    <comment ref="D8" authorId="0" shapeId="0" xr:uid="{00000000-0006-0000-2C00-000001000000}">
      <text>
        <r>
          <rPr>
            <b/>
            <sz val="9"/>
            <color indexed="81"/>
            <rFont val="Tahoma"/>
            <family val="2"/>
          </rPr>
          <t xml:space="preserve"> DB2_FS_for_Pod:</t>
        </r>
        <r>
          <rPr>
            <sz val="9"/>
            <color indexed="81"/>
            <rFont val="Tahoma"/>
            <family val="2"/>
          </rPr>
          <t xml:space="preserve">
Function DB2_FS_for_Pod(db_size)
DB2_FS_for_Pod = "/db2home:     - 10 Gb" &amp; vbLf &amp; _
             "/db2dba:      - 10 Gb" &amp; vbLf &amp; _
             "/db2audit:    - 5 Gb" &amp; vbLf &amp; _
             "/db2data1:    - " &amp; (db_size * 0.8) / 10 &amp; "Gb" &amp; vbLf &amp; _
             "/db2data2:    - " &amp; (db_size * 0.8) / 10 &amp; "Gb" &amp; vbLf &amp; _
             "/db2data3:    - " &amp; (db_size * 0.8) / 10 &amp; "Gb" &amp; vbLf &amp; _
             "/db2data4:    - " &amp; (db_size * 0.8) / 10 &amp; "Gb" &amp; vbLf &amp; _
             "/db2data5:    - " &amp; (db_size * 0.8) / 10 &amp; "Gb" &amp; vbLf &amp; _
             "/db2data6:    - " &amp; (db_size * 0.8) / 10 &amp; "Gb" &amp; vbLf &amp; _
             "/db2data7:    - " &amp; (db_size * 0.8) / 10 &amp; "Gb" &amp; vbLf &amp; _
             "/db2data8:    - " &amp; (db_size * 0.8) / 10 &amp; "Gb" &amp; vbLf &amp; _
             "/db2data9:    - " &amp; (db_size * 0.8) / 10 &amp; "Gb" &amp; vbLf &amp; _
             "/db2data10:   - " &amp; (db_size * 0.8) / 10 &amp; "Gb" &amp; vbLf &amp; _
             "/db2index1:    - " &amp; (db_size * 0.2) / 10 &amp; "Gb" &amp; vbLf &amp; _
             "/db2index2:    - " &amp; (db_size * 0.2) / 10 &amp; "Gb" &amp; vbLf &amp; _
             "/db2index3:    - " &amp; (db_size * 0.2) / 10 &amp; "Gb" &amp; vbLf &amp; _
             "/db2index4:    - " &amp; (db_size * 0.2) / 10 &amp; "Gb" &amp; vbLf &amp; _
             "/db2index5:    - " &amp; (db_size * 0.2) / 10 &amp; "Gb" &amp; vbLf &amp; _
             "/db2index6:    - " &amp; (db_size * 0.2) / 10 &amp; "Gb" &amp; vbLf &amp; _
             "/db2index7:    - " &amp; (db_size * 0.2) / 10 &amp; "Gb" &amp; vbLf &amp; _
             "/db2index8:    - " &amp; (db_size * 0.2) / 10 &amp; "Gb" &amp; vbLf &amp; _
             "/db2index9:    - " &amp; (db_size * 0.2) / 10 &amp; "Gb" &amp; vbLf &amp; _
             "/db2index10:   - " &amp; (db_size * 0.2) / 10 &amp; "Gb" &amp; vbLf &amp; _
             "/db2logs:      - " &amp; (db_size * 0.2) &amp; "Gb"
End Function</t>
        </r>
      </text>
    </comment>
  </commentList>
</comments>
</file>

<file path=xl/sharedStrings.xml><?xml version="1.0" encoding="utf-8"?>
<sst xmlns="http://schemas.openxmlformats.org/spreadsheetml/2006/main" count="10119" uniqueCount="5676">
  <si>
    <t>Type</t>
  </si>
  <si>
    <t>Destination Hostname</t>
  </si>
  <si>
    <t>Port(s)</t>
  </si>
  <si>
    <t>open port(s)</t>
  </si>
  <si>
    <t>p4737h00</t>
  </si>
  <si>
    <t>ipamdev1</t>
  </si>
  <si>
    <t>172.22.2.160</t>
  </si>
  <si>
    <t>TCP</t>
  </si>
  <si>
    <t>EXAMPLE</t>
  </si>
  <si>
    <t>Destination NAT</t>
  </si>
  <si>
    <t>Virtual IP Port</t>
  </si>
  <si>
    <t>Environment</t>
  </si>
  <si>
    <t>File Last modified:</t>
  </si>
  <si>
    <t>Description</t>
  </si>
  <si>
    <t>Date</t>
  </si>
  <si>
    <t>Release Date:</t>
  </si>
  <si>
    <t>Notes</t>
  </si>
  <si>
    <t>Monitoring</t>
  </si>
  <si>
    <t>DNS</t>
  </si>
  <si>
    <t>IP Address</t>
  </si>
  <si>
    <t>Provisioning</t>
  </si>
  <si>
    <t>Cutover</t>
  </si>
  <si>
    <t>Security</t>
  </si>
  <si>
    <t>Question</t>
  </si>
  <si>
    <t>Category</t>
  </si>
  <si>
    <t>No</t>
  </si>
  <si>
    <t>N/A</t>
  </si>
  <si>
    <t>Refreshed Provisioned Servers - Pasted most recent version of Provisioned Servers</t>
  </si>
  <si>
    <t>LDAP - corrected formulas to convert to Upper case</t>
  </si>
  <si>
    <t>Distributed Assets - changed environment entry to draw-down selection</t>
  </si>
  <si>
    <t xml:space="preserve">This change allows a consistant method of identyfing the environment for Open Systems and Storage Tabs. </t>
  </si>
  <si>
    <t>DNS - Extended the Resolve DNS DMZ column lookup into the lower C-names section</t>
  </si>
  <si>
    <t xml:space="preserve">Table of Contents and Tabs - revised to show that Schedule, RFCs, Mainframe, Novell, and Desktop tabs are not currently used </t>
  </si>
  <si>
    <t>IP tab - Formula for lookup wasn't available to all cells</t>
  </si>
  <si>
    <t>MQ Messaging</t>
  </si>
  <si>
    <t>Network</t>
  </si>
  <si>
    <t>Database</t>
  </si>
  <si>
    <t>AIX</t>
  </si>
  <si>
    <t>Linux</t>
  </si>
  <si>
    <t>Solaris</t>
  </si>
  <si>
    <t>Windows</t>
  </si>
  <si>
    <t>ASSET LISTING</t>
  </si>
  <si>
    <t>Asset No.</t>
  </si>
  <si>
    <t>Platform</t>
  </si>
  <si>
    <t>Distributed Assets</t>
  </si>
  <si>
    <t>Server Name</t>
  </si>
  <si>
    <t>OS Type</t>
  </si>
  <si>
    <t>Database (All)</t>
  </si>
  <si>
    <t>SAN?</t>
  </si>
  <si>
    <t>IP Addresses</t>
  </si>
  <si>
    <t>ASSET NUMBER</t>
  </si>
  <si>
    <t>ASSET NO.</t>
  </si>
  <si>
    <t>Clustered?</t>
  </si>
  <si>
    <t>DB2</t>
  </si>
  <si>
    <t>MSSQL</t>
  </si>
  <si>
    <t>Oracle</t>
  </si>
  <si>
    <t>MQ</t>
  </si>
  <si>
    <t>NONE</t>
  </si>
  <si>
    <t>Asset No</t>
  </si>
  <si>
    <t>DEV</t>
  </si>
  <si>
    <t>VIPS</t>
  </si>
  <si>
    <t>VIP NO.</t>
  </si>
  <si>
    <t>Layer</t>
  </si>
  <si>
    <t>ASSET/VIP NO</t>
  </si>
  <si>
    <t>BOM FUNCTIONS</t>
  </si>
  <si>
    <t>DO NOT EDIT</t>
  </si>
  <si>
    <t>Prod 2.0</t>
  </si>
  <si>
    <t>Test 2.0</t>
  </si>
  <si>
    <t>close port(s)</t>
  </si>
  <si>
    <t>BPO</t>
  </si>
  <si>
    <t>Other</t>
  </si>
  <si>
    <t>DR</t>
  </si>
  <si>
    <t>EIVR</t>
  </si>
  <si>
    <t>ETL</t>
  </si>
  <si>
    <t>Extranet</t>
  </si>
  <si>
    <t>Internet</t>
  </si>
  <si>
    <t>Intranet</t>
  </si>
  <si>
    <t>AUTO-CREATED DATA</t>
  </si>
  <si>
    <t>GENERAL DATA</t>
  </si>
  <si>
    <t>Load Balancer Actions</t>
  </si>
  <si>
    <t>Protocol</t>
  </si>
  <si>
    <t>Server OSes</t>
  </si>
  <si>
    <t>2.0 Environments</t>
  </si>
  <si>
    <t>FSA Layer</t>
  </si>
  <si>
    <t>zOS</t>
  </si>
  <si>
    <t>list_OS</t>
  </si>
  <si>
    <t>list_20</t>
  </si>
  <si>
    <t>list_fsalayers</t>
  </si>
  <si>
    <t>list_database</t>
  </si>
  <si>
    <t>Load Balance Methods</t>
  </si>
  <si>
    <t>Load Balance Health Check</t>
  </si>
  <si>
    <t>Firewall Actions</t>
  </si>
  <si>
    <t>firewallaction</t>
  </si>
  <si>
    <t>Operating Systems</t>
  </si>
  <si>
    <t>Standard Servers</t>
  </si>
  <si>
    <t>list_stdservers</t>
  </si>
  <si>
    <t>WAS (Linux)</t>
  </si>
  <si>
    <t>WAS (AIX)</t>
  </si>
  <si>
    <t xml:space="preserve">IHS </t>
  </si>
  <si>
    <t>Cluster Types</t>
  </si>
  <si>
    <t>list_clusters</t>
  </si>
  <si>
    <t>NO</t>
  </si>
  <si>
    <t>Logical</t>
  </si>
  <si>
    <t>Physical</t>
  </si>
  <si>
    <t>Load Balanced</t>
  </si>
  <si>
    <t>Source IP</t>
  </si>
  <si>
    <t>10.136.68.40</t>
  </si>
  <si>
    <t>10.136.68.41</t>
  </si>
  <si>
    <t>R7</t>
  </si>
  <si>
    <t>LANMAC tab - correct formulas in columns A, B, D, and G</t>
  </si>
  <si>
    <t>Yes / No</t>
  </si>
  <si>
    <t>R6</t>
  </si>
  <si>
    <t>3a.</t>
  </si>
  <si>
    <t>Fixes to existing issues</t>
  </si>
  <si>
    <t>TSM - Fixed TSM Server drop-down to all rows, Extract IP address for next column</t>
  </si>
  <si>
    <t>Fixes:</t>
  </si>
  <si>
    <t>Destination IP</t>
  </si>
  <si>
    <t>10.128.223.175</t>
  </si>
  <si>
    <t>VIP No.</t>
  </si>
  <si>
    <t>ASSET IP NO.</t>
  </si>
  <si>
    <t>IP INSTANCE</t>
  </si>
  <si>
    <t>Merged List for DNS</t>
  </si>
  <si>
    <t>list_AllIPs</t>
  </si>
  <si>
    <t>ASSET</t>
  </si>
  <si>
    <t>Interface Type</t>
  </si>
  <si>
    <t>list_interface</t>
  </si>
  <si>
    <t>Application Interface</t>
  </si>
  <si>
    <t>DMZ Backup</t>
  </si>
  <si>
    <t>OOB Interface</t>
  </si>
  <si>
    <t>iLO Interface</t>
  </si>
  <si>
    <t>Zena Required for Replication?</t>
  </si>
  <si>
    <t>VLAN</t>
  </si>
  <si>
    <t>Subnet/Mask</t>
  </si>
  <si>
    <t>Env+Interface+Layer [Security]</t>
  </si>
  <si>
    <t>Internet DMZ</t>
  </si>
  <si>
    <t>Intranet DMZ</t>
  </si>
  <si>
    <t>10.134.100.0/22</t>
  </si>
  <si>
    <t>10.134.68.0/22</t>
  </si>
  <si>
    <t>10.134.68.1</t>
  </si>
  <si>
    <t>10.134.100.1</t>
  </si>
  <si>
    <t>Subnet Lookup String</t>
  </si>
  <si>
    <t>Test 2.0 Wauk ILO Network</t>
  </si>
  <si>
    <t>10.134.224.0/23</t>
  </si>
  <si>
    <t>10.134.224.1</t>
  </si>
  <si>
    <t>192.168.235.0/24</t>
  </si>
  <si>
    <t>10.134.244.0/22</t>
  </si>
  <si>
    <t>Prod 2.0 Internet Management DMZ</t>
  </si>
  <si>
    <t>Prod 2.0 Wauk ILO Network</t>
  </si>
  <si>
    <t>10.136.100.0/22</t>
  </si>
  <si>
    <t>10.136.100.1</t>
  </si>
  <si>
    <t>10.136.68.0/22</t>
  </si>
  <si>
    <t>10.136.68.1</t>
  </si>
  <si>
    <t>10.136.244.0/22</t>
  </si>
  <si>
    <t>10.136.224.1</t>
  </si>
  <si>
    <t>TBD</t>
  </si>
  <si>
    <t>Is this application accessed internally (Intranet), externally (Internet) or both?</t>
  </si>
  <si>
    <t>Mainframe - CICS</t>
  </si>
  <si>
    <t xml:space="preserve">Is this a purchased solution from an outside vendor?  </t>
  </si>
  <si>
    <t>Are Vendors Requirements known?</t>
  </si>
  <si>
    <t>Are there any specific platform requirements for this application?</t>
  </si>
  <si>
    <t>Who developed the Application?</t>
  </si>
  <si>
    <t>Does your application use a JDBC Data Source?</t>
  </si>
  <si>
    <t>If your application uses JDBC Data Source, what type of database does it use?</t>
  </si>
  <si>
    <t>Does your application require any user aliases?</t>
  </si>
  <si>
    <t>Does your application use Managed ID (MID) framework?</t>
  </si>
  <si>
    <t>Does your application use the security database?</t>
  </si>
  <si>
    <t>PLACEMENT</t>
  </si>
  <si>
    <t>SLES 11 64-bit</t>
  </si>
  <si>
    <t>AIX 6.1</t>
  </si>
  <si>
    <t>Solaris 9</t>
  </si>
  <si>
    <t>SDK</t>
  </si>
  <si>
    <t>list_sdkver</t>
  </si>
  <si>
    <t>Sun JDK 1.5</t>
  </si>
  <si>
    <t>Sun JDK 1.6_22</t>
  </si>
  <si>
    <t>Embedded JVM</t>
  </si>
  <si>
    <t>a12345001</t>
  </si>
  <si>
    <t>COMMENTS</t>
  </si>
  <si>
    <t>Server Placement &amp; JVM Counts</t>
  </si>
  <si>
    <t>tbd</t>
  </si>
  <si>
    <t>list_aixver</t>
  </si>
  <si>
    <t>list_linver</t>
  </si>
  <si>
    <t>list_winver</t>
  </si>
  <si>
    <t>list_solver</t>
  </si>
  <si>
    <t>list_zosver</t>
  </si>
  <si>
    <t>Test 2.0 Unix GSA</t>
  </si>
  <si>
    <t>10.133.248.0/22</t>
  </si>
  <si>
    <t>10.133.248.1</t>
  </si>
  <si>
    <t>10.134.44.0/22</t>
  </si>
  <si>
    <t>10.134.44.1</t>
  </si>
  <si>
    <t>Test 2.0 In-Band Load Balancer Services [?]</t>
  </si>
  <si>
    <t>10.134.48.0/22</t>
  </si>
  <si>
    <t>10.134.48.1</t>
  </si>
  <si>
    <t>Test 2.0 Active Directory DC net [?]</t>
  </si>
  <si>
    <t>10.134.56.0/24</t>
  </si>
  <si>
    <t>10.134.56.1</t>
  </si>
  <si>
    <t>10.134.58.0/24</t>
  </si>
  <si>
    <t>10.134.58.1</t>
  </si>
  <si>
    <t>10.134.192.0/22</t>
  </si>
  <si>
    <t>10.134.192.1</t>
  </si>
  <si>
    <t>Test 2.0 Mgmt and Monitoring</t>
  </si>
  <si>
    <t>10.134.236.0/22</t>
  </si>
  <si>
    <t>Test 2.0 Intranet Backup DMZ</t>
  </si>
  <si>
    <t>10.134.240.0/22</t>
  </si>
  <si>
    <t>Test 2.0 Internet Backup DMZ</t>
  </si>
  <si>
    <t>Test 2.0 SAN Mgmt</t>
  </si>
  <si>
    <t>10.134.232.0/23</t>
  </si>
  <si>
    <t>10.134.232.1</t>
  </si>
  <si>
    <t>Test 2.0 CSM Admin</t>
  </si>
  <si>
    <t>10.134.234.0/24</t>
  </si>
  <si>
    <t>10.134.234.1</t>
  </si>
  <si>
    <t>Test 2.0 Blade Center Mgmt</t>
  </si>
  <si>
    <t>10.134.230.0/24</t>
  </si>
  <si>
    <t>10.134.230.1</t>
  </si>
  <si>
    <t>Test 2.0 HMC Hadware Mgmt #2</t>
  </si>
  <si>
    <t>Test 2.0 HMC Hadware Mgmt #1</t>
  </si>
  <si>
    <t>192.168.235.1</t>
  </si>
  <si>
    <t>192.168.236.0/22</t>
  </si>
  <si>
    <t>192.168.236.1</t>
  </si>
  <si>
    <t>Test 2.0 Vmotion</t>
  </si>
  <si>
    <t>192.168.240.0/24</t>
  </si>
  <si>
    <t>Test 2.0 CSM Control</t>
  </si>
  <si>
    <t>192.168.230.0/26</t>
  </si>
  <si>
    <t>App Migration Phase</t>
  </si>
  <si>
    <t>list_phase</t>
  </si>
  <si>
    <t>TSM</t>
  </si>
  <si>
    <t>tsm_cver</t>
  </si>
  <si>
    <t>ECS
Administrator</t>
  </si>
  <si>
    <t>IP address</t>
  </si>
  <si>
    <t>TSM API</t>
  </si>
  <si>
    <t>tsm_api</t>
  </si>
  <si>
    <t>tdp</t>
  </si>
  <si>
    <t>db2</t>
  </si>
  <si>
    <t>other</t>
  </si>
  <si>
    <t>API Backup</t>
  </si>
  <si>
    <t>TSM Site</t>
  </si>
  <si>
    <t>tsm_site</t>
  </si>
  <si>
    <t>Waukegan</t>
  </si>
  <si>
    <t>Chicago</t>
  </si>
  <si>
    <t>Richardson</t>
  </si>
  <si>
    <t>VIO Server Name</t>
  </si>
  <si>
    <r>
      <t xml:space="preserve">VIO
Server Name
</t>
    </r>
    <r>
      <rPr>
        <b/>
        <sz val="8"/>
        <color indexed="10"/>
        <rFont val="Arial"/>
        <family val="2"/>
      </rPr>
      <t>(if OS Type is AIX only)</t>
    </r>
  </si>
  <si>
    <t>Open Systems</t>
  </si>
  <si>
    <t>iOS</t>
  </si>
  <si>
    <t>Table of Contents - fixed File Name and File Date autofill</t>
  </si>
  <si>
    <t>Server Name/Host Name</t>
  </si>
  <si>
    <t>Destination Provisioned ASSET IP No.</t>
  </si>
  <si>
    <t>Asset Number</t>
  </si>
  <si>
    <t xml:space="preserve">New Host Name </t>
  </si>
  <si>
    <t>Persistent Interface</t>
  </si>
  <si>
    <t>Virtual IP</t>
  </si>
  <si>
    <t>Prod 2.0-Application Interface-Internet DMZ</t>
  </si>
  <si>
    <t>Prod 2.0-Application Interface-Intranet DMZ</t>
  </si>
  <si>
    <t>Prod 2.0-DMZ Backup-Internet DMZ</t>
  </si>
  <si>
    <t>Prod 2.0-DMZ Backup-Intranet DMZ</t>
  </si>
  <si>
    <t>Prod 2.0-iLO Interface-Internet DMZ</t>
  </si>
  <si>
    <t>Prod 2.0-iLO Interface-Intranet DMZ</t>
  </si>
  <si>
    <t>Prod 2.0-OOB Interface-Internet DMZ</t>
  </si>
  <si>
    <t>Prod 2.0-OOB Interface-Intranet DMZ</t>
  </si>
  <si>
    <t>Test 2.0-Application Interface-Internet DMZ</t>
  </si>
  <si>
    <t>Test 2.0-Application Interface-Intranet DMZ</t>
  </si>
  <si>
    <t>Test 2.0-DMZ Backup-Internet DMZ</t>
  </si>
  <si>
    <t>Test 2.0-DMZ Backup-Intranet DMZ</t>
  </si>
  <si>
    <t>Test 2.0-iLO Interface-Internet DMZ</t>
  </si>
  <si>
    <t>Test 2.0-OOB Interface-Internet DMZ</t>
  </si>
  <si>
    <t>Test 2.0 CSM Network (NON DMZ)</t>
  </si>
  <si>
    <t>Test 2.0 CSM Network (DMZ)</t>
  </si>
  <si>
    <t>Prod 2.0 CSM Network (NON DMZ)</t>
  </si>
  <si>
    <t>Prod 2.0 CSM Network (DMZ)</t>
  </si>
  <si>
    <t>Prod 2.0 In-Band Load Balancer Services [?]</t>
  </si>
  <si>
    <t>Prod 2.0 Active Directory DC net [?]</t>
  </si>
  <si>
    <t>Prod 2.0 Active Directory DC net</t>
  </si>
  <si>
    <t>Prod 2.0 Mgmt and Monitoring</t>
  </si>
  <si>
    <t>Prod 2.0 SAN Mgmt</t>
  </si>
  <si>
    <t>Prod 2.0 CSM Admin</t>
  </si>
  <si>
    <t>Prod 2.0 Blade Center Mgmt</t>
  </si>
  <si>
    <t>Prod 2.0 HMC Hadware Mgmt #1</t>
  </si>
  <si>
    <t>Prod 2.0 HMC Hadware Mgmt #2</t>
  </si>
  <si>
    <t>Prod 2.0 CSM Trust</t>
  </si>
  <si>
    <t>Prod 2.0 Vmotion</t>
  </si>
  <si>
    <t>Prod 2.0 CSM Control</t>
  </si>
  <si>
    <t>DNS A-Record</t>
  </si>
  <si>
    <t>TSM OPTIONS</t>
  </si>
  <si>
    <t>DNS DOMAINS</t>
  </si>
  <si>
    <t>Domain</t>
  </si>
  <si>
    <t>list_dnsdoms</t>
  </si>
  <si>
    <t>Test 2.0 Intranet DMZ VIP Range</t>
  </si>
  <si>
    <t>Test 2.0 Internet DMZ VIP Range</t>
  </si>
  <si>
    <t>10.134.64.0/22</t>
  </si>
  <si>
    <t>10.134.96.0/22</t>
  </si>
  <si>
    <t>Prod 2.0 Intranet DMZ VIP Range</t>
  </si>
  <si>
    <t>Prod 2.0 Internet DMZ VIP Range</t>
  </si>
  <si>
    <t>10.136.64.0/22</t>
  </si>
  <si>
    <t>10.136.96.0/22</t>
  </si>
  <si>
    <t>10.136.192.0/22</t>
  </si>
  <si>
    <t>VIP Layer</t>
  </si>
  <si>
    <t>10.134.64.1</t>
  </si>
  <si>
    <t>10.134.96.1</t>
  </si>
  <si>
    <t>10.136.64.1</t>
  </si>
  <si>
    <t>10.136.96.1</t>
  </si>
  <si>
    <t>10.136.192.1</t>
  </si>
  <si>
    <t>MSDTC</t>
  </si>
  <si>
    <t>Prod 2.0-VIP-Intranet DMZ</t>
  </si>
  <si>
    <t>Prod 2.0-VIP-Internet DMZ</t>
  </si>
  <si>
    <t>Test 2.0-VIP-Intranet DMZ</t>
  </si>
  <si>
    <t>Test 2.0-VIP-Internet DMZ</t>
  </si>
  <si>
    <t>Database Name</t>
  </si>
  <si>
    <t>Database Alias Name</t>
  </si>
  <si>
    <t>Database Version</t>
  </si>
  <si>
    <t>Database Instance Port</t>
  </si>
  <si>
    <t>Database DNS Name</t>
  </si>
  <si>
    <t>Admin of Device</t>
  </si>
  <si>
    <t>app.test.hcscint.net</t>
  </si>
  <si>
    <t>app.hcscint.net</t>
  </si>
  <si>
    <t>New Server IP Address</t>
  </si>
  <si>
    <t>Asset</t>
  </si>
  <si>
    <t xml:space="preserve">  Service/URL DNS Names</t>
  </si>
  <si>
    <t>Frame Name</t>
  </si>
  <si>
    <t>Development</t>
  </si>
  <si>
    <t>192.168.208.0/22</t>
  </si>
  <si>
    <t>192.168.208.1</t>
  </si>
  <si>
    <t>GSA</t>
  </si>
  <si>
    <t>Frame</t>
  </si>
  <si>
    <t>Windows Server
Domain</t>
  </si>
  <si>
    <t>Requested Preferred  Backup Time</t>
  </si>
  <si>
    <t>Test 2.0 Data/Process Load Balanced-In Band</t>
  </si>
  <si>
    <t>Test 2.0 Data/Process Load Balanced-Active Directory</t>
  </si>
  <si>
    <t>Test 2.0 Data/Process Load Balanced-Authentication</t>
  </si>
  <si>
    <t>Test 2.0 Intranet DMZ</t>
  </si>
  <si>
    <t>Test 2.0 Internet DMZ</t>
  </si>
  <si>
    <t>Test 2.0 Data/Process Application VIPs</t>
  </si>
  <si>
    <t>10.136.44.0/22</t>
  </si>
  <si>
    <t>10.136.44.1</t>
  </si>
  <si>
    <t>Prod 2.0 Data/Process Load Balanced-In Band</t>
  </si>
  <si>
    <t>10.136.48.0/22</t>
  </si>
  <si>
    <t>10.136.48.1</t>
  </si>
  <si>
    <t>Prod 2.0 Data/Process Load Balanced-Authentication</t>
  </si>
  <si>
    <t>10.136.58.0/24</t>
  </si>
  <si>
    <t>10.136.58.1</t>
  </si>
  <si>
    <t>Prod 2.0 Intranet DMZ</t>
  </si>
  <si>
    <t>Prod 2.0 Internet DMZ</t>
  </si>
  <si>
    <t>Prod 2.0 Data/Process Application VIPs</t>
  </si>
  <si>
    <t>10.136.224.0/22</t>
  </si>
  <si>
    <t>10.136.236.0/22</t>
  </si>
  <si>
    <t>10.136.236.1</t>
  </si>
  <si>
    <t>10.136.232.0/23</t>
  </si>
  <si>
    <t>10.136.232.1</t>
  </si>
  <si>
    <t>10.136.234.0/24</t>
  </si>
  <si>
    <t>10.136.234.1</t>
  </si>
  <si>
    <t>10.136.230.0/24</t>
  </si>
  <si>
    <t>10.136.230.1</t>
  </si>
  <si>
    <t>192.168.215.0/24</t>
  </si>
  <si>
    <t>192.168.215.1</t>
  </si>
  <si>
    <t>TSM WINDOWS DOMAINS</t>
  </si>
  <si>
    <t>tsm_windom</t>
  </si>
  <si>
    <t>Test - adhcsctest.net</t>
  </si>
  <si>
    <t>TSM Servers</t>
  </si>
  <si>
    <t>tsm_servers</t>
  </si>
  <si>
    <t>Prod 2.0 TSM_WAU25 IP Address: 10.136.160.71</t>
  </si>
  <si>
    <t>Test 2.0  TSM_WTC21 IP Address: 10.134.160.53</t>
  </si>
  <si>
    <t>Legacy Server name (hostname not FQN)</t>
  </si>
  <si>
    <t>Test 2.0  TSM_WTC22 IP Address: 10.134.160.55</t>
  </si>
  <si>
    <t>Prod - adhcscint.net</t>
  </si>
  <si>
    <t>Tier:</t>
  </si>
  <si>
    <t>If API Backup, which drive letter?</t>
  </si>
  <si>
    <t>Phase</t>
  </si>
  <si>
    <t>Includes?</t>
  </si>
  <si>
    <t>Excludes?</t>
  </si>
  <si>
    <t>EPPS (Employee Performance Profile System)</t>
  </si>
  <si>
    <t>Paperless Inventory</t>
  </si>
  <si>
    <t>R5</t>
  </si>
  <si>
    <t>Changes:</t>
  </si>
  <si>
    <t xml:space="preserve">Network Load Balancer tab - col I (2.0 layer), added choice for migration; contains minor fix to allow for VIP creation in migration layer </t>
  </si>
  <si>
    <t>Network Load Balancer Tab - col B; added additional drop-down choice - Migrate VIP - (If selected, hightlights entire row red).</t>
  </si>
  <si>
    <t>Network Firewall tab - added 5 columns (col Q thru U) for migrating 3rd Party Connections.</t>
  </si>
  <si>
    <t>Database tab - formulas in B3 autofilled down.</t>
  </si>
  <si>
    <t>DNS Tab - Phase (column B) added additional drop down choice - "Already Exists" (see Notes)</t>
  </si>
  <si>
    <t>Distributed Assets Tab - Fixed the highlight existing servers to red.</t>
  </si>
  <si>
    <t>Added new Tab - Release Notes</t>
  </si>
  <si>
    <t>Open Systems tab - added 2 columns: PowerBroker IDs and Access Duration</t>
  </si>
  <si>
    <t>RAM (GB)</t>
  </si>
  <si>
    <t>Cluster
Drives
(Q,S,etc)</t>
  </si>
  <si>
    <t xml:space="preserve">Distributed Assets tab; col T (OS Version); when col F (Platform) is AIX, col T pulldown does not show choice for AIX 6.1(BOM Function tab, col AD does list AIC X 6.1 choice in cell AD8; formula in cell AD2 only goes to AD$7) </t>
  </si>
  <si>
    <t>IP TAB - Does a lookup of existing servers (If assets listed on IP TAB) on REF - Provisioned Servers and returns IP Address of existing Servers. (See Notes)</t>
  </si>
  <si>
    <t>10. Distributed Assets tab; col T (OS Version); when col F (Platform) is AIX, col T pulldown does not show choice for AIX 6.1(BOM Function tab, col AD does list AIC X 6.1 choice in cell AD8; formula in cell AD2 only goes to AD$7)  - fixed in this release</t>
  </si>
  <si>
    <t xml:space="preserve">Notes: </t>
  </si>
  <si>
    <t>For DNS - If you intend to list existing servers in IP and DNS Tabs:</t>
  </si>
  <si>
    <t>On the IP Tab, List the existing asset  using only the application Interface.</t>
  </si>
  <si>
    <t xml:space="preserve">On the DNS Tab, use column B and select "Already Exists". </t>
  </si>
  <si>
    <t>This will allow the DNS Team to verify the DNS DMZ views are correctly entered and haven't been previously overlooked.</t>
  </si>
  <si>
    <t>Added Keystroke Macro that will work anywhere on the spreadsheet - Lower Case:  Select range to change to all lower case and press:   "Control l"    {this is lower case L}       - this marco works anywhere - DNS A-records are usually all lower case!</t>
  </si>
  <si>
    <t>Legacy Server IP Address</t>
  </si>
  <si>
    <t>Modified Monitoring Tab:  22 Sections,  Yellow section Select the New Assetd -  Blue Section completed by Monitoring at Provisioning</t>
  </si>
  <si>
    <t>pwauslihsapp01</t>
  </si>
  <si>
    <t>pwauslihsapp02</t>
  </si>
  <si>
    <t>pwauslwasapp01</t>
  </si>
  <si>
    <t>pwauslwasmgt01</t>
  </si>
  <si>
    <t>pwauswifsq0401</t>
  </si>
  <si>
    <t>pwausxfrmdb01</t>
  </si>
  <si>
    <t>pwausxfrmdb02</t>
  </si>
  <si>
    <t>pwauslwasapp05</t>
  </si>
  <si>
    <t>pwauslwasapp06</t>
  </si>
  <si>
    <t>pwauslwasapp02</t>
  </si>
  <si>
    <t>pwauslwasapp07</t>
  </si>
  <si>
    <t>pwauslwasapp08</t>
  </si>
  <si>
    <t>pwausxwpsdb01</t>
  </si>
  <si>
    <t>pwausxwpsdb02</t>
  </si>
  <si>
    <t>pwausxmqmbrk01</t>
  </si>
  <si>
    <t>pwausxmqmbrk02</t>
  </si>
  <si>
    <t>pwausxwasapp13</t>
  </si>
  <si>
    <t>pwausxwasapp14</t>
  </si>
  <si>
    <t>pwausxmqmapp01</t>
  </si>
  <si>
    <t>pwausxmqmapp02</t>
  </si>
  <si>
    <t>pwausxmqmapp03</t>
  </si>
  <si>
    <t>pwausxmqmapp04</t>
  </si>
  <si>
    <t>Test 2.0-Application Interface-GSA</t>
  </si>
  <si>
    <t>Test 2.0-VIP-Migration</t>
  </si>
  <si>
    <t>Test 2.0 Migraton Subnet for VIPs</t>
  </si>
  <si>
    <t>10.134.32.0/22</t>
  </si>
  <si>
    <t>10.134.32.1</t>
  </si>
  <si>
    <t>Prod 2.0-Application Interface-Security</t>
  </si>
  <si>
    <t>Test 2.0-Application Interface-Security</t>
  </si>
  <si>
    <t>Legacy Server name</t>
  </si>
  <si>
    <t>Legacy Server Name</t>
  </si>
  <si>
    <t>Resolve 
DNS 
DMZ</t>
  </si>
  <si>
    <t>Be sure to start VIP creation process on the Network Load Balancer tab first!</t>
  </si>
  <si>
    <r>
      <rPr>
        <b/>
        <sz val="10"/>
        <rFont val="Arial"/>
        <family val="2"/>
      </rPr>
      <t xml:space="preserve">ENVIRONMENT </t>
    </r>
    <r>
      <rPr>
        <sz val="10"/>
        <rFont val="Arial"/>
        <family val="2"/>
      </rPr>
      <t xml:space="preserve"> Be sure to identify each environment in the drop-downs.</t>
    </r>
  </si>
  <si>
    <t>10.136.240.0/22</t>
  </si>
  <si>
    <t>E</t>
  </si>
  <si>
    <t>Hostname</t>
  </si>
  <si>
    <t>Gateway</t>
  </si>
  <si>
    <t>Interface Description</t>
  </si>
  <si>
    <t>Virtual IP pool members</t>
  </si>
  <si>
    <t>Approvals</t>
  </si>
  <si>
    <t>Approver</t>
  </si>
  <si>
    <t>Storage</t>
  </si>
  <si>
    <t>Novell</t>
  </si>
  <si>
    <t>Firewall Tab - fixed invisible font problem columns R - U</t>
  </si>
  <si>
    <t>172.16.128.0/22</t>
  </si>
  <si>
    <t>172.16.128.1</t>
  </si>
  <si>
    <t>172.16.160.0/22</t>
  </si>
  <si>
    <t>172.16.160.1</t>
  </si>
  <si>
    <t>172.18.128.0/22</t>
  </si>
  <si>
    <t>172.18.128.1</t>
  </si>
  <si>
    <t>172.18.160.0/22</t>
  </si>
  <si>
    <t>172.18.160.1</t>
  </si>
  <si>
    <t>HACMP Boot IP</t>
  </si>
  <si>
    <t>BOM Functions - Added required VLAN info to support info for Fix 6.</t>
  </si>
  <si>
    <t>6a</t>
  </si>
  <si>
    <t>6b</t>
  </si>
  <si>
    <t>6c</t>
  </si>
  <si>
    <t>Added additional Interfaces and IP Request info for OPEN Systems</t>
  </si>
  <si>
    <t>IP TAB - Added additional Interface Types for Open Systems - HACMP Boot IP and TSM Hypervisor Backup (BOM Function col J)</t>
  </si>
  <si>
    <t>Dev</t>
  </si>
  <si>
    <t>Dist. Tab - Added Dev environment selection &amp; Logic</t>
  </si>
  <si>
    <t>10.130.132.0/22</t>
  </si>
  <si>
    <t>10.130.132.1</t>
  </si>
  <si>
    <t>7a</t>
  </si>
  <si>
    <t>7b</t>
  </si>
  <si>
    <t>7c</t>
  </si>
  <si>
    <t>10.134.68.58</t>
  </si>
  <si>
    <t>10.134.68.59</t>
  </si>
  <si>
    <t>10.136.68.48</t>
  </si>
  <si>
    <t>10.136.68.49</t>
  </si>
  <si>
    <t>Changed Rule to eliminate the #NA for IP Lookups on IP Tab - column N</t>
  </si>
  <si>
    <t>9a</t>
  </si>
  <si>
    <t>Can now look up FNQs of existing Host names</t>
  </si>
  <si>
    <t>10.134.128.0/22</t>
  </si>
  <si>
    <t>10.134.128.1</t>
  </si>
  <si>
    <t>10.136.128.0/22</t>
  </si>
  <si>
    <t>10.136.128.1</t>
  </si>
  <si>
    <t>TSM tab - Fixed column L (adhcscTEST should be adhcsctst)</t>
  </si>
  <si>
    <t>Fixes to existing issues - minor enhancements</t>
  </si>
  <si>
    <t>Added "DBA Group" to list of sources for Firewall on Firewall tab</t>
  </si>
  <si>
    <t>A-Record</t>
  </si>
  <si>
    <t>MQ Farm</t>
  </si>
  <si>
    <t>Non-Person Application ID</t>
  </si>
  <si>
    <t>Application Group</t>
  </si>
  <si>
    <t>BlockIP Auth Alias</t>
  </si>
  <si>
    <t>IP:Port</t>
  </si>
  <si>
    <t>Legacy Queue Manager</t>
  </si>
  <si>
    <t>Comments</t>
  </si>
  <si>
    <t>ZOSBSYS.HCSCINT.NET</t>
  </si>
  <si>
    <t>ZOSESYS.HCSCINT.NET</t>
  </si>
  <si>
    <t>ZOSFSYS.HCSCINT.NET</t>
  </si>
  <si>
    <t>ZOSGSYS.HCSCINT.NET</t>
  </si>
  <si>
    <t>ZOSHSYS.HCSCINT.NET</t>
  </si>
  <si>
    <t>ZOSJSYS.HCSCINT.NET</t>
  </si>
  <si>
    <t>ZOSKSYS.HCSCINT.NET</t>
  </si>
  <si>
    <t>ZOSLSYS.HCSCINT.NET</t>
  </si>
  <si>
    <t>ZOSMSYS.HCSCINT.NET</t>
  </si>
  <si>
    <t>MQ Hostname</t>
  </si>
  <si>
    <t>twausxmqmapp01</t>
  </si>
  <si>
    <t>twausxmqmapp02</t>
  </si>
  <si>
    <t>twausxmqmapp03</t>
  </si>
  <si>
    <t>twausxmqmapp04</t>
  </si>
  <si>
    <t>Q MGR</t>
  </si>
  <si>
    <t>MQFT1QM1</t>
  </si>
  <si>
    <t>MQFT1QM2</t>
  </si>
  <si>
    <t>MQFT1QM3</t>
  </si>
  <si>
    <t>MQFT1QM4</t>
  </si>
  <si>
    <t>MQFP1QM1</t>
  </si>
  <si>
    <t>MQFP1QM2</t>
  </si>
  <si>
    <t>MQFP1QM3</t>
  </si>
  <si>
    <t>MQFP1QM4</t>
  </si>
  <si>
    <t>MQ A--records</t>
  </si>
  <si>
    <t>pwausxmqmapp01.app.hcscint.net</t>
  </si>
  <si>
    <t>pwausxmqmapp02.app.hcscint.net</t>
  </si>
  <si>
    <t>pwausxmqmapp03.app.hcscint.net</t>
  </si>
  <si>
    <t>pwausxmqmapp04.app.hcscint.net</t>
  </si>
  <si>
    <t>twausxmqmapp01.test.hcscint.net</t>
  </si>
  <si>
    <t>twausxmqmapp02.test.hcscint.net</t>
  </si>
  <si>
    <t>twausxmqmapp03.test.hcscint.net</t>
  </si>
  <si>
    <t>twausxmqmapp04.test.hcscint.net</t>
  </si>
  <si>
    <t>Total rework of MQ Messaging Tab</t>
  </si>
  <si>
    <t>12a</t>
  </si>
  <si>
    <t>added MQ info into BOM functions, Named ranges: MQ_Hostnames; Q_MGR; MQ_A_Records</t>
  </si>
  <si>
    <t>12b</t>
  </si>
  <si>
    <t>Legacy      Server-Name</t>
  </si>
  <si>
    <t>Svrconn Channel</t>
  </si>
  <si>
    <t>MQ Host Name</t>
  </si>
  <si>
    <t>MQ C-Names</t>
  </si>
  <si>
    <t>mq-mqfp1qm1-prod.hcscint.net</t>
  </si>
  <si>
    <t>mq-mqfp2qm1-prod.hcscint.net</t>
  </si>
  <si>
    <t>mq-mqfp3qm1-prod.hcscint.net</t>
  </si>
  <si>
    <t>mq-mqfp4qm1-prod.hcscint.net</t>
  </si>
  <si>
    <t>mq-mqft1qm1-test.hcscint.net</t>
  </si>
  <si>
    <t>mq-mqft1qm2-test.hcscint.net</t>
  </si>
  <si>
    <t>mq-mqft1qm3-test.hcscint.net</t>
  </si>
  <si>
    <t>mq-mqft1qm4-test.hcscint.net</t>
  </si>
  <si>
    <t>MQJC</t>
  </si>
  <si>
    <t>CSQ3</t>
  </si>
  <si>
    <t>MQK3</t>
  </si>
  <si>
    <t>MQEP</t>
  </si>
  <si>
    <t>MQFB</t>
  </si>
  <si>
    <t>MQGP</t>
  </si>
  <si>
    <t>MQHP</t>
  </si>
  <si>
    <t>MQLP</t>
  </si>
  <si>
    <t>QMgr1</t>
  </si>
  <si>
    <t>QMgr2</t>
  </si>
  <si>
    <t>QMgr3</t>
  </si>
  <si>
    <t>QMgr4</t>
  </si>
  <si>
    <t>QMgr5</t>
  </si>
  <si>
    <t>ZOSESYS</t>
  </si>
  <si>
    <t>ZOSFSYS</t>
  </si>
  <si>
    <t>ZOSGSYS</t>
  </si>
  <si>
    <t>ZOSHSYS</t>
  </si>
  <si>
    <t>ZOSJSYS</t>
  </si>
  <si>
    <t>ZOSKSYS</t>
  </si>
  <si>
    <t>ZOSLSYS</t>
  </si>
  <si>
    <t>ZOSBSYS</t>
  </si>
  <si>
    <t>CSQ1</t>
  </si>
  <si>
    <t>MQB1</t>
  </si>
  <si>
    <t>MQB2</t>
  </si>
  <si>
    <t>MQB3</t>
  </si>
  <si>
    <t>ZOSMSYS</t>
  </si>
  <si>
    <t>MQMT</t>
  </si>
  <si>
    <t>MQM1</t>
  </si>
  <si>
    <t>MQM2</t>
  </si>
  <si>
    <t>MQM3</t>
  </si>
  <si>
    <t>MQM4</t>
  </si>
  <si>
    <t>C-NAME</t>
  </si>
  <si>
    <t>12c</t>
  </si>
  <si>
    <t>added lookups and drop-downs to ease information entry</t>
  </si>
  <si>
    <t>added Mainframe Q Mgr table and lookup</t>
  </si>
  <si>
    <t>MQH1</t>
  </si>
  <si>
    <t>MQJ1</t>
  </si>
  <si>
    <t>MQK1</t>
  </si>
  <si>
    <t>MQK2</t>
  </si>
  <si>
    <t>MQJ2</t>
  </si>
  <si>
    <t>MQJ3</t>
  </si>
  <si>
    <t>Open Systems tab - revised PowerBroker column headings</t>
  </si>
  <si>
    <t>MQ 2.0 Queue Manager</t>
  </si>
  <si>
    <t>Prod 2.0 TSM_WAU21 IP Address: 10.136.160.202</t>
  </si>
  <si>
    <t>Prod 2.0 TSM_WAU26 IP Address: 10.136.160.72</t>
  </si>
  <si>
    <t>Added additional TSM Servers per M. Karlovich request</t>
  </si>
  <si>
    <t>Fixed DNS Tab for A-record IP List lookup, - extended lookup range</t>
  </si>
  <si>
    <t>Prod 2.0-OOB Interface-GSA</t>
  </si>
  <si>
    <t>Added Prod - GSA - OOB subnet lookup info in BOM Functions</t>
  </si>
  <si>
    <t>Test 2.0-TSM Hypervisor Backup-GSA</t>
  </si>
  <si>
    <t>Prod 2.0-TSM Hypervisor Backup-GSA</t>
  </si>
  <si>
    <t>Test 2.0 TSM Hypervisor backup - Process Layer</t>
  </si>
  <si>
    <t>Test 2.0 TSM Hypervisor backup - Data Layer</t>
  </si>
  <si>
    <t>Test 2.0 TSM Hypervisor backup - GSA Layer</t>
  </si>
  <si>
    <t>Prod 2.0 TSM Hypervisor backup - Process Layer</t>
  </si>
  <si>
    <t>Prod 2.0 TSM Hypervisor backup - Data Layer</t>
  </si>
  <si>
    <t>10.134.160.0/22</t>
  </si>
  <si>
    <t>10.134.160.1</t>
  </si>
  <si>
    <t>10.136.160.0/22</t>
  </si>
  <si>
    <t>10.136.160.1</t>
  </si>
  <si>
    <t>FTP virtual directory name</t>
  </si>
  <si>
    <t>FTP account to do FTP 
e.g. adhcscINT/FTP_transfer</t>
  </si>
  <si>
    <t>Permissions 
(Read, Write, Read+Write)</t>
  </si>
  <si>
    <t>Comment</t>
  </si>
  <si>
    <t>Added Windows FTP Tab</t>
  </si>
  <si>
    <t>COMMENTS (optional)</t>
  </si>
  <si>
    <t>Added comment column to selected tabs</t>
  </si>
  <si>
    <t xml:space="preserve">DNS tab -  C-Names - Columns C &amp; D (Line 46 and down) do not correctly lookup all devices: added" False" to the VLOOKUP </t>
  </si>
  <si>
    <t xml:space="preserve">Database Tab - Fixed Environment Column lookup (Column E) - Changed "Production" to "Prod" in Vlookup </t>
  </si>
  <si>
    <t xml:space="preserve">Database Tab - Fixed Clustered Column (Column F) fixed Vlookup to point to column 11 instead of 9 of Dist. Assets </t>
  </si>
  <si>
    <t>IP TAB - adjusted columns I &amp; J Vlookups to row 81 to include additional VLANs added for Fix #6.</t>
  </si>
  <si>
    <t>Open Systems Tab - Updated Environment column</t>
  </si>
  <si>
    <t>Storage Tab - Updated Environment column</t>
  </si>
  <si>
    <t>Database All Tab - Updated Environment column</t>
  </si>
  <si>
    <t>Changed the file used to do IP Lookups on the REF - Provisioned IPs</t>
  </si>
  <si>
    <t>Network, Firewall</t>
  </si>
  <si>
    <t>Table of Contents - redesign to include workflow and status</t>
  </si>
  <si>
    <t>twauslihspxy01</t>
  </si>
  <si>
    <t>twauslihspxy02</t>
  </si>
  <si>
    <t>twauslihspxy03</t>
  </si>
  <si>
    <t>twauslihspxy04</t>
  </si>
  <si>
    <t>pwauslihspxy01</t>
  </si>
  <si>
    <t>pwauslihspxy02</t>
  </si>
  <si>
    <t>pwauslihspxy03</t>
  </si>
  <si>
    <t>pwauslihspxy04</t>
  </si>
  <si>
    <t>pwausxscpdb01</t>
  </si>
  <si>
    <t>pwausxscpdb02</t>
  </si>
  <si>
    <t>pwausxwasapp34</t>
  </si>
  <si>
    <t>pwausxwasapp35</t>
  </si>
  <si>
    <t>pwausxmemapp01</t>
  </si>
  <si>
    <t>pwausxmemapp02</t>
  </si>
  <si>
    <t>pwausxmemdb01</t>
  </si>
  <si>
    <t>pwausxmemdb02</t>
  </si>
  <si>
    <t>pwausxodsapp02</t>
  </si>
  <si>
    <t>pwausxidsdb02</t>
  </si>
  <si>
    <t>pwausxidsdb01</t>
  </si>
  <si>
    <t>pwausxodsdb01</t>
  </si>
  <si>
    <t>pwausxodsdb02</t>
  </si>
  <si>
    <t>pwausxetlapp03</t>
  </si>
  <si>
    <t>pwausxetlapp04</t>
  </si>
  <si>
    <t>10.134.100.42</t>
  </si>
  <si>
    <t>fixed virtual pool members on IP Tab (Vip section) extended formula through page</t>
  </si>
  <si>
    <t>added Budget number on Table of Contents for non DC2 Apps</t>
  </si>
  <si>
    <t>Modified DMZ View formula to be more selective of domain names</t>
  </si>
  <si>
    <t>MQFP2QM1</t>
  </si>
  <si>
    <t>MQFP3QM1</t>
  </si>
  <si>
    <t>MQFP4QM1</t>
  </si>
  <si>
    <t>MQFT2QM1</t>
  </si>
  <si>
    <t>MQFT3QM1</t>
  </si>
  <si>
    <t>MQFT4QM1</t>
  </si>
  <si>
    <t>Corrected MQ MGRs for Farms</t>
  </si>
  <si>
    <t>DEV- Flat</t>
  </si>
  <si>
    <t>R7.6</t>
  </si>
  <si>
    <t>LBOM - List of Changes - Release Notes</t>
  </si>
  <si>
    <t>R8.0</t>
  </si>
  <si>
    <r>
      <t xml:space="preserve">IP Address
</t>
    </r>
    <r>
      <rPr>
        <b/>
        <sz val="9"/>
        <color indexed="10"/>
        <rFont val="Arial"/>
        <family val="2"/>
      </rPr>
      <t>(Needs verification if auto-filled)</t>
    </r>
  </si>
  <si>
    <t>Color-coding (conditional Formatting) on IP Tab: - columns K,L, N; DNS Tab: cname section columns c &amp; d</t>
  </si>
  <si>
    <t>IP Tab: added auto fill for Device Admin (column L) for Windows and Open Systems</t>
  </si>
  <si>
    <t>IP Tab - Autofill Device Admin - column L (Windows or Open Systems)</t>
  </si>
  <si>
    <t>Fill in all information that is currently known and email to: DatabaseRequest-CS@bcbstx.com.  Include "NEW DATABASE REQUEST" in the Subject header of your email.</t>
  </si>
  <si>
    <t>APPLICATION / REQUEST / CONTACT INFORMATION:</t>
  </si>
  <si>
    <t>Data Owner:</t>
  </si>
  <si>
    <t>What is expected number of concurrent users?</t>
  </si>
  <si>
    <t>What is the expected total number of database users?</t>
  </si>
  <si>
    <t>Needs Analysis Questions for Gathering Backup&amp; Recovery Requirements</t>
  </si>
  <si>
    <t xml:space="preserve">TSM Tab Column L - Windows Domain - Added check for actual Windows Server first - Dev, Test 2.0, and Prod 2.0 </t>
  </si>
  <si>
    <r>
      <t xml:space="preserve">Macro: Lower Case - </t>
    </r>
    <r>
      <rPr>
        <b/>
        <sz val="8"/>
        <rFont val="Courier"/>
        <family val="3"/>
      </rPr>
      <t>Ctrl+l</t>
    </r>
  </si>
  <si>
    <t>Hostnames Only --- Not A-Records</t>
  </si>
  <si>
    <t>Added new tab - New DB Request</t>
  </si>
  <si>
    <t>Mgmt and Monitoring</t>
  </si>
  <si>
    <t>Test 2.0-Application Interface-Mgmt and Monitoring</t>
  </si>
  <si>
    <t>Prod 2.0-Application Interface-Mgmt and Monitoring</t>
  </si>
  <si>
    <t>Dist. Assets Tab - Added Mgmt &amp; Monitoring to Layer choices</t>
  </si>
  <si>
    <t>IP Tab - Added functionality to allow autopopulate Subnet / Gway info and VLAN info for Mgmt &amp; Monitoring Layer choice</t>
  </si>
  <si>
    <t>10.134.236.1</t>
  </si>
  <si>
    <t>Every Tab - Added indicator(TOP Left of Title Bar)  whether Tab is required - based off Table of Contents</t>
  </si>
  <si>
    <t xml:space="preserve">Instance Name - 
(MF) DB2 Subsystem </t>
  </si>
  <si>
    <t>Database All - modified column C &amp; L to include MF DB2 info</t>
  </si>
  <si>
    <t>General Notes</t>
  </si>
  <si>
    <t>Test 2.0 Anyplace Web DMZ</t>
  </si>
  <si>
    <t>Test 2.0-Application Interface-Citrix OnDemand</t>
  </si>
  <si>
    <t>Test 2.0 Citrix OnDemand</t>
  </si>
  <si>
    <t>Prod 2.0-iLO Interface-Security</t>
  </si>
  <si>
    <t>Prod 2.0-iLO Interface-Citrix OnDemand</t>
  </si>
  <si>
    <t>10.69.64.0/22</t>
  </si>
  <si>
    <t>Prod 2.0 FW Prod ILO Network</t>
  </si>
  <si>
    <t>10.70.224.0/22</t>
  </si>
  <si>
    <t>10.132.224.0/22</t>
  </si>
  <si>
    <t>10.70.58.0/24</t>
  </si>
  <si>
    <t>10.72.224.0/22</t>
  </si>
  <si>
    <t>10.70.192.0/22</t>
  </si>
  <si>
    <t>10.70.96.0/22</t>
  </si>
  <si>
    <t>Prepared By:  Business Production Services</t>
  </si>
  <si>
    <r>
      <rPr>
        <sz val="7"/>
        <color indexed="10"/>
        <rFont val="Arial"/>
        <family val="2"/>
      </rPr>
      <t>Firewall Rule reminders (See Comments)</t>
    </r>
    <r>
      <rPr>
        <b/>
        <sz val="8"/>
        <rFont val="Arial"/>
        <family val="2"/>
      </rPr>
      <t xml:space="preserve">
Action</t>
    </r>
  </si>
  <si>
    <t>Firewall Rule reminders in the Action column (comments)</t>
  </si>
  <si>
    <t>Changed Dist. Assets - asset prefix to be comprised of last A+5 characters of Clarity Code entered on T.O.C.</t>
  </si>
  <si>
    <t>Moved DR Critical Tier to Table of Contents. (added Tier descriptions)</t>
  </si>
  <si>
    <t>BOM Functions - updated AIX &amp; Linux OS versions to currently supported.</t>
  </si>
  <si>
    <t>DR Critical Tier</t>
  </si>
  <si>
    <t>DR Description</t>
  </si>
  <si>
    <t>24 hrs.</t>
  </si>
  <si>
    <t>72 hrs.</t>
  </si>
  <si>
    <t>DR Tier:</t>
  </si>
  <si>
    <t>GSA 1.0 to 2.0  pwausxtsmmgt08  IP:10.139.248.165</t>
  </si>
  <si>
    <t>EAS, PMPI, All others</t>
  </si>
  <si>
    <t>Fixed the Environment Lookups in the Open Systems, Storage, Databse All and TSM Tabs</t>
  </si>
  <si>
    <t>SQL Database</t>
  </si>
  <si>
    <t>10.136.100.36</t>
  </si>
  <si>
    <t>10.136.100.43</t>
  </si>
  <si>
    <t>License Server</t>
  </si>
  <si>
    <t>Application Server</t>
  </si>
  <si>
    <t>SQL Server</t>
  </si>
  <si>
    <t>Web Server</t>
  </si>
  <si>
    <t>pwauswsdsq06</t>
  </si>
  <si>
    <t>Cluster</t>
  </si>
  <si>
    <t>10.134.100.41</t>
  </si>
  <si>
    <t>URL</t>
  </si>
  <si>
    <t>UAT2</t>
  </si>
  <si>
    <t>UAT3</t>
  </si>
  <si>
    <t>Added new host table lookup table - changed IP TAB DNS &amp; IP ADDRESS lookups to point to new table</t>
  </si>
  <si>
    <t>Added additional fields to Storage Tab</t>
  </si>
  <si>
    <t>10.119.224.0/22</t>
  </si>
  <si>
    <t>10.119.224.1</t>
  </si>
  <si>
    <t>10.133.64.0/22</t>
  </si>
  <si>
    <t>10.133.64.1</t>
  </si>
  <si>
    <t>App Name</t>
  </si>
  <si>
    <t>MQ Lookups</t>
  </si>
  <si>
    <t>DR Tier</t>
  </si>
  <si>
    <t>Added additional  subnets to BOM functions Fort Worth Prod, Wauk Anyplace Environments</t>
  </si>
  <si>
    <t>dev</t>
  </si>
  <si>
    <t>Added Link to DR site for Application Critical number lookup</t>
  </si>
  <si>
    <t>Prod 2.0-Application Interface-Extranet DMZ</t>
  </si>
  <si>
    <t>L&amp;P</t>
  </si>
  <si>
    <t>Prod-Fix</t>
  </si>
  <si>
    <t>Test</t>
  </si>
  <si>
    <t>Abbv</t>
  </si>
  <si>
    <t>lp</t>
  </si>
  <si>
    <t>prd</t>
  </si>
  <si>
    <t>sit1</t>
  </si>
  <si>
    <t>sit2</t>
  </si>
  <si>
    <t>sit3</t>
  </si>
  <si>
    <t>uat1</t>
  </si>
  <si>
    <t>uat2</t>
  </si>
  <si>
    <t>uat3</t>
  </si>
  <si>
    <t>UIT1</t>
  </si>
  <si>
    <t>UIT2</t>
  </si>
  <si>
    <t>UIT3</t>
  </si>
  <si>
    <t>uit1</t>
  </si>
  <si>
    <t>uit2</t>
  </si>
  <si>
    <t>uit3</t>
  </si>
  <si>
    <t>SIT1</t>
  </si>
  <si>
    <t>SIT2</t>
  </si>
  <si>
    <t>SIT3</t>
  </si>
  <si>
    <t>UAT1</t>
  </si>
  <si>
    <t>DMZ</t>
  </si>
  <si>
    <t>Added Reverse Proxy Tab</t>
  </si>
  <si>
    <t>192.168.52.128/25</t>
  </si>
  <si>
    <t>Prod 2.0-Cluster Heartbeat-Data</t>
  </si>
  <si>
    <t>192.168.49.128/25</t>
  </si>
  <si>
    <t>192.168.49.129</t>
  </si>
  <si>
    <t>Table of Contents" added Application number, Project Manager fields</t>
  </si>
  <si>
    <t>ssh, SQL, DB2,</t>
  </si>
  <si>
    <r>
      <rPr>
        <b/>
        <sz val="8"/>
        <color indexed="10"/>
        <rFont val="Arial"/>
        <family val="2"/>
      </rPr>
      <t>Hostnames should be entered on Dist. Assets, Column Q</t>
    </r>
    <r>
      <rPr>
        <b/>
        <sz val="8"/>
        <rFont val="Arial"/>
        <family val="2"/>
      </rPr>
      <t xml:space="preserve">
Host Name</t>
    </r>
  </si>
  <si>
    <t>(SQL ONLY)
SSIS Package Required?</t>
  </si>
  <si>
    <t xml:space="preserve">Renamed migration Tab to Provisioning, Added section for ID Requests - reminders - check off, provided links. </t>
  </si>
  <si>
    <t xml:space="preserve">Application Name </t>
  </si>
  <si>
    <t>New Databases required?</t>
  </si>
  <si>
    <t>R9.0</t>
  </si>
  <si>
    <t>Firewall rule tab - Added reserved area for remote access to DBs with minimal logic</t>
  </si>
  <si>
    <t>Added ITAM questions in Database all</t>
  </si>
  <si>
    <t>App Short Name</t>
  </si>
  <si>
    <t>App Description</t>
  </si>
  <si>
    <t>Port</t>
  </si>
  <si>
    <t>Paths</t>
  </si>
  <si>
    <t>UAT</t>
  </si>
  <si>
    <t>SIT</t>
  </si>
  <si>
    <t>sit</t>
  </si>
  <si>
    <t>uat</t>
  </si>
  <si>
    <t>pfx</t>
  </si>
  <si>
    <r>
      <t>Enter Z-Code or Budget Code this project will be billed. (</t>
    </r>
    <r>
      <rPr>
        <sz val="10"/>
        <color indexed="10"/>
        <rFont val="Arial"/>
        <family val="2"/>
      </rPr>
      <t>Not Clarity Code</t>
    </r>
    <r>
      <rPr>
        <sz val="10"/>
        <rFont val="Arial"/>
        <family val="2"/>
      </rPr>
      <t>)</t>
    </r>
  </si>
  <si>
    <t>Application uses
Reverse Proxy?</t>
  </si>
  <si>
    <t>tst</t>
  </si>
  <si>
    <t>UIT</t>
  </si>
  <si>
    <t>uit</t>
  </si>
  <si>
    <t>Training</t>
  </si>
  <si>
    <t>trn</t>
  </si>
  <si>
    <t>list_envabbv</t>
  </si>
  <si>
    <t>list_envname</t>
  </si>
  <si>
    <t>Env list (must be sorted)</t>
  </si>
  <si>
    <t>Prod 2.0-OOB Interface-Mgmt and Monitoring</t>
  </si>
  <si>
    <t>Prod FW</t>
  </si>
  <si>
    <t>pfw</t>
  </si>
  <si>
    <t>CA Incident Number</t>
  </si>
  <si>
    <t>DEV-Application Interface-DEV- Flat</t>
  </si>
  <si>
    <t xml:space="preserve">Dev - Server  AIX CSM (OOB) </t>
  </si>
  <si>
    <t>192.168.252.0/22</t>
  </si>
  <si>
    <t>iRule</t>
  </si>
  <si>
    <t>R9.1</t>
  </si>
  <si>
    <t>Added Datapower Tab</t>
  </si>
  <si>
    <t>WAS TAB - Added Data Log questioning for additional SAN?</t>
  </si>
  <si>
    <t xml:space="preserve">IP Tab - BOM Functions - Added functions to allow AIX - CSM (oob) for DEV </t>
  </si>
  <si>
    <t>TOC - Clarified DR number requirement - only used for Prod</t>
  </si>
  <si>
    <t>Release Notes - Summary of version changes</t>
  </si>
  <si>
    <t xml:space="preserve">Open Systems - SAN TAB - Added Message area - for WAS Data Log  requirement reminder (conditional Message based on </t>
  </si>
  <si>
    <t>response to Websphere Tab C67.</t>
  </si>
  <si>
    <t>Prime Therapeutics</t>
  </si>
  <si>
    <t>SAN Tab - Modified LUN Column to accept free text</t>
  </si>
  <si>
    <t>1. Splunk Forwarder will require separate Log directories for Shared Servers (CCSP)
2. SAN increases will require email to SAN-MAC with budget approval from Budget owner.</t>
  </si>
  <si>
    <t>Important Notes:</t>
  </si>
  <si>
    <t>Test 1.0</t>
  </si>
  <si>
    <t>Prod 1.0</t>
  </si>
  <si>
    <t>File_System_reqs</t>
  </si>
  <si>
    <t>APP</t>
  </si>
  <si>
    <t>ITAM Approval received? - new database</t>
  </si>
  <si>
    <t>Database All - ITAM boxes reworded to include "received"</t>
  </si>
  <si>
    <t>Open Systems - added auto fill for WAS File reqs based on WAS version identified in Dist Assests</t>
  </si>
  <si>
    <t>DEV-OOB-DEV- Flat</t>
  </si>
  <si>
    <t>Dev - Server  Process (FLAT) OOB</t>
  </si>
  <si>
    <t>10.130.136.0/23</t>
  </si>
  <si>
    <t>10.130.136.1</t>
  </si>
  <si>
    <t>ITAM Approval Number</t>
  </si>
  <si>
    <t>New DB TAB - Data model required for Prod</t>
  </si>
  <si>
    <t xml:space="preserve">Database All - ITAM Approval numbers </t>
  </si>
  <si>
    <t>New Database Request  (new Database)</t>
  </si>
  <si>
    <t>R9.2</t>
  </si>
  <si>
    <t>Add CTG Gateway Tab - Requires App team input</t>
  </si>
  <si>
    <t>Add WAS Admin Colored section for Firewall rules</t>
  </si>
  <si>
    <t>Record Type</t>
  </si>
  <si>
    <t>Record Type Description</t>
  </si>
  <si>
    <t>LBOM  Tab Status?</t>
  </si>
  <si>
    <t>DNS Tab - Added record type column for Host Records &amp; cnames.  (Host records self populates, cnames is drop-down.)</t>
  </si>
  <si>
    <t>Load Balancer - changed default algorithim to Round-Robin from member observed per request from J. Barrett 12/9</t>
  </si>
  <si>
    <t>updated Webshere tab to include WAS 7.0 and 64 bit as choices</t>
  </si>
  <si>
    <t>Open Systems - made middleware file specs auto populate for WAS based on Distr, Assets WAS selection</t>
  </si>
  <si>
    <t>Gateway Changes for 2.0</t>
  </si>
  <si>
    <t>Backup</t>
  </si>
  <si>
    <t>Prod 1.0 SEM Management Segment</t>
  </si>
  <si>
    <t>10.138.144.0/24</t>
  </si>
  <si>
    <t>10.138.200.50</t>
  </si>
  <si>
    <t>Prod 1.0 SEM Log Segment</t>
  </si>
  <si>
    <t>10.138.200.0/24</t>
  </si>
  <si>
    <t>10.138.200.1</t>
  </si>
  <si>
    <t>Prod 1.0 SEM Backup Segment</t>
  </si>
  <si>
    <t>10.138.199.0/27</t>
  </si>
  <si>
    <t>10.138.199.1</t>
  </si>
  <si>
    <t>Prod 1.0 SEM CSM Segment</t>
  </si>
  <si>
    <t>192.168.201.0/24</t>
  </si>
  <si>
    <t>192.168.201.1</t>
  </si>
  <si>
    <t>10.134.116.0/22</t>
  </si>
  <si>
    <t>10.134.116.1</t>
  </si>
  <si>
    <t>Test 2.0-Application Interface-Corporate DMZ</t>
  </si>
  <si>
    <t>10.134.112.0/22</t>
  </si>
  <si>
    <t>10.134.112.1</t>
  </si>
  <si>
    <t>Prod 2.0-VIP-Corporate DMZ</t>
  </si>
  <si>
    <t>10.136.116.0/22</t>
  </si>
  <si>
    <t>10.136.116.1</t>
  </si>
  <si>
    <t>Prod 2.0-Application Interface-Corporate DMZ</t>
  </si>
  <si>
    <t>10.136.112.0/22</t>
  </si>
  <si>
    <t>10.136.112.1</t>
  </si>
  <si>
    <t>Corporate DMZ</t>
  </si>
  <si>
    <t>SIT4</t>
  </si>
  <si>
    <t>SIT5</t>
  </si>
  <si>
    <t>SIT6</t>
  </si>
  <si>
    <t>SIT7</t>
  </si>
  <si>
    <t>SIT8</t>
  </si>
  <si>
    <t>SIT9</t>
  </si>
  <si>
    <t>sit4</t>
  </si>
  <si>
    <t>sit5</t>
  </si>
  <si>
    <t>sit6</t>
  </si>
  <si>
    <t>sit7</t>
  </si>
  <si>
    <t>sit8</t>
  </si>
  <si>
    <t>sit9</t>
  </si>
  <si>
    <t>UIT4</t>
  </si>
  <si>
    <t>uit4</t>
  </si>
  <si>
    <t>UIT5</t>
  </si>
  <si>
    <t>uit5</t>
  </si>
  <si>
    <t>UIT6</t>
  </si>
  <si>
    <t>uit6</t>
  </si>
  <si>
    <t>UIT7</t>
  </si>
  <si>
    <t>uit7</t>
  </si>
  <si>
    <t>UIT8</t>
  </si>
  <si>
    <t>uit8</t>
  </si>
  <si>
    <t>UIT9</t>
  </si>
  <si>
    <t>uit9</t>
  </si>
  <si>
    <t>Actual Env</t>
  </si>
  <si>
    <t>Prod F.W.</t>
  </si>
  <si>
    <t>Application
Environment</t>
  </si>
  <si>
    <t>Cluster
HA?</t>
  </si>
  <si>
    <t>Clustered With?</t>
  </si>
  <si>
    <t>OS Version</t>
  </si>
  <si>
    <t>DB
Version</t>
  </si>
  <si>
    <t>Application
 Environment</t>
  </si>
  <si>
    <t>Infrastructure
ENV</t>
  </si>
  <si>
    <t>dr</t>
  </si>
  <si>
    <t>Infrastructure
Environment</t>
  </si>
  <si>
    <t>R9.3</t>
  </si>
  <si>
    <t>Corrected WAS File Requirements in BOM Functions to include Wiley</t>
  </si>
  <si>
    <t>Added Additonal Environments in BOM functions (list_envs; and list_envabbvs) to include most environments</t>
  </si>
  <si>
    <t>replaced Environment formula with Table in BOM functions (Array BH6 - BJ39)</t>
  </si>
  <si>
    <t>TOC - Added Project Tier question</t>
  </si>
  <si>
    <t>TOC - Added - Decommisioning question - start to capturing Decom data</t>
  </si>
  <si>
    <t xml:space="preserve">Dist. Assets Tab - Added Decom Y/N to Assets for capturing Current state info </t>
  </si>
  <si>
    <t>BOM Functions - Added additonal VLAN selection lookups</t>
  </si>
  <si>
    <t>Userids - More mdifications - working with Umeki Anthony (IS)</t>
  </si>
  <si>
    <t>Dist Assets Tab - Add Data Validation to Hostname to restrict new Hostnames 14 characters</t>
  </si>
  <si>
    <t>Record Full Visio Filename:</t>
  </si>
  <si>
    <t>LBOM Filename:</t>
  </si>
  <si>
    <t>Visio Filename:</t>
  </si>
  <si>
    <t>Future State
 Hostname</t>
  </si>
  <si>
    <t>Future State 
IP address</t>
  </si>
  <si>
    <t>Legacy Hostname</t>
  </si>
  <si>
    <t>Legacy 
IP address</t>
  </si>
  <si>
    <t>Voice A</t>
  </si>
  <si>
    <t>Voice B</t>
  </si>
  <si>
    <t>va</t>
  </si>
  <si>
    <t>vb</t>
  </si>
  <si>
    <t>Decommissioning List - List of possible assets</t>
  </si>
  <si>
    <t>Will any assets become available for Decommissioning?</t>
  </si>
  <si>
    <t>Network, Load balancer</t>
  </si>
  <si>
    <t>Response / Comments</t>
  </si>
  <si>
    <t>Project Details</t>
  </si>
  <si>
    <t>Decommissioning - Created Process to capture Decom Assets on new tab</t>
  </si>
  <si>
    <t>Renamed Analysis Tab to Project Details to include project descrioption &amp; comments related to project</t>
  </si>
  <si>
    <t>TOC - Added Project Name &amp; Project Details link</t>
  </si>
  <si>
    <t>R9.4</t>
  </si>
  <si>
    <t>Minor Cleanup</t>
  </si>
  <si>
    <t>Dependency &amp; Affinity Items/Components</t>
  </si>
  <si>
    <t>IS - 3rd Party Connectivity</t>
  </si>
  <si>
    <t>Legacy Server Available to Decommission?</t>
  </si>
  <si>
    <t xml:space="preserve"> Virtual IP (VIP)
auto filled (from IP tab)</t>
  </si>
  <si>
    <t>Apache version:</t>
  </si>
  <si>
    <t>2.0.53 32-bit</t>
  </si>
  <si>
    <t>App Instance #2</t>
  </si>
  <si>
    <t>App Instance #3</t>
  </si>
  <si>
    <t>App Instance #4</t>
  </si>
  <si>
    <t>App Instance #5</t>
  </si>
  <si>
    <t>App Instance #6</t>
  </si>
  <si>
    <t>App Instance #7</t>
  </si>
  <si>
    <t>App Instance #8</t>
  </si>
  <si>
    <t>App Instance #9</t>
  </si>
  <si>
    <t>App Instance #10</t>
  </si>
  <si>
    <t>App Instance #11</t>
  </si>
  <si>
    <t>App Instance #12</t>
  </si>
  <si>
    <t>App Instance #13</t>
  </si>
  <si>
    <t>App Instance #14</t>
  </si>
  <si>
    <t>App Instance #15</t>
  </si>
  <si>
    <t>App Instance #16</t>
  </si>
  <si>
    <t>App Instance #17</t>
  </si>
  <si>
    <t>App Instance #18</t>
  </si>
  <si>
    <t>App Instance #19</t>
  </si>
  <si>
    <t>App Instance #20</t>
  </si>
  <si>
    <t>App Instance #1</t>
  </si>
  <si>
    <t>Has Application Owner approved LBOM and diagram ?</t>
  </si>
  <si>
    <t>Request #</t>
  </si>
  <si>
    <t>Template Version</t>
  </si>
  <si>
    <t xml:space="preserve">Original Release Date: 06/21/2010   </t>
  </si>
  <si>
    <t>TOC - Added a coded version number at the top</t>
  </si>
  <si>
    <t>Reverse proxy - fixed some minor issues, corrected the cname formula</t>
  </si>
  <si>
    <t>CSM (iLO) Interface - DEV</t>
  </si>
  <si>
    <t>Active / Active</t>
  </si>
  <si>
    <t>Active / Passive</t>
  </si>
  <si>
    <t>Distributed Assets / LBOM Functions - added Active / Active &amp; Active / Passive as choices for Cluster</t>
  </si>
  <si>
    <t>DNS Tab - fixed DMZ formula / added formula in Hosts section to add VIP as hostname for VIPs</t>
  </si>
  <si>
    <t>DNS Tab - added DNS checker button / macro (version 1.0) - Initial release of DNS Checker by Tim Kalbas</t>
  </si>
  <si>
    <t>TOC -Added Sign off for LBOM to be approved by App Owner</t>
  </si>
  <si>
    <t>DNS Tab -added additional named fields to prepare for DNS checker macro</t>
  </si>
  <si>
    <t>Userid Tab - Reworked UserID Tab - cleaned up / rearranged</t>
  </si>
  <si>
    <t>Monitoring Tab - added Host record (FQDN) and Device Admin columns to pull info from IP Tab</t>
  </si>
  <si>
    <t xml:space="preserve">Distributed Assets Ips Requested will be 0 if existing server - Will be RED Font if not equal to # of IPs </t>
  </si>
  <si>
    <t>Information Provided by</t>
  </si>
  <si>
    <t>10.130.144.0/22</t>
  </si>
  <si>
    <t>10.130.144.1</t>
  </si>
  <si>
    <t>p770-dev1</t>
  </si>
  <si>
    <t>dchisxtsmmgt01</t>
  </si>
  <si>
    <t>p770-dev2</t>
  </si>
  <si>
    <t>dchisxtsmmgt02</t>
  </si>
  <si>
    <t>p770-wtc1</t>
  </si>
  <si>
    <t>twausxtsmmgt01</t>
  </si>
  <si>
    <t>p770-wtc2</t>
  </si>
  <si>
    <t>twausxtsmmgt02</t>
  </si>
  <si>
    <t>p770-wtc3</t>
  </si>
  <si>
    <t>twausxtsmmgt03</t>
  </si>
  <si>
    <t>p770-wtc4</t>
  </si>
  <si>
    <t>twausxtsmmgt04</t>
  </si>
  <si>
    <t>pwausxtsmmgt03</t>
  </si>
  <si>
    <t>pwausxtsmmgt04</t>
  </si>
  <si>
    <t>p595-wdc5</t>
  </si>
  <si>
    <t>pwausxtsmmgt05</t>
  </si>
  <si>
    <t>p595-wdc6</t>
  </si>
  <si>
    <t>pwausxtsmmgt06</t>
  </si>
  <si>
    <t>pwausxtsmmgt07</t>
  </si>
  <si>
    <t>pwausxtsmmgt08</t>
  </si>
  <si>
    <t>AIX_Frame</t>
  </si>
  <si>
    <t>AIX Hypervisor TSM Servers</t>
  </si>
  <si>
    <t xml:space="preserve">172.16.132.1  </t>
  </si>
  <si>
    <t xml:space="preserve">172.16.132.2  </t>
  </si>
  <si>
    <t xml:space="preserve">172.16.20.1  </t>
  </si>
  <si>
    <t xml:space="preserve">172.16.20.2  </t>
  </si>
  <si>
    <t xml:space="preserve">172.16.20.3  </t>
  </si>
  <si>
    <t xml:space="preserve">172.16.20.4  </t>
  </si>
  <si>
    <t xml:space="preserve">172.18.20.5  </t>
  </si>
  <si>
    <t xml:space="preserve">172.18.20.6  </t>
  </si>
  <si>
    <t xml:space="preserve">172.18.20.1  </t>
  </si>
  <si>
    <t xml:space="preserve">172.18.20.2  </t>
  </si>
  <si>
    <t xml:space="preserve">172.18.20.3  </t>
  </si>
  <si>
    <t xml:space="preserve">172.18.20.4  </t>
  </si>
  <si>
    <t>TSM Server Name</t>
  </si>
  <si>
    <t>TSMDEV21  -  p770-dev1</t>
  </si>
  <si>
    <t>TSMDEV22  -  p770-dev2</t>
  </si>
  <si>
    <t>TSMWTC21  -  p770-wtc1</t>
  </si>
  <si>
    <t>TSMWTC22  -  p770-wtc2</t>
  </si>
  <si>
    <t>TSMWTC23  -  p770-wtc3</t>
  </si>
  <si>
    <t>TSMWTC24  -  p770-wtc4</t>
  </si>
  <si>
    <t>TSMWAU25  -  p595-wdc5</t>
  </si>
  <si>
    <t>TSMWAU26  -  p595-wdc6</t>
  </si>
  <si>
    <t>TSM Tab/BOM Functions - Updated TSM Servers - modified functionality to select only applicable TSM Servers based on Environment</t>
  </si>
  <si>
    <t>sc</t>
  </si>
  <si>
    <t>sc/tk</t>
  </si>
  <si>
    <t>cont'd - comments added to provide correct TSM Selection when AIX &amp; Hypervisor is required.</t>
  </si>
  <si>
    <t>R9.5.5</t>
  </si>
  <si>
    <t>R9.6</t>
  </si>
  <si>
    <t>Minor enhancements</t>
  </si>
  <si>
    <t>IP Tab - added additional named cells for future IP macro for Network team</t>
  </si>
  <si>
    <t>DNS Tab -DNS checker macro upgraded to 1.1</t>
  </si>
  <si>
    <t>WAS - ver / Desc</t>
  </si>
  <si>
    <t>WAS File Requirements</t>
  </si>
  <si>
    <t>SSL Channel for MQ</t>
  </si>
  <si>
    <t>Firewall tab - Added default ports for WAS Admin Ports</t>
  </si>
  <si>
    <t>MQ Messaging - added new column for SSL  Channel for MQ</t>
  </si>
  <si>
    <t>CTG Gateway - Modified CTG Tab based on John Ulrich input (taken from CCSP: C&amp;BB sp4 Path 1 LBoM)</t>
  </si>
  <si>
    <t>Test 2.0-Application Interface-SiteMinder Policy</t>
  </si>
  <si>
    <t>10.134.152.0/27</t>
  </si>
  <si>
    <t>10.134.152.1</t>
  </si>
  <si>
    <t>10.134.152.65</t>
  </si>
  <si>
    <t>10.134.152.128/27</t>
  </si>
  <si>
    <t>10.134.152.129</t>
  </si>
  <si>
    <t>10.134.152.193</t>
  </si>
  <si>
    <t>10.134.152.64/27</t>
  </si>
  <si>
    <t>10.134.152.192/27</t>
  </si>
  <si>
    <t>Test 2.0-Application Interface-Siteminder Web</t>
  </si>
  <si>
    <t>Test 2.0-Application Interface-Siteminder Report Db</t>
  </si>
  <si>
    <t>Test 2.0-Application Interface-SiteMinder Secure Db</t>
  </si>
  <si>
    <t>SiteMinder Policy</t>
  </si>
  <si>
    <t>SiteMinder Secure Db</t>
  </si>
  <si>
    <t>Siteminder Web</t>
  </si>
  <si>
    <t>2c</t>
  </si>
  <si>
    <t>BOM Functions - added Siteminder IP / VLAN info (Test)</t>
  </si>
  <si>
    <t>DEV- Flat - OLD</t>
  </si>
  <si>
    <t>DEV-Application Interface-DEV- Flat - OLD</t>
  </si>
  <si>
    <t>Dev - Server  Process (FLAT) - New DEV IP Subnet</t>
  </si>
  <si>
    <t>APP Team Desired Date</t>
  </si>
  <si>
    <t>sc/fe</t>
  </si>
  <si>
    <t>Dist Assets Tab - Added App Team request date, ICC Scheduled completion date</t>
  </si>
  <si>
    <t>Websphere - Added Priority build row - allows assign priorities of websphere builds</t>
  </si>
  <si>
    <t>Hypervisor
Required
(AIX Only)</t>
  </si>
  <si>
    <t>Zena</t>
  </si>
  <si>
    <t>Zena_Flag</t>
  </si>
  <si>
    <t>Table of Contents - renames TSM to Backup - (TSM / Zena) and use a Flag to indicate if Zena required in column E for ICC discussion</t>
  </si>
  <si>
    <t>PHI used / accessed</t>
  </si>
  <si>
    <t>Project Details tab - Added PHI section to identify PHI and and PHI in DEV</t>
  </si>
  <si>
    <t>cont'd - flag (zena_flag) checks Zena App column (new) on TSM Tab &amp; Zena column.</t>
  </si>
  <si>
    <t>Asset Identifier</t>
  </si>
  <si>
    <t>Table of Contents - Added conditional Formatting to fields C7 - C13 - turn red when App name completed and corresponding cell is blank</t>
  </si>
  <si>
    <t>DNS
PHASE</t>
  </si>
  <si>
    <t>Was the Diagram "Checked out" from Config Management?</t>
  </si>
  <si>
    <t>DR required</t>
  </si>
  <si>
    <t>Yes</t>
  </si>
  <si>
    <t>yes_no</t>
  </si>
  <si>
    <t>Approved By:</t>
  </si>
  <si>
    <r>
      <rPr>
        <u/>
        <sz val="11"/>
        <color rgb="FF0000FF"/>
        <rFont val="Arial"/>
        <family val="2"/>
      </rPr>
      <t>Visio Diagram</t>
    </r>
    <r>
      <rPr>
        <u/>
        <sz val="11"/>
        <color rgb="FFFF0000"/>
        <rFont val="Arial"/>
        <family val="2"/>
      </rPr>
      <t xml:space="preserve"> </t>
    </r>
    <r>
      <rPr>
        <u/>
        <sz val="11"/>
        <color indexed="12"/>
        <rFont val="Arial"/>
        <family val="2"/>
      </rPr>
      <t xml:space="preserve"> </t>
    </r>
    <r>
      <rPr>
        <u/>
        <sz val="10"/>
        <color rgb="FFFF0000"/>
        <rFont val="Arial"/>
        <family val="2"/>
      </rPr>
      <t>(Diagram updated, filename &amp; version)</t>
    </r>
  </si>
  <si>
    <t>R10.0</t>
  </si>
  <si>
    <t>Major enhancements</t>
  </si>
  <si>
    <t>Separate Project Info from Table of Contents and put on Project Details - Project Details Main is now the main Description page</t>
  </si>
  <si>
    <t>Remove the Mid Tags tab</t>
  </si>
  <si>
    <t>Updated User ID tab</t>
  </si>
  <si>
    <t>App Contact</t>
  </si>
  <si>
    <t>eMail address to send events to</t>
  </si>
  <si>
    <t>Does it host JVMs?</t>
  </si>
  <si>
    <t>Monitoring Policies</t>
  </si>
  <si>
    <t>Message Groups</t>
  </si>
  <si>
    <t>File Spaces</t>
  </si>
  <si>
    <t>Any other processes to monitor</t>
  </si>
  <si>
    <t>Notify Whom</t>
  </si>
  <si>
    <t>Response Time Thresholds</t>
  </si>
  <si>
    <t>OK</t>
  </si>
  <si>
    <t>Minor</t>
  </si>
  <si>
    <t>Critical</t>
  </si>
  <si>
    <t>Devices to Monitor</t>
  </si>
  <si>
    <t>URLs to Monitor</t>
  </si>
  <si>
    <t>Database Monitoring</t>
  </si>
  <si>
    <t>Instance Name</t>
  </si>
  <si>
    <t>Severity</t>
  </si>
  <si>
    <t>SQL Statement Prototype</t>
  </si>
  <si>
    <t>Message(Optional)</t>
  </si>
  <si>
    <t>BAC BPM Monitoring</t>
  </si>
  <si>
    <t>SOAP/XML Monitoring</t>
  </si>
  <si>
    <t>WSDL Page</t>
  </si>
  <si>
    <t>Need SOAP Request</t>
  </si>
  <si>
    <t>BPM Steps to monitor</t>
  </si>
  <si>
    <t>Open Home Page URL</t>
  </si>
  <si>
    <t>Enter User ID and Password</t>
  </si>
  <si>
    <t>Click Search</t>
  </si>
  <si>
    <t>Enter Info</t>
  </si>
  <si>
    <t>Results to verify</t>
  </si>
  <si>
    <t>Logout</t>
  </si>
  <si>
    <t>User ID/Password</t>
  </si>
  <si>
    <t>Hours of Operation</t>
  </si>
  <si>
    <t>Frequency of check</t>
  </si>
  <si>
    <t>5/10/15 minutes</t>
  </si>
  <si>
    <t>Notify Whom?</t>
  </si>
  <si>
    <t>Event Management To-Dos</t>
  </si>
  <si>
    <t>Pre-requisites</t>
  </si>
  <si>
    <t>Install Agent</t>
  </si>
  <si>
    <t>Server built, DNS, Reverse Lookup, BladeLogic*</t>
  </si>
  <si>
    <t>Add to OVPM</t>
  </si>
  <si>
    <t>Agent installed and functioning</t>
  </si>
  <si>
    <t>Add to OVPI</t>
  </si>
  <si>
    <t>Add URLs to SiteScope/BAC</t>
  </si>
  <si>
    <t>application built</t>
  </si>
  <si>
    <t>Add DB Query Monitoring to SiteScope</t>
  </si>
  <si>
    <t>Implement DB Monitoring</t>
  </si>
  <si>
    <t>Implement Base OS Templates</t>
  </si>
  <si>
    <t>Implement JVM Log File Monitoring</t>
  </si>
  <si>
    <t>application built and agent installed and functioning</t>
  </si>
  <si>
    <t>Add port monitoring to SiteScope</t>
  </si>
  <si>
    <t>Add service monitoring to OVO Template</t>
  </si>
  <si>
    <t>Add SOAP BPM</t>
  </si>
  <si>
    <t>Add End User BPM</t>
  </si>
  <si>
    <t>Notes to Monitoring</t>
  </si>
  <si>
    <t>new version of Monitoring Tab</t>
  </si>
  <si>
    <t xml:space="preserve">DNS HostRecords now part of IP tab - DNS tab will bw only for Cnames </t>
  </si>
  <si>
    <t>Instance Port</t>
  </si>
  <si>
    <t>Application Specific Information</t>
  </si>
  <si>
    <t>Application Name</t>
  </si>
  <si>
    <t>Application Team</t>
  </si>
  <si>
    <t>Application Environment</t>
  </si>
  <si>
    <t>Added Pre DCC Checklist - added entry to TOC</t>
  </si>
  <si>
    <r>
      <t xml:space="preserve">Alias / CNAME </t>
    </r>
    <r>
      <rPr>
        <sz val="8"/>
        <color indexed="8"/>
        <rFont val="Arial"/>
        <family val="2"/>
      </rPr>
      <t>(Fully Qualified)</t>
    </r>
  </si>
  <si>
    <t>10.136.132.0/22</t>
  </si>
  <si>
    <t>10.136.132.1</t>
  </si>
  <si>
    <t>10.136.136.0/22</t>
  </si>
  <si>
    <t>10.136.140.0/22</t>
  </si>
  <si>
    <t>10.136.144.0/22</t>
  </si>
  <si>
    <t>10.136.148.0/22</t>
  </si>
  <si>
    <t>10.136.158.0/24</t>
  </si>
  <si>
    <t>10.136.159.0/24</t>
  </si>
  <si>
    <t>10.136.136.1</t>
  </si>
  <si>
    <t>10.136.140.1</t>
  </si>
  <si>
    <t>10.136.144.1</t>
  </si>
  <si>
    <t>10.136.148.1</t>
  </si>
  <si>
    <t>10.136.158.1</t>
  </si>
  <si>
    <t>10.136.159.1</t>
  </si>
  <si>
    <t>10.134.159.0/24</t>
  </si>
  <si>
    <t>10.134.159.1</t>
  </si>
  <si>
    <t>10.134.132.0/22</t>
  </si>
  <si>
    <t>10.134.132.1</t>
  </si>
  <si>
    <t>10.134.136.0/22</t>
  </si>
  <si>
    <t>10.134.136.1</t>
  </si>
  <si>
    <t>10.134.140.0/22</t>
  </si>
  <si>
    <t>10.134.140.1</t>
  </si>
  <si>
    <t>10.134.144.0/22</t>
  </si>
  <si>
    <t>10.134.144.1</t>
  </si>
  <si>
    <t>10.134.148.0/22</t>
  </si>
  <si>
    <t>10.134.148.1</t>
  </si>
  <si>
    <t>10.134.158.0/24</t>
  </si>
  <si>
    <t>10.134.158.1</t>
  </si>
  <si>
    <t>updated VLANs to include VLAN 1721 - 1727 &amp; 2721 - 2727</t>
  </si>
  <si>
    <t>Modified colors to be uniform throughout workbook</t>
  </si>
  <si>
    <t>Resolve       DNS in DMZ?</t>
  </si>
  <si>
    <t>Host records are now provisioned on the IP Tab, only CNAMEs and Aliases are assigned on the DNS Tab</t>
  </si>
  <si>
    <t>DNS Checker Results</t>
  </si>
  <si>
    <t>Production</t>
  </si>
  <si>
    <t>P</t>
  </si>
  <si>
    <t>WAU</t>
  </si>
  <si>
    <t>Server Windows</t>
  </si>
  <si>
    <t>SW</t>
  </si>
  <si>
    <t>Shared Resource Server</t>
  </si>
  <si>
    <t>SH</t>
  </si>
  <si>
    <t>SQL</t>
  </si>
  <si>
    <t>SQ</t>
  </si>
  <si>
    <t>Prodstatus (1)</t>
  </si>
  <si>
    <t>Sites (3)</t>
  </si>
  <si>
    <t>Device Types (2)</t>
  </si>
  <si>
    <t>Node (2)
00 - 99</t>
  </si>
  <si>
    <t>Abilene, Texas</t>
  </si>
  <si>
    <t xml:space="preserve">Actuarial </t>
  </si>
  <si>
    <t>T</t>
  </si>
  <si>
    <t>Albuquerque HQ, New Mexico</t>
  </si>
  <si>
    <t>D</t>
  </si>
  <si>
    <t>Albuquerque North, New Mexico</t>
  </si>
  <si>
    <t>Sandbox</t>
  </si>
  <si>
    <t>S</t>
  </si>
  <si>
    <t>Amarillo, Texas</t>
  </si>
  <si>
    <t>Blue Access</t>
  </si>
  <si>
    <t>Disaster Recovery</t>
  </si>
  <si>
    <t>R</t>
  </si>
  <si>
    <t>Aurora, Illinois</t>
  </si>
  <si>
    <t>Business Continuity</t>
  </si>
  <si>
    <t>Austin, Texas</t>
  </si>
  <si>
    <t>Call Recording</t>
  </si>
  <si>
    <t>Beaumont, Texas</t>
  </si>
  <si>
    <t>Citrix Core Services</t>
  </si>
  <si>
    <t>Bellville, Illinois</t>
  </si>
  <si>
    <t>Claims Processing Analytics</t>
  </si>
  <si>
    <t>Champaign, Illinois</t>
  </si>
  <si>
    <t>Cognos</t>
  </si>
  <si>
    <t>Chicago HQ, Illinois</t>
  </si>
  <si>
    <t>CHI</t>
  </si>
  <si>
    <t>DB2 Server</t>
  </si>
  <si>
    <t>DB</t>
  </si>
  <si>
    <t>Chicago Wacker, Illinois</t>
  </si>
  <si>
    <t>CVP/eIVR</t>
  </si>
  <si>
    <t>Cleveland, Ohio</t>
  </si>
  <si>
    <t>Corpus Christi, Texas</t>
  </si>
  <si>
    <t>Domain Controller</t>
  </si>
  <si>
    <t>ESX</t>
  </si>
  <si>
    <t>Danville, Illinois</t>
  </si>
  <si>
    <t>Downers Grove, Illinois</t>
  </si>
  <si>
    <t>File Server</t>
  </si>
  <si>
    <t>El Paso, Texas</t>
  </si>
  <si>
    <t>File Transfer Protocol</t>
  </si>
  <si>
    <t>Houston, Texas</t>
  </si>
  <si>
    <t>Enterprise Authentication</t>
  </si>
  <si>
    <t>Jacksonville, Illinois</t>
  </si>
  <si>
    <t>Enterprise Marketing</t>
  </si>
  <si>
    <t>Lubbock, Texas</t>
  </si>
  <si>
    <t>Marion, Illinois</t>
  </si>
  <si>
    <t>Marshall, Texas</t>
  </si>
  <si>
    <t>FDL</t>
  </si>
  <si>
    <t>Mattoon, Illinois</t>
  </si>
  <si>
    <t>Financial Systems</t>
  </si>
  <si>
    <t>Midland, Texas</t>
  </si>
  <si>
    <t>New York City, New York</t>
  </si>
  <si>
    <t>Oklahoma City, Oklahoma</t>
  </si>
  <si>
    <t>Health Management</t>
  </si>
  <si>
    <t>OSC, Illinois</t>
  </si>
  <si>
    <t>Human Resources (Peoplesoft, Orgchart)</t>
  </si>
  <si>
    <t>Palestine, Texas</t>
  </si>
  <si>
    <t>Monitor</t>
  </si>
  <si>
    <t>Quincy, Illinois</t>
  </si>
  <si>
    <t>RCH</t>
  </si>
  <si>
    <t>Richardson Campbell, Texas</t>
  </si>
  <si>
    <t>Richardson Greenway, Texas</t>
  </si>
  <si>
    <t>ITAM</t>
  </si>
  <si>
    <t>Rockford, Illinois</t>
  </si>
  <si>
    <t>McKesson ClaimXten</t>
  </si>
  <si>
    <t>San Angelo, Texas</t>
  </si>
  <si>
    <t>San Antonio, Texas</t>
  </si>
  <si>
    <t>Springfield White Oaks, Illinois</t>
  </si>
  <si>
    <t>SC</t>
  </si>
  <si>
    <t>Plano (Texas OSC), Texas</t>
  </si>
  <si>
    <t>Peoplesoft</t>
  </si>
  <si>
    <t>Quality Center</t>
  </si>
  <si>
    <t>Right Fax</t>
  </si>
  <si>
    <t>Tulsa South, Oklahoma</t>
  </si>
  <si>
    <t>Tyler, Texas</t>
  </si>
  <si>
    <t>Waco, Texas</t>
  </si>
  <si>
    <t>Waukegan, Illinois</t>
  </si>
  <si>
    <t>Wichita Falls, Texas</t>
  </si>
  <si>
    <t>Storage Area Network</t>
  </si>
  <si>
    <t>Vistar</t>
  </si>
  <si>
    <r>
      <t>Example</t>
    </r>
    <r>
      <rPr>
        <i/>
        <sz val="11"/>
        <color theme="1"/>
        <rFont val="Calibri"/>
        <family val="2"/>
        <scheme val="minor"/>
      </rPr>
      <t xml:space="preserve"> </t>
    </r>
  </si>
  <si>
    <t>Added new tab - Naming standards - primarily for DNS checker - reference item.</t>
  </si>
  <si>
    <t>Diagram File Name(s):</t>
  </si>
  <si>
    <t xml:space="preserve">Details of check out:  </t>
  </si>
  <si>
    <t>Host Naming Standard</t>
  </si>
  <si>
    <t>NA</t>
  </si>
  <si>
    <t>PM</t>
  </si>
  <si>
    <t>Server Linux</t>
  </si>
  <si>
    <t>Server AIX</t>
  </si>
  <si>
    <t>VM</t>
  </si>
  <si>
    <t>Austin Goodman, Texas</t>
  </si>
  <si>
    <t>Atlanta, Georgia (FDL Sales Office)</t>
  </si>
  <si>
    <t>Dallas, Texas, Haskell Avenue (ACS)</t>
  </si>
  <si>
    <t>Dallas, Texas (used by ECS Windows)</t>
  </si>
  <si>
    <t>Washington DC office</t>
  </si>
  <si>
    <t>Southfield (near Detroit), Michigan (Dentemax)</t>
  </si>
  <si>
    <t>Eden Prairie, Minnesota (Dearborn National)</t>
  </si>
  <si>
    <t>Eagan, Minnesota (Prime Therapeutics DC)</t>
  </si>
  <si>
    <t>Fort Worth, Texas</t>
  </si>
  <si>
    <t>FTW</t>
  </si>
  <si>
    <t>Houston, Texas (HCSC)</t>
  </si>
  <si>
    <t>Irvine, California (FDL Sales Office)</t>
  </si>
  <si>
    <t>Lombard, Illinois (DNoA)</t>
  </si>
  <si>
    <t>Minnetonka, Minnesota (Prime Therapeutics DC)</t>
  </si>
  <si>
    <t>Oakbrook, Illinois (DNoA)</t>
  </si>
  <si>
    <t>Pittsford, New York (FDL)</t>
  </si>
  <si>
    <t>Richardson HQ, Texas</t>
  </si>
  <si>
    <t>Springfield Reimbursement (MacArthur Blvd)</t>
  </si>
  <si>
    <t>Springfield, Illinois, Robbins Road</t>
  </si>
  <si>
    <t>Springfield Claims (Liberty Drive)</t>
  </si>
  <si>
    <t>Tulsa East, Oklahoma - Tulsa III</t>
  </si>
  <si>
    <t>Tulsa, Oklahoma (FEP)</t>
  </si>
  <si>
    <t>Tulsa Memorial - Tulsa VIII - FSU</t>
  </si>
  <si>
    <t>Tulsa North; Tulsa - I - Headquarters</t>
  </si>
  <si>
    <t>unknown site &amp; address, use for temp placement</t>
  </si>
  <si>
    <t>OOB</t>
  </si>
  <si>
    <t>Emerging Technologies Lab</t>
  </si>
  <si>
    <t>Integrated Communication Services</t>
  </si>
  <si>
    <t>ECM (Enterprise Content Management)</t>
  </si>
  <si>
    <t>VMware ESX Server</t>
  </si>
  <si>
    <t>VMware Console</t>
  </si>
  <si>
    <t>WebSphere Application Server</t>
  </si>
  <si>
    <t>Blue Access for Members</t>
  </si>
  <si>
    <t>CVP (Cisco Customer Voice Portal)</t>
  </si>
  <si>
    <t>Labor Funds</t>
  </si>
  <si>
    <t>Premier Pricing</t>
  </si>
  <si>
    <t>EMC (Electronic Media Claims)</t>
  </si>
  <si>
    <t>Identity Vault</t>
  </si>
  <si>
    <t>eIVR (Enterprise Interactive Voice Response)</t>
  </si>
  <si>
    <t>Virtual Directory Server</t>
  </si>
  <si>
    <t>DNoA</t>
  </si>
  <si>
    <t>Note: Field values shown in CAPS for clarity.  Please use all lower case characters when defining host names.</t>
  </si>
  <si>
    <t>Blue Coat proxy servers</t>
  </si>
  <si>
    <t>Class Types (6 characters max: App/Env + Function+ Cluster)</t>
  </si>
  <si>
    <t>Application / Environment (2-3)
(Max of 3 characters, 2 is recommened)</t>
  </si>
  <si>
    <t>Other Comments:</t>
  </si>
  <si>
    <r>
      <t xml:space="preserve">DNS  A Record </t>
    </r>
    <r>
      <rPr>
        <sz val="8"/>
        <color indexed="8"/>
        <rFont val="Arial"/>
        <family val="2"/>
      </rPr>
      <t>(Fully Qualified)</t>
    </r>
  </si>
  <si>
    <t>Modified TOC - LAN/MAC to scan Distributed Assets for Physical Servers, and if yes selcts LAN MAC as required</t>
  </si>
  <si>
    <t>Modified Monitoring Tab:  JVMs question now evaluate server name  for WAS or HIS instead of looking Dist Assets - WAS version</t>
  </si>
  <si>
    <t>Modified Dist Assets Tab: column Z - added 3rd choice for Decom, (No, Yes - Full Decom, Yes - Partial Decom)</t>
  </si>
  <si>
    <t>UserID Tab - Created separate Websphere section as Websphere does not require a requet anymore for NPId or Unix Role.</t>
  </si>
  <si>
    <t>BOM Functions - IP VLANs - Added Persistant Interface for Test &amp; Prod</t>
  </si>
  <si>
    <t>DNS Tab - Corrected A-record lookup to include VIPs from IP Tab</t>
  </si>
  <si>
    <t>Dist Assets Tab - Added standard color info for text and Cell Fill</t>
  </si>
  <si>
    <t>IP Tab - Hid Vlan column on IP Tab - due to much discussion about filed which is required as an internal function for processing only.</t>
  </si>
  <si>
    <t>Dist Assets Tab - Added Existing-Reference Only option for Existing / Distributed Assets - Auto fils row to light brown</t>
  </si>
  <si>
    <t>Project Details tab - Corrected formula in Decom required field</t>
  </si>
  <si>
    <t>Test 2.0-VIP-GSA</t>
  </si>
  <si>
    <t>Test 2.0 VIP GSA</t>
  </si>
  <si>
    <t>Fixed IP  tab - Vip section corrected Pool Members formula</t>
  </si>
  <si>
    <t>Fixed CTG tab - B2 - required indicator</t>
  </si>
  <si>
    <t>Websphere Tab - Auto populate CTG required based on TOC</t>
  </si>
  <si>
    <t>Firewall Tab - modified DB &amp; WAS admin sections to populate with Admin SSL VPN when required</t>
  </si>
  <si>
    <t>Multiple tabs - Fixed drop-downs to start at top of list</t>
  </si>
  <si>
    <t>LAN MAC tab - added notes section - protected</t>
  </si>
  <si>
    <t>USerID Tab - removed separate Websphere section as Websphere does require a request for NPId or Unix Role.  Per IS (Umeki Anthony)</t>
  </si>
  <si>
    <t>Parallel</t>
  </si>
  <si>
    <t>This is used as the Asset number Prefix</t>
  </si>
  <si>
    <t>Distributed Assets - moved asset identifier to line above assett list</t>
  </si>
  <si>
    <t>Bom Functions - added Parallel to list_envname</t>
  </si>
  <si>
    <t>ITAM Request Form TAB - added - to be completed by DBA once New DB Request is completed and accepted.</t>
  </si>
  <si>
    <t>New / Existing Server</t>
  </si>
  <si>
    <t>Monitoring tab - Added Server Detail column- New / Exisiting</t>
  </si>
  <si>
    <t>Dist Assets Tab - moved Asset Header to right above Asset list, Fixed Drop doen for List_envname to start at top</t>
  </si>
  <si>
    <t>web container threads</t>
  </si>
  <si>
    <t>database connections</t>
  </si>
  <si>
    <t>MQ connections</t>
  </si>
  <si>
    <t>Websphere Tab - Added sections for Virtual Portal</t>
  </si>
  <si>
    <t>10.69.64.1</t>
  </si>
  <si>
    <t>10.69.68.0/22</t>
  </si>
  <si>
    <t>10.69.68.1</t>
  </si>
  <si>
    <t>10.70.58.1</t>
  </si>
  <si>
    <t>10.70.96.1</t>
  </si>
  <si>
    <t>10.70.192.1</t>
  </si>
  <si>
    <t>192.168.204.0/24</t>
  </si>
  <si>
    <t>192.168.204.1</t>
  </si>
  <si>
    <t>192.168.230.1</t>
  </si>
  <si>
    <t>192.168.230.128/26</t>
  </si>
  <si>
    <t>192.168.230.129</t>
  </si>
  <si>
    <t>10.136.244.1</t>
  </si>
  <si>
    <t>10.136.240.1</t>
  </si>
  <si>
    <t>10.136.36.0/24</t>
  </si>
  <si>
    <t>10.136.36.1</t>
  </si>
  <si>
    <t>192.168.228.0/24</t>
  </si>
  <si>
    <t>192.168.229.0/24</t>
  </si>
  <si>
    <t>192.168.228.1</t>
  </si>
  <si>
    <t>192.168.229.1</t>
  </si>
  <si>
    <t>10.134.240.1</t>
  </si>
  <si>
    <t>BOM Functions - cleaned up IP - VLANs - fixed Persistent Interface selection</t>
  </si>
  <si>
    <t>Prod F.W.-iLO Interface-Mgmt and Monitoring</t>
  </si>
  <si>
    <t>Prod F.W.-Application Interface-Mgmt and Monitoring</t>
  </si>
  <si>
    <t>10.70.236.0/22</t>
  </si>
  <si>
    <t>Prod F.W.-Application Interface-Anyplace Web DMZ</t>
  </si>
  <si>
    <t>192.168.49.135</t>
  </si>
  <si>
    <t xml:space="preserve">  ESB Gateway Request Guidelines</t>
  </si>
  <si>
    <t>Vendor/Partner IP</t>
  </si>
  <si>
    <t>URI</t>
  </si>
  <si>
    <t>Pool</t>
  </si>
  <si>
    <t>For mutual authentication, attach partner certificate to incident.</t>
  </si>
  <si>
    <t>Datapower Tab - ALL New based on NIS Request</t>
  </si>
  <si>
    <t>R10.1</t>
  </si>
  <si>
    <t>Major Enhancements</t>
  </si>
  <si>
    <t>Open Systems tab - Added DR column for Special instructions for DR related assets</t>
  </si>
  <si>
    <t>Win-DR</t>
  </si>
  <si>
    <t>Windows Physical 
DR</t>
  </si>
  <si>
    <t>Windows DR Flag</t>
  </si>
  <si>
    <t>Win_DR</t>
  </si>
  <si>
    <t>created DR Tab - collection point of DR information based on DR Tier Level</t>
  </si>
  <si>
    <t>Oracle RAC</t>
  </si>
  <si>
    <t xml:space="preserve">Hypervisor IP_Address </t>
  </si>
  <si>
    <t>10.136.160.71</t>
  </si>
  <si>
    <t>10.136.160.72</t>
  </si>
  <si>
    <t>10.134.160.53</t>
  </si>
  <si>
    <t>10.134.160.55</t>
  </si>
  <si>
    <t>10.130.133.141</t>
  </si>
  <si>
    <t>10.130.133.153</t>
  </si>
  <si>
    <t>10.134.160.57</t>
  </si>
  <si>
    <t>10.134.160.59</t>
  </si>
  <si>
    <t>10.136.161.103</t>
  </si>
  <si>
    <t>10.136.161.104</t>
  </si>
  <si>
    <t xml:space="preserve"> 10.136.160.202</t>
  </si>
  <si>
    <t xml:space="preserve"> 10.136.161.106</t>
  </si>
  <si>
    <t>TSM Tab - Corrected TSM IP Column/Lookup - Previously provided on Hypervisor Ips, now provides DNS IP for NON-Hypervisor</t>
  </si>
  <si>
    <t>Reverse Proxy Tab - Added Proxy Path and Proxy Out Sections</t>
  </si>
  <si>
    <t>UserID tab - Redesigned Tab - eliminated the spearate Dev, Test, Prod sections</t>
  </si>
  <si>
    <t>DR
VIO
Server Name
(if OS Type is AIX only)</t>
  </si>
  <si>
    <t xml:space="preserve">TSM - Additional DR info - for TSM Backup - DR Hyperviosor Identification </t>
  </si>
  <si>
    <t>DR TSM Server Name</t>
  </si>
  <si>
    <t>DR AIX_Frame</t>
  </si>
  <si>
    <t>rftwsxtsmmgt03</t>
  </si>
  <si>
    <t>rftwsxtsmmgt04</t>
  </si>
  <si>
    <t>rftwsxtsmmgt05</t>
  </si>
  <si>
    <t>rftwsxtsmmgt06</t>
  </si>
  <si>
    <t>rftwsxtsmmgt07</t>
  </si>
  <si>
    <t>rftwsxtsmmgt08</t>
  </si>
  <si>
    <t>rftwsxtsmmgt09</t>
  </si>
  <si>
    <t>rftwsxtsmmgt10</t>
  </si>
  <si>
    <t>p795-rftw1</t>
  </si>
  <si>
    <t>p795-rftw2</t>
  </si>
  <si>
    <t>p770-rftw3</t>
  </si>
  <si>
    <t>DR
Frame Name (AIX)
Control Domain
(SUN)</t>
  </si>
  <si>
    <t>TSMWAU29  -  p770-wdc2</t>
  </si>
  <si>
    <t>TSMWAU30  -  p770-wdc2</t>
  </si>
  <si>
    <t>p770-wdc2</t>
  </si>
  <si>
    <t>pwausxtsmmgt09</t>
  </si>
  <si>
    <t>pwausxtsmmgt10</t>
  </si>
  <si>
    <t>172.18.20.9</t>
  </si>
  <si>
    <t>172.18.20.10</t>
  </si>
  <si>
    <t>10.136.162.28</t>
  </si>
  <si>
    <t>10.136.162.29</t>
  </si>
  <si>
    <t>TSM Server Name / Frame</t>
  </si>
  <si>
    <t>TSM_Hostname</t>
  </si>
  <si>
    <t>TSMDEV21</t>
  </si>
  <si>
    <t>TSMDEV22</t>
  </si>
  <si>
    <t>TSMWTC21</t>
  </si>
  <si>
    <t>TSMWTC22</t>
  </si>
  <si>
    <t>TSMWTC23</t>
  </si>
  <si>
    <t>TSMWTC24</t>
  </si>
  <si>
    <t>TSMWAU23</t>
  </si>
  <si>
    <t>TSMWAU24</t>
  </si>
  <si>
    <t>TSMWAU25</t>
  </si>
  <si>
    <t>TSMWAU26</t>
  </si>
  <si>
    <t>TSMWAU21</t>
  </si>
  <si>
    <t>TSMWAU22</t>
  </si>
  <si>
    <t>TSMWAU29</t>
  </si>
  <si>
    <t>TSMWAU30</t>
  </si>
  <si>
    <t>AS400</t>
  </si>
  <si>
    <t>DR VIO Servers</t>
  </si>
  <si>
    <t>rftwsxp7avio01
rftwsxp7bvio01
rftwsxp7cvio01
rftwsxp7dvio01</t>
  </si>
  <si>
    <t>rftwsxp7avio02
rftwsxp7bvio02
rftwsxp7cvio02
rftwsxp7dvio02</t>
  </si>
  <si>
    <t>rftwsxp7avio03
rftwsxp7bvio03</t>
  </si>
  <si>
    <t>Template last modified:</t>
  </si>
  <si>
    <t>Last_Modified created to track LBoM Template version / age on Project Details / Revisions</t>
  </si>
  <si>
    <t>4 hrs</t>
  </si>
  <si>
    <t>.fyiblue.com</t>
  </si>
  <si>
    <t>.hcscint.net</t>
  </si>
  <si>
    <t>list_domain</t>
  </si>
  <si>
    <t>.test.hcscint.net</t>
  </si>
  <si>
    <t>.test.fyiblue.com</t>
  </si>
  <si>
    <t>DNS Tab - Modified DNS FQDN column to formula result of alias + domain drop-down</t>
  </si>
  <si>
    <t>Project Details - Added Admin Simplification question</t>
  </si>
  <si>
    <t>Remove</t>
  </si>
  <si>
    <t>DR TSM Server  IP address</t>
  </si>
  <si>
    <t>DR Info
Req'd</t>
  </si>
  <si>
    <t>.hcsctest.net</t>
  </si>
  <si>
    <t>.hcsc.net</t>
  </si>
  <si>
    <t>Alias / Cname 
 (Optional)</t>
  </si>
  <si>
    <t>Domain 
 (Optional)</t>
  </si>
  <si>
    <t>2TB Storage
Requires 2 TB Data Allocation</t>
  </si>
  <si>
    <r>
      <rPr>
        <b/>
        <sz val="8"/>
        <color rgb="FFFF0000"/>
        <rFont val="Arial"/>
        <family val="2"/>
      </rPr>
      <t xml:space="preserve">DR Hypervisor - the DR TSM Server name aligns to DR Frame.   
AIX - Hypervisor requies DR Specific Frame.  Solaris  - based on TSM Server Name
Windows Phys. -  based on TSM Server Name
</t>
    </r>
    <r>
      <rPr>
        <b/>
        <sz val="10"/>
        <rFont val="Arial"/>
        <family val="2"/>
      </rPr>
      <t xml:space="preserve">
DR - TSM Server to back up to</t>
    </r>
  </si>
  <si>
    <t>1/3/20013</t>
  </si>
  <si>
    <t>Completed DR Tab - SAN &amp; TSM Tab lookups</t>
  </si>
  <si>
    <t>Firewall Tab - removed orange and green DB and WAS admin access areas - these are no longer with Admin VPN</t>
  </si>
  <si>
    <t>Userid tab - Additional changes per review with IS</t>
  </si>
  <si>
    <t>Proxyin 1  Alias</t>
  </si>
  <si>
    <t>Proxyin 2  Alias</t>
  </si>
  <si>
    <t>Proxyout Alias</t>
  </si>
  <si>
    <t>Application Environment (abv)</t>
  </si>
  <si>
    <t>Infrastructure Environment</t>
  </si>
  <si>
    <t>Reverse Proxy Tab - Updated Reverse Proxy tabs / Corrected errors</t>
  </si>
  <si>
    <t>Dest. NAT  (opt)</t>
  </si>
  <si>
    <t>Source NAT (opt)</t>
  </si>
  <si>
    <t>Round Robin (default)</t>
  </si>
  <si>
    <t>None</t>
  </si>
  <si>
    <t>SIP</t>
  </si>
  <si>
    <t>Persistence</t>
  </si>
  <si>
    <t>persistence</t>
  </si>
  <si>
    <t>None (default)</t>
  </si>
  <si>
    <t>Cookie</t>
  </si>
  <si>
    <t>Destination Address Affinity</t>
  </si>
  <si>
    <t>Hash</t>
  </si>
  <si>
    <t>Microsoft Remote Desktop</t>
  </si>
  <si>
    <t>Source Address Affinity</t>
  </si>
  <si>
    <t>SSL</t>
  </si>
  <si>
    <t>Universal</t>
  </si>
  <si>
    <t>Load Balancer Tab - changes to reflect changes on ITGNS request form</t>
  </si>
  <si>
    <t>Firewall Tab - cosmetic changes to mirror ITGNS request form</t>
  </si>
  <si>
    <t>DatapowerTab - cosmetic changes to mirror ITGNS request form</t>
  </si>
  <si>
    <r>
      <t>Point of recovery:</t>
    </r>
    <r>
      <rPr>
        <sz val="8"/>
        <rFont val="Arial"/>
        <family val="2"/>
      </rPr>
      <t xml:space="preserve"> What is the current required recovery point or data currency (e.g. throughout the day, nightly, monthly)? </t>
    </r>
    <r>
      <rPr>
        <sz val="8"/>
        <color indexed="10"/>
        <rFont val="Arial"/>
        <family val="2"/>
      </rPr>
      <t>NOTE: IF ANYTHING OTHER THAN THROUGHOUT THE DAY (FULL RECOVERY MODE) IS REQUESTED, A VALID BUSINESS REASON MUST BE GIVEN TO OBTAIN AN EXCEPTION FROM Client/Server DBA MANAGEMENT</t>
    </r>
  </si>
  <si>
    <r>
      <t>Data Volatility:</t>
    </r>
    <r>
      <rPr>
        <sz val="8"/>
        <color indexed="8"/>
        <rFont val="Arial"/>
        <family val="2"/>
      </rPr>
      <t xml:space="preserve">  How often is the database updated and/or how much activity occurs against the data on a daily basis?</t>
    </r>
  </si>
  <si>
    <r>
      <t>Speed of recovery:</t>
    </r>
    <r>
      <rPr>
        <sz val="8"/>
        <rFont val="Arial"/>
        <family val="2"/>
      </rPr>
      <t xml:space="preserve"> How quickly must the data be recovered and are there different levels of recovery speed required?</t>
    </r>
  </si>
  <si>
    <r>
      <t>In case of failure</t>
    </r>
    <r>
      <rPr>
        <sz val="8"/>
        <rFont val="Arial"/>
        <family val="2"/>
      </rPr>
      <t>, how long would it take to re-create the data and  how much data can you afford to lose?</t>
    </r>
  </si>
  <si>
    <r>
      <t>Timing:</t>
    </r>
    <r>
      <rPr>
        <sz val="8"/>
        <rFont val="Arial"/>
        <family val="2"/>
      </rPr>
      <t xml:space="preserve"> What are the user availability requirements (e.g. 24x7x365) &amp; what job/scheduling dependencies exist?</t>
    </r>
  </si>
  <si>
    <r>
      <t xml:space="preserve">Provide location of data model: </t>
    </r>
    <r>
      <rPr>
        <sz val="10"/>
        <color indexed="10"/>
        <rFont val="Arial"/>
        <family val="2"/>
      </rPr>
      <t xml:space="preserve"> </t>
    </r>
    <r>
      <rPr>
        <sz val="10"/>
        <color indexed="8"/>
        <rFont val="Arial"/>
        <family val="2"/>
      </rPr>
      <t xml:space="preserve">
</t>
    </r>
    <r>
      <rPr>
        <b/>
        <sz val="10"/>
        <color indexed="10"/>
        <rFont val="Arial"/>
        <family val="2"/>
      </rPr>
      <t>*A data model is required prior to PROD provisioning.</t>
    </r>
  </si>
  <si>
    <t xml:space="preserve">Is this application: HCSC or 3rd Party Solution? </t>
  </si>
  <si>
    <r>
      <t xml:space="preserve">Contact Person Phone: </t>
    </r>
    <r>
      <rPr>
        <sz val="10"/>
        <color indexed="10"/>
        <rFont val="Arial"/>
        <family val="2"/>
      </rPr>
      <t/>
    </r>
  </si>
  <si>
    <t xml:space="preserve">Contact Person Name:  </t>
  </si>
  <si>
    <r>
      <t xml:space="preserve">Funding Code.  </t>
    </r>
    <r>
      <rPr>
        <sz val="10"/>
        <color indexed="10"/>
        <rFont val="Arial"/>
        <family val="2"/>
      </rPr>
      <t xml:space="preserve"> </t>
    </r>
  </si>
  <si>
    <t xml:space="preserve">Clarity Project ID.  </t>
  </si>
  <si>
    <t xml:space="preserve">Request/Project Description: </t>
  </si>
  <si>
    <t xml:space="preserve">Request/Project Name: </t>
  </si>
  <si>
    <t xml:space="preserve">Application Name: </t>
  </si>
  <si>
    <t xml:space="preserve">New Database Request -updated </t>
  </si>
  <si>
    <t>The following section below to be completed by Proxy Team Only!</t>
  </si>
  <si>
    <t>Monitoring Tab - Changed JVMs hosted to a drop-down choice</t>
  </si>
  <si>
    <t>Autoupdate Last_update Lbom Date</t>
  </si>
  <si>
    <t>UserID tab - Complete Design Overhaul - eliminated the spearate Dev, Test, Prod sections, (modified authentication to drop-down 2/12/2013)</t>
  </si>
  <si>
    <t xml:space="preserve">     &lt;See Stavros&gt;</t>
  </si>
  <si>
    <t>10.70.234.0/24</t>
  </si>
  <si>
    <t>10.70.230.0/24</t>
  </si>
  <si>
    <t>192.168.99.0/24</t>
  </si>
  <si>
    <t>192.168.112.0/22</t>
  </si>
  <si>
    <t>192.168.207.0/24</t>
  </si>
  <si>
    <t>192.168.231.128/26</t>
  </si>
  <si>
    <t>10.70.112.0/22</t>
  </si>
  <si>
    <t>10.70.152.0/27</t>
  </si>
  <si>
    <t>10.70.152.64/27</t>
  </si>
  <si>
    <t>10.70.152.128/27</t>
  </si>
  <si>
    <t>10.70.152.192/27</t>
  </si>
  <si>
    <t>10.70.38.0/28</t>
  </si>
  <si>
    <t>10.70.234.1</t>
  </si>
  <si>
    <t>10.70.230.1</t>
  </si>
  <si>
    <t>none</t>
  </si>
  <si>
    <t>192.168.99.1</t>
  </si>
  <si>
    <t>192.168.112.1</t>
  </si>
  <si>
    <t>10.70.112.1</t>
  </si>
  <si>
    <t>10.70.152.1</t>
  </si>
  <si>
    <t>10.70.152.65</t>
  </si>
  <si>
    <t>10.70.152.129</t>
  </si>
  <si>
    <t>10.70.152.193</t>
  </si>
  <si>
    <t>10.70.38.1</t>
  </si>
  <si>
    <t>Prod F.W.-Application Interface-HMC Hardware Mgmt #1</t>
  </si>
  <si>
    <t>Prod F.W.-Application Interface-HMC Hardware Mgmt #2</t>
  </si>
  <si>
    <t>Prod F.W.-Application Interface-Vmotion</t>
  </si>
  <si>
    <t>Prod F.W.-Application Interface-Corporate Internet DMZ</t>
  </si>
  <si>
    <t>Prod F.W.-Application Interface-CSM Control</t>
  </si>
  <si>
    <t>Prod F.W.-Application Interface-PSD</t>
  </si>
  <si>
    <t>Prod F.W.-Application Interface-RODC</t>
  </si>
  <si>
    <t>Prod 2.0 FW HMC Hardware Mgmt #1</t>
  </si>
  <si>
    <t>Prod 2.0 FW HMC Hardware Mgmt #2</t>
  </si>
  <si>
    <t>Prod F.W.-iLO Interface-SiteMinder Secure Db</t>
  </si>
  <si>
    <t>Prod F.W.-Application Interface-Intranet DMZ</t>
  </si>
  <si>
    <t>10.70.68.0/22</t>
  </si>
  <si>
    <t>10.70.68.1</t>
  </si>
  <si>
    <t>Prod F.W.-DMZ Backup-Intranet DMZ</t>
  </si>
  <si>
    <t>10.70.240.0/22</t>
  </si>
  <si>
    <t>Test 2.0 GSA Voice A</t>
  </si>
  <si>
    <t>Test 2.0 GSA Voice B</t>
  </si>
  <si>
    <t>Test 2.0 GSA Voice C</t>
  </si>
  <si>
    <t>10.133.252.0/24</t>
  </si>
  <si>
    <t>10.133.253.0/24</t>
  </si>
  <si>
    <t>10.133.254.0/24</t>
  </si>
  <si>
    <t>10.133.252.1</t>
  </si>
  <si>
    <t>10.133.253.1</t>
  </si>
  <si>
    <t>FW DR iLO (Windows Phy)</t>
  </si>
  <si>
    <t>FTW DR iLO Network</t>
  </si>
  <si>
    <t>10.71.20.0/22</t>
  </si>
  <si>
    <r>
      <t xml:space="preserve">LBoM Description:
</t>
    </r>
    <r>
      <rPr>
        <b/>
        <sz val="8"/>
        <color rgb="FF0000F3"/>
        <rFont val="Arial"/>
        <family val="2"/>
      </rPr>
      <t>(describe what is being requested in the LBoM)</t>
    </r>
  </si>
  <si>
    <t>Release Date of 10.1 BoM Template</t>
  </si>
  <si>
    <t>Backup TSM - Corrected VTL Backup formula / Fixed WAS 8.5 File Systems / changed NO DR Rating to Not a DR Rated App</t>
  </si>
  <si>
    <t>dchisxmqmapp02</t>
  </si>
  <si>
    <t>MQFD1QM1</t>
  </si>
  <si>
    <t>MQFD2QM1</t>
  </si>
  <si>
    <t>dchisxmqmapp02.app.test.hcscint.net</t>
  </si>
  <si>
    <t>dchisxmqmapp03.app.test.hcscint.net</t>
  </si>
  <si>
    <t>mqmqfd1qm1-dev.hcscint.net</t>
  </si>
  <si>
    <t>mq-mqfd2qm1.test.hcscint.net</t>
  </si>
  <si>
    <t>MQ- Bom Functions - added -DEV MQ info</t>
  </si>
  <si>
    <t>Project Details - Added DR selection not required for LBoM / Moved LBoM Environment selection up</t>
  </si>
  <si>
    <r>
      <rPr>
        <b/>
        <sz val="9"/>
        <color rgb="FFFF0000"/>
        <rFont val="Arial"/>
        <family val="2"/>
      </rPr>
      <t>NOTE:</t>
    </r>
    <r>
      <rPr>
        <sz val="9"/>
        <color rgb="FFFF0000"/>
        <rFont val="Arial"/>
        <family val="2"/>
      </rPr>
      <t xml:space="preserve">  Replicated Luns will add 2.5 x to the Storage Cost</t>
    </r>
  </si>
  <si>
    <t>DR Related: added comment for staged LUNs on Storage Tab, corrected WIN-DR formula on Dist. Asssets, added Global Mirror Sizing on Storage Tab</t>
  </si>
  <si>
    <t>DR TAB - Fixed Open systems to only pull Prod info</t>
  </si>
  <si>
    <t>Userids - added UNIX DB as an authentication choice</t>
  </si>
  <si>
    <t>Table of Contents - added signoff for VM - ESX Hosts signoff</t>
  </si>
  <si>
    <t>Websphere:  corrected Environment Column headings</t>
  </si>
  <si>
    <t>TOC - Auto-populate VM - ESX Hosts Required by rule</t>
  </si>
  <si>
    <t>LDAP - Removed Infrastructure contact info, replaced with Framework and Bind account links &amp; authorization.</t>
  </si>
  <si>
    <t>Which HCSC environments are required for external connectivity?</t>
  </si>
  <si>
    <t>Project Details - Added External Conenctivity Q's - moved 3rd Party request from Provisioning Tab</t>
  </si>
  <si>
    <t>Template</t>
  </si>
  <si>
    <t>SSL Termination</t>
  </si>
  <si>
    <t>SSL Redirect</t>
  </si>
  <si>
    <t>Member Port</t>
  </si>
  <si>
    <t>Load Balancing Method</t>
  </si>
  <si>
    <t>Health Monitor</t>
  </si>
  <si>
    <t xml:space="preserve">SSL Certificate Info </t>
  </si>
  <si>
    <t xml:space="preserve">Notes (optional) </t>
  </si>
  <si>
    <t>Load Balancer TAB - Template Table</t>
  </si>
  <si>
    <t>lb_template</t>
  </si>
  <si>
    <t>Vitrual IP Port</t>
  </si>
  <si>
    <t>Load Balance Method</t>
  </si>
  <si>
    <t>subnet_lookup</t>
  </si>
  <si>
    <t>Test Intranet DMZ</t>
  </si>
  <si>
    <t>30xxx</t>
  </si>
  <si>
    <t>http_portchecking</t>
  </si>
  <si>
    <t>Test Internet DMZ</t>
  </si>
  <si>
    <t>Test Process</t>
  </si>
  <si>
    <t>http</t>
  </si>
  <si>
    <t>Test GSA</t>
  </si>
  <si>
    <t>Prod Intranet DMZ</t>
  </si>
  <si>
    <t>Prod Internet DMZ</t>
  </si>
  <si>
    <t>Prod Process</t>
  </si>
  <si>
    <t>Prod GSA</t>
  </si>
  <si>
    <t>Prod 2.0-VIP-GSA</t>
  </si>
  <si>
    <t>Load Balancer Tab - changes include template entry</t>
  </si>
  <si>
    <t>Reverse Proxy - Corrected Formula in Row</t>
  </si>
  <si>
    <t>Process - 2</t>
  </si>
  <si>
    <t>AIX / Linux OS default  File Structure</t>
  </si>
  <si>
    <t>OS</t>
  </si>
  <si>
    <t>Files</t>
  </si>
  <si>
    <t>Luns</t>
  </si>
  <si>
    <t>`</t>
  </si>
  <si>
    <r>
      <t xml:space="preserve">Project Manager:     </t>
    </r>
    <r>
      <rPr>
        <sz val="7"/>
        <color theme="1"/>
        <rFont val="Arial"/>
        <family val="2"/>
      </rPr>
      <t>(as needed, otherwise N/A)</t>
    </r>
  </si>
  <si>
    <r>
      <t xml:space="preserve">SDM  Quality Consultant:    </t>
    </r>
    <r>
      <rPr>
        <sz val="7"/>
        <color theme="1"/>
        <rFont val="Arial"/>
        <family val="2"/>
      </rPr>
      <t>(as needed, otherwise N/A)</t>
    </r>
  </si>
  <si>
    <t xml:space="preserve">Application Owner:  </t>
  </si>
  <si>
    <r>
      <t xml:space="preserve">TAP Approval #:   </t>
    </r>
    <r>
      <rPr>
        <sz val="8"/>
        <color theme="1"/>
        <rFont val="Arial"/>
        <family val="2"/>
      </rPr>
      <t>(required for non-standard technology based solutions)</t>
    </r>
  </si>
  <si>
    <t>Open Systems tab - Added auto populate for OS Lun info</t>
  </si>
  <si>
    <t>updated TSM clients to 6.2.4</t>
  </si>
  <si>
    <t>FTW Intranet DMZ</t>
  </si>
  <si>
    <t>Prod F.W.-VIP-Intranet DMZ</t>
  </si>
  <si>
    <t>FTW Internet DMZ</t>
  </si>
  <si>
    <t>Prod F.W.-VIP- Internet DMZ</t>
  </si>
  <si>
    <t>FTW Process</t>
  </si>
  <si>
    <t>FTW GSA</t>
  </si>
  <si>
    <t>Prod F.W. 2.0-VIP-GSA</t>
  </si>
  <si>
    <t>vip template</t>
  </si>
  <si>
    <t>10.133.240.0/23</t>
  </si>
  <si>
    <t>10.133.240.1</t>
  </si>
  <si>
    <t>10.69.240.0/23</t>
  </si>
  <si>
    <t>10.69.240.1</t>
  </si>
  <si>
    <t>10.70.64.0/22</t>
  </si>
  <si>
    <t>10.70.64.1</t>
  </si>
  <si>
    <t># of Servers</t>
  </si>
  <si>
    <t># of JVMs / Server</t>
  </si>
  <si>
    <r>
      <t>Comments -</t>
    </r>
    <r>
      <rPr>
        <i/>
        <sz val="9"/>
        <color rgb="FFFF0000"/>
        <rFont val="Arial"/>
        <family val="2"/>
      </rPr>
      <t>(Also check the Provisioning Notes tab for any other details pertaining additional requirements not covered on this tab.)</t>
    </r>
  </si>
  <si>
    <t xml:space="preserve">Fixed Project Details - Project Details drop-down </t>
  </si>
  <si>
    <t>BoM Functions - updated WAS File Structures per Kalyan's updates - reordered to most used on top.</t>
  </si>
  <si>
    <t>Bom Functions  - Updated AIX Version for TSM Client</t>
  </si>
  <si>
    <t>Prod 2.0-Application Interface-Process - 2</t>
  </si>
  <si>
    <t>Process -2 added to Drop-down as new choice for Process Layer  (original VLAN 1720 almost out of addresses)</t>
  </si>
  <si>
    <t>Old IPAddress</t>
  </si>
  <si>
    <t>Destination</t>
  </si>
  <si>
    <t>10.129.46.10    10.139.194.151</t>
  </si>
  <si>
    <t>10.129.46.10</t>
  </si>
  <si>
    <t>10.139.194.151</t>
  </si>
  <si>
    <t>10.129.46.11    10.140.194.161</t>
  </si>
  <si>
    <t>10.129.46.11</t>
  </si>
  <si>
    <t>10.140.194.161</t>
  </si>
  <si>
    <t>10.129.46.12    10.139.194.21</t>
  </si>
  <si>
    <t>10.129.46.12</t>
  </si>
  <si>
    <t>10.139.194.21</t>
  </si>
  <si>
    <t>10.129.46.13    10.140.194.31</t>
  </si>
  <si>
    <t>10.129.46.13</t>
  </si>
  <si>
    <t>10.140.194.31</t>
  </si>
  <si>
    <t>10.129.46.14    10.139.194.41</t>
  </si>
  <si>
    <t>10.129.46.14</t>
  </si>
  <si>
    <t>10.139.194.41</t>
  </si>
  <si>
    <t>10.129.46.15    10.139.194.51</t>
  </si>
  <si>
    <t>10.129.46.15</t>
  </si>
  <si>
    <t>10.139.194.51</t>
  </si>
  <si>
    <t>10.129.46.16    10.139.194.61</t>
  </si>
  <si>
    <t>10.129.46.16</t>
  </si>
  <si>
    <t>10.139.194.61</t>
  </si>
  <si>
    <t>10.129.46.17    10.139.194.71</t>
  </si>
  <si>
    <t>10.129.46.17</t>
  </si>
  <si>
    <t>10.139.194.71</t>
  </si>
  <si>
    <t>10.129.46.18    10.140.194.81</t>
  </si>
  <si>
    <t>10.129.46.18</t>
  </si>
  <si>
    <t>10.140.194.81</t>
  </si>
  <si>
    <t>10.129.46.19    10.140.194.91</t>
  </si>
  <si>
    <t>10.129.46.19</t>
  </si>
  <si>
    <t>10.140.194.91</t>
  </si>
  <si>
    <t>10.129.46.20    10.139.194.101</t>
  </si>
  <si>
    <t>10.129.46.20</t>
  </si>
  <si>
    <t>10.139.194.101</t>
  </si>
  <si>
    <t>10.129.46.21    10.140.194.111</t>
  </si>
  <si>
    <t>10.129.46.21</t>
  </si>
  <si>
    <t>10.140.194.111</t>
  </si>
  <si>
    <t>10.129.46.22    10.139.194.121</t>
  </si>
  <si>
    <t>10.129.46.22</t>
  </si>
  <si>
    <t>10.139.194.121</t>
  </si>
  <si>
    <t>10.129.46.24    10.140.194.141</t>
  </si>
  <si>
    <t>10.129.46.24</t>
  </si>
  <si>
    <t>10.140.194.141</t>
  </si>
  <si>
    <t>10.129.46.27    10.140.194.171</t>
  </si>
  <si>
    <t>10.129.46.27</t>
  </si>
  <si>
    <t>10.140.194.171</t>
  </si>
  <si>
    <t>Source</t>
  </si>
  <si>
    <t>BOM Functions / IP TAB - Fixed VIP section - DNS lookup &amp; added Port section for Member pool - auto populate VIP section</t>
  </si>
  <si>
    <t xml:space="preserve">DNS - TAB - Automated Record Type selection - default as Alias for non windows devices &amp; Cname for Windows devices </t>
  </si>
  <si>
    <t>TSM - Updated AIX, Linux and Windows TSM Clients to 6.2.4</t>
  </si>
  <si>
    <t>true_false</t>
  </si>
  <si>
    <t>Misc Flags</t>
  </si>
  <si>
    <t>R10.1a</t>
  </si>
  <si>
    <t>BOM Functions - Fixed VLAN info for OOB for Process - 2 lookups</t>
  </si>
  <si>
    <t>Prod 2.0-OOB Interface-Process - 2</t>
  </si>
  <si>
    <t xml:space="preserve">Rev Proxy - fixed Prod 2.0 env lookup </t>
  </si>
  <si>
    <t>Prod 2.0 Wauk ILO Network (2nd Network)</t>
  </si>
  <si>
    <t>10.136.248.0/22</t>
  </si>
  <si>
    <t>10.136.248.1</t>
  </si>
  <si>
    <t>BOM Functions - modified iLO for new network vlan 2745 (10.136.248.0/22) as original Prod iLO ran out of Ips  VLAN 2744 - (10.136.224.0/22)</t>
  </si>
  <si>
    <r>
      <t xml:space="preserve">Application Technical Contact:
</t>
    </r>
    <r>
      <rPr>
        <sz val="8"/>
        <color theme="1"/>
        <rFont val="Arial"/>
        <family val="2"/>
      </rPr>
      <t>require person name(s); not team name(s)</t>
    </r>
  </si>
  <si>
    <r>
      <t xml:space="preserve">Application Development Team Members:
</t>
    </r>
    <r>
      <rPr>
        <sz val="8"/>
        <color theme="1"/>
        <rFont val="Arial"/>
        <family val="2"/>
      </rPr>
      <t>require individual person name(s); not team name(s)</t>
    </r>
  </si>
  <si>
    <r>
      <t xml:space="preserve">Application Support Team Name email:
</t>
    </r>
    <r>
      <rPr>
        <sz val="8"/>
        <color theme="1"/>
        <rFont val="Arial"/>
        <family val="2"/>
      </rPr>
      <t>CASD group name of the application support team</t>
    </r>
  </si>
  <si>
    <t>LBoM number:</t>
  </si>
  <si>
    <t>ICC</t>
  </si>
  <si>
    <t>Today =&gt;</t>
  </si>
  <si>
    <t>R10.1c</t>
  </si>
  <si>
    <t>Dist Assets - added Desired date estimator - from Version 10.2 template, added defined names on Details</t>
  </si>
  <si>
    <t>TSM - Auto - poulate TSM Client - allow drop - down also - from Version 10.2 template, added defined names on Details</t>
  </si>
  <si>
    <t>Monitoring &amp; LDAP - Auto - poulate support team info from Project Details - from Version 10.2 template, added defined names on Details</t>
  </si>
  <si>
    <t>WEB:
WAS / IHS / IIS
Version</t>
  </si>
  <si>
    <t>MS IIS</t>
  </si>
  <si>
    <t>Purpose:</t>
  </si>
  <si>
    <t>Application Technical Contact:</t>
  </si>
  <si>
    <t>Application Support Team (CASD)</t>
  </si>
  <si>
    <t>Application Support Team email</t>
  </si>
  <si>
    <t>Reverse Proxy - Added app contact fields at top of page</t>
  </si>
  <si>
    <t>Dedicated /
Shared?</t>
  </si>
  <si>
    <t>Asset
New / 
Existing</t>
  </si>
  <si>
    <t>Asset
Location</t>
  </si>
  <si>
    <t>Site Code</t>
  </si>
  <si>
    <t>Dist Assets / reused existing columns to make New / Existing and Location selections - added location lookup to TSM &amp; IP Tab similar to 10.2 template, added defined names on Details</t>
  </si>
  <si>
    <t>R10.1d</t>
  </si>
  <si>
    <t>usp</t>
  </si>
  <si>
    <t>Load Balancers - Corrections to Health monitor drop list, modified comments,, removed Data Validaton Input messages cause they are annoying</t>
  </si>
  <si>
    <t>Open Systems - Fixed Middleware file specs lookup formula - added dedicated / dynamic referencing</t>
  </si>
  <si>
    <t>twauslihsapp05</t>
  </si>
  <si>
    <t>twauslihsapp06</t>
  </si>
  <si>
    <t>twauslihsapp15</t>
  </si>
  <si>
    <t>twauslihsapp16</t>
  </si>
  <si>
    <t>pwauslihsapp06</t>
  </si>
  <si>
    <t>pwauslihsapp07</t>
  </si>
  <si>
    <t>10.134.68.70</t>
  </si>
  <si>
    <t>10.134.68.65</t>
  </si>
  <si>
    <t>10.134.100.61</t>
  </si>
  <si>
    <t>10.134.100.62</t>
  </si>
  <si>
    <t>10.136.68.60</t>
  </si>
  <si>
    <t>10.136.68.61</t>
  </si>
  <si>
    <t>Prod
Reverse Proxy</t>
  </si>
  <si>
    <t>Test
Reverse Proxy</t>
  </si>
  <si>
    <t>Mainframe</t>
  </si>
  <si>
    <t>Link to Host References</t>
  </si>
  <si>
    <t>Host Name</t>
  </si>
  <si>
    <t>Host Reference Table</t>
  </si>
  <si>
    <t xml:space="preserve">Added Host Referenece Tab for common systems - Ips  (Mainframe, .IHS, Reverse Proxy) with clickable links on IP, Firewall and Load Balancer tabs </t>
  </si>
  <si>
    <t>dated:</t>
  </si>
  <si>
    <t>R10.1e</t>
  </si>
  <si>
    <t>Table of Contents - added lbom version numer display at top of Table Contents</t>
  </si>
  <si>
    <t>updates post 10.2 start</t>
  </si>
  <si>
    <t>Naperville, Illinois (Hallmark)</t>
  </si>
  <si>
    <t>NAP</t>
  </si>
  <si>
    <t>Host Naming Standard - Added Naperville</t>
  </si>
  <si>
    <t>Distributed Assets - locked format changes to App desired Date</t>
  </si>
  <si>
    <t>3rd Party Connectivity Request</t>
  </si>
  <si>
    <t xml:space="preserve">External Connectivity </t>
  </si>
  <si>
    <t>Project Details - separated out 3rd party and External connectivity at bottom of tab</t>
  </si>
  <si>
    <t>Network Load Balancer - SSL Certificate - added logic to check if SSL is required, if not, certificate = N/A</t>
  </si>
  <si>
    <t>Build
Priority Order</t>
  </si>
  <si>
    <t>+ / -
CPUs</t>
  </si>
  <si>
    <t>+ /-
RAM (GB)</t>
  </si>
  <si>
    <t>Distributed Assets - added shaded format to existing assets - Blue text for changes to existing asset configuration</t>
  </si>
  <si>
    <t xml:space="preserve">
</t>
  </si>
  <si>
    <t>HTTP / FTP?</t>
  </si>
  <si>
    <t>SSL?</t>
  </si>
  <si>
    <t>Windows HTTP/FTP</t>
  </si>
  <si>
    <t>3 - 7 days</t>
  </si>
  <si>
    <t>Not a DR Rated App</t>
  </si>
  <si>
    <t>NO Rating</t>
  </si>
  <si>
    <t>R10.1f</t>
  </si>
  <si>
    <t xml:space="preserve">Reverse Proxy Tab - corrected proxy in - Proxy out url creation formulas to reference correct app url </t>
  </si>
  <si>
    <t>FTP Tab - modified to become FTP / HTTP tab to capture IIS requirements</t>
  </si>
  <si>
    <t>mt</t>
  </si>
  <si>
    <t>Project details - updated DR comments - updated corresponding DR Tier levels - per K. Hill email request</t>
  </si>
  <si>
    <t>Oracle Standalone 11.2</t>
  </si>
  <si>
    <t>Oracle HACMP 11.2 - Node 1</t>
  </si>
  <si>
    <t>Oracle HACMP 11.2 - Node 2</t>
  </si>
  <si>
    <t>DB version</t>
  </si>
  <si>
    <t>BoM Functions - new Db_ver and db_table for Open Systems File Structure lookup</t>
  </si>
  <si>
    <t>Dist. Assets - Modifed DB pull down to enable l Open Systems File Structure lookup</t>
  </si>
  <si>
    <t>Open Systems - modifed Middleware / Application formula to check WAS or Oracle for Open Systems File Structure lookup</t>
  </si>
  <si>
    <t>Location Code</t>
  </si>
  <si>
    <t>Wau</t>
  </si>
  <si>
    <t>Prod 2.0-Application Interface-Remote Site-Prod</t>
  </si>
  <si>
    <t>Remote Site - Naperville 1000 CTRM Data VLAN</t>
  </si>
  <si>
    <t>10.163.252.0/24</t>
  </si>
  <si>
    <t>10.163.252.1</t>
  </si>
  <si>
    <t>Remote Site - Naperville 1100 CTRM Data VLAN</t>
  </si>
  <si>
    <t>10.163.188.0/24</t>
  </si>
  <si>
    <t>10.163.188.1</t>
  </si>
  <si>
    <t>Remote Site - Tulsa HQ CTRM Data VLAN</t>
  </si>
  <si>
    <t>10.184.60.0/24</t>
  </si>
  <si>
    <t>10.184.60.1</t>
  </si>
  <si>
    <t>Remote Site - Prod</t>
  </si>
  <si>
    <t>BOM Functions - added column to VLAN area for Location Code - needs to synch-up with host naming reference, added new selection to layer - Remote-Site-Prod</t>
  </si>
  <si>
    <t>IP Tab - modified Subnet , Gateway, VLAN formulas to enable looking for Remote Site Ips.</t>
  </si>
  <si>
    <t>B. Boudreau - Open Systems</t>
  </si>
  <si>
    <t>F. Garcia - ECS Web Infra</t>
  </si>
  <si>
    <t>B. Boudreau - Open systems</t>
  </si>
  <si>
    <t>J. Barret - ITGNS</t>
  </si>
  <si>
    <t>R10.1g</t>
  </si>
  <si>
    <t>TSM Tab - modified Server Name Formula lookup to now lookup host name from IP Tab FQN, (required to capture AIX Persistent IP Host names ending with "P".   Previous lookup was asset number lookup to Distributed Assets Tab.</t>
  </si>
  <si>
    <t>p795-wdc4</t>
  </si>
  <si>
    <t>p795-wdc5</t>
  </si>
  <si>
    <t xml:space="preserve">p795-wdc6 </t>
  </si>
  <si>
    <t xml:space="preserve">TSMWAU23  -  p795-wdc6 </t>
  </si>
  <si>
    <t>TSMWAU24  -  p795-wdc6</t>
  </si>
  <si>
    <t>TSMWAU21  -  p795-wdc4</t>
  </si>
  <si>
    <t>TSMWAU22  -  p795-wdc5</t>
  </si>
  <si>
    <t>BOM Functions - Prod TSM Frames updated per G. Parfet</t>
  </si>
  <si>
    <t>Ginger Parfet</t>
  </si>
  <si>
    <t>Project Details - LBoM Number - Added Date Validation to check for 7 numeric characters (required for Pre-Check for IP Request Macro)</t>
  </si>
  <si>
    <t>LPAR</t>
  </si>
  <si>
    <t>CTG Tab - Reorganized - Reads environments from Dist. Assets, Checks if CTG is used from Websphere Tab - Displays info</t>
  </si>
  <si>
    <r>
      <t>Test</t>
    </r>
    <r>
      <rPr>
        <b/>
        <sz val="10"/>
        <rFont val="Calibri"/>
        <family val="2"/>
      </rPr>
      <t>↓</t>
    </r>
  </si>
  <si>
    <r>
      <t>Cycle</t>
    </r>
    <r>
      <rPr>
        <b/>
        <sz val="10"/>
        <rFont val="Calibri"/>
        <family val="2"/>
      </rPr>
      <t>↓</t>
    </r>
  </si>
  <si>
    <r>
      <t>Prod</t>
    </r>
    <r>
      <rPr>
        <b/>
        <sz val="10"/>
        <rFont val="Calibri"/>
        <family val="2"/>
      </rPr>
      <t>↓</t>
    </r>
  </si>
  <si>
    <t>First Program</t>
  </si>
  <si>
    <t>Routing Region</t>
  </si>
  <si>
    <t>Model After</t>
  </si>
  <si>
    <t>New Mapset Names</t>
  </si>
  <si>
    <t>Mapset(s)</t>
  </si>
  <si>
    <t>FOR</t>
  </si>
  <si>
    <t>Record Size</t>
  </si>
  <si>
    <t>Key Length</t>
  </si>
  <si>
    <t>Index Size</t>
  </si>
  <si>
    <t>Data Size</t>
  </si>
  <si>
    <t>New DB2Entry Names</t>
  </si>
  <si>
    <t>New DB2Tran Names</t>
  </si>
  <si>
    <t>Entry Name</t>
  </si>
  <si>
    <t>DB2 Plan</t>
  </si>
  <si>
    <t>Tran Name</t>
  </si>
  <si>
    <t>DB2Entry</t>
  </si>
  <si>
    <t>New PLT Additions</t>
  </si>
  <si>
    <t>Comments/Position in PLT</t>
  </si>
  <si>
    <t>UIT1-9</t>
  </si>
  <si>
    <t>SIT5-9</t>
  </si>
  <si>
    <t>1 (0-2 sec resp)</t>
  </si>
  <si>
    <t>UIT01</t>
  </si>
  <si>
    <t>SIT05</t>
  </si>
  <si>
    <t>2 (0-10 sec resp)</t>
  </si>
  <si>
    <t>UIT02</t>
  </si>
  <si>
    <t>SIT06</t>
  </si>
  <si>
    <t>3 (Best Effort)</t>
  </si>
  <si>
    <t>UIT03</t>
  </si>
  <si>
    <t>SIT07</t>
  </si>
  <si>
    <t>UIT05</t>
  </si>
  <si>
    <t>SIT08</t>
  </si>
  <si>
    <t>UIT06</t>
  </si>
  <si>
    <t>SIT09</t>
  </si>
  <si>
    <t>UIT07</t>
  </si>
  <si>
    <t>UAT1-9</t>
  </si>
  <si>
    <t>UIT08</t>
  </si>
  <si>
    <t>UAT01</t>
  </si>
  <si>
    <t>UIT09</t>
  </si>
  <si>
    <t>UAT02</t>
  </si>
  <si>
    <t>SIT1-3</t>
  </si>
  <si>
    <t>UAT03</t>
  </si>
  <si>
    <t>SIT01</t>
  </si>
  <si>
    <t>UAT05</t>
  </si>
  <si>
    <t>SIT02</t>
  </si>
  <si>
    <t>UAT06</t>
  </si>
  <si>
    <t>SIT03</t>
  </si>
  <si>
    <t>UAT07</t>
  </si>
  <si>
    <t>UAT08</t>
  </si>
  <si>
    <t>UAT09</t>
  </si>
  <si>
    <t>Mirror</t>
  </si>
  <si>
    <t>MF_TEST_environment</t>
  </si>
  <si>
    <t>MF_CYCLE_environment</t>
  </si>
  <si>
    <t>MF_Prod_environment</t>
  </si>
  <si>
    <t>MF_Class of Service</t>
  </si>
  <si>
    <t>Read Only</t>
  </si>
  <si>
    <t>0-10/min</t>
  </si>
  <si>
    <t>COBOL</t>
  </si>
  <si>
    <t>Updateable</t>
  </si>
  <si>
    <t>Java ECI Call</t>
  </si>
  <si>
    <t>10-50/min</t>
  </si>
  <si>
    <t>Assembler</t>
  </si>
  <si>
    <t>Green Screen</t>
  </si>
  <si>
    <t>Over 50/min</t>
  </si>
  <si>
    <t>DPL w/TxID</t>
  </si>
  <si>
    <t>Exec CICS Start</t>
  </si>
  <si>
    <t>Mainframe - CICS - CTG</t>
  </si>
  <si>
    <t>MF_Operations</t>
  </si>
  <si>
    <t>MF_Source</t>
  </si>
  <si>
    <t>MF_Volume (Tx/Pg)</t>
  </si>
  <si>
    <t>MF_Language</t>
  </si>
  <si>
    <t>10.134.68.71</t>
  </si>
  <si>
    <t>10.134.68.72</t>
  </si>
  <si>
    <t>10.134.100.57</t>
  </si>
  <si>
    <t>10.134.100.58</t>
  </si>
  <si>
    <t>10.134.100.59</t>
  </si>
  <si>
    <t>10.134.100.60</t>
  </si>
  <si>
    <t>10.134.100.63</t>
  </si>
  <si>
    <t>10.134.100.64</t>
  </si>
  <si>
    <t>twauslihsapp07</t>
  </si>
  <si>
    <t>twauslihsapp08</t>
  </si>
  <si>
    <t>twauslihsapp11</t>
  </si>
  <si>
    <t>twauslihsapp12</t>
  </si>
  <si>
    <t>twauslihsapp13</t>
  </si>
  <si>
    <t>twauslihsapp14</t>
  </si>
  <si>
    <t>twauslihsapp17</t>
  </si>
  <si>
    <t>twauslihsapp18</t>
  </si>
  <si>
    <t>10.136.68.66</t>
  </si>
  <si>
    <t>10.136.68.67</t>
  </si>
  <si>
    <t xml:space="preserve"> 10.136.68.62</t>
  </si>
  <si>
    <t>10.136.100.55</t>
  </si>
  <si>
    <t>10.136.100.56</t>
  </si>
  <si>
    <t>10.136.100.57</t>
  </si>
  <si>
    <t>10.136.100.58</t>
  </si>
  <si>
    <t>10.136.100.59</t>
  </si>
  <si>
    <t>10.136.100.60</t>
  </si>
  <si>
    <t>pwauslihsapp08</t>
  </si>
  <si>
    <t>pwauslihsapp09</t>
  </si>
  <si>
    <t>pwauslihsapp10</t>
  </si>
  <si>
    <t>pwauslihsapp11</t>
  </si>
  <si>
    <t>pwauslihsapp12</t>
  </si>
  <si>
    <t>pwauslihsapp13</t>
  </si>
  <si>
    <t>pwauslihsapp14</t>
  </si>
  <si>
    <t>pwauslihsapp15</t>
  </si>
  <si>
    <t>pwauslihsapp16</t>
  </si>
  <si>
    <t>pwauslihsapp17</t>
  </si>
  <si>
    <t>pwauslihsapp18</t>
  </si>
  <si>
    <t>pwauslihsapp19</t>
  </si>
  <si>
    <t xml:space="preserve"> 10.136.68.63</t>
  </si>
  <si>
    <t>ZOSCSYS</t>
  </si>
  <si>
    <t>ZOSDSYS</t>
  </si>
  <si>
    <t>ZOSNSYS</t>
  </si>
  <si>
    <t>ZOSPSYS</t>
  </si>
  <si>
    <t>ZOSTSYS</t>
  </si>
  <si>
    <t>ZOSASYS</t>
  </si>
  <si>
    <t>Information - Use</t>
  </si>
  <si>
    <t>pwauslihsapp21</t>
  </si>
  <si>
    <t>twauslihsapp19</t>
  </si>
  <si>
    <t>twauslihsapp20</t>
  </si>
  <si>
    <t>Shared
NEW
.IHS Servers</t>
  </si>
  <si>
    <t>General Information:</t>
  </si>
  <si>
    <t>Application Name:</t>
  </si>
  <si>
    <t>APM Application Code:</t>
  </si>
  <si>
    <t>Clarity Project Code:</t>
  </si>
  <si>
    <t>LBoM Number:</t>
  </si>
  <si>
    <t>App Owner</t>
  </si>
  <si>
    <t>App Technical Contact:</t>
  </si>
  <si>
    <t xml:space="preserve">Name of person(s) providing input: </t>
  </si>
  <si>
    <t>CICS 7 RDO Configuration Tab added - based on input requirements from Tony O'Connel</t>
  </si>
  <si>
    <t>Tony O'Connel</t>
  </si>
  <si>
    <t>IS - A&amp;A Tab - New Tab required by IS.</t>
  </si>
  <si>
    <t>Umeki Anthony</t>
  </si>
  <si>
    <t>R11.0</t>
  </si>
  <si>
    <t>pwauslihsapp22</t>
  </si>
  <si>
    <t>Updated DB2 versions choices</t>
  </si>
  <si>
    <t>Ian Benson</t>
  </si>
  <si>
    <t>Bom Functions - updated Websphere File Structures</t>
  </si>
  <si>
    <t>Kalyan Dey</t>
  </si>
  <si>
    <t>Modified Source IP &amp; Destination IP lookup to use Host Reference table when the Asset provisioned = NO</t>
  </si>
  <si>
    <t>Host Reference Tab - updated HIS server listings - currently includes MF, IHS, &amp; Reverse Proxy IPs</t>
  </si>
  <si>
    <t xml:space="preserve">Distributed Assets / TOC  - Added Zena Client on Dist. Assets - formula auto-fills based on new asset / DR level 1-4 </t>
  </si>
  <si>
    <t>(Prev Req - M. Karlovich)</t>
  </si>
  <si>
    <t xml:space="preserve">Application DR Critical level  - (Select Target RTO tier:)   </t>
  </si>
  <si>
    <t>Admin Simplification CI Lookup Table</t>
  </si>
  <si>
    <t>pwausxnfsmgt02</t>
  </si>
  <si>
    <t>esbpxwas01</t>
  </si>
  <si>
    <t>esbpxapp01</t>
  </si>
  <si>
    <t>pwauslwasapp73</t>
  </si>
  <si>
    <t>pwausltlmmgt03</t>
  </si>
  <si>
    <t>odsdxetl01</t>
  </si>
  <si>
    <t>pwausxesbdb02</t>
  </si>
  <si>
    <t>pwauslmqmmgt02</t>
  </si>
  <si>
    <t>etlpxapp01</t>
  </si>
  <si>
    <t>pwausxwasapp54</t>
  </si>
  <si>
    <t>esbpxwas04</t>
  </si>
  <si>
    <t>esbpxgw02</t>
  </si>
  <si>
    <t>pwauslwasapp66</t>
  </si>
  <si>
    <t>pwausxwasapp78</t>
  </si>
  <si>
    <t>pwausxwasapp60</t>
  </si>
  <si>
    <t>pwausxwasapp79</t>
  </si>
  <si>
    <t>pwauslwasapp76</t>
  </si>
  <si>
    <t>pwausxodsdb03</t>
  </si>
  <si>
    <t>pwausxwasapp63</t>
  </si>
  <si>
    <t>bexpxapp01</t>
  </si>
  <si>
    <t>pwausxodsapp01p</t>
  </si>
  <si>
    <t>pwausxwasapp57</t>
  </si>
  <si>
    <t>esbpxmb01</t>
  </si>
  <si>
    <t>esbpxmb02</t>
  </si>
  <si>
    <t>pwausltlmapp16</t>
  </si>
  <si>
    <t>ESBPXWAS02</t>
  </si>
  <si>
    <t>pwausxwasapp55</t>
  </si>
  <si>
    <t>pwausxwasapp68</t>
  </si>
  <si>
    <t>pwauslwasapp44</t>
  </si>
  <si>
    <t>pwauslmqmmgt03</t>
  </si>
  <si>
    <t>pwauslwasmgt10</t>
  </si>
  <si>
    <t>lxwasnd01</t>
  </si>
  <si>
    <t>pwausxnfsmgt01</t>
  </si>
  <si>
    <t>pwausxwasapp80</t>
  </si>
  <si>
    <t>pwausxwasapp62</t>
  </si>
  <si>
    <t>pwauslmqmmgt05</t>
  </si>
  <si>
    <t>pwausxodsdb04</t>
  </si>
  <si>
    <t>pwauslwasmgt11</t>
  </si>
  <si>
    <t>pwausltlmapp15</t>
  </si>
  <si>
    <t>aixintweb2</t>
  </si>
  <si>
    <t>esbpxgw01</t>
  </si>
  <si>
    <t>pwausxwasapp61</t>
  </si>
  <si>
    <t>odspxdb02</t>
  </si>
  <si>
    <t>pwauslwasapp74</t>
  </si>
  <si>
    <t>pwauslwasapp65</t>
  </si>
  <si>
    <t>esbpxapp02</t>
  </si>
  <si>
    <t>pwauslwasapp75</t>
  </si>
  <si>
    <t>odsdxdb01</t>
  </si>
  <si>
    <t>pwausxwasapp69</t>
  </si>
  <si>
    <t>pwausxwasapp56</t>
  </si>
  <si>
    <t>pwauslmqmmgt04</t>
  </si>
  <si>
    <t>aixintweb1</t>
  </si>
  <si>
    <t>pwausxwasapp81</t>
  </si>
  <si>
    <t>odspxdb01</t>
  </si>
  <si>
    <t>pwausxesbdb01</t>
  </si>
  <si>
    <t>Unix</t>
  </si>
  <si>
    <t>pwauswhmap02</t>
  </si>
  <si>
    <t>pwauswhmap03</t>
  </si>
  <si>
    <t>pwauswsql0101</t>
  </si>
  <si>
    <t>pwauswhmap04</t>
  </si>
  <si>
    <t>pwauswhmap01</t>
  </si>
  <si>
    <t>mswausqlcl1n2</t>
  </si>
  <si>
    <t>WPSPRDD7</t>
  </si>
  <si>
    <t>MSBPRDD9</t>
  </si>
  <si>
    <t>SCPBMP1</t>
  </si>
  <si>
    <t>WPSPRDD5</t>
  </si>
  <si>
    <t>PRDMTRX</t>
  </si>
  <si>
    <t>WPSPRDDA</t>
  </si>
  <si>
    <t>WPSPRDD6</t>
  </si>
  <si>
    <t>FRAMEDB</t>
  </si>
  <si>
    <t>WPSPRDD2</t>
  </si>
  <si>
    <t>WPSPRDD1</t>
  </si>
  <si>
    <t>ITD01828</t>
  </si>
  <si>
    <t>ITDOK1</t>
  </si>
  <si>
    <t>WPSPRDD9</t>
  </si>
  <si>
    <t>FRMPRDD1</t>
  </si>
  <si>
    <t>ESBPRDD1</t>
  </si>
  <si>
    <t>WPSPRDD8</t>
  </si>
  <si>
    <t>ITDTX1</t>
  </si>
  <si>
    <t>ITDNM1</t>
  </si>
  <si>
    <t>XMETA</t>
  </si>
  <si>
    <t>MGDIDDB</t>
  </si>
  <si>
    <t>MDMPRDD1</t>
  </si>
  <si>
    <t>odsprdd1</t>
  </si>
  <si>
    <t>ODSPRDDA</t>
  </si>
  <si>
    <t>WPSPRDD4</t>
  </si>
  <si>
    <t>ITDIL1</t>
  </si>
  <si>
    <t>SCPBMP1 (prappxapp01)</t>
  </si>
  <si>
    <t>WPSPRDD3</t>
  </si>
  <si>
    <t>CTS Claims Database</t>
  </si>
  <si>
    <t>MDMPRODX</t>
  </si>
  <si>
    <t>MIDPRDD2</t>
  </si>
  <si>
    <t>ITPSFDB</t>
  </si>
  <si>
    <t>RTSLOG</t>
  </si>
  <si>
    <t>security_prd</t>
  </si>
  <si>
    <t>SECURITY_PRD</t>
  </si>
  <si>
    <t>CNTNTPUB</t>
  </si>
  <si>
    <t>CNTNTVRT</t>
  </si>
  <si>
    <t>DP0C</t>
  </si>
  <si>
    <t>CICSZR1N</t>
  </si>
  <si>
    <t>CICSZR04</t>
  </si>
  <si>
    <t>CICSXAJ1</t>
  </si>
  <si>
    <t>CICSXAB4</t>
  </si>
  <si>
    <t>CICSPA3A</t>
  </si>
  <si>
    <t>CICSIABD</t>
  </si>
  <si>
    <t>CICSVBLU</t>
  </si>
  <si>
    <t>CICSPA3F</t>
  </si>
  <si>
    <t>CICSXABD</t>
  </si>
  <si>
    <t>CICSXTRA</t>
  </si>
  <si>
    <t>CICSINQU</t>
  </si>
  <si>
    <t>CICSXAJ3</t>
  </si>
  <si>
    <t>CICSXAB2</t>
  </si>
  <si>
    <t>CICS3BLU</t>
  </si>
  <si>
    <t>CICSXAN1</t>
  </si>
  <si>
    <t>CICSXABE</t>
  </si>
  <si>
    <t>CICSNAN2</t>
  </si>
  <si>
    <t>CICSXAB1</t>
  </si>
  <si>
    <t>CICSRBYP</t>
  </si>
  <si>
    <t>CICSXAN2</t>
  </si>
  <si>
    <t>CICS8BLU</t>
  </si>
  <si>
    <t>CICSIAJ1</t>
  </si>
  <si>
    <t>CICSXABB</t>
  </si>
  <si>
    <t>CICS6BLU</t>
  </si>
  <si>
    <t>CICSXFB2</t>
  </si>
  <si>
    <t>CICSIAN2</t>
  </si>
  <si>
    <t>CICSOAN2</t>
  </si>
  <si>
    <t>CICSRBXP</t>
  </si>
  <si>
    <t>CICSPA30</t>
  </si>
  <si>
    <t>CICSXAB7</t>
  </si>
  <si>
    <t>CICSZR05</t>
  </si>
  <si>
    <t>CICSIABC</t>
  </si>
  <si>
    <t>CICSXFB4</t>
  </si>
  <si>
    <t>CICSXABC</t>
  </si>
  <si>
    <t>CICSIABA</t>
  </si>
  <si>
    <t>CICS1BLU</t>
  </si>
  <si>
    <t>CICSXAB6</t>
  </si>
  <si>
    <t>CICSPA33</t>
  </si>
  <si>
    <t>CICS0BLU</t>
  </si>
  <si>
    <t>CICSOUTR</t>
  </si>
  <si>
    <t>CICSPA37</t>
  </si>
  <si>
    <t>CICSMISC</t>
  </si>
  <si>
    <t>CICSNAS1</t>
  </si>
  <si>
    <t>CICS7BLU</t>
  </si>
  <si>
    <t>CICSPA36</t>
  </si>
  <si>
    <t>CICSXAS1</t>
  </si>
  <si>
    <t>CICSZBLU</t>
  </si>
  <si>
    <t>CICSXEC2</t>
  </si>
  <si>
    <t>CICSSBLU</t>
  </si>
  <si>
    <t>CICSIABE</t>
  </si>
  <si>
    <t>CICSNAN1</t>
  </si>
  <si>
    <t>CICSOAN1</t>
  </si>
  <si>
    <t>CICSIAJ3</t>
  </si>
  <si>
    <t>CICS2BLU</t>
  </si>
  <si>
    <t>CICSXABA</t>
  </si>
  <si>
    <t>CICSXAJ2</t>
  </si>
  <si>
    <t>CICSPA34</t>
  </si>
  <si>
    <t>CICSPAS1</t>
  </si>
  <si>
    <t>CICSIABB</t>
  </si>
  <si>
    <t>CICSXECF</t>
  </si>
  <si>
    <t>CICSPA3D</t>
  </si>
  <si>
    <t>CICSIAN1</t>
  </si>
  <si>
    <t>CICS9BLU</t>
  </si>
  <si>
    <t>CICSIFB6</t>
  </si>
  <si>
    <t>CICSXAB3</t>
  </si>
  <si>
    <t>CICSIFB3</t>
  </si>
  <si>
    <t>CICSXAB8</t>
  </si>
  <si>
    <t>CICSIFB5</t>
  </si>
  <si>
    <t>CICSWBLU</t>
  </si>
  <si>
    <t>CICSPA31</t>
  </si>
  <si>
    <t>CICSOAS1</t>
  </si>
  <si>
    <t>CICSIFB4</t>
  </si>
  <si>
    <t>CICSXFB5</t>
  </si>
  <si>
    <t>CICSXAB9</t>
  </si>
  <si>
    <t>CICSIAJ2</t>
  </si>
  <si>
    <t>CICSPA3B</t>
  </si>
  <si>
    <t>CICSIAL1</t>
  </si>
  <si>
    <t>CICSPA32</t>
  </si>
  <si>
    <t>CICSPASA</t>
  </si>
  <si>
    <t>CICSXFB1</t>
  </si>
  <si>
    <t>CICSPA3C</t>
  </si>
  <si>
    <t>CICS5BLU</t>
  </si>
  <si>
    <t>CICSPA35</t>
  </si>
  <si>
    <t>CICSXFB3</t>
  </si>
  <si>
    <t>CICSXEC1</t>
  </si>
  <si>
    <t>CICSXAB5</t>
  </si>
  <si>
    <t>CICSPA3E</t>
  </si>
  <si>
    <t>CICS</t>
  </si>
  <si>
    <t>MSWAUSQLCL1N2</t>
  </si>
  <si>
    <t>PWAUSWIFSQ0401</t>
  </si>
  <si>
    <t>PWAUSWIFSQ04C</t>
  </si>
  <si>
    <t>MSWAUSQLCL1DB1</t>
  </si>
  <si>
    <t>MSWAUSQLCL1N1</t>
  </si>
  <si>
    <t>scpbmpi1</t>
  </si>
  <si>
    <t>DP01</t>
  </si>
  <si>
    <t>DP18</t>
  </si>
  <si>
    <t>DP1C</t>
  </si>
  <si>
    <t>DP4C</t>
  </si>
  <si>
    <t>DP3C</t>
  </si>
  <si>
    <t>DP2C</t>
  </si>
  <si>
    <t>DP28</t>
  </si>
  <si>
    <t>DB2 Subsystems</t>
  </si>
  <si>
    <t>MQL1</t>
  </si>
  <si>
    <t>ESBLOGP3</t>
  </si>
  <si>
    <t>ESBLOGP02</t>
  </si>
  <si>
    <t>MQFP4ACA</t>
  </si>
  <si>
    <t>MQFP2ACA</t>
  </si>
  <si>
    <t>MQFP3ACA</t>
  </si>
  <si>
    <t>HCSC1P</t>
  </si>
  <si>
    <t>ESBLOGP2</t>
  </si>
  <si>
    <t>MQFP1ACA</t>
  </si>
  <si>
    <t>ESBLOGP4</t>
  </si>
  <si>
    <t>wmbbap02</t>
  </si>
  <si>
    <t>ESBLOGP01</t>
  </si>
  <si>
    <t>MQBRKP2</t>
  </si>
  <si>
    <t>ESBLOGP1</t>
  </si>
  <si>
    <t>WMBBAP01</t>
  </si>
  <si>
    <t>MQ QMGRS</t>
  </si>
  <si>
    <t>DC0C</t>
  </si>
  <si>
    <t>midprdd2</t>
  </si>
  <si>
    <t>DB2 Database</t>
  </si>
  <si>
    <t>pWAUdpALLpdl01</t>
  </si>
  <si>
    <t>pWAUdpALLpdl02</t>
  </si>
  <si>
    <t>misc - Datapower</t>
  </si>
  <si>
    <t>CI Name</t>
  </si>
  <si>
    <t>CI Type</t>
  </si>
  <si>
    <t>LBoM Location</t>
  </si>
  <si>
    <t>In Lbom?</t>
  </si>
  <si>
    <t>MSWAUSQLCL1DB3</t>
  </si>
  <si>
    <t>MSWAUSQLCL1DB2</t>
  </si>
  <si>
    <t>MSWAUSQLCL1DB4</t>
  </si>
  <si>
    <t>PWAUSWIFSQ04D</t>
  </si>
  <si>
    <t>DatabaseALL Tab</t>
  </si>
  <si>
    <t>Firewall</t>
  </si>
  <si>
    <t>not Checked</t>
  </si>
  <si>
    <t>BAO_IP_Provisioner_env</t>
  </si>
  <si>
    <t>BAO_IP_Provisioner_web_service_URL</t>
  </si>
  <si>
    <t>etl</t>
  </si>
  <si>
    <t>IP Provioner Environment Settings</t>
  </si>
  <si>
    <t>Admin Simp affected in the Column D</t>
  </si>
  <si>
    <t>Admin Simp affected in the Column E</t>
  </si>
  <si>
    <t>Admin Simp Cis - New hidden tab listing CI's related to Admin Simp - looks within LBoM to identify Admin Simp Cis
Project Details Tab - Admin Simp Search results - autifilled be search results on Admin Simp CI tab.</t>
  </si>
  <si>
    <t>J Fitzpatrick / D. Soleymani</t>
  </si>
  <si>
    <t>DB type</t>
  </si>
  <si>
    <t>File Structure</t>
  </si>
  <si>
    <t>Lun</t>
  </si>
  <si>
    <t>Oracle File Structure Config</t>
  </si>
  <si>
    <t>Database configuration</t>
  </si>
  <si>
    <t>New Database Request - added Databse Size - this is to be used for database file Requirement population.</t>
  </si>
  <si>
    <t>Open Systems tab - updated formula(s) for Middleware File Reqs &amp; LUNs, - (the processing for change #10)</t>
  </si>
  <si>
    <t>ITAM Info only required by DB team, it is their responsibility to record this information.</t>
  </si>
  <si>
    <t>Setup DB Backup scripts to include Zena File Trigger (DB2, Oracle, SQL)
(SAN Replication)</t>
  </si>
  <si>
    <t>Database Suspend / Resume scripts 
(DB2 and Oracle)
(SAN Replication)</t>
  </si>
  <si>
    <t>Write SQL check for active IO Script 
(SAN Replication)</t>
  </si>
  <si>
    <t>Storage &amp; Database All - Updated DR sections</t>
  </si>
  <si>
    <t>M. Karlovich</t>
  </si>
  <si>
    <t>Initial Database Size
(GB)</t>
  </si>
  <si>
    <t>Database All - created rule to retrieve the initial db size from the database request form</t>
  </si>
  <si>
    <t>Host Reference</t>
  </si>
  <si>
    <t>Admin Simplification Configuration Items</t>
  </si>
  <si>
    <t>Details - see comments</t>
  </si>
  <si>
    <t>LANMAC Tab - updated based on new LAN MAC request form.</t>
  </si>
  <si>
    <t>S. Zuzevich</t>
  </si>
  <si>
    <t>BAO Job ID</t>
  </si>
  <si>
    <t>IP Provisioner Results</t>
  </si>
  <si>
    <t>IP Tab / BOM Functions - IP Provisioner Code inserted and configured.</t>
  </si>
  <si>
    <t>T. Kalbas</t>
  </si>
  <si>
    <t>.dev.hcscint.net</t>
  </si>
  <si>
    <t>.dev.fyiblue.com</t>
  </si>
  <si>
    <t>10.134.164.0/22</t>
  </si>
  <si>
    <t>10.134.164.1</t>
  </si>
  <si>
    <t>10.134.176.0/22</t>
  </si>
  <si>
    <t>10.134.176.1</t>
  </si>
  <si>
    <t>9/9/2-13</t>
  </si>
  <si>
    <t>DNS Tab - Added .dev as new doamin choice - NOT Be used until ECS Web Infrastructure advises</t>
  </si>
  <si>
    <t>T. Denton</t>
  </si>
  <si>
    <t>BOM Functions - Added VLAN 1729 &amp; 1730  (Test Data Network #2 &amp; Test Data Network #3) and modified Layer drop-down to include new choices for Data Networks</t>
  </si>
  <si>
    <t>J. Barrett</t>
  </si>
  <si>
    <t>CPC 3</t>
  </si>
  <si>
    <t>Prod</t>
  </si>
  <si>
    <t>10.129.46.23
10.139.194.131</t>
  </si>
  <si>
    <t>10.139.194.131</t>
  </si>
  <si>
    <t>10.129.46.23</t>
  </si>
  <si>
    <t>CPC 4</t>
  </si>
  <si>
    <t>ZOSOSYS</t>
  </si>
  <si>
    <t>CPC 2</t>
  </si>
  <si>
    <t>CPC 1</t>
  </si>
  <si>
    <r>
      <t>Reverse Proxy - Modified Proxy In / Proxy Out Alias to be consistent with "</t>
    </r>
    <r>
      <rPr>
        <i/>
        <sz val="10"/>
        <color theme="1"/>
        <rFont val="Arial"/>
        <family val="2"/>
      </rPr>
      <t>standard</t>
    </r>
    <r>
      <rPr>
        <sz val="10"/>
        <color theme="1"/>
        <rFont val="Arial"/>
        <family val="2"/>
      </rPr>
      <t>"</t>
    </r>
  </si>
  <si>
    <t>T. Anders, F. Garcia, M. Tomlinson</t>
  </si>
  <si>
    <t>Minor Enhancements                                                                                                                                                                                                                    Fix Requested by:</t>
  </si>
  <si>
    <t>Minor Enhancements</t>
  </si>
  <si>
    <t>Final Release - General Cleanup, final formula corrections - Proxy Tab, TOC, CICS</t>
  </si>
  <si>
    <t>Open Systems - Corrected DB formula for file specs / Luns  (added MATCH within Index)</t>
  </si>
  <si>
    <t>Host References Tab - added Hyperlink symbols to to Fwall &amp; LB Tabs, added ready to copy columns for paired-servers</t>
  </si>
  <si>
    <t>Monitoring Tab - Fixed the New Server/ Existing formula to keep on the correct column on Distrib. Assets</t>
  </si>
  <si>
    <t>C. Gilmore</t>
  </si>
  <si>
    <t xml:space="preserve">Minor formula tweaks for some non-infrastructure functional fields. - fixed LAN/MAC formula issues  </t>
  </si>
  <si>
    <t>J. Stange / S. Zuzivich</t>
  </si>
  <si>
    <t>Data - 1</t>
  </si>
  <si>
    <t>Data - 2</t>
  </si>
  <si>
    <t>Data - 3</t>
  </si>
  <si>
    <t>Test 2.0-Application Interface-Data - 2</t>
  </si>
  <si>
    <t>Test 2.0-Persistent Interface-Data - 2</t>
  </si>
  <si>
    <t>Prod 2.0-MSDTC-Data - 1</t>
  </si>
  <si>
    <t>Prod 2.0-iLO Interface-Data - 1</t>
  </si>
  <si>
    <t>Prod 2.0-iLO Interface-Data - 2</t>
  </si>
  <si>
    <t>Prod 2.0-iLO Interface-Data - 3</t>
  </si>
  <si>
    <t>Prod 2.0-OOB Interface-Data - 1</t>
  </si>
  <si>
    <t>Dist Assets - added error check (Red Cell) for Test Layer - Data -1</t>
  </si>
  <si>
    <t>BOM Functions - Cleaned up VLAN Descriptions to fix lookups for the additional Process &amp; Data Layers</t>
  </si>
  <si>
    <t>SVRCONN Channel</t>
  </si>
  <si>
    <t>10.136.128.54:3102</t>
  </si>
  <si>
    <t>10.136.128.55:3112</t>
  </si>
  <si>
    <t>10.136.128.56:3102</t>
  </si>
  <si>
    <t>&lt;QMNAME&gt;.&lt;APP&gt;.SVRCONN</t>
  </si>
  <si>
    <t>Active - pwauslmqmmgt02.app.hcscint.net
Standby - pwauslmqmmgt03.app.hcscint.net</t>
  </si>
  <si>
    <t>Active - pwauslmqmmgt03.app.hcscint.net
Standby - pwauslmqmmgt02.app.hcscint.net</t>
  </si>
  <si>
    <t>Active - pwauslmqmmgt04.app.hcscint.net
Standby - pwauslmqmmgt05.app.hcscint.net</t>
  </si>
  <si>
    <t>Active - pwauslmqmmgt05.app.hcscint.net
Standby - pwauslmqmmgt04.app.hcscint.net</t>
  </si>
  <si>
    <t>twauslmqmmgt02</t>
  </si>
  <si>
    <t>MQFT1ACA</t>
  </si>
  <si>
    <t>Active - twauslmqmmgt02.app.test.hcscint.net
Standby - twauslmqmmgt03.app.test.hcscint.net</t>
  </si>
  <si>
    <t>Active - 10.134.130.60:3102
Standby - 10.134.130.61:3102</t>
  </si>
  <si>
    <t>twauslmqmmgt03</t>
  </si>
  <si>
    <t>MQFT2ACA</t>
  </si>
  <si>
    <t>Active - twauslmqmmgt03.app.test.hcscint.net
Standby - twauslmqmmgt02.app.test.hcscint.net</t>
  </si>
  <si>
    <t>Active - 10.134.130.61:3112
Standby - 10.134.130.60:3112</t>
  </si>
  <si>
    <t>twauslmqmmgt04</t>
  </si>
  <si>
    <t>MQFT3ACA</t>
  </si>
  <si>
    <t>Active - twauslmqmmgt04.app.test.hcscint.net
Standby - twauslmqmmgt05.app.test.hcscint.net</t>
  </si>
  <si>
    <t>Active - 10.134.130.62:3102
Standby - 10.134.130.63:3102</t>
  </si>
  <si>
    <t>twauslmqmmgt05</t>
  </si>
  <si>
    <t>MQFT4ACA</t>
  </si>
  <si>
    <t>Active - twauslmqmmgt05.app.test.hcscint.net
Standby - twauslmqmmgt04.app.test.hcscint.net</t>
  </si>
  <si>
    <t>Active - 10.134.130.63:3112
Standby - 10.134.130.62:3112</t>
  </si>
  <si>
    <t>10.134.128.57:3102</t>
  </si>
  <si>
    <t>10.134.128.59:3112</t>
  </si>
  <si>
    <t>10.134.128.61:3102</t>
  </si>
  <si>
    <t>10.134.128.63:3112</t>
  </si>
  <si>
    <t>10.130.132.135:3102</t>
  </si>
  <si>
    <t>10.130.132.25:3112</t>
  </si>
  <si>
    <t>dchisxmqmapp03</t>
  </si>
  <si>
    <t>mq-csq1-test.hcscint.net</t>
  </si>
  <si>
    <t>10.140.194.161:1414</t>
  </si>
  <si>
    <t>mq-mqb1-test.hcscint.net</t>
  </si>
  <si>
    <t>mq-mqb2-test.hcscint.net</t>
  </si>
  <si>
    <t>mq-mqb3-test.hcscint.net</t>
  </si>
  <si>
    <t>mq-mqep-prod.hcscint.net</t>
  </si>
  <si>
    <t>10.139.194.41:1414</t>
  </si>
  <si>
    <t>mq-mqfb-prod.hcscint.net</t>
  </si>
  <si>
    <t>10.139.194.51:1414</t>
  </si>
  <si>
    <t>mq-mqgp-prod.hcscint.net</t>
  </si>
  <si>
    <t>10.139.194.61:1414</t>
  </si>
  <si>
    <t>mq-mqhp-prod.hcscint.net</t>
  </si>
  <si>
    <t>10.139.194.71:1414</t>
  </si>
  <si>
    <t>mq-mqh1-prod.hcscint.net</t>
  </si>
  <si>
    <t>10.140.194.81:1414</t>
  </si>
  <si>
    <t>mq-csq3-test.hcscint.net</t>
  </si>
  <si>
    <t>10.140.194.91:1414</t>
  </si>
  <si>
    <t>mq-mqlp-prod.hcscint.net</t>
  </si>
  <si>
    <t>10.139.194.101:1414</t>
  </si>
  <si>
    <t>mq-mql1-prod.hcscint.net</t>
  </si>
  <si>
    <t>mq-mqmt-test.hcscint.net</t>
  </si>
  <si>
    <t>10.140.194.111:1414</t>
  </si>
  <si>
    <t>mq-mqm1-test.hcscint.net</t>
  </si>
  <si>
    <t>mq-mqm2-test.hcscint.net</t>
  </si>
  <si>
    <t>mq-mqm3-test.hcscint.net</t>
  </si>
  <si>
    <t>mq-mqm4-test.hcscint.net</t>
  </si>
  <si>
    <t>BOM Functions - Updated MQ tables, additional information available</t>
  </si>
  <si>
    <t>S. Gali / S. Cierniak</t>
  </si>
  <si>
    <t>Application Short Name:</t>
  </si>
  <si>
    <t>Application ID:</t>
  </si>
  <si>
    <t>Existing NPID?</t>
  </si>
  <si>
    <t>Active - 10.136.131.31:3102
Standby - 10.136.131.32:3102</t>
  </si>
  <si>
    <t>Active - 10.136.131.32:3112
Standby - 10.136.131.31:3112</t>
  </si>
  <si>
    <t>Active - 10.136.131.33:3102
Standby - 10.136.131.34:3102</t>
  </si>
  <si>
    <t>Active - 10.136.131.34:3112
Standby - 10.136.131.33:3112</t>
  </si>
  <si>
    <t>MQ TAB - Updated MQ Tab based on requirements provided by MQ Team</t>
  </si>
  <si>
    <t>Major Enhancements                                                                                                                                                                                                                    Fix / Modification Requested by:</t>
  </si>
  <si>
    <t>Prod 2.0-HACMP Boot IP-Process - 1</t>
  </si>
  <si>
    <t>Prod 2.0-HACMP Boot IP-Data - 1</t>
  </si>
  <si>
    <t>Prod 2.0 Process Net #1a</t>
  </si>
  <si>
    <t>Prod 2.0 Process Net #1b</t>
  </si>
  <si>
    <t>Prod 2.0 Process Net #2a</t>
  </si>
  <si>
    <t>Prod 2.0 Process Net #2b &lt;not listed on ECS sunmet lsting&gt;</t>
  </si>
  <si>
    <t>Prod 2.0 Process Net #3a</t>
  </si>
  <si>
    <t>Prod 2.0 Process Net #3b &lt;not listed on ECS sunmet lsting&gt;</t>
  </si>
  <si>
    <t>Prod 2.0 Process Net #4a</t>
  </si>
  <si>
    <t>Prod 2.0 Process Net #4b &lt;not listed on ECS sunmet lsting&gt;</t>
  </si>
  <si>
    <t>10.136.164.0/22</t>
  </si>
  <si>
    <t>10.136.164.1</t>
  </si>
  <si>
    <t>10.136.168.0/22</t>
  </si>
  <si>
    <t>10.136.168.1</t>
  </si>
  <si>
    <t>10.136.176.0/22</t>
  </si>
  <si>
    <t>10.136.176.1</t>
  </si>
  <si>
    <t>10.136.190.0/24</t>
  </si>
  <si>
    <t>10.136.190.1</t>
  </si>
  <si>
    <t>Prod 2.0-Application Interface-Data - 2</t>
  </si>
  <si>
    <t>Prod 2.0-Application Interface-Process - 3</t>
  </si>
  <si>
    <t>Prod 2.0-VIP-Data Process - 1</t>
  </si>
  <si>
    <t>Prod 2.0-OOB Interface-Data - 2</t>
  </si>
  <si>
    <t>Prod 2.0-OOB Interface-Data - 3</t>
  </si>
  <si>
    <t>Prod 2.0-OOB Interface-Process - 1</t>
  </si>
  <si>
    <t>Prod F.W.-Application Interface-Process - 1</t>
  </si>
  <si>
    <t>Prod F.W.-Persistent Interface-Process - 1</t>
  </si>
  <si>
    <t>Prod 2.0-DMZ Backup-Process - 1</t>
  </si>
  <si>
    <t>Prod 2.0-iLO Interface-Process - 1</t>
  </si>
  <si>
    <t>Test 2.0 Process Net #2a</t>
  </si>
  <si>
    <t>Test 2.0 Process Net #2b &lt;not list on ECS Subnet listing&gt;</t>
  </si>
  <si>
    <t>Test 2.0 Process Net #3a</t>
  </si>
  <si>
    <t>Test 2.0 Process Net #3b &lt;not list on ECS Subnet listing&gt;</t>
  </si>
  <si>
    <t>Test 2.0 Process Net #4a</t>
  </si>
  <si>
    <t>Test 2.0 Process Net #4b &lt;not list on ECS Subnet listing&gt;</t>
  </si>
  <si>
    <t>Test 2.0-HACMP Boot IP-Process - 1</t>
  </si>
  <si>
    <t>Test 2.0-HACMP Boot IP-Data - 1</t>
  </si>
  <si>
    <t>Test 2.0-Application Interface-Process - 3</t>
  </si>
  <si>
    <t>Test 2.0 Data Net #1b</t>
  </si>
  <si>
    <t>10.134.168.0/22</t>
  </si>
  <si>
    <t>10.134.168.1</t>
  </si>
  <si>
    <t>10.134.190.0/24</t>
  </si>
  <si>
    <t>10.134.190.1</t>
  </si>
  <si>
    <t>Prod 2.0-TSM Hypervisor Backup-Process - 1</t>
  </si>
  <si>
    <t>Prod 2.0-TSM Hypervisor Backup-Process - 2</t>
  </si>
  <si>
    <t>Prod 2.0-TSM Hypervisor Backup-Data - 2</t>
  </si>
  <si>
    <t>Prod 2.0-TSM Hypervisor Backup-Data - 1</t>
  </si>
  <si>
    <t>Test 2.0-TSM Hypervisor Backup-Data - 1</t>
  </si>
  <si>
    <t>Test 2.0-TSM Hypervisor Backup-Process - 1</t>
  </si>
  <si>
    <t>Test 2.0-TSM Hypervisor Backup-Process - 2</t>
  </si>
  <si>
    <t>Test 2.0-TSM Hypervisor Backup-Data - 2</t>
  </si>
  <si>
    <t>Prod 2.0-DMZ Backup-Process - 2</t>
  </si>
  <si>
    <t>Prod 2.0-iLO Interface-Process - 2</t>
  </si>
  <si>
    <t>Prod 2.0-MSDTC-Data - 2</t>
  </si>
  <si>
    <t>Prod 2.0-Persistent Interface-Data - 2</t>
  </si>
  <si>
    <t>Process - 1</t>
  </si>
  <si>
    <t>S. Cierniak</t>
  </si>
  <si>
    <t>Dist Assets - cleaned up and addded more Conditional formatting for incorrect Layer choices  (Related to Data-1 almost used up)</t>
  </si>
  <si>
    <t>ASSET 
IP Instance</t>
  </si>
  <si>
    <t>UserID Tab - modified tab to use hostname portion of A-record (same as TSM Tab) to capture persistentIP for DB clusters</t>
  </si>
  <si>
    <t>Provisioning Notes - Messages Tab - Added messaging notes on Provisioning tab for HACMP v7 configuration details</t>
  </si>
  <si>
    <t>Details/Comments - Use this column for free-form text</t>
  </si>
  <si>
    <t>Dist Assets - modified Font for Exising system changes from Blue Text on White  to White text on Blue</t>
  </si>
  <si>
    <t>J. Stange</t>
  </si>
  <si>
    <t>Active Directory</t>
  </si>
  <si>
    <t>twauslihsapp21</t>
  </si>
  <si>
    <t>twauslihsapp22</t>
  </si>
  <si>
    <t>twauslihsapp25</t>
  </si>
  <si>
    <t>twauslihsapp26</t>
  </si>
  <si>
    <t>twauslihsapp27</t>
  </si>
  <si>
    <t>twauslihsapp28</t>
  </si>
  <si>
    <t>pwauslihsapp23</t>
  </si>
  <si>
    <t>pwauslihsapp24</t>
  </si>
  <si>
    <t>pwauslihsapp25</t>
  </si>
  <si>
    <t>pwauslihsapp26</t>
  </si>
  <si>
    <t>pwauslihsapp27</t>
  </si>
  <si>
    <t>pwauslihsapp28</t>
  </si>
  <si>
    <t>pwauslihsapp29</t>
  </si>
  <si>
    <t>pwauslihsapp30</t>
  </si>
  <si>
    <t>10.136.100.61</t>
  </si>
  <si>
    <t>10.136.100.62</t>
  </si>
  <si>
    <t>10.136.68.39</t>
  </si>
  <si>
    <t>10.136.68.42</t>
  </si>
  <si>
    <t>10.136.100.63</t>
  </si>
  <si>
    <t>10.136.100.64</t>
  </si>
  <si>
    <t>10.136.100.65</t>
  </si>
  <si>
    <t>10.136.100.66</t>
  </si>
  <si>
    <t>10.136.100.67</t>
  </si>
  <si>
    <t>10.136.100.68</t>
  </si>
  <si>
    <t>10.134.68.56</t>
  </si>
  <si>
    <t>10.134.68.57</t>
  </si>
  <si>
    <t>10.134.68.75</t>
  </si>
  <si>
    <t>10.134.68.76</t>
  </si>
  <si>
    <t>10.134.100.69</t>
  </si>
  <si>
    <t>10.134.100.70</t>
  </si>
  <si>
    <t>10.134.100.71</t>
  </si>
  <si>
    <t>10.134.100.72</t>
  </si>
  <si>
    <t>Updated Host References for new HIS Servers added</t>
  </si>
  <si>
    <t>10.134.244.1</t>
  </si>
  <si>
    <t>Prod 2.0 Intranet Management DMZ</t>
  </si>
  <si>
    <t>Prod 2.0-DMZ Backup-Data - 1</t>
  </si>
  <si>
    <t>Prod 2.0-DMZ Backup-Data - 2</t>
  </si>
  <si>
    <t>Userid Tab - Corrected formula to return IP Address of selected IP Interface</t>
  </si>
  <si>
    <t>R11.1</t>
  </si>
  <si>
    <t>Minor Enhancements                                                                                                                                                                                                                    Fix / Modification Requested by:</t>
  </si>
  <si>
    <t>A &amp; A Tab - modified wording for entitlement</t>
  </si>
  <si>
    <t>U. Anthony</t>
  </si>
  <si>
    <t>Userid Tab - Added informational comments for DB2 Userids</t>
  </si>
  <si>
    <t>Release Notes - Modified version number to include individual sub-release</t>
  </si>
  <si>
    <t>Windows VM Template</t>
  </si>
  <si>
    <t>Fusion IO - Updated Distributed Assets tab to add Fuision IO &amp; Windows VM Template column.  Added Fusion IO to Table of Contents for Sign Off purposes.</t>
  </si>
  <si>
    <t>S. Zuzevich, G. Erikson, C. Doll</t>
  </si>
  <si>
    <t>A &amp; A Tab - fixed drop down for line 24 - Authorization Engine</t>
  </si>
  <si>
    <t>BOM Functions - updated Load Balancer - Load Balancing "methods" selction choices</t>
  </si>
  <si>
    <t>DNS Name</t>
  </si>
  <si>
    <t>APP
Cutover</t>
  </si>
  <si>
    <t>DB Agent List Type</t>
  </si>
  <si>
    <t>Test 2.0-OOB Interface-Intranet DMZ</t>
  </si>
  <si>
    <t>Prod F.W.-DMZ Backup-Internet DMZ</t>
  </si>
  <si>
    <t>10.70.244.0/22</t>
  </si>
  <si>
    <t>Prod F.W.-Application Interface-Internet DMZ</t>
  </si>
  <si>
    <t>10.70.100.0/22</t>
  </si>
  <si>
    <t>10.70.100.1</t>
  </si>
  <si>
    <t>BoM functions - updated VLAN - added Test DMZ OOB &amp; Prod FTW DMZ Vlana</t>
  </si>
  <si>
    <t>https://dns.fyiblue.com/ui/</t>
  </si>
  <si>
    <t>BOM Functions - updated IP Provisioner Macro settings to version 1.0  - added two additional named cells to LBoM</t>
  </si>
  <si>
    <t>Database Type
(if applicable)</t>
  </si>
  <si>
    <t>Local Windows SQLCluster Node Agent List</t>
  </si>
  <si>
    <t>IP Provisoner Code updated</t>
  </si>
  <si>
    <t>Zena Tab - NEW Zena Tab  - Distribured Assets - Removed Zena Column (got used on Zena Tab)</t>
  </si>
  <si>
    <t>W. Martino. T. Aulbaugh</t>
  </si>
  <si>
    <t>A&amp;A / UserID Tabs - modified A&amp;A tab to change entitlements from drop-down to check box to allow multiple choices, Userid - added Top Secret to Req. Type</t>
  </si>
  <si>
    <r>
      <t xml:space="preserve">DR 1 or 2 Only
SAN Replication List
</t>
    </r>
    <r>
      <rPr>
        <b/>
        <sz val="10"/>
        <color rgb="FFFF0000"/>
        <rFont val="Arial"/>
        <family val="2"/>
      </rPr>
      <t>(for Prod-only)</t>
    </r>
  </si>
  <si>
    <t>TSM Tab - Removed Zena App &amp; Zena Client columns - infomration is captured on Zena Tab</t>
  </si>
  <si>
    <t>T. Aulbaugh, JK, J. Fitzpatrick, D. Hardy</t>
  </si>
  <si>
    <t>Distributed Assets - Removed ZENA DR Tab  - Now located on Zena Tab</t>
  </si>
  <si>
    <t>Updated IP Provisioner code to 1.01</t>
  </si>
  <si>
    <t>R11.2</t>
  </si>
  <si>
    <t>BOM Functions - Corrected HACMP Flag for display in Provisioning notes</t>
  </si>
  <si>
    <t>AIX 7.1</t>
  </si>
  <si>
    <t>AIX Version - Added AIX 7.1 as new available version for AIX OS</t>
  </si>
  <si>
    <t>Iby Cherian</t>
  </si>
  <si>
    <t>Test 2.0-VIP-Data Process - 1</t>
  </si>
  <si>
    <t>BOM Functions - Corrections made to fix Process Layer Vips (Lookup issues for Datt - Process -1) Load Balancer Tab Lookup (BOM Function column CM &amp; VLAN section - Z - AC)</t>
  </si>
  <si>
    <t xml:space="preserve">BOM Functions - Corrected FT Worth - DR  VLAAN  - iLO lookup text </t>
  </si>
  <si>
    <t>MF Environment</t>
  </si>
  <si>
    <t>Dist Assets - CICS - added MF Environments to Dist assets as an auto-populate / CICS modifed to use MF enviornments</t>
  </si>
  <si>
    <t>Tony O'Coinnell</t>
  </si>
  <si>
    <t>Total Storage 
(GB)</t>
  </si>
  <si>
    <t>Dist Assets / TSM Backup - Added column AF (Total Storage) / used in DR TSM for &gt;2TB issue requiring additional interface</t>
  </si>
  <si>
    <t>nagging issue</t>
  </si>
  <si>
    <t>MF ENV</t>
  </si>
  <si>
    <t>Cycle</t>
  </si>
  <si>
    <t>Provisioning Notes - Added Websphere DMZ needed questions for Test &amp; Prod?</t>
  </si>
  <si>
    <t>Zena Tab  - Removed APP Definition column</t>
  </si>
  <si>
    <t>DNS automation - added new Named Cells, and new fields in BOM Functions for future DNS automation</t>
  </si>
  <si>
    <t>Reverse Proxy</t>
  </si>
  <si>
    <t>Wide IP Name</t>
  </si>
  <si>
    <t>UserID - Modified windows Domain formula to include Fort Worth (Column O) - NEW IHS TAB - New GTM TAB</t>
  </si>
  <si>
    <t>RESERVED</t>
  </si>
  <si>
    <t>R11.3</t>
  </si>
  <si>
    <t>Multiple Tabs - Corrected ENV formula to correctly read the Infrastructure ENV from Dist Assets (Broken after adding MF Env column {11.2.5})</t>
  </si>
  <si>
    <t>J. Barrett - G. Joyce</t>
  </si>
  <si>
    <t>Added GTM Tab - Global Traffic Manager / re-ordered Network Security tabs slightly (FW / GTM / LB / DP-ESB) : Several minor tweaks named cells for DNS Provisioner - T.K., &amp; minor cleanup</t>
  </si>
  <si>
    <t>IP Tab - DMZ backup Interface - Uses Comment field to check VLAN for DMZ VLAN, turns Interface Desc field RED</t>
  </si>
  <si>
    <t>twauslihsapp29</t>
  </si>
  <si>
    <t>twauslihsapp30</t>
  </si>
  <si>
    <t>twauslihsapp31</t>
  </si>
  <si>
    <t>twauslihsapp32</t>
  </si>
  <si>
    <t>10.134.100.75</t>
  </si>
  <si>
    <t>10.134.100.76</t>
  </si>
  <si>
    <t>10.134.68.81</t>
  </si>
  <si>
    <t>10.134.68.82</t>
  </si>
  <si>
    <t>pwauslihsapp31</t>
  </si>
  <si>
    <t>pwauslihsapp32</t>
  </si>
  <si>
    <t>pwauslihsapp33</t>
  </si>
  <si>
    <t>pwauslihsapp34</t>
  </si>
  <si>
    <t>pwauslihsapp35</t>
  </si>
  <si>
    <t>pwauslihsapp36</t>
  </si>
  <si>
    <t>pwauslihsapp37</t>
  </si>
  <si>
    <t>10.136.100.69</t>
  </si>
  <si>
    <t>10.136.100.70</t>
  </si>
  <si>
    <t>10.136.100.71</t>
  </si>
  <si>
    <t>10.136.100.72</t>
  </si>
  <si>
    <t>10.136.100.76</t>
  </si>
  <si>
    <t>10.136.100.75</t>
  </si>
  <si>
    <t>pwauslihsapp38</t>
  </si>
  <si>
    <t>10.136.68.75</t>
  </si>
  <si>
    <t>10.136.68.76</t>
  </si>
  <si>
    <t>Updated Host Reference to include 8.5 .IHS servers / added DB2 V10.5</t>
  </si>
  <si>
    <t>DNS Provisioner Results</t>
  </si>
  <si>
    <t xml:space="preserve">Changes:   For upcoming DNSchecker improvements, added Defined Names in BOM FUNCTIONS tab
- Add "Developer / Tools / Reference" for "Microsoft VBScript Regular Expressions 5.5".
- For upcoming DNSchecker improvements, added Defined Names in BOM FUNCTIONS tab; also added columns on DNS tab for Provisioning Results and BAO Job ID.
</t>
  </si>
  <si>
    <t>DNS Tab - Added External DNS as optional drop-down for record-type</t>
  </si>
  <si>
    <t>NAT</t>
  </si>
  <si>
    <t>DNS Record Type</t>
  </si>
  <si>
    <t>dns_record_type</t>
  </si>
  <si>
    <t>Alias</t>
  </si>
  <si>
    <t>Cname</t>
  </si>
  <si>
    <t>Split DNS</t>
  </si>
  <si>
    <t>External DNS</t>
  </si>
  <si>
    <t>DNS Tab - Added Split DNS as optional drop-down for record-type / added NAT Column for External DNS / Split DNS records - updated record Type formula
Load Balancer Tab - unhid - NAT Column</t>
  </si>
  <si>
    <t>J. Stange / T.Kalbas</t>
  </si>
  <si>
    <t>TOC - Separated Provisioning Notes and Distributed Assets from Regular ON-Boarding forms section, as these two are more a combination - started pre-DCC, continued through DCC Process</t>
  </si>
  <si>
    <t>Server Name (FQDN)</t>
  </si>
  <si>
    <t>Subnet Mask</t>
  </si>
  <si>
    <t>Gateway/NIC</t>
  </si>
  <si>
    <t>DNS #1</t>
  </si>
  <si>
    <t>DNS #2</t>
  </si>
  <si>
    <t>Template Source</t>
  </si>
  <si>
    <t>Template Destination</t>
  </si>
  <si>
    <t>VMWare Cluster</t>
  </si>
  <si>
    <t>CPU</t>
  </si>
  <si>
    <t>Host/Datastore</t>
  </si>
  <si>
    <t>OU</t>
  </si>
  <si>
    <t>vCenter Folder</t>
  </si>
  <si>
    <t>IIS?</t>
  </si>
  <si>
    <t>FTP?</t>
  </si>
  <si>
    <t>Clustering?</t>
  </si>
  <si>
    <t>Asset #</t>
  </si>
  <si>
    <t>Asset Status</t>
  </si>
  <si>
    <t>Platform
Type</t>
  </si>
  <si>
    <t>Physical / Virtual</t>
  </si>
  <si>
    <t>R12.1</t>
  </si>
  <si>
    <t>S. Zuzevich, C. Doll</t>
  </si>
  <si>
    <t>Open Systems - Corrected DR-Cluster - was getting information from wron DA column - changed formula</t>
  </si>
  <si>
    <t>G. Barnes</t>
  </si>
  <si>
    <t>Proxyin 3  Alias</t>
  </si>
  <si>
    <t>Proxyin 4  Alias</t>
  </si>
  <si>
    <t>Number of nodes:</t>
  </si>
  <si>
    <t>IHS Tab - New tab to record IHS configuration</t>
  </si>
  <si>
    <t>Cell Color Codes</t>
  </si>
  <si>
    <t>^(25[0-5]|2[0-4][0-9]|1[0-9][0-9]|[1-9]?[0-9])\.(25[0-5]|2[0-4][0-9]|1[0-9][0-9]|[1-9]?[0-9])\.(25[0-5]|2[0-4][0-9]|1[0-9][0-9]|[1-9]?[0-9])\.(25[0-5]|2[0-4][0-9]|1[0-9][0-9]|[1-9]?[0-9])$</t>
  </si>
  <si>
    <t>BOM Function - updated IP address validation REGEX (cell DU16)</t>
  </si>
  <si>
    <t>BOM Functions - WAS Filestructures - updated - removed WAS 6.0 &amp; 6.1 references</t>
  </si>
  <si>
    <t>Manas Patkar</t>
  </si>
  <si>
    <r>
      <t xml:space="preserve">Rack Space Location 
</t>
    </r>
    <r>
      <rPr>
        <b/>
        <sz val="8"/>
        <color theme="1"/>
        <rFont val="Calibri"/>
        <family val="2"/>
        <scheme val="minor"/>
      </rPr>
      <t>(if physical)</t>
    </r>
  </si>
  <si>
    <r>
      <t xml:space="preserve">ILO IP 
</t>
    </r>
    <r>
      <rPr>
        <b/>
        <sz val="8"/>
        <color theme="1"/>
        <rFont val="Calibri"/>
        <family val="2"/>
        <scheme val="minor"/>
      </rPr>
      <t>(if physical)</t>
    </r>
  </si>
  <si>
    <r>
      <t xml:space="preserve">ILO Subnet Mask </t>
    </r>
    <r>
      <rPr>
        <b/>
        <sz val="8"/>
        <color theme="1"/>
        <rFont val="Calibri"/>
        <family val="2"/>
        <scheme val="minor"/>
      </rPr>
      <t>(if Physical)</t>
    </r>
  </si>
  <si>
    <r>
      <t xml:space="preserve">ILO Gateway </t>
    </r>
    <r>
      <rPr>
        <b/>
        <sz val="8"/>
        <color theme="1"/>
        <rFont val="Calibri"/>
        <family val="2"/>
        <scheme val="minor"/>
      </rPr>
      <t>(if Physical)</t>
    </r>
  </si>
  <si>
    <r>
      <t xml:space="preserve">Cluster Name
</t>
    </r>
    <r>
      <rPr>
        <b/>
        <sz val="8"/>
        <color theme="1"/>
        <rFont val="Calibri"/>
        <family val="2"/>
        <scheme val="minor"/>
      </rPr>
      <t>(if Physical)</t>
    </r>
  </si>
  <si>
    <r>
      <t xml:space="preserve">Cluster IP
</t>
    </r>
    <r>
      <rPr>
        <b/>
        <sz val="8"/>
        <color theme="1"/>
        <rFont val="Calibri"/>
        <family val="2"/>
        <scheme val="minor"/>
      </rPr>
      <t>(if Physical)</t>
    </r>
  </si>
  <si>
    <r>
      <t xml:space="preserve">DTC Name
</t>
    </r>
    <r>
      <rPr>
        <b/>
        <sz val="8"/>
        <color theme="1"/>
        <rFont val="Calibri"/>
        <family val="2"/>
        <scheme val="minor"/>
      </rPr>
      <t>(if Physical)</t>
    </r>
  </si>
  <si>
    <r>
      <t xml:space="preserve">DTC IP
</t>
    </r>
    <r>
      <rPr>
        <b/>
        <sz val="8"/>
        <color theme="1"/>
        <rFont val="Calibri"/>
        <family val="2"/>
        <scheme val="minor"/>
      </rPr>
      <t>(if Physical)</t>
    </r>
  </si>
  <si>
    <t>10.136.131.154</t>
  </si>
  <si>
    <t>10.136.131.155</t>
  </si>
  <si>
    <t>10.136.131.156</t>
  </si>
  <si>
    <t>10.136.131.157</t>
  </si>
  <si>
    <t>pwauslifbh10</t>
  </si>
  <si>
    <t>pwauslifbh11</t>
  </si>
  <si>
    <t>pwauslifbh12</t>
  </si>
  <si>
    <t>pwauslifbh13</t>
  </si>
  <si>
    <t>10.136.131.42</t>
  </si>
  <si>
    <t>10.136.131.43</t>
  </si>
  <si>
    <t>10.136.131.44</t>
  </si>
  <si>
    <t>10.136.131.98</t>
  </si>
  <si>
    <t>10.136.131.99</t>
  </si>
  <si>
    <t>10.136.131.114</t>
  </si>
  <si>
    <t>10.136.131.115</t>
  </si>
  <si>
    <t>pwauslifbh05</t>
  </si>
  <si>
    <t>pwauslifbh06</t>
  </si>
  <si>
    <t>pwauslifbh07</t>
  </si>
  <si>
    <t>pwauslifbh08</t>
  </si>
  <si>
    <t>pwauslifbh09</t>
  </si>
  <si>
    <t>pwauswifbh32</t>
  </si>
  <si>
    <t>pwauswifbh33</t>
  </si>
  <si>
    <t>BMC Atrium Orchestrator (BAO) - All need 4750 &amp; 445 to all layers:</t>
  </si>
  <si>
    <t>BMC BladeLogic (BSA) - All need 4750 &amp; 445 to all layers:</t>
  </si>
  <si>
    <t>BOM Functions - Updated for DNS Chacker / DNS Checker 2.1.0 installed</t>
  </si>
  <si>
    <t>Open Systems - LUN</t>
  </si>
  <si>
    <t>Manual Config with Open Systems</t>
  </si>
  <si>
    <t>Oracle-Rac</t>
  </si>
  <si>
    <t>Proxy Server 1</t>
  </si>
  <si>
    <t>Proxy Server 2</t>
  </si>
  <si>
    <t>Proxy Server 3</t>
  </si>
  <si>
    <t>Proxy Server 4</t>
  </si>
  <si>
    <t>cmd.exe /c title IBSEARCH in process - This should take ~8-20 seconds to complete.&amp; C:\bin\ibsearch.exe -i dns.fyiblue.com -u BAEIAE01 -p !2980Ba</t>
  </si>
  <si>
    <t>cmd.exe /c title IBSEARCH in process - This should take ~8-20 seconds to complete.&amp;C:\bin\ibsearch.exe -i dns.test.fyiblue.com -u BAEIAE01 -p !2980Ba</t>
  </si>
  <si>
    <t>C:\bin</t>
  </si>
  <si>
    <t xml:space="preserve">Database ALL - Open System - Corrected Database File Structure functionality - calculated on Database all (w/user defined functions) </t>
  </si>
  <si>
    <t>Zena Tab - Corrected formula to select Template for Local SQL Cluster Template / TOC - put in formula to check Cluster for Load Balancer</t>
  </si>
  <si>
    <t>J. Stange / T. Aulbaugh</t>
  </si>
  <si>
    <t>vm_template</t>
  </si>
  <si>
    <t>W2K12R2STD</t>
  </si>
  <si>
    <t>Total
Storage</t>
  </si>
  <si>
    <t>Location</t>
  </si>
  <si>
    <t>Helena, Montana</t>
  </si>
  <si>
    <t>Tab Name</t>
  </si>
  <si>
    <t>Application Team Cutover Tasks</t>
  </si>
  <si>
    <t>continued - DNS Tab - Updated DNS checker code to 2.1.1 - Named BOM Functions DU9 to DNS_utility_directory</t>
  </si>
  <si>
    <t>Provisioning Notes - Added Cutover Tasks section - Checks DNS tab for Cutover DNS - if any Cutover - displays intructions to App team.</t>
  </si>
  <si>
    <t>T. Williams</t>
  </si>
  <si>
    <t>Non DCA Required Information</t>
  </si>
  <si>
    <t>DCA Required Information</t>
  </si>
  <si>
    <t>/db2data1</t>
  </si>
  <si>
    <t>/db2data2</t>
  </si>
  <si>
    <t>/db2data3</t>
  </si>
  <si>
    <t>DB Size:</t>
  </si>
  <si>
    <t>/db2data4</t>
  </si>
  <si>
    <t>/db2data5</t>
  </si>
  <si>
    <t>TEST</t>
  </si>
  <si>
    <t>/db2data6</t>
  </si>
  <si>
    <t>/db2data7</t>
  </si>
  <si>
    <t>/db2data8</t>
  </si>
  <si>
    <t>Calculations</t>
  </si>
  <si>
    <t>/db2home</t>
  </si>
  <si>
    <t>/db2dba  (scripts) =  constant 10 GB</t>
  </si>
  <si>
    <t>/db2home  =  constant 5 GB</t>
  </si>
  <si>
    <t>/db2_audit  =  constant 10 GB</t>
  </si>
  <si>
    <t>/db2dba</t>
  </si>
  <si>
    <t>/db2_audit</t>
  </si>
  <si>
    <t>Windows Tab - New tab requested by Windows team - used for collecting information to 1 tab, ease of automation.</t>
  </si>
  <si>
    <t>DB2 File Structure Standards</t>
  </si>
  <si>
    <t>Reference Material:</t>
  </si>
  <si>
    <t>Project Details - Added SAN Annual Budget - minor Cosmetic changes to Table Of Contents (Plus updated Reference Material, deleted old unised tabs, add DB2 standards, TSM  Backup - fixed DR columns to check for Prod Assets first</t>
  </si>
  <si>
    <t>Host Asset Decom Details</t>
  </si>
  <si>
    <t>HTTP Port</t>
  </si>
  <si>
    <t xml:space="preserve"> </t>
  </si>
  <si>
    <t xml:space="preserve">Decom Tab - Updated with section to capture VIPs and urls </t>
  </si>
  <si>
    <t>L. Weyers</t>
  </si>
  <si>
    <t>Lan/Mac - updated with LAN/MAC 2.0 v3.05</t>
  </si>
  <si>
    <t>T. O'Connor</t>
  </si>
  <si>
    <t>DNS - correctd NAT Formula</t>
  </si>
  <si>
    <t>Bom Functions - Websphere - added selection for Webshere Portal andd associated File Structure - identified from an issue with DCA reading LBoM</t>
  </si>
  <si>
    <t>Minor fixes, modifications.</t>
  </si>
  <si>
    <t>LAN/Mac - updated with LAN/MAC 2.0 v3.06</t>
  </si>
  <si>
    <t>MQ - fixed look up for MQMGR  /  Prject Details:  added Maintenance Window Question</t>
  </si>
  <si>
    <t>Is the standard maintenance window acceptable?</t>
  </si>
  <si>
    <t>Application Sup.Team email (CASD)</t>
  </si>
  <si>
    <t>Proj Details - Added Maintenance window question - Windows Tab - added top General support Information</t>
  </si>
  <si>
    <t>Maintenance Window:</t>
  </si>
  <si>
    <t>10.70.128.0/22</t>
  </si>
  <si>
    <t>10.70.128.1</t>
  </si>
  <si>
    <t>10.70.136.0/22</t>
  </si>
  <si>
    <t>10.70.136.1</t>
  </si>
  <si>
    <t>10.70.144.0/22</t>
  </si>
  <si>
    <t>10.70.144.1</t>
  </si>
  <si>
    <t>10.70.158.0/24</t>
  </si>
  <si>
    <t>10.70.158.1</t>
  </si>
  <si>
    <t>Prod F.W.-Application Interface-Data - 1</t>
  </si>
  <si>
    <t>10.70.160.0/22</t>
  </si>
  <si>
    <t>10.70.160.1</t>
  </si>
  <si>
    <t>10.70.168.0/22</t>
  </si>
  <si>
    <t>10.170.168.1</t>
  </si>
  <si>
    <t>10.70.176.0/22</t>
  </si>
  <si>
    <t>10.70.176.1</t>
  </si>
  <si>
    <t>10.70.190.0/24</t>
  </si>
  <si>
    <t>10.70.190.1</t>
  </si>
  <si>
    <t>Final Application Owner Approval:</t>
  </si>
  <si>
    <t xml:space="preserve">BOM Functions - added FTW Prod - Process and Data Layers Subnet / VLAN info - </t>
  </si>
  <si>
    <t>NAT Firewall Rule
created?</t>
  </si>
  <si>
    <t>Load Balancer - Added "reminder" Column for NATs and associated Firewalls</t>
  </si>
  <si>
    <t>M. Tomlinson</t>
  </si>
  <si>
    <t>DEV-OOB Interface-DEV- Flat</t>
  </si>
  <si>
    <t xml:space="preserve">M. Muthler </t>
  </si>
  <si>
    <t>cmd.exe /c title NSLOOKUP in process - This should only take a few seconds.&amp;C:\Windows\System32\nslookup.exe</t>
  </si>
  <si>
    <t>BOM Functions - Added DEV - OOB network ;  Changed Asset number generation to LBoM # - (Format: A2014XXX-###)</t>
  </si>
  <si>
    <t>DB2 with WAS - Set Cursor Stability?</t>
  </si>
  <si>
    <t>Does your application connect to DB2 Database? Change to cursor stability.</t>
  </si>
  <si>
    <t>Provisioning Notes / Websphere - Added DB2 connect question for Cursor Stability change - (added question - on Websphere (line #57, Dist Asset - Checks Websphere + Overide</t>
  </si>
  <si>
    <t>D. Doleymani</t>
  </si>
  <si>
    <t>Minor formula corrections - Zena typo, GTM Typo.</t>
  </si>
  <si>
    <t>Database All - Corrected DR Column fomulas; TSM - Correct TSM Client formula (Win 2012), Firewall extended rules to F% &amp; F6 (missing rules)</t>
  </si>
  <si>
    <t>Prod 2.0-Application Interface-SiteMinder Policy</t>
  </si>
  <si>
    <t>10.136.152.0/27</t>
  </si>
  <si>
    <t>10.136.152.1</t>
  </si>
  <si>
    <t>Prod 2.0 SiteMinder Secure DB Net</t>
  </si>
  <si>
    <t>10.136.152.64/27</t>
  </si>
  <si>
    <t>10.136.152.65</t>
  </si>
  <si>
    <t>Prod 2.0 SteMinder Web Interface Net</t>
  </si>
  <si>
    <t>10.136.152.128/27</t>
  </si>
  <si>
    <t>10.136.152.129</t>
  </si>
  <si>
    <t>Prod 2.0 SiteMinder Report/Session DB Net</t>
  </si>
  <si>
    <t>10.136.152.192/27</t>
  </si>
  <si>
    <t>10.136.152.193</t>
  </si>
  <si>
    <t>IP Provisioner Timestamp</t>
  </si>
  <si>
    <t>DNS Provisioner Timestamp</t>
  </si>
  <si>
    <t>IP &amp; DNS Tab - Added BAO Timestamp column - Added Siteminder OOB to Bom functions</t>
  </si>
  <si>
    <t xml:space="preserve">T. kalbas </t>
  </si>
  <si>
    <t>10.136.110.0/27</t>
  </si>
  <si>
    <t>10.136.110.1</t>
  </si>
  <si>
    <t>10.136.153.64/27</t>
  </si>
  <si>
    <t>10.136.153.65</t>
  </si>
  <si>
    <t>Test 2.0-Application Interface-SiteMinder DMZ</t>
  </si>
  <si>
    <t>10.134.110.0/27</t>
  </si>
  <si>
    <t>19.134.110.1</t>
  </si>
  <si>
    <t>10.70.110.0/27</t>
  </si>
  <si>
    <t>10.70.110.1</t>
  </si>
  <si>
    <t>Prod F.W.-Application Interface-SiteMinder DMZ</t>
  </si>
  <si>
    <t>10.70.153.65</t>
  </si>
  <si>
    <t>SiteMinder Policy 2</t>
  </si>
  <si>
    <t>Siteminder DMZ</t>
  </si>
  <si>
    <t>M. Muthler / U. anthony</t>
  </si>
  <si>
    <t>BOM Functions- added new Siteminder VLANs: Policy2 &amp; DMZ - A&amp;A - Added EAA Siteminder Subscription - ITAM - Fixed Proj Description Lookup</t>
  </si>
  <si>
    <t>-EAA Siteminder Subscription-</t>
  </si>
  <si>
    <t xml:space="preserve">Application Short Name: </t>
  </si>
  <si>
    <t>Authentication Scheme</t>
  </si>
  <si>
    <t>EAA Subscription Information:</t>
  </si>
  <si>
    <t>Agent Group</t>
  </si>
  <si>
    <t>Does the application access PHI / SPI / BCI information?</t>
  </si>
  <si>
    <t>PHI / SPI / BCI</t>
  </si>
  <si>
    <t>Application 
File Shares?</t>
  </si>
  <si>
    <t>cg</t>
  </si>
  <si>
    <t>PHI/SPI/BCI across Environments</t>
  </si>
  <si>
    <t>Does this application attempt to connect across environments and access PHI, SPI or BCI information?</t>
  </si>
  <si>
    <t>EAA Updates - (Siteminder related); Added app_shortname to project details and EAA subscription flag; updated lines regarding PHI/SPI to include BCI on the Project Details tab; Updated IP and DNS tab with new Timestamp field - code version 1.1.0 for IP Provisioner.</t>
  </si>
  <si>
    <t>C. McKinnon/ T.Williams/ T.Kalbas</t>
  </si>
  <si>
    <t>BOM Functions:  db_version - Updated SQL version (delete 2005, add 2012 SP1 &amp; SP2);  WAS File Structures - added /opt/siteminder: 2GB to all but DM only WAS</t>
  </si>
  <si>
    <t>IS, C. Hardy</t>
  </si>
  <si>
    <t>Prod CHI-Application Interface-Voice A</t>
  </si>
  <si>
    <t>Chicago-GSA Voice A</t>
  </si>
  <si>
    <t>10.79.60.0/24</t>
  </si>
  <si>
    <t>10.79.60.1</t>
  </si>
  <si>
    <t>Prod CHI-Application Interface-Voice B</t>
  </si>
  <si>
    <t>Chicago-GSA Voice B</t>
  </si>
  <si>
    <t>10.79.61.0/24</t>
  </si>
  <si>
    <t>10.79.61.1</t>
  </si>
  <si>
    <t>Prod CHI-Application Interface-Voice C</t>
  </si>
  <si>
    <t>Chicago-GSA Voice C</t>
  </si>
  <si>
    <t>10.79.62.0/24</t>
  </si>
  <si>
    <t>10.79.62.1</t>
  </si>
  <si>
    <t>Prod F.W.-Application Interface-GSA</t>
  </si>
  <si>
    <t>10.69.248.0/22</t>
  </si>
  <si>
    <t>10.69.248.1</t>
  </si>
  <si>
    <t>10.69.192.0/24</t>
  </si>
  <si>
    <t>10.69.192.1</t>
  </si>
  <si>
    <t>10.69.193.0/24</t>
  </si>
  <si>
    <t>10.69.193.1</t>
  </si>
  <si>
    <t>10.69.194.0/24</t>
  </si>
  <si>
    <t>10.69.194.1</t>
  </si>
  <si>
    <t>10.69.195.0/24</t>
  </si>
  <si>
    <t>10.69.195.1</t>
  </si>
  <si>
    <t>Prod F.W.-OOB Interface-GSA</t>
  </si>
  <si>
    <t>Prod F.W.-OOB Interface-Voice A</t>
  </si>
  <si>
    <t>Prod F.W.-OOB Interface-Voice B</t>
  </si>
  <si>
    <t>Prod F.W.-OOB Interface-Voice C</t>
  </si>
  <si>
    <t>Prod F.W.-OOB Interface-Voice D</t>
  </si>
  <si>
    <t>Prod RCH-Application Interface-Voice A</t>
  </si>
  <si>
    <t>Richardson-GSA Voice A</t>
  </si>
  <si>
    <t>10.67.4.0/24</t>
  </si>
  <si>
    <t>10.67.4.1</t>
  </si>
  <si>
    <t>Prod RCH-Application Interface-Voice B</t>
  </si>
  <si>
    <t>Richardson-GSA Voice B</t>
  </si>
  <si>
    <t>10.67.5.0/24</t>
  </si>
  <si>
    <t>10.67.5.1</t>
  </si>
  <si>
    <t>Prod RCH-Application Interface-Voice C</t>
  </si>
  <si>
    <t>Richardson-GSA Voice C</t>
  </si>
  <si>
    <t>10.67.6.0/24</t>
  </si>
  <si>
    <t>10.67.6.1</t>
  </si>
  <si>
    <t>Prod RCH-Application Interface-Voice D</t>
  </si>
  <si>
    <t>Richardson-GSA Voice D</t>
  </si>
  <si>
    <t>10.67.7.0/24</t>
  </si>
  <si>
    <t>10.67.7.1</t>
  </si>
  <si>
    <t>192.168.20.0/22</t>
  </si>
  <si>
    <t>192.168.20.1</t>
  </si>
  <si>
    <t>IP: Updated VLAN Formula to account for multiple criteria (Site code &amp; Env-interface-layer) Search.
DR - Updated windows section to copy windows data tab
DNS: - alias Duplicate check using conditional formatting - Hightlight red cell/white font
Distributed Assets: - updated and corrected error checking for Test &amp; Data 2 (using conditional formatting)
BOM Functions - Inserted new Test OOB - modified existing desciption string to include "OLD" so it won't get used,</t>
  </si>
  <si>
    <t>Blade, Physical or Virtual Server</t>
  </si>
  <si>
    <t>New or Exsisting Server</t>
  </si>
  <si>
    <r>
      <t>WWPNs
(</t>
    </r>
    <r>
      <rPr>
        <b/>
        <sz val="8"/>
        <rFont val="Arial"/>
        <family val="2"/>
      </rPr>
      <t>New Physical or Blades only)</t>
    </r>
  </si>
  <si>
    <t>vDisk Size (GB)</t>
  </si>
  <si>
    <t>vDiskTYPE</t>
  </si>
  <si>
    <r>
      <t xml:space="preserve">vDisk ID
</t>
    </r>
    <r>
      <rPr>
        <b/>
        <sz val="10"/>
        <color rgb="FFFF0000"/>
        <rFont val="Arial"/>
        <family val="2"/>
      </rPr>
      <t>Expansion only</t>
    </r>
  </si>
  <si>
    <t>Shared with Server</t>
  </si>
  <si>
    <t>Waukegan Prod vDisk Name</t>
  </si>
  <si>
    <t>Waukegan Prod SVC Cluster</t>
  </si>
  <si>
    <t>Ft Worth - 
Global Mirror target (GB)</t>
  </si>
  <si>
    <t>Ft Worth DR 
Global Mirror vDisk Name</t>
  </si>
  <si>
    <t>Ft. Worth DR SVC Cluster</t>
  </si>
  <si>
    <r>
      <t>Ft Worth DR Flashcopy
vDisk Name
(</t>
    </r>
    <r>
      <rPr>
        <b/>
        <sz val="9"/>
        <color rgb="FFFF0000"/>
        <rFont val="Arial"/>
        <family val="2"/>
      </rPr>
      <t>Not Required for VMWare</t>
    </r>
    <r>
      <rPr>
        <b/>
        <sz val="9"/>
        <rFont val="Arial"/>
        <family val="2"/>
      </rPr>
      <t>)</t>
    </r>
  </si>
  <si>
    <r>
      <t>Ft Worth DR SE- Flashcopy 
Vdisk Name
(</t>
    </r>
    <r>
      <rPr>
        <b/>
        <sz val="9"/>
        <color rgb="FFFF0000"/>
        <rFont val="Arial"/>
        <family val="2"/>
      </rPr>
      <t>Not Required for VMWare</t>
    </r>
    <r>
      <rPr>
        <b/>
        <sz val="9"/>
        <rFont val="Arial"/>
        <family val="2"/>
      </rPr>
      <t>)</t>
    </r>
  </si>
  <si>
    <t>Storage TAB    - Waukegan - SVC Name - IO_Group_Node Table</t>
  </si>
  <si>
    <t>Storage TAB    - Forth Worth - SVC Name - IO_Group_Node Table</t>
  </si>
  <si>
    <t>Wau_svc_name</t>
  </si>
  <si>
    <t xml:space="preserve">pwauessvc01 </t>
  </si>
  <si>
    <t>pwauessvc02</t>
  </si>
  <si>
    <t>pwauessvc03</t>
  </si>
  <si>
    <t>pwauessvc04</t>
  </si>
  <si>
    <t>pwauessvc05</t>
  </si>
  <si>
    <t>rftwessvc01</t>
  </si>
  <si>
    <t>rftwessvc02</t>
  </si>
  <si>
    <t>rftwessvc03</t>
  </si>
  <si>
    <t>rftwessvc04</t>
  </si>
  <si>
    <t>rftwessvc05</t>
  </si>
  <si>
    <t>Ftw_svc_name</t>
  </si>
  <si>
    <t>IO_Group_names</t>
  </si>
  <si>
    <t>io_53416_53453</t>
  </si>
  <si>
    <t>io_53506_53559</t>
  </si>
  <si>
    <t>io_53564_53568</t>
  </si>
  <si>
    <t>io_53594_53611</t>
  </si>
  <si>
    <t>io_51521_51733</t>
  </si>
  <si>
    <t>io_52494_53143</t>
  </si>
  <si>
    <t>io_53331_53335</t>
  </si>
  <si>
    <t>io_53360_53368</t>
  </si>
  <si>
    <t>io_58529_58532</t>
  </si>
  <si>
    <t>io_58533_58534</t>
  </si>
  <si>
    <t>io_58535_58536</t>
  </si>
  <si>
    <t>io_58539_58541</t>
  </si>
  <si>
    <t>io_58298_58345</t>
  </si>
  <si>
    <t>io_58436_58444</t>
  </si>
  <si>
    <t>io_58510_58452</t>
  </si>
  <si>
    <t>io_58513_58525</t>
  </si>
  <si>
    <t>io_66707_66730</t>
  </si>
  <si>
    <t>io_66780_66784</t>
  </si>
  <si>
    <t>io_66817_66885</t>
  </si>
  <si>
    <t>io_67028_67066</t>
  </si>
  <si>
    <t>Node153416</t>
  </si>
  <si>
    <t>Node153453</t>
  </si>
  <si>
    <t>Preferred Nodes</t>
  </si>
  <si>
    <t>Node153506</t>
  </si>
  <si>
    <t>Node153559</t>
  </si>
  <si>
    <t>Node153564</t>
  </si>
  <si>
    <t>Node153568</t>
  </si>
  <si>
    <t>Node153594</t>
  </si>
  <si>
    <t>Node153611</t>
  </si>
  <si>
    <t>Node151521</t>
  </si>
  <si>
    <t>Node151733</t>
  </si>
  <si>
    <t>Node152494</t>
  </si>
  <si>
    <t>Node153143</t>
  </si>
  <si>
    <t>Node153331</t>
  </si>
  <si>
    <t>Node153335</t>
  </si>
  <si>
    <t>Node153360</t>
  </si>
  <si>
    <t>Node153368</t>
  </si>
  <si>
    <t>Node158529</t>
  </si>
  <si>
    <t>Node158532</t>
  </si>
  <si>
    <t>Node158533</t>
  </si>
  <si>
    <t>Node158534</t>
  </si>
  <si>
    <t>Node158535</t>
  </si>
  <si>
    <t>Node158536</t>
  </si>
  <si>
    <t>Node158539</t>
  </si>
  <si>
    <t>Node158541</t>
  </si>
  <si>
    <t>Node158298</t>
  </si>
  <si>
    <t>Node158345</t>
  </si>
  <si>
    <t>Node158436</t>
  </si>
  <si>
    <t>Node158444</t>
  </si>
  <si>
    <t>Node158510</t>
  </si>
  <si>
    <t>Node158452</t>
  </si>
  <si>
    <t>Node158513</t>
  </si>
  <si>
    <t>Node158525</t>
  </si>
  <si>
    <t>Node166707</t>
  </si>
  <si>
    <t>Node166730</t>
  </si>
  <si>
    <t>Node166780</t>
  </si>
  <si>
    <t>Node166784</t>
  </si>
  <si>
    <t>Node166817</t>
  </si>
  <si>
    <t>Node166885</t>
  </si>
  <si>
    <t>Node167028</t>
  </si>
  <si>
    <t>Node167066</t>
  </si>
  <si>
    <t>io_54666_54672</t>
  </si>
  <si>
    <t>io_54774_54775</t>
  </si>
  <si>
    <t>io_57269_54803</t>
  </si>
  <si>
    <t>io_54820_54843</t>
  </si>
  <si>
    <t>io_55618_55632</t>
  </si>
  <si>
    <t>io_55663_55678</t>
  </si>
  <si>
    <t>io_55680_55683</t>
  </si>
  <si>
    <t>io_55695_55702</t>
  </si>
  <si>
    <t>io_55088_55122</t>
  </si>
  <si>
    <t>io_55455_55476</t>
  </si>
  <si>
    <t>io_55500_55501</t>
  </si>
  <si>
    <t>io_55504_55506</t>
  </si>
  <si>
    <t>io_55509_55528</t>
  </si>
  <si>
    <t>io_55610_55612</t>
  </si>
  <si>
    <t>io_55577_55596</t>
  </si>
  <si>
    <t>io_55599_55603</t>
  </si>
  <si>
    <t>io_51740_51795</t>
  </si>
  <si>
    <t>io_51895_52739</t>
  </si>
  <si>
    <t>io_54594_54693</t>
  </si>
  <si>
    <t>io_54858_54872</t>
  </si>
  <si>
    <t>Node154666</t>
  </si>
  <si>
    <t>Node154672</t>
  </si>
  <si>
    <t>Node154774</t>
  </si>
  <si>
    <t>Node154775</t>
  </si>
  <si>
    <t>Node157269</t>
  </si>
  <si>
    <t>Node154803</t>
  </si>
  <si>
    <t>Node154820</t>
  </si>
  <si>
    <t>Node154843</t>
  </si>
  <si>
    <t>Node155632</t>
  </si>
  <si>
    <t>Node158634</t>
  </si>
  <si>
    <t>Node155663</t>
  </si>
  <si>
    <t>Node155678</t>
  </si>
  <si>
    <t>Node155680</t>
  </si>
  <si>
    <t>Node155683</t>
  </si>
  <si>
    <t>Node155695</t>
  </si>
  <si>
    <t>Node155702</t>
  </si>
  <si>
    <t>Node155088</t>
  </si>
  <si>
    <t>Node155122</t>
  </si>
  <si>
    <t>Node155455</t>
  </si>
  <si>
    <t>Node155476</t>
  </si>
  <si>
    <t>Node155500</t>
  </si>
  <si>
    <t>Node155501</t>
  </si>
  <si>
    <t>Node155504</t>
  </si>
  <si>
    <t>Node155506</t>
  </si>
  <si>
    <t>Node155509</t>
  </si>
  <si>
    <t>Node155528</t>
  </si>
  <si>
    <t>Node155610</t>
  </si>
  <si>
    <t>Node155612</t>
  </si>
  <si>
    <t>Node155577</t>
  </si>
  <si>
    <t>Node155596</t>
  </si>
  <si>
    <t>Node155599</t>
  </si>
  <si>
    <t>Node155603</t>
  </si>
  <si>
    <t>Node151740</t>
  </si>
  <si>
    <t>Node151795</t>
  </si>
  <si>
    <t>Node151895</t>
  </si>
  <si>
    <t>Node152739</t>
  </si>
  <si>
    <t>Node154594</t>
  </si>
  <si>
    <t>Node154693</t>
  </si>
  <si>
    <t>Node154858</t>
  </si>
  <si>
    <t>Node154872</t>
  </si>
  <si>
    <t>Test 2.0-iLO Interface-Data - 1</t>
  </si>
  <si>
    <t>10.134.228.0/23</t>
  </si>
  <si>
    <t>10.134.228.1</t>
  </si>
  <si>
    <t>Test 2.0-iLO Interface-Data - 2</t>
  </si>
  <si>
    <t>Test 2.0 Wauk ILO Network #2</t>
  </si>
  <si>
    <t>Swing vDisk Size (GB)</t>
  </si>
  <si>
    <r>
      <t>Ft. Worth DR Change Volume vDisk Name
(</t>
    </r>
    <r>
      <rPr>
        <b/>
        <sz val="10"/>
        <color rgb="FFFF0000"/>
        <rFont val="Arial"/>
        <family val="2"/>
      </rPr>
      <t>Required for VMWare vDisk only</t>
    </r>
    <r>
      <rPr>
        <b/>
        <sz val="10"/>
        <rFont val="Arial"/>
        <family val="2"/>
      </rPr>
      <t>)</t>
    </r>
  </si>
  <si>
    <r>
      <t xml:space="preserve">Waukegan Prod Change Volume vDisk Name
</t>
    </r>
    <r>
      <rPr>
        <b/>
        <sz val="9"/>
        <color rgb="FFFF0000"/>
        <rFont val="Arial"/>
        <family val="2"/>
      </rPr>
      <t>(Required for VMWare vDisk only)</t>
    </r>
  </si>
  <si>
    <t>vDisk entries are now required to be one line per vdisk.
Multiple server entries will be required.</t>
  </si>
  <si>
    <t>Storage Tab - Revamped / updated to new requirements
BOM Functions - Test - iLo Network #2 added / IP Tab - Fixed Subnet / Gate 
Bom Functions - Update Windows 2008 TSM Client to 6.3.1
Project Details - Modified ISE Engineers to ISE Design Review Participants &amp; ICC SMEs to all SMEs
Websphere Tab - updated Websphere version choices, added SDK choice - No, SDK 6, SDK 7.0</t>
  </si>
  <si>
    <t>Sun JDK 17_64</t>
  </si>
  <si>
    <t>M. Wealther
J. Barrett
G. Parfet
Manas Patkar
Umeki Anthony</t>
  </si>
  <si>
    <t>Color
code</t>
  </si>
  <si>
    <t>M. Patkar
U. Anthony
K. Krok</t>
  </si>
  <si>
    <t>Distributed Assets Tab - added JDK 1.7_64 version to drop down in SDK Version Column
Decommissioning Tab - corrected formula in Future State IP column
IS A&amp;A - SM Tab - rename per request since it now includes Siteminder information as well
Provisioning Notes Tab - Line to include Kim Krok in invites for NEW SQL or Oracle servers</t>
  </si>
  <si>
    <t>DNS - Fixed NAT Lookup for Split DNS (Vlookup was off by 1 column)</t>
  </si>
  <si>
    <t>VTL replicated for all DR Tiers</t>
  </si>
  <si>
    <t>SQL?</t>
  </si>
  <si>
    <t>DR-FW DR iLO (Windows Phy)-Process - 1</t>
  </si>
  <si>
    <t>DR-FW DR iLO (Windows Phy)-Data - 1</t>
  </si>
  <si>
    <t>APP Team</t>
  </si>
  <si>
    <t>30.3c</t>
  </si>
  <si>
    <t>Windows Drive Mappings
&amp;
Open Systems - File Structure</t>
  </si>
  <si>
    <t>TOC - Comments updated on Onboarding rows / Added drop-downs for ICC SME
Added SplitK Macro to break Column K of Storage Tab in multi-line format to single lines
Database All Tab - Added Windows Drive Letter Description as part od Column X ( commentshow to edit)</t>
  </si>
  <si>
    <t>Network Security</t>
  </si>
  <si>
    <t>Tab_names</t>
  </si>
  <si>
    <t>Drop downs for Prov. Notes</t>
  </si>
  <si>
    <t>Windows 2012 TSM Client 7.1.0</t>
  </si>
  <si>
    <t xml:space="preserve">Windows 2008 R2 TSM Client 7.1  - 64 Bit </t>
  </si>
  <si>
    <t>30.d</t>
  </si>
  <si>
    <t>updated TSM Client in BOM Functions
DR Tab - Windows Section - Read Windows tab - listing ONLY PROD
A&amp;A Tab - Conditional format - if line 23 = NO, black out #24,#25</t>
  </si>
  <si>
    <t>T. Williama/ U. Athony</t>
  </si>
  <si>
    <t>Database 
configuration</t>
  </si>
  <si>
    <t>30.e</t>
  </si>
  <si>
    <t>DR Tab - Fixed Search formula to populate each section correctly (Array formula)</t>
  </si>
  <si>
    <t>SQL - TSM OPT File Refresh</t>
  </si>
  <si>
    <r>
      <t xml:space="preserve">VTL
</t>
    </r>
    <r>
      <rPr>
        <b/>
        <sz val="6"/>
        <rFont val="Arial"/>
        <family val="2"/>
      </rPr>
      <t xml:space="preserve">
</t>
    </r>
    <r>
      <rPr>
        <b/>
        <sz val="10"/>
        <rFont val="Arial"/>
        <family val="2"/>
      </rPr>
      <t xml:space="preserve">
TSM Pool</t>
    </r>
  </si>
  <si>
    <t>Source File Location:</t>
  </si>
  <si>
    <t>New Server File Location:</t>
  </si>
  <si>
    <t>New Server Name</t>
  </si>
  <si>
    <t>Source Server Name</t>
  </si>
  <si>
    <t xml:space="preserve">This tab is only required when SQL databases are being refreshed or moved to new servers and an OPT file is required to be provded by the TSM team.  This tab is used by both SQL DBA &amp; TSM teams. </t>
  </si>
  <si>
    <r>
      <t xml:space="preserve">Copy across Environments
</t>
    </r>
    <r>
      <rPr>
        <b/>
        <sz val="8"/>
        <rFont val="Arial"/>
        <family val="2"/>
      </rPr>
      <t>(select appropriate case)</t>
    </r>
  </si>
  <si>
    <t xml:space="preserve">Information Security Approval? </t>
  </si>
  <si>
    <t>Total OS File System Needs (GB)</t>
  </si>
  <si>
    <t>Total Middleware  File System Needs
(GB)</t>
  </si>
  <si>
    <t>Usage</t>
  </si>
  <si>
    <t>ENVIRONMENT PRIORITIZATION - Enter Environments in Provisioning Priority</t>
  </si>
  <si>
    <t>New ON-Boarding Tab - SQL OPT File Refresh - Used by both TSM &amp; SQL DB Admins
Zena Tab - Added Server Typre - (pulled from D/A) used to determine for windows  virtual for Column M
Dist Assets - Added check for hostname duplicates (DR Duplicate is highlighted in Purple)
Firewalls - Removed Destination Environment column.
Prov Notes - created auto note for Windows Blades - DNS oob cname
Prov - Notes - Created auto note for Firewall rule when opt file copy is Prod to Test / FW rule temporary or Permanent</t>
  </si>
  <si>
    <t>-Add GO to LBOM template under Project Tier
-Add Line for Collaboration Engineer back in
-Updated SQL (Line 11) Column D
-Updated Column E Line 7/8 Dist Asset tab
-Updated Column P Line 28-31 Dist Asset tab
-Add Version MSSQL 2008 R2 SP2 64-bit to Column V Dist Asset tab
-Clear IP tab
- Bom Functions fixed named cells for Storage drop-downs</t>
  </si>
  <si>
    <r>
      <t>TPC-R Flash Copy Session Name
(</t>
    </r>
    <r>
      <rPr>
        <b/>
        <sz val="10"/>
        <color rgb="FFFF0000"/>
        <rFont val="Arial"/>
        <family val="2"/>
      </rPr>
      <t>Not Required for VMWare</t>
    </r>
    <r>
      <rPr>
        <b/>
        <sz val="10"/>
        <rFont val="Arial"/>
        <family val="2"/>
      </rPr>
      <t>)</t>
    </r>
  </si>
  <si>
    <r>
      <t>TPC-R Global Mirror Session Name
(</t>
    </r>
    <r>
      <rPr>
        <b/>
        <sz val="10"/>
        <color rgb="FFFF0000"/>
        <rFont val="Arial"/>
        <family val="2"/>
      </rPr>
      <t>Not Required for VMWare</t>
    </r>
    <r>
      <rPr>
        <b/>
        <sz val="10"/>
        <rFont val="Arial"/>
        <family val="2"/>
      </rPr>
      <t>)</t>
    </r>
  </si>
  <si>
    <r>
      <t>TPC-R Space Efficient Flash Copy Session Name
(</t>
    </r>
    <r>
      <rPr>
        <b/>
        <sz val="10"/>
        <color rgb="FFFF0000"/>
        <rFont val="Arial"/>
        <family val="2"/>
      </rPr>
      <t>Not Required for VMWare</t>
    </r>
    <r>
      <rPr>
        <b/>
        <sz val="10"/>
        <rFont val="Arial"/>
        <family val="2"/>
      </rPr>
      <t>)</t>
    </r>
  </si>
  <si>
    <t>M. Wealther</t>
  </si>
  <si>
    <t>Webshere Tab - Added DB2  - ZOS parameters section</t>
  </si>
  <si>
    <t>D. Solymani</t>
  </si>
  <si>
    <t>San Tab - added 3 additional column for  DR</t>
  </si>
  <si>
    <t>DR Server Name:</t>
  </si>
  <si>
    <t>Asset IP No.</t>
  </si>
  <si>
    <t>Vdisk Global Mirror Options</t>
  </si>
  <si>
    <t>Kickoff of LBoM Template 13.0.5
minor corrections to: Proj Details, Prov. Notes, Storage Tabs per kickoff meeting</t>
  </si>
  <si>
    <t>192.168.51.128/25</t>
  </si>
  <si>
    <t>Replication Interface</t>
  </si>
  <si>
    <t>Prod 2.0-Replication Interface-Data - 1</t>
  </si>
  <si>
    <t>Prod 2.0-Replication Interface-Data - 2</t>
  </si>
  <si>
    <t>Prod 2.0-Replication Interface-Data - 3</t>
  </si>
  <si>
    <t>(yes / no)</t>
  </si>
  <si>
    <t>Identity Awareness Based Rule 
-
 Does Global Group Exist?</t>
  </si>
  <si>
    <t>Budget  Number:</t>
  </si>
  <si>
    <t>10.130.0.0/22</t>
  </si>
  <si>
    <t>10.130.4.0/22</t>
  </si>
  <si>
    <t>10.130.44.0/22</t>
  </si>
  <si>
    <t>192.168.116.0/22</t>
  </si>
  <si>
    <t>192.168.176.0/22</t>
  </si>
  <si>
    <t>192.168.180.0/22</t>
  </si>
  <si>
    <t>10.130.0.1</t>
  </si>
  <si>
    <t>10.130.4.1</t>
  </si>
  <si>
    <t>10.130.44.1</t>
  </si>
  <si>
    <t>10.130.48.1</t>
  </si>
  <si>
    <t>192.168.116.1</t>
  </si>
  <si>
    <t>192.168.176.1</t>
  </si>
  <si>
    <t>192.168.180.1</t>
  </si>
  <si>
    <t>DEV ESX Management</t>
  </si>
  <si>
    <t>Dev Vmotion</t>
  </si>
  <si>
    <t>Dev TSM</t>
  </si>
  <si>
    <t>Dev CSM</t>
  </si>
  <si>
    <t>zena_clients</t>
  </si>
  <si>
    <t>14277 Windows Non DB</t>
  </si>
  <si>
    <t>13870 SQL Servers</t>
  </si>
  <si>
    <t>13868 DB2 Servers</t>
  </si>
  <si>
    <t>13869 AIX Non DB</t>
  </si>
  <si>
    <t>Zena Tab - Corrected DR Formula to exclude Prod FTW &amp; Virtual Windows, 
BOM Functions - Added Waukegan DEV Networks / VLAN Info
IP TAB              - ADjusted VLAN Lookup to accomodate Waukegan DEV IPs
Firewall Tab - updated Hostname lookup to use FQN - DNS hostname (reads only the hostname portion of the FQN)
                     - added column to ask for if Global Group Exists for IA based Rules
Load Balancer Tab - Readded Persistence drop-downs
DB2 File Structures - Modified calculator to allow more flexibility for # of Dada Filestructures / Backup Filestructures
BOM Functions / IP added Replication Interface selction and network info for PRod
Database All Tab - Initial Database Size - locked it to a single entry / whole numbers only (in GB)
Misc Cleanup:  
    Open System tab Middleware column formulas needed absolute cell reference infinal vlookup
    Load Balancer - autosize column width, fix cert formula to not enter cert on Proess VIP
    Websphere Tab - fixed Line 61 column D - added conditional Format to hightlight red if 50+
    TOC - Name corrections</t>
  </si>
  <si>
    <t xml:space="preserve">
Provisioning Notes Tab - corrected formula for Database invitees, TOC - corrected/updated names in column F, Windows Tab - copied down formulas for column AD so it would be in all cells, corrected formulas for AG and AH columns</t>
  </si>
  <si>
    <r>
      <t xml:space="preserve">Expected workload  (MB/sec)               </t>
    </r>
    <r>
      <rPr>
        <i/>
        <sz val="8"/>
        <rFont val="Arial"/>
        <family val="2"/>
      </rPr>
      <t xml:space="preserve"> (by environment)</t>
    </r>
  </si>
  <si>
    <t>Important information concerning using NAS:</t>
  </si>
  <si>
    <t>Member IPs:Port</t>
  </si>
  <si>
    <t xml:space="preserve">
Changed Provisioning Notes to ICC Provisioning Notes
TOC - Added Imperva Line - signoff / reminder &amp; Modified to black out F - J when Tab not required.
Imperva WFT - Modified ICC Provisioning Notes - Database Section - to add a notification when a WFT task is required for Imperva for SQL or DB2
BOM Functions - Updated Websphere File Structures for IHS Servers (SC) 
Load Balancer Tab - Added defined Cell names to Column headings - Preparation for Kalbas &amp; Barrett automating Load Balancers &amp; Proxy Configs
- Combined Member Pools:Port in to a single field as requested by J. Barrett  (SC) 
DNS Tab - Modified Alias / cname rule to look for .ad in domain (-SC)</t>
  </si>
  <si>
    <t>Restart Monitoring Agent</t>
  </si>
  <si>
    <t>Gina Barnes
SAN Team</t>
  </si>
  <si>
    <t>Project Details - DR Tier - Removed option "Under Assessment". per Gina Barnes
Provisioning Notes - Added Monitoring Reminder for additional WFT when adding SAN - to restart Monitoring Agent
Storage Tab - added column to identify Monitoring Agent restart whan changing existing storage
DNS Tab - Corrected the Record Type formula to point to A-record instead of alias</t>
  </si>
  <si>
    <t>HTTP Server 7.0.0.23</t>
  </si>
  <si>
    <t>HTTP Server 7.0.0.21</t>
  </si>
  <si>
    <t>Dedicated 
NGEN - BAM
SLES 11</t>
  </si>
  <si>
    <t>Dedicated
NGEN - Shopping Cart
SLES 11</t>
  </si>
  <si>
    <t>twauslihsapp15  twauslihsapp16</t>
  </si>
  <si>
    <t>10.134.100.61   10.134.100.62</t>
  </si>
  <si>
    <t>Shared</t>
  </si>
  <si>
    <t>Dedicated
Public Sites
SLES 11</t>
  </si>
  <si>
    <t>Shared
SLES 11</t>
  </si>
  <si>
    <t>SLES 11</t>
  </si>
  <si>
    <t>HTTP Server 8.5.5.1</t>
  </si>
  <si>
    <t>Dedicated
EIVR
SLES 11</t>
  </si>
  <si>
    <t>Dedicated
MDM
SLES 11</t>
  </si>
  <si>
    <t>Dedicated
NGEN - BAM
SLES 11</t>
  </si>
  <si>
    <t>Dedicated
NGEN Shopping Cart
SLES 11</t>
  </si>
  <si>
    <t>Mainframe: Scope of Work</t>
  </si>
  <si>
    <t>Mainframe - DB2</t>
  </si>
  <si>
    <t>Mainframe - DB1</t>
  </si>
  <si>
    <t>Mainframe - Communucations</t>
  </si>
  <si>
    <t>Mainframe - OSSP</t>
  </si>
  <si>
    <t>Environments requested on this LBoM</t>
  </si>
  <si>
    <t>Subsystem(s) your application requires:</t>
  </si>
  <si>
    <t>Yes/No</t>
  </si>
  <si>
    <t>Required tabs when connecting to the Mainframe from Distributed</t>
  </si>
  <si>
    <t>Java call to CICS using CTG</t>
  </si>
  <si>
    <r>
      <t xml:space="preserve">Websphere </t>
    </r>
    <r>
      <rPr>
        <sz val="10"/>
        <rFont val="Arial"/>
        <family val="2"/>
      </rPr>
      <t xml:space="preserve">and </t>
    </r>
    <r>
      <rPr>
        <u/>
        <sz val="10"/>
        <color rgb="FF0000F3"/>
        <rFont val="Arial"/>
        <family val="2"/>
      </rPr>
      <t>MF-CICS</t>
    </r>
  </si>
  <si>
    <t>MQ initiatied workloads</t>
  </si>
  <si>
    <r>
      <t>MF-MQ</t>
    </r>
    <r>
      <rPr>
        <sz val="10"/>
        <rFont val="Arial"/>
        <family val="2"/>
      </rPr>
      <t xml:space="preserve"> and </t>
    </r>
    <r>
      <rPr>
        <u/>
        <sz val="10"/>
        <color rgb="FF0000F3"/>
        <rFont val="Arial"/>
        <family val="2"/>
      </rPr>
      <t>MF-CICS</t>
    </r>
  </si>
  <si>
    <t>WAS/z</t>
  </si>
  <si>
    <t>JDBC connection to DB2</t>
  </si>
  <si>
    <t>Websphere and MF-DB2</t>
  </si>
  <si>
    <t>For traditional mainframe based CICS Application</t>
  </si>
  <si>
    <t>CTG</t>
  </si>
  <si>
    <t>MF-CICS</t>
  </si>
  <si>
    <t>FTP</t>
  </si>
  <si>
    <t>Requesting a new PORT assignment on the mainframe</t>
  </si>
  <si>
    <r>
      <t>*Batch</t>
    </r>
    <r>
      <rPr>
        <sz val="8"/>
        <rFont val="Arial"/>
        <family val="2"/>
      </rPr>
      <t xml:space="preserve"> (see note below)</t>
    </r>
  </si>
  <si>
    <t>MF-Comm</t>
  </si>
  <si>
    <r>
      <t>USS</t>
    </r>
    <r>
      <rPr>
        <sz val="10"/>
        <rFont val="Arial"/>
        <family val="2"/>
      </rPr>
      <t xml:space="preserve"> </t>
    </r>
  </si>
  <si>
    <t>Requesting a new UNIX directoy on the mainframe (USS)</t>
  </si>
  <si>
    <t>MF-OSSP</t>
  </si>
  <si>
    <t>Application requries  a new port on the mainframe</t>
  </si>
  <si>
    <t>Hour of Operation</t>
  </si>
  <si>
    <t>Day of Week</t>
  </si>
  <si>
    <t>Start</t>
  </si>
  <si>
    <t>Stop</t>
  </si>
  <si>
    <t>Monday - Friday</t>
  </si>
  <si>
    <t>Saturday</t>
  </si>
  <si>
    <t>Sunday</t>
  </si>
  <si>
    <t>*If Batch, discuss with  Scheduling</t>
  </si>
  <si>
    <t xml:space="preserve">Name of DBA  reviewing this LBOM:   </t>
  </si>
  <si>
    <t xml:space="preserve">CASD Workgroup Name:   </t>
  </si>
  <si>
    <t>z/OS DB2</t>
  </si>
  <si>
    <t>This section autopopulates from the Webshpere Tab, section 4.1.5 JDBC Data Sources</t>
  </si>
  <si>
    <t>Environments being configred on this LBOM</t>
  </si>
  <si>
    <t>This secion will be completed with assistance of enterprise DBA</t>
  </si>
  <si>
    <t>Data Sharing Group Attach Name of individual sub system name</t>
  </si>
  <si>
    <t>Domain Name and Port</t>
  </si>
  <si>
    <r>
      <t>Non Person User ID (</t>
    </r>
    <r>
      <rPr>
        <b/>
        <sz val="10"/>
        <rFont val="Arial"/>
        <family val="2"/>
      </rPr>
      <t>DB2AUTHID</t>
    </r>
    <r>
      <rPr>
        <sz val="10"/>
        <rFont val="Arial"/>
        <family val="2"/>
      </rPr>
      <t>)</t>
    </r>
  </si>
  <si>
    <t>Schema Name</t>
  </si>
  <si>
    <t>Is there a requirement to connect to mainframe ODS</t>
  </si>
  <si>
    <t>What is the required application hours of availbility</t>
  </si>
  <si>
    <t xml:space="preserve">Name of CICS systems programmer reviewing this LBOM:   </t>
  </si>
  <si>
    <t>If new CICS Regions are required please complete the following otherwise leave blank.</t>
  </si>
  <si>
    <r>
      <t xml:space="preserve">MF-Env </t>
    </r>
    <r>
      <rPr>
        <b/>
        <sz val="10"/>
        <rFont val="Calibri"/>
        <family val="2"/>
      </rPr>
      <t>↓</t>
    </r>
  </si>
  <si>
    <t>New Region</t>
  </si>
  <si>
    <t>Owner</t>
  </si>
  <si>
    <t>Plan</t>
  </si>
  <si>
    <t>DB2 Subsys</t>
  </si>
  <si>
    <t>MQ Qmgr</t>
  </si>
  <si>
    <r>
      <t>Class of Serv</t>
    </r>
    <r>
      <rPr>
        <b/>
        <sz val="10"/>
        <rFont val="Calibri"/>
        <family val="2"/>
      </rPr>
      <t>↓</t>
    </r>
  </si>
  <si>
    <t>Comments/Description</t>
  </si>
  <si>
    <t>CICS Transaction Information</t>
  </si>
  <si>
    <t>Routing Type Mechanism
(Leave blank if Tx runs in AOR only)</t>
  </si>
  <si>
    <t>CICS Target Regions (AORs)</t>
  </si>
  <si>
    <t>Trans ID</t>
  </si>
  <si>
    <r>
      <t>Peak Vol</t>
    </r>
    <r>
      <rPr>
        <b/>
        <i/>
        <sz val="10"/>
        <rFont val="Calibri"/>
        <family val="2"/>
      </rPr>
      <t>↓</t>
    </r>
  </si>
  <si>
    <r>
      <t>Ext. Hrs?</t>
    </r>
    <r>
      <rPr>
        <b/>
        <i/>
        <sz val="10"/>
        <rFont val="Calibri"/>
        <family val="2"/>
      </rPr>
      <t>↓</t>
    </r>
  </si>
  <si>
    <t>Type↓</t>
  </si>
  <si>
    <t>App-Env</t>
  </si>
  <si>
    <t>Target Region(s) or System Group</t>
  </si>
  <si>
    <t>If any of these transactions will run in the extended hours region for 24x7 support please include a row for the extended hours transaction and regions.</t>
  </si>
  <si>
    <t>New CICS Programs (Local)</t>
  </si>
  <si>
    <t>Dynamically Routed Programs</t>
  </si>
  <si>
    <t>Name</t>
  </si>
  <si>
    <t>Peak Vol / Hour</t>
  </si>
  <si>
    <t>Local Region(s) or System Group</t>
  </si>
  <si>
    <r>
      <t xml:space="preserve">Dynamic </t>
    </r>
    <r>
      <rPr>
        <b/>
        <sz val="10"/>
        <rFont val="Calibri"/>
        <family val="2"/>
      </rPr>
      <t>↓</t>
    </r>
  </si>
  <si>
    <t>Remote Region</t>
  </si>
  <si>
    <t>New CICS FILE addition</t>
  </si>
  <si>
    <t>FILE Name</t>
  </si>
  <si>
    <t>Model after</t>
  </si>
  <si>
    <t>DS Name</t>
  </si>
  <si>
    <t>I/O Vol / HR</t>
  </si>
  <si>
    <t>Operations</t>
  </si>
  <si>
    <t>Rea____  Bro____   Add____  Del____  Upd____</t>
  </si>
  <si>
    <t>CICS Recovery</t>
  </si>
  <si>
    <t xml:space="preserve">CICS Regions needing access to the file </t>
  </si>
  <si>
    <t>EMFA</t>
  </si>
  <si>
    <t>Region</t>
  </si>
  <si>
    <t>PLT Program</t>
  </si>
  <si>
    <t xml:space="preserve">Name of CICS systems programmer reviewing this LBOM: </t>
  </si>
  <si>
    <t xml:space="preserve">CASD Workgroup Name: </t>
  </si>
  <si>
    <t>Blue chip Database VSAM</t>
  </si>
  <si>
    <t>(A communication adivsory is all that is necessary)</t>
  </si>
  <si>
    <t>COBOL Copybooks mapping DB1 file structures</t>
  </si>
  <si>
    <r>
      <t xml:space="preserve">Copybook Name </t>
    </r>
    <r>
      <rPr>
        <b/>
        <sz val="10"/>
        <rFont val="Calibri"/>
        <family val="2"/>
      </rPr>
      <t>↓</t>
    </r>
  </si>
  <si>
    <t xml:space="preserve">Is this project creating any new COBOl copy books </t>
  </si>
  <si>
    <t>Is this project changing any existing copybooks</t>
  </si>
  <si>
    <t>CICS Files</t>
  </si>
  <si>
    <t>Are there new updateable files that require CICS recovery</t>
  </si>
  <si>
    <t>Are there new files that need to be added to EMFA</t>
  </si>
  <si>
    <t>Hours of Availability</t>
  </si>
  <si>
    <t>Is this a change to the current hours of availability for the application</t>
  </si>
  <si>
    <t>Does this application require "Extended hours" availability</t>
  </si>
  <si>
    <t>New MQ Queues (MQ)</t>
  </si>
  <si>
    <t xml:space="preserve">New Tables (DB) </t>
  </si>
  <si>
    <t xml:space="preserve">Name of Capacity representative  reviewing this LBOM:   </t>
  </si>
  <si>
    <t>Capacity</t>
  </si>
  <si>
    <t>Information needed to determine WLM definition</t>
  </si>
  <si>
    <t>Class of service</t>
  </si>
  <si>
    <t>DB2authid</t>
  </si>
  <si>
    <t>application component-description of authid</t>
  </si>
  <si>
    <t>If this is a new started task what is the STC name</t>
  </si>
  <si>
    <t>DB2 subsystem/data sharing group</t>
  </si>
  <si>
    <t>WASz cluster/server name(s)</t>
  </si>
  <si>
    <t>WASz tclass</t>
  </si>
  <si>
    <t>To be completed by Capacity Technician</t>
  </si>
  <si>
    <t>Service Class</t>
  </si>
  <si>
    <t>report class</t>
  </si>
  <si>
    <t>New service definition</t>
  </si>
  <si>
    <t xml:space="preserve">Name of Systems programmer  reviewing this LBOM:   </t>
  </si>
  <si>
    <t>OSSP</t>
  </si>
  <si>
    <t xml:space="preserve">Enter the new PORT number next to the LPAR(s) where you would like it defined.  Leave blank on LPAR(s) where it is not needed. </t>
  </si>
  <si>
    <t>Test LPARS</t>
  </si>
  <si>
    <t>PORT#</t>
  </si>
  <si>
    <t>Sub System↓</t>
  </si>
  <si>
    <r>
      <t>hcsc</t>
    </r>
    <r>
      <rPr>
        <b/>
        <sz val="10"/>
        <rFont val="Arial"/>
        <family val="2"/>
      </rPr>
      <t>bsys</t>
    </r>
    <r>
      <rPr>
        <sz val="10"/>
        <rFont val="Arial"/>
        <family val="2"/>
      </rPr>
      <t>.hcscint.net</t>
    </r>
  </si>
  <si>
    <r>
      <t>hcsc</t>
    </r>
    <r>
      <rPr>
        <b/>
        <sz val="10"/>
        <rFont val="Arial"/>
        <family val="2"/>
      </rPr>
      <t>msys</t>
    </r>
    <r>
      <rPr>
        <sz val="10"/>
        <rFont val="Arial"/>
        <family val="2"/>
      </rPr>
      <t>.hcscint.net</t>
    </r>
  </si>
  <si>
    <t>Cycle LPARS</t>
  </si>
  <si>
    <r>
      <t>hcs</t>
    </r>
    <r>
      <rPr>
        <b/>
        <sz val="10"/>
        <rFont val="Arial"/>
        <family val="2"/>
      </rPr>
      <t>cjsys</t>
    </r>
    <r>
      <rPr>
        <sz val="10"/>
        <rFont val="Arial"/>
        <family val="2"/>
      </rPr>
      <t>.hcscint.net</t>
    </r>
  </si>
  <si>
    <r>
      <t>hcsc</t>
    </r>
    <r>
      <rPr>
        <b/>
        <sz val="10"/>
        <rFont val="Arial"/>
        <family val="2"/>
      </rPr>
      <t>ksys</t>
    </r>
    <r>
      <rPr>
        <sz val="10"/>
        <rFont val="Arial"/>
        <family val="2"/>
      </rPr>
      <t>.hcscint.net</t>
    </r>
  </si>
  <si>
    <t>Production LPARS:</t>
  </si>
  <si>
    <r>
      <t>hcs</t>
    </r>
    <r>
      <rPr>
        <b/>
        <sz val="10"/>
        <rFont val="Arial"/>
        <family val="2"/>
      </rPr>
      <t>casys</t>
    </r>
    <r>
      <rPr>
        <sz val="10"/>
        <rFont val="Arial"/>
        <family val="2"/>
      </rPr>
      <t>.hcscint.net</t>
    </r>
  </si>
  <si>
    <r>
      <t>hcsc</t>
    </r>
    <r>
      <rPr>
        <b/>
        <sz val="10"/>
        <rFont val="Arial"/>
        <family val="2"/>
      </rPr>
      <t>esys</t>
    </r>
    <r>
      <rPr>
        <sz val="10"/>
        <rFont val="Arial"/>
        <family val="2"/>
      </rPr>
      <t>.hcscint.net</t>
    </r>
  </si>
  <si>
    <r>
      <t>hcsc</t>
    </r>
    <r>
      <rPr>
        <b/>
        <sz val="10"/>
        <rFont val="Arial"/>
        <family val="2"/>
      </rPr>
      <t>fsys</t>
    </r>
    <r>
      <rPr>
        <sz val="10"/>
        <rFont val="Arial"/>
        <family val="2"/>
      </rPr>
      <t>.hcscint.net</t>
    </r>
  </si>
  <si>
    <r>
      <t>hcs</t>
    </r>
    <r>
      <rPr>
        <b/>
        <sz val="10"/>
        <rFont val="Arial"/>
        <family val="2"/>
      </rPr>
      <t>cgsys</t>
    </r>
    <r>
      <rPr>
        <sz val="10"/>
        <rFont val="Arial"/>
        <family val="2"/>
      </rPr>
      <t>.hcscint.net</t>
    </r>
  </si>
  <si>
    <r>
      <t>hcs</t>
    </r>
    <r>
      <rPr>
        <b/>
        <sz val="10"/>
        <rFont val="Arial"/>
        <family val="2"/>
      </rPr>
      <t>chsys</t>
    </r>
    <r>
      <rPr>
        <sz val="10"/>
        <rFont val="Arial"/>
        <family val="2"/>
      </rPr>
      <t>.hcscint.net</t>
    </r>
  </si>
  <si>
    <r>
      <t>hcsc</t>
    </r>
    <r>
      <rPr>
        <b/>
        <sz val="10"/>
        <rFont val="Arial"/>
        <family val="2"/>
      </rPr>
      <t>nsys</t>
    </r>
    <r>
      <rPr>
        <sz val="10"/>
        <rFont val="Arial"/>
        <family val="2"/>
      </rPr>
      <t>.hcscint.net</t>
    </r>
  </si>
  <si>
    <t>Mainframe Load Balancing (Production)</t>
  </si>
  <si>
    <t>Application/Sub System↓</t>
  </si>
  <si>
    <t>(select from dropdown lists)</t>
  </si>
  <si>
    <t>Primary</t>
  </si>
  <si>
    <t>Secondary</t>
  </si>
  <si>
    <t>Tertiary</t>
  </si>
  <si>
    <t>VTAM APPLID</t>
  </si>
  <si>
    <t xml:space="preserve">Name of OSSP programmer  reviewing this LBOM:   </t>
  </si>
  <si>
    <t>If you require a new Unix directory  please complete the following:</t>
  </si>
  <si>
    <t>UNIX Directory Name (USS Mount Point)</t>
  </si>
  <si>
    <t>Corresponding z/FS File Name</t>
  </si>
  <si>
    <t>Reminder: Please obtain appropriate security by contacting a Security Administrator who will assign a UID and GID</t>
  </si>
  <si>
    <t>Mainframe - WLM</t>
  </si>
  <si>
    <r>
      <t xml:space="preserve">Fusion IO                                  </t>
    </r>
    <r>
      <rPr>
        <sz val="8"/>
        <color rgb="FFFF0000"/>
        <rFont val="Arial"/>
        <family val="2"/>
      </rPr>
      <t>sign off only - Dist Assets tab</t>
    </r>
  </si>
  <si>
    <t>AIX+DB2</t>
  </si>
  <si>
    <t>Updated the LDAP tab and Added Siteminder note for new bind account
Corrected Tiasha Wade to Underwood
Fixed formulas in Storage Tab column O, so it replaces pwau with rftw instead of appending</t>
  </si>
  <si>
    <t>R. Avona
C. Gilmore
M. Wealther</t>
  </si>
  <si>
    <t>S. Smith, Tony O'Connel</t>
  </si>
  <si>
    <t>R13.0</t>
  </si>
  <si>
    <t>Required?</t>
  </si>
  <si>
    <t>Team Group Email</t>
  </si>
  <si>
    <t>HPSD QueueMgr Zena Admin</t>
  </si>
  <si>
    <t>Teams Required
(as needed)</t>
  </si>
  <si>
    <t>DB2 / Line 16 - Auto populate</t>
  </si>
  <si>
    <t>Websphere - Line30 - Auto populate</t>
  </si>
  <si>
    <t>ETS DB</t>
  </si>
  <si>
    <t>Richards-DB1</t>
  </si>
  <si>
    <t>ETS Capacity</t>
  </si>
  <si>
    <t>Mainframe Comm</t>
  </si>
  <si>
    <t>What is the required application hours of availbility?</t>
  </si>
  <si>
    <t>Is this a change to existing hours of operation?</t>
  </si>
  <si>
    <t>Security Access Requested?</t>
  </si>
  <si>
    <t>Check all that apply:</t>
  </si>
  <si>
    <t xml:space="preserve"> (Checkbox variables)</t>
  </si>
  <si>
    <t>Distributed Environments</t>
  </si>
  <si>
    <t>pwauslihsapp39</t>
  </si>
  <si>
    <t>pwauslihsapp40</t>
  </si>
  <si>
    <t>10.136.68.79</t>
  </si>
  <si>
    <t>10.136.68.80</t>
  </si>
  <si>
    <t>SiteMinder</t>
  </si>
  <si>
    <t>twauslihsapp33</t>
  </si>
  <si>
    <t>twauslihsapp34</t>
  </si>
  <si>
    <t>10.134.68.83</t>
  </si>
  <si>
    <t>10.134.68.84</t>
  </si>
  <si>
    <t>Proxy Servers</t>
  </si>
  <si>
    <t>DEV- Process - 1</t>
  </si>
  <si>
    <t>DEV- Process - 2</t>
  </si>
  <si>
    <t>DEV- Process - 3</t>
  </si>
  <si>
    <t>DEV- Process - 4</t>
  </si>
  <si>
    <t>DEV- Data - 1</t>
  </si>
  <si>
    <t>DEV- Data - 2</t>
  </si>
  <si>
    <t>DEV- Data - 3</t>
  </si>
  <si>
    <t>DEV- Data - 4</t>
  </si>
  <si>
    <t>DEV-Application Interface-DEV- GSA</t>
  </si>
  <si>
    <t>DEV- GSA (Citrix, Other)</t>
  </si>
  <si>
    <t>Reserved</t>
  </si>
  <si>
    <t>Dev iLo #1</t>
  </si>
  <si>
    <t>DEV VMWare ESX Management</t>
  </si>
  <si>
    <t>Dev Vmotion  (L2 initially, will become VRF with L3 modules)</t>
  </si>
  <si>
    <t>UNIX_HMC_1</t>
  </si>
  <si>
    <t>UNIX_HMC_2</t>
  </si>
  <si>
    <t>Wau_Dev_hmc_hw_mgmt_3_DHCP</t>
  </si>
  <si>
    <t>10.130.8.0/22</t>
  </si>
  <si>
    <t>10.130.8.1</t>
  </si>
  <si>
    <t>10.130.12.0/22</t>
  </si>
  <si>
    <t>10.130.16.0/22</t>
  </si>
  <si>
    <t>10.130.20.0/22</t>
  </si>
  <si>
    <t>10.130.24.0/22</t>
  </si>
  <si>
    <t>10.130.28.0/22</t>
  </si>
  <si>
    <t>10.130.32.0/22</t>
  </si>
  <si>
    <t>10.130.36.0/22</t>
  </si>
  <si>
    <t>10.130.40.0/22</t>
  </si>
  <si>
    <t>10.130.48.0/22</t>
  </si>
  <si>
    <t>10.130.52.0/22</t>
  </si>
  <si>
    <t>10.130.56.0/22</t>
  </si>
  <si>
    <t>10.130.60.0/22</t>
  </si>
  <si>
    <t>10.130.12.1</t>
  </si>
  <si>
    <t>10.130.16.1</t>
  </si>
  <si>
    <t>10.130.20.1</t>
  </si>
  <si>
    <t>10.130.24.1</t>
  </si>
  <si>
    <t>10.130.28.1</t>
  </si>
  <si>
    <t>10.130.32.1</t>
  </si>
  <si>
    <t>10.130.36.1</t>
  </si>
  <si>
    <t>10.130.40.1</t>
  </si>
  <si>
    <t>10.130.52.1</t>
  </si>
  <si>
    <t>10.130.56.1</t>
  </si>
  <si>
    <t>10.130.60.1</t>
  </si>
  <si>
    <t>TUL</t>
  </si>
  <si>
    <t>HEL</t>
  </si>
  <si>
    <t>Default Procesor Pool</t>
  </si>
  <si>
    <t>Default_Procesor_Pool</t>
  </si>
  <si>
    <t>DefaultPool</t>
  </si>
  <si>
    <t>WASPool</t>
  </si>
  <si>
    <t>iLOGPool</t>
  </si>
  <si>
    <t>PortalPool</t>
  </si>
  <si>
    <t>OraclePool</t>
  </si>
  <si>
    <t>DB2Pool</t>
  </si>
  <si>
    <t>DNS Automation Settings</t>
  </si>
  <si>
    <t>DNS Automation settings - 1 of 2</t>
  </si>
  <si>
    <t>DNS Automation settings - 2 of 2</t>
  </si>
  <si>
    <t>10.71.20.1</t>
  </si>
  <si>
    <t>R14.0</t>
  </si>
  <si>
    <t>lbom2012
dcc2015</t>
  </si>
  <si>
    <t>vio</t>
  </si>
  <si>
    <t>DEV-Application Interface-Data - 1</t>
  </si>
  <si>
    <t>DEV-Application Interface-Process - 1</t>
  </si>
  <si>
    <t>Storage Tab - Removed two columns - ( AC &amp; AE)
Websphere Tab - added ILOG question  - Reqiured for AIX CPU Pool configuration
added new code and associated changes for DNS Provisioner ( T. Kalbas)
Dist Assets - Added new colum for Open System CPU Pool configuration
Open System / Database ALL Tabs - minor modifications for Cluster handling
Minor cleanup to LBoM - Made TOC primary location to capture Infrastructure / technologies information,
- removed redundant questions, and had single question feed other tabs.
- BOM Functions - acced /opt/wily to Portal and IHS 8.5 Filestrutures
- IHS Tab - Correct line 8 - copied drop-down into all cells on line 8
Added Lbom Tracker Tab
Reorganized tab order slightly for convieniance
Added new Mainframe Tabs as Onboarding Forms
Websphere Tab - Added CTG 7 MF - WLM sections per MF requirements
Table of Contents - Added Imperva as an entry (similar to ESX Hosts) no associated tab, but sign off required</t>
  </si>
  <si>
    <t>Web Server Agent Name</t>
  </si>
  <si>
    <t>Web Server ACO Name</t>
  </si>
  <si>
    <t>Web Server HCO Name</t>
  </si>
  <si>
    <t>TAI Agent Name</t>
  </si>
  <si>
    <t>TAI ACO Name</t>
  </si>
  <si>
    <t>HC_wau_primary</t>
  </si>
  <si>
    <t>TAI HCO Name</t>
  </si>
  <si>
    <t>C.Gilmore
J. Farah
J. Stange</t>
  </si>
  <si>
    <t>Windows, Open Systems, VM, WAS, DB, APP Team, DR (if included)</t>
  </si>
  <si>
    <t>-updated the firewall tab to include "&amp; F5 Self IPs" in column H when provisioning a VIP</t>
  </si>
  <si>
    <t>M. Tomlinson
J. Barrett</t>
  </si>
  <si>
    <t>-Siteminder changes per Joe's request
-Corrected project Details title and TOC title
-Corrected Siteminder conditional formatting
-Hid Row 14 of Project Details
-Updated who is required for ICC provisioning
-changed Websphere tab to include chosen env from DA tab
-corrected IHS Siteminder Info conditional formatting
-update Project Details Required to be hardcoded to Yes
- Removed the DR tab from LBOM; changed TOC to signature only
-Updated Row 21 of Project Details with Clarity Link
-Removed excess rows 44-46 and created on larger section which word wraps on IS A&amp;A tab
-Set up conditional formatting based on platform for both the Default Processor Pool Column and updated the Note and for the Internal Disk column on Distributed Assets tab
- Corrected the reference to Dist Assets in Column I on Open Systems tab so it will check correct column.  Removed validation settings.
- Correct the LUN values on the Open Systems tab to remove the gb and corrected values in the BOM Functions for AIX, AIX+DB2 and Linux
- Column K corrected to reference proper column on Open Systems tab and removed the gb and the 1- 
- Added formula back to Column K in Storage tab
- Updated LoadBalancer health monitor column to include the http_portchecking_siteminder for a selection choice.</t>
  </si>
  <si>
    <t>Full or Partial Decom</t>
  </si>
  <si>
    <t>HTTP Port Reused</t>
  </si>
  <si>
    <t>LBoM Coordinator:</t>
  </si>
  <si>
    <t>J. Stange
C. Gilmore
M. Tomlinson</t>
  </si>
  <si>
    <t>-corrected Project Details tab, lines 33-47 to merge/left
-corrected Decomm Tab, EAS Architect should point to C46
-corrected Decomm Tab, LBOM Coordinator: Fix spelling and change to C47
-corrected Decomm Tab: formula in legacy hostname to point to correct location (AD28)
-LB tab: Copy formula up to row 1 in column L, remove data remnant
-IP Tab, VIP section check cell B156 for formula, copy in
-TOC: Copied yes/no box to C6
-corrected formula on DNS tab in column L to look at column C, not F</t>
  </si>
  <si>
    <r>
      <t xml:space="preserve">-corrected column H on the Access Req Tab to reference correctly from Dist Assets tab_names
- added line to check for Dist Assets for DR YES or NO in Column
-corrected reference in Column N on TSM-Backup Tab
-corrected reference in Column C to Distributed Assets column on Monitoring Tab
</t>
    </r>
    <r>
      <rPr>
        <sz val="10"/>
        <rFont val="Arial"/>
        <family val="2"/>
      </rPr>
      <t>-Removed TSM column on Zena tab
-Added line in formula in Column M on Zena tab to check distributed assets for DR server set to Yes or No (Column X) 
-Added a NONE box to Project Details tab on Line 53 and corresponding check mark on IS A&amp;A tab; corrected order on IS A&amp;A tab</t>
    </r>
  </si>
  <si>
    <t>Legacy A-record of VIP</t>
  </si>
  <si>
    <t>Legacy A-Record (FQDN)</t>
  </si>
  <si>
    <t>Type of Server</t>
  </si>
  <si>
    <t>Legacy A-Record</t>
  </si>
  <si>
    <t>Port Table Updated</t>
  </si>
  <si>
    <t>Legacy Host</t>
  </si>
  <si>
    <t>Legacy IP Address</t>
  </si>
  <si>
    <t>Resolve in DMZ</t>
  </si>
  <si>
    <t>Full Decom/
CleanUp</t>
  </si>
  <si>
    <t>-updated the ITAM form so it pulls server names from correct column on DA Tab
-Added information to decom tab to be able to export to debom
-Updated TOC to put back formula for VM and added formula for Decom based on contents in DA tab
-Added filesystem /opt/jdbc_type4 : 512 MB to OpenSystems Websphere servers</t>
  </si>
  <si>
    <t>Physical/Virtual</t>
  </si>
  <si>
    <t>R13.1</t>
  </si>
  <si>
    <r>
      <rPr>
        <sz val="10"/>
        <color rgb="FFFF0000"/>
        <rFont val="Arial"/>
        <family val="2"/>
      </rPr>
      <t>-Fixed IP Requested column formula on DA TAB
-Fixed formulas on Windows tab and move column on Access Req tab</t>
    </r>
    <r>
      <rPr>
        <sz val="10"/>
        <rFont val="Arial"/>
        <family val="2"/>
      </rPr>
      <t xml:space="preserve">
-Added Physical/Virtual to Decom tab
</t>
    </r>
    <r>
      <rPr>
        <sz val="10"/>
        <color rgb="FFFF0000"/>
        <rFont val="Arial"/>
        <family val="2"/>
      </rPr>
      <t>-Fixed Legacy Host Name formula on Decom tab
-Fixed Column J on Windows tab to point to column 8 on Dist Assets</t>
    </r>
  </si>
  <si>
    <t>Vcenter
Name</t>
  </si>
  <si>
    <t>Vcenters (Prod, Test, Dev)</t>
  </si>
  <si>
    <t>Hosts in Prod</t>
  </si>
  <si>
    <t>Hosts in DEV - WAU</t>
  </si>
  <si>
    <t>SQL Licensing - ITAM Required Fields for VMs</t>
  </si>
  <si>
    <r>
      <rPr>
        <b/>
        <sz val="9"/>
        <rFont val="Arial"/>
        <family val="2"/>
      </rPr>
      <t># of Virtual Processors</t>
    </r>
    <r>
      <rPr>
        <b/>
        <sz val="10"/>
        <rFont val="Arial"/>
        <family val="2"/>
      </rPr>
      <t xml:space="preserve">
</t>
    </r>
    <r>
      <rPr>
        <b/>
        <sz val="7"/>
        <color rgb="FFFF0000"/>
        <rFont val="Arial"/>
        <family val="2"/>
      </rPr>
      <t>*exclude Hyperthread*</t>
    </r>
  </si>
  <si>
    <t>Novell Client required?</t>
  </si>
  <si>
    <t>C. Hardy / T. Willaims
Michael Cowden</t>
  </si>
  <si>
    <t>VMWare Hostnames</t>
  </si>
  <si>
    <t>Decom Tab - Added formula to calculate Legacy VIP IP based on VIP Name
Dist. Assets - Added additional fields required for ITAM tracking of SQL Licensing related to VM
Dist. Assets - Added Windows - Novell Client Required column - Copy value to Windows tab</t>
  </si>
  <si>
    <t>DR Level:</t>
  </si>
  <si>
    <t>Application Number:</t>
  </si>
  <si>
    <t>HC_TAI_wau_primary</t>
  </si>
  <si>
    <t>C.Gilmore
Syed Khan</t>
  </si>
  <si>
    <t>cg/sc</t>
  </si>
  <si>
    <t>TSM TAB - Database Excludes</t>
  </si>
  <si>
    <t>SQL_TSM_Excludes</t>
  </si>
  <si>
    <t xml:space="preserve"> -TSM Tab - TSM Client rule modified to include Windows 2012 in the formual - sjc 
-Access Requests - corrected ENV formula to use Environment Table on Dist Assets. - sjc
-updated Decom Tab - DNS Section - Added legecy host drop-down selection, and lookup for IP and alias (sc)
-updated Decom tab, added other to server type category
-updated the IS A&amp;A Tab and IHS Tab to change the TAI HCO Name to a static value: HC_TAI_wau_primary
-changed column on Decom tab to autopopulate Legacy A-Record and IP
-Added drop down box for host name in DNS section of Decom tab
-updated the TSM tab to include SQL Excludes for 2008 and 2012 and set to C:\ and lightspeed automatically
-updated the Distributed Assets tab conditional formatting for DEV Waukegan
-updated the Table of Contents to replace Kevin Payne with Uday Garikapati</t>
  </si>
  <si>
    <t>-Corrections to formulas on TSM tab
-added Infrastructure Environment column to distributed assets
-named 2 fields on TOC for WAS and DB requestor (for automation of user ids)
-Added Notes in Firewall Tab for cmmon IA Groups and common ports
-Added Windows Share to Access Requirements tab Request Type (Entitlement Request)</t>
  </si>
  <si>
    <t>VMWare
Cluster</t>
  </si>
  <si>
    <t>Do external users access information from this database?</t>
  </si>
  <si>
    <t>T. Williams / C. Hardy / M. Cornwell</t>
  </si>
  <si>
    <t>DEV-iLO Interface-Process - 1</t>
  </si>
  <si>
    <t>DEV-iLO Interface-Data - 1</t>
  </si>
  <si>
    <t>DEV-iLO Interface-Process - 1 -overflow</t>
  </si>
  <si>
    <t>DEV-iLO Interface-Process - 2 -overflow</t>
  </si>
  <si>
    <t>DEV-iLO Interface-Data - 1 -overflow</t>
  </si>
  <si>
    <t>DEV-iLO Interface-Data - 2 -overflow</t>
  </si>
  <si>
    <t>DEV-OOB Interface-Process - 1</t>
  </si>
  <si>
    <t>DEV-OOB Interface-Data - 1</t>
  </si>
  <si>
    <r>
      <t xml:space="preserve">-Distributed Assets Tab: Remove the word "SQL" from column AJ, remove column AL (hidden)
-New DB Request Tab: Add question "Do External users access information from this database?", Also, added second column of questions for cases where there are both SQL and DB2 databases on same LBOM
Bom Functions - Added new networks for ARCSight - Security layer - Test &amp; Prod (SJC)
BOM Functions - Corrected Waukegan DEV - OOB &amp; iLO lookups   (SJC)
BOM Functions - Rearranged fsalayers drop-down so Process-1 is grouped with Process-2 (SJC)
Dist. Assets - Layer Column - added additional Conditional Formatting rules for incorrect Layer selection based on Environment / Layer / Location  (SJC)
</t>
    </r>
    <r>
      <rPr>
        <sz val="9"/>
        <rFont val="Arial"/>
        <family val="2"/>
      </rPr>
      <t>BOM Functions / Acces Requirements - Added UNIX Group Requests for request type, and Novell Authentication as Authentication type on Access requirements (SJC)</t>
    </r>
  </si>
  <si>
    <t>HCSC Desktop Personal Storage Devices.  (USB encryption</t>
  </si>
  <si>
    <t>10.134.153.0/27</t>
  </si>
  <si>
    <t>10.134.153.1</t>
  </si>
  <si>
    <t>Test 2.0 AD Read Only Domain Controllers for DMZ</t>
  </si>
  <si>
    <t>10.134.38.0/28</t>
  </si>
  <si>
    <t>10.134.38.1</t>
  </si>
  <si>
    <t>192.168.51.0/25</t>
  </si>
  <si>
    <t>192.168.51.1</t>
  </si>
  <si>
    <t>10.135.0.0/22</t>
  </si>
  <si>
    <t>10.135.0.1</t>
  </si>
  <si>
    <t>192.168.164.0/22</t>
  </si>
  <si>
    <t>Test 2.0 VM_Service_Console_Net2 (Vmotion 5.5</t>
  </si>
  <si>
    <t>Test 2.0 VM_Service_Console_Vmotion_Net2 (5.5)</t>
  </si>
  <si>
    <t>10.134.153.64/27</t>
  </si>
  <si>
    <t>10.134.153.65</t>
  </si>
  <si>
    <t>Test 2.0 hmc_hw_mgmt_3_DHCP (Stavros)</t>
  </si>
  <si>
    <t>Test 2.0 hmc_hw_mgmt_4_DHCP (Stavros)</t>
  </si>
  <si>
    <t>10.134.153.128/27</t>
  </si>
  <si>
    <t>10.134.153.129</t>
  </si>
  <si>
    <t>*Red text - layer not in drop down</t>
  </si>
  <si>
    <t>Prod 2.0 GSA</t>
  </si>
  <si>
    <t>Prod 2.0-Application Interface-GSA</t>
  </si>
  <si>
    <t>10.139.248.0/22</t>
  </si>
  <si>
    <t>10.139.248.1</t>
  </si>
  <si>
    <t>10.136.253.0/26</t>
  </si>
  <si>
    <t>10.136.253.1</t>
  </si>
  <si>
    <t>hmc_hw_mgmt_3_DHCP (See Stavros)</t>
  </si>
  <si>
    <t>10.137.200.0/22</t>
  </si>
  <si>
    <t>10.137.200.1</t>
  </si>
  <si>
    <t>Prod 2.0 VMWare Service Console for VM (Vmotion 5.5)</t>
  </si>
  <si>
    <t>Prod 2.0 Vmotion_Net2 (Vmotion 5.5)</t>
  </si>
  <si>
    <t>192.168.184.0/22</t>
  </si>
  <si>
    <t>10.136.153.128/27</t>
  </si>
  <si>
    <t>10.136.153.129</t>
  </si>
  <si>
    <t>R14.1</t>
  </si>
  <si>
    <t>C. Hardy
T. Williams</t>
  </si>
  <si>
    <t>ITAM tab - corrected Request Title to Clarity Project Name and autopop based on Project Details Clarity Proj Name 
ICC Provisioning Notes Tab - Updated Monitoring Notes per conversation with Dell Ellison
BOM Functions - added additional SQL VMs in Dev, Test Prod updated selction list  (sjc)</t>
  </si>
  <si>
    <t>Prod F.W.-OOB Interface-Process - 1</t>
  </si>
  <si>
    <t>Prod F.W.-OOB Interface-Process - 2</t>
  </si>
  <si>
    <t>Prod F.W.-OOB Interface-Data - 1</t>
  </si>
  <si>
    <t>Prod F.W.-OOB Interface-Data - 2</t>
  </si>
  <si>
    <t>Prod F.W.-OOB Interface-Mgmt and Monitoring</t>
  </si>
  <si>
    <t>Test FW</t>
  </si>
  <si>
    <t>tfw</t>
  </si>
  <si>
    <t>Test F.W.</t>
  </si>
  <si>
    <t>&lt;enter additional APP IDs here&gt;</t>
  </si>
  <si>
    <t>Note:</t>
  </si>
  <si>
    <t>Windows Central FTP Servers</t>
  </si>
  <si>
    <t>dchiswIFFT01</t>
  </si>
  <si>
    <t>twauswIFFT01</t>
  </si>
  <si>
    <t>pwauswIFFT01</t>
  </si>
  <si>
    <t>10.130.145.46</t>
  </si>
  <si>
    <t>10.134.128.186</t>
  </si>
  <si>
    <t>10.136.128.181</t>
  </si>
  <si>
    <t>Central FTP Server</t>
  </si>
  <si>
    <t>IP Asset Number</t>
  </si>
  <si>
    <t>Central FTP 
Server IP</t>
  </si>
  <si>
    <t>Decom Tab - Added Websphere IHS to Server Type dropdown list</t>
  </si>
  <si>
    <t>C.Gilmore</t>
  </si>
  <si>
    <t>Network Attached Storage Request (NAS)</t>
  </si>
  <si>
    <t>Prod 2.0 (Wau) *</t>
  </si>
  <si>
    <t>(SMB) Windows: AD Group</t>
  </si>
  <si>
    <t>(NFS) Unix: UID</t>
  </si>
  <si>
    <t>(NFS) Unix: GID</t>
  </si>
  <si>
    <r>
      <t xml:space="preserve">What is the potential file count?     </t>
    </r>
    <r>
      <rPr>
        <i/>
        <sz val="8"/>
        <rFont val="Arial"/>
        <family val="2"/>
      </rPr>
      <t xml:space="preserve">          (by environment)</t>
    </r>
  </si>
  <si>
    <t>* replicated to Fort Worth (DR)</t>
  </si>
  <si>
    <t>SMB NAS Name:</t>
  </si>
  <si>
    <t>NFS NAS Name:</t>
  </si>
  <si>
    <t>NAS - Network Attached Storage Request</t>
  </si>
  <si>
    <t>NAS - Network Attached Storage</t>
  </si>
  <si>
    <t>Data Layer:</t>
  </si>
  <si>
    <t>Flat Layer:</t>
  </si>
  <si>
    <t>Windows (SMB):</t>
  </si>
  <si>
    <t>UNIX (NFS):</t>
  </si>
  <si>
    <t>10.139.190.0/24</t>
  </si>
  <si>
    <t>10.136.189.0/24</t>
  </si>
  <si>
    <t xml:space="preserve">(DMZ/Data/Process) </t>
  </si>
  <si>
    <t>10.136.189.0/23</t>
  </si>
  <si>
    <t>10.134.189.0/24</t>
  </si>
  <si>
    <t>PROD (replicates to Fort Worth "DR")</t>
  </si>
  <si>
    <t>network</t>
  </si>
  <si>
    <t>port(s)</t>
  </si>
  <si>
    <t>R14.2</t>
  </si>
  <si>
    <t>SMB Share Name</t>
  </si>
  <si>
    <t>NAS 
Environment</t>
  </si>
  <si>
    <t>Port:</t>
  </si>
  <si>
    <t>Requested
Storage Size</t>
  </si>
  <si>
    <t>Access</t>
  </si>
  <si>
    <t>Network Attached Storage Configuration Details (NAS)</t>
  </si>
  <si>
    <t>Network Attached Storage Details</t>
  </si>
  <si>
    <t>Fort Worth Special instructions</t>
  </si>
  <si>
    <t>Global  Groups</t>
  </si>
  <si>
    <r>
      <t xml:space="preserve">Share Name 
</t>
    </r>
    <r>
      <rPr>
        <sz val="8"/>
        <color theme="1"/>
        <rFont val="Arial"/>
        <family val="2"/>
      </rPr>
      <t>e.g. AppFolder</t>
    </r>
  </si>
  <si>
    <t>Hostname\ Share Name</t>
  </si>
  <si>
    <t>What business lines are impacted?</t>
  </si>
  <si>
    <t>Other Notes or comments:  (use space below):</t>
  </si>
  <si>
    <t>-REALMS-</t>
  </si>
  <si>
    <t>Resource (URI)</t>
  </si>
  <si>
    <t>/portchecking.html</t>
  </si>
  <si>
    <t>/server-status</t>
  </si>
  <si>
    <t>Protected</t>
  </si>
  <si>
    <t>Unprotected</t>
  </si>
  <si>
    <t>Protected  / Unprotected</t>
  </si>
  <si>
    <t>Basic</t>
  </si>
  <si>
    <t>AS_Common</t>
  </si>
  <si>
    <t>Custom Login Page</t>
  </si>
  <si>
    <t>-User Directories-</t>
  </si>
  <si>
    <t>Coarse Grained Security</t>
  </si>
  <si>
    <t>Authorizations</t>
  </si>
  <si>
    <t>-Application URLs-</t>
  </si>
  <si>
    <t>Relative URI</t>
  </si>
  <si>
    <t>Authentication Directory</t>
  </si>
  <si>
    <t>Authorization Directory</t>
  </si>
  <si>
    <t>Application POC:</t>
  </si>
  <si>
    <t>Applications CA Service Desk Group:</t>
  </si>
  <si>
    <r>
      <t xml:space="preserve">EAA / Siteminder tab - removed IS A&amp;A tab and restructured this tab per Siteminder team requirements, IHS Websphere - updated siteminder info to pull directly from </t>
    </r>
    <r>
      <rPr>
        <sz val="10"/>
        <color rgb="FF001FED"/>
        <rFont val="Arial"/>
        <family val="2"/>
      </rPr>
      <t>EAA / SIteminder tab</t>
    </r>
    <r>
      <rPr>
        <sz val="10"/>
        <rFont val="Arial"/>
        <family val="2"/>
      </rPr>
      <t xml:space="preserve"> - cdg</t>
    </r>
  </si>
  <si>
    <r>
      <rPr>
        <sz val="10"/>
        <color rgb="FF001FED"/>
        <rFont val="Arial"/>
        <family val="2"/>
      </rPr>
      <t>NEW NAS TABs</t>
    </r>
    <r>
      <rPr>
        <sz val="10"/>
        <rFont val="Arial"/>
        <family val="2"/>
      </rPr>
      <t xml:space="preserve"> - OnBoarding Section &amp; Detail sections
Host References - added NAS Names / Networks / Port
BOM Functions - Corrected SQL VM Names (only the new VMs were renamed)
Dist Assets - corrected the Data Validation input message for the correct Over-write Environments. (Cells F7 - F22)
Zena Tab - adjusted to identify when Fort Worth Prod Zena is needed in Fort Worth - Special consideration
Windows Tab - added Lookup_concat VB Code into Module 19 to for use in NPID &amp; Global Group lookups to return multiple items per asset
Windows Tab - Added conditional formatting / checking for DNS IPs 1 &amp; 2 to validate if servers are in Data Center or Remote Sites to identify correct DC Controllers
SQL Opt TAB - corrected for New server name formula
Windows FTP/Http - -Corrected formulas on FTP Server name - modifed column names
Dist Assets - Corrected conditional formatting  for Data-2 &amp; 3 in DEV WAU
</t>
    </r>
    <r>
      <rPr>
        <sz val="10"/>
        <color rgb="FF001FED"/>
        <rFont val="Arial"/>
        <family val="2"/>
      </rPr>
      <t>Project Details</t>
    </r>
    <r>
      <rPr>
        <sz val="10"/>
        <rFont val="Arial"/>
        <family val="2"/>
      </rPr>
      <t xml:space="preserve"> - added business lines with check boxes to indicate - Group, Gov, Retail - and corresponding named cells in BOM Functions</t>
    </r>
  </si>
  <si>
    <r>
      <t xml:space="preserve">TOC - Moved ITAM Line to be located directly belowDatabase ALL
</t>
    </r>
    <r>
      <rPr>
        <sz val="10"/>
        <color rgb="FF001FED"/>
        <rFont val="Arial"/>
        <family val="2"/>
      </rPr>
      <t>Moved ITAM TAB</t>
    </r>
    <r>
      <rPr>
        <sz val="10"/>
        <rFont val="Arial"/>
        <family val="2"/>
      </rPr>
      <t xml:space="preserve"> bext to Database ALL Tab </t>
    </r>
  </si>
  <si>
    <r>
      <rPr>
        <sz val="10"/>
        <color rgb="FF001FED"/>
        <rFont val="Arial"/>
        <family val="2"/>
      </rPr>
      <t>Windows FTP/HTTP Tab</t>
    </r>
    <r>
      <rPr>
        <sz val="10"/>
        <rFont val="Arial"/>
        <family val="2"/>
      </rPr>
      <t xml:space="preserve"> - Redesigned to add Central FTP Server selection, Automated tab completion, requires NPID, app folder</t>
    </r>
  </si>
  <si>
    <t xml:space="preserve">DNS   A Record
</t>
  </si>
  <si>
    <t>Instance Home Server</t>
  </si>
  <si>
    <t>Stand Alone Server Name / 
Instance Name
LPAR (MF DB2)</t>
  </si>
  <si>
    <t>Physical
 or
Virtual?</t>
  </si>
  <si>
    <t>770, 780, 795</t>
  </si>
  <si>
    <t>750, 755, 760, 775, PS704, p460, Power ESE</t>
  </si>
  <si>
    <t xml:space="preserve">PS700-703,
710-740, p260, p270 </t>
  </si>
  <si>
    <t>870, 880</t>
  </si>
  <si>
    <t>E850</t>
  </si>
  <si>
    <t>S814, S822, S824</t>
  </si>
  <si>
    <t>P7_PVU</t>
  </si>
  <si>
    <t>P8_PVU</t>
  </si>
  <si>
    <t>P_7</t>
  </si>
  <si>
    <t>P_8</t>
  </si>
  <si>
    <t>R14.3</t>
  </si>
  <si>
    <t>intel_PVU / Processor</t>
  </si>
  <si>
    <t>Intel</t>
  </si>
  <si>
    <t>cpu_type</t>
  </si>
  <si>
    <t xml:space="preserve">
Open Systems - Database
File Structure</t>
  </si>
  <si>
    <t>Budget:</t>
  </si>
  <si>
    <t xml:space="preserve"> AMD Opteron(tm) Processor 6278 </t>
  </si>
  <si>
    <t xml:space="preserve"> Intel(R) Xeon(R) CPU E7  4870  @ 2.40GHz </t>
  </si>
  <si>
    <t xml:space="preserve"> Intel(R) Xeon(R) CPU X7560  @ 2.27GHz </t>
  </si>
  <si>
    <t>Intel(R) Xeon(R) CPU E5 2670 0 @ 2.60GHz   ProLiant BL460c Gen8 
Intel(R) Xeon(R) CPU E5 2670 v2 @ 2.50GHz   ProLiant BL460c Gen8 
Intel(R) Xeon(R) CPU E5 2687W v3 @ 3.10GHz   ProLiant DL380 Gen9</t>
  </si>
  <si>
    <t>EAA Siteminder</t>
  </si>
  <si>
    <t xml:space="preserve">Access Requirements - Removed the entry from Table of Contents and removed the tab.  (Hidden)
Project Details - added entry for assigned Information Security Entitlement Resource.
ITAM TAB - Moved to On Boarding / modified to provide additional detail for WAS Licensing
Corrected Windows Tab / Dist Assets Tab for VM Template
AIX Clustering changes
Project Details - Budget - Expand Section to include Estimate cost and Director signoff
Network Load Balancer - added https_portchecking as new option for VIP Health monitor (Bom Functions/ column p) </t>
  </si>
  <si>
    <t>Prod F.W.-Application Interface-Security</t>
  </si>
  <si>
    <t>san</t>
  </si>
  <si>
    <t>WAS WPS</t>
  </si>
  <si>
    <t>WAS Portal 8.0.0.1 CF 9</t>
  </si>
  <si>
    <t>WAS Web 8.5 - APP Only</t>
  </si>
  <si>
    <t>WAS Web 8.5 - DM &amp; APP</t>
  </si>
  <si>
    <t>WAS Web 8.5 - DM Only</t>
  </si>
  <si>
    <t>WAS IHS Server  8.5</t>
  </si>
  <si>
    <t>Infrastructure Estimate Summary</t>
  </si>
  <si>
    <t>Estimates</t>
  </si>
  <si>
    <t>AIX  version 7.1</t>
  </si>
  <si>
    <t>Linux version 7.1</t>
  </si>
  <si>
    <t>R14.4</t>
  </si>
  <si>
    <t xml:space="preserve">Daily Incremental
y / n </t>
  </si>
  <si>
    <t>Type of 
Synch / Replication
Needed</t>
  </si>
  <si>
    <t>GTM #</t>
  </si>
  <si>
    <t>Prod Process/Data Build Network #2</t>
  </si>
  <si>
    <t>192.168.40.0/22</t>
  </si>
  <si>
    <t>OOB-2 Interface</t>
  </si>
  <si>
    <t xml:space="preserve">Logs Schedule
</t>
  </si>
  <si>
    <t>Full Backup Schedule
(Weekly / Daily)</t>
  </si>
  <si>
    <t>Design Notes &amp; Assets</t>
  </si>
  <si>
    <t xml:space="preserve">DR Rating:  </t>
  </si>
  <si>
    <t xml:space="preserve">Software Licensing Estimate Summary  </t>
  </si>
  <si>
    <t>&lt;List additional Application names here&gt;</t>
  </si>
  <si>
    <t>.dev.bcbsil.com</t>
  </si>
  <si>
    <t>.dev.bcbstx.com</t>
  </si>
  <si>
    <t>.dev.bcbsnm.com</t>
  </si>
  <si>
    <t>.dev.bcbsok.com</t>
  </si>
  <si>
    <t>.dev.bcbsmt.com</t>
  </si>
  <si>
    <t>.test.bcbsil.com</t>
  </si>
  <si>
    <t>.test.bcbstx.com</t>
  </si>
  <si>
    <t>.test.bcbsnm.com</t>
  </si>
  <si>
    <t>.test.bcbsok.com</t>
  </si>
  <si>
    <t>.test.bcbsmt.com</t>
  </si>
  <si>
    <t>.adfs.hcsc.net</t>
  </si>
  <si>
    <t>.mgmt.test.hcscint.net</t>
  </si>
  <si>
    <t>.mgmt.hcscint.net</t>
  </si>
  <si>
    <t>R15.0</t>
  </si>
  <si>
    <t xml:space="preserve">
Waukegan Prod IO_Group ID</t>
  </si>
  <si>
    <t>Ft. Worth DR IO_Group ID</t>
  </si>
  <si>
    <t>Cluster Type</t>
  </si>
  <si>
    <t>Renamed to version 15.0
IP Tab - added rule to create hostname - includes conditional formatting for basic validations.
Storage Tab - updated formulas - stream lined completion of DR information. (added Cluster type column)
Zena Tab - San Replication formula modified (changed &lt;&gt;Virtual to ="Physical"</t>
  </si>
  <si>
    <t>Environment Selection</t>
  </si>
  <si>
    <t>Date Required</t>
  </si>
  <si>
    <t>Project Details - Add Env date requested (For Infrastructure Requests)
Add Red Hat and Apache (Tomcat) for OS &amp; Web Application
ITAM - Add new Column to validate new asset request, Column for Bundled software - comments</t>
  </si>
  <si>
    <t>RHEL</t>
  </si>
  <si>
    <t>IS Application DR Critical?  - (Select Value)</t>
  </si>
  <si>
    <t>Opensystems TAB – Middleware – Was 8.5  = 60 GB
- Fix the population of OS &amp; MD Filestructures
- Dist Assets: column AQ – Change last line from Z# to AQ#
Dist Assets- VM Clusters – Cluster names (formula change)
DataBASE ALL -  inSTNACE NAME Column C -  change -1 to -2 in formula
Project Details - Dr broken into 2 questions to match Clarity</t>
  </si>
  <si>
    <t>Backup schedule</t>
  </si>
  <si>
    <t>10.139.4.0/24</t>
  </si>
  <si>
    <t>10.139.5.0/24</t>
  </si>
  <si>
    <t>10.139.6.0/24</t>
  </si>
  <si>
    <t>10.139.7.0/24</t>
  </si>
  <si>
    <t>10.139.4.1</t>
  </si>
  <si>
    <t>10.139.5.1</t>
  </si>
  <si>
    <t>10.139.6.1</t>
  </si>
  <si>
    <t>10.139.7.1</t>
  </si>
  <si>
    <t>Prod GSA Voice A</t>
  </si>
  <si>
    <t>Prod GSA Voice B</t>
  </si>
  <si>
    <t>Prod GSA Voice C</t>
  </si>
  <si>
    <t>Prod GSA Voice D</t>
  </si>
  <si>
    <t>Prod 2.0-Application Interface-GSA Voice A</t>
  </si>
  <si>
    <t>Prod 2.0-Application Interface-GSA Voice B</t>
  </si>
  <si>
    <t>Prod 2.0-Application Interface-GSA Voice C</t>
  </si>
  <si>
    <t>Prod 2.0-Application Interface-GSA Voice D</t>
  </si>
  <si>
    <t>GSA Voice B</t>
  </si>
  <si>
    <t>GSA Voice A</t>
  </si>
  <si>
    <t>GSA Voice C</t>
  </si>
  <si>
    <t>GSA Voice D</t>
  </si>
  <si>
    <t>Test 2.0-Application Interface-GSA Voice A</t>
  </si>
  <si>
    <t>Test 2.0-Application Interface-GSA Voice B</t>
  </si>
  <si>
    <t>Test 2.0-Application Interface-GSA Voice C</t>
  </si>
  <si>
    <t>Prod 2.0-OOB Interface-GSA Voice A</t>
  </si>
  <si>
    <t>Prod 2.0-OOB Interface-GSA Voice B</t>
  </si>
  <si>
    <t>Prod 2.0-OOB Interface-GSA Voice C</t>
  </si>
  <si>
    <t>Prod 2.0-OOB Interface-GSA Voice D</t>
  </si>
  <si>
    <t>Prod F.W.-Application Interface-GSA Voice A</t>
  </si>
  <si>
    <t>Prod F.W.-Application Interface-GSA Voice B</t>
  </si>
  <si>
    <t>Prod F.W.-Application Interface-GSA Voice C</t>
  </si>
  <si>
    <t>Prod F.W.-Application Interface-GSA Voice D</t>
  </si>
  <si>
    <t>New Tabs:  Infratsructure Estimate &amp; Middleware Estimate - ISE Estimation Spreadsheet embedded into LBoM
Estimation broken up into 2 summaries Infrastructure Estimation (charge-back to Project), and Software License Cost (Cost to BPS for Software Licenses &amp; Maint)
added VLAN 2845 as OOB-2 for Prod OOB Ips - added conditional Formatting to aid in slecting correct one and notes in Comment field
Dist. assets - Updated the Estimated timeline to be in synch with Web Site Spreadsheet (minus tracking Corp Holidays)
added additional sub domains for Test &amp; Dev by state</t>
  </si>
  <si>
    <t xml:space="preserve">
DatabaseAll / TSM Tab - Removed Daily Backup - Approval Required - modified corresponding Conditional Formatting
Removed Tabs: Reverse Proxy, MQ, Datapower  (hidden tabs / TOC line)
Added GSA - Voice A, Voice B, Voice C, Voice D networks - corrected lookup strings
</t>
  </si>
  <si>
    <t>Prod 2.0-Application Interface-Siteminder Web</t>
  </si>
  <si>
    <t>Prod 2.0-Application Interface-SiteMinder Secure DB</t>
  </si>
  <si>
    <t>SiteMinder Session DB</t>
  </si>
  <si>
    <t>Prod 2.0-Application Interface-SiteMinder Policy 2</t>
  </si>
  <si>
    <t>FTW Voice VMNet 1</t>
  </si>
  <si>
    <t>FTW Voice VMNet 2</t>
  </si>
  <si>
    <t>FTW Voice VMNet 3</t>
  </si>
  <si>
    <t>FTW Voice VMNet 4</t>
  </si>
  <si>
    <t>10.69.4.0/24</t>
  </si>
  <si>
    <t>10.69.5.0/24</t>
  </si>
  <si>
    <t>10.69.6.0/24</t>
  </si>
  <si>
    <t>10.69.7.0/24</t>
  </si>
  <si>
    <t>10.69.4.1</t>
  </si>
  <si>
    <t>10.69.5.1</t>
  </si>
  <si>
    <t>10.69.6.1</t>
  </si>
  <si>
    <t>10.69.7.1</t>
  </si>
  <si>
    <t>Voice VMNet 1</t>
  </si>
  <si>
    <t>Voice VMNet 2</t>
  </si>
  <si>
    <t>Voice VMNet 3</t>
  </si>
  <si>
    <t>Voice VMNet 4</t>
  </si>
  <si>
    <t>fwid</t>
  </si>
  <si>
    <t>FWID_ITG_WEBSPHERE_ADMINS</t>
  </si>
  <si>
    <t>FWID_ITG_SQL_ADMINS</t>
  </si>
  <si>
    <t>FWID_ITG_DB2_ADMINS</t>
  </si>
  <si>
    <t>FWID_ITG_ECS_OPEN_SYSTEMS_ADMINS</t>
  </si>
  <si>
    <t>FWID_ITG_UCC_ADMINS</t>
  </si>
  <si>
    <t>FWID_ITG_ECS_WEB_INFRA_ADMINS</t>
  </si>
  <si>
    <t>FWID_NETWORK_ENGINEERING</t>
  </si>
  <si>
    <t>FWID_ITG_MQ_ADMINS</t>
  </si>
  <si>
    <t>Source Provisioned
ASSET IP # 
or
FWID name</t>
  </si>
  <si>
    <t>Help - about this Tab sections added for future Help information
Dist Assets - Cleared errorneous data in SQL Column
IHS Tab - Modified formula for JVM Alias name - (filter out prd for Prod)
IP Tab - VIP Section - Copy VIP A record name in to column D "hostname" to allow FW tab to include correct hostname and IP info
Corrected named array: vlan_array and expanded range
IP TAB - Vip Section - corrected gateway formula to use vlan_array
BOM Functions - Added FTW Voice Networks / Corrected Siteminder IP lookup values
FW Rules - Added FWID drop-down - modified Asset Y/N to include FWID as choice, Asset drop-down changes based on Asset selection - Editable Cell</t>
  </si>
  <si>
    <t>WAS  TomEE 1.7.3 Web profile</t>
  </si>
  <si>
    <t xml:space="preserve">• Storage team will need to evaluate whether there is sufficient capacity to accommodate the request
• Standard snapshots for data protection are 30 days for non-prod, 35 days for Prod and all Prod NAS is being replicated to Fort Worth.
* See Host Reference  Tab for subnet information for particular Network information </t>
  </si>
  <si>
    <t>Network Layer</t>
  </si>
  <si>
    <t>Log Schedule</t>
  </si>
  <si>
    <t>IHS Server 1</t>
  </si>
  <si>
    <t>IHS Server 2</t>
  </si>
  <si>
    <t>IHS Server 3</t>
  </si>
  <si>
    <t>IHS Server 4</t>
  </si>
  <si>
    <t>Alias 1</t>
  </si>
  <si>
    <t>Alias 2</t>
  </si>
  <si>
    <t>Alias 3</t>
  </si>
  <si>
    <t>Alias 4</t>
  </si>
  <si>
    <r>
      <t xml:space="preserve">3rd Party Connection
</t>
    </r>
    <r>
      <rPr>
        <b/>
        <sz val="8"/>
        <color indexed="10"/>
        <rFont val="Arial"/>
        <family val="2"/>
      </rPr>
      <t>(if Yes, Columns R,
S, are required!)</t>
    </r>
  </si>
  <si>
    <r>
      <t xml:space="preserve">Application Support Team Name:
</t>
    </r>
    <r>
      <rPr>
        <sz val="8"/>
        <color theme="1"/>
        <rFont val="Arial"/>
        <family val="2"/>
      </rPr>
      <t>CA service desk group name of the application support team</t>
    </r>
  </si>
  <si>
    <r>
      <rPr>
        <b/>
        <sz val="8"/>
        <color rgb="FFFF0000"/>
        <rFont val="Arial"/>
        <family val="2"/>
      </rPr>
      <t>ANY (direct or VPN) connectivity to or from an external entity will be need to be reviewed by IS- Risk Management if there is any new connectivity, or change to existing connectivity.</t>
    </r>
    <r>
      <rPr>
        <sz val="8"/>
        <color theme="1"/>
        <rFont val="Arial"/>
        <family val="2"/>
      </rPr>
      <t xml:space="preserve">
</t>
    </r>
    <r>
      <rPr>
        <b/>
        <u/>
        <sz val="8"/>
        <color theme="1"/>
        <rFont val="Arial"/>
        <family val="2"/>
      </rPr>
      <t/>
    </r>
  </si>
  <si>
    <r>
      <rPr>
        <b/>
        <sz val="10"/>
        <rFont val="Arial"/>
        <family val="2"/>
      </rPr>
      <t>Needed for signoff:</t>
    </r>
    <r>
      <rPr>
        <sz val="10"/>
        <rFont val="Arial"/>
        <family val="2"/>
      </rPr>
      <t xml:space="preserve"> Storage team</t>
    </r>
  </si>
  <si>
    <t>Legacy Database Name</t>
  </si>
  <si>
    <t>New or Existing Server</t>
  </si>
  <si>
    <r>
      <t>Host Rack
(</t>
    </r>
    <r>
      <rPr>
        <b/>
        <sz val="9"/>
        <rFont val="Arial"/>
        <family val="2"/>
      </rPr>
      <t>LANMAC)</t>
    </r>
  </si>
  <si>
    <t>Source Hostname</t>
  </si>
  <si>
    <t>vbnvb</t>
  </si>
  <si>
    <t>Application Group email:</t>
  </si>
  <si>
    <t>Application Short name (SAN):</t>
  </si>
  <si>
    <t>W:\SQLSYSDB\MSSQL11.MSSQLSERVER\MSSQL\DATA
X:\SQLDATA\MSSQL11.MSSQLSERVER\MSSQL\DATA
Y:\SQLDATA\MSSQL11.MSSQLSERVER\MSSQL\DATA
Z:\TEMPDATA\MSSQL11.MSSQLSERVER\MSSQL\Data</t>
  </si>
  <si>
    <t>-LDAP Tab: Revised environments, Framework Types, LDAP Hostnames.  Removed Mid-Tags column.  Added Information regarding Siteminder Enabled Applications and updated Access Control Information as well as adding IS resource from Project Details Tab.  Reduced tab to 9 lines.
- IP Tab: Updated Column K with correct formulas for adding the domain to the hostname
-Database (ALL) Tab: SSIS Column (M) will autopopulate based on MSSQL and existing or new.  Column will black out for other than SQL.  Column Y now autopopulating from the Project Details Tab, line 69.  
-Firewall Tab:  Column O is now a drop down box selection.
-TSM Tab: Formatting column fixes (B, R)
-Zena Tab: Corrected DR Level formula in M1
-Network Firewall Tab:  Remove duplicate from Column E
-Distributed Assets Tab: Corrected VMWare columns (AI, AJ, AK) and made corrections in BOM Functions to match accordingly</t>
  </si>
  <si>
    <t>Manual-Global DNS</t>
  </si>
  <si>
    <t>NFS4 Mount Options</t>
  </si>
  <si>
    <t>&lt;app Team defined&gt;</t>
  </si>
  <si>
    <t>Dev - VIP Process</t>
  </si>
  <si>
    <t>DEV - VIP - Process</t>
  </si>
  <si>
    <t>Dev - Vip - Process</t>
  </si>
  <si>
    <t>modify rule</t>
  </si>
  <si>
    <t xml:space="preserve">- NAS TAB - minor updates per Storage Team
- NAS Details TAB - updated formuals for naming shares, other misc automated features per storage team
- Distributed Assets - replaced formulas cleared out in B28 - B30 for Asset number creation.
- DNS / BOM Functions - added additional Phase type - for Global DNS " Manual-global DNS - this will be "skipped" by DNS provisioner, and will need to be handled by DNS team manually.
- Distributed Assets - Fixed broken Operating System drop-down selection
- Open systems - Fixed Broken formula for Red Hat Middleware VDisk size
- Firewall Tab / BOM  - modified Action column options
- TSM - defaulted column X (TSM Backup required) to Yes
- Open Systems - Added NAS Mount Column - copies info from NAS Details
- TSM -added excluded for NAS Mounts (NFS) - copies info from Open Systems Nas Mount </t>
  </si>
  <si>
    <t>NFS Export Path
on 
NAS Device:</t>
  </si>
  <si>
    <t>Standard Server Types</t>
  </si>
  <si>
    <t>TomEE 1.7.3 Web profile with Open JDK 8</t>
  </si>
  <si>
    <t>MSSQL Server</t>
  </si>
  <si>
    <t>Oracle Server</t>
  </si>
  <si>
    <t>.Net Framework</t>
  </si>
  <si>
    <t>Size</t>
  </si>
  <si>
    <t>vCPU</t>
  </si>
  <si>
    <t>GB/RAM</t>
  </si>
  <si>
    <t>micro</t>
  </si>
  <si>
    <t>TomEE 1.7.3 Web Profile w/ Open JDK 8</t>
  </si>
  <si>
    <t>Small</t>
  </si>
  <si>
    <t>Medium</t>
  </si>
  <si>
    <t>Large</t>
  </si>
  <si>
    <t>Very Large</t>
  </si>
  <si>
    <r>
      <t xml:space="preserve">TomEE Standard Configuration  </t>
    </r>
    <r>
      <rPr>
        <i/>
        <sz val="12"/>
        <rFont val="Arial"/>
        <family val="2"/>
      </rPr>
      <t xml:space="preserve"> </t>
    </r>
  </si>
  <si>
    <t xml:space="preserve">(NFS) Unix: UID   </t>
  </si>
  <si>
    <t>Apps</t>
  </si>
  <si>
    <t>Logs</t>
  </si>
  <si>
    <t>DB2 Server - Not implemented</t>
  </si>
  <si>
    <t>Oracle Server - Not Implemented</t>
  </si>
  <si>
    <t>Websphere 8.5</t>
  </si>
  <si>
    <t>Useage Type</t>
  </si>
  <si>
    <t>FWID_WINDOWS_ENGINEERING_ADMINS</t>
  </si>
  <si>
    <t>FWID_TSM_ADMINS</t>
  </si>
  <si>
    <r>
      <t xml:space="preserve">Requested # of Servers:                          </t>
    </r>
    <r>
      <rPr>
        <sz val="10"/>
        <color rgb="FFFF0000"/>
        <rFont val="Arial"/>
        <family val="2"/>
      </rPr>
      <t xml:space="preserve">  &lt;REQUIRED&gt;</t>
    </r>
  </si>
  <si>
    <r>
      <t xml:space="preserve">What environments will require NAS?  </t>
    </r>
    <r>
      <rPr>
        <sz val="10"/>
        <color rgb="FFFF0000"/>
        <rFont val="Arial"/>
        <family val="2"/>
      </rPr>
      <t xml:space="preserve">&lt;REQUIRED&gt; </t>
    </r>
    <r>
      <rPr>
        <sz val="10"/>
        <rFont val="Arial"/>
        <family val="2"/>
      </rPr>
      <t xml:space="preserve">    </t>
    </r>
    <r>
      <rPr>
        <i/>
        <sz val="8"/>
        <rFont val="Arial"/>
        <family val="2"/>
      </rPr>
      <t>(Select Yes / No)</t>
    </r>
  </si>
  <si>
    <r>
      <t xml:space="preserve">What type of Server will be connected?    </t>
    </r>
    <r>
      <rPr>
        <sz val="10"/>
        <color rgb="FFFF0000"/>
        <rFont val="Arial"/>
        <family val="2"/>
      </rPr>
      <t>&lt;REQUIRED&gt;</t>
    </r>
    <r>
      <rPr>
        <sz val="10"/>
        <rFont val="Arial"/>
        <family val="2"/>
      </rPr>
      <t xml:space="preserve">  </t>
    </r>
  </si>
  <si>
    <r>
      <t xml:space="preserve">What are the storage capacity requirements?    </t>
    </r>
    <r>
      <rPr>
        <i/>
        <sz val="8"/>
        <rFont val="Arial"/>
        <family val="2"/>
      </rPr>
      <t xml:space="preserve"> (by environment)</t>
    </r>
  </si>
  <si>
    <t>/usr/tomcat7 – 2 Gig
/opt/apm – 1 Gig
/opt/siteminder – 2Gig</t>
  </si>
  <si>
    <t xml:space="preserve">Legacy Server
</t>
  </si>
  <si>
    <t xml:space="preserve">Folder path </t>
  </si>
  <si>
    <t>sc
cg</t>
  </si>
  <si>
    <r>
      <t xml:space="preserve">
NFS Mount Point on Unix / Linux
</t>
    </r>
    <r>
      <rPr>
        <sz val="10"/>
        <rFont val="Arial"/>
        <family val="2"/>
      </rPr>
      <t>(See NAS Details Tab)</t>
    </r>
  </si>
  <si>
    <t>Process - 3</t>
  </si>
  <si>
    <t>Firewall Rule Required?</t>
  </si>
  <si>
    <r>
      <rPr>
        <b/>
        <u/>
        <sz val="10"/>
        <color rgb="FFFF0000"/>
        <rFont val="Arial"/>
        <family val="2"/>
      </rPr>
      <t>Notes:</t>
    </r>
    <r>
      <rPr>
        <sz val="10"/>
        <color rgb="FFFF0000"/>
        <rFont val="Arial"/>
        <family val="2"/>
      </rPr>
      <t xml:space="preserve">
           1. Data recovery / movement  from Prod to Dev is not allowed without a CO and Prior approval from Information Security.
           2. Data recovery / movement from Test to Prod is not allowed without a CO and Prior approval from Information Security. 
           3. Change controls with appropriate workflow tasks for ESS Backup Recovery and DBA teams are required for all other refresh activity. 
           4. When recovering / moving data from Prod to Test, please ensure that port 1500 is opened at the WTC firewall 
               temporarily and in advance, so the recovery activity can be carried out. </t>
    </r>
  </si>
  <si>
    <t xml:space="preserve">
- Distributed Assets - Modified Description column to include drop-dow for standard offerings, added size column for "t-shirt" offerings, added several additional future-use columns,  relocated several columns.
- Reviewed &amp; Corrected all Tabs to accomdate Distributed Assets column changes 
- Multiple Tab updates and functional corrections.
- NAS Details &amp; NAS Onboarding updated to latest standards
- Updated Decom tab to split the rows and perform an nslookup on the legacy hosts
- Dist Assets - corrected formula fo VM Hosts to include Test03
- Windows - corrected formula VM Cluster to only be used for SQL
TSM OPT File tab - added column with formula to identify when FW rules are needed, and added formulas to automate.
</t>
  </si>
  <si>
    <t>SLES</t>
  </si>
  <si>
    <t>Gemfire</t>
  </si>
  <si>
    <t>What services are required?</t>
  </si>
  <si>
    <t>- Estimation Tabs updated with new offerings / corected formulas / completed software summary tab
- DNS Tab - added rule to Comments to look for Split DNS, if true display comment WFT required for DNS team
- TOC - added "Provisioned" to Status choicesfor IP &amp; DNS - to identify provisioning complete, as these both are now handled by IIs.
- Project Details - added Required Services check boxes, with named cell references (Egateway, Axway, MQ, Datapower, FTP) 
- Fix decom formula; minor changes to TOC (SMEs)</t>
  </si>
  <si>
    <t>dwaushes3011
dwaushes3012
dwaushes3013
dwaushes3014
dwaushes3015
dwaushes3016</t>
  </si>
  <si>
    <t>Test 2.0-VIP-Intranet DMZ-2</t>
  </si>
  <si>
    <t>Test 2.0 Intranet DMZ VIP Range-2</t>
  </si>
  <si>
    <t>10.134.80.0/22</t>
  </si>
  <si>
    <t>10.134.80.1</t>
  </si>
  <si>
    <t>Test Intranet DMZ-2</t>
  </si>
  <si>
    <t>NAS</t>
  </si>
  <si>
    <t>MTS</t>
  </si>
  <si>
    <t>Added New Test Intranet DMZ-2 Network - (10.134.80.0/22 VLAN 1716 shared)
-updated dropdown options on Provisioning Notes Tab; changed Websphere to MTS
 Network Security Firewall for TSM in Provisioning Notes</t>
  </si>
  <si>
    <t>bug fixes for Dist Assets - Platform, OS Type = Linux; when using TomEE drop-down standard offering</t>
  </si>
  <si>
    <t>192.168.40.1</t>
  </si>
  <si>
    <t>Dev Process</t>
  </si>
  <si>
    <t>app.dev.hcscint.net</t>
  </si>
  <si>
    <t>Process</t>
  </si>
  <si>
    <t>Data</t>
  </si>
  <si>
    <t>Process VIP</t>
  </si>
  <si>
    <t>Dev - Chicago</t>
  </si>
  <si>
    <t>Dev - Waukegan</t>
  </si>
  <si>
    <t>Process -1</t>
  </si>
  <si>
    <t>Process -2</t>
  </si>
  <si>
    <t>Process -3</t>
  </si>
  <si>
    <t>Data-1</t>
  </si>
  <si>
    <t>Data-2</t>
  </si>
  <si>
    <t>Data-3</t>
  </si>
  <si>
    <t>Intra</t>
  </si>
  <si>
    <t>Inter</t>
  </si>
  <si>
    <t>VIP-Intra</t>
  </si>
  <si>
    <t>VIP-Intra-2</t>
  </si>
  <si>
    <t>VIP-Inter</t>
  </si>
  <si>
    <t>Network Name</t>
  </si>
  <si>
    <t>Vlan</t>
  </si>
  <si>
    <t>Network Subnet</t>
  </si>
  <si>
    <t>Flat-Old</t>
  </si>
  <si>
    <t>Flat-</t>
  </si>
  <si>
    <t>VIP-Intra DMZ</t>
  </si>
  <si>
    <t>VIP-Intra DMZ -2</t>
  </si>
  <si>
    <t>VIP-Inter DMZ</t>
  </si>
  <si>
    <t>Intra DMZ</t>
  </si>
  <si>
    <t>Inter DMZ</t>
  </si>
  <si>
    <t>VIP Process</t>
  </si>
  <si>
    <t>Not defined</t>
  </si>
  <si>
    <t>updated 10/5/2016 sjc</t>
  </si>
  <si>
    <t>% Useage</t>
  </si>
  <si>
    <t>Prod 2.0 GSA VIP</t>
  </si>
  <si>
    <t>10.139.240.0/23</t>
  </si>
  <si>
    <t>10.139.240.1</t>
  </si>
  <si>
    <t>MySQL 5.6*</t>
  </si>
  <si>
    <t>MySQL 5.7</t>
  </si>
  <si>
    <t>MongoDB</t>
  </si>
  <si>
    <t>TOC - Hid the two Estimation lines on TOC &amp; Moved the associated Sheets to end of LBOM
TSM Tab - Corrected TSM Excludes (column 24 for DB Type in vlookup)
BOM Functions - added new MSSQL 2012 SP3 to db list.  Also added SQL12W2K12R2-SP3 to list of templates for Windows tab. (cdg)
NAS Tab - Updated Formulas
Dist Assets - Updated comment for Layer - Prod *&amp; Test use Process-3
Bom Functions - Load Balancer  Tab - Removed trailing space after Dev Process
NAS Details - correct forumula for Windows AD group - switched to using Left($D#,7)="windows"
Database (ALL) - updated cluster column and Zena column 
BOM Functions - updated the gateway for Prod OOB-2
Dist. Assets - fixed hidden remnant - SQL03 in in the VM SQL Cluster section
Bom Functions / D-A  - Added MySQL 5.6; MySQL 5.7 &amp; MongoDB as DB selections - rule for MySQL 5.6 to requiring Security Extension</t>
  </si>
  <si>
    <t>Test 2.0-Application Interface-SiteMinder Policy 2</t>
  </si>
  <si>
    <t>Prod F.W.-OOB Interface-SiteMinder Policy</t>
  </si>
  <si>
    <t>Prod F.W. CSM Network (NON DMZ)</t>
  </si>
  <si>
    <t>Prod F.W.-OOB Interface-SiteMinder Policy 2</t>
  </si>
  <si>
    <t>10.70.153.0/27</t>
  </si>
  <si>
    <t>10.70.153.1</t>
  </si>
  <si>
    <t>Prod F.W.-Application Interface-SiteMinder Policy 2</t>
  </si>
  <si>
    <t>10.70.153.64/27</t>
  </si>
  <si>
    <t>10.70.153.128/27</t>
  </si>
  <si>
    <t>10.70.153.129</t>
  </si>
  <si>
    <t>.bcbsil.com</t>
  </si>
  <si>
    <t>.bcbstx.com</t>
  </si>
  <si>
    <t>.bcbsnm.com</t>
  </si>
  <si>
    <t>.bcbsok.com</t>
  </si>
  <si>
    <t>.bcbsmt.com</t>
  </si>
  <si>
    <t>hcl_Unix</t>
  </si>
  <si>
    <t>-IP Tab: added Prod F.W. to column K formula
-Updated changes to BOM Functions Columns Y- AD for Siteminder Networks
-Copied formula to AX10 on Windows Tab
-Updated Network LoadBalancer Tab columns G,H,I and K,L,M to show the correct columns/rows in BOM Functions for LoadBalancer
-Added .bcbsil.com, .bcbstx.com, .bcbsok.com, .bcbsnm.com, .bcbsmt.com to Column CK in BOM Functions for DNS tab domains
-Updated SMEs on TOC drop downs and Email Addresses column</t>
  </si>
  <si>
    <t>Offshore / Onshore</t>
  </si>
  <si>
    <t>FWID_HCL_Hadoop_ONS_Admins</t>
  </si>
  <si>
    <t>FWID_HCL_MYCLOUD_Admins</t>
  </si>
  <si>
    <t>FWID_HCL_MYXALYTICS_Admins</t>
  </si>
  <si>
    <t>FWID_HCL_Oracle_ONS_Admins</t>
  </si>
  <si>
    <t>FWID_HCL_SQL_ONS_Admins</t>
  </si>
  <si>
    <t>FWID_HCL_TSM_Bkup_Admins</t>
  </si>
  <si>
    <t>FWID_HCL_WILY_ADMINS</t>
  </si>
  <si>
    <t>FWID_HCL_Mongo_OFFS_Admins</t>
  </si>
  <si>
    <t>FWID_HCL_MQ_OFFS_Admins</t>
  </si>
  <si>
    <t>FWID_HCL_Oracle_OFFS_Admins</t>
  </si>
  <si>
    <t>FWID_HCL_MySQL_OFFS_Admins</t>
  </si>
  <si>
    <t>FWID_HCL_SQL_OFFS_Admins</t>
  </si>
  <si>
    <t>Apache - IHS Web Server - Websphere</t>
  </si>
  <si>
    <t>Siteminder Authentication</t>
  </si>
  <si>
    <t>10.136.68.97</t>
  </si>
  <si>
    <t>10.136.68.98</t>
  </si>
  <si>
    <t>pwauslapweb001</t>
  </si>
  <si>
    <t>pwauslapweb002</t>
  </si>
  <si>
    <t>10.134.68.106</t>
  </si>
  <si>
    <t>10.134.68.107</t>
  </si>
  <si>
    <t>twauslapweb001</t>
  </si>
  <si>
    <t>twauslapweb002</t>
  </si>
  <si>
    <t>Apache DMZ Web Servers (Siteminder Req'd)</t>
  </si>
  <si>
    <t>Siteminder Policy Server FW Rule Groups</t>
  </si>
  <si>
    <t>Test:</t>
  </si>
  <si>
    <t>grp_wau_test_siteminder_clients</t>
  </si>
  <si>
    <t>Prod Wau:</t>
  </si>
  <si>
    <t>grp_wau_prod_siteminder_clients</t>
  </si>
  <si>
    <t>grp_ftw_prod_siteminder_clients</t>
  </si>
  <si>
    <t>        10.130.1.239</t>
  </si>
  <si>
    <t>        10.130.1.240</t>
  </si>
  <si>
    <t>        10.130.1.245</t>
  </si>
  <si>
    <t>        10.130.1.246</t>
  </si>
  <si>
    <t>dwauslsmapp05</t>
  </si>
  <si>
    <t>dwauslsmapp06</t>
  </si>
  <si>
    <t>dwauslsmapp09</t>
  </si>
  <si>
    <t>dwauslsmapp10</t>
  </si>
  <si>
    <t>Siteminder Policy Servers (DEV)  currently fo FW groups</t>
  </si>
  <si>
    <t>Add source IPs to Group:</t>
  </si>
  <si>
    <t>Dedicated
SiteMinder
SLES 11</t>
  </si>
  <si>
    <t xml:space="preserve">Dedicated
SiteMinder
</t>
  </si>
  <si>
    <t>Dedicated SiteMinder 
SLES 11</t>
  </si>
  <si>
    <t>Windows DNS#1</t>
  </si>
  <si>
    <t>Windows DNS#2</t>
  </si>
  <si>
    <t>10.134.112.57</t>
  </si>
  <si>
    <t>10.134.112.58</t>
  </si>
  <si>
    <t>10.136.112.57</t>
  </si>
  <si>
    <t>10.136.112.58</t>
  </si>
  <si>
    <t>10.70.112.59</t>
  </si>
  <si>
    <t>10.70.112.60</t>
  </si>
  <si>
    <t>Alternative Windows ROBCs (DNS)</t>
  </si>
  <si>
    <t>Portfolio:</t>
  </si>
  <si>
    <r>
      <t>Offshore Provisioning and Support?</t>
    </r>
    <r>
      <rPr>
        <sz val="8"/>
        <color theme="1"/>
        <rFont val="Arial"/>
        <family val="2"/>
      </rPr>
      <t xml:space="preserve">                                                                                           &lt; Select if not approved per contract &gt;</t>
    </r>
  </si>
  <si>
    <t xml:space="preserve">Project Details -  Add new question: Project Portfolio
Project Details -  New Question  OnShore / OffShore (Indictor also on New DB Request &amp; Datbase ALL Tabs)
BOM Functions - FWIDS - added many HCL  groups / Added Windows_DNS_1 &amp; 2 for RODC(DNS) for DMZs.
IHS Tab - renamed to Apache - IHS - Websphere Servers
Windows Tab - Modified the Conditional Format to include checking Windows DNS - if not Process /Data flag to check </t>
  </si>
  <si>
    <t>q</t>
  </si>
  <si>
    <t>HCL_IIS</t>
  </si>
  <si>
    <t>Vlad Rosenbaum</t>
  </si>
  <si>
    <t>Mike Wealther</t>
  </si>
  <si>
    <t>HCL_Storage</t>
  </si>
  <si>
    <t>HCL_Backup</t>
  </si>
  <si>
    <t>HCL_Websphere</t>
  </si>
  <si>
    <t>HCL_Database_Oracle</t>
  </si>
  <si>
    <t>HCL_Database_MSSQLServer</t>
  </si>
  <si>
    <t>HCL_Database_MySQL</t>
  </si>
  <si>
    <t>HCL_Database_Hadoop</t>
  </si>
  <si>
    <t>HCL_Database_MongoDB</t>
  </si>
  <si>
    <t>HCL_Database_DB2Distributed</t>
  </si>
  <si>
    <t>HCL_Database_DB2zOS</t>
  </si>
  <si>
    <t>HCL_DB_Groups</t>
  </si>
  <si>
    <t>Middleware Software Installations</t>
  </si>
  <si>
    <t>Middleware Software installations</t>
  </si>
  <si>
    <t>IP Instance</t>
  </si>
  <si>
    <t>Group Responsible</t>
  </si>
  <si>
    <t>Middleware Installation required</t>
  </si>
  <si>
    <t>Windows DNS in Process or Data?</t>
  </si>
  <si>
    <t>Standalone Server</t>
  </si>
  <si>
    <t>Oracle Standardized File Structures</t>
  </si>
  <si>
    <t>DB Size (Data)   in GB</t>
  </si>
  <si>
    <t>Total Storage required
(GB)</t>
  </si>
  <si>
    <t>DB Data Size</t>
  </si>
  <si>
    <t>CHAR(10)</t>
  </si>
  <si>
    <t>Windows tab - fixed column R description (earlier new tab for Windows DNS verification)
TOC - added new  item - Middleware Software Installation - points to ICC Provisioning - new Middlware section
ICC Provisioning Notes - Middleware section - new section to collect middleware installations and responsible groups
ICC Provisioning Notes - removed multiple Blank sections with team drop-downs / modified Application Tasks to include drop-downs not available in Notes section
Open Systems - inserted column for Middleware filesystem ownership (GID/UID)
TOC - Decom - formula to mark as Required if Distributed Assets tab contains servers identified for decom
Oracle File Systems - New Tab - Worksheet</t>
  </si>
  <si>
    <t>Prod / 
Non-Prod</t>
  </si>
  <si>
    <t>Hadoop</t>
  </si>
  <si>
    <t>HCL_Compute_Wintel</t>
  </si>
  <si>
    <t>TeraData</t>
  </si>
  <si>
    <t>Application environment</t>
  </si>
  <si>
    <t xml:space="preserve">Solutions Engineer: </t>
  </si>
  <si>
    <t xml:space="preserve">Infrastructure Solutions Engineer: </t>
  </si>
  <si>
    <t>Approved by:</t>
  </si>
  <si>
    <t>App Environment</t>
  </si>
  <si>
    <t>New Asset?</t>
  </si>
  <si>
    <t>Device Groups</t>
  </si>
  <si>
    <t>db_instance</t>
  </si>
  <si>
    <t>db__instance_port</t>
  </si>
  <si>
    <t>password rotation</t>
  </si>
  <si>
    <t>Target application name</t>
  </si>
  <si>
    <t>Descriptor</t>
  </si>
  <si>
    <t>Policy Target User Group</t>
  </si>
  <si>
    <t>Ansible Module Name (if known)</t>
  </si>
  <si>
    <t>AD or SQL Authenication</t>
  </si>
  <si>
    <t>Test 2.0-Application Interface-Hadoop Data</t>
  </si>
  <si>
    <t>Test 2.0 Data Net #1b (Hadoop)</t>
  </si>
  <si>
    <t>10.134.184.0/22</t>
  </si>
  <si>
    <t>10.134.184.1</t>
  </si>
  <si>
    <t>Prod 2.0-Application Interface-Hadoop Data</t>
  </si>
  <si>
    <t>Prod 2.0 Data Net #1b (Hadoop)</t>
  </si>
  <si>
    <t>10.136.184.0/22</t>
  </si>
  <si>
    <t>10.136.184.1</t>
  </si>
  <si>
    <t>Hadoop Data</t>
  </si>
  <si>
    <t>Test 2.0-iLO Interface-Hadoop Data</t>
  </si>
  <si>
    <t xml:space="preserve">Test 2.0 Wauk ILO Network #2 </t>
  </si>
  <si>
    <t>Prod 2.0 Wauk ILO Network (2nd Network - Hadoop)</t>
  </si>
  <si>
    <t>Oracle Rac</t>
  </si>
  <si>
    <t>Function</t>
  </si>
  <si>
    <t>ASM used?</t>
  </si>
  <si>
    <t>Kerberos
Authentication
required?</t>
  </si>
  <si>
    <t>Total # of Primary NICs</t>
  </si>
  <si>
    <t>Primary NIC configuration</t>
  </si>
  <si>
    <t>dchislrhmgt01.app.test.hcscint.net</t>
  </si>
  <si>
    <t>          10.130.132.123</t>
  </si>
  <si>
    <t>twauslrhmgt01.app.test.hcscint.net</t>
  </si>
  <si>
    <t>        10.134.234.37</t>
  </si>
  <si>
    <t>pwauslrhmgt01.app.hcscint.net     </t>
  </si>
  <si>
    <t>           10.136.234.41</t>
  </si>
  <si>
    <t>UNIX Physical Server - KickStarter Server Builds  (80 &amp; 443)</t>
  </si>
  <si>
    <t>Note: Fifteen character limit strictly enforced.  Exceptions are few.</t>
  </si>
  <si>
    <t>JBOSS</t>
  </si>
  <si>
    <t>WPD</t>
  </si>
  <si>
    <t>vRealize Automation</t>
  </si>
  <si>
    <t>DMO - Dem Orchestrator</t>
  </si>
  <si>
    <t>DMW - Dem Worker</t>
  </si>
  <si>
    <t>IPA - IaaS Proxy Agent</t>
  </si>
  <si>
    <t>Azure</t>
  </si>
  <si>
    <t>VRP - vRealize Operations</t>
  </si>
  <si>
    <t>Amazon</t>
  </si>
  <si>
    <t>VRB - vRealize Business</t>
  </si>
  <si>
    <t>Google</t>
  </si>
  <si>
    <t>VRL - vRealize LogInSight</t>
  </si>
  <si>
    <t>Ctl j - Jump to BOM functions
Added RHEL 7.3 version (new Standard)
ICC Scheduling TAB - SLA Dates
CA-PAM Tab
Updated Host Naming Standards ( Includes Waukegan and FTW Pod)</t>
  </si>
  <si>
    <t>Instances</t>
  </si>
  <si>
    <t>/db2data9</t>
  </si>
  <si>
    <t>/db2data10</t>
  </si>
  <si>
    <t>/db2index1</t>
  </si>
  <si>
    <t>/db2index2</t>
  </si>
  <si>
    <t>/db2index3</t>
  </si>
  <si>
    <t>/db2index4</t>
  </si>
  <si>
    <t>/db2index5</t>
  </si>
  <si>
    <t>/db2index6</t>
  </si>
  <si>
    <t>/db2index7</t>
  </si>
  <si>
    <t>/db2index8</t>
  </si>
  <si>
    <t>/db2index9</t>
  </si>
  <si>
    <t>/db2index10</t>
  </si>
  <si>
    <t>/db2logs</t>
  </si>
  <si>
    <t>Backup
Client 
Version</t>
  </si>
  <si>
    <t>Added POD Infrastructure and BluePrints</t>
  </si>
  <si>
    <t xml:space="preserve"> Please enter POC in the Comments Section of the intended environement with duration.</t>
  </si>
  <si>
    <r>
      <t xml:space="preserve">Is this a POC (Proof of Concept) effort?                                                         </t>
    </r>
    <r>
      <rPr>
        <b/>
        <sz val="8"/>
        <rFont val="Arial"/>
        <family val="2"/>
      </rPr>
      <t xml:space="preserve">    ( Yes / No? )</t>
    </r>
  </si>
  <si>
    <t>System accounts to vault</t>
  </si>
  <si>
    <t>Load Balanced VIP Decom Details (NetSec)</t>
  </si>
  <si>
    <t>Alias to be removed</t>
  </si>
  <si>
    <t>Certificate Revocation</t>
  </si>
  <si>
    <t>DNS Aliases/CNames Decom Details (DNS)</t>
  </si>
  <si>
    <t>Entry to be Removed</t>
  </si>
  <si>
    <t>Updated Decom tab
 - modified tab to match import tab on dbom
 - corrected formulas to import information correctly from distributed assets tab</t>
  </si>
  <si>
    <t>10.132.224.3</t>
  </si>
  <si>
    <t>Prod 2.0 AnyPlaceWeb DMZ Waukegan</t>
  </si>
  <si>
    <t>Total Storage</t>
  </si>
  <si>
    <t>* Needs assessment for amount of IO per application</t>
  </si>
  <si>
    <t>/db2data = (dbsize *.8)/10  - Per db2data#</t>
  </si>
  <si>
    <t>/db2Index = [(dbsize *.2 )/10]  - per db2Index#</t>
  </si>
  <si>
    <t>DB2 Standard Filesystem</t>
  </si>
  <si>
    <t>/db2logs = dbsize * .2 [20%]</t>
  </si>
  <si>
    <t>Enter DB size in  F3:</t>
  </si>
  <si>
    <r>
      <t xml:space="preserve">Summary:  
</t>
    </r>
    <r>
      <rPr>
        <sz val="10"/>
        <rFont val="Arial"/>
        <family val="2"/>
      </rPr>
      <t>There will always be 10 -  /db2data(x) filesystems &amp; 
10 - /Index(x) filesystems.  The ratio is 80 / 20, 80% of proposed DB size spread across 10 Data filesystems, and 20% of proposed DB size spread across 10  Index Filesystems.
The /db2logs should be assessed by the DBA along with the app team.  It is defaulted as 20% of DB size only as a starting point, and can scale up or down according to requirements,
The /DB2home filesystem is a constant 10 GB.
The DB2dba filesystem is a constant 10 GB.
he /DB2_audit filesystem is a constant 5 GB.
*NOTE*  These Standards may also be used as starting point for New On-Prem (non-POD), but may change as dictated by DBA,</t>
    </r>
  </si>
  <si>
    <t>MySQL</t>
  </si>
  <si>
    <t>chi</t>
  </si>
  <si>
    <t>wau</t>
  </si>
  <si>
    <t>wpd</t>
  </si>
  <si>
    <t>ftw</t>
  </si>
  <si>
    <t>fpd</t>
  </si>
  <si>
    <t>rch</t>
  </si>
  <si>
    <t>aws</t>
  </si>
  <si>
    <t>gcp</t>
  </si>
  <si>
    <t>abi</t>
  </si>
  <si>
    <t>abq</t>
  </si>
  <si>
    <t>amr</t>
  </si>
  <si>
    <t>aqn</t>
  </si>
  <si>
    <t>asg</t>
  </si>
  <si>
    <t>atl</t>
  </si>
  <si>
    <t>aur</t>
  </si>
  <si>
    <t>aus</t>
  </si>
  <si>
    <t>bea</t>
  </si>
  <si>
    <t>bel</t>
  </si>
  <si>
    <t>chm</t>
  </si>
  <si>
    <t>chw</t>
  </si>
  <si>
    <t>cle</t>
  </si>
  <si>
    <t>crp</t>
  </si>
  <si>
    <t>dah</t>
  </si>
  <si>
    <t>dal</t>
  </si>
  <si>
    <t>dan</t>
  </si>
  <si>
    <t>dcw</t>
  </si>
  <si>
    <t>det</t>
  </si>
  <si>
    <t>dng</t>
  </si>
  <si>
    <t>edn</t>
  </si>
  <si>
    <t>egn</t>
  </si>
  <si>
    <t>elp</t>
  </si>
  <si>
    <t>hel</t>
  </si>
  <si>
    <t>hst</t>
  </si>
  <si>
    <t>hsw</t>
  </si>
  <si>
    <t>irv</t>
  </si>
  <si>
    <t>jac</t>
  </si>
  <si>
    <t>lom</t>
  </si>
  <si>
    <t>lub</t>
  </si>
  <si>
    <t>mar</t>
  </si>
  <si>
    <t>mat</t>
  </si>
  <si>
    <t>mid</t>
  </si>
  <si>
    <t>mrn</t>
  </si>
  <si>
    <t>mtk</t>
  </si>
  <si>
    <t>nap</t>
  </si>
  <si>
    <t>nyc</t>
  </si>
  <si>
    <t>obt</t>
  </si>
  <si>
    <t>okc</t>
  </si>
  <si>
    <t>osc</t>
  </si>
  <si>
    <t>pal</t>
  </si>
  <si>
    <t>pfd</t>
  </si>
  <si>
    <t>qcy</t>
  </si>
  <si>
    <t>rcr</t>
  </si>
  <si>
    <t>rgw</t>
  </si>
  <si>
    <t>roc</t>
  </si>
  <si>
    <t>sat</t>
  </si>
  <si>
    <t>spm</t>
  </si>
  <si>
    <t>spo</t>
  </si>
  <si>
    <t>spr</t>
  </si>
  <si>
    <t>spw</t>
  </si>
  <si>
    <t>tsc</t>
  </si>
  <si>
    <t>tue</t>
  </si>
  <si>
    <t>tuf</t>
  </si>
  <si>
    <t>tum</t>
  </si>
  <si>
    <t>tul</t>
  </si>
  <si>
    <t>tus</t>
  </si>
  <si>
    <t>tyl</t>
  </si>
  <si>
    <t>unk</t>
  </si>
  <si>
    <t>wac</t>
  </si>
  <si>
    <t>wch</t>
  </si>
  <si>
    <t>al</t>
  </si>
  <si>
    <t>bc</t>
  </si>
  <si>
    <t>bs</t>
  </si>
  <si>
    <t>co</t>
  </si>
  <si>
    <t>cr</t>
  </si>
  <si>
    <t>dp</t>
  </si>
  <si>
    <t>es</t>
  </si>
  <si>
    <t>fs</t>
  </si>
  <si>
    <t>ig</t>
  </si>
  <si>
    <t>sa</t>
  </si>
  <si>
    <t>sg</t>
  </si>
  <si>
    <t>sl</t>
  </si>
  <si>
    <t>sm</t>
  </si>
  <si>
    <t>sn</t>
  </si>
  <si>
    <t>sw</t>
  </si>
  <si>
    <t>sx</t>
  </si>
  <si>
    <t>vc</t>
  </si>
  <si>
    <t>vi</t>
  </si>
  <si>
    <t>at</t>
  </si>
  <si>
    <t>ba</t>
  </si>
  <si>
    <t>bla</t>
  </si>
  <si>
    <t>bpo</t>
  </si>
  <si>
    <t>cc</t>
  </si>
  <si>
    <t>cp</t>
  </si>
  <si>
    <t>cvp</t>
  </si>
  <si>
    <t>cx</t>
  </si>
  <si>
    <t>dc</t>
  </si>
  <si>
    <t>dn</t>
  </si>
  <si>
    <t>ea</t>
  </si>
  <si>
    <t>ec</t>
  </si>
  <si>
    <t>eiv</t>
  </si>
  <si>
    <t>em</t>
  </si>
  <si>
    <t>emc</t>
  </si>
  <si>
    <t>ep</t>
  </si>
  <si>
    <t>esx</t>
  </si>
  <si>
    <t>fd</t>
  </si>
  <si>
    <t>fi</t>
  </si>
  <si>
    <t>hm</t>
  </si>
  <si>
    <t>hr</t>
  </si>
  <si>
    <t>ics</t>
  </si>
  <si>
    <t>iv</t>
  </si>
  <si>
    <t>lfn</t>
  </si>
  <si>
    <t>mn</t>
  </si>
  <si>
    <t>ms</t>
  </si>
  <si>
    <t>pi</t>
  </si>
  <si>
    <t>prp</t>
  </si>
  <si>
    <t>ps</t>
  </si>
  <si>
    <t>pth</t>
  </si>
  <si>
    <t>qc</t>
  </si>
  <si>
    <t>rf</t>
  </si>
  <si>
    <t>tm</t>
  </si>
  <si>
    <t>wc</t>
  </si>
  <si>
    <t>xnt</t>
  </si>
  <si>
    <t>zn</t>
  </si>
  <si>
    <t>bos</t>
  </si>
  <si>
    <t>vra</t>
  </si>
  <si>
    <t>dmo</t>
  </si>
  <si>
    <t>dmw</t>
  </si>
  <si>
    <t>ipa</t>
  </si>
  <si>
    <t>vrp</t>
  </si>
  <si>
    <t>vrb</t>
  </si>
  <si>
    <t>vrl</t>
  </si>
  <si>
    <t>std</t>
  </si>
  <si>
    <t>ans</t>
  </si>
  <si>
    <t>app</t>
  </si>
  <si>
    <t>db</t>
  </si>
  <si>
    <t>idv</t>
  </si>
  <si>
    <t>ls</t>
  </si>
  <si>
    <t>msq</t>
  </si>
  <si>
    <t>pg</t>
  </si>
  <si>
    <t>rs</t>
  </si>
  <si>
    <t>vds</t>
  </si>
  <si>
    <t>wb</t>
  </si>
  <si>
    <t>Ver 2.0</t>
  </si>
  <si>
    <r>
      <t xml:space="preserve">Function (2-3) </t>
    </r>
    <r>
      <rPr>
        <b/>
        <i/>
        <sz val="9"/>
        <color rgb="FF0000FF"/>
        <rFont val="Arial"/>
        <family val="2"/>
      </rPr>
      <t>/ Middleware</t>
    </r>
    <r>
      <rPr>
        <b/>
        <i/>
        <sz val="9"/>
        <rFont val="Arial"/>
        <family val="2"/>
      </rPr>
      <t xml:space="preserve">
(Max of 3 characters, 2 is recommened)</t>
    </r>
  </si>
  <si>
    <t>AIX Default  Processor Pool</t>
  </si>
  <si>
    <t>/data:       db_size* 0.7
/indx:        db_size * 0.3
/temp:       db_size * 0.1
/undo:       db_size * 0.1
/oracle:     50GB
/redo:        db_size * 0.1 
/backup:   db_size*  * 2.2</t>
  </si>
  <si>
    <t>Standard Oracle File System</t>
  </si>
  <si>
    <t>Function: DB2_FS_for_Pod(db_size)</t>
  </si>
  <si>
    <t>Function: Oracle_Standalone_fs(db_size)</t>
  </si>
  <si>
    <t>REQUIRED for DBs</t>
  </si>
  <si>
    <t>Initial Data base Size:</t>
  </si>
  <si>
    <t>Number of CPUs</t>
  </si>
  <si>
    <t>SQL Drive Size Requirements</t>
  </si>
  <si>
    <r>
      <t xml:space="preserve">                          </t>
    </r>
    <r>
      <rPr>
        <b/>
        <sz val="10"/>
        <rFont val="Arial"/>
        <family val="2"/>
      </rPr>
      <t xml:space="preserve">      Instructions:   </t>
    </r>
    <r>
      <rPr>
        <sz val="10"/>
        <rFont val="Arial"/>
        <family val="2"/>
      </rPr>
      <t xml:space="preserve">
Select Asset in B3 or Enter DB Size and # CPUs in E3 &amp; E4.
Copy Yellow Cell &amp; Paste Values in D/A Tab Files for SQL</t>
    </r>
  </si>
  <si>
    <t>Offical first version of 16.0 - Still may need additional fixes</t>
  </si>
  <si>
    <t>W:\SQLSYSDB\MSSQL12.MSSQLSERVER\MSSQL\DATA
X:\SQLDATA\MSSQL12.MSSQLSERVER\MSSQL\DATA
Y:\SQLDATA\MSSQL12.MSSQLSERVER\MSSQL\DATA
Z:\TEMPDATA\MSSQL12.MSSQLSERVER\MSSQL\Data</t>
  </si>
  <si>
    <t>HCSC CAPAM Support distro</t>
  </si>
  <si>
    <t>- Firewall tab minor changes for comment documentation in Source hostname column and Protocol column headers; hid column S (Prod/Non-prod)
- BOM Functions added SQL 2014 to drop down for Distributed Assets tab; Added SQL 2014 excludes for Backup tab; removed WAS 7.0 references from WAS Ver columns and associated file
- Backup Tab: edited formula in Exclusions column to allow for MSSQL 2014; corrected formula in Backup Client Version Column
- Table of Contents: updated email group for CA PAM team for ISE/DCC/ICC
- SQL OPT File Refresh: cleaned up remnants left in tab
-Firewall tab: added app ids in comments on protocol column</t>
  </si>
  <si>
    <t>Blue Print 
Size</t>
  </si>
  <si>
    <t>Added Module 23 - Populate Project Details from ISEdata / added additional named fields on Project Details</t>
  </si>
  <si>
    <t>HCL_network_security</t>
  </si>
  <si>
    <t>Michael Cowden</t>
  </si>
  <si>
    <t>IP Asset #</t>
  </si>
  <si>
    <t xml:space="preserve">Asset Description (Function)  or Standard  Blueprint </t>
  </si>
  <si>
    <t>Jboss</t>
  </si>
  <si>
    <t>Tomcat</t>
  </si>
  <si>
    <t>Middleware APP</t>
  </si>
  <si>
    <t>Middleware DB</t>
  </si>
  <si>
    <t>CA PAM Middleware Vault Ids</t>
  </si>
  <si>
    <t>SQL:  SA</t>
  </si>
  <si>
    <t>Oracle: Oracle,Sys, System</t>
  </si>
  <si>
    <t>Jboss: JBOSS</t>
  </si>
  <si>
    <t>Tomcat: Tomcat</t>
  </si>
  <si>
    <t>Proxy: Proxyadmin</t>
  </si>
  <si>
    <t>MongoDB: Mongod</t>
  </si>
  <si>
    <t>Oracle RAC: Oracle &amp; grid</t>
  </si>
  <si>
    <r>
      <t xml:space="preserve">Middleware accounts to vault
</t>
    </r>
    <r>
      <rPr>
        <sz val="8"/>
        <color rgb="FFFF0000"/>
        <rFont val="Calibri"/>
        <family val="2"/>
        <scheme val="minor"/>
      </rPr>
      <t>select from drop-down</t>
    </r>
  </si>
  <si>
    <t>Oracle File Structure Standards</t>
  </si>
  <si>
    <t>SQL Drive Space Standards</t>
  </si>
  <si>
    <t>IPs
Requested</t>
  </si>
  <si>
    <t>OS: 100gb</t>
  </si>
  <si>
    <t>Traffic Manager</t>
  </si>
  <si>
    <t>Prod Process/Data Build Network #2 (Hadoop)</t>
  </si>
  <si>
    <t>Prod F.W.-Application Interface-SiteMinder Policy</t>
  </si>
  <si>
    <t>Prod F.W.-Application Interface-SiteMinder Secure DB</t>
  </si>
  <si>
    <t>Prod F.W.-Application Interface-Siteminder Web</t>
  </si>
  <si>
    <t>10.137.240.0/22</t>
  </si>
  <si>
    <t>10.137.240.1</t>
  </si>
  <si>
    <t>Prod 2.0 Wauk ILO Network (2nd Network - SDL)</t>
  </si>
  <si>
    <t>Test 2.0-Application Interface-Endpoint Security</t>
  </si>
  <si>
    <t>10.135.90.0/24</t>
  </si>
  <si>
    <t>10.135.90.1</t>
  </si>
  <si>
    <t>W:\SQLSYSDB\MSSQL13.MSSQLSERVER\MSSQL\DATA
X:\SQLDATA\MSSQL13.MSSQLSERVER\MSSQL\Data
Y:\SQLDATA\MSSQL13.MSSQLSERVER\MSSQL\Data
Z:\TEMPDATA\MSSQL13.MSSQLSERVER\MSSQL\DATA</t>
  </si>
  <si>
    <t>Prod 2.0-Application Interface-Endpoint Security</t>
  </si>
  <si>
    <t>10.73.250.0/24</t>
  </si>
  <si>
    <t>10.73.250.1</t>
  </si>
  <si>
    <r>
      <t xml:space="preserve"> - Added POD2 Prod and NP DNS to Windows Tab (formula change) - sc
' - Added MS SQL 2016 as a new selection  (sjc)
-</t>
    </r>
    <r>
      <rPr>
        <sz val="10"/>
        <color rgb="FFFF0000"/>
        <rFont val="Arial"/>
        <family val="2"/>
      </rPr>
      <t>Updated Pod Functions line 195-197 changed Large to Small</t>
    </r>
    <r>
      <rPr>
        <sz val="10"/>
        <rFont val="Arial"/>
        <family val="2"/>
      </rPr>
      <t xml:space="preserve">
-Updated Windows Tab to autopopulate IIS column, hid FTP Column
-Project Details Tab - </t>
    </r>
    <r>
      <rPr>
        <sz val="10"/>
        <color rgb="FFFF0000"/>
        <rFont val="Arial"/>
        <family val="2"/>
      </rPr>
      <t>replaced missing formula back to D11</t>
    </r>
    <r>
      <rPr>
        <sz val="10"/>
        <rFont val="Arial"/>
        <family val="2"/>
      </rPr>
      <t xml:space="preserve">; removed "link" from line 65
-Backup Tab will default to "No Excludes" if no DB excludes
-Decommissioning Tab - added Date to begin decommission
</t>
    </r>
    <r>
      <rPr>
        <sz val="10"/>
        <color rgb="FFFF0000"/>
        <rFont val="Arial"/>
        <family val="2"/>
      </rPr>
      <t>-BOM Functions Tab - updated Prod 2.0 to Prod F.W. where needed
-Removed Oracle Agent from Zena Tab per DBAs and Zena team</t>
    </r>
  </si>
  <si>
    <t>Middleware Filesystem Owner
UID:GID</t>
  </si>
  <si>
    <t>192.168.6.1</t>
  </si>
  <si>
    <t>192.168.6.0/24</t>
  </si>
  <si>
    <t>Prod SQL Heartbeat</t>
  </si>
  <si>
    <t>Middleware - Web</t>
  </si>
  <si>
    <t>BlueCoat Proxy</t>
  </si>
  <si>
    <t>Frank Garcia</t>
  </si>
  <si>
    <t>John Lawlor</t>
  </si>
  <si>
    <t>ITG Event Management</t>
  </si>
  <si>
    <t>Infrastructure Decom &amp; Reclamation</t>
  </si>
  <si>
    <t>WinEng_Leads</t>
  </si>
  <si>
    <t>VMWare Support</t>
  </si>
  <si>
    <t>URL to access</t>
  </si>
  <si>
    <r>
      <t xml:space="preserve">-Open Systems Tab: changed UID:GID order on column header; autopopulate the </t>
    </r>
    <r>
      <rPr>
        <b/>
        <sz val="10"/>
        <rFont val="Arial"/>
        <family val="2"/>
      </rPr>
      <t>Duration of CO</t>
    </r>
    <r>
      <rPr>
        <sz val="10"/>
        <rFont val="Arial"/>
        <family val="2"/>
      </rPr>
      <t xml:space="preserve"> if id's in pb column
-Decom Tab: added shutdown and decom date fields
-TOC: Updated Imperva SNOW group back to HCSC; Hide Mainframe lines
-Distributed Assets:  Hide Column BA, correct formatting
-LoadBalancer Tab: Add https_portchecking_siteminder
-Websphere Tab: Renamed to Middleware (Web) and changed link and TOC
-BlueCoat Proxy tab: Created
-Windows Tab: Hid columns which are not needed</t>
    </r>
  </si>
  <si>
    <t>10.137.192.1</t>
  </si>
  <si>
    <t>10.137.192.0/22</t>
  </si>
  <si>
    <t>10.134.253.0/26</t>
  </si>
  <si>
    <t>10.134.253.1</t>
  </si>
  <si>
    <t>10.137.250.0/24</t>
  </si>
  <si>
    <t>10.137.250.1</t>
  </si>
  <si>
    <t>10.70.253.0/26</t>
  </si>
  <si>
    <t>10.70.253.1</t>
  </si>
  <si>
    <t>imid</t>
  </si>
  <si>
    <t>Intercede MyID</t>
  </si>
  <si>
    <t>hcg</t>
  </si>
  <si>
    <t>Health Analytics Claims Gold</t>
  </si>
  <si>
    <t>.mgmt.dev.hcscint.net</t>
  </si>
  <si>
    <t>-added formula to LDAP Tab for Bind Account - sjc 9/5/2018
-Added LANMAC Tab back into the TOC and updated LANMAC tab
-Updated Hostname tab with new applications
-Updated BlueCoat Proxy tab to include hostnames/Ips</t>
  </si>
  <si>
    <r>
      <rPr>
        <b/>
        <sz val="9"/>
        <rFont val="Arial"/>
        <family val="2"/>
      </rPr>
      <t>Comments</t>
    </r>
    <r>
      <rPr>
        <sz val="9"/>
        <rFont val="Arial"/>
        <family val="2"/>
      </rPr>
      <t xml:space="preserve"> (List Application Environments, or any other important details)</t>
    </r>
  </si>
  <si>
    <t>IBM MQ 9.1</t>
  </si>
  <si>
    <t>FWID_HCL_MQ_ONS_Admins</t>
  </si>
  <si>
    <t>FWID_DB2_ONS_Admins</t>
  </si>
  <si>
    <t>FWID_DB2_OFFS_Admins</t>
  </si>
  <si>
    <t>Hadoop_Admins</t>
  </si>
  <si>
    <t>gem</t>
  </si>
  <si>
    <t>ccn</t>
  </si>
  <si>
    <t>Claims Core Non-Adjudication</t>
  </si>
  <si>
    <t>Log Viewer Portal</t>
  </si>
  <si>
    <t>lvp</t>
  </si>
  <si>
    <t>pcs</t>
  </si>
  <si>
    <t>BluePCS API</t>
  </si>
  <si>
    <t>rn</t>
  </si>
  <si>
    <t>Group Sales Plan (Retail Network)</t>
  </si>
  <si>
    <t>rpa</t>
  </si>
  <si>
    <t>Retail Operations Process Automation</t>
  </si>
  <si>
    <t>Mulesoft ESB</t>
  </si>
  <si>
    <t>mu</t>
  </si>
  <si>
    <t>ucd</t>
  </si>
  <si>
    <t>IBM Urban Code Deploy</t>
  </si>
  <si>
    <t>Mulesoft Anypoint</t>
  </si>
  <si>
    <t>ebx</t>
  </si>
  <si>
    <t>EBX5</t>
  </si>
  <si>
    <t>ece</t>
  </si>
  <si>
    <t>Elastic Cloud Enterprise</t>
  </si>
  <si>
    <t>cim</t>
  </si>
  <si>
    <t>Customer Identity Mgmt</t>
  </si>
  <si>
    <t>bdm</t>
  </si>
  <si>
    <t>Benefit Data Management (Keystone)</t>
  </si>
  <si>
    <t>Apache Jmeter</t>
  </si>
  <si>
    <t>ajm</t>
  </si>
  <si>
    <t>sus</t>
  </si>
  <si>
    <t>Appian Care Orchestration</t>
  </si>
  <si>
    <t>ucm</t>
  </si>
  <si>
    <t>Cisco Unified Communications</t>
  </si>
  <si>
    <t>expy</t>
  </si>
  <si>
    <t>Cisco Expressway</t>
  </si>
  <si>
    <t>orb</t>
  </si>
  <si>
    <t>Oracle Revenue Mgmt Billing (ORMB)</t>
  </si>
  <si>
    <t>aah</t>
  </si>
  <si>
    <t>Aptitiude Accounting Hub</t>
  </si>
  <si>
    <t>Messaging Queue (MQ)</t>
  </si>
  <si>
    <t>09/21/2018: Recently used applications</t>
  </si>
  <si>
    <t>-corrected VIP formula for VIPList
-updates to Project Details: JIT
-updates to BOM Functions for DB2 Versions, MQ Version, FWIDs
-Added Applications and abbreviations to HotNamingStandard Tab</t>
  </si>
  <si>
    <t>SD&amp;D: Design
Onboarding Signoff</t>
  </si>
  <si>
    <t>SME's Required for 
SD &amp; D: Provisioning</t>
  </si>
  <si>
    <r>
      <t xml:space="preserve">OnBOARDING &amp; Design - </t>
    </r>
    <r>
      <rPr>
        <i/>
        <sz val="9"/>
        <rFont val="Arial"/>
        <family val="2"/>
      </rPr>
      <t>(started pre Integration - updated during Integration phase)</t>
    </r>
  </si>
  <si>
    <r>
      <rPr>
        <b/>
        <sz val="12"/>
        <rFont val="Arial"/>
        <family val="2"/>
      </rPr>
      <t xml:space="preserve">ONBOARDING: </t>
    </r>
    <r>
      <rPr>
        <b/>
        <i/>
        <sz val="12"/>
        <rFont val="Arial"/>
        <family val="2"/>
      </rPr>
      <t xml:space="preserve">Completed Tabs Required </t>
    </r>
    <r>
      <rPr>
        <b/>
        <i/>
        <u/>
        <sz val="12"/>
        <rFont val="Arial"/>
        <family val="2"/>
      </rPr>
      <t>prior</t>
    </r>
    <r>
      <rPr>
        <b/>
        <i/>
        <sz val="12"/>
        <rFont val="Arial"/>
        <family val="2"/>
      </rPr>
      <t xml:space="preserve"> to Integration Phase</t>
    </r>
  </si>
  <si>
    <r>
      <rPr>
        <b/>
        <sz val="12"/>
        <rFont val="Arial"/>
        <family val="2"/>
      </rPr>
      <t xml:space="preserve">DESIGN: </t>
    </r>
    <r>
      <rPr>
        <b/>
        <i/>
        <sz val="12"/>
        <rFont val="Arial"/>
        <family val="2"/>
      </rPr>
      <t>Tabs to be completed by Integration (as required)</t>
    </r>
  </si>
  <si>
    <r>
      <t xml:space="preserve">SD&amp;D Design: Collaboration Participants:   </t>
    </r>
    <r>
      <rPr>
        <sz val="7"/>
        <color theme="1"/>
        <rFont val="Arial"/>
        <family val="2"/>
      </rPr>
      <t>(as needed, otherwise N/A)</t>
    </r>
  </si>
  <si>
    <r>
      <t xml:space="preserve">SD&amp;D Integration SMEs: </t>
    </r>
    <r>
      <rPr>
        <sz val="7"/>
        <color theme="1"/>
        <rFont val="Arial"/>
        <family val="2"/>
      </rPr>
      <t>(as needed, otherwise N/A)</t>
    </r>
  </si>
  <si>
    <t>SD &amp; D Design Signoff:</t>
  </si>
  <si>
    <t>Final approval before turning Lbom &amp; Diagram over to SD&amp;D Provisioning by:</t>
  </si>
  <si>
    <t>SD &amp; D Design</t>
  </si>
  <si>
    <t>SD &amp; D Integration</t>
  </si>
  <si>
    <t>SD &amp; D Provisioning</t>
  </si>
  <si>
    <t>SD &amp; D Integration Signoff</t>
  </si>
  <si>
    <t>SD &amp; D Design:
Onboarding Signoff</t>
  </si>
  <si>
    <t>Required for 
SD &amp; D: Provisioning</t>
  </si>
  <si>
    <t>SD &amp; D Provisioning  Notes</t>
  </si>
  <si>
    <r>
      <rPr>
        <b/>
        <sz val="9"/>
        <color rgb="FFFF0000"/>
        <rFont val="Arial"/>
        <family val="2"/>
      </rPr>
      <t xml:space="preserve">Do not </t>
    </r>
    <r>
      <rPr>
        <sz val="9"/>
        <color rgb="FFFF0000"/>
        <rFont val="Arial"/>
        <family val="2"/>
      </rPr>
      <t>over-ride any cell settings, formatting etc..
This LBoM template has many depemdacies on specific Cell Structures, to allow formulas, macros, and automated scripts to function properly.
If there are issues preventing entering the information as you like, list it in the SD &amp; D  Provisioning Notes which allows more free-form entry of information
that doesn't fit correctly on the other tabs.</t>
    </r>
  </si>
  <si>
    <t>SD &amp; D: Design
Onboarding Signoff</t>
  </si>
  <si>
    <r>
      <t xml:space="preserve">NOTE:
</t>
    </r>
    <r>
      <rPr>
        <sz val="12"/>
        <color rgb="FFFF0000"/>
        <rFont val="Arial"/>
        <family val="2"/>
      </rPr>
      <t>Only enter new assets in the Devices to Monitor section, and also new Database assets in the Databse section.
The Monitoring team will complete the remainder of the Maintenance tab as it is handed to SD &amp; D: Provisioning.</t>
    </r>
  </si>
  <si>
    <t>WAS 9.0 Portal 9.0</t>
  </si>
  <si>
    <t>WAS Web 9.0 - APP Only</t>
  </si>
  <si>
    <t>WAS Web 9.0 - DM Only</t>
  </si>
  <si>
    <t>WAS IHS Server  9.0</t>
  </si>
  <si>
    <t>WAS Web 9.05 - DM &amp; APP</t>
  </si>
  <si>
    <t>-updated to remove ISE/DCC/ICC references
- added WAS 9.0 Filesystems to BOM Functions  -sjc 10/30/2018</t>
  </si>
  <si>
    <t>Open JDK 1.8</t>
  </si>
  <si>
    <t>Ansible Automation VMs</t>
  </si>
  <si>
    <t xml:space="preserve">Expected Deployment Date: </t>
  </si>
  <si>
    <r>
      <rPr>
        <sz val="10"/>
        <color rgb="FFFF0000"/>
        <rFont val="Arial"/>
        <family val="2"/>
      </rPr>
      <t>Red - Fixes</t>
    </r>
    <r>
      <rPr>
        <sz val="10"/>
        <rFont val="Arial"/>
        <family val="2"/>
      </rPr>
      <t xml:space="preserve">
Black - enhancements
</t>
    </r>
    <r>
      <rPr>
        <sz val="10"/>
        <color rgb="FF0000FF"/>
        <rFont val="Arial"/>
        <family val="2"/>
      </rPr>
      <t>Blue - in progress</t>
    </r>
  </si>
  <si>
    <r>
      <t xml:space="preserve">-added JDK 1.8 to Java versions
-DB2 Excludes to Backup tab
-Change Date Field on Decom tab
</t>
    </r>
    <r>
      <rPr>
        <sz val="10"/>
        <color rgb="FFFF0000"/>
        <rFont val="Arial"/>
        <family val="2"/>
      </rPr>
      <t>-Fixed Provisioning Notes Middleware softare installation link on TOC</t>
    </r>
    <r>
      <rPr>
        <sz val="10"/>
        <rFont val="Arial"/>
        <family val="2"/>
      </rPr>
      <t xml:space="preserve">
</t>
    </r>
    <r>
      <rPr>
        <b/>
        <sz val="10"/>
        <color rgb="FF0000FF"/>
        <rFont val="Arial"/>
        <family val="2"/>
      </rPr>
      <t>-Updated Host Name Standards sheet with new codes</t>
    </r>
    <r>
      <rPr>
        <sz val="10"/>
        <color rgb="FF0000FF"/>
        <rFont val="Arial"/>
        <family val="2"/>
      </rPr>
      <t xml:space="preserve">
</t>
    </r>
    <r>
      <rPr>
        <b/>
        <sz val="10"/>
        <color rgb="FF0000FF"/>
        <rFont val="Arial"/>
        <family val="2"/>
      </rPr>
      <t>-Added new security VLANS to BOM Functions</t>
    </r>
    <r>
      <rPr>
        <sz val="10"/>
        <color rgb="FF0000FF"/>
        <rFont val="Arial"/>
        <family val="2"/>
      </rPr>
      <t xml:space="preserve">
-</t>
    </r>
    <r>
      <rPr>
        <b/>
        <sz val="10"/>
        <color rgb="FF0000FF"/>
        <rFont val="Arial"/>
        <family val="2"/>
      </rPr>
      <t>Remove old versions of DB2</t>
    </r>
  </si>
  <si>
    <t>Audit Services</t>
  </si>
  <si>
    <t>Agatha</t>
  </si>
  <si>
    <t>ag</t>
  </si>
  <si>
    <t>fdm</t>
  </si>
  <si>
    <t>Facilities DataMart</t>
  </si>
  <si>
    <t>hms</t>
  </si>
  <si>
    <t>HEDIS Medicare Scoring</t>
  </si>
  <si>
    <t>hv</t>
  </si>
  <si>
    <t>Hive Center</t>
  </si>
  <si>
    <t>odm</t>
  </si>
  <si>
    <t>Permier Discounting</t>
  </si>
  <si>
    <t>prm</t>
  </si>
  <si>
    <t xml:space="preserve">Risk Score </t>
  </si>
  <si>
    <t>sre</t>
  </si>
  <si>
    <t>Standard Rating Engine</t>
  </si>
  <si>
    <t>\db2data*
\db2index*</t>
  </si>
  <si>
    <t>crt</t>
  </si>
  <si>
    <t>CyberSecurity Red Team Base</t>
  </si>
  <si>
    <t>db2admin:db2grp</t>
  </si>
  <si>
    <r>
      <rPr>
        <b/>
        <sz val="10"/>
        <color rgb="FF0000FF"/>
        <rFont val="Arial"/>
        <family val="2"/>
      </rPr>
      <t xml:space="preserve">-Added new security VLANS to BOM Functions
</t>
    </r>
    <r>
      <rPr>
        <sz val="10"/>
        <rFont val="Arial"/>
        <family val="2"/>
      </rPr>
      <t>-Updated IP tab with -ilo autopopulate hostnames for linux servers
-Updated DB2 excludes
-Corrected Apache IHS tab to show correct Intra/InterDMZ
-Added DB2 Linux option to New DB tab
-Backup Tab: autopopulate db2 API for DB2 servers
-CAPAM Tab: added No Offshore indicator to header
-Database (All) Tab:  Updated DB size to import from Distributed Assets tab
-CAPAM Tab: Updated to include db2admin:db2grp to Middleware Accounts column
-Hide tabs that are not used</t>
    </r>
  </si>
  <si>
    <t>cap</t>
  </si>
  <si>
    <t>CA Automation Point</t>
  </si>
  <si>
    <t>Capacity Optimization (BMC)</t>
  </si>
  <si>
    <r>
      <t xml:space="preserve">Application Architect:    </t>
    </r>
    <r>
      <rPr>
        <sz val="7"/>
        <color theme="1"/>
        <rFont val="Arial"/>
        <family val="2"/>
      </rPr>
      <t>(as needed, otherwise N/A)</t>
    </r>
  </si>
  <si>
    <r>
      <t xml:space="preserve">Enterprise Solutions Architect:      </t>
    </r>
    <r>
      <rPr>
        <sz val="7"/>
        <color theme="1"/>
        <rFont val="Arial"/>
        <family val="2"/>
      </rPr>
      <t>(as needed, otherwise N/A)</t>
    </r>
  </si>
  <si>
    <t>Does your application require external connectivity?</t>
  </si>
  <si>
    <t>Have you submitted the 3rd Party Connectivity Request?</t>
  </si>
  <si>
    <t>-Updated fields on the Project Details tab to match Intake form</t>
  </si>
  <si>
    <t>Prod F.W.-Application Interface-Hadoop Data</t>
  </si>
  <si>
    <t>10.70.184.0/22</t>
  </si>
  <si>
    <t>10.70.184.1</t>
  </si>
  <si>
    <t>Prod F.W.-iLO Interface-Hadoop Data</t>
  </si>
  <si>
    <t>10.70.224.1</t>
  </si>
  <si>
    <t>Prod F.W.-OOB Interface-Hadoop Data</t>
  </si>
  <si>
    <r>
      <t xml:space="preserve">-Corrected  the macros to match changes for intake form
-Added FTW Hadoop Data Network Information to BOM Functions
</t>
    </r>
    <r>
      <rPr>
        <sz val="10"/>
        <color rgb="FFFF0000"/>
        <rFont val="Arial"/>
        <family val="2"/>
      </rPr>
      <t>-Corrected formula in API Backup on Backup Tab</t>
    </r>
  </si>
  <si>
    <t>R16.0</t>
  </si>
  <si>
    <t>RedHat Process Automation Manager</t>
  </si>
  <si>
    <t>rpm</t>
  </si>
  <si>
    <t>Security -PHI SPI</t>
  </si>
  <si>
    <t>HCL_Database_Teradata</t>
  </si>
  <si>
    <r>
      <t>-</t>
    </r>
    <r>
      <rPr>
        <sz val="10"/>
        <color rgb="FFFF0000"/>
        <rFont val="Arial"/>
        <family val="2"/>
      </rPr>
      <t>Corrected error in ilo formula on IP tab</t>
    </r>
  </si>
  <si>
    <t>10.137.196.0/24</t>
  </si>
  <si>
    <t>10.137.196.1</t>
  </si>
  <si>
    <t>Prod 2.0 Mgmt and Monitoring - GPD POC</t>
  </si>
  <si>
    <t>Mgmt and Monitoring (Isolated)</t>
  </si>
  <si>
    <t>Prod 2.0-Application Interface-Mgmt and Monitoring (Isolated)</t>
  </si>
  <si>
    <t>DIST ASSETS - PLATFORM VERSION DATA</t>
  </si>
  <si>
    <t>FIREWALL TAB</t>
  </si>
  <si>
    <t>IP TAB - SUBNET LOOKUPS</t>
  </si>
  <si>
    <t>ITAM Request  / Est Costing</t>
  </si>
  <si>
    <t>ESX Hosts</t>
  </si>
  <si>
    <t>Vcenter</t>
  </si>
  <si>
    <t xml:space="preserve"> #Storage LUNs Needed</t>
  </si>
  <si>
    <t>Storage Approved?</t>
  </si>
  <si>
    <t>VM -  ESX - Virtual Hosts</t>
  </si>
  <si>
    <t>Vmware_Engineers</t>
  </si>
  <si>
    <t>New VLAN</t>
  </si>
  <si>
    <t>clm</t>
  </si>
  <si>
    <t>Claims API</t>
  </si>
  <si>
    <t>Dist Assets (DB) &amp; DB ALL</t>
  </si>
  <si>
    <t>Distributed Assets / VMWare / ITAM - SQL License fields for VM</t>
  </si>
  <si>
    <t>Dev_SQL_01_CHI</t>
  </si>
  <si>
    <t>Dev_SQL_01_WAU</t>
  </si>
  <si>
    <t>Dev_SQL_02_WAU</t>
  </si>
  <si>
    <t>StorageAssets</t>
  </si>
  <si>
    <t>List_StorageAssets</t>
  </si>
  <si>
    <t>Prod F.W.-OOB Interface-Intranet DMZ</t>
  </si>
  <si>
    <t>Prod F.W.-OOB Interface-Internet DMZ</t>
  </si>
  <si>
    <t>10.70.240.1</t>
  </si>
  <si>
    <t>10.70.244.1</t>
  </si>
  <si>
    <t>RHEL 7.6</t>
  </si>
  <si>
    <t xml:space="preserve"> dchishes3001
 dchishes3002
 dchishes3003
 dchishes3004
 dchishes3005
 dchishes3006</t>
  </si>
  <si>
    <t>dwaushes3001
dwaushes3002
dwaushes3003
dwaushes3004</t>
  </si>
  <si>
    <t>DynatraceOne</t>
  </si>
  <si>
    <t>dto</t>
  </si>
  <si>
    <t>iqs</t>
  </si>
  <si>
    <t>NetIQ Sentinel</t>
  </si>
  <si>
    <t>Type of Request</t>
  </si>
  <si>
    <t>https://pwauslifbh06.app.hcscint.net:8443/baocdp/ws/workflow</t>
  </si>
  <si>
    <t>https://twauslifbh06.app.test.hcscint.net:8443/baocdp/ws/workflow</t>
  </si>
  <si>
    <t>---</t>
  </si>
  <si>
    <t>"N/A"</t>
  </si>
  <si>
    <t>*...\*.mdf
*...\*.ldf
*...\*.ndf</t>
  </si>
  <si>
    <t>10.222.xxx.xxx</t>
  </si>
  <si>
    <t>10.222.xxx.1</t>
  </si>
  <si>
    <t>SQL Agent</t>
  </si>
  <si>
    <t>iis</t>
  </si>
  <si>
    <t>Microsoft Internet Information Server (Web)</t>
  </si>
  <si>
    <t>DWAUVAVMVC01</t>
  </si>
  <si>
    <t>TWAUVAVMVC01</t>
  </si>
  <si>
    <t>dwaushes2001
dwaushes2002
dwaushes2003
dwaushes2004
dwaushes2005
dwaushes2006
dwaushes2007
dwaushes2008</t>
  </si>
  <si>
    <t>Dev_OS_01_WAU</t>
  </si>
  <si>
    <t>dwaushes1013
dwaushes1014
dwaushes1017
dwaushes1018</t>
  </si>
  <si>
    <t>Dev_HADOOP_01</t>
  </si>
  <si>
    <t>dwaushes5031
dwaushes5032
dwaushes5033
dwaushes5034</t>
  </si>
  <si>
    <t>Dev_SITEMINDER_01</t>
  </si>
  <si>
    <t>Test_WINTEL_01_BL</t>
  </si>
  <si>
    <t>twaushes5031
twaushes5032
twaushes5033</t>
  </si>
  <si>
    <t>pwaushes1061
pwaushes1062
pwaushes1063
pwaushes1064
pwaushes1065
pwaushes1066
pwaushes1067
pwaushes1068</t>
  </si>
  <si>
    <t>pwaushes5091
pwaushes5092
pwaushes5093</t>
  </si>
  <si>
    <t>pwaushes5011
pwaushes5012
pwaushes5013</t>
  </si>
  <si>
    <t>pwaushes5201
pwaushes5202
pwaushes5203
pwaushes5204</t>
  </si>
  <si>
    <t>Prod_NON_SRM_01_BL</t>
  </si>
  <si>
    <t>Prod F.W.-iLO Interface-Process - 1</t>
  </si>
  <si>
    <t>Prod F.W.-iLO Interface-Intranet DMZ</t>
  </si>
  <si>
    <t>Prod F.W.-iLO Interface-Internet DMZ</t>
  </si>
  <si>
    <t>Prod F.W.-iLO Interface-GSA</t>
  </si>
  <si>
    <t>Prod F.W.-iLO Interface-Data - 1</t>
  </si>
  <si>
    <t>Prod F.W.-iLO Interface-Citrix OnDemand</t>
  </si>
  <si>
    <t>Prod F.W.-iLO Interface-Security</t>
  </si>
  <si>
    <t>Wauk_ILO_Network_#3</t>
  </si>
  <si>
    <t>10.134.248.0/22</t>
  </si>
  <si>
    <t>10.134.248.1</t>
  </si>
  <si>
    <t>Test 2.0-OOB-3 Interface-Data - 1</t>
  </si>
  <si>
    <t>192.168.16.0/22</t>
  </si>
  <si>
    <t>192.168.16.1</t>
  </si>
  <si>
    <t>Test 2.0-OOB-3 Interface-Data - 2</t>
  </si>
  <si>
    <t>Test 2.0-OOB-3 Interface-Data - 3</t>
  </si>
  <si>
    <t>Test 2.0-OOB-3 Interface-Process - 1</t>
  </si>
  <si>
    <t>Test 2.0-OOB-3 Interface-Process - 2</t>
  </si>
  <si>
    <t>Test 2.0-OOB-3 Interface-Process - 3</t>
  </si>
  <si>
    <t>Test 2.0-OOB-3 Interface-Mgmt and Monitoring</t>
  </si>
  <si>
    <t>Test 2.0-OOB-3 Interface-SiteMinder Policy</t>
  </si>
  <si>
    <t>Test 2.0-OOB-3 Interface-SiteMinder Secure Db</t>
  </si>
  <si>
    <t>Test 2.0-OOB-3 Interface-Siteminder Web</t>
  </si>
  <si>
    <t>Test 2.0-OOB-3 Interface-Hadoop Data</t>
  </si>
  <si>
    <t>OOB-3 Interface</t>
  </si>
  <si>
    <t>tdm</t>
  </si>
  <si>
    <t>Informatica TDM</t>
  </si>
  <si>
    <t>ict</t>
  </si>
  <si>
    <t>Symantec ICT</t>
  </si>
  <si>
    <t>create VIP and fw access</t>
  </si>
  <si>
    <t>tcp_half_open</t>
  </si>
  <si>
    <t>UDP</t>
  </si>
  <si>
    <t>add pool member</t>
  </si>
  <si>
    <t>member ratio</t>
  </si>
  <si>
    <t>TCP &amp; UDP</t>
  </si>
  <si>
    <t>delete VIP</t>
  </si>
  <si>
    <t>member least conn</t>
  </si>
  <si>
    <t>http_portchecking_siteminder</t>
  </si>
  <si>
    <t>delete pool member</t>
  </si>
  <si>
    <t>member observed</t>
  </si>
  <si>
    <t>https_portchecking</t>
  </si>
  <si>
    <t>disable pool member</t>
  </si>
  <si>
    <t>member predictive</t>
  </si>
  <si>
    <t>https_portchecking_siteminder</t>
  </si>
  <si>
    <t>migrate VIP</t>
  </si>
  <si>
    <t>ratio</t>
  </si>
  <si>
    <t>node ratio</t>
  </si>
  <si>
    <t>https</t>
  </si>
  <si>
    <t>least conn</t>
  </si>
  <si>
    <t>fastest</t>
  </si>
  <si>
    <t>tcp</t>
  </si>
  <si>
    <t>observed</t>
  </si>
  <si>
    <t>ftp</t>
  </si>
  <si>
    <t>predictive</t>
  </si>
  <si>
    <t>icmp</t>
  </si>
  <si>
    <t>dynamic ratio</t>
  </si>
  <si>
    <t>ldap</t>
  </si>
  <si>
    <t>fastest app resp</t>
  </si>
  <si>
    <t>mssql</t>
  </si>
  <si>
    <t>least sessions</t>
  </si>
  <si>
    <t>mysql</t>
  </si>
  <si>
    <t>member dynamic ratio</t>
  </si>
  <si>
    <t>nntp</t>
  </si>
  <si>
    <t>l3 addr</t>
  </si>
  <si>
    <t>oracle</t>
  </si>
  <si>
    <t>weighted least conn member</t>
  </si>
  <si>
    <t>pop3</t>
  </si>
  <si>
    <t>weighted least conn node addr</t>
  </si>
  <si>
    <t>radius</t>
  </si>
  <si>
    <t>real_server</t>
  </si>
  <si>
    <t>rpc</t>
  </si>
  <si>
    <t>sasp</t>
  </si>
  <si>
    <t>scripted</t>
  </si>
  <si>
    <t>sip</t>
  </si>
  <si>
    <t>smb</t>
  </si>
  <si>
    <t>smtp</t>
  </si>
  <si>
    <t>snmp</t>
  </si>
  <si>
    <t>soap</t>
  </si>
  <si>
    <t>tcp_echo</t>
  </si>
  <si>
    <t>wap</t>
  </si>
  <si>
    <t>wmi</t>
  </si>
  <si>
    <t>PFTWVAVMVC01</t>
  </si>
  <si>
    <t xml:space="preserve">ITAM #:     </t>
  </si>
  <si>
    <t>ITAM Approval received? - Oracle / SQL / DB2 Licenses</t>
  </si>
  <si>
    <t>Existing?</t>
  </si>
  <si>
    <t>-----------</t>
  </si>
  <si>
    <t>methods</t>
  </si>
  <si>
    <t>health</t>
  </si>
  <si>
    <t>protools</t>
  </si>
  <si>
    <t>Action</t>
  </si>
  <si>
    <t>cmx</t>
  </si>
  <si>
    <t>Checkmarx</t>
  </si>
  <si>
    <t>adc</t>
  </si>
  <si>
    <t>ADC</t>
  </si>
  <si>
    <t>Prod 2.0-Application Interface-Mandiant Security</t>
  </si>
  <si>
    <t>10.137.252.1</t>
  </si>
  <si>
    <t>Server Requires Encryption</t>
  </si>
  <si>
    <t>Host Record (A-Record)</t>
  </si>
  <si>
    <t>- DB (All) Repair column Y
- New DB Request - Add ITAM # and link to DB (All) Tab
- Backup Tab - Hide Column X
- Dist Assets - Fixed/Added Column AM, AN, AI (for New Only), Added Encryption column (hidden); Updated VM Templates for SQL 2014, 2014 SP2 and 2016 to db version
- VIP Tab - Fixed #'s not showing up
- Open Systems Tab - Change column S to grey
- VM Tab - added PFTW to Hosts in Bom Functions; Updated columns for number of LUNs to be drop down, # of TB to be whole number only; cover if 0
- BOM Functions - fix columns M - P so that LB tab will work
- DNS Tab - Added A-Record (Host) to drop down
- Monitoring Tab - added SNOW group to top</t>
  </si>
  <si>
    <t>Message Group/SNOW Group</t>
  </si>
  <si>
    <t>PWAUVAVMVC01</t>
  </si>
  <si>
    <t>Prod_OS_07_RH</t>
  </si>
  <si>
    <t>Prod_WINTEL_08_BL</t>
  </si>
  <si>
    <t>pwaushes2111
pwaushes2112
pwaushes2113
pwaushes2114
pwaushes2115
pwaushes2116
pwaushes2117
pwaushes2118
pwaushes2119
pwaushes2120
pwaushes2121
pwaushes2122
pwaushes2123
pwaushes2124
pwaushes2125
pwaushes2126</t>
  </si>
  <si>
    <t>pwaushes1101
pwaushes1102
pwaushes1103
pwaushes1104
pwaushes1105
pwaushes1106
pwaushes1107
pwaushes1108
pwaushes1109
pwaushes1110
pwaushes1111
pwaushes1112
pwaushes1113
pwaushes1114
pwaushes1115
pwaushes1116</t>
  </si>
  <si>
    <t>Prod 2.0-iLO Interface-Mgmt and Monitoring</t>
  </si>
  <si>
    <t>Prod 2.0-Application Interface-Media DMZ</t>
  </si>
  <si>
    <t>Prod 2.0-Application Interface-Media Inter DMZ</t>
  </si>
  <si>
    <t>Prod 2.0-Application Interface-Media DMZ (Telepresence)</t>
  </si>
  <si>
    <t>Prod 2.0-Application Interface-Media Inter DMZ (Telepresence)</t>
  </si>
  <si>
    <t>Mgmt Inf Interface</t>
  </si>
  <si>
    <t>Prod F.W.-Mgmt Inf Interface-Mgmt and Monitoring</t>
  </si>
  <si>
    <t>FTW-Inf Mgmt Interface</t>
  </si>
  <si>
    <t>10.70.8.0/22</t>
  </si>
  <si>
    <t>10.70.8.1</t>
  </si>
  <si>
    <t>Prod 2.0-Mgmt Inf Interface-Mgmt and Monitoring</t>
  </si>
  <si>
    <t>Prod 2.0 Inf Mgmt Interface</t>
  </si>
  <si>
    <t>10.136.8.0/22</t>
  </si>
  <si>
    <t>10.136.8.1</t>
  </si>
  <si>
    <t>10.136.121.1</t>
  </si>
  <si>
    <t>10.136.121.0/26</t>
  </si>
  <si>
    <t>10.136.121.64/26</t>
  </si>
  <si>
    <t>10.136.121.65</t>
  </si>
  <si>
    <t>Windows Server 2016 Standard</t>
  </si>
  <si>
    <t>W2K16STD_CL</t>
  </si>
  <si>
    <t>Gemalto (SafeNet) ProtectApp</t>
  </si>
  <si>
    <t>gpa</t>
  </si>
  <si>
    <t>ITAM Request #:</t>
  </si>
  <si>
    <t>Prod FTW (Wau) *</t>
  </si>
  <si>
    <t>list_appliance</t>
  </si>
  <si>
    <t>OVA - vendor supplied</t>
  </si>
  <si>
    <t>OVA - app team supplied</t>
  </si>
  <si>
    <t>Appliance - pre-configured</t>
  </si>
  <si>
    <t>ISO</t>
  </si>
  <si>
    <t>Operating System</t>
  </si>
  <si>
    <t>Appliance</t>
  </si>
  <si>
    <t>PAM</t>
  </si>
  <si>
    <t xml:space="preserve">
Windows or Physical Server
Internal Disk (GB)</t>
  </si>
  <si>
    <t>Java
Version</t>
  </si>
  <si>
    <t>Sun JDK 1.8</t>
  </si>
  <si>
    <r>
      <t xml:space="preserve">NAS Mounts </t>
    </r>
    <r>
      <rPr>
        <i/>
        <sz val="9"/>
        <rFont val="Arial"/>
        <family val="2"/>
      </rPr>
      <t>(use as required for multiple environments)</t>
    </r>
  </si>
  <si>
    <t>Bill Mesik / Paul Schmidt</t>
  </si>
  <si>
    <t>Oscar Ramirez / Michael Wealther</t>
  </si>
  <si>
    <t>Adaeze Udechukwu</t>
  </si>
  <si>
    <t xml:space="preserve">Rich Davis / Rich Smosna </t>
  </si>
  <si>
    <t>Gary Aguilar</t>
  </si>
  <si>
    <t>IBM Content Collector</t>
  </si>
  <si>
    <t>icc</t>
  </si>
  <si>
    <t>INSTALL GROUPS</t>
  </si>
  <si>
    <t>list_snowgroups</t>
  </si>
  <si>
    <t>HCL_Middleware</t>
  </si>
  <si>
    <t>HCL_Database_MSSQL</t>
  </si>
  <si>
    <t>HCL_Compute_Unix</t>
  </si>
  <si>
    <t>HCSC_Unix</t>
  </si>
  <si>
    <t>HCL_Mainframe_Storage</t>
  </si>
  <si>
    <t>HCSC_IS_PROXY</t>
  </si>
  <si>
    <t>HCL_Network_Security</t>
  </si>
  <si>
    <t>HCL_Database_DB2</t>
  </si>
  <si>
    <t>HCSC_HTS_FW_Platform_Ops</t>
  </si>
  <si>
    <t>HCL_Compute_Virtual Technologies Team</t>
  </si>
  <si>
    <t>HCSC_Vmware Support</t>
  </si>
  <si>
    <t>Which specific version of Middleware?</t>
  </si>
  <si>
    <t>Do you require a specific version of Java?</t>
  </si>
  <si>
    <t>If Websphere, do you require session replication?</t>
  </si>
  <si>
    <t xml:space="preserve">Does your application use a JDBC Data Source? </t>
  </si>
  <si>
    <t>Is your application AD/LDAP enabled?</t>
  </si>
  <si>
    <t>Is Data Retention for logs required?  (yes/no)</t>
  </si>
  <si>
    <t>Has capacity assessment been completed?</t>
  </si>
  <si>
    <r>
      <t xml:space="preserve">Build Priority </t>
    </r>
    <r>
      <rPr>
        <b/>
        <i/>
        <sz val="12"/>
        <rFont val="Arial"/>
        <family val="2"/>
      </rPr>
      <t xml:space="preserve"> </t>
    </r>
    <r>
      <rPr>
        <b/>
        <i/>
        <sz val="9"/>
        <rFont val="Arial"/>
        <family val="2"/>
      </rPr>
      <t>(use as required for multiple environments)</t>
    </r>
  </si>
  <si>
    <t xml:space="preserve">Environment  </t>
  </si>
  <si>
    <r>
      <t xml:space="preserve">Do we need to </t>
    </r>
    <r>
      <rPr>
        <b/>
        <sz val="10"/>
        <rFont val="Arial"/>
        <family val="2"/>
      </rPr>
      <t>increase</t>
    </r>
    <r>
      <rPr>
        <sz val="10"/>
        <rFont val="Arial"/>
        <family val="2"/>
      </rPr>
      <t xml:space="preserve"> any of the existing web resources (such as web container threads, database connections, MQ connections, etc); if so please provide the details?</t>
    </r>
  </si>
  <si>
    <t>Has the Bind account been requested by the application team?</t>
  </si>
  <si>
    <t>Have the Third Party Vendor's requirements documentation been supplied to Middleware team?</t>
  </si>
  <si>
    <t>DMZ based Apache or IHS?</t>
  </si>
  <si>
    <t>Internal Apache or IHS?</t>
  </si>
  <si>
    <r>
      <t xml:space="preserve">Third Party Application   - </t>
    </r>
    <r>
      <rPr>
        <b/>
        <sz val="10"/>
        <color indexed="10"/>
        <rFont val="Arial"/>
        <family val="2"/>
      </rPr>
      <t>MANDATORY SECTION if 3rd Party App</t>
    </r>
  </si>
  <si>
    <t>Application Stack</t>
  </si>
  <si>
    <t>Application Details</t>
  </si>
  <si>
    <t>JDBC Data Sources</t>
  </si>
  <si>
    <t>AD/LDAP</t>
  </si>
  <si>
    <t>Logs &amp; Retention</t>
  </si>
  <si>
    <t>What is the Retention Period?</t>
  </si>
  <si>
    <t>Please enter information here</t>
  </si>
  <si>
    <t>JVMs:  Webcontainer Ports</t>
  </si>
  <si>
    <t>Recommended HEAP Size</t>
  </si>
  <si>
    <t>Does your application have static content?</t>
  </si>
  <si>
    <t>Known JVM Arguments or specific settings? i.e, app groups, heap, key value pair</t>
  </si>
  <si>
    <t>SQL14W2K12R2</t>
  </si>
  <si>
    <t>SQL12W2K12R2-NO SQL</t>
  </si>
  <si>
    <t>SQL12W2K12R2-SP3</t>
  </si>
  <si>
    <t>SQL12W2K12R2</t>
  </si>
  <si>
    <r>
      <t xml:space="preserve">Network Layer
</t>
    </r>
    <r>
      <rPr>
        <b/>
        <sz val="7"/>
        <rFont val="Arial"/>
        <family val="2"/>
      </rPr>
      <t>(Prod Only)</t>
    </r>
  </si>
  <si>
    <r>
      <t xml:space="preserve">Which Network Layer?                             </t>
    </r>
    <r>
      <rPr>
        <sz val="10"/>
        <color rgb="FFFF0000"/>
        <rFont val="Arial"/>
        <family val="2"/>
      </rPr>
      <t>&lt;Prod only&gt;</t>
    </r>
  </si>
  <si>
    <t>Prod FTW</t>
  </si>
  <si>
    <t>TEST_PRIVATE_GEMFIRE_01</t>
  </si>
  <si>
    <t>HCL QueueMgr Zena Admin</t>
  </si>
  <si>
    <t>Number of
IP Addresses
Required</t>
  </si>
  <si>
    <t>Privileged Access Management</t>
  </si>
  <si>
    <t>Eloquence (Alineo)</t>
  </si>
  <si>
    <t>dnc</t>
  </si>
  <si>
    <t>DNL - CAPS</t>
  </si>
  <si>
    <t>DNL - PAS</t>
  </si>
  <si>
    <t>Enterprise Access Control - AMAG</t>
  </si>
  <si>
    <t>Firemon Immediate Insight</t>
  </si>
  <si>
    <t>fii</t>
  </si>
  <si>
    <t>iq</t>
  </si>
  <si>
    <t>Identity IQ</t>
  </si>
  <si>
    <t>Member API</t>
  </si>
  <si>
    <t>mbr</t>
  </si>
  <si>
    <t>IBM Operational Decision Manager</t>
  </si>
  <si>
    <t>pcd</t>
  </si>
  <si>
    <t>PIER Network</t>
  </si>
  <si>
    <t>All Payer Claims Database</t>
  </si>
  <si>
    <t>Retail Rules Engine</t>
  </si>
  <si>
    <t>rre</t>
  </si>
  <si>
    <t>Small Group Renewals</t>
  </si>
  <si>
    <t>si</t>
  </si>
  <si>
    <t>TMSIS Data Probe</t>
  </si>
  <si>
    <t>EMA - Adobe Campaign</t>
  </si>
  <si>
    <t>Symantec - ICA</t>
  </si>
  <si>
    <t>Symantec - Data Insight</t>
  </si>
  <si>
    <t>Symantec - Data Protection</t>
  </si>
  <si>
    <t>Siteminder</t>
  </si>
  <si>
    <t>Standard Product Renewals</t>
  </si>
  <si>
    <t>pam</t>
  </si>
  <si>
    <t>Palo Alto Networks</t>
  </si>
  <si>
    <t>pan</t>
  </si>
  <si>
    <t>Enterprise Database Hosting</t>
  </si>
  <si>
    <t>edh</t>
  </si>
  <si>
    <t>Information Governance</t>
  </si>
  <si>
    <t>IBM Spectrum Protect</t>
  </si>
  <si>
    <t>tsm</t>
  </si>
  <si>
    <t>ema</t>
  </si>
  <si>
    <t>JIRA</t>
  </si>
  <si>
    <t>jr</t>
  </si>
  <si>
    <t>Bricata</t>
  </si>
  <si>
    <t>bri</t>
  </si>
  <si>
    <t>Ace Desktop - Bucher Sutter</t>
  </si>
  <si>
    <t>DNL - LifeSuite</t>
  </si>
  <si>
    <t>dnl</t>
  </si>
  <si>
    <t>SortSite Desktop Suite</t>
  </si>
  <si>
    <t>sds</t>
  </si>
  <si>
    <t>acv</t>
  </si>
  <si>
    <t>Tenable Security Center - Nessus</t>
  </si>
  <si>
    <t>CA Secure Proxy Server</t>
  </si>
  <si>
    <t>EMC IsightIQ</t>
  </si>
  <si>
    <t>WebCenter</t>
  </si>
  <si>
    <t>Smart UM</t>
  </si>
  <si>
    <t>Hadoop - Data Node</t>
  </si>
  <si>
    <t>en</t>
  </si>
  <si>
    <t>Hadoop - Edge Nodes</t>
  </si>
  <si>
    <t>Hadoop - Kafka</t>
  </si>
  <si>
    <t>kc</t>
  </si>
  <si>
    <t>Hadoop - Nifi</t>
  </si>
  <si>
    <t>nf</t>
  </si>
  <si>
    <t>Hadoop - Master Node</t>
  </si>
  <si>
    <t>File Name  (Filename Template: &lt;Number&gt;-LBOM-&lt;Application Name&gt;-&lt;APP ID&gt;-&lt;optional naming&gt;.xls</t>
  </si>
  <si>
    <t>gpf</t>
  </si>
  <si>
    <t>Gemalto (SafeNet) ProtectFile</t>
  </si>
  <si>
    <t>sol</t>
  </si>
  <si>
    <t>SolarWinds</t>
  </si>
  <si>
    <t>gdm</t>
  </si>
  <si>
    <t>IBM Guardium</t>
  </si>
  <si>
    <t>Web  version:</t>
  </si>
  <si>
    <t>Pre-Prod</t>
  </si>
  <si>
    <t>ppd</t>
  </si>
  <si>
    <t>originally created by: M. Karlovich and D. Nichols;  updates and maintenance: Cara Gilmore, Ron Bush</t>
  </si>
  <si>
    <t>Firewall Rule Added to FW Tab?</t>
  </si>
  <si>
    <t>Third Party Request Number?</t>
  </si>
  <si>
    <t>OS File System Requirements
(rootvg)</t>
  </si>
  <si>
    <t>dchishes1011
dchishes1012
dchishes1013
dchishes1014
dchishes1015
dchishes1016
dchishes1017
dchishes1018
dchishes1031
dchishes1032
dchishes1033
dchishes1034
dchishes1035
dchishes1036
dchishes1037
dchishes1038</t>
  </si>
  <si>
    <t>DEV_WINTEL_01_BL_CHI</t>
  </si>
  <si>
    <t>Dev_OS_03_BL_CHI</t>
  </si>
  <si>
    <t>Alt-Prod</t>
  </si>
  <si>
    <t>A</t>
  </si>
  <si>
    <t>PWAUVAVMVC03</t>
  </si>
  <si>
    <t>PFTWVAVMVC03</t>
  </si>
  <si>
    <t>UAT_NICE_01</t>
  </si>
  <si>
    <t>FTW_NICE_01</t>
  </si>
  <si>
    <t>WAU_NICE_01</t>
  </si>
  <si>
    <t>pftwshes5081
pftwshes5082
pftwshes5083
pftwshes5084</t>
  </si>
  <si>
    <t>pwaushes5311
pwaushes5312
pwaushes5313
pwaushes5314</t>
  </si>
  <si>
    <t>pwaushes5301
pwaushes5302
pwaushes5303
pwaushes5304
pwaushes5305
pwaushes5306</t>
  </si>
  <si>
    <t>FTW_Nuance_01</t>
  </si>
  <si>
    <t xml:space="preserve">OS: 50gb    
/opt/zena: .5gb 
-------------------------
/var/tmp/stage: 10gb 
paging00: admin defined
(same size as hd6)
</t>
  </si>
  <si>
    <t>Hadoop - Spark Nodes</t>
  </si>
  <si>
    <t>Hadoop - Batch Servers</t>
  </si>
  <si>
    <t>ks</t>
  </si>
  <si>
    <t>aen</t>
  </si>
  <si>
    <t>bch</t>
  </si>
  <si>
    <t>NSX Rule Required</t>
  </si>
  <si>
    <r>
      <rPr>
        <sz val="10"/>
        <color rgb="FFFF0000"/>
        <rFont val="Arial"/>
        <family val="2"/>
      </rPr>
      <t>-Backup Tab: update Column J to look for AIX* under OS version
-Backup Tab: update Column K to find AIX for ECS-Open Systems</t>
    </r>
    <r>
      <rPr>
        <sz val="10"/>
        <rFont val="Arial"/>
        <family val="2"/>
      </rPr>
      <t xml:space="preserve">
-DB2 File Structures: updated to add /opt/IBM/db2 10 gb file structure
</t>
    </r>
    <r>
      <rPr>
        <sz val="10"/>
        <color rgb="FFFF0000"/>
        <rFont val="Arial"/>
        <family val="2"/>
      </rPr>
      <t>-IP Tab: Remove reference to Column C in Column K</t>
    </r>
    <r>
      <rPr>
        <sz val="10"/>
        <rFont val="Arial"/>
        <family val="2"/>
      </rPr>
      <t xml:space="preserve">
-Open Systems Tab:  Change AIX file system sizes in BOM Functions (per request from Jack O'Toole); remove / from "as /" in Column L
</t>
    </r>
    <r>
      <rPr>
        <sz val="10"/>
        <color rgb="FFFF0000"/>
        <rFont val="Arial"/>
        <family val="2"/>
      </rPr>
      <t>-PAM Tab: Corrected accounts to vault for AIX servers, "root"</t>
    </r>
    <r>
      <rPr>
        <sz val="10"/>
        <rFont val="Arial"/>
        <family val="2"/>
      </rPr>
      <t xml:space="preserve">
-HostNaming Standards: Add Hadoop special names to list
-TOC: Add conditional formatting for H55 looking for .vsd; 
</t>
    </r>
    <r>
      <rPr>
        <sz val="10"/>
        <color rgb="FFFF0000"/>
        <rFont val="Arial"/>
        <family val="2"/>
      </rPr>
      <t>-Windows Tab: Correct formula in 4C</t>
    </r>
    <r>
      <rPr>
        <sz val="10"/>
        <rFont val="Arial"/>
        <family val="2"/>
      </rPr>
      <t xml:space="preserve">
-Firewall Tab:  Add NSX Firewall Column</t>
    </r>
  </si>
  <si>
    <t>David Riley
Vlad Rosenbaum - Storage</t>
  </si>
  <si>
    <t>Adaeze Udechukwu / Heather Ventura</t>
  </si>
  <si>
    <t xml:space="preserve">Project Name:         </t>
  </si>
  <si>
    <t>Project Number:</t>
  </si>
  <si>
    <r>
      <rPr>
        <b/>
        <sz val="11"/>
        <rFont val="Arial"/>
        <family val="2"/>
      </rPr>
      <t xml:space="preserve">Application ID Number:         </t>
    </r>
    <r>
      <rPr>
        <sz val="10"/>
        <color indexed="12"/>
        <rFont val="Arial"/>
        <family val="2"/>
      </rPr>
      <t xml:space="preserve"> </t>
    </r>
    <r>
      <rPr>
        <u/>
        <sz val="10"/>
        <color indexed="12"/>
        <rFont val="Arial"/>
        <family val="2"/>
      </rPr>
      <t>(link:)</t>
    </r>
  </si>
  <si>
    <t>EOS</t>
  </si>
  <si>
    <t>https://myfyi.sharepoint.com/sites/intranet/TAP-TLM/Pages/TAP.aspx</t>
  </si>
  <si>
    <t>Link to check out diagram</t>
  </si>
  <si>
    <t>MSSQL 2016 SP2</t>
  </si>
  <si>
    <t>SQL16SP2W2K16_CL</t>
  </si>
  <si>
    <t>Clusters - Prod</t>
  </si>
  <si>
    <t>Clusters - Test</t>
  </si>
  <si>
    <t>Clusters -Dev</t>
  </si>
  <si>
    <t>Test_PRIVATE_HADOOP_01</t>
  </si>
  <si>
    <t>Test_PRIVATE_WAS_01</t>
  </si>
  <si>
    <t>Prod_PRIVATE_EAA_WAU_01</t>
  </si>
  <si>
    <t>Prod_PRIVATE_EAA_WAU_02</t>
  </si>
  <si>
    <t>Prod_PRIVATE_GEMFIRE_01</t>
  </si>
  <si>
    <t>Prod_PRIVATE_HADOOP_01</t>
  </si>
  <si>
    <t>50
20</t>
  </si>
  <si>
    <t>Virtual Directory Service</t>
  </si>
  <si>
    <t>At Your Service</t>
  </si>
  <si>
    <t>ays</t>
  </si>
  <si>
    <t>Scanner servers</t>
  </si>
  <si>
    <t>pfp</t>
  </si>
  <si>
    <t>Proofpoint</t>
  </si>
  <si>
    <t>What environments are being requested?</t>
  </si>
  <si>
    <t>Information Security Resource:</t>
  </si>
  <si>
    <t xml:space="preserve">Infrastructure Integrator: </t>
  </si>
  <si>
    <t>Dev - Server  Process (FLAT)  - Old</t>
  </si>
  <si>
    <t>DEV-Application Interface-Process - 2(Reserved)</t>
  </si>
  <si>
    <t>DEV-Application Interface-Process - 3(Reserved)</t>
  </si>
  <si>
    <t>DEV-Application Interface-Process - 4(Reserved)</t>
  </si>
  <si>
    <t>DEV-Application Interface-Data - 2(Reserved)</t>
  </si>
  <si>
    <t>DEV-Application Interface-Data - 3(Reserved)</t>
  </si>
  <si>
    <t>DEV-Application Interface-Data - 4(Reserved)</t>
  </si>
  <si>
    <t>DEV-iLO Interface-Process - 2(Reserved)</t>
  </si>
  <si>
    <t>DEV-iLO Interface-Data - 2(Reserved)</t>
  </si>
  <si>
    <t>DEV-OOB Interface-Process - 2(Reserved)</t>
  </si>
  <si>
    <t>DEV-OOB Interface-Data - 2(Reserved)</t>
  </si>
  <si>
    <t>APP/VIP Interfaces</t>
  </si>
  <si>
    <t>Test 2.0-Application Interface-SiteMinder DMZ (Internet)</t>
  </si>
  <si>
    <t>Test 2.0-Application Interface-Corporate Internet DMZ</t>
  </si>
  <si>
    <t>Test 2.0 Process Net #1a</t>
  </si>
  <si>
    <t>Test 2.0-Application Interface-Process - 2 (Full)</t>
  </si>
  <si>
    <t>Test 2.0 Process Net #1b</t>
  </si>
  <si>
    <t>Test 2.0-Application Interface-Process - 4 (Reserved)</t>
  </si>
  <si>
    <t>Test 2.0-Application Interface-Process - 5 (Reserved)</t>
  </si>
  <si>
    <t>Test 2.0-Application Interface-Process - 6 (Reserved)</t>
  </si>
  <si>
    <t>Test 2.0-Application Interface-Process - 7 (Reserved)</t>
  </si>
  <si>
    <t>Test 2.0-Application Interface-Process - 8 (Reserved)</t>
  </si>
  <si>
    <t>Test 2.0-Application Interface-Data - 1 (Full)</t>
  </si>
  <si>
    <t>Test 2.0 Data Net #1a</t>
  </si>
  <si>
    <t>Test 2.0-Application Interface-Data - 3 (Reserved)</t>
  </si>
  <si>
    <t>Test 2.0 Data Net #2a</t>
  </si>
  <si>
    <t>Test 2.0-Application Interface-Data - 5 (Reserved)</t>
  </si>
  <si>
    <t>Test 2.0 Data Net #3a</t>
  </si>
  <si>
    <t>Test 2.0-Application Interface-Data - 7 (Reserved)</t>
  </si>
  <si>
    <t>Test 2.0 Data Net #4a</t>
  </si>
  <si>
    <t>Test 2.0-Application Interface-PKI</t>
  </si>
  <si>
    <t>Test 2.0-Security Server Network #1</t>
  </si>
  <si>
    <t>Test 2.0 SiteMinder Policy Net</t>
  </si>
  <si>
    <t>Test 2.0 Siteminder Policy Net 2</t>
  </si>
  <si>
    <t>Test 2.0 SiteMinder Secure DB</t>
  </si>
  <si>
    <t>Test 2.0 SiteMinder Web</t>
  </si>
  <si>
    <t>Test 2.0 SiteMinder Report DB</t>
  </si>
  <si>
    <t>Test 2.0-Application Interface-SKLM</t>
  </si>
  <si>
    <t>Test 2.0 Security Key Mgmt</t>
  </si>
  <si>
    <t>Test 2.0 Security_Services_Area</t>
  </si>
  <si>
    <t>Test 2.0-Application Interface-CyberArkVault</t>
  </si>
  <si>
    <t>Test 2.0 CyberArkVault</t>
  </si>
  <si>
    <t>10.135.253.0/26</t>
  </si>
  <si>
    <t>10.135.253.1</t>
  </si>
  <si>
    <t>Test 2.0-Application Interface-CyberArk</t>
  </si>
  <si>
    <t>Test 2.0 CyberArk</t>
  </si>
  <si>
    <t>10.135.251.0/24</t>
  </si>
  <si>
    <t>10.135.251.1</t>
  </si>
  <si>
    <t>Test 2.0-Application Interface-SDL</t>
  </si>
  <si>
    <t>Test 2.0 Security DataLake</t>
  </si>
  <si>
    <t>10.135.240.0/22</t>
  </si>
  <si>
    <t>10.135.240.1</t>
  </si>
  <si>
    <t>Test 2.0-Persistent Interface-Process - 1 (Full)</t>
  </si>
  <si>
    <t>Test 2.0-Persistent Interface-Process - 2</t>
  </si>
  <si>
    <t>Test 2.0-Persistent Interface-Data - 1 (Full)</t>
  </si>
  <si>
    <t>Test 2.0 Data/Process Security</t>
  </si>
  <si>
    <t>Test 2.0-VIP-Corporate Internet DMZ</t>
  </si>
  <si>
    <t>ILO</t>
  </si>
  <si>
    <t>Test 2.0-iLO  Interface-Intranet DMZ</t>
  </si>
  <si>
    <t>Test 2.0-iLO Interface-Data - 3</t>
  </si>
  <si>
    <t>Test 2.0-iLO Interface-SiteMinder Policy</t>
  </si>
  <si>
    <t>Test 2.0-iLO Interface-SiteMinder Secure Db</t>
  </si>
  <si>
    <t>Test 2.0-iLO Interface-Siteminder Web</t>
  </si>
  <si>
    <t>Test 2.0-iLO Interface-Siteminder Report Db</t>
  </si>
  <si>
    <t xml:space="preserve">Test 2.0-iLO Interface-SDL </t>
  </si>
  <si>
    <t>Test 2.0-iLO Interface-Mgmt and Monitoring</t>
  </si>
  <si>
    <t>Test 2.0-iLO-2 Interface-Internet DMZ (Full)</t>
  </si>
  <si>
    <t>Test 2.0-iLO-2 Interface-Intranet DMZ (Full)</t>
  </si>
  <si>
    <t>Test 2.0-iLO-2 Interface-Data - 1 (Full)</t>
  </si>
  <si>
    <t>Test 2.0-iLO-2 Interface-Data - 2 (Full)</t>
  </si>
  <si>
    <t>Test 2.0-iLO-2 Interface-Data - 3 (Full)</t>
  </si>
  <si>
    <t>Test 2.0-iLO-2 Interface-Process - 1 (Full)</t>
  </si>
  <si>
    <t>Test 2.0-iLO-2 Interface-Process - 2 (Full)</t>
  </si>
  <si>
    <t>Test 2.0-iLO-2 Interface-Process - 3 (Full)</t>
  </si>
  <si>
    <t>Test 2.0-iLO-2 Interface-Security (Full)</t>
  </si>
  <si>
    <t>Test 2.0-iLO-2 Interface-Citrix OnDemand (Full)</t>
  </si>
  <si>
    <t>Test 2.0-iLO-2 Interface-Hadoop Data (Full)</t>
  </si>
  <si>
    <t>Test 2.0-iLO-2 Interface-SiteMinder Policy (Full)</t>
  </si>
  <si>
    <t>Test 2.0-iLO-2 Interface-SiteMinder Secure Db (Full)</t>
  </si>
  <si>
    <t>Test 2.0-iLO-2 Interface-Siteminder Web (Full)</t>
  </si>
  <si>
    <t>Test 2.0-iLO-2 Interface-Siteminder Report Db (Full)</t>
  </si>
  <si>
    <t xml:space="preserve">Test 2.0-iLO-2 Interface-SDL </t>
  </si>
  <si>
    <t>Test 2.0-iLO-2 Interface-Mgmt and Monitoring</t>
  </si>
  <si>
    <t>Test 2.0-iLO-3 Interface-Internet DMZ (Reserved)</t>
  </si>
  <si>
    <t>Test 2.0-iLO-3 Interface-Intranet DMZ (Reserved)</t>
  </si>
  <si>
    <t>Test 2.0-iLO-3 Interface-Data - 1 (Reserved)</t>
  </si>
  <si>
    <t>Test 2.0-iLO-3 Interface-Data - 2 (Reserved)</t>
  </si>
  <si>
    <t>Test 2.0-iLO-3 Interface-Data - 3 (Reserved)</t>
  </si>
  <si>
    <t>Test 2.0-iLO-3 Interface-Process - 1 (Reserved)</t>
  </si>
  <si>
    <t>Test 2.0-iLO-3 Interface-Process - 2 (Reserved)</t>
  </si>
  <si>
    <t>Test 2.0-iLO-3 Interface-Process - 3 (Reserved)</t>
  </si>
  <si>
    <t>Test 2.0-iLO-3 Interface-Security (Reserved)</t>
  </si>
  <si>
    <t>Test 2.0-iLO-3 Interface-Citrix OnDemand (Reserved)</t>
  </si>
  <si>
    <t>Test 2.0-iLO-3 Interface-Hadoop Data (Reserved)</t>
  </si>
  <si>
    <t>Test 2.0-iLO-3 Interface-SiteMinder Policy (Reserved)</t>
  </si>
  <si>
    <t>Test 2.0-iLO-3 Interface-SiteMinder Secure Db (Reserved)</t>
  </si>
  <si>
    <t>Test 2.0-iLO-3 Interface-Siteminder Web (Reserved)</t>
  </si>
  <si>
    <t>Test 2.0-iLO-3 Interface-Siteminder Report Db (Reserved)</t>
  </si>
  <si>
    <t xml:space="preserve">Test 2.0-iLO-3 Interface-SDL </t>
  </si>
  <si>
    <t>Test 2.0-iLO-3 Interface-Mgmt and Monitoring</t>
  </si>
  <si>
    <t>UTILITY (BACKUP/MGMT)</t>
  </si>
  <si>
    <t>Test 2.0 SAN Mgmt VMWare Svc Console</t>
  </si>
  <si>
    <t>Test 2.0-OOB Interface-Data - 1 (Full)</t>
  </si>
  <si>
    <t>Test 2.0-OOB Interface-Data - 2 (Full)</t>
  </si>
  <si>
    <t>Test 2.0-OOB Interface-Data - 3 (Full)</t>
  </si>
  <si>
    <t>Test 2.0-OOB Interface-Process - 1 (Full)</t>
  </si>
  <si>
    <t>Test 2.0-OOB Interface-Process - 2 (Full)</t>
  </si>
  <si>
    <t>Test 2.0-OOB Interface-Process - 3 (Full)</t>
  </si>
  <si>
    <t>Test 2.0-OOB Interface-Mgmt and Monitoring (Full)</t>
  </si>
  <si>
    <t>Test 2.0-OOB Interface-Hadoop Data (Full)</t>
  </si>
  <si>
    <t>Test 2.0-OOB-2 Interface-Data - 1 (Full)</t>
  </si>
  <si>
    <t>Test 2.0-OOB-2 Interface-Data - 2 (Full)</t>
  </si>
  <si>
    <t>Test 2.0-OOB-2 Interface-Data - 3 (Full)</t>
  </si>
  <si>
    <t>Test 2.0-OOB-2 Interface-Process - 1 (Full)</t>
  </si>
  <si>
    <t>Test 2.0-OOB-2 Interface-Process - 2 (Full)</t>
  </si>
  <si>
    <t>Test 2.0-OOB-2 Interface-Process - 3 (Full)</t>
  </si>
  <si>
    <t>Test 2.0-OOB-2 Interface-Mgmt and Monitoring (Full)</t>
  </si>
  <si>
    <t>Test 2.0-OOB-2 Interface-Hadoop Data (Full)</t>
  </si>
  <si>
    <t>Test 2.0-OOB-2 Interface-SiteMinder Policy (Full)</t>
  </si>
  <si>
    <t>Test 2.0-OOB-2 Interface-SiteMinder Secure Db (Full)</t>
  </si>
  <si>
    <t>Test 2.0-OOB-2 Interface-Siteminder Web (Full)</t>
  </si>
  <si>
    <t>Test 2.0-OOB-2 Interface-Siteminder Report Db (Full)</t>
  </si>
  <si>
    <t>Test 2.0-OOB-3 Interface-Siteminder Report Db</t>
  </si>
  <si>
    <t>Test 2.0-Cluster Heartbeat</t>
  </si>
  <si>
    <t>192.168.52.0/25</t>
  </si>
  <si>
    <t>192.168.52.1</t>
  </si>
  <si>
    <t>Test 2.0-Cluster Heartbeat-1</t>
  </si>
  <si>
    <t>192.168.52.129</t>
  </si>
  <si>
    <t>192.168.240.1</t>
  </si>
  <si>
    <t>Test 2.0-Replication Interface-Data - 1</t>
  </si>
  <si>
    <t>Test 2.0 Microsoft Test Replication Net #1</t>
  </si>
  <si>
    <t>Test 2.0-Replication Interface-Data - 2</t>
  </si>
  <si>
    <t>Test 2.0-Replication Interface-Data - 3</t>
  </si>
  <si>
    <t>Prod 2.0-Application Interface-Citrix OnDemand</t>
  </si>
  <si>
    <t>Prod 2.0 Citrix OnDemand</t>
  </si>
  <si>
    <t>Prod 2.0-Application Interface-SiteMinder DMZ</t>
  </si>
  <si>
    <t>Prod 2.0-Application Interface-Corporate Internet DMZ</t>
  </si>
  <si>
    <t>Prod 2.0-Application Interface-Process - 1 (Full)</t>
  </si>
  <si>
    <t>Prod 2.0-Application Interface-Process - 4 (Reserved)</t>
  </si>
  <si>
    <t>Prod 2.0-Application Interface-Process - 5 (Reserved)</t>
  </si>
  <si>
    <t>Prod 2.0-Application Interface-Process - 6 (Reserved)</t>
  </si>
  <si>
    <t>Prod 2.0-Application Interface-Process - 7 (Reserved)</t>
  </si>
  <si>
    <t>Prod 2.0-Application Interface-Process - 8 (Reserved)</t>
  </si>
  <si>
    <t>Prod 2.0-Application Interface-Data - 1 (Full)</t>
  </si>
  <si>
    <t>Prod 2.0 Data Net #1a</t>
  </si>
  <si>
    <t>Prod 2.0 Data Net #1b</t>
  </si>
  <si>
    <t>Prod 2.0-Application Interface-Data - 3 (Reserved)</t>
  </si>
  <si>
    <t>Prod 2.0 Data Net #2a</t>
  </si>
  <si>
    <t>Prod 2.0-Application Interface-Data - 5 (Reserved)</t>
  </si>
  <si>
    <t>Prod 2.0 Data Net #3a</t>
  </si>
  <si>
    <t>Prod 2.0-Application Interface-Data - 7 (Reserved)</t>
  </si>
  <si>
    <t>Prod 2.0 Data Net #4a</t>
  </si>
  <si>
    <t>Prod 2.0-Application Interface-PKI</t>
  </si>
  <si>
    <t>Prod 2.0 Security Server Network #1</t>
  </si>
  <si>
    <t>Prod 2.0-Application Interface-SiteMinder Report DB</t>
  </si>
  <si>
    <t>Prod 2.0-Application Interface-SKLM</t>
  </si>
  <si>
    <t>Prod 2.0 Mandiant</t>
  </si>
  <si>
    <t>10.137.252.0/24</t>
  </si>
  <si>
    <t>Prod 2.0 Security_Services_Area</t>
  </si>
  <si>
    <t>Prod 2.0-Application Interface-CyberArkVault</t>
  </si>
  <si>
    <t>Prod 2.0 CyberArkVault</t>
  </si>
  <si>
    <t>10.137.253.0/26</t>
  </si>
  <si>
    <t>10.137.253.1</t>
  </si>
  <si>
    <t>Prod 2.0-Application Interface-CyberArk</t>
  </si>
  <si>
    <t>Prod 2.0 CyberArk</t>
  </si>
  <si>
    <t>10.137.251.0/24</t>
  </si>
  <si>
    <t>10.137.251.1</t>
  </si>
  <si>
    <t>Prod 2.0-Application Interface-SDL</t>
  </si>
  <si>
    <t>Prod 2.0 SDL</t>
  </si>
  <si>
    <t>Prod 2.0-Persistent Interface-Process - 1 (Full)</t>
  </si>
  <si>
    <t>Prod 2.0-Persistent Interface-Process - 2</t>
  </si>
  <si>
    <t>Prod 2.0-Persistent Interface-Data - 1 (Full)</t>
  </si>
  <si>
    <t>Prod 2.0-VIP-Migration</t>
  </si>
  <si>
    <t>Prod 2.0 Migration Subnet for VIPs</t>
  </si>
  <si>
    <t>10.136.32.0/22</t>
  </si>
  <si>
    <t>10.136.32.1</t>
  </si>
  <si>
    <t>Prod 2.0 VIP-Security</t>
  </si>
  <si>
    <t>Prod 2.0 Data/Process Security</t>
  </si>
  <si>
    <t>Prod 2.0-iLO Interface-Process - 3</t>
  </si>
  <si>
    <t xml:space="preserve">Prod 2.0-iLO Interface-Hadoop Data </t>
  </si>
  <si>
    <t>Prod 2.0-iLO Interface-SDL</t>
  </si>
  <si>
    <t>Prod 2.0-iLO-2 Interface-Internet DMZ</t>
  </si>
  <si>
    <t>Prod 2.0-iLO-2 Interface-Intranet DMZ</t>
  </si>
  <si>
    <t>Prod 2.0-iLO-2 Interface-Data - 1</t>
  </si>
  <si>
    <t>Prod 2.0-iLO-2 Interface-Data - 2</t>
  </si>
  <si>
    <t>Prod 2.0-iLO-2 Interface-Data - 3</t>
  </si>
  <si>
    <t>Prod 2.0-iLO-2 Interface-Process - 1</t>
  </si>
  <si>
    <t>Prod 2.0-iLO-2 Interface-Process - 2</t>
  </si>
  <si>
    <t>Prod 2.0-iLO-2 Interface-Process - 3</t>
  </si>
  <si>
    <t>Prod 2.0-iLO-2 Interface-Security</t>
  </si>
  <si>
    <t>Prod 2.0-iLO-2 Interface-Citrix OnDemand</t>
  </si>
  <si>
    <t xml:space="preserve">Prod 2.0-iLO-2 Interface-Hadoop Data </t>
  </si>
  <si>
    <t>Prod 2.0-iLO-2 Interface-SDL</t>
  </si>
  <si>
    <t>Prod 2.0-iLO-2 Interface-Mgmt and Monitoring</t>
  </si>
  <si>
    <t>Prod 2.0-iLO-3 Interface-Internet DMZ</t>
  </si>
  <si>
    <t>Prod 2.0-iLO-3 Interface-Intranet DMZ</t>
  </si>
  <si>
    <t>Prod 2.0-iLO-3 Interface-Data - 1</t>
  </si>
  <si>
    <t>Prod 2.0-iLO-3 Interface-Data - 2</t>
  </si>
  <si>
    <t>Prod 2.0-iLO-3 Interface-Data - 3</t>
  </si>
  <si>
    <t>Prod 2.0-iLO-3 Interface-Process - 1</t>
  </si>
  <si>
    <t>Prod 2.0-iLO-3 Interface-Process - 2</t>
  </si>
  <si>
    <t>Prod 2.0-iLO-3 Interface-Process - 3</t>
  </si>
  <si>
    <t>Prod 2.0-iLO-3 Interface-Security</t>
  </si>
  <si>
    <t>Prod 2.0-iLO-3 Interface-Citrix OnDemand</t>
  </si>
  <si>
    <t xml:space="preserve">Prod 2.0-iLO-3 Interface-Hadoop Data </t>
  </si>
  <si>
    <t>Prod 2.0-iLO-3 Interface-SDL</t>
  </si>
  <si>
    <t>Prod 2.0-iLO-3 Interface-Mgmt and Monitoring</t>
  </si>
  <si>
    <t>Prod 2.0-OOB Interface-Process - 3</t>
  </si>
  <si>
    <t>Prod 2.0-OOB Interface-Hadoop Data</t>
  </si>
  <si>
    <t>Prod 2.0-OOB Interface-SiteMinder Policy 2</t>
  </si>
  <si>
    <t>Prod 2.0-OOB Interface-SDL Security Zone</t>
  </si>
  <si>
    <t>Prod 2.0-OOB Interface-Mandiant Security</t>
  </si>
  <si>
    <t>Prod 2.0-OOB-2 Interface-Data - 1 (Full)</t>
  </si>
  <si>
    <t>Prod 2.0-OOB-2 Interface-Data - 2 (Full)</t>
  </si>
  <si>
    <t>Prod 2.0-OOB-2 Interface-Data - 3 (Full)</t>
  </si>
  <si>
    <t>Prod 2.0-OOB-2 Interface-Process - 1 (Full)</t>
  </si>
  <si>
    <t>Prod 2.0-OOB-2 Interface-Process - 2 (Full)</t>
  </si>
  <si>
    <t>Prod 2.0-OOB-2 Interface-Mgmt and Monitoring (Full)</t>
  </si>
  <si>
    <t>Prod 2.0-OOB-2 Interface-Hadoop Data (Full)</t>
  </si>
  <si>
    <t>Prod 2.0-OOB-2 Interface-SiteMinder Policy (Full)</t>
  </si>
  <si>
    <t>Prod 2.0-OOB-2 Interface-SiteMinder Policy 2 (Full)</t>
  </si>
  <si>
    <t>Prod 2.0-OOB-2 Interface-GSA Voice A (Full)</t>
  </si>
  <si>
    <t>Prod 2.0-OOB-2 Interface-GSA Voice B (Full)</t>
  </si>
  <si>
    <t>Prod 2.0-OOB-2 Interface-GSA Voice C (Full)</t>
  </si>
  <si>
    <t>Prod 2.0-OOB-2 Interface-GSA Voice D (Full)</t>
  </si>
  <si>
    <t>Prod 2.0-OOB-2 Interface-GSA (Full)</t>
  </si>
  <si>
    <t>Prod 2.0-OOB-2 Interface-SDL Security Zone (Full)</t>
  </si>
  <si>
    <t>Prod 2.0-OOB-2 Interface-Mandiant Security (Full)</t>
  </si>
  <si>
    <t>Prod 2.0-Microsoft_Prod_Heartbeat_Black_#2</t>
  </si>
  <si>
    <t xml:space="preserve">Microsoft Replication Net #1 </t>
  </si>
  <si>
    <t>192.168.51.129</t>
  </si>
  <si>
    <t>Prod FW-GSA Voice A</t>
  </si>
  <si>
    <t>Prod FW-GSA Voice B</t>
  </si>
  <si>
    <t>Prod FW-GSA Voice C</t>
  </si>
  <si>
    <t>Prod FW-GSA Voice D</t>
  </si>
  <si>
    <t>Prod FW-Hadoop Data Network</t>
  </si>
  <si>
    <t>Prod FW-General_Services_Network</t>
  </si>
  <si>
    <t>Prod F.W.-Application Interface-Citrix OnDemand1</t>
  </si>
  <si>
    <t>Prod FW  Citrix on Demand 1 Prod FW</t>
  </si>
  <si>
    <t>Prod F.W.-Application Interface-Citrix OnDemand2</t>
  </si>
  <si>
    <t>Prod FW  Citrix on Demand  2 Prod FW</t>
  </si>
  <si>
    <t>Prod FW  Security - Prod FW</t>
  </si>
  <si>
    <t>Prod FW  FW Intranet DMZ</t>
  </si>
  <si>
    <t>Prod FW -internet DMZ VIP Network</t>
  </si>
  <si>
    <t>Prod FW.-Application Interface-SiteMinder DMZ</t>
  </si>
  <si>
    <t>Prod FW Corporate Internet DMZ</t>
  </si>
  <si>
    <t>Prod FW Financial/Confidential Level 3 Process Net #1</t>
  </si>
  <si>
    <t>Prod F.W.-Application Interface-Process - 2 (Reserved)</t>
  </si>
  <si>
    <t>Prod FW PHI Level 3 Process Net #1</t>
  </si>
  <si>
    <t>Prod F.W.-Application Interface-Process - 3 (Reserved)</t>
  </si>
  <si>
    <t>Prod FW Level 2 Process Net #1</t>
  </si>
  <si>
    <t>Prod F.W.-Application Interface-Process - 4 (Reserved)</t>
  </si>
  <si>
    <t>Prod FW Level 4 Process Net #1</t>
  </si>
  <si>
    <t>Prod FW Financial/Confidential Level 3 Data Net #1</t>
  </si>
  <si>
    <t>Prod F.W.-Application Interface-Data - 2 (Reserved)</t>
  </si>
  <si>
    <t>Prod FW PHI Level 3 Data Net #1</t>
  </si>
  <si>
    <t>Prod F.W.-Application Interface-Data - 3 (Reserved)</t>
  </si>
  <si>
    <t>Prod FW Level 2 Data Net #1</t>
  </si>
  <si>
    <t>Prod F.W.-Application Interface-Data - 4 (Reserved)</t>
  </si>
  <si>
    <t>Prod FW Level 4 Data Net #1</t>
  </si>
  <si>
    <t>Prod FW Mgmt and Monitoring</t>
  </si>
  <si>
    <t>Prod F.W.-PKI</t>
  </si>
  <si>
    <t>Prod FW PKI Server Network #1</t>
  </si>
  <si>
    <t>Prod FW SiteMinder Policy Net</t>
  </si>
  <si>
    <t>Prod FW SiteMinder Policy Net 2</t>
  </si>
  <si>
    <t>Prod FW SiteMinder Secure DB Net</t>
  </si>
  <si>
    <t>Prod FW SiteMinder Web Interface Net</t>
  </si>
  <si>
    <t>Prod F.W.-Application Interface-SiteMinder Report DB</t>
  </si>
  <si>
    <t>Prod FW SiteMinder Report/Session DB Net</t>
  </si>
  <si>
    <t>Prod F.W.-Application Interface-SKLM</t>
  </si>
  <si>
    <t>Prod FW SKLM</t>
  </si>
  <si>
    <t>Prod F.W.-Application Interface-Mandiant Security</t>
  </si>
  <si>
    <t>Prod FW Mandiant</t>
  </si>
  <si>
    <t>10.73.252.0/24</t>
  </si>
  <si>
    <t>10.73.252.1</t>
  </si>
  <si>
    <t>Prod F.W.-Application Interface-Endpoint Security</t>
  </si>
  <si>
    <t>Prod FW Endpoint Security</t>
  </si>
  <si>
    <t>Prod F.W.-Application Interface-CyberArkVault</t>
  </si>
  <si>
    <t>Prod FW CyberArkVault</t>
  </si>
  <si>
    <t>10.73.253.0/26</t>
  </si>
  <si>
    <t>10.73.253.1</t>
  </si>
  <si>
    <t>Prod F.W.-Application Interface-CyberArk</t>
  </si>
  <si>
    <t>Prod FW CyberArk</t>
  </si>
  <si>
    <t>10.73.251.0/24</t>
  </si>
  <si>
    <t>10.73.251.1</t>
  </si>
  <si>
    <t>Prod F.W.-Application Interface-SDL</t>
  </si>
  <si>
    <t>Prod FW SDL</t>
  </si>
  <si>
    <t>10.73.240.0/22</t>
  </si>
  <si>
    <t>10.73.240.1</t>
  </si>
  <si>
    <t>Prod FW Application Interface-Process</t>
  </si>
  <si>
    <t>Prod F.W.-Persistent Interface-Data - 1</t>
  </si>
  <si>
    <t>Prod FW Application Interface-Data</t>
  </si>
  <si>
    <t>Prod FW GSA - VIP Network</t>
  </si>
  <si>
    <t>Prod FW Intranet DMZ - VIP Network</t>
  </si>
  <si>
    <t>Prod FW Internet DMZ VIP Network</t>
  </si>
  <si>
    <t>Prod F.W.-VIP-Data Process - 1</t>
  </si>
  <si>
    <t>Prod FW Process-/-Data-VIP-Net-#1</t>
  </si>
  <si>
    <t>Prod F.W.-VIP-Corporate DMZ</t>
  </si>
  <si>
    <t>Prod FW-VIP-Corporate DMZ</t>
  </si>
  <si>
    <t>10.70.116.0/22</t>
  </si>
  <si>
    <t>10.70.116.1</t>
  </si>
  <si>
    <t>Prod F.W.-iLO Interface-SiteMinder Policy</t>
  </si>
  <si>
    <t>Prod F.W.-iLO Interface-SiteMinder Policy 2</t>
  </si>
  <si>
    <t>Prod F.W.-iLO Interface-SiteMinder Web</t>
  </si>
  <si>
    <t>Prod F.W.-iLO Interface-SiteMinder Report DB</t>
  </si>
  <si>
    <t>Prod F.W.-iLO Interface-SDL</t>
  </si>
  <si>
    <t>Prod FW Intranet DMZ Backup</t>
  </si>
  <si>
    <t>Prod FW Internet DMZ Backup</t>
  </si>
  <si>
    <t>Prod F.W.-SAN Mgmt</t>
  </si>
  <si>
    <t>10.70.232.0/23</t>
  </si>
  <si>
    <t>10.70.232.1</t>
  </si>
  <si>
    <t>Prod F.W.-CSM Admin</t>
  </si>
  <si>
    <t>Prod FW CSM Admin</t>
  </si>
  <si>
    <t>Prod F.W.-Blade Center Mgmt</t>
  </si>
  <si>
    <t>Prod FW Blade Center Mgmt</t>
  </si>
  <si>
    <t>Prod F.W. CSM Network (DMZ)</t>
  </si>
  <si>
    <t>DR-FW DR JUMP</t>
  </si>
  <si>
    <t>FTW DR Jump Network</t>
  </si>
  <si>
    <t>10.71.32.0/22</t>
  </si>
  <si>
    <t>10.71.32.1</t>
  </si>
  <si>
    <t>FTW DR Staging</t>
  </si>
  <si>
    <t>10.71.24.0/22</t>
  </si>
  <si>
    <t>10.71.24.1</t>
  </si>
  <si>
    <t>10.188.60.0/24</t>
  </si>
  <si>
    <t>10.188.60.1</t>
  </si>
  <si>
    <t>Infrequently Used:</t>
  </si>
  <si>
    <t>Dev iLo #2  (will need to rename once VLAN 2413 is full)</t>
  </si>
  <si>
    <t>Test 2.0-Application Interface-Anyplace Web Inter DMZ</t>
  </si>
  <si>
    <t>Test 2.0-Application Interface-PSD</t>
  </si>
  <si>
    <t>Test 2.0-Application Interface-RODC</t>
  </si>
  <si>
    <t>Test 2.0-Application Interface-VM-Service Console</t>
  </si>
  <si>
    <t>192.168.164.1</t>
  </si>
  <si>
    <t>Prod 2.0-Application Interface-VMsvCon</t>
  </si>
  <si>
    <t>Prod 2.0-Application Interface-VMotion2</t>
  </si>
  <si>
    <t>Prod 2.0-Management-Security Monitoring</t>
  </si>
  <si>
    <t>Prod 2.0-Backup-Security Monitoring</t>
  </si>
  <si>
    <t>Prod 2.0-Application Interface-Security Monitoring</t>
  </si>
  <si>
    <t>Prod 2.0-CSM Interface-Security Monitoring</t>
  </si>
  <si>
    <t>Prod F.W.-Application Interface-Voice VMNET 1</t>
  </si>
  <si>
    <t>Prod F.W.-Application Interface-Voice VMNET 2</t>
  </si>
  <si>
    <t>Prod F.W.-Application Interface-Voice VMNET 3</t>
  </si>
  <si>
    <t>Prod F.W.-Application Interface-Voice VMNET 4</t>
  </si>
  <si>
    <t>Prod FW_PSD_10.70.153.0/27</t>
  </si>
  <si>
    <t>Prod FW_RODC_Net_10.70.38.0/28</t>
  </si>
  <si>
    <t>Prod F.W.-Proxy Side A</t>
  </si>
  <si>
    <t>Prod FW - Proxy Side A</t>
  </si>
  <si>
    <t>10.69.242.0/24</t>
  </si>
  <si>
    <t>10.69.242.1</t>
  </si>
  <si>
    <t>Prod F.W.-Proxy Side B</t>
  </si>
  <si>
    <t>Prod FW - Proxy Side B</t>
  </si>
  <si>
    <t>10.69.243.0/24</t>
  </si>
  <si>
    <t>10.69.243.1</t>
  </si>
  <si>
    <t>Prod FW Vmotion</t>
  </si>
  <si>
    <t>Prod FW CSM Control</t>
  </si>
  <si>
    <t>Prod FW Anyplace Web DMZ Fort Worth</t>
  </si>
  <si>
    <t>sso</t>
  </si>
  <si>
    <t>ForgeRock - SSO</t>
  </si>
  <si>
    <t>(SMB) Windows: Windows Service Account</t>
  </si>
  <si>
    <r>
      <t xml:space="preserve">NAS  </t>
    </r>
    <r>
      <rPr>
        <i/>
        <sz val="9"/>
        <rFont val="Arial"/>
        <family val="2"/>
      </rPr>
      <t xml:space="preserve"> (Access requirements)</t>
    </r>
    <r>
      <rPr>
        <sz val="9"/>
        <color rgb="FFFF0000"/>
        <rFont val="Arial"/>
        <family val="2"/>
      </rPr>
      <t xml:space="preserve">    </t>
    </r>
  </si>
  <si>
    <r>
      <t xml:space="preserve">(SMB) Windows: AD Group  </t>
    </r>
    <r>
      <rPr>
        <sz val="10"/>
        <color rgb="FFFF0000"/>
        <rFont val="Arial"/>
        <family val="2"/>
      </rPr>
      <t>&lt;REQUIRED&gt;</t>
    </r>
  </si>
  <si>
    <r>
      <t xml:space="preserve">(SMB) Windows: Windows Service Account  </t>
    </r>
    <r>
      <rPr>
        <sz val="10"/>
        <color rgb="FFFF0000"/>
        <rFont val="Arial"/>
        <family val="2"/>
      </rPr>
      <t>&lt;REQUIRED&gt;</t>
    </r>
  </si>
  <si>
    <t>(NFS) Unix: UID   (if existing)</t>
  </si>
  <si>
    <t>(NFS) Unix: GID   (if existing)</t>
  </si>
  <si>
    <t>Service Account</t>
  </si>
  <si>
    <t>Has the Service Account been requested for Middleware by the Middleware Team?</t>
  </si>
  <si>
    <t>Prod F.W.-VIP-Security</t>
  </si>
  <si>
    <t>Prod FW Data/Process Security</t>
  </si>
  <si>
    <t>10.70.44.0/22</t>
  </si>
  <si>
    <t>10.70.44.1</t>
  </si>
  <si>
    <t>Prod F.W.-VIP-GSA</t>
  </si>
  <si>
    <t>Test Security</t>
  </si>
  <si>
    <t>Prod Security</t>
  </si>
  <si>
    <t>FTW Security</t>
  </si>
  <si>
    <t>Test 2.0-OOB-2 Interface-Security (Full)</t>
  </si>
  <si>
    <t>Test 2.0-OOB-2 Interface-CyberArk (Full)</t>
  </si>
  <si>
    <t>DR-iLO Interface-FW Staging</t>
  </si>
  <si>
    <t>DR-OOB Interface-FW Staging</t>
  </si>
  <si>
    <t>Prod F.W. CSM Network FW Staging</t>
  </si>
  <si>
    <t>192.168.42.0/22</t>
  </si>
  <si>
    <t>192.168.42.1</t>
  </si>
  <si>
    <t>DR-Application Interface-FW Staging</t>
  </si>
  <si>
    <t>Test 2.0-iLO Interface-GSA</t>
  </si>
  <si>
    <t>Test 2.0-iLO-2 Interface-GSA</t>
  </si>
  <si>
    <t>Test 2.0-iLO-3 Interface-GSA</t>
  </si>
  <si>
    <t>Test 2.0-OOB-2 Interface-GSA (Full)</t>
  </si>
  <si>
    <t>Prod 2.0-iLO Interface-GSA</t>
  </si>
  <si>
    <t>Prod 2.0-iLO-2 Interface-GSA</t>
  </si>
  <si>
    <t>Prod 2.0-iLO-3 Interface-GSA</t>
  </si>
  <si>
    <t>Test 2.0-iLO Interface-Process - 1</t>
  </si>
  <si>
    <t>Test 2.0-iLO Interface-Process - 2</t>
  </si>
  <si>
    <t>Test 2.0-iLO Interface-Process - 3</t>
  </si>
  <si>
    <t>Test 2.0-iLO Interface-Security</t>
  </si>
  <si>
    <t>Test 2.0-iLO Interface-Citrix OnDemand</t>
  </si>
  <si>
    <t>HCSC_LoadBalancing</t>
  </si>
  <si>
    <r>
      <t xml:space="preserve">NFS Mount Point on Unix / Linux
</t>
    </r>
    <r>
      <rPr>
        <sz val="8"/>
        <rFont val="Arial"/>
        <family val="2"/>
      </rPr>
      <t>(Provided by App Team)</t>
    </r>
    <r>
      <rPr>
        <b/>
        <sz val="10"/>
        <rFont val="Arial"/>
        <family val="2"/>
      </rPr>
      <t xml:space="preserve">
</t>
    </r>
    <r>
      <rPr>
        <sz val="10"/>
        <rFont val="Arial"/>
        <family val="2"/>
      </rPr>
      <t>start with "/"</t>
    </r>
  </si>
  <si>
    <t>Infogix Data3Sixty</t>
  </si>
  <si>
    <t>dts</t>
  </si>
  <si>
    <t>SSL Redirect for VIP Port</t>
  </si>
  <si>
    <t>Load Balanced Pool : Port</t>
  </si>
  <si>
    <t>Last Resort Pool : Port</t>
  </si>
  <si>
    <t>PASSTHROUGH</t>
  </si>
  <si>
    <t>VIP Instance</t>
  </si>
  <si>
    <t>Asset VIP No</t>
  </si>
  <si>
    <t>Test 2.0-VIP-Security</t>
  </si>
  <si>
    <t>Prod 2.0-VIP-Security</t>
  </si>
  <si>
    <t>Prod F.W. 2.0-VIP-Security</t>
  </si>
  <si>
    <t>RHEL 7.7</t>
  </si>
  <si>
    <t>Test 2.0-OOB Interface-SiteMinder Policy (Full)</t>
  </si>
  <si>
    <t>Test 2.0-OOB Interface-SiteMinder Secure DB (Full)</t>
  </si>
  <si>
    <t>Test 2.0-OOB Interface-Siteminder Web (Full)</t>
  </si>
  <si>
    <t>Test 2.0-OOB Interface-Siteminder Report DB (Full)</t>
  </si>
  <si>
    <t>Test 2.0-OOB Interface-Security (Full)</t>
  </si>
  <si>
    <t>Test 2.0-OOB Interface-CyberArk (Full)</t>
  </si>
  <si>
    <t>Test 2.0-OOB Interface-GSA (Full)</t>
  </si>
  <si>
    <t>Test 2.0-OOB-3 Interface-Security</t>
  </si>
  <si>
    <t>Test 2.0-OOB-3 Interface-CyberArk</t>
  </si>
  <si>
    <t>Test 2.0-OOB-3 Interface-GSA</t>
  </si>
  <si>
    <t>Prod 2.0-OOB  Interface-SiteMinder Policy</t>
  </si>
  <si>
    <t>Prod 2.0-OOB Interface-SiteMinder Secure DB</t>
  </si>
  <si>
    <t>Prod 2.0-OOB Interface-SiteMinder Web</t>
  </si>
  <si>
    <t>Prod 2.0-OOB Interface-SiteMinder Report DB</t>
  </si>
  <si>
    <t>Prod 2.0-OOB Interface-Security</t>
  </si>
  <si>
    <t>Prod 2.0-OOB Interface-CyberArk</t>
  </si>
  <si>
    <t>Prod 2.0-OOB-2 Interface-SiteMinder Secure DB (Full)</t>
  </si>
  <si>
    <t>Prod 2.0-OOB-2 Interface-SiteMinder Web (Full)</t>
  </si>
  <si>
    <t>Prod 2.0-OOB-2 Interface-SiteMinder Report DB (Full)</t>
  </si>
  <si>
    <t>Prod 2.0-OOB-2 Interface-Security (Full)</t>
  </si>
  <si>
    <t>Prod 2.0-OOB-2 Interface-CyberArk (Full)</t>
  </si>
  <si>
    <t>Prod F.W.-OOB Interface-SiteMinder Secure DB</t>
  </si>
  <si>
    <t>Prod F.W.-OOB Interface-SiteMinder Report DB</t>
  </si>
  <si>
    <t>Prod F.W.-OOB Interface-Security</t>
  </si>
  <si>
    <t>Prod F.W.-OOB Interface-CyberArk</t>
  </si>
  <si>
    <t>Prod 2.0-iLO-2 Interface-SiteMinder Policy</t>
  </si>
  <si>
    <t>Prod 2.0-iLO-2 Interface-SiteMinder Secure Db</t>
  </si>
  <si>
    <t>Prod 2.0-iLO-2 Interface-Siteminder Web</t>
  </si>
  <si>
    <t>Prod 2.0-iLO-2 Interface-Siteminder Report Db</t>
  </si>
  <si>
    <t>Prod 2.0-iLO Interface-SiteMinder Policy</t>
  </si>
  <si>
    <t>Prod 2.0-iLO Interface-SiteMinder Secure Db</t>
  </si>
  <si>
    <t>Prod 2.0-iLO Interface-Siteminder Web</t>
  </si>
  <si>
    <t>Prod 2.0-iLO Interface-Siteminder Report Db</t>
  </si>
  <si>
    <t>Prod 2.0-iLO-3 Interface-SiteMinder Policy</t>
  </si>
  <si>
    <t>Prod 2.0-iLO-3 Interface-SiteMinder Secure Db</t>
  </si>
  <si>
    <t>Prod 2.0-iLO-3 Interface-Siteminder Web</t>
  </si>
  <si>
    <t>Prod 2.0-iLO-3 Interface-Siteminder Report Db</t>
  </si>
  <si>
    <r>
      <t xml:space="preserve">-OpenSystems Tab:  </t>
    </r>
    <r>
      <rPr>
        <sz val="10"/>
        <color rgb="FFFF0000"/>
        <rFont val="Arial"/>
        <family val="2"/>
      </rPr>
      <t>Correct DR formula (N2); Removed formula from Column G due to referring to ITAM Asset Form no longer in LBOM</t>
    </r>
    <r>
      <rPr>
        <sz val="10"/>
        <rFont val="Arial"/>
        <family val="2"/>
      </rPr>
      <t xml:space="preserve">
-Backup Tab: </t>
    </r>
    <r>
      <rPr>
        <sz val="10"/>
        <color rgb="FFFF0000"/>
        <rFont val="Arial"/>
        <family val="2"/>
      </rPr>
      <t xml:space="preserve">Correct formula in Column K
</t>
    </r>
    <r>
      <rPr>
        <sz val="10"/>
        <rFont val="Arial"/>
        <family val="2"/>
      </rPr>
      <t>-Distributed Assets Tab:  Added SQL Template for SQL 2016 SP2 (added to BOM Functions and formula for autopopulation); updated Vcenters in col AL; 
    Updated Column T Formula to add AIX Virtual # of IPs
-BOM Functions: Updated column CZ to match amount in CY for AIX; Updated Column CW to match CO in LB section
-Windows Tab:  Updated OU and VCenter folder to pull app_id and app_shortname
-TOC: Removed Luke's name from VM
-LB Tab:  Updated formula in L3
-Provisioning Notes: Update note about PKI Sec Ops/BlueCoat
-Added new VLANS/Subnets to the BOM Functions
-Project Details: remove yellow from ITAM # when populated
-Add SSO for ForgeRock to Hostnames tab
-IP Tab: Conditional formatting for a duplicate IP
-NAS Tab: Add conditional formatting for the NPID / AD Group</t>
    </r>
  </si>
  <si>
    <t>WAS Web 9.05 - DM Only</t>
  </si>
  <si>
    <t>WAS Web 9.05 - APP Only</t>
  </si>
  <si>
    <t>WAS IHS Server  9.05</t>
  </si>
  <si>
    <t>WAS Web 9.0 - DM &amp; APP</t>
  </si>
  <si>
    <t>RHEL+WAS</t>
  </si>
  <si>
    <t>OS: 100gb
/var/core :       20 GB
/tmp :                 5 GB</t>
  </si>
  <si>
    <t xml:space="preserve">/usr/WebSphere900 : 10 GB
/usr/WASLogs900 :      10 GB
/opt/siteminder:             2 GB
/opt/hcsc_unique :            500 MB
/opt/wily:                           300 MB
/opt/jdbc_type4:                512 MB
/usr/HTTPServer900 :  2 GB
/usr/IHSLogs900 :        2 GB
/tmp/was_app_install : 12 GB </t>
  </si>
  <si>
    <t>/usr/WebSphere850 : 10 GB
/usr/WASApps850 : 10GB
/tmp/was_app_install : 8 GB
/opt/jdbc_type4: 512 MB</t>
  </si>
  <si>
    <t>WAS File Sizes</t>
  </si>
  <si>
    <t>Port Checking Page Location</t>
  </si>
  <si>
    <t>Service Account and AD Group IIQ Requests are not a part of the Infrastructure Delivery Process.  The application team is required to have these IDs prior to sending to Integration if stated as required.</t>
  </si>
  <si>
    <t>Service Account IIQ Requests are not a part of the Infrastructure Delivery Process.  The application team is required to submit these IDs prior to start of the CO or the work cannot be completed.</t>
  </si>
  <si>
    <t>/usr/WebSphere905 :                 10 GB
/usr/WASLogs905 :                     5 GB
/usr/WASApps905 :                     5 GB
/tmp/was_app_install :                 12 GB</t>
  </si>
  <si>
    <t>Prod Process/Data Build Network #3</t>
  </si>
  <si>
    <t>Prod Process/Data Build Network #3 (Hadoop)</t>
  </si>
  <si>
    <t>192.168.44.0/22</t>
  </si>
  <si>
    <t>192.168.44.1</t>
  </si>
  <si>
    <t>Prod 2.0-OOB-3 Interface-SDL</t>
  </si>
  <si>
    <t>SDL</t>
  </si>
  <si>
    <t>RHEL+DB2</t>
  </si>
  <si>
    <t>ssh</t>
  </si>
  <si>
    <t>monitor_portchecking</t>
  </si>
  <si>
    <t>/usr/WebSphere905 :                 30 GB
/usr/WASLogs905 :                       10 GB
/opt/siteminder:                              2 GB
/usr/HTTPServer905 :                    2 GB
/usr/IHSLogs905 :                            2 GB
/tmp/was_app_install :             12 GB
/opt/hcsc_unique :                   500 MB
/opt/jdbc_type4:                       512 MB</t>
  </si>
  <si>
    <t>/usr/WebSphere905 :                 30 GB
/usr/WASLogs905 :                       10 GB
/usr/WASApps905 :                        5 GB
/opt/siteminder:                              2 G
/usr/HTTPServer905 :                    2 GB
/usr/IHSLogs905 :                            2 GB
/tmp/was_app_install :             12 GB
/opt/hcsc_unique :                   500 MB
/opt/jdbc_type4:                       512 MB</t>
  </si>
  <si>
    <t xml:space="preserve">/usr/HTTPServer900  :    2 GB
/usr/WebSphere900  :    5 GB
/usr/IHSLogs900  :        15 GB
/usr/IHSContent   :         10 GB
/opt/siteminder:                2 GB
/tmp/was_app_install :  12 GB                                      </t>
  </si>
  <si>
    <t xml:space="preserve">/usr/HTTPServer905 :                    2 GB
/usr/WebSphere905 :                 10 GB
/usr/IHSLogs905 :                        15 GB
/usr/IHSContent   :                      10 GB
/opt/siteminder:                            2 GB
/tmp/was_app_install :             12 GB   </t>
  </si>
  <si>
    <t>/usr/WebSphere900 :   10 GB
/tmp/was_app_install : 12 GB
/usr/WASLogs900 :      10 GB
/usr/WASApps900 :     10 GB
/opt/siteminder:               2 GB
/opt/hcsc_unique :             500 MB
/opt/jdbc_type4:                 512 MB
/usr/HTTPServer900 :    2 GB
/usr/IHSLogs900 :          2 GB</t>
  </si>
  <si>
    <t>/usr/WebSphere900 : 40 GB 
/usr/WASLogs900 :     10 GB
/usr/WASApps900 :    5 GB
/usr/HTTPServer900 :  2 GB
/usr/IHSLogs900 :        2 GB
/tmp/was_app_install : 12 GB
/opt/hcsc_unique :           500 MB
/opt/jdbc_type4:               512 MB</t>
  </si>
  <si>
    <t>/usr/HTTPServer850  : 2GB
/usr/WebSphere850  : 5GB
/usr/IHSLogs850  : 15GB
/usr/IHSContent   : 10GB
/opt/siteminder:          2 GB
/opt/jdbc_type4: 512 MB
/tmp/was_app_install : 8 GB</t>
  </si>
  <si>
    <t>/usr/WebSphere850 : 10 GB
/tmp/was_app_install : 8 GB
/usr/WASLogs850 :   5 GB
/usr/WASApps850 :   5 GB
/opt/siteminder:          2 GB
/opt/hcsc_unique : 500 MB
/opt/jdbc_type4: 512 MB
/usr/HTTPServer850 : 2 GB
/usr/IHSLogs850 : 2 GB</t>
  </si>
  <si>
    <t xml:space="preserve">/usr/WebSphere850 : 10 GB
/usr/WASLogs850 :   5 GB
/opt/siteminder:          2 GB
/opt/hcsc_unique : 500 MB
/opt/jdbc_type4: 512 MB
/usr/HTTPServer850 : 2 GB
/usr/IHSLogs850 : 2 GB
/tmp/was_app_install : 8 GB </t>
  </si>
  <si>
    <t>/usr/WebSphere850 : 40 GB 
/usr/WASLogs850 : 2 GB
/usr/WASApps850 : 5 GB
/usr/HTTPServer850 : 2 GB
/usr/IHSLogs850 : 2 GB
/tmp/was_app_install : 8 GB
/var/core : 5 GB 
/tmp : 2 GB (Use existing file system)
/opt/hcsc_unique : 500 MB
/opt/jdbc_type4: 512 MB</t>
  </si>
  <si>
    <t>/usr/WebSphere900 : 10 GB
/usr/WASApps900 :   10 GB
/tmp/was_app_install : 12 GB
/opt/jdbc_type4:              512 MB</t>
  </si>
  <si>
    <t>Test_WAU_SQL_04</t>
  </si>
  <si>
    <t>litespeed</t>
  </si>
  <si>
    <t>xPressions/UIxPressions</t>
  </si>
  <si>
    <t>xp</t>
  </si>
  <si>
    <t>W:\SQLSYSDB\MSSQL14.MSSQLSERVER\MSSQL\DATA
X:\SQLDATA\MSSQL14.MSSQLSERVER\MSSQL\Data
Y:\SQLLOGSA\MSSQL14.MSSQLSERVER\MSSQL\Data
Z:\SQLTEMP\MSSQL14.MSSQLSERVER\MSSQL\DATA</t>
  </si>
  <si>
    <t>MSSQL 2017</t>
  </si>
  <si>
    <t>Wendy Zhao</t>
  </si>
  <si>
    <t>Michael Wealther</t>
  </si>
  <si>
    <t>Server appliance</t>
  </si>
  <si>
    <t>bcpxy</t>
  </si>
  <si>
    <t>ora</t>
  </si>
  <si>
    <t>was</t>
  </si>
  <si>
    <t>Websphere IHS Server</t>
  </si>
  <si>
    <t>Apache</t>
  </si>
  <si>
    <t>apache</t>
  </si>
  <si>
    <t>Datapower</t>
  </si>
  <si>
    <t>MuleSoft</t>
  </si>
  <si>
    <t>mule</t>
  </si>
  <si>
    <t>Postgress</t>
  </si>
  <si>
    <t>mongo</t>
  </si>
  <si>
    <t>Mongo</t>
  </si>
  <si>
    <t>Unsupported Database</t>
  </si>
  <si>
    <t>udb</t>
  </si>
  <si>
    <t>Third Party application</t>
  </si>
  <si>
    <t>tpap</t>
  </si>
  <si>
    <t>dmgr</t>
  </si>
  <si>
    <t>mfnc</t>
  </si>
  <si>
    <t>Multi-function app server (app/db)</t>
  </si>
  <si>
    <t>Websphere D-Manager</t>
  </si>
  <si>
    <t>kafka</t>
  </si>
  <si>
    <t>Kafka</t>
  </si>
  <si>
    <t>DataNodes</t>
  </si>
  <si>
    <t>Master Node</t>
  </si>
  <si>
    <t>Follower</t>
  </si>
  <si>
    <t>flw</t>
  </si>
  <si>
    <t>Witness Server</t>
  </si>
  <si>
    <t>tom</t>
  </si>
  <si>
    <t>wmq</t>
  </si>
  <si>
    <t>Standard Server - Linux / Windows</t>
  </si>
  <si>
    <t>ihs</t>
  </si>
  <si>
    <t>Virtual appliance</t>
  </si>
  <si>
    <t>sqcl</t>
  </si>
  <si>
    <t>SQL Server Cluster</t>
  </si>
  <si>
    <t>apcl</t>
  </si>
  <si>
    <t>Application Server Cluster</t>
  </si>
  <si>
    <t>pwauswshsql00101</t>
  </si>
  <si>
    <t>R20.0</t>
  </si>
  <si>
    <t>-Project Details:  External Connectivity conditional formatting based on NO
-DNS Tab: Conditional formatting on domain to ensure '.' is in the front of the domain
-BOM Functions: New oob vlan added for PROD provisioning; updated filesystems for RHEL+DB2; added new SQL clusters for EDH provisioning in Test; Removed SQL 2008 Excludes; Added SQL 2017 Excludes
-DB2 File Structures:  Corrected module where db2audit is now db2_audit
-Open Systems tab: Updated OS formula to include RHEL+DB2; Updated Column K to not sum for AIX and applied Conditional formatting and text for AIX
-LoadBalancer Tab:  Added ssh and monitor_portchecking to health monitors; Updated Portchecking page location formula
-Backup Tab:  Added SQL 2017 Excludes to formula; Updated Backup client version to be 8.1.8 for SQL 2017 servers
-Firewall Tab:  Updated comments in Firewall Tab CA Incident Number Column Header to include Third Party Request # for DevOps tools located in AWS</t>
  </si>
  <si>
    <t>Remote Site - Helena HQ CTRM Data VLAN - Servers</t>
  </si>
  <si>
    <t>BlueCoat Prod Servers</t>
  </si>
  <si>
    <t>10.139.240.156
10.69.240.81</t>
  </si>
  <si>
    <t>Is DESTINATION being provisioned (Yes/No) 
or BlueCoat</t>
  </si>
  <si>
    <t>Is Asset Source being provisioned (Yes/No)
or
FWID</t>
  </si>
  <si>
    <t>bcilproxy.hcscint.net
bctxproxy.hcscint.net</t>
  </si>
  <si>
    <t>p</t>
  </si>
  <si>
    <t>ao</t>
  </si>
  <si>
    <t>cl</t>
  </si>
  <si>
    <t>dtc</t>
  </si>
  <si>
    <t>a</t>
  </si>
  <si>
    <t>b</t>
  </si>
  <si>
    <t>always on</t>
  </si>
  <si>
    <t>cluster</t>
  </si>
  <si>
    <t>sql instance within a cluster</t>
  </si>
  <si>
    <t>persistent interface</t>
  </si>
  <si>
    <t>Prod 2.0-OOB-3 Interface-Data - 1</t>
  </si>
  <si>
    <t>Prod 2.0-OOB-3 Interface-Data - 2</t>
  </si>
  <si>
    <t>Prod 2.0-OOB-3 Interface-Data - 3</t>
  </si>
  <si>
    <t>Prod 2.0-OOB-3 Interface-Process - 1</t>
  </si>
  <si>
    <t>Prod 2.0-OOB-3 Interface-Process - 2</t>
  </si>
  <si>
    <t>Prod 2.0-OOB-3 Interface-Process - 3</t>
  </si>
  <si>
    <t>Prod 2.0-OOB-3 Interface-Mgmt and Monitoring</t>
  </si>
  <si>
    <t>Prod 2.0-OOB-3 Interface-Hadoop Data</t>
  </si>
  <si>
    <t>Prod 2.0-OOB-3 Interface-SiteMinder Policy</t>
  </si>
  <si>
    <t>Prod 2.0-OOB-3 Interface-SiteMinder Policy 2</t>
  </si>
  <si>
    <t>Prod 2.0-OOB-3 Interface-SiteMinder Secure DB</t>
  </si>
  <si>
    <t>Prod 2.0-OOB-3 Interface-SiteMinder Web</t>
  </si>
  <si>
    <t>Prod 2.0-OOB-3 Interface-SiteMinder Report DB</t>
  </si>
  <si>
    <t>Prod 2.0-OOB-3 Interface-Security</t>
  </si>
  <si>
    <t>Prod 2.0-OOB-3 Interface-CyberArk</t>
  </si>
  <si>
    <t>Prod 2.0-OOB-3 Interface-GSA Voice A</t>
  </si>
  <si>
    <t>Prod 2.0-OOB-3 Interface-GSA Voice B</t>
  </si>
  <si>
    <t>Prod 2.0-OOB-3 Interface-GSA Voice C</t>
  </si>
  <si>
    <t>Prod 2.0-OOB-3 Interface-GSA Voice D</t>
  </si>
  <si>
    <t>Prod 2.0-OOB-3 Interface-GSA</t>
  </si>
  <si>
    <t>Prod 2.0-OOB-3 Interface-Mandiant Security</t>
  </si>
  <si>
    <t>-Backup Tab:  Fixed formula for backup version for Windows 2012; fixed formula for Windows Domain Server column L
-Firewall Tab:  Fixed columns F, G, K &amp; L; updated formula for BlueCoat servers for prod
-BOM Functions: Fixed Helena remote site 500 so description would be for Helena, not Tulsa; updated the PROD OOB-3: removed spaces from end of lines
-IHS Tab: added version 9.0.5; updated link to port table
-Provisioning Notes: Removed Monitoring section and information about Comm Advisories per Joel Stiller</t>
  </si>
  <si>
    <t>cg
rb</t>
  </si>
  <si>
    <t>Alt Prod-Application Interface-Process - 1</t>
  </si>
  <si>
    <t>10.137.52.0/22</t>
  </si>
  <si>
    <t>10.137.52.1</t>
  </si>
  <si>
    <t>Alt Prod-Application Interface-Data - 1</t>
  </si>
  <si>
    <t>10.137.56.0/22</t>
  </si>
  <si>
    <t>10.137.56.1</t>
  </si>
  <si>
    <t>10.137.60.0/22</t>
  </si>
  <si>
    <t>10.137.60.1</t>
  </si>
  <si>
    <t>Alt Prod-Application Interface-Intranet DMZ</t>
  </si>
  <si>
    <t>10.137.64.0/22</t>
  </si>
  <si>
    <t>10.137.64.1</t>
  </si>
  <si>
    <t>Alt Prod-OOB Interface-Process - 1</t>
  </si>
  <si>
    <t>Alt Prod CSM Network (NON DMZ)</t>
  </si>
  <si>
    <t>Alt Prod-OOB Interface-Data - 1</t>
  </si>
  <si>
    <t>Alt Prod-OOB Interface-Intranet DMZ</t>
  </si>
  <si>
    <t>Alt Prod CSM Network (DMZ)</t>
  </si>
  <si>
    <t>ALT PROD</t>
  </si>
  <si>
    <t>Alt Prod Intranet DMZ</t>
  </si>
  <si>
    <t>app.alt.hcscint.net</t>
  </si>
  <si>
    <t>Alt Prod Process</t>
  </si>
  <si>
    <t>Alt Prod</t>
  </si>
  <si>
    <t>altprod</t>
  </si>
  <si>
    <t>ALT Prod</t>
  </si>
  <si>
    <t>wt</t>
  </si>
  <si>
    <t>Sequence number 00 - 99
(000-999 if needed)</t>
  </si>
  <si>
    <t>Cluster (00)
(000 if needed)</t>
  </si>
  <si>
    <t>POC</t>
  </si>
  <si>
    <t>poc</t>
  </si>
  <si>
    <t>Derrick Allen / Mike Wealther</t>
  </si>
  <si>
    <t>.alt.hcscint.net</t>
  </si>
  <si>
    <t>.alt.fyiblue.com</t>
  </si>
  <si>
    <t>Scheduler</t>
  </si>
  <si>
    <t>BOM Functions:  Added subnets for ALT-PROD
Windows Tab: Added new DNS servers for ALT-PROD
Zena: Rename tab to Scheduling
TOC: Updated Zena to Scheduling
DNS Tab: Updated selection box to include .alt.hcscint.net and .alt.fyiblue.com
Project Details: Added selection box for environments for AltProd and date; updated module for ISE pull; updated new LBOM number length
NAS &amp; NAS Details: updated to add Alt Prod
Backup Tab: Updated to add Alt Prod as a domain
Updated all tabs where necessary to allow for 8 digit LBOM number instead of 7 digit number
Updated IP Provisioning/DNS Provisioning script to allow for 8 digit LBOM number</t>
  </si>
  <si>
    <t>.mgmt.alt.hcscint.net</t>
  </si>
  <si>
    <t>APP ID</t>
  </si>
  <si>
    <t>Prod BlueCoat</t>
  </si>
  <si>
    <t>Test BlueCoat</t>
  </si>
  <si>
    <t>10.133.240.63</t>
  </si>
  <si>
    <t>Alt Prod Saferoom</t>
  </si>
  <si>
    <t>Prod 2.0-iLO-4 Interface-Internet DMZ</t>
  </si>
  <si>
    <t>Prod 2.0-iLO-4 Interface-Intranet DMZ</t>
  </si>
  <si>
    <t>Prod 2.0-iLO-4 Interface-Data - 1</t>
  </si>
  <si>
    <t>Prod 2.0-iLO-4 Interface-Data - 2</t>
  </si>
  <si>
    <t>Prod 2.0-iLO-4 Interface-Data - 3</t>
  </si>
  <si>
    <t>Prod 2.0-iLO-4 Interface-Process - 1</t>
  </si>
  <si>
    <t>Prod 2.0-iLO-4 Interface-Process - 2</t>
  </si>
  <si>
    <t>Prod 2.0-iLO-4 Interface-Process - 3</t>
  </si>
  <si>
    <t>Prod 2.0-iLO-4 Interface-Security</t>
  </si>
  <si>
    <t>Prod 2.0-iLO-4 Interface-Citrix OnDemand</t>
  </si>
  <si>
    <t xml:space="preserve">Prod 2.0-iLO-4 Interface-Hadoop Data </t>
  </si>
  <si>
    <t>Prod 2.0-iLO-4 Interface-SiteMinder Policy</t>
  </si>
  <si>
    <t>Prod 2.0-iLO-4 Interface-SiteMinder Secure Db</t>
  </si>
  <si>
    <t>Prod 2.0-iLO-4 Interface-Siteminder Web</t>
  </si>
  <si>
    <t>Prod 2.0-iLO-4 Interface-Siteminder Report Db</t>
  </si>
  <si>
    <t>Prod 2.0-iLO-4 Interface-SDL</t>
  </si>
  <si>
    <t>Prod 2.0-iLO-4 Interface-Mgmt and Monitoring</t>
  </si>
  <si>
    <t>Prod 2.0-iLO-4 Interface-GSA</t>
  </si>
  <si>
    <t>10.215.24.0/22</t>
  </si>
  <si>
    <t>10.215.24.1</t>
  </si>
  <si>
    <t>iLO-2 Interface</t>
  </si>
  <si>
    <t>iLO-3 Interface</t>
  </si>
  <si>
    <t>iLO-4 Interface</t>
  </si>
  <si>
    <r>
      <t xml:space="preserve">IBM Guardium             </t>
    </r>
    <r>
      <rPr>
        <sz val="8"/>
        <color rgb="FFFF0000"/>
        <rFont val="Arial"/>
        <family val="2"/>
      </rPr>
      <t>sign off only - no associated tab</t>
    </r>
  </si>
  <si>
    <t>HCSC_TVM_Guardium</t>
  </si>
  <si>
    <t xml:space="preserve">DCSR #: </t>
  </si>
  <si>
    <t>CREWS #:</t>
  </si>
  <si>
    <t xml:space="preserve">CHG #: </t>
  </si>
  <si>
    <t>Date Submitted</t>
  </si>
  <si>
    <t>Date Requested</t>
  </si>
  <si>
    <t>DC WORK NON PROD:</t>
  </si>
  <si>
    <t>DC WORK PROD:</t>
  </si>
  <si>
    <t>Test 2.0-iLO-4 Interface-Internet DMZ (Reserved)</t>
  </si>
  <si>
    <t>Test 2.0-iLO-4 Interface-Intranet DMZ (Reserved)</t>
  </si>
  <si>
    <t>Test 2.0-iLO-4 Interface-Data - 1 (Reserved)</t>
  </si>
  <si>
    <t>Test 2.0-iLO-4 Interface-Data - 2 (Reserved)</t>
  </si>
  <si>
    <t>Test 2.0-iLO-4 Interface-Data - 3 (Reserved)</t>
  </si>
  <si>
    <t>Test 2.0-iLO-4 Interface-Process - 1 (Reserved)</t>
  </si>
  <si>
    <t>Test 2.0-iLO-4 Interface-Process - 2 (Reserved)</t>
  </si>
  <si>
    <t>Test 2.0-iLO-4 Interface-Process - 3 (Reserved)</t>
  </si>
  <si>
    <t>Test 2.0-iLO-4 Interface-Security (Reserved)</t>
  </si>
  <si>
    <t>Test 2.0-iLO-4 Interface-Citrix OnDemand (Reserved)</t>
  </si>
  <si>
    <t>Test 2.0-iLO-4 Interface-Hadoop Data (Reserved)</t>
  </si>
  <si>
    <t>Test 2.0-iLO-4 Interface-SiteMinder Policy (Reserved)</t>
  </si>
  <si>
    <t>Test 2.0-iLO-4 Interface-SiteMinder Secure Db (Reserved)</t>
  </si>
  <si>
    <t>Test 2.0-iLO-4 Interface-Siteminder Web (Reserved)</t>
  </si>
  <si>
    <t>Test 2.0-iLO-4 Interface-Siteminder Report Db (Reserved)</t>
  </si>
  <si>
    <t xml:space="preserve">Test 2.0-iLO-4 Interface-SDL </t>
  </si>
  <si>
    <t>Test 2.0-iLO-4 Interface-Mgmt and Monitoring</t>
  </si>
  <si>
    <t>Test 2.0-iLO-4 Interface-GSA</t>
  </si>
  <si>
    <t>10.215.152.0/22</t>
  </si>
  <si>
    <t>10.215.152.1</t>
  </si>
  <si>
    <t>prl</t>
  </si>
  <si>
    <t>NO NEW LINES AFTER THIS POINT</t>
  </si>
  <si>
    <t>-Added ALT PROD Saferoom to Column AT/AU in BOM functions
-Added new TEST and PROD iLO subnet to LBOM (1259 - 10.215.152.0/22, 1209 - 10.215.224.0/22)
-Added iLO-4 (and #'s for other iLO interfaces)
-Guardium updates as requested by Guardium team (Tiashia Underwood)
-Updated storage tab - fix conditional formatting for VM ESX Clusters
-Update formulas on Apache IHS tab
-Load Balancer tab: Comment with regards to GTM for SAN Certificate
-Add fields to LBOM to document DC work (i.e, DCSR # Crews #, CO #)
-Updated Module 23 per Brian's request to fix for Windows 10 users for ISE Data Pull
-Added code and button on Dist Assets tab for cataloging the assets for Finance (BR)</t>
  </si>
  <si>
    <t xml:space="preserve">OS: 50gb    
/opt/zena: .5gb
-------------------------
/var/tmp/stage: 10gb 
paging00: admin defined
(same size as hd6)
</t>
  </si>
  <si>
    <t>RHEL 7.8</t>
  </si>
  <si>
    <t>Always On SQL</t>
  </si>
  <si>
    <t>Where does SSL terminate?</t>
  </si>
  <si>
    <t>Size Per LUN (TB)</t>
  </si>
  <si>
    <t>Global Mirror</t>
  </si>
  <si>
    <r>
      <t xml:space="preserve">-Dist Assets: Cluster HA? (Q) - added Always On SQL; OS Version (W) Added RHEL 7.8 as drop down option; removed RHEL 6.7, 7.2, 7.3, 7.4 and 7.5
</t>
    </r>
    <r>
      <rPr>
        <sz val="10"/>
        <color rgb="FFFF0000"/>
        <rFont val="Arial"/>
        <family val="2"/>
      </rPr>
      <t>-BOM Functions: updated Test 2.0-VIP-Security (missing '-' between 2.0 and VIP)</t>
    </r>
    <r>
      <rPr>
        <sz val="10"/>
        <rFont val="Arial"/>
        <family val="2"/>
      </rPr>
      <t xml:space="preserve">
-Firewall Tab: updated group from user_grp_network to grp_hcsc_nets
-Open Systems Tab: Remove /opt/imperva from filesystems to add
-Middleware - Web Tab: Changed SSL question to ask where it terminates with choices (F5, IHS or application) instead of does it use SSL; Remove monitoring line (42)
-Storage Tab: replicated column K to Column V for VM ware if set to Yes on VM Tab
-VM Tab: added column for Global Mirroring for adding space to prod hosts</t>
    </r>
  </si>
  <si>
    <t>AltProd Intranet DMZ</t>
  </si>
  <si>
    <t>AltProd-VIP-Intranet DMZ</t>
  </si>
  <si>
    <t>AltProd Process</t>
  </si>
  <si>
    <t>AltProd-VIP-Data Process - 1</t>
  </si>
  <si>
    <t>AltProd Security</t>
  </si>
  <si>
    <t>AltProd-VIP-Security</t>
  </si>
  <si>
    <t>VIP for PDL Layer</t>
  </si>
  <si>
    <t>VIP for Security</t>
  </si>
  <si>
    <t>VIP for Intranet DMZ</t>
  </si>
  <si>
    <t>twaushes1081
twaushes1082
twaushes1083
twaushes1084
twaushes1089
twaushes1090
twaushes1091
twaushes1092</t>
  </si>
  <si>
    <t xml:space="preserve"> HCSC_Infra_RunTO_Middleware</t>
  </si>
  <si>
    <t>Alt Prod-Application Interface-Security</t>
  </si>
  <si>
    <t>Alt Prod-OOB Interface-Security</t>
  </si>
  <si>
    <t xml:space="preserve"> HCL_Infra_RunTO_Middleware</t>
  </si>
  <si>
    <t>*</t>
  </si>
  <si>
    <t>/db2_software</t>
  </si>
  <si>
    <t>Middleware / Application
File System Requirements
(appsvg/datavg)</t>
  </si>
  <si>
    <t>RH Cluster Heartbeat</t>
  </si>
  <si>
    <t>TSM Hypervisor Backup</t>
  </si>
  <si>
    <t>Test 2.0-RH Cluster Heartbeat-Data - 2</t>
  </si>
  <si>
    <t>Test 2.0-RHEL Cluster Heartbeat</t>
  </si>
  <si>
    <t>192.168.80.0/22</t>
  </si>
  <si>
    <t>192.168.80.1</t>
  </si>
  <si>
    <t>Prod 2.0-RH Cluster Heartbeat-Data - 2</t>
  </si>
  <si>
    <t>Prod 2.0-RHEL Cluster Heartbeat</t>
  </si>
  <si>
    <t>192.168.84.0/22</t>
  </si>
  <si>
    <t>192.168.84.1</t>
  </si>
  <si>
    <t>-BOM Functions: Added Alt Prod Security to VIP section; Col Y - Col AD (added Lines 215-217 for Alt Prod VIPs info); Fix DNSDoms List to include 
AltProd Intra DMZ, AltProd Process, AltProd Security; Chanhe BN16 to Test 2.0 instead of DEV
-Remove the word SafeRoom and replace with Security
-MiddleWare/Provisioning Notes: Add HCSC_Infra_RunTO_Middleware to Group Responsible list
- Apache IHS Tab: Fix drop down to read IHS 9.0.5 instead of HIS; Removed IHS 7.0
-Provisioning Notes: Added note regarding DB Migrations being handled outside of Provisioning
-Distributed Assets: Updated DB List to remove obsolete, non-supported versions; updated with new versions
-BOM Functions: Added Interface for RH Cluster Heartbeat (Col J), Added Network Information into Columns Y - AD for both Test and Prod</t>
  </si>
  <si>
    <t>MS Cluster Heartbeat</t>
  </si>
  <si>
    <t>Test 2.0-MS Cluster Heartbeat-Data - 1 (Full)</t>
  </si>
  <si>
    <t>Test 2.0-MS Cluster Heartbeat-Data - 1</t>
  </si>
  <si>
    <t>Prod 2.0-MS Cluster Heartbeat-Data - 1</t>
  </si>
  <si>
    <t>Prod 2.0-MS Cluster Heartbeat-Data - 2</t>
  </si>
  <si>
    <t>DB2 V11.1.1.1 fixpack 5</t>
  </si>
  <si>
    <t>DB2 V11.1.1.1 fixpack 4</t>
  </si>
  <si>
    <t>MSSQL 2014 SP3</t>
  </si>
  <si>
    <t>OS: 100gb
SWAP: --gb</t>
  </si>
  <si>
    <t>Prod ITC</t>
  </si>
  <si>
    <t>-Update NPID to Service Account throughout LBOM
-Dist Assets Tab: Correct Column AA, DR formatting for ITC servers
-BOM Functions: Add VIP for Security in FTW, VLAN 3012; Added OOB for CyberArk
-Dist Assets Tab: Updated conditional formatting on FULL networks as of 10/03/2019
-Storage Tab: Corrected conditional formatting for VM Prod with DR
-IP Tab:  Start LB Tab here; added LB Template drop down; updated formulas
-LoadBalancer Tab:  Added Drop down for Security layer; moved the SSL Termination column next to Cert column; Updated formulas in H, I, K, L, M, N; Conditional formatting for the SSL Certificate column based on Column N; Added cutover/provisioning column and formatting; added mulitple entries available
-DNS Tab: Updated columns to look for LB tab; GTM tab; updated Asset Lists to look for correct Asset #'s in drop down list
-Project Details Tab: Decoupled PII from BCI box
-TOC: Change column H49 to reflect name of HCL LB team
-TOC: Change Column 50 to reflect name of HCSC LB team
-SQL Opt Refresh: Fix formula in (4I)
-Traffic Manager Tab: Added UltraDNS selection; updated Types to GTM, Ultra DNS; updated WideIP Name formula to look at correct names
-BOM Functions:  Added WAS 9.0.5 Filesystems; updated OS for these to reflect correct rootvg filesystems if WAS
-Open Systems Tab: Updated columns H, I, J, K formulas to pull correct WAS filesystesm, sizes and sizes less OS from Distributed Assets tab for all other
-NAS Details Tab: Updated formulas for ID columns to reflect "existing" for ITC so that the correct information would pull in from NAS tab
-BOM Functions:  Added new vlan 2863 192.168.44.0/22</t>
  </si>
  <si>
    <t>-Dist Assets Tab: Updated VMWare columns for SQL servers with new Clusters, hosts, etc
-Create Name in Name Manager for PAM tab
-PAM Tab: Updated to show Required/Not Required from TOC
-BOM Functions: Add Intranet/Internet DMZ to OOB-3
-DNS Tab: added formula back to L15
-New DB Request - remove the # of concurrent database connections per Tom Lawson
-Storage Tab: Conditional formatting added on the HostRack column to correct #REF error since removing LANMAC from LBOM
-OpenSystems Tab: Updated DR note in N2, added rootvg and appvg in Col H/J
-Backup Tab: Update hostname formula to accomodate backup interface for ITC servers
-Provisioning Notes: Added Note for provisioning required for ITC and IHS servers to provide CTask for HCL Middleware
-Project Details Tab: Conditional formatting for ITAM # for ITC provisioning
-SQL Script (Module 15):  Updated script for SQL servers for X and Y sizing per request from DBA team
-Corrected BOM Functions to allow C-Names to provision by adding new servers DV-DW 17-19</t>
  </si>
  <si>
    <t>-Removed ITAM Form
-Removed ITAM Line from TOC
-Removed LDAP Tab
-Removed LDAP Line from TOC
-TSM Tab: Updated to accommodate for Windows 2016 and new TSM Version; changed OS type to OS
-Project Details: Upated with correct link for TPCF
-TOC: Updated all drop down boxes for SMEs on all lines, Email groups, SME names, added drop down for middleware installs
-DNS Tab: Copied formula up on L5
-Provisioning Notes: Updated Blue/Grey fields; added field for CTask for Venafi associate to BlueCoat
-Distributed Assets Tab: Change column P to read Windows/Physical server disk allocations; Conditional formatting to grey out for Linux VM; Set up DR so that it hashtags out unneeded fields; rename SDK Version to Java Version; Black out DR columns for all Non-Prod
-CA PAM: Renamed Tab and TOC to just PAM
-LB Tab: updated to put A-records in the field for ITC VIPs; color them to be "cutover" color since VIPs are already created as part of blueprint
-Middleware - Web Tab: Overhaul with Gary Aguilar
-NAS Tab: Updated conditional formatting so all working now; renamed password fields for NAS tab
-NAS Details Tab: Updated with correct information for New NAS information; populated old NAS information in the comments field
-Project Details Tab: Corrected Not Required formatting for some rows
-Distributed Assets Tab: Updated Comments on column P; removed timeline estimator from top of worksheet; Removed Pod columns; Put SQL formula in Dist Assets Tab Column P; Added Conditional formatting to column P; Formula for # of IPs for column T
-DNS Tab: Corrected issue with GTM DNS records and Asset #'s importing in
-Remove Messages Tab; Cost Estimation tabs; POD Blueprint Tab; Removed from scripts as well</t>
  </si>
  <si>
    <t>-Rework excludes for Backups for ITC
-Added information for Server 2016 and SQL 2016</t>
  </si>
  <si>
    <t>-Removed unnecessary information from BOM Functions
-Add ITC to Project Details Tab; Dist Assets Tab; Load Balancer Tab; CA PAM; Monitoring; Backup
-Add to Provisioning Notes about support for App Team &amp; Cloud Team
-Add New Applications to Host Naming Standards Tab
-Add Mgmt/Monitoring OOB-2 to BOM Functions
-New VM tab with Storage sign off
-Added RHEL 7.5, 7.6 to list
-Fix some IP Layer entries in VLAN table in BOM functions
-Add new VLANs to table in BOM functions
-Renamed all POD instances to ITC
-updated Module 15 for SQL DB sizing tab (sc)</t>
  </si>
  <si>
    <t>Dev - ITC</t>
  </si>
  <si>
    <t>Non-Prod (ITC)</t>
  </si>
  <si>
    <t>ITC Backup</t>
  </si>
  <si>
    <t>Prod 2.0 - ITC</t>
  </si>
  <si>
    <t>Prod (ITC)</t>
  </si>
  <si>
    <t>ITC Non-Prod Process PDL</t>
  </si>
  <si>
    <t>ITC Non-Prod-VIP-Data Process - 1</t>
  </si>
  <si>
    <t>ITC Non-Prod Intra DMZ</t>
  </si>
  <si>
    <t>ITC Non-Prod-VIP-Intranet DMZ</t>
  </si>
  <si>
    <t>ITC Non-Prod Inter DMZ</t>
  </si>
  <si>
    <t>ITC Non-Prod-VIP-Internet DMZ</t>
  </si>
  <si>
    <t>Test - ITC</t>
  </si>
  <si>
    <t>ITC Prod Process PDL</t>
  </si>
  <si>
    <t>ITC Prod-VIP-Data Process - 1</t>
  </si>
  <si>
    <t>ITC Prod Intra DMZ</t>
  </si>
  <si>
    <t>ITC Prod-VIP-Intranet DMZ</t>
  </si>
  <si>
    <t>ITC Prod Inter DMZ</t>
  </si>
  <si>
    <t>ITC Prod-VIP-Internet DMZ</t>
  </si>
  <si>
    <t>ITC Intranet DMZ</t>
  </si>
  <si>
    <t>ITC Internet DMZ</t>
  </si>
  <si>
    <t>Non-Prod (ITC)-Application Interface-APP</t>
  </si>
  <si>
    <t>NP1 &amp; NP2 ITC APP</t>
  </si>
  <si>
    <t>Non-Prod (ITC)-Application Interface-DB</t>
  </si>
  <si>
    <t>NP1 &amp; NP2 ITC DB</t>
  </si>
  <si>
    <t>Non-Prod (ITC)-Application Interface-Intranet Proxy</t>
  </si>
  <si>
    <t>NP1 &amp; NP2 ITC Intranet Proxy</t>
  </si>
  <si>
    <t>Non-Prod (ITC)-Application Interface-Internet Proxy</t>
  </si>
  <si>
    <t>NP1 &amp; NP2 ITC Internet Proxy</t>
  </si>
  <si>
    <t>Non-Prod (ITC)-Application Interface-Backup</t>
  </si>
  <si>
    <t>NP1 &amp; NP2 ITC Backup</t>
  </si>
  <si>
    <t>Prod (ITC)-Application Interface-APP</t>
  </si>
  <si>
    <t>Prod ITC APP</t>
  </si>
  <si>
    <t>Prod (ITC)-Application Interface-DB</t>
  </si>
  <si>
    <t>Prod ITC DB</t>
  </si>
  <si>
    <t>Prod (ITC)-Application Interface-Intranet Proxy</t>
  </si>
  <si>
    <t>Prod ITC Intranet Proxy</t>
  </si>
  <si>
    <t>Prod (ITC)-Application Interface-Internet Proxy</t>
  </si>
  <si>
    <t>Prod ITC Internet Proxy</t>
  </si>
  <si>
    <t>Prod (ITC)-Application Interface-Backup</t>
  </si>
  <si>
    <t>Prod ITC Backup</t>
  </si>
  <si>
    <t>Prod (ITC)-Application Interface-Infra Secure</t>
  </si>
  <si>
    <t>Prod ITC Infra Secure</t>
  </si>
  <si>
    <t>Prod (ITC)-Application Interface-ESX Host</t>
  </si>
  <si>
    <t>Prod ITC ESX Host</t>
  </si>
  <si>
    <t>ITC Waukegan, Illinois</t>
  </si>
  <si>
    <t>ITC Fort Worth, Texas</t>
  </si>
  <si>
    <t>Prod_WINDOWS_SQL_03</t>
  </si>
  <si>
    <t>pftwshes3021
pftwshes3022
pftwshes3023</t>
  </si>
  <si>
    <t>PFTW_WINDOWS_SQL_01</t>
  </si>
  <si>
    <t>EDH - MSSQL 2017</t>
  </si>
  <si>
    <t>sq</t>
  </si>
  <si>
    <t>-Update all HTC to ITC
-Add a check for "swap" for linux db servers which are virtual
-Updated New EDH Clusters in BOM Functions for PROD and FTW
-Updated Source group in comments to be grp_hcsc_user_nets
-Update Storage Tab to look for Prod servers to be replicated in case of DR to add to "Global Mirror Solution"</t>
  </si>
  <si>
    <t>Michael Cowden
Information Technology_HCL_Data</t>
  </si>
  <si>
    <t>Information Technology_HCL_Data</t>
  </si>
  <si>
    <t>Information Technology Security Proxy</t>
  </si>
  <si>
    <r>
      <t>-</t>
    </r>
    <r>
      <rPr>
        <sz val="10"/>
        <color rgb="FFFF0000"/>
        <rFont val="Arial"/>
        <family val="2"/>
      </rPr>
      <t xml:space="preserve">Storage tab:  Update comments formula to reflect correct rows
</t>
    </r>
    <r>
      <rPr>
        <sz val="10"/>
        <rFont val="Arial"/>
        <family val="2"/>
      </rPr>
      <t>-Firewall Tab: Update destination hostname for BlueCoat</t>
    </r>
  </si>
  <si>
    <t>V:\Backups
W:\SystemData 
X:\UserData
Y:\UserLogs
Z:\TempDB</t>
  </si>
  <si>
    <t>Is Dynatrace monitoring funded for this request?</t>
  </si>
  <si>
    <t>Azure - North Central</t>
  </si>
  <si>
    <t>azn</t>
  </si>
  <si>
    <t>Azure - South Central</t>
  </si>
  <si>
    <t>azs</t>
  </si>
  <si>
    <t>Azure - Central</t>
  </si>
  <si>
    <t>azc</t>
  </si>
  <si>
    <t>Azure - East</t>
  </si>
  <si>
    <t>aze</t>
  </si>
  <si>
    <t>Azure - West</t>
  </si>
  <si>
    <t>azw</t>
  </si>
  <si>
    <t>AZN</t>
  </si>
  <si>
    <t>Azure North Central</t>
  </si>
  <si>
    <t>10.233.43.0/24</t>
  </si>
  <si>
    <t>10.233.43.1</t>
  </si>
  <si>
    <t>AZS</t>
  </si>
  <si>
    <t>DEV-Application Interface-Security</t>
  </si>
  <si>
    <t>Azure South Central - DEV Security</t>
  </si>
  <si>
    <t>10.83.43.0/24</t>
  </si>
  <si>
    <t>10.83.43.1</t>
  </si>
  <si>
    <t>Azure South Central - Test Security</t>
  </si>
  <si>
    <t>10.83.11.0/24</t>
  </si>
  <si>
    <t>10.83.11.1</t>
  </si>
  <si>
    <t>AZC</t>
  </si>
  <si>
    <t>AZE</t>
  </si>
  <si>
    <t>AZW</t>
  </si>
  <si>
    <t>Other Locations</t>
  </si>
  <si>
    <t>Test 2.0-Application Interface</t>
  </si>
  <si>
    <t>Dev-Application Interface</t>
  </si>
  <si>
    <t>10.233.32.0/24</t>
  </si>
  <si>
    <t>10.233.32.1</t>
  </si>
  <si>
    <t>Alt Prod-Application Interface</t>
  </si>
  <si>
    <t>Alt Prod-VIP-Data Process - 1</t>
  </si>
  <si>
    <t>Alt Prod-VIP-Security</t>
  </si>
  <si>
    <t>Alt Prod-VIP-Intranet DMZ</t>
  </si>
  <si>
    <t>10.86.</t>
  </si>
  <si>
    <t>Prod 2.0-Application Interface</t>
  </si>
  <si>
    <t>Azure South Central - Prod</t>
  </si>
  <si>
    <t>Test 2.0-Application Interface-Process - 1</t>
  </si>
  <si>
    <t>Test 2.0-Application Interface-Data - 1</t>
  </si>
  <si>
    <t>Azure South Central - App Process</t>
  </si>
  <si>
    <t>Azure South Central - Data</t>
  </si>
  <si>
    <t>10.83.32.1</t>
  </si>
  <si>
    <t>10.83.44.0/22</t>
  </si>
  <si>
    <t>10.83.32.0/22</t>
  </si>
  <si>
    <t>10.83.44.1</t>
  </si>
  <si>
    <t>10.83.0.0/22</t>
  </si>
  <si>
    <t>10.83.0.1</t>
  </si>
  <si>
    <t>10.83.12.0/22</t>
  </si>
  <si>
    <t>10.83.12.1</t>
  </si>
  <si>
    <t>Future Use</t>
  </si>
  <si>
    <r>
      <t xml:space="preserve">-Storage tab:  Correct formula in comments
</t>
    </r>
    <r>
      <rPr>
        <sz val="10"/>
        <rFont val="Arial"/>
        <family val="2"/>
      </rPr>
      <t>-Project Details tab: Added field for advanced monitoring (Dynatrace)
-Monitoring tab:  Added note about Dynatrace Funded (dependent on Project Details field yes)
-Developer: Updated fields in ISE Data Pull for above
-Developer: Updated DNS, DNS Automation and IP Provisioner to change directory for writing info to C:\ProvLogs instead of C:\ due to Windows10 limitations
-Scheduler:  Added Prod FW to the Agent List #16412
-Dist Assets:  Added EDH formula to calculate for space for X and Y
-HostNaming Standard: Added additional Azure locations
-BOM Functions:  Added Azure networks to network section
-Project Details tab: Add MuleSoft and Talend to Services Required line with selection boxes; update ISE Data Pull script to import and clear</t>
    </r>
  </si>
  <si>
    <t>DECOM-Dropdown</t>
  </si>
  <si>
    <t>list_All_decom_IPs</t>
  </si>
  <si>
    <t>Decom Type</t>
  </si>
  <si>
    <t>External NAT</t>
  </si>
  <si>
    <t>VIP Asset #</t>
  </si>
  <si>
    <t>-BOM Functions: Added column W for decom tab assets to count for drop down list
-Decom Tab:  Updated Asset # column for VIP section &amp; DNS Section; updated formulas in Cols B, D, E, F and K in DNS Section
-Formulas:  Added Formulas for list_All_decom_IPs, AssetDecomList, AssetDecomVIPs, Import_List
-Updates for Guardium, removal of all thing Imperva</t>
  </si>
  <si>
    <t>Virtustream - Elk Grove</t>
  </si>
  <si>
    <t>vse</t>
  </si>
  <si>
    <t>Virtustream - Manassas</t>
  </si>
  <si>
    <t>vsm</t>
  </si>
  <si>
    <t>Wauk_ILO_Network_#3 - ACI</t>
  </si>
  <si>
    <t>Prod 2.0 CSM Network (NON DMZ) - ACI</t>
  </si>
  <si>
    <t>Prod_PRIVATE_WAS_02_SYN02</t>
  </si>
  <si>
    <t>Test_OPENSYSTEMS_OS_02_SYN01</t>
  </si>
  <si>
    <t>twaushes2171
twaushes2172
twaushes2173
twaushes2174
twaushes2175
twaushes2176
twaushes2177
twaushes2178
twaushes2179
twaushes2180
twaushes2181
twaushes2182</t>
  </si>
  <si>
    <t>twaushes5141   
twaushes5142
twaushes5143
twaushes5144
twaushes5145
twaushes5146
twaushes5147
twaushes5148</t>
  </si>
  <si>
    <t>pwaushes5421
pwaushes5422
pwaushes5423
pwaushes5424
pwaushes5425
pwaushes5426</t>
  </si>
  <si>
    <t>NAS HOSTS</t>
  </si>
  <si>
    <t>SMB</t>
  </si>
  <si>
    <t>NFS</t>
  </si>
  <si>
    <t>smb.waunas23.hcscint.net</t>
  </si>
  <si>
    <t>smb.twaunas26.hcscint.net</t>
  </si>
  <si>
    <t>smb.dwaunas26.hcscint.net</t>
  </si>
  <si>
    <t>smb.pftwnas25prod.hcscint.net</t>
  </si>
  <si>
    <t>smb.pwaunas25p.hcscint.net</t>
  </si>
  <si>
    <t>nfs.waunas23.hcscint.net</t>
  </si>
  <si>
    <t>nfs.twaunas26.hcscint.net</t>
  </si>
  <si>
    <t>nfs.dwaunas26.hcscint.net</t>
  </si>
  <si>
    <t>nfs.pftwnas25prod.hcscint.net</t>
  </si>
  <si>
    <t>nfs.pwaunas25p.hcscint.net</t>
  </si>
  <si>
    <t>IPs</t>
  </si>
  <si>
    <t>10.134.163.206</t>
  </si>
  <si>
    <t>10.134.163.202</t>
  </si>
  <si>
    <t>10.130.16.196</t>
  </si>
  <si>
    <t>10130.16.197</t>
  </si>
  <si>
    <t>10.136.197.4</t>
  </si>
  <si>
    <t>10.136.196.152</t>
  </si>
  <si>
    <t>smb.waunas23f.hcscint.net</t>
  </si>
  <si>
    <t>nfs.waunas23f.hcscint.net</t>
  </si>
  <si>
    <t>10.139.237.86</t>
  </si>
  <si>
    <t>10.139.237.47</t>
  </si>
  <si>
    <t>Test_WINTEL_02_SYN01</t>
  </si>
  <si>
    <t>twaushes1101
twaushes1102
twaushes1103
twaushes1104
twaushes1105
twaushes1106</t>
  </si>
  <si>
    <t>pwaushes3021
pwaushes3022
pwaushes3023
pwaushes3024
pwaushes3025
pwaushes3026
pwaushes3027
pwaushes3028
pwaushes3029
pwaushes3030</t>
  </si>
  <si>
    <t>Temporary Root Privileges
List IDs
(Duration of CO Only)</t>
  </si>
  <si>
    <t>-BOM Functions:  Added new VMWare Clusters / Hosts for new WAS clusters, additional synergy test cluster, added additional EDH hosts; 
-BOM Functions; Added NAS columns (AW, AX)
-Windows HTTP/FTP Tab:   Updated tab to allow for NAS FTP; new formulas added to all columns; conditional fomatting updated
-Host Reference tab:  Updated the NAS information in the tab to current NAS info
-Storage Tab:  Column AF - removed Global Mirror column based on VM Cluster/Hosts as identified on VM tab
-Decom Tab: Corrected formatting on the asset # in DNS section
-Open Systems Tab:  Changed powerbroker column to Temporary Root Privileges; hide/remove duration column</t>
  </si>
  <si>
    <t xml:space="preserve">tbcilproxy.test.hcscint.net </t>
  </si>
  <si>
    <t>dw</t>
  </si>
  <si>
    <t>DataWarehouse (PAAS on Azure)</t>
  </si>
  <si>
    <t>RHEL 7.9</t>
  </si>
  <si>
    <t>-Firewall Tab:  Update BlueCoat Test server information
-Host reference Table:  Clean up
-Update Host Naming to accommodate PAAS for data warehouse
-BOM Functions/Dist Assets:  Updated OS Updated per Steve C's email:  Added RHEL 7.9, removed SLES 11 32-bit.  Removed Windows 2012 R2
-HTTP/FTP Tab: Correct formula for Column H so that it will pull IP for HTTP</t>
  </si>
  <si>
    <t>AZN Non-Prod DMZ</t>
  </si>
  <si>
    <t>AZN NonProd-VIP-DMZ</t>
  </si>
  <si>
    <t>AZN Prod DMZ</t>
  </si>
  <si>
    <t>AZN Prod-VIP-DMZ</t>
  </si>
  <si>
    <t>Azure North Central Non Prod VIP</t>
  </si>
  <si>
    <t>10.233.216.0/23</t>
  </si>
  <si>
    <t>10.233.216.1</t>
  </si>
  <si>
    <t>Azure North Central Prod VIP</t>
  </si>
  <si>
    <t>10.236.216.0/23</t>
  </si>
  <si>
    <t>10.236.216.1</t>
  </si>
  <si>
    <t>DEV-RHEL Cluster Heartbeat</t>
  </si>
  <si>
    <t>192.168.88.0/22</t>
  </si>
  <si>
    <t>192.168.88.1</t>
  </si>
  <si>
    <t>DEV-RH Cluster Heartbeat-Data - 1</t>
  </si>
  <si>
    <t>DEV-RH Cluster Heartbeat-Process - 1</t>
  </si>
  <si>
    <t>Prod_OPENSYSTEMS_OS_01_SYN03</t>
  </si>
  <si>
    <t>pwaushes2131
pwaushes2132
pwaushes2133
pwaushes2134
pwaushes2135
pwaushes2136
pwaushes2137
pwaushes2138
pwaushes2139
pwaushes2140
pwaushes2141
pwaushes2142</t>
  </si>
  <si>
    <t>pwaushes5431
pwaushes5432
pwaushes5433</t>
  </si>
  <si>
    <t>Prod_PRIVATE_WAS_02 _SYN02</t>
  </si>
  <si>
    <t>Prod_INFRASTRUCTURE_VMWARE_CORE_02_SYN02</t>
  </si>
  <si>
    <t>Prod_WINDOWS_WINTEL_02_SYN03</t>
  </si>
  <si>
    <t>pwaushes1121
pwaushes1122
pwaushes1123
pwaushes1124
pwaushes1125
pwaushes1126</t>
  </si>
  <si>
    <t>PFTW_PRIVATE_ODS_01_FTW</t>
  </si>
  <si>
    <t>PFTW_GENPOP_FTW_01</t>
  </si>
  <si>
    <t>pftwshes5101</t>
  </si>
  <si>
    <t>pftwshes1031
pftwshes1032
pftwshes1033
pftwshes1034
pftwshes1035
pftwshes1036
pftwshes1037
pftwshes1038
pftwshes1039
pftwshes1040
pftwshes1041
pftwshes1042</t>
  </si>
  <si>
    <t>twaushes3031
twaushes3032
twaushes3033
twaushes3034
twaushes3035
twaushes3036
twaushes3037
twaushes3038
twaushes3039
twaushes3040
twaushes3041
twaushes3042</t>
  </si>
  <si>
    <t>PHI</t>
  </si>
  <si>
    <t>Access Requirements
(Roles/Groups)</t>
  </si>
  <si>
    <t>Estimated # of transactions
(specify timeframe, per hour/per day/per year)</t>
  </si>
  <si>
    <t>Archive Requirements</t>
  </si>
  <si>
    <t>Expected Monthly Growth Rate (GB)</t>
  </si>
  <si>
    <t>Initial Database Size (GB)</t>
  </si>
  <si>
    <t>RDBMS Type?</t>
  </si>
  <si>
    <t>DDL Scripts
Available</t>
  </si>
  <si>
    <t>If no, please identify maintenance window:</t>
  </si>
  <si>
    <t>DATABASE REQUIREMENTS: (One Database per Line to be completed by customer)</t>
  </si>
  <si>
    <r>
      <t xml:space="preserve">Asset #: 
</t>
    </r>
    <r>
      <rPr>
        <b/>
        <sz val="8"/>
        <color rgb="FFFF0000"/>
        <rFont val="Arial"/>
        <family val="2"/>
      </rPr>
      <t>To be completed by SD &amp; D</t>
    </r>
  </si>
  <si>
    <t>dchishes2011
dchishes2012
dchishes2013
dchishes2014
dchishes2015
dchishes2016
dchishes2017
dchishes2018</t>
  </si>
  <si>
    <t>Asset Instance</t>
  </si>
  <si>
    <t>Hosts in Test</t>
  </si>
  <si>
    <t>Hosts in DEV -CHI</t>
  </si>
  <si>
    <t>pwaushes5111
pwaushes5112
pwaushes5113
pwaushes5114
pwaushes5115
pwaushes5116</t>
  </si>
  <si>
    <t>pftwshes5068
pftwshes5069
pftwshes5070
pftwshes5071
pftwshes5072
pftwshes5073
pftwshes5074</t>
  </si>
  <si>
    <t>OpenSystems</t>
  </si>
  <si>
    <t>DB2 File Structure Standard as provided by S. Trehan - 12/11/2020</t>
  </si>
  <si>
    <t>/db2backup1</t>
  </si>
  <si>
    <t>/db2backup2</t>
  </si>
  <si>
    <t>/db2backup3</t>
  </si>
  <si>
    <t>/db2backup4</t>
  </si>
  <si>
    <t>/db2backup5</t>
  </si>
  <si>
    <t>-BOM Functions:  Updated IP table (Columns Y - AD)
-IP Tab: Updated BOM Functions for Azure North Central VIP Updated for Azure North Central VIP (Columns CO - CW) to allow selection in VIP section
-LB Tab: Update formulas to read all VIPs in BOM Functions (Col CO-CW)
-BOM Functions:  Updated VM ESX Hosts in columns EJ - EY; remove old; add new per Dave Riley
-New Database request tab: Full overhaul to change to get names of databases and sizes
-Database (All) tab:  Update to pull in information from New Database Request Tab
-Open Systems tab:  Add db2admin to privileged access column when db2admin is the uid/gid; conditional formatting for db2 filesystems to highlight Column R
-Provisioning Notes:  Add killall line for LBOMs with WAS servers on Dist Assets tab
-Scheduler tab:  Updated DB Agent List formula to pick up EDH servers</t>
  </si>
  <si>
    <t>wasadmin:wasgrp</t>
  </si>
  <si>
    <t>mqm:mqm</t>
  </si>
  <si>
    <t>Linux Infrastructure Management</t>
  </si>
  <si>
    <t>APP00000000</t>
  </si>
  <si>
    <t>P00025443</t>
  </si>
  <si>
    <t>Linux Version Upgrades</t>
  </si>
  <si>
    <t>Choose One</t>
  </si>
  <si>
    <t>IT: Infrastructure</t>
  </si>
  <si>
    <t xml:space="preserve">Four vms to allow the Operating System Compute and Infrastructure Services team to consolidate applications and services that are currently spread out acroos multiple diverse and outdated (SUSE) server onto a centralized set of boxes.
</t>
  </si>
  <si>
    <t>IE20005</t>
  </si>
  <si>
    <t>l</t>
  </si>
  <si>
    <t>Javier Gomez</t>
  </si>
  <si>
    <t>Paul Schmidt</t>
  </si>
  <si>
    <t xml:space="preserve">Paul Schmidt , Bill Mesik , Richard Davis </t>
  </si>
  <si>
    <t>Paul Schmidt , Bill Mesik , Richard Davis</t>
  </si>
  <si>
    <t>HCSC_Unix@bcbbsil.com</t>
  </si>
  <si>
    <t>Streamline</t>
  </si>
  <si>
    <t>New Diagram</t>
  </si>
  <si>
    <t>New</t>
  </si>
  <si>
    <t>Virtual</t>
  </si>
  <si>
    <t>Dedicated</t>
  </si>
  <si>
    <t>dchislmgt02</t>
  </si>
  <si>
    <t>10.130.133.40</t>
  </si>
  <si>
    <t>pwauslrhmgt01
pwauslosmgt01</t>
  </si>
  <si>
    <t>10.136.234.41
10.136.234.49</t>
  </si>
  <si>
    <t>Full Decom</t>
  </si>
  <si>
    <t>dwauslmgt01</t>
  </si>
  <si>
    <t>twauslmgt01</t>
  </si>
  <si>
    <t>awauslmgt01</t>
  </si>
  <si>
    <t>pwauslmgt01</t>
  </si>
  <si>
    <t>20213598-001</t>
  </si>
  <si>
    <t>20213598-002</t>
  </si>
  <si>
    <t>20213598-003</t>
  </si>
  <si>
    <t>20213598-004</t>
  </si>
  <si>
    <t>Prod 2.0-OOB-2 Interface-Process - 3</t>
  </si>
  <si>
    <t>20213598-001  (IP01)</t>
  </si>
  <si>
    <t>20213598-002  (IP01)</t>
  </si>
  <si>
    <t>20213598-003  (IP01)</t>
  </si>
  <si>
    <t>20213598-004  (IP01)</t>
  </si>
  <si>
    <t>Complete</t>
  </si>
  <si>
    <t>Fwid</t>
  </si>
  <si>
    <t xml:space="preserve">ssh </t>
  </si>
  <si>
    <t>Hanh Tran</t>
  </si>
  <si>
    <t>Cara Gilmore</t>
  </si>
  <si>
    <t/>
  </si>
  <si>
    <t xml:space="preserve">Legacy </t>
  </si>
  <si>
    <t>pwauslrhmgt01</t>
  </si>
  <si>
    <t>pwauslosmgt01</t>
  </si>
  <si>
    <t>dchislmgt02.app.test.hcscint.net</t>
  </si>
  <si>
    <t>pwauslrhmgt01.app.hcscint.net</t>
  </si>
  <si>
    <t>pwauslosmgt01.app.hcscint.net</t>
  </si>
  <si>
    <t>D20213598-001</t>
  </si>
  <si>
    <t>DEV (Chi)</t>
  </si>
  <si>
    <t>Host</t>
  </si>
  <si>
    <t>D20213598-002</t>
  </si>
  <si>
    <t>D20213598-003</t>
  </si>
  <si>
    <t>10.136.234.41</t>
  </si>
  <si>
    <t>10.136.234.49</t>
  </si>
  <si>
    <t>pwauslosmgt01.oob.hcscint.net</t>
  </si>
  <si>
    <t>192.168.210.198</t>
  </si>
  <si>
    <t>pwauslosmgt01.hcscint.net</t>
  </si>
  <si>
    <t>Linux Infrastructure Management APP00000000  - Infrastructure Diagram Ver0.02.vsd</t>
  </si>
  <si>
    <t>Prod_ALTPROD_GENPOP 01 - SYN01</t>
  </si>
  <si>
    <t>pwaushes6001 pwaushes6002 pwaushes6003 pwaushes6004 pwaushes6005 pwaushes6006 pwaushes6007 pwaushes6008 pwaushes6009</t>
  </si>
  <si>
    <t>Reviewed</t>
  </si>
  <si>
    <t>Sampath Tirumala</t>
  </si>
  <si>
    <t>10.130.3.119</t>
  </si>
  <si>
    <t>INFO: ipAddress received from web service.</t>
  </si>
  <si>
    <t>2dc669b12b3d5b45:2ed50e20:176b90844f8:-7ffa1-1611326742225</t>
  </si>
  <si>
    <t>192.168.180.144</t>
  </si>
  <si>
    <t>2dc669b12b3d5b45:2ed50e20:176b90844f8:-7ffa1-1611326769991</t>
  </si>
  <si>
    <t>10.134.129.199</t>
  </si>
  <si>
    <t>2dc669b12b3d5b45:2ed50e20:176b90844f8:-7ffa1-1611326801039</t>
  </si>
  <si>
    <t>192.168.17.230</t>
  </si>
  <si>
    <t>2dc669b12b3d5b45:2ed50e20:176b90844f8:-7ffa1-1611326827067</t>
  </si>
  <si>
    <t>10.137.52.39</t>
  </si>
  <si>
    <t>2dc669b12b3d5b45:2ed50e20:176b90844f8:-7ffa1-1611326852322</t>
  </si>
  <si>
    <t>192.168.40.83</t>
  </si>
  <si>
    <t>2dc669b12b3d5b45:2ed50e20:176b90844f8:-7ffa1-1611326880747</t>
  </si>
  <si>
    <t>10.136.137.123</t>
  </si>
  <si>
    <t>2dc669b12b3d5b45:2ed50e20:176b90844f8:-7ffa1-1611326903568</t>
  </si>
  <si>
    <t>192.168.40.84</t>
  </si>
  <si>
    <t>2dc669b12b3d5b45:2ed50e20:176b90844f8:-7ffa1-1611326929614</t>
  </si>
  <si>
    <t>Provisioned</t>
  </si>
  <si>
    <t>Not Required</t>
  </si>
  <si>
    <t>Om Prakash Singh</t>
  </si>
  <si>
    <t>Oscar Ramirez</t>
  </si>
  <si>
    <t>Michael Albers</t>
  </si>
  <si>
    <t>SUCCESS</t>
  </si>
  <si>
    <t>2dc669b12b3d5b45:2ed50e20:176b90844f8:-7ffa1-1611328557435</t>
  </si>
  <si>
    <t>2dc669b12b3d5b45:2ed50e20:176b90844f8:-7ffa1-1611328583726</t>
  </si>
  <si>
    <t>2dc669b12b3d5b45:2ed50e20:176b90844f8:-7ffa1-1611328607099</t>
  </si>
  <si>
    <t>2dc669b12b3d5b45:2ed50e20:176b90844f8:-7ffa1-1611328626459</t>
  </si>
  <si>
    <t>Kondala Avinash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</si>
</sst>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m/d/yy\ h:mm;@"/>
    <numFmt numFmtId="165" formatCode="[$-409]m/d/yy\ h:mm\ AM/PM;@"/>
    <numFmt numFmtId="166" formatCode="00"/>
    <numFmt numFmtId="167" formatCode="0.0"/>
    <numFmt numFmtId="168" formatCode="m/d/yyyy\ h:mm:ss\ AM/PM"/>
    <numFmt numFmtId="169" formatCode="m/d/yyyy;@"/>
    <numFmt numFmtId="170" formatCode="m/dd/yyyy"/>
    <numFmt numFmtId="171" formatCode="m/dd/yyyy;;"/>
    <numFmt numFmtId="172" formatCode="000"/>
  </numFmts>
  <fonts count="27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color indexed="8"/>
      <name val="Arial"/>
      <family val="2"/>
    </font>
    <font>
      <sz val="8"/>
      <name val="Arial"/>
      <family val="2"/>
    </font>
    <font>
      <sz val="8"/>
      <name val="Arial"/>
      <family val="2"/>
    </font>
    <font>
      <b/>
      <sz val="10"/>
      <name val="Arial"/>
      <family val="2"/>
    </font>
    <font>
      <b/>
      <sz val="14"/>
      <name val="Arial"/>
      <family val="2"/>
    </font>
    <font>
      <u/>
      <sz val="10"/>
      <color indexed="12"/>
      <name val="Arial"/>
      <family val="2"/>
    </font>
    <font>
      <sz val="10"/>
      <color indexed="8"/>
      <name val="Arial"/>
      <family val="2"/>
    </font>
    <font>
      <b/>
      <sz val="12"/>
      <name val="Arial"/>
      <family val="2"/>
    </font>
    <font>
      <i/>
      <sz val="10"/>
      <color indexed="12"/>
      <name val="Arial"/>
      <family val="2"/>
    </font>
    <font>
      <b/>
      <sz val="8"/>
      <color indexed="81"/>
      <name val="Tahoma"/>
      <family val="2"/>
    </font>
    <font>
      <sz val="14"/>
      <name val="Arial"/>
      <family val="2"/>
    </font>
    <font>
      <b/>
      <sz val="10"/>
      <color indexed="8"/>
      <name val="Arial"/>
      <family val="2"/>
    </font>
    <font>
      <sz val="8"/>
      <color indexed="81"/>
      <name val="Tahoma"/>
      <family val="2"/>
    </font>
    <font>
      <sz val="10"/>
      <color indexed="9"/>
      <name val="Arial"/>
      <family val="2"/>
    </font>
    <font>
      <sz val="10"/>
      <color indexed="10"/>
      <name val="Arial"/>
      <family val="2"/>
    </font>
    <font>
      <b/>
      <sz val="8"/>
      <name val="Arial"/>
      <family val="2"/>
    </font>
    <font>
      <i/>
      <sz val="8"/>
      <color indexed="10"/>
      <name val="Arial"/>
      <family val="2"/>
    </font>
    <font>
      <b/>
      <i/>
      <sz val="8"/>
      <color indexed="10"/>
      <name val="Arial"/>
      <family val="2"/>
    </font>
    <font>
      <b/>
      <sz val="8"/>
      <color indexed="8"/>
      <name val="Arial"/>
      <family val="2"/>
    </font>
    <font>
      <sz val="8"/>
      <color indexed="8"/>
      <name val="Arial"/>
      <family val="2"/>
    </font>
    <font>
      <b/>
      <sz val="10"/>
      <color indexed="9"/>
      <name val="Arial"/>
      <family val="2"/>
    </font>
    <font>
      <b/>
      <sz val="13"/>
      <name val="Arial"/>
      <family val="2"/>
    </font>
    <font>
      <sz val="13"/>
      <name val="Arial"/>
      <family val="2"/>
    </font>
    <font>
      <b/>
      <sz val="11"/>
      <name val="Arial"/>
      <family val="2"/>
    </font>
    <font>
      <sz val="12"/>
      <name val="Arial"/>
      <family val="2"/>
    </font>
    <font>
      <b/>
      <sz val="12"/>
      <color indexed="9"/>
      <name val="Arial"/>
      <family val="2"/>
    </font>
    <font>
      <sz val="10"/>
      <color indexed="9"/>
      <name val="Arial Black"/>
      <family val="2"/>
    </font>
    <font>
      <b/>
      <sz val="10"/>
      <color indexed="12"/>
      <name val="Arial"/>
      <family val="2"/>
    </font>
    <font>
      <b/>
      <sz val="9"/>
      <name val="Arial"/>
      <family val="2"/>
    </font>
    <font>
      <sz val="9"/>
      <color indexed="8"/>
      <name val="Arial"/>
      <family val="2"/>
    </font>
    <font>
      <b/>
      <sz val="9"/>
      <color indexed="8"/>
      <name val="Arial"/>
      <family val="2"/>
    </font>
    <font>
      <b/>
      <sz val="10"/>
      <color indexed="9"/>
      <name val="Arial"/>
      <family val="2"/>
    </font>
    <font>
      <sz val="8"/>
      <color indexed="23"/>
      <name val="Arial"/>
      <family val="2"/>
    </font>
    <font>
      <sz val="8"/>
      <color indexed="22"/>
      <name val="Arial"/>
      <family val="2"/>
    </font>
    <font>
      <sz val="8"/>
      <color indexed="22"/>
      <name val="Arial"/>
      <family val="2"/>
    </font>
    <font>
      <b/>
      <sz val="10"/>
      <color indexed="10"/>
      <name val="Arial"/>
      <family val="2"/>
    </font>
    <font>
      <sz val="6"/>
      <color indexed="22"/>
      <name val="Arial"/>
      <family val="2"/>
    </font>
    <font>
      <sz val="8"/>
      <name val="Arial"/>
      <family val="2"/>
    </font>
    <font>
      <sz val="6"/>
      <color indexed="55"/>
      <name val="Arial"/>
      <family val="2"/>
    </font>
    <font>
      <b/>
      <sz val="8"/>
      <color indexed="10"/>
      <name val="Arial"/>
      <family val="2"/>
    </font>
    <font>
      <sz val="9"/>
      <name val="Arial"/>
      <family val="2"/>
    </font>
    <font>
      <sz val="10"/>
      <color indexed="22"/>
      <name val="Arial"/>
      <family val="2"/>
    </font>
    <font>
      <b/>
      <sz val="12"/>
      <color indexed="8"/>
      <name val="Arial"/>
      <family val="2"/>
    </font>
    <font>
      <sz val="8"/>
      <color indexed="9"/>
      <name val="Arial"/>
      <family val="2"/>
    </font>
    <font>
      <sz val="8"/>
      <name val="Arial"/>
      <family val="2"/>
    </font>
    <font>
      <sz val="8"/>
      <color indexed="81"/>
      <name val="Courier"/>
      <family val="3"/>
    </font>
    <font>
      <b/>
      <i/>
      <sz val="10"/>
      <color indexed="8"/>
      <name val="Arial"/>
      <family val="2"/>
    </font>
    <font>
      <b/>
      <u/>
      <sz val="8"/>
      <color indexed="81"/>
      <name val="Tahoma"/>
      <family val="2"/>
    </font>
    <font>
      <sz val="11"/>
      <color indexed="8"/>
      <name val="Calibri"/>
      <family val="2"/>
    </font>
    <font>
      <sz val="11"/>
      <name val="Calibri"/>
      <family val="2"/>
    </font>
    <font>
      <b/>
      <sz val="9"/>
      <color indexed="10"/>
      <name val="Arial"/>
      <family val="2"/>
    </font>
    <font>
      <sz val="8"/>
      <color indexed="10"/>
      <name val="Arial"/>
      <family val="2"/>
    </font>
    <font>
      <u/>
      <sz val="8"/>
      <color indexed="12"/>
      <name val="Arial"/>
      <family val="2"/>
    </font>
    <font>
      <sz val="8"/>
      <color indexed="12"/>
      <name val="Arial"/>
      <family val="2"/>
    </font>
    <font>
      <b/>
      <sz val="8"/>
      <name val="Courier"/>
      <family val="3"/>
    </font>
    <font>
      <sz val="7"/>
      <color indexed="10"/>
      <name val="Arial"/>
      <family val="2"/>
    </font>
    <font>
      <sz val="11"/>
      <name val="Arial"/>
      <family val="2"/>
    </font>
    <font>
      <u/>
      <sz val="11"/>
      <color indexed="12"/>
      <name val="Arial"/>
      <family val="2"/>
    </font>
    <font>
      <sz val="11"/>
      <color indexed="12"/>
      <name val="Arial"/>
      <family val="2"/>
    </font>
    <font>
      <u/>
      <sz val="12"/>
      <color indexed="12"/>
      <name val="Arial"/>
      <family val="2"/>
    </font>
    <font>
      <i/>
      <sz val="8"/>
      <color indexed="81"/>
      <name val="Tahoma"/>
      <family val="2"/>
    </font>
    <font>
      <sz val="10"/>
      <name val="Arial Unicode MS"/>
      <family val="2"/>
    </font>
    <font>
      <sz val="10"/>
      <name val="Arial"/>
      <family val="2"/>
    </font>
    <font>
      <b/>
      <sz val="11"/>
      <color theme="1"/>
      <name val="Calibri"/>
      <family val="2"/>
      <scheme val="minor"/>
    </font>
    <font>
      <sz val="8"/>
      <color theme="1"/>
      <name val="Arial"/>
      <family val="2"/>
    </font>
    <font>
      <sz val="10"/>
      <color theme="1"/>
      <name val="Arial"/>
      <family val="2"/>
    </font>
    <font>
      <b/>
      <sz val="14"/>
      <color theme="1"/>
      <name val="Arial"/>
      <family val="2"/>
    </font>
    <font>
      <sz val="10"/>
      <color rgb="FFFF0000"/>
      <name val="Arial"/>
      <family val="2"/>
    </font>
    <font>
      <b/>
      <sz val="10"/>
      <color theme="1"/>
      <name val="Arial"/>
      <family val="2"/>
    </font>
    <font>
      <b/>
      <sz val="8"/>
      <color rgb="FFFF0000"/>
      <name val="Arial"/>
      <family val="2"/>
    </font>
    <font>
      <b/>
      <sz val="12"/>
      <color rgb="FFFF0000"/>
      <name val="Arial"/>
      <family val="2"/>
    </font>
    <font>
      <b/>
      <sz val="10"/>
      <color rgb="FFFF0000"/>
      <name val="Arial"/>
      <family val="2"/>
    </font>
    <font>
      <b/>
      <sz val="9"/>
      <color theme="1"/>
      <name val="Arial"/>
      <family val="2"/>
    </font>
    <font>
      <sz val="20"/>
      <color rgb="FFFF0000"/>
      <name val="Arial"/>
      <family val="2"/>
    </font>
    <font>
      <sz val="11"/>
      <color rgb="FFFFFF00"/>
      <name val="Arial"/>
      <family val="2"/>
    </font>
    <font>
      <b/>
      <sz val="10"/>
      <color rgb="FFFFFF00"/>
      <name val="Arial"/>
      <family val="2"/>
    </font>
    <font>
      <b/>
      <sz val="18"/>
      <color rgb="FFFFFF00"/>
      <name val="Arial"/>
      <family val="2"/>
    </font>
    <font>
      <b/>
      <sz val="12"/>
      <color theme="1"/>
      <name val="Arial"/>
      <family val="2"/>
    </font>
    <font>
      <b/>
      <sz val="11"/>
      <color theme="1"/>
      <name val="Arial"/>
      <family val="2"/>
    </font>
    <font>
      <b/>
      <u/>
      <sz val="8"/>
      <color theme="1"/>
      <name val="Arial"/>
      <family val="2"/>
    </font>
    <font>
      <b/>
      <sz val="8"/>
      <color indexed="10"/>
      <name val="Tahoma"/>
      <family val="2"/>
    </font>
    <font>
      <sz val="10"/>
      <color theme="1"/>
      <name val="Arial"/>
      <family val="2"/>
    </font>
    <font>
      <u/>
      <sz val="11"/>
      <color rgb="FFFF0000"/>
      <name val="Arial"/>
      <family val="2"/>
    </font>
    <font>
      <u/>
      <sz val="11"/>
      <color rgb="FF0000FF"/>
      <name val="Arial"/>
      <family val="2"/>
    </font>
    <font>
      <sz val="10"/>
      <color indexed="12"/>
      <name val="Arial"/>
      <family val="2"/>
    </font>
    <font>
      <b/>
      <sz val="11"/>
      <color rgb="FFFF0000"/>
      <name val="Arial"/>
      <family val="2"/>
    </font>
    <font>
      <b/>
      <sz val="12"/>
      <color theme="1"/>
      <name val="Calibri"/>
      <family val="2"/>
      <scheme val="minor"/>
    </font>
    <font>
      <sz val="10"/>
      <color theme="0"/>
      <name val="Arial"/>
      <family val="2"/>
    </font>
    <font>
      <u/>
      <sz val="10"/>
      <color rgb="FFFF0000"/>
      <name val="Arial"/>
      <family val="2"/>
    </font>
    <font>
      <b/>
      <sz val="10"/>
      <color theme="0"/>
      <name val="Arial"/>
      <family val="2"/>
    </font>
    <font>
      <b/>
      <sz val="8"/>
      <color theme="0"/>
      <name val="Arial"/>
      <family val="2"/>
    </font>
    <font>
      <u/>
      <sz val="10"/>
      <color theme="0"/>
      <name val="Arial"/>
      <family val="2"/>
    </font>
    <font>
      <b/>
      <sz val="10"/>
      <color rgb="FF000000"/>
      <name val="Arial"/>
      <family val="2"/>
    </font>
    <font>
      <b/>
      <sz val="26"/>
      <name val="Arial"/>
      <family val="2"/>
    </font>
    <font>
      <b/>
      <i/>
      <sz val="10"/>
      <name val="Arial"/>
      <family val="2"/>
    </font>
    <font>
      <i/>
      <sz val="11"/>
      <color theme="1"/>
      <name val="Calibri"/>
      <family val="2"/>
      <scheme val="minor"/>
    </font>
    <font>
      <b/>
      <i/>
      <sz val="10"/>
      <color indexed="12"/>
      <name val="Arial"/>
      <family val="2"/>
    </font>
    <font>
      <b/>
      <i/>
      <sz val="9"/>
      <name val="Arial"/>
      <family val="2"/>
    </font>
    <font>
      <sz val="8"/>
      <color rgb="FF0000FF"/>
      <name val="Arial"/>
      <family val="2"/>
    </font>
    <font>
      <sz val="4"/>
      <name val="Arial"/>
      <family val="2"/>
    </font>
    <font>
      <b/>
      <i/>
      <sz val="12"/>
      <name val="Arial"/>
      <family val="2"/>
    </font>
    <font>
      <b/>
      <sz val="9"/>
      <color rgb="FFFF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9"/>
      <color rgb="FFFFFF00"/>
      <name val="Arial"/>
      <family val="2"/>
    </font>
    <font>
      <sz val="10"/>
      <color rgb="FF0000F3"/>
      <name val="Arial"/>
      <family val="2"/>
    </font>
    <font>
      <sz val="11"/>
      <color rgb="FFFFC000"/>
      <name val="Arial"/>
      <family val="2"/>
    </font>
    <font>
      <sz val="9"/>
      <color rgb="FFFF0000"/>
      <name val="Arial"/>
      <family val="2"/>
    </font>
    <font>
      <b/>
      <sz val="6"/>
      <name val="Arial"/>
      <family val="2"/>
    </font>
    <font>
      <b/>
      <sz val="11"/>
      <color rgb="FFFF0000"/>
      <name val="Calibri"/>
      <family val="2"/>
      <scheme val="minor"/>
    </font>
    <font>
      <u/>
      <sz val="10"/>
      <color indexed="12"/>
      <name val="Arial"/>
      <family val="2"/>
    </font>
    <font>
      <sz val="12"/>
      <color rgb="FFFF0000"/>
      <name val="Arial"/>
      <family val="2"/>
    </font>
    <font>
      <b/>
      <sz val="14"/>
      <color rgb="FFFF0000"/>
      <name val="Arial"/>
      <family val="2"/>
    </font>
    <font>
      <b/>
      <sz val="8"/>
      <color rgb="FF001FED"/>
      <name val="Arial"/>
      <family val="2"/>
    </font>
    <font>
      <b/>
      <sz val="8"/>
      <color rgb="FF0000F3"/>
      <name val="Arial"/>
      <family val="2"/>
    </font>
    <font>
      <sz val="8"/>
      <color rgb="FFFF0000"/>
      <name val="Arial"/>
      <family val="2"/>
    </font>
    <font>
      <sz val="10"/>
      <color rgb="FF000000"/>
      <name val="Arial"/>
      <family val="2"/>
    </font>
    <font>
      <sz val="7"/>
      <color theme="1"/>
      <name val="Arial"/>
      <family val="2"/>
    </font>
    <font>
      <sz val="9"/>
      <color rgb="FF000000"/>
      <name val="Verdana"/>
      <family val="2"/>
    </font>
    <font>
      <i/>
      <sz val="9"/>
      <color rgb="FFFF0000"/>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indexed="81"/>
      <name val="Tahoma"/>
      <family val="2"/>
    </font>
    <font>
      <b/>
      <sz val="9"/>
      <color indexed="81"/>
      <name val="Tahoma"/>
      <family val="2"/>
    </font>
    <font>
      <sz val="6"/>
      <color theme="0" tint="-0.14999847407452621"/>
      <name val="Arial"/>
      <family val="2"/>
    </font>
    <font>
      <sz val="6"/>
      <color theme="0" tint="-0.249977111117893"/>
      <name val="Arial"/>
      <family val="2"/>
    </font>
    <font>
      <sz val="36"/>
      <name val="Arial"/>
      <family val="2"/>
    </font>
    <font>
      <sz val="9"/>
      <color indexed="8"/>
      <name val="Tahoma"/>
      <family val="2"/>
    </font>
    <font>
      <sz val="11"/>
      <color rgb="FF000000"/>
      <name val="Calibri"/>
      <family val="2"/>
    </font>
    <font>
      <b/>
      <sz val="10"/>
      <name val="Calibri"/>
      <family val="2"/>
    </font>
    <font>
      <sz val="11"/>
      <color rgb="FF0000FF"/>
      <name val="Calibri"/>
      <family val="2"/>
      <scheme val="minor"/>
    </font>
    <font>
      <b/>
      <sz val="20"/>
      <name val="Arial"/>
      <family val="2"/>
    </font>
    <font>
      <b/>
      <sz val="6"/>
      <color theme="0" tint="-0.34998626667073579"/>
      <name val="Arial"/>
      <family val="2"/>
    </font>
    <font>
      <b/>
      <sz val="8"/>
      <color theme="0" tint="-0.34998626667073579"/>
      <name val="Arial"/>
      <family val="2"/>
    </font>
    <font>
      <i/>
      <sz val="10"/>
      <color theme="1"/>
      <name val="Arial"/>
      <family val="2"/>
    </font>
    <font>
      <b/>
      <sz val="9"/>
      <color indexed="10"/>
      <name val="Tahoma"/>
      <family val="2"/>
    </font>
    <font>
      <b/>
      <sz val="11"/>
      <color indexed="8"/>
      <name val="Arial"/>
      <family val="2"/>
    </font>
    <font>
      <u/>
      <sz val="9"/>
      <color indexed="81"/>
      <name val="Tahoma"/>
      <family val="2"/>
    </font>
    <font>
      <b/>
      <u/>
      <sz val="9"/>
      <color indexed="81"/>
      <name val="Tahoma"/>
      <family val="2"/>
    </font>
    <font>
      <i/>
      <sz val="8"/>
      <name val="Arial"/>
      <family val="2"/>
    </font>
    <font>
      <sz val="9"/>
      <color rgb="FF778596"/>
      <name val="Courier New"/>
      <family val="3"/>
    </font>
    <font>
      <sz val="72"/>
      <name val="Arial"/>
      <family val="2"/>
    </font>
    <font>
      <sz val="99"/>
      <name val="Arial"/>
      <family val="2"/>
    </font>
    <font>
      <sz val="7"/>
      <name val="Arial"/>
      <family val="2"/>
    </font>
    <font>
      <b/>
      <sz val="8"/>
      <color theme="1"/>
      <name val="Calibri"/>
      <family val="2"/>
      <scheme val="minor"/>
    </font>
    <font>
      <b/>
      <i/>
      <u/>
      <sz val="12"/>
      <name val="Arial"/>
      <family val="2"/>
    </font>
    <font>
      <i/>
      <sz val="9"/>
      <name val="Arial"/>
      <family val="2"/>
    </font>
    <font>
      <b/>
      <i/>
      <sz val="10"/>
      <color rgb="FFFF0000"/>
      <name val="Arial"/>
      <family val="2"/>
    </font>
    <font>
      <u/>
      <sz val="10"/>
      <color theme="10"/>
      <name val="Arial"/>
      <family val="2"/>
    </font>
    <font>
      <u/>
      <sz val="10"/>
      <color rgb="FF0000F3"/>
      <name val="Arial"/>
      <family val="2"/>
    </font>
    <font>
      <b/>
      <sz val="11"/>
      <name val="Calibri"/>
      <family val="2"/>
      <scheme val="minor"/>
    </font>
    <font>
      <sz val="18"/>
      <name val="Arial"/>
      <family val="2"/>
    </font>
    <font>
      <b/>
      <sz val="11"/>
      <color rgb="FFFFFF00"/>
      <name val="Arial"/>
      <family val="2"/>
    </font>
    <font>
      <b/>
      <sz val="10"/>
      <color rgb="FF0000F3"/>
      <name val="Arial"/>
      <family val="2"/>
    </font>
    <font>
      <i/>
      <sz val="9"/>
      <color indexed="81"/>
      <name val="Tahoma"/>
      <family val="2"/>
    </font>
    <font>
      <b/>
      <sz val="9"/>
      <color theme="0"/>
      <name val="Arial"/>
      <family val="2"/>
    </font>
    <font>
      <b/>
      <u/>
      <sz val="12"/>
      <name val="Arial"/>
      <family val="2"/>
    </font>
    <font>
      <u/>
      <sz val="11"/>
      <color rgb="FF0000F3"/>
      <name val="Calibri"/>
      <family val="2"/>
      <scheme val="minor"/>
    </font>
    <font>
      <b/>
      <sz val="18"/>
      <color theme="1"/>
      <name val="Calibri"/>
      <family val="2"/>
      <scheme val="minor"/>
    </font>
    <font>
      <b/>
      <i/>
      <sz val="10"/>
      <name val="Calibri"/>
      <family val="2"/>
    </font>
    <font>
      <sz val="11"/>
      <name val="Calibri"/>
      <family val="2"/>
      <scheme val="minor"/>
    </font>
    <font>
      <sz val="11"/>
      <color rgb="FF1F60F1"/>
      <name val="Calibri"/>
      <family val="2"/>
      <scheme val="minor"/>
    </font>
    <font>
      <b/>
      <sz val="10"/>
      <color theme="1"/>
      <name val="Calibri"/>
      <family val="2"/>
      <scheme val="minor"/>
    </font>
    <font>
      <sz val="6"/>
      <name val="Arial"/>
      <family val="2"/>
    </font>
    <font>
      <sz val="10"/>
      <color rgb="FFFF0000"/>
      <name val="Calibri"/>
      <family val="2"/>
      <scheme val="minor"/>
    </font>
    <font>
      <b/>
      <sz val="8"/>
      <color indexed="12"/>
      <name val="Arial"/>
      <family val="2"/>
    </font>
    <font>
      <b/>
      <sz val="7"/>
      <color rgb="FFFF0000"/>
      <name val="Arial"/>
      <family val="2"/>
    </font>
    <font>
      <u/>
      <sz val="8"/>
      <color indexed="81"/>
      <name val="Tahoma"/>
      <family val="2"/>
    </font>
    <font>
      <sz val="9"/>
      <color theme="1"/>
      <name val="Calibri"/>
      <family val="2"/>
      <scheme val="minor"/>
    </font>
    <font>
      <sz val="9"/>
      <name val="Calibri"/>
      <family val="2"/>
      <scheme val="minor"/>
    </font>
    <font>
      <b/>
      <sz val="7"/>
      <name val="Arial"/>
      <family val="2"/>
    </font>
    <font>
      <sz val="9"/>
      <name val="Calibri"/>
      <family val="2"/>
    </font>
    <font>
      <b/>
      <sz val="9"/>
      <name val="Calibri"/>
      <family val="2"/>
    </font>
    <font>
      <b/>
      <sz val="22"/>
      <color rgb="FFFF0000"/>
      <name val="Arial"/>
      <family val="2"/>
    </font>
    <font>
      <i/>
      <sz val="12"/>
      <name val="Arial"/>
      <family val="2"/>
    </font>
    <font>
      <sz val="10"/>
      <color rgb="FF001FED"/>
      <name val="Arial"/>
      <family val="2"/>
    </font>
    <font>
      <b/>
      <sz val="8"/>
      <color theme="1"/>
      <name val="Arial"/>
      <family val="2"/>
    </font>
    <font>
      <sz val="10"/>
      <color indexed="81"/>
      <name val="Tahoma"/>
      <family val="2"/>
    </font>
    <font>
      <i/>
      <sz val="10"/>
      <name val="Arial"/>
      <family val="2"/>
    </font>
    <font>
      <u/>
      <sz val="10"/>
      <color rgb="FF0000FF"/>
      <name val="Arial"/>
      <family val="2"/>
    </font>
    <font>
      <i/>
      <sz val="8"/>
      <color indexed="23"/>
      <name val="Tahoma"/>
      <family val="2"/>
    </font>
    <font>
      <b/>
      <sz val="8"/>
      <color indexed="32"/>
      <name val="Tahoma"/>
      <family val="2"/>
    </font>
    <font>
      <sz val="8"/>
      <color indexed="32"/>
      <name val="Tahoma"/>
      <family val="2"/>
    </font>
    <font>
      <b/>
      <sz val="10"/>
      <color indexed="10"/>
      <name val="Tahoma"/>
      <family val="2"/>
    </font>
    <font>
      <sz val="10"/>
      <color indexed="10"/>
      <name val="Tahoma"/>
      <family val="2"/>
    </font>
    <font>
      <sz val="8"/>
      <color indexed="8"/>
      <name val="Tahoma"/>
      <family val="2"/>
    </font>
    <font>
      <sz val="8"/>
      <color indexed="81"/>
      <name val="Arial"/>
      <family val="2"/>
    </font>
    <font>
      <b/>
      <sz val="8"/>
      <color indexed="81"/>
      <name val="Arial"/>
      <family val="2"/>
    </font>
    <font>
      <b/>
      <sz val="10"/>
      <color rgb="FF0000E3"/>
      <name val="Arial"/>
      <family val="2"/>
    </font>
    <font>
      <sz val="10"/>
      <color rgb="FF0000E3"/>
      <name val="Arial"/>
      <family val="2"/>
    </font>
    <font>
      <sz val="6"/>
      <color theme="0" tint="-0.34998626667073579"/>
      <name val="Arial"/>
      <family val="2"/>
    </font>
    <font>
      <sz val="5"/>
      <color theme="6" tint="-0.249977111117893"/>
      <name val="Arial"/>
      <family val="2"/>
    </font>
    <font>
      <sz val="11"/>
      <color rgb="FF333333"/>
      <name val="Arial"/>
      <family val="2"/>
    </font>
    <font>
      <b/>
      <sz val="10"/>
      <color rgb="FF0000FF"/>
      <name val="Arial"/>
      <family val="2"/>
    </font>
    <font>
      <b/>
      <u/>
      <sz val="10"/>
      <color rgb="FFFF0000"/>
      <name val="Arial"/>
      <family val="2"/>
    </font>
    <font>
      <sz val="8"/>
      <color indexed="10"/>
      <name val="Tahoma"/>
      <family val="2"/>
    </font>
    <font>
      <b/>
      <sz val="10"/>
      <color indexed="81"/>
      <name val="Tahoma"/>
      <family val="2"/>
    </font>
    <font>
      <sz val="9"/>
      <color indexed="10"/>
      <name val="Tahoma"/>
      <family val="2"/>
    </font>
    <font>
      <sz val="9"/>
      <color indexed="53"/>
      <name val="Tahoma"/>
      <family val="2"/>
    </font>
    <font>
      <sz val="9"/>
      <color rgb="FF0000F3"/>
      <name val="Arial"/>
      <family val="2"/>
    </font>
    <font>
      <sz val="9"/>
      <color indexed="39"/>
      <name val="Tahoma"/>
      <family val="2"/>
    </font>
    <font>
      <sz val="11"/>
      <color rgb="FF0000E3"/>
      <name val="Calibri"/>
      <family val="2"/>
    </font>
    <font>
      <b/>
      <i/>
      <sz val="9"/>
      <color rgb="FF0000FF"/>
      <name val="Arial"/>
      <family val="2"/>
    </font>
    <font>
      <sz val="10"/>
      <color rgb="FF0000FF"/>
      <name val="Arial"/>
      <family val="2"/>
    </font>
    <font>
      <b/>
      <sz val="14"/>
      <color indexed="10"/>
      <name val="Tahoma"/>
      <family val="2"/>
    </font>
    <font>
      <sz val="20"/>
      <name val="Arial"/>
      <family val="2"/>
    </font>
    <font>
      <sz val="10"/>
      <color rgb="FF339966"/>
      <name val="Arial"/>
      <family val="2"/>
    </font>
    <font>
      <sz val="10"/>
      <color rgb="FF993300"/>
      <name val="Arial"/>
      <family val="2"/>
    </font>
    <font>
      <sz val="8"/>
      <color rgb="FFFF0000"/>
      <name val="Calibri"/>
      <family val="2"/>
      <scheme val="minor"/>
    </font>
    <font>
      <sz val="50"/>
      <name val="Arial"/>
      <family val="2"/>
    </font>
    <font>
      <b/>
      <sz val="8"/>
      <name val="Calibri"/>
      <family val="2"/>
      <scheme val="minor"/>
    </font>
    <font>
      <sz val="11"/>
      <color theme="5" tint="-0.249977111117893"/>
      <name val="Calibri"/>
      <family val="2"/>
      <scheme val="minor"/>
    </font>
    <font>
      <b/>
      <sz val="11"/>
      <color theme="5" tint="-0.249977111117893"/>
      <name val="Calibri"/>
      <family val="2"/>
      <scheme val="minor"/>
    </font>
    <font>
      <sz val="11"/>
      <color rgb="FF00B050"/>
      <name val="Calibri"/>
      <family val="2"/>
      <scheme val="minor"/>
    </font>
    <font>
      <b/>
      <sz val="11"/>
      <color rgb="FFC00000"/>
      <name val="Calibri"/>
      <family val="2"/>
      <scheme val="minor"/>
    </font>
    <font>
      <sz val="24"/>
      <color rgb="FFFF0000"/>
      <name val="Arial"/>
      <family val="2"/>
    </font>
    <font>
      <sz val="10"/>
      <color rgb="FFC00000"/>
      <name val="Arial"/>
      <family val="2"/>
    </font>
    <font>
      <b/>
      <sz val="10"/>
      <color rgb="FFC00000"/>
      <name val="Arial"/>
      <family val="2"/>
    </font>
    <font>
      <sz val="9"/>
      <color theme="0" tint="-0.499984740745262"/>
      <name val="Arial"/>
      <family val="2"/>
    </font>
    <font>
      <sz val="8"/>
      <color rgb="FF000000"/>
      <name val="Arial"/>
      <family val="2"/>
    </font>
    <font>
      <b/>
      <sz val="16"/>
      <color theme="0"/>
      <name val="Arial"/>
      <family val="2"/>
    </font>
    <font>
      <sz val="8"/>
      <color rgb="FF000000"/>
      <name val="Segoe UI"/>
      <family val="2"/>
    </font>
    <font>
      <b/>
      <sz val="8"/>
      <color rgb="FF0000FF"/>
      <name val="Arial"/>
      <family val="2"/>
    </font>
  </fonts>
  <fills count="147">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44"/>
        <bgColor indexed="64"/>
      </patternFill>
    </fill>
    <fill>
      <patternFill patternType="solid">
        <fgColor indexed="49"/>
        <bgColor indexed="64"/>
      </patternFill>
    </fill>
    <fill>
      <patternFill patternType="solid">
        <fgColor indexed="23"/>
        <bgColor indexed="64"/>
      </patternFill>
    </fill>
    <fill>
      <patternFill patternType="solid">
        <fgColor indexed="10"/>
        <bgColor indexed="64"/>
      </patternFill>
    </fill>
    <fill>
      <patternFill patternType="solid">
        <fgColor indexed="18"/>
        <bgColor indexed="64"/>
      </patternFill>
    </fill>
    <fill>
      <patternFill patternType="solid">
        <fgColor indexed="9"/>
        <bgColor indexed="64"/>
      </patternFill>
    </fill>
    <fill>
      <patternFill patternType="solid">
        <fgColor indexed="8"/>
        <bgColor indexed="64"/>
      </patternFill>
    </fill>
    <fill>
      <patternFill patternType="solid">
        <fgColor indexed="19"/>
        <bgColor indexed="64"/>
      </patternFill>
    </fill>
    <fill>
      <patternFill patternType="solid">
        <fgColor indexed="36"/>
        <bgColor indexed="64"/>
      </patternFill>
    </fill>
    <fill>
      <patternFill patternType="solid">
        <fgColor indexed="51"/>
        <bgColor indexed="64"/>
      </patternFill>
    </fill>
    <fill>
      <patternFill patternType="solid">
        <fgColor indexed="55"/>
        <bgColor indexed="64"/>
      </patternFill>
    </fill>
    <fill>
      <patternFill patternType="solid">
        <fgColor indexed="60"/>
        <bgColor indexed="64"/>
      </patternFill>
    </fill>
    <fill>
      <patternFill patternType="solid">
        <fgColor indexed="41"/>
        <bgColor indexed="64"/>
      </patternFill>
    </fill>
    <fill>
      <patternFill patternType="solid">
        <fgColor indexed="62"/>
        <bgColor indexed="64"/>
      </patternFill>
    </fill>
    <fill>
      <patternFill patternType="solid">
        <fgColor indexed="53"/>
        <bgColor indexed="64"/>
      </patternFill>
    </fill>
    <fill>
      <patternFill patternType="solid">
        <fgColor indexed="20"/>
        <bgColor indexed="64"/>
      </patternFill>
    </fill>
    <fill>
      <patternFill patternType="solid">
        <fgColor theme="0"/>
        <bgColor indexed="64"/>
      </patternFill>
    </fill>
    <fill>
      <patternFill patternType="solid">
        <fgColor theme="1"/>
        <bgColor indexed="64"/>
      </patternFill>
    </fill>
    <fill>
      <patternFill patternType="solid">
        <fgColor theme="0" tint="-0.24994659260841701"/>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3" tint="0.59996337778862885"/>
        <bgColor indexed="64"/>
      </patternFill>
    </fill>
    <fill>
      <patternFill patternType="solid">
        <fgColor theme="0" tint="-0.14999847407452621"/>
        <bgColor indexed="64"/>
      </patternFill>
    </fill>
    <fill>
      <patternFill patternType="solid">
        <fgColor theme="6" tint="0.59996337778862885"/>
        <bgColor indexed="64"/>
      </patternFill>
    </fill>
    <fill>
      <patternFill patternType="solid">
        <fgColor rgb="FFFFFF0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1" tint="4.9989318521683403E-2"/>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00B0F0"/>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rgb="FF0070C0"/>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FFFF"/>
        <bgColor indexed="64"/>
      </patternFill>
    </fill>
    <fill>
      <patternFill patternType="solid">
        <fgColor indexed="42"/>
        <bgColor indexed="64"/>
      </patternFill>
    </fill>
    <fill>
      <patternFill patternType="solid">
        <fgColor rgb="FFFF3300"/>
        <bgColor indexed="64"/>
      </patternFill>
    </fill>
    <fill>
      <patternFill patternType="solid">
        <fgColor theme="7"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39997558519241921"/>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rgb="FFFF0000"/>
        <bgColor indexed="64"/>
      </patternFill>
    </fill>
    <fill>
      <patternFill patternType="solid">
        <fgColor rgb="FF00CC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gradientFill degree="90">
        <stop position="0">
          <color theme="0" tint="-0.1490218817712943"/>
        </stop>
        <stop position="1">
          <color theme="2" tint="-0.25098422193060094"/>
        </stop>
      </gradientFill>
    </fill>
    <fill>
      <patternFill patternType="solid">
        <fgColor theme="2" tint="-0.499984740745262"/>
        <bgColor indexed="64"/>
      </patternFill>
    </fill>
    <fill>
      <patternFill patternType="solid">
        <fgColor theme="0" tint="-0.14999847407452621"/>
        <bgColor auto="1"/>
      </patternFill>
    </fill>
    <fill>
      <patternFill patternType="solid">
        <fgColor theme="2" tint="-0.249977111117893"/>
        <bgColor auto="1"/>
      </patternFill>
    </fill>
    <fill>
      <patternFill patternType="solid">
        <fgColor theme="5" tint="0.79998168889431442"/>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rgb="FF92D050"/>
        <bgColor indexed="64"/>
      </patternFill>
    </fill>
    <fill>
      <patternFill patternType="solid">
        <fgColor rgb="FFCAFEB0"/>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theme="6" tint="-0.499984740745262"/>
        <bgColor indexed="64"/>
      </patternFill>
    </fill>
    <fill>
      <patternFill patternType="lightUp">
        <bgColor theme="0" tint="-0.249977111117893"/>
      </patternFill>
    </fill>
    <fill>
      <patternFill patternType="lightUp">
        <bgColor theme="1"/>
      </patternFill>
    </fill>
    <fill>
      <patternFill patternType="solid">
        <fgColor theme="5" tint="0.59999389629810485"/>
        <bgColor indexed="64"/>
      </patternFill>
    </fill>
    <fill>
      <patternFill patternType="solid">
        <fgColor theme="2" tint="-0.749992370372631"/>
        <bgColor indexed="64"/>
      </patternFill>
    </fill>
    <fill>
      <patternFill patternType="solid">
        <fgColor theme="1" tint="0.34998626667073579"/>
        <bgColor indexed="64"/>
      </patternFill>
    </fill>
    <fill>
      <patternFill patternType="solid">
        <fgColor rgb="FF0000E3"/>
        <bgColor indexed="64"/>
      </patternFill>
    </fill>
    <fill>
      <patternFill patternType="solid">
        <fgColor rgb="FF0000F3"/>
        <bgColor indexed="64"/>
      </patternFill>
    </fill>
    <fill>
      <patternFill patternType="solid">
        <fgColor rgb="FFFFC000"/>
        <bgColor indexed="64"/>
      </patternFill>
    </fill>
    <fill>
      <patternFill patternType="lightUp"/>
    </fill>
    <fill>
      <patternFill patternType="lightUp">
        <bgColor theme="0"/>
      </patternFill>
    </fill>
    <fill>
      <patternFill patternType="solid">
        <fgColor indexed="65"/>
        <bgColor indexed="64"/>
      </patternFill>
    </fill>
    <fill>
      <patternFill patternType="solid">
        <fgColor theme="8" tint="-0.249977111117893"/>
        <bgColor indexed="64"/>
      </patternFill>
    </fill>
    <fill>
      <patternFill patternType="gray125">
        <bgColor theme="0" tint="-0.14996795556505021"/>
      </patternFill>
    </fill>
    <fill>
      <patternFill patternType="solid">
        <fgColor rgb="FFF1B5B9"/>
        <bgColor indexed="64"/>
      </patternFill>
    </fill>
    <fill>
      <patternFill patternType="solid">
        <fgColor rgb="FFF6F9D3"/>
        <bgColor indexed="64"/>
      </patternFill>
    </fill>
    <fill>
      <patternFill patternType="lightUp">
        <bgColor theme="0" tint="-0.14999847407452621"/>
      </patternFill>
    </fill>
    <fill>
      <patternFill patternType="solid">
        <fgColor theme="8"/>
        <bgColor indexed="64"/>
      </patternFill>
    </fill>
    <fill>
      <patternFill patternType="lightGray">
        <bgColor theme="0" tint="-0.14993743705557422"/>
      </patternFill>
    </fill>
    <fill>
      <patternFill patternType="solid">
        <fgColor rgb="FF669900"/>
        <bgColor indexed="64"/>
      </patternFill>
    </fill>
  </fills>
  <borders count="135">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thin">
        <color indexed="64"/>
      </left>
      <right/>
      <top style="thin">
        <color indexed="64"/>
      </top>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thin">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4659260841701"/>
      </left>
      <right style="thin">
        <color theme="0" tint="-0.24994659260841701"/>
      </right>
      <top/>
      <bottom style="thin">
        <color theme="0" tint="-0.24994659260841701"/>
      </bottom>
      <diagonal/>
    </border>
    <border>
      <left/>
      <right style="thin">
        <color indexed="64"/>
      </right>
      <top/>
      <bottom/>
      <diagonal/>
    </border>
    <border>
      <left/>
      <right style="thin">
        <color indexed="64"/>
      </right>
      <top style="medium">
        <color indexed="64"/>
      </top>
      <bottom/>
      <diagonal/>
    </border>
    <border>
      <left style="medium">
        <color indexed="64"/>
      </left>
      <right style="thin">
        <color theme="0" tint="-0.24994659260841701"/>
      </right>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medium">
        <color indexed="64"/>
      </left>
      <right style="thin">
        <color theme="0" tint="-0.24994659260841701"/>
      </right>
      <top/>
      <bottom style="medium">
        <color indexed="64"/>
      </bottom>
      <diagonal/>
    </border>
    <border>
      <left style="thin">
        <color theme="0" tint="-0.24994659260841701"/>
      </left>
      <right style="thin">
        <color theme="0" tint="-0.24994659260841701"/>
      </right>
      <top/>
      <bottom style="medium">
        <color indexed="64"/>
      </bottom>
      <diagonal/>
    </border>
    <border>
      <left style="thin">
        <color theme="0" tint="-0.24994659260841701"/>
      </left>
      <right style="medium">
        <color indexed="64"/>
      </right>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theme="0" tint="-0.24994659260841701"/>
      </right>
      <top style="thin">
        <color theme="0" tint="-0.24994659260841701"/>
      </top>
      <bottom style="thin">
        <color theme="0" tint="-0.2499465926084170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auto="1"/>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right style="medium">
        <color indexed="64"/>
      </right>
      <top style="thin">
        <color indexed="64"/>
      </top>
      <bottom/>
      <diagonal/>
    </border>
    <border>
      <left/>
      <right style="thin">
        <color theme="0" tint="-0.24994659260841701"/>
      </right>
      <top/>
      <bottom style="thin">
        <color theme="0" tint="-0.24994659260841701"/>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right style="thick">
        <color indexed="64"/>
      </right>
      <top style="thick">
        <color indexed="64"/>
      </top>
      <bottom style="thick">
        <color indexed="64"/>
      </bottom>
      <diagonal/>
    </border>
    <border>
      <left style="thin">
        <color auto="1"/>
      </left>
      <right style="thin">
        <color auto="1"/>
      </right>
      <top style="thin">
        <color auto="1"/>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thin">
        <color auto="1"/>
      </left>
      <right style="medium">
        <color auto="1"/>
      </right>
      <top style="thin">
        <color auto="1"/>
      </top>
      <bottom style="medium">
        <color auto="1"/>
      </bottom>
      <diagonal/>
    </border>
    <border>
      <left style="medium">
        <color indexed="64"/>
      </left>
      <right style="thin">
        <color auto="1"/>
      </right>
      <top style="thin">
        <color auto="1"/>
      </top>
      <bottom style="medium">
        <color indexed="64"/>
      </bottom>
      <diagonal/>
    </border>
    <border>
      <left/>
      <right style="medium">
        <color theme="1"/>
      </right>
      <top style="thin">
        <color indexed="64"/>
      </top>
      <bottom style="thin">
        <color indexed="64"/>
      </bottom>
      <diagonal/>
    </border>
  </borders>
  <cellStyleXfs count="48737">
    <xf numFmtId="0" fontId="0" fillId="0" borderId="0"/>
    <xf numFmtId="44" fontId="86" fillId="0" borderId="0" applyFont="0" applyFill="0" applyBorder="0" applyAlignment="0" applyProtection="0"/>
    <xf numFmtId="44" fontId="23" fillId="0" borderId="0" applyFont="0" applyFill="0" applyBorder="0" applyAlignment="0" applyProtection="0"/>
    <xf numFmtId="0" fontId="29" fillId="0" borderId="0" applyNumberFormat="0" applyFill="0" applyBorder="0" applyAlignment="0" applyProtection="0">
      <alignment vertical="top"/>
      <protection locked="0"/>
    </xf>
    <xf numFmtId="0" fontId="23" fillId="0" borderId="0"/>
    <xf numFmtId="0" fontId="72" fillId="0" borderId="0"/>
    <xf numFmtId="0" fontId="22" fillId="0" borderId="0"/>
    <xf numFmtId="44" fontId="22" fillId="0" borderId="0" applyFont="0" applyFill="0" applyBorder="0" applyAlignment="0" applyProtection="0"/>
    <xf numFmtId="44" fontId="22" fillId="0" borderId="0" applyFont="0" applyFill="0" applyBorder="0" applyAlignment="0" applyProtection="0"/>
    <xf numFmtId="0" fontId="22" fillId="0" borderId="0"/>
    <xf numFmtId="44" fontId="22" fillId="0" borderId="0" applyFont="0" applyFill="0" applyBorder="0" applyAlignment="0" applyProtection="0"/>
    <xf numFmtId="44" fontId="22" fillId="0" borderId="0" applyFont="0" applyFill="0" applyBorder="0" applyAlignment="0" applyProtection="0"/>
    <xf numFmtId="0" fontId="22" fillId="0" borderId="0"/>
    <xf numFmtId="0" fontId="126" fillId="0" borderId="0" applyNumberFormat="0" applyFill="0" applyBorder="0" applyAlignment="0" applyProtection="0"/>
    <xf numFmtId="0" fontId="127" fillId="0" borderId="78" applyNumberFormat="0" applyFill="0" applyAlignment="0" applyProtection="0"/>
    <xf numFmtId="0" fontId="128" fillId="0" borderId="79" applyNumberFormat="0" applyFill="0" applyAlignment="0" applyProtection="0"/>
    <xf numFmtId="0" fontId="129" fillId="0" borderId="80" applyNumberFormat="0" applyFill="0" applyAlignment="0" applyProtection="0"/>
    <xf numFmtId="0" fontId="129" fillId="0" borderId="0" applyNumberFormat="0" applyFill="0" applyBorder="0" applyAlignment="0" applyProtection="0"/>
    <xf numFmtId="0" fontId="130" fillId="55" borderId="0" applyNumberFormat="0" applyBorder="0" applyAlignment="0" applyProtection="0"/>
    <xf numFmtId="0" fontId="131" fillId="56" borderId="0" applyNumberFormat="0" applyBorder="0" applyAlignment="0" applyProtection="0"/>
    <xf numFmtId="0" fontId="132" fillId="57" borderId="0" applyNumberFormat="0" applyBorder="0" applyAlignment="0" applyProtection="0"/>
    <xf numFmtId="0" fontId="133" fillId="58" borderId="81" applyNumberFormat="0" applyAlignment="0" applyProtection="0"/>
    <xf numFmtId="0" fontId="134" fillId="59" borderId="82" applyNumberFormat="0" applyAlignment="0" applyProtection="0"/>
    <xf numFmtId="0" fontId="135" fillId="59" borderId="81" applyNumberFormat="0" applyAlignment="0" applyProtection="0"/>
    <xf numFmtId="0" fontId="136" fillId="0" borderId="83" applyNumberFormat="0" applyFill="0" applyAlignment="0" applyProtection="0"/>
    <xf numFmtId="0" fontId="137" fillId="60" borderId="84" applyNumberFormat="0" applyAlignment="0" applyProtection="0"/>
    <xf numFmtId="0" fontId="138" fillId="0" borderId="0" applyNumberFormat="0" applyFill="0" applyBorder="0" applyAlignment="0" applyProtection="0"/>
    <xf numFmtId="0" fontId="139" fillId="0" borderId="0" applyNumberFormat="0" applyFill="0" applyBorder="0" applyAlignment="0" applyProtection="0"/>
    <xf numFmtId="0" fontId="87" fillId="0" borderId="86" applyNumberFormat="0" applyFill="0" applyAlignment="0" applyProtection="0"/>
    <xf numFmtId="0" fontId="140"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140" fillId="65" borderId="0" applyNumberFormat="0" applyBorder="0" applyAlignment="0" applyProtection="0"/>
    <xf numFmtId="0" fontId="140" fillId="66" borderId="0" applyNumberFormat="0" applyBorder="0" applyAlignment="0" applyProtection="0"/>
    <xf numFmtId="0" fontId="21" fillId="67" borderId="0" applyNumberFormat="0" applyBorder="0" applyAlignment="0" applyProtection="0"/>
    <xf numFmtId="0" fontId="21" fillId="68" borderId="0" applyNumberFormat="0" applyBorder="0" applyAlignment="0" applyProtection="0"/>
    <xf numFmtId="0" fontId="140" fillId="69" borderId="0" applyNumberFormat="0" applyBorder="0" applyAlignment="0" applyProtection="0"/>
    <xf numFmtId="0" fontId="140" fillId="70" borderId="0" applyNumberFormat="0" applyBorder="0" applyAlignment="0" applyProtection="0"/>
    <xf numFmtId="0" fontId="21" fillId="71" borderId="0" applyNumberFormat="0" applyBorder="0" applyAlignment="0" applyProtection="0"/>
    <xf numFmtId="0" fontId="21" fillId="72" borderId="0" applyNumberFormat="0" applyBorder="0" applyAlignment="0" applyProtection="0"/>
    <xf numFmtId="0" fontId="140" fillId="73" borderId="0" applyNumberFormat="0" applyBorder="0" applyAlignment="0" applyProtection="0"/>
    <xf numFmtId="0" fontId="140" fillId="74" borderId="0" applyNumberFormat="0" applyBorder="0" applyAlignment="0" applyProtection="0"/>
    <xf numFmtId="0" fontId="21" fillId="75" borderId="0" applyNumberFormat="0" applyBorder="0" applyAlignment="0" applyProtection="0"/>
    <xf numFmtId="0" fontId="21" fillId="76" borderId="0" applyNumberFormat="0" applyBorder="0" applyAlignment="0" applyProtection="0"/>
    <xf numFmtId="0" fontId="140" fillId="77" borderId="0" applyNumberFormat="0" applyBorder="0" applyAlignment="0" applyProtection="0"/>
    <xf numFmtId="0" fontId="140" fillId="78" borderId="0" applyNumberFormat="0" applyBorder="0" applyAlignment="0" applyProtection="0"/>
    <xf numFmtId="0" fontId="21" fillId="79" borderId="0" applyNumberFormat="0" applyBorder="0" applyAlignment="0" applyProtection="0"/>
    <xf numFmtId="0" fontId="21" fillId="80" borderId="0" applyNumberFormat="0" applyBorder="0" applyAlignment="0" applyProtection="0"/>
    <xf numFmtId="0" fontId="140" fillId="81" borderId="0" applyNumberFormat="0" applyBorder="0" applyAlignment="0" applyProtection="0"/>
    <xf numFmtId="0" fontId="140" fillId="82" borderId="0" applyNumberFormat="0" applyBorder="0" applyAlignment="0" applyProtection="0"/>
    <xf numFmtId="0" fontId="21" fillId="83" borderId="0" applyNumberFormat="0" applyBorder="0" applyAlignment="0" applyProtection="0"/>
    <xf numFmtId="0" fontId="21" fillId="84" borderId="0" applyNumberFormat="0" applyBorder="0" applyAlignment="0" applyProtection="0"/>
    <xf numFmtId="0" fontId="140" fillId="85" borderId="0" applyNumberFormat="0" applyBorder="0" applyAlignment="0" applyProtection="0"/>
    <xf numFmtId="0" fontId="21" fillId="0" borderId="0"/>
    <xf numFmtId="0" fontId="21" fillId="61" borderId="85" applyNumberFormat="0" applyFont="0" applyAlignment="0" applyProtection="0"/>
    <xf numFmtId="0" fontId="20" fillId="63" borderId="0" applyNumberFormat="0" applyBorder="0" applyAlignment="0" applyProtection="0"/>
    <xf numFmtId="0" fontId="20" fillId="64" borderId="0" applyNumberFormat="0" applyBorder="0" applyAlignment="0" applyProtection="0"/>
    <xf numFmtId="0" fontId="20" fillId="67" borderId="0" applyNumberFormat="0" applyBorder="0" applyAlignment="0" applyProtection="0"/>
    <xf numFmtId="0" fontId="20" fillId="68" borderId="0" applyNumberFormat="0" applyBorder="0" applyAlignment="0" applyProtection="0"/>
    <xf numFmtId="0" fontId="20" fillId="71" borderId="0" applyNumberFormat="0" applyBorder="0" applyAlignment="0" applyProtection="0"/>
    <xf numFmtId="0" fontId="20" fillId="72" borderId="0" applyNumberFormat="0" applyBorder="0" applyAlignment="0" applyProtection="0"/>
    <xf numFmtId="0" fontId="20" fillId="75" borderId="0" applyNumberFormat="0" applyBorder="0" applyAlignment="0" applyProtection="0"/>
    <xf numFmtId="0" fontId="20" fillId="76" borderId="0" applyNumberFormat="0" applyBorder="0" applyAlignment="0" applyProtection="0"/>
    <xf numFmtId="0" fontId="20" fillId="79" borderId="0" applyNumberFormat="0" applyBorder="0" applyAlignment="0" applyProtection="0"/>
    <xf numFmtId="0" fontId="20" fillId="80" borderId="0" applyNumberFormat="0" applyBorder="0" applyAlignment="0" applyProtection="0"/>
    <xf numFmtId="0" fontId="20" fillId="83" borderId="0" applyNumberFormat="0" applyBorder="0" applyAlignment="0" applyProtection="0"/>
    <xf numFmtId="0" fontId="20" fillId="84" borderId="0" applyNumberFormat="0" applyBorder="0" applyAlignment="0" applyProtection="0"/>
    <xf numFmtId="43" fontId="22" fillId="0" borderId="0" applyFont="0" applyFill="0" applyBorder="0" applyAlignment="0" applyProtection="0"/>
    <xf numFmtId="0" fontId="20" fillId="0" borderId="0"/>
    <xf numFmtId="0" fontId="20" fillId="61" borderId="85" applyNumberFormat="0" applyFont="0" applyAlignment="0" applyProtection="0"/>
    <xf numFmtId="0" fontId="19" fillId="0" borderId="0"/>
    <xf numFmtId="0" fontId="18" fillId="0" borderId="0"/>
    <xf numFmtId="0" fontId="17" fillId="63" borderId="0" applyNumberFormat="0" applyBorder="0" applyAlignment="0" applyProtection="0"/>
    <xf numFmtId="0" fontId="17" fillId="64" borderId="0" applyNumberFormat="0" applyBorder="0" applyAlignment="0" applyProtection="0"/>
    <xf numFmtId="0" fontId="17" fillId="67" borderId="0" applyNumberFormat="0" applyBorder="0" applyAlignment="0" applyProtection="0"/>
    <xf numFmtId="0" fontId="17" fillId="68" borderId="0" applyNumberFormat="0" applyBorder="0" applyAlignment="0" applyProtection="0"/>
    <xf numFmtId="0" fontId="17" fillId="71" borderId="0" applyNumberFormat="0" applyBorder="0" applyAlignment="0" applyProtection="0"/>
    <xf numFmtId="0" fontId="17" fillId="72" borderId="0" applyNumberFormat="0" applyBorder="0" applyAlignment="0" applyProtection="0"/>
    <xf numFmtId="0" fontId="17" fillId="75" borderId="0" applyNumberFormat="0" applyBorder="0" applyAlignment="0" applyProtection="0"/>
    <xf numFmtId="0" fontId="17" fillId="76" borderId="0" applyNumberFormat="0" applyBorder="0" applyAlignment="0" applyProtection="0"/>
    <xf numFmtId="0" fontId="17" fillId="79" borderId="0" applyNumberFormat="0" applyBorder="0" applyAlignment="0" applyProtection="0"/>
    <xf numFmtId="0" fontId="17" fillId="80" borderId="0" applyNumberFormat="0" applyBorder="0" applyAlignment="0" applyProtection="0"/>
    <xf numFmtId="0" fontId="17" fillId="83" borderId="0" applyNumberFormat="0" applyBorder="0" applyAlignment="0" applyProtection="0"/>
    <xf numFmtId="0" fontId="17" fillId="84" borderId="0" applyNumberFormat="0" applyBorder="0" applyAlignment="0" applyProtection="0"/>
    <xf numFmtId="0" fontId="17" fillId="0" borderId="0"/>
    <xf numFmtId="0" fontId="17" fillId="61" borderId="85" applyNumberFormat="0" applyFont="0" applyAlignment="0" applyProtection="0"/>
    <xf numFmtId="0" fontId="17" fillId="63" borderId="0" applyNumberFormat="0" applyBorder="0" applyAlignment="0" applyProtection="0"/>
    <xf numFmtId="0" fontId="17" fillId="64" borderId="0" applyNumberFormat="0" applyBorder="0" applyAlignment="0" applyProtection="0"/>
    <xf numFmtId="0" fontId="17" fillId="67" borderId="0" applyNumberFormat="0" applyBorder="0" applyAlignment="0" applyProtection="0"/>
    <xf numFmtId="0" fontId="17" fillId="68" borderId="0" applyNumberFormat="0" applyBorder="0" applyAlignment="0" applyProtection="0"/>
    <xf numFmtId="0" fontId="17" fillId="71" borderId="0" applyNumberFormat="0" applyBorder="0" applyAlignment="0" applyProtection="0"/>
    <xf numFmtId="0" fontId="17" fillId="72" borderId="0" applyNumberFormat="0" applyBorder="0" applyAlignment="0" applyProtection="0"/>
    <xf numFmtId="0" fontId="17" fillId="75" borderId="0" applyNumberFormat="0" applyBorder="0" applyAlignment="0" applyProtection="0"/>
    <xf numFmtId="0" fontId="17" fillId="76" borderId="0" applyNumberFormat="0" applyBorder="0" applyAlignment="0" applyProtection="0"/>
    <xf numFmtId="0" fontId="17" fillId="79" borderId="0" applyNumberFormat="0" applyBorder="0" applyAlignment="0" applyProtection="0"/>
    <xf numFmtId="0" fontId="17" fillId="80" borderId="0" applyNumberFormat="0" applyBorder="0" applyAlignment="0" applyProtection="0"/>
    <xf numFmtId="0" fontId="17" fillId="83" borderId="0" applyNumberFormat="0" applyBorder="0" applyAlignment="0" applyProtection="0"/>
    <xf numFmtId="0" fontId="17" fillId="84" borderId="0" applyNumberFormat="0" applyBorder="0" applyAlignment="0" applyProtection="0"/>
    <xf numFmtId="0" fontId="17" fillId="0" borderId="0"/>
    <xf numFmtId="0" fontId="17" fillId="61" borderId="85" applyNumberFormat="0" applyFont="0" applyAlignment="0" applyProtection="0"/>
    <xf numFmtId="0" fontId="17" fillId="0" borderId="0"/>
    <xf numFmtId="0" fontId="17" fillId="0" borderId="0"/>
    <xf numFmtId="0" fontId="16" fillId="63" borderId="0" applyNumberFormat="0" applyBorder="0" applyAlignment="0" applyProtection="0"/>
    <xf numFmtId="0" fontId="16" fillId="64" borderId="0" applyNumberFormat="0" applyBorder="0" applyAlignment="0" applyProtection="0"/>
    <xf numFmtId="0" fontId="16" fillId="67" borderId="0" applyNumberFormat="0" applyBorder="0" applyAlignment="0" applyProtection="0"/>
    <xf numFmtId="0" fontId="16" fillId="68" borderId="0" applyNumberFormat="0" applyBorder="0" applyAlignment="0" applyProtection="0"/>
    <xf numFmtId="0" fontId="16" fillId="71" borderId="0" applyNumberFormat="0" applyBorder="0" applyAlignment="0" applyProtection="0"/>
    <xf numFmtId="0" fontId="16" fillId="72" borderId="0" applyNumberFormat="0" applyBorder="0" applyAlignment="0" applyProtection="0"/>
    <xf numFmtId="0" fontId="16" fillId="75" borderId="0" applyNumberFormat="0" applyBorder="0" applyAlignment="0" applyProtection="0"/>
    <xf numFmtId="0" fontId="16" fillId="76" borderId="0" applyNumberFormat="0" applyBorder="0" applyAlignment="0" applyProtection="0"/>
    <xf numFmtId="0" fontId="16" fillId="79" borderId="0" applyNumberFormat="0" applyBorder="0" applyAlignment="0" applyProtection="0"/>
    <xf numFmtId="0" fontId="16" fillId="80" borderId="0" applyNumberFormat="0" applyBorder="0" applyAlignment="0" applyProtection="0"/>
    <xf numFmtId="0" fontId="16" fillId="83" borderId="0" applyNumberFormat="0" applyBorder="0" applyAlignment="0" applyProtection="0"/>
    <xf numFmtId="0" fontId="16" fillId="84" borderId="0" applyNumberFormat="0" applyBorder="0" applyAlignment="0" applyProtection="0"/>
    <xf numFmtId="0" fontId="16" fillId="0" borderId="0"/>
    <xf numFmtId="0" fontId="16" fillId="61" borderId="85" applyNumberFormat="0" applyFont="0" applyAlignment="0" applyProtection="0"/>
    <xf numFmtId="0" fontId="16" fillId="63" borderId="0" applyNumberFormat="0" applyBorder="0" applyAlignment="0" applyProtection="0"/>
    <xf numFmtId="0" fontId="16" fillId="64" borderId="0" applyNumberFormat="0" applyBorder="0" applyAlignment="0" applyProtection="0"/>
    <xf numFmtId="0" fontId="16" fillId="67" borderId="0" applyNumberFormat="0" applyBorder="0" applyAlignment="0" applyProtection="0"/>
    <xf numFmtId="0" fontId="16" fillId="68" borderId="0" applyNumberFormat="0" applyBorder="0" applyAlignment="0" applyProtection="0"/>
    <xf numFmtId="0" fontId="16" fillId="71" borderId="0" applyNumberFormat="0" applyBorder="0" applyAlignment="0" applyProtection="0"/>
    <xf numFmtId="0" fontId="16" fillId="72" borderId="0" applyNumberFormat="0" applyBorder="0" applyAlignment="0" applyProtection="0"/>
    <xf numFmtId="0" fontId="16" fillId="75" borderId="0" applyNumberFormat="0" applyBorder="0" applyAlignment="0" applyProtection="0"/>
    <xf numFmtId="0" fontId="16" fillId="76" borderId="0" applyNumberFormat="0" applyBorder="0" applyAlignment="0" applyProtection="0"/>
    <xf numFmtId="0" fontId="16" fillId="79" borderId="0" applyNumberFormat="0" applyBorder="0" applyAlignment="0" applyProtection="0"/>
    <xf numFmtId="0" fontId="16" fillId="80" borderId="0" applyNumberFormat="0" applyBorder="0" applyAlignment="0" applyProtection="0"/>
    <xf numFmtId="0" fontId="16" fillId="83" borderId="0" applyNumberFormat="0" applyBorder="0" applyAlignment="0" applyProtection="0"/>
    <xf numFmtId="0" fontId="16" fillId="84" borderId="0" applyNumberFormat="0" applyBorder="0" applyAlignment="0" applyProtection="0"/>
    <xf numFmtId="0" fontId="16" fillId="0" borderId="0"/>
    <xf numFmtId="0" fontId="16" fillId="61" borderId="85" applyNumberFormat="0" applyFont="0" applyAlignment="0" applyProtection="0"/>
    <xf numFmtId="0" fontId="16" fillId="0" borderId="0"/>
    <xf numFmtId="0" fontId="16" fillId="0" borderId="0"/>
    <xf numFmtId="0" fontId="147" fillId="0" borderId="0" applyNumberFormat="0" applyFill="0" applyBorder="0" applyAlignment="0" applyProtection="0">
      <alignment vertical="top"/>
      <protection locked="0"/>
    </xf>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0" borderId="0"/>
    <xf numFmtId="0" fontId="15" fillId="0" borderId="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0" borderId="0"/>
    <xf numFmtId="0" fontId="15" fillId="0" borderId="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0" borderId="0"/>
    <xf numFmtId="0" fontId="15" fillId="0" borderId="0"/>
    <xf numFmtId="0" fontId="29" fillId="0" borderId="0" applyNumberFormat="0" applyFill="0" applyBorder="0" applyAlignment="0" applyProtection="0">
      <alignment vertical="top"/>
      <protection locked="0"/>
    </xf>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0" borderId="0"/>
    <xf numFmtId="0" fontId="15" fillId="0" borderId="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0" borderId="0"/>
    <xf numFmtId="0" fontId="15" fillId="0" borderId="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0" borderId="0"/>
    <xf numFmtId="0" fontId="15" fillId="0" borderId="0"/>
    <xf numFmtId="0" fontId="29" fillId="0" borderId="0" applyNumberFormat="0" applyFill="0" applyBorder="0" applyAlignment="0" applyProtection="0">
      <alignment vertical="top"/>
      <protection locked="0"/>
    </xf>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0" borderId="0"/>
    <xf numFmtId="0" fontId="15" fillId="0" borderId="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0" borderId="0"/>
    <xf numFmtId="0" fontId="15" fillId="0" borderId="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63" borderId="0" applyNumberFormat="0" applyBorder="0" applyAlignment="0" applyProtection="0"/>
    <xf numFmtId="0" fontId="15" fillId="64" borderId="0" applyNumberFormat="0" applyBorder="0" applyAlignment="0" applyProtection="0"/>
    <xf numFmtId="0" fontId="15" fillId="67" borderId="0" applyNumberFormat="0" applyBorder="0" applyAlignment="0" applyProtection="0"/>
    <xf numFmtId="0" fontId="15" fillId="68" borderId="0" applyNumberFormat="0" applyBorder="0" applyAlignment="0" applyProtection="0"/>
    <xf numFmtId="0" fontId="15" fillId="71" borderId="0" applyNumberFormat="0" applyBorder="0" applyAlignment="0" applyProtection="0"/>
    <xf numFmtId="0" fontId="15" fillId="72" borderId="0" applyNumberFormat="0" applyBorder="0" applyAlignment="0" applyProtection="0"/>
    <xf numFmtId="0" fontId="15" fillId="75" borderId="0" applyNumberFormat="0" applyBorder="0" applyAlignment="0" applyProtection="0"/>
    <xf numFmtId="0" fontId="15" fillId="76" borderId="0" applyNumberFormat="0" applyBorder="0" applyAlignment="0" applyProtection="0"/>
    <xf numFmtId="0" fontId="15" fillId="79" borderId="0" applyNumberFormat="0" applyBorder="0" applyAlignment="0" applyProtection="0"/>
    <xf numFmtId="0" fontId="15" fillId="80" borderId="0" applyNumberFormat="0" applyBorder="0" applyAlignment="0" applyProtection="0"/>
    <xf numFmtId="0" fontId="15" fillId="83" borderId="0" applyNumberFormat="0" applyBorder="0" applyAlignment="0" applyProtection="0"/>
    <xf numFmtId="0" fontId="15" fillId="84" borderId="0" applyNumberFormat="0" applyBorder="0" applyAlignment="0" applyProtection="0"/>
    <xf numFmtId="0" fontId="15" fillId="0" borderId="0"/>
    <xf numFmtId="0" fontId="15" fillId="61" borderId="85" applyNumberFormat="0" applyFont="0" applyAlignment="0" applyProtection="0"/>
    <xf numFmtId="0" fontId="15" fillId="0" borderId="0"/>
    <xf numFmtId="0" fontId="15" fillId="0" borderId="0"/>
    <xf numFmtId="0" fontId="72" fillId="92" borderId="0" applyNumberFormat="0" applyBorder="0" applyAlignment="0" applyProtection="0"/>
    <xf numFmtId="0" fontId="72" fillId="93" borderId="0" applyNumberFormat="0" applyBorder="0" applyAlignment="0" applyProtection="0"/>
    <xf numFmtId="0" fontId="72" fillId="94" borderId="0" applyNumberFormat="0" applyBorder="0" applyAlignment="0" applyProtection="0"/>
    <xf numFmtId="0" fontId="72" fillId="95" borderId="0" applyNumberFormat="0" applyBorder="0" applyAlignment="0" applyProtection="0"/>
    <xf numFmtId="0" fontId="72" fillId="96" borderId="0" applyNumberFormat="0" applyBorder="0" applyAlignment="0" applyProtection="0"/>
    <xf numFmtId="0" fontId="72" fillId="97" borderId="0" applyNumberFormat="0" applyBorder="0" applyAlignment="0" applyProtection="0"/>
    <xf numFmtId="0" fontId="72" fillId="98" borderId="0" applyNumberFormat="0" applyBorder="0" applyAlignment="0" applyProtection="0"/>
    <xf numFmtId="0" fontId="72" fillId="99" borderId="0" applyNumberFormat="0" applyBorder="0" applyAlignment="0" applyProtection="0"/>
    <xf numFmtId="0" fontId="72" fillId="100" borderId="0" applyNumberFormat="0" applyBorder="0" applyAlignment="0" applyProtection="0"/>
    <xf numFmtId="0" fontId="72" fillId="95" borderId="0" applyNumberFormat="0" applyBorder="0" applyAlignment="0" applyProtection="0"/>
    <xf numFmtId="0" fontId="72" fillId="98" borderId="0" applyNumberFormat="0" applyBorder="0" applyAlignment="0" applyProtection="0"/>
    <xf numFmtId="0" fontId="72" fillId="101" borderId="0" applyNumberFormat="0" applyBorder="0" applyAlignment="0" applyProtection="0"/>
    <xf numFmtId="0" fontId="157" fillId="102" borderId="0" applyNumberFormat="0" applyBorder="0" applyAlignment="0" applyProtection="0"/>
    <xf numFmtId="0" fontId="157" fillId="99" borderId="0" applyNumberFormat="0" applyBorder="0" applyAlignment="0" applyProtection="0"/>
    <xf numFmtId="0" fontId="157" fillId="100" borderId="0" applyNumberFormat="0" applyBorder="0" applyAlignment="0" applyProtection="0"/>
    <xf numFmtId="0" fontId="157" fillId="103" borderId="0" applyNumberFormat="0" applyBorder="0" applyAlignment="0" applyProtection="0"/>
    <xf numFmtId="0" fontId="157" fillId="104" borderId="0" applyNumberFormat="0" applyBorder="0" applyAlignment="0" applyProtection="0"/>
    <xf numFmtId="0" fontId="157" fillId="105" borderId="0" applyNumberFormat="0" applyBorder="0" applyAlignment="0" applyProtection="0"/>
    <xf numFmtId="0" fontId="157" fillId="106" borderId="0" applyNumberFormat="0" applyBorder="0" applyAlignment="0" applyProtection="0"/>
    <xf numFmtId="0" fontId="157" fillId="107" borderId="0" applyNumberFormat="0" applyBorder="0" applyAlignment="0" applyProtection="0"/>
    <xf numFmtId="0" fontId="157" fillId="108" borderId="0" applyNumberFormat="0" applyBorder="0" applyAlignment="0" applyProtection="0"/>
    <xf numFmtId="0" fontId="157" fillId="103" borderId="0" applyNumberFormat="0" applyBorder="0" applyAlignment="0" applyProtection="0"/>
    <xf numFmtId="0" fontId="157" fillId="104" borderId="0" applyNumberFormat="0" applyBorder="0" applyAlignment="0" applyProtection="0"/>
    <xf numFmtId="0" fontId="157" fillId="109" borderId="0" applyNumberFormat="0" applyBorder="0" applyAlignment="0" applyProtection="0"/>
    <xf numFmtId="0" fontId="158" fillId="93" borderId="0" applyNumberFormat="0" applyBorder="0" applyAlignment="0" applyProtection="0"/>
    <xf numFmtId="0" fontId="159" fillId="110" borderId="95" applyNumberFormat="0" applyAlignment="0" applyProtection="0"/>
    <xf numFmtId="0" fontId="160" fillId="111" borderId="96" applyNumberFormat="0" applyAlignment="0" applyProtection="0"/>
    <xf numFmtId="0" fontId="161" fillId="0" borderId="0" applyNumberFormat="0" applyFill="0" applyBorder="0" applyAlignment="0" applyProtection="0"/>
    <xf numFmtId="0" fontId="162" fillId="94" borderId="0" applyNumberFormat="0" applyBorder="0" applyAlignment="0" applyProtection="0"/>
    <xf numFmtId="0" fontId="163" fillId="0" borderId="97" applyNumberFormat="0" applyFill="0" applyAlignment="0" applyProtection="0"/>
    <xf numFmtId="0" fontId="164" fillId="0" borderId="98" applyNumberFormat="0" applyFill="0" applyAlignment="0" applyProtection="0"/>
    <xf numFmtId="0" fontId="165" fillId="0" borderId="99" applyNumberFormat="0" applyFill="0" applyAlignment="0" applyProtection="0"/>
    <xf numFmtId="0" fontId="165" fillId="0" borderId="0" applyNumberFormat="0" applyFill="0" applyBorder="0" applyAlignment="0" applyProtection="0"/>
    <xf numFmtId="0" fontId="166" fillId="97" borderId="95" applyNumberFormat="0" applyAlignment="0" applyProtection="0"/>
    <xf numFmtId="0" fontId="167" fillId="0" borderId="100" applyNumberFormat="0" applyFill="0" applyAlignment="0" applyProtection="0"/>
    <xf numFmtId="0" fontId="168" fillId="112" borderId="0" applyNumberFormat="0" applyBorder="0" applyAlignment="0" applyProtection="0"/>
    <xf numFmtId="0" fontId="72" fillId="113" borderId="101" applyNumberFormat="0" applyFont="0" applyAlignment="0" applyProtection="0"/>
    <xf numFmtId="0" fontId="169" fillId="110" borderId="102" applyNumberFormat="0" applyAlignment="0" applyProtection="0"/>
    <xf numFmtId="0" fontId="170" fillId="0" borderId="0" applyNumberFormat="0" applyFill="0" applyBorder="0" applyAlignment="0" applyProtection="0"/>
    <xf numFmtId="0" fontId="171" fillId="0" borderId="103" applyNumberFormat="0" applyFill="0" applyAlignment="0" applyProtection="0"/>
    <xf numFmtId="0" fontId="172" fillId="0" borderId="0" applyNumberFormat="0" applyFill="0" applyBorder="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72" fillId="93" borderId="0" applyNumberFormat="0" applyBorder="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72"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72" fillId="0" borderId="0"/>
    <xf numFmtId="0" fontId="72" fillId="99" borderId="0" applyNumberFormat="0" applyBorder="0" applyAlignment="0" applyProtection="0"/>
    <xf numFmtId="0" fontId="72" fillId="96" borderId="0" applyNumberFormat="0" applyBorder="0" applyAlignment="0" applyProtection="0"/>
    <xf numFmtId="0" fontId="22" fillId="0" borderId="0"/>
    <xf numFmtId="0" fontId="72" fillId="95" borderId="0" applyNumberFormat="0" applyBorder="0" applyAlignment="0" applyProtection="0"/>
    <xf numFmtId="0" fontId="72" fillId="98" borderId="0" applyNumberFormat="0" applyBorder="0" applyAlignment="0" applyProtection="0"/>
    <xf numFmtId="0" fontId="72" fillId="98" borderId="0" applyNumberFormat="0" applyBorder="0" applyAlignment="0" applyProtection="0"/>
    <xf numFmtId="0" fontId="72" fillId="113" borderId="101" applyNumberFormat="0" applyFont="0" applyAlignment="0" applyProtection="0"/>
    <xf numFmtId="0" fontId="72" fillId="0" borderId="0"/>
    <xf numFmtId="0" fontId="72" fillId="97" borderId="0" applyNumberFormat="0" applyBorder="0" applyAlignment="0" applyProtection="0"/>
    <xf numFmtId="0" fontId="72" fillId="92" borderId="0" applyNumberFormat="0" applyBorder="0" applyAlignment="0" applyProtection="0"/>
    <xf numFmtId="0" fontId="72" fillId="113" borderId="101" applyNumberFormat="0" applyFont="0" applyAlignment="0" applyProtection="0"/>
    <xf numFmtId="0" fontId="72" fillId="95" borderId="0" applyNumberFormat="0" applyBorder="0" applyAlignment="0" applyProtection="0"/>
    <xf numFmtId="0" fontId="72" fillId="101" borderId="0" applyNumberFormat="0" applyBorder="0" applyAlignment="0" applyProtection="0"/>
    <xf numFmtId="0" fontId="72" fillId="0" borderId="0"/>
    <xf numFmtId="0" fontId="72" fillId="100" borderId="0" applyNumberFormat="0" applyBorder="0" applyAlignment="0" applyProtection="0"/>
    <xf numFmtId="0" fontId="72" fillId="94" borderId="0" applyNumberFormat="0" applyBorder="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63" borderId="0" applyNumberFormat="0" applyBorder="0" applyAlignment="0" applyProtection="0"/>
    <xf numFmtId="0" fontId="14" fillId="64" borderId="0" applyNumberFormat="0" applyBorder="0" applyAlignment="0" applyProtection="0"/>
    <xf numFmtId="0" fontId="14" fillId="67" borderId="0" applyNumberFormat="0" applyBorder="0" applyAlignment="0" applyProtection="0"/>
    <xf numFmtId="0" fontId="14" fillId="68" borderId="0" applyNumberFormat="0" applyBorder="0" applyAlignment="0" applyProtection="0"/>
    <xf numFmtId="0" fontId="14" fillId="71" borderId="0" applyNumberFormat="0" applyBorder="0" applyAlignment="0" applyProtection="0"/>
    <xf numFmtId="0" fontId="14" fillId="72" borderId="0" applyNumberFormat="0" applyBorder="0" applyAlignment="0" applyProtection="0"/>
    <xf numFmtId="0" fontId="14" fillId="75" borderId="0" applyNumberFormat="0" applyBorder="0" applyAlignment="0" applyProtection="0"/>
    <xf numFmtId="0" fontId="14" fillId="76" borderId="0" applyNumberFormat="0" applyBorder="0" applyAlignment="0" applyProtection="0"/>
    <xf numFmtId="0" fontId="14" fillId="79" borderId="0" applyNumberFormat="0" applyBorder="0" applyAlignment="0" applyProtection="0"/>
    <xf numFmtId="0" fontId="14" fillId="80" borderId="0" applyNumberFormat="0" applyBorder="0" applyAlignment="0" applyProtection="0"/>
    <xf numFmtId="0" fontId="14" fillId="83" borderId="0" applyNumberFormat="0" applyBorder="0" applyAlignment="0" applyProtection="0"/>
    <xf numFmtId="0" fontId="14" fillId="84" borderId="0" applyNumberFormat="0" applyBorder="0" applyAlignment="0" applyProtection="0"/>
    <xf numFmtId="0" fontId="14" fillId="0" borderId="0"/>
    <xf numFmtId="0" fontId="14" fillId="61" borderId="85" applyNumberFormat="0" applyFont="0" applyAlignment="0" applyProtection="0"/>
    <xf numFmtId="0" fontId="14" fillId="0" borderId="0"/>
    <xf numFmtId="0" fontId="14" fillId="0" borderId="0"/>
    <xf numFmtId="0" fontId="13" fillId="63" borderId="0" applyNumberFormat="0" applyBorder="0" applyAlignment="0" applyProtection="0"/>
    <xf numFmtId="0" fontId="13" fillId="64" borderId="0" applyNumberFormat="0" applyBorder="0" applyAlignment="0" applyProtection="0"/>
    <xf numFmtId="0" fontId="13" fillId="67" borderId="0" applyNumberFormat="0" applyBorder="0" applyAlignment="0" applyProtection="0"/>
    <xf numFmtId="0" fontId="13" fillId="68" borderId="0" applyNumberFormat="0" applyBorder="0" applyAlignment="0" applyProtection="0"/>
    <xf numFmtId="0" fontId="13" fillId="71" borderId="0" applyNumberFormat="0" applyBorder="0" applyAlignment="0" applyProtection="0"/>
    <xf numFmtId="0" fontId="13" fillId="72" borderId="0" applyNumberFormat="0" applyBorder="0" applyAlignment="0" applyProtection="0"/>
    <xf numFmtId="0" fontId="13" fillId="75" borderId="0" applyNumberFormat="0" applyBorder="0" applyAlignment="0" applyProtection="0"/>
    <xf numFmtId="0" fontId="13" fillId="76" borderId="0" applyNumberFormat="0" applyBorder="0" applyAlignment="0" applyProtection="0"/>
    <xf numFmtId="0" fontId="13" fillId="79" borderId="0" applyNumberFormat="0" applyBorder="0" applyAlignment="0" applyProtection="0"/>
    <xf numFmtId="0" fontId="13" fillId="80" borderId="0" applyNumberFormat="0" applyBorder="0" applyAlignment="0" applyProtection="0"/>
    <xf numFmtId="0" fontId="13" fillId="83" borderId="0" applyNumberFormat="0" applyBorder="0" applyAlignment="0" applyProtection="0"/>
    <xf numFmtId="0" fontId="13" fillId="84" borderId="0" applyNumberFormat="0" applyBorder="0" applyAlignment="0" applyProtection="0"/>
    <xf numFmtId="0" fontId="13" fillId="0" borderId="0"/>
    <xf numFmtId="0" fontId="13" fillId="61" borderId="85" applyNumberFormat="0" applyFont="0" applyAlignment="0" applyProtection="0"/>
    <xf numFmtId="0" fontId="13" fillId="63" borderId="0" applyNumberFormat="0" applyBorder="0" applyAlignment="0" applyProtection="0"/>
    <xf numFmtId="0" fontId="13" fillId="64" borderId="0" applyNumberFormat="0" applyBorder="0" applyAlignment="0" applyProtection="0"/>
    <xf numFmtId="0" fontId="13" fillId="67" borderId="0" applyNumberFormat="0" applyBorder="0" applyAlignment="0" applyProtection="0"/>
    <xf numFmtId="0" fontId="13" fillId="68" borderId="0" applyNumberFormat="0" applyBorder="0" applyAlignment="0" applyProtection="0"/>
    <xf numFmtId="0" fontId="13" fillId="71" borderId="0" applyNumberFormat="0" applyBorder="0" applyAlignment="0" applyProtection="0"/>
    <xf numFmtId="0" fontId="13" fillId="72" borderId="0" applyNumberFormat="0" applyBorder="0" applyAlignment="0" applyProtection="0"/>
    <xf numFmtId="0" fontId="13" fillId="75" borderId="0" applyNumberFormat="0" applyBorder="0" applyAlignment="0" applyProtection="0"/>
    <xf numFmtId="0" fontId="13" fillId="76" borderId="0" applyNumberFormat="0" applyBorder="0" applyAlignment="0" applyProtection="0"/>
    <xf numFmtId="0" fontId="13" fillId="79" borderId="0" applyNumberFormat="0" applyBorder="0" applyAlignment="0" applyProtection="0"/>
    <xf numFmtId="0" fontId="13" fillId="80" borderId="0" applyNumberFormat="0" applyBorder="0" applyAlignment="0" applyProtection="0"/>
    <xf numFmtId="0" fontId="13" fillId="83" borderId="0" applyNumberFormat="0" applyBorder="0" applyAlignment="0" applyProtection="0"/>
    <xf numFmtId="0" fontId="13" fillId="84" borderId="0" applyNumberFormat="0" applyBorder="0" applyAlignment="0" applyProtection="0"/>
    <xf numFmtId="0" fontId="13" fillId="0" borderId="0"/>
    <xf numFmtId="0" fontId="13" fillId="61" borderId="85" applyNumberFormat="0" applyFont="0" applyAlignment="0" applyProtection="0"/>
    <xf numFmtId="0" fontId="13" fillId="0" borderId="0"/>
    <xf numFmtId="0" fontId="13" fillId="0" borderId="0"/>
    <xf numFmtId="0" fontId="13" fillId="63" borderId="0" applyNumberFormat="0" applyBorder="0" applyAlignment="0" applyProtection="0"/>
    <xf numFmtId="0" fontId="13" fillId="64" borderId="0" applyNumberFormat="0" applyBorder="0" applyAlignment="0" applyProtection="0"/>
    <xf numFmtId="0" fontId="13" fillId="67" borderId="0" applyNumberFormat="0" applyBorder="0" applyAlignment="0" applyProtection="0"/>
    <xf numFmtId="0" fontId="13" fillId="68" borderId="0" applyNumberFormat="0" applyBorder="0" applyAlignment="0" applyProtection="0"/>
    <xf numFmtId="0" fontId="13" fillId="71" borderId="0" applyNumberFormat="0" applyBorder="0" applyAlignment="0" applyProtection="0"/>
    <xf numFmtId="0" fontId="13" fillId="72" borderId="0" applyNumberFormat="0" applyBorder="0" applyAlignment="0" applyProtection="0"/>
    <xf numFmtId="0" fontId="13" fillId="75" borderId="0" applyNumberFormat="0" applyBorder="0" applyAlignment="0" applyProtection="0"/>
    <xf numFmtId="0" fontId="13" fillId="76" borderId="0" applyNumberFormat="0" applyBorder="0" applyAlignment="0" applyProtection="0"/>
    <xf numFmtId="0" fontId="13" fillId="79" borderId="0" applyNumberFormat="0" applyBorder="0" applyAlignment="0" applyProtection="0"/>
    <xf numFmtId="0" fontId="13" fillId="80" borderId="0" applyNumberFormat="0" applyBorder="0" applyAlignment="0" applyProtection="0"/>
    <xf numFmtId="0" fontId="13" fillId="83" borderId="0" applyNumberFormat="0" applyBorder="0" applyAlignment="0" applyProtection="0"/>
    <xf numFmtId="0" fontId="13" fillId="84" borderId="0" applyNumberFormat="0" applyBorder="0" applyAlignment="0" applyProtection="0"/>
    <xf numFmtId="0" fontId="13" fillId="0" borderId="0"/>
    <xf numFmtId="0" fontId="13" fillId="61" borderId="85" applyNumberFormat="0" applyFont="0" applyAlignment="0" applyProtection="0"/>
    <xf numFmtId="0" fontId="13" fillId="63" borderId="0" applyNumberFormat="0" applyBorder="0" applyAlignment="0" applyProtection="0"/>
    <xf numFmtId="0" fontId="13" fillId="64" borderId="0" applyNumberFormat="0" applyBorder="0" applyAlignment="0" applyProtection="0"/>
    <xf numFmtId="0" fontId="13" fillId="67" borderId="0" applyNumberFormat="0" applyBorder="0" applyAlignment="0" applyProtection="0"/>
    <xf numFmtId="0" fontId="13" fillId="68" borderId="0" applyNumberFormat="0" applyBorder="0" applyAlignment="0" applyProtection="0"/>
    <xf numFmtId="0" fontId="13" fillId="71" borderId="0" applyNumberFormat="0" applyBorder="0" applyAlignment="0" applyProtection="0"/>
    <xf numFmtId="0" fontId="13" fillId="72" borderId="0" applyNumberFormat="0" applyBorder="0" applyAlignment="0" applyProtection="0"/>
    <xf numFmtId="0" fontId="13" fillId="75" borderId="0" applyNumberFormat="0" applyBorder="0" applyAlignment="0" applyProtection="0"/>
    <xf numFmtId="0" fontId="13" fillId="76" borderId="0" applyNumberFormat="0" applyBorder="0" applyAlignment="0" applyProtection="0"/>
    <xf numFmtId="0" fontId="13" fillId="79" borderId="0" applyNumberFormat="0" applyBorder="0" applyAlignment="0" applyProtection="0"/>
    <xf numFmtId="0" fontId="13" fillId="80" borderId="0" applyNumberFormat="0" applyBorder="0" applyAlignment="0" applyProtection="0"/>
    <xf numFmtId="0" fontId="13" fillId="83" borderId="0" applyNumberFormat="0" applyBorder="0" applyAlignment="0" applyProtection="0"/>
    <xf numFmtId="0" fontId="13" fillId="84" borderId="0" applyNumberFormat="0" applyBorder="0" applyAlignment="0" applyProtection="0"/>
    <xf numFmtId="0" fontId="13" fillId="0" borderId="0"/>
    <xf numFmtId="0" fontId="13" fillId="61" borderId="85" applyNumberFormat="0" applyFont="0" applyAlignment="0" applyProtection="0"/>
    <xf numFmtId="0" fontId="13" fillId="0" borderId="0"/>
    <xf numFmtId="0" fontId="13" fillId="0" borderId="0"/>
    <xf numFmtId="0" fontId="13" fillId="63" borderId="0" applyNumberFormat="0" applyBorder="0" applyAlignment="0" applyProtection="0"/>
    <xf numFmtId="0" fontId="13" fillId="64" borderId="0" applyNumberFormat="0" applyBorder="0" applyAlignment="0" applyProtection="0"/>
    <xf numFmtId="0" fontId="13" fillId="67" borderId="0" applyNumberFormat="0" applyBorder="0" applyAlignment="0" applyProtection="0"/>
    <xf numFmtId="0" fontId="13" fillId="68" borderId="0" applyNumberFormat="0" applyBorder="0" applyAlignment="0" applyProtection="0"/>
    <xf numFmtId="0" fontId="13" fillId="71" borderId="0" applyNumberFormat="0" applyBorder="0" applyAlignment="0" applyProtection="0"/>
    <xf numFmtId="0" fontId="13" fillId="72" borderId="0" applyNumberFormat="0" applyBorder="0" applyAlignment="0" applyProtection="0"/>
    <xf numFmtId="0" fontId="13" fillId="75" borderId="0" applyNumberFormat="0" applyBorder="0" applyAlignment="0" applyProtection="0"/>
    <xf numFmtId="0" fontId="13" fillId="76" borderId="0" applyNumberFormat="0" applyBorder="0" applyAlignment="0" applyProtection="0"/>
    <xf numFmtId="0" fontId="13" fillId="79" borderId="0" applyNumberFormat="0" applyBorder="0" applyAlignment="0" applyProtection="0"/>
    <xf numFmtId="0" fontId="13" fillId="80" borderId="0" applyNumberFormat="0" applyBorder="0" applyAlignment="0" applyProtection="0"/>
    <xf numFmtId="0" fontId="13" fillId="83" borderId="0" applyNumberFormat="0" applyBorder="0" applyAlignment="0" applyProtection="0"/>
    <xf numFmtId="0" fontId="13" fillId="84" borderId="0" applyNumberFormat="0" applyBorder="0" applyAlignment="0" applyProtection="0"/>
    <xf numFmtId="0" fontId="13" fillId="0" borderId="0"/>
    <xf numFmtId="0" fontId="13" fillId="61" borderId="85" applyNumberFormat="0" applyFont="0" applyAlignment="0" applyProtection="0"/>
    <xf numFmtId="0" fontId="13" fillId="63" borderId="0" applyNumberFormat="0" applyBorder="0" applyAlignment="0" applyProtection="0"/>
    <xf numFmtId="0" fontId="13" fillId="64" borderId="0" applyNumberFormat="0" applyBorder="0" applyAlignment="0" applyProtection="0"/>
    <xf numFmtId="0" fontId="13" fillId="67" borderId="0" applyNumberFormat="0" applyBorder="0" applyAlignment="0" applyProtection="0"/>
    <xf numFmtId="0" fontId="13" fillId="68" borderId="0" applyNumberFormat="0" applyBorder="0" applyAlignment="0" applyProtection="0"/>
    <xf numFmtId="0" fontId="13" fillId="71" borderId="0" applyNumberFormat="0" applyBorder="0" applyAlignment="0" applyProtection="0"/>
    <xf numFmtId="0" fontId="13" fillId="72" borderId="0" applyNumberFormat="0" applyBorder="0" applyAlignment="0" applyProtection="0"/>
    <xf numFmtId="0" fontId="13" fillId="75" borderId="0" applyNumberFormat="0" applyBorder="0" applyAlignment="0" applyProtection="0"/>
    <xf numFmtId="0" fontId="13" fillId="76" borderId="0" applyNumberFormat="0" applyBorder="0" applyAlignment="0" applyProtection="0"/>
    <xf numFmtId="0" fontId="13" fillId="79" borderId="0" applyNumberFormat="0" applyBorder="0" applyAlignment="0" applyProtection="0"/>
    <xf numFmtId="0" fontId="13" fillId="80" borderId="0" applyNumberFormat="0" applyBorder="0" applyAlignment="0" applyProtection="0"/>
    <xf numFmtId="0" fontId="13" fillId="83" borderId="0" applyNumberFormat="0" applyBorder="0" applyAlignment="0" applyProtection="0"/>
    <xf numFmtId="0" fontId="13" fillId="84" borderId="0" applyNumberFormat="0" applyBorder="0" applyAlignment="0" applyProtection="0"/>
    <xf numFmtId="0" fontId="13" fillId="0" borderId="0"/>
    <xf numFmtId="0" fontId="13" fillId="61" borderId="85" applyNumberFormat="0" applyFont="0" applyAlignment="0" applyProtection="0"/>
    <xf numFmtId="0" fontId="13" fillId="0" borderId="0"/>
    <xf numFmtId="0" fontId="13" fillId="0" borderId="0"/>
    <xf numFmtId="0" fontId="2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63" borderId="0" applyNumberFormat="0" applyBorder="0" applyAlignment="0" applyProtection="0"/>
    <xf numFmtId="0" fontId="12" fillId="64" borderId="0" applyNumberFormat="0" applyBorder="0" applyAlignment="0" applyProtection="0"/>
    <xf numFmtId="0" fontId="12" fillId="67" borderId="0" applyNumberFormat="0" applyBorder="0" applyAlignment="0" applyProtection="0"/>
    <xf numFmtId="0" fontId="12" fillId="68" borderId="0" applyNumberFormat="0" applyBorder="0" applyAlignment="0" applyProtection="0"/>
    <xf numFmtId="0" fontId="12" fillId="71" borderId="0" applyNumberFormat="0" applyBorder="0" applyAlignment="0" applyProtection="0"/>
    <xf numFmtId="0" fontId="12" fillId="72" borderId="0" applyNumberFormat="0" applyBorder="0" applyAlignment="0" applyProtection="0"/>
    <xf numFmtId="0" fontId="12" fillId="75" borderId="0" applyNumberFormat="0" applyBorder="0" applyAlignment="0" applyProtection="0"/>
    <xf numFmtId="0" fontId="12" fillId="76" borderId="0" applyNumberFormat="0" applyBorder="0" applyAlignment="0" applyProtection="0"/>
    <xf numFmtId="0" fontId="12" fillId="79" borderId="0" applyNumberFormat="0" applyBorder="0" applyAlignment="0" applyProtection="0"/>
    <xf numFmtId="0" fontId="12" fillId="80" borderId="0" applyNumberFormat="0" applyBorder="0" applyAlignment="0" applyProtection="0"/>
    <xf numFmtId="0" fontId="12" fillId="83" borderId="0" applyNumberFormat="0" applyBorder="0" applyAlignment="0" applyProtection="0"/>
    <xf numFmtId="0" fontId="12" fillId="84" borderId="0" applyNumberFormat="0" applyBorder="0" applyAlignment="0" applyProtection="0"/>
    <xf numFmtId="0" fontId="12" fillId="0" borderId="0"/>
    <xf numFmtId="0" fontId="12" fillId="61" borderId="85" applyNumberFormat="0" applyFont="0" applyAlignment="0" applyProtection="0"/>
    <xf numFmtId="0" fontId="12" fillId="0" borderId="0"/>
    <xf numFmtId="0" fontId="12"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63" borderId="0" applyNumberFormat="0" applyBorder="0" applyAlignment="0" applyProtection="0"/>
    <xf numFmtId="0" fontId="11" fillId="64"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71" borderId="0" applyNumberFormat="0" applyBorder="0" applyAlignment="0" applyProtection="0"/>
    <xf numFmtId="0" fontId="11" fillId="72" borderId="0" applyNumberFormat="0" applyBorder="0" applyAlignment="0" applyProtection="0"/>
    <xf numFmtId="0" fontId="11" fillId="75" borderId="0" applyNumberFormat="0" applyBorder="0" applyAlignment="0" applyProtection="0"/>
    <xf numFmtId="0" fontId="11" fillId="76" borderId="0" applyNumberFormat="0" applyBorder="0" applyAlignment="0" applyProtection="0"/>
    <xf numFmtId="0" fontId="11" fillId="79" borderId="0" applyNumberFormat="0" applyBorder="0" applyAlignment="0" applyProtection="0"/>
    <xf numFmtId="0" fontId="11" fillId="80" borderId="0" applyNumberFormat="0" applyBorder="0" applyAlignment="0" applyProtection="0"/>
    <xf numFmtId="0" fontId="11" fillId="83" borderId="0" applyNumberFormat="0" applyBorder="0" applyAlignment="0" applyProtection="0"/>
    <xf numFmtId="0" fontId="11" fillId="84" borderId="0" applyNumberFormat="0" applyBorder="0" applyAlignment="0" applyProtection="0"/>
    <xf numFmtId="0" fontId="11" fillId="0" borderId="0"/>
    <xf numFmtId="0" fontId="11" fillId="61" borderId="85" applyNumberFormat="0" applyFont="0" applyAlignment="0" applyProtection="0"/>
    <xf numFmtId="0" fontId="11" fillId="0" borderId="0"/>
    <xf numFmtId="0" fontId="11" fillId="0" borderId="0"/>
    <xf numFmtId="0" fontId="10" fillId="0" borderId="0"/>
    <xf numFmtId="0" fontId="10"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63" borderId="0" applyNumberFormat="0" applyBorder="0" applyAlignment="0" applyProtection="0"/>
    <xf numFmtId="0" fontId="9" fillId="64" borderId="0" applyNumberFormat="0" applyBorder="0" applyAlignment="0" applyProtection="0"/>
    <xf numFmtId="0" fontId="9" fillId="67" borderId="0" applyNumberFormat="0" applyBorder="0" applyAlignment="0" applyProtection="0"/>
    <xf numFmtId="0" fontId="9" fillId="68" borderId="0" applyNumberFormat="0" applyBorder="0" applyAlignment="0" applyProtection="0"/>
    <xf numFmtId="0" fontId="9" fillId="71" borderId="0" applyNumberFormat="0" applyBorder="0" applyAlignment="0" applyProtection="0"/>
    <xf numFmtId="0" fontId="9" fillId="72" borderId="0" applyNumberFormat="0" applyBorder="0" applyAlignment="0" applyProtection="0"/>
    <xf numFmtId="0" fontId="9" fillId="75" borderId="0" applyNumberFormat="0" applyBorder="0" applyAlignment="0" applyProtection="0"/>
    <xf numFmtId="0" fontId="9" fillId="76" borderId="0" applyNumberFormat="0" applyBorder="0" applyAlignment="0" applyProtection="0"/>
    <xf numFmtId="0" fontId="9" fillId="79" borderId="0" applyNumberFormat="0" applyBorder="0" applyAlignment="0" applyProtection="0"/>
    <xf numFmtId="0" fontId="9" fillId="80" borderId="0" applyNumberFormat="0" applyBorder="0" applyAlignment="0" applyProtection="0"/>
    <xf numFmtId="0" fontId="9" fillId="83" borderId="0" applyNumberFormat="0" applyBorder="0" applyAlignment="0" applyProtection="0"/>
    <xf numFmtId="0" fontId="9" fillId="84" borderId="0" applyNumberFormat="0" applyBorder="0" applyAlignment="0" applyProtection="0"/>
    <xf numFmtId="0" fontId="9" fillId="0" borderId="0"/>
    <xf numFmtId="0" fontId="9" fillId="61" borderId="85" applyNumberFormat="0" applyFont="0" applyAlignment="0" applyProtection="0"/>
    <xf numFmtId="0" fontId="9" fillId="0" borderId="0"/>
    <xf numFmtId="0" fontId="9" fillId="0" borderId="0"/>
    <xf numFmtId="0" fontId="9" fillId="0" borderId="0"/>
    <xf numFmtId="0" fontId="9" fillId="0" borderId="0"/>
    <xf numFmtId="0" fontId="8" fillId="0" borderId="0"/>
    <xf numFmtId="0" fontId="199" fillId="0" borderId="0" applyNumberFormat="0" applyFill="0" applyBorder="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63" borderId="0" applyNumberFormat="0" applyBorder="0" applyAlignment="0" applyProtection="0"/>
    <xf numFmtId="0" fontId="7" fillId="64" borderId="0" applyNumberFormat="0" applyBorder="0" applyAlignment="0" applyProtection="0"/>
    <xf numFmtId="0" fontId="7" fillId="67" borderId="0" applyNumberFormat="0" applyBorder="0" applyAlignment="0" applyProtection="0"/>
    <xf numFmtId="0" fontId="7" fillId="68" borderId="0" applyNumberFormat="0" applyBorder="0" applyAlignment="0" applyProtection="0"/>
    <xf numFmtId="0" fontId="7" fillId="71" borderId="0" applyNumberFormat="0" applyBorder="0" applyAlignment="0" applyProtection="0"/>
    <xf numFmtId="0" fontId="7" fillId="72" borderId="0" applyNumberFormat="0" applyBorder="0" applyAlignment="0" applyProtection="0"/>
    <xf numFmtId="0" fontId="7" fillId="75" borderId="0" applyNumberFormat="0" applyBorder="0" applyAlignment="0" applyProtection="0"/>
    <xf numFmtId="0" fontId="7" fillId="76" borderId="0" applyNumberFormat="0" applyBorder="0" applyAlignment="0" applyProtection="0"/>
    <xf numFmtId="0" fontId="7" fillId="79" borderId="0" applyNumberFormat="0" applyBorder="0" applyAlignment="0" applyProtection="0"/>
    <xf numFmtId="0" fontId="7" fillId="80" borderId="0" applyNumberFormat="0" applyBorder="0" applyAlignment="0" applyProtection="0"/>
    <xf numFmtId="0" fontId="7" fillId="83" borderId="0" applyNumberFormat="0" applyBorder="0" applyAlignment="0" applyProtection="0"/>
    <xf numFmtId="0" fontId="7" fillId="84" borderId="0" applyNumberFormat="0" applyBorder="0" applyAlignment="0" applyProtection="0"/>
    <xf numFmtId="0" fontId="7" fillId="0" borderId="0"/>
    <xf numFmtId="0" fontId="7" fillId="61" borderId="85" applyNumberFormat="0" applyFont="0" applyAlignment="0" applyProtection="0"/>
    <xf numFmtId="0" fontId="7" fillId="0" borderId="0"/>
    <xf numFmtId="0" fontId="7" fillId="0" borderId="0"/>
    <xf numFmtId="0" fontId="7" fillId="0" borderId="0"/>
    <xf numFmtId="0" fontId="7" fillId="0" borderId="0"/>
    <xf numFmtId="0" fontId="7" fillId="0" borderId="0"/>
    <xf numFmtId="0" fontId="6" fillId="0" borderId="0"/>
    <xf numFmtId="0" fontId="5" fillId="0" borderId="0"/>
    <xf numFmtId="9" fontId="22" fillId="0" borderId="0" applyFont="0" applyFill="0" applyBorder="0" applyAlignment="0" applyProtection="0"/>
    <xf numFmtId="9" fontId="22" fillId="0" borderId="0" applyFont="0" applyFill="0" applyBorder="0" applyAlignment="0" applyProtection="0"/>
    <xf numFmtId="0" fontId="2" fillId="0" borderId="0"/>
  </cellStyleXfs>
  <cellXfs count="4447">
    <xf numFmtId="0" fontId="0" fillId="0" borderId="0" xfId="0"/>
    <xf numFmtId="0" fontId="0" fillId="0" borderId="0" xfId="0" applyAlignment="1">
      <alignment horizontal="center"/>
    </xf>
    <xf numFmtId="0" fontId="0" fillId="0" borderId="1" xfId="0" applyBorder="1" applyAlignment="1">
      <alignment wrapText="1"/>
    </xf>
    <xf numFmtId="0" fontId="0" fillId="0" borderId="0" xfId="0" applyFill="1"/>
    <xf numFmtId="0" fontId="0" fillId="0" borderId="0" xfId="0" applyFill="1" applyBorder="1"/>
    <xf numFmtId="0" fontId="0" fillId="3" borderId="1" xfId="0" applyFill="1" applyBorder="1" applyAlignment="1">
      <alignment horizontal="center"/>
    </xf>
    <xf numFmtId="0" fontId="27" fillId="0" borderId="0" xfId="0" applyFont="1"/>
    <xf numFmtId="0" fontId="24" fillId="0" borderId="0" xfId="0" applyFont="1"/>
    <xf numFmtId="0" fontId="43" fillId="0" borderId="1" xfId="0" applyFont="1" applyBorder="1" applyAlignment="1" applyProtection="1">
      <alignment horizontal="center"/>
    </xf>
    <xf numFmtId="0" fontId="24" fillId="0" borderId="0" xfId="0" applyFont="1" applyAlignment="1">
      <alignment horizontal="center"/>
    </xf>
    <xf numFmtId="0" fontId="0" fillId="0" borderId="0" xfId="0" applyBorder="1"/>
    <xf numFmtId="0" fontId="25" fillId="0" borderId="0" xfId="0" applyFont="1" applyAlignment="1">
      <alignment horizontal="center"/>
    </xf>
    <xf numFmtId="0" fontId="0" fillId="0" borderId="0" xfId="0" applyAlignment="1"/>
    <xf numFmtId="0" fontId="0" fillId="3" borderId="1" xfId="0" applyFill="1" applyBorder="1"/>
    <xf numFmtId="0" fontId="23" fillId="0" borderId="0" xfId="0" applyFont="1" applyFill="1" applyBorder="1" applyAlignment="1">
      <alignment vertical="center" wrapText="1"/>
    </xf>
    <xf numFmtId="0" fontId="0" fillId="0" borderId="1" xfId="0" applyFill="1" applyBorder="1" applyAlignment="1">
      <alignment horizontal="left"/>
    </xf>
    <xf numFmtId="0" fontId="46" fillId="0" borderId="0" xfId="0" applyFont="1" applyFill="1" applyBorder="1" applyAlignment="1">
      <alignment horizontal="center" wrapText="1"/>
    </xf>
    <xf numFmtId="0" fontId="34" fillId="0" borderId="0" xfId="0" applyFont="1" applyFill="1" applyAlignment="1">
      <alignment horizontal="center" wrapText="1"/>
    </xf>
    <xf numFmtId="0" fontId="0" fillId="0" borderId="1" xfId="0" applyFill="1" applyBorder="1"/>
    <xf numFmtId="0" fontId="50" fillId="7" borderId="0" xfId="0" applyFont="1" applyFill="1"/>
    <xf numFmtId="0" fontId="37" fillId="7" borderId="0" xfId="0" applyFont="1" applyFill="1"/>
    <xf numFmtId="49" fontId="35" fillId="0" borderId="1" xfId="0" applyNumberFormat="1" applyFont="1" applyBorder="1" applyAlignment="1">
      <alignment horizontal="center"/>
    </xf>
    <xf numFmtId="0" fontId="0" fillId="0" borderId="0" xfId="0" applyProtection="1">
      <protection locked="0"/>
    </xf>
    <xf numFmtId="0" fontId="44" fillId="8" borderId="0" xfId="0" applyFont="1" applyFill="1"/>
    <xf numFmtId="166" fontId="35" fillId="3" borderId="1" xfId="0" applyNumberFormat="1" applyFont="1" applyFill="1" applyBorder="1" applyAlignment="1">
      <alignment horizontal="center"/>
    </xf>
    <xf numFmtId="0" fontId="53" fillId="9" borderId="1" xfId="0" applyFont="1" applyFill="1" applyBorder="1" applyAlignment="1">
      <alignment horizontal="left"/>
    </xf>
    <xf numFmtId="0" fontId="57" fillId="0" borderId="0" xfId="0" applyFont="1"/>
    <xf numFmtId="0" fontId="24" fillId="0" borderId="5" xfId="0" applyFont="1" applyBorder="1" applyAlignment="1">
      <alignment vertical="top" wrapText="1"/>
    </xf>
    <xf numFmtId="0" fontId="60" fillId="0" borderId="0" xfId="0" applyFont="1" applyAlignment="1">
      <alignment wrapText="1"/>
    </xf>
    <xf numFmtId="0" fontId="0" fillId="3" borderId="6" xfId="0" applyFill="1" applyBorder="1"/>
    <xf numFmtId="0" fontId="0" fillId="0" borderId="6" xfId="0" applyFill="1" applyBorder="1"/>
    <xf numFmtId="0" fontId="23" fillId="0" borderId="0" xfId="0" applyFont="1"/>
    <xf numFmtId="0" fontId="44" fillId="11" borderId="0" xfId="0" applyFont="1" applyFill="1" applyAlignment="1">
      <alignment horizontal="center"/>
    </xf>
    <xf numFmtId="0" fontId="0" fillId="0" borderId="0" xfId="0" applyAlignment="1">
      <alignment wrapText="1"/>
    </xf>
    <xf numFmtId="49" fontId="24" fillId="10" borderId="18" xfId="0" applyNumberFormat="1" applyFont="1" applyFill="1" applyBorder="1" applyAlignment="1">
      <alignment horizontal="center" vertical="top"/>
    </xf>
    <xf numFmtId="0" fontId="59" fillId="10" borderId="18" xfId="0" applyFont="1" applyFill="1" applyBorder="1" applyAlignment="1">
      <alignment horizontal="center" vertical="top"/>
    </xf>
    <xf numFmtId="0" fontId="59" fillId="10" borderId="30" xfId="0" applyFont="1" applyFill="1" applyBorder="1" applyAlignment="1">
      <alignment horizontal="center" vertical="top"/>
    </xf>
    <xf numFmtId="0" fontId="24" fillId="10" borderId="18" xfId="0" applyFont="1" applyFill="1" applyBorder="1" applyAlignment="1">
      <alignment horizontal="left" vertical="top" wrapText="1"/>
    </xf>
    <xf numFmtId="0" fontId="24" fillId="10" borderId="18" xfId="0" applyFont="1" applyFill="1" applyBorder="1" applyAlignment="1">
      <alignment horizontal="center" vertical="top" wrapText="1"/>
    </xf>
    <xf numFmtId="0" fontId="0" fillId="10" borderId="18" xfId="0" applyFill="1" applyBorder="1" applyAlignment="1">
      <alignment vertical="top" wrapText="1"/>
    </xf>
    <xf numFmtId="0" fontId="0" fillId="10" borderId="20" xfId="0" applyFill="1" applyBorder="1" applyAlignment="1">
      <alignment vertical="top" wrapText="1"/>
    </xf>
    <xf numFmtId="0" fontId="27" fillId="10" borderId="18" xfId="0" applyFont="1" applyFill="1" applyBorder="1" applyAlignment="1">
      <alignment vertical="top" wrapText="1"/>
    </xf>
    <xf numFmtId="0" fontId="23" fillId="0" borderId="19" xfId="0" applyFont="1" applyFill="1" applyBorder="1" applyAlignment="1">
      <alignment horizontal="center" vertical="top"/>
    </xf>
    <xf numFmtId="0" fontId="59" fillId="0" borderId="9" xfId="0" applyFont="1" applyFill="1" applyBorder="1" applyAlignment="1">
      <alignment horizontal="center" vertical="top"/>
    </xf>
    <xf numFmtId="0" fontId="24" fillId="0" borderId="19" xfId="0" applyFont="1" applyFill="1" applyBorder="1" applyAlignment="1">
      <alignment horizontal="left" vertical="top" wrapText="1"/>
    </xf>
    <xf numFmtId="0" fontId="0" fillId="0" borderId="19" xfId="0" applyFill="1" applyBorder="1" applyAlignment="1">
      <alignment horizontal="center" vertical="top" wrapText="1"/>
    </xf>
    <xf numFmtId="0" fontId="0" fillId="0" borderId="19" xfId="0" applyFill="1" applyBorder="1" applyAlignment="1">
      <alignment vertical="top" wrapText="1"/>
    </xf>
    <xf numFmtId="0" fontId="27" fillId="0" borderId="19" xfId="0" applyFont="1" applyFill="1" applyBorder="1" applyAlignment="1">
      <alignment vertical="top" wrapText="1"/>
    </xf>
    <xf numFmtId="0" fontId="24" fillId="0" borderId="19" xfId="0" applyFont="1" applyFill="1" applyBorder="1" applyAlignment="1">
      <alignment vertical="top" wrapText="1"/>
    </xf>
    <xf numFmtId="0" fontId="0" fillId="0" borderId="19" xfId="0" applyFill="1" applyBorder="1"/>
    <xf numFmtId="0" fontId="0" fillId="0" borderId="19" xfId="0" applyBorder="1"/>
    <xf numFmtId="0" fontId="0" fillId="0" borderId="14" xfId="0" applyBorder="1"/>
    <xf numFmtId="0" fontId="23" fillId="0" borderId="1" xfId="0" applyFont="1" applyBorder="1"/>
    <xf numFmtId="0" fontId="65" fillId="0" borderId="0" xfId="0" applyFont="1"/>
    <xf numFmtId="0" fontId="65" fillId="0" borderId="0" xfId="0" applyFont="1" applyAlignment="1">
      <alignment horizontal="right"/>
    </xf>
    <xf numFmtId="0" fontId="0" fillId="0" borderId="0" xfId="0" applyBorder="1" applyAlignment="1"/>
    <xf numFmtId="0" fontId="0" fillId="0" borderId="0" xfId="0" applyAlignment="1">
      <alignment horizontal="left"/>
    </xf>
    <xf numFmtId="0" fontId="89" fillId="0" borderId="1" xfId="0" applyFont="1" applyBorder="1"/>
    <xf numFmtId="0" fontId="72" fillId="0" borderId="1" xfId="5" applyBorder="1"/>
    <xf numFmtId="0" fontId="0" fillId="0" borderId="5" xfId="0" applyBorder="1"/>
    <xf numFmtId="0" fontId="0" fillId="21" borderId="1" xfId="0" applyFill="1" applyBorder="1"/>
    <xf numFmtId="0" fontId="0" fillId="0" borderId="5" xfId="0" applyFill="1" applyBorder="1"/>
    <xf numFmtId="0" fontId="0" fillId="21" borderId="5" xfId="0" applyFill="1" applyBorder="1"/>
    <xf numFmtId="0" fontId="0" fillId="0" borderId="6" xfId="0" applyBorder="1"/>
    <xf numFmtId="0" fontId="23" fillId="0" borderId="5" xfId="0" applyFont="1" applyBorder="1"/>
    <xf numFmtId="0" fontId="0" fillId="22" borderId="1" xfId="0" applyFill="1" applyBorder="1" applyAlignment="1">
      <alignment horizontal="center" wrapText="1"/>
    </xf>
    <xf numFmtId="0" fontId="73" fillId="0" borderId="1" xfId="5" applyFont="1" applyBorder="1"/>
    <xf numFmtId="0" fontId="23" fillId="0" borderId="1" xfId="0" applyFont="1" applyFill="1" applyBorder="1"/>
    <xf numFmtId="0" fontId="23" fillId="24" borderId="1" xfId="0" applyFont="1" applyFill="1" applyBorder="1"/>
    <xf numFmtId="0" fontId="0" fillId="27" borderId="1" xfId="0" applyFill="1" applyBorder="1"/>
    <xf numFmtId="0" fontId="0" fillId="0" borderId="0" xfId="0" applyBorder="1" applyAlignment="1">
      <alignment horizontal="center"/>
    </xf>
    <xf numFmtId="0" fontId="0" fillId="27" borderId="1" xfId="0" applyFill="1" applyBorder="1" applyAlignment="1">
      <alignment wrapText="1"/>
    </xf>
    <xf numFmtId="0" fontId="0" fillId="24" borderId="1" xfId="0" applyFill="1" applyBorder="1"/>
    <xf numFmtId="0" fontId="24" fillId="0" borderId="1" xfId="0" applyFont="1" applyBorder="1" applyAlignment="1">
      <alignment horizontal="left" vertical="top" wrapText="1"/>
    </xf>
    <xf numFmtId="0" fontId="0" fillId="0" borderId="0" xfId="0" applyBorder="1" applyAlignment="1">
      <alignment horizontal="left" vertical="center" indent="34"/>
    </xf>
    <xf numFmtId="0" fontId="0" fillId="3" borderId="41" xfId="0" applyFill="1" applyBorder="1"/>
    <xf numFmtId="0" fontId="0" fillId="0" borderId="41" xfId="0" applyBorder="1" applyAlignment="1">
      <alignment wrapText="1"/>
    </xf>
    <xf numFmtId="0" fontId="0" fillId="21" borderId="18" xfId="0" applyFill="1" applyBorder="1"/>
    <xf numFmtId="0" fontId="87" fillId="23" borderId="1" xfId="0" applyFont="1" applyFill="1" applyBorder="1"/>
    <xf numFmtId="0" fontId="94" fillId="0" borderId="32" xfId="0" applyFont="1" applyFill="1" applyBorder="1" applyAlignment="1"/>
    <xf numFmtId="0" fontId="94" fillId="0" borderId="62" xfId="0" applyFont="1" applyFill="1" applyBorder="1" applyAlignment="1"/>
    <xf numFmtId="0" fontId="87" fillId="23" borderId="15" xfId="0" applyFont="1" applyFill="1" applyBorder="1"/>
    <xf numFmtId="0" fontId="27" fillId="0" borderId="23" xfId="0" applyFont="1" applyFill="1" applyBorder="1" applyAlignment="1">
      <alignment wrapText="1"/>
    </xf>
    <xf numFmtId="0" fontId="27" fillId="0" borderId="0" xfId="0" applyFont="1" applyBorder="1"/>
    <xf numFmtId="0" fontId="51" fillId="0" borderId="0" xfId="0" applyFont="1" applyBorder="1"/>
    <xf numFmtId="0" fontId="23" fillId="38" borderId="1" xfId="0" applyFont="1" applyFill="1" applyBorder="1"/>
    <xf numFmtId="0" fontId="0" fillId="38" borderId="1" xfId="0" applyFill="1" applyBorder="1"/>
    <xf numFmtId="0" fontId="0" fillId="0" borderId="0" xfId="0" applyBorder="1" applyAlignment="1">
      <alignment vertical="top"/>
    </xf>
    <xf numFmtId="0" fontId="25" fillId="0" borderId="55" xfId="0" applyFont="1" applyBorder="1"/>
    <xf numFmtId="0" fontId="25" fillId="0" borderId="54" xfId="0" applyFont="1" applyBorder="1"/>
    <xf numFmtId="0" fontId="39" fillId="27" borderId="47" xfId="4" applyFont="1" applyFill="1" applyBorder="1" applyAlignment="1">
      <alignment horizontal="center" wrapText="1"/>
    </xf>
    <xf numFmtId="14" fontId="0" fillId="0" borderId="0" xfId="0" applyNumberFormat="1"/>
    <xf numFmtId="0" fontId="23" fillId="32" borderId="0" xfId="0" applyFont="1" applyFill="1" applyAlignment="1">
      <alignment horizontal="center"/>
    </xf>
    <xf numFmtId="0" fontId="23" fillId="0" borderId="0" xfId="0" applyFont="1" applyFill="1"/>
    <xf numFmtId="0" fontId="45" fillId="0" borderId="0" xfId="0" applyFont="1" applyFill="1" applyBorder="1" applyAlignment="1">
      <alignment horizontal="left" vertical="center" wrapText="1" indent="25"/>
    </xf>
    <xf numFmtId="0" fontId="31" fillId="0" borderId="0" xfId="0" applyFont="1" applyFill="1" applyBorder="1" applyAlignment="1">
      <alignment vertical="center"/>
    </xf>
    <xf numFmtId="0" fontId="55" fillId="10" borderId="16" xfId="0" applyFont="1" applyFill="1" applyBorder="1" applyAlignment="1">
      <alignment horizontal="left"/>
    </xf>
    <xf numFmtId="0" fontId="39" fillId="0" borderId="21" xfId="0" applyFont="1" applyFill="1" applyBorder="1" applyAlignment="1">
      <alignment horizontal="center"/>
    </xf>
    <xf numFmtId="0" fontId="39" fillId="0" borderId="24" xfId="0" applyFont="1" applyFill="1" applyBorder="1" applyAlignment="1">
      <alignment horizontal="center"/>
    </xf>
    <xf numFmtId="0" fontId="43" fillId="0" borderId="54" xfId="0" applyFont="1" applyBorder="1" applyAlignment="1" applyProtection="1">
      <alignment horizontal="center"/>
    </xf>
    <xf numFmtId="0" fontId="45" fillId="21" borderId="47" xfId="0" applyFont="1" applyFill="1" applyBorder="1" applyAlignment="1">
      <alignment horizontal="left" vertical="center" wrapText="1" indent="25"/>
    </xf>
    <xf numFmtId="0" fontId="45" fillId="21" borderId="41" xfId="0" applyFont="1" applyFill="1" applyBorder="1" applyAlignment="1">
      <alignment horizontal="left" vertical="center" wrapText="1" indent="25"/>
    </xf>
    <xf numFmtId="0" fontId="0" fillId="0" borderId="48" xfId="0" applyBorder="1" applyAlignment="1">
      <alignment wrapText="1"/>
    </xf>
    <xf numFmtId="0" fontId="0" fillId="0" borderId="54" xfId="0" applyFill="1" applyBorder="1" applyAlignment="1">
      <alignment horizontal="center"/>
    </xf>
    <xf numFmtId="0" fontId="23" fillId="0" borderId="5" xfId="0" applyFont="1" applyFill="1" applyBorder="1"/>
    <xf numFmtId="0" fontId="0" fillId="0" borderId="1" xfId="0" applyBorder="1" applyAlignment="1">
      <alignment horizontal="center" vertical="center" wrapText="1"/>
    </xf>
    <xf numFmtId="0" fontId="0" fillId="0" borderId="21" xfId="0" applyBorder="1" applyAlignment="1">
      <alignment horizontal="center"/>
    </xf>
    <xf numFmtId="0" fontId="0" fillId="0" borderId="19" xfId="0" applyBorder="1" applyAlignment="1">
      <alignment horizontal="center"/>
    </xf>
    <xf numFmtId="0" fontId="0" fillId="10" borderId="26" xfId="0" applyFill="1" applyBorder="1" applyAlignment="1">
      <alignment vertical="top" wrapText="1"/>
    </xf>
    <xf numFmtId="0" fontId="0" fillId="0" borderId="19" xfId="0" applyFill="1" applyBorder="1" applyAlignment="1">
      <alignment vertical="top"/>
    </xf>
    <xf numFmtId="0" fontId="0" fillId="0" borderId="0" xfId="0" applyBorder="1"/>
    <xf numFmtId="0" fontId="22" fillId="0" borderId="0" xfId="0" applyFont="1"/>
    <xf numFmtId="0" fontId="0" fillId="0" borderId="47" xfId="0" applyBorder="1"/>
    <xf numFmtId="0" fontId="0" fillId="0" borderId="41" xfId="0" applyBorder="1"/>
    <xf numFmtId="0" fontId="0" fillId="0" borderId="54" xfId="0" applyBorder="1"/>
    <xf numFmtId="0" fontId="0" fillId="0" borderId="0" xfId="0" applyAlignment="1">
      <alignment horizontal="center"/>
    </xf>
    <xf numFmtId="0" fontId="22" fillId="0" borderId="1" xfId="0" applyFont="1" applyBorder="1"/>
    <xf numFmtId="0" fontId="0" fillId="0" borderId="1" xfId="0" applyBorder="1" applyAlignment="1">
      <alignment horizontal="center"/>
    </xf>
    <xf numFmtId="0" fontId="0" fillId="0" borderId="0" xfId="0" applyAlignment="1">
      <alignment horizontal="center"/>
    </xf>
    <xf numFmtId="14" fontId="25" fillId="0" borderId="0" xfId="0" applyNumberFormat="1" applyFont="1"/>
    <xf numFmtId="0" fontId="0" fillId="0" borderId="1" xfId="0" applyBorder="1"/>
    <xf numFmtId="164" fontId="23" fillId="3" borderId="41" xfId="0" applyNumberFormat="1" applyFont="1" applyFill="1" applyBorder="1" applyAlignment="1">
      <alignment horizontal="left" wrapText="1"/>
    </xf>
    <xf numFmtId="0" fontId="27" fillId="3" borderId="41" xfId="0" applyFont="1" applyFill="1" applyBorder="1" applyAlignment="1">
      <alignment horizontal="left" vertical="top" wrapText="1"/>
    </xf>
    <xf numFmtId="0" fontId="29" fillId="24" borderId="41" xfId="3" applyFill="1" applyBorder="1" applyAlignment="1" applyProtection="1">
      <alignment horizontal="left" wrapText="1"/>
    </xf>
    <xf numFmtId="1" fontId="27" fillId="42" borderId="1" xfId="0" applyNumberFormat="1" applyFont="1" applyFill="1" applyBorder="1" applyAlignment="1">
      <alignment horizontal="left" vertical="top" wrapText="1"/>
    </xf>
    <xf numFmtId="1" fontId="27" fillId="42" borderId="1" xfId="0" applyNumberFormat="1" applyFont="1" applyFill="1" applyBorder="1" applyAlignment="1">
      <alignment horizontal="right" vertical="top" wrapText="1"/>
    </xf>
    <xf numFmtId="0" fontId="0" fillId="0" borderId="0" xfId="0" applyBorder="1"/>
    <xf numFmtId="0" fontId="24" fillId="0" borderId="1" xfId="0" applyFont="1" applyBorder="1" applyAlignment="1">
      <alignment vertical="top" wrapText="1"/>
    </xf>
    <xf numFmtId="0" fontId="0" fillId="0" borderId="0" xfId="0" applyAlignment="1">
      <alignment horizontal="center"/>
    </xf>
    <xf numFmtId="0" fontId="27" fillId="44" borderId="44" xfId="0" applyFont="1" applyFill="1" applyBorder="1" applyAlignment="1">
      <alignment horizontal="center" vertical="center"/>
    </xf>
    <xf numFmtId="0" fontId="27" fillId="44" borderId="44" xfId="0" applyFont="1" applyFill="1" applyBorder="1" applyAlignment="1">
      <alignment horizontal="center" vertical="center" wrapText="1"/>
    </xf>
    <xf numFmtId="0" fontId="31" fillId="44" borderId="38" xfId="0" applyFont="1" applyFill="1" applyBorder="1" applyAlignment="1">
      <alignment vertical="center"/>
    </xf>
    <xf numFmtId="0" fontId="0" fillId="44" borderId="0" xfId="0" applyFill="1"/>
    <xf numFmtId="0" fontId="28" fillId="44" borderId="45" xfId="0" applyFont="1" applyFill="1" applyBorder="1" applyAlignment="1">
      <alignment horizontal="center" vertical="center"/>
    </xf>
    <xf numFmtId="0" fontId="0" fillId="0" borderId="6" xfId="0" applyBorder="1" applyAlignment="1">
      <alignment wrapText="1"/>
    </xf>
    <xf numFmtId="0" fontId="27" fillId="31" borderId="45" xfId="0" applyFont="1" applyFill="1" applyBorder="1" applyAlignment="1">
      <alignment horizontal="center"/>
    </xf>
    <xf numFmtId="0" fontId="27" fillId="31" borderId="44" xfId="0" applyFont="1" applyFill="1" applyBorder="1" applyAlignment="1">
      <alignment horizontal="center"/>
    </xf>
    <xf numFmtId="0" fontId="27" fillId="31" borderId="44" xfId="0" applyFont="1" applyFill="1" applyBorder="1" applyAlignment="1">
      <alignment horizontal="center" wrapText="1"/>
    </xf>
    <xf numFmtId="0" fontId="39" fillId="31" borderId="58" xfId="0" applyFont="1" applyFill="1" applyBorder="1" applyAlignment="1">
      <alignment horizontal="center"/>
    </xf>
    <xf numFmtId="0" fontId="31" fillId="44" borderId="2" xfId="0" applyFont="1" applyFill="1" applyBorder="1" applyAlignment="1">
      <alignment horizontal="center" vertical="center" wrapText="1"/>
    </xf>
    <xf numFmtId="0" fontId="31" fillId="44" borderId="45" xfId="0" applyFont="1" applyFill="1" applyBorder="1" applyAlignment="1">
      <alignment horizontal="left" vertical="center" wrapText="1" indent="27"/>
    </xf>
    <xf numFmtId="0" fontId="0" fillId="44" borderId="38" xfId="0" applyFill="1" applyBorder="1" applyAlignment="1">
      <alignment horizontal="center"/>
    </xf>
    <xf numFmtId="0" fontId="31" fillId="44" borderId="38" xfId="0" applyFont="1" applyFill="1" applyBorder="1" applyAlignment="1"/>
    <xf numFmtId="0" fontId="0" fillId="44" borderId="38" xfId="0" applyFill="1" applyBorder="1" applyAlignment="1">
      <alignment horizontal="left" indent="27"/>
    </xf>
    <xf numFmtId="0" fontId="28" fillId="44" borderId="38" xfId="0" applyFont="1" applyFill="1" applyBorder="1" applyAlignment="1"/>
    <xf numFmtId="0" fontId="0" fillId="44" borderId="2" xfId="0" applyFill="1" applyBorder="1" applyAlignment="1">
      <alignment horizontal="left" indent="27"/>
    </xf>
    <xf numFmtId="0" fontId="0" fillId="20" borderId="0" xfId="0" applyFill="1"/>
    <xf numFmtId="0" fontId="0" fillId="10" borderId="0" xfId="0" applyFill="1" applyBorder="1"/>
    <xf numFmtId="0" fontId="27" fillId="44" borderId="51" xfId="0" applyFont="1" applyFill="1" applyBorder="1" applyAlignment="1">
      <alignment horizontal="center" vertical="center" wrapText="1"/>
    </xf>
    <xf numFmtId="0" fontId="87" fillId="31" borderId="1" xfId="0" applyFont="1" applyFill="1" applyBorder="1"/>
    <xf numFmtId="0" fontId="28" fillId="44" borderId="42" xfId="0" applyFont="1" applyFill="1" applyBorder="1" applyAlignment="1">
      <alignment horizontal="left" vertical="center"/>
    </xf>
    <xf numFmtId="0" fontId="52" fillId="46" borderId="24" xfId="0" applyFont="1" applyFill="1" applyBorder="1" applyAlignment="1"/>
    <xf numFmtId="0" fontId="52" fillId="46" borderId="33" xfId="0" applyFont="1" applyFill="1" applyBorder="1" applyAlignment="1"/>
    <xf numFmtId="0" fontId="94" fillId="46" borderId="71" xfId="0" applyFont="1" applyFill="1" applyBorder="1" applyAlignment="1">
      <alignment horizontal="center"/>
    </xf>
    <xf numFmtId="0" fontId="94" fillId="46" borderId="75" xfId="0" applyFont="1" applyFill="1" applyBorder="1" applyAlignment="1">
      <alignment horizontal="center"/>
    </xf>
    <xf numFmtId="0" fontId="31" fillId="44" borderId="39" xfId="0" applyFont="1" applyFill="1" applyBorder="1" applyAlignment="1">
      <alignment horizontal="left" vertical="top" wrapText="1" indent="34"/>
    </xf>
    <xf numFmtId="0" fontId="31" fillId="20" borderId="39" xfId="0" applyFont="1" applyFill="1" applyBorder="1" applyAlignment="1">
      <alignment horizontal="left" vertical="top" wrapText="1" indent="34"/>
    </xf>
    <xf numFmtId="0" fontId="31" fillId="20" borderId="39" xfId="0" applyFont="1" applyFill="1" applyBorder="1" applyAlignment="1">
      <alignment vertical="top"/>
    </xf>
    <xf numFmtId="0" fontId="31" fillId="20" borderId="0" xfId="0" applyFont="1" applyFill="1" applyBorder="1" applyAlignment="1">
      <alignment horizontal="left" vertical="top" wrapText="1" indent="34"/>
    </xf>
    <xf numFmtId="0" fontId="31" fillId="20" borderId="0" xfId="0" applyFont="1" applyFill="1" applyBorder="1" applyAlignment="1">
      <alignment vertical="top"/>
    </xf>
    <xf numFmtId="0" fontId="31" fillId="44" borderId="37" xfId="0" applyFont="1" applyFill="1" applyBorder="1" applyAlignment="1">
      <alignment horizontal="center" vertical="top" wrapText="1"/>
    </xf>
    <xf numFmtId="0" fontId="31" fillId="44" borderId="38" xfId="0" applyFont="1" applyFill="1" applyBorder="1" applyAlignment="1">
      <alignment horizontal="center" vertical="top" wrapText="1"/>
    </xf>
    <xf numFmtId="0" fontId="31" fillId="44" borderId="38" xfId="0" applyFont="1" applyFill="1" applyBorder="1" applyAlignment="1">
      <alignment horizontal="left" vertical="top" wrapText="1"/>
    </xf>
    <xf numFmtId="0" fontId="31" fillId="44" borderId="37" xfId="0" applyFont="1" applyFill="1" applyBorder="1" applyAlignment="1">
      <alignment horizontal="center" vertical="center" wrapText="1"/>
    </xf>
    <xf numFmtId="0" fontId="47" fillId="44" borderId="38" xfId="0" applyFont="1" applyFill="1" applyBorder="1" applyAlignment="1">
      <alignment horizontal="center" vertical="center" wrapText="1"/>
    </xf>
    <xf numFmtId="0" fontId="27" fillId="31" borderId="34" xfId="0" applyFont="1" applyFill="1" applyBorder="1" applyAlignment="1">
      <alignment horizontal="center" vertical="top" wrapText="1"/>
    </xf>
    <xf numFmtId="0" fontId="27" fillId="31" borderId="34" xfId="0" applyFont="1" applyFill="1" applyBorder="1" applyAlignment="1">
      <alignment vertical="top" wrapText="1"/>
    </xf>
    <xf numFmtId="0" fontId="0" fillId="0" borderId="8" xfId="0" applyBorder="1"/>
    <xf numFmtId="0" fontId="23" fillId="23" borderId="49" xfId="0" applyFont="1" applyFill="1" applyBorder="1" applyAlignment="1">
      <alignment vertical="top" wrapText="1"/>
    </xf>
    <xf numFmtId="0" fontId="23" fillId="23" borderId="21" xfId="0" applyFont="1" applyFill="1" applyBorder="1" applyAlignment="1">
      <alignment vertical="top" wrapText="1"/>
    </xf>
    <xf numFmtId="0" fontId="27" fillId="31" borderId="19" xfId="0" applyFont="1" applyFill="1" applyBorder="1" applyAlignment="1">
      <alignment vertical="top" wrapText="1"/>
    </xf>
    <xf numFmtId="0" fontId="27" fillId="31" borderId="32" xfId="0" applyFont="1" applyFill="1" applyBorder="1" applyAlignment="1">
      <alignment horizontal="center" vertical="top" wrapText="1"/>
    </xf>
    <xf numFmtId="0" fontId="27" fillId="31" borderId="19" xfId="0" applyFont="1" applyFill="1" applyBorder="1" applyAlignment="1">
      <alignment horizontal="center" vertical="top" wrapText="1"/>
    </xf>
    <xf numFmtId="0" fontId="27" fillId="31" borderId="25" xfId="0" applyFont="1" applyFill="1" applyBorder="1" applyAlignment="1">
      <alignment vertical="top" wrapText="1"/>
    </xf>
    <xf numFmtId="0" fontId="27" fillId="31" borderId="23" xfId="0" applyFont="1" applyFill="1" applyBorder="1" applyAlignment="1">
      <alignment vertical="top" wrapText="1"/>
    </xf>
    <xf numFmtId="0" fontId="31" fillId="31" borderId="28" xfId="0" applyFont="1" applyFill="1" applyBorder="1" applyAlignment="1">
      <alignment vertical="top" wrapText="1"/>
    </xf>
    <xf numFmtId="0" fontId="27" fillId="31" borderId="18" xfId="0" applyFont="1" applyFill="1" applyBorder="1" applyAlignment="1">
      <alignment vertical="top" wrapText="1"/>
    </xf>
    <xf numFmtId="0" fontId="27" fillId="31" borderId="26" xfId="0" applyFont="1" applyFill="1" applyBorder="1" applyAlignment="1">
      <alignment vertical="top" wrapText="1"/>
    </xf>
    <xf numFmtId="0" fontId="27" fillId="31" borderId="27" xfId="0" applyFont="1" applyFill="1" applyBorder="1" applyAlignment="1">
      <alignment vertical="top" wrapText="1"/>
    </xf>
    <xf numFmtId="0" fontId="27" fillId="31" borderId="12" xfId="0" applyFont="1" applyFill="1" applyBorder="1" applyAlignment="1">
      <alignment horizontal="center" vertical="top" wrapText="1"/>
    </xf>
    <xf numFmtId="0" fontId="27" fillId="31" borderId="12" xfId="0" applyFont="1" applyFill="1" applyBorder="1" applyAlignment="1">
      <alignment vertical="top" wrapText="1"/>
    </xf>
    <xf numFmtId="0" fontId="45" fillId="44" borderId="39" xfId="0" applyFont="1" applyFill="1" applyBorder="1" applyAlignment="1">
      <alignment horizontal="left" vertical="center" wrapText="1" indent="25"/>
    </xf>
    <xf numFmtId="0" fontId="101" fillId="20" borderId="0" xfId="0" applyFont="1" applyFill="1" applyBorder="1" applyAlignment="1">
      <alignment horizontal="center" vertical="top" wrapText="1"/>
    </xf>
    <xf numFmtId="0" fontId="101" fillId="20" borderId="0" xfId="0" applyFont="1" applyFill="1" applyBorder="1" applyAlignment="1">
      <alignment horizontal="left" vertical="top" wrapText="1"/>
    </xf>
    <xf numFmtId="0" fontId="101" fillId="20" borderId="0" xfId="0" applyFont="1" applyFill="1" applyBorder="1" applyAlignment="1">
      <alignment horizontal="left" vertical="top"/>
    </xf>
    <xf numFmtId="0" fontId="27" fillId="20" borderId="0" xfId="6" applyFont="1" applyFill="1" applyBorder="1"/>
    <xf numFmtId="0" fontId="28" fillId="44" borderId="38" xfId="0" applyFont="1" applyFill="1" applyBorder="1" applyAlignment="1">
      <alignment horizontal="left" vertical="center"/>
    </xf>
    <xf numFmtId="0" fontId="22" fillId="20" borderId="10" xfId="6" applyFill="1" applyBorder="1"/>
    <xf numFmtId="0" fontId="0" fillId="0" borderId="49" xfId="0" applyFill="1" applyBorder="1"/>
    <xf numFmtId="0" fontId="27" fillId="27" borderId="6" xfId="6" applyFont="1" applyFill="1" applyBorder="1"/>
    <xf numFmtId="0" fontId="89" fillId="27" borderId="6" xfId="6" applyFont="1" applyFill="1" applyBorder="1"/>
    <xf numFmtId="0" fontId="22" fillId="27" borderId="6" xfId="6" applyFill="1" applyBorder="1" applyAlignment="1">
      <alignment horizontal="center"/>
    </xf>
    <xf numFmtId="0" fontId="23" fillId="27" borderId="74" xfId="0" applyFont="1" applyFill="1" applyBorder="1" applyAlignment="1">
      <alignment vertical="center" wrapText="1"/>
    </xf>
    <xf numFmtId="0" fontId="22" fillId="20" borderId="0" xfId="6" applyFill="1" applyBorder="1"/>
    <xf numFmtId="0" fontId="22" fillId="20" borderId="0" xfId="6" applyFill="1" applyBorder="1" applyAlignment="1">
      <alignment horizontal="center" vertical="center" textRotation="90"/>
    </xf>
    <xf numFmtId="0" fontId="89" fillId="31" borderId="45" xfId="0" applyFont="1" applyFill="1" applyBorder="1" applyAlignment="1">
      <alignment horizontal="center"/>
    </xf>
    <xf numFmtId="0" fontId="89" fillId="31" borderId="44" xfId="0" applyFont="1" applyFill="1" applyBorder="1" applyAlignment="1">
      <alignment horizontal="center"/>
    </xf>
    <xf numFmtId="0" fontId="89" fillId="31" borderId="58" xfId="0" applyFont="1" applyFill="1" applyBorder="1" applyAlignment="1">
      <alignment horizontal="center" vertical="center" wrapText="1"/>
    </xf>
    <xf numFmtId="0" fontId="0" fillId="0" borderId="72" xfId="0" applyFill="1" applyBorder="1"/>
    <xf numFmtId="0" fontId="27" fillId="27" borderId="10" xfId="6" applyFont="1" applyFill="1" applyBorder="1"/>
    <xf numFmtId="0" fontId="89" fillId="27" borderId="10" xfId="6" applyFont="1" applyFill="1" applyBorder="1"/>
    <xf numFmtId="0" fontId="23" fillId="27" borderId="66" xfId="0" applyFont="1" applyFill="1" applyBorder="1" applyAlignment="1">
      <alignment vertical="center" wrapText="1"/>
    </xf>
    <xf numFmtId="0" fontId="22" fillId="20" borderId="24" xfId="6" applyFill="1" applyBorder="1"/>
    <xf numFmtId="0" fontId="29" fillId="20" borderId="0" xfId="3" applyFill="1" applyBorder="1" applyAlignment="1" applyProtection="1"/>
    <xf numFmtId="0" fontId="22" fillId="20" borderId="0" xfId="6" applyFill="1" applyBorder="1" applyAlignment="1">
      <alignment horizontal="center"/>
    </xf>
    <xf numFmtId="0" fontId="22" fillId="0" borderId="0" xfId="6"/>
    <xf numFmtId="0" fontId="22" fillId="27" borderId="6" xfId="6" applyFill="1" applyBorder="1"/>
    <xf numFmtId="0" fontId="22" fillId="46" borderId="37" xfId="6" applyFill="1" applyBorder="1"/>
    <xf numFmtId="0" fontId="22" fillId="46" borderId="38" xfId="6" applyFill="1" applyBorder="1"/>
    <xf numFmtId="0" fontId="22" fillId="31" borderId="44" xfId="6" applyFont="1" applyFill="1" applyBorder="1"/>
    <xf numFmtId="0" fontId="22" fillId="31" borderId="58" xfId="6" applyFont="1" applyFill="1" applyBorder="1"/>
    <xf numFmtId="0" fontId="22" fillId="0" borderId="0" xfId="6" applyBorder="1"/>
    <xf numFmtId="0" fontId="27" fillId="0" borderId="0" xfId="6" applyFont="1" applyBorder="1"/>
    <xf numFmtId="0" fontId="22" fillId="23" borderId="1" xfId="6" applyFill="1" applyBorder="1"/>
    <xf numFmtId="0" fontId="22" fillId="30" borderId="1" xfId="6" applyFill="1" applyBorder="1"/>
    <xf numFmtId="0" fontId="0" fillId="20" borderId="0" xfId="0" applyFill="1" applyBorder="1"/>
    <xf numFmtId="0" fontId="27" fillId="31" borderId="56" xfId="6" applyFont="1" applyFill="1" applyBorder="1"/>
    <xf numFmtId="0" fontId="27" fillId="31" borderId="62" xfId="6" applyFont="1" applyFill="1" applyBorder="1"/>
    <xf numFmtId="0" fontId="27" fillId="20" borderId="0" xfId="0" applyFont="1" applyFill="1" applyBorder="1"/>
    <xf numFmtId="0" fontId="24" fillId="23" borderId="25" xfId="0" applyFont="1" applyFill="1" applyBorder="1" applyAlignment="1">
      <alignment horizontal="left" vertical="top" wrapText="1"/>
    </xf>
    <xf numFmtId="0" fontId="24" fillId="23" borderId="28" xfId="0" applyFont="1" applyFill="1" applyBorder="1" applyAlignment="1">
      <alignment horizontal="left" vertical="top" wrapText="1"/>
    </xf>
    <xf numFmtId="0" fontId="24" fillId="23" borderId="28" xfId="0" applyFont="1" applyFill="1" applyBorder="1" applyAlignment="1">
      <alignment vertical="top" wrapText="1"/>
    </xf>
    <xf numFmtId="0" fontId="24" fillId="23" borderId="70" xfId="0" applyFont="1" applyFill="1" applyBorder="1" applyAlignment="1">
      <alignment vertical="top" wrapText="1"/>
    </xf>
    <xf numFmtId="0" fontId="24" fillId="23" borderId="49" xfId="0" applyFont="1" applyFill="1" applyBorder="1" applyAlignment="1">
      <alignment vertical="top" wrapText="1"/>
    </xf>
    <xf numFmtId="0" fontId="43" fillId="23" borderId="21" xfId="0" applyFont="1" applyFill="1" applyBorder="1" applyAlignment="1">
      <alignment vertical="top" wrapText="1"/>
    </xf>
    <xf numFmtId="0" fontId="39" fillId="20" borderId="1" xfId="0" applyFont="1" applyFill="1" applyBorder="1"/>
    <xf numFmtId="0" fontId="35" fillId="20" borderId="49" xfId="0" applyFont="1" applyFill="1" applyBorder="1" applyAlignment="1">
      <alignment horizontal="center" wrapText="1"/>
    </xf>
    <xf numFmtId="0" fontId="29" fillId="20" borderId="27" xfId="3" applyFill="1" applyBorder="1" applyAlignment="1" applyProtection="1">
      <alignment horizontal="left" wrapText="1"/>
    </xf>
    <xf numFmtId="0" fontId="22" fillId="20" borderId="6" xfId="6" applyFill="1" applyBorder="1"/>
    <xf numFmtId="0" fontId="22" fillId="20" borderId="54" xfId="6" applyFill="1" applyBorder="1"/>
    <xf numFmtId="0" fontId="22" fillId="49" borderId="6" xfId="6" applyFill="1" applyBorder="1" applyAlignment="1">
      <alignment wrapText="1"/>
    </xf>
    <xf numFmtId="0" fontId="22" fillId="49" borderId="6" xfId="6" applyFill="1" applyBorder="1"/>
    <xf numFmtId="0" fontId="22" fillId="49" borderId="1" xfId="6" applyFill="1" applyBorder="1" applyAlignment="1">
      <alignment wrapText="1"/>
    </xf>
    <xf numFmtId="0" fontId="22" fillId="49" borderId="10" xfId="6" applyFill="1" applyBorder="1" applyAlignment="1">
      <alignment wrapText="1"/>
    </xf>
    <xf numFmtId="0" fontId="22" fillId="49" borderId="54" xfId="6" applyFill="1" applyBorder="1" applyAlignment="1">
      <alignment wrapText="1"/>
    </xf>
    <xf numFmtId="0" fontId="22" fillId="49" borderId="10" xfId="6" applyFill="1" applyBorder="1"/>
    <xf numFmtId="0" fontId="22" fillId="49" borderId="49" xfId="6" applyFill="1" applyBorder="1"/>
    <xf numFmtId="0" fontId="22" fillId="49" borderId="6" xfId="6" applyFill="1" applyBorder="1" applyAlignment="1">
      <alignment horizontal="center"/>
    </xf>
    <xf numFmtId="0" fontId="22" fillId="49" borderId="74" xfId="6" applyFill="1" applyBorder="1" applyAlignment="1">
      <alignment horizontal="center"/>
    </xf>
    <xf numFmtId="0" fontId="22" fillId="49" borderId="21" xfId="6" applyFill="1" applyBorder="1"/>
    <xf numFmtId="0" fontId="22" fillId="49" borderId="1" xfId="6" applyFill="1" applyBorder="1" applyAlignment="1">
      <alignment horizontal="center"/>
    </xf>
    <xf numFmtId="0" fontId="22" fillId="49" borderId="41" xfId="6" applyFill="1" applyBorder="1" applyAlignment="1">
      <alignment horizontal="center"/>
    </xf>
    <xf numFmtId="0" fontId="22" fillId="49" borderId="24" xfId="6" applyFill="1" applyBorder="1"/>
    <xf numFmtId="0" fontId="22" fillId="49" borderId="54" xfId="6" applyFill="1" applyBorder="1" applyAlignment="1">
      <alignment horizontal="center"/>
    </xf>
    <xf numFmtId="0" fontId="22" fillId="49" borderId="48" xfId="6" applyFill="1" applyBorder="1" applyAlignment="1">
      <alignment horizontal="center"/>
    </xf>
    <xf numFmtId="0" fontId="22" fillId="49" borderId="1" xfId="6" applyFill="1" applyBorder="1"/>
    <xf numFmtId="0" fontId="22" fillId="49" borderId="54" xfId="6" applyFill="1" applyBorder="1"/>
    <xf numFmtId="0" fontId="22" fillId="31" borderId="23" xfId="6" applyFill="1" applyBorder="1"/>
    <xf numFmtId="0" fontId="22" fillId="23" borderId="55" xfId="6" applyFill="1" applyBorder="1"/>
    <xf numFmtId="0" fontId="22" fillId="30" borderId="21" xfId="6" applyFill="1" applyBorder="1"/>
    <xf numFmtId="0" fontId="22" fillId="31" borderId="21" xfId="6" applyFill="1" applyBorder="1"/>
    <xf numFmtId="0" fontId="42" fillId="46" borderId="72" xfId="0" applyFont="1" applyFill="1" applyBorder="1" applyAlignment="1">
      <alignment horizontal="center" wrapText="1"/>
    </xf>
    <xf numFmtId="0" fontId="0" fillId="27" borderId="54" xfId="0" applyFill="1" applyBorder="1"/>
    <xf numFmtId="0" fontId="27" fillId="24" borderId="6" xfId="0" applyFont="1" applyFill="1" applyBorder="1" applyAlignment="1">
      <alignment horizontal="center" vertical="center" wrapText="1"/>
    </xf>
    <xf numFmtId="0" fontId="27" fillId="3" borderId="6" xfId="0" applyFont="1" applyFill="1" applyBorder="1" applyAlignment="1">
      <alignment horizontal="center" vertical="center" wrapText="1"/>
    </xf>
    <xf numFmtId="0" fontId="55" fillId="10" borderId="70" xfId="0" applyFont="1" applyFill="1" applyBorder="1" applyAlignment="1">
      <alignment horizontal="left"/>
    </xf>
    <xf numFmtId="0" fontId="57" fillId="44" borderId="39" xfId="0" applyFont="1" applyFill="1" applyBorder="1"/>
    <xf numFmtId="0" fontId="0" fillId="44" borderId="39" xfId="0" applyFill="1" applyBorder="1"/>
    <xf numFmtId="0" fontId="0" fillId="44" borderId="40" xfId="0" applyFill="1" applyBorder="1"/>
    <xf numFmtId="0" fontId="0" fillId="3" borderId="21" xfId="0" applyFill="1" applyBorder="1"/>
    <xf numFmtId="0" fontId="0" fillId="3" borderId="24" xfId="0" applyFill="1" applyBorder="1"/>
    <xf numFmtId="0" fontId="0" fillId="3" borderId="54" xfId="0" applyFill="1" applyBorder="1"/>
    <xf numFmtId="0" fontId="56" fillId="3" borderId="54" xfId="0" applyFont="1" applyFill="1" applyBorder="1"/>
    <xf numFmtId="0" fontId="0" fillId="0" borderId="54" xfId="0" applyBorder="1" applyAlignment="1">
      <alignment wrapText="1"/>
    </xf>
    <xf numFmtId="0" fontId="0" fillId="0" borderId="0" xfId="0" applyAlignment="1">
      <alignment horizontal="center"/>
    </xf>
    <xf numFmtId="0" fontId="119" fillId="0" borderId="0" xfId="0" applyFont="1"/>
    <xf numFmtId="0" fontId="119" fillId="0" borderId="0" xfId="0" applyFont="1" applyAlignment="1">
      <alignment horizontal="center"/>
    </xf>
    <xf numFmtId="0" fontId="47" fillId="0" borderId="0" xfId="0" applyFont="1" applyBorder="1" applyAlignment="1">
      <alignment horizontal="left" wrapText="1"/>
    </xf>
    <xf numFmtId="0" fontId="22" fillId="16" borderId="23" xfId="0" applyFont="1" applyFill="1" applyBorder="1"/>
    <xf numFmtId="0" fontId="22" fillId="16" borderId="21" xfId="0" applyFont="1" applyFill="1" applyBorder="1"/>
    <xf numFmtId="0" fontId="22" fillId="16" borderId="21" xfId="0" applyFont="1" applyFill="1" applyBorder="1" applyAlignment="1"/>
    <xf numFmtId="0" fontId="22" fillId="16" borderId="24" xfId="0" applyFont="1" applyFill="1" applyBorder="1" applyAlignment="1"/>
    <xf numFmtId="0" fontId="27" fillId="16" borderId="32" xfId="0" applyFont="1" applyFill="1" applyBorder="1" applyAlignment="1">
      <alignment horizontal="center"/>
    </xf>
    <xf numFmtId="0" fontId="27" fillId="16" borderId="33" xfId="0" applyFont="1" applyFill="1" applyBorder="1" applyAlignment="1">
      <alignment horizontal="center"/>
    </xf>
    <xf numFmtId="0" fontId="27" fillId="53" borderId="44" xfId="0" applyFont="1" applyFill="1" applyBorder="1" applyAlignment="1">
      <alignment horizontal="center" vertical="center"/>
    </xf>
    <xf numFmtId="0" fontId="22" fillId="49" borderId="1" xfId="6" applyFill="1" applyBorder="1"/>
    <xf numFmtId="0" fontId="29" fillId="0" borderId="0" xfId="3" applyAlignment="1" applyProtection="1">
      <alignment wrapText="1"/>
    </xf>
    <xf numFmtId="0" fontId="45" fillId="44" borderId="40" xfId="0" applyFont="1" applyFill="1" applyBorder="1" applyAlignment="1">
      <alignment horizontal="left" vertical="center" wrapText="1" indent="25"/>
    </xf>
    <xf numFmtId="0" fontId="0" fillId="24" borderId="0" xfId="0" applyFill="1"/>
    <xf numFmtId="0" fontId="0" fillId="3" borderId="1" xfId="0" applyFill="1" applyBorder="1" applyAlignment="1">
      <alignment wrapText="1"/>
    </xf>
    <xf numFmtId="0" fontId="0" fillId="0" borderId="1" xfId="0" applyFill="1" applyBorder="1" applyProtection="1">
      <protection locked="0"/>
    </xf>
    <xf numFmtId="0" fontId="0" fillId="0" borderId="54" xfId="0" applyBorder="1" applyProtection="1">
      <protection locked="0"/>
    </xf>
    <xf numFmtId="0" fontId="0" fillId="0" borderId="48" xfId="0" applyBorder="1" applyProtection="1">
      <protection locked="0"/>
    </xf>
    <xf numFmtId="0" fontId="89" fillId="31" borderId="44" xfId="0" applyFont="1" applyFill="1" applyBorder="1" applyAlignment="1">
      <alignment horizontal="center"/>
    </xf>
    <xf numFmtId="164" fontId="25" fillId="3" borderId="1" xfId="0" applyNumberFormat="1" applyFont="1" applyFill="1" applyBorder="1" applyAlignment="1">
      <alignment horizontal="left" wrapText="1"/>
    </xf>
    <xf numFmtId="0" fontId="27" fillId="27" borderId="6" xfId="6" applyFont="1" applyFill="1" applyBorder="1" applyAlignment="1">
      <alignment horizontal="center"/>
    </xf>
    <xf numFmtId="0" fontId="24" fillId="0" borderId="1" xfId="0" applyFont="1" applyBorder="1" applyAlignment="1">
      <alignment vertical="top" wrapText="1"/>
    </xf>
    <xf numFmtId="0" fontId="27" fillId="31" borderId="28" xfId="0" applyFont="1" applyFill="1" applyBorder="1" applyAlignment="1">
      <alignment vertical="top" wrapText="1"/>
    </xf>
    <xf numFmtId="0" fontId="27" fillId="31" borderId="37" xfId="0" applyFont="1" applyFill="1" applyBorder="1" applyAlignment="1">
      <alignment vertical="top" wrapText="1"/>
    </xf>
    <xf numFmtId="0" fontId="27" fillId="31" borderId="35" xfId="0" applyFont="1" applyFill="1" applyBorder="1" applyAlignment="1">
      <alignment vertical="top" wrapText="1"/>
    </xf>
    <xf numFmtId="0" fontId="0" fillId="23" borderId="29" xfId="0" applyFill="1" applyBorder="1"/>
    <xf numFmtId="0" fontId="0" fillId="21" borderId="0" xfId="0" applyFill="1" applyBorder="1"/>
    <xf numFmtId="0" fontId="0" fillId="10" borderId="30" xfId="0" applyFill="1" applyBorder="1" applyAlignment="1">
      <alignment vertical="top" wrapText="1"/>
    </xf>
    <xf numFmtId="0" fontId="24" fillId="0" borderId="9" xfId="0" applyFont="1" applyFill="1" applyBorder="1" applyAlignment="1">
      <alignment vertical="top" wrapText="1"/>
    </xf>
    <xf numFmtId="0" fontId="0" fillId="21" borderId="17" xfId="0" applyFill="1" applyBorder="1"/>
    <xf numFmtId="0" fontId="0" fillId="0" borderId="74" xfId="0" applyBorder="1"/>
    <xf numFmtId="0" fontId="0" fillId="0" borderId="8" xfId="0" applyBorder="1" applyAlignment="1">
      <alignment horizontal="center"/>
    </xf>
    <xf numFmtId="0" fontId="39" fillId="4" borderId="1" xfId="0" applyFont="1" applyFill="1" applyBorder="1" applyAlignment="1" applyProtection="1">
      <alignment horizontal="center"/>
    </xf>
    <xf numFmtId="0" fontId="25" fillId="0" borderId="87" xfId="0" applyFont="1" applyBorder="1" applyProtection="1">
      <protection locked="0"/>
    </xf>
    <xf numFmtId="0" fontId="25" fillId="27" borderId="87" xfId="0" applyFont="1" applyFill="1" applyBorder="1" applyProtection="1"/>
    <xf numFmtId="0" fontId="27" fillId="54" borderId="53" xfId="0" applyFont="1" applyFill="1" applyBorder="1" applyAlignment="1">
      <alignment horizontal="center" vertical="top" wrapText="1"/>
    </xf>
    <xf numFmtId="0" fontId="0" fillId="27" borderId="21" xfId="0" applyFill="1" applyBorder="1"/>
    <xf numFmtId="0" fontId="0" fillId="27" borderId="24" xfId="0" applyFill="1" applyBorder="1"/>
    <xf numFmtId="0" fontId="0" fillId="27" borderId="54" xfId="0" applyFill="1" applyBorder="1" applyAlignment="1">
      <alignment wrapText="1"/>
    </xf>
    <xf numFmtId="0" fontId="27" fillId="31" borderId="51" xfId="0" applyFont="1" applyFill="1" applyBorder="1" applyAlignment="1">
      <alignment horizontal="center"/>
    </xf>
    <xf numFmtId="0" fontId="22" fillId="0" borderId="1" xfId="0" applyFont="1" applyFill="1" applyBorder="1" applyAlignment="1">
      <alignment horizontal="center"/>
    </xf>
    <xf numFmtId="0" fontId="0" fillId="0" borderId="1" xfId="0" applyFill="1" applyBorder="1" applyAlignment="1">
      <alignment horizontal="center"/>
    </xf>
    <xf numFmtId="0" fontId="0" fillId="0" borderId="54" xfId="0" applyBorder="1" applyAlignment="1">
      <alignment horizontal="center"/>
    </xf>
    <xf numFmtId="1" fontId="65" fillId="0" borderId="0" xfId="0" applyNumberFormat="1" applyFont="1"/>
    <xf numFmtId="0" fontId="22" fillId="33" borderId="21" xfId="0" applyFont="1" applyFill="1" applyBorder="1"/>
    <xf numFmtId="0" fontId="27" fillId="31" borderId="51" xfId="0" applyFont="1" applyFill="1" applyBorder="1" applyAlignment="1">
      <alignment horizontal="center" wrapText="1"/>
    </xf>
    <xf numFmtId="0" fontId="27" fillId="31" borderId="52" xfId="0" applyFont="1" applyFill="1" applyBorder="1" applyAlignment="1">
      <alignment horizontal="center"/>
    </xf>
    <xf numFmtId="0" fontId="0" fillId="0" borderId="21" xfId="0" applyFill="1" applyBorder="1"/>
    <xf numFmtId="0" fontId="0" fillId="0" borderId="24" xfId="0" applyFill="1" applyBorder="1"/>
    <xf numFmtId="0" fontId="0" fillId="3" borderId="54" xfId="0" applyFill="1" applyBorder="1" applyAlignment="1">
      <alignment horizontal="center"/>
    </xf>
    <xf numFmtId="0" fontId="0" fillId="0" borderId="54" xfId="0" applyFill="1" applyBorder="1"/>
    <xf numFmtId="0" fontId="0" fillId="3" borderId="48" xfId="0" applyFill="1" applyBorder="1"/>
    <xf numFmtId="0" fontId="27" fillId="54" borderId="58" xfId="0" applyFont="1" applyFill="1" applyBorder="1" applyAlignment="1">
      <alignment horizontal="center" vertical="top" wrapText="1"/>
    </xf>
    <xf numFmtId="0" fontId="22" fillId="0" borderId="1" xfId="70" applyFont="1" applyBorder="1"/>
    <xf numFmtId="0" fontId="22" fillId="0" borderId="54" xfId="70" applyFont="1" applyBorder="1"/>
    <xf numFmtId="0" fontId="89" fillId="0" borderId="1" xfId="70" applyFont="1" applyBorder="1"/>
    <xf numFmtId="0" fontId="89" fillId="0" borderId="54" xfId="70" applyFont="1" applyBorder="1"/>
    <xf numFmtId="0" fontId="89" fillId="20" borderId="1" xfId="71" applyFont="1" applyFill="1" applyBorder="1"/>
    <xf numFmtId="0" fontId="89" fillId="0" borderId="1" xfId="71" applyFont="1" applyBorder="1"/>
    <xf numFmtId="0" fontId="89" fillId="0" borderId="54" xfId="71" applyFont="1" applyBorder="1"/>
    <xf numFmtId="0" fontId="22" fillId="42" borderId="1" xfId="0" applyFont="1" applyFill="1" applyBorder="1"/>
    <xf numFmtId="0" fontId="22" fillId="33" borderId="1" xfId="0" applyFont="1" applyFill="1" applyBorder="1"/>
    <xf numFmtId="0" fontId="22" fillId="86" borderId="1" xfId="0" applyFont="1" applyFill="1" applyBorder="1"/>
    <xf numFmtId="0" fontId="22" fillId="86" borderId="1" xfId="71" applyFont="1" applyFill="1" applyBorder="1"/>
    <xf numFmtId="0" fontId="22" fillId="0" borderId="55" xfId="0" applyFont="1" applyBorder="1"/>
    <xf numFmtId="0" fontId="22" fillId="0" borderId="41" xfId="0" applyFont="1" applyFill="1" applyBorder="1" applyAlignment="1">
      <alignment horizontal="center"/>
    </xf>
    <xf numFmtId="0" fontId="22" fillId="0" borderId="41" xfId="70" applyFont="1" applyBorder="1" applyAlignment="1">
      <alignment wrapText="1"/>
    </xf>
    <xf numFmtId="0" fontId="89" fillId="0" borderId="41" xfId="70" applyFont="1" applyBorder="1" applyAlignment="1">
      <alignment wrapText="1"/>
    </xf>
    <xf numFmtId="0" fontId="22" fillId="86" borderId="54" xfId="71" applyFont="1" applyFill="1" applyBorder="1"/>
    <xf numFmtId="0" fontId="89" fillId="20" borderId="54" xfId="71" applyFont="1" applyFill="1" applyBorder="1"/>
    <xf numFmtId="0" fontId="22" fillId="0" borderId="48" xfId="70" applyFont="1" applyBorder="1" applyAlignment="1">
      <alignment wrapText="1"/>
    </xf>
    <xf numFmtId="167" fontId="27" fillId="27" borderId="1" xfId="0" applyNumberFormat="1" applyFont="1" applyFill="1" applyBorder="1" applyAlignment="1">
      <alignment horizontal="left" vertical="top" wrapText="1"/>
    </xf>
    <xf numFmtId="14" fontId="23" fillId="27" borderId="1" xfId="0" applyNumberFormat="1" applyFont="1" applyFill="1" applyBorder="1" applyAlignment="1">
      <alignment horizontal="center" wrapText="1"/>
    </xf>
    <xf numFmtId="0" fontId="23" fillId="24" borderId="28" xfId="0" applyFont="1" applyFill="1" applyBorder="1" applyAlignment="1">
      <alignment wrapText="1"/>
    </xf>
    <xf numFmtId="0" fontId="24" fillId="0" borderId="6" xfId="3" applyFont="1" applyBorder="1" applyAlignment="1" applyProtection="1">
      <alignment horizontal="center" vertical="center" wrapText="1"/>
    </xf>
    <xf numFmtId="0" fontId="42" fillId="31" borderId="51" xfId="0" applyFont="1" applyFill="1" applyBorder="1" applyAlignment="1">
      <alignment horizontal="center" wrapText="1"/>
    </xf>
    <xf numFmtId="0" fontId="39" fillId="0" borderId="1" xfId="0" applyFont="1" applyFill="1" applyBorder="1" applyAlignment="1">
      <alignment horizontal="center"/>
    </xf>
    <xf numFmtId="0" fontId="24" fillId="24" borderId="6" xfId="3" applyFont="1" applyFill="1" applyBorder="1" applyAlignment="1" applyProtection="1">
      <alignment horizontal="center" vertical="center" wrapText="1"/>
    </xf>
    <xf numFmtId="0" fontId="27" fillId="54" borderId="55" xfId="0" applyFont="1" applyFill="1" applyBorder="1" applyAlignment="1">
      <alignment horizontal="center" wrapText="1"/>
    </xf>
    <xf numFmtId="0" fontId="39" fillId="13" borderId="1" xfId="0" applyFont="1" applyFill="1" applyBorder="1" applyAlignment="1">
      <alignment horizontal="center" vertical="center"/>
    </xf>
    <xf numFmtId="0" fontId="39" fillId="21" borderId="0" xfId="0" applyFont="1" applyFill="1" applyBorder="1" applyAlignment="1">
      <alignment horizontal="center" vertical="center"/>
    </xf>
    <xf numFmtId="0" fontId="0" fillId="24" borderId="54" xfId="0" applyFill="1" applyBorder="1"/>
    <xf numFmtId="0" fontId="27" fillId="54" borderId="55" xfId="0" applyFont="1" applyFill="1" applyBorder="1" applyAlignment="1">
      <alignment horizontal="left" vertical="top" wrapText="1"/>
    </xf>
    <xf numFmtId="0" fontId="27" fillId="54" borderId="44" xfId="0" applyFont="1" applyFill="1" applyBorder="1" applyAlignment="1">
      <alignment horizontal="center" wrapText="1"/>
    </xf>
    <xf numFmtId="0" fontId="0" fillId="27" borderId="23" xfId="0" applyFill="1" applyBorder="1"/>
    <xf numFmtId="0" fontId="22" fillId="27" borderId="1" xfId="0" applyFont="1" applyFill="1" applyBorder="1" applyAlignment="1">
      <alignment horizontal="right" wrapText="1"/>
    </xf>
    <xf numFmtId="0" fontId="0" fillId="0" borderId="33" xfId="0" applyBorder="1"/>
    <xf numFmtId="0" fontId="0" fillId="0" borderId="0" xfId="0"/>
    <xf numFmtId="0" fontId="0" fillId="0" borderId="0" xfId="0" applyAlignment="1">
      <alignment horizontal="center"/>
    </xf>
    <xf numFmtId="0" fontId="22" fillId="0" borderId="0" xfId="0" applyFont="1"/>
    <xf numFmtId="0" fontId="51" fillId="0" borderId="0" xfId="0" applyFont="1" applyBorder="1"/>
    <xf numFmtId="0" fontId="31" fillId="44" borderId="38" xfId="0" applyFont="1" applyFill="1" applyBorder="1" applyAlignment="1">
      <alignment horizontal="left" vertical="center"/>
    </xf>
    <xf numFmtId="0" fontId="0" fillId="20" borderId="54" xfId="0" applyFill="1" applyBorder="1"/>
    <xf numFmtId="0" fontId="23" fillId="0" borderId="18" xfId="0" applyFont="1" applyFill="1" applyBorder="1" applyAlignment="1">
      <alignment horizontal="left"/>
    </xf>
    <xf numFmtId="0" fontId="94" fillId="0" borderId="32" xfId="0" applyFont="1" applyFill="1" applyBorder="1" applyAlignment="1">
      <alignment horizontal="center" vertical="center"/>
    </xf>
    <xf numFmtId="0" fontId="0" fillId="0" borderId="36" xfId="0" applyBorder="1"/>
    <xf numFmtId="0" fontId="0" fillId="46" borderId="0" xfId="0" applyFill="1" applyBorder="1"/>
    <xf numFmtId="0" fontId="0" fillId="0" borderId="40" xfId="0" applyBorder="1"/>
    <xf numFmtId="0" fontId="85" fillId="0" borderId="21" xfId="0" applyFont="1" applyBorder="1" applyAlignment="1">
      <alignment vertical="center"/>
    </xf>
    <xf numFmtId="0" fontId="87" fillId="31" borderId="41" xfId="0" applyFont="1" applyFill="1" applyBorder="1"/>
    <xf numFmtId="0" fontId="23" fillId="0" borderId="41" xfId="0" applyFont="1" applyFill="1" applyBorder="1" applyAlignment="1">
      <alignment horizontal="left"/>
    </xf>
    <xf numFmtId="0" fontId="0" fillId="0" borderId="39" xfId="0" applyBorder="1"/>
    <xf numFmtId="0" fontId="0" fillId="46" borderId="27" xfId="0" applyFill="1" applyBorder="1"/>
    <xf numFmtId="0" fontId="0" fillId="0" borderId="48" xfId="0" applyFill="1" applyBorder="1"/>
    <xf numFmtId="0" fontId="87" fillId="31" borderId="21" xfId="0" applyFont="1" applyFill="1" applyBorder="1"/>
    <xf numFmtId="0" fontId="87" fillId="31" borderId="28" xfId="12" applyFont="1" applyFill="1" applyBorder="1"/>
    <xf numFmtId="0" fontId="87" fillId="31" borderId="28" xfId="0" applyFont="1" applyFill="1" applyBorder="1"/>
    <xf numFmtId="0" fontId="87" fillId="0" borderId="60" xfId="0" applyFont="1" applyFill="1" applyBorder="1"/>
    <xf numFmtId="0" fontId="87" fillId="0" borderId="28" xfId="0" applyFont="1" applyFill="1" applyBorder="1"/>
    <xf numFmtId="0" fontId="0" fillId="46" borderId="26" xfId="0" applyFill="1" applyBorder="1"/>
    <xf numFmtId="0" fontId="87" fillId="31" borderId="49" xfId="0" applyFont="1" applyFill="1" applyBorder="1"/>
    <xf numFmtId="0" fontId="146" fillId="34" borderId="28" xfId="12" applyFont="1" applyFill="1" applyBorder="1" applyAlignment="1">
      <alignment wrapText="1"/>
    </xf>
    <xf numFmtId="0" fontId="22" fillId="0" borderId="1" xfId="12" applyFill="1" applyBorder="1"/>
    <xf numFmtId="0" fontId="22" fillId="0" borderId="1" xfId="12" applyFont="1" applyFill="1" applyBorder="1"/>
    <xf numFmtId="0" fontId="39" fillId="4" borderId="17" xfId="0" applyFont="1" applyFill="1" applyBorder="1" applyAlignment="1">
      <alignment horizontal="center" vertical="top" wrapText="1"/>
    </xf>
    <xf numFmtId="0" fontId="25" fillId="0" borderId="21" xfId="0" applyFont="1" applyBorder="1" applyAlignment="1">
      <alignment horizontal="left"/>
    </xf>
    <xf numFmtId="0" fontId="25" fillId="0" borderId="24" xfId="0" applyFont="1" applyBorder="1" applyAlignment="1">
      <alignment horizontal="left"/>
    </xf>
    <xf numFmtId="0" fontId="25" fillId="0" borderId="54" xfId="0" applyFont="1" applyBorder="1" applyAlignment="1">
      <alignment horizontal="left"/>
    </xf>
    <xf numFmtId="0" fontId="25" fillId="49" borderId="54" xfId="0" applyFont="1" applyFill="1" applyBorder="1" applyAlignment="1">
      <alignment horizontal="left"/>
    </xf>
    <xf numFmtId="0" fontId="88" fillId="49" borderId="54" xfId="0" applyFont="1" applyFill="1" applyBorder="1" applyAlignment="1">
      <alignment horizontal="left"/>
    </xf>
    <xf numFmtId="0" fontId="25" fillId="0" borderId="48" xfId="0" applyFont="1" applyFill="1" applyBorder="1" applyAlignment="1">
      <alignment horizontal="left"/>
    </xf>
    <xf numFmtId="0" fontId="44" fillId="10" borderId="29" xfId="0" applyFont="1" applyFill="1" applyBorder="1"/>
    <xf numFmtId="0" fontId="0" fillId="10" borderId="36" xfId="0" applyFill="1" applyBorder="1"/>
    <xf numFmtId="0" fontId="39" fillId="4" borderId="21" xfId="0" applyFont="1" applyFill="1" applyBorder="1" applyAlignment="1" applyProtection="1">
      <alignment horizontal="center"/>
    </xf>
    <xf numFmtId="0" fontId="39" fillId="4" borderId="41" xfId="0" applyFont="1" applyFill="1" applyBorder="1" applyAlignment="1" applyProtection="1">
      <alignment horizontal="center"/>
    </xf>
    <xf numFmtId="0" fontId="25" fillId="0" borderId="90" xfId="0" applyFont="1" applyBorder="1" applyProtection="1">
      <protection locked="0"/>
    </xf>
    <xf numFmtId="0" fontId="25" fillId="0" borderId="91" xfId="0" applyFont="1" applyBorder="1" applyAlignment="1" applyProtection="1">
      <protection locked="0"/>
    </xf>
    <xf numFmtId="0" fontId="25" fillId="0" borderId="92" xfId="0" applyFont="1" applyBorder="1" applyProtection="1">
      <protection locked="0"/>
    </xf>
    <xf numFmtId="0" fontId="25" fillId="0" borderId="93" xfId="0" applyFont="1" applyBorder="1" applyProtection="1">
      <protection locked="0"/>
    </xf>
    <xf numFmtId="0" fontId="25" fillId="27" borderId="93" xfId="0" applyFont="1" applyFill="1" applyBorder="1" applyProtection="1"/>
    <xf numFmtId="0" fontId="25" fillId="0" borderId="94" xfId="0" applyFont="1" applyBorder="1" applyAlignment="1" applyProtection="1">
      <protection locked="0"/>
    </xf>
    <xf numFmtId="0" fontId="95" fillId="20" borderId="49" xfId="0" applyFont="1" applyFill="1" applyBorder="1" applyAlignment="1">
      <alignment horizontal="center" vertical="center" wrapText="1"/>
    </xf>
    <xf numFmtId="0" fontId="0" fillId="0" borderId="0" xfId="0"/>
    <xf numFmtId="0" fontId="39" fillId="0" borderId="1" xfId="0" applyFont="1" applyBorder="1" applyAlignment="1">
      <alignment vertical="top" wrapText="1"/>
    </xf>
    <xf numFmtId="0" fontId="22" fillId="20" borderId="6" xfId="6" applyFill="1" applyBorder="1" applyAlignment="1">
      <alignment horizontal="center"/>
    </xf>
    <xf numFmtId="0" fontId="22" fillId="20" borderId="54" xfId="6" applyFill="1" applyBorder="1" applyAlignment="1">
      <alignment horizontal="center"/>
    </xf>
    <xf numFmtId="0" fontId="0" fillId="0" borderId="42" xfId="0" applyBorder="1"/>
    <xf numFmtId="0" fontId="0" fillId="0" borderId="29" xfId="0" applyBorder="1"/>
    <xf numFmtId="0" fontId="22" fillId="0" borderId="5" xfId="0" applyFont="1" applyFill="1" applyBorder="1"/>
    <xf numFmtId="0" fontId="22" fillId="0" borderId="18" xfId="0" applyFont="1" applyFill="1" applyBorder="1" applyAlignment="1">
      <alignment horizontal="left"/>
    </xf>
    <xf numFmtId="0" fontId="91" fillId="0" borderId="0" xfId="0" applyFont="1"/>
    <xf numFmtId="0" fontId="22" fillId="0" borderId="21" xfId="0" applyFont="1" applyFill="1" applyBorder="1"/>
    <xf numFmtId="0" fontId="35" fillId="31" borderId="23" xfId="0" applyFont="1" applyFill="1" applyBorder="1" applyAlignment="1">
      <alignment horizontal="center" wrapText="1"/>
    </xf>
    <xf numFmtId="0" fontId="42" fillId="31" borderId="32" xfId="0" applyFont="1" applyFill="1" applyBorder="1" applyAlignment="1">
      <alignment horizontal="center" wrapText="1"/>
    </xf>
    <xf numFmtId="0" fontId="42" fillId="31" borderId="57" xfId="0" applyFont="1" applyFill="1" applyBorder="1" applyAlignment="1">
      <alignment horizontal="center" wrapText="1"/>
    </xf>
    <xf numFmtId="0" fontId="42" fillId="31" borderId="55" xfId="0" applyFont="1" applyFill="1" applyBorder="1" applyAlignment="1">
      <alignment horizontal="center" wrapText="1"/>
    </xf>
    <xf numFmtId="0" fontId="42" fillId="31" borderId="62" xfId="0" applyFont="1" applyFill="1" applyBorder="1" applyAlignment="1">
      <alignment horizontal="center" wrapText="1"/>
    </xf>
    <xf numFmtId="0" fontId="42" fillId="20" borderId="41" xfId="0" applyFont="1" applyFill="1" applyBorder="1" applyAlignment="1">
      <alignment horizontal="left" wrapText="1"/>
    </xf>
    <xf numFmtId="0" fontId="0" fillId="30" borderId="54" xfId="0" applyFill="1" applyBorder="1"/>
    <xf numFmtId="0" fontId="24" fillId="30" borderId="54" xfId="0" applyFont="1" applyFill="1" applyBorder="1"/>
    <xf numFmtId="0" fontId="24" fillId="30" borderId="1" xfId="0" applyFont="1" applyFill="1" applyBorder="1"/>
    <xf numFmtId="0" fontId="0" fillId="30" borderId="1" xfId="0" applyFill="1" applyBorder="1"/>
    <xf numFmtId="0" fontId="0" fillId="0" borderId="41" xfId="0" applyBorder="1"/>
    <xf numFmtId="0" fontId="0" fillId="0" borderId="48" xfId="0" applyBorder="1"/>
    <xf numFmtId="0" fontId="22" fillId="0" borderId="41" xfId="0" applyFont="1" applyBorder="1"/>
    <xf numFmtId="0" fontId="0" fillId="0" borderId="41" xfId="0" applyFill="1" applyBorder="1"/>
    <xf numFmtId="0" fontId="0" fillId="20" borderId="41" xfId="0" applyFill="1" applyBorder="1"/>
    <xf numFmtId="0" fontId="0" fillId="20" borderId="47" xfId="0" applyFill="1" applyBorder="1"/>
    <xf numFmtId="0" fontId="22" fillId="0" borderId="1" xfId="12" applyFont="1" applyBorder="1"/>
    <xf numFmtId="49" fontId="22" fillId="0" borderId="1" xfId="12" applyNumberFormat="1" applyFont="1" applyBorder="1"/>
    <xf numFmtId="0" fontId="22" fillId="0" borderId="1" xfId="12" applyBorder="1"/>
    <xf numFmtId="0" fontId="22" fillId="0" borderId="21" xfId="12" applyFont="1" applyBorder="1"/>
    <xf numFmtId="0" fontId="22" fillId="0" borderId="24" xfId="12" applyFont="1" applyBorder="1"/>
    <xf numFmtId="0" fontId="22" fillId="0" borderId="54" xfId="12" applyBorder="1"/>
    <xf numFmtId="0" fontId="22" fillId="0" borderId="1" xfId="0" applyFont="1" applyBorder="1"/>
    <xf numFmtId="0" fontId="0" fillId="20" borderId="1" xfId="0" applyFill="1" applyBorder="1"/>
    <xf numFmtId="0" fontId="22" fillId="0" borderId="41" xfId="0" applyFont="1" applyBorder="1"/>
    <xf numFmtId="0" fontId="0" fillId="20" borderId="41" xfId="0" applyFill="1" applyBorder="1"/>
    <xf numFmtId="0" fontId="0" fillId="0" borderId="0" xfId="0"/>
    <xf numFmtId="0" fontId="0" fillId="3" borderId="1" xfId="0" applyFill="1" applyBorder="1"/>
    <xf numFmtId="0" fontId="24" fillId="3" borderId="1" xfId="0" applyFont="1" applyFill="1" applyBorder="1"/>
    <xf numFmtId="0" fontId="56" fillId="3" borderId="1" xfId="0" applyFont="1" applyFill="1" applyBorder="1"/>
    <xf numFmtId="0" fontId="24" fillId="3" borderId="54" xfId="0" applyFont="1" applyFill="1" applyBorder="1"/>
    <xf numFmtId="0" fontId="0" fillId="3" borderId="54" xfId="0" applyFill="1" applyBorder="1"/>
    <xf numFmtId="0" fontId="95" fillId="0" borderId="0" xfId="0" applyFont="1"/>
    <xf numFmtId="0" fontId="24" fillId="0" borderId="1" xfId="0" applyFont="1" applyBorder="1" applyAlignment="1">
      <alignment horizontal="center" vertical="top" wrapText="1"/>
    </xf>
    <xf numFmtId="0" fontId="64" fillId="3" borderId="1" xfId="0" applyFont="1" applyFill="1" applyBorder="1" applyAlignment="1">
      <alignment horizontal="left"/>
    </xf>
    <xf numFmtId="0" fontId="64" fillId="3" borderId="54" xfId="0" applyFont="1" applyFill="1" applyBorder="1" applyAlignment="1">
      <alignment horizontal="left"/>
    </xf>
    <xf numFmtId="0" fontId="0" fillId="37" borderId="1" xfId="0" applyFill="1" applyBorder="1"/>
    <xf numFmtId="0" fontId="22" fillId="27" borderId="1" xfId="0" applyFont="1" applyFill="1" applyBorder="1"/>
    <xf numFmtId="0" fontId="72" fillId="37" borderId="1" xfId="5" applyFill="1" applyBorder="1"/>
    <xf numFmtId="0" fontId="0" fillId="24" borderId="1" xfId="0" applyFill="1" applyBorder="1" applyAlignment="1">
      <alignment horizontal="center"/>
    </xf>
    <xf numFmtId="0" fontId="0" fillId="24" borderId="1" xfId="0" applyFill="1" applyBorder="1" applyAlignment="1">
      <alignment wrapText="1"/>
    </xf>
    <xf numFmtId="0" fontId="0" fillId="24" borderId="54" xfId="0" applyFill="1" applyBorder="1" applyAlignment="1">
      <alignment wrapText="1"/>
    </xf>
    <xf numFmtId="0" fontId="0" fillId="24" borderId="54" xfId="0" applyFill="1" applyBorder="1" applyAlignment="1">
      <alignment horizontal="center"/>
    </xf>
    <xf numFmtId="0" fontId="43" fillId="0" borderId="55" xfId="0" applyFont="1" applyBorder="1" applyAlignment="1" applyProtection="1">
      <alignment horizontal="center"/>
    </xf>
    <xf numFmtId="0" fontId="25" fillId="51" borderId="41" xfId="0" applyFont="1" applyFill="1" applyBorder="1" applyAlignment="1">
      <alignment wrapText="1"/>
    </xf>
    <xf numFmtId="0" fontId="39" fillId="0" borderId="54" xfId="0" applyFont="1" applyFill="1" applyBorder="1" applyAlignment="1">
      <alignment horizontal="center"/>
    </xf>
    <xf numFmtId="0" fontId="27" fillId="24" borderId="10" xfId="0" applyFont="1" applyFill="1" applyBorder="1" applyAlignment="1">
      <alignment horizontal="center" vertical="center" wrapText="1"/>
    </xf>
    <xf numFmtId="0" fontId="24" fillId="24" borderId="10" xfId="3" applyFont="1" applyFill="1" applyBorder="1" applyAlignment="1" applyProtection="1">
      <alignment horizontal="center" vertical="center" wrapText="1"/>
    </xf>
    <xf numFmtId="0" fontId="24" fillId="0" borderId="10" xfId="3" applyFont="1" applyBorder="1" applyAlignment="1" applyProtection="1">
      <alignment horizontal="center" vertical="center" wrapText="1"/>
    </xf>
    <xf numFmtId="0" fontId="22" fillId="0" borderId="0" xfId="0" applyFont="1" applyBorder="1"/>
    <xf numFmtId="0" fontId="22" fillId="0" borderId="18" xfId="0" applyFont="1" applyFill="1" applyBorder="1" applyAlignment="1">
      <alignment horizontal="center"/>
    </xf>
    <xf numFmtId="0" fontId="22" fillId="0" borderId="0" xfId="0" applyFont="1" applyFill="1" applyAlignment="1">
      <alignment wrapText="1"/>
    </xf>
    <xf numFmtId="0" fontId="27" fillId="42" borderId="5" xfId="0" applyFont="1" applyFill="1" applyBorder="1" applyAlignment="1">
      <alignment horizontal="center"/>
    </xf>
    <xf numFmtId="0" fontId="52" fillId="24" borderId="0" xfId="0" applyFont="1" applyFill="1" applyBorder="1" applyAlignment="1">
      <alignment horizontal="left" wrapText="1"/>
    </xf>
    <xf numFmtId="0" fontId="52" fillId="24" borderId="36" xfId="0" applyFont="1" applyFill="1" applyBorder="1" applyAlignment="1">
      <alignment horizontal="left" wrapText="1"/>
    </xf>
    <xf numFmtId="0" fontId="27" fillId="42" borderId="6" xfId="0" applyFont="1" applyFill="1" applyBorder="1" applyAlignment="1">
      <alignment horizontal="center"/>
    </xf>
    <xf numFmtId="0" fontId="52" fillId="42" borderId="3" xfId="0" applyFont="1" applyFill="1" applyBorder="1" applyAlignment="1">
      <alignment horizontal="center"/>
    </xf>
    <xf numFmtId="0" fontId="52" fillId="42" borderId="6" xfId="0" applyFont="1" applyFill="1" applyBorder="1" applyAlignment="1">
      <alignment horizontal="center"/>
    </xf>
    <xf numFmtId="0" fontId="0" fillId="0" borderId="1" xfId="0" applyBorder="1" applyAlignment="1">
      <alignment horizontal="center" wrapText="1"/>
    </xf>
    <xf numFmtId="0" fontId="42" fillId="23" borderId="41" xfId="0" applyFont="1" applyFill="1" applyBorder="1" applyAlignment="1">
      <alignment horizontal="center" wrapText="1"/>
    </xf>
    <xf numFmtId="0" fontId="42" fillId="23" borderId="1" xfId="0" applyFont="1" applyFill="1" applyBorder="1" applyAlignment="1">
      <alignment horizontal="center" wrapText="1"/>
    </xf>
    <xf numFmtId="0" fontId="22" fillId="27" borderId="54" xfId="0" applyFont="1" applyFill="1" applyBorder="1"/>
    <xf numFmtId="0" fontId="22" fillId="0" borderId="22" xfId="0" applyFont="1" applyFill="1" applyBorder="1"/>
    <xf numFmtId="0" fontId="22" fillId="0" borderId="1" xfId="0" applyFont="1" applyFill="1" applyBorder="1"/>
    <xf numFmtId="0" fontId="52" fillId="31" borderId="21" xfId="0" applyFont="1" applyFill="1" applyBorder="1" applyAlignment="1"/>
    <xf numFmtId="0" fontId="25" fillId="0" borderId="54" xfId="0" applyFont="1" applyBorder="1" applyAlignment="1">
      <alignment horizontal="center"/>
    </xf>
    <xf numFmtId="49" fontId="35" fillId="0" borderId="54" xfId="0" applyNumberFormat="1" applyFont="1" applyBorder="1" applyAlignment="1">
      <alignment horizontal="center"/>
    </xf>
    <xf numFmtId="166" fontId="35" fillId="3" borderId="54" xfId="0" applyNumberFormat="1" applyFont="1" applyFill="1" applyBorder="1" applyAlignment="1">
      <alignment horizontal="center"/>
    </xf>
    <xf numFmtId="0" fontId="53" fillId="9" borderId="54" xfId="0" applyFont="1" applyFill="1" applyBorder="1" applyAlignment="1">
      <alignment horizontal="left"/>
    </xf>
    <xf numFmtId="0" fontId="39" fillId="20" borderId="54" xfId="0" applyFont="1" applyFill="1" applyBorder="1"/>
    <xf numFmtId="0" fontId="49" fillId="6" borderId="37" xfId="0" applyFont="1" applyFill="1" applyBorder="1" applyAlignment="1">
      <alignment horizontal="left" vertical="center"/>
    </xf>
    <xf numFmtId="0" fontId="28" fillId="6" borderId="38" xfId="0" applyFont="1" applyFill="1" applyBorder="1" applyAlignment="1">
      <alignment horizontal="center" vertical="center"/>
    </xf>
    <xf numFmtId="0" fontId="22" fillId="20" borderId="1" xfId="0" applyFont="1" applyFill="1" applyBorder="1" applyAlignment="1">
      <alignment horizontal="center"/>
    </xf>
    <xf numFmtId="0" fontId="22" fillId="0" borderId="0" xfId="0" applyFont="1" applyProtection="1">
      <protection locked="0"/>
    </xf>
    <xf numFmtId="0" fontId="22" fillId="27" borderId="23" xfId="0" applyFont="1" applyFill="1" applyBorder="1"/>
    <xf numFmtId="0" fontId="0" fillId="27" borderId="55" xfId="0" applyFill="1" applyBorder="1"/>
    <xf numFmtId="0" fontId="0" fillId="37" borderId="21" xfId="0" applyFill="1" applyBorder="1"/>
    <xf numFmtId="0" fontId="0" fillId="37" borderId="24" xfId="0" applyFill="1" applyBorder="1"/>
    <xf numFmtId="0" fontId="0" fillId="37" borderId="54" xfId="0" applyFill="1" applyBorder="1"/>
    <xf numFmtId="0" fontId="0" fillId="37" borderId="22" xfId="0" applyFill="1" applyBorder="1"/>
    <xf numFmtId="0" fontId="0" fillId="37" borderId="5" xfId="0" applyFill="1" applyBorder="1"/>
    <xf numFmtId="0" fontId="22" fillId="37" borderId="1" xfId="0" applyFont="1" applyFill="1" applyBorder="1"/>
    <xf numFmtId="0" fontId="22" fillId="37" borderId="54" xfId="0" applyFont="1" applyFill="1" applyBorder="1"/>
    <xf numFmtId="0" fontId="72" fillId="42" borderId="23" xfId="5" applyFill="1" applyBorder="1"/>
    <xf numFmtId="0" fontId="72" fillId="42" borderId="55" xfId="5" applyFill="1" applyBorder="1" applyAlignment="1">
      <alignment wrapText="1"/>
    </xf>
    <xf numFmtId="0" fontId="72" fillId="42" borderId="55" xfId="5" applyFill="1" applyBorder="1"/>
    <xf numFmtId="0" fontId="72" fillId="42" borderId="21" xfId="5" applyFill="1" applyBorder="1"/>
    <xf numFmtId="0" fontId="72" fillId="42" borderId="1" xfId="5" applyFill="1" applyBorder="1" applyAlignment="1">
      <alignment wrapText="1"/>
    </xf>
    <xf numFmtId="0" fontId="72" fillId="42" borderId="1" xfId="5" applyFill="1" applyBorder="1"/>
    <xf numFmtId="0" fontId="22" fillId="42" borderId="21" xfId="5" applyFont="1" applyFill="1" applyBorder="1"/>
    <xf numFmtId="0" fontId="72" fillId="42" borderId="24" xfId="5" applyFill="1" applyBorder="1"/>
    <xf numFmtId="0" fontId="72" fillId="42" borderId="54" xfId="5" applyFill="1" applyBorder="1" applyAlignment="1">
      <alignment wrapText="1"/>
    </xf>
    <xf numFmtId="0" fontId="72" fillId="42" borderId="54" xfId="5" applyFill="1" applyBorder="1"/>
    <xf numFmtId="0" fontId="22" fillId="27" borderId="55" xfId="0" applyFont="1" applyFill="1" applyBorder="1"/>
    <xf numFmtId="0" fontId="25" fillId="0" borderId="0" xfId="0" applyFont="1"/>
    <xf numFmtId="0" fontId="0" fillId="24" borderId="37" xfId="0" applyFill="1" applyBorder="1"/>
    <xf numFmtId="0" fontId="22" fillId="0" borderId="0" xfId="0" applyFont="1" applyBorder="1"/>
    <xf numFmtId="0" fontId="27" fillId="46" borderId="39" xfId="0" applyFont="1" applyFill="1" applyBorder="1" applyAlignment="1">
      <alignment horizontal="center" vertical="center" wrapText="1"/>
    </xf>
    <xf numFmtId="0" fontId="27" fillId="46" borderId="40" xfId="0" applyFont="1" applyFill="1" applyBorder="1" applyAlignment="1">
      <alignment horizontal="center" vertical="center" wrapText="1"/>
    </xf>
    <xf numFmtId="0" fontId="0" fillId="0" borderId="22" xfId="0" applyBorder="1" applyAlignment="1">
      <alignment horizontal="center"/>
    </xf>
    <xf numFmtId="0" fontId="28" fillId="44" borderId="42" xfId="0" applyFont="1" applyFill="1" applyBorder="1" applyAlignment="1">
      <alignment horizontal="center" vertical="center" wrapText="1"/>
    </xf>
    <xf numFmtId="0" fontId="89" fillId="46" borderId="37" xfId="0" applyFont="1" applyFill="1" applyBorder="1" applyAlignment="1">
      <alignment vertical="center"/>
    </xf>
    <xf numFmtId="0" fontId="89" fillId="46" borderId="38" xfId="0" applyFont="1" applyFill="1" applyBorder="1" applyAlignment="1">
      <alignment vertical="center"/>
    </xf>
    <xf numFmtId="0" fontId="34" fillId="0" borderId="0" xfId="0" applyFont="1" applyFill="1" applyBorder="1" applyAlignment="1">
      <alignment horizontal="center" wrapText="1"/>
    </xf>
    <xf numFmtId="0" fontId="92" fillId="31" borderId="23" xfId="0" applyFont="1" applyFill="1" applyBorder="1" applyAlignment="1">
      <alignment horizontal="center" wrapText="1"/>
    </xf>
    <xf numFmtId="0" fontId="92" fillId="31" borderId="55" xfId="0" applyFont="1" applyFill="1" applyBorder="1" applyAlignment="1">
      <alignment horizontal="center" wrapText="1"/>
    </xf>
    <xf numFmtId="0" fontId="92" fillId="31" borderId="47" xfId="0" applyFont="1" applyFill="1" applyBorder="1" applyAlignment="1">
      <alignment horizontal="center" wrapText="1"/>
    </xf>
    <xf numFmtId="0" fontId="0" fillId="0" borderId="15" xfId="0" applyFill="1" applyBorder="1" applyAlignment="1">
      <alignment horizontal="left"/>
    </xf>
    <xf numFmtId="0" fontId="0" fillId="0" borderId="41" xfId="0" applyFill="1" applyBorder="1" applyAlignment="1">
      <alignment horizontal="left"/>
    </xf>
    <xf numFmtId="0" fontId="22" fillId="0" borderId="0" xfId="0" applyFont="1" applyAlignment="1">
      <alignment wrapText="1"/>
    </xf>
    <xf numFmtId="0" fontId="27" fillId="115" borderId="50" xfId="0" applyFont="1" applyFill="1" applyBorder="1"/>
    <xf numFmtId="0" fontId="27" fillId="115" borderId="52" xfId="0" applyFont="1" applyFill="1" applyBorder="1"/>
    <xf numFmtId="0" fontId="22" fillId="0" borderId="0" xfId="0" applyFont="1" applyAlignment="1">
      <alignment horizontal="left"/>
    </xf>
    <xf numFmtId="0" fontId="31" fillId="44" borderId="38" xfId="0" applyFont="1" applyFill="1" applyBorder="1" applyAlignment="1" applyProtection="1">
      <alignment vertical="center"/>
    </xf>
    <xf numFmtId="0" fontId="28" fillId="44" borderId="38" xfId="0" applyFont="1" applyFill="1" applyBorder="1" applyAlignment="1" applyProtection="1">
      <alignment horizontal="left" vertical="center" indent="15"/>
    </xf>
    <xf numFmtId="0" fontId="0" fillId="0" borderId="0" xfId="0" applyFill="1" applyBorder="1" applyProtection="1"/>
    <xf numFmtId="0" fontId="0" fillId="0" borderId="0" xfId="0" applyFill="1" applyBorder="1" applyAlignment="1" applyProtection="1">
      <alignment horizontal="center"/>
    </xf>
    <xf numFmtId="0" fontId="0" fillId="0" borderId="0" xfId="0" applyProtection="1"/>
    <xf numFmtId="0" fontId="175" fillId="0" borderId="0" xfId="0" applyFont="1" applyFill="1" applyBorder="1" applyAlignment="1" applyProtection="1">
      <alignment horizontal="center"/>
    </xf>
    <xf numFmtId="0" fontId="22" fillId="31" borderId="44" xfId="0" applyFont="1" applyFill="1" applyBorder="1" applyAlignment="1" applyProtection="1">
      <alignment horizontal="center"/>
    </xf>
    <xf numFmtId="14" fontId="0" fillId="31" borderId="58" xfId="0" applyNumberFormat="1" applyFill="1" applyBorder="1" applyAlignment="1" applyProtection="1">
      <alignment horizontal="center"/>
    </xf>
    <xf numFmtId="0" fontId="27" fillId="3" borderId="25" xfId="0" applyFont="1" applyFill="1" applyBorder="1" applyAlignment="1" applyProtection="1">
      <alignment horizontal="center"/>
    </xf>
    <xf numFmtId="0" fontId="0" fillId="0" borderId="21" xfId="0" applyFill="1" applyBorder="1" applyAlignment="1" applyProtection="1">
      <alignment horizontal="center"/>
    </xf>
    <xf numFmtId="0" fontId="27" fillId="3" borderId="28" xfId="0" applyFont="1" applyFill="1" applyBorder="1" applyAlignment="1" applyProtection="1">
      <alignment horizontal="center"/>
    </xf>
    <xf numFmtId="0" fontId="0" fillId="0" borderId="1" xfId="0" applyFill="1" applyBorder="1" applyAlignment="1" applyProtection="1">
      <alignment horizontal="center"/>
    </xf>
    <xf numFmtId="0" fontId="27" fillId="3" borderId="60" xfId="0" applyFont="1" applyFill="1" applyBorder="1" applyAlignment="1" applyProtection="1">
      <alignment horizontal="center"/>
    </xf>
    <xf numFmtId="0" fontId="0" fillId="0" borderId="24" xfId="0" applyFill="1" applyBorder="1" applyAlignment="1" applyProtection="1">
      <alignment horizontal="center"/>
    </xf>
    <xf numFmtId="0" fontId="0" fillId="0" borderId="54" xfId="0" applyFill="1" applyBorder="1" applyAlignment="1" applyProtection="1">
      <alignment horizontal="center"/>
    </xf>
    <xf numFmtId="0" fontId="176" fillId="0" borderId="0" xfId="0" applyFont="1" applyFill="1" applyBorder="1" applyAlignment="1" applyProtection="1">
      <alignment horizontal="center"/>
    </xf>
    <xf numFmtId="0" fontId="27" fillId="0" borderId="18" xfId="0" applyFont="1" applyFill="1" applyBorder="1" applyAlignment="1" applyProtection="1">
      <alignment horizontal="left"/>
    </xf>
    <xf numFmtId="0" fontId="27" fillId="46" borderId="44" xfId="0" applyFont="1" applyFill="1" applyBorder="1" applyAlignment="1" applyProtection="1">
      <alignment horizontal="left"/>
    </xf>
    <xf numFmtId="0" fontId="27" fillId="46" borderId="58" xfId="0" applyFont="1" applyFill="1" applyBorder="1" applyAlignment="1" applyProtection="1">
      <alignment horizontal="left"/>
    </xf>
    <xf numFmtId="0" fontId="27" fillId="46" borderId="50" xfId="0" applyFont="1" applyFill="1" applyBorder="1" applyAlignment="1" applyProtection="1">
      <alignment horizontal="left"/>
    </xf>
    <xf numFmtId="0" fontId="27" fillId="46" borderId="51" xfId="0" applyFont="1" applyFill="1" applyBorder="1" applyAlignment="1" applyProtection="1">
      <alignment horizontal="left"/>
    </xf>
    <xf numFmtId="0" fontId="27" fillId="46" borderId="39" xfId="0" applyFont="1" applyFill="1" applyBorder="1" applyAlignment="1" applyProtection="1">
      <alignment horizontal="left"/>
    </xf>
    <xf numFmtId="0" fontId="27" fillId="46" borderId="39" xfId="0" applyFont="1" applyFill="1" applyBorder="1" applyAlignment="1" applyProtection="1">
      <alignment horizontal="center"/>
    </xf>
    <xf numFmtId="0" fontId="27" fillId="46" borderId="40" xfId="0" applyFont="1" applyFill="1" applyBorder="1" applyAlignment="1" applyProtection="1">
      <alignment horizontal="left"/>
    </xf>
    <xf numFmtId="0" fontId="27" fillId="0" borderId="0" xfId="0" applyFont="1" applyFill="1" applyBorder="1" applyAlignment="1" applyProtection="1">
      <alignment horizontal="left"/>
    </xf>
    <xf numFmtId="0" fontId="27" fillId="31" borderId="51" xfId="0" applyFont="1" applyFill="1" applyBorder="1" applyAlignment="1" applyProtection="1">
      <alignment horizontal="center"/>
    </xf>
    <xf numFmtId="0" fontId="27" fillId="54" borderId="51" xfId="0" applyFont="1" applyFill="1" applyBorder="1" applyAlignment="1" applyProtection="1">
      <alignment horizontal="center"/>
    </xf>
    <xf numFmtId="0" fontId="27" fillId="0" borderId="0" xfId="0" applyFont="1" applyProtection="1"/>
    <xf numFmtId="0" fontId="27" fillId="0" borderId="0" xfId="0" applyFont="1" applyFill="1" applyBorder="1" applyProtection="1"/>
    <xf numFmtId="0" fontId="0" fillId="0" borderId="1" xfId="0" applyFill="1" applyBorder="1" applyAlignment="1" applyProtection="1">
      <alignment horizontal="left"/>
    </xf>
    <xf numFmtId="0" fontId="89" fillId="27" borderId="18" xfId="0" applyFont="1" applyFill="1" applyBorder="1" applyAlignment="1" applyProtection="1">
      <alignment horizontal="center"/>
    </xf>
    <xf numFmtId="0" fontId="22" fillId="23" borderId="21" xfId="0" applyFont="1" applyFill="1" applyBorder="1" applyAlignment="1" applyProtection="1">
      <alignment horizontal="left"/>
    </xf>
    <xf numFmtId="0" fontId="0" fillId="20" borderId="6" xfId="0" applyFill="1" applyBorder="1" applyAlignment="1" applyProtection="1">
      <alignment horizontal="left"/>
    </xf>
    <xf numFmtId="0" fontId="105" fillId="0" borderId="30" xfId="0" applyFont="1" applyFill="1" applyBorder="1" applyAlignment="1" applyProtection="1">
      <alignment horizontal="left"/>
    </xf>
    <xf numFmtId="0" fontId="105" fillId="0" borderId="5" xfId="0" applyFont="1" applyFill="1" applyBorder="1" applyAlignment="1" applyProtection="1">
      <alignment horizontal="center"/>
    </xf>
    <xf numFmtId="0" fontId="0" fillId="0" borderId="54" xfId="0" applyFill="1" applyBorder="1" applyAlignment="1" applyProtection="1">
      <alignment horizontal="left"/>
    </xf>
    <xf numFmtId="0" fontId="89" fillId="27" borderId="33" xfId="0" applyFont="1" applyFill="1" applyBorder="1" applyAlignment="1" applyProtection="1">
      <alignment horizontal="center"/>
    </xf>
    <xf numFmtId="0" fontId="22" fillId="23" borderId="24" xfId="0" applyFont="1" applyFill="1" applyBorder="1" applyAlignment="1" applyProtection="1">
      <alignment horizontal="left"/>
    </xf>
    <xf numFmtId="0" fontId="105" fillId="0" borderId="54" xfId="0" applyFont="1" applyFill="1" applyBorder="1" applyAlignment="1" applyProtection="1">
      <alignment horizontal="center"/>
    </xf>
    <xf numFmtId="0" fontId="0" fillId="0" borderId="0" xfId="0" applyFill="1" applyBorder="1" applyAlignment="1" applyProtection="1">
      <alignment wrapText="1"/>
    </xf>
    <xf numFmtId="0" fontId="22" fillId="46" borderId="0" xfId="0" applyFont="1" applyFill="1" applyAlignment="1"/>
    <xf numFmtId="0" fontId="111" fillId="0" borderId="0" xfId="0" applyFont="1" applyFill="1" applyBorder="1" applyProtection="1"/>
    <xf numFmtId="0" fontId="179" fillId="0" borderId="18" xfId="12" applyFont="1" applyFill="1" applyBorder="1" applyAlignment="1">
      <alignment vertical="center"/>
    </xf>
    <xf numFmtId="0" fontId="22" fillId="42" borderId="54" xfId="12" applyFont="1" applyFill="1" applyBorder="1"/>
    <xf numFmtId="0" fontId="22" fillId="42" borderId="28" xfId="12" applyFill="1" applyBorder="1"/>
    <xf numFmtId="0" fontId="22" fillId="42" borderId="36" xfId="12" applyFill="1" applyBorder="1"/>
    <xf numFmtId="0" fontId="22" fillId="0" borderId="18" xfId="12" applyFont="1" applyBorder="1"/>
    <xf numFmtId="0" fontId="22" fillId="42" borderId="13" xfId="12" applyFill="1" applyBorder="1"/>
    <xf numFmtId="0" fontId="22" fillId="42" borderId="1" xfId="12" applyFont="1" applyFill="1" applyBorder="1"/>
    <xf numFmtId="0" fontId="179" fillId="0" borderId="1" xfId="12" applyFont="1" applyFill="1" applyBorder="1" applyAlignment="1">
      <alignment vertical="center"/>
    </xf>
    <xf numFmtId="0" fontId="22" fillId="42" borderId="7" xfId="12" applyFill="1" applyBorder="1"/>
    <xf numFmtId="0" fontId="22" fillId="42" borderId="29" xfId="12" applyFill="1" applyBorder="1"/>
    <xf numFmtId="0" fontId="22" fillId="31" borderId="0" xfId="12" applyFill="1" applyBorder="1"/>
    <xf numFmtId="0" fontId="27" fillId="45" borderId="21" xfId="12" applyFont="1" applyFill="1" applyBorder="1"/>
    <xf numFmtId="0" fontId="22" fillId="31" borderId="88" xfId="12" applyFill="1" applyBorder="1"/>
    <xf numFmtId="0" fontId="22" fillId="42" borderId="1" xfId="12" applyFont="1" applyFill="1" applyBorder="1" applyAlignment="1">
      <alignment vertical="center"/>
    </xf>
    <xf numFmtId="0" fontId="22" fillId="0" borderId="0" xfId="12" applyFill="1"/>
    <xf numFmtId="0" fontId="27" fillId="20" borderId="0" xfId="12" applyFont="1" applyFill="1" applyBorder="1"/>
    <xf numFmtId="0" fontId="27" fillId="45" borderId="41" xfId="12" applyFont="1" applyFill="1" applyBorder="1"/>
    <xf numFmtId="0" fontId="22" fillId="0" borderId="0" xfId="12"/>
    <xf numFmtId="0" fontId="22" fillId="0" borderId="0" xfId="12" applyFont="1"/>
    <xf numFmtId="0" fontId="27" fillId="31" borderId="4" xfId="12" applyFont="1" applyFill="1" applyBorder="1"/>
    <xf numFmtId="0" fontId="22" fillId="20" borderId="0" xfId="12" applyFill="1"/>
    <xf numFmtId="0" fontId="22" fillId="20" borderId="0" xfId="12" applyFill="1" applyBorder="1"/>
    <xf numFmtId="0" fontId="22" fillId="42" borderId="0" xfId="12" applyFill="1" applyBorder="1"/>
    <xf numFmtId="0" fontId="27" fillId="45" borderId="1" xfId="12" applyFont="1" applyFill="1" applyBorder="1" applyAlignment="1">
      <alignment horizontal="center"/>
    </xf>
    <xf numFmtId="0" fontId="181" fillId="0" borderId="0" xfId="0" applyFont="1"/>
    <xf numFmtId="0" fontId="22" fillId="27" borderId="22" xfId="0" applyFont="1" applyFill="1" applyBorder="1"/>
    <xf numFmtId="0" fontId="0" fillId="27" borderId="5" xfId="0" applyFill="1" applyBorder="1"/>
    <xf numFmtId="0" fontId="22" fillId="27" borderId="24" xfId="0" applyFont="1" applyFill="1" applyBorder="1"/>
    <xf numFmtId="0" fontId="0" fillId="27" borderId="6" xfId="0" applyFill="1" applyBorder="1"/>
    <xf numFmtId="0" fontId="72" fillId="42" borderId="32" xfId="5" applyFill="1" applyBorder="1"/>
    <xf numFmtId="0" fontId="72" fillId="42" borderId="18" xfId="5" applyFill="1" applyBorder="1"/>
    <xf numFmtId="0" fontId="72" fillId="42" borderId="33" xfId="5" applyFill="1" applyBorder="1"/>
    <xf numFmtId="0" fontId="0" fillId="37" borderId="6" xfId="0" applyFill="1" applyBorder="1"/>
    <xf numFmtId="0" fontId="22" fillId="37" borderId="23" xfId="0" applyFont="1" applyFill="1" applyBorder="1"/>
    <xf numFmtId="0" fontId="0" fillId="37" borderId="55" xfId="0" applyFill="1" applyBorder="1"/>
    <xf numFmtId="0" fontId="22" fillId="37" borderId="21" xfId="0" applyFont="1" applyFill="1" applyBorder="1"/>
    <xf numFmtId="0" fontId="22" fillId="37" borderId="24" xfId="0" applyFont="1" applyFill="1" applyBorder="1"/>
    <xf numFmtId="0" fontId="0" fillId="27" borderId="49" xfId="0" applyFill="1" applyBorder="1"/>
    <xf numFmtId="0" fontId="0" fillId="27" borderId="22" xfId="0" applyFill="1" applyBorder="1"/>
    <xf numFmtId="0" fontId="0" fillId="37" borderId="23" xfId="0" applyFill="1" applyBorder="1"/>
    <xf numFmtId="0" fontId="22" fillId="37" borderId="22" xfId="0" applyFont="1" applyFill="1" applyBorder="1"/>
    <xf numFmtId="0" fontId="27" fillId="41" borderId="45" xfId="0" applyFont="1" applyFill="1" applyBorder="1" applyAlignment="1">
      <alignment horizontal="center" vertical="center" wrapText="1"/>
    </xf>
    <xf numFmtId="0" fontId="27" fillId="41" borderId="44" xfId="0" applyFont="1" applyFill="1" applyBorder="1" applyAlignment="1">
      <alignment horizontal="center" vertical="center" wrapText="1"/>
    </xf>
    <xf numFmtId="0" fontId="22" fillId="0" borderId="23" xfId="0" applyFont="1" applyBorder="1"/>
    <xf numFmtId="0" fontId="22" fillId="0" borderId="22" xfId="0" applyFont="1" applyBorder="1"/>
    <xf numFmtId="0" fontId="0" fillId="31" borderId="36" xfId="0" applyFill="1" applyBorder="1" applyAlignment="1">
      <alignment horizontal="left"/>
    </xf>
    <xf numFmtId="0" fontId="51" fillId="0" borderId="20" xfId="0" applyFont="1" applyBorder="1"/>
    <xf numFmtId="0" fontId="22" fillId="0" borderId="20" xfId="0" applyFont="1" applyBorder="1" applyAlignment="1">
      <alignment wrapText="1"/>
    </xf>
    <xf numFmtId="0" fontId="22" fillId="0" borderId="71" xfId="0" applyFont="1" applyFill="1" applyBorder="1" applyAlignment="1">
      <alignment wrapText="1"/>
    </xf>
    <xf numFmtId="49" fontId="24" fillId="0" borderId="8" xfId="0" applyNumberFormat="1" applyFont="1" applyFill="1" applyBorder="1" applyAlignment="1">
      <alignment horizontal="center" vertical="top"/>
    </xf>
    <xf numFmtId="0" fontId="0" fillId="0" borderId="8" xfId="0" applyFill="1" applyBorder="1"/>
    <xf numFmtId="0" fontId="27" fillId="31" borderId="35" xfId="0" applyFont="1" applyFill="1" applyBorder="1" applyAlignment="1">
      <alignment horizontal="center" vertical="top" wrapText="1"/>
    </xf>
    <xf numFmtId="0" fontId="0" fillId="0" borderId="6" xfId="0" applyBorder="1"/>
    <xf numFmtId="0" fontId="0" fillId="0" borderId="1" xfId="0" applyBorder="1"/>
    <xf numFmtId="0" fontId="27" fillId="40" borderId="37" xfId="0" applyFont="1" applyFill="1" applyBorder="1" applyAlignment="1">
      <alignment horizontal="center"/>
    </xf>
    <xf numFmtId="0" fontId="27" fillId="40" borderId="38" xfId="0" applyFont="1" applyFill="1" applyBorder="1" applyAlignment="1">
      <alignment horizontal="center"/>
    </xf>
    <xf numFmtId="0" fontId="27" fillId="40" borderId="2" xfId="0" applyFont="1" applyFill="1" applyBorder="1" applyAlignment="1">
      <alignment horizontal="center"/>
    </xf>
    <xf numFmtId="0" fontId="0" fillId="40" borderId="23" xfId="0" applyFill="1" applyBorder="1"/>
    <xf numFmtId="0" fontId="0" fillId="40" borderId="55" xfId="0" applyFill="1" applyBorder="1"/>
    <xf numFmtId="0" fontId="0" fillId="40" borderId="21" xfId="0" applyFill="1" applyBorder="1"/>
    <xf numFmtId="0" fontId="0" fillId="40" borderId="1" xfId="0" applyFill="1" applyBorder="1"/>
    <xf numFmtId="0" fontId="0" fillId="40" borderId="24" xfId="0" applyFill="1" applyBorder="1"/>
    <xf numFmtId="0" fontId="0" fillId="40" borderId="54" xfId="0" applyFill="1" applyBorder="1"/>
    <xf numFmtId="0" fontId="0" fillId="33" borderId="23" xfId="0" applyFill="1" applyBorder="1"/>
    <xf numFmtId="0" fontId="0" fillId="33" borderId="55" xfId="0" applyFill="1" applyBorder="1"/>
    <xf numFmtId="0" fontId="0" fillId="33" borderId="21" xfId="0" applyFill="1" applyBorder="1"/>
    <xf numFmtId="0" fontId="0" fillId="33" borderId="1" xfId="0" applyFill="1" applyBorder="1"/>
    <xf numFmtId="0" fontId="0" fillId="33" borderId="24" xfId="0" applyFill="1" applyBorder="1"/>
    <xf numFmtId="0" fontId="0" fillId="33" borderId="54" xfId="0" applyFill="1" applyBorder="1"/>
    <xf numFmtId="0" fontId="0" fillId="118" borderId="24" xfId="0" applyFill="1" applyBorder="1"/>
    <xf numFmtId="0" fontId="0" fillId="118" borderId="54" xfId="0" applyFill="1" applyBorder="1"/>
    <xf numFmtId="0" fontId="0" fillId="40" borderId="5" xfId="0" applyFill="1" applyBorder="1"/>
    <xf numFmtId="0" fontId="27" fillId="40" borderId="5" xfId="0" applyFont="1" applyFill="1" applyBorder="1" applyAlignment="1">
      <alignment horizontal="center"/>
    </xf>
    <xf numFmtId="0" fontId="27" fillId="40" borderId="30" xfId="0" applyFont="1" applyFill="1" applyBorder="1" applyAlignment="1">
      <alignment horizontal="center"/>
    </xf>
    <xf numFmtId="0" fontId="22" fillId="33" borderId="55" xfId="0" applyFont="1" applyFill="1" applyBorder="1"/>
    <xf numFmtId="0" fontId="0" fillId="40" borderId="22" xfId="0" applyFill="1" applyBorder="1"/>
    <xf numFmtId="0" fontId="0" fillId="33" borderId="47" xfId="0" applyFill="1" applyBorder="1" applyAlignment="1">
      <alignment horizontal="center"/>
    </xf>
    <xf numFmtId="0" fontId="0" fillId="33" borderId="41" xfId="0" applyFill="1" applyBorder="1" applyAlignment="1">
      <alignment horizontal="center"/>
    </xf>
    <xf numFmtId="0" fontId="0" fillId="33" borderId="48" xfId="0" applyFill="1" applyBorder="1" applyAlignment="1">
      <alignment horizontal="center"/>
    </xf>
    <xf numFmtId="0" fontId="0" fillId="40" borderId="41" xfId="0" applyFill="1" applyBorder="1" applyAlignment="1">
      <alignment horizontal="center"/>
    </xf>
    <xf numFmtId="0" fontId="0" fillId="40" borderId="69" xfId="0" applyFill="1" applyBorder="1" applyAlignment="1">
      <alignment horizontal="center"/>
    </xf>
    <xf numFmtId="0" fontId="0" fillId="0" borderId="6" xfId="0" applyBorder="1" applyAlignment="1">
      <alignment horizontal="center"/>
    </xf>
    <xf numFmtId="0" fontId="22" fillId="118" borderId="47" xfId="0" applyFont="1" applyFill="1" applyBorder="1" applyAlignment="1">
      <alignment horizontal="center"/>
    </xf>
    <xf numFmtId="0" fontId="22" fillId="40" borderId="21" xfId="0" applyFont="1" applyFill="1" applyBorder="1"/>
    <xf numFmtId="0" fontId="22" fillId="42" borderId="18" xfId="12" applyFont="1" applyFill="1" applyBorder="1"/>
    <xf numFmtId="0" fontId="0" fillId="0" borderId="0" xfId="0"/>
    <xf numFmtId="0" fontId="22" fillId="0" borderId="6" xfId="0" applyFont="1" applyFill="1" applyBorder="1"/>
    <xf numFmtId="0" fontId="0" fillId="40" borderId="18" xfId="0" applyFill="1" applyBorder="1" applyAlignment="1">
      <alignment horizontal="center"/>
    </xf>
    <xf numFmtId="0" fontId="0" fillId="33" borderId="18" xfId="0" applyFill="1" applyBorder="1" applyAlignment="1">
      <alignment horizontal="center"/>
    </xf>
    <xf numFmtId="0" fontId="0" fillId="33" borderId="69" xfId="0" applyFill="1" applyBorder="1" applyAlignment="1">
      <alignment horizontal="center"/>
    </xf>
    <xf numFmtId="0" fontId="0" fillId="118" borderId="49" xfId="0" applyFill="1" applyBorder="1"/>
    <xf numFmtId="0" fontId="0" fillId="118" borderId="6" xfId="0" applyFill="1" applyBorder="1"/>
    <xf numFmtId="0" fontId="22" fillId="118" borderId="74" xfId="0" applyFont="1" applyFill="1" applyBorder="1" applyAlignment="1">
      <alignment horizontal="center"/>
    </xf>
    <xf numFmtId="0" fontId="0" fillId="33" borderId="52" xfId="0" applyFill="1" applyBorder="1" applyAlignment="1">
      <alignment horizontal="center"/>
    </xf>
    <xf numFmtId="0" fontId="0" fillId="33" borderId="22" xfId="0" applyFill="1" applyBorder="1"/>
    <xf numFmtId="0" fontId="0" fillId="33" borderId="5" xfId="0" applyFill="1" applyBorder="1"/>
    <xf numFmtId="0" fontId="0" fillId="40" borderId="47" xfId="0" applyFill="1" applyBorder="1" applyAlignment="1">
      <alignment horizontal="center"/>
    </xf>
    <xf numFmtId="0" fontId="0" fillId="40" borderId="48" xfId="0" applyFill="1" applyBorder="1" applyAlignment="1">
      <alignment horizontal="center"/>
    </xf>
    <xf numFmtId="0" fontId="0" fillId="40" borderId="30" xfId="0" applyFill="1" applyBorder="1" applyAlignment="1">
      <alignment horizontal="center"/>
    </xf>
    <xf numFmtId="0" fontId="0" fillId="33" borderId="49" xfId="0" applyFill="1" applyBorder="1"/>
    <xf numFmtId="0" fontId="0" fillId="33" borderId="6" xfId="0" applyFill="1" applyBorder="1"/>
    <xf numFmtId="0" fontId="0" fillId="33" borderId="74" xfId="0" applyFill="1" applyBorder="1" applyAlignment="1">
      <alignment horizontal="center"/>
    </xf>
    <xf numFmtId="0" fontId="0" fillId="40" borderId="32" xfId="0" applyFill="1" applyBorder="1" applyAlignment="1">
      <alignment horizontal="center"/>
    </xf>
    <xf numFmtId="0" fontId="0" fillId="40" borderId="33" xfId="0" applyFill="1" applyBorder="1" applyAlignment="1">
      <alignment horizontal="center"/>
    </xf>
    <xf numFmtId="0" fontId="22" fillId="33" borderId="5" xfId="0" applyFont="1" applyFill="1" applyBorder="1"/>
    <xf numFmtId="0" fontId="0" fillId="33" borderId="33" xfId="0" applyFill="1" applyBorder="1" applyAlignment="1">
      <alignment horizontal="center"/>
    </xf>
    <xf numFmtId="0" fontId="0" fillId="33" borderId="32" xfId="0" applyFill="1" applyBorder="1" applyAlignment="1">
      <alignment horizontal="center"/>
    </xf>
    <xf numFmtId="0" fontId="0" fillId="0" borderId="0" xfId="0"/>
    <xf numFmtId="0" fontId="0" fillId="0" borderId="0" xfId="0"/>
    <xf numFmtId="0" fontId="98" fillId="20" borderId="0" xfId="0" applyFont="1" applyFill="1" applyBorder="1" applyAlignment="1">
      <alignment horizontal="center" vertical="center" wrapText="1"/>
    </xf>
    <xf numFmtId="0" fontId="31" fillId="21" borderId="39" xfId="0" applyFont="1" applyFill="1" applyBorder="1" applyAlignment="1">
      <alignment horizontal="left" vertical="top" wrapText="1" indent="34"/>
    </xf>
    <xf numFmtId="0" fontId="27" fillId="54" borderId="44" xfId="12" applyFont="1" applyFill="1" applyBorder="1" applyAlignment="1">
      <alignment horizontal="center" wrapText="1"/>
    </xf>
    <xf numFmtId="0" fontId="0" fillId="0" borderId="0" xfId="0"/>
    <xf numFmtId="0" fontId="64" fillId="0" borderId="47" xfId="0" applyFont="1" applyBorder="1"/>
    <xf numFmtId="0" fontId="22" fillId="0" borderId="24" xfId="0" applyFont="1" applyBorder="1"/>
    <xf numFmtId="0" fontId="64" fillId="0" borderId="48" xfId="0" applyFont="1" applyBorder="1"/>
    <xf numFmtId="0" fontId="34" fillId="0" borderId="35" xfId="0" applyFont="1" applyBorder="1"/>
    <xf numFmtId="0" fontId="0" fillId="0" borderId="0" xfId="0"/>
    <xf numFmtId="0" fontId="0" fillId="0" borderId="0" xfId="0"/>
    <xf numFmtId="0" fontId="23" fillId="23" borderId="23" xfId="0" applyFont="1" applyFill="1" applyBorder="1" applyAlignment="1">
      <alignment vertical="top" wrapText="1"/>
    </xf>
    <xf numFmtId="0" fontId="24" fillId="0" borderId="55" xfId="0" applyFont="1" applyBorder="1" applyAlignment="1">
      <alignment vertical="top" wrapText="1"/>
    </xf>
    <xf numFmtId="0" fontId="24" fillId="0" borderId="55" xfId="0" applyFont="1" applyBorder="1" applyAlignment="1">
      <alignment horizontal="center" vertical="top" wrapText="1"/>
    </xf>
    <xf numFmtId="0" fontId="0" fillId="0" borderId="0" xfId="0"/>
    <xf numFmtId="0" fontId="31" fillId="41" borderId="37" xfId="0" applyFont="1" applyFill="1" applyBorder="1" applyAlignment="1">
      <alignment horizontal="center" vertical="top" wrapText="1"/>
    </xf>
    <xf numFmtId="0" fontId="31" fillId="41" borderId="38" xfId="0" applyFont="1" applyFill="1" applyBorder="1" applyAlignment="1">
      <alignment horizontal="center" vertical="top" wrapText="1"/>
    </xf>
    <xf numFmtId="0" fontId="31" fillId="41" borderId="2" xfId="0" applyFont="1" applyFill="1" applyBorder="1" applyAlignment="1">
      <alignment horizontal="center" vertical="top" wrapText="1"/>
    </xf>
    <xf numFmtId="0" fontId="27" fillId="24" borderId="50" xfId="12" applyFont="1" applyFill="1" applyBorder="1" applyAlignment="1">
      <alignment horizontal="center"/>
    </xf>
    <xf numFmtId="0" fontId="27" fillId="24" borderId="51" xfId="12" applyFont="1" applyFill="1" applyBorder="1" applyAlignment="1">
      <alignment horizontal="center"/>
    </xf>
    <xf numFmtId="0" fontId="27" fillId="24" borderId="52" xfId="12" applyFont="1" applyFill="1" applyBorder="1" applyAlignment="1">
      <alignment horizontal="center"/>
    </xf>
    <xf numFmtId="0" fontId="0" fillId="27" borderId="17" xfId="0" applyFill="1" applyBorder="1"/>
    <xf numFmtId="0" fontId="0" fillId="27" borderId="18" xfId="0" applyFill="1" applyBorder="1"/>
    <xf numFmtId="0" fontId="0" fillId="37" borderId="30" xfId="0" applyFill="1" applyBorder="1"/>
    <xf numFmtId="0" fontId="22" fillId="27" borderId="32" xfId="0" applyFont="1" applyFill="1" applyBorder="1"/>
    <xf numFmtId="0" fontId="0" fillId="37" borderId="32" xfId="0" applyFill="1" applyBorder="1"/>
    <xf numFmtId="0" fontId="0" fillId="37" borderId="18" xfId="0" applyFill="1" applyBorder="1"/>
    <xf numFmtId="0" fontId="22" fillId="37" borderId="18" xfId="0" applyFont="1" applyFill="1" applyBorder="1"/>
    <xf numFmtId="0" fontId="22" fillId="37" borderId="33" xfId="0" applyFont="1" applyFill="1" applyBorder="1"/>
    <xf numFmtId="0" fontId="22" fillId="27" borderId="33" xfId="0" applyFont="1" applyFill="1" applyBorder="1"/>
    <xf numFmtId="0" fontId="22" fillId="27" borderId="17" xfId="0" applyFont="1" applyFill="1" applyBorder="1"/>
    <xf numFmtId="0" fontId="22" fillId="27" borderId="30" xfId="0" applyFont="1" applyFill="1" applyBorder="1"/>
    <xf numFmtId="0" fontId="22" fillId="37" borderId="30" xfId="0" applyFont="1" applyFill="1" applyBorder="1"/>
    <xf numFmtId="0" fontId="0" fillId="27" borderId="32" xfId="0" applyFill="1" applyBorder="1"/>
    <xf numFmtId="0" fontId="0" fillId="37" borderId="33" xfId="0" applyFill="1" applyBorder="1"/>
    <xf numFmtId="0" fontId="72" fillId="37" borderId="18" xfId="5" applyFill="1" applyBorder="1"/>
    <xf numFmtId="0" fontId="0" fillId="27" borderId="30" xfId="0" applyFill="1" applyBorder="1"/>
    <xf numFmtId="0" fontId="22" fillId="37" borderId="32" xfId="0" applyFont="1" applyFill="1" applyBorder="1"/>
    <xf numFmtId="0" fontId="72" fillId="42" borderId="32" xfId="5" applyFill="1" applyBorder="1" applyAlignment="1">
      <alignment horizontal="left"/>
    </xf>
    <xf numFmtId="0" fontId="72" fillId="42" borderId="18" xfId="5" applyFill="1" applyBorder="1" applyAlignment="1">
      <alignment horizontal="left"/>
    </xf>
    <xf numFmtId="0" fontId="72" fillId="42" borderId="33" xfId="5" applyFill="1" applyBorder="1" applyAlignment="1">
      <alignment horizontal="left"/>
    </xf>
    <xf numFmtId="0" fontId="0" fillId="0" borderId="24" xfId="0" applyBorder="1"/>
    <xf numFmtId="0" fontId="0" fillId="0" borderId="54" xfId="0" applyBorder="1"/>
    <xf numFmtId="0" fontId="0" fillId="0" borderId="21" xfId="0" applyBorder="1"/>
    <xf numFmtId="0" fontId="0" fillId="0" borderId="1" xfId="0" applyBorder="1"/>
    <xf numFmtId="0" fontId="0" fillId="0" borderId="41" xfId="0" applyBorder="1"/>
    <xf numFmtId="0" fontId="0" fillId="0" borderId="6" xfId="0" applyBorder="1"/>
    <xf numFmtId="0" fontId="22" fillId="0" borderId="21" xfId="0" applyFont="1" applyBorder="1"/>
    <xf numFmtId="0" fontId="31" fillId="44" borderId="38" xfId="0" applyFont="1" applyFill="1" applyBorder="1" applyAlignment="1">
      <alignment horizontal="center" vertical="center" wrapText="1"/>
    </xf>
    <xf numFmtId="0" fontId="0" fillId="0" borderId="0" xfId="0" applyAlignment="1" applyProtection="1">
      <alignment horizontal="center"/>
      <protection locked="0"/>
    </xf>
    <xf numFmtId="0" fontId="89" fillId="20" borderId="1" xfId="0" applyFont="1" applyFill="1" applyBorder="1"/>
    <xf numFmtId="0" fontId="89" fillId="20" borderId="1" xfId="0" applyFont="1" applyFill="1" applyBorder="1" applyAlignment="1">
      <alignment wrapText="1"/>
    </xf>
    <xf numFmtId="0" fontId="0" fillId="20" borderId="1" xfId="0" applyFill="1" applyBorder="1" applyAlignment="1">
      <alignment wrapText="1"/>
    </xf>
    <xf numFmtId="0" fontId="89" fillId="0" borderId="5" xfId="0" applyFont="1" applyBorder="1"/>
    <xf numFmtId="0" fontId="89" fillId="27" borderId="64" xfId="0" applyFont="1" applyFill="1" applyBorder="1" applyAlignment="1">
      <alignment horizontal="center" wrapText="1"/>
    </xf>
    <xf numFmtId="0" fontId="23" fillId="39" borderId="62" xfId="0" applyFont="1" applyFill="1" applyBorder="1" applyAlignment="1">
      <alignment horizontal="center"/>
    </xf>
    <xf numFmtId="0" fontId="23" fillId="0" borderId="21" xfId="0" applyFont="1" applyBorder="1"/>
    <xf numFmtId="0" fontId="0" fillId="20" borderId="27" xfId="0" applyFill="1" applyBorder="1"/>
    <xf numFmtId="0" fontId="22" fillId="20" borderId="21" xfId="0" applyFont="1" applyFill="1" applyBorder="1"/>
    <xf numFmtId="0" fontId="0" fillId="20" borderId="36" xfId="0" applyFill="1" applyBorder="1"/>
    <xf numFmtId="0" fontId="0" fillId="20" borderId="59" xfId="0" applyFill="1" applyBorder="1"/>
    <xf numFmtId="0" fontId="72" fillId="0" borderId="21" xfId="5" applyBorder="1"/>
    <xf numFmtId="0" fontId="73" fillId="0" borderId="21" xfId="5" applyFont="1" applyBorder="1"/>
    <xf numFmtId="0" fontId="31" fillId="20" borderId="0" xfId="0" applyFont="1" applyFill="1" applyBorder="1" applyAlignment="1">
      <alignment horizontal="center" vertical="center" wrapText="1"/>
    </xf>
    <xf numFmtId="0" fontId="0" fillId="0" borderId="1" xfId="0" applyBorder="1" applyAlignment="1">
      <alignment vertical="center" wrapText="1"/>
    </xf>
    <xf numFmtId="0" fontId="0" fillId="22" borderId="1" xfId="0" applyFill="1" applyBorder="1" applyAlignment="1">
      <alignment horizontal="left" wrapText="1"/>
    </xf>
    <xf numFmtId="0" fontId="31" fillId="50" borderId="0" xfId="0" applyFont="1" applyFill="1" applyBorder="1" applyAlignment="1">
      <alignment horizontal="center" vertical="center" wrapText="1"/>
    </xf>
    <xf numFmtId="0" fontId="47" fillId="50" borderId="0" xfId="0" applyFont="1" applyFill="1" applyBorder="1" applyAlignment="1">
      <alignment horizontal="center" vertical="center" wrapText="1"/>
    </xf>
    <xf numFmtId="0" fontId="52" fillId="31" borderId="22" xfId="0" applyFont="1" applyFill="1" applyBorder="1" applyAlignment="1"/>
    <xf numFmtId="0" fontId="89" fillId="20" borderId="54" xfId="0" applyFont="1" applyFill="1" applyBorder="1" applyAlignment="1">
      <alignment horizontal="center" wrapText="1"/>
    </xf>
    <xf numFmtId="0" fontId="0" fillId="22" borderId="54" xfId="0" applyFill="1" applyBorder="1" applyAlignment="1">
      <alignment horizontal="center" wrapText="1"/>
    </xf>
    <xf numFmtId="0" fontId="23" fillId="24" borderId="54" xfId="0" applyFont="1" applyFill="1" applyBorder="1"/>
    <xf numFmtId="0" fontId="0" fillId="0" borderId="54" xfId="0" applyBorder="1" applyAlignment="1">
      <alignment vertical="center" wrapText="1"/>
    </xf>
    <xf numFmtId="0" fontId="89" fillId="20" borderId="6" xfId="0" applyFont="1" applyFill="1" applyBorder="1" applyAlignment="1">
      <alignment horizontal="center" wrapText="1"/>
    </xf>
    <xf numFmtId="0" fontId="23" fillId="22" borderId="6" xfId="0" applyFont="1" applyFill="1" applyBorder="1" applyAlignment="1">
      <alignment horizontal="center" wrapText="1"/>
    </xf>
    <xf numFmtId="0" fontId="0" fillId="22" borderId="6" xfId="0" applyFill="1" applyBorder="1" applyAlignment="1">
      <alignment horizontal="left" wrapText="1"/>
    </xf>
    <xf numFmtId="0" fontId="0" fillId="22" borderId="6" xfId="0" applyFill="1" applyBorder="1" applyAlignment="1">
      <alignment horizontal="center" wrapText="1"/>
    </xf>
    <xf numFmtId="0" fontId="23" fillId="24" borderId="6" xfId="0" applyFont="1" applyFill="1" applyBorder="1"/>
    <xf numFmtId="0" fontId="0" fillId="27" borderId="6" xfId="0" applyFill="1" applyBorder="1" applyAlignment="1">
      <alignment wrapText="1"/>
    </xf>
    <xf numFmtId="0" fontId="0" fillId="0" borderId="6" xfId="0" applyBorder="1" applyAlignment="1">
      <alignment vertical="center" wrapText="1"/>
    </xf>
    <xf numFmtId="0" fontId="0" fillId="0" borderId="74" xfId="0" applyBorder="1" applyAlignment="1">
      <alignment wrapText="1"/>
    </xf>
    <xf numFmtId="0" fontId="27" fillId="26" borderId="45" xfId="0" applyFont="1" applyFill="1" applyBorder="1" applyAlignment="1">
      <alignment horizontal="center"/>
    </xf>
    <xf numFmtId="0" fontId="27" fillId="26" borderId="44" xfId="0" applyFont="1" applyFill="1" applyBorder="1" applyAlignment="1">
      <alignment horizontal="center" wrapText="1"/>
    </xf>
    <xf numFmtId="0" fontId="27" fillId="26" borderId="44" xfId="0" applyFont="1" applyFill="1" applyBorder="1" applyAlignment="1">
      <alignment horizontal="center"/>
    </xf>
    <xf numFmtId="0" fontId="27" fillId="26" borderId="58" xfId="0" applyFont="1" applyFill="1" applyBorder="1" applyAlignment="1">
      <alignment horizontal="left" indent="3"/>
    </xf>
    <xf numFmtId="0" fontId="27" fillId="31" borderId="50" xfId="0" applyFont="1" applyFill="1" applyBorder="1" applyAlignment="1">
      <alignment horizontal="center" wrapText="1"/>
    </xf>
    <xf numFmtId="0" fontId="0" fillId="0" borderId="61" xfId="0" applyBorder="1"/>
    <xf numFmtId="0" fontId="22" fillId="0" borderId="19" xfId="0" applyFont="1" applyFill="1" applyBorder="1"/>
    <xf numFmtId="0" fontId="22" fillId="0" borderId="14" xfId="0" applyFont="1" applyFill="1" applyBorder="1"/>
    <xf numFmtId="0" fontId="27" fillId="0" borderId="42" xfId="0" applyFont="1" applyBorder="1"/>
    <xf numFmtId="0" fontId="27" fillId="0" borderId="40" xfId="0" applyFont="1" applyBorder="1"/>
    <xf numFmtId="0" fontId="0" fillId="23" borderId="35" xfId="0" applyFill="1" applyBorder="1"/>
    <xf numFmtId="0" fontId="0" fillId="31" borderId="35" xfId="0" applyFill="1" applyBorder="1"/>
    <xf numFmtId="0" fontId="22" fillId="0" borderId="42" xfId="0" applyFont="1" applyBorder="1"/>
    <xf numFmtId="0" fontId="0" fillId="0" borderId="18" xfId="0" applyBorder="1" applyAlignment="1">
      <alignment wrapText="1"/>
    </xf>
    <xf numFmtId="0" fontId="28" fillId="44" borderId="42" xfId="0" applyFont="1" applyFill="1" applyBorder="1" applyAlignment="1">
      <alignment horizontal="center" vertical="center"/>
    </xf>
    <xf numFmtId="0" fontId="28" fillId="44" borderId="39" xfId="0" applyFont="1" applyFill="1" applyBorder="1" applyAlignment="1">
      <alignment horizontal="center" vertical="center"/>
    </xf>
    <xf numFmtId="0" fontId="28" fillId="44" borderId="40" xfId="0" applyFont="1" applyFill="1" applyBorder="1" applyAlignment="1">
      <alignment horizontal="center" vertical="center"/>
    </xf>
    <xf numFmtId="0" fontId="28" fillId="44" borderId="37" xfId="0" applyFont="1" applyFill="1" applyBorder="1" applyAlignment="1" applyProtection="1">
      <alignment horizontal="center" vertical="center"/>
      <protection locked="0"/>
    </xf>
    <xf numFmtId="0" fontId="27" fillId="44" borderId="44" xfId="0" applyFont="1" applyFill="1" applyBorder="1" applyAlignment="1" applyProtection="1">
      <alignment horizontal="center" vertical="center"/>
      <protection locked="0"/>
    </xf>
    <xf numFmtId="0" fontId="42" fillId="4" borderId="23" xfId="0" applyFont="1" applyFill="1" applyBorder="1" applyAlignment="1" applyProtection="1">
      <alignment horizontal="center" wrapText="1"/>
      <protection locked="0"/>
    </xf>
    <xf numFmtId="0" fontId="142" fillId="0" borderId="21" xfId="0" applyFont="1" applyBorder="1" applyAlignment="1" applyProtection="1">
      <alignment horizontal="left"/>
      <protection locked="0"/>
    </xf>
    <xf numFmtId="0" fontId="22" fillId="0" borderId="19" xfId="0" applyFont="1" applyBorder="1"/>
    <xf numFmtId="0" fontId="22" fillId="0" borderId="14" xfId="0" applyFont="1" applyBorder="1"/>
    <xf numFmtId="0" fontId="0" fillId="0" borderId="1" xfId="0" applyBorder="1"/>
    <xf numFmtId="0" fontId="39" fillId="4" borderId="23" xfId="0" applyFont="1" applyFill="1" applyBorder="1" applyAlignment="1">
      <alignment horizontal="center"/>
    </xf>
    <xf numFmtId="0" fontId="39" fillId="4" borderId="55" xfId="0" applyFont="1" applyFill="1" applyBorder="1" applyAlignment="1">
      <alignment horizontal="center"/>
    </xf>
    <xf numFmtId="0" fontId="39" fillId="4" borderId="55" xfId="0" applyFont="1" applyFill="1" applyBorder="1" applyAlignment="1">
      <alignment horizontal="center" wrapText="1"/>
    </xf>
    <xf numFmtId="0" fontId="39" fillId="4" borderId="51" xfId="0" applyFont="1" applyFill="1" applyBorder="1" applyAlignment="1">
      <alignment horizontal="center"/>
    </xf>
    <xf numFmtId="0" fontId="39" fillId="4" borderId="51" xfId="0" applyFont="1" applyFill="1" applyBorder="1" applyAlignment="1">
      <alignment horizontal="center" wrapText="1"/>
    </xf>
    <xf numFmtId="0" fontId="39" fillId="28" borderId="55" xfId="0" applyFont="1" applyFill="1" applyBorder="1" applyAlignment="1">
      <alignment horizontal="center"/>
    </xf>
    <xf numFmtId="0" fontId="39" fillId="31" borderId="32" xfId="0" applyFont="1" applyFill="1" applyBorder="1" applyAlignment="1">
      <alignment horizontal="center"/>
    </xf>
    <xf numFmtId="0" fontId="39" fillId="31" borderId="47" xfId="0" applyFont="1" applyFill="1" applyBorder="1" applyAlignment="1">
      <alignment horizontal="center"/>
    </xf>
    <xf numFmtId="0" fontId="28" fillId="6" borderId="2" xfId="0" applyFont="1" applyFill="1" applyBorder="1" applyAlignment="1">
      <alignment horizontal="center" vertical="center"/>
    </xf>
    <xf numFmtId="0" fontId="27" fillId="44" borderId="51" xfId="0" applyFont="1" applyFill="1" applyBorder="1" applyAlignment="1">
      <alignment horizontal="center" vertical="center"/>
    </xf>
    <xf numFmtId="49" fontId="49" fillId="6" borderId="37" xfId="0" applyNumberFormat="1" applyFont="1" applyFill="1" applyBorder="1" applyAlignment="1">
      <alignment horizontal="left" vertical="center"/>
    </xf>
    <xf numFmtId="0" fontId="39" fillId="13" borderId="38" xfId="0" applyFont="1" applyFill="1" applyBorder="1" applyAlignment="1">
      <alignment horizontal="center" vertical="center"/>
    </xf>
    <xf numFmtId="0" fontId="183" fillId="6" borderId="38" xfId="0" applyFont="1" applyFill="1" applyBorder="1" applyAlignment="1">
      <alignment horizontal="left" vertical="center"/>
    </xf>
    <xf numFmtId="0" fontId="183" fillId="6" borderId="38" xfId="0" applyFont="1" applyFill="1" applyBorder="1" applyAlignment="1">
      <alignment horizontal="center" vertical="center"/>
    </xf>
    <xf numFmtId="0" fontId="184" fillId="6" borderId="38" xfId="0" applyFont="1" applyFill="1" applyBorder="1" applyAlignment="1">
      <alignment horizontal="center" vertical="center"/>
    </xf>
    <xf numFmtId="0" fontId="58" fillId="6" borderId="38" xfId="0" applyFont="1" applyFill="1" applyBorder="1" applyAlignment="1">
      <alignment horizontal="center" vertical="center"/>
    </xf>
    <xf numFmtId="0" fontId="58" fillId="6" borderId="2" xfId="0" applyFont="1" applyFill="1" applyBorder="1" applyAlignment="1">
      <alignment horizontal="center" vertical="center"/>
    </xf>
    <xf numFmtId="0" fontId="22" fillId="27" borderId="50" xfId="0" applyFont="1" applyFill="1" applyBorder="1"/>
    <xf numFmtId="0" fontId="22" fillId="37" borderId="55" xfId="0" applyFont="1" applyFill="1" applyBorder="1"/>
    <xf numFmtId="0" fontId="22" fillId="37" borderId="50" xfId="0" applyFont="1" applyFill="1" applyBorder="1"/>
    <xf numFmtId="0" fontId="171" fillId="14" borderId="72" xfId="5" applyFont="1" applyFill="1" applyBorder="1"/>
    <xf numFmtId="0" fontId="171" fillId="14" borderId="10" xfId="5" applyFont="1" applyFill="1" applyBorder="1"/>
    <xf numFmtId="0" fontId="171" fillId="14" borderId="10" xfId="5" applyFont="1" applyFill="1" applyBorder="1" applyAlignment="1">
      <alignment horizontal="left"/>
    </xf>
    <xf numFmtId="0" fontId="0" fillId="25" borderId="13" xfId="0" applyFill="1" applyBorder="1"/>
    <xf numFmtId="0" fontId="0" fillId="25" borderId="11" xfId="0" applyFill="1" applyBorder="1"/>
    <xf numFmtId="0" fontId="28" fillId="44" borderId="40" xfId="0" applyFont="1" applyFill="1" applyBorder="1" applyAlignment="1">
      <alignment horizontal="center" vertical="center"/>
    </xf>
    <xf numFmtId="0" fontId="28" fillId="44" borderId="42" xfId="0" applyFont="1" applyFill="1" applyBorder="1" applyAlignment="1">
      <alignment vertical="center"/>
    </xf>
    <xf numFmtId="0" fontId="28" fillId="44" borderId="39" xfId="0" applyFont="1" applyFill="1" applyBorder="1" applyAlignment="1">
      <alignment vertical="center"/>
    </xf>
    <xf numFmtId="0" fontId="27" fillId="46" borderId="38" xfId="0" applyFont="1" applyFill="1" applyBorder="1" applyAlignment="1" applyProtection="1">
      <alignment horizontal="left"/>
    </xf>
    <xf numFmtId="0" fontId="27" fillId="46" borderId="38" xfId="0" applyFont="1" applyFill="1" applyBorder="1" applyAlignment="1" applyProtection="1">
      <alignment horizontal="center"/>
    </xf>
    <xf numFmtId="0" fontId="89" fillId="20" borderId="1" xfId="0" applyFont="1" applyFill="1" applyBorder="1" applyAlignment="1">
      <alignment horizontal="center"/>
    </xf>
    <xf numFmtId="0" fontId="0" fillId="0" borderId="21" xfId="0" applyBorder="1"/>
    <xf numFmtId="0" fontId="27" fillId="44" borderId="45" xfId="0" applyFont="1" applyFill="1" applyBorder="1" applyAlignment="1">
      <alignment horizontal="center" vertical="center" wrapText="1"/>
    </xf>
    <xf numFmtId="0" fontId="0" fillId="24" borderId="15" xfId="0" applyFill="1" applyBorder="1"/>
    <xf numFmtId="0" fontId="0" fillId="121" borderId="1" xfId="0" applyFill="1" applyBorder="1"/>
    <xf numFmtId="0" fontId="29" fillId="121" borderId="1" xfId="3" applyFill="1" applyBorder="1" applyAlignment="1" applyProtection="1"/>
    <xf numFmtId="0" fontId="22" fillId="0" borderId="21" xfId="0" applyFont="1" applyBorder="1"/>
    <xf numFmtId="0" fontId="22" fillId="24" borderId="1" xfId="0" applyFont="1" applyFill="1" applyBorder="1"/>
    <xf numFmtId="0" fontId="22" fillId="24" borderId="54" xfId="0" applyFont="1" applyFill="1" applyBorder="1"/>
    <xf numFmtId="0" fontId="27" fillId="31" borderId="39" xfId="0" applyFont="1" applyFill="1" applyBorder="1" applyAlignment="1">
      <alignment horizontal="center" wrapText="1"/>
    </xf>
    <xf numFmtId="0" fontId="0" fillId="3" borderId="6" xfId="0" applyFill="1" applyBorder="1" applyAlignment="1">
      <alignment horizontal="center"/>
    </xf>
    <xf numFmtId="0" fontId="22" fillId="24" borderId="6" xfId="0" applyFont="1" applyFill="1" applyBorder="1"/>
    <xf numFmtId="0" fontId="0" fillId="24" borderId="6" xfId="0" applyFill="1" applyBorder="1" applyAlignment="1">
      <alignment horizontal="center"/>
    </xf>
    <xf numFmtId="0" fontId="0" fillId="24" borderId="6" xfId="0" applyFill="1" applyBorder="1"/>
    <xf numFmtId="0" fontId="0" fillId="48" borderId="6" xfId="0" applyFill="1" applyBorder="1"/>
    <xf numFmtId="0" fontId="27" fillId="31" borderId="58" xfId="0" applyFont="1" applyFill="1" applyBorder="1" applyAlignment="1">
      <alignment horizontal="center" wrapText="1"/>
    </xf>
    <xf numFmtId="0" fontId="27" fillId="44" borderId="38" xfId="0" applyFont="1" applyFill="1" applyBorder="1" applyAlignment="1">
      <alignment horizontal="center" vertical="center"/>
    </xf>
    <xf numFmtId="0" fontId="89" fillId="20" borderId="54" xfId="0" applyFont="1" applyFill="1" applyBorder="1" applyAlignment="1">
      <alignment horizontal="center"/>
    </xf>
    <xf numFmtId="0" fontId="0" fillId="0" borderId="21" xfId="0" applyBorder="1"/>
    <xf numFmtId="0" fontId="0" fillId="29" borderId="0" xfId="0" applyFill="1" applyBorder="1"/>
    <xf numFmtId="0" fontId="191" fillId="0" borderId="0" xfId="0" applyFont="1" applyAlignment="1">
      <alignment vertical="center"/>
    </xf>
    <xf numFmtId="0" fontId="0" fillId="0" borderId="1" xfId="0" applyBorder="1"/>
    <xf numFmtId="14" fontId="22" fillId="0" borderId="0" xfId="0" applyNumberFormat="1" applyFont="1" applyBorder="1"/>
    <xf numFmtId="0" fontId="27" fillId="31" borderId="10" xfId="0" applyFont="1" applyFill="1" applyBorder="1" applyAlignment="1" applyProtection="1">
      <alignment horizontal="center" wrapText="1"/>
    </xf>
    <xf numFmtId="0" fontId="22" fillId="27" borderId="18" xfId="0" applyFont="1" applyFill="1" applyBorder="1" applyAlignment="1" applyProtection="1">
      <alignment horizontal="center"/>
    </xf>
    <xf numFmtId="0" fontId="95" fillId="31" borderId="72" xfId="0" applyFont="1" applyFill="1" applyBorder="1" applyAlignment="1" applyProtection="1">
      <alignment horizontal="center" wrapText="1"/>
    </xf>
    <xf numFmtId="0" fontId="27" fillId="31" borderId="10" xfId="0" applyFont="1" applyFill="1" applyBorder="1" applyAlignment="1" applyProtection="1">
      <alignment horizontal="left"/>
    </xf>
    <xf numFmtId="0" fontId="27" fillId="31" borderId="77" xfId="0" applyFont="1" applyFill="1" applyBorder="1" applyAlignment="1" applyProtection="1">
      <alignment horizontal="center" wrapText="1"/>
    </xf>
    <xf numFmtId="0" fontId="27" fillId="31" borderId="45" xfId="0" applyFont="1" applyFill="1" applyBorder="1" applyAlignment="1" applyProtection="1">
      <alignment horizontal="left"/>
    </xf>
    <xf numFmtId="0" fontId="89" fillId="20" borderId="6" xfId="0" applyFont="1" applyFill="1" applyBorder="1" applyAlignment="1">
      <alignment horizontal="center"/>
    </xf>
    <xf numFmtId="0" fontId="0" fillId="86" borderId="18" xfId="0" applyFill="1" applyBorder="1" applyAlignment="1">
      <alignment horizontal="center"/>
    </xf>
    <xf numFmtId="0" fontId="0" fillId="86" borderId="54" xfId="0" applyFill="1" applyBorder="1" applyAlignment="1">
      <alignment horizontal="center"/>
    </xf>
    <xf numFmtId="0" fontId="0" fillId="86" borderId="1" xfId="0" applyFill="1" applyBorder="1"/>
    <xf numFmtId="0" fontId="0" fillId="86" borderId="54" xfId="0" applyFill="1" applyBorder="1"/>
    <xf numFmtId="0" fontId="142" fillId="45" borderId="21" xfId="0" applyFont="1" applyFill="1" applyBorder="1" applyAlignment="1" applyProtection="1">
      <alignment horizontal="left"/>
      <protection locked="0"/>
    </xf>
    <xf numFmtId="0" fontId="0" fillId="0" borderId="1" xfId="0" applyBorder="1"/>
    <xf numFmtId="0" fontId="52" fillId="46" borderId="1" xfId="0" applyFont="1" applyFill="1" applyBorder="1" applyAlignment="1"/>
    <xf numFmtId="0" fontId="94" fillId="46" borderId="1" xfId="0" applyFont="1" applyFill="1" applyBorder="1" applyAlignment="1">
      <alignment horizontal="center"/>
    </xf>
    <xf numFmtId="0" fontId="85" fillId="0" borderId="0" xfId="0" applyFont="1" applyBorder="1" applyAlignment="1">
      <alignment vertical="center"/>
    </xf>
    <xf numFmtId="0" fontId="87" fillId="0" borderId="0" xfId="0" applyFont="1" applyFill="1" applyBorder="1"/>
    <xf numFmtId="0" fontId="52" fillId="46" borderId="21" xfId="0" applyFont="1" applyFill="1" applyBorder="1" applyAlignment="1"/>
    <xf numFmtId="0" fontId="87" fillId="31" borderId="21" xfId="12" applyFont="1" applyFill="1" applyBorder="1"/>
    <xf numFmtId="0" fontId="88" fillId="31" borderId="44" xfId="0" applyFont="1" applyFill="1" applyBorder="1" applyAlignment="1">
      <alignment horizontal="center" wrapText="1"/>
    </xf>
    <xf numFmtId="0" fontId="88" fillId="31" borderId="44" xfId="0" applyFont="1" applyFill="1" applyBorder="1" applyAlignment="1">
      <alignment horizontal="center"/>
    </xf>
    <xf numFmtId="0" fontId="54" fillId="27" borderId="1" xfId="3" applyFont="1" applyFill="1" applyBorder="1" applyAlignment="1" applyProtection="1">
      <alignment horizontal="center" vertical="center" wrapText="1"/>
    </xf>
    <xf numFmtId="0" fontId="30" fillId="20" borderId="55" xfId="3" applyFont="1" applyFill="1" applyBorder="1" applyAlignment="1" applyProtection="1">
      <alignment horizontal="center" vertical="center" wrapText="1"/>
    </xf>
    <xf numFmtId="0" fontId="30" fillId="20" borderId="1" xfId="3" applyFont="1" applyFill="1" applyBorder="1" applyAlignment="1" applyProtection="1">
      <alignment horizontal="center" vertical="center" wrapText="1"/>
    </xf>
    <xf numFmtId="0" fontId="30" fillId="20" borderId="54" xfId="3" applyFont="1" applyFill="1" applyBorder="1" applyAlignment="1" applyProtection="1">
      <alignment horizontal="center" vertical="center" wrapText="1"/>
    </xf>
    <xf numFmtId="0" fontId="0" fillId="0" borderId="1" xfId="0" applyBorder="1"/>
    <xf numFmtId="0" fontId="22" fillId="37" borderId="5" xfId="0" applyFont="1" applyFill="1" applyBorder="1"/>
    <xf numFmtId="1" fontId="27" fillId="42" borderId="5" xfId="12" applyNumberFormat="1" applyFont="1" applyFill="1" applyBorder="1" applyAlignment="1">
      <alignment horizontal="left"/>
    </xf>
    <xf numFmtId="0" fontId="28" fillId="44" borderId="0" xfId="0" applyFont="1" applyFill="1" applyBorder="1" applyAlignment="1">
      <alignment horizontal="center" vertical="center"/>
    </xf>
    <xf numFmtId="0" fontId="28" fillId="44" borderId="42" xfId="0" applyFont="1" applyFill="1" applyBorder="1" applyAlignment="1">
      <alignment horizontal="center" vertical="center"/>
    </xf>
    <xf numFmtId="0" fontId="28" fillId="44" borderId="39" xfId="0" applyFont="1" applyFill="1" applyBorder="1" applyAlignment="1">
      <alignment horizontal="center" vertical="center"/>
    </xf>
    <xf numFmtId="0" fontId="31" fillId="44" borderId="39" xfId="0" applyFont="1" applyFill="1" applyBorder="1" applyAlignment="1">
      <alignment horizontal="center" vertical="center"/>
    </xf>
    <xf numFmtId="0" fontId="55" fillId="10" borderId="36" xfId="0" applyFont="1" applyFill="1" applyBorder="1" applyAlignment="1">
      <alignment horizontal="left"/>
    </xf>
    <xf numFmtId="0" fontId="25" fillId="51" borderId="1" xfId="0" applyFont="1" applyFill="1" applyBorder="1" applyAlignment="1">
      <alignment wrapText="1"/>
    </xf>
    <xf numFmtId="0" fontId="27" fillId="44" borderId="73" xfId="0" applyFont="1" applyFill="1" applyBorder="1" applyAlignment="1">
      <alignment horizontal="center" vertical="center"/>
    </xf>
    <xf numFmtId="0" fontId="44" fillId="15" borderId="61" xfId="0" applyFont="1" applyFill="1" applyBorder="1" applyAlignment="1">
      <alignment horizontal="left" vertical="center"/>
    </xf>
    <xf numFmtId="0" fontId="55" fillId="15" borderId="56" xfId="0" applyFont="1" applyFill="1" applyBorder="1" applyAlignment="1">
      <alignment horizontal="left"/>
    </xf>
    <xf numFmtId="0" fontId="62" fillId="15" borderId="56" xfId="0" applyFont="1" applyFill="1" applyBorder="1" applyAlignment="1">
      <alignment horizontal="left"/>
    </xf>
    <xf numFmtId="0" fontId="62" fillId="15" borderId="39" xfId="0" applyFont="1" applyFill="1" applyBorder="1" applyAlignment="1">
      <alignment horizontal="left"/>
    </xf>
    <xf numFmtId="0" fontId="62" fillId="15" borderId="40" xfId="0" applyFont="1" applyFill="1" applyBorder="1" applyAlignment="1">
      <alignment horizontal="left"/>
    </xf>
    <xf numFmtId="0" fontId="42" fillId="31" borderId="36" xfId="12" applyFont="1" applyFill="1" applyBorder="1" applyAlignment="1">
      <alignment horizontal="center" wrapText="1"/>
    </xf>
    <xf numFmtId="0" fontId="25" fillId="51" borderId="54" xfId="0" applyFont="1" applyFill="1" applyBorder="1" applyAlignment="1">
      <alignment wrapText="1"/>
    </xf>
    <xf numFmtId="0" fontId="39" fillId="31" borderId="30" xfId="0" applyFont="1" applyFill="1" applyBorder="1" applyAlignment="1">
      <alignment horizontal="center"/>
    </xf>
    <xf numFmtId="0" fontId="28" fillId="44" borderId="39" xfId="0" applyFont="1" applyFill="1" applyBorder="1" applyAlignment="1">
      <alignment horizontal="center" vertical="center"/>
    </xf>
    <xf numFmtId="0" fontId="27" fillId="123" borderId="67" xfId="0" applyFont="1" applyFill="1" applyBorder="1"/>
    <xf numFmtId="0" fontId="28" fillId="44" borderId="42" xfId="0" applyFont="1" applyFill="1" applyBorder="1" applyAlignment="1">
      <alignment horizontal="center" vertical="center" wrapText="1"/>
    </xf>
    <xf numFmtId="0" fontId="0" fillId="38" borderId="1" xfId="0" applyFill="1" applyBorder="1" applyAlignment="1">
      <alignment horizontal="center"/>
    </xf>
    <xf numFmtId="0" fontId="0" fillId="0" borderId="55" xfId="0" applyBorder="1"/>
    <xf numFmtId="0" fontId="0" fillId="24" borderId="41" xfId="0" applyFill="1" applyBorder="1"/>
    <xf numFmtId="0" fontId="0" fillId="38" borderId="54" xfId="0" applyFill="1" applyBorder="1" applyAlignment="1">
      <alignment horizontal="center"/>
    </xf>
    <xf numFmtId="0" fontId="0" fillId="23" borderId="54" xfId="0" applyFill="1" applyBorder="1"/>
    <xf numFmtId="0" fontId="87" fillId="23" borderId="44" xfId="4967" applyFont="1" applyFill="1" applyBorder="1" applyAlignment="1">
      <alignment horizontal="center" wrapText="1"/>
    </xf>
    <xf numFmtId="0" fontId="87" fillId="23" borderId="6" xfId="0" applyFont="1" applyFill="1" applyBorder="1"/>
    <xf numFmtId="0" fontId="193" fillId="20" borderId="0" xfId="0" applyFont="1" applyFill="1" applyBorder="1" applyAlignment="1">
      <alignment vertical="center"/>
    </xf>
    <xf numFmtId="0" fontId="94" fillId="46" borderId="18" xfId="0" applyFont="1" applyFill="1" applyBorder="1" applyAlignment="1">
      <alignment horizontal="center"/>
    </xf>
    <xf numFmtId="0" fontId="87" fillId="31" borderId="1" xfId="12" applyFont="1" applyFill="1" applyBorder="1"/>
    <xf numFmtId="0" fontId="193" fillId="46" borderId="1" xfId="0" applyFont="1" applyFill="1" applyBorder="1" applyAlignment="1">
      <alignment horizontal="center" vertical="center"/>
    </xf>
    <xf numFmtId="0" fontId="0" fillId="24" borderId="5" xfId="0" applyFill="1" applyBorder="1"/>
    <xf numFmtId="0" fontId="87" fillId="88" borderId="1" xfId="12" applyFont="1" applyFill="1" applyBorder="1"/>
    <xf numFmtId="0" fontId="0" fillId="0" borderId="1" xfId="0" applyBorder="1"/>
    <xf numFmtId="0" fontId="22" fillId="0" borderId="1" xfId="0" applyFont="1" applyBorder="1"/>
    <xf numFmtId="0" fontId="31" fillId="44" borderId="39" xfId="0" applyFont="1" applyFill="1" applyBorder="1" applyAlignment="1">
      <alignment vertical="top"/>
    </xf>
    <xf numFmtId="0" fontId="87" fillId="88" borderId="28" xfId="12" applyFont="1" applyFill="1" applyBorder="1"/>
    <xf numFmtId="0" fontId="87" fillId="21" borderId="28" xfId="12" applyFont="1" applyFill="1" applyBorder="1"/>
    <xf numFmtId="0" fontId="87" fillId="31" borderId="28" xfId="12" applyFont="1" applyFill="1" applyBorder="1"/>
    <xf numFmtId="0" fontId="0" fillId="0" borderId="18" xfId="0" applyBorder="1" applyAlignment="1">
      <alignment horizontal="center"/>
    </xf>
    <xf numFmtId="0" fontId="87" fillId="23" borderId="18" xfId="0" applyFont="1" applyFill="1" applyBorder="1"/>
    <xf numFmtId="0" fontId="23" fillId="0" borderId="18" xfId="0" applyFont="1" applyFill="1" applyBorder="1"/>
    <xf numFmtId="0" fontId="0" fillId="0" borderId="18" xfId="0" applyFill="1" applyBorder="1"/>
    <xf numFmtId="0" fontId="0" fillId="0" borderId="18" xfId="0" applyFill="1" applyBorder="1" applyAlignment="1">
      <alignment horizontal="left"/>
    </xf>
    <xf numFmtId="0" fontId="0" fillId="20" borderId="18" xfId="0" applyFill="1" applyBorder="1"/>
    <xf numFmtId="0" fontId="87" fillId="31" borderId="18" xfId="0" applyFont="1" applyFill="1" applyBorder="1"/>
    <xf numFmtId="0" fontId="0" fillId="0" borderId="33" xfId="0" applyFill="1" applyBorder="1"/>
    <xf numFmtId="0" fontId="0" fillId="0" borderId="41" xfId="0" applyBorder="1" applyAlignment="1">
      <alignment horizontal="center"/>
    </xf>
    <xf numFmtId="0" fontId="87" fillId="23" borderId="21" xfId="0" applyFont="1" applyFill="1" applyBorder="1"/>
    <xf numFmtId="0" fontId="23" fillId="0" borderId="28" xfId="0" applyFont="1" applyFill="1" applyBorder="1" applyAlignment="1">
      <alignment horizontal="left"/>
    </xf>
    <xf numFmtId="0" fontId="23" fillId="0" borderId="21" xfId="0" applyFont="1" applyFill="1" applyBorder="1"/>
    <xf numFmtId="0" fontId="0" fillId="27" borderId="41" xfId="0" applyFill="1" applyBorder="1"/>
    <xf numFmtId="0" fontId="0" fillId="0" borderId="21" xfId="0" applyFill="1" applyBorder="1" applyAlignment="1">
      <alignment horizontal="left"/>
    </xf>
    <xf numFmtId="0" fontId="0" fillId="20" borderId="21" xfId="0" applyFill="1" applyBorder="1"/>
    <xf numFmtId="0" fontId="0" fillId="21" borderId="21" xfId="0" applyFill="1" applyBorder="1"/>
    <xf numFmtId="0" fontId="0" fillId="21" borderId="41" xfId="0" applyFill="1" applyBorder="1"/>
    <xf numFmtId="0" fontId="0" fillId="46" borderId="25" xfId="0" applyFill="1" applyBorder="1"/>
    <xf numFmtId="0" fontId="0" fillId="44" borderId="2" xfId="0" applyFill="1" applyBorder="1" applyAlignment="1">
      <alignment horizontal="center"/>
    </xf>
    <xf numFmtId="0" fontId="0" fillId="24" borderId="74" xfId="0" applyFill="1" applyBorder="1" applyAlignment="1">
      <alignment horizontal="center"/>
    </xf>
    <xf numFmtId="0" fontId="0" fillId="120" borderId="6" xfId="0" applyFill="1" applyBorder="1" applyAlignment="1">
      <alignment horizontal="center"/>
    </xf>
    <xf numFmtId="0" fontId="0" fillId="120" borderId="54" xfId="0" applyFill="1" applyBorder="1" applyAlignment="1">
      <alignment horizontal="center"/>
    </xf>
    <xf numFmtId="0" fontId="22" fillId="0" borderId="0" xfId="0" applyFont="1" applyAlignment="1">
      <alignment horizontal="center" wrapText="1"/>
    </xf>
    <xf numFmtId="0" fontId="87" fillId="24" borderId="44" xfId="4967" applyFont="1" applyFill="1" applyBorder="1" applyAlignment="1">
      <alignment horizontal="center"/>
    </xf>
    <xf numFmtId="0" fontId="87" fillId="24" borderId="44" xfId="4967" applyFont="1" applyFill="1" applyBorder="1" applyAlignment="1">
      <alignment horizontal="center" wrapText="1"/>
    </xf>
    <xf numFmtId="0" fontId="39" fillId="120" borderId="44" xfId="0" applyFont="1" applyFill="1" applyBorder="1" applyAlignment="1">
      <alignment horizontal="center" wrapText="1"/>
    </xf>
    <xf numFmtId="0" fontId="39" fillId="120" borderId="46" xfId="0" applyFont="1" applyFill="1" applyBorder="1" applyAlignment="1">
      <alignment horizontal="center" wrapText="1"/>
    </xf>
    <xf numFmtId="0" fontId="52" fillId="44" borderId="44" xfId="0" applyFont="1" applyFill="1" applyBorder="1" applyAlignment="1" applyProtection="1">
      <alignment horizontal="center" vertical="center" wrapText="1"/>
    </xf>
    <xf numFmtId="0" fontId="22" fillId="0" borderId="54" xfId="0" applyFont="1" applyFill="1" applyBorder="1"/>
    <xf numFmtId="0" fontId="39" fillId="120" borderId="53" xfId="0" applyFont="1" applyFill="1" applyBorder="1" applyAlignment="1">
      <alignment horizontal="center" wrapText="1"/>
    </xf>
    <xf numFmtId="0" fontId="39" fillId="120" borderId="45" xfId="0" applyFont="1" applyFill="1" applyBorder="1" applyAlignment="1">
      <alignment horizontal="center" wrapText="1"/>
    </xf>
    <xf numFmtId="0" fontId="39" fillId="120" borderId="58" xfId="0" applyFont="1" applyFill="1" applyBorder="1" applyAlignment="1">
      <alignment horizontal="center" wrapText="1"/>
    </xf>
    <xf numFmtId="0" fontId="0" fillId="23" borderId="6" xfId="0" applyFill="1" applyBorder="1"/>
    <xf numFmtId="0" fontId="87" fillId="23" borderId="44" xfId="4967" applyFont="1" applyFill="1" applyBorder="1" applyAlignment="1">
      <alignment horizontal="center"/>
    </xf>
    <xf numFmtId="0" fontId="198" fillId="0" borderId="0" xfId="0" applyFont="1"/>
    <xf numFmtId="0" fontId="39" fillId="120" borderId="38" xfId="0" applyFont="1" applyFill="1" applyBorder="1" applyAlignment="1">
      <alignment horizontal="center" wrapText="1"/>
    </xf>
    <xf numFmtId="0" fontId="0" fillId="43" borderId="54" xfId="0" applyFill="1" applyBorder="1" applyAlignment="1">
      <alignment horizontal="center"/>
    </xf>
    <xf numFmtId="0" fontId="22" fillId="27" borderId="6" xfId="6" applyFill="1" applyBorder="1" applyAlignment="1">
      <alignment horizontal="center" wrapText="1"/>
    </xf>
    <xf numFmtId="0" fontId="0" fillId="0" borderId="0" xfId="0"/>
    <xf numFmtId="0" fontId="0" fillId="0" borderId="21" xfId="0" applyBorder="1"/>
    <xf numFmtId="0" fontId="23" fillId="22" borderId="54" xfId="0" applyFont="1" applyFill="1" applyBorder="1" applyAlignment="1">
      <alignment horizontal="center" wrapText="1"/>
    </xf>
    <xf numFmtId="0" fontId="28" fillId="35" borderId="0" xfId="0" applyFont="1" applyFill="1" applyBorder="1" applyAlignment="1">
      <alignment horizontal="center" vertical="center" wrapText="1"/>
    </xf>
    <xf numFmtId="0" fontId="27" fillId="35" borderId="0" xfId="0" applyFont="1" applyFill="1" applyBorder="1" applyAlignment="1">
      <alignment horizontal="center" vertical="center" wrapText="1"/>
    </xf>
    <xf numFmtId="0" fontId="31" fillId="35" borderId="0" xfId="0" applyFont="1" applyFill="1" applyBorder="1" applyAlignment="1">
      <alignment horizontal="center" vertical="center"/>
    </xf>
    <xf numFmtId="0" fontId="27" fillId="44" borderId="1" xfId="0" applyFont="1" applyFill="1" applyBorder="1" applyAlignment="1">
      <alignment horizontal="center" vertical="center" wrapText="1"/>
    </xf>
    <xf numFmtId="0" fontId="27" fillId="46" borderId="10" xfId="0" applyFont="1" applyFill="1" applyBorder="1" applyAlignment="1" applyProtection="1">
      <alignment horizontal="left"/>
    </xf>
    <xf numFmtId="0" fontId="27" fillId="46" borderId="72" xfId="0" applyFont="1" applyFill="1" applyBorder="1" applyAlignment="1" applyProtection="1">
      <alignment horizontal="left"/>
    </xf>
    <xf numFmtId="0" fontId="29" fillId="46" borderId="10" xfId="3" applyFill="1" applyBorder="1" applyAlignment="1" applyProtection="1">
      <alignment horizontal="left"/>
    </xf>
    <xf numFmtId="0" fontId="22" fillId="23" borderId="28" xfId="0" applyFont="1" applyFill="1" applyBorder="1" applyAlignment="1">
      <alignment vertical="top" wrapText="1"/>
    </xf>
    <xf numFmtId="0" fontId="0" fillId="0" borderId="41" xfId="0" applyBorder="1"/>
    <xf numFmtId="0" fontId="28" fillId="44" borderId="0" xfId="0" applyFont="1" applyFill="1" applyBorder="1" applyAlignment="1">
      <alignment horizontal="center" vertical="center"/>
    </xf>
    <xf numFmtId="0" fontId="42" fillId="31" borderId="5" xfId="12" applyFont="1" applyFill="1" applyBorder="1" applyAlignment="1">
      <alignment horizontal="center" wrapText="1"/>
    </xf>
    <xf numFmtId="0" fontId="27" fillId="21" borderId="55" xfId="0" applyFont="1" applyFill="1" applyBorder="1" applyAlignment="1">
      <alignment horizontal="center" vertical="center" wrapText="1"/>
    </xf>
    <xf numFmtId="0" fontId="25" fillId="51" borderId="55" xfId="0" applyFont="1" applyFill="1" applyBorder="1" applyAlignment="1">
      <alignment wrapText="1"/>
    </xf>
    <xf numFmtId="0" fontId="25" fillId="51" borderId="47" xfId="0" applyFont="1" applyFill="1" applyBorder="1" applyAlignment="1">
      <alignment wrapText="1"/>
    </xf>
    <xf numFmtId="0" fontId="25" fillId="51" borderId="48" xfId="0" applyFont="1" applyFill="1" applyBorder="1" applyAlignment="1">
      <alignment wrapText="1"/>
    </xf>
    <xf numFmtId="0" fontId="22" fillId="0" borderId="49" xfId="0" applyFont="1" applyBorder="1"/>
    <xf numFmtId="0" fontId="201" fillId="45" borderId="21" xfId="0" applyFont="1" applyFill="1" applyBorder="1"/>
    <xf numFmtId="0" fontId="0" fillId="34" borderId="18" xfId="0" applyFill="1" applyBorder="1" applyAlignment="1">
      <alignment horizontal="left"/>
    </xf>
    <xf numFmtId="0" fontId="0" fillId="34" borderId="30" xfId="0" applyFill="1" applyBorder="1" applyAlignment="1">
      <alignment horizontal="left"/>
    </xf>
    <xf numFmtId="0" fontId="0" fillId="31" borderId="30" xfId="0" applyFill="1" applyBorder="1" applyAlignment="1">
      <alignment horizontal="left"/>
    </xf>
    <xf numFmtId="0" fontId="0" fillId="31" borderId="4" xfId="0" applyFill="1" applyBorder="1" applyAlignment="1">
      <alignment horizontal="left"/>
    </xf>
    <xf numFmtId="0" fontId="0" fillId="31" borderId="17" xfId="0" applyFill="1" applyBorder="1" applyAlignment="1">
      <alignment horizontal="left"/>
    </xf>
    <xf numFmtId="0" fontId="0" fillId="31" borderId="18" xfId="0" applyFill="1" applyBorder="1"/>
    <xf numFmtId="168" fontId="25" fillId="51" borderId="47" xfId="0" applyNumberFormat="1" applyFont="1" applyFill="1" applyBorder="1" applyAlignment="1">
      <alignment horizontal="center" wrapText="1"/>
    </xf>
    <xf numFmtId="168" fontId="25" fillId="51" borderId="41" xfId="0" applyNumberFormat="1" applyFont="1" applyFill="1" applyBorder="1" applyAlignment="1">
      <alignment horizontal="center" wrapText="1"/>
    </xf>
    <xf numFmtId="168" fontId="25" fillId="51" borderId="48" xfId="0" applyNumberFormat="1" applyFont="1" applyFill="1" applyBorder="1" applyAlignment="1">
      <alignment horizontal="center" wrapText="1"/>
    </xf>
    <xf numFmtId="0" fontId="0" fillId="20" borderId="55" xfId="0" applyFill="1" applyBorder="1"/>
    <xf numFmtId="0" fontId="22" fillId="0" borderId="47" xfId="0" applyFont="1" applyBorder="1"/>
    <xf numFmtId="0" fontId="0" fillId="0" borderId="21" xfId="0" applyBorder="1"/>
    <xf numFmtId="0" fontId="123" fillId="44" borderId="39" xfId="0" applyFont="1" applyFill="1" applyBorder="1" applyAlignment="1">
      <alignment horizontal="center" wrapText="1"/>
    </xf>
    <xf numFmtId="0" fontId="0" fillId="0" borderId="28" xfId="0" applyFill="1" applyBorder="1"/>
    <xf numFmtId="0" fontId="0" fillId="0" borderId="60" xfId="0" applyFill="1" applyBorder="1"/>
    <xf numFmtId="0" fontId="0" fillId="120" borderId="61" xfId="0" applyFill="1" applyBorder="1"/>
    <xf numFmtId="0" fontId="0" fillId="119" borderId="61" xfId="0" applyFill="1" applyBorder="1"/>
    <xf numFmtId="0" fontId="0" fillId="124" borderId="28" xfId="0" applyFill="1" applyBorder="1"/>
    <xf numFmtId="0" fontId="0" fillId="125" borderId="28" xfId="0" applyFill="1" applyBorder="1"/>
    <xf numFmtId="0" fontId="0" fillId="119" borderId="28" xfId="0" applyFill="1" applyBorder="1"/>
    <xf numFmtId="0" fontId="0" fillId="120" borderId="28" xfId="0" applyFill="1" applyBorder="1"/>
    <xf numFmtId="0" fontId="0" fillId="36" borderId="60" xfId="0" applyFill="1" applyBorder="1"/>
    <xf numFmtId="0" fontId="0" fillId="24" borderId="34" xfId="0" applyFill="1" applyBorder="1"/>
    <xf numFmtId="0" fontId="0" fillId="24" borderId="14" xfId="0" applyFill="1" applyBorder="1"/>
    <xf numFmtId="0" fontId="0" fillId="25" borderId="34" xfId="0" applyFill="1" applyBorder="1"/>
    <xf numFmtId="0" fontId="0" fillId="37" borderId="34" xfId="0" applyFill="1" applyBorder="1"/>
    <xf numFmtId="0" fontId="0" fillId="37" borderId="14" xfId="0" applyFill="1" applyBorder="1"/>
    <xf numFmtId="0" fontId="0" fillId="38" borderId="34" xfId="0" applyFill="1" applyBorder="1"/>
    <xf numFmtId="0" fontId="0" fillId="38" borderId="14" xfId="0" applyFill="1" applyBorder="1"/>
    <xf numFmtId="0" fontId="0" fillId="125" borderId="70" xfId="0" applyFill="1" applyBorder="1"/>
    <xf numFmtId="0" fontId="0" fillId="38" borderId="9" xfId="0" applyFill="1" applyBorder="1"/>
    <xf numFmtId="0" fontId="0" fillId="37" borderId="9" xfId="0" applyFill="1" applyBorder="1"/>
    <xf numFmtId="0" fontId="0" fillId="119" borderId="70" xfId="0" applyFill="1" applyBorder="1"/>
    <xf numFmtId="0" fontId="0" fillId="27" borderId="34" xfId="0" applyFill="1" applyBorder="1"/>
    <xf numFmtId="0" fontId="0" fillId="27" borderId="14" xfId="0" applyFill="1" applyBorder="1"/>
    <xf numFmtId="0" fontId="0" fillId="124" borderId="70" xfId="0" applyFill="1" applyBorder="1"/>
    <xf numFmtId="0" fontId="0" fillId="25" borderId="9" xfId="0" applyFill="1" applyBorder="1"/>
    <xf numFmtId="0" fontId="0" fillId="27" borderId="9" xfId="0" applyFill="1" applyBorder="1"/>
    <xf numFmtId="0" fontId="0" fillId="120" borderId="70" xfId="0" applyFill="1" applyBorder="1"/>
    <xf numFmtId="0" fontId="0" fillId="36" borderId="61" xfId="0" applyFill="1" applyBorder="1"/>
    <xf numFmtId="0" fontId="0" fillId="36" borderId="28" xfId="0" applyFill="1" applyBorder="1"/>
    <xf numFmtId="0" fontId="0" fillId="86" borderId="71" xfId="0" applyFill="1" applyBorder="1"/>
    <xf numFmtId="0" fontId="22" fillId="89" borderId="20" xfId="0" applyFont="1" applyFill="1" applyBorder="1"/>
    <xf numFmtId="0" fontId="22" fillId="54" borderId="20" xfId="0" applyFont="1" applyFill="1" applyBorder="1"/>
    <xf numFmtId="0" fontId="22" fillId="48" borderId="20" xfId="0" applyFont="1" applyFill="1" applyBorder="1"/>
    <xf numFmtId="0" fontId="111" fillId="126" borderId="26" xfId="0" applyFont="1" applyFill="1" applyBorder="1"/>
    <xf numFmtId="0" fontId="111" fillId="126" borderId="25" xfId="0" applyFont="1" applyFill="1" applyBorder="1"/>
    <xf numFmtId="0" fontId="111" fillId="126" borderId="28" xfId="0" applyFont="1" applyFill="1" applyBorder="1"/>
    <xf numFmtId="0" fontId="111" fillId="126" borderId="70" xfId="0" applyFont="1" applyFill="1" applyBorder="1"/>
    <xf numFmtId="0" fontId="22" fillId="89" borderId="61" xfId="0" applyFont="1" applyFill="1" applyBorder="1"/>
    <xf numFmtId="0" fontId="22" fillId="89" borderId="28" xfId="0" applyFont="1" applyFill="1" applyBorder="1"/>
    <xf numFmtId="0" fontId="22" fillId="89" borderId="70" xfId="0" applyFont="1" applyFill="1" applyBorder="1"/>
    <xf numFmtId="0" fontId="22" fillId="54" borderId="61" xfId="0" applyFont="1" applyFill="1" applyBorder="1"/>
    <xf numFmtId="0" fontId="22" fillId="48" borderId="28" xfId="0" applyFont="1" applyFill="1" applyBorder="1"/>
    <xf numFmtId="0" fontId="22" fillId="48" borderId="60" xfId="0" applyFont="1" applyFill="1" applyBorder="1"/>
    <xf numFmtId="0" fontId="22" fillId="54" borderId="28" xfId="0" applyFont="1" applyFill="1" applyBorder="1"/>
    <xf numFmtId="0" fontId="22" fillId="54" borderId="70" xfId="0" applyFont="1" applyFill="1" applyBorder="1"/>
    <xf numFmtId="0" fontId="22" fillId="48" borderId="61" xfId="0" applyFont="1" applyFill="1" applyBorder="1"/>
    <xf numFmtId="0" fontId="22" fillId="86" borderId="25" xfId="0" applyFont="1" applyFill="1" applyBorder="1"/>
    <xf numFmtId="0" fontId="22" fillId="86" borderId="28" xfId="0" applyFont="1" applyFill="1" applyBorder="1"/>
    <xf numFmtId="0" fontId="22" fillId="86" borderId="60" xfId="0" applyFont="1" applyFill="1" applyBorder="1"/>
    <xf numFmtId="0" fontId="27" fillId="54" borderId="53" xfId="0" applyFont="1" applyFill="1" applyBorder="1" applyAlignment="1">
      <alignment horizontal="center" wrapText="1"/>
    </xf>
    <xf numFmtId="0" fontId="27" fillId="54" borderId="53" xfId="12" applyFont="1" applyFill="1" applyBorder="1" applyAlignment="1">
      <alignment horizontal="center" wrapText="1"/>
    </xf>
    <xf numFmtId="0" fontId="27" fillId="54" borderId="46" xfId="0" applyFont="1" applyFill="1" applyBorder="1" applyAlignment="1">
      <alignment horizontal="center" wrapText="1"/>
    </xf>
    <xf numFmtId="0" fontId="27" fillId="54" borderId="37" xfId="0" applyFont="1" applyFill="1" applyBorder="1" applyAlignment="1">
      <alignment horizontal="center" wrapText="1"/>
    </xf>
    <xf numFmtId="0" fontId="22" fillId="48" borderId="6" xfId="0" applyFont="1" applyFill="1" applyBorder="1" applyAlignment="1">
      <alignment horizontal="center"/>
    </xf>
    <xf numFmtId="0" fontId="22" fillId="48" borderId="49" xfId="0" applyFont="1" applyFill="1" applyBorder="1" applyAlignment="1">
      <alignment horizontal="center"/>
    </xf>
    <xf numFmtId="0" fontId="22" fillId="48" borderId="43" xfId="0" applyFont="1" applyFill="1" applyBorder="1" applyAlignment="1">
      <alignment horizontal="center"/>
    </xf>
    <xf numFmtId="0" fontId="0" fillId="86" borderId="6" xfId="0" applyFill="1" applyBorder="1" applyAlignment="1">
      <alignment horizontal="center"/>
    </xf>
    <xf numFmtId="0" fontId="22" fillId="86" borderId="6" xfId="0" applyFont="1" applyFill="1" applyBorder="1" applyAlignment="1">
      <alignment horizontal="center"/>
    </xf>
    <xf numFmtId="0" fontId="22" fillId="86" borderId="17" xfId="0" applyFont="1" applyFill="1" applyBorder="1" applyAlignment="1">
      <alignment horizontal="center"/>
    </xf>
    <xf numFmtId="0" fontId="22" fillId="86" borderId="43" xfId="0" applyFont="1" applyFill="1" applyBorder="1" applyAlignment="1">
      <alignment horizontal="center"/>
    </xf>
    <xf numFmtId="0" fontId="22" fillId="86" borderId="26" xfId="0" applyFont="1" applyFill="1" applyBorder="1" applyAlignment="1">
      <alignment horizontal="center"/>
    </xf>
    <xf numFmtId="0" fontId="22" fillId="23" borderId="21" xfId="0" applyFont="1" applyFill="1" applyBorder="1" applyAlignment="1">
      <alignment vertical="top" wrapText="1"/>
    </xf>
    <xf numFmtId="0" fontId="22" fillId="48" borderId="6" xfId="0" applyNumberFormat="1" applyFont="1" applyFill="1" applyBorder="1" applyAlignment="1">
      <alignment horizontal="center" vertical="center" wrapText="1"/>
    </xf>
    <xf numFmtId="0" fontId="22" fillId="48" borderId="54" xfId="0" applyNumberFormat="1" applyFont="1" applyFill="1" applyBorder="1" applyAlignment="1">
      <alignment horizontal="center" vertical="center" wrapText="1"/>
    </xf>
    <xf numFmtId="0" fontId="22" fillId="0" borderId="1" xfId="0" applyFont="1" applyFill="1" applyBorder="1" applyAlignment="1" applyProtection="1">
      <alignment horizontal="center"/>
    </xf>
    <xf numFmtId="0" fontId="0" fillId="38" borderId="61" xfId="0" applyFill="1" applyBorder="1"/>
    <xf numFmtId="0" fontId="0" fillId="38" borderId="60" xfId="0" applyFill="1" applyBorder="1"/>
    <xf numFmtId="0" fontId="0" fillId="37" borderId="61" xfId="0" applyFill="1" applyBorder="1"/>
    <xf numFmtId="0" fontId="0" fillId="37" borderId="60" xfId="0" applyFill="1" applyBorder="1"/>
    <xf numFmtId="0" fontId="0" fillId="37" borderId="70" xfId="0" applyFill="1" applyBorder="1"/>
    <xf numFmtId="0" fontId="0" fillId="24" borderId="61" xfId="0" applyFill="1" applyBorder="1"/>
    <xf numFmtId="0" fontId="0" fillId="24" borderId="60" xfId="0" applyFill="1" applyBorder="1"/>
    <xf numFmtId="0" fontId="0" fillId="27" borderId="61" xfId="0" applyFill="1" applyBorder="1"/>
    <xf numFmtId="0" fontId="0" fillId="27" borderId="60" xfId="0" applyFill="1" applyBorder="1"/>
    <xf numFmtId="0" fontId="0" fillId="27" borderId="70" xfId="0" applyFill="1" applyBorder="1"/>
    <xf numFmtId="0" fontId="22" fillId="0" borderId="19" xfId="0" applyFont="1" applyBorder="1" applyProtection="1">
      <protection locked="0"/>
    </xf>
    <xf numFmtId="0" fontId="22" fillId="0" borderId="14" xfId="0" applyFont="1" applyBorder="1" applyProtection="1">
      <protection locked="0"/>
    </xf>
    <xf numFmtId="0" fontId="0" fillId="0" borderId="60" xfId="0" applyBorder="1"/>
    <xf numFmtId="0" fontId="0" fillId="0" borderId="28" xfId="0" applyBorder="1"/>
    <xf numFmtId="0" fontId="113" fillId="21" borderId="21" xfId="0" applyFont="1" applyFill="1" applyBorder="1" applyAlignment="1" applyProtection="1">
      <alignment horizontal="center"/>
      <protection locked="0"/>
    </xf>
    <xf numFmtId="0" fontId="27" fillId="54" borderId="44" xfId="0" applyFont="1" applyFill="1" applyBorder="1" applyAlignment="1">
      <alignment horizontal="center" vertical="top" wrapText="1"/>
    </xf>
    <xf numFmtId="0" fontId="27" fillId="41" borderId="50" xfId="0" applyFont="1" applyFill="1" applyBorder="1" applyAlignment="1">
      <alignment horizontal="center" vertical="center" wrapText="1"/>
    </xf>
    <xf numFmtId="0" fontId="0" fillId="0" borderId="32" xfId="0" applyBorder="1"/>
    <xf numFmtId="0" fontId="142" fillId="31" borderId="21" xfId="0" applyFont="1" applyFill="1" applyBorder="1" applyAlignment="1" applyProtection="1">
      <alignment horizontal="left" wrapText="1"/>
    </xf>
    <xf numFmtId="0" fontId="204" fillId="31" borderId="21" xfId="0" applyFont="1" applyFill="1" applyBorder="1" applyAlignment="1" applyProtection="1">
      <alignment horizontal="left"/>
    </xf>
    <xf numFmtId="0" fontId="22" fillId="48" borderId="6" xfId="0" applyNumberFormat="1" applyFont="1" applyFill="1" applyBorder="1" applyAlignment="1">
      <alignment horizontal="center" vertical="top" wrapText="1"/>
    </xf>
    <xf numFmtId="0" fontId="88" fillId="46" borderId="4" xfId="0" applyFont="1" applyFill="1" applyBorder="1" applyAlignment="1">
      <alignment vertical="center"/>
    </xf>
    <xf numFmtId="0" fontId="27" fillId="46" borderId="0" xfId="0" applyFont="1" applyFill="1" applyBorder="1" applyAlignment="1">
      <alignment vertical="center" wrapText="1"/>
    </xf>
    <xf numFmtId="0" fontId="0" fillId="3" borderId="74" xfId="0" applyFill="1" applyBorder="1"/>
    <xf numFmtId="0" fontId="0" fillId="3" borderId="6" xfId="0" applyFill="1" applyBorder="1" applyAlignment="1">
      <alignment horizontal="left"/>
    </xf>
    <xf numFmtId="0" fontId="0" fillId="43" borderId="6" xfId="0" applyFill="1" applyBorder="1" applyAlignment="1">
      <alignment horizontal="center"/>
    </xf>
    <xf numFmtId="0" fontId="0" fillId="24" borderId="6" xfId="0" applyNumberFormat="1" applyFill="1" applyBorder="1"/>
    <xf numFmtId="0" fontId="0" fillId="38" borderId="6" xfId="0" applyFill="1" applyBorder="1" applyAlignment="1">
      <alignment horizontal="center"/>
    </xf>
    <xf numFmtId="0" fontId="22" fillId="23" borderId="6" xfId="0" applyFont="1" applyFill="1" applyBorder="1"/>
    <xf numFmtId="0" fontId="0" fillId="40" borderId="6" xfId="0" applyFill="1" applyBorder="1"/>
    <xf numFmtId="0" fontId="27" fillId="31" borderId="45" xfId="0" applyFont="1" applyFill="1" applyBorder="1" applyAlignment="1">
      <alignment horizontal="center" wrapText="1"/>
    </xf>
    <xf numFmtId="0" fontId="87" fillId="31" borderId="44" xfId="4967" applyFont="1" applyFill="1" applyBorder="1" applyAlignment="1">
      <alignment horizontal="center"/>
    </xf>
    <xf numFmtId="0" fontId="87" fillId="24" borderId="46" xfId="4967" applyFont="1" applyFill="1" applyBorder="1" applyAlignment="1">
      <alignment horizontal="center"/>
    </xf>
    <xf numFmtId="0" fontId="87" fillId="43" borderId="44" xfId="4967" applyFont="1" applyFill="1" applyBorder="1" applyAlignment="1">
      <alignment horizontal="center" wrapText="1"/>
    </xf>
    <xf numFmtId="0" fontId="87" fillId="43" borderId="44" xfId="4967" applyFont="1" applyFill="1" applyBorder="1" applyAlignment="1">
      <alignment horizontal="center"/>
    </xf>
    <xf numFmtId="0" fontId="87" fillId="38" borderId="44" xfId="4967" applyFont="1" applyFill="1" applyBorder="1" applyAlignment="1">
      <alignment horizontal="center"/>
    </xf>
    <xf numFmtId="0" fontId="87" fillId="38" borderId="44" xfId="4967" applyFont="1" applyFill="1" applyBorder="1" applyAlignment="1">
      <alignment horizontal="center" wrapText="1"/>
    </xf>
    <xf numFmtId="0" fontId="87" fillId="20" borderId="44" xfId="4967" applyFont="1" applyFill="1" applyBorder="1" applyAlignment="1">
      <alignment horizontal="center"/>
    </xf>
    <xf numFmtId="0" fontId="87" fillId="20" borderId="44" xfId="4967" applyFont="1" applyFill="1" applyBorder="1" applyAlignment="1">
      <alignment horizontal="center" wrapText="1"/>
    </xf>
    <xf numFmtId="0" fontId="0" fillId="0" borderId="21" xfId="0" applyBorder="1"/>
    <xf numFmtId="0" fontId="27" fillId="3" borderId="1" xfId="0" applyNumberFormat="1" applyFont="1" applyFill="1" applyBorder="1" applyAlignment="1" applyProtection="1">
      <alignment horizontal="left"/>
    </xf>
    <xf numFmtId="0" fontId="0" fillId="0" borderId="24" xfId="0" applyBorder="1"/>
    <xf numFmtId="0" fontId="0" fillId="0" borderId="54" xfId="0" applyBorder="1"/>
    <xf numFmtId="0" fontId="0" fillId="0" borderId="21" xfId="0" applyBorder="1"/>
    <xf numFmtId="0" fontId="0" fillId="0" borderId="1" xfId="0" applyBorder="1"/>
    <xf numFmtId="0" fontId="0" fillId="0" borderId="18" xfId="0" applyBorder="1"/>
    <xf numFmtId="0" fontId="142" fillId="20" borderId="21" xfId="0" applyFont="1" applyFill="1" applyBorder="1" applyAlignment="1" applyProtection="1">
      <alignment horizontal="left" wrapText="1"/>
    </xf>
    <xf numFmtId="0" fontId="27" fillId="31" borderId="51" xfId="0" applyFont="1" applyFill="1" applyBorder="1"/>
    <xf numFmtId="0" fontId="0" fillId="24" borderId="48" xfId="0" applyFill="1" applyBorder="1" applyAlignment="1">
      <alignment horizontal="center"/>
    </xf>
    <xf numFmtId="0" fontId="0" fillId="0" borderId="0" xfId="0" applyAlignment="1">
      <alignment horizontal="left" vertical="top"/>
    </xf>
    <xf numFmtId="0" fontId="0" fillId="0" borderId="18" xfId="0" applyBorder="1"/>
    <xf numFmtId="0" fontId="206" fillId="21" borderId="21" xfId="0" applyFont="1" applyFill="1" applyBorder="1" applyAlignment="1" applyProtection="1">
      <alignment horizontal="center"/>
      <protection locked="0"/>
    </xf>
    <xf numFmtId="0" fontId="22" fillId="0" borderId="17" xfId="0" applyFont="1" applyBorder="1"/>
    <xf numFmtId="0" fontId="22" fillId="0" borderId="0" xfId="0" applyFont="1" applyFill="1" applyBorder="1" applyProtection="1"/>
    <xf numFmtId="0" fontId="0" fillId="24" borderId="1" xfId="0" applyFill="1" applyBorder="1" applyAlignment="1">
      <alignment horizontal="center" wrapText="1"/>
    </xf>
    <xf numFmtId="0" fontId="97" fillId="88" borderId="39" xfId="0" applyFont="1" applyFill="1" applyBorder="1" applyAlignment="1">
      <alignment wrapText="1"/>
    </xf>
    <xf numFmtId="0" fontId="98" fillId="88" borderId="39" xfId="0" applyFont="1" applyFill="1" applyBorder="1" applyAlignment="1">
      <alignment vertical="center" wrapText="1"/>
    </xf>
    <xf numFmtId="0" fontId="143" fillId="88" borderId="39" xfId="0" applyFont="1" applyFill="1" applyBorder="1" applyAlignment="1">
      <alignment vertical="center" wrapText="1"/>
    </xf>
    <xf numFmtId="0" fontId="109" fillId="54" borderId="39" xfId="0" applyFont="1" applyFill="1" applyBorder="1" applyAlignment="1">
      <alignment horizontal="center" vertical="center"/>
    </xf>
    <xf numFmtId="0" fontId="109" fillId="54" borderId="40" xfId="0" applyFont="1" applyFill="1" applyBorder="1" applyAlignment="1">
      <alignment horizontal="center" vertical="center"/>
    </xf>
    <xf numFmtId="0" fontId="144" fillId="20" borderId="40" xfId="0" applyFont="1" applyFill="1" applyBorder="1" applyAlignment="1">
      <alignment vertical="center" wrapText="1"/>
    </xf>
    <xf numFmtId="0" fontId="0" fillId="54" borderId="39" xfId="0" applyFill="1" applyBorder="1"/>
    <xf numFmtId="0" fontId="0" fillId="0" borderId="6" xfId="0" applyFill="1" applyBorder="1" applyAlignment="1">
      <alignment horizontal="center"/>
    </xf>
    <xf numFmtId="0" fontId="27" fillId="42" borderId="44" xfId="0" applyFont="1" applyFill="1" applyBorder="1" applyAlignment="1">
      <alignment horizontal="center" wrapText="1"/>
    </xf>
    <xf numFmtId="0" fontId="27" fillId="31" borderId="53" xfId="0" applyFont="1" applyFill="1" applyBorder="1" applyAlignment="1">
      <alignment horizontal="center" wrapText="1"/>
    </xf>
    <xf numFmtId="0" fontId="27" fillId="54" borderId="46" xfId="12" applyFont="1" applyFill="1" applyBorder="1" applyAlignment="1">
      <alignment horizontal="center" wrapText="1"/>
    </xf>
    <xf numFmtId="0" fontId="27" fillId="31" borderId="2" xfId="0" applyFont="1" applyFill="1" applyBorder="1" applyAlignment="1">
      <alignment horizontal="center" wrapText="1"/>
    </xf>
    <xf numFmtId="0" fontId="22" fillId="120" borderId="28" xfId="0" applyFont="1" applyFill="1" applyBorder="1"/>
    <xf numFmtId="0" fontId="22" fillId="124" borderId="61" xfId="0" applyFont="1" applyFill="1" applyBorder="1"/>
    <xf numFmtId="0" fontId="28" fillId="44" borderId="2" xfId="0" applyFont="1" applyFill="1" applyBorder="1" applyAlignment="1" applyProtection="1">
      <alignment horizontal="left" vertical="center" indent="15"/>
    </xf>
    <xf numFmtId="0" fontId="0" fillId="0" borderId="2" xfId="0" applyBorder="1"/>
    <xf numFmtId="0" fontId="0" fillId="0" borderId="23" xfId="0" quotePrefix="1" applyBorder="1" applyAlignment="1">
      <alignment horizontal="center"/>
    </xf>
    <xf numFmtId="0" fontId="0" fillId="0" borderId="48" xfId="0" applyBorder="1" applyAlignment="1">
      <alignment horizontal="center"/>
    </xf>
    <xf numFmtId="0" fontId="22" fillId="0" borderId="54" xfId="0" applyFont="1" applyBorder="1" applyAlignment="1">
      <alignment horizontal="center" vertical="center" wrapText="1"/>
    </xf>
    <xf numFmtId="0" fontId="0" fillId="0" borderId="54" xfId="0" applyBorder="1"/>
    <xf numFmtId="0" fontId="207" fillId="0" borderId="0" xfId="0" applyFont="1" applyAlignment="1">
      <alignment horizontal="center"/>
    </xf>
    <xf numFmtId="0" fontId="0" fillId="3" borderId="26" xfId="0" applyFill="1" applyBorder="1" applyAlignment="1">
      <alignment horizontal="center"/>
    </xf>
    <xf numFmtId="0" fontId="22" fillId="116" borderId="67" xfId="0" applyFont="1" applyFill="1" applyBorder="1" applyAlignment="1">
      <alignment horizontal="center" vertical="center" wrapText="1"/>
    </xf>
    <xf numFmtId="0" fontId="22" fillId="27" borderId="66" xfId="0" applyFont="1" applyFill="1" applyBorder="1" applyAlignment="1">
      <alignment horizontal="center"/>
    </xf>
    <xf numFmtId="0" fontId="22" fillId="116" borderId="12" xfId="0" applyFont="1" applyFill="1" applyBorder="1" applyAlignment="1">
      <alignment horizontal="center" vertical="center"/>
    </xf>
    <xf numFmtId="0" fontId="22" fillId="27" borderId="52" xfId="0" applyFont="1" applyFill="1" applyBorder="1" applyAlignment="1">
      <alignment horizontal="center"/>
    </xf>
    <xf numFmtId="0" fontId="42" fillId="31" borderId="54" xfId="0" applyFont="1" applyFill="1" applyBorder="1" applyAlignment="1">
      <alignment horizontal="center" wrapText="1"/>
    </xf>
    <xf numFmtId="0" fontId="0" fillId="25" borderId="0" xfId="0" applyFill="1" applyBorder="1"/>
    <xf numFmtId="0" fontId="177" fillId="42" borderId="0" xfId="0" applyFont="1" applyFill="1" applyBorder="1" applyAlignment="1">
      <alignment horizontal="center" vertical="center" textRotation="90"/>
    </xf>
    <xf numFmtId="0" fontId="22" fillId="37" borderId="28" xfId="0" applyFont="1" applyFill="1" applyBorder="1"/>
    <xf numFmtId="0" fontId="22" fillId="37" borderId="60" xfId="0" applyFont="1" applyFill="1" applyBorder="1"/>
    <xf numFmtId="0" fontId="22" fillId="46" borderId="50" xfId="0" applyFont="1" applyFill="1" applyBorder="1"/>
    <xf numFmtId="0" fontId="22" fillId="46" borderId="55" xfId="0" applyFont="1" applyFill="1" applyBorder="1"/>
    <xf numFmtId="0" fontId="22" fillId="46" borderId="24" xfId="0" applyFont="1" applyFill="1" applyBorder="1"/>
    <xf numFmtId="0" fontId="22" fillId="46" borderId="54" xfId="0" applyFont="1" applyFill="1" applyBorder="1"/>
    <xf numFmtId="0" fontId="22" fillId="23" borderId="50" xfId="0" applyFont="1" applyFill="1" applyBorder="1"/>
    <xf numFmtId="0" fontId="22" fillId="23" borderId="55" xfId="0" applyFont="1" applyFill="1" applyBorder="1"/>
    <xf numFmtId="0" fontId="22" fillId="23" borderId="24" xfId="0" applyFont="1" applyFill="1" applyBorder="1"/>
    <xf numFmtId="0" fontId="22" fillId="23" borderId="54" xfId="0" applyFont="1" applyFill="1" applyBorder="1"/>
    <xf numFmtId="0" fontId="22" fillId="46" borderId="23" xfId="0" applyFont="1" applyFill="1" applyBorder="1"/>
    <xf numFmtId="0" fontId="22" fillId="23" borderId="51" xfId="0" applyFont="1" applyFill="1" applyBorder="1"/>
    <xf numFmtId="0" fontId="22" fillId="37" borderId="51" xfId="0" applyFont="1" applyFill="1" applyBorder="1"/>
    <xf numFmtId="0" fontId="31" fillId="41" borderId="37" xfId="0" applyFont="1" applyFill="1" applyBorder="1" applyAlignment="1">
      <alignment horizontal="center" vertical="center"/>
    </xf>
    <xf numFmtId="0" fontId="31" fillId="41" borderId="38" xfId="0" applyFont="1" applyFill="1" applyBorder="1" applyAlignment="1">
      <alignment horizontal="center" vertical="center"/>
    </xf>
    <xf numFmtId="0" fontId="31" fillId="41" borderId="2" xfId="0" applyFont="1" applyFill="1" applyBorder="1" applyAlignment="1">
      <alignment horizontal="center" vertical="center"/>
    </xf>
    <xf numFmtId="0" fontId="22" fillId="0" borderId="1" xfId="12" applyBorder="1"/>
    <xf numFmtId="0" fontId="27" fillId="33" borderId="23" xfId="48733" applyFont="1" applyFill="1" applyBorder="1" applyAlignment="1">
      <alignment vertical="center" wrapText="1"/>
    </xf>
    <xf numFmtId="0" fontId="27" fillId="33" borderId="47" xfId="48733" applyFont="1" applyFill="1" applyBorder="1" applyAlignment="1">
      <alignment vertical="center"/>
    </xf>
    <xf numFmtId="0" fontId="22" fillId="0" borderId="21" xfId="48733" applyFont="1" applyBorder="1"/>
    <xf numFmtId="0" fontId="5" fillId="0" borderId="41" xfId="48733" applyBorder="1"/>
    <xf numFmtId="0" fontId="5" fillId="0" borderId="21" xfId="48733" applyBorder="1" applyAlignment="1">
      <alignment horizontal="left"/>
    </xf>
    <xf numFmtId="0" fontId="27" fillId="33" borderId="21" xfId="48733" applyFont="1" applyFill="1" applyBorder="1" applyAlignment="1">
      <alignment horizontal="center"/>
    </xf>
    <xf numFmtId="0" fontId="5" fillId="33" borderId="41" xfId="48733" applyFill="1" applyBorder="1" applyAlignment="1">
      <alignment horizontal="center"/>
    </xf>
    <xf numFmtId="0" fontId="5" fillId="0" borderId="21" xfId="48733" applyBorder="1"/>
    <xf numFmtId="0" fontId="5" fillId="0" borderId="0" xfId="48733"/>
    <xf numFmtId="0" fontId="5" fillId="20" borderId="1" xfId="48733" applyFill="1" applyBorder="1"/>
    <xf numFmtId="0" fontId="5" fillId="20" borderId="41" xfId="48733" applyFill="1" applyBorder="1"/>
    <xf numFmtId="0" fontId="5" fillId="0" borderId="24" xfId="48733" applyBorder="1"/>
    <xf numFmtId="0" fontId="5" fillId="0" borderId="48" xfId="48733" applyBorder="1"/>
    <xf numFmtId="0" fontId="5" fillId="0" borderId="1" xfId="48733" applyBorder="1"/>
    <xf numFmtId="0" fontId="5" fillId="20" borderId="0" xfId="48733" applyFill="1"/>
    <xf numFmtId="0" fontId="5" fillId="20" borderId="48" xfId="48733" applyFill="1" applyBorder="1"/>
    <xf numFmtId="0" fontId="5" fillId="0" borderId="54" xfId="48733" applyBorder="1" applyAlignment="1">
      <alignment horizontal="center"/>
    </xf>
    <xf numFmtId="0" fontId="5" fillId="20" borderId="1" xfId="48733" applyFill="1" applyBorder="1" applyAlignment="1">
      <alignment horizontal="center"/>
    </xf>
    <xf numFmtId="0" fontId="27" fillId="41" borderId="38" xfId="0" applyFont="1" applyFill="1" applyBorder="1" applyAlignment="1">
      <alignment vertical="center"/>
    </xf>
    <xf numFmtId="0" fontId="27" fillId="20" borderId="0" xfId="12" applyFont="1" applyFill="1" applyBorder="1" applyAlignment="1">
      <alignment horizontal="right"/>
    </xf>
    <xf numFmtId="0" fontId="31" fillId="0" borderId="0" xfId="12" applyFont="1" applyFill="1" applyBorder="1" applyAlignment="1">
      <alignment horizontal="right"/>
    </xf>
    <xf numFmtId="0" fontId="5" fillId="20" borderId="0" xfId="48733" applyFill="1" applyBorder="1" applyAlignment="1">
      <alignment horizontal="center"/>
    </xf>
    <xf numFmtId="0" fontId="27" fillId="0" borderId="0" xfId="12" applyFont="1" applyFill="1" applyBorder="1" applyAlignment="1">
      <alignment horizontal="right"/>
    </xf>
    <xf numFmtId="0" fontId="5" fillId="0" borderId="0" xfId="48733" applyFill="1" applyBorder="1"/>
    <xf numFmtId="0" fontId="5" fillId="0" borderId="0" xfId="48733" applyFill="1" applyBorder="1" applyAlignment="1">
      <alignment horizontal="center"/>
    </xf>
    <xf numFmtId="0" fontId="52" fillId="23" borderId="1" xfId="48733" applyFont="1" applyFill="1" applyBorder="1" applyAlignment="1">
      <alignment vertical="top" wrapText="1"/>
    </xf>
    <xf numFmtId="0" fontId="87" fillId="23" borderId="1" xfId="48733" applyFont="1" applyFill="1" applyBorder="1" applyAlignment="1">
      <alignment horizontal="center"/>
    </xf>
    <xf numFmtId="0" fontId="22" fillId="0" borderId="1" xfId="48733" applyFont="1" applyFill="1" applyBorder="1" applyAlignment="1">
      <alignment horizontal="left" vertical="top" wrapText="1"/>
    </xf>
    <xf numFmtId="0" fontId="5" fillId="0" borderId="1" xfId="48733" applyFill="1" applyBorder="1" applyAlignment="1">
      <alignment horizontal="center"/>
    </xf>
    <xf numFmtId="0" fontId="5" fillId="20" borderId="0" xfId="48733" applyFill="1" applyBorder="1"/>
    <xf numFmtId="0" fontId="22" fillId="0" borderId="1" xfId="48733" applyFont="1" applyFill="1" applyBorder="1" applyAlignment="1">
      <alignment vertical="top" wrapText="1"/>
    </xf>
    <xf numFmtId="0" fontId="52" fillId="23" borderId="1" xfId="48733" applyFont="1" applyFill="1" applyBorder="1" applyAlignment="1">
      <alignment vertical="center" wrapText="1"/>
    </xf>
    <xf numFmtId="0" fontId="22" fillId="20" borderId="1" xfId="48733" applyFont="1" applyFill="1" applyBorder="1"/>
    <xf numFmtId="0" fontId="5" fillId="0" borderId="0" xfId="48733" applyFill="1"/>
    <xf numFmtId="0" fontId="27" fillId="0" borderId="0" xfId="12" applyFont="1" applyFill="1" applyBorder="1" applyAlignment="1">
      <alignment horizontal="center"/>
    </xf>
    <xf numFmtId="0" fontId="5" fillId="0" borderId="0" xfId="48733" applyFill="1" applyBorder="1" applyAlignment="1"/>
    <xf numFmtId="0" fontId="27" fillId="0" borderId="0" xfId="12" applyFont="1" applyFill="1" applyBorder="1" applyAlignment="1">
      <alignment horizontal="left"/>
    </xf>
    <xf numFmtId="0" fontId="87" fillId="31" borderId="1" xfId="48733" applyFont="1" applyFill="1" applyBorder="1" applyAlignment="1">
      <alignment horizontal="center" vertical="center"/>
    </xf>
    <xf numFmtId="0" fontId="5" fillId="0" borderId="6" xfId="48733" applyFill="1" applyBorder="1"/>
    <xf numFmtId="0" fontId="27" fillId="0" borderId="1" xfId="12" applyFont="1" applyFill="1" applyBorder="1" applyAlignment="1">
      <alignment horizontal="left" vertical="center"/>
    </xf>
    <xf numFmtId="0" fontId="27" fillId="0" borderId="1" xfId="12" applyFont="1" applyFill="1" applyBorder="1" applyAlignment="1">
      <alignment horizontal="center" vertical="center"/>
    </xf>
    <xf numFmtId="0" fontId="5" fillId="0" borderId="1" xfId="48733" applyFill="1" applyBorder="1" applyAlignment="1">
      <alignment horizontal="center" vertical="center"/>
    </xf>
    <xf numFmtId="0" fontId="5" fillId="0" borderId="20" xfId="48733" applyFill="1" applyBorder="1" applyAlignment="1">
      <alignment horizontal="center" vertical="center"/>
    </xf>
    <xf numFmtId="0" fontId="27" fillId="0" borderId="0" xfId="12" applyFont="1" applyFill="1" applyBorder="1" applyAlignment="1">
      <alignment horizontal="left" vertical="center"/>
    </xf>
    <xf numFmtId="0" fontId="27" fillId="0" borderId="0" xfId="12" applyFont="1" applyFill="1" applyBorder="1" applyAlignment="1">
      <alignment horizontal="center" vertical="center"/>
    </xf>
    <xf numFmtId="0" fontId="5" fillId="0" borderId="0" xfId="48733" applyFill="1" applyBorder="1" applyAlignment="1">
      <alignment horizontal="center" vertical="center"/>
    </xf>
    <xf numFmtId="0" fontId="118" fillId="31" borderId="37" xfId="12" applyFont="1" applyFill="1" applyBorder="1" applyAlignment="1">
      <alignment horizontal="center" vertical="center"/>
    </xf>
    <xf numFmtId="0" fontId="27" fillId="45" borderId="35" xfId="12" applyFont="1" applyFill="1" applyBorder="1" applyAlignment="1">
      <alignment horizontal="center" vertical="center"/>
    </xf>
    <xf numFmtId="0" fontId="118" fillId="31" borderId="46" xfId="12" applyFont="1" applyFill="1" applyBorder="1" applyAlignment="1">
      <alignment horizontal="center" vertical="center"/>
    </xf>
    <xf numFmtId="0" fontId="118" fillId="31" borderId="44" xfId="12" applyFont="1" applyFill="1" applyBorder="1" applyAlignment="1">
      <alignment horizontal="center" vertical="center"/>
    </xf>
    <xf numFmtId="0" fontId="118" fillId="31" borderId="58" xfId="12" applyFont="1" applyFill="1" applyBorder="1" applyAlignment="1">
      <alignment horizontal="center" vertical="center"/>
    </xf>
    <xf numFmtId="0" fontId="180" fillId="23" borderId="45" xfId="12" applyFont="1" applyFill="1" applyBorder="1" applyAlignment="1">
      <alignment horizontal="center" vertical="center"/>
    </xf>
    <xf numFmtId="0" fontId="180" fillId="23" borderId="44" xfId="12" applyFont="1" applyFill="1" applyBorder="1" applyAlignment="1">
      <alignment horizontal="center" vertical="center"/>
    </xf>
    <xf numFmtId="0" fontId="118" fillId="23" borderId="58" xfId="12" applyFont="1" applyFill="1" applyBorder="1" applyAlignment="1">
      <alignment horizontal="center" vertical="center"/>
    </xf>
    <xf numFmtId="0" fontId="118" fillId="42" borderId="35" xfId="12" applyFont="1" applyFill="1" applyBorder="1" applyAlignment="1">
      <alignment horizontal="center" vertical="center"/>
    </xf>
    <xf numFmtId="0" fontId="5" fillId="0" borderId="6" xfId="48733" applyBorder="1"/>
    <xf numFmtId="0" fontId="5" fillId="0" borderId="6" xfId="48733" applyFill="1" applyBorder="1" applyAlignment="1">
      <alignment horizontal="center" vertical="center"/>
    </xf>
    <xf numFmtId="0" fontId="211" fillId="0" borderId="6" xfId="48733" applyFont="1" applyFill="1" applyBorder="1"/>
    <xf numFmtId="0" fontId="27" fillId="45" borderId="15" xfId="12" applyFont="1" applyFill="1" applyBorder="1" applyAlignment="1">
      <alignment horizontal="center"/>
    </xf>
    <xf numFmtId="0" fontId="5" fillId="0" borderId="1" xfId="48733" applyBorder="1" applyAlignment="1">
      <alignment horizontal="center" vertical="center"/>
    </xf>
    <xf numFmtId="0" fontId="5" fillId="45" borderId="1" xfId="48733" applyFill="1" applyBorder="1"/>
    <xf numFmtId="0" fontId="87" fillId="31" borderId="1" xfId="48733" applyFont="1" applyFill="1" applyBorder="1"/>
    <xf numFmtId="0" fontId="52" fillId="45" borderId="1" xfId="12" applyFont="1" applyFill="1" applyBorder="1" applyAlignment="1">
      <alignment horizontal="center" vertical="center"/>
    </xf>
    <xf numFmtId="0" fontId="52" fillId="31" borderId="1" xfId="12" applyFont="1" applyFill="1" applyBorder="1" applyAlignment="1">
      <alignment horizontal="center" vertical="center"/>
    </xf>
    <xf numFmtId="0" fontId="27" fillId="45" borderId="30" xfId="12" applyFont="1" applyFill="1" applyBorder="1"/>
    <xf numFmtId="0" fontId="22" fillId="45" borderId="35" xfId="12" applyFill="1" applyBorder="1"/>
    <xf numFmtId="0" fontId="27" fillId="45" borderId="42" xfId="12" applyFont="1" applyFill="1" applyBorder="1"/>
    <xf numFmtId="0" fontId="27" fillId="45" borderId="52" xfId="12" applyFont="1" applyFill="1" applyBorder="1"/>
    <xf numFmtId="0" fontId="22" fillId="0" borderId="0" xfId="12" applyBorder="1" applyAlignment="1">
      <alignment horizontal="center"/>
    </xf>
    <xf numFmtId="0" fontId="89" fillId="20" borderId="0" xfId="48733" applyFont="1" applyFill="1" applyAlignment="1">
      <alignment horizontal="right"/>
    </xf>
    <xf numFmtId="0" fontId="5" fillId="20" borderId="0" xfId="48733" applyFill="1" applyAlignment="1">
      <alignment horizontal="right"/>
    </xf>
    <xf numFmtId="0" fontId="27" fillId="20" borderId="0" xfId="48733" applyFont="1" applyFill="1"/>
    <xf numFmtId="0" fontId="22" fillId="20" borderId="0" xfId="48733" applyFont="1" applyFill="1"/>
    <xf numFmtId="0" fontId="5" fillId="20" borderId="0" xfId="48733" applyFill="1" applyAlignment="1"/>
    <xf numFmtId="0" fontId="91" fillId="20" borderId="0" xfId="48733" applyFont="1" applyFill="1"/>
    <xf numFmtId="0" fontId="22" fillId="0" borderId="1" xfId="48733" applyFont="1" applyBorder="1"/>
    <xf numFmtId="0" fontId="22" fillId="0" borderId="1" xfId="48733" applyFont="1" applyBorder="1" applyAlignment="1">
      <alignment vertical="center"/>
    </xf>
    <xf numFmtId="0" fontId="138" fillId="20" borderId="0" xfId="48733" applyFont="1" applyFill="1"/>
    <xf numFmtId="0" fontId="22" fillId="0" borderId="0" xfId="48733" applyFont="1" applyFill="1"/>
    <xf numFmtId="0" fontId="22" fillId="0" borderId="0" xfId="48733" applyFont="1" applyFill="1" applyBorder="1"/>
    <xf numFmtId="0" fontId="5" fillId="0" borderId="54" xfId="48733" applyBorder="1"/>
    <xf numFmtId="0" fontId="4" fillId="0" borderId="0" xfId="48733" applyFont="1" applyFill="1" applyBorder="1" applyAlignment="1">
      <alignment horizontal="left" vertical="center"/>
    </xf>
    <xf numFmtId="0" fontId="5" fillId="0" borderId="55" xfId="48733" applyBorder="1"/>
    <xf numFmtId="0" fontId="22" fillId="33" borderId="28" xfId="48733" applyFont="1" applyFill="1" applyBorder="1" applyAlignment="1">
      <alignment horizontal="left" vertical="center"/>
    </xf>
    <xf numFmtId="0" fontId="5" fillId="33" borderId="28" xfId="48733" applyFill="1" applyBorder="1"/>
    <xf numFmtId="0" fontId="5" fillId="33" borderId="60" xfId="48733" applyFill="1" applyBorder="1"/>
    <xf numFmtId="0" fontId="22" fillId="20" borderId="0" xfId="48733" applyFont="1" applyFill="1" applyAlignment="1">
      <alignment horizontal="left"/>
    </xf>
    <xf numFmtId="0" fontId="27" fillId="0" borderId="50" xfId="48733" applyFont="1" applyBorder="1"/>
    <xf numFmtId="0" fontId="27" fillId="23" borderId="55" xfId="48733" applyFont="1" applyFill="1" applyBorder="1" applyAlignment="1">
      <alignment horizontal="center"/>
    </xf>
    <xf numFmtId="0" fontId="22" fillId="0" borderId="31" xfId="48733" applyFont="1" applyBorder="1"/>
    <xf numFmtId="0" fontId="22" fillId="0" borderId="72" xfId="48733" applyFont="1" applyBorder="1"/>
    <xf numFmtId="0" fontId="5" fillId="34" borderId="0" xfId="48733" applyFill="1" applyBorder="1"/>
    <xf numFmtId="0" fontId="27" fillId="0" borderId="23" xfId="48733" applyFont="1" applyBorder="1"/>
    <xf numFmtId="0" fontId="22" fillId="0" borderId="24" xfId="48733" applyFont="1" applyBorder="1"/>
    <xf numFmtId="0" fontId="5" fillId="34" borderId="3" xfId="48733" applyFill="1" applyBorder="1"/>
    <xf numFmtId="0" fontId="5" fillId="23" borderId="15" xfId="48733" applyFill="1" applyBorder="1"/>
    <xf numFmtId="0" fontId="28" fillId="20" borderId="0" xfId="48733" applyFont="1" applyFill="1" applyAlignment="1">
      <alignment horizontal="left"/>
    </xf>
    <xf numFmtId="0" fontId="22" fillId="0" borderId="47" xfId="48733" applyFont="1" applyBorder="1"/>
    <xf numFmtId="0" fontId="27" fillId="0" borderId="1" xfId="48733" applyFont="1" applyBorder="1" applyAlignment="1">
      <alignment horizontal="center"/>
    </xf>
    <xf numFmtId="0" fontId="27" fillId="0" borderId="41" xfId="48733" applyFont="1" applyBorder="1"/>
    <xf numFmtId="0" fontId="22" fillId="0" borderId="41" xfId="48733" applyFont="1" applyBorder="1"/>
    <xf numFmtId="0" fontId="5" fillId="0" borderId="24" xfId="48733" applyBorder="1" applyAlignment="1">
      <alignment horizontal="left"/>
    </xf>
    <xf numFmtId="0" fontId="22" fillId="0" borderId="48" xfId="48733" applyFont="1" applyBorder="1"/>
    <xf numFmtId="0" fontId="22" fillId="20" borderId="0" xfId="48733" applyFont="1" applyFill="1" applyBorder="1"/>
    <xf numFmtId="0" fontId="5" fillId="20" borderId="0" xfId="48733" applyFill="1" applyBorder="1" applyAlignment="1">
      <alignment horizontal="left"/>
    </xf>
    <xf numFmtId="0" fontId="5" fillId="0" borderId="29" xfId="48733" applyBorder="1"/>
    <xf numFmtId="0" fontId="5" fillId="20" borderId="29" xfId="48733" applyFill="1" applyBorder="1"/>
    <xf numFmtId="0" fontId="5" fillId="0" borderId="7" xfId="48733" applyBorder="1"/>
    <xf numFmtId="0" fontId="214" fillId="0" borderId="1" xfId="48733" applyFont="1" applyBorder="1"/>
    <xf numFmtId="0" fontId="214" fillId="0" borderId="54" xfId="48733" applyFont="1" applyBorder="1"/>
    <xf numFmtId="0" fontId="194" fillId="0" borderId="1" xfId="48733" applyFont="1" applyBorder="1"/>
    <xf numFmtId="0" fontId="87" fillId="33" borderId="1" xfId="48733" applyFont="1" applyFill="1" applyBorder="1" applyAlignment="1">
      <alignment horizontal="center"/>
    </xf>
    <xf numFmtId="0" fontId="87" fillId="33" borderId="41" xfId="48733" applyFont="1" applyFill="1" applyBorder="1" applyAlignment="1">
      <alignment horizontal="center"/>
    </xf>
    <xf numFmtId="0" fontId="5" fillId="27" borderId="1" xfId="48733" applyFill="1" applyBorder="1" applyAlignment="1">
      <alignment horizontal="center"/>
    </xf>
    <xf numFmtId="0" fontId="5" fillId="0" borderId="5" xfId="48733" applyBorder="1"/>
    <xf numFmtId="0" fontId="5" fillId="0" borderId="69" xfId="48733" applyBorder="1"/>
    <xf numFmtId="0" fontId="5" fillId="20" borderId="58" xfId="48733" applyFill="1" applyBorder="1"/>
    <xf numFmtId="0" fontId="27" fillId="45" borderId="23" xfId="12" applyFont="1" applyFill="1" applyBorder="1" applyAlignment="1">
      <alignment horizontal="center" vertical="center"/>
    </xf>
    <xf numFmtId="0" fontId="27" fillId="45" borderId="55" xfId="12" applyFont="1" applyFill="1" applyBorder="1" applyAlignment="1">
      <alignment horizontal="center" vertical="center"/>
    </xf>
    <xf numFmtId="0" fontId="87" fillId="31" borderId="55" xfId="48733" applyFont="1" applyFill="1" applyBorder="1" applyAlignment="1">
      <alignment horizontal="center" vertical="center"/>
    </xf>
    <xf numFmtId="0" fontId="5" fillId="0" borderId="49" xfId="48733" applyFill="1" applyBorder="1"/>
    <xf numFmtId="0" fontId="5" fillId="0" borderId="59" xfId="48733" applyFill="1" applyBorder="1" applyAlignment="1">
      <alignment horizontal="center" vertical="center"/>
    </xf>
    <xf numFmtId="0" fontId="5" fillId="0" borderId="72" xfId="48733" applyFill="1" applyBorder="1"/>
    <xf numFmtId="0" fontId="27" fillId="0" borderId="54" xfId="12" applyFont="1" applyFill="1" applyBorder="1" applyAlignment="1">
      <alignment horizontal="left" vertical="center"/>
    </xf>
    <xf numFmtId="0" fontId="27" fillId="0" borderId="54" xfId="12" applyFont="1" applyFill="1" applyBorder="1" applyAlignment="1">
      <alignment horizontal="center" vertical="center"/>
    </xf>
    <xf numFmtId="0" fontId="5" fillId="0" borderId="54" xfId="48733" applyFill="1" applyBorder="1" applyAlignment="1">
      <alignment horizontal="center" vertical="center"/>
    </xf>
    <xf numFmtId="0" fontId="5" fillId="0" borderId="71" xfId="48733" applyFill="1" applyBorder="1" applyAlignment="1">
      <alignment horizontal="center" vertical="center"/>
    </xf>
    <xf numFmtId="0" fontId="5" fillId="0" borderId="75" xfId="48733" applyFill="1" applyBorder="1" applyAlignment="1">
      <alignment horizontal="center" vertical="center"/>
    </xf>
    <xf numFmtId="0" fontId="5" fillId="0" borderId="49" xfId="48733" applyBorder="1"/>
    <xf numFmtId="0" fontId="5" fillId="0" borderId="74" xfId="48733" applyBorder="1"/>
    <xf numFmtId="0" fontId="5" fillId="0" borderId="10" xfId="48733" applyBorder="1"/>
    <xf numFmtId="0" fontId="27" fillId="31" borderId="29" xfId="12" applyFont="1" applyFill="1" applyBorder="1"/>
    <xf numFmtId="0" fontId="27" fillId="31" borderId="88" xfId="12" applyFont="1" applyFill="1" applyBorder="1"/>
    <xf numFmtId="0" fontId="87" fillId="45" borderId="5" xfId="48733" applyFont="1" applyFill="1" applyBorder="1" applyAlignment="1">
      <alignment horizontal="center"/>
    </xf>
    <xf numFmtId="0" fontId="118" fillId="31" borderId="55" xfId="12" applyFont="1" applyFill="1" applyBorder="1" applyAlignment="1">
      <alignment horizontal="center" vertical="center"/>
    </xf>
    <xf numFmtId="0" fontId="87" fillId="45" borderId="55" xfId="48733" applyFont="1" applyFill="1" applyBorder="1" applyAlignment="1">
      <alignment horizontal="center"/>
    </xf>
    <xf numFmtId="0" fontId="5" fillId="45" borderId="47" xfId="48733" applyFill="1" applyBorder="1" applyAlignment="1">
      <alignment horizontal="center" vertical="center"/>
    </xf>
    <xf numFmtId="0" fontId="22" fillId="0" borderId="21" xfId="12" applyFont="1" applyFill="1" applyBorder="1"/>
    <xf numFmtId="0" fontId="5" fillId="20" borderId="41" xfId="48733" applyFill="1" applyBorder="1" applyAlignment="1">
      <alignment horizontal="center" vertical="center"/>
    </xf>
    <xf numFmtId="0" fontId="22" fillId="0" borderId="24" xfId="12" applyFont="1" applyFill="1" applyBorder="1"/>
    <xf numFmtId="0" fontId="5" fillId="20" borderId="54" xfId="48733" applyFill="1" applyBorder="1"/>
    <xf numFmtId="0" fontId="27" fillId="45" borderId="23" xfId="12" applyFont="1" applyFill="1" applyBorder="1" applyAlignment="1">
      <alignment horizontal="left"/>
    </xf>
    <xf numFmtId="0" fontId="102" fillId="31" borderId="39" xfId="48733" applyFont="1" applyFill="1" applyBorder="1"/>
    <xf numFmtId="0" fontId="5" fillId="0" borderId="32" xfId="48733" applyBorder="1" applyAlignment="1">
      <alignment horizontal="center"/>
    </xf>
    <xf numFmtId="0" fontId="87" fillId="31" borderId="39" xfId="48733" applyFont="1" applyFill="1" applyBorder="1" applyAlignment="1">
      <alignment horizontal="center"/>
    </xf>
    <xf numFmtId="0" fontId="180" fillId="31" borderId="21" xfId="12" applyFont="1" applyFill="1" applyBorder="1" applyAlignment="1">
      <alignment horizontal="center" vertical="center"/>
    </xf>
    <xf numFmtId="0" fontId="5" fillId="45" borderId="21" xfId="48733" applyFill="1" applyBorder="1"/>
    <xf numFmtId="0" fontId="5" fillId="20" borderId="36" xfId="48733" applyFill="1" applyBorder="1"/>
    <xf numFmtId="0" fontId="5" fillId="45" borderId="54" xfId="48733" applyFill="1" applyBorder="1"/>
    <xf numFmtId="0" fontId="5" fillId="20" borderId="11" xfId="48733" applyFill="1" applyBorder="1"/>
    <xf numFmtId="0" fontId="118" fillId="45" borderId="6" xfId="12" applyFont="1" applyFill="1" applyBorder="1"/>
    <xf numFmtId="0" fontId="5" fillId="45" borderId="62" xfId="48733" applyFill="1" applyBorder="1"/>
    <xf numFmtId="0" fontId="5" fillId="45" borderId="36" xfId="48733" applyFill="1" applyBorder="1"/>
    <xf numFmtId="0" fontId="5" fillId="45" borderId="11" xfId="48733" applyFill="1" applyBorder="1"/>
    <xf numFmtId="0" fontId="27" fillId="31" borderId="61" xfId="12" applyFont="1" applyFill="1" applyBorder="1"/>
    <xf numFmtId="0" fontId="22" fillId="31" borderId="62" xfId="12" applyFill="1" applyBorder="1"/>
    <xf numFmtId="0" fontId="5" fillId="0" borderId="70" xfId="48733" applyBorder="1"/>
    <xf numFmtId="0" fontId="22" fillId="20" borderId="4" xfId="12" applyFill="1" applyBorder="1"/>
    <xf numFmtId="0" fontId="27" fillId="45" borderId="23" xfId="12" applyFont="1" applyFill="1" applyBorder="1"/>
    <xf numFmtId="0" fontId="27" fillId="45" borderId="55" xfId="12" applyFont="1" applyFill="1" applyBorder="1"/>
    <xf numFmtId="0" fontId="27" fillId="45" borderId="47" xfId="12" applyFont="1" applyFill="1" applyBorder="1"/>
    <xf numFmtId="0" fontId="22" fillId="0" borderId="41" xfId="12" applyBorder="1"/>
    <xf numFmtId="0" fontId="22" fillId="0" borderId="21" xfId="12" applyBorder="1"/>
    <xf numFmtId="0" fontId="22" fillId="0" borderId="24" xfId="12" applyBorder="1"/>
    <xf numFmtId="0" fontId="22" fillId="0" borderId="48" xfId="12" applyBorder="1"/>
    <xf numFmtId="0" fontId="89" fillId="20" borderId="0" xfId="12" applyFont="1" applyFill="1" applyBorder="1"/>
    <xf numFmtId="0" fontId="22" fillId="0" borderId="21" xfId="12" applyFill="1" applyBorder="1"/>
    <xf numFmtId="0" fontId="22" fillId="0" borderId="41" xfId="12" applyFill="1" applyBorder="1"/>
    <xf numFmtId="0" fontId="22" fillId="0" borderId="24" xfId="12" applyFill="1" applyBorder="1"/>
    <xf numFmtId="0" fontId="22" fillId="0" borderId="54" xfId="12" applyFill="1" applyBorder="1"/>
    <xf numFmtId="0" fontId="22" fillId="0" borderId="48" xfId="12" applyFill="1" applyBorder="1"/>
    <xf numFmtId="0" fontId="5" fillId="0" borderId="28" xfId="48733" applyFill="1" applyBorder="1" applyAlignment="1">
      <alignment horizontal="left" vertical="center"/>
    </xf>
    <xf numFmtId="0" fontId="22" fillId="0" borderId="25" xfId="48733" applyFont="1" applyFill="1" applyBorder="1" applyAlignment="1">
      <alignment horizontal="left" vertical="center"/>
    </xf>
    <xf numFmtId="0" fontId="5" fillId="0" borderId="28" xfId="48733" applyFill="1" applyBorder="1" applyAlignment="1">
      <alignment horizontal="left"/>
    </xf>
    <xf numFmtId="0" fontId="5" fillId="0" borderId="60" xfId="48733" applyFill="1" applyBorder="1" applyAlignment="1">
      <alignment horizontal="left"/>
    </xf>
    <xf numFmtId="0" fontId="5" fillId="0" borderId="25" xfId="48733" applyFill="1" applyBorder="1" applyAlignment="1">
      <alignment horizontal="left" vertical="center"/>
    </xf>
    <xf numFmtId="0" fontId="27" fillId="23" borderId="37" xfId="48733" applyFont="1" applyFill="1" applyBorder="1" applyAlignment="1">
      <alignment horizontal="right" vertical="center"/>
    </xf>
    <xf numFmtId="0" fontId="87" fillId="23" borderId="45" xfId="48733" applyFont="1" applyFill="1" applyBorder="1" applyAlignment="1">
      <alignment horizontal="center"/>
    </xf>
    <xf numFmtId="0" fontId="87" fillId="23" borderId="44" xfId="48733" applyFont="1" applyFill="1" applyBorder="1" applyAlignment="1">
      <alignment horizontal="center"/>
    </xf>
    <xf numFmtId="0" fontId="87" fillId="23" borderId="58" xfId="48733" applyFont="1" applyFill="1" applyBorder="1" applyAlignment="1">
      <alignment horizontal="center"/>
    </xf>
    <xf numFmtId="0" fontId="5" fillId="27" borderId="21" xfId="48733" applyFill="1" applyBorder="1"/>
    <xf numFmtId="0" fontId="5" fillId="42" borderId="58" xfId="48733" applyFill="1" applyBorder="1" applyAlignment="1">
      <alignment horizontal="center" vertical="center"/>
    </xf>
    <xf numFmtId="0" fontId="24" fillId="0" borderId="5" xfId="0" applyFont="1" applyBorder="1" applyAlignment="1">
      <alignment horizontal="center" vertical="top" wrapText="1"/>
    </xf>
    <xf numFmtId="0" fontId="31" fillId="31" borderId="37" xfId="0" applyFont="1" applyFill="1" applyBorder="1" applyAlignment="1">
      <alignment vertical="top" wrapText="1"/>
    </xf>
    <xf numFmtId="0" fontId="27" fillId="31" borderId="38" xfId="0" applyFont="1" applyFill="1" applyBorder="1" applyAlignment="1">
      <alignment vertical="top" wrapText="1"/>
    </xf>
    <xf numFmtId="0" fontId="0" fillId="45" borderId="38" xfId="0" applyFill="1" applyBorder="1" applyAlignment="1" applyProtection="1">
      <alignment horizontal="center" vertical="top" wrapText="1"/>
    </xf>
    <xf numFmtId="0" fontId="0" fillId="45" borderId="2" xfId="0" applyFill="1" applyBorder="1"/>
    <xf numFmtId="0" fontId="22" fillId="20" borderId="0" xfId="0" applyFont="1" applyFill="1"/>
    <xf numFmtId="0" fontId="5" fillId="20" borderId="21" xfId="48733" applyFill="1" applyBorder="1"/>
    <xf numFmtId="0" fontId="5" fillId="27" borderId="1" xfId="48733" applyFill="1" applyBorder="1"/>
    <xf numFmtId="0" fontId="5" fillId="20" borderId="23" xfId="48733" applyFill="1" applyBorder="1"/>
    <xf numFmtId="0" fontId="5" fillId="20" borderId="55" xfId="48733" applyFill="1" applyBorder="1"/>
    <xf numFmtId="0" fontId="5" fillId="27" borderId="41" xfId="48733" applyFill="1" applyBorder="1"/>
    <xf numFmtId="0" fontId="22" fillId="29" borderId="1" xfId="48733" applyFont="1" applyFill="1" applyBorder="1"/>
    <xf numFmtId="0" fontId="5" fillId="27" borderId="24" xfId="48733" applyFill="1" applyBorder="1"/>
    <xf numFmtId="0" fontId="5" fillId="27" borderId="54" xfId="48733" applyFill="1" applyBorder="1"/>
    <xf numFmtId="0" fontId="5" fillId="27" borderId="48" xfId="48733" applyFill="1" applyBorder="1"/>
    <xf numFmtId="0" fontId="87" fillId="23" borderId="50" xfId="48733" applyFont="1" applyFill="1" applyBorder="1" applyAlignment="1">
      <alignment horizontal="center"/>
    </xf>
    <xf numFmtId="0" fontId="87" fillId="23" borderId="51" xfId="48733" applyFont="1" applyFill="1" applyBorder="1" applyAlignment="1">
      <alignment horizontal="center"/>
    </xf>
    <xf numFmtId="0" fontId="87" fillId="23" borderId="52" xfId="48733" applyFont="1" applyFill="1" applyBorder="1" applyAlignment="1">
      <alignment horizontal="center"/>
    </xf>
    <xf numFmtId="0" fontId="87" fillId="23" borderId="61" xfId="48733" applyFont="1" applyFill="1" applyBorder="1" applyAlignment="1">
      <alignment horizontal="center"/>
    </xf>
    <xf numFmtId="0" fontId="87" fillId="40" borderId="52" xfId="48733" applyFont="1" applyFill="1" applyBorder="1"/>
    <xf numFmtId="0" fontId="3" fillId="40" borderId="40" xfId="48733" applyFont="1" applyFill="1" applyBorder="1"/>
    <xf numFmtId="0" fontId="5" fillId="20" borderId="47" xfId="48733" applyFill="1" applyBorder="1"/>
    <xf numFmtId="0" fontId="0" fillId="29" borderId="6" xfId="0" applyFill="1" applyBorder="1"/>
    <xf numFmtId="0" fontId="194" fillId="0" borderId="1" xfId="0" applyFont="1" applyBorder="1" applyAlignment="1">
      <alignment vertical="top"/>
    </xf>
    <xf numFmtId="0" fontId="22" fillId="31" borderId="18" xfId="0" applyFont="1" applyFill="1" applyBorder="1"/>
    <xf numFmtId="0" fontId="22" fillId="118" borderId="28" xfId="0" applyFont="1" applyFill="1" applyBorder="1"/>
    <xf numFmtId="0" fontId="0" fillId="118" borderId="28" xfId="0" applyFill="1" applyBorder="1"/>
    <xf numFmtId="0" fontId="5" fillId="27" borderId="22" xfId="48733" applyFill="1" applyBorder="1"/>
    <xf numFmtId="0" fontId="5" fillId="27" borderId="5" xfId="48733" applyFill="1" applyBorder="1"/>
    <xf numFmtId="0" fontId="5" fillId="27" borderId="69" xfId="48733" applyFill="1" applyBorder="1"/>
    <xf numFmtId="0" fontId="5" fillId="20" borderId="49" xfId="48733" applyFill="1" applyBorder="1"/>
    <xf numFmtId="0" fontId="5" fillId="20" borderId="6" xfId="48733" applyFill="1" applyBorder="1"/>
    <xf numFmtId="0" fontId="0" fillId="20" borderId="6" xfId="0" applyFill="1" applyBorder="1"/>
    <xf numFmtId="0" fontId="0" fillId="20" borderId="74" xfId="0" applyFill="1" applyBorder="1"/>
    <xf numFmtId="0" fontId="39" fillId="0" borderId="6" xfId="0" applyFont="1" applyFill="1" applyBorder="1" applyAlignment="1">
      <alignment horizontal="center"/>
    </xf>
    <xf numFmtId="0" fontId="42" fillId="31" borderId="45" xfId="0" applyFont="1" applyFill="1" applyBorder="1" applyAlignment="1">
      <alignment horizontal="center" wrapText="1"/>
    </xf>
    <xf numFmtId="0" fontId="42" fillId="31" borderId="44" xfId="0" applyFont="1" applyFill="1" applyBorder="1" applyAlignment="1">
      <alignment horizontal="center" wrapText="1"/>
    </xf>
    <xf numFmtId="0" fontId="39" fillId="31" borderId="44" xfId="0" applyFont="1" applyFill="1" applyBorder="1" applyAlignment="1">
      <alignment horizontal="center" wrapText="1"/>
    </xf>
    <xf numFmtId="0" fontId="39" fillId="31" borderId="10" xfId="0" applyFont="1" applyFill="1" applyBorder="1" applyAlignment="1">
      <alignment horizontal="center" wrapText="1"/>
    </xf>
    <xf numFmtId="0" fontId="22" fillId="46" borderId="22" xfId="0" applyFont="1" applyFill="1" applyBorder="1"/>
    <xf numFmtId="0" fontId="22" fillId="46" borderId="5" xfId="0" applyFont="1" applyFill="1" applyBorder="1"/>
    <xf numFmtId="0" fontId="73" fillId="46" borderId="55" xfId="0" applyFont="1" applyFill="1" applyBorder="1"/>
    <xf numFmtId="0" fontId="73" fillId="46" borderId="54" xfId="0" applyFont="1" applyFill="1" applyBorder="1"/>
    <xf numFmtId="0" fontId="101" fillId="44" borderId="39" xfId="0" applyFont="1" applyFill="1" applyBorder="1" applyAlignment="1">
      <alignment horizontal="center" vertical="top"/>
    </xf>
    <xf numFmtId="0" fontId="90" fillId="21" borderId="39" xfId="0" applyFont="1" applyFill="1" applyBorder="1" applyAlignment="1">
      <alignment horizontal="center" vertical="top"/>
    </xf>
    <xf numFmtId="0" fontId="0" fillId="27" borderId="6" xfId="0" applyFill="1" applyBorder="1" applyAlignment="1">
      <alignment horizontal="center"/>
    </xf>
    <xf numFmtId="0" fontId="0" fillId="0" borderId="6" xfId="0" applyFill="1" applyBorder="1" applyAlignment="1">
      <alignment wrapText="1"/>
    </xf>
    <xf numFmtId="0" fontId="22" fillId="0" borderId="17" xfId="12" applyBorder="1" applyAlignment="1">
      <alignment vertical="top" wrapText="1"/>
    </xf>
    <xf numFmtId="0" fontId="23" fillId="88" borderId="36" xfId="0" applyFont="1" applyFill="1" applyBorder="1" applyAlignment="1">
      <alignment horizontal="left" wrapText="1"/>
    </xf>
    <xf numFmtId="0" fontId="0" fillId="39" borderId="28" xfId="0" applyFill="1" applyBorder="1"/>
    <xf numFmtId="0" fontId="22" fillId="27" borderId="54" xfId="0" applyFont="1" applyFill="1" applyBorder="1" applyAlignment="1" applyProtection="1">
      <alignment horizontal="center"/>
    </xf>
    <xf numFmtId="0" fontId="28" fillId="44" borderId="29" xfId="0" applyFont="1" applyFill="1" applyBorder="1" applyAlignment="1" applyProtection="1">
      <alignment horizontal="center" vertical="center" wrapText="1"/>
      <protection locked="0"/>
    </xf>
    <xf numFmtId="0" fontId="28" fillId="44" borderId="0" xfId="0" applyFont="1" applyFill="1" applyBorder="1" applyAlignment="1" applyProtection="1">
      <alignment horizontal="center" vertical="center" wrapText="1"/>
      <protection locked="0"/>
    </xf>
    <xf numFmtId="0" fontId="25" fillId="44" borderId="0" xfId="0" applyFont="1" applyFill="1" applyBorder="1" applyAlignment="1" applyProtection="1">
      <alignment horizontal="left"/>
      <protection locked="0"/>
    </xf>
    <xf numFmtId="0" fontId="28" fillId="44" borderId="36" xfId="0" applyFont="1" applyFill="1" applyBorder="1" applyAlignment="1" applyProtection="1">
      <alignment horizontal="center" vertical="center" wrapText="1"/>
      <protection locked="0"/>
    </xf>
    <xf numFmtId="0" fontId="22" fillId="44" borderId="13" xfId="0" applyFont="1" applyFill="1" applyBorder="1" applyAlignment="1" applyProtection="1">
      <alignment horizontal="left" vertical="top" wrapText="1"/>
      <protection locked="0"/>
    </xf>
    <xf numFmtId="0" fontId="25" fillId="44" borderId="13" xfId="0" applyFont="1" applyFill="1" applyBorder="1" applyAlignment="1" applyProtection="1">
      <alignment horizontal="right" vertical="top" wrapText="1"/>
      <protection locked="0"/>
    </xf>
    <xf numFmtId="0" fontId="64" fillId="44" borderId="13" xfId="0" applyFont="1" applyFill="1" applyBorder="1" applyAlignment="1" applyProtection="1">
      <alignment horizontal="left" vertical="top" wrapText="1"/>
      <protection locked="0"/>
    </xf>
    <xf numFmtId="0" fontId="25" fillId="44" borderId="13" xfId="0" applyFont="1" applyFill="1" applyBorder="1" applyAlignment="1" applyProtection="1">
      <alignment horizontal="left"/>
      <protection locked="0"/>
    </xf>
    <xf numFmtId="0" fontId="25" fillId="44" borderId="13" xfId="0" applyFont="1" applyFill="1" applyBorder="1" applyAlignment="1" applyProtection="1">
      <alignment horizontal="left" wrapText="1"/>
      <protection locked="0"/>
    </xf>
    <xf numFmtId="14" fontId="25" fillId="44" borderId="13" xfId="0" applyNumberFormat="1" applyFont="1" applyFill="1" applyBorder="1" applyAlignment="1" applyProtection="1">
      <alignment horizontal="right"/>
      <protection locked="0"/>
    </xf>
    <xf numFmtId="14" fontId="25" fillId="44" borderId="11" xfId="0" applyNumberFormat="1" applyFont="1" applyFill="1" applyBorder="1" applyAlignment="1" applyProtection="1">
      <alignment horizontal="left"/>
      <protection locked="0"/>
    </xf>
    <xf numFmtId="0" fontId="35" fillId="40" borderId="7" xfId="3" applyFont="1" applyFill="1" applyBorder="1" applyAlignment="1" applyProtection="1">
      <alignment horizontal="center" wrapText="1"/>
      <protection locked="0"/>
    </xf>
    <xf numFmtId="0" fontId="35" fillId="40" borderId="10" xfId="3" applyFont="1" applyFill="1" applyBorder="1" applyAlignment="1" applyProtection="1">
      <alignment horizontal="center" wrapText="1"/>
      <protection locked="0"/>
    </xf>
    <xf numFmtId="0" fontId="42" fillId="40" borderId="10" xfId="3" applyFont="1" applyFill="1" applyBorder="1" applyAlignment="1" applyProtection="1">
      <alignment horizontal="center" wrapText="1"/>
      <protection locked="0"/>
    </xf>
    <xf numFmtId="0" fontId="35" fillId="40" borderId="66" xfId="0" applyFont="1" applyFill="1" applyBorder="1" applyAlignment="1" applyProtection="1">
      <alignment horizontal="center" wrapText="1"/>
      <protection locked="0"/>
    </xf>
    <xf numFmtId="0" fontId="124" fillId="46" borderId="37" xfId="0" applyFont="1" applyFill="1" applyBorder="1" applyAlignment="1" applyProtection="1">
      <alignment vertical="center"/>
      <protection locked="0"/>
    </xf>
    <xf numFmtId="0" fontId="0" fillId="46" borderId="38" xfId="0" applyFill="1" applyBorder="1" applyProtection="1">
      <protection locked="0"/>
    </xf>
    <xf numFmtId="0" fontId="0" fillId="46" borderId="2" xfId="0" applyFill="1" applyBorder="1" applyProtection="1">
      <protection locked="0"/>
    </xf>
    <xf numFmtId="0" fontId="82" fillId="0" borderId="55" xfId="3" applyFont="1" applyFill="1" applyBorder="1" applyAlignment="1" applyProtection="1">
      <alignment horizontal="left" vertical="top" wrapText="1" indent="3"/>
      <protection locked="0"/>
    </xf>
    <xf numFmtId="0" fontId="24" fillId="21" borderId="55" xfId="3" applyFont="1" applyFill="1" applyBorder="1" applyAlignment="1" applyProtection="1">
      <alignment horizontal="center" vertical="center" wrapText="1"/>
      <protection locked="0"/>
    </xf>
    <xf numFmtId="0" fontId="24" fillId="33" borderId="55" xfId="3" applyFont="1" applyFill="1" applyBorder="1" applyAlignment="1" applyProtection="1">
      <alignment horizontal="center" vertical="center" wrapText="1"/>
      <protection locked="0"/>
    </xf>
    <xf numFmtId="0" fontId="24" fillId="21" borderId="47" xfId="0" applyFont="1" applyFill="1" applyBorder="1" applyAlignment="1" applyProtection="1">
      <alignment vertical="top" wrapText="1"/>
      <protection locked="0"/>
    </xf>
    <xf numFmtId="0" fontId="24" fillId="21" borderId="1" xfId="3" applyFont="1" applyFill="1" applyBorder="1" applyAlignment="1" applyProtection="1">
      <alignment horizontal="center" vertical="center" wrapText="1"/>
      <protection locked="0"/>
    </xf>
    <xf numFmtId="0" fontId="24" fillId="21" borderId="41" xfId="0" applyFont="1" applyFill="1" applyBorder="1" applyAlignment="1" applyProtection="1">
      <alignment vertical="top" wrapText="1"/>
      <protection locked="0"/>
    </xf>
    <xf numFmtId="0" fontId="82" fillId="0" borderId="1" xfId="3" applyFont="1" applyFill="1" applyBorder="1" applyAlignment="1" applyProtection="1">
      <alignment horizontal="left" vertical="top" wrapText="1" indent="3"/>
      <protection locked="0"/>
    </xf>
    <xf numFmtId="0" fontId="82" fillId="0" borderId="18" xfId="3" applyFont="1" applyFill="1" applyBorder="1" applyAlignment="1" applyProtection="1">
      <alignment horizontal="left" vertical="top" wrapText="1" indent="3"/>
      <protection locked="0"/>
    </xf>
    <xf numFmtId="0" fontId="82" fillId="0" borderId="5" xfId="3" applyFont="1" applyFill="1" applyBorder="1" applyAlignment="1" applyProtection="1">
      <alignment horizontal="left" vertical="top" wrapText="1" indent="3"/>
      <protection locked="0"/>
    </xf>
    <xf numFmtId="0" fontId="24" fillId="21" borderId="5" xfId="3" applyFont="1" applyFill="1" applyBorder="1" applyAlignment="1" applyProtection="1">
      <alignment horizontal="center" vertical="center" wrapText="1"/>
      <protection locked="0"/>
    </xf>
    <xf numFmtId="0" fontId="24" fillId="21" borderId="69" xfId="0" applyFont="1" applyFill="1" applyBorder="1" applyAlignment="1" applyProtection="1">
      <alignment vertical="top" wrapText="1"/>
      <protection locked="0"/>
    </xf>
    <xf numFmtId="0" fontId="115" fillId="127" borderId="21" xfId="3" applyFont="1" applyFill="1" applyBorder="1" applyAlignment="1" applyProtection="1">
      <alignment horizontal="left" vertical="center" wrapText="1" indent="2"/>
      <protection locked="0"/>
    </xf>
    <xf numFmtId="0" fontId="24" fillId="32" borderId="15" xfId="3" applyFont="1" applyFill="1" applyBorder="1" applyAlignment="1" applyProtection="1">
      <alignment horizontal="center" vertical="center" wrapText="1"/>
      <protection locked="0"/>
    </xf>
    <xf numFmtId="0" fontId="142" fillId="32" borderId="1" xfId="3" applyFont="1" applyFill="1" applyBorder="1" applyAlignment="1" applyProtection="1">
      <alignment horizontal="left" vertical="top" wrapText="1"/>
      <protection locked="0"/>
    </xf>
    <xf numFmtId="0" fontId="24" fillId="32" borderId="1" xfId="0" applyFont="1" applyFill="1" applyBorder="1" applyAlignment="1" applyProtection="1">
      <alignment vertical="top" wrapText="1"/>
      <protection locked="0"/>
    </xf>
    <xf numFmtId="0" fontId="24" fillId="32" borderId="1" xfId="3" applyFont="1" applyFill="1" applyBorder="1" applyAlignment="1" applyProtection="1">
      <alignment horizontal="center" vertical="center" wrapText="1"/>
      <protection locked="0"/>
    </xf>
    <xf numFmtId="0" fontId="0" fillId="0" borderId="0" xfId="0" applyAlignment="1" applyProtection="1">
      <alignment horizontal="left" indent="1"/>
      <protection locked="0"/>
    </xf>
    <xf numFmtId="0" fontId="82" fillId="46" borderId="38" xfId="3" applyFont="1" applyFill="1" applyBorder="1" applyAlignment="1" applyProtection="1">
      <alignment horizontal="left" vertical="top" wrapText="1" indent="3"/>
      <protection locked="0"/>
    </xf>
    <xf numFmtId="0" fontId="24" fillId="46" borderId="38" xfId="3" applyFont="1" applyFill="1" applyBorder="1" applyAlignment="1" applyProtection="1">
      <alignment horizontal="center" vertical="center" wrapText="1"/>
      <protection locked="0"/>
    </xf>
    <xf numFmtId="0" fontId="24" fillId="46" borderId="38" xfId="3" applyFont="1" applyFill="1" applyBorder="1" applyAlignment="1" applyProtection="1">
      <alignment horizontal="left" vertical="top" wrapText="1"/>
      <protection locked="0"/>
    </xf>
    <xf numFmtId="0" fontId="24" fillId="46" borderId="38" xfId="0" applyFont="1" applyFill="1" applyBorder="1" applyAlignment="1" applyProtection="1">
      <alignment vertical="top" wrapText="1"/>
      <protection locked="0"/>
    </xf>
    <xf numFmtId="0" fontId="24" fillId="46" borderId="2" xfId="0" applyFont="1" applyFill="1" applyBorder="1" applyAlignment="1" applyProtection="1">
      <alignment vertical="top" wrapText="1"/>
      <protection locked="0"/>
    </xf>
    <xf numFmtId="0" fontId="24" fillId="21" borderId="44" xfId="3" applyFont="1" applyFill="1" applyBorder="1" applyAlignment="1" applyProtection="1">
      <alignment horizontal="center" vertical="center" wrapText="1"/>
      <protection locked="0"/>
    </xf>
    <xf numFmtId="0" fontId="80" fillId="46" borderId="38" xfId="0" applyFont="1" applyFill="1" applyBorder="1" applyProtection="1">
      <protection locked="0"/>
    </xf>
    <xf numFmtId="0" fontId="23" fillId="46" borderId="38" xfId="0" applyFont="1" applyFill="1" applyBorder="1" applyProtection="1">
      <protection locked="0"/>
    </xf>
    <xf numFmtId="0" fontId="35" fillId="31" borderId="37" xfId="3" applyFont="1" applyFill="1" applyBorder="1" applyAlignment="1" applyProtection="1">
      <alignment horizontal="center" wrapText="1"/>
      <protection locked="0"/>
    </xf>
    <xf numFmtId="0" fontId="35" fillId="31" borderId="44" xfId="3" applyFont="1" applyFill="1" applyBorder="1" applyAlignment="1" applyProtection="1">
      <alignment horizontal="center" wrapText="1"/>
      <protection locked="0"/>
    </xf>
    <xf numFmtId="0" fontId="42" fillId="31" borderId="44" xfId="3" applyFont="1" applyFill="1" applyBorder="1" applyAlignment="1" applyProtection="1">
      <alignment horizontal="center" wrapText="1"/>
      <protection locked="0"/>
    </xf>
    <xf numFmtId="0" fontId="42" fillId="48" borderId="44" xfId="3" applyFont="1" applyFill="1" applyBorder="1" applyAlignment="1" applyProtection="1">
      <alignment horizontal="center" wrapText="1"/>
      <protection locked="0"/>
    </xf>
    <xf numFmtId="0" fontId="35" fillId="31" borderId="58" xfId="0" applyFont="1" applyFill="1" applyBorder="1" applyAlignment="1" applyProtection="1">
      <alignment horizontal="center" wrapText="1"/>
      <protection locked="0"/>
    </xf>
    <xf numFmtId="0" fontId="29" fillId="37" borderId="23" xfId="3" applyFill="1" applyBorder="1" applyAlignment="1" applyProtection="1">
      <alignment horizontal="left" vertical="center" wrapText="1" indent="2"/>
      <protection locked="0"/>
    </xf>
    <xf numFmtId="0" fontId="22" fillId="115" borderId="55" xfId="3" applyFont="1" applyFill="1" applyBorder="1" applyAlignment="1" applyProtection="1">
      <alignment horizontal="center" vertical="center" wrapText="1"/>
      <protection locked="0"/>
    </xf>
    <xf numFmtId="0" fontId="24" fillId="37" borderId="55" xfId="3" applyFont="1" applyFill="1" applyBorder="1" applyAlignment="1" applyProtection="1">
      <alignment horizontal="left" vertical="top" wrapText="1"/>
      <protection locked="0"/>
    </xf>
    <xf numFmtId="0" fontId="24" fillId="37" borderId="55" xfId="0" applyFont="1" applyFill="1" applyBorder="1" applyAlignment="1" applyProtection="1">
      <alignment vertical="top" wrapText="1"/>
      <protection locked="0"/>
    </xf>
    <xf numFmtId="0" fontId="24" fillId="41" borderId="6" xfId="0" applyFont="1" applyFill="1" applyBorder="1" applyAlignment="1" applyProtection="1">
      <alignment vertical="top" wrapText="1"/>
      <protection locked="0"/>
    </xf>
    <xf numFmtId="0" fontId="24" fillId="37" borderId="47" xfId="0" applyFont="1" applyFill="1" applyBorder="1" applyAlignment="1" applyProtection="1">
      <alignment vertical="top" wrapText="1"/>
      <protection locked="0"/>
    </xf>
    <xf numFmtId="0" fontId="82" fillId="0" borderId="54" xfId="3" applyFont="1" applyFill="1" applyBorder="1" applyAlignment="1" applyProtection="1">
      <alignment horizontal="left" vertical="top" wrapText="1" indent="3"/>
      <protection locked="0"/>
    </xf>
    <xf numFmtId="0" fontId="22" fillId="115" borderId="54" xfId="3" applyFont="1" applyFill="1" applyBorder="1" applyAlignment="1" applyProtection="1">
      <alignment horizontal="center" vertical="center" wrapText="1"/>
      <protection locked="0"/>
    </xf>
    <xf numFmtId="0" fontId="24" fillId="33" borderId="6" xfId="3" applyFont="1" applyFill="1" applyBorder="1" applyAlignment="1" applyProtection="1">
      <alignment horizontal="center" vertical="center" wrapText="1"/>
      <protection locked="0"/>
    </xf>
    <xf numFmtId="0" fontId="43" fillId="37" borderId="54" xfId="3" applyFont="1" applyFill="1" applyBorder="1" applyAlignment="1" applyProtection="1">
      <alignment horizontal="left" vertical="top" wrapText="1"/>
      <protection locked="0"/>
    </xf>
    <xf numFmtId="0" fontId="24" fillId="37" borderId="54" xfId="0" applyFont="1" applyFill="1" applyBorder="1" applyAlignment="1" applyProtection="1">
      <alignment vertical="top" wrapText="1"/>
      <protection locked="0"/>
    </xf>
    <xf numFmtId="0" fontId="24" fillId="41" borderId="54" xfId="0" applyFont="1" applyFill="1" applyBorder="1" applyAlignment="1" applyProtection="1">
      <alignment vertical="top" wrapText="1"/>
      <protection locked="0"/>
    </xf>
    <xf numFmtId="0" fontId="24" fillId="37" borderId="48" xfId="0" applyFont="1" applyFill="1" applyBorder="1" applyAlignment="1" applyProtection="1">
      <alignment vertical="top" wrapText="1"/>
      <protection locked="0"/>
    </xf>
    <xf numFmtId="0" fontId="24" fillId="46" borderId="13" xfId="0" applyFont="1" applyFill="1" applyBorder="1" applyAlignment="1" applyProtection="1">
      <alignment vertical="top" wrapText="1"/>
      <protection locked="0"/>
    </xf>
    <xf numFmtId="0" fontId="29" fillId="42" borderId="49" xfId="3" applyFont="1" applyFill="1" applyBorder="1" applyAlignment="1" applyProtection="1">
      <alignment horizontal="left" wrapText="1" indent="2"/>
      <protection locked="0"/>
    </xf>
    <xf numFmtId="0" fontId="82" fillId="0" borderId="6" xfId="3" applyFont="1" applyFill="1" applyBorder="1" applyAlignment="1" applyProtection="1">
      <alignment horizontal="left" vertical="center" wrapText="1"/>
      <protection locked="0"/>
    </xf>
    <xf numFmtId="0" fontId="24" fillId="46" borderId="6" xfId="3" applyFont="1" applyFill="1" applyBorder="1" applyAlignment="1" applyProtection="1">
      <alignment horizontal="center" vertical="center" wrapText="1"/>
      <protection locked="0"/>
    </xf>
    <xf numFmtId="0" fontId="24" fillId="31" borderId="6" xfId="3" applyFont="1" applyFill="1" applyBorder="1" applyAlignment="1" applyProtection="1">
      <alignment horizontal="center" vertical="center" wrapText="1"/>
      <protection locked="0"/>
    </xf>
    <xf numFmtId="0" fontId="24" fillId="21" borderId="6" xfId="3" applyFont="1" applyFill="1" applyBorder="1" applyAlignment="1" applyProtection="1">
      <alignment horizontal="center" vertical="center" wrapText="1"/>
      <protection locked="0"/>
    </xf>
    <xf numFmtId="0" fontId="29" fillId="42" borderId="21" xfId="3" applyFont="1" applyFill="1" applyBorder="1" applyAlignment="1" applyProtection="1">
      <alignment horizontal="left" wrapText="1" indent="2"/>
      <protection locked="0"/>
    </xf>
    <xf numFmtId="0" fontId="82" fillId="0" borderId="1" xfId="3" applyFont="1" applyFill="1" applyBorder="1" applyAlignment="1" applyProtection="1">
      <alignment horizontal="left" vertical="center" wrapText="1"/>
      <protection locked="0"/>
    </xf>
    <xf numFmtId="0" fontId="24" fillId="31" borderId="1" xfId="3" applyFont="1" applyFill="1" applyBorder="1" applyAlignment="1" applyProtection="1">
      <alignment horizontal="center" vertical="center" wrapText="1"/>
      <protection locked="0"/>
    </xf>
    <xf numFmtId="0" fontId="24" fillId="42" borderId="1" xfId="0" applyFont="1" applyFill="1" applyBorder="1" applyAlignment="1" applyProtection="1">
      <alignment vertical="top" wrapText="1"/>
      <protection locked="0"/>
    </xf>
    <xf numFmtId="0" fontId="24" fillId="42" borderId="41" xfId="0" applyFont="1" applyFill="1" applyBorder="1" applyAlignment="1" applyProtection="1">
      <alignment vertical="top" wrapText="1"/>
      <protection locked="0"/>
    </xf>
    <xf numFmtId="0" fontId="111" fillId="0" borderId="0" xfId="0" applyFont="1" applyProtection="1">
      <protection locked="0"/>
    </xf>
    <xf numFmtId="0" fontId="108" fillId="42" borderId="21" xfId="3" applyFont="1" applyFill="1" applyBorder="1" applyAlignment="1" applyProtection="1">
      <alignment horizontal="left" wrapText="1" indent="2"/>
      <protection locked="0"/>
    </xf>
    <xf numFmtId="0" fontId="108" fillId="42" borderId="21" xfId="3" applyFont="1" applyFill="1" applyBorder="1" applyAlignment="1" applyProtection="1">
      <alignment horizontal="left" vertical="center" wrapText="1" indent="2"/>
      <protection locked="0"/>
    </xf>
    <xf numFmtId="0" fontId="82" fillId="0" borderId="1" xfId="3" applyFont="1" applyFill="1" applyBorder="1" applyAlignment="1" applyProtection="1">
      <alignment horizontal="left" vertical="top" wrapText="1"/>
      <protection locked="0"/>
    </xf>
    <xf numFmtId="0" fontId="24" fillId="31" borderId="1" xfId="3" applyFont="1" applyFill="1" applyBorder="1" applyAlignment="1" applyProtection="1">
      <alignment horizontal="center" vertical="top" wrapText="1"/>
      <protection locked="0"/>
    </xf>
    <xf numFmtId="0" fontId="82" fillId="0" borderId="18" xfId="3" applyFont="1" applyFill="1" applyBorder="1" applyAlignment="1" applyProtection="1">
      <alignment horizontal="left" vertical="center" wrapText="1"/>
      <protection locked="0"/>
    </xf>
    <xf numFmtId="0" fontId="200" fillId="42" borderId="60" xfId="3" applyFont="1" applyFill="1" applyBorder="1" applyAlignment="1" applyProtection="1">
      <alignment horizontal="left" vertical="top" wrapText="1" indent="2"/>
      <protection locked="0"/>
    </xf>
    <xf numFmtId="0" fontId="80" fillId="20" borderId="1" xfId="3" applyFont="1" applyFill="1" applyBorder="1" applyAlignment="1" applyProtection="1">
      <alignment horizontal="left" vertical="center" wrapText="1"/>
      <protection locked="0"/>
    </xf>
    <xf numFmtId="0" fontId="30" fillId="21" borderId="13" xfId="3" applyFont="1" applyFill="1" applyBorder="1" applyAlignment="1" applyProtection="1">
      <alignment horizontal="center" vertical="top" wrapText="1"/>
      <protection locked="0"/>
    </xf>
    <xf numFmtId="0" fontId="70" fillId="21" borderId="11" xfId="0" applyFont="1" applyFill="1" applyBorder="1" applyAlignment="1" applyProtection="1">
      <alignment vertical="top" wrapText="1"/>
      <protection locked="0"/>
    </xf>
    <xf numFmtId="0" fontId="81" fillId="31" borderId="45" xfId="3" applyFont="1" applyFill="1" applyBorder="1" applyAlignment="1" applyProtection="1">
      <alignment horizontal="left" vertical="top" wrapText="1" indent="3"/>
      <protection locked="0"/>
    </xf>
    <xf numFmtId="0" fontId="82" fillId="0" borderId="44" xfId="3" applyFont="1" applyFill="1" applyBorder="1" applyAlignment="1" applyProtection="1">
      <alignment horizontal="left" vertical="top" wrapText="1" indent="3"/>
      <protection locked="0"/>
    </xf>
    <xf numFmtId="0" fontId="89" fillId="46" borderId="44" xfId="3" applyFont="1" applyFill="1" applyBorder="1" applyAlignment="1" applyProtection="1">
      <alignment horizontal="center" vertical="center" wrapText="1"/>
      <protection locked="0"/>
    </xf>
    <xf numFmtId="0" fontId="24" fillId="31" borderId="44" xfId="3" applyFont="1" applyFill="1" applyBorder="1" applyAlignment="1" applyProtection="1">
      <alignment horizontal="center" vertical="center" wrapText="1"/>
      <protection locked="0"/>
    </xf>
    <xf numFmtId="0" fontId="81" fillId="20" borderId="0" xfId="3" applyFont="1" applyFill="1" applyBorder="1" applyAlignment="1" applyProtection="1">
      <alignment horizontal="left" vertical="top" wrapText="1" indent="3"/>
      <protection locked="0"/>
    </xf>
    <xf numFmtId="0" fontId="81" fillId="31" borderId="39" xfId="3" applyFont="1" applyFill="1" applyBorder="1" applyAlignment="1" applyProtection="1">
      <alignment horizontal="left" vertical="top" wrapText="1" indent="3"/>
      <protection locked="0"/>
    </xf>
    <xf numFmtId="0" fontId="82" fillId="0" borderId="44" xfId="3" applyFont="1" applyFill="1" applyBorder="1" applyAlignment="1" applyProtection="1">
      <alignment horizontal="center" vertical="top" wrapText="1"/>
      <protection locked="0"/>
    </xf>
    <xf numFmtId="0" fontId="22" fillId="20" borderId="7" xfId="3" applyFont="1" applyFill="1" applyBorder="1" applyAlignment="1" applyProtection="1">
      <alignment horizontal="left" vertical="top" wrapText="1" indent="1"/>
      <protection locked="0"/>
    </xf>
    <xf numFmtId="0" fontId="42" fillId="20" borderId="13" xfId="3" applyFont="1" applyFill="1" applyBorder="1" applyAlignment="1" applyProtection="1">
      <alignment horizontal="left" vertical="center"/>
      <protection locked="0"/>
    </xf>
    <xf numFmtId="0" fontId="92" fillId="20" borderId="13" xfId="3" applyFont="1" applyFill="1" applyBorder="1" applyAlignment="1" applyProtection="1">
      <alignment horizontal="left" vertical="top" wrapText="1"/>
      <protection locked="0"/>
    </xf>
    <xf numFmtId="0" fontId="96" fillId="20" borderId="0" xfId="3" applyFont="1" applyFill="1" applyBorder="1" applyAlignment="1" applyProtection="1">
      <alignment horizontal="left" vertical="top" wrapText="1"/>
      <protection locked="0"/>
    </xf>
    <xf numFmtId="0" fontId="115" fillId="47" borderId="37" xfId="3" applyFont="1" applyFill="1" applyBorder="1" applyAlignment="1" applyProtection="1">
      <alignment horizontal="left" indent="1"/>
      <protection locked="0"/>
    </xf>
    <xf numFmtId="0" fontId="0" fillId="21" borderId="13" xfId="0" applyFill="1" applyBorder="1" applyProtection="1">
      <protection locked="0"/>
    </xf>
    <xf numFmtId="0" fontId="0" fillId="21" borderId="38" xfId="0" applyFill="1" applyBorder="1" applyProtection="1">
      <protection locked="0"/>
    </xf>
    <xf numFmtId="0" fontId="0" fillId="21" borderId="2" xfId="0" applyFill="1" applyBorder="1" applyProtection="1">
      <protection locked="0"/>
    </xf>
    <xf numFmtId="0" fontId="118" fillId="0" borderId="0" xfId="0" applyFont="1" applyProtection="1">
      <protection locked="0"/>
    </xf>
    <xf numFmtId="0" fontId="80" fillId="0" borderId="0" xfId="0" applyFont="1" applyProtection="1">
      <protection locked="0"/>
    </xf>
    <xf numFmtId="0" fontId="48" fillId="0" borderId="0" xfId="0" applyFont="1" applyProtection="1">
      <protection locked="0"/>
    </xf>
    <xf numFmtId="0" fontId="23" fillId="0" borderId="0" xfId="0" applyFont="1" applyProtection="1">
      <protection locked="0"/>
    </xf>
    <xf numFmtId="0" fontId="24" fillId="24" borderId="55" xfId="3" applyFont="1" applyFill="1" applyBorder="1" applyAlignment="1" applyProtection="1">
      <alignment horizontal="center" vertical="center" wrapText="1"/>
      <protection locked="0"/>
    </xf>
    <xf numFmtId="0" fontId="29" fillId="24" borderId="24" xfId="3" applyFill="1" applyBorder="1" applyAlignment="1" applyProtection="1">
      <alignment horizontal="left" vertical="center" wrapText="1" indent="3"/>
      <protection locked="0"/>
    </xf>
    <xf numFmtId="0" fontId="24" fillId="24" borderId="54" xfId="3" applyFont="1" applyFill="1" applyBorder="1" applyAlignment="1" applyProtection="1">
      <alignment horizontal="center" vertical="center" wrapText="1"/>
      <protection locked="0"/>
    </xf>
    <xf numFmtId="0" fontId="24" fillId="27" borderId="54" xfId="3" applyFont="1" applyFill="1" applyBorder="1" applyAlignment="1" applyProtection="1">
      <alignment vertical="top" wrapText="1"/>
      <protection locked="0"/>
    </xf>
    <xf numFmtId="0" fontId="24" fillId="27" borderId="54" xfId="0" applyFont="1" applyFill="1" applyBorder="1" applyAlignment="1" applyProtection="1">
      <alignment vertical="top" wrapText="1"/>
      <protection locked="0"/>
    </xf>
    <xf numFmtId="0" fontId="24" fillId="27" borderId="48" xfId="0" applyFont="1" applyFill="1" applyBorder="1" applyAlignment="1" applyProtection="1">
      <alignment vertical="top" wrapText="1"/>
      <protection locked="0"/>
    </xf>
    <xf numFmtId="0" fontId="22" fillId="0" borderId="6" xfId="0" applyFont="1" applyFill="1" applyBorder="1" applyAlignment="1">
      <alignment horizontal="center"/>
    </xf>
    <xf numFmtId="0" fontId="27" fillId="46" borderId="45" xfId="0" applyFont="1" applyFill="1" applyBorder="1" applyAlignment="1">
      <alignment horizontal="center" vertical="center" wrapText="1"/>
    </xf>
    <xf numFmtId="0" fontId="22" fillId="20" borderId="21" xfId="0" applyFont="1" applyFill="1" applyBorder="1" applyAlignment="1">
      <alignment horizontal="center"/>
    </xf>
    <xf numFmtId="0" fontId="0" fillId="0" borderId="1" xfId="0" applyBorder="1"/>
    <xf numFmtId="0" fontId="0" fillId="24" borderId="64" xfId="0" applyFill="1" applyBorder="1"/>
    <xf numFmtId="0" fontId="0" fillId="24" borderId="15" xfId="0" applyFill="1" applyBorder="1"/>
    <xf numFmtId="0" fontId="123" fillId="0" borderId="0" xfId="0" applyFont="1" applyAlignment="1">
      <alignment wrapText="1"/>
    </xf>
    <xf numFmtId="0" fontId="27" fillId="42" borderId="1" xfId="0" applyNumberFormat="1" applyFont="1" applyFill="1" applyBorder="1" applyAlignment="1">
      <alignment horizontal="left" vertical="top" wrapText="1"/>
    </xf>
    <xf numFmtId="0" fontId="29" fillId="37" borderId="24" xfId="3" applyFont="1" applyFill="1" applyBorder="1" applyAlignment="1" applyProtection="1">
      <alignment horizontal="left" vertical="center" wrapText="1" indent="2"/>
      <protection locked="0"/>
    </xf>
    <xf numFmtId="0" fontId="24" fillId="10" borderId="4" xfId="0" applyFont="1" applyFill="1" applyBorder="1" applyAlignment="1">
      <alignment vertical="top" wrapText="1"/>
    </xf>
    <xf numFmtId="0" fontId="24" fillId="0" borderId="9" xfId="0" applyFont="1" applyFill="1" applyBorder="1" applyAlignment="1">
      <alignment horizontal="left" vertical="top" wrapText="1"/>
    </xf>
    <xf numFmtId="0" fontId="56" fillId="3" borderId="6" xfId="0" applyFont="1" applyFill="1" applyBorder="1"/>
    <xf numFmtId="1" fontId="25" fillId="3" borderId="6" xfId="0" applyNumberFormat="1" applyFont="1" applyFill="1" applyBorder="1"/>
    <xf numFmtId="0" fontId="39" fillId="20" borderId="6" xfId="0" applyFont="1" applyFill="1" applyBorder="1"/>
    <xf numFmtId="0" fontId="39" fillId="4" borderId="45" xfId="0" applyFont="1" applyFill="1" applyBorder="1" applyAlignment="1">
      <alignment horizontal="center"/>
    </xf>
    <xf numFmtId="0" fontId="39" fillId="4" borderId="44" xfId="0" applyFont="1" applyFill="1" applyBorder="1" applyAlignment="1">
      <alignment horizontal="center"/>
    </xf>
    <xf numFmtId="0" fontId="39" fillId="4" borderId="44" xfId="0" applyFont="1" applyFill="1" applyBorder="1" applyAlignment="1">
      <alignment horizontal="center" wrapText="1"/>
    </xf>
    <xf numFmtId="0" fontId="42" fillId="4" borderId="44" xfId="0" applyFont="1" applyFill="1" applyBorder="1" applyAlignment="1">
      <alignment horizontal="center" wrapText="1"/>
    </xf>
    <xf numFmtId="0" fontId="0" fillId="3" borderId="54" xfId="0" applyFill="1" applyBorder="1" applyAlignment="1">
      <alignment horizontal="left"/>
    </xf>
    <xf numFmtId="0" fontId="0" fillId="24" borderId="54" xfId="0" applyNumberFormat="1" applyFill="1" applyBorder="1"/>
    <xf numFmtId="0" fontId="0" fillId="29" borderId="54" xfId="0" applyFill="1" applyBorder="1"/>
    <xf numFmtId="0" fontId="22" fillId="48" borderId="54" xfId="0" applyNumberFormat="1" applyFont="1" applyFill="1" applyBorder="1" applyAlignment="1">
      <alignment horizontal="center" vertical="top" wrapText="1"/>
    </xf>
    <xf numFmtId="0" fontId="0" fillId="3" borderId="54" xfId="0" applyFill="1" applyBorder="1" applyAlignment="1">
      <alignment wrapText="1"/>
    </xf>
    <xf numFmtId="0" fontId="22" fillId="86" borderId="54" xfId="0" applyFont="1" applyFill="1" applyBorder="1" applyAlignment="1">
      <alignment horizontal="center"/>
    </xf>
    <xf numFmtId="0" fontId="22" fillId="86" borderId="33" xfId="0" applyFont="1" applyFill="1" applyBorder="1" applyAlignment="1">
      <alignment horizontal="center"/>
    </xf>
    <xf numFmtId="0" fontId="22" fillId="48" borderId="24" xfId="0" applyFont="1" applyFill="1" applyBorder="1" applyAlignment="1">
      <alignment horizontal="center"/>
    </xf>
    <xf numFmtId="0" fontId="22" fillId="48" borderId="54" xfId="0" applyFont="1" applyFill="1" applyBorder="1" applyAlignment="1">
      <alignment horizontal="center"/>
    </xf>
    <xf numFmtId="0" fontId="22" fillId="86" borderId="64" xfId="0" applyFont="1" applyFill="1" applyBorder="1" applyAlignment="1">
      <alignment horizontal="center"/>
    </xf>
    <xf numFmtId="0" fontId="22" fillId="86" borderId="71" xfId="0" applyFont="1" applyFill="1" applyBorder="1" applyAlignment="1">
      <alignment horizontal="center"/>
    </xf>
    <xf numFmtId="0" fontId="0" fillId="3" borderId="71" xfId="0" applyFill="1" applyBorder="1" applyAlignment="1">
      <alignment horizontal="center"/>
    </xf>
    <xf numFmtId="0" fontId="27" fillId="3" borderId="54" xfId="0" applyNumberFormat="1" applyFont="1" applyFill="1" applyBorder="1" applyAlignment="1" applyProtection="1">
      <alignment horizontal="left"/>
    </xf>
    <xf numFmtId="0" fontId="0" fillId="20" borderId="28" xfId="0" applyFill="1" applyBorder="1"/>
    <xf numFmtId="0" fontId="29" fillId="0" borderId="2" xfId="3" applyBorder="1" applyAlignment="1" applyProtection="1"/>
    <xf numFmtId="0" fontId="0" fillId="31" borderId="0" xfId="0" applyFill="1" applyBorder="1" applyAlignment="1">
      <alignment horizontal="left"/>
    </xf>
    <xf numFmtId="0" fontId="0" fillId="20" borderId="8" xfId="0" applyFill="1" applyBorder="1" applyAlignment="1">
      <alignment horizontal="center" wrapText="1"/>
    </xf>
    <xf numFmtId="0" fontId="25" fillId="0" borderId="54" xfId="0" applyNumberFormat="1" applyFont="1" applyBorder="1" applyAlignment="1">
      <alignment horizontal="left" wrapText="1"/>
    </xf>
    <xf numFmtId="0" fontId="27" fillId="27" borderId="55" xfId="6" applyFont="1" applyFill="1" applyBorder="1" applyAlignment="1">
      <alignment horizontal="center"/>
    </xf>
    <xf numFmtId="0" fontId="27" fillId="27" borderId="10" xfId="6" applyFont="1" applyFill="1" applyBorder="1" applyAlignment="1">
      <alignment horizontal="center"/>
    </xf>
    <xf numFmtId="0" fontId="0" fillId="0" borderId="9" xfId="0" applyFill="1" applyBorder="1" applyAlignment="1">
      <alignment horizontal="center" vertical="top" wrapText="1"/>
    </xf>
    <xf numFmtId="0" fontId="31" fillId="44" borderId="39" xfId="0" applyFont="1" applyFill="1" applyBorder="1" applyAlignment="1">
      <alignment vertical="center"/>
    </xf>
    <xf numFmtId="0" fontId="27" fillId="21" borderId="56"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0" fillId="20" borderId="63" xfId="0" applyFill="1" applyBorder="1"/>
    <xf numFmtId="0" fontId="31" fillId="0" borderId="0" xfId="0" applyFont="1" applyFill="1" applyBorder="1" applyAlignment="1">
      <alignment vertical="center" wrapText="1"/>
    </xf>
    <xf numFmtId="0" fontId="45" fillId="0" borderId="0" xfId="0" applyFont="1" applyFill="1" applyBorder="1" applyAlignment="1">
      <alignment horizontal="left" vertical="center" wrapText="1"/>
    </xf>
    <xf numFmtId="0" fontId="0" fillId="0" borderId="10" xfId="0" applyBorder="1"/>
    <xf numFmtId="0" fontId="27" fillId="21" borderId="16" xfId="0" applyFont="1" applyFill="1" applyBorder="1" applyAlignment="1">
      <alignment horizontal="center" vertical="center" wrapText="1"/>
    </xf>
    <xf numFmtId="0" fontId="22" fillId="0" borderId="1" xfId="0" applyFont="1" applyBorder="1"/>
    <xf numFmtId="0" fontId="0" fillId="27" borderId="10" xfId="0" applyFill="1" applyBorder="1"/>
    <xf numFmtId="0" fontId="27" fillId="31" borderId="49" xfId="0" applyFont="1" applyFill="1" applyBorder="1" applyAlignment="1">
      <alignment horizontal="center"/>
    </xf>
    <xf numFmtId="0" fontId="27" fillId="31" borderId="43" xfId="0" applyFont="1" applyFill="1" applyBorder="1" applyAlignment="1">
      <alignment horizontal="center"/>
    </xf>
    <xf numFmtId="0" fontId="27" fillId="31" borderId="6" xfId="0" applyFont="1" applyFill="1" applyBorder="1" applyAlignment="1">
      <alignment horizontal="center" wrapText="1"/>
    </xf>
    <xf numFmtId="0" fontId="27" fillId="31" borderId="74" xfId="0" applyFont="1" applyFill="1" applyBorder="1" applyAlignment="1">
      <alignment horizontal="center" wrapText="1"/>
    </xf>
    <xf numFmtId="0" fontId="0" fillId="120" borderId="55" xfId="0" applyFill="1" applyBorder="1" applyAlignment="1">
      <alignment horizontal="center"/>
    </xf>
    <xf numFmtId="0" fontId="0" fillId="120" borderId="10" xfId="0" applyFill="1" applyBorder="1" applyAlignment="1">
      <alignment horizontal="center"/>
    </xf>
    <xf numFmtId="0" fontId="0" fillId="0" borderId="28" xfId="0" applyBorder="1"/>
    <xf numFmtId="0" fontId="0" fillId="128" borderId="6" xfId="0" applyFill="1" applyBorder="1" applyAlignment="1">
      <alignment horizontal="center"/>
    </xf>
    <xf numFmtId="0" fontId="27" fillId="40" borderId="35" xfId="0" applyFont="1" applyFill="1" applyBorder="1" applyAlignment="1" applyProtection="1">
      <alignment horizontal="center" vertical="center" wrapText="1"/>
    </xf>
    <xf numFmtId="0" fontId="0" fillId="0" borderId="6" xfId="0" applyBorder="1"/>
    <xf numFmtId="0" fontId="0" fillId="0" borderId="41" xfId="0" applyBorder="1" applyAlignment="1">
      <alignment horizontal="center"/>
    </xf>
    <xf numFmtId="0" fontId="27" fillId="46" borderId="67" xfId="0" applyFont="1" applyFill="1" applyBorder="1" applyAlignment="1" applyProtection="1">
      <alignment horizontal="center" vertical="center" wrapText="1"/>
    </xf>
    <xf numFmtId="0" fontId="0" fillId="128" borderId="10" xfId="0" applyFill="1" applyBorder="1" applyAlignment="1">
      <alignment horizontal="center"/>
    </xf>
    <xf numFmtId="0" fontId="22" fillId="0" borderId="1" xfId="0" applyFont="1" applyBorder="1"/>
    <xf numFmtId="0" fontId="22" fillId="0" borderId="54" xfId="0" applyFont="1" applyBorder="1"/>
    <xf numFmtId="0" fontId="0" fillId="0" borderId="49" xfId="0" applyBorder="1"/>
    <xf numFmtId="0" fontId="219" fillId="0" borderId="21" xfId="0" applyFont="1" applyFill="1" applyBorder="1" applyAlignment="1">
      <alignment horizontal="right" vertical="top"/>
    </xf>
    <xf numFmtId="0" fontId="219" fillId="0" borderId="5" xfId="0" applyFont="1" applyFill="1" applyBorder="1" applyAlignment="1">
      <alignment horizontal="right" vertical="top"/>
    </xf>
    <xf numFmtId="0" fontId="220" fillId="27" borderId="18" xfId="0" applyFont="1" applyFill="1" applyBorder="1" applyAlignment="1">
      <alignment vertical="center" wrapText="1"/>
    </xf>
    <xf numFmtId="0" fontId="220" fillId="0" borderId="1" xfId="0" applyFont="1" applyFill="1" applyBorder="1" applyAlignment="1">
      <alignment horizontal="right" vertical="center" wrapText="1"/>
    </xf>
    <xf numFmtId="0" fontId="220" fillId="27" borderId="15" xfId="0" applyFont="1" applyFill="1" applyBorder="1" applyAlignment="1">
      <alignment vertical="center" wrapText="1"/>
    </xf>
    <xf numFmtId="0" fontId="220" fillId="27" borderId="30" xfId="0" applyFont="1" applyFill="1" applyBorder="1" applyAlignment="1">
      <alignment vertical="center" wrapText="1"/>
    </xf>
    <xf numFmtId="0" fontId="22" fillId="0" borderId="1" xfId="0" applyFont="1" applyBorder="1"/>
    <xf numFmtId="0" fontId="22" fillId="0" borderId="49" xfId="0" applyFont="1" applyBorder="1"/>
    <xf numFmtId="0" fontId="0" fillId="0" borderId="6" xfId="0" applyBorder="1"/>
    <xf numFmtId="0" fontId="0" fillId="0" borderId="1" xfId="0" applyBorder="1"/>
    <xf numFmtId="0" fontId="0" fillId="0" borderId="41" xfId="0" applyBorder="1" applyAlignment="1">
      <alignment horizontal="left" wrapText="1"/>
    </xf>
    <xf numFmtId="0" fontId="22" fillId="0" borderId="0" xfId="0" applyFont="1" applyBorder="1" applyAlignment="1"/>
    <xf numFmtId="0" fontId="52" fillId="46" borderId="12" xfId="0" applyFont="1" applyFill="1" applyBorder="1" applyAlignment="1" applyProtection="1">
      <alignment horizontal="center" vertical="center" wrapText="1"/>
    </xf>
    <xf numFmtId="0" fontId="25" fillId="0" borderId="104" xfId="0" applyFont="1" applyBorder="1" applyAlignment="1" applyProtection="1">
      <alignment horizontal="left" vertical="center" wrapText="1"/>
      <protection locked="0"/>
    </xf>
    <xf numFmtId="0" fontId="22" fillId="0" borderId="1" xfId="0" applyFont="1" applyBorder="1"/>
    <xf numFmtId="0" fontId="27" fillId="42" borderId="17" xfId="0" applyFont="1" applyFill="1" applyBorder="1" applyAlignment="1">
      <alignment horizontal="left" vertical="center" wrapText="1"/>
    </xf>
    <xf numFmtId="0" fontId="22" fillId="0" borderId="24" xfId="0" applyFont="1" applyBorder="1"/>
    <xf numFmtId="0" fontId="22" fillId="0" borderId="21" xfId="0" applyFont="1" applyBorder="1"/>
    <xf numFmtId="0" fontId="0" fillId="0" borderId="1" xfId="0" applyBorder="1"/>
    <xf numFmtId="0" fontId="22" fillId="0" borderId="1" xfId="0" applyFont="1" applyBorder="1"/>
    <xf numFmtId="0" fontId="31" fillId="3" borderId="55" xfId="0" applyFont="1" applyFill="1" applyBorder="1" applyAlignment="1"/>
    <xf numFmtId="0" fontId="31" fillId="3" borderId="47" xfId="0" applyFont="1" applyFill="1" applyBorder="1" applyAlignment="1"/>
    <xf numFmtId="0" fontId="0" fillId="0" borderId="1" xfId="0" quotePrefix="1" applyFill="1" applyBorder="1"/>
    <xf numFmtId="0" fontId="29" fillId="27" borderId="1" xfId="3" applyFill="1" applyBorder="1" applyAlignment="1" applyProtection="1"/>
    <xf numFmtId="0" fontId="22" fillId="3" borderId="1" xfId="0" applyFont="1" applyFill="1" applyBorder="1" applyAlignment="1">
      <alignment horizontal="center" vertical="center" wrapText="1"/>
    </xf>
    <xf numFmtId="0" fontId="204" fillId="0" borderId="41" xfId="0" applyFont="1" applyBorder="1" applyAlignment="1">
      <alignment wrapText="1"/>
    </xf>
    <xf numFmtId="0" fontId="0" fillId="0" borderId="1" xfId="0" quotePrefix="1" applyBorder="1" applyAlignment="1">
      <alignment horizontal="center"/>
    </xf>
    <xf numFmtId="0" fontId="29" fillId="27" borderId="54" xfId="3" applyFill="1" applyBorder="1" applyAlignment="1" applyProtection="1"/>
    <xf numFmtId="0" fontId="0" fillId="0" borderId="54" xfId="0" quotePrefix="1" applyBorder="1" applyAlignment="1">
      <alignment horizontal="center"/>
    </xf>
    <xf numFmtId="0" fontId="22" fillId="3" borderId="54" xfId="0" applyFont="1" applyFill="1" applyBorder="1" applyAlignment="1">
      <alignment horizontal="center" vertical="center" wrapText="1"/>
    </xf>
    <xf numFmtId="0" fontId="31" fillId="44" borderId="13" xfId="0" applyFont="1" applyFill="1" applyBorder="1" applyAlignment="1">
      <alignment vertical="center"/>
    </xf>
    <xf numFmtId="0" fontId="28" fillId="0" borderId="0" xfId="0" applyFont="1" applyFill="1" applyBorder="1" applyAlignment="1">
      <alignment vertical="center"/>
    </xf>
    <xf numFmtId="0" fontId="27" fillId="44" borderId="67" xfId="0" applyFont="1" applyFill="1" applyBorder="1" applyAlignment="1">
      <alignment vertical="center"/>
    </xf>
    <xf numFmtId="0" fontId="22" fillId="21" borderId="19" xfId="0" applyFont="1" applyFill="1" applyBorder="1" applyAlignment="1">
      <alignment horizontal="center"/>
    </xf>
    <xf numFmtId="0" fontId="22" fillId="21" borderId="8" xfId="0" applyFont="1" applyFill="1" applyBorder="1" applyAlignment="1">
      <alignment horizontal="center"/>
    </xf>
    <xf numFmtId="0" fontId="64" fillId="0" borderId="1" xfId="0" applyFont="1" applyBorder="1" applyAlignment="1">
      <alignment horizontal="left"/>
    </xf>
    <xf numFmtId="0" fontId="64" fillId="0" borderId="21" xfId="0" applyFont="1" applyBorder="1" applyAlignment="1">
      <alignment horizontal="left" indent="2"/>
    </xf>
    <xf numFmtId="0" fontId="222" fillId="0" borderId="24" xfId="0" applyFont="1" applyBorder="1" applyAlignment="1">
      <alignment horizontal="left" vertical="center" indent="2"/>
    </xf>
    <xf numFmtId="0" fontId="64" fillId="0" borderId="54" xfId="0" applyFont="1" applyBorder="1" applyAlignment="1">
      <alignment horizontal="left"/>
    </xf>
    <xf numFmtId="0" fontId="223" fillId="0" borderId="23" xfId="0" applyFont="1" applyBorder="1" applyAlignment="1">
      <alignment horizontal="left" vertical="center" indent="1"/>
    </xf>
    <xf numFmtId="0" fontId="64" fillId="0" borderId="32" xfId="0" applyFont="1" applyBorder="1" applyAlignment="1"/>
    <xf numFmtId="0" fontId="64" fillId="0" borderId="56" xfId="0" applyFont="1" applyBorder="1" applyAlignment="1"/>
    <xf numFmtId="0" fontId="64" fillId="0" borderId="55" xfId="0" applyFont="1" applyBorder="1" applyAlignment="1">
      <alignment horizontal="center"/>
    </xf>
    <xf numFmtId="0" fontId="64" fillId="0" borderId="22" xfId="0" applyFont="1" applyBorder="1" applyAlignment="1">
      <alignment horizontal="left" indent="2"/>
    </xf>
    <xf numFmtId="0" fontId="64" fillId="0" borderId="5" xfId="0" applyFont="1" applyBorder="1" applyAlignment="1">
      <alignment horizontal="left"/>
    </xf>
    <xf numFmtId="0" fontId="64" fillId="0" borderId="49" xfId="0" applyFont="1" applyBorder="1" applyAlignment="1">
      <alignment horizontal="left" indent="2"/>
    </xf>
    <xf numFmtId="0" fontId="64" fillId="0" borderId="6" xfId="0" applyFont="1" applyBorder="1" applyAlignment="1">
      <alignment horizontal="left"/>
    </xf>
    <xf numFmtId="0" fontId="222" fillId="0" borderId="49" xfId="0" applyFont="1" applyBorder="1" applyAlignment="1">
      <alignment horizontal="left" vertical="center" indent="2"/>
    </xf>
    <xf numFmtId="0" fontId="47" fillId="0" borderId="0" xfId="0" applyFont="1"/>
    <xf numFmtId="0" fontId="0" fillId="0" borderId="54" xfId="0" applyBorder="1" applyAlignment="1">
      <alignment horizontal="center" vertical="center"/>
    </xf>
    <xf numFmtId="0" fontId="0" fillId="20" borderId="54" xfId="0" applyFill="1" applyBorder="1" applyAlignment="1">
      <alignment horizontal="center" vertical="center"/>
    </xf>
    <xf numFmtId="0" fontId="29" fillId="42" borderId="21" xfId="3" applyFill="1" applyBorder="1" applyAlignment="1" applyProtection="1">
      <alignment horizontal="left" wrapText="1" indent="2"/>
      <protection locked="0"/>
    </xf>
    <xf numFmtId="0" fontId="0" fillId="23" borderId="1" xfId="0" applyFill="1" applyBorder="1" applyAlignment="1">
      <alignment wrapText="1"/>
    </xf>
    <xf numFmtId="0" fontId="0" fillId="0" borderId="6" xfId="0" applyBorder="1"/>
    <xf numFmtId="0" fontId="0" fillId="0" borderId="1" xfId="0" applyBorder="1"/>
    <xf numFmtId="0" fontId="0" fillId="0" borderId="59" xfId="0" applyBorder="1"/>
    <xf numFmtId="0" fontId="0" fillId="0" borderId="75" xfId="0" applyBorder="1"/>
    <xf numFmtId="0" fontId="0" fillId="0" borderId="0" xfId="0" applyBorder="1" applyProtection="1">
      <protection locked="0"/>
    </xf>
    <xf numFmtId="0" fontId="0" fillId="118" borderId="60" xfId="0" applyFill="1" applyBorder="1"/>
    <xf numFmtId="0" fontId="0" fillId="39" borderId="70" xfId="0" applyFill="1" applyBorder="1"/>
    <xf numFmtId="0" fontId="0" fillId="130" borderId="1" xfId="0" applyFill="1" applyBorder="1"/>
    <xf numFmtId="0" fontId="0" fillId="0" borderId="59" xfId="0" applyBorder="1"/>
    <xf numFmtId="0" fontId="22" fillId="24" borderId="4" xfId="0" applyFont="1" applyFill="1" applyBorder="1"/>
    <xf numFmtId="0" fontId="22" fillId="24" borderId="25" xfId="0" applyFont="1" applyFill="1" applyBorder="1"/>
    <xf numFmtId="0" fontId="22" fillId="24" borderId="28" xfId="0" applyFont="1" applyFill="1" applyBorder="1"/>
    <xf numFmtId="0" fontId="0" fillId="24" borderId="8" xfId="0" applyFill="1" applyBorder="1" applyAlignment="1">
      <alignment horizontal="center" wrapText="1"/>
    </xf>
    <xf numFmtId="0" fontId="0" fillId="0" borderId="77" xfId="0" applyBorder="1"/>
    <xf numFmtId="0" fontId="0" fillId="20" borderId="70" xfId="0" applyFill="1" applyBorder="1"/>
    <xf numFmtId="0" fontId="0" fillId="20" borderId="68" xfId="0" applyFill="1" applyBorder="1" applyAlignment="1">
      <alignment horizontal="center" wrapText="1"/>
    </xf>
    <xf numFmtId="0" fontId="22" fillId="24" borderId="17" xfId="0" applyFont="1" applyFill="1" applyBorder="1"/>
    <xf numFmtId="0" fontId="0" fillId="24" borderId="73" xfId="0" applyFill="1" applyBorder="1"/>
    <xf numFmtId="0" fontId="0" fillId="24" borderId="4" xfId="0" applyFill="1" applyBorder="1"/>
    <xf numFmtId="0" fontId="0" fillId="0" borderId="34" xfId="0" applyFill="1" applyBorder="1"/>
    <xf numFmtId="0" fontId="0" fillId="24" borderId="25" xfId="0" applyFill="1" applyBorder="1" applyAlignment="1">
      <alignment horizontal="center" wrapText="1"/>
    </xf>
    <xf numFmtId="0" fontId="0" fillId="20" borderId="25" xfId="0" applyFill="1" applyBorder="1" applyAlignment="1">
      <alignment horizontal="center" wrapText="1"/>
    </xf>
    <xf numFmtId="0" fontId="0" fillId="20" borderId="29" xfId="0" applyFill="1" applyBorder="1" applyAlignment="1">
      <alignment horizontal="center" wrapText="1"/>
    </xf>
    <xf numFmtId="0" fontId="66" fillId="23" borderId="29" xfId="0" quotePrefix="1" applyFont="1" applyFill="1" applyBorder="1" applyAlignment="1">
      <alignment wrapText="1"/>
    </xf>
    <xf numFmtId="0" fontId="35" fillId="23" borderId="6" xfId="0" applyFont="1" applyFill="1" applyBorder="1" applyAlignment="1">
      <alignment wrapText="1"/>
    </xf>
    <xf numFmtId="0" fontId="66" fillId="23" borderId="0" xfId="0" applyFont="1" applyFill="1" applyBorder="1" applyAlignment="1">
      <alignment wrapText="1"/>
    </xf>
    <xf numFmtId="0" fontId="66" fillId="23" borderId="36" xfId="0" applyFont="1" applyFill="1" applyBorder="1" applyAlignment="1">
      <alignment wrapText="1"/>
    </xf>
    <xf numFmtId="0" fontId="0" fillId="23" borderId="0" xfId="0" applyFill="1" applyBorder="1"/>
    <xf numFmtId="0" fontId="0" fillId="23" borderId="36" xfId="0" applyFill="1" applyBorder="1"/>
    <xf numFmtId="0" fontId="27" fillId="23" borderId="29" xfId="0" applyFont="1" applyFill="1" applyBorder="1"/>
    <xf numFmtId="0" fontId="87" fillId="23" borderId="50" xfId="0" applyFont="1" applyFill="1" applyBorder="1"/>
    <xf numFmtId="0" fontId="87" fillId="23" borderId="31" xfId="0" applyFont="1" applyFill="1" applyBorder="1"/>
    <xf numFmtId="0" fontId="87" fillId="23" borderId="0" xfId="0" applyFont="1" applyFill="1" applyBorder="1"/>
    <xf numFmtId="0" fontId="87" fillId="23" borderId="88" xfId="0" applyFont="1" applyFill="1" applyBorder="1"/>
    <xf numFmtId="0" fontId="0" fillId="23" borderId="42" xfId="0" applyFill="1" applyBorder="1"/>
    <xf numFmtId="0" fontId="0" fillId="23" borderId="39" xfId="0" applyFill="1" applyBorder="1"/>
    <xf numFmtId="0" fontId="0" fillId="23" borderId="40" xfId="0" applyFill="1" applyBorder="1"/>
    <xf numFmtId="0" fontId="0" fillId="23" borderId="7" xfId="0" applyFill="1" applyBorder="1"/>
    <xf numFmtId="0" fontId="0" fillId="23" borderId="13" xfId="0" applyFill="1" applyBorder="1"/>
    <xf numFmtId="0" fontId="0" fillId="23" borderId="11" xfId="0" applyFill="1" applyBorder="1"/>
    <xf numFmtId="0" fontId="27" fillId="23" borderId="7" xfId="0" applyFont="1" applyFill="1" applyBorder="1" applyAlignment="1"/>
    <xf numFmtId="0" fontId="27" fillId="23" borderId="12" xfId="0" applyFont="1" applyFill="1" applyBorder="1" applyAlignment="1"/>
    <xf numFmtId="0" fontId="27" fillId="23" borderId="12" xfId="0" applyFont="1" applyFill="1" applyBorder="1"/>
    <xf numFmtId="0" fontId="27" fillId="23" borderId="67" xfId="0" applyFont="1" applyFill="1" applyBorder="1"/>
    <xf numFmtId="0" fontId="0" fillId="0" borderId="27" xfId="0" applyBorder="1"/>
    <xf numFmtId="0" fontId="27" fillId="23" borderId="35" xfId="0" applyFont="1" applyFill="1" applyBorder="1"/>
    <xf numFmtId="0" fontId="27" fillId="23" borderId="45" xfId="0" applyFont="1" applyFill="1" applyBorder="1" applyAlignment="1"/>
    <xf numFmtId="0" fontId="27" fillId="23" borderId="29" xfId="0" applyFont="1" applyFill="1" applyBorder="1" applyAlignment="1"/>
    <xf numFmtId="0" fontId="48" fillId="31" borderId="29" xfId="0" applyFont="1" applyFill="1" applyBorder="1" applyAlignment="1">
      <alignment vertical="top" wrapText="1"/>
    </xf>
    <xf numFmtId="0" fontId="22" fillId="40" borderId="23" xfId="0" applyFont="1" applyFill="1" applyBorder="1" applyAlignment="1">
      <alignment horizontal="left" vertical="center" wrapText="1"/>
    </xf>
    <xf numFmtId="0" fontId="22" fillId="40" borderId="21" xfId="0" applyFont="1" applyFill="1" applyBorder="1" applyAlignment="1">
      <alignment horizontal="left" vertical="center" wrapText="1"/>
    </xf>
    <xf numFmtId="0" fontId="22" fillId="40" borderId="24" xfId="0" applyFont="1" applyFill="1" applyBorder="1" applyAlignment="1">
      <alignment horizontal="left" vertical="center" wrapText="1"/>
    </xf>
    <xf numFmtId="0" fontId="31" fillId="21" borderId="15" xfId="0" applyFont="1" applyFill="1" applyBorder="1" applyAlignment="1">
      <alignment horizontal="center" vertical="center" wrapText="1"/>
    </xf>
    <xf numFmtId="0" fontId="31" fillId="21" borderId="1" xfId="0" applyFont="1" applyFill="1" applyBorder="1" applyAlignment="1">
      <alignment horizontal="center" vertical="center" wrapText="1"/>
    </xf>
    <xf numFmtId="0" fontId="39" fillId="46" borderId="44" xfId="0" applyFont="1" applyFill="1" applyBorder="1" applyAlignment="1">
      <alignment horizontal="center"/>
    </xf>
    <xf numFmtId="0" fontId="25" fillId="42" borderId="17" xfId="0" applyFont="1" applyFill="1" applyBorder="1" applyAlignment="1">
      <alignment wrapText="1"/>
    </xf>
    <xf numFmtId="0" fontId="8" fillId="0" borderId="29" xfId="9830" applyBorder="1"/>
    <xf numFmtId="0" fontId="22" fillId="0" borderId="0" xfId="0" applyFont="1" applyFill="1" applyBorder="1"/>
    <xf numFmtId="0" fontId="0" fillId="31" borderId="39" xfId="0" applyFill="1" applyBorder="1" applyProtection="1"/>
    <xf numFmtId="0" fontId="27" fillId="31" borderId="13" xfId="0" applyFont="1" applyFill="1" applyBorder="1" applyAlignment="1" applyProtection="1">
      <alignment horizontal="center" wrapText="1"/>
    </xf>
    <xf numFmtId="0" fontId="52" fillId="42" borderId="34" xfId="0" applyFont="1" applyFill="1" applyBorder="1" applyAlignment="1"/>
    <xf numFmtId="0" fontId="52" fillId="42" borderId="14" xfId="0" applyFont="1" applyFill="1" applyBorder="1" applyAlignment="1">
      <alignment horizontal="center"/>
    </xf>
    <xf numFmtId="0" fontId="52" fillId="46" borderId="89" xfId="0" applyFont="1" applyFill="1" applyBorder="1" applyAlignment="1"/>
    <xf numFmtId="0" fontId="102" fillId="40" borderId="42" xfId="0" applyFont="1" applyFill="1" applyBorder="1" applyAlignment="1">
      <alignment horizontal="right" vertical="center" wrapText="1"/>
    </xf>
    <xf numFmtId="0" fontId="23" fillId="24" borderId="52" xfId="0" applyFont="1" applyFill="1" applyBorder="1" applyAlignment="1">
      <alignment horizontal="left" wrapText="1"/>
    </xf>
    <xf numFmtId="0" fontId="102" fillId="40" borderId="76" xfId="0" applyFont="1" applyFill="1" applyBorder="1" applyAlignment="1">
      <alignment vertical="center" wrapText="1"/>
    </xf>
    <xf numFmtId="0" fontId="102" fillId="40" borderId="60" xfId="0" applyFont="1" applyFill="1" applyBorder="1" applyAlignment="1">
      <alignment horizontal="right" vertical="center" wrapText="1"/>
    </xf>
    <xf numFmtId="0" fontId="0" fillId="0" borderId="0" xfId="0" applyBorder="1" applyAlignment="1">
      <alignment horizontal="center" vertical="center"/>
    </xf>
    <xf numFmtId="0" fontId="64" fillId="0" borderId="0" xfId="0" applyFont="1"/>
    <xf numFmtId="0" fontId="22" fillId="0" borderId="0" xfId="0" applyFont="1" applyFill="1"/>
    <xf numFmtId="0" fontId="22" fillId="0" borderId="0" xfId="0" applyFont="1" applyAlignment="1">
      <alignment horizontal="center"/>
    </xf>
    <xf numFmtId="0" fontId="64" fillId="0" borderId="0" xfId="0" applyFont="1" applyFill="1" applyBorder="1"/>
    <xf numFmtId="0" fontId="102" fillId="21" borderId="28" xfId="0" applyFont="1" applyFill="1" applyBorder="1" applyAlignment="1">
      <alignment horizontal="right" vertical="center" wrapText="1"/>
    </xf>
    <xf numFmtId="0" fontId="52" fillId="21" borderId="19" xfId="0" applyFont="1" applyFill="1" applyBorder="1" applyAlignment="1">
      <alignment horizontal="center"/>
    </xf>
    <xf numFmtId="0" fontId="24" fillId="21" borderId="55" xfId="3" applyFont="1" applyFill="1" applyBorder="1" applyAlignment="1" applyProtection="1">
      <alignment horizontal="left" vertical="top" wrapText="1"/>
      <protection locked="0"/>
    </xf>
    <xf numFmtId="0" fontId="22" fillId="0" borderId="108" xfId="0" applyFont="1" applyFill="1" applyBorder="1"/>
    <xf numFmtId="0" fontId="0" fillId="0" borderId="6" xfId="0" applyBorder="1" applyAlignment="1">
      <alignment horizontal="left"/>
    </xf>
    <xf numFmtId="0" fontId="0" fillId="0" borderId="108" xfId="0" applyBorder="1" applyAlignment="1">
      <alignment horizontal="left"/>
    </xf>
    <xf numFmtId="0" fontId="22" fillId="0" borderId="49" xfId="0" applyFont="1" applyFill="1" applyBorder="1"/>
    <xf numFmtId="0" fontId="0" fillId="0" borderId="108" xfId="0" applyBorder="1"/>
    <xf numFmtId="0" fontId="23" fillId="0" borderId="0" xfId="0" applyFont="1" applyFill="1" applyBorder="1" applyAlignment="1">
      <alignment horizontal="center"/>
    </xf>
    <xf numFmtId="0" fontId="27" fillId="0" borderId="114" xfId="0" applyFont="1" applyBorder="1"/>
    <xf numFmtId="0" fontId="27" fillId="0" borderId="110" xfId="0" applyFont="1" applyBorder="1"/>
    <xf numFmtId="0" fontId="92" fillId="0" borderId="110" xfId="0" applyFont="1" applyBorder="1"/>
    <xf numFmtId="0" fontId="27" fillId="0" borderId="113" xfId="0" applyFont="1" applyBorder="1"/>
    <xf numFmtId="0" fontId="27" fillId="27" borderId="106" xfId="0" applyFont="1" applyFill="1" applyBorder="1" applyAlignment="1">
      <alignment horizontal="center" wrapText="1"/>
    </xf>
    <xf numFmtId="0" fontId="27" fillId="27" borderId="110" xfId="0" applyFont="1" applyFill="1" applyBorder="1"/>
    <xf numFmtId="0" fontId="27" fillId="32" borderId="110" xfId="0" applyFont="1" applyFill="1" applyBorder="1"/>
    <xf numFmtId="0" fontId="27" fillId="32" borderId="107" xfId="0" applyFont="1" applyFill="1" applyBorder="1" applyAlignment="1"/>
    <xf numFmtId="0" fontId="27" fillId="32" borderId="107" xfId="0" applyFont="1" applyFill="1" applyBorder="1" applyAlignment="1">
      <alignment horizontal="center"/>
    </xf>
    <xf numFmtId="0" fontId="27" fillId="36" borderId="110" xfId="0" applyFont="1" applyFill="1" applyBorder="1"/>
    <xf numFmtId="0" fontId="27" fillId="38" borderId="110" xfId="0" applyFont="1" applyFill="1" applyBorder="1"/>
    <xf numFmtId="0" fontId="27" fillId="38" borderId="107" xfId="0" applyFont="1" applyFill="1" applyBorder="1"/>
    <xf numFmtId="0" fontId="27" fillId="0" borderId="107" xfId="0" applyFont="1" applyBorder="1"/>
    <xf numFmtId="0" fontId="27" fillId="0" borderId="42" xfId="0" applyFont="1" applyBorder="1" applyAlignment="1"/>
    <xf numFmtId="0" fontId="27" fillId="0" borderId="39" xfId="0" applyFont="1" applyBorder="1" applyAlignment="1"/>
    <xf numFmtId="0" fontId="27" fillId="0" borderId="67" xfId="0" applyFont="1" applyBorder="1"/>
    <xf numFmtId="0" fontId="27" fillId="124" borderId="42" xfId="0" applyFont="1" applyFill="1" applyBorder="1"/>
    <xf numFmtId="0" fontId="27" fillId="124" borderId="39" xfId="0" applyFont="1" applyFill="1" applyBorder="1"/>
    <xf numFmtId="0" fontId="27" fillId="124" borderId="40" xfId="0" applyFont="1" applyFill="1" applyBorder="1"/>
    <xf numFmtId="0" fontId="27" fillId="48" borderId="42" xfId="0" applyFont="1" applyFill="1" applyBorder="1"/>
    <xf numFmtId="0" fontId="27" fillId="48" borderId="39" xfId="0" applyFont="1" applyFill="1" applyBorder="1"/>
    <xf numFmtId="0" fontId="27" fillId="48" borderId="40" xfId="0" applyFont="1" applyFill="1" applyBorder="1"/>
    <xf numFmtId="0" fontId="23" fillId="0" borderId="49" xfId="0" applyFont="1" applyBorder="1"/>
    <xf numFmtId="0" fontId="89" fillId="0" borderId="6" xfId="0" applyFont="1" applyBorder="1"/>
    <xf numFmtId="0" fontId="0" fillId="21" borderId="6" xfId="0" applyFill="1" applyBorder="1"/>
    <xf numFmtId="0" fontId="64" fillId="0" borderId="6" xfId="0" applyFont="1" applyBorder="1"/>
    <xf numFmtId="0" fontId="64" fillId="0" borderId="6" xfId="0" applyFont="1" applyBorder="1" applyAlignment="1">
      <alignment wrapText="1"/>
    </xf>
    <xf numFmtId="0" fontId="22" fillId="42" borderId="6" xfId="0" applyFont="1" applyFill="1" applyBorder="1"/>
    <xf numFmtId="0" fontId="22" fillId="0" borderId="6" xfId="0" applyFont="1" applyBorder="1"/>
    <xf numFmtId="0" fontId="22" fillId="0" borderId="74" xfId="0" applyFont="1" applyFill="1" applyBorder="1" applyAlignment="1">
      <alignment horizontal="center"/>
    </xf>
    <xf numFmtId="1" fontId="0" fillId="0" borderId="7" xfId="0" applyNumberFormat="1" applyBorder="1"/>
    <xf numFmtId="0" fontId="25" fillId="0" borderId="120" xfId="0" applyFont="1" applyBorder="1" applyAlignment="1" applyProtection="1">
      <alignment horizontal="left" vertical="center" wrapText="1"/>
      <protection locked="0"/>
    </xf>
    <xf numFmtId="0" fontId="22" fillId="0" borderId="49" xfId="12" applyFont="1" applyBorder="1"/>
    <xf numFmtId="49" fontId="22" fillId="0" borderId="6" xfId="12" applyNumberFormat="1" applyFont="1" applyBorder="1"/>
    <xf numFmtId="0" fontId="22" fillId="0" borderId="6" xfId="12" applyBorder="1"/>
    <xf numFmtId="0" fontId="22" fillId="0" borderId="6" xfId="12" applyFont="1" applyBorder="1"/>
    <xf numFmtId="0" fontId="51" fillId="0" borderId="26" xfId="0" applyFont="1" applyBorder="1"/>
    <xf numFmtId="0" fontId="179" fillId="0" borderId="17" xfId="12" applyFont="1" applyFill="1" applyBorder="1" applyAlignment="1">
      <alignment vertical="center"/>
    </xf>
    <xf numFmtId="0" fontId="179" fillId="0" borderId="6" xfId="12" applyFont="1" applyFill="1" applyBorder="1" applyAlignment="1">
      <alignment vertical="center"/>
    </xf>
    <xf numFmtId="0" fontId="22" fillId="0" borderId="17" xfId="12" applyFont="1" applyBorder="1"/>
    <xf numFmtId="0" fontId="22" fillId="42" borderId="25" xfId="12" applyFill="1" applyBorder="1"/>
    <xf numFmtId="0" fontId="22" fillId="42" borderId="6" xfId="12" applyFont="1" applyFill="1" applyBorder="1"/>
    <xf numFmtId="0" fontId="22" fillId="42" borderId="6" xfId="12" applyFont="1" applyFill="1" applyBorder="1" applyAlignment="1">
      <alignment vertical="center"/>
    </xf>
    <xf numFmtId="0" fontId="22" fillId="42" borderId="17" xfId="12" applyFont="1" applyFill="1" applyBorder="1"/>
    <xf numFmtId="0" fontId="22" fillId="0" borderId="43" xfId="0" applyFont="1" applyBorder="1"/>
    <xf numFmtId="0" fontId="0" fillId="0" borderId="25" xfId="0" applyBorder="1"/>
    <xf numFmtId="0" fontId="0" fillId="0" borderId="25" xfId="0" applyFill="1" applyBorder="1"/>
    <xf numFmtId="0" fontId="0" fillId="125" borderId="25" xfId="0" applyFill="1" applyBorder="1"/>
    <xf numFmtId="0" fontId="22" fillId="125" borderId="25" xfId="0" applyFont="1" applyFill="1" applyBorder="1"/>
    <xf numFmtId="0" fontId="0" fillId="38" borderId="8" xfId="0" applyFill="1" applyBorder="1"/>
    <xf numFmtId="0" fontId="0" fillId="38" borderId="25" xfId="0" applyFill="1" applyBorder="1"/>
    <xf numFmtId="0" fontId="22" fillId="0" borderId="8" xfId="0" applyFont="1" applyBorder="1" applyProtection="1">
      <protection locked="0"/>
    </xf>
    <xf numFmtId="0" fontId="22" fillId="118" borderId="25" xfId="0" applyFont="1" applyFill="1" applyBorder="1"/>
    <xf numFmtId="0" fontId="22" fillId="39" borderId="25" xfId="0" applyFont="1" applyFill="1" applyBorder="1"/>
    <xf numFmtId="0" fontId="51" fillId="0" borderId="112" xfId="0" applyFont="1" applyBorder="1"/>
    <xf numFmtId="0" fontId="51" fillId="0" borderId="44" xfId="0" applyFont="1" applyBorder="1"/>
    <xf numFmtId="0" fontId="23" fillId="0" borderId="44" xfId="0" applyFont="1" applyBorder="1"/>
    <xf numFmtId="0" fontId="89" fillId="0" borderId="44" xfId="0" applyFont="1" applyBorder="1"/>
    <xf numFmtId="0" fontId="0" fillId="0" borderId="44" xfId="0" applyBorder="1"/>
    <xf numFmtId="0" fontId="89" fillId="0" borderId="44" xfId="0" applyFont="1" applyFill="1" applyBorder="1"/>
    <xf numFmtId="0" fontId="51" fillId="21" borderId="44" xfId="0" applyFont="1" applyFill="1" applyBorder="1"/>
    <xf numFmtId="0" fontId="51" fillId="20" borderId="44" xfId="0" applyFont="1" applyFill="1" applyBorder="1"/>
    <xf numFmtId="0" fontId="27" fillId="27" borderId="44" xfId="0" applyFont="1" applyFill="1" applyBorder="1" applyAlignment="1">
      <alignment horizontal="center" wrapText="1"/>
    </xf>
    <xf numFmtId="0" fontId="27" fillId="27" borderId="44" xfId="0" applyFont="1" applyFill="1" applyBorder="1"/>
    <xf numFmtId="0" fontId="51" fillId="0" borderId="44" xfId="0" applyFont="1" applyBorder="1" applyAlignment="1">
      <alignment horizontal="center"/>
    </xf>
    <xf numFmtId="0" fontId="51" fillId="29" borderId="44" xfId="0" applyFont="1" applyFill="1" applyBorder="1"/>
    <xf numFmtId="0" fontId="27" fillId="0" borderId="44" xfId="12" applyFont="1" applyBorder="1"/>
    <xf numFmtId="0" fontId="27" fillId="0" borderId="44" xfId="12" applyFont="1" applyFill="1" applyBorder="1"/>
    <xf numFmtId="0" fontId="27" fillId="42" borderId="44" xfId="12" applyFont="1" applyFill="1" applyBorder="1"/>
    <xf numFmtId="0" fontId="216" fillId="0" borderId="44" xfId="0" applyFont="1" applyBorder="1"/>
    <xf numFmtId="0" fontId="51" fillId="0" borderId="44" xfId="0" applyFont="1" applyFill="1" applyBorder="1"/>
    <xf numFmtId="0" fontId="51" fillId="0" borderId="58" xfId="0" applyFont="1" applyBorder="1"/>
    <xf numFmtId="0" fontId="51" fillId="0" borderId="51" xfId="0" applyFont="1" applyBorder="1"/>
    <xf numFmtId="0" fontId="22" fillId="37" borderId="19" xfId="0" applyFont="1" applyFill="1" applyBorder="1"/>
    <xf numFmtId="0" fontId="22" fillId="37" borderId="14" xfId="0" applyFont="1" applyFill="1" applyBorder="1"/>
    <xf numFmtId="0" fontId="25" fillId="24" borderId="1" xfId="0" applyFont="1" applyFill="1" applyBorder="1" applyAlignment="1">
      <alignment horizontal="center"/>
    </xf>
    <xf numFmtId="0" fontId="25" fillId="24" borderId="54" xfId="0" applyFont="1" applyFill="1" applyBorder="1" applyAlignment="1">
      <alignment horizontal="center"/>
    </xf>
    <xf numFmtId="0" fontId="28" fillId="44" borderId="39" xfId="0" applyFont="1" applyFill="1" applyBorder="1" applyAlignment="1">
      <alignment horizontal="center" vertical="center"/>
    </xf>
    <xf numFmtId="0" fontId="27" fillId="0" borderId="55" xfId="0" applyFont="1" applyFill="1" applyBorder="1" applyAlignment="1">
      <alignment horizontal="center" wrapText="1"/>
    </xf>
    <xf numFmtId="0" fontId="25" fillId="0" borderId="108" xfId="0" applyFont="1" applyBorder="1" applyProtection="1">
      <protection locked="0"/>
    </xf>
    <xf numFmtId="0" fontId="25" fillId="27" borderId="108" xfId="0" applyFont="1" applyFill="1" applyBorder="1" applyProtection="1"/>
    <xf numFmtId="0" fontId="25" fillId="0" borderId="118" xfId="0" applyFont="1" applyBorder="1" applyProtection="1">
      <protection locked="0"/>
    </xf>
    <xf numFmtId="0" fontId="25" fillId="0" borderId="54" xfId="0" applyFont="1" applyBorder="1" applyProtection="1">
      <protection locked="0"/>
    </xf>
    <xf numFmtId="0" fontId="25" fillId="0" borderId="48" xfId="0" applyFont="1" applyBorder="1" applyProtection="1">
      <protection locked="0"/>
    </xf>
    <xf numFmtId="0" fontId="0" fillId="0" borderId="64" xfId="0" applyBorder="1" applyAlignment="1">
      <alignment horizontal="center"/>
    </xf>
    <xf numFmtId="0" fontId="0" fillId="0" borderId="109" xfId="0" applyBorder="1"/>
    <xf numFmtId="0" fontId="27" fillId="31" borderId="57" xfId="0" applyFont="1" applyFill="1" applyBorder="1" applyAlignment="1">
      <alignment horizontal="center" wrapText="1"/>
    </xf>
    <xf numFmtId="0" fontId="0" fillId="0" borderId="111" xfId="0" applyBorder="1" applyAlignment="1">
      <alignment horizontal="center"/>
    </xf>
    <xf numFmtId="0" fontId="27" fillId="88" borderId="67" xfId="0" applyFont="1" applyFill="1" applyBorder="1" applyAlignment="1">
      <alignment horizontal="center" wrapText="1"/>
    </xf>
    <xf numFmtId="0" fontId="0" fillId="0" borderId="14" xfId="0" applyBorder="1" applyAlignment="1">
      <alignment horizontal="center"/>
    </xf>
    <xf numFmtId="0" fontId="0" fillId="20" borderId="108" xfId="0" applyFill="1" applyBorder="1"/>
    <xf numFmtId="0" fontId="42" fillId="46" borderId="44" xfId="3" applyFont="1" applyFill="1" applyBorder="1" applyAlignment="1" applyProtection="1">
      <alignment horizontal="center" wrapText="1"/>
      <protection locked="0"/>
    </xf>
    <xf numFmtId="0" fontId="35" fillId="46" borderId="58" xfId="0" applyFont="1" applyFill="1" applyBorder="1" applyAlignment="1" applyProtection="1">
      <alignment wrapText="1"/>
      <protection locked="0"/>
    </xf>
    <xf numFmtId="0" fontId="35" fillId="46" borderId="66" xfId="0" applyFont="1" applyFill="1" applyBorder="1" applyAlignment="1" applyProtection="1">
      <alignment horizontal="center" wrapText="1"/>
      <protection locked="0"/>
    </xf>
    <xf numFmtId="0" fontId="35" fillId="46" borderId="7" xfId="3" applyFont="1" applyFill="1" applyBorder="1" applyAlignment="1" applyProtection="1">
      <alignment horizontal="left" wrapText="1" indent="1"/>
      <protection locked="0"/>
    </xf>
    <xf numFmtId="0" fontId="35" fillId="46" borderId="10" xfId="3" applyFont="1" applyFill="1" applyBorder="1" applyAlignment="1" applyProtection="1">
      <alignment horizontal="center" wrapText="1"/>
      <protection locked="0"/>
    </xf>
    <xf numFmtId="0" fontId="42" fillId="46" borderId="10" xfId="3" applyFont="1" applyFill="1" applyBorder="1" applyAlignment="1" applyProtection="1">
      <alignment horizontal="center" wrapText="1"/>
      <protection locked="0"/>
    </xf>
    <xf numFmtId="0" fontId="24" fillId="21" borderId="57" xfId="3" applyFont="1" applyFill="1" applyBorder="1" applyAlignment="1" applyProtection="1">
      <alignment horizontal="center" vertical="center" wrapText="1"/>
      <protection locked="0"/>
    </xf>
    <xf numFmtId="0" fontId="24" fillId="37" borderId="47" xfId="3" applyFont="1" applyFill="1" applyBorder="1" applyAlignment="1" applyProtection="1">
      <alignment horizontal="center" vertical="center" wrapText="1"/>
      <protection locked="0"/>
    </xf>
    <xf numFmtId="0" fontId="24" fillId="37" borderId="48" xfId="3" applyFont="1" applyFill="1" applyBorder="1" applyAlignment="1" applyProtection="1">
      <alignment horizontal="center" vertical="center" wrapText="1"/>
      <protection locked="0"/>
    </xf>
    <xf numFmtId="0" fontId="24" fillId="21" borderId="32" xfId="0" applyFont="1" applyFill="1" applyBorder="1" applyAlignment="1" applyProtection="1">
      <alignment vertical="top" wrapText="1"/>
      <protection locked="0"/>
    </xf>
    <xf numFmtId="0" fontId="35" fillId="46" borderId="12" xfId="0" applyFont="1" applyFill="1" applyBorder="1" applyAlignment="1" applyProtection="1">
      <alignment horizontal="center" wrapText="1"/>
      <protection locked="0"/>
    </xf>
    <xf numFmtId="0" fontId="24" fillId="21" borderId="64" xfId="3" applyFont="1" applyFill="1" applyBorder="1" applyAlignment="1" applyProtection="1">
      <alignment horizontal="center" vertical="center" wrapText="1"/>
      <protection locked="0"/>
    </xf>
    <xf numFmtId="0" fontId="0" fillId="0" borderId="7" xfId="0" applyFont="1" applyFill="1" applyBorder="1"/>
    <xf numFmtId="0" fontId="51" fillId="0" borderId="34" xfId="0" applyFont="1" applyBorder="1"/>
    <xf numFmtId="0" fontId="22" fillId="0" borderId="121" xfId="0" applyFont="1" applyFill="1" applyBorder="1"/>
    <xf numFmtId="0" fontId="39" fillId="46" borderId="44" xfId="0" applyFont="1" applyFill="1" applyBorder="1" applyAlignment="1">
      <alignment horizontal="center" wrapText="1"/>
    </xf>
    <xf numFmtId="0" fontId="31" fillId="44" borderId="38" xfId="0" applyFont="1" applyFill="1" applyBorder="1" applyAlignment="1">
      <alignment horizontal="center" vertical="center" wrapText="1"/>
    </xf>
    <xf numFmtId="0" fontId="0" fillId="0" borderId="0" xfId="0" applyAlignment="1">
      <alignment horizontal="center"/>
    </xf>
    <xf numFmtId="0" fontId="202" fillId="54" borderId="39" xfId="0" applyFont="1" applyFill="1" applyBorder="1" applyAlignment="1">
      <alignment horizontal="center" vertical="center"/>
    </xf>
    <xf numFmtId="0" fontId="0" fillId="0" borderId="0" xfId="0" applyFill="1" applyAlignment="1">
      <alignment horizontal="center"/>
    </xf>
    <xf numFmtId="0" fontId="0" fillId="54" borderId="39" xfId="0" applyFill="1" applyBorder="1" applyAlignment="1">
      <alignment horizontal="center"/>
    </xf>
    <xf numFmtId="0" fontId="0" fillId="0" borderId="108" xfId="0" applyFill="1" applyBorder="1" applyAlignment="1">
      <alignment horizontal="center"/>
    </xf>
    <xf numFmtId="0" fontId="31" fillId="44" borderId="112" xfId="0" applyFont="1" applyFill="1" applyBorder="1" applyAlignment="1">
      <alignment horizontal="right" vertical="center" wrapText="1"/>
    </xf>
    <xf numFmtId="0" fontId="0" fillId="3" borderId="6" xfId="0" applyFill="1" applyBorder="1" applyAlignment="1">
      <alignment wrapText="1"/>
    </xf>
    <xf numFmtId="0" fontId="27" fillId="54" borderId="112" xfId="0" applyFont="1" applyFill="1" applyBorder="1" applyAlignment="1">
      <alignment horizontal="center" wrapText="1"/>
    </xf>
    <xf numFmtId="0" fontId="27" fillId="54" borderId="112" xfId="12" applyFont="1" applyFill="1" applyBorder="1" applyAlignment="1">
      <alignment horizontal="center" wrapText="1"/>
    </xf>
    <xf numFmtId="0" fontId="22" fillId="27" borderId="10" xfId="6" applyFill="1" applyBorder="1"/>
    <xf numFmtId="0" fontId="22" fillId="27" borderId="10" xfId="6" applyFill="1" applyBorder="1" applyAlignment="1">
      <alignment horizontal="center"/>
    </xf>
    <xf numFmtId="0" fontId="22" fillId="27" borderId="10" xfId="6" applyFill="1" applyBorder="1" applyAlignment="1">
      <alignment horizontal="center" wrapText="1"/>
    </xf>
    <xf numFmtId="0" fontId="24" fillId="43" borderId="5" xfId="3" applyFont="1" applyFill="1" applyBorder="1" applyAlignment="1" applyProtection="1">
      <alignment horizontal="center" vertical="center" wrapText="1"/>
      <protection locked="0"/>
    </xf>
    <xf numFmtId="0" fontId="24" fillId="43" borderId="55" xfId="3" applyFont="1" applyFill="1" applyBorder="1" applyAlignment="1" applyProtection="1">
      <alignment horizontal="center" vertical="center" wrapText="1"/>
      <protection locked="0"/>
    </xf>
    <xf numFmtId="0" fontId="24" fillId="43" borderId="1" xfId="3" applyFont="1" applyFill="1" applyBorder="1" applyAlignment="1" applyProtection="1">
      <alignment horizontal="center" vertical="center" wrapText="1"/>
      <protection locked="0"/>
    </xf>
    <xf numFmtId="0" fontId="187" fillId="40" borderId="42" xfId="3" applyFont="1" applyFill="1" applyBorder="1" applyAlignment="1" applyProtection="1">
      <alignment horizontal="left" wrapText="1" indent="1"/>
      <protection locked="0"/>
    </xf>
    <xf numFmtId="0" fontId="35" fillId="40" borderId="51" xfId="3" applyFont="1" applyFill="1" applyBorder="1" applyAlignment="1" applyProtection="1">
      <alignment horizontal="center" wrapText="1"/>
      <protection locked="0"/>
    </xf>
    <xf numFmtId="0" fontId="42" fillId="40" borderId="51" xfId="3" applyFont="1" applyFill="1" applyBorder="1" applyAlignment="1" applyProtection="1">
      <alignment horizontal="center" wrapText="1"/>
      <protection locked="0"/>
    </xf>
    <xf numFmtId="0" fontId="35" fillId="40" borderId="52" xfId="0" applyFont="1" applyFill="1" applyBorder="1" applyAlignment="1" applyProtection="1">
      <alignment wrapText="1"/>
      <protection locked="0"/>
    </xf>
    <xf numFmtId="0" fontId="35" fillId="40" borderId="52" xfId="0" applyFont="1" applyFill="1" applyBorder="1" applyAlignment="1" applyProtection="1">
      <alignment horizontal="center" wrapText="1"/>
      <protection locked="0"/>
    </xf>
    <xf numFmtId="0" fontId="22" fillId="45" borderId="55" xfId="3" applyFont="1" applyFill="1" applyBorder="1" applyAlignment="1" applyProtection="1">
      <alignment horizontal="center" vertical="center" wrapText="1"/>
      <protection locked="0"/>
    </xf>
    <xf numFmtId="0" fontId="24" fillId="45" borderId="47" xfId="3" applyFont="1" applyFill="1" applyBorder="1" applyAlignment="1" applyProtection="1">
      <alignment horizontal="center" vertical="center" wrapText="1"/>
      <protection locked="0"/>
    </xf>
    <xf numFmtId="0" fontId="22" fillId="45" borderId="54" xfId="3" applyFont="1" applyFill="1" applyBorder="1" applyAlignment="1" applyProtection="1">
      <alignment horizontal="center" vertical="center" wrapText="1"/>
      <protection locked="0"/>
    </xf>
    <xf numFmtId="0" fontId="24" fillId="45" borderId="48" xfId="3" applyFont="1" applyFill="1" applyBorder="1" applyAlignment="1" applyProtection="1">
      <alignment horizontal="center" vertical="center" wrapText="1"/>
      <protection locked="0"/>
    </xf>
    <xf numFmtId="0" fontId="29" fillId="45" borderId="23" xfId="3" applyFill="1" applyBorder="1" applyAlignment="1" applyProtection="1">
      <alignment horizontal="left" vertical="center" wrapText="1" indent="2"/>
      <protection locked="0"/>
    </xf>
    <xf numFmtId="0" fontId="29" fillId="45" borderId="24" xfId="3" applyFill="1" applyBorder="1" applyAlignment="1" applyProtection="1">
      <alignment horizontal="left" vertical="center" wrapText="1" indent="2"/>
      <protection locked="0"/>
    </xf>
    <xf numFmtId="0" fontId="24" fillId="45" borderId="23" xfId="0" applyFont="1" applyFill="1" applyBorder="1" applyAlignment="1" applyProtection="1">
      <alignment vertical="top" wrapText="1"/>
      <protection locked="0"/>
    </xf>
    <xf numFmtId="0" fontId="24" fillId="21" borderId="72" xfId="0" applyFont="1" applyFill="1" applyBorder="1" applyAlignment="1" applyProtection="1">
      <alignment vertical="top" wrapText="1"/>
      <protection locked="0"/>
    </xf>
    <xf numFmtId="0" fontId="24" fillId="21" borderId="48" xfId="0" applyFont="1" applyFill="1" applyBorder="1" applyAlignment="1" applyProtection="1">
      <alignment vertical="top" wrapText="1"/>
      <protection locked="0"/>
    </xf>
    <xf numFmtId="0" fontId="29" fillId="43" borderId="23" xfId="3" applyFont="1" applyFill="1" applyBorder="1" applyAlignment="1" applyProtection="1">
      <alignment horizontal="left" vertical="center" wrapText="1" indent="2"/>
      <protection locked="0"/>
    </xf>
    <xf numFmtId="0" fontId="29" fillId="43" borderId="21" xfId="3" applyFont="1" applyFill="1" applyBorder="1" applyAlignment="1" applyProtection="1">
      <alignment horizontal="left" vertical="center" wrapText="1" indent="2"/>
      <protection locked="0"/>
    </xf>
    <xf numFmtId="0" fontId="29" fillId="43" borderId="21" xfId="3" applyFill="1" applyBorder="1" applyAlignment="1" applyProtection="1">
      <alignment horizontal="left" vertical="center" wrapText="1" indent="2"/>
      <protection locked="0"/>
    </xf>
    <xf numFmtId="0" fontId="29" fillId="43" borderId="22" xfId="3" applyFill="1" applyBorder="1" applyAlignment="1" applyProtection="1">
      <alignment horizontal="left" vertical="center" wrapText="1" indent="2"/>
      <protection locked="0"/>
    </xf>
    <xf numFmtId="0" fontId="29" fillId="43" borderId="45" xfId="3" applyFill="1" applyBorder="1" applyAlignment="1" applyProtection="1">
      <alignment horizontal="left" vertical="top" wrapText="1" indent="2"/>
      <protection locked="0"/>
    </xf>
    <xf numFmtId="0" fontId="24" fillId="43" borderId="55" xfId="3" applyFont="1" applyFill="1" applyBorder="1" applyAlignment="1" applyProtection="1">
      <alignment horizontal="left" vertical="top" wrapText="1"/>
      <protection locked="0"/>
    </xf>
    <xf numFmtId="0" fontId="24" fillId="43" borderId="55" xfId="0" applyFont="1" applyFill="1" applyBorder="1" applyAlignment="1" applyProtection="1">
      <alignment vertical="top" wrapText="1"/>
      <protection locked="0"/>
    </xf>
    <xf numFmtId="0" fontId="24" fillId="43" borderId="1" xfId="3" applyFont="1" applyFill="1" applyBorder="1" applyAlignment="1" applyProtection="1">
      <alignment horizontal="left" vertical="top" wrapText="1"/>
      <protection locked="0"/>
    </xf>
    <xf numFmtId="0" fontId="24" fillId="43" borderId="1" xfId="0" applyFont="1" applyFill="1" applyBorder="1" applyAlignment="1" applyProtection="1">
      <alignment vertical="top" wrapText="1"/>
      <protection locked="0"/>
    </xf>
    <xf numFmtId="0" fontId="24" fillId="43" borderId="5" xfId="0" applyFont="1" applyFill="1" applyBorder="1" applyAlignment="1" applyProtection="1">
      <alignment vertical="top" wrapText="1"/>
      <protection locked="0"/>
    </xf>
    <xf numFmtId="0" fontId="52" fillId="54" borderId="51" xfId="0" applyNumberFormat="1" applyFont="1" applyFill="1" applyBorder="1" applyAlignment="1">
      <alignment horizontal="center"/>
    </xf>
    <xf numFmtId="0" fontId="22" fillId="40" borderId="66" xfId="0" applyFont="1" applyFill="1" applyBorder="1" applyAlignment="1">
      <alignment vertical="top" wrapText="1"/>
    </xf>
    <xf numFmtId="0" fontId="102" fillId="46" borderId="37" xfId="0" applyFont="1" applyFill="1" applyBorder="1" applyAlignment="1">
      <alignment horizontal="left" vertical="center" wrapText="1"/>
    </xf>
    <xf numFmtId="0" fontId="102" fillId="46" borderId="38" xfId="0" applyFont="1" applyFill="1" applyBorder="1" applyAlignment="1">
      <alignment horizontal="left" vertical="center" wrapText="1"/>
    </xf>
    <xf numFmtId="0" fontId="25" fillId="46" borderId="44" xfId="0" applyFont="1" applyFill="1" applyBorder="1" applyAlignment="1">
      <alignment horizontal="center" wrapText="1"/>
    </xf>
    <xf numFmtId="0" fontId="64" fillId="46" borderId="38" xfId="0" applyNumberFormat="1" applyFont="1" applyFill="1" applyBorder="1" applyAlignment="1">
      <alignment horizontal="center"/>
    </xf>
    <xf numFmtId="0" fontId="22" fillId="40" borderId="62" xfId="0" applyFont="1" applyFill="1" applyBorder="1" applyAlignment="1">
      <alignment vertical="center" wrapText="1"/>
    </xf>
    <xf numFmtId="0" fontId="22" fillId="40" borderId="117" xfId="0" applyFont="1" applyFill="1" applyBorder="1" applyAlignment="1">
      <alignment vertical="center" wrapText="1"/>
    </xf>
    <xf numFmtId="0" fontId="64" fillId="46" borderId="47" xfId="0" applyFont="1" applyFill="1" applyBorder="1" applyAlignment="1">
      <alignment wrapText="1"/>
    </xf>
    <xf numFmtId="170" fontId="102" fillId="45" borderId="34" xfId="0" applyNumberFormat="1" applyFont="1" applyFill="1" applyBorder="1" applyAlignment="1">
      <alignment horizontal="center" vertical="center" wrapText="1"/>
    </xf>
    <xf numFmtId="170" fontId="102" fillId="45" borderId="19" xfId="0" applyNumberFormat="1" applyFont="1" applyFill="1" applyBorder="1" applyAlignment="1">
      <alignment horizontal="center" vertical="center" wrapText="1"/>
    </xf>
    <xf numFmtId="0" fontId="27" fillId="46" borderId="48" xfId="0" applyFont="1" applyFill="1" applyBorder="1" applyAlignment="1" applyProtection="1">
      <alignment horizontal="center" wrapText="1"/>
    </xf>
    <xf numFmtId="0" fontId="0" fillId="0" borderId="118" xfId="0" applyBorder="1"/>
    <xf numFmtId="0" fontId="31" fillId="41" borderId="38" xfId="0" applyFont="1" applyFill="1" applyBorder="1" applyAlignment="1">
      <alignment horizontal="left" vertical="center"/>
    </xf>
    <xf numFmtId="0" fontId="0" fillId="41" borderId="0" xfId="0" applyFill="1"/>
    <xf numFmtId="0" fontId="22" fillId="0" borderId="108" xfId="0" applyFont="1" applyFill="1" applyBorder="1" applyAlignment="1">
      <alignment horizontal="left" wrapText="1"/>
    </xf>
    <xf numFmtId="0" fontId="22" fillId="0" borderId="108" xfId="0" applyFont="1" applyFill="1" applyBorder="1" applyAlignment="1"/>
    <xf numFmtId="0" fontId="22" fillId="0" borderId="108" xfId="0" applyFont="1" applyFill="1" applyBorder="1" applyAlignment="1">
      <alignment wrapText="1"/>
    </xf>
    <xf numFmtId="0" fontId="28" fillId="44" borderId="109" xfId="0" applyFont="1" applyFill="1" applyBorder="1" applyAlignment="1" applyProtection="1">
      <alignment horizontal="left" vertical="center" indent="15"/>
    </xf>
    <xf numFmtId="0" fontId="25" fillId="48" borderId="73" xfId="0" applyFont="1" applyFill="1" applyBorder="1" applyAlignment="1">
      <alignment horizontal="center" wrapText="1"/>
    </xf>
    <xf numFmtId="0" fontId="0" fillId="46" borderId="35" xfId="0" applyFill="1" applyBorder="1"/>
    <xf numFmtId="0" fontId="102" fillId="54" borderId="35" xfId="0" applyFont="1" applyFill="1" applyBorder="1" applyAlignment="1">
      <alignment horizontal="center" vertical="center" wrapText="1"/>
    </xf>
    <xf numFmtId="0" fontId="22" fillId="44" borderId="38" xfId="0" applyFont="1" applyFill="1" applyBorder="1" applyAlignment="1">
      <alignment horizontal="center"/>
    </xf>
    <xf numFmtId="14" fontId="22" fillId="0" borderId="108" xfId="0" applyNumberFormat="1" applyFont="1" applyFill="1" applyBorder="1" applyAlignment="1">
      <alignment vertical="center"/>
    </xf>
    <xf numFmtId="0" fontId="22" fillId="0" borderId="108" xfId="0" applyFont="1" applyFill="1" applyBorder="1" applyAlignment="1">
      <alignment vertical="center"/>
    </xf>
    <xf numFmtId="0" fontId="22" fillId="0" borderId="108" xfId="0" applyFont="1" applyFill="1" applyBorder="1" applyAlignment="1">
      <alignment horizontal="center" vertical="center"/>
    </xf>
    <xf numFmtId="0" fontId="22" fillId="0" borderId="108" xfId="0" applyFont="1" applyFill="1" applyBorder="1" applyAlignment="1">
      <alignment vertical="center" wrapText="1"/>
    </xf>
    <xf numFmtId="0" fontId="28" fillId="0" borderId="108" xfId="0" applyFont="1" applyFill="1" applyBorder="1" applyAlignment="1">
      <alignment vertical="center"/>
    </xf>
    <xf numFmtId="0" fontId="27" fillId="20" borderId="108" xfId="0" applyFont="1" applyFill="1" applyBorder="1" applyAlignment="1">
      <alignment horizontal="center" vertical="center"/>
    </xf>
    <xf numFmtId="0" fontId="22" fillId="20" borderId="108" xfId="0" applyFont="1" applyFill="1" applyBorder="1" applyAlignment="1">
      <alignment wrapText="1"/>
    </xf>
    <xf numFmtId="0" fontId="22" fillId="20" borderId="108" xfId="0" applyFont="1" applyFill="1" applyBorder="1" applyAlignment="1"/>
    <xf numFmtId="0" fontId="22" fillId="0" borderId="108" xfId="0" applyFont="1" applyFill="1" applyBorder="1" applyAlignment="1">
      <alignment horizontal="left" vertical="center" wrapText="1"/>
    </xf>
    <xf numFmtId="0" fontId="22" fillId="0" borderId="108" xfId="0" applyFont="1" applyBorder="1" applyAlignment="1">
      <alignment wrapText="1"/>
    </xf>
    <xf numFmtId="0" fontId="27" fillId="46" borderId="108" xfId="0" applyFont="1" applyFill="1" applyBorder="1" applyAlignment="1">
      <alignment horizontal="center"/>
    </xf>
    <xf numFmtId="0" fontId="22" fillId="46" borderId="108" xfId="0" applyFont="1" applyFill="1" applyBorder="1" applyAlignment="1"/>
    <xf numFmtId="14" fontId="22" fillId="0" borderId="108" xfId="0" applyNumberFormat="1" applyFont="1" applyBorder="1"/>
    <xf numFmtId="14" fontId="25" fillId="0" borderId="108" xfId="0" applyNumberFormat="1" applyFont="1" applyBorder="1"/>
    <xf numFmtId="0" fontId="27" fillId="0" borderId="108" xfId="0" applyFont="1" applyFill="1" applyBorder="1" applyAlignment="1">
      <alignment horizontal="center"/>
    </xf>
    <xf numFmtId="14" fontId="22" fillId="0" borderId="108" xfId="0" applyNumberFormat="1" applyFont="1" applyBorder="1" applyAlignment="1">
      <alignment wrapText="1"/>
    </xf>
    <xf numFmtId="14" fontId="0" fillId="0" borderId="108" xfId="0" applyNumberFormat="1" applyBorder="1"/>
    <xf numFmtId="14" fontId="22" fillId="46" borderId="108" xfId="0" applyNumberFormat="1" applyFont="1" applyFill="1" applyBorder="1"/>
    <xf numFmtId="0" fontId="22" fillId="0" borderId="108" xfId="0" quotePrefix="1" applyFont="1" applyFill="1" applyBorder="1" applyAlignment="1">
      <alignment wrapText="1"/>
    </xf>
    <xf numFmtId="14" fontId="22" fillId="0" borderId="108" xfId="0" applyNumberFormat="1" applyFont="1" applyFill="1" applyBorder="1"/>
    <xf numFmtId="14" fontId="25" fillId="0" borderId="108" xfId="0" applyNumberFormat="1" applyFont="1" applyFill="1" applyBorder="1"/>
    <xf numFmtId="0" fontId="25" fillId="0" borderId="108" xfId="0" applyNumberFormat="1" applyFont="1" applyBorder="1" applyAlignment="1">
      <alignment horizontal="center"/>
    </xf>
    <xf numFmtId="14" fontId="22" fillId="0" borderId="108" xfId="0" quotePrefix="1" applyNumberFormat="1" applyFont="1" applyBorder="1" applyAlignment="1">
      <alignment wrapText="1"/>
    </xf>
    <xf numFmtId="14" fontId="91" fillId="0" borderId="108" xfId="0" quotePrefix="1" applyNumberFormat="1" applyFont="1" applyBorder="1" applyAlignment="1">
      <alignment wrapText="1"/>
    </xf>
    <xf numFmtId="14" fontId="22" fillId="0" borderId="108" xfId="0" applyNumberFormat="1" applyFont="1" applyBorder="1" applyAlignment="1">
      <alignment vertical="top" wrapText="1"/>
    </xf>
    <xf numFmtId="14" fontId="0" fillId="0" borderId="108" xfId="0" applyNumberFormat="1" applyBorder="1" applyAlignment="1">
      <alignment wrapText="1"/>
    </xf>
    <xf numFmtId="0" fontId="0" fillId="0" borderId="108" xfId="0" applyNumberFormat="1" applyBorder="1" applyAlignment="1">
      <alignment horizontal="center"/>
    </xf>
    <xf numFmtId="14" fontId="25" fillId="0" borderId="108" xfId="0" applyNumberFormat="1" applyFont="1" applyBorder="1" applyAlignment="1">
      <alignment vertical="center"/>
    </xf>
    <xf numFmtId="14" fontId="25" fillId="0" borderId="108" xfId="0" applyNumberFormat="1" applyFont="1" applyBorder="1" applyAlignment="1">
      <alignment horizontal="center" vertical="center"/>
    </xf>
    <xf numFmtId="14" fontId="64" fillId="0" borderId="108" xfId="0" applyNumberFormat="1" applyFont="1" applyBorder="1" applyAlignment="1">
      <alignment wrapText="1"/>
    </xf>
    <xf numFmtId="14" fontId="25" fillId="0" borderId="108" xfId="0" applyNumberFormat="1" applyFont="1" applyBorder="1" applyAlignment="1">
      <alignment wrapText="1"/>
    </xf>
    <xf numFmtId="14" fontId="91" fillId="0" borderId="108" xfId="0" applyNumberFormat="1" applyFont="1" applyBorder="1"/>
    <xf numFmtId="0" fontId="152" fillId="0" borderId="108" xfId="0" applyNumberFormat="1" applyFont="1" applyBorder="1" applyAlignment="1">
      <alignment horizontal="center"/>
    </xf>
    <xf numFmtId="14" fontId="152" fillId="0" borderId="108" xfId="0" applyNumberFormat="1" applyFont="1" applyBorder="1" applyAlignment="1">
      <alignment wrapText="1"/>
    </xf>
    <xf numFmtId="0" fontId="22" fillId="0" borderId="108" xfId="0" applyNumberFormat="1" applyFont="1" applyBorder="1" applyAlignment="1">
      <alignment horizontal="center"/>
    </xf>
    <xf numFmtId="0" fontId="91" fillId="0" borderId="108" xfId="0" applyFont="1" applyBorder="1"/>
    <xf numFmtId="0" fontId="91" fillId="0" borderId="108" xfId="0" applyNumberFormat="1" applyFont="1" applyBorder="1" applyAlignment="1">
      <alignment horizontal="center"/>
    </xf>
    <xf numFmtId="0" fontId="89" fillId="0" borderId="108" xfId="0" applyFont="1" applyBorder="1"/>
    <xf numFmtId="14" fontId="89" fillId="0" borderId="108" xfId="0" applyNumberFormat="1" applyFont="1" applyBorder="1"/>
    <xf numFmtId="0" fontId="89" fillId="0" borderId="108" xfId="0" applyFont="1" applyBorder="1" applyAlignment="1">
      <alignment horizontal="center"/>
    </xf>
    <xf numFmtId="0" fontId="91" fillId="0" borderId="108" xfId="0" applyFont="1" applyBorder="1" applyAlignment="1">
      <alignment horizontal="center"/>
    </xf>
    <xf numFmtId="14" fontId="89" fillId="0" borderId="108" xfId="0" applyNumberFormat="1" applyFont="1" applyBorder="1" applyAlignment="1">
      <alignment horizontal="center"/>
    </xf>
    <xf numFmtId="14" fontId="89" fillId="0" borderId="108" xfId="0" applyNumberFormat="1" applyFont="1" applyBorder="1" applyAlignment="1">
      <alignment vertical="center"/>
    </xf>
    <xf numFmtId="0" fontId="89" fillId="0" borderId="108" xfId="0" applyFont="1" applyBorder="1" applyAlignment="1">
      <alignment vertical="center"/>
    </xf>
    <xf numFmtId="0" fontId="89" fillId="0" borderId="108" xfId="0" applyFont="1" applyBorder="1" applyAlignment="1">
      <alignment horizontal="center" vertical="center"/>
    </xf>
    <xf numFmtId="0" fontId="89" fillId="0" borderId="108" xfId="0" applyFont="1" applyBorder="1" applyAlignment="1">
      <alignment wrapText="1"/>
    </xf>
    <xf numFmtId="0" fontId="22" fillId="0" borderId="108" xfId="0" applyFont="1" applyBorder="1"/>
    <xf numFmtId="0" fontId="91" fillId="0" borderId="108" xfId="0" applyFont="1" applyFill="1" applyBorder="1" applyAlignment="1">
      <alignment wrapText="1"/>
    </xf>
    <xf numFmtId="0" fontId="22" fillId="46" borderId="108" xfId="0" applyFont="1" applyFill="1" applyBorder="1"/>
    <xf numFmtId="0" fontId="0" fillId="46" borderId="108" xfId="0" applyFill="1" applyBorder="1"/>
    <xf numFmtId="14" fontId="152" fillId="0" borderId="108" xfId="0" applyNumberFormat="1" applyFont="1" applyBorder="1"/>
    <xf numFmtId="0" fontId="95" fillId="0" borderId="108" xfId="0" applyFont="1" applyFill="1" applyBorder="1" applyAlignment="1">
      <alignment horizontal="center"/>
    </xf>
    <xf numFmtId="14" fontId="0" fillId="0" borderId="108" xfId="0" applyNumberFormat="1" applyFill="1" applyBorder="1"/>
    <xf numFmtId="14" fontId="91" fillId="0" borderId="108" xfId="0" applyNumberFormat="1" applyFont="1" applyFill="1" applyBorder="1"/>
    <xf numFmtId="0" fontId="22" fillId="0" borderId="108" xfId="0" applyFont="1" applyBorder="1" applyAlignment="1">
      <alignment horizontal="left"/>
    </xf>
    <xf numFmtId="0" fontId="22" fillId="0" borderId="108" xfId="0" applyFont="1" applyBorder="1" applyAlignment="1">
      <alignment horizontal="center"/>
    </xf>
    <xf numFmtId="0" fontId="0" fillId="0" borderId="108" xfId="0" applyBorder="1" applyAlignment="1">
      <alignment horizontal="center"/>
    </xf>
    <xf numFmtId="14" fontId="0" fillId="0" borderId="108" xfId="0" applyNumberFormat="1" applyBorder="1" applyAlignment="1">
      <alignment horizontal="center"/>
    </xf>
    <xf numFmtId="14" fontId="27" fillId="0" borderId="108" xfId="0" applyNumberFormat="1" applyFont="1" applyFill="1" applyBorder="1" applyAlignment="1">
      <alignment horizontal="center" vertical="center"/>
    </xf>
    <xf numFmtId="0" fontId="23" fillId="0" borderId="108" xfId="0" applyFont="1" applyFill="1" applyBorder="1" applyAlignment="1">
      <alignment horizontal="center" vertical="center"/>
    </xf>
    <xf numFmtId="0" fontId="22" fillId="0" borderId="108" xfId="0" applyFont="1" applyFill="1" applyBorder="1" applyAlignment="1">
      <alignment horizontal="left" vertical="center"/>
    </xf>
    <xf numFmtId="14" fontId="22" fillId="0" borderId="108" xfId="0" applyNumberFormat="1" applyFont="1" applyFill="1" applyBorder="1" applyAlignment="1">
      <alignment horizontal="center" vertical="center"/>
    </xf>
    <xf numFmtId="14" fontId="27" fillId="0" borderId="108" xfId="0" applyNumberFormat="1" applyFont="1" applyBorder="1"/>
    <xf numFmtId="0" fontId="23" fillId="0" borderId="108" xfId="0" applyFont="1" applyFill="1" applyBorder="1" applyAlignment="1">
      <alignment horizontal="left" vertical="center"/>
    </xf>
    <xf numFmtId="14" fontId="23" fillId="0" borderId="108" xfId="0" applyNumberFormat="1" applyFont="1" applyBorder="1"/>
    <xf numFmtId="0" fontId="23" fillId="0" borderId="108" xfId="0" applyFont="1" applyBorder="1" applyAlignment="1">
      <alignment horizontal="center"/>
    </xf>
    <xf numFmtId="0" fontId="23" fillId="0" borderId="108" xfId="0" applyFont="1" applyBorder="1"/>
    <xf numFmtId="0" fontId="27" fillId="46" borderId="108" xfId="0" applyFont="1" applyFill="1" applyBorder="1" applyAlignment="1">
      <alignment horizontal="center" vertical="top"/>
    </xf>
    <xf numFmtId="0" fontId="0" fillId="46" borderId="108" xfId="0" applyFill="1" applyBorder="1" applyAlignment="1">
      <alignment horizontal="left" vertical="top" wrapText="1"/>
    </xf>
    <xf numFmtId="0" fontId="0" fillId="0" borderId="108" xfId="0" applyBorder="1" applyAlignment="1">
      <alignment horizontal="center" vertical="top"/>
    </xf>
    <xf numFmtId="0" fontId="23" fillId="0" borderId="108" xfId="0" applyFont="1" applyBorder="1" applyAlignment="1">
      <alignment horizontal="left" wrapText="1"/>
    </xf>
    <xf numFmtId="0" fontId="23" fillId="0" borderId="108" xfId="0" applyFont="1" applyBorder="1" applyAlignment="1">
      <alignment horizontal="left"/>
    </xf>
    <xf numFmtId="14" fontId="0" fillId="0" borderId="108" xfId="0" applyNumberFormat="1" applyBorder="1" applyAlignment="1">
      <alignment horizontal="left" vertical="top"/>
    </xf>
    <xf numFmtId="0" fontId="0" fillId="0" borderId="108" xfId="0" applyBorder="1" applyAlignment="1">
      <alignment horizontal="left" vertical="top" wrapText="1"/>
    </xf>
    <xf numFmtId="0" fontId="0" fillId="0" borderId="108" xfId="0" applyFill="1" applyBorder="1" applyAlignment="1">
      <alignment horizontal="left" vertical="top" wrapText="1"/>
    </xf>
    <xf numFmtId="0" fontId="23" fillId="0" borderId="108" xfId="0" applyFont="1" applyBorder="1" applyAlignment="1">
      <alignment horizontal="left" vertical="top" wrapText="1"/>
    </xf>
    <xf numFmtId="14" fontId="25" fillId="0" borderId="108" xfId="0" applyNumberFormat="1" applyFont="1" applyBorder="1" applyAlignment="1">
      <alignment horizontal="left" vertical="top"/>
    </xf>
    <xf numFmtId="0" fontId="27" fillId="0" borderId="108" xfId="0" applyFont="1" applyBorder="1" applyAlignment="1">
      <alignment horizontal="left" vertical="top" wrapText="1"/>
    </xf>
    <xf numFmtId="14" fontId="0" fillId="46" borderId="108" xfId="0" applyNumberFormat="1" applyFill="1" applyBorder="1"/>
    <xf numFmtId="14" fontId="25" fillId="46" borderId="108" xfId="0" applyNumberFormat="1" applyFont="1" applyFill="1" applyBorder="1"/>
    <xf numFmtId="0" fontId="0" fillId="46" borderId="108" xfId="0" applyFill="1" applyBorder="1" applyAlignment="1">
      <alignment horizontal="center"/>
    </xf>
    <xf numFmtId="0" fontId="27" fillId="31" borderId="38" xfId="0" applyFont="1" applyFill="1" applyBorder="1" applyAlignment="1">
      <alignment horizontal="center" wrapText="1"/>
    </xf>
    <xf numFmtId="0" fontId="27" fillId="31" borderId="112" xfId="0" applyFont="1" applyFill="1" applyBorder="1" applyAlignment="1">
      <alignment horizontal="center"/>
    </xf>
    <xf numFmtId="0" fontId="0" fillId="44" borderId="0" xfId="0" applyFill="1" applyAlignment="1">
      <alignment horizontal="center"/>
    </xf>
    <xf numFmtId="0" fontId="27" fillId="44" borderId="39" xfId="0" applyFont="1" applyFill="1" applyBorder="1" applyAlignment="1">
      <alignment horizontal="center" vertical="center" wrapText="1"/>
    </xf>
    <xf numFmtId="0" fontId="219" fillId="0" borderId="49" xfId="0" applyFont="1" applyFill="1" applyBorder="1" applyAlignment="1">
      <alignment horizontal="right" vertical="center"/>
    </xf>
    <xf numFmtId="0" fontId="45" fillId="44" borderId="0" xfId="0" applyFont="1" applyFill="1" applyBorder="1" applyAlignment="1">
      <alignment horizontal="left" vertical="center" wrapText="1" indent="25"/>
    </xf>
    <xf numFmtId="0" fontId="0" fillId="24" borderId="21" xfId="0" applyFill="1" applyBorder="1"/>
    <xf numFmtId="0" fontId="0" fillId="24" borderId="24" xfId="0" applyFill="1" applyBorder="1"/>
    <xf numFmtId="0" fontId="0" fillId="42" borderId="108" xfId="0" applyFill="1" applyBorder="1"/>
    <xf numFmtId="0" fontId="0" fillId="40" borderId="19" xfId="0" applyFill="1" applyBorder="1"/>
    <xf numFmtId="0" fontId="0" fillId="40" borderId="14" xfId="0" applyFill="1" applyBorder="1"/>
    <xf numFmtId="0" fontId="28" fillId="44" borderId="39" xfId="0" applyFont="1" applyFill="1" applyBorder="1" applyAlignment="1">
      <alignment horizontal="center" vertical="center"/>
    </xf>
    <xf numFmtId="0" fontId="89" fillId="20" borderId="108" xfId="0" applyFont="1" applyFill="1" applyBorder="1" applyAlignment="1">
      <alignment horizontal="left" vertical="center" wrapText="1"/>
    </xf>
    <xf numFmtId="0" fontId="22" fillId="0" borderId="108" xfId="0" applyFont="1" applyBorder="1" applyAlignment="1">
      <alignment horizontal="center" vertical="center" wrapText="1"/>
    </xf>
    <xf numFmtId="0" fontId="89" fillId="3" borderId="108" xfId="0" applyFont="1" applyFill="1" applyBorder="1" applyAlignment="1">
      <alignment horizontal="left" vertical="center" wrapText="1"/>
    </xf>
    <xf numFmtId="0" fontId="39" fillId="31" borderId="23" xfId="0" applyFont="1" applyFill="1" applyBorder="1" applyAlignment="1">
      <alignment horizontal="left"/>
    </xf>
    <xf numFmtId="0" fontId="39" fillId="31" borderId="55" xfId="0" applyFont="1" applyFill="1" applyBorder="1" applyAlignment="1">
      <alignment horizontal="left"/>
    </xf>
    <xf numFmtId="0" fontId="39" fillId="31" borderId="55" xfId="0" applyFont="1" applyFill="1" applyBorder="1" applyAlignment="1">
      <alignment horizontal="center" wrapText="1"/>
    </xf>
    <xf numFmtId="0" fontId="39" fillId="31" borderId="55" xfId="0" applyFont="1" applyFill="1" applyBorder="1" applyAlignment="1">
      <alignment horizontal="left" wrapText="1"/>
    </xf>
    <xf numFmtId="0" fontId="39" fillId="31" borderId="55" xfId="0" applyFont="1" applyFill="1" applyBorder="1" applyAlignment="1">
      <alignment horizontal="center"/>
    </xf>
    <xf numFmtId="0" fontId="102" fillId="40" borderId="28" xfId="0" applyFont="1" applyFill="1" applyBorder="1" applyAlignment="1">
      <alignment horizontal="left" vertical="center" wrapText="1"/>
    </xf>
    <xf numFmtId="0" fontId="27" fillId="31" borderId="17" xfId="0" applyFont="1" applyFill="1" applyBorder="1" applyAlignment="1">
      <alignment horizontal="center" wrapText="1"/>
    </xf>
    <xf numFmtId="0" fontId="22" fillId="31" borderId="115" xfId="0" applyFont="1" applyFill="1" applyBorder="1" applyAlignment="1">
      <alignment vertical="top" wrapText="1"/>
    </xf>
    <xf numFmtId="0" fontId="27" fillId="31" borderId="115" xfId="0" applyFont="1" applyFill="1" applyBorder="1" applyAlignment="1">
      <alignment horizontal="center" vertical="top" wrapText="1"/>
    </xf>
    <xf numFmtId="0" fontId="102" fillId="40" borderId="116" xfId="0" applyFont="1" applyFill="1" applyBorder="1" applyAlignment="1">
      <alignment horizontal="left" vertical="center" wrapText="1"/>
    </xf>
    <xf numFmtId="0" fontId="102" fillId="40" borderId="115" xfId="0" applyFont="1" applyFill="1" applyBorder="1" applyAlignment="1">
      <alignment horizontal="left" vertical="center" wrapText="1"/>
    </xf>
    <xf numFmtId="0" fontId="102" fillId="40" borderId="105" xfId="0" applyFont="1" applyFill="1" applyBorder="1" applyAlignment="1">
      <alignment horizontal="left" vertical="center" wrapText="1"/>
    </xf>
    <xf numFmtId="0" fontId="27" fillId="31" borderId="55" xfId="0" applyFont="1" applyFill="1" applyBorder="1" applyAlignment="1">
      <alignment horizontal="center" wrapText="1"/>
    </xf>
    <xf numFmtId="0" fontId="27" fillId="31" borderId="73" xfId="0" applyFont="1" applyFill="1" applyBorder="1" applyAlignment="1">
      <alignment horizontal="center" wrapText="1"/>
    </xf>
    <xf numFmtId="0" fontId="27" fillId="54" borderId="73" xfId="0" applyFont="1" applyFill="1" applyBorder="1" applyAlignment="1">
      <alignment horizontal="center" wrapText="1"/>
    </xf>
    <xf numFmtId="1" fontId="24" fillId="27" borderId="1" xfId="0" applyNumberFormat="1" applyFont="1" applyFill="1" applyBorder="1" applyAlignment="1">
      <alignment horizontal="left" vertical="top" wrapText="1"/>
    </xf>
    <xf numFmtId="0" fontId="24" fillId="27" borderId="1" xfId="0" applyFont="1" applyFill="1" applyBorder="1" applyAlignment="1">
      <alignment horizontal="left" vertical="top" wrapText="1"/>
    </xf>
    <xf numFmtId="0" fontId="24" fillId="27" borderId="18" xfId="0" applyFont="1" applyFill="1" applyBorder="1" applyAlignment="1">
      <alignment horizontal="left" vertical="top" wrapText="1"/>
    </xf>
    <xf numFmtId="0" fontId="27" fillId="21" borderId="41" xfId="12" applyFont="1" applyFill="1" applyBorder="1" applyAlignment="1">
      <alignment horizontal="center"/>
    </xf>
    <xf numFmtId="0" fontId="27" fillId="21" borderId="48" xfId="12" applyFont="1" applyFill="1" applyBorder="1" applyAlignment="1">
      <alignment horizontal="center"/>
    </xf>
    <xf numFmtId="0" fontId="22" fillId="27" borderId="21" xfId="12" applyFill="1" applyBorder="1" applyAlignment="1">
      <alignment horizontal="center"/>
    </xf>
    <xf numFmtId="0" fontId="22" fillId="27" borderId="55" xfId="12" applyFill="1" applyBorder="1" applyAlignment="1">
      <alignment horizontal="center"/>
    </xf>
    <xf numFmtId="0" fontId="22" fillId="27" borderId="1" xfId="12" applyFill="1" applyBorder="1" applyAlignment="1">
      <alignment horizontal="center"/>
    </xf>
    <xf numFmtId="0" fontId="22" fillId="27" borderId="24" xfId="12" applyFill="1" applyBorder="1" applyAlignment="1">
      <alignment horizontal="center"/>
    </xf>
    <xf numFmtId="0" fontId="22" fillId="27" borderId="54" xfId="12" applyFill="1" applyBorder="1" applyAlignment="1">
      <alignment horizontal="center"/>
    </xf>
    <xf numFmtId="0" fontId="22" fillId="27" borderId="47" xfId="12" applyFill="1" applyBorder="1" applyAlignment="1">
      <alignment horizontal="center"/>
    </xf>
    <xf numFmtId="0" fontId="230" fillId="32" borderId="21" xfId="3" applyFont="1" applyFill="1" applyBorder="1" applyAlignment="1" applyProtection="1">
      <alignment horizontal="left" vertical="center" wrapText="1" indent="2"/>
      <protection locked="0"/>
    </xf>
    <xf numFmtId="0" fontId="142" fillId="45" borderId="21" xfId="0" applyFont="1" applyFill="1" applyBorder="1" applyAlignment="1" applyProtection="1">
      <alignment horizontal="left"/>
    </xf>
    <xf numFmtId="0" fontId="142" fillId="45" borderId="21" xfId="0" applyFont="1" applyFill="1" applyBorder="1" applyAlignment="1" applyProtection="1">
      <alignment horizontal="left" wrapText="1"/>
    </xf>
    <xf numFmtId="0" fontId="0" fillId="24" borderId="17" xfId="0" applyFill="1" applyBorder="1" applyAlignment="1">
      <alignment wrapText="1"/>
    </xf>
    <xf numFmtId="0" fontId="0" fillId="24" borderId="74" xfId="0" applyFill="1" applyBorder="1"/>
    <xf numFmtId="168" fontId="0" fillId="24" borderId="74" xfId="0" applyNumberFormat="1" applyFill="1" applyBorder="1" applyAlignment="1">
      <alignment horizontal="center"/>
    </xf>
    <xf numFmtId="0" fontId="22" fillId="24" borderId="18" xfId="0" applyFont="1" applyFill="1" applyBorder="1" applyAlignment="1">
      <alignment wrapText="1"/>
    </xf>
    <xf numFmtId="168" fontId="0" fillId="24" borderId="41" xfId="0" applyNumberFormat="1" applyFill="1" applyBorder="1" applyAlignment="1">
      <alignment horizontal="center"/>
    </xf>
    <xf numFmtId="0" fontId="0" fillId="24" borderId="18" xfId="0" applyFill="1" applyBorder="1" applyAlignment="1">
      <alignment wrapText="1"/>
    </xf>
    <xf numFmtId="0" fontId="0" fillId="24" borderId="18" xfId="0" applyFill="1" applyBorder="1"/>
    <xf numFmtId="0" fontId="0" fillId="24" borderId="33" xfId="0" applyFill="1" applyBorder="1"/>
    <xf numFmtId="0" fontId="0" fillId="24" borderId="48" xfId="0" applyFill="1" applyBorder="1"/>
    <xf numFmtId="0" fontId="22" fillId="24" borderId="54" xfId="0" applyNumberFormat="1" applyFont="1" applyFill="1" applyBorder="1" applyAlignment="1">
      <alignment horizontal="center" vertical="center" wrapText="1"/>
    </xf>
    <xf numFmtId="0" fontId="52" fillId="20" borderId="113" xfId="4" applyFont="1" applyFill="1" applyBorder="1" applyAlignment="1">
      <alignment horizontal="center" wrapText="1"/>
    </xf>
    <xf numFmtId="0" fontId="27" fillId="4" borderId="10" xfId="0" applyFont="1" applyFill="1" applyBorder="1" applyAlignment="1">
      <alignment horizontal="center" wrapText="1"/>
    </xf>
    <xf numFmtId="0" fontId="27" fillId="4" borderId="10" xfId="0" applyFont="1" applyFill="1" applyBorder="1" applyAlignment="1">
      <alignment horizontal="center"/>
    </xf>
    <xf numFmtId="0" fontId="27" fillId="48" borderId="10" xfId="1725" applyFont="1" applyFill="1" applyBorder="1" applyAlignment="1">
      <alignment horizontal="center" wrapText="1"/>
    </xf>
    <xf numFmtId="0" fontId="27" fillId="88" borderId="10" xfId="0" applyFont="1" applyFill="1" applyBorder="1" applyAlignment="1">
      <alignment horizontal="center" wrapText="1"/>
    </xf>
    <xf numFmtId="0" fontId="27" fillId="4" borderId="10" xfId="0" applyFont="1" applyFill="1" applyBorder="1" applyAlignment="1">
      <alignment wrapText="1"/>
    </xf>
    <xf numFmtId="0" fontId="27" fillId="4" borderId="72" xfId="0" applyFont="1" applyFill="1" applyBorder="1" applyAlignment="1">
      <alignment horizontal="center" wrapText="1"/>
    </xf>
    <xf numFmtId="0" fontId="27" fillId="4" borderId="10" xfId="0" applyFont="1" applyFill="1" applyBorder="1" applyAlignment="1">
      <alignment horizontal="left" wrapText="1"/>
    </xf>
    <xf numFmtId="0" fontId="43" fillId="27" borderId="1" xfId="0" applyFont="1" applyFill="1" applyBorder="1" applyAlignment="1" applyProtection="1">
      <alignment horizontal="center"/>
    </xf>
    <xf numFmtId="0" fontId="43" fillId="27" borderId="54" xfId="0" applyFont="1" applyFill="1" applyBorder="1" applyAlignment="1" applyProtection="1">
      <alignment horizontal="center"/>
    </xf>
    <xf numFmtId="0" fontId="0" fillId="0" borderId="0" xfId="0" applyAlignment="1">
      <alignment horizontal="center"/>
    </xf>
    <xf numFmtId="0" fontId="22" fillId="31" borderId="112" xfId="6" applyFont="1" applyFill="1" applyBorder="1"/>
    <xf numFmtId="0" fontId="89" fillId="31" borderId="112" xfId="0" applyFont="1" applyFill="1" applyBorder="1" applyAlignment="1">
      <alignment horizontal="center"/>
    </xf>
    <xf numFmtId="0" fontId="52" fillId="4" borderId="23" xfId="0" applyFont="1" applyFill="1" applyBorder="1" applyAlignment="1" applyProtection="1">
      <alignment horizontal="center"/>
    </xf>
    <xf numFmtId="0" fontId="52" fillId="4" borderId="55" xfId="0" applyFont="1" applyFill="1" applyBorder="1" applyAlignment="1" applyProtection="1">
      <alignment horizontal="center"/>
    </xf>
    <xf numFmtId="0" fontId="52" fillId="4" borderId="47" xfId="0" applyFont="1" applyFill="1" applyBorder="1" applyAlignment="1" applyProtection="1">
      <alignment horizontal="center"/>
    </xf>
    <xf numFmtId="0" fontId="0" fillId="0" borderId="0" xfId="0" applyAlignment="1">
      <alignment horizontal="center"/>
    </xf>
    <xf numFmtId="0" fontId="67" fillId="3" borderId="108" xfId="0" applyFont="1" applyFill="1" applyBorder="1" applyAlignment="1">
      <alignment horizontal="left"/>
    </xf>
    <xf numFmtId="0" fontId="25" fillId="0" borderId="108" xfId="0" applyFont="1" applyBorder="1" applyAlignment="1">
      <alignment horizontal="left"/>
    </xf>
    <xf numFmtId="0" fontId="25" fillId="0" borderId="108" xfId="0" applyFont="1" applyBorder="1" applyAlignment="1">
      <alignment horizontal="center"/>
    </xf>
    <xf numFmtId="0" fontId="25" fillId="0" borderId="108" xfId="0" applyFont="1" applyBorder="1" applyAlignment="1" applyProtection="1">
      <alignment horizontal="left" wrapText="1"/>
    </xf>
    <xf numFmtId="0" fontId="25" fillId="20" borderId="108" xfId="0" applyFont="1" applyFill="1" applyBorder="1" applyAlignment="1" applyProtection="1">
      <alignment horizontal="left" wrapText="1"/>
    </xf>
    <xf numFmtId="0" fontId="25" fillId="0" borderId="108" xfId="0" applyNumberFormat="1" applyFont="1" applyBorder="1" applyAlignment="1">
      <alignment horizontal="left" wrapText="1"/>
    </xf>
    <xf numFmtId="0" fontId="25" fillId="49" borderId="108" xfId="0" applyFont="1" applyFill="1" applyBorder="1" applyAlignment="1">
      <alignment horizontal="left"/>
    </xf>
    <xf numFmtId="0" fontId="39" fillId="46" borderId="55" xfId="0" applyFont="1" applyFill="1" applyBorder="1" applyAlignment="1">
      <alignment horizontal="center" wrapText="1"/>
    </xf>
    <xf numFmtId="0" fontId="39" fillId="87" borderId="55" xfId="0" applyFont="1" applyFill="1" applyBorder="1" applyAlignment="1">
      <alignment horizontal="center" wrapText="1"/>
    </xf>
    <xf numFmtId="0" fontId="41" fillId="3" borderId="118" xfId="0" applyFont="1" applyFill="1" applyBorder="1" applyAlignment="1">
      <alignment horizontal="left"/>
    </xf>
    <xf numFmtId="0" fontId="25" fillId="0" borderId="118" xfId="0" applyFont="1" applyFill="1" applyBorder="1" applyAlignment="1">
      <alignment horizontal="left"/>
    </xf>
    <xf numFmtId="0" fontId="89" fillId="34" borderId="108" xfId="0" applyFont="1" applyFill="1" applyBorder="1" applyAlignment="1">
      <alignment horizontal="left" vertical="center" wrapText="1"/>
    </xf>
    <xf numFmtId="0" fontId="89" fillId="34" borderId="108" xfId="0" applyFont="1" applyFill="1" applyBorder="1" applyAlignment="1">
      <alignment vertical="center"/>
    </xf>
    <xf numFmtId="0" fontId="22" fillId="20" borderId="108" xfId="0" quotePrefix="1" applyFont="1" applyFill="1" applyBorder="1" applyAlignment="1">
      <alignment wrapText="1"/>
    </xf>
    <xf numFmtId="0" fontId="22" fillId="0" borderId="0" xfId="0" applyFont="1" applyFill="1" applyAlignment="1"/>
    <xf numFmtId="0" fontId="27" fillId="4" borderId="54" xfId="0" applyFont="1" applyFill="1" applyBorder="1" applyAlignment="1">
      <alignment horizontal="center" wrapText="1"/>
    </xf>
    <xf numFmtId="0" fontId="241" fillId="0" borderId="109" xfId="0" applyFont="1" applyFill="1" applyBorder="1" applyAlignment="1">
      <alignment horizontal="center" vertical="center" wrapText="1"/>
    </xf>
    <xf numFmtId="0" fontId="241" fillId="0" borderId="116" xfId="0" applyFont="1" applyFill="1" applyBorder="1" applyAlignment="1">
      <alignment horizontal="center" vertical="center" wrapText="1"/>
    </xf>
    <xf numFmtId="0" fontId="0" fillId="27" borderId="108" xfId="0" applyFill="1" applyBorder="1"/>
    <xf numFmtId="0" fontId="22" fillId="40" borderId="49" xfId="0" applyFont="1" applyFill="1" applyBorder="1" applyAlignment="1">
      <alignment horizontal="left" vertical="center" wrapText="1"/>
    </xf>
    <xf numFmtId="0" fontId="31" fillId="21" borderId="6" xfId="0" applyFont="1" applyFill="1" applyBorder="1" applyAlignment="1">
      <alignment horizontal="center" vertical="center" wrapText="1"/>
    </xf>
    <xf numFmtId="0" fontId="31" fillId="21" borderId="74" xfId="0" applyFont="1" applyFill="1" applyBorder="1" applyAlignment="1">
      <alignment horizontal="center" vertical="center" wrapText="1"/>
    </xf>
    <xf numFmtId="0" fontId="22" fillId="40" borderId="114" xfId="0" applyFont="1" applyFill="1" applyBorder="1" applyAlignment="1">
      <alignment horizontal="left" vertical="center" wrapText="1"/>
    </xf>
    <xf numFmtId="0" fontId="31" fillId="21" borderId="111" xfId="0" applyFont="1" applyFill="1" applyBorder="1" applyAlignment="1">
      <alignment horizontal="center" vertical="center" wrapText="1"/>
    </xf>
    <xf numFmtId="0" fontId="31" fillId="21" borderId="108" xfId="0" applyFont="1" applyFill="1" applyBorder="1" applyAlignment="1">
      <alignment horizontal="center" vertical="center" wrapText="1"/>
    </xf>
    <xf numFmtId="0" fontId="0" fillId="21" borderId="108" xfId="0" applyFill="1" applyBorder="1"/>
    <xf numFmtId="0" fontId="0" fillId="3" borderId="1" xfId="0" applyFill="1" applyBorder="1" applyAlignment="1">
      <alignment horizontal="center" wrapText="1"/>
    </xf>
    <xf numFmtId="0" fontId="0" fillId="3" borderId="54" xfId="0" applyFill="1" applyBorder="1" applyAlignment="1">
      <alignment horizontal="center" wrapText="1"/>
    </xf>
    <xf numFmtId="0" fontId="0" fillId="0" borderId="0" xfId="0" applyAlignment="1">
      <alignment horizontal="center"/>
    </xf>
    <xf numFmtId="0" fontId="22" fillId="21" borderId="117" xfId="0" applyFont="1" applyFill="1" applyBorder="1" applyAlignment="1">
      <alignment horizontal="center" wrapText="1"/>
    </xf>
    <xf numFmtId="0" fontId="27" fillId="31" borderId="7" xfId="0" applyFont="1" applyFill="1" applyBorder="1" applyAlignment="1">
      <alignment vertical="center" wrapText="1"/>
    </xf>
    <xf numFmtId="0" fontId="27" fillId="31" borderId="13" xfId="0" applyFont="1" applyFill="1" applyBorder="1" applyAlignment="1">
      <alignment vertical="center" wrapText="1"/>
    </xf>
    <xf numFmtId="0" fontId="27" fillId="31" borderId="11" xfId="0" applyFont="1" applyFill="1" applyBorder="1" applyAlignment="1">
      <alignment vertical="center" wrapText="1"/>
    </xf>
    <xf numFmtId="0" fontId="240" fillId="20" borderId="67" xfId="0" applyFont="1" applyFill="1" applyBorder="1" applyAlignment="1">
      <alignment horizontal="center"/>
    </xf>
    <xf numFmtId="0" fontId="240" fillId="20" borderId="40" xfId="0" applyFont="1" applyFill="1" applyBorder="1" applyAlignment="1">
      <alignment horizontal="center" wrapText="1"/>
    </xf>
    <xf numFmtId="0" fontId="240" fillId="0" borderId="34" xfId="0" applyFont="1" applyFill="1" applyBorder="1" applyAlignment="1">
      <alignment horizontal="center"/>
    </xf>
    <xf numFmtId="0" fontId="240" fillId="0" borderId="62" xfId="0" applyFont="1" applyBorder="1" applyAlignment="1">
      <alignment horizontal="center" wrapText="1"/>
    </xf>
    <xf numFmtId="0" fontId="240" fillId="0" borderId="36" xfId="0" applyFont="1" applyBorder="1" applyAlignment="1">
      <alignment horizontal="center" wrapText="1"/>
    </xf>
    <xf numFmtId="0" fontId="240" fillId="0" borderId="12" xfId="0" applyFont="1" applyFill="1" applyBorder="1" applyAlignment="1">
      <alignment horizontal="center"/>
    </xf>
    <xf numFmtId="0" fontId="240" fillId="0" borderId="75" xfId="0" applyFont="1" applyFill="1" applyBorder="1" applyAlignment="1">
      <alignment horizontal="center"/>
    </xf>
    <xf numFmtId="0" fontId="240" fillId="20" borderId="121" xfId="0" applyFont="1" applyFill="1" applyBorder="1" applyAlignment="1">
      <alignment horizontal="center"/>
    </xf>
    <xf numFmtId="0" fontId="240" fillId="20" borderId="119" xfId="0" applyFont="1" applyFill="1" applyBorder="1" applyAlignment="1">
      <alignment horizontal="center" wrapText="1"/>
    </xf>
    <xf numFmtId="0" fontId="240" fillId="20" borderId="14" xfId="0" applyFont="1" applyFill="1" applyBorder="1" applyAlignment="1">
      <alignment horizontal="center"/>
    </xf>
    <xf numFmtId="0" fontId="240" fillId="20" borderId="75" xfId="0" applyFont="1" applyFill="1" applyBorder="1" applyAlignment="1">
      <alignment horizontal="center" wrapText="1"/>
    </xf>
    <xf numFmtId="0" fontId="0" fillId="20" borderId="6" xfId="0" applyFill="1" applyBorder="1" applyAlignment="1">
      <alignment horizontal="center" vertical="center"/>
    </xf>
    <xf numFmtId="0" fontId="0" fillId="20" borderId="108" xfId="0" applyFill="1" applyBorder="1" applyAlignment="1">
      <alignment horizontal="center" vertical="center"/>
    </xf>
    <xf numFmtId="0" fontId="27" fillId="31" borderId="35" xfId="0" applyFont="1" applyFill="1" applyBorder="1" applyAlignment="1">
      <alignment horizontal="center" vertical="center" wrapText="1"/>
    </xf>
    <xf numFmtId="0" fontId="22" fillId="21" borderId="26" xfId="0" applyFont="1" applyFill="1" applyBorder="1" applyAlignment="1">
      <alignment horizontal="left" vertical="center" wrapText="1"/>
    </xf>
    <xf numFmtId="0" fontId="22" fillId="21" borderId="116" xfId="0" applyFont="1" applyFill="1" applyBorder="1" applyAlignment="1">
      <alignment horizontal="left" vertical="center" wrapText="1"/>
    </xf>
    <xf numFmtId="0" fontId="22" fillId="21" borderId="105" xfId="0" applyFont="1" applyFill="1" applyBorder="1" applyAlignment="1">
      <alignment horizontal="left" vertical="center" wrapText="1"/>
    </xf>
    <xf numFmtId="0" fontId="28" fillId="44" borderId="37" xfId="0" applyFont="1" applyFill="1" applyBorder="1" applyAlignment="1">
      <alignment horizontal="center" vertical="center"/>
    </xf>
    <xf numFmtId="0" fontId="144" fillId="20" borderId="0" xfId="0" applyFont="1" applyFill="1" applyBorder="1" applyAlignment="1">
      <alignment horizontal="left" vertical="center" wrapText="1"/>
    </xf>
    <xf numFmtId="0" fontId="28" fillId="44" borderId="38" xfId="0" applyFont="1" applyFill="1" applyBorder="1" applyAlignment="1">
      <alignment horizontal="center" vertical="center"/>
    </xf>
    <xf numFmtId="0" fontId="28" fillId="44" borderId="2" xfId="0" applyFont="1" applyFill="1" applyBorder="1" applyAlignment="1">
      <alignment horizontal="center" vertical="center"/>
    </xf>
    <xf numFmtId="0" fontId="0" fillId="0" borderId="0" xfId="0" applyAlignment="1">
      <alignment horizontal="center"/>
    </xf>
    <xf numFmtId="0" fontId="22" fillId="20" borderId="108" xfId="0" applyFont="1" applyFill="1" applyBorder="1" applyAlignment="1">
      <alignment horizontal="left" vertical="center" wrapText="1"/>
    </xf>
    <xf numFmtId="0" fontId="0" fillId="3" borderId="108" xfId="0" applyFill="1" applyBorder="1"/>
    <xf numFmtId="0" fontId="0" fillId="24" borderId="108" xfId="0" applyFill="1" applyBorder="1"/>
    <xf numFmtId="0" fontId="0" fillId="0" borderId="108" xfId="0" applyBorder="1" applyAlignment="1">
      <alignment horizontal="center" vertical="center"/>
    </xf>
    <xf numFmtId="0" fontId="31" fillId="21" borderId="106" xfId="0" applyFont="1" applyFill="1" applyBorder="1" applyAlignment="1">
      <alignment horizontal="center" vertical="center" wrapText="1"/>
    </xf>
    <xf numFmtId="0" fontId="31" fillId="21" borderId="110" xfId="0" applyFont="1" applyFill="1" applyBorder="1" applyAlignment="1">
      <alignment horizontal="center" vertical="center" wrapText="1"/>
    </xf>
    <xf numFmtId="0" fontId="0" fillId="21" borderId="110" xfId="0" applyFill="1" applyBorder="1"/>
    <xf numFmtId="0" fontId="27" fillId="31" borderId="37" xfId="0" applyFont="1" applyFill="1" applyBorder="1" applyAlignment="1">
      <alignment horizontal="left" vertical="center"/>
    </xf>
    <xf numFmtId="0" fontId="27" fillId="31" borderId="112" xfId="0" applyFont="1" applyFill="1" applyBorder="1" applyAlignment="1">
      <alignment horizontal="center" vertical="center"/>
    </xf>
    <xf numFmtId="0" fontId="27" fillId="31" borderId="112" xfId="0" applyFont="1" applyFill="1" applyBorder="1" applyAlignment="1">
      <alignment horizontal="center" vertical="center" wrapText="1"/>
    </xf>
    <xf numFmtId="0" fontId="27" fillId="31" borderId="44" xfId="0" applyFont="1" applyFill="1" applyBorder="1" applyAlignment="1">
      <alignment horizontal="center" vertical="center"/>
    </xf>
    <xf numFmtId="0" fontId="27" fillId="31" borderId="44" xfId="0" applyFont="1" applyFill="1" applyBorder="1" applyAlignment="1">
      <alignment horizontal="center" vertical="center" wrapText="1"/>
    </xf>
    <xf numFmtId="0" fontId="27" fillId="31" borderId="53" xfId="0" applyFont="1" applyFill="1" applyBorder="1" applyAlignment="1">
      <alignment horizontal="center" vertical="center" wrapText="1"/>
    </xf>
    <xf numFmtId="0" fontId="27" fillId="23" borderId="37" xfId="0" applyFont="1" applyFill="1" applyBorder="1" applyAlignment="1">
      <alignment horizontal="center" vertical="top" wrapText="1"/>
    </xf>
    <xf numFmtId="0" fontId="27" fillId="23" borderId="37" xfId="0" applyFont="1" applyFill="1" applyBorder="1" applyAlignment="1">
      <alignment horizontal="center" vertical="center" wrapText="1"/>
    </xf>
    <xf numFmtId="0" fontId="27" fillId="23" borderId="35" xfId="0" applyFont="1" applyFill="1" applyBorder="1" applyAlignment="1">
      <alignment horizontal="center" vertical="top" wrapText="1"/>
    </xf>
    <xf numFmtId="0" fontId="27" fillId="23" borderId="35" xfId="0" applyFont="1" applyFill="1" applyBorder="1" applyAlignment="1">
      <alignment horizontal="center" vertical="center" wrapText="1"/>
    </xf>
    <xf numFmtId="0" fontId="241" fillId="0" borderId="26" xfId="0" applyFont="1" applyFill="1" applyBorder="1" applyAlignment="1">
      <alignment horizontal="center" vertical="center" wrapText="1"/>
    </xf>
    <xf numFmtId="0" fontId="31" fillId="41" borderId="42" xfId="0" applyFont="1" applyFill="1" applyBorder="1" applyAlignment="1">
      <alignment vertical="center" wrapText="1"/>
    </xf>
    <xf numFmtId="0" fontId="31" fillId="41" borderId="39" xfId="0" applyFont="1" applyFill="1" applyBorder="1" applyAlignment="1">
      <alignment vertical="center" wrapText="1"/>
    </xf>
    <xf numFmtId="0" fontId="31" fillId="41" borderId="39" xfId="0" applyFont="1" applyFill="1" applyBorder="1" applyAlignment="1">
      <alignment vertical="center"/>
    </xf>
    <xf numFmtId="0" fontId="242" fillId="41" borderId="39" xfId="0" applyFont="1" applyFill="1" applyBorder="1" applyAlignment="1">
      <alignment horizontal="center" wrapText="1"/>
    </xf>
    <xf numFmtId="0" fontId="27" fillId="54" borderId="73" xfId="0" applyFont="1" applyFill="1" applyBorder="1" applyAlignment="1">
      <alignment horizontal="center" vertical="top" wrapText="1"/>
    </xf>
    <xf numFmtId="0" fontId="52" fillId="54" borderId="73" xfId="0" applyFont="1" applyFill="1" applyBorder="1" applyAlignment="1">
      <alignment horizontal="center" vertical="top" wrapText="1"/>
    </xf>
    <xf numFmtId="0" fontId="39" fillId="31" borderId="52" xfId="0" applyFont="1" applyFill="1" applyBorder="1" applyAlignment="1">
      <alignment horizontal="center"/>
    </xf>
    <xf numFmtId="0" fontId="39" fillId="31" borderId="52" xfId="0" applyFont="1" applyFill="1" applyBorder="1" applyAlignment="1">
      <alignment horizontal="center" wrapText="1"/>
    </xf>
    <xf numFmtId="0" fontId="22" fillId="24" borderId="108" xfId="0" applyNumberFormat="1" applyFont="1" applyFill="1" applyBorder="1" applyAlignment="1">
      <alignment horizontal="center" vertical="center" wrapText="1"/>
    </xf>
    <xf numFmtId="0" fontId="0" fillId="0" borderId="108" xfId="0" applyBorder="1" applyAlignment="1">
      <alignment wrapText="1"/>
    </xf>
    <xf numFmtId="0" fontId="0" fillId="27" borderId="108" xfId="0" applyFill="1" applyBorder="1" applyAlignment="1">
      <alignment wrapText="1"/>
    </xf>
    <xf numFmtId="0" fontId="0" fillId="3" borderId="55" xfId="0" applyFill="1" applyBorder="1"/>
    <xf numFmtId="0" fontId="22" fillId="24" borderId="55" xfId="0" applyNumberFormat="1" applyFont="1" applyFill="1" applyBorder="1" applyAlignment="1">
      <alignment horizontal="center" vertical="center" wrapText="1"/>
    </xf>
    <xf numFmtId="0" fontId="0" fillId="0" borderId="55" xfId="0" applyBorder="1" applyAlignment="1">
      <alignment wrapText="1"/>
    </xf>
    <xf numFmtId="0" fontId="0" fillId="27" borderId="55" xfId="0" applyFill="1" applyBorder="1" applyAlignment="1">
      <alignment wrapText="1"/>
    </xf>
    <xf numFmtId="0" fontId="0" fillId="0" borderId="47" xfId="0" applyBorder="1" applyAlignment="1">
      <alignment wrapText="1"/>
    </xf>
    <xf numFmtId="0" fontId="0" fillId="0" borderId="118" xfId="0" applyBorder="1" applyAlignment="1">
      <alignment wrapText="1"/>
    </xf>
    <xf numFmtId="0" fontId="94" fillId="20" borderId="37" xfId="0" applyFont="1" applyFill="1" applyBorder="1" applyAlignment="1">
      <alignment horizontal="left" vertical="center"/>
    </xf>
    <xf numFmtId="0" fontId="149" fillId="20" borderId="38" xfId="0" applyFont="1" applyFill="1" applyBorder="1" applyAlignment="1">
      <alignment horizontal="center" vertical="center"/>
    </xf>
    <xf numFmtId="0" fontId="98" fillId="20" borderId="38" xfId="0" applyFont="1" applyFill="1" applyBorder="1" applyAlignment="1">
      <alignment vertical="center" wrapText="1"/>
    </xf>
    <xf numFmtId="0" fontId="28" fillId="20" borderId="38" xfId="0" applyFont="1" applyFill="1" applyBorder="1" applyAlignment="1">
      <alignment horizontal="center" vertical="center"/>
    </xf>
    <xf numFmtId="0" fontId="0" fillId="0" borderId="38" xfId="0" applyBorder="1"/>
    <xf numFmtId="0" fontId="27" fillId="44" borderId="53" xfId="0" applyFont="1" applyFill="1" applyBorder="1" applyAlignment="1">
      <alignment horizontal="center" vertical="center"/>
    </xf>
    <xf numFmtId="49" fontId="0" fillId="27" borderId="41" xfId="0" applyNumberFormat="1" applyFill="1" applyBorder="1" applyAlignment="1" applyProtection="1">
      <alignment horizontal="left"/>
    </xf>
    <xf numFmtId="0" fontId="0" fillId="27" borderId="1" xfId="0" applyFill="1" applyBorder="1" applyAlignment="1" applyProtection="1">
      <alignment wrapText="1"/>
    </xf>
    <xf numFmtId="0" fontId="0" fillId="27" borderId="54" xfId="0" applyFill="1" applyBorder="1" applyAlignment="1" applyProtection="1">
      <alignment wrapText="1"/>
    </xf>
    <xf numFmtId="0" fontId="22" fillId="123" borderId="34" xfId="0" applyFont="1" applyFill="1" applyBorder="1"/>
    <xf numFmtId="0" fontId="243" fillId="38" borderId="43" xfId="48736" applyFont="1" applyFill="1" applyBorder="1" applyAlignment="1">
      <alignment vertical="center" wrapText="1"/>
    </xf>
    <xf numFmtId="0" fontId="243" fillId="38" borderId="6" xfId="48736" applyFont="1" applyFill="1" applyBorder="1" applyAlignment="1">
      <alignment horizontal="center" vertical="center" wrapText="1"/>
    </xf>
    <xf numFmtId="0" fontId="243" fillId="38" borderId="17" xfId="48736" applyFont="1" applyFill="1" applyBorder="1" applyAlignment="1">
      <alignment horizontal="center" vertical="center" wrapText="1"/>
    </xf>
    <xf numFmtId="0" fontId="2" fillId="37" borderId="49" xfId="48736" applyFont="1" applyFill="1" applyBorder="1" applyAlignment="1">
      <alignment horizontal="center" vertical="center"/>
    </xf>
    <xf numFmtId="0" fontId="2" fillId="37" borderId="17" xfId="48736" applyFont="1" applyFill="1" applyBorder="1" applyAlignment="1">
      <alignment horizontal="center" vertical="center"/>
    </xf>
    <xf numFmtId="0" fontId="2" fillId="115" borderId="49" xfId="48736" applyFont="1" applyFill="1" applyBorder="1" applyAlignment="1">
      <alignment horizontal="center" vertical="center"/>
    </xf>
    <xf numFmtId="0" fontId="22" fillId="115" borderId="17" xfId="0" applyFont="1" applyFill="1" applyBorder="1" applyAlignment="1">
      <alignment horizontal="center" vertical="center"/>
    </xf>
    <xf numFmtId="0" fontId="0" fillId="131" borderId="49" xfId="0" applyFill="1" applyBorder="1" applyAlignment="1">
      <alignment horizontal="center" vertical="center"/>
    </xf>
    <xf numFmtId="0" fontId="0" fillId="131" borderId="74" xfId="0" applyFill="1" applyBorder="1" applyAlignment="1">
      <alignment horizontal="center" vertical="center"/>
    </xf>
    <xf numFmtId="0" fontId="0" fillId="132" borderId="49" xfId="0" applyFill="1" applyBorder="1" applyAlignment="1">
      <alignment horizontal="center" vertical="center"/>
    </xf>
    <xf numFmtId="0" fontId="243" fillId="38" borderId="111" xfId="48736" applyFont="1" applyFill="1" applyBorder="1" applyAlignment="1">
      <alignment vertical="center" wrapText="1"/>
    </xf>
    <xf numFmtId="0" fontId="243" fillId="38" borderId="108" xfId="48736" applyFont="1" applyFill="1" applyBorder="1" applyAlignment="1">
      <alignment horizontal="center" vertical="center" wrapText="1"/>
    </xf>
    <xf numFmtId="0" fontId="243" fillId="38" borderId="109" xfId="48736" applyFont="1" applyFill="1" applyBorder="1" applyAlignment="1">
      <alignment horizontal="center" vertical="center" wrapText="1"/>
    </xf>
    <xf numFmtId="0" fontId="0" fillId="37" borderId="21" xfId="0" applyFill="1" applyBorder="1" applyAlignment="1">
      <alignment horizontal="center" vertical="center"/>
    </xf>
    <xf numFmtId="0" fontId="0" fillId="37" borderId="109" xfId="0" applyFill="1" applyBorder="1" applyAlignment="1">
      <alignment horizontal="center" vertical="center"/>
    </xf>
    <xf numFmtId="0" fontId="0" fillId="115" borderId="21" xfId="0" applyFill="1" applyBorder="1" applyAlignment="1">
      <alignment horizontal="center" vertical="center"/>
    </xf>
    <xf numFmtId="0" fontId="0" fillId="115" borderId="109" xfId="0" applyFill="1" applyBorder="1" applyAlignment="1">
      <alignment horizontal="center" vertical="center"/>
    </xf>
    <xf numFmtId="0" fontId="0" fillId="131" borderId="21" xfId="0" applyFill="1" applyBorder="1" applyAlignment="1">
      <alignment horizontal="center" vertical="center"/>
    </xf>
    <xf numFmtId="0" fontId="0" fillId="131" borderId="118" xfId="0" applyFill="1" applyBorder="1" applyAlignment="1">
      <alignment horizontal="center" vertical="center"/>
    </xf>
    <xf numFmtId="0" fontId="0" fillId="132" borderId="21" xfId="0" applyFill="1" applyBorder="1" applyAlignment="1">
      <alignment horizontal="center" vertical="center"/>
    </xf>
    <xf numFmtId="0" fontId="22" fillId="37" borderId="24" xfId="0" applyFont="1" applyFill="1" applyBorder="1" applyAlignment="1">
      <alignment horizontal="center" vertical="center"/>
    </xf>
    <xf numFmtId="0" fontId="22" fillId="37" borderId="33" xfId="0" applyFont="1" applyFill="1" applyBorder="1" applyAlignment="1">
      <alignment horizontal="center" vertical="center"/>
    </xf>
    <xf numFmtId="0" fontId="22" fillId="115" borderId="24" xfId="0" applyFont="1" applyFill="1" applyBorder="1" applyAlignment="1">
      <alignment horizontal="center" vertical="center"/>
    </xf>
    <xf numFmtId="0" fontId="22" fillId="115" borderId="33" xfId="0" applyFont="1" applyFill="1" applyBorder="1" applyAlignment="1">
      <alignment horizontal="center" vertical="center"/>
    </xf>
    <xf numFmtId="0" fontId="0" fillId="131" borderId="24" xfId="0" applyFill="1" applyBorder="1" applyAlignment="1">
      <alignment horizontal="center" vertical="center"/>
    </xf>
    <xf numFmtId="0" fontId="0" fillId="131" borderId="48" xfId="0" applyFill="1" applyBorder="1" applyAlignment="1">
      <alignment horizontal="center" vertical="center"/>
    </xf>
    <xf numFmtId="0" fontId="0" fillId="132" borderId="24" xfId="0" applyFill="1" applyBorder="1" applyAlignment="1">
      <alignment horizontal="center" vertical="center"/>
    </xf>
    <xf numFmtId="0" fontId="0" fillId="24" borderId="1" xfId="0" applyFill="1" applyBorder="1" applyAlignment="1" applyProtection="1">
      <alignment horizontal="left"/>
    </xf>
    <xf numFmtId="0" fontId="2" fillId="0" borderId="112" xfId="48736" applyBorder="1"/>
    <xf numFmtId="0" fontId="2" fillId="0" borderId="44" xfId="48736" applyBorder="1" applyAlignment="1">
      <alignment horizontal="center"/>
    </xf>
    <xf numFmtId="0" fontId="2" fillId="0" borderId="58" xfId="48736" applyBorder="1" applyAlignment="1">
      <alignment horizontal="center"/>
    </xf>
    <xf numFmtId="0" fontId="244" fillId="20" borderId="67" xfId="0" applyFont="1" applyFill="1" applyBorder="1" applyAlignment="1">
      <alignment horizontal="center" vertical="center" wrapText="1"/>
    </xf>
    <xf numFmtId="0" fontId="89" fillId="27" borderId="19" xfId="0" applyFont="1" applyFill="1" applyBorder="1" applyAlignment="1">
      <alignment horizontal="center" vertical="center" wrapText="1"/>
    </xf>
    <xf numFmtId="0" fontId="22" fillId="27" borderId="19" xfId="0" applyFont="1" applyFill="1" applyBorder="1" applyAlignment="1">
      <alignment horizontal="left" vertical="center" wrapText="1"/>
    </xf>
    <xf numFmtId="0" fontId="0" fillId="132" borderId="17" xfId="0" applyFill="1" applyBorder="1" applyAlignment="1">
      <alignment horizontal="center" vertical="center"/>
    </xf>
    <xf numFmtId="0" fontId="0" fillId="132" borderId="109" xfId="0" applyFill="1" applyBorder="1" applyAlignment="1">
      <alignment horizontal="center" vertical="center"/>
    </xf>
    <xf numFmtId="0" fontId="0" fillId="132" borderId="33" xfId="0" applyFill="1" applyBorder="1" applyAlignment="1">
      <alignment horizontal="center" vertical="center"/>
    </xf>
    <xf numFmtId="0" fontId="2" fillId="0" borderId="51" xfId="48736" applyBorder="1" applyAlignment="1">
      <alignment horizontal="center"/>
    </xf>
    <xf numFmtId="0" fontId="2" fillId="0" borderId="52" xfId="48736" applyBorder="1" applyAlignment="1">
      <alignment horizontal="center"/>
    </xf>
    <xf numFmtId="0" fontId="0" fillId="27" borderId="23" xfId="0" applyFill="1" applyBorder="1" applyAlignment="1">
      <alignment horizontal="center" vertical="center"/>
    </xf>
    <xf numFmtId="0" fontId="0" fillId="27" borderId="21" xfId="0" applyFill="1" applyBorder="1" applyAlignment="1">
      <alignment horizontal="center" vertical="center"/>
    </xf>
    <xf numFmtId="0" fontId="0" fillId="27" borderId="118" xfId="0" applyFill="1" applyBorder="1" applyAlignment="1">
      <alignment horizontal="center" vertical="center"/>
    </xf>
    <xf numFmtId="0" fontId="0" fillId="27" borderId="24" xfId="0" applyFill="1" applyBorder="1" applyAlignment="1">
      <alignment horizontal="center" vertical="center"/>
    </xf>
    <xf numFmtId="0" fontId="0" fillId="27" borderId="48" xfId="0" applyFill="1" applyBorder="1" applyAlignment="1">
      <alignment horizontal="center" vertical="center"/>
    </xf>
    <xf numFmtId="0" fontId="105" fillId="20" borderId="30" xfId="0" applyFont="1" applyFill="1" applyBorder="1" applyAlignment="1" applyProtection="1">
      <alignment horizontal="left"/>
    </xf>
    <xf numFmtId="0" fontId="27" fillId="31" borderId="10" xfId="0" applyFont="1" applyFill="1" applyBorder="1" applyAlignment="1" applyProtection="1">
      <alignment horizontal="center"/>
    </xf>
    <xf numFmtId="0" fontId="27" fillId="31" borderId="10" xfId="0" applyFont="1" applyFill="1" applyBorder="1" applyAlignment="1" applyProtection="1">
      <alignment horizontal="center" wrapText="1"/>
    </xf>
    <xf numFmtId="0" fontId="95" fillId="31" borderId="67" xfId="0" applyFont="1" applyFill="1" applyBorder="1" applyAlignment="1" applyProtection="1">
      <alignment horizontal="center" vertical="center" wrapText="1"/>
    </xf>
    <xf numFmtId="0" fontId="95" fillId="31" borderId="12" xfId="0" applyFont="1" applyFill="1" applyBorder="1" applyAlignment="1" applyProtection="1">
      <alignment horizontal="center" vertical="center" wrapText="1"/>
    </xf>
    <xf numFmtId="0" fontId="27" fillId="40" borderId="37" xfId="0" applyFont="1" applyFill="1" applyBorder="1" applyAlignment="1" applyProtection="1">
      <alignment horizontal="center" vertical="center" wrapText="1"/>
    </xf>
    <xf numFmtId="0" fontId="27" fillId="40" borderId="38" xfId="0" applyFont="1" applyFill="1" applyBorder="1" applyAlignment="1" applyProtection="1">
      <alignment horizontal="center" vertical="center" wrapText="1"/>
    </xf>
    <xf numFmtId="0" fontId="27" fillId="0" borderId="13" xfId="0" applyFont="1" applyBorder="1"/>
    <xf numFmtId="0" fontId="27" fillId="0" borderId="11" xfId="0" applyFont="1" applyBorder="1"/>
    <xf numFmtId="0" fontId="22" fillId="20" borderId="1" xfId="0" applyFont="1" applyFill="1" applyBorder="1" applyAlignment="1" applyProtection="1">
      <alignment horizontal="left"/>
    </xf>
    <xf numFmtId="0" fontId="22" fillId="20" borderId="54" xfId="0" applyFont="1" applyFill="1" applyBorder="1" applyAlignment="1" applyProtection="1">
      <alignment horizontal="left"/>
    </xf>
    <xf numFmtId="0" fontId="0" fillId="20" borderId="10" xfId="0" applyFill="1" applyBorder="1" applyAlignment="1" applyProtection="1">
      <alignment horizontal="left"/>
    </xf>
    <xf numFmtId="0" fontId="105" fillId="20" borderId="33" xfId="0" applyFont="1" applyFill="1" applyBorder="1" applyAlignment="1" applyProtection="1">
      <alignment horizontal="left"/>
    </xf>
    <xf numFmtId="0" fontId="105" fillId="0" borderId="33" xfId="0" applyFont="1" applyFill="1" applyBorder="1" applyAlignment="1" applyProtection="1">
      <alignment horizontal="left"/>
    </xf>
    <xf numFmtId="0" fontId="89" fillId="20" borderId="10" xfId="0" applyFont="1" applyFill="1" applyBorder="1" applyAlignment="1">
      <alignment horizontal="center"/>
    </xf>
    <xf numFmtId="49" fontId="0" fillId="27" borderId="48" xfId="0" applyNumberFormat="1" applyFill="1" applyBorder="1" applyAlignment="1" applyProtection="1">
      <alignment horizontal="left"/>
    </xf>
    <xf numFmtId="0" fontId="0" fillId="0" borderId="6" xfId="0" applyFill="1" applyBorder="1" applyAlignment="1" applyProtection="1">
      <alignment horizontal="left"/>
    </xf>
    <xf numFmtId="0" fontId="22" fillId="0" borderId="6" xfId="0" applyFont="1" applyFill="1" applyBorder="1" applyAlignment="1" applyProtection="1">
      <alignment horizontal="left"/>
    </xf>
    <xf numFmtId="0" fontId="0" fillId="27" borderId="6" xfId="0" applyFill="1" applyBorder="1" applyAlignment="1" applyProtection="1">
      <alignment horizontal="left"/>
    </xf>
    <xf numFmtId="0" fontId="89" fillId="20" borderId="6" xfId="0" applyFont="1" applyFill="1" applyBorder="1" applyAlignment="1">
      <alignment horizontal="left"/>
    </xf>
    <xf numFmtId="0" fontId="0" fillId="27" borderId="6" xfId="0" applyFill="1" applyBorder="1" applyAlignment="1" applyProtection="1">
      <alignment wrapText="1"/>
    </xf>
    <xf numFmtId="0" fontId="0" fillId="3" borderId="51" xfId="0" applyFill="1" applyBorder="1" applyAlignment="1" applyProtection="1">
      <alignment horizontal="center"/>
    </xf>
    <xf numFmtId="0" fontId="0" fillId="31" borderId="51" xfId="0" applyFill="1" applyBorder="1" applyAlignment="1" applyProtection="1">
      <alignment horizontal="center"/>
    </xf>
    <xf numFmtId="0" fontId="27" fillId="31" borderId="73" xfId="0" applyFont="1" applyFill="1" applyBorder="1" applyAlignment="1" applyProtection="1">
      <alignment horizontal="center"/>
    </xf>
    <xf numFmtId="0" fontId="27" fillId="3" borderId="10" xfId="0" applyFont="1" applyFill="1" applyBorder="1" applyAlignment="1" applyProtection="1">
      <alignment horizontal="left"/>
    </xf>
    <xf numFmtId="0" fontId="27" fillId="46" borderId="10" xfId="0" quotePrefix="1" applyFont="1" applyFill="1" applyBorder="1" applyAlignment="1" applyProtection="1">
      <alignment horizontal="center" wrapText="1"/>
    </xf>
    <xf numFmtId="0" fontId="27" fillId="31" borderId="10" xfId="0" quotePrefix="1" applyFont="1" applyFill="1" applyBorder="1" applyAlignment="1" applyProtection="1">
      <alignment horizontal="center" wrapText="1"/>
    </xf>
    <xf numFmtId="0" fontId="22" fillId="42" borderId="107" xfId="0" applyFont="1" applyFill="1" applyBorder="1" applyAlignment="1">
      <alignment horizontal="left" vertical="top" wrapText="1" indent="1"/>
    </xf>
    <xf numFmtId="0" fontId="22" fillId="42" borderId="109" xfId="0" applyFont="1" applyFill="1" applyBorder="1" applyAlignment="1">
      <alignment horizontal="left" vertical="top" wrapText="1" indent="1"/>
    </xf>
    <xf numFmtId="0" fontId="22" fillId="42" borderId="61" xfId="0" applyFont="1" applyFill="1" applyBorder="1" applyAlignment="1">
      <alignment vertical="top" wrapText="1"/>
    </xf>
    <xf numFmtId="0" fontId="22" fillId="42" borderId="25" xfId="0" applyFont="1" applyFill="1" applyBorder="1" applyAlignment="1">
      <alignment vertical="top" wrapText="1"/>
    </xf>
    <xf numFmtId="0" fontId="22" fillId="42" borderId="60" xfId="0" applyFont="1" applyFill="1" applyBorder="1" applyAlignment="1">
      <alignment vertical="top" wrapText="1"/>
    </xf>
    <xf numFmtId="0" fontId="22" fillId="42" borderId="61" xfId="0" applyFont="1" applyFill="1" applyBorder="1" applyAlignment="1">
      <alignment horizontal="left" vertical="top" wrapText="1"/>
    </xf>
    <xf numFmtId="0" fontId="22" fillId="42" borderId="28" xfId="0" applyFont="1" applyFill="1" applyBorder="1" applyAlignment="1">
      <alignment horizontal="left" vertical="top" wrapText="1"/>
    </xf>
    <xf numFmtId="0" fontId="22" fillId="42" borderId="60" xfId="0" applyFont="1" applyFill="1" applyBorder="1"/>
    <xf numFmtId="0" fontId="22" fillId="42" borderId="25" xfId="0" applyFont="1" applyFill="1" applyBorder="1" applyAlignment="1">
      <alignment horizontal="left" vertical="top" wrapText="1" indent="2"/>
    </xf>
    <xf numFmtId="0" fontId="22" fillId="42" borderId="28" xfId="0" applyFont="1" applyFill="1" applyBorder="1" applyAlignment="1">
      <alignment horizontal="left" vertical="top" wrapText="1" indent="2"/>
    </xf>
    <xf numFmtId="0" fontId="0" fillId="27" borderId="108" xfId="0" applyFill="1" applyBorder="1" applyAlignment="1">
      <alignment horizontal="center" vertical="center"/>
    </xf>
    <xf numFmtId="0" fontId="0" fillId="27" borderId="54" xfId="0" applyFill="1" applyBorder="1" applyAlignment="1">
      <alignment horizontal="center" vertical="center"/>
    </xf>
    <xf numFmtId="0" fontId="0" fillId="24" borderId="6" xfId="0" applyFill="1" applyBorder="1" applyAlignment="1">
      <alignment wrapText="1"/>
    </xf>
    <xf numFmtId="0" fontId="0" fillId="20" borderId="17" xfId="0" applyFill="1" applyBorder="1"/>
    <xf numFmtId="0" fontId="0" fillId="20" borderId="109" xfId="0" applyFill="1" applyBorder="1"/>
    <xf numFmtId="0" fontId="22" fillId="20" borderId="109" xfId="0" applyFont="1" applyFill="1" applyBorder="1"/>
    <xf numFmtId="0" fontId="51" fillId="0" borderId="51" xfId="0" applyFont="1" applyBorder="1" applyAlignment="1">
      <alignment horizontal="center"/>
    </xf>
    <xf numFmtId="0" fontId="0" fillId="27" borderId="23" xfId="0" applyFill="1" applyBorder="1" applyAlignment="1">
      <alignment horizontal="center" vertical="center" wrapText="1"/>
    </xf>
    <xf numFmtId="0" fontId="22" fillId="27" borderId="47" xfId="0" applyFont="1" applyFill="1" applyBorder="1" applyAlignment="1">
      <alignment horizontal="center" vertical="center" wrapText="1"/>
    </xf>
    <xf numFmtId="0" fontId="22" fillId="27" borderId="21" xfId="0" applyFont="1" applyFill="1" applyBorder="1" applyAlignment="1">
      <alignment horizontal="center" vertical="center" wrapText="1"/>
    </xf>
    <xf numFmtId="0" fontId="22" fillId="27" borderId="108" xfId="0" applyFont="1" applyFill="1" applyBorder="1" applyAlignment="1">
      <alignment horizontal="center" vertical="center" wrapText="1"/>
    </xf>
    <xf numFmtId="0" fontId="0" fillId="27" borderId="21" xfId="0" applyFill="1" applyBorder="1" applyAlignment="1">
      <alignment horizontal="center" vertical="center" wrapText="1"/>
    </xf>
    <xf numFmtId="0" fontId="89" fillId="0" borderId="3" xfId="0" applyFont="1" applyFill="1" applyBorder="1" applyAlignment="1" applyProtection="1">
      <alignment horizontal="center"/>
    </xf>
    <xf numFmtId="0" fontId="89" fillId="0" borderId="4" xfId="0" applyFont="1" applyFill="1" applyBorder="1" applyAlignment="1" applyProtection="1">
      <alignment horizontal="left"/>
    </xf>
    <xf numFmtId="0" fontId="22" fillId="20" borderId="63" xfId="0" applyFont="1" applyFill="1" applyBorder="1"/>
    <xf numFmtId="0" fontId="0" fillId="27" borderId="6" xfId="0" applyFill="1" applyBorder="1" applyAlignment="1">
      <alignment horizontal="center" vertical="top" wrapText="1"/>
    </xf>
    <xf numFmtId="0" fontId="89" fillId="0" borderId="30" xfId="0" applyFont="1" applyFill="1" applyBorder="1" applyAlignment="1" applyProtection="1">
      <alignment horizontal="left"/>
    </xf>
    <xf numFmtId="0" fontId="22" fillId="31" borderId="1" xfId="3" applyFont="1" applyFill="1" applyBorder="1" applyAlignment="1" applyProtection="1">
      <alignment horizontal="center" vertical="center" wrapText="1"/>
      <protection locked="0"/>
    </xf>
    <xf numFmtId="0" fontId="22" fillId="31" borderId="15" xfId="3" applyFont="1" applyFill="1" applyBorder="1" applyAlignment="1" applyProtection="1">
      <alignment horizontal="center" vertical="center" wrapText="1"/>
      <protection locked="0"/>
    </xf>
    <xf numFmtId="0" fontId="22" fillId="43" borderId="55" xfId="3" applyFont="1" applyFill="1" applyBorder="1" applyAlignment="1" applyProtection="1">
      <alignment horizontal="center" vertical="center" wrapText="1"/>
      <protection locked="0"/>
    </xf>
    <xf numFmtId="0" fontId="22" fillId="43" borderId="1" xfId="3" applyFont="1" applyFill="1" applyBorder="1" applyAlignment="1" applyProtection="1">
      <alignment horizontal="center" vertical="center" wrapText="1"/>
      <protection locked="0"/>
    </xf>
    <xf numFmtId="0" fontId="22" fillId="43" borderId="15" xfId="3" applyFont="1" applyFill="1" applyBorder="1" applyAlignment="1" applyProtection="1">
      <alignment horizontal="center" vertical="center" wrapText="1"/>
      <protection locked="0"/>
    </xf>
    <xf numFmtId="0" fontId="22" fillId="43" borderId="5" xfId="3" applyFont="1" applyFill="1" applyBorder="1" applyAlignment="1" applyProtection="1">
      <alignment horizontal="center" vertical="center" wrapText="1"/>
      <protection locked="0"/>
    </xf>
    <xf numFmtId="0" fontId="89" fillId="20" borderId="108" xfId="0" applyFont="1" applyFill="1" applyBorder="1" applyAlignment="1" applyProtection="1">
      <alignment horizontal="left"/>
    </xf>
    <xf numFmtId="0" fontId="31" fillId="20" borderId="26" xfId="0" applyFont="1" applyFill="1" applyBorder="1" applyAlignment="1">
      <alignment horizontal="left" vertical="top" wrapText="1" indent="34"/>
    </xf>
    <xf numFmtId="0" fontId="39" fillId="31" borderId="54" xfId="0" applyFont="1" applyFill="1" applyBorder="1" applyAlignment="1">
      <alignment horizontal="center" wrapText="1"/>
    </xf>
    <xf numFmtId="0" fontId="0" fillId="24" borderId="14" xfId="0" applyFill="1" applyBorder="1" applyAlignment="1">
      <alignment horizontal="center"/>
    </xf>
    <xf numFmtId="0" fontId="0" fillId="27" borderId="14" xfId="0" applyFill="1" applyBorder="1" applyAlignment="1">
      <alignment horizontal="center"/>
    </xf>
    <xf numFmtId="0" fontId="27" fillId="31" borderId="58" xfId="0" applyFont="1" applyFill="1" applyBorder="1" applyAlignment="1">
      <alignment horizontal="center" vertical="top" wrapText="1"/>
    </xf>
    <xf numFmtId="0" fontId="0" fillId="27" borderId="25" xfId="0" applyFill="1" applyBorder="1" applyAlignment="1">
      <alignment horizontal="center"/>
    </xf>
    <xf numFmtId="0" fontId="92" fillId="43" borderId="10" xfId="0" applyFont="1" applyFill="1" applyBorder="1" applyAlignment="1" applyProtection="1">
      <alignment horizontal="center" vertical="center" wrapText="1"/>
    </xf>
    <xf numFmtId="0" fontId="27" fillId="54" borderId="10" xfId="0" applyFont="1" applyFill="1" applyBorder="1" applyAlignment="1" applyProtection="1">
      <alignment horizontal="center" wrapText="1"/>
    </xf>
    <xf numFmtId="0" fontId="27" fillId="31" borderId="10" xfId="0" applyFont="1" applyFill="1" applyBorder="1" applyAlignment="1" applyProtection="1">
      <alignment horizontal="center" wrapText="1"/>
    </xf>
    <xf numFmtId="0" fontId="95" fillId="31" borderId="12" xfId="0" applyFont="1" applyFill="1" applyBorder="1" applyAlignment="1" applyProtection="1">
      <alignment horizontal="center" vertical="center" wrapText="1"/>
    </xf>
    <xf numFmtId="0" fontId="27" fillId="31" borderId="12" xfId="0" applyFont="1" applyFill="1" applyBorder="1" applyAlignment="1" applyProtection="1">
      <alignment horizontal="center" vertical="center" wrapText="1"/>
    </xf>
    <xf numFmtId="0" fontId="27" fillId="31" borderId="51" xfId="0" applyFont="1" applyFill="1" applyBorder="1" applyAlignment="1" applyProtection="1">
      <alignment wrapText="1"/>
    </xf>
    <xf numFmtId="0" fontId="27" fillId="31" borderId="10" xfId="0" applyFont="1" applyFill="1" applyBorder="1" applyAlignment="1" applyProtection="1">
      <alignment wrapText="1"/>
    </xf>
    <xf numFmtId="0" fontId="27" fillId="46" borderId="50" xfId="0" applyFont="1" applyFill="1" applyBorder="1" applyAlignment="1" applyProtection="1">
      <alignment wrapText="1"/>
    </xf>
    <xf numFmtId="0" fontId="27" fillId="46" borderId="72" xfId="0" applyFont="1" applyFill="1" applyBorder="1" applyAlignment="1" applyProtection="1">
      <alignment wrapText="1"/>
    </xf>
    <xf numFmtId="0" fontId="27" fillId="54" borderId="51" xfId="0" applyFont="1" applyFill="1" applyBorder="1" applyAlignment="1" applyProtection="1">
      <alignment wrapText="1"/>
    </xf>
    <xf numFmtId="0" fontId="92" fillId="43" borderId="51" xfId="0" applyFont="1" applyFill="1" applyBorder="1" applyAlignment="1" applyProtection="1">
      <alignment vertical="center" wrapText="1"/>
    </xf>
    <xf numFmtId="0" fontId="92" fillId="43" borderId="10" xfId="0" applyFont="1" applyFill="1" applyBorder="1" applyAlignment="1" applyProtection="1">
      <alignment vertical="center" wrapText="1"/>
    </xf>
    <xf numFmtId="0" fontId="27" fillId="88" borderId="67" xfId="0" applyFont="1" applyFill="1" applyBorder="1" applyAlignment="1" applyProtection="1">
      <alignment vertical="center" wrapText="1"/>
    </xf>
    <xf numFmtId="0" fontId="95" fillId="31" borderId="67" xfId="0" applyFont="1" applyFill="1" applyBorder="1" applyAlignment="1" applyProtection="1">
      <alignment vertical="center" wrapText="1"/>
    </xf>
    <xf numFmtId="0" fontId="27" fillId="31" borderId="67" xfId="0" applyFont="1" applyFill="1" applyBorder="1" applyAlignment="1" applyProtection="1">
      <alignment vertical="center" wrapText="1"/>
    </xf>
    <xf numFmtId="0" fontId="27" fillId="4" borderId="66" xfId="0" applyFont="1" applyFill="1" applyBorder="1" applyAlignment="1">
      <alignment horizontal="center" wrapText="1"/>
    </xf>
    <xf numFmtId="0" fontId="39" fillId="4" borderId="50" xfId="0" applyFont="1" applyFill="1" applyBorder="1" applyAlignment="1">
      <alignment wrapText="1"/>
    </xf>
    <xf numFmtId="0" fontId="39" fillId="4" borderId="72" xfId="0" applyFont="1" applyFill="1" applyBorder="1" applyAlignment="1">
      <alignment horizontal="center" wrapText="1"/>
    </xf>
    <xf numFmtId="0" fontId="27" fillId="31" borderId="40" xfId="0" applyFont="1" applyFill="1" applyBorder="1" applyAlignment="1" applyProtection="1">
      <alignment wrapText="1"/>
    </xf>
    <xf numFmtId="0" fontId="27" fillId="31" borderId="11" xfId="0" applyFont="1" applyFill="1" applyBorder="1" applyAlignment="1" applyProtection="1">
      <alignment horizontal="center" wrapText="1"/>
    </xf>
    <xf numFmtId="0" fontId="39" fillId="31" borderId="52" xfId="0" applyFont="1" applyFill="1" applyBorder="1" applyAlignment="1">
      <alignment wrapText="1"/>
    </xf>
    <xf numFmtId="0" fontId="39" fillId="31" borderId="66" xfId="0" applyFont="1" applyFill="1" applyBorder="1" applyAlignment="1">
      <alignment horizontal="center" wrapText="1"/>
    </xf>
    <xf numFmtId="0" fontId="31" fillId="29" borderId="6" xfId="0" applyFont="1" applyFill="1" applyBorder="1" applyAlignment="1">
      <alignment horizontal="center" vertical="center" wrapText="1"/>
    </xf>
    <xf numFmtId="0" fontId="0" fillId="0" borderId="21" xfId="0" applyFill="1" applyBorder="1" applyAlignment="1"/>
    <xf numFmtId="0" fontId="0" fillId="3" borderId="6" xfId="0" applyFill="1" applyBorder="1" applyAlignment="1"/>
    <xf numFmtId="0" fontId="0" fillId="24" borderId="6" xfId="0" applyFill="1" applyBorder="1" applyAlignment="1"/>
    <xf numFmtId="0" fontId="0" fillId="3" borderId="1" xfId="0" applyFill="1" applyBorder="1" applyAlignment="1"/>
    <xf numFmtId="0" fontId="0" fillId="0" borderId="1" xfId="0" applyFill="1" applyBorder="1" applyAlignment="1"/>
    <xf numFmtId="0" fontId="0" fillId="24" borderId="1" xfId="0" applyFill="1" applyBorder="1" applyAlignment="1"/>
    <xf numFmtId="0" fontId="0" fillId="0" borderId="24" xfId="0" applyFill="1" applyBorder="1" applyAlignment="1"/>
    <xf numFmtId="0" fontId="0" fillId="3" borderId="54" xfId="0" applyFill="1" applyBorder="1" applyAlignment="1"/>
    <xf numFmtId="0" fontId="0" fillId="24" borderId="54" xfId="0" applyFill="1" applyBorder="1" applyAlignment="1"/>
    <xf numFmtId="0" fontId="0" fillId="0" borderId="54" xfId="0" applyFill="1" applyBorder="1" applyAlignment="1"/>
    <xf numFmtId="0" fontId="0" fillId="24" borderId="54" xfId="0" applyFill="1" applyBorder="1" applyAlignment="1">
      <alignment horizontal="center" wrapText="1"/>
    </xf>
    <xf numFmtId="0" fontId="89" fillId="129" borderId="6" xfId="0" applyFont="1" applyFill="1" applyBorder="1" applyAlignment="1">
      <alignment horizontal="center"/>
    </xf>
    <xf numFmtId="0" fontId="88" fillId="129" borderId="6" xfId="0" applyFont="1" applyFill="1" applyBorder="1" applyAlignment="1">
      <alignment horizontal="center" wrapText="1"/>
    </xf>
    <xf numFmtId="0" fontId="89" fillId="27" borderId="6" xfId="0" applyFont="1" applyFill="1" applyBorder="1" applyAlignment="1">
      <alignment horizontal="center"/>
    </xf>
    <xf numFmtId="0" fontId="22" fillId="27" borderId="17" xfId="12" applyFill="1" applyBorder="1" applyAlignment="1">
      <alignment wrapText="1"/>
    </xf>
    <xf numFmtId="0" fontId="194" fillId="27" borderId="6" xfId="0" applyFont="1" applyFill="1" applyBorder="1" applyAlignment="1" applyProtection="1"/>
    <xf numFmtId="0" fontId="89" fillId="27" borderId="108" xfId="0" applyFont="1" applyFill="1" applyBorder="1" applyAlignment="1">
      <alignment horizontal="center"/>
    </xf>
    <xf numFmtId="49" fontId="0" fillId="0" borderId="18" xfId="0" applyNumberFormat="1" applyFill="1" applyBorder="1" applyAlignment="1" applyProtection="1">
      <alignment horizontal="center"/>
    </xf>
    <xf numFmtId="0" fontId="194" fillId="27" borderId="1" xfId="0" applyFont="1" applyFill="1" applyBorder="1" applyAlignment="1" applyProtection="1"/>
    <xf numFmtId="0" fontId="88" fillId="129" borderId="10" xfId="0" applyFont="1" applyFill="1" applyBorder="1" applyAlignment="1">
      <alignment horizontal="center" wrapText="1"/>
    </xf>
    <xf numFmtId="0" fontId="89" fillId="129" borderId="10" xfId="0" applyFont="1" applyFill="1" applyBorder="1" applyAlignment="1">
      <alignment horizontal="center"/>
    </xf>
    <xf numFmtId="0" fontId="89" fillId="27" borderId="54" xfId="0" applyFont="1" applyFill="1" applyBorder="1" applyAlignment="1">
      <alignment horizontal="center"/>
    </xf>
    <xf numFmtId="49" fontId="0" fillId="0" borderId="33" xfId="0" applyNumberFormat="1" applyFill="1" applyBorder="1" applyAlignment="1" applyProtection="1">
      <alignment horizontal="center"/>
    </xf>
    <xf numFmtId="0" fontId="22" fillId="27" borderId="77" xfId="12" applyFill="1" applyBorder="1" applyAlignment="1">
      <alignment wrapText="1"/>
    </xf>
    <xf numFmtId="0" fontId="194" fillId="27" borderId="54" xfId="0" applyFont="1" applyFill="1" applyBorder="1" applyAlignment="1" applyProtection="1"/>
    <xf numFmtId="0" fontId="95" fillId="42" borderId="35" xfId="0" applyFont="1" applyFill="1" applyBorder="1" applyAlignment="1">
      <alignment vertical="center" wrapText="1"/>
    </xf>
    <xf numFmtId="0" fontId="25" fillId="0" borderId="108" xfId="0" applyFont="1" applyBorder="1"/>
    <xf numFmtId="0" fontId="22" fillId="20" borderId="108" xfId="0" quotePrefix="1" applyFont="1" applyFill="1" applyBorder="1" applyAlignment="1">
      <alignment vertical="center" wrapText="1"/>
    </xf>
    <xf numFmtId="0" fontId="39" fillId="31" borderId="24" xfId="0" applyFont="1" applyFill="1" applyBorder="1" applyAlignment="1">
      <alignment horizontal="center"/>
    </xf>
    <xf numFmtId="0" fontId="22" fillId="40" borderId="119" xfId="0" applyFont="1" applyFill="1" applyBorder="1" applyAlignment="1">
      <alignment vertical="center" wrapText="1"/>
    </xf>
    <xf numFmtId="0" fontId="24" fillId="21" borderId="6" xfId="0" applyFont="1" applyFill="1" applyBorder="1" applyAlignment="1" applyProtection="1">
      <alignment vertical="top" wrapText="1"/>
      <protection locked="0"/>
    </xf>
    <xf numFmtId="0" fontId="24" fillId="21" borderId="74" xfId="0" applyFont="1" applyFill="1" applyBorder="1" applyAlignment="1" applyProtection="1">
      <alignment vertical="top" wrapText="1"/>
      <protection locked="0"/>
    </xf>
    <xf numFmtId="170" fontId="102" fillId="45" borderId="121" xfId="0" applyNumberFormat="1" applyFont="1" applyFill="1" applyBorder="1" applyAlignment="1">
      <alignment horizontal="center" vertical="center" wrapText="1"/>
    </xf>
    <xf numFmtId="0" fontId="95" fillId="31" borderId="10" xfId="3" applyFont="1" applyFill="1" applyBorder="1" applyAlignment="1" applyProtection="1">
      <alignment horizontal="left" vertical="top" wrapText="1"/>
      <protection locked="0"/>
    </xf>
    <xf numFmtId="0" fontId="70" fillId="21" borderId="54" xfId="0" applyFont="1" applyFill="1" applyBorder="1" applyAlignment="1" applyProtection="1">
      <alignment vertical="top" wrapText="1"/>
      <protection locked="0"/>
    </xf>
    <xf numFmtId="0" fontId="42" fillId="31" borderId="58" xfId="0" applyFont="1" applyFill="1" applyBorder="1" applyAlignment="1">
      <alignment horizontal="center" wrapText="1"/>
    </xf>
    <xf numFmtId="0" fontId="22" fillId="20" borderId="17" xfId="0" applyFont="1" applyFill="1" applyBorder="1"/>
    <xf numFmtId="0" fontId="22" fillId="0" borderId="29" xfId="0" applyFont="1" applyBorder="1" applyProtection="1">
      <protection locked="0"/>
    </xf>
    <xf numFmtId="0" fontId="22" fillId="0" borderId="29" xfId="0" applyFont="1" applyFill="1" applyBorder="1" applyProtection="1">
      <protection locked="0"/>
    </xf>
    <xf numFmtId="0" fontId="22" fillId="0" borderId="108" xfId="0" applyFont="1" applyFill="1" applyBorder="1" applyAlignment="1"/>
    <xf numFmtId="0" fontId="0" fillId="27" borderId="10" xfId="0" applyFill="1" applyBorder="1" applyAlignment="1" applyProtection="1">
      <alignment horizontal="left"/>
    </xf>
    <xf numFmtId="14" fontId="22" fillId="0" borderId="6" xfId="0" applyNumberFormat="1" applyFont="1" applyFill="1" applyBorder="1" applyAlignment="1">
      <alignment vertical="center"/>
    </xf>
    <xf numFmtId="0" fontId="22" fillId="0" borderId="6" xfId="0" applyFont="1" applyFill="1" applyBorder="1" applyAlignment="1">
      <alignment vertical="center" wrapText="1"/>
    </xf>
    <xf numFmtId="0" fontId="22" fillId="0" borderId="6" xfId="0" applyFont="1" applyFill="1" applyBorder="1" applyAlignment="1">
      <alignment horizontal="center" vertical="center"/>
    </xf>
    <xf numFmtId="0" fontId="22" fillId="0" borderId="108" xfId="0" applyFont="1" applyFill="1" applyBorder="1" applyAlignment="1">
      <alignment horizontal="center"/>
    </xf>
    <xf numFmtId="0" fontId="22" fillId="0" borderId="108" xfId="0" applyFont="1" applyFill="1" applyBorder="1" applyAlignment="1"/>
    <xf numFmtId="0" fontId="0" fillId="0" borderId="54" xfId="0" applyBorder="1" applyAlignment="1">
      <alignment horizontal="left"/>
    </xf>
    <xf numFmtId="0" fontId="0" fillId="0" borderId="0" xfId="0" applyAlignment="1">
      <alignment horizontal="center"/>
    </xf>
    <xf numFmtId="0" fontId="0" fillId="0" borderId="23" xfId="0" applyFill="1" applyBorder="1"/>
    <xf numFmtId="0" fontId="0" fillId="24" borderId="55" xfId="0" applyFill="1" applyBorder="1"/>
    <xf numFmtId="0" fontId="0" fillId="27" borderId="55" xfId="0" applyFill="1" applyBorder="1" applyAlignment="1">
      <alignment horizontal="center" vertical="center"/>
    </xf>
    <xf numFmtId="0" fontId="0" fillId="20" borderId="55" xfId="0" applyFill="1" applyBorder="1" applyAlignment="1">
      <alignment horizontal="center" vertical="center"/>
    </xf>
    <xf numFmtId="0" fontId="0" fillId="24" borderId="10" xfId="0" applyFill="1" applyBorder="1"/>
    <xf numFmtId="0" fontId="0" fillId="20" borderId="10" xfId="0" applyFill="1" applyBorder="1"/>
    <xf numFmtId="0" fontId="0" fillId="20" borderId="10" xfId="0" applyFill="1" applyBorder="1" applyAlignment="1">
      <alignment horizontal="center" vertical="center"/>
    </xf>
    <xf numFmtId="0" fontId="0" fillId="0" borderId="0" xfId="0" applyBorder="1" applyAlignment="1">
      <alignment horizontal="left"/>
    </xf>
    <xf numFmtId="0" fontId="22" fillId="42" borderId="50" xfId="0" applyFont="1" applyFill="1" applyBorder="1"/>
    <xf numFmtId="0" fontId="22" fillId="42" borderId="51" xfId="0" applyFont="1" applyFill="1" applyBorder="1" applyAlignment="1">
      <alignment horizontal="left"/>
    </xf>
    <xf numFmtId="0" fontId="22" fillId="42" borderId="51" xfId="0" applyFont="1" applyFill="1" applyBorder="1"/>
    <xf numFmtId="0" fontId="22" fillId="42" borderId="52" xfId="0" applyFont="1" applyFill="1" applyBorder="1" applyAlignment="1">
      <alignment horizontal="center"/>
    </xf>
    <xf numFmtId="0" fontId="190" fillId="0" borderId="108" xfId="0" applyFont="1" applyBorder="1"/>
    <xf numFmtId="0" fontId="47" fillId="0" borderId="23" xfId="0" applyFont="1" applyBorder="1"/>
    <xf numFmtId="0" fontId="0" fillId="0" borderId="55" xfId="0" applyBorder="1" applyAlignment="1">
      <alignment horizontal="left"/>
    </xf>
    <xf numFmtId="0" fontId="0" fillId="0" borderId="47" xfId="0" applyBorder="1" applyAlignment="1">
      <alignment horizontal="center"/>
    </xf>
    <xf numFmtId="0" fontId="0" fillId="0" borderId="118" xfId="0" applyBorder="1" applyAlignment="1">
      <alignment horizontal="center"/>
    </xf>
    <xf numFmtId="0" fontId="22" fillId="0" borderId="114" xfId="0" applyFont="1" applyBorder="1"/>
    <xf numFmtId="0" fontId="0" fillId="0" borderId="110" xfId="0" applyBorder="1" applyAlignment="1">
      <alignment horizontal="left"/>
    </xf>
    <xf numFmtId="0" fontId="0" fillId="0" borderId="74" xfId="0" applyBorder="1" applyAlignment="1">
      <alignment horizontal="center"/>
    </xf>
    <xf numFmtId="0" fontId="22" fillId="0" borderId="110" xfId="0" applyFont="1" applyBorder="1"/>
    <xf numFmtId="0" fontId="47" fillId="0" borderId="50" xfId="0" applyFont="1" applyBorder="1"/>
    <xf numFmtId="0" fontId="0" fillId="31" borderId="0" xfId="0" applyFill="1"/>
    <xf numFmtId="0" fontId="0" fillId="31" borderId="0" xfId="0" applyFill="1" applyAlignment="1">
      <alignment horizontal="left"/>
    </xf>
    <xf numFmtId="0" fontId="0" fillId="31" borderId="0" xfId="0" applyFill="1" applyAlignment="1">
      <alignment horizontal="center"/>
    </xf>
    <xf numFmtId="0" fontId="22" fillId="0" borderId="108" xfId="0" applyFont="1" applyFill="1" applyBorder="1" applyAlignment="1">
      <alignment wrapText="1"/>
    </xf>
    <xf numFmtId="0" fontId="0" fillId="27" borderId="108" xfId="0" applyFill="1" applyBorder="1" applyAlignment="1">
      <alignment horizontal="center"/>
    </xf>
    <xf numFmtId="0" fontId="0" fillId="0" borderId="39" xfId="0" applyFont="1" applyFill="1" applyBorder="1"/>
    <xf numFmtId="0" fontId="0" fillId="0" borderId="48" xfId="0" applyBorder="1" applyAlignment="1">
      <alignment horizontal="left"/>
    </xf>
    <xf numFmtId="0" fontId="22" fillId="0" borderId="108" xfId="0" applyFont="1" applyFill="1" applyBorder="1" applyAlignment="1">
      <alignment wrapText="1"/>
    </xf>
    <xf numFmtId="0" fontId="0" fillId="27" borderId="32" xfId="0" applyFill="1" applyBorder="1" applyAlignment="1">
      <alignment horizontal="center" vertical="center"/>
    </xf>
    <xf numFmtId="0" fontId="0" fillId="27" borderId="109" xfId="0" applyFill="1" applyBorder="1" applyAlignment="1">
      <alignment horizontal="center" vertical="center"/>
    </xf>
    <xf numFmtId="0" fontId="0" fillId="0" borderId="34" xfId="0" applyBorder="1"/>
    <xf numFmtId="0" fontId="89" fillId="46" borderId="0" xfId="0" applyFont="1" applyFill="1" applyBorder="1" applyAlignment="1">
      <alignment horizontal="center" vertical="center"/>
    </xf>
    <xf numFmtId="0" fontId="0" fillId="0" borderId="0" xfId="0" applyAlignment="1">
      <alignment horizontal="center"/>
    </xf>
    <xf numFmtId="0" fontId="0" fillId="123" borderId="117" xfId="0" applyFill="1" applyBorder="1"/>
    <xf numFmtId="0" fontId="22" fillId="123" borderId="117" xfId="0" applyFont="1" applyFill="1" applyBorder="1"/>
    <xf numFmtId="0" fontId="0" fillId="40" borderId="67" xfId="0" applyFill="1" applyBorder="1"/>
    <xf numFmtId="0" fontId="22" fillId="27" borderId="21" xfId="0" applyFont="1" applyFill="1" applyBorder="1"/>
    <xf numFmtId="0" fontId="22" fillId="27" borderId="49" xfId="0" applyFont="1" applyFill="1" applyBorder="1"/>
    <xf numFmtId="0" fontId="22" fillId="20" borderId="49" xfId="0" applyFont="1" applyFill="1" applyBorder="1"/>
    <xf numFmtId="0" fontId="22" fillId="20" borderId="108" xfId="0" applyFont="1" applyFill="1" applyBorder="1" applyAlignment="1">
      <alignment horizontal="left"/>
    </xf>
    <xf numFmtId="0" fontId="22" fillId="20" borderId="118" xfId="0" applyFont="1" applyFill="1" applyBorder="1"/>
    <xf numFmtId="0" fontId="22" fillId="20" borderId="24" xfId="0" applyFont="1" applyFill="1" applyBorder="1"/>
    <xf numFmtId="0" fontId="22" fillId="20" borderId="48" xfId="0" applyFont="1" applyFill="1" applyBorder="1"/>
    <xf numFmtId="0" fontId="22" fillId="20" borderId="74" xfId="0" applyFont="1" applyFill="1" applyBorder="1"/>
    <xf numFmtId="0" fontId="22" fillId="20" borderId="0" xfId="0" applyFont="1" applyFill="1" applyBorder="1"/>
    <xf numFmtId="0" fontId="22" fillId="20" borderId="0" xfId="0" applyFont="1" applyFill="1" applyBorder="1" applyAlignment="1">
      <alignment horizontal="left"/>
    </xf>
    <xf numFmtId="0" fontId="73" fillId="0" borderId="23" xfId="0" applyFont="1" applyBorder="1" applyAlignment="1">
      <alignment vertical="center"/>
    </xf>
    <xf numFmtId="0" fontId="22" fillId="20" borderId="55" xfId="0" applyFont="1" applyFill="1" applyBorder="1" applyAlignment="1">
      <alignment horizontal="left"/>
    </xf>
    <xf numFmtId="0" fontId="22" fillId="20" borderId="47" xfId="0" applyFont="1" applyFill="1" applyBorder="1"/>
    <xf numFmtId="0" fontId="73" fillId="0" borderId="21" xfId="0" applyFont="1" applyBorder="1" applyAlignment="1">
      <alignment vertical="center"/>
    </xf>
    <xf numFmtId="0" fontId="73" fillId="0" borderId="24" xfId="0" applyFont="1" applyBorder="1" applyAlignment="1">
      <alignment vertical="center"/>
    </xf>
    <xf numFmtId="0" fontId="179" fillId="0" borderId="34" xfId="0" applyFont="1" applyBorder="1"/>
    <xf numFmtId="0" fontId="179" fillId="0" borderId="19" xfId="0" applyFont="1" applyBorder="1"/>
    <xf numFmtId="0" fontId="179" fillId="0" borderId="14" xfId="0" applyFont="1" applyBorder="1"/>
    <xf numFmtId="0" fontId="22" fillId="20" borderId="44" xfId="0" applyFont="1" applyFill="1" applyBorder="1" applyAlignment="1" applyProtection="1">
      <alignment horizontal="center"/>
    </xf>
    <xf numFmtId="0" fontId="24" fillId="27" borderId="6" xfId="0" applyFont="1" applyFill="1" applyBorder="1" applyAlignment="1">
      <alignment horizontal="left" vertical="top" wrapText="1"/>
    </xf>
    <xf numFmtId="0" fontId="179" fillId="0" borderId="61" xfId="0" applyFont="1" applyBorder="1"/>
    <xf numFmtId="0" fontId="179" fillId="0" borderId="28" xfId="0" applyFont="1" applyBorder="1"/>
    <xf numFmtId="0" fontId="179" fillId="0" borderId="60" xfId="0" applyFont="1" applyBorder="1"/>
    <xf numFmtId="0" fontId="0" fillId="0" borderId="34" xfId="0" applyBorder="1" applyAlignment="1">
      <alignment wrapText="1"/>
    </xf>
    <xf numFmtId="0" fontId="0" fillId="0" borderId="19" xfId="0" applyBorder="1" applyAlignment="1">
      <alignment wrapText="1"/>
    </xf>
    <xf numFmtId="0" fontId="28" fillId="44" borderId="38" xfId="0" applyFont="1" applyFill="1" applyBorder="1" applyAlignment="1">
      <alignment horizontal="center" vertical="center"/>
    </xf>
    <xf numFmtId="0" fontId="22" fillId="0" borderId="108" xfId="0" applyFont="1" applyFill="1" applyBorder="1" applyAlignment="1">
      <alignment wrapText="1"/>
    </xf>
    <xf numFmtId="0" fontId="22" fillId="46" borderId="2" xfId="0" applyFont="1" applyFill="1" applyBorder="1" applyProtection="1">
      <protection locked="0"/>
    </xf>
    <xf numFmtId="0" fontId="22" fillId="31" borderId="6" xfId="3" applyFont="1" applyFill="1" applyBorder="1" applyAlignment="1" applyProtection="1">
      <alignment horizontal="center" vertical="center" wrapText="1"/>
      <protection locked="0"/>
    </xf>
    <xf numFmtId="0" fontId="24" fillId="21" borderId="108" xfId="3" applyFont="1" applyFill="1" applyBorder="1" applyAlignment="1" applyProtection="1">
      <alignment horizontal="center" vertical="center" wrapText="1"/>
      <protection locked="0"/>
    </xf>
    <xf numFmtId="0" fontId="24" fillId="42" borderId="109" xfId="0" applyFont="1" applyFill="1" applyBorder="1" applyAlignment="1" applyProtection="1">
      <alignment vertical="top" wrapText="1"/>
      <protection locked="0"/>
    </xf>
    <xf numFmtId="0" fontId="24" fillId="42" borderId="118" xfId="0" applyFont="1" applyFill="1" applyBorder="1" applyAlignment="1" applyProtection="1">
      <alignment vertical="top" wrapText="1"/>
      <protection locked="0"/>
    </xf>
    <xf numFmtId="0" fontId="0" fillId="0" borderId="108" xfId="0" applyBorder="1" applyAlignment="1" applyProtection="1">
      <alignment horizontal="center"/>
      <protection locked="0"/>
    </xf>
    <xf numFmtId="0" fontId="0" fillId="0" borderId="108" xfId="0" applyBorder="1" applyProtection="1">
      <protection locked="0"/>
    </xf>
    <xf numFmtId="0" fontId="31" fillId="44" borderId="53" xfId="0" applyFont="1" applyFill="1" applyBorder="1" applyAlignment="1" applyProtection="1">
      <alignment vertical="center"/>
      <protection locked="0"/>
    </xf>
    <xf numFmtId="0" fontId="31" fillId="44" borderId="2" xfId="0" applyFont="1" applyFill="1" applyBorder="1" applyAlignment="1" applyProtection="1">
      <alignment vertical="center"/>
      <protection locked="0"/>
    </xf>
    <xf numFmtId="0" fontId="0" fillId="0" borderId="6" xfId="0" applyBorder="1" applyAlignment="1" applyProtection="1">
      <alignment horizontal="center"/>
      <protection locked="0"/>
    </xf>
    <xf numFmtId="0" fontId="142" fillId="45" borderId="108" xfId="0" applyFont="1" applyFill="1" applyBorder="1" applyAlignment="1" applyProtection="1">
      <alignment horizontal="center"/>
    </xf>
    <xf numFmtId="0" fontId="142" fillId="45" borderId="111" xfId="0" applyFont="1" applyFill="1" applyBorder="1" applyAlignment="1" applyProtection="1">
      <protection locked="0"/>
    </xf>
    <xf numFmtId="0" fontId="113" fillId="133" borderId="29" xfId="0" applyFont="1" applyFill="1" applyBorder="1" applyAlignment="1" applyProtection="1">
      <alignment horizontal="center"/>
      <protection locked="0"/>
    </xf>
    <xf numFmtId="0" fontId="0" fillId="134" borderId="0" xfId="0" applyFill="1" applyBorder="1" applyAlignment="1" applyProtection="1">
      <alignment horizontal="center"/>
      <protection locked="0"/>
    </xf>
    <xf numFmtId="0" fontId="0" fillId="134" borderId="0" xfId="0" applyFill="1" applyBorder="1" applyProtection="1">
      <protection locked="0"/>
    </xf>
    <xf numFmtId="0" fontId="0" fillId="134" borderId="36" xfId="0" applyFill="1" applyBorder="1" applyAlignment="1" applyProtection="1">
      <alignment horizontal="center"/>
      <protection locked="0"/>
    </xf>
    <xf numFmtId="0" fontId="0" fillId="27" borderId="21" xfId="0" applyFill="1" applyBorder="1" applyAlignment="1" applyProtection="1">
      <alignment horizontal="center"/>
    </xf>
    <xf numFmtId="0" fontId="0" fillId="0" borderId="118" xfId="0" applyBorder="1" applyProtection="1">
      <protection locked="0"/>
    </xf>
    <xf numFmtId="0" fontId="0" fillId="27" borderId="24" xfId="0" applyFill="1" applyBorder="1" applyAlignment="1" applyProtection="1">
      <alignment horizontal="center"/>
    </xf>
    <xf numFmtId="0" fontId="0" fillId="0" borderId="54" xfId="0" applyBorder="1" applyAlignment="1" applyProtection="1">
      <alignment horizontal="center"/>
      <protection locked="0"/>
    </xf>
    <xf numFmtId="0" fontId="27" fillId="27" borderId="21" xfId="0" applyFont="1" applyFill="1" applyBorder="1" applyAlignment="1" applyProtection="1">
      <alignment horizontal="center"/>
      <protection locked="0"/>
    </xf>
    <xf numFmtId="0" fontId="27" fillId="27" borderId="108" xfId="0" applyFont="1" applyFill="1" applyBorder="1" applyAlignment="1" applyProtection="1">
      <alignment horizontal="center"/>
      <protection locked="0"/>
    </xf>
    <xf numFmtId="0" fontId="27" fillId="27" borderId="118" xfId="0" applyFont="1" applyFill="1" applyBorder="1" applyAlignment="1" applyProtection="1">
      <alignment horizontal="center"/>
      <protection locked="0"/>
    </xf>
    <xf numFmtId="0" fontId="201" fillId="24" borderId="44" xfId="4967" applyFont="1" applyFill="1" applyBorder="1" applyAlignment="1">
      <alignment horizontal="center" wrapText="1"/>
    </xf>
    <xf numFmtId="0" fontId="0" fillId="0" borderId="0" xfId="0" applyAlignment="1">
      <alignment horizontal="center"/>
    </xf>
    <xf numFmtId="0" fontId="22" fillId="27" borderId="52" xfId="0" applyFont="1" applyFill="1" applyBorder="1" applyAlignment="1">
      <alignment horizontal="center" wrapText="1"/>
    </xf>
    <xf numFmtId="0" fontId="24" fillId="46" borderId="6" xfId="3" applyFont="1" applyFill="1" applyBorder="1" applyAlignment="1" applyProtection="1">
      <alignment horizontal="center" vertical="center" wrapText="1"/>
    </xf>
    <xf numFmtId="0" fontId="0" fillId="27" borderId="51" xfId="0" applyFill="1" applyBorder="1"/>
    <xf numFmtId="0" fontId="22" fillId="27" borderId="51" xfId="0" applyFont="1" applyFill="1" applyBorder="1" applyAlignment="1">
      <alignment horizontal="center" wrapText="1"/>
    </xf>
    <xf numFmtId="0" fontId="22" fillId="27" borderId="51" xfId="0" applyFont="1" applyFill="1" applyBorder="1" applyAlignment="1">
      <alignment vertical="center"/>
    </xf>
    <xf numFmtId="0" fontId="0" fillId="0" borderId="112" xfId="0" applyBorder="1"/>
    <xf numFmtId="0" fontId="22" fillId="0" borderId="44" xfId="0" applyFont="1" applyBorder="1"/>
    <xf numFmtId="0" fontId="0" fillId="0" borderId="58" xfId="0" applyBorder="1" applyAlignment="1">
      <alignment horizontal="center" vertical="center"/>
    </xf>
    <xf numFmtId="0" fontId="91" fillId="29" borderId="44" xfId="0" applyFont="1" applyFill="1" applyBorder="1" applyAlignment="1">
      <alignment horizontal="center"/>
    </xf>
    <xf numFmtId="0" fontId="91" fillId="27" borderId="51" xfId="0" applyFont="1" applyFill="1" applyBorder="1" applyAlignment="1">
      <alignment horizontal="center" vertical="center"/>
    </xf>
    <xf numFmtId="0" fontId="42" fillId="20" borderId="0" xfId="3" applyFont="1" applyFill="1" applyBorder="1" applyAlignment="1" applyProtection="1">
      <alignment horizontal="left" vertical="center"/>
      <protection locked="0"/>
    </xf>
    <xf numFmtId="0" fontId="39" fillId="87" borderId="32" xfId="0" applyFont="1" applyFill="1" applyBorder="1" applyAlignment="1">
      <alignment horizontal="center" wrapText="1"/>
    </xf>
    <xf numFmtId="0" fontId="67" fillId="3" borderId="109" xfId="0" applyFont="1" applyFill="1" applyBorder="1" applyAlignment="1">
      <alignment horizontal="left"/>
    </xf>
    <xf numFmtId="0" fontId="88" fillId="49" borderId="109" xfId="0" applyFont="1" applyFill="1" applyBorder="1" applyAlignment="1">
      <alignment horizontal="left"/>
    </xf>
    <xf numFmtId="0" fontId="0" fillId="0" borderId="0" xfId="0" applyAlignment="1">
      <alignment horizontal="center"/>
    </xf>
    <xf numFmtId="0" fontId="22" fillId="0" borderId="108" xfId="0" applyFont="1" applyFill="1" applyBorder="1" applyAlignment="1">
      <alignment wrapText="1"/>
    </xf>
    <xf numFmtId="0" fontId="22" fillId="31" borderId="1" xfId="3" applyFont="1" applyFill="1" applyBorder="1" applyAlignment="1" applyProtection="1">
      <alignment horizontal="center" vertical="center" wrapText="1"/>
    </xf>
    <xf numFmtId="0" fontId="22" fillId="120" borderId="6" xfId="0" applyNumberFormat="1" applyFont="1" applyFill="1" applyBorder="1" applyAlignment="1">
      <alignment horizontal="center"/>
    </xf>
    <xf numFmtId="49" fontId="0" fillId="120" borderId="6" xfId="0" applyNumberFormat="1" applyFill="1" applyBorder="1" applyAlignment="1">
      <alignment horizontal="center"/>
    </xf>
    <xf numFmtId="49" fontId="0" fillId="120" borderId="54" xfId="0" applyNumberFormat="1" applyFill="1" applyBorder="1" applyAlignment="1">
      <alignment horizontal="center"/>
    </xf>
    <xf numFmtId="0" fontId="96" fillId="46" borderId="35" xfId="3" applyFont="1" applyFill="1" applyBorder="1" applyAlignment="1" applyProtection="1">
      <alignment horizontal="left" vertical="top" wrapText="1"/>
      <protection locked="0"/>
    </xf>
    <xf numFmtId="0" fontId="22" fillId="46" borderId="112" xfId="3" applyFont="1" applyFill="1" applyBorder="1" applyAlignment="1" applyProtection="1">
      <alignment horizontal="left" vertical="top" wrapText="1" indent="1"/>
      <protection locked="0"/>
    </xf>
    <xf numFmtId="0" fontId="28" fillId="44" borderId="38" xfId="0" applyFont="1" applyFill="1" applyBorder="1" applyAlignment="1">
      <alignment horizontal="center" vertical="center"/>
    </xf>
    <xf numFmtId="0" fontId="0" fillId="0" borderId="0" xfId="0" applyAlignment="1">
      <alignment horizontal="center"/>
    </xf>
    <xf numFmtId="0" fontId="81" fillId="20" borderId="0" xfId="3" applyFont="1" applyFill="1" applyBorder="1" applyAlignment="1" applyProtection="1">
      <alignment horizontal="left" vertical="top" wrapText="1" indent="3"/>
    </xf>
    <xf numFmtId="0" fontId="82" fillId="20" borderId="0" xfId="3" applyFont="1" applyFill="1" applyBorder="1" applyAlignment="1" applyProtection="1">
      <alignment vertical="top" wrapText="1"/>
      <protection locked="0"/>
    </xf>
    <xf numFmtId="0" fontId="82" fillId="20" borderId="0" xfId="3" applyFont="1" applyFill="1" applyBorder="1" applyAlignment="1" applyProtection="1">
      <alignment horizontal="center" vertical="top" wrapText="1"/>
      <protection locked="0"/>
    </xf>
    <xf numFmtId="0" fontId="82" fillId="20" borderId="36" xfId="3" applyFont="1" applyFill="1" applyBorder="1" applyAlignment="1" applyProtection="1">
      <alignment horizontal="center" vertical="top" wrapText="1"/>
      <protection locked="0"/>
    </xf>
    <xf numFmtId="0" fontId="82" fillId="20" borderId="29" xfId="3" applyFont="1" applyFill="1" applyBorder="1" applyAlignment="1" applyProtection="1">
      <alignment horizontal="left" vertical="top" wrapText="1" indent="3"/>
      <protection locked="0"/>
    </xf>
    <xf numFmtId="0" fontId="81" fillId="31" borderId="40" xfId="3" applyFont="1" applyFill="1" applyBorder="1" applyAlignment="1" applyProtection="1">
      <alignment horizontal="left" vertical="top" wrapText="1" indent="3"/>
      <protection locked="0"/>
    </xf>
    <xf numFmtId="0" fontId="82" fillId="20" borderId="0" xfId="3" applyFont="1" applyFill="1" applyBorder="1" applyAlignment="1" applyProtection="1">
      <alignment horizontal="left" vertical="top" wrapText="1" indent="3"/>
      <protection locked="0"/>
    </xf>
    <xf numFmtId="0" fontId="82" fillId="31" borderId="44" xfId="3" applyFont="1" applyFill="1" applyBorder="1" applyAlignment="1" applyProtection="1">
      <alignment vertical="top" wrapText="1"/>
      <protection locked="0"/>
    </xf>
    <xf numFmtId="0" fontId="102" fillId="31" borderId="112" xfId="3" applyFont="1" applyFill="1" applyBorder="1" applyAlignment="1" applyProtection="1">
      <alignment horizontal="left" vertical="top" wrapText="1" indent="3"/>
      <protection locked="0"/>
    </xf>
    <xf numFmtId="0" fontId="27" fillId="52" borderId="108" xfId="0" applyFont="1" applyFill="1" applyBorder="1" applyAlignment="1">
      <alignment horizontal="center"/>
    </xf>
    <xf numFmtId="0" fontId="22" fillId="52" borderId="108" xfId="0" applyFont="1" applyFill="1" applyBorder="1"/>
    <xf numFmtId="0" fontId="82" fillId="20" borderId="44" xfId="3" applyFont="1" applyFill="1" applyBorder="1" applyAlignment="1" applyProtection="1">
      <alignment horizontal="left" vertical="top" wrapText="1" indent="3"/>
    </xf>
    <xf numFmtId="0" fontId="0" fillId="0" borderId="38" xfId="0" applyBorder="1" applyAlignment="1">
      <alignment horizontal="center"/>
    </xf>
    <xf numFmtId="0" fontId="0" fillId="27" borderId="32" xfId="0" applyFill="1" applyBorder="1" applyAlignment="1">
      <alignment horizontal="center" wrapText="1"/>
    </xf>
    <xf numFmtId="0" fontId="0" fillId="27" borderId="109" xfId="0" applyFill="1" applyBorder="1" applyAlignment="1">
      <alignment horizontal="center" wrapText="1"/>
    </xf>
    <xf numFmtId="0" fontId="0" fillId="27" borderId="33" xfId="0" applyFill="1" applyBorder="1" applyAlignment="1">
      <alignment horizontal="center" wrapText="1"/>
    </xf>
    <xf numFmtId="0" fontId="28" fillId="44" borderId="39" xfId="0" applyFont="1" applyFill="1" applyBorder="1" applyAlignment="1">
      <alignment horizontal="center" vertical="center"/>
    </xf>
    <xf numFmtId="0" fontId="0" fillId="0" borderId="0" xfId="0" applyAlignment="1">
      <alignment horizontal="center"/>
    </xf>
    <xf numFmtId="0" fontId="31" fillId="44" borderId="42" xfId="0" applyFont="1" applyFill="1" applyBorder="1" applyAlignment="1">
      <alignment horizontal="center" vertical="top" wrapText="1"/>
    </xf>
    <xf numFmtId="0" fontId="31" fillId="44" borderId="39" xfId="0" applyFont="1" applyFill="1" applyBorder="1" applyAlignment="1">
      <alignment horizontal="center" vertical="top" wrapText="1"/>
    </xf>
    <xf numFmtId="0" fontId="0" fillId="44" borderId="39" xfId="0" applyFill="1" applyBorder="1" applyAlignment="1">
      <alignment horizontal="center"/>
    </xf>
    <xf numFmtId="0" fontId="27" fillId="53" borderId="51" xfId="0" applyFont="1" applyFill="1" applyBorder="1" applyAlignment="1">
      <alignment horizontal="center" vertical="center"/>
    </xf>
    <xf numFmtId="0" fontId="31" fillId="44" borderId="39" xfId="0" applyFont="1" applyFill="1" applyBorder="1" applyAlignment="1">
      <alignment horizontal="left" vertical="top" wrapText="1"/>
    </xf>
    <xf numFmtId="0" fontId="213" fillId="31" borderId="50" xfId="0" applyFont="1" applyFill="1" applyBorder="1"/>
    <xf numFmtId="0" fontId="213" fillId="31" borderId="50" xfId="0" applyFont="1" applyFill="1" applyBorder="1" applyAlignment="1">
      <alignment horizontal="center"/>
    </xf>
    <xf numFmtId="0" fontId="213" fillId="31" borderId="51" xfId="0" applyFont="1" applyFill="1" applyBorder="1" applyAlignment="1">
      <alignment horizontal="center"/>
    </xf>
    <xf numFmtId="0" fontId="213" fillId="31" borderId="51" xfId="0" applyFont="1" applyFill="1" applyBorder="1" applyAlignment="1">
      <alignment horizontal="left"/>
    </xf>
    <xf numFmtId="0" fontId="213" fillId="31" borderId="51" xfId="0" applyFont="1" applyFill="1" applyBorder="1" applyAlignment="1">
      <alignment horizontal="center" wrapText="1"/>
    </xf>
    <xf numFmtId="0" fontId="213" fillId="31" borderId="51" xfId="0" applyFont="1" applyFill="1" applyBorder="1"/>
    <xf numFmtId="0" fontId="213" fillId="31" borderId="51" xfId="0" applyFont="1" applyFill="1" applyBorder="1" applyAlignment="1">
      <alignment wrapText="1"/>
    </xf>
    <xf numFmtId="0" fontId="213" fillId="31" borderId="52" xfId="0" applyFont="1" applyFill="1" applyBorder="1"/>
    <xf numFmtId="0" fontId="22" fillId="23" borderId="21" xfId="0" applyFont="1" applyFill="1" applyBorder="1"/>
    <xf numFmtId="0" fontId="31" fillId="44" borderId="39" xfId="0" applyFont="1" applyFill="1" applyBorder="1" applyAlignment="1">
      <alignment horizontal="center" vertical="top" wrapText="1"/>
    </xf>
    <xf numFmtId="0" fontId="0" fillId="0" borderId="0" xfId="0" applyAlignment="1">
      <alignment horizontal="center"/>
    </xf>
    <xf numFmtId="0" fontId="0" fillId="21" borderId="108" xfId="0" applyFill="1" applyBorder="1" applyAlignment="1">
      <alignment horizontal="center" wrapText="1"/>
    </xf>
    <xf numFmtId="0" fontId="0" fillId="20" borderId="17" xfId="0" applyFill="1" applyBorder="1" applyAlignment="1" applyProtection="1">
      <alignment wrapText="1"/>
    </xf>
    <xf numFmtId="0" fontId="0" fillId="20" borderId="77" xfId="0" applyFill="1" applyBorder="1" applyAlignment="1" applyProtection="1">
      <alignment wrapText="1"/>
    </xf>
    <xf numFmtId="0" fontId="0" fillId="0" borderId="0" xfId="0" applyBorder="1" applyAlignment="1">
      <alignment horizontal="center"/>
    </xf>
    <xf numFmtId="0" fontId="0" fillId="0" borderId="0" xfId="0" applyAlignment="1">
      <alignment horizontal="center"/>
    </xf>
    <xf numFmtId="0" fontId="73" fillId="0" borderId="108" xfId="0" applyFont="1" applyBorder="1" applyAlignment="1">
      <alignment vertical="center"/>
    </xf>
    <xf numFmtId="0" fontId="32" fillId="3" borderId="67" xfId="0" applyFont="1" applyFill="1" applyBorder="1" applyAlignment="1">
      <alignment horizontal="center"/>
    </xf>
    <xf numFmtId="0" fontId="0" fillId="52" borderId="108" xfId="0" applyFill="1" applyBorder="1"/>
    <xf numFmtId="0" fontId="0" fillId="0" borderId="111" xfId="0" applyBorder="1"/>
    <xf numFmtId="0" fontId="27" fillId="16" borderId="109" xfId="0" applyFont="1" applyFill="1" applyBorder="1" applyAlignment="1">
      <alignment horizontal="center"/>
    </xf>
    <xf numFmtId="0" fontId="91" fillId="52" borderId="108" xfId="0" applyFont="1" applyFill="1" applyBorder="1"/>
    <xf numFmtId="0" fontId="0" fillId="52" borderId="108" xfId="0" applyFill="1" applyBorder="1" applyAlignment="1">
      <alignment horizontal="left"/>
    </xf>
    <xf numFmtId="0" fontId="22" fillId="52" borderId="108" xfId="0" applyFont="1" applyFill="1" applyBorder="1" applyAlignment="1">
      <alignment horizontal="left"/>
    </xf>
    <xf numFmtId="0" fontId="0" fillId="16" borderId="108" xfId="0" applyFill="1" applyBorder="1" applyAlignment="1">
      <alignment horizontal="left"/>
    </xf>
    <xf numFmtId="0" fontId="22" fillId="16" borderId="108" xfId="0" applyFont="1" applyFill="1" applyBorder="1" applyAlignment="1">
      <alignment horizontal="left"/>
    </xf>
    <xf numFmtId="0" fontId="0" fillId="0" borderId="108" xfId="0" applyBorder="1" applyAlignment="1">
      <alignment vertical="center" wrapText="1"/>
    </xf>
    <xf numFmtId="0" fontId="89" fillId="27" borderId="109" xfId="0" applyFont="1" applyFill="1" applyBorder="1" applyAlignment="1">
      <alignment horizontal="center"/>
    </xf>
    <xf numFmtId="0" fontId="89" fillId="27" borderId="33" xfId="0" applyFont="1" applyFill="1" applyBorder="1" applyAlignment="1">
      <alignment horizontal="left"/>
    </xf>
    <xf numFmtId="0" fontId="23" fillId="33" borderId="28" xfId="0" applyFont="1" applyFill="1" applyBorder="1"/>
    <xf numFmtId="0" fontId="23" fillId="33" borderId="109" xfId="0" applyFont="1" applyFill="1" applyBorder="1" applyAlignment="1"/>
    <xf numFmtId="0" fontId="22" fillId="33" borderId="118" xfId="0" applyFont="1" applyFill="1" applyBorder="1" applyAlignment="1"/>
    <xf numFmtId="0" fontId="23" fillId="33" borderId="28" xfId="0" applyFont="1" applyFill="1" applyBorder="1" applyAlignment="1">
      <alignment horizontal="left"/>
    </xf>
    <xf numFmtId="0" fontId="22" fillId="33" borderId="28" xfId="0" applyFont="1" applyFill="1" applyBorder="1" applyAlignment="1">
      <alignment horizontal="left"/>
    </xf>
    <xf numFmtId="0" fontId="22" fillId="33" borderId="109" xfId="0" applyFont="1" applyFill="1" applyBorder="1" applyAlignment="1"/>
    <xf numFmtId="0" fontId="22" fillId="33" borderId="48" xfId="0" applyFont="1" applyFill="1" applyBorder="1" applyAlignment="1"/>
    <xf numFmtId="0" fontId="252" fillId="118" borderId="34" xfId="0" applyFont="1" applyFill="1" applyBorder="1" applyAlignment="1">
      <alignment vertical="center"/>
    </xf>
    <xf numFmtId="0" fontId="252" fillId="118" borderId="19" xfId="0" applyFont="1" applyFill="1" applyBorder="1" applyAlignment="1">
      <alignment vertical="center"/>
    </xf>
    <xf numFmtId="0" fontId="0" fillId="0" borderId="64" xfId="0" applyBorder="1"/>
    <xf numFmtId="0" fontId="0" fillId="20" borderId="108" xfId="0" applyFill="1" applyBorder="1" applyAlignment="1">
      <alignment horizontal="center"/>
    </xf>
    <xf numFmtId="0" fontId="0" fillId="20" borderId="54" xfId="0" applyFill="1" applyBorder="1" applyAlignment="1">
      <alignment horizontal="center"/>
    </xf>
    <xf numFmtId="0" fontId="0" fillId="31" borderId="89" xfId="0" applyFill="1" applyBorder="1" applyAlignment="1" applyProtection="1">
      <alignment horizontal="center"/>
    </xf>
    <xf numFmtId="0" fontId="22" fillId="0" borderId="108" xfId="0" applyNumberFormat="1" applyFont="1" applyFill="1" applyBorder="1" applyAlignment="1">
      <alignment vertical="center"/>
    </xf>
    <xf numFmtId="0" fontId="22" fillId="20" borderId="0" xfId="0" applyFont="1" applyFill="1" applyAlignment="1"/>
    <xf numFmtId="0" fontId="22" fillId="20" borderId="0" xfId="0" applyFont="1" applyFill="1" applyAlignment="1">
      <alignment wrapText="1"/>
    </xf>
    <xf numFmtId="0" fontId="22" fillId="21" borderId="40" xfId="0" applyFont="1" applyFill="1" applyBorder="1"/>
    <xf numFmtId="0" fontId="22" fillId="40" borderId="34" xfId="0" applyFont="1" applyFill="1" applyBorder="1" applyAlignment="1">
      <alignment vertical="center" wrapText="1"/>
    </xf>
    <xf numFmtId="0" fontId="22" fillId="40" borderId="14" xfId="0" applyFont="1" applyFill="1" applyBorder="1" applyAlignment="1">
      <alignment vertical="center" wrapText="1"/>
    </xf>
    <xf numFmtId="0" fontId="22" fillId="40" borderId="19" xfId="0" applyFont="1" applyFill="1" applyBorder="1" applyAlignment="1">
      <alignment vertical="center" wrapText="1"/>
    </xf>
    <xf numFmtId="170" fontId="80" fillId="40" borderId="34" xfId="0" applyNumberFormat="1" applyFont="1" applyFill="1" applyBorder="1" applyAlignment="1">
      <alignment horizontal="center" vertical="center" wrapText="1"/>
    </xf>
    <xf numFmtId="170" fontId="80" fillId="40" borderId="19" xfId="0" applyNumberFormat="1" applyFont="1" applyFill="1" applyBorder="1" applyAlignment="1">
      <alignment horizontal="center" vertical="center" wrapText="1"/>
    </xf>
    <xf numFmtId="0" fontId="25" fillId="46" borderId="2" xfId="0" applyFont="1" applyFill="1" applyBorder="1" applyAlignment="1">
      <alignment vertical="center" wrapText="1"/>
    </xf>
    <xf numFmtId="0" fontId="25" fillId="46" borderId="68" xfId="0" applyFont="1" applyFill="1" applyBorder="1" applyAlignment="1">
      <alignment vertical="center" wrapText="1"/>
    </xf>
    <xf numFmtId="0" fontId="101" fillId="46" borderId="38" xfId="0" applyFont="1" applyFill="1" applyBorder="1" applyAlignment="1">
      <alignment horizontal="left" vertical="center" wrapText="1"/>
    </xf>
    <xf numFmtId="0" fontId="101" fillId="46" borderId="37" xfId="0" applyFont="1" applyFill="1" applyBorder="1" applyAlignment="1">
      <alignment horizontal="left" vertical="center" wrapText="1"/>
    </xf>
    <xf numFmtId="0" fontId="24" fillId="24" borderId="1" xfId="0" applyFont="1" applyFill="1" applyBorder="1"/>
    <xf numFmtId="0" fontId="25" fillId="40" borderId="35" xfId="0" applyFont="1" applyFill="1" applyBorder="1" applyAlignment="1">
      <alignment horizontal="center" wrapText="1"/>
    </xf>
    <xf numFmtId="0" fontId="227" fillId="40" borderId="34" xfId="0" applyFont="1" applyFill="1" applyBorder="1" applyAlignment="1">
      <alignment horizontal="center" vertical="center"/>
    </xf>
    <xf numFmtId="0" fontId="27" fillId="31" borderId="10" xfId="0" applyFont="1" applyFill="1" applyBorder="1" applyAlignment="1">
      <alignment horizontal="center" wrapText="1"/>
    </xf>
    <xf numFmtId="0" fontId="27" fillId="31" borderId="77" xfId="0" applyFont="1" applyFill="1" applyBorder="1" applyAlignment="1">
      <alignment horizontal="center" wrapText="1"/>
    </xf>
    <xf numFmtId="0" fontId="0" fillId="0" borderId="1" xfId="0" applyBorder="1" applyAlignment="1"/>
    <xf numFmtId="0" fontId="0" fillId="0" borderId="109" xfId="0" applyBorder="1" applyAlignment="1"/>
    <xf numFmtId="0" fontId="0" fillId="0" borderId="6" xfId="0" applyBorder="1" applyAlignment="1"/>
    <xf numFmtId="0" fontId="27" fillId="31" borderId="44" xfId="0" applyFont="1" applyFill="1" applyBorder="1" applyAlignment="1">
      <alignment wrapText="1"/>
    </xf>
    <xf numFmtId="0" fontId="27" fillId="31" borderId="38" xfId="0" applyFont="1" applyFill="1" applyBorder="1" applyAlignment="1">
      <alignment wrapText="1"/>
    </xf>
    <xf numFmtId="0" fontId="27" fillId="31" borderId="122" xfId="0" applyFont="1" applyFill="1" applyBorder="1" applyAlignment="1">
      <alignment horizontal="center"/>
    </xf>
    <xf numFmtId="0" fontId="27" fillId="31" borderId="112" xfId="0" applyFont="1" applyFill="1" applyBorder="1" applyAlignment="1">
      <alignment horizontal="center" wrapText="1"/>
    </xf>
    <xf numFmtId="0" fontId="22" fillId="0" borderId="48" xfId="0" applyNumberFormat="1" applyFont="1" applyBorder="1" applyAlignment="1" applyProtection="1">
      <alignment wrapText="1"/>
      <protection locked="0"/>
    </xf>
    <xf numFmtId="0" fontId="22" fillId="0" borderId="41" xfId="0" applyNumberFormat="1" applyFont="1" applyBorder="1" applyAlignment="1" applyProtection="1">
      <alignment wrapText="1"/>
      <protection locked="0"/>
    </xf>
    <xf numFmtId="0" fontId="22" fillId="0" borderId="118" xfId="0" applyNumberFormat="1" applyFont="1" applyBorder="1" applyAlignment="1" applyProtection="1">
      <alignment wrapText="1"/>
      <protection locked="0"/>
    </xf>
    <xf numFmtId="0" fontId="22" fillId="0" borderId="74" xfId="0" applyNumberFormat="1" applyFont="1" applyBorder="1" applyAlignment="1" applyProtection="1">
      <alignment wrapText="1"/>
      <protection locked="0"/>
    </xf>
    <xf numFmtId="0" fontId="27" fillId="31" borderId="58" xfId="0" applyFont="1" applyFill="1" applyBorder="1" applyAlignment="1">
      <alignment wrapText="1"/>
    </xf>
    <xf numFmtId="0" fontId="22" fillId="0" borderId="108" xfId="0" applyNumberFormat="1" applyFont="1" applyFill="1" applyBorder="1" applyAlignment="1">
      <alignment horizontal="center" vertical="center"/>
    </xf>
    <xf numFmtId="0" fontId="0" fillId="0" borderId="0" xfId="0" applyNumberFormat="1"/>
    <xf numFmtId="0" fontId="195" fillId="36" borderId="23" xfId="0" quotePrefix="1" applyFont="1" applyFill="1" applyBorder="1"/>
    <xf numFmtId="0" fontId="195" fillId="38" borderId="21" xfId="0" quotePrefix="1" applyFont="1" applyFill="1" applyBorder="1"/>
    <xf numFmtId="0" fontId="195" fillId="42" borderId="21" xfId="0" quotePrefix="1" applyFont="1" applyFill="1" applyBorder="1"/>
    <xf numFmtId="0" fontId="195" fillId="86" borderId="21" xfId="0" quotePrefix="1" applyFont="1" applyFill="1" applyBorder="1"/>
    <xf numFmtId="0" fontId="195" fillId="36" borderId="24" xfId="0" quotePrefix="1" applyFont="1" applyFill="1" applyBorder="1"/>
    <xf numFmtId="0" fontId="195" fillId="20" borderId="0" xfId="0" applyFont="1" applyFill="1" applyBorder="1"/>
    <xf numFmtId="0" fontId="0" fillId="20" borderId="0" xfId="0" applyFill="1" applyAlignment="1">
      <alignment horizontal="center"/>
    </xf>
    <xf numFmtId="0" fontId="48" fillId="0" borderId="0" xfId="0" applyFont="1"/>
    <xf numFmtId="0" fontId="92" fillId="42" borderId="53" xfId="3" applyFont="1" applyFill="1" applyBorder="1" applyAlignment="1" applyProtection="1">
      <alignment horizontal="left" vertical="top" wrapText="1"/>
      <protection locked="0"/>
    </xf>
    <xf numFmtId="0" fontId="92" fillId="42" borderId="2" xfId="3" applyFont="1" applyFill="1" applyBorder="1" applyAlignment="1" applyProtection="1">
      <alignment horizontal="left" vertical="top" wrapText="1"/>
      <protection locked="0"/>
    </xf>
    <xf numFmtId="0" fontId="0" fillId="29" borderId="47" xfId="0" applyFill="1" applyBorder="1" applyAlignment="1">
      <alignment horizontal="center"/>
    </xf>
    <xf numFmtId="0" fontId="22" fillId="27" borderId="61" xfId="0" applyFont="1" applyFill="1" applyBorder="1" applyAlignment="1"/>
    <xf numFmtId="9" fontId="0" fillId="27" borderId="62" xfId="0" applyNumberFormat="1" applyFill="1" applyBorder="1" applyAlignment="1"/>
    <xf numFmtId="0" fontId="22" fillId="27" borderId="28" xfId="0" applyFont="1" applyFill="1" applyBorder="1" applyAlignment="1"/>
    <xf numFmtId="0" fontId="0" fillId="27" borderId="117" xfId="0" applyFill="1" applyBorder="1" applyAlignment="1"/>
    <xf numFmtId="0" fontId="0" fillId="27" borderId="28" xfId="0" applyFill="1" applyBorder="1" applyAlignment="1"/>
    <xf numFmtId="0" fontId="0" fillId="27" borderId="60" xfId="0" applyFill="1" applyBorder="1" applyAlignment="1"/>
    <xf numFmtId="0" fontId="0" fillId="27" borderId="75" xfId="0" applyFill="1" applyBorder="1" applyAlignment="1"/>
    <xf numFmtId="0" fontId="121" fillId="3" borderId="35" xfId="0" applyFont="1" applyFill="1" applyBorder="1" applyAlignment="1">
      <alignment horizontal="center" vertical="center" wrapText="1"/>
    </xf>
    <xf numFmtId="0" fontId="118" fillId="3" borderId="35" xfId="0" applyFont="1" applyFill="1" applyBorder="1" applyAlignment="1">
      <alignment horizontal="center" vertical="center" wrapText="1"/>
    </xf>
    <xf numFmtId="0" fontId="0" fillId="52" borderId="6" xfId="0" applyFill="1" applyBorder="1"/>
    <xf numFmtId="0" fontId="27" fillId="52" borderId="6" xfId="0" applyFont="1" applyFill="1" applyBorder="1" applyAlignment="1">
      <alignment horizontal="center"/>
    </xf>
    <xf numFmtId="0" fontId="121" fillId="3" borderId="38" xfId="0" applyFont="1" applyFill="1" applyBorder="1" applyAlignment="1">
      <alignment horizontal="center" vertical="center" wrapText="1"/>
    </xf>
    <xf numFmtId="166" fontId="120" fillId="3" borderId="123" xfId="0" applyNumberFormat="1" applyFont="1" applyFill="1" applyBorder="1" applyAlignment="1">
      <alignment horizontal="center"/>
    </xf>
    <xf numFmtId="166" fontId="120" fillId="2" borderId="35" xfId="0" applyNumberFormat="1" applyFont="1" applyFill="1" applyBorder="1" applyAlignment="1">
      <alignment horizontal="center"/>
    </xf>
    <xf numFmtId="0" fontId="32" fillId="3" borderId="35" xfId="0" applyFont="1" applyFill="1" applyBorder="1" applyAlignment="1">
      <alignment horizontal="center"/>
    </xf>
    <xf numFmtId="0" fontId="27" fillId="31" borderId="35" xfId="0" applyFont="1" applyFill="1" applyBorder="1" applyAlignment="1" applyProtection="1">
      <alignment vertical="center" wrapText="1"/>
    </xf>
    <xf numFmtId="0" fontId="91" fillId="52" borderId="108" xfId="0" applyFont="1" applyFill="1" applyBorder="1" applyAlignment="1">
      <alignment horizontal="center"/>
    </xf>
    <xf numFmtId="0" fontId="22" fillId="52" borderId="108" xfId="0" applyFont="1" applyFill="1" applyBorder="1" applyAlignment="1">
      <alignment horizontal="center"/>
    </xf>
    <xf numFmtId="0" fontId="22" fillId="16" borderId="108" xfId="0" applyFont="1" applyFill="1" applyBorder="1" applyAlignment="1">
      <alignment horizontal="center"/>
    </xf>
    <xf numFmtId="166" fontId="32" fillId="2" borderId="35" xfId="0" applyNumberFormat="1" applyFont="1" applyFill="1" applyBorder="1" applyAlignment="1">
      <alignment horizontal="center"/>
    </xf>
    <xf numFmtId="0" fontId="229" fillId="3" borderId="35" xfId="0" applyFont="1" applyFill="1" applyBorder="1" applyAlignment="1">
      <alignment horizontal="center" vertical="center" wrapText="1"/>
    </xf>
    <xf numFmtId="0" fontId="48" fillId="44" borderId="38" xfId="0" applyFont="1" applyFill="1" applyBorder="1" applyAlignment="1" applyProtection="1">
      <alignment vertical="center"/>
    </xf>
    <xf numFmtId="0" fontId="22" fillId="46" borderId="44" xfId="0" applyFont="1" applyFill="1" applyBorder="1" applyAlignment="1" applyProtection="1">
      <alignment horizontal="left"/>
    </xf>
    <xf numFmtId="0" fontId="22" fillId="46" borderId="51" xfId="0" applyFont="1" applyFill="1" applyBorder="1" applyAlignment="1" applyProtection="1">
      <alignment horizontal="center"/>
    </xf>
    <xf numFmtId="0" fontId="22" fillId="46" borderId="10" xfId="0" applyFont="1" applyFill="1" applyBorder="1" applyAlignment="1" applyProtection="1">
      <alignment horizontal="left"/>
    </xf>
    <xf numFmtId="0" fontId="22" fillId="31" borderId="66" xfId="0" applyFont="1" applyFill="1" applyBorder="1" applyAlignment="1" applyProtection="1">
      <alignment horizontal="center" wrapText="1"/>
    </xf>
    <xf numFmtId="0" fontId="22" fillId="31" borderId="73" xfId="0" applyFont="1" applyFill="1" applyBorder="1" applyAlignment="1" applyProtection="1">
      <alignment wrapText="1"/>
    </xf>
    <xf numFmtId="0" fontId="22" fillId="20" borderId="0" xfId="0" applyFont="1" applyFill="1" applyBorder="1" applyAlignment="1"/>
    <xf numFmtId="0" fontId="27" fillId="49" borderId="0" xfId="0" applyFont="1" applyFill="1" applyBorder="1" applyAlignment="1"/>
    <xf numFmtId="0" fontId="22" fillId="49" borderId="0" xfId="0" applyFont="1" applyFill="1" applyBorder="1" applyAlignment="1"/>
    <xf numFmtId="0" fontId="31" fillId="46" borderId="42" xfId="0" applyFont="1" applyFill="1" applyBorder="1" applyAlignment="1" applyProtection="1">
      <alignment vertical="center"/>
      <protection locked="0"/>
    </xf>
    <xf numFmtId="0" fontId="96" fillId="46" borderId="44" xfId="3" applyFont="1" applyFill="1" applyBorder="1" applyAlignment="1" applyProtection="1">
      <alignment horizontal="left" vertical="top" wrapText="1"/>
      <protection locked="0"/>
    </xf>
    <xf numFmtId="0" fontId="22" fillId="20" borderId="29" xfId="3" applyFont="1" applyFill="1" applyBorder="1" applyAlignment="1" applyProtection="1">
      <alignment horizontal="left" vertical="top" wrapText="1" indent="1"/>
      <protection locked="0"/>
    </xf>
    <xf numFmtId="0" fontId="92" fillId="20" borderId="0" xfId="3" applyFont="1" applyFill="1" applyBorder="1" applyAlignment="1" applyProtection="1">
      <alignment horizontal="left" vertical="top" wrapText="1"/>
      <protection locked="0"/>
    </xf>
    <xf numFmtId="0" fontId="42" fillId="124" borderId="112" xfId="3" applyFont="1" applyFill="1" applyBorder="1" applyAlignment="1" applyProtection="1">
      <alignment horizontal="left" vertical="center"/>
      <protection locked="0"/>
    </xf>
    <xf numFmtId="0" fontId="42" fillId="124" borderId="44" xfId="3" applyFont="1" applyFill="1" applyBorder="1" applyAlignment="1" applyProtection="1">
      <alignment horizontal="left" vertical="center"/>
      <protection locked="0"/>
    </xf>
    <xf numFmtId="0" fontId="92" fillId="42" borderId="38" xfId="3" applyFont="1" applyFill="1" applyBorder="1" applyAlignment="1" applyProtection="1">
      <alignment horizontal="left" vertical="top" wrapText="1"/>
      <protection locked="0"/>
    </xf>
    <xf numFmtId="0" fontId="244" fillId="16" borderId="6" xfId="0" applyFont="1" applyFill="1" applyBorder="1" applyAlignment="1">
      <alignment horizontal="left"/>
    </xf>
    <xf numFmtId="0" fontId="244" fillId="16" borderId="108" xfId="0" applyFont="1" applyFill="1" applyBorder="1" applyAlignment="1">
      <alignment horizontal="center"/>
    </xf>
    <xf numFmtId="0" fontId="244" fillId="16" borderId="108" xfId="0" applyFont="1" applyFill="1" applyBorder="1" applyAlignment="1">
      <alignment horizontal="left"/>
    </xf>
    <xf numFmtId="0" fontId="0" fillId="27" borderId="1" xfId="0" applyFill="1" applyBorder="1" applyAlignment="1" applyProtection="1">
      <alignment horizontal="left" wrapText="1"/>
    </xf>
    <xf numFmtId="0" fontId="0" fillId="27" borderId="54" xfId="0" applyFill="1" applyBorder="1" applyAlignment="1" applyProtection="1">
      <alignment horizontal="left" wrapText="1"/>
    </xf>
    <xf numFmtId="0" fontId="0" fillId="20" borderId="1" xfId="0" applyFill="1" applyBorder="1" applyAlignment="1" applyProtection="1">
      <alignment horizontal="center"/>
    </xf>
    <xf numFmtId="0" fontId="0" fillId="20" borderId="54" xfId="0" applyFill="1" applyBorder="1" applyAlignment="1" applyProtection="1">
      <alignment horizontal="center"/>
    </xf>
    <xf numFmtId="0" fontId="91" fillId="20" borderId="1" xfId="0" applyFont="1" applyFill="1" applyBorder="1" applyAlignment="1" applyProtection="1">
      <alignment horizontal="center"/>
    </xf>
    <xf numFmtId="0" fontId="0" fillId="20" borderId="6" xfId="0" applyFill="1" applyBorder="1" applyAlignment="1" applyProtection="1">
      <alignment horizontal="center"/>
    </xf>
    <xf numFmtId="0" fontId="91" fillId="20" borderId="6" xfId="0" applyFont="1" applyFill="1" applyBorder="1" applyAlignment="1" applyProtection="1">
      <alignment horizontal="center"/>
    </xf>
    <xf numFmtId="0" fontId="22" fillId="20" borderId="108" xfId="0" applyFont="1" applyFill="1" applyBorder="1" applyAlignment="1" applyProtection="1">
      <alignment horizontal="left"/>
    </xf>
    <xf numFmtId="0" fontId="0" fillId="24" borderId="54" xfId="0" applyFill="1" applyBorder="1" applyAlignment="1" applyProtection="1">
      <alignment horizontal="left"/>
    </xf>
    <xf numFmtId="0" fontId="0" fillId="0" borderId="44" xfId="0" applyBorder="1" applyAlignment="1">
      <alignment vertical="center" wrapText="1"/>
    </xf>
    <xf numFmtId="0" fontId="0" fillId="0" borderId="44" xfId="0" applyBorder="1" applyAlignment="1">
      <alignment horizontal="center" wrapText="1"/>
    </xf>
    <xf numFmtId="0" fontId="22" fillId="0" borderId="35" xfId="0" applyFont="1" applyBorder="1" applyAlignment="1">
      <alignment vertical="center" wrapText="1"/>
    </xf>
    <xf numFmtId="0" fontId="47" fillId="0" borderId="0" xfId="0" applyFont="1" applyAlignment="1">
      <alignment horizontal="center" vertical="center"/>
    </xf>
    <xf numFmtId="0" fontId="87" fillId="31" borderId="112" xfId="0" applyFont="1" applyFill="1" applyBorder="1"/>
    <xf numFmtId="0" fontId="87" fillId="31" borderId="58" xfId="0" applyFont="1" applyFill="1" applyBorder="1"/>
    <xf numFmtId="0" fontId="27" fillId="46" borderId="35" xfId="0" applyFont="1" applyFill="1" applyBorder="1" applyAlignment="1" applyProtection="1">
      <alignment horizontal="center" vertical="center" wrapText="1"/>
    </xf>
    <xf numFmtId="0" fontId="22" fillId="27" borderId="0" xfId="0" applyFont="1" applyFill="1" applyBorder="1" applyAlignment="1">
      <alignment horizontal="center" wrapText="1"/>
    </xf>
    <xf numFmtId="0" fontId="22" fillId="0" borderId="0" xfId="0" applyFont="1" applyAlignment="1">
      <alignment horizontal="center" vertical="center"/>
    </xf>
    <xf numFmtId="0" fontId="27" fillId="4" borderId="58" xfId="0" applyFont="1" applyFill="1" applyBorder="1" applyAlignment="1">
      <alignment horizontal="center" wrapText="1"/>
    </xf>
    <xf numFmtId="0" fontId="0" fillId="29" borderId="1" xfId="0" applyFill="1" applyBorder="1" applyAlignment="1" applyProtection="1">
      <alignment horizontal="left" vertical="center" wrapText="1"/>
    </xf>
    <xf numFmtId="0" fontId="0" fillId="20" borderId="1" xfId="0" applyFill="1" applyBorder="1" applyAlignment="1" applyProtection="1">
      <alignment horizontal="center" vertical="center"/>
    </xf>
    <xf numFmtId="1" fontId="0" fillId="20" borderId="6" xfId="0" applyNumberFormat="1" applyFill="1" applyBorder="1" applyAlignment="1" applyProtection="1">
      <alignment horizontal="center" vertical="center"/>
    </xf>
    <xf numFmtId="0" fontId="22" fillId="0" borderId="108" xfId="0" applyFont="1" applyBorder="1" applyAlignment="1">
      <alignment horizontal="center" vertical="center" wrapText="1"/>
    </xf>
    <xf numFmtId="0" fontId="22" fillId="0" borderId="108" xfId="0" applyFont="1" applyBorder="1" applyAlignment="1">
      <alignment horizontal="left" vertical="center" wrapText="1"/>
    </xf>
    <xf numFmtId="0" fontId="22" fillId="0" borderId="112" xfId="0" applyFont="1" applyBorder="1"/>
    <xf numFmtId="49" fontId="35" fillId="0" borderId="58" xfId="0" applyNumberFormat="1" applyFont="1" applyBorder="1" applyAlignment="1">
      <alignment horizontal="center"/>
    </xf>
    <xf numFmtId="0" fontId="256" fillId="0" borderId="0" xfId="0" applyFont="1"/>
    <xf numFmtId="0" fontId="0" fillId="0" borderId="1" xfId="0" applyFill="1" applyBorder="1" applyAlignment="1" applyProtection="1">
      <alignment horizontal="center" wrapText="1"/>
    </xf>
    <xf numFmtId="0" fontId="89" fillId="21" borderId="6" xfId="0" applyFont="1" applyFill="1" applyBorder="1" applyAlignment="1">
      <alignment horizontal="center" wrapText="1"/>
    </xf>
    <xf numFmtId="0" fontId="89" fillId="21" borderId="6" xfId="0" applyFont="1" applyFill="1" applyBorder="1" applyAlignment="1">
      <alignment horizontal="center"/>
    </xf>
    <xf numFmtId="0" fontId="89" fillId="21" borderId="10" xfId="0" applyFont="1" applyFill="1" applyBorder="1" applyAlignment="1">
      <alignment horizontal="center"/>
    </xf>
    <xf numFmtId="0" fontId="27" fillId="31" borderId="35" xfId="0" applyFont="1" applyFill="1" applyBorder="1" applyAlignment="1" applyProtection="1">
      <alignment horizontal="center" vertical="center" wrapText="1"/>
    </xf>
    <xf numFmtId="0" fontId="22" fillId="27" borderId="108" xfId="0" applyFont="1" applyFill="1" applyBorder="1"/>
    <xf numFmtId="0" fontId="27" fillId="31" borderId="36" xfId="0" applyFont="1" applyFill="1" applyBorder="1" applyAlignment="1" applyProtection="1">
      <alignment horizontal="center" wrapText="1"/>
    </xf>
    <xf numFmtId="0" fontId="22" fillId="24" borderId="108" xfId="0" applyFont="1" applyFill="1" applyBorder="1" applyProtection="1"/>
    <xf numFmtId="14" fontId="52" fillId="42" borderId="14" xfId="0" applyNumberFormat="1" applyFont="1" applyFill="1" applyBorder="1" applyAlignment="1">
      <alignment horizontal="center"/>
    </xf>
    <xf numFmtId="170" fontId="47" fillId="45" borderId="19" xfId="0" applyNumberFormat="1" applyFont="1" applyFill="1" applyBorder="1" applyAlignment="1">
      <alignment horizontal="center" vertical="center" wrapText="1"/>
    </xf>
    <xf numFmtId="0" fontId="52" fillId="42" borderId="14" xfId="0" applyFont="1" applyFill="1" applyBorder="1" applyAlignment="1">
      <alignment horizontal="left" indent="1"/>
    </xf>
    <xf numFmtId="14" fontId="22" fillId="20" borderId="108" xfId="0" applyNumberFormat="1" applyFont="1" applyFill="1" applyBorder="1" applyAlignment="1">
      <alignment vertical="center"/>
    </xf>
    <xf numFmtId="0" fontId="22" fillId="20" borderId="108" xfId="0" applyFont="1" applyFill="1" applyBorder="1" applyAlignment="1">
      <alignment vertical="center"/>
    </xf>
    <xf numFmtId="0" fontId="22" fillId="20" borderId="108" xfId="0" applyFont="1" applyFill="1" applyBorder="1" applyAlignment="1">
      <alignment horizontal="center"/>
    </xf>
    <xf numFmtId="0" fontId="94" fillId="44" borderId="0" xfId="0" applyFont="1" applyFill="1" applyBorder="1" applyAlignment="1" applyProtection="1">
      <alignment horizontal="center" vertical="center" wrapText="1"/>
      <protection locked="0"/>
    </xf>
    <xf numFmtId="0" fontId="51" fillId="0" borderId="0" xfId="0" applyFont="1" applyBorder="1" applyAlignment="1">
      <alignment wrapText="1"/>
    </xf>
    <xf numFmtId="0" fontId="0" fillId="21" borderId="55" xfId="0" applyFill="1" applyBorder="1" applyAlignment="1">
      <alignment horizontal="center" wrapText="1"/>
    </xf>
    <xf numFmtId="0" fontId="0" fillId="20" borderId="55" xfId="0" applyFill="1" applyBorder="1" applyAlignment="1">
      <alignment horizontal="center"/>
    </xf>
    <xf numFmtId="0" fontId="0" fillId="21" borderId="54" xfId="0" applyFill="1" applyBorder="1" applyAlignment="1">
      <alignment horizontal="center" wrapText="1"/>
    </xf>
    <xf numFmtId="0" fontId="22" fillId="20" borderId="54" xfId="0" applyFont="1" applyFill="1" applyBorder="1" applyAlignment="1">
      <alignment horizontal="left"/>
    </xf>
    <xf numFmtId="0" fontId="82" fillId="0" borderId="108" xfId="3" applyFont="1" applyFill="1" applyBorder="1" applyAlignment="1" applyProtection="1">
      <alignment horizontal="left" vertical="top" wrapText="1" indent="3"/>
      <protection locked="0"/>
    </xf>
    <xf numFmtId="0" fontId="24" fillId="24" borderId="108" xfId="3" applyFont="1" applyFill="1" applyBorder="1" applyAlignment="1" applyProtection="1">
      <alignment horizontal="center" vertical="center" wrapText="1"/>
      <protection locked="0"/>
    </xf>
    <xf numFmtId="0" fontId="24" fillId="27" borderId="108" xfId="3" applyFont="1" applyFill="1" applyBorder="1" applyAlignment="1" applyProtection="1">
      <alignment vertical="top" wrapText="1"/>
      <protection locked="0"/>
    </xf>
    <xf numFmtId="0" fontId="24" fillId="27" borderId="108" xfId="0" applyFont="1" applyFill="1" applyBorder="1" applyAlignment="1" applyProtection="1">
      <alignment vertical="top" wrapText="1"/>
      <protection locked="0"/>
    </xf>
    <xf numFmtId="0" fontId="83" fillId="27" borderId="108" xfId="3" applyFont="1" applyFill="1" applyBorder="1" applyAlignment="1" applyProtection="1">
      <alignment vertical="top" wrapText="1"/>
      <protection locked="0"/>
    </xf>
    <xf numFmtId="0" fontId="29" fillId="24" borderId="23" xfId="3" applyFill="1" applyBorder="1" applyAlignment="1" applyProtection="1">
      <alignment horizontal="left" vertical="center" wrapText="1" indent="3"/>
      <protection locked="0"/>
    </xf>
    <xf numFmtId="0" fontId="24" fillId="27" borderId="55" xfId="3" applyFont="1" applyFill="1" applyBorder="1" applyAlignment="1" applyProtection="1">
      <alignment vertical="top" wrapText="1"/>
      <protection locked="0"/>
    </xf>
    <xf numFmtId="0" fontId="24" fillId="27" borderId="55" xfId="0" applyFont="1" applyFill="1" applyBorder="1" applyAlignment="1" applyProtection="1">
      <alignment vertical="top" wrapText="1"/>
      <protection locked="0"/>
    </xf>
    <xf numFmtId="0" fontId="24" fillId="27" borderId="47" xfId="0" applyFont="1" applyFill="1" applyBorder="1" applyAlignment="1" applyProtection="1">
      <alignment vertical="top" wrapText="1"/>
      <protection locked="0"/>
    </xf>
    <xf numFmtId="0" fontId="29" fillId="24" borderId="21" xfId="3" applyFill="1" applyBorder="1" applyAlignment="1" applyProtection="1">
      <alignment horizontal="left" vertical="center" wrapText="1" indent="3"/>
      <protection locked="0"/>
    </xf>
    <xf numFmtId="0" fontId="24" fillId="27" borderId="118" xfId="0" applyFont="1" applyFill="1" applyBorder="1" applyAlignment="1" applyProtection="1">
      <alignment vertical="top" wrapText="1"/>
      <protection locked="0"/>
    </xf>
    <xf numFmtId="0" fontId="83" fillId="27" borderId="118" xfId="3" applyFont="1" applyFill="1" applyBorder="1" applyAlignment="1" applyProtection="1">
      <alignment vertical="top" wrapText="1"/>
      <protection locked="0"/>
    </xf>
    <xf numFmtId="0" fontId="0" fillId="23" borderId="54" xfId="0" applyFill="1" applyBorder="1" applyAlignment="1">
      <alignment wrapText="1"/>
    </xf>
    <xf numFmtId="0" fontId="0" fillId="23" borderId="6" xfId="0" applyFill="1" applyBorder="1" applyAlignment="1">
      <alignment wrapText="1"/>
    </xf>
    <xf numFmtId="0" fontId="27" fillId="27" borderId="33" xfId="0" applyFont="1" applyFill="1" applyBorder="1" applyAlignment="1">
      <alignment horizontal="right" vertical="center" wrapText="1"/>
    </xf>
    <xf numFmtId="0" fontId="27" fillId="24" borderId="64" xfId="0" applyFont="1" applyFill="1" applyBorder="1" applyAlignment="1">
      <alignment horizontal="right" wrapText="1"/>
    </xf>
    <xf numFmtId="0" fontId="0" fillId="48" borderId="55" xfId="0" applyFill="1" applyBorder="1"/>
    <xf numFmtId="0" fontId="0" fillId="48" borderId="10" xfId="0" applyFill="1" applyBorder="1"/>
    <xf numFmtId="0" fontId="25" fillId="44" borderId="7" xfId="0" applyFont="1" applyFill="1" applyBorder="1" applyAlignment="1" applyProtection="1">
      <alignment horizontal="left" wrapText="1"/>
      <protection locked="0"/>
    </xf>
    <xf numFmtId="169" fontId="27" fillId="27" borderId="71" xfId="0" applyNumberFormat="1" applyFont="1" applyFill="1" applyBorder="1" applyAlignment="1">
      <alignment vertical="center" wrapText="1"/>
    </xf>
    <xf numFmtId="0" fontId="27" fillId="44" borderId="44" xfId="0" applyFont="1" applyFill="1" applyBorder="1" applyAlignment="1">
      <alignment horizontal="center" vertical="top" wrapText="1"/>
    </xf>
    <xf numFmtId="0" fontId="22" fillId="24" borderId="111" xfId="0" applyFont="1" applyFill="1" applyBorder="1" applyProtection="1"/>
    <xf numFmtId="49" fontId="0" fillId="27" borderId="47" xfId="0" applyNumberFormat="1" applyFill="1" applyBorder="1" applyAlignment="1" applyProtection="1">
      <alignment horizontal="left"/>
    </xf>
    <xf numFmtId="0" fontId="22" fillId="3" borderId="19" xfId="0" applyFont="1" applyFill="1" applyBorder="1" applyAlignment="1">
      <alignment horizontal="center" vertical="center" wrapText="1"/>
    </xf>
    <xf numFmtId="0" fontId="22" fillId="3" borderId="14" xfId="0" applyFont="1" applyFill="1" applyBorder="1" applyAlignment="1">
      <alignment horizontal="center" vertical="center" wrapText="1"/>
    </xf>
    <xf numFmtId="0" fontId="27" fillId="44" borderId="77" xfId="0" applyFont="1" applyFill="1" applyBorder="1" applyAlignment="1">
      <alignment vertical="center" wrapText="1"/>
    </xf>
    <xf numFmtId="0" fontId="27" fillId="44" borderId="13" xfId="0" applyFont="1" applyFill="1" applyBorder="1" applyAlignment="1">
      <alignment vertical="center" wrapText="1"/>
    </xf>
    <xf numFmtId="0" fontId="89" fillId="46" borderId="2" xfId="0" applyFont="1" applyFill="1" applyBorder="1" applyAlignment="1">
      <alignment vertical="center"/>
    </xf>
    <xf numFmtId="0" fontId="204" fillId="0" borderId="48" xfId="0" applyFont="1" applyBorder="1" applyAlignment="1">
      <alignment wrapText="1"/>
    </xf>
    <xf numFmtId="0" fontId="92" fillId="31" borderId="32" xfId="0" applyFont="1" applyFill="1" applyBorder="1" applyAlignment="1">
      <alignment horizontal="center" wrapText="1"/>
    </xf>
    <xf numFmtId="0" fontId="29" fillId="31" borderId="44" xfId="3" applyFill="1" applyBorder="1" applyAlignment="1" applyProtection="1">
      <alignment horizontal="left" vertical="top" wrapText="1" indent="3"/>
      <protection locked="0"/>
    </xf>
    <xf numFmtId="0" fontId="81" fillId="31" borderId="44" xfId="3" applyFont="1" applyFill="1" applyBorder="1" applyAlignment="1" applyProtection="1">
      <alignment horizontal="left" vertical="top" wrapText="1" indent="3"/>
      <protection locked="0"/>
    </xf>
    <xf numFmtId="0" fontId="0" fillId="24" borderId="108" xfId="0" applyFill="1" applyBorder="1" applyAlignment="1">
      <alignment horizontal="center"/>
    </xf>
    <xf numFmtId="0" fontId="28" fillId="6" borderId="13" xfId="0" applyFont="1" applyFill="1" applyBorder="1" applyAlignment="1">
      <alignment horizontal="center" vertical="center"/>
    </xf>
    <xf numFmtId="0" fontId="22" fillId="27" borderId="109" xfId="0" applyFont="1" applyFill="1" applyBorder="1" applyAlignment="1">
      <alignment horizontal="center" vertical="center" wrapText="1"/>
    </xf>
    <xf numFmtId="0" fontId="22" fillId="40" borderId="19" xfId="0" applyFont="1" applyFill="1" applyBorder="1"/>
    <xf numFmtId="0" fontId="22" fillId="32" borderId="6" xfId="0" applyFont="1" applyFill="1" applyBorder="1"/>
    <xf numFmtId="0" fontId="22" fillId="32" borderId="6" xfId="0" applyFont="1" applyFill="1" applyBorder="1" applyAlignment="1">
      <alignment horizontal="center"/>
    </xf>
    <xf numFmtId="0" fontId="22" fillId="32" borderId="108" xfId="0" applyFont="1" applyFill="1" applyBorder="1"/>
    <xf numFmtId="0" fontId="22" fillId="32" borderId="108" xfId="0" applyFont="1" applyFill="1" applyBorder="1" applyAlignment="1">
      <alignment horizontal="center"/>
    </xf>
    <xf numFmtId="0" fontId="22" fillId="32" borderId="108" xfId="0" applyFont="1" applyFill="1" applyBorder="1" applyAlignment="1">
      <alignment horizontal="left"/>
    </xf>
    <xf numFmtId="0" fontId="0" fillId="32" borderId="108" xfId="0" applyFill="1" applyBorder="1"/>
    <xf numFmtId="0" fontId="0" fillId="32" borderId="108" xfId="0" applyFill="1" applyBorder="1" applyAlignment="1">
      <alignment horizontal="left"/>
    </xf>
    <xf numFmtId="0" fontId="22" fillId="32" borderId="0" xfId="0" applyFont="1" applyFill="1"/>
    <xf numFmtId="0" fontId="31" fillId="44" borderId="38" xfId="0" applyFont="1" applyFill="1" applyBorder="1" applyAlignment="1" applyProtection="1">
      <alignment vertical="center"/>
      <protection locked="0"/>
    </xf>
    <xf numFmtId="0" fontId="0" fillId="0" borderId="108" xfId="0" applyBorder="1" applyAlignment="1">
      <alignment vertical="top"/>
    </xf>
    <xf numFmtId="0" fontId="0" fillId="0" borderId="0" xfId="0" applyFont="1" applyFill="1" applyBorder="1"/>
    <xf numFmtId="0" fontId="27" fillId="21" borderId="20" xfId="0" applyFont="1" applyFill="1" applyBorder="1" applyAlignment="1">
      <alignment horizontal="right" wrapText="1"/>
    </xf>
    <xf numFmtId="169" fontId="52" fillId="21" borderId="41" xfId="0" applyNumberFormat="1" applyFont="1" applyFill="1" applyBorder="1" applyAlignment="1">
      <alignment horizontal="right" wrapText="1" indent="25"/>
    </xf>
    <xf numFmtId="14" fontId="52" fillId="20" borderId="48" xfId="0" applyNumberFormat="1" applyFont="1" applyFill="1" applyBorder="1" applyAlignment="1">
      <alignment horizontal="center"/>
    </xf>
    <xf numFmtId="0" fontId="31" fillId="44" borderId="39" xfId="0" applyFont="1" applyFill="1" applyBorder="1" applyAlignment="1">
      <alignment horizontal="center" vertical="top" wrapText="1"/>
    </xf>
    <xf numFmtId="0" fontId="22" fillId="27" borderId="6" xfId="0" applyFont="1" applyFill="1" applyBorder="1"/>
    <xf numFmtId="0" fontId="22" fillId="27" borderId="6" xfId="0" applyFont="1" applyFill="1" applyBorder="1" applyAlignment="1">
      <alignment horizontal="center"/>
    </xf>
    <xf numFmtId="0" fontId="22" fillId="20" borderId="108" xfId="0" quotePrefix="1" applyFont="1" applyFill="1" applyBorder="1" applyAlignment="1"/>
    <xf numFmtId="0" fontId="22" fillId="0" borderId="44" xfId="0" applyFont="1" applyFill="1" applyBorder="1" applyAlignment="1">
      <alignment horizontal="center"/>
    </xf>
    <xf numFmtId="0" fontId="22" fillId="0" borderId="0" xfId="0" applyFont="1" applyBorder="1" applyAlignment="1">
      <alignment horizontal="center"/>
    </xf>
    <xf numFmtId="0" fontId="22" fillId="135" borderId="108" xfId="0" applyFont="1" applyFill="1" applyBorder="1" applyAlignment="1">
      <alignment horizontal="center"/>
    </xf>
    <xf numFmtId="0" fontId="22" fillId="135" borderId="108" xfId="0" applyFont="1" applyFill="1" applyBorder="1" applyAlignment="1">
      <alignment horizontal="left"/>
    </xf>
    <xf numFmtId="0" fontId="0" fillId="90" borderId="0" xfId="0" applyFill="1"/>
    <xf numFmtId="0" fontId="22" fillId="135" borderId="43" xfId="0" applyFont="1" applyFill="1" applyBorder="1"/>
    <xf numFmtId="0" fontId="0" fillId="135" borderId="6" xfId="0" applyFill="1" applyBorder="1" applyAlignment="1">
      <alignment vertical="top" wrapText="1"/>
    </xf>
    <xf numFmtId="0" fontId="22" fillId="135" borderId="111" xfId="0" applyFont="1" applyFill="1" applyBorder="1"/>
    <xf numFmtId="0" fontId="0" fillId="135" borderId="1" xfId="0" applyFill="1" applyBorder="1" applyAlignment="1">
      <alignment vertical="top" wrapText="1"/>
    </xf>
    <xf numFmtId="0" fontId="22" fillId="135" borderId="24" xfId="12" applyFont="1" applyFill="1" applyBorder="1"/>
    <xf numFmtId="0" fontId="22" fillId="135" borderId="1" xfId="0" applyFont="1" applyFill="1" applyBorder="1" applyAlignment="1">
      <alignment vertical="top" wrapText="1"/>
    </xf>
    <xf numFmtId="0" fontId="0" fillId="0" borderId="0" xfId="0" applyFill="1" applyProtection="1">
      <protection locked="0"/>
    </xf>
    <xf numFmtId="0" fontId="0" fillId="0" borderId="0" xfId="0" quotePrefix="1" applyFill="1" applyProtection="1">
      <protection locked="0"/>
    </xf>
    <xf numFmtId="0" fontId="0" fillId="0" borderId="0" xfId="0" quotePrefix="1" applyFill="1"/>
    <xf numFmtId="0" fontId="0" fillId="0" borderId="0" xfId="0" quotePrefix="1" applyFill="1" applyBorder="1"/>
    <xf numFmtId="0" fontId="23" fillId="0" borderId="0" xfId="0" applyFont="1" applyFill="1" applyBorder="1" applyAlignment="1" applyProtection="1">
      <alignment horizontal="left"/>
    </xf>
    <xf numFmtId="0" fontId="0" fillId="0" borderId="43" xfId="0" quotePrefix="1" applyFill="1" applyBorder="1"/>
    <xf numFmtId="0" fontId="0" fillId="0" borderId="6" xfId="0" quotePrefix="1" applyFill="1" applyBorder="1" applyProtection="1">
      <protection locked="0"/>
    </xf>
    <xf numFmtId="0" fontId="0" fillId="0" borderId="17" xfId="0" quotePrefix="1" applyFill="1" applyBorder="1"/>
    <xf numFmtId="0" fontId="0" fillId="0" borderId="111" xfId="0" applyFill="1" applyBorder="1"/>
    <xf numFmtId="0" fontId="22" fillId="0" borderId="18" xfId="0" applyFont="1" applyFill="1" applyBorder="1" applyAlignment="1" applyProtection="1">
      <alignment horizontal="left"/>
    </xf>
    <xf numFmtId="0" fontId="23" fillId="0" borderId="18" xfId="0" applyFont="1" applyFill="1" applyBorder="1" applyAlignment="1" applyProtection="1">
      <alignment horizontal="left"/>
    </xf>
    <xf numFmtId="0" fontId="0" fillId="0" borderId="18" xfId="0" quotePrefix="1" applyFill="1" applyBorder="1"/>
    <xf numFmtId="0" fontId="0" fillId="0" borderId="111" xfId="0" quotePrefix="1" applyFill="1" applyBorder="1"/>
    <xf numFmtId="0" fontId="0" fillId="0" borderId="109" xfId="0" quotePrefix="1" applyFill="1" applyBorder="1"/>
    <xf numFmtId="0" fontId="0" fillId="0" borderId="109" xfId="0" applyFill="1" applyBorder="1"/>
    <xf numFmtId="0" fontId="51" fillId="0" borderId="27" xfId="12" applyFont="1" applyFill="1" applyBorder="1"/>
    <xf numFmtId="0" fontId="22" fillId="0" borderId="117" xfId="12" applyFont="1" applyFill="1" applyBorder="1"/>
    <xf numFmtId="0" fontId="22" fillId="0" borderId="75" xfId="12" applyFont="1" applyFill="1" applyBorder="1"/>
    <xf numFmtId="0" fontId="51" fillId="0" borderId="29" xfId="0" applyFont="1" applyFill="1" applyBorder="1"/>
    <xf numFmtId="0" fontId="0" fillId="0" borderId="29" xfId="0" applyFont="1" applyFill="1" applyBorder="1"/>
    <xf numFmtId="0" fontId="22" fillId="0" borderId="29" xfId="0" applyFont="1" applyFill="1" applyBorder="1"/>
    <xf numFmtId="0" fontId="0" fillId="0" borderId="29" xfId="0" applyFill="1" applyBorder="1"/>
    <xf numFmtId="0" fontId="0" fillId="0" borderId="7" xfId="0" applyFill="1" applyBorder="1"/>
    <xf numFmtId="0" fontId="22" fillId="0" borderId="43" xfId="0" applyFont="1" applyFill="1" applyBorder="1"/>
    <xf numFmtId="0" fontId="22" fillId="0" borderId="64" xfId="0" applyFont="1" applyFill="1" applyBorder="1"/>
    <xf numFmtId="0" fontId="0" fillId="121" borderId="111" xfId="0" applyFill="1" applyBorder="1"/>
    <xf numFmtId="0" fontId="29" fillId="121" borderId="111" xfId="3" applyFill="1" applyBorder="1" applyAlignment="1" applyProtection="1"/>
    <xf numFmtId="49" fontId="22" fillId="0" borderId="111" xfId="0" applyNumberFormat="1" applyFont="1" applyBorder="1"/>
    <xf numFmtId="49" fontId="111" fillId="0" borderId="111" xfId="0" applyNumberFormat="1" applyFont="1" applyBorder="1"/>
    <xf numFmtId="0" fontId="0" fillId="29" borderId="43" xfId="0" applyFill="1" applyBorder="1"/>
    <xf numFmtId="0" fontId="51" fillId="0" borderId="0" xfId="0" applyFont="1" applyFill="1" applyBorder="1"/>
    <xf numFmtId="0" fontId="8" fillId="0" borderId="0" xfId="9830" applyFill="1" applyBorder="1"/>
    <xf numFmtId="0" fontId="0" fillId="135" borderId="47" xfId="0" applyFill="1" applyBorder="1" applyAlignment="1">
      <alignment vertical="top" wrapText="1"/>
    </xf>
    <xf numFmtId="0" fontId="0" fillId="135" borderId="118" xfId="0" applyFill="1" applyBorder="1" applyAlignment="1">
      <alignment wrapText="1"/>
    </xf>
    <xf numFmtId="0" fontId="27" fillId="0" borderId="40" xfId="0" applyFont="1" applyFill="1" applyBorder="1" applyAlignment="1">
      <alignment horizontal="center"/>
    </xf>
    <xf numFmtId="0" fontId="27" fillId="0" borderId="67" xfId="0" applyFont="1" applyFill="1" applyBorder="1" applyAlignment="1">
      <alignment horizontal="center"/>
    </xf>
    <xf numFmtId="0" fontId="25" fillId="118" borderId="49" xfId="0" applyFont="1" applyFill="1" applyBorder="1" applyAlignment="1">
      <alignment horizontal="center" vertical="center"/>
    </xf>
    <xf numFmtId="0" fontId="0" fillId="118" borderId="74" xfId="0" applyFill="1" applyBorder="1" applyAlignment="1">
      <alignment horizontal="center" vertical="center"/>
    </xf>
    <xf numFmtId="0" fontId="0" fillId="118" borderId="17" xfId="0" applyFill="1" applyBorder="1" applyAlignment="1">
      <alignment horizontal="center" vertical="center"/>
    </xf>
    <xf numFmtId="0" fontId="22" fillId="118" borderId="49" xfId="0" applyFont="1" applyFill="1" applyBorder="1" applyAlignment="1">
      <alignment wrapText="1"/>
    </xf>
    <xf numFmtId="0" fontId="0" fillId="118" borderId="41" xfId="0" applyFill="1" applyBorder="1" applyAlignment="1">
      <alignment horizontal="center" vertical="center"/>
    </xf>
    <xf numFmtId="0" fontId="25" fillId="118" borderId="21" xfId="0" applyFont="1" applyFill="1" applyBorder="1" applyAlignment="1">
      <alignment horizontal="center" vertical="center"/>
    </xf>
    <xf numFmtId="0" fontId="0" fillId="118" borderId="18" xfId="0" applyFill="1" applyBorder="1" applyAlignment="1">
      <alignment horizontal="center" vertical="center"/>
    </xf>
    <xf numFmtId="0" fontId="22" fillId="118" borderId="21" xfId="0" applyFont="1" applyFill="1" applyBorder="1" applyAlignment="1">
      <alignment wrapText="1"/>
    </xf>
    <xf numFmtId="0" fontId="0" fillId="118" borderId="109" xfId="0" applyFill="1" applyBorder="1" applyAlignment="1">
      <alignment horizontal="center" vertical="center"/>
    </xf>
    <xf numFmtId="0" fontId="22" fillId="118" borderId="22" xfId="0" applyFont="1" applyFill="1" applyBorder="1" applyAlignment="1">
      <alignment wrapText="1"/>
    </xf>
    <xf numFmtId="0" fontId="0" fillId="118" borderId="107" xfId="0" applyFill="1" applyBorder="1" applyAlignment="1">
      <alignment horizontal="center" vertical="center"/>
    </xf>
    <xf numFmtId="0" fontId="0" fillId="118" borderId="0" xfId="0" applyFill="1" applyBorder="1"/>
    <xf numFmtId="0" fontId="0" fillId="118" borderId="29" xfId="0" applyFill="1" applyBorder="1" applyAlignment="1">
      <alignment horizontal="center" vertical="center"/>
    </xf>
    <xf numFmtId="0" fontId="0" fillId="118" borderId="0" xfId="0" applyFill="1" applyBorder="1" applyAlignment="1">
      <alignment horizontal="center" vertical="center"/>
    </xf>
    <xf numFmtId="0" fontId="0" fillId="118" borderId="33" xfId="0" applyFill="1" applyBorder="1" applyAlignment="1">
      <alignment horizontal="center" vertical="center"/>
    </xf>
    <xf numFmtId="0" fontId="0" fillId="118" borderId="29" xfId="0" applyFill="1" applyBorder="1"/>
    <xf numFmtId="0" fontId="0" fillId="118" borderId="36" xfId="0" applyFill="1" applyBorder="1"/>
    <xf numFmtId="0" fontId="25" fillId="118" borderId="24" xfId="0" applyFont="1" applyFill="1" applyBorder="1" applyAlignment="1">
      <alignment horizontal="center" vertical="center"/>
    </xf>
    <xf numFmtId="0" fontId="0" fillId="118" borderId="48" xfId="0" applyFill="1" applyBorder="1" applyAlignment="1">
      <alignment horizontal="center" vertical="center"/>
    </xf>
    <xf numFmtId="0" fontId="0" fillId="118" borderId="7" xfId="0" applyFill="1" applyBorder="1"/>
    <xf numFmtId="0" fontId="0" fillId="118" borderId="11" xfId="0" applyFill="1" applyBorder="1"/>
    <xf numFmtId="0" fontId="25" fillId="118" borderId="43" xfId="0" applyFont="1" applyFill="1" applyBorder="1" applyAlignment="1">
      <alignment horizontal="center" vertical="center"/>
    </xf>
    <xf numFmtId="0" fontId="25" fillId="118" borderId="111" xfId="0" applyFont="1" applyFill="1" applyBorder="1" applyAlignment="1">
      <alignment horizontal="center" vertical="center" wrapText="1"/>
    </xf>
    <xf numFmtId="0" fontId="22" fillId="118" borderId="111" xfId="0" applyFont="1" applyFill="1" applyBorder="1" applyAlignment="1">
      <alignment horizontal="center" vertical="center" wrapText="1"/>
    </xf>
    <xf numFmtId="0" fontId="51" fillId="0" borderId="51" xfId="0" applyFont="1" applyFill="1" applyBorder="1"/>
    <xf numFmtId="0" fontId="22" fillId="118" borderId="111" xfId="0" applyFont="1" applyFill="1" applyBorder="1" applyAlignment="1">
      <alignment wrapText="1"/>
    </xf>
    <xf numFmtId="0" fontId="22" fillId="118" borderId="111" xfId="0" applyFont="1" applyFill="1" applyBorder="1"/>
    <xf numFmtId="0" fontId="24" fillId="43" borderId="1" xfId="3" applyFont="1" applyFill="1" applyBorder="1" applyAlignment="1" applyProtection="1">
      <alignment horizontal="left" wrapText="1"/>
      <protection locked="0"/>
    </xf>
    <xf numFmtId="0" fontId="24" fillId="43" borderId="1" xfId="0" applyFont="1" applyFill="1" applyBorder="1" applyAlignment="1" applyProtection="1">
      <alignment wrapText="1"/>
      <protection locked="0"/>
    </xf>
    <xf numFmtId="0" fontId="29" fillId="43" borderId="21" xfId="3" applyFill="1" applyBorder="1" applyAlignment="1" applyProtection="1">
      <alignment horizontal="left" wrapText="1" indent="2"/>
      <protection locked="0"/>
    </xf>
    <xf numFmtId="0" fontId="27" fillId="31" borderId="72" xfId="0" applyFont="1" applyFill="1" applyBorder="1" applyAlignment="1">
      <alignment horizontal="center" wrapText="1"/>
    </xf>
    <xf numFmtId="0" fontId="27" fillId="31" borderId="10" xfId="0" applyFont="1" applyFill="1" applyBorder="1" applyAlignment="1">
      <alignment horizontal="center"/>
    </xf>
    <xf numFmtId="0" fontId="28" fillId="44" borderId="61" xfId="0" applyFont="1" applyFill="1" applyBorder="1" applyAlignment="1">
      <alignment horizontal="center" vertical="center"/>
    </xf>
    <xf numFmtId="0" fontId="0" fillId="44" borderId="57" xfId="0" applyFill="1" applyBorder="1"/>
    <xf numFmtId="0" fontId="27" fillId="44" borderId="55" xfId="0" applyFont="1" applyFill="1" applyBorder="1" applyAlignment="1">
      <alignment horizontal="center" vertical="center"/>
    </xf>
    <xf numFmtId="49" fontId="39" fillId="20" borderId="6" xfId="0" applyNumberFormat="1" applyFont="1" applyFill="1" applyBorder="1"/>
    <xf numFmtId="49" fontId="39" fillId="20" borderId="10" xfId="0" applyNumberFormat="1" applyFont="1" applyFill="1" applyBorder="1"/>
    <xf numFmtId="49" fontId="0" fillId="0" borderId="0" xfId="0" applyNumberFormat="1"/>
    <xf numFmtId="0" fontId="28" fillId="44" borderId="71" xfId="0" applyNumberFormat="1" applyFont="1" applyFill="1" applyBorder="1" applyAlignment="1">
      <alignment vertical="center"/>
    </xf>
    <xf numFmtId="0" fontId="28" fillId="44" borderId="75" xfId="0" applyNumberFormat="1" applyFont="1" applyFill="1" applyBorder="1" applyAlignment="1">
      <alignment vertical="center"/>
    </xf>
    <xf numFmtId="0" fontId="27" fillId="44" borderId="71" xfId="0" applyNumberFormat="1" applyFont="1" applyFill="1" applyBorder="1" applyAlignment="1">
      <alignment horizontal="right" vertical="center"/>
    </xf>
    <xf numFmtId="0" fontId="27" fillId="31" borderId="58" xfId="0" applyFont="1" applyFill="1" applyBorder="1" applyAlignment="1">
      <alignment horizontal="center"/>
    </xf>
    <xf numFmtId="0" fontId="22" fillId="20" borderId="6" xfId="0" applyFont="1" applyFill="1" applyBorder="1" applyAlignment="1" applyProtection="1">
      <alignment horizontal="left"/>
    </xf>
    <xf numFmtId="0" fontId="22" fillId="0" borderId="3" xfId="0" applyNumberFormat="1" applyFont="1" applyFill="1" applyBorder="1" applyAlignment="1">
      <alignment wrapText="1"/>
    </xf>
    <xf numFmtId="0" fontId="0" fillId="0" borderId="3" xfId="0" applyBorder="1"/>
    <xf numFmtId="0" fontId="27" fillId="31" borderId="35" xfId="0" applyFont="1" applyFill="1" applyBorder="1" applyAlignment="1">
      <alignment horizontal="center" wrapText="1"/>
    </xf>
    <xf numFmtId="0" fontId="0" fillId="24" borderId="17" xfId="0" applyFill="1" applyBorder="1" applyAlignment="1"/>
    <xf numFmtId="0" fontId="64" fillId="25" borderId="6" xfId="0" applyFont="1" applyFill="1" applyBorder="1" applyAlignment="1">
      <alignment wrapText="1"/>
    </xf>
    <xf numFmtId="0" fontId="64" fillId="25" borderId="10" xfId="0" applyFont="1" applyFill="1" applyBorder="1" applyAlignment="1">
      <alignment wrapText="1"/>
    </xf>
    <xf numFmtId="0" fontId="64" fillId="27" borderId="6" xfId="0" applyFont="1" applyFill="1" applyBorder="1"/>
    <xf numFmtId="0" fontId="64" fillId="27" borderId="108" xfId="0" applyFont="1" applyFill="1" applyBorder="1"/>
    <xf numFmtId="0" fontId="64" fillId="27" borderId="43" xfId="0" applyFont="1" applyFill="1" applyBorder="1"/>
    <xf numFmtId="0" fontId="64" fillId="27" borderId="54" xfId="0" applyFont="1" applyFill="1" applyBorder="1"/>
    <xf numFmtId="0" fontId="64" fillId="27" borderId="122" xfId="0" applyFont="1" applyFill="1" applyBorder="1"/>
    <xf numFmtId="0" fontId="64" fillId="27" borderId="10" xfId="0" applyFont="1" applyFill="1" applyBorder="1"/>
    <xf numFmtId="0" fontId="95" fillId="45" borderId="21" xfId="0" applyFont="1" applyFill="1" applyBorder="1" applyAlignment="1" applyProtection="1">
      <alignment horizontal="left" wrapText="1"/>
    </xf>
    <xf numFmtId="0" fontId="22" fillId="33" borderId="74" xfId="0" applyFont="1" applyFill="1" applyBorder="1" applyAlignment="1"/>
    <xf numFmtId="0" fontId="22" fillId="33" borderId="25" xfId="0" applyFont="1" applyFill="1" applyBorder="1"/>
    <xf numFmtId="0" fontId="22" fillId="33" borderId="17" xfId="0" applyFont="1" applyFill="1" applyBorder="1" applyAlignment="1"/>
    <xf numFmtId="0" fontId="0" fillId="0" borderId="0" xfId="0" applyBorder="1" applyAlignment="1">
      <alignment horizontal="center"/>
    </xf>
    <xf numFmtId="171" fontId="0" fillId="27" borderId="12" xfId="0" applyNumberFormat="1" applyFill="1" applyBorder="1" applyAlignment="1" applyProtection="1">
      <alignment horizontal="center"/>
    </xf>
    <xf numFmtId="171" fontId="0" fillId="27" borderId="8" xfId="0" applyNumberFormat="1" applyFill="1" applyBorder="1" applyAlignment="1" applyProtection="1">
      <alignment horizontal="center"/>
    </xf>
    <xf numFmtId="0" fontId="22" fillId="0" borderId="114" xfId="12" applyFont="1" applyBorder="1"/>
    <xf numFmtId="49" fontId="22" fillId="0" borderId="110" xfId="12" applyNumberFormat="1" applyFont="1" applyBorder="1"/>
    <xf numFmtId="0" fontId="22" fillId="0" borderId="110" xfId="12" applyBorder="1"/>
    <xf numFmtId="0" fontId="22" fillId="0" borderId="110" xfId="12" applyFont="1" applyBorder="1"/>
    <xf numFmtId="0" fontId="51" fillId="0" borderId="23" xfId="0" applyFont="1" applyBorder="1"/>
    <xf numFmtId="0" fontId="51" fillId="0" borderId="55" xfId="0" applyFont="1" applyBorder="1"/>
    <xf numFmtId="0" fontId="22" fillId="0" borderId="55" xfId="12" applyBorder="1"/>
    <xf numFmtId="0" fontId="0" fillId="20" borderId="26" xfId="0" applyFill="1" applyBorder="1"/>
    <xf numFmtId="0" fontId="92" fillId="27" borderId="50" xfId="0" applyFont="1" applyFill="1" applyBorder="1" applyAlignment="1">
      <alignment horizontal="center"/>
    </xf>
    <xf numFmtId="0" fontId="92" fillId="27" borderId="21" xfId="0" applyFont="1" applyFill="1" applyBorder="1" applyAlignment="1">
      <alignment horizontal="center"/>
    </xf>
    <xf numFmtId="0" fontId="89" fillId="27" borderId="17" xfId="0" applyFont="1" applyFill="1" applyBorder="1" applyAlignment="1">
      <alignment horizontal="center"/>
    </xf>
    <xf numFmtId="0" fontId="27" fillId="27" borderId="47" xfId="0" applyFont="1" applyFill="1" applyBorder="1"/>
    <xf numFmtId="0" fontId="22" fillId="31" borderId="26" xfId="0" applyFont="1" applyFill="1" applyBorder="1" applyAlignment="1">
      <alignment horizontal="center"/>
    </xf>
    <xf numFmtId="0" fontId="89" fillId="0" borderId="34" xfId="0" applyFont="1" applyBorder="1"/>
    <xf numFmtId="0" fontId="8" fillId="0" borderId="0" xfId="9830" applyBorder="1"/>
    <xf numFmtId="0" fontId="8" fillId="0" borderId="14" xfId="9830" applyBorder="1"/>
    <xf numFmtId="0" fontId="0" fillId="91" borderId="108" xfId="0" applyFill="1" applyBorder="1" applyProtection="1">
      <protection locked="0"/>
    </xf>
    <xf numFmtId="0" fontId="22" fillId="0" borderId="108" xfId="0" applyFont="1" applyBorder="1" applyProtection="1">
      <protection locked="0"/>
    </xf>
    <xf numFmtId="0" fontId="22" fillId="0" borderId="107" xfId="0" applyNumberFormat="1" applyFont="1" applyFill="1" applyBorder="1" applyAlignment="1">
      <alignment wrapText="1"/>
    </xf>
    <xf numFmtId="0" fontId="22" fillId="0" borderId="4" xfId="0" applyNumberFormat="1" applyFont="1" applyFill="1" applyBorder="1" applyAlignment="1">
      <alignment wrapText="1"/>
    </xf>
    <xf numFmtId="0" fontId="0" fillId="0" borderId="111" xfId="0" applyBorder="1" applyProtection="1">
      <protection hidden="1"/>
    </xf>
    <xf numFmtId="0" fontId="22" fillId="91" borderId="54" xfId="0" applyFont="1" applyFill="1" applyBorder="1" applyProtection="1">
      <protection locked="0"/>
    </xf>
    <xf numFmtId="0" fontId="22" fillId="31" borderId="19" xfId="0" applyFont="1" applyFill="1" applyBorder="1" applyAlignment="1">
      <alignment wrapText="1"/>
    </xf>
    <xf numFmtId="0" fontId="22" fillId="31" borderId="12" xfId="0" applyFont="1" applyFill="1" applyBorder="1" applyAlignment="1">
      <alignment wrapText="1"/>
    </xf>
    <xf numFmtId="0" fontId="27" fillId="46" borderId="67" xfId="0" applyFont="1" applyFill="1" applyBorder="1" applyAlignment="1"/>
    <xf numFmtId="0" fontId="64" fillId="43" borderId="27" xfId="0" applyFont="1" applyFill="1" applyBorder="1" applyAlignment="1">
      <alignment wrapText="1"/>
    </xf>
    <xf numFmtId="0" fontId="31" fillId="44" borderId="38" xfId="0" applyFont="1" applyFill="1" applyBorder="1" applyAlignment="1">
      <alignment horizontal="center" vertical="center" wrapText="1"/>
    </xf>
    <xf numFmtId="0" fontId="0" fillId="0" borderId="1" xfId="0" applyFill="1" applyBorder="1" applyAlignment="1">
      <alignment wrapText="1"/>
    </xf>
    <xf numFmtId="0" fontId="22" fillId="20" borderId="6" xfId="0" applyFont="1" applyFill="1" applyBorder="1" applyAlignment="1">
      <alignment horizontal="center" wrapText="1"/>
    </xf>
    <xf numFmtId="0" fontId="22" fillId="48" borderId="64" xfId="0" applyFont="1" applyFill="1" applyBorder="1" applyAlignment="1">
      <alignment horizontal="center"/>
    </xf>
    <xf numFmtId="0" fontId="0" fillId="24" borderId="33" xfId="0" applyFill="1" applyBorder="1" applyAlignment="1"/>
    <xf numFmtId="0" fontId="27" fillId="3" borderId="108" xfId="0" applyNumberFormat="1" applyFont="1" applyFill="1" applyBorder="1" applyAlignment="1" applyProtection="1">
      <alignment horizontal="left"/>
    </xf>
    <xf numFmtId="0" fontId="23" fillId="27" borderId="48" xfId="0" applyFont="1" applyFill="1" applyBorder="1" applyAlignment="1">
      <alignment vertical="center" wrapText="1"/>
    </xf>
    <xf numFmtId="0" fontId="23" fillId="27" borderId="47" xfId="0" applyFont="1" applyFill="1" applyBorder="1" applyAlignment="1">
      <alignment vertical="center" wrapText="1"/>
    </xf>
    <xf numFmtId="0" fontId="0" fillId="24" borderId="118" xfId="0" applyFill="1" applyBorder="1"/>
    <xf numFmtId="0" fontId="0" fillId="0" borderId="118" xfId="0" applyFill="1" applyBorder="1"/>
    <xf numFmtId="0" fontId="0" fillId="0" borderId="118" xfId="0" applyFill="1" applyBorder="1" applyAlignment="1">
      <alignment horizontal="left"/>
    </xf>
    <xf numFmtId="0" fontId="0" fillId="24" borderId="113" xfId="0" applyFill="1" applyBorder="1"/>
    <xf numFmtId="0" fontId="22" fillId="24" borderId="118" xfId="0" applyFont="1" applyFill="1" applyBorder="1"/>
    <xf numFmtId="0" fontId="0" fillId="24" borderId="6" xfId="0" applyFill="1" applyBorder="1" applyAlignment="1">
      <alignment horizontal="left" wrapText="1"/>
    </xf>
    <xf numFmtId="0" fontId="0" fillId="24" borderId="108" xfId="0" applyFill="1" applyBorder="1" applyAlignment="1">
      <alignment horizontal="left" wrapText="1"/>
    </xf>
    <xf numFmtId="0" fontId="0" fillId="24" borderId="54" xfId="0" applyFill="1" applyBorder="1" applyAlignment="1">
      <alignment horizontal="left" wrapText="1"/>
    </xf>
    <xf numFmtId="0" fontId="22" fillId="0" borderId="110" xfId="0" quotePrefix="1" applyFont="1" applyBorder="1"/>
    <xf numFmtId="0" fontId="51" fillId="0" borderId="3" xfId="0" applyFont="1" applyBorder="1"/>
    <xf numFmtId="0" fontId="64" fillId="138" borderId="108" xfId="0" applyFont="1" applyFill="1" applyBorder="1" applyAlignment="1">
      <alignment horizontal="center"/>
    </xf>
    <xf numFmtId="0" fontId="64" fillId="138" borderId="54" xfId="0" applyFont="1" applyFill="1" applyBorder="1" applyAlignment="1">
      <alignment horizontal="center"/>
    </xf>
    <xf numFmtId="0" fontId="64" fillId="27" borderId="6" xfId="0" applyFont="1" applyFill="1" applyBorder="1" applyAlignment="1">
      <alignment horizontal="center"/>
    </xf>
    <xf numFmtId="0" fontId="64" fillId="138" borderId="6" xfId="0" applyFont="1" applyFill="1" applyBorder="1" applyAlignment="1">
      <alignment horizontal="center"/>
    </xf>
    <xf numFmtId="0" fontId="142" fillId="0" borderId="21" xfId="0" applyFont="1" applyBorder="1" applyAlignment="1" applyProtection="1">
      <alignment horizontal="left" wrapText="1"/>
      <protection locked="0"/>
    </xf>
    <xf numFmtId="0" fontId="96" fillId="24" borderId="53" xfId="0" applyFont="1" applyFill="1" applyBorder="1" applyAlignment="1">
      <alignment vertical="center" wrapText="1"/>
    </xf>
    <xf numFmtId="0" fontId="27" fillId="41" borderId="42" xfId="0" applyFont="1" applyFill="1" applyBorder="1" applyAlignment="1">
      <alignment horizontal="center" vertical="center" wrapText="1"/>
    </xf>
    <xf numFmtId="0" fontId="27" fillId="41" borderId="7" xfId="0" applyFont="1" applyFill="1" applyBorder="1" applyAlignment="1">
      <alignment horizontal="center" vertical="center" wrapText="1"/>
    </xf>
    <xf numFmtId="0" fontId="27" fillId="23" borderId="42" xfId="0" applyFont="1" applyFill="1" applyBorder="1" applyAlignment="1">
      <alignment horizontal="center" vertical="center" wrapText="1"/>
    </xf>
    <xf numFmtId="0" fontId="27" fillId="23" borderId="7" xfId="0" applyFont="1" applyFill="1" applyBorder="1" applyAlignment="1">
      <alignment horizontal="center" vertical="center" wrapText="1"/>
    </xf>
    <xf numFmtId="0" fontId="27" fillId="54" borderId="67" xfId="0" applyFont="1" applyFill="1" applyBorder="1" applyAlignment="1">
      <alignment horizontal="center" vertical="center" wrapText="1"/>
    </xf>
    <xf numFmtId="0" fontId="27" fillId="120" borderId="67" xfId="0" applyFont="1" applyFill="1" applyBorder="1" applyAlignment="1">
      <alignment horizontal="center" vertical="center" wrapText="1"/>
    </xf>
    <xf numFmtId="0" fontId="27" fillId="120" borderId="12" xfId="0" applyFont="1" applyFill="1" applyBorder="1" applyAlignment="1">
      <alignment horizontal="center" vertical="center" wrapText="1"/>
    </xf>
    <xf numFmtId="0" fontId="0" fillId="3" borderId="108" xfId="0" applyFill="1" applyBorder="1" applyAlignment="1">
      <alignment horizontal="center"/>
    </xf>
    <xf numFmtId="0" fontId="22" fillId="0" borderId="34" xfId="0" applyFont="1" applyFill="1" applyBorder="1"/>
    <xf numFmtId="0" fontId="0" fillId="0" borderId="55" xfId="0" applyFill="1" applyBorder="1" applyAlignment="1" applyProtection="1">
      <alignment horizontal="left"/>
    </xf>
    <xf numFmtId="0" fontId="0" fillId="0" borderId="108" xfId="0" applyFill="1" applyBorder="1" applyAlignment="1" applyProtection="1">
      <alignment horizontal="left"/>
    </xf>
    <xf numFmtId="0" fontId="52" fillId="31" borderId="10" xfId="0" applyFont="1" applyFill="1" applyBorder="1" applyAlignment="1" applyProtection="1">
      <alignment horizontal="center" wrapText="1"/>
    </xf>
    <xf numFmtId="0" fontId="0" fillId="21" borderId="4" xfId="0" applyFill="1" applyBorder="1" applyAlignment="1" applyProtection="1">
      <alignment horizontal="center"/>
    </xf>
    <xf numFmtId="0" fontId="0" fillId="21" borderId="30" xfId="0" applyFill="1" applyBorder="1" applyAlignment="1" applyProtection="1">
      <alignment horizontal="center"/>
    </xf>
    <xf numFmtId="0" fontId="0" fillId="21" borderId="33" xfId="0" applyFill="1" applyBorder="1" applyAlignment="1" applyProtection="1">
      <alignment horizontal="center"/>
    </xf>
    <xf numFmtId="0" fontId="22" fillId="21" borderId="27" xfId="0" applyFont="1" applyFill="1" applyBorder="1" applyAlignment="1">
      <alignment horizontal="center" wrapText="1"/>
    </xf>
    <xf numFmtId="0" fontId="240" fillId="0" borderId="36" xfId="0" applyFont="1" applyFill="1" applyBorder="1" applyAlignment="1">
      <alignment horizontal="center" wrapText="1"/>
    </xf>
    <xf numFmtId="0" fontId="240" fillId="0" borderId="40" xfId="0" applyFont="1" applyFill="1" applyBorder="1" applyAlignment="1">
      <alignment horizontal="center" wrapText="1"/>
    </xf>
    <xf numFmtId="0" fontId="240" fillId="0" borderId="119" xfId="0" applyFont="1" applyFill="1" applyBorder="1" applyAlignment="1">
      <alignment horizontal="center" wrapText="1"/>
    </xf>
    <xf numFmtId="0" fontId="240" fillId="0" borderId="75" xfId="0" applyFont="1" applyFill="1" applyBorder="1" applyAlignment="1">
      <alignment horizontal="center" wrapText="1"/>
    </xf>
    <xf numFmtId="0" fontId="22" fillId="42" borderId="60" xfId="0" applyFont="1" applyFill="1" applyBorder="1" applyAlignment="1">
      <alignment horizontal="left" vertical="top" wrapText="1" indent="2"/>
    </xf>
    <xf numFmtId="0" fontId="22" fillId="21" borderId="14" xfId="0" applyFont="1" applyFill="1" applyBorder="1" applyAlignment="1">
      <alignment horizontal="center"/>
    </xf>
    <xf numFmtId="0" fontId="22" fillId="21" borderId="75" xfId="0" applyFont="1" applyFill="1" applyBorder="1" applyAlignment="1">
      <alignment horizontal="center" wrapText="1"/>
    </xf>
    <xf numFmtId="0" fontId="0" fillId="24" borderId="108" xfId="0" applyFill="1" applyBorder="1" applyAlignment="1">
      <alignment horizontal="center" vertical="center"/>
    </xf>
    <xf numFmtId="0" fontId="22" fillId="42" borderId="1" xfId="3" applyFont="1" applyFill="1" applyBorder="1" applyAlignment="1" applyProtection="1">
      <protection locked="0"/>
    </xf>
    <xf numFmtId="0" fontId="24" fillId="42" borderId="1" xfId="0" applyFont="1" applyFill="1" applyBorder="1" applyAlignment="1" applyProtection="1">
      <alignment horizontal="left"/>
      <protection locked="0"/>
    </xf>
    <xf numFmtId="0" fontId="24" fillId="42" borderId="1" xfId="0" applyFont="1" applyFill="1" applyBorder="1" applyAlignment="1" applyProtection="1">
      <protection locked="0"/>
    </xf>
    <xf numFmtId="0" fontId="24" fillId="42" borderId="108" xfId="0" applyFont="1" applyFill="1" applyBorder="1" applyAlignment="1" applyProtection="1">
      <protection locked="0"/>
    </xf>
    <xf numFmtId="0" fontId="22" fillId="42" borderId="1" xfId="3" applyFont="1" applyFill="1" applyBorder="1" applyAlignment="1" applyProtection="1">
      <alignment horizontal="left"/>
      <protection locked="0"/>
    </xf>
    <xf numFmtId="0" fontId="24" fillId="42" borderId="1" xfId="3" applyFont="1" applyFill="1" applyBorder="1" applyAlignment="1" applyProtection="1">
      <alignment horizontal="left"/>
      <protection locked="0"/>
    </xf>
    <xf numFmtId="0" fontId="22" fillId="42" borderId="108" xfId="3" applyFont="1" applyFill="1" applyBorder="1" applyAlignment="1" applyProtection="1">
      <alignment horizontal="left"/>
      <protection locked="0"/>
    </xf>
    <xf numFmtId="0" fontId="24" fillId="42" borderId="1" xfId="3" applyFont="1" applyFill="1" applyBorder="1" applyAlignment="1" applyProtection="1">
      <alignment wrapText="1"/>
      <protection locked="0"/>
    </xf>
    <xf numFmtId="0" fontId="22" fillId="42" borderId="1" xfId="3" applyFont="1" applyFill="1" applyBorder="1" applyAlignment="1" applyProtection="1">
      <alignment horizontal="left" wrapText="1"/>
      <protection locked="0"/>
    </xf>
    <xf numFmtId="0" fontId="31" fillId="31" borderId="61" xfId="0" applyFont="1" applyFill="1" applyBorder="1" applyAlignment="1">
      <alignment vertical="top" wrapText="1"/>
    </xf>
    <xf numFmtId="0" fontId="82" fillId="0" borderId="109" xfId="3" applyFont="1" applyFill="1" applyBorder="1" applyAlignment="1" applyProtection="1">
      <alignment horizontal="left" vertical="top" wrapText="1" indent="3"/>
      <protection locked="0"/>
    </xf>
    <xf numFmtId="0" fontId="24" fillId="43" borderId="110" xfId="3" applyFont="1" applyFill="1" applyBorder="1" applyAlignment="1" applyProtection="1">
      <alignment horizontal="center" vertical="center" wrapText="1"/>
      <protection locked="0"/>
    </xf>
    <xf numFmtId="0" fontId="22" fillId="43" borderId="108" xfId="3" applyFont="1" applyFill="1" applyBorder="1" applyAlignment="1" applyProtection="1">
      <alignment horizontal="center" vertical="center" wrapText="1"/>
      <protection locked="0"/>
    </xf>
    <xf numFmtId="0" fontId="24" fillId="43" borderId="108" xfId="3" applyFont="1" applyFill="1" applyBorder="1" applyAlignment="1" applyProtection="1">
      <alignment horizontal="left" wrapText="1"/>
      <protection locked="0"/>
    </xf>
    <xf numFmtId="0" fontId="24" fillId="43" borderId="108" xfId="0" applyFont="1" applyFill="1" applyBorder="1" applyAlignment="1" applyProtection="1">
      <alignment wrapText="1"/>
      <protection locked="0"/>
    </xf>
    <xf numFmtId="0" fontId="24" fillId="43" borderId="108" xfId="0" applyFont="1" applyFill="1" applyBorder="1" applyAlignment="1" applyProtection="1">
      <alignment vertical="top" wrapText="1"/>
      <protection locked="0"/>
    </xf>
    <xf numFmtId="0" fontId="24" fillId="21" borderId="118" xfId="0" applyFont="1" applyFill="1" applyBorder="1" applyAlignment="1" applyProtection="1">
      <alignment vertical="top" wrapText="1"/>
      <protection locked="0"/>
    </xf>
    <xf numFmtId="0" fontId="27" fillId="139" borderId="12" xfId="0" applyFont="1" applyFill="1" applyBorder="1" applyAlignment="1">
      <alignment horizontal="center" vertical="center" wrapText="1"/>
    </xf>
    <xf numFmtId="0" fontId="27" fillId="130" borderId="12" xfId="0" applyFont="1" applyFill="1" applyBorder="1" applyAlignment="1">
      <alignment horizontal="center" vertical="center" wrapText="1"/>
    </xf>
    <xf numFmtId="0" fontId="64" fillId="20" borderId="108" xfId="0" quotePrefix="1" applyFont="1" applyFill="1" applyBorder="1" applyAlignment="1">
      <alignment wrapText="1"/>
    </xf>
    <xf numFmtId="0" fontId="64" fillId="20" borderId="108" xfId="0" applyFont="1" applyFill="1" applyBorder="1" applyAlignment="1">
      <alignment vertical="center"/>
    </xf>
    <xf numFmtId="0" fontId="64" fillId="20" borderId="108" xfId="0" applyFont="1" applyFill="1" applyBorder="1" applyAlignment="1">
      <alignment horizontal="center"/>
    </xf>
    <xf numFmtId="0" fontId="64" fillId="27" borderId="10" xfId="0" applyFont="1" applyFill="1" applyBorder="1" applyAlignment="1">
      <alignment horizontal="center"/>
    </xf>
    <xf numFmtId="0" fontId="53" fillId="43" borderId="1" xfId="3" applyFont="1" applyFill="1" applyBorder="1" applyAlignment="1" applyProtection="1">
      <alignment horizontal="left" wrapText="1"/>
      <protection locked="0"/>
    </xf>
    <xf numFmtId="0" fontId="44" fillId="12" borderId="0" xfId="0" applyFont="1" applyFill="1"/>
    <xf numFmtId="0" fontId="64" fillId="0" borderId="0" xfId="0" applyFont="1" applyFill="1"/>
    <xf numFmtId="0" fontId="0" fillId="0" borderId="10" xfId="0" applyBorder="1" applyAlignment="1" applyProtection="1">
      <alignment horizontal="center"/>
      <protection locked="0"/>
    </xf>
    <xf numFmtId="0" fontId="22" fillId="23" borderId="21" xfId="0" applyFont="1" applyFill="1" applyBorder="1" applyAlignment="1">
      <alignment horizontal="left" vertical="top" wrapText="1"/>
    </xf>
    <xf numFmtId="0" fontId="22" fillId="23" borderId="29" xfId="0" applyFont="1" applyFill="1" applyBorder="1"/>
    <xf numFmtId="0" fontId="64" fillId="23" borderId="22" xfId="0" applyFont="1" applyFill="1" applyBorder="1" applyAlignment="1">
      <alignment wrapText="1"/>
    </xf>
    <xf numFmtId="0" fontId="22" fillId="23" borderId="21" xfId="0" applyFont="1" applyFill="1" applyBorder="1" applyAlignment="1">
      <alignment wrapText="1"/>
    </xf>
    <xf numFmtId="0" fontId="22" fillId="23" borderId="21" xfId="0" applyFont="1" applyFill="1" applyBorder="1" applyAlignment="1">
      <alignment horizontal="left" wrapText="1" indent="4"/>
    </xf>
    <xf numFmtId="0" fontId="27" fillId="31" borderId="2" xfId="0" applyFont="1" applyFill="1" applyBorder="1" applyAlignment="1">
      <alignment vertical="top" wrapText="1"/>
    </xf>
    <xf numFmtId="0" fontId="22" fillId="29" borderId="29" xfId="0" applyFont="1" applyFill="1" applyBorder="1"/>
    <xf numFmtId="0" fontId="27" fillId="40" borderId="62" xfId="0" applyFont="1" applyFill="1" applyBorder="1" applyAlignment="1">
      <alignment vertical="top" wrapText="1"/>
    </xf>
    <xf numFmtId="0" fontId="0" fillId="21" borderId="19" xfId="0" applyFill="1" applyBorder="1" applyAlignment="1">
      <alignment horizontal="center" vertical="top" wrapText="1"/>
    </xf>
    <xf numFmtId="0" fontId="0" fillId="21" borderId="19" xfId="0" applyFill="1" applyBorder="1"/>
    <xf numFmtId="0" fontId="0" fillId="0" borderId="117" xfId="0" applyBorder="1"/>
    <xf numFmtId="0" fontId="22" fillId="23" borderId="28" xfId="0" applyFont="1" applyFill="1" applyBorder="1" applyAlignment="1">
      <alignment horizontal="left" wrapText="1"/>
    </xf>
    <xf numFmtId="0" fontId="22" fillId="0" borderId="19" xfId="0" applyFont="1" applyBorder="1" applyAlignment="1">
      <alignment horizontal="center" wrapText="1"/>
    </xf>
    <xf numFmtId="0" fontId="95" fillId="23" borderId="21" xfId="0" applyFont="1" applyFill="1" applyBorder="1" applyAlignment="1">
      <alignment vertical="top" wrapText="1"/>
    </xf>
    <xf numFmtId="0" fontId="240" fillId="20" borderId="68" xfId="0" applyFont="1" applyFill="1" applyBorder="1" applyAlignment="1">
      <alignment horizontal="center"/>
    </xf>
    <xf numFmtId="0" fontId="240" fillId="21" borderId="19" xfId="0" applyFont="1" applyFill="1" applyBorder="1" applyAlignment="1">
      <alignment horizontal="center"/>
    </xf>
    <xf numFmtId="0" fontId="240" fillId="21" borderId="19" xfId="0" applyFont="1" applyFill="1" applyBorder="1" applyAlignment="1">
      <alignment horizontal="center" wrapText="1"/>
    </xf>
    <xf numFmtId="0" fontId="22" fillId="0" borderId="55" xfId="0" applyFont="1" applyBorder="1" applyAlignment="1">
      <alignment horizontal="center" vertical="center"/>
    </xf>
    <xf numFmtId="0" fontId="27" fillId="37" borderId="19" xfId="0" applyFont="1" applyFill="1" applyBorder="1"/>
    <xf numFmtId="0" fontId="27" fillId="23" borderId="35" xfId="0" applyFont="1" applyFill="1" applyBorder="1" applyAlignment="1">
      <alignment horizontal="left" vertical="top" wrapText="1" indent="2"/>
    </xf>
    <xf numFmtId="0" fontId="0" fillId="20" borderId="17" xfId="0" applyFill="1" applyBorder="1" applyAlignment="1">
      <alignment wrapText="1"/>
    </xf>
    <xf numFmtId="0" fontId="0" fillId="20" borderId="77" xfId="0" applyFill="1" applyBorder="1" applyAlignment="1">
      <alignment wrapText="1"/>
    </xf>
    <xf numFmtId="0" fontId="0" fillId="0" borderId="52" xfId="0" applyBorder="1"/>
    <xf numFmtId="0" fontId="0" fillId="31" borderId="77" xfId="0" applyFill="1" applyBorder="1" applyAlignment="1">
      <alignment horizontal="left"/>
    </xf>
    <xf numFmtId="0" fontId="27" fillId="130" borderId="112" xfId="0" applyFont="1" applyFill="1" applyBorder="1" applyAlignment="1">
      <alignment horizontal="center" vertical="center" wrapText="1"/>
    </xf>
    <xf numFmtId="0" fontId="27" fillId="130" borderId="44" xfId="0" applyFont="1" applyFill="1" applyBorder="1" applyAlignment="1">
      <alignment horizontal="center" vertical="center" wrapText="1"/>
    </xf>
    <xf numFmtId="0" fontId="0" fillId="24" borderId="17" xfId="0" applyFill="1" applyBorder="1"/>
    <xf numFmtId="0" fontId="27" fillId="31" borderId="53" xfId="0" applyFont="1" applyFill="1" applyBorder="1"/>
    <xf numFmtId="0" fontId="27" fillId="31" borderId="112" xfId="0" applyFont="1" applyFill="1" applyBorder="1"/>
    <xf numFmtId="0" fontId="22" fillId="0" borderId="0" xfId="0" applyFont="1" applyFill="1" applyBorder="1" applyAlignment="1" applyProtection="1"/>
    <xf numFmtId="0" fontId="22" fillId="20" borderId="54" xfId="0" applyFont="1" applyFill="1" applyBorder="1" applyAlignment="1">
      <alignment horizontal="left" vertical="center" wrapText="1"/>
    </xf>
    <xf numFmtId="0" fontId="22" fillId="0" borderId="108" xfId="0" applyFont="1" applyFill="1" applyBorder="1" applyProtection="1"/>
    <xf numFmtId="0" fontId="22" fillId="0" borderId="54" xfId="0" applyFont="1" applyFill="1" applyBorder="1" applyProtection="1"/>
    <xf numFmtId="0" fontId="22" fillId="0" borderId="6" xfId="0" applyFont="1" applyFill="1" applyBorder="1" applyProtection="1"/>
    <xf numFmtId="0" fontId="22" fillId="31" borderId="77" xfId="0" applyFont="1" applyFill="1" applyBorder="1" applyAlignment="1" applyProtection="1">
      <alignment wrapText="1"/>
    </xf>
    <xf numFmtId="0" fontId="22" fillId="31" borderId="10" xfId="0" applyFont="1" applyFill="1" applyBorder="1" applyAlignment="1" applyProtection="1">
      <alignment wrapText="1"/>
    </xf>
    <xf numFmtId="0" fontId="22" fillId="31" borderId="51" xfId="0" applyFont="1" applyFill="1" applyBorder="1" applyAlignment="1" applyProtection="1">
      <alignment wrapText="1"/>
    </xf>
    <xf numFmtId="0" fontId="0" fillId="21" borderId="6" xfId="0" applyFill="1" applyBorder="1" applyProtection="1"/>
    <xf numFmtId="0" fontId="0" fillId="21" borderId="108" xfId="0" applyFill="1" applyBorder="1" applyProtection="1"/>
    <xf numFmtId="0" fontId="0" fillId="21" borderId="54" xfId="0" applyFill="1" applyBorder="1" applyProtection="1"/>
    <xf numFmtId="0" fontId="0" fillId="137" borderId="6" xfId="0" applyFill="1" applyBorder="1" applyAlignment="1" applyProtection="1">
      <alignment horizontal="left" vertical="center" wrapText="1"/>
    </xf>
    <xf numFmtId="0" fontId="0" fillId="137" borderId="10" xfId="0" applyFill="1" applyBorder="1" applyAlignment="1" applyProtection="1">
      <alignment horizontal="left" vertical="center" wrapText="1"/>
    </xf>
    <xf numFmtId="0" fontId="22" fillId="0" borderId="10" xfId="0" applyFont="1" applyFill="1" applyBorder="1" applyAlignment="1" applyProtection="1">
      <alignment horizontal="left"/>
    </xf>
    <xf numFmtId="0" fontId="22" fillId="20" borderId="10" xfId="0" applyFont="1" applyFill="1" applyBorder="1" applyAlignment="1" applyProtection="1">
      <alignment horizontal="left"/>
    </xf>
    <xf numFmtId="0" fontId="94" fillId="44" borderId="105" xfId="0" applyFont="1" applyFill="1" applyBorder="1" applyAlignment="1" applyProtection="1">
      <alignment horizontal="center" vertical="center" wrapText="1"/>
      <protection locked="0"/>
    </xf>
    <xf numFmtId="0" fontId="0" fillId="27" borderId="108" xfId="0" applyFill="1" applyBorder="1" applyAlignment="1" applyProtection="1">
      <alignment horizontal="center"/>
    </xf>
    <xf numFmtId="0" fontId="22" fillId="32" borderId="1" xfId="0" applyFont="1" applyFill="1" applyBorder="1" applyAlignment="1">
      <alignment horizontal="left"/>
    </xf>
    <xf numFmtId="0" fontId="22" fillId="32" borderId="1" xfId="0" applyFont="1" applyFill="1" applyBorder="1" applyAlignment="1">
      <alignment horizontal="center"/>
    </xf>
    <xf numFmtId="0" fontId="22" fillId="32" borderId="1" xfId="0" applyFont="1" applyFill="1" applyBorder="1"/>
    <xf numFmtId="0" fontId="22" fillId="52" borderId="1" xfId="0" applyFont="1" applyFill="1" applyBorder="1" applyAlignment="1">
      <alignment horizontal="left"/>
    </xf>
    <xf numFmtId="0" fontId="22" fillId="52" borderId="1" xfId="0" applyFont="1" applyFill="1" applyBorder="1" applyAlignment="1">
      <alignment horizontal="center"/>
    </xf>
    <xf numFmtId="0" fontId="54" fillId="27" borderId="54" xfId="3" applyFont="1" applyFill="1" applyBorder="1" applyAlignment="1" applyProtection="1">
      <alignment horizontal="center" vertical="center" wrapText="1"/>
    </xf>
    <xf numFmtId="168" fontId="0" fillId="24" borderId="48" xfId="0" applyNumberFormat="1" applyFill="1" applyBorder="1" applyAlignment="1">
      <alignment horizontal="center"/>
    </xf>
    <xf numFmtId="0" fontId="22" fillId="33" borderId="41" xfId="0" applyFont="1" applyFill="1" applyBorder="1" applyAlignment="1"/>
    <xf numFmtId="0" fontId="22" fillId="33" borderId="18" xfId="0" applyFont="1" applyFill="1" applyBorder="1" applyAlignment="1"/>
    <xf numFmtId="0" fontId="94" fillId="0" borderId="20" xfId="0" applyFont="1" applyFill="1" applyBorder="1" applyAlignment="1"/>
    <xf numFmtId="0" fontId="27" fillId="0" borderId="28" xfId="0" applyFont="1" applyFill="1" applyBorder="1" applyAlignment="1">
      <alignment wrapText="1"/>
    </xf>
    <xf numFmtId="0" fontId="94" fillId="0" borderId="20" xfId="0" applyFont="1" applyFill="1" applyBorder="1" applyAlignment="1">
      <alignment horizontal="center" vertical="center"/>
    </xf>
    <xf numFmtId="0" fontId="260" fillId="46" borderId="1" xfId="0" applyFont="1" applyFill="1" applyBorder="1" applyAlignment="1">
      <alignment horizontal="center" vertical="center"/>
    </xf>
    <xf numFmtId="0" fontId="0" fillId="0" borderId="0" xfId="0" applyFill="1" applyBorder="1" applyAlignment="1">
      <alignment wrapText="1"/>
    </xf>
    <xf numFmtId="0" fontId="0" fillId="0" borderId="54" xfId="0" applyBorder="1" applyAlignment="1">
      <alignment horizontal="center"/>
    </xf>
    <xf numFmtId="0" fontId="0" fillId="21" borderId="6" xfId="0" applyFill="1" applyBorder="1" applyAlignment="1">
      <alignment horizontal="center"/>
    </xf>
    <xf numFmtId="0" fontId="0" fillId="21" borderId="10" xfId="0" applyFill="1" applyBorder="1" applyAlignment="1">
      <alignment horizontal="center"/>
    </xf>
    <xf numFmtId="0" fontId="0" fillId="21" borderId="55" xfId="0" applyFill="1" applyBorder="1" applyAlignment="1">
      <alignment horizontal="center"/>
    </xf>
    <xf numFmtId="0" fontId="0" fillId="137" borderId="111" xfId="0" applyFill="1" applyBorder="1" applyAlignment="1"/>
    <xf numFmtId="0" fontId="0" fillId="137" borderId="64" xfId="0" applyFill="1" applyBorder="1" applyAlignment="1"/>
    <xf numFmtId="0" fontId="0" fillId="44" borderId="43" xfId="0" applyFill="1" applyBorder="1" applyProtection="1"/>
    <xf numFmtId="0" fontId="260" fillId="0" borderId="29" xfId="0" applyFont="1" applyFill="1" applyBorder="1" applyAlignment="1">
      <alignment vertical="center"/>
    </xf>
    <xf numFmtId="0" fontId="260" fillId="0" borderId="25" xfId="0" applyFont="1" applyFill="1" applyBorder="1" applyAlignment="1">
      <alignment vertical="center"/>
    </xf>
    <xf numFmtId="0" fontId="0" fillId="136" borderId="109" xfId="0" applyFill="1" applyBorder="1" applyAlignment="1">
      <alignment horizontal="center"/>
    </xf>
    <xf numFmtId="0" fontId="0" fillId="136" borderId="54" xfId="0" applyFill="1" applyBorder="1" applyAlignment="1">
      <alignment horizontal="center"/>
    </xf>
    <xf numFmtId="0" fontId="25" fillId="49" borderId="1" xfId="0" applyFont="1" applyFill="1" applyBorder="1" applyAlignment="1">
      <alignment horizontal="left"/>
    </xf>
    <xf numFmtId="0" fontId="102" fillId="29" borderId="2" xfId="0" applyFont="1" applyFill="1" applyBorder="1" applyAlignment="1">
      <alignment horizontal="left" vertical="center" wrapText="1"/>
    </xf>
    <xf numFmtId="0" fontId="29" fillId="0" borderId="0" xfId="3" applyFill="1" applyAlignment="1" applyProtection="1"/>
    <xf numFmtId="0" fontId="22" fillId="16" borderId="49" xfId="0" applyFont="1" applyFill="1" applyBorder="1"/>
    <xf numFmtId="0" fontId="27" fillId="16" borderId="17" xfId="0" applyFont="1" applyFill="1" applyBorder="1" applyAlignment="1">
      <alignment horizontal="center"/>
    </xf>
    <xf numFmtId="0" fontId="64" fillId="0" borderId="0" xfId="0" applyFont="1" applyBorder="1"/>
    <xf numFmtId="0" fontId="64" fillId="33" borderId="0" xfId="0" applyFont="1" applyFill="1" applyBorder="1"/>
    <xf numFmtId="0" fontId="64" fillId="33" borderId="117" xfId="0" applyFont="1" applyFill="1" applyBorder="1"/>
    <xf numFmtId="0" fontId="22" fillId="27" borderId="124" xfId="0" applyFont="1" applyFill="1" applyBorder="1"/>
    <xf numFmtId="0" fontId="0" fillId="0" borderId="124" xfId="0" applyBorder="1"/>
    <xf numFmtId="0" fontId="195" fillId="38" borderId="125" xfId="0" quotePrefix="1" applyFont="1" applyFill="1" applyBorder="1"/>
    <xf numFmtId="0" fontId="261" fillId="0" borderId="47" xfId="0" applyFont="1" applyBorder="1" applyAlignment="1">
      <alignment horizontal="center"/>
    </xf>
    <xf numFmtId="0" fontId="261" fillId="0" borderId="118" xfId="0" applyFont="1" applyBorder="1" applyAlignment="1">
      <alignment horizontal="center"/>
    </xf>
    <xf numFmtId="0" fontId="261" fillId="0" borderId="48" xfId="0" applyFont="1" applyBorder="1" applyAlignment="1">
      <alignment horizontal="center"/>
    </xf>
    <xf numFmtId="0" fontId="22" fillId="27" borderId="55" xfId="0" applyFont="1" applyFill="1" applyBorder="1" applyAlignment="1">
      <alignment horizontal="center" vertical="center" wrapText="1"/>
    </xf>
    <xf numFmtId="0" fontId="0" fillId="0" borderId="51" xfId="0" applyBorder="1" applyAlignment="1">
      <alignment vertical="center" wrapText="1"/>
    </xf>
    <xf numFmtId="0" fontId="0" fillId="0" borderId="10" xfId="0" applyBorder="1" applyAlignment="1">
      <alignment vertical="center" wrapText="1"/>
    </xf>
    <xf numFmtId="0" fontId="0" fillId="27" borderId="55" xfId="0" applyFill="1" applyBorder="1" applyAlignment="1">
      <alignment horizontal="center" vertical="top" wrapText="1"/>
    </xf>
    <xf numFmtId="0" fontId="0" fillId="27" borderId="10" xfId="0" applyFill="1" applyBorder="1" applyAlignment="1">
      <alignment horizontal="center" vertical="top" wrapText="1"/>
    </xf>
    <xf numFmtId="0" fontId="40" fillId="3" borderId="108" xfId="0" applyFont="1" applyFill="1" applyBorder="1" applyAlignment="1">
      <alignment horizontal="center"/>
    </xf>
    <xf numFmtId="0" fontId="28" fillId="24" borderId="0" xfId="0" applyFont="1" applyFill="1" applyBorder="1" applyAlignment="1">
      <alignment horizontal="center"/>
    </xf>
    <xf numFmtId="0" fontId="40" fillId="3" borderId="108" xfId="0" applyFont="1" applyFill="1" applyBorder="1" applyAlignment="1">
      <alignment horizontal="left" wrapText="1"/>
    </xf>
    <xf numFmtId="0" fontId="25" fillId="0" borderId="108" xfId="0" applyFont="1" applyBorder="1" applyAlignment="1">
      <alignment horizontal="left" wrapText="1"/>
    </xf>
    <xf numFmtId="49" fontId="40" fillId="3" borderId="108" xfId="0" applyNumberFormat="1" applyFont="1" applyFill="1" applyBorder="1" applyAlignment="1">
      <alignment horizontal="left" wrapText="1"/>
    </xf>
    <xf numFmtId="0" fontId="28" fillId="44" borderId="37" xfId="0" applyFont="1" applyFill="1" applyBorder="1" applyAlignment="1">
      <alignment horizontal="center" wrapText="1"/>
    </xf>
    <xf numFmtId="0" fontId="0" fillId="44" borderId="38" xfId="0" applyFill="1" applyBorder="1" applyAlignment="1"/>
    <xf numFmtId="0" fontId="27" fillId="44" borderId="44" xfId="0" applyFont="1" applyFill="1" applyBorder="1" applyAlignment="1">
      <alignment horizontal="center" wrapText="1"/>
    </xf>
    <xf numFmtId="0" fontId="99" fillId="24" borderId="29" xfId="0" applyFont="1" applyFill="1" applyBorder="1" applyAlignment="1">
      <alignment horizontal="left" wrapText="1"/>
    </xf>
    <xf numFmtId="0" fontId="100" fillId="24" borderId="0" xfId="0" applyFont="1" applyFill="1" applyBorder="1" applyAlignment="1">
      <alignment horizontal="left" wrapText="1"/>
    </xf>
    <xf numFmtId="0" fontId="99" fillId="24" borderId="0" xfId="0" applyFont="1" applyFill="1" applyBorder="1" applyAlignment="1">
      <alignment wrapText="1"/>
    </xf>
    <xf numFmtId="0" fontId="28" fillId="24" borderId="36" xfId="0" applyFont="1" applyFill="1" applyBorder="1" applyAlignment="1">
      <alignment horizontal="center"/>
    </xf>
    <xf numFmtId="0" fontId="39" fillId="4" borderId="23" xfId="0" applyFont="1" applyFill="1" applyBorder="1" applyAlignment="1">
      <alignment horizontal="center" wrapText="1"/>
    </xf>
    <xf numFmtId="0" fontId="40" fillId="3" borderId="21" xfId="0" applyFont="1" applyFill="1" applyBorder="1" applyAlignment="1">
      <alignment horizontal="left" wrapText="1"/>
    </xf>
    <xf numFmtId="0" fontId="40" fillId="3" borderId="108" xfId="0" applyFont="1" applyFill="1" applyBorder="1" applyAlignment="1">
      <alignment horizontal="center" wrapText="1"/>
    </xf>
    <xf numFmtId="0" fontId="25" fillId="21" borderId="108" xfId="0" applyFont="1" applyFill="1" applyBorder="1" applyAlignment="1">
      <alignment horizontal="left"/>
    </xf>
    <xf numFmtId="0" fontId="25" fillId="21" borderId="124" xfId="0" applyFont="1" applyFill="1" applyBorder="1" applyAlignment="1">
      <alignment horizontal="left"/>
    </xf>
    <xf numFmtId="0" fontId="53" fillId="42" borderId="1" xfId="3" applyFont="1" applyFill="1" applyBorder="1" applyAlignment="1" applyProtection="1">
      <alignment horizontal="left"/>
      <protection locked="0"/>
    </xf>
    <xf numFmtId="0" fontId="89" fillId="0" borderId="6" xfId="0" applyFont="1" applyFill="1" applyBorder="1" applyAlignment="1">
      <alignment horizontal="left"/>
    </xf>
    <xf numFmtId="0" fontId="27" fillId="88" borderId="12" xfId="0" applyFont="1" applyFill="1" applyBorder="1" applyAlignment="1" applyProtection="1">
      <alignment horizontal="center" vertical="center" wrapText="1"/>
    </xf>
    <xf numFmtId="0" fontId="27" fillId="37" borderId="34" xfId="0" applyFont="1" applyFill="1" applyBorder="1"/>
    <xf numFmtId="0" fontId="89" fillId="0" borderId="55" xfId="0" applyFont="1" applyFill="1" applyBorder="1" applyAlignment="1">
      <alignment horizontal="left"/>
    </xf>
    <xf numFmtId="0" fontId="89" fillId="0" borderId="10" xfId="0" applyFont="1" applyFill="1" applyBorder="1" applyAlignment="1">
      <alignment horizontal="left"/>
    </xf>
    <xf numFmtId="0" fontId="89" fillId="129" borderId="108" xfId="0" applyFont="1" applyFill="1" applyBorder="1" applyAlignment="1">
      <alignment horizontal="center"/>
    </xf>
    <xf numFmtId="0" fontId="89" fillId="129" borderId="124" xfId="0" applyFont="1" applyFill="1" applyBorder="1" applyAlignment="1">
      <alignment horizontal="center"/>
    </xf>
    <xf numFmtId="0" fontId="52" fillId="21" borderId="6" xfId="0" applyFont="1" applyFill="1" applyBorder="1" applyAlignment="1">
      <alignment horizontal="center"/>
    </xf>
    <xf numFmtId="0" fontId="0" fillId="0" borderId="124" xfId="0" applyFill="1" applyBorder="1"/>
    <xf numFmtId="0" fontId="0" fillId="27" borderId="124" xfId="0" applyFill="1" applyBorder="1" applyAlignment="1" applyProtection="1">
      <alignment horizontal="center"/>
    </xf>
    <xf numFmtId="0" fontId="0" fillId="43" borderId="55" xfId="0" applyFill="1" applyBorder="1" applyAlignment="1">
      <alignment horizontal="center"/>
    </xf>
    <xf numFmtId="0" fontId="0" fillId="43" borderId="10" xfId="0" applyFill="1" applyBorder="1" applyAlignment="1">
      <alignment horizontal="center"/>
    </xf>
    <xf numFmtId="0" fontId="0" fillId="43" borderId="108" xfId="0" applyFill="1" applyBorder="1" applyAlignment="1">
      <alignment horizontal="center"/>
    </xf>
    <xf numFmtId="0" fontId="0" fillId="43" borderId="124" xfId="0" applyFill="1" applyBorder="1" applyAlignment="1">
      <alignment horizontal="center"/>
    </xf>
    <xf numFmtId="0" fontId="102" fillId="40" borderId="67" xfId="0" applyFont="1" applyFill="1" applyBorder="1" applyAlignment="1">
      <alignment vertical="center" wrapText="1"/>
    </xf>
    <xf numFmtId="0" fontId="102" fillId="40" borderId="68" xfId="0" applyFont="1" applyFill="1" applyBorder="1" applyAlignment="1">
      <alignment vertical="center" wrapText="1"/>
    </xf>
    <xf numFmtId="0" fontId="102" fillId="40" borderId="12" xfId="0" applyFont="1" applyFill="1" applyBorder="1" applyAlignment="1">
      <alignment vertical="center" wrapText="1"/>
    </xf>
    <xf numFmtId="0" fontId="22" fillId="0" borderId="39" xfId="0" applyFont="1" applyBorder="1"/>
    <xf numFmtId="0" fontId="0" fillId="0" borderId="127" xfId="0" applyBorder="1"/>
    <xf numFmtId="0" fontId="91" fillId="20" borderId="51" xfId="0" applyFont="1" applyFill="1" applyBorder="1"/>
    <xf numFmtId="0" fontId="27" fillId="20" borderId="51" xfId="0" applyFont="1" applyFill="1" applyBorder="1"/>
    <xf numFmtId="0" fontId="0" fillId="140" borderId="108" xfId="0" applyFill="1" applyBorder="1"/>
    <xf numFmtId="0" fontId="87" fillId="140" borderId="108" xfId="0" applyFont="1" applyFill="1" applyBorder="1"/>
    <xf numFmtId="0" fontId="211" fillId="42" borderId="108" xfId="0" applyFont="1" applyFill="1" applyBorder="1"/>
    <xf numFmtId="0" fontId="138" fillId="42" borderId="108" xfId="0" applyFont="1" applyFill="1" applyBorder="1"/>
    <xf numFmtId="0" fontId="262" fillId="42" borderId="108" xfId="0" applyFont="1" applyFill="1" applyBorder="1"/>
    <xf numFmtId="0" fontId="263" fillId="42" borderId="108" xfId="0" applyFont="1" applyFill="1" applyBorder="1"/>
    <xf numFmtId="0" fontId="0" fillId="141" borderId="108" xfId="0" applyFill="1" applyBorder="1"/>
    <xf numFmtId="0" fontId="262" fillId="141" borderId="108" xfId="0" applyFont="1" applyFill="1" applyBorder="1"/>
    <xf numFmtId="0" fontId="263" fillId="141" borderId="108" xfId="0" applyFont="1" applyFill="1" applyBorder="1"/>
    <xf numFmtId="0" fontId="211" fillId="141" borderId="108" xfId="0" applyFont="1" applyFill="1" applyBorder="1"/>
    <xf numFmtId="0" fontId="181" fillId="141" borderId="108" xfId="0" applyFont="1" applyFill="1" applyBorder="1"/>
    <xf numFmtId="0" fontId="138" fillId="141" borderId="108" xfId="0" applyFont="1" applyFill="1" applyBorder="1"/>
    <xf numFmtId="0" fontId="264" fillId="0" borderId="108" xfId="0" applyFont="1" applyBorder="1"/>
    <xf numFmtId="0" fontId="0" fillId="47" borderId="108" xfId="0" applyFill="1" applyBorder="1"/>
    <xf numFmtId="0" fontId="0" fillId="120" borderId="108" xfId="0" applyFill="1" applyBorder="1"/>
    <xf numFmtId="0" fontId="0" fillId="40" borderId="108" xfId="0" applyFill="1" applyBorder="1"/>
    <xf numFmtId="0" fontId="265" fillId="40" borderId="108" xfId="0" applyFont="1" applyFill="1" applyBorder="1"/>
    <xf numFmtId="0" fontId="262" fillId="142" borderId="108" xfId="0" applyFont="1" applyFill="1" applyBorder="1"/>
    <xf numFmtId="0" fontId="263" fillId="142" borderId="108" xfId="0" applyFont="1" applyFill="1" applyBorder="1"/>
    <xf numFmtId="0" fontId="0" fillId="142" borderId="108" xfId="0" applyFill="1" applyBorder="1"/>
    <xf numFmtId="0" fontId="0" fillId="43" borderId="108" xfId="0" applyFill="1" applyBorder="1"/>
    <xf numFmtId="0" fontId="0" fillId="120" borderId="108" xfId="0" applyFont="1" applyFill="1" applyBorder="1"/>
    <xf numFmtId="0" fontId="0" fillId="21" borderId="51" xfId="0" applyFill="1" applyBorder="1" applyAlignment="1" applyProtection="1">
      <alignment horizontal="center"/>
    </xf>
    <xf numFmtId="0" fontId="0" fillId="21" borderId="110" xfId="0" applyFill="1" applyBorder="1" applyAlignment="1" applyProtection="1">
      <alignment horizontal="center"/>
    </xf>
    <xf numFmtId="0" fontId="0" fillId="21" borderId="124" xfId="0" applyFill="1" applyBorder="1" applyAlignment="1" applyProtection="1">
      <alignment horizontal="center"/>
    </xf>
    <xf numFmtId="0" fontId="125" fillId="23" borderId="25" xfId="0" applyFont="1" applyFill="1" applyBorder="1" applyAlignment="1">
      <alignment vertical="top" wrapText="1"/>
    </xf>
    <xf numFmtId="0" fontId="22" fillId="141" borderId="108" xfId="0" applyFont="1" applyFill="1" applyBorder="1"/>
    <xf numFmtId="0" fontId="22" fillId="120" borderId="108" xfId="0" applyFont="1" applyFill="1" applyBorder="1"/>
    <xf numFmtId="0" fontId="22" fillId="0" borderId="125" xfId="12" applyFont="1" applyBorder="1"/>
    <xf numFmtId="0" fontId="22" fillId="42" borderId="108" xfId="0" applyFont="1" applyFill="1" applyBorder="1"/>
    <xf numFmtId="0" fontId="22" fillId="20" borderId="124" xfId="0" applyFont="1" applyFill="1" applyBorder="1" applyAlignment="1" applyProtection="1">
      <alignment horizontal="left"/>
    </xf>
    <xf numFmtId="0" fontId="22" fillId="20" borderId="58" xfId="0" applyFont="1" applyFill="1" applyBorder="1" applyAlignment="1">
      <alignment horizontal="left"/>
    </xf>
    <xf numFmtId="0" fontId="0" fillId="24" borderId="8" xfId="0" applyFill="1" applyBorder="1" applyAlignment="1">
      <alignment horizontal="center"/>
    </xf>
    <xf numFmtId="0" fontId="25" fillId="0" borderId="124" xfId="0" applyFont="1" applyBorder="1" applyProtection="1">
      <protection locked="0"/>
    </xf>
    <xf numFmtId="0" fontId="25" fillId="27" borderId="124" xfId="0" applyFont="1" applyFill="1" applyBorder="1" applyProtection="1"/>
    <xf numFmtId="0" fontId="0" fillId="27" borderId="55" xfId="0" applyFill="1" applyBorder="1" applyAlignment="1">
      <alignment horizontal="center"/>
    </xf>
    <xf numFmtId="0" fontId="25" fillId="42" borderId="128" xfId="0" applyFont="1" applyFill="1" applyBorder="1" applyAlignment="1">
      <alignment wrapText="1"/>
    </xf>
    <xf numFmtId="0" fontId="22" fillId="0" borderId="0" xfId="0" applyFont="1" applyBorder="1" applyAlignment="1">
      <alignment horizontal="center"/>
    </xf>
    <xf numFmtId="0" fontId="39" fillId="31" borderId="55" xfId="0" applyFont="1" applyFill="1" applyBorder="1" applyAlignment="1">
      <alignment horizontal="center" vertical="center" wrapText="1"/>
    </xf>
    <xf numFmtId="0" fontId="0" fillId="24" borderId="124" xfId="0" applyFill="1" applyBorder="1"/>
    <xf numFmtId="0" fontId="0" fillId="24" borderId="55" xfId="0" applyFill="1" applyBorder="1" applyAlignment="1">
      <alignment wrapText="1"/>
    </xf>
    <xf numFmtId="0" fontId="0" fillId="24" borderId="10" xfId="0" applyFill="1" applyBorder="1" applyAlignment="1">
      <alignment wrapText="1"/>
    </xf>
    <xf numFmtId="0" fontId="42" fillId="42" borderId="44" xfId="0" applyFont="1" applyFill="1" applyBorder="1" applyAlignment="1">
      <alignment horizontal="center" wrapText="1"/>
    </xf>
    <xf numFmtId="0" fontId="0" fillId="27" borderId="118" xfId="0" applyFill="1" applyBorder="1"/>
    <xf numFmtId="0" fontId="0" fillId="27" borderId="48" xfId="0" applyFill="1" applyBorder="1"/>
    <xf numFmtId="0" fontId="89" fillId="27" borderId="108" xfId="0" applyFont="1" applyFill="1" applyBorder="1" applyAlignment="1">
      <alignment horizontal="left" vertical="center" wrapText="1"/>
    </xf>
    <xf numFmtId="0" fontId="52" fillId="20" borderId="21" xfId="0" applyFont="1" applyFill="1" applyBorder="1"/>
    <xf numFmtId="0" fontId="52" fillId="20" borderId="24" xfId="0" applyFont="1" applyFill="1" applyBorder="1"/>
    <xf numFmtId="0" fontId="35" fillId="27" borderId="1" xfId="0" applyNumberFormat="1" applyFont="1" applyFill="1" applyBorder="1" applyAlignment="1">
      <alignment horizontal="center"/>
    </xf>
    <xf numFmtId="0" fontId="35" fillId="27" borderId="54" xfId="0" applyNumberFormat="1" applyFont="1" applyFill="1" applyBorder="1" applyAlignment="1">
      <alignment horizontal="center"/>
    </xf>
    <xf numFmtId="0" fontId="0" fillId="20" borderId="124" xfId="0" applyFill="1" applyBorder="1"/>
    <xf numFmtId="0" fontId="89" fillId="27" borderId="124" xfId="0" applyFont="1" applyFill="1" applyBorder="1" applyAlignment="1">
      <alignment horizontal="left" vertical="center" wrapText="1"/>
    </xf>
    <xf numFmtId="0" fontId="89" fillId="3" borderId="124" xfId="0" applyFont="1" applyFill="1" applyBorder="1" applyAlignment="1">
      <alignment horizontal="left" vertical="center" wrapText="1"/>
    </xf>
    <xf numFmtId="0" fontId="0" fillId="3" borderId="125" xfId="0" applyFill="1" applyBorder="1"/>
    <xf numFmtId="0" fontId="39" fillId="31" borderId="0" xfId="0" applyFont="1" applyFill="1" applyBorder="1" applyAlignment="1">
      <alignment horizontal="center" wrapText="1"/>
    </xf>
    <xf numFmtId="0" fontId="0" fillId="27" borderId="117" xfId="0" applyFill="1" applyBorder="1"/>
    <xf numFmtId="0" fontId="239" fillId="0" borderId="118" xfId="0" applyFont="1" applyFill="1" applyBorder="1" applyAlignment="1">
      <alignment wrapText="1"/>
    </xf>
    <xf numFmtId="0" fontId="239" fillId="0" borderId="48" xfId="0" applyFont="1" applyFill="1" applyBorder="1" applyAlignment="1">
      <alignment wrapText="1"/>
    </xf>
    <xf numFmtId="0" fontId="27" fillId="21" borderId="44" xfId="0" applyFont="1" applyFill="1" applyBorder="1" applyAlignment="1">
      <alignment horizontal="center" vertical="center" wrapText="1"/>
    </xf>
    <xf numFmtId="0" fontId="22" fillId="0" borderId="24" xfId="0" applyFont="1" applyBorder="1" applyAlignment="1">
      <alignment horizontal="left" vertical="center" wrapText="1"/>
    </xf>
    <xf numFmtId="0" fontId="42" fillId="31" borderId="124" xfId="0" applyFont="1" applyFill="1" applyBorder="1" applyAlignment="1">
      <alignment horizontal="center" wrapText="1"/>
    </xf>
    <xf numFmtId="0" fontId="43" fillId="27" borderId="108" xfId="0" applyFont="1" applyFill="1" applyBorder="1" applyAlignment="1" applyProtection="1">
      <alignment horizontal="center"/>
    </xf>
    <xf numFmtId="0" fontId="43" fillId="27" borderId="124" xfId="0" applyFont="1" applyFill="1" applyBorder="1" applyAlignment="1" applyProtection="1">
      <alignment horizontal="center"/>
    </xf>
    <xf numFmtId="0" fontId="22" fillId="0" borderId="118" xfId="0" applyFont="1" applyBorder="1"/>
    <xf numFmtId="49" fontId="22" fillId="0" borderId="108" xfId="12" applyNumberFormat="1" applyFont="1" applyBorder="1"/>
    <xf numFmtId="0" fontId="22" fillId="0" borderId="108" xfId="12" applyBorder="1"/>
    <xf numFmtId="0" fontId="22" fillId="0" borderId="126" xfId="0" applyFont="1" applyBorder="1"/>
    <xf numFmtId="0" fontId="22" fillId="0" borderId="121" xfId="0" applyFont="1" applyBorder="1"/>
    <xf numFmtId="0" fontId="89" fillId="34" borderId="108" xfId="0" applyNumberFormat="1" applyFont="1" applyFill="1" applyBorder="1" applyAlignment="1">
      <alignment horizontal="left" vertical="center" wrapText="1"/>
    </xf>
    <xf numFmtId="0" fontId="89" fillId="34" borderId="124" xfId="0" applyFont="1" applyFill="1" applyBorder="1" applyAlignment="1">
      <alignment horizontal="left" vertical="center" wrapText="1"/>
    </xf>
    <xf numFmtId="0" fontId="89" fillId="20" borderId="124" xfId="0" applyFont="1" applyFill="1" applyBorder="1" applyAlignment="1">
      <alignment horizontal="left" vertical="center" wrapText="1"/>
    </xf>
    <xf numFmtId="0" fontId="89" fillId="34" borderId="124" xfId="0" applyFont="1" applyFill="1" applyBorder="1" applyAlignment="1">
      <alignment vertical="center"/>
    </xf>
    <xf numFmtId="0" fontId="89" fillId="34" borderId="124" xfId="0" applyNumberFormat="1" applyFont="1" applyFill="1" applyBorder="1" applyAlignment="1">
      <alignment horizontal="left" vertical="center" wrapText="1"/>
    </xf>
    <xf numFmtId="0" fontId="0" fillId="24" borderId="108" xfId="0" applyNumberFormat="1" applyFill="1" applyBorder="1"/>
    <xf numFmtId="0" fontId="0" fillId="24" borderId="124" xfId="0" applyNumberFormat="1" applyFill="1" applyBorder="1"/>
    <xf numFmtId="1" fontId="25" fillId="3" borderId="108" xfId="0" applyNumberFormat="1" applyFont="1" applyFill="1" applyBorder="1"/>
    <xf numFmtId="1" fontId="25" fillId="3" borderId="124" xfId="0" applyNumberFormat="1" applyFont="1" applyFill="1" applyBorder="1"/>
    <xf numFmtId="0" fontId="27" fillId="3" borderId="55" xfId="0" applyFont="1" applyFill="1" applyBorder="1" applyAlignment="1">
      <alignment horizontal="center" vertical="center" wrapText="1"/>
    </xf>
    <xf numFmtId="0" fontId="27" fillId="3" borderId="10" xfId="0" applyFont="1" applyFill="1" applyBorder="1" applyAlignment="1">
      <alignment horizontal="center" vertical="center" wrapText="1"/>
    </xf>
    <xf numFmtId="0" fontId="22" fillId="143" borderId="108" xfId="0" applyFont="1" applyFill="1" applyBorder="1" applyAlignment="1">
      <alignment vertical="center"/>
    </xf>
    <xf numFmtId="0" fontId="22" fillId="143" borderId="124" xfId="0" applyFont="1" applyFill="1" applyBorder="1" applyAlignment="1">
      <alignment vertical="center"/>
    </xf>
    <xf numFmtId="0" fontId="0" fillId="20" borderId="6" xfId="0" applyFill="1" applyBorder="1" applyAlignment="1">
      <alignment horizontal="center" vertical="center" wrapText="1"/>
    </xf>
    <xf numFmtId="0" fontId="27" fillId="20" borderId="21" xfId="0" applyFont="1" applyFill="1" applyBorder="1" applyAlignment="1">
      <alignment horizontal="center"/>
    </xf>
    <xf numFmtId="0" fontId="27" fillId="20" borderId="18" xfId="0" applyFont="1" applyFill="1" applyBorder="1" applyAlignment="1">
      <alignment horizontal="center"/>
    </xf>
    <xf numFmtId="0" fontId="27" fillId="20" borderId="15" xfId="0" applyFont="1" applyFill="1" applyBorder="1" applyAlignment="1">
      <alignment horizontal="center"/>
    </xf>
    <xf numFmtId="0" fontId="42" fillId="20" borderId="6" xfId="0" applyFont="1" applyFill="1" applyBorder="1" applyAlignment="1">
      <alignment horizontal="center" wrapText="1"/>
    </xf>
    <xf numFmtId="0" fontId="42" fillId="20" borderId="27" xfId="0" applyFont="1" applyFill="1" applyBorder="1" applyAlignment="1">
      <alignment horizontal="center" wrapText="1"/>
    </xf>
    <xf numFmtId="0" fontId="29" fillId="0" borderId="0" xfId="3" applyAlignment="1" applyProtection="1"/>
    <xf numFmtId="0" fontId="22" fillId="0" borderId="60" xfId="0" applyFont="1" applyBorder="1"/>
    <xf numFmtId="0" fontId="0" fillId="90" borderId="38" xfId="0" applyFill="1" applyBorder="1"/>
    <xf numFmtId="0" fontId="8" fillId="0" borderId="34" xfId="9830" applyBorder="1"/>
    <xf numFmtId="0" fontId="1" fillId="0" borderId="126" xfId="9830" applyFont="1" applyBorder="1"/>
    <xf numFmtId="0" fontId="8" fillId="0" borderId="126" xfId="9830" applyBorder="1"/>
    <xf numFmtId="0" fontId="0" fillId="27" borderId="126" xfId="0" applyFill="1" applyBorder="1"/>
    <xf numFmtId="0" fontId="22" fillId="0" borderId="1" xfId="0" applyFont="1" applyBorder="1" applyAlignment="1">
      <alignment wrapText="1"/>
    </xf>
    <xf numFmtId="0" fontId="22" fillId="27" borderId="72" xfId="12" applyFill="1" applyBorder="1" applyAlignment="1">
      <alignment horizontal="center" vertical="center"/>
    </xf>
    <xf numFmtId="0" fontId="22" fillId="27" borderId="10" xfId="0" applyFont="1" applyFill="1" applyBorder="1" applyAlignment="1">
      <alignment horizontal="center" vertical="center" wrapText="1"/>
    </xf>
    <xf numFmtId="0" fontId="0" fillId="27" borderId="66" xfId="0" applyFill="1" applyBorder="1" applyAlignment="1">
      <alignment horizontal="center" vertical="center"/>
    </xf>
    <xf numFmtId="0" fontId="22" fillId="27" borderId="125" xfId="12" applyFill="1" applyBorder="1" applyAlignment="1">
      <alignment horizontal="center" vertical="center"/>
    </xf>
    <xf numFmtId="0" fontId="0" fillId="27" borderId="108" xfId="0" applyFill="1" applyBorder="1" applyAlignment="1">
      <alignment horizontal="center" wrapText="1"/>
    </xf>
    <xf numFmtId="0" fontId="22" fillId="42" borderId="43" xfId="0" applyFont="1" applyFill="1" applyBorder="1"/>
    <xf numFmtId="0" fontId="22" fillId="42" borderId="111" xfId="0" applyFont="1" applyFill="1" applyBorder="1"/>
    <xf numFmtId="0" fontId="22" fillId="33" borderId="111" xfId="0" applyFont="1" applyFill="1" applyBorder="1"/>
    <xf numFmtId="0" fontId="22" fillId="86" borderId="111" xfId="0" applyFont="1" applyFill="1" applyBorder="1"/>
    <xf numFmtId="0" fontId="22" fillId="86" borderId="111" xfId="71" applyFont="1" applyFill="1" applyBorder="1"/>
    <xf numFmtId="0" fontId="22" fillId="86" borderId="129" xfId="71" applyFont="1" applyFill="1" applyBorder="1"/>
    <xf numFmtId="0" fontId="23" fillId="0" borderId="108" xfId="0" applyFont="1" applyFill="1" applyBorder="1"/>
    <xf numFmtId="0" fontId="0" fillId="27" borderId="124" xfId="0" applyFill="1" applyBorder="1" applyAlignment="1">
      <alignment horizontal="center" wrapText="1"/>
    </xf>
    <xf numFmtId="0" fontId="22" fillId="21" borderId="8" xfId="0" applyFont="1" applyFill="1" applyBorder="1" applyAlignment="1">
      <alignment horizontal="center" vertical="top"/>
    </xf>
    <xf numFmtId="0" fontId="22" fillId="21" borderId="19" xfId="0" applyFont="1" applyFill="1" applyBorder="1" applyAlignment="1">
      <alignment horizontal="center" vertical="top"/>
    </xf>
    <xf numFmtId="0" fontId="22" fillId="21" borderId="14" xfId="0" applyFont="1" applyFill="1" applyBorder="1" applyAlignment="1">
      <alignment horizontal="center" vertical="top"/>
    </xf>
    <xf numFmtId="0" fontId="0" fillId="27" borderId="124" xfId="0" applyFill="1" applyBorder="1" applyAlignment="1">
      <alignment horizontal="center"/>
    </xf>
    <xf numFmtId="0" fontId="24" fillId="0" borderId="55" xfId="3" applyFont="1" applyBorder="1" applyAlignment="1" applyProtection="1">
      <alignment horizontal="center" vertical="center" wrapText="1"/>
    </xf>
    <xf numFmtId="0" fontId="24" fillId="23" borderId="1" xfId="3" applyFont="1" applyFill="1" applyBorder="1" applyAlignment="1" applyProtection="1">
      <alignment wrapText="1"/>
      <protection locked="0"/>
    </xf>
    <xf numFmtId="0" fontId="24" fillId="23" borderId="108" xfId="3" applyFont="1" applyFill="1" applyBorder="1" applyAlignment="1" applyProtection="1">
      <alignment wrapText="1"/>
      <protection locked="0"/>
    </xf>
    <xf numFmtId="0" fontId="24" fillId="23" borderId="1" xfId="3" applyFont="1" applyFill="1" applyBorder="1" applyAlignment="1" applyProtection="1">
      <alignment horizontal="left" wrapText="1"/>
      <protection locked="0"/>
    </xf>
    <xf numFmtId="0" fontId="24" fillId="23" borderId="1" xfId="3" applyFont="1" applyFill="1" applyBorder="1" applyAlignment="1" applyProtection="1">
      <alignment horizontal="center" wrapText="1"/>
      <protection locked="0"/>
    </xf>
    <xf numFmtId="0" fontId="24" fillId="21" borderId="1" xfId="3" applyFont="1" applyFill="1" applyBorder="1" applyAlignment="1" applyProtection="1">
      <alignment horizontal="center" wrapText="1"/>
      <protection locked="0"/>
    </xf>
    <xf numFmtId="0" fontId="24" fillId="23" borderId="1" xfId="0" applyFont="1" applyFill="1" applyBorder="1" applyAlignment="1" applyProtection="1">
      <alignment wrapText="1"/>
      <protection locked="0"/>
    </xf>
    <xf numFmtId="0" fontId="24" fillId="21" borderId="1" xfId="3" applyFont="1" applyFill="1" applyBorder="1" applyAlignment="1" applyProtection="1">
      <alignment horizontal="left" wrapText="1"/>
      <protection locked="0"/>
    </xf>
    <xf numFmtId="0" fontId="64" fillId="21" borderId="54" xfId="0" applyFont="1" applyFill="1" applyBorder="1" applyAlignment="1" applyProtection="1">
      <alignment wrapText="1"/>
      <protection locked="0"/>
    </xf>
    <xf numFmtId="0" fontId="24" fillId="42" borderId="54" xfId="0" applyFont="1" applyFill="1" applyBorder="1" applyAlignment="1" applyProtection="1">
      <alignment wrapText="1"/>
      <protection locked="0"/>
    </xf>
    <xf numFmtId="0" fontId="0" fillId="27" borderId="10" xfId="0" applyFill="1" applyBorder="1" applyAlignment="1">
      <alignment wrapText="1"/>
    </xf>
    <xf numFmtId="0" fontId="0" fillId="0" borderId="0" xfId="0" applyFont="1" applyFill="1"/>
    <xf numFmtId="0" fontId="22" fillId="0" borderId="124" xfId="0" applyFont="1" applyBorder="1" applyAlignment="1">
      <alignment wrapText="1"/>
    </xf>
    <xf numFmtId="0" fontId="25" fillId="0" borderId="124" xfId="0" applyFont="1" applyBorder="1" applyAlignment="1" applyProtection="1">
      <alignment horizontal="left" wrapText="1"/>
    </xf>
    <xf numFmtId="0" fontId="25" fillId="20" borderId="124" xfId="0" applyFont="1" applyFill="1" applyBorder="1" applyAlignment="1" applyProtection="1">
      <alignment horizontal="left" wrapText="1"/>
    </xf>
    <xf numFmtId="0" fontId="25" fillId="0" borderId="124" xfId="0" applyFont="1" applyBorder="1" applyAlignment="1">
      <alignment horizontal="left"/>
    </xf>
    <xf numFmtId="0" fontId="25" fillId="0" borderId="124" xfId="0" applyFont="1" applyBorder="1" applyAlignment="1">
      <alignment horizontal="left" wrapText="1"/>
    </xf>
    <xf numFmtId="0" fontId="0" fillId="27" borderId="55" xfId="0" applyFill="1" applyBorder="1" applyAlignment="1">
      <alignment horizontal="center" wrapText="1"/>
    </xf>
    <xf numFmtId="0" fontId="27" fillId="37" borderId="8" xfId="0" applyFont="1" applyFill="1" applyBorder="1"/>
    <xf numFmtId="0" fontId="91" fillId="29" borderId="108" xfId="0" applyFont="1" applyFill="1" applyBorder="1" applyAlignment="1">
      <alignment horizontal="left"/>
    </xf>
    <xf numFmtId="0" fontId="95" fillId="29" borderId="108" xfId="0" applyFont="1" applyFill="1" applyBorder="1" applyAlignment="1">
      <alignment horizontal="center"/>
    </xf>
    <xf numFmtId="0" fontId="244" fillId="123" borderId="108" xfId="0" applyFont="1" applyFill="1" applyBorder="1" applyAlignment="1">
      <alignment horizontal="center"/>
    </xf>
    <xf numFmtId="0" fontId="244" fillId="130" borderId="108" xfId="0" applyFont="1" applyFill="1" applyBorder="1" applyAlignment="1">
      <alignment horizontal="center"/>
    </xf>
    <xf numFmtId="0" fontId="244" fillId="123" borderId="108" xfId="0" applyFont="1" applyFill="1" applyBorder="1" applyAlignment="1">
      <alignment horizontal="left"/>
    </xf>
    <xf numFmtId="0" fontId="244" fillId="123" borderId="108" xfId="0" applyFont="1" applyFill="1" applyBorder="1"/>
    <xf numFmtId="0" fontId="91" fillId="29" borderId="6" xfId="0" applyFont="1" applyFill="1" applyBorder="1" applyAlignment="1">
      <alignment horizontal="left"/>
    </xf>
    <xf numFmtId="0" fontId="95" fillId="29" borderId="6" xfId="0" applyFont="1" applyFill="1" applyBorder="1" applyAlignment="1">
      <alignment horizontal="center"/>
    </xf>
    <xf numFmtId="0" fontId="244" fillId="130" borderId="108" xfId="0" applyFont="1" applyFill="1" applyBorder="1" applyAlignment="1">
      <alignment horizontal="left"/>
    </xf>
    <xf numFmtId="0" fontId="0" fillId="27" borderId="124" xfId="0" applyFill="1" applyBorder="1"/>
    <xf numFmtId="0" fontId="244" fillId="0" borderId="0" xfId="0" applyFont="1" applyFill="1" applyAlignment="1">
      <alignment horizontal="center"/>
    </xf>
    <xf numFmtId="0" fontId="244" fillId="16" borderId="108" xfId="0" quotePrefix="1" applyFont="1" applyFill="1" applyBorder="1" applyAlignment="1">
      <alignment horizontal="center"/>
    </xf>
    <xf numFmtId="172" fontId="120" fillId="2" borderId="35" xfId="0" applyNumberFormat="1" applyFont="1" applyFill="1" applyBorder="1" applyAlignment="1">
      <alignment horizontal="center"/>
    </xf>
    <xf numFmtId="0" fontId="0" fillId="3" borderId="124" xfId="0" applyFill="1" applyBorder="1" applyAlignment="1">
      <alignment horizontal="center"/>
    </xf>
    <xf numFmtId="0" fontId="22" fillId="27" borderId="6" xfId="0" applyFont="1" applyFill="1" applyBorder="1" applyAlignment="1">
      <alignment wrapText="1"/>
    </xf>
    <xf numFmtId="0" fontId="22" fillId="20" borderId="108" xfId="0" applyFont="1" applyFill="1" applyBorder="1" applyAlignment="1">
      <alignment vertical="center" wrapText="1"/>
    </xf>
    <xf numFmtId="0" fontId="22" fillId="144" borderId="108" xfId="0" applyFont="1" applyFill="1" applyBorder="1"/>
    <xf numFmtId="0" fontId="0" fillId="144" borderId="108" xfId="0" applyFill="1" applyBorder="1"/>
    <xf numFmtId="0" fontId="22" fillId="33" borderId="29" xfId="0" applyFont="1" applyFill="1" applyBorder="1"/>
    <xf numFmtId="0" fontId="22" fillId="33" borderId="4" xfId="0" applyFont="1" applyFill="1" applyBorder="1" applyAlignment="1"/>
    <xf numFmtId="0" fontId="22" fillId="33" borderId="65" xfId="0" applyFont="1" applyFill="1" applyBorder="1" applyAlignment="1"/>
    <xf numFmtId="0" fontId="23" fillId="33" borderId="125" xfId="0" applyFont="1" applyFill="1" applyBorder="1"/>
    <xf numFmtId="0" fontId="22" fillId="27" borderId="47" xfId="0" applyFont="1" applyFill="1" applyBorder="1" applyAlignment="1" applyProtection="1">
      <alignment horizontal="center"/>
    </xf>
    <xf numFmtId="0" fontId="22" fillId="27" borderId="118" xfId="0" applyFont="1" applyFill="1" applyBorder="1" applyAlignment="1" applyProtection="1">
      <alignment horizontal="center"/>
    </xf>
    <xf numFmtId="0" fontId="22" fillId="27" borderId="48" xfId="0" applyFont="1" applyFill="1" applyBorder="1" applyAlignment="1" applyProtection="1">
      <alignment horizontal="center"/>
    </xf>
    <xf numFmtId="0" fontId="0" fillId="39" borderId="130" xfId="0" applyFill="1" applyBorder="1"/>
    <xf numFmtId="0" fontId="101" fillId="45" borderId="42" xfId="0" applyFont="1" applyFill="1" applyBorder="1" applyAlignment="1">
      <alignment vertical="center" wrapText="1"/>
    </xf>
    <xf numFmtId="0" fontId="101" fillId="45" borderId="39" xfId="0" applyFont="1" applyFill="1" applyBorder="1" applyAlignment="1">
      <alignment vertical="center" wrapText="1"/>
    </xf>
    <xf numFmtId="0" fontId="101" fillId="45" borderId="40" xfId="0" applyFont="1" applyFill="1" applyBorder="1" applyAlignment="1">
      <alignment vertical="center" wrapText="1"/>
    </xf>
    <xf numFmtId="0" fontId="101" fillId="45" borderId="29" xfId="0" applyFont="1" applyFill="1" applyBorder="1" applyAlignment="1">
      <alignment vertical="center" wrapText="1"/>
    </xf>
    <xf numFmtId="0" fontId="101" fillId="45" borderId="0" xfId="0" applyFont="1" applyFill="1" applyBorder="1" applyAlignment="1">
      <alignment vertical="center" wrapText="1"/>
    </xf>
    <xf numFmtId="0" fontId="101" fillId="45" borderId="36" xfId="0" applyFont="1" applyFill="1" applyBorder="1" applyAlignment="1">
      <alignment vertical="center" wrapText="1"/>
    </xf>
    <xf numFmtId="0" fontId="101" fillId="45" borderId="7" xfId="0" applyFont="1" applyFill="1" applyBorder="1" applyAlignment="1">
      <alignment vertical="center" wrapText="1"/>
    </xf>
    <xf numFmtId="0" fontId="101" fillId="45" borderId="13" xfId="0" applyFont="1" applyFill="1" applyBorder="1" applyAlignment="1">
      <alignment vertical="center" wrapText="1"/>
    </xf>
    <xf numFmtId="0" fontId="101" fillId="45" borderId="11" xfId="0" applyFont="1" applyFill="1" applyBorder="1" applyAlignment="1">
      <alignment vertical="center" wrapText="1"/>
    </xf>
    <xf numFmtId="0" fontId="101" fillId="46" borderId="37" xfId="0" applyFont="1" applyFill="1" applyBorder="1" applyAlignment="1">
      <alignment vertical="center" wrapText="1"/>
    </xf>
    <xf numFmtId="0" fontId="101" fillId="46" borderId="38" xfId="0" applyFont="1" applyFill="1" applyBorder="1" applyAlignment="1">
      <alignment vertical="center" wrapText="1"/>
    </xf>
    <xf numFmtId="0" fontId="101" fillId="46" borderId="2" xfId="0" applyFont="1" applyFill="1" applyBorder="1" applyAlignment="1">
      <alignment vertical="center" wrapText="1"/>
    </xf>
    <xf numFmtId="0" fontId="25" fillId="46" borderId="68" xfId="0" applyFont="1" applyFill="1" applyBorder="1" applyAlignment="1">
      <alignment horizontal="center" vertical="center" wrapText="1"/>
    </xf>
    <xf numFmtId="0" fontId="101" fillId="46" borderId="29" xfId="0" applyFont="1" applyFill="1" applyBorder="1" applyAlignment="1">
      <alignment vertical="center" wrapText="1"/>
    </xf>
    <xf numFmtId="0" fontId="101" fillId="46" borderId="0" xfId="0" applyFont="1" applyFill="1" applyBorder="1" applyAlignment="1">
      <alignment vertical="center" wrapText="1"/>
    </xf>
    <xf numFmtId="0" fontId="101" fillId="46" borderId="36" xfId="0" applyFont="1" applyFill="1" applyBorder="1" applyAlignment="1">
      <alignment vertical="center" wrapText="1"/>
    </xf>
    <xf numFmtId="0" fontId="24" fillId="27" borderId="18" xfId="0" applyNumberFormat="1" applyFont="1" applyFill="1" applyBorder="1" applyAlignment="1">
      <alignment vertical="top" wrapText="1"/>
    </xf>
    <xf numFmtId="0" fontId="0" fillId="27" borderId="10" xfId="0" applyFill="1" applyBorder="1" applyAlignment="1">
      <alignment horizontal="center"/>
    </xf>
    <xf numFmtId="0" fontId="27" fillId="87" borderId="12" xfId="0" applyFont="1" applyFill="1" applyBorder="1" applyAlignment="1">
      <alignment horizontal="center" vertical="center" wrapText="1"/>
    </xf>
    <xf numFmtId="0" fontId="0" fillId="27" borderId="34" xfId="0" applyFill="1" applyBorder="1" applyAlignment="1">
      <alignment horizontal="center"/>
    </xf>
    <xf numFmtId="0" fontId="0" fillId="27" borderId="126" xfId="0" applyFill="1" applyBorder="1" applyAlignment="1">
      <alignment horizontal="center"/>
    </xf>
    <xf numFmtId="0" fontId="0" fillId="24" borderId="55" xfId="0" applyFill="1" applyBorder="1" applyAlignment="1">
      <alignment horizontal="center" vertical="center"/>
    </xf>
    <xf numFmtId="0" fontId="0" fillId="24" borderId="124" xfId="0" applyFill="1" applyBorder="1" applyAlignment="1">
      <alignment horizontal="center" vertical="center"/>
    </xf>
    <xf numFmtId="0" fontId="22" fillId="0" borderId="41" xfId="0" applyFont="1" applyBorder="1" applyAlignment="1">
      <alignment wrapText="1"/>
    </xf>
    <xf numFmtId="0" fontId="0" fillId="27" borderId="51" xfId="0" applyFill="1" applyBorder="1" applyAlignment="1">
      <alignment horizontal="center"/>
    </xf>
    <xf numFmtId="0" fontId="0" fillId="27" borderId="10" xfId="0" applyFill="1" applyBorder="1" applyAlignment="1">
      <alignment horizontal="center"/>
    </xf>
    <xf numFmtId="0" fontId="27" fillId="24" borderId="55" xfId="0" applyFont="1" applyFill="1" applyBorder="1" applyAlignment="1">
      <alignment horizontal="center" vertical="center" wrapText="1"/>
    </xf>
    <xf numFmtId="0" fontId="43" fillId="27" borderId="55" xfId="0" applyFont="1" applyFill="1" applyBorder="1" applyAlignment="1" applyProtection="1">
      <alignment horizontal="center"/>
    </xf>
    <xf numFmtId="0" fontId="0" fillId="3" borderId="55" xfId="0" applyFill="1" applyBorder="1" applyAlignment="1">
      <alignment wrapText="1"/>
    </xf>
    <xf numFmtId="0" fontId="0" fillId="3" borderId="10" xfId="0" applyFill="1" applyBorder="1" applyAlignment="1">
      <alignment wrapText="1"/>
    </xf>
    <xf numFmtId="0" fontId="0" fillId="24" borderId="55" xfId="0" applyFill="1" applyBorder="1" applyAlignment="1"/>
    <xf numFmtId="0" fontId="0" fillId="24" borderId="10" xfId="0" applyFill="1" applyBorder="1" applyAlignment="1"/>
    <xf numFmtId="0" fontId="0" fillId="24" borderId="108" xfId="0" applyFill="1" applyBorder="1" applyAlignment="1">
      <alignment horizontal="center" wrapText="1"/>
    </xf>
    <xf numFmtId="0" fontId="0" fillId="24" borderId="124" xfId="0" applyFill="1" applyBorder="1" applyAlignment="1">
      <alignment horizontal="center" wrapText="1"/>
    </xf>
    <xf numFmtId="0" fontId="29" fillId="42" borderId="21" xfId="3" applyFill="1" applyBorder="1" applyAlignment="1" applyProtection="1">
      <alignment horizontal="left" vertical="top" wrapText="1" indent="2"/>
      <protection locked="0"/>
    </xf>
    <xf numFmtId="0" fontId="0" fillId="27" borderId="124" xfId="0" applyFill="1" applyBorder="1" applyAlignment="1">
      <alignment wrapText="1"/>
    </xf>
    <xf numFmtId="0" fontId="0" fillId="27" borderId="51" xfId="0" applyFill="1" applyBorder="1" applyAlignment="1">
      <alignment wrapText="1"/>
    </xf>
    <xf numFmtId="0" fontId="22" fillId="24" borderId="108" xfId="0" applyFont="1" applyFill="1" applyBorder="1"/>
    <xf numFmtId="0" fontId="22" fillId="24" borderId="108" xfId="0" applyFont="1" applyFill="1" applyBorder="1" applyAlignment="1">
      <alignment horizontal="left"/>
    </xf>
    <xf numFmtId="0" fontId="22" fillId="24" borderId="118" xfId="0" applyFont="1" applyFill="1" applyBorder="1" applyAlignment="1">
      <alignment horizontal="left"/>
    </xf>
    <xf numFmtId="0" fontId="204" fillId="0" borderId="21" xfId="0" applyFont="1" applyFill="1" applyBorder="1" applyAlignment="1" applyProtection="1">
      <alignment horizontal="left"/>
    </xf>
    <xf numFmtId="0" fontId="52" fillId="23" borderId="61" xfId="0" applyFont="1" applyFill="1" applyBorder="1" applyAlignment="1" applyProtection="1">
      <alignment horizontal="left"/>
      <protection locked="0"/>
    </xf>
    <xf numFmtId="0" fontId="0" fillId="23" borderId="56" xfId="0" applyFill="1" applyBorder="1" applyProtection="1">
      <protection locked="0"/>
    </xf>
    <xf numFmtId="0" fontId="0" fillId="23" borderId="62" xfId="0" applyFill="1" applyBorder="1" applyProtection="1">
      <protection locked="0"/>
    </xf>
    <xf numFmtId="0" fontId="52" fillId="23" borderId="125" xfId="0" applyFont="1" applyFill="1" applyBorder="1" applyAlignment="1" applyProtection="1">
      <alignment horizontal="right"/>
      <protection locked="0"/>
    </xf>
    <xf numFmtId="0" fontId="0" fillId="23" borderId="118" xfId="0" applyFill="1" applyBorder="1" applyProtection="1">
      <protection locked="0"/>
    </xf>
    <xf numFmtId="0" fontId="52" fillId="23" borderId="24" xfId="0" applyFont="1" applyFill="1" applyBorder="1" applyAlignment="1" applyProtection="1">
      <alignment horizontal="right"/>
      <protection locked="0"/>
    </xf>
    <xf numFmtId="0" fontId="0" fillId="23" borderId="48" xfId="0" applyFill="1" applyBorder="1" applyProtection="1">
      <protection locked="0"/>
    </xf>
    <xf numFmtId="0" fontId="52" fillId="124" borderId="61" xfId="0" applyFont="1" applyFill="1" applyBorder="1" applyAlignment="1" applyProtection="1">
      <alignment horizontal="left"/>
      <protection locked="0"/>
    </xf>
    <xf numFmtId="0" fontId="0" fillId="124" borderId="62" xfId="0" applyFill="1" applyBorder="1" applyProtection="1">
      <protection locked="0"/>
    </xf>
    <xf numFmtId="0" fontId="52" fillId="124" borderId="125" xfId="0" applyFont="1" applyFill="1" applyBorder="1" applyAlignment="1" applyProtection="1">
      <alignment horizontal="right"/>
      <protection locked="0"/>
    </xf>
    <xf numFmtId="0" fontId="0" fillId="124" borderId="118" xfId="0" applyFill="1" applyBorder="1" applyProtection="1">
      <protection locked="0"/>
    </xf>
    <xf numFmtId="0" fontId="52" fillId="124" borderId="24" xfId="0" applyFont="1" applyFill="1" applyBorder="1" applyAlignment="1" applyProtection="1">
      <alignment horizontal="right"/>
      <protection locked="0"/>
    </xf>
    <xf numFmtId="0" fontId="0" fillId="124" borderId="48" xfId="0" applyFill="1" applyBorder="1" applyProtection="1">
      <protection locked="0"/>
    </xf>
    <xf numFmtId="0" fontId="25" fillId="124" borderId="56" xfId="0" applyFont="1" applyFill="1" applyBorder="1" applyProtection="1">
      <protection locked="0"/>
    </xf>
    <xf numFmtId="0" fontId="64" fillId="124" borderId="56" xfId="0" applyFont="1" applyFill="1" applyBorder="1" applyProtection="1">
      <protection locked="0"/>
    </xf>
    <xf numFmtId="14" fontId="269" fillId="124" borderId="108" xfId="0" applyNumberFormat="1" applyFont="1" applyFill="1" applyBorder="1" applyProtection="1">
      <protection locked="0"/>
    </xf>
    <xf numFmtId="14" fontId="269" fillId="124" borderId="54" xfId="0" applyNumberFormat="1" applyFont="1" applyFill="1" applyBorder="1" applyProtection="1">
      <protection locked="0"/>
    </xf>
    <xf numFmtId="14" fontId="64" fillId="124" borderId="56" xfId="0" applyNumberFormat="1" applyFont="1" applyFill="1" applyBorder="1" applyProtection="1">
      <protection locked="0"/>
    </xf>
    <xf numFmtId="14" fontId="269" fillId="23" borderId="108" xfId="0" applyNumberFormat="1" applyFont="1" applyFill="1" applyBorder="1" applyProtection="1">
      <protection locked="0"/>
    </xf>
    <xf numFmtId="14" fontId="269" fillId="23" borderId="54" xfId="0" applyNumberFormat="1" applyFont="1" applyFill="1" applyBorder="1" applyProtection="1">
      <protection locked="0"/>
    </xf>
    <xf numFmtId="0" fontId="25" fillId="23" borderId="108" xfId="0" applyFont="1" applyFill="1" applyBorder="1" applyProtection="1">
      <protection locked="0"/>
    </xf>
    <xf numFmtId="0" fontId="25" fillId="23" borderId="54" xfId="0" applyFont="1" applyFill="1" applyBorder="1" applyProtection="1">
      <protection locked="0"/>
    </xf>
    <xf numFmtId="0" fontId="25" fillId="124" borderId="108" xfId="0" applyFont="1" applyFill="1" applyBorder="1" applyProtection="1">
      <protection locked="0"/>
    </xf>
    <xf numFmtId="0" fontId="25" fillId="124" borderId="54" xfId="0" applyFont="1" applyFill="1" applyBorder="1" applyProtection="1">
      <protection locked="0"/>
    </xf>
    <xf numFmtId="0" fontId="23" fillId="33" borderId="60" xfId="0" applyFont="1" applyFill="1" applyBorder="1" applyAlignment="1">
      <alignment horizontal="left"/>
    </xf>
    <xf numFmtId="0" fontId="23" fillId="33" borderId="128" xfId="0" applyFont="1" applyFill="1" applyBorder="1" applyAlignment="1"/>
    <xf numFmtId="0" fontId="27" fillId="31" borderId="53" xfId="0" applyFont="1" applyFill="1" applyBorder="1" applyAlignment="1">
      <alignment horizontal="center" wrapText="1"/>
    </xf>
    <xf numFmtId="0" fontId="22" fillId="0" borderId="68" xfId="0" applyFont="1" applyBorder="1"/>
    <xf numFmtId="0" fontId="22" fillId="0" borderId="34" xfId="0" applyFont="1" applyBorder="1"/>
    <xf numFmtId="0" fontId="28" fillId="44" borderId="127" xfId="0" applyNumberFormat="1" applyFont="1" applyFill="1" applyBorder="1" applyAlignment="1">
      <alignment vertical="center"/>
    </xf>
    <xf numFmtId="0" fontId="22" fillId="86" borderId="108" xfId="0" applyFont="1" applyFill="1" applyBorder="1" applyAlignment="1">
      <alignment horizontal="center"/>
    </xf>
    <xf numFmtId="0" fontId="22" fillId="0" borderId="108" xfId="12" applyFont="1" applyBorder="1"/>
    <xf numFmtId="0" fontId="0" fillId="0" borderId="118" xfId="0" applyBorder="1" applyAlignment="1">
      <alignment horizontal="center"/>
    </xf>
    <xf numFmtId="0" fontId="22" fillId="0" borderId="125" xfId="0" applyFont="1" applyFill="1" applyBorder="1"/>
    <xf numFmtId="0" fontId="0" fillId="27" borderId="108" xfId="0" applyFill="1" applyBorder="1" applyAlignment="1" applyProtection="1">
      <alignment horizontal="left"/>
    </xf>
    <xf numFmtId="0" fontId="64" fillId="42" borderId="1" xfId="3" applyFont="1" applyFill="1" applyBorder="1" applyAlignment="1" applyProtection="1">
      <alignment horizontal="left"/>
      <protection locked="0"/>
    </xf>
    <xf numFmtId="0" fontId="31" fillId="44" borderId="2" xfId="0" applyFont="1" applyFill="1" applyBorder="1" applyAlignment="1">
      <alignment horizontal="left" vertical="top" wrapText="1"/>
    </xf>
    <xf numFmtId="170" fontId="64" fillId="40" borderId="19" xfId="0" applyNumberFormat="1" applyFont="1" applyFill="1" applyBorder="1" applyAlignment="1">
      <alignment horizontal="center" vertical="center" wrapText="1"/>
    </xf>
    <xf numFmtId="0" fontId="91" fillId="20" borderId="108" xfId="0" quotePrefix="1" applyFont="1" applyFill="1" applyBorder="1" applyAlignment="1">
      <alignment wrapText="1"/>
    </xf>
    <xf numFmtId="0" fontId="0" fillId="48" borderId="108" xfId="0" applyFill="1" applyBorder="1"/>
    <xf numFmtId="0" fontId="211" fillId="48" borderId="108" xfId="0" applyFont="1" applyFill="1" applyBorder="1"/>
    <xf numFmtId="0" fontId="0" fillId="54" borderId="108" xfId="0" applyFill="1" applyBorder="1"/>
    <xf numFmtId="0" fontId="0" fillId="145" borderId="108" xfId="0" applyFill="1" applyBorder="1"/>
    <xf numFmtId="0" fontId="87" fillId="145" borderId="108" xfId="0" applyFont="1" applyFill="1" applyBorder="1"/>
    <xf numFmtId="0" fontId="22" fillId="54" borderId="108" xfId="0" applyFont="1" applyFill="1" applyBorder="1"/>
    <xf numFmtId="0" fontId="0" fillId="0" borderId="118" xfId="0" applyBorder="1" applyAlignment="1">
      <alignment horizontal="center"/>
    </xf>
    <xf numFmtId="0" fontId="44" fillId="10" borderId="0" xfId="0" applyFont="1" applyFill="1" applyAlignment="1"/>
    <xf numFmtId="0" fontId="113" fillId="146" borderId="0" xfId="0" applyFont="1" applyFill="1" applyAlignment="1"/>
    <xf numFmtId="0" fontId="22" fillId="0" borderId="57" xfId="0" applyFont="1" applyBorder="1"/>
    <xf numFmtId="0" fontId="22" fillId="0" borderId="122" xfId="0" applyFont="1" applyBorder="1"/>
    <xf numFmtId="0" fontId="22" fillId="27" borderId="55" xfId="0" applyNumberFormat="1" applyFont="1" applyFill="1" applyBorder="1" applyAlignment="1" applyProtection="1">
      <alignment wrapText="1"/>
      <protection locked="0"/>
    </xf>
    <xf numFmtId="0" fontId="22" fillId="27" borderId="6" xfId="0" applyNumberFormat="1" applyFont="1" applyFill="1" applyBorder="1" applyAlignment="1" applyProtection="1">
      <alignment wrapText="1"/>
      <protection locked="0"/>
    </xf>
    <xf numFmtId="0" fontId="22" fillId="27" borderId="10" xfId="0" applyNumberFormat="1" applyFont="1" applyFill="1" applyBorder="1" applyAlignment="1" applyProtection="1">
      <alignment wrapText="1"/>
      <protection locked="0"/>
    </xf>
    <xf numFmtId="0" fontId="0" fillId="0" borderId="17" xfId="0" applyBorder="1" applyAlignment="1"/>
    <xf numFmtId="0" fontId="0" fillId="27" borderId="114" xfId="0" applyFill="1" applyBorder="1"/>
    <xf numFmtId="0" fontId="0" fillId="20" borderId="106" xfId="0" applyFill="1" applyBorder="1"/>
    <xf numFmtId="0" fontId="0" fillId="27" borderId="110" xfId="0" applyFill="1" applyBorder="1" applyAlignment="1">
      <alignment wrapText="1"/>
    </xf>
    <xf numFmtId="0" fontId="0" fillId="27" borderId="110" xfId="0" applyFill="1" applyBorder="1"/>
    <xf numFmtId="0" fontId="0" fillId="0" borderId="113" xfId="0" applyBorder="1" applyAlignment="1">
      <alignment horizontal="left" wrapText="1"/>
    </xf>
    <xf numFmtId="0" fontId="22" fillId="27" borderId="108" xfId="0" applyNumberFormat="1" applyFont="1" applyFill="1" applyBorder="1" applyAlignment="1" applyProtection="1">
      <alignment wrapText="1"/>
      <protection locked="0"/>
    </xf>
    <xf numFmtId="0" fontId="22" fillId="27" borderId="124" xfId="0" applyNumberFormat="1" applyFont="1" applyFill="1" applyBorder="1" applyAlignment="1" applyProtection="1">
      <alignment wrapText="1"/>
      <protection locked="0"/>
    </xf>
    <xf numFmtId="0" fontId="27" fillId="27" borderId="6" xfId="0" applyFont="1" applyFill="1" applyBorder="1" applyAlignment="1">
      <alignment vertical="center"/>
    </xf>
    <xf numFmtId="0" fontId="27" fillId="27" borderId="108" xfId="0" applyFont="1" applyFill="1" applyBorder="1" applyAlignment="1">
      <alignment vertical="center"/>
    </xf>
    <xf numFmtId="0" fontId="27" fillId="27" borderId="124" xfId="0" applyFont="1" applyFill="1" applyBorder="1" applyAlignment="1">
      <alignment vertical="center"/>
    </xf>
    <xf numFmtId="0" fontId="25" fillId="41" borderId="126" xfId="0" applyFont="1" applyFill="1" applyBorder="1" applyAlignment="1">
      <alignment wrapText="1"/>
    </xf>
    <xf numFmtId="0" fontId="25" fillId="41" borderId="19" xfId="0" applyFont="1" applyFill="1" applyBorder="1" applyAlignment="1">
      <alignment wrapText="1"/>
    </xf>
    <xf numFmtId="0" fontId="25" fillId="87" borderId="68" xfId="0" applyFont="1" applyFill="1" applyBorder="1" applyAlignment="1">
      <alignment wrapText="1"/>
    </xf>
    <xf numFmtId="0" fontId="25" fillId="119" borderId="21" xfId="0" applyFont="1" applyFill="1" applyBorder="1" applyAlignment="1">
      <alignment wrapText="1"/>
    </xf>
    <xf numFmtId="0" fontId="25" fillId="40" borderId="19" xfId="0" applyFont="1" applyFill="1" applyBorder="1" applyAlignment="1">
      <alignment wrapText="1"/>
    </xf>
    <xf numFmtId="0" fontId="25" fillId="40" borderId="118" xfId="0" applyFont="1" applyFill="1" applyBorder="1" applyAlignment="1">
      <alignment wrapText="1"/>
    </xf>
    <xf numFmtId="0" fontId="25" fillId="40" borderId="11" xfId="0" applyFont="1" applyFill="1" applyBorder="1" applyAlignment="1">
      <alignment wrapText="1"/>
    </xf>
    <xf numFmtId="0" fontId="25" fillId="40" borderId="68" xfId="0" applyFont="1" applyFill="1" applyBorder="1" applyAlignment="1">
      <alignment wrapText="1"/>
    </xf>
    <xf numFmtId="0" fontId="25" fillId="0" borderId="0" xfId="0" applyFont="1" applyBorder="1"/>
    <xf numFmtId="0" fontId="25" fillId="54" borderId="121" xfId="0" applyFont="1" applyFill="1" applyBorder="1"/>
    <xf numFmtId="0" fontId="25" fillId="46" borderId="19" xfId="0" applyFont="1" applyFill="1" applyBorder="1"/>
    <xf numFmtId="0" fontId="25" fillId="46" borderId="9" xfId="0" applyFont="1" applyFill="1" applyBorder="1"/>
    <xf numFmtId="0" fontId="25" fillId="46" borderId="14" xfId="0" applyFont="1" applyFill="1" applyBorder="1"/>
    <xf numFmtId="0" fontId="22" fillId="20" borderId="108" xfId="0" applyFont="1" applyFill="1" applyBorder="1" applyAlignment="1">
      <alignment horizontal="center" wrapText="1"/>
    </xf>
    <xf numFmtId="0" fontId="22" fillId="20" borderId="124" xfId="0" applyFont="1" applyFill="1" applyBorder="1" applyAlignment="1">
      <alignment horizontal="center" wrapText="1"/>
    </xf>
    <xf numFmtId="0" fontId="244" fillId="0" borderId="44" xfId="0" applyFont="1" applyFill="1" applyBorder="1" applyAlignment="1">
      <alignment horizontal="center"/>
    </xf>
    <xf numFmtId="0" fontId="22" fillId="0" borderId="108" xfId="0" quotePrefix="1" applyNumberFormat="1" applyFont="1" applyBorder="1"/>
    <xf numFmtId="0" fontId="22" fillId="0" borderId="124" xfId="0" quotePrefix="1" applyNumberFormat="1" applyFont="1" applyBorder="1"/>
    <xf numFmtId="0" fontId="0" fillId="0" borderId="124" xfId="0" applyBorder="1" applyAlignment="1">
      <alignment horizontal="center"/>
    </xf>
    <xf numFmtId="0" fontId="64" fillId="0" borderId="32" xfId="0" applyFont="1" applyBorder="1" applyAlignment="1">
      <alignment horizontal="center"/>
    </xf>
    <xf numFmtId="0" fontId="64" fillId="0" borderId="109" xfId="0" applyFont="1" applyBorder="1" applyAlignment="1">
      <alignment horizontal="center"/>
    </xf>
    <xf numFmtId="0" fontId="64" fillId="0" borderId="107" xfId="0" applyFont="1" applyBorder="1" applyAlignment="1">
      <alignment horizontal="center"/>
    </xf>
    <xf numFmtId="0" fontId="64" fillId="0" borderId="17" xfId="0" applyFont="1" applyBorder="1" applyAlignment="1">
      <alignment horizontal="center"/>
    </xf>
    <xf numFmtId="0" fontId="64" fillId="0" borderId="128" xfId="0" applyFont="1" applyBorder="1" applyAlignment="1">
      <alignment horizontal="center"/>
    </xf>
    <xf numFmtId="0" fontId="22" fillId="0" borderId="47" xfId="0" applyFont="1" applyBorder="1" applyAlignment="1">
      <alignment horizontal="center"/>
    </xf>
    <xf numFmtId="0" fontId="64" fillId="0" borderId="118" xfId="0" applyFont="1" applyBorder="1" applyAlignment="1">
      <alignment horizontal="center"/>
    </xf>
    <xf numFmtId="0" fontId="64" fillId="0" borderId="132" xfId="0" applyFont="1" applyBorder="1" applyAlignment="1">
      <alignment horizontal="center"/>
    </xf>
    <xf numFmtId="0" fontId="27" fillId="24" borderId="108" xfId="0" applyFont="1" applyFill="1" applyBorder="1" applyAlignment="1">
      <alignment vertical="top"/>
    </xf>
    <xf numFmtId="0" fontId="27" fillId="24" borderId="124" xfId="0" applyFont="1" applyFill="1" applyBorder="1" applyAlignment="1">
      <alignment vertical="top"/>
    </xf>
    <xf numFmtId="0" fontId="27" fillId="24" borderId="6" xfId="0" applyFont="1" applyFill="1" applyBorder="1" applyAlignment="1">
      <alignment vertical="top"/>
    </xf>
    <xf numFmtId="0" fontId="91" fillId="27" borderId="23" xfId="0" applyFont="1" applyFill="1" applyBorder="1"/>
    <xf numFmtId="0" fontId="91" fillId="27" borderId="22" xfId="0" applyFont="1" applyFill="1" applyBorder="1"/>
    <xf numFmtId="0" fontId="91" fillId="37" borderId="23" xfId="0" applyFont="1" applyFill="1" applyBorder="1"/>
    <xf numFmtId="0" fontId="91" fillId="37" borderId="22" xfId="0" applyFont="1" applyFill="1" applyBorder="1"/>
    <xf numFmtId="0" fontId="91" fillId="37" borderId="21" xfId="0" applyFont="1" applyFill="1" applyBorder="1"/>
    <xf numFmtId="0" fontId="95" fillId="37" borderId="21" xfId="0" applyFont="1" applyFill="1" applyBorder="1"/>
    <xf numFmtId="0" fontId="91" fillId="37" borderId="24" xfId="0" applyFont="1" applyFill="1" applyBorder="1"/>
    <xf numFmtId="0" fontId="22" fillId="46" borderId="72" xfId="0" applyFont="1" applyFill="1" applyBorder="1"/>
    <xf numFmtId="0" fontId="22" fillId="20" borderId="113" xfId="0" applyFont="1" applyFill="1" applyBorder="1"/>
    <xf numFmtId="0" fontId="56" fillId="3" borderId="108" xfId="0" applyFont="1" applyFill="1" applyBorder="1"/>
    <xf numFmtId="0" fontId="56" fillId="3" borderId="124" xfId="0" applyFont="1" applyFill="1" applyBorder="1"/>
    <xf numFmtId="0" fontId="22" fillId="43" borderId="108" xfId="0" applyFont="1" applyFill="1" applyBorder="1"/>
    <xf numFmtId="0" fontId="0" fillId="21" borderId="0" xfId="0" applyFill="1"/>
    <xf numFmtId="0" fontId="43" fillId="23" borderId="31" xfId="0" applyFont="1" applyFill="1" applyBorder="1" applyAlignment="1">
      <alignment vertical="top" wrapText="1"/>
    </xf>
    <xf numFmtId="0" fontId="24" fillId="27" borderId="108" xfId="0" applyFont="1" applyFill="1" applyBorder="1" applyAlignment="1">
      <alignment horizontal="left" vertical="top" wrapText="1"/>
    </xf>
    <xf numFmtId="0" fontId="42" fillId="29" borderId="11" xfId="0" applyFont="1" applyFill="1" applyBorder="1" applyAlignment="1">
      <alignment wrapText="1"/>
    </xf>
    <xf numFmtId="0" fontId="27" fillId="44" borderId="73" xfId="0" applyFont="1" applyFill="1" applyBorder="1" applyAlignment="1">
      <alignment horizontal="center" vertical="center" wrapText="1"/>
    </xf>
    <xf numFmtId="0" fontId="42" fillId="46" borderId="7" xfId="0" applyFont="1" applyFill="1" applyBorder="1" applyAlignment="1">
      <alignment wrapText="1"/>
    </xf>
    <xf numFmtId="0" fontId="109" fillId="46" borderId="6" xfId="0" applyFont="1" applyFill="1" applyBorder="1" applyAlignment="1">
      <alignment horizontal="center" wrapText="1"/>
    </xf>
    <xf numFmtId="0" fontId="23" fillId="21" borderId="32" xfId="0" applyNumberFormat="1" applyFont="1" applyFill="1" applyBorder="1" applyAlignment="1"/>
    <xf numFmtId="0" fontId="23" fillId="21" borderId="56" xfId="0" applyNumberFormat="1" applyFont="1" applyFill="1" applyBorder="1" applyAlignment="1"/>
    <xf numFmtId="0" fontId="23" fillId="21" borderId="62" xfId="0" applyNumberFormat="1" applyFont="1" applyFill="1" applyBorder="1" applyAlignment="1"/>
    <xf numFmtId="1" fontId="23" fillId="21" borderId="109" xfId="0" applyNumberFormat="1" applyFont="1" applyFill="1" applyBorder="1" applyAlignment="1"/>
    <xf numFmtId="1" fontId="23" fillId="21" borderId="116" xfId="0" applyNumberFormat="1" applyFont="1" applyFill="1" applyBorder="1" applyAlignment="1"/>
    <xf numFmtId="1" fontId="23" fillId="21" borderId="117" xfId="0" applyNumberFormat="1" applyFont="1" applyFill="1" applyBorder="1" applyAlignment="1"/>
    <xf numFmtId="0" fontId="23" fillId="21" borderId="109" xfId="0" applyFont="1" applyFill="1" applyBorder="1" applyAlignment="1"/>
    <xf numFmtId="0" fontId="23" fillId="21" borderId="116" xfId="0" applyFont="1" applyFill="1" applyBorder="1" applyAlignment="1"/>
    <xf numFmtId="0" fontId="23" fillId="21" borderId="117" xfId="0" applyFont="1" applyFill="1" applyBorder="1" applyAlignment="1"/>
    <xf numFmtId="0" fontId="23" fillId="21" borderId="27" xfId="0" applyFont="1" applyFill="1" applyBorder="1" applyAlignment="1"/>
    <xf numFmtId="0" fontId="23" fillId="21" borderId="61" xfId="0" applyFont="1" applyFill="1" applyBorder="1" applyAlignment="1"/>
    <xf numFmtId="0" fontId="23" fillId="21" borderId="56" xfId="0" applyFont="1" applyFill="1" applyBorder="1" applyAlignment="1"/>
    <xf numFmtId="0" fontId="23" fillId="21" borderId="62" xfId="0" applyFont="1" applyFill="1" applyBorder="1" applyAlignment="1"/>
    <xf numFmtId="0" fontId="23" fillId="21" borderId="42" xfId="0" applyFont="1" applyFill="1" applyBorder="1" applyAlignment="1"/>
    <xf numFmtId="0" fontId="23" fillId="21" borderId="39" xfId="0" applyFont="1" applyFill="1" applyBorder="1" applyAlignment="1"/>
    <xf numFmtId="0" fontId="23" fillId="21" borderId="40" xfId="0" applyFont="1" applyFill="1" applyBorder="1" applyAlignment="1"/>
    <xf numFmtId="0" fontId="23" fillId="21" borderId="0" xfId="0" applyFont="1" applyFill="1"/>
    <xf numFmtId="0" fontId="24" fillId="23" borderId="125" xfId="0" applyFont="1" applyFill="1" applyBorder="1" applyAlignment="1">
      <alignment horizontal="left" vertical="top" wrapText="1"/>
    </xf>
    <xf numFmtId="0" fontId="24" fillId="27" borderId="17" xfId="0" applyFont="1" applyFill="1" applyBorder="1" applyAlignment="1">
      <alignment vertical="top" wrapText="1"/>
    </xf>
    <xf numFmtId="0" fontId="24" fillId="27" borderId="111" xfId="0" applyFont="1" applyFill="1" applyBorder="1" applyAlignment="1">
      <alignment vertical="top" wrapText="1"/>
    </xf>
    <xf numFmtId="0" fontId="25" fillId="21" borderId="29" xfId="0" applyFont="1" applyFill="1" applyBorder="1" applyAlignment="1"/>
    <xf numFmtId="0" fontId="25" fillId="21" borderId="0" xfId="0" applyFont="1" applyFill="1" applyBorder="1" applyAlignment="1"/>
    <xf numFmtId="0" fontId="25" fillId="21" borderId="36" xfId="0" applyFont="1" applyFill="1" applyBorder="1" applyAlignment="1"/>
    <xf numFmtId="0" fontId="42" fillId="0" borderId="6" xfId="0" applyFont="1" applyBorder="1" applyAlignment="1">
      <alignment vertical="top" wrapText="1"/>
    </xf>
    <xf numFmtId="0" fontId="114" fillId="90" borderId="116" xfId="0" applyFont="1" applyFill="1" applyBorder="1" applyAlignment="1">
      <alignment vertical="top" wrapText="1"/>
    </xf>
    <xf numFmtId="0" fontId="114" fillId="90" borderId="111" xfId="0" applyFont="1" applyFill="1" applyBorder="1" applyAlignment="1">
      <alignment vertical="top" wrapText="1"/>
    </xf>
    <xf numFmtId="0" fontId="35" fillId="31" borderId="38" xfId="0" applyFont="1" applyFill="1" applyBorder="1" applyAlignment="1">
      <alignment vertical="top" wrapText="1"/>
    </xf>
    <xf numFmtId="0" fontId="35" fillId="31" borderId="2" xfId="0" applyFont="1" applyFill="1" applyBorder="1" applyAlignment="1">
      <alignment vertical="top" wrapText="1"/>
    </xf>
    <xf numFmtId="0" fontId="39" fillId="40" borderId="6" xfId="0" applyFont="1" applyFill="1" applyBorder="1" applyAlignment="1">
      <alignment horizontal="center" wrapText="1"/>
    </xf>
    <xf numFmtId="0" fontId="39" fillId="40" borderId="6" xfId="0" applyFont="1" applyFill="1" applyBorder="1" applyAlignment="1">
      <alignment horizontal="center"/>
    </xf>
    <xf numFmtId="0" fontId="42" fillId="40" borderId="6" xfId="0" applyFont="1" applyFill="1" applyBorder="1" applyAlignment="1"/>
    <xf numFmtId="0" fontId="42" fillId="40" borderId="6" xfId="0" applyFont="1" applyFill="1" applyBorder="1" applyAlignment="1">
      <alignment horizontal="center"/>
    </xf>
    <xf numFmtId="0" fontId="42" fillId="40" borderId="6" xfId="0" applyFont="1" applyFill="1" applyBorder="1" applyAlignment="1">
      <alignment horizontal="center" wrapText="1"/>
    </xf>
    <xf numFmtId="0" fontId="42" fillId="40" borderId="6" xfId="0" applyFont="1" applyFill="1" applyBorder="1" applyAlignment="1">
      <alignment wrapText="1"/>
    </xf>
    <xf numFmtId="0" fontId="39" fillId="40" borderId="74" xfId="0" applyFont="1" applyFill="1" applyBorder="1" applyAlignment="1">
      <alignment horizontal="center" wrapText="1"/>
    </xf>
    <xf numFmtId="0" fontId="53" fillId="0" borderId="1" xfId="0" applyFont="1" applyFill="1" applyBorder="1" applyAlignment="1">
      <alignment vertical="top" wrapText="1"/>
    </xf>
    <xf numFmtId="0" fontId="53" fillId="0" borderId="108" xfId="0" applyFont="1" applyFill="1" applyBorder="1" applyAlignment="1">
      <alignment vertical="top" wrapText="1"/>
    </xf>
    <xf numFmtId="0" fontId="53" fillId="0" borderId="108" xfId="0" applyFont="1" applyFill="1" applyBorder="1" applyAlignment="1">
      <alignment horizontal="center" vertical="top"/>
    </xf>
    <xf numFmtId="0" fontId="64" fillId="0" borderId="108" xfId="0" applyFont="1" applyFill="1" applyBorder="1" applyAlignment="1">
      <alignment horizontal="center"/>
    </xf>
    <xf numFmtId="0" fontId="64" fillId="0" borderId="118" xfId="0" applyFont="1" applyFill="1" applyBorder="1" applyAlignment="1">
      <alignment horizontal="center"/>
    </xf>
    <xf numFmtId="0" fontId="53" fillId="0" borderId="124" xfId="0" applyFont="1" applyFill="1" applyBorder="1" applyAlignment="1">
      <alignment vertical="top" wrapText="1"/>
    </xf>
    <xf numFmtId="0" fontId="53" fillId="0" borderId="124" xfId="0" applyFont="1" applyFill="1" applyBorder="1" applyAlignment="1">
      <alignment horizontal="center" vertical="top"/>
    </xf>
    <xf numFmtId="0" fontId="64" fillId="0" borderId="124" xfId="0" applyFont="1" applyFill="1" applyBorder="1" applyAlignment="1">
      <alignment horizontal="center"/>
    </xf>
    <xf numFmtId="0" fontId="64" fillId="0" borderId="132" xfId="0" applyFont="1" applyFill="1" applyBorder="1" applyAlignment="1">
      <alignment horizontal="center"/>
    </xf>
    <xf numFmtId="0" fontId="53" fillId="27" borderId="108" xfId="0" applyFont="1" applyFill="1" applyBorder="1" applyAlignment="1">
      <alignment horizontal="center" vertical="top"/>
    </xf>
    <xf numFmtId="0" fontId="53" fillId="27" borderId="124" xfId="0" applyFont="1" applyFill="1" applyBorder="1" applyAlignment="1">
      <alignment horizontal="center" vertical="top"/>
    </xf>
    <xf numFmtId="0" fontId="155" fillId="0" borderId="108" xfId="0" applyFont="1" applyBorder="1" applyAlignment="1">
      <alignment horizontal="left" vertical="center"/>
    </xf>
    <xf numFmtId="0" fontId="155" fillId="0" borderId="124" xfId="0" applyFont="1" applyBorder="1" applyAlignment="1">
      <alignment horizontal="left" vertical="center"/>
    </xf>
    <xf numFmtId="0" fontId="155" fillId="0" borderId="6" xfId="0" applyFont="1" applyBorder="1" applyAlignment="1">
      <alignment horizontal="left" vertical="center"/>
    </xf>
    <xf numFmtId="0" fontId="52" fillId="44" borderId="44" xfId="0" applyFont="1" applyFill="1" applyBorder="1" applyAlignment="1">
      <alignment horizontal="center" vertical="top" wrapText="1"/>
    </xf>
    <xf numFmtId="49" fontId="43" fillId="27" borderId="108" xfId="0" applyNumberFormat="1" applyFont="1" applyFill="1" applyBorder="1" applyAlignment="1">
      <alignment vertical="top"/>
    </xf>
    <xf numFmtId="49" fontId="43" fillId="27" borderId="54" xfId="0" applyNumberFormat="1" applyFont="1" applyFill="1" applyBorder="1" applyAlignment="1">
      <alignment vertical="top"/>
    </xf>
    <xf numFmtId="0" fontId="22" fillId="0" borderId="0" xfId="0" applyNumberFormat="1" applyFont="1"/>
    <xf numFmtId="0" fontId="0" fillId="27" borderId="51" xfId="0" applyFill="1" applyBorder="1" applyAlignment="1">
      <alignment horizontal="center"/>
    </xf>
    <xf numFmtId="0" fontId="0" fillId="27" borderId="10" xfId="0" applyFill="1" applyBorder="1" applyAlignment="1">
      <alignment horizontal="center"/>
    </xf>
    <xf numFmtId="0" fontId="27" fillId="31" borderId="124" xfId="0" applyFont="1" applyFill="1" applyBorder="1" applyAlignment="1">
      <alignment horizontal="center"/>
    </xf>
    <xf numFmtId="0" fontId="22" fillId="27" borderId="124" xfId="0" applyFont="1" applyFill="1" applyBorder="1" applyAlignment="1">
      <alignment horizontal="center"/>
    </xf>
    <xf numFmtId="0" fontId="0" fillId="0" borderId="124" xfId="0" applyFill="1" applyBorder="1" applyAlignment="1">
      <alignment horizontal="center"/>
    </xf>
    <xf numFmtId="0" fontId="0" fillId="0" borderId="124" xfId="0" applyFill="1" applyBorder="1" applyAlignment="1">
      <alignment wrapText="1"/>
    </xf>
    <xf numFmtId="0" fontId="22" fillId="0" borderId="128" xfId="12" applyBorder="1" applyAlignment="1">
      <alignment vertical="top" wrapText="1"/>
    </xf>
    <xf numFmtId="0" fontId="27" fillId="21" borderId="10" xfId="0" applyFont="1" applyFill="1" applyBorder="1" applyAlignment="1">
      <alignment horizontal="center" wrapText="1"/>
    </xf>
    <xf numFmtId="0" fontId="0" fillId="21" borderId="124" xfId="0" applyFill="1" applyBorder="1"/>
    <xf numFmtId="0" fontId="27" fillId="21" borderId="10" xfId="0" applyFont="1" applyFill="1" applyBorder="1" applyAlignment="1">
      <alignment horizontal="left" wrapText="1"/>
    </xf>
    <xf numFmtId="0" fontId="25" fillId="42" borderId="6" xfId="0" applyFont="1" applyFill="1" applyBorder="1" applyAlignment="1">
      <alignment wrapText="1"/>
    </xf>
    <xf numFmtId="0" fontId="25" fillId="42" borderId="10" xfId="0" applyFont="1" applyFill="1" applyBorder="1" applyAlignment="1">
      <alignment wrapText="1"/>
    </xf>
    <xf numFmtId="0" fontId="27" fillId="4" borderId="124" xfId="0" applyFont="1" applyFill="1" applyBorder="1" applyAlignment="1">
      <alignment horizontal="center" wrapText="1"/>
    </xf>
    <xf numFmtId="0" fontId="25" fillId="41" borderId="117" xfId="0" applyFont="1" applyFill="1" applyBorder="1" applyAlignment="1">
      <alignment wrapText="1"/>
    </xf>
    <xf numFmtId="0" fontId="25" fillId="43" borderId="23" xfId="0" applyFont="1" applyFill="1" applyBorder="1" applyAlignment="1">
      <alignment wrapText="1"/>
    </xf>
    <xf numFmtId="0" fontId="25" fillId="43" borderId="124" xfId="0" applyFont="1" applyFill="1" applyBorder="1" applyAlignment="1">
      <alignment wrapText="1"/>
    </xf>
    <xf numFmtId="0" fontId="25" fillId="41" borderId="47" xfId="0" applyFont="1" applyFill="1" applyBorder="1" applyAlignment="1">
      <alignment wrapText="1"/>
    </xf>
    <xf numFmtId="0" fontId="25" fillId="43" borderId="108" xfId="0" applyFont="1" applyFill="1" applyBorder="1" applyAlignment="1">
      <alignment wrapText="1"/>
    </xf>
    <xf numFmtId="0" fontId="25" fillId="43" borderId="55" xfId="0" applyFont="1" applyFill="1" applyBorder="1" applyAlignment="1">
      <alignment wrapText="1"/>
    </xf>
    <xf numFmtId="0" fontId="25" fillId="43" borderId="133" xfId="0" applyFont="1" applyFill="1" applyBorder="1" applyAlignment="1">
      <alignment wrapText="1"/>
    </xf>
    <xf numFmtId="0" fontId="25" fillId="40" borderId="32" xfId="0" applyFont="1" applyFill="1" applyBorder="1" applyAlignment="1">
      <alignment wrapText="1"/>
    </xf>
    <xf numFmtId="0" fontId="25" fillId="87" borderId="128" xfId="0" applyFont="1" applyFill="1" applyBorder="1" applyAlignment="1">
      <alignment wrapText="1"/>
    </xf>
    <xf numFmtId="0" fontId="22" fillId="31" borderId="62" xfId="0" applyFont="1" applyFill="1" applyBorder="1" applyAlignment="1">
      <alignment wrapText="1"/>
    </xf>
    <xf numFmtId="0" fontId="22" fillId="31" borderId="36" xfId="0" applyFont="1" applyFill="1" applyBorder="1" applyAlignment="1">
      <alignment wrapText="1"/>
    </xf>
    <xf numFmtId="0" fontId="22" fillId="31" borderId="117" xfId="0" applyFont="1" applyFill="1" applyBorder="1" applyAlignment="1">
      <alignment wrapText="1"/>
    </xf>
    <xf numFmtId="0" fontId="25" fillId="87" borderId="47" xfId="0" applyFont="1" applyFill="1" applyBorder="1" applyAlignment="1">
      <alignment wrapText="1"/>
    </xf>
    <xf numFmtId="0" fontId="25" fillId="41" borderId="125" xfId="0" applyFont="1" applyFill="1" applyBorder="1" applyAlignment="1">
      <alignment wrapText="1"/>
    </xf>
    <xf numFmtId="0" fontId="25" fillId="119" borderId="118" xfId="0" applyFont="1" applyFill="1" applyBorder="1" applyAlignment="1">
      <alignment wrapText="1"/>
    </xf>
    <xf numFmtId="0" fontId="25" fillId="41" borderId="133" xfId="0" applyFont="1" applyFill="1" applyBorder="1" applyAlignment="1">
      <alignment wrapText="1"/>
    </xf>
    <xf numFmtId="0" fontId="0" fillId="0" borderId="132" xfId="0" applyBorder="1"/>
    <xf numFmtId="0" fontId="25" fillId="43" borderId="125" xfId="0" applyFont="1" applyFill="1" applyBorder="1" applyAlignment="1">
      <alignment wrapText="1"/>
    </xf>
    <xf numFmtId="0" fontId="64" fillId="41" borderId="130" xfId="0" applyFont="1" applyFill="1" applyBorder="1"/>
    <xf numFmtId="0" fontId="64" fillId="87" borderId="29" xfId="0" applyFont="1" applyFill="1" applyBorder="1" applyAlignment="1">
      <alignment wrapText="1"/>
    </xf>
    <xf numFmtId="0" fontId="64" fillId="33" borderId="116" xfId="0" applyFont="1" applyFill="1" applyBorder="1"/>
    <xf numFmtId="0" fontId="64" fillId="33" borderId="130" xfId="0" applyFont="1" applyFill="1" applyBorder="1"/>
    <xf numFmtId="0" fontId="25" fillId="43" borderId="57" xfId="0" applyFont="1" applyFill="1" applyBorder="1" applyAlignment="1">
      <alignment wrapText="1"/>
    </xf>
    <xf numFmtId="0" fontId="25" fillId="43" borderId="129" xfId="0" applyFont="1" applyFill="1" applyBorder="1" applyAlignment="1">
      <alignment wrapText="1"/>
    </xf>
    <xf numFmtId="0" fontId="25" fillId="41" borderId="23" xfId="0" applyFont="1" applyFill="1" applyBorder="1" applyAlignment="1">
      <alignment wrapText="1"/>
    </xf>
    <xf numFmtId="0" fontId="25" fillId="41" borderId="118" xfId="0" applyFont="1" applyFill="1" applyBorder="1" applyAlignment="1">
      <alignment wrapText="1"/>
    </xf>
    <xf numFmtId="0" fontId="25" fillId="41" borderId="132" xfId="0" applyFont="1" applyFill="1" applyBorder="1" applyAlignment="1">
      <alignment wrapText="1"/>
    </xf>
    <xf numFmtId="0" fontId="64" fillId="119" borderId="7" xfId="0" applyFont="1" applyFill="1" applyBorder="1" applyAlignment="1">
      <alignment wrapText="1"/>
    </xf>
    <xf numFmtId="0" fontId="25" fillId="119" borderId="31" xfId="0" applyFont="1" applyFill="1" applyBorder="1" applyAlignment="1">
      <alignment wrapText="1"/>
    </xf>
    <xf numFmtId="0" fontId="25" fillId="119" borderId="65" xfId="0" applyFont="1" applyFill="1" applyBorder="1" applyAlignment="1">
      <alignment wrapText="1"/>
    </xf>
    <xf numFmtId="0" fontId="25" fillId="46" borderId="49" xfId="0" applyFont="1" applyFill="1" applyBorder="1" applyAlignment="1">
      <alignment wrapText="1"/>
    </xf>
    <xf numFmtId="0" fontId="25" fillId="46" borderId="74" xfId="0" applyFont="1" applyFill="1" applyBorder="1" applyAlignment="1">
      <alignment wrapText="1"/>
    </xf>
    <xf numFmtId="0" fontId="25" fillId="40" borderId="112" xfId="0" applyFont="1" applyFill="1" applyBorder="1" applyAlignment="1">
      <alignment wrapText="1"/>
    </xf>
    <xf numFmtId="0" fontId="25" fillId="40" borderId="58" xfId="0" applyFont="1" applyFill="1" applyBorder="1" applyAlignment="1">
      <alignment wrapText="1"/>
    </xf>
    <xf numFmtId="0" fontId="25" fillId="46" borderId="114" xfId="0" applyFont="1" applyFill="1" applyBorder="1" applyAlignment="1">
      <alignment wrapText="1"/>
    </xf>
    <xf numFmtId="0" fontId="25" fillId="46" borderId="113" xfId="0" applyFont="1" applyFill="1" applyBorder="1" applyAlignment="1">
      <alignment wrapText="1"/>
    </xf>
    <xf numFmtId="0" fontId="25" fillId="54" borderId="23" xfId="0" applyFont="1" applyFill="1" applyBorder="1" applyAlignment="1">
      <alignment wrapText="1"/>
    </xf>
    <xf numFmtId="0" fontId="25" fillId="54" borderId="47" xfId="0" applyFont="1" applyFill="1" applyBorder="1" applyAlignment="1">
      <alignment wrapText="1"/>
    </xf>
    <xf numFmtId="0" fontId="25" fillId="54" borderId="133" xfId="0" applyFont="1" applyFill="1" applyBorder="1"/>
    <xf numFmtId="0" fontId="64" fillId="0" borderId="132" xfId="0" applyFont="1" applyBorder="1"/>
    <xf numFmtId="0" fontId="64" fillId="33" borderId="134" xfId="0" applyFont="1" applyFill="1" applyBorder="1"/>
    <xf numFmtId="0" fontId="25" fillId="43" borderId="119" xfId="0" applyFont="1" applyFill="1" applyBorder="1" applyAlignment="1">
      <alignment wrapText="1"/>
    </xf>
    <xf numFmtId="0" fontId="64" fillId="32" borderId="34" xfId="0" applyFont="1" applyFill="1" applyBorder="1" applyAlignment="1">
      <alignment wrapText="1"/>
    </xf>
    <xf numFmtId="0" fontId="64" fillId="32" borderId="126" xfId="0" applyFont="1" applyFill="1" applyBorder="1"/>
    <xf numFmtId="0" fontId="64" fillId="54" borderId="68" xfId="0" applyFont="1" applyFill="1" applyBorder="1"/>
    <xf numFmtId="0" fontId="64" fillId="54" borderId="12" xfId="0" applyFont="1" applyFill="1" applyBorder="1"/>
    <xf numFmtId="0" fontId="64" fillId="41" borderId="42" xfId="0" applyFont="1" applyFill="1" applyBorder="1"/>
    <xf numFmtId="0" fontId="64" fillId="41" borderId="35" xfId="0" applyFont="1" applyFill="1" applyBorder="1"/>
    <xf numFmtId="0" fontId="261" fillId="0" borderId="0" xfId="0" applyFont="1" applyBorder="1" applyAlignment="1">
      <alignment horizontal="center"/>
    </xf>
    <xf numFmtId="0" fontId="64" fillId="0" borderId="39" xfId="0" applyFont="1" applyBorder="1" applyAlignment="1">
      <alignment vertical="top" wrapText="1"/>
    </xf>
    <xf numFmtId="0" fontId="64" fillId="0" borderId="0" xfId="0" applyFont="1" applyBorder="1" applyAlignment="1">
      <alignment vertical="top" wrapText="1"/>
    </xf>
    <xf numFmtId="0" fontId="261" fillId="0" borderId="118" xfId="0" applyFont="1" applyFill="1" applyBorder="1" applyAlignment="1">
      <alignment horizontal="center"/>
    </xf>
    <xf numFmtId="0" fontId="64" fillId="27" borderId="55" xfId="0" applyFont="1" applyFill="1" applyBorder="1" applyAlignment="1">
      <alignment horizontal="left" wrapText="1"/>
    </xf>
    <xf numFmtId="0" fontId="64" fillId="27" borderId="6" xfId="0" applyFont="1" applyFill="1" applyBorder="1" applyAlignment="1">
      <alignment horizontal="left" wrapText="1"/>
    </xf>
    <xf numFmtId="0" fontId="64" fillId="27" borderId="10" xfId="0" applyFont="1" applyFill="1" applyBorder="1" applyAlignment="1">
      <alignment horizontal="left" wrapText="1"/>
    </xf>
    <xf numFmtId="0" fontId="25" fillId="42" borderId="1" xfId="0" applyFont="1" applyFill="1" applyBorder="1" applyAlignment="1">
      <alignment wrapText="1"/>
    </xf>
    <xf numFmtId="0" fontId="0" fillId="27" borderId="1" xfId="0" applyFill="1" applyBorder="1" applyAlignment="1">
      <alignment horizontal="center"/>
    </xf>
    <xf numFmtId="0" fontId="0" fillId="27" borderId="54" xfId="0" applyFill="1" applyBorder="1" applyAlignment="1">
      <alignment horizontal="center"/>
    </xf>
    <xf numFmtId="0" fontId="0" fillId="27" borderId="1" xfId="0" applyFill="1" applyBorder="1" applyAlignment="1">
      <alignment horizontal="left"/>
    </xf>
    <xf numFmtId="0" fontId="0" fillId="27" borderId="54" xfId="0" applyFill="1" applyBorder="1" applyAlignment="1">
      <alignment horizontal="left"/>
    </xf>
    <xf numFmtId="0" fontId="22" fillId="27" borderId="55" xfId="6" applyFill="1" applyBorder="1"/>
    <xf numFmtId="0" fontId="22" fillId="27" borderId="55" xfId="6" applyFill="1" applyBorder="1" applyAlignment="1">
      <alignment horizontal="center"/>
    </xf>
    <xf numFmtId="0" fontId="22" fillId="27" borderId="55" xfId="6" applyFill="1" applyBorder="1" applyAlignment="1">
      <alignment horizontal="center" wrapText="1"/>
    </xf>
    <xf numFmtId="0" fontId="89" fillId="20" borderId="30" xfId="0" applyFont="1" applyFill="1" applyBorder="1" applyAlignment="1" applyProtection="1">
      <alignment horizontal="left"/>
    </xf>
    <xf numFmtId="0" fontId="89" fillId="20" borderId="30" xfId="0" applyFont="1" applyFill="1" applyBorder="1" applyAlignment="1" applyProtection="1">
      <alignment horizontal="left" wrapText="1"/>
    </xf>
    <xf numFmtId="0" fontId="89" fillId="0" borderId="30" xfId="0" applyFont="1" applyFill="1" applyBorder="1" applyAlignment="1" applyProtection="1">
      <alignment horizontal="left" wrapText="1"/>
    </xf>
    <xf numFmtId="49" fontId="39" fillId="20" borderId="51" xfId="0" applyNumberFormat="1" applyFont="1" applyFill="1" applyBorder="1"/>
    <xf numFmtId="49" fontId="39" fillId="20" borderId="1" xfId="0" applyNumberFormat="1" applyFont="1" applyFill="1" applyBorder="1"/>
    <xf numFmtId="0" fontId="273" fillId="0" borderId="118" xfId="0" applyFont="1" applyFill="1" applyBorder="1" applyAlignment="1">
      <alignment horizontal="left" wrapText="1"/>
    </xf>
    <xf numFmtId="0" fontId="42" fillId="46" borderId="53" xfId="3" applyFont="1" applyFill="1" applyBorder="1" applyAlignment="1" applyProtection="1">
      <alignment horizontal="left" vertical="center"/>
      <protection locked="0"/>
    </xf>
    <xf numFmtId="0" fontId="42" fillId="46" borderId="38" xfId="3" applyFont="1" applyFill="1" applyBorder="1" applyAlignment="1" applyProtection="1">
      <alignment horizontal="left" vertical="center"/>
      <protection locked="0"/>
    </xf>
    <xf numFmtId="0" fontId="42" fillId="46" borderId="46" xfId="3" applyFont="1" applyFill="1" applyBorder="1" applyAlignment="1" applyProtection="1">
      <alignment horizontal="left" vertical="center"/>
      <protection locked="0"/>
    </xf>
    <xf numFmtId="0" fontId="122" fillId="31" borderId="77" xfId="0" applyFont="1" applyFill="1" applyBorder="1" applyAlignment="1" applyProtection="1">
      <alignment vertical="top" wrapText="1"/>
      <protection locked="0"/>
    </xf>
    <xf numFmtId="0" fontId="122" fillId="31" borderId="13" xfId="0" applyFont="1" applyFill="1" applyBorder="1" applyAlignment="1" applyProtection="1">
      <alignment vertical="top" wrapText="1"/>
      <protection locked="0"/>
    </xf>
    <xf numFmtId="0" fontId="122" fillId="31" borderId="2" xfId="0" applyFont="1" applyFill="1" applyBorder="1" applyAlignment="1" applyProtection="1">
      <alignment vertical="top" wrapText="1"/>
      <protection locked="0"/>
    </xf>
    <xf numFmtId="0" fontId="92" fillId="42" borderId="53" xfId="3" applyFont="1" applyFill="1" applyBorder="1" applyAlignment="1" applyProtection="1">
      <alignment horizontal="left" vertical="top" wrapText="1"/>
      <protection locked="0"/>
    </xf>
    <xf numFmtId="0" fontId="92" fillId="42" borderId="2" xfId="3" applyFont="1" applyFill="1" applyBorder="1" applyAlignment="1" applyProtection="1">
      <alignment horizontal="left" vertical="top" wrapText="1"/>
      <protection locked="0"/>
    </xf>
    <xf numFmtId="0" fontId="28" fillId="44" borderId="61" xfId="0" applyFont="1" applyFill="1" applyBorder="1" applyAlignment="1" applyProtection="1">
      <alignment horizontal="center" vertical="center" wrapText="1"/>
      <protection locked="0"/>
    </xf>
    <xf numFmtId="0" fontId="28" fillId="44" borderId="56" xfId="0" applyFont="1" applyFill="1" applyBorder="1" applyAlignment="1" applyProtection="1">
      <alignment horizontal="center" vertical="center" wrapText="1"/>
      <protection locked="0"/>
    </xf>
    <xf numFmtId="0" fontId="144" fillId="0" borderId="42" xfId="0" applyFont="1" applyBorder="1" applyAlignment="1" applyProtection="1">
      <alignment horizontal="left" vertical="center" wrapText="1"/>
      <protection locked="0"/>
    </xf>
    <xf numFmtId="0" fontId="144" fillId="0" borderId="39" xfId="0" applyFont="1" applyBorder="1" applyAlignment="1" applyProtection="1">
      <alignment horizontal="left" vertical="center" wrapText="1"/>
      <protection locked="0"/>
    </xf>
    <xf numFmtId="0" fontId="144" fillId="0" borderId="40" xfId="0" applyFont="1" applyBorder="1" applyAlignment="1" applyProtection="1">
      <alignment horizontal="left" vertical="center" wrapText="1"/>
      <protection locked="0"/>
    </xf>
    <xf numFmtId="0" fontId="144" fillId="0" borderId="29" xfId="0" applyFont="1" applyBorder="1" applyAlignment="1" applyProtection="1">
      <alignment horizontal="left" vertical="center" wrapText="1"/>
      <protection locked="0"/>
    </xf>
    <xf numFmtId="0" fontId="144" fillId="0" borderId="0" xfId="0" applyFont="1" applyBorder="1" applyAlignment="1" applyProtection="1">
      <alignment horizontal="left" vertical="center" wrapText="1"/>
      <protection locked="0"/>
    </xf>
    <xf numFmtId="0" fontId="144" fillId="0" borderId="36" xfId="0" applyFont="1" applyBorder="1" applyAlignment="1" applyProtection="1">
      <alignment horizontal="left" vertical="center" wrapText="1"/>
      <protection locked="0"/>
    </xf>
    <xf numFmtId="0" fontId="144" fillId="0" borderId="7" xfId="0" applyFont="1" applyBorder="1" applyAlignment="1" applyProtection="1">
      <alignment horizontal="left" vertical="center" wrapText="1"/>
      <protection locked="0"/>
    </xf>
    <xf numFmtId="0" fontId="144" fillId="0" borderId="13" xfId="0" applyFont="1" applyBorder="1" applyAlignment="1" applyProtection="1">
      <alignment horizontal="left" vertical="center" wrapText="1"/>
      <protection locked="0"/>
    </xf>
    <xf numFmtId="0" fontId="144" fillId="0" borderId="11" xfId="0" applyFont="1" applyBorder="1" applyAlignment="1" applyProtection="1">
      <alignment horizontal="left" vertical="center" wrapText="1"/>
      <protection locked="0"/>
    </xf>
    <xf numFmtId="0" fontId="224" fillId="0" borderId="0" xfId="0" applyFont="1" applyBorder="1" applyAlignment="1" applyProtection="1">
      <alignment horizontal="center" vertical="center"/>
      <protection locked="0"/>
    </xf>
    <xf numFmtId="0" fontId="94" fillId="44" borderId="105" xfId="0" applyFont="1" applyFill="1" applyBorder="1" applyAlignment="1" applyProtection="1">
      <alignment horizontal="center" vertical="center" wrapText="1"/>
      <protection locked="0"/>
    </xf>
    <xf numFmtId="0" fontId="82" fillId="20" borderId="44" xfId="3" applyFont="1" applyFill="1" applyBorder="1" applyAlignment="1" applyProtection="1">
      <alignment horizontal="center" vertical="top" wrapText="1"/>
      <protection locked="0"/>
    </xf>
    <xf numFmtId="0" fontId="82" fillId="20" borderId="58" xfId="3" applyFont="1" applyFill="1" applyBorder="1" applyAlignment="1" applyProtection="1">
      <alignment horizontal="center" vertical="top" wrapText="1"/>
      <protection locked="0"/>
    </xf>
    <xf numFmtId="0" fontId="25" fillId="23" borderId="53" xfId="3" applyFont="1" applyFill="1" applyBorder="1" applyAlignment="1" applyProtection="1">
      <alignment horizontal="left" vertical="center" wrapText="1"/>
      <protection locked="0"/>
    </xf>
    <xf numFmtId="0" fontId="25" fillId="23" borderId="38" xfId="3" applyFont="1" applyFill="1" applyBorder="1" applyAlignment="1" applyProtection="1">
      <alignment horizontal="left" vertical="center" wrapText="1"/>
      <protection locked="0"/>
    </xf>
    <xf numFmtId="0" fontId="25" fillId="23" borderId="46" xfId="3" applyFont="1" applyFill="1" applyBorder="1" applyAlignment="1" applyProtection="1">
      <alignment horizontal="left" vertical="center" wrapText="1"/>
      <protection locked="0"/>
    </xf>
    <xf numFmtId="0" fontId="42" fillId="20" borderId="128" xfId="0" applyFont="1" applyFill="1" applyBorder="1" applyAlignment="1">
      <alignment horizontal="center" wrapText="1"/>
    </xf>
    <xf numFmtId="0" fontId="42" fillId="20" borderId="131" xfId="0" applyFont="1" applyFill="1" applyBorder="1" applyAlignment="1">
      <alignment horizontal="center" wrapText="1"/>
    </xf>
    <xf numFmtId="0" fontId="77" fillId="0" borderId="32" xfId="3" applyFont="1" applyBorder="1" applyAlignment="1" applyProtection="1">
      <alignment horizontal="left" vertical="top" wrapText="1"/>
    </xf>
    <xf numFmtId="0" fontId="77" fillId="0" borderId="62" xfId="3" applyFont="1" applyBorder="1" applyAlignment="1" applyProtection="1">
      <alignment horizontal="left" vertical="top" wrapText="1"/>
    </xf>
    <xf numFmtId="0" fontId="102" fillId="24" borderId="109" xfId="12" applyFont="1" applyFill="1" applyBorder="1" applyAlignment="1">
      <alignment horizontal="center" wrapText="1"/>
    </xf>
    <xf numFmtId="0" fontId="102" fillId="24" borderId="117" xfId="12" applyFont="1" applyFill="1" applyBorder="1" applyAlignment="1">
      <alignment horizontal="center" wrapText="1"/>
    </xf>
    <xf numFmtId="0" fontId="102" fillId="46" borderId="37" xfId="0" applyFont="1" applyFill="1" applyBorder="1" applyAlignment="1">
      <alignment horizontal="center" vertical="center" wrapText="1"/>
    </xf>
    <xf numFmtId="0" fontId="102" fillId="46" borderId="38" xfId="0" applyFont="1" applyFill="1" applyBorder="1" applyAlignment="1">
      <alignment horizontal="center" vertical="center" wrapText="1"/>
    </xf>
    <xf numFmtId="0" fontId="102" fillId="46" borderId="2" xfId="0" applyFont="1" applyFill="1" applyBorder="1" applyAlignment="1">
      <alignment horizontal="center" vertical="center" wrapText="1"/>
    </xf>
    <xf numFmtId="0" fontId="52" fillId="42" borderId="109" xfId="0" applyFont="1" applyFill="1" applyBorder="1" applyAlignment="1">
      <alignment horizontal="left"/>
    </xf>
    <xf numFmtId="0" fontId="52" fillId="42" borderId="116" xfId="0" applyFont="1" applyFill="1" applyBorder="1" applyAlignment="1">
      <alignment horizontal="left"/>
    </xf>
    <xf numFmtId="0" fontId="52" fillId="42" borderId="117" xfId="0" applyFont="1" applyFill="1" applyBorder="1" applyAlignment="1">
      <alignment horizontal="left"/>
    </xf>
    <xf numFmtId="0" fontId="102" fillId="23" borderId="28" xfId="0" applyFont="1" applyFill="1" applyBorder="1" applyAlignment="1">
      <alignment horizontal="left" vertical="center" wrapText="1"/>
    </xf>
    <xf numFmtId="0" fontId="102" fillId="23" borderId="111" xfId="0" applyFont="1" applyFill="1" applyBorder="1" applyAlignment="1">
      <alignment horizontal="left" vertical="center" wrapText="1"/>
    </xf>
    <xf numFmtId="0" fontId="22" fillId="42" borderId="109" xfId="0" applyFont="1" applyFill="1" applyBorder="1" applyAlignment="1">
      <alignment horizontal="left" wrapText="1"/>
    </xf>
    <xf numFmtId="0" fontId="22" fillId="42" borderId="116" xfId="0" applyFont="1" applyFill="1" applyBorder="1" applyAlignment="1">
      <alignment horizontal="left" wrapText="1"/>
    </xf>
    <xf numFmtId="0" fontId="22" fillId="42" borderId="117" xfId="0" applyFont="1" applyFill="1" applyBorder="1" applyAlignment="1">
      <alignment horizontal="left" wrapText="1"/>
    </xf>
    <xf numFmtId="0" fontId="52" fillId="24" borderId="53" xfId="0" applyFont="1" applyFill="1" applyBorder="1" applyAlignment="1">
      <alignment horizontal="left"/>
    </xf>
    <xf numFmtId="0" fontId="52" fillId="24" borderId="2" xfId="0" applyFont="1" applyFill="1" applyBorder="1" applyAlignment="1">
      <alignment horizontal="left"/>
    </xf>
    <xf numFmtId="0" fontId="47" fillId="40" borderId="38" xfId="0" applyFont="1" applyFill="1" applyBorder="1" applyAlignment="1">
      <alignment horizontal="left" vertical="center" wrapText="1"/>
    </xf>
    <xf numFmtId="0" fontId="47" fillId="40" borderId="2" xfId="0" applyFont="1" applyFill="1" applyBorder="1" applyAlignment="1">
      <alignment horizontal="left" vertical="center" wrapText="1"/>
    </xf>
    <xf numFmtId="0" fontId="102" fillId="45" borderId="37" xfId="0" applyFont="1" applyFill="1" applyBorder="1" applyAlignment="1">
      <alignment horizontal="left" vertical="center" wrapText="1"/>
    </xf>
    <xf numFmtId="0" fontId="102" fillId="45" borderId="38" xfId="0" applyFont="1" applyFill="1" applyBorder="1" applyAlignment="1">
      <alignment horizontal="left" vertical="center" wrapText="1"/>
    </xf>
    <xf numFmtId="0" fontId="102" fillId="45" borderId="2" xfId="0" applyFont="1" applyFill="1" applyBorder="1" applyAlignment="1">
      <alignment horizontal="left" vertical="center" wrapText="1"/>
    </xf>
    <xf numFmtId="0" fontId="101" fillId="45" borderId="42" xfId="0" applyFont="1" applyFill="1" applyBorder="1" applyAlignment="1">
      <alignment horizontal="left" vertical="center" wrapText="1"/>
    </xf>
    <xf numFmtId="0" fontId="101" fillId="45" borderId="39" xfId="0" applyFont="1" applyFill="1" applyBorder="1" applyAlignment="1">
      <alignment horizontal="left" vertical="center" wrapText="1"/>
    </xf>
    <xf numFmtId="0" fontId="101" fillId="45" borderId="40" xfId="0" applyFont="1" applyFill="1" applyBorder="1" applyAlignment="1">
      <alignment horizontal="left" vertical="center" wrapText="1"/>
    </xf>
    <xf numFmtId="0" fontId="101" fillId="45" borderId="29" xfId="0" applyFont="1" applyFill="1" applyBorder="1" applyAlignment="1">
      <alignment horizontal="left" vertical="center" wrapText="1"/>
    </xf>
    <xf numFmtId="0" fontId="101" fillId="45" borderId="0" xfId="0" applyFont="1" applyFill="1" applyBorder="1" applyAlignment="1">
      <alignment horizontal="left" vertical="center" wrapText="1"/>
    </xf>
    <xf numFmtId="0" fontId="101" fillId="45" borderId="36" xfId="0" applyFont="1" applyFill="1" applyBorder="1" applyAlignment="1">
      <alignment horizontal="left" vertical="center" wrapText="1"/>
    </xf>
    <xf numFmtId="0" fontId="101" fillId="45" borderId="7" xfId="0" applyFont="1" applyFill="1" applyBorder="1" applyAlignment="1">
      <alignment horizontal="left" vertical="center" wrapText="1"/>
    </xf>
    <xf numFmtId="0" fontId="101" fillId="45" borderId="13" xfId="0" applyFont="1" applyFill="1" applyBorder="1" applyAlignment="1">
      <alignment horizontal="left" vertical="center" wrapText="1"/>
    </xf>
    <xf numFmtId="0" fontId="101" fillId="45" borderId="11" xfId="0" applyFont="1" applyFill="1" applyBorder="1" applyAlignment="1">
      <alignment horizontal="left" vertical="center" wrapText="1"/>
    </xf>
    <xf numFmtId="0" fontId="102" fillId="45" borderId="46" xfId="0" applyFont="1" applyFill="1" applyBorder="1" applyAlignment="1">
      <alignment horizontal="left" vertical="center" wrapText="1"/>
    </xf>
    <xf numFmtId="0" fontId="102" fillId="21" borderId="37" xfId="0" applyFont="1" applyFill="1" applyBorder="1" applyAlignment="1">
      <alignment horizontal="left" vertical="center" wrapText="1"/>
    </xf>
    <xf numFmtId="0" fontId="102" fillId="21" borderId="38" xfId="0" applyFont="1" applyFill="1" applyBorder="1" applyAlignment="1">
      <alignment horizontal="left" vertical="center" wrapText="1"/>
    </xf>
    <xf numFmtId="0" fontId="52" fillId="42" borderId="128" xfId="0" applyFont="1" applyFill="1" applyBorder="1" applyAlignment="1">
      <alignment horizontal="left"/>
    </xf>
    <xf numFmtId="0" fontId="52" fillId="42" borderId="127" xfId="0" applyFont="1" applyFill="1" applyBorder="1" applyAlignment="1">
      <alignment horizontal="left"/>
    </xf>
    <xf numFmtId="0" fontId="52" fillId="42" borderId="131" xfId="0" applyFont="1" applyFill="1" applyBorder="1" applyAlignment="1">
      <alignment horizontal="left"/>
    </xf>
    <xf numFmtId="0" fontId="102" fillId="45" borderId="7" xfId="0" applyFont="1" applyFill="1" applyBorder="1" applyAlignment="1">
      <alignment horizontal="left" vertical="center" wrapText="1"/>
    </xf>
    <xf numFmtId="0" fontId="102" fillId="45" borderId="13" xfId="0" applyFont="1" applyFill="1" applyBorder="1" applyAlignment="1">
      <alignment horizontal="left" vertical="center" wrapText="1"/>
    </xf>
    <xf numFmtId="0" fontId="102" fillId="45" borderId="11" xfId="0" applyFont="1" applyFill="1" applyBorder="1" applyAlignment="1">
      <alignment horizontal="left" vertical="center" wrapText="1"/>
    </xf>
    <xf numFmtId="0" fontId="24" fillId="20" borderId="18" xfId="0" applyFont="1" applyFill="1" applyBorder="1" applyAlignment="1">
      <alignment horizontal="left" vertical="top" wrapText="1"/>
    </xf>
    <xf numFmtId="0" fontId="24" fillId="20" borderId="15" xfId="0" applyFont="1" applyFill="1" applyBorder="1" applyAlignment="1">
      <alignment horizontal="left" vertical="top" wrapText="1"/>
    </xf>
    <xf numFmtId="0" fontId="0" fillId="0" borderId="128" xfId="0" applyBorder="1" applyAlignment="1">
      <alignment horizontal="center" wrapText="1"/>
    </xf>
    <xf numFmtId="0" fontId="0" fillId="0" borderId="131" xfId="0" applyBorder="1" applyAlignment="1">
      <alignment horizontal="center" wrapText="1"/>
    </xf>
    <xf numFmtId="0" fontId="24" fillId="23" borderId="109" xfId="0" applyFont="1" applyFill="1" applyBorder="1" applyAlignment="1">
      <alignment horizontal="left" vertical="center" wrapText="1"/>
    </xf>
    <xf numFmtId="0" fontId="24" fillId="23" borderId="116" xfId="0" applyFont="1" applyFill="1" applyBorder="1" applyAlignment="1">
      <alignment horizontal="left" vertical="center" wrapText="1"/>
    </xf>
    <xf numFmtId="0" fontId="24" fillId="23" borderId="111" xfId="0" applyFont="1" applyFill="1" applyBorder="1" applyAlignment="1">
      <alignment horizontal="left" vertical="center" wrapText="1"/>
    </xf>
    <xf numFmtId="0" fontId="29" fillId="24" borderId="32" xfId="3" applyFill="1" applyBorder="1" applyAlignment="1" applyProtection="1">
      <alignment horizontal="left"/>
    </xf>
    <xf numFmtId="0" fontId="29" fillId="24" borderId="62" xfId="3" applyFill="1" applyBorder="1" applyAlignment="1" applyProtection="1">
      <alignment horizontal="left"/>
    </xf>
    <xf numFmtId="0" fontId="24" fillId="23" borderId="109" xfId="0" applyFont="1" applyFill="1" applyBorder="1" applyAlignment="1">
      <alignment horizontal="left" wrapText="1"/>
    </xf>
    <xf numFmtId="0" fontId="24" fillId="23" borderId="111" xfId="0" applyFont="1" applyFill="1" applyBorder="1" applyAlignment="1">
      <alignment horizontal="left" wrapText="1"/>
    </xf>
    <xf numFmtId="0" fontId="42" fillId="46" borderId="53" xfId="0" applyFont="1" applyFill="1" applyBorder="1" applyAlignment="1">
      <alignment horizontal="center" wrapText="1"/>
    </xf>
    <xf numFmtId="0" fontId="42" fillId="46" borderId="2" xfId="0" applyFont="1" applyFill="1" applyBorder="1" applyAlignment="1">
      <alignment horizontal="center" wrapText="1"/>
    </xf>
    <xf numFmtId="14" fontId="64" fillId="3" borderId="18" xfId="0" applyNumberFormat="1" applyFont="1" applyFill="1" applyBorder="1" applyAlignment="1">
      <alignment horizontal="left" vertical="top" wrapText="1"/>
    </xf>
    <xf numFmtId="14" fontId="64" fillId="3" borderId="59" xfId="0" applyNumberFormat="1" applyFont="1" applyFill="1" applyBorder="1" applyAlignment="1">
      <alignment horizontal="left" vertical="top" wrapText="1"/>
    </xf>
    <xf numFmtId="0" fontId="52" fillId="42" borderId="53" xfId="0" applyFont="1" applyFill="1" applyBorder="1" applyAlignment="1">
      <alignment horizontal="left"/>
    </xf>
    <xf numFmtId="0" fontId="52" fillId="42" borderId="46" xfId="0" applyFont="1" applyFill="1" applyBorder="1" applyAlignment="1">
      <alignment horizontal="left"/>
    </xf>
    <xf numFmtId="0" fontId="102" fillId="40" borderId="28" xfId="0" applyFont="1" applyFill="1" applyBorder="1" applyAlignment="1">
      <alignment horizontal="left" vertical="center" wrapText="1"/>
    </xf>
    <xf numFmtId="0" fontId="102" fillId="40" borderId="111" xfId="0" applyFont="1" applyFill="1" applyBorder="1" applyAlignment="1">
      <alignment horizontal="left" vertical="center" wrapText="1"/>
    </xf>
    <xf numFmtId="0" fontId="23" fillId="3" borderId="70" xfId="0" applyFont="1" applyFill="1" applyBorder="1" applyAlignment="1">
      <alignment wrapText="1"/>
    </xf>
    <xf numFmtId="0" fontId="23" fillId="3" borderId="16" xfId="0" applyFont="1" applyFill="1" applyBorder="1" applyAlignment="1">
      <alignment wrapText="1"/>
    </xf>
    <xf numFmtId="0" fontId="23" fillId="3" borderId="63" xfId="0" applyFont="1" applyFill="1" applyBorder="1" applyAlignment="1">
      <alignment wrapText="1"/>
    </xf>
    <xf numFmtId="0" fontId="102" fillId="40" borderId="25" xfId="0" applyFont="1" applyFill="1" applyBorder="1" applyAlignment="1">
      <alignment horizontal="left" vertical="center" wrapText="1"/>
    </xf>
    <xf numFmtId="0" fontId="102" fillId="40" borderId="43" xfId="0" applyFont="1" applyFill="1" applyBorder="1" applyAlignment="1">
      <alignment horizontal="left" vertical="center" wrapText="1"/>
    </xf>
    <xf numFmtId="0" fontId="29" fillId="40" borderId="28" xfId="3" applyFill="1" applyBorder="1" applyAlignment="1" applyProtection="1">
      <alignment horizontal="left" vertical="center" wrapText="1"/>
    </xf>
    <xf numFmtId="0" fontId="29" fillId="40" borderId="111" xfId="3" applyFill="1" applyBorder="1" applyAlignment="1" applyProtection="1">
      <alignment horizontal="left" vertical="center" wrapText="1"/>
    </xf>
    <xf numFmtId="0" fontId="47" fillId="40" borderId="115" xfId="0" applyFont="1" applyFill="1" applyBorder="1" applyAlignment="1">
      <alignment horizontal="left" vertical="top" wrapText="1"/>
    </xf>
    <xf numFmtId="0" fontId="47" fillId="40" borderId="106" xfId="0" applyFont="1" applyFill="1" applyBorder="1" applyAlignment="1">
      <alignment horizontal="left" vertical="top" wrapText="1"/>
    </xf>
    <xf numFmtId="0" fontId="109" fillId="40" borderId="111" xfId="0" applyFont="1" applyFill="1" applyBorder="1" applyAlignment="1">
      <alignment horizontal="left" vertical="center" wrapText="1"/>
    </xf>
    <xf numFmtId="0" fontId="27" fillId="24" borderId="18" xfId="0" applyNumberFormat="1" applyFont="1" applyFill="1" applyBorder="1" applyAlignment="1">
      <alignment horizontal="center" vertical="top" wrapText="1"/>
    </xf>
    <xf numFmtId="0" fontId="27" fillId="24" borderId="27" xfId="0" applyNumberFormat="1" applyFont="1" applyFill="1" applyBorder="1" applyAlignment="1">
      <alignment horizontal="center" vertical="top" wrapText="1"/>
    </xf>
    <xf numFmtId="1" fontId="27" fillId="42" borderId="18" xfId="0" applyNumberFormat="1" applyFont="1" applyFill="1" applyBorder="1" applyAlignment="1">
      <alignment horizontal="left" vertical="center" wrapText="1"/>
    </xf>
    <xf numFmtId="1" fontId="27" fillId="42" borderId="20" xfId="0" applyNumberFormat="1" applyFont="1" applyFill="1" applyBorder="1" applyAlignment="1">
      <alignment horizontal="left" vertical="center" wrapText="1"/>
    </xf>
    <xf numFmtId="1" fontId="27" fillId="42" borderId="59" xfId="0" applyNumberFormat="1" applyFont="1" applyFill="1" applyBorder="1" applyAlignment="1">
      <alignment horizontal="left" vertical="center" wrapText="1"/>
    </xf>
    <xf numFmtId="0" fontId="31" fillId="41" borderId="37" xfId="0" applyFont="1" applyFill="1" applyBorder="1" applyAlignment="1">
      <alignment horizontal="center" vertical="center"/>
    </xf>
    <xf numFmtId="0" fontId="31" fillId="41" borderId="38" xfId="0" applyFont="1" applyFill="1" applyBorder="1" applyAlignment="1">
      <alignment horizontal="center" vertical="center"/>
    </xf>
    <xf numFmtId="0" fontId="31" fillId="41" borderId="2" xfId="0" applyFont="1" applyFill="1" applyBorder="1" applyAlignment="1">
      <alignment horizontal="center" vertical="center"/>
    </xf>
    <xf numFmtId="0" fontId="42" fillId="46" borderId="46" xfId="0" applyFont="1" applyFill="1" applyBorder="1" applyAlignment="1">
      <alignment horizontal="center" wrapText="1"/>
    </xf>
    <xf numFmtId="1" fontId="27" fillId="42" borderId="18" xfId="0" applyNumberFormat="1" applyFont="1" applyFill="1" applyBorder="1" applyAlignment="1">
      <alignment horizontal="left" vertical="top" wrapText="1"/>
    </xf>
    <xf numFmtId="1" fontId="27" fillId="42" borderId="15" xfId="0" applyNumberFormat="1" applyFont="1" applyFill="1" applyBorder="1" applyAlignment="1">
      <alignment horizontal="left" vertical="top" wrapText="1"/>
    </xf>
    <xf numFmtId="0" fontId="102" fillId="46" borderId="60" xfId="0" applyFont="1" applyFill="1" applyBorder="1" applyAlignment="1">
      <alignment horizontal="center" vertical="center" wrapText="1"/>
    </xf>
    <xf numFmtId="0" fontId="102" fillId="46" borderId="127" xfId="0" applyFont="1" applyFill="1" applyBorder="1" applyAlignment="1">
      <alignment horizontal="center" vertical="center" wrapText="1"/>
    </xf>
    <xf numFmtId="0" fontId="102" fillId="46" borderId="131" xfId="0" applyFont="1" applyFill="1" applyBorder="1" applyAlignment="1">
      <alignment horizontal="center" vertical="center" wrapText="1"/>
    </xf>
    <xf numFmtId="0" fontId="102" fillId="40" borderId="115" xfId="0" applyFont="1" applyFill="1" applyBorder="1" applyAlignment="1">
      <alignment horizontal="left" vertical="center" wrapText="1"/>
    </xf>
    <xf numFmtId="0" fontId="102" fillId="40" borderId="106" xfId="0" applyFont="1" applyFill="1" applyBorder="1" applyAlignment="1">
      <alignment horizontal="left" vertical="center" wrapText="1"/>
    </xf>
    <xf numFmtId="0" fontId="102" fillId="24" borderId="37" xfId="0" applyFont="1" applyFill="1" applyBorder="1" applyAlignment="1">
      <alignment horizontal="center" vertical="center" wrapText="1"/>
    </xf>
    <xf numFmtId="0" fontId="102" fillId="24" borderId="38" xfId="0" applyFont="1" applyFill="1" applyBorder="1" applyAlignment="1">
      <alignment horizontal="center" vertical="center" wrapText="1"/>
    </xf>
    <xf numFmtId="0" fontId="102" fillId="24" borderId="2" xfId="0" applyFont="1" applyFill="1" applyBorder="1" applyAlignment="1">
      <alignment horizontal="center" vertical="center" wrapText="1"/>
    </xf>
    <xf numFmtId="0" fontId="95" fillId="42" borderId="18" xfId="0" applyNumberFormat="1" applyFont="1" applyFill="1" applyBorder="1" applyAlignment="1">
      <alignment horizontal="left" vertical="center" wrapText="1"/>
    </xf>
    <xf numFmtId="0" fontId="27" fillId="42" borderId="59" xfId="0" applyNumberFormat="1" applyFont="1" applyFill="1" applyBorder="1" applyAlignment="1">
      <alignment horizontal="left" vertical="center" wrapText="1"/>
    </xf>
    <xf numFmtId="0" fontId="102" fillId="54" borderId="42" xfId="0" applyFont="1" applyFill="1" applyBorder="1" applyAlignment="1">
      <alignment horizontal="left" vertical="center" wrapText="1"/>
    </xf>
    <xf numFmtId="0" fontId="102" fillId="54" borderId="89" xfId="0" applyFont="1" applyFill="1" applyBorder="1" applyAlignment="1">
      <alignment horizontal="left" vertical="center" wrapText="1"/>
    </xf>
    <xf numFmtId="0" fontId="102" fillId="40" borderId="37" xfId="0" applyFont="1" applyFill="1" applyBorder="1" applyAlignment="1">
      <alignment horizontal="left" vertical="center" wrapText="1"/>
    </xf>
    <xf numFmtId="0" fontId="102" fillId="40" borderId="46" xfId="0" applyFont="1" applyFill="1" applyBorder="1" applyAlignment="1">
      <alignment horizontal="left" vertical="center" wrapText="1"/>
    </xf>
    <xf numFmtId="165" fontId="25" fillId="3" borderId="61" xfId="0" applyNumberFormat="1" applyFont="1" applyFill="1" applyBorder="1" applyAlignment="1">
      <alignment horizontal="left"/>
    </xf>
    <xf numFmtId="165" fontId="25" fillId="3" borderId="56" xfId="0" applyNumberFormat="1" applyFont="1" applyFill="1" applyBorder="1" applyAlignment="1">
      <alignment horizontal="left"/>
    </xf>
    <xf numFmtId="165" fontId="25" fillId="3" borderId="57" xfId="0" applyNumberFormat="1" applyFont="1" applyFill="1" applyBorder="1" applyAlignment="1">
      <alignment horizontal="left"/>
    </xf>
    <xf numFmtId="165" fontId="23" fillId="3" borderId="28" xfId="0" applyNumberFormat="1" applyFont="1" applyFill="1" applyBorder="1" applyAlignment="1">
      <alignment horizontal="left" wrapText="1"/>
    </xf>
    <xf numFmtId="165" fontId="23" fillId="3" borderId="20" xfId="0" applyNumberFormat="1" applyFont="1" applyFill="1" applyBorder="1" applyAlignment="1">
      <alignment horizontal="left" wrapText="1"/>
    </xf>
    <xf numFmtId="165" fontId="23" fillId="3" borderId="15" xfId="0" applyNumberFormat="1" applyFont="1" applyFill="1" applyBorder="1" applyAlignment="1">
      <alignment horizontal="left" wrapText="1"/>
    </xf>
    <xf numFmtId="0" fontId="102" fillId="45" borderId="37" xfId="0" applyFont="1" applyFill="1" applyBorder="1" applyAlignment="1">
      <alignment vertical="center" wrapText="1"/>
    </xf>
    <xf numFmtId="0" fontId="102" fillId="45" borderId="38" xfId="0" applyFont="1" applyFill="1" applyBorder="1" applyAlignment="1">
      <alignment vertical="center" wrapText="1"/>
    </xf>
    <xf numFmtId="0" fontId="102" fillId="45" borderId="2" xfId="0" applyFont="1" applyFill="1" applyBorder="1" applyAlignment="1">
      <alignment vertical="center" wrapText="1"/>
    </xf>
    <xf numFmtId="0" fontId="52" fillId="24" borderId="32" xfId="0" applyFont="1" applyFill="1" applyBorder="1" applyAlignment="1">
      <alignment horizontal="center" wrapText="1"/>
    </xf>
    <xf numFmtId="0" fontId="52" fillId="24" borderId="62" xfId="0" applyFont="1" applyFill="1" applyBorder="1" applyAlignment="1">
      <alignment horizontal="center" wrapText="1"/>
    </xf>
    <xf numFmtId="0" fontId="22" fillId="20" borderId="18" xfId="0" applyFont="1" applyFill="1" applyBorder="1" applyAlignment="1">
      <alignment horizontal="left"/>
    </xf>
    <xf numFmtId="0" fontId="22" fillId="20" borderId="15" xfId="0" applyFont="1" applyFill="1" applyBorder="1" applyAlignment="1">
      <alignment horizontal="left"/>
    </xf>
    <xf numFmtId="0" fontId="102" fillId="23" borderId="25" xfId="0" applyFont="1" applyFill="1" applyBorder="1" applyAlignment="1">
      <alignment horizontal="left" vertical="center" wrapText="1"/>
    </xf>
    <xf numFmtId="0" fontId="102" fillId="23" borderId="43" xfId="0" applyFont="1" applyFill="1" applyBorder="1" applyAlignment="1">
      <alignment horizontal="left" vertical="center" wrapText="1"/>
    </xf>
    <xf numFmtId="0" fontId="22" fillId="42" borderId="32" xfId="0" applyFont="1" applyFill="1" applyBorder="1" applyAlignment="1">
      <alignment horizontal="left" wrapText="1"/>
    </xf>
    <xf numFmtId="0" fontId="22" fillId="42" borderId="56" xfId="0" applyFont="1" applyFill="1" applyBorder="1" applyAlignment="1">
      <alignment horizontal="left" wrapText="1"/>
    </xf>
    <xf numFmtId="0" fontId="22" fillId="42" borderId="62" xfId="0" applyFont="1" applyFill="1" applyBorder="1" applyAlignment="1">
      <alignment horizontal="left" wrapText="1"/>
    </xf>
    <xf numFmtId="0" fontId="80" fillId="42" borderId="32" xfId="0" applyFont="1" applyFill="1" applyBorder="1" applyAlignment="1">
      <alignment vertical="center" shrinkToFit="1"/>
    </xf>
    <xf numFmtId="0" fontId="194" fillId="42" borderId="56" xfId="0" applyFont="1" applyFill="1" applyBorder="1" applyAlignment="1">
      <alignment vertical="center" shrinkToFit="1"/>
    </xf>
    <xf numFmtId="1" fontId="27" fillId="42" borderId="30" xfId="0" applyNumberFormat="1" applyFont="1" applyFill="1" applyBorder="1" applyAlignment="1">
      <alignment horizontal="left" vertical="center" wrapText="1"/>
    </xf>
    <xf numFmtId="1" fontId="27" fillId="42" borderId="16" xfId="0" applyNumberFormat="1" applyFont="1" applyFill="1" applyBorder="1" applyAlignment="1">
      <alignment horizontal="left" vertical="center" wrapText="1"/>
    </xf>
    <xf numFmtId="1" fontId="27" fillId="42" borderId="76" xfId="0" applyNumberFormat="1" applyFont="1" applyFill="1" applyBorder="1" applyAlignment="1">
      <alignment horizontal="left" vertical="center" wrapText="1"/>
    </xf>
    <xf numFmtId="0" fontId="102" fillId="88" borderId="29" xfId="0" applyFont="1" applyFill="1" applyBorder="1" applyAlignment="1">
      <alignment horizontal="left" vertical="center" wrapText="1"/>
    </xf>
    <xf numFmtId="0" fontId="102" fillId="88" borderId="88" xfId="0" applyFont="1" applyFill="1" applyBorder="1" applyAlignment="1">
      <alignment horizontal="left" vertical="center" wrapText="1"/>
    </xf>
    <xf numFmtId="0" fontId="52" fillId="88" borderId="4" xfId="0" applyFont="1" applyFill="1" applyBorder="1" applyAlignment="1">
      <alignment horizontal="left"/>
    </xf>
    <xf numFmtId="0" fontId="52" fillId="88" borderId="88" xfId="0" applyFont="1" applyFill="1" applyBorder="1" applyAlignment="1">
      <alignment horizontal="left"/>
    </xf>
    <xf numFmtId="0" fontId="24" fillId="3" borderId="28" xfId="0" applyFont="1" applyFill="1" applyBorder="1" applyAlignment="1">
      <alignment horizontal="left" wrapText="1"/>
    </xf>
    <xf numFmtId="0" fontId="24" fillId="3" borderId="20" xfId="0" applyFont="1" applyFill="1" applyBorder="1" applyAlignment="1">
      <alignment horizontal="left" wrapText="1"/>
    </xf>
    <xf numFmtId="0" fontId="24" fillId="3" borderId="15" xfId="0" applyFont="1" applyFill="1" applyBorder="1" applyAlignment="1">
      <alignment horizontal="left" wrapText="1"/>
    </xf>
    <xf numFmtId="0" fontId="64" fillId="3" borderId="30" xfId="0" applyFont="1" applyFill="1" applyBorder="1" applyAlignment="1">
      <alignment vertical="top" wrapText="1"/>
    </xf>
    <xf numFmtId="0" fontId="64" fillId="3" borderId="76" xfId="0" applyFont="1" applyFill="1" applyBorder="1" applyAlignment="1">
      <alignment vertical="top" wrapText="1"/>
    </xf>
    <xf numFmtId="0" fontId="102" fillId="54" borderId="37" xfId="0" applyFont="1" applyFill="1" applyBorder="1" applyAlignment="1">
      <alignment horizontal="left" vertical="center" wrapText="1"/>
    </xf>
    <xf numFmtId="0" fontId="102" fillId="54" borderId="38" xfId="0" applyFont="1" applyFill="1" applyBorder="1" applyAlignment="1">
      <alignment horizontal="left" vertical="center" wrapText="1"/>
    </xf>
    <xf numFmtId="0" fontId="102" fillId="46" borderId="37" xfId="0" applyFont="1" applyFill="1" applyBorder="1" applyAlignment="1">
      <alignment horizontal="left" vertical="center" wrapText="1" indent="1"/>
    </xf>
    <xf numFmtId="0" fontId="102" fillId="46" borderId="2" xfId="0" applyFont="1" applyFill="1" applyBorder="1" applyAlignment="1">
      <alignment horizontal="left" vertical="center" wrapText="1" indent="1"/>
    </xf>
    <xf numFmtId="0" fontId="22" fillId="0" borderId="53" xfId="0" applyFont="1" applyFill="1" applyBorder="1" applyAlignment="1">
      <alignment horizontal="left"/>
    </xf>
    <xf numFmtId="0" fontId="22" fillId="0" borderId="46" xfId="0" applyFont="1" applyFill="1" applyBorder="1" applyAlignment="1">
      <alignment horizontal="left"/>
    </xf>
    <xf numFmtId="0" fontId="0" fillId="0" borderId="33" xfId="0" applyBorder="1" applyAlignment="1">
      <alignment horizontal="center"/>
    </xf>
    <xf numFmtId="0" fontId="0" fillId="0" borderId="64" xfId="0" applyBorder="1" applyAlignment="1">
      <alignment horizontal="center"/>
    </xf>
    <xf numFmtId="0" fontId="53" fillId="20" borderId="18" xfId="0" applyFont="1" applyFill="1" applyBorder="1" applyAlignment="1">
      <alignment horizontal="left" vertical="top" wrapText="1"/>
    </xf>
    <xf numFmtId="0" fontId="53" fillId="20" borderId="15" xfId="0" applyFont="1" applyFill="1" applyBorder="1" applyAlignment="1">
      <alignment horizontal="left" vertical="top" wrapText="1"/>
    </xf>
    <xf numFmtId="0" fontId="27" fillId="46" borderId="50" xfId="0" applyFont="1" applyFill="1" applyBorder="1" applyAlignment="1">
      <alignment horizontal="center" vertical="center" wrapText="1"/>
    </xf>
    <xf numFmtId="0" fontId="27" fillId="46" borderId="49" xfId="0" applyFont="1" applyFill="1" applyBorder="1" applyAlignment="1">
      <alignment horizontal="center" vertical="center" wrapText="1"/>
    </xf>
    <xf numFmtId="0" fontId="29" fillId="46" borderId="73" xfId="3" applyFill="1" applyBorder="1" applyAlignment="1" applyProtection="1">
      <alignment horizontal="center" vertical="center"/>
    </xf>
    <xf numFmtId="0" fontId="29" fillId="46" borderId="89" xfId="3" applyFill="1" applyBorder="1" applyAlignment="1" applyProtection="1">
      <alignment horizontal="center" vertical="center"/>
    </xf>
    <xf numFmtId="0" fontId="29" fillId="46" borderId="17" xfId="3" applyFill="1" applyBorder="1" applyAlignment="1" applyProtection="1">
      <alignment horizontal="center" vertical="center"/>
    </xf>
    <xf numFmtId="0" fontId="29" fillId="46" borderId="43" xfId="3" applyFill="1" applyBorder="1" applyAlignment="1" applyProtection="1">
      <alignment horizontal="center" vertical="center"/>
    </xf>
    <xf numFmtId="0" fontId="102" fillId="23" borderId="115" xfId="0" applyFont="1" applyFill="1" applyBorder="1" applyAlignment="1">
      <alignment horizontal="left" vertical="center" wrapText="1"/>
    </xf>
    <xf numFmtId="0" fontId="102" fillId="23" borderId="106" xfId="0" applyFont="1" applyFill="1" applyBorder="1" applyAlignment="1">
      <alignment horizontal="left" vertical="center" wrapText="1"/>
    </xf>
    <xf numFmtId="0" fontId="95" fillId="44" borderId="60" xfId="0" applyNumberFormat="1" applyFont="1" applyFill="1" applyBorder="1" applyAlignment="1">
      <alignment horizontal="center" vertical="center"/>
    </xf>
    <xf numFmtId="0" fontId="95" fillId="44" borderId="71" xfId="0" applyNumberFormat="1" applyFont="1" applyFill="1" applyBorder="1" applyAlignment="1">
      <alignment horizontal="center" vertical="center"/>
    </xf>
    <xf numFmtId="0" fontId="28" fillId="44" borderId="32" xfId="0" applyFont="1" applyFill="1" applyBorder="1" applyAlignment="1">
      <alignment horizontal="center" vertical="center"/>
    </xf>
    <xf numFmtId="0" fontId="28" fillId="44" borderId="56" xfId="0" applyFont="1" applyFill="1" applyBorder="1" applyAlignment="1">
      <alignment horizontal="center" vertical="center"/>
    </xf>
    <xf numFmtId="0" fontId="28" fillId="44" borderId="62" xfId="0" applyFont="1" applyFill="1" applyBorder="1" applyAlignment="1">
      <alignment horizontal="center" vertical="center"/>
    </xf>
    <xf numFmtId="0" fontId="266" fillId="0" borderId="0" xfId="0" applyFont="1" applyAlignment="1">
      <alignment horizontal="center" vertical="center" wrapText="1"/>
    </xf>
    <xf numFmtId="0" fontId="31" fillId="41" borderId="37" xfId="0" applyFont="1" applyFill="1" applyBorder="1" applyAlignment="1">
      <alignment horizontal="center" vertical="center" wrapText="1"/>
    </xf>
    <xf numFmtId="0" fontId="31" fillId="41" borderId="38" xfId="0" applyFont="1" applyFill="1" applyBorder="1" applyAlignment="1">
      <alignment horizontal="center" vertical="center" wrapText="1"/>
    </xf>
    <xf numFmtId="0" fontId="31" fillId="40" borderId="32" xfId="0" applyFont="1" applyFill="1" applyBorder="1" applyAlignment="1">
      <alignment horizontal="left" vertical="center" wrapText="1"/>
    </xf>
    <xf numFmtId="0" fontId="31" fillId="40" borderId="56" xfId="0" applyFont="1" applyFill="1" applyBorder="1" applyAlignment="1">
      <alignment horizontal="left" vertical="center" wrapText="1"/>
    </xf>
    <xf numFmtId="0" fontId="31" fillId="40" borderId="62" xfId="0" applyFont="1" applyFill="1" applyBorder="1" applyAlignment="1">
      <alignment horizontal="left" vertical="center" wrapText="1"/>
    </xf>
    <xf numFmtId="0" fontId="31" fillId="40" borderId="109" xfId="0" applyFont="1" applyFill="1" applyBorder="1" applyAlignment="1">
      <alignment horizontal="left" vertical="center" wrapText="1"/>
    </xf>
    <xf numFmtId="0" fontId="31" fillId="40" borderId="116" xfId="0" applyFont="1" applyFill="1" applyBorder="1" applyAlignment="1">
      <alignment horizontal="left" vertical="center" wrapText="1"/>
    </xf>
    <xf numFmtId="0" fontId="31" fillId="40" borderId="117" xfId="0" applyFont="1" applyFill="1" applyBorder="1" applyAlignment="1">
      <alignment horizontal="left" vertical="center" wrapText="1"/>
    </xf>
    <xf numFmtId="0" fontId="31" fillId="40" borderId="128" xfId="0" applyFont="1" applyFill="1" applyBorder="1" applyAlignment="1">
      <alignment horizontal="left" vertical="center" wrapText="1"/>
    </xf>
    <xf numFmtId="0" fontId="31" fillId="40" borderId="127" xfId="0" applyFont="1" applyFill="1" applyBorder="1" applyAlignment="1">
      <alignment horizontal="left" vertical="center" wrapText="1"/>
    </xf>
    <xf numFmtId="0" fontId="31" fillId="40" borderId="131" xfId="0" applyFont="1" applyFill="1" applyBorder="1" applyAlignment="1">
      <alignment horizontal="left" vertical="center" wrapText="1"/>
    </xf>
    <xf numFmtId="0" fontId="31" fillId="31" borderId="60" xfId="0" applyFont="1" applyFill="1" applyBorder="1" applyAlignment="1">
      <alignment vertical="top" wrapText="1"/>
    </xf>
    <xf numFmtId="0" fontId="31" fillId="31" borderId="75" xfId="0" applyFont="1" applyFill="1" applyBorder="1" applyAlignment="1">
      <alignment vertical="top" wrapText="1"/>
    </xf>
    <xf numFmtId="0" fontId="27" fillId="31" borderId="115" xfId="0" applyFont="1" applyFill="1" applyBorder="1" applyAlignment="1">
      <alignment vertical="top" wrapText="1"/>
    </xf>
    <xf numFmtId="0" fontId="27" fillId="31" borderId="105" xfId="0" applyFont="1" applyFill="1" applyBorder="1" applyAlignment="1">
      <alignment vertical="top" wrapText="1"/>
    </xf>
    <xf numFmtId="0" fontId="27" fillId="31" borderId="119" xfId="0" applyFont="1" applyFill="1" applyBorder="1" applyAlignment="1">
      <alignment vertical="top" wrapText="1"/>
    </xf>
    <xf numFmtId="0" fontId="24" fillId="0" borderId="55" xfId="0" applyFont="1" applyFill="1" applyBorder="1" applyAlignment="1">
      <alignment vertical="top" wrapText="1"/>
    </xf>
    <xf numFmtId="0" fontId="24" fillId="0" borderId="47" xfId="0" applyFont="1" applyFill="1" applyBorder="1" applyAlignment="1">
      <alignment vertical="top" wrapText="1"/>
    </xf>
    <xf numFmtId="0" fontId="24" fillId="0" borderId="1" xfId="0" applyFont="1" applyFill="1" applyBorder="1" applyAlignment="1">
      <alignment vertical="top" wrapText="1"/>
    </xf>
    <xf numFmtId="0" fontId="24" fillId="0" borderId="41" xfId="0" applyFont="1" applyFill="1" applyBorder="1" applyAlignment="1">
      <alignment vertical="top" wrapText="1"/>
    </xf>
    <xf numFmtId="0" fontId="25" fillId="0" borderId="28" xfId="0" applyFont="1" applyBorder="1" applyAlignment="1">
      <alignment horizontal="left" wrapText="1"/>
    </xf>
    <xf numFmtId="0" fontId="64" fillId="0" borderId="116" xfId="0" applyFont="1" applyBorder="1" applyAlignment="1">
      <alignment horizontal="left" wrapText="1"/>
    </xf>
    <xf numFmtId="0" fontId="64" fillId="0" borderId="117" xfId="0" applyFont="1" applyBorder="1" applyAlignment="1">
      <alignment horizontal="left" wrapText="1"/>
    </xf>
    <xf numFmtId="0" fontId="24" fillId="0" borderId="1" xfId="0" applyFont="1" applyBorder="1" applyAlignment="1">
      <alignment vertical="top" wrapText="1"/>
    </xf>
    <xf numFmtId="0" fontId="24" fillId="0" borderId="41" xfId="0" applyFont="1" applyBorder="1" applyAlignment="1">
      <alignment vertical="top" wrapText="1"/>
    </xf>
    <xf numFmtId="0" fontId="24" fillId="0" borderId="5" xfId="0" applyFont="1" applyBorder="1" applyAlignment="1">
      <alignment vertical="top" wrapText="1"/>
    </xf>
    <xf numFmtId="0" fontId="24" fillId="0" borderId="69" xfId="0" applyFont="1" applyBorder="1" applyAlignment="1">
      <alignment vertical="top" wrapText="1"/>
    </xf>
    <xf numFmtId="0" fontId="42" fillId="0" borderId="20" xfId="0" applyFont="1" applyBorder="1" applyAlignment="1">
      <alignment vertical="top" wrapText="1"/>
    </xf>
    <xf numFmtId="0" fontId="42" fillId="0" borderId="116" xfId="0" applyFont="1" applyBorder="1" applyAlignment="1">
      <alignment vertical="top" wrapText="1"/>
    </xf>
    <xf numFmtId="0" fontId="31" fillId="41" borderId="37" xfId="0" applyFont="1" applyFill="1" applyBorder="1" applyAlignment="1">
      <alignment horizontal="center" vertical="top"/>
    </xf>
    <xf numFmtId="0" fontId="31" fillId="41" borderId="38" xfId="0" applyFont="1" applyFill="1" applyBorder="1" applyAlignment="1">
      <alignment horizontal="center" vertical="top"/>
    </xf>
    <xf numFmtId="0" fontId="31" fillId="41" borderId="2" xfId="0" applyFont="1" applyFill="1" applyBorder="1" applyAlignment="1">
      <alignment horizontal="center" vertical="top"/>
    </xf>
    <xf numFmtId="0" fontId="113" fillId="46" borderId="37" xfId="0" applyFont="1" applyFill="1" applyBorder="1" applyAlignment="1">
      <alignment horizontal="center" vertical="center" wrapText="1"/>
    </xf>
    <xf numFmtId="0" fontId="113" fillId="46" borderId="38" xfId="0" applyFont="1" applyFill="1" applyBorder="1" applyAlignment="1">
      <alignment horizontal="center" vertical="center" wrapText="1"/>
    </xf>
    <xf numFmtId="0" fontId="113" fillId="46" borderId="2" xfId="0" applyFont="1" applyFill="1" applyBorder="1" applyAlignment="1">
      <alignment horizontal="center" vertical="center" wrapText="1"/>
    </xf>
    <xf numFmtId="0" fontId="54" fillId="31" borderId="37" xfId="0" applyFont="1" applyFill="1" applyBorder="1" applyAlignment="1">
      <alignment vertical="top" wrapText="1"/>
    </xf>
    <xf numFmtId="0" fontId="54" fillId="31" borderId="38" xfId="0" applyFont="1" applyFill="1" applyBorder="1" applyAlignment="1">
      <alignment vertical="top" wrapText="1"/>
    </xf>
    <xf numFmtId="0" fontId="114" fillId="90" borderId="109" xfId="0" applyFont="1" applyFill="1" applyBorder="1" applyAlignment="1">
      <alignment vertical="top" wrapText="1"/>
    </xf>
    <xf numFmtId="0" fontId="114" fillId="90" borderId="116" xfId="0" applyFont="1" applyFill="1" applyBorder="1" applyAlignment="1">
      <alignment vertical="top" wrapText="1"/>
    </xf>
    <xf numFmtId="0" fontId="42" fillId="0" borderId="26" xfId="0" applyFont="1" applyBorder="1" applyAlignment="1">
      <alignment vertical="top" wrapText="1"/>
    </xf>
    <xf numFmtId="0" fontId="42" fillId="0" borderId="27" xfId="0" applyFont="1" applyBorder="1" applyAlignment="1">
      <alignment vertical="top" wrapText="1"/>
    </xf>
    <xf numFmtId="0" fontId="43" fillId="0" borderId="18" xfId="0" applyFont="1" applyBorder="1" applyAlignment="1">
      <alignment vertical="top" wrapText="1"/>
    </xf>
    <xf numFmtId="0" fontId="43" fillId="0" borderId="20" xfId="0" applyFont="1" applyBorder="1" applyAlignment="1">
      <alignment vertical="top" wrapText="1"/>
    </xf>
    <xf numFmtId="0" fontId="43" fillId="0" borderId="107" xfId="0" applyFont="1" applyBorder="1" applyAlignment="1">
      <alignment horizontal="center" vertical="top" wrapText="1"/>
    </xf>
    <xf numFmtId="0" fontId="43" fillId="0" borderId="105" xfId="0" applyFont="1" applyBorder="1" applyAlignment="1">
      <alignment horizontal="center" vertical="top" wrapText="1"/>
    </xf>
    <xf numFmtId="0" fontId="42" fillId="46" borderId="77" xfId="0" applyFont="1" applyFill="1" applyBorder="1" applyAlignment="1">
      <alignment horizontal="right" wrapText="1"/>
    </xf>
    <xf numFmtId="0" fontId="42" fillId="46" borderId="13" xfId="0" applyFont="1" applyFill="1" applyBorder="1" applyAlignment="1">
      <alignment horizontal="right" wrapText="1"/>
    </xf>
    <xf numFmtId="0" fontId="24" fillId="27" borderId="116" xfId="0" applyNumberFormat="1" applyFont="1" applyFill="1" applyBorder="1" applyAlignment="1">
      <alignment horizontal="center" vertical="top" wrapText="1"/>
    </xf>
    <xf numFmtId="0" fontId="24" fillId="27" borderId="117" xfId="0" applyNumberFormat="1" applyFont="1" applyFill="1" applyBorder="1" applyAlignment="1">
      <alignment horizontal="center" vertical="top" wrapText="1"/>
    </xf>
    <xf numFmtId="0" fontId="23" fillId="29" borderId="127" xfId="0" applyFont="1" applyFill="1" applyBorder="1" applyAlignment="1">
      <alignment horizontal="center"/>
    </xf>
    <xf numFmtId="0" fontId="23" fillId="29" borderId="75" xfId="0" applyFont="1" applyFill="1" applyBorder="1" applyAlignment="1">
      <alignment horizontal="center"/>
    </xf>
    <xf numFmtId="0" fontId="31" fillId="41" borderId="4" xfId="0" applyFont="1" applyFill="1" applyBorder="1" applyAlignment="1">
      <alignment horizontal="center" vertical="top"/>
    </xf>
    <xf numFmtId="0" fontId="31" fillId="41" borderId="0" xfId="0" applyFont="1" applyFill="1" applyBorder="1" applyAlignment="1">
      <alignment horizontal="center" vertical="top"/>
    </xf>
    <xf numFmtId="0" fontId="95" fillId="41" borderId="7" xfId="0" applyFont="1" applyFill="1" applyBorder="1" applyAlignment="1">
      <alignment horizontal="center" vertical="center" wrapText="1"/>
    </xf>
    <xf numFmtId="0" fontId="95" fillId="41" borderId="13" xfId="0" applyFont="1" applyFill="1" applyBorder="1" applyAlignment="1">
      <alignment horizontal="center" vertical="center" wrapText="1"/>
    </xf>
    <xf numFmtId="0" fontId="91" fillId="0" borderId="0" xfId="0" applyFont="1" applyAlignment="1">
      <alignment horizontal="left" vertical="top" wrapText="1"/>
    </xf>
    <xf numFmtId="0" fontId="64" fillId="0" borderId="0" xfId="0" applyFont="1" applyAlignment="1">
      <alignment horizontal="left" vertical="top"/>
    </xf>
    <xf numFmtId="0" fontId="0" fillId="0" borderId="21" xfId="0" applyBorder="1" applyAlignment="1">
      <alignment horizontal="center" wrapText="1"/>
    </xf>
    <xf numFmtId="0" fontId="0" fillId="0" borderId="1" xfId="0" applyBorder="1" applyAlignment="1">
      <alignment horizontal="center" wrapText="1"/>
    </xf>
    <xf numFmtId="0" fontId="0" fillId="0" borderId="41" xfId="0" applyBorder="1" applyAlignment="1">
      <alignment horizontal="center" wrapText="1"/>
    </xf>
    <xf numFmtId="0" fontId="66" fillId="0" borderId="1" xfId="0" applyFont="1" applyFill="1" applyBorder="1" applyAlignment="1">
      <alignment horizontal="center" wrapText="1"/>
    </xf>
    <xf numFmtId="0" fontId="22" fillId="0" borderId="24" xfId="0" applyFont="1" applyBorder="1" applyAlignment="1">
      <alignment horizontal="left"/>
    </xf>
    <xf numFmtId="0" fontId="22" fillId="0" borderId="54" xfId="0" applyFont="1" applyBorder="1" applyAlignment="1">
      <alignment horizontal="left"/>
    </xf>
    <xf numFmtId="0" fontId="22" fillId="0" borderId="48" xfId="0" applyFont="1" applyBorder="1" applyAlignment="1">
      <alignment horizontal="left"/>
    </xf>
    <xf numFmtId="0" fontId="0" fillId="31" borderId="55" xfId="0" applyFill="1" applyBorder="1" applyAlignment="1">
      <alignment horizontal="center"/>
    </xf>
    <xf numFmtId="0" fontId="0" fillId="31" borderId="47" xfId="0" applyFill="1" applyBorder="1" applyAlignment="1">
      <alignment horizontal="center"/>
    </xf>
    <xf numFmtId="0" fontId="66" fillId="0" borderId="6" xfId="0" applyFont="1" applyFill="1" applyBorder="1" applyAlignment="1">
      <alignment horizontal="center" wrapText="1"/>
    </xf>
    <xf numFmtId="0" fontId="66" fillId="0" borderId="74" xfId="0" applyFont="1" applyFill="1" applyBorder="1" applyAlignment="1">
      <alignment horizontal="center" wrapText="1"/>
    </xf>
    <xf numFmtId="0" fontId="66" fillId="0" borderId="41" xfId="0" applyFont="1" applyFill="1" applyBorder="1" applyAlignment="1">
      <alignment horizontal="center" wrapText="1"/>
    </xf>
    <xf numFmtId="0" fontId="66" fillId="31" borderId="112" xfId="0" quotePrefix="1" applyFont="1" applyFill="1" applyBorder="1" applyAlignment="1">
      <alignment wrapText="1"/>
    </xf>
    <xf numFmtId="0" fontId="66" fillId="31" borderId="44" xfId="0" applyFont="1" applyFill="1" applyBorder="1" applyAlignment="1">
      <alignment wrapText="1"/>
    </xf>
    <xf numFmtId="0" fontId="66" fillId="31" borderId="53" xfId="0" applyFont="1" applyFill="1" applyBorder="1" applyAlignment="1">
      <alignment wrapText="1"/>
    </xf>
    <xf numFmtId="0" fontId="66" fillId="31" borderId="58" xfId="0" applyFont="1" applyFill="1" applyBorder="1" applyAlignment="1">
      <alignment wrapText="1"/>
    </xf>
    <xf numFmtId="0" fontId="22" fillId="0" borderId="23" xfId="0" applyFont="1" applyBorder="1" applyAlignment="1">
      <alignment horizontal="left"/>
    </xf>
    <xf numFmtId="0" fontId="22" fillId="0" borderId="55" xfId="0" applyFont="1" applyBorder="1" applyAlignment="1">
      <alignment horizontal="left"/>
    </xf>
    <xf numFmtId="0" fontId="66" fillId="31" borderId="23" xfId="0" quotePrefix="1" applyFont="1" applyFill="1" applyBorder="1" applyAlignment="1">
      <alignment wrapText="1"/>
    </xf>
    <xf numFmtId="0" fontId="66" fillId="31" borderId="55" xfId="0" applyFont="1" applyFill="1" applyBorder="1" applyAlignment="1">
      <alignment wrapText="1"/>
    </xf>
    <xf numFmtId="0" fontId="66" fillId="31" borderId="32" xfId="0" applyFont="1" applyFill="1" applyBorder="1" applyAlignment="1">
      <alignment wrapText="1"/>
    </xf>
    <xf numFmtId="0" fontId="66" fillId="31" borderId="47" xfId="0" applyFont="1" applyFill="1" applyBorder="1" applyAlignment="1">
      <alignment wrapText="1"/>
    </xf>
    <xf numFmtId="0" fontId="66" fillId="31" borderId="37" xfId="0" quotePrefix="1" applyFont="1" applyFill="1" applyBorder="1" applyAlignment="1">
      <alignment horizontal="left" wrapText="1"/>
    </xf>
    <xf numFmtId="0" fontId="66" fillId="31" borderId="38" xfId="0" quotePrefix="1" applyFont="1" applyFill="1" applyBorder="1" applyAlignment="1">
      <alignment horizontal="left" wrapText="1"/>
    </xf>
    <xf numFmtId="0" fontId="66" fillId="31" borderId="2" xfId="0" quotePrefix="1" applyFont="1" applyFill="1" applyBorder="1" applyAlignment="1">
      <alignment horizontal="left" wrapText="1"/>
    </xf>
    <xf numFmtId="0" fontId="0" fillId="31" borderId="37" xfId="0" applyFill="1" applyBorder="1" applyAlignment="1">
      <alignment horizontal="center"/>
    </xf>
    <xf numFmtId="0" fontId="0" fillId="31" borderId="38" xfId="0" applyFill="1" applyBorder="1" applyAlignment="1">
      <alignment horizontal="center"/>
    </xf>
    <xf numFmtId="0" fontId="0" fillId="31" borderId="2" xfId="0" applyFill="1" applyBorder="1" applyAlignment="1">
      <alignment horizontal="center"/>
    </xf>
    <xf numFmtId="0" fontId="22" fillId="34" borderId="5" xfId="0" applyFont="1" applyFill="1" applyBorder="1"/>
    <xf numFmtId="0" fontId="66" fillId="31" borderId="42" xfId="0" quotePrefix="1" applyFont="1" applyFill="1" applyBorder="1" applyAlignment="1">
      <alignment horizontal="left" wrapText="1"/>
    </xf>
    <xf numFmtId="0" fontId="66" fillId="31" borderId="39" xfId="0" quotePrefix="1" applyFont="1" applyFill="1" applyBorder="1" applyAlignment="1">
      <alignment horizontal="left" wrapText="1"/>
    </xf>
    <xf numFmtId="0" fontId="66" fillId="31" borderId="0" xfId="0" quotePrefix="1" applyFont="1" applyFill="1" applyBorder="1" applyAlignment="1">
      <alignment horizontal="left" wrapText="1"/>
    </xf>
    <xf numFmtId="0" fontId="66" fillId="31" borderId="40" xfId="0" quotePrefix="1" applyFont="1" applyFill="1" applyBorder="1" applyAlignment="1">
      <alignment horizontal="left" wrapText="1"/>
    </xf>
    <xf numFmtId="0" fontId="35" fillId="23" borderId="44" xfId="0" applyFont="1" applyFill="1" applyBorder="1" applyAlignment="1">
      <alignment horizontal="left" wrapText="1"/>
    </xf>
    <xf numFmtId="0" fontId="35" fillId="23" borderId="58" xfId="0" applyFont="1" applyFill="1" applyBorder="1" applyAlignment="1">
      <alignment horizontal="left" wrapText="1"/>
    </xf>
    <xf numFmtId="0" fontId="22" fillId="34" borderId="1" xfId="0" applyFont="1" applyFill="1" applyBorder="1"/>
    <xf numFmtId="0" fontId="31" fillId="41" borderId="53" xfId="0" applyFont="1" applyFill="1" applyBorder="1" applyAlignment="1">
      <alignment horizontal="left" vertical="center"/>
    </xf>
    <xf numFmtId="0" fontId="31" fillId="41" borderId="38" xfId="0" applyFont="1" applyFill="1" applyBorder="1" applyAlignment="1">
      <alignment horizontal="left" vertical="center"/>
    </xf>
    <xf numFmtId="0" fontId="31" fillId="41" borderId="2" xfId="0" applyFont="1" applyFill="1" applyBorder="1" applyAlignment="1">
      <alignment horizontal="left" vertical="center"/>
    </xf>
    <xf numFmtId="0" fontId="66" fillId="31" borderId="37" xfId="0" applyFont="1" applyFill="1" applyBorder="1" applyAlignment="1">
      <alignment wrapText="1"/>
    </xf>
    <xf numFmtId="0" fontId="66" fillId="31" borderId="38" xfId="0" applyFont="1" applyFill="1" applyBorder="1" applyAlignment="1">
      <alignment wrapText="1"/>
    </xf>
    <xf numFmtId="0" fontId="66" fillId="31" borderId="2" xfId="0" applyFont="1" applyFill="1" applyBorder="1" applyAlignment="1">
      <alignment wrapText="1"/>
    </xf>
    <xf numFmtId="0" fontId="0" fillId="34" borderId="32" xfId="0" applyFill="1" applyBorder="1" applyAlignment="1">
      <alignment horizontal="left"/>
    </xf>
    <xf numFmtId="0" fontId="0" fillId="34" borderId="56" xfId="0" applyFill="1" applyBorder="1" applyAlignment="1">
      <alignment horizontal="left"/>
    </xf>
    <xf numFmtId="0" fontId="0" fillId="34" borderId="62" xfId="0" applyFill="1" applyBorder="1" applyAlignment="1">
      <alignment horizontal="left"/>
    </xf>
    <xf numFmtId="0" fontId="0" fillId="3" borderId="109" xfId="0" applyFill="1" applyBorder="1" applyProtection="1">
      <protection locked="0"/>
    </xf>
    <xf numFmtId="0" fontId="0" fillId="3" borderId="117" xfId="0" applyFill="1" applyBorder="1" applyProtection="1">
      <protection locked="0"/>
    </xf>
    <xf numFmtId="0" fontId="142" fillId="0" borderId="109" xfId="0" applyFont="1" applyFill="1" applyBorder="1" applyAlignment="1" applyProtection="1">
      <alignment horizontal="left" wrapText="1"/>
      <protection locked="0"/>
    </xf>
    <xf numFmtId="0" fontId="142" fillId="0" borderId="117" xfId="0" applyFont="1" applyFill="1" applyBorder="1" applyAlignment="1" applyProtection="1">
      <alignment horizontal="left" wrapText="1"/>
      <protection locked="0"/>
    </xf>
    <xf numFmtId="0" fontId="204" fillId="45" borderId="109" xfId="0" applyFont="1" applyFill="1" applyBorder="1" applyAlignment="1" applyProtection="1">
      <alignment horizontal="left" wrapText="1"/>
      <protection locked="0"/>
    </xf>
    <xf numFmtId="0" fontId="204" fillId="45" borderId="117" xfId="0" applyFont="1" applyFill="1" applyBorder="1" applyAlignment="1" applyProtection="1">
      <alignment horizontal="left" wrapText="1"/>
      <protection locked="0"/>
    </xf>
    <xf numFmtId="0" fontId="95" fillId="45" borderId="109" xfId="0" applyFont="1" applyFill="1" applyBorder="1" applyAlignment="1" applyProtection="1">
      <alignment horizontal="left" wrapText="1"/>
      <protection locked="0"/>
    </xf>
    <xf numFmtId="0" fontId="95" fillId="45" borderId="117" xfId="0" applyFont="1" applyFill="1" applyBorder="1" applyAlignment="1" applyProtection="1">
      <alignment horizontal="left" wrapText="1"/>
      <protection locked="0"/>
    </xf>
    <xf numFmtId="0" fontId="42" fillId="4" borderId="32" xfId="0" applyFont="1" applyFill="1" applyBorder="1" applyAlignment="1" applyProtection="1">
      <alignment horizontal="center" wrapText="1"/>
      <protection locked="0"/>
    </xf>
    <xf numFmtId="0" fontId="42" fillId="4" borderId="57" xfId="0" applyFont="1" applyFill="1" applyBorder="1" applyAlignment="1" applyProtection="1">
      <alignment horizontal="center" wrapText="1"/>
      <protection locked="0"/>
    </xf>
    <xf numFmtId="0" fontId="142" fillId="0" borderId="109" xfId="0" applyFont="1" applyFill="1" applyBorder="1" applyAlignment="1" applyProtection="1">
      <alignment horizontal="left"/>
      <protection locked="0"/>
    </xf>
    <xf numFmtId="0" fontId="142" fillId="0" borderId="111" xfId="0" applyFont="1" applyFill="1" applyBorder="1" applyAlignment="1" applyProtection="1">
      <alignment horizontal="left"/>
      <protection locked="0"/>
    </xf>
    <xf numFmtId="0" fontId="142" fillId="20" borderId="109" xfId="0" applyFont="1" applyFill="1" applyBorder="1" applyAlignment="1" applyProtection="1">
      <alignment horizontal="left"/>
      <protection locked="0"/>
    </xf>
    <xf numFmtId="0" fontId="142" fillId="20" borderId="111" xfId="0" applyFont="1" applyFill="1" applyBorder="1" applyAlignment="1" applyProtection="1">
      <alignment horizontal="left"/>
      <protection locked="0"/>
    </xf>
    <xf numFmtId="0" fontId="27" fillId="3" borderId="109" xfId="0" applyFont="1" applyFill="1" applyBorder="1" applyAlignment="1" applyProtection="1">
      <alignment horizontal="center"/>
      <protection locked="0"/>
    </xf>
    <xf numFmtId="0" fontId="27" fillId="3" borderId="111" xfId="0" applyFont="1" applyFill="1" applyBorder="1" applyAlignment="1" applyProtection="1">
      <alignment horizontal="center"/>
      <protection locked="0"/>
    </xf>
    <xf numFmtId="0" fontId="187" fillId="4" borderId="32" xfId="0" applyFont="1" applyFill="1" applyBorder="1" applyAlignment="1" applyProtection="1">
      <alignment horizontal="center" wrapText="1"/>
      <protection locked="0"/>
    </xf>
    <xf numFmtId="0" fontId="187" fillId="4" borderId="62" xfId="0" applyFont="1" applyFill="1" applyBorder="1" applyAlignment="1" applyProtection="1">
      <alignment horizontal="center" wrapText="1"/>
      <protection locked="0"/>
    </xf>
    <xf numFmtId="0" fontId="142" fillId="0" borderId="109" xfId="0" applyFont="1" applyFill="1" applyBorder="1" applyAlignment="1" applyProtection="1">
      <alignment horizontal="center"/>
      <protection locked="0"/>
    </xf>
    <xf numFmtId="0" fontId="142" fillId="0" borderId="111" xfId="0" applyFont="1" applyFill="1" applyBorder="1" applyAlignment="1" applyProtection="1">
      <alignment horizontal="center"/>
      <protection locked="0"/>
    </xf>
    <xf numFmtId="0" fontId="204" fillId="45" borderId="109" xfId="0" applyFont="1" applyFill="1" applyBorder="1" applyAlignment="1" applyProtection="1">
      <alignment horizontal="center" wrapText="1"/>
      <protection locked="0"/>
    </xf>
    <xf numFmtId="0" fontId="204" fillId="45" borderId="117" xfId="0" applyFont="1" applyFill="1" applyBorder="1" applyAlignment="1" applyProtection="1">
      <alignment horizontal="center" wrapText="1"/>
      <protection locked="0"/>
    </xf>
    <xf numFmtId="0" fontId="142" fillId="0" borderId="109" xfId="0" applyFont="1" applyBorder="1" applyAlignment="1" applyProtection="1">
      <alignment horizontal="left"/>
      <protection locked="0"/>
    </xf>
    <xf numFmtId="0" fontId="142" fillId="0" borderId="111" xfId="0" applyFont="1" applyBorder="1" applyAlignment="1" applyProtection="1">
      <alignment horizontal="left"/>
      <protection locked="0"/>
    </xf>
    <xf numFmtId="0" fontId="142" fillId="0" borderId="109" xfId="0" applyFont="1" applyBorder="1" applyAlignment="1" applyProtection="1">
      <alignment horizontal="center" wrapText="1"/>
      <protection locked="0"/>
    </xf>
    <xf numFmtId="0" fontId="142" fillId="0" borderId="111" xfId="0" applyFont="1" applyBorder="1" applyAlignment="1" applyProtection="1">
      <alignment horizontal="center" wrapText="1"/>
      <protection locked="0"/>
    </xf>
    <xf numFmtId="0" fontId="95" fillId="31" borderId="109" xfId="0" applyFont="1" applyFill="1" applyBorder="1" applyAlignment="1" applyProtection="1">
      <alignment horizontal="left" wrapText="1"/>
    </xf>
    <xf numFmtId="0" fontId="95" fillId="31" borderId="111" xfId="0" applyFont="1" applyFill="1" applyBorder="1" applyAlignment="1" applyProtection="1">
      <alignment horizontal="left" wrapText="1"/>
    </xf>
    <xf numFmtId="0" fontId="150" fillId="3" borderId="107" xfId="0" applyFont="1" applyFill="1" applyBorder="1" applyAlignment="1" applyProtection="1">
      <alignment horizontal="center"/>
      <protection locked="0"/>
    </xf>
    <xf numFmtId="0" fontId="150" fillId="3" borderId="105" xfId="0" applyFont="1" applyFill="1" applyBorder="1" applyAlignment="1" applyProtection="1">
      <alignment horizontal="center"/>
      <protection locked="0"/>
    </xf>
    <xf numFmtId="0" fontId="150" fillId="3" borderId="119" xfId="0" applyFont="1" applyFill="1" applyBorder="1" applyAlignment="1" applyProtection="1">
      <alignment horizontal="center"/>
      <protection locked="0"/>
    </xf>
    <xf numFmtId="0" fontId="142" fillId="0" borderId="109" xfId="0" applyFont="1" applyBorder="1" applyAlignment="1" applyProtection="1">
      <alignment horizontal="left" wrapText="1"/>
      <protection locked="0"/>
    </xf>
    <xf numFmtId="0" fontId="142" fillId="0" borderId="111" xfId="0" applyFont="1" applyBorder="1" applyAlignment="1" applyProtection="1">
      <alignment horizontal="left" wrapText="1"/>
      <protection locked="0"/>
    </xf>
    <xf numFmtId="0" fontId="142" fillId="31" borderId="109" xfId="0" applyFont="1" applyFill="1" applyBorder="1" applyAlignment="1" applyProtection="1">
      <alignment horizontal="left" wrapText="1"/>
    </xf>
    <xf numFmtId="0" fontId="142" fillId="31" borderId="111" xfId="0" applyFont="1" applyFill="1" applyBorder="1" applyAlignment="1" applyProtection="1">
      <alignment horizontal="left" wrapText="1"/>
    </xf>
    <xf numFmtId="0" fontId="142" fillId="0" borderId="109" xfId="0" applyFont="1" applyBorder="1" applyAlignment="1" applyProtection="1">
      <alignment horizontal="center"/>
      <protection locked="0"/>
    </xf>
    <xf numFmtId="0" fontId="142" fillId="0" borderId="111" xfId="0" applyFont="1" applyBorder="1" applyAlignment="1" applyProtection="1">
      <alignment horizontal="center"/>
      <protection locked="0"/>
    </xf>
    <xf numFmtId="0" fontId="142" fillId="0" borderId="117" xfId="0" applyFont="1" applyBorder="1" applyAlignment="1" applyProtection="1">
      <alignment horizontal="left" wrapText="1"/>
      <protection locked="0"/>
    </xf>
    <xf numFmtId="0" fontId="268" fillId="45" borderId="109" xfId="0" applyFont="1" applyFill="1" applyBorder="1" applyAlignment="1" applyProtection="1">
      <alignment horizontal="left" vertical="center" wrapText="1"/>
    </xf>
    <xf numFmtId="0" fontId="268" fillId="45" borderId="117" xfId="0" applyFont="1" applyFill="1" applyBorder="1" applyAlignment="1" applyProtection="1">
      <alignment horizontal="left" vertical="center" wrapText="1"/>
    </xf>
    <xf numFmtId="0" fontId="267" fillId="20" borderId="109" xfId="0" applyFont="1" applyFill="1" applyBorder="1" applyAlignment="1" applyProtection="1">
      <alignment horizontal="left" wrapText="1"/>
    </xf>
    <xf numFmtId="0" fontId="267" fillId="20" borderId="117" xfId="0" applyFont="1" applyFill="1" applyBorder="1" applyAlignment="1" applyProtection="1">
      <alignment horizontal="left" wrapText="1"/>
    </xf>
    <xf numFmtId="0" fontId="142" fillId="45" borderId="109" xfId="0" applyFont="1" applyFill="1" applyBorder="1" applyAlignment="1" applyProtection="1">
      <alignment horizontal="left" wrapText="1"/>
      <protection locked="0"/>
    </xf>
    <xf numFmtId="0" fontId="142" fillId="45" borderId="117" xfId="0" applyFont="1" applyFill="1" applyBorder="1" applyAlignment="1" applyProtection="1">
      <alignment horizontal="left" wrapText="1"/>
      <protection locked="0"/>
    </xf>
    <xf numFmtId="0" fontId="142" fillId="0" borderId="116" xfId="0" applyFont="1" applyBorder="1" applyAlignment="1" applyProtection="1">
      <alignment horizontal="left" wrapText="1"/>
      <protection locked="0"/>
    </xf>
    <xf numFmtId="0" fontId="95" fillId="31" borderId="117" xfId="0" applyFont="1" applyFill="1" applyBorder="1" applyAlignment="1" applyProtection="1">
      <alignment horizontal="left" wrapText="1"/>
    </xf>
    <xf numFmtId="0" fontId="95" fillId="45" borderId="109" xfId="0" applyFont="1" applyFill="1" applyBorder="1" applyAlignment="1" applyProtection="1">
      <alignment horizontal="left" vertical="center" wrapText="1"/>
    </xf>
    <xf numFmtId="0" fontId="95" fillId="45" borderId="117" xfId="0" applyFont="1" applyFill="1" applyBorder="1" applyAlignment="1" applyProtection="1">
      <alignment horizontal="left" vertical="center" wrapText="1"/>
    </xf>
    <xf numFmtId="0" fontId="142" fillId="45" borderId="109" xfId="0" applyFont="1" applyFill="1" applyBorder="1" applyAlignment="1" applyProtection="1">
      <alignment horizontal="left" wrapText="1"/>
    </xf>
    <xf numFmtId="0" fontId="142" fillId="45" borderId="117" xfId="0" applyFont="1" applyFill="1" applyBorder="1" applyAlignment="1" applyProtection="1">
      <alignment horizontal="left" wrapText="1"/>
    </xf>
    <xf numFmtId="0" fontId="244" fillId="31" borderId="109" xfId="0" applyFont="1" applyFill="1" applyBorder="1" applyAlignment="1" applyProtection="1">
      <alignment horizontal="left" wrapText="1"/>
      <protection locked="0"/>
    </xf>
    <xf numFmtId="0" fontId="244" fillId="31" borderId="117" xfId="0" applyFont="1" applyFill="1" applyBorder="1" applyAlignment="1" applyProtection="1">
      <alignment horizontal="left" wrapText="1"/>
      <protection locked="0"/>
    </xf>
    <xf numFmtId="0" fontId="27" fillId="46" borderId="37" xfId="0" applyFont="1" applyFill="1" applyBorder="1" applyAlignment="1" applyProtection="1">
      <alignment horizontal="left" vertical="center"/>
    </xf>
    <xf numFmtId="0" fontId="27" fillId="46" borderId="38" xfId="0" applyFont="1" applyFill="1" applyBorder="1" applyAlignment="1" applyProtection="1">
      <alignment horizontal="left" vertical="center"/>
    </xf>
    <xf numFmtId="0" fontId="27" fillId="46" borderId="2" xfId="0" applyFont="1" applyFill="1" applyBorder="1" applyAlignment="1" applyProtection="1">
      <alignment horizontal="left" vertical="center"/>
    </xf>
    <xf numFmtId="0" fontId="31" fillId="44" borderId="37" xfId="0" applyFont="1" applyFill="1" applyBorder="1" applyAlignment="1" applyProtection="1">
      <alignment horizontal="center" vertical="center"/>
    </xf>
    <xf numFmtId="0" fontId="31" fillId="44" borderId="38" xfId="0" applyFont="1" applyFill="1" applyBorder="1" applyAlignment="1" applyProtection="1">
      <alignment horizontal="center" vertical="center"/>
    </xf>
    <xf numFmtId="0" fontId="27" fillId="48" borderId="37" xfId="0" applyFont="1" applyFill="1" applyBorder="1" applyAlignment="1" applyProtection="1">
      <alignment horizontal="center"/>
    </xf>
    <xf numFmtId="0" fontId="27" fillId="48" borderId="2" xfId="0" applyFont="1" applyFill="1" applyBorder="1" applyAlignment="1" applyProtection="1">
      <alignment horizontal="center"/>
    </xf>
    <xf numFmtId="0" fontId="39" fillId="4" borderId="67" xfId="0" applyFont="1" applyFill="1" applyBorder="1" applyAlignment="1">
      <alignment horizontal="center" vertical="center" wrapText="1"/>
    </xf>
    <xf numFmtId="0" fontId="39" fillId="4" borderId="12" xfId="0" applyFont="1" applyFill="1" applyBorder="1" applyAlignment="1">
      <alignment horizontal="center" vertical="center" wrapText="1"/>
    </xf>
    <xf numFmtId="0" fontId="27" fillId="45" borderId="37" xfId="0" applyFont="1" applyFill="1" applyBorder="1" applyAlignment="1" applyProtection="1">
      <alignment horizontal="left" indent="2"/>
    </xf>
    <xf numFmtId="0" fontId="27" fillId="45" borderId="38" xfId="0" applyFont="1" applyFill="1" applyBorder="1" applyAlignment="1" applyProtection="1">
      <alignment horizontal="left" indent="2"/>
    </xf>
    <xf numFmtId="0" fontId="27" fillId="45" borderId="46" xfId="0" applyFont="1" applyFill="1" applyBorder="1" applyAlignment="1" applyProtection="1">
      <alignment horizontal="left" indent="2"/>
    </xf>
    <xf numFmtId="0" fontId="64" fillId="3" borderId="53" xfId="0" applyFont="1" applyFill="1" applyBorder="1" applyAlignment="1" applyProtection="1">
      <alignment horizontal="left"/>
    </xf>
    <xf numFmtId="0" fontId="64" fillId="3" borderId="2" xfId="0" applyFont="1" applyFill="1" applyBorder="1" applyAlignment="1" applyProtection="1">
      <alignment horizontal="left"/>
    </xf>
    <xf numFmtId="0" fontId="27" fillId="40" borderId="37" xfId="0" applyFont="1" applyFill="1" applyBorder="1" applyAlignment="1" applyProtection="1">
      <alignment horizontal="center" vertical="center" wrapText="1"/>
    </xf>
    <xf numFmtId="0" fontId="27" fillId="40" borderId="38" xfId="0" applyFont="1" applyFill="1" applyBorder="1" applyAlignment="1" applyProtection="1">
      <alignment horizontal="center" vertical="center" wrapText="1"/>
    </xf>
    <xf numFmtId="0" fontId="66" fillId="6" borderId="38" xfId="0" applyFont="1" applyFill="1" applyBorder="1" applyAlignment="1">
      <alignment horizontal="center" vertical="center"/>
    </xf>
    <xf numFmtId="0" fontId="31" fillId="44" borderId="42" xfId="0" applyNumberFormat="1" applyFont="1" applyFill="1" applyBorder="1" applyAlignment="1">
      <alignment horizontal="left" vertical="center"/>
    </xf>
    <xf numFmtId="0" fontId="31" fillId="44" borderId="39" xfId="0" applyNumberFormat="1" applyFont="1" applyFill="1" applyBorder="1" applyAlignment="1">
      <alignment horizontal="left" vertical="center"/>
    </xf>
    <xf numFmtId="0" fontId="31" fillId="44" borderId="40" xfId="0" applyNumberFormat="1" applyFont="1" applyFill="1" applyBorder="1" applyAlignment="1">
      <alignment horizontal="left" vertical="center"/>
    </xf>
    <xf numFmtId="0" fontId="97" fillId="35" borderId="13" xfId="0" applyFont="1" applyFill="1" applyBorder="1" applyAlignment="1">
      <alignment horizontal="center" wrapText="1"/>
    </xf>
    <xf numFmtId="0" fontId="28" fillId="20" borderId="7" xfId="0" applyFont="1" applyFill="1" applyBorder="1" applyAlignment="1">
      <alignment horizontal="center" vertical="center"/>
    </xf>
    <xf numFmtId="0" fontId="28" fillId="20" borderId="13" xfId="0" applyFont="1" applyFill="1" applyBorder="1" applyAlignment="1">
      <alignment horizontal="center" vertical="center"/>
    </xf>
    <xf numFmtId="0" fontId="28" fillId="20" borderId="11" xfId="0" applyFont="1" applyFill="1" applyBorder="1" applyAlignment="1">
      <alignment horizontal="center" vertical="center"/>
    </xf>
    <xf numFmtId="0" fontId="141" fillId="21" borderId="13" xfId="0" applyFont="1" applyFill="1" applyBorder="1" applyAlignment="1">
      <alignment horizontal="left" vertical="top" wrapText="1"/>
    </xf>
    <xf numFmtId="0" fontId="141" fillId="21" borderId="11" xfId="0" applyFont="1" applyFill="1" applyBorder="1" applyAlignment="1">
      <alignment horizontal="left" vertical="top" wrapText="1"/>
    </xf>
    <xf numFmtId="0" fontId="125" fillId="21" borderId="37" xfId="0" applyFont="1" applyFill="1" applyBorder="1" applyAlignment="1">
      <alignment horizontal="center" wrapText="1"/>
    </xf>
    <xf numFmtId="0" fontId="125" fillId="21" borderId="38" xfId="0" applyFont="1" applyFill="1" applyBorder="1" applyAlignment="1">
      <alignment horizontal="center" wrapText="1"/>
    </xf>
    <xf numFmtId="0" fontId="27" fillId="44" borderId="77" xfId="0" applyFont="1" applyFill="1" applyBorder="1" applyAlignment="1">
      <alignment horizontal="center" vertical="center" wrapText="1"/>
    </xf>
    <xf numFmtId="0" fontId="27" fillId="44" borderId="13" xfId="0" applyFont="1" applyFill="1" applyBorder="1" applyAlignment="1">
      <alignment horizontal="center" vertical="center" wrapText="1"/>
    </xf>
    <xf numFmtId="0" fontId="94" fillId="20" borderId="13" xfId="0" applyFont="1" applyFill="1" applyBorder="1" applyAlignment="1">
      <alignment horizontal="center" vertical="center" wrapText="1"/>
    </xf>
    <xf numFmtId="0" fontId="39" fillId="31" borderId="61" xfId="0" applyFont="1" applyFill="1" applyBorder="1" applyAlignment="1"/>
    <xf numFmtId="0" fontId="39" fillId="31" borderId="56" xfId="0" applyFont="1" applyFill="1" applyBorder="1" applyAlignment="1"/>
    <xf numFmtId="0" fontId="39" fillId="31" borderId="28" xfId="0" applyFont="1" applyFill="1" applyBorder="1" applyAlignment="1"/>
    <xf numFmtId="0" fontId="39" fillId="31" borderId="20" xfId="0" applyFont="1" applyFill="1" applyBorder="1" applyAlignment="1"/>
    <xf numFmtId="0" fontId="25" fillId="34" borderId="55" xfId="0" applyFont="1" applyFill="1" applyBorder="1" applyAlignment="1">
      <alignment horizontal="left"/>
    </xf>
    <xf numFmtId="0" fontId="25" fillId="34" borderId="47" xfId="0" applyFont="1" applyFill="1" applyBorder="1" applyAlignment="1">
      <alignment horizontal="left"/>
    </xf>
    <xf numFmtId="0" fontId="25" fillId="34" borderId="1" xfId="0" applyFont="1" applyFill="1" applyBorder="1" applyAlignment="1">
      <alignment horizontal="left"/>
    </xf>
    <xf numFmtId="0" fontId="25" fillId="34" borderId="41" xfId="0" applyFont="1" applyFill="1" applyBorder="1" applyAlignment="1">
      <alignment horizontal="left"/>
    </xf>
    <xf numFmtId="0" fontId="25" fillId="34" borderId="18" xfId="0" applyFont="1" applyFill="1" applyBorder="1" applyAlignment="1">
      <alignment horizontal="left"/>
    </xf>
    <xf numFmtId="0" fontId="25" fillId="34" borderId="20" xfId="0" applyFont="1" applyFill="1" applyBorder="1" applyAlignment="1">
      <alignment horizontal="left"/>
    </xf>
    <xf numFmtId="0" fontId="25" fillId="34" borderId="59" xfId="0" applyFont="1" applyFill="1" applyBorder="1" applyAlignment="1">
      <alignment horizontal="left"/>
    </xf>
    <xf numFmtId="0" fontId="25" fillId="34" borderId="54" xfId="0" applyFont="1" applyFill="1" applyBorder="1" applyAlignment="1">
      <alignment horizontal="left"/>
    </xf>
    <xf numFmtId="0" fontId="25" fillId="34" borderId="48" xfId="0" applyFont="1" applyFill="1" applyBorder="1" applyAlignment="1">
      <alignment horizontal="left"/>
    </xf>
    <xf numFmtId="0" fontId="39" fillId="31" borderId="60" xfId="0" applyFont="1" applyFill="1" applyBorder="1" applyAlignment="1"/>
    <xf numFmtId="0" fontId="39" fillId="31" borderId="64" xfId="0" applyFont="1" applyFill="1" applyBorder="1" applyAlignment="1"/>
    <xf numFmtId="0" fontId="27" fillId="54" borderId="42" xfId="0" applyFont="1" applyFill="1" applyBorder="1" applyAlignment="1">
      <alignment horizontal="center" vertical="center" wrapText="1"/>
    </xf>
    <xf numFmtId="0" fontId="27" fillId="54" borderId="39" xfId="0" applyFont="1" applyFill="1" applyBorder="1" applyAlignment="1">
      <alignment horizontal="center" vertical="center" wrapText="1"/>
    </xf>
    <xf numFmtId="0" fontId="27" fillId="54" borderId="40" xfId="0" applyFont="1" applyFill="1" applyBorder="1" applyAlignment="1">
      <alignment horizontal="center" vertical="center" wrapText="1"/>
    </xf>
    <xf numFmtId="0" fontId="27" fillId="54" borderId="37" xfId="0" applyFont="1" applyFill="1" applyBorder="1" applyAlignment="1">
      <alignment horizontal="center" vertical="center" wrapText="1"/>
    </xf>
    <xf numFmtId="0" fontId="27" fillId="54" borderId="38" xfId="0" applyFont="1" applyFill="1" applyBorder="1" applyAlignment="1">
      <alignment horizontal="center" vertical="center" wrapText="1"/>
    </xf>
    <xf numFmtId="0" fontId="27" fillId="54" borderId="2" xfId="0" applyFont="1" applyFill="1" applyBorder="1" applyAlignment="1">
      <alignment horizontal="center" vertical="center" wrapText="1"/>
    </xf>
    <xf numFmtId="0" fontId="89" fillId="46" borderId="29" xfId="0" applyFont="1" applyFill="1" applyBorder="1" applyAlignment="1">
      <alignment horizontal="center" vertical="center"/>
    </xf>
    <xf numFmtId="0" fontId="89" fillId="46" borderId="0" xfId="0" applyFont="1" applyFill="1" applyBorder="1" applyAlignment="1">
      <alignment horizontal="center" vertical="center"/>
    </xf>
    <xf numFmtId="0" fontId="89" fillId="46" borderId="36" xfId="0" applyFont="1" applyFill="1" applyBorder="1" applyAlignment="1">
      <alignment horizontal="center" vertical="center"/>
    </xf>
    <xf numFmtId="0" fontId="28" fillId="44" borderId="37" xfId="0" applyFont="1" applyFill="1" applyBorder="1" applyAlignment="1">
      <alignment horizontal="center" vertical="center"/>
    </xf>
    <xf numFmtId="0" fontId="28" fillId="44" borderId="46" xfId="0" applyFont="1" applyFill="1" applyBorder="1" applyAlignment="1">
      <alignment horizontal="center" vertical="center"/>
    </xf>
    <xf numFmtId="0" fontId="22" fillId="41" borderId="61" xfId="0" applyFont="1" applyFill="1" applyBorder="1" applyAlignment="1">
      <alignment horizontal="left" vertical="center" wrapText="1"/>
    </xf>
    <xf numFmtId="0" fontId="22" fillId="41" borderId="56" xfId="0" applyFont="1" applyFill="1" applyBorder="1" applyAlignment="1">
      <alignment horizontal="left" vertical="center" wrapText="1"/>
    </xf>
    <xf numFmtId="0" fontId="22" fillId="41" borderId="57" xfId="0" applyFont="1" applyFill="1" applyBorder="1" applyAlignment="1">
      <alignment horizontal="left" vertical="center" wrapText="1"/>
    </xf>
    <xf numFmtId="0" fontId="22" fillId="41" borderId="28" xfId="0" applyFont="1" applyFill="1" applyBorder="1" applyAlignment="1">
      <alignment horizontal="left" vertical="center" wrapText="1"/>
    </xf>
    <xf numFmtId="0" fontId="22" fillId="41" borderId="20" xfId="0" applyFont="1" applyFill="1" applyBorder="1" applyAlignment="1">
      <alignment horizontal="left" vertical="center" wrapText="1"/>
    </xf>
    <xf numFmtId="0" fontId="22" fillId="41" borderId="15" xfId="0" applyFont="1" applyFill="1" applyBorder="1" applyAlignment="1">
      <alignment horizontal="left" vertical="center" wrapText="1"/>
    </xf>
    <xf numFmtId="0" fontId="22" fillId="41" borderId="115" xfId="0" applyFont="1" applyFill="1" applyBorder="1" applyAlignment="1">
      <alignment horizontal="left" vertical="center" wrapText="1"/>
    </xf>
    <xf numFmtId="0" fontId="22" fillId="41" borderId="105" xfId="0" applyFont="1" applyFill="1" applyBorder="1" applyAlignment="1">
      <alignment horizontal="left" vertical="center" wrapText="1"/>
    </xf>
    <xf numFmtId="0" fontId="22" fillId="41" borderId="106" xfId="0" applyFont="1" applyFill="1" applyBorder="1" applyAlignment="1">
      <alignment horizontal="left" vertical="center" wrapText="1"/>
    </xf>
    <xf numFmtId="0" fontId="22" fillId="41" borderId="32" xfId="0" applyFont="1" applyFill="1" applyBorder="1" applyAlignment="1">
      <alignment horizontal="left" vertical="center" wrapText="1"/>
    </xf>
    <xf numFmtId="0" fontId="22" fillId="41" borderId="62" xfId="0" applyFont="1" applyFill="1" applyBorder="1" applyAlignment="1">
      <alignment horizontal="left" vertical="center" wrapText="1"/>
    </xf>
    <xf numFmtId="0" fontId="22" fillId="41" borderId="18" xfId="0" applyFont="1" applyFill="1" applyBorder="1" applyAlignment="1">
      <alignment horizontal="left" vertical="center" wrapText="1"/>
    </xf>
    <xf numFmtId="0" fontId="22" fillId="41" borderId="116" xfId="0" applyFont="1" applyFill="1" applyBorder="1" applyAlignment="1">
      <alignment horizontal="left" vertical="center" wrapText="1"/>
    </xf>
    <xf numFmtId="0" fontId="22" fillId="41" borderId="59" xfId="0" applyFont="1" applyFill="1" applyBorder="1" applyAlignment="1">
      <alignment horizontal="left" vertical="center" wrapText="1"/>
    </xf>
    <xf numFmtId="0" fontId="22" fillId="41" borderId="107" xfId="0" applyFont="1" applyFill="1" applyBorder="1" applyAlignment="1">
      <alignment horizontal="left" vertical="center" wrapText="1"/>
    </xf>
    <xf numFmtId="0" fontId="22" fillId="41" borderId="119" xfId="0" applyFont="1" applyFill="1" applyBorder="1" applyAlignment="1">
      <alignment horizontal="left" vertical="center" wrapText="1"/>
    </xf>
    <xf numFmtId="0" fontId="22" fillId="41" borderId="117" xfId="0" applyFont="1" applyFill="1" applyBorder="1" applyAlignment="1">
      <alignment horizontal="left" vertical="center" wrapText="1"/>
    </xf>
    <xf numFmtId="0" fontId="22" fillId="41" borderId="108" xfId="0" applyFont="1" applyFill="1" applyBorder="1" applyAlignment="1">
      <alignment horizontal="left" vertical="center" wrapText="1"/>
    </xf>
    <xf numFmtId="0" fontId="22" fillId="41" borderId="111" xfId="0" applyFont="1" applyFill="1" applyBorder="1" applyAlignment="1">
      <alignment horizontal="left" vertical="center" wrapText="1"/>
    </xf>
    <xf numFmtId="0" fontId="22" fillId="41" borderId="109" xfId="0" applyFont="1" applyFill="1" applyBorder="1" applyAlignment="1">
      <alignment horizontal="left" vertical="center" wrapText="1"/>
    </xf>
    <xf numFmtId="0" fontId="35" fillId="3" borderId="4" xfId="0" applyFont="1" applyFill="1" applyBorder="1" applyAlignment="1">
      <alignment horizontal="center" vertical="top" wrapText="1"/>
    </xf>
    <xf numFmtId="0" fontId="35" fillId="3" borderId="0" xfId="0" applyFont="1" applyFill="1" applyBorder="1" applyAlignment="1">
      <alignment horizontal="center" vertical="top" wrapText="1"/>
    </xf>
    <xf numFmtId="0" fontId="152" fillId="88" borderId="42" xfId="0" applyFont="1" applyFill="1" applyBorder="1" applyAlignment="1">
      <alignment horizontal="left" wrapText="1"/>
    </xf>
    <xf numFmtId="0" fontId="152" fillId="88" borderId="39" xfId="0" applyFont="1" applyFill="1" applyBorder="1" applyAlignment="1">
      <alignment horizontal="left" wrapText="1"/>
    </xf>
    <xf numFmtId="0" fontId="203" fillId="88" borderId="39" xfId="0" applyFont="1" applyFill="1" applyBorder="1" applyAlignment="1">
      <alignment horizontal="left" vertical="center" wrapText="1"/>
    </xf>
    <xf numFmtId="0" fontId="98" fillId="88" borderId="39" xfId="0" applyFont="1" applyFill="1" applyBorder="1" applyAlignment="1">
      <alignment horizontal="left" vertical="center" wrapText="1"/>
    </xf>
    <xf numFmtId="0" fontId="203" fillId="88" borderId="38" xfId="0" applyFont="1" applyFill="1" applyBorder="1" applyAlignment="1">
      <alignment horizontal="center" vertical="center" wrapText="1"/>
    </xf>
    <xf numFmtId="0" fontId="98" fillId="88" borderId="38" xfId="0" applyFont="1" applyFill="1" applyBorder="1" applyAlignment="1">
      <alignment horizontal="center" vertical="center" wrapText="1"/>
    </xf>
    <xf numFmtId="0" fontId="149" fillId="54" borderId="37" xfId="0" applyFont="1" applyFill="1" applyBorder="1" applyAlignment="1">
      <alignment horizontal="center" vertical="center"/>
    </xf>
    <xf numFmtId="0" fontId="149" fillId="54" borderId="38" xfId="0" applyFont="1" applyFill="1" applyBorder="1" applyAlignment="1">
      <alignment horizontal="center" vertical="center"/>
    </xf>
    <xf numFmtId="0" fontId="149" fillId="54" borderId="2" xfId="0" applyFont="1" applyFill="1" applyBorder="1" applyAlignment="1">
      <alignment horizontal="center" vertical="center"/>
    </xf>
    <xf numFmtId="0" fontId="149" fillId="54" borderId="42" xfId="0" applyFont="1" applyFill="1" applyBorder="1" applyAlignment="1">
      <alignment horizontal="center" vertical="center" wrapText="1"/>
    </xf>
    <xf numFmtId="0" fontId="149" fillId="54" borderId="39" xfId="0" applyFont="1" applyFill="1" applyBorder="1" applyAlignment="1">
      <alignment horizontal="center" vertical="center" wrapText="1"/>
    </xf>
    <xf numFmtId="0" fontId="149" fillId="54" borderId="40" xfId="0" applyFont="1" applyFill="1" applyBorder="1" applyAlignment="1">
      <alignment horizontal="center" vertical="center" wrapText="1"/>
    </xf>
    <xf numFmtId="0" fontId="149" fillId="54" borderId="29" xfId="0" applyFont="1" applyFill="1" applyBorder="1" applyAlignment="1">
      <alignment horizontal="center" vertical="center" wrapText="1"/>
    </xf>
    <xf numFmtId="0" fontId="149" fillId="54" borderId="0" xfId="0" applyFont="1" applyFill="1" applyBorder="1" applyAlignment="1">
      <alignment horizontal="center" vertical="center" wrapText="1"/>
    </xf>
    <xf numFmtId="0" fontId="149" fillId="54" borderId="36" xfId="0" applyFont="1" applyFill="1" applyBorder="1" applyAlignment="1">
      <alignment horizontal="center" vertical="center" wrapText="1"/>
    </xf>
    <xf numFmtId="0" fontId="149" fillId="54" borderId="7" xfId="0" applyFont="1" applyFill="1" applyBorder="1" applyAlignment="1">
      <alignment horizontal="center" vertical="center" wrapText="1"/>
    </xf>
    <xf numFmtId="0" fontId="149" fillId="54" borderId="13" xfId="0" applyFont="1" applyFill="1" applyBorder="1" applyAlignment="1">
      <alignment horizontal="center" vertical="center" wrapText="1"/>
    </xf>
    <xf numFmtId="0" fontId="149" fillId="54" borderId="11" xfId="0" applyFont="1" applyFill="1" applyBorder="1" applyAlignment="1">
      <alignment horizontal="center" vertical="center" wrapText="1"/>
    </xf>
    <xf numFmtId="0" fontId="31" fillId="44" borderId="7" xfId="0" applyFont="1" applyFill="1" applyBorder="1" applyAlignment="1">
      <alignment horizontal="center" vertical="top" wrapText="1"/>
    </xf>
    <xf numFmtId="0" fontId="31" fillId="44" borderId="13" xfId="0" applyFont="1" applyFill="1" applyBorder="1" applyAlignment="1">
      <alignment horizontal="center" vertical="top" wrapText="1"/>
    </xf>
    <xf numFmtId="0" fontId="94" fillId="0" borderId="61" xfId="0" applyFont="1" applyFill="1" applyBorder="1" applyAlignment="1">
      <alignment horizontal="left" wrapText="1"/>
    </xf>
    <xf numFmtId="0" fontId="94" fillId="0" borderId="56" xfId="0" applyFont="1" applyFill="1" applyBorder="1" applyAlignment="1">
      <alignment horizontal="left" wrapText="1"/>
    </xf>
    <xf numFmtId="0" fontId="94" fillId="0" borderId="62" xfId="0" applyFont="1" applyFill="1" applyBorder="1" applyAlignment="1">
      <alignment horizontal="left" wrapText="1"/>
    </xf>
    <xf numFmtId="0" fontId="94" fillId="0" borderId="28" xfId="0" applyFont="1" applyFill="1" applyBorder="1" applyAlignment="1">
      <alignment horizontal="left" vertical="top" wrapText="1"/>
    </xf>
    <xf numFmtId="0" fontId="94" fillId="0" borderId="20" xfId="0" applyFont="1" applyFill="1" applyBorder="1" applyAlignment="1">
      <alignment horizontal="left" vertical="top" wrapText="1"/>
    </xf>
    <xf numFmtId="0" fontId="94" fillId="0" borderId="59" xfId="0" applyFont="1" applyFill="1" applyBorder="1" applyAlignment="1">
      <alignment horizontal="left" vertical="top" wrapText="1"/>
    </xf>
    <xf numFmtId="0" fontId="94" fillId="0" borderId="70" xfId="0" applyFont="1" applyFill="1" applyBorder="1" applyAlignment="1">
      <alignment horizontal="left" vertical="top" wrapText="1"/>
    </xf>
    <xf numFmtId="0" fontId="94" fillId="0" borderId="16" xfId="0" applyFont="1" applyFill="1" applyBorder="1" applyAlignment="1">
      <alignment horizontal="left" vertical="top" wrapText="1"/>
    </xf>
    <xf numFmtId="0" fontId="94" fillId="0" borderId="76" xfId="0" applyFont="1" applyFill="1" applyBorder="1" applyAlignment="1">
      <alignment horizontal="left" vertical="top" wrapText="1"/>
    </xf>
    <xf numFmtId="0" fontId="250" fillId="20" borderId="108" xfId="0" applyFont="1" applyFill="1" applyBorder="1" applyAlignment="1">
      <alignment horizontal="left" vertical="center" wrapText="1"/>
    </xf>
    <xf numFmtId="0" fontId="94" fillId="20" borderId="25" xfId="0" applyFont="1" applyFill="1" applyBorder="1" applyAlignment="1">
      <alignment horizontal="center" vertical="center" wrapText="1"/>
    </xf>
    <xf numFmtId="0" fontId="94" fillId="20" borderId="26" xfId="0" applyFont="1" applyFill="1" applyBorder="1" applyAlignment="1">
      <alignment horizontal="center" vertical="center" wrapText="1"/>
    </xf>
    <xf numFmtId="0" fontId="94" fillId="20" borderId="27" xfId="0" applyFont="1" applyFill="1" applyBorder="1" applyAlignment="1">
      <alignment horizontal="center" vertical="center" wrapText="1"/>
    </xf>
    <xf numFmtId="0" fontId="31" fillId="44" borderId="7" xfId="0" applyFont="1" applyFill="1" applyBorder="1" applyAlignment="1">
      <alignment horizontal="center" vertical="center" wrapText="1"/>
    </xf>
    <xf numFmtId="0" fontId="31" fillId="44" borderId="11" xfId="0" applyFont="1" applyFill="1" applyBorder="1" applyAlignment="1">
      <alignment horizontal="center" vertical="center" wrapText="1"/>
    </xf>
    <xf numFmtId="0" fontId="110" fillId="31" borderId="28" xfId="0" applyFont="1" applyFill="1" applyBorder="1" applyAlignment="1">
      <alignment horizontal="left"/>
    </xf>
    <xf numFmtId="0" fontId="110" fillId="31" borderId="15" xfId="0" applyFont="1" applyFill="1" applyBorder="1" applyAlignment="1">
      <alignment horizontal="left"/>
    </xf>
    <xf numFmtId="0" fontId="52" fillId="46" borderId="21" xfId="0" applyFont="1" applyFill="1" applyBorder="1" applyAlignment="1">
      <alignment horizontal="center"/>
    </xf>
    <xf numFmtId="0" fontId="52" fillId="46" borderId="1" xfId="0" applyFont="1" applyFill="1" applyBorder="1" applyAlignment="1">
      <alignment horizontal="center"/>
    </xf>
    <xf numFmtId="0" fontId="52" fillId="46" borderId="18" xfId="0" applyFont="1" applyFill="1" applyBorder="1" applyAlignment="1">
      <alignment horizontal="center"/>
    </xf>
    <xf numFmtId="0" fontId="31" fillId="44" borderId="73" xfId="0" applyFont="1" applyFill="1" applyBorder="1" applyAlignment="1">
      <alignment horizontal="center" vertical="center"/>
    </xf>
    <xf numFmtId="0" fontId="31" fillId="44" borderId="39" xfId="0" applyFont="1" applyFill="1" applyBorder="1" applyAlignment="1">
      <alignment horizontal="center" vertical="center"/>
    </xf>
    <xf numFmtId="0" fontId="52" fillId="34" borderId="1" xfId="0" applyFont="1" applyFill="1" applyBorder="1" applyAlignment="1">
      <alignment horizontal="left"/>
    </xf>
    <xf numFmtId="0" fontId="52" fillId="34" borderId="18" xfId="0" applyFont="1" applyFill="1" applyBorder="1" applyAlignment="1">
      <alignment horizontal="left"/>
    </xf>
    <xf numFmtId="0" fontId="192" fillId="41" borderId="42" xfId="0" applyFont="1" applyFill="1" applyBorder="1" applyAlignment="1">
      <alignment horizontal="center" vertical="center"/>
    </xf>
    <xf numFmtId="0" fontId="192" fillId="41" borderId="39" xfId="0" applyFont="1" applyFill="1" applyBorder="1" applyAlignment="1">
      <alignment horizontal="center" vertical="center"/>
    </xf>
    <xf numFmtId="0" fontId="192" fillId="41" borderId="29" xfId="0" applyFont="1" applyFill="1" applyBorder="1" applyAlignment="1">
      <alignment horizontal="center" vertical="center"/>
    </xf>
    <xf numFmtId="0" fontId="192" fillId="41" borderId="0" xfId="0" applyFont="1" applyFill="1" applyBorder="1" applyAlignment="1">
      <alignment horizontal="center" vertical="center"/>
    </xf>
    <xf numFmtId="0" fontId="52" fillId="46" borderId="60" xfId="0" applyFont="1" applyFill="1" applyBorder="1" applyAlignment="1">
      <alignment horizontal="center"/>
    </xf>
    <xf numFmtId="0" fontId="52" fillId="46" borderId="71" xfId="0" applyFont="1" applyFill="1" applyBorder="1" applyAlignment="1">
      <alignment horizontal="center"/>
    </xf>
    <xf numFmtId="0" fontId="52" fillId="46" borderId="75" xfId="0" applyFont="1" applyFill="1" applyBorder="1" applyAlignment="1">
      <alignment horizontal="center"/>
    </xf>
    <xf numFmtId="0" fontId="31" fillId="44" borderId="53" xfId="0" applyFont="1" applyFill="1" applyBorder="1" applyAlignment="1">
      <alignment horizontal="center" vertical="center"/>
    </xf>
    <xf numFmtId="0" fontId="31" fillId="44" borderId="2" xfId="0" applyFont="1" applyFill="1" applyBorder="1" applyAlignment="1">
      <alignment horizontal="center" vertical="center"/>
    </xf>
    <xf numFmtId="0" fontId="52" fillId="34" borderId="41" xfId="0" applyFont="1" applyFill="1" applyBorder="1" applyAlignment="1">
      <alignment horizontal="left"/>
    </xf>
    <xf numFmtId="0" fontId="31" fillId="44" borderId="13" xfId="0" applyFont="1" applyFill="1" applyBorder="1" applyAlignment="1">
      <alignment horizontal="center" vertical="center"/>
    </xf>
    <xf numFmtId="0" fontId="31" fillId="44" borderId="11" xfId="0" applyFont="1" applyFill="1" applyBorder="1" applyAlignment="1">
      <alignment horizontal="center" vertical="center"/>
    </xf>
    <xf numFmtId="0" fontId="29" fillId="24" borderId="0" xfId="3" applyFill="1" applyBorder="1" applyAlignment="1" applyProtection="1">
      <alignment horizontal="center"/>
    </xf>
    <xf numFmtId="0" fontId="28" fillId="44" borderId="38" xfId="0" applyFont="1" applyFill="1" applyBorder="1" applyAlignment="1">
      <alignment horizontal="center"/>
    </xf>
    <xf numFmtId="0" fontId="28" fillId="44" borderId="2" xfId="0" applyFont="1" applyFill="1" applyBorder="1" applyAlignment="1">
      <alignment horizontal="center"/>
    </xf>
    <xf numFmtId="0" fontId="28" fillId="44" borderId="39" xfId="0" applyFont="1" applyFill="1" applyBorder="1" applyAlignment="1">
      <alignment horizontal="center" vertical="center"/>
    </xf>
    <xf numFmtId="0" fontId="28" fillId="44" borderId="40" xfId="0" applyFont="1" applyFill="1" applyBorder="1" applyAlignment="1">
      <alignment horizontal="center" vertical="center"/>
    </xf>
    <xf numFmtId="0" fontId="28" fillId="44" borderId="73" xfId="0" applyFont="1" applyFill="1" applyBorder="1" applyAlignment="1">
      <alignment horizontal="center" vertical="center"/>
    </xf>
    <xf numFmtId="0" fontId="28" fillId="44" borderId="0" xfId="0" applyFont="1" applyFill="1" applyBorder="1" applyAlignment="1">
      <alignment horizontal="center" vertical="center"/>
    </xf>
    <xf numFmtId="0" fontId="76" fillId="4" borderId="28" xfId="3" applyFont="1" applyFill="1" applyBorder="1" applyAlignment="1" applyProtection="1">
      <alignment horizontal="left"/>
    </xf>
    <xf numFmtId="0" fontId="76" fillId="4" borderId="20" xfId="3" applyFont="1" applyFill="1" applyBorder="1" applyAlignment="1" applyProtection="1">
      <alignment horizontal="left"/>
    </xf>
    <xf numFmtId="0" fontId="76" fillId="4" borderId="59" xfId="3" applyFont="1" applyFill="1" applyBorder="1" applyAlignment="1" applyProtection="1">
      <alignment horizontal="left"/>
    </xf>
    <xf numFmtId="0" fontId="28" fillId="44" borderId="42" xfId="0" applyFont="1" applyFill="1" applyBorder="1" applyAlignment="1">
      <alignment horizontal="center" vertical="center"/>
    </xf>
    <xf numFmtId="0" fontId="31" fillId="44" borderId="38" xfId="0" applyFont="1" applyFill="1" applyBorder="1" applyAlignment="1">
      <alignment horizontal="center" vertical="center" wrapText="1"/>
    </xf>
    <xf numFmtId="0" fontId="52" fillId="27" borderId="1" xfId="0" applyFont="1" applyFill="1" applyBorder="1" applyAlignment="1">
      <alignment horizontal="left" indent="1"/>
    </xf>
    <xf numFmtId="0" fontId="52" fillId="27" borderId="41" xfId="0" applyFont="1" applyFill="1" applyBorder="1" applyAlignment="1">
      <alignment horizontal="left" indent="1"/>
    </xf>
    <xf numFmtId="0" fontId="52" fillId="27" borderId="5" xfId="0" applyFont="1" applyFill="1" applyBorder="1" applyAlignment="1">
      <alignment horizontal="left" indent="1"/>
    </xf>
    <xf numFmtId="0" fontId="52" fillId="27" borderId="69" xfId="0" applyFont="1" applyFill="1" applyBorder="1" applyAlignment="1">
      <alignment horizontal="left" indent="1"/>
    </xf>
    <xf numFmtId="0" fontId="27" fillId="27" borderId="32" xfId="0" applyFont="1" applyFill="1" applyBorder="1" applyAlignment="1">
      <alignment horizontal="left" vertical="center" indent="1"/>
    </xf>
    <xf numFmtId="0" fontId="27" fillId="27" borderId="56" xfId="0" applyFont="1" applyFill="1" applyBorder="1" applyAlignment="1">
      <alignment horizontal="left" vertical="center" indent="1"/>
    </xf>
    <xf numFmtId="0" fontId="27" fillId="27" borderId="62" xfId="0" applyFont="1" applyFill="1" applyBorder="1" applyAlignment="1">
      <alignment horizontal="left" vertical="center" indent="1"/>
    </xf>
    <xf numFmtId="0" fontId="27" fillId="20" borderId="18" xfId="0" applyFont="1" applyFill="1" applyBorder="1" applyAlignment="1">
      <alignment horizontal="left" vertical="center" indent="1"/>
    </xf>
    <xf numFmtId="0" fontId="27" fillId="20" borderId="20" xfId="0" applyFont="1" applyFill="1" applyBorder="1" applyAlignment="1">
      <alignment horizontal="left" vertical="center" indent="1"/>
    </xf>
    <xf numFmtId="0" fontId="27" fillId="20" borderId="59" xfId="0" applyFont="1" applyFill="1" applyBorder="1" applyAlignment="1">
      <alignment horizontal="left" vertical="center" indent="1"/>
    </xf>
    <xf numFmtId="0" fontId="31" fillId="44" borderId="39" xfId="0" applyFont="1" applyFill="1" applyBorder="1" applyAlignment="1">
      <alignment horizontal="center" vertical="top" wrapText="1"/>
    </xf>
    <xf numFmtId="0" fontId="31" fillId="44" borderId="38" xfId="0" applyFont="1" applyFill="1" applyBorder="1" applyAlignment="1">
      <alignment horizontal="center" vertical="top" wrapText="1"/>
    </xf>
    <xf numFmtId="0" fontId="94" fillId="20" borderId="39" xfId="0" applyFont="1" applyFill="1" applyBorder="1" applyAlignment="1">
      <alignment horizontal="left" vertical="top" wrapText="1"/>
    </xf>
    <xf numFmtId="0" fontId="94" fillId="20" borderId="0" xfId="0" applyFont="1" applyFill="1" applyBorder="1" applyAlignment="1">
      <alignment horizontal="left" vertical="top" wrapText="1"/>
    </xf>
    <xf numFmtId="0" fontId="94" fillId="20" borderId="13" xfId="0" applyFont="1" applyFill="1" applyBorder="1" applyAlignment="1">
      <alignment horizontal="left" vertical="top" wrapText="1"/>
    </xf>
    <xf numFmtId="0" fontId="27" fillId="23" borderId="61" xfId="6" applyFont="1" applyFill="1" applyBorder="1"/>
    <xf numFmtId="0" fontId="27" fillId="23" borderId="57" xfId="6" applyFont="1" applyFill="1" applyBorder="1"/>
    <xf numFmtId="0" fontId="27" fillId="23" borderId="28" xfId="6" applyFont="1" applyFill="1" applyBorder="1"/>
    <xf numFmtId="0" fontId="27" fillId="23" borderId="15" xfId="6" applyFont="1" applyFill="1" applyBorder="1"/>
    <xf numFmtId="0" fontId="27" fillId="23" borderId="60" xfId="6" applyFont="1" applyFill="1" applyBorder="1"/>
    <xf numFmtId="0" fontId="27" fillId="23" borderId="64" xfId="6" applyFont="1" applyFill="1" applyBorder="1"/>
    <xf numFmtId="0" fontId="101" fillId="27" borderId="32" xfId="0" applyFont="1" applyFill="1" applyBorder="1" applyAlignment="1">
      <alignment horizontal="center" vertical="top" wrapText="1"/>
    </xf>
    <xf numFmtId="0" fontId="101" fillId="27" borderId="62" xfId="0" applyFont="1" applyFill="1" applyBorder="1" applyAlignment="1">
      <alignment horizontal="center" vertical="top" wrapText="1"/>
    </xf>
    <xf numFmtId="0" fontId="101" fillId="49" borderId="18" xfId="0" applyFont="1" applyFill="1" applyBorder="1" applyAlignment="1">
      <alignment horizontal="center" vertical="top" wrapText="1"/>
    </xf>
    <xf numFmtId="0" fontId="101" fillId="49" borderId="59" xfId="0" applyFont="1" applyFill="1" applyBorder="1" applyAlignment="1">
      <alignment horizontal="center" vertical="top" wrapText="1"/>
    </xf>
    <xf numFmtId="0" fontId="101" fillId="29" borderId="18" xfId="0" applyFont="1" applyFill="1" applyBorder="1" applyAlignment="1">
      <alignment horizontal="center" vertical="top" wrapText="1"/>
    </xf>
    <xf numFmtId="0" fontId="101" fillId="29" borderId="59" xfId="0" applyFont="1" applyFill="1" applyBorder="1" applyAlignment="1">
      <alignment horizontal="center" vertical="top" wrapText="1"/>
    </xf>
    <xf numFmtId="0" fontId="101" fillId="49" borderId="33" xfId="0" applyFont="1" applyFill="1" applyBorder="1" applyAlignment="1">
      <alignment horizontal="center" vertical="top" wrapText="1"/>
    </xf>
    <xf numFmtId="0" fontId="101" fillId="49" borderId="75" xfId="0" applyFont="1" applyFill="1" applyBorder="1" applyAlignment="1">
      <alignment horizontal="center" vertical="top" wrapText="1"/>
    </xf>
    <xf numFmtId="0" fontId="29" fillId="49" borderId="18" xfId="3" applyFill="1" applyBorder="1" applyAlignment="1" applyProtection="1"/>
    <xf numFmtId="0" fontId="29" fillId="49" borderId="20" xfId="3" applyFill="1" applyBorder="1" applyAlignment="1" applyProtection="1"/>
    <xf numFmtId="0" fontId="29" fillId="49" borderId="15" xfId="3" applyFill="1" applyBorder="1" applyAlignment="1" applyProtection="1"/>
    <xf numFmtId="0" fontId="27" fillId="46" borderId="38" xfId="6" applyFont="1" applyFill="1" applyBorder="1" applyAlignment="1">
      <alignment horizontal="center"/>
    </xf>
    <xf numFmtId="0" fontId="22" fillId="31" borderId="53" xfId="6" applyFont="1" applyFill="1" applyBorder="1"/>
    <xf numFmtId="0" fontId="22" fillId="31" borderId="38" xfId="6" applyFont="1" applyFill="1" applyBorder="1"/>
    <xf numFmtId="0" fontId="22" fillId="31" borderId="46" xfId="6" applyFont="1" applyFill="1" applyBorder="1"/>
    <xf numFmtId="0" fontId="29" fillId="49" borderId="32" xfId="3" applyFill="1" applyBorder="1" applyAlignment="1" applyProtection="1"/>
    <xf numFmtId="0" fontId="29" fillId="49" borderId="56" xfId="3" applyFill="1" applyBorder="1" applyAlignment="1" applyProtection="1"/>
    <xf numFmtId="0" fontId="29" fillId="49" borderId="57" xfId="3" applyFill="1" applyBorder="1" applyAlignment="1" applyProtection="1"/>
    <xf numFmtId="0" fontId="22" fillId="0" borderId="60" xfId="6" applyBorder="1"/>
    <xf numFmtId="0" fontId="22" fillId="0" borderId="64" xfId="6" applyBorder="1"/>
    <xf numFmtId="0" fontId="89" fillId="0" borderId="18" xfId="6" applyFont="1" applyBorder="1"/>
    <xf numFmtId="0" fontId="89" fillId="0" borderId="59" xfId="6" applyFont="1" applyBorder="1"/>
    <xf numFmtId="0" fontId="22" fillId="0" borderId="28" xfId="6" applyBorder="1"/>
    <xf numFmtId="0" fontId="22" fillId="0" borderId="15" xfId="6" applyBorder="1"/>
    <xf numFmtId="0" fontId="64" fillId="31" borderId="61" xfId="6" applyFont="1" applyFill="1" applyBorder="1"/>
    <xf numFmtId="0" fontId="64" fillId="31" borderId="56" xfId="6" applyFont="1" applyFill="1" applyBorder="1"/>
    <xf numFmtId="0" fontId="22" fillId="30" borderId="18" xfId="6" applyFill="1" applyBorder="1"/>
    <xf numFmtId="0" fontId="22" fillId="30" borderId="59" xfId="6" applyFill="1" applyBorder="1"/>
    <xf numFmtId="0" fontId="22" fillId="49" borderId="18" xfId="6" applyFill="1" applyBorder="1"/>
    <xf numFmtId="0" fontId="22" fillId="49" borderId="59" xfId="6" applyFill="1" applyBorder="1"/>
    <xf numFmtId="0" fontId="89" fillId="0" borderId="33" xfId="6" applyFont="1" applyBorder="1"/>
    <xf numFmtId="0" fontId="89" fillId="0" borderId="75" xfId="6" applyFont="1" applyBorder="1"/>
    <xf numFmtId="0" fontId="22" fillId="49" borderId="15" xfId="6" applyFill="1" applyBorder="1"/>
    <xf numFmtId="0" fontId="22" fillId="49" borderId="33" xfId="6" applyFill="1" applyBorder="1"/>
    <xf numFmtId="0" fontId="22" fillId="49" borderId="64" xfId="6" applyFill="1" applyBorder="1"/>
    <xf numFmtId="0" fontId="22" fillId="20" borderId="33" xfId="6" applyFill="1" applyBorder="1"/>
    <xf numFmtId="0" fontId="22" fillId="20" borderId="75" xfId="6" applyFill="1" applyBorder="1"/>
    <xf numFmtId="0" fontId="271" fillId="90" borderId="0" xfId="0" applyFont="1" applyFill="1" applyBorder="1" applyAlignment="1">
      <alignment horizontal="center"/>
    </xf>
    <xf numFmtId="0" fontId="22" fillId="23" borderId="32" xfId="6" applyFill="1" applyBorder="1"/>
    <xf numFmtId="0" fontId="22" fillId="23" borderId="62" xfId="6" applyFill="1" applyBorder="1"/>
    <xf numFmtId="0" fontId="22" fillId="46" borderId="38" xfId="6" applyFill="1" applyBorder="1"/>
    <xf numFmtId="0" fontId="22" fillId="46" borderId="2" xfId="6" applyFill="1" applyBorder="1"/>
    <xf numFmtId="0" fontId="89" fillId="31" borderId="53" xfId="0" applyFont="1" applyFill="1" applyBorder="1" applyAlignment="1">
      <alignment horizontal="center"/>
    </xf>
    <xf numFmtId="0" fontId="89" fillId="31" borderId="46" xfId="0" applyFont="1" applyFill="1" applyBorder="1" applyAlignment="1">
      <alignment horizontal="center"/>
    </xf>
    <xf numFmtId="0" fontId="22" fillId="49" borderId="32" xfId="6" applyFill="1" applyBorder="1"/>
    <xf numFmtId="0" fontId="22" fillId="49" borderId="57" xfId="6" applyFill="1" applyBorder="1"/>
    <xf numFmtId="0" fontId="29" fillId="49" borderId="33" xfId="3" applyFill="1" applyBorder="1" applyAlignment="1" applyProtection="1"/>
    <xf numFmtId="0" fontId="29" fillId="49" borderId="71" xfId="3" applyFill="1" applyBorder="1" applyAlignment="1" applyProtection="1"/>
    <xf numFmtId="0" fontId="29" fillId="49" borderId="64" xfId="3" applyFill="1" applyBorder="1" applyAlignment="1" applyProtection="1"/>
    <xf numFmtId="0" fontId="47" fillId="46" borderId="7" xfId="0" applyFont="1" applyFill="1" applyBorder="1" applyAlignment="1">
      <alignment horizontal="center" vertical="top"/>
    </xf>
    <xf numFmtId="0" fontId="47" fillId="46" borderId="38" xfId="0" applyFont="1" applyFill="1" applyBorder="1" applyAlignment="1">
      <alignment horizontal="center" vertical="top"/>
    </xf>
    <xf numFmtId="0" fontId="47" fillId="46" borderId="2" xfId="0" applyFont="1" applyFill="1" applyBorder="1" applyAlignment="1">
      <alignment horizontal="center" vertical="top"/>
    </xf>
    <xf numFmtId="0" fontId="220" fillId="27" borderId="32" xfId="0" applyFont="1" applyFill="1" applyBorder="1" applyAlignment="1">
      <alignment horizontal="center" vertical="center" wrapText="1"/>
    </xf>
    <xf numFmtId="0" fontId="220" fillId="27" borderId="56" xfId="0" applyFont="1" applyFill="1" applyBorder="1" applyAlignment="1">
      <alignment horizontal="center" vertical="center" wrapText="1"/>
    </xf>
    <xf numFmtId="0" fontId="220" fillId="27" borderId="57" xfId="0" applyFont="1" applyFill="1" applyBorder="1" applyAlignment="1">
      <alignment horizontal="center" vertical="center" wrapText="1"/>
    </xf>
    <xf numFmtId="0" fontId="220" fillId="27" borderId="18" xfId="0" applyFont="1" applyFill="1" applyBorder="1" applyAlignment="1">
      <alignment horizontal="center" vertical="center" wrapText="1"/>
    </xf>
    <xf numFmtId="0" fontId="220" fillId="27" borderId="20" xfId="0" applyFont="1" applyFill="1" applyBorder="1" applyAlignment="1">
      <alignment horizontal="center" vertical="center" wrapText="1"/>
    </xf>
    <xf numFmtId="0" fontId="220" fillId="27" borderId="15" xfId="0" applyFont="1" applyFill="1" applyBorder="1" applyAlignment="1">
      <alignment horizontal="center" vertical="center" wrapText="1"/>
    </xf>
    <xf numFmtId="0" fontId="47" fillId="46" borderId="37" xfId="0" applyFont="1" applyFill="1" applyBorder="1" applyAlignment="1">
      <alignment horizontal="center" vertical="top"/>
    </xf>
    <xf numFmtId="0" fontId="47" fillId="46" borderId="13" xfId="0" applyFont="1" applyFill="1" applyBorder="1" applyAlignment="1">
      <alignment horizontal="center" vertical="top"/>
    </xf>
    <xf numFmtId="0" fontId="47" fillId="46" borderId="11" xfId="0" applyFont="1" applyFill="1" applyBorder="1" applyAlignment="1">
      <alignment horizontal="center" vertical="top"/>
    </xf>
    <xf numFmtId="0" fontId="22" fillId="0" borderId="28" xfId="48733" applyFont="1" applyBorder="1" applyAlignment="1">
      <alignment horizontal="left" vertical="center"/>
    </xf>
    <xf numFmtId="0" fontId="22" fillId="0" borderId="15" xfId="48733" applyFont="1" applyBorder="1" applyAlignment="1">
      <alignment horizontal="left" vertical="center"/>
    </xf>
    <xf numFmtId="0" fontId="200" fillId="0" borderId="18" xfId="48733" applyFont="1" applyBorder="1" applyAlignment="1">
      <alignment horizontal="center"/>
    </xf>
    <xf numFmtId="0" fontId="200" fillId="0" borderId="59" xfId="48733" applyFont="1" applyBorder="1" applyAlignment="1">
      <alignment horizontal="center"/>
    </xf>
    <xf numFmtId="0" fontId="3" fillId="20" borderId="37" xfId="48733" applyFont="1" applyFill="1" applyBorder="1" applyAlignment="1">
      <alignment horizontal="center"/>
    </xf>
    <xf numFmtId="0" fontId="5" fillId="20" borderId="38" xfId="48733" applyFill="1" applyBorder="1" applyAlignment="1">
      <alignment horizontal="center"/>
    </xf>
    <xf numFmtId="0" fontId="5" fillId="20" borderId="46" xfId="48733" applyFill="1" applyBorder="1" applyAlignment="1">
      <alignment horizontal="center"/>
    </xf>
    <xf numFmtId="0" fontId="5" fillId="20" borderId="70" xfId="48733" applyFill="1" applyBorder="1" applyAlignment="1">
      <alignment horizontal="center"/>
    </xf>
    <xf numFmtId="0" fontId="5" fillId="20" borderId="63" xfId="48733" applyFill="1" applyBorder="1" applyAlignment="1">
      <alignment horizontal="center"/>
    </xf>
    <xf numFmtId="0" fontId="5" fillId="0" borderId="24" xfId="48733" applyBorder="1" applyAlignment="1">
      <alignment horizontal="center"/>
    </xf>
    <xf numFmtId="0" fontId="5" fillId="0" borderId="54" xfId="48733" applyBorder="1" applyAlignment="1">
      <alignment horizontal="center"/>
    </xf>
    <xf numFmtId="0" fontId="208" fillId="20" borderId="54" xfId="48733" applyFont="1" applyFill="1" applyBorder="1" applyAlignment="1">
      <alignment horizontal="center"/>
    </xf>
    <xf numFmtId="0" fontId="208" fillId="20" borderId="48" xfId="48733" applyFont="1" applyFill="1" applyBorder="1" applyAlignment="1">
      <alignment horizontal="center"/>
    </xf>
    <xf numFmtId="0" fontId="87" fillId="43" borderId="23" xfId="48733" applyFont="1" applyFill="1" applyBorder="1" applyAlignment="1">
      <alignment horizontal="center"/>
    </xf>
    <xf numFmtId="0" fontId="87" fillId="43" borderId="55" xfId="48733" applyFont="1" applyFill="1" applyBorder="1" applyAlignment="1">
      <alignment horizontal="center"/>
    </xf>
    <xf numFmtId="0" fontId="87" fillId="43" borderId="47" xfId="48733" applyFont="1" applyFill="1" applyBorder="1" applyAlignment="1">
      <alignment horizontal="center"/>
    </xf>
    <xf numFmtId="0" fontId="87" fillId="33" borderId="21" xfId="48733" applyFont="1" applyFill="1" applyBorder="1" applyAlignment="1">
      <alignment horizontal="center"/>
    </xf>
    <xf numFmtId="0" fontId="87" fillId="33" borderId="1" xfId="48733" applyFont="1" applyFill="1" applyBorder="1" applyAlignment="1">
      <alignment horizontal="center"/>
    </xf>
    <xf numFmtId="0" fontId="5" fillId="20" borderId="21" xfId="48733" applyFill="1" applyBorder="1" applyAlignment="1">
      <alignment horizontal="center"/>
    </xf>
    <xf numFmtId="0" fontId="5" fillId="20" borderId="1" xfId="48733" applyFill="1" applyBorder="1" applyAlignment="1">
      <alignment horizontal="center"/>
    </xf>
    <xf numFmtId="0" fontId="5" fillId="20" borderId="28" xfId="48733" applyFill="1" applyBorder="1" applyAlignment="1">
      <alignment horizontal="center"/>
    </xf>
    <xf numFmtId="0" fontId="5" fillId="20" borderId="15" xfId="48733" applyFill="1" applyBorder="1" applyAlignment="1">
      <alignment horizontal="center"/>
    </xf>
    <xf numFmtId="0" fontId="87" fillId="33" borderId="41" xfId="48733" applyFont="1" applyFill="1" applyBorder="1" applyAlignment="1">
      <alignment horizontal="center"/>
    </xf>
    <xf numFmtId="0" fontId="22" fillId="0" borderId="28" xfId="48733" applyFont="1" applyBorder="1" applyAlignment="1">
      <alignment horizontal="left" vertical="center" wrapText="1"/>
    </xf>
    <xf numFmtId="0" fontId="22" fillId="0" borderId="15" xfId="48733" applyFont="1" applyBorder="1" applyAlignment="1">
      <alignment horizontal="left" vertical="center" wrapText="1"/>
    </xf>
    <xf numFmtId="0" fontId="89" fillId="0" borderId="21" xfId="48733" applyFont="1" applyBorder="1" applyAlignment="1">
      <alignment horizontal="left"/>
    </xf>
    <xf numFmtId="0" fontId="89" fillId="0" borderId="1" xfId="48733" applyFont="1" applyBorder="1" applyAlignment="1">
      <alignment horizontal="left"/>
    </xf>
    <xf numFmtId="0" fontId="200" fillId="0" borderId="15" xfId="48733" applyFont="1" applyBorder="1" applyAlignment="1">
      <alignment horizontal="center"/>
    </xf>
    <xf numFmtId="0" fontId="0" fillId="33" borderId="37" xfId="0" applyFill="1" applyBorder="1" applyAlignment="1">
      <alignment horizontal="center"/>
    </xf>
    <xf numFmtId="0" fontId="0" fillId="33" borderId="38" xfId="0" applyFill="1" applyBorder="1" applyAlignment="1">
      <alignment horizontal="center"/>
    </xf>
    <xf numFmtId="0" fontId="0" fillId="33" borderId="2" xfId="0" applyFill="1" applyBorder="1" applyAlignment="1">
      <alignment horizontal="center"/>
    </xf>
    <xf numFmtId="0" fontId="195" fillId="33" borderId="61" xfId="48733" applyFont="1" applyFill="1" applyBorder="1" applyAlignment="1">
      <alignment horizontal="center" vertical="center" wrapText="1"/>
    </xf>
    <xf numFmtId="0" fontId="195" fillId="33" borderId="56" xfId="48733" applyFont="1" applyFill="1" applyBorder="1" applyAlignment="1">
      <alignment horizontal="center" vertical="center" wrapText="1"/>
    </xf>
    <xf numFmtId="0" fontId="195" fillId="33" borderId="62" xfId="48733" applyFont="1" applyFill="1" applyBorder="1" applyAlignment="1">
      <alignment horizontal="center" vertical="center" wrapText="1"/>
    </xf>
    <xf numFmtId="0" fontId="27" fillId="41" borderId="53" xfId="0" applyFont="1" applyFill="1" applyBorder="1" applyAlignment="1">
      <alignment horizontal="left" vertical="center"/>
    </xf>
    <xf numFmtId="0" fontId="27" fillId="41" borderId="38" xfId="0" applyFont="1" applyFill="1" applyBorder="1" applyAlignment="1">
      <alignment horizontal="left" vertical="center"/>
    </xf>
    <xf numFmtId="0" fontId="27" fillId="41" borderId="2" xfId="0" applyFont="1" applyFill="1" applyBorder="1" applyAlignment="1">
      <alignment horizontal="left" vertical="center"/>
    </xf>
    <xf numFmtId="0" fontId="5" fillId="0" borderId="33" xfId="48733" applyBorder="1" applyAlignment="1">
      <alignment horizontal="center"/>
    </xf>
    <xf numFmtId="0" fontId="5" fillId="0" borderId="71" xfId="48733" applyBorder="1" applyAlignment="1">
      <alignment horizontal="center"/>
    </xf>
    <xf numFmtId="0" fontId="5" fillId="0" borderId="75" xfId="48733" applyBorder="1" applyAlignment="1">
      <alignment horizontal="center"/>
    </xf>
    <xf numFmtId="0" fontId="5" fillId="0" borderId="18" xfId="48733" applyBorder="1" applyAlignment="1">
      <alignment horizontal="center"/>
    </xf>
    <xf numFmtId="0" fontId="5" fillId="0" borderId="20" xfId="48733" applyBorder="1" applyAlignment="1">
      <alignment horizontal="center"/>
    </xf>
    <xf numFmtId="0" fontId="5" fillId="0" borderId="59" xfId="48733" applyBorder="1" applyAlignment="1">
      <alignment horizontal="center"/>
    </xf>
    <xf numFmtId="0" fontId="22" fillId="0" borderId="54" xfId="12" applyBorder="1" applyAlignment="1">
      <alignment horizontal="center"/>
    </xf>
    <xf numFmtId="0" fontId="5" fillId="45" borderId="1" xfId="48733" applyFill="1" applyBorder="1" applyAlignment="1">
      <alignment horizontal="center"/>
    </xf>
    <xf numFmtId="0" fontId="5" fillId="0" borderId="32" xfId="48733" applyBorder="1" applyAlignment="1">
      <alignment horizontal="center"/>
    </xf>
    <xf numFmtId="0" fontId="5" fillId="0" borderId="56" xfId="48733" applyBorder="1" applyAlignment="1">
      <alignment horizontal="center"/>
    </xf>
    <xf numFmtId="0" fontId="5" fillId="0" borderId="62" xfId="48733" applyBorder="1" applyAlignment="1">
      <alignment horizontal="center"/>
    </xf>
    <xf numFmtId="0" fontId="87" fillId="31" borderId="28" xfId="48733" applyFont="1" applyFill="1" applyBorder="1" applyAlignment="1">
      <alignment horizontal="center" vertical="center"/>
    </xf>
    <xf numFmtId="0" fontId="87" fillId="31" borderId="20" xfId="48733" applyFont="1" applyFill="1" applyBorder="1" applyAlignment="1">
      <alignment horizontal="center" vertical="center"/>
    </xf>
    <xf numFmtId="0" fontId="87" fillId="31" borderId="15" xfId="48733" applyFont="1" applyFill="1" applyBorder="1" applyAlignment="1">
      <alignment horizontal="center" vertical="center"/>
    </xf>
    <xf numFmtId="0" fontId="27" fillId="31" borderId="4" xfId="12" applyFont="1" applyFill="1" applyBorder="1" applyAlignment="1">
      <alignment horizontal="center"/>
    </xf>
    <xf numFmtId="0" fontId="27" fillId="31" borderId="0" xfId="12" applyFont="1" applyFill="1" applyBorder="1" applyAlignment="1">
      <alignment horizontal="center"/>
    </xf>
    <xf numFmtId="0" fontId="27" fillId="31" borderId="61" xfId="12" applyFont="1" applyFill="1" applyBorder="1" applyAlignment="1">
      <alignment horizontal="center"/>
    </xf>
    <xf numFmtId="0" fontId="27" fillId="31" borderId="56" xfId="12" applyFont="1" applyFill="1" applyBorder="1" applyAlignment="1">
      <alignment horizontal="center"/>
    </xf>
    <xf numFmtId="0" fontId="27" fillId="31" borderId="62" xfId="12" applyFont="1" applyFill="1" applyBorder="1" applyAlignment="1">
      <alignment horizontal="center"/>
    </xf>
    <xf numFmtId="0" fontId="5" fillId="0" borderId="18" xfId="48733" applyBorder="1" applyAlignment="1"/>
    <xf numFmtId="0" fontId="5" fillId="0" borderId="20" xfId="48733" applyBorder="1" applyAlignment="1"/>
    <xf numFmtId="0" fontId="5" fillId="0" borderId="59" xfId="48733" applyBorder="1" applyAlignment="1"/>
    <xf numFmtId="0" fontId="22" fillId="0" borderId="1" xfId="12" applyBorder="1" applyAlignment="1">
      <alignment horizontal="center"/>
    </xf>
    <xf numFmtId="0" fontId="27" fillId="45" borderId="56" xfId="12" applyFont="1" applyFill="1" applyBorder="1" applyAlignment="1">
      <alignment horizontal="center" vertical="center"/>
    </xf>
    <xf numFmtId="0" fontId="27" fillId="45" borderId="62" xfId="12" applyFont="1" applyFill="1" applyBorder="1" applyAlignment="1">
      <alignment horizontal="center" vertical="center"/>
    </xf>
    <xf numFmtId="0" fontId="52" fillId="41" borderId="53" xfId="0" applyFont="1" applyFill="1" applyBorder="1" applyAlignment="1">
      <alignment horizontal="center" vertical="center" wrapText="1"/>
    </xf>
    <xf numFmtId="0" fontId="52" fillId="41" borderId="38" xfId="0" applyFont="1" applyFill="1" applyBorder="1" applyAlignment="1">
      <alignment horizontal="center" vertical="center" wrapText="1"/>
    </xf>
    <xf numFmtId="0" fontId="52" fillId="20" borderId="0" xfId="12" applyFont="1" applyFill="1" applyBorder="1" applyAlignment="1">
      <alignment horizontal="right"/>
    </xf>
    <xf numFmtId="0" fontId="27" fillId="20" borderId="18" xfId="12" applyFont="1" applyFill="1" applyBorder="1" applyAlignment="1">
      <alignment horizontal="left"/>
    </xf>
    <xf numFmtId="0" fontId="27" fillId="20" borderId="20" xfId="12" applyFont="1" applyFill="1" applyBorder="1" applyAlignment="1">
      <alignment horizontal="left"/>
    </xf>
    <xf numFmtId="0" fontId="27" fillId="20" borderId="15" xfId="12" applyFont="1" applyFill="1" applyBorder="1" applyAlignment="1">
      <alignment horizontal="left"/>
    </xf>
    <xf numFmtId="0" fontId="27" fillId="23" borderId="18" xfId="12" applyFont="1" applyFill="1" applyBorder="1" applyAlignment="1">
      <alignment horizontal="center"/>
    </xf>
    <xf numFmtId="0" fontId="27" fillId="23" borderId="20" xfId="12" applyFont="1" applyFill="1" applyBorder="1" applyAlignment="1">
      <alignment horizontal="center"/>
    </xf>
    <xf numFmtId="0" fontId="27" fillId="23" borderId="15" xfId="12" applyFont="1" applyFill="1" applyBorder="1" applyAlignment="1">
      <alignment horizontal="center"/>
    </xf>
    <xf numFmtId="0" fontId="209" fillId="42" borderId="37" xfId="48733" applyFont="1" applyFill="1" applyBorder="1" applyAlignment="1">
      <alignment horizontal="center" vertical="center"/>
    </xf>
    <xf numFmtId="0" fontId="209" fillId="42" borderId="39" xfId="48733" applyFont="1" applyFill="1" applyBorder="1" applyAlignment="1">
      <alignment horizontal="center" vertical="center"/>
    </xf>
    <xf numFmtId="0" fontId="209" fillId="42" borderId="38" xfId="48733" applyFont="1" applyFill="1" applyBorder="1" applyAlignment="1">
      <alignment horizontal="center" vertical="center"/>
    </xf>
    <xf numFmtId="0" fontId="209" fillId="42" borderId="46" xfId="48733" applyFont="1" applyFill="1" applyBorder="1" applyAlignment="1">
      <alignment horizontal="center" vertical="center"/>
    </xf>
    <xf numFmtId="0" fontId="213" fillId="42" borderId="53" xfId="48733" applyFont="1" applyFill="1" applyBorder="1" applyAlignment="1">
      <alignment horizontal="center" vertical="center" wrapText="1"/>
    </xf>
    <xf numFmtId="0" fontId="213" fillId="42" borderId="38" xfId="48733" applyFont="1" applyFill="1" applyBorder="1" applyAlignment="1">
      <alignment horizontal="center" vertical="center"/>
    </xf>
    <xf numFmtId="0" fontId="213" fillId="42" borderId="46" xfId="48733" applyFont="1" applyFill="1" applyBorder="1" applyAlignment="1">
      <alignment horizontal="center" vertical="center"/>
    </xf>
    <xf numFmtId="0" fontId="201" fillId="45" borderId="30" xfId="48733" applyFont="1" applyFill="1" applyBorder="1" applyAlignment="1">
      <alignment horizontal="center"/>
    </xf>
    <xf numFmtId="0" fontId="212" fillId="45" borderId="63" xfId="48733" applyFont="1" applyFill="1" applyBorder="1" applyAlignment="1">
      <alignment horizontal="center"/>
    </xf>
    <xf numFmtId="0" fontId="118" fillId="45" borderId="55" xfId="12" applyFont="1" applyFill="1" applyBorder="1" applyAlignment="1">
      <alignment horizontal="center" vertical="center"/>
    </xf>
    <xf numFmtId="0" fontId="22" fillId="0" borderId="6" xfId="12" applyBorder="1" applyAlignment="1">
      <alignment horizontal="center"/>
    </xf>
    <xf numFmtId="0" fontId="5" fillId="0" borderId="1" xfId="48733" applyFill="1" applyBorder="1" applyAlignment="1">
      <alignment horizontal="center"/>
    </xf>
    <xf numFmtId="0" fontId="92" fillId="23" borderId="1" xfId="48733" applyFont="1" applyFill="1" applyBorder="1" applyAlignment="1">
      <alignment horizontal="center"/>
    </xf>
    <xf numFmtId="0" fontId="5" fillId="23" borderId="18" xfId="48733" applyFill="1" applyBorder="1" applyAlignment="1">
      <alignment horizontal="center" vertical="center"/>
    </xf>
    <xf numFmtId="0" fontId="5" fillId="23" borderId="20" xfId="48733" applyFill="1" applyBorder="1" applyAlignment="1">
      <alignment horizontal="center" vertical="center"/>
    </xf>
    <xf numFmtId="0" fontId="5" fillId="23" borderId="15" xfId="48733" applyFill="1" applyBorder="1" applyAlignment="1">
      <alignment horizontal="center" vertical="center"/>
    </xf>
    <xf numFmtId="0" fontId="5" fillId="23" borderId="1" xfId="48733" applyFill="1" applyBorder="1" applyAlignment="1">
      <alignment horizontal="center"/>
    </xf>
    <xf numFmtId="0" fontId="91" fillId="20" borderId="0" xfId="48733" applyFont="1" applyFill="1" applyAlignment="1">
      <alignment horizontal="left"/>
    </xf>
    <xf numFmtId="0" fontId="215" fillId="20" borderId="4" xfId="48733" applyFont="1" applyFill="1" applyBorder="1" applyAlignment="1">
      <alignment horizontal="left"/>
    </xf>
    <xf numFmtId="0" fontId="215" fillId="20" borderId="0" xfId="48733" applyFont="1" applyFill="1" applyBorder="1" applyAlignment="1">
      <alignment horizontal="left"/>
    </xf>
    <xf numFmtId="0" fontId="5" fillId="20" borderId="18" xfId="48733" applyFill="1" applyBorder="1" applyAlignment="1">
      <alignment horizontal="left"/>
    </xf>
    <xf numFmtId="0" fontId="5" fillId="20" borderId="20" xfId="48733" applyFill="1" applyBorder="1" applyAlignment="1">
      <alignment horizontal="left"/>
    </xf>
    <xf numFmtId="0" fontId="5" fillId="20" borderId="15" xfId="48733" applyFill="1" applyBorder="1" applyAlignment="1">
      <alignment horizontal="left"/>
    </xf>
    <xf numFmtId="0" fontId="87" fillId="23" borderId="18" xfId="48733" applyFont="1" applyFill="1" applyBorder="1" applyAlignment="1">
      <alignment horizontal="center"/>
    </xf>
    <xf numFmtId="0" fontId="87" fillId="23" borderId="20" xfId="48733" applyFont="1" applyFill="1" applyBorder="1" applyAlignment="1">
      <alignment horizontal="center"/>
    </xf>
    <xf numFmtId="0" fontId="87" fillId="23" borderId="15" xfId="48733" applyFont="1" applyFill="1" applyBorder="1" applyAlignment="1">
      <alignment horizontal="center"/>
    </xf>
    <xf numFmtId="0" fontId="5" fillId="23" borderId="37" xfId="48733" applyFill="1" applyBorder="1" applyAlignment="1">
      <alignment horizontal="center" vertical="center"/>
    </xf>
    <xf numFmtId="0" fontId="5" fillId="23" borderId="38" xfId="48733" applyFill="1" applyBorder="1" applyAlignment="1">
      <alignment horizontal="center" vertical="center"/>
    </xf>
    <xf numFmtId="0" fontId="5" fillId="23" borderId="2" xfId="48733" applyFill="1" applyBorder="1" applyAlignment="1">
      <alignment horizontal="center" vertical="center"/>
    </xf>
    <xf numFmtId="0" fontId="5" fillId="20" borderId="37" xfId="48733" applyFill="1" applyBorder="1" applyAlignment="1">
      <alignment horizontal="left"/>
    </xf>
    <xf numFmtId="0" fontId="5" fillId="20" borderId="38" xfId="48733" applyFill="1" applyBorder="1" applyAlignment="1">
      <alignment horizontal="left"/>
    </xf>
    <xf numFmtId="0" fontId="5" fillId="20" borderId="2" xfId="48733" applyFill="1" applyBorder="1" applyAlignment="1">
      <alignment horizontal="left"/>
    </xf>
    <xf numFmtId="0" fontId="5" fillId="0" borderId="54" xfId="48733" applyBorder="1" applyAlignment="1">
      <alignment horizontal="center" vertical="center"/>
    </xf>
    <xf numFmtId="0" fontId="5" fillId="0" borderId="54" xfId="48733" applyFill="1" applyBorder="1" applyAlignment="1">
      <alignment horizontal="center"/>
    </xf>
    <xf numFmtId="0" fontId="5" fillId="0" borderId="48" xfId="48733" applyFill="1" applyBorder="1" applyAlignment="1">
      <alignment horizontal="center"/>
    </xf>
    <xf numFmtId="0" fontId="28" fillId="23" borderId="18" xfId="48733" applyFont="1" applyFill="1" applyBorder="1" applyAlignment="1">
      <alignment horizontal="left"/>
    </xf>
    <xf numFmtId="0" fontId="28" fillId="23" borderId="20" xfId="48733" applyFont="1" applyFill="1" applyBorder="1" applyAlignment="1">
      <alignment horizontal="left"/>
    </xf>
    <xf numFmtId="0" fontId="27" fillId="45" borderId="55" xfId="48733" applyFont="1" applyFill="1" applyBorder="1" applyAlignment="1">
      <alignment horizontal="center"/>
    </xf>
    <xf numFmtId="0" fontId="5" fillId="0" borderId="1" xfId="48733" applyBorder="1" applyAlignment="1">
      <alignment horizontal="center"/>
    </xf>
    <xf numFmtId="0" fontId="5" fillId="0" borderId="41" xfId="48733" applyFill="1" applyBorder="1" applyAlignment="1">
      <alignment horizontal="center"/>
    </xf>
    <xf numFmtId="0" fontId="27" fillId="23" borderId="55" xfId="48733" applyFont="1" applyFill="1" applyBorder="1" applyAlignment="1">
      <alignment horizontal="center"/>
    </xf>
    <xf numFmtId="0" fontId="27" fillId="23" borderId="47" xfId="48733" applyFont="1" applyFill="1" applyBorder="1" applyAlignment="1">
      <alignment horizontal="center"/>
    </xf>
    <xf numFmtId="0" fontId="5" fillId="34" borderId="0" xfId="48733" applyFill="1" applyBorder="1" applyAlignment="1">
      <alignment horizontal="center"/>
    </xf>
    <xf numFmtId="0" fontId="27" fillId="23" borderId="32" xfId="48733" applyFont="1" applyFill="1" applyBorder="1" applyAlignment="1">
      <alignment horizontal="center"/>
    </xf>
    <xf numFmtId="0" fontId="27" fillId="23" borderId="56" xfId="48733" applyFont="1" applyFill="1" applyBorder="1" applyAlignment="1">
      <alignment horizontal="center"/>
    </xf>
    <xf numFmtId="0" fontId="27" fillId="23" borderId="57" xfId="48733" applyFont="1" applyFill="1" applyBorder="1" applyAlignment="1">
      <alignment horizontal="center"/>
    </xf>
    <xf numFmtId="0" fontId="27" fillId="23" borderId="62" xfId="48733" applyFont="1" applyFill="1" applyBorder="1" applyAlignment="1">
      <alignment horizontal="center"/>
    </xf>
    <xf numFmtId="0" fontId="22" fillId="0" borderId="0" xfId="48733" applyFont="1" applyAlignment="1">
      <alignment horizontal="left"/>
    </xf>
    <xf numFmtId="0" fontId="27" fillId="20" borderId="0" xfId="12" applyFont="1" applyFill="1" applyBorder="1" applyAlignment="1">
      <alignment horizontal="right"/>
    </xf>
    <xf numFmtId="0" fontId="22" fillId="20" borderId="18" xfId="48733" applyFont="1" applyFill="1" applyBorder="1" applyAlignment="1">
      <alignment horizontal="left"/>
    </xf>
    <xf numFmtId="0" fontId="22" fillId="20" borderId="15" xfId="48733" applyFont="1" applyFill="1" applyBorder="1" applyAlignment="1">
      <alignment horizontal="left"/>
    </xf>
    <xf numFmtId="0" fontId="27" fillId="23" borderId="1" xfId="48733" applyFont="1" applyFill="1" applyBorder="1" applyAlignment="1">
      <alignment horizontal="center"/>
    </xf>
    <xf numFmtId="0" fontId="91" fillId="0" borderId="24" xfId="48733" applyFont="1" applyBorder="1" applyAlignment="1">
      <alignment horizontal="left"/>
    </xf>
    <xf numFmtId="0" fontId="138" fillId="0" borderId="54" xfId="48733" applyFont="1" applyBorder="1" applyAlignment="1">
      <alignment horizontal="left"/>
    </xf>
    <xf numFmtId="0" fontId="5" fillId="0" borderId="21" xfId="48733" applyBorder="1" applyAlignment="1">
      <alignment horizontal="center"/>
    </xf>
    <xf numFmtId="0" fontId="5" fillId="20" borderId="1" xfId="48733" applyFill="1" applyBorder="1" applyAlignment="1">
      <alignment horizontal="left"/>
    </xf>
    <xf numFmtId="0" fontId="92" fillId="23" borderId="18" xfId="48733" applyFont="1" applyFill="1" applyBorder="1" applyAlignment="1">
      <alignment horizontal="center"/>
    </xf>
    <xf numFmtId="0" fontId="92" fillId="23" borderId="20" xfId="48733" applyFont="1" applyFill="1" applyBorder="1" applyAlignment="1">
      <alignment horizontal="center"/>
    </xf>
    <xf numFmtId="0" fontId="92" fillId="23" borderId="15" xfId="48733" applyFont="1" applyFill="1" applyBorder="1" applyAlignment="1">
      <alignment horizontal="center"/>
    </xf>
    <xf numFmtId="0" fontId="27" fillId="40" borderId="50" xfId="48733" applyFont="1" applyFill="1" applyBorder="1" applyAlignment="1">
      <alignment horizontal="center" vertical="center"/>
    </xf>
    <xf numFmtId="0" fontId="27" fillId="40" borderId="51" xfId="48733" applyFont="1" applyFill="1" applyBorder="1" applyAlignment="1">
      <alignment horizontal="center" vertical="center"/>
    </xf>
    <xf numFmtId="0" fontId="27" fillId="40" borderId="73" xfId="48733" applyFont="1" applyFill="1" applyBorder="1" applyAlignment="1">
      <alignment horizontal="center" vertical="center"/>
    </xf>
    <xf numFmtId="0" fontId="27" fillId="40" borderId="39" xfId="48733" applyFont="1" applyFill="1" applyBorder="1" applyAlignment="1">
      <alignment horizontal="center" vertical="center"/>
    </xf>
    <xf numFmtId="0" fontId="27" fillId="40" borderId="89" xfId="48733" applyFont="1" applyFill="1" applyBorder="1" applyAlignment="1">
      <alignment horizontal="center" vertical="center"/>
    </xf>
    <xf numFmtId="0" fontId="5" fillId="0" borderId="23" xfId="48733" applyBorder="1" applyAlignment="1">
      <alignment horizontal="center"/>
    </xf>
    <xf numFmtId="0" fontId="5" fillId="0" borderId="55" xfId="48733" applyBorder="1" applyAlignment="1">
      <alignment horizontal="center"/>
    </xf>
    <xf numFmtId="0" fontId="22" fillId="20" borderId="42" xfId="48733" applyFont="1" applyFill="1" applyBorder="1" applyAlignment="1">
      <alignment horizontal="center" vertical="center" wrapText="1"/>
    </xf>
    <xf numFmtId="0" fontId="22" fillId="20" borderId="29" xfId="48733" applyFont="1" applyFill="1" applyBorder="1" applyAlignment="1">
      <alignment horizontal="center" vertical="center" wrapText="1"/>
    </xf>
    <xf numFmtId="0" fontId="22" fillId="46" borderId="108" xfId="0" applyFont="1" applyFill="1" applyBorder="1" applyAlignment="1">
      <alignment horizontal="center"/>
    </xf>
    <xf numFmtId="0" fontId="22" fillId="46" borderId="108" xfId="0" applyFont="1" applyFill="1" applyBorder="1" applyAlignment="1">
      <alignment horizontal="left"/>
    </xf>
    <xf numFmtId="0" fontId="22" fillId="0" borderId="0" xfId="0" applyFont="1" applyBorder="1" applyAlignment="1">
      <alignment horizontal="center"/>
    </xf>
    <xf numFmtId="0" fontId="0" fillId="0" borderId="0" xfId="0" applyBorder="1" applyAlignment="1">
      <alignment horizontal="center"/>
    </xf>
    <xf numFmtId="0" fontId="52" fillId="0" borderId="42" xfId="0" applyFont="1" applyBorder="1" applyAlignment="1">
      <alignment horizontal="center" wrapText="1"/>
    </xf>
    <xf numFmtId="0" fontId="52" fillId="0" borderId="39" xfId="0" applyFont="1" applyBorder="1" applyAlignment="1">
      <alignment horizontal="center" wrapText="1"/>
    </xf>
    <xf numFmtId="0" fontId="52" fillId="0" borderId="40" xfId="0" applyFont="1" applyBorder="1" applyAlignment="1">
      <alignment horizontal="center" wrapText="1"/>
    </xf>
    <xf numFmtId="0" fontId="52" fillId="0" borderId="7" xfId="0" applyFont="1" applyBorder="1" applyAlignment="1">
      <alignment horizontal="center" wrapText="1"/>
    </xf>
    <xf numFmtId="0" fontId="52" fillId="0" borderId="13" xfId="0" applyFont="1" applyBorder="1" applyAlignment="1">
      <alignment horizontal="center" wrapText="1"/>
    </xf>
    <xf numFmtId="0" fontId="52" fillId="0" borderId="11" xfId="0" applyFont="1" applyBorder="1" applyAlignment="1">
      <alignment horizontal="center" wrapText="1"/>
    </xf>
    <xf numFmtId="0" fontId="27" fillId="0" borderId="42" xfId="0" applyFont="1" applyBorder="1" applyAlignment="1">
      <alignment horizontal="center" wrapText="1"/>
    </xf>
    <xf numFmtId="0" fontId="27" fillId="0" borderId="40" xfId="0" applyFont="1" applyBorder="1" applyAlignment="1">
      <alignment horizontal="center" wrapText="1"/>
    </xf>
    <xf numFmtId="0" fontId="27" fillId="0" borderId="7" xfId="0" applyFont="1" applyBorder="1" applyAlignment="1">
      <alignment horizontal="center" wrapText="1"/>
    </xf>
    <xf numFmtId="0" fontId="27" fillId="0" borderId="11" xfId="0" applyFont="1" applyBorder="1" applyAlignment="1">
      <alignment horizontal="center" wrapText="1"/>
    </xf>
    <xf numFmtId="0" fontId="27" fillId="29" borderId="42" xfId="0" applyFont="1" applyFill="1" applyBorder="1" applyAlignment="1">
      <alignment horizontal="center" vertical="center"/>
    </xf>
    <xf numFmtId="0" fontId="27" fillId="29" borderId="40" xfId="0" applyFont="1" applyFill="1" applyBorder="1" applyAlignment="1">
      <alignment horizontal="center" vertical="center"/>
    </xf>
    <xf numFmtId="0" fontId="27" fillId="29" borderId="7" xfId="0" applyFont="1" applyFill="1" applyBorder="1" applyAlignment="1">
      <alignment horizontal="center" vertical="center"/>
    </xf>
    <xf numFmtId="0" fontId="27" fillId="29" borderId="11" xfId="0" applyFont="1" applyFill="1" applyBorder="1" applyAlignment="1">
      <alignment horizontal="center" vertical="center"/>
    </xf>
    <xf numFmtId="0" fontId="27" fillId="0" borderId="39" xfId="0" applyFont="1" applyBorder="1" applyAlignment="1">
      <alignment horizontal="center" vertical="center" wrapText="1"/>
    </xf>
    <xf numFmtId="0" fontId="27" fillId="0" borderId="40" xfId="0" applyFont="1" applyBorder="1" applyAlignment="1">
      <alignment horizontal="center" vertical="center" wrapText="1"/>
    </xf>
    <xf numFmtId="0" fontId="27" fillId="0" borderId="13" xfId="0" applyFont="1" applyBorder="1" applyAlignment="1">
      <alignment horizontal="center" vertical="center" wrapText="1"/>
    </xf>
    <xf numFmtId="0" fontId="27" fillId="0" borderId="11" xfId="0" applyFont="1" applyBorder="1" applyAlignment="1">
      <alignment horizontal="center" vertical="center" wrapText="1"/>
    </xf>
    <xf numFmtId="0" fontId="27" fillId="0" borderId="42" xfId="0" applyFont="1" applyBorder="1" applyAlignment="1">
      <alignment horizontal="center" vertical="center"/>
    </xf>
    <xf numFmtId="0" fontId="27" fillId="0" borderId="40" xfId="0" applyFont="1" applyBorder="1" applyAlignment="1">
      <alignment horizontal="center" vertical="center"/>
    </xf>
    <xf numFmtId="0" fontId="27" fillId="0" borderId="7" xfId="0" applyFont="1" applyBorder="1" applyAlignment="1">
      <alignment horizontal="center" vertical="center"/>
    </xf>
    <xf numFmtId="0" fontId="27" fillId="0" borderId="11" xfId="0" applyFont="1" applyBorder="1" applyAlignment="1">
      <alignment horizontal="center" vertical="center"/>
    </xf>
    <xf numFmtId="0" fontId="27" fillId="119" borderId="0" xfId="0" applyFont="1" applyFill="1" applyBorder="1" applyAlignment="1">
      <alignment horizontal="center"/>
    </xf>
    <xf numFmtId="0" fontId="27" fillId="46" borderId="29" xfId="0" applyFont="1" applyFill="1" applyBorder="1" applyAlignment="1">
      <alignment horizontal="center"/>
    </xf>
    <xf numFmtId="0" fontId="27" fillId="46" borderId="0" xfId="0" applyFont="1" applyFill="1" applyBorder="1" applyAlignment="1">
      <alignment horizontal="center"/>
    </xf>
    <xf numFmtId="0" fontId="27" fillId="0" borderId="13" xfId="0" applyFont="1" applyBorder="1" applyAlignment="1">
      <alignment horizontal="center"/>
    </xf>
    <xf numFmtId="0" fontId="28" fillId="2" borderId="0" xfId="0" applyFont="1" applyFill="1" applyBorder="1" applyAlignment="1">
      <alignment horizontal="center" vertical="center"/>
    </xf>
    <xf numFmtId="0" fontId="44" fillId="19" borderId="0" xfId="0" applyFont="1" applyFill="1" applyAlignment="1">
      <alignment horizontal="center"/>
    </xf>
    <xf numFmtId="0" fontId="44" fillId="11" borderId="0" xfId="0" applyFont="1" applyFill="1" applyAlignment="1">
      <alignment horizontal="center"/>
    </xf>
    <xf numFmtId="0" fontId="27" fillId="18" borderId="0" xfId="0" applyFont="1" applyFill="1" applyAlignment="1">
      <alignment horizontal="center"/>
    </xf>
    <xf numFmtId="0" fontId="44" fillId="89" borderId="0" xfId="0" applyFont="1" applyFill="1" applyAlignment="1">
      <alignment horizontal="center"/>
    </xf>
    <xf numFmtId="0" fontId="44" fillId="10" borderId="0" xfId="0" applyFont="1" applyFill="1" applyAlignment="1">
      <alignment horizontal="center"/>
    </xf>
    <xf numFmtId="0" fontId="27" fillId="0" borderId="11" xfId="0" applyFont="1" applyBorder="1" applyAlignment="1">
      <alignment horizontal="center"/>
    </xf>
    <xf numFmtId="0" fontId="22" fillId="39" borderId="37" xfId="0" applyFont="1" applyFill="1" applyBorder="1" applyAlignment="1">
      <alignment horizontal="center"/>
    </xf>
    <xf numFmtId="0" fontId="0" fillId="39" borderId="38" xfId="0" applyFill="1" applyBorder="1" applyAlignment="1">
      <alignment horizontal="center"/>
    </xf>
    <xf numFmtId="0" fontId="0" fillId="39" borderId="2" xfId="0" applyFill="1" applyBorder="1" applyAlignment="1">
      <alignment horizontal="center"/>
    </xf>
    <xf numFmtId="0" fontId="27" fillId="0" borderId="0" xfId="0" applyFont="1" applyBorder="1" applyAlignment="1">
      <alignment horizontal="center"/>
    </xf>
    <xf numFmtId="0" fontId="51" fillId="0" borderId="44" xfId="0" applyFont="1" applyBorder="1" applyAlignment="1">
      <alignment horizontal="center"/>
    </xf>
    <xf numFmtId="0" fontId="23" fillId="32" borderId="26" xfId="0" applyFont="1" applyFill="1" applyBorder="1" applyAlignment="1">
      <alignment horizontal="center"/>
    </xf>
    <xf numFmtId="0" fontId="27" fillId="36" borderId="18" xfId="0" applyFont="1" applyFill="1" applyBorder="1" applyAlignment="1">
      <alignment horizontal="center"/>
    </xf>
    <xf numFmtId="0" fontId="27" fillId="36" borderId="20" xfId="0" applyFont="1" applyFill="1" applyBorder="1" applyAlignment="1">
      <alignment horizontal="center"/>
    </xf>
    <xf numFmtId="0" fontId="27" fillId="36" borderId="15" xfId="0" applyFont="1" applyFill="1" applyBorder="1" applyAlignment="1">
      <alignment horizontal="center"/>
    </xf>
    <xf numFmtId="0" fontId="44" fillId="17" borderId="0" xfId="0" applyFont="1" applyFill="1" applyAlignment="1">
      <alignment horizontal="center"/>
    </xf>
    <xf numFmtId="0" fontId="23" fillId="39" borderId="61" xfId="0" applyFont="1" applyFill="1" applyBorder="1" applyAlignment="1">
      <alignment horizontal="center"/>
    </xf>
    <xf numFmtId="0" fontId="23" fillId="39" borderId="56" xfId="0" applyFont="1" applyFill="1" applyBorder="1" applyAlignment="1">
      <alignment horizontal="center"/>
    </xf>
    <xf numFmtId="0" fontId="23" fillId="39" borderId="57" xfId="0" applyFont="1" applyFill="1" applyBorder="1" applyAlignment="1">
      <alignment horizontal="center"/>
    </xf>
    <xf numFmtId="0" fontId="23" fillId="37" borderId="26" xfId="0" applyFont="1" applyFill="1" applyBorder="1" applyAlignment="1">
      <alignment horizontal="center"/>
    </xf>
    <xf numFmtId="0" fontId="27" fillId="5" borderId="26" xfId="0" applyFont="1" applyFill="1" applyBorder="1" applyAlignment="1">
      <alignment horizontal="center"/>
    </xf>
    <xf numFmtId="0" fontId="27" fillId="5" borderId="27" xfId="0" applyFont="1" applyFill="1" applyBorder="1" applyAlignment="1">
      <alignment horizontal="center"/>
    </xf>
    <xf numFmtId="0" fontId="27" fillId="33" borderId="29" xfId="0" applyFont="1" applyFill="1" applyBorder="1" applyAlignment="1">
      <alignment horizontal="center"/>
    </xf>
    <xf numFmtId="0" fontId="27" fillId="33" borderId="0" xfId="0" applyFont="1" applyFill="1" applyBorder="1" applyAlignment="1">
      <alignment horizontal="center"/>
    </xf>
    <xf numFmtId="0" fontId="27" fillId="48" borderId="42" xfId="0" applyFont="1" applyFill="1" applyBorder="1" applyAlignment="1">
      <alignment horizontal="center"/>
    </xf>
    <xf numFmtId="0" fontId="27" fillId="48" borderId="39" xfId="0" applyFont="1" applyFill="1" applyBorder="1" applyAlignment="1">
      <alignment horizontal="center"/>
    </xf>
    <xf numFmtId="0" fontId="27" fillId="31" borderId="42" xfId="0" applyFont="1" applyFill="1" applyBorder="1" applyAlignment="1">
      <alignment horizontal="center"/>
    </xf>
    <xf numFmtId="0" fontId="27" fillId="31" borderId="39" xfId="0" applyFont="1" applyFill="1" applyBorder="1" applyAlignment="1">
      <alignment horizontal="center"/>
    </xf>
    <xf numFmtId="0" fontId="27" fillId="31" borderId="40" xfId="0" applyFont="1" applyFill="1" applyBorder="1" applyAlignment="1">
      <alignment horizontal="center"/>
    </xf>
    <xf numFmtId="0" fontId="27" fillId="122" borderId="0" xfId="0" applyFont="1" applyFill="1" applyBorder="1" applyAlignment="1">
      <alignment horizontal="center"/>
    </xf>
    <xf numFmtId="0" fontId="27" fillId="0" borderId="42" xfId="0" applyFont="1" applyFill="1" applyBorder="1" applyAlignment="1">
      <alignment horizontal="center"/>
    </xf>
    <xf numFmtId="0" fontId="27" fillId="0" borderId="39" xfId="0" applyFont="1" applyFill="1" applyBorder="1" applyAlignment="1">
      <alignment horizontal="center"/>
    </xf>
    <xf numFmtId="0" fontId="27" fillId="0" borderId="40" xfId="0" applyFont="1" applyFill="1" applyBorder="1" applyAlignment="1">
      <alignment horizontal="center"/>
    </xf>
    <xf numFmtId="0" fontId="27" fillId="29" borderId="42" xfId="0" applyFont="1" applyFill="1" applyBorder="1" applyAlignment="1">
      <alignment horizontal="center"/>
    </xf>
    <xf numFmtId="0" fontId="27" fillId="29" borderId="39" xfId="0" applyFont="1" applyFill="1" applyBorder="1" applyAlignment="1">
      <alignment horizontal="center"/>
    </xf>
    <xf numFmtId="0" fontId="117" fillId="46" borderId="0" xfId="0" applyFont="1" applyFill="1" applyAlignment="1">
      <alignment horizontal="center"/>
    </xf>
    <xf numFmtId="0" fontId="118" fillId="3" borderId="37" xfId="0" applyFont="1" applyFill="1" applyBorder="1" applyAlignment="1">
      <alignment horizontal="center"/>
    </xf>
    <xf numFmtId="0" fontId="118" fillId="3" borderId="38" xfId="0" applyFont="1" applyFill="1" applyBorder="1" applyAlignment="1">
      <alignment horizontal="center"/>
    </xf>
    <xf numFmtId="0" fontId="118" fillId="3" borderId="2" xfId="0" applyFont="1" applyFill="1" applyBorder="1" applyAlignment="1">
      <alignment horizontal="center"/>
    </xf>
    <xf numFmtId="0" fontId="118" fillId="3" borderId="42" xfId="0" applyFont="1" applyFill="1" applyBorder="1" applyAlignment="1">
      <alignment horizontal="center" vertical="center" wrapText="1"/>
    </xf>
    <xf numFmtId="0" fontId="118" fillId="3" borderId="89" xfId="0" applyFont="1" applyFill="1" applyBorder="1" applyAlignment="1">
      <alignment horizontal="center" vertical="center" wrapText="1"/>
    </xf>
    <xf numFmtId="0" fontId="118" fillId="3" borderId="73" xfId="0" applyFont="1" applyFill="1" applyBorder="1" applyAlignment="1">
      <alignment horizontal="center" vertical="center" wrapText="1"/>
    </xf>
    <xf numFmtId="0" fontId="118" fillId="3" borderId="39" xfId="0" applyFont="1" applyFill="1" applyBorder="1" applyAlignment="1">
      <alignment horizontal="center" vertical="center" wrapText="1"/>
    </xf>
    <xf numFmtId="0" fontId="118" fillId="3" borderId="37" xfId="0" applyFont="1" applyFill="1" applyBorder="1" applyAlignment="1">
      <alignment horizontal="center" vertical="center" wrapText="1"/>
    </xf>
    <xf numFmtId="0" fontId="118" fillId="3" borderId="38" xfId="0" applyFont="1" applyFill="1" applyBorder="1" applyAlignment="1">
      <alignment horizontal="center" vertical="center" wrapText="1"/>
    </xf>
    <xf numFmtId="0" fontId="118" fillId="3" borderId="2" xfId="0" applyFont="1" applyFill="1" applyBorder="1" applyAlignment="1">
      <alignment horizontal="center" vertical="center" wrapText="1"/>
    </xf>
    <xf numFmtId="0" fontId="22" fillId="46" borderId="52" xfId="0" applyFont="1" applyFill="1" applyBorder="1" applyAlignment="1">
      <alignment horizontal="center" vertical="center"/>
    </xf>
    <xf numFmtId="0" fontId="0" fillId="46" borderId="66" xfId="0" applyFill="1" applyBorder="1" applyAlignment="1">
      <alignment horizontal="center" vertical="center"/>
    </xf>
    <xf numFmtId="0" fontId="22" fillId="0" borderId="108" xfId="0" applyFont="1" applyBorder="1" applyAlignment="1">
      <alignment horizontal="center"/>
    </xf>
    <xf numFmtId="0" fontId="73" fillId="0" borderId="108" xfId="0" applyFont="1" applyBorder="1" applyAlignment="1">
      <alignment vertical="center"/>
    </xf>
    <xf numFmtId="0" fontId="22" fillId="37" borderId="67" xfId="0" applyFont="1" applyFill="1" applyBorder="1" applyAlignment="1">
      <alignment horizontal="center" vertical="center"/>
    </xf>
    <xf numFmtId="0" fontId="22" fillId="37" borderId="68" xfId="0" applyFont="1" applyFill="1" applyBorder="1" applyAlignment="1">
      <alignment horizontal="center" vertical="center"/>
    </xf>
    <xf numFmtId="0" fontId="22" fillId="37" borderId="12" xfId="0" applyFont="1" applyFill="1" applyBorder="1" applyAlignment="1">
      <alignment horizontal="center" vertical="center"/>
    </xf>
    <xf numFmtId="0" fontId="22" fillId="37" borderId="67" xfId="0" applyFont="1" applyFill="1" applyBorder="1" applyAlignment="1">
      <alignment horizontal="center"/>
    </xf>
    <xf numFmtId="0" fontId="22" fillId="37" borderId="12" xfId="0" applyFont="1" applyFill="1" applyBorder="1" applyAlignment="1">
      <alignment horizontal="center"/>
    </xf>
    <xf numFmtId="0" fontId="22" fillId="23" borderId="52" xfId="0" applyFont="1" applyFill="1" applyBorder="1" applyAlignment="1">
      <alignment horizontal="center" vertical="center"/>
    </xf>
    <xf numFmtId="0" fontId="22" fillId="23" borderId="66" xfId="0" applyFont="1" applyFill="1" applyBorder="1" applyAlignment="1">
      <alignment horizontal="center" vertical="center"/>
    </xf>
    <xf numFmtId="0" fontId="22" fillId="46" borderId="65" xfId="0" applyFont="1" applyFill="1" applyBorder="1" applyAlignment="1">
      <alignment horizontal="center" vertical="center"/>
    </xf>
    <xf numFmtId="0" fontId="22" fillId="46" borderId="66" xfId="0" applyFont="1" applyFill="1" applyBorder="1" applyAlignment="1">
      <alignment horizontal="center" vertical="center"/>
    </xf>
    <xf numFmtId="0" fontId="22" fillId="37" borderId="51" xfId="0" applyFont="1" applyFill="1" applyBorder="1" applyAlignment="1">
      <alignment horizontal="center" vertical="center"/>
    </xf>
    <xf numFmtId="0" fontId="22" fillId="37" borderId="10" xfId="0" applyFont="1" applyFill="1" applyBorder="1" applyAlignment="1">
      <alignment horizontal="center" vertical="center"/>
    </xf>
    <xf numFmtId="0" fontId="22" fillId="37" borderId="52" xfId="0" applyFont="1" applyFill="1" applyBorder="1" applyAlignment="1">
      <alignment horizontal="center" wrapText="1"/>
    </xf>
    <xf numFmtId="0" fontId="22" fillId="37" borderId="66" xfId="0" applyFont="1" applyFill="1" applyBorder="1" applyAlignment="1">
      <alignment horizontal="center" wrapText="1"/>
    </xf>
    <xf numFmtId="0" fontId="22" fillId="37" borderId="50" xfId="0" applyFont="1" applyFill="1" applyBorder="1" applyAlignment="1">
      <alignment horizontal="left"/>
    </xf>
    <xf numFmtId="0" fontId="22" fillId="37" borderId="72" xfId="0" applyFont="1" applyFill="1" applyBorder="1" applyAlignment="1">
      <alignment horizontal="left"/>
    </xf>
    <xf numFmtId="0" fontId="22" fillId="46" borderId="55" xfId="0" applyFont="1" applyFill="1" applyBorder="1" applyAlignment="1">
      <alignment horizontal="center"/>
    </xf>
    <xf numFmtId="0" fontId="22" fillId="46" borderId="5" xfId="0" applyFont="1" applyFill="1" applyBorder="1" applyAlignment="1">
      <alignment horizontal="center"/>
    </xf>
    <xf numFmtId="0" fontId="22" fillId="46" borderId="55" xfId="0" applyFont="1" applyFill="1" applyBorder="1" applyAlignment="1">
      <alignment horizontal="left"/>
    </xf>
    <xf numFmtId="0" fontId="22" fillId="46" borderId="5" xfId="0" applyFont="1" applyFill="1" applyBorder="1" applyAlignment="1">
      <alignment horizontal="left"/>
    </xf>
    <xf numFmtId="0" fontId="22" fillId="27" borderId="50" xfId="0" applyFont="1" applyFill="1" applyBorder="1" applyAlignment="1">
      <alignment horizontal="left"/>
    </xf>
    <xf numFmtId="0" fontId="22" fillId="27" borderId="72" xfId="0" applyFont="1" applyFill="1" applyBorder="1" applyAlignment="1">
      <alignment horizontal="left"/>
    </xf>
    <xf numFmtId="0" fontId="22" fillId="27" borderId="65" xfId="0" applyFont="1" applyFill="1" applyBorder="1" applyAlignment="1">
      <alignment horizontal="left"/>
    </xf>
    <xf numFmtId="0" fontId="22" fillId="27" borderId="66" xfId="0" applyFont="1" applyFill="1" applyBorder="1" applyAlignment="1">
      <alignment horizontal="left"/>
    </xf>
    <xf numFmtId="0" fontId="22" fillId="37" borderId="52" xfId="0" applyFont="1" applyFill="1" applyBorder="1" applyAlignment="1">
      <alignment horizontal="left"/>
    </xf>
    <xf numFmtId="0" fontId="22" fillId="37" borderId="66" xfId="0" applyFont="1" applyFill="1" applyBorder="1" applyAlignment="1">
      <alignment horizontal="left"/>
    </xf>
    <xf numFmtId="0" fontId="22" fillId="27" borderId="52" xfId="0" applyFont="1" applyFill="1" applyBorder="1" applyAlignment="1">
      <alignment horizontal="left"/>
    </xf>
    <xf numFmtId="0" fontId="22" fillId="27" borderId="31" xfId="0" applyFont="1" applyFill="1" applyBorder="1" applyAlignment="1">
      <alignment horizontal="left"/>
    </xf>
    <xf numFmtId="0" fontId="22" fillId="46" borderId="54" xfId="0" applyFont="1" applyFill="1" applyBorder="1" applyAlignment="1">
      <alignment horizontal="center"/>
    </xf>
    <xf numFmtId="0" fontId="22" fillId="37" borderId="67" xfId="0" applyFont="1" applyFill="1" applyBorder="1" applyAlignment="1">
      <alignment horizontal="center" vertical="center" wrapText="1"/>
    </xf>
    <xf numFmtId="0" fontId="22" fillId="37" borderId="68" xfId="0" applyFont="1" applyFill="1" applyBorder="1" applyAlignment="1">
      <alignment horizontal="center" vertical="center" wrapText="1"/>
    </xf>
    <xf numFmtId="0" fontId="22" fillId="37" borderId="12" xfId="0" applyFont="1" applyFill="1" applyBorder="1" applyAlignment="1">
      <alignment horizontal="center" vertical="center" wrapText="1"/>
    </xf>
    <xf numFmtId="0" fontId="22" fillId="27" borderId="67" xfId="0" applyFont="1" applyFill="1" applyBorder="1" applyAlignment="1">
      <alignment horizontal="center" vertical="center" wrapText="1"/>
    </xf>
    <xf numFmtId="0" fontId="22" fillId="27" borderId="12" xfId="0" applyFont="1" applyFill="1" applyBorder="1" applyAlignment="1">
      <alignment horizontal="center" vertical="center" wrapText="1"/>
    </xf>
    <xf numFmtId="0" fontId="22" fillId="27" borderId="67" xfId="0" applyFont="1" applyFill="1" applyBorder="1" applyAlignment="1">
      <alignment horizontal="center" vertical="center"/>
    </xf>
    <xf numFmtId="0" fontId="0" fillId="27" borderId="12" xfId="0" applyFill="1" applyBorder="1" applyAlignment="1">
      <alignment horizontal="center" vertical="center"/>
    </xf>
    <xf numFmtId="0" fontId="0" fillId="37" borderId="68" xfId="0" applyFill="1" applyBorder="1" applyAlignment="1">
      <alignment horizontal="center" vertical="center"/>
    </xf>
    <xf numFmtId="0" fontId="22" fillId="23" borderId="52" xfId="0" applyFont="1" applyFill="1" applyBorder="1" applyAlignment="1">
      <alignment horizontal="center"/>
    </xf>
    <xf numFmtId="0" fontId="22" fillId="23" borderId="66" xfId="0" applyFont="1" applyFill="1" applyBorder="1" applyAlignment="1">
      <alignment horizontal="center"/>
    </xf>
    <xf numFmtId="0" fontId="0" fillId="46" borderId="65" xfId="0" applyFill="1" applyBorder="1" applyAlignment="1">
      <alignment horizontal="center" vertical="center"/>
    </xf>
    <xf numFmtId="0" fontId="22" fillId="116" borderId="67" xfId="0" applyFont="1" applyFill="1" applyBorder="1" applyAlignment="1">
      <alignment horizontal="center" vertical="center" wrapText="1"/>
    </xf>
    <xf numFmtId="0" fontId="22" fillId="116" borderId="12" xfId="0" applyFont="1" applyFill="1" applyBorder="1" applyAlignment="1">
      <alignment horizontal="center" vertical="center" wrapText="1"/>
    </xf>
    <xf numFmtId="0" fontId="22" fillId="117" borderId="67" xfId="0" applyFont="1" applyFill="1" applyBorder="1" applyAlignment="1">
      <alignment horizontal="center" vertical="center" wrapText="1"/>
    </xf>
    <xf numFmtId="0" fontId="22" fillId="117" borderId="68" xfId="0" applyFont="1" applyFill="1" applyBorder="1" applyAlignment="1">
      <alignment horizontal="center" vertical="center" wrapText="1"/>
    </xf>
    <xf numFmtId="0" fontId="22" fillId="117" borderId="12" xfId="0" applyFont="1" applyFill="1" applyBorder="1" applyAlignment="1">
      <alignment horizontal="center" vertical="center" wrapText="1"/>
    </xf>
    <xf numFmtId="0" fontId="22" fillId="27" borderId="12" xfId="0" applyFont="1" applyFill="1" applyBorder="1" applyAlignment="1">
      <alignment horizontal="center" vertical="center"/>
    </xf>
    <xf numFmtId="0" fontId="0" fillId="37" borderId="50" xfId="0" applyFill="1" applyBorder="1" applyAlignment="1">
      <alignment horizontal="left"/>
    </xf>
    <xf numFmtId="0" fontId="0" fillId="37" borderId="72" xfId="0" applyFill="1" applyBorder="1" applyAlignment="1">
      <alignment horizontal="left"/>
    </xf>
    <xf numFmtId="0" fontId="0" fillId="27" borderId="50" xfId="0" applyFill="1" applyBorder="1" applyAlignment="1">
      <alignment horizontal="left"/>
    </xf>
    <xf numFmtId="0" fontId="0" fillId="27" borderId="72" xfId="0" applyFill="1" applyBorder="1" applyAlignment="1">
      <alignment horizontal="left"/>
    </xf>
    <xf numFmtId="0" fontId="0" fillId="27" borderId="51" xfId="0" applyFill="1" applyBorder="1" applyAlignment="1">
      <alignment horizontal="left"/>
    </xf>
    <xf numFmtId="0" fontId="0" fillId="27" borderId="10" xfId="0" applyFill="1" applyBorder="1" applyAlignment="1">
      <alignment horizontal="left"/>
    </xf>
    <xf numFmtId="0" fontId="0" fillId="37" borderId="51" xfId="0" applyFill="1" applyBorder="1" applyAlignment="1">
      <alignment horizontal="left"/>
    </xf>
    <xf numFmtId="0" fontId="0" fillId="37" borderId="3" xfId="0" applyFill="1" applyBorder="1" applyAlignment="1">
      <alignment horizontal="left"/>
    </xf>
    <xf numFmtId="0" fontId="27" fillId="117" borderId="40" xfId="0" applyFont="1" applyFill="1" applyBorder="1" applyAlignment="1">
      <alignment horizontal="center" vertical="center" wrapText="1"/>
    </xf>
    <xf numFmtId="0" fontId="27" fillId="117" borderId="36" xfId="0" applyFont="1" applyFill="1" applyBorder="1" applyAlignment="1">
      <alignment horizontal="center" vertical="center" wrapText="1"/>
    </xf>
    <xf numFmtId="0" fontId="27" fillId="117" borderId="11" xfId="0" applyFont="1" applyFill="1" applyBorder="1" applyAlignment="1">
      <alignment horizontal="center" vertical="center" wrapText="1"/>
    </xf>
    <xf numFmtId="0" fontId="0" fillId="27" borderId="51" xfId="0" applyFill="1" applyBorder="1" applyAlignment="1">
      <alignment horizontal="center"/>
    </xf>
    <xf numFmtId="0" fontId="0" fillId="27" borderId="10" xfId="0" applyFill="1" applyBorder="1" applyAlignment="1">
      <alignment horizontal="center"/>
    </xf>
    <xf numFmtId="0" fontId="0" fillId="37" borderId="51" xfId="0" applyFill="1" applyBorder="1" applyAlignment="1">
      <alignment horizontal="center"/>
    </xf>
    <xf numFmtId="0" fontId="0" fillId="37" borderId="3" xfId="0" applyFill="1" applyBorder="1" applyAlignment="1">
      <alignment horizontal="center"/>
    </xf>
    <xf numFmtId="0" fontId="27" fillId="37" borderId="40" xfId="0" applyFont="1" applyFill="1" applyBorder="1" applyAlignment="1">
      <alignment horizontal="center" vertical="center" wrapText="1"/>
    </xf>
    <xf numFmtId="0" fontId="27" fillId="37" borderId="36" xfId="0" applyFont="1" applyFill="1" applyBorder="1" applyAlignment="1">
      <alignment horizontal="center" vertical="center" wrapText="1"/>
    </xf>
    <xf numFmtId="0" fontId="27" fillId="37" borderId="11" xfId="0" applyFont="1" applyFill="1" applyBorder="1" applyAlignment="1">
      <alignment horizontal="center" vertical="center" wrapText="1"/>
    </xf>
    <xf numFmtId="0" fontId="22" fillId="37" borderId="47" xfId="0" applyFont="1" applyFill="1" applyBorder="1" applyAlignment="1">
      <alignment horizontal="center" vertical="center"/>
    </xf>
    <xf numFmtId="0" fontId="22" fillId="37" borderId="41" xfId="0" applyFont="1" applyFill="1" applyBorder="1" applyAlignment="1">
      <alignment horizontal="center" vertical="center"/>
    </xf>
    <xf numFmtId="0" fontId="22" fillId="27" borderId="39" xfId="0" applyFont="1" applyFill="1" applyBorder="1" applyAlignment="1">
      <alignment horizontal="center" vertical="center"/>
    </xf>
    <xf numFmtId="0" fontId="22" fillId="27" borderId="13" xfId="0" applyFont="1" applyFill="1" applyBorder="1" applyAlignment="1">
      <alignment horizontal="center" vertical="center"/>
    </xf>
    <xf numFmtId="0" fontId="22" fillId="27" borderId="52" xfId="0" applyFont="1" applyFill="1" applyBorder="1" applyAlignment="1">
      <alignment horizontal="center" wrapText="1"/>
    </xf>
    <xf numFmtId="0" fontId="22" fillId="27" borderId="66" xfId="0" applyFont="1" applyFill="1" applyBorder="1" applyAlignment="1">
      <alignment horizontal="center"/>
    </xf>
    <xf numFmtId="0" fontId="0" fillId="37" borderId="51" xfId="0" applyFill="1" applyBorder="1" applyAlignment="1">
      <alignment horizontal="center" vertical="center"/>
    </xf>
    <xf numFmtId="0" fontId="0" fillId="37" borderId="3" xfId="0" applyFill="1" applyBorder="1" applyAlignment="1">
      <alignment horizontal="center" vertical="center"/>
    </xf>
    <xf numFmtId="0" fontId="0" fillId="37" borderId="55" xfId="0" applyFill="1" applyBorder="1" applyAlignment="1">
      <alignment horizontal="center" vertical="center"/>
    </xf>
    <xf numFmtId="0" fontId="0" fillId="37" borderId="1" xfId="0" applyFill="1" applyBorder="1" applyAlignment="1">
      <alignment horizontal="center" vertical="center"/>
    </xf>
    <xf numFmtId="0" fontId="22" fillId="27" borderId="56" xfId="0" applyFont="1" applyFill="1" applyBorder="1" applyAlignment="1">
      <alignment horizontal="center" vertical="center"/>
    </xf>
    <xf numFmtId="0" fontId="0" fillId="27" borderId="71" xfId="0" applyFill="1" applyBorder="1" applyAlignment="1">
      <alignment horizontal="center" vertical="center"/>
    </xf>
    <xf numFmtId="0" fontId="22" fillId="37" borderId="56" xfId="0" applyFont="1" applyFill="1" applyBorder="1" applyAlignment="1">
      <alignment horizontal="center" vertical="center"/>
    </xf>
    <xf numFmtId="0" fontId="22" fillId="37" borderId="71" xfId="0" applyFont="1" applyFill="1" applyBorder="1" applyAlignment="1">
      <alignment horizontal="center" vertical="center"/>
    </xf>
    <xf numFmtId="0" fontId="22" fillId="23" borderId="51" xfId="0" applyFont="1" applyFill="1" applyBorder="1" applyAlignment="1">
      <alignment horizontal="center" vertical="center"/>
    </xf>
    <xf numFmtId="0" fontId="22" fillId="23" borderId="10" xfId="0" applyFont="1" applyFill="1" applyBorder="1" applyAlignment="1">
      <alignment horizontal="center" vertical="center"/>
    </xf>
    <xf numFmtId="0" fontId="22" fillId="23" borderId="51" xfId="0" applyFont="1" applyFill="1" applyBorder="1" applyAlignment="1">
      <alignment horizontal="center" wrapText="1"/>
    </xf>
    <xf numFmtId="0" fontId="22" fillId="23" borderId="10" xfId="0" applyFont="1" applyFill="1" applyBorder="1" applyAlignment="1">
      <alignment horizontal="center"/>
    </xf>
    <xf numFmtId="0" fontId="22" fillId="37" borderId="51" xfId="0" applyFont="1" applyFill="1" applyBorder="1" applyAlignment="1">
      <alignment horizontal="center"/>
    </xf>
    <xf numFmtId="0" fontId="22" fillId="37" borderId="10" xfId="0" applyFont="1" applyFill="1" applyBorder="1" applyAlignment="1">
      <alignment horizontal="center"/>
    </xf>
    <xf numFmtId="0" fontId="22" fillId="23" borderId="51" xfId="0" applyFont="1" applyFill="1" applyBorder="1" applyAlignment="1">
      <alignment horizontal="center"/>
    </xf>
    <xf numFmtId="0" fontId="22" fillId="37" borderId="41" xfId="0" applyFont="1" applyFill="1" applyBorder="1" applyAlignment="1">
      <alignment horizontal="left"/>
    </xf>
    <xf numFmtId="0" fontId="22" fillId="37" borderId="48" xfId="0" applyFont="1" applyFill="1" applyBorder="1" applyAlignment="1">
      <alignment horizontal="left"/>
    </xf>
    <xf numFmtId="0" fontId="22" fillId="37" borderId="51" xfId="0" applyFont="1" applyFill="1" applyBorder="1" applyAlignment="1">
      <alignment horizontal="left"/>
    </xf>
    <xf numFmtId="0" fontId="22" fillId="37" borderId="10" xfId="0" applyFont="1" applyFill="1" applyBorder="1" applyAlignment="1">
      <alignment horizontal="left"/>
    </xf>
    <xf numFmtId="0" fontId="22" fillId="37" borderId="1" xfId="0" applyFont="1" applyFill="1" applyBorder="1" applyAlignment="1">
      <alignment horizontal="left"/>
    </xf>
    <xf numFmtId="0" fontId="22" fillId="37" borderId="54" xfId="0" applyFont="1" applyFill="1" applyBorder="1" applyAlignment="1">
      <alignment horizontal="left"/>
    </xf>
    <xf numFmtId="0" fontId="22" fillId="27" borderId="51" xfId="0" applyFont="1" applyFill="1" applyBorder="1" applyAlignment="1">
      <alignment horizontal="left"/>
    </xf>
    <xf numFmtId="0" fontId="22" fillId="27" borderId="3" xfId="0" applyFont="1" applyFill="1" applyBorder="1" applyAlignment="1">
      <alignment horizontal="left"/>
    </xf>
    <xf numFmtId="0" fontId="0" fillId="27" borderId="52" xfId="0" applyFill="1" applyBorder="1" applyAlignment="1">
      <alignment horizontal="left"/>
    </xf>
    <xf numFmtId="0" fontId="0" fillId="27" borderId="66" xfId="0" applyFill="1" applyBorder="1" applyAlignment="1">
      <alignment horizontal="left"/>
    </xf>
    <xf numFmtId="0" fontId="22" fillId="37" borderId="1" xfId="0" applyFont="1" applyFill="1" applyBorder="1" applyAlignment="1">
      <alignment horizontal="center"/>
    </xf>
    <xf numFmtId="0" fontId="22" fillId="37" borderId="54" xfId="0" applyFont="1" applyFill="1" applyBorder="1" applyAlignment="1">
      <alignment horizontal="center"/>
    </xf>
    <xf numFmtId="0" fontId="0" fillId="37" borderId="52" xfId="0" applyFill="1" applyBorder="1" applyAlignment="1">
      <alignment horizontal="left"/>
    </xf>
    <xf numFmtId="0" fontId="0" fillId="37" borderId="65" xfId="0" applyFill="1" applyBorder="1" applyAlignment="1">
      <alignment horizontal="left"/>
    </xf>
    <xf numFmtId="0" fontId="0" fillId="37" borderId="66" xfId="0" applyFill="1" applyBorder="1" applyAlignment="1">
      <alignment horizontal="left"/>
    </xf>
    <xf numFmtId="0" fontId="22" fillId="37" borderId="52" xfId="0" applyFont="1" applyFill="1" applyBorder="1" applyAlignment="1">
      <alignment horizontal="center" vertical="center"/>
    </xf>
    <xf numFmtId="0" fontId="0" fillId="37" borderId="66" xfId="0" applyFill="1" applyBorder="1" applyAlignment="1">
      <alignment horizontal="center" vertical="center"/>
    </xf>
    <xf numFmtId="0" fontId="22" fillId="27" borderId="51" xfId="0" applyFont="1" applyFill="1" applyBorder="1" applyAlignment="1">
      <alignment horizontal="center"/>
    </xf>
    <xf numFmtId="0" fontId="22" fillId="27" borderId="3" xfId="0" applyFont="1" applyFill="1" applyBorder="1" applyAlignment="1">
      <alignment horizontal="center"/>
    </xf>
    <xf numFmtId="0" fontId="22" fillId="37" borderId="55" xfId="0" applyFont="1" applyFill="1" applyBorder="1" applyAlignment="1">
      <alignment horizontal="center"/>
    </xf>
    <xf numFmtId="0" fontId="22" fillId="37" borderId="55" xfId="0" applyFont="1" applyFill="1" applyBorder="1" applyAlignment="1">
      <alignment horizontal="left"/>
    </xf>
    <xf numFmtId="0" fontId="0" fillId="37" borderId="31" xfId="0" applyFill="1" applyBorder="1" applyAlignment="1">
      <alignment horizontal="left"/>
    </xf>
    <xf numFmtId="0" fontId="0" fillId="27" borderId="20" xfId="0" applyFill="1" applyBorder="1" applyAlignment="1">
      <alignment horizontal="center" vertical="center"/>
    </xf>
    <xf numFmtId="0" fontId="22" fillId="37" borderId="39" xfId="0" applyFont="1" applyFill="1" applyBorder="1" applyAlignment="1">
      <alignment horizontal="center" vertical="center"/>
    </xf>
    <xf numFmtId="0" fontId="22" fillId="37" borderId="0" xfId="0" applyFont="1" applyFill="1" applyBorder="1" applyAlignment="1">
      <alignment horizontal="center" vertical="center"/>
    </xf>
    <xf numFmtId="0" fontId="27" fillId="116" borderId="67" xfId="0" applyFont="1" applyFill="1" applyBorder="1" applyAlignment="1">
      <alignment horizontal="center" vertical="center" wrapText="1"/>
    </xf>
    <xf numFmtId="0" fontId="27" fillId="116" borderId="68" xfId="0" applyFont="1" applyFill="1" applyBorder="1" applyAlignment="1">
      <alignment horizontal="center" vertical="center" wrapText="1"/>
    </xf>
    <xf numFmtId="0" fontId="27" fillId="116" borderId="68" xfId="0" applyFont="1" applyFill="1" applyBorder="1" applyAlignment="1">
      <alignment horizontal="center" vertical="center"/>
    </xf>
    <xf numFmtId="0" fontId="22" fillId="37" borderId="20" xfId="0" applyFont="1" applyFill="1" applyBorder="1" applyAlignment="1">
      <alignment horizontal="center" vertical="center"/>
    </xf>
    <xf numFmtId="0" fontId="27" fillId="37" borderId="67" xfId="0" applyFont="1" applyFill="1" applyBorder="1" applyAlignment="1">
      <alignment horizontal="center" vertical="center" wrapText="1"/>
    </xf>
    <xf numFmtId="0" fontId="27" fillId="37" borderId="68" xfId="0" applyFont="1" applyFill="1" applyBorder="1" applyAlignment="1">
      <alignment horizontal="center" vertical="center" wrapText="1"/>
    </xf>
    <xf numFmtId="0" fontId="22" fillId="27" borderId="0" xfId="0" applyFont="1" applyFill="1" applyBorder="1" applyAlignment="1">
      <alignment horizontal="center" vertical="center"/>
    </xf>
    <xf numFmtId="0" fontId="27" fillId="37" borderId="34" xfId="0" applyFont="1" applyFill="1" applyBorder="1" applyAlignment="1">
      <alignment horizontal="center" vertical="center" wrapText="1"/>
    </xf>
    <xf numFmtId="0" fontId="27" fillId="37" borderId="19" xfId="0" applyFont="1" applyFill="1" applyBorder="1" applyAlignment="1">
      <alignment horizontal="center" vertical="center"/>
    </xf>
    <xf numFmtId="0" fontId="27" fillId="37" borderId="14" xfId="0" applyFont="1" applyFill="1" applyBorder="1" applyAlignment="1">
      <alignment horizontal="center" vertical="center"/>
    </xf>
    <xf numFmtId="0" fontId="22" fillId="46" borderId="55" xfId="0" applyFont="1" applyFill="1" applyBorder="1" applyAlignment="1">
      <alignment horizontal="center" vertical="center"/>
    </xf>
    <xf numFmtId="0" fontId="22" fillId="46" borderId="54" xfId="0" applyFont="1" applyFill="1" applyBorder="1" applyAlignment="1">
      <alignment horizontal="center" vertical="center"/>
    </xf>
    <xf numFmtId="0" fontId="22" fillId="46" borderId="51" xfId="0" applyFont="1" applyFill="1" applyBorder="1" applyAlignment="1">
      <alignment horizontal="center" wrapText="1"/>
    </xf>
    <xf numFmtId="0" fontId="22" fillId="46" borderId="10" xfId="0" applyFont="1" applyFill="1" applyBorder="1" applyAlignment="1">
      <alignment horizontal="center"/>
    </xf>
    <xf numFmtId="0" fontId="22" fillId="37" borderId="48" xfId="0" applyFont="1" applyFill="1" applyBorder="1" applyAlignment="1">
      <alignment horizontal="center" vertical="center"/>
    </xf>
    <xf numFmtId="0" fontId="22" fillId="46" borderId="51" xfId="0" applyFont="1" applyFill="1" applyBorder="1" applyAlignment="1">
      <alignment horizontal="center" vertical="center"/>
    </xf>
    <xf numFmtId="0" fontId="0" fillId="46" borderId="3" xfId="0" applyFill="1" applyBorder="1" applyAlignment="1">
      <alignment horizontal="center" vertical="center"/>
    </xf>
    <xf numFmtId="0" fontId="27" fillId="46" borderId="51" xfId="0" applyFont="1" applyFill="1" applyBorder="1" applyAlignment="1">
      <alignment horizontal="center" wrapText="1"/>
    </xf>
    <xf numFmtId="0" fontId="27" fillId="46" borderId="3" xfId="0" applyFont="1" applyFill="1" applyBorder="1" applyAlignment="1">
      <alignment horizontal="center"/>
    </xf>
    <xf numFmtId="0" fontId="27" fillId="117" borderId="67" xfId="0" applyFont="1" applyFill="1" applyBorder="1" applyAlignment="1">
      <alignment horizontal="center" vertical="center" wrapText="1"/>
    </xf>
    <xf numFmtId="0" fontId="27" fillId="117" borderId="68" xfId="0" applyFont="1" applyFill="1" applyBorder="1" applyAlignment="1">
      <alignment horizontal="center" vertical="center"/>
    </xf>
    <xf numFmtId="0" fontId="27" fillId="117" borderId="12" xfId="0" applyFont="1" applyFill="1" applyBorder="1" applyAlignment="1">
      <alignment horizontal="center" vertical="center"/>
    </xf>
    <xf numFmtId="0" fontId="22" fillId="27" borderId="26" xfId="0" applyFont="1" applyFill="1" applyBorder="1" applyAlignment="1">
      <alignment horizontal="center" vertical="center"/>
    </xf>
    <xf numFmtId="0" fontId="0" fillId="46" borderId="10" xfId="0" applyFill="1" applyBorder="1" applyAlignment="1">
      <alignment horizontal="center" vertical="center"/>
    </xf>
    <xf numFmtId="0" fontId="27" fillId="46" borderId="10" xfId="0" applyFont="1" applyFill="1" applyBorder="1" applyAlignment="1">
      <alignment horizontal="center"/>
    </xf>
    <xf numFmtId="0" fontId="117" fillId="46" borderId="37" xfId="0" applyFont="1" applyFill="1" applyBorder="1" applyAlignment="1">
      <alignment horizontal="center"/>
    </xf>
    <xf numFmtId="0" fontId="117" fillId="46" borderId="38" xfId="0" applyFont="1" applyFill="1" applyBorder="1" applyAlignment="1">
      <alignment horizontal="center"/>
    </xf>
    <xf numFmtId="0" fontId="117" fillId="46" borderId="2" xfId="0" applyFont="1" applyFill="1" applyBorder="1" applyAlignment="1">
      <alignment horizontal="center"/>
    </xf>
    <xf numFmtId="0" fontId="22" fillId="114" borderId="67" xfId="0" applyFont="1" applyFill="1" applyBorder="1" applyAlignment="1">
      <alignment horizontal="center" vertical="center" wrapText="1"/>
    </xf>
    <xf numFmtId="0" fontId="22" fillId="114" borderId="68" xfId="0" applyFont="1" applyFill="1" applyBorder="1" applyAlignment="1">
      <alignment horizontal="center" vertical="center"/>
    </xf>
    <xf numFmtId="0" fontId="177" fillId="42" borderId="67" xfId="0" applyFont="1" applyFill="1" applyBorder="1" applyAlignment="1">
      <alignment horizontal="center" vertical="center" textRotation="90"/>
    </xf>
    <xf numFmtId="0" fontId="177" fillId="42" borderId="68" xfId="0" applyFont="1" applyFill="1" applyBorder="1" applyAlignment="1">
      <alignment horizontal="center" vertical="center" textRotation="90"/>
    </xf>
    <xf numFmtId="0" fontId="177" fillId="42" borderId="12" xfId="0" applyFont="1" applyFill="1" applyBorder="1" applyAlignment="1">
      <alignment horizontal="center" vertical="center" textRotation="90"/>
    </xf>
    <xf numFmtId="0" fontId="0" fillId="27" borderId="49" xfId="0" applyFill="1" applyBorder="1" applyAlignment="1">
      <alignment horizontal="left"/>
    </xf>
    <xf numFmtId="0" fontId="0" fillId="37" borderId="49" xfId="0" applyFill="1" applyBorder="1" applyAlignment="1">
      <alignment horizontal="left"/>
    </xf>
    <xf numFmtId="0" fontId="22" fillId="37" borderId="16" xfId="0" applyFont="1" applyFill="1" applyBorder="1" applyAlignment="1">
      <alignment horizontal="center" vertical="center"/>
    </xf>
    <xf numFmtId="0" fontId="0" fillId="27" borderId="74" xfId="0" applyFill="1" applyBorder="1" applyAlignment="1">
      <alignment horizontal="left"/>
    </xf>
    <xf numFmtId="0" fontId="0" fillId="37" borderId="74" xfId="0" applyFill="1" applyBorder="1" applyAlignment="1">
      <alignment horizontal="left"/>
    </xf>
    <xf numFmtId="0" fontId="22" fillId="116" borderId="67" xfId="0" applyFont="1" applyFill="1" applyBorder="1" applyAlignment="1">
      <alignment horizontal="center" vertical="center"/>
    </xf>
    <xf numFmtId="0" fontId="22" fillId="116" borderId="12" xfId="0" applyFont="1" applyFill="1" applyBorder="1" applyAlignment="1">
      <alignment horizontal="center" vertical="center"/>
    </xf>
    <xf numFmtId="0" fontId="22" fillId="37" borderId="50" xfId="0" applyFont="1" applyFill="1" applyBorder="1" applyAlignment="1">
      <alignment horizontal="center" vertical="center"/>
    </xf>
    <xf numFmtId="0" fontId="0" fillId="37" borderId="72" xfId="0" applyFill="1" applyBorder="1" applyAlignment="1">
      <alignment horizontal="center" vertical="center"/>
    </xf>
    <xf numFmtId="0" fontId="0" fillId="37" borderId="1" xfId="0" applyFill="1" applyBorder="1" applyAlignment="1">
      <alignment horizontal="left"/>
    </xf>
    <xf numFmtId="0" fontId="0" fillId="37" borderId="54" xfId="0" applyFill="1" applyBorder="1" applyAlignment="1">
      <alignment horizontal="left"/>
    </xf>
    <xf numFmtId="0" fontId="0" fillId="37" borderId="54" xfId="0" applyFill="1" applyBorder="1" applyAlignment="1">
      <alignment horizontal="center" vertical="center"/>
    </xf>
    <xf numFmtId="0" fontId="22" fillId="37" borderId="40" xfId="0" applyFont="1" applyFill="1" applyBorder="1" applyAlignment="1">
      <alignment horizontal="center" vertical="center"/>
    </xf>
    <xf numFmtId="0" fontId="22" fillId="37" borderId="36" xfId="0" applyFont="1" applyFill="1" applyBorder="1" applyAlignment="1">
      <alignment horizontal="center" vertical="center"/>
    </xf>
    <xf numFmtId="0" fontId="22" fillId="37" borderId="11" xfId="0" applyFont="1" applyFill="1" applyBorder="1" applyAlignment="1">
      <alignment horizontal="center" vertical="center"/>
    </xf>
    <xf numFmtId="0" fontId="27" fillId="37" borderId="52" xfId="0" applyFont="1" applyFill="1" applyBorder="1" applyAlignment="1">
      <alignment horizontal="center" vertical="center" wrapText="1"/>
    </xf>
    <xf numFmtId="0" fontId="27" fillId="37" borderId="65" xfId="0" applyFont="1" applyFill="1" applyBorder="1" applyAlignment="1">
      <alignment horizontal="center" vertical="center"/>
    </xf>
    <xf numFmtId="0" fontId="27" fillId="37" borderId="66" xfId="0" applyFont="1" applyFill="1" applyBorder="1" applyAlignment="1">
      <alignment horizontal="center" vertical="center"/>
    </xf>
    <xf numFmtId="0" fontId="0" fillId="37" borderId="55" xfId="0" applyFill="1" applyBorder="1" applyAlignment="1">
      <alignment horizontal="center"/>
    </xf>
    <xf numFmtId="0" fontId="0" fillId="37" borderId="1" xfId="0" applyFill="1" applyBorder="1" applyAlignment="1">
      <alignment horizontal="center"/>
    </xf>
    <xf numFmtId="0" fontId="0" fillId="37" borderId="54" xfId="0" applyFill="1" applyBorder="1" applyAlignment="1">
      <alignment horizontal="center"/>
    </xf>
    <xf numFmtId="0" fontId="0" fillId="46" borderId="55" xfId="0" applyFill="1" applyBorder="1" applyAlignment="1">
      <alignment horizontal="center"/>
    </xf>
    <xf numFmtId="0" fontId="0" fillId="46" borderId="54" xfId="0" applyFill="1" applyBorder="1" applyAlignment="1">
      <alignment horizontal="center"/>
    </xf>
    <xf numFmtId="0" fontId="0" fillId="37" borderId="55" xfId="0" applyFill="1" applyBorder="1" applyAlignment="1">
      <alignment horizontal="left"/>
    </xf>
    <xf numFmtId="0" fontId="22" fillId="37" borderId="31" xfId="0" applyFont="1" applyFill="1" applyBorder="1" applyAlignment="1">
      <alignment horizontal="left"/>
    </xf>
    <xf numFmtId="0" fontId="22" fillId="37" borderId="65" xfId="0" applyFont="1" applyFill="1" applyBorder="1" applyAlignment="1">
      <alignment horizontal="left"/>
    </xf>
    <xf numFmtId="0" fontId="0" fillId="23" borderId="51" xfId="0" applyFill="1" applyBorder="1" applyAlignment="1">
      <alignment horizontal="center"/>
    </xf>
    <xf numFmtId="0" fontId="0" fillId="23" borderId="10" xfId="0" applyFill="1" applyBorder="1" applyAlignment="1">
      <alignment horizontal="center"/>
    </xf>
    <xf numFmtId="0" fontId="0" fillId="46" borderId="51" xfId="0" applyFill="1" applyBorder="1" applyAlignment="1">
      <alignment horizontal="center"/>
    </xf>
    <xf numFmtId="0" fontId="0" fillId="46" borderId="3" xfId="0" applyFill="1" applyBorder="1" applyAlignment="1">
      <alignment horizontal="center"/>
    </xf>
    <xf numFmtId="0" fontId="0" fillId="23" borderId="51" xfId="0" applyFill="1" applyBorder="1" applyAlignment="1">
      <alignment horizontal="left"/>
    </xf>
    <xf numFmtId="0" fontId="0" fillId="23" borderId="10" xfId="0" applyFill="1" applyBorder="1" applyAlignment="1">
      <alignment horizontal="left"/>
    </xf>
    <xf numFmtId="0" fontId="0" fillId="46" borderId="51" xfId="0" applyFill="1" applyBorder="1" applyAlignment="1">
      <alignment horizontal="left"/>
    </xf>
    <xf numFmtId="0" fontId="0" fillId="46" borderId="3" xfId="0" applyFill="1" applyBorder="1" applyAlignment="1">
      <alignment horizontal="left"/>
    </xf>
    <xf numFmtId="0" fontId="0" fillId="23" borderId="51" xfId="0" applyFill="1" applyBorder="1" applyAlignment="1">
      <alignment horizontal="center" vertical="center"/>
    </xf>
    <xf numFmtId="0" fontId="0" fillId="23" borderId="10" xfId="0" applyFill="1" applyBorder="1" applyAlignment="1">
      <alignment horizontal="center" vertical="center"/>
    </xf>
    <xf numFmtId="0" fontId="27" fillId="116" borderId="12" xfId="0" applyFont="1" applyFill="1" applyBorder="1" applyAlignment="1">
      <alignment horizontal="center" vertical="center"/>
    </xf>
    <xf numFmtId="0" fontId="0" fillId="46" borderId="10" xfId="0" applyFill="1" applyBorder="1" applyAlignment="1">
      <alignment horizontal="left"/>
    </xf>
    <xf numFmtId="0" fontId="22" fillId="46" borderId="54" xfId="0" applyFont="1" applyFill="1" applyBorder="1" applyAlignment="1">
      <alignment horizontal="left"/>
    </xf>
    <xf numFmtId="0" fontId="27" fillId="116" borderId="12" xfId="0" applyFont="1" applyFill="1" applyBorder="1" applyAlignment="1">
      <alignment horizontal="center" vertical="center" wrapText="1"/>
    </xf>
    <xf numFmtId="0" fontId="22" fillId="37" borderId="47" xfId="0" applyFont="1" applyFill="1" applyBorder="1" applyAlignment="1">
      <alignment horizontal="left"/>
    </xf>
    <xf numFmtId="0" fontId="22" fillId="46" borderId="5" xfId="0" applyFont="1" applyFill="1" applyBorder="1" applyAlignment="1">
      <alignment horizontal="center" vertical="center"/>
    </xf>
    <xf numFmtId="0" fontId="22" fillId="46" borderId="3" xfId="0" applyFont="1" applyFill="1" applyBorder="1" applyAlignment="1">
      <alignment horizontal="center"/>
    </xf>
    <xf numFmtId="0" fontId="0" fillId="27" borderId="16" xfId="0" applyFill="1" applyBorder="1" applyAlignment="1">
      <alignment horizontal="center" vertical="center"/>
    </xf>
    <xf numFmtId="0" fontId="22" fillId="23" borderId="51" xfId="0" applyFont="1" applyFill="1" applyBorder="1" applyAlignment="1">
      <alignment horizontal="left"/>
    </xf>
    <xf numFmtId="0" fontId="22" fillId="23" borderId="10" xfId="0" applyFont="1" applyFill="1" applyBorder="1" applyAlignment="1">
      <alignment horizontal="left"/>
    </xf>
    <xf numFmtId="0" fontId="180" fillId="0" borderId="37" xfId="0" applyFont="1" applyBorder="1" applyAlignment="1">
      <alignment vertical="center"/>
    </xf>
    <xf numFmtId="0" fontId="180" fillId="0" borderId="38" xfId="0" applyFont="1" applyBorder="1" applyAlignment="1">
      <alignment vertical="center"/>
    </xf>
    <xf numFmtId="0" fontId="180" fillId="0" borderId="2" xfId="0" applyFont="1" applyBorder="1" applyAlignment="1">
      <alignment vertical="center"/>
    </xf>
    <xf numFmtId="0" fontId="52" fillId="0" borderId="28" xfId="0" applyFont="1" applyBorder="1" applyAlignment="1">
      <alignment horizontal="left" indent="1"/>
    </xf>
    <xf numFmtId="0" fontId="52" fillId="0" borderId="20" xfId="0" applyFont="1" applyBorder="1" applyAlignment="1">
      <alignment horizontal="left" indent="1"/>
    </xf>
    <xf numFmtId="0" fontId="52" fillId="0" borderId="116" xfId="0" applyFont="1" applyBorder="1" applyAlignment="1">
      <alignment horizontal="left" indent="1"/>
    </xf>
    <xf numFmtId="0" fontId="64" fillId="0" borderId="17" xfId="0" applyFont="1" applyBorder="1"/>
    <xf numFmtId="0" fontId="64" fillId="0" borderId="43" xfId="0" applyFont="1" applyBorder="1"/>
    <xf numFmtId="0" fontId="64" fillId="0" borderId="33" xfId="0" applyFont="1" applyBorder="1"/>
    <xf numFmtId="0" fontId="64" fillId="0" borderId="64" xfId="0" applyFont="1" applyBorder="1"/>
    <xf numFmtId="0" fontId="222" fillId="0" borderId="18" xfId="0" applyFont="1" applyBorder="1" applyAlignment="1">
      <alignment vertical="center"/>
    </xf>
    <xf numFmtId="0" fontId="222" fillId="0" borderId="15" xfId="0" applyFont="1" applyBorder="1" applyAlignment="1">
      <alignment vertical="center"/>
    </xf>
    <xf numFmtId="0" fontId="222" fillId="0" borderId="30" xfId="0" applyFont="1" applyBorder="1" applyAlignment="1">
      <alignment vertical="center"/>
    </xf>
    <xf numFmtId="0" fontId="222" fillId="0" borderId="63" xfId="0" applyFont="1" applyBorder="1" applyAlignment="1">
      <alignment vertical="center"/>
    </xf>
    <xf numFmtId="0" fontId="222" fillId="0" borderId="17" xfId="0" applyFont="1" applyBorder="1" applyAlignment="1">
      <alignment vertical="center"/>
    </xf>
    <xf numFmtId="0" fontId="222" fillId="0" borderId="43" xfId="0" applyFont="1" applyBorder="1" applyAlignment="1">
      <alignment vertical="center"/>
    </xf>
    <xf numFmtId="0" fontId="222" fillId="0" borderId="18" xfId="0" applyFont="1" applyBorder="1" applyAlignment="1">
      <alignment horizontal="left" vertical="center"/>
    </xf>
    <xf numFmtId="0" fontId="222" fillId="0" borderId="15" xfId="0" applyFont="1" applyBorder="1" applyAlignment="1">
      <alignment horizontal="left" vertical="center"/>
    </xf>
    <xf numFmtId="0" fontId="22" fillId="20" borderId="17" xfId="0" applyFont="1" applyFill="1" applyBorder="1" applyAlignment="1">
      <alignment horizontal="left"/>
    </xf>
    <xf numFmtId="0" fontId="22" fillId="20" borderId="43" xfId="0" applyFont="1" applyFill="1" applyBorder="1" applyAlignment="1">
      <alignment horizontal="left"/>
    </xf>
    <xf numFmtId="0" fontId="22" fillId="20" borderId="77" xfId="0" applyFont="1" applyFill="1" applyBorder="1" applyAlignment="1">
      <alignment horizontal="left"/>
    </xf>
    <xf numFmtId="0" fontId="22" fillId="20" borderId="122" xfId="0" applyFont="1" applyFill="1" applyBorder="1" applyAlignment="1">
      <alignment horizontal="left"/>
    </xf>
    <xf numFmtId="0" fontId="47" fillId="41" borderId="37" xfId="0" applyFont="1" applyFill="1" applyBorder="1"/>
    <xf numFmtId="0" fontId="47" fillId="41" borderId="38" xfId="0" applyFont="1" applyFill="1" applyBorder="1"/>
    <xf numFmtId="0" fontId="47" fillId="41" borderId="2" xfId="0" applyFont="1" applyFill="1" applyBorder="1"/>
    <xf numFmtId="0" fontId="31" fillId="41" borderId="37" xfId="0" applyFont="1" applyFill="1" applyBorder="1" applyAlignment="1">
      <alignment horizontal="left"/>
    </xf>
    <xf numFmtId="0" fontId="31" fillId="41" borderId="38" xfId="0" applyFont="1" applyFill="1" applyBorder="1" applyAlignment="1">
      <alignment horizontal="left"/>
    </xf>
    <xf numFmtId="0" fontId="31" fillId="41" borderId="2" xfId="0" applyFont="1" applyFill="1" applyBorder="1" applyAlignment="1">
      <alignment horizontal="left"/>
    </xf>
    <xf numFmtId="0" fontId="31" fillId="41" borderId="37" xfId="0" applyFont="1" applyFill="1" applyBorder="1"/>
    <xf numFmtId="0" fontId="31" fillId="41" borderId="38" xfId="0" applyFont="1" applyFill="1" applyBorder="1"/>
    <xf numFmtId="0" fontId="31" fillId="41" borderId="2" xfId="0" applyFont="1" applyFill="1" applyBorder="1"/>
    <xf numFmtId="0" fontId="22" fillId="114" borderId="68" xfId="0" applyFont="1" applyFill="1" applyBorder="1" applyAlignment="1">
      <alignment horizontal="center" vertical="center" wrapText="1"/>
    </xf>
    <xf numFmtId="0" fontId="22" fillId="114" borderId="12" xfId="0" applyFont="1" applyFill="1" applyBorder="1" applyAlignment="1">
      <alignment horizontal="center" vertical="center"/>
    </xf>
    <xf numFmtId="0" fontId="22" fillId="27" borderId="31" xfId="0" applyFont="1" applyFill="1" applyBorder="1" applyAlignment="1">
      <alignment horizontal="left" wrapText="1"/>
    </xf>
    <xf numFmtId="0" fontId="22" fillId="27" borderId="65" xfId="0" applyFont="1" applyFill="1" applyBorder="1" applyAlignment="1">
      <alignment horizontal="left" wrapText="1"/>
    </xf>
    <xf numFmtId="0" fontId="22" fillId="37" borderId="50" xfId="0" applyFont="1" applyFill="1" applyBorder="1" applyAlignment="1">
      <alignment horizontal="left" wrapText="1"/>
    </xf>
    <xf numFmtId="0" fontId="182" fillId="46" borderId="0" xfId="0" applyFont="1" applyFill="1" applyAlignment="1">
      <alignment horizontal="center"/>
    </xf>
    <xf numFmtId="0" fontId="22" fillId="0" borderId="0" xfId="0" applyFont="1" applyAlignment="1">
      <alignment horizontal="left" vertical="center" wrapText="1"/>
    </xf>
    <xf numFmtId="0" fontId="22" fillId="0" borderId="0" xfId="0" applyFont="1" applyAlignment="1">
      <alignment horizontal="left" wrapText="1"/>
    </xf>
    <xf numFmtId="0" fontId="0" fillId="0" borderId="0" xfId="0" applyAlignment="1">
      <alignment horizontal="left" wrapText="1"/>
    </xf>
    <xf numFmtId="0" fontId="22" fillId="0" borderId="0" xfId="0" applyFont="1" applyAlignment="1">
      <alignment horizontal="right"/>
    </xf>
    <xf numFmtId="0" fontId="27" fillId="0" borderId="42" xfId="0" applyFont="1" applyBorder="1" applyAlignment="1">
      <alignment horizontal="left" vertical="top" wrapText="1"/>
    </xf>
    <xf numFmtId="0" fontId="27" fillId="0" borderId="40" xfId="0" applyFont="1" applyBorder="1" applyAlignment="1">
      <alignment horizontal="left" vertical="top" wrapText="1"/>
    </xf>
    <xf numFmtId="0" fontId="27" fillId="0" borderId="29" xfId="0" applyFont="1" applyBorder="1" applyAlignment="1">
      <alignment horizontal="left" vertical="top" wrapText="1"/>
    </xf>
    <xf numFmtId="0" fontId="27" fillId="0" borderId="36" xfId="0" applyFont="1" applyBorder="1" applyAlignment="1">
      <alignment horizontal="left" vertical="top" wrapText="1"/>
    </xf>
    <xf numFmtId="0" fontId="27" fillId="0" borderId="7" xfId="0" applyFont="1" applyBorder="1" applyAlignment="1">
      <alignment horizontal="left" vertical="top" wrapText="1"/>
    </xf>
    <xf numFmtId="0" fontId="27" fillId="0" borderId="11" xfId="0" applyFont="1" applyBorder="1" applyAlignment="1">
      <alignment horizontal="left" vertical="top" wrapText="1"/>
    </xf>
    <xf numFmtId="0" fontId="64" fillId="0" borderId="67" xfId="0" applyFont="1" applyBorder="1" applyAlignment="1">
      <alignment horizontal="center" vertical="top" wrapText="1"/>
    </xf>
    <xf numFmtId="0" fontId="64" fillId="0" borderId="68" xfId="0" applyFont="1" applyBorder="1" applyAlignment="1">
      <alignment horizontal="center" vertical="top" wrapText="1"/>
    </xf>
    <xf numFmtId="0" fontId="64" fillId="0" borderId="12" xfId="0" applyFont="1" applyBorder="1" applyAlignment="1">
      <alignment horizontal="center" vertical="top" wrapText="1"/>
    </xf>
    <xf numFmtId="0" fontId="28" fillId="23" borderId="0" xfId="0" applyFont="1" applyFill="1" applyAlignment="1">
      <alignment horizontal="center" vertical="center"/>
    </xf>
    <xf numFmtId="0" fontId="0" fillId="0" borderId="73" xfId="0" applyBorder="1" applyAlignment="1">
      <alignment horizontal="left"/>
    </xf>
    <xf numFmtId="0" fontId="0" fillId="0" borderId="39" xfId="0" applyBorder="1" applyAlignment="1">
      <alignment horizontal="left"/>
    </xf>
    <xf numFmtId="0" fontId="0" fillId="0" borderId="40" xfId="0" applyBorder="1" applyAlignment="1">
      <alignment horizontal="left"/>
    </xf>
    <xf numFmtId="0" fontId="0" fillId="0" borderId="32" xfId="0" applyBorder="1" applyAlignment="1">
      <alignment horizontal="left"/>
    </xf>
    <xf numFmtId="0" fontId="0" fillId="0" borderId="56" xfId="0" applyBorder="1" applyAlignment="1">
      <alignment horizontal="left"/>
    </xf>
    <xf numFmtId="0" fontId="0" fillId="0" borderId="62" xfId="0" applyBorder="1" applyAlignment="1">
      <alignment horizontal="left"/>
    </xf>
    <xf numFmtId="0" fontId="0" fillId="3" borderId="108" xfId="0" applyFill="1" applyBorder="1" applyAlignment="1">
      <alignment wrapText="1"/>
    </xf>
  </cellXfs>
  <cellStyles count="48737">
    <cellStyle name="20% - Accent1" xfId="30" builtinId="30" customBuiltin="1"/>
    <cellStyle name="20% - Accent1 10" xfId="1185" xr:uid="{00000000-0005-0000-0000-000001000000}"/>
    <cellStyle name="20% - Accent1 10 2" xfId="2806" xr:uid="{00000000-0005-0000-0000-000002000000}"/>
    <cellStyle name="20% - Accent1 10 2 2" xfId="7668" xr:uid="{00000000-0005-0000-0000-000003000000}"/>
    <cellStyle name="20% - Accent1 10 2 2 2" xfId="27119" xr:uid="{00000000-0005-0000-0000-000004000000}"/>
    <cellStyle name="20% - Accent1 10 2 2 3" xfId="36844" xr:uid="{00000000-0005-0000-0000-000005000000}"/>
    <cellStyle name="20% - Accent1 10 2 2 4" xfId="46569" xr:uid="{00000000-0005-0000-0000-000006000000}"/>
    <cellStyle name="20% - Accent1 10 2 2 5" xfId="17394" xr:uid="{00000000-0005-0000-0000-000007000000}"/>
    <cellStyle name="20% - Accent1 10 2 3" xfId="22257" xr:uid="{00000000-0005-0000-0000-000008000000}"/>
    <cellStyle name="20% - Accent1 10 2 4" xfId="31982" xr:uid="{00000000-0005-0000-0000-000009000000}"/>
    <cellStyle name="20% - Accent1 10 2 5" xfId="41707" xr:uid="{00000000-0005-0000-0000-00000A000000}"/>
    <cellStyle name="20% - Accent1 10 2 6" xfId="12532" xr:uid="{00000000-0005-0000-0000-00000B000000}"/>
    <cellStyle name="20% - Accent1 10 3" xfId="4426" xr:uid="{00000000-0005-0000-0000-00000C000000}"/>
    <cellStyle name="20% - Accent1 10 3 2" xfId="9288" xr:uid="{00000000-0005-0000-0000-00000D000000}"/>
    <cellStyle name="20% - Accent1 10 3 2 2" xfId="28739" xr:uid="{00000000-0005-0000-0000-00000E000000}"/>
    <cellStyle name="20% - Accent1 10 3 2 3" xfId="38464" xr:uid="{00000000-0005-0000-0000-00000F000000}"/>
    <cellStyle name="20% - Accent1 10 3 2 4" xfId="48189" xr:uid="{00000000-0005-0000-0000-000010000000}"/>
    <cellStyle name="20% - Accent1 10 3 2 5" xfId="19014" xr:uid="{00000000-0005-0000-0000-000011000000}"/>
    <cellStyle name="20% - Accent1 10 3 3" xfId="23877" xr:uid="{00000000-0005-0000-0000-000012000000}"/>
    <cellStyle name="20% - Accent1 10 3 4" xfId="33602" xr:uid="{00000000-0005-0000-0000-000013000000}"/>
    <cellStyle name="20% - Accent1 10 3 5" xfId="43327" xr:uid="{00000000-0005-0000-0000-000014000000}"/>
    <cellStyle name="20% - Accent1 10 3 6" xfId="14152" xr:uid="{00000000-0005-0000-0000-000015000000}"/>
    <cellStyle name="20% - Accent1 10 4" xfId="6048" xr:uid="{00000000-0005-0000-0000-000016000000}"/>
    <cellStyle name="20% - Accent1 10 4 2" xfId="25499" xr:uid="{00000000-0005-0000-0000-000017000000}"/>
    <cellStyle name="20% - Accent1 10 4 3" xfId="35224" xr:uid="{00000000-0005-0000-0000-000018000000}"/>
    <cellStyle name="20% - Accent1 10 4 4" xfId="44949" xr:uid="{00000000-0005-0000-0000-000019000000}"/>
    <cellStyle name="20% - Accent1 10 4 5" xfId="15774" xr:uid="{00000000-0005-0000-0000-00001A000000}"/>
    <cellStyle name="20% - Accent1 10 5" xfId="20637" xr:uid="{00000000-0005-0000-0000-00001B000000}"/>
    <cellStyle name="20% - Accent1 10 6" xfId="30362" xr:uid="{00000000-0005-0000-0000-00001C000000}"/>
    <cellStyle name="20% - Accent1 10 7" xfId="40087" xr:uid="{00000000-0005-0000-0000-00001D000000}"/>
    <cellStyle name="20% - Accent1 10 8" xfId="10912" xr:uid="{00000000-0005-0000-0000-00001E000000}"/>
    <cellStyle name="20% - Accent1 11" xfId="1275" xr:uid="{00000000-0005-0000-0000-00001F000000}"/>
    <cellStyle name="20% - Accent1 11 2" xfId="2896" xr:uid="{00000000-0005-0000-0000-000020000000}"/>
    <cellStyle name="20% - Accent1 11 2 2" xfId="7758" xr:uid="{00000000-0005-0000-0000-000021000000}"/>
    <cellStyle name="20% - Accent1 11 2 2 2" xfId="27209" xr:uid="{00000000-0005-0000-0000-000022000000}"/>
    <cellStyle name="20% - Accent1 11 2 2 3" xfId="36934" xr:uid="{00000000-0005-0000-0000-000023000000}"/>
    <cellStyle name="20% - Accent1 11 2 2 4" xfId="46659" xr:uid="{00000000-0005-0000-0000-000024000000}"/>
    <cellStyle name="20% - Accent1 11 2 2 5" xfId="17484" xr:uid="{00000000-0005-0000-0000-000025000000}"/>
    <cellStyle name="20% - Accent1 11 2 3" xfId="22347" xr:uid="{00000000-0005-0000-0000-000026000000}"/>
    <cellStyle name="20% - Accent1 11 2 4" xfId="32072" xr:uid="{00000000-0005-0000-0000-000027000000}"/>
    <cellStyle name="20% - Accent1 11 2 5" xfId="41797" xr:uid="{00000000-0005-0000-0000-000028000000}"/>
    <cellStyle name="20% - Accent1 11 2 6" xfId="12622" xr:uid="{00000000-0005-0000-0000-000029000000}"/>
    <cellStyle name="20% - Accent1 11 3" xfId="4516" xr:uid="{00000000-0005-0000-0000-00002A000000}"/>
    <cellStyle name="20% - Accent1 11 3 2" xfId="9378" xr:uid="{00000000-0005-0000-0000-00002B000000}"/>
    <cellStyle name="20% - Accent1 11 3 2 2" xfId="28829" xr:uid="{00000000-0005-0000-0000-00002C000000}"/>
    <cellStyle name="20% - Accent1 11 3 2 3" xfId="38554" xr:uid="{00000000-0005-0000-0000-00002D000000}"/>
    <cellStyle name="20% - Accent1 11 3 2 4" xfId="48279" xr:uid="{00000000-0005-0000-0000-00002E000000}"/>
    <cellStyle name="20% - Accent1 11 3 2 5" xfId="19104" xr:uid="{00000000-0005-0000-0000-00002F000000}"/>
    <cellStyle name="20% - Accent1 11 3 3" xfId="23967" xr:uid="{00000000-0005-0000-0000-000030000000}"/>
    <cellStyle name="20% - Accent1 11 3 4" xfId="33692" xr:uid="{00000000-0005-0000-0000-000031000000}"/>
    <cellStyle name="20% - Accent1 11 3 5" xfId="43417" xr:uid="{00000000-0005-0000-0000-000032000000}"/>
    <cellStyle name="20% - Accent1 11 3 6" xfId="14242" xr:uid="{00000000-0005-0000-0000-000033000000}"/>
    <cellStyle name="20% - Accent1 11 4" xfId="6138" xr:uid="{00000000-0005-0000-0000-000034000000}"/>
    <cellStyle name="20% - Accent1 11 4 2" xfId="25589" xr:uid="{00000000-0005-0000-0000-000035000000}"/>
    <cellStyle name="20% - Accent1 11 4 3" xfId="35314" xr:uid="{00000000-0005-0000-0000-000036000000}"/>
    <cellStyle name="20% - Accent1 11 4 4" xfId="45039" xr:uid="{00000000-0005-0000-0000-000037000000}"/>
    <cellStyle name="20% - Accent1 11 4 5" xfId="15864" xr:uid="{00000000-0005-0000-0000-000038000000}"/>
    <cellStyle name="20% - Accent1 11 5" xfId="20727" xr:uid="{00000000-0005-0000-0000-000039000000}"/>
    <cellStyle name="20% - Accent1 11 6" xfId="30452" xr:uid="{00000000-0005-0000-0000-00003A000000}"/>
    <cellStyle name="20% - Accent1 11 7" xfId="40177" xr:uid="{00000000-0005-0000-0000-00003B000000}"/>
    <cellStyle name="20% - Accent1 11 8" xfId="11002" xr:uid="{00000000-0005-0000-0000-00003C000000}"/>
    <cellStyle name="20% - Accent1 12" xfId="446" xr:uid="{00000000-0005-0000-0000-00003D000000}"/>
    <cellStyle name="20% - Accent1 12 2" xfId="2086" xr:uid="{00000000-0005-0000-0000-00003E000000}"/>
    <cellStyle name="20% - Accent1 12 2 2" xfId="6948" xr:uid="{00000000-0005-0000-0000-00003F000000}"/>
    <cellStyle name="20% - Accent1 12 2 2 2" xfId="26399" xr:uid="{00000000-0005-0000-0000-000040000000}"/>
    <cellStyle name="20% - Accent1 12 2 2 3" xfId="36124" xr:uid="{00000000-0005-0000-0000-000041000000}"/>
    <cellStyle name="20% - Accent1 12 2 2 4" xfId="45849" xr:uid="{00000000-0005-0000-0000-000042000000}"/>
    <cellStyle name="20% - Accent1 12 2 2 5" xfId="16674" xr:uid="{00000000-0005-0000-0000-000043000000}"/>
    <cellStyle name="20% - Accent1 12 2 3" xfId="21537" xr:uid="{00000000-0005-0000-0000-000044000000}"/>
    <cellStyle name="20% - Accent1 12 2 4" xfId="31262" xr:uid="{00000000-0005-0000-0000-000045000000}"/>
    <cellStyle name="20% - Accent1 12 2 5" xfId="40987" xr:uid="{00000000-0005-0000-0000-000046000000}"/>
    <cellStyle name="20% - Accent1 12 2 6" xfId="11812" xr:uid="{00000000-0005-0000-0000-000047000000}"/>
    <cellStyle name="20% - Accent1 12 3" xfId="3706" xr:uid="{00000000-0005-0000-0000-000048000000}"/>
    <cellStyle name="20% - Accent1 12 3 2" xfId="8568" xr:uid="{00000000-0005-0000-0000-000049000000}"/>
    <cellStyle name="20% - Accent1 12 3 2 2" xfId="28019" xr:uid="{00000000-0005-0000-0000-00004A000000}"/>
    <cellStyle name="20% - Accent1 12 3 2 3" xfId="37744" xr:uid="{00000000-0005-0000-0000-00004B000000}"/>
    <cellStyle name="20% - Accent1 12 3 2 4" xfId="47469" xr:uid="{00000000-0005-0000-0000-00004C000000}"/>
    <cellStyle name="20% - Accent1 12 3 2 5" xfId="18294" xr:uid="{00000000-0005-0000-0000-00004D000000}"/>
    <cellStyle name="20% - Accent1 12 3 3" xfId="23157" xr:uid="{00000000-0005-0000-0000-00004E000000}"/>
    <cellStyle name="20% - Accent1 12 3 4" xfId="32882" xr:uid="{00000000-0005-0000-0000-00004F000000}"/>
    <cellStyle name="20% - Accent1 12 3 5" xfId="42607" xr:uid="{00000000-0005-0000-0000-000050000000}"/>
    <cellStyle name="20% - Accent1 12 3 6" xfId="13432" xr:uid="{00000000-0005-0000-0000-000051000000}"/>
    <cellStyle name="20% - Accent1 12 4" xfId="5328" xr:uid="{00000000-0005-0000-0000-000052000000}"/>
    <cellStyle name="20% - Accent1 12 4 2" xfId="24779" xr:uid="{00000000-0005-0000-0000-000053000000}"/>
    <cellStyle name="20% - Accent1 12 4 3" xfId="34504" xr:uid="{00000000-0005-0000-0000-000054000000}"/>
    <cellStyle name="20% - Accent1 12 4 4" xfId="44229" xr:uid="{00000000-0005-0000-0000-000055000000}"/>
    <cellStyle name="20% - Accent1 12 4 5" xfId="15054" xr:uid="{00000000-0005-0000-0000-000056000000}"/>
    <cellStyle name="20% - Accent1 12 5" xfId="19917" xr:uid="{00000000-0005-0000-0000-000057000000}"/>
    <cellStyle name="20% - Accent1 12 6" xfId="29642" xr:uid="{00000000-0005-0000-0000-000058000000}"/>
    <cellStyle name="20% - Accent1 12 7" xfId="39367" xr:uid="{00000000-0005-0000-0000-000059000000}"/>
    <cellStyle name="20% - Accent1 12 8" xfId="10192" xr:uid="{00000000-0005-0000-0000-00005A000000}"/>
    <cellStyle name="20% - Accent1 13" xfId="1635" xr:uid="{00000000-0005-0000-0000-00005B000000}"/>
    <cellStyle name="20% - Accent1 13 2" xfId="3256" xr:uid="{00000000-0005-0000-0000-00005C000000}"/>
    <cellStyle name="20% - Accent1 13 2 2" xfId="8118" xr:uid="{00000000-0005-0000-0000-00005D000000}"/>
    <cellStyle name="20% - Accent1 13 2 2 2" xfId="27569" xr:uid="{00000000-0005-0000-0000-00005E000000}"/>
    <cellStyle name="20% - Accent1 13 2 2 3" xfId="37294" xr:uid="{00000000-0005-0000-0000-00005F000000}"/>
    <cellStyle name="20% - Accent1 13 2 2 4" xfId="47019" xr:uid="{00000000-0005-0000-0000-000060000000}"/>
    <cellStyle name="20% - Accent1 13 2 2 5" xfId="17844" xr:uid="{00000000-0005-0000-0000-000061000000}"/>
    <cellStyle name="20% - Accent1 13 2 3" xfId="22707" xr:uid="{00000000-0005-0000-0000-000062000000}"/>
    <cellStyle name="20% - Accent1 13 2 4" xfId="32432" xr:uid="{00000000-0005-0000-0000-000063000000}"/>
    <cellStyle name="20% - Accent1 13 2 5" xfId="42157" xr:uid="{00000000-0005-0000-0000-000064000000}"/>
    <cellStyle name="20% - Accent1 13 2 6" xfId="12982" xr:uid="{00000000-0005-0000-0000-000065000000}"/>
    <cellStyle name="20% - Accent1 13 3" xfId="4876" xr:uid="{00000000-0005-0000-0000-000066000000}"/>
    <cellStyle name="20% - Accent1 13 3 2" xfId="9738" xr:uid="{00000000-0005-0000-0000-000067000000}"/>
    <cellStyle name="20% - Accent1 13 3 2 2" xfId="29189" xr:uid="{00000000-0005-0000-0000-000068000000}"/>
    <cellStyle name="20% - Accent1 13 3 2 3" xfId="38914" xr:uid="{00000000-0005-0000-0000-000069000000}"/>
    <cellStyle name="20% - Accent1 13 3 2 4" xfId="48639" xr:uid="{00000000-0005-0000-0000-00006A000000}"/>
    <cellStyle name="20% - Accent1 13 3 2 5" xfId="19464" xr:uid="{00000000-0005-0000-0000-00006B000000}"/>
    <cellStyle name="20% - Accent1 13 3 3" xfId="24327" xr:uid="{00000000-0005-0000-0000-00006C000000}"/>
    <cellStyle name="20% - Accent1 13 3 4" xfId="34052" xr:uid="{00000000-0005-0000-0000-00006D000000}"/>
    <cellStyle name="20% - Accent1 13 3 5" xfId="43777" xr:uid="{00000000-0005-0000-0000-00006E000000}"/>
    <cellStyle name="20% - Accent1 13 3 6" xfId="14602" xr:uid="{00000000-0005-0000-0000-00006F000000}"/>
    <cellStyle name="20% - Accent1 13 4" xfId="6498" xr:uid="{00000000-0005-0000-0000-000070000000}"/>
    <cellStyle name="20% - Accent1 13 4 2" xfId="25949" xr:uid="{00000000-0005-0000-0000-000071000000}"/>
    <cellStyle name="20% - Accent1 13 4 3" xfId="35674" xr:uid="{00000000-0005-0000-0000-000072000000}"/>
    <cellStyle name="20% - Accent1 13 4 4" xfId="45399" xr:uid="{00000000-0005-0000-0000-000073000000}"/>
    <cellStyle name="20% - Accent1 13 4 5" xfId="16224" xr:uid="{00000000-0005-0000-0000-000074000000}"/>
    <cellStyle name="20% - Accent1 13 5" xfId="21087" xr:uid="{00000000-0005-0000-0000-000075000000}"/>
    <cellStyle name="20% - Accent1 13 6" xfId="30812" xr:uid="{00000000-0005-0000-0000-000076000000}"/>
    <cellStyle name="20% - Accent1 13 7" xfId="40537" xr:uid="{00000000-0005-0000-0000-000077000000}"/>
    <cellStyle name="20% - Accent1 13 8" xfId="11362" xr:uid="{00000000-0005-0000-0000-000078000000}"/>
    <cellStyle name="20% - Accent1 14" xfId="1726" xr:uid="{00000000-0005-0000-0000-000079000000}"/>
    <cellStyle name="20% - Accent1 14 2" xfId="6588" xr:uid="{00000000-0005-0000-0000-00007A000000}"/>
    <cellStyle name="20% - Accent1 14 2 2" xfId="26039" xr:uid="{00000000-0005-0000-0000-00007B000000}"/>
    <cellStyle name="20% - Accent1 14 2 3" xfId="35764" xr:uid="{00000000-0005-0000-0000-00007C000000}"/>
    <cellStyle name="20% - Accent1 14 2 4" xfId="45489" xr:uid="{00000000-0005-0000-0000-00007D000000}"/>
    <cellStyle name="20% - Accent1 14 2 5" xfId="16314" xr:uid="{00000000-0005-0000-0000-00007E000000}"/>
    <cellStyle name="20% - Accent1 14 3" xfId="21177" xr:uid="{00000000-0005-0000-0000-00007F000000}"/>
    <cellStyle name="20% - Accent1 14 4" xfId="30902" xr:uid="{00000000-0005-0000-0000-000080000000}"/>
    <cellStyle name="20% - Accent1 14 5" xfId="40627" xr:uid="{00000000-0005-0000-0000-000081000000}"/>
    <cellStyle name="20% - Accent1 14 6" xfId="11452" xr:uid="{00000000-0005-0000-0000-000082000000}"/>
    <cellStyle name="20% - Accent1 15" xfId="3346" xr:uid="{00000000-0005-0000-0000-000083000000}"/>
    <cellStyle name="20% - Accent1 15 2" xfId="8208" xr:uid="{00000000-0005-0000-0000-000084000000}"/>
    <cellStyle name="20% - Accent1 15 2 2" xfId="27659" xr:uid="{00000000-0005-0000-0000-000085000000}"/>
    <cellStyle name="20% - Accent1 15 2 3" xfId="37384" xr:uid="{00000000-0005-0000-0000-000086000000}"/>
    <cellStyle name="20% - Accent1 15 2 4" xfId="47109" xr:uid="{00000000-0005-0000-0000-000087000000}"/>
    <cellStyle name="20% - Accent1 15 2 5" xfId="17934" xr:uid="{00000000-0005-0000-0000-000088000000}"/>
    <cellStyle name="20% - Accent1 15 3" xfId="22797" xr:uid="{00000000-0005-0000-0000-000089000000}"/>
    <cellStyle name="20% - Accent1 15 4" xfId="32522" xr:uid="{00000000-0005-0000-0000-00008A000000}"/>
    <cellStyle name="20% - Accent1 15 5" xfId="42247" xr:uid="{00000000-0005-0000-0000-00008B000000}"/>
    <cellStyle name="20% - Accent1 15 6" xfId="13072" xr:uid="{00000000-0005-0000-0000-00008C000000}"/>
    <cellStyle name="20% - Accent1 16" xfId="4968" xr:uid="{00000000-0005-0000-0000-00008D000000}"/>
    <cellStyle name="20% - Accent1 16 2" xfId="24419" xr:uid="{00000000-0005-0000-0000-00008E000000}"/>
    <cellStyle name="20% - Accent1 16 3" xfId="34144" xr:uid="{00000000-0005-0000-0000-00008F000000}"/>
    <cellStyle name="20% - Accent1 16 4" xfId="43869" xr:uid="{00000000-0005-0000-0000-000090000000}"/>
    <cellStyle name="20% - Accent1 16 5" xfId="14694" xr:uid="{00000000-0005-0000-0000-000091000000}"/>
    <cellStyle name="20% - Accent1 17" xfId="19557" xr:uid="{00000000-0005-0000-0000-000092000000}"/>
    <cellStyle name="20% - Accent1 18" xfId="29282" xr:uid="{00000000-0005-0000-0000-000093000000}"/>
    <cellStyle name="20% - Accent1 19" xfId="39007" xr:uid="{00000000-0005-0000-0000-000094000000}"/>
    <cellStyle name="20% - Accent1 2" xfId="55" xr:uid="{00000000-0005-0000-0000-000095000000}"/>
    <cellStyle name="20% - Accent1 2 10" xfId="460" xr:uid="{00000000-0005-0000-0000-000096000000}"/>
    <cellStyle name="20% - Accent1 2 10 2" xfId="2100" xr:uid="{00000000-0005-0000-0000-000097000000}"/>
    <cellStyle name="20% - Accent1 2 10 2 2" xfId="6962" xr:uid="{00000000-0005-0000-0000-000098000000}"/>
    <cellStyle name="20% - Accent1 2 10 2 2 2" xfId="26413" xr:uid="{00000000-0005-0000-0000-000099000000}"/>
    <cellStyle name="20% - Accent1 2 10 2 2 3" xfId="36138" xr:uid="{00000000-0005-0000-0000-00009A000000}"/>
    <cellStyle name="20% - Accent1 2 10 2 2 4" xfId="45863" xr:uid="{00000000-0005-0000-0000-00009B000000}"/>
    <cellStyle name="20% - Accent1 2 10 2 2 5" xfId="16688" xr:uid="{00000000-0005-0000-0000-00009C000000}"/>
    <cellStyle name="20% - Accent1 2 10 2 3" xfId="21551" xr:uid="{00000000-0005-0000-0000-00009D000000}"/>
    <cellStyle name="20% - Accent1 2 10 2 4" xfId="31276" xr:uid="{00000000-0005-0000-0000-00009E000000}"/>
    <cellStyle name="20% - Accent1 2 10 2 5" xfId="41001" xr:uid="{00000000-0005-0000-0000-00009F000000}"/>
    <cellStyle name="20% - Accent1 2 10 2 6" xfId="11826" xr:uid="{00000000-0005-0000-0000-0000A0000000}"/>
    <cellStyle name="20% - Accent1 2 10 3" xfId="3720" xr:uid="{00000000-0005-0000-0000-0000A1000000}"/>
    <cellStyle name="20% - Accent1 2 10 3 2" xfId="8582" xr:uid="{00000000-0005-0000-0000-0000A2000000}"/>
    <cellStyle name="20% - Accent1 2 10 3 2 2" xfId="28033" xr:uid="{00000000-0005-0000-0000-0000A3000000}"/>
    <cellStyle name="20% - Accent1 2 10 3 2 3" xfId="37758" xr:uid="{00000000-0005-0000-0000-0000A4000000}"/>
    <cellStyle name="20% - Accent1 2 10 3 2 4" xfId="47483" xr:uid="{00000000-0005-0000-0000-0000A5000000}"/>
    <cellStyle name="20% - Accent1 2 10 3 2 5" xfId="18308" xr:uid="{00000000-0005-0000-0000-0000A6000000}"/>
    <cellStyle name="20% - Accent1 2 10 3 3" xfId="23171" xr:uid="{00000000-0005-0000-0000-0000A7000000}"/>
    <cellStyle name="20% - Accent1 2 10 3 4" xfId="32896" xr:uid="{00000000-0005-0000-0000-0000A8000000}"/>
    <cellStyle name="20% - Accent1 2 10 3 5" xfId="42621" xr:uid="{00000000-0005-0000-0000-0000A9000000}"/>
    <cellStyle name="20% - Accent1 2 10 3 6" xfId="13446" xr:uid="{00000000-0005-0000-0000-0000AA000000}"/>
    <cellStyle name="20% - Accent1 2 10 4" xfId="5342" xr:uid="{00000000-0005-0000-0000-0000AB000000}"/>
    <cellStyle name="20% - Accent1 2 10 4 2" xfId="24793" xr:uid="{00000000-0005-0000-0000-0000AC000000}"/>
    <cellStyle name="20% - Accent1 2 10 4 3" xfId="34518" xr:uid="{00000000-0005-0000-0000-0000AD000000}"/>
    <cellStyle name="20% - Accent1 2 10 4 4" xfId="44243" xr:uid="{00000000-0005-0000-0000-0000AE000000}"/>
    <cellStyle name="20% - Accent1 2 10 4 5" xfId="15068" xr:uid="{00000000-0005-0000-0000-0000AF000000}"/>
    <cellStyle name="20% - Accent1 2 10 5" xfId="19931" xr:uid="{00000000-0005-0000-0000-0000B0000000}"/>
    <cellStyle name="20% - Accent1 2 10 6" xfId="29656" xr:uid="{00000000-0005-0000-0000-0000B1000000}"/>
    <cellStyle name="20% - Accent1 2 10 7" xfId="39381" xr:uid="{00000000-0005-0000-0000-0000B2000000}"/>
    <cellStyle name="20% - Accent1 2 10 8" xfId="10206" xr:uid="{00000000-0005-0000-0000-0000B3000000}"/>
    <cellStyle name="20% - Accent1 2 11" xfId="1649" xr:uid="{00000000-0005-0000-0000-0000B4000000}"/>
    <cellStyle name="20% - Accent1 2 11 2" xfId="3270" xr:uid="{00000000-0005-0000-0000-0000B5000000}"/>
    <cellStyle name="20% - Accent1 2 11 2 2" xfId="8132" xr:uid="{00000000-0005-0000-0000-0000B6000000}"/>
    <cellStyle name="20% - Accent1 2 11 2 2 2" xfId="27583" xr:uid="{00000000-0005-0000-0000-0000B7000000}"/>
    <cellStyle name="20% - Accent1 2 11 2 2 3" xfId="37308" xr:uid="{00000000-0005-0000-0000-0000B8000000}"/>
    <cellStyle name="20% - Accent1 2 11 2 2 4" xfId="47033" xr:uid="{00000000-0005-0000-0000-0000B9000000}"/>
    <cellStyle name="20% - Accent1 2 11 2 2 5" xfId="17858" xr:uid="{00000000-0005-0000-0000-0000BA000000}"/>
    <cellStyle name="20% - Accent1 2 11 2 3" xfId="22721" xr:uid="{00000000-0005-0000-0000-0000BB000000}"/>
    <cellStyle name="20% - Accent1 2 11 2 4" xfId="32446" xr:uid="{00000000-0005-0000-0000-0000BC000000}"/>
    <cellStyle name="20% - Accent1 2 11 2 5" xfId="42171" xr:uid="{00000000-0005-0000-0000-0000BD000000}"/>
    <cellStyle name="20% - Accent1 2 11 2 6" xfId="12996" xr:uid="{00000000-0005-0000-0000-0000BE000000}"/>
    <cellStyle name="20% - Accent1 2 11 3" xfId="4890" xr:uid="{00000000-0005-0000-0000-0000BF000000}"/>
    <cellStyle name="20% - Accent1 2 11 3 2" xfId="9752" xr:uid="{00000000-0005-0000-0000-0000C0000000}"/>
    <cellStyle name="20% - Accent1 2 11 3 2 2" xfId="29203" xr:uid="{00000000-0005-0000-0000-0000C1000000}"/>
    <cellStyle name="20% - Accent1 2 11 3 2 3" xfId="38928" xr:uid="{00000000-0005-0000-0000-0000C2000000}"/>
    <cellStyle name="20% - Accent1 2 11 3 2 4" xfId="48653" xr:uid="{00000000-0005-0000-0000-0000C3000000}"/>
    <cellStyle name="20% - Accent1 2 11 3 2 5" xfId="19478" xr:uid="{00000000-0005-0000-0000-0000C4000000}"/>
    <cellStyle name="20% - Accent1 2 11 3 3" xfId="24341" xr:uid="{00000000-0005-0000-0000-0000C5000000}"/>
    <cellStyle name="20% - Accent1 2 11 3 4" xfId="34066" xr:uid="{00000000-0005-0000-0000-0000C6000000}"/>
    <cellStyle name="20% - Accent1 2 11 3 5" xfId="43791" xr:uid="{00000000-0005-0000-0000-0000C7000000}"/>
    <cellStyle name="20% - Accent1 2 11 3 6" xfId="14616" xr:uid="{00000000-0005-0000-0000-0000C8000000}"/>
    <cellStyle name="20% - Accent1 2 11 4" xfId="6512" xr:uid="{00000000-0005-0000-0000-0000C9000000}"/>
    <cellStyle name="20% - Accent1 2 11 4 2" xfId="25963" xr:uid="{00000000-0005-0000-0000-0000CA000000}"/>
    <cellStyle name="20% - Accent1 2 11 4 3" xfId="35688" xr:uid="{00000000-0005-0000-0000-0000CB000000}"/>
    <cellStyle name="20% - Accent1 2 11 4 4" xfId="45413" xr:uid="{00000000-0005-0000-0000-0000CC000000}"/>
    <cellStyle name="20% - Accent1 2 11 4 5" xfId="16238" xr:uid="{00000000-0005-0000-0000-0000CD000000}"/>
    <cellStyle name="20% - Accent1 2 11 5" xfId="21101" xr:uid="{00000000-0005-0000-0000-0000CE000000}"/>
    <cellStyle name="20% - Accent1 2 11 6" xfId="30826" xr:uid="{00000000-0005-0000-0000-0000CF000000}"/>
    <cellStyle name="20% - Accent1 2 11 7" xfId="40551" xr:uid="{00000000-0005-0000-0000-0000D0000000}"/>
    <cellStyle name="20% - Accent1 2 11 8" xfId="11376" xr:uid="{00000000-0005-0000-0000-0000D1000000}"/>
    <cellStyle name="20% - Accent1 2 12" xfId="1740" xr:uid="{00000000-0005-0000-0000-0000D2000000}"/>
    <cellStyle name="20% - Accent1 2 12 2" xfId="6602" xr:uid="{00000000-0005-0000-0000-0000D3000000}"/>
    <cellStyle name="20% - Accent1 2 12 2 2" xfId="26053" xr:uid="{00000000-0005-0000-0000-0000D4000000}"/>
    <cellStyle name="20% - Accent1 2 12 2 3" xfId="35778" xr:uid="{00000000-0005-0000-0000-0000D5000000}"/>
    <cellStyle name="20% - Accent1 2 12 2 4" xfId="45503" xr:uid="{00000000-0005-0000-0000-0000D6000000}"/>
    <cellStyle name="20% - Accent1 2 12 2 5" xfId="16328" xr:uid="{00000000-0005-0000-0000-0000D7000000}"/>
    <cellStyle name="20% - Accent1 2 12 3" xfId="21191" xr:uid="{00000000-0005-0000-0000-0000D8000000}"/>
    <cellStyle name="20% - Accent1 2 12 4" xfId="30916" xr:uid="{00000000-0005-0000-0000-0000D9000000}"/>
    <cellStyle name="20% - Accent1 2 12 5" xfId="40641" xr:uid="{00000000-0005-0000-0000-0000DA000000}"/>
    <cellStyle name="20% - Accent1 2 12 6" xfId="11466" xr:uid="{00000000-0005-0000-0000-0000DB000000}"/>
    <cellStyle name="20% - Accent1 2 13" xfId="3360" xr:uid="{00000000-0005-0000-0000-0000DC000000}"/>
    <cellStyle name="20% - Accent1 2 13 2" xfId="8222" xr:uid="{00000000-0005-0000-0000-0000DD000000}"/>
    <cellStyle name="20% - Accent1 2 13 2 2" xfId="27673" xr:uid="{00000000-0005-0000-0000-0000DE000000}"/>
    <cellStyle name="20% - Accent1 2 13 2 3" xfId="37398" xr:uid="{00000000-0005-0000-0000-0000DF000000}"/>
    <cellStyle name="20% - Accent1 2 13 2 4" xfId="47123" xr:uid="{00000000-0005-0000-0000-0000E0000000}"/>
    <cellStyle name="20% - Accent1 2 13 2 5" xfId="17948" xr:uid="{00000000-0005-0000-0000-0000E1000000}"/>
    <cellStyle name="20% - Accent1 2 13 3" xfId="22811" xr:uid="{00000000-0005-0000-0000-0000E2000000}"/>
    <cellStyle name="20% - Accent1 2 13 4" xfId="32536" xr:uid="{00000000-0005-0000-0000-0000E3000000}"/>
    <cellStyle name="20% - Accent1 2 13 5" xfId="42261" xr:uid="{00000000-0005-0000-0000-0000E4000000}"/>
    <cellStyle name="20% - Accent1 2 13 6" xfId="13086" xr:uid="{00000000-0005-0000-0000-0000E5000000}"/>
    <cellStyle name="20% - Accent1 2 14" xfId="4982" xr:uid="{00000000-0005-0000-0000-0000E6000000}"/>
    <cellStyle name="20% - Accent1 2 14 2" xfId="24433" xr:uid="{00000000-0005-0000-0000-0000E7000000}"/>
    <cellStyle name="20% - Accent1 2 14 3" xfId="34158" xr:uid="{00000000-0005-0000-0000-0000E8000000}"/>
    <cellStyle name="20% - Accent1 2 14 4" xfId="43883" xr:uid="{00000000-0005-0000-0000-0000E9000000}"/>
    <cellStyle name="20% - Accent1 2 14 5" xfId="14708" xr:uid="{00000000-0005-0000-0000-0000EA000000}"/>
    <cellStyle name="20% - Accent1 2 15" xfId="19571" xr:uid="{00000000-0005-0000-0000-0000EB000000}"/>
    <cellStyle name="20% - Accent1 2 16" xfId="29296" xr:uid="{00000000-0005-0000-0000-0000EC000000}"/>
    <cellStyle name="20% - Accent1 2 17" xfId="39021" xr:uid="{00000000-0005-0000-0000-0000ED000000}"/>
    <cellStyle name="20% - Accent1 2 18" xfId="9846" xr:uid="{00000000-0005-0000-0000-0000EE000000}"/>
    <cellStyle name="20% - Accent1 2 2" xfId="86" xr:uid="{00000000-0005-0000-0000-0000EF000000}"/>
    <cellStyle name="20% - Accent1 2 2 10" xfId="1770" xr:uid="{00000000-0005-0000-0000-0000F0000000}"/>
    <cellStyle name="20% - Accent1 2 2 10 2" xfId="6632" xr:uid="{00000000-0005-0000-0000-0000F1000000}"/>
    <cellStyle name="20% - Accent1 2 2 10 2 2" xfId="26083" xr:uid="{00000000-0005-0000-0000-0000F2000000}"/>
    <cellStyle name="20% - Accent1 2 2 10 2 3" xfId="35808" xr:uid="{00000000-0005-0000-0000-0000F3000000}"/>
    <cellStyle name="20% - Accent1 2 2 10 2 4" xfId="45533" xr:uid="{00000000-0005-0000-0000-0000F4000000}"/>
    <cellStyle name="20% - Accent1 2 2 10 2 5" xfId="16358" xr:uid="{00000000-0005-0000-0000-0000F5000000}"/>
    <cellStyle name="20% - Accent1 2 2 10 3" xfId="21221" xr:uid="{00000000-0005-0000-0000-0000F6000000}"/>
    <cellStyle name="20% - Accent1 2 2 10 4" xfId="30946" xr:uid="{00000000-0005-0000-0000-0000F7000000}"/>
    <cellStyle name="20% - Accent1 2 2 10 5" xfId="40671" xr:uid="{00000000-0005-0000-0000-0000F8000000}"/>
    <cellStyle name="20% - Accent1 2 2 10 6" xfId="11496" xr:uid="{00000000-0005-0000-0000-0000F9000000}"/>
    <cellStyle name="20% - Accent1 2 2 11" xfId="3390" xr:uid="{00000000-0005-0000-0000-0000FA000000}"/>
    <cellStyle name="20% - Accent1 2 2 11 2" xfId="8252" xr:uid="{00000000-0005-0000-0000-0000FB000000}"/>
    <cellStyle name="20% - Accent1 2 2 11 2 2" xfId="27703" xr:uid="{00000000-0005-0000-0000-0000FC000000}"/>
    <cellStyle name="20% - Accent1 2 2 11 2 3" xfId="37428" xr:uid="{00000000-0005-0000-0000-0000FD000000}"/>
    <cellStyle name="20% - Accent1 2 2 11 2 4" xfId="47153" xr:uid="{00000000-0005-0000-0000-0000FE000000}"/>
    <cellStyle name="20% - Accent1 2 2 11 2 5" xfId="17978" xr:uid="{00000000-0005-0000-0000-0000FF000000}"/>
    <cellStyle name="20% - Accent1 2 2 11 3" xfId="22841" xr:uid="{00000000-0005-0000-0000-000000010000}"/>
    <cellStyle name="20% - Accent1 2 2 11 4" xfId="32566" xr:uid="{00000000-0005-0000-0000-000001010000}"/>
    <cellStyle name="20% - Accent1 2 2 11 5" xfId="42291" xr:uid="{00000000-0005-0000-0000-000002010000}"/>
    <cellStyle name="20% - Accent1 2 2 11 6" xfId="13116" xr:uid="{00000000-0005-0000-0000-000003010000}"/>
    <cellStyle name="20% - Accent1 2 2 12" xfId="5012" xr:uid="{00000000-0005-0000-0000-000004010000}"/>
    <cellStyle name="20% - Accent1 2 2 12 2" xfId="24463" xr:uid="{00000000-0005-0000-0000-000005010000}"/>
    <cellStyle name="20% - Accent1 2 2 12 3" xfId="34188" xr:uid="{00000000-0005-0000-0000-000006010000}"/>
    <cellStyle name="20% - Accent1 2 2 12 4" xfId="43913" xr:uid="{00000000-0005-0000-0000-000007010000}"/>
    <cellStyle name="20% - Accent1 2 2 12 5" xfId="14738" xr:uid="{00000000-0005-0000-0000-000008010000}"/>
    <cellStyle name="20% - Accent1 2 2 13" xfId="19601" xr:uid="{00000000-0005-0000-0000-000009010000}"/>
    <cellStyle name="20% - Accent1 2 2 14" xfId="29326" xr:uid="{00000000-0005-0000-0000-00000A010000}"/>
    <cellStyle name="20% - Accent1 2 2 15" xfId="39051" xr:uid="{00000000-0005-0000-0000-00000B010000}"/>
    <cellStyle name="20% - Accent1 2 2 16" xfId="9876" xr:uid="{00000000-0005-0000-0000-00000C010000}"/>
    <cellStyle name="20% - Accent1 2 2 2" xfId="268" xr:uid="{00000000-0005-0000-0000-00000D010000}"/>
    <cellStyle name="20% - Accent1 2 2 2 10" xfId="39231" xr:uid="{00000000-0005-0000-0000-00000E010000}"/>
    <cellStyle name="20% - Accent1 2 2 2 11" xfId="10056" xr:uid="{00000000-0005-0000-0000-00000F010000}"/>
    <cellStyle name="20% - Accent1 2 2 2 2" xfId="1032" xr:uid="{00000000-0005-0000-0000-000010010000}"/>
    <cellStyle name="20% - Accent1 2 2 2 2 2" xfId="2670" xr:uid="{00000000-0005-0000-0000-000011010000}"/>
    <cellStyle name="20% - Accent1 2 2 2 2 2 2" xfId="7532" xr:uid="{00000000-0005-0000-0000-000012010000}"/>
    <cellStyle name="20% - Accent1 2 2 2 2 2 2 2" xfId="26983" xr:uid="{00000000-0005-0000-0000-000013010000}"/>
    <cellStyle name="20% - Accent1 2 2 2 2 2 2 3" xfId="36708" xr:uid="{00000000-0005-0000-0000-000014010000}"/>
    <cellStyle name="20% - Accent1 2 2 2 2 2 2 4" xfId="46433" xr:uid="{00000000-0005-0000-0000-000015010000}"/>
    <cellStyle name="20% - Accent1 2 2 2 2 2 2 5" xfId="17258" xr:uid="{00000000-0005-0000-0000-000016010000}"/>
    <cellStyle name="20% - Accent1 2 2 2 2 2 3" xfId="22121" xr:uid="{00000000-0005-0000-0000-000017010000}"/>
    <cellStyle name="20% - Accent1 2 2 2 2 2 4" xfId="31846" xr:uid="{00000000-0005-0000-0000-000018010000}"/>
    <cellStyle name="20% - Accent1 2 2 2 2 2 5" xfId="41571" xr:uid="{00000000-0005-0000-0000-000019010000}"/>
    <cellStyle name="20% - Accent1 2 2 2 2 2 6" xfId="12396" xr:uid="{00000000-0005-0000-0000-00001A010000}"/>
    <cellStyle name="20% - Accent1 2 2 2 2 3" xfId="4290" xr:uid="{00000000-0005-0000-0000-00001B010000}"/>
    <cellStyle name="20% - Accent1 2 2 2 2 3 2" xfId="9152" xr:uid="{00000000-0005-0000-0000-00001C010000}"/>
    <cellStyle name="20% - Accent1 2 2 2 2 3 2 2" xfId="28603" xr:uid="{00000000-0005-0000-0000-00001D010000}"/>
    <cellStyle name="20% - Accent1 2 2 2 2 3 2 3" xfId="38328" xr:uid="{00000000-0005-0000-0000-00001E010000}"/>
    <cellStyle name="20% - Accent1 2 2 2 2 3 2 4" xfId="48053" xr:uid="{00000000-0005-0000-0000-00001F010000}"/>
    <cellStyle name="20% - Accent1 2 2 2 2 3 2 5" xfId="18878" xr:uid="{00000000-0005-0000-0000-000020010000}"/>
    <cellStyle name="20% - Accent1 2 2 2 2 3 3" xfId="23741" xr:uid="{00000000-0005-0000-0000-000021010000}"/>
    <cellStyle name="20% - Accent1 2 2 2 2 3 4" xfId="33466" xr:uid="{00000000-0005-0000-0000-000022010000}"/>
    <cellStyle name="20% - Accent1 2 2 2 2 3 5" xfId="43191" xr:uid="{00000000-0005-0000-0000-000023010000}"/>
    <cellStyle name="20% - Accent1 2 2 2 2 3 6" xfId="14016" xr:uid="{00000000-0005-0000-0000-000024010000}"/>
    <cellStyle name="20% - Accent1 2 2 2 2 4" xfId="5912" xr:uid="{00000000-0005-0000-0000-000025010000}"/>
    <cellStyle name="20% - Accent1 2 2 2 2 4 2" xfId="25363" xr:uid="{00000000-0005-0000-0000-000026010000}"/>
    <cellStyle name="20% - Accent1 2 2 2 2 4 3" xfId="35088" xr:uid="{00000000-0005-0000-0000-000027010000}"/>
    <cellStyle name="20% - Accent1 2 2 2 2 4 4" xfId="44813" xr:uid="{00000000-0005-0000-0000-000028010000}"/>
    <cellStyle name="20% - Accent1 2 2 2 2 4 5" xfId="15638" xr:uid="{00000000-0005-0000-0000-000029010000}"/>
    <cellStyle name="20% - Accent1 2 2 2 2 5" xfId="20501" xr:uid="{00000000-0005-0000-0000-00002A010000}"/>
    <cellStyle name="20% - Accent1 2 2 2 2 6" xfId="30226" xr:uid="{00000000-0005-0000-0000-00002B010000}"/>
    <cellStyle name="20% - Accent1 2 2 2 2 7" xfId="39951" xr:uid="{00000000-0005-0000-0000-00002C010000}"/>
    <cellStyle name="20% - Accent1 2 2 2 2 8" xfId="10776" xr:uid="{00000000-0005-0000-0000-00002D010000}"/>
    <cellStyle name="20% - Accent1 2 2 2 3" xfId="1499" xr:uid="{00000000-0005-0000-0000-00002E010000}"/>
    <cellStyle name="20% - Accent1 2 2 2 3 2" xfId="3120" xr:uid="{00000000-0005-0000-0000-00002F010000}"/>
    <cellStyle name="20% - Accent1 2 2 2 3 2 2" xfId="7982" xr:uid="{00000000-0005-0000-0000-000030010000}"/>
    <cellStyle name="20% - Accent1 2 2 2 3 2 2 2" xfId="27433" xr:uid="{00000000-0005-0000-0000-000031010000}"/>
    <cellStyle name="20% - Accent1 2 2 2 3 2 2 3" xfId="37158" xr:uid="{00000000-0005-0000-0000-000032010000}"/>
    <cellStyle name="20% - Accent1 2 2 2 3 2 2 4" xfId="46883" xr:uid="{00000000-0005-0000-0000-000033010000}"/>
    <cellStyle name="20% - Accent1 2 2 2 3 2 2 5" xfId="17708" xr:uid="{00000000-0005-0000-0000-000034010000}"/>
    <cellStyle name="20% - Accent1 2 2 2 3 2 3" xfId="22571" xr:uid="{00000000-0005-0000-0000-000035010000}"/>
    <cellStyle name="20% - Accent1 2 2 2 3 2 4" xfId="32296" xr:uid="{00000000-0005-0000-0000-000036010000}"/>
    <cellStyle name="20% - Accent1 2 2 2 3 2 5" xfId="42021" xr:uid="{00000000-0005-0000-0000-000037010000}"/>
    <cellStyle name="20% - Accent1 2 2 2 3 2 6" xfId="12846" xr:uid="{00000000-0005-0000-0000-000038010000}"/>
    <cellStyle name="20% - Accent1 2 2 2 3 3" xfId="4740" xr:uid="{00000000-0005-0000-0000-000039010000}"/>
    <cellStyle name="20% - Accent1 2 2 2 3 3 2" xfId="9602" xr:uid="{00000000-0005-0000-0000-00003A010000}"/>
    <cellStyle name="20% - Accent1 2 2 2 3 3 2 2" xfId="29053" xr:uid="{00000000-0005-0000-0000-00003B010000}"/>
    <cellStyle name="20% - Accent1 2 2 2 3 3 2 3" xfId="38778" xr:uid="{00000000-0005-0000-0000-00003C010000}"/>
    <cellStyle name="20% - Accent1 2 2 2 3 3 2 4" xfId="48503" xr:uid="{00000000-0005-0000-0000-00003D010000}"/>
    <cellStyle name="20% - Accent1 2 2 2 3 3 2 5" xfId="19328" xr:uid="{00000000-0005-0000-0000-00003E010000}"/>
    <cellStyle name="20% - Accent1 2 2 2 3 3 3" xfId="24191" xr:uid="{00000000-0005-0000-0000-00003F010000}"/>
    <cellStyle name="20% - Accent1 2 2 2 3 3 4" xfId="33916" xr:uid="{00000000-0005-0000-0000-000040010000}"/>
    <cellStyle name="20% - Accent1 2 2 2 3 3 5" xfId="43641" xr:uid="{00000000-0005-0000-0000-000041010000}"/>
    <cellStyle name="20% - Accent1 2 2 2 3 3 6" xfId="14466" xr:uid="{00000000-0005-0000-0000-000042010000}"/>
    <cellStyle name="20% - Accent1 2 2 2 3 4" xfId="6362" xr:uid="{00000000-0005-0000-0000-000043010000}"/>
    <cellStyle name="20% - Accent1 2 2 2 3 4 2" xfId="25813" xr:uid="{00000000-0005-0000-0000-000044010000}"/>
    <cellStyle name="20% - Accent1 2 2 2 3 4 3" xfId="35538" xr:uid="{00000000-0005-0000-0000-000045010000}"/>
    <cellStyle name="20% - Accent1 2 2 2 3 4 4" xfId="45263" xr:uid="{00000000-0005-0000-0000-000046010000}"/>
    <cellStyle name="20% - Accent1 2 2 2 3 4 5" xfId="16088" xr:uid="{00000000-0005-0000-0000-000047010000}"/>
    <cellStyle name="20% - Accent1 2 2 2 3 5" xfId="20951" xr:uid="{00000000-0005-0000-0000-000048010000}"/>
    <cellStyle name="20% - Accent1 2 2 2 3 6" xfId="30676" xr:uid="{00000000-0005-0000-0000-000049010000}"/>
    <cellStyle name="20% - Accent1 2 2 2 3 7" xfId="40401" xr:uid="{00000000-0005-0000-0000-00004A010000}"/>
    <cellStyle name="20% - Accent1 2 2 2 3 8" xfId="11226" xr:uid="{00000000-0005-0000-0000-00004B010000}"/>
    <cellStyle name="20% - Accent1 2 2 2 4" xfId="670" xr:uid="{00000000-0005-0000-0000-00004C010000}"/>
    <cellStyle name="20% - Accent1 2 2 2 4 2" xfId="2310" xr:uid="{00000000-0005-0000-0000-00004D010000}"/>
    <cellStyle name="20% - Accent1 2 2 2 4 2 2" xfId="7172" xr:uid="{00000000-0005-0000-0000-00004E010000}"/>
    <cellStyle name="20% - Accent1 2 2 2 4 2 2 2" xfId="26623" xr:uid="{00000000-0005-0000-0000-00004F010000}"/>
    <cellStyle name="20% - Accent1 2 2 2 4 2 2 3" xfId="36348" xr:uid="{00000000-0005-0000-0000-000050010000}"/>
    <cellStyle name="20% - Accent1 2 2 2 4 2 2 4" xfId="46073" xr:uid="{00000000-0005-0000-0000-000051010000}"/>
    <cellStyle name="20% - Accent1 2 2 2 4 2 2 5" xfId="16898" xr:uid="{00000000-0005-0000-0000-000052010000}"/>
    <cellStyle name="20% - Accent1 2 2 2 4 2 3" xfId="21761" xr:uid="{00000000-0005-0000-0000-000053010000}"/>
    <cellStyle name="20% - Accent1 2 2 2 4 2 4" xfId="31486" xr:uid="{00000000-0005-0000-0000-000054010000}"/>
    <cellStyle name="20% - Accent1 2 2 2 4 2 5" xfId="41211" xr:uid="{00000000-0005-0000-0000-000055010000}"/>
    <cellStyle name="20% - Accent1 2 2 2 4 2 6" xfId="12036" xr:uid="{00000000-0005-0000-0000-000056010000}"/>
    <cellStyle name="20% - Accent1 2 2 2 4 3" xfId="3930" xr:uid="{00000000-0005-0000-0000-000057010000}"/>
    <cellStyle name="20% - Accent1 2 2 2 4 3 2" xfId="8792" xr:uid="{00000000-0005-0000-0000-000058010000}"/>
    <cellStyle name="20% - Accent1 2 2 2 4 3 2 2" xfId="28243" xr:uid="{00000000-0005-0000-0000-000059010000}"/>
    <cellStyle name="20% - Accent1 2 2 2 4 3 2 3" xfId="37968" xr:uid="{00000000-0005-0000-0000-00005A010000}"/>
    <cellStyle name="20% - Accent1 2 2 2 4 3 2 4" xfId="47693" xr:uid="{00000000-0005-0000-0000-00005B010000}"/>
    <cellStyle name="20% - Accent1 2 2 2 4 3 2 5" xfId="18518" xr:uid="{00000000-0005-0000-0000-00005C010000}"/>
    <cellStyle name="20% - Accent1 2 2 2 4 3 3" xfId="23381" xr:uid="{00000000-0005-0000-0000-00005D010000}"/>
    <cellStyle name="20% - Accent1 2 2 2 4 3 4" xfId="33106" xr:uid="{00000000-0005-0000-0000-00005E010000}"/>
    <cellStyle name="20% - Accent1 2 2 2 4 3 5" xfId="42831" xr:uid="{00000000-0005-0000-0000-00005F010000}"/>
    <cellStyle name="20% - Accent1 2 2 2 4 3 6" xfId="13656" xr:uid="{00000000-0005-0000-0000-000060010000}"/>
    <cellStyle name="20% - Accent1 2 2 2 4 4" xfId="5552" xr:uid="{00000000-0005-0000-0000-000061010000}"/>
    <cellStyle name="20% - Accent1 2 2 2 4 4 2" xfId="25003" xr:uid="{00000000-0005-0000-0000-000062010000}"/>
    <cellStyle name="20% - Accent1 2 2 2 4 4 3" xfId="34728" xr:uid="{00000000-0005-0000-0000-000063010000}"/>
    <cellStyle name="20% - Accent1 2 2 2 4 4 4" xfId="44453" xr:uid="{00000000-0005-0000-0000-000064010000}"/>
    <cellStyle name="20% - Accent1 2 2 2 4 4 5" xfId="15278" xr:uid="{00000000-0005-0000-0000-000065010000}"/>
    <cellStyle name="20% - Accent1 2 2 2 4 5" xfId="20141" xr:uid="{00000000-0005-0000-0000-000066010000}"/>
    <cellStyle name="20% - Accent1 2 2 2 4 6" xfId="29866" xr:uid="{00000000-0005-0000-0000-000067010000}"/>
    <cellStyle name="20% - Accent1 2 2 2 4 7" xfId="39591" xr:uid="{00000000-0005-0000-0000-000068010000}"/>
    <cellStyle name="20% - Accent1 2 2 2 4 8" xfId="10416" xr:uid="{00000000-0005-0000-0000-000069010000}"/>
    <cellStyle name="20% - Accent1 2 2 2 5" xfId="1950" xr:uid="{00000000-0005-0000-0000-00006A010000}"/>
    <cellStyle name="20% - Accent1 2 2 2 5 2" xfId="6812" xr:uid="{00000000-0005-0000-0000-00006B010000}"/>
    <cellStyle name="20% - Accent1 2 2 2 5 2 2" xfId="26263" xr:uid="{00000000-0005-0000-0000-00006C010000}"/>
    <cellStyle name="20% - Accent1 2 2 2 5 2 3" xfId="35988" xr:uid="{00000000-0005-0000-0000-00006D010000}"/>
    <cellStyle name="20% - Accent1 2 2 2 5 2 4" xfId="45713" xr:uid="{00000000-0005-0000-0000-00006E010000}"/>
    <cellStyle name="20% - Accent1 2 2 2 5 2 5" xfId="16538" xr:uid="{00000000-0005-0000-0000-00006F010000}"/>
    <cellStyle name="20% - Accent1 2 2 2 5 3" xfId="21401" xr:uid="{00000000-0005-0000-0000-000070010000}"/>
    <cellStyle name="20% - Accent1 2 2 2 5 4" xfId="31126" xr:uid="{00000000-0005-0000-0000-000071010000}"/>
    <cellStyle name="20% - Accent1 2 2 2 5 5" xfId="40851" xr:uid="{00000000-0005-0000-0000-000072010000}"/>
    <cellStyle name="20% - Accent1 2 2 2 5 6" xfId="11676" xr:uid="{00000000-0005-0000-0000-000073010000}"/>
    <cellStyle name="20% - Accent1 2 2 2 6" xfId="3570" xr:uid="{00000000-0005-0000-0000-000074010000}"/>
    <cellStyle name="20% - Accent1 2 2 2 6 2" xfId="8432" xr:uid="{00000000-0005-0000-0000-000075010000}"/>
    <cellStyle name="20% - Accent1 2 2 2 6 2 2" xfId="27883" xr:uid="{00000000-0005-0000-0000-000076010000}"/>
    <cellStyle name="20% - Accent1 2 2 2 6 2 3" xfId="37608" xr:uid="{00000000-0005-0000-0000-000077010000}"/>
    <cellStyle name="20% - Accent1 2 2 2 6 2 4" xfId="47333" xr:uid="{00000000-0005-0000-0000-000078010000}"/>
    <cellStyle name="20% - Accent1 2 2 2 6 2 5" xfId="18158" xr:uid="{00000000-0005-0000-0000-000079010000}"/>
    <cellStyle name="20% - Accent1 2 2 2 6 3" xfId="23021" xr:uid="{00000000-0005-0000-0000-00007A010000}"/>
    <cellStyle name="20% - Accent1 2 2 2 6 4" xfId="32746" xr:uid="{00000000-0005-0000-0000-00007B010000}"/>
    <cellStyle name="20% - Accent1 2 2 2 6 5" xfId="42471" xr:uid="{00000000-0005-0000-0000-00007C010000}"/>
    <cellStyle name="20% - Accent1 2 2 2 6 6" xfId="13296" xr:uid="{00000000-0005-0000-0000-00007D010000}"/>
    <cellStyle name="20% - Accent1 2 2 2 7" xfId="5192" xr:uid="{00000000-0005-0000-0000-00007E010000}"/>
    <cellStyle name="20% - Accent1 2 2 2 7 2" xfId="24643" xr:uid="{00000000-0005-0000-0000-00007F010000}"/>
    <cellStyle name="20% - Accent1 2 2 2 7 3" xfId="34368" xr:uid="{00000000-0005-0000-0000-000080010000}"/>
    <cellStyle name="20% - Accent1 2 2 2 7 4" xfId="44093" xr:uid="{00000000-0005-0000-0000-000081010000}"/>
    <cellStyle name="20% - Accent1 2 2 2 7 5" xfId="14918" xr:uid="{00000000-0005-0000-0000-000082010000}"/>
    <cellStyle name="20% - Accent1 2 2 2 8" xfId="19781" xr:uid="{00000000-0005-0000-0000-000083010000}"/>
    <cellStyle name="20% - Accent1 2 2 2 9" xfId="29506" xr:uid="{00000000-0005-0000-0000-000084010000}"/>
    <cellStyle name="20% - Accent1 2 2 3" xfId="359" xr:uid="{00000000-0005-0000-0000-000085010000}"/>
    <cellStyle name="20% - Accent1 2 2 3 10" xfId="39321" xr:uid="{00000000-0005-0000-0000-000086010000}"/>
    <cellStyle name="20% - Accent1 2 2 3 11" xfId="10146" xr:uid="{00000000-0005-0000-0000-000087010000}"/>
    <cellStyle name="20% - Accent1 2 2 3 2" xfId="1122" xr:uid="{00000000-0005-0000-0000-000088010000}"/>
    <cellStyle name="20% - Accent1 2 2 3 2 2" xfId="2760" xr:uid="{00000000-0005-0000-0000-000089010000}"/>
    <cellStyle name="20% - Accent1 2 2 3 2 2 2" xfId="7622" xr:uid="{00000000-0005-0000-0000-00008A010000}"/>
    <cellStyle name="20% - Accent1 2 2 3 2 2 2 2" xfId="27073" xr:uid="{00000000-0005-0000-0000-00008B010000}"/>
    <cellStyle name="20% - Accent1 2 2 3 2 2 2 3" xfId="36798" xr:uid="{00000000-0005-0000-0000-00008C010000}"/>
    <cellStyle name="20% - Accent1 2 2 3 2 2 2 4" xfId="46523" xr:uid="{00000000-0005-0000-0000-00008D010000}"/>
    <cellStyle name="20% - Accent1 2 2 3 2 2 2 5" xfId="17348" xr:uid="{00000000-0005-0000-0000-00008E010000}"/>
    <cellStyle name="20% - Accent1 2 2 3 2 2 3" xfId="22211" xr:uid="{00000000-0005-0000-0000-00008F010000}"/>
    <cellStyle name="20% - Accent1 2 2 3 2 2 4" xfId="31936" xr:uid="{00000000-0005-0000-0000-000090010000}"/>
    <cellStyle name="20% - Accent1 2 2 3 2 2 5" xfId="41661" xr:uid="{00000000-0005-0000-0000-000091010000}"/>
    <cellStyle name="20% - Accent1 2 2 3 2 2 6" xfId="12486" xr:uid="{00000000-0005-0000-0000-000092010000}"/>
    <cellStyle name="20% - Accent1 2 2 3 2 3" xfId="4380" xr:uid="{00000000-0005-0000-0000-000093010000}"/>
    <cellStyle name="20% - Accent1 2 2 3 2 3 2" xfId="9242" xr:uid="{00000000-0005-0000-0000-000094010000}"/>
    <cellStyle name="20% - Accent1 2 2 3 2 3 2 2" xfId="28693" xr:uid="{00000000-0005-0000-0000-000095010000}"/>
    <cellStyle name="20% - Accent1 2 2 3 2 3 2 3" xfId="38418" xr:uid="{00000000-0005-0000-0000-000096010000}"/>
    <cellStyle name="20% - Accent1 2 2 3 2 3 2 4" xfId="48143" xr:uid="{00000000-0005-0000-0000-000097010000}"/>
    <cellStyle name="20% - Accent1 2 2 3 2 3 2 5" xfId="18968" xr:uid="{00000000-0005-0000-0000-000098010000}"/>
    <cellStyle name="20% - Accent1 2 2 3 2 3 3" xfId="23831" xr:uid="{00000000-0005-0000-0000-000099010000}"/>
    <cellStyle name="20% - Accent1 2 2 3 2 3 4" xfId="33556" xr:uid="{00000000-0005-0000-0000-00009A010000}"/>
    <cellStyle name="20% - Accent1 2 2 3 2 3 5" xfId="43281" xr:uid="{00000000-0005-0000-0000-00009B010000}"/>
    <cellStyle name="20% - Accent1 2 2 3 2 3 6" xfId="14106" xr:uid="{00000000-0005-0000-0000-00009C010000}"/>
    <cellStyle name="20% - Accent1 2 2 3 2 4" xfId="6002" xr:uid="{00000000-0005-0000-0000-00009D010000}"/>
    <cellStyle name="20% - Accent1 2 2 3 2 4 2" xfId="25453" xr:uid="{00000000-0005-0000-0000-00009E010000}"/>
    <cellStyle name="20% - Accent1 2 2 3 2 4 3" xfId="35178" xr:uid="{00000000-0005-0000-0000-00009F010000}"/>
    <cellStyle name="20% - Accent1 2 2 3 2 4 4" xfId="44903" xr:uid="{00000000-0005-0000-0000-0000A0010000}"/>
    <cellStyle name="20% - Accent1 2 2 3 2 4 5" xfId="15728" xr:uid="{00000000-0005-0000-0000-0000A1010000}"/>
    <cellStyle name="20% - Accent1 2 2 3 2 5" xfId="20591" xr:uid="{00000000-0005-0000-0000-0000A2010000}"/>
    <cellStyle name="20% - Accent1 2 2 3 2 6" xfId="30316" xr:uid="{00000000-0005-0000-0000-0000A3010000}"/>
    <cellStyle name="20% - Accent1 2 2 3 2 7" xfId="40041" xr:uid="{00000000-0005-0000-0000-0000A4010000}"/>
    <cellStyle name="20% - Accent1 2 2 3 2 8" xfId="10866" xr:uid="{00000000-0005-0000-0000-0000A5010000}"/>
    <cellStyle name="20% - Accent1 2 2 3 3" xfId="1589" xr:uid="{00000000-0005-0000-0000-0000A6010000}"/>
    <cellStyle name="20% - Accent1 2 2 3 3 2" xfId="3210" xr:uid="{00000000-0005-0000-0000-0000A7010000}"/>
    <cellStyle name="20% - Accent1 2 2 3 3 2 2" xfId="8072" xr:uid="{00000000-0005-0000-0000-0000A8010000}"/>
    <cellStyle name="20% - Accent1 2 2 3 3 2 2 2" xfId="27523" xr:uid="{00000000-0005-0000-0000-0000A9010000}"/>
    <cellStyle name="20% - Accent1 2 2 3 3 2 2 3" xfId="37248" xr:uid="{00000000-0005-0000-0000-0000AA010000}"/>
    <cellStyle name="20% - Accent1 2 2 3 3 2 2 4" xfId="46973" xr:uid="{00000000-0005-0000-0000-0000AB010000}"/>
    <cellStyle name="20% - Accent1 2 2 3 3 2 2 5" xfId="17798" xr:uid="{00000000-0005-0000-0000-0000AC010000}"/>
    <cellStyle name="20% - Accent1 2 2 3 3 2 3" xfId="22661" xr:uid="{00000000-0005-0000-0000-0000AD010000}"/>
    <cellStyle name="20% - Accent1 2 2 3 3 2 4" xfId="32386" xr:uid="{00000000-0005-0000-0000-0000AE010000}"/>
    <cellStyle name="20% - Accent1 2 2 3 3 2 5" xfId="42111" xr:uid="{00000000-0005-0000-0000-0000AF010000}"/>
    <cellStyle name="20% - Accent1 2 2 3 3 2 6" xfId="12936" xr:uid="{00000000-0005-0000-0000-0000B0010000}"/>
    <cellStyle name="20% - Accent1 2 2 3 3 3" xfId="4830" xr:uid="{00000000-0005-0000-0000-0000B1010000}"/>
    <cellStyle name="20% - Accent1 2 2 3 3 3 2" xfId="9692" xr:uid="{00000000-0005-0000-0000-0000B2010000}"/>
    <cellStyle name="20% - Accent1 2 2 3 3 3 2 2" xfId="29143" xr:uid="{00000000-0005-0000-0000-0000B3010000}"/>
    <cellStyle name="20% - Accent1 2 2 3 3 3 2 3" xfId="38868" xr:uid="{00000000-0005-0000-0000-0000B4010000}"/>
    <cellStyle name="20% - Accent1 2 2 3 3 3 2 4" xfId="48593" xr:uid="{00000000-0005-0000-0000-0000B5010000}"/>
    <cellStyle name="20% - Accent1 2 2 3 3 3 2 5" xfId="19418" xr:uid="{00000000-0005-0000-0000-0000B6010000}"/>
    <cellStyle name="20% - Accent1 2 2 3 3 3 3" xfId="24281" xr:uid="{00000000-0005-0000-0000-0000B7010000}"/>
    <cellStyle name="20% - Accent1 2 2 3 3 3 4" xfId="34006" xr:uid="{00000000-0005-0000-0000-0000B8010000}"/>
    <cellStyle name="20% - Accent1 2 2 3 3 3 5" xfId="43731" xr:uid="{00000000-0005-0000-0000-0000B9010000}"/>
    <cellStyle name="20% - Accent1 2 2 3 3 3 6" xfId="14556" xr:uid="{00000000-0005-0000-0000-0000BA010000}"/>
    <cellStyle name="20% - Accent1 2 2 3 3 4" xfId="6452" xr:uid="{00000000-0005-0000-0000-0000BB010000}"/>
    <cellStyle name="20% - Accent1 2 2 3 3 4 2" xfId="25903" xr:uid="{00000000-0005-0000-0000-0000BC010000}"/>
    <cellStyle name="20% - Accent1 2 2 3 3 4 3" xfId="35628" xr:uid="{00000000-0005-0000-0000-0000BD010000}"/>
    <cellStyle name="20% - Accent1 2 2 3 3 4 4" xfId="45353" xr:uid="{00000000-0005-0000-0000-0000BE010000}"/>
    <cellStyle name="20% - Accent1 2 2 3 3 4 5" xfId="16178" xr:uid="{00000000-0005-0000-0000-0000BF010000}"/>
    <cellStyle name="20% - Accent1 2 2 3 3 5" xfId="21041" xr:uid="{00000000-0005-0000-0000-0000C0010000}"/>
    <cellStyle name="20% - Accent1 2 2 3 3 6" xfId="30766" xr:uid="{00000000-0005-0000-0000-0000C1010000}"/>
    <cellStyle name="20% - Accent1 2 2 3 3 7" xfId="40491" xr:uid="{00000000-0005-0000-0000-0000C2010000}"/>
    <cellStyle name="20% - Accent1 2 2 3 3 8" xfId="11316" xr:uid="{00000000-0005-0000-0000-0000C3010000}"/>
    <cellStyle name="20% - Accent1 2 2 3 4" xfId="760" xr:uid="{00000000-0005-0000-0000-0000C4010000}"/>
    <cellStyle name="20% - Accent1 2 2 3 4 2" xfId="2400" xr:uid="{00000000-0005-0000-0000-0000C5010000}"/>
    <cellStyle name="20% - Accent1 2 2 3 4 2 2" xfId="7262" xr:uid="{00000000-0005-0000-0000-0000C6010000}"/>
    <cellStyle name="20% - Accent1 2 2 3 4 2 2 2" xfId="26713" xr:uid="{00000000-0005-0000-0000-0000C7010000}"/>
    <cellStyle name="20% - Accent1 2 2 3 4 2 2 3" xfId="36438" xr:uid="{00000000-0005-0000-0000-0000C8010000}"/>
    <cellStyle name="20% - Accent1 2 2 3 4 2 2 4" xfId="46163" xr:uid="{00000000-0005-0000-0000-0000C9010000}"/>
    <cellStyle name="20% - Accent1 2 2 3 4 2 2 5" xfId="16988" xr:uid="{00000000-0005-0000-0000-0000CA010000}"/>
    <cellStyle name="20% - Accent1 2 2 3 4 2 3" xfId="21851" xr:uid="{00000000-0005-0000-0000-0000CB010000}"/>
    <cellStyle name="20% - Accent1 2 2 3 4 2 4" xfId="31576" xr:uid="{00000000-0005-0000-0000-0000CC010000}"/>
    <cellStyle name="20% - Accent1 2 2 3 4 2 5" xfId="41301" xr:uid="{00000000-0005-0000-0000-0000CD010000}"/>
    <cellStyle name="20% - Accent1 2 2 3 4 2 6" xfId="12126" xr:uid="{00000000-0005-0000-0000-0000CE010000}"/>
    <cellStyle name="20% - Accent1 2 2 3 4 3" xfId="4020" xr:uid="{00000000-0005-0000-0000-0000CF010000}"/>
    <cellStyle name="20% - Accent1 2 2 3 4 3 2" xfId="8882" xr:uid="{00000000-0005-0000-0000-0000D0010000}"/>
    <cellStyle name="20% - Accent1 2 2 3 4 3 2 2" xfId="28333" xr:uid="{00000000-0005-0000-0000-0000D1010000}"/>
    <cellStyle name="20% - Accent1 2 2 3 4 3 2 3" xfId="38058" xr:uid="{00000000-0005-0000-0000-0000D2010000}"/>
    <cellStyle name="20% - Accent1 2 2 3 4 3 2 4" xfId="47783" xr:uid="{00000000-0005-0000-0000-0000D3010000}"/>
    <cellStyle name="20% - Accent1 2 2 3 4 3 2 5" xfId="18608" xr:uid="{00000000-0005-0000-0000-0000D4010000}"/>
    <cellStyle name="20% - Accent1 2 2 3 4 3 3" xfId="23471" xr:uid="{00000000-0005-0000-0000-0000D5010000}"/>
    <cellStyle name="20% - Accent1 2 2 3 4 3 4" xfId="33196" xr:uid="{00000000-0005-0000-0000-0000D6010000}"/>
    <cellStyle name="20% - Accent1 2 2 3 4 3 5" xfId="42921" xr:uid="{00000000-0005-0000-0000-0000D7010000}"/>
    <cellStyle name="20% - Accent1 2 2 3 4 3 6" xfId="13746" xr:uid="{00000000-0005-0000-0000-0000D8010000}"/>
    <cellStyle name="20% - Accent1 2 2 3 4 4" xfId="5642" xr:uid="{00000000-0005-0000-0000-0000D9010000}"/>
    <cellStyle name="20% - Accent1 2 2 3 4 4 2" xfId="25093" xr:uid="{00000000-0005-0000-0000-0000DA010000}"/>
    <cellStyle name="20% - Accent1 2 2 3 4 4 3" xfId="34818" xr:uid="{00000000-0005-0000-0000-0000DB010000}"/>
    <cellStyle name="20% - Accent1 2 2 3 4 4 4" xfId="44543" xr:uid="{00000000-0005-0000-0000-0000DC010000}"/>
    <cellStyle name="20% - Accent1 2 2 3 4 4 5" xfId="15368" xr:uid="{00000000-0005-0000-0000-0000DD010000}"/>
    <cellStyle name="20% - Accent1 2 2 3 4 5" xfId="20231" xr:uid="{00000000-0005-0000-0000-0000DE010000}"/>
    <cellStyle name="20% - Accent1 2 2 3 4 6" xfId="29956" xr:uid="{00000000-0005-0000-0000-0000DF010000}"/>
    <cellStyle name="20% - Accent1 2 2 3 4 7" xfId="39681" xr:uid="{00000000-0005-0000-0000-0000E0010000}"/>
    <cellStyle name="20% - Accent1 2 2 3 4 8" xfId="10506" xr:uid="{00000000-0005-0000-0000-0000E1010000}"/>
    <cellStyle name="20% - Accent1 2 2 3 5" xfId="2040" xr:uid="{00000000-0005-0000-0000-0000E2010000}"/>
    <cellStyle name="20% - Accent1 2 2 3 5 2" xfId="6902" xr:uid="{00000000-0005-0000-0000-0000E3010000}"/>
    <cellStyle name="20% - Accent1 2 2 3 5 2 2" xfId="26353" xr:uid="{00000000-0005-0000-0000-0000E4010000}"/>
    <cellStyle name="20% - Accent1 2 2 3 5 2 3" xfId="36078" xr:uid="{00000000-0005-0000-0000-0000E5010000}"/>
    <cellStyle name="20% - Accent1 2 2 3 5 2 4" xfId="45803" xr:uid="{00000000-0005-0000-0000-0000E6010000}"/>
    <cellStyle name="20% - Accent1 2 2 3 5 2 5" xfId="16628" xr:uid="{00000000-0005-0000-0000-0000E7010000}"/>
    <cellStyle name="20% - Accent1 2 2 3 5 3" xfId="21491" xr:uid="{00000000-0005-0000-0000-0000E8010000}"/>
    <cellStyle name="20% - Accent1 2 2 3 5 4" xfId="31216" xr:uid="{00000000-0005-0000-0000-0000E9010000}"/>
    <cellStyle name="20% - Accent1 2 2 3 5 5" xfId="40941" xr:uid="{00000000-0005-0000-0000-0000EA010000}"/>
    <cellStyle name="20% - Accent1 2 2 3 5 6" xfId="11766" xr:uid="{00000000-0005-0000-0000-0000EB010000}"/>
    <cellStyle name="20% - Accent1 2 2 3 6" xfId="3660" xr:uid="{00000000-0005-0000-0000-0000EC010000}"/>
    <cellStyle name="20% - Accent1 2 2 3 6 2" xfId="8522" xr:uid="{00000000-0005-0000-0000-0000ED010000}"/>
    <cellStyle name="20% - Accent1 2 2 3 6 2 2" xfId="27973" xr:uid="{00000000-0005-0000-0000-0000EE010000}"/>
    <cellStyle name="20% - Accent1 2 2 3 6 2 3" xfId="37698" xr:uid="{00000000-0005-0000-0000-0000EF010000}"/>
    <cellStyle name="20% - Accent1 2 2 3 6 2 4" xfId="47423" xr:uid="{00000000-0005-0000-0000-0000F0010000}"/>
    <cellStyle name="20% - Accent1 2 2 3 6 2 5" xfId="18248" xr:uid="{00000000-0005-0000-0000-0000F1010000}"/>
    <cellStyle name="20% - Accent1 2 2 3 6 3" xfId="23111" xr:uid="{00000000-0005-0000-0000-0000F2010000}"/>
    <cellStyle name="20% - Accent1 2 2 3 6 4" xfId="32836" xr:uid="{00000000-0005-0000-0000-0000F3010000}"/>
    <cellStyle name="20% - Accent1 2 2 3 6 5" xfId="42561" xr:uid="{00000000-0005-0000-0000-0000F4010000}"/>
    <cellStyle name="20% - Accent1 2 2 3 6 6" xfId="13386" xr:uid="{00000000-0005-0000-0000-0000F5010000}"/>
    <cellStyle name="20% - Accent1 2 2 3 7" xfId="5282" xr:uid="{00000000-0005-0000-0000-0000F6010000}"/>
    <cellStyle name="20% - Accent1 2 2 3 7 2" xfId="24733" xr:uid="{00000000-0005-0000-0000-0000F7010000}"/>
    <cellStyle name="20% - Accent1 2 2 3 7 3" xfId="34458" xr:uid="{00000000-0005-0000-0000-0000F8010000}"/>
    <cellStyle name="20% - Accent1 2 2 3 7 4" xfId="44183" xr:uid="{00000000-0005-0000-0000-0000F9010000}"/>
    <cellStyle name="20% - Accent1 2 2 3 7 5" xfId="15008" xr:uid="{00000000-0005-0000-0000-0000FA010000}"/>
    <cellStyle name="20% - Accent1 2 2 3 8" xfId="19871" xr:uid="{00000000-0005-0000-0000-0000FB010000}"/>
    <cellStyle name="20% - Accent1 2 2 3 9" xfId="29596" xr:uid="{00000000-0005-0000-0000-0000FC010000}"/>
    <cellStyle name="20% - Accent1 2 2 4" xfId="177" xr:uid="{00000000-0005-0000-0000-0000FD010000}"/>
    <cellStyle name="20% - Accent1 2 2 4 10" xfId="39141" xr:uid="{00000000-0005-0000-0000-0000FE010000}"/>
    <cellStyle name="20% - Accent1 2 2 4 11" xfId="9966" xr:uid="{00000000-0005-0000-0000-0000FF010000}"/>
    <cellStyle name="20% - Accent1 2 2 4 2" xfId="941" xr:uid="{00000000-0005-0000-0000-000000020000}"/>
    <cellStyle name="20% - Accent1 2 2 4 2 2" xfId="2580" xr:uid="{00000000-0005-0000-0000-000001020000}"/>
    <cellStyle name="20% - Accent1 2 2 4 2 2 2" xfId="7442" xr:uid="{00000000-0005-0000-0000-000002020000}"/>
    <cellStyle name="20% - Accent1 2 2 4 2 2 2 2" xfId="26893" xr:uid="{00000000-0005-0000-0000-000003020000}"/>
    <cellStyle name="20% - Accent1 2 2 4 2 2 2 3" xfId="36618" xr:uid="{00000000-0005-0000-0000-000004020000}"/>
    <cellStyle name="20% - Accent1 2 2 4 2 2 2 4" xfId="46343" xr:uid="{00000000-0005-0000-0000-000005020000}"/>
    <cellStyle name="20% - Accent1 2 2 4 2 2 2 5" xfId="17168" xr:uid="{00000000-0005-0000-0000-000006020000}"/>
    <cellStyle name="20% - Accent1 2 2 4 2 2 3" xfId="22031" xr:uid="{00000000-0005-0000-0000-000007020000}"/>
    <cellStyle name="20% - Accent1 2 2 4 2 2 4" xfId="31756" xr:uid="{00000000-0005-0000-0000-000008020000}"/>
    <cellStyle name="20% - Accent1 2 2 4 2 2 5" xfId="41481" xr:uid="{00000000-0005-0000-0000-000009020000}"/>
    <cellStyle name="20% - Accent1 2 2 4 2 2 6" xfId="12306" xr:uid="{00000000-0005-0000-0000-00000A020000}"/>
    <cellStyle name="20% - Accent1 2 2 4 2 3" xfId="4200" xr:uid="{00000000-0005-0000-0000-00000B020000}"/>
    <cellStyle name="20% - Accent1 2 2 4 2 3 2" xfId="9062" xr:uid="{00000000-0005-0000-0000-00000C020000}"/>
    <cellStyle name="20% - Accent1 2 2 4 2 3 2 2" xfId="28513" xr:uid="{00000000-0005-0000-0000-00000D020000}"/>
    <cellStyle name="20% - Accent1 2 2 4 2 3 2 3" xfId="38238" xr:uid="{00000000-0005-0000-0000-00000E020000}"/>
    <cellStyle name="20% - Accent1 2 2 4 2 3 2 4" xfId="47963" xr:uid="{00000000-0005-0000-0000-00000F020000}"/>
    <cellStyle name="20% - Accent1 2 2 4 2 3 2 5" xfId="18788" xr:uid="{00000000-0005-0000-0000-000010020000}"/>
    <cellStyle name="20% - Accent1 2 2 4 2 3 3" xfId="23651" xr:uid="{00000000-0005-0000-0000-000011020000}"/>
    <cellStyle name="20% - Accent1 2 2 4 2 3 4" xfId="33376" xr:uid="{00000000-0005-0000-0000-000012020000}"/>
    <cellStyle name="20% - Accent1 2 2 4 2 3 5" xfId="43101" xr:uid="{00000000-0005-0000-0000-000013020000}"/>
    <cellStyle name="20% - Accent1 2 2 4 2 3 6" xfId="13926" xr:uid="{00000000-0005-0000-0000-000014020000}"/>
    <cellStyle name="20% - Accent1 2 2 4 2 4" xfId="5822" xr:uid="{00000000-0005-0000-0000-000015020000}"/>
    <cellStyle name="20% - Accent1 2 2 4 2 4 2" xfId="25273" xr:uid="{00000000-0005-0000-0000-000016020000}"/>
    <cellStyle name="20% - Accent1 2 2 4 2 4 3" xfId="34998" xr:uid="{00000000-0005-0000-0000-000017020000}"/>
    <cellStyle name="20% - Accent1 2 2 4 2 4 4" xfId="44723" xr:uid="{00000000-0005-0000-0000-000018020000}"/>
    <cellStyle name="20% - Accent1 2 2 4 2 4 5" xfId="15548" xr:uid="{00000000-0005-0000-0000-000019020000}"/>
    <cellStyle name="20% - Accent1 2 2 4 2 5" xfId="20411" xr:uid="{00000000-0005-0000-0000-00001A020000}"/>
    <cellStyle name="20% - Accent1 2 2 4 2 6" xfId="30136" xr:uid="{00000000-0005-0000-0000-00001B020000}"/>
    <cellStyle name="20% - Accent1 2 2 4 2 7" xfId="39861" xr:uid="{00000000-0005-0000-0000-00001C020000}"/>
    <cellStyle name="20% - Accent1 2 2 4 2 8" xfId="10686" xr:uid="{00000000-0005-0000-0000-00001D020000}"/>
    <cellStyle name="20% - Accent1 2 2 4 3" xfId="1409" xr:uid="{00000000-0005-0000-0000-00001E020000}"/>
    <cellStyle name="20% - Accent1 2 2 4 3 2" xfId="3030" xr:uid="{00000000-0005-0000-0000-00001F020000}"/>
    <cellStyle name="20% - Accent1 2 2 4 3 2 2" xfId="7892" xr:uid="{00000000-0005-0000-0000-000020020000}"/>
    <cellStyle name="20% - Accent1 2 2 4 3 2 2 2" xfId="27343" xr:uid="{00000000-0005-0000-0000-000021020000}"/>
    <cellStyle name="20% - Accent1 2 2 4 3 2 2 3" xfId="37068" xr:uid="{00000000-0005-0000-0000-000022020000}"/>
    <cellStyle name="20% - Accent1 2 2 4 3 2 2 4" xfId="46793" xr:uid="{00000000-0005-0000-0000-000023020000}"/>
    <cellStyle name="20% - Accent1 2 2 4 3 2 2 5" xfId="17618" xr:uid="{00000000-0005-0000-0000-000024020000}"/>
    <cellStyle name="20% - Accent1 2 2 4 3 2 3" xfId="22481" xr:uid="{00000000-0005-0000-0000-000025020000}"/>
    <cellStyle name="20% - Accent1 2 2 4 3 2 4" xfId="32206" xr:uid="{00000000-0005-0000-0000-000026020000}"/>
    <cellStyle name="20% - Accent1 2 2 4 3 2 5" xfId="41931" xr:uid="{00000000-0005-0000-0000-000027020000}"/>
    <cellStyle name="20% - Accent1 2 2 4 3 2 6" xfId="12756" xr:uid="{00000000-0005-0000-0000-000028020000}"/>
    <cellStyle name="20% - Accent1 2 2 4 3 3" xfId="4650" xr:uid="{00000000-0005-0000-0000-000029020000}"/>
    <cellStyle name="20% - Accent1 2 2 4 3 3 2" xfId="9512" xr:uid="{00000000-0005-0000-0000-00002A020000}"/>
    <cellStyle name="20% - Accent1 2 2 4 3 3 2 2" xfId="28963" xr:uid="{00000000-0005-0000-0000-00002B020000}"/>
    <cellStyle name="20% - Accent1 2 2 4 3 3 2 3" xfId="38688" xr:uid="{00000000-0005-0000-0000-00002C020000}"/>
    <cellStyle name="20% - Accent1 2 2 4 3 3 2 4" xfId="48413" xr:uid="{00000000-0005-0000-0000-00002D020000}"/>
    <cellStyle name="20% - Accent1 2 2 4 3 3 2 5" xfId="19238" xr:uid="{00000000-0005-0000-0000-00002E020000}"/>
    <cellStyle name="20% - Accent1 2 2 4 3 3 3" xfId="24101" xr:uid="{00000000-0005-0000-0000-00002F020000}"/>
    <cellStyle name="20% - Accent1 2 2 4 3 3 4" xfId="33826" xr:uid="{00000000-0005-0000-0000-000030020000}"/>
    <cellStyle name="20% - Accent1 2 2 4 3 3 5" xfId="43551" xr:uid="{00000000-0005-0000-0000-000031020000}"/>
    <cellStyle name="20% - Accent1 2 2 4 3 3 6" xfId="14376" xr:uid="{00000000-0005-0000-0000-000032020000}"/>
    <cellStyle name="20% - Accent1 2 2 4 3 4" xfId="6272" xr:uid="{00000000-0005-0000-0000-000033020000}"/>
    <cellStyle name="20% - Accent1 2 2 4 3 4 2" xfId="25723" xr:uid="{00000000-0005-0000-0000-000034020000}"/>
    <cellStyle name="20% - Accent1 2 2 4 3 4 3" xfId="35448" xr:uid="{00000000-0005-0000-0000-000035020000}"/>
    <cellStyle name="20% - Accent1 2 2 4 3 4 4" xfId="45173" xr:uid="{00000000-0005-0000-0000-000036020000}"/>
    <cellStyle name="20% - Accent1 2 2 4 3 4 5" xfId="15998" xr:uid="{00000000-0005-0000-0000-000037020000}"/>
    <cellStyle name="20% - Accent1 2 2 4 3 5" xfId="20861" xr:uid="{00000000-0005-0000-0000-000038020000}"/>
    <cellStyle name="20% - Accent1 2 2 4 3 6" xfId="30586" xr:uid="{00000000-0005-0000-0000-000039020000}"/>
    <cellStyle name="20% - Accent1 2 2 4 3 7" xfId="40311" xr:uid="{00000000-0005-0000-0000-00003A020000}"/>
    <cellStyle name="20% - Accent1 2 2 4 3 8" xfId="11136" xr:uid="{00000000-0005-0000-0000-00003B020000}"/>
    <cellStyle name="20% - Accent1 2 2 4 4" xfId="580" xr:uid="{00000000-0005-0000-0000-00003C020000}"/>
    <cellStyle name="20% - Accent1 2 2 4 4 2" xfId="2220" xr:uid="{00000000-0005-0000-0000-00003D020000}"/>
    <cellStyle name="20% - Accent1 2 2 4 4 2 2" xfId="7082" xr:uid="{00000000-0005-0000-0000-00003E020000}"/>
    <cellStyle name="20% - Accent1 2 2 4 4 2 2 2" xfId="26533" xr:uid="{00000000-0005-0000-0000-00003F020000}"/>
    <cellStyle name="20% - Accent1 2 2 4 4 2 2 3" xfId="36258" xr:uid="{00000000-0005-0000-0000-000040020000}"/>
    <cellStyle name="20% - Accent1 2 2 4 4 2 2 4" xfId="45983" xr:uid="{00000000-0005-0000-0000-000041020000}"/>
    <cellStyle name="20% - Accent1 2 2 4 4 2 2 5" xfId="16808" xr:uid="{00000000-0005-0000-0000-000042020000}"/>
    <cellStyle name="20% - Accent1 2 2 4 4 2 3" xfId="21671" xr:uid="{00000000-0005-0000-0000-000043020000}"/>
    <cellStyle name="20% - Accent1 2 2 4 4 2 4" xfId="31396" xr:uid="{00000000-0005-0000-0000-000044020000}"/>
    <cellStyle name="20% - Accent1 2 2 4 4 2 5" xfId="41121" xr:uid="{00000000-0005-0000-0000-000045020000}"/>
    <cellStyle name="20% - Accent1 2 2 4 4 2 6" xfId="11946" xr:uid="{00000000-0005-0000-0000-000046020000}"/>
    <cellStyle name="20% - Accent1 2 2 4 4 3" xfId="3840" xr:uid="{00000000-0005-0000-0000-000047020000}"/>
    <cellStyle name="20% - Accent1 2 2 4 4 3 2" xfId="8702" xr:uid="{00000000-0005-0000-0000-000048020000}"/>
    <cellStyle name="20% - Accent1 2 2 4 4 3 2 2" xfId="28153" xr:uid="{00000000-0005-0000-0000-000049020000}"/>
    <cellStyle name="20% - Accent1 2 2 4 4 3 2 3" xfId="37878" xr:uid="{00000000-0005-0000-0000-00004A020000}"/>
    <cellStyle name="20% - Accent1 2 2 4 4 3 2 4" xfId="47603" xr:uid="{00000000-0005-0000-0000-00004B020000}"/>
    <cellStyle name="20% - Accent1 2 2 4 4 3 2 5" xfId="18428" xr:uid="{00000000-0005-0000-0000-00004C020000}"/>
    <cellStyle name="20% - Accent1 2 2 4 4 3 3" xfId="23291" xr:uid="{00000000-0005-0000-0000-00004D020000}"/>
    <cellStyle name="20% - Accent1 2 2 4 4 3 4" xfId="33016" xr:uid="{00000000-0005-0000-0000-00004E020000}"/>
    <cellStyle name="20% - Accent1 2 2 4 4 3 5" xfId="42741" xr:uid="{00000000-0005-0000-0000-00004F020000}"/>
    <cellStyle name="20% - Accent1 2 2 4 4 3 6" xfId="13566" xr:uid="{00000000-0005-0000-0000-000050020000}"/>
    <cellStyle name="20% - Accent1 2 2 4 4 4" xfId="5462" xr:uid="{00000000-0005-0000-0000-000051020000}"/>
    <cellStyle name="20% - Accent1 2 2 4 4 4 2" xfId="24913" xr:uid="{00000000-0005-0000-0000-000052020000}"/>
    <cellStyle name="20% - Accent1 2 2 4 4 4 3" xfId="34638" xr:uid="{00000000-0005-0000-0000-000053020000}"/>
    <cellStyle name="20% - Accent1 2 2 4 4 4 4" xfId="44363" xr:uid="{00000000-0005-0000-0000-000054020000}"/>
    <cellStyle name="20% - Accent1 2 2 4 4 4 5" xfId="15188" xr:uid="{00000000-0005-0000-0000-000055020000}"/>
    <cellStyle name="20% - Accent1 2 2 4 4 5" xfId="20051" xr:uid="{00000000-0005-0000-0000-000056020000}"/>
    <cellStyle name="20% - Accent1 2 2 4 4 6" xfId="29776" xr:uid="{00000000-0005-0000-0000-000057020000}"/>
    <cellStyle name="20% - Accent1 2 2 4 4 7" xfId="39501" xr:uid="{00000000-0005-0000-0000-000058020000}"/>
    <cellStyle name="20% - Accent1 2 2 4 4 8" xfId="10326" xr:uid="{00000000-0005-0000-0000-000059020000}"/>
    <cellStyle name="20% - Accent1 2 2 4 5" xfId="1860" xr:uid="{00000000-0005-0000-0000-00005A020000}"/>
    <cellStyle name="20% - Accent1 2 2 4 5 2" xfId="6722" xr:uid="{00000000-0005-0000-0000-00005B020000}"/>
    <cellStyle name="20% - Accent1 2 2 4 5 2 2" xfId="26173" xr:uid="{00000000-0005-0000-0000-00005C020000}"/>
    <cellStyle name="20% - Accent1 2 2 4 5 2 3" xfId="35898" xr:uid="{00000000-0005-0000-0000-00005D020000}"/>
    <cellStyle name="20% - Accent1 2 2 4 5 2 4" xfId="45623" xr:uid="{00000000-0005-0000-0000-00005E020000}"/>
    <cellStyle name="20% - Accent1 2 2 4 5 2 5" xfId="16448" xr:uid="{00000000-0005-0000-0000-00005F020000}"/>
    <cellStyle name="20% - Accent1 2 2 4 5 3" xfId="21311" xr:uid="{00000000-0005-0000-0000-000060020000}"/>
    <cellStyle name="20% - Accent1 2 2 4 5 4" xfId="31036" xr:uid="{00000000-0005-0000-0000-000061020000}"/>
    <cellStyle name="20% - Accent1 2 2 4 5 5" xfId="40761" xr:uid="{00000000-0005-0000-0000-000062020000}"/>
    <cellStyle name="20% - Accent1 2 2 4 5 6" xfId="11586" xr:uid="{00000000-0005-0000-0000-000063020000}"/>
    <cellStyle name="20% - Accent1 2 2 4 6" xfId="3480" xr:uid="{00000000-0005-0000-0000-000064020000}"/>
    <cellStyle name="20% - Accent1 2 2 4 6 2" xfId="8342" xr:uid="{00000000-0005-0000-0000-000065020000}"/>
    <cellStyle name="20% - Accent1 2 2 4 6 2 2" xfId="27793" xr:uid="{00000000-0005-0000-0000-000066020000}"/>
    <cellStyle name="20% - Accent1 2 2 4 6 2 3" xfId="37518" xr:uid="{00000000-0005-0000-0000-000067020000}"/>
    <cellStyle name="20% - Accent1 2 2 4 6 2 4" xfId="47243" xr:uid="{00000000-0005-0000-0000-000068020000}"/>
    <cellStyle name="20% - Accent1 2 2 4 6 2 5" xfId="18068" xr:uid="{00000000-0005-0000-0000-000069020000}"/>
    <cellStyle name="20% - Accent1 2 2 4 6 3" xfId="22931" xr:uid="{00000000-0005-0000-0000-00006A020000}"/>
    <cellStyle name="20% - Accent1 2 2 4 6 4" xfId="32656" xr:uid="{00000000-0005-0000-0000-00006B020000}"/>
    <cellStyle name="20% - Accent1 2 2 4 6 5" xfId="42381" xr:uid="{00000000-0005-0000-0000-00006C020000}"/>
    <cellStyle name="20% - Accent1 2 2 4 6 6" xfId="13206" xr:uid="{00000000-0005-0000-0000-00006D020000}"/>
    <cellStyle name="20% - Accent1 2 2 4 7" xfId="5102" xr:uid="{00000000-0005-0000-0000-00006E020000}"/>
    <cellStyle name="20% - Accent1 2 2 4 7 2" xfId="24553" xr:uid="{00000000-0005-0000-0000-00006F020000}"/>
    <cellStyle name="20% - Accent1 2 2 4 7 3" xfId="34278" xr:uid="{00000000-0005-0000-0000-000070020000}"/>
    <cellStyle name="20% - Accent1 2 2 4 7 4" xfId="44003" xr:uid="{00000000-0005-0000-0000-000071020000}"/>
    <cellStyle name="20% - Accent1 2 2 4 7 5" xfId="14828" xr:uid="{00000000-0005-0000-0000-000072020000}"/>
    <cellStyle name="20% - Accent1 2 2 4 8" xfId="19691" xr:uid="{00000000-0005-0000-0000-000073020000}"/>
    <cellStyle name="20% - Accent1 2 2 4 9" xfId="29416" xr:uid="{00000000-0005-0000-0000-000074020000}"/>
    <cellStyle name="20% - Accent1 2 2 5" xfId="851" xr:uid="{00000000-0005-0000-0000-000075020000}"/>
    <cellStyle name="20% - Accent1 2 2 5 2" xfId="2490" xr:uid="{00000000-0005-0000-0000-000076020000}"/>
    <cellStyle name="20% - Accent1 2 2 5 2 2" xfId="7352" xr:uid="{00000000-0005-0000-0000-000077020000}"/>
    <cellStyle name="20% - Accent1 2 2 5 2 2 2" xfId="26803" xr:uid="{00000000-0005-0000-0000-000078020000}"/>
    <cellStyle name="20% - Accent1 2 2 5 2 2 3" xfId="36528" xr:uid="{00000000-0005-0000-0000-000079020000}"/>
    <cellStyle name="20% - Accent1 2 2 5 2 2 4" xfId="46253" xr:uid="{00000000-0005-0000-0000-00007A020000}"/>
    <cellStyle name="20% - Accent1 2 2 5 2 2 5" xfId="17078" xr:uid="{00000000-0005-0000-0000-00007B020000}"/>
    <cellStyle name="20% - Accent1 2 2 5 2 3" xfId="21941" xr:uid="{00000000-0005-0000-0000-00007C020000}"/>
    <cellStyle name="20% - Accent1 2 2 5 2 4" xfId="31666" xr:uid="{00000000-0005-0000-0000-00007D020000}"/>
    <cellStyle name="20% - Accent1 2 2 5 2 5" xfId="41391" xr:uid="{00000000-0005-0000-0000-00007E020000}"/>
    <cellStyle name="20% - Accent1 2 2 5 2 6" xfId="12216" xr:uid="{00000000-0005-0000-0000-00007F020000}"/>
    <cellStyle name="20% - Accent1 2 2 5 3" xfId="4110" xr:uid="{00000000-0005-0000-0000-000080020000}"/>
    <cellStyle name="20% - Accent1 2 2 5 3 2" xfId="8972" xr:uid="{00000000-0005-0000-0000-000081020000}"/>
    <cellStyle name="20% - Accent1 2 2 5 3 2 2" xfId="28423" xr:uid="{00000000-0005-0000-0000-000082020000}"/>
    <cellStyle name="20% - Accent1 2 2 5 3 2 3" xfId="38148" xr:uid="{00000000-0005-0000-0000-000083020000}"/>
    <cellStyle name="20% - Accent1 2 2 5 3 2 4" xfId="47873" xr:uid="{00000000-0005-0000-0000-000084020000}"/>
    <cellStyle name="20% - Accent1 2 2 5 3 2 5" xfId="18698" xr:uid="{00000000-0005-0000-0000-000085020000}"/>
    <cellStyle name="20% - Accent1 2 2 5 3 3" xfId="23561" xr:uid="{00000000-0005-0000-0000-000086020000}"/>
    <cellStyle name="20% - Accent1 2 2 5 3 4" xfId="33286" xr:uid="{00000000-0005-0000-0000-000087020000}"/>
    <cellStyle name="20% - Accent1 2 2 5 3 5" xfId="43011" xr:uid="{00000000-0005-0000-0000-000088020000}"/>
    <cellStyle name="20% - Accent1 2 2 5 3 6" xfId="13836" xr:uid="{00000000-0005-0000-0000-000089020000}"/>
    <cellStyle name="20% - Accent1 2 2 5 4" xfId="5732" xr:uid="{00000000-0005-0000-0000-00008A020000}"/>
    <cellStyle name="20% - Accent1 2 2 5 4 2" xfId="25183" xr:uid="{00000000-0005-0000-0000-00008B020000}"/>
    <cellStyle name="20% - Accent1 2 2 5 4 3" xfId="34908" xr:uid="{00000000-0005-0000-0000-00008C020000}"/>
    <cellStyle name="20% - Accent1 2 2 5 4 4" xfId="44633" xr:uid="{00000000-0005-0000-0000-00008D020000}"/>
    <cellStyle name="20% - Accent1 2 2 5 4 5" xfId="15458" xr:uid="{00000000-0005-0000-0000-00008E020000}"/>
    <cellStyle name="20% - Accent1 2 2 5 5" xfId="20321" xr:uid="{00000000-0005-0000-0000-00008F020000}"/>
    <cellStyle name="20% - Accent1 2 2 5 6" xfId="30046" xr:uid="{00000000-0005-0000-0000-000090020000}"/>
    <cellStyle name="20% - Accent1 2 2 5 7" xfId="39771" xr:uid="{00000000-0005-0000-0000-000091020000}"/>
    <cellStyle name="20% - Accent1 2 2 5 8" xfId="10596" xr:uid="{00000000-0005-0000-0000-000092020000}"/>
    <cellStyle name="20% - Accent1 2 2 6" xfId="1229" xr:uid="{00000000-0005-0000-0000-000093020000}"/>
    <cellStyle name="20% - Accent1 2 2 6 2" xfId="2850" xr:uid="{00000000-0005-0000-0000-000094020000}"/>
    <cellStyle name="20% - Accent1 2 2 6 2 2" xfId="7712" xr:uid="{00000000-0005-0000-0000-000095020000}"/>
    <cellStyle name="20% - Accent1 2 2 6 2 2 2" xfId="27163" xr:uid="{00000000-0005-0000-0000-000096020000}"/>
    <cellStyle name="20% - Accent1 2 2 6 2 2 3" xfId="36888" xr:uid="{00000000-0005-0000-0000-000097020000}"/>
    <cellStyle name="20% - Accent1 2 2 6 2 2 4" xfId="46613" xr:uid="{00000000-0005-0000-0000-000098020000}"/>
    <cellStyle name="20% - Accent1 2 2 6 2 2 5" xfId="17438" xr:uid="{00000000-0005-0000-0000-000099020000}"/>
    <cellStyle name="20% - Accent1 2 2 6 2 3" xfId="22301" xr:uid="{00000000-0005-0000-0000-00009A020000}"/>
    <cellStyle name="20% - Accent1 2 2 6 2 4" xfId="32026" xr:uid="{00000000-0005-0000-0000-00009B020000}"/>
    <cellStyle name="20% - Accent1 2 2 6 2 5" xfId="41751" xr:uid="{00000000-0005-0000-0000-00009C020000}"/>
    <cellStyle name="20% - Accent1 2 2 6 2 6" xfId="12576" xr:uid="{00000000-0005-0000-0000-00009D020000}"/>
    <cellStyle name="20% - Accent1 2 2 6 3" xfId="4470" xr:uid="{00000000-0005-0000-0000-00009E020000}"/>
    <cellStyle name="20% - Accent1 2 2 6 3 2" xfId="9332" xr:uid="{00000000-0005-0000-0000-00009F020000}"/>
    <cellStyle name="20% - Accent1 2 2 6 3 2 2" xfId="28783" xr:uid="{00000000-0005-0000-0000-0000A0020000}"/>
    <cellStyle name="20% - Accent1 2 2 6 3 2 3" xfId="38508" xr:uid="{00000000-0005-0000-0000-0000A1020000}"/>
    <cellStyle name="20% - Accent1 2 2 6 3 2 4" xfId="48233" xr:uid="{00000000-0005-0000-0000-0000A2020000}"/>
    <cellStyle name="20% - Accent1 2 2 6 3 2 5" xfId="19058" xr:uid="{00000000-0005-0000-0000-0000A3020000}"/>
    <cellStyle name="20% - Accent1 2 2 6 3 3" xfId="23921" xr:uid="{00000000-0005-0000-0000-0000A4020000}"/>
    <cellStyle name="20% - Accent1 2 2 6 3 4" xfId="33646" xr:uid="{00000000-0005-0000-0000-0000A5020000}"/>
    <cellStyle name="20% - Accent1 2 2 6 3 5" xfId="43371" xr:uid="{00000000-0005-0000-0000-0000A6020000}"/>
    <cellStyle name="20% - Accent1 2 2 6 3 6" xfId="14196" xr:uid="{00000000-0005-0000-0000-0000A7020000}"/>
    <cellStyle name="20% - Accent1 2 2 6 4" xfId="6092" xr:uid="{00000000-0005-0000-0000-0000A8020000}"/>
    <cellStyle name="20% - Accent1 2 2 6 4 2" xfId="25543" xr:uid="{00000000-0005-0000-0000-0000A9020000}"/>
    <cellStyle name="20% - Accent1 2 2 6 4 3" xfId="35268" xr:uid="{00000000-0005-0000-0000-0000AA020000}"/>
    <cellStyle name="20% - Accent1 2 2 6 4 4" xfId="44993" xr:uid="{00000000-0005-0000-0000-0000AB020000}"/>
    <cellStyle name="20% - Accent1 2 2 6 4 5" xfId="15818" xr:uid="{00000000-0005-0000-0000-0000AC020000}"/>
    <cellStyle name="20% - Accent1 2 2 6 5" xfId="20681" xr:uid="{00000000-0005-0000-0000-0000AD020000}"/>
    <cellStyle name="20% - Accent1 2 2 6 6" xfId="30406" xr:uid="{00000000-0005-0000-0000-0000AE020000}"/>
    <cellStyle name="20% - Accent1 2 2 6 7" xfId="40131" xr:uid="{00000000-0005-0000-0000-0000AF020000}"/>
    <cellStyle name="20% - Accent1 2 2 6 8" xfId="10956" xr:uid="{00000000-0005-0000-0000-0000B0020000}"/>
    <cellStyle name="20% - Accent1 2 2 7" xfId="1319" xr:uid="{00000000-0005-0000-0000-0000B1020000}"/>
    <cellStyle name="20% - Accent1 2 2 7 2" xfId="2940" xr:uid="{00000000-0005-0000-0000-0000B2020000}"/>
    <cellStyle name="20% - Accent1 2 2 7 2 2" xfId="7802" xr:uid="{00000000-0005-0000-0000-0000B3020000}"/>
    <cellStyle name="20% - Accent1 2 2 7 2 2 2" xfId="27253" xr:uid="{00000000-0005-0000-0000-0000B4020000}"/>
    <cellStyle name="20% - Accent1 2 2 7 2 2 3" xfId="36978" xr:uid="{00000000-0005-0000-0000-0000B5020000}"/>
    <cellStyle name="20% - Accent1 2 2 7 2 2 4" xfId="46703" xr:uid="{00000000-0005-0000-0000-0000B6020000}"/>
    <cellStyle name="20% - Accent1 2 2 7 2 2 5" xfId="17528" xr:uid="{00000000-0005-0000-0000-0000B7020000}"/>
    <cellStyle name="20% - Accent1 2 2 7 2 3" xfId="22391" xr:uid="{00000000-0005-0000-0000-0000B8020000}"/>
    <cellStyle name="20% - Accent1 2 2 7 2 4" xfId="32116" xr:uid="{00000000-0005-0000-0000-0000B9020000}"/>
    <cellStyle name="20% - Accent1 2 2 7 2 5" xfId="41841" xr:uid="{00000000-0005-0000-0000-0000BA020000}"/>
    <cellStyle name="20% - Accent1 2 2 7 2 6" xfId="12666" xr:uid="{00000000-0005-0000-0000-0000BB020000}"/>
    <cellStyle name="20% - Accent1 2 2 7 3" xfId="4560" xr:uid="{00000000-0005-0000-0000-0000BC020000}"/>
    <cellStyle name="20% - Accent1 2 2 7 3 2" xfId="9422" xr:uid="{00000000-0005-0000-0000-0000BD020000}"/>
    <cellStyle name="20% - Accent1 2 2 7 3 2 2" xfId="28873" xr:uid="{00000000-0005-0000-0000-0000BE020000}"/>
    <cellStyle name="20% - Accent1 2 2 7 3 2 3" xfId="38598" xr:uid="{00000000-0005-0000-0000-0000BF020000}"/>
    <cellStyle name="20% - Accent1 2 2 7 3 2 4" xfId="48323" xr:uid="{00000000-0005-0000-0000-0000C0020000}"/>
    <cellStyle name="20% - Accent1 2 2 7 3 2 5" xfId="19148" xr:uid="{00000000-0005-0000-0000-0000C1020000}"/>
    <cellStyle name="20% - Accent1 2 2 7 3 3" xfId="24011" xr:uid="{00000000-0005-0000-0000-0000C2020000}"/>
    <cellStyle name="20% - Accent1 2 2 7 3 4" xfId="33736" xr:uid="{00000000-0005-0000-0000-0000C3020000}"/>
    <cellStyle name="20% - Accent1 2 2 7 3 5" xfId="43461" xr:uid="{00000000-0005-0000-0000-0000C4020000}"/>
    <cellStyle name="20% - Accent1 2 2 7 3 6" xfId="14286" xr:uid="{00000000-0005-0000-0000-0000C5020000}"/>
    <cellStyle name="20% - Accent1 2 2 7 4" xfId="6182" xr:uid="{00000000-0005-0000-0000-0000C6020000}"/>
    <cellStyle name="20% - Accent1 2 2 7 4 2" xfId="25633" xr:uid="{00000000-0005-0000-0000-0000C7020000}"/>
    <cellStyle name="20% - Accent1 2 2 7 4 3" xfId="35358" xr:uid="{00000000-0005-0000-0000-0000C8020000}"/>
    <cellStyle name="20% - Accent1 2 2 7 4 4" xfId="45083" xr:uid="{00000000-0005-0000-0000-0000C9020000}"/>
    <cellStyle name="20% - Accent1 2 2 7 4 5" xfId="15908" xr:uid="{00000000-0005-0000-0000-0000CA020000}"/>
    <cellStyle name="20% - Accent1 2 2 7 5" xfId="20771" xr:uid="{00000000-0005-0000-0000-0000CB020000}"/>
    <cellStyle name="20% - Accent1 2 2 7 6" xfId="30496" xr:uid="{00000000-0005-0000-0000-0000CC020000}"/>
    <cellStyle name="20% - Accent1 2 2 7 7" xfId="40221" xr:uid="{00000000-0005-0000-0000-0000CD020000}"/>
    <cellStyle name="20% - Accent1 2 2 7 8" xfId="11046" xr:uid="{00000000-0005-0000-0000-0000CE020000}"/>
    <cellStyle name="20% - Accent1 2 2 8" xfId="490" xr:uid="{00000000-0005-0000-0000-0000CF020000}"/>
    <cellStyle name="20% - Accent1 2 2 8 2" xfId="2130" xr:uid="{00000000-0005-0000-0000-0000D0020000}"/>
    <cellStyle name="20% - Accent1 2 2 8 2 2" xfId="6992" xr:uid="{00000000-0005-0000-0000-0000D1020000}"/>
    <cellStyle name="20% - Accent1 2 2 8 2 2 2" xfId="26443" xr:uid="{00000000-0005-0000-0000-0000D2020000}"/>
    <cellStyle name="20% - Accent1 2 2 8 2 2 3" xfId="36168" xr:uid="{00000000-0005-0000-0000-0000D3020000}"/>
    <cellStyle name="20% - Accent1 2 2 8 2 2 4" xfId="45893" xr:uid="{00000000-0005-0000-0000-0000D4020000}"/>
    <cellStyle name="20% - Accent1 2 2 8 2 2 5" xfId="16718" xr:uid="{00000000-0005-0000-0000-0000D5020000}"/>
    <cellStyle name="20% - Accent1 2 2 8 2 3" xfId="21581" xr:uid="{00000000-0005-0000-0000-0000D6020000}"/>
    <cellStyle name="20% - Accent1 2 2 8 2 4" xfId="31306" xr:uid="{00000000-0005-0000-0000-0000D7020000}"/>
    <cellStyle name="20% - Accent1 2 2 8 2 5" xfId="41031" xr:uid="{00000000-0005-0000-0000-0000D8020000}"/>
    <cellStyle name="20% - Accent1 2 2 8 2 6" xfId="11856" xr:uid="{00000000-0005-0000-0000-0000D9020000}"/>
    <cellStyle name="20% - Accent1 2 2 8 3" xfId="3750" xr:uid="{00000000-0005-0000-0000-0000DA020000}"/>
    <cellStyle name="20% - Accent1 2 2 8 3 2" xfId="8612" xr:uid="{00000000-0005-0000-0000-0000DB020000}"/>
    <cellStyle name="20% - Accent1 2 2 8 3 2 2" xfId="28063" xr:uid="{00000000-0005-0000-0000-0000DC020000}"/>
    <cellStyle name="20% - Accent1 2 2 8 3 2 3" xfId="37788" xr:uid="{00000000-0005-0000-0000-0000DD020000}"/>
    <cellStyle name="20% - Accent1 2 2 8 3 2 4" xfId="47513" xr:uid="{00000000-0005-0000-0000-0000DE020000}"/>
    <cellStyle name="20% - Accent1 2 2 8 3 2 5" xfId="18338" xr:uid="{00000000-0005-0000-0000-0000DF020000}"/>
    <cellStyle name="20% - Accent1 2 2 8 3 3" xfId="23201" xr:uid="{00000000-0005-0000-0000-0000E0020000}"/>
    <cellStyle name="20% - Accent1 2 2 8 3 4" xfId="32926" xr:uid="{00000000-0005-0000-0000-0000E1020000}"/>
    <cellStyle name="20% - Accent1 2 2 8 3 5" xfId="42651" xr:uid="{00000000-0005-0000-0000-0000E2020000}"/>
    <cellStyle name="20% - Accent1 2 2 8 3 6" xfId="13476" xr:uid="{00000000-0005-0000-0000-0000E3020000}"/>
    <cellStyle name="20% - Accent1 2 2 8 4" xfId="5372" xr:uid="{00000000-0005-0000-0000-0000E4020000}"/>
    <cellStyle name="20% - Accent1 2 2 8 4 2" xfId="24823" xr:uid="{00000000-0005-0000-0000-0000E5020000}"/>
    <cellStyle name="20% - Accent1 2 2 8 4 3" xfId="34548" xr:uid="{00000000-0005-0000-0000-0000E6020000}"/>
    <cellStyle name="20% - Accent1 2 2 8 4 4" xfId="44273" xr:uid="{00000000-0005-0000-0000-0000E7020000}"/>
    <cellStyle name="20% - Accent1 2 2 8 4 5" xfId="15098" xr:uid="{00000000-0005-0000-0000-0000E8020000}"/>
    <cellStyle name="20% - Accent1 2 2 8 5" xfId="19961" xr:uid="{00000000-0005-0000-0000-0000E9020000}"/>
    <cellStyle name="20% - Accent1 2 2 8 6" xfId="29686" xr:uid="{00000000-0005-0000-0000-0000EA020000}"/>
    <cellStyle name="20% - Accent1 2 2 8 7" xfId="39411" xr:uid="{00000000-0005-0000-0000-0000EB020000}"/>
    <cellStyle name="20% - Accent1 2 2 8 8" xfId="10236" xr:uid="{00000000-0005-0000-0000-0000EC020000}"/>
    <cellStyle name="20% - Accent1 2 2 9" xfId="1679" xr:uid="{00000000-0005-0000-0000-0000ED020000}"/>
    <cellStyle name="20% - Accent1 2 2 9 2" xfId="3300" xr:uid="{00000000-0005-0000-0000-0000EE020000}"/>
    <cellStyle name="20% - Accent1 2 2 9 2 2" xfId="8162" xr:uid="{00000000-0005-0000-0000-0000EF020000}"/>
    <cellStyle name="20% - Accent1 2 2 9 2 2 2" xfId="27613" xr:uid="{00000000-0005-0000-0000-0000F0020000}"/>
    <cellStyle name="20% - Accent1 2 2 9 2 2 3" xfId="37338" xr:uid="{00000000-0005-0000-0000-0000F1020000}"/>
    <cellStyle name="20% - Accent1 2 2 9 2 2 4" xfId="47063" xr:uid="{00000000-0005-0000-0000-0000F2020000}"/>
    <cellStyle name="20% - Accent1 2 2 9 2 2 5" xfId="17888" xr:uid="{00000000-0005-0000-0000-0000F3020000}"/>
    <cellStyle name="20% - Accent1 2 2 9 2 3" xfId="22751" xr:uid="{00000000-0005-0000-0000-0000F4020000}"/>
    <cellStyle name="20% - Accent1 2 2 9 2 4" xfId="32476" xr:uid="{00000000-0005-0000-0000-0000F5020000}"/>
    <cellStyle name="20% - Accent1 2 2 9 2 5" xfId="42201" xr:uid="{00000000-0005-0000-0000-0000F6020000}"/>
    <cellStyle name="20% - Accent1 2 2 9 2 6" xfId="13026" xr:uid="{00000000-0005-0000-0000-0000F7020000}"/>
    <cellStyle name="20% - Accent1 2 2 9 3" xfId="4920" xr:uid="{00000000-0005-0000-0000-0000F8020000}"/>
    <cellStyle name="20% - Accent1 2 2 9 3 2" xfId="9782" xr:uid="{00000000-0005-0000-0000-0000F9020000}"/>
    <cellStyle name="20% - Accent1 2 2 9 3 2 2" xfId="29233" xr:uid="{00000000-0005-0000-0000-0000FA020000}"/>
    <cellStyle name="20% - Accent1 2 2 9 3 2 3" xfId="38958" xr:uid="{00000000-0005-0000-0000-0000FB020000}"/>
    <cellStyle name="20% - Accent1 2 2 9 3 2 4" xfId="48683" xr:uid="{00000000-0005-0000-0000-0000FC020000}"/>
    <cellStyle name="20% - Accent1 2 2 9 3 2 5" xfId="19508" xr:uid="{00000000-0005-0000-0000-0000FD020000}"/>
    <cellStyle name="20% - Accent1 2 2 9 3 3" xfId="24371" xr:uid="{00000000-0005-0000-0000-0000FE020000}"/>
    <cellStyle name="20% - Accent1 2 2 9 3 4" xfId="34096" xr:uid="{00000000-0005-0000-0000-0000FF020000}"/>
    <cellStyle name="20% - Accent1 2 2 9 3 5" xfId="43821" xr:uid="{00000000-0005-0000-0000-000000030000}"/>
    <cellStyle name="20% - Accent1 2 2 9 3 6" xfId="14646" xr:uid="{00000000-0005-0000-0000-000001030000}"/>
    <cellStyle name="20% - Accent1 2 2 9 4" xfId="6542" xr:uid="{00000000-0005-0000-0000-000002030000}"/>
    <cellStyle name="20% - Accent1 2 2 9 4 2" xfId="25993" xr:uid="{00000000-0005-0000-0000-000003030000}"/>
    <cellStyle name="20% - Accent1 2 2 9 4 3" xfId="35718" xr:uid="{00000000-0005-0000-0000-000004030000}"/>
    <cellStyle name="20% - Accent1 2 2 9 4 4" xfId="45443" xr:uid="{00000000-0005-0000-0000-000005030000}"/>
    <cellStyle name="20% - Accent1 2 2 9 4 5" xfId="16268" xr:uid="{00000000-0005-0000-0000-000006030000}"/>
    <cellStyle name="20% - Accent1 2 2 9 5" xfId="21131" xr:uid="{00000000-0005-0000-0000-000007030000}"/>
    <cellStyle name="20% - Accent1 2 2 9 6" xfId="30856" xr:uid="{00000000-0005-0000-0000-000008030000}"/>
    <cellStyle name="20% - Accent1 2 2 9 7" xfId="40581" xr:uid="{00000000-0005-0000-0000-000009030000}"/>
    <cellStyle name="20% - Accent1 2 2 9 8" xfId="11406" xr:uid="{00000000-0005-0000-0000-00000A030000}"/>
    <cellStyle name="20% - Accent1 2 3" xfId="116" xr:uid="{00000000-0005-0000-0000-00000B030000}"/>
    <cellStyle name="20% - Accent1 2 3 10" xfId="1800" xr:uid="{00000000-0005-0000-0000-00000C030000}"/>
    <cellStyle name="20% - Accent1 2 3 10 2" xfId="6662" xr:uid="{00000000-0005-0000-0000-00000D030000}"/>
    <cellStyle name="20% - Accent1 2 3 10 2 2" xfId="26113" xr:uid="{00000000-0005-0000-0000-00000E030000}"/>
    <cellStyle name="20% - Accent1 2 3 10 2 3" xfId="35838" xr:uid="{00000000-0005-0000-0000-00000F030000}"/>
    <cellStyle name="20% - Accent1 2 3 10 2 4" xfId="45563" xr:uid="{00000000-0005-0000-0000-000010030000}"/>
    <cellStyle name="20% - Accent1 2 3 10 2 5" xfId="16388" xr:uid="{00000000-0005-0000-0000-000011030000}"/>
    <cellStyle name="20% - Accent1 2 3 10 3" xfId="21251" xr:uid="{00000000-0005-0000-0000-000012030000}"/>
    <cellStyle name="20% - Accent1 2 3 10 4" xfId="30976" xr:uid="{00000000-0005-0000-0000-000013030000}"/>
    <cellStyle name="20% - Accent1 2 3 10 5" xfId="40701" xr:uid="{00000000-0005-0000-0000-000014030000}"/>
    <cellStyle name="20% - Accent1 2 3 10 6" xfId="11526" xr:uid="{00000000-0005-0000-0000-000015030000}"/>
    <cellStyle name="20% - Accent1 2 3 11" xfId="3420" xr:uid="{00000000-0005-0000-0000-000016030000}"/>
    <cellStyle name="20% - Accent1 2 3 11 2" xfId="8282" xr:uid="{00000000-0005-0000-0000-000017030000}"/>
    <cellStyle name="20% - Accent1 2 3 11 2 2" xfId="27733" xr:uid="{00000000-0005-0000-0000-000018030000}"/>
    <cellStyle name="20% - Accent1 2 3 11 2 3" xfId="37458" xr:uid="{00000000-0005-0000-0000-000019030000}"/>
    <cellStyle name="20% - Accent1 2 3 11 2 4" xfId="47183" xr:uid="{00000000-0005-0000-0000-00001A030000}"/>
    <cellStyle name="20% - Accent1 2 3 11 2 5" xfId="18008" xr:uid="{00000000-0005-0000-0000-00001B030000}"/>
    <cellStyle name="20% - Accent1 2 3 11 3" xfId="22871" xr:uid="{00000000-0005-0000-0000-00001C030000}"/>
    <cellStyle name="20% - Accent1 2 3 11 4" xfId="32596" xr:uid="{00000000-0005-0000-0000-00001D030000}"/>
    <cellStyle name="20% - Accent1 2 3 11 5" xfId="42321" xr:uid="{00000000-0005-0000-0000-00001E030000}"/>
    <cellStyle name="20% - Accent1 2 3 11 6" xfId="13146" xr:uid="{00000000-0005-0000-0000-00001F030000}"/>
    <cellStyle name="20% - Accent1 2 3 12" xfId="5042" xr:uid="{00000000-0005-0000-0000-000020030000}"/>
    <cellStyle name="20% - Accent1 2 3 12 2" xfId="24493" xr:uid="{00000000-0005-0000-0000-000021030000}"/>
    <cellStyle name="20% - Accent1 2 3 12 3" xfId="34218" xr:uid="{00000000-0005-0000-0000-000022030000}"/>
    <cellStyle name="20% - Accent1 2 3 12 4" xfId="43943" xr:uid="{00000000-0005-0000-0000-000023030000}"/>
    <cellStyle name="20% - Accent1 2 3 12 5" xfId="14768" xr:uid="{00000000-0005-0000-0000-000024030000}"/>
    <cellStyle name="20% - Accent1 2 3 13" xfId="19631" xr:uid="{00000000-0005-0000-0000-000025030000}"/>
    <cellStyle name="20% - Accent1 2 3 14" xfId="29356" xr:uid="{00000000-0005-0000-0000-000026030000}"/>
    <cellStyle name="20% - Accent1 2 3 15" xfId="39081" xr:uid="{00000000-0005-0000-0000-000027030000}"/>
    <cellStyle name="20% - Accent1 2 3 16" xfId="9906" xr:uid="{00000000-0005-0000-0000-000028030000}"/>
    <cellStyle name="20% - Accent1 2 3 2" xfId="298" xr:uid="{00000000-0005-0000-0000-000029030000}"/>
    <cellStyle name="20% - Accent1 2 3 2 10" xfId="39261" xr:uid="{00000000-0005-0000-0000-00002A030000}"/>
    <cellStyle name="20% - Accent1 2 3 2 11" xfId="10086" xr:uid="{00000000-0005-0000-0000-00002B030000}"/>
    <cellStyle name="20% - Accent1 2 3 2 2" xfId="1062" xr:uid="{00000000-0005-0000-0000-00002C030000}"/>
    <cellStyle name="20% - Accent1 2 3 2 2 2" xfId="2700" xr:uid="{00000000-0005-0000-0000-00002D030000}"/>
    <cellStyle name="20% - Accent1 2 3 2 2 2 2" xfId="7562" xr:uid="{00000000-0005-0000-0000-00002E030000}"/>
    <cellStyle name="20% - Accent1 2 3 2 2 2 2 2" xfId="27013" xr:uid="{00000000-0005-0000-0000-00002F030000}"/>
    <cellStyle name="20% - Accent1 2 3 2 2 2 2 3" xfId="36738" xr:uid="{00000000-0005-0000-0000-000030030000}"/>
    <cellStyle name="20% - Accent1 2 3 2 2 2 2 4" xfId="46463" xr:uid="{00000000-0005-0000-0000-000031030000}"/>
    <cellStyle name="20% - Accent1 2 3 2 2 2 2 5" xfId="17288" xr:uid="{00000000-0005-0000-0000-000032030000}"/>
    <cellStyle name="20% - Accent1 2 3 2 2 2 3" xfId="22151" xr:uid="{00000000-0005-0000-0000-000033030000}"/>
    <cellStyle name="20% - Accent1 2 3 2 2 2 4" xfId="31876" xr:uid="{00000000-0005-0000-0000-000034030000}"/>
    <cellStyle name="20% - Accent1 2 3 2 2 2 5" xfId="41601" xr:uid="{00000000-0005-0000-0000-000035030000}"/>
    <cellStyle name="20% - Accent1 2 3 2 2 2 6" xfId="12426" xr:uid="{00000000-0005-0000-0000-000036030000}"/>
    <cellStyle name="20% - Accent1 2 3 2 2 3" xfId="4320" xr:uid="{00000000-0005-0000-0000-000037030000}"/>
    <cellStyle name="20% - Accent1 2 3 2 2 3 2" xfId="9182" xr:uid="{00000000-0005-0000-0000-000038030000}"/>
    <cellStyle name="20% - Accent1 2 3 2 2 3 2 2" xfId="28633" xr:uid="{00000000-0005-0000-0000-000039030000}"/>
    <cellStyle name="20% - Accent1 2 3 2 2 3 2 3" xfId="38358" xr:uid="{00000000-0005-0000-0000-00003A030000}"/>
    <cellStyle name="20% - Accent1 2 3 2 2 3 2 4" xfId="48083" xr:uid="{00000000-0005-0000-0000-00003B030000}"/>
    <cellStyle name="20% - Accent1 2 3 2 2 3 2 5" xfId="18908" xr:uid="{00000000-0005-0000-0000-00003C030000}"/>
    <cellStyle name="20% - Accent1 2 3 2 2 3 3" xfId="23771" xr:uid="{00000000-0005-0000-0000-00003D030000}"/>
    <cellStyle name="20% - Accent1 2 3 2 2 3 4" xfId="33496" xr:uid="{00000000-0005-0000-0000-00003E030000}"/>
    <cellStyle name="20% - Accent1 2 3 2 2 3 5" xfId="43221" xr:uid="{00000000-0005-0000-0000-00003F030000}"/>
    <cellStyle name="20% - Accent1 2 3 2 2 3 6" xfId="14046" xr:uid="{00000000-0005-0000-0000-000040030000}"/>
    <cellStyle name="20% - Accent1 2 3 2 2 4" xfId="5942" xr:uid="{00000000-0005-0000-0000-000041030000}"/>
    <cellStyle name="20% - Accent1 2 3 2 2 4 2" xfId="25393" xr:uid="{00000000-0005-0000-0000-000042030000}"/>
    <cellStyle name="20% - Accent1 2 3 2 2 4 3" xfId="35118" xr:uid="{00000000-0005-0000-0000-000043030000}"/>
    <cellStyle name="20% - Accent1 2 3 2 2 4 4" xfId="44843" xr:uid="{00000000-0005-0000-0000-000044030000}"/>
    <cellStyle name="20% - Accent1 2 3 2 2 4 5" xfId="15668" xr:uid="{00000000-0005-0000-0000-000045030000}"/>
    <cellStyle name="20% - Accent1 2 3 2 2 5" xfId="20531" xr:uid="{00000000-0005-0000-0000-000046030000}"/>
    <cellStyle name="20% - Accent1 2 3 2 2 6" xfId="30256" xr:uid="{00000000-0005-0000-0000-000047030000}"/>
    <cellStyle name="20% - Accent1 2 3 2 2 7" xfId="39981" xr:uid="{00000000-0005-0000-0000-000048030000}"/>
    <cellStyle name="20% - Accent1 2 3 2 2 8" xfId="10806" xr:uid="{00000000-0005-0000-0000-000049030000}"/>
    <cellStyle name="20% - Accent1 2 3 2 3" xfId="1529" xr:uid="{00000000-0005-0000-0000-00004A030000}"/>
    <cellStyle name="20% - Accent1 2 3 2 3 2" xfId="3150" xr:uid="{00000000-0005-0000-0000-00004B030000}"/>
    <cellStyle name="20% - Accent1 2 3 2 3 2 2" xfId="8012" xr:uid="{00000000-0005-0000-0000-00004C030000}"/>
    <cellStyle name="20% - Accent1 2 3 2 3 2 2 2" xfId="27463" xr:uid="{00000000-0005-0000-0000-00004D030000}"/>
    <cellStyle name="20% - Accent1 2 3 2 3 2 2 3" xfId="37188" xr:uid="{00000000-0005-0000-0000-00004E030000}"/>
    <cellStyle name="20% - Accent1 2 3 2 3 2 2 4" xfId="46913" xr:uid="{00000000-0005-0000-0000-00004F030000}"/>
    <cellStyle name="20% - Accent1 2 3 2 3 2 2 5" xfId="17738" xr:uid="{00000000-0005-0000-0000-000050030000}"/>
    <cellStyle name="20% - Accent1 2 3 2 3 2 3" xfId="22601" xr:uid="{00000000-0005-0000-0000-000051030000}"/>
    <cellStyle name="20% - Accent1 2 3 2 3 2 4" xfId="32326" xr:uid="{00000000-0005-0000-0000-000052030000}"/>
    <cellStyle name="20% - Accent1 2 3 2 3 2 5" xfId="42051" xr:uid="{00000000-0005-0000-0000-000053030000}"/>
    <cellStyle name="20% - Accent1 2 3 2 3 2 6" xfId="12876" xr:uid="{00000000-0005-0000-0000-000054030000}"/>
    <cellStyle name="20% - Accent1 2 3 2 3 3" xfId="4770" xr:uid="{00000000-0005-0000-0000-000055030000}"/>
    <cellStyle name="20% - Accent1 2 3 2 3 3 2" xfId="9632" xr:uid="{00000000-0005-0000-0000-000056030000}"/>
    <cellStyle name="20% - Accent1 2 3 2 3 3 2 2" xfId="29083" xr:uid="{00000000-0005-0000-0000-000057030000}"/>
    <cellStyle name="20% - Accent1 2 3 2 3 3 2 3" xfId="38808" xr:uid="{00000000-0005-0000-0000-000058030000}"/>
    <cellStyle name="20% - Accent1 2 3 2 3 3 2 4" xfId="48533" xr:uid="{00000000-0005-0000-0000-000059030000}"/>
    <cellStyle name="20% - Accent1 2 3 2 3 3 2 5" xfId="19358" xr:uid="{00000000-0005-0000-0000-00005A030000}"/>
    <cellStyle name="20% - Accent1 2 3 2 3 3 3" xfId="24221" xr:uid="{00000000-0005-0000-0000-00005B030000}"/>
    <cellStyle name="20% - Accent1 2 3 2 3 3 4" xfId="33946" xr:uid="{00000000-0005-0000-0000-00005C030000}"/>
    <cellStyle name="20% - Accent1 2 3 2 3 3 5" xfId="43671" xr:uid="{00000000-0005-0000-0000-00005D030000}"/>
    <cellStyle name="20% - Accent1 2 3 2 3 3 6" xfId="14496" xr:uid="{00000000-0005-0000-0000-00005E030000}"/>
    <cellStyle name="20% - Accent1 2 3 2 3 4" xfId="6392" xr:uid="{00000000-0005-0000-0000-00005F030000}"/>
    <cellStyle name="20% - Accent1 2 3 2 3 4 2" xfId="25843" xr:uid="{00000000-0005-0000-0000-000060030000}"/>
    <cellStyle name="20% - Accent1 2 3 2 3 4 3" xfId="35568" xr:uid="{00000000-0005-0000-0000-000061030000}"/>
    <cellStyle name="20% - Accent1 2 3 2 3 4 4" xfId="45293" xr:uid="{00000000-0005-0000-0000-000062030000}"/>
    <cellStyle name="20% - Accent1 2 3 2 3 4 5" xfId="16118" xr:uid="{00000000-0005-0000-0000-000063030000}"/>
    <cellStyle name="20% - Accent1 2 3 2 3 5" xfId="20981" xr:uid="{00000000-0005-0000-0000-000064030000}"/>
    <cellStyle name="20% - Accent1 2 3 2 3 6" xfId="30706" xr:uid="{00000000-0005-0000-0000-000065030000}"/>
    <cellStyle name="20% - Accent1 2 3 2 3 7" xfId="40431" xr:uid="{00000000-0005-0000-0000-000066030000}"/>
    <cellStyle name="20% - Accent1 2 3 2 3 8" xfId="11256" xr:uid="{00000000-0005-0000-0000-000067030000}"/>
    <cellStyle name="20% - Accent1 2 3 2 4" xfId="700" xr:uid="{00000000-0005-0000-0000-000068030000}"/>
    <cellStyle name="20% - Accent1 2 3 2 4 2" xfId="2340" xr:uid="{00000000-0005-0000-0000-000069030000}"/>
    <cellStyle name="20% - Accent1 2 3 2 4 2 2" xfId="7202" xr:uid="{00000000-0005-0000-0000-00006A030000}"/>
    <cellStyle name="20% - Accent1 2 3 2 4 2 2 2" xfId="26653" xr:uid="{00000000-0005-0000-0000-00006B030000}"/>
    <cellStyle name="20% - Accent1 2 3 2 4 2 2 3" xfId="36378" xr:uid="{00000000-0005-0000-0000-00006C030000}"/>
    <cellStyle name="20% - Accent1 2 3 2 4 2 2 4" xfId="46103" xr:uid="{00000000-0005-0000-0000-00006D030000}"/>
    <cellStyle name="20% - Accent1 2 3 2 4 2 2 5" xfId="16928" xr:uid="{00000000-0005-0000-0000-00006E030000}"/>
    <cellStyle name="20% - Accent1 2 3 2 4 2 3" xfId="21791" xr:uid="{00000000-0005-0000-0000-00006F030000}"/>
    <cellStyle name="20% - Accent1 2 3 2 4 2 4" xfId="31516" xr:uid="{00000000-0005-0000-0000-000070030000}"/>
    <cellStyle name="20% - Accent1 2 3 2 4 2 5" xfId="41241" xr:uid="{00000000-0005-0000-0000-000071030000}"/>
    <cellStyle name="20% - Accent1 2 3 2 4 2 6" xfId="12066" xr:uid="{00000000-0005-0000-0000-000072030000}"/>
    <cellStyle name="20% - Accent1 2 3 2 4 3" xfId="3960" xr:uid="{00000000-0005-0000-0000-000073030000}"/>
    <cellStyle name="20% - Accent1 2 3 2 4 3 2" xfId="8822" xr:uid="{00000000-0005-0000-0000-000074030000}"/>
    <cellStyle name="20% - Accent1 2 3 2 4 3 2 2" xfId="28273" xr:uid="{00000000-0005-0000-0000-000075030000}"/>
    <cellStyle name="20% - Accent1 2 3 2 4 3 2 3" xfId="37998" xr:uid="{00000000-0005-0000-0000-000076030000}"/>
    <cellStyle name="20% - Accent1 2 3 2 4 3 2 4" xfId="47723" xr:uid="{00000000-0005-0000-0000-000077030000}"/>
    <cellStyle name="20% - Accent1 2 3 2 4 3 2 5" xfId="18548" xr:uid="{00000000-0005-0000-0000-000078030000}"/>
    <cellStyle name="20% - Accent1 2 3 2 4 3 3" xfId="23411" xr:uid="{00000000-0005-0000-0000-000079030000}"/>
    <cellStyle name="20% - Accent1 2 3 2 4 3 4" xfId="33136" xr:uid="{00000000-0005-0000-0000-00007A030000}"/>
    <cellStyle name="20% - Accent1 2 3 2 4 3 5" xfId="42861" xr:uid="{00000000-0005-0000-0000-00007B030000}"/>
    <cellStyle name="20% - Accent1 2 3 2 4 3 6" xfId="13686" xr:uid="{00000000-0005-0000-0000-00007C030000}"/>
    <cellStyle name="20% - Accent1 2 3 2 4 4" xfId="5582" xr:uid="{00000000-0005-0000-0000-00007D030000}"/>
    <cellStyle name="20% - Accent1 2 3 2 4 4 2" xfId="25033" xr:uid="{00000000-0005-0000-0000-00007E030000}"/>
    <cellStyle name="20% - Accent1 2 3 2 4 4 3" xfId="34758" xr:uid="{00000000-0005-0000-0000-00007F030000}"/>
    <cellStyle name="20% - Accent1 2 3 2 4 4 4" xfId="44483" xr:uid="{00000000-0005-0000-0000-000080030000}"/>
    <cellStyle name="20% - Accent1 2 3 2 4 4 5" xfId="15308" xr:uid="{00000000-0005-0000-0000-000081030000}"/>
    <cellStyle name="20% - Accent1 2 3 2 4 5" xfId="20171" xr:uid="{00000000-0005-0000-0000-000082030000}"/>
    <cellStyle name="20% - Accent1 2 3 2 4 6" xfId="29896" xr:uid="{00000000-0005-0000-0000-000083030000}"/>
    <cellStyle name="20% - Accent1 2 3 2 4 7" xfId="39621" xr:uid="{00000000-0005-0000-0000-000084030000}"/>
    <cellStyle name="20% - Accent1 2 3 2 4 8" xfId="10446" xr:uid="{00000000-0005-0000-0000-000085030000}"/>
    <cellStyle name="20% - Accent1 2 3 2 5" xfId="1980" xr:uid="{00000000-0005-0000-0000-000086030000}"/>
    <cellStyle name="20% - Accent1 2 3 2 5 2" xfId="6842" xr:uid="{00000000-0005-0000-0000-000087030000}"/>
    <cellStyle name="20% - Accent1 2 3 2 5 2 2" xfId="26293" xr:uid="{00000000-0005-0000-0000-000088030000}"/>
    <cellStyle name="20% - Accent1 2 3 2 5 2 3" xfId="36018" xr:uid="{00000000-0005-0000-0000-000089030000}"/>
    <cellStyle name="20% - Accent1 2 3 2 5 2 4" xfId="45743" xr:uid="{00000000-0005-0000-0000-00008A030000}"/>
    <cellStyle name="20% - Accent1 2 3 2 5 2 5" xfId="16568" xr:uid="{00000000-0005-0000-0000-00008B030000}"/>
    <cellStyle name="20% - Accent1 2 3 2 5 3" xfId="21431" xr:uid="{00000000-0005-0000-0000-00008C030000}"/>
    <cellStyle name="20% - Accent1 2 3 2 5 4" xfId="31156" xr:uid="{00000000-0005-0000-0000-00008D030000}"/>
    <cellStyle name="20% - Accent1 2 3 2 5 5" xfId="40881" xr:uid="{00000000-0005-0000-0000-00008E030000}"/>
    <cellStyle name="20% - Accent1 2 3 2 5 6" xfId="11706" xr:uid="{00000000-0005-0000-0000-00008F030000}"/>
    <cellStyle name="20% - Accent1 2 3 2 6" xfId="3600" xr:uid="{00000000-0005-0000-0000-000090030000}"/>
    <cellStyle name="20% - Accent1 2 3 2 6 2" xfId="8462" xr:uid="{00000000-0005-0000-0000-000091030000}"/>
    <cellStyle name="20% - Accent1 2 3 2 6 2 2" xfId="27913" xr:uid="{00000000-0005-0000-0000-000092030000}"/>
    <cellStyle name="20% - Accent1 2 3 2 6 2 3" xfId="37638" xr:uid="{00000000-0005-0000-0000-000093030000}"/>
    <cellStyle name="20% - Accent1 2 3 2 6 2 4" xfId="47363" xr:uid="{00000000-0005-0000-0000-000094030000}"/>
    <cellStyle name="20% - Accent1 2 3 2 6 2 5" xfId="18188" xr:uid="{00000000-0005-0000-0000-000095030000}"/>
    <cellStyle name="20% - Accent1 2 3 2 6 3" xfId="23051" xr:uid="{00000000-0005-0000-0000-000096030000}"/>
    <cellStyle name="20% - Accent1 2 3 2 6 4" xfId="32776" xr:uid="{00000000-0005-0000-0000-000097030000}"/>
    <cellStyle name="20% - Accent1 2 3 2 6 5" xfId="42501" xr:uid="{00000000-0005-0000-0000-000098030000}"/>
    <cellStyle name="20% - Accent1 2 3 2 6 6" xfId="13326" xr:uid="{00000000-0005-0000-0000-000099030000}"/>
    <cellStyle name="20% - Accent1 2 3 2 7" xfId="5222" xr:uid="{00000000-0005-0000-0000-00009A030000}"/>
    <cellStyle name="20% - Accent1 2 3 2 7 2" xfId="24673" xr:uid="{00000000-0005-0000-0000-00009B030000}"/>
    <cellStyle name="20% - Accent1 2 3 2 7 3" xfId="34398" xr:uid="{00000000-0005-0000-0000-00009C030000}"/>
    <cellStyle name="20% - Accent1 2 3 2 7 4" xfId="44123" xr:uid="{00000000-0005-0000-0000-00009D030000}"/>
    <cellStyle name="20% - Accent1 2 3 2 7 5" xfId="14948" xr:uid="{00000000-0005-0000-0000-00009E030000}"/>
    <cellStyle name="20% - Accent1 2 3 2 8" xfId="19811" xr:uid="{00000000-0005-0000-0000-00009F030000}"/>
    <cellStyle name="20% - Accent1 2 3 2 9" xfId="29536" xr:uid="{00000000-0005-0000-0000-0000A0030000}"/>
    <cellStyle name="20% - Accent1 2 3 3" xfId="389" xr:uid="{00000000-0005-0000-0000-0000A1030000}"/>
    <cellStyle name="20% - Accent1 2 3 3 10" xfId="39351" xr:uid="{00000000-0005-0000-0000-0000A2030000}"/>
    <cellStyle name="20% - Accent1 2 3 3 11" xfId="10176" xr:uid="{00000000-0005-0000-0000-0000A3030000}"/>
    <cellStyle name="20% - Accent1 2 3 3 2" xfId="1152" xr:uid="{00000000-0005-0000-0000-0000A4030000}"/>
    <cellStyle name="20% - Accent1 2 3 3 2 2" xfId="2790" xr:uid="{00000000-0005-0000-0000-0000A5030000}"/>
    <cellStyle name="20% - Accent1 2 3 3 2 2 2" xfId="7652" xr:uid="{00000000-0005-0000-0000-0000A6030000}"/>
    <cellStyle name="20% - Accent1 2 3 3 2 2 2 2" xfId="27103" xr:uid="{00000000-0005-0000-0000-0000A7030000}"/>
    <cellStyle name="20% - Accent1 2 3 3 2 2 2 3" xfId="36828" xr:uid="{00000000-0005-0000-0000-0000A8030000}"/>
    <cellStyle name="20% - Accent1 2 3 3 2 2 2 4" xfId="46553" xr:uid="{00000000-0005-0000-0000-0000A9030000}"/>
    <cellStyle name="20% - Accent1 2 3 3 2 2 2 5" xfId="17378" xr:uid="{00000000-0005-0000-0000-0000AA030000}"/>
    <cellStyle name="20% - Accent1 2 3 3 2 2 3" xfId="22241" xr:uid="{00000000-0005-0000-0000-0000AB030000}"/>
    <cellStyle name="20% - Accent1 2 3 3 2 2 4" xfId="31966" xr:uid="{00000000-0005-0000-0000-0000AC030000}"/>
    <cellStyle name="20% - Accent1 2 3 3 2 2 5" xfId="41691" xr:uid="{00000000-0005-0000-0000-0000AD030000}"/>
    <cellStyle name="20% - Accent1 2 3 3 2 2 6" xfId="12516" xr:uid="{00000000-0005-0000-0000-0000AE030000}"/>
    <cellStyle name="20% - Accent1 2 3 3 2 3" xfId="4410" xr:uid="{00000000-0005-0000-0000-0000AF030000}"/>
    <cellStyle name="20% - Accent1 2 3 3 2 3 2" xfId="9272" xr:uid="{00000000-0005-0000-0000-0000B0030000}"/>
    <cellStyle name="20% - Accent1 2 3 3 2 3 2 2" xfId="28723" xr:uid="{00000000-0005-0000-0000-0000B1030000}"/>
    <cellStyle name="20% - Accent1 2 3 3 2 3 2 3" xfId="38448" xr:uid="{00000000-0005-0000-0000-0000B2030000}"/>
    <cellStyle name="20% - Accent1 2 3 3 2 3 2 4" xfId="48173" xr:uid="{00000000-0005-0000-0000-0000B3030000}"/>
    <cellStyle name="20% - Accent1 2 3 3 2 3 2 5" xfId="18998" xr:uid="{00000000-0005-0000-0000-0000B4030000}"/>
    <cellStyle name="20% - Accent1 2 3 3 2 3 3" xfId="23861" xr:uid="{00000000-0005-0000-0000-0000B5030000}"/>
    <cellStyle name="20% - Accent1 2 3 3 2 3 4" xfId="33586" xr:uid="{00000000-0005-0000-0000-0000B6030000}"/>
    <cellStyle name="20% - Accent1 2 3 3 2 3 5" xfId="43311" xr:uid="{00000000-0005-0000-0000-0000B7030000}"/>
    <cellStyle name="20% - Accent1 2 3 3 2 3 6" xfId="14136" xr:uid="{00000000-0005-0000-0000-0000B8030000}"/>
    <cellStyle name="20% - Accent1 2 3 3 2 4" xfId="6032" xr:uid="{00000000-0005-0000-0000-0000B9030000}"/>
    <cellStyle name="20% - Accent1 2 3 3 2 4 2" xfId="25483" xr:uid="{00000000-0005-0000-0000-0000BA030000}"/>
    <cellStyle name="20% - Accent1 2 3 3 2 4 3" xfId="35208" xr:uid="{00000000-0005-0000-0000-0000BB030000}"/>
    <cellStyle name="20% - Accent1 2 3 3 2 4 4" xfId="44933" xr:uid="{00000000-0005-0000-0000-0000BC030000}"/>
    <cellStyle name="20% - Accent1 2 3 3 2 4 5" xfId="15758" xr:uid="{00000000-0005-0000-0000-0000BD030000}"/>
    <cellStyle name="20% - Accent1 2 3 3 2 5" xfId="20621" xr:uid="{00000000-0005-0000-0000-0000BE030000}"/>
    <cellStyle name="20% - Accent1 2 3 3 2 6" xfId="30346" xr:uid="{00000000-0005-0000-0000-0000BF030000}"/>
    <cellStyle name="20% - Accent1 2 3 3 2 7" xfId="40071" xr:uid="{00000000-0005-0000-0000-0000C0030000}"/>
    <cellStyle name="20% - Accent1 2 3 3 2 8" xfId="10896" xr:uid="{00000000-0005-0000-0000-0000C1030000}"/>
    <cellStyle name="20% - Accent1 2 3 3 3" xfId="1619" xr:uid="{00000000-0005-0000-0000-0000C2030000}"/>
    <cellStyle name="20% - Accent1 2 3 3 3 2" xfId="3240" xr:uid="{00000000-0005-0000-0000-0000C3030000}"/>
    <cellStyle name="20% - Accent1 2 3 3 3 2 2" xfId="8102" xr:uid="{00000000-0005-0000-0000-0000C4030000}"/>
    <cellStyle name="20% - Accent1 2 3 3 3 2 2 2" xfId="27553" xr:uid="{00000000-0005-0000-0000-0000C5030000}"/>
    <cellStyle name="20% - Accent1 2 3 3 3 2 2 3" xfId="37278" xr:uid="{00000000-0005-0000-0000-0000C6030000}"/>
    <cellStyle name="20% - Accent1 2 3 3 3 2 2 4" xfId="47003" xr:uid="{00000000-0005-0000-0000-0000C7030000}"/>
    <cellStyle name="20% - Accent1 2 3 3 3 2 2 5" xfId="17828" xr:uid="{00000000-0005-0000-0000-0000C8030000}"/>
    <cellStyle name="20% - Accent1 2 3 3 3 2 3" xfId="22691" xr:uid="{00000000-0005-0000-0000-0000C9030000}"/>
    <cellStyle name="20% - Accent1 2 3 3 3 2 4" xfId="32416" xr:uid="{00000000-0005-0000-0000-0000CA030000}"/>
    <cellStyle name="20% - Accent1 2 3 3 3 2 5" xfId="42141" xr:uid="{00000000-0005-0000-0000-0000CB030000}"/>
    <cellStyle name="20% - Accent1 2 3 3 3 2 6" xfId="12966" xr:uid="{00000000-0005-0000-0000-0000CC030000}"/>
    <cellStyle name="20% - Accent1 2 3 3 3 3" xfId="4860" xr:uid="{00000000-0005-0000-0000-0000CD030000}"/>
    <cellStyle name="20% - Accent1 2 3 3 3 3 2" xfId="9722" xr:uid="{00000000-0005-0000-0000-0000CE030000}"/>
    <cellStyle name="20% - Accent1 2 3 3 3 3 2 2" xfId="29173" xr:uid="{00000000-0005-0000-0000-0000CF030000}"/>
    <cellStyle name="20% - Accent1 2 3 3 3 3 2 3" xfId="38898" xr:uid="{00000000-0005-0000-0000-0000D0030000}"/>
    <cellStyle name="20% - Accent1 2 3 3 3 3 2 4" xfId="48623" xr:uid="{00000000-0005-0000-0000-0000D1030000}"/>
    <cellStyle name="20% - Accent1 2 3 3 3 3 2 5" xfId="19448" xr:uid="{00000000-0005-0000-0000-0000D2030000}"/>
    <cellStyle name="20% - Accent1 2 3 3 3 3 3" xfId="24311" xr:uid="{00000000-0005-0000-0000-0000D3030000}"/>
    <cellStyle name="20% - Accent1 2 3 3 3 3 4" xfId="34036" xr:uid="{00000000-0005-0000-0000-0000D4030000}"/>
    <cellStyle name="20% - Accent1 2 3 3 3 3 5" xfId="43761" xr:uid="{00000000-0005-0000-0000-0000D5030000}"/>
    <cellStyle name="20% - Accent1 2 3 3 3 3 6" xfId="14586" xr:uid="{00000000-0005-0000-0000-0000D6030000}"/>
    <cellStyle name="20% - Accent1 2 3 3 3 4" xfId="6482" xr:uid="{00000000-0005-0000-0000-0000D7030000}"/>
    <cellStyle name="20% - Accent1 2 3 3 3 4 2" xfId="25933" xr:uid="{00000000-0005-0000-0000-0000D8030000}"/>
    <cellStyle name="20% - Accent1 2 3 3 3 4 3" xfId="35658" xr:uid="{00000000-0005-0000-0000-0000D9030000}"/>
    <cellStyle name="20% - Accent1 2 3 3 3 4 4" xfId="45383" xr:uid="{00000000-0005-0000-0000-0000DA030000}"/>
    <cellStyle name="20% - Accent1 2 3 3 3 4 5" xfId="16208" xr:uid="{00000000-0005-0000-0000-0000DB030000}"/>
    <cellStyle name="20% - Accent1 2 3 3 3 5" xfId="21071" xr:uid="{00000000-0005-0000-0000-0000DC030000}"/>
    <cellStyle name="20% - Accent1 2 3 3 3 6" xfId="30796" xr:uid="{00000000-0005-0000-0000-0000DD030000}"/>
    <cellStyle name="20% - Accent1 2 3 3 3 7" xfId="40521" xr:uid="{00000000-0005-0000-0000-0000DE030000}"/>
    <cellStyle name="20% - Accent1 2 3 3 3 8" xfId="11346" xr:uid="{00000000-0005-0000-0000-0000DF030000}"/>
    <cellStyle name="20% - Accent1 2 3 3 4" xfId="790" xr:uid="{00000000-0005-0000-0000-0000E0030000}"/>
    <cellStyle name="20% - Accent1 2 3 3 4 2" xfId="2430" xr:uid="{00000000-0005-0000-0000-0000E1030000}"/>
    <cellStyle name="20% - Accent1 2 3 3 4 2 2" xfId="7292" xr:uid="{00000000-0005-0000-0000-0000E2030000}"/>
    <cellStyle name="20% - Accent1 2 3 3 4 2 2 2" xfId="26743" xr:uid="{00000000-0005-0000-0000-0000E3030000}"/>
    <cellStyle name="20% - Accent1 2 3 3 4 2 2 3" xfId="36468" xr:uid="{00000000-0005-0000-0000-0000E4030000}"/>
    <cellStyle name="20% - Accent1 2 3 3 4 2 2 4" xfId="46193" xr:uid="{00000000-0005-0000-0000-0000E5030000}"/>
    <cellStyle name="20% - Accent1 2 3 3 4 2 2 5" xfId="17018" xr:uid="{00000000-0005-0000-0000-0000E6030000}"/>
    <cellStyle name="20% - Accent1 2 3 3 4 2 3" xfId="21881" xr:uid="{00000000-0005-0000-0000-0000E7030000}"/>
    <cellStyle name="20% - Accent1 2 3 3 4 2 4" xfId="31606" xr:uid="{00000000-0005-0000-0000-0000E8030000}"/>
    <cellStyle name="20% - Accent1 2 3 3 4 2 5" xfId="41331" xr:uid="{00000000-0005-0000-0000-0000E9030000}"/>
    <cellStyle name="20% - Accent1 2 3 3 4 2 6" xfId="12156" xr:uid="{00000000-0005-0000-0000-0000EA030000}"/>
    <cellStyle name="20% - Accent1 2 3 3 4 3" xfId="4050" xr:uid="{00000000-0005-0000-0000-0000EB030000}"/>
    <cellStyle name="20% - Accent1 2 3 3 4 3 2" xfId="8912" xr:uid="{00000000-0005-0000-0000-0000EC030000}"/>
    <cellStyle name="20% - Accent1 2 3 3 4 3 2 2" xfId="28363" xr:uid="{00000000-0005-0000-0000-0000ED030000}"/>
    <cellStyle name="20% - Accent1 2 3 3 4 3 2 3" xfId="38088" xr:uid="{00000000-0005-0000-0000-0000EE030000}"/>
    <cellStyle name="20% - Accent1 2 3 3 4 3 2 4" xfId="47813" xr:uid="{00000000-0005-0000-0000-0000EF030000}"/>
    <cellStyle name="20% - Accent1 2 3 3 4 3 2 5" xfId="18638" xr:uid="{00000000-0005-0000-0000-0000F0030000}"/>
    <cellStyle name="20% - Accent1 2 3 3 4 3 3" xfId="23501" xr:uid="{00000000-0005-0000-0000-0000F1030000}"/>
    <cellStyle name="20% - Accent1 2 3 3 4 3 4" xfId="33226" xr:uid="{00000000-0005-0000-0000-0000F2030000}"/>
    <cellStyle name="20% - Accent1 2 3 3 4 3 5" xfId="42951" xr:uid="{00000000-0005-0000-0000-0000F3030000}"/>
    <cellStyle name="20% - Accent1 2 3 3 4 3 6" xfId="13776" xr:uid="{00000000-0005-0000-0000-0000F4030000}"/>
    <cellStyle name="20% - Accent1 2 3 3 4 4" xfId="5672" xr:uid="{00000000-0005-0000-0000-0000F5030000}"/>
    <cellStyle name="20% - Accent1 2 3 3 4 4 2" xfId="25123" xr:uid="{00000000-0005-0000-0000-0000F6030000}"/>
    <cellStyle name="20% - Accent1 2 3 3 4 4 3" xfId="34848" xr:uid="{00000000-0005-0000-0000-0000F7030000}"/>
    <cellStyle name="20% - Accent1 2 3 3 4 4 4" xfId="44573" xr:uid="{00000000-0005-0000-0000-0000F8030000}"/>
    <cellStyle name="20% - Accent1 2 3 3 4 4 5" xfId="15398" xr:uid="{00000000-0005-0000-0000-0000F9030000}"/>
    <cellStyle name="20% - Accent1 2 3 3 4 5" xfId="20261" xr:uid="{00000000-0005-0000-0000-0000FA030000}"/>
    <cellStyle name="20% - Accent1 2 3 3 4 6" xfId="29986" xr:uid="{00000000-0005-0000-0000-0000FB030000}"/>
    <cellStyle name="20% - Accent1 2 3 3 4 7" xfId="39711" xr:uid="{00000000-0005-0000-0000-0000FC030000}"/>
    <cellStyle name="20% - Accent1 2 3 3 4 8" xfId="10536" xr:uid="{00000000-0005-0000-0000-0000FD030000}"/>
    <cellStyle name="20% - Accent1 2 3 3 5" xfId="2070" xr:uid="{00000000-0005-0000-0000-0000FE030000}"/>
    <cellStyle name="20% - Accent1 2 3 3 5 2" xfId="6932" xr:uid="{00000000-0005-0000-0000-0000FF030000}"/>
    <cellStyle name="20% - Accent1 2 3 3 5 2 2" xfId="26383" xr:uid="{00000000-0005-0000-0000-000000040000}"/>
    <cellStyle name="20% - Accent1 2 3 3 5 2 3" xfId="36108" xr:uid="{00000000-0005-0000-0000-000001040000}"/>
    <cellStyle name="20% - Accent1 2 3 3 5 2 4" xfId="45833" xr:uid="{00000000-0005-0000-0000-000002040000}"/>
    <cellStyle name="20% - Accent1 2 3 3 5 2 5" xfId="16658" xr:uid="{00000000-0005-0000-0000-000003040000}"/>
    <cellStyle name="20% - Accent1 2 3 3 5 3" xfId="21521" xr:uid="{00000000-0005-0000-0000-000004040000}"/>
    <cellStyle name="20% - Accent1 2 3 3 5 4" xfId="31246" xr:uid="{00000000-0005-0000-0000-000005040000}"/>
    <cellStyle name="20% - Accent1 2 3 3 5 5" xfId="40971" xr:uid="{00000000-0005-0000-0000-000006040000}"/>
    <cellStyle name="20% - Accent1 2 3 3 5 6" xfId="11796" xr:uid="{00000000-0005-0000-0000-000007040000}"/>
    <cellStyle name="20% - Accent1 2 3 3 6" xfId="3690" xr:uid="{00000000-0005-0000-0000-000008040000}"/>
    <cellStyle name="20% - Accent1 2 3 3 6 2" xfId="8552" xr:uid="{00000000-0005-0000-0000-000009040000}"/>
    <cellStyle name="20% - Accent1 2 3 3 6 2 2" xfId="28003" xr:uid="{00000000-0005-0000-0000-00000A040000}"/>
    <cellStyle name="20% - Accent1 2 3 3 6 2 3" xfId="37728" xr:uid="{00000000-0005-0000-0000-00000B040000}"/>
    <cellStyle name="20% - Accent1 2 3 3 6 2 4" xfId="47453" xr:uid="{00000000-0005-0000-0000-00000C040000}"/>
    <cellStyle name="20% - Accent1 2 3 3 6 2 5" xfId="18278" xr:uid="{00000000-0005-0000-0000-00000D040000}"/>
    <cellStyle name="20% - Accent1 2 3 3 6 3" xfId="23141" xr:uid="{00000000-0005-0000-0000-00000E040000}"/>
    <cellStyle name="20% - Accent1 2 3 3 6 4" xfId="32866" xr:uid="{00000000-0005-0000-0000-00000F040000}"/>
    <cellStyle name="20% - Accent1 2 3 3 6 5" xfId="42591" xr:uid="{00000000-0005-0000-0000-000010040000}"/>
    <cellStyle name="20% - Accent1 2 3 3 6 6" xfId="13416" xr:uid="{00000000-0005-0000-0000-000011040000}"/>
    <cellStyle name="20% - Accent1 2 3 3 7" xfId="5312" xr:uid="{00000000-0005-0000-0000-000012040000}"/>
    <cellStyle name="20% - Accent1 2 3 3 7 2" xfId="24763" xr:uid="{00000000-0005-0000-0000-000013040000}"/>
    <cellStyle name="20% - Accent1 2 3 3 7 3" xfId="34488" xr:uid="{00000000-0005-0000-0000-000014040000}"/>
    <cellStyle name="20% - Accent1 2 3 3 7 4" xfId="44213" xr:uid="{00000000-0005-0000-0000-000015040000}"/>
    <cellStyle name="20% - Accent1 2 3 3 7 5" xfId="15038" xr:uid="{00000000-0005-0000-0000-000016040000}"/>
    <cellStyle name="20% - Accent1 2 3 3 8" xfId="19901" xr:uid="{00000000-0005-0000-0000-000017040000}"/>
    <cellStyle name="20% - Accent1 2 3 3 9" xfId="29626" xr:uid="{00000000-0005-0000-0000-000018040000}"/>
    <cellStyle name="20% - Accent1 2 3 4" xfId="207" xr:uid="{00000000-0005-0000-0000-000019040000}"/>
    <cellStyle name="20% - Accent1 2 3 4 10" xfId="39171" xr:uid="{00000000-0005-0000-0000-00001A040000}"/>
    <cellStyle name="20% - Accent1 2 3 4 11" xfId="9996" xr:uid="{00000000-0005-0000-0000-00001B040000}"/>
    <cellStyle name="20% - Accent1 2 3 4 2" xfId="971" xr:uid="{00000000-0005-0000-0000-00001C040000}"/>
    <cellStyle name="20% - Accent1 2 3 4 2 2" xfId="2610" xr:uid="{00000000-0005-0000-0000-00001D040000}"/>
    <cellStyle name="20% - Accent1 2 3 4 2 2 2" xfId="7472" xr:uid="{00000000-0005-0000-0000-00001E040000}"/>
    <cellStyle name="20% - Accent1 2 3 4 2 2 2 2" xfId="26923" xr:uid="{00000000-0005-0000-0000-00001F040000}"/>
    <cellStyle name="20% - Accent1 2 3 4 2 2 2 3" xfId="36648" xr:uid="{00000000-0005-0000-0000-000020040000}"/>
    <cellStyle name="20% - Accent1 2 3 4 2 2 2 4" xfId="46373" xr:uid="{00000000-0005-0000-0000-000021040000}"/>
    <cellStyle name="20% - Accent1 2 3 4 2 2 2 5" xfId="17198" xr:uid="{00000000-0005-0000-0000-000022040000}"/>
    <cellStyle name="20% - Accent1 2 3 4 2 2 3" xfId="22061" xr:uid="{00000000-0005-0000-0000-000023040000}"/>
    <cellStyle name="20% - Accent1 2 3 4 2 2 4" xfId="31786" xr:uid="{00000000-0005-0000-0000-000024040000}"/>
    <cellStyle name="20% - Accent1 2 3 4 2 2 5" xfId="41511" xr:uid="{00000000-0005-0000-0000-000025040000}"/>
    <cellStyle name="20% - Accent1 2 3 4 2 2 6" xfId="12336" xr:uid="{00000000-0005-0000-0000-000026040000}"/>
    <cellStyle name="20% - Accent1 2 3 4 2 3" xfId="4230" xr:uid="{00000000-0005-0000-0000-000027040000}"/>
    <cellStyle name="20% - Accent1 2 3 4 2 3 2" xfId="9092" xr:uid="{00000000-0005-0000-0000-000028040000}"/>
    <cellStyle name="20% - Accent1 2 3 4 2 3 2 2" xfId="28543" xr:uid="{00000000-0005-0000-0000-000029040000}"/>
    <cellStyle name="20% - Accent1 2 3 4 2 3 2 3" xfId="38268" xr:uid="{00000000-0005-0000-0000-00002A040000}"/>
    <cellStyle name="20% - Accent1 2 3 4 2 3 2 4" xfId="47993" xr:uid="{00000000-0005-0000-0000-00002B040000}"/>
    <cellStyle name="20% - Accent1 2 3 4 2 3 2 5" xfId="18818" xr:uid="{00000000-0005-0000-0000-00002C040000}"/>
    <cellStyle name="20% - Accent1 2 3 4 2 3 3" xfId="23681" xr:uid="{00000000-0005-0000-0000-00002D040000}"/>
    <cellStyle name="20% - Accent1 2 3 4 2 3 4" xfId="33406" xr:uid="{00000000-0005-0000-0000-00002E040000}"/>
    <cellStyle name="20% - Accent1 2 3 4 2 3 5" xfId="43131" xr:uid="{00000000-0005-0000-0000-00002F040000}"/>
    <cellStyle name="20% - Accent1 2 3 4 2 3 6" xfId="13956" xr:uid="{00000000-0005-0000-0000-000030040000}"/>
    <cellStyle name="20% - Accent1 2 3 4 2 4" xfId="5852" xr:uid="{00000000-0005-0000-0000-000031040000}"/>
    <cellStyle name="20% - Accent1 2 3 4 2 4 2" xfId="25303" xr:uid="{00000000-0005-0000-0000-000032040000}"/>
    <cellStyle name="20% - Accent1 2 3 4 2 4 3" xfId="35028" xr:uid="{00000000-0005-0000-0000-000033040000}"/>
    <cellStyle name="20% - Accent1 2 3 4 2 4 4" xfId="44753" xr:uid="{00000000-0005-0000-0000-000034040000}"/>
    <cellStyle name="20% - Accent1 2 3 4 2 4 5" xfId="15578" xr:uid="{00000000-0005-0000-0000-000035040000}"/>
    <cellStyle name="20% - Accent1 2 3 4 2 5" xfId="20441" xr:uid="{00000000-0005-0000-0000-000036040000}"/>
    <cellStyle name="20% - Accent1 2 3 4 2 6" xfId="30166" xr:uid="{00000000-0005-0000-0000-000037040000}"/>
    <cellStyle name="20% - Accent1 2 3 4 2 7" xfId="39891" xr:uid="{00000000-0005-0000-0000-000038040000}"/>
    <cellStyle name="20% - Accent1 2 3 4 2 8" xfId="10716" xr:uid="{00000000-0005-0000-0000-000039040000}"/>
    <cellStyle name="20% - Accent1 2 3 4 3" xfId="1439" xr:uid="{00000000-0005-0000-0000-00003A040000}"/>
    <cellStyle name="20% - Accent1 2 3 4 3 2" xfId="3060" xr:uid="{00000000-0005-0000-0000-00003B040000}"/>
    <cellStyle name="20% - Accent1 2 3 4 3 2 2" xfId="7922" xr:uid="{00000000-0005-0000-0000-00003C040000}"/>
    <cellStyle name="20% - Accent1 2 3 4 3 2 2 2" xfId="27373" xr:uid="{00000000-0005-0000-0000-00003D040000}"/>
    <cellStyle name="20% - Accent1 2 3 4 3 2 2 3" xfId="37098" xr:uid="{00000000-0005-0000-0000-00003E040000}"/>
    <cellStyle name="20% - Accent1 2 3 4 3 2 2 4" xfId="46823" xr:uid="{00000000-0005-0000-0000-00003F040000}"/>
    <cellStyle name="20% - Accent1 2 3 4 3 2 2 5" xfId="17648" xr:uid="{00000000-0005-0000-0000-000040040000}"/>
    <cellStyle name="20% - Accent1 2 3 4 3 2 3" xfId="22511" xr:uid="{00000000-0005-0000-0000-000041040000}"/>
    <cellStyle name="20% - Accent1 2 3 4 3 2 4" xfId="32236" xr:uid="{00000000-0005-0000-0000-000042040000}"/>
    <cellStyle name="20% - Accent1 2 3 4 3 2 5" xfId="41961" xr:uid="{00000000-0005-0000-0000-000043040000}"/>
    <cellStyle name="20% - Accent1 2 3 4 3 2 6" xfId="12786" xr:uid="{00000000-0005-0000-0000-000044040000}"/>
    <cellStyle name="20% - Accent1 2 3 4 3 3" xfId="4680" xr:uid="{00000000-0005-0000-0000-000045040000}"/>
    <cellStyle name="20% - Accent1 2 3 4 3 3 2" xfId="9542" xr:uid="{00000000-0005-0000-0000-000046040000}"/>
    <cellStyle name="20% - Accent1 2 3 4 3 3 2 2" xfId="28993" xr:uid="{00000000-0005-0000-0000-000047040000}"/>
    <cellStyle name="20% - Accent1 2 3 4 3 3 2 3" xfId="38718" xr:uid="{00000000-0005-0000-0000-000048040000}"/>
    <cellStyle name="20% - Accent1 2 3 4 3 3 2 4" xfId="48443" xr:uid="{00000000-0005-0000-0000-000049040000}"/>
    <cellStyle name="20% - Accent1 2 3 4 3 3 2 5" xfId="19268" xr:uid="{00000000-0005-0000-0000-00004A040000}"/>
    <cellStyle name="20% - Accent1 2 3 4 3 3 3" xfId="24131" xr:uid="{00000000-0005-0000-0000-00004B040000}"/>
    <cellStyle name="20% - Accent1 2 3 4 3 3 4" xfId="33856" xr:uid="{00000000-0005-0000-0000-00004C040000}"/>
    <cellStyle name="20% - Accent1 2 3 4 3 3 5" xfId="43581" xr:uid="{00000000-0005-0000-0000-00004D040000}"/>
    <cellStyle name="20% - Accent1 2 3 4 3 3 6" xfId="14406" xr:uid="{00000000-0005-0000-0000-00004E040000}"/>
    <cellStyle name="20% - Accent1 2 3 4 3 4" xfId="6302" xr:uid="{00000000-0005-0000-0000-00004F040000}"/>
    <cellStyle name="20% - Accent1 2 3 4 3 4 2" xfId="25753" xr:uid="{00000000-0005-0000-0000-000050040000}"/>
    <cellStyle name="20% - Accent1 2 3 4 3 4 3" xfId="35478" xr:uid="{00000000-0005-0000-0000-000051040000}"/>
    <cellStyle name="20% - Accent1 2 3 4 3 4 4" xfId="45203" xr:uid="{00000000-0005-0000-0000-000052040000}"/>
    <cellStyle name="20% - Accent1 2 3 4 3 4 5" xfId="16028" xr:uid="{00000000-0005-0000-0000-000053040000}"/>
    <cellStyle name="20% - Accent1 2 3 4 3 5" xfId="20891" xr:uid="{00000000-0005-0000-0000-000054040000}"/>
    <cellStyle name="20% - Accent1 2 3 4 3 6" xfId="30616" xr:uid="{00000000-0005-0000-0000-000055040000}"/>
    <cellStyle name="20% - Accent1 2 3 4 3 7" xfId="40341" xr:uid="{00000000-0005-0000-0000-000056040000}"/>
    <cellStyle name="20% - Accent1 2 3 4 3 8" xfId="11166" xr:uid="{00000000-0005-0000-0000-000057040000}"/>
    <cellStyle name="20% - Accent1 2 3 4 4" xfId="610" xr:uid="{00000000-0005-0000-0000-000058040000}"/>
    <cellStyle name="20% - Accent1 2 3 4 4 2" xfId="2250" xr:uid="{00000000-0005-0000-0000-000059040000}"/>
    <cellStyle name="20% - Accent1 2 3 4 4 2 2" xfId="7112" xr:uid="{00000000-0005-0000-0000-00005A040000}"/>
    <cellStyle name="20% - Accent1 2 3 4 4 2 2 2" xfId="26563" xr:uid="{00000000-0005-0000-0000-00005B040000}"/>
    <cellStyle name="20% - Accent1 2 3 4 4 2 2 3" xfId="36288" xr:uid="{00000000-0005-0000-0000-00005C040000}"/>
    <cellStyle name="20% - Accent1 2 3 4 4 2 2 4" xfId="46013" xr:uid="{00000000-0005-0000-0000-00005D040000}"/>
    <cellStyle name="20% - Accent1 2 3 4 4 2 2 5" xfId="16838" xr:uid="{00000000-0005-0000-0000-00005E040000}"/>
    <cellStyle name="20% - Accent1 2 3 4 4 2 3" xfId="21701" xr:uid="{00000000-0005-0000-0000-00005F040000}"/>
    <cellStyle name="20% - Accent1 2 3 4 4 2 4" xfId="31426" xr:uid="{00000000-0005-0000-0000-000060040000}"/>
    <cellStyle name="20% - Accent1 2 3 4 4 2 5" xfId="41151" xr:uid="{00000000-0005-0000-0000-000061040000}"/>
    <cellStyle name="20% - Accent1 2 3 4 4 2 6" xfId="11976" xr:uid="{00000000-0005-0000-0000-000062040000}"/>
    <cellStyle name="20% - Accent1 2 3 4 4 3" xfId="3870" xr:uid="{00000000-0005-0000-0000-000063040000}"/>
    <cellStyle name="20% - Accent1 2 3 4 4 3 2" xfId="8732" xr:uid="{00000000-0005-0000-0000-000064040000}"/>
    <cellStyle name="20% - Accent1 2 3 4 4 3 2 2" xfId="28183" xr:uid="{00000000-0005-0000-0000-000065040000}"/>
    <cellStyle name="20% - Accent1 2 3 4 4 3 2 3" xfId="37908" xr:uid="{00000000-0005-0000-0000-000066040000}"/>
    <cellStyle name="20% - Accent1 2 3 4 4 3 2 4" xfId="47633" xr:uid="{00000000-0005-0000-0000-000067040000}"/>
    <cellStyle name="20% - Accent1 2 3 4 4 3 2 5" xfId="18458" xr:uid="{00000000-0005-0000-0000-000068040000}"/>
    <cellStyle name="20% - Accent1 2 3 4 4 3 3" xfId="23321" xr:uid="{00000000-0005-0000-0000-000069040000}"/>
    <cellStyle name="20% - Accent1 2 3 4 4 3 4" xfId="33046" xr:uid="{00000000-0005-0000-0000-00006A040000}"/>
    <cellStyle name="20% - Accent1 2 3 4 4 3 5" xfId="42771" xr:uid="{00000000-0005-0000-0000-00006B040000}"/>
    <cellStyle name="20% - Accent1 2 3 4 4 3 6" xfId="13596" xr:uid="{00000000-0005-0000-0000-00006C040000}"/>
    <cellStyle name="20% - Accent1 2 3 4 4 4" xfId="5492" xr:uid="{00000000-0005-0000-0000-00006D040000}"/>
    <cellStyle name="20% - Accent1 2 3 4 4 4 2" xfId="24943" xr:uid="{00000000-0005-0000-0000-00006E040000}"/>
    <cellStyle name="20% - Accent1 2 3 4 4 4 3" xfId="34668" xr:uid="{00000000-0005-0000-0000-00006F040000}"/>
    <cellStyle name="20% - Accent1 2 3 4 4 4 4" xfId="44393" xr:uid="{00000000-0005-0000-0000-000070040000}"/>
    <cellStyle name="20% - Accent1 2 3 4 4 4 5" xfId="15218" xr:uid="{00000000-0005-0000-0000-000071040000}"/>
    <cellStyle name="20% - Accent1 2 3 4 4 5" xfId="20081" xr:uid="{00000000-0005-0000-0000-000072040000}"/>
    <cellStyle name="20% - Accent1 2 3 4 4 6" xfId="29806" xr:uid="{00000000-0005-0000-0000-000073040000}"/>
    <cellStyle name="20% - Accent1 2 3 4 4 7" xfId="39531" xr:uid="{00000000-0005-0000-0000-000074040000}"/>
    <cellStyle name="20% - Accent1 2 3 4 4 8" xfId="10356" xr:uid="{00000000-0005-0000-0000-000075040000}"/>
    <cellStyle name="20% - Accent1 2 3 4 5" xfId="1890" xr:uid="{00000000-0005-0000-0000-000076040000}"/>
    <cellStyle name="20% - Accent1 2 3 4 5 2" xfId="6752" xr:uid="{00000000-0005-0000-0000-000077040000}"/>
    <cellStyle name="20% - Accent1 2 3 4 5 2 2" xfId="26203" xr:uid="{00000000-0005-0000-0000-000078040000}"/>
    <cellStyle name="20% - Accent1 2 3 4 5 2 3" xfId="35928" xr:uid="{00000000-0005-0000-0000-000079040000}"/>
    <cellStyle name="20% - Accent1 2 3 4 5 2 4" xfId="45653" xr:uid="{00000000-0005-0000-0000-00007A040000}"/>
    <cellStyle name="20% - Accent1 2 3 4 5 2 5" xfId="16478" xr:uid="{00000000-0005-0000-0000-00007B040000}"/>
    <cellStyle name="20% - Accent1 2 3 4 5 3" xfId="21341" xr:uid="{00000000-0005-0000-0000-00007C040000}"/>
    <cellStyle name="20% - Accent1 2 3 4 5 4" xfId="31066" xr:uid="{00000000-0005-0000-0000-00007D040000}"/>
    <cellStyle name="20% - Accent1 2 3 4 5 5" xfId="40791" xr:uid="{00000000-0005-0000-0000-00007E040000}"/>
    <cellStyle name="20% - Accent1 2 3 4 5 6" xfId="11616" xr:uid="{00000000-0005-0000-0000-00007F040000}"/>
    <cellStyle name="20% - Accent1 2 3 4 6" xfId="3510" xr:uid="{00000000-0005-0000-0000-000080040000}"/>
    <cellStyle name="20% - Accent1 2 3 4 6 2" xfId="8372" xr:uid="{00000000-0005-0000-0000-000081040000}"/>
    <cellStyle name="20% - Accent1 2 3 4 6 2 2" xfId="27823" xr:uid="{00000000-0005-0000-0000-000082040000}"/>
    <cellStyle name="20% - Accent1 2 3 4 6 2 3" xfId="37548" xr:uid="{00000000-0005-0000-0000-000083040000}"/>
    <cellStyle name="20% - Accent1 2 3 4 6 2 4" xfId="47273" xr:uid="{00000000-0005-0000-0000-000084040000}"/>
    <cellStyle name="20% - Accent1 2 3 4 6 2 5" xfId="18098" xr:uid="{00000000-0005-0000-0000-000085040000}"/>
    <cellStyle name="20% - Accent1 2 3 4 6 3" xfId="22961" xr:uid="{00000000-0005-0000-0000-000086040000}"/>
    <cellStyle name="20% - Accent1 2 3 4 6 4" xfId="32686" xr:uid="{00000000-0005-0000-0000-000087040000}"/>
    <cellStyle name="20% - Accent1 2 3 4 6 5" xfId="42411" xr:uid="{00000000-0005-0000-0000-000088040000}"/>
    <cellStyle name="20% - Accent1 2 3 4 6 6" xfId="13236" xr:uid="{00000000-0005-0000-0000-000089040000}"/>
    <cellStyle name="20% - Accent1 2 3 4 7" xfId="5132" xr:uid="{00000000-0005-0000-0000-00008A040000}"/>
    <cellStyle name="20% - Accent1 2 3 4 7 2" xfId="24583" xr:uid="{00000000-0005-0000-0000-00008B040000}"/>
    <cellStyle name="20% - Accent1 2 3 4 7 3" xfId="34308" xr:uid="{00000000-0005-0000-0000-00008C040000}"/>
    <cellStyle name="20% - Accent1 2 3 4 7 4" xfId="44033" xr:uid="{00000000-0005-0000-0000-00008D040000}"/>
    <cellStyle name="20% - Accent1 2 3 4 7 5" xfId="14858" xr:uid="{00000000-0005-0000-0000-00008E040000}"/>
    <cellStyle name="20% - Accent1 2 3 4 8" xfId="19721" xr:uid="{00000000-0005-0000-0000-00008F040000}"/>
    <cellStyle name="20% - Accent1 2 3 4 9" xfId="29446" xr:uid="{00000000-0005-0000-0000-000090040000}"/>
    <cellStyle name="20% - Accent1 2 3 5" xfId="881" xr:uid="{00000000-0005-0000-0000-000091040000}"/>
    <cellStyle name="20% - Accent1 2 3 5 2" xfId="2520" xr:uid="{00000000-0005-0000-0000-000092040000}"/>
    <cellStyle name="20% - Accent1 2 3 5 2 2" xfId="7382" xr:uid="{00000000-0005-0000-0000-000093040000}"/>
    <cellStyle name="20% - Accent1 2 3 5 2 2 2" xfId="26833" xr:uid="{00000000-0005-0000-0000-000094040000}"/>
    <cellStyle name="20% - Accent1 2 3 5 2 2 3" xfId="36558" xr:uid="{00000000-0005-0000-0000-000095040000}"/>
    <cellStyle name="20% - Accent1 2 3 5 2 2 4" xfId="46283" xr:uid="{00000000-0005-0000-0000-000096040000}"/>
    <cellStyle name="20% - Accent1 2 3 5 2 2 5" xfId="17108" xr:uid="{00000000-0005-0000-0000-000097040000}"/>
    <cellStyle name="20% - Accent1 2 3 5 2 3" xfId="21971" xr:uid="{00000000-0005-0000-0000-000098040000}"/>
    <cellStyle name="20% - Accent1 2 3 5 2 4" xfId="31696" xr:uid="{00000000-0005-0000-0000-000099040000}"/>
    <cellStyle name="20% - Accent1 2 3 5 2 5" xfId="41421" xr:uid="{00000000-0005-0000-0000-00009A040000}"/>
    <cellStyle name="20% - Accent1 2 3 5 2 6" xfId="12246" xr:uid="{00000000-0005-0000-0000-00009B040000}"/>
    <cellStyle name="20% - Accent1 2 3 5 3" xfId="4140" xr:uid="{00000000-0005-0000-0000-00009C040000}"/>
    <cellStyle name="20% - Accent1 2 3 5 3 2" xfId="9002" xr:uid="{00000000-0005-0000-0000-00009D040000}"/>
    <cellStyle name="20% - Accent1 2 3 5 3 2 2" xfId="28453" xr:uid="{00000000-0005-0000-0000-00009E040000}"/>
    <cellStyle name="20% - Accent1 2 3 5 3 2 3" xfId="38178" xr:uid="{00000000-0005-0000-0000-00009F040000}"/>
    <cellStyle name="20% - Accent1 2 3 5 3 2 4" xfId="47903" xr:uid="{00000000-0005-0000-0000-0000A0040000}"/>
    <cellStyle name="20% - Accent1 2 3 5 3 2 5" xfId="18728" xr:uid="{00000000-0005-0000-0000-0000A1040000}"/>
    <cellStyle name="20% - Accent1 2 3 5 3 3" xfId="23591" xr:uid="{00000000-0005-0000-0000-0000A2040000}"/>
    <cellStyle name="20% - Accent1 2 3 5 3 4" xfId="33316" xr:uid="{00000000-0005-0000-0000-0000A3040000}"/>
    <cellStyle name="20% - Accent1 2 3 5 3 5" xfId="43041" xr:uid="{00000000-0005-0000-0000-0000A4040000}"/>
    <cellStyle name="20% - Accent1 2 3 5 3 6" xfId="13866" xr:uid="{00000000-0005-0000-0000-0000A5040000}"/>
    <cellStyle name="20% - Accent1 2 3 5 4" xfId="5762" xr:uid="{00000000-0005-0000-0000-0000A6040000}"/>
    <cellStyle name="20% - Accent1 2 3 5 4 2" xfId="25213" xr:uid="{00000000-0005-0000-0000-0000A7040000}"/>
    <cellStyle name="20% - Accent1 2 3 5 4 3" xfId="34938" xr:uid="{00000000-0005-0000-0000-0000A8040000}"/>
    <cellStyle name="20% - Accent1 2 3 5 4 4" xfId="44663" xr:uid="{00000000-0005-0000-0000-0000A9040000}"/>
    <cellStyle name="20% - Accent1 2 3 5 4 5" xfId="15488" xr:uid="{00000000-0005-0000-0000-0000AA040000}"/>
    <cellStyle name="20% - Accent1 2 3 5 5" xfId="20351" xr:uid="{00000000-0005-0000-0000-0000AB040000}"/>
    <cellStyle name="20% - Accent1 2 3 5 6" xfId="30076" xr:uid="{00000000-0005-0000-0000-0000AC040000}"/>
    <cellStyle name="20% - Accent1 2 3 5 7" xfId="39801" xr:uid="{00000000-0005-0000-0000-0000AD040000}"/>
    <cellStyle name="20% - Accent1 2 3 5 8" xfId="10626" xr:uid="{00000000-0005-0000-0000-0000AE040000}"/>
    <cellStyle name="20% - Accent1 2 3 6" xfId="1259" xr:uid="{00000000-0005-0000-0000-0000AF040000}"/>
    <cellStyle name="20% - Accent1 2 3 6 2" xfId="2880" xr:uid="{00000000-0005-0000-0000-0000B0040000}"/>
    <cellStyle name="20% - Accent1 2 3 6 2 2" xfId="7742" xr:uid="{00000000-0005-0000-0000-0000B1040000}"/>
    <cellStyle name="20% - Accent1 2 3 6 2 2 2" xfId="27193" xr:uid="{00000000-0005-0000-0000-0000B2040000}"/>
    <cellStyle name="20% - Accent1 2 3 6 2 2 3" xfId="36918" xr:uid="{00000000-0005-0000-0000-0000B3040000}"/>
    <cellStyle name="20% - Accent1 2 3 6 2 2 4" xfId="46643" xr:uid="{00000000-0005-0000-0000-0000B4040000}"/>
    <cellStyle name="20% - Accent1 2 3 6 2 2 5" xfId="17468" xr:uid="{00000000-0005-0000-0000-0000B5040000}"/>
    <cellStyle name="20% - Accent1 2 3 6 2 3" xfId="22331" xr:uid="{00000000-0005-0000-0000-0000B6040000}"/>
    <cellStyle name="20% - Accent1 2 3 6 2 4" xfId="32056" xr:uid="{00000000-0005-0000-0000-0000B7040000}"/>
    <cellStyle name="20% - Accent1 2 3 6 2 5" xfId="41781" xr:uid="{00000000-0005-0000-0000-0000B8040000}"/>
    <cellStyle name="20% - Accent1 2 3 6 2 6" xfId="12606" xr:uid="{00000000-0005-0000-0000-0000B9040000}"/>
    <cellStyle name="20% - Accent1 2 3 6 3" xfId="4500" xr:uid="{00000000-0005-0000-0000-0000BA040000}"/>
    <cellStyle name="20% - Accent1 2 3 6 3 2" xfId="9362" xr:uid="{00000000-0005-0000-0000-0000BB040000}"/>
    <cellStyle name="20% - Accent1 2 3 6 3 2 2" xfId="28813" xr:uid="{00000000-0005-0000-0000-0000BC040000}"/>
    <cellStyle name="20% - Accent1 2 3 6 3 2 3" xfId="38538" xr:uid="{00000000-0005-0000-0000-0000BD040000}"/>
    <cellStyle name="20% - Accent1 2 3 6 3 2 4" xfId="48263" xr:uid="{00000000-0005-0000-0000-0000BE040000}"/>
    <cellStyle name="20% - Accent1 2 3 6 3 2 5" xfId="19088" xr:uid="{00000000-0005-0000-0000-0000BF040000}"/>
    <cellStyle name="20% - Accent1 2 3 6 3 3" xfId="23951" xr:uid="{00000000-0005-0000-0000-0000C0040000}"/>
    <cellStyle name="20% - Accent1 2 3 6 3 4" xfId="33676" xr:uid="{00000000-0005-0000-0000-0000C1040000}"/>
    <cellStyle name="20% - Accent1 2 3 6 3 5" xfId="43401" xr:uid="{00000000-0005-0000-0000-0000C2040000}"/>
    <cellStyle name="20% - Accent1 2 3 6 3 6" xfId="14226" xr:uid="{00000000-0005-0000-0000-0000C3040000}"/>
    <cellStyle name="20% - Accent1 2 3 6 4" xfId="6122" xr:uid="{00000000-0005-0000-0000-0000C4040000}"/>
    <cellStyle name="20% - Accent1 2 3 6 4 2" xfId="25573" xr:uid="{00000000-0005-0000-0000-0000C5040000}"/>
    <cellStyle name="20% - Accent1 2 3 6 4 3" xfId="35298" xr:uid="{00000000-0005-0000-0000-0000C6040000}"/>
    <cellStyle name="20% - Accent1 2 3 6 4 4" xfId="45023" xr:uid="{00000000-0005-0000-0000-0000C7040000}"/>
    <cellStyle name="20% - Accent1 2 3 6 4 5" xfId="15848" xr:uid="{00000000-0005-0000-0000-0000C8040000}"/>
    <cellStyle name="20% - Accent1 2 3 6 5" xfId="20711" xr:uid="{00000000-0005-0000-0000-0000C9040000}"/>
    <cellStyle name="20% - Accent1 2 3 6 6" xfId="30436" xr:uid="{00000000-0005-0000-0000-0000CA040000}"/>
    <cellStyle name="20% - Accent1 2 3 6 7" xfId="40161" xr:uid="{00000000-0005-0000-0000-0000CB040000}"/>
    <cellStyle name="20% - Accent1 2 3 6 8" xfId="10986" xr:uid="{00000000-0005-0000-0000-0000CC040000}"/>
    <cellStyle name="20% - Accent1 2 3 7" xfId="1349" xr:uid="{00000000-0005-0000-0000-0000CD040000}"/>
    <cellStyle name="20% - Accent1 2 3 7 2" xfId="2970" xr:uid="{00000000-0005-0000-0000-0000CE040000}"/>
    <cellStyle name="20% - Accent1 2 3 7 2 2" xfId="7832" xr:uid="{00000000-0005-0000-0000-0000CF040000}"/>
    <cellStyle name="20% - Accent1 2 3 7 2 2 2" xfId="27283" xr:uid="{00000000-0005-0000-0000-0000D0040000}"/>
    <cellStyle name="20% - Accent1 2 3 7 2 2 3" xfId="37008" xr:uid="{00000000-0005-0000-0000-0000D1040000}"/>
    <cellStyle name="20% - Accent1 2 3 7 2 2 4" xfId="46733" xr:uid="{00000000-0005-0000-0000-0000D2040000}"/>
    <cellStyle name="20% - Accent1 2 3 7 2 2 5" xfId="17558" xr:uid="{00000000-0005-0000-0000-0000D3040000}"/>
    <cellStyle name="20% - Accent1 2 3 7 2 3" xfId="22421" xr:uid="{00000000-0005-0000-0000-0000D4040000}"/>
    <cellStyle name="20% - Accent1 2 3 7 2 4" xfId="32146" xr:uid="{00000000-0005-0000-0000-0000D5040000}"/>
    <cellStyle name="20% - Accent1 2 3 7 2 5" xfId="41871" xr:uid="{00000000-0005-0000-0000-0000D6040000}"/>
    <cellStyle name="20% - Accent1 2 3 7 2 6" xfId="12696" xr:uid="{00000000-0005-0000-0000-0000D7040000}"/>
    <cellStyle name="20% - Accent1 2 3 7 3" xfId="4590" xr:uid="{00000000-0005-0000-0000-0000D8040000}"/>
    <cellStyle name="20% - Accent1 2 3 7 3 2" xfId="9452" xr:uid="{00000000-0005-0000-0000-0000D9040000}"/>
    <cellStyle name="20% - Accent1 2 3 7 3 2 2" xfId="28903" xr:uid="{00000000-0005-0000-0000-0000DA040000}"/>
    <cellStyle name="20% - Accent1 2 3 7 3 2 3" xfId="38628" xr:uid="{00000000-0005-0000-0000-0000DB040000}"/>
    <cellStyle name="20% - Accent1 2 3 7 3 2 4" xfId="48353" xr:uid="{00000000-0005-0000-0000-0000DC040000}"/>
    <cellStyle name="20% - Accent1 2 3 7 3 2 5" xfId="19178" xr:uid="{00000000-0005-0000-0000-0000DD040000}"/>
    <cellStyle name="20% - Accent1 2 3 7 3 3" xfId="24041" xr:uid="{00000000-0005-0000-0000-0000DE040000}"/>
    <cellStyle name="20% - Accent1 2 3 7 3 4" xfId="33766" xr:uid="{00000000-0005-0000-0000-0000DF040000}"/>
    <cellStyle name="20% - Accent1 2 3 7 3 5" xfId="43491" xr:uid="{00000000-0005-0000-0000-0000E0040000}"/>
    <cellStyle name="20% - Accent1 2 3 7 3 6" xfId="14316" xr:uid="{00000000-0005-0000-0000-0000E1040000}"/>
    <cellStyle name="20% - Accent1 2 3 7 4" xfId="6212" xr:uid="{00000000-0005-0000-0000-0000E2040000}"/>
    <cellStyle name="20% - Accent1 2 3 7 4 2" xfId="25663" xr:uid="{00000000-0005-0000-0000-0000E3040000}"/>
    <cellStyle name="20% - Accent1 2 3 7 4 3" xfId="35388" xr:uid="{00000000-0005-0000-0000-0000E4040000}"/>
    <cellStyle name="20% - Accent1 2 3 7 4 4" xfId="45113" xr:uid="{00000000-0005-0000-0000-0000E5040000}"/>
    <cellStyle name="20% - Accent1 2 3 7 4 5" xfId="15938" xr:uid="{00000000-0005-0000-0000-0000E6040000}"/>
    <cellStyle name="20% - Accent1 2 3 7 5" xfId="20801" xr:uid="{00000000-0005-0000-0000-0000E7040000}"/>
    <cellStyle name="20% - Accent1 2 3 7 6" xfId="30526" xr:uid="{00000000-0005-0000-0000-0000E8040000}"/>
    <cellStyle name="20% - Accent1 2 3 7 7" xfId="40251" xr:uid="{00000000-0005-0000-0000-0000E9040000}"/>
    <cellStyle name="20% - Accent1 2 3 7 8" xfId="11076" xr:uid="{00000000-0005-0000-0000-0000EA040000}"/>
    <cellStyle name="20% - Accent1 2 3 8" xfId="520" xr:uid="{00000000-0005-0000-0000-0000EB040000}"/>
    <cellStyle name="20% - Accent1 2 3 8 2" xfId="2160" xr:uid="{00000000-0005-0000-0000-0000EC040000}"/>
    <cellStyle name="20% - Accent1 2 3 8 2 2" xfId="7022" xr:uid="{00000000-0005-0000-0000-0000ED040000}"/>
    <cellStyle name="20% - Accent1 2 3 8 2 2 2" xfId="26473" xr:uid="{00000000-0005-0000-0000-0000EE040000}"/>
    <cellStyle name="20% - Accent1 2 3 8 2 2 3" xfId="36198" xr:uid="{00000000-0005-0000-0000-0000EF040000}"/>
    <cellStyle name="20% - Accent1 2 3 8 2 2 4" xfId="45923" xr:uid="{00000000-0005-0000-0000-0000F0040000}"/>
    <cellStyle name="20% - Accent1 2 3 8 2 2 5" xfId="16748" xr:uid="{00000000-0005-0000-0000-0000F1040000}"/>
    <cellStyle name="20% - Accent1 2 3 8 2 3" xfId="21611" xr:uid="{00000000-0005-0000-0000-0000F2040000}"/>
    <cellStyle name="20% - Accent1 2 3 8 2 4" xfId="31336" xr:uid="{00000000-0005-0000-0000-0000F3040000}"/>
    <cellStyle name="20% - Accent1 2 3 8 2 5" xfId="41061" xr:uid="{00000000-0005-0000-0000-0000F4040000}"/>
    <cellStyle name="20% - Accent1 2 3 8 2 6" xfId="11886" xr:uid="{00000000-0005-0000-0000-0000F5040000}"/>
    <cellStyle name="20% - Accent1 2 3 8 3" xfId="3780" xr:uid="{00000000-0005-0000-0000-0000F6040000}"/>
    <cellStyle name="20% - Accent1 2 3 8 3 2" xfId="8642" xr:uid="{00000000-0005-0000-0000-0000F7040000}"/>
    <cellStyle name="20% - Accent1 2 3 8 3 2 2" xfId="28093" xr:uid="{00000000-0005-0000-0000-0000F8040000}"/>
    <cellStyle name="20% - Accent1 2 3 8 3 2 3" xfId="37818" xr:uid="{00000000-0005-0000-0000-0000F9040000}"/>
    <cellStyle name="20% - Accent1 2 3 8 3 2 4" xfId="47543" xr:uid="{00000000-0005-0000-0000-0000FA040000}"/>
    <cellStyle name="20% - Accent1 2 3 8 3 2 5" xfId="18368" xr:uid="{00000000-0005-0000-0000-0000FB040000}"/>
    <cellStyle name="20% - Accent1 2 3 8 3 3" xfId="23231" xr:uid="{00000000-0005-0000-0000-0000FC040000}"/>
    <cellStyle name="20% - Accent1 2 3 8 3 4" xfId="32956" xr:uid="{00000000-0005-0000-0000-0000FD040000}"/>
    <cellStyle name="20% - Accent1 2 3 8 3 5" xfId="42681" xr:uid="{00000000-0005-0000-0000-0000FE040000}"/>
    <cellStyle name="20% - Accent1 2 3 8 3 6" xfId="13506" xr:uid="{00000000-0005-0000-0000-0000FF040000}"/>
    <cellStyle name="20% - Accent1 2 3 8 4" xfId="5402" xr:uid="{00000000-0005-0000-0000-000000050000}"/>
    <cellStyle name="20% - Accent1 2 3 8 4 2" xfId="24853" xr:uid="{00000000-0005-0000-0000-000001050000}"/>
    <cellStyle name="20% - Accent1 2 3 8 4 3" xfId="34578" xr:uid="{00000000-0005-0000-0000-000002050000}"/>
    <cellStyle name="20% - Accent1 2 3 8 4 4" xfId="44303" xr:uid="{00000000-0005-0000-0000-000003050000}"/>
    <cellStyle name="20% - Accent1 2 3 8 4 5" xfId="15128" xr:uid="{00000000-0005-0000-0000-000004050000}"/>
    <cellStyle name="20% - Accent1 2 3 8 5" xfId="19991" xr:uid="{00000000-0005-0000-0000-000005050000}"/>
    <cellStyle name="20% - Accent1 2 3 8 6" xfId="29716" xr:uid="{00000000-0005-0000-0000-000006050000}"/>
    <cellStyle name="20% - Accent1 2 3 8 7" xfId="39441" xr:uid="{00000000-0005-0000-0000-000007050000}"/>
    <cellStyle name="20% - Accent1 2 3 8 8" xfId="10266" xr:uid="{00000000-0005-0000-0000-000008050000}"/>
    <cellStyle name="20% - Accent1 2 3 9" xfId="1709" xr:uid="{00000000-0005-0000-0000-000009050000}"/>
    <cellStyle name="20% - Accent1 2 3 9 2" xfId="3330" xr:uid="{00000000-0005-0000-0000-00000A050000}"/>
    <cellStyle name="20% - Accent1 2 3 9 2 2" xfId="8192" xr:uid="{00000000-0005-0000-0000-00000B050000}"/>
    <cellStyle name="20% - Accent1 2 3 9 2 2 2" xfId="27643" xr:uid="{00000000-0005-0000-0000-00000C050000}"/>
    <cellStyle name="20% - Accent1 2 3 9 2 2 3" xfId="37368" xr:uid="{00000000-0005-0000-0000-00000D050000}"/>
    <cellStyle name="20% - Accent1 2 3 9 2 2 4" xfId="47093" xr:uid="{00000000-0005-0000-0000-00000E050000}"/>
    <cellStyle name="20% - Accent1 2 3 9 2 2 5" xfId="17918" xr:uid="{00000000-0005-0000-0000-00000F050000}"/>
    <cellStyle name="20% - Accent1 2 3 9 2 3" xfId="22781" xr:uid="{00000000-0005-0000-0000-000010050000}"/>
    <cellStyle name="20% - Accent1 2 3 9 2 4" xfId="32506" xr:uid="{00000000-0005-0000-0000-000011050000}"/>
    <cellStyle name="20% - Accent1 2 3 9 2 5" xfId="42231" xr:uid="{00000000-0005-0000-0000-000012050000}"/>
    <cellStyle name="20% - Accent1 2 3 9 2 6" xfId="13056" xr:uid="{00000000-0005-0000-0000-000013050000}"/>
    <cellStyle name="20% - Accent1 2 3 9 3" xfId="4950" xr:uid="{00000000-0005-0000-0000-000014050000}"/>
    <cellStyle name="20% - Accent1 2 3 9 3 2" xfId="9812" xr:uid="{00000000-0005-0000-0000-000015050000}"/>
    <cellStyle name="20% - Accent1 2 3 9 3 2 2" xfId="29263" xr:uid="{00000000-0005-0000-0000-000016050000}"/>
    <cellStyle name="20% - Accent1 2 3 9 3 2 3" xfId="38988" xr:uid="{00000000-0005-0000-0000-000017050000}"/>
    <cellStyle name="20% - Accent1 2 3 9 3 2 4" xfId="48713" xr:uid="{00000000-0005-0000-0000-000018050000}"/>
    <cellStyle name="20% - Accent1 2 3 9 3 2 5" xfId="19538" xr:uid="{00000000-0005-0000-0000-000019050000}"/>
    <cellStyle name="20% - Accent1 2 3 9 3 3" xfId="24401" xr:uid="{00000000-0005-0000-0000-00001A050000}"/>
    <cellStyle name="20% - Accent1 2 3 9 3 4" xfId="34126" xr:uid="{00000000-0005-0000-0000-00001B050000}"/>
    <cellStyle name="20% - Accent1 2 3 9 3 5" xfId="43851" xr:uid="{00000000-0005-0000-0000-00001C050000}"/>
    <cellStyle name="20% - Accent1 2 3 9 3 6" xfId="14676" xr:uid="{00000000-0005-0000-0000-00001D050000}"/>
    <cellStyle name="20% - Accent1 2 3 9 4" xfId="6572" xr:uid="{00000000-0005-0000-0000-00001E050000}"/>
    <cellStyle name="20% - Accent1 2 3 9 4 2" xfId="26023" xr:uid="{00000000-0005-0000-0000-00001F050000}"/>
    <cellStyle name="20% - Accent1 2 3 9 4 3" xfId="35748" xr:uid="{00000000-0005-0000-0000-000020050000}"/>
    <cellStyle name="20% - Accent1 2 3 9 4 4" xfId="45473" xr:uid="{00000000-0005-0000-0000-000021050000}"/>
    <cellStyle name="20% - Accent1 2 3 9 4 5" xfId="16298" xr:uid="{00000000-0005-0000-0000-000022050000}"/>
    <cellStyle name="20% - Accent1 2 3 9 5" xfId="21161" xr:uid="{00000000-0005-0000-0000-000023050000}"/>
    <cellStyle name="20% - Accent1 2 3 9 6" xfId="30886" xr:uid="{00000000-0005-0000-0000-000024050000}"/>
    <cellStyle name="20% - Accent1 2 3 9 7" xfId="40611" xr:uid="{00000000-0005-0000-0000-000025050000}"/>
    <cellStyle name="20% - Accent1 2 3 9 8" xfId="11436" xr:uid="{00000000-0005-0000-0000-000026050000}"/>
    <cellStyle name="20% - Accent1 2 4" xfId="238" xr:uid="{00000000-0005-0000-0000-000027050000}"/>
    <cellStyle name="20% - Accent1 2 4 10" xfId="39201" xr:uid="{00000000-0005-0000-0000-000028050000}"/>
    <cellStyle name="20% - Accent1 2 4 11" xfId="10026" xr:uid="{00000000-0005-0000-0000-000029050000}"/>
    <cellStyle name="20% - Accent1 2 4 2" xfId="1002" xr:uid="{00000000-0005-0000-0000-00002A050000}"/>
    <cellStyle name="20% - Accent1 2 4 2 2" xfId="2640" xr:uid="{00000000-0005-0000-0000-00002B050000}"/>
    <cellStyle name="20% - Accent1 2 4 2 2 2" xfId="7502" xr:uid="{00000000-0005-0000-0000-00002C050000}"/>
    <cellStyle name="20% - Accent1 2 4 2 2 2 2" xfId="26953" xr:uid="{00000000-0005-0000-0000-00002D050000}"/>
    <cellStyle name="20% - Accent1 2 4 2 2 2 3" xfId="36678" xr:uid="{00000000-0005-0000-0000-00002E050000}"/>
    <cellStyle name="20% - Accent1 2 4 2 2 2 4" xfId="46403" xr:uid="{00000000-0005-0000-0000-00002F050000}"/>
    <cellStyle name="20% - Accent1 2 4 2 2 2 5" xfId="17228" xr:uid="{00000000-0005-0000-0000-000030050000}"/>
    <cellStyle name="20% - Accent1 2 4 2 2 3" xfId="22091" xr:uid="{00000000-0005-0000-0000-000031050000}"/>
    <cellStyle name="20% - Accent1 2 4 2 2 4" xfId="31816" xr:uid="{00000000-0005-0000-0000-000032050000}"/>
    <cellStyle name="20% - Accent1 2 4 2 2 5" xfId="41541" xr:uid="{00000000-0005-0000-0000-000033050000}"/>
    <cellStyle name="20% - Accent1 2 4 2 2 6" xfId="12366" xr:uid="{00000000-0005-0000-0000-000034050000}"/>
    <cellStyle name="20% - Accent1 2 4 2 3" xfId="4260" xr:uid="{00000000-0005-0000-0000-000035050000}"/>
    <cellStyle name="20% - Accent1 2 4 2 3 2" xfId="9122" xr:uid="{00000000-0005-0000-0000-000036050000}"/>
    <cellStyle name="20% - Accent1 2 4 2 3 2 2" xfId="28573" xr:uid="{00000000-0005-0000-0000-000037050000}"/>
    <cellStyle name="20% - Accent1 2 4 2 3 2 3" xfId="38298" xr:uid="{00000000-0005-0000-0000-000038050000}"/>
    <cellStyle name="20% - Accent1 2 4 2 3 2 4" xfId="48023" xr:uid="{00000000-0005-0000-0000-000039050000}"/>
    <cellStyle name="20% - Accent1 2 4 2 3 2 5" xfId="18848" xr:uid="{00000000-0005-0000-0000-00003A050000}"/>
    <cellStyle name="20% - Accent1 2 4 2 3 3" xfId="23711" xr:uid="{00000000-0005-0000-0000-00003B050000}"/>
    <cellStyle name="20% - Accent1 2 4 2 3 4" xfId="33436" xr:uid="{00000000-0005-0000-0000-00003C050000}"/>
    <cellStyle name="20% - Accent1 2 4 2 3 5" xfId="43161" xr:uid="{00000000-0005-0000-0000-00003D050000}"/>
    <cellStyle name="20% - Accent1 2 4 2 3 6" xfId="13986" xr:uid="{00000000-0005-0000-0000-00003E050000}"/>
    <cellStyle name="20% - Accent1 2 4 2 4" xfId="5882" xr:uid="{00000000-0005-0000-0000-00003F050000}"/>
    <cellStyle name="20% - Accent1 2 4 2 4 2" xfId="25333" xr:uid="{00000000-0005-0000-0000-000040050000}"/>
    <cellStyle name="20% - Accent1 2 4 2 4 3" xfId="35058" xr:uid="{00000000-0005-0000-0000-000041050000}"/>
    <cellStyle name="20% - Accent1 2 4 2 4 4" xfId="44783" xr:uid="{00000000-0005-0000-0000-000042050000}"/>
    <cellStyle name="20% - Accent1 2 4 2 4 5" xfId="15608" xr:uid="{00000000-0005-0000-0000-000043050000}"/>
    <cellStyle name="20% - Accent1 2 4 2 5" xfId="20471" xr:uid="{00000000-0005-0000-0000-000044050000}"/>
    <cellStyle name="20% - Accent1 2 4 2 6" xfId="30196" xr:uid="{00000000-0005-0000-0000-000045050000}"/>
    <cellStyle name="20% - Accent1 2 4 2 7" xfId="39921" xr:uid="{00000000-0005-0000-0000-000046050000}"/>
    <cellStyle name="20% - Accent1 2 4 2 8" xfId="10746" xr:uid="{00000000-0005-0000-0000-000047050000}"/>
    <cellStyle name="20% - Accent1 2 4 3" xfId="1469" xr:uid="{00000000-0005-0000-0000-000048050000}"/>
    <cellStyle name="20% - Accent1 2 4 3 2" xfId="3090" xr:uid="{00000000-0005-0000-0000-000049050000}"/>
    <cellStyle name="20% - Accent1 2 4 3 2 2" xfId="7952" xr:uid="{00000000-0005-0000-0000-00004A050000}"/>
    <cellStyle name="20% - Accent1 2 4 3 2 2 2" xfId="27403" xr:uid="{00000000-0005-0000-0000-00004B050000}"/>
    <cellStyle name="20% - Accent1 2 4 3 2 2 3" xfId="37128" xr:uid="{00000000-0005-0000-0000-00004C050000}"/>
    <cellStyle name="20% - Accent1 2 4 3 2 2 4" xfId="46853" xr:uid="{00000000-0005-0000-0000-00004D050000}"/>
    <cellStyle name="20% - Accent1 2 4 3 2 2 5" xfId="17678" xr:uid="{00000000-0005-0000-0000-00004E050000}"/>
    <cellStyle name="20% - Accent1 2 4 3 2 3" xfId="22541" xr:uid="{00000000-0005-0000-0000-00004F050000}"/>
    <cellStyle name="20% - Accent1 2 4 3 2 4" xfId="32266" xr:uid="{00000000-0005-0000-0000-000050050000}"/>
    <cellStyle name="20% - Accent1 2 4 3 2 5" xfId="41991" xr:uid="{00000000-0005-0000-0000-000051050000}"/>
    <cellStyle name="20% - Accent1 2 4 3 2 6" xfId="12816" xr:uid="{00000000-0005-0000-0000-000052050000}"/>
    <cellStyle name="20% - Accent1 2 4 3 3" xfId="4710" xr:uid="{00000000-0005-0000-0000-000053050000}"/>
    <cellStyle name="20% - Accent1 2 4 3 3 2" xfId="9572" xr:uid="{00000000-0005-0000-0000-000054050000}"/>
    <cellStyle name="20% - Accent1 2 4 3 3 2 2" xfId="29023" xr:uid="{00000000-0005-0000-0000-000055050000}"/>
    <cellStyle name="20% - Accent1 2 4 3 3 2 3" xfId="38748" xr:uid="{00000000-0005-0000-0000-000056050000}"/>
    <cellStyle name="20% - Accent1 2 4 3 3 2 4" xfId="48473" xr:uid="{00000000-0005-0000-0000-000057050000}"/>
    <cellStyle name="20% - Accent1 2 4 3 3 2 5" xfId="19298" xr:uid="{00000000-0005-0000-0000-000058050000}"/>
    <cellStyle name="20% - Accent1 2 4 3 3 3" xfId="24161" xr:uid="{00000000-0005-0000-0000-000059050000}"/>
    <cellStyle name="20% - Accent1 2 4 3 3 4" xfId="33886" xr:uid="{00000000-0005-0000-0000-00005A050000}"/>
    <cellStyle name="20% - Accent1 2 4 3 3 5" xfId="43611" xr:uid="{00000000-0005-0000-0000-00005B050000}"/>
    <cellStyle name="20% - Accent1 2 4 3 3 6" xfId="14436" xr:uid="{00000000-0005-0000-0000-00005C050000}"/>
    <cellStyle name="20% - Accent1 2 4 3 4" xfId="6332" xr:uid="{00000000-0005-0000-0000-00005D050000}"/>
    <cellStyle name="20% - Accent1 2 4 3 4 2" xfId="25783" xr:uid="{00000000-0005-0000-0000-00005E050000}"/>
    <cellStyle name="20% - Accent1 2 4 3 4 3" xfId="35508" xr:uid="{00000000-0005-0000-0000-00005F050000}"/>
    <cellStyle name="20% - Accent1 2 4 3 4 4" xfId="45233" xr:uid="{00000000-0005-0000-0000-000060050000}"/>
    <cellStyle name="20% - Accent1 2 4 3 4 5" xfId="16058" xr:uid="{00000000-0005-0000-0000-000061050000}"/>
    <cellStyle name="20% - Accent1 2 4 3 5" xfId="20921" xr:uid="{00000000-0005-0000-0000-000062050000}"/>
    <cellStyle name="20% - Accent1 2 4 3 6" xfId="30646" xr:uid="{00000000-0005-0000-0000-000063050000}"/>
    <cellStyle name="20% - Accent1 2 4 3 7" xfId="40371" xr:uid="{00000000-0005-0000-0000-000064050000}"/>
    <cellStyle name="20% - Accent1 2 4 3 8" xfId="11196" xr:uid="{00000000-0005-0000-0000-000065050000}"/>
    <cellStyle name="20% - Accent1 2 4 4" xfId="640" xr:uid="{00000000-0005-0000-0000-000066050000}"/>
    <cellStyle name="20% - Accent1 2 4 4 2" xfId="2280" xr:uid="{00000000-0005-0000-0000-000067050000}"/>
    <cellStyle name="20% - Accent1 2 4 4 2 2" xfId="7142" xr:uid="{00000000-0005-0000-0000-000068050000}"/>
    <cellStyle name="20% - Accent1 2 4 4 2 2 2" xfId="26593" xr:uid="{00000000-0005-0000-0000-000069050000}"/>
    <cellStyle name="20% - Accent1 2 4 4 2 2 3" xfId="36318" xr:uid="{00000000-0005-0000-0000-00006A050000}"/>
    <cellStyle name="20% - Accent1 2 4 4 2 2 4" xfId="46043" xr:uid="{00000000-0005-0000-0000-00006B050000}"/>
    <cellStyle name="20% - Accent1 2 4 4 2 2 5" xfId="16868" xr:uid="{00000000-0005-0000-0000-00006C050000}"/>
    <cellStyle name="20% - Accent1 2 4 4 2 3" xfId="21731" xr:uid="{00000000-0005-0000-0000-00006D050000}"/>
    <cellStyle name="20% - Accent1 2 4 4 2 4" xfId="31456" xr:uid="{00000000-0005-0000-0000-00006E050000}"/>
    <cellStyle name="20% - Accent1 2 4 4 2 5" xfId="41181" xr:uid="{00000000-0005-0000-0000-00006F050000}"/>
    <cellStyle name="20% - Accent1 2 4 4 2 6" xfId="12006" xr:uid="{00000000-0005-0000-0000-000070050000}"/>
    <cellStyle name="20% - Accent1 2 4 4 3" xfId="3900" xr:uid="{00000000-0005-0000-0000-000071050000}"/>
    <cellStyle name="20% - Accent1 2 4 4 3 2" xfId="8762" xr:uid="{00000000-0005-0000-0000-000072050000}"/>
    <cellStyle name="20% - Accent1 2 4 4 3 2 2" xfId="28213" xr:uid="{00000000-0005-0000-0000-000073050000}"/>
    <cellStyle name="20% - Accent1 2 4 4 3 2 3" xfId="37938" xr:uid="{00000000-0005-0000-0000-000074050000}"/>
    <cellStyle name="20% - Accent1 2 4 4 3 2 4" xfId="47663" xr:uid="{00000000-0005-0000-0000-000075050000}"/>
    <cellStyle name="20% - Accent1 2 4 4 3 2 5" xfId="18488" xr:uid="{00000000-0005-0000-0000-000076050000}"/>
    <cellStyle name="20% - Accent1 2 4 4 3 3" xfId="23351" xr:uid="{00000000-0005-0000-0000-000077050000}"/>
    <cellStyle name="20% - Accent1 2 4 4 3 4" xfId="33076" xr:uid="{00000000-0005-0000-0000-000078050000}"/>
    <cellStyle name="20% - Accent1 2 4 4 3 5" xfId="42801" xr:uid="{00000000-0005-0000-0000-000079050000}"/>
    <cellStyle name="20% - Accent1 2 4 4 3 6" xfId="13626" xr:uid="{00000000-0005-0000-0000-00007A050000}"/>
    <cellStyle name="20% - Accent1 2 4 4 4" xfId="5522" xr:uid="{00000000-0005-0000-0000-00007B050000}"/>
    <cellStyle name="20% - Accent1 2 4 4 4 2" xfId="24973" xr:uid="{00000000-0005-0000-0000-00007C050000}"/>
    <cellStyle name="20% - Accent1 2 4 4 4 3" xfId="34698" xr:uid="{00000000-0005-0000-0000-00007D050000}"/>
    <cellStyle name="20% - Accent1 2 4 4 4 4" xfId="44423" xr:uid="{00000000-0005-0000-0000-00007E050000}"/>
    <cellStyle name="20% - Accent1 2 4 4 4 5" xfId="15248" xr:uid="{00000000-0005-0000-0000-00007F050000}"/>
    <cellStyle name="20% - Accent1 2 4 4 5" xfId="20111" xr:uid="{00000000-0005-0000-0000-000080050000}"/>
    <cellStyle name="20% - Accent1 2 4 4 6" xfId="29836" xr:uid="{00000000-0005-0000-0000-000081050000}"/>
    <cellStyle name="20% - Accent1 2 4 4 7" xfId="39561" xr:uid="{00000000-0005-0000-0000-000082050000}"/>
    <cellStyle name="20% - Accent1 2 4 4 8" xfId="10386" xr:uid="{00000000-0005-0000-0000-000083050000}"/>
    <cellStyle name="20% - Accent1 2 4 5" xfId="1920" xr:uid="{00000000-0005-0000-0000-000084050000}"/>
    <cellStyle name="20% - Accent1 2 4 5 2" xfId="6782" xr:uid="{00000000-0005-0000-0000-000085050000}"/>
    <cellStyle name="20% - Accent1 2 4 5 2 2" xfId="26233" xr:uid="{00000000-0005-0000-0000-000086050000}"/>
    <cellStyle name="20% - Accent1 2 4 5 2 3" xfId="35958" xr:uid="{00000000-0005-0000-0000-000087050000}"/>
    <cellStyle name="20% - Accent1 2 4 5 2 4" xfId="45683" xr:uid="{00000000-0005-0000-0000-000088050000}"/>
    <cellStyle name="20% - Accent1 2 4 5 2 5" xfId="16508" xr:uid="{00000000-0005-0000-0000-000089050000}"/>
    <cellStyle name="20% - Accent1 2 4 5 3" xfId="21371" xr:uid="{00000000-0005-0000-0000-00008A050000}"/>
    <cellStyle name="20% - Accent1 2 4 5 4" xfId="31096" xr:uid="{00000000-0005-0000-0000-00008B050000}"/>
    <cellStyle name="20% - Accent1 2 4 5 5" xfId="40821" xr:uid="{00000000-0005-0000-0000-00008C050000}"/>
    <cellStyle name="20% - Accent1 2 4 5 6" xfId="11646" xr:uid="{00000000-0005-0000-0000-00008D050000}"/>
    <cellStyle name="20% - Accent1 2 4 6" xfId="3540" xr:uid="{00000000-0005-0000-0000-00008E050000}"/>
    <cellStyle name="20% - Accent1 2 4 6 2" xfId="8402" xr:uid="{00000000-0005-0000-0000-00008F050000}"/>
    <cellStyle name="20% - Accent1 2 4 6 2 2" xfId="27853" xr:uid="{00000000-0005-0000-0000-000090050000}"/>
    <cellStyle name="20% - Accent1 2 4 6 2 3" xfId="37578" xr:uid="{00000000-0005-0000-0000-000091050000}"/>
    <cellStyle name="20% - Accent1 2 4 6 2 4" xfId="47303" xr:uid="{00000000-0005-0000-0000-000092050000}"/>
    <cellStyle name="20% - Accent1 2 4 6 2 5" xfId="18128" xr:uid="{00000000-0005-0000-0000-000093050000}"/>
    <cellStyle name="20% - Accent1 2 4 6 3" xfId="22991" xr:uid="{00000000-0005-0000-0000-000094050000}"/>
    <cellStyle name="20% - Accent1 2 4 6 4" xfId="32716" xr:uid="{00000000-0005-0000-0000-000095050000}"/>
    <cellStyle name="20% - Accent1 2 4 6 5" xfId="42441" xr:uid="{00000000-0005-0000-0000-000096050000}"/>
    <cellStyle name="20% - Accent1 2 4 6 6" xfId="13266" xr:uid="{00000000-0005-0000-0000-000097050000}"/>
    <cellStyle name="20% - Accent1 2 4 7" xfId="5162" xr:uid="{00000000-0005-0000-0000-000098050000}"/>
    <cellStyle name="20% - Accent1 2 4 7 2" xfId="24613" xr:uid="{00000000-0005-0000-0000-000099050000}"/>
    <cellStyle name="20% - Accent1 2 4 7 3" xfId="34338" xr:uid="{00000000-0005-0000-0000-00009A050000}"/>
    <cellStyle name="20% - Accent1 2 4 7 4" xfId="44063" xr:uid="{00000000-0005-0000-0000-00009B050000}"/>
    <cellStyle name="20% - Accent1 2 4 7 5" xfId="14888" xr:uid="{00000000-0005-0000-0000-00009C050000}"/>
    <cellStyle name="20% - Accent1 2 4 8" xfId="19751" xr:uid="{00000000-0005-0000-0000-00009D050000}"/>
    <cellStyle name="20% - Accent1 2 4 9" xfId="29476" xr:uid="{00000000-0005-0000-0000-00009E050000}"/>
    <cellStyle name="20% - Accent1 2 5" xfId="329" xr:uid="{00000000-0005-0000-0000-00009F050000}"/>
    <cellStyle name="20% - Accent1 2 5 10" xfId="39291" xr:uid="{00000000-0005-0000-0000-0000A0050000}"/>
    <cellStyle name="20% - Accent1 2 5 11" xfId="10116" xr:uid="{00000000-0005-0000-0000-0000A1050000}"/>
    <cellStyle name="20% - Accent1 2 5 2" xfId="1092" xr:uid="{00000000-0005-0000-0000-0000A2050000}"/>
    <cellStyle name="20% - Accent1 2 5 2 2" xfId="2730" xr:uid="{00000000-0005-0000-0000-0000A3050000}"/>
    <cellStyle name="20% - Accent1 2 5 2 2 2" xfId="7592" xr:uid="{00000000-0005-0000-0000-0000A4050000}"/>
    <cellStyle name="20% - Accent1 2 5 2 2 2 2" xfId="27043" xr:uid="{00000000-0005-0000-0000-0000A5050000}"/>
    <cellStyle name="20% - Accent1 2 5 2 2 2 3" xfId="36768" xr:uid="{00000000-0005-0000-0000-0000A6050000}"/>
    <cellStyle name="20% - Accent1 2 5 2 2 2 4" xfId="46493" xr:uid="{00000000-0005-0000-0000-0000A7050000}"/>
    <cellStyle name="20% - Accent1 2 5 2 2 2 5" xfId="17318" xr:uid="{00000000-0005-0000-0000-0000A8050000}"/>
    <cellStyle name="20% - Accent1 2 5 2 2 3" xfId="22181" xr:uid="{00000000-0005-0000-0000-0000A9050000}"/>
    <cellStyle name="20% - Accent1 2 5 2 2 4" xfId="31906" xr:uid="{00000000-0005-0000-0000-0000AA050000}"/>
    <cellStyle name="20% - Accent1 2 5 2 2 5" xfId="41631" xr:uid="{00000000-0005-0000-0000-0000AB050000}"/>
    <cellStyle name="20% - Accent1 2 5 2 2 6" xfId="12456" xr:uid="{00000000-0005-0000-0000-0000AC050000}"/>
    <cellStyle name="20% - Accent1 2 5 2 3" xfId="4350" xr:uid="{00000000-0005-0000-0000-0000AD050000}"/>
    <cellStyle name="20% - Accent1 2 5 2 3 2" xfId="9212" xr:uid="{00000000-0005-0000-0000-0000AE050000}"/>
    <cellStyle name="20% - Accent1 2 5 2 3 2 2" xfId="28663" xr:uid="{00000000-0005-0000-0000-0000AF050000}"/>
    <cellStyle name="20% - Accent1 2 5 2 3 2 3" xfId="38388" xr:uid="{00000000-0005-0000-0000-0000B0050000}"/>
    <cellStyle name="20% - Accent1 2 5 2 3 2 4" xfId="48113" xr:uid="{00000000-0005-0000-0000-0000B1050000}"/>
    <cellStyle name="20% - Accent1 2 5 2 3 2 5" xfId="18938" xr:uid="{00000000-0005-0000-0000-0000B2050000}"/>
    <cellStyle name="20% - Accent1 2 5 2 3 3" xfId="23801" xr:uid="{00000000-0005-0000-0000-0000B3050000}"/>
    <cellStyle name="20% - Accent1 2 5 2 3 4" xfId="33526" xr:uid="{00000000-0005-0000-0000-0000B4050000}"/>
    <cellStyle name="20% - Accent1 2 5 2 3 5" xfId="43251" xr:uid="{00000000-0005-0000-0000-0000B5050000}"/>
    <cellStyle name="20% - Accent1 2 5 2 3 6" xfId="14076" xr:uid="{00000000-0005-0000-0000-0000B6050000}"/>
    <cellStyle name="20% - Accent1 2 5 2 4" xfId="5972" xr:uid="{00000000-0005-0000-0000-0000B7050000}"/>
    <cellStyle name="20% - Accent1 2 5 2 4 2" xfId="25423" xr:uid="{00000000-0005-0000-0000-0000B8050000}"/>
    <cellStyle name="20% - Accent1 2 5 2 4 3" xfId="35148" xr:uid="{00000000-0005-0000-0000-0000B9050000}"/>
    <cellStyle name="20% - Accent1 2 5 2 4 4" xfId="44873" xr:uid="{00000000-0005-0000-0000-0000BA050000}"/>
    <cellStyle name="20% - Accent1 2 5 2 4 5" xfId="15698" xr:uid="{00000000-0005-0000-0000-0000BB050000}"/>
    <cellStyle name="20% - Accent1 2 5 2 5" xfId="20561" xr:uid="{00000000-0005-0000-0000-0000BC050000}"/>
    <cellStyle name="20% - Accent1 2 5 2 6" xfId="30286" xr:uid="{00000000-0005-0000-0000-0000BD050000}"/>
    <cellStyle name="20% - Accent1 2 5 2 7" xfId="40011" xr:uid="{00000000-0005-0000-0000-0000BE050000}"/>
    <cellStyle name="20% - Accent1 2 5 2 8" xfId="10836" xr:uid="{00000000-0005-0000-0000-0000BF050000}"/>
    <cellStyle name="20% - Accent1 2 5 3" xfId="1559" xr:uid="{00000000-0005-0000-0000-0000C0050000}"/>
    <cellStyle name="20% - Accent1 2 5 3 2" xfId="3180" xr:uid="{00000000-0005-0000-0000-0000C1050000}"/>
    <cellStyle name="20% - Accent1 2 5 3 2 2" xfId="8042" xr:uid="{00000000-0005-0000-0000-0000C2050000}"/>
    <cellStyle name="20% - Accent1 2 5 3 2 2 2" xfId="27493" xr:uid="{00000000-0005-0000-0000-0000C3050000}"/>
    <cellStyle name="20% - Accent1 2 5 3 2 2 3" xfId="37218" xr:uid="{00000000-0005-0000-0000-0000C4050000}"/>
    <cellStyle name="20% - Accent1 2 5 3 2 2 4" xfId="46943" xr:uid="{00000000-0005-0000-0000-0000C5050000}"/>
    <cellStyle name="20% - Accent1 2 5 3 2 2 5" xfId="17768" xr:uid="{00000000-0005-0000-0000-0000C6050000}"/>
    <cellStyle name="20% - Accent1 2 5 3 2 3" xfId="22631" xr:uid="{00000000-0005-0000-0000-0000C7050000}"/>
    <cellStyle name="20% - Accent1 2 5 3 2 4" xfId="32356" xr:uid="{00000000-0005-0000-0000-0000C8050000}"/>
    <cellStyle name="20% - Accent1 2 5 3 2 5" xfId="42081" xr:uid="{00000000-0005-0000-0000-0000C9050000}"/>
    <cellStyle name="20% - Accent1 2 5 3 2 6" xfId="12906" xr:uid="{00000000-0005-0000-0000-0000CA050000}"/>
    <cellStyle name="20% - Accent1 2 5 3 3" xfId="4800" xr:uid="{00000000-0005-0000-0000-0000CB050000}"/>
    <cellStyle name="20% - Accent1 2 5 3 3 2" xfId="9662" xr:uid="{00000000-0005-0000-0000-0000CC050000}"/>
    <cellStyle name="20% - Accent1 2 5 3 3 2 2" xfId="29113" xr:uid="{00000000-0005-0000-0000-0000CD050000}"/>
    <cellStyle name="20% - Accent1 2 5 3 3 2 3" xfId="38838" xr:uid="{00000000-0005-0000-0000-0000CE050000}"/>
    <cellStyle name="20% - Accent1 2 5 3 3 2 4" xfId="48563" xr:uid="{00000000-0005-0000-0000-0000CF050000}"/>
    <cellStyle name="20% - Accent1 2 5 3 3 2 5" xfId="19388" xr:uid="{00000000-0005-0000-0000-0000D0050000}"/>
    <cellStyle name="20% - Accent1 2 5 3 3 3" xfId="24251" xr:uid="{00000000-0005-0000-0000-0000D1050000}"/>
    <cellStyle name="20% - Accent1 2 5 3 3 4" xfId="33976" xr:uid="{00000000-0005-0000-0000-0000D2050000}"/>
    <cellStyle name="20% - Accent1 2 5 3 3 5" xfId="43701" xr:uid="{00000000-0005-0000-0000-0000D3050000}"/>
    <cellStyle name="20% - Accent1 2 5 3 3 6" xfId="14526" xr:uid="{00000000-0005-0000-0000-0000D4050000}"/>
    <cellStyle name="20% - Accent1 2 5 3 4" xfId="6422" xr:uid="{00000000-0005-0000-0000-0000D5050000}"/>
    <cellStyle name="20% - Accent1 2 5 3 4 2" xfId="25873" xr:uid="{00000000-0005-0000-0000-0000D6050000}"/>
    <cellStyle name="20% - Accent1 2 5 3 4 3" xfId="35598" xr:uid="{00000000-0005-0000-0000-0000D7050000}"/>
    <cellStyle name="20% - Accent1 2 5 3 4 4" xfId="45323" xr:uid="{00000000-0005-0000-0000-0000D8050000}"/>
    <cellStyle name="20% - Accent1 2 5 3 4 5" xfId="16148" xr:uid="{00000000-0005-0000-0000-0000D9050000}"/>
    <cellStyle name="20% - Accent1 2 5 3 5" xfId="21011" xr:uid="{00000000-0005-0000-0000-0000DA050000}"/>
    <cellStyle name="20% - Accent1 2 5 3 6" xfId="30736" xr:uid="{00000000-0005-0000-0000-0000DB050000}"/>
    <cellStyle name="20% - Accent1 2 5 3 7" xfId="40461" xr:uid="{00000000-0005-0000-0000-0000DC050000}"/>
    <cellStyle name="20% - Accent1 2 5 3 8" xfId="11286" xr:uid="{00000000-0005-0000-0000-0000DD050000}"/>
    <cellStyle name="20% - Accent1 2 5 4" xfId="730" xr:uid="{00000000-0005-0000-0000-0000DE050000}"/>
    <cellStyle name="20% - Accent1 2 5 4 2" xfId="2370" xr:uid="{00000000-0005-0000-0000-0000DF050000}"/>
    <cellStyle name="20% - Accent1 2 5 4 2 2" xfId="7232" xr:uid="{00000000-0005-0000-0000-0000E0050000}"/>
    <cellStyle name="20% - Accent1 2 5 4 2 2 2" xfId="26683" xr:uid="{00000000-0005-0000-0000-0000E1050000}"/>
    <cellStyle name="20% - Accent1 2 5 4 2 2 3" xfId="36408" xr:uid="{00000000-0005-0000-0000-0000E2050000}"/>
    <cellStyle name="20% - Accent1 2 5 4 2 2 4" xfId="46133" xr:uid="{00000000-0005-0000-0000-0000E3050000}"/>
    <cellStyle name="20% - Accent1 2 5 4 2 2 5" xfId="16958" xr:uid="{00000000-0005-0000-0000-0000E4050000}"/>
    <cellStyle name="20% - Accent1 2 5 4 2 3" xfId="21821" xr:uid="{00000000-0005-0000-0000-0000E5050000}"/>
    <cellStyle name="20% - Accent1 2 5 4 2 4" xfId="31546" xr:uid="{00000000-0005-0000-0000-0000E6050000}"/>
    <cellStyle name="20% - Accent1 2 5 4 2 5" xfId="41271" xr:uid="{00000000-0005-0000-0000-0000E7050000}"/>
    <cellStyle name="20% - Accent1 2 5 4 2 6" xfId="12096" xr:uid="{00000000-0005-0000-0000-0000E8050000}"/>
    <cellStyle name="20% - Accent1 2 5 4 3" xfId="3990" xr:uid="{00000000-0005-0000-0000-0000E9050000}"/>
    <cellStyle name="20% - Accent1 2 5 4 3 2" xfId="8852" xr:uid="{00000000-0005-0000-0000-0000EA050000}"/>
    <cellStyle name="20% - Accent1 2 5 4 3 2 2" xfId="28303" xr:uid="{00000000-0005-0000-0000-0000EB050000}"/>
    <cellStyle name="20% - Accent1 2 5 4 3 2 3" xfId="38028" xr:uid="{00000000-0005-0000-0000-0000EC050000}"/>
    <cellStyle name="20% - Accent1 2 5 4 3 2 4" xfId="47753" xr:uid="{00000000-0005-0000-0000-0000ED050000}"/>
    <cellStyle name="20% - Accent1 2 5 4 3 2 5" xfId="18578" xr:uid="{00000000-0005-0000-0000-0000EE050000}"/>
    <cellStyle name="20% - Accent1 2 5 4 3 3" xfId="23441" xr:uid="{00000000-0005-0000-0000-0000EF050000}"/>
    <cellStyle name="20% - Accent1 2 5 4 3 4" xfId="33166" xr:uid="{00000000-0005-0000-0000-0000F0050000}"/>
    <cellStyle name="20% - Accent1 2 5 4 3 5" xfId="42891" xr:uid="{00000000-0005-0000-0000-0000F1050000}"/>
    <cellStyle name="20% - Accent1 2 5 4 3 6" xfId="13716" xr:uid="{00000000-0005-0000-0000-0000F2050000}"/>
    <cellStyle name="20% - Accent1 2 5 4 4" xfId="5612" xr:uid="{00000000-0005-0000-0000-0000F3050000}"/>
    <cellStyle name="20% - Accent1 2 5 4 4 2" xfId="25063" xr:uid="{00000000-0005-0000-0000-0000F4050000}"/>
    <cellStyle name="20% - Accent1 2 5 4 4 3" xfId="34788" xr:uid="{00000000-0005-0000-0000-0000F5050000}"/>
    <cellStyle name="20% - Accent1 2 5 4 4 4" xfId="44513" xr:uid="{00000000-0005-0000-0000-0000F6050000}"/>
    <cellStyle name="20% - Accent1 2 5 4 4 5" xfId="15338" xr:uid="{00000000-0005-0000-0000-0000F7050000}"/>
    <cellStyle name="20% - Accent1 2 5 4 5" xfId="20201" xr:uid="{00000000-0005-0000-0000-0000F8050000}"/>
    <cellStyle name="20% - Accent1 2 5 4 6" xfId="29926" xr:uid="{00000000-0005-0000-0000-0000F9050000}"/>
    <cellStyle name="20% - Accent1 2 5 4 7" xfId="39651" xr:uid="{00000000-0005-0000-0000-0000FA050000}"/>
    <cellStyle name="20% - Accent1 2 5 4 8" xfId="10476" xr:uid="{00000000-0005-0000-0000-0000FB050000}"/>
    <cellStyle name="20% - Accent1 2 5 5" xfId="2010" xr:uid="{00000000-0005-0000-0000-0000FC050000}"/>
    <cellStyle name="20% - Accent1 2 5 5 2" xfId="6872" xr:uid="{00000000-0005-0000-0000-0000FD050000}"/>
    <cellStyle name="20% - Accent1 2 5 5 2 2" xfId="26323" xr:uid="{00000000-0005-0000-0000-0000FE050000}"/>
    <cellStyle name="20% - Accent1 2 5 5 2 3" xfId="36048" xr:uid="{00000000-0005-0000-0000-0000FF050000}"/>
    <cellStyle name="20% - Accent1 2 5 5 2 4" xfId="45773" xr:uid="{00000000-0005-0000-0000-000000060000}"/>
    <cellStyle name="20% - Accent1 2 5 5 2 5" xfId="16598" xr:uid="{00000000-0005-0000-0000-000001060000}"/>
    <cellStyle name="20% - Accent1 2 5 5 3" xfId="21461" xr:uid="{00000000-0005-0000-0000-000002060000}"/>
    <cellStyle name="20% - Accent1 2 5 5 4" xfId="31186" xr:uid="{00000000-0005-0000-0000-000003060000}"/>
    <cellStyle name="20% - Accent1 2 5 5 5" xfId="40911" xr:uid="{00000000-0005-0000-0000-000004060000}"/>
    <cellStyle name="20% - Accent1 2 5 5 6" xfId="11736" xr:uid="{00000000-0005-0000-0000-000005060000}"/>
    <cellStyle name="20% - Accent1 2 5 6" xfId="3630" xr:uid="{00000000-0005-0000-0000-000006060000}"/>
    <cellStyle name="20% - Accent1 2 5 6 2" xfId="8492" xr:uid="{00000000-0005-0000-0000-000007060000}"/>
    <cellStyle name="20% - Accent1 2 5 6 2 2" xfId="27943" xr:uid="{00000000-0005-0000-0000-000008060000}"/>
    <cellStyle name="20% - Accent1 2 5 6 2 3" xfId="37668" xr:uid="{00000000-0005-0000-0000-000009060000}"/>
    <cellStyle name="20% - Accent1 2 5 6 2 4" xfId="47393" xr:uid="{00000000-0005-0000-0000-00000A060000}"/>
    <cellStyle name="20% - Accent1 2 5 6 2 5" xfId="18218" xr:uid="{00000000-0005-0000-0000-00000B060000}"/>
    <cellStyle name="20% - Accent1 2 5 6 3" xfId="23081" xr:uid="{00000000-0005-0000-0000-00000C060000}"/>
    <cellStyle name="20% - Accent1 2 5 6 4" xfId="32806" xr:uid="{00000000-0005-0000-0000-00000D060000}"/>
    <cellStyle name="20% - Accent1 2 5 6 5" xfId="42531" xr:uid="{00000000-0005-0000-0000-00000E060000}"/>
    <cellStyle name="20% - Accent1 2 5 6 6" xfId="13356" xr:uid="{00000000-0005-0000-0000-00000F060000}"/>
    <cellStyle name="20% - Accent1 2 5 7" xfId="5252" xr:uid="{00000000-0005-0000-0000-000010060000}"/>
    <cellStyle name="20% - Accent1 2 5 7 2" xfId="24703" xr:uid="{00000000-0005-0000-0000-000011060000}"/>
    <cellStyle name="20% - Accent1 2 5 7 3" xfId="34428" xr:uid="{00000000-0005-0000-0000-000012060000}"/>
    <cellStyle name="20% - Accent1 2 5 7 4" xfId="44153" xr:uid="{00000000-0005-0000-0000-000013060000}"/>
    <cellStyle name="20% - Accent1 2 5 7 5" xfId="14978" xr:uid="{00000000-0005-0000-0000-000014060000}"/>
    <cellStyle name="20% - Accent1 2 5 8" xfId="19841" xr:uid="{00000000-0005-0000-0000-000015060000}"/>
    <cellStyle name="20% - Accent1 2 5 9" xfId="29566" xr:uid="{00000000-0005-0000-0000-000016060000}"/>
    <cellStyle name="20% - Accent1 2 6" xfId="147" xr:uid="{00000000-0005-0000-0000-000017060000}"/>
    <cellStyle name="20% - Accent1 2 6 10" xfId="39111" xr:uid="{00000000-0005-0000-0000-000018060000}"/>
    <cellStyle name="20% - Accent1 2 6 11" xfId="9936" xr:uid="{00000000-0005-0000-0000-000019060000}"/>
    <cellStyle name="20% - Accent1 2 6 2" xfId="911" xr:uid="{00000000-0005-0000-0000-00001A060000}"/>
    <cellStyle name="20% - Accent1 2 6 2 2" xfId="2550" xr:uid="{00000000-0005-0000-0000-00001B060000}"/>
    <cellStyle name="20% - Accent1 2 6 2 2 2" xfId="7412" xr:uid="{00000000-0005-0000-0000-00001C060000}"/>
    <cellStyle name="20% - Accent1 2 6 2 2 2 2" xfId="26863" xr:uid="{00000000-0005-0000-0000-00001D060000}"/>
    <cellStyle name="20% - Accent1 2 6 2 2 2 3" xfId="36588" xr:uid="{00000000-0005-0000-0000-00001E060000}"/>
    <cellStyle name="20% - Accent1 2 6 2 2 2 4" xfId="46313" xr:uid="{00000000-0005-0000-0000-00001F060000}"/>
    <cellStyle name="20% - Accent1 2 6 2 2 2 5" xfId="17138" xr:uid="{00000000-0005-0000-0000-000020060000}"/>
    <cellStyle name="20% - Accent1 2 6 2 2 3" xfId="22001" xr:uid="{00000000-0005-0000-0000-000021060000}"/>
    <cellStyle name="20% - Accent1 2 6 2 2 4" xfId="31726" xr:uid="{00000000-0005-0000-0000-000022060000}"/>
    <cellStyle name="20% - Accent1 2 6 2 2 5" xfId="41451" xr:uid="{00000000-0005-0000-0000-000023060000}"/>
    <cellStyle name="20% - Accent1 2 6 2 2 6" xfId="12276" xr:uid="{00000000-0005-0000-0000-000024060000}"/>
    <cellStyle name="20% - Accent1 2 6 2 3" xfId="4170" xr:uid="{00000000-0005-0000-0000-000025060000}"/>
    <cellStyle name="20% - Accent1 2 6 2 3 2" xfId="9032" xr:uid="{00000000-0005-0000-0000-000026060000}"/>
    <cellStyle name="20% - Accent1 2 6 2 3 2 2" xfId="28483" xr:uid="{00000000-0005-0000-0000-000027060000}"/>
    <cellStyle name="20% - Accent1 2 6 2 3 2 3" xfId="38208" xr:uid="{00000000-0005-0000-0000-000028060000}"/>
    <cellStyle name="20% - Accent1 2 6 2 3 2 4" xfId="47933" xr:uid="{00000000-0005-0000-0000-000029060000}"/>
    <cellStyle name="20% - Accent1 2 6 2 3 2 5" xfId="18758" xr:uid="{00000000-0005-0000-0000-00002A060000}"/>
    <cellStyle name="20% - Accent1 2 6 2 3 3" xfId="23621" xr:uid="{00000000-0005-0000-0000-00002B060000}"/>
    <cellStyle name="20% - Accent1 2 6 2 3 4" xfId="33346" xr:uid="{00000000-0005-0000-0000-00002C060000}"/>
    <cellStyle name="20% - Accent1 2 6 2 3 5" xfId="43071" xr:uid="{00000000-0005-0000-0000-00002D060000}"/>
    <cellStyle name="20% - Accent1 2 6 2 3 6" xfId="13896" xr:uid="{00000000-0005-0000-0000-00002E060000}"/>
    <cellStyle name="20% - Accent1 2 6 2 4" xfId="5792" xr:uid="{00000000-0005-0000-0000-00002F060000}"/>
    <cellStyle name="20% - Accent1 2 6 2 4 2" xfId="25243" xr:uid="{00000000-0005-0000-0000-000030060000}"/>
    <cellStyle name="20% - Accent1 2 6 2 4 3" xfId="34968" xr:uid="{00000000-0005-0000-0000-000031060000}"/>
    <cellStyle name="20% - Accent1 2 6 2 4 4" xfId="44693" xr:uid="{00000000-0005-0000-0000-000032060000}"/>
    <cellStyle name="20% - Accent1 2 6 2 4 5" xfId="15518" xr:uid="{00000000-0005-0000-0000-000033060000}"/>
    <cellStyle name="20% - Accent1 2 6 2 5" xfId="20381" xr:uid="{00000000-0005-0000-0000-000034060000}"/>
    <cellStyle name="20% - Accent1 2 6 2 6" xfId="30106" xr:uid="{00000000-0005-0000-0000-000035060000}"/>
    <cellStyle name="20% - Accent1 2 6 2 7" xfId="39831" xr:uid="{00000000-0005-0000-0000-000036060000}"/>
    <cellStyle name="20% - Accent1 2 6 2 8" xfId="10656" xr:uid="{00000000-0005-0000-0000-000037060000}"/>
    <cellStyle name="20% - Accent1 2 6 3" xfId="1379" xr:uid="{00000000-0005-0000-0000-000038060000}"/>
    <cellStyle name="20% - Accent1 2 6 3 2" xfId="3000" xr:uid="{00000000-0005-0000-0000-000039060000}"/>
    <cellStyle name="20% - Accent1 2 6 3 2 2" xfId="7862" xr:uid="{00000000-0005-0000-0000-00003A060000}"/>
    <cellStyle name="20% - Accent1 2 6 3 2 2 2" xfId="27313" xr:uid="{00000000-0005-0000-0000-00003B060000}"/>
    <cellStyle name="20% - Accent1 2 6 3 2 2 3" xfId="37038" xr:uid="{00000000-0005-0000-0000-00003C060000}"/>
    <cellStyle name="20% - Accent1 2 6 3 2 2 4" xfId="46763" xr:uid="{00000000-0005-0000-0000-00003D060000}"/>
    <cellStyle name="20% - Accent1 2 6 3 2 2 5" xfId="17588" xr:uid="{00000000-0005-0000-0000-00003E060000}"/>
    <cellStyle name="20% - Accent1 2 6 3 2 3" xfId="22451" xr:uid="{00000000-0005-0000-0000-00003F060000}"/>
    <cellStyle name="20% - Accent1 2 6 3 2 4" xfId="32176" xr:uid="{00000000-0005-0000-0000-000040060000}"/>
    <cellStyle name="20% - Accent1 2 6 3 2 5" xfId="41901" xr:uid="{00000000-0005-0000-0000-000041060000}"/>
    <cellStyle name="20% - Accent1 2 6 3 2 6" xfId="12726" xr:uid="{00000000-0005-0000-0000-000042060000}"/>
    <cellStyle name="20% - Accent1 2 6 3 3" xfId="4620" xr:uid="{00000000-0005-0000-0000-000043060000}"/>
    <cellStyle name="20% - Accent1 2 6 3 3 2" xfId="9482" xr:uid="{00000000-0005-0000-0000-000044060000}"/>
    <cellStyle name="20% - Accent1 2 6 3 3 2 2" xfId="28933" xr:uid="{00000000-0005-0000-0000-000045060000}"/>
    <cellStyle name="20% - Accent1 2 6 3 3 2 3" xfId="38658" xr:uid="{00000000-0005-0000-0000-000046060000}"/>
    <cellStyle name="20% - Accent1 2 6 3 3 2 4" xfId="48383" xr:uid="{00000000-0005-0000-0000-000047060000}"/>
    <cellStyle name="20% - Accent1 2 6 3 3 2 5" xfId="19208" xr:uid="{00000000-0005-0000-0000-000048060000}"/>
    <cellStyle name="20% - Accent1 2 6 3 3 3" xfId="24071" xr:uid="{00000000-0005-0000-0000-000049060000}"/>
    <cellStyle name="20% - Accent1 2 6 3 3 4" xfId="33796" xr:uid="{00000000-0005-0000-0000-00004A060000}"/>
    <cellStyle name="20% - Accent1 2 6 3 3 5" xfId="43521" xr:uid="{00000000-0005-0000-0000-00004B060000}"/>
    <cellStyle name="20% - Accent1 2 6 3 3 6" xfId="14346" xr:uid="{00000000-0005-0000-0000-00004C060000}"/>
    <cellStyle name="20% - Accent1 2 6 3 4" xfId="6242" xr:uid="{00000000-0005-0000-0000-00004D060000}"/>
    <cellStyle name="20% - Accent1 2 6 3 4 2" xfId="25693" xr:uid="{00000000-0005-0000-0000-00004E060000}"/>
    <cellStyle name="20% - Accent1 2 6 3 4 3" xfId="35418" xr:uid="{00000000-0005-0000-0000-00004F060000}"/>
    <cellStyle name="20% - Accent1 2 6 3 4 4" xfId="45143" xr:uid="{00000000-0005-0000-0000-000050060000}"/>
    <cellStyle name="20% - Accent1 2 6 3 4 5" xfId="15968" xr:uid="{00000000-0005-0000-0000-000051060000}"/>
    <cellStyle name="20% - Accent1 2 6 3 5" xfId="20831" xr:uid="{00000000-0005-0000-0000-000052060000}"/>
    <cellStyle name="20% - Accent1 2 6 3 6" xfId="30556" xr:uid="{00000000-0005-0000-0000-000053060000}"/>
    <cellStyle name="20% - Accent1 2 6 3 7" xfId="40281" xr:uid="{00000000-0005-0000-0000-000054060000}"/>
    <cellStyle name="20% - Accent1 2 6 3 8" xfId="11106" xr:uid="{00000000-0005-0000-0000-000055060000}"/>
    <cellStyle name="20% - Accent1 2 6 4" xfId="550" xr:uid="{00000000-0005-0000-0000-000056060000}"/>
    <cellStyle name="20% - Accent1 2 6 4 2" xfId="2190" xr:uid="{00000000-0005-0000-0000-000057060000}"/>
    <cellStyle name="20% - Accent1 2 6 4 2 2" xfId="7052" xr:uid="{00000000-0005-0000-0000-000058060000}"/>
    <cellStyle name="20% - Accent1 2 6 4 2 2 2" xfId="26503" xr:uid="{00000000-0005-0000-0000-000059060000}"/>
    <cellStyle name="20% - Accent1 2 6 4 2 2 3" xfId="36228" xr:uid="{00000000-0005-0000-0000-00005A060000}"/>
    <cellStyle name="20% - Accent1 2 6 4 2 2 4" xfId="45953" xr:uid="{00000000-0005-0000-0000-00005B060000}"/>
    <cellStyle name="20% - Accent1 2 6 4 2 2 5" xfId="16778" xr:uid="{00000000-0005-0000-0000-00005C060000}"/>
    <cellStyle name="20% - Accent1 2 6 4 2 3" xfId="21641" xr:uid="{00000000-0005-0000-0000-00005D060000}"/>
    <cellStyle name="20% - Accent1 2 6 4 2 4" xfId="31366" xr:uid="{00000000-0005-0000-0000-00005E060000}"/>
    <cellStyle name="20% - Accent1 2 6 4 2 5" xfId="41091" xr:uid="{00000000-0005-0000-0000-00005F060000}"/>
    <cellStyle name="20% - Accent1 2 6 4 2 6" xfId="11916" xr:uid="{00000000-0005-0000-0000-000060060000}"/>
    <cellStyle name="20% - Accent1 2 6 4 3" xfId="3810" xr:uid="{00000000-0005-0000-0000-000061060000}"/>
    <cellStyle name="20% - Accent1 2 6 4 3 2" xfId="8672" xr:uid="{00000000-0005-0000-0000-000062060000}"/>
    <cellStyle name="20% - Accent1 2 6 4 3 2 2" xfId="28123" xr:uid="{00000000-0005-0000-0000-000063060000}"/>
    <cellStyle name="20% - Accent1 2 6 4 3 2 3" xfId="37848" xr:uid="{00000000-0005-0000-0000-000064060000}"/>
    <cellStyle name="20% - Accent1 2 6 4 3 2 4" xfId="47573" xr:uid="{00000000-0005-0000-0000-000065060000}"/>
    <cellStyle name="20% - Accent1 2 6 4 3 2 5" xfId="18398" xr:uid="{00000000-0005-0000-0000-000066060000}"/>
    <cellStyle name="20% - Accent1 2 6 4 3 3" xfId="23261" xr:uid="{00000000-0005-0000-0000-000067060000}"/>
    <cellStyle name="20% - Accent1 2 6 4 3 4" xfId="32986" xr:uid="{00000000-0005-0000-0000-000068060000}"/>
    <cellStyle name="20% - Accent1 2 6 4 3 5" xfId="42711" xr:uid="{00000000-0005-0000-0000-000069060000}"/>
    <cellStyle name="20% - Accent1 2 6 4 3 6" xfId="13536" xr:uid="{00000000-0005-0000-0000-00006A060000}"/>
    <cellStyle name="20% - Accent1 2 6 4 4" xfId="5432" xr:uid="{00000000-0005-0000-0000-00006B060000}"/>
    <cellStyle name="20% - Accent1 2 6 4 4 2" xfId="24883" xr:uid="{00000000-0005-0000-0000-00006C060000}"/>
    <cellStyle name="20% - Accent1 2 6 4 4 3" xfId="34608" xr:uid="{00000000-0005-0000-0000-00006D060000}"/>
    <cellStyle name="20% - Accent1 2 6 4 4 4" xfId="44333" xr:uid="{00000000-0005-0000-0000-00006E060000}"/>
    <cellStyle name="20% - Accent1 2 6 4 4 5" xfId="15158" xr:uid="{00000000-0005-0000-0000-00006F060000}"/>
    <cellStyle name="20% - Accent1 2 6 4 5" xfId="20021" xr:uid="{00000000-0005-0000-0000-000070060000}"/>
    <cellStyle name="20% - Accent1 2 6 4 6" xfId="29746" xr:uid="{00000000-0005-0000-0000-000071060000}"/>
    <cellStyle name="20% - Accent1 2 6 4 7" xfId="39471" xr:uid="{00000000-0005-0000-0000-000072060000}"/>
    <cellStyle name="20% - Accent1 2 6 4 8" xfId="10296" xr:uid="{00000000-0005-0000-0000-000073060000}"/>
    <cellStyle name="20% - Accent1 2 6 5" xfId="1830" xr:uid="{00000000-0005-0000-0000-000074060000}"/>
    <cellStyle name="20% - Accent1 2 6 5 2" xfId="6692" xr:uid="{00000000-0005-0000-0000-000075060000}"/>
    <cellStyle name="20% - Accent1 2 6 5 2 2" xfId="26143" xr:uid="{00000000-0005-0000-0000-000076060000}"/>
    <cellStyle name="20% - Accent1 2 6 5 2 3" xfId="35868" xr:uid="{00000000-0005-0000-0000-000077060000}"/>
    <cellStyle name="20% - Accent1 2 6 5 2 4" xfId="45593" xr:uid="{00000000-0005-0000-0000-000078060000}"/>
    <cellStyle name="20% - Accent1 2 6 5 2 5" xfId="16418" xr:uid="{00000000-0005-0000-0000-000079060000}"/>
    <cellStyle name="20% - Accent1 2 6 5 3" xfId="21281" xr:uid="{00000000-0005-0000-0000-00007A060000}"/>
    <cellStyle name="20% - Accent1 2 6 5 4" xfId="31006" xr:uid="{00000000-0005-0000-0000-00007B060000}"/>
    <cellStyle name="20% - Accent1 2 6 5 5" xfId="40731" xr:uid="{00000000-0005-0000-0000-00007C060000}"/>
    <cellStyle name="20% - Accent1 2 6 5 6" xfId="11556" xr:uid="{00000000-0005-0000-0000-00007D060000}"/>
    <cellStyle name="20% - Accent1 2 6 6" xfId="3450" xr:uid="{00000000-0005-0000-0000-00007E060000}"/>
    <cellStyle name="20% - Accent1 2 6 6 2" xfId="8312" xr:uid="{00000000-0005-0000-0000-00007F060000}"/>
    <cellStyle name="20% - Accent1 2 6 6 2 2" xfId="27763" xr:uid="{00000000-0005-0000-0000-000080060000}"/>
    <cellStyle name="20% - Accent1 2 6 6 2 3" xfId="37488" xr:uid="{00000000-0005-0000-0000-000081060000}"/>
    <cellStyle name="20% - Accent1 2 6 6 2 4" xfId="47213" xr:uid="{00000000-0005-0000-0000-000082060000}"/>
    <cellStyle name="20% - Accent1 2 6 6 2 5" xfId="18038" xr:uid="{00000000-0005-0000-0000-000083060000}"/>
    <cellStyle name="20% - Accent1 2 6 6 3" xfId="22901" xr:uid="{00000000-0005-0000-0000-000084060000}"/>
    <cellStyle name="20% - Accent1 2 6 6 4" xfId="32626" xr:uid="{00000000-0005-0000-0000-000085060000}"/>
    <cellStyle name="20% - Accent1 2 6 6 5" xfId="42351" xr:uid="{00000000-0005-0000-0000-000086060000}"/>
    <cellStyle name="20% - Accent1 2 6 6 6" xfId="13176" xr:uid="{00000000-0005-0000-0000-000087060000}"/>
    <cellStyle name="20% - Accent1 2 6 7" xfId="5072" xr:uid="{00000000-0005-0000-0000-000088060000}"/>
    <cellStyle name="20% - Accent1 2 6 7 2" xfId="24523" xr:uid="{00000000-0005-0000-0000-000089060000}"/>
    <cellStyle name="20% - Accent1 2 6 7 3" xfId="34248" xr:uid="{00000000-0005-0000-0000-00008A060000}"/>
    <cellStyle name="20% - Accent1 2 6 7 4" xfId="43973" xr:uid="{00000000-0005-0000-0000-00008B060000}"/>
    <cellStyle name="20% - Accent1 2 6 7 5" xfId="14798" xr:uid="{00000000-0005-0000-0000-00008C060000}"/>
    <cellStyle name="20% - Accent1 2 6 8" xfId="19661" xr:uid="{00000000-0005-0000-0000-00008D060000}"/>
    <cellStyle name="20% - Accent1 2 6 9" xfId="29386" xr:uid="{00000000-0005-0000-0000-00008E060000}"/>
    <cellStyle name="20% - Accent1 2 7" xfId="821" xr:uid="{00000000-0005-0000-0000-00008F060000}"/>
    <cellStyle name="20% - Accent1 2 7 2" xfId="2460" xr:uid="{00000000-0005-0000-0000-000090060000}"/>
    <cellStyle name="20% - Accent1 2 7 2 2" xfId="7322" xr:uid="{00000000-0005-0000-0000-000091060000}"/>
    <cellStyle name="20% - Accent1 2 7 2 2 2" xfId="26773" xr:uid="{00000000-0005-0000-0000-000092060000}"/>
    <cellStyle name="20% - Accent1 2 7 2 2 3" xfId="36498" xr:uid="{00000000-0005-0000-0000-000093060000}"/>
    <cellStyle name="20% - Accent1 2 7 2 2 4" xfId="46223" xr:uid="{00000000-0005-0000-0000-000094060000}"/>
    <cellStyle name="20% - Accent1 2 7 2 2 5" xfId="17048" xr:uid="{00000000-0005-0000-0000-000095060000}"/>
    <cellStyle name="20% - Accent1 2 7 2 3" xfId="21911" xr:uid="{00000000-0005-0000-0000-000096060000}"/>
    <cellStyle name="20% - Accent1 2 7 2 4" xfId="31636" xr:uid="{00000000-0005-0000-0000-000097060000}"/>
    <cellStyle name="20% - Accent1 2 7 2 5" xfId="41361" xr:uid="{00000000-0005-0000-0000-000098060000}"/>
    <cellStyle name="20% - Accent1 2 7 2 6" xfId="12186" xr:uid="{00000000-0005-0000-0000-000099060000}"/>
    <cellStyle name="20% - Accent1 2 7 3" xfId="4080" xr:uid="{00000000-0005-0000-0000-00009A060000}"/>
    <cellStyle name="20% - Accent1 2 7 3 2" xfId="8942" xr:uid="{00000000-0005-0000-0000-00009B060000}"/>
    <cellStyle name="20% - Accent1 2 7 3 2 2" xfId="28393" xr:uid="{00000000-0005-0000-0000-00009C060000}"/>
    <cellStyle name="20% - Accent1 2 7 3 2 3" xfId="38118" xr:uid="{00000000-0005-0000-0000-00009D060000}"/>
    <cellStyle name="20% - Accent1 2 7 3 2 4" xfId="47843" xr:uid="{00000000-0005-0000-0000-00009E060000}"/>
    <cellStyle name="20% - Accent1 2 7 3 2 5" xfId="18668" xr:uid="{00000000-0005-0000-0000-00009F060000}"/>
    <cellStyle name="20% - Accent1 2 7 3 3" xfId="23531" xr:uid="{00000000-0005-0000-0000-0000A0060000}"/>
    <cellStyle name="20% - Accent1 2 7 3 4" xfId="33256" xr:uid="{00000000-0005-0000-0000-0000A1060000}"/>
    <cellStyle name="20% - Accent1 2 7 3 5" xfId="42981" xr:uid="{00000000-0005-0000-0000-0000A2060000}"/>
    <cellStyle name="20% - Accent1 2 7 3 6" xfId="13806" xr:uid="{00000000-0005-0000-0000-0000A3060000}"/>
    <cellStyle name="20% - Accent1 2 7 4" xfId="5702" xr:uid="{00000000-0005-0000-0000-0000A4060000}"/>
    <cellStyle name="20% - Accent1 2 7 4 2" xfId="25153" xr:uid="{00000000-0005-0000-0000-0000A5060000}"/>
    <cellStyle name="20% - Accent1 2 7 4 3" xfId="34878" xr:uid="{00000000-0005-0000-0000-0000A6060000}"/>
    <cellStyle name="20% - Accent1 2 7 4 4" xfId="44603" xr:uid="{00000000-0005-0000-0000-0000A7060000}"/>
    <cellStyle name="20% - Accent1 2 7 4 5" xfId="15428" xr:uid="{00000000-0005-0000-0000-0000A8060000}"/>
    <cellStyle name="20% - Accent1 2 7 5" xfId="20291" xr:uid="{00000000-0005-0000-0000-0000A9060000}"/>
    <cellStyle name="20% - Accent1 2 7 6" xfId="30016" xr:uid="{00000000-0005-0000-0000-0000AA060000}"/>
    <cellStyle name="20% - Accent1 2 7 7" xfId="39741" xr:uid="{00000000-0005-0000-0000-0000AB060000}"/>
    <cellStyle name="20% - Accent1 2 7 8" xfId="10566" xr:uid="{00000000-0005-0000-0000-0000AC060000}"/>
    <cellStyle name="20% - Accent1 2 8" xfId="1199" xr:uid="{00000000-0005-0000-0000-0000AD060000}"/>
    <cellStyle name="20% - Accent1 2 8 2" xfId="2820" xr:uid="{00000000-0005-0000-0000-0000AE060000}"/>
    <cellStyle name="20% - Accent1 2 8 2 2" xfId="7682" xr:uid="{00000000-0005-0000-0000-0000AF060000}"/>
    <cellStyle name="20% - Accent1 2 8 2 2 2" xfId="27133" xr:uid="{00000000-0005-0000-0000-0000B0060000}"/>
    <cellStyle name="20% - Accent1 2 8 2 2 3" xfId="36858" xr:uid="{00000000-0005-0000-0000-0000B1060000}"/>
    <cellStyle name="20% - Accent1 2 8 2 2 4" xfId="46583" xr:uid="{00000000-0005-0000-0000-0000B2060000}"/>
    <cellStyle name="20% - Accent1 2 8 2 2 5" xfId="17408" xr:uid="{00000000-0005-0000-0000-0000B3060000}"/>
    <cellStyle name="20% - Accent1 2 8 2 3" xfId="22271" xr:uid="{00000000-0005-0000-0000-0000B4060000}"/>
    <cellStyle name="20% - Accent1 2 8 2 4" xfId="31996" xr:uid="{00000000-0005-0000-0000-0000B5060000}"/>
    <cellStyle name="20% - Accent1 2 8 2 5" xfId="41721" xr:uid="{00000000-0005-0000-0000-0000B6060000}"/>
    <cellStyle name="20% - Accent1 2 8 2 6" xfId="12546" xr:uid="{00000000-0005-0000-0000-0000B7060000}"/>
    <cellStyle name="20% - Accent1 2 8 3" xfId="4440" xr:uid="{00000000-0005-0000-0000-0000B8060000}"/>
    <cellStyle name="20% - Accent1 2 8 3 2" xfId="9302" xr:uid="{00000000-0005-0000-0000-0000B9060000}"/>
    <cellStyle name="20% - Accent1 2 8 3 2 2" xfId="28753" xr:uid="{00000000-0005-0000-0000-0000BA060000}"/>
    <cellStyle name="20% - Accent1 2 8 3 2 3" xfId="38478" xr:uid="{00000000-0005-0000-0000-0000BB060000}"/>
    <cellStyle name="20% - Accent1 2 8 3 2 4" xfId="48203" xr:uid="{00000000-0005-0000-0000-0000BC060000}"/>
    <cellStyle name="20% - Accent1 2 8 3 2 5" xfId="19028" xr:uid="{00000000-0005-0000-0000-0000BD060000}"/>
    <cellStyle name="20% - Accent1 2 8 3 3" xfId="23891" xr:uid="{00000000-0005-0000-0000-0000BE060000}"/>
    <cellStyle name="20% - Accent1 2 8 3 4" xfId="33616" xr:uid="{00000000-0005-0000-0000-0000BF060000}"/>
    <cellStyle name="20% - Accent1 2 8 3 5" xfId="43341" xr:uid="{00000000-0005-0000-0000-0000C0060000}"/>
    <cellStyle name="20% - Accent1 2 8 3 6" xfId="14166" xr:uid="{00000000-0005-0000-0000-0000C1060000}"/>
    <cellStyle name="20% - Accent1 2 8 4" xfId="6062" xr:uid="{00000000-0005-0000-0000-0000C2060000}"/>
    <cellStyle name="20% - Accent1 2 8 4 2" xfId="25513" xr:uid="{00000000-0005-0000-0000-0000C3060000}"/>
    <cellStyle name="20% - Accent1 2 8 4 3" xfId="35238" xr:uid="{00000000-0005-0000-0000-0000C4060000}"/>
    <cellStyle name="20% - Accent1 2 8 4 4" xfId="44963" xr:uid="{00000000-0005-0000-0000-0000C5060000}"/>
    <cellStyle name="20% - Accent1 2 8 4 5" xfId="15788" xr:uid="{00000000-0005-0000-0000-0000C6060000}"/>
    <cellStyle name="20% - Accent1 2 8 5" xfId="20651" xr:uid="{00000000-0005-0000-0000-0000C7060000}"/>
    <cellStyle name="20% - Accent1 2 8 6" xfId="30376" xr:uid="{00000000-0005-0000-0000-0000C8060000}"/>
    <cellStyle name="20% - Accent1 2 8 7" xfId="40101" xr:uid="{00000000-0005-0000-0000-0000C9060000}"/>
    <cellStyle name="20% - Accent1 2 8 8" xfId="10926" xr:uid="{00000000-0005-0000-0000-0000CA060000}"/>
    <cellStyle name="20% - Accent1 2 9" xfId="1289" xr:uid="{00000000-0005-0000-0000-0000CB060000}"/>
    <cellStyle name="20% - Accent1 2 9 2" xfId="2910" xr:uid="{00000000-0005-0000-0000-0000CC060000}"/>
    <cellStyle name="20% - Accent1 2 9 2 2" xfId="7772" xr:uid="{00000000-0005-0000-0000-0000CD060000}"/>
    <cellStyle name="20% - Accent1 2 9 2 2 2" xfId="27223" xr:uid="{00000000-0005-0000-0000-0000CE060000}"/>
    <cellStyle name="20% - Accent1 2 9 2 2 3" xfId="36948" xr:uid="{00000000-0005-0000-0000-0000CF060000}"/>
    <cellStyle name="20% - Accent1 2 9 2 2 4" xfId="46673" xr:uid="{00000000-0005-0000-0000-0000D0060000}"/>
    <cellStyle name="20% - Accent1 2 9 2 2 5" xfId="17498" xr:uid="{00000000-0005-0000-0000-0000D1060000}"/>
    <cellStyle name="20% - Accent1 2 9 2 3" xfId="22361" xr:uid="{00000000-0005-0000-0000-0000D2060000}"/>
    <cellStyle name="20% - Accent1 2 9 2 4" xfId="32086" xr:uid="{00000000-0005-0000-0000-0000D3060000}"/>
    <cellStyle name="20% - Accent1 2 9 2 5" xfId="41811" xr:uid="{00000000-0005-0000-0000-0000D4060000}"/>
    <cellStyle name="20% - Accent1 2 9 2 6" xfId="12636" xr:uid="{00000000-0005-0000-0000-0000D5060000}"/>
    <cellStyle name="20% - Accent1 2 9 3" xfId="4530" xr:uid="{00000000-0005-0000-0000-0000D6060000}"/>
    <cellStyle name="20% - Accent1 2 9 3 2" xfId="9392" xr:uid="{00000000-0005-0000-0000-0000D7060000}"/>
    <cellStyle name="20% - Accent1 2 9 3 2 2" xfId="28843" xr:uid="{00000000-0005-0000-0000-0000D8060000}"/>
    <cellStyle name="20% - Accent1 2 9 3 2 3" xfId="38568" xr:uid="{00000000-0005-0000-0000-0000D9060000}"/>
    <cellStyle name="20% - Accent1 2 9 3 2 4" xfId="48293" xr:uid="{00000000-0005-0000-0000-0000DA060000}"/>
    <cellStyle name="20% - Accent1 2 9 3 2 5" xfId="19118" xr:uid="{00000000-0005-0000-0000-0000DB060000}"/>
    <cellStyle name="20% - Accent1 2 9 3 3" xfId="23981" xr:uid="{00000000-0005-0000-0000-0000DC060000}"/>
    <cellStyle name="20% - Accent1 2 9 3 4" xfId="33706" xr:uid="{00000000-0005-0000-0000-0000DD060000}"/>
    <cellStyle name="20% - Accent1 2 9 3 5" xfId="43431" xr:uid="{00000000-0005-0000-0000-0000DE060000}"/>
    <cellStyle name="20% - Accent1 2 9 3 6" xfId="14256" xr:uid="{00000000-0005-0000-0000-0000DF060000}"/>
    <cellStyle name="20% - Accent1 2 9 4" xfId="6152" xr:uid="{00000000-0005-0000-0000-0000E0060000}"/>
    <cellStyle name="20% - Accent1 2 9 4 2" xfId="25603" xr:uid="{00000000-0005-0000-0000-0000E1060000}"/>
    <cellStyle name="20% - Accent1 2 9 4 3" xfId="35328" xr:uid="{00000000-0005-0000-0000-0000E2060000}"/>
    <cellStyle name="20% - Accent1 2 9 4 4" xfId="45053" xr:uid="{00000000-0005-0000-0000-0000E3060000}"/>
    <cellStyle name="20% - Accent1 2 9 4 5" xfId="15878" xr:uid="{00000000-0005-0000-0000-0000E4060000}"/>
    <cellStyle name="20% - Accent1 2 9 5" xfId="20741" xr:uid="{00000000-0005-0000-0000-0000E5060000}"/>
    <cellStyle name="20% - Accent1 2 9 6" xfId="30466" xr:uid="{00000000-0005-0000-0000-0000E6060000}"/>
    <cellStyle name="20% - Accent1 2 9 7" xfId="40191" xr:uid="{00000000-0005-0000-0000-0000E7060000}"/>
    <cellStyle name="20% - Accent1 2 9 8" xfId="11016" xr:uid="{00000000-0005-0000-0000-0000E8060000}"/>
    <cellStyle name="20% - Accent1 2_Database (All)" xfId="1178" xr:uid="{00000000-0005-0000-0000-0000E9060000}"/>
    <cellStyle name="20% - Accent1 20" xfId="9832" xr:uid="{00000000-0005-0000-0000-0000EA060000}"/>
    <cellStyle name="20% - Accent1 3" xfId="72" xr:uid="{00000000-0005-0000-0000-0000EB060000}"/>
    <cellStyle name="20% - Accent1 3 10" xfId="1756" xr:uid="{00000000-0005-0000-0000-0000EC060000}"/>
    <cellStyle name="20% - Accent1 3 10 2" xfId="6618" xr:uid="{00000000-0005-0000-0000-0000ED060000}"/>
    <cellStyle name="20% - Accent1 3 10 2 2" xfId="26069" xr:uid="{00000000-0005-0000-0000-0000EE060000}"/>
    <cellStyle name="20% - Accent1 3 10 2 3" xfId="35794" xr:uid="{00000000-0005-0000-0000-0000EF060000}"/>
    <cellStyle name="20% - Accent1 3 10 2 4" xfId="45519" xr:uid="{00000000-0005-0000-0000-0000F0060000}"/>
    <cellStyle name="20% - Accent1 3 10 2 5" xfId="16344" xr:uid="{00000000-0005-0000-0000-0000F1060000}"/>
    <cellStyle name="20% - Accent1 3 10 3" xfId="21207" xr:uid="{00000000-0005-0000-0000-0000F2060000}"/>
    <cellStyle name="20% - Accent1 3 10 4" xfId="30932" xr:uid="{00000000-0005-0000-0000-0000F3060000}"/>
    <cellStyle name="20% - Accent1 3 10 5" xfId="40657" xr:uid="{00000000-0005-0000-0000-0000F4060000}"/>
    <cellStyle name="20% - Accent1 3 10 6" xfId="11482" xr:uid="{00000000-0005-0000-0000-0000F5060000}"/>
    <cellStyle name="20% - Accent1 3 11" xfId="3376" xr:uid="{00000000-0005-0000-0000-0000F6060000}"/>
    <cellStyle name="20% - Accent1 3 11 2" xfId="8238" xr:uid="{00000000-0005-0000-0000-0000F7060000}"/>
    <cellStyle name="20% - Accent1 3 11 2 2" xfId="27689" xr:uid="{00000000-0005-0000-0000-0000F8060000}"/>
    <cellStyle name="20% - Accent1 3 11 2 3" xfId="37414" xr:uid="{00000000-0005-0000-0000-0000F9060000}"/>
    <cellStyle name="20% - Accent1 3 11 2 4" xfId="47139" xr:uid="{00000000-0005-0000-0000-0000FA060000}"/>
    <cellStyle name="20% - Accent1 3 11 2 5" xfId="17964" xr:uid="{00000000-0005-0000-0000-0000FB060000}"/>
    <cellStyle name="20% - Accent1 3 11 3" xfId="22827" xr:uid="{00000000-0005-0000-0000-0000FC060000}"/>
    <cellStyle name="20% - Accent1 3 11 4" xfId="32552" xr:uid="{00000000-0005-0000-0000-0000FD060000}"/>
    <cellStyle name="20% - Accent1 3 11 5" xfId="42277" xr:uid="{00000000-0005-0000-0000-0000FE060000}"/>
    <cellStyle name="20% - Accent1 3 11 6" xfId="13102" xr:uid="{00000000-0005-0000-0000-0000FF060000}"/>
    <cellStyle name="20% - Accent1 3 12" xfId="4998" xr:uid="{00000000-0005-0000-0000-000000070000}"/>
    <cellStyle name="20% - Accent1 3 12 2" xfId="24449" xr:uid="{00000000-0005-0000-0000-000001070000}"/>
    <cellStyle name="20% - Accent1 3 12 3" xfId="34174" xr:uid="{00000000-0005-0000-0000-000002070000}"/>
    <cellStyle name="20% - Accent1 3 12 4" xfId="43899" xr:uid="{00000000-0005-0000-0000-000003070000}"/>
    <cellStyle name="20% - Accent1 3 12 5" xfId="14724" xr:uid="{00000000-0005-0000-0000-000004070000}"/>
    <cellStyle name="20% - Accent1 3 13" xfId="19587" xr:uid="{00000000-0005-0000-0000-000005070000}"/>
    <cellStyle name="20% - Accent1 3 14" xfId="29312" xr:uid="{00000000-0005-0000-0000-000006070000}"/>
    <cellStyle name="20% - Accent1 3 15" xfId="39037" xr:uid="{00000000-0005-0000-0000-000007070000}"/>
    <cellStyle name="20% - Accent1 3 16" xfId="9862" xr:uid="{00000000-0005-0000-0000-000008070000}"/>
    <cellStyle name="20% - Accent1 3 2" xfId="254" xr:uid="{00000000-0005-0000-0000-000009070000}"/>
    <cellStyle name="20% - Accent1 3 2 10" xfId="39217" xr:uid="{00000000-0005-0000-0000-00000A070000}"/>
    <cellStyle name="20% - Accent1 3 2 11" xfId="10042" xr:uid="{00000000-0005-0000-0000-00000B070000}"/>
    <cellStyle name="20% - Accent1 3 2 2" xfId="1018" xr:uid="{00000000-0005-0000-0000-00000C070000}"/>
    <cellStyle name="20% - Accent1 3 2 2 2" xfId="2656" xr:uid="{00000000-0005-0000-0000-00000D070000}"/>
    <cellStyle name="20% - Accent1 3 2 2 2 2" xfId="7518" xr:uid="{00000000-0005-0000-0000-00000E070000}"/>
    <cellStyle name="20% - Accent1 3 2 2 2 2 2" xfId="26969" xr:uid="{00000000-0005-0000-0000-00000F070000}"/>
    <cellStyle name="20% - Accent1 3 2 2 2 2 3" xfId="36694" xr:uid="{00000000-0005-0000-0000-000010070000}"/>
    <cellStyle name="20% - Accent1 3 2 2 2 2 4" xfId="46419" xr:uid="{00000000-0005-0000-0000-000011070000}"/>
    <cellStyle name="20% - Accent1 3 2 2 2 2 5" xfId="17244" xr:uid="{00000000-0005-0000-0000-000012070000}"/>
    <cellStyle name="20% - Accent1 3 2 2 2 3" xfId="22107" xr:uid="{00000000-0005-0000-0000-000013070000}"/>
    <cellStyle name="20% - Accent1 3 2 2 2 4" xfId="31832" xr:uid="{00000000-0005-0000-0000-000014070000}"/>
    <cellStyle name="20% - Accent1 3 2 2 2 5" xfId="41557" xr:uid="{00000000-0005-0000-0000-000015070000}"/>
    <cellStyle name="20% - Accent1 3 2 2 2 6" xfId="12382" xr:uid="{00000000-0005-0000-0000-000016070000}"/>
    <cellStyle name="20% - Accent1 3 2 2 3" xfId="4276" xr:uid="{00000000-0005-0000-0000-000017070000}"/>
    <cellStyle name="20% - Accent1 3 2 2 3 2" xfId="9138" xr:uid="{00000000-0005-0000-0000-000018070000}"/>
    <cellStyle name="20% - Accent1 3 2 2 3 2 2" xfId="28589" xr:uid="{00000000-0005-0000-0000-000019070000}"/>
    <cellStyle name="20% - Accent1 3 2 2 3 2 3" xfId="38314" xr:uid="{00000000-0005-0000-0000-00001A070000}"/>
    <cellStyle name="20% - Accent1 3 2 2 3 2 4" xfId="48039" xr:uid="{00000000-0005-0000-0000-00001B070000}"/>
    <cellStyle name="20% - Accent1 3 2 2 3 2 5" xfId="18864" xr:uid="{00000000-0005-0000-0000-00001C070000}"/>
    <cellStyle name="20% - Accent1 3 2 2 3 3" xfId="23727" xr:uid="{00000000-0005-0000-0000-00001D070000}"/>
    <cellStyle name="20% - Accent1 3 2 2 3 4" xfId="33452" xr:uid="{00000000-0005-0000-0000-00001E070000}"/>
    <cellStyle name="20% - Accent1 3 2 2 3 5" xfId="43177" xr:uid="{00000000-0005-0000-0000-00001F070000}"/>
    <cellStyle name="20% - Accent1 3 2 2 3 6" xfId="14002" xr:uid="{00000000-0005-0000-0000-000020070000}"/>
    <cellStyle name="20% - Accent1 3 2 2 4" xfId="5898" xr:uid="{00000000-0005-0000-0000-000021070000}"/>
    <cellStyle name="20% - Accent1 3 2 2 4 2" xfId="25349" xr:uid="{00000000-0005-0000-0000-000022070000}"/>
    <cellStyle name="20% - Accent1 3 2 2 4 3" xfId="35074" xr:uid="{00000000-0005-0000-0000-000023070000}"/>
    <cellStyle name="20% - Accent1 3 2 2 4 4" xfId="44799" xr:uid="{00000000-0005-0000-0000-000024070000}"/>
    <cellStyle name="20% - Accent1 3 2 2 4 5" xfId="15624" xr:uid="{00000000-0005-0000-0000-000025070000}"/>
    <cellStyle name="20% - Accent1 3 2 2 5" xfId="20487" xr:uid="{00000000-0005-0000-0000-000026070000}"/>
    <cellStyle name="20% - Accent1 3 2 2 6" xfId="30212" xr:uid="{00000000-0005-0000-0000-000027070000}"/>
    <cellStyle name="20% - Accent1 3 2 2 7" xfId="39937" xr:uid="{00000000-0005-0000-0000-000028070000}"/>
    <cellStyle name="20% - Accent1 3 2 2 8" xfId="10762" xr:uid="{00000000-0005-0000-0000-000029070000}"/>
    <cellStyle name="20% - Accent1 3 2 3" xfId="1485" xr:uid="{00000000-0005-0000-0000-00002A070000}"/>
    <cellStyle name="20% - Accent1 3 2 3 2" xfId="3106" xr:uid="{00000000-0005-0000-0000-00002B070000}"/>
    <cellStyle name="20% - Accent1 3 2 3 2 2" xfId="7968" xr:uid="{00000000-0005-0000-0000-00002C070000}"/>
    <cellStyle name="20% - Accent1 3 2 3 2 2 2" xfId="27419" xr:uid="{00000000-0005-0000-0000-00002D070000}"/>
    <cellStyle name="20% - Accent1 3 2 3 2 2 3" xfId="37144" xr:uid="{00000000-0005-0000-0000-00002E070000}"/>
    <cellStyle name="20% - Accent1 3 2 3 2 2 4" xfId="46869" xr:uid="{00000000-0005-0000-0000-00002F070000}"/>
    <cellStyle name="20% - Accent1 3 2 3 2 2 5" xfId="17694" xr:uid="{00000000-0005-0000-0000-000030070000}"/>
    <cellStyle name="20% - Accent1 3 2 3 2 3" xfId="22557" xr:uid="{00000000-0005-0000-0000-000031070000}"/>
    <cellStyle name="20% - Accent1 3 2 3 2 4" xfId="32282" xr:uid="{00000000-0005-0000-0000-000032070000}"/>
    <cellStyle name="20% - Accent1 3 2 3 2 5" xfId="42007" xr:uid="{00000000-0005-0000-0000-000033070000}"/>
    <cellStyle name="20% - Accent1 3 2 3 2 6" xfId="12832" xr:uid="{00000000-0005-0000-0000-000034070000}"/>
    <cellStyle name="20% - Accent1 3 2 3 3" xfId="4726" xr:uid="{00000000-0005-0000-0000-000035070000}"/>
    <cellStyle name="20% - Accent1 3 2 3 3 2" xfId="9588" xr:uid="{00000000-0005-0000-0000-000036070000}"/>
    <cellStyle name="20% - Accent1 3 2 3 3 2 2" xfId="29039" xr:uid="{00000000-0005-0000-0000-000037070000}"/>
    <cellStyle name="20% - Accent1 3 2 3 3 2 3" xfId="38764" xr:uid="{00000000-0005-0000-0000-000038070000}"/>
    <cellStyle name="20% - Accent1 3 2 3 3 2 4" xfId="48489" xr:uid="{00000000-0005-0000-0000-000039070000}"/>
    <cellStyle name="20% - Accent1 3 2 3 3 2 5" xfId="19314" xr:uid="{00000000-0005-0000-0000-00003A070000}"/>
    <cellStyle name="20% - Accent1 3 2 3 3 3" xfId="24177" xr:uid="{00000000-0005-0000-0000-00003B070000}"/>
    <cellStyle name="20% - Accent1 3 2 3 3 4" xfId="33902" xr:uid="{00000000-0005-0000-0000-00003C070000}"/>
    <cellStyle name="20% - Accent1 3 2 3 3 5" xfId="43627" xr:uid="{00000000-0005-0000-0000-00003D070000}"/>
    <cellStyle name="20% - Accent1 3 2 3 3 6" xfId="14452" xr:uid="{00000000-0005-0000-0000-00003E070000}"/>
    <cellStyle name="20% - Accent1 3 2 3 4" xfId="6348" xr:uid="{00000000-0005-0000-0000-00003F070000}"/>
    <cellStyle name="20% - Accent1 3 2 3 4 2" xfId="25799" xr:uid="{00000000-0005-0000-0000-000040070000}"/>
    <cellStyle name="20% - Accent1 3 2 3 4 3" xfId="35524" xr:uid="{00000000-0005-0000-0000-000041070000}"/>
    <cellStyle name="20% - Accent1 3 2 3 4 4" xfId="45249" xr:uid="{00000000-0005-0000-0000-000042070000}"/>
    <cellStyle name="20% - Accent1 3 2 3 4 5" xfId="16074" xr:uid="{00000000-0005-0000-0000-000043070000}"/>
    <cellStyle name="20% - Accent1 3 2 3 5" xfId="20937" xr:uid="{00000000-0005-0000-0000-000044070000}"/>
    <cellStyle name="20% - Accent1 3 2 3 6" xfId="30662" xr:uid="{00000000-0005-0000-0000-000045070000}"/>
    <cellStyle name="20% - Accent1 3 2 3 7" xfId="40387" xr:uid="{00000000-0005-0000-0000-000046070000}"/>
    <cellStyle name="20% - Accent1 3 2 3 8" xfId="11212" xr:uid="{00000000-0005-0000-0000-000047070000}"/>
    <cellStyle name="20% - Accent1 3 2 4" xfId="656" xr:uid="{00000000-0005-0000-0000-000048070000}"/>
    <cellStyle name="20% - Accent1 3 2 4 2" xfId="2296" xr:uid="{00000000-0005-0000-0000-000049070000}"/>
    <cellStyle name="20% - Accent1 3 2 4 2 2" xfId="7158" xr:uid="{00000000-0005-0000-0000-00004A070000}"/>
    <cellStyle name="20% - Accent1 3 2 4 2 2 2" xfId="26609" xr:uid="{00000000-0005-0000-0000-00004B070000}"/>
    <cellStyle name="20% - Accent1 3 2 4 2 2 3" xfId="36334" xr:uid="{00000000-0005-0000-0000-00004C070000}"/>
    <cellStyle name="20% - Accent1 3 2 4 2 2 4" xfId="46059" xr:uid="{00000000-0005-0000-0000-00004D070000}"/>
    <cellStyle name="20% - Accent1 3 2 4 2 2 5" xfId="16884" xr:uid="{00000000-0005-0000-0000-00004E070000}"/>
    <cellStyle name="20% - Accent1 3 2 4 2 3" xfId="21747" xr:uid="{00000000-0005-0000-0000-00004F070000}"/>
    <cellStyle name="20% - Accent1 3 2 4 2 4" xfId="31472" xr:uid="{00000000-0005-0000-0000-000050070000}"/>
    <cellStyle name="20% - Accent1 3 2 4 2 5" xfId="41197" xr:uid="{00000000-0005-0000-0000-000051070000}"/>
    <cellStyle name="20% - Accent1 3 2 4 2 6" xfId="12022" xr:uid="{00000000-0005-0000-0000-000052070000}"/>
    <cellStyle name="20% - Accent1 3 2 4 3" xfId="3916" xr:uid="{00000000-0005-0000-0000-000053070000}"/>
    <cellStyle name="20% - Accent1 3 2 4 3 2" xfId="8778" xr:uid="{00000000-0005-0000-0000-000054070000}"/>
    <cellStyle name="20% - Accent1 3 2 4 3 2 2" xfId="28229" xr:uid="{00000000-0005-0000-0000-000055070000}"/>
    <cellStyle name="20% - Accent1 3 2 4 3 2 3" xfId="37954" xr:uid="{00000000-0005-0000-0000-000056070000}"/>
    <cellStyle name="20% - Accent1 3 2 4 3 2 4" xfId="47679" xr:uid="{00000000-0005-0000-0000-000057070000}"/>
    <cellStyle name="20% - Accent1 3 2 4 3 2 5" xfId="18504" xr:uid="{00000000-0005-0000-0000-000058070000}"/>
    <cellStyle name="20% - Accent1 3 2 4 3 3" xfId="23367" xr:uid="{00000000-0005-0000-0000-000059070000}"/>
    <cellStyle name="20% - Accent1 3 2 4 3 4" xfId="33092" xr:uid="{00000000-0005-0000-0000-00005A070000}"/>
    <cellStyle name="20% - Accent1 3 2 4 3 5" xfId="42817" xr:uid="{00000000-0005-0000-0000-00005B070000}"/>
    <cellStyle name="20% - Accent1 3 2 4 3 6" xfId="13642" xr:uid="{00000000-0005-0000-0000-00005C070000}"/>
    <cellStyle name="20% - Accent1 3 2 4 4" xfId="5538" xr:uid="{00000000-0005-0000-0000-00005D070000}"/>
    <cellStyle name="20% - Accent1 3 2 4 4 2" xfId="24989" xr:uid="{00000000-0005-0000-0000-00005E070000}"/>
    <cellStyle name="20% - Accent1 3 2 4 4 3" xfId="34714" xr:uid="{00000000-0005-0000-0000-00005F070000}"/>
    <cellStyle name="20% - Accent1 3 2 4 4 4" xfId="44439" xr:uid="{00000000-0005-0000-0000-000060070000}"/>
    <cellStyle name="20% - Accent1 3 2 4 4 5" xfId="15264" xr:uid="{00000000-0005-0000-0000-000061070000}"/>
    <cellStyle name="20% - Accent1 3 2 4 5" xfId="20127" xr:uid="{00000000-0005-0000-0000-000062070000}"/>
    <cellStyle name="20% - Accent1 3 2 4 6" xfId="29852" xr:uid="{00000000-0005-0000-0000-000063070000}"/>
    <cellStyle name="20% - Accent1 3 2 4 7" xfId="39577" xr:uid="{00000000-0005-0000-0000-000064070000}"/>
    <cellStyle name="20% - Accent1 3 2 4 8" xfId="10402" xr:uid="{00000000-0005-0000-0000-000065070000}"/>
    <cellStyle name="20% - Accent1 3 2 5" xfId="1936" xr:uid="{00000000-0005-0000-0000-000066070000}"/>
    <cellStyle name="20% - Accent1 3 2 5 2" xfId="6798" xr:uid="{00000000-0005-0000-0000-000067070000}"/>
    <cellStyle name="20% - Accent1 3 2 5 2 2" xfId="26249" xr:uid="{00000000-0005-0000-0000-000068070000}"/>
    <cellStyle name="20% - Accent1 3 2 5 2 3" xfId="35974" xr:uid="{00000000-0005-0000-0000-000069070000}"/>
    <cellStyle name="20% - Accent1 3 2 5 2 4" xfId="45699" xr:uid="{00000000-0005-0000-0000-00006A070000}"/>
    <cellStyle name="20% - Accent1 3 2 5 2 5" xfId="16524" xr:uid="{00000000-0005-0000-0000-00006B070000}"/>
    <cellStyle name="20% - Accent1 3 2 5 3" xfId="21387" xr:uid="{00000000-0005-0000-0000-00006C070000}"/>
    <cellStyle name="20% - Accent1 3 2 5 4" xfId="31112" xr:uid="{00000000-0005-0000-0000-00006D070000}"/>
    <cellStyle name="20% - Accent1 3 2 5 5" xfId="40837" xr:uid="{00000000-0005-0000-0000-00006E070000}"/>
    <cellStyle name="20% - Accent1 3 2 5 6" xfId="11662" xr:uid="{00000000-0005-0000-0000-00006F070000}"/>
    <cellStyle name="20% - Accent1 3 2 6" xfId="3556" xr:uid="{00000000-0005-0000-0000-000070070000}"/>
    <cellStyle name="20% - Accent1 3 2 6 2" xfId="8418" xr:uid="{00000000-0005-0000-0000-000071070000}"/>
    <cellStyle name="20% - Accent1 3 2 6 2 2" xfId="27869" xr:uid="{00000000-0005-0000-0000-000072070000}"/>
    <cellStyle name="20% - Accent1 3 2 6 2 3" xfId="37594" xr:uid="{00000000-0005-0000-0000-000073070000}"/>
    <cellStyle name="20% - Accent1 3 2 6 2 4" xfId="47319" xr:uid="{00000000-0005-0000-0000-000074070000}"/>
    <cellStyle name="20% - Accent1 3 2 6 2 5" xfId="18144" xr:uid="{00000000-0005-0000-0000-000075070000}"/>
    <cellStyle name="20% - Accent1 3 2 6 3" xfId="23007" xr:uid="{00000000-0005-0000-0000-000076070000}"/>
    <cellStyle name="20% - Accent1 3 2 6 4" xfId="32732" xr:uid="{00000000-0005-0000-0000-000077070000}"/>
    <cellStyle name="20% - Accent1 3 2 6 5" xfId="42457" xr:uid="{00000000-0005-0000-0000-000078070000}"/>
    <cellStyle name="20% - Accent1 3 2 6 6" xfId="13282" xr:uid="{00000000-0005-0000-0000-000079070000}"/>
    <cellStyle name="20% - Accent1 3 2 7" xfId="5178" xr:uid="{00000000-0005-0000-0000-00007A070000}"/>
    <cellStyle name="20% - Accent1 3 2 7 2" xfId="24629" xr:uid="{00000000-0005-0000-0000-00007B070000}"/>
    <cellStyle name="20% - Accent1 3 2 7 3" xfId="34354" xr:uid="{00000000-0005-0000-0000-00007C070000}"/>
    <cellStyle name="20% - Accent1 3 2 7 4" xfId="44079" xr:uid="{00000000-0005-0000-0000-00007D070000}"/>
    <cellStyle name="20% - Accent1 3 2 7 5" xfId="14904" xr:uid="{00000000-0005-0000-0000-00007E070000}"/>
    <cellStyle name="20% - Accent1 3 2 8" xfId="19767" xr:uid="{00000000-0005-0000-0000-00007F070000}"/>
    <cellStyle name="20% - Accent1 3 2 9" xfId="29492" xr:uid="{00000000-0005-0000-0000-000080070000}"/>
    <cellStyle name="20% - Accent1 3 3" xfId="345" xr:uid="{00000000-0005-0000-0000-000081070000}"/>
    <cellStyle name="20% - Accent1 3 3 10" xfId="39307" xr:uid="{00000000-0005-0000-0000-000082070000}"/>
    <cellStyle name="20% - Accent1 3 3 11" xfId="10132" xr:uid="{00000000-0005-0000-0000-000083070000}"/>
    <cellStyle name="20% - Accent1 3 3 2" xfId="1108" xr:uid="{00000000-0005-0000-0000-000084070000}"/>
    <cellStyle name="20% - Accent1 3 3 2 2" xfId="2746" xr:uid="{00000000-0005-0000-0000-000085070000}"/>
    <cellStyle name="20% - Accent1 3 3 2 2 2" xfId="7608" xr:uid="{00000000-0005-0000-0000-000086070000}"/>
    <cellStyle name="20% - Accent1 3 3 2 2 2 2" xfId="27059" xr:uid="{00000000-0005-0000-0000-000087070000}"/>
    <cellStyle name="20% - Accent1 3 3 2 2 2 3" xfId="36784" xr:uid="{00000000-0005-0000-0000-000088070000}"/>
    <cellStyle name="20% - Accent1 3 3 2 2 2 4" xfId="46509" xr:uid="{00000000-0005-0000-0000-000089070000}"/>
    <cellStyle name="20% - Accent1 3 3 2 2 2 5" xfId="17334" xr:uid="{00000000-0005-0000-0000-00008A070000}"/>
    <cellStyle name="20% - Accent1 3 3 2 2 3" xfId="22197" xr:uid="{00000000-0005-0000-0000-00008B070000}"/>
    <cellStyle name="20% - Accent1 3 3 2 2 4" xfId="31922" xr:uid="{00000000-0005-0000-0000-00008C070000}"/>
    <cellStyle name="20% - Accent1 3 3 2 2 5" xfId="41647" xr:uid="{00000000-0005-0000-0000-00008D070000}"/>
    <cellStyle name="20% - Accent1 3 3 2 2 6" xfId="12472" xr:uid="{00000000-0005-0000-0000-00008E070000}"/>
    <cellStyle name="20% - Accent1 3 3 2 3" xfId="4366" xr:uid="{00000000-0005-0000-0000-00008F070000}"/>
    <cellStyle name="20% - Accent1 3 3 2 3 2" xfId="9228" xr:uid="{00000000-0005-0000-0000-000090070000}"/>
    <cellStyle name="20% - Accent1 3 3 2 3 2 2" xfId="28679" xr:uid="{00000000-0005-0000-0000-000091070000}"/>
    <cellStyle name="20% - Accent1 3 3 2 3 2 3" xfId="38404" xr:uid="{00000000-0005-0000-0000-000092070000}"/>
    <cellStyle name="20% - Accent1 3 3 2 3 2 4" xfId="48129" xr:uid="{00000000-0005-0000-0000-000093070000}"/>
    <cellStyle name="20% - Accent1 3 3 2 3 2 5" xfId="18954" xr:uid="{00000000-0005-0000-0000-000094070000}"/>
    <cellStyle name="20% - Accent1 3 3 2 3 3" xfId="23817" xr:uid="{00000000-0005-0000-0000-000095070000}"/>
    <cellStyle name="20% - Accent1 3 3 2 3 4" xfId="33542" xr:uid="{00000000-0005-0000-0000-000096070000}"/>
    <cellStyle name="20% - Accent1 3 3 2 3 5" xfId="43267" xr:uid="{00000000-0005-0000-0000-000097070000}"/>
    <cellStyle name="20% - Accent1 3 3 2 3 6" xfId="14092" xr:uid="{00000000-0005-0000-0000-000098070000}"/>
    <cellStyle name="20% - Accent1 3 3 2 4" xfId="5988" xr:uid="{00000000-0005-0000-0000-000099070000}"/>
    <cellStyle name="20% - Accent1 3 3 2 4 2" xfId="25439" xr:uid="{00000000-0005-0000-0000-00009A070000}"/>
    <cellStyle name="20% - Accent1 3 3 2 4 3" xfId="35164" xr:uid="{00000000-0005-0000-0000-00009B070000}"/>
    <cellStyle name="20% - Accent1 3 3 2 4 4" xfId="44889" xr:uid="{00000000-0005-0000-0000-00009C070000}"/>
    <cellStyle name="20% - Accent1 3 3 2 4 5" xfId="15714" xr:uid="{00000000-0005-0000-0000-00009D070000}"/>
    <cellStyle name="20% - Accent1 3 3 2 5" xfId="20577" xr:uid="{00000000-0005-0000-0000-00009E070000}"/>
    <cellStyle name="20% - Accent1 3 3 2 6" xfId="30302" xr:uid="{00000000-0005-0000-0000-00009F070000}"/>
    <cellStyle name="20% - Accent1 3 3 2 7" xfId="40027" xr:uid="{00000000-0005-0000-0000-0000A0070000}"/>
    <cellStyle name="20% - Accent1 3 3 2 8" xfId="10852" xr:uid="{00000000-0005-0000-0000-0000A1070000}"/>
    <cellStyle name="20% - Accent1 3 3 3" xfId="1575" xr:uid="{00000000-0005-0000-0000-0000A2070000}"/>
    <cellStyle name="20% - Accent1 3 3 3 2" xfId="3196" xr:uid="{00000000-0005-0000-0000-0000A3070000}"/>
    <cellStyle name="20% - Accent1 3 3 3 2 2" xfId="8058" xr:uid="{00000000-0005-0000-0000-0000A4070000}"/>
    <cellStyle name="20% - Accent1 3 3 3 2 2 2" xfId="27509" xr:uid="{00000000-0005-0000-0000-0000A5070000}"/>
    <cellStyle name="20% - Accent1 3 3 3 2 2 3" xfId="37234" xr:uid="{00000000-0005-0000-0000-0000A6070000}"/>
    <cellStyle name="20% - Accent1 3 3 3 2 2 4" xfId="46959" xr:uid="{00000000-0005-0000-0000-0000A7070000}"/>
    <cellStyle name="20% - Accent1 3 3 3 2 2 5" xfId="17784" xr:uid="{00000000-0005-0000-0000-0000A8070000}"/>
    <cellStyle name="20% - Accent1 3 3 3 2 3" xfId="22647" xr:uid="{00000000-0005-0000-0000-0000A9070000}"/>
    <cellStyle name="20% - Accent1 3 3 3 2 4" xfId="32372" xr:uid="{00000000-0005-0000-0000-0000AA070000}"/>
    <cellStyle name="20% - Accent1 3 3 3 2 5" xfId="42097" xr:uid="{00000000-0005-0000-0000-0000AB070000}"/>
    <cellStyle name="20% - Accent1 3 3 3 2 6" xfId="12922" xr:uid="{00000000-0005-0000-0000-0000AC070000}"/>
    <cellStyle name="20% - Accent1 3 3 3 3" xfId="4816" xr:uid="{00000000-0005-0000-0000-0000AD070000}"/>
    <cellStyle name="20% - Accent1 3 3 3 3 2" xfId="9678" xr:uid="{00000000-0005-0000-0000-0000AE070000}"/>
    <cellStyle name="20% - Accent1 3 3 3 3 2 2" xfId="29129" xr:uid="{00000000-0005-0000-0000-0000AF070000}"/>
    <cellStyle name="20% - Accent1 3 3 3 3 2 3" xfId="38854" xr:uid="{00000000-0005-0000-0000-0000B0070000}"/>
    <cellStyle name="20% - Accent1 3 3 3 3 2 4" xfId="48579" xr:uid="{00000000-0005-0000-0000-0000B1070000}"/>
    <cellStyle name="20% - Accent1 3 3 3 3 2 5" xfId="19404" xr:uid="{00000000-0005-0000-0000-0000B2070000}"/>
    <cellStyle name="20% - Accent1 3 3 3 3 3" xfId="24267" xr:uid="{00000000-0005-0000-0000-0000B3070000}"/>
    <cellStyle name="20% - Accent1 3 3 3 3 4" xfId="33992" xr:uid="{00000000-0005-0000-0000-0000B4070000}"/>
    <cellStyle name="20% - Accent1 3 3 3 3 5" xfId="43717" xr:uid="{00000000-0005-0000-0000-0000B5070000}"/>
    <cellStyle name="20% - Accent1 3 3 3 3 6" xfId="14542" xr:uid="{00000000-0005-0000-0000-0000B6070000}"/>
    <cellStyle name="20% - Accent1 3 3 3 4" xfId="6438" xr:uid="{00000000-0005-0000-0000-0000B7070000}"/>
    <cellStyle name="20% - Accent1 3 3 3 4 2" xfId="25889" xr:uid="{00000000-0005-0000-0000-0000B8070000}"/>
    <cellStyle name="20% - Accent1 3 3 3 4 3" xfId="35614" xr:uid="{00000000-0005-0000-0000-0000B9070000}"/>
    <cellStyle name="20% - Accent1 3 3 3 4 4" xfId="45339" xr:uid="{00000000-0005-0000-0000-0000BA070000}"/>
    <cellStyle name="20% - Accent1 3 3 3 4 5" xfId="16164" xr:uid="{00000000-0005-0000-0000-0000BB070000}"/>
    <cellStyle name="20% - Accent1 3 3 3 5" xfId="21027" xr:uid="{00000000-0005-0000-0000-0000BC070000}"/>
    <cellStyle name="20% - Accent1 3 3 3 6" xfId="30752" xr:uid="{00000000-0005-0000-0000-0000BD070000}"/>
    <cellStyle name="20% - Accent1 3 3 3 7" xfId="40477" xr:uid="{00000000-0005-0000-0000-0000BE070000}"/>
    <cellStyle name="20% - Accent1 3 3 3 8" xfId="11302" xr:uid="{00000000-0005-0000-0000-0000BF070000}"/>
    <cellStyle name="20% - Accent1 3 3 4" xfId="746" xr:uid="{00000000-0005-0000-0000-0000C0070000}"/>
    <cellStyle name="20% - Accent1 3 3 4 2" xfId="2386" xr:uid="{00000000-0005-0000-0000-0000C1070000}"/>
    <cellStyle name="20% - Accent1 3 3 4 2 2" xfId="7248" xr:uid="{00000000-0005-0000-0000-0000C2070000}"/>
    <cellStyle name="20% - Accent1 3 3 4 2 2 2" xfId="26699" xr:uid="{00000000-0005-0000-0000-0000C3070000}"/>
    <cellStyle name="20% - Accent1 3 3 4 2 2 3" xfId="36424" xr:uid="{00000000-0005-0000-0000-0000C4070000}"/>
    <cellStyle name="20% - Accent1 3 3 4 2 2 4" xfId="46149" xr:uid="{00000000-0005-0000-0000-0000C5070000}"/>
    <cellStyle name="20% - Accent1 3 3 4 2 2 5" xfId="16974" xr:uid="{00000000-0005-0000-0000-0000C6070000}"/>
    <cellStyle name="20% - Accent1 3 3 4 2 3" xfId="21837" xr:uid="{00000000-0005-0000-0000-0000C7070000}"/>
    <cellStyle name="20% - Accent1 3 3 4 2 4" xfId="31562" xr:uid="{00000000-0005-0000-0000-0000C8070000}"/>
    <cellStyle name="20% - Accent1 3 3 4 2 5" xfId="41287" xr:uid="{00000000-0005-0000-0000-0000C9070000}"/>
    <cellStyle name="20% - Accent1 3 3 4 2 6" xfId="12112" xr:uid="{00000000-0005-0000-0000-0000CA070000}"/>
    <cellStyle name="20% - Accent1 3 3 4 3" xfId="4006" xr:uid="{00000000-0005-0000-0000-0000CB070000}"/>
    <cellStyle name="20% - Accent1 3 3 4 3 2" xfId="8868" xr:uid="{00000000-0005-0000-0000-0000CC070000}"/>
    <cellStyle name="20% - Accent1 3 3 4 3 2 2" xfId="28319" xr:uid="{00000000-0005-0000-0000-0000CD070000}"/>
    <cellStyle name="20% - Accent1 3 3 4 3 2 3" xfId="38044" xr:uid="{00000000-0005-0000-0000-0000CE070000}"/>
    <cellStyle name="20% - Accent1 3 3 4 3 2 4" xfId="47769" xr:uid="{00000000-0005-0000-0000-0000CF070000}"/>
    <cellStyle name="20% - Accent1 3 3 4 3 2 5" xfId="18594" xr:uid="{00000000-0005-0000-0000-0000D0070000}"/>
    <cellStyle name="20% - Accent1 3 3 4 3 3" xfId="23457" xr:uid="{00000000-0005-0000-0000-0000D1070000}"/>
    <cellStyle name="20% - Accent1 3 3 4 3 4" xfId="33182" xr:uid="{00000000-0005-0000-0000-0000D2070000}"/>
    <cellStyle name="20% - Accent1 3 3 4 3 5" xfId="42907" xr:uid="{00000000-0005-0000-0000-0000D3070000}"/>
    <cellStyle name="20% - Accent1 3 3 4 3 6" xfId="13732" xr:uid="{00000000-0005-0000-0000-0000D4070000}"/>
    <cellStyle name="20% - Accent1 3 3 4 4" xfId="5628" xr:uid="{00000000-0005-0000-0000-0000D5070000}"/>
    <cellStyle name="20% - Accent1 3 3 4 4 2" xfId="25079" xr:uid="{00000000-0005-0000-0000-0000D6070000}"/>
    <cellStyle name="20% - Accent1 3 3 4 4 3" xfId="34804" xr:uid="{00000000-0005-0000-0000-0000D7070000}"/>
    <cellStyle name="20% - Accent1 3 3 4 4 4" xfId="44529" xr:uid="{00000000-0005-0000-0000-0000D8070000}"/>
    <cellStyle name="20% - Accent1 3 3 4 4 5" xfId="15354" xr:uid="{00000000-0005-0000-0000-0000D9070000}"/>
    <cellStyle name="20% - Accent1 3 3 4 5" xfId="20217" xr:uid="{00000000-0005-0000-0000-0000DA070000}"/>
    <cellStyle name="20% - Accent1 3 3 4 6" xfId="29942" xr:uid="{00000000-0005-0000-0000-0000DB070000}"/>
    <cellStyle name="20% - Accent1 3 3 4 7" xfId="39667" xr:uid="{00000000-0005-0000-0000-0000DC070000}"/>
    <cellStyle name="20% - Accent1 3 3 4 8" xfId="10492" xr:uid="{00000000-0005-0000-0000-0000DD070000}"/>
    <cellStyle name="20% - Accent1 3 3 5" xfId="2026" xr:uid="{00000000-0005-0000-0000-0000DE070000}"/>
    <cellStyle name="20% - Accent1 3 3 5 2" xfId="6888" xr:uid="{00000000-0005-0000-0000-0000DF070000}"/>
    <cellStyle name="20% - Accent1 3 3 5 2 2" xfId="26339" xr:uid="{00000000-0005-0000-0000-0000E0070000}"/>
    <cellStyle name="20% - Accent1 3 3 5 2 3" xfId="36064" xr:uid="{00000000-0005-0000-0000-0000E1070000}"/>
    <cellStyle name="20% - Accent1 3 3 5 2 4" xfId="45789" xr:uid="{00000000-0005-0000-0000-0000E2070000}"/>
    <cellStyle name="20% - Accent1 3 3 5 2 5" xfId="16614" xr:uid="{00000000-0005-0000-0000-0000E3070000}"/>
    <cellStyle name="20% - Accent1 3 3 5 3" xfId="21477" xr:uid="{00000000-0005-0000-0000-0000E4070000}"/>
    <cellStyle name="20% - Accent1 3 3 5 4" xfId="31202" xr:uid="{00000000-0005-0000-0000-0000E5070000}"/>
    <cellStyle name="20% - Accent1 3 3 5 5" xfId="40927" xr:uid="{00000000-0005-0000-0000-0000E6070000}"/>
    <cellStyle name="20% - Accent1 3 3 5 6" xfId="11752" xr:uid="{00000000-0005-0000-0000-0000E7070000}"/>
    <cellStyle name="20% - Accent1 3 3 6" xfId="3646" xr:uid="{00000000-0005-0000-0000-0000E8070000}"/>
    <cellStyle name="20% - Accent1 3 3 6 2" xfId="8508" xr:uid="{00000000-0005-0000-0000-0000E9070000}"/>
    <cellStyle name="20% - Accent1 3 3 6 2 2" xfId="27959" xr:uid="{00000000-0005-0000-0000-0000EA070000}"/>
    <cellStyle name="20% - Accent1 3 3 6 2 3" xfId="37684" xr:uid="{00000000-0005-0000-0000-0000EB070000}"/>
    <cellStyle name="20% - Accent1 3 3 6 2 4" xfId="47409" xr:uid="{00000000-0005-0000-0000-0000EC070000}"/>
    <cellStyle name="20% - Accent1 3 3 6 2 5" xfId="18234" xr:uid="{00000000-0005-0000-0000-0000ED070000}"/>
    <cellStyle name="20% - Accent1 3 3 6 3" xfId="23097" xr:uid="{00000000-0005-0000-0000-0000EE070000}"/>
    <cellStyle name="20% - Accent1 3 3 6 4" xfId="32822" xr:uid="{00000000-0005-0000-0000-0000EF070000}"/>
    <cellStyle name="20% - Accent1 3 3 6 5" xfId="42547" xr:uid="{00000000-0005-0000-0000-0000F0070000}"/>
    <cellStyle name="20% - Accent1 3 3 6 6" xfId="13372" xr:uid="{00000000-0005-0000-0000-0000F1070000}"/>
    <cellStyle name="20% - Accent1 3 3 7" xfId="5268" xr:uid="{00000000-0005-0000-0000-0000F2070000}"/>
    <cellStyle name="20% - Accent1 3 3 7 2" xfId="24719" xr:uid="{00000000-0005-0000-0000-0000F3070000}"/>
    <cellStyle name="20% - Accent1 3 3 7 3" xfId="34444" xr:uid="{00000000-0005-0000-0000-0000F4070000}"/>
    <cellStyle name="20% - Accent1 3 3 7 4" xfId="44169" xr:uid="{00000000-0005-0000-0000-0000F5070000}"/>
    <cellStyle name="20% - Accent1 3 3 7 5" xfId="14994" xr:uid="{00000000-0005-0000-0000-0000F6070000}"/>
    <cellStyle name="20% - Accent1 3 3 8" xfId="19857" xr:uid="{00000000-0005-0000-0000-0000F7070000}"/>
    <cellStyle name="20% - Accent1 3 3 9" xfId="29582" xr:uid="{00000000-0005-0000-0000-0000F8070000}"/>
    <cellStyle name="20% - Accent1 3 4" xfId="163" xr:uid="{00000000-0005-0000-0000-0000F9070000}"/>
    <cellStyle name="20% - Accent1 3 4 10" xfId="39127" xr:uid="{00000000-0005-0000-0000-0000FA070000}"/>
    <cellStyle name="20% - Accent1 3 4 11" xfId="9952" xr:uid="{00000000-0005-0000-0000-0000FB070000}"/>
    <cellStyle name="20% - Accent1 3 4 2" xfId="927" xr:uid="{00000000-0005-0000-0000-0000FC070000}"/>
    <cellStyle name="20% - Accent1 3 4 2 2" xfId="2566" xr:uid="{00000000-0005-0000-0000-0000FD070000}"/>
    <cellStyle name="20% - Accent1 3 4 2 2 2" xfId="7428" xr:uid="{00000000-0005-0000-0000-0000FE070000}"/>
    <cellStyle name="20% - Accent1 3 4 2 2 2 2" xfId="26879" xr:uid="{00000000-0005-0000-0000-0000FF070000}"/>
    <cellStyle name="20% - Accent1 3 4 2 2 2 3" xfId="36604" xr:uid="{00000000-0005-0000-0000-000000080000}"/>
    <cellStyle name="20% - Accent1 3 4 2 2 2 4" xfId="46329" xr:uid="{00000000-0005-0000-0000-000001080000}"/>
    <cellStyle name="20% - Accent1 3 4 2 2 2 5" xfId="17154" xr:uid="{00000000-0005-0000-0000-000002080000}"/>
    <cellStyle name="20% - Accent1 3 4 2 2 3" xfId="22017" xr:uid="{00000000-0005-0000-0000-000003080000}"/>
    <cellStyle name="20% - Accent1 3 4 2 2 4" xfId="31742" xr:uid="{00000000-0005-0000-0000-000004080000}"/>
    <cellStyle name="20% - Accent1 3 4 2 2 5" xfId="41467" xr:uid="{00000000-0005-0000-0000-000005080000}"/>
    <cellStyle name="20% - Accent1 3 4 2 2 6" xfId="12292" xr:uid="{00000000-0005-0000-0000-000006080000}"/>
    <cellStyle name="20% - Accent1 3 4 2 3" xfId="4186" xr:uid="{00000000-0005-0000-0000-000007080000}"/>
    <cellStyle name="20% - Accent1 3 4 2 3 2" xfId="9048" xr:uid="{00000000-0005-0000-0000-000008080000}"/>
    <cellStyle name="20% - Accent1 3 4 2 3 2 2" xfId="28499" xr:uid="{00000000-0005-0000-0000-000009080000}"/>
    <cellStyle name="20% - Accent1 3 4 2 3 2 3" xfId="38224" xr:uid="{00000000-0005-0000-0000-00000A080000}"/>
    <cellStyle name="20% - Accent1 3 4 2 3 2 4" xfId="47949" xr:uid="{00000000-0005-0000-0000-00000B080000}"/>
    <cellStyle name="20% - Accent1 3 4 2 3 2 5" xfId="18774" xr:uid="{00000000-0005-0000-0000-00000C080000}"/>
    <cellStyle name="20% - Accent1 3 4 2 3 3" xfId="23637" xr:uid="{00000000-0005-0000-0000-00000D080000}"/>
    <cellStyle name="20% - Accent1 3 4 2 3 4" xfId="33362" xr:uid="{00000000-0005-0000-0000-00000E080000}"/>
    <cellStyle name="20% - Accent1 3 4 2 3 5" xfId="43087" xr:uid="{00000000-0005-0000-0000-00000F080000}"/>
    <cellStyle name="20% - Accent1 3 4 2 3 6" xfId="13912" xr:uid="{00000000-0005-0000-0000-000010080000}"/>
    <cellStyle name="20% - Accent1 3 4 2 4" xfId="5808" xr:uid="{00000000-0005-0000-0000-000011080000}"/>
    <cellStyle name="20% - Accent1 3 4 2 4 2" xfId="25259" xr:uid="{00000000-0005-0000-0000-000012080000}"/>
    <cellStyle name="20% - Accent1 3 4 2 4 3" xfId="34984" xr:uid="{00000000-0005-0000-0000-000013080000}"/>
    <cellStyle name="20% - Accent1 3 4 2 4 4" xfId="44709" xr:uid="{00000000-0005-0000-0000-000014080000}"/>
    <cellStyle name="20% - Accent1 3 4 2 4 5" xfId="15534" xr:uid="{00000000-0005-0000-0000-000015080000}"/>
    <cellStyle name="20% - Accent1 3 4 2 5" xfId="20397" xr:uid="{00000000-0005-0000-0000-000016080000}"/>
    <cellStyle name="20% - Accent1 3 4 2 6" xfId="30122" xr:uid="{00000000-0005-0000-0000-000017080000}"/>
    <cellStyle name="20% - Accent1 3 4 2 7" xfId="39847" xr:uid="{00000000-0005-0000-0000-000018080000}"/>
    <cellStyle name="20% - Accent1 3 4 2 8" xfId="10672" xr:uid="{00000000-0005-0000-0000-000019080000}"/>
    <cellStyle name="20% - Accent1 3 4 3" xfId="1395" xr:uid="{00000000-0005-0000-0000-00001A080000}"/>
    <cellStyle name="20% - Accent1 3 4 3 2" xfId="3016" xr:uid="{00000000-0005-0000-0000-00001B080000}"/>
    <cellStyle name="20% - Accent1 3 4 3 2 2" xfId="7878" xr:uid="{00000000-0005-0000-0000-00001C080000}"/>
    <cellStyle name="20% - Accent1 3 4 3 2 2 2" xfId="27329" xr:uid="{00000000-0005-0000-0000-00001D080000}"/>
    <cellStyle name="20% - Accent1 3 4 3 2 2 3" xfId="37054" xr:uid="{00000000-0005-0000-0000-00001E080000}"/>
    <cellStyle name="20% - Accent1 3 4 3 2 2 4" xfId="46779" xr:uid="{00000000-0005-0000-0000-00001F080000}"/>
    <cellStyle name="20% - Accent1 3 4 3 2 2 5" xfId="17604" xr:uid="{00000000-0005-0000-0000-000020080000}"/>
    <cellStyle name="20% - Accent1 3 4 3 2 3" xfId="22467" xr:uid="{00000000-0005-0000-0000-000021080000}"/>
    <cellStyle name="20% - Accent1 3 4 3 2 4" xfId="32192" xr:uid="{00000000-0005-0000-0000-000022080000}"/>
    <cellStyle name="20% - Accent1 3 4 3 2 5" xfId="41917" xr:uid="{00000000-0005-0000-0000-000023080000}"/>
    <cellStyle name="20% - Accent1 3 4 3 2 6" xfId="12742" xr:uid="{00000000-0005-0000-0000-000024080000}"/>
    <cellStyle name="20% - Accent1 3 4 3 3" xfId="4636" xr:uid="{00000000-0005-0000-0000-000025080000}"/>
    <cellStyle name="20% - Accent1 3 4 3 3 2" xfId="9498" xr:uid="{00000000-0005-0000-0000-000026080000}"/>
    <cellStyle name="20% - Accent1 3 4 3 3 2 2" xfId="28949" xr:uid="{00000000-0005-0000-0000-000027080000}"/>
    <cellStyle name="20% - Accent1 3 4 3 3 2 3" xfId="38674" xr:uid="{00000000-0005-0000-0000-000028080000}"/>
    <cellStyle name="20% - Accent1 3 4 3 3 2 4" xfId="48399" xr:uid="{00000000-0005-0000-0000-000029080000}"/>
    <cellStyle name="20% - Accent1 3 4 3 3 2 5" xfId="19224" xr:uid="{00000000-0005-0000-0000-00002A080000}"/>
    <cellStyle name="20% - Accent1 3 4 3 3 3" xfId="24087" xr:uid="{00000000-0005-0000-0000-00002B080000}"/>
    <cellStyle name="20% - Accent1 3 4 3 3 4" xfId="33812" xr:uid="{00000000-0005-0000-0000-00002C080000}"/>
    <cellStyle name="20% - Accent1 3 4 3 3 5" xfId="43537" xr:uid="{00000000-0005-0000-0000-00002D080000}"/>
    <cellStyle name="20% - Accent1 3 4 3 3 6" xfId="14362" xr:uid="{00000000-0005-0000-0000-00002E080000}"/>
    <cellStyle name="20% - Accent1 3 4 3 4" xfId="6258" xr:uid="{00000000-0005-0000-0000-00002F080000}"/>
    <cellStyle name="20% - Accent1 3 4 3 4 2" xfId="25709" xr:uid="{00000000-0005-0000-0000-000030080000}"/>
    <cellStyle name="20% - Accent1 3 4 3 4 3" xfId="35434" xr:uid="{00000000-0005-0000-0000-000031080000}"/>
    <cellStyle name="20% - Accent1 3 4 3 4 4" xfId="45159" xr:uid="{00000000-0005-0000-0000-000032080000}"/>
    <cellStyle name="20% - Accent1 3 4 3 4 5" xfId="15984" xr:uid="{00000000-0005-0000-0000-000033080000}"/>
    <cellStyle name="20% - Accent1 3 4 3 5" xfId="20847" xr:uid="{00000000-0005-0000-0000-000034080000}"/>
    <cellStyle name="20% - Accent1 3 4 3 6" xfId="30572" xr:uid="{00000000-0005-0000-0000-000035080000}"/>
    <cellStyle name="20% - Accent1 3 4 3 7" xfId="40297" xr:uid="{00000000-0005-0000-0000-000036080000}"/>
    <cellStyle name="20% - Accent1 3 4 3 8" xfId="11122" xr:uid="{00000000-0005-0000-0000-000037080000}"/>
    <cellStyle name="20% - Accent1 3 4 4" xfId="566" xr:uid="{00000000-0005-0000-0000-000038080000}"/>
    <cellStyle name="20% - Accent1 3 4 4 2" xfId="2206" xr:uid="{00000000-0005-0000-0000-000039080000}"/>
    <cellStyle name="20% - Accent1 3 4 4 2 2" xfId="7068" xr:uid="{00000000-0005-0000-0000-00003A080000}"/>
    <cellStyle name="20% - Accent1 3 4 4 2 2 2" xfId="26519" xr:uid="{00000000-0005-0000-0000-00003B080000}"/>
    <cellStyle name="20% - Accent1 3 4 4 2 2 3" xfId="36244" xr:uid="{00000000-0005-0000-0000-00003C080000}"/>
    <cellStyle name="20% - Accent1 3 4 4 2 2 4" xfId="45969" xr:uid="{00000000-0005-0000-0000-00003D080000}"/>
    <cellStyle name="20% - Accent1 3 4 4 2 2 5" xfId="16794" xr:uid="{00000000-0005-0000-0000-00003E080000}"/>
    <cellStyle name="20% - Accent1 3 4 4 2 3" xfId="21657" xr:uid="{00000000-0005-0000-0000-00003F080000}"/>
    <cellStyle name="20% - Accent1 3 4 4 2 4" xfId="31382" xr:uid="{00000000-0005-0000-0000-000040080000}"/>
    <cellStyle name="20% - Accent1 3 4 4 2 5" xfId="41107" xr:uid="{00000000-0005-0000-0000-000041080000}"/>
    <cellStyle name="20% - Accent1 3 4 4 2 6" xfId="11932" xr:uid="{00000000-0005-0000-0000-000042080000}"/>
    <cellStyle name="20% - Accent1 3 4 4 3" xfId="3826" xr:uid="{00000000-0005-0000-0000-000043080000}"/>
    <cellStyle name="20% - Accent1 3 4 4 3 2" xfId="8688" xr:uid="{00000000-0005-0000-0000-000044080000}"/>
    <cellStyle name="20% - Accent1 3 4 4 3 2 2" xfId="28139" xr:uid="{00000000-0005-0000-0000-000045080000}"/>
    <cellStyle name="20% - Accent1 3 4 4 3 2 3" xfId="37864" xr:uid="{00000000-0005-0000-0000-000046080000}"/>
    <cellStyle name="20% - Accent1 3 4 4 3 2 4" xfId="47589" xr:uid="{00000000-0005-0000-0000-000047080000}"/>
    <cellStyle name="20% - Accent1 3 4 4 3 2 5" xfId="18414" xr:uid="{00000000-0005-0000-0000-000048080000}"/>
    <cellStyle name="20% - Accent1 3 4 4 3 3" xfId="23277" xr:uid="{00000000-0005-0000-0000-000049080000}"/>
    <cellStyle name="20% - Accent1 3 4 4 3 4" xfId="33002" xr:uid="{00000000-0005-0000-0000-00004A080000}"/>
    <cellStyle name="20% - Accent1 3 4 4 3 5" xfId="42727" xr:uid="{00000000-0005-0000-0000-00004B080000}"/>
    <cellStyle name="20% - Accent1 3 4 4 3 6" xfId="13552" xr:uid="{00000000-0005-0000-0000-00004C080000}"/>
    <cellStyle name="20% - Accent1 3 4 4 4" xfId="5448" xr:uid="{00000000-0005-0000-0000-00004D080000}"/>
    <cellStyle name="20% - Accent1 3 4 4 4 2" xfId="24899" xr:uid="{00000000-0005-0000-0000-00004E080000}"/>
    <cellStyle name="20% - Accent1 3 4 4 4 3" xfId="34624" xr:uid="{00000000-0005-0000-0000-00004F080000}"/>
    <cellStyle name="20% - Accent1 3 4 4 4 4" xfId="44349" xr:uid="{00000000-0005-0000-0000-000050080000}"/>
    <cellStyle name="20% - Accent1 3 4 4 4 5" xfId="15174" xr:uid="{00000000-0005-0000-0000-000051080000}"/>
    <cellStyle name="20% - Accent1 3 4 4 5" xfId="20037" xr:uid="{00000000-0005-0000-0000-000052080000}"/>
    <cellStyle name="20% - Accent1 3 4 4 6" xfId="29762" xr:uid="{00000000-0005-0000-0000-000053080000}"/>
    <cellStyle name="20% - Accent1 3 4 4 7" xfId="39487" xr:uid="{00000000-0005-0000-0000-000054080000}"/>
    <cellStyle name="20% - Accent1 3 4 4 8" xfId="10312" xr:uid="{00000000-0005-0000-0000-000055080000}"/>
    <cellStyle name="20% - Accent1 3 4 5" xfId="1846" xr:uid="{00000000-0005-0000-0000-000056080000}"/>
    <cellStyle name="20% - Accent1 3 4 5 2" xfId="6708" xr:uid="{00000000-0005-0000-0000-000057080000}"/>
    <cellStyle name="20% - Accent1 3 4 5 2 2" xfId="26159" xr:uid="{00000000-0005-0000-0000-000058080000}"/>
    <cellStyle name="20% - Accent1 3 4 5 2 3" xfId="35884" xr:uid="{00000000-0005-0000-0000-000059080000}"/>
    <cellStyle name="20% - Accent1 3 4 5 2 4" xfId="45609" xr:uid="{00000000-0005-0000-0000-00005A080000}"/>
    <cellStyle name="20% - Accent1 3 4 5 2 5" xfId="16434" xr:uid="{00000000-0005-0000-0000-00005B080000}"/>
    <cellStyle name="20% - Accent1 3 4 5 3" xfId="21297" xr:uid="{00000000-0005-0000-0000-00005C080000}"/>
    <cellStyle name="20% - Accent1 3 4 5 4" xfId="31022" xr:uid="{00000000-0005-0000-0000-00005D080000}"/>
    <cellStyle name="20% - Accent1 3 4 5 5" xfId="40747" xr:uid="{00000000-0005-0000-0000-00005E080000}"/>
    <cellStyle name="20% - Accent1 3 4 5 6" xfId="11572" xr:uid="{00000000-0005-0000-0000-00005F080000}"/>
    <cellStyle name="20% - Accent1 3 4 6" xfId="3466" xr:uid="{00000000-0005-0000-0000-000060080000}"/>
    <cellStyle name="20% - Accent1 3 4 6 2" xfId="8328" xr:uid="{00000000-0005-0000-0000-000061080000}"/>
    <cellStyle name="20% - Accent1 3 4 6 2 2" xfId="27779" xr:uid="{00000000-0005-0000-0000-000062080000}"/>
    <cellStyle name="20% - Accent1 3 4 6 2 3" xfId="37504" xr:uid="{00000000-0005-0000-0000-000063080000}"/>
    <cellStyle name="20% - Accent1 3 4 6 2 4" xfId="47229" xr:uid="{00000000-0005-0000-0000-000064080000}"/>
    <cellStyle name="20% - Accent1 3 4 6 2 5" xfId="18054" xr:uid="{00000000-0005-0000-0000-000065080000}"/>
    <cellStyle name="20% - Accent1 3 4 6 3" xfId="22917" xr:uid="{00000000-0005-0000-0000-000066080000}"/>
    <cellStyle name="20% - Accent1 3 4 6 4" xfId="32642" xr:uid="{00000000-0005-0000-0000-000067080000}"/>
    <cellStyle name="20% - Accent1 3 4 6 5" xfId="42367" xr:uid="{00000000-0005-0000-0000-000068080000}"/>
    <cellStyle name="20% - Accent1 3 4 6 6" xfId="13192" xr:uid="{00000000-0005-0000-0000-000069080000}"/>
    <cellStyle name="20% - Accent1 3 4 7" xfId="5088" xr:uid="{00000000-0005-0000-0000-00006A080000}"/>
    <cellStyle name="20% - Accent1 3 4 7 2" xfId="24539" xr:uid="{00000000-0005-0000-0000-00006B080000}"/>
    <cellStyle name="20% - Accent1 3 4 7 3" xfId="34264" xr:uid="{00000000-0005-0000-0000-00006C080000}"/>
    <cellStyle name="20% - Accent1 3 4 7 4" xfId="43989" xr:uid="{00000000-0005-0000-0000-00006D080000}"/>
    <cellStyle name="20% - Accent1 3 4 7 5" xfId="14814" xr:uid="{00000000-0005-0000-0000-00006E080000}"/>
    <cellStyle name="20% - Accent1 3 4 8" xfId="19677" xr:uid="{00000000-0005-0000-0000-00006F080000}"/>
    <cellStyle name="20% - Accent1 3 4 9" xfId="29402" xr:uid="{00000000-0005-0000-0000-000070080000}"/>
    <cellStyle name="20% - Accent1 3 5" xfId="837" xr:uid="{00000000-0005-0000-0000-000071080000}"/>
    <cellStyle name="20% - Accent1 3 5 2" xfId="2476" xr:uid="{00000000-0005-0000-0000-000072080000}"/>
    <cellStyle name="20% - Accent1 3 5 2 2" xfId="7338" xr:uid="{00000000-0005-0000-0000-000073080000}"/>
    <cellStyle name="20% - Accent1 3 5 2 2 2" xfId="26789" xr:uid="{00000000-0005-0000-0000-000074080000}"/>
    <cellStyle name="20% - Accent1 3 5 2 2 3" xfId="36514" xr:uid="{00000000-0005-0000-0000-000075080000}"/>
    <cellStyle name="20% - Accent1 3 5 2 2 4" xfId="46239" xr:uid="{00000000-0005-0000-0000-000076080000}"/>
    <cellStyle name="20% - Accent1 3 5 2 2 5" xfId="17064" xr:uid="{00000000-0005-0000-0000-000077080000}"/>
    <cellStyle name="20% - Accent1 3 5 2 3" xfId="21927" xr:uid="{00000000-0005-0000-0000-000078080000}"/>
    <cellStyle name="20% - Accent1 3 5 2 4" xfId="31652" xr:uid="{00000000-0005-0000-0000-000079080000}"/>
    <cellStyle name="20% - Accent1 3 5 2 5" xfId="41377" xr:uid="{00000000-0005-0000-0000-00007A080000}"/>
    <cellStyle name="20% - Accent1 3 5 2 6" xfId="12202" xr:uid="{00000000-0005-0000-0000-00007B080000}"/>
    <cellStyle name="20% - Accent1 3 5 3" xfId="4096" xr:uid="{00000000-0005-0000-0000-00007C080000}"/>
    <cellStyle name="20% - Accent1 3 5 3 2" xfId="8958" xr:uid="{00000000-0005-0000-0000-00007D080000}"/>
    <cellStyle name="20% - Accent1 3 5 3 2 2" xfId="28409" xr:uid="{00000000-0005-0000-0000-00007E080000}"/>
    <cellStyle name="20% - Accent1 3 5 3 2 3" xfId="38134" xr:uid="{00000000-0005-0000-0000-00007F080000}"/>
    <cellStyle name="20% - Accent1 3 5 3 2 4" xfId="47859" xr:uid="{00000000-0005-0000-0000-000080080000}"/>
    <cellStyle name="20% - Accent1 3 5 3 2 5" xfId="18684" xr:uid="{00000000-0005-0000-0000-000081080000}"/>
    <cellStyle name="20% - Accent1 3 5 3 3" xfId="23547" xr:uid="{00000000-0005-0000-0000-000082080000}"/>
    <cellStyle name="20% - Accent1 3 5 3 4" xfId="33272" xr:uid="{00000000-0005-0000-0000-000083080000}"/>
    <cellStyle name="20% - Accent1 3 5 3 5" xfId="42997" xr:uid="{00000000-0005-0000-0000-000084080000}"/>
    <cellStyle name="20% - Accent1 3 5 3 6" xfId="13822" xr:uid="{00000000-0005-0000-0000-000085080000}"/>
    <cellStyle name="20% - Accent1 3 5 4" xfId="5718" xr:uid="{00000000-0005-0000-0000-000086080000}"/>
    <cellStyle name="20% - Accent1 3 5 4 2" xfId="25169" xr:uid="{00000000-0005-0000-0000-000087080000}"/>
    <cellStyle name="20% - Accent1 3 5 4 3" xfId="34894" xr:uid="{00000000-0005-0000-0000-000088080000}"/>
    <cellStyle name="20% - Accent1 3 5 4 4" xfId="44619" xr:uid="{00000000-0005-0000-0000-000089080000}"/>
    <cellStyle name="20% - Accent1 3 5 4 5" xfId="15444" xr:uid="{00000000-0005-0000-0000-00008A080000}"/>
    <cellStyle name="20% - Accent1 3 5 5" xfId="20307" xr:uid="{00000000-0005-0000-0000-00008B080000}"/>
    <cellStyle name="20% - Accent1 3 5 6" xfId="30032" xr:uid="{00000000-0005-0000-0000-00008C080000}"/>
    <cellStyle name="20% - Accent1 3 5 7" xfId="39757" xr:uid="{00000000-0005-0000-0000-00008D080000}"/>
    <cellStyle name="20% - Accent1 3 5 8" xfId="10582" xr:uid="{00000000-0005-0000-0000-00008E080000}"/>
    <cellStyle name="20% - Accent1 3 6" xfId="1215" xr:uid="{00000000-0005-0000-0000-00008F080000}"/>
    <cellStyle name="20% - Accent1 3 6 2" xfId="2836" xr:uid="{00000000-0005-0000-0000-000090080000}"/>
    <cellStyle name="20% - Accent1 3 6 2 2" xfId="7698" xr:uid="{00000000-0005-0000-0000-000091080000}"/>
    <cellStyle name="20% - Accent1 3 6 2 2 2" xfId="27149" xr:uid="{00000000-0005-0000-0000-000092080000}"/>
    <cellStyle name="20% - Accent1 3 6 2 2 3" xfId="36874" xr:uid="{00000000-0005-0000-0000-000093080000}"/>
    <cellStyle name="20% - Accent1 3 6 2 2 4" xfId="46599" xr:uid="{00000000-0005-0000-0000-000094080000}"/>
    <cellStyle name="20% - Accent1 3 6 2 2 5" xfId="17424" xr:uid="{00000000-0005-0000-0000-000095080000}"/>
    <cellStyle name="20% - Accent1 3 6 2 3" xfId="22287" xr:uid="{00000000-0005-0000-0000-000096080000}"/>
    <cellStyle name="20% - Accent1 3 6 2 4" xfId="32012" xr:uid="{00000000-0005-0000-0000-000097080000}"/>
    <cellStyle name="20% - Accent1 3 6 2 5" xfId="41737" xr:uid="{00000000-0005-0000-0000-000098080000}"/>
    <cellStyle name="20% - Accent1 3 6 2 6" xfId="12562" xr:uid="{00000000-0005-0000-0000-000099080000}"/>
    <cellStyle name="20% - Accent1 3 6 3" xfId="4456" xr:uid="{00000000-0005-0000-0000-00009A080000}"/>
    <cellStyle name="20% - Accent1 3 6 3 2" xfId="9318" xr:uid="{00000000-0005-0000-0000-00009B080000}"/>
    <cellStyle name="20% - Accent1 3 6 3 2 2" xfId="28769" xr:uid="{00000000-0005-0000-0000-00009C080000}"/>
    <cellStyle name="20% - Accent1 3 6 3 2 3" xfId="38494" xr:uid="{00000000-0005-0000-0000-00009D080000}"/>
    <cellStyle name="20% - Accent1 3 6 3 2 4" xfId="48219" xr:uid="{00000000-0005-0000-0000-00009E080000}"/>
    <cellStyle name="20% - Accent1 3 6 3 2 5" xfId="19044" xr:uid="{00000000-0005-0000-0000-00009F080000}"/>
    <cellStyle name="20% - Accent1 3 6 3 3" xfId="23907" xr:uid="{00000000-0005-0000-0000-0000A0080000}"/>
    <cellStyle name="20% - Accent1 3 6 3 4" xfId="33632" xr:uid="{00000000-0005-0000-0000-0000A1080000}"/>
    <cellStyle name="20% - Accent1 3 6 3 5" xfId="43357" xr:uid="{00000000-0005-0000-0000-0000A2080000}"/>
    <cellStyle name="20% - Accent1 3 6 3 6" xfId="14182" xr:uid="{00000000-0005-0000-0000-0000A3080000}"/>
    <cellStyle name="20% - Accent1 3 6 4" xfId="6078" xr:uid="{00000000-0005-0000-0000-0000A4080000}"/>
    <cellStyle name="20% - Accent1 3 6 4 2" xfId="25529" xr:uid="{00000000-0005-0000-0000-0000A5080000}"/>
    <cellStyle name="20% - Accent1 3 6 4 3" xfId="35254" xr:uid="{00000000-0005-0000-0000-0000A6080000}"/>
    <cellStyle name="20% - Accent1 3 6 4 4" xfId="44979" xr:uid="{00000000-0005-0000-0000-0000A7080000}"/>
    <cellStyle name="20% - Accent1 3 6 4 5" xfId="15804" xr:uid="{00000000-0005-0000-0000-0000A8080000}"/>
    <cellStyle name="20% - Accent1 3 6 5" xfId="20667" xr:uid="{00000000-0005-0000-0000-0000A9080000}"/>
    <cellStyle name="20% - Accent1 3 6 6" xfId="30392" xr:uid="{00000000-0005-0000-0000-0000AA080000}"/>
    <cellStyle name="20% - Accent1 3 6 7" xfId="40117" xr:uid="{00000000-0005-0000-0000-0000AB080000}"/>
    <cellStyle name="20% - Accent1 3 6 8" xfId="10942" xr:uid="{00000000-0005-0000-0000-0000AC080000}"/>
    <cellStyle name="20% - Accent1 3 7" xfId="1305" xr:uid="{00000000-0005-0000-0000-0000AD080000}"/>
    <cellStyle name="20% - Accent1 3 7 2" xfId="2926" xr:uid="{00000000-0005-0000-0000-0000AE080000}"/>
    <cellStyle name="20% - Accent1 3 7 2 2" xfId="7788" xr:uid="{00000000-0005-0000-0000-0000AF080000}"/>
    <cellStyle name="20% - Accent1 3 7 2 2 2" xfId="27239" xr:uid="{00000000-0005-0000-0000-0000B0080000}"/>
    <cellStyle name="20% - Accent1 3 7 2 2 3" xfId="36964" xr:uid="{00000000-0005-0000-0000-0000B1080000}"/>
    <cellStyle name="20% - Accent1 3 7 2 2 4" xfId="46689" xr:uid="{00000000-0005-0000-0000-0000B2080000}"/>
    <cellStyle name="20% - Accent1 3 7 2 2 5" xfId="17514" xr:uid="{00000000-0005-0000-0000-0000B3080000}"/>
    <cellStyle name="20% - Accent1 3 7 2 3" xfId="22377" xr:uid="{00000000-0005-0000-0000-0000B4080000}"/>
    <cellStyle name="20% - Accent1 3 7 2 4" xfId="32102" xr:uid="{00000000-0005-0000-0000-0000B5080000}"/>
    <cellStyle name="20% - Accent1 3 7 2 5" xfId="41827" xr:uid="{00000000-0005-0000-0000-0000B6080000}"/>
    <cellStyle name="20% - Accent1 3 7 2 6" xfId="12652" xr:uid="{00000000-0005-0000-0000-0000B7080000}"/>
    <cellStyle name="20% - Accent1 3 7 3" xfId="4546" xr:uid="{00000000-0005-0000-0000-0000B8080000}"/>
    <cellStyle name="20% - Accent1 3 7 3 2" xfId="9408" xr:uid="{00000000-0005-0000-0000-0000B9080000}"/>
    <cellStyle name="20% - Accent1 3 7 3 2 2" xfId="28859" xr:uid="{00000000-0005-0000-0000-0000BA080000}"/>
    <cellStyle name="20% - Accent1 3 7 3 2 3" xfId="38584" xr:uid="{00000000-0005-0000-0000-0000BB080000}"/>
    <cellStyle name="20% - Accent1 3 7 3 2 4" xfId="48309" xr:uid="{00000000-0005-0000-0000-0000BC080000}"/>
    <cellStyle name="20% - Accent1 3 7 3 2 5" xfId="19134" xr:uid="{00000000-0005-0000-0000-0000BD080000}"/>
    <cellStyle name="20% - Accent1 3 7 3 3" xfId="23997" xr:uid="{00000000-0005-0000-0000-0000BE080000}"/>
    <cellStyle name="20% - Accent1 3 7 3 4" xfId="33722" xr:uid="{00000000-0005-0000-0000-0000BF080000}"/>
    <cellStyle name="20% - Accent1 3 7 3 5" xfId="43447" xr:uid="{00000000-0005-0000-0000-0000C0080000}"/>
    <cellStyle name="20% - Accent1 3 7 3 6" xfId="14272" xr:uid="{00000000-0005-0000-0000-0000C1080000}"/>
    <cellStyle name="20% - Accent1 3 7 4" xfId="6168" xr:uid="{00000000-0005-0000-0000-0000C2080000}"/>
    <cellStyle name="20% - Accent1 3 7 4 2" xfId="25619" xr:uid="{00000000-0005-0000-0000-0000C3080000}"/>
    <cellStyle name="20% - Accent1 3 7 4 3" xfId="35344" xr:uid="{00000000-0005-0000-0000-0000C4080000}"/>
    <cellStyle name="20% - Accent1 3 7 4 4" xfId="45069" xr:uid="{00000000-0005-0000-0000-0000C5080000}"/>
    <cellStyle name="20% - Accent1 3 7 4 5" xfId="15894" xr:uid="{00000000-0005-0000-0000-0000C6080000}"/>
    <cellStyle name="20% - Accent1 3 7 5" xfId="20757" xr:uid="{00000000-0005-0000-0000-0000C7080000}"/>
    <cellStyle name="20% - Accent1 3 7 6" xfId="30482" xr:uid="{00000000-0005-0000-0000-0000C8080000}"/>
    <cellStyle name="20% - Accent1 3 7 7" xfId="40207" xr:uid="{00000000-0005-0000-0000-0000C9080000}"/>
    <cellStyle name="20% - Accent1 3 7 8" xfId="11032" xr:uid="{00000000-0005-0000-0000-0000CA080000}"/>
    <cellStyle name="20% - Accent1 3 8" xfId="476" xr:uid="{00000000-0005-0000-0000-0000CB080000}"/>
    <cellStyle name="20% - Accent1 3 8 2" xfId="2116" xr:uid="{00000000-0005-0000-0000-0000CC080000}"/>
    <cellStyle name="20% - Accent1 3 8 2 2" xfId="6978" xr:uid="{00000000-0005-0000-0000-0000CD080000}"/>
    <cellStyle name="20% - Accent1 3 8 2 2 2" xfId="26429" xr:uid="{00000000-0005-0000-0000-0000CE080000}"/>
    <cellStyle name="20% - Accent1 3 8 2 2 3" xfId="36154" xr:uid="{00000000-0005-0000-0000-0000CF080000}"/>
    <cellStyle name="20% - Accent1 3 8 2 2 4" xfId="45879" xr:uid="{00000000-0005-0000-0000-0000D0080000}"/>
    <cellStyle name="20% - Accent1 3 8 2 2 5" xfId="16704" xr:uid="{00000000-0005-0000-0000-0000D1080000}"/>
    <cellStyle name="20% - Accent1 3 8 2 3" xfId="21567" xr:uid="{00000000-0005-0000-0000-0000D2080000}"/>
    <cellStyle name="20% - Accent1 3 8 2 4" xfId="31292" xr:uid="{00000000-0005-0000-0000-0000D3080000}"/>
    <cellStyle name="20% - Accent1 3 8 2 5" xfId="41017" xr:uid="{00000000-0005-0000-0000-0000D4080000}"/>
    <cellStyle name="20% - Accent1 3 8 2 6" xfId="11842" xr:uid="{00000000-0005-0000-0000-0000D5080000}"/>
    <cellStyle name="20% - Accent1 3 8 3" xfId="3736" xr:uid="{00000000-0005-0000-0000-0000D6080000}"/>
    <cellStyle name="20% - Accent1 3 8 3 2" xfId="8598" xr:uid="{00000000-0005-0000-0000-0000D7080000}"/>
    <cellStyle name="20% - Accent1 3 8 3 2 2" xfId="28049" xr:uid="{00000000-0005-0000-0000-0000D8080000}"/>
    <cellStyle name="20% - Accent1 3 8 3 2 3" xfId="37774" xr:uid="{00000000-0005-0000-0000-0000D9080000}"/>
    <cellStyle name="20% - Accent1 3 8 3 2 4" xfId="47499" xr:uid="{00000000-0005-0000-0000-0000DA080000}"/>
    <cellStyle name="20% - Accent1 3 8 3 2 5" xfId="18324" xr:uid="{00000000-0005-0000-0000-0000DB080000}"/>
    <cellStyle name="20% - Accent1 3 8 3 3" xfId="23187" xr:uid="{00000000-0005-0000-0000-0000DC080000}"/>
    <cellStyle name="20% - Accent1 3 8 3 4" xfId="32912" xr:uid="{00000000-0005-0000-0000-0000DD080000}"/>
    <cellStyle name="20% - Accent1 3 8 3 5" xfId="42637" xr:uid="{00000000-0005-0000-0000-0000DE080000}"/>
    <cellStyle name="20% - Accent1 3 8 3 6" xfId="13462" xr:uid="{00000000-0005-0000-0000-0000DF080000}"/>
    <cellStyle name="20% - Accent1 3 8 4" xfId="5358" xr:uid="{00000000-0005-0000-0000-0000E0080000}"/>
    <cellStyle name="20% - Accent1 3 8 4 2" xfId="24809" xr:uid="{00000000-0005-0000-0000-0000E1080000}"/>
    <cellStyle name="20% - Accent1 3 8 4 3" xfId="34534" xr:uid="{00000000-0005-0000-0000-0000E2080000}"/>
    <cellStyle name="20% - Accent1 3 8 4 4" xfId="44259" xr:uid="{00000000-0005-0000-0000-0000E3080000}"/>
    <cellStyle name="20% - Accent1 3 8 4 5" xfId="15084" xr:uid="{00000000-0005-0000-0000-0000E4080000}"/>
    <cellStyle name="20% - Accent1 3 8 5" xfId="19947" xr:uid="{00000000-0005-0000-0000-0000E5080000}"/>
    <cellStyle name="20% - Accent1 3 8 6" xfId="29672" xr:uid="{00000000-0005-0000-0000-0000E6080000}"/>
    <cellStyle name="20% - Accent1 3 8 7" xfId="39397" xr:uid="{00000000-0005-0000-0000-0000E7080000}"/>
    <cellStyle name="20% - Accent1 3 8 8" xfId="10222" xr:uid="{00000000-0005-0000-0000-0000E8080000}"/>
    <cellStyle name="20% - Accent1 3 9" xfId="1665" xr:uid="{00000000-0005-0000-0000-0000E9080000}"/>
    <cellStyle name="20% - Accent1 3 9 2" xfId="3286" xr:uid="{00000000-0005-0000-0000-0000EA080000}"/>
    <cellStyle name="20% - Accent1 3 9 2 2" xfId="8148" xr:uid="{00000000-0005-0000-0000-0000EB080000}"/>
    <cellStyle name="20% - Accent1 3 9 2 2 2" xfId="27599" xr:uid="{00000000-0005-0000-0000-0000EC080000}"/>
    <cellStyle name="20% - Accent1 3 9 2 2 3" xfId="37324" xr:uid="{00000000-0005-0000-0000-0000ED080000}"/>
    <cellStyle name="20% - Accent1 3 9 2 2 4" xfId="47049" xr:uid="{00000000-0005-0000-0000-0000EE080000}"/>
    <cellStyle name="20% - Accent1 3 9 2 2 5" xfId="17874" xr:uid="{00000000-0005-0000-0000-0000EF080000}"/>
    <cellStyle name="20% - Accent1 3 9 2 3" xfId="22737" xr:uid="{00000000-0005-0000-0000-0000F0080000}"/>
    <cellStyle name="20% - Accent1 3 9 2 4" xfId="32462" xr:uid="{00000000-0005-0000-0000-0000F1080000}"/>
    <cellStyle name="20% - Accent1 3 9 2 5" xfId="42187" xr:uid="{00000000-0005-0000-0000-0000F2080000}"/>
    <cellStyle name="20% - Accent1 3 9 2 6" xfId="13012" xr:uid="{00000000-0005-0000-0000-0000F3080000}"/>
    <cellStyle name="20% - Accent1 3 9 3" xfId="4906" xr:uid="{00000000-0005-0000-0000-0000F4080000}"/>
    <cellStyle name="20% - Accent1 3 9 3 2" xfId="9768" xr:uid="{00000000-0005-0000-0000-0000F5080000}"/>
    <cellStyle name="20% - Accent1 3 9 3 2 2" xfId="29219" xr:uid="{00000000-0005-0000-0000-0000F6080000}"/>
    <cellStyle name="20% - Accent1 3 9 3 2 3" xfId="38944" xr:uid="{00000000-0005-0000-0000-0000F7080000}"/>
    <cellStyle name="20% - Accent1 3 9 3 2 4" xfId="48669" xr:uid="{00000000-0005-0000-0000-0000F8080000}"/>
    <cellStyle name="20% - Accent1 3 9 3 2 5" xfId="19494" xr:uid="{00000000-0005-0000-0000-0000F9080000}"/>
    <cellStyle name="20% - Accent1 3 9 3 3" xfId="24357" xr:uid="{00000000-0005-0000-0000-0000FA080000}"/>
    <cellStyle name="20% - Accent1 3 9 3 4" xfId="34082" xr:uid="{00000000-0005-0000-0000-0000FB080000}"/>
    <cellStyle name="20% - Accent1 3 9 3 5" xfId="43807" xr:uid="{00000000-0005-0000-0000-0000FC080000}"/>
    <cellStyle name="20% - Accent1 3 9 3 6" xfId="14632" xr:uid="{00000000-0005-0000-0000-0000FD080000}"/>
    <cellStyle name="20% - Accent1 3 9 4" xfId="6528" xr:uid="{00000000-0005-0000-0000-0000FE080000}"/>
    <cellStyle name="20% - Accent1 3 9 4 2" xfId="25979" xr:uid="{00000000-0005-0000-0000-0000FF080000}"/>
    <cellStyle name="20% - Accent1 3 9 4 3" xfId="35704" xr:uid="{00000000-0005-0000-0000-000000090000}"/>
    <cellStyle name="20% - Accent1 3 9 4 4" xfId="45429" xr:uid="{00000000-0005-0000-0000-000001090000}"/>
    <cellStyle name="20% - Accent1 3 9 4 5" xfId="16254" xr:uid="{00000000-0005-0000-0000-000002090000}"/>
    <cellStyle name="20% - Accent1 3 9 5" xfId="21117" xr:uid="{00000000-0005-0000-0000-000003090000}"/>
    <cellStyle name="20% - Accent1 3 9 6" xfId="30842" xr:uid="{00000000-0005-0000-0000-000004090000}"/>
    <cellStyle name="20% - Accent1 3 9 7" xfId="40567" xr:uid="{00000000-0005-0000-0000-000005090000}"/>
    <cellStyle name="20% - Accent1 3 9 8" xfId="11392" xr:uid="{00000000-0005-0000-0000-000006090000}"/>
    <cellStyle name="20% - Accent1 4" xfId="102" xr:uid="{00000000-0005-0000-0000-000007090000}"/>
    <cellStyle name="20% - Accent1 4 10" xfId="1786" xr:uid="{00000000-0005-0000-0000-000008090000}"/>
    <cellStyle name="20% - Accent1 4 10 2" xfId="6648" xr:uid="{00000000-0005-0000-0000-000009090000}"/>
    <cellStyle name="20% - Accent1 4 10 2 2" xfId="26099" xr:uid="{00000000-0005-0000-0000-00000A090000}"/>
    <cellStyle name="20% - Accent1 4 10 2 3" xfId="35824" xr:uid="{00000000-0005-0000-0000-00000B090000}"/>
    <cellStyle name="20% - Accent1 4 10 2 4" xfId="45549" xr:uid="{00000000-0005-0000-0000-00000C090000}"/>
    <cellStyle name="20% - Accent1 4 10 2 5" xfId="16374" xr:uid="{00000000-0005-0000-0000-00000D090000}"/>
    <cellStyle name="20% - Accent1 4 10 3" xfId="21237" xr:uid="{00000000-0005-0000-0000-00000E090000}"/>
    <cellStyle name="20% - Accent1 4 10 4" xfId="30962" xr:uid="{00000000-0005-0000-0000-00000F090000}"/>
    <cellStyle name="20% - Accent1 4 10 5" xfId="40687" xr:uid="{00000000-0005-0000-0000-000010090000}"/>
    <cellStyle name="20% - Accent1 4 10 6" xfId="11512" xr:uid="{00000000-0005-0000-0000-000011090000}"/>
    <cellStyle name="20% - Accent1 4 11" xfId="3406" xr:uid="{00000000-0005-0000-0000-000012090000}"/>
    <cellStyle name="20% - Accent1 4 11 2" xfId="8268" xr:uid="{00000000-0005-0000-0000-000013090000}"/>
    <cellStyle name="20% - Accent1 4 11 2 2" xfId="27719" xr:uid="{00000000-0005-0000-0000-000014090000}"/>
    <cellStyle name="20% - Accent1 4 11 2 3" xfId="37444" xr:uid="{00000000-0005-0000-0000-000015090000}"/>
    <cellStyle name="20% - Accent1 4 11 2 4" xfId="47169" xr:uid="{00000000-0005-0000-0000-000016090000}"/>
    <cellStyle name="20% - Accent1 4 11 2 5" xfId="17994" xr:uid="{00000000-0005-0000-0000-000017090000}"/>
    <cellStyle name="20% - Accent1 4 11 3" xfId="22857" xr:uid="{00000000-0005-0000-0000-000018090000}"/>
    <cellStyle name="20% - Accent1 4 11 4" xfId="32582" xr:uid="{00000000-0005-0000-0000-000019090000}"/>
    <cellStyle name="20% - Accent1 4 11 5" xfId="42307" xr:uid="{00000000-0005-0000-0000-00001A090000}"/>
    <cellStyle name="20% - Accent1 4 11 6" xfId="13132" xr:uid="{00000000-0005-0000-0000-00001B090000}"/>
    <cellStyle name="20% - Accent1 4 12" xfId="5028" xr:uid="{00000000-0005-0000-0000-00001C090000}"/>
    <cellStyle name="20% - Accent1 4 12 2" xfId="24479" xr:uid="{00000000-0005-0000-0000-00001D090000}"/>
    <cellStyle name="20% - Accent1 4 12 3" xfId="34204" xr:uid="{00000000-0005-0000-0000-00001E090000}"/>
    <cellStyle name="20% - Accent1 4 12 4" xfId="43929" xr:uid="{00000000-0005-0000-0000-00001F090000}"/>
    <cellStyle name="20% - Accent1 4 12 5" xfId="14754" xr:uid="{00000000-0005-0000-0000-000020090000}"/>
    <cellStyle name="20% - Accent1 4 13" xfId="19617" xr:uid="{00000000-0005-0000-0000-000021090000}"/>
    <cellStyle name="20% - Accent1 4 14" xfId="29342" xr:uid="{00000000-0005-0000-0000-000022090000}"/>
    <cellStyle name="20% - Accent1 4 15" xfId="39067" xr:uid="{00000000-0005-0000-0000-000023090000}"/>
    <cellStyle name="20% - Accent1 4 16" xfId="9892" xr:uid="{00000000-0005-0000-0000-000024090000}"/>
    <cellStyle name="20% - Accent1 4 2" xfId="284" xr:uid="{00000000-0005-0000-0000-000025090000}"/>
    <cellStyle name="20% - Accent1 4 2 10" xfId="39247" xr:uid="{00000000-0005-0000-0000-000026090000}"/>
    <cellStyle name="20% - Accent1 4 2 11" xfId="10072" xr:uid="{00000000-0005-0000-0000-000027090000}"/>
    <cellStyle name="20% - Accent1 4 2 2" xfId="1048" xr:uid="{00000000-0005-0000-0000-000028090000}"/>
    <cellStyle name="20% - Accent1 4 2 2 2" xfId="2686" xr:uid="{00000000-0005-0000-0000-000029090000}"/>
    <cellStyle name="20% - Accent1 4 2 2 2 2" xfId="7548" xr:uid="{00000000-0005-0000-0000-00002A090000}"/>
    <cellStyle name="20% - Accent1 4 2 2 2 2 2" xfId="26999" xr:uid="{00000000-0005-0000-0000-00002B090000}"/>
    <cellStyle name="20% - Accent1 4 2 2 2 2 3" xfId="36724" xr:uid="{00000000-0005-0000-0000-00002C090000}"/>
    <cellStyle name="20% - Accent1 4 2 2 2 2 4" xfId="46449" xr:uid="{00000000-0005-0000-0000-00002D090000}"/>
    <cellStyle name="20% - Accent1 4 2 2 2 2 5" xfId="17274" xr:uid="{00000000-0005-0000-0000-00002E090000}"/>
    <cellStyle name="20% - Accent1 4 2 2 2 3" xfId="22137" xr:uid="{00000000-0005-0000-0000-00002F090000}"/>
    <cellStyle name="20% - Accent1 4 2 2 2 4" xfId="31862" xr:uid="{00000000-0005-0000-0000-000030090000}"/>
    <cellStyle name="20% - Accent1 4 2 2 2 5" xfId="41587" xr:uid="{00000000-0005-0000-0000-000031090000}"/>
    <cellStyle name="20% - Accent1 4 2 2 2 6" xfId="12412" xr:uid="{00000000-0005-0000-0000-000032090000}"/>
    <cellStyle name="20% - Accent1 4 2 2 3" xfId="4306" xr:uid="{00000000-0005-0000-0000-000033090000}"/>
    <cellStyle name="20% - Accent1 4 2 2 3 2" xfId="9168" xr:uid="{00000000-0005-0000-0000-000034090000}"/>
    <cellStyle name="20% - Accent1 4 2 2 3 2 2" xfId="28619" xr:uid="{00000000-0005-0000-0000-000035090000}"/>
    <cellStyle name="20% - Accent1 4 2 2 3 2 3" xfId="38344" xr:uid="{00000000-0005-0000-0000-000036090000}"/>
    <cellStyle name="20% - Accent1 4 2 2 3 2 4" xfId="48069" xr:uid="{00000000-0005-0000-0000-000037090000}"/>
    <cellStyle name="20% - Accent1 4 2 2 3 2 5" xfId="18894" xr:uid="{00000000-0005-0000-0000-000038090000}"/>
    <cellStyle name="20% - Accent1 4 2 2 3 3" xfId="23757" xr:uid="{00000000-0005-0000-0000-000039090000}"/>
    <cellStyle name="20% - Accent1 4 2 2 3 4" xfId="33482" xr:uid="{00000000-0005-0000-0000-00003A090000}"/>
    <cellStyle name="20% - Accent1 4 2 2 3 5" xfId="43207" xr:uid="{00000000-0005-0000-0000-00003B090000}"/>
    <cellStyle name="20% - Accent1 4 2 2 3 6" xfId="14032" xr:uid="{00000000-0005-0000-0000-00003C090000}"/>
    <cellStyle name="20% - Accent1 4 2 2 4" xfId="5928" xr:uid="{00000000-0005-0000-0000-00003D090000}"/>
    <cellStyle name="20% - Accent1 4 2 2 4 2" xfId="25379" xr:uid="{00000000-0005-0000-0000-00003E090000}"/>
    <cellStyle name="20% - Accent1 4 2 2 4 3" xfId="35104" xr:uid="{00000000-0005-0000-0000-00003F090000}"/>
    <cellStyle name="20% - Accent1 4 2 2 4 4" xfId="44829" xr:uid="{00000000-0005-0000-0000-000040090000}"/>
    <cellStyle name="20% - Accent1 4 2 2 4 5" xfId="15654" xr:uid="{00000000-0005-0000-0000-000041090000}"/>
    <cellStyle name="20% - Accent1 4 2 2 5" xfId="20517" xr:uid="{00000000-0005-0000-0000-000042090000}"/>
    <cellStyle name="20% - Accent1 4 2 2 6" xfId="30242" xr:uid="{00000000-0005-0000-0000-000043090000}"/>
    <cellStyle name="20% - Accent1 4 2 2 7" xfId="39967" xr:uid="{00000000-0005-0000-0000-000044090000}"/>
    <cellStyle name="20% - Accent1 4 2 2 8" xfId="10792" xr:uid="{00000000-0005-0000-0000-000045090000}"/>
    <cellStyle name="20% - Accent1 4 2 3" xfId="1515" xr:uid="{00000000-0005-0000-0000-000046090000}"/>
    <cellStyle name="20% - Accent1 4 2 3 2" xfId="3136" xr:uid="{00000000-0005-0000-0000-000047090000}"/>
    <cellStyle name="20% - Accent1 4 2 3 2 2" xfId="7998" xr:uid="{00000000-0005-0000-0000-000048090000}"/>
    <cellStyle name="20% - Accent1 4 2 3 2 2 2" xfId="27449" xr:uid="{00000000-0005-0000-0000-000049090000}"/>
    <cellStyle name="20% - Accent1 4 2 3 2 2 3" xfId="37174" xr:uid="{00000000-0005-0000-0000-00004A090000}"/>
    <cellStyle name="20% - Accent1 4 2 3 2 2 4" xfId="46899" xr:uid="{00000000-0005-0000-0000-00004B090000}"/>
    <cellStyle name="20% - Accent1 4 2 3 2 2 5" xfId="17724" xr:uid="{00000000-0005-0000-0000-00004C090000}"/>
    <cellStyle name="20% - Accent1 4 2 3 2 3" xfId="22587" xr:uid="{00000000-0005-0000-0000-00004D090000}"/>
    <cellStyle name="20% - Accent1 4 2 3 2 4" xfId="32312" xr:uid="{00000000-0005-0000-0000-00004E090000}"/>
    <cellStyle name="20% - Accent1 4 2 3 2 5" xfId="42037" xr:uid="{00000000-0005-0000-0000-00004F090000}"/>
    <cellStyle name="20% - Accent1 4 2 3 2 6" xfId="12862" xr:uid="{00000000-0005-0000-0000-000050090000}"/>
    <cellStyle name="20% - Accent1 4 2 3 3" xfId="4756" xr:uid="{00000000-0005-0000-0000-000051090000}"/>
    <cellStyle name="20% - Accent1 4 2 3 3 2" xfId="9618" xr:uid="{00000000-0005-0000-0000-000052090000}"/>
    <cellStyle name="20% - Accent1 4 2 3 3 2 2" xfId="29069" xr:uid="{00000000-0005-0000-0000-000053090000}"/>
    <cellStyle name="20% - Accent1 4 2 3 3 2 3" xfId="38794" xr:uid="{00000000-0005-0000-0000-000054090000}"/>
    <cellStyle name="20% - Accent1 4 2 3 3 2 4" xfId="48519" xr:uid="{00000000-0005-0000-0000-000055090000}"/>
    <cellStyle name="20% - Accent1 4 2 3 3 2 5" xfId="19344" xr:uid="{00000000-0005-0000-0000-000056090000}"/>
    <cellStyle name="20% - Accent1 4 2 3 3 3" xfId="24207" xr:uid="{00000000-0005-0000-0000-000057090000}"/>
    <cellStyle name="20% - Accent1 4 2 3 3 4" xfId="33932" xr:uid="{00000000-0005-0000-0000-000058090000}"/>
    <cellStyle name="20% - Accent1 4 2 3 3 5" xfId="43657" xr:uid="{00000000-0005-0000-0000-000059090000}"/>
    <cellStyle name="20% - Accent1 4 2 3 3 6" xfId="14482" xr:uid="{00000000-0005-0000-0000-00005A090000}"/>
    <cellStyle name="20% - Accent1 4 2 3 4" xfId="6378" xr:uid="{00000000-0005-0000-0000-00005B090000}"/>
    <cellStyle name="20% - Accent1 4 2 3 4 2" xfId="25829" xr:uid="{00000000-0005-0000-0000-00005C090000}"/>
    <cellStyle name="20% - Accent1 4 2 3 4 3" xfId="35554" xr:uid="{00000000-0005-0000-0000-00005D090000}"/>
    <cellStyle name="20% - Accent1 4 2 3 4 4" xfId="45279" xr:uid="{00000000-0005-0000-0000-00005E090000}"/>
    <cellStyle name="20% - Accent1 4 2 3 4 5" xfId="16104" xr:uid="{00000000-0005-0000-0000-00005F090000}"/>
    <cellStyle name="20% - Accent1 4 2 3 5" xfId="20967" xr:uid="{00000000-0005-0000-0000-000060090000}"/>
    <cellStyle name="20% - Accent1 4 2 3 6" xfId="30692" xr:uid="{00000000-0005-0000-0000-000061090000}"/>
    <cellStyle name="20% - Accent1 4 2 3 7" xfId="40417" xr:uid="{00000000-0005-0000-0000-000062090000}"/>
    <cellStyle name="20% - Accent1 4 2 3 8" xfId="11242" xr:uid="{00000000-0005-0000-0000-000063090000}"/>
    <cellStyle name="20% - Accent1 4 2 4" xfId="686" xr:uid="{00000000-0005-0000-0000-000064090000}"/>
    <cellStyle name="20% - Accent1 4 2 4 2" xfId="2326" xr:uid="{00000000-0005-0000-0000-000065090000}"/>
    <cellStyle name="20% - Accent1 4 2 4 2 2" xfId="7188" xr:uid="{00000000-0005-0000-0000-000066090000}"/>
    <cellStyle name="20% - Accent1 4 2 4 2 2 2" xfId="26639" xr:uid="{00000000-0005-0000-0000-000067090000}"/>
    <cellStyle name="20% - Accent1 4 2 4 2 2 3" xfId="36364" xr:uid="{00000000-0005-0000-0000-000068090000}"/>
    <cellStyle name="20% - Accent1 4 2 4 2 2 4" xfId="46089" xr:uid="{00000000-0005-0000-0000-000069090000}"/>
    <cellStyle name="20% - Accent1 4 2 4 2 2 5" xfId="16914" xr:uid="{00000000-0005-0000-0000-00006A090000}"/>
    <cellStyle name="20% - Accent1 4 2 4 2 3" xfId="21777" xr:uid="{00000000-0005-0000-0000-00006B090000}"/>
    <cellStyle name="20% - Accent1 4 2 4 2 4" xfId="31502" xr:uid="{00000000-0005-0000-0000-00006C090000}"/>
    <cellStyle name="20% - Accent1 4 2 4 2 5" xfId="41227" xr:uid="{00000000-0005-0000-0000-00006D090000}"/>
    <cellStyle name="20% - Accent1 4 2 4 2 6" xfId="12052" xr:uid="{00000000-0005-0000-0000-00006E090000}"/>
    <cellStyle name="20% - Accent1 4 2 4 3" xfId="3946" xr:uid="{00000000-0005-0000-0000-00006F090000}"/>
    <cellStyle name="20% - Accent1 4 2 4 3 2" xfId="8808" xr:uid="{00000000-0005-0000-0000-000070090000}"/>
    <cellStyle name="20% - Accent1 4 2 4 3 2 2" xfId="28259" xr:uid="{00000000-0005-0000-0000-000071090000}"/>
    <cellStyle name="20% - Accent1 4 2 4 3 2 3" xfId="37984" xr:uid="{00000000-0005-0000-0000-000072090000}"/>
    <cellStyle name="20% - Accent1 4 2 4 3 2 4" xfId="47709" xr:uid="{00000000-0005-0000-0000-000073090000}"/>
    <cellStyle name="20% - Accent1 4 2 4 3 2 5" xfId="18534" xr:uid="{00000000-0005-0000-0000-000074090000}"/>
    <cellStyle name="20% - Accent1 4 2 4 3 3" xfId="23397" xr:uid="{00000000-0005-0000-0000-000075090000}"/>
    <cellStyle name="20% - Accent1 4 2 4 3 4" xfId="33122" xr:uid="{00000000-0005-0000-0000-000076090000}"/>
    <cellStyle name="20% - Accent1 4 2 4 3 5" xfId="42847" xr:uid="{00000000-0005-0000-0000-000077090000}"/>
    <cellStyle name="20% - Accent1 4 2 4 3 6" xfId="13672" xr:uid="{00000000-0005-0000-0000-000078090000}"/>
    <cellStyle name="20% - Accent1 4 2 4 4" xfId="5568" xr:uid="{00000000-0005-0000-0000-000079090000}"/>
    <cellStyle name="20% - Accent1 4 2 4 4 2" xfId="25019" xr:uid="{00000000-0005-0000-0000-00007A090000}"/>
    <cellStyle name="20% - Accent1 4 2 4 4 3" xfId="34744" xr:uid="{00000000-0005-0000-0000-00007B090000}"/>
    <cellStyle name="20% - Accent1 4 2 4 4 4" xfId="44469" xr:uid="{00000000-0005-0000-0000-00007C090000}"/>
    <cellStyle name="20% - Accent1 4 2 4 4 5" xfId="15294" xr:uid="{00000000-0005-0000-0000-00007D090000}"/>
    <cellStyle name="20% - Accent1 4 2 4 5" xfId="20157" xr:uid="{00000000-0005-0000-0000-00007E090000}"/>
    <cellStyle name="20% - Accent1 4 2 4 6" xfId="29882" xr:uid="{00000000-0005-0000-0000-00007F090000}"/>
    <cellStyle name="20% - Accent1 4 2 4 7" xfId="39607" xr:uid="{00000000-0005-0000-0000-000080090000}"/>
    <cellStyle name="20% - Accent1 4 2 4 8" xfId="10432" xr:uid="{00000000-0005-0000-0000-000081090000}"/>
    <cellStyle name="20% - Accent1 4 2 5" xfId="1966" xr:uid="{00000000-0005-0000-0000-000082090000}"/>
    <cellStyle name="20% - Accent1 4 2 5 2" xfId="6828" xr:uid="{00000000-0005-0000-0000-000083090000}"/>
    <cellStyle name="20% - Accent1 4 2 5 2 2" xfId="26279" xr:uid="{00000000-0005-0000-0000-000084090000}"/>
    <cellStyle name="20% - Accent1 4 2 5 2 3" xfId="36004" xr:uid="{00000000-0005-0000-0000-000085090000}"/>
    <cellStyle name="20% - Accent1 4 2 5 2 4" xfId="45729" xr:uid="{00000000-0005-0000-0000-000086090000}"/>
    <cellStyle name="20% - Accent1 4 2 5 2 5" xfId="16554" xr:uid="{00000000-0005-0000-0000-000087090000}"/>
    <cellStyle name="20% - Accent1 4 2 5 3" xfId="21417" xr:uid="{00000000-0005-0000-0000-000088090000}"/>
    <cellStyle name="20% - Accent1 4 2 5 4" xfId="31142" xr:uid="{00000000-0005-0000-0000-000089090000}"/>
    <cellStyle name="20% - Accent1 4 2 5 5" xfId="40867" xr:uid="{00000000-0005-0000-0000-00008A090000}"/>
    <cellStyle name="20% - Accent1 4 2 5 6" xfId="11692" xr:uid="{00000000-0005-0000-0000-00008B090000}"/>
    <cellStyle name="20% - Accent1 4 2 6" xfId="3586" xr:uid="{00000000-0005-0000-0000-00008C090000}"/>
    <cellStyle name="20% - Accent1 4 2 6 2" xfId="8448" xr:uid="{00000000-0005-0000-0000-00008D090000}"/>
    <cellStyle name="20% - Accent1 4 2 6 2 2" xfId="27899" xr:uid="{00000000-0005-0000-0000-00008E090000}"/>
    <cellStyle name="20% - Accent1 4 2 6 2 3" xfId="37624" xr:uid="{00000000-0005-0000-0000-00008F090000}"/>
    <cellStyle name="20% - Accent1 4 2 6 2 4" xfId="47349" xr:uid="{00000000-0005-0000-0000-000090090000}"/>
    <cellStyle name="20% - Accent1 4 2 6 2 5" xfId="18174" xr:uid="{00000000-0005-0000-0000-000091090000}"/>
    <cellStyle name="20% - Accent1 4 2 6 3" xfId="23037" xr:uid="{00000000-0005-0000-0000-000092090000}"/>
    <cellStyle name="20% - Accent1 4 2 6 4" xfId="32762" xr:uid="{00000000-0005-0000-0000-000093090000}"/>
    <cellStyle name="20% - Accent1 4 2 6 5" xfId="42487" xr:uid="{00000000-0005-0000-0000-000094090000}"/>
    <cellStyle name="20% - Accent1 4 2 6 6" xfId="13312" xr:uid="{00000000-0005-0000-0000-000095090000}"/>
    <cellStyle name="20% - Accent1 4 2 7" xfId="5208" xr:uid="{00000000-0005-0000-0000-000096090000}"/>
    <cellStyle name="20% - Accent1 4 2 7 2" xfId="24659" xr:uid="{00000000-0005-0000-0000-000097090000}"/>
    <cellStyle name="20% - Accent1 4 2 7 3" xfId="34384" xr:uid="{00000000-0005-0000-0000-000098090000}"/>
    <cellStyle name="20% - Accent1 4 2 7 4" xfId="44109" xr:uid="{00000000-0005-0000-0000-000099090000}"/>
    <cellStyle name="20% - Accent1 4 2 7 5" xfId="14934" xr:uid="{00000000-0005-0000-0000-00009A090000}"/>
    <cellStyle name="20% - Accent1 4 2 8" xfId="19797" xr:uid="{00000000-0005-0000-0000-00009B090000}"/>
    <cellStyle name="20% - Accent1 4 2 9" xfId="29522" xr:uid="{00000000-0005-0000-0000-00009C090000}"/>
    <cellStyle name="20% - Accent1 4 3" xfId="375" xr:uid="{00000000-0005-0000-0000-00009D090000}"/>
    <cellStyle name="20% - Accent1 4 3 10" xfId="39337" xr:uid="{00000000-0005-0000-0000-00009E090000}"/>
    <cellStyle name="20% - Accent1 4 3 11" xfId="10162" xr:uid="{00000000-0005-0000-0000-00009F090000}"/>
    <cellStyle name="20% - Accent1 4 3 2" xfId="1138" xr:uid="{00000000-0005-0000-0000-0000A0090000}"/>
    <cellStyle name="20% - Accent1 4 3 2 2" xfId="2776" xr:uid="{00000000-0005-0000-0000-0000A1090000}"/>
    <cellStyle name="20% - Accent1 4 3 2 2 2" xfId="7638" xr:uid="{00000000-0005-0000-0000-0000A2090000}"/>
    <cellStyle name="20% - Accent1 4 3 2 2 2 2" xfId="27089" xr:uid="{00000000-0005-0000-0000-0000A3090000}"/>
    <cellStyle name="20% - Accent1 4 3 2 2 2 3" xfId="36814" xr:uid="{00000000-0005-0000-0000-0000A4090000}"/>
    <cellStyle name="20% - Accent1 4 3 2 2 2 4" xfId="46539" xr:uid="{00000000-0005-0000-0000-0000A5090000}"/>
    <cellStyle name="20% - Accent1 4 3 2 2 2 5" xfId="17364" xr:uid="{00000000-0005-0000-0000-0000A6090000}"/>
    <cellStyle name="20% - Accent1 4 3 2 2 3" xfId="22227" xr:uid="{00000000-0005-0000-0000-0000A7090000}"/>
    <cellStyle name="20% - Accent1 4 3 2 2 4" xfId="31952" xr:uid="{00000000-0005-0000-0000-0000A8090000}"/>
    <cellStyle name="20% - Accent1 4 3 2 2 5" xfId="41677" xr:uid="{00000000-0005-0000-0000-0000A9090000}"/>
    <cellStyle name="20% - Accent1 4 3 2 2 6" xfId="12502" xr:uid="{00000000-0005-0000-0000-0000AA090000}"/>
    <cellStyle name="20% - Accent1 4 3 2 3" xfId="4396" xr:uid="{00000000-0005-0000-0000-0000AB090000}"/>
    <cellStyle name="20% - Accent1 4 3 2 3 2" xfId="9258" xr:uid="{00000000-0005-0000-0000-0000AC090000}"/>
    <cellStyle name="20% - Accent1 4 3 2 3 2 2" xfId="28709" xr:uid="{00000000-0005-0000-0000-0000AD090000}"/>
    <cellStyle name="20% - Accent1 4 3 2 3 2 3" xfId="38434" xr:uid="{00000000-0005-0000-0000-0000AE090000}"/>
    <cellStyle name="20% - Accent1 4 3 2 3 2 4" xfId="48159" xr:uid="{00000000-0005-0000-0000-0000AF090000}"/>
    <cellStyle name="20% - Accent1 4 3 2 3 2 5" xfId="18984" xr:uid="{00000000-0005-0000-0000-0000B0090000}"/>
    <cellStyle name="20% - Accent1 4 3 2 3 3" xfId="23847" xr:uid="{00000000-0005-0000-0000-0000B1090000}"/>
    <cellStyle name="20% - Accent1 4 3 2 3 4" xfId="33572" xr:uid="{00000000-0005-0000-0000-0000B2090000}"/>
    <cellStyle name="20% - Accent1 4 3 2 3 5" xfId="43297" xr:uid="{00000000-0005-0000-0000-0000B3090000}"/>
    <cellStyle name="20% - Accent1 4 3 2 3 6" xfId="14122" xr:uid="{00000000-0005-0000-0000-0000B4090000}"/>
    <cellStyle name="20% - Accent1 4 3 2 4" xfId="6018" xr:uid="{00000000-0005-0000-0000-0000B5090000}"/>
    <cellStyle name="20% - Accent1 4 3 2 4 2" xfId="25469" xr:uid="{00000000-0005-0000-0000-0000B6090000}"/>
    <cellStyle name="20% - Accent1 4 3 2 4 3" xfId="35194" xr:uid="{00000000-0005-0000-0000-0000B7090000}"/>
    <cellStyle name="20% - Accent1 4 3 2 4 4" xfId="44919" xr:uid="{00000000-0005-0000-0000-0000B8090000}"/>
    <cellStyle name="20% - Accent1 4 3 2 4 5" xfId="15744" xr:uid="{00000000-0005-0000-0000-0000B9090000}"/>
    <cellStyle name="20% - Accent1 4 3 2 5" xfId="20607" xr:uid="{00000000-0005-0000-0000-0000BA090000}"/>
    <cellStyle name="20% - Accent1 4 3 2 6" xfId="30332" xr:uid="{00000000-0005-0000-0000-0000BB090000}"/>
    <cellStyle name="20% - Accent1 4 3 2 7" xfId="40057" xr:uid="{00000000-0005-0000-0000-0000BC090000}"/>
    <cellStyle name="20% - Accent1 4 3 2 8" xfId="10882" xr:uid="{00000000-0005-0000-0000-0000BD090000}"/>
    <cellStyle name="20% - Accent1 4 3 3" xfId="1605" xr:uid="{00000000-0005-0000-0000-0000BE090000}"/>
    <cellStyle name="20% - Accent1 4 3 3 2" xfId="3226" xr:uid="{00000000-0005-0000-0000-0000BF090000}"/>
    <cellStyle name="20% - Accent1 4 3 3 2 2" xfId="8088" xr:uid="{00000000-0005-0000-0000-0000C0090000}"/>
    <cellStyle name="20% - Accent1 4 3 3 2 2 2" xfId="27539" xr:uid="{00000000-0005-0000-0000-0000C1090000}"/>
    <cellStyle name="20% - Accent1 4 3 3 2 2 3" xfId="37264" xr:uid="{00000000-0005-0000-0000-0000C2090000}"/>
    <cellStyle name="20% - Accent1 4 3 3 2 2 4" xfId="46989" xr:uid="{00000000-0005-0000-0000-0000C3090000}"/>
    <cellStyle name="20% - Accent1 4 3 3 2 2 5" xfId="17814" xr:uid="{00000000-0005-0000-0000-0000C4090000}"/>
    <cellStyle name="20% - Accent1 4 3 3 2 3" xfId="22677" xr:uid="{00000000-0005-0000-0000-0000C5090000}"/>
    <cellStyle name="20% - Accent1 4 3 3 2 4" xfId="32402" xr:uid="{00000000-0005-0000-0000-0000C6090000}"/>
    <cellStyle name="20% - Accent1 4 3 3 2 5" xfId="42127" xr:uid="{00000000-0005-0000-0000-0000C7090000}"/>
    <cellStyle name="20% - Accent1 4 3 3 2 6" xfId="12952" xr:uid="{00000000-0005-0000-0000-0000C8090000}"/>
    <cellStyle name="20% - Accent1 4 3 3 3" xfId="4846" xr:uid="{00000000-0005-0000-0000-0000C9090000}"/>
    <cellStyle name="20% - Accent1 4 3 3 3 2" xfId="9708" xr:uid="{00000000-0005-0000-0000-0000CA090000}"/>
    <cellStyle name="20% - Accent1 4 3 3 3 2 2" xfId="29159" xr:uid="{00000000-0005-0000-0000-0000CB090000}"/>
    <cellStyle name="20% - Accent1 4 3 3 3 2 3" xfId="38884" xr:uid="{00000000-0005-0000-0000-0000CC090000}"/>
    <cellStyle name="20% - Accent1 4 3 3 3 2 4" xfId="48609" xr:uid="{00000000-0005-0000-0000-0000CD090000}"/>
    <cellStyle name="20% - Accent1 4 3 3 3 2 5" xfId="19434" xr:uid="{00000000-0005-0000-0000-0000CE090000}"/>
    <cellStyle name="20% - Accent1 4 3 3 3 3" xfId="24297" xr:uid="{00000000-0005-0000-0000-0000CF090000}"/>
    <cellStyle name="20% - Accent1 4 3 3 3 4" xfId="34022" xr:uid="{00000000-0005-0000-0000-0000D0090000}"/>
    <cellStyle name="20% - Accent1 4 3 3 3 5" xfId="43747" xr:uid="{00000000-0005-0000-0000-0000D1090000}"/>
    <cellStyle name="20% - Accent1 4 3 3 3 6" xfId="14572" xr:uid="{00000000-0005-0000-0000-0000D2090000}"/>
    <cellStyle name="20% - Accent1 4 3 3 4" xfId="6468" xr:uid="{00000000-0005-0000-0000-0000D3090000}"/>
    <cellStyle name="20% - Accent1 4 3 3 4 2" xfId="25919" xr:uid="{00000000-0005-0000-0000-0000D4090000}"/>
    <cellStyle name="20% - Accent1 4 3 3 4 3" xfId="35644" xr:uid="{00000000-0005-0000-0000-0000D5090000}"/>
    <cellStyle name="20% - Accent1 4 3 3 4 4" xfId="45369" xr:uid="{00000000-0005-0000-0000-0000D6090000}"/>
    <cellStyle name="20% - Accent1 4 3 3 4 5" xfId="16194" xr:uid="{00000000-0005-0000-0000-0000D7090000}"/>
    <cellStyle name="20% - Accent1 4 3 3 5" xfId="21057" xr:uid="{00000000-0005-0000-0000-0000D8090000}"/>
    <cellStyle name="20% - Accent1 4 3 3 6" xfId="30782" xr:uid="{00000000-0005-0000-0000-0000D9090000}"/>
    <cellStyle name="20% - Accent1 4 3 3 7" xfId="40507" xr:uid="{00000000-0005-0000-0000-0000DA090000}"/>
    <cellStyle name="20% - Accent1 4 3 3 8" xfId="11332" xr:uid="{00000000-0005-0000-0000-0000DB090000}"/>
    <cellStyle name="20% - Accent1 4 3 4" xfId="776" xr:uid="{00000000-0005-0000-0000-0000DC090000}"/>
    <cellStyle name="20% - Accent1 4 3 4 2" xfId="2416" xr:uid="{00000000-0005-0000-0000-0000DD090000}"/>
    <cellStyle name="20% - Accent1 4 3 4 2 2" xfId="7278" xr:uid="{00000000-0005-0000-0000-0000DE090000}"/>
    <cellStyle name="20% - Accent1 4 3 4 2 2 2" xfId="26729" xr:uid="{00000000-0005-0000-0000-0000DF090000}"/>
    <cellStyle name="20% - Accent1 4 3 4 2 2 3" xfId="36454" xr:uid="{00000000-0005-0000-0000-0000E0090000}"/>
    <cellStyle name="20% - Accent1 4 3 4 2 2 4" xfId="46179" xr:uid="{00000000-0005-0000-0000-0000E1090000}"/>
    <cellStyle name="20% - Accent1 4 3 4 2 2 5" xfId="17004" xr:uid="{00000000-0005-0000-0000-0000E2090000}"/>
    <cellStyle name="20% - Accent1 4 3 4 2 3" xfId="21867" xr:uid="{00000000-0005-0000-0000-0000E3090000}"/>
    <cellStyle name="20% - Accent1 4 3 4 2 4" xfId="31592" xr:uid="{00000000-0005-0000-0000-0000E4090000}"/>
    <cellStyle name="20% - Accent1 4 3 4 2 5" xfId="41317" xr:uid="{00000000-0005-0000-0000-0000E5090000}"/>
    <cellStyle name="20% - Accent1 4 3 4 2 6" xfId="12142" xr:uid="{00000000-0005-0000-0000-0000E6090000}"/>
    <cellStyle name="20% - Accent1 4 3 4 3" xfId="4036" xr:uid="{00000000-0005-0000-0000-0000E7090000}"/>
    <cellStyle name="20% - Accent1 4 3 4 3 2" xfId="8898" xr:uid="{00000000-0005-0000-0000-0000E8090000}"/>
    <cellStyle name="20% - Accent1 4 3 4 3 2 2" xfId="28349" xr:uid="{00000000-0005-0000-0000-0000E9090000}"/>
    <cellStyle name="20% - Accent1 4 3 4 3 2 3" xfId="38074" xr:uid="{00000000-0005-0000-0000-0000EA090000}"/>
    <cellStyle name="20% - Accent1 4 3 4 3 2 4" xfId="47799" xr:uid="{00000000-0005-0000-0000-0000EB090000}"/>
    <cellStyle name="20% - Accent1 4 3 4 3 2 5" xfId="18624" xr:uid="{00000000-0005-0000-0000-0000EC090000}"/>
    <cellStyle name="20% - Accent1 4 3 4 3 3" xfId="23487" xr:uid="{00000000-0005-0000-0000-0000ED090000}"/>
    <cellStyle name="20% - Accent1 4 3 4 3 4" xfId="33212" xr:uid="{00000000-0005-0000-0000-0000EE090000}"/>
    <cellStyle name="20% - Accent1 4 3 4 3 5" xfId="42937" xr:uid="{00000000-0005-0000-0000-0000EF090000}"/>
    <cellStyle name="20% - Accent1 4 3 4 3 6" xfId="13762" xr:uid="{00000000-0005-0000-0000-0000F0090000}"/>
    <cellStyle name="20% - Accent1 4 3 4 4" xfId="5658" xr:uid="{00000000-0005-0000-0000-0000F1090000}"/>
    <cellStyle name="20% - Accent1 4 3 4 4 2" xfId="25109" xr:uid="{00000000-0005-0000-0000-0000F2090000}"/>
    <cellStyle name="20% - Accent1 4 3 4 4 3" xfId="34834" xr:uid="{00000000-0005-0000-0000-0000F3090000}"/>
    <cellStyle name="20% - Accent1 4 3 4 4 4" xfId="44559" xr:uid="{00000000-0005-0000-0000-0000F4090000}"/>
    <cellStyle name="20% - Accent1 4 3 4 4 5" xfId="15384" xr:uid="{00000000-0005-0000-0000-0000F5090000}"/>
    <cellStyle name="20% - Accent1 4 3 4 5" xfId="20247" xr:uid="{00000000-0005-0000-0000-0000F6090000}"/>
    <cellStyle name="20% - Accent1 4 3 4 6" xfId="29972" xr:uid="{00000000-0005-0000-0000-0000F7090000}"/>
    <cellStyle name="20% - Accent1 4 3 4 7" xfId="39697" xr:uid="{00000000-0005-0000-0000-0000F8090000}"/>
    <cellStyle name="20% - Accent1 4 3 4 8" xfId="10522" xr:uid="{00000000-0005-0000-0000-0000F9090000}"/>
    <cellStyle name="20% - Accent1 4 3 5" xfId="2056" xr:uid="{00000000-0005-0000-0000-0000FA090000}"/>
    <cellStyle name="20% - Accent1 4 3 5 2" xfId="6918" xr:uid="{00000000-0005-0000-0000-0000FB090000}"/>
    <cellStyle name="20% - Accent1 4 3 5 2 2" xfId="26369" xr:uid="{00000000-0005-0000-0000-0000FC090000}"/>
    <cellStyle name="20% - Accent1 4 3 5 2 3" xfId="36094" xr:uid="{00000000-0005-0000-0000-0000FD090000}"/>
    <cellStyle name="20% - Accent1 4 3 5 2 4" xfId="45819" xr:uid="{00000000-0005-0000-0000-0000FE090000}"/>
    <cellStyle name="20% - Accent1 4 3 5 2 5" xfId="16644" xr:uid="{00000000-0005-0000-0000-0000FF090000}"/>
    <cellStyle name="20% - Accent1 4 3 5 3" xfId="21507" xr:uid="{00000000-0005-0000-0000-0000000A0000}"/>
    <cellStyle name="20% - Accent1 4 3 5 4" xfId="31232" xr:uid="{00000000-0005-0000-0000-0000010A0000}"/>
    <cellStyle name="20% - Accent1 4 3 5 5" xfId="40957" xr:uid="{00000000-0005-0000-0000-0000020A0000}"/>
    <cellStyle name="20% - Accent1 4 3 5 6" xfId="11782" xr:uid="{00000000-0005-0000-0000-0000030A0000}"/>
    <cellStyle name="20% - Accent1 4 3 6" xfId="3676" xr:uid="{00000000-0005-0000-0000-0000040A0000}"/>
    <cellStyle name="20% - Accent1 4 3 6 2" xfId="8538" xr:uid="{00000000-0005-0000-0000-0000050A0000}"/>
    <cellStyle name="20% - Accent1 4 3 6 2 2" xfId="27989" xr:uid="{00000000-0005-0000-0000-0000060A0000}"/>
    <cellStyle name="20% - Accent1 4 3 6 2 3" xfId="37714" xr:uid="{00000000-0005-0000-0000-0000070A0000}"/>
    <cellStyle name="20% - Accent1 4 3 6 2 4" xfId="47439" xr:uid="{00000000-0005-0000-0000-0000080A0000}"/>
    <cellStyle name="20% - Accent1 4 3 6 2 5" xfId="18264" xr:uid="{00000000-0005-0000-0000-0000090A0000}"/>
    <cellStyle name="20% - Accent1 4 3 6 3" xfId="23127" xr:uid="{00000000-0005-0000-0000-00000A0A0000}"/>
    <cellStyle name="20% - Accent1 4 3 6 4" xfId="32852" xr:uid="{00000000-0005-0000-0000-00000B0A0000}"/>
    <cellStyle name="20% - Accent1 4 3 6 5" xfId="42577" xr:uid="{00000000-0005-0000-0000-00000C0A0000}"/>
    <cellStyle name="20% - Accent1 4 3 6 6" xfId="13402" xr:uid="{00000000-0005-0000-0000-00000D0A0000}"/>
    <cellStyle name="20% - Accent1 4 3 7" xfId="5298" xr:uid="{00000000-0005-0000-0000-00000E0A0000}"/>
    <cellStyle name="20% - Accent1 4 3 7 2" xfId="24749" xr:uid="{00000000-0005-0000-0000-00000F0A0000}"/>
    <cellStyle name="20% - Accent1 4 3 7 3" xfId="34474" xr:uid="{00000000-0005-0000-0000-0000100A0000}"/>
    <cellStyle name="20% - Accent1 4 3 7 4" xfId="44199" xr:uid="{00000000-0005-0000-0000-0000110A0000}"/>
    <cellStyle name="20% - Accent1 4 3 7 5" xfId="15024" xr:uid="{00000000-0005-0000-0000-0000120A0000}"/>
    <cellStyle name="20% - Accent1 4 3 8" xfId="19887" xr:uid="{00000000-0005-0000-0000-0000130A0000}"/>
    <cellStyle name="20% - Accent1 4 3 9" xfId="29612" xr:uid="{00000000-0005-0000-0000-0000140A0000}"/>
    <cellStyle name="20% - Accent1 4 4" xfId="193" xr:uid="{00000000-0005-0000-0000-0000150A0000}"/>
    <cellStyle name="20% - Accent1 4 4 10" xfId="39157" xr:uid="{00000000-0005-0000-0000-0000160A0000}"/>
    <cellStyle name="20% - Accent1 4 4 11" xfId="9982" xr:uid="{00000000-0005-0000-0000-0000170A0000}"/>
    <cellStyle name="20% - Accent1 4 4 2" xfId="957" xr:uid="{00000000-0005-0000-0000-0000180A0000}"/>
    <cellStyle name="20% - Accent1 4 4 2 2" xfId="2596" xr:uid="{00000000-0005-0000-0000-0000190A0000}"/>
    <cellStyle name="20% - Accent1 4 4 2 2 2" xfId="7458" xr:uid="{00000000-0005-0000-0000-00001A0A0000}"/>
    <cellStyle name="20% - Accent1 4 4 2 2 2 2" xfId="26909" xr:uid="{00000000-0005-0000-0000-00001B0A0000}"/>
    <cellStyle name="20% - Accent1 4 4 2 2 2 3" xfId="36634" xr:uid="{00000000-0005-0000-0000-00001C0A0000}"/>
    <cellStyle name="20% - Accent1 4 4 2 2 2 4" xfId="46359" xr:uid="{00000000-0005-0000-0000-00001D0A0000}"/>
    <cellStyle name="20% - Accent1 4 4 2 2 2 5" xfId="17184" xr:uid="{00000000-0005-0000-0000-00001E0A0000}"/>
    <cellStyle name="20% - Accent1 4 4 2 2 3" xfId="22047" xr:uid="{00000000-0005-0000-0000-00001F0A0000}"/>
    <cellStyle name="20% - Accent1 4 4 2 2 4" xfId="31772" xr:uid="{00000000-0005-0000-0000-0000200A0000}"/>
    <cellStyle name="20% - Accent1 4 4 2 2 5" xfId="41497" xr:uid="{00000000-0005-0000-0000-0000210A0000}"/>
    <cellStyle name="20% - Accent1 4 4 2 2 6" xfId="12322" xr:uid="{00000000-0005-0000-0000-0000220A0000}"/>
    <cellStyle name="20% - Accent1 4 4 2 3" xfId="4216" xr:uid="{00000000-0005-0000-0000-0000230A0000}"/>
    <cellStyle name="20% - Accent1 4 4 2 3 2" xfId="9078" xr:uid="{00000000-0005-0000-0000-0000240A0000}"/>
    <cellStyle name="20% - Accent1 4 4 2 3 2 2" xfId="28529" xr:uid="{00000000-0005-0000-0000-0000250A0000}"/>
    <cellStyle name="20% - Accent1 4 4 2 3 2 3" xfId="38254" xr:uid="{00000000-0005-0000-0000-0000260A0000}"/>
    <cellStyle name="20% - Accent1 4 4 2 3 2 4" xfId="47979" xr:uid="{00000000-0005-0000-0000-0000270A0000}"/>
    <cellStyle name="20% - Accent1 4 4 2 3 2 5" xfId="18804" xr:uid="{00000000-0005-0000-0000-0000280A0000}"/>
    <cellStyle name="20% - Accent1 4 4 2 3 3" xfId="23667" xr:uid="{00000000-0005-0000-0000-0000290A0000}"/>
    <cellStyle name="20% - Accent1 4 4 2 3 4" xfId="33392" xr:uid="{00000000-0005-0000-0000-00002A0A0000}"/>
    <cellStyle name="20% - Accent1 4 4 2 3 5" xfId="43117" xr:uid="{00000000-0005-0000-0000-00002B0A0000}"/>
    <cellStyle name="20% - Accent1 4 4 2 3 6" xfId="13942" xr:uid="{00000000-0005-0000-0000-00002C0A0000}"/>
    <cellStyle name="20% - Accent1 4 4 2 4" xfId="5838" xr:uid="{00000000-0005-0000-0000-00002D0A0000}"/>
    <cellStyle name="20% - Accent1 4 4 2 4 2" xfId="25289" xr:uid="{00000000-0005-0000-0000-00002E0A0000}"/>
    <cellStyle name="20% - Accent1 4 4 2 4 3" xfId="35014" xr:uid="{00000000-0005-0000-0000-00002F0A0000}"/>
    <cellStyle name="20% - Accent1 4 4 2 4 4" xfId="44739" xr:uid="{00000000-0005-0000-0000-0000300A0000}"/>
    <cellStyle name="20% - Accent1 4 4 2 4 5" xfId="15564" xr:uid="{00000000-0005-0000-0000-0000310A0000}"/>
    <cellStyle name="20% - Accent1 4 4 2 5" xfId="20427" xr:uid="{00000000-0005-0000-0000-0000320A0000}"/>
    <cellStyle name="20% - Accent1 4 4 2 6" xfId="30152" xr:uid="{00000000-0005-0000-0000-0000330A0000}"/>
    <cellStyle name="20% - Accent1 4 4 2 7" xfId="39877" xr:uid="{00000000-0005-0000-0000-0000340A0000}"/>
    <cellStyle name="20% - Accent1 4 4 2 8" xfId="10702" xr:uid="{00000000-0005-0000-0000-0000350A0000}"/>
    <cellStyle name="20% - Accent1 4 4 3" xfId="1425" xr:uid="{00000000-0005-0000-0000-0000360A0000}"/>
    <cellStyle name="20% - Accent1 4 4 3 2" xfId="3046" xr:uid="{00000000-0005-0000-0000-0000370A0000}"/>
    <cellStyle name="20% - Accent1 4 4 3 2 2" xfId="7908" xr:uid="{00000000-0005-0000-0000-0000380A0000}"/>
    <cellStyle name="20% - Accent1 4 4 3 2 2 2" xfId="27359" xr:uid="{00000000-0005-0000-0000-0000390A0000}"/>
    <cellStyle name="20% - Accent1 4 4 3 2 2 3" xfId="37084" xr:uid="{00000000-0005-0000-0000-00003A0A0000}"/>
    <cellStyle name="20% - Accent1 4 4 3 2 2 4" xfId="46809" xr:uid="{00000000-0005-0000-0000-00003B0A0000}"/>
    <cellStyle name="20% - Accent1 4 4 3 2 2 5" xfId="17634" xr:uid="{00000000-0005-0000-0000-00003C0A0000}"/>
    <cellStyle name="20% - Accent1 4 4 3 2 3" xfId="22497" xr:uid="{00000000-0005-0000-0000-00003D0A0000}"/>
    <cellStyle name="20% - Accent1 4 4 3 2 4" xfId="32222" xr:uid="{00000000-0005-0000-0000-00003E0A0000}"/>
    <cellStyle name="20% - Accent1 4 4 3 2 5" xfId="41947" xr:uid="{00000000-0005-0000-0000-00003F0A0000}"/>
    <cellStyle name="20% - Accent1 4 4 3 2 6" xfId="12772" xr:uid="{00000000-0005-0000-0000-0000400A0000}"/>
    <cellStyle name="20% - Accent1 4 4 3 3" xfId="4666" xr:uid="{00000000-0005-0000-0000-0000410A0000}"/>
    <cellStyle name="20% - Accent1 4 4 3 3 2" xfId="9528" xr:uid="{00000000-0005-0000-0000-0000420A0000}"/>
    <cellStyle name="20% - Accent1 4 4 3 3 2 2" xfId="28979" xr:uid="{00000000-0005-0000-0000-0000430A0000}"/>
    <cellStyle name="20% - Accent1 4 4 3 3 2 3" xfId="38704" xr:uid="{00000000-0005-0000-0000-0000440A0000}"/>
    <cellStyle name="20% - Accent1 4 4 3 3 2 4" xfId="48429" xr:uid="{00000000-0005-0000-0000-0000450A0000}"/>
    <cellStyle name="20% - Accent1 4 4 3 3 2 5" xfId="19254" xr:uid="{00000000-0005-0000-0000-0000460A0000}"/>
    <cellStyle name="20% - Accent1 4 4 3 3 3" xfId="24117" xr:uid="{00000000-0005-0000-0000-0000470A0000}"/>
    <cellStyle name="20% - Accent1 4 4 3 3 4" xfId="33842" xr:uid="{00000000-0005-0000-0000-0000480A0000}"/>
    <cellStyle name="20% - Accent1 4 4 3 3 5" xfId="43567" xr:uid="{00000000-0005-0000-0000-0000490A0000}"/>
    <cellStyle name="20% - Accent1 4 4 3 3 6" xfId="14392" xr:uid="{00000000-0005-0000-0000-00004A0A0000}"/>
    <cellStyle name="20% - Accent1 4 4 3 4" xfId="6288" xr:uid="{00000000-0005-0000-0000-00004B0A0000}"/>
    <cellStyle name="20% - Accent1 4 4 3 4 2" xfId="25739" xr:uid="{00000000-0005-0000-0000-00004C0A0000}"/>
    <cellStyle name="20% - Accent1 4 4 3 4 3" xfId="35464" xr:uid="{00000000-0005-0000-0000-00004D0A0000}"/>
    <cellStyle name="20% - Accent1 4 4 3 4 4" xfId="45189" xr:uid="{00000000-0005-0000-0000-00004E0A0000}"/>
    <cellStyle name="20% - Accent1 4 4 3 4 5" xfId="16014" xr:uid="{00000000-0005-0000-0000-00004F0A0000}"/>
    <cellStyle name="20% - Accent1 4 4 3 5" xfId="20877" xr:uid="{00000000-0005-0000-0000-0000500A0000}"/>
    <cellStyle name="20% - Accent1 4 4 3 6" xfId="30602" xr:uid="{00000000-0005-0000-0000-0000510A0000}"/>
    <cellStyle name="20% - Accent1 4 4 3 7" xfId="40327" xr:uid="{00000000-0005-0000-0000-0000520A0000}"/>
    <cellStyle name="20% - Accent1 4 4 3 8" xfId="11152" xr:uid="{00000000-0005-0000-0000-0000530A0000}"/>
    <cellStyle name="20% - Accent1 4 4 4" xfId="596" xr:uid="{00000000-0005-0000-0000-0000540A0000}"/>
    <cellStyle name="20% - Accent1 4 4 4 2" xfId="2236" xr:uid="{00000000-0005-0000-0000-0000550A0000}"/>
    <cellStyle name="20% - Accent1 4 4 4 2 2" xfId="7098" xr:uid="{00000000-0005-0000-0000-0000560A0000}"/>
    <cellStyle name="20% - Accent1 4 4 4 2 2 2" xfId="26549" xr:uid="{00000000-0005-0000-0000-0000570A0000}"/>
    <cellStyle name="20% - Accent1 4 4 4 2 2 3" xfId="36274" xr:uid="{00000000-0005-0000-0000-0000580A0000}"/>
    <cellStyle name="20% - Accent1 4 4 4 2 2 4" xfId="45999" xr:uid="{00000000-0005-0000-0000-0000590A0000}"/>
    <cellStyle name="20% - Accent1 4 4 4 2 2 5" xfId="16824" xr:uid="{00000000-0005-0000-0000-00005A0A0000}"/>
    <cellStyle name="20% - Accent1 4 4 4 2 3" xfId="21687" xr:uid="{00000000-0005-0000-0000-00005B0A0000}"/>
    <cellStyle name="20% - Accent1 4 4 4 2 4" xfId="31412" xr:uid="{00000000-0005-0000-0000-00005C0A0000}"/>
    <cellStyle name="20% - Accent1 4 4 4 2 5" xfId="41137" xr:uid="{00000000-0005-0000-0000-00005D0A0000}"/>
    <cellStyle name="20% - Accent1 4 4 4 2 6" xfId="11962" xr:uid="{00000000-0005-0000-0000-00005E0A0000}"/>
    <cellStyle name="20% - Accent1 4 4 4 3" xfId="3856" xr:uid="{00000000-0005-0000-0000-00005F0A0000}"/>
    <cellStyle name="20% - Accent1 4 4 4 3 2" xfId="8718" xr:uid="{00000000-0005-0000-0000-0000600A0000}"/>
    <cellStyle name="20% - Accent1 4 4 4 3 2 2" xfId="28169" xr:uid="{00000000-0005-0000-0000-0000610A0000}"/>
    <cellStyle name="20% - Accent1 4 4 4 3 2 3" xfId="37894" xr:uid="{00000000-0005-0000-0000-0000620A0000}"/>
    <cellStyle name="20% - Accent1 4 4 4 3 2 4" xfId="47619" xr:uid="{00000000-0005-0000-0000-0000630A0000}"/>
    <cellStyle name="20% - Accent1 4 4 4 3 2 5" xfId="18444" xr:uid="{00000000-0005-0000-0000-0000640A0000}"/>
    <cellStyle name="20% - Accent1 4 4 4 3 3" xfId="23307" xr:uid="{00000000-0005-0000-0000-0000650A0000}"/>
    <cellStyle name="20% - Accent1 4 4 4 3 4" xfId="33032" xr:uid="{00000000-0005-0000-0000-0000660A0000}"/>
    <cellStyle name="20% - Accent1 4 4 4 3 5" xfId="42757" xr:uid="{00000000-0005-0000-0000-0000670A0000}"/>
    <cellStyle name="20% - Accent1 4 4 4 3 6" xfId="13582" xr:uid="{00000000-0005-0000-0000-0000680A0000}"/>
    <cellStyle name="20% - Accent1 4 4 4 4" xfId="5478" xr:uid="{00000000-0005-0000-0000-0000690A0000}"/>
    <cellStyle name="20% - Accent1 4 4 4 4 2" xfId="24929" xr:uid="{00000000-0005-0000-0000-00006A0A0000}"/>
    <cellStyle name="20% - Accent1 4 4 4 4 3" xfId="34654" xr:uid="{00000000-0005-0000-0000-00006B0A0000}"/>
    <cellStyle name="20% - Accent1 4 4 4 4 4" xfId="44379" xr:uid="{00000000-0005-0000-0000-00006C0A0000}"/>
    <cellStyle name="20% - Accent1 4 4 4 4 5" xfId="15204" xr:uid="{00000000-0005-0000-0000-00006D0A0000}"/>
    <cellStyle name="20% - Accent1 4 4 4 5" xfId="20067" xr:uid="{00000000-0005-0000-0000-00006E0A0000}"/>
    <cellStyle name="20% - Accent1 4 4 4 6" xfId="29792" xr:uid="{00000000-0005-0000-0000-00006F0A0000}"/>
    <cellStyle name="20% - Accent1 4 4 4 7" xfId="39517" xr:uid="{00000000-0005-0000-0000-0000700A0000}"/>
    <cellStyle name="20% - Accent1 4 4 4 8" xfId="10342" xr:uid="{00000000-0005-0000-0000-0000710A0000}"/>
    <cellStyle name="20% - Accent1 4 4 5" xfId="1876" xr:uid="{00000000-0005-0000-0000-0000720A0000}"/>
    <cellStyle name="20% - Accent1 4 4 5 2" xfId="6738" xr:uid="{00000000-0005-0000-0000-0000730A0000}"/>
    <cellStyle name="20% - Accent1 4 4 5 2 2" xfId="26189" xr:uid="{00000000-0005-0000-0000-0000740A0000}"/>
    <cellStyle name="20% - Accent1 4 4 5 2 3" xfId="35914" xr:uid="{00000000-0005-0000-0000-0000750A0000}"/>
    <cellStyle name="20% - Accent1 4 4 5 2 4" xfId="45639" xr:uid="{00000000-0005-0000-0000-0000760A0000}"/>
    <cellStyle name="20% - Accent1 4 4 5 2 5" xfId="16464" xr:uid="{00000000-0005-0000-0000-0000770A0000}"/>
    <cellStyle name="20% - Accent1 4 4 5 3" xfId="21327" xr:uid="{00000000-0005-0000-0000-0000780A0000}"/>
    <cellStyle name="20% - Accent1 4 4 5 4" xfId="31052" xr:uid="{00000000-0005-0000-0000-0000790A0000}"/>
    <cellStyle name="20% - Accent1 4 4 5 5" xfId="40777" xr:uid="{00000000-0005-0000-0000-00007A0A0000}"/>
    <cellStyle name="20% - Accent1 4 4 5 6" xfId="11602" xr:uid="{00000000-0005-0000-0000-00007B0A0000}"/>
    <cellStyle name="20% - Accent1 4 4 6" xfId="3496" xr:uid="{00000000-0005-0000-0000-00007C0A0000}"/>
    <cellStyle name="20% - Accent1 4 4 6 2" xfId="8358" xr:uid="{00000000-0005-0000-0000-00007D0A0000}"/>
    <cellStyle name="20% - Accent1 4 4 6 2 2" xfId="27809" xr:uid="{00000000-0005-0000-0000-00007E0A0000}"/>
    <cellStyle name="20% - Accent1 4 4 6 2 3" xfId="37534" xr:uid="{00000000-0005-0000-0000-00007F0A0000}"/>
    <cellStyle name="20% - Accent1 4 4 6 2 4" xfId="47259" xr:uid="{00000000-0005-0000-0000-0000800A0000}"/>
    <cellStyle name="20% - Accent1 4 4 6 2 5" xfId="18084" xr:uid="{00000000-0005-0000-0000-0000810A0000}"/>
    <cellStyle name="20% - Accent1 4 4 6 3" xfId="22947" xr:uid="{00000000-0005-0000-0000-0000820A0000}"/>
    <cellStyle name="20% - Accent1 4 4 6 4" xfId="32672" xr:uid="{00000000-0005-0000-0000-0000830A0000}"/>
    <cellStyle name="20% - Accent1 4 4 6 5" xfId="42397" xr:uid="{00000000-0005-0000-0000-0000840A0000}"/>
    <cellStyle name="20% - Accent1 4 4 6 6" xfId="13222" xr:uid="{00000000-0005-0000-0000-0000850A0000}"/>
    <cellStyle name="20% - Accent1 4 4 7" xfId="5118" xr:uid="{00000000-0005-0000-0000-0000860A0000}"/>
    <cellStyle name="20% - Accent1 4 4 7 2" xfId="24569" xr:uid="{00000000-0005-0000-0000-0000870A0000}"/>
    <cellStyle name="20% - Accent1 4 4 7 3" xfId="34294" xr:uid="{00000000-0005-0000-0000-0000880A0000}"/>
    <cellStyle name="20% - Accent1 4 4 7 4" xfId="44019" xr:uid="{00000000-0005-0000-0000-0000890A0000}"/>
    <cellStyle name="20% - Accent1 4 4 7 5" xfId="14844" xr:uid="{00000000-0005-0000-0000-00008A0A0000}"/>
    <cellStyle name="20% - Accent1 4 4 8" xfId="19707" xr:uid="{00000000-0005-0000-0000-00008B0A0000}"/>
    <cellStyle name="20% - Accent1 4 4 9" xfId="29432" xr:uid="{00000000-0005-0000-0000-00008C0A0000}"/>
    <cellStyle name="20% - Accent1 4 5" xfId="867" xr:uid="{00000000-0005-0000-0000-00008D0A0000}"/>
    <cellStyle name="20% - Accent1 4 5 2" xfId="2506" xr:uid="{00000000-0005-0000-0000-00008E0A0000}"/>
    <cellStyle name="20% - Accent1 4 5 2 2" xfId="7368" xr:uid="{00000000-0005-0000-0000-00008F0A0000}"/>
    <cellStyle name="20% - Accent1 4 5 2 2 2" xfId="26819" xr:uid="{00000000-0005-0000-0000-0000900A0000}"/>
    <cellStyle name="20% - Accent1 4 5 2 2 3" xfId="36544" xr:uid="{00000000-0005-0000-0000-0000910A0000}"/>
    <cellStyle name="20% - Accent1 4 5 2 2 4" xfId="46269" xr:uid="{00000000-0005-0000-0000-0000920A0000}"/>
    <cellStyle name="20% - Accent1 4 5 2 2 5" xfId="17094" xr:uid="{00000000-0005-0000-0000-0000930A0000}"/>
    <cellStyle name="20% - Accent1 4 5 2 3" xfId="21957" xr:uid="{00000000-0005-0000-0000-0000940A0000}"/>
    <cellStyle name="20% - Accent1 4 5 2 4" xfId="31682" xr:uid="{00000000-0005-0000-0000-0000950A0000}"/>
    <cellStyle name="20% - Accent1 4 5 2 5" xfId="41407" xr:uid="{00000000-0005-0000-0000-0000960A0000}"/>
    <cellStyle name="20% - Accent1 4 5 2 6" xfId="12232" xr:uid="{00000000-0005-0000-0000-0000970A0000}"/>
    <cellStyle name="20% - Accent1 4 5 3" xfId="4126" xr:uid="{00000000-0005-0000-0000-0000980A0000}"/>
    <cellStyle name="20% - Accent1 4 5 3 2" xfId="8988" xr:uid="{00000000-0005-0000-0000-0000990A0000}"/>
    <cellStyle name="20% - Accent1 4 5 3 2 2" xfId="28439" xr:uid="{00000000-0005-0000-0000-00009A0A0000}"/>
    <cellStyle name="20% - Accent1 4 5 3 2 3" xfId="38164" xr:uid="{00000000-0005-0000-0000-00009B0A0000}"/>
    <cellStyle name="20% - Accent1 4 5 3 2 4" xfId="47889" xr:uid="{00000000-0005-0000-0000-00009C0A0000}"/>
    <cellStyle name="20% - Accent1 4 5 3 2 5" xfId="18714" xr:uid="{00000000-0005-0000-0000-00009D0A0000}"/>
    <cellStyle name="20% - Accent1 4 5 3 3" xfId="23577" xr:uid="{00000000-0005-0000-0000-00009E0A0000}"/>
    <cellStyle name="20% - Accent1 4 5 3 4" xfId="33302" xr:uid="{00000000-0005-0000-0000-00009F0A0000}"/>
    <cellStyle name="20% - Accent1 4 5 3 5" xfId="43027" xr:uid="{00000000-0005-0000-0000-0000A00A0000}"/>
    <cellStyle name="20% - Accent1 4 5 3 6" xfId="13852" xr:uid="{00000000-0005-0000-0000-0000A10A0000}"/>
    <cellStyle name="20% - Accent1 4 5 4" xfId="5748" xr:uid="{00000000-0005-0000-0000-0000A20A0000}"/>
    <cellStyle name="20% - Accent1 4 5 4 2" xfId="25199" xr:uid="{00000000-0005-0000-0000-0000A30A0000}"/>
    <cellStyle name="20% - Accent1 4 5 4 3" xfId="34924" xr:uid="{00000000-0005-0000-0000-0000A40A0000}"/>
    <cellStyle name="20% - Accent1 4 5 4 4" xfId="44649" xr:uid="{00000000-0005-0000-0000-0000A50A0000}"/>
    <cellStyle name="20% - Accent1 4 5 4 5" xfId="15474" xr:uid="{00000000-0005-0000-0000-0000A60A0000}"/>
    <cellStyle name="20% - Accent1 4 5 5" xfId="20337" xr:uid="{00000000-0005-0000-0000-0000A70A0000}"/>
    <cellStyle name="20% - Accent1 4 5 6" xfId="30062" xr:uid="{00000000-0005-0000-0000-0000A80A0000}"/>
    <cellStyle name="20% - Accent1 4 5 7" xfId="39787" xr:uid="{00000000-0005-0000-0000-0000A90A0000}"/>
    <cellStyle name="20% - Accent1 4 5 8" xfId="10612" xr:uid="{00000000-0005-0000-0000-0000AA0A0000}"/>
    <cellStyle name="20% - Accent1 4 6" xfId="1245" xr:uid="{00000000-0005-0000-0000-0000AB0A0000}"/>
    <cellStyle name="20% - Accent1 4 6 2" xfId="2866" xr:uid="{00000000-0005-0000-0000-0000AC0A0000}"/>
    <cellStyle name="20% - Accent1 4 6 2 2" xfId="7728" xr:uid="{00000000-0005-0000-0000-0000AD0A0000}"/>
    <cellStyle name="20% - Accent1 4 6 2 2 2" xfId="27179" xr:uid="{00000000-0005-0000-0000-0000AE0A0000}"/>
    <cellStyle name="20% - Accent1 4 6 2 2 3" xfId="36904" xr:uid="{00000000-0005-0000-0000-0000AF0A0000}"/>
    <cellStyle name="20% - Accent1 4 6 2 2 4" xfId="46629" xr:uid="{00000000-0005-0000-0000-0000B00A0000}"/>
    <cellStyle name="20% - Accent1 4 6 2 2 5" xfId="17454" xr:uid="{00000000-0005-0000-0000-0000B10A0000}"/>
    <cellStyle name="20% - Accent1 4 6 2 3" xfId="22317" xr:uid="{00000000-0005-0000-0000-0000B20A0000}"/>
    <cellStyle name="20% - Accent1 4 6 2 4" xfId="32042" xr:uid="{00000000-0005-0000-0000-0000B30A0000}"/>
    <cellStyle name="20% - Accent1 4 6 2 5" xfId="41767" xr:uid="{00000000-0005-0000-0000-0000B40A0000}"/>
    <cellStyle name="20% - Accent1 4 6 2 6" xfId="12592" xr:uid="{00000000-0005-0000-0000-0000B50A0000}"/>
    <cellStyle name="20% - Accent1 4 6 3" xfId="4486" xr:uid="{00000000-0005-0000-0000-0000B60A0000}"/>
    <cellStyle name="20% - Accent1 4 6 3 2" xfId="9348" xr:uid="{00000000-0005-0000-0000-0000B70A0000}"/>
    <cellStyle name="20% - Accent1 4 6 3 2 2" xfId="28799" xr:uid="{00000000-0005-0000-0000-0000B80A0000}"/>
    <cellStyle name="20% - Accent1 4 6 3 2 3" xfId="38524" xr:uid="{00000000-0005-0000-0000-0000B90A0000}"/>
    <cellStyle name="20% - Accent1 4 6 3 2 4" xfId="48249" xr:uid="{00000000-0005-0000-0000-0000BA0A0000}"/>
    <cellStyle name="20% - Accent1 4 6 3 2 5" xfId="19074" xr:uid="{00000000-0005-0000-0000-0000BB0A0000}"/>
    <cellStyle name="20% - Accent1 4 6 3 3" xfId="23937" xr:uid="{00000000-0005-0000-0000-0000BC0A0000}"/>
    <cellStyle name="20% - Accent1 4 6 3 4" xfId="33662" xr:uid="{00000000-0005-0000-0000-0000BD0A0000}"/>
    <cellStyle name="20% - Accent1 4 6 3 5" xfId="43387" xr:uid="{00000000-0005-0000-0000-0000BE0A0000}"/>
    <cellStyle name="20% - Accent1 4 6 3 6" xfId="14212" xr:uid="{00000000-0005-0000-0000-0000BF0A0000}"/>
    <cellStyle name="20% - Accent1 4 6 4" xfId="6108" xr:uid="{00000000-0005-0000-0000-0000C00A0000}"/>
    <cellStyle name="20% - Accent1 4 6 4 2" xfId="25559" xr:uid="{00000000-0005-0000-0000-0000C10A0000}"/>
    <cellStyle name="20% - Accent1 4 6 4 3" xfId="35284" xr:uid="{00000000-0005-0000-0000-0000C20A0000}"/>
    <cellStyle name="20% - Accent1 4 6 4 4" xfId="45009" xr:uid="{00000000-0005-0000-0000-0000C30A0000}"/>
    <cellStyle name="20% - Accent1 4 6 4 5" xfId="15834" xr:uid="{00000000-0005-0000-0000-0000C40A0000}"/>
    <cellStyle name="20% - Accent1 4 6 5" xfId="20697" xr:uid="{00000000-0005-0000-0000-0000C50A0000}"/>
    <cellStyle name="20% - Accent1 4 6 6" xfId="30422" xr:uid="{00000000-0005-0000-0000-0000C60A0000}"/>
    <cellStyle name="20% - Accent1 4 6 7" xfId="40147" xr:uid="{00000000-0005-0000-0000-0000C70A0000}"/>
    <cellStyle name="20% - Accent1 4 6 8" xfId="10972" xr:uid="{00000000-0005-0000-0000-0000C80A0000}"/>
    <cellStyle name="20% - Accent1 4 7" xfId="1335" xr:uid="{00000000-0005-0000-0000-0000C90A0000}"/>
    <cellStyle name="20% - Accent1 4 7 2" xfId="2956" xr:uid="{00000000-0005-0000-0000-0000CA0A0000}"/>
    <cellStyle name="20% - Accent1 4 7 2 2" xfId="7818" xr:uid="{00000000-0005-0000-0000-0000CB0A0000}"/>
    <cellStyle name="20% - Accent1 4 7 2 2 2" xfId="27269" xr:uid="{00000000-0005-0000-0000-0000CC0A0000}"/>
    <cellStyle name="20% - Accent1 4 7 2 2 3" xfId="36994" xr:uid="{00000000-0005-0000-0000-0000CD0A0000}"/>
    <cellStyle name="20% - Accent1 4 7 2 2 4" xfId="46719" xr:uid="{00000000-0005-0000-0000-0000CE0A0000}"/>
    <cellStyle name="20% - Accent1 4 7 2 2 5" xfId="17544" xr:uid="{00000000-0005-0000-0000-0000CF0A0000}"/>
    <cellStyle name="20% - Accent1 4 7 2 3" xfId="22407" xr:uid="{00000000-0005-0000-0000-0000D00A0000}"/>
    <cellStyle name="20% - Accent1 4 7 2 4" xfId="32132" xr:uid="{00000000-0005-0000-0000-0000D10A0000}"/>
    <cellStyle name="20% - Accent1 4 7 2 5" xfId="41857" xr:uid="{00000000-0005-0000-0000-0000D20A0000}"/>
    <cellStyle name="20% - Accent1 4 7 2 6" xfId="12682" xr:uid="{00000000-0005-0000-0000-0000D30A0000}"/>
    <cellStyle name="20% - Accent1 4 7 3" xfId="4576" xr:uid="{00000000-0005-0000-0000-0000D40A0000}"/>
    <cellStyle name="20% - Accent1 4 7 3 2" xfId="9438" xr:uid="{00000000-0005-0000-0000-0000D50A0000}"/>
    <cellStyle name="20% - Accent1 4 7 3 2 2" xfId="28889" xr:uid="{00000000-0005-0000-0000-0000D60A0000}"/>
    <cellStyle name="20% - Accent1 4 7 3 2 3" xfId="38614" xr:uid="{00000000-0005-0000-0000-0000D70A0000}"/>
    <cellStyle name="20% - Accent1 4 7 3 2 4" xfId="48339" xr:uid="{00000000-0005-0000-0000-0000D80A0000}"/>
    <cellStyle name="20% - Accent1 4 7 3 2 5" xfId="19164" xr:uid="{00000000-0005-0000-0000-0000D90A0000}"/>
    <cellStyle name="20% - Accent1 4 7 3 3" xfId="24027" xr:uid="{00000000-0005-0000-0000-0000DA0A0000}"/>
    <cellStyle name="20% - Accent1 4 7 3 4" xfId="33752" xr:uid="{00000000-0005-0000-0000-0000DB0A0000}"/>
    <cellStyle name="20% - Accent1 4 7 3 5" xfId="43477" xr:uid="{00000000-0005-0000-0000-0000DC0A0000}"/>
    <cellStyle name="20% - Accent1 4 7 3 6" xfId="14302" xr:uid="{00000000-0005-0000-0000-0000DD0A0000}"/>
    <cellStyle name="20% - Accent1 4 7 4" xfId="6198" xr:uid="{00000000-0005-0000-0000-0000DE0A0000}"/>
    <cellStyle name="20% - Accent1 4 7 4 2" xfId="25649" xr:uid="{00000000-0005-0000-0000-0000DF0A0000}"/>
    <cellStyle name="20% - Accent1 4 7 4 3" xfId="35374" xr:uid="{00000000-0005-0000-0000-0000E00A0000}"/>
    <cellStyle name="20% - Accent1 4 7 4 4" xfId="45099" xr:uid="{00000000-0005-0000-0000-0000E10A0000}"/>
    <cellStyle name="20% - Accent1 4 7 4 5" xfId="15924" xr:uid="{00000000-0005-0000-0000-0000E20A0000}"/>
    <cellStyle name="20% - Accent1 4 7 5" xfId="20787" xr:uid="{00000000-0005-0000-0000-0000E30A0000}"/>
    <cellStyle name="20% - Accent1 4 7 6" xfId="30512" xr:uid="{00000000-0005-0000-0000-0000E40A0000}"/>
    <cellStyle name="20% - Accent1 4 7 7" xfId="40237" xr:uid="{00000000-0005-0000-0000-0000E50A0000}"/>
    <cellStyle name="20% - Accent1 4 7 8" xfId="11062" xr:uid="{00000000-0005-0000-0000-0000E60A0000}"/>
    <cellStyle name="20% - Accent1 4 8" xfId="506" xr:uid="{00000000-0005-0000-0000-0000E70A0000}"/>
    <cellStyle name="20% - Accent1 4 8 2" xfId="2146" xr:uid="{00000000-0005-0000-0000-0000E80A0000}"/>
    <cellStyle name="20% - Accent1 4 8 2 2" xfId="7008" xr:uid="{00000000-0005-0000-0000-0000E90A0000}"/>
    <cellStyle name="20% - Accent1 4 8 2 2 2" xfId="26459" xr:uid="{00000000-0005-0000-0000-0000EA0A0000}"/>
    <cellStyle name="20% - Accent1 4 8 2 2 3" xfId="36184" xr:uid="{00000000-0005-0000-0000-0000EB0A0000}"/>
    <cellStyle name="20% - Accent1 4 8 2 2 4" xfId="45909" xr:uid="{00000000-0005-0000-0000-0000EC0A0000}"/>
    <cellStyle name="20% - Accent1 4 8 2 2 5" xfId="16734" xr:uid="{00000000-0005-0000-0000-0000ED0A0000}"/>
    <cellStyle name="20% - Accent1 4 8 2 3" xfId="21597" xr:uid="{00000000-0005-0000-0000-0000EE0A0000}"/>
    <cellStyle name="20% - Accent1 4 8 2 4" xfId="31322" xr:uid="{00000000-0005-0000-0000-0000EF0A0000}"/>
    <cellStyle name="20% - Accent1 4 8 2 5" xfId="41047" xr:uid="{00000000-0005-0000-0000-0000F00A0000}"/>
    <cellStyle name="20% - Accent1 4 8 2 6" xfId="11872" xr:uid="{00000000-0005-0000-0000-0000F10A0000}"/>
    <cellStyle name="20% - Accent1 4 8 3" xfId="3766" xr:uid="{00000000-0005-0000-0000-0000F20A0000}"/>
    <cellStyle name="20% - Accent1 4 8 3 2" xfId="8628" xr:uid="{00000000-0005-0000-0000-0000F30A0000}"/>
    <cellStyle name="20% - Accent1 4 8 3 2 2" xfId="28079" xr:uid="{00000000-0005-0000-0000-0000F40A0000}"/>
    <cellStyle name="20% - Accent1 4 8 3 2 3" xfId="37804" xr:uid="{00000000-0005-0000-0000-0000F50A0000}"/>
    <cellStyle name="20% - Accent1 4 8 3 2 4" xfId="47529" xr:uid="{00000000-0005-0000-0000-0000F60A0000}"/>
    <cellStyle name="20% - Accent1 4 8 3 2 5" xfId="18354" xr:uid="{00000000-0005-0000-0000-0000F70A0000}"/>
    <cellStyle name="20% - Accent1 4 8 3 3" xfId="23217" xr:uid="{00000000-0005-0000-0000-0000F80A0000}"/>
    <cellStyle name="20% - Accent1 4 8 3 4" xfId="32942" xr:uid="{00000000-0005-0000-0000-0000F90A0000}"/>
    <cellStyle name="20% - Accent1 4 8 3 5" xfId="42667" xr:uid="{00000000-0005-0000-0000-0000FA0A0000}"/>
    <cellStyle name="20% - Accent1 4 8 3 6" xfId="13492" xr:uid="{00000000-0005-0000-0000-0000FB0A0000}"/>
    <cellStyle name="20% - Accent1 4 8 4" xfId="5388" xr:uid="{00000000-0005-0000-0000-0000FC0A0000}"/>
    <cellStyle name="20% - Accent1 4 8 4 2" xfId="24839" xr:uid="{00000000-0005-0000-0000-0000FD0A0000}"/>
    <cellStyle name="20% - Accent1 4 8 4 3" xfId="34564" xr:uid="{00000000-0005-0000-0000-0000FE0A0000}"/>
    <cellStyle name="20% - Accent1 4 8 4 4" xfId="44289" xr:uid="{00000000-0005-0000-0000-0000FF0A0000}"/>
    <cellStyle name="20% - Accent1 4 8 4 5" xfId="15114" xr:uid="{00000000-0005-0000-0000-0000000B0000}"/>
    <cellStyle name="20% - Accent1 4 8 5" xfId="19977" xr:uid="{00000000-0005-0000-0000-0000010B0000}"/>
    <cellStyle name="20% - Accent1 4 8 6" xfId="29702" xr:uid="{00000000-0005-0000-0000-0000020B0000}"/>
    <cellStyle name="20% - Accent1 4 8 7" xfId="39427" xr:uid="{00000000-0005-0000-0000-0000030B0000}"/>
    <cellStyle name="20% - Accent1 4 8 8" xfId="10252" xr:uid="{00000000-0005-0000-0000-0000040B0000}"/>
    <cellStyle name="20% - Accent1 4 9" xfId="1695" xr:uid="{00000000-0005-0000-0000-0000050B0000}"/>
    <cellStyle name="20% - Accent1 4 9 2" xfId="3316" xr:uid="{00000000-0005-0000-0000-0000060B0000}"/>
    <cellStyle name="20% - Accent1 4 9 2 2" xfId="8178" xr:uid="{00000000-0005-0000-0000-0000070B0000}"/>
    <cellStyle name="20% - Accent1 4 9 2 2 2" xfId="27629" xr:uid="{00000000-0005-0000-0000-0000080B0000}"/>
    <cellStyle name="20% - Accent1 4 9 2 2 3" xfId="37354" xr:uid="{00000000-0005-0000-0000-0000090B0000}"/>
    <cellStyle name="20% - Accent1 4 9 2 2 4" xfId="47079" xr:uid="{00000000-0005-0000-0000-00000A0B0000}"/>
    <cellStyle name="20% - Accent1 4 9 2 2 5" xfId="17904" xr:uid="{00000000-0005-0000-0000-00000B0B0000}"/>
    <cellStyle name="20% - Accent1 4 9 2 3" xfId="22767" xr:uid="{00000000-0005-0000-0000-00000C0B0000}"/>
    <cellStyle name="20% - Accent1 4 9 2 4" xfId="32492" xr:uid="{00000000-0005-0000-0000-00000D0B0000}"/>
    <cellStyle name="20% - Accent1 4 9 2 5" xfId="42217" xr:uid="{00000000-0005-0000-0000-00000E0B0000}"/>
    <cellStyle name="20% - Accent1 4 9 2 6" xfId="13042" xr:uid="{00000000-0005-0000-0000-00000F0B0000}"/>
    <cellStyle name="20% - Accent1 4 9 3" xfId="4936" xr:uid="{00000000-0005-0000-0000-0000100B0000}"/>
    <cellStyle name="20% - Accent1 4 9 3 2" xfId="9798" xr:uid="{00000000-0005-0000-0000-0000110B0000}"/>
    <cellStyle name="20% - Accent1 4 9 3 2 2" xfId="29249" xr:uid="{00000000-0005-0000-0000-0000120B0000}"/>
    <cellStyle name="20% - Accent1 4 9 3 2 3" xfId="38974" xr:uid="{00000000-0005-0000-0000-0000130B0000}"/>
    <cellStyle name="20% - Accent1 4 9 3 2 4" xfId="48699" xr:uid="{00000000-0005-0000-0000-0000140B0000}"/>
    <cellStyle name="20% - Accent1 4 9 3 2 5" xfId="19524" xr:uid="{00000000-0005-0000-0000-0000150B0000}"/>
    <cellStyle name="20% - Accent1 4 9 3 3" xfId="24387" xr:uid="{00000000-0005-0000-0000-0000160B0000}"/>
    <cellStyle name="20% - Accent1 4 9 3 4" xfId="34112" xr:uid="{00000000-0005-0000-0000-0000170B0000}"/>
    <cellStyle name="20% - Accent1 4 9 3 5" xfId="43837" xr:uid="{00000000-0005-0000-0000-0000180B0000}"/>
    <cellStyle name="20% - Accent1 4 9 3 6" xfId="14662" xr:uid="{00000000-0005-0000-0000-0000190B0000}"/>
    <cellStyle name="20% - Accent1 4 9 4" xfId="6558" xr:uid="{00000000-0005-0000-0000-00001A0B0000}"/>
    <cellStyle name="20% - Accent1 4 9 4 2" xfId="26009" xr:uid="{00000000-0005-0000-0000-00001B0B0000}"/>
    <cellStyle name="20% - Accent1 4 9 4 3" xfId="35734" xr:uid="{00000000-0005-0000-0000-00001C0B0000}"/>
    <cellStyle name="20% - Accent1 4 9 4 4" xfId="45459" xr:uid="{00000000-0005-0000-0000-00001D0B0000}"/>
    <cellStyle name="20% - Accent1 4 9 4 5" xfId="16284" xr:uid="{00000000-0005-0000-0000-00001E0B0000}"/>
    <cellStyle name="20% - Accent1 4 9 5" xfId="21147" xr:uid="{00000000-0005-0000-0000-00001F0B0000}"/>
    <cellStyle name="20% - Accent1 4 9 6" xfId="30872" xr:uid="{00000000-0005-0000-0000-0000200B0000}"/>
    <cellStyle name="20% - Accent1 4 9 7" xfId="40597" xr:uid="{00000000-0005-0000-0000-0000210B0000}"/>
    <cellStyle name="20% - Accent1 4 9 8" xfId="11422" xr:uid="{00000000-0005-0000-0000-0000220B0000}"/>
    <cellStyle name="20% - Accent1 5" xfId="224" xr:uid="{00000000-0005-0000-0000-0000230B0000}"/>
    <cellStyle name="20% - Accent1 5 10" xfId="39187" xr:uid="{00000000-0005-0000-0000-0000240B0000}"/>
    <cellStyle name="20% - Accent1 5 11" xfId="10012" xr:uid="{00000000-0005-0000-0000-0000250B0000}"/>
    <cellStyle name="20% - Accent1 5 2" xfId="988" xr:uid="{00000000-0005-0000-0000-0000260B0000}"/>
    <cellStyle name="20% - Accent1 5 2 2" xfId="2626" xr:uid="{00000000-0005-0000-0000-0000270B0000}"/>
    <cellStyle name="20% - Accent1 5 2 2 2" xfId="7488" xr:uid="{00000000-0005-0000-0000-0000280B0000}"/>
    <cellStyle name="20% - Accent1 5 2 2 2 2" xfId="26939" xr:uid="{00000000-0005-0000-0000-0000290B0000}"/>
    <cellStyle name="20% - Accent1 5 2 2 2 3" xfId="36664" xr:uid="{00000000-0005-0000-0000-00002A0B0000}"/>
    <cellStyle name="20% - Accent1 5 2 2 2 4" xfId="46389" xr:uid="{00000000-0005-0000-0000-00002B0B0000}"/>
    <cellStyle name="20% - Accent1 5 2 2 2 5" xfId="17214" xr:uid="{00000000-0005-0000-0000-00002C0B0000}"/>
    <cellStyle name="20% - Accent1 5 2 2 3" xfId="22077" xr:uid="{00000000-0005-0000-0000-00002D0B0000}"/>
    <cellStyle name="20% - Accent1 5 2 2 4" xfId="31802" xr:uid="{00000000-0005-0000-0000-00002E0B0000}"/>
    <cellStyle name="20% - Accent1 5 2 2 5" xfId="41527" xr:uid="{00000000-0005-0000-0000-00002F0B0000}"/>
    <cellStyle name="20% - Accent1 5 2 2 6" xfId="12352" xr:uid="{00000000-0005-0000-0000-0000300B0000}"/>
    <cellStyle name="20% - Accent1 5 2 3" xfId="4246" xr:uid="{00000000-0005-0000-0000-0000310B0000}"/>
    <cellStyle name="20% - Accent1 5 2 3 2" xfId="9108" xr:uid="{00000000-0005-0000-0000-0000320B0000}"/>
    <cellStyle name="20% - Accent1 5 2 3 2 2" xfId="28559" xr:uid="{00000000-0005-0000-0000-0000330B0000}"/>
    <cellStyle name="20% - Accent1 5 2 3 2 3" xfId="38284" xr:uid="{00000000-0005-0000-0000-0000340B0000}"/>
    <cellStyle name="20% - Accent1 5 2 3 2 4" xfId="48009" xr:uid="{00000000-0005-0000-0000-0000350B0000}"/>
    <cellStyle name="20% - Accent1 5 2 3 2 5" xfId="18834" xr:uid="{00000000-0005-0000-0000-0000360B0000}"/>
    <cellStyle name="20% - Accent1 5 2 3 3" xfId="23697" xr:uid="{00000000-0005-0000-0000-0000370B0000}"/>
    <cellStyle name="20% - Accent1 5 2 3 4" xfId="33422" xr:uid="{00000000-0005-0000-0000-0000380B0000}"/>
    <cellStyle name="20% - Accent1 5 2 3 5" xfId="43147" xr:uid="{00000000-0005-0000-0000-0000390B0000}"/>
    <cellStyle name="20% - Accent1 5 2 3 6" xfId="13972" xr:uid="{00000000-0005-0000-0000-00003A0B0000}"/>
    <cellStyle name="20% - Accent1 5 2 4" xfId="5868" xr:uid="{00000000-0005-0000-0000-00003B0B0000}"/>
    <cellStyle name="20% - Accent1 5 2 4 2" xfId="25319" xr:uid="{00000000-0005-0000-0000-00003C0B0000}"/>
    <cellStyle name="20% - Accent1 5 2 4 3" xfId="35044" xr:uid="{00000000-0005-0000-0000-00003D0B0000}"/>
    <cellStyle name="20% - Accent1 5 2 4 4" xfId="44769" xr:uid="{00000000-0005-0000-0000-00003E0B0000}"/>
    <cellStyle name="20% - Accent1 5 2 4 5" xfId="15594" xr:uid="{00000000-0005-0000-0000-00003F0B0000}"/>
    <cellStyle name="20% - Accent1 5 2 5" xfId="20457" xr:uid="{00000000-0005-0000-0000-0000400B0000}"/>
    <cellStyle name="20% - Accent1 5 2 6" xfId="30182" xr:uid="{00000000-0005-0000-0000-0000410B0000}"/>
    <cellStyle name="20% - Accent1 5 2 7" xfId="39907" xr:uid="{00000000-0005-0000-0000-0000420B0000}"/>
    <cellStyle name="20% - Accent1 5 2 8" xfId="10732" xr:uid="{00000000-0005-0000-0000-0000430B0000}"/>
    <cellStyle name="20% - Accent1 5 3" xfId="1455" xr:uid="{00000000-0005-0000-0000-0000440B0000}"/>
    <cellStyle name="20% - Accent1 5 3 2" xfId="3076" xr:uid="{00000000-0005-0000-0000-0000450B0000}"/>
    <cellStyle name="20% - Accent1 5 3 2 2" xfId="7938" xr:uid="{00000000-0005-0000-0000-0000460B0000}"/>
    <cellStyle name="20% - Accent1 5 3 2 2 2" xfId="27389" xr:uid="{00000000-0005-0000-0000-0000470B0000}"/>
    <cellStyle name="20% - Accent1 5 3 2 2 3" xfId="37114" xr:uid="{00000000-0005-0000-0000-0000480B0000}"/>
    <cellStyle name="20% - Accent1 5 3 2 2 4" xfId="46839" xr:uid="{00000000-0005-0000-0000-0000490B0000}"/>
    <cellStyle name="20% - Accent1 5 3 2 2 5" xfId="17664" xr:uid="{00000000-0005-0000-0000-00004A0B0000}"/>
    <cellStyle name="20% - Accent1 5 3 2 3" xfId="22527" xr:uid="{00000000-0005-0000-0000-00004B0B0000}"/>
    <cellStyle name="20% - Accent1 5 3 2 4" xfId="32252" xr:uid="{00000000-0005-0000-0000-00004C0B0000}"/>
    <cellStyle name="20% - Accent1 5 3 2 5" xfId="41977" xr:uid="{00000000-0005-0000-0000-00004D0B0000}"/>
    <cellStyle name="20% - Accent1 5 3 2 6" xfId="12802" xr:uid="{00000000-0005-0000-0000-00004E0B0000}"/>
    <cellStyle name="20% - Accent1 5 3 3" xfId="4696" xr:uid="{00000000-0005-0000-0000-00004F0B0000}"/>
    <cellStyle name="20% - Accent1 5 3 3 2" xfId="9558" xr:uid="{00000000-0005-0000-0000-0000500B0000}"/>
    <cellStyle name="20% - Accent1 5 3 3 2 2" xfId="29009" xr:uid="{00000000-0005-0000-0000-0000510B0000}"/>
    <cellStyle name="20% - Accent1 5 3 3 2 3" xfId="38734" xr:uid="{00000000-0005-0000-0000-0000520B0000}"/>
    <cellStyle name="20% - Accent1 5 3 3 2 4" xfId="48459" xr:uid="{00000000-0005-0000-0000-0000530B0000}"/>
    <cellStyle name="20% - Accent1 5 3 3 2 5" xfId="19284" xr:uid="{00000000-0005-0000-0000-0000540B0000}"/>
    <cellStyle name="20% - Accent1 5 3 3 3" xfId="24147" xr:uid="{00000000-0005-0000-0000-0000550B0000}"/>
    <cellStyle name="20% - Accent1 5 3 3 4" xfId="33872" xr:uid="{00000000-0005-0000-0000-0000560B0000}"/>
    <cellStyle name="20% - Accent1 5 3 3 5" xfId="43597" xr:uid="{00000000-0005-0000-0000-0000570B0000}"/>
    <cellStyle name="20% - Accent1 5 3 3 6" xfId="14422" xr:uid="{00000000-0005-0000-0000-0000580B0000}"/>
    <cellStyle name="20% - Accent1 5 3 4" xfId="6318" xr:uid="{00000000-0005-0000-0000-0000590B0000}"/>
    <cellStyle name="20% - Accent1 5 3 4 2" xfId="25769" xr:uid="{00000000-0005-0000-0000-00005A0B0000}"/>
    <cellStyle name="20% - Accent1 5 3 4 3" xfId="35494" xr:uid="{00000000-0005-0000-0000-00005B0B0000}"/>
    <cellStyle name="20% - Accent1 5 3 4 4" xfId="45219" xr:uid="{00000000-0005-0000-0000-00005C0B0000}"/>
    <cellStyle name="20% - Accent1 5 3 4 5" xfId="16044" xr:uid="{00000000-0005-0000-0000-00005D0B0000}"/>
    <cellStyle name="20% - Accent1 5 3 5" xfId="20907" xr:uid="{00000000-0005-0000-0000-00005E0B0000}"/>
    <cellStyle name="20% - Accent1 5 3 6" xfId="30632" xr:uid="{00000000-0005-0000-0000-00005F0B0000}"/>
    <cellStyle name="20% - Accent1 5 3 7" xfId="40357" xr:uid="{00000000-0005-0000-0000-0000600B0000}"/>
    <cellStyle name="20% - Accent1 5 3 8" xfId="11182" xr:uid="{00000000-0005-0000-0000-0000610B0000}"/>
    <cellStyle name="20% - Accent1 5 4" xfId="626" xr:uid="{00000000-0005-0000-0000-0000620B0000}"/>
    <cellStyle name="20% - Accent1 5 4 2" xfId="2266" xr:uid="{00000000-0005-0000-0000-0000630B0000}"/>
    <cellStyle name="20% - Accent1 5 4 2 2" xfId="7128" xr:uid="{00000000-0005-0000-0000-0000640B0000}"/>
    <cellStyle name="20% - Accent1 5 4 2 2 2" xfId="26579" xr:uid="{00000000-0005-0000-0000-0000650B0000}"/>
    <cellStyle name="20% - Accent1 5 4 2 2 3" xfId="36304" xr:uid="{00000000-0005-0000-0000-0000660B0000}"/>
    <cellStyle name="20% - Accent1 5 4 2 2 4" xfId="46029" xr:uid="{00000000-0005-0000-0000-0000670B0000}"/>
    <cellStyle name="20% - Accent1 5 4 2 2 5" xfId="16854" xr:uid="{00000000-0005-0000-0000-0000680B0000}"/>
    <cellStyle name="20% - Accent1 5 4 2 3" xfId="21717" xr:uid="{00000000-0005-0000-0000-0000690B0000}"/>
    <cellStyle name="20% - Accent1 5 4 2 4" xfId="31442" xr:uid="{00000000-0005-0000-0000-00006A0B0000}"/>
    <cellStyle name="20% - Accent1 5 4 2 5" xfId="41167" xr:uid="{00000000-0005-0000-0000-00006B0B0000}"/>
    <cellStyle name="20% - Accent1 5 4 2 6" xfId="11992" xr:uid="{00000000-0005-0000-0000-00006C0B0000}"/>
    <cellStyle name="20% - Accent1 5 4 3" xfId="3886" xr:uid="{00000000-0005-0000-0000-00006D0B0000}"/>
    <cellStyle name="20% - Accent1 5 4 3 2" xfId="8748" xr:uid="{00000000-0005-0000-0000-00006E0B0000}"/>
    <cellStyle name="20% - Accent1 5 4 3 2 2" xfId="28199" xr:uid="{00000000-0005-0000-0000-00006F0B0000}"/>
    <cellStyle name="20% - Accent1 5 4 3 2 3" xfId="37924" xr:uid="{00000000-0005-0000-0000-0000700B0000}"/>
    <cellStyle name="20% - Accent1 5 4 3 2 4" xfId="47649" xr:uid="{00000000-0005-0000-0000-0000710B0000}"/>
    <cellStyle name="20% - Accent1 5 4 3 2 5" xfId="18474" xr:uid="{00000000-0005-0000-0000-0000720B0000}"/>
    <cellStyle name="20% - Accent1 5 4 3 3" xfId="23337" xr:uid="{00000000-0005-0000-0000-0000730B0000}"/>
    <cellStyle name="20% - Accent1 5 4 3 4" xfId="33062" xr:uid="{00000000-0005-0000-0000-0000740B0000}"/>
    <cellStyle name="20% - Accent1 5 4 3 5" xfId="42787" xr:uid="{00000000-0005-0000-0000-0000750B0000}"/>
    <cellStyle name="20% - Accent1 5 4 3 6" xfId="13612" xr:uid="{00000000-0005-0000-0000-0000760B0000}"/>
    <cellStyle name="20% - Accent1 5 4 4" xfId="5508" xr:uid="{00000000-0005-0000-0000-0000770B0000}"/>
    <cellStyle name="20% - Accent1 5 4 4 2" xfId="24959" xr:uid="{00000000-0005-0000-0000-0000780B0000}"/>
    <cellStyle name="20% - Accent1 5 4 4 3" xfId="34684" xr:uid="{00000000-0005-0000-0000-0000790B0000}"/>
    <cellStyle name="20% - Accent1 5 4 4 4" xfId="44409" xr:uid="{00000000-0005-0000-0000-00007A0B0000}"/>
    <cellStyle name="20% - Accent1 5 4 4 5" xfId="15234" xr:uid="{00000000-0005-0000-0000-00007B0B0000}"/>
    <cellStyle name="20% - Accent1 5 4 5" xfId="20097" xr:uid="{00000000-0005-0000-0000-00007C0B0000}"/>
    <cellStyle name="20% - Accent1 5 4 6" xfId="29822" xr:uid="{00000000-0005-0000-0000-00007D0B0000}"/>
    <cellStyle name="20% - Accent1 5 4 7" xfId="39547" xr:uid="{00000000-0005-0000-0000-00007E0B0000}"/>
    <cellStyle name="20% - Accent1 5 4 8" xfId="10372" xr:uid="{00000000-0005-0000-0000-00007F0B0000}"/>
    <cellStyle name="20% - Accent1 5 5" xfId="1906" xr:uid="{00000000-0005-0000-0000-0000800B0000}"/>
    <cellStyle name="20% - Accent1 5 5 2" xfId="6768" xr:uid="{00000000-0005-0000-0000-0000810B0000}"/>
    <cellStyle name="20% - Accent1 5 5 2 2" xfId="26219" xr:uid="{00000000-0005-0000-0000-0000820B0000}"/>
    <cellStyle name="20% - Accent1 5 5 2 3" xfId="35944" xr:uid="{00000000-0005-0000-0000-0000830B0000}"/>
    <cellStyle name="20% - Accent1 5 5 2 4" xfId="45669" xr:uid="{00000000-0005-0000-0000-0000840B0000}"/>
    <cellStyle name="20% - Accent1 5 5 2 5" xfId="16494" xr:uid="{00000000-0005-0000-0000-0000850B0000}"/>
    <cellStyle name="20% - Accent1 5 5 3" xfId="21357" xr:uid="{00000000-0005-0000-0000-0000860B0000}"/>
    <cellStyle name="20% - Accent1 5 5 4" xfId="31082" xr:uid="{00000000-0005-0000-0000-0000870B0000}"/>
    <cellStyle name="20% - Accent1 5 5 5" xfId="40807" xr:uid="{00000000-0005-0000-0000-0000880B0000}"/>
    <cellStyle name="20% - Accent1 5 5 6" xfId="11632" xr:uid="{00000000-0005-0000-0000-0000890B0000}"/>
    <cellStyle name="20% - Accent1 5 6" xfId="3526" xr:uid="{00000000-0005-0000-0000-00008A0B0000}"/>
    <cellStyle name="20% - Accent1 5 6 2" xfId="8388" xr:uid="{00000000-0005-0000-0000-00008B0B0000}"/>
    <cellStyle name="20% - Accent1 5 6 2 2" xfId="27839" xr:uid="{00000000-0005-0000-0000-00008C0B0000}"/>
    <cellStyle name="20% - Accent1 5 6 2 3" xfId="37564" xr:uid="{00000000-0005-0000-0000-00008D0B0000}"/>
    <cellStyle name="20% - Accent1 5 6 2 4" xfId="47289" xr:uid="{00000000-0005-0000-0000-00008E0B0000}"/>
    <cellStyle name="20% - Accent1 5 6 2 5" xfId="18114" xr:uid="{00000000-0005-0000-0000-00008F0B0000}"/>
    <cellStyle name="20% - Accent1 5 6 3" xfId="22977" xr:uid="{00000000-0005-0000-0000-0000900B0000}"/>
    <cellStyle name="20% - Accent1 5 6 4" xfId="32702" xr:uid="{00000000-0005-0000-0000-0000910B0000}"/>
    <cellStyle name="20% - Accent1 5 6 5" xfId="42427" xr:uid="{00000000-0005-0000-0000-0000920B0000}"/>
    <cellStyle name="20% - Accent1 5 6 6" xfId="13252" xr:uid="{00000000-0005-0000-0000-0000930B0000}"/>
    <cellStyle name="20% - Accent1 5 7" xfId="5148" xr:uid="{00000000-0005-0000-0000-0000940B0000}"/>
    <cellStyle name="20% - Accent1 5 7 2" xfId="24599" xr:uid="{00000000-0005-0000-0000-0000950B0000}"/>
    <cellStyle name="20% - Accent1 5 7 3" xfId="34324" xr:uid="{00000000-0005-0000-0000-0000960B0000}"/>
    <cellStyle name="20% - Accent1 5 7 4" xfId="44049" xr:uid="{00000000-0005-0000-0000-0000970B0000}"/>
    <cellStyle name="20% - Accent1 5 7 5" xfId="14874" xr:uid="{00000000-0005-0000-0000-0000980B0000}"/>
    <cellStyle name="20% - Accent1 5 8" xfId="19737" xr:uid="{00000000-0005-0000-0000-0000990B0000}"/>
    <cellStyle name="20% - Accent1 5 9" xfId="29462" xr:uid="{00000000-0005-0000-0000-00009A0B0000}"/>
    <cellStyle name="20% - Accent1 6" xfId="315" xr:uid="{00000000-0005-0000-0000-00009B0B0000}"/>
    <cellStyle name="20% - Accent1 6 10" xfId="39277" xr:uid="{00000000-0005-0000-0000-00009C0B0000}"/>
    <cellStyle name="20% - Accent1 6 11" xfId="10102" xr:uid="{00000000-0005-0000-0000-00009D0B0000}"/>
    <cellStyle name="20% - Accent1 6 2" xfId="1078" xr:uid="{00000000-0005-0000-0000-00009E0B0000}"/>
    <cellStyle name="20% - Accent1 6 2 2" xfId="2716" xr:uid="{00000000-0005-0000-0000-00009F0B0000}"/>
    <cellStyle name="20% - Accent1 6 2 2 2" xfId="7578" xr:uid="{00000000-0005-0000-0000-0000A00B0000}"/>
    <cellStyle name="20% - Accent1 6 2 2 2 2" xfId="27029" xr:uid="{00000000-0005-0000-0000-0000A10B0000}"/>
    <cellStyle name="20% - Accent1 6 2 2 2 3" xfId="36754" xr:uid="{00000000-0005-0000-0000-0000A20B0000}"/>
    <cellStyle name="20% - Accent1 6 2 2 2 4" xfId="46479" xr:uid="{00000000-0005-0000-0000-0000A30B0000}"/>
    <cellStyle name="20% - Accent1 6 2 2 2 5" xfId="17304" xr:uid="{00000000-0005-0000-0000-0000A40B0000}"/>
    <cellStyle name="20% - Accent1 6 2 2 3" xfId="22167" xr:uid="{00000000-0005-0000-0000-0000A50B0000}"/>
    <cellStyle name="20% - Accent1 6 2 2 4" xfId="31892" xr:uid="{00000000-0005-0000-0000-0000A60B0000}"/>
    <cellStyle name="20% - Accent1 6 2 2 5" xfId="41617" xr:uid="{00000000-0005-0000-0000-0000A70B0000}"/>
    <cellStyle name="20% - Accent1 6 2 2 6" xfId="12442" xr:uid="{00000000-0005-0000-0000-0000A80B0000}"/>
    <cellStyle name="20% - Accent1 6 2 3" xfId="4336" xr:uid="{00000000-0005-0000-0000-0000A90B0000}"/>
    <cellStyle name="20% - Accent1 6 2 3 2" xfId="9198" xr:uid="{00000000-0005-0000-0000-0000AA0B0000}"/>
    <cellStyle name="20% - Accent1 6 2 3 2 2" xfId="28649" xr:uid="{00000000-0005-0000-0000-0000AB0B0000}"/>
    <cellStyle name="20% - Accent1 6 2 3 2 3" xfId="38374" xr:uid="{00000000-0005-0000-0000-0000AC0B0000}"/>
    <cellStyle name="20% - Accent1 6 2 3 2 4" xfId="48099" xr:uid="{00000000-0005-0000-0000-0000AD0B0000}"/>
    <cellStyle name="20% - Accent1 6 2 3 2 5" xfId="18924" xr:uid="{00000000-0005-0000-0000-0000AE0B0000}"/>
    <cellStyle name="20% - Accent1 6 2 3 3" xfId="23787" xr:uid="{00000000-0005-0000-0000-0000AF0B0000}"/>
    <cellStyle name="20% - Accent1 6 2 3 4" xfId="33512" xr:uid="{00000000-0005-0000-0000-0000B00B0000}"/>
    <cellStyle name="20% - Accent1 6 2 3 5" xfId="43237" xr:uid="{00000000-0005-0000-0000-0000B10B0000}"/>
    <cellStyle name="20% - Accent1 6 2 3 6" xfId="14062" xr:uid="{00000000-0005-0000-0000-0000B20B0000}"/>
    <cellStyle name="20% - Accent1 6 2 4" xfId="5958" xr:uid="{00000000-0005-0000-0000-0000B30B0000}"/>
    <cellStyle name="20% - Accent1 6 2 4 2" xfId="25409" xr:uid="{00000000-0005-0000-0000-0000B40B0000}"/>
    <cellStyle name="20% - Accent1 6 2 4 3" xfId="35134" xr:uid="{00000000-0005-0000-0000-0000B50B0000}"/>
    <cellStyle name="20% - Accent1 6 2 4 4" xfId="44859" xr:uid="{00000000-0005-0000-0000-0000B60B0000}"/>
    <cellStyle name="20% - Accent1 6 2 4 5" xfId="15684" xr:uid="{00000000-0005-0000-0000-0000B70B0000}"/>
    <cellStyle name="20% - Accent1 6 2 5" xfId="20547" xr:uid="{00000000-0005-0000-0000-0000B80B0000}"/>
    <cellStyle name="20% - Accent1 6 2 6" xfId="30272" xr:uid="{00000000-0005-0000-0000-0000B90B0000}"/>
    <cellStyle name="20% - Accent1 6 2 7" xfId="39997" xr:uid="{00000000-0005-0000-0000-0000BA0B0000}"/>
    <cellStyle name="20% - Accent1 6 2 8" xfId="10822" xr:uid="{00000000-0005-0000-0000-0000BB0B0000}"/>
    <cellStyle name="20% - Accent1 6 3" xfId="1545" xr:uid="{00000000-0005-0000-0000-0000BC0B0000}"/>
    <cellStyle name="20% - Accent1 6 3 2" xfId="3166" xr:uid="{00000000-0005-0000-0000-0000BD0B0000}"/>
    <cellStyle name="20% - Accent1 6 3 2 2" xfId="8028" xr:uid="{00000000-0005-0000-0000-0000BE0B0000}"/>
    <cellStyle name="20% - Accent1 6 3 2 2 2" xfId="27479" xr:uid="{00000000-0005-0000-0000-0000BF0B0000}"/>
    <cellStyle name="20% - Accent1 6 3 2 2 3" xfId="37204" xr:uid="{00000000-0005-0000-0000-0000C00B0000}"/>
    <cellStyle name="20% - Accent1 6 3 2 2 4" xfId="46929" xr:uid="{00000000-0005-0000-0000-0000C10B0000}"/>
    <cellStyle name="20% - Accent1 6 3 2 2 5" xfId="17754" xr:uid="{00000000-0005-0000-0000-0000C20B0000}"/>
    <cellStyle name="20% - Accent1 6 3 2 3" xfId="22617" xr:uid="{00000000-0005-0000-0000-0000C30B0000}"/>
    <cellStyle name="20% - Accent1 6 3 2 4" xfId="32342" xr:uid="{00000000-0005-0000-0000-0000C40B0000}"/>
    <cellStyle name="20% - Accent1 6 3 2 5" xfId="42067" xr:uid="{00000000-0005-0000-0000-0000C50B0000}"/>
    <cellStyle name="20% - Accent1 6 3 2 6" xfId="12892" xr:uid="{00000000-0005-0000-0000-0000C60B0000}"/>
    <cellStyle name="20% - Accent1 6 3 3" xfId="4786" xr:uid="{00000000-0005-0000-0000-0000C70B0000}"/>
    <cellStyle name="20% - Accent1 6 3 3 2" xfId="9648" xr:uid="{00000000-0005-0000-0000-0000C80B0000}"/>
    <cellStyle name="20% - Accent1 6 3 3 2 2" xfId="29099" xr:uid="{00000000-0005-0000-0000-0000C90B0000}"/>
    <cellStyle name="20% - Accent1 6 3 3 2 3" xfId="38824" xr:uid="{00000000-0005-0000-0000-0000CA0B0000}"/>
    <cellStyle name="20% - Accent1 6 3 3 2 4" xfId="48549" xr:uid="{00000000-0005-0000-0000-0000CB0B0000}"/>
    <cellStyle name="20% - Accent1 6 3 3 2 5" xfId="19374" xr:uid="{00000000-0005-0000-0000-0000CC0B0000}"/>
    <cellStyle name="20% - Accent1 6 3 3 3" xfId="24237" xr:uid="{00000000-0005-0000-0000-0000CD0B0000}"/>
    <cellStyle name="20% - Accent1 6 3 3 4" xfId="33962" xr:uid="{00000000-0005-0000-0000-0000CE0B0000}"/>
    <cellStyle name="20% - Accent1 6 3 3 5" xfId="43687" xr:uid="{00000000-0005-0000-0000-0000CF0B0000}"/>
    <cellStyle name="20% - Accent1 6 3 3 6" xfId="14512" xr:uid="{00000000-0005-0000-0000-0000D00B0000}"/>
    <cellStyle name="20% - Accent1 6 3 4" xfId="6408" xr:uid="{00000000-0005-0000-0000-0000D10B0000}"/>
    <cellStyle name="20% - Accent1 6 3 4 2" xfId="25859" xr:uid="{00000000-0005-0000-0000-0000D20B0000}"/>
    <cellStyle name="20% - Accent1 6 3 4 3" xfId="35584" xr:uid="{00000000-0005-0000-0000-0000D30B0000}"/>
    <cellStyle name="20% - Accent1 6 3 4 4" xfId="45309" xr:uid="{00000000-0005-0000-0000-0000D40B0000}"/>
    <cellStyle name="20% - Accent1 6 3 4 5" xfId="16134" xr:uid="{00000000-0005-0000-0000-0000D50B0000}"/>
    <cellStyle name="20% - Accent1 6 3 5" xfId="20997" xr:uid="{00000000-0005-0000-0000-0000D60B0000}"/>
    <cellStyle name="20% - Accent1 6 3 6" xfId="30722" xr:uid="{00000000-0005-0000-0000-0000D70B0000}"/>
    <cellStyle name="20% - Accent1 6 3 7" xfId="40447" xr:uid="{00000000-0005-0000-0000-0000D80B0000}"/>
    <cellStyle name="20% - Accent1 6 3 8" xfId="11272" xr:uid="{00000000-0005-0000-0000-0000D90B0000}"/>
    <cellStyle name="20% - Accent1 6 4" xfId="716" xr:uid="{00000000-0005-0000-0000-0000DA0B0000}"/>
    <cellStyle name="20% - Accent1 6 4 2" xfId="2356" xr:uid="{00000000-0005-0000-0000-0000DB0B0000}"/>
    <cellStyle name="20% - Accent1 6 4 2 2" xfId="7218" xr:uid="{00000000-0005-0000-0000-0000DC0B0000}"/>
    <cellStyle name="20% - Accent1 6 4 2 2 2" xfId="26669" xr:uid="{00000000-0005-0000-0000-0000DD0B0000}"/>
    <cellStyle name="20% - Accent1 6 4 2 2 3" xfId="36394" xr:uid="{00000000-0005-0000-0000-0000DE0B0000}"/>
    <cellStyle name="20% - Accent1 6 4 2 2 4" xfId="46119" xr:uid="{00000000-0005-0000-0000-0000DF0B0000}"/>
    <cellStyle name="20% - Accent1 6 4 2 2 5" xfId="16944" xr:uid="{00000000-0005-0000-0000-0000E00B0000}"/>
    <cellStyle name="20% - Accent1 6 4 2 3" xfId="21807" xr:uid="{00000000-0005-0000-0000-0000E10B0000}"/>
    <cellStyle name="20% - Accent1 6 4 2 4" xfId="31532" xr:uid="{00000000-0005-0000-0000-0000E20B0000}"/>
    <cellStyle name="20% - Accent1 6 4 2 5" xfId="41257" xr:uid="{00000000-0005-0000-0000-0000E30B0000}"/>
    <cellStyle name="20% - Accent1 6 4 2 6" xfId="12082" xr:uid="{00000000-0005-0000-0000-0000E40B0000}"/>
    <cellStyle name="20% - Accent1 6 4 3" xfId="3976" xr:uid="{00000000-0005-0000-0000-0000E50B0000}"/>
    <cellStyle name="20% - Accent1 6 4 3 2" xfId="8838" xr:uid="{00000000-0005-0000-0000-0000E60B0000}"/>
    <cellStyle name="20% - Accent1 6 4 3 2 2" xfId="28289" xr:uid="{00000000-0005-0000-0000-0000E70B0000}"/>
    <cellStyle name="20% - Accent1 6 4 3 2 3" xfId="38014" xr:uid="{00000000-0005-0000-0000-0000E80B0000}"/>
    <cellStyle name="20% - Accent1 6 4 3 2 4" xfId="47739" xr:uid="{00000000-0005-0000-0000-0000E90B0000}"/>
    <cellStyle name="20% - Accent1 6 4 3 2 5" xfId="18564" xr:uid="{00000000-0005-0000-0000-0000EA0B0000}"/>
    <cellStyle name="20% - Accent1 6 4 3 3" xfId="23427" xr:uid="{00000000-0005-0000-0000-0000EB0B0000}"/>
    <cellStyle name="20% - Accent1 6 4 3 4" xfId="33152" xr:uid="{00000000-0005-0000-0000-0000EC0B0000}"/>
    <cellStyle name="20% - Accent1 6 4 3 5" xfId="42877" xr:uid="{00000000-0005-0000-0000-0000ED0B0000}"/>
    <cellStyle name="20% - Accent1 6 4 3 6" xfId="13702" xr:uid="{00000000-0005-0000-0000-0000EE0B0000}"/>
    <cellStyle name="20% - Accent1 6 4 4" xfId="5598" xr:uid="{00000000-0005-0000-0000-0000EF0B0000}"/>
    <cellStyle name="20% - Accent1 6 4 4 2" xfId="25049" xr:uid="{00000000-0005-0000-0000-0000F00B0000}"/>
    <cellStyle name="20% - Accent1 6 4 4 3" xfId="34774" xr:uid="{00000000-0005-0000-0000-0000F10B0000}"/>
    <cellStyle name="20% - Accent1 6 4 4 4" xfId="44499" xr:uid="{00000000-0005-0000-0000-0000F20B0000}"/>
    <cellStyle name="20% - Accent1 6 4 4 5" xfId="15324" xr:uid="{00000000-0005-0000-0000-0000F30B0000}"/>
    <cellStyle name="20% - Accent1 6 4 5" xfId="20187" xr:uid="{00000000-0005-0000-0000-0000F40B0000}"/>
    <cellStyle name="20% - Accent1 6 4 6" xfId="29912" xr:uid="{00000000-0005-0000-0000-0000F50B0000}"/>
    <cellStyle name="20% - Accent1 6 4 7" xfId="39637" xr:uid="{00000000-0005-0000-0000-0000F60B0000}"/>
    <cellStyle name="20% - Accent1 6 4 8" xfId="10462" xr:uid="{00000000-0005-0000-0000-0000F70B0000}"/>
    <cellStyle name="20% - Accent1 6 5" xfId="1996" xr:uid="{00000000-0005-0000-0000-0000F80B0000}"/>
    <cellStyle name="20% - Accent1 6 5 2" xfId="6858" xr:uid="{00000000-0005-0000-0000-0000F90B0000}"/>
    <cellStyle name="20% - Accent1 6 5 2 2" xfId="26309" xr:uid="{00000000-0005-0000-0000-0000FA0B0000}"/>
    <cellStyle name="20% - Accent1 6 5 2 3" xfId="36034" xr:uid="{00000000-0005-0000-0000-0000FB0B0000}"/>
    <cellStyle name="20% - Accent1 6 5 2 4" xfId="45759" xr:uid="{00000000-0005-0000-0000-0000FC0B0000}"/>
    <cellStyle name="20% - Accent1 6 5 2 5" xfId="16584" xr:uid="{00000000-0005-0000-0000-0000FD0B0000}"/>
    <cellStyle name="20% - Accent1 6 5 3" xfId="21447" xr:uid="{00000000-0005-0000-0000-0000FE0B0000}"/>
    <cellStyle name="20% - Accent1 6 5 4" xfId="31172" xr:uid="{00000000-0005-0000-0000-0000FF0B0000}"/>
    <cellStyle name="20% - Accent1 6 5 5" xfId="40897" xr:uid="{00000000-0005-0000-0000-0000000C0000}"/>
    <cellStyle name="20% - Accent1 6 5 6" xfId="11722" xr:uid="{00000000-0005-0000-0000-0000010C0000}"/>
    <cellStyle name="20% - Accent1 6 6" xfId="3616" xr:uid="{00000000-0005-0000-0000-0000020C0000}"/>
    <cellStyle name="20% - Accent1 6 6 2" xfId="8478" xr:uid="{00000000-0005-0000-0000-0000030C0000}"/>
    <cellStyle name="20% - Accent1 6 6 2 2" xfId="27929" xr:uid="{00000000-0005-0000-0000-0000040C0000}"/>
    <cellStyle name="20% - Accent1 6 6 2 3" xfId="37654" xr:uid="{00000000-0005-0000-0000-0000050C0000}"/>
    <cellStyle name="20% - Accent1 6 6 2 4" xfId="47379" xr:uid="{00000000-0005-0000-0000-0000060C0000}"/>
    <cellStyle name="20% - Accent1 6 6 2 5" xfId="18204" xr:uid="{00000000-0005-0000-0000-0000070C0000}"/>
    <cellStyle name="20% - Accent1 6 6 3" xfId="23067" xr:uid="{00000000-0005-0000-0000-0000080C0000}"/>
    <cellStyle name="20% - Accent1 6 6 4" xfId="32792" xr:uid="{00000000-0005-0000-0000-0000090C0000}"/>
    <cellStyle name="20% - Accent1 6 6 5" xfId="42517" xr:uid="{00000000-0005-0000-0000-00000A0C0000}"/>
    <cellStyle name="20% - Accent1 6 6 6" xfId="13342" xr:uid="{00000000-0005-0000-0000-00000B0C0000}"/>
    <cellStyle name="20% - Accent1 6 7" xfId="5238" xr:uid="{00000000-0005-0000-0000-00000C0C0000}"/>
    <cellStyle name="20% - Accent1 6 7 2" xfId="24689" xr:uid="{00000000-0005-0000-0000-00000D0C0000}"/>
    <cellStyle name="20% - Accent1 6 7 3" xfId="34414" xr:uid="{00000000-0005-0000-0000-00000E0C0000}"/>
    <cellStyle name="20% - Accent1 6 7 4" xfId="44139" xr:uid="{00000000-0005-0000-0000-00000F0C0000}"/>
    <cellStyle name="20% - Accent1 6 7 5" xfId="14964" xr:uid="{00000000-0005-0000-0000-0000100C0000}"/>
    <cellStyle name="20% - Accent1 6 8" xfId="19827" xr:uid="{00000000-0005-0000-0000-0000110C0000}"/>
    <cellStyle name="20% - Accent1 6 9" xfId="29552" xr:uid="{00000000-0005-0000-0000-0000120C0000}"/>
    <cellStyle name="20% - Accent1 7" xfId="133" xr:uid="{00000000-0005-0000-0000-0000130C0000}"/>
    <cellStyle name="20% - Accent1 7 10" xfId="39097" xr:uid="{00000000-0005-0000-0000-0000140C0000}"/>
    <cellStyle name="20% - Accent1 7 11" xfId="9922" xr:uid="{00000000-0005-0000-0000-0000150C0000}"/>
    <cellStyle name="20% - Accent1 7 2" xfId="897" xr:uid="{00000000-0005-0000-0000-0000160C0000}"/>
    <cellStyle name="20% - Accent1 7 2 2" xfId="2536" xr:uid="{00000000-0005-0000-0000-0000170C0000}"/>
    <cellStyle name="20% - Accent1 7 2 2 2" xfId="7398" xr:uid="{00000000-0005-0000-0000-0000180C0000}"/>
    <cellStyle name="20% - Accent1 7 2 2 2 2" xfId="26849" xr:uid="{00000000-0005-0000-0000-0000190C0000}"/>
    <cellStyle name="20% - Accent1 7 2 2 2 3" xfId="36574" xr:uid="{00000000-0005-0000-0000-00001A0C0000}"/>
    <cellStyle name="20% - Accent1 7 2 2 2 4" xfId="46299" xr:uid="{00000000-0005-0000-0000-00001B0C0000}"/>
    <cellStyle name="20% - Accent1 7 2 2 2 5" xfId="17124" xr:uid="{00000000-0005-0000-0000-00001C0C0000}"/>
    <cellStyle name="20% - Accent1 7 2 2 3" xfId="21987" xr:uid="{00000000-0005-0000-0000-00001D0C0000}"/>
    <cellStyle name="20% - Accent1 7 2 2 4" xfId="31712" xr:uid="{00000000-0005-0000-0000-00001E0C0000}"/>
    <cellStyle name="20% - Accent1 7 2 2 5" xfId="41437" xr:uid="{00000000-0005-0000-0000-00001F0C0000}"/>
    <cellStyle name="20% - Accent1 7 2 2 6" xfId="12262" xr:uid="{00000000-0005-0000-0000-0000200C0000}"/>
    <cellStyle name="20% - Accent1 7 2 3" xfId="4156" xr:uid="{00000000-0005-0000-0000-0000210C0000}"/>
    <cellStyle name="20% - Accent1 7 2 3 2" xfId="9018" xr:uid="{00000000-0005-0000-0000-0000220C0000}"/>
    <cellStyle name="20% - Accent1 7 2 3 2 2" xfId="28469" xr:uid="{00000000-0005-0000-0000-0000230C0000}"/>
    <cellStyle name="20% - Accent1 7 2 3 2 3" xfId="38194" xr:uid="{00000000-0005-0000-0000-0000240C0000}"/>
    <cellStyle name="20% - Accent1 7 2 3 2 4" xfId="47919" xr:uid="{00000000-0005-0000-0000-0000250C0000}"/>
    <cellStyle name="20% - Accent1 7 2 3 2 5" xfId="18744" xr:uid="{00000000-0005-0000-0000-0000260C0000}"/>
    <cellStyle name="20% - Accent1 7 2 3 3" xfId="23607" xr:uid="{00000000-0005-0000-0000-0000270C0000}"/>
    <cellStyle name="20% - Accent1 7 2 3 4" xfId="33332" xr:uid="{00000000-0005-0000-0000-0000280C0000}"/>
    <cellStyle name="20% - Accent1 7 2 3 5" xfId="43057" xr:uid="{00000000-0005-0000-0000-0000290C0000}"/>
    <cellStyle name="20% - Accent1 7 2 3 6" xfId="13882" xr:uid="{00000000-0005-0000-0000-00002A0C0000}"/>
    <cellStyle name="20% - Accent1 7 2 4" xfId="5778" xr:uid="{00000000-0005-0000-0000-00002B0C0000}"/>
    <cellStyle name="20% - Accent1 7 2 4 2" xfId="25229" xr:uid="{00000000-0005-0000-0000-00002C0C0000}"/>
    <cellStyle name="20% - Accent1 7 2 4 3" xfId="34954" xr:uid="{00000000-0005-0000-0000-00002D0C0000}"/>
    <cellStyle name="20% - Accent1 7 2 4 4" xfId="44679" xr:uid="{00000000-0005-0000-0000-00002E0C0000}"/>
    <cellStyle name="20% - Accent1 7 2 4 5" xfId="15504" xr:uid="{00000000-0005-0000-0000-00002F0C0000}"/>
    <cellStyle name="20% - Accent1 7 2 5" xfId="20367" xr:uid="{00000000-0005-0000-0000-0000300C0000}"/>
    <cellStyle name="20% - Accent1 7 2 6" xfId="30092" xr:uid="{00000000-0005-0000-0000-0000310C0000}"/>
    <cellStyle name="20% - Accent1 7 2 7" xfId="39817" xr:uid="{00000000-0005-0000-0000-0000320C0000}"/>
    <cellStyle name="20% - Accent1 7 2 8" xfId="10642" xr:uid="{00000000-0005-0000-0000-0000330C0000}"/>
    <cellStyle name="20% - Accent1 7 3" xfId="1365" xr:uid="{00000000-0005-0000-0000-0000340C0000}"/>
    <cellStyle name="20% - Accent1 7 3 2" xfId="2986" xr:uid="{00000000-0005-0000-0000-0000350C0000}"/>
    <cellStyle name="20% - Accent1 7 3 2 2" xfId="7848" xr:uid="{00000000-0005-0000-0000-0000360C0000}"/>
    <cellStyle name="20% - Accent1 7 3 2 2 2" xfId="27299" xr:uid="{00000000-0005-0000-0000-0000370C0000}"/>
    <cellStyle name="20% - Accent1 7 3 2 2 3" xfId="37024" xr:uid="{00000000-0005-0000-0000-0000380C0000}"/>
    <cellStyle name="20% - Accent1 7 3 2 2 4" xfId="46749" xr:uid="{00000000-0005-0000-0000-0000390C0000}"/>
    <cellStyle name="20% - Accent1 7 3 2 2 5" xfId="17574" xr:uid="{00000000-0005-0000-0000-00003A0C0000}"/>
    <cellStyle name="20% - Accent1 7 3 2 3" xfId="22437" xr:uid="{00000000-0005-0000-0000-00003B0C0000}"/>
    <cellStyle name="20% - Accent1 7 3 2 4" xfId="32162" xr:uid="{00000000-0005-0000-0000-00003C0C0000}"/>
    <cellStyle name="20% - Accent1 7 3 2 5" xfId="41887" xr:uid="{00000000-0005-0000-0000-00003D0C0000}"/>
    <cellStyle name="20% - Accent1 7 3 2 6" xfId="12712" xr:uid="{00000000-0005-0000-0000-00003E0C0000}"/>
    <cellStyle name="20% - Accent1 7 3 3" xfId="4606" xr:uid="{00000000-0005-0000-0000-00003F0C0000}"/>
    <cellStyle name="20% - Accent1 7 3 3 2" xfId="9468" xr:uid="{00000000-0005-0000-0000-0000400C0000}"/>
    <cellStyle name="20% - Accent1 7 3 3 2 2" xfId="28919" xr:uid="{00000000-0005-0000-0000-0000410C0000}"/>
    <cellStyle name="20% - Accent1 7 3 3 2 3" xfId="38644" xr:uid="{00000000-0005-0000-0000-0000420C0000}"/>
    <cellStyle name="20% - Accent1 7 3 3 2 4" xfId="48369" xr:uid="{00000000-0005-0000-0000-0000430C0000}"/>
    <cellStyle name="20% - Accent1 7 3 3 2 5" xfId="19194" xr:uid="{00000000-0005-0000-0000-0000440C0000}"/>
    <cellStyle name="20% - Accent1 7 3 3 3" xfId="24057" xr:uid="{00000000-0005-0000-0000-0000450C0000}"/>
    <cellStyle name="20% - Accent1 7 3 3 4" xfId="33782" xr:uid="{00000000-0005-0000-0000-0000460C0000}"/>
    <cellStyle name="20% - Accent1 7 3 3 5" xfId="43507" xr:uid="{00000000-0005-0000-0000-0000470C0000}"/>
    <cellStyle name="20% - Accent1 7 3 3 6" xfId="14332" xr:uid="{00000000-0005-0000-0000-0000480C0000}"/>
    <cellStyle name="20% - Accent1 7 3 4" xfId="6228" xr:uid="{00000000-0005-0000-0000-0000490C0000}"/>
    <cellStyle name="20% - Accent1 7 3 4 2" xfId="25679" xr:uid="{00000000-0005-0000-0000-00004A0C0000}"/>
    <cellStyle name="20% - Accent1 7 3 4 3" xfId="35404" xr:uid="{00000000-0005-0000-0000-00004B0C0000}"/>
    <cellStyle name="20% - Accent1 7 3 4 4" xfId="45129" xr:uid="{00000000-0005-0000-0000-00004C0C0000}"/>
    <cellStyle name="20% - Accent1 7 3 4 5" xfId="15954" xr:uid="{00000000-0005-0000-0000-00004D0C0000}"/>
    <cellStyle name="20% - Accent1 7 3 5" xfId="20817" xr:uid="{00000000-0005-0000-0000-00004E0C0000}"/>
    <cellStyle name="20% - Accent1 7 3 6" xfId="30542" xr:uid="{00000000-0005-0000-0000-00004F0C0000}"/>
    <cellStyle name="20% - Accent1 7 3 7" xfId="40267" xr:uid="{00000000-0005-0000-0000-0000500C0000}"/>
    <cellStyle name="20% - Accent1 7 3 8" xfId="11092" xr:uid="{00000000-0005-0000-0000-0000510C0000}"/>
    <cellStyle name="20% - Accent1 7 4" xfId="536" xr:uid="{00000000-0005-0000-0000-0000520C0000}"/>
    <cellStyle name="20% - Accent1 7 4 2" xfId="2176" xr:uid="{00000000-0005-0000-0000-0000530C0000}"/>
    <cellStyle name="20% - Accent1 7 4 2 2" xfId="7038" xr:uid="{00000000-0005-0000-0000-0000540C0000}"/>
    <cellStyle name="20% - Accent1 7 4 2 2 2" xfId="26489" xr:uid="{00000000-0005-0000-0000-0000550C0000}"/>
    <cellStyle name="20% - Accent1 7 4 2 2 3" xfId="36214" xr:uid="{00000000-0005-0000-0000-0000560C0000}"/>
    <cellStyle name="20% - Accent1 7 4 2 2 4" xfId="45939" xr:uid="{00000000-0005-0000-0000-0000570C0000}"/>
    <cellStyle name="20% - Accent1 7 4 2 2 5" xfId="16764" xr:uid="{00000000-0005-0000-0000-0000580C0000}"/>
    <cellStyle name="20% - Accent1 7 4 2 3" xfId="21627" xr:uid="{00000000-0005-0000-0000-0000590C0000}"/>
    <cellStyle name="20% - Accent1 7 4 2 4" xfId="31352" xr:uid="{00000000-0005-0000-0000-00005A0C0000}"/>
    <cellStyle name="20% - Accent1 7 4 2 5" xfId="41077" xr:uid="{00000000-0005-0000-0000-00005B0C0000}"/>
    <cellStyle name="20% - Accent1 7 4 2 6" xfId="11902" xr:uid="{00000000-0005-0000-0000-00005C0C0000}"/>
    <cellStyle name="20% - Accent1 7 4 3" xfId="3796" xr:uid="{00000000-0005-0000-0000-00005D0C0000}"/>
    <cellStyle name="20% - Accent1 7 4 3 2" xfId="8658" xr:uid="{00000000-0005-0000-0000-00005E0C0000}"/>
    <cellStyle name="20% - Accent1 7 4 3 2 2" xfId="28109" xr:uid="{00000000-0005-0000-0000-00005F0C0000}"/>
    <cellStyle name="20% - Accent1 7 4 3 2 3" xfId="37834" xr:uid="{00000000-0005-0000-0000-0000600C0000}"/>
    <cellStyle name="20% - Accent1 7 4 3 2 4" xfId="47559" xr:uid="{00000000-0005-0000-0000-0000610C0000}"/>
    <cellStyle name="20% - Accent1 7 4 3 2 5" xfId="18384" xr:uid="{00000000-0005-0000-0000-0000620C0000}"/>
    <cellStyle name="20% - Accent1 7 4 3 3" xfId="23247" xr:uid="{00000000-0005-0000-0000-0000630C0000}"/>
    <cellStyle name="20% - Accent1 7 4 3 4" xfId="32972" xr:uid="{00000000-0005-0000-0000-0000640C0000}"/>
    <cellStyle name="20% - Accent1 7 4 3 5" xfId="42697" xr:uid="{00000000-0005-0000-0000-0000650C0000}"/>
    <cellStyle name="20% - Accent1 7 4 3 6" xfId="13522" xr:uid="{00000000-0005-0000-0000-0000660C0000}"/>
    <cellStyle name="20% - Accent1 7 4 4" xfId="5418" xr:uid="{00000000-0005-0000-0000-0000670C0000}"/>
    <cellStyle name="20% - Accent1 7 4 4 2" xfId="24869" xr:uid="{00000000-0005-0000-0000-0000680C0000}"/>
    <cellStyle name="20% - Accent1 7 4 4 3" xfId="34594" xr:uid="{00000000-0005-0000-0000-0000690C0000}"/>
    <cellStyle name="20% - Accent1 7 4 4 4" xfId="44319" xr:uid="{00000000-0005-0000-0000-00006A0C0000}"/>
    <cellStyle name="20% - Accent1 7 4 4 5" xfId="15144" xr:uid="{00000000-0005-0000-0000-00006B0C0000}"/>
    <cellStyle name="20% - Accent1 7 4 5" xfId="20007" xr:uid="{00000000-0005-0000-0000-00006C0C0000}"/>
    <cellStyle name="20% - Accent1 7 4 6" xfId="29732" xr:uid="{00000000-0005-0000-0000-00006D0C0000}"/>
    <cellStyle name="20% - Accent1 7 4 7" xfId="39457" xr:uid="{00000000-0005-0000-0000-00006E0C0000}"/>
    <cellStyle name="20% - Accent1 7 4 8" xfId="10282" xr:uid="{00000000-0005-0000-0000-00006F0C0000}"/>
    <cellStyle name="20% - Accent1 7 5" xfId="1816" xr:uid="{00000000-0005-0000-0000-0000700C0000}"/>
    <cellStyle name="20% - Accent1 7 5 2" xfId="6678" xr:uid="{00000000-0005-0000-0000-0000710C0000}"/>
    <cellStyle name="20% - Accent1 7 5 2 2" xfId="26129" xr:uid="{00000000-0005-0000-0000-0000720C0000}"/>
    <cellStyle name="20% - Accent1 7 5 2 3" xfId="35854" xr:uid="{00000000-0005-0000-0000-0000730C0000}"/>
    <cellStyle name="20% - Accent1 7 5 2 4" xfId="45579" xr:uid="{00000000-0005-0000-0000-0000740C0000}"/>
    <cellStyle name="20% - Accent1 7 5 2 5" xfId="16404" xr:uid="{00000000-0005-0000-0000-0000750C0000}"/>
    <cellStyle name="20% - Accent1 7 5 3" xfId="21267" xr:uid="{00000000-0005-0000-0000-0000760C0000}"/>
    <cellStyle name="20% - Accent1 7 5 4" xfId="30992" xr:uid="{00000000-0005-0000-0000-0000770C0000}"/>
    <cellStyle name="20% - Accent1 7 5 5" xfId="40717" xr:uid="{00000000-0005-0000-0000-0000780C0000}"/>
    <cellStyle name="20% - Accent1 7 5 6" xfId="11542" xr:uid="{00000000-0005-0000-0000-0000790C0000}"/>
    <cellStyle name="20% - Accent1 7 6" xfId="3436" xr:uid="{00000000-0005-0000-0000-00007A0C0000}"/>
    <cellStyle name="20% - Accent1 7 6 2" xfId="8298" xr:uid="{00000000-0005-0000-0000-00007B0C0000}"/>
    <cellStyle name="20% - Accent1 7 6 2 2" xfId="27749" xr:uid="{00000000-0005-0000-0000-00007C0C0000}"/>
    <cellStyle name="20% - Accent1 7 6 2 3" xfId="37474" xr:uid="{00000000-0005-0000-0000-00007D0C0000}"/>
    <cellStyle name="20% - Accent1 7 6 2 4" xfId="47199" xr:uid="{00000000-0005-0000-0000-00007E0C0000}"/>
    <cellStyle name="20% - Accent1 7 6 2 5" xfId="18024" xr:uid="{00000000-0005-0000-0000-00007F0C0000}"/>
    <cellStyle name="20% - Accent1 7 6 3" xfId="22887" xr:uid="{00000000-0005-0000-0000-0000800C0000}"/>
    <cellStyle name="20% - Accent1 7 6 4" xfId="32612" xr:uid="{00000000-0005-0000-0000-0000810C0000}"/>
    <cellStyle name="20% - Accent1 7 6 5" xfId="42337" xr:uid="{00000000-0005-0000-0000-0000820C0000}"/>
    <cellStyle name="20% - Accent1 7 6 6" xfId="13162" xr:uid="{00000000-0005-0000-0000-0000830C0000}"/>
    <cellStyle name="20% - Accent1 7 7" xfId="5058" xr:uid="{00000000-0005-0000-0000-0000840C0000}"/>
    <cellStyle name="20% - Accent1 7 7 2" xfId="24509" xr:uid="{00000000-0005-0000-0000-0000850C0000}"/>
    <cellStyle name="20% - Accent1 7 7 3" xfId="34234" xr:uid="{00000000-0005-0000-0000-0000860C0000}"/>
    <cellStyle name="20% - Accent1 7 7 4" xfId="43959" xr:uid="{00000000-0005-0000-0000-0000870C0000}"/>
    <cellStyle name="20% - Accent1 7 7 5" xfId="14784" xr:uid="{00000000-0005-0000-0000-0000880C0000}"/>
    <cellStyle name="20% - Accent1 7 8" xfId="19647" xr:uid="{00000000-0005-0000-0000-0000890C0000}"/>
    <cellStyle name="20% - Accent1 7 9" xfId="29372" xr:uid="{00000000-0005-0000-0000-00008A0C0000}"/>
    <cellStyle name="20% - Accent1 8" xfId="405" xr:uid="{00000000-0005-0000-0000-00008B0C0000}"/>
    <cellStyle name="20% - Accent1 9" xfId="807" xr:uid="{00000000-0005-0000-0000-00008C0C0000}"/>
    <cellStyle name="20% - Accent1 9 2" xfId="2446" xr:uid="{00000000-0005-0000-0000-00008D0C0000}"/>
    <cellStyle name="20% - Accent1 9 2 2" xfId="7308" xr:uid="{00000000-0005-0000-0000-00008E0C0000}"/>
    <cellStyle name="20% - Accent1 9 2 2 2" xfId="26759" xr:uid="{00000000-0005-0000-0000-00008F0C0000}"/>
    <cellStyle name="20% - Accent1 9 2 2 3" xfId="36484" xr:uid="{00000000-0005-0000-0000-0000900C0000}"/>
    <cellStyle name="20% - Accent1 9 2 2 4" xfId="46209" xr:uid="{00000000-0005-0000-0000-0000910C0000}"/>
    <cellStyle name="20% - Accent1 9 2 2 5" xfId="17034" xr:uid="{00000000-0005-0000-0000-0000920C0000}"/>
    <cellStyle name="20% - Accent1 9 2 3" xfId="21897" xr:uid="{00000000-0005-0000-0000-0000930C0000}"/>
    <cellStyle name="20% - Accent1 9 2 4" xfId="31622" xr:uid="{00000000-0005-0000-0000-0000940C0000}"/>
    <cellStyle name="20% - Accent1 9 2 5" xfId="41347" xr:uid="{00000000-0005-0000-0000-0000950C0000}"/>
    <cellStyle name="20% - Accent1 9 2 6" xfId="12172" xr:uid="{00000000-0005-0000-0000-0000960C0000}"/>
    <cellStyle name="20% - Accent1 9 3" xfId="4066" xr:uid="{00000000-0005-0000-0000-0000970C0000}"/>
    <cellStyle name="20% - Accent1 9 3 2" xfId="8928" xr:uid="{00000000-0005-0000-0000-0000980C0000}"/>
    <cellStyle name="20% - Accent1 9 3 2 2" xfId="28379" xr:uid="{00000000-0005-0000-0000-0000990C0000}"/>
    <cellStyle name="20% - Accent1 9 3 2 3" xfId="38104" xr:uid="{00000000-0005-0000-0000-00009A0C0000}"/>
    <cellStyle name="20% - Accent1 9 3 2 4" xfId="47829" xr:uid="{00000000-0005-0000-0000-00009B0C0000}"/>
    <cellStyle name="20% - Accent1 9 3 2 5" xfId="18654" xr:uid="{00000000-0005-0000-0000-00009C0C0000}"/>
    <cellStyle name="20% - Accent1 9 3 3" xfId="23517" xr:uid="{00000000-0005-0000-0000-00009D0C0000}"/>
    <cellStyle name="20% - Accent1 9 3 4" xfId="33242" xr:uid="{00000000-0005-0000-0000-00009E0C0000}"/>
    <cellStyle name="20% - Accent1 9 3 5" xfId="42967" xr:uid="{00000000-0005-0000-0000-00009F0C0000}"/>
    <cellStyle name="20% - Accent1 9 3 6" xfId="13792" xr:uid="{00000000-0005-0000-0000-0000A00C0000}"/>
    <cellStyle name="20% - Accent1 9 4" xfId="5688" xr:uid="{00000000-0005-0000-0000-0000A10C0000}"/>
    <cellStyle name="20% - Accent1 9 4 2" xfId="25139" xr:uid="{00000000-0005-0000-0000-0000A20C0000}"/>
    <cellStyle name="20% - Accent1 9 4 3" xfId="34864" xr:uid="{00000000-0005-0000-0000-0000A30C0000}"/>
    <cellStyle name="20% - Accent1 9 4 4" xfId="44589" xr:uid="{00000000-0005-0000-0000-0000A40C0000}"/>
    <cellStyle name="20% - Accent1 9 4 5" xfId="15414" xr:uid="{00000000-0005-0000-0000-0000A50C0000}"/>
    <cellStyle name="20% - Accent1 9 5" xfId="20277" xr:uid="{00000000-0005-0000-0000-0000A60C0000}"/>
    <cellStyle name="20% - Accent1 9 6" xfId="30002" xr:uid="{00000000-0005-0000-0000-0000A70C0000}"/>
    <cellStyle name="20% - Accent1 9 7" xfId="39727" xr:uid="{00000000-0005-0000-0000-0000A80C0000}"/>
    <cellStyle name="20% - Accent1 9 8" xfId="10552" xr:uid="{00000000-0005-0000-0000-0000A90C0000}"/>
    <cellStyle name="20% - Accent2" xfId="34" builtinId="34" customBuiltin="1"/>
    <cellStyle name="20% - Accent2 10" xfId="1187" xr:uid="{00000000-0005-0000-0000-0000AB0C0000}"/>
    <cellStyle name="20% - Accent2 10 2" xfId="2808" xr:uid="{00000000-0005-0000-0000-0000AC0C0000}"/>
    <cellStyle name="20% - Accent2 10 2 2" xfId="7670" xr:uid="{00000000-0005-0000-0000-0000AD0C0000}"/>
    <cellStyle name="20% - Accent2 10 2 2 2" xfId="27121" xr:uid="{00000000-0005-0000-0000-0000AE0C0000}"/>
    <cellStyle name="20% - Accent2 10 2 2 3" xfId="36846" xr:uid="{00000000-0005-0000-0000-0000AF0C0000}"/>
    <cellStyle name="20% - Accent2 10 2 2 4" xfId="46571" xr:uid="{00000000-0005-0000-0000-0000B00C0000}"/>
    <cellStyle name="20% - Accent2 10 2 2 5" xfId="17396" xr:uid="{00000000-0005-0000-0000-0000B10C0000}"/>
    <cellStyle name="20% - Accent2 10 2 3" xfId="22259" xr:uid="{00000000-0005-0000-0000-0000B20C0000}"/>
    <cellStyle name="20% - Accent2 10 2 4" xfId="31984" xr:uid="{00000000-0005-0000-0000-0000B30C0000}"/>
    <cellStyle name="20% - Accent2 10 2 5" xfId="41709" xr:uid="{00000000-0005-0000-0000-0000B40C0000}"/>
    <cellStyle name="20% - Accent2 10 2 6" xfId="12534" xr:uid="{00000000-0005-0000-0000-0000B50C0000}"/>
    <cellStyle name="20% - Accent2 10 3" xfId="4428" xr:uid="{00000000-0005-0000-0000-0000B60C0000}"/>
    <cellStyle name="20% - Accent2 10 3 2" xfId="9290" xr:uid="{00000000-0005-0000-0000-0000B70C0000}"/>
    <cellStyle name="20% - Accent2 10 3 2 2" xfId="28741" xr:uid="{00000000-0005-0000-0000-0000B80C0000}"/>
    <cellStyle name="20% - Accent2 10 3 2 3" xfId="38466" xr:uid="{00000000-0005-0000-0000-0000B90C0000}"/>
    <cellStyle name="20% - Accent2 10 3 2 4" xfId="48191" xr:uid="{00000000-0005-0000-0000-0000BA0C0000}"/>
    <cellStyle name="20% - Accent2 10 3 2 5" xfId="19016" xr:uid="{00000000-0005-0000-0000-0000BB0C0000}"/>
    <cellStyle name="20% - Accent2 10 3 3" xfId="23879" xr:uid="{00000000-0005-0000-0000-0000BC0C0000}"/>
    <cellStyle name="20% - Accent2 10 3 4" xfId="33604" xr:uid="{00000000-0005-0000-0000-0000BD0C0000}"/>
    <cellStyle name="20% - Accent2 10 3 5" xfId="43329" xr:uid="{00000000-0005-0000-0000-0000BE0C0000}"/>
    <cellStyle name="20% - Accent2 10 3 6" xfId="14154" xr:uid="{00000000-0005-0000-0000-0000BF0C0000}"/>
    <cellStyle name="20% - Accent2 10 4" xfId="6050" xr:uid="{00000000-0005-0000-0000-0000C00C0000}"/>
    <cellStyle name="20% - Accent2 10 4 2" xfId="25501" xr:uid="{00000000-0005-0000-0000-0000C10C0000}"/>
    <cellStyle name="20% - Accent2 10 4 3" xfId="35226" xr:uid="{00000000-0005-0000-0000-0000C20C0000}"/>
    <cellStyle name="20% - Accent2 10 4 4" xfId="44951" xr:uid="{00000000-0005-0000-0000-0000C30C0000}"/>
    <cellStyle name="20% - Accent2 10 4 5" xfId="15776" xr:uid="{00000000-0005-0000-0000-0000C40C0000}"/>
    <cellStyle name="20% - Accent2 10 5" xfId="20639" xr:uid="{00000000-0005-0000-0000-0000C50C0000}"/>
    <cellStyle name="20% - Accent2 10 6" xfId="30364" xr:uid="{00000000-0005-0000-0000-0000C60C0000}"/>
    <cellStyle name="20% - Accent2 10 7" xfId="40089" xr:uid="{00000000-0005-0000-0000-0000C70C0000}"/>
    <cellStyle name="20% - Accent2 10 8" xfId="10914" xr:uid="{00000000-0005-0000-0000-0000C80C0000}"/>
    <cellStyle name="20% - Accent2 11" xfId="1277" xr:uid="{00000000-0005-0000-0000-0000C90C0000}"/>
    <cellStyle name="20% - Accent2 11 2" xfId="2898" xr:uid="{00000000-0005-0000-0000-0000CA0C0000}"/>
    <cellStyle name="20% - Accent2 11 2 2" xfId="7760" xr:uid="{00000000-0005-0000-0000-0000CB0C0000}"/>
    <cellStyle name="20% - Accent2 11 2 2 2" xfId="27211" xr:uid="{00000000-0005-0000-0000-0000CC0C0000}"/>
    <cellStyle name="20% - Accent2 11 2 2 3" xfId="36936" xr:uid="{00000000-0005-0000-0000-0000CD0C0000}"/>
    <cellStyle name="20% - Accent2 11 2 2 4" xfId="46661" xr:uid="{00000000-0005-0000-0000-0000CE0C0000}"/>
    <cellStyle name="20% - Accent2 11 2 2 5" xfId="17486" xr:uid="{00000000-0005-0000-0000-0000CF0C0000}"/>
    <cellStyle name="20% - Accent2 11 2 3" xfId="22349" xr:uid="{00000000-0005-0000-0000-0000D00C0000}"/>
    <cellStyle name="20% - Accent2 11 2 4" xfId="32074" xr:uid="{00000000-0005-0000-0000-0000D10C0000}"/>
    <cellStyle name="20% - Accent2 11 2 5" xfId="41799" xr:uid="{00000000-0005-0000-0000-0000D20C0000}"/>
    <cellStyle name="20% - Accent2 11 2 6" xfId="12624" xr:uid="{00000000-0005-0000-0000-0000D30C0000}"/>
    <cellStyle name="20% - Accent2 11 3" xfId="4518" xr:uid="{00000000-0005-0000-0000-0000D40C0000}"/>
    <cellStyle name="20% - Accent2 11 3 2" xfId="9380" xr:uid="{00000000-0005-0000-0000-0000D50C0000}"/>
    <cellStyle name="20% - Accent2 11 3 2 2" xfId="28831" xr:uid="{00000000-0005-0000-0000-0000D60C0000}"/>
    <cellStyle name="20% - Accent2 11 3 2 3" xfId="38556" xr:uid="{00000000-0005-0000-0000-0000D70C0000}"/>
    <cellStyle name="20% - Accent2 11 3 2 4" xfId="48281" xr:uid="{00000000-0005-0000-0000-0000D80C0000}"/>
    <cellStyle name="20% - Accent2 11 3 2 5" xfId="19106" xr:uid="{00000000-0005-0000-0000-0000D90C0000}"/>
    <cellStyle name="20% - Accent2 11 3 3" xfId="23969" xr:uid="{00000000-0005-0000-0000-0000DA0C0000}"/>
    <cellStyle name="20% - Accent2 11 3 4" xfId="33694" xr:uid="{00000000-0005-0000-0000-0000DB0C0000}"/>
    <cellStyle name="20% - Accent2 11 3 5" xfId="43419" xr:uid="{00000000-0005-0000-0000-0000DC0C0000}"/>
    <cellStyle name="20% - Accent2 11 3 6" xfId="14244" xr:uid="{00000000-0005-0000-0000-0000DD0C0000}"/>
    <cellStyle name="20% - Accent2 11 4" xfId="6140" xr:uid="{00000000-0005-0000-0000-0000DE0C0000}"/>
    <cellStyle name="20% - Accent2 11 4 2" xfId="25591" xr:uid="{00000000-0005-0000-0000-0000DF0C0000}"/>
    <cellStyle name="20% - Accent2 11 4 3" xfId="35316" xr:uid="{00000000-0005-0000-0000-0000E00C0000}"/>
    <cellStyle name="20% - Accent2 11 4 4" xfId="45041" xr:uid="{00000000-0005-0000-0000-0000E10C0000}"/>
    <cellStyle name="20% - Accent2 11 4 5" xfId="15866" xr:uid="{00000000-0005-0000-0000-0000E20C0000}"/>
    <cellStyle name="20% - Accent2 11 5" xfId="20729" xr:uid="{00000000-0005-0000-0000-0000E30C0000}"/>
    <cellStyle name="20% - Accent2 11 6" xfId="30454" xr:uid="{00000000-0005-0000-0000-0000E40C0000}"/>
    <cellStyle name="20% - Accent2 11 7" xfId="40179" xr:uid="{00000000-0005-0000-0000-0000E50C0000}"/>
    <cellStyle name="20% - Accent2 11 8" xfId="11004" xr:uid="{00000000-0005-0000-0000-0000E60C0000}"/>
    <cellStyle name="20% - Accent2 12" xfId="448" xr:uid="{00000000-0005-0000-0000-0000E70C0000}"/>
    <cellStyle name="20% - Accent2 12 2" xfId="2088" xr:uid="{00000000-0005-0000-0000-0000E80C0000}"/>
    <cellStyle name="20% - Accent2 12 2 2" xfId="6950" xr:uid="{00000000-0005-0000-0000-0000E90C0000}"/>
    <cellStyle name="20% - Accent2 12 2 2 2" xfId="26401" xr:uid="{00000000-0005-0000-0000-0000EA0C0000}"/>
    <cellStyle name="20% - Accent2 12 2 2 3" xfId="36126" xr:uid="{00000000-0005-0000-0000-0000EB0C0000}"/>
    <cellStyle name="20% - Accent2 12 2 2 4" xfId="45851" xr:uid="{00000000-0005-0000-0000-0000EC0C0000}"/>
    <cellStyle name="20% - Accent2 12 2 2 5" xfId="16676" xr:uid="{00000000-0005-0000-0000-0000ED0C0000}"/>
    <cellStyle name="20% - Accent2 12 2 3" xfId="21539" xr:uid="{00000000-0005-0000-0000-0000EE0C0000}"/>
    <cellStyle name="20% - Accent2 12 2 4" xfId="31264" xr:uid="{00000000-0005-0000-0000-0000EF0C0000}"/>
    <cellStyle name="20% - Accent2 12 2 5" xfId="40989" xr:uid="{00000000-0005-0000-0000-0000F00C0000}"/>
    <cellStyle name="20% - Accent2 12 2 6" xfId="11814" xr:uid="{00000000-0005-0000-0000-0000F10C0000}"/>
    <cellStyle name="20% - Accent2 12 3" xfId="3708" xr:uid="{00000000-0005-0000-0000-0000F20C0000}"/>
    <cellStyle name="20% - Accent2 12 3 2" xfId="8570" xr:uid="{00000000-0005-0000-0000-0000F30C0000}"/>
    <cellStyle name="20% - Accent2 12 3 2 2" xfId="28021" xr:uid="{00000000-0005-0000-0000-0000F40C0000}"/>
    <cellStyle name="20% - Accent2 12 3 2 3" xfId="37746" xr:uid="{00000000-0005-0000-0000-0000F50C0000}"/>
    <cellStyle name="20% - Accent2 12 3 2 4" xfId="47471" xr:uid="{00000000-0005-0000-0000-0000F60C0000}"/>
    <cellStyle name="20% - Accent2 12 3 2 5" xfId="18296" xr:uid="{00000000-0005-0000-0000-0000F70C0000}"/>
    <cellStyle name="20% - Accent2 12 3 3" xfId="23159" xr:uid="{00000000-0005-0000-0000-0000F80C0000}"/>
    <cellStyle name="20% - Accent2 12 3 4" xfId="32884" xr:uid="{00000000-0005-0000-0000-0000F90C0000}"/>
    <cellStyle name="20% - Accent2 12 3 5" xfId="42609" xr:uid="{00000000-0005-0000-0000-0000FA0C0000}"/>
    <cellStyle name="20% - Accent2 12 3 6" xfId="13434" xr:uid="{00000000-0005-0000-0000-0000FB0C0000}"/>
    <cellStyle name="20% - Accent2 12 4" xfId="5330" xr:uid="{00000000-0005-0000-0000-0000FC0C0000}"/>
    <cellStyle name="20% - Accent2 12 4 2" xfId="24781" xr:uid="{00000000-0005-0000-0000-0000FD0C0000}"/>
    <cellStyle name="20% - Accent2 12 4 3" xfId="34506" xr:uid="{00000000-0005-0000-0000-0000FE0C0000}"/>
    <cellStyle name="20% - Accent2 12 4 4" xfId="44231" xr:uid="{00000000-0005-0000-0000-0000FF0C0000}"/>
    <cellStyle name="20% - Accent2 12 4 5" xfId="15056" xr:uid="{00000000-0005-0000-0000-0000000D0000}"/>
    <cellStyle name="20% - Accent2 12 5" xfId="19919" xr:uid="{00000000-0005-0000-0000-0000010D0000}"/>
    <cellStyle name="20% - Accent2 12 6" xfId="29644" xr:uid="{00000000-0005-0000-0000-0000020D0000}"/>
    <cellStyle name="20% - Accent2 12 7" xfId="39369" xr:uid="{00000000-0005-0000-0000-0000030D0000}"/>
    <cellStyle name="20% - Accent2 12 8" xfId="10194" xr:uid="{00000000-0005-0000-0000-0000040D0000}"/>
    <cellStyle name="20% - Accent2 13" xfId="1637" xr:uid="{00000000-0005-0000-0000-0000050D0000}"/>
    <cellStyle name="20% - Accent2 13 2" xfId="3258" xr:uid="{00000000-0005-0000-0000-0000060D0000}"/>
    <cellStyle name="20% - Accent2 13 2 2" xfId="8120" xr:uid="{00000000-0005-0000-0000-0000070D0000}"/>
    <cellStyle name="20% - Accent2 13 2 2 2" xfId="27571" xr:uid="{00000000-0005-0000-0000-0000080D0000}"/>
    <cellStyle name="20% - Accent2 13 2 2 3" xfId="37296" xr:uid="{00000000-0005-0000-0000-0000090D0000}"/>
    <cellStyle name="20% - Accent2 13 2 2 4" xfId="47021" xr:uid="{00000000-0005-0000-0000-00000A0D0000}"/>
    <cellStyle name="20% - Accent2 13 2 2 5" xfId="17846" xr:uid="{00000000-0005-0000-0000-00000B0D0000}"/>
    <cellStyle name="20% - Accent2 13 2 3" xfId="22709" xr:uid="{00000000-0005-0000-0000-00000C0D0000}"/>
    <cellStyle name="20% - Accent2 13 2 4" xfId="32434" xr:uid="{00000000-0005-0000-0000-00000D0D0000}"/>
    <cellStyle name="20% - Accent2 13 2 5" xfId="42159" xr:uid="{00000000-0005-0000-0000-00000E0D0000}"/>
    <cellStyle name="20% - Accent2 13 2 6" xfId="12984" xr:uid="{00000000-0005-0000-0000-00000F0D0000}"/>
    <cellStyle name="20% - Accent2 13 3" xfId="4878" xr:uid="{00000000-0005-0000-0000-0000100D0000}"/>
    <cellStyle name="20% - Accent2 13 3 2" xfId="9740" xr:uid="{00000000-0005-0000-0000-0000110D0000}"/>
    <cellStyle name="20% - Accent2 13 3 2 2" xfId="29191" xr:uid="{00000000-0005-0000-0000-0000120D0000}"/>
    <cellStyle name="20% - Accent2 13 3 2 3" xfId="38916" xr:uid="{00000000-0005-0000-0000-0000130D0000}"/>
    <cellStyle name="20% - Accent2 13 3 2 4" xfId="48641" xr:uid="{00000000-0005-0000-0000-0000140D0000}"/>
    <cellStyle name="20% - Accent2 13 3 2 5" xfId="19466" xr:uid="{00000000-0005-0000-0000-0000150D0000}"/>
    <cellStyle name="20% - Accent2 13 3 3" xfId="24329" xr:uid="{00000000-0005-0000-0000-0000160D0000}"/>
    <cellStyle name="20% - Accent2 13 3 4" xfId="34054" xr:uid="{00000000-0005-0000-0000-0000170D0000}"/>
    <cellStyle name="20% - Accent2 13 3 5" xfId="43779" xr:uid="{00000000-0005-0000-0000-0000180D0000}"/>
    <cellStyle name="20% - Accent2 13 3 6" xfId="14604" xr:uid="{00000000-0005-0000-0000-0000190D0000}"/>
    <cellStyle name="20% - Accent2 13 4" xfId="6500" xr:uid="{00000000-0005-0000-0000-00001A0D0000}"/>
    <cellStyle name="20% - Accent2 13 4 2" xfId="25951" xr:uid="{00000000-0005-0000-0000-00001B0D0000}"/>
    <cellStyle name="20% - Accent2 13 4 3" xfId="35676" xr:uid="{00000000-0005-0000-0000-00001C0D0000}"/>
    <cellStyle name="20% - Accent2 13 4 4" xfId="45401" xr:uid="{00000000-0005-0000-0000-00001D0D0000}"/>
    <cellStyle name="20% - Accent2 13 4 5" xfId="16226" xr:uid="{00000000-0005-0000-0000-00001E0D0000}"/>
    <cellStyle name="20% - Accent2 13 5" xfId="21089" xr:uid="{00000000-0005-0000-0000-00001F0D0000}"/>
    <cellStyle name="20% - Accent2 13 6" xfId="30814" xr:uid="{00000000-0005-0000-0000-0000200D0000}"/>
    <cellStyle name="20% - Accent2 13 7" xfId="40539" xr:uid="{00000000-0005-0000-0000-0000210D0000}"/>
    <cellStyle name="20% - Accent2 13 8" xfId="11364" xr:uid="{00000000-0005-0000-0000-0000220D0000}"/>
    <cellStyle name="20% - Accent2 14" xfId="1728" xr:uid="{00000000-0005-0000-0000-0000230D0000}"/>
    <cellStyle name="20% - Accent2 14 2" xfId="6590" xr:uid="{00000000-0005-0000-0000-0000240D0000}"/>
    <cellStyle name="20% - Accent2 14 2 2" xfId="26041" xr:uid="{00000000-0005-0000-0000-0000250D0000}"/>
    <cellStyle name="20% - Accent2 14 2 3" xfId="35766" xr:uid="{00000000-0005-0000-0000-0000260D0000}"/>
    <cellStyle name="20% - Accent2 14 2 4" xfId="45491" xr:uid="{00000000-0005-0000-0000-0000270D0000}"/>
    <cellStyle name="20% - Accent2 14 2 5" xfId="16316" xr:uid="{00000000-0005-0000-0000-0000280D0000}"/>
    <cellStyle name="20% - Accent2 14 3" xfId="21179" xr:uid="{00000000-0005-0000-0000-0000290D0000}"/>
    <cellStyle name="20% - Accent2 14 4" xfId="30904" xr:uid="{00000000-0005-0000-0000-00002A0D0000}"/>
    <cellStyle name="20% - Accent2 14 5" xfId="40629" xr:uid="{00000000-0005-0000-0000-00002B0D0000}"/>
    <cellStyle name="20% - Accent2 14 6" xfId="11454" xr:uid="{00000000-0005-0000-0000-00002C0D0000}"/>
    <cellStyle name="20% - Accent2 15" xfId="3348" xr:uid="{00000000-0005-0000-0000-00002D0D0000}"/>
    <cellStyle name="20% - Accent2 15 2" xfId="8210" xr:uid="{00000000-0005-0000-0000-00002E0D0000}"/>
    <cellStyle name="20% - Accent2 15 2 2" xfId="27661" xr:uid="{00000000-0005-0000-0000-00002F0D0000}"/>
    <cellStyle name="20% - Accent2 15 2 3" xfId="37386" xr:uid="{00000000-0005-0000-0000-0000300D0000}"/>
    <cellStyle name="20% - Accent2 15 2 4" xfId="47111" xr:uid="{00000000-0005-0000-0000-0000310D0000}"/>
    <cellStyle name="20% - Accent2 15 2 5" xfId="17936" xr:uid="{00000000-0005-0000-0000-0000320D0000}"/>
    <cellStyle name="20% - Accent2 15 3" xfId="22799" xr:uid="{00000000-0005-0000-0000-0000330D0000}"/>
    <cellStyle name="20% - Accent2 15 4" xfId="32524" xr:uid="{00000000-0005-0000-0000-0000340D0000}"/>
    <cellStyle name="20% - Accent2 15 5" xfId="42249" xr:uid="{00000000-0005-0000-0000-0000350D0000}"/>
    <cellStyle name="20% - Accent2 15 6" xfId="13074" xr:uid="{00000000-0005-0000-0000-0000360D0000}"/>
    <cellStyle name="20% - Accent2 16" xfId="4970" xr:uid="{00000000-0005-0000-0000-0000370D0000}"/>
    <cellStyle name="20% - Accent2 16 2" xfId="24421" xr:uid="{00000000-0005-0000-0000-0000380D0000}"/>
    <cellStyle name="20% - Accent2 16 3" xfId="34146" xr:uid="{00000000-0005-0000-0000-0000390D0000}"/>
    <cellStyle name="20% - Accent2 16 4" xfId="43871" xr:uid="{00000000-0005-0000-0000-00003A0D0000}"/>
    <cellStyle name="20% - Accent2 16 5" xfId="14696" xr:uid="{00000000-0005-0000-0000-00003B0D0000}"/>
    <cellStyle name="20% - Accent2 17" xfId="19559" xr:uid="{00000000-0005-0000-0000-00003C0D0000}"/>
    <cellStyle name="20% - Accent2 18" xfId="29284" xr:uid="{00000000-0005-0000-0000-00003D0D0000}"/>
    <cellStyle name="20% - Accent2 19" xfId="39009" xr:uid="{00000000-0005-0000-0000-00003E0D0000}"/>
    <cellStyle name="20% - Accent2 2" xfId="57" xr:uid="{00000000-0005-0000-0000-00003F0D0000}"/>
    <cellStyle name="20% - Accent2 2 10" xfId="462" xr:uid="{00000000-0005-0000-0000-0000400D0000}"/>
    <cellStyle name="20% - Accent2 2 10 2" xfId="2102" xr:uid="{00000000-0005-0000-0000-0000410D0000}"/>
    <cellStyle name="20% - Accent2 2 10 2 2" xfId="6964" xr:uid="{00000000-0005-0000-0000-0000420D0000}"/>
    <cellStyle name="20% - Accent2 2 10 2 2 2" xfId="26415" xr:uid="{00000000-0005-0000-0000-0000430D0000}"/>
    <cellStyle name="20% - Accent2 2 10 2 2 3" xfId="36140" xr:uid="{00000000-0005-0000-0000-0000440D0000}"/>
    <cellStyle name="20% - Accent2 2 10 2 2 4" xfId="45865" xr:uid="{00000000-0005-0000-0000-0000450D0000}"/>
    <cellStyle name="20% - Accent2 2 10 2 2 5" xfId="16690" xr:uid="{00000000-0005-0000-0000-0000460D0000}"/>
    <cellStyle name="20% - Accent2 2 10 2 3" xfId="21553" xr:uid="{00000000-0005-0000-0000-0000470D0000}"/>
    <cellStyle name="20% - Accent2 2 10 2 4" xfId="31278" xr:uid="{00000000-0005-0000-0000-0000480D0000}"/>
    <cellStyle name="20% - Accent2 2 10 2 5" xfId="41003" xr:uid="{00000000-0005-0000-0000-0000490D0000}"/>
    <cellStyle name="20% - Accent2 2 10 2 6" xfId="11828" xr:uid="{00000000-0005-0000-0000-00004A0D0000}"/>
    <cellStyle name="20% - Accent2 2 10 3" xfId="3722" xr:uid="{00000000-0005-0000-0000-00004B0D0000}"/>
    <cellStyle name="20% - Accent2 2 10 3 2" xfId="8584" xr:uid="{00000000-0005-0000-0000-00004C0D0000}"/>
    <cellStyle name="20% - Accent2 2 10 3 2 2" xfId="28035" xr:uid="{00000000-0005-0000-0000-00004D0D0000}"/>
    <cellStyle name="20% - Accent2 2 10 3 2 3" xfId="37760" xr:uid="{00000000-0005-0000-0000-00004E0D0000}"/>
    <cellStyle name="20% - Accent2 2 10 3 2 4" xfId="47485" xr:uid="{00000000-0005-0000-0000-00004F0D0000}"/>
    <cellStyle name="20% - Accent2 2 10 3 2 5" xfId="18310" xr:uid="{00000000-0005-0000-0000-0000500D0000}"/>
    <cellStyle name="20% - Accent2 2 10 3 3" xfId="23173" xr:uid="{00000000-0005-0000-0000-0000510D0000}"/>
    <cellStyle name="20% - Accent2 2 10 3 4" xfId="32898" xr:uid="{00000000-0005-0000-0000-0000520D0000}"/>
    <cellStyle name="20% - Accent2 2 10 3 5" xfId="42623" xr:uid="{00000000-0005-0000-0000-0000530D0000}"/>
    <cellStyle name="20% - Accent2 2 10 3 6" xfId="13448" xr:uid="{00000000-0005-0000-0000-0000540D0000}"/>
    <cellStyle name="20% - Accent2 2 10 4" xfId="5344" xr:uid="{00000000-0005-0000-0000-0000550D0000}"/>
    <cellStyle name="20% - Accent2 2 10 4 2" xfId="24795" xr:uid="{00000000-0005-0000-0000-0000560D0000}"/>
    <cellStyle name="20% - Accent2 2 10 4 3" xfId="34520" xr:uid="{00000000-0005-0000-0000-0000570D0000}"/>
    <cellStyle name="20% - Accent2 2 10 4 4" xfId="44245" xr:uid="{00000000-0005-0000-0000-0000580D0000}"/>
    <cellStyle name="20% - Accent2 2 10 4 5" xfId="15070" xr:uid="{00000000-0005-0000-0000-0000590D0000}"/>
    <cellStyle name="20% - Accent2 2 10 5" xfId="19933" xr:uid="{00000000-0005-0000-0000-00005A0D0000}"/>
    <cellStyle name="20% - Accent2 2 10 6" xfId="29658" xr:uid="{00000000-0005-0000-0000-00005B0D0000}"/>
    <cellStyle name="20% - Accent2 2 10 7" xfId="39383" xr:uid="{00000000-0005-0000-0000-00005C0D0000}"/>
    <cellStyle name="20% - Accent2 2 10 8" xfId="10208" xr:uid="{00000000-0005-0000-0000-00005D0D0000}"/>
    <cellStyle name="20% - Accent2 2 11" xfId="1651" xr:uid="{00000000-0005-0000-0000-00005E0D0000}"/>
    <cellStyle name="20% - Accent2 2 11 2" xfId="3272" xr:uid="{00000000-0005-0000-0000-00005F0D0000}"/>
    <cellStyle name="20% - Accent2 2 11 2 2" xfId="8134" xr:uid="{00000000-0005-0000-0000-0000600D0000}"/>
    <cellStyle name="20% - Accent2 2 11 2 2 2" xfId="27585" xr:uid="{00000000-0005-0000-0000-0000610D0000}"/>
    <cellStyle name="20% - Accent2 2 11 2 2 3" xfId="37310" xr:uid="{00000000-0005-0000-0000-0000620D0000}"/>
    <cellStyle name="20% - Accent2 2 11 2 2 4" xfId="47035" xr:uid="{00000000-0005-0000-0000-0000630D0000}"/>
    <cellStyle name="20% - Accent2 2 11 2 2 5" xfId="17860" xr:uid="{00000000-0005-0000-0000-0000640D0000}"/>
    <cellStyle name="20% - Accent2 2 11 2 3" xfId="22723" xr:uid="{00000000-0005-0000-0000-0000650D0000}"/>
    <cellStyle name="20% - Accent2 2 11 2 4" xfId="32448" xr:uid="{00000000-0005-0000-0000-0000660D0000}"/>
    <cellStyle name="20% - Accent2 2 11 2 5" xfId="42173" xr:uid="{00000000-0005-0000-0000-0000670D0000}"/>
    <cellStyle name="20% - Accent2 2 11 2 6" xfId="12998" xr:uid="{00000000-0005-0000-0000-0000680D0000}"/>
    <cellStyle name="20% - Accent2 2 11 3" xfId="4892" xr:uid="{00000000-0005-0000-0000-0000690D0000}"/>
    <cellStyle name="20% - Accent2 2 11 3 2" xfId="9754" xr:uid="{00000000-0005-0000-0000-00006A0D0000}"/>
    <cellStyle name="20% - Accent2 2 11 3 2 2" xfId="29205" xr:uid="{00000000-0005-0000-0000-00006B0D0000}"/>
    <cellStyle name="20% - Accent2 2 11 3 2 3" xfId="38930" xr:uid="{00000000-0005-0000-0000-00006C0D0000}"/>
    <cellStyle name="20% - Accent2 2 11 3 2 4" xfId="48655" xr:uid="{00000000-0005-0000-0000-00006D0D0000}"/>
    <cellStyle name="20% - Accent2 2 11 3 2 5" xfId="19480" xr:uid="{00000000-0005-0000-0000-00006E0D0000}"/>
    <cellStyle name="20% - Accent2 2 11 3 3" xfId="24343" xr:uid="{00000000-0005-0000-0000-00006F0D0000}"/>
    <cellStyle name="20% - Accent2 2 11 3 4" xfId="34068" xr:uid="{00000000-0005-0000-0000-0000700D0000}"/>
    <cellStyle name="20% - Accent2 2 11 3 5" xfId="43793" xr:uid="{00000000-0005-0000-0000-0000710D0000}"/>
    <cellStyle name="20% - Accent2 2 11 3 6" xfId="14618" xr:uid="{00000000-0005-0000-0000-0000720D0000}"/>
    <cellStyle name="20% - Accent2 2 11 4" xfId="6514" xr:uid="{00000000-0005-0000-0000-0000730D0000}"/>
    <cellStyle name="20% - Accent2 2 11 4 2" xfId="25965" xr:uid="{00000000-0005-0000-0000-0000740D0000}"/>
    <cellStyle name="20% - Accent2 2 11 4 3" xfId="35690" xr:uid="{00000000-0005-0000-0000-0000750D0000}"/>
    <cellStyle name="20% - Accent2 2 11 4 4" xfId="45415" xr:uid="{00000000-0005-0000-0000-0000760D0000}"/>
    <cellStyle name="20% - Accent2 2 11 4 5" xfId="16240" xr:uid="{00000000-0005-0000-0000-0000770D0000}"/>
    <cellStyle name="20% - Accent2 2 11 5" xfId="21103" xr:uid="{00000000-0005-0000-0000-0000780D0000}"/>
    <cellStyle name="20% - Accent2 2 11 6" xfId="30828" xr:uid="{00000000-0005-0000-0000-0000790D0000}"/>
    <cellStyle name="20% - Accent2 2 11 7" xfId="40553" xr:uid="{00000000-0005-0000-0000-00007A0D0000}"/>
    <cellStyle name="20% - Accent2 2 11 8" xfId="11378" xr:uid="{00000000-0005-0000-0000-00007B0D0000}"/>
    <cellStyle name="20% - Accent2 2 12" xfId="1742" xr:uid="{00000000-0005-0000-0000-00007C0D0000}"/>
    <cellStyle name="20% - Accent2 2 12 2" xfId="6604" xr:uid="{00000000-0005-0000-0000-00007D0D0000}"/>
    <cellStyle name="20% - Accent2 2 12 2 2" xfId="26055" xr:uid="{00000000-0005-0000-0000-00007E0D0000}"/>
    <cellStyle name="20% - Accent2 2 12 2 3" xfId="35780" xr:uid="{00000000-0005-0000-0000-00007F0D0000}"/>
    <cellStyle name="20% - Accent2 2 12 2 4" xfId="45505" xr:uid="{00000000-0005-0000-0000-0000800D0000}"/>
    <cellStyle name="20% - Accent2 2 12 2 5" xfId="16330" xr:uid="{00000000-0005-0000-0000-0000810D0000}"/>
    <cellStyle name="20% - Accent2 2 12 3" xfId="21193" xr:uid="{00000000-0005-0000-0000-0000820D0000}"/>
    <cellStyle name="20% - Accent2 2 12 4" xfId="30918" xr:uid="{00000000-0005-0000-0000-0000830D0000}"/>
    <cellStyle name="20% - Accent2 2 12 5" xfId="40643" xr:uid="{00000000-0005-0000-0000-0000840D0000}"/>
    <cellStyle name="20% - Accent2 2 12 6" xfId="11468" xr:uid="{00000000-0005-0000-0000-0000850D0000}"/>
    <cellStyle name="20% - Accent2 2 13" xfId="3362" xr:uid="{00000000-0005-0000-0000-0000860D0000}"/>
    <cellStyle name="20% - Accent2 2 13 2" xfId="8224" xr:uid="{00000000-0005-0000-0000-0000870D0000}"/>
    <cellStyle name="20% - Accent2 2 13 2 2" xfId="27675" xr:uid="{00000000-0005-0000-0000-0000880D0000}"/>
    <cellStyle name="20% - Accent2 2 13 2 3" xfId="37400" xr:uid="{00000000-0005-0000-0000-0000890D0000}"/>
    <cellStyle name="20% - Accent2 2 13 2 4" xfId="47125" xr:uid="{00000000-0005-0000-0000-00008A0D0000}"/>
    <cellStyle name="20% - Accent2 2 13 2 5" xfId="17950" xr:uid="{00000000-0005-0000-0000-00008B0D0000}"/>
    <cellStyle name="20% - Accent2 2 13 3" xfId="22813" xr:uid="{00000000-0005-0000-0000-00008C0D0000}"/>
    <cellStyle name="20% - Accent2 2 13 4" xfId="32538" xr:uid="{00000000-0005-0000-0000-00008D0D0000}"/>
    <cellStyle name="20% - Accent2 2 13 5" xfId="42263" xr:uid="{00000000-0005-0000-0000-00008E0D0000}"/>
    <cellStyle name="20% - Accent2 2 13 6" xfId="13088" xr:uid="{00000000-0005-0000-0000-00008F0D0000}"/>
    <cellStyle name="20% - Accent2 2 14" xfId="4984" xr:uid="{00000000-0005-0000-0000-0000900D0000}"/>
    <cellStyle name="20% - Accent2 2 14 2" xfId="24435" xr:uid="{00000000-0005-0000-0000-0000910D0000}"/>
    <cellStyle name="20% - Accent2 2 14 3" xfId="34160" xr:uid="{00000000-0005-0000-0000-0000920D0000}"/>
    <cellStyle name="20% - Accent2 2 14 4" xfId="43885" xr:uid="{00000000-0005-0000-0000-0000930D0000}"/>
    <cellStyle name="20% - Accent2 2 14 5" xfId="14710" xr:uid="{00000000-0005-0000-0000-0000940D0000}"/>
    <cellStyle name="20% - Accent2 2 15" xfId="19573" xr:uid="{00000000-0005-0000-0000-0000950D0000}"/>
    <cellStyle name="20% - Accent2 2 16" xfId="29298" xr:uid="{00000000-0005-0000-0000-0000960D0000}"/>
    <cellStyle name="20% - Accent2 2 17" xfId="39023" xr:uid="{00000000-0005-0000-0000-0000970D0000}"/>
    <cellStyle name="20% - Accent2 2 18" xfId="9848" xr:uid="{00000000-0005-0000-0000-0000980D0000}"/>
    <cellStyle name="20% - Accent2 2 2" xfId="88" xr:uid="{00000000-0005-0000-0000-0000990D0000}"/>
    <cellStyle name="20% - Accent2 2 2 10" xfId="1772" xr:uid="{00000000-0005-0000-0000-00009A0D0000}"/>
    <cellStyle name="20% - Accent2 2 2 10 2" xfId="6634" xr:uid="{00000000-0005-0000-0000-00009B0D0000}"/>
    <cellStyle name="20% - Accent2 2 2 10 2 2" xfId="26085" xr:uid="{00000000-0005-0000-0000-00009C0D0000}"/>
    <cellStyle name="20% - Accent2 2 2 10 2 3" xfId="35810" xr:uid="{00000000-0005-0000-0000-00009D0D0000}"/>
    <cellStyle name="20% - Accent2 2 2 10 2 4" xfId="45535" xr:uid="{00000000-0005-0000-0000-00009E0D0000}"/>
    <cellStyle name="20% - Accent2 2 2 10 2 5" xfId="16360" xr:uid="{00000000-0005-0000-0000-00009F0D0000}"/>
    <cellStyle name="20% - Accent2 2 2 10 3" xfId="21223" xr:uid="{00000000-0005-0000-0000-0000A00D0000}"/>
    <cellStyle name="20% - Accent2 2 2 10 4" xfId="30948" xr:uid="{00000000-0005-0000-0000-0000A10D0000}"/>
    <cellStyle name="20% - Accent2 2 2 10 5" xfId="40673" xr:uid="{00000000-0005-0000-0000-0000A20D0000}"/>
    <cellStyle name="20% - Accent2 2 2 10 6" xfId="11498" xr:uid="{00000000-0005-0000-0000-0000A30D0000}"/>
    <cellStyle name="20% - Accent2 2 2 11" xfId="3392" xr:uid="{00000000-0005-0000-0000-0000A40D0000}"/>
    <cellStyle name="20% - Accent2 2 2 11 2" xfId="8254" xr:uid="{00000000-0005-0000-0000-0000A50D0000}"/>
    <cellStyle name="20% - Accent2 2 2 11 2 2" xfId="27705" xr:uid="{00000000-0005-0000-0000-0000A60D0000}"/>
    <cellStyle name="20% - Accent2 2 2 11 2 3" xfId="37430" xr:uid="{00000000-0005-0000-0000-0000A70D0000}"/>
    <cellStyle name="20% - Accent2 2 2 11 2 4" xfId="47155" xr:uid="{00000000-0005-0000-0000-0000A80D0000}"/>
    <cellStyle name="20% - Accent2 2 2 11 2 5" xfId="17980" xr:uid="{00000000-0005-0000-0000-0000A90D0000}"/>
    <cellStyle name="20% - Accent2 2 2 11 3" xfId="22843" xr:uid="{00000000-0005-0000-0000-0000AA0D0000}"/>
    <cellStyle name="20% - Accent2 2 2 11 4" xfId="32568" xr:uid="{00000000-0005-0000-0000-0000AB0D0000}"/>
    <cellStyle name="20% - Accent2 2 2 11 5" xfId="42293" xr:uid="{00000000-0005-0000-0000-0000AC0D0000}"/>
    <cellStyle name="20% - Accent2 2 2 11 6" xfId="13118" xr:uid="{00000000-0005-0000-0000-0000AD0D0000}"/>
    <cellStyle name="20% - Accent2 2 2 12" xfId="5014" xr:uid="{00000000-0005-0000-0000-0000AE0D0000}"/>
    <cellStyle name="20% - Accent2 2 2 12 2" xfId="24465" xr:uid="{00000000-0005-0000-0000-0000AF0D0000}"/>
    <cellStyle name="20% - Accent2 2 2 12 3" xfId="34190" xr:uid="{00000000-0005-0000-0000-0000B00D0000}"/>
    <cellStyle name="20% - Accent2 2 2 12 4" xfId="43915" xr:uid="{00000000-0005-0000-0000-0000B10D0000}"/>
    <cellStyle name="20% - Accent2 2 2 12 5" xfId="14740" xr:uid="{00000000-0005-0000-0000-0000B20D0000}"/>
    <cellStyle name="20% - Accent2 2 2 13" xfId="19603" xr:uid="{00000000-0005-0000-0000-0000B30D0000}"/>
    <cellStyle name="20% - Accent2 2 2 14" xfId="29328" xr:uid="{00000000-0005-0000-0000-0000B40D0000}"/>
    <cellStyle name="20% - Accent2 2 2 15" xfId="39053" xr:uid="{00000000-0005-0000-0000-0000B50D0000}"/>
    <cellStyle name="20% - Accent2 2 2 16" xfId="9878" xr:uid="{00000000-0005-0000-0000-0000B60D0000}"/>
    <cellStyle name="20% - Accent2 2 2 2" xfId="270" xr:uid="{00000000-0005-0000-0000-0000B70D0000}"/>
    <cellStyle name="20% - Accent2 2 2 2 10" xfId="39233" xr:uid="{00000000-0005-0000-0000-0000B80D0000}"/>
    <cellStyle name="20% - Accent2 2 2 2 11" xfId="10058" xr:uid="{00000000-0005-0000-0000-0000B90D0000}"/>
    <cellStyle name="20% - Accent2 2 2 2 2" xfId="1034" xr:uid="{00000000-0005-0000-0000-0000BA0D0000}"/>
    <cellStyle name="20% - Accent2 2 2 2 2 2" xfId="2672" xr:uid="{00000000-0005-0000-0000-0000BB0D0000}"/>
    <cellStyle name="20% - Accent2 2 2 2 2 2 2" xfId="7534" xr:uid="{00000000-0005-0000-0000-0000BC0D0000}"/>
    <cellStyle name="20% - Accent2 2 2 2 2 2 2 2" xfId="26985" xr:uid="{00000000-0005-0000-0000-0000BD0D0000}"/>
    <cellStyle name="20% - Accent2 2 2 2 2 2 2 3" xfId="36710" xr:uid="{00000000-0005-0000-0000-0000BE0D0000}"/>
    <cellStyle name="20% - Accent2 2 2 2 2 2 2 4" xfId="46435" xr:uid="{00000000-0005-0000-0000-0000BF0D0000}"/>
    <cellStyle name="20% - Accent2 2 2 2 2 2 2 5" xfId="17260" xr:uid="{00000000-0005-0000-0000-0000C00D0000}"/>
    <cellStyle name="20% - Accent2 2 2 2 2 2 3" xfId="22123" xr:uid="{00000000-0005-0000-0000-0000C10D0000}"/>
    <cellStyle name="20% - Accent2 2 2 2 2 2 4" xfId="31848" xr:uid="{00000000-0005-0000-0000-0000C20D0000}"/>
    <cellStyle name="20% - Accent2 2 2 2 2 2 5" xfId="41573" xr:uid="{00000000-0005-0000-0000-0000C30D0000}"/>
    <cellStyle name="20% - Accent2 2 2 2 2 2 6" xfId="12398" xr:uid="{00000000-0005-0000-0000-0000C40D0000}"/>
    <cellStyle name="20% - Accent2 2 2 2 2 3" xfId="4292" xr:uid="{00000000-0005-0000-0000-0000C50D0000}"/>
    <cellStyle name="20% - Accent2 2 2 2 2 3 2" xfId="9154" xr:uid="{00000000-0005-0000-0000-0000C60D0000}"/>
    <cellStyle name="20% - Accent2 2 2 2 2 3 2 2" xfId="28605" xr:uid="{00000000-0005-0000-0000-0000C70D0000}"/>
    <cellStyle name="20% - Accent2 2 2 2 2 3 2 3" xfId="38330" xr:uid="{00000000-0005-0000-0000-0000C80D0000}"/>
    <cellStyle name="20% - Accent2 2 2 2 2 3 2 4" xfId="48055" xr:uid="{00000000-0005-0000-0000-0000C90D0000}"/>
    <cellStyle name="20% - Accent2 2 2 2 2 3 2 5" xfId="18880" xr:uid="{00000000-0005-0000-0000-0000CA0D0000}"/>
    <cellStyle name="20% - Accent2 2 2 2 2 3 3" xfId="23743" xr:uid="{00000000-0005-0000-0000-0000CB0D0000}"/>
    <cellStyle name="20% - Accent2 2 2 2 2 3 4" xfId="33468" xr:uid="{00000000-0005-0000-0000-0000CC0D0000}"/>
    <cellStyle name="20% - Accent2 2 2 2 2 3 5" xfId="43193" xr:uid="{00000000-0005-0000-0000-0000CD0D0000}"/>
    <cellStyle name="20% - Accent2 2 2 2 2 3 6" xfId="14018" xr:uid="{00000000-0005-0000-0000-0000CE0D0000}"/>
    <cellStyle name="20% - Accent2 2 2 2 2 4" xfId="5914" xr:uid="{00000000-0005-0000-0000-0000CF0D0000}"/>
    <cellStyle name="20% - Accent2 2 2 2 2 4 2" xfId="25365" xr:uid="{00000000-0005-0000-0000-0000D00D0000}"/>
    <cellStyle name="20% - Accent2 2 2 2 2 4 3" xfId="35090" xr:uid="{00000000-0005-0000-0000-0000D10D0000}"/>
    <cellStyle name="20% - Accent2 2 2 2 2 4 4" xfId="44815" xr:uid="{00000000-0005-0000-0000-0000D20D0000}"/>
    <cellStyle name="20% - Accent2 2 2 2 2 4 5" xfId="15640" xr:uid="{00000000-0005-0000-0000-0000D30D0000}"/>
    <cellStyle name="20% - Accent2 2 2 2 2 5" xfId="20503" xr:uid="{00000000-0005-0000-0000-0000D40D0000}"/>
    <cellStyle name="20% - Accent2 2 2 2 2 6" xfId="30228" xr:uid="{00000000-0005-0000-0000-0000D50D0000}"/>
    <cellStyle name="20% - Accent2 2 2 2 2 7" xfId="39953" xr:uid="{00000000-0005-0000-0000-0000D60D0000}"/>
    <cellStyle name="20% - Accent2 2 2 2 2 8" xfId="10778" xr:uid="{00000000-0005-0000-0000-0000D70D0000}"/>
    <cellStyle name="20% - Accent2 2 2 2 3" xfId="1501" xr:uid="{00000000-0005-0000-0000-0000D80D0000}"/>
    <cellStyle name="20% - Accent2 2 2 2 3 2" xfId="3122" xr:uid="{00000000-0005-0000-0000-0000D90D0000}"/>
    <cellStyle name="20% - Accent2 2 2 2 3 2 2" xfId="7984" xr:uid="{00000000-0005-0000-0000-0000DA0D0000}"/>
    <cellStyle name="20% - Accent2 2 2 2 3 2 2 2" xfId="27435" xr:uid="{00000000-0005-0000-0000-0000DB0D0000}"/>
    <cellStyle name="20% - Accent2 2 2 2 3 2 2 3" xfId="37160" xr:uid="{00000000-0005-0000-0000-0000DC0D0000}"/>
    <cellStyle name="20% - Accent2 2 2 2 3 2 2 4" xfId="46885" xr:uid="{00000000-0005-0000-0000-0000DD0D0000}"/>
    <cellStyle name="20% - Accent2 2 2 2 3 2 2 5" xfId="17710" xr:uid="{00000000-0005-0000-0000-0000DE0D0000}"/>
    <cellStyle name="20% - Accent2 2 2 2 3 2 3" xfId="22573" xr:uid="{00000000-0005-0000-0000-0000DF0D0000}"/>
    <cellStyle name="20% - Accent2 2 2 2 3 2 4" xfId="32298" xr:uid="{00000000-0005-0000-0000-0000E00D0000}"/>
    <cellStyle name="20% - Accent2 2 2 2 3 2 5" xfId="42023" xr:uid="{00000000-0005-0000-0000-0000E10D0000}"/>
    <cellStyle name="20% - Accent2 2 2 2 3 2 6" xfId="12848" xr:uid="{00000000-0005-0000-0000-0000E20D0000}"/>
    <cellStyle name="20% - Accent2 2 2 2 3 3" xfId="4742" xr:uid="{00000000-0005-0000-0000-0000E30D0000}"/>
    <cellStyle name="20% - Accent2 2 2 2 3 3 2" xfId="9604" xr:uid="{00000000-0005-0000-0000-0000E40D0000}"/>
    <cellStyle name="20% - Accent2 2 2 2 3 3 2 2" xfId="29055" xr:uid="{00000000-0005-0000-0000-0000E50D0000}"/>
    <cellStyle name="20% - Accent2 2 2 2 3 3 2 3" xfId="38780" xr:uid="{00000000-0005-0000-0000-0000E60D0000}"/>
    <cellStyle name="20% - Accent2 2 2 2 3 3 2 4" xfId="48505" xr:uid="{00000000-0005-0000-0000-0000E70D0000}"/>
    <cellStyle name="20% - Accent2 2 2 2 3 3 2 5" xfId="19330" xr:uid="{00000000-0005-0000-0000-0000E80D0000}"/>
    <cellStyle name="20% - Accent2 2 2 2 3 3 3" xfId="24193" xr:uid="{00000000-0005-0000-0000-0000E90D0000}"/>
    <cellStyle name="20% - Accent2 2 2 2 3 3 4" xfId="33918" xr:uid="{00000000-0005-0000-0000-0000EA0D0000}"/>
    <cellStyle name="20% - Accent2 2 2 2 3 3 5" xfId="43643" xr:uid="{00000000-0005-0000-0000-0000EB0D0000}"/>
    <cellStyle name="20% - Accent2 2 2 2 3 3 6" xfId="14468" xr:uid="{00000000-0005-0000-0000-0000EC0D0000}"/>
    <cellStyle name="20% - Accent2 2 2 2 3 4" xfId="6364" xr:uid="{00000000-0005-0000-0000-0000ED0D0000}"/>
    <cellStyle name="20% - Accent2 2 2 2 3 4 2" xfId="25815" xr:uid="{00000000-0005-0000-0000-0000EE0D0000}"/>
    <cellStyle name="20% - Accent2 2 2 2 3 4 3" xfId="35540" xr:uid="{00000000-0005-0000-0000-0000EF0D0000}"/>
    <cellStyle name="20% - Accent2 2 2 2 3 4 4" xfId="45265" xr:uid="{00000000-0005-0000-0000-0000F00D0000}"/>
    <cellStyle name="20% - Accent2 2 2 2 3 4 5" xfId="16090" xr:uid="{00000000-0005-0000-0000-0000F10D0000}"/>
    <cellStyle name="20% - Accent2 2 2 2 3 5" xfId="20953" xr:uid="{00000000-0005-0000-0000-0000F20D0000}"/>
    <cellStyle name="20% - Accent2 2 2 2 3 6" xfId="30678" xr:uid="{00000000-0005-0000-0000-0000F30D0000}"/>
    <cellStyle name="20% - Accent2 2 2 2 3 7" xfId="40403" xr:uid="{00000000-0005-0000-0000-0000F40D0000}"/>
    <cellStyle name="20% - Accent2 2 2 2 3 8" xfId="11228" xr:uid="{00000000-0005-0000-0000-0000F50D0000}"/>
    <cellStyle name="20% - Accent2 2 2 2 4" xfId="672" xr:uid="{00000000-0005-0000-0000-0000F60D0000}"/>
    <cellStyle name="20% - Accent2 2 2 2 4 2" xfId="2312" xr:uid="{00000000-0005-0000-0000-0000F70D0000}"/>
    <cellStyle name="20% - Accent2 2 2 2 4 2 2" xfId="7174" xr:uid="{00000000-0005-0000-0000-0000F80D0000}"/>
    <cellStyle name="20% - Accent2 2 2 2 4 2 2 2" xfId="26625" xr:uid="{00000000-0005-0000-0000-0000F90D0000}"/>
    <cellStyle name="20% - Accent2 2 2 2 4 2 2 3" xfId="36350" xr:uid="{00000000-0005-0000-0000-0000FA0D0000}"/>
    <cellStyle name="20% - Accent2 2 2 2 4 2 2 4" xfId="46075" xr:uid="{00000000-0005-0000-0000-0000FB0D0000}"/>
    <cellStyle name="20% - Accent2 2 2 2 4 2 2 5" xfId="16900" xr:uid="{00000000-0005-0000-0000-0000FC0D0000}"/>
    <cellStyle name="20% - Accent2 2 2 2 4 2 3" xfId="21763" xr:uid="{00000000-0005-0000-0000-0000FD0D0000}"/>
    <cellStyle name="20% - Accent2 2 2 2 4 2 4" xfId="31488" xr:uid="{00000000-0005-0000-0000-0000FE0D0000}"/>
    <cellStyle name="20% - Accent2 2 2 2 4 2 5" xfId="41213" xr:uid="{00000000-0005-0000-0000-0000FF0D0000}"/>
    <cellStyle name="20% - Accent2 2 2 2 4 2 6" xfId="12038" xr:uid="{00000000-0005-0000-0000-0000000E0000}"/>
    <cellStyle name="20% - Accent2 2 2 2 4 3" xfId="3932" xr:uid="{00000000-0005-0000-0000-0000010E0000}"/>
    <cellStyle name="20% - Accent2 2 2 2 4 3 2" xfId="8794" xr:uid="{00000000-0005-0000-0000-0000020E0000}"/>
    <cellStyle name="20% - Accent2 2 2 2 4 3 2 2" xfId="28245" xr:uid="{00000000-0005-0000-0000-0000030E0000}"/>
    <cellStyle name="20% - Accent2 2 2 2 4 3 2 3" xfId="37970" xr:uid="{00000000-0005-0000-0000-0000040E0000}"/>
    <cellStyle name="20% - Accent2 2 2 2 4 3 2 4" xfId="47695" xr:uid="{00000000-0005-0000-0000-0000050E0000}"/>
    <cellStyle name="20% - Accent2 2 2 2 4 3 2 5" xfId="18520" xr:uid="{00000000-0005-0000-0000-0000060E0000}"/>
    <cellStyle name="20% - Accent2 2 2 2 4 3 3" xfId="23383" xr:uid="{00000000-0005-0000-0000-0000070E0000}"/>
    <cellStyle name="20% - Accent2 2 2 2 4 3 4" xfId="33108" xr:uid="{00000000-0005-0000-0000-0000080E0000}"/>
    <cellStyle name="20% - Accent2 2 2 2 4 3 5" xfId="42833" xr:uid="{00000000-0005-0000-0000-0000090E0000}"/>
    <cellStyle name="20% - Accent2 2 2 2 4 3 6" xfId="13658" xr:uid="{00000000-0005-0000-0000-00000A0E0000}"/>
    <cellStyle name="20% - Accent2 2 2 2 4 4" xfId="5554" xr:uid="{00000000-0005-0000-0000-00000B0E0000}"/>
    <cellStyle name="20% - Accent2 2 2 2 4 4 2" xfId="25005" xr:uid="{00000000-0005-0000-0000-00000C0E0000}"/>
    <cellStyle name="20% - Accent2 2 2 2 4 4 3" xfId="34730" xr:uid="{00000000-0005-0000-0000-00000D0E0000}"/>
    <cellStyle name="20% - Accent2 2 2 2 4 4 4" xfId="44455" xr:uid="{00000000-0005-0000-0000-00000E0E0000}"/>
    <cellStyle name="20% - Accent2 2 2 2 4 4 5" xfId="15280" xr:uid="{00000000-0005-0000-0000-00000F0E0000}"/>
    <cellStyle name="20% - Accent2 2 2 2 4 5" xfId="20143" xr:uid="{00000000-0005-0000-0000-0000100E0000}"/>
    <cellStyle name="20% - Accent2 2 2 2 4 6" xfId="29868" xr:uid="{00000000-0005-0000-0000-0000110E0000}"/>
    <cellStyle name="20% - Accent2 2 2 2 4 7" xfId="39593" xr:uid="{00000000-0005-0000-0000-0000120E0000}"/>
    <cellStyle name="20% - Accent2 2 2 2 4 8" xfId="10418" xr:uid="{00000000-0005-0000-0000-0000130E0000}"/>
    <cellStyle name="20% - Accent2 2 2 2 5" xfId="1952" xr:uid="{00000000-0005-0000-0000-0000140E0000}"/>
    <cellStyle name="20% - Accent2 2 2 2 5 2" xfId="6814" xr:uid="{00000000-0005-0000-0000-0000150E0000}"/>
    <cellStyle name="20% - Accent2 2 2 2 5 2 2" xfId="26265" xr:uid="{00000000-0005-0000-0000-0000160E0000}"/>
    <cellStyle name="20% - Accent2 2 2 2 5 2 3" xfId="35990" xr:uid="{00000000-0005-0000-0000-0000170E0000}"/>
    <cellStyle name="20% - Accent2 2 2 2 5 2 4" xfId="45715" xr:uid="{00000000-0005-0000-0000-0000180E0000}"/>
    <cellStyle name="20% - Accent2 2 2 2 5 2 5" xfId="16540" xr:uid="{00000000-0005-0000-0000-0000190E0000}"/>
    <cellStyle name="20% - Accent2 2 2 2 5 3" xfId="21403" xr:uid="{00000000-0005-0000-0000-00001A0E0000}"/>
    <cellStyle name="20% - Accent2 2 2 2 5 4" xfId="31128" xr:uid="{00000000-0005-0000-0000-00001B0E0000}"/>
    <cellStyle name="20% - Accent2 2 2 2 5 5" xfId="40853" xr:uid="{00000000-0005-0000-0000-00001C0E0000}"/>
    <cellStyle name="20% - Accent2 2 2 2 5 6" xfId="11678" xr:uid="{00000000-0005-0000-0000-00001D0E0000}"/>
    <cellStyle name="20% - Accent2 2 2 2 6" xfId="3572" xr:uid="{00000000-0005-0000-0000-00001E0E0000}"/>
    <cellStyle name="20% - Accent2 2 2 2 6 2" xfId="8434" xr:uid="{00000000-0005-0000-0000-00001F0E0000}"/>
    <cellStyle name="20% - Accent2 2 2 2 6 2 2" xfId="27885" xr:uid="{00000000-0005-0000-0000-0000200E0000}"/>
    <cellStyle name="20% - Accent2 2 2 2 6 2 3" xfId="37610" xr:uid="{00000000-0005-0000-0000-0000210E0000}"/>
    <cellStyle name="20% - Accent2 2 2 2 6 2 4" xfId="47335" xr:uid="{00000000-0005-0000-0000-0000220E0000}"/>
    <cellStyle name="20% - Accent2 2 2 2 6 2 5" xfId="18160" xr:uid="{00000000-0005-0000-0000-0000230E0000}"/>
    <cellStyle name="20% - Accent2 2 2 2 6 3" xfId="23023" xr:uid="{00000000-0005-0000-0000-0000240E0000}"/>
    <cellStyle name="20% - Accent2 2 2 2 6 4" xfId="32748" xr:uid="{00000000-0005-0000-0000-0000250E0000}"/>
    <cellStyle name="20% - Accent2 2 2 2 6 5" xfId="42473" xr:uid="{00000000-0005-0000-0000-0000260E0000}"/>
    <cellStyle name="20% - Accent2 2 2 2 6 6" xfId="13298" xr:uid="{00000000-0005-0000-0000-0000270E0000}"/>
    <cellStyle name="20% - Accent2 2 2 2 7" xfId="5194" xr:uid="{00000000-0005-0000-0000-0000280E0000}"/>
    <cellStyle name="20% - Accent2 2 2 2 7 2" xfId="24645" xr:uid="{00000000-0005-0000-0000-0000290E0000}"/>
    <cellStyle name="20% - Accent2 2 2 2 7 3" xfId="34370" xr:uid="{00000000-0005-0000-0000-00002A0E0000}"/>
    <cellStyle name="20% - Accent2 2 2 2 7 4" xfId="44095" xr:uid="{00000000-0005-0000-0000-00002B0E0000}"/>
    <cellStyle name="20% - Accent2 2 2 2 7 5" xfId="14920" xr:uid="{00000000-0005-0000-0000-00002C0E0000}"/>
    <cellStyle name="20% - Accent2 2 2 2 8" xfId="19783" xr:uid="{00000000-0005-0000-0000-00002D0E0000}"/>
    <cellStyle name="20% - Accent2 2 2 2 9" xfId="29508" xr:uid="{00000000-0005-0000-0000-00002E0E0000}"/>
    <cellStyle name="20% - Accent2 2 2 3" xfId="361" xr:uid="{00000000-0005-0000-0000-00002F0E0000}"/>
    <cellStyle name="20% - Accent2 2 2 3 10" xfId="39323" xr:uid="{00000000-0005-0000-0000-0000300E0000}"/>
    <cellStyle name="20% - Accent2 2 2 3 11" xfId="10148" xr:uid="{00000000-0005-0000-0000-0000310E0000}"/>
    <cellStyle name="20% - Accent2 2 2 3 2" xfId="1124" xr:uid="{00000000-0005-0000-0000-0000320E0000}"/>
    <cellStyle name="20% - Accent2 2 2 3 2 2" xfId="2762" xr:uid="{00000000-0005-0000-0000-0000330E0000}"/>
    <cellStyle name="20% - Accent2 2 2 3 2 2 2" xfId="7624" xr:uid="{00000000-0005-0000-0000-0000340E0000}"/>
    <cellStyle name="20% - Accent2 2 2 3 2 2 2 2" xfId="27075" xr:uid="{00000000-0005-0000-0000-0000350E0000}"/>
    <cellStyle name="20% - Accent2 2 2 3 2 2 2 3" xfId="36800" xr:uid="{00000000-0005-0000-0000-0000360E0000}"/>
    <cellStyle name="20% - Accent2 2 2 3 2 2 2 4" xfId="46525" xr:uid="{00000000-0005-0000-0000-0000370E0000}"/>
    <cellStyle name="20% - Accent2 2 2 3 2 2 2 5" xfId="17350" xr:uid="{00000000-0005-0000-0000-0000380E0000}"/>
    <cellStyle name="20% - Accent2 2 2 3 2 2 3" xfId="22213" xr:uid="{00000000-0005-0000-0000-0000390E0000}"/>
    <cellStyle name="20% - Accent2 2 2 3 2 2 4" xfId="31938" xr:uid="{00000000-0005-0000-0000-00003A0E0000}"/>
    <cellStyle name="20% - Accent2 2 2 3 2 2 5" xfId="41663" xr:uid="{00000000-0005-0000-0000-00003B0E0000}"/>
    <cellStyle name="20% - Accent2 2 2 3 2 2 6" xfId="12488" xr:uid="{00000000-0005-0000-0000-00003C0E0000}"/>
    <cellStyle name="20% - Accent2 2 2 3 2 3" xfId="4382" xr:uid="{00000000-0005-0000-0000-00003D0E0000}"/>
    <cellStyle name="20% - Accent2 2 2 3 2 3 2" xfId="9244" xr:uid="{00000000-0005-0000-0000-00003E0E0000}"/>
    <cellStyle name="20% - Accent2 2 2 3 2 3 2 2" xfId="28695" xr:uid="{00000000-0005-0000-0000-00003F0E0000}"/>
    <cellStyle name="20% - Accent2 2 2 3 2 3 2 3" xfId="38420" xr:uid="{00000000-0005-0000-0000-0000400E0000}"/>
    <cellStyle name="20% - Accent2 2 2 3 2 3 2 4" xfId="48145" xr:uid="{00000000-0005-0000-0000-0000410E0000}"/>
    <cellStyle name="20% - Accent2 2 2 3 2 3 2 5" xfId="18970" xr:uid="{00000000-0005-0000-0000-0000420E0000}"/>
    <cellStyle name="20% - Accent2 2 2 3 2 3 3" xfId="23833" xr:uid="{00000000-0005-0000-0000-0000430E0000}"/>
    <cellStyle name="20% - Accent2 2 2 3 2 3 4" xfId="33558" xr:uid="{00000000-0005-0000-0000-0000440E0000}"/>
    <cellStyle name="20% - Accent2 2 2 3 2 3 5" xfId="43283" xr:uid="{00000000-0005-0000-0000-0000450E0000}"/>
    <cellStyle name="20% - Accent2 2 2 3 2 3 6" xfId="14108" xr:uid="{00000000-0005-0000-0000-0000460E0000}"/>
    <cellStyle name="20% - Accent2 2 2 3 2 4" xfId="6004" xr:uid="{00000000-0005-0000-0000-0000470E0000}"/>
    <cellStyle name="20% - Accent2 2 2 3 2 4 2" xfId="25455" xr:uid="{00000000-0005-0000-0000-0000480E0000}"/>
    <cellStyle name="20% - Accent2 2 2 3 2 4 3" xfId="35180" xr:uid="{00000000-0005-0000-0000-0000490E0000}"/>
    <cellStyle name="20% - Accent2 2 2 3 2 4 4" xfId="44905" xr:uid="{00000000-0005-0000-0000-00004A0E0000}"/>
    <cellStyle name="20% - Accent2 2 2 3 2 4 5" xfId="15730" xr:uid="{00000000-0005-0000-0000-00004B0E0000}"/>
    <cellStyle name="20% - Accent2 2 2 3 2 5" xfId="20593" xr:uid="{00000000-0005-0000-0000-00004C0E0000}"/>
    <cellStyle name="20% - Accent2 2 2 3 2 6" xfId="30318" xr:uid="{00000000-0005-0000-0000-00004D0E0000}"/>
    <cellStyle name="20% - Accent2 2 2 3 2 7" xfId="40043" xr:uid="{00000000-0005-0000-0000-00004E0E0000}"/>
    <cellStyle name="20% - Accent2 2 2 3 2 8" xfId="10868" xr:uid="{00000000-0005-0000-0000-00004F0E0000}"/>
    <cellStyle name="20% - Accent2 2 2 3 3" xfId="1591" xr:uid="{00000000-0005-0000-0000-0000500E0000}"/>
    <cellStyle name="20% - Accent2 2 2 3 3 2" xfId="3212" xr:uid="{00000000-0005-0000-0000-0000510E0000}"/>
    <cellStyle name="20% - Accent2 2 2 3 3 2 2" xfId="8074" xr:uid="{00000000-0005-0000-0000-0000520E0000}"/>
    <cellStyle name="20% - Accent2 2 2 3 3 2 2 2" xfId="27525" xr:uid="{00000000-0005-0000-0000-0000530E0000}"/>
    <cellStyle name="20% - Accent2 2 2 3 3 2 2 3" xfId="37250" xr:uid="{00000000-0005-0000-0000-0000540E0000}"/>
    <cellStyle name="20% - Accent2 2 2 3 3 2 2 4" xfId="46975" xr:uid="{00000000-0005-0000-0000-0000550E0000}"/>
    <cellStyle name="20% - Accent2 2 2 3 3 2 2 5" xfId="17800" xr:uid="{00000000-0005-0000-0000-0000560E0000}"/>
    <cellStyle name="20% - Accent2 2 2 3 3 2 3" xfId="22663" xr:uid="{00000000-0005-0000-0000-0000570E0000}"/>
    <cellStyle name="20% - Accent2 2 2 3 3 2 4" xfId="32388" xr:uid="{00000000-0005-0000-0000-0000580E0000}"/>
    <cellStyle name="20% - Accent2 2 2 3 3 2 5" xfId="42113" xr:uid="{00000000-0005-0000-0000-0000590E0000}"/>
    <cellStyle name="20% - Accent2 2 2 3 3 2 6" xfId="12938" xr:uid="{00000000-0005-0000-0000-00005A0E0000}"/>
    <cellStyle name="20% - Accent2 2 2 3 3 3" xfId="4832" xr:uid="{00000000-0005-0000-0000-00005B0E0000}"/>
    <cellStyle name="20% - Accent2 2 2 3 3 3 2" xfId="9694" xr:uid="{00000000-0005-0000-0000-00005C0E0000}"/>
    <cellStyle name="20% - Accent2 2 2 3 3 3 2 2" xfId="29145" xr:uid="{00000000-0005-0000-0000-00005D0E0000}"/>
    <cellStyle name="20% - Accent2 2 2 3 3 3 2 3" xfId="38870" xr:uid="{00000000-0005-0000-0000-00005E0E0000}"/>
    <cellStyle name="20% - Accent2 2 2 3 3 3 2 4" xfId="48595" xr:uid="{00000000-0005-0000-0000-00005F0E0000}"/>
    <cellStyle name="20% - Accent2 2 2 3 3 3 2 5" xfId="19420" xr:uid="{00000000-0005-0000-0000-0000600E0000}"/>
    <cellStyle name="20% - Accent2 2 2 3 3 3 3" xfId="24283" xr:uid="{00000000-0005-0000-0000-0000610E0000}"/>
    <cellStyle name="20% - Accent2 2 2 3 3 3 4" xfId="34008" xr:uid="{00000000-0005-0000-0000-0000620E0000}"/>
    <cellStyle name="20% - Accent2 2 2 3 3 3 5" xfId="43733" xr:uid="{00000000-0005-0000-0000-0000630E0000}"/>
    <cellStyle name="20% - Accent2 2 2 3 3 3 6" xfId="14558" xr:uid="{00000000-0005-0000-0000-0000640E0000}"/>
    <cellStyle name="20% - Accent2 2 2 3 3 4" xfId="6454" xr:uid="{00000000-0005-0000-0000-0000650E0000}"/>
    <cellStyle name="20% - Accent2 2 2 3 3 4 2" xfId="25905" xr:uid="{00000000-0005-0000-0000-0000660E0000}"/>
    <cellStyle name="20% - Accent2 2 2 3 3 4 3" xfId="35630" xr:uid="{00000000-0005-0000-0000-0000670E0000}"/>
    <cellStyle name="20% - Accent2 2 2 3 3 4 4" xfId="45355" xr:uid="{00000000-0005-0000-0000-0000680E0000}"/>
    <cellStyle name="20% - Accent2 2 2 3 3 4 5" xfId="16180" xr:uid="{00000000-0005-0000-0000-0000690E0000}"/>
    <cellStyle name="20% - Accent2 2 2 3 3 5" xfId="21043" xr:uid="{00000000-0005-0000-0000-00006A0E0000}"/>
    <cellStyle name="20% - Accent2 2 2 3 3 6" xfId="30768" xr:uid="{00000000-0005-0000-0000-00006B0E0000}"/>
    <cellStyle name="20% - Accent2 2 2 3 3 7" xfId="40493" xr:uid="{00000000-0005-0000-0000-00006C0E0000}"/>
    <cellStyle name="20% - Accent2 2 2 3 3 8" xfId="11318" xr:uid="{00000000-0005-0000-0000-00006D0E0000}"/>
    <cellStyle name="20% - Accent2 2 2 3 4" xfId="762" xr:uid="{00000000-0005-0000-0000-00006E0E0000}"/>
    <cellStyle name="20% - Accent2 2 2 3 4 2" xfId="2402" xr:uid="{00000000-0005-0000-0000-00006F0E0000}"/>
    <cellStyle name="20% - Accent2 2 2 3 4 2 2" xfId="7264" xr:uid="{00000000-0005-0000-0000-0000700E0000}"/>
    <cellStyle name="20% - Accent2 2 2 3 4 2 2 2" xfId="26715" xr:uid="{00000000-0005-0000-0000-0000710E0000}"/>
    <cellStyle name="20% - Accent2 2 2 3 4 2 2 3" xfId="36440" xr:uid="{00000000-0005-0000-0000-0000720E0000}"/>
    <cellStyle name="20% - Accent2 2 2 3 4 2 2 4" xfId="46165" xr:uid="{00000000-0005-0000-0000-0000730E0000}"/>
    <cellStyle name="20% - Accent2 2 2 3 4 2 2 5" xfId="16990" xr:uid="{00000000-0005-0000-0000-0000740E0000}"/>
    <cellStyle name="20% - Accent2 2 2 3 4 2 3" xfId="21853" xr:uid="{00000000-0005-0000-0000-0000750E0000}"/>
    <cellStyle name="20% - Accent2 2 2 3 4 2 4" xfId="31578" xr:uid="{00000000-0005-0000-0000-0000760E0000}"/>
    <cellStyle name="20% - Accent2 2 2 3 4 2 5" xfId="41303" xr:uid="{00000000-0005-0000-0000-0000770E0000}"/>
    <cellStyle name="20% - Accent2 2 2 3 4 2 6" xfId="12128" xr:uid="{00000000-0005-0000-0000-0000780E0000}"/>
    <cellStyle name="20% - Accent2 2 2 3 4 3" xfId="4022" xr:uid="{00000000-0005-0000-0000-0000790E0000}"/>
    <cellStyle name="20% - Accent2 2 2 3 4 3 2" xfId="8884" xr:uid="{00000000-0005-0000-0000-00007A0E0000}"/>
    <cellStyle name="20% - Accent2 2 2 3 4 3 2 2" xfId="28335" xr:uid="{00000000-0005-0000-0000-00007B0E0000}"/>
    <cellStyle name="20% - Accent2 2 2 3 4 3 2 3" xfId="38060" xr:uid="{00000000-0005-0000-0000-00007C0E0000}"/>
    <cellStyle name="20% - Accent2 2 2 3 4 3 2 4" xfId="47785" xr:uid="{00000000-0005-0000-0000-00007D0E0000}"/>
    <cellStyle name="20% - Accent2 2 2 3 4 3 2 5" xfId="18610" xr:uid="{00000000-0005-0000-0000-00007E0E0000}"/>
    <cellStyle name="20% - Accent2 2 2 3 4 3 3" xfId="23473" xr:uid="{00000000-0005-0000-0000-00007F0E0000}"/>
    <cellStyle name="20% - Accent2 2 2 3 4 3 4" xfId="33198" xr:uid="{00000000-0005-0000-0000-0000800E0000}"/>
    <cellStyle name="20% - Accent2 2 2 3 4 3 5" xfId="42923" xr:uid="{00000000-0005-0000-0000-0000810E0000}"/>
    <cellStyle name="20% - Accent2 2 2 3 4 3 6" xfId="13748" xr:uid="{00000000-0005-0000-0000-0000820E0000}"/>
    <cellStyle name="20% - Accent2 2 2 3 4 4" xfId="5644" xr:uid="{00000000-0005-0000-0000-0000830E0000}"/>
    <cellStyle name="20% - Accent2 2 2 3 4 4 2" xfId="25095" xr:uid="{00000000-0005-0000-0000-0000840E0000}"/>
    <cellStyle name="20% - Accent2 2 2 3 4 4 3" xfId="34820" xr:uid="{00000000-0005-0000-0000-0000850E0000}"/>
    <cellStyle name="20% - Accent2 2 2 3 4 4 4" xfId="44545" xr:uid="{00000000-0005-0000-0000-0000860E0000}"/>
    <cellStyle name="20% - Accent2 2 2 3 4 4 5" xfId="15370" xr:uid="{00000000-0005-0000-0000-0000870E0000}"/>
    <cellStyle name="20% - Accent2 2 2 3 4 5" xfId="20233" xr:uid="{00000000-0005-0000-0000-0000880E0000}"/>
    <cellStyle name="20% - Accent2 2 2 3 4 6" xfId="29958" xr:uid="{00000000-0005-0000-0000-0000890E0000}"/>
    <cellStyle name="20% - Accent2 2 2 3 4 7" xfId="39683" xr:uid="{00000000-0005-0000-0000-00008A0E0000}"/>
    <cellStyle name="20% - Accent2 2 2 3 4 8" xfId="10508" xr:uid="{00000000-0005-0000-0000-00008B0E0000}"/>
    <cellStyle name="20% - Accent2 2 2 3 5" xfId="2042" xr:uid="{00000000-0005-0000-0000-00008C0E0000}"/>
    <cellStyle name="20% - Accent2 2 2 3 5 2" xfId="6904" xr:uid="{00000000-0005-0000-0000-00008D0E0000}"/>
    <cellStyle name="20% - Accent2 2 2 3 5 2 2" xfId="26355" xr:uid="{00000000-0005-0000-0000-00008E0E0000}"/>
    <cellStyle name="20% - Accent2 2 2 3 5 2 3" xfId="36080" xr:uid="{00000000-0005-0000-0000-00008F0E0000}"/>
    <cellStyle name="20% - Accent2 2 2 3 5 2 4" xfId="45805" xr:uid="{00000000-0005-0000-0000-0000900E0000}"/>
    <cellStyle name="20% - Accent2 2 2 3 5 2 5" xfId="16630" xr:uid="{00000000-0005-0000-0000-0000910E0000}"/>
    <cellStyle name="20% - Accent2 2 2 3 5 3" xfId="21493" xr:uid="{00000000-0005-0000-0000-0000920E0000}"/>
    <cellStyle name="20% - Accent2 2 2 3 5 4" xfId="31218" xr:uid="{00000000-0005-0000-0000-0000930E0000}"/>
    <cellStyle name="20% - Accent2 2 2 3 5 5" xfId="40943" xr:uid="{00000000-0005-0000-0000-0000940E0000}"/>
    <cellStyle name="20% - Accent2 2 2 3 5 6" xfId="11768" xr:uid="{00000000-0005-0000-0000-0000950E0000}"/>
    <cellStyle name="20% - Accent2 2 2 3 6" xfId="3662" xr:uid="{00000000-0005-0000-0000-0000960E0000}"/>
    <cellStyle name="20% - Accent2 2 2 3 6 2" xfId="8524" xr:uid="{00000000-0005-0000-0000-0000970E0000}"/>
    <cellStyle name="20% - Accent2 2 2 3 6 2 2" xfId="27975" xr:uid="{00000000-0005-0000-0000-0000980E0000}"/>
    <cellStyle name="20% - Accent2 2 2 3 6 2 3" xfId="37700" xr:uid="{00000000-0005-0000-0000-0000990E0000}"/>
    <cellStyle name="20% - Accent2 2 2 3 6 2 4" xfId="47425" xr:uid="{00000000-0005-0000-0000-00009A0E0000}"/>
    <cellStyle name="20% - Accent2 2 2 3 6 2 5" xfId="18250" xr:uid="{00000000-0005-0000-0000-00009B0E0000}"/>
    <cellStyle name="20% - Accent2 2 2 3 6 3" xfId="23113" xr:uid="{00000000-0005-0000-0000-00009C0E0000}"/>
    <cellStyle name="20% - Accent2 2 2 3 6 4" xfId="32838" xr:uid="{00000000-0005-0000-0000-00009D0E0000}"/>
    <cellStyle name="20% - Accent2 2 2 3 6 5" xfId="42563" xr:uid="{00000000-0005-0000-0000-00009E0E0000}"/>
    <cellStyle name="20% - Accent2 2 2 3 6 6" xfId="13388" xr:uid="{00000000-0005-0000-0000-00009F0E0000}"/>
    <cellStyle name="20% - Accent2 2 2 3 7" xfId="5284" xr:uid="{00000000-0005-0000-0000-0000A00E0000}"/>
    <cellStyle name="20% - Accent2 2 2 3 7 2" xfId="24735" xr:uid="{00000000-0005-0000-0000-0000A10E0000}"/>
    <cellStyle name="20% - Accent2 2 2 3 7 3" xfId="34460" xr:uid="{00000000-0005-0000-0000-0000A20E0000}"/>
    <cellStyle name="20% - Accent2 2 2 3 7 4" xfId="44185" xr:uid="{00000000-0005-0000-0000-0000A30E0000}"/>
    <cellStyle name="20% - Accent2 2 2 3 7 5" xfId="15010" xr:uid="{00000000-0005-0000-0000-0000A40E0000}"/>
    <cellStyle name="20% - Accent2 2 2 3 8" xfId="19873" xr:uid="{00000000-0005-0000-0000-0000A50E0000}"/>
    <cellStyle name="20% - Accent2 2 2 3 9" xfId="29598" xr:uid="{00000000-0005-0000-0000-0000A60E0000}"/>
    <cellStyle name="20% - Accent2 2 2 4" xfId="179" xr:uid="{00000000-0005-0000-0000-0000A70E0000}"/>
    <cellStyle name="20% - Accent2 2 2 4 10" xfId="39143" xr:uid="{00000000-0005-0000-0000-0000A80E0000}"/>
    <cellStyle name="20% - Accent2 2 2 4 11" xfId="9968" xr:uid="{00000000-0005-0000-0000-0000A90E0000}"/>
    <cellStyle name="20% - Accent2 2 2 4 2" xfId="943" xr:uid="{00000000-0005-0000-0000-0000AA0E0000}"/>
    <cellStyle name="20% - Accent2 2 2 4 2 2" xfId="2582" xr:uid="{00000000-0005-0000-0000-0000AB0E0000}"/>
    <cellStyle name="20% - Accent2 2 2 4 2 2 2" xfId="7444" xr:uid="{00000000-0005-0000-0000-0000AC0E0000}"/>
    <cellStyle name="20% - Accent2 2 2 4 2 2 2 2" xfId="26895" xr:uid="{00000000-0005-0000-0000-0000AD0E0000}"/>
    <cellStyle name="20% - Accent2 2 2 4 2 2 2 3" xfId="36620" xr:uid="{00000000-0005-0000-0000-0000AE0E0000}"/>
    <cellStyle name="20% - Accent2 2 2 4 2 2 2 4" xfId="46345" xr:uid="{00000000-0005-0000-0000-0000AF0E0000}"/>
    <cellStyle name="20% - Accent2 2 2 4 2 2 2 5" xfId="17170" xr:uid="{00000000-0005-0000-0000-0000B00E0000}"/>
    <cellStyle name="20% - Accent2 2 2 4 2 2 3" xfId="22033" xr:uid="{00000000-0005-0000-0000-0000B10E0000}"/>
    <cellStyle name="20% - Accent2 2 2 4 2 2 4" xfId="31758" xr:uid="{00000000-0005-0000-0000-0000B20E0000}"/>
    <cellStyle name="20% - Accent2 2 2 4 2 2 5" xfId="41483" xr:uid="{00000000-0005-0000-0000-0000B30E0000}"/>
    <cellStyle name="20% - Accent2 2 2 4 2 2 6" xfId="12308" xr:uid="{00000000-0005-0000-0000-0000B40E0000}"/>
    <cellStyle name="20% - Accent2 2 2 4 2 3" xfId="4202" xr:uid="{00000000-0005-0000-0000-0000B50E0000}"/>
    <cellStyle name="20% - Accent2 2 2 4 2 3 2" xfId="9064" xr:uid="{00000000-0005-0000-0000-0000B60E0000}"/>
    <cellStyle name="20% - Accent2 2 2 4 2 3 2 2" xfId="28515" xr:uid="{00000000-0005-0000-0000-0000B70E0000}"/>
    <cellStyle name="20% - Accent2 2 2 4 2 3 2 3" xfId="38240" xr:uid="{00000000-0005-0000-0000-0000B80E0000}"/>
    <cellStyle name="20% - Accent2 2 2 4 2 3 2 4" xfId="47965" xr:uid="{00000000-0005-0000-0000-0000B90E0000}"/>
    <cellStyle name="20% - Accent2 2 2 4 2 3 2 5" xfId="18790" xr:uid="{00000000-0005-0000-0000-0000BA0E0000}"/>
    <cellStyle name="20% - Accent2 2 2 4 2 3 3" xfId="23653" xr:uid="{00000000-0005-0000-0000-0000BB0E0000}"/>
    <cellStyle name="20% - Accent2 2 2 4 2 3 4" xfId="33378" xr:uid="{00000000-0005-0000-0000-0000BC0E0000}"/>
    <cellStyle name="20% - Accent2 2 2 4 2 3 5" xfId="43103" xr:uid="{00000000-0005-0000-0000-0000BD0E0000}"/>
    <cellStyle name="20% - Accent2 2 2 4 2 3 6" xfId="13928" xr:uid="{00000000-0005-0000-0000-0000BE0E0000}"/>
    <cellStyle name="20% - Accent2 2 2 4 2 4" xfId="5824" xr:uid="{00000000-0005-0000-0000-0000BF0E0000}"/>
    <cellStyle name="20% - Accent2 2 2 4 2 4 2" xfId="25275" xr:uid="{00000000-0005-0000-0000-0000C00E0000}"/>
    <cellStyle name="20% - Accent2 2 2 4 2 4 3" xfId="35000" xr:uid="{00000000-0005-0000-0000-0000C10E0000}"/>
    <cellStyle name="20% - Accent2 2 2 4 2 4 4" xfId="44725" xr:uid="{00000000-0005-0000-0000-0000C20E0000}"/>
    <cellStyle name="20% - Accent2 2 2 4 2 4 5" xfId="15550" xr:uid="{00000000-0005-0000-0000-0000C30E0000}"/>
    <cellStyle name="20% - Accent2 2 2 4 2 5" xfId="20413" xr:uid="{00000000-0005-0000-0000-0000C40E0000}"/>
    <cellStyle name="20% - Accent2 2 2 4 2 6" xfId="30138" xr:uid="{00000000-0005-0000-0000-0000C50E0000}"/>
    <cellStyle name="20% - Accent2 2 2 4 2 7" xfId="39863" xr:uid="{00000000-0005-0000-0000-0000C60E0000}"/>
    <cellStyle name="20% - Accent2 2 2 4 2 8" xfId="10688" xr:uid="{00000000-0005-0000-0000-0000C70E0000}"/>
    <cellStyle name="20% - Accent2 2 2 4 3" xfId="1411" xr:uid="{00000000-0005-0000-0000-0000C80E0000}"/>
    <cellStyle name="20% - Accent2 2 2 4 3 2" xfId="3032" xr:uid="{00000000-0005-0000-0000-0000C90E0000}"/>
    <cellStyle name="20% - Accent2 2 2 4 3 2 2" xfId="7894" xr:uid="{00000000-0005-0000-0000-0000CA0E0000}"/>
    <cellStyle name="20% - Accent2 2 2 4 3 2 2 2" xfId="27345" xr:uid="{00000000-0005-0000-0000-0000CB0E0000}"/>
    <cellStyle name="20% - Accent2 2 2 4 3 2 2 3" xfId="37070" xr:uid="{00000000-0005-0000-0000-0000CC0E0000}"/>
    <cellStyle name="20% - Accent2 2 2 4 3 2 2 4" xfId="46795" xr:uid="{00000000-0005-0000-0000-0000CD0E0000}"/>
    <cellStyle name="20% - Accent2 2 2 4 3 2 2 5" xfId="17620" xr:uid="{00000000-0005-0000-0000-0000CE0E0000}"/>
    <cellStyle name="20% - Accent2 2 2 4 3 2 3" xfId="22483" xr:uid="{00000000-0005-0000-0000-0000CF0E0000}"/>
    <cellStyle name="20% - Accent2 2 2 4 3 2 4" xfId="32208" xr:uid="{00000000-0005-0000-0000-0000D00E0000}"/>
    <cellStyle name="20% - Accent2 2 2 4 3 2 5" xfId="41933" xr:uid="{00000000-0005-0000-0000-0000D10E0000}"/>
    <cellStyle name="20% - Accent2 2 2 4 3 2 6" xfId="12758" xr:uid="{00000000-0005-0000-0000-0000D20E0000}"/>
    <cellStyle name="20% - Accent2 2 2 4 3 3" xfId="4652" xr:uid="{00000000-0005-0000-0000-0000D30E0000}"/>
    <cellStyle name="20% - Accent2 2 2 4 3 3 2" xfId="9514" xr:uid="{00000000-0005-0000-0000-0000D40E0000}"/>
    <cellStyle name="20% - Accent2 2 2 4 3 3 2 2" xfId="28965" xr:uid="{00000000-0005-0000-0000-0000D50E0000}"/>
    <cellStyle name="20% - Accent2 2 2 4 3 3 2 3" xfId="38690" xr:uid="{00000000-0005-0000-0000-0000D60E0000}"/>
    <cellStyle name="20% - Accent2 2 2 4 3 3 2 4" xfId="48415" xr:uid="{00000000-0005-0000-0000-0000D70E0000}"/>
    <cellStyle name="20% - Accent2 2 2 4 3 3 2 5" xfId="19240" xr:uid="{00000000-0005-0000-0000-0000D80E0000}"/>
    <cellStyle name="20% - Accent2 2 2 4 3 3 3" xfId="24103" xr:uid="{00000000-0005-0000-0000-0000D90E0000}"/>
    <cellStyle name="20% - Accent2 2 2 4 3 3 4" xfId="33828" xr:uid="{00000000-0005-0000-0000-0000DA0E0000}"/>
    <cellStyle name="20% - Accent2 2 2 4 3 3 5" xfId="43553" xr:uid="{00000000-0005-0000-0000-0000DB0E0000}"/>
    <cellStyle name="20% - Accent2 2 2 4 3 3 6" xfId="14378" xr:uid="{00000000-0005-0000-0000-0000DC0E0000}"/>
    <cellStyle name="20% - Accent2 2 2 4 3 4" xfId="6274" xr:uid="{00000000-0005-0000-0000-0000DD0E0000}"/>
    <cellStyle name="20% - Accent2 2 2 4 3 4 2" xfId="25725" xr:uid="{00000000-0005-0000-0000-0000DE0E0000}"/>
    <cellStyle name="20% - Accent2 2 2 4 3 4 3" xfId="35450" xr:uid="{00000000-0005-0000-0000-0000DF0E0000}"/>
    <cellStyle name="20% - Accent2 2 2 4 3 4 4" xfId="45175" xr:uid="{00000000-0005-0000-0000-0000E00E0000}"/>
    <cellStyle name="20% - Accent2 2 2 4 3 4 5" xfId="16000" xr:uid="{00000000-0005-0000-0000-0000E10E0000}"/>
    <cellStyle name="20% - Accent2 2 2 4 3 5" xfId="20863" xr:uid="{00000000-0005-0000-0000-0000E20E0000}"/>
    <cellStyle name="20% - Accent2 2 2 4 3 6" xfId="30588" xr:uid="{00000000-0005-0000-0000-0000E30E0000}"/>
    <cellStyle name="20% - Accent2 2 2 4 3 7" xfId="40313" xr:uid="{00000000-0005-0000-0000-0000E40E0000}"/>
    <cellStyle name="20% - Accent2 2 2 4 3 8" xfId="11138" xr:uid="{00000000-0005-0000-0000-0000E50E0000}"/>
    <cellStyle name="20% - Accent2 2 2 4 4" xfId="582" xr:uid="{00000000-0005-0000-0000-0000E60E0000}"/>
    <cellStyle name="20% - Accent2 2 2 4 4 2" xfId="2222" xr:uid="{00000000-0005-0000-0000-0000E70E0000}"/>
    <cellStyle name="20% - Accent2 2 2 4 4 2 2" xfId="7084" xr:uid="{00000000-0005-0000-0000-0000E80E0000}"/>
    <cellStyle name="20% - Accent2 2 2 4 4 2 2 2" xfId="26535" xr:uid="{00000000-0005-0000-0000-0000E90E0000}"/>
    <cellStyle name="20% - Accent2 2 2 4 4 2 2 3" xfId="36260" xr:uid="{00000000-0005-0000-0000-0000EA0E0000}"/>
    <cellStyle name="20% - Accent2 2 2 4 4 2 2 4" xfId="45985" xr:uid="{00000000-0005-0000-0000-0000EB0E0000}"/>
    <cellStyle name="20% - Accent2 2 2 4 4 2 2 5" xfId="16810" xr:uid="{00000000-0005-0000-0000-0000EC0E0000}"/>
    <cellStyle name="20% - Accent2 2 2 4 4 2 3" xfId="21673" xr:uid="{00000000-0005-0000-0000-0000ED0E0000}"/>
    <cellStyle name="20% - Accent2 2 2 4 4 2 4" xfId="31398" xr:uid="{00000000-0005-0000-0000-0000EE0E0000}"/>
    <cellStyle name="20% - Accent2 2 2 4 4 2 5" xfId="41123" xr:uid="{00000000-0005-0000-0000-0000EF0E0000}"/>
    <cellStyle name="20% - Accent2 2 2 4 4 2 6" xfId="11948" xr:uid="{00000000-0005-0000-0000-0000F00E0000}"/>
    <cellStyle name="20% - Accent2 2 2 4 4 3" xfId="3842" xr:uid="{00000000-0005-0000-0000-0000F10E0000}"/>
    <cellStyle name="20% - Accent2 2 2 4 4 3 2" xfId="8704" xr:uid="{00000000-0005-0000-0000-0000F20E0000}"/>
    <cellStyle name="20% - Accent2 2 2 4 4 3 2 2" xfId="28155" xr:uid="{00000000-0005-0000-0000-0000F30E0000}"/>
    <cellStyle name="20% - Accent2 2 2 4 4 3 2 3" xfId="37880" xr:uid="{00000000-0005-0000-0000-0000F40E0000}"/>
    <cellStyle name="20% - Accent2 2 2 4 4 3 2 4" xfId="47605" xr:uid="{00000000-0005-0000-0000-0000F50E0000}"/>
    <cellStyle name="20% - Accent2 2 2 4 4 3 2 5" xfId="18430" xr:uid="{00000000-0005-0000-0000-0000F60E0000}"/>
    <cellStyle name="20% - Accent2 2 2 4 4 3 3" xfId="23293" xr:uid="{00000000-0005-0000-0000-0000F70E0000}"/>
    <cellStyle name="20% - Accent2 2 2 4 4 3 4" xfId="33018" xr:uid="{00000000-0005-0000-0000-0000F80E0000}"/>
    <cellStyle name="20% - Accent2 2 2 4 4 3 5" xfId="42743" xr:uid="{00000000-0005-0000-0000-0000F90E0000}"/>
    <cellStyle name="20% - Accent2 2 2 4 4 3 6" xfId="13568" xr:uid="{00000000-0005-0000-0000-0000FA0E0000}"/>
    <cellStyle name="20% - Accent2 2 2 4 4 4" xfId="5464" xr:uid="{00000000-0005-0000-0000-0000FB0E0000}"/>
    <cellStyle name="20% - Accent2 2 2 4 4 4 2" xfId="24915" xr:uid="{00000000-0005-0000-0000-0000FC0E0000}"/>
    <cellStyle name="20% - Accent2 2 2 4 4 4 3" xfId="34640" xr:uid="{00000000-0005-0000-0000-0000FD0E0000}"/>
    <cellStyle name="20% - Accent2 2 2 4 4 4 4" xfId="44365" xr:uid="{00000000-0005-0000-0000-0000FE0E0000}"/>
    <cellStyle name="20% - Accent2 2 2 4 4 4 5" xfId="15190" xr:uid="{00000000-0005-0000-0000-0000FF0E0000}"/>
    <cellStyle name="20% - Accent2 2 2 4 4 5" xfId="20053" xr:uid="{00000000-0005-0000-0000-0000000F0000}"/>
    <cellStyle name="20% - Accent2 2 2 4 4 6" xfId="29778" xr:uid="{00000000-0005-0000-0000-0000010F0000}"/>
    <cellStyle name="20% - Accent2 2 2 4 4 7" xfId="39503" xr:uid="{00000000-0005-0000-0000-0000020F0000}"/>
    <cellStyle name="20% - Accent2 2 2 4 4 8" xfId="10328" xr:uid="{00000000-0005-0000-0000-0000030F0000}"/>
    <cellStyle name="20% - Accent2 2 2 4 5" xfId="1862" xr:uid="{00000000-0005-0000-0000-0000040F0000}"/>
    <cellStyle name="20% - Accent2 2 2 4 5 2" xfId="6724" xr:uid="{00000000-0005-0000-0000-0000050F0000}"/>
    <cellStyle name="20% - Accent2 2 2 4 5 2 2" xfId="26175" xr:uid="{00000000-0005-0000-0000-0000060F0000}"/>
    <cellStyle name="20% - Accent2 2 2 4 5 2 3" xfId="35900" xr:uid="{00000000-0005-0000-0000-0000070F0000}"/>
    <cellStyle name="20% - Accent2 2 2 4 5 2 4" xfId="45625" xr:uid="{00000000-0005-0000-0000-0000080F0000}"/>
    <cellStyle name="20% - Accent2 2 2 4 5 2 5" xfId="16450" xr:uid="{00000000-0005-0000-0000-0000090F0000}"/>
    <cellStyle name="20% - Accent2 2 2 4 5 3" xfId="21313" xr:uid="{00000000-0005-0000-0000-00000A0F0000}"/>
    <cellStyle name="20% - Accent2 2 2 4 5 4" xfId="31038" xr:uid="{00000000-0005-0000-0000-00000B0F0000}"/>
    <cellStyle name="20% - Accent2 2 2 4 5 5" xfId="40763" xr:uid="{00000000-0005-0000-0000-00000C0F0000}"/>
    <cellStyle name="20% - Accent2 2 2 4 5 6" xfId="11588" xr:uid="{00000000-0005-0000-0000-00000D0F0000}"/>
    <cellStyle name="20% - Accent2 2 2 4 6" xfId="3482" xr:uid="{00000000-0005-0000-0000-00000E0F0000}"/>
    <cellStyle name="20% - Accent2 2 2 4 6 2" xfId="8344" xr:uid="{00000000-0005-0000-0000-00000F0F0000}"/>
    <cellStyle name="20% - Accent2 2 2 4 6 2 2" xfId="27795" xr:uid="{00000000-0005-0000-0000-0000100F0000}"/>
    <cellStyle name="20% - Accent2 2 2 4 6 2 3" xfId="37520" xr:uid="{00000000-0005-0000-0000-0000110F0000}"/>
    <cellStyle name="20% - Accent2 2 2 4 6 2 4" xfId="47245" xr:uid="{00000000-0005-0000-0000-0000120F0000}"/>
    <cellStyle name="20% - Accent2 2 2 4 6 2 5" xfId="18070" xr:uid="{00000000-0005-0000-0000-0000130F0000}"/>
    <cellStyle name="20% - Accent2 2 2 4 6 3" xfId="22933" xr:uid="{00000000-0005-0000-0000-0000140F0000}"/>
    <cellStyle name="20% - Accent2 2 2 4 6 4" xfId="32658" xr:uid="{00000000-0005-0000-0000-0000150F0000}"/>
    <cellStyle name="20% - Accent2 2 2 4 6 5" xfId="42383" xr:uid="{00000000-0005-0000-0000-0000160F0000}"/>
    <cellStyle name="20% - Accent2 2 2 4 6 6" xfId="13208" xr:uid="{00000000-0005-0000-0000-0000170F0000}"/>
    <cellStyle name="20% - Accent2 2 2 4 7" xfId="5104" xr:uid="{00000000-0005-0000-0000-0000180F0000}"/>
    <cellStyle name="20% - Accent2 2 2 4 7 2" xfId="24555" xr:uid="{00000000-0005-0000-0000-0000190F0000}"/>
    <cellStyle name="20% - Accent2 2 2 4 7 3" xfId="34280" xr:uid="{00000000-0005-0000-0000-00001A0F0000}"/>
    <cellStyle name="20% - Accent2 2 2 4 7 4" xfId="44005" xr:uid="{00000000-0005-0000-0000-00001B0F0000}"/>
    <cellStyle name="20% - Accent2 2 2 4 7 5" xfId="14830" xr:uid="{00000000-0005-0000-0000-00001C0F0000}"/>
    <cellStyle name="20% - Accent2 2 2 4 8" xfId="19693" xr:uid="{00000000-0005-0000-0000-00001D0F0000}"/>
    <cellStyle name="20% - Accent2 2 2 4 9" xfId="29418" xr:uid="{00000000-0005-0000-0000-00001E0F0000}"/>
    <cellStyle name="20% - Accent2 2 2 5" xfId="853" xr:uid="{00000000-0005-0000-0000-00001F0F0000}"/>
    <cellStyle name="20% - Accent2 2 2 5 2" xfId="2492" xr:uid="{00000000-0005-0000-0000-0000200F0000}"/>
    <cellStyle name="20% - Accent2 2 2 5 2 2" xfId="7354" xr:uid="{00000000-0005-0000-0000-0000210F0000}"/>
    <cellStyle name="20% - Accent2 2 2 5 2 2 2" xfId="26805" xr:uid="{00000000-0005-0000-0000-0000220F0000}"/>
    <cellStyle name="20% - Accent2 2 2 5 2 2 3" xfId="36530" xr:uid="{00000000-0005-0000-0000-0000230F0000}"/>
    <cellStyle name="20% - Accent2 2 2 5 2 2 4" xfId="46255" xr:uid="{00000000-0005-0000-0000-0000240F0000}"/>
    <cellStyle name="20% - Accent2 2 2 5 2 2 5" xfId="17080" xr:uid="{00000000-0005-0000-0000-0000250F0000}"/>
    <cellStyle name="20% - Accent2 2 2 5 2 3" xfId="21943" xr:uid="{00000000-0005-0000-0000-0000260F0000}"/>
    <cellStyle name="20% - Accent2 2 2 5 2 4" xfId="31668" xr:uid="{00000000-0005-0000-0000-0000270F0000}"/>
    <cellStyle name="20% - Accent2 2 2 5 2 5" xfId="41393" xr:uid="{00000000-0005-0000-0000-0000280F0000}"/>
    <cellStyle name="20% - Accent2 2 2 5 2 6" xfId="12218" xr:uid="{00000000-0005-0000-0000-0000290F0000}"/>
    <cellStyle name="20% - Accent2 2 2 5 3" xfId="4112" xr:uid="{00000000-0005-0000-0000-00002A0F0000}"/>
    <cellStyle name="20% - Accent2 2 2 5 3 2" xfId="8974" xr:uid="{00000000-0005-0000-0000-00002B0F0000}"/>
    <cellStyle name="20% - Accent2 2 2 5 3 2 2" xfId="28425" xr:uid="{00000000-0005-0000-0000-00002C0F0000}"/>
    <cellStyle name="20% - Accent2 2 2 5 3 2 3" xfId="38150" xr:uid="{00000000-0005-0000-0000-00002D0F0000}"/>
    <cellStyle name="20% - Accent2 2 2 5 3 2 4" xfId="47875" xr:uid="{00000000-0005-0000-0000-00002E0F0000}"/>
    <cellStyle name="20% - Accent2 2 2 5 3 2 5" xfId="18700" xr:uid="{00000000-0005-0000-0000-00002F0F0000}"/>
    <cellStyle name="20% - Accent2 2 2 5 3 3" xfId="23563" xr:uid="{00000000-0005-0000-0000-0000300F0000}"/>
    <cellStyle name="20% - Accent2 2 2 5 3 4" xfId="33288" xr:uid="{00000000-0005-0000-0000-0000310F0000}"/>
    <cellStyle name="20% - Accent2 2 2 5 3 5" xfId="43013" xr:uid="{00000000-0005-0000-0000-0000320F0000}"/>
    <cellStyle name="20% - Accent2 2 2 5 3 6" xfId="13838" xr:uid="{00000000-0005-0000-0000-0000330F0000}"/>
    <cellStyle name="20% - Accent2 2 2 5 4" xfId="5734" xr:uid="{00000000-0005-0000-0000-0000340F0000}"/>
    <cellStyle name="20% - Accent2 2 2 5 4 2" xfId="25185" xr:uid="{00000000-0005-0000-0000-0000350F0000}"/>
    <cellStyle name="20% - Accent2 2 2 5 4 3" xfId="34910" xr:uid="{00000000-0005-0000-0000-0000360F0000}"/>
    <cellStyle name="20% - Accent2 2 2 5 4 4" xfId="44635" xr:uid="{00000000-0005-0000-0000-0000370F0000}"/>
    <cellStyle name="20% - Accent2 2 2 5 4 5" xfId="15460" xr:uid="{00000000-0005-0000-0000-0000380F0000}"/>
    <cellStyle name="20% - Accent2 2 2 5 5" xfId="20323" xr:uid="{00000000-0005-0000-0000-0000390F0000}"/>
    <cellStyle name="20% - Accent2 2 2 5 6" xfId="30048" xr:uid="{00000000-0005-0000-0000-00003A0F0000}"/>
    <cellStyle name="20% - Accent2 2 2 5 7" xfId="39773" xr:uid="{00000000-0005-0000-0000-00003B0F0000}"/>
    <cellStyle name="20% - Accent2 2 2 5 8" xfId="10598" xr:uid="{00000000-0005-0000-0000-00003C0F0000}"/>
    <cellStyle name="20% - Accent2 2 2 6" xfId="1231" xr:uid="{00000000-0005-0000-0000-00003D0F0000}"/>
    <cellStyle name="20% - Accent2 2 2 6 2" xfId="2852" xr:uid="{00000000-0005-0000-0000-00003E0F0000}"/>
    <cellStyle name="20% - Accent2 2 2 6 2 2" xfId="7714" xr:uid="{00000000-0005-0000-0000-00003F0F0000}"/>
    <cellStyle name="20% - Accent2 2 2 6 2 2 2" xfId="27165" xr:uid="{00000000-0005-0000-0000-0000400F0000}"/>
    <cellStyle name="20% - Accent2 2 2 6 2 2 3" xfId="36890" xr:uid="{00000000-0005-0000-0000-0000410F0000}"/>
    <cellStyle name="20% - Accent2 2 2 6 2 2 4" xfId="46615" xr:uid="{00000000-0005-0000-0000-0000420F0000}"/>
    <cellStyle name="20% - Accent2 2 2 6 2 2 5" xfId="17440" xr:uid="{00000000-0005-0000-0000-0000430F0000}"/>
    <cellStyle name="20% - Accent2 2 2 6 2 3" xfId="22303" xr:uid="{00000000-0005-0000-0000-0000440F0000}"/>
    <cellStyle name="20% - Accent2 2 2 6 2 4" xfId="32028" xr:uid="{00000000-0005-0000-0000-0000450F0000}"/>
    <cellStyle name="20% - Accent2 2 2 6 2 5" xfId="41753" xr:uid="{00000000-0005-0000-0000-0000460F0000}"/>
    <cellStyle name="20% - Accent2 2 2 6 2 6" xfId="12578" xr:uid="{00000000-0005-0000-0000-0000470F0000}"/>
    <cellStyle name="20% - Accent2 2 2 6 3" xfId="4472" xr:uid="{00000000-0005-0000-0000-0000480F0000}"/>
    <cellStyle name="20% - Accent2 2 2 6 3 2" xfId="9334" xr:uid="{00000000-0005-0000-0000-0000490F0000}"/>
    <cellStyle name="20% - Accent2 2 2 6 3 2 2" xfId="28785" xr:uid="{00000000-0005-0000-0000-00004A0F0000}"/>
    <cellStyle name="20% - Accent2 2 2 6 3 2 3" xfId="38510" xr:uid="{00000000-0005-0000-0000-00004B0F0000}"/>
    <cellStyle name="20% - Accent2 2 2 6 3 2 4" xfId="48235" xr:uid="{00000000-0005-0000-0000-00004C0F0000}"/>
    <cellStyle name="20% - Accent2 2 2 6 3 2 5" xfId="19060" xr:uid="{00000000-0005-0000-0000-00004D0F0000}"/>
    <cellStyle name="20% - Accent2 2 2 6 3 3" xfId="23923" xr:uid="{00000000-0005-0000-0000-00004E0F0000}"/>
    <cellStyle name="20% - Accent2 2 2 6 3 4" xfId="33648" xr:uid="{00000000-0005-0000-0000-00004F0F0000}"/>
    <cellStyle name="20% - Accent2 2 2 6 3 5" xfId="43373" xr:uid="{00000000-0005-0000-0000-0000500F0000}"/>
    <cellStyle name="20% - Accent2 2 2 6 3 6" xfId="14198" xr:uid="{00000000-0005-0000-0000-0000510F0000}"/>
    <cellStyle name="20% - Accent2 2 2 6 4" xfId="6094" xr:uid="{00000000-0005-0000-0000-0000520F0000}"/>
    <cellStyle name="20% - Accent2 2 2 6 4 2" xfId="25545" xr:uid="{00000000-0005-0000-0000-0000530F0000}"/>
    <cellStyle name="20% - Accent2 2 2 6 4 3" xfId="35270" xr:uid="{00000000-0005-0000-0000-0000540F0000}"/>
    <cellStyle name="20% - Accent2 2 2 6 4 4" xfId="44995" xr:uid="{00000000-0005-0000-0000-0000550F0000}"/>
    <cellStyle name="20% - Accent2 2 2 6 4 5" xfId="15820" xr:uid="{00000000-0005-0000-0000-0000560F0000}"/>
    <cellStyle name="20% - Accent2 2 2 6 5" xfId="20683" xr:uid="{00000000-0005-0000-0000-0000570F0000}"/>
    <cellStyle name="20% - Accent2 2 2 6 6" xfId="30408" xr:uid="{00000000-0005-0000-0000-0000580F0000}"/>
    <cellStyle name="20% - Accent2 2 2 6 7" xfId="40133" xr:uid="{00000000-0005-0000-0000-0000590F0000}"/>
    <cellStyle name="20% - Accent2 2 2 6 8" xfId="10958" xr:uid="{00000000-0005-0000-0000-00005A0F0000}"/>
    <cellStyle name="20% - Accent2 2 2 7" xfId="1321" xr:uid="{00000000-0005-0000-0000-00005B0F0000}"/>
    <cellStyle name="20% - Accent2 2 2 7 2" xfId="2942" xr:uid="{00000000-0005-0000-0000-00005C0F0000}"/>
    <cellStyle name="20% - Accent2 2 2 7 2 2" xfId="7804" xr:uid="{00000000-0005-0000-0000-00005D0F0000}"/>
    <cellStyle name="20% - Accent2 2 2 7 2 2 2" xfId="27255" xr:uid="{00000000-0005-0000-0000-00005E0F0000}"/>
    <cellStyle name="20% - Accent2 2 2 7 2 2 3" xfId="36980" xr:uid="{00000000-0005-0000-0000-00005F0F0000}"/>
    <cellStyle name="20% - Accent2 2 2 7 2 2 4" xfId="46705" xr:uid="{00000000-0005-0000-0000-0000600F0000}"/>
    <cellStyle name="20% - Accent2 2 2 7 2 2 5" xfId="17530" xr:uid="{00000000-0005-0000-0000-0000610F0000}"/>
    <cellStyle name="20% - Accent2 2 2 7 2 3" xfId="22393" xr:uid="{00000000-0005-0000-0000-0000620F0000}"/>
    <cellStyle name="20% - Accent2 2 2 7 2 4" xfId="32118" xr:uid="{00000000-0005-0000-0000-0000630F0000}"/>
    <cellStyle name="20% - Accent2 2 2 7 2 5" xfId="41843" xr:uid="{00000000-0005-0000-0000-0000640F0000}"/>
    <cellStyle name="20% - Accent2 2 2 7 2 6" xfId="12668" xr:uid="{00000000-0005-0000-0000-0000650F0000}"/>
    <cellStyle name="20% - Accent2 2 2 7 3" xfId="4562" xr:uid="{00000000-0005-0000-0000-0000660F0000}"/>
    <cellStyle name="20% - Accent2 2 2 7 3 2" xfId="9424" xr:uid="{00000000-0005-0000-0000-0000670F0000}"/>
    <cellStyle name="20% - Accent2 2 2 7 3 2 2" xfId="28875" xr:uid="{00000000-0005-0000-0000-0000680F0000}"/>
    <cellStyle name="20% - Accent2 2 2 7 3 2 3" xfId="38600" xr:uid="{00000000-0005-0000-0000-0000690F0000}"/>
    <cellStyle name="20% - Accent2 2 2 7 3 2 4" xfId="48325" xr:uid="{00000000-0005-0000-0000-00006A0F0000}"/>
    <cellStyle name="20% - Accent2 2 2 7 3 2 5" xfId="19150" xr:uid="{00000000-0005-0000-0000-00006B0F0000}"/>
    <cellStyle name="20% - Accent2 2 2 7 3 3" xfId="24013" xr:uid="{00000000-0005-0000-0000-00006C0F0000}"/>
    <cellStyle name="20% - Accent2 2 2 7 3 4" xfId="33738" xr:uid="{00000000-0005-0000-0000-00006D0F0000}"/>
    <cellStyle name="20% - Accent2 2 2 7 3 5" xfId="43463" xr:uid="{00000000-0005-0000-0000-00006E0F0000}"/>
    <cellStyle name="20% - Accent2 2 2 7 3 6" xfId="14288" xr:uid="{00000000-0005-0000-0000-00006F0F0000}"/>
    <cellStyle name="20% - Accent2 2 2 7 4" xfId="6184" xr:uid="{00000000-0005-0000-0000-0000700F0000}"/>
    <cellStyle name="20% - Accent2 2 2 7 4 2" xfId="25635" xr:uid="{00000000-0005-0000-0000-0000710F0000}"/>
    <cellStyle name="20% - Accent2 2 2 7 4 3" xfId="35360" xr:uid="{00000000-0005-0000-0000-0000720F0000}"/>
    <cellStyle name="20% - Accent2 2 2 7 4 4" xfId="45085" xr:uid="{00000000-0005-0000-0000-0000730F0000}"/>
    <cellStyle name="20% - Accent2 2 2 7 4 5" xfId="15910" xr:uid="{00000000-0005-0000-0000-0000740F0000}"/>
    <cellStyle name="20% - Accent2 2 2 7 5" xfId="20773" xr:uid="{00000000-0005-0000-0000-0000750F0000}"/>
    <cellStyle name="20% - Accent2 2 2 7 6" xfId="30498" xr:uid="{00000000-0005-0000-0000-0000760F0000}"/>
    <cellStyle name="20% - Accent2 2 2 7 7" xfId="40223" xr:uid="{00000000-0005-0000-0000-0000770F0000}"/>
    <cellStyle name="20% - Accent2 2 2 7 8" xfId="11048" xr:uid="{00000000-0005-0000-0000-0000780F0000}"/>
    <cellStyle name="20% - Accent2 2 2 8" xfId="492" xr:uid="{00000000-0005-0000-0000-0000790F0000}"/>
    <cellStyle name="20% - Accent2 2 2 8 2" xfId="2132" xr:uid="{00000000-0005-0000-0000-00007A0F0000}"/>
    <cellStyle name="20% - Accent2 2 2 8 2 2" xfId="6994" xr:uid="{00000000-0005-0000-0000-00007B0F0000}"/>
    <cellStyle name="20% - Accent2 2 2 8 2 2 2" xfId="26445" xr:uid="{00000000-0005-0000-0000-00007C0F0000}"/>
    <cellStyle name="20% - Accent2 2 2 8 2 2 3" xfId="36170" xr:uid="{00000000-0005-0000-0000-00007D0F0000}"/>
    <cellStyle name="20% - Accent2 2 2 8 2 2 4" xfId="45895" xr:uid="{00000000-0005-0000-0000-00007E0F0000}"/>
    <cellStyle name="20% - Accent2 2 2 8 2 2 5" xfId="16720" xr:uid="{00000000-0005-0000-0000-00007F0F0000}"/>
    <cellStyle name="20% - Accent2 2 2 8 2 3" xfId="21583" xr:uid="{00000000-0005-0000-0000-0000800F0000}"/>
    <cellStyle name="20% - Accent2 2 2 8 2 4" xfId="31308" xr:uid="{00000000-0005-0000-0000-0000810F0000}"/>
    <cellStyle name="20% - Accent2 2 2 8 2 5" xfId="41033" xr:uid="{00000000-0005-0000-0000-0000820F0000}"/>
    <cellStyle name="20% - Accent2 2 2 8 2 6" xfId="11858" xr:uid="{00000000-0005-0000-0000-0000830F0000}"/>
    <cellStyle name="20% - Accent2 2 2 8 3" xfId="3752" xr:uid="{00000000-0005-0000-0000-0000840F0000}"/>
    <cellStyle name="20% - Accent2 2 2 8 3 2" xfId="8614" xr:uid="{00000000-0005-0000-0000-0000850F0000}"/>
    <cellStyle name="20% - Accent2 2 2 8 3 2 2" xfId="28065" xr:uid="{00000000-0005-0000-0000-0000860F0000}"/>
    <cellStyle name="20% - Accent2 2 2 8 3 2 3" xfId="37790" xr:uid="{00000000-0005-0000-0000-0000870F0000}"/>
    <cellStyle name="20% - Accent2 2 2 8 3 2 4" xfId="47515" xr:uid="{00000000-0005-0000-0000-0000880F0000}"/>
    <cellStyle name="20% - Accent2 2 2 8 3 2 5" xfId="18340" xr:uid="{00000000-0005-0000-0000-0000890F0000}"/>
    <cellStyle name="20% - Accent2 2 2 8 3 3" xfId="23203" xr:uid="{00000000-0005-0000-0000-00008A0F0000}"/>
    <cellStyle name="20% - Accent2 2 2 8 3 4" xfId="32928" xr:uid="{00000000-0005-0000-0000-00008B0F0000}"/>
    <cellStyle name="20% - Accent2 2 2 8 3 5" xfId="42653" xr:uid="{00000000-0005-0000-0000-00008C0F0000}"/>
    <cellStyle name="20% - Accent2 2 2 8 3 6" xfId="13478" xr:uid="{00000000-0005-0000-0000-00008D0F0000}"/>
    <cellStyle name="20% - Accent2 2 2 8 4" xfId="5374" xr:uid="{00000000-0005-0000-0000-00008E0F0000}"/>
    <cellStyle name="20% - Accent2 2 2 8 4 2" xfId="24825" xr:uid="{00000000-0005-0000-0000-00008F0F0000}"/>
    <cellStyle name="20% - Accent2 2 2 8 4 3" xfId="34550" xr:uid="{00000000-0005-0000-0000-0000900F0000}"/>
    <cellStyle name="20% - Accent2 2 2 8 4 4" xfId="44275" xr:uid="{00000000-0005-0000-0000-0000910F0000}"/>
    <cellStyle name="20% - Accent2 2 2 8 4 5" xfId="15100" xr:uid="{00000000-0005-0000-0000-0000920F0000}"/>
    <cellStyle name="20% - Accent2 2 2 8 5" xfId="19963" xr:uid="{00000000-0005-0000-0000-0000930F0000}"/>
    <cellStyle name="20% - Accent2 2 2 8 6" xfId="29688" xr:uid="{00000000-0005-0000-0000-0000940F0000}"/>
    <cellStyle name="20% - Accent2 2 2 8 7" xfId="39413" xr:uid="{00000000-0005-0000-0000-0000950F0000}"/>
    <cellStyle name="20% - Accent2 2 2 8 8" xfId="10238" xr:uid="{00000000-0005-0000-0000-0000960F0000}"/>
    <cellStyle name="20% - Accent2 2 2 9" xfId="1681" xr:uid="{00000000-0005-0000-0000-0000970F0000}"/>
    <cellStyle name="20% - Accent2 2 2 9 2" xfId="3302" xr:uid="{00000000-0005-0000-0000-0000980F0000}"/>
    <cellStyle name="20% - Accent2 2 2 9 2 2" xfId="8164" xr:uid="{00000000-0005-0000-0000-0000990F0000}"/>
    <cellStyle name="20% - Accent2 2 2 9 2 2 2" xfId="27615" xr:uid="{00000000-0005-0000-0000-00009A0F0000}"/>
    <cellStyle name="20% - Accent2 2 2 9 2 2 3" xfId="37340" xr:uid="{00000000-0005-0000-0000-00009B0F0000}"/>
    <cellStyle name="20% - Accent2 2 2 9 2 2 4" xfId="47065" xr:uid="{00000000-0005-0000-0000-00009C0F0000}"/>
    <cellStyle name="20% - Accent2 2 2 9 2 2 5" xfId="17890" xr:uid="{00000000-0005-0000-0000-00009D0F0000}"/>
    <cellStyle name="20% - Accent2 2 2 9 2 3" xfId="22753" xr:uid="{00000000-0005-0000-0000-00009E0F0000}"/>
    <cellStyle name="20% - Accent2 2 2 9 2 4" xfId="32478" xr:uid="{00000000-0005-0000-0000-00009F0F0000}"/>
    <cellStyle name="20% - Accent2 2 2 9 2 5" xfId="42203" xr:uid="{00000000-0005-0000-0000-0000A00F0000}"/>
    <cellStyle name="20% - Accent2 2 2 9 2 6" xfId="13028" xr:uid="{00000000-0005-0000-0000-0000A10F0000}"/>
    <cellStyle name="20% - Accent2 2 2 9 3" xfId="4922" xr:uid="{00000000-0005-0000-0000-0000A20F0000}"/>
    <cellStyle name="20% - Accent2 2 2 9 3 2" xfId="9784" xr:uid="{00000000-0005-0000-0000-0000A30F0000}"/>
    <cellStyle name="20% - Accent2 2 2 9 3 2 2" xfId="29235" xr:uid="{00000000-0005-0000-0000-0000A40F0000}"/>
    <cellStyle name="20% - Accent2 2 2 9 3 2 3" xfId="38960" xr:uid="{00000000-0005-0000-0000-0000A50F0000}"/>
    <cellStyle name="20% - Accent2 2 2 9 3 2 4" xfId="48685" xr:uid="{00000000-0005-0000-0000-0000A60F0000}"/>
    <cellStyle name="20% - Accent2 2 2 9 3 2 5" xfId="19510" xr:uid="{00000000-0005-0000-0000-0000A70F0000}"/>
    <cellStyle name="20% - Accent2 2 2 9 3 3" xfId="24373" xr:uid="{00000000-0005-0000-0000-0000A80F0000}"/>
    <cellStyle name="20% - Accent2 2 2 9 3 4" xfId="34098" xr:uid="{00000000-0005-0000-0000-0000A90F0000}"/>
    <cellStyle name="20% - Accent2 2 2 9 3 5" xfId="43823" xr:uid="{00000000-0005-0000-0000-0000AA0F0000}"/>
    <cellStyle name="20% - Accent2 2 2 9 3 6" xfId="14648" xr:uid="{00000000-0005-0000-0000-0000AB0F0000}"/>
    <cellStyle name="20% - Accent2 2 2 9 4" xfId="6544" xr:uid="{00000000-0005-0000-0000-0000AC0F0000}"/>
    <cellStyle name="20% - Accent2 2 2 9 4 2" xfId="25995" xr:uid="{00000000-0005-0000-0000-0000AD0F0000}"/>
    <cellStyle name="20% - Accent2 2 2 9 4 3" xfId="35720" xr:uid="{00000000-0005-0000-0000-0000AE0F0000}"/>
    <cellStyle name="20% - Accent2 2 2 9 4 4" xfId="45445" xr:uid="{00000000-0005-0000-0000-0000AF0F0000}"/>
    <cellStyle name="20% - Accent2 2 2 9 4 5" xfId="16270" xr:uid="{00000000-0005-0000-0000-0000B00F0000}"/>
    <cellStyle name="20% - Accent2 2 2 9 5" xfId="21133" xr:uid="{00000000-0005-0000-0000-0000B10F0000}"/>
    <cellStyle name="20% - Accent2 2 2 9 6" xfId="30858" xr:uid="{00000000-0005-0000-0000-0000B20F0000}"/>
    <cellStyle name="20% - Accent2 2 2 9 7" xfId="40583" xr:uid="{00000000-0005-0000-0000-0000B30F0000}"/>
    <cellStyle name="20% - Accent2 2 2 9 8" xfId="11408" xr:uid="{00000000-0005-0000-0000-0000B40F0000}"/>
    <cellStyle name="20% - Accent2 2 3" xfId="118" xr:uid="{00000000-0005-0000-0000-0000B50F0000}"/>
    <cellStyle name="20% - Accent2 2 3 10" xfId="1802" xr:uid="{00000000-0005-0000-0000-0000B60F0000}"/>
    <cellStyle name="20% - Accent2 2 3 10 2" xfId="6664" xr:uid="{00000000-0005-0000-0000-0000B70F0000}"/>
    <cellStyle name="20% - Accent2 2 3 10 2 2" xfId="26115" xr:uid="{00000000-0005-0000-0000-0000B80F0000}"/>
    <cellStyle name="20% - Accent2 2 3 10 2 3" xfId="35840" xr:uid="{00000000-0005-0000-0000-0000B90F0000}"/>
    <cellStyle name="20% - Accent2 2 3 10 2 4" xfId="45565" xr:uid="{00000000-0005-0000-0000-0000BA0F0000}"/>
    <cellStyle name="20% - Accent2 2 3 10 2 5" xfId="16390" xr:uid="{00000000-0005-0000-0000-0000BB0F0000}"/>
    <cellStyle name="20% - Accent2 2 3 10 3" xfId="21253" xr:uid="{00000000-0005-0000-0000-0000BC0F0000}"/>
    <cellStyle name="20% - Accent2 2 3 10 4" xfId="30978" xr:uid="{00000000-0005-0000-0000-0000BD0F0000}"/>
    <cellStyle name="20% - Accent2 2 3 10 5" xfId="40703" xr:uid="{00000000-0005-0000-0000-0000BE0F0000}"/>
    <cellStyle name="20% - Accent2 2 3 10 6" xfId="11528" xr:uid="{00000000-0005-0000-0000-0000BF0F0000}"/>
    <cellStyle name="20% - Accent2 2 3 11" xfId="3422" xr:uid="{00000000-0005-0000-0000-0000C00F0000}"/>
    <cellStyle name="20% - Accent2 2 3 11 2" xfId="8284" xr:uid="{00000000-0005-0000-0000-0000C10F0000}"/>
    <cellStyle name="20% - Accent2 2 3 11 2 2" xfId="27735" xr:uid="{00000000-0005-0000-0000-0000C20F0000}"/>
    <cellStyle name="20% - Accent2 2 3 11 2 3" xfId="37460" xr:uid="{00000000-0005-0000-0000-0000C30F0000}"/>
    <cellStyle name="20% - Accent2 2 3 11 2 4" xfId="47185" xr:uid="{00000000-0005-0000-0000-0000C40F0000}"/>
    <cellStyle name="20% - Accent2 2 3 11 2 5" xfId="18010" xr:uid="{00000000-0005-0000-0000-0000C50F0000}"/>
    <cellStyle name="20% - Accent2 2 3 11 3" xfId="22873" xr:uid="{00000000-0005-0000-0000-0000C60F0000}"/>
    <cellStyle name="20% - Accent2 2 3 11 4" xfId="32598" xr:uid="{00000000-0005-0000-0000-0000C70F0000}"/>
    <cellStyle name="20% - Accent2 2 3 11 5" xfId="42323" xr:uid="{00000000-0005-0000-0000-0000C80F0000}"/>
    <cellStyle name="20% - Accent2 2 3 11 6" xfId="13148" xr:uid="{00000000-0005-0000-0000-0000C90F0000}"/>
    <cellStyle name="20% - Accent2 2 3 12" xfId="5044" xr:uid="{00000000-0005-0000-0000-0000CA0F0000}"/>
    <cellStyle name="20% - Accent2 2 3 12 2" xfId="24495" xr:uid="{00000000-0005-0000-0000-0000CB0F0000}"/>
    <cellStyle name="20% - Accent2 2 3 12 3" xfId="34220" xr:uid="{00000000-0005-0000-0000-0000CC0F0000}"/>
    <cellStyle name="20% - Accent2 2 3 12 4" xfId="43945" xr:uid="{00000000-0005-0000-0000-0000CD0F0000}"/>
    <cellStyle name="20% - Accent2 2 3 12 5" xfId="14770" xr:uid="{00000000-0005-0000-0000-0000CE0F0000}"/>
    <cellStyle name="20% - Accent2 2 3 13" xfId="19633" xr:uid="{00000000-0005-0000-0000-0000CF0F0000}"/>
    <cellStyle name="20% - Accent2 2 3 14" xfId="29358" xr:uid="{00000000-0005-0000-0000-0000D00F0000}"/>
    <cellStyle name="20% - Accent2 2 3 15" xfId="39083" xr:uid="{00000000-0005-0000-0000-0000D10F0000}"/>
    <cellStyle name="20% - Accent2 2 3 16" xfId="9908" xr:uid="{00000000-0005-0000-0000-0000D20F0000}"/>
    <cellStyle name="20% - Accent2 2 3 2" xfId="300" xr:uid="{00000000-0005-0000-0000-0000D30F0000}"/>
    <cellStyle name="20% - Accent2 2 3 2 10" xfId="39263" xr:uid="{00000000-0005-0000-0000-0000D40F0000}"/>
    <cellStyle name="20% - Accent2 2 3 2 11" xfId="10088" xr:uid="{00000000-0005-0000-0000-0000D50F0000}"/>
    <cellStyle name="20% - Accent2 2 3 2 2" xfId="1064" xr:uid="{00000000-0005-0000-0000-0000D60F0000}"/>
    <cellStyle name="20% - Accent2 2 3 2 2 2" xfId="2702" xr:uid="{00000000-0005-0000-0000-0000D70F0000}"/>
    <cellStyle name="20% - Accent2 2 3 2 2 2 2" xfId="7564" xr:uid="{00000000-0005-0000-0000-0000D80F0000}"/>
    <cellStyle name="20% - Accent2 2 3 2 2 2 2 2" xfId="27015" xr:uid="{00000000-0005-0000-0000-0000D90F0000}"/>
    <cellStyle name="20% - Accent2 2 3 2 2 2 2 3" xfId="36740" xr:uid="{00000000-0005-0000-0000-0000DA0F0000}"/>
    <cellStyle name="20% - Accent2 2 3 2 2 2 2 4" xfId="46465" xr:uid="{00000000-0005-0000-0000-0000DB0F0000}"/>
    <cellStyle name="20% - Accent2 2 3 2 2 2 2 5" xfId="17290" xr:uid="{00000000-0005-0000-0000-0000DC0F0000}"/>
    <cellStyle name="20% - Accent2 2 3 2 2 2 3" xfId="22153" xr:uid="{00000000-0005-0000-0000-0000DD0F0000}"/>
    <cellStyle name="20% - Accent2 2 3 2 2 2 4" xfId="31878" xr:uid="{00000000-0005-0000-0000-0000DE0F0000}"/>
    <cellStyle name="20% - Accent2 2 3 2 2 2 5" xfId="41603" xr:uid="{00000000-0005-0000-0000-0000DF0F0000}"/>
    <cellStyle name="20% - Accent2 2 3 2 2 2 6" xfId="12428" xr:uid="{00000000-0005-0000-0000-0000E00F0000}"/>
    <cellStyle name="20% - Accent2 2 3 2 2 3" xfId="4322" xr:uid="{00000000-0005-0000-0000-0000E10F0000}"/>
    <cellStyle name="20% - Accent2 2 3 2 2 3 2" xfId="9184" xr:uid="{00000000-0005-0000-0000-0000E20F0000}"/>
    <cellStyle name="20% - Accent2 2 3 2 2 3 2 2" xfId="28635" xr:uid="{00000000-0005-0000-0000-0000E30F0000}"/>
    <cellStyle name="20% - Accent2 2 3 2 2 3 2 3" xfId="38360" xr:uid="{00000000-0005-0000-0000-0000E40F0000}"/>
    <cellStyle name="20% - Accent2 2 3 2 2 3 2 4" xfId="48085" xr:uid="{00000000-0005-0000-0000-0000E50F0000}"/>
    <cellStyle name="20% - Accent2 2 3 2 2 3 2 5" xfId="18910" xr:uid="{00000000-0005-0000-0000-0000E60F0000}"/>
    <cellStyle name="20% - Accent2 2 3 2 2 3 3" xfId="23773" xr:uid="{00000000-0005-0000-0000-0000E70F0000}"/>
    <cellStyle name="20% - Accent2 2 3 2 2 3 4" xfId="33498" xr:uid="{00000000-0005-0000-0000-0000E80F0000}"/>
    <cellStyle name="20% - Accent2 2 3 2 2 3 5" xfId="43223" xr:uid="{00000000-0005-0000-0000-0000E90F0000}"/>
    <cellStyle name="20% - Accent2 2 3 2 2 3 6" xfId="14048" xr:uid="{00000000-0005-0000-0000-0000EA0F0000}"/>
    <cellStyle name="20% - Accent2 2 3 2 2 4" xfId="5944" xr:uid="{00000000-0005-0000-0000-0000EB0F0000}"/>
    <cellStyle name="20% - Accent2 2 3 2 2 4 2" xfId="25395" xr:uid="{00000000-0005-0000-0000-0000EC0F0000}"/>
    <cellStyle name="20% - Accent2 2 3 2 2 4 3" xfId="35120" xr:uid="{00000000-0005-0000-0000-0000ED0F0000}"/>
    <cellStyle name="20% - Accent2 2 3 2 2 4 4" xfId="44845" xr:uid="{00000000-0005-0000-0000-0000EE0F0000}"/>
    <cellStyle name="20% - Accent2 2 3 2 2 4 5" xfId="15670" xr:uid="{00000000-0005-0000-0000-0000EF0F0000}"/>
    <cellStyle name="20% - Accent2 2 3 2 2 5" xfId="20533" xr:uid="{00000000-0005-0000-0000-0000F00F0000}"/>
    <cellStyle name="20% - Accent2 2 3 2 2 6" xfId="30258" xr:uid="{00000000-0005-0000-0000-0000F10F0000}"/>
    <cellStyle name="20% - Accent2 2 3 2 2 7" xfId="39983" xr:uid="{00000000-0005-0000-0000-0000F20F0000}"/>
    <cellStyle name="20% - Accent2 2 3 2 2 8" xfId="10808" xr:uid="{00000000-0005-0000-0000-0000F30F0000}"/>
    <cellStyle name="20% - Accent2 2 3 2 3" xfId="1531" xr:uid="{00000000-0005-0000-0000-0000F40F0000}"/>
    <cellStyle name="20% - Accent2 2 3 2 3 2" xfId="3152" xr:uid="{00000000-0005-0000-0000-0000F50F0000}"/>
    <cellStyle name="20% - Accent2 2 3 2 3 2 2" xfId="8014" xr:uid="{00000000-0005-0000-0000-0000F60F0000}"/>
    <cellStyle name="20% - Accent2 2 3 2 3 2 2 2" xfId="27465" xr:uid="{00000000-0005-0000-0000-0000F70F0000}"/>
    <cellStyle name="20% - Accent2 2 3 2 3 2 2 3" xfId="37190" xr:uid="{00000000-0005-0000-0000-0000F80F0000}"/>
    <cellStyle name="20% - Accent2 2 3 2 3 2 2 4" xfId="46915" xr:uid="{00000000-0005-0000-0000-0000F90F0000}"/>
    <cellStyle name="20% - Accent2 2 3 2 3 2 2 5" xfId="17740" xr:uid="{00000000-0005-0000-0000-0000FA0F0000}"/>
    <cellStyle name="20% - Accent2 2 3 2 3 2 3" xfId="22603" xr:uid="{00000000-0005-0000-0000-0000FB0F0000}"/>
    <cellStyle name="20% - Accent2 2 3 2 3 2 4" xfId="32328" xr:uid="{00000000-0005-0000-0000-0000FC0F0000}"/>
    <cellStyle name="20% - Accent2 2 3 2 3 2 5" xfId="42053" xr:uid="{00000000-0005-0000-0000-0000FD0F0000}"/>
    <cellStyle name="20% - Accent2 2 3 2 3 2 6" xfId="12878" xr:uid="{00000000-0005-0000-0000-0000FE0F0000}"/>
    <cellStyle name="20% - Accent2 2 3 2 3 3" xfId="4772" xr:uid="{00000000-0005-0000-0000-0000FF0F0000}"/>
    <cellStyle name="20% - Accent2 2 3 2 3 3 2" xfId="9634" xr:uid="{00000000-0005-0000-0000-000000100000}"/>
    <cellStyle name="20% - Accent2 2 3 2 3 3 2 2" xfId="29085" xr:uid="{00000000-0005-0000-0000-000001100000}"/>
    <cellStyle name="20% - Accent2 2 3 2 3 3 2 3" xfId="38810" xr:uid="{00000000-0005-0000-0000-000002100000}"/>
    <cellStyle name="20% - Accent2 2 3 2 3 3 2 4" xfId="48535" xr:uid="{00000000-0005-0000-0000-000003100000}"/>
    <cellStyle name="20% - Accent2 2 3 2 3 3 2 5" xfId="19360" xr:uid="{00000000-0005-0000-0000-000004100000}"/>
    <cellStyle name="20% - Accent2 2 3 2 3 3 3" xfId="24223" xr:uid="{00000000-0005-0000-0000-000005100000}"/>
    <cellStyle name="20% - Accent2 2 3 2 3 3 4" xfId="33948" xr:uid="{00000000-0005-0000-0000-000006100000}"/>
    <cellStyle name="20% - Accent2 2 3 2 3 3 5" xfId="43673" xr:uid="{00000000-0005-0000-0000-000007100000}"/>
    <cellStyle name="20% - Accent2 2 3 2 3 3 6" xfId="14498" xr:uid="{00000000-0005-0000-0000-000008100000}"/>
    <cellStyle name="20% - Accent2 2 3 2 3 4" xfId="6394" xr:uid="{00000000-0005-0000-0000-000009100000}"/>
    <cellStyle name="20% - Accent2 2 3 2 3 4 2" xfId="25845" xr:uid="{00000000-0005-0000-0000-00000A100000}"/>
    <cellStyle name="20% - Accent2 2 3 2 3 4 3" xfId="35570" xr:uid="{00000000-0005-0000-0000-00000B100000}"/>
    <cellStyle name="20% - Accent2 2 3 2 3 4 4" xfId="45295" xr:uid="{00000000-0005-0000-0000-00000C100000}"/>
    <cellStyle name="20% - Accent2 2 3 2 3 4 5" xfId="16120" xr:uid="{00000000-0005-0000-0000-00000D100000}"/>
    <cellStyle name="20% - Accent2 2 3 2 3 5" xfId="20983" xr:uid="{00000000-0005-0000-0000-00000E100000}"/>
    <cellStyle name="20% - Accent2 2 3 2 3 6" xfId="30708" xr:uid="{00000000-0005-0000-0000-00000F100000}"/>
    <cellStyle name="20% - Accent2 2 3 2 3 7" xfId="40433" xr:uid="{00000000-0005-0000-0000-000010100000}"/>
    <cellStyle name="20% - Accent2 2 3 2 3 8" xfId="11258" xr:uid="{00000000-0005-0000-0000-000011100000}"/>
    <cellStyle name="20% - Accent2 2 3 2 4" xfId="702" xr:uid="{00000000-0005-0000-0000-000012100000}"/>
    <cellStyle name="20% - Accent2 2 3 2 4 2" xfId="2342" xr:uid="{00000000-0005-0000-0000-000013100000}"/>
    <cellStyle name="20% - Accent2 2 3 2 4 2 2" xfId="7204" xr:uid="{00000000-0005-0000-0000-000014100000}"/>
    <cellStyle name="20% - Accent2 2 3 2 4 2 2 2" xfId="26655" xr:uid="{00000000-0005-0000-0000-000015100000}"/>
    <cellStyle name="20% - Accent2 2 3 2 4 2 2 3" xfId="36380" xr:uid="{00000000-0005-0000-0000-000016100000}"/>
    <cellStyle name="20% - Accent2 2 3 2 4 2 2 4" xfId="46105" xr:uid="{00000000-0005-0000-0000-000017100000}"/>
    <cellStyle name="20% - Accent2 2 3 2 4 2 2 5" xfId="16930" xr:uid="{00000000-0005-0000-0000-000018100000}"/>
    <cellStyle name="20% - Accent2 2 3 2 4 2 3" xfId="21793" xr:uid="{00000000-0005-0000-0000-000019100000}"/>
    <cellStyle name="20% - Accent2 2 3 2 4 2 4" xfId="31518" xr:uid="{00000000-0005-0000-0000-00001A100000}"/>
    <cellStyle name="20% - Accent2 2 3 2 4 2 5" xfId="41243" xr:uid="{00000000-0005-0000-0000-00001B100000}"/>
    <cellStyle name="20% - Accent2 2 3 2 4 2 6" xfId="12068" xr:uid="{00000000-0005-0000-0000-00001C100000}"/>
    <cellStyle name="20% - Accent2 2 3 2 4 3" xfId="3962" xr:uid="{00000000-0005-0000-0000-00001D100000}"/>
    <cellStyle name="20% - Accent2 2 3 2 4 3 2" xfId="8824" xr:uid="{00000000-0005-0000-0000-00001E100000}"/>
    <cellStyle name="20% - Accent2 2 3 2 4 3 2 2" xfId="28275" xr:uid="{00000000-0005-0000-0000-00001F100000}"/>
    <cellStyle name="20% - Accent2 2 3 2 4 3 2 3" xfId="38000" xr:uid="{00000000-0005-0000-0000-000020100000}"/>
    <cellStyle name="20% - Accent2 2 3 2 4 3 2 4" xfId="47725" xr:uid="{00000000-0005-0000-0000-000021100000}"/>
    <cellStyle name="20% - Accent2 2 3 2 4 3 2 5" xfId="18550" xr:uid="{00000000-0005-0000-0000-000022100000}"/>
    <cellStyle name="20% - Accent2 2 3 2 4 3 3" xfId="23413" xr:uid="{00000000-0005-0000-0000-000023100000}"/>
    <cellStyle name="20% - Accent2 2 3 2 4 3 4" xfId="33138" xr:uid="{00000000-0005-0000-0000-000024100000}"/>
    <cellStyle name="20% - Accent2 2 3 2 4 3 5" xfId="42863" xr:uid="{00000000-0005-0000-0000-000025100000}"/>
    <cellStyle name="20% - Accent2 2 3 2 4 3 6" xfId="13688" xr:uid="{00000000-0005-0000-0000-000026100000}"/>
    <cellStyle name="20% - Accent2 2 3 2 4 4" xfId="5584" xr:uid="{00000000-0005-0000-0000-000027100000}"/>
    <cellStyle name="20% - Accent2 2 3 2 4 4 2" xfId="25035" xr:uid="{00000000-0005-0000-0000-000028100000}"/>
    <cellStyle name="20% - Accent2 2 3 2 4 4 3" xfId="34760" xr:uid="{00000000-0005-0000-0000-000029100000}"/>
    <cellStyle name="20% - Accent2 2 3 2 4 4 4" xfId="44485" xr:uid="{00000000-0005-0000-0000-00002A100000}"/>
    <cellStyle name="20% - Accent2 2 3 2 4 4 5" xfId="15310" xr:uid="{00000000-0005-0000-0000-00002B100000}"/>
    <cellStyle name="20% - Accent2 2 3 2 4 5" xfId="20173" xr:uid="{00000000-0005-0000-0000-00002C100000}"/>
    <cellStyle name="20% - Accent2 2 3 2 4 6" xfId="29898" xr:uid="{00000000-0005-0000-0000-00002D100000}"/>
    <cellStyle name="20% - Accent2 2 3 2 4 7" xfId="39623" xr:uid="{00000000-0005-0000-0000-00002E100000}"/>
    <cellStyle name="20% - Accent2 2 3 2 4 8" xfId="10448" xr:uid="{00000000-0005-0000-0000-00002F100000}"/>
    <cellStyle name="20% - Accent2 2 3 2 5" xfId="1982" xr:uid="{00000000-0005-0000-0000-000030100000}"/>
    <cellStyle name="20% - Accent2 2 3 2 5 2" xfId="6844" xr:uid="{00000000-0005-0000-0000-000031100000}"/>
    <cellStyle name="20% - Accent2 2 3 2 5 2 2" xfId="26295" xr:uid="{00000000-0005-0000-0000-000032100000}"/>
    <cellStyle name="20% - Accent2 2 3 2 5 2 3" xfId="36020" xr:uid="{00000000-0005-0000-0000-000033100000}"/>
    <cellStyle name="20% - Accent2 2 3 2 5 2 4" xfId="45745" xr:uid="{00000000-0005-0000-0000-000034100000}"/>
    <cellStyle name="20% - Accent2 2 3 2 5 2 5" xfId="16570" xr:uid="{00000000-0005-0000-0000-000035100000}"/>
    <cellStyle name="20% - Accent2 2 3 2 5 3" xfId="21433" xr:uid="{00000000-0005-0000-0000-000036100000}"/>
    <cellStyle name="20% - Accent2 2 3 2 5 4" xfId="31158" xr:uid="{00000000-0005-0000-0000-000037100000}"/>
    <cellStyle name="20% - Accent2 2 3 2 5 5" xfId="40883" xr:uid="{00000000-0005-0000-0000-000038100000}"/>
    <cellStyle name="20% - Accent2 2 3 2 5 6" xfId="11708" xr:uid="{00000000-0005-0000-0000-000039100000}"/>
    <cellStyle name="20% - Accent2 2 3 2 6" xfId="3602" xr:uid="{00000000-0005-0000-0000-00003A100000}"/>
    <cellStyle name="20% - Accent2 2 3 2 6 2" xfId="8464" xr:uid="{00000000-0005-0000-0000-00003B100000}"/>
    <cellStyle name="20% - Accent2 2 3 2 6 2 2" xfId="27915" xr:uid="{00000000-0005-0000-0000-00003C100000}"/>
    <cellStyle name="20% - Accent2 2 3 2 6 2 3" xfId="37640" xr:uid="{00000000-0005-0000-0000-00003D100000}"/>
    <cellStyle name="20% - Accent2 2 3 2 6 2 4" xfId="47365" xr:uid="{00000000-0005-0000-0000-00003E100000}"/>
    <cellStyle name="20% - Accent2 2 3 2 6 2 5" xfId="18190" xr:uid="{00000000-0005-0000-0000-00003F100000}"/>
    <cellStyle name="20% - Accent2 2 3 2 6 3" xfId="23053" xr:uid="{00000000-0005-0000-0000-000040100000}"/>
    <cellStyle name="20% - Accent2 2 3 2 6 4" xfId="32778" xr:uid="{00000000-0005-0000-0000-000041100000}"/>
    <cellStyle name="20% - Accent2 2 3 2 6 5" xfId="42503" xr:uid="{00000000-0005-0000-0000-000042100000}"/>
    <cellStyle name="20% - Accent2 2 3 2 6 6" xfId="13328" xr:uid="{00000000-0005-0000-0000-000043100000}"/>
    <cellStyle name="20% - Accent2 2 3 2 7" xfId="5224" xr:uid="{00000000-0005-0000-0000-000044100000}"/>
    <cellStyle name="20% - Accent2 2 3 2 7 2" xfId="24675" xr:uid="{00000000-0005-0000-0000-000045100000}"/>
    <cellStyle name="20% - Accent2 2 3 2 7 3" xfId="34400" xr:uid="{00000000-0005-0000-0000-000046100000}"/>
    <cellStyle name="20% - Accent2 2 3 2 7 4" xfId="44125" xr:uid="{00000000-0005-0000-0000-000047100000}"/>
    <cellStyle name="20% - Accent2 2 3 2 7 5" xfId="14950" xr:uid="{00000000-0005-0000-0000-000048100000}"/>
    <cellStyle name="20% - Accent2 2 3 2 8" xfId="19813" xr:uid="{00000000-0005-0000-0000-000049100000}"/>
    <cellStyle name="20% - Accent2 2 3 2 9" xfId="29538" xr:uid="{00000000-0005-0000-0000-00004A100000}"/>
    <cellStyle name="20% - Accent2 2 3 3" xfId="391" xr:uid="{00000000-0005-0000-0000-00004B100000}"/>
    <cellStyle name="20% - Accent2 2 3 3 10" xfId="39353" xr:uid="{00000000-0005-0000-0000-00004C100000}"/>
    <cellStyle name="20% - Accent2 2 3 3 11" xfId="10178" xr:uid="{00000000-0005-0000-0000-00004D100000}"/>
    <cellStyle name="20% - Accent2 2 3 3 2" xfId="1154" xr:uid="{00000000-0005-0000-0000-00004E100000}"/>
    <cellStyle name="20% - Accent2 2 3 3 2 2" xfId="2792" xr:uid="{00000000-0005-0000-0000-00004F100000}"/>
    <cellStyle name="20% - Accent2 2 3 3 2 2 2" xfId="7654" xr:uid="{00000000-0005-0000-0000-000050100000}"/>
    <cellStyle name="20% - Accent2 2 3 3 2 2 2 2" xfId="27105" xr:uid="{00000000-0005-0000-0000-000051100000}"/>
    <cellStyle name="20% - Accent2 2 3 3 2 2 2 3" xfId="36830" xr:uid="{00000000-0005-0000-0000-000052100000}"/>
    <cellStyle name="20% - Accent2 2 3 3 2 2 2 4" xfId="46555" xr:uid="{00000000-0005-0000-0000-000053100000}"/>
    <cellStyle name="20% - Accent2 2 3 3 2 2 2 5" xfId="17380" xr:uid="{00000000-0005-0000-0000-000054100000}"/>
    <cellStyle name="20% - Accent2 2 3 3 2 2 3" xfId="22243" xr:uid="{00000000-0005-0000-0000-000055100000}"/>
    <cellStyle name="20% - Accent2 2 3 3 2 2 4" xfId="31968" xr:uid="{00000000-0005-0000-0000-000056100000}"/>
    <cellStyle name="20% - Accent2 2 3 3 2 2 5" xfId="41693" xr:uid="{00000000-0005-0000-0000-000057100000}"/>
    <cellStyle name="20% - Accent2 2 3 3 2 2 6" xfId="12518" xr:uid="{00000000-0005-0000-0000-000058100000}"/>
    <cellStyle name="20% - Accent2 2 3 3 2 3" xfId="4412" xr:uid="{00000000-0005-0000-0000-000059100000}"/>
    <cellStyle name="20% - Accent2 2 3 3 2 3 2" xfId="9274" xr:uid="{00000000-0005-0000-0000-00005A100000}"/>
    <cellStyle name="20% - Accent2 2 3 3 2 3 2 2" xfId="28725" xr:uid="{00000000-0005-0000-0000-00005B100000}"/>
    <cellStyle name="20% - Accent2 2 3 3 2 3 2 3" xfId="38450" xr:uid="{00000000-0005-0000-0000-00005C100000}"/>
    <cellStyle name="20% - Accent2 2 3 3 2 3 2 4" xfId="48175" xr:uid="{00000000-0005-0000-0000-00005D100000}"/>
    <cellStyle name="20% - Accent2 2 3 3 2 3 2 5" xfId="19000" xr:uid="{00000000-0005-0000-0000-00005E100000}"/>
    <cellStyle name="20% - Accent2 2 3 3 2 3 3" xfId="23863" xr:uid="{00000000-0005-0000-0000-00005F100000}"/>
    <cellStyle name="20% - Accent2 2 3 3 2 3 4" xfId="33588" xr:uid="{00000000-0005-0000-0000-000060100000}"/>
    <cellStyle name="20% - Accent2 2 3 3 2 3 5" xfId="43313" xr:uid="{00000000-0005-0000-0000-000061100000}"/>
    <cellStyle name="20% - Accent2 2 3 3 2 3 6" xfId="14138" xr:uid="{00000000-0005-0000-0000-000062100000}"/>
    <cellStyle name="20% - Accent2 2 3 3 2 4" xfId="6034" xr:uid="{00000000-0005-0000-0000-000063100000}"/>
    <cellStyle name="20% - Accent2 2 3 3 2 4 2" xfId="25485" xr:uid="{00000000-0005-0000-0000-000064100000}"/>
    <cellStyle name="20% - Accent2 2 3 3 2 4 3" xfId="35210" xr:uid="{00000000-0005-0000-0000-000065100000}"/>
    <cellStyle name="20% - Accent2 2 3 3 2 4 4" xfId="44935" xr:uid="{00000000-0005-0000-0000-000066100000}"/>
    <cellStyle name="20% - Accent2 2 3 3 2 4 5" xfId="15760" xr:uid="{00000000-0005-0000-0000-000067100000}"/>
    <cellStyle name="20% - Accent2 2 3 3 2 5" xfId="20623" xr:uid="{00000000-0005-0000-0000-000068100000}"/>
    <cellStyle name="20% - Accent2 2 3 3 2 6" xfId="30348" xr:uid="{00000000-0005-0000-0000-000069100000}"/>
    <cellStyle name="20% - Accent2 2 3 3 2 7" xfId="40073" xr:uid="{00000000-0005-0000-0000-00006A100000}"/>
    <cellStyle name="20% - Accent2 2 3 3 2 8" xfId="10898" xr:uid="{00000000-0005-0000-0000-00006B100000}"/>
    <cellStyle name="20% - Accent2 2 3 3 3" xfId="1621" xr:uid="{00000000-0005-0000-0000-00006C100000}"/>
    <cellStyle name="20% - Accent2 2 3 3 3 2" xfId="3242" xr:uid="{00000000-0005-0000-0000-00006D100000}"/>
    <cellStyle name="20% - Accent2 2 3 3 3 2 2" xfId="8104" xr:uid="{00000000-0005-0000-0000-00006E100000}"/>
    <cellStyle name="20% - Accent2 2 3 3 3 2 2 2" xfId="27555" xr:uid="{00000000-0005-0000-0000-00006F100000}"/>
    <cellStyle name="20% - Accent2 2 3 3 3 2 2 3" xfId="37280" xr:uid="{00000000-0005-0000-0000-000070100000}"/>
    <cellStyle name="20% - Accent2 2 3 3 3 2 2 4" xfId="47005" xr:uid="{00000000-0005-0000-0000-000071100000}"/>
    <cellStyle name="20% - Accent2 2 3 3 3 2 2 5" xfId="17830" xr:uid="{00000000-0005-0000-0000-000072100000}"/>
    <cellStyle name="20% - Accent2 2 3 3 3 2 3" xfId="22693" xr:uid="{00000000-0005-0000-0000-000073100000}"/>
    <cellStyle name="20% - Accent2 2 3 3 3 2 4" xfId="32418" xr:uid="{00000000-0005-0000-0000-000074100000}"/>
    <cellStyle name="20% - Accent2 2 3 3 3 2 5" xfId="42143" xr:uid="{00000000-0005-0000-0000-000075100000}"/>
    <cellStyle name="20% - Accent2 2 3 3 3 2 6" xfId="12968" xr:uid="{00000000-0005-0000-0000-000076100000}"/>
    <cellStyle name="20% - Accent2 2 3 3 3 3" xfId="4862" xr:uid="{00000000-0005-0000-0000-000077100000}"/>
    <cellStyle name="20% - Accent2 2 3 3 3 3 2" xfId="9724" xr:uid="{00000000-0005-0000-0000-000078100000}"/>
    <cellStyle name="20% - Accent2 2 3 3 3 3 2 2" xfId="29175" xr:uid="{00000000-0005-0000-0000-000079100000}"/>
    <cellStyle name="20% - Accent2 2 3 3 3 3 2 3" xfId="38900" xr:uid="{00000000-0005-0000-0000-00007A100000}"/>
    <cellStyle name="20% - Accent2 2 3 3 3 3 2 4" xfId="48625" xr:uid="{00000000-0005-0000-0000-00007B100000}"/>
    <cellStyle name="20% - Accent2 2 3 3 3 3 2 5" xfId="19450" xr:uid="{00000000-0005-0000-0000-00007C100000}"/>
    <cellStyle name="20% - Accent2 2 3 3 3 3 3" xfId="24313" xr:uid="{00000000-0005-0000-0000-00007D100000}"/>
    <cellStyle name="20% - Accent2 2 3 3 3 3 4" xfId="34038" xr:uid="{00000000-0005-0000-0000-00007E100000}"/>
    <cellStyle name="20% - Accent2 2 3 3 3 3 5" xfId="43763" xr:uid="{00000000-0005-0000-0000-00007F100000}"/>
    <cellStyle name="20% - Accent2 2 3 3 3 3 6" xfId="14588" xr:uid="{00000000-0005-0000-0000-000080100000}"/>
    <cellStyle name="20% - Accent2 2 3 3 3 4" xfId="6484" xr:uid="{00000000-0005-0000-0000-000081100000}"/>
    <cellStyle name="20% - Accent2 2 3 3 3 4 2" xfId="25935" xr:uid="{00000000-0005-0000-0000-000082100000}"/>
    <cellStyle name="20% - Accent2 2 3 3 3 4 3" xfId="35660" xr:uid="{00000000-0005-0000-0000-000083100000}"/>
    <cellStyle name="20% - Accent2 2 3 3 3 4 4" xfId="45385" xr:uid="{00000000-0005-0000-0000-000084100000}"/>
    <cellStyle name="20% - Accent2 2 3 3 3 4 5" xfId="16210" xr:uid="{00000000-0005-0000-0000-000085100000}"/>
    <cellStyle name="20% - Accent2 2 3 3 3 5" xfId="21073" xr:uid="{00000000-0005-0000-0000-000086100000}"/>
    <cellStyle name="20% - Accent2 2 3 3 3 6" xfId="30798" xr:uid="{00000000-0005-0000-0000-000087100000}"/>
    <cellStyle name="20% - Accent2 2 3 3 3 7" xfId="40523" xr:uid="{00000000-0005-0000-0000-000088100000}"/>
    <cellStyle name="20% - Accent2 2 3 3 3 8" xfId="11348" xr:uid="{00000000-0005-0000-0000-000089100000}"/>
    <cellStyle name="20% - Accent2 2 3 3 4" xfId="792" xr:uid="{00000000-0005-0000-0000-00008A100000}"/>
    <cellStyle name="20% - Accent2 2 3 3 4 2" xfId="2432" xr:uid="{00000000-0005-0000-0000-00008B100000}"/>
    <cellStyle name="20% - Accent2 2 3 3 4 2 2" xfId="7294" xr:uid="{00000000-0005-0000-0000-00008C100000}"/>
    <cellStyle name="20% - Accent2 2 3 3 4 2 2 2" xfId="26745" xr:uid="{00000000-0005-0000-0000-00008D100000}"/>
    <cellStyle name="20% - Accent2 2 3 3 4 2 2 3" xfId="36470" xr:uid="{00000000-0005-0000-0000-00008E100000}"/>
    <cellStyle name="20% - Accent2 2 3 3 4 2 2 4" xfId="46195" xr:uid="{00000000-0005-0000-0000-00008F100000}"/>
    <cellStyle name="20% - Accent2 2 3 3 4 2 2 5" xfId="17020" xr:uid="{00000000-0005-0000-0000-000090100000}"/>
    <cellStyle name="20% - Accent2 2 3 3 4 2 3" xfId="21883" xr:uid="{00000000-0005-0000-0000-000091100000}"/>
    <cellStyle name="20% - Accent2 2 3 3 4 2 4" xfId="31608" xr:uid="{00000000-0005-0000-0000-000092100000}"/>
    <cellStyle name="20% - Accent2 2 3 3 4 2 5" xfId="41333" xr:uid="{00000000-0005-0000-0000-000093100000}"/>
    <cellStyle name="20% - Accent2 2 3 3 4 2 6" xfId="12158" xr:uid="{00000000-0005-0000-0000-000094100000}"/>
    <cellStyle name="20% - Accent2 2 3 3 4 3" xfId="4052" xr:uid="{00000000-0005-0000-0000-000095100000}"/>
    <cellStyle name="20% - Accent2 2 3 3 4 3 2" xfId="8914" xr:uid="{00000000-0005-0000-0000-000096100000}"/>
    <cellStyle name="20% - Accent2 2 3 3 4 3 2 2" xfId="28365" xr:uid="{00000000-0005-0000-0000-000097100000}"/>
    <cellStyle name="20% - Accent2 2 3 3 4 3 2 3" xfId="38090" xr:uid="{00000000-0005-0000-0000-000098100000}"/>
    <cellStyle name="20% - Accent2 2 3 3 4 3 2 4" xfId="47815" xr:uid="{00000000-0005-0000-0000-000099100000}"/>
    <cellStyle name="20% - Accent2 2 3 3 4 3 2 5" xfId="18640" xr:uid="{00000000-0005-0000-0000-00009A100000}"/>
    <cellStyle name="20% - Accent2 2 3 3 4 3 3" xfId="23503" xr:uid="{00000000-0005-0000-0000-00009B100000}"/>
    <cellStyle name="20% - Accent2 2 3 3 4 3 4" xfId="33228" xr:uid="{00000000-0005-0000-0000-00009C100000}"/>
    <cellStyle name="20% - Accent2 2 3 3 4 3 5" xfId="42953" xr:uid="{00000000-0005-0000-0000-00009D100000}"/>
    <cellStyle name="20% - Accent2 2 3 3 4 3 6" xfId="13778" xr:uid="{00000000-0005-0000-0000-00009E100000}"/>
    <cellStyle name="20% - Accent2 2 3 3 4 4" xfId="5674" xr:uid="{00000000-0005-0000-0000-00009F100000}"/>
    <cellStyle name="20% - Accent2 2 3 3 4 4 2" xfId="25125" xr:uid="{00000000-0005-0000-0000-0000A0100000}"/>
    <cellStyle name="20% - Accent2 2 3 3 4 4 3" xfId="34850" xr:uid="{00000000-0005-0000-0000-0000A1100000}"/>
    <cellStyle name="20% - Accent2 2 3 3 4 4 4" xfId="44575" xr:uid="{00000000-0005-0000-0000-0000A2100000}"/>
    <cellStyle name="20% - Accent2 2 3 3 4 4 5" xfId="15400" xr:uid="{00000000-0005-0000-0000-0000A3100000}"/>
    <cellStyle name="20% - Accent2 2 3 3 4 5" xfId="20263" xr:uid="{00000000-0005-0000-0000-0000A4100000}"/>
    <cellStyle name="20% - Accent2 2 3 3 4 6" xfId="29988" xr:uid="{00000000-0005-0000-0000-0000A5100000}"/>
    <cellStyle name="20% - Accent2 2 3 3 4 7" xfId="39713" xr:uid="{00000000-0005-0000-0000-0000A6100000}"/>
    <cellStyle name="20% - Accent2 2 3 3 4 8" xfId="10538" xr:uid="{00000000-0005-0000-0000-0000A7100000}"/>
    <cellStyle name="20% - Accent2 2 3 3 5" xfId="2072" xr:uid="{00000000-0005-0000-0000-0000A8100000}"/>
    <cellStyle name="20% - Accent2 2 3 3 5 2" xfId="6934" xr:uid="{00000000-0005-0000-0000-0000A9100000}"/>
    <cellStyle name="20% - Accent2 2 3 3 5 2 2" xfId="26385" xr:uid="{00000000-0005-0000-0000-0000AA100000}"/>
    <cellStyle name="20% - Accent2 2 3 3 5 2 3" xfId="36110" xr:uid="{00000000-0005-0000-0000-0000AB100000}"/>
    <cellStyle name="20% - Accent2 2 3 3 5 2 4" xfId="45835" xr:uid="{00000000-0005-0000-0000-0000AC100000}"/>
    <cellStyle name="20% - Accent2 2 3 3 5 2 5" xfId="16660" xr:uid="{00000000-0005-0000-0000-0000AD100000}"/>
    <cellStyle name="20% - Accent2 2 3 3 5 3" xfId="21523" xr:uid="{00000000-0005-0000-0000-0000AE100000}"/>
    <cellStyle name="20% - Accent2 2 3 3 5 4" xfId="31248" xr:uid="{00000000-0005-0000-0000-0000AF100000}"/>
    <cellStyle name="20% - Accent2 2 3 3 5 5" xfId="40973" xr:uid="{00000000-0005-0000-0000-0000B0100000}"/>
    <cellStyle name="20% - Accent2 2 3 3 5 6" xfId="11798" xr:uid="{00000000-0005-0000-0000-0000B1100000}"/>
    <cellStyle name="20% - Accent2 2 3 3 6" xfId="3692" xr:uid="{00000000-0005-0000-0000-0000B2100000}"/>
    <cellStyle name="20% - Accent2 2 3 3 6 2" xfId="8554" xr:uid="{00000000-0005-0000-0000-0000B3100000}"/>
    <cellStyle name="20% - Accent2 2 3 3 6 2 2" xfId="28005" xr:uid="{00000000-0005-0000-0000-0000B4100000}"/>
    <cellStyle name="20% - Accent2 2 3 3 6 2 3" xfId="37730" xr:uid="{00000000-0005-0000-0000-0000B5100000}"/>
    <cellStyle name="20% - Accent2 2 3 3 6 2 4" xfId="47455" xr:uid="{00000000-0005-0000-0000-0000B6100000}"/>
    <cellStyle name="20% - Accent2 2 3 3 6 2 5" xfId="18280" xr:uid="{00000000-0005-0000-0000-0000B7100000}"/>
    <cellStyle name="20% - Accent2 2 3 3 6 3" xfId="23143" xr:uid="{00000000-0005-0000-0000-0000B8100000}"/>
    <cellStyle name="20% - Accent2 2 3 3 6 4" xfId="32868" xr:uid="{00000000-0005-0000-0000-0000B9100000}"/>
    <cellStyle name="20% - Accent2 2 3 3 6 5" xfId="42593" xr:uid="{00000000-0005-0000-0000-0000BA100000}"/>
    <cellStyle name="20% - Accent2 2 3 3 6 6" xfId="13418" xr:uid="{00000000-0005-0000-0000-0000BB100000}"/>
    <cellStyle name="20% - Accent2 2 3 3 7" xfId="5314" xr:uid="{00000000-0005-0000-0000-0000BC100000}"/>
    <cellStyle name="20% - Accent2 2 3 3 7 2" xfId="24765" xr:uid="{00000000-0005-0000-0000-0000BD100000}"/>
    <cellStyle name="20% - Accent2 2 3 3 7 3" xfId="34490" xr:uid="{00000000-0005-0000-0000-0000BE100000}"/>
    <cellStyle name="20% - Accent2 2 3 3 7 4" xfId="44215" xr:uid="{00000000-0005-0000-0000-0000BF100000}"/>
    <cellStyle name="20% - Accent2 2 3 3 7 5" xfId="15040" xr:uid="{00000000-0005-0000-0000-0000C0100000}"/>
    <cellStyle name="20% - Accent2 2 3 3 8" xfId="19903" xr:uid="{00000000-0005-0000-0000-0000C1100000}"/>
    <cellStyle name="20% - Accent2 2 3 3 9" xfId="29628" xr:uid="{00000000-0005-0000-0000-0000C2100000}"/>
    <cellStyle name="20% - Accent2 2 3 4" xfId="209" xr:uid="{00000000-0005-0000-0000-0000C3100000}"/>
    <cellStyle name="20% - Accent2 2 3 4 10" xfId="39173" xr:uid="{00000000-0005-0000-0000-0000C4100000}"/>
    <cellStyle name="20% - Accent2 2 3 4 11" xfId="9998" xr:uid="{00000000-0005-0000-0000-0000C5100000}"/>
    <cellStyle name="20% - Accent2 2 3 4 2" xfId="973" xr:uid="{00000000-0005-0000-0000-0000C6100000}"/>
    <cellStyle name="20% - Accent2 2 3 4 2 2" xfId="2612" xr:uid="{00000000-0005-0000-0000-0000C7100000}"/>
    <cellStyle name="20% - Accent2 2 3 4 2 2 2" xfId="7474" xr:uid="{00000000-0005-0000-0000-0000C8100000}"/>
    <cellStyle name="20% - Accent2 2 3 4 2 2 2 2" xfId="26925" xr:uid="{00000000-0005-0000-0000-0000C9100000}"/>
    <cellStyle name="20% - Accent2 2 3 4 2 2 2 3" xfId="36650" xr:uid="{00000000-0005-0000-0000-0000CA100000}"/>
    <cellStyle name="20% - Accent2 2 3 4 2 2 2 4" xfId="46375" xr:uid="{00000000-0005-0000-0000-0000CB100000}"/>
    <cellStyle name="20% - Accent2 2 3 4 2 2 2 5" xfId="17200" xr:uid="{00000000-0005-0000-0000-0000CC100000}"/>
    <cellStyle name="20% - Accent2 2 3 4 2 2 3" xfId="22063" xr:uid="{00000000-0005-0000-0000-0000CD100000}"/>
    <cellStyle name="20% - Accent2 2 3 4 2 2 4" xfId="31788" xr:uid="{00000000-0005-0000-0000-0000CE100000}"/>
    <cellStyle name="20% - Accent2 2 3 4 2 2 5" xfId="41513" xr:uid="{00000000-0005-0000-0000-0000CF100000}"/>
    <cellStyle name="20% - Accent2 2 3 4 2 2 6" xfId="12338" xr:uid="{00000000-0005-0000-0000-0000D0100000}"/>
    <cellStyle name="20% - Accent2 2 3 4 2 3" xfId="4232" xr:uid="{00000000-0005-0000-0000-0000D1100000}"/>
    <cellStyle name="20% - Accent2 2 3 4 2 3 2" xfId="9094" xr:uid="{00000000-0005-0000-0000-0000D2100000}"/>
    <cellStyle name="20% - Accent2 2 3 4 2 3 2 2" xfId="28545" xr:uid="{00000000-0005-0000-0000-0000D3100000}"/>
    <cellStyle name="20% - Accent2 2 3 4 2 3 2 3" xfId="38270" xr:uid="{00000000-0005-0000-0000-0000D4100000}"/>
    <cellStyle name="20% - Accent2 2 3 4 2 3 2 4" xfId="47995" xr:uid="{00000000-0005-0000-0000-0000D5100000}"/>
    <cellStyle name="20% - Accent2 2 3 4 2 3 2 5" xfId="18820" xr:uid="{00000000-0005-0000-0000-0000D6100000}"/>
    <cellStyle name="20% - Accent2 2 3 4 2 3 3" xfId="23683" xr:uid="{00000000-0005-0000-0000-0000D7100000}"/>
    <cellStyle name="20% - Accent2 2 3 4 2 3 4" xfId="33408" xr:uid="{00000000-0005-0000-0000-0000D8100000}"/>
    <cellStyle name="20% - Accent2 2 3 4 2 3 5" xfId="43133" xr:uid="{00000000-0005-0000-0000-0000D9100000}"/>
    <cellStyle name="20% - Accent2 2 3 4 2 3 6" xfId="13958" xr:uid="{00000000-0005-0000-0000-0000DA100000}"/>
    <cellStyle name="20% - Accent2 2 3 4 2 4" xfId="5854" xr:uid="{00000000-0005-0000-0000-0000DB100000}"/>
    <cellStyle name="20% - Accent2 2 3 4 2 4 2" xfId="25305" xr:uid="{00000000-0005-0000-0000-0000DC100000}"/>
    <cellStyle name="20% - Accent2 2 3 4 2 4 3" xfId="35030" xr:uid="{00000000-0005-0000-0000-0000DD100000}"/>
    <cellStyle name="20% - Accent2 2 3 4 2 4 4" xfId="44755" xr:uid="{00000000-0005-0000-0000-0000DE100000}"/>
    <cellStyle name="20% - Accent2 2 3 4 2 4 5" xfId="15580" xr:uid="{00000000-0005-0000-0000-0000DF100000}"/>
    <cellStyle name="20% - Accent2 2 3 4 2 5" xfId="20443" xr:uid="{00000000-0005-0000-0000-0000E0100000}"/>
    <cellStyle name="20% - Accent2 2 3 4 2 6" xfId="30168" xr:uid="{00000000-0005-0000-0000-0000E1100000}"/>
    <cellStyle name="20% - Accent2 2 3 4 2 7" xfId="39893" xr:uid="{00000000-0005-0000-0000-0000E2100000}"/>
    <cellStyle name="20% - Accent2 2 3 4 2 8" xfId="10718" xr:uid="{00000000-0005-0000-0000-0000E3100000}"/>
    <cellStyle name="20% - Accent2 2 3 4 3" xfId="1441" xr:uid="{00000000-0005-0000-0000-0000E4100000}"/>
    <cellStyle name="20% - Accent2 2 3 4 3 2" xfId="3062" xr:uid="{00000000-0005-0000-0000-0000E5100000}"/>
    <cellStyle name="20% - Accent2 2 3 4 3 2 2" xfId="7924" xr:uid="{00000000-0005-0000-0000-0000E6100000}"/>
    <cellStyle name="20% - Accent2 2 3 4 3 2 2 2" xfId="27375" xr:uid="{00000000-0005-0000-0000-0000E7100000}"/>
    <cellStyle name="20% - Accent2 2 3 4 3 2 2 3" xfId="37100" xr:uid="{00000000-0005-0000-0000-0000E8100000}"/>
    <cellStyle name="20% - Accent2 2 3 4 3 2 2 4" xfId="46825" xr:uid="{00000000-0005-0000-0000-0000E9100000}"/>
    <cellStyle name="20% - Accent2 2 3 4 3 2 2 5" xfId="17650" xr:uid="{00000000-0005-0000-0000-0000EA100000}"/>
    <cellStyle name="20% - Accent2 2 3 4 3 2 3" xfId="22513" xr:uid="{00000000-0005-0000-0000-0000EB100000}"/>
    <cellStyle name="20% - Accent2 2 3 4 3 2 4" xfId="32238" xr:uid="{00000000-0005-0000-0000-0000EC100000}"/>
    <cellStyle name="20% - Accent2 2 3 4 3 2 5" xfId="41963" xr:uid="{00000000-0005-0000-0000-0000ED100000}"/>
    <cellStyle name="20% - Accent2 2 3 4 3 2 6" xfId="12788" xr:uid="{00000000-0005-0000-0000-0000EE100000}"/>
    <cellStyle name="20% - Accent2 2 3 4 3 3" xfId="4682" xr:uid="{00000000-0005-0000-0000-0000EF100000}"/>
    <cellStyle name="20% - Accent2 2 3 4 3 3 2" xfId="9544" xr:uid="{00000000-0005-0000-0000-0000F0100000}"/>
    <cellStyle name="20% - Accent2 2 3 4 3 3 2 2" xfId="28995" xr:uid="{00000000-0005-0000-0000-0000F1100000}"/>
    <cellStyle name="20% - Accent2 2 3 4 3 3 2 3" xfId="38720" xr:uid="{00000000-0005-0000-0000-0000F2100000}"/>
    <cellStyle name="20% - Accent2 2 3 4 3 3 2 4" xfId="48445" xr:uid="{00000000-0005-0000-0000-0000F3100000}"/>
    <cellStyle name="20% - Accent2 2 3 4 3 3 2 5" xfId="19270" xr:uid="{00000000-0005-0000-0000-0000F4100000}"/>
    <cellStyle name="20% - Accent2 2 3 4 3 3 3" xfId="24133" xr:uid="{00000000-0005-0000-0000-0000F5100000}"/>
    <cellStyle name="20% - Accent2 2 3 4 3 3 4" xfId="33858" xr:uid="{00000000-0005-0000-0000-0000F6100000}"/>
    <cellStyle name="20% - Accent2 2 3 4 3 3 5" xfId="43583" xr:uid="{00000000-0005-0000-0000-0000F7100000}"/>
    <cellStyle name="20% - Accent2 2 3 4 3 3 6" xfId="14408" xr:uid="{00000000-0005-0000-0000-0000F8100000}"/>
    <cellStyle name="20% - Accent2 2 3 4 3 4" xfId="6304" xr:uid="{00000000-0005-0000-0000-0000F9100000}"/>
    <cellStyle name="20% - Accent2 2 3 4 3 4 2" xfId="25755" xr:uid="{00000000-0005-0000-0000-0000FA100000}"/>
    <cellStyle name="20% - Accent2 2 3 4 3 4 3" xfId="35480" xr:uid="{00000000-0005-0000-0000-0000FB100000}"/>
    <cellStyle name="20% - Accent2 2 3 4 3 4 4" xfId="45205" xr:uid="{00000000-0005-0000-0000-0000FC100000}"/>
    <cellStyle name="20% - Accent2 2 3 4 3 4 5" xfId="16030" xr:uid="{00000000-0005-0000-0000-0000FD100000}"/>
    <cellStyle name="20% - Accent2 2 3 4 3 5" xfId="20893" xr:uid="{00000000-0005-0000-0000-0000FE100000}"/>
    <cellStyle name="20% - Accent2 2 3 4 3 6" xfId="30618" xr:uid="{00000000-0005-0000-0000-0000FF100000}"/>
    <cellStyle name="20% - Accent2 2 3 4 3 7" xfId="40343" xr:uid="{00000000-0005-0000-0000-000000110000}"/>
    <cellStyle name="20% - Accent2 2 3 4 3 8" xfId="11168" xr:uid="{00000000-0005-0000-0000-000001110000}"/>
    <cellStyle name="20% - Accent2 2 3 4 4" xfId="612" xr:uid="{00000000-0005-0000-0000-000002110000}"/>
    <cellStyle name="20% - Accent2 2 3 4 4 2" xfId="2252" xr:uid="{00000000-0005-0000-0000-000003110000}"/>
    <cellStyle name="20% - Accent2 2 3 4 4 2 2" xfId="7114" xr:uid="{00000000-0005-0000-0000-000004110000}"/>
    <cellStyle name="20% - Accent2 2 3 4 4 2 2 2" xfId="26565" xr:uid="{00000000-0005-0000-0000-000005110000}"/>
    <cellStyle name="20% - Accent2 2 3 4 4 2 2 3" xfId="36290" xr:uid="{00000000-0005-0000-0000-000006110000}"/>
    <cellStyle name="20% - Accent2 2 3 4 4 2 2 4" xfId="46015" xr:uid="{00000000-0005-0000-0000-000007110000}"/>
    <cellStyle name="20% - Accent2 2 3 4 4 2 2 5" xfId="16840" xr:uid="{00000000-0005-0000-0000-000008110000}"/>
    <cellStyle name="20% - Accent2 2 3 4 4 2 3" xfId="21703" xr:uid="{00000000-0005-0000-0000-000009110000}"/>
    <cellStyle name="20% - Accent2 2 3 4 4 2 4" xfId="31428" xr:uid="{00000000-0005-0000-0000-00000A110000}"/>
    <cellStyle name="20% - Accent2 2 3 4 4 2 5" xfId="41153" xr:uid="{00000000-0005-0000-0000-00000B110000}"/>
    <cellStyle name="20% - Accent2 2 3 4 4 2 6" xfId="11978" xr:uid="{00000000-0005-0000-0000-00000C110000}"/>
    <cellStyle name="20% - Accent2 2 3 4 4 3" xfId="3872" xr:uid="{00000000-0005-0000-0000-00000D110000}"/>
    <cellStyle name="20% - Accent2 2 3 4 4 3 2" xfId="8734" xr:uid="{00000000-0005-0000-0000-00000E110000}"/>
    <cellStyle name="20% - Accent2 2 3 4 4 3 2 2" xfId="28185" xr:uid="{00000000-0005-0000-0000-00000F110000}"/>
    <cellStyle name="20% - Accent2 2 3 4 4 3 2 3" xfId="37910" xr:uid="{00000000-0005-0000-0000-000010110000}"/>
    <cellStyle name="20% - Accent2 2 3 4 4 3 2 4" xfId="47635" xr:uid="{00000000-0005-0000-0000-000011110000}"/>
    <cellStyle name="20% - Accent2 2 3 4 4 3 2 5" xfId="18460" xr:uid="{00000000-0005-0000-0000-000012110000}"/>
    <cellStyle name="20% - Accent2 2 3 4 4 3 3" xfId="23323" xr:uid="{00000000-0005-0000-0000-000013110000}"/>
    <cellStyle name="20% - Accent2 2 3 4 4 3 4" xfId="33048" xr:uid="{00000000-0005-0000-0000-000014110000}"/>
    <cellStyle name="20% - Accent2 2 3 4 4 3 5" xfId="42773" xr:uid="{00000000-0005-0000-0000-000015110000}"/>
    <cellStyle name="20% - Accent2 2 3 4 4 3 6" xfId="13598" xr:uid="{00000000-0005-0000-0000-000016110000}"/>
    <cellStyle name="20% - Accent2 2 3 4 4 4" xfId="5494" xr:uid="{00000000-0005-0000-0000-000017110000}"/>
    <cellStyle name="20% - Accent2 2 3 4 4 4 2" xfId="24945" xr:uid="{00000000-0005-0000-0000-000018110000}"/>
    <cellStyle name="20% - Accent2 2 3 4 4 4 3" xfId="34670" xr:uid="{00000000-0005-0000-0000-000019110000}"/>
    <cellStyle name="20% - Accent2 2 3 4 4 4 4" xfId="44395" xr:uid="{00000000-0005-0000-0000-00001A110000}"/>
    <cellStyle name="20% - Accent2 2 3 4 4 4 5" xfId="15220" xr:uid="{00000000-0005-0000-0000-00001B110000}"/>
    <cellStyle name="20% - Accent2 2 3 4 4 5" xfId="20083" xr:uid="{00000000-0005-0000-0000-00001C110000}"/>
    <cellStyle name="20% - Accent2 2 3 4 4 6" xfId="29808" xr:uid="{00000000-0005-0000-0000-00001D110000}"/>
    <cellStyle name="20% - Accent2 2 3 4 4 7" xfId="39533" xr:uid="{00000000-0005-0000-0000-00001E110000}"/>
    <cellStyle name="20% - Accent2 2 3 4 4 8" xfId="10358" xr:uid="{00000000-0005-0000-0000-00001F110000}"/>
    <cellStyle name="20% - Accent2 2 3 4 5" xfId="1892" xr:uid="{00000000-0005-0000-0000-000020110000}"/>
    <cellStyle name="20% - Accent2 2 3 4 5 2" xfId="6754" xr:uid="{00000000-0005-0000-0000-000021110000}"/>
    <cellStyle name="20% - Accent2 2 3 4 5 2 2" xfId="26205" xr:uid="{00000000-0005-0000-0000-000022110000}"/>
    <cellStyle name="20% - Accent2 2 3 4 5 2 3" xfId="35930" xr:uid="{00000000-0005-0000-0000-000023110000}"/>
    <cellStyle name="20% - Accent2 2 3 4 5 2 4" xfId="45655" xr:uid="{00000000-0005-0000-0000-000024110000}"/>
    <cellStyle name="20% - Accent2 2 3 4 5 2 5" xfId="16480" xr:uid="{00000000-0005-0000-0000-000025110000}"/>
    <cellStyle name="20% - Accent2 2 3 4 5 3" xfId="21343" xr:uid="{00000000-0005-0000-0000-000026110000}"/>
    <cellStyle name="20% - Accent2 2 3 4 5 4" xfId="31068" xr:uid="{00000000-0005-0000-0000-000027110000}"/>
    <cellStyle name="20% - Accent2 2 3 4 5 5" xfId="40793" xr:uid="{00000000-0005-0000-0000-000028110000}"/>
    <cellStyle name="20% - Accent2 2 3 4 5 6" xfId="11618" xr:uid="{00000000-0005-0000-0000-000029110000}"/>
    <cellStyle name="20% - Accent2 2 3 4 6" xfId="3512" xr:uid="{00000000-0005-0000-0000-00002A110000}"/>
    <cellStyle name="20% - Accent2 2 3 4 6 2" xfId="8374" xr:uid="{00000000-0005-0000-0000-00002B110000}"/>
    <cellStyle name="20% - Accent2 2 3 4 6 2 2" xfId="27825" xr:uid="{00000000-0005-0000-0000-00002C110000}"/>
    <cellStyle name="20% - Accent2 2 3 4 6 2 3" xfId="37550" xr:uid="{00000000-0005-0000-0000-00002D110000}"/>
    <cellStyle name="20% - Accent2 2 3 4 6 2 4" xfId="47275" xr:uid="{00000000-0005-0000-0000-00002E110000}"/>
    <cellStyle name="20% - Accent2 2 3 4 6 2 5" xfId="18100" xr:uid="{00000000-0005-0000-0000-00002F110000}"/>
    <cellStyle name="20% - Accent2 2 3 4 6 3" xfId="22963" xr:uid="{00000000-0005-0000-0000-000030110000}"/>
    <cellStyle name="20% - Accent2 2 3 4 6 4" xfId="32688" xr:uid="{00000000-0005-0000-0000-000031110000}"/>
    <cellStyle name="20% - Accent2 2 3 4 6 5" xfId="42413" xr:uid="{00000000-0005-0000-0000-000032110000}"/>
    <cellStyle name="20% - Accent2 2 3 4 6 6" xfId="13238" xr:uid="{00000000-0005-0000-0000-000033110000}"/>
    <cellStyle name="20% - Accent2 2 3 4 7" xfId="5134" xr:uid="{00000000-0005-0000-0000-000034110000}"/>
    <cellStyle name="20% - Accent2 2 3 4 7 2" xfId="24585" xr:uid="{00000000-0005-0000-0000-000035110000}"/>
    <cellStyle name="20% - Accent2 2 3 4 7 3" xfId="34310" xr:uid="{00000000-0005-0000-0000-000036110000}"/>
    <cellStyle name="20% - Accent2 2 3 4 7 4" xfId="44035" xr:uid="{00000000-0005-0000-0000-000037110000}"/>
    <cellStyle name="20% - Accent2 2 3 4 7 5" xfId="14860" xr:uid="{00000000-0005-0000-0000-000038110000}"/>
    <cellStyle name="20% - Accent2 2 3 4 8" xfId="19723" xr:uid="{00000000-0005-0000-0000-000039110000}"/>
    <cellStyle name="20% - Accent2 2 3 4 9" xfId="29448" xr:uid="{00000000-0005-0000-0000-00003A110000}"/>
    <cellStyle name="20% - Accent2 2 3 5" xfId="883" xr:uid="{00000000-0005-0000-0000-00003B110000}"/>
    <cellStyle name="20% - Accent2 2 3 5 2" xfId="2522" xr:uid="{00000000-0005-0000-0000-00003C110000}"/>
    <cellStyle name="20% - Accent2 2 3 5 2 2" xfId="7384" xr:uid="{00000000-0005-0000-0000-00003D110000}"/>
    <cellStyle name="20% - Accent2 2 3 5 2 2 2" xfId="26835" xr:uid="{00000000-0005-0000-0000-00003E110000}"/>
    <cellStyle name="20% - Accent2 2 3 5 2 2 3" xfId="36560" xr:uid="{00000000-0005-0000-0000-00003F110000}"/>
    <cellStyle name="20% - Accent2 2 3 5 2 2 4" xfId="46285" xr:uid="{00000000-0005-0000-0000-000040110000}"/>
    <cellStyle name="20% - Accent2 2 3 5 2 2 5" xfId="17110" xr:uid="{00000000-0005-0000-0000-000041110000}"/>
    <cellStyle name="20% - Accent2 2 3 5 2 3" xfId="21973" xr:uid="{00000000-0005-0000-0000-000042110000}"/>
    <cellStyle name="20% - Accent2 2 3 5 2 4" xfId="31698" xr:uid="{00000000-0005-0000-0000-000043110000}"/>
    <cellStyle name="20% - Accent2 2 3 5 2 5" xfId="41423" xr:uid="{00000000-0005-0000-0000-000044110000}"/>
    <cellStyle name="20% - Accent2 2 3 5 2 6" xfId="12248" xr:uid="{00000000-0005-0000-0000-000045110000}"/>
    <cellStyle name="20% - Accent2 2 3 5 3" xfId="4142" xr:uid="{00000000-0005-0000-0000-000046110000}"/>
    <cellStyle name="20% - Accent2 2 3 5 3 2" xfId="9004" xr:uid="{00000000-0005-0000-0000-000047110000}"/>
    <cellStyle name="20% - Accent2 2 3 5 3 2 2" xfId="28455" xr:uid="{00000000-0005-0000-0000-000048110000}"/>
    <cellStyle name="20% - Accent2 2 3 5 3 2 3" xfId="38180" xr:uid="{00000000-0005-0000-0000-000049110000}"/>
    <cellStyle name="20% - Accent2 2 3 5 3 2 4" xfId="47905" xr:uid="{00000000-0005-0000-0000-00004A110000}"/>
    <cellStyle name="20% - Accent2 2 3 5 3 2 5" xfId="18730" xr:uid="{00000000-0005-0000-0000-00004B110000}"/>
    <cellStyle name="20% - Accent2 2 3 5 3 3" xfId="23593" xr:uid="{00000000-0005-0000-0000-00004C110000}"/>
    <cellStyle name="20% - Accent2 2 3 5 3 4" xfId="33318" xr:uid="{00000000-0005-0000-0000-00004D110000}"/>
    <cellStyle name="20% - Accent2 2 3 5 3 5" xfId="43043" xr:uid="{00000000-0005-0000-0000-00004E110000}"/>
    <cellStyle name="20% - Accent2 2 3 5 3 6" xfId="13868" xr:uid="{00000000-0005-0000-0000-00004F110000}"/>
    <cellStyle name="20% - Accent2 2 3 5 4" xfId="5764" xr:uid="{00000000-0005-0000-0000-000050110000}"/>
    <cellStyle name="20% - Accent2 2 3 5 4 2" xfId="25215" xr:uid="{00000000-0005-0000-0000-000051110000}"/>
    <cellStyle name="20% - Accent2 2 3 5 4 3" xfId="34940" xr:uid="{00000000-0005-0000-0000-000052110000}"/>
    <cellStyle name="20% - Accent2 2 3 5 4 4" xfId="44665" xr:uid="{00000000-0005-0000-0000-000053110000}"/>
    <cellStyle name="20% - Accent2 2 3 5 4 5" xfId="15490" xr:uid="{00000000-0005-0000-0000-000054110000}"/>
    <cellStyle name="20% - Accent2 2 3 5 5" xfId="20353" xr:uid="{00000000-0005-0000-0000-000055110000}"/>
    <cellStyle name="20% - Accent2 2 3 5 6" xfId="30078" xr:uid="{00000000-0005-0000-0000-000056110000}"/>
    <cellStyle name="20% - Accent2 2 3 5 7" xfId="39803" xr:uid="{00000000-0005-0000-0000-000057110000}"/>
    <cellStyle name="20% - Accent2 2 3 5 8" xfId="10628" xr:uid="{00000000-0005-0000-0000-000058110000}"/>
    <cellStyle name="20% - Accent2 2 3 6" xfId="1261" xr:uid="{00000000-0005-0000-0000-000059110000}"/>
    <cellStyle name="20% - Accent2 2 3 6 2" xfId="2882" xr:uid="{00000000-0005-0000-0000-00005A110000}"/>
    <cellStyle name="20% - Accent2 2 3 6 2 2" xfId="7744" xr:uid="{00000000-0005-0000-0000-00005B110000}"/>
    <cellStyle name="20% - Accent2 2 3 6 2 2 2" xfId="27195" xr:uid="{00000000-0005-0000-0000-00005C110000}"/>
    <cellStyle name="20% - Accent2 2 3 6 2 2 3" xfId="36920" xr:uid="{00000000-0005-0000-0000-00005D110000}"/>
    <cellStyle name="20% - Accent2 2 3 6 2 2 4" xfId="46645" xr:uid="{00000000-0005-0000-0000-00005E110000}"/>
    <cellStyle name="20% - Accent2 2 3 6 2 2 5" xfId="17470" xr:uid="{00000000-0005-0000-0000-00005F110000}"/>
    <cellStyle name="20% - Accent2 2 3 6 2 3" xfId="22333" xr:uid="{00000000-0005-0000-0000-000060110000}"/>
    <cellStyle name="20% - Accent2 2 3 6 2 4" xfId="32058" xr:uid="{00000000-0005-0000-0000-000061110000}"/>
    <cellStyle name="20% - Accent2 2 3 6 2 5" xfId="41783" xr:uid="{00000000-0005-0000-0000-000062110000}"/>
    <cellStyle name="20% - Accent2 2 3 6 2 6" xfId="12608" xr:uid="{00000000-0005-0000-0000-000063110000}"/>
    <cellStyle name="20% - Accent2 2 3 6 3" xfId="4502" xr:uid="{00000000-0005-0000-0000-000064110000}"/>
    <cellStyle name="20% - Accent2 2 3 6 3 2" xfId="9364" xr:uid="{00000000-0005-0000-0000-000065110000}"/>
    <cellStyle name="20% - Accent2 2 3 6 3 2 2" xfId="28815" xr:uid="{00000000-0005-0000-0000-000066110000}"/>
    <cellStyle name="20% - Accent2 2 3 6 3 2 3" xfId="38540" xr:uid="{00000000-0005-0000-0000-000067110000}"/>
    <cellStyle name="20% - Accent2 2 3 6 3 2 4" xfId="48265" xr:uid="{00000000-0005-0000-0000-000068110000}"/>
    <cellStyle name="20% - Accent2 2 3 6 3 2 5" xfId="19090" xr:uid="{00000000-0005-0000-0000-000069110000}"/>
    <cellStyle name="20% - Accent2 2 3 6 3 3" xfId="23953" xr:uid="{00000000-0005-0000-0000-00006A110000}"/>
    <cellStyle name="20% - Accent2 2 3 6 3 4" xfId="33678" xr:uid="{00000000-0005-0000-0000-00006B110000}"/>
    <cellStyle name="20% - Accent2 2 3 6 3 5" xfId="43403" xr:uid="{00000000-0005-0000-0000-00006C110000}"/>
    <cellStyle name="20% - Accent2 2 3 6 3 6" xfId="14228" xr:uid="{00000000-0005-0000-0000-00006D110000}"/>
    <cellStyle name="20% - Accent2 2 3 6 4" xfId="6124" xr:uid="{00000000-0005-0000-0000-00006E110000}"/>
    <cellStyle name="20% - Accent2 2 3 6 4 2" xfId="25575" xr:uid="{00000000-0005-0000-0000-00006F110000}"/>
    <cellStyle name="20% - Accent2 2 3 6 4 3" xfId="35300" xr:uid="{00000000-0005-0000-0000-000070110000}"/>
    <cellStyle name="20% - Accent2 2 3 6 4 4" xfId="45025" xr:uid="{00000000-0005-0000-0000-000071110000}"/>
    <cellStyle name="20% - Accent2 2 3 6 4 5" xfId="15850" xr:uid="{00000000-0005-0000-0000-000072110000}"/>
    <cellStyle name="20% - Accent2 2 3 6 5" xfId="20713" xr:uid="{00000000-0005-0000-0000-000073110000}"/>
    <cellStyle name="20% - Accent2 2 3 6 6" xfId="30438" xr:uid="{00000000-0005-0000-0000-000074110000}"/>
    <cellStyle name="20% - Accent2 2 3 6 7" xfId="40163" xr:uid="{00000000-0005-0000-0000-000075110000}"/>
    <cellStyle name="20% - Accent2 2 3 6 8" xfId="10988" xr:uid="{00000000-0005-0000-0000-000076110000}"/>
    <cellStyle name="20% - Accent2 2 3 7" xfId="1351" xr:uid="{00000000-0005-0000-0000-000077110000}"/>
    <cellStyle name="20% - Accent2 2 3 7 2" xfId="2972" xr:uid="{00000000-0005-0000-0000-000078110000}"/>
    <cellStyle name="20% - Accent2 2 3 7 2 2" xfId="7834" xr:uid="{00000000-0005-0000-0000-000079110000}"/>
    <cellStyle name="20% - Accent2 2 3 7 2 2 2" xfId="27285" xr:uid="{00000000-0005-0000-0000-00007A110000}"/>
    <cellStyle name="20% - Accent2 2 3 7 2 2 3" xfId="37010" xr:uid="{00000000-0005-0000-0000-00007B110000}"/>
    <cellStyle name="20% - Accent2 2 3 7 2 2 4" xfId="46735" xr:uid="{00000000-0005-0000-0000-00007C110000}"/>
    <cellStyle name="20% - Accent2 2 3 7 2 2 5" xfId="17560" xr:uid="{00000000-0005-0000-0000-00007D110000}"/>
    <cellStyle name="20% - Accent2 2 3 7 2 3" xfId="22423" xr:uid="{00000000-0005-0000-0000-00007E110000}"/>
    <cellStyle name="20% - Accent2 2 3 7 2 4" xfId="32148" xr:uid="{00000000-0005-0000-0000-00007F110000}"/>
    <cellStyle name="20% - Accent2 2 3 7 2 5" xfId="41873" xr:uid="{00000000-0005-0000-0000-000080110000}"/>
    <cellStyle name="20% - Accent2 2 3 7 2 6" xfId="12698" xr:uid="{00000000-0005-0000-0000-000081110000}"/>
    <cellStyle name="20% - Accent2 2 3 7 3" xfId="4592" xr:uid="{00000000-0005-0000-0000-000082110000}"/>
    <cellStyle name="20% - Accent2 2 3 7 3 2" xfId="9454" xr:uid="{00000000-0005-0000-0000-000083110000}"/>
    <cellStyle name="20% - Accent2 2 3 7 3 2 2" xfId="28905" xr:uid="{00000000-0005-0000-0000-000084110000}"/>
    <cellStyle name="20% - Accent2 2 3 7 3 2 3" xfId="38630" xr:uid="{00000000-0005-0000-0000-000085110000}"/>
    <cellStyle name="20% - Accent2 2 3 7 3 2 4" xfId="48355" xr:uid="{00000000-0005-0000-0000-000086110000}"/>
    <cellStyle name="20% - Accent2 2 3 7 3 2 5" xfId="19180" xr:uid="{00000000-0005-0000-0000-000087110000}"/>
    <cellStyle name="20% - Accent2 2 3 7 3 3" xfId="24043" xr:uid="{00000000-0005-0000-0000-000088110000}"/>
    <cellStyle name="20% - Accent2 2 3 7 3 4" xfId="33768" xr:uid="{00000000-0005-0000-0000-000089110000}"/>
    <cellStyle name="20% - Accent2 2 3 7 3 5" xfId="43493" xr:uid="{00000000-0005-0000-0000-00008A110000}"/>
    <cellStyle name="20% - Accent2 2 3 7 3 6" xfId="14318" xr:uid="{00000000-0005-0000-0000-00008B110000}"/>
    <cellStyle name="20% - Accent2 2 3 7 4" xfId="6214" xr:uid="{00000000-0005-0000-0000-00008C110000}"/>
    <cellStyle name="20% - Accent2 2 3 7 4 2" xfId="25665" xr:uid="{00000000-0005-0000-0000-00008D110000}"/>
    <cellStyle name="20% - Accent2 2 3 7 4 3" xfId="35390" xr:uid="{00000000-0005-0000-0000-00008E110000}"/>
    <cellStyle name="20% - Accent2 2 3 7 4 4" xfId="45115" xr:uid="{00000000-0005-0000-0000-00008F110000}"/>
    <cellStyle name="20% - Accent2 2 3 7 4 5" xfId="15940" xr:uid="{00000000-0005-0000-0000-000090110000}"/>
    <cellStyle name="20% - Accent2 2 3 7 5" xfId="20803" xr:uid="{00000000-0005-0000-0000-000091110000}"/>
    <cellStyle name="20% - Accent2 2 3 7 6" xfId="30528" xr:uid="{00000000-0005-0000-0000-000092110000}"/>
    <cellStyle name="20% - Accent2 2 3 7 7" xfId="40253" xr:uid="{00000000-0005-0000-0000-000093110000}"/>
    <cellStyle name="20% - Accent2 2 3 7 8" xfId="11078" xr:uid="{00000000-0005-0000-0000-000094110000}"/>
    <cellStyle name="20% - Accent2 2 3 8" xfId="522" xr:uid="{00000000-0005-0000-0000-000095110000}"/>
    <cellStyle name="20% - Accent2 2 3 8 2" xfId="2162" xr:uid="{00000000-0005-0000-0000-000096110000}"/>
    <cellStyle name="20% - Accent2 2 3 8 2 2" xfId="7024" xr:uid="{00000000-0005-0000-0000-000097110000}"/>
    <cellStyle name="20% - Accent2 2 3 8 2 2 2" xfId="26475" xr:uid="{00000000-0005-0000-0000-000098110000}"/>
    <cellStyle name="20% - Accent2 2 3 8 2 2 3" xfId="36200" xr:uid="{00000000-0005-0000-0000-000099110000}"/>
    <cellStyle name="20% - Accent2 2 3 8 2 2 4" xfId="45925" xr:uid="{00000000-0005-0000-0000-00009A110000}"/>
    <cellStyle name="20% - Accent2 2 3 8 2 2 5" xfId="16750" xr:uid="{00000000-0005-0000-0000-00009B110000}"/>
    <cellStyle name="20% - Accent2 2 3 8 2 3" xfId="21613" xr:uid="{00000000-0005-0000-0000-00009C110000}"/>
    <cellStyle name="20% - Accent2 2 3 8 2 4" xfId="31338" xr:uid="{00000000-0005-0000-0000-00009D110000}"/>
    <cellStyle name="20% - Accent2 2 3 8 2 5" xfId="41063" xr:uid="{00000000-0005-0000-0000-00009E110000}"/>
    <cellStyle name="20% - Accent2 2 3 8 2 6" xfId="11888" xr:uid="{00000000-0005-0000-0000-00009F110000}"/>
    <cellStyle name="20% - Accent2 2 3 8 3" xfId="3782" xr:uid="{00000000-0005-0000-0000-0000A0110000}"/>
    <cellStyle name="20% - Accent2 2 3 8 3 2" xfId="8644" xr:uid="{00000000-0005-0000-0000-0000A1110000}"/>
    <cellStyle name="20% - Accent2 2 3 8 3 2 2" xfId="28095" xr:uid="{00000000-0005-0000-0000-0000A2110000}"/>
    <cellStyle name="20% - Accent2 2 3 8 3 2 3" xfId="37820" xr:uid="{00000000-0005-0000-0000-0000A3110000}"/>
    <cellStyle name="20% - Accent2 2 3 8 3 2 4" xfId="47545" xr:uid="{00000000-0005-0000-0000-0000A4110000}"/>
    <cellStyle name="20% - Accent2 2 3 8 3 2 5" xfId="18370" xr:uid="{00000000-0005-0000-0000-0000A5110000}"/>
    <cellStyle name="20% - Accent2 2 3 8 3 3" xfId="23233" xr:uid="{00000000-0005-0000-0000-0000A6110000}"/>
    <cellStyle name="20% - Accent2 2 3 8 3 4" xfId="32958" xr:uid="{00000000-0005-0000-0000-0000A7110000}"/>
    <cellStyle name="20% - Accent2 2 3 8 3 5" xfId="42683" xr:uid="{00000000-0005-0000-0000-0000A8110000}"/>
    <cellStyle name="20% - Accent2 2 3 8 3 6" xfId="13508" xr:uid="{00000000-0005-0000-0000-0000A9110000}"/>
    <cellStyle name="20% - Accent2 2 3 8 4" xfId="5404" xr:uid="{00000000-0005-0000-0000-0000AA110000}"/>
    <cellStyle name="20% - Accent2 2 3 8 4 2" xfId="24855" xr:uid="{00000000-0005-0000-0000-0000AB110000}"/>
    <cellStyle name="20% - Accent2 2 3 8 4 3" xfId="34580" xr:uid="{00000000-0005-0000-0000-0000AC110000}"/>
    <cellStyle name="20% - Accent2 2 3 8 4 4" xfId="44305" xr:uid="{00000000-0005-0000-0000-0000AD110000}"/>
    <cellStyle name="20% - Accent2 2 3 8 4 5" xfId="15130" xr:uid="{00000000-0005-0000-0000-0000AE110000}"/>
    <cellStyle name="20% - Accent2 2 3 8 5" xfId="19993" xr:uid="{00000000-0005-0000-0000-0000AF110000}"/>
    <cellStyle name="20% - Accent2 2 3 8 6" xfId="29718" xr:uid="{00000000-0005-0000-0000-0000B0110000}"/>
    <cellStyle name="20% - Accent2 2 3 8 7" xfId="39443" xr:uid="{00000000-0005-0000-0000-0000B1110000}"/>
    <cellStyle name="20% - Accent2 2 3 8 8" xfId="10268" xr:uid="{00000000-0005-0000-0000-0000B2110000}"/>
    <cellStyle name="20% - Accent2 2 3 9" xfId="1711" xr:uid="{00000000-0005-0000-0000-0000B3110000}"/>
    <cellStyle name="20% - Accent2 2 3 9 2" xfId="3332" xr:uid="{00000000-0005-0000-0000-0000B4110000}"/>
    <cellStyle name="20% - Accent2 2 3 9 2 2" xfId="8194" xr:uid="{00000000-0005-0000-0000-0000B5110000}"/>
    <cellStyle name="20% - Accent2 2 3 9 2 2 2" xfId="27645" xr:uid="{00000000-0005-0000-0000-0000B6110000}"/>
    <cellStyle name="20% - Accent2 2 3 9 2 2 3" xfId="37370" xr:uid="{00000000-0005-0000-0000-0000B7110000}"/>
    <cellStyle name="20% - Accent2 2 3 9 2 2 4" xfId="47095" xr:uid="{00000000-0005-0000-0000-0000B8110000}"/>
    <cellStyle name="20% - Accent2 2 3 9 2 2 5" xfId="17920" xr:uid="{00000000-0005-0000-0000-0000B9110000}"/>
    <cellStyle name="20% - Accent2 2 3 9 2 3" xfId="22783" xr:uid="{00000000-0005-0000-0000-0000BA110000}"/>
    <cellStyle name="20% - Accent2 2 3 9 2 4" xfId="32508" xr:uid="{00000000-0005-0000-0000-0000BB110000}"/>
    <cellStyle name="20% - Accent2 2 3 9 2 5" xfId="42233" xr:uid="{00000000-0005-0000-0000-0000BC110000}"/>
    <cellStyle name="20% - Accent2 2 3 9 2 6" xfId="13058" xr:uid="{00000000-0005-0000-0000-0000BD110000}"/>
    <cellStyle name="20% - Accent2 2 3 9 3" xfId="4952" xr:uid="{00000000-0005-0000-0000-0000BE110000}"/>
    <cellStyle name="20% - Accent2 2 3 9 3 2" xfId="9814" xr:uid="{00000000-0005-0000-0000-0000BF110000}"/>
    <cellStyle name="20% - Accent2 2 3 9 3 2 2" xfId="29265" xr:uid="{00000000-0005-0000-0000-0000C0110000}"/>
    <cellStyle name="20% - Accent2 2 3 9 3 2 3" xfId="38990" xr:uid="{00000000-0005-0000-0000-0000C1110000}"/>
    <cellStyle name="20% - Accent2 2 3 9 3 2 4" xfId="48715" xr:uid="{00000000-0005-0000-0000-0000C2110000}"/>
    <cellStyle name="20% - Accent2 2 3 9 3 2 5" xfId="19540" xr:uid="{00000000-0005-0000-0000-0000C3110000}"/>
    <cellStyle name="20% - Accent2 2 3 9 3 3" xfId="24403" xr:uid="{00000000-0005-0000-0000-0000C4110000}"/>
    <cellStyle name="20% - Accent2 2 3 9 3 4" xfId="34128" xr:uid="{00000000-0005-0000-0000-0000C5110000}"/>
    <cellStyle name="20% - Accent2 2 3 9 3 5" xfId="43853" xr:uid="{00000000-0005-0000-0000-0000C6110000}"/>
    <cellStyle name="20% - Accent2 2 3 9 3 6" xfId="14678" xr:uid="{00000000-0005-0000-0000-0000C7110000}"/>
    <cellStyle name="20% - Accent2 2 3 9 4" xfId="6574" xr:uid="{00000000-0005-0000-0000-0000C8110000}"/>
    <cellStyle name="20% - Accent2 2 3 9 4 2" xfId="26025" xr:uid="{00000000-0005-0000-0000-0000C9110000}"/>
    <cellStyle name="20% - Accent2 2 3 9 4 3" xfId="35750" xr:uid="{00000000-0005-0000-0000-0000CA110000}"/>
    <cellStyle name="20% - Accent2 2 3 9 4 4" xfId="45475" xr:uid="{00000000-0005-0000-0000-0000CB110000}"/>
    <cellStyle name="20% - Accent2 2 3 9 4 5" xfId="16300" xr:uid="{00000000-0005-0000-0000-0000CC110000}"/>
    <cellStyle name="20% - Accent2 2 3 9 5" xfId="21163" xr:uid="{00000000-0005-0000-0000-0000CD110000}"/>
    <cellStyle name="20% - Accent2 2 3 9 6" xfId="30888" xr:uid="{00000000-0005-0000-0000-0000CE110000}"/>
    <cellStyle name="20% - Accent2 2 3 9 7" xfId="40613" xr:uid="{00000000-0005-0000-0000-0000CF110000}"/>
    <cellStyle name="20% - Accent2 2 3 9 8" xfId="11438" xr:uid="{00000000-0005-0000-0000-0000D0110000}"/>
    <cellStyle name="20% - Accent2 2 4" xfId="240" xr:uid="{00000000-0005-0000-0000-0000D1110000}"/>
    <cellStyle name="20% - Accent2 2 4 10" xfId="39203" xr:uid="{00000000-0005-0000-0000-0000D2110000}"/>
    <cellStyle name="20% - Accent2 2 4 11" xfId="10028" xr:uid="{00000000-0005-0000-0000-0000D3110000}"/>
    <cellStyle name="20% - Accent2 2 4 2" xfId="1004" xr:uid="{00000000-0005-0000-0000-0000D4110000}"/>
    <cellStyle name="20% - Accent2 2 4 2 2" xfId="2642" xr:uid="{00000000-0005-0000-0000-0000D5110000}"/>
    <cellStyle name="20% - Accent2 2 4 2 2 2" xfId="7504" xr:uid="{00000000-0005-0000-0000-0000D6110000}"/>
    <cellStyle name="20% - Accent2 2 4 2 2 2 2" xfId="26955" xr:uid="{00000000-0005-0000-0000-0000D7110000}"/>
    <cellStyle name="20% - Accent2 2 4 2 2 2 3" xfId="36680" xr:uid="{00000000-0005-0000-0000-0000D8110000}"/>
    <cellStyle name="20% - Accent2 2 4 2 2 2 4" xfId="46405" xr:uid="{00000000-0005-0000-0000-0000D9110000}"/>
    <cellStyle name="20% - Accent2 2 4 2 2 2 5" xfId="17230" xr:uid="{00000000-0005-0000-0000-0000DA110000}"/>
    <cellStyle name="20% - Accent2 2 4 2 2 3" xfId="22093" xr:uid="{00000000-0005-0000-0000-0000DB110000}"/>
    <cellStyle name="20% - Accent2 2 4 2 2 4" xfId="31818" xr:uid="{00000000-0005-0000-0000-0000DC110000}"/>
    <cellStyle name="20% - Accent2 2 4 2 2 5" xfId="41543" xr:uid="{00000000-0005-0000-0000-0000DD110000}"/>
    <cellStyle name="20% - Accent2 2 4 2 2 6" xfId="12368" xr:uid="{00000000-0005-0000-0000-0000DE110000}"/>
    <cellStyle name="20% - Accent2 2 4 2 3" xfId="4262" xr:uid="{00000000-0005-0000-0000-0000DF110000}"/>
    <cellStyle name="20% - Accent2 2 4 2 3 2" xfId="9124" xr:uid="{00000000-0005-0000-0000-0000E0110000}"/>
    <cellStyle name="20% - Accent2 2 4 2 3 2 2" xfId="28575" xr:uid="{00000000-0005-0000-0000-0000E1110000}"/>
    <cellStyle name="20% - Accent2 2 4 2 3 2 3" xfId="38300" xr:uid="{00000000-0005-0000-0000-0000E2110000}"/>
    <cellStyle name="20% - Accent2 2 4 2 3 2 4" xfId="48025" xr:uid="{00000000-0005-0000-0000-0000E3110000}"/>
    <cellStyle name="20% - Accent2 2 4 2 3 2 5" xfId="18850" xr:uid="{00000000-0005-0000-0000-0000E4110000}"/>
    <cellStyle name="20% - Accent2 2 4 2 3 3" xfId="23713" xr:uid="{00000000-0005-0000-0000-0000E5110000}"/>
    <cellStyle name="20% - Accent2 2 4 2 3 4" xfId="33438" xr:uid="{00000000-0005-0000-0000-0000E6110000}"/>
    <cellStyle name="20% - Accent2 2 4 2 3 5" xfId="43163" xr:uid="{00000000-0005-0000-0000-0000E7110000}"/>
    <cellStyle name="20% - Accent2 2 4 2 3 6" xfId="13988" xr:uid="{00000000-0005-0000-0000-0000E8110000}"/>
    <cellStyle name="20% - Accent2 2 4 2 4" xfId="5884" xr:uid="{00000000-0005-0000-0000-0000E9110000}"/>
    <cellStyle name="20% - Accent2 2 4 2 4 2" xfId="25335" xr:uid="{00000000-0005-0000-0000-0000EA110000}"/>
    <cellStyle name="20% - Accent2 2 4 2 4 3" xfId="35060" xr:uid="{00000000-0005-0000-0000-0000EB110000}"/>
    <cellStyle name="20% - Accent2 2 4 2 4 4" xfId="44785" xr:uid="{00000000-0005-0000-0000-0000EC110000}"/>
    <cellStyle name="20% - Accent2 2 4 2 4 5" xfId="15610" xr:uid="{00000000-0005-0000-0000-0000ED110000}"/>
    <cellStyle name="20% - Accent2 2 4 2 5" xfId="20473" xr:uid="{00000000-0005-0000-0000-0000EE110000}"/>
    <cellStyle name="20% - Accent2 2 4 2 6" xfId="30198" xr:uid="{00000000-0005-0000-0000-0000EF110000}"/>
    <cellStyle name="20% - Accent2 2 4 2 7" xfId="39923" xr:uid="{00000000-0005-0000-0000-0000F0110000}"/>
    <cellStyle name="20% - Accent2 2 4 2 8" xfId="10748" xr:uid="{00000000-0005-0000-0000-0000F1110000}"/>
    <cellStyle name="20% - Accent2 2 4 3" xfId="1471" xr:uid="{00000000-0005-0000-0000-0000F2110000}"/>
    <cellStyle name="20% - Accent2 2 4 3 2" xfId="3092" xr:uid="{00000000-0005-0000-0000-0000F3110000}"/>
    <cellStyle name="20% - Accent2 2 4 3 2 2" xfId="7954" xr:uid="{00000000-0005-0000-0000-0000F4110000}"/>
    <cellStyle name="20% - Accent2 2 4 3 2 2 2" xfId="27405" xr:uid="{00000000-0005-0000-0000-0000F5110000}"/>
    <cellStyle name="20% - Accent2 2 4 3 2 2 3" xfId="37130" xr:uid="{00000000-0005-0000-0000-0000F6110000}"/>
    <cellStyle name="20% - Accent2 2 4 3 2 2 4" xfId="46855" xr:uid="{00000000-0005-0000-0000-0000F7110000}"/>
    <cellStyle name="20% - Accent2 2 4 3 2 2 5" xfId="17680" xr:uid="{00000000-0005-0000-0000-0000F8110000}"/>
    <cellStyle name="20% - Accent2 2 4 3 2 3" xfId="22543" xr:uid="{00000000-0005-0000-0000-0000F9110000}"/>
    <cellStyle name="20% - Accent2 2 4 3 2 4" xfId="32268" xr:uid="{00000000-0005-0000-0000-0000FA110000}"/>
    <cellStyle name="20% - Accent2 2 4 3 2 5" xfId="41993" xr:uid="{00000000-0005-0000-0000-0000FB110000}"/>
    <cellStyle name="20% - Accent2 2 4 3 2 6" xfId="12818" xr:uid="{00000000-0005-0000-0000-0000FC110000}"/>
    <cellStyle name="20% - Accent2 2 4 3 3" xfId="4712" xr:uid="{00000000-0005-0000-0000-0000FD110000}"/>
    <cellStyle name="20% - Accent2 2 4 3 3 2" xfId="9574" xr:uid="{00000000-0005-0000-0000-0000FE110000}"/>
    <cellStyle name="20% - Accent2 2 4 3 3 2 2" xfId="29025" xr:uid="{00000000-0005-0000-0000-0000FF110000}"/>
    <cellStyle name="20% - Accent2 2 4 3 3 2 3" xfId="38750" xr:uid="{00000000-0005-0000-0000-000000120000}"/>
    <cellStyle name="20% - Accent2 2 4 3 3 2 4" xfId="48475" xr:uid="{00000000-0005-0000-0000-000001120000}"/>
    <cellStyle name="20% - Accent2 2 4 3 3 2 5" xfId="19300" xr:uid="{00000000-0005-0000-0000-000002120000}"/>
    <cellStyle name="20% - Accent2 2 4 3 3 3" xfId="24163" xr:uid="{00000000-0005-0000-0000-000003120000}"/>
    <cellStyle name="20% - Accent2 2 4 3 3 4" xfId="33888" xr:uid="{00000000-0005-0000-0000-000004120000}"/>
    <cellStyle name="20% - Accent2 2 4 3 3 5" xfId="43613" xr:uid="{00000000-0005-0000-0000-000005120000}"/>
    <cellStyle name="20% - Accent2 2 4 3 3 6" xfId="14438" xr:uid="{00000000-0005-0000-0000-000006120000}"/>
    <cellStyle name="20% - Accent2 2 4 3 4" xfId="6334" xr:uid="{00000000-0005-0000-0000-000007120000}"/>
    <cellStyle name="20% - Accent2 2 4 3 4 2" xfId="25785" xr:uid="{00000000-0005-0000-0000-000008120000}"/>
    <cellStyle name="20% - Accent2 2 4 3 4 3" xfId="35510" xr:uid="{00000000-0005-0000-0000-000009120000}"/>
    <cellStyle name="20% - Accent2 2 4 3 4 4" xfId="45235" xr:uid="{00000000-0005-0000-0000-00000A120000}"/>
    <cellStyle name="20% - Accent2 2 4 3 4 5" xfId="16060" xr:uid="{00000000-0005-0000-0000-00000B120000}"/>
    <cellStyle name="20% - Accent2 2 4 3 5" xfId="20923" xr:uid="{00000000-0005-0000-0000-00000C120000}"/>
    <cellStyle name="20% - Accent2 2 4 3 6" xfId="30648" xr:uid="{00000000-0005-0000-0000-00000D120000}"/>
    <cellStyle name="20% - Accent2 2 4 3 7" xfId="40373" xr:uid="{00000000-0005-0000-0000-00000E120000}"/>
    <cellStyle name="20% - Accent2 2 4 3 8" xfId="11198" xr:uid="{00000000-0005-0000-0000-00000F120000}"/>
    <cellStyle name="20% - Accent2 2 4 4" xfId="642" xr:uid="{00000000-0005-0000-0000-000010120000}"/>
    <cellStyle name="20% - Accent2 2 4 4 2" xfId="2282" xr:uid="{00000000-0005-0000-0000-000011120000}"/>
    <cellStyle name="20% - Accent2 2 4 4 2 2" xfId="7144" xr:uid="{00000000-0005-0000-0000-000012120000}"/>
    <cellStyle name="20% - Accent2 2 4 4 2 2 2" xfId="26595" xr:uid="{00000000-0005-0000-0000-000013120000}"/>
    <cellStyle name="20% - Accent2 2 4 4 2 2 3" xfId="36320" xr:uid="{00000000-0005-0000-0000-000014120000}"/>
    <cellStyle name="20% - Accent2 2 4 4 2 2 4" xfId="46045" xr:uid="{00000000-0005-0000-0000-000015120000}"/>
    <cellStyle name="20% - Accent2 2 4 4 2 2 5" xfId="16870" xr:uid="{00000000-0005-0000-0000-000016120000}"/>
    <cellStyle name="20% - Accent2 2 4 4 2 3" xfId="21733" xr:uid="{00000000-0005-0000-0000-000017120000}"/>
    <cellStyle name="20% - Accent2 2 4 4 2 4" xfId="31458" xr:uid="{00000000-0005-0000-0000-000018120000}"/>
    <cellStyle name="20% - Accent2 2 4 4 2 5" xfId="41183" xr:uid="{00000000-0005-0000-0000-000019120000}"/>
    <cellStyle name="20% - Accent2 2 4 4 2 6" xfId="12008" xr:uid="{00000000-0005-0000-0000-00001A120000}"/>
    <cellStyle name="20% - Accent2 2 4 4 3" xfId="3902" xr:uid="{00000000-0005-0000-0000-00001B120000}"/>
    <cellStyle name="20% - Accent2 2 4 4 3 2" xfId="8764" xr:uid="{00000000-0005-0000-0000-00001C120000}"/>
    <cellStyle name="20% - Accent2 2 4 4 3 2 2" xfId="28215" xr:uid="{00000000-0005-0000-0000-00001D120000}"/>
    <cellStyle name="20% - Accent2 2 4 4 3 2 3" xfId="37940" xr:uid="{00000000-0005-0000-0000-00001E120000}"/>
    <cellStyle name="20% - Accent2 2 4 4 3 2 4" xfId="47665" xr:uid="{00000000-0005-0000-0000-00001F120000}"/>
    <cellStyle name="20% - Accent2 2 4 4 3 2 5" xfId="18490" xr:uid="{00000000-0005-0000-0000-000020120000}"/>
    <cellStyle name="20% - Accent2 2 4 4 3 3" xfId="23353" xr:uid="{00000000-0005-0000-0000-000021120000}"/>
    <cellStyle name="20% - Accent2 2 4 4 3 4" xfId="33078" xr:uid="{00000000-0005-0000-0000-000022120000}"/>
    <cellStyle name="20% - Accent2 2 4 4 3 5" xfId="42803" xr:uid="{00000000-0005-0000-0000-000023120000}"/>
    <cellStyle name="20% - Accent2 2 4 4 3 6" xfId="13628" xr:uid="{00000000-0005-0000-0000-000024120000}"/>
    <cellStyle name="20% - Accent2 2 4 4 4" xfId="5524" xr:uid="{00000000-0005-0000-0000-000025120000}"/>
    <cellStyle name="20% - Accent2 2 4 4 4 2" xfId="24975" xr:uid="{00000000-0005-0000-0000-000026120000}"/>
    <cellStyle name="20% - Accent2 2 4 4 4 3" xfId="34700" xr:uid="{00000000-0005-0000-0000-000027120000}"/>
    <cellStyle name="20% - Accent2 2 4 4 4 4" xfId="44425" xr:uid="{00000000-0005-0000-0000-000028120000}"/>
    <cellStyle name="20% - Accent2 2 4 4 4 5" xfId="15250" xr:uid="{00000000-0005-0000-0000-000029120000}"/>
    <cellStyle name="20% - Accent2 2 4 4 5" xfId="20113" xr:uid="{00000000-0005-0000-0000-00002A120000}"/>
    <cellStyle name="20% - Accent2 2 4 4 6" xfId="29838" xr:uid="{00000000-0005-0000-0000-00002B120000}"/>
    <cellStyle name="20% - Accent2 2 4 4 7" xfId="39563" xr:uid="{00000000-0005-0000-0000-00002C120000}"/>
    <cellStyle name="20% - Accent2 2 4 4 8" xfId="10388" xr:uid="{00000000-0005-0000-0000-00002D120000}"/>
    <cellStyle name="20% - Accent2 2 4 5" xfId="1922" xr:uid="{00000000-0005-0000-0000-00002E120000}"/>
    <cellStyle name="20% - Accent2 2 4 5 2" xfId="6784" xr:uid="{00000000-0005-0000-0000-00002F120000}"/>
    <cellStyle name="20% - Accent2 2 4 5 2 2" xfId="26235" xr:uid="{00000000-0005-0000-0000-000030120000}"/>
    <cellStyle name="20% - Accent2 2 4 5 2 3" xfId="35960" xr:uid="{00000000-0005-0000-0000-000031120000}"/>
    <cellStyle name="20% - Accent2 2 4 5 2 4" xfId="45685" xr:uid="{00000000-0005-0000-0000-000032120000}"/>
    <cellStyle name="20% - Accent2 2 4 5 2 5" xfId="16510" xr:uid="{00000000-0005-0000-0000-000033120000}"/>
    <cellStyle name="20% - Accent2 2 4 5 3" xfId="21373" xr:uid="{00000000-0005-0000-0000-000034120000}"/>
    <cellStyle name="20% - Accent2 2 4 5 4" xfId="31098" xr:uid="{00000000-0005-0000-0000-000035120000}"/>
    <cellStyle name="20% - Accent2 2 4 5 5" xfId="40823" xr:uid="{00000000-0005-0000-0000-000036120000}"/>
    <cellStyle name="20% - Accent2 2 4 5 6" xfId="11648" xr:uid="{00000000-0005-0000-0000-000037120000}"/>
    <cellStyle name="20% - Accent2 2 4 6" xfId="3542" xr:uid="{00000000-0005-0000-0000-000038120000}"/>
    <cellStyle name="20% - Accent2 2 4 6 2" xfId="8404" xr:uid="{00000000-0005-0000-0000-000039120000}"/>
    <cellStyle name="20% - Accent2 2 4 6 2 2" xfId="27855" xr:uid="{00000000-0005-0000-0000-00003A120000}"/>
    <cellStyle name="20% - Accent2 2 4 6 2 3" xfId="37580" xr:uid="{00000000-0005-0000-0000-00003B120000}"/>
    <cellStyle name="20% - Accent2 2 4 6 2 4" xfId="47305" xr:uid="{00000000-0005-0000-0000-00003C120000}"/>
    <cellStyle name="20% - Accent2 2 4 6 2 5" xfId="18130" xr:uid="{00000000-0005-0000-0000-00003D120000}"/>
    <cellStyle name="20% - Accent2 2 4 6 3" xfId="22993" xr:uid="{00000000-0005-0000-0000-00003E120000}"/>
    <cellStyle name="20% - Accent2 2 4 6 4" xfId="32718" xr:uid="{00000000-0005-0000-0000-00003F120000}"/>
    <cellStyle name="20% - Accent2 2 4 6 5" xfId="42443" xr:uid="{00000000-0005-0000-0000-000040120000}"/>
    <cellStyle name="20% - Accent2 2 4 6 6" xfId="13268" xr:uid="{00000000-0005-0000-0000-000041120000}"/>
    <cellStyle name="20% - Accent2 2 4 7" xfId="5164" xr:uid="{00000000-0005-0000-0000-000042120000}"/>
    <cellStyle name="20% - Accent2 2 4 7 2" xfId="24615" xr:uid="{00000000-0005-0000-0000-000043120000}"/>
    <cellStyle name="20% - Accent2 2 4 7 3" xfId="34340" xr:uid="{00000000-0005-0000-0000-000044120000}"/>
    <cellStyle name="20% - Accent2 2 4 7 4" xfId="44065" xr:uid="{00000000-0005-0000-0000-000045120000}"/>
    <cellStyle name="20% - Accent2 2 4 7 5" xfId="14890" xr:uid="{00000000-0005-0000-0000-000046120000}"/>
    <cellStyle name="20% - Accent2 2 4 8" xfId="19753" xr:uid="{00000000-0005-0000-0000-000047120000}"/>
    <cellStyle name="20% - Accent2 2 4 9" xfId="29478" xr:uid="{00000000-0005-0000-0000-000048120000}"/>
    <cellStyle name="20% - Accent2 2 5" xfId="331" xr:uid="{00000000-0005-0000-0000-000049120000}"/>
    <cellStyle name="20% - Accent2 2 5 10" xfId="39293" xr:uid="{00000000-0005-0000-0000-00004A120000}"/>
    <cellStyle name="20% - Accent2 2 5 11" xfId="10118" xr:uid="{00000000-0005-0000-0000-00004B120000}"/>
    <cellStyle name="20% - Accent2 2 5 2" xfId="1094" xr:uid="{00000000-0005-0000-0000-00004C120000}"/>
    <cellStyle name="20% - Accent2 2 5 2 2" xfId="2732" xr:uid="{00000000-0005-0000-0000-00004D120000}"/>
    <cellStyle name="20% - Accent2 2 5 2 2 2" xfId="7594" xr:uid="{00000000-0005-0000-0000-00004E120000}"/>
    <cellStyle name="20% - Accent2 2 5 2 2 2 2" xfId="27045" xr:uid="{00000000-0005-0000-0000-00004F120000}"/>
    <cellStyle name="20% - Accent2 2 5 2 2 2 3" xfId="36770" xr:uid="{00000000-0005-0000-0000-000050120000}"/>
    <cellStyle name="20% - Accent2 2 5 2 2 2 4" xfId="46495" xr:uid="{00000000-0005-0000-0000-000051120000}"/>
    <cellStyle name="20% - Accent2 2 5 2 2 2 5" xfId="17320" xr:uid="{00000000-0005-0000-0000-000052120000}"/>
    <cellStyle name="20% - Accent2 2 5 2 2 3" xfId="22183" xr:uid="{00000000-0005-0000-0000-000053120000}"/>
    <cellStyle name="20% - Accent2 2 5 2 2 4" xfId="31908" xr:uid="{00000000-0005-0000-0000-000054120000}"/>
    <cellStyle name="20% - Accent2 2 5 2 2 5" xfId="41633" xr:uid="{00000000-0005-0000-0000-000055120000}"/>
    <cellStyle name="20% - Accent2 2 5 2 2 6" xfId="12458" xr:uid="{00000000-0005-0000-0000-000056120000}"/>
    <cellStyle name="20% - Accent2 2 5 2 3" xfId="4352" xr:uid="{00000000-0005-0000-0000-000057120000}"/>
    <cellStyle name="20% - Accent2 2 5 2 3 2" xfId="9214" xr:uid="{00000000-0005-0000-0000-000058120000}"/>
    <cellStyle name="20% - Accent2 2 5 2 3 2 2" xfId="28665" xr:uid="{00000000-0005-0000-0000-000059120000}"/>
    <cellStyle name="20% - Accent2 2 5 2 3 2 3" xfId="38390" xr:uid="{00000000-0005-0000-0000-00005A120000}"/>
    <cellStyle name="20% - Accent2 2 5 2 3 2 4" xfId="48115" xr:uid="{00000000-0005-0000-0000-00005B120000}"/>
    <cellStyle name="20% - Accent2 2 5 2 3 2 5" xfId="18940" xr:uid="{00000000-0005-0000-0000-00005C120000}"/>
    <cellStyle name="20% - Accent2 2 5 2 3 3" xfId="23803" xr:uid="{00000000-0005-0000-0000-00005D120000}"/>
    <cellStyle name="20% - Accent2 2 5 2 3 4" xfId="33528" xr:uid="{00000000-0005-0000-0000-00005E120000}"/>
    <cellStyle name="20% - Accent2 2 5 2 3 5" xfId="43253" xr:uid="{00000000-0005-0000-0000-00005F120000}"/>
    <cellStyle name="20% - Accent2 2 5 2 3 6" xfId="14078" xr:uid="{00000000-0005-0000-0000-000060120000}"/>
    <cellStyle name="20% - Accent2 2 5 2 4" xfId="5974" xr:uid="{00000000-0005-0000-0000-000061120000}"/>
    <cellStyle name="20% - Accent2 2 5 2 4 2" xfId="25425" xr:uid="{00000000-0005-0000-0000-000062120000}"/>
    <cellStyle name="20% - Accent2 2 5 2 4 3" xfId="35150" xr:uid="{00000000-0005-0000-0000-000063120000}"/>
    <cellStyle name="20% - Accent2 2 5 2 4 4" xfId="44875" xr:uid="{00000000-0005-0000-0000-000064120000}"/>
    <cellStyle name="20% - Accent2 2 5 2 4 5" xfId="15700" xr:uid="{00000000-0005-0000-0000-000065120000}"/>
    <cellStyle name="20% - Accent2 2 5 2 5" xfId="20563" xr:uid="{00000000-0005-0000-0000-000066120000}"/>
    <cellStyle name="20% - Accent2 2 5 2 6" xfId="30288" xr:uid="{00000000-0005-0000-0000-000067120000}"/>
    <cellStyle name="20% - Accent2 2 5 2 7" xfId="40013" xr:uid="{00000000-0005-0000-0000-000068120000}"/>
    <cellStyle name="20% - Accent2 2 5 2 8" xfId="10838" xr:uid="{00000000-0005-0000-0000-000069120000}"/>
    <cellStyle name="20% - Accent2 2 5 3" xfId="1561" xr:uid="{00000000-0005-0000-0000-00006A120000}"/>
    <cellStyle name="20% - Accent2 2 5 3 2" xfId="3182" xr:uid="{00000000-0005-0000-0000-00006B120000}"/>
    <cellStyle name="20% - Accent2 2 5 3 2 2" xfId="8044" xr:uid="{00000000-0005-0000-0000-00006C120000}"/>
    <cellStyle name="20% - Accent2 2 5 3 2 2 2" xfId="27495" xr:uid="{00000000-0005-0000-0000-00006D120000}"/>
    <cellStyle name="20% - Accent2 2 5 3 2 2 3" xfId="37220" xr:uid="{00000000-0005-0000-0000-00006E120000}"/>
    <cellStyle name="20% - Accent2 2 5 3 2 2 4" xfId="46945" xr:uid="{00000000-0005-0000-0000-00006F120000}"/>
    <cellStyle name="20% - Accent2 2 5 3 2 2 5" xfId="17770" xr:uid="{00000000-0005-0000-0000-000070120000}"/>
    <cellStyle name="20% - Accent2 2 5 3 2 3" xfId="22633" xr:uid="{00000000-0005-0000-0000-000071120000}"/>
    <cellStyle name="20% - Accent2 2 5 3 2 4" xfId="32358" xr:uid="{00000000-0005-0000-0000-000072120000}"/>
    <cellStyle name="20% - Accent2 2 5 3 2 5" xfId="42083" xr:uid="{00000000-0005-0000-0000-000073120000}"/>
    <cellStyle name="20% - Accent2 2 5 3 2 6" xfId="12908" xr:uid="{00000000-0005-0000-0000-000074120000}"/>
    <cellStyle name="20% - Accent2 2 5 3 3" xfId="4802" xr:uid="{00000000-0005-0000-0000-000075120000}"/>
    <cellStyle name="20% - Accent2 2 5 3 3 2" xfId="9664" xr:uid="{00000000-0005-0000-0000-000076120000}"/>
    <cellStyle name="20% - Accent2 2 5 3 3 2 2" xfId="29115" xr:uid="{00000000-0005-0000-0000-000077120000}"/>
    <cellStyle name="20% - Accent2 2 5 3 3 2 3" xfId="38840" xr:uid="{00000000-0005-0000-0000-000078120000}"/>
    <cellStyle name="20% - Accent2 2 5 3 3 2 4" xfId="48565" xr:uid="{00000000-0005-0000-0000-000079120000}"/>
    <cellStyle name="20% - Accent2 2 5 3 3 2 5" xfId="19390" xr:uid="{00000000-0005-0000-0000-00007A120000}"/>
    <cellStyle name="20% - Accent2 2 5 3 3 3" xfId="24253" xr:uid="{00000000-0005-0000-0000-00007B120000}"/>
    <cellStyle name="20% - Accent2 2 5 3 3 4" xfId="33978" xr:uid="{00000000-0005-0000-0000-00007C120000}"/>
    <cellStyle name="20% - Accent2 2 5 3 3 5" xfId="43703" xr:uid="{00000000-0005-0000-0000-00007D120000}"/>
    <cellStyle name="20% - Accent2 2 5 3 3 6" xfId="14528" xr:uid="{00000000-0005-0000-0000-00007E120000}"/>
    <cellStyle name="20% - Accent2 2 5 3 4" xfId="6424" xr:uid="{00000000-0005-0000-0000-00007F120000}"/>
    <cellStyle name="20% - Accent2 2 5 3 4 2" xfId="25875" xr:uid="{00000000-0005-0000-0000-000080120000}"/>
    <cellStyle name="20% - Accent2 2 5 3 4 3" xfId="35600" xr:uid="{00000000-0005-0000-0000-000081120000}"/>
    <cellStyle name="20% - Accent2 2 5 3 4 4" xfId="45325" xr:uid="{00000000-0005-0000-0000-000082120000}"/>
    <cellStyle name="20% - Accent2 2 5 3 4 5" xfId="16150" xr:uid="{00000000-0005-0000-0000-000083120000}"/>
    <cellStyle name="20% - Accent2 2 5 3 5" xfId="21013" xr:uid="{00000000-0005-0000-0000-000084120000}"/>
    <cellStyle name="20% - Accent2 2 5 3 6" xfId="30738" xr:uid="{00000000-0005-0000-0000-000085120000}"/>
    <cellStyle name="20% - Accent2 2 5 3 7" xfId="40463" xr:uid="{00000000-0005-0000-0000-000086120000}"/>
    <cellStyle name="20% - Accent2 2 5 3 8" xfId="11288" xr:uid="{00000000-0005-0000-0000-000087120000}"/>
    <cellStyle name="20% - Accent2 2 5 4" xfId="732" xr:uid="{00000000-0005-0000-0000-000088120000}"/>
    <cellStyle name="20% - Accent2 2 5 4 2" xfId="2372" xr:uid="{00000000-0005-0000-0000-000089120000}"/>
    <cellStyle name="20% - Accent2 2 5 4 2 2" xfId="7234" xr:uid="{00000000-0005-0000-0000-00008A120000}"/>
    <cellStyle name="20% - Accent2 2 5 4 2 2 2" xfId="26685" xr:uid="{00000000-0005-0000-0000-00008B120000}"/>
    <cellStyle name="20% - Accent2 2 5 4 2 2 3" xfId="36410" xr:uid="{00000000-0005-0000-0000-00008C120000}"/>
    <cellStyle name="20% - Accent2 2 5 4 2 2 4" xfId="46135" xr:uid="{00000000-0005-0000-0000-00008D120000}"/>
    <cellStyle name="20% - Accent2 2 5 4 2 2 5" xfId="16960" xr:uid="{00000000-0005-0000-0000-00008E120000}"/>
    <cellStyle name="20% - Accent2 2 5 4 2 3" xfId="21823" xr:uid="{00000000-0005-0000-0000-00008F120000}"/>
    <cellStyle name="20% - Accent2 2 5 4 2 4" xfId="31548" xr:uid="{00000000-0005-0000-0000-000090120000}"/>
    <cellStyle name="20% - Accent2 2 5 4 2 5" xfId="41273" xr:uid="{00000000-0005-0000-0000-000091120000}"/>
    <cellStyle name="20% - Accent2 2 5 4 2 6" xfId="12098" xr:uid="{00000000-0005-0000-0000-000092120000}"/>
    <cellStyle name="20% - Accent2 2 5 4 3" xfId="3992" xr:uid="{00000000-0005-0000-0000-000093120000}"/>
    <cellStyle name="20% - Accent2 2 5 4 3 2" xfId="8854" xr:uid="{00000000-0005-0000-0000-000094120000}"/>
    <cellStyle name="20% - Accent2 2 5 4 3 2 2" xfId="28305" xr:uid="{00000000-0005-0000-0000-000095120000}"/>
    <cellStyle name="20% - Accent2 2 5 4 3 2 3" xfId="38030" xr:uid="{00000000-0005-0000-0000-000096120000}"/>
    <cellStyle name="20% - Accent2 2 5 4 3 2 4" xfId="47755" xr:uid="{00000000-0005-0000-0000-000097120000}"/>
    <cellStyle name="20% - Accent2 2 5 4 3 2 5" xfId="18580" xr:uid="{00000000-0005-0000-0000-000098120000}"/>
    <cellStyle name="20% - Accent2 2 5 4 3 3" xfId="23443" xr:uid="{00000000-0005-0000-0000-000099120000}"/>
    <cellStyle name="20% - Accent2 2 5 4 3 4" xfId="33168" xr:uid="{00000000-0005-0000-0000-00009A120000}"/>
    <cellStyle name="20% - Accent2 2 5 4 3 5" xfId="42893" xr:uid="{00000000-0005-0000-0000-00009B120000}"/>
    <cellStyle name="20% - Accent2 2 5 4 3 6" xfId="13718" xr:uid="{00000000-0005-0000-0000-00009C120000}"/>
    <cellStyle name="20% - Accent2 2 5 4 4" xfId="5614" xr:uid="{00000000-0005-0000-0000-00009D120000}"/>
    <cellStyle name="20% - Accent2 2 5 4 4 2" xfId="25065" xr:uid="{00000000-0005-0000-0000-00009E120000}"/>
    <cellStyle name="20% - Accent2 2 5 4 4 3" xfId="34790" xr:uid="{00000000-0005-0000-0000-00009F120000}"/>
    <cellStyle name="20% - Accent2 2 5 4 4 4" xfId="44515" xr:uid="{00000000-0005-0000-0000-0000A0120000}"/>
    <cellStyle name="20% - Accent2 2 5 4 4 5" xfId="15340" xr:uid="{00000000-0005-0000-0000-0000A1120000}"/>
    <cellStyle name="20% - Accent2 2 5 4 5" xfId="20203" xr:uid="{00000000-0005-0000-0000-0000A2120000}"/>
    <cellStyle name="20% - Accent2 2 5 4 6" xfId="29928" xr:uid="{00000000-0005-0000-0000-0000A3120000}"/>
    <cellStyle name="20% - Accent2 2 5 4 7" xfId="39653" xr:uid="{00000000-0005-0000-0000-0000A4120000}"/>
    <cellStyle name="20% - Accent2 2 5 4 8" xfId="10478" xr:uid="{00000000-0005-0000-0000-0000A5120000}"/>
    <cellStyle name="20% - Accent2 2 5 5" xfId="2012" xr:uid="{00000000-0005-0000-0000-0000A6120000}"/>
    <cellStyle name="20% - Accent2 2 5 5 2" xfId="6874" xr:uid="{00000000-0005-0000-0000-0000A7120000}"/>
    <cellStyle name="20% - Accent2 2 5 5 2 2" xfId="26325" xr:uid="{00000000-0005-0000-0000-0000A8120000}"/>
    <cellStyle name="20% - Accent2 2 5 5 2 3" xfId="36050" xr:uid="{00000000-0005-0000-0000-0000A9120000}"/>
    <cellStyle name="20% - Accent2 2 5 5 2 4" xfId="45775" xr:uid="{00000000-0005-0000-0000-0000AA120000}"/>
    <cellStyle name="20% - Accent2 2 5 5 2 5" xfId="16600" xr:uid="{00000000-0005-0000-0000-0000AB120000}"/>
    <cellStyle name="20% - Accent2 2 5 5 3" xfId="21463" xr:uid="{00000000-0005-0000-0000-0000AC120000}"/>
    <cellStyle name="20% - Accent2 2 5 5 4" xfId="31188" xr:uid="{00000000-0005-0000-0000-0000AD120000}"/>
    <cellStyle name="20% - Accent2 2 5 5 5" xfId="40913" xr:uid="{00000000-0005-0000-0000-0000AE120000}"/>
    <cellStyle name="20% - Accent2 2 5 5 6" xfId="11738" xr:uid="{00000000-0005-0000-0000-0000AF120000}"/>
    <cellStyle name="20% - Accent2 2 5 6" xfId="3632" xr:uid="{00000000-0005-0000-0000-0000B0120000}"/>
    <cellStyle name="20% - Accent2 2 5 6 2" xfId="8494" xr:uid="{00000000-0005-0000-0000-0000B1120000}"/>
    <cellStyle name="20% - Accent2 2 5 6 2 2" xfId="27945" xr:uid="{00000000-0005-0000-0000-0000B2120000}"/>
    <cellStyle name="20% - Accent2 2 5 6 2 3" xfId="37670" xr:uid="{00000000-0005-0000-0000-0000B3120000}"/>
    <cellStyle name="20% - Accent2 2 5 6 2 4" xfId="47395" xr:uid="{00000000-0005-0000-0000-0000B4120000}"/>
    <cellStyle name="20% - Accent2 2 5 6 2 5" xfId="18220" xr:uid="{00000000-0005-0000-0000-0000B5120000}"/>
    <cellStyle name="20% - Accent2 2 5 6 3" xfId="23083" xr:uid="{00000000-0005-0000-0000-0000B6120000}"/>
    <cellStyle name="20% - Accent2 2 5 6 4" xfId="32808" xr:uid="{00000000-0005-0000-0000-0000B7120000}"/>
    <cellStyle name="20% - Accent2 2 5 6 5" xfId="42533" xr:uid="{00000000-0005-0000-0000-0000B8120000}"/>
    <cellStyle name="20% - Accent2 2 5 6 6" xfId="13358" xr:uid="{00000000-0005-0000-0000-0000B9120000}"/>
    <cellStyle name="20% - Accent2 2 5 7" xfId="5254" xr:uid="{00000000-0005-0000-0000-0000BA120000}"/>
    <cellStyle name="20% - Accent2 2 5 7 2" xfId="24705" xr:uid="{00000000-0005-0000-0000-0000BB120000}"/>
    <cellStyle name="20% - Accent2 2 5 7 3" xfId="34430" xr:uid="{00000000-0005-0000-0000-0000BC120000}"/>
    <cellStyle name="20% - Accent2 2 5 7 4" xfId="44155" xr:uid="{00000000-0005-0000-0000-0000BD120000}"/>
    <cellStyle name="20% - Accent2 2 5 7 5" xfId="14980" xr:uid="{00000000-0005-0000-0000-0000BE120000}"/>
    <cellStyle name="20% - Accent2 2 5 8" xfId="19843" xr:uid="{00000000-0005-0000-0000-0000BF120000}"/>
    <cellStyle name="20% - Accent2 2 5 9" xfId="29568" xr:uid="{00000000-0005-0000-0000-0000C0120000}"/>
    <cellStyle name="20% - Accent2 2 6" xfId="149" xr:uid="{00000000-0005-0000-0000-0000C1120000}"/>
    <cellStyle name="20% - Accent2 2 6 10" xfId="39113" xr:uid="{00000000-0005-0000-0000-0000C2120000}"/>
    <cellStyle name="20% - Accent2 2 6 11" xfId="9938" xr:uid="{00000000-0005-0000-0000-0000C3120000}"/>
    <cellStyle name="20% - Accent2 2 6 2" xfId="913" xr:uid="{00000000-0005-0000-0000-0000C4120000}"/>
    <cellStyle name="20% - Accent2 2 6 2 2" xfId="2552" xr:uid="{00000000-0005-0000-0000-0000C5120000}"/>
    <cellStyle name="20% - Accent2 2 6 2 2 2" xfId="7414" xr:uid="{00000000-0005-0000-0000-0000C6120000}"/>
    <cellStyle name="20% - Accent2 2 6 2 2 2 2" xfId="26865" xr:uid="{00000000-0005-0000-0000-0000C7120000}"/>
    <cellStyle name="20% - Accent2 2 6 2 2 2 3" xfId="36590" xr:uid="{00000000-0005-0000-0000-0000C8120000}"/>
    <cellStyle name="20% - Accent2 2 6 2 2 2 4" xfId="46315" xr:uid="{00000000-0005-0000-0000-0000C9120000}"/>
    <cellStyle name="20% - Accent2 2 6 2 2 2 5" xfId="17140" xr:uid="{00000000-0005-0000-0000-0000CA120000}"/>
    <cellStyle name="20% - Accent2 2 6 2 2 3" xfId="22003" xr:uid="{00000000-0005-0000-0000-0000CB120000}"/>
    <cellStyle name="20% - Accent2 2 6 2 2 4" xfId="31728" xr:uid="{00000000-0005-0000-0000-0000CC120000}"/>
    <cellStyle name="20% - Accent2 2 6 2 2 5" xfId="41453" xr:uid="{00000000-0005-0000-0000-0000CD120000}"/>
    <cellStyle name="20% - Accent2 2 6 2 2 6" xfId="12278" xr:uid="{00000000-0005-0000-0000-0000CE120000}"/>
    <cellStyle name="20% - Accent2 2 6 2 3" xfId="4172" xr:uid="{00000000-0005-0000-0000-0000CF120000}"/>
    <cellStyle name="20% - Accent2 2 6 2 3 2" xfId="9034" xr:uid="{00000000-0005-0000-0000-0000D0120000}"/>
    <cellStyle name="20% - Accent2 2 6 2 3 2 2" xfId="28485" xr:uid="{00000000-0005-0000-0000-0000D1120000}"/>
    <cellStyle name="20% - Accent2 2 6 2 3 2 3" xfId="38210" xr:uid="{00000000-0005-0000-0000-0000D2120000}"/>
    <cellStyle name="20% - Accent2 2 6 2 3 2 4" xfId="47935" xr:uid="{00000000-0005-0000-0000-0000D3120000}"/>
    <cellStyle name="20% - Accent2 2 6 2 3 2 5" xfId="18760" xr:uid="{00000000-0005-0000-0000-0000D4120000}"/>
    <cellStyle name="20% - Accent2 2 6 2 3 3" xfId="23623" xr:uid="{00000000-0005-0000-0000-0000D5120000}"/>
    <cellStyle name="20% - Accent2 2 6 2 3 4" xfId="33348" xr:uid="{00000000-0005-0000-0000-0000D6120000}"/>
    <cellStyle name="20% - Accent2 2 6 2 3 5" xfId="43073" xr:uid="{00000000-0005-0000-0000-0000D7120000}"/>
    <cellStyle name="20% - Accent2 2 6 2 3 6" xfId="13898" xr:uid="{00000000-0005-0000-0000-0000D8120000}"/>
    <cellStyle name="20% - Accent2 2 6 2 4" xfId="5794" xr:uid="{00000000-0005-0000-0000-0000D9120000}"/>
    <cellStyle name="20% - Accent2 2 6 2 4 2" xfId="25245" xr:uid="{00000000-0005-0000-0000-0000DA120000}"/>
    <cellStyle name="20% - Accent2 2 6 2 4 3" xfId="34970" xr:uid="{00000000-0005-0000-0000-0000DB120000}"/>
    <cellStyle name="20% - Accent2 2 6 2 4 4" xfId="44695" xr:uid="{00000000-0005-0000-0000-0000DC120000}"/>
    <cellStyle name="20% - Accent2 2 6 2 4 5" xfId="15520" xr:uid="{00000000-0005-0000-0000-0000DD120000}"/>
    <cellStyle name="20% - Accent2 2 6 2 5" xfId="20383" xr:uid="{00000000-0005-0000-0000-0000DE120000}"/>
    <cellStyle name="20% - Accent2 2 6 2 6" xfId="30108" xr:uid="{00000000-0005-0000-0000-0000DF120000}"/>
    <cellStyle name="20% - Accent2 2 6 2 7" xfId="39833" xr:uid="{00000000-0005-0000-0000-0000E0120000}"/>
    <cellStyle name="20% - Accent2 2 6 2 8" xfId="10658" xr:uid="{00000000-0005-0000-0000-0000E1120000}"/>
    <cellStyle name="20% - Accent2 2 6 3" xfId="1381" xr:uid="{00000000-0005-0000-0000-0000E2120000}"/>
    <cellStyle name="20% - Accent2 2 6 3 2" xfId="3002" xr:uid="{00000000-0005-0000-0000-0000E3120000}"/>
    <cellStyle name="20% - Accent2 2 6 3 2 2" xfId="7864" xr:uid="{00000000-0005-0000-0000-0000E4120000}"/>
    <cellStyle name="20% - Accent2 2 6 3 2 2 2" xfId="27315" xr:uid="{00000000-0005-0000-0000-0000E5120000}"/>
    <cellStyle name="20% - Accent2 2 6 3 2 2 3" xfId="37040" xr:uid="{00000000-0005-0000-0000-0000E6120000}"/>
    <cellStyle name="20% - Accent2 2 6 3 2 2 4" xfId="46765" xr:uid="{00000000-0005-0000-0000-0000E7120000}"/>
    <cellStyle name="20% - Accent2 2 6 3 2 2 5" xfId="17590" xr:uid="{00000000-0005-0000-0000-0000E8120000}"/>
    <cellStyle name="20% - Accent2 2 6 3 2 3" xfId="22453" xr:uid="{00000000-0005-0000-0000-0000E9120000}"/>
    <cellStyle name="20% - Accent2 2 6 3 2 4" xfId="32178" xr:uid="{00000000-0005-0000-0000-0000EA120000}"/>
    <cellStyle name="20% - Accent2 2 6 3 2 5" xfId="41903" xr:uid="{00000000-0005-0000-0000-0000EB120000}"/>
    <cellStyle name="20% - Accent2 2 6 3 2 6" xfId="12728" xr:uid="{00000000-0005-0000-0000-0000EC120000}"/>
    <cellStyle name="20% - Accent2 2 6 3 3" xfId="4622" xr:uid="{00000000-0005-0000-0000-0000ED120000}"/>
    <cellStyle name="20% - Accent2 2 6 3 3 2" xfId="9484" xr:uid="{00000000-0005-0000-0000-0000EE120000}"/>
    <cellStyle name="20% - Accent2 2 6 3 3 2 2" xfId="28935" xr:uid="{00000000-0005-0000-0000-0000EF120000}"/>
    <cellStyle name="20% - Accent2 2 6 3 3 2 3" xfId="38660" xr:uid="{00000000-0005-0000-0000-0000F0120000}"/>
    <cellStyle name="20% - Accent2 2 6 3 3 2 4" xfId="48385" xr:uid="{00000000-0005-0000-0000-0000F1120000}"/>
    <cellStyle name="20% - Accent2 2 6 3 3 2 5" xfId="19210" xr:uid="{00000000-0005-0000-0000-0000F2120000}"/>
    <cellStyle name="20% - Accent2 2 6 3 3 3" xfId="24073" xr:uid="{00000000-0005-0000-0000-0000F3120000}"/>
    <cellStyle name="20% - Accent2 2 6 3 3 4" xfId="33798" xr:uid="{00000000-0005-0000-0000-0000F4120000}"/>
    <cellStyle name="20% - Accent2 2 6 3 3 5" xfId="43523" xr:uid="{00000000-0005-0000-0000-0000F5120000}"/>
    <cellStyle name="20% - Accent2 2 6 3 3 6" xfId="14348" xr:uid="{00000000-0005-0000-0000-0000F6120000}"/>
    <cellStyle name="20% - Accent2 2 6 3 4" xfId="6244" xr:uid="{00000000-0005-0000-0000-0000F7120000}"/>
    <cellStyle name="20% - Accent2 2 6 3 4 2" xfId="25695" xr:uid="{00000000-0005-0000-0000-0000F8120000}"/>
    <cellStyle name="20% - Accent2 2 6 3 4 3" xfId="35420" xr:uid="{00000000-0005-0000-0000-0000F9120000}"/>
    <cellStyle name="20% - Accent2 2 6 3 4 4" xfId="45145" xr:uid="{00000000-0005-0000-0000-0000FA120000}"/>
    <cellStyle name="20% - Accent2 2 6 3 4 5" xfId="15970" xr:uid="{00000000-0005-0000-0000-0000FB120000}"/>
    <cellStyle name="20% - Accent2 2 6 3 5" xfId="20833" xr:uid="{00000000-0005-0000-0000-0000FC120000}"/>
    <cellStyle name="20% - Accent2 2 6 3 6" xfId="30558" xr:uid="{00000000-0005-0000-0000-0000FD120000}"/>
    <cellStyle name="20% - Accent2 2 6 3 7" xfId="40283" xr:uid="{00000000-0005-0000-0000-0000FE120000}"/>
    <cellStyle name="20% - Accent2 2 6 3 8" xfId="11108" xr:uid="{00000000-0005-0000-0000-0000FF120000}"/>
    <cellStyle name="20% - Accent2 2 6 4" xfId="552" xr:uid="{00000000-0005-0000-0000-000000130000}"/>
    <cellStyle name="20% - Accent2 2 6 4 2" xfId="2192" xr:uid="{00000000-0005-0000-0000-000001130000}"/>
    <cellStyle name="20% - Accent2 2 6 4 2 2" xfId="7054" xr:uid="{00000000-0005-0000-0000-000002130000}"/>
    <cellStyle name="20% - Accent2 2 6 4 2 2 2" xfId="26505" xr:uid="{00000000-0005-0000-0000-000003130000}"/>
    <cellStyle name="20% - Accent2 2 6 4 2 2 3" xfId="36230" xr:uid="{00000000-0005-0000-0000-000004130000}"/>
    <cellStyle name="20% - Accent2 2 6 4 2 2 4" xfId="45955" xr:uid="{00000000-0005-0000-0000-000005130000}"/>
    <cellStyle name="20% - Accent2 2 6 4 2 2 5" xfId="16780" xr:uid="{00000000-0005-0000-0000-000006130000}"/>
    <cellStyle name="20% - Accent2 2 6 4 2 3" xfId="21643" xr:uid="{00000000-0005-0000-0000-000007130000}"/>
    <cellStyle name="20% - Accent2 2 6 4 2 4" xfId="31368" xr:uid="{00000000-0005-0000-0000-000008130000}"/>
    <cellStyle name="20% - Accent2 2 6 4 2 5" xfId="41093" xr:uid="{00000000-0005-0000-0000-000009130000}"/>
    <cellStyle name="20% - Accent2 2 6 4 2 6" xfId="11918" xr:uid="{00000000-0005-0000-0000-00000A130000}"/>
    <cellStyle name="20% - Accent2 2 6 4 3" xfId="3812" xr:uid="{00000000-0005-0000-0000-00000B130000}"/>
    <cellStyle name="20% - Accent2 2 6 4 3 2" xfId="8674" xr:uid="{00000000-0005-0000-0000-00000C130000}"/>
    <cellStyle name="20% - Accent2 2 6 4 3 2 2" xfId="28125" xr:uid="{00000000-0005-0000-0000-00000D130000}"/>
    <cellStyle name="20% - Accent2 2 6 4 3 2 3" xfId="37850" xr:uid="{00000000-0005-0000-0000-00000E130000}"/>
    <cellStyle name="20% - Accent2 2 6 4 3 2 4" xfId="47575" xr:uid="{00000000-0005-0000-0000-00000F130000}"/>
    <cellStyle name="20% - Accent2 2 6 4 3 2 5" xfId="18400" xr:uid="{00000000-0005-0000-0000-000010130000}"/>
    <cellStyle name="20% - Accent2 2 6 4 3 3" xfId="23263" xr:uid="{00000000-0005-0000-0000-000011130000}"/>
    <cellStyle name="20% - Accent2 2 6 4 3 4" xfId="32988" xr:uid="{00000000-0005-0000-0000-000012130000}"/>
    <cellStyle name="20% - Accent2 2 6 4 3 5" xfId="42713" xr:uid="{00000000-0005-0000-0000-000013130000}"/>
    <cellStyle name="20% - Accent2 2 6 4 3 6" xfId="13538" xr:uid="{00000000-0005-0000-0000-000014130000}"/>
    <cellStyle name="20% - Accent2 2 6 4 4" xfId="5434" xr:uid="{00000000-0005-0000-0000-000015130000}"/>
    <cellStyle name="20% - Accent2 2 6 4 4 2" xfId="24885" xr:uid="{00000000-0005-0000-0000-000016130000}"/>
    <cellStyle name="20% - Accent2 2 6 4 4 3" xfId="34610" xr:uid="{00000000-0005-0000-0000-000017130000}"/>
    <cellStyle name="20% - Accent2 2 6 4 4 4" xfId="44335" xr:uid="{00000000-0005-0000-0000-000018130000}"/>
    <cellStyle name="20% - Accent2 2 6 4 4 5" xfId="15160" xr:uid="{00000000-0005-0000-0000-000019130000}"/>
    <cellStyle name="20% - Accent2 2 6 4 5" xfId="20023" xr:uid="{00000000-0005-0000-0000-00001A130000}"/>
    <cellStyle name="20% - Accent2 2 6 4 6" xfId="29748" xr:uid="{00000000-0005-0000-0000-00001B130000}"/>
    <cellStyle name="20% - Accent2 2 6 4 7" xfId="39473" xr:uid="{00000000-0005-0000-0000-00001C130000}"/>
    <cellStyle name="20% - Accent2 2 6 4 8" xfId="10298" xr:uid="{00000000-0005-0000-0000-00001D130000}"/>
    <cellStyle name="20% - Accent2 2 6 5" xfId="1832" xr:uid="{00000000-0005-0000-0000-00001E130000}"/>
    <cellStyle name="20% - Accent2 2 6 5 2" xfId="6694" xr:uid="{00000000-0005-0000-0000-00001F130000}"/>
    <cellStyle name="20% - Accent2 2 6 5 2 2" xfId="26145" xr:uid="{00000000-0005-0000-0000-000020130000}"/>
    <cellStyle name="20% - Accent2 2 6 5 2 3" xfId="35870" xr:uid="{00000000-0005-0000-0000-000021130000}"/>
    <cellStyle name="20% - Accent2 2 6 5 2 4" xfId="45595" xr:uid="{00000000-0005-0000-0000-000022130000}"/>
    <cellStyle name="20% - Accent2 2 6 5 2 5" xfId="16420" xr:uid="{00000000-0005-0000-0000-000023130000}"/>
    <cellStyle name="20% - Accent2 2 6 5 3" xfId="21283" xr:uid="{00000000-0005-0000-0000-000024130000}"/>
    <cellStyle name="20% - Accent2 2 6 5 4" xfId="31008" xr:uid="{00000000-0005-0000-0000-000025130000}"/>
    <cellStyle name="20% - Accent2 2 6 5 5" xfId="40733" xr:uid="{00000000-0005-0000-0000-000026130000}"/>
    <cellStyle name="20% - Accent2 2 6 5 6" xfId="11558" xr:uid="{00000000-0005-0000-0000-000027130000}"/>
    <cellStyle name="20% - Accent2 2 6 6" xfId="3452" xr:uid="{00000000-0005-0000-0000-000028130000}"/>
    <cellStyle name="20% - Accent2 2 6 6 2" xfId="8314" xr:uid="{00000000-0005-0000-0000-000029130000}"/>
    <cellStyle name="20% - Accent2 2 6 6 2 2" xfId="27765" xr:uid="{00000000-0005-0000-0000-00002A130000}"/>
    <cellStyle name="20% - Accent2 2 6 6 2 3" xfId="37490" xr:uid="{00000000-0005-0000-0000-00002B130000}"/>
    <cellStyle name="20% - Accent2 2 6 6 2 4" xfId="47215" xr:uid="{00000000-0005-0000-0000-00002C130000}"/>
    <cellStyle name="20% - Accent2 2 6 6 2 5" xfId="18040" xr:uid="{00000000-0005-0000-0000-00002D130000}"/>
    <cellStyle name="20% - Accent2 2 6 6 3" xfId="22903" xr:uid="{00000000-0005-0000-0000-00002E130000}"/>
    <cellStyle name="20% - Accent2 2 6 6 4" xfId="32628" xr:uid="{00000000-0005-0000-0000-00002F130000}"/>
    <cellStyle name="20% - Accent2 2 6 6 5" xfId="42353" xr:uid="{00000000-0005-0000-0000-000030130000}"/>
    <cellStyle name="20% - Accent2 2 6 6 6" xfId="13178" xr:uid="{00000000-0005-0000-0000-000031130000}"/>
    <cellStyle name="20% - Accent2 2 6 7" xfId="5074" xr:uid="{00000000-0005-0000-0000-000032130000}"/>
    <cellStyle name="20% - Accent2 2 6 7 2" xfId="24525" xr:uid="{00000000-0005-0000-0000-000033130000}"/>
    <cellStyle name="20% - Accent2 2 6 7 3" xfId="34250" xr:uid="{00000000-0005-0000-0000-000034130000}"/>
    <cellStyle name="20% - Accent2 2 6 7 4" xfId="43975" xr:uid="{00000000-0005-0000-0000-000035130000}"/>
    <cellStyle name="20% - Accent2 2 6 7 5" xfId="14800" xr:uid="{00000000-0005-0000-0000-000036130000}"/>
    <cellStyle name="20% - Accent2 2 6 8" xfId="19663" xr:uid="{00000000-0005-0000-0000-000037130000}"/>
    <cellStyle name="20% - Accent2 2 6 9" xfId="29388" xr:uid="{00000000-0005-0000-0000-000038130000}"/>
    <cellStyle name="20% - Accent2 2 7" xfId="823" xr:uid="{00000000-0005-0000-0000-000039130000}"/>
    <cellStyle name="20% - Accent2 2 7 2" xfId="2462" xr:uid="{00000000-0005-0000-0000-00003A130000}"/>
    <cellStyle name="20% - Accent2 2 7 2 2" xfId="7324" xr:uid="{00000000-0005-0000-0000-00003B130000}"/>
    <cellStyle name="20% - Accent2 2 7 2 2 2" xfId="26775" xr:uid="{00000000-0005-0000-0000-00003C130000}"/>
    <cellStyle name="20% - Accent2 2 7 2 2 3" xfId="36500" xr:uid="{00000000-0005-0000-0000-00003D130000}"/>
    <cellStyle name="20% - Accent2 2 7 2 2 4" xfId="46225" xr:uid="{00000000-0005-0000-0000-00003E130000}"/>
    <cellStyle name="20% - Accent2 2 7 2 2 5" xfId="17050" xr:uid="{00000000-0005-0000-0000-00003F130000}"/>
    <cellStyle name="20% - Accent2 2 7 2 3" xfId="21913" xr:uid="{00000000-0005-0000-0000-000040130000}"/>
    <cellStyle name="20% - Accent2 2 7 2 4" xfId="31638" xr:uid="{00000000-0005-0000-0000-000041130000}"/>
    <cellStyle name="20% - Accent2 2 7 2 5" xfId="41363" xr:uid="{00000000-0005-0000-0000-000042130000}"/>
    <cellStyle name="20% - Accent2 2 7 2 6" xfId="12188" xr:uid="{00000000-0005-0000-0000-000043130000}"/>
    <cellStyle name="20% - Accent2 2 7 3" xfId="4082" xr:uid="{00000000-0005-0000-0000-000044130000}"/>
    <cellStyle name="20% - Accent2 2 7 3 2" xfId="8944" xr:uid="{00000000-0005-0000-0000-000045130000}"/>
    <cellStyle name="20% - Accent2 2 7 3 2 2" xfId="28395" xr:uid="{00000000-0005-0000-0000-000046130000}"/>
    <cellStyle name="20% - Accent2 2 7 3 2 3" xfId="38120" xr:uid="{00000000-0005-0000-0000-000047130000}"/>
    <cellStyle name="20% - Accent2 2 7 3 2 4" xfId="47845" xr:uid="{00000000-0005-0000-0000-000048130000}"/>
    <cellStyle name="20% - Accent2 2 7 3 2 5" xfId="18670" xr:uid="{00000000-0005-0000-0000-000049130000}"/>
    <cellStyle name="20% - Accent2 2 7 3 3" xfId="23533" xr:uid="{00000000-0005-0000-0000-00004A130000}"/>
    <cellStyle name="20% - Accent2 2 7 3 4" xfId="33258" xr:uid="{00000000-0005-0000-0000-00004B130000}"/>
    <cellStyle name="20% - Accent2 2 7 3 5" xfId="42983" xr:uid="{00000000-0005-0000-0000-00004C130000}"/>
    <cellStyle name="20% - Accent2 2 7 3 6" xfId="13808" xr:uid="{00000000-0005-0000-0000-00004D130000}"/>
    <cellStyle name="20% - Accent2 2 7 4" xfId="5704" xr:uid="{00000000-0005-0000-0000-00004E130000}"/>
    <cellStyle name="20% - Accent2 2 7 4 2" xfId="25155" xr:uid="{00000000-0005-0000-0000-00004F130000}"/>
    <cellStyle name="20% - Accent2 2 7 4 3" xfId="34880" xr:uid="{00000000-0005-0000-0000-000050130000}"/>
    <cellStyle name="20% - Accent2 2 7 4 4" xfId="44605" xr:uid="{00000000-0005-0000-0000-000051130000}"/>
    <cellStyle name="20% - Accent2 2 7 4 5" xfId="15430" xr:uid="{00000000-0005-0000-0000-000052130000}"/>
    <cellStyle name="20% - Accent2 2 7 5" xfId="20293" xr:uid="{00000000-0005-0000-0000-000053130000}"/>
    <cellStyle name="20% - Accent2 2 7 6" xfId="30018" xr:uid="{00000000-0005-0000-0000-000054130000}"/>
    <cellStyle name="20% - Accent2 2 7 7" xfId="39743" xr:uid="{00000000-0005-0000-0000-000055130000}"/>
    <cellStyle name="20% - Accent2 2 7 8" xfId="10568" xr:uid="{00000000-0005-0000-0000-000056130000}"/>
    <cellStyle name="20% - Accent2 2 8" xfId="1201" xr:uid="{00000000-0005-0000-0000-000057130000}"/>
    <cellStyle name="20% - Accent2 2 8 2" xfId="2822" xr:uid="{00000000-0005-0000-0000-000058130000}"/>
    <cellStyle name="20% - Accent2 2 8 2 2" xfId="7684" xr:uid="{00000000-0005-0000-0000-000059130000}"/>
    <cellStyle name="20% - Accent2 2 8 2 2 2" xfId="27135" xr:uid="{00000000-0005-0000-0000-00005A130000}"/>
    <cellStyle name="20% - Accent2 2 8 2 2 3" xfId="36860" xr:uid="{00000000-0005-0000-0000-00005B130000}"/>
    <cellStyle name="20% - Accent2 2 8 2 2 4" xfId="46585" xr:uid="{00000000-0005-0000-0000-00005C130000}"/>
    <cellStyle name="20% - Accent2 2 8 2 2 5" xfId="17410" xr:uid="{00000000-0005-0000-0000-00005D130000}"/>
    <cellStyle name="20% - Accent2 2 8 2 3" xfId="22273" xr:uid="{00000000-0005-0000-0000-00005E130000}"/>
    <cellStyle name="20% - Accent2 2 8 2 4" xfId="31998" xr:uid="{00000000-0005-0000-0000-00005F130000}"/>
    <cellStyle name="20% - Accent2 2 8 2 5" xfId="41723" xr:uid="{00000000-0005-0000-0000-000060130000}"/>
    <cellStyle name="20% - Accent2 2 8 2 6" xfId="12548" xr:uid="{00000000-0005-0000-0000-000061130000}"/>
    <cellStyle name="20% - Accent2 2 8 3" xfId="4442" xr:uid="{00000000-0005-0000-0000-000062130000}"/>
    <cellStyle name="20% - Accent2 2 8 3 2" xfId="9304" xr:uid="{00000000-0005-0000-0000-000063130000}"/>
    <cellStyle name="20% - Accent2 2 8 3 2 2" xfId="28755" xr:uid="{00000000-0005-0000-0000-000064130000}"/>
    <cellStyle name="20% - Accent2 2 8 3 2 3" xfId="38480" xr:uid="{00000000-0005-0000-0000-000065130000}"/>
    <cellStyle name="20% - Accent2 2 8 3 2 4" xfId="48205" xr:uid="{00000000-0005-0000-0000-000066130000}"/>
    <cellStyle name="20% - Accent2 2 8 3 2 5" xfId="19030" xr:uid="{00000000-0005-0000-0000-000067130000}"/>
    <cellStyle name="20% - Accent2 2 8 3 3" xfId="23893" xr:uid="{00000000-0005-0000-0000-000068130000}"/>
    <cellStyle name="20% - Accent2 2 8 3 4" xfId="33618" xr:uid="{00000000-0005-0000-0000-000069130000}"/>
    <cellStyle name="20% - Accent2 2 8 3 5" xfId="43343" xr:uid="{00000000-0005-0000-0000-00006A130000}"/>
    <cellStyle name="20% - Accent2 2 8 3 6" xfId="14168" xr:uid="{00000000-0005-0000-0000-00006B130000}"/>
    <cellStyle name="20% - Accent2 2 8 4" xfId="6064" xr:uid="{00000000-0005-0000-0000-00006C130000}"/>
    <cellStyle name="20% - Accent2 2 8 4 2" xfId="25515" xr:uid="{00000000-0005-0000-0000-00006D130000}"/>
    <cellStyle name="20% - Accent2 2 8 4 3" xfId="35240" xr:uid="{00000000-0005-0000-0000-00006E130000}"/>
    <cellStyle name="20% - Accent2 2 8 4 4" xfId="44965" xr:uid="{00000000-0005-0000-0000-00006F130000}"/>
    <cellStyle name="20% - Accent2 2 8 4 5" xfId="15790" xr:uid="{00000000-0005-0000-0000-000070130000}"/>
    <cellStyle name="20% - Accent2 2 8 5" xfId="20653" xr:uid="{00000000-0005-0000-0000-000071130000}"/>
    <cellStyle name="20% - Accent2 2 8 6" xfId="30378" xr:uid="{00000000-0005-0000-0000-000072130000}"/>
    <cellStyle name="20% - Accent2 2 8 7" xfId="40103" xr:uid="{00000000-0005-0000-0000-000073130000}"/>
    <cellStyle name="20% - Accent2 2 8 8" xfId="10928" xr:uid="{00000000-0005-0000-0000-000074130000}"/>
    <cellStyle name="20% - Accent2 2 9" xfId="1291" xr:uid="{00000000-0005-0000-0000-000075130000}"/>
    <cellStyle name="20% - Accent2 2 9 2" xfId="2912" xr:uid="{00000000-0005-0000-0000-000076130000}"/>
    <cellStyle name="20% - Accent2 2 9 2 2" xfId="7774" xr:uid="{00000000-0005-0000-0000-000077130000}"/>
    <cellStyle name="20% - Accent2 2 9 2 2 2" xfId="27225" xr:uid="{00000000-0005-0000-0000-000078130000}"/>
    <cellStyle name="20% - Accent2 2 9 2 2 3" xfId="36950" xr:uid="{00000000-0005-0000-0000-000079130000}"/>
    <cellStyle name="20% - Accent2 2 9 2 2 4" xfId="46675" xr:uid="{00000000-0005-0000-0000-00007A130000}"/>
    <cellStyle name="20% - Accent2 2 9 2 2 5" xfId="17500" xr:uid="{00000000-0005-0000-0000-00007B130000}"/>
    <cellStyle name="20% - Accent2 2 9 2 3" xfId="22363" xr:uid="{00000000-0005-0000-0000-00007C130000}"/>
    <cellStyle name="20% - Accent2 2 9 2 4" xfId="32088" xr:uid="{00000000-0005-0000-0000-00007D130000}"/>
    <cellStyle name="20% - Accent2 2 9 2 5" xfId="41813" xr:uid="{00000000-0005-0000-0000-00007E130000}"/>
    <cellStyle name="20% - Accent2 2 9 2 6" xfId="12638" xr:uid="{00000000-0005-0000-0000-00007F130000}"/>
    <cellStyle name="20% - Accent2 2 9 3" xfId="4532" xr:uid="{00000000-0005-0000-0000-000080130000}"/>
    <cellStyle name="20% - Accent2 2 9 3 2" xfId="9394" xr:uid="{00000000-0005-0000-0000-000081130000}"/>
    <cellStyle name="20% - Accent2 2 9 3 2 2" xfId="28845" xr:uid="{00000000-0005-0000-0000-000082130000}"/>
    <cellStyle name="20% - Accent2 2 9 3 2 3" xfId="38570" xr:uid="{00000000-0005-0000-0000-000083130000}"/>
    <cellStyle name="20% - Accent2 2 9 3 2 4" xfId="48295" xr:uid="{00000000-0005-0000-0000-000084130000}"/>
    <cellStyle name="20% - Accent2 2 9 3 2 5" xfId="19120" xr:uid="{00000000-0005-0000-0000-000085130000}"/>
    <cellStyle name="20% - Accent2 2 9 3 3" xfId="23983" xr:uid="{00000000-0005-0000-0000-000086130000}"/>
    <cellStyle name="20% - Accent2 2 9 3 4" xfId="33708" xr:uid="{00000000-0005-0000-0000-000087130000}"/>
    <cellStyle name="20% - Accent2 2 9 3 5" xfId="43433" xr:uid="{00000000-0005-0000-0000-000088130000}"/>
    <cellStyle name="20% - Accent2 2 9 3 6" xfId="14258" xr:uid="{00000000-0005-0000-0000-000089130000}"/>
    <cellStyle name="20% - Accent2 2 9 4" xfId="6154" xr:uid="{00000000-0005-0000-0000-00008A130000}"/>
    <cellStyle name="20% - Accent2 2 9 4 2" xfId="25605" xr:uid="{00000000-0005-0000-0000-00008B130000}"/>
    <cellStyle name="20% - Accent2 2 9 4 3" xfId="35330" xr:uid="{00000000-0005-0000-0000-00008C130000}"/>
    <cellStyle name="20% - Accent2 2 9 4 4" xfId="45055" xr:uid="{00000000-0005-0000-0000-00008D130000}"/>
    <cellStyle name="20% - Accent2 2 9 4 5" xfId="15880" xr:uid="{00000000-0005-0000-0000-00008E130000}"/>
    <cellStyle name="20% - Accent2 2 9 5" xfId="20743" xr:uid="{00000000-0005-0000-0000-00008F130000}"/>
    <cellStyle name="20% - Accent2 2 9 6" xfId="30468" xr:uid="{00000000-0005-0000-0000-000090130000}"/>
    <cellStyle name="20% - Accent2 2 9 7" xfId="40193" xr:uid="{00000000-0005-0000-0000-000091130000}"/>
    <cellStyle name="20% - Accent2 2 9 8" xfId="11018" xr:uid="{00000000-0005-0000-0000-000092130000}"/>
    <cellStyle name="20% - Accent2 2_Database (All)" xfId="806" xr:uid="{00000000-0005-0000-0000-000093130000}"/>
    <cellStyle name="20% - Accent2 20" xfId="9834" xr:uid="{00000000-0005-0000-0000-000094130000}"/>
    <cellStyle name="20% - Accent2 3" xfId="74" xr:uid="{00000000-0005-0000-0000-000095130000}"/>
    <cellStyle name="20% - Accent2 3 10" xfId="1758" xr:uid="{00000000-0005-0000-0000-000096130000}"/>
    <cellStyle name="20% - Accent2 3 10 2" xfId="6620" xr:uid="{00000000-0005-0000-0000-000097130000}"/>
    <cellStyle name="20% - Accent2 3 10 2 2" xfId="26071" xr:uid="{00000000-0005-0000-0000-000098130000}"/>
    <cellStyle name="20% - Accent2 3 10 2 3" xfId="35796" xr:uid="{00000000-0005-0000-0000-000099130000}"/>
    <cellStyle name="20% - Accent2 3 10 2 4" xfId="45521" xr:uid="{00000000-0005-0000-0000-00009A130000}"/>
    <cellStyle name="20% - Accent2 3 10 2 5" xfId="16346" xr:uid="{00000000-0005-0000-0000-00009B130000}"/>
    <cellStyle name="20% - Accent2 3 10 3" xfId="21209" xr:uid="{00000000-0005-0000-0000-00009C130000}"/>
    <cellStyle name="20% - Accent2 3 10 4" xfId="30934" xr:uid="{00000000-0005-0000-0000-00009D130000}"/>
    <cellStyle name="20% - Accent2 3 10 5" xfId="40659" xr:uid="{00000000-0005-0000-0000-00009E130000}"/>
    <cellStyle name="20% - Accent2 3 10 6" xfId="11484" xr:uid="{00000000-0005-0000-0000-00009F130000}"/>
    <cellStyle name="20% - Accent2 3 11" xfId="3378" xr:uid="{00000000-0005-0000-0000-0000A0130000}"/>
    <cellStyle name="20% - Accent2 3 11 2" xfId="8240" xr:uid="{00000000-0005-0000-0000-0000A1130000}"/>
    <cellStyle name="20% - Accent2 3 11 2 2" xfId="27691" xr:uid="{00000000-0005-0000-0000-0000A2130000}"/>
    <cellStyle name="20% - Accent2 3 11 2 3" xfId="37416" xr:uid="{00000000-0005-0000-0000-0000A3130000}"/>
    <cellStyle name="20% - Accent2 3 11 2 4" xfId="47141" xr:uid="{00000000-0005-0000-0000-0000A4130000}"/>
    <cellStyle name="20% - Accent2 3 11 2 5" xfId="17966" xr:uid="{00000000-0005-0000-0000-0000A5130000}"/>
    <cellStyle name="20% - Accent2 3 11 3" xfId="22829" xr:uid="{00000000-0005-0000-0000-0000A6130000}"/>
    <cellStyle name="20% - Accent2 3 11 4" xfId="32554" xr:uid="{00000000-0005-0000-0000-0000A7130000}"/>
    <cellStyle name="20% - Accent2 3 11 5" xfId="42279" xr:uid="{00000000-0005-0000-0000-0000A8130000}"/>
    <cellStyle name="20% - Accent2 3 11 6" xfId="13104" xr:uid="{00000000-0005-0000-0000-0000A9130000}"/>
    <cellStyle name="20% - Accent2 3 12" xfId="5000" xr:uid="{00000000-0005-0000-0000-0000AA130000}"/>
    <cellStyle name="20% - Accent2 3 12 2" xfId="24451" xr:uid="{00000000-0005-0000-0000-0000AB130000}"/>
    <cellStyle name="20% - Accent2 3 12 3" xfId="34176" xr:uid="{00000000-0005-0000-0000-0000AC130000}"/>
    <cellStyle name="20% - Accent2 3 12 4" xfId="43901" xr:uid="{00000000-0005-0000-0000-0000AD130000}"/>
    <cellStyle name="20% - Accent2 3 12 5" xfId="14726" xr:uid="{00000000-0005-0000-0000-0000AE130000}"/>
    <cellStyle name="20% - Accent2 3 13" xfId="19589" xr:uid="{00000000-0005-0000-0000-0000AF130000}"/>
    <cellStyle name="20% - Accent2 3 14" xfId="29314" xr:uid="{00000000-0005-0000-0000-0000B0130000}"/>
    <cellStyle name="20% - Accent2 3 15" xfId="39039" xr:uid="{00000000-0005-0000-0000-0000B1130000}"/>
    <cellStyle name="20% - Accent2 3 16" xfId="9864" xr:uid="{00000000-0005-0000-0000-0000B2130000}"/>
    <cellStyle name="20% - Accent2 3 2" xfId="256" xr:uid="{00000000-0005-0000-0000-0000B3130000}"/>
    <cellStyle name="20% - Accent2 3 2 10" xfId="39219" xr:uid="{00000000-0005-0000-0000-0000B4130000}"/>
    <cellStyle name="20% - Accent2 3 2 11" xfId="10044" xr:uid="{00000000-0005-0000-0000-0000B5130000}"/>
    <cellStyle name="20% - Accent2 3 2 2" xfId="1020" xr:uid="{00000000-0005-0000-0000-0000B6130000}"/>
    <cellStyle name="20% - Accent2 3 2 2 2" xfId="2658" xr:uid="{00000000-0005-0000-0000-0000B7130000}"/>
    <cellStyle name="20% - Accent2 3 2 2 2 2" xfId="7520" xr:uid="{00000000-0005-0000-0000-0000B8130000}"/>
    <cellStyle name="20% - Accent2 3 2 2 2 2 2" xfId="26971" xr:uid="{00000000-0005-0000-0000-0000B9130000}"/>
    <cellStyle name="20% - Accent2 3 2 2 2 2 3" xfId="36696" xr:uid="{00000000-0005-0000-0000-0000BA130000}"/>
    <cellStyle name="20% - Accent2 3 2 2 2 2 4" xfId="46421" xr:uid="{00000000-0005-0000-0000-0000BB130000}"/>
    <cellStyle name="20% - Accent2 3 2 2 2 2 5" xfId="17246" xr:uid="{00000000-0005-0000-0000-0000BC130000}"/>
    <cellStyle name="20% - Accent2 3 2 2 2 3" xfId="22109" xr:uid="{00000000-0005-0000-0000-0000BD130000}"/>
    <cellStyle name="20% - Accent2 3 2 2 2 4" xfId="31834" xr:uid="{00000000-0005-0000-0000-0000BE130000}"/>
    <cellStyle name="20% - Accent2 3 2 2 2 5" xfId="41559" xr:uid="{00000000-0005-0000-0000-0000BF130000}"/>
    <cellStyle name="20% - Accent2 3 2 2 2 6" xfId="12384" xr:uid="{00000000-0005-0000-0000-0000C0130000}"/>
    <cellStyle name="20% - Accent2 3 2 2 3" xfId="4278" xr:uid="{00000000-0005-0000-0000-0000C1130000}"/>
    <cellStyle name="20% - Accent2 3 2 2 3 2" xfId="9140" xr:uid="{00000000-0005-0000-0000-0000C2130000}"/>
    <cellStyle name="20% - Accent2 3 2 2 3 2 2" xfId="28591" xr:uid="{00000000-0005-0000-0000-0000C3130000}"/>
    <cellStyle name="20% - Accent2 3 2 2 3 2 3" xfId="38316" xr:uid="{00000000-0005-0000-0000-0000C4130000}"/>
    <cellStyle name="20% - Accent2 3 2 2 3 2 4" xfId="48041" xr:uid="{00000000-0005-0000-0000-0000C5130000}"/>
    <cellStyle name="20% - Accent2 3 2 2 3 2 5" xfId="18866" xr:uid="{00000000-0005-0000-0000-0000C6130000}"/>
    <cellStyle name="20% - Accent2 3 2 2 3 3" xfId="23729" xr:uid="{00000000-0005-0000-0000-0000C7130000}"/>
    <cellStyle name="20% - Accent2 3 2 2 3 4" xfId="33454" xr:uid="{00000000-0005-0000-0000-0000C8130000}"/>
    <cellStyle name="20% - Accent2 3 2 2 3 5" xfId="43179" xr:uid="{00000000-0005-0000-0000-0000C9130000}"/>
    <cellStyle name="20% - Accent2 3 2 2 3 6" xfId="14004" xr:uid="{00000000-0005-0000-0000-0000CA130000}"/>
    <cellStyle name="20% - Accent2 3 2 2 4" xfId="5900" xr:uid="{00000000-0005-0000-0000-0000CB130000}"/>
    <cellStyle name="20% - Accent2 3 2 2 4 2" xfId="25351" xr:uid="{00000000-0005-0000-0000-0000CC130000}"/>
    <cellStyle name="20% - Accent2 3 2 2 4 3" xfId="35076" xr:uid="{00000000-0005-0000-0000-0000CD130000}"/>
    <cellStyle name="20% - Accent2 3 2 2 4 4" xfId="44801" xr:uid="{00000000-0005-0000-0000-0000CE130000}"/>
    <cellStyle name="20% - Accent2 3 2 2 4 5" xfId="15626" xr:uid="{00000000-0005-0000-0000-0000CF130000}"/>
    <cellStyle name="20% - Accent2 3 2 2 5" xfId="20489" xr:uid="{00000000-0005-0000-0000-0000D0130000}"/>
    <cellStyle name="20% - Accent2 3 2 2 6" xfId="30214" xr:uid="{00000000-0005-0000-0000-0000D1130000}"/>
    <cellStyle name="20% - Accent2 3 2 2 7" xfId="39939" xr:uid="{00000000-0005-0000-0000-0000D2130000}"/>
    <cellStyle name="20% - Accent2 3 2 2 8" xfId="10764" xr:uid="{00000000-0005-0000-0000-0000D3130000}"/>
    <cellStyle name="20% - Accent2 3 2 3" xfId="1487" xr:uid="{00000000-0005-0000-0000-0000D4130000}"/>
    <cellStyle name="20% - Accent2 3 2 3 2" xfId="3108" xr:uid="{00000000-0005-0000-0000-0000D5130000}"/>
    <cellStyle name="20% - Accent2 3 2 3 2 2" xfId="7970" xr:uid="{00000000-0005-0000-0000-0000D6130000}"/>
    <cellStyle name="20% - Accent2 3 2 3 2 2 2" xfId="27421" xr:uid="{00000000-0005-0000-0000-0000D7130000}"/>
    <cellStyle name="20% - Accent2 3 2 3 2 2 3" xfId="37146" xr:uid="{00000000-0005-0000-0000-0000D8130000}"/>
    <cellStyle name="20% - Accent2 3 2 3 2 2 4" xfId="46871" xr:uid="{00000000-0005-0000-0000-0000D9130000}"/>
    <cellStyle name="20% - Accent2 3 2 3 2 2 5" xfId="17696" xr:uid="{00000000-0005-0000-0000-0000DA130000}"/>
    <cellStyle name="20% - Accent2 3 2 3 2 3" xfId="22559" xr:uid="{00000000-0005-0000-0000-0000DB130000}"/>
    <cellStyle name="20% - Accent2 3 2 3 2 4" xfId="32284" xr:uid="{00000000-0005-0000-0000-0000DC130000}"/>
    <cellStyle name="20% - Accent2 3 2 3 2 5" xfId="42009" xr:uid="{00000000-0005-0000-0000-0000DD130000}"/>
    <cellStyle name="20% - Accent2 3 2 3 2 6" xfId="12834" xr:uid="{00000000-0005-0000-0000-0000DE130000}"/>
    <cellStyle name="20% - Accent2 3 2 3 3" xfId="4728" xr:uid="{00000000-0005-0000-0000-0000DF130000}"/>
    <cellStyle name="20% - Accent2 3 2 3 3 2" xfId="9590" xr:uid="{00000000-0005-0000-0000-0000E0130000}"/>
    <cellStyle name="20% - Accent2 3 2 3 3 2 2" xfId="29041" xr:uid="{00000000-0005-0000-0000-0000E1130000}"/>
    <cellStyle name="20% - Accent2 3 2 3 3 2 3" xfId="38766" xr:uid="{00000000-0005-0000-0000-0000E2130000}"/>
    <cellStyle name="20% - Accent2 3 2 3 3 2 4" xfId="48491" xr:uid="{00000000-0005-0000-0000-0000E3130000}"/>
    <cellStyle name="20% - Accent2 3 2 3 3 2 5" xfId="19316" xr:uid="{00000000-0005-0000-0000-0000E4130000}"/>
    <cellStyle name="20% - Accent2 3 2 3 3 3" xfId="24179" xr:uid="{00000000-0005-0000-0000-0000E5130000}"/>
    <cellStyle name="20% - Accent2 3 2 3 3 4" xfId="33904" xr:uid="{00000000-0005-0000-0000-0000E6130000}"/>
    <cellStyle name="20% - Accent2 3 2 3 3 5" xfId="43629" xr:uid="{00000000-0005-0000-0000-0000E7130000}"/>
    <cellStyle name="20% - Accent2 3 2 3 3 6" xfId="14454" xr:uid="{00000000-0005-0000-0000-0000E8130000}"/>
    <cellStyle name="20% - Accent2 3 2 3 4" xfId="6350" xr:uid="{00000000-0005-0000-0000-0000E9130000}"/>
    <cellStyle name="20% - Accent2 3 2 3 4 2" xfId="25801" xr:uid="{00000000-0005-0000-0000-0000EA130000}"/>
    <cellStyle name="20% - Accent2 3 2 3 4 3" xfId="35526" xr:uid="{00000000-0005-0000-0000-0000EB130000}"/>
    <cellStyle name="20% - Accent2 3 2 3 4 4" xfId="45251" xr:uid="{00000000-0005-0000-0000-0000EC130000}"/>
    <cellStyle name="20% - Accent2 3 2 3 4 5" xfId="16076" xr:uid="{00000000-0005-0000-0000-0000ED130000}"/>
    <cellStyle name="20% - Accent2 3 2 3 5" xfId="20939" xr:uid="{00000000-0005-0000-0000-0000EE130000}"/>
    <cellStyle name="20% - Accent2 3 2 3 6" xfId="30664" xr:uid="{00000000-0005-0000-0000-0000EF130000}"/>
    <cellStyle name="20% - Accent2 3 2 3 7" xfId="40389" xr:uid="{00000000-0005-0000-0000-0000F0130000}"/>
    <cellStyle name="20% - Accent2 3 2 3 8" xfId="11214" xr:uid="{00000000-0005-0000-0000-0000F1130000}"/>
    <cellStyle name="20% - Accent2 3 2 4" xfId="658" xr:uid="{00000000-0005-0000-0000-0000F2130000}"/>
    <cellStyle name="20% - Accent2 3 2 4 2" xfId="2298" xr:uid="{00000000-0005-0000-0000-0000F3130000}"/>
    <cellStyle name="20% - Accent2 3 2 4 2 2" xfId="7160" xr:uid="{00000000-0005-0000-0000-0000F4130000}"/>
    <cellStyle name="20% - Accent2 3 2 4 2 2 2" xfId="26611" xr:uid="{00000000-0005-0000-0000-0000F5130000}"/>
    <cellStyle name="20% - Accent2 3 2 4 2 2 3" xfId="36336" xr:uid="{00000000-0005-0000-0000-0000F6130000}"/>
    <cellStyle name="20% - Accent2 3 2 4 2 2 4" xfId="46061" xr:uid="{00000000-0005-0000-0000-0000F7130000}"/>
    <cellStyle name="20% - Accent2 3 2 4 2 2 5" xfId="16886" xr:uid="{00000000-0005-0000-0000-0000F8130000}"/>
    <cellStyle name="20% - Accent2 3 2 4 2 3" xfId="21749" xr:uid="{00000000-0005-0000-0000-0000F9130000}"/>
    <cellStyle name="20% - Accent2 3 2 4 2 4" xfId="31474" xr:uid="{00000000-0005-0000-0000-0000FA130000}"/>
    <cellStyle name="20% - Accent2 3 2 4 2 5" xfId="41199" xr:uid="{00000000-0005-0000-0000-0000FB130000}"/>
    <cellStyle name="20% - Accent2 3 2 4 2 6" xfId="12024" xr:uid="{00000000-0005-0000-0000-0000FC130000}"/>
    <cellStyle name="20% - Accent2 3 2 4 3" xfId="3918" xr:uid="{00000000-0005-0000-0000-0000FD130000}"/>
    <cellStyle name="20% - Accent2 3 2 4 3 2" xfId="8780" xr:uid="{00000000-0005-0000-0000-0000FE130000}"/>
    <cellStyle name="20% - Accent2 3 2 4 3 2 2" xfId="28231" xr:uid="{00000000-0005-0000-0000-0000FF130000}"/>
    <cellStyle name="20% - Accent2 3 2 4 3 2 3" xfId="37956" xr:uid="{00000000-0005-0000-0000-000000140000}"/>
    <cellStyle name="20% - Accent2 3 2 4 3 2 4" xfId="47681" xr:uid="{00000000-0005-0000-0000-000001140000}"/>
    <cellStyle name="20% - Accent2 3 2 4 3 2 5" xfId="18506" xr:uid="{00000000-0005-0000-0000-000002140000}"/>
    <cellStyle name="20% - Accent2 3 2 4 3 3" xfId="23369" xr:uid="{00000000-0005-0000-0000-000003140000}"/>
    <cellStyle name="20% - Accent2 3 2 4 3 4" xfId="33094" xr:uid="{00000000-0005-0000-0000-000004140000}"/>
    <cellStyle name="20% - Accent2 3 2 4 3 5" xfId="42819" xr:uid="{00000000-0005-0000-0000-000005140000}"/>
    <cellStyle name="20% - Accent2 3 2 4 3 6" xfId="13644" xr:uid="{00000000-0005-0000-0000-000006140000}"/>
    <cellStyle name="20% - Accent2 3 2 4 4" xfId="5540" xr:uid="{00000000-0005-0000-0000-000007140000}"/>
    <cellStyle name="20% - Accent2 3 2 4 4 2" xfId="24991" xr:uid="{00000000-0005-0000-0000-000008140000}"/>
    <cellStyle name="20% - Accent2 3 2 4 4 3" xfId="34716" xr:uid="{00000000-0005-0000-0000-000009140000}"/>
    <cellStyle name="20% - Accent2 3 2 4 4 4" xfId="44441" xr:uid="{00000000-0005-0000-0000-00000A140000}"/>
    <cellStyle name="20% - Accent2 3 2 4 4 5" xfId="15266" xr:uid="{00000000-0005-0000-0000-00000B140000}"/>
    <cellStyle name="20% - Accent2 3 2 4 5" xfId="20129" xr:uid="{00000000-0005-0000-0000-00000C140000}"/>
    <cellStyle name="20% - Accent2 3 2 4 6" xfId="29854" xr:uid="{00000000-0005-0000-0000-00000D140000}"/>
    <cellStyle name="20% - Accent2 3 2 4 7" xfId="39579" xr:uid="{00000000-0005-0000-0000-00000E140000}"/>
    <cellStyle name="20% - Accent2 3 2 4 8" xfId="10404" xr:uid="{00000000-0005-0000-0000-00000F140000}"/>
    <cellStyle name="20% - Accent2 3 2 5" xfId="1938" xr:uid="{00000000-0005-0000-0000-000010140000}"/>
    <cellStyle name="20% - Accent2 3 2 5 2" xfId="6800" xr:uid="{00000000-0005-0000-0000-000011140000}"/>
    <cellStyle name="20% - Accent2 3 2 5 2 2" xfId="26251" xr:uid="{00000000-0005-0000-0000-000012140000}"/>
    <cellStyle name="20% - Accent2 3 2 5 2 3" xfId="35976" xr:uid="{00000000-0005-0000-0000-000013140000}"/>
    <cellStyle name="20% - Accent2 3 2 5 2 4" xfId="45701" xr:uid="{00000000-0005-0000-0000-000014140000}"/>
    <cellStyle name="20% - Accent2 3 2 5 2 5" xfId="16526" xr:uid="{00000000-0005-0000-0000-000015140000}"/>
    <cellStyle name="20% - Accent2 3 2 5 3" xfId="21389" xr:uid="{00000000-0005-0000-0000-000016140000}"/>
    <cellStyle name="20% - Accent2 3 2 5 4" xfId="31114" xr:uid="{00000000-0005-0000-0000-000017140000}"/>
    <cellStyle name="20% - Accent2 3 2 5 5" xfId="40839" xr:uid="{00000000-0005-0000-0000-000018140000}"/>
    <cellStyle name="20% - Accent2 3 2 5 6" xfId="11664" xr:uid="{00000000-0005-0000-0000-000019140000}"/>
    <cellStyle name="20% - Accent2 3 2 6" xfId="3558" xr:uid="{00000000-0005-0000-0000-00001A140000}"/>
    <cellStyle name="20% - Accent2 3 2 6 2" xfId="8420" xr:uid="{00000000-0005-0000-0000-00001B140000}"/>
    <cellStyle name="20% - Accent2 3 2 6 2 2" xfId="27871" xr:uid="{00000000-0005-0000-0000-00001C140000}"/>
    <cellStyle name="20% - Accent2 3 2 6 2 3" xfId="37596" xr:uid="{00000000-0005-0000-0000-00001D140000}"/>
    <cellStyle name="20% - Accent2 3 2 6 2 4" xfId="47321" xr:uid="{00000000-0005-0000-0000-00001E140000}"/>
    <cellStyle name="20% - Accent2 3 2 6 2 5" xfId="18146" xr:uid="{00000000-0005-0000-0000-00001F140000}"/>
    <cellStyle name="20% - Accent2 3 2 6 3" xfId="23009" xr:uid="{00000000-0005-0000-0000-000020140000}"/>
    <cellStyle name="20% - Accent2 3 2 6 4" xfId="32734" xr:uid="{00000000-0005-0000-0000-000021140000}"/>
    <cellStyle name="20% - Accent2 3 2 6 5" xfId="42459" xr:uid="{00000000-0005-0000-0000-000022140000}"/>
    <cellStyle name="20% - Accent2 3 2 6 6" xfId="13284" xr:uid="{00000000-0005-0000-0000-000023140000}"/>
    <cellStyle name="20% - Accent2 3 2 7" xfId="5180" xr:uid="{00000000-0005-0000-0000-000024140000}"/>
    <cellStyle name="20% - Accent2 3 2 7 2" xfId="24631" xr:uid="{00000000-0005-0000-0000-000025140000}"/>
    <cellStyle name="20% - Accent2 3 2 7 3" xfId="34356" xr:uid="{00000000-0005-0000-0000-000026140000}"/>
    <cellStyle name="20% - Accent2 3 2 7 4" xfId="44081" xr:uid="{00000000-0005-0000-0000-000027140000}"/>
    <cellStyle name="20% - Accent2 3 2 7 5" xfId="14906" xr:uid="{00000000-0005-0000-0000-000028140000}"/>
    <cellStyle name="20% - Accent2 3 2 8" xfId="19769" xr:uid="{00000000-0005-0000-0000-000029140000}"/>
    <cellStyle name="20% - Accent2 3 2 9" xfId="29494" xr:uid="{00000000-0005-0000-0000-00002A140000}"/>
    <cellStyle name="20% - Accent2 3 3" xfId="347" xr:uid="{00000000-0005-0000-0000-00002B140000}"/>
    <cellStyle name="20% - Accent2 3 3 10" xfId="39309" xr:uid="{00000000-0005-0000-0000-00002C140000}"/>
    <cellStyle name="20% - Accent2 3 3 11" xfId="10134" xr:uid="{00000000-0005-0000-0000-00002D140000}"/>
    <cellStyle name="20% - Accent2 3 3 2" xfId="1110" xr:uid="{00000000-0005-0000-0000-00002E140000}"/>
    <cellStyle name="20% - Accent2 3 3 2 2" xfId="2748" xr:uid="{00000000-0005-0000-0000-00002F140000}"/>
    <cellStyle name="20% - Accent2 3 3 2 2 2" xfId="7610" xr:uid="{00000000-0005-0000-0000-000030140000}"/>
    <cellStyle name="20% - Accent2 3 3 2 2 2 2" xfId="27061" xr:uid="{00000000-0005-0000-0000-000031140000}"/>
    <cellStyle name="20% - Accent2 3 3 2 2 2 3" xfId="36786" xr:uid="{00000000-0005-0000-0000-000032140000}"/>
    <cellStyle name="20% - Accent2 3 3 2 2 2 4" xfId="46511" xr:uid="{00000000-0005-0000-0000-000033140000}"/>
    <cellStyle name="20% - Accent2 3 3 2 2 2 5" xfId="17336" xr:uid="{00000000-0005-0000-0000-000034140000}"/>
    <cellStyle name="20% - Accent2 3 3 2 2 3" xfId="22199" xr:uid="{00000000-0005-0000-0000-000035140000}"/>
    <cellStyle name="20% - Accent2 3 3 2 2 4" xfId="31924" xr:uid="{00000000-0005-0000-0000-000036140000}"/>
    <cellStyle name="20% - Accent2 3 3 2 2 5" xfId="41649" xr:uid="{00000000-0005-0000-0000-000037140000}"/>
    <cellStyle name="20% - Accent2 3 3 2 2 6" xfId="12474" xr:uid="{00000000-0005-0000-0000-000038140000}"/>
    <cellStyle name="20% - Accent2 3 3 2 3" xfId="4368" xr:uid="{00000000-0005-0000-0000-000039140000}"/>
    <cellStyle name="20% - Accent2 3 3 2 3 2" xfId="9230" xr:uid="{00000000-0005-0000-0000-00003A140000}"/>
    <cellStyle name="20% - Accent2 3 3 2 3 2 2" xfId="28681" xr:uid="{00000000-0005-0000-0000-00003B140000}"/>
    <cellStyle name="20% - Accent2 3 3 2 3 2 3" xfId="38406" xr:uid="{00000000-0005-0000-0000-00003C140000}"/>
    <cellStyle name="20% - Accent2 3 3 2 3 2 4" xfId="48131" xr:uid="{00000000-0005-0000-0000-00003D140000}"/>
    <cellStyle name="20% - Accent2 3 3 2 3 2 5" xfId="18956" xr:uid="{00000000-0005-0000-0000-00003E140000}"/>
    <cellStyle name="20% - Accent2 3 3 2 3 3" xfId="23819" xr:uid="{00000000-0005-0000-0000-00003F140000}"/>
    <cellStyle name="20% - Accent2 3 3 2 3 4" xfId="33544" xr:uid="{00000000-0005-0000-0000-000040140000}"/>
    <cellStyle name="20% - Accent2 3 3 2 3 5" xfId="43269" xr:uid="{00000000-0005-0000-0000-000041140000}"/>
    <cellStyle name="20% - Accent2 3 3 2 3 6" xfId="14094" xr:uid="{00000000-0005-0000-0000-000042140000}"/>
    <cellStyle name="20% - Accent2 3 3 2 4" xfId="5990" xr:uid="{00000000-0005-0000-0000-000043140000}"/>
    <cellStyle name="20% - Accent2 3 3 2 4 2" xfId="25441" xr:uid="{00000000-0005-0000-0000-000044140000}"/>
    <cellStyle name="20% - Accent2 3 3 2 4 3" xfId="35166" xr:uid="{00000000-0005-0000-0000-000045140000}"/>
    <cellStyle name="20% - Accent2 3 3 2 4 4" xfId="44891" xr:uid="{00000000-0005-0000-0000-000046140000}"/>
    <cellStyle name="20% - Accent2 3 3 2 4 5" xfId="15716" xr:uid="{00000000-0005-0000-0000-000047140000}"/>
    <cellStyle name="20% - Accent2 3 3 2 5" xfId="20579" xr:uid="{00000000-0005-0000-0000-000048140000}"/>
    <cellStyle name="20% - Accent2 3 3 2 6" xfId="30304" xr:uid="{00000000-0005-0000-0000-000049140000}"/>
    <cellStyle name="20% - Accent2 3 3 2 7" xfId="40029" xr:uid="{00000000-0005-0000-0000-00004A140000}"/>
    <cellStyle name="20% - Accent2 3 3 2 8" xfId="10854" xr:uid="{00000000-0005-0000-0000-00004B140000}"/>
    <cellStyle name="20% - Accent2 3 3 3" xfId="1577" xr:uid="{00000000-0005-0000-0000-00004C140000}"/>
    <cellStyle name="20% - Accent2 3 3 3 2" xfId="3198" xr:uid="{00000000-0005-0000-0000-00004D140000}"/>
    <cellStyle name="20% - Accent2 3 3 3 2 2" xfId="8060" xr:uid="{00000000-0005-0000-0000-00004E140000}"/>
    <cellStyle name="20% - Accent2 3 3 3 2 2 2" xfId="27511" xr:uid="{00000000-0005-0000-0000-00004F140000}"/>
    <cellStyle name="20% - Accent2 3 3 3 2 2 3" xfId="37236" xr:uid="{00000000-0005-0000-0000-000050140000}"/>
    <cellStyle name="20% - Accent2 3 3 3 2 2 4" xfId="46961" xr:uid="{00000000-0005-0000-0000-000051140000}"/>
    <cellStyle name="20% - Accent2 3 3 3 2 2 5" xfId="17786" xr:uid="{00000000-0005-0000-0000-000052140000}"/>
    <cellStyle name="20% - Accent2 3 3 3 2 3" xfId="22649" xr:uid="{00000000-0005-0000-0000-000053140000}"/>
    <cellStyle name="20% - Accent2 3 3 3 2 4" xfId="32374" xr:uid="{00000000-0005-0000-0000-000054140000}"/>
    <cellStyle name="20% - Accent2 3 3 3 2 5" xfId="42099" xr:uid="{00000000-0005-0000-0000-000055140000}"/>
    <cellStyle name="20% - Accent2 3 3 3 2 6" xfId="12924" xr:uid="{00000000-0005-0000-0000-000056140000}"/>
    <cellStyle name="20% - Accent2 3 3 3 3" xfId="4818" xr:uid="{00000000-0005-0000-0000-000057140000}"/>
    <cellStyle name="20% - Accent2 3 3 3 3 2" xfId="9680" xr:uid="{00000000-0005-0000-0000-000058140000}"/>
    <cellStyle name="20% - Accent2 3 3 3 3 2 2" xfId="29131" xr:uid="{00000000-0005-0000-0000-000059140000}"/>
    <cellStyle name="20% - Accent2 3 3 3 3 2 3" xfId="38856" xr:uid="{00000000-0005-0000-0000-00005A140000}"/>
    <cellStyle name="20% - Accent2 3 3 3 3 2 4" xfId="48581" xr:uid="{00000000-0005-0000-0000-00005B140000}"/>
    <cellStyle name="20% - Accent2 3 3 3 3 2 5" xfId="19406" xr:uid="{00000000-0005-0000-0000-00005C140000}"/>
    <cellStyle name="20% - Accent2 3 3 3 3 3" xfId="24269" xr:uid="{00000000-0005-0000-0000-00005D140000}"/>
    <cellStyle name="20% - Accent2 3 3 3 3 4" xfId="33994" xr:uid="{00000000-0005-0000-0000-00005E140000}"/>
    <cellStyle name="20% - Accent2 3 3 3 3 5" xfId="43719" xr:uid="{00000000-0005-0000-0000-00005F140000}"/>
    <cellStyle name="20% - Accent2 3 3 3 3 6" xfId="14544" xr:uid="{00000000-0005-0000-0000-000060140000}"/>
    <cellStyle name="20% - Accent2 3 3 3 4" xfId="6440" xr:uid="{00000000-0005-0000-0000-000061140000}"/>
    <cellStyle name="20% - Accent2 3 3 3 4 2" xfId="25891" xr:uid="{00000000-0005-0000-0000-000062140000}"/>
    <cellStyle name="20% - Accent2 3 3 3 4 3" xfId="35616" xr:uid="{00000000-0005-0000-0000-000063140000}"/>
    <cellStyle name="20% - Accent2 3 3 3 4 4" xfId="45341" xr:uid="{00000000-0005-0000-0000-000064140000}"/>
    <cellStyle name="20% - Accent2 3 3 3 4 5" xfId="16166" xr:uid="{00000000-0005-0000-0000-000065140000}"/>
    <cellStyle name="20% - Accent2 3 3 3 5" xfId="21029" xr:uid="{00000000-0005-0000-0000-000066140000}"/>
    <cellStyle name="20% - Accent2 3 3 3 6" xfId="30754" xr:uid="{00000000-0005-0000-0000-000067140000}"/>
    <cellStyle name="20% - Accent2 3 3 3 7" xfId="40479" xr:uid="{00000000-0005-0000-0000-000068140000}"/>
    <cellStyle name="20% - Accent2 3 3 3 8" xfId="11304" xr:uid="{00000000-0005-0000-0000-000069140000}"/>
    <cellStyle name="20% - Accent2 3 3 4" xfId="748" xr:uid="{00000000-0005-0000-0000-00006A140000}"/>
    <cellStyle name="20% - Accent2 3 3 4 2" xfId="2388" xr:uid="{00000000-0005-0000-0000-00006B140000}"/>
    <cellStyle name="20% - Accent2 3 3 4 2 2" xfId="7250" xr:uid="{00000000-0005-0000-0000-00006C140000}"/>
    <cellStyle name="20% - Accent2 3 3 4 2 2 2" xfId="26701" xr:uid="{00000000-0005-0000-0000-00006D140000}"/>
    <cellStyle name="20% - Accent2 3 3 4 2 2 3" xfId="36426" xr:uid="{00000000-0005-0000-0000-00006E140000}"/>
    <cellStyle name="20% - Accent2 3 3 4 2 2 4" xfId="46151" xr:uid="{00000000-0005-0000-0000-00006F140000}"/>
    <cellStyle name="20% - Accent2 3 3 4 2 2 5" xfId="16976" xr:uid="{00000000-0005-0000-0000-000070140000}"/>
    <cellStyle name="20% - Accent2 3 3 4 2 3" xfId="21839" xr:uid="{00000000-0005-0000-0000-000071140000}"/>
    <cellStyle name="20% - Accent2 3 3 4 2 4" xfId="31564" xr:uid="{00000000-0005-0000-0000-000072140000}"/>
    <cellStyle name="20% - Accent2 3 3 4 2 5" xfId="41289" xr:uid="{00000000-0005-0000-0000-000073140000}"/>
    <cellStyle name="20% - Accent2 3 3 4 2 6" xfId="12114" xr:uid="{00000000-0005-0000-0000-000074140000}"/>
    <cellStyle name="20% - Accent2 3 3 4 3" xfId="4008" xr:uid="{00000000-0005-0000-0000-000075140000}"/>
    <cellStyle name="20% - Accent2 3 3 4 3 2" xfId="8870" xr:uid="{00000000-0005-0000-0000-000076140000}"/>
    <cellStyle name="20% - Accent2 3 3 4 3 2 2" xfId="28321" xr:uid="{00000000-0005-0000-0000-000077140000}"/>
    <cellStyle name="20% - Accent2 3 3 4 3 2 3" xfId="38046" xr:uid="{00000000-0005-0000-0000-000078140000}"/>
    <cellStyle name="20% - Accent2 3 3 4 3 2 4" xfId="47771" xr:uid="{00000000-0005-0000-0000-000079140000}"/>
    <cellStyle name="20% - Accent2 3 3 4 3 2 5" xfId="18596" xr:uid="{00000000-0005-0000-0000-00007A140000}"/>
    <cellStyle name="20% - Accent2 3 3 4 3 3" xfId="23459" xr:uid="{00000000-0005-0000-0000-00007B140000}"/>
    <cellStyle name="20% - Accent2 3 3 4 3 4" xfId="33184" xr:uid="{00000000-0005-0000-0000-00007C140000}"/>
    <cellStyle name="20% - Accent2 3 3 4 3 5" xfId="42909" xr:uid="{00000000-0005-0000-0000-00007D140000}"/>
    <cellStyle name="20% - Accent2 3 3 4 3 6" xfId="13734" xr:uid="{00000000-0005-0000-0000-00007E140000}"/>
    <cellStyle name="20% - Accent2 3 3 4 4" xfId="5630" xr:uid="{00000000-0005-0000-0000-00007F140000}"/>
    <cellStyle name="20% - Accent2 3 3 4 4 2" xfId="25081" xr:uid="{00000000-0005-0000-0000-000080140000}"/>
    <cellStyle name="20% - Accent2 3 3 4 4 3" xfId="34806" xr:uid="{00000000-0005-0000-0000-000081140000}"/>
    <cellStyle name="20% - Accent2 3 3 4 4 4" xfId="44531" xr:uid="{00000000-0005-0000-0000-000082140000}"/>
    <cellStyle name="20% - Accent2 3 3 4 4 5" xfId="15356" xr:uid="{00000000-0005-0000-0000-000083140000}"/>
    <cellStyle name="20% - Accent2 3 3 4 5" xfId="20219" xr:uid="{00000000-0005-0000-0000-000084140000}"/>
    <cellStyle name="20% - Accent2 3 3 4 6" xfId="29944" xr:uid="{00000000-0005-0000-0000-000085140000}"/>
    <cellStyle name="20% - Accent2 3 3 4 7" xfId="39669" xr:uid="{00000000-0005-0000-0000-000086140000}"/>
    <cellStyle name="20% - Accent2 3 3 4 8" xfId="10494" xr:uid="{00000000-0005-0000-0000-000087140000}"/>
    <cellStyle name="20% - Accent2 3 3 5" xfId="2028" xr:uid="{00000000-0005-0000-0000-000088140000}"/>
    <cellStyle name="20% - Accent2 3 3 5 2" xfId="6890" xr:uid="{00000000-0005-0000-0000-000089140000}"/>
    <cellStyle name="20% - Accent2 3 3 5 2 2" xfId="26341" xr:uid="{00000000-0005-0000-0000-00008A140000}"/>
    <cellStyle name="20% - Accent2 3 3 5 2 3" xfId="36066" xr:uid="{00000000-0005-0000-0000-00008B140000}"/>
    <cellStyle name="20% - Accent2 3 3 5 2 4" xfId="45791" xr:uid="{00000000-0005-0000-0000-00008C140000}"/>
    <cellStyle name="20% - Accent2 3 3 5 2 5" xfId="16616" xr:uid="{00000000-0005-0000-0000-00008D140000}"/>
    <cellStyle name="20% - Accent2 3 3 5 3" xfId="21479" xr:uid="{00000000-0005-0000-0000-00008E140000}"/>
    <cellStyle name="20% - Accent2 3 3 5 4" xfId="31204" xr:uid="{00000000-0005-0000-0000-00008F140000}"/>
    <cellStyle name="20% - Accent2 3 3 5 5" xfId="40929" xr:uid="{00000000-0005-0000-0000-000090140000}"/>
    <cellStyle name="20% - Accent2 3 3 5 6" xfId="11754" xr:uid="{00000000-0005-0000-0000-000091140000}"/>
    <cellStyle name="20% - Accent2 3 3 6" xfId="3648" xr:uid="{00000000-0005-0000-0000-000092140000}"/>
    <cellStyle name="20% - Accent2 3 3 6 2" xfId="8510" xr:uid="{00000000-0005-0000-0000-000093140000}"/>
    <cellStyle name="20% - Accent2 3 3 6 2 2" xfId="27961" xr:uid="{00000000-0005-0000-0000-000094140000}"/>
    <cellStyle name="20% - Accent2 3 3 6 2 3" xfId="37686" xr:uid="{00000000-0005-0000-0000-000095140000}"/>
    <cellStyle name="20% - Accent2 3 3 6 2 4" xfId="47411" xr:uid="{00000000-0005-0000-0000-000096140000}"/>
    <cellStyle name="20% - Accent2 3 3 6 2 5" xfId="18236" xr:uid="{00000000-0005-0000-0000-000097140000}"/>
    <cellStyle name="20% - Accent2 3 3 6 3" xfId="23099" xr:uid="{00000000-0005-0000-0000-000098140000}"/>
    <cellStyle name="20% - Accent2 3 3 6 4" xfId="32824" xr:uid="{00000000-0005-0000-0000-000099140000}"/>
    <cellStyle name="20% - Accent2 3 3 6 5" xfId="42549" xr:uid="{00000000-0005-0000-0000-00009A140000}"/>
    <cellStyle name="20% - Accent2 3 3 6 6" xfId="13374" xr:uid="{00000000-0005-0000-0000-00009B140000}"/>
    <cellStyle name="20% - Accent2 3 3 7" xfId="5270" xr:uid="{00000000-0005-0000-0000-00009C140000}"/>
    <cellStyle name="20% - Accent2 3 3 7 2" xfId="24721" xr:uid="{00000000-0005-0000-0000-00009D140000}"/>
    <cellStyle name="20% - Accent2 3 3 7 3" xfId="34446" xr:uid="{00000000-0005-0000-0000-00009E140000}"/>
    <cellStyle name="20% - Accent2 3 3 7 4" xfId="44171" xr:uid="{00000000-0005-0000-0000-00009F140000}"/>
    <cellStyle name="20% - Accent2 3 3 7 5" xfId="14996" xr:uid="{00000000-0005-0000-0000-0000A0140000}"/>
    <cellStyle name="20% - Accent2 3 3 8" xfId="19859" xr:uid="{00000000-0005-0000-0000-0000A1140000}"/>
    <cellStyle name="20% - Accent2 3 3 9" xfId="29584" xr:uid="{00000000-0005-0000-0000-0000A2140000}"/>
    <cellStyle name="20% - Accent2 3 4" xfId="165" xr:uid="{00000000-0005-0000-0000-0000A3140000}"/>
    <cellStyle name="20% - Accent2 3 4 10" xfId="39129" xr:uid="{00000000-0005-0000-0000-0000A4140000}"/>
    <cellStyle name="20% - Accent2 3 4 11" xfId="9954" xr:uid="{00000000-0005-0000-0000-0000A5140000}"/>
    <cellStyle name="20% - Accent2 3 4 2" xfId="929" xr:uid="{00000000-0005-0000-0000-0000A6140000}"/>
    <cellStyle name="20% - Accent2 3 4 2 2" xfId="2568" xr:uid="{00000000-0005-0000-0000-0000A7140000}"/>
    <cellStyle name="20% - Accent2 3 4 2 2 2" xfId="7430" xr:uid="{00000000-0005-0000-0000-0000A8140000}"/>
    <cellStyle name="20% - Accent2 3 4 2 2 2 2" xfId="26881" xr:uid="{00000000-0005-0000-0000-0000A9140000}"/>
    <cellStyle name="20% - Accent2 3 4 2 2 2 3" xfId="36606" xr:uid="{00000000-0005-0000-0000-0000AA140000}"/>
    <cellStyle name="20% - Accent2 3 4 2 2 2 4" xfId="46331" xr:uid="{00000000-0005-0000-0000-0000AB140000}"/>
    <cellStyle name="20% - Accent2 3 4 2 2 2 5" xfId="17156" xr:uid="{00000000-0005-0000-0000-0000AC140000}"/>
    <cellStyle name="20% - Accent2 3 4 2 2 3" xfId="22019" xr:uid="{00000000-0005-0000-0000-0000AD140000}"/>
    <cellStyle name="20% - Accent2 3 4 2 2 4" xfId="31744" xr:uid="{00000000-0005-0000-0000-0000AE140000}"/>
    <cellStyle name="20% - Accent2 3 4 2 2 5" xfId="41469" xr:uid="{00000000-0005-0000-0000-0000AF140000}"/>
    <cellStyle name="20% - Accent2 3 4 2 2 6" xfId="12294" xr:uid="{00000000-0005-0000-0000-0000B0140000}"/>
    <cellStyle name="20% - Accent2 3 4 2 3" xfId="4188" xr:uid="{00000000-0005-0000-0000-0000B1140000}"/>
    <cellStyle name="20% - Accent2 3 4 2 3 2" xfId="9050" xr:uid="{00000000-0005-0000-0000-0000B2140000}"/>
    <cellStyle name="20% - Accent2 3 4 2 3 2 2" xfId="28501" xr:uid="{00000000-0005-0000-0000-0000B3140000}"/>
    <cellStyle name="20% - Accent2 3 4 2 3 2 3" xfId="38226" xr:uid="{00000000-0005-0000-0000-0000B4140000}"/>
    <cellStyle name="20% - Accent2 3 4 2 3 2 4" xfId="47951" xr:uid="{00000000-0005-0000-0000-0000B5140000}"/>
    <cellStyle name="20% - Accent2 3 4 2 3 2 5" xfId="18776" xr:uid="{00000000-0005-0000-0000-0000B6140000}"/>
    <cellStyle name="20% - Accent2 3 4 2 3 3" xfId="23639" xr:uid="{00000000-0005-0000-0000-0000B7140000}"/>
    <cellStyle name="20% - Accent2 3 4 2 3 4" xfId="33364" xr:uid="{00000000-0005-0000-0000-0000B8140000}"/>
    <cellStyle name="20% - Accent2 3 4 2 3 5" xfId="43089" xr:uid="{00000000-0005-0000-0000-0000B9140000}"/>
    <cellStyle name="20% - Accent2 3 4 2 3 6" xfId="13914" xr:uid="{00000000-0005-0000-0000-0000BA140000}"/>
    <cellStyle name="20% - Accent2 3 4 2 4" xfId="5810" xr:uid="{00000000-0005-0000-0000-0000BB140000}"/>
    <cellStyle name="20% - Accent2 3 4 2 4 2" xfId="25261" xr:uid="{00000000-0005-0000-0000-0000BC140000}"/>
    <cellStyle name="20% - Accent2 3 4 2 4 3" xfId="34986" xr:uid="{00000000-0005-0000-0000-0000BD140000}"/>
    <cellStyle name="20% - Accent2 3 4 2 4 4" xfId="44711" xr:uid="{00000000-0005-0000-0000-0000BE140000}"/>
    <cellStyle name="20% - Accent2 3 4 2 4 5" xfId="15536" xr:uid="{00000000-0005-0000-0000-0000BF140000}"/>
    <cellStyle name="20% - Accent2 3 4 2 5" xfId="20399" xr:uid="{00000000-0005-0000-0000-0000C0140000}"/>
    <cellStyle name="20% - Accent2 3 4 2 6" xfId="30124" xr:uid="{00000000-0005-0000-0000-0000C1140000}"/>
    <cellStyle name="20% - Accent2 3 4 2 7" xfId="39849" xr:uid="{00000000-0005-0000-0000-0000C2140000}"/>
    <cellStyle name="20% - Accent2 3 4 2 8" xfId="10674" xr:uid="{00000000-0005-0000-0000-0000C3140000}"/>
    <cellStyle name="20% - Accent2 3 4 3" xfId="1397" xr:uid="{00000000-0005-0000-0000-0000C4140000}"/>
    <cellStyle name="20% - Accent2 3 4 3 2" xfId="3018" xr:uid="{00000000-0005-0000-0000-0000C5140000}"/>
    <cellStyle name="20% - Accent2 3 4 3 2 2" xfId="7880" xr:uid="{00000000-0005-0000-0000-0000C6140000}"/>
    <cellStyle name="20% - Accent2 3 4 3 2 2 2" xfId="27331" xr:uid="{00000000-0005-0000-0000-0000C7140000}"/>
    <cellStyle name="20% - Accent2 3 4 3 2 2 3" xfId="37056" xr:uid="{00000000-0005-0000-0000-0000C8140000}"/>
    <cellStyle name="20% - Accent2 3 4 3 2 2 4" xfId="46781" xr:uid="{00000000-0005-0000-0000-0000C9140000}"/>
    <cellStyle name="20% - Accent2 3 4 3 2 2 5" xfId="17606" xr:uid="{00000000-0005-0000-0000-0000CA140000}"/>
    <cellStyle name="20% - Accent2 3 4 3 2 3" xfId="22469" xr:uid="{00000000-0005-0000-0000-0000CB140000}"/>
    <cellStyle name="20% - Accent2 3 4 3 2 4" xfId="32194" xr:uid="{00000000-0005-0000-0000-0000CC140000}"/>
    <cellStyle name="20% - Accent2 3 4 3 2 5" xfId="41919" xr:uid="{00000000-0005-0000-0000-0000CD140000}"/>
    <cellStyle name="20% - Accent2 3 4 3 2 6" xfId="12744" xr:uid="{00000000-0005-0000-0000-0000CE140000}"/>
    <cellStyle name="20% - Accent2 3 4 3 3" xfId="4638" xr:uid="{00000000-0005-0000-0000-0000CF140000}"/>
    <cellStyle name="20% - Accent2 3 4 3 3 2" xfId="9500" xr:uid="{00000000-0005-0000-0000-0000D0140000}"/>
    <cellStyle name="20% - Accent2 3 4 3 3 2 2" xfId="28951" xr:uid="{00000000-0005-0000-0000-0000D1140000}"/>
    <cellStyle name="20% - Accent2 3 4 3 3 2 3" xfId="38676" xr:uid="{00000000-0005-0000-0000-0000D2140000}"/>
    <cellStyle name="20% - Accent2 3 4 3 3 2 4" xfId="48401" xr:uid="{00000000-0005-0000-0000-0000D3140000}"/>
    <cellStyle name="20% - Accent2 3 4 3 3 2 5" xfId="19226" xr:uid="{00000000-0005-0000-0000-0000D4140000}"/>
    <cellStyle name="20% - Accent2 3 4 3 3 3" xfId="24089" xr:uid="{00000000-0005-0000-0000-0000D5140000}"/>
    <cellStyle name="20% - Accent2 3 4 3 3 4" xfId="33814" xr:uid="{00000000-0005-0000-0000-0000D6140000}"/>
    <cellStyle name="20% - Accent2 3 4 3 3 5" xfId="43539" xr:uid="{00000000-0005-0000-0000-0000D7140000}"/>
    <cellStyle name="20% - Accent2 3 4 3 3 6" xfId="14364" xr:uid="{00000000-0005-0000-0000-0000D8140000}"/>
    <cellStyle name="20% - Accent2 3 4 3 4" xfId="6260" xr:uid="{00000000-0005-0000-0000-0000D9140000}"/>
    <cellStyle name="20% - Accent2 3 4 3 4 2" xfId="25711" xr:uid="{00000000-0005-0000-0000-0000DA140000}"/>
    <cellStyle name="20% - Accent2 3 4 3 4 3" xfId="35436" xr:uid="{00000000-0005-0000-0000-0000DB140000}"/>
    <cellStyle name="20% - Accent2 3 4 3 4 4" xfId="45161" xr:uid="{00000000-0005-0000-0000-0000DC140000}"/>
    <cellStyle name="20% - Accent2 3 4 3 4 5" xfId="15986" xr:uid="{00000000-0005-0000-0000-0000DD140000}"/>
    <cellStyle name="20% - Accent2 3 4 3 5" xfId="20849" xr:uid="{00000000-0005-0000-0000-0000DE140000}"/>
    <cellStyle name="20% - Accent2 3 4 3 6" xfId="30574" xr:uid="{00000000-0005-0000-0000-0000DF140000}"/>
    <cellStyle name="20% - Accent2 3 4 3 7" xfId="40299" xr:uid="{00000000-0005-0000-0000-0000E0140000}"/>
    <cellStyle name="20% - Accent2 3 4 3 8" xfId="11124" xr:uid="{00000000-0005-0000-0000-0000E1140000}"/>
    <cellStyle name="20% - Accent2 3 4 4" xfId="568" xr:uid="{00000000-0005-0000-0000-0000E2140000}"/>
    <cellStyle name="20% - Accent2 3 4 4 2" xfId="2208" xr:uid="{00000000-0005-0000-0000-0000E3140000}"/>
    <cellStyle name="20% - Accent2 3 4 4 2 2" xfId="7070" xr:uid="{00000000-0005-0000-0000-0000E4140000}"/>
    <cellStyle name="20% - Accent2 3 4 4 2 2 2" xfId="26521" xr:uid="{00000000-0005-0000-0000-0000E5140000}"/>
    <cellStyle name="20% - Accent2 3 4 4 2 2 3" xfId="36246" xr:uid="{00000000-0005-0000-0000-0000E6140000}"/>
    <cellStyle name="20% - Accent2 3 4 4 2 2 4" xfId="45971" xr:uid="{00000000-0005-0000-0000-0000E7140000}"/>
    <cellStyle name="20% - Accent2 3 4 4 2 2 5" xfId="16796" xr:uid="{00000000-0005-0000-0000-0000E8140000}"/>
    <cellStyle name="20% - Accent2 3 4 4 2 3" xfId="21659" xr:uid="{00000000-0005-0000-0000-0000E9140000}"/>
    <cellStyle name="20% - Accent2 3 4 4 2 4" xfId="31384" xr:uid="{00000000-0005-0000-0000-0000EA140000}"/>
    <cellStyle name="20% - Accent2 3 4 4 2 5" xfId="41109" xr:uid="{00000000-0005-0000-0000-0000EB140000}"/>
    <cellStyle name="20% - Accent2 3 4 4 2 6" xfId="11934" xr:uid="{00000000-0005-0000-0000-0000EC140000}"/>
    <cellStyle name="20% - Accent2 3 4 4 3" xfId="3828" xr:uid="{00000000-0005-0000-0000-0000ED140000}"/>
    <cellStyle name="20% - Accent2 3 4 4 3 2" xfId="8690" xr:uid="{00000000-0005-0000-0000-0000EE140000}"/>
    <cellStyle name="20% - Accent2 3 4 4 3 2 2" xfId="28141" xr:uid="{00000000-0005-0000-0000-0000EF140000}"/>
    <cellStyle name="20% - Accent2 3 4 4 3 2 3" xfId="37866" xr:uid="{00000000-0005-0000-0000-0000F0140000}"/>
    <cellStyle name="20% - Accent2 3 4 4 3 2 4" xfId="47591" xr:uid="{00000000-0005-0000-0000-0000F1140000}"/>
    <cellStyle name="20% - Accent2 3 4 4 3 2 5" xfId="18416" xr:uid="{00000000-0005-0000-0000-0000F2140000}"/>
    <cellStyle name="20% - Accent2 3 4 4 3 3" xfId="23279" xr:uid="{00000000-0005-0000-0000-0000F3140000}"/>
    <cellStyle name="20% - Accent2 3 4 4 3 4" xfId="33004" xr:uid="{00000000-0005-0000-0000-0000F4140000}"/>
    <cellStyle name="20% - Accent2 3 4 4 3 5" xfId="42729" xr:uid="{00000000-0005-0000-0000-0000F5140000}"/>
    <cellStyle name="20% - Accent2 3 4 4 3 6" xfId="13554" xr:uid="{00000000-0005-0000-0000-0000F6140000}"/>
    <cellStyle name="20% - Accent2 3 4 4 4" xfId="5450" xr:uid="{00000000-0005-0000-0000-0000F7140000}"/>
    <cellStyle name="20% - Accent2 3 4 4 4 2" xfId="24901" xr:uid="{00000000-0005-0000-0000-0000F8140000}"/>
    <cellStyle name="20% - Accent2 3 4 4 4 3" xfId="34626" xr:uid="{00000000-0005-0000-0000-0000F9140000}"/>
    <cellStyle name="20% - Accent2 3 4 4 4 4" xfId="44351" xr:uid="{00000000-0005-0000-0000-0000FA140000}"/>
    <cellStyle name="20% - Accent2 3 4 4 4 5" xfId="15176" xr:uid="{00000000-0005-0000-0000-0000FB140000}"/>
    <cellStyle name="20% - Accent2 3 4 4 5" xfId="20039" xr:uid="{00000000-0005-0000-0000-0000FC140000}"/>
    <cellStyle name="20% - Accent2 3 4 4 6" xfId="29764" xr:uid="{00000000-0005-0000-0000-0000FD140000}"/>
    <cellStyle name="20% - Accent2 3 4 4 7" xfId="39489" xr:uid="{00000000-0005-0000-0000-0000FE140000}"/>
    <cellStyle name="20% - Accent2 3 4 4 8" xfId="10314" xr:uid="{00000000-0005-0000-0000-0000FF140000}"/>
    <cellStyle name="20% - Accent2 3 4 5" xfId="1848" xr:uid="{00000000-0005-0000-0000-000000150000}"/>
    <cellStyle name="20% - Accent2 3 4 5 2" xfId="6710" xr:uid="{00000000-0005-0000-0000-000001150000}"/>
    <cellStyle name="20% - Accent2 3 4 5 2 2" xfId="26161" xr:uid="{00000000-0005-0000-0000-000002150000}"/>
    <cellStyle name="20% - Accent2 3 4 5 2 3" xfId="35886" xr:uid="{00000000-0005-0000-0000-000003150000}"/>
    <cellStyle name="20% - Accent2 3 4 5 2 4" xfId="45611" xr:uid="{00000000-0005-0000-0000-000004150000}"/>
    <cellStyle name="20% - Accent2 3 4 5 2 5" xfId="16436" xr:uid="{00000000-0005-0000-0000-000005150000}"/>
    <cellStyle name="20% - Accent2 3 4 5 3" xfId="21299" xr:uid="{00000000-0005-0000-0000-000006150000}"/>
    <cellStyle name="20% - Accent2 3 4 5 4" xfId="31024" xr:uid="{00000000-0005-0000-0000-000007150000}"/>
    <cellStyle name="20% - Accent2 3 4 5 5" xfId="40749" xr:uid="{00000000-0005-0000-0000-000008150000}"/>
    <cellStyle name="20% - Accent2 3 4 5 6" xfId="11574" xr:uid="{00000000-0005-0000-0000-000009150000}"/>
    <cellStyle name="20% - Accent2 3 4 6" xfId="3468" xr:uid="{00000000-0005-0000-0000-00000A150000}"/>
    <cellStyle name="20% - Accent2 3 4 6 2" xfId="8330" xr:uid="{00000000-0005-0000-0000-00000B150000}"/>
    <cellStyle name="20% - Accent2 3 4 6 2 2" xfId="27781" xr:uid="{00000000-0005-0000-0000-00000C150000}"/>
    <cellStyle name="20% - Accent2 3 4 6 2 3" xfId="37506" xr:uid="{00000000-0005-0000-0000-00000D150000}"/>
    <cellStyle name="20% - Accent2 3 4 6 2 4" xfId="47231" xr:uid="{00000000-0005-0000-0000-00000E150000}"/>
    <cellStyle name="20% - Accent2 3 4 6 2 5" xfId="18056" xr:uid="{00000000-0005-0000-0000-00000F150000}"/>
    <cellStyle name="20% - Accent2 3 4 6 3" xfId="22919" xr:uid="{00000000-0005-0000-0000-000010150000}"/>
    <cellStyle name="20% - Accent2 3 4 6 4" xfId="32644" xr:uid="{00000000-0005-0000-0000-000011150000}"/>
    <cellStyle name="20% - Accent2 3 4 6 5" xfId="42369" xr:uid="{00000000-0005-0000-0000-000012150000}"/>
    <cellStyle name="20% - Accent2 3 4 6 6" xfId="13194" xr:uid="{00000000-0005-0000-0000-000013150000}"/>
    <cellStyle name="20% - Accent2 3 4 7" xfId="5090" xr:uid="{00000000-0005-0000-0000-000014150000}"/>
    <cellStyle name="20% - Accent2 3 4 7 2" xfId="24541" xr:uid="{00000000-0005-0000-0000-000015150000}"/>
    <cellStyle name="20% - Accent2 3 4 7 3" xfId="34266" xr:uid="{00000000-0005-0000-0000-000016150000}"/>
    <cellStyle name="20% - Accent2 3 4 7 4" xfId="43991" xr:uid="{00000000-0005-0000-0000-000017150000}"/>
    <cellStyle name="20% - Accent2 3 4 7 5" xfId="14816" xr:uid="{00000000-0005-0000-0000-000018150000}"/>
    <cellStyle name="20% - Accent2 3 4 8" xfId="19679" xr:uid="{00000000-0005-0000-0000-000019150000}"/>
    <cellStyle name="20% - Accent2 3 4 9" xfId="29404" xr:uid="{00000000-0005-0000-0000-00001A150000}"/>
    <cellStyle name="20% - Accent2 3 5" xfId="839" xr:uid="{00000000-0005-0000-0000-00001B150000}"/>
    <cellStyle name="20% - Accent2 3 5 2" xfId="2478" xr:uid="{00000000-0005-0000-0000-00001C150000}"/>
    <cellStyle name="20% - Accent2 3 5 2 2" xfId="7340" xr:uid="{00000000-0005-0000-0000-00001D150000}"/>
    <cellStyle name="20% - Accent2 3 5 2 2 2" xfId="26791" xr:uid="{00000000-0005-0000-0000-00001E150000}"/>
    <cellStyle name="20% - Accent2 3 5 2 2 3" xfId="36516" xr:uid="{00000000-0005-0000-0000-00001F150000}"/>
    <cellStyle name="20% - Accent2 3 5 2 2 4" xfId="46241" xr:uid="{00000000-0005-0000-0000-000020150000}"/>
    <cellStyle name="20% - Accent2 3 5 2 2 5" xfId="17066" xr:uid="{00000000-0005-0000-0000-000021150000}"/>
    <cellStyle name="20% - Accent2 3 5 2 3" xfId="21929" xr:uid="{00000000-0005-0000-0000-000022150000}"/>
    <cellStyle name="20% - Accent2 3 5 2 4" xfId="31654" xr:uid="{00000000-0005-0000-0000-000023150000}"/>
    <cellStyle name="20% - Accent2 3 5 2 5" xfId="41379" xr:uid="{00000000-0005-0000-0000-000024150000}"/>
    <cellStyle name="20% - Accent2 3 5 2 6" xfId="12204" xr:uid="{00000000-0005-0000-0000-000025150000}"/>
    <cellStyle name="20% - Accent2 3 5 3" xfId="4098" xr:uid="{00000000-0005-0000-0000-000026150000}"/>
    <cellStyle name="20% - Accent2 3 5 3 2" xfId="8960" xr:uid="{00000000-0005-0000-0000-000027150000}"/>
    <cellStyle name="20% - Accent2 3 5 3 2 2" xfId="28411" xr:uid="{00000000-0005-0000-0000-000028150000}"/>
    <cellStyle name="20% - Accent2 3 5 3 2 3" xfId="38136" xr:uid="{00000000-0005-0000-0000-000029150000}"/>
    <cellStyle name="20% - Accent2 3 5 3 2 4" xfId="47861" xr:uid="{00000000-0005-0000-0000-00002A150000}"/>
    <cellStyle name="20% - Accent2 3 5 3 2 5" xfId="18686" xr:uid="{00000000-0005-0000-0000-00002B150000}"/>
    <cellStyle name="20% - Accent2 3 5 3 3" xfId="23549" xr:uid="{00000000-0005-0000-0000-00002C150000}"/>
    <cellStyle name="20% - Accent2 3 5 3 4" xfId="33274" xr:uid="{00000000-0005-0000-0000-00002D150000}"/>
    <cellStyle name="20% - Accent2 3 5 3 5" xfId="42999" xr:uid="{00000000-0005-0000-0000-00002E150000}"/>
    <cellStyle name="20% - Accent2 3 5 3 6" xfId="13824" xr:uid="{00000000-0005-0000-0000-00002F150000}"/>
    <cellStyle name="20% - Accent2 3 5 4" xfId="5720" xr:uid="{00000000-0005-0000-0000-000030150000}"/>
    <cellStyle name="20% - Accent2 3 5 4 2" xfId="25171" xr:uid="{00000000-0005-0000-0000-000031150000}"/>
    <cellStyle name="20% - Accent2 3 5 4 3" xfId="34896" xr:uid="{00000000-0005-0000-0000-000032150000}"/>
    <cellStyle name="20% - Accent2 3 5 4 4" xfId="44621" xr:uid="{00000000-0005-0000-0000-000033150000}"/>
    <cellStyle name="20% - Accent2 3 5 4 5" xfId="15446" xr:uid="{00000000-0005-0000-0000-000034150000}"/>
    <cellStyle name="20% - Accent2 3 5 5" xfId="20309" xr:uid="{00000000-0005-0000-0000-000035150000}"/>
    <cellStyle name="20% - Accent2 3 5 6" xfId="30034" xr:uid="{00000000-0005-0000-0000-000036150000}"/>
    <cellStyle name="20% - Accent2 3 5 7" xfId="39759" xr:uid="{00000000-0005-0000-0000-000037150000}"/>
    <cellStyle name="20% - Accent2 3 5 8" xfId="10584" xr:uid="{00000000-0005-0000-0000-000038150000}"/>
    <cellStyle name="20% - Accent2 3 6" xfId="1217" xr:uid="{00000000-0005-0000-0000-000039150000}"/>
    <cellStyle name="20% - Accent2 3 6 2" xfId="2838" xr:uid="{00000000-0005-0000-0000-00003A150000}"/>
    <cellStyle name="20% - Accent2 3 6 2 2" xfId="7700" xr:uid="{00000000-0005-0000-0000-00003B150000}"/>
    <cellStyle name="20% - Accent2 3 6 2 2 2" xfId="27151" xr:uid="{00000000-0005-0000-0000-00003C150000}"/>
    <cellStyle name="20% - Accent2 3 6 2 2 3" xfId="36876" xr:uid="{00000000-0005-0000-0000-00003D150000}"/>
    <cellStyle name="20% - Accent2 3 6 2 2 4" xfId="46601" xr:uid="{00000000-0005-0000-0000-00003E150000}"/>
    <cellStyle name="20% - Accent2 3 6 2 2 5" xfId="17426" xr:uid="{00000000-0005-0000-0000-00003F150000}"/>
    <cellStyle name="20% - Accent2 3 6 2 3" xfId="22289" xr:uid="{00000000-0005-0000-0000-000040150000}"/>
    <cellStyle name="20% - Accent2 3 6 2 4" xfId="32014" xr:uid="{00000000-0005-0000-0000-000041150000}"/>
    <cellStyle name="20% - Accent2 3 6 2 5" xfId="41739" xr:uid="{00000000-0005-0000-0000-000042150000}"/>
    <cellStyle name="20% - Accent2 3 6 2 6" xfId="12564" xr:uid="{00000000-0005-0000-0000-000043150000}"/>
    <cellStyle name="20% - Accent2 3 6 3" xfId="4458" xr:uid="{00000000-0005-0000-0000-000044150000}"/>
    <cellStyle name="20% - Accent2 3 6 3 2" xfId="9320" xr:uid="{00000000-0005-0000-0000-000045150000}"/>
    <cellStyle name="20% - Accent2 3 6 3 2 2" xfId="28771" xr:uid="{00000000-0005-0000-0000-000046150000}"/>
    <cellStyle name="20% - Accent2 3 6 3 2 3" xfId="38496" xr:uid="{00000000-0005-0000-0000-000047150000}"/>
    <cellStyle name="20% - Accent2 3 6 3 2 4" xfId="48221" xr:uid="{00000000-0005-0000-0000-000048150000}"/>
    <cellStyle name="20% - Accent2 3 6 3 2 5" xfId="19046" xr:uid="{00000000-0005-0000-0000-000049150000}"/>
    <cellStyle name="20% - Accent2 3 6 3 3" xfId="23909" xr:uid="{00000000-0005-0000-0000-00004A150000}"/>
    <cellStyle name="20% - Accent2 3 6 3 4" xfId="33634" xr:uid="{00000000-0005-0000-0000-00004B150000}"/>
    <cellStyle name="20% - Accent2 3 6 3 5" xfId="43359" xr:uid="{00000000-0005-0000-0000-00004C150000}"/>
    <cellStyle name="20% - Accent2 3 6 3 6" xfId="14184" xr:uid="{00000000-0005-0000-0000-00004D150000}"/>
    <cellStyle name="20% - Accent2 3 6 4" xfId="6080" xr:uid="{00000000-0005-0000-0000-00004E150000}"/>
    <cellStyle name="20% - Accent2 3 6 4 2" xfId="25531" xr:uid="{00000000-0005-0000-0000-00004F150000}"/>
    <cellStyle name="20% - Accent2 3 6 4 3" xfId="35256" xr:uid="{00000000-0005-0000-0000-000050150000}"/>
    <cellStyle name="20% - Accent2 3 6 4 4" xfId="44981" xr:uid="{00000000-0005-0000-0000-000051150000}"/>
    <cellStyle name="20% - Accent2 3 6 4 5" xfId="15806" xr:uid="{00000000-0005-0000-0000-000052150000}"/>
    <cellStyle name="20% - Accent2 3 6 5" xfId="20669" xr:uid="{00000000-0005-0000-0000-000053150000}"/>
    <cellStyle name="20% - Accent2 3 6 6" xfId="30394" xr:uid="{00000000-0005-0000-0000-000054150000}"/>
    <cellStyle name="20% - Accent2 3 6 7" xfId="40119" xr:uid="{00000000-0005-0000-0000-000055150000}"/>
    <cellStyle name="20% - Accent2 3 6 8" xfId="10944" xr:uid="{00000000-0005-0000-0000-000056150000}"/>
    <cellStyle name="20% - Accent2 3 7" xfId="1307" xr:uid="{00000000-0005-0000-0000-000057150000}"/>
    <cellStyle name="20% - Accent2 3 7 2" xfId="2928" xr:uid="{00000000-0005-0000-0000-000058150000}"/>
    <cellStyle name="20% - Accent2 3 7 2 2" xfId="7790" xr:uid="{00000000-0005-0000-0000-000059150000}"/>
    <cellStyle name="20% - Accent2 3 7 2 2 2" xfId="27241" xr:uid="{00000000-0005-0000-0000-00005A150000}"/>
    <cellStyle name="20% - Accent2 3 7 2 2 3" xfId="36966" xr:uid="{00000000-0005-0000-0000-00005B150000}"/>
    <cellStyle name="20% - Accent2 3 7 2 2 4" xfId="46691" xr:uid="{00000000-0005-0000-0000-00005C150000}"/>
    <cellStyle name="20% - Accent2 3 7 2 2 5" xfId="17516" xr:uid="{00000000-0005-0000-0000-00005D150000}"/>
    <cellStyle name="20% - Accent2 3 7 2 3" xfId="22379" xr:uid="{00000000-0005-0000-0000-00005E150000}"/>
    <cellStyle name="20% - Accent2 3 7 2 4" xfId="32104" xr:uid="{00000000-0005-0000-0000-00005F150000}"/>
    <cellStyle name="20% - Accent2 3 7 2 5" xfId="41829" xr:uid="{00000000-0005-0000-0000-000060150000}"/>
    <cellStyle name="20% - Accent2 3 7 2 6" xfId="12654" xr:uid="{00000000-0005-0000-0000-000061150000}"/>
    <cellStyle name="20% - Accent2 3 7 3" xfId="4548" xr:uid="{00000000-0005-0000-0000-000062150000}"/>
    <cellStyle name="20% - Accent2 3 7 3 2" xfId="9410" xr:uid="{00000000-0005-0000-0000-000063150000}"/>
    <cellStyle name="20% - Accent2 3 7 3 2 2" xfId="28861" xr:uid="{00000000-0005-0000-0000-000064150000}"/>
    <cellStyle name="20% - Accent2 3 7 3 2 3" xfId="38586" xr:uid="{00000000-0005-0000-0000-000065150000}"/>
    <cellStyle name="20% - Accent2 3 7 3 2 4" xfId="48311" xr:uid="{00000000-0005-0000-0000-000066150000}"/>
    <cellStyle name="20% - Accent2 3 7 3 2 5" xfId="19136" xr:uid="{00000000-0005-0000-0000-000067150000}"/>
    <cellStyle name="20% - Accent2 3 7 3 3" xfId="23999" xr:uid="{00000000-0005-0000-0000-000068150000}"/>
    <cellStyle name="20% - Accent2 3 7 3 4" xfId="33724" xr:uid="{00000000-0005-0000-0000-000069150000}"/>
    <cellStyle name="20% - Accent2 3 7 3 5" xfId="43449" xr:uid="{00000000-0005-0000-0000-00006A150000}"/>
    <cellStyle name="20% - Accent2 3 7 3 6" xfId="14274" xr:uid="{00000000-0005-0000-0000-00006B150000}"/>
    <cellStyle name="20% - Accent2 3 7 4" xfId="6170" xr:uid="{00000000-0005-0000-0000-00006C150000}"/>
    <cellStyle name="20% - Accent2 3 7 4 2" xfId="25621" xr:uid="{00000000-0005-0000-0000-00006D150000}"/>
    <cellStyle name="20% - Accent2 3 7 4 3" xfId="35346" xr:uid="{00000000-0005-0000-0000-00006E150000}"/>
    <cellStyle name="20% - Accent2 3 7 4 4" xfId="45071" xr:uid="{00000000-0005-0000-0000-00006F150000}"/>
    <cellStyle name="20% - Accent2 3 7 4 5" xfId="15896" xr:uid="{00000000-0005-0000-0000-000070150000}"/>
    <cellStyle name="20% - Accent2 3 7 5" xfId="20759" xr:uid="{00000000-0005-0000-0000-000071150000}"/>
    <cellStyle name="20% - Accent2 3 7 6" xfId="30484" xr:uid="{00000000-0005-0000-0000-000072150000}"/>
    <cellStyle name="20% - Accent2 3 7 7" xfId="40209" xr:uid="{00000000-0005-0000-0000-000073150000}"/>
    <cellStyle name="20% - Accent2 3 7 8" xfId="11034" xr:uid="{00000000-0005-0000-0000-000074150000}"/>
    <cellStyle name="20% - Accent2 3 8" xfId="478" xr:uid="{00000000-0005-0000-0000-000075150000}"/>
    <cellStyle name="20% - Accent2 3 8 2" xfId="2118" xr:uid="{00000000-0005-0000-0000-000076150000}"/>
    <cellStyle name="20% - Accent2 3 8 2 2" xfId="6980" xr:uid="{00000000-0005-0000-0000-000077150000}"/>
    <cellStyle name="20% - Accent2 3 8 2 2 2" xfId="26431" xr:uid="{00000000-0005-0000-0000-000078150000}"/>
    <cellStyle name="20% - Accent2 3 8 2 2 3" xfId="36156" xr:uid="{00000000-0005-0000-0000-000079150000}"/>
    <cellStyle name="20% - Accent2 3 8 2 2 4" xfId="45881" xr:uid="{00000000-0005-0000-0000-00007A150000}"/>
    <cellStyle name="20% - Accent2 3 8 2 2 5" xfId="16706" xr:uid="{00000000-0005-0000-0000-00007B150000}"/>
    <cellStyle name="20% - Accent2 3 8 2 3" xfId="21569" xr:uid="{00000000-0005-0000-0000-00007C150000}"/>
    <cellStyle name="20% - Accent2 3 8 2 4" xfId="31294" xr:uid="{00000000-0005-0000-0000-00007D150000}"/>
    <cellStyle name="20% - Accent2 3 8 2 5" xfId="41019" xr:uid="{00000000-0005-0000-0000-00007E150000}"/>
    <cellStyle name="20% - Accent2 3 8 2 6" xfId="11844" xr:uid="{00000000-0005-0000-0000-00007F150000}"/>
    <cellStyle name="20% - Accent2 3 8 3" xfId="3738" xr:uid="{00000000-0005-0000-0000-000080150000}"/>
    <cellStyle name="20% - Accent2 3 8 3 2" xfId="8600" xr:uid="{00000000-0005-0000-0000-000081150000}"/>
    <cellStyle name="20% - Accent2 3 8 3 2 2" xfId="28051" xr:uid="{00000000-0005-0000-0000-000082150000}"/>
    <cellStyle name="20% - Accent2 3 8 3 2 3" xfId="37776" xr:uid="{00000000-0005-0000-0000-000083150000}"/>
    <cellStyle name="20% - Accent2 3 8 3 2 4" xfId="47501" xr:uid="{00000000-0005-0000-0000-000084150000}"/>
    <cellStyle name="20% - Accent2 3 8 3 2 5" xfId="18326" xr:uid="{00000000-0005-0000-0000-000085150000}"/>
    <cellStyle name="20% - Accent2 3 8 3 3" xfId="23189" xr:uid="{00000000-0005-0000-0000-000086150000}"/>
    <cellStyle name="20% - Accent2 3 8 3 4" xfId="32914" xr:uid="{00000000-0005-0000-0000-000087150000}"/>
    <cellStyle name="20% - Accent2 3 8 3 5" xfId="42639" xr:uid="{00000000-0005-0000-0000-000088150000}"/>
    <cellStyle name="20% - Accent2 3 8 3 6" xfId="13464" xr:uid="{00000000-0005-0000-0000-000089150000}"/>
    <cellStyle name="20% - Accent2 3 8 4" xfId="5360" xr:uid="{00000000-0005-0000-0000-00008A150000}"/>
    <cellStyle name="20% - Accent2 3 8 4 2" xfId="24811" xr:uid="{00000000-0005-0000-0000-00008B150000}"/>
    <cellStyle name="20% - Accent2 3 8 4 3" xfId="34536" xr:uid="{00000000-0005-0000-0000-00008C150000}"/>
    <cellStyle name="20% - Accent2 3 8 4 4" xfId="44261" xr:uid="{00000000-0005-0000-0000-00008D150000}"/>
    <cellStyle name="20% - Accent2 3 8 4 5" xfId="15086" xr:uid="{00000000-0005-0000-0000-00008E150000}"/>
    <cellStyle name="20% - Accent2 3 8 5" xfId="19949" xr:uid="{00000000-0005-0000-0000-00008F150000}"/>
    <cellStyle name="20% - Accent2 3 8 6" xfId="29674" xr:uid="{00000000-0005-0000-0000-000090150000}"/>
    <cellStyle name="20% - Accent2 3 8 7" xfId="39399" xr:uid="{00000000-0005-0000-0000-000091150000}"/>
    <cellStyle name="20% - Accent2 3 8 8" xfId="10224" xr:uid="{00000000-0005-0000-0000-000092150000}"/>
    <cellStyle name="20% - Accent2 3 9" xfId="1667" xr:uid="{00000000-0005-0000-0000-000093150000}"/>
    <cellStyle name="20% - Accent2 3 9 2" xfId="3288" xr:uid="{00000000-0005-0000-0000-000094150000}"/>
    <cellStyle name="20% - Accent2 3 9 2 2" xfId="8150" xr:uid="{00000000-0005-0000-0000-000095150000}"/>
    <cellStyle name="20% - Accent2 3 9 2 2 2" xfId="27601" xr:uid="{00000000-0005-0000-0000-000096150000}"/>
    <cellStyle name="20% - Accent2 3 9 2 2 3" xfId="37326" xr:uid="{00000000-0005-0000-0000-000097150000}"/>
    <cellStyle name="20% - Accent2 3 9 2 2 4" xfId="47051" xr:uid="{00000000-0005-0000-0000-000098150000}"/>
    <cellStyle name="20% - Accent2 3 9 2 2 5" xfId="17876" xr:uid="{00000000-0005-0000-0000-000099150000}"/>
    <cellStyle name="20% - Accent2 3 9 2 3" xfId="22739" xr:uid="{00000000-0005-0000-0000-00009A150000}"/>
    <cellStyle name="20% - Accent2 3 9 2 4" xfId="32464" xr:uid="{00000000-0005-0000-0000-00009B150000}"/>
    <cellStyle name="20% - Accent2 3 9 2 5" xfId="42189" xr:uid="{00000000-0005-0000-0000-00009C150000}"/>
    <cellStyle name="20% - Accent2 3 9 2 6" xfId="13014" xr:uid="{00000000-0005-0000-0000-00009D150000}"/>
    <cellStyle name="20% - Accent2 3 9 3" xfId="4908" xr:uid="{00000000-0005-0000-0000-00009E150000}"/>
    <cellStyle name="20% - Accent2 3 9 3 2" xfId="9770" xr:uid="{00000000-0005-0000-0000-00009F150000}"/>
    <cellStyle name="20% - Accent2 3 9 3 2 2" xfId="29221" xr:uid="{00000000-0005-0000-0000-0000A0150000}"/>
    <cellStyle name="20% - Accent2 3 9 3 2 3" xfId="38946" xr:uid="{00000000-0005-0000-0000-0000A1150000}"/>
    <cellStyle name="20% - Accent2 3 9 3 2 4" xfId="48671" xr:uid="{00000000-0005-0000-0000-0000A2150000}"/>
    <cellStyle name="20% - Accent2 3 9 3 2 5" xfId="19496" xr:uid="{00000000-0005-0000-0000-0000A3150000}"/>
    <cellStyle name="20% - Accent2 3 9 3 3" xfId="24359" xr:uid="{00000000-0005-0000-0000-0000A4150000}"/>
    <cellStyle name="20% - Accent2 3 9 3 4" xfId="34084" xr:uid="{00000000-0005-0000-0000-0000A5150000}"/>
    <cellStyle name="20% - Accent2 3 9 3 5" xfId="43809" xr:uid="{00000000-0005-0000-0000-0000A6150000}"/>
    <cellStyle name="20% - Accent2 3 9 3 6" xfId="14634" xr:uid="{00000000-0005-0000-0000-0000A7150000}"/>
    <cellStyle name="20% - Accent2 3 9 4" xfId="6530" xr:uid="{00000000-0005-0000-0000-0000A8150000}"/>
    <cellStyle name="20% - Accent2 3 9 4 2" xfId="25981" xr:uid="{00000000-0005-0000-0000-0000A9150000}"/>
    <cellStyle name="20% - Accent2 3 9 4 3" xfId="35706" xr:uid="{00000000-0005-0000-0000-0000AA150000}"/>
    <cellStyle name="20% - Accent2 3 9 4 4" xfId="45431" xr:uid="{00000000-0005-0000-0000-0000AB150000}"/>
    <cellStyle name="20% - Accent2 3 9 4 5" xfId="16256" xr:uid="{00000000-0005-0000-0000-0000AC150000}"/>
    <cellStyle name="20% - Accent2 3 9 5" xfId="21119" xr:uid="{00000000-0005-0000-0000-0000AD150000}"/>
    <cellStyle name="20% - Accent2 3 9 6" xfId="30844" xr:uid="{00000000-0005-0000-0000-0000AE150000}"/>
    <cellStyle name="20% - Accent2 3 9 7" xfId="40569" xr:uid="{00000000-0005-0000-0000-0000AF150000}"/>
    <cellStyle name="20% - Accent2 3 9 8" xfId="11394" xr:uid="{00000000-0005-0000-0000-0000B0150000}"/>
    <cellStyle name="20% - Accent2 4" xfId="104" xr:uid="{00000000-0005-0000-0000-0000B1150000}"/>
    <cellStyle name="20% - Accent2 4 10" xfId="1788" xr:uid="{00000000-0005-0000-0000-0000B2150000}"/>
    <cellStyle name="20% - Accent2 4 10 2" xfId="6650" xr:uid="{00000000-0005-0000-0000-0000B3150000}"/>
    <cellStyle name="20% - Accent2 4 10 2 2" xfId="26101" xr:uid="{00000000-0005-0000-0000-0000B4150000}"/>
    <cellStyle name="20% - Accent2 4 10 2 3" xfId="35826" xr:uid="{00000000-0005-0000-0000-0000B5150000}"/>
    <cellStyle name="20% - Accent2 4 10 2 4" xfId="45551" xr:uid="{00000000-0005-0000-0000-0000B6150000}"/>
    <cellStyle name="20% - Accent2 4 10 2 5" xfId="16376" xr:uid="{00000000-0005-0000-0000-0000B7150000}"/>
    <cellStyle name="20% - Accent2 4 10 3" xfId="21239" xr:uid="{00000000-0005-0000-0000-0000B8150000}"/>
    <cellStyle name="20% - Accent2 4 10 4" xfId="30964" xr:uid="{00000000-0005-0000-0000-0000B9150000}"/>
    <cellStyle name="20% - Accent2 4 10 5" xfId="40689" xr:uid="{00000000-0005-0000-0000-0000BA150000}"/>
    <cellStyle name="20% - Accent2 4 10 6" xfId="11514" xr:uid="{00000000-0005-0000-0000-0000BB150000}"/>
    <cellStyle name="20% - Accent2 4 11" xfId="3408" xr:uid="{00000000-0005-0000-0000-0000BC150000}"/>
    <cellStyle name="20% - Accent2 4 11 2" xfId="8270" xr:uid="{00000000-0005-0000-0000-0000BD150000}"/>
    <cellStyle name="20% - Accent2 4 11 2 2" xfId="27721" xr:uid="{00000000-0005-0000-0000-0000BE150000}"/>
    <cellStyle name="20% - Accent2 4 11 2 3" xfId="37446" xr:uid="{00000000-0005-0000-0000-0000BF150000}"/>
    <cellStyle name="20% - Accent2 4 11 2 4" xfId="47171" xr:uid="{00000000-0005-0000-0000-0000C0150000}"/>
    <cellStyle name="20% - Accent2 4 11 2 5" xfId="17996" xr:uid="{00000000-0005-0000-0000-0000C1150000}"/>
    <cellStyle name="20% - Accent2 4 11 3" xfId="22859" xr:uid="{00000000-0005-0000-0000-0000C2150000}"/>
    <cellStyle name="20% - Accent2 4 11 4" xfId="32584" xr:uid="{00000000-0005-0000-0000-0000C3150000}"/>
    <cellStyle name="20% - Accent2 4 11 5" xfId="42309" xr:uid="{00000000-0005-0000-0000-0000C4150000}"/>
    <cellStyle name="20% - Accent2 4 11 6" xfId="13134" xr:uid="{00000000-0005-0000-0000-0000C5150000}"/>
    <cellStyle name="20% - Accent2 4 12" xfId="5030" xr:uid="{00000000-0005-0000-0000-0000C6150000}"/>
    <cellStyle name="20% - Accent2 4 12 2" xfId="24481" xr:uid="{00000000-0005-0000-0000-0000C7150000}"/>
    <cellStyle name="20% - Accent2 4 12 3" xfId="34206" xr:uid="{00000000-0005-0000-0000-0000C8150000}"/>
    <cellStyle name="20% - Accent2 4 12 4" xfId="43931" xr:uid="{00000000-0005-0000-0000-0000C9150000}"/>
    <cellStyle name="20% - Accent2 4 12 5" xfId="14756" xr:uid="{00000000-0005-0000-0000-0000CA150000}"/>
    <cellStyle name="20% - Accent2 4 13" xfId="19619" xr:uid="{00000000-0005-0000-0000-0000CB150000}"/>
    <cellStyle name="20% - Accent2 4 14" xfId="29344" xr:uid="{00000000-0005-0000-0000-0000CC150000}"/>
    <cellStyle name="20% - Accent2 4 15" xfId="39069" xr:uid="{00000000-0005-0000-0000-0000CD150000}"/>
    <cellStyle name="20% - Accent2 4 16" xfId="9894" xr:uid="{00000000-0005-0000-0000-0000CE150000}"/>
    <cellStyle name="20% - Accent2 4 2" xfId="286" xr:uid="{00000000-0005-0000-0000-0000CF150000}"/>
    <cellStyle name="20% - Accent2 4 2 10" xfId="39249" xr:uid="{00000000-0005-0000-0000-0000D0150000}"/>
    <cellStyle name="20% - Accent2 4 2 11" xfId="10074" xr:uid="{00000000-0005-0000-0000-0000D1150000}"/>
    <cellStyle name="20% - Accent2 4 2 2" xfId="1050" xr:uid="{00000000-0005-0000-0000-0000D2150000}"/>
    <cellStyle name="20% - Accent2 4 2 2 2" xfId="2688" xr:uid="{00000000-0005-0000-0000-0000D3150000}"/>
    <cellStyle name="20% - Accent2 4 2 2 2 2" xfId="7550" xr:uid="{00000000-0005-0000-0000-0000D4150000}"/>
    <cellStyle name="20% - Accent2 4 2 2 2 2 2" xfId="27001" xr:uid="{00000000-0005-0000-0000-0000D5150000}"/>
    <cellStyle name="20% - Accent2 4 2 2 2 2 3" xfId="36726" xr:uid="{00000000-0005-0000-0000-0000D6150000}"/>
    <cellStyle name="20% - Accent2 4 2 2 2 2 4" xfId="46451" xr:uid="{00000000-0005-0000-0000-0000D7150000}"/>
    <cellStyle name="20% - Accent2 4 2 2 2 2 5" xfId="17276" xr:uid="{00000000-0005-0000-0000-0000D8150000}"/>
    <cellStyle name="20% - Accent2 4 2 2 2 3" xfId="22139" xr:uid="{00000000-0005-0000-0000-0000D9150000}"/>
    <cellStyle name="20% - Accent2 4 2 2 2 4" xfId="31864" xr:uid="{00000000-0005-0000-0000-0000DA150000}"/>
    <cellStyle name="20% - Accent2 4 2 2 2 5" xfId="41589" xr:uid="{00000000-0005-0000-0000-0000DB150000}"/>
    <cellStyle name="20% - Accent2 4 2 2 2 6" xfId="12414" xr:uid="{00000000-0005-0000-0000-0000DC150000}"/>
    <cellStyle name="20% - Accent2 4 2 2 3" xfId="4308" xr:uid="{00000000-0005-0000-0000-0000DD150000}"/>
    <cellStyle name="20% - Accent2 4 2 2 3 2" xfId="9170" xr:uid="{00000000-0005-0000-0000-0000DE150000}"/>
    <cellStyle name="20% - Accent2 4 2 2 3 2 2" xfId="28621" xr:uid="{00000000-0005-0000-0000-0000DF150000}"/>
    <cellStyle name="20% - Accent2 4 2 2 3 2 3" xfId="38346" xr:uid="{00000000-0005-0000-0000-0000E0150000}"/>
    <cellStyle name="20% - Accent2 4 2 2 3 2 4" xfId="48071" xr:uid="{00000000-0005-0000-0000-0000E1150000}"/>
    <cellStyle name="20% - Accent2 4 2 2 3 2 5" xfId="18896" xr:uid="{00000000-0005-0000-0000-0000E2150000}"/>
    <cellStyle name="20% - Accent2 4 2 2 3 3" xfId="23759" xr:uid="{00000000-0005-0000-0000-0000E3150000}"/>
    <cellStyle name="20% - Accent2 4 2 2 3 4" xfId="33484" xr:uid="{00000000-0005-0000-0000-0000E4150000}"/>
    <cellStyle name="20% - Accent2 4 2 2 3 5" xfId="43209" xr:uid="{00000000-0005-0000-0000-0000E5150000}"/>
    <cellStyle name="20% - Accent2 4 2 2 3 6" xfId="14034" xr:uid="{00000000-0005-0000-0000-0000E6150000}"/>
    <cellStyle name="20% - Accent2 4 2 2 4" xfId="5930" xr:uid="{00000000-0005-0000-0000-0000E7150000}"/>
    <cellStyle name="20% - Accent2 4 2 2 4 2" xfId="25381" xr:uid="{00000000-0005-0000-0000-0000E8150000}"/>
    <cellStyle name="20% - Accent2 4 2 2 4 3" xfId="35106" xr:uid="{00000000-0005-0000-0000-0000E9150000}"/>
    <cellStyle name="20% - Accent2 4 2 2 4 4" xfId="44831" xr:uid="{00000000-0005-0000-0000-0000EA150000}"/>
    <cellStyle name="20% - Accent2 4 2 2 4 5" xfId="15656" xr:uid="{00000000-0005-0000-0000-0000EB150000}"/>
    <cellStyle name="20% - Accent2 4 2 2 5" xfId="20519" xr:uid="{00000000-0005-0000-0000-0000EC150000}"/>
    <cellStyle name="20% - Accent2 4 2 2 6" xfId="30244" xr:uid="{00000000-0005-0000-0000-0000ED150000}"/>
    <cellStyle name="20% - Accent2 4 2 2 7" xfId="39969" xr:uid="{00000000-0005-0000-0000-0000EE150000}"/>
    <cellStyle name="20% - Accent2 4 2 2 8" xfId="10794" xr:uid="{00000000-0005-0000-0000-0000EF150000}"/>
    <cellStyle name="20% - Accent2 4 2 3" xfId="1517" xr:uid="{00000000-0005-0000-0000-0000F0150000}"/>
    <cellStyle name="20% - Accent2 4 2 3 2" xfId="3138" xr:uid="{00000000-0005-0000-0000-0000F1150000}"/>
    <cellStyle name="20% - Accent2 4 2 3 2 2" xfId="8000" xr:uid="{00000000-0005-0000-0000-0000F2150000}"/>
    <cellStyle name="20% - Accent2 4 2 3 2 2 2" xfId="27451" xr:uid="{00000000-0005-0000-0000-0000F3150000}"/>
    <cellStyle name="20% - Accent2 4 2 3 2 2 3" xfId="37176" xr:uid="{00000000-0005-0000-0000-0000F4150000}"/>
    <cellStyle name="20% - Accent2 4 2 3 2 2 4" xfId="46901" xr:uid="{00000000-0005-0000-0000-0000F5150000}"/>
    <cellStyle name="20% - Accent2 4 2 3 2 2 5" xfId="17726" xr:uid="{00000000-0005-0000-0000-0000F6150000}"/>
    <cellStyle name="20% - Accent2 4 2 3 2 3" xfId="22589" xr:uid="{00000000-0005-0000-0000-0000F7150000}"/>
    <cellStyle name="20% - Accent2 4 2 3 2 4" xfId="32314" xr:uid="{00000000-0005-0000-0000-0000F8150000}"/>
    <cellStyle name="20% - Accent2 4 2 3 2 5" xfId="42039" xr:uid="{00000000-0005-0000-0000-0000F9150000}"/>
    <cellStyle name="20% - Accent2 4 2 3 2 6" xfId="12864" xr:uid="{00000000-0005-0000-0000-0000FA150000}"/>
    <cellStyle name="20% - Accent2 4 2 3 3" xfId="4758" xr:uid="{00000000-0005-0000-0000-0000FB150000}"/>
    <cellStyle name="20% - Accent2 4 2 3 3 2" xfId="9620" xr:uid="{00000000-0005-0000-0000-0000FC150000}"/>
    <cellStyle name="20% - Accent2 4 2 3 3 2 2" xfId="29071" xr:uid="{00000000-0005-0000-0000-0000FD150000}"/>
    <cellStyle name="20% - Accent2 4 2 3 3 2 3" xfId="38796" xr:uid="{00000000-0005-0000-0000-0000FE150000}"/>
    <cellStyle name="20% - Accent2 4 2 3 3 2 4" xfId="48521" xr:uid="{00000000-0005-0000-0000-0000FF150000}"/>
    <cellStyle name="20% - Accent2 4 2 3 3 2 5" xfId="19346" xr:uid="{00000000-0005-0000-0000-000000160000}"/>
    <cellStyle name="20% - Accent2 4 2 3 3 3" xfId="24209" xr:uid="{00000000-0005-0000-0000-000001160000}"/>
    <cellStyle name="20% - Accent2 4 2 3 3 4" xfId="33934" xr:uid="{00000000-0005-0000-0000-000002160000}"/>
    <cellStyle name="20% - Accent2 4 2 3 3 5" xfId="43659" xr:uid="{00000000-0005-0000-0000-000003160000}"/>
    <cellStyle name="20% - Accent2 4 2 3 3 6" xfId="14484" xr:uid="{00000000-0005-0000-0000-000004160000}"/>
    <cellStyle name="20% - Accent2 4 2 3 4" xfId="6380" xr:uid="{00000000-0005-0000-0000-000005160000}"/>
    <cellStyle name="20% - Accent2 4 2 3 4 2" xfId="25831" xr:uid="{00000000-0005-0000-0000-000006160000}"/>
    <cellStyle name="20% - Accent2 4 2 3 4 3" xfId="35556" xr:uid="{00000000-0005-0000-0000-000007160000}"/>
    <cellStyle name="20% - Accent2 4 2 3 4 4" xfId="45281" xr:uid="{00000000-0005-0000-0000-000008160000}"/>
    <cellStyle name="20% - Accent2 4 2 3 4 5" xfId="16106" xr:uid="{00000000-0005-0000-0000-000009160000}"/>
    <cellStyle name="20% - Accent2 4 2 3 5" xfId="20969" xr:uid="{00000000-0005-0000-0000-00000A160000}"/>
    <cellStyle name="20% - Accent2 4 2 3 6" xfId="30694" xr:uid="{00000000-0005-0000-0000-00000B160000}"/>
    <cellStyle name="20% - Accent2 4 2 3 7" xfId="40419" xr:uid="{00000000-0005-0000-0000-00000C160000}"/>
    <cellStyle name="20% - Accent2 4 2 3 8" xfId="11244" xr:uid="{00000000-0005-0000-0000-00000D160000}"/>
    <cellStyle name="20% - Accent2 4 2 4" xfId="688" xr:uid="{00000000-0005-0000-0000-00000E160000}"/>
    <cellStyle name="20% - Accent2 4 2 4 2" xfId="2328" xr:uid="{00000000-0005-0000-0000-00000F160000}"/>
    <cellStyle name="20% - Accent2 4 2 4 2 2" xfId="7190" xr:uid="{00000000-0005-0000-0000-000010160000}"/>
    <cellStyle name="20% - Accent2 4 2 4 2 2 2" xfId="26641" xr:uid="{00000000-0005-0000-0000-000011160000}"/>
    <cellStyle name="20% - Accent2 4 2 4 2 2 3" xfId="36366" xr:uid="{00000000-0005-0000-0000-000012160000}"/>
    <cellStyle name="20% - Accent2 4 2 4 2 2 4" xfId="46091" xr:uid="{00000000-0005-0000-0000-000013160000}"/>
    <cellStyle name="20% - Accent2 4 2 4 2 2 5" xfId="16916" xr:uid="{00000000-0005-0000-0000-000014160000}"/>
    <cellStyle name="20% - Accent2 4 2 4 2 3" xfId="21779" xr:uid="{00000000-0005-0000-0000-000015160000}"/>
    <cellStyle name="20% - Accent2 4 2 4 2 4" xfId="31504" xr:uid="{00000000-0005-0000-0000-000016160000}"/>
    <cellStyle name="20% - Accent2 4 2 4 2 5" xfId="41229" xr:uid="{00000000-0005-0000-0000-000017160000}"/>
    <cellStyle name="20% - Accent2 4 2 4 2 6" xfId="12054" xr:uid="{00000000-0005-0000-0000-000018160000}"/>
    <cellStyle name="20% - Accent2 4 2 4 3" xfId="3948" xr:uid="{00000000-0005-0000-0000-000019160000}"/>
    <cellStyle name="20% - Accent2 4 2 4 3 2" xfId="8810" xr:uid="{00000000-0005-0000-0000-00001A160000}"/>
    <cellStyle name="20% - Accent2 4 2 4 3 2 2" xfId="28261" xr:uid="{00000000-0005-0000-0000-00001B160000}"/>
    <cellStyle name="20% - Accent2 4 2 4 3 2 3" xfId="37986" xr:uid="{00000000-0005-0000-0000-00001C160000}"/>
    <cellStyle name="20% - Accent2 4 2 4 3 2 4" xfId="47711" xr:uid="{00000000-0005-0000-0000-00001D160000}"/>
    <cellStyle name="20% - Accent2 4 2 4 3 2 5" xfId="18536" xr:uid="{00000000-0005-0000-0000-00001E160000}"/>
    <cellStyle name="20% - Accent2 4 2 4 3 3" xfId="23399" xr:uid="{00000000-0005-0000-0000-00001F160000}"/>
    <cellStyle name="20% - Accent2 4 2 4 3 4" xfId="33124" xr:uid="{00000000-0005-0000-0000-000020160000}"/>
    <cellStyle name="20% - Accent2 4 2 4 3 5" xfId="42849" xr:uid="{00000000-0005-0000-0000-000021160000}"/>
    <cellStyle name="20% - Accent2 4 2 4 3 6" xfId="13674" xr:uid="{00000000-0005-0000-0000-000022160000}"/>
    <cellStyle name="20% - Accent2 4 2 4 4" xfId="5570" xr:uid="{00000000-0005-0000-0000-000023160000}"/>
    <cellStyle name="20% - Accent2 4 2 4 4 2" xfId="25021" xr:uid="{00000000-0005-0000-0000-000024160000}"/>
    <cellStyle name="20% - Accent2 4 2 4 4 3" xfId="34746" xr:uid="{00000000-0005-0000-0000-000025160000}"/>
    <cellStyle name="20% - Accent2 4 2 4 4 4" xfId="44471" xr:uid="{00000000-0005-0000-0000-000026160000}"/>
    <cellStyle name="20% - Accent2 4 2 4 4 5" xfId="15296" xr:uid="{00000000-0005-0000-0000-000027160000}"/>
    <cellStyle name="20% - Accent2 4 2 4 5" xfId="20159" xr:uid="{00000000-0005-0000-0000-000028160000}"/>
    <cellStyle name="20% - Accent2 4 2 4 6" xfId="29884" xr:uid="{00000000-0005-0000-0000-000029160000}"/>
    <cellStyle name="20% - Accent2 4 2 4 7" xfId="39609" xr:uid="{00000000-0005-0000-0000-00002A160000}"/>
    <cellStyle name="20% - Accent2 4 2 4 8" xfId="10434" xr:uid="{00000000-0005-0000-0000-00002B160000}"/>
    <cellStyle name="20% - Accent2 4 2 5" xfId="1968" xr:uid="{00000000-0005-0000-0000-00002C160000}"/>
    <cellStyle name="20% - Accent2 4 2 5 2" xfId="6830" xr:uid="{00000000-0005-0000-0000-00002D160000}"/>
    <cellStyle name="20% - Accent2 4 2 5 2 2" xfId="26281" xr:uid="{00000000-0005-0000-0000-00002E160000}"/>
    <cellStyle name="20% - Accent2 4 2 5 2 3" xfId="36006" xr:uid="{00000000-0005-0000-0000-00002F160000}"/>
    <cellStyle name="20% - Accent2 4 2 5 2 4" xfId="45731" xr:uid="{00000000-0005-0000-0000-000030160000}"/>
    <cellStyle name="20% - Accent2 4 2 5 2 5" xfId="16556" xr:uid="{00000000-0005-0000-0000-000031160000}"/>
    <cellStyle name="20% - Accent2 4 2 5 3" xfId="21419" xr:uid="{00000000-0005-0000-0000-000032160000}"/>
    <cellStyle name="20% - Accent2 4 2 5 4" xfId="31144" xr:uid="{00000000-0005-0000-0000-000033160000}"/>
    <cellStyle name="20% - Accent2 4 2 5 5" xfId="40869" xr:uid="{00000000-0005-0000-0000-000034160000}"/>
    <cellStyle name="20% - Accent2 4 2 5 6" xfId="11694" xr:uid="{00000000-0005-0000-0000-000035160000}"/>
    <cellStyle name="20% - Accent2 4 2 6" xfId="3588" xr:uid="{00000000-0005-0000-0000-000036160000}"/>
    <cellStyle name="20% - Accent2 4 2 6 2" xfId="8450" xr:uid="{00000000-0005-0000-0000-000037160000}"/>
    <cellStyle name="20% - Accent2 4 2 6 2 2" xfId="27901" xr:uid="{00000000-0005-0000-0000-000038160000}"/>
    <cellStyle name="20% - Accent2 4 2 6 2 3" xfId="37626" xr:uid="{00000000-0005-0000-0000-000039160000}"/>
    <cellStyle name="20% - Accent2 4 2 6 2 4" xfId="47351" xr:uid="{00000000-0005-0000-0000-00003A160000}"/>
    <cellStyle name="20% - Accent2 4 2 6 2 5" xfId="18176" xr:uid="{00000000-0005-0000-0000-00003B160000}"/>
    <cellStyle name="20% - Accent2 4 2 6 3" xfId="23039" xr:uid="{00000000-0005-0000-0000-00003C160000}"/>
    <cellStyle name="20% - Accent2 4 2 6 4" xfId="32764" xr:uid="{00000000-0005-0000-0000-00003D160000}"/>
    <cellStyle name="20% - Accent2 4 2 6 5" xfId="42489" xr:uid="{00000000-0005-0000-0000-00003E160000}"/>
    <cellStyle name="20% - Accent2 4 2 6 6" xfId="13314" xr:uid="{00000000-0005-0000-0000-00003F160000}"/>
    <cellStyle name="20% - Accent2 4 2 7" xfId="5210" xr:uid="{00000000-0005-0000-0000-000040160000}"/>
    <cellStyle name="20% - Accent2 4 2 7 2" xfId="24661" xr:uid="{00000000-0005-0000-0000-000041160000}"/>
    <cellStyle name="20% - Accent2 4 2 7 3" xfId="34386" xr:uid="{00000000-0005-0000-0000-000042160000}"/>
    <cellStyle name="20% - Accent2 4 2 7 4" xfId="44111" xr:uid="{00000000-0005-0000-0000-000043160000}"/>
    <cellStyle name="20% - Accent2 4 2 7 5" xfId="14936" xr:uid="{00000000-0005-0000-0000-000044160000}"/>
    <cellStyle name="20% - Accent2 4 2 8" xfId="19799" xr:uid="{00000000-0005-0000-0000-000045160000}"/>
    <cellStyle name="20% - Accent2 4 2 9" xfId="29524" xr:uid="{00000000-0005-0000-0000-000046160000}"/>
    <cellStyle name="20% - Accent2 4 3" xfId="377" xr:uid="{00000000-0005-0000-0000-000047160000}"/>
    <cellStyle name="20% - Accent2 4 3 10" xfId="39339" xr:uid="{00000000-0005-0000-0000-000048160000}"/>
    <cellStyle name="20% - Accent2 4 3 11" xfId="10164" xr:uid="{00000000-0005-0000-0000-000049160000}"/>
    <cellStyle name="20% - Accent2 4 3 2" xfId="1140" xr:uid="{00000000-0005-0000-0000-00004A160000}"/>
    <cellStyle name="20% - Accent2 4 3 2 2" xfId="2778" xr:uid="{00000000-0005-0000-0000-00004B160000}"/>
    <cellStyle name="20% - Accent2 4 3 2 2 2" xfId="7640" xr:uid="{00000000-0005-0000-0000-00004C160000}"/>
    <cellStyle name="20% - Accent2 4 3 2 2 2 2" xfId="27091" xr:uid="{00000000-0005-0000-0000-00004D160000}"/>
    <cellStyle name="20% - Accent2 4 3 2 2 2 3" xfId="36816" xr:uid="{00000000-0005-0000-0000-00004E160000}"/>
    <cellStyle name="20% - Accent2 4 3 2 2 2 4" xfId="46541" xr:uid="{00000000-0005-0000-0000-00004F160000}"/>
    <cellStyle name="20% - Accent2 4 3 2 2 2 5" xfId="17366" xr:uid="{00000000-0005-0000-0000-000050160000}"/>
    <cellStyle name="20% - Accent2 4 3 2 2 3" xfId="22229" xr:uid="{00000000-0005-0000-0000-000051160000}"/>
    <cellStyle name="20% - Accent2 4 3 2 2 4" xfId="31954" xr:uid="{00000000-0005-0000-0000-000052160000}"/>
    <cellStyle name="20% - Accent2 4 3 2 2 5" xfId="41679" xr:uid="{00000000-0005-0000-0000-000053160000}"/>
    <cellStyle name="20% - Accent2 4 3 2 2 6" xfId="12504" xr:uid="{00000000-0005-0000-0000-000054160000}"/>
    <cellStyle name="20% - Accent2 4 3 2 3" xfId="4398" xr:uid="{00000000-0005-0000-0000-000055160000}"/>
    <cellStyle name="20% - Accent2 4 3 2 3 2" xfId="9260" xr:uid="{00000000-0005-0000-0000-000056160000}"/>
    <cellStyle name="20% - Accent2 4 3 2 3 2 2" xfId="28711" xr:uid="{00000000-0005-0000-0000-000057160000}"/>
    <cellStyle name="20% - Accent2 4 3 2 3 2 3" xfId="38436" xr:uid="{00000000-0005-0000-0000-000058160000}"/>
    <cellStyle name="20% - Accent2 4 3 2 3 2 4" xfId="48161" xr:uid="{00000000-0005-0000-0000-000059160000}"/>
    <cellStyle name="20% - Accent2 4 3 2 3 2 5" xfId="18986" xr:uid="{00000000-0005-0000-0000-00005A160000}"/>
    <cellStyle name="20% - Accent2 4 3 2 3 3" xfId="23849" xr:uid="{00000000-0005-0000-0000-00005B160000}"/>
    <cellStyle name="20% - Accent2 4 3 2 3 4" xfId="33574" xr:uid="{00000000-0005-0000-0000-00005C160000}"/>
    <cellStyle name="20% - Accent2 4 3 2 3 5" xfId="43299" xr:uid="{00000000-0005-0000-0000-00005D160000}"/>
    <cellStyle name="20% - Accent2 4 3 2 3 6" xfId="14124" xr:uid="{00000000-0005-0000-0000-00005E160000}"/>
    <cellStyle name="20% - Accent2 4 3 2 4" xfId="6020" xr:uid="{00000000-0005-0000-0000-00005F160000}"/>
    <cellStyle name="20% - Accent2 4 3 2 4 2" xfId="25471" xr:uid="{00000000-0005-0000-0000-000060160000}"/>
    <cellStyle name="20% - Accent2 4 3 2 4 3" xfId="35196" xr:uid="{00000000-0005-0000-0000-000061160000}"/>
    <cellStyle name="20% - Accent2 4 3 2 4 4" xfId="44921" xr:uid="{00000000-0005-0000-0000-000062160000}"/>
    <cellStyle name="20% - Accent2 4 3 2 4 5" xfId="15746" xr:uid="{00000000-0005-0000-0000-000063160000}"/>
    <cellStyle name="20% - Accent2 4 3 2 5" xfId="20609" xr:uid="{00000000-0005-0000-0000-000064160000}"/>
    <cellStyle name="20% - Accent2 4 3 2 6" xfId="30334" xr:uid="{00000000-0005-0000-0000-000065160000}"/>
    <cellStyle name="20% - Accent2 4 3 2 7" xfId="40059" xr:uid="{00000000-0005-0000-0000-000066160000}"/>
    <cellStyle name="20% - Accent2 4 3 2 8" xfId="10884" xr:uid="{00000000-0005-0000-0000-000067160000}"/>
    <cellStyle name="20% - Accent2 4 3 3" xfId="1607" xr:uid="{00000000-0005-0000-0000-000068160000}"/>
    <cellStyle name="20% - Accent2 4 3 3 2" xfId="3228" xr:uid="{00000000-0005-0000-0000-000069160000}"/>
    <cellStyle name="20% - Accent2 4 3 3 2 2" xfId="8090" xr:uid="{00000000-0005-0000-0000-00006A160000}"/>
    <cellStyle name="20% - Accent2 4 3 3 2 2 2" xfId="27541" xr:uid="{00000000-0005-0000-0000-00006B160000}"/>
    <cellStyle name="20% - Accent2 4 3 3 2 2 3" xfId="37266" xr:uid="{00000000-0005-0000-0000-00006C160000}"/>
    <cellStyle name="20% - Accent2 4 3 3 2 2 4" xfId="46991" xr:uid="{00000000-0005-0000-0000-00006D160000}"/>
    <cellStyle name="20% - Accent2 4 3 3 2 2 5" xfId="17816" xr:uid="{00000000-0005-0000-0000-00006E160000}"/>
    <cellStyle name="20% - Accent2 4 3 3 2 3" xfId="22679" xr:uid="{00000000-0005-0000-0000-00006F160000}"/>
    <cellStyle name="20% - Accent2 4 3 3 2 4" xfId="32404" xr:uid="{00000000-0005-0000-0000-000070160000}"/>
    <cellStyle name="20% - Accent2 4 3 3 2 5" xfId="42129" xr:uid="{00000000-0005-0000-0000-000071160000}"/>
    <cellStyle name="20% - Accent2 4 3 3 2 6" xfId="12954" xr:uid="{00000000-0005-0000-0000-000072160000}"/>
    <cellStyle name="20% - Accent2 4 3 3 3" xfId="4848" xr:uid="{00000000-0005-0000-0000-000073160000}"/>
    <cellStyle name="20% - Accent2 4 3 3 3 2" xfId="9710" xr:uid="{00000000-0005-0000-0000-000074160000}"/>
    <cellStyle name="20% - Accent2 4 3 3 3 2 2" xfId="29161" xr:uid="{00000000-0005-0000-0000-000075160000}"/>
    <cellStyle name="20% - Accent2 4 3 3 3 2 3" xfId="38886" xr:uid="{00000000-0005-0000-0000-000076160000}"/>
    <cellStyle name="20% - Accent2 4 3 3 3 2 4" xfId="48611" xr:uid="{00000000-0005-0000-0000-000077160000}"/>
    <cellStyle name="20% - Accent2 4 3 3 3 2 5" xfId="19436" xr:uid="{00000000-0005-0000-0000-000078160000}"/>
    <cellStyle name="20% - Accent2 4 3 3 3 3" xfId="24299" xr:uid="{00000000-0005-0000-0000-000079160000}"/>
    <cellStyle name="20% - Accent2 4 3 3 3 4" xfId="34024" xr:uid="{00000000-0005-0000-0000-00007A160000}"/>
    <cellStyle name="20% - Accent2 4 3 3 3 5" xfId="43749" xr:uid="{00000000-0005-0000-0000-00007B160000}"/>
    <cellStyle name="20% - Accent2 4 3 3 3 6" xfId="14574" xr:uid="{00000000-0005-0000-0000-00007C160000}"/>
    <cellStyle name="20% - Accent2 4 3 3 4" xfId="6470" xr:uid="{00000000-0005-0000-0000-00007D160000}"/>
    <cellStyle name="20% - Accent2 4 3 3 4 2" xfId="25921" xr:uid="{00000000-0005-0000-0000-00007E160000}"/>
    <cellStyle name="20% - Accent2 4 3 3 4 3" xfId="35646" xr:uid="{00000000-0005-0000-0000-00007F160000}"/>
    <cellStyle name="20% - Accent2 4 3 3 4 4" xfId="45371" xr:uid="{00000000-0005-0000-0000-000080160000}"/>
    <cellStyle name="20% - Accent2 4 3 3 4 5" xfId="16196" xr:uid="{00000000-0005-0000-0000-000081160000}"/>
    <cellStyle name="20% - Accent2 4 3 3 5" xfId="21059" xr:uid="{00000000-0005-0000-0000-000082160000}"/>
    <cellStyle name="20% - Accent2 4 3 3 6" xfId="30784" xr:uid="{00000000-0005-0000-0000-000083160000}"/>
    <cellStyle name="20% - Accent2 4 3 3 7" xfId="40509" xr:uid="{00000000-0005-0000-0000-000084160000}"/>
    <cellStyle name="20% - Accent2 4 3 3 8" xfId="11334" xr:uid="{00000000-0005-0000-0000-000085160000}"/>
    <cellStyle name="20% - Accent2 4 3 4" xfId="778" xr:uid="{00000000-0005-0000-0000-000086160000}"/>
    <cellStyle name="20% - Accent2 4 3 4 2" xfId="2418" xr:uid="{00000000-0005-0000-0000-000087160000}"/>
    <cellStyle name="20% - Accent2 4 3 4 2 2" xfId="7280" xr:uid="{00000000-0005-0000-0000-000088160000}"/>
    <cellStyle name="20% - Accent2 4 3 4 2 2 2" xfId="26731" xr:uid="{00000000-0005-0000-0000-000089160000}"/>
    <cellStyle name="20% - Accent2 4 3 4 2 2 3" xfId="36456" xr:uid="{00000000-0005-0000-0000-00008A160000}"/>
    <cellStyle name="20% - Accent2 4 3 4 2 2 4" xfId="46181" xr:uid="{00000000-0005-0000-0000-00008B160000}"/>
    <cellStyle name="20% - Accent2 4 3 4 2 2 5" xfId="17006" xr:uid="{00000000-0005-0000-0000-00008C160000}"/>
    <cellStyle name="20% - Accent2 4 3 4 2 3" xfId="21869" xr:uid="{00000000-0005-0000-0000-00008D160000}"/>
    <cellStyle name="20% - Accent2 4 3 4 2 4" xfId="31594" xr:uid="{00000000-0005-0000-0000-00008E160000}"/>
    <cellStyle name="20% - Accent2 4 3 4 2 5" xfId="41319" xr:uid="{00000000-0005-0000-0000-00008F160000}"/>
    <cellStyle name="20% - Accent2 4 3 4 2 6" xfId="12144" xr:uid="{00000000-0005-0000-0000-000090160000}"/>
    <cellStyle name="20% - Accent2 4 3 4 3" xfId="4038" xr:uid="{00000000-0005-0000-0000-000091160000}"/>
    <cellStyle name="20% - Accent2 4 3 4 3 2" xfId="8900" xr:uid="{00000000-0005-0000-0000-000092160000}"/>
    <cellStyle name="20% - Accent2 4 3 4 3 2 2" xfId="28351" xr:uid="{00000000-0005-0000-0000-000093160000}"/>
    <cellStyle name="20% - Accent2 4 3 4 3 2 3" xfId="38076" xr:uid="{00000000-0005-0000-0000-000094160000}"/>
    <cellStyle name="20% - Accent2 4 3 4 3 2 4" xfId="47801" xr:uid="{00000000-0005-0000-0000-000095160000}"/>
    <cellStyle name="20% - Accent2 4 3 4 3 2 5" xfId="18626" xr:uid="{00000000-0005-0000-0000-000096160000}"/>
    <cellStyle name="20% - Accent2 4 3 4 3 3" xfId="23489" xr:uid="{00000000-0005-0000-0000-000097160000}"/>
    <cellStyle name="20% - Accent2 4 3 4 3 4" xfId="33214" xr:uid="{00000000-0005-0000-0000-000098160000}"/>
    <cellStyle name="20% - Accent2 4 3 4 3 5" xfId="42939" xr:uid="{00000000-0005-0000-0000-000099160000}"/>
    <cellStyle name="20% - Accent2 4 3 4 3 6" xfId="13764" xr:uid="{00000000-0005-0000-0000-00009A160000}"/>
    <cellStyle name="20% - Accent2 4 3 4 4" xfId="5660" xr:uid="{00000000-0005-0000-0000-00009B160000}"/>
    <cellStyle name="20% - Accent2 4 3 4 4 2" xfId="25111" xr:uid="{00000000-0005-0000-0000-00009C160000}"/>
    <cellStyle name="20% - Accent2 4 3 4 4 3" xfId="34836" xr:uid="{00000000-0005-0000-0000-00009D160000}"/>
    <cellStyle name="20% - Accent2 4 3 4 4 4" xfId="44561" xr:uid="{00000000-0005-0000-0000-00009E160000}"/>
    <cellStyle name="20% - Accent2 4 3 4 4 5" xfId="15386" xr:uid="{00000000-0005-0000-0000-00009F160000}"/>
    <cellStyle name="20% - Accent2 4 3 4 5" xfId="20249" xr:uid="{00000000-0005-0000-0000-0000A0160000}"/>
    <cellStyle name="20% - Accent2 4 3 4 6" xfId="29974" xr:uid="{00000000-0005-0000-0000-0000A1160000}"/>
    <cellStyle name="20% - Accent2 4 3 4 7" xfId="39699" xr:uid="{00000000-0005-0000-0000-0000A2160000}"/>
    <cellStyle name="20% - Accent2 4 3 4 8" xfId="10524" xr:uid="{00000000-0005-0000-0000-0000A3160000}"/>
    <cellStyle name="20% - Accent2 4 3 5" xfId="2058" xr:uid="{00000000-0005-0000-0000-0000A4160000}"/>
    <cellStyle name="20% - Accent2 4 3 5 2" xfId="6920" xr:uid="{00000000-0005-0000-0000-0000A5160000}"/>
    <cellStyle name="20% - Accent2 4 3 5 2 2" xfId="26371" xr:uid="{00000000-0005-0000-0000-0000A6160000}"/>
    <cellStyle name="20% - Accent2 4 3 5 2 3" xfId="36096" xr:uid="{00000000-0005-0000-0000-0000A7160000}"/>
    <cellStyle name="20% - Accent2 4 3 5 2 4" xfId="45821" xr:uid="{00000000-0005-0000-0000-0000A8160000}"/>
    <cellStyle name="20% - Accent2 4 3 5 2 5" xfId="16646" xr:uid="{00000000-0005-0000-0000-0000A9160000}"/>
    <cellStyle name="20% - Accent2 4 3 5 3" xfId="21509" xr:uid="{00000000-0005-0000-0000-0000AA160000}"/>
    <cellStyle name="20% - Accent2 4 3 5 4" xfId="31234" xr:uid="{00000000-0005-0000-0000-0000AB160000}"/>
    <cellStyle name="20% - Accent2 4 3 5 5" xfId="40959" xr:uid="{00000000-0005-0000-0000-0000AC160000}"/>
    <cellStyle name="20% - Accent2 4 3 5 6" xfId="11784" xr:uid="{00000000-0005-0000-0000-0000AD160000}"/>
    <cellStyle name="20% - Accent2 4 3 6" xfId="3678" xr:uid="{00000000-0005-0000-0000-0000AE160000}"/>
    <cellStyle name="20% - Accent2 4 3 6 2" xfId="8540" xr:uid="{00000000-0005-0000-0000-0000AF160000}"/>
    <cellStyle name="20% - Accent2 4 3 6 2 2" xfId="27991" xr:uid="{00000000-0005-0000-0000-0000B0160000}"/>
    <cellStyle name="20% - Accent2 4 3 6 2 3" xfId="37716" xr:uid="{00000000-0005-0000-0000-0000B1160000}"/>
    <cellStyle name="20% - Accent2 4 3 6 2 4" xfId="47441" xr:uid="{00000000-0005-0000-0000-0000B2160000}"/>
    <cellStyle name="20% - Accent2 4 3 6 2 5" xfId="18266" xr:uid="{00000000-0005-0000-0000-0000B3160000}"/>
    <cellStyle name="20% - Accent2 4 3 6 3" xfId="23129" xr:uid="{00000000-0005-0000-0000-0000B4160000}"/>
    <cellStyle name="20% - Accent2 4 3 6 4" xfId="32854" xr:uid="{00000000-0005-0000-0000-0000B5160000}"/>
    <cellStyle name="20% - Accent2 4 3 6 5" xfId="42579" xr:uid="{00000000-0005-0000-0000-0000B6160000}"/>
    <cellStyle name="20% - Accent2 4 3 6 6" xfId="13404" xr:uid="{00000000-0005-0000-0000-0000B7160000}"/>
    <cellStyle name="20% - Accent2 4 3 7" xfId="5300" xr:uid="{00000000-0005-0000-0000-0000B8160000}"/>
    <cellStyle name="20% - Accent2 4 3 7 2" xfId="24751" xr:uid="{00000000-0005-0000-0000-0000B9160000}"/>
    <cellStyle name="20% - Accent2 4 3 7 3" xfId="34476" xr:uid="{00000000-0005-0000-0000-0000BA160000}"/>
    <cellStyle name="20% - Accent2 4 3 7 4" xfId="44201" xr:uid="{00000000-0005-0000-0000-0000BB160000}"/>
    <cellStyle name="20% - Accent2 4 3 7 5" xfId="15026" xr:uid="{00000000-0005-0000-0000-0000BC160000}"/>
    <cellStyle name="20% - Accent2 4 3 8" xfId="19889" xr:uid="{00000000-0005-0000-0000-0000BD160000}"/>
    <cellStyle name="20% - Accent2 4 3 9" xfId="29614" xr:uid="{00000000-0005-0000-0000-0000BE160000}"/>
    <cellStyle name="20% - Accent2 4 4" xfId="195" xr:uid="{00000000-0005-0000-0000-0000BF160000}"/>
    <cellStyle name="20% - Accent2 4 4 10" xfId="39159" xr:uid="{00000000-0005-0000-0000-0000C0160000}"/>
    <cellStyle name="20% - Accent2 4 4 11" xfId="9984" xr:uid="{00000000-0005-0000-0000-0000C1160000}"/>
    <cellStyle name="20% - Accent2 4 4 2" xfId="959" xr:uid="{00000000-0005-0000-0000-0000C2160000}"/>
    <cellStyle name="20% - Accent2 4 4 2 2" xfId="2598" xr:uid="{00000000-0005-0000-0000-0000C3160000}"/>
    <cellStyle name="20% - Accent2 4 4 2 2 2" xfId="7460" xr:uid="{00000000-0005-0000-0000-0000C4160000}"/>
    <cellStyle name="20% - Accent2 4 4 2 2 2 2" xfId="26911" xr:uid="{00000000-0005-0000-0000-0000C5160000}"/>
    <cellStyle name="20% - Accent2 4 4 2 2 2 3" xfId="36636" xr:uid="{00000000-0005-0000-0000-0000C6160000}"/>
    <cellStyle name="20% - Accent2 4 4 2 2 2 4" xfId="46361" xr:uid="{00000000-0005-0000-0000-0000C7160000}"/>
    <cellStyle name="20% - Accent2 4 4 2 2 2 5" xfId="17186" xr:uid="{00000000-0005-0000-0000-0000C8160000}"/>
    <cellStyle name="20% - Accent2 4 4 2 2 3" xfId="22049" xr:uid="{00000000-0005-0000-0000-0000C9160000}"/>
    <cellStyle name="20% - Accent2 4 4 2 2 4" xfId="31774" xr:uid="{00000000-0005-0000-0000-0000CA160000}"/>
    <cellStyle name="20% - Accent2 4 4 2 2 5" xfId="41499" xr:uid="{00000000-0005-0000-0000-0000CB160000}"/>
    <cellStyle name="20% - Accent2 4 4 2 2 6" xfId="12324" xr:uid="{00000000-0005-0000-0000-0000CC160000}"/>
    <cellStyle name="20% - Accent2 4 4 2 3" xfId="4218" xr:uid="{00000000-0005-0000-0000-0000CD160000}"/>
    <cellStyle name="20% - Accent2 4 4 2 3 2" xfId="9080" xr:uid="{00000000-0005-0000-0000-0000CE160000}"/>
    <cellStyle name="20% - Accent2 4 4 2 3 2 2" xfId="28531" xr:uid="{00000000-0005-0000-0000-0000CF160000}"/>
    <cellStyle name="20% - Accent2 4 4 2 3 2 3" xfId="38256" xr:uid="{00000000-0005-0000-0000-0000D0160000}"/>
    <cellStyle name="20% - Accent2 4 4 2 3 2 4" xfId="47981" xr:uid="{00000000-0005-0000-0000-0000D1160000}"/>
    <cellStyle name="20% - Accent2 4 4 2 3 2 5" xfId="18806" xr:uid="{00000000-0005-0000-0000-0000D2160000}"/>
    <cellStyle name="20% - Accent2 4 4 2 3 3" xfId="23669" xr:uid="{00000000-0005-0000-0000-0000D3160000}"/>
    <cellStyle name="20% - Accent2 4 4 2 3 4" xfId="33394" xr:uid="{00000000-0005-0000-0000-0000D4160000}"/>
    <cellStyle name="20% - Accent2 4 4 2 3 5" xfId="43119" xr:uid="{00000000-0005-0000-0000-0000D5160000}"/>
    <cellStyle name="20% - Accent2 4 4 2 3 6" xfId="13944" xr:uid="{00000000-0005-0000-0000-0000D6160000}"/>
    <cellStyle name="20% - Accent2 4 4 2 4" xfId="5840" xr:uid="{00000000-0005-0000-0000-0000D7160000}"/>
    <cellStyle name="20% - Accent2 4 4 2 4 2" xfId="25291" xr:uid="{00000000-0005-0000-0000-0000D8160000}"/>
    <cellStyle name="20% - Accent2 4 4 2 4 3" xfId="35016" xr:uid="{00000000-0005-0000-0000-0000D9160000}"/>
    <cellStyle name="20% - Accent2 4 4 2 4 4" xfId="44741" xr:uid="{00000000-0005-0000-0000-0000DA160000}"/>
    <cellStyle name="20% - Accent2 4 4 2 4 5" xfId="15566" xr:uid="{00000000-0005-0000-0000-0000DB160000}"/>
    <cellStyle name="20% - Accent2 4 4 2 5" xfId="20429" xr:uid="{00000000-0005-0000-0000-0000DC160000}"/>
    <cellStyle name="20% - Accent2 4 4 2 6" xfId="30154" xr:uid="{00000000-0005-0000-0000-0000DD160000}"/>
    <cellStyle name="20% - Accent2 4 4 2 7" xfId="39879" xr:uid="{00000000-0005-0000-0000-0000DE160000}"/>
    <cellStyle name="20% - Accent2 4 4 2 8" xfId="10704" xr:uid="{00000000-0005-0000-0000-0000DF160000}"/>
    <cellStyle name="20% - Accent2 4 4 3" xfId="1427" xr:uid="{00000000-0005-0000-0000-0000E0160000}"/>
    <cellStyle name="20% - Accent2 4 4 3 2" xfId="3048" xr:uid="{00000000-0005-0000-0000-0000E1160000}"/>
    <cellStyle name="20% - Accent2 4 4 3 2 2" xfId="7910" xr:uid="{00000000-0005-0000-0000-0000E2160000}"/>
    <cellStyle name="20% - Accent2 4 4 3 2 2 2" xfId="27361" xr:uid="{00000000-0005-0000-0000-0000E3160000}"/>
    <cellStyle name="20% - Accent2 4 4 3 2 2 3" xfId="37086" xr:uid="{00000000-0005-0000-0000-0000E4160000}"/>
    <cellStyle name="20% - Accent2 4 4 3 2 2 4" xfId="46811" xr:uid="{00000000-0005-0000-0000-0000E5160000}"/>
    <cellStyle name="20% - Accent2 4 4 3 2 2 5" xfId="17636" xr:uid="{00000000-0005-0000-0000-0000E6160000}"/>
    <cellStyle name="20% - Accent2 4 4 3 2 3" xfId="22499" xr:uid="{00000000-0005-0000-0000-0000E7160000}"/>
    <cellStyle name="20% - Accent2 4 4 3 2 4" xfId="32224" xr:uid="{00000000-0005-0000-0000-0000E8160000}"/>
    <cellStyle name="20% - Accent2 4 4 3 2 5" xfId="41949" xr:uid="{00000000-0005-0000-0000-0000E9160000}"/>
    <cellStyle name="20% - Accent2 4 4 3 2 6" xfId="12774" xr:uid="{00000000-0005-0000-0000-0000EA160000}"/>
    <cellStyle name="20% - Accent2 4 4 3 3" xfId="4668" xr:uid="{00000000-0005-0000-0000-0000EB160000}"/>
    <cellStyle name="20% - Accent2 4 4 3 3 2" xfId="9530" xr:uid="{00000000-0005-0000-0000-0000EC160000}"/>
    <cellStyle name="20% - Accent2 4 4 3 3 2 2" xfId="28981" xr:uid="{00000000-0005-0000-0000-0000ED160000}"/>
    <cellStyle name="20% - Accent2 4 4 3 3 2 3" xfId="38706" xr:uid="{00000000-0005-0000-0000-0000EE160000}"/>
    <cellStyle name="20% - Accent2 4 4 3 3 2 4" xfId="48431" xr:uid="{00000000-0005-0000-0000-0000EF160000}"/>
    <cellStyle name="20% - Accent2 4 4 3 3 2 5" xfId="19256" xr:uid="{00000000-0005-0000-0000-0000F0160000}"/>
    <cellStyle name="20% - Accent2 4 4 3 3 3" xfId="24119" xr:uid="{00000000-0005-0000-0000-0000F1160000}"/>
    <cellStyle name="20% - Accent2 4 4 3 3 4" xfId="33844" xr:uid="{00000000-0005-0000-0000-0000F2160000}"/>
    <cellStyle name="20% - Accent2 4 4 3 3 5" xfId="43569" xr:uid="{00000000-0005-0000-0000-0000F3160000}"/>
    <cellStyle name="20% - Accent2 4 4 3 3 6" xfId="14394" xr:uid="{00000000-0005-0000-0000-0000F4160000}"/>
    <cellStyle name="20% - Accent2 4 4 3 4" xfId="6290" xr:uid="{00000000-0005-0000-0000-0000F5160000}"/>
    <cellStyle name="20% - Accent2 4 4 3 4 2" xfId="25741" xr:uid="{00000000-0005-0000-0000-0000F6160000}"/>
    <cellStyle name="20% - Accent2 4 4 3 4 3" xfId="35466" xr:uid="{00000000-0005-0000-0000-0000F7160000}"/>
    <cellStyle name="20% - Accent2 4 4 3 4 4" xfId="45191" xr:uid="{00000000-0005-0000-0000-0000F8160000}"/>
    <cellStyle name="20% - Accent2 4 4 3 4 5" xfId="16016" xr:uid="{00000000-0005-0000-0000-0000F9160000}"/>
    <cellStyle name="20% - Accent2 4 4 3 5" xfId="20879" xr:uid="{00000000-0005-0000-0000-0000FA160000}"/>
    <cellStyle name="20% - Accent2 4 4 3 6" xfId="30604" xr:uid="{00000000-0005-0000-0000-0000FB160000}"/>
    <cellStyle name="20% - Accent2 4 4 3 7" xfId="40329" xr:uid="{00000000-0005-0000-0000-0000FC160000}"/>
    <cellStyle name="20% - Accent2 4 4 3 8" xfId="11154" xr:uid="{00000000-0005-0000-0000-0000FD160000}"/>
    <cellStyle name="20% - Accent2 4 4 4" xfId="598" xr:uid="{00000000-0005-0000-0000-0000FE160000}"/>
    <cellStyle name="20% - Accent2 4 4 4 2" xfId="2238" xr:uid="{00000000-0005-0000-0000-0000FF160000}"/>
    <cellStyle name="20% - Accent2 4 4 4 2 2" xfId="7100" xr:uid="{00000000-0005-0000-0000-000000170000}"/>
    <cellStyle name="20% - Accent2 4 4 4 2 2 2" xfId="26551" xr:uid="{00000000-0005-0000-0000-000001170000}"/>
    <cellStyle name="20% - Accent2 4 4 4 2 2 3" xfId="36276" xr:uid="{00000000-0005-0000-0000-000002170000}"/>
    <cellStyle name="20% - Accent2 4 4 4 2 2 4" xfId="46001" xr:uid="{00000000-0005-0000-0000-000003170000}"/>
    <cellStyle name="20% - Accent2 4 4 4 2 2 5" xfId="16826" xr:uid="{00000000-0005-0000-0000-000004170000}"/>
    <cellStyle name="20% - Accent2 4 4 4 2 3" xfId="21689" xr:uid="{00000000-0005-0000-0000-000005170000}"/>
    <cellStyle name="20% - Accent2 4 4 4 2 4" xfId="31414" xr:uid="{00000000-0005-0000-0000-000006170000}"/>
    <cellStyle name="20% - Accent2 4 4 4 2 5" xfId="41139" xr:uid="{00000000-0005-0000-0000-000007170000}"/>
    <cellStyle name="20% - Accent2 4 4 4 2 6" xfId="11964" xr:uid="{00000000-0005-0000-0000-000008170000}"/>
    <cellStyle name="20% - Accent2 4 4 4 3" xfId="3858" xr:uid="{00000000-0005-0000-0000-000009170000}"/>
    <cellStyle name="20% - Accent2 4 4 4 3 2" xfId="8720" xr:uid="{00000000-0005-0000-0000-00000A170000}"/>
    <cellStyle name="20% - Accent2 4 4 4 3 2 2" xfId="28171" xr:uid="{00000000-0005-0000-0000-00000B170000}"/>
    <cellStyle name="20% - Accent2 4 4 4 3 2 3" xfId="37896" xr:uid="{00000000-0005-0000-0000-00000C170000}"/>
    <cellStyle name="20% - Accent2 4 4 4 3 2 4" xfId="47621" xr:uid="{00000000-0005-0000-0000-00000D170000}"/>
    <cellStyle name="20% - Accent2 4 4 4 3 2 5" xfId="18446" xr:uid="{00000000-0005-0000-0000-00000E170000}"/>
    <cellStyle name="20% - Accent2 4 4 4 3 3" xfId="23309" xr:uid="{00000000-0005-0000-0000-00000F170000}"/>
    <cellStyle name="20% - Accent2 4 4 4 3 4" xfId="33034" xr:uid="{00000000-0005-0000-0000-000010170000}"/>
    <cellStyle name="20% - Accent2 4 4 4 3 5" xfId="42759" xr:uid="{00000000-0005-0000-0000-000011170000}"/>
    <cellStyle name="20% - Accent2 4 4 4 3 6" xfId="13584" xr:uid="{00000000-0005-0000-0000-000012170000}"/>
    <cellStyle name="20% - Accent2 4 4 4 4" xfId="5480" xr:uid="{00000000-0005-0000-0000-000013170000}"/>
    <cellStyle name="20% - Accent2 4 4 4 4 2" xfId="24931" xr:uid="{00000000-0005-0000-0000-000014170000}"/>
    <cellStyle name="20% - Accent2 4 4 4 4 3" xfId="34656" xr:uid="{00000000-0005-0000-0000-000015170000}"/>
    <cellStyle name="20% - Accent2 4 4 4 4 4" xfId="44381" xr:uid="{00000000-0005-0000-0000-000016170000}"/>
    <cellStyle name="20% - Accent2 4 4 4 4 5" xfId="15206" xr:uid="{00000000-0005-0000-0000-000017170000}"/>
    <cellStyle name="20% - Accent2 4 4 4 5" xfId="20069" xr:uid="{00000000-0005-0000-0000-000018170000}"/>
    <cellStyle name="20% - Accent2 4 4 4 6" xfId="29794" xr:uid="{00000000-0005-0000-0000-000019170000}"/>
    <cellStyle name="20% - Accent2 4 4 4 7" xfId="39519" xr:uid="{00000000-0005-0000-0000-00001A170000}"/>
    <cellStyle name="20% - Accent2 4 4 4 8" xfId="10344" xr:uid="{00000000-0005-0000-0000-00001B170000}"/>
    <cellStyle name="20% - Accent2 4 4 5" xfId="1878" xr:uid="{00000000-0005-0000-0000-00001C170000}"/>
    <cellStyle name="20% - Accent2 4 4 5 2" xfId="6740" xr:uid="{00000000-0005-0000-0000-00001D170000}"/>
    <cellStyle name="20% - Accent2 4 4 5 2 2" xfId="26191" xr:uid="{00000000-0005-0000-0000-00001E170000}"/>
    <cellStyle name="20% - Accent2 4 4 5 2 3" xfId="35916" xr:uid="{00000000-0005-0000-0000-00001F170000}"/>
    <cellStyle name="20% - Accent2 4 4 5 2 4" xfId="45641" xr:uid="{00000000-0005-0000-0000-000020170000}"/>
    <cellStyle name="20% - Accent2 4 4 5 2 5" xfId="16466" xr:uid="{00000000-0005-0000-0000-000021170000}"/>
    <cellStyle name="20% - Accent2 4 4 5 3" xfId="21329" xr:uid="{00000000-0005-0000-0000-000022170000}"/>
    <cellStyle name="20% - Accent2 4 4 5 4" xfId="31054" xr:uid="{00000000-0005-0000-0000-000023170000}"/>
    <cellStyle name="20% - Accent2 4 4 5 5" xfId="40779" xr:uid="{00000000-0005-0000-0000-000024170000}"/>
    <cellStyle name="20% - Accent2 4 4 5 6" xfId="11604" xr:uid="{00000000-0005-0000-0000-000025170000}"/>
    <cellStyle name="20% - Accent2 4 4 6" xfId="3498" xr:uid="{00000000-0005-0000-0000-000026170000}"/>
    <cellStyle name="20% - Accent2 4 4 6 2" xfId="8360" xr:uid="{00000000-0005-0000-0000-000027170000}"/>
    <cellStyle name="20% - Accent2 4 4 6 2 2" xfId="27811" xr:uid="{00000000-0005-0000-0000-000028170000}"/>
    <cellStyle name="20% - Accent2 4 4 6 2 3" xfId="37536" xr:uid="{00000000-0005-0000-0000-000029170000}"/>
    <cellStyle name="20% - Accent2 4 4 6 2 4" xfId="47261" xr:uid="{00000000-0005-0000-0000-00002A170000}"/>
    <cellStyle name="20% - Accent2 4 4 6 2 5" xfId="18086" xr:uid="{00000000-0005-0000-0000-00002B170000}"/>
    <cellStyle name="20% - Accent2 4 4 6 3" xfId="22949" xr:uid="{00000000-0005-0000-0000-00002C170000}"/>
    <cellStyle name="20% - Accent2 4 4 6 4" xfId="32674" xr:uid="{00000000-0005-0000-0000-00002D170000}"/>
    <cellStyle name="20% - Accent2 4 4 6 5" xfId="42399" xr:uid="{00000000-0005-0000-0000-00002E170000}"/>
    <cellStyle name="20% - Accent2 4 4 6 6" xfId="13224" xr:uid="{00000000-0005-0000-0000-00002F170000}"/>
    <cellStyle name="20% - Accent2 4 4 7" xfId="5120" xr:uid="{00000000-0005-0000-0000-000030170000}"/>
    <cellStyle name="20% - Accent2 4 4 7 2" xfId="24571" xr:uid="{00000000-0005-0000-0000-000031170000}"/>
    <cellStyle name="20% - Accent2 4 4 7 3" xfId="34296" xr:uid="{00000000-0005-0000-0000-000032170000}"/>
    <cellStyle name="20% - Accent2 4 4 7 4" xfId="44021" xr:uid="{00000000-0005-0000-0000-000033170000}"/>
    <cellStyle name="20% - Accent2 4 4 7 5" xfId="14846" xr:uid="{00000000-0005-0000-0000-000034170000}"/>
    <cellStyle name="20% - Accent2 4 4 8" xfId="19709" xr:uid="{00000000-0005-0000-0000-000035170000}"/>
    <cellStyle name="20% - Accent2 4 4 9" xfId="29434" xr:uid="{00000000-0005-0000-0000-000036170000}"/>
    <cellStyle name="20% - Accent2 4 5" xfId="869" xr:uid="{00000000-0005-0000-0000-000037170000}"/>
    <cellStyle name="20% - Accent2 4 5 2" xfId="2508" xr:uid="{00000000-0005-0000-0000-000038170000}"/>
    <cellStyle name="20% - Accent2 4 5 2 2" xfId="7370" xr:uid="{00000000-0005-0000-0000-000039170000}"/>
    <cellStyle name="20% - Accent2 4 5 2 2 2" xfId="26821" xr:uid="{00000000-0005-0000-0000-00003A170000}"/>
    <cellStyle name="20% - Accent2 4 5 2 2 3" xfId="36546" xr:uid="{00000000-0005-0000-0000-00003B170000}"/>
    <cellStyle name="20% - Accent2 4 5 2 2 4" xfId="46271" xr:uid="{00000000-0005-0000-0000-00003C170000}"/>
    <cellStyle name="20% - Accent2 4 5 2 2 5" xfId="17096" xr:uid="{00000000-0005-0000-0000-00003D170000}"/>
    <cellStyle name="20% - Accent2 4 5 2 3" xfId="21959" xr:uid="{00000000-0005-0000-0000-00003E170000}"/>
    <cellStyle name="20% - Accent2 4 5 2 4" xfId="31684" xr:uid="{00000000-0005-0000-0000-00003F170000}"/>
    <cellStyle name="20% - Accent2 4 5 2 5" xfId="41409" xr:uid="{00000000-0005-0000-0000-000040170000}"/>
    <cellStyle name="20% - Accent2 4 5 2 6" xfId="12234" xr:uid="{00000000-0005-0000-0000-000041170000}"/>
    <cellStyle name="20% - Accent2 4 5 3" xfId="4128" xr:uid="{00000000-0005-0000-0000-000042170000}"/>
    <cellStyle name="20% - Accent2 4 5 3 2" xfId="8990" xr:uid="{00000000-0005-0000-0000-000043170000}"/>
    <cellStyle name="20% - Accent2 4 5 3 2 2" xfId="28441" xr:uid="{00000000-0005-0000-0000-000044170000}"/>
    <cellStyle name="20% - Accent2 4 5 3 2 3" xfId="38166" xr:uid="{00000000-0005-0000-0000-000045170000}"/>
    <cellStyle name="20% - Accent2 4 5 3 2 4" xfId="47891" xr:uid="{00000000-0005-0000-0000-000046170000}"/>
    <cellStyle name="20% - Accent2 4 5 3 2 5" xfId="18716" xr:uid="{00000000-0005-0000-0000-000047170000}"/>
    <cellStyle name="20% - Accent2 4 5 3 3" xfId="23579" xr:uid="{00000000-0005-0000-0000-000048170000}"/>
    <cellStyle name="20% - Accent2 4 5 3 4" xfId="33304" xr:uid="{00000000-0005-0000-0000-000049170000}"/>
    <cellStyle name="20% - Accent2 4 5 3 5" xfId="43029" xr:uid="{00000000-0005-0000-0000-00004A170000}"/>
    <cellStyle name="20% - Accent2 4 5 3 6" xfId="13854" xr:uid="{00000000-0005-0000-0000-00004B170000}"/>
    <cellStyle name="20% - Accent2 4 5 4" xfId="5750" xr:uid="{00000000-0005-0000-0000-00004C170000}"/>
    <cellStyle name="20% - Accent2 4 5 4 2" xfId="25201" xr:uid="{00000000-0005-0000-0000-00004D170000}"/>
    <cellStyle name="20% - Accent2 4 5 4 3" xfId="34926" xr:uid="{00000000-0005-0000-0000-00004E170000}"/>
    <cellStyle name="20% - Accent2 4 5 4 4" xfId="44651" xr:uid="{00000000-0005-0000-0000-00004F170000}"/>
    <cellStyle name="20% - Accent2 4 5 4 5" xfId="15476" xr:uid="{00000000-0005-0000-0000-000050170000}"/>
    <cellStyle name="20% - Accent2 4 5 5" xfId="20339" xr:uid="{00000000-0005-0000-0000-000051170000}"/>
    <cellStyle name="20% - Accent2 4 5 6" xfId="30064" xr:uid="{00000000-0005-0000-0000-000052170000}"/>
    <cellStyle name="20% - Accent2 4 5 7" xfId="39789" xr:uid="{00000000-0005-0000-0000-000053170000}"/>
    <cellStyle name="20% - Accent2 4 5 8" xfId="10614" xr:uid="{00000000-0005-0000-0000-000054170000}"/>
    <cellStyle name="20% - Accent2 4 6" xfId="1247" xr:uid="{00000000-0005-0000-0000-000055170000}"/>
    <cellStyle name="20% - Accent2 4 6 2" xfId="2868" xr:uid="{00000000-0005-0000-0000-000056170000}"/>
    <cellStyle name="20% - Accent2 4 6 2 2" xfId="7730" xr:uid="{00000000-0005-0000-0000-000057170000}"/>
    <cellStyle name="20% - Accent2 4 6 2 2 2" xfId="27181" xr:uid="{00000000-0005-0000-0000-000058170000}"/>
    <cellStyle name="20% - Accent2 4 6 2 2 3" xfId="36906" xr:uid="{00000000-0005-0000-0000-000059170000}"/>
    <cellStyle name="20% - Accent2 4 6 2 2 4" xfId="46631" xr:uid="{00000000-0005-0000-0000-00005A170000}"/>
    <cellStyle name="20% - Accent2 4 6 2 2 5" xfId="17456" xr:uid="{00000000-0005-0000-0000-00005B170000}"/>
    <cellStyle name="20% - Accent2 4 6 2 3" xfId="22319" xr:uid="{00000000-0005-0000-0000-00005C170000}"/>
    <cellStyle name="20% - Accent2 4 6 2 4" xfId="32044" xr:uid="{00000000-0005-0000-0000-00005D170000}"/>
    <cellStyle name="20% - Accent2 4 6 2 5" xfId="41769" xr:uid="{00000000-0005-0000-0000-00005E170000}"/>
    <cellStyle name="20% - Accent2 4 6 2 6" xfId="12594" xr:uid="{00000000-0005-0000-0000-00005F170000}"/>
    <cellStyle name="20% - Accent2 4 6 3" xfId="4488" xr:uid="{00000000-0005-0000-0000-000060170000}"/>
    <cellStyle name="20% - Accent2 4 6 3 2" xfId="9350" xr:uid="{00000000-0005-0000-0000-000061170000}"/>
    <cellStyle name="20% - Accent2 4 6 3 2 2" xfId="28801" xr:uid="{00000000-0005-0000-0000-000062170000}"/>
    <cellStyle name="20% - Accent2 4 6 3 2 3" xfId="38526" xr:uid="{00000000-0005-0000-0000-000063170000}"/>
    <cellStyle name="20% - Accent2 4 6 3 2 4" xfId="48251" xr:uid="{00000000-0005-0000-0000-000064170000}"/>
    <cellStyle name="20% - Accent2 4 6 3 2 5" xfId="19076" xr:uid="{00000000-0005-0000-0000-000065170000}"/>
    <cellStyle name="20% - Accent2 4 6 3 3" xfId="23939" xr:uid="{00000000-0005-0000-0000-000066170000}"/>
    <cellStyle name="20% - Accent2 4 6 3 4" xfId="33664" xr:uid="{00000000-0005-0000-0000-000067170000}"/>
    <cellStyle name="20% - Accent2 4 6 3 5" xfId="43389" xr:uid="{00000000-0005-0000-0000-000068170000}"/>
    <cellStyle name="20% - Accent2 4 6 3 6" xfId="14214" xr:uid="{00000000-0005-0000-0000-000069170000}"/>
    <cellStyle name="20% - Accent2 4 6 4" xfId="6110" xr:uid="{00000000-0005-0000-0000-00006A170000}"/>
    <cellStyle name="20% - Accent2 4 6 4 2" xfId="25561" xr:uid="{00000000-0005-0000-0000-00006B170000}"/>
    <cellStyle name="20% - Accent2 4 6 4 3" xfId="35286" xr:uid="{00000000-0005-0000-0000-00006C170000}"/>
    <cellStyle name="20% - Accent2 4 6 4 4" xfId="45011" xr:uid="{00000000-0005-0000-0000-00006D170000}"/>
    <cellStyle name="20% - Accent2 4 6 4 5" xfId="15836" xr:uid="{00000000-0005-0000-0000-00006E170000}"/>
    <cellStyle name="20% - Accent2 4 6 5" xfId="20699" xr:uid="{00000000-0005-0000-0000-00006F170000}"/>
    <cellStyle name="20% - Accent2 4 6 6" xfId="30424" xr:uid="{00000000-0005-0000-0000-000070170000}"/>
    <cellStyle name="20% - Accent2 4 6 7" xfId="40149" xr:uid="{00000000-0005-0000-0000-000071170000}"/>
    <cellStyle name="20% - Accent2 4 6 8" xfId="10974" xr:uid="{00000000-0005-0000-0000-000072170000}"/>
    <cellStyle name="20% - Accent2 4 7" xfId="1337" xr:uid="{00000000-0005-0000-0000-000073170000}"/>
    <cellStyle name="20% - Accent2 4 7 2" xfId="2958" xr:uid="{00000000-0005-0000-0000-000074170000}"/>
    <cellStyle name="20% - Accent2 4 7 2 2" xfId="7820" xr:uid="{00000000-0005-0000-0000-000075170000}"/>
    <cellStyle name="20% - Accent2 4 7 2 2 2" xfId="27271" xr:uid="{00000000-0005-0000-0000-000076170000}"/>
    <cellStyle name="20% - Accent2 4 7 2 2 3" xfId="36996" xr:uid="{00000000-0005-0000-0000-000077170000}"/>
    <cellStyle name="20% - Accent2 4 7 2 2 4" xfId="46721" xr:uid="{00000000-0005-0000-0000-000078170000}"/>
    <cellStyle name="20% - Accent2 4 7 2 2 5" xfId="17546" xr:uid="{00000000-0005-0000-0000-000079170000}"/>
    <cellStyle name="20% - Accent2 4 7 2 3" xfId="22409" xr:uid="{00000000-0005-0000-0000-00007A170000}"/>
    <cellStyle name="20% - Accent2 4 7 2 4" xfId="32134" xr:uid="{00000000-0005-0000-0000-00007B170000}"/>
    <cellStyle name="20% - Accent2 4 7 2 5" xfId="41859" xr:uid="{00000000-0005-0000-0000-00007C170000}"/>
    <cellStyle name="20% - Accent2 4 7 2 6" xfId="12684" xr:uid="{00000000-0005-0000-0000-00007D170000}"/>
    <cellStyle name="20% - Accent2 4 7 3" xfId="4578" xr:uid="{00000000-0005-0000-0000-00007E170000}"/>
    <cellStyle name="20% - Accent2 4 7 3 2" xfId="9440" xr:uid="{00000000-0005-0000-0000-00007F170000}"/>
    <cellStyle name="20% - Accent2 4 7 3 2 2" xfId="28891" xr:uid="{00000000-0005-0000-0000-000080170000}"/>
    <cellStyle name="20% - Accent2 4 7 3 2 3" xfId="38616" xr:uid="{00000000-0005-0000-0000-000081170000}"/>
    <cellStyle name="20% - Accent2 4 7 3 2 4" xfId="48341" xr:uid="{00000000-0005-0000-0000-000082170000}"/>
    <cellStyle name="20% - Accent2 4 7 3 2 5" xfId="19166" xr:uid="{00000000-0005-0000-0000-000083170000}"/>
    <cellStyle name="20% - Accent2 4 7 3 3" xfId="24029" xr:uid="{00000000-0005-0000-0000-000084170000}"/>
    <cellStyle name="20% - Accent2 4 7 3 4" xfId="33754" xr:uid="{00000000-0005-0000-0000-000085170000}"/>
    <cellStyle name="20% - Accent2 4 7 3 5" xfId="43479" xr:uid="{00000000-0005-0000-0000-000086170000}"/>
    <cellStyle name="20% - Accent2 4 7 3 6" xfId="14304" xr:uid="{00000000-0005-0000-0000-000087170000}"/>
    <cellStyle name="20% - Accent2 4 7 4" xfId="6200" xr:uid="{00000000-0005-0000-0000-000088170000}"/>
    <cellStyle name="20% - Accent2 4 7 4 2" xfId="25651" xr:uid="{00000000-0005-0000-0000-000089170000}"/>
    <cellStyle name="20% - Accent2 4 7 4 3" xfId="35376" xr:uid="{00000000-0005-0000-0000-00008A170000}"/>
    <cellStyle name="20% - Accent2 4 7 4 4" xfId="45101" xr:uid="{00000000-0005-0000-0000-00008B170000}"/>
    <cellStyle name="20% - Accent2 4 7 4 5" xfId="15926" xr:uid="{00000000-0005-0000-0000-00008C170000}"/>
    <cellStyle name="20% - Accent2 4 7 5" xfId="20789" xr:uid="{00000000-0005-0000-0000-00008D170000}"/>
    <cellStyle name="20% - Accent2 4 7 6" xfId="30514" xr:uid="{00000000-0005-0000-0000-00008E170000}"/>
    <cellStyle name="20% - Accent2 4 7 7" xfId="40239" xr:uid="{00000000-0005-0000-0000-00008F170000}"/>
    <cellStyle name="20% - Accent2 4 7 8" xfId="11064" xr:uid="{00000000-0005-0000-0000-000090170000}"/>
    <cellStyle name="20% - Accent2 4 8" xfId="508" xr:uid="{00000000-0005-0000-0000-000091170000}"/>
    <cellStyle name="20% - Accent2 4 8 2" xfId="2148" xr:uid="{00000000-0005-0000-0000-000092170000}"/>
    <cellStyle name="20% - Accent2 4 8 2 2" xfId="7010" xr:uid="{00000000-0005-0000-0000-000093170000}"/>
    <cellStyle name="20% - Accent2 4 8 2 2 2" xfId="26461" xr:uid="{00000000-0005-0000-0000-000094170000}"/>
    <cellStyle name="20% - Accent2 4 8 2 2 3" xfId="36186" xr:uid="{00000000-0005-0000-0000-000095170000}"/>
    <cellStyle name="20% - Accent2 4 8 2 2 4" xfId="45911" xr:uid="{00000000-0005-0000-0000-000096170000}"/>
    <cellStyle name="20% - Accent2 4 8 2 2 5" xfId="16736" xr:uid="{00000000-0005-0000-0000-000097170000}"/>
    <cellStyle name="20% - Accent2 4 8 2 3" xfId="21599" xr:uid="{00000000-0005-0000-0000-000098170000}"/>
    <cellStyle name="20% - Accent2 4 8 2 4" xfId="31324" xr:uid="{00000000-0005-0000-0000-000099170000}"/>
    <cellStyle name="20% - Accent2 4 8 2 5" xfId="41049" xr:uid="{00000000-0005-0000-0000-00009A170000}"/>
    <cellStyle name="20% - Accent2 4 8 2 6" xfId="11874" xr:uid="{00000000-0005-0000-0000-00009B170000}"/>
    <cellStyle name="20% - Accent2 4 8 3" xfId="3768" xr:uid="{00000000-0005-0000-0000-00009C170000}"/>
    <cellStyle name="20% - Accent2 4 8 3 2" xfId="8630" xr:uid="{00000000-0005-0000-0000-00009D170000}"/>
    <cellStyle name="20% - Accent2 4 8 3 2 2" xfId="28081" xr:uid="{00000000-0005-0000-0000-00009E170000}"/>
    <cellStyle name="20% - Accent2 4 8 3 2 3" xfId="37806" xr:uid="{00000000-0005-0000-0000-00009F170000}"/>
    <cellStyle name="20% - Accent2 4 8 3 2 4" xfId="47531" xr:uid="{00000000-0005-0000-0000-0000A0170000}"/>
    <cellStyle name="20% - Accent2 4 8 3 2 5" xfId="18356" xr:uid="{00000000-0005-0000-0000-0000A1170000}"/>
    <cellStyle name="20% - Accent2 4 8 3 3" xfId="23219" xr:uid="{00000000-0005-0000-0000-0000A2170000}"/>
    <cellStyle name="20% - Accent2 4 8 3 4" xfId="32944" xr:uid="{00000000-0005-0000-0000-0000A3170000}"/>
    <cellStyle name="20% - Accent2 4 8 3 5" xfId="42669" xr:uid="{00000000-0005-0000-0000-0000A4170000}"/>
    <cellStyle name="20% - Accent2 4 8 3 6" xfId="13494" xr:uid="{00000000-0005-0000-0000-0000A5170000}"/>
    <cellStyle name="20% - Accent2 4 8 4" xfId="5390" xr:uid="{00000000-0005-0000-0000-0000A6170000}"/>
    <cellStyle name="20% - Accent2 4 8 4 2" xfId="24841" xr:uid="{00000000-0005-0000-0000-0000A7170000}"/>
    <cellStyle name="20% - Accent2 4 8 4 3" xfId="34566" xr:uid="{00000000-0005-0000-0000-0000A8170000}"/>
    <cellStyle name="20% - Accent2 4 8 4 4" xfId="44291" xr:uid="{00000000-0005-0000-0000-0000A9170000}"/>
    <cellStyle name="20% - Accent2 4 8 4 5" xfId="15116" xr:uid="{00000000-0005-0000-0000-0000AA170000}"/>
    <cellStyle name="20% - Accent2 4 8 5" xfId="19979" xr:uid="{00000000-0005-0000-0000-0000AB170000}"/>
    <cellStyle name="20% - Accent2 4 8 6" xfId="29704" xr:uid="{00000000-0005-0000-0000-0000AC170000}"/>
    <cellStyle name="20% - Accent2 4 8 7" xfId="39429" xr:uid="{00000000-0005-0000-0000-0000AD170000}"/>
    <cellStyle name="20% - Accent2 4 8 8" xfId="10254" xr:uid="{00000000-0005-0000-0000-0000AE170000}"/>
    <cellStyle name="20% - Accent2 4 9" xfId="1697" xr:uid="{00000000-0005-0000-0000-0000AF170000}"/>
    <cellStyle name="20% - Accent2 4 9 2" xfId="3318" xr:uid="{00000000-0005-0000-0000-0000B0170000}"/>
    <cellStyle name="20% - Accent2 4 9 2 2" xfId="8180" xr:uid="{00000000-0005-0000-0000-0000B1170000}"/>
    <cellStyle name="20% - Accent2 4 9 2 2 2" xfId="27631" xr:uid="{00000000-0005-0000-0000-0000B2170000}"/>
    <cellStyle name="20% - Accent2 4 9 2 2 3" xfId="37356" xr:uid="{00000000-0005-0000-0000-0000B3170000}"/>
    <cellStyle name="20% - Accent2 4 9 2 2 4" xfId="47081" xr:uid="{00000000-0005-0000-0000-0000B4170000}"/>
    <cellStyle name="20% - Accent2 4 9 2 2 5" xfId="17906" xr:uid="{00000000-0005-0000-0000-0000B5170000}"/>
    <cellStyle name="20% - Accent2 4 9 2 3" xfId="22769" xr:uid="{00000000-0005-0000-0000-0000B6170000}"/>
    <cellStyle name="20% - Accent2 4 9 2 4" xfId="32494" xr:uid="{00000000-0005-0000-0000-0000B7170000}"/>
    <cellStyle name="20% - Accent2 4 9 2 5" xfId="42219" xr:uid="{00000000-0005-0000-0000-0000B8170000}"/>
    <cellStyle name="20% - Accent2 4 9 2 6" xfId="13044" xr:uid="{00000000-0005-0000-0000-0000B9170000}"/>
    <cellStyle name="20% - Accent2 4 9 3" xfId="4938" xr:uid="{00000000-0005-0000-0000-0000BA170000}"/>
    <cellStyle name="20% - Accent2 4 9 3 2" xfId="9800" xr:uid="{00000000-0005-0000-0000-0000BB170000}"/>
    <cellStyle name="20% - Accent2 4 9 3 2 2" xfId="29251" xr:uid="{00000000-0005-0000-0000-0000BC170000}"/>
    <cellStyle name="20% - Accent2 4 9 3 2 3" xfId="38976" xr:uid="{00000000-0005-0000-0000-0000BD170000}"/>
    <cellStyle name="20% - Accent2 4 9 3 2 4" xfId="48701" xr:uid="{00000000-0005-0000-0000-0000BE170000}"/>
    <cellStyle name="20% - Accent2 4 9 3 2 5" xfId="19526" xr:uid="{00000000-0005-0000-0000-0000BF170000}"/>
    <cellStyle name="20% - Accent2 4 9 3 3" xfId="24389" xr:uid="{00000000-0005-0000-0000-0000C0170000}"/>
    <cellStyle name="20% - Accent2 4 9 3 4" xfId="34114" xr:uid="{00000000-0005-0000-0000-0000C1170000}"/>
    <cellStyle name="20% - Accent2 4 9 3 5" xfId="43839" xr:uid="{00000000-0005-0000-0000-0000C2170000}"/>
    <cellStyle name="20% - Accent2 4 9 3 6" xfId="14664" xr:uid="{00000000-0005-0000-0000-0000C3170000}"/>
    <cellStyle name="20% - Accent2 4 9 4" xfId="6560" xr:uid="{00000000-0005-0000-0000-0000C4170000}"/>
    <cellStyle name="20% - Accent2 4 9 4 2" xfId="26011" xr:uid="{00000000-0005-0000-0000-0000C5170000}"/>
    <cellStyle name="20% - Accent2 4 9 4 3" xfId="35736" xr:uid="{00000000-0005-0000-0000-0000C6170000}"/>
    <cellStyle name="20% - Accent2 4 9 4 4" xfId="45461" xr:uid="{00000000-0005-0000-0000-0000C7170000}"/>
    <cellStyle name="20% - Accent2 4 9 4 5" xfId="16286" xr:uid="{00000000-0005-0000-0000-0000C8170000}"/>
    <cellStyle name="20% - Accent2 4 9 5" xfId="21149" xr:uid="{00000000-0005-0000-0000-0000C9170000}"/>
    <cellStyle name="20% - Accent2 4 9 6" xfId="30874" xr:uid="{00000000-0005-0000-0000-0000CA170000}"/>
    <cellStyle name="20% - Accent2 4 9 7" xfId="40599" xr:uid="{00000000-0005-0000-0000-0000CB170000}"/>
    <cellStyle name="20% - Accent2 4 9 8" xfId="11424" xr:uid="{00000000-0005-0000-0000-0000CC170000}"/>
    <cellStyle name="20% - Accent2 5" xfId="226" xr:uid="{00000000-0005-0000-0000-0000CD170000}"/>
    <cellStyle name="20% - Accent2 5 10" xfId="39189" xr:uid="{00000000-0005-0000-0000-0000CE170000}"/>
    <cellStyle name="20% - Accent2 5 11" xfId="10014" xr:uid="{00000000-0005-0000-0000-0000CF170000}"/>
    <cellStyle name="20% - Accent2 5 2" xfId="990" xr:uid="{00000000-0005-0000-0000-0000D0170000}"/>
    <cellStyle name="20% - Accent2 5 2 2" xfId="2628" xr:uid="{00000000-0005-0000-0000-0000D1170000}"/>
    <cellStyle name="20% - Accent2 5 2 2 2" xfId="7490" xr:uid="{00000000-0005-0000-0000-0000D2170000}"/>
    <cellStyle name="20% - Accent2 5 2 2 2 2" xfId="26941" xr:uid="{00000000-0005-0000-0000-0000D3170000}"/>
    <cellStyle name="20% - Accent2 5 2 2 2 3" xfId="36666" xr:uid="{00000000-0005-0000-0000-0000D4170000}"/>
    <cellStyle name="20% - Accent2 5 2 2 2 4" xfId="46391" xr:uid="{00000000-0005-0000-0000-0000D5170000}"/>
    <cellStyle name="20% - Accent2 5 2 2 2 5" xfId="17216" xr:uid="{00000000-0005-0000-0000-0000D6170000}"/>
    <cellStyle name="20% - Accent2 5 2 2 3" xfId="22079" xr:uid="{00000000-0005-0000-0000-0000D7170000}"/>
    <cellStyle name="20% - Accent2 5 2 2 4" xfId="31804" xr:uid="{00000000-0005-0000-0000-0000D8170000}"/>
    <cellStyle name="20% - Accent2 5 2 2 5" xfId="41529" xr:uid="{00000000-0005-0000-0000-0000D9170000}"/>
    <cellStyle name="20% - Accent2 5 2 2 6" xfId="12354" xr:uid="{00000000-0005-0000-0000-0000DA170000}"/>
    <cellStyle name="20% - Accent2 5 2 3" xfId="4248" xr:uid="{00000000-0005-0000-0000-0000DB170000}"/>
    <cellStyle name="20% - Accent2 5 2 3 2" xfId="9110" xr:uid="{00000000-0005-0000-0000-0000DC170000}"/>
    <cellStyle name="20% - Accent2 5 2 3 2 2" xfId="28561" xr:uid="{00000000-0005-0000-0000-0000DD170000}"/>
    <cellStyle name="20% - Accent2 5 2 3 2 3" xfId="38286" xr:uid="{00000000-0005-0000-0000-0000DE170000}"/>
    <cellStyle name="20% - Accent2 5 2 3 2 4" xfId="48011" xr:uid="{00000000-0005-0000-0000-0000DF170000}"/>
    <cellStyle name="20% - Accent2 5 2 3 2 5" xfId="18836" xr:uid="{00000000-0005-0000-0000-0000E0170000}"/>
    <cellStyle name="20% - Accent2 5 2 3 3" xfId="23699" xr:uid="{00000000-0005-0000-0000-0000E1170000}"/>
    <cellStyle name="20% - Accent2 5 2 3 4" xfId="33424" xr:uid="{00000000-0005-0000-0000-0000E2170000}"/>
    <cellStyle name="20% - Accent2 5 2 3 5" xfId="43149" xr:uid="{00000000-0005-0000-0000-0000E3170000}"/>
    <cellStyle name="20% - Accent2 5 2 3 6" xfId="13974" xr:uid="{00000000-0005-0000-0000-0000E4170000}"/>
    <cellStyle name="20% - Accent2 5 2 4" xfId="5870" xr:uid="{00000000-0005-0000-0000-0000E5170000}"/>
    <cellStyle name="20% - Accent2 5 2 4 2" xfId="25321" xr:uid="{00000000-0005-0000-0000-0000E6170000}"/>
    <cellStyle name="20% - Accent2 5 2 4 3" xfId="35046" xr:uid="{00000000-0005-0000-0000-0000E7170000}"/>
    <cellStyle name="20% - Accent2 5 2 4 4" xfId="44771" xr:uid="{00000000-0005-0000-0000-0000E8170000}"/>
    <cellStyle name="20% - Accent2 5 2 4 5" xfId="15596" xr:uid="{00000000-0005-0000-0000-0000E9170000}"/>
    <cellStyle name="20% - Accent2 5 2 5" xfId="20459" xr:uid="{00000000-0005-0000-0000-0000EA170000}"/>
    <cellStyle name="20% - Accent2 5 2 6" xfId="30184" xr:uid="{00000000-0005-0000-0000-0000EB170000}"/>
    <cellStyle name="20% - Accent2 5 2 7" xfId="39909" xr:uid="{00000000-0005-0000-0000-0000EC170000}"/>
    <cellStyle name="20% - Accent2 5 2 8" xfId="10734" xr:uid="{00000000-0005-0000-0000-0000ED170000}"/>
    <cellStyle name="20% - Accent2 5 3" xfId="1457" xr:uid="{00000000-0005-0000-0000-0000EE170000}"/>
    <cellStyle name="20% - Accent2 5 3 2" xfId="3078" xr:uid="{00000000-0005-0000-0000-0000EF170000}"/>
    <cellStyle name="20% - Accent2 5 3 2 2" xfId="7940" xr:uid="{00000000-0005-0000-0000-0000F0170000}"/>
    <cellStyle name="20% - Accent2 5 3 2 2 2" xfId="27391" xr:uid="{00000000-0005-0000-0000-0000F1170000}"/>
    <cellStyle name="20% - Accent2 5 3 2 2 3" xfId="37116" xr:uid="{00000000-0005-0000-0000-0000F2170000}"/>
    <cellStyle name="20% - Accent2 5 3 2 2 4" xfId="46841" xr:uid="{00000000-0005-0000-0000-0000F3170000}"/>
    <cellStyle name="20% - Accent2 5 3 2 2 5" xfId="17666" xr:uid="{00000000-0005-0000-0000-0000F4170000}"/>
    <cellStyle name="20% - Accent2 5 3 2 3" xfId="22529" xr:uid="{00000000-0005-0000-0000-0000F5170000}"/>
    <cellStyle name="20% - Accent2 5 3 2 4" xfId="32254" xr:uid="{00000000-0005-0000-0000-0000F6170000}"/>
    <cellStyle name="20% - Accent2 5 3 2 5" xfId="41979" xr:uid="{00000000-0005-0000-0000-0000F7170000}"/>
    <cellStyle name="20% - Accent2 5 3 2 6" xfId="12804" xr:uid="{00000000-0005-0000-0000-0000F8170000}"/>
    <cellStyle name="20% - Accent2 5 3 3" xfId="4698" xr:uid="{00000000-0005-0000-0000-0000F9170000}"/>
    <cellStyle name="20% - Accent2 5 3 3 2" xfId="9560" xr:uid="{00000000-0005-0000-0000-0000FA170000}"/>
    <cellStyle name="20% - Accent2 5 3 3 2 2" xfId="29011" xr:uid="{00000000-0005-0000-0000-0000FB170000}"/>
    <cellStyle name="20% - Accent2 5 3 3 2 3" xfId="38736" xr:uid="{00000000-0005-0000-0000-0000FC170000}"/>
    <cellStyle name="20% - Accent2 5 3 3 2 4" xfId="48461" xr:uid="{00000000-0005-0000-0000-0000FD170000}"/>
    <cellStyle name="20% - Accent2 5 3 3 2 5" xfId="19286" xr:uid="{00000000-0005-0000-0000-0000FE170000}"/>
    <cellStyle name="20% - Accent2 5 3 3 3" xfId="24149" xr:uid="{00000000-0005-0000-0000-0000FF170000}"/>
    <cellStyle name="20% - Accent2 5 3 3 4" xfId="33874" xr:uid="{00000000-0005-0000-0000-000000180000}"/>
    <cellStyle name="20% - Accent2 5 3 3 5" xfId="43599" xr:uid="{00000000-0005-0000-0000-000001180000}"/>
    <cellStyle name="20% - Accent2 5 3 3 6" xfId="14424" xr:uid="{00000000-0005-0000-0000-000002180000}"/>
    <cellStyle name="20% - Accent2 5 3 4" xfId="6320" xr:uid="{00000000-0005-0000-0000-000003180000}"/>
    <cellStyle name="20% - Accent2 5 3 4 2" xfId="25771" xr:uid="{00000000-0005-0000-0000-000004180000}"/>
    <cellStyle name="20% - Accent2 5 3 4 3" xfId="35496" xr:uid="{00000000-0005-0000-0000-000005180000}"/>
    <cellStyle name="20% - Accent2 5 3 4 4" xfId="45221" xr:uid="{00000000-0005-0000-0000-000006180000}"/>
    <cellStyle name="20% - Accent2 5 3 4 5" xfId="16046" xr:uid="{00000000-0005-0000-0000-000007180000}"/>
    <cellStyle name="20% - Accent2 5 3 5" xfId="20909" xr:uid="{00000000-0005-0000-0000-000008180000}"/>
    <cellStyle name="20% - Accent2 5 3 6" xfId="30634" xr:uid="{00000000-0005-0000-0000-000009180000}"/>
    <cellStyle name="20% - Accent2 5 3 7" xfId="40359" xr:uid="{00000000-0005-0000-0000-00000A180000}"/>
    <cellStyle name="20% - Accent2 5 3 8" xfId="11184" xr:uid="{00000000-0005-0000-0000-00000B180000}"/>
    <cellStyle name="20% - Accent2 5 4" xfId="628" xr:uid="{00000000-0005-0000-0000-00000C180000}"/>
    <cellStyle name="20% - Accent2 5 4 2" xfId="2268" xr:uid="{00000000-0005-0000-0000-00000D180000}"/>
    <cellStyle name="20% - Accent2 5 4 2 2" xfId="7130" xr:uid="{00000000-0005-0000-0000-00000E180000}"/>
    <cellStyle name="20% - Accent2 5 4 2 2 2" xfId="26581" xr:uid="{00000000-0005-0000-0000-00000F180000}"/>
    <cellStyle name="20% - Accent2 5 4 2 2 3" xfId="36306" xr:uid="{00000000-0005-0000-0000-000010180000}"/>
    <cellStyle name="20% - Accent2 5 4 2 2 4" xfId="46031" xr:uid="{00000000-0005-0000-0000-000011180000}"/>
    <cellStyle name="20% - Accent2 5 4 2 2 5" xfId="16856" xr:uid="{00000000-0005-0000-0000-000012180000}"/>
    <cellStyle name="20% - Accent2 5 4 2 3" xfId="21719" xr:uid="{00000000-0005-0000-0000-000013180000}"/>
    <cellStyle name="20% - Accent2 5 4 2 4" xfId="31444" xr:uid="{00000000-0005-0000-0000-000014180000}"/>
    <cellStyle name="20% - Accent2 5 4 2 5" xfId="41169" xr:uid="{00000000-0005-0000-0000-000015180000}"/>
    <cellStyle name="20% - Accent2 5 4 2 6" xfId="11994" xr:uid="{00000000-0005-0000-0000-000016180000}"/>
    <cellStyle name="20% - Accent2 5 4 3" xfId="3888" xr:uid="{00000000-0005-0000-0000-000017180000}"/>
    <cellStyle name="20% - Accent2 5 4 3 2" xfId="8750" xr:uid="{00000000-0005-0000-0000-000018180000}"/>
    <cellStyle name="20% - Accent2 5 4 3 2 2" xfId="28201" xr:uid="{00000000-0005-0000-0000-000019180000}"/>
    <cellStyle name="20% - Accent2 5 4 3 2 3" xfId="37926" xr:uid="{00000000-0005-0000-0000-00001A180000}"/>
    <cellStyle name="20% - Accent2 5 4 3 2 4" xfId="47651" xr:uid="{00000000-0005-0000-0000-00001B180000}"/>
    <cellStyle name="20% - Accent2 5 4 3 2 5" xfId="18476" xr:uid="{00000000-0005-0000-0000-00001C180000}"/>
    <cellStyle name="20% - Accent2 5 4 3 3" xfId="23339" xr:uid="{00000000-0005-0000-0000-00001D180000}"/>
    <cellStyle name="20% - Accent2 5 4 3 4" xfId="33064" xr:uid="{00000000-0005-0000-0000-00001E180000}"/>
    <cellStyle name="20% - Accent2 5 4 3 5" xfId="42789" xr:uid="{00000000-0005-0000-0000-00001F180000}"/>
    <cellStyle name="20% - Accent2 5 4 3 6" xfId="13614" xr:uid="{00000000-0005-0000-0000-000020180000}"/>
    <cellStyle name="20% - Accent2 5 4 4" xfId="5510" xr:uid="{00000000-0005-0000-0000-000021180000}"/>
    <cellStyle name="20% - Accent2 5 4 4 2" xfId="24961" xr:uid="{00000000-0005-0000-0000-000022180000}"/>
    <cellStyle name="20% - Accent2 5 4 4 3" xfId="34686" xr:uid="{00000000-0005-0000-0000-000023180000}"/>
    <cellStyle name="20% - Accent2 5 4 4 4" xfId="44411" xr:uid="{00000000-0005-0000-0000-000024180000}"/>
    <cellStyle name="20% - Accent2 5 4 4 5" xfId="15236" xr:uid="{00000000-0005-0000-0000-000025180000}"/>
    <cellStyle name="20% - Accent2 5 4 5" xfId="20099" xr:uid="{00000000-0005-0000-0000-000026180000}"/>
    <cellStyle name="20% - Accent2 5 4 6" xfId="29824" xr:uid="{00000000-0005-0000-0000-000027180000}"/>
    <cellStyle name="20% - Accent2 5 4 7" xfId="39549" xr:uid="{00000000-0005-0000-0000-000028180000}"/>
    <cellStyle name="20% - Accent2 5 4 8" xfId="10374" xr:uid="{00000000-0005-0000-0000-000029180000}"/>
    <cellStyle name="20% - Accent2 5 5" xfId="1908" xr:uid="{00000000-0005-0000-0000-00002A180000}"/>
    <cellStyle name="20% - Accent2 5 5 2" xfId="6770" xr:uid="{00000000-0005-0000-0000-00002B180000}"/>
    <cellStyle name="20% - Accent2 5 5 2 2" xfId="26221" xr:uid="{00000000-0005-0000-0000-00002C180000}"/>
    <cellStyle name="20% - Accent2 5 5 2 3" xfId="35946" xr:uid="{00000000-0005-0000-0000-00002D180000}"/>
    <cellStyle name="20% - Accent2 5 5 2 4" xfId="45671" xr:uid="{00000000-0005-0000-0000-00002E180000}"/>
    <cellStyle name="20% - Accent2 5 5 2 5" xfId="16496" xr:uid="{00000000-0005-0000-0000-00002F180000}"/>
    <cellStyle name="20% - Accent2 5 5 3" xfId="21359" xr:uid="{00000000-0005-0000-0000-000030180000}"/>
    <cellStyle name="20% - Accent2 5 5 4" xfId="31084" xr:uid="{00000000-0005-0000-0000-000031180000}"/>
    <cellStyle name="20% - Accent2 5 5 5" xfId="40809" xr:uid="{00000000-0005-0000-0000-000032180000}"/>
    <cellStyle name="20% - Accent2 5 5 6" xfId="11634" xr:uid="{00000000-0005-0000-0000-000033180000}"/>
    <cellStyle name="20% - Accent2 5 6" xfId="3528" xr:uid="{00000000-0005-0000-0000-000034180000}"/>
    <cellStyle name="20% - Accent2 5 6 2" xfId="8390" xr:uid="{00000000-0005-0000-0000-000035180000}"/>
    <cellStyle name="20% - Accent2 5 6 2 2" xfId="27841" xr:uid="{00000000-0005-0000-0000-000036180000}"/>
    <cellStyle name="20% - Accent2 5 6 2 3" xfId="37566" xr:uid="{00000000-0005-0000-0000-000037180000}"/>
    <cellStyle name="20% - Accent2 5 6 2 4" xfId="47291" xr:uid="{00000000-0005-0000-0000-000038180000}"/>
    <cellStyle name="20% - Accent2 5 6 2 5" xfId="18116" xr:uid="{00000000-0005-0000-0000-000039180000}"/>
    <cellStyle name="20% - Accent2 5 6 3" xfId="22979" xr:uid="{00000000-0005-0000-0000-00003A180000}"/>
    <cellStyle name="20% - Accent2 5 6 4" xfId="32704" xr:uid="{00000000-0005-0000-0000-00003B180000}"/>
    <cellStyle name="20% - Accent2 5 6 5" xfId="42429" xr:uid="{00000000-0005-0000-0000-00003C180000}"/>
    <cellStyle name="20% - Accent2 5 6 6" xfId="13254" xr:uid="{00000000-0005-0000-0000-00003D180000}"/>
    <cellStyle name="20% - Accent2 5 7" xfId="5150" xr:uid="{00000000-0005-0000-0000-00003E180000}"/>
    <cellStyle name="20% - Accent2 5 7 2" xfId="24601" xr:uid="{00000000-0005-0000-0000-00003F180000}"/>
    <cellStyle name="20% - Accent2 5 7 3" xfId="34326" xr:uid="{00000000-0005-0000-0000-000040180000}"/>
    <cellStyle name="20% - Accent2 5 7 4" xfId="44051" xr:uid="{00000000-0005-0000-0000-000041180000}"/>
    <cellStyle name="20% - Accent2 5 7 5" xfId="14876" xr:uid="{00000000-0005-0000-0000-000042180000}"/>
    <cellStyle name="20% - Accent2 5 8" xfId="19739" xr:uid="{00000000-0005-0000-0000-000043180000}"/>
    <cellStyle name="20% - Accent2 5 9" xfId="29464" xr:uid="{00000000-0005-0000-0000-000044180000}"/>
    <cellStyle name="20% - Accent2 6" xfId="317" xr:uid="{00000000-0005-0000-0000-000045180000}"/>
    <cellStyle name="20% - Accent2 6 10" xfId="39279" xr:uid="{00000000-0005-0000-0000-000046180000}"/>
    <cellStyle name="20% - Accent2 6 11" xfId="10104" xr:uid="{00000000-0005-0000-0000-000047180000}"/>
    <cellStyle name="20% - Accent2 6 2" xfId="1080" xr:uid="{00000000-0005-0000-0000-000048180000}"/>
    <cellStyle name="20% - Accent2 6 2 2" xfId="2718" xr:uid="{00000000-0005-0000-0000-000049180000}"/>
    <cellStyle name="20% - Accent2 6 2 2 2" xfId="7580" xr:uid="{00000000-0005-0000-0000-00004A180000}"/>
    <cellStyle name="20% - Accent2 6 2 2 2 2" xfId="27031" xr:uid="{00000000-0005-0000-0000-00004B180000}"/>
    <cellStyle name="20% - Accent2 6 2 2 2 3" xfId="36756" xr:uid="{00000000-0005-0000-0000-00004C180000}"/>
    <cellStyle name="20% - Accent2 6 2 2 2 4" xfId="46481" xr:uid="{00000000-0005-0000-0000-00004D180000}"/>
    <cellStyle name="20% - Accent2 6 2 2 2 5" xfId="17306" xr:uid="{00000000-0005-0000-0000-00004E180000}"/>
    <cellStyle name="20% - Accent2 6 2 2 3" xfId="22169" xr:uid="{00000000-0005-0000-0000-00004F180000}"/>
    <cellStyle name="20% - Accent2 6 2 2 4" xfId="31894" xr:uid="{00000000-0005-0000-0000-000050180000}"/>
    <cellStyle name="20% - Accent2 6 2 2 5" xfId="41619" xr:uid="{00000000-0005-0000-0000-000051180000}"/>
    <cellStyle name="20% - Accent2 6 2 2 6" xfId="12444" xr:uid="{00000000-0005-0000-0000-000052180000}"/>
    <cellStyle name="20% - Accent2 6 2 3" xfId="4338" xr:uid="{00000000-0005-0000-0000-000053180000}"/>
    <cellStyle name="20% - Accent2 6 2 3 2" xfId="9200" xr:uid="{00000000-0005-0000-0000-000054180000}"/>
    <cellStyle name="20% - Accent2 6 2 3 2 2" xfId="28651" xr:uid="{00000000-0005-0000-0000-000055180000}"/>
    <cellStyle name="20% - Accent2 6 2 3 2 3" xfId="38376" xr:uid="{00000000-0005-0000-0000-000056180000}"/>
    <cellStyle name="20% - Accent2 6 2 3 2 4" xfId="48101" xr:uid="{00000000-0005-0000-0000-000057180000}"/>
    <cellStyle name="20% - Accent2 6 2 3 2 5" xfId="18926" xr:uid="{00000000-0005-0000-0000-000058180000}"/>
    <cellStyle name="20% - Accent2 6 2 3 3" xfId="23789" xr:uid="{00000000-0005-0000-0000-000059180000}"/>
    <cellStyle name="20% - Accent2 6 2 3 4" xfId="33514" xr:uid="{00000000-0005-0000-0000-00005A180000}"/>
    <cellStyle name="20% - Accent2 6 2 3 5" xfId="43239" xr:uid="{00000000-0005-0000-0000-00005B180000}"/>
    <cellStyle name="20% - Accent2 6 2 3 6" xfId="14064" xr:uid="{00000000-0005-0000-0000-00005C180000}"/>
    <cellStyle name="20% - Accent2 6 2 4" xfId="5960" xr:uid="{00000000-0005-0000-0000-00005D180000}"/>
    <cellStyle name="20% - Accent2 6 2 4 2" xfId="25411" xr:uid="{00000000-0005-0000-0000-00005E180000}"/>
    <cellStyle name="20% - Accent2 6 2 4 3" xfId="35136" xr:uid="{00000000-0005-0000-0000-00005F180000}"/>
    <cellStyle name="20% - Accent2 6 2 4 4" xfId="44861" xr:uid="{00000000-0005-0000-0000-000060180000}"/>
    <cellStyle name="20% - Accent2 6 2 4 5" xfId="15686" xr:uid="{00000000-0005-0000-0000-000061180000}"/>
    <cellStyle name="20% - Accent2 6 2 5" xfId="20549" xr:uid="{00000000-0005-0000-0000-000062180000}"/>
    <cellStyle name="20% - Accent2 6 2 6" xfId="30274" xr:uid="{00000000-0005-0000-0000-000063180000}"/>
    <cellStyle name="20% - Accent2 6 2 7" xfId="39999" xr:uid="{00000000-0005-0000-0000-000064180000}"/>
    <cellStyle name="20% - Accent2 6 2 8" xfId="10824" xr:uid="{00000000-0005-0000-0000-000065180000}"/>
    <cellStyle name="20% - Accent2 6 3" xfId="1547" xr:uid="{00000000-0005-0000-0000-000066180000}"/>
    <cellStyle name="20% - Accent2 6 3 2" xfId="3168" xr:uid="{00000000-0005-0000-0000-000067180000}"/>
    <cellStyle name="20% - Accent2 6 3 2 2" xfId="8030" xr:uid="{00000000-0005-0000-0000-000068180000}"/>
    <cellStyle name="20% - Accent2 6 3 2 2 2" xfId="27481" xr:uid="{00000000-0005-0000-0000-000069180000}"/>
    <cellStyle name="20% - Accent2 6 3 2 2 3" xfId="37206" xr:uid="{00000000-0005-0000-0000-00006A180000}"/>
    <cellStyle name="20% - Accent2 6 3 2 2 4" xfId="46931" xr:uid="{00000000-0005-0000-0000-00006B180000}"/>
    <cellStyle name="20% - Accent2 6 3 2 2 5" xfId="17756" xr:uid="{00000000-0005-0000-0000-00006C180000}"/>
    <cellStyle name="20% - Accent2 6 3 2 3" xfId="22619" xr:uid="{00000000-0005-0000-0000-00006D180000}"/>
    <cellStyle name="20% - Accent2 6 3 2 4" xfId="32344" xr:uid="{00000000-0005-0000-0000-00006E180000}"/>
    <cellStyle name="20% - Accent2 6 3 2 5" xfId="42069" xr:uid="{00000000-0005-0000-0000-00006F180000}"/>
    <cellStyle name="20% - Accent2 6 3 2 6" xfId="12894" xr:uid="{00000000-0005-0000-0000-000070180000}"/>
    <cellStyle name="20% - Accent2 6 3 3" xfId="4788" xr:uid="{00000000-0005-0000-0000-000071180000}"/>
    <cellStyle name="20% - Accent2 6 3 3 2" xfId="9650" xr:uid="{00000000-0005-0000-0000-000072180000}"/>
    <cellStyle name="20% - Accent2 6 3 3 2 2" xfId="29101" xr:uid="{00000000-0005-0000-0000-000073180000}"/>
    <cellStyle name="20% - Accent2 6 3 3 2 3" xfId="38826" xr:uid="{00000000-0005-0000-0000-000074180000}"/>
    <cellStyle name="20% - Accent2 6 3 3 2 4" xfId="48551" xr:uid="{00000000-0005-0000-0000-000075180000}"/>
    <cellStyle name="20% - Accent2 6 3 3 2 5" xfId="19376" xr:uid="{00000000-0005-0000-0000-000076180000}"/>
    <cellStyle name="20% - Accent2 6 3 3 3" xfId="24239" xr:uid="{00000000-0005-0000-0000-000077180000}"/>
    <cellStyle name="20% - Accent2 6 3 3 4" xfId="33964" xr:uid="{00000000-0005-0000-0000-000078180000}"/>
    <cellStyle name="20% - Accent2 6 3 3 5" xfId="43689" xr:uid="{00000000-0005-0000-0000-000079180000}"/>
    <cellStyle name="20% - Accent2 6 3 3 6" xfId="14514" xr:uid="{00000000-0005-0000-0000-00007A180000}"/>
    <cellStyle name="20% - Accent2 6 3 4" xfId="6410" xr:uid="{00000000-0005-0000-0000-00007B180000}"/>
    <cellStyle name="20% - Accent2 6 3 4 2" xfId="25861" xr:uid="{00000000-0005-0000-0000-00007C180000}"/>
    <cellStyle name="20% - Accent2 6 3 4 3" xfId="35586" xr:uid="{00000000-0005-0000-0000-00007D180000}"/>
    <cellStyle name="20% - Accent2 6 3 4 4" xfId="45311" xr:uid="{00000000-0005-0000-0000-00007E180000}"/>
    <cellStyle name="20% - Accent2 6 3 4 5" xfId="16136" xr:uid="{00000000-0005-0000-0000-00007F180000}"/>
    <cellStyle name="20% - Accent2 6 3 5" xfId="20999" xr:uid="{00000000-0005-0000-0000-000080180000}"/>
    <cellStyle name="20% - Accent2 6 3 6" xfId="30724" xr:uid="{00000000-0005-0000-0000-000081180000}"/>
    <cellStyle name="20% - Accent2 6 3 7" xfId="40449" xr:uid="{00000000-0005-0000-0000-000082180000}"/>
    <cellStyle name="20% - Accent2 6 3 8" xfId="11274" xr:uid="{00000000-0005-0000-0000-000083180000}"/>
    <cellStyle name="20% - Accent2 6 4" xfId="718" xr:uid="{00000000-0005-0000-0000-000084180000}"/>
    <cellStyle name="20% - Accent2 6 4 2" xfId="2358" xr:uid="{00000000-0005-0000-0000-000085180000}"/>
    <cellStyle name="20% - Accent2 6 4 2 2" xfId="7220" xr:uid="{00000000-0005-0000-0000-000086180000}"/>
    <cellStyle name="20% - Accent2 6 4 2 2 2" xfId="26671" xr:uid="{00000000-0005-0000-0000-000087180000}"/>
    <cellStyle name="20% - Accent2 6 4 2 2 3" xfId="36396" xr:uid="{00000000-0005-0000-0000-000088180000}"/>
    <cellStyle name="20% - Accent2 6 4 2 2 4" xfId="46121" xr:uid="{00000000-0005-0000-0000-000089180000}"/>
    <cellStyle name="20% - Accent2 6 4 2 2 5" xfId="16946" xr:uid="{00000000-0005-0000-0000-00008A180000}"/>
    <cellStyle name="20% - Accent2 6 4 2 3" xfId="21809" xr:uid="{00000000-0005-0000-0000-00008B180000}"/>
    <cellStyle name="20% - Accent2 6 4 2 4" xfId="31534" xr:uid="{00000000-0005-0000-0000-00008C180000}"/>
    <cellStyle name="20% - Accent2 6 4 2 5" xfId="41259" xr:uid="{00000000-0005-0000-0000-00008D180000}"/>
    <cellStyle name="20% - Accent2 6 4 2 6" xfId="12084" xr:uid="{00000000-0005-0000-0000-00008E180000}"/>
    <cellStyle name="20% - Accent2 6 4 3" xfId="3978" xr:uid="{00000000-0005-0000-0000-00008F180000}"/>
    <cellStyle name="20% - Accent2 6 4 3 2" xfId="8840" xr:uid="{00000000-0005-0000-0000-000090180000}"/>
    <cellStyle name="20% - Accent2 6 4 3 2 2" xfId="28291" xr:uid="{00000000-0005-0000-0000-000091180000}"/>
    <cellStyle name="20% - Accent2 6 4 3 2 3" xfId="38016" xr:uid="{00000000-0005-0000-0000-000092180000}"/>
    <cellStyle name="20% - Accent2 6 4 3 2 4" xfId="47741" xr:uid="{00000000-0005-0000-0000-000093180000}"/>
    <cellStyle name="20% - Accent2 6 4 3 2 5" xfId="18566" xr:uid="{00000000-0005-0000-0000-000094180000}"/>
    <cellStyle name="20% - Accent2 6 4 3 3" xfId="23429" xr:uid="{00000000-0005-0000-0000-000095180000}"/>
    <cellStyle name="20% - Accent2 6 4 3 4" xfId="33154" xr:uid="{00000000-0005-0000-0000-000096180000}"/>
    <cellStyle name="20% - Accent2 6 4 3 5" xfId="42879" xr:uid="{00000000-0005-0000-0000-000097180000}"/>
    <cellStyle name="20% - Accent2 6 4 3 6" xfId="13704" xr:uid="{00000000-0005-0000-0000-000098180000}"/>
    <cellStyle name="20% - Accent2 6 4 4" xfId="5600" xr:uid="{00000000-0005-0000-0000-000099180000}"/>
    <cellStyle name="20% - Accent2 6 4 4 2" xfId="25051" xr:uid="{00000000-0005-0000-0000-00009A180000}"/>
    <cellStyle name="20% - Accent2 6 4 4 3" xfId="34776" xr:uid="{00000000-0005-0000-0000-00009B180000}"/>
    <cellStyle name="20% - Accent2 6 4 4 4" xfId="44501" xr:uid="{00000000-0005-0000-0000-00009C180000}"/>
    <cellStyle name="20% - Accent2 6 4 4 5" xfId="15326" xr:uid="{00000000-0005-0000-0000-00009D180000}"/>
    <cellStyle name="20% - Accent2 6 4 5" xfId="20189" xr:uid="{00000000-0005-0000-0000-00009E180000}"/>
    <cellStyle name="20% - Accent2 6 4 6" xfId="29914" xr:uid="{00000000-0005-0000-0000-00009F180000}"/>
    <cellStyle name="20% - Accent2 6 4 7" xfId="39639" xr:uid="{00000000-0005-0000-0000-0000A0180000}"/>
    <cellStyle name="20% - Accent2 6 4 8" xfId="10464" xr:uid="{00000000-0005-0000-0000-0000A1180000}"/>
    <cellStyle name="20% - Accent2 6 5" xfId="1998" xr:uid="{00000000-0005-0000-0000-0000A2180000}"/>
    <cellStyle name="20% - Accent2 6 5 2" xfId="6860" xr:uid="{00000000-0005-0000-0000-0000A3180000}"/>
    <cellStyle name="20% - Accent2 6 5 2 2" xfId="26311" xr:uid="{00000000-0005-0000-0000-0000A4180000}"/>
    <cellStyle name="20% - Accent2 6 5 2 3" xfId="36036" xr:uid="{00000000-0005-0000-0000-0000A5180000}"/>
    <cellStyle name="20% - Accent2 6 5 2 4" xfId="45761" xr:uid="{00000000-0005-0000-0000-0000A6180000}"/>
    <cellStyle name="20% - Accent2 6 5 2 5" xfId="16586" xr:uid="{00000000-0005-0000-0000-0000A7180000}"/>
    <cellStyle name="20% - Accent2 6 5 3" xfId="21449" xr:uid="{00000000-0005-0000-0000-0000A8180000}"/>
    <cellStyle name="20% - Accent2 6 5 4" xfId="31174" xr:uid="{00000000-0005-0000-0000-0000A9180000}"/>
    <cellStyle name="20% - Accent2 6 5 5" xfId="40899" xr:uid="{00000000-0005-0000-0000-0000AA180000}"/>
    <cellStyle name="20% - Accent2 6 5 6" xfId="11724" xr:uid="{00000000-0005-0000-0000-0000AB180000}"/>
    <cellStyle name="20% - Accent2 6 6" xfId="3618" xr:uid="{00000000-0005-0000-0000-0000AC180000}"/>
    <cellStyle name="20% - Accent2 6 6 2" xfId="8480" xr:uid="{00000000-0005-0000-0000-0000AD180000}"/>
    <cellStyle name="20% - Accent2 6 6 2 2" xfId="27931" xr:uid="{00000000-0005-0000-0000-0000AE180000}"/>
    <cellStyle name="20% - Accent2 6 6 2 3" xfId="37656" xr:uid="{00000000-0005-0000-0000-0000AF180000}"/>
    <cellStyle name="20% - Accent2 6 6 2 4" xfId="47381" xr:uid="{00000000-0005-0000-0000-0000B0180000}"/>
    <cellStyle name="20% - Accent2 6 6 2 5" xfId="18206" xr:uid="{00000000-0005-0000-0000-0000B1180000}"/>
    <cellStyle name="20% - Accent2 6 6 3" xfId="23069" xr:uid="{00000000-0005-0000-0000-0000B2180000}"/>
    <cellStyle name="20% - Accent2 6 6 4" xfId="32794" xr:uid="{00000000-0005-0000-0000-0000B3180000}"/>
    <cellStyle name="20% - Accent2 6 6 5" xfId="42519" xr:uid="{00000000-0005-0000-0000-0000B4180000}"/>
    <cellStyle name="20% - Accent2 6 6 6" xfId="13344" xr:uid="{00000000-0005-0000-0000-0000B5180000}"/>
    <cellStyle name="20% - Accent2 6 7" xfId="5240" xr:uid="{00000000-0005-0000-0000-0000B6180000}"/>
    <cellStyle name="20% - Accent2 6 7 2" xfId="24691" xr:uid="{00000000-0005-0000-0000-0000B7180000}"/>
    <cellStyle name="20% - Accent2 6 7 3" xfId="34416" xr:uid="{00000000-0005-0000-0000-0000B8180000}"/>
    <cellStyle name="20% - Accent2 6 7 4" xfId="44141" xr:uid="{00000000-0005-0000-0000-0000B9180000}"/>
    <cellStyle name="20% - Accent2 6 7 5" xfId="14966" xr:uid="{00000000-0005-0000-0000-0000BA180000}"/>
    <cellStyle name="20% - Accent2 6 8" xfId="19829" xr:uid="{00000000-0005-0000-0000-0000BB180000}"/>
    <cellStyle name="20% - Accent2 6 9" xfId="29554" xr:uid="{00000000-0005-0000-0000-0000BC180000}"/>
    <cellStyle name="20% - Accent2 7" xfId="135" xr:uid="{00000000-0005-0000-0000-0000BD180000}"/>
    <cellStyle name="20% - Accent2 7 10" xfId="39099" xr:uid="{00000000-0005-0000-0000-0000BE180000}"/>
    <cellStyle name="20% - Accent2 7 11" xfId="9924" xr:uid="{00000000-0005-0000-0000-0000BF180000}"/>
    <cellStyle name="20% - Accent2 7 2" xfId="899" xr:uid="{00000000-0005-0000-0000-0000C0180000}"/>
    <cellStyle name="20% - Accent2 7 2 2" xfId="2538" xr:uid="{00000000-0005-0000-0000-0000C1180000}"/>
    <cellStyle name="20% - Accent2 7 2 2 2" xfId="7400" xr:uid="{00000000-0005-0000-0000-0000C2180000}"/>
    <cellStyle name="20% - Accent2 7 2 2 2 2" xfId="26851" xr:uid="{00000000-0005-0000-0000-0000C3180000}"/>
    <cellStyle name="20% - Accent2 7 2 2 2 3" xfId="36576" xr:uid="{00000000-0005-0000-0000-0000C4180000}"/>
    <cellStyle name="20% - Accent2 7 2 2 2 4" xfId="46301" xr:uid="{00000000-0005-0000-0000-0000C5180000}"/>
    <cellStyle name="20% - Accent2 7 2 2 2 5" xfId="17126" xr:uid="{00000000-0005-0000-0000-0000C6180000}"/>
    <cellStyle name="20% - Accent2 7 2 2 3" xfId="21989" xr:uid="{00000000-0005-0000-0000-0000C7180000}"/>
    <cellStyle name="20% - Accent2 7 2 2 4" xfId="31714" xr:uid="{00000000-0005-0000-0000-0000C8180000}"/>
    <cellStyle name="20% - Accent2 7 2 2 5" xfId="41439" xr:uid="{00000000-0005-0000-0000-0000C9180000}"/>
    <cellStyle name="20% - Accent2 7 2 2 6" xfId="12264" xr:uid="{00000000-0005-0000-0000-0000CA180000}"/>
    <cellStyle name="20% - Accent2 7 2 3" xfId="4158" xr:uid="{00000000-0005-0000-0000-0000CB180000}"/>
    <cellStyle name="20% - Accent2 7 2 3 2" xfId="9020" xr:uid="{00000000-0005-0000-0000-0000CC180000}"/>
    <cellStyle name="20% - Accent2 7 2 3 2 2" xfId="28471" xr:uid="{00000000-0005-0000-0000-0000CD180000}"/>
    <cellStyle name="20% - Accent2 7 2 3 2 3" xfId="38196" xr:uid="{00000000-0005-0000-0000-0000CE180000}"/>
    <cellStyle name="20% - Accent2 7 2 3 2 4" xfId="47921" xr:uid="{00000000-0005-0000-0000-0000CF180000}"/>
    <cellStyle name="20% - Accent2 7 2 3 2 5" xfId="18746" xr:uid="{00000000-0005-0000-0000-0000D0180000}"/>
    <cellStyle name="20% - Accent2 7 2 3 3" xfId="23609" xr:uid="{00000000-0005-0000-0000-0000D1180000}"/>
    <cellStyle name="20% - Accent2 7 2 3 4" xfId="33334" xr:uid="{00000000-0005-0000-0000-0000D2180000}"/>
    <cellStyle name="20% - Accent2 7 2 3 5" xfId="43059" xr:uid="{00000000-0005-0000-0000-0000D3180000}"/>
    <cellStyle name="20% - Accent2 7 2 3 6" xfId="13884" xr:uid="{00000000-0005-0000-0000-0000D4180000}"/>
    <cellStyle name="20% - Accent2 7 2 4" xfId="5780" xr:uid="{00000000-0005-0000-0000-0000D5180000}"/>
    <cellStyle name="20% - Accent2 7 2 4 2" xfId="25231" xr:uid="{00000000-0005-0000-0000-0000D6180000}"/>
    <cellStyle name="20% - Accent2 7 2 4 3" xfId="34956" xr:uid="{00000000-0005-0000-0000-0000D7180000}"/>
    <cellStyle name="20% - Accent2 7 2 4 4" xfId="44681" xr:uid="{00000000-0005-0000-0000-0000D8180000}"/>
    <cellStyle name="20% - Accent2 7 2 4 5" xfId="15506" xr:uid="{00000000-0005-0000-0000-0000D9180000}"/>
    <cellStyle name="20% - Accent2 7 2 5" xfId="20369" xr:uid="{00000000-0005-0000-0000-0000DA180000}"/>
    <cellStyle name="20% - Accent2 7 2 6" xfId="30094" xr:uid="{00000000-0005-0000-0000-0000DB180000}"/>
    <cellStyle name="20% - Accent2 7 2 7" xfId="39819" xr:uid="{00000000-0005-0000-0000-0000DC180000}"/>
    <cellStyle name="20% - Accent2 7 2 8" xfId="10644" xr:uid="{00000000-0005-0000-0000-0000DD180000}"/>
    <cellStyle name="20% - Accent2 7 3" xfId="1367" xr:uid="{00000000-0005-0000-0000-0000DE180000}"/>
    <cellStyle name="20% - Accent2 7 3 2" xfId="2988" xr:uid="{00000000-0005-0000-0000-0000DF180000}"/>
    <cellStyle name="20% - Accent2 7 3 2 2" xfId="7850" xr:uid="{00000000-0005-0000-0000-0000E0180000}"/>
    <cellStyle name="20% - Accent2 7 3 2 2 2" xfId="27301" xr:uid="{00000000-0005-0000-0000-0000E1180000}"/>
    <cellStyle name="20% - Accent2 7 3 2 2 3" xfId="37026" xr:uid="{00000000-0005-0000-0000-0000E2180000}"/>
    <cellStyle name="20% - Accent2 7 3 2 2 4" xfId="46751" xr:uid="{00000000-0005-0000-0000-0000E3180000}"/>
    <cellStyle name="20% - Accent2 7 3 2 2 5" xfId="17576" xr:uid="{00000000-0005-0000-0000-0000E4180000}"/>
    <cellStyle name="20% - Accent2 7 3 2 3" xfId="22439" xr:uid="{00000000-0005-0000-0000-0000E5180000}"/>
    <cellStyle name="20% - Accent2 7 3 2 4" xfId="32164" xr:uid="{00000000-0005-0000-0000-0000E6180000}"/>
    <cellStyle name="20% - Accent2 7 3 2 5" xfId="41889" xr:uid="{00000000-0005-0000-0000-0000E7180000}"/>
    <cellStyle name="20% - Accent2 7 3 2 6" xfId="12714" xr:uid="{00000000-0005-0000-0000-0000E8180000}"/>
    <cellStyle name="20% - Accent2 7 3 3" xfId="4608" xr:uid="{00000000-0005-0000-0000-0000E9180000}"/>
    <cellStyle name="20% - Accent2 7 3 3 2" xfId="9470" xr:uid="{00000000-0005-0000-0000-0000EA180000}"/>
    <cellStyle name="20% - Accent2 7 3 3 2 2" xfId="28921" xr:uid="{00000000-0005-0000-0000-0000EB180000}"/>
    <cellStyle name="20% - Accent2 7 3 3 2 3" xfId="38646" xr:uid="{00000000-0005-0000-0000-0000EC180000}"/>
    <cellStyle name="20% - Accent2 7 3 3 2 4" xfId="48371" xr:uid="{00000000-0005-0000-0000-0000ED180000}"/>
    <cellStyle name="20% - Accent2 7 3 3 2 5" xfId="19196" xr:uid="{00000000-0005-0000-0000-0000EE180000}"/>
    <cellStyle name="20% - Accent2 7 3 3 3" xfId="24059" xr:uid="{00000000-0005-0000-0000-0000EF180000}"/>
    <cellStyle name="20% - Accent2 7 3 3 4" xfId="33784" xr:uid="{00000000-0005-0000-0000-0000F0180000}"/>
    <cellStyle name="20% - Accent2 7 3 3 5" xfId="43509" xr:uid="{00000000-0005-0000-0000-0000F1180000}"/>
    <cellStyle name="20% - Accent2 7 3 3 6" xfId="14334" xr:uid="{00000000-0005-0000-0000-0000F2180000}"/>
    <cellStyle name="20% - Accent2 7 3 4" xfId="6230" xr:uid="{00000000-0005-0000-0000-0000F3180000}"/>
    <cellStyle name="20% - Accent2 7 3 4 2" xfId="25681" xr:uid="{00000000-0005-0000-0000-0000F4180000}"/>
    <cellStyle name="20% - Accent2 7 3 4 3" xfId="35406" xr:uid="{00000000-0005-0000-0000-0000F5180000}"/>
    <cellStyle name="20% - Accent2 7 3 4 4" xfId="45131" xr:uid="{00000000-0005-0000-0000-0000F6180000}"/>
    <cellStyle name="20% - Accent2 7 3 4 5" xfId="15956" xr:uid="{00000000-0005-0000-0000-0000F7180000}"/>
    <cellStyle name="20% - Accent2 7 3 5" xfId="20819" xr:uid="{00000000-0005-0000-0000-0000F8180000}"/>
    <cellStyle name="20% - Accent2 7 3 6" xfId="30544" xr:uid="{00000000-0005-0000-0000-0000F9180000}"/>
    <cellStyle name="20% - Accent2 7 3 7" xfId="40269" xr:uid="{00000000-0005-0000-0000-0000FA180000}"/>
    <cellStyle name="20% - Accent2 7 3 8" xfId="11094" xr:uid="{00000000-0005-0000-0000-0000FB180000}"/>
    <cellStyle name="20% - Accent2 7 4" xfId="538" xr:uid="{00000000-0005-0000-0000-0000FC180000}"/>
    <cellStyle name="20% - Accent2 7 4 2" xfId="2178" xr:uid="{00000000-0005-0000-0000-0000FD180000}"/>
    <cellStyle name="20% - Accent2 7 4 2 2" xfId="7040" xr:uid="{00000000-0005-0000-0000-0000FE180000}"/>
    <cellStyle name="20% - Accent2 7 4 2 2 2" xfId="26491" xr:uid="{00000000-0005-0000-0000-0000FF180000}"/>
    <cellStyle name="20% - Accent2 7 4 2 2 3" xfId="36216" xr:uid="{00000000-0005-0000-0000-000000190000}"/>
    <cellStyle name="20% - Accent2 7 4 2 2 4" xfId="45941" xr:uid="{00000000-0005-0000-0000-000001190000}"/>
    <cellStyle name="20% - Accent2 7 4 2 2 5" xfId="16766" xr:uid="{00000000-0005-0000-0000-000002190000}"/>
    <cellStyle name="20% - Accent2 7 4 2 3" xfId="21629" xr:uid="{00000000-0005-0000-0000-000003190000}"/>
    <cellStyle name="20% - Accent2 7 4 2 4" xfId="31354" xr:uid="{00000000-0005-0000-0000-000004190000}"/>
    <cellStyle name="20% - Accent2 7 4 2 5" xfId="41079" xr:uid="{00000000-0005-0000-0000-000005190000}"/>
    <cellStyle name="20% - Accent2 7 4 2 6" xfId="11904" xr:uid="{00000000-0005-0000-0000-000006190000}"/>
    <cellStyle name="20% - Accent2 7 4 3" xfId="3798" xr:uid="{00000000-0005-0000-0000-000007190000}"/>
    <cellStyle name="20% - Accent2 7 4 3 2" xfId="8660" xr:uid="{00000000-0005-0000-0000-000008190000}"/>
    <cellStyle name="20% - Accent2 7 4 3 2 2" xfId="28111" xr:uid="{00000000-0005-0000-0000-000009190000}"/>
    <cellStyle name="20% - Accent2 7 4 3 2 3" xfId="37836" xr:uid="{00000000-0005-0000-0000-00000A190000}"/>
    <cellStyle name="20% - Accent2 7 4 3 2 4" xfId="47561" xr:uid="{00000000-0005-0000-0000-00000B190000}"/>
    <cellStyle name="20% - Accent2 7 4 3 2 5" xfId="18386" xr:uid="{00000000-0005-0000-0000-00000C190000}"/>
    <cellStyle name="20% - Accent2 7 4 3 3" xfId="23249" xr:uid="{00000000-0005-0000-0000-00000D190000}"/>
    <cellStyle name="20% - Accent2 7 4 3 4" xfId="32974" xr:uid="{00000000-0005-0000-0000-00000E190000}"/>
    <cellStyle name="20% - Accent2 7 4 3 5" xfId="42699" xr:uid="{00000000-0005-0000-0000-00000F190000}"/>
    <cellStyle name="20% - Accent2 7 4 3 6" xfId="13524" xr:uid="{00000000-0005-0000-0000-000010190000}"/>
    <cellStyle name="20% - Accent2 7 4 4" xfId="5420" xr:uid="{00000000-0005-0000-0000-000011190000}"/>
    <cellStyle name="20% - Accent2 7 4 4 2" xfId="24871" xr:uid="{00000000-0005-0000-0000-000012190000}"/>
    <cellStyle name="20% - Accent2 7 4 4 3" xfId="34596" xr:uid="{00000000-0005-0000-0000-000013190000}"/>
    <cellStyle name="20% - Accent2 7 4 4 4" xfId="44321" xr:uid="{00000000-0005-0000-0000-000014190000}"/>
    <cellStyle name="20% - Accent2 7 4 4 5" xfId="15146" xr:uid="{00000000-0005-0000-0000-000015190000}"/>
    <cellStyle name="20% - Accent2 7 4 5" xfId="20009" xr:uid="{00000000-0005-0000-0000-000016190000}"/>
    <cellStyle name="20% - Accent2 7 4 6" xfId="29734" xr:uid="{00000000-0005-0000-0000-000017190000}"/>
    <cellStyle name="20% - Accent2 7 4 7" xfId="39459" xr:uid="{00000000-0005-0000-0000-000018190000}"/>
    <cellStyle name="20% - Accent2 7 4 8" xfId="10284" xr:uid="{00000000-0005-0000-0000-000019190000}"/>
    <cellStyle name="20% - Accent2 7 5" xfId="1818" xr:uid="{00000000-0005-0000-0000-00001A190000}"/>
    <cellStyle name="20% - Accent2 7 5 2" xfId="6680" xr:uid="{00000000-0005-0000-0000-00001B190000}"/>
    <cellStyle name="20% - Accent2 7 5 2 2" xfId="26131" xr:uid="{00000000-0005-0000-0000-00001C190000}"/>
    <cellStyle name="20% - Accent2 7 5 2 3" xfId="35856" xr:uid="{00000000-0005-0000-0000-00001D190000}"/>
    <cellStyle name="20% - Accent2 7 5 2 4" xfId="45581" xr:uid="{00000000-0005-0000-0000-00001E190000}"/>
    <cellStyle name="20% - Accent2 7 5 2 5" xfId="16406" xr:uid="{00000000-0005-0000-0000-00001F190000}"/>
    <cellStyle name="20% - Accent2 7 5 3" xfId="21269" xr:uid="{00000000-0005-0000-0000-000020190000}"/>
    <cellStyle name="20% - Accent2 7 5 4" xfId="30994" xr:uid="{00000000-0005-0000-0000-000021190000}"/>
    <cellStyle name="20% - Accent2 7 5 5" xfId="40719" xr:uid="{00000000-0005-0000-0000-000022190000}"/>
    <cellStyle name="20% - Accent2 7 5 6" xfId="11544" xr:uid="{00000000-0005-0000-0000-000023190000}"/>
    <cellStyle name="20% - Accent2 7 6" xfId="3438" xr:uid="{00000000-0005-0000-0000-000024190000}"/>
    <cellStyle name="20% - Accent2 7 6 2" xfId="8300" xr:uid="{00000000-0005-0000-0000-000025190000}"/>
    <cellStyle name="20% - Accent2 7 6 2 2" xfId="27751" xr:uid="{00000000-0005-0000-0000-000026190000}"/>
    <cellStyle name="20% - Accent2 7 6 2 3" xfId="37476" xr:uid="{00000000-0005-0000-0000-000027190000}"/>
    <cellStyle name="20% - Accent2 7 6 2 4" xfId="47201" xr:uid="{00000000-0005-0000-0000-000028190000}"/>
    <cellStyle name="20% - Accent2 7 6 2 5" xfId="18026" xr:uid="{00000000-0005-0000-0000-000029190000}"/>
    <cellStyle name="20% - Accent2 7 6 3" xfId="22889" xr:uid="{00000000-0005-0000-0000-00002A190000}"/>
    <cellStyle name="20% - Accent2 7 6 4" xfId="32614" xr:uid="{00000000-0005-0000-0000-00002B190000}"/>
    <cellStyle name="20% - Accent2 7 6 5" xfId="42339" xr:uid="{00000000-0005-0000-0000-00002C190000}"/>
    <cellStyle name="20% - Accent2 7 6 6" xfId="13164" xr:uid="{00000000-0005-0000-0000-00002D190000}"/>
    <cellStyle name="20% - Accent2 7 7" xfId="5060" xr:uid="{00000000-0005-0000-0000-00002E190000}"/>
    <cellStyle name="20% - Accent2 7 7 2" xfId="24511" xr:uid="{00000000-0005-0000-0000-00002F190000}"/>
    <cellStyle name="20% - Accent2 7 7 3" xfId="34236" xr:uid="{00000000-0005-0000-0000-000030190000}"/>
    <cellStyle name="20% - Accent2 7 7 4" xfId="43961" xr:uid="{00000000-0005-0000-0000-000031190000}"/>
    <cellStyle name="20% - Accent2 7 7 5" xfId="14786" xr:uid="{00000000-0005-0000-0000-000032190000}"/>
    <cellStyle name="20% - Accent2 7 8" xfId="19649" xr:uid="{00000000-0005-0000-0000-000033190000}"/>
    <cellStyle name="20% - Accent2 7 9" xfId="29374" xr:uid="{00000000-0005-0000-0000-000034190000}"/>
    <cellStyle name="20% - Accent2 8" xfId="406" xr:uid="{00000000-0005-0000-0000-000035190000}"/>
    <cellStyle name="20% - Accent2 9" xfId="809" xr:uid="{00000000-0005-0000-0000-000036190000}"/>
    <cellStyle name="20% - Accent2 9 2" xfId="2448" xr:uid="{00000000-0005-0000-0000-000037190000}"/>
    <cellStyle name="20% - Accent2 9 2 2" xfId="7310" xr:uid="{00000000-0005-0000-0000-000038190000}"/>
    <cellStyle name="20% - Accent2 9 2 2 2" xfId="26761" xr:uid="{00000000-0005-0000-0000-000039190000}"/>
    <cellStyle name="20% - Accent2 9 2 2 3" xfId="36486" xr:uid="{00000000-0005-0000-0000-00003A190000}"/>
    <cellStyle name="20% - Accent2 9 2 2 4" xfId="46211" xr:uid="{00000000-0005-0000-0000-00003B190000}"/>
    <cellStyle name="20% - Accent2 9 2 2 5" xfId="17036" xr:uid="{00000000-0005-0000-0000-00003C190000}"/>
    <cellStyle name="20% - Accent2 9 2 3" xfId="21899" xr:uid="{00000000-0005-0000-0000-00003D190000}"/>
    <cellStyle name="20% - Accent2 9 2 4" xfId="31624" xr:uid="{00000000-0005-0000-0000-00003E190000}"/>
    <cellStyle name="20% - Accent2 9 2 5" xfId="41349" xr:uid="{00000000-0005-0000-0000-00003F190000}"/>
    <cellStyle name="20% - Accent2 9 2 6" xfId="12174" xr:uid="{00000000-0005-0000-0000-000040190000}"/>
    <cellStyle name="20% - Accent2 9 3" xfId="4068" xr:uid="{00000000-0005-0000-0000-000041190000}"/>
    <cellStyle name="20% - Accent2 9 3 2" xfId="8930" xr:uid="{00000000-0005-0000-0000-000042190000}"/>
    <cellStyle name="20% - Accent2 9 3 2 2" xfId="28381" xr:uid="{00000000-0005-0000-0000-000043190000}"/>
    <cellStyle name="20% - Accent2 9 3 2 3" xfId="38106" xr:uid="{00000000-0005-0000-0000-000044190000}"/>
    <cellStyle name="20% - Accent2 9 3 2 4" xfId="47831" xr:uid="{00000000-0005-0000-0000-000045190000}"/>
    <cellStyle name="20% - Accent2 9 3 2 5" xfId="18656" xr:uid="{00000000-0005-0000-0000-000046190000}"/>
    <cellStyle name="20% - Accent2 9 3 3" xfId="23519" xr:uid="{00000000-0005-0000-0000-000047190000}"/>
    <cellStyle name="20% - Accent2 9 3 4" xfId="33244" xr:uid="{00000000-0005-0000-0000-000048190000}"/>
    <cellStyle name="20% - Accent2 9 3 5" xfId="42969" xr:uid="{00000000-0005-0000-0000-000049190000}"/>
    <cellStyle name="20% - Accent2 9 3 6" xfId="13794" xr:uid="{00000000-0005-0000-0000-00004A190000}"/>
    <cellStyle name="20% - Accent2 9 4" xfId="5690" xr:uid="{00000000-0005-0000-0000-00004B190000}"/>
    <cellStyle name="20% - Accent2 9 4 2" xfId="25141" xr:uid="{00000000-0005-0000-0000-00004C190000}"/>
    <cellStyle name="20% - Accent2 9 4 3" xfId="34866" xr:uid="{00000000-0005-0000-0000-00004D190000}"/>
    <cellStyle name="20% - Accent2 9 4 4" xfId="44591" xr:uid="{00000000-0005-0000-0000-00004E190000}"/>
    <cellStyle name="20% - Accent2 9 4 5" xfId="15416" xr:uid="{00000000-0005-0000-0000-00004F190000}"/>
    <cellStyle name="20% - Accent2 9 5" xfId="20279" xr:uid="{00000000-0005-0000-0000-000050190000}"/>
    <cellStyle name="20% - Accent2 9 6" xfId="30004" xr:uid="{00000000-0005-0000-0000-000051190000}"/>
    <cellStyle name="20% - Accent2 9 7" xfId="39729" xr:uid="{00000000-0005-0000-0000-000052190000}"/>
    <cellStyle name="20% - Accent2 9 8" xfId="10554" xr:uid="{00000000-0005-0000-0000-000053190000}"/>
    <cellStyle name="20% - Accent3" xfId="38" builtinId="38" customBuiltin="1"/>
    <cellStyle name="20% - Accent3 10" xfId="1189" xr:uid="{00000000-0005-0000-0000-000055190000}"/>
    <cellStyle name="20% - Accent3 10 2" xfId="2810" xr:uid="{00000000-0005-0000-0000-000056190000}"/>
    <cellStyle name="20% - Accent3 10 2 2" xfId="7672" xr:uid="{00000000-0005-0000-0000-000057190000}"/>
    <cellStyle name="20% - Accent3 10 2 2 2" xfId="27123" xr:uid="{00000000-0005-0000-0000-000058190000}"/>
    <cellStyle name="20% - Accent3 10 2 2 3" xfId="36848" xr:uid="{00000000-0005-0000-0000-000059190000}"/>
    <cellStyle name="20% - Accent3 10 2 2 4" xfId="46573" xr:uid="{00000000-0005-0000-0000-00005A190000}"/>
    <cellStyle name="20% - Accent3 10 2 2 5" xfId="17398" xr:uid="{00000000-0005-0000-0000-00005B190000}"/>
    <cellStyle name="20% - Accent3 10 2 3" xfId="22261" xr:uid="{00000000-0005-0000-0000-00005C190000}"/>
    <cellStyle name="20% - Accent3 10 2 4" xfId="31986" xr:uid="{00000000-0005-0000-0000-00005D190000}"/>
    <cellStyle name="20% - Accent3 10 2 5" xfId="41711" xr:uid="{00000000-0005-0000-0000-00005E190000}"/>
    <cellStyle name="20% - Accent3 10 2 6" xfId="12536" xr:uid="{00000000-0005-0000-0000-00005F190000}"/>
    <cellStyle name="20% - Accent3 10 3" xfId="4430" xr:uid="{00000000-0005-0000-0000-000060190000}"/>
    <cellStyle name="20% - Accent3 10 3 2" xfId="9292" xr:uid="{00000000-0005-0000-0000-000061190000}"/>
    <cellStyle name="20% - Accent3 10 3 2 2" xfId="28743" xr:uid="{00000000-0005-0000-0000-000062190000}"/>
    <cellStyle name="20% - Accent3 10 3 2 3" xfId="38468" xr:uid="{00000000-0005-0000-0000-000063190000}"/>
    <cellStyle name="20% - Accent3 10 3 2 4" xfId="48193" xr:uid="{00000000-0005-0000-0000-000064190000}"/>
    <cellStyle name="20% - Accent3 10 3 2 5" xfId="19018" xr:uid="{00000000-0005-0000-0000-000065190000}"/>
    <cellStyle name="20% - Accent3 10 3 3" xfId="23881" xr:uid="{00000000-0005-0000-0000-000066190000}"/>
    <cellStyle name="20% - Accent3 10 3 4" xfId="33606" xr:uid="{00000000-0005-0000-0000-000067190000}"/>
    <cellStyle name="20% - Accent3 10 3 5" xfId="43331" xr:uid="{00000000-0005-0000-0000-000068190000}"/>
    <cellStyle name="20% - Accent3 10 3 6" xfId="14156" xr:uid="{00000000-0005-0000-0000-000069190000}"/>
    <cellStyle name="20% - Accent3 10 4" xfId="6052" xr:uid="{00000000-0005-0000-0000-00006A190000}"/>
    <cellStyle name="20% - Accent3 10 4 2" xfId="25503" xr:uid="{00000000-0005-0000-0000-00006B190000}"/>
    <cellStyle name="20% - Accent3 10 4 3" xfId="35228" xr:uid="{00000000-0005-0000-0000-00006C190000}"/>
    <cellStyle name="20% - Accent3 10 4 4" xfId="44953" xr:uid="{00000000-0005-0000-0000-00006D190000}"/>
    <cellStyle name="20% - Accent3 10 4 5" xfId="15778" xr:uid="{00000000-0005-0000-0000-00006E190000}"/>
    <cellStyle name="20% - Accent3 10 5" xfId="20641" xr:uid="{00000000-0005-0000-0000-00006F190000}"/>
    <cellStyle name="20% - Accent3 10 6" xfId="30366" xr:uid="{00000000-0005-0000-0000-000070190000}"/>
    <cellStyle name="20% - Accent3 10 7" xfId="40091" xr:uid="{00000000-0005-0000-0000-000071190000}"/>
    <cellStyle name="20% - Accent3 10 8" xfId="10916" xr:uid="{00000000-0005-0000-0000-000072190000}"/>
    <cellStyle name="20% - Accent3 11" xfId="1279" xr:uid="{00000000-0005-0000-0000-000073190000}"/>
    <cellStyle name="20% - Accent3 11 2" xfId="2900" xr:uid="{00000000-0005-0000-0000-000074190000}"/>
    <cellStyle name="20% - Accent3 11 2 2" xfId="7762" xr:uid="{00000000-0005-0000-0000-000075190000}"/>
    <cellStyle name="20% - Accent3 11 2 2 2" xfId="27213" xr:uid="{00000000-0005-0000-0000-000076190000}"/>
    <cellStyle name="20% - Accent3 11 2 2 3" xfId="36938" xr:uid="{00000000-0005-0000-0000-000077190000}"/>
    <cellStyle name="20% - Accent3 11 2 2 4" xfId="46663" xr:uid="{00000000-0005-0000-0000-000078190000}"/>
    <cellStyle name="20% - Accent3 11 2 2 5" xfId="17488" xr:uid="{00000000-0005-0000-0000-000079190000}"/>
    <cellStyle name="20% - Accent3 11 2 3" xfId="22351" xr:uid="{00000000-0005-0000-0000-00007A190000}"/>
    <cellStyle name="20% - Accent3 11 2 4" xfId="32076" xr:uid="{00000000-0005-0000-0000-00007B190000}"/>
    <cellStyle name="20% - Accent3 11 2 5" xfId="41801" xr:uid="{00000000-0005-0000-0000-00007C190000}"/>
    <cellStyle name="20% - Accent3 11 2 6" xfId="12626" xr:uid="{00000000-0005-0000-0000-00007D190000}"/>
    <cellStyle name="20% - Accent3 11 3" xfId="4520" xr:uid="{00000000-0005-0000-0000-00007E190000}"/>
    <cellStyle name="20% - Accent3 11 3 2" xfId="9382" xr:uid="{00000000-0005-0000-0000-00007F190000}"/>
    <cellStyle name="20% - Accent3 11 3 2 2" xfId="28833" xr:uid="{00000000-0005-0000-0000-000080190000}"/>
    <cellStyle name="20% - Accent3 11 3 2 3" xfId="38558" xr:uid="{00000000-0005-0000-0000-000081190000}"/>
    <cellStyle name="20% - Accent3 11 3 2 4" xfId="48283" xr:uid="{00000000-0005-0000-0000-000082190000}"/>
    <cellStyle name="20% - Accent3 11 3 2 5" xfId="19108" xr:uid="{00000000-0005-0000-0000-000083190000}"/>
    <cellStyle name="20% - Accent3 11 3 3" xfId="23971" xr:uid="{00000000-0005-0000-0000-000084190000}"/>
    <cellStyle name="20% - Accent3 11 3 4" xfId="33696" xr:uid="{00000000-0005-0000-0000-000085190000}"/>
    <cellStyle name="20% - Accent3 11 3 5" xfId="43421" xr:uid="{00000000-0005-0000-0000-000086190000}"/>
    <cellStyle name="20% - Accent3 11 3 6" xfId="14246" xr:uid="{00000000-0005-0000-0000-000087190000}"/>
    <cellStyle name="20% - Accent3 11 4" xfId="6142" xr:uid="{00000000-0005-0000-0000-000088190000}"/>
    <cellStyle name="20% - Accent3 11 4 2" xfId="25593" xr:uid="{00000000-0005-0000-0000-000089190000}"/>
    <cellStyle name="20% - Accent3 11 4 3" xfId="35318" xr:uid="{00000000-0005-0000-0000-00008A190000}"/>
    <cellStyle name="20% - Accent3 11 4 4" xfId="45043" xr:uid="{00000000-0005-0000-0000-00008B190000}"/>
    <cellStyle name="20% - Accent3 11 4 5" xfId="15868" xr:uid="{00000000-0005-0000-0000-00008C190000}"/>
    <cellStyle name="20% - Accent3 11 5" xfId="20731" xr:uid="{00000000-0005-0000-0000-00008D190000}"/>
    <cellStyle name="20% - Accent3 11 6" xfId="30456" xr:uid="{00000000-0005-0000-0000-00008E190000}"/>
    <cellStyle name="20% - Accent3 11 7" xfId="40181" xr:uid="{00000000-0005-0000-0000-00008F190000}"/>
    <cellStyle name="20% - Accent3 11 8" xfId="11006" xr:uid="{00000000-0005-0000-0000-000090190000}"/>
    <cellStyle name="20% - Accent3 12" xfId="450" xr:uid="{00000000-0005-0000-0000-000091190000}"/>
    <cellStyle name="20% - Accent3 12 2" xfId="2090" xr:uid="{00000000-0005-0000-0000-000092190000}"/>
    <cellStyle name="20% - Accent3 12 2 2" xfId="6952" xr:uid="{00000000-0005-0000-0000-000093190000}"/>
    <cellStyle name="20% - Accent3 12 2 2 2" xfId="26403" xr:uid="{00000000-0005-0000-0000-000094190000}"/>
    <cellStyle name="20% - Accent3 12 2 2 3" xfId="36128" xr:uid="{00000000-0005-0000-0000-000095190000}"/>
    <cellStyle name="20% - Accent3 12 2 2 4" xfId="45853" xr:uid="{00000000-0005-0000-0000-000096190000}"/>
    <cellStyle name="20% - Accent3 12 2 2 5" xfId="16678" xr:uid="{00000000-0005-0000-0000-000097190000}"/>
    <cellStyle name="20% - Accent3 12 2 3" xfId="21541" xr:uid="{00000000-0005-0000-0000-000098190000}"/>
    <cellStyle name="20% - Accent3 12 2 4" xfId="31266" xr:uid="{00000000-0005-0000-0000-000099190000}"/>
    <cellStyle name="20% - Accent3 12 2 5" xfId="40991" xr:uid="{00000000-0005-0000-0000-00009A190000}"/>
    <cellStyle name="20% - Accent3 12 2 6" xfId="11816" xr:uid="{00000000-0005-0000-0000-00009B190000}"/>
    <cellStyle name="20% - Accent3 12 3" xfId="3710" xr:uid="{00000000-0005-0000-0000-00009C190000}"/>
    <cellStyle name="20% - Accent3 12 3 2" xfId="8572" xr:uid="{00000000-0005-0000-0000-00009D190000}"/>
    <cellStyle name="20% - Accent3 12 3 2 2" xfId="28023" xr:uid="{00000000-0005-0000-0000-00009E190000}"/>
    <cellStyle name="20% - Accent3 12 3 2 3" xfId="37748" xr:uid="{00000000-0005-0000-0000-00009F190000}"/>
    <cellStyle name="20% - Accent3 12 3 2 4" xfId="47473" xr:uid="{00000000-0005-0000-0000-0000A0190000}"/>
    <cellStyle name="20% - Accent3 12 3 2 5" xfId="18298" xr:uid="{00000000-0005-0000-0000-0000A1190000}"/>
    <cellStyle name="20% - Accent3 12 3 3" xfId="23161" xr:uid="{00000000-0005-0000-0000-0000A2190000}"/>
    <cellStyle name="20% - Accent3 12 3 4" xfId="32886" xr:uid="{00000000-0005-0000-0000-0000A3190000}"/>
    <cellStyle name="20% - Accent3 12 3 5" xfId="42611" xr:uid="{00000000-0005-0000-0000-0000A4190000}"/>
    <cellStyle name="20% - Accent3 12 3 6" xfId="13436" xr:uid="{00000000-0005-0000-0000-0000A5190000}"/>
    <cellStyle name="20% - Accent3 12 4" xfId="5332" xr:uid="{00000000-0005-0000-0000-0000A6190000}"/>
    <cellStyle name="20% - Accent3 12 4 2" xfId="24783" xr:uid="{00000000-0005-0000-0000-0000A7190000}"/>
    <cellStyle name="20% - Accent3 12 4 3" xfId="34508" xr:uid="{00000000-0005-0000-0000-0000A8190000}"/>
    <cellStyle name="20% - Accent3 12 4 4" xfId="44233" xr:uid="{00000000-0005-0000-0000-0000A9190000}"/>
    <cellStyle name="20% - Accent3 12 4 5" xfId="15058" xr:uid="{00000000-0005-0000-0000-0000AA190000}"/>
    <cellStyle name="20% - Accent3 12 5" xfId="19921" xr:uid="{00000000-0005-0000-0000-0000AB190000}"/>
    <cellStyle name="20% - Accent3 12 6" xfId="29646" xr:uid="{00000000-0005-0000-0000-0000AC190000}"/>
    <cellStyle name="20% - Accent3 12 7" xfId="39371" xr:uid="{00000000-0005-0000-0000-0000AD190000}"/>
    <cellStyle name="20% - Accent3 12 8" xfId="10196" xr:uid="{00000000-0005-0000-0000-0000AE190000}"/>
    <cellStyle name="20% - Accent3 13" xfId="1639" xr:uid="{00000000-0005-0000-0000-0000AF190000}"/>
    <cellStyle name="20% - Accent3 13 2" xfId="3260" xr:uid="{00000000-0005-0000-0000-0000B0190000}"/>
    <cellStyle name="20% - Accent3 13 2 2" xfId="8122" xr:uid="{00000000-0005-0000-0000-0000B1190000}"/>
    <cellStyle name="20% - Accent3 13 2 2 2" xfId="27573" xr:uid="{00000000-0005-0000-0000-0000B2190000}"/>
    <cellStyle name="20% - Accent3 13 2 2 3" xfId="37298" xr:uid="{00000000-0005-0000-0000-0000B3190000}"/>
    <cellStyle name="20% - Accent3 13 2 2 4" xfId="47023" xr:uid="{00000000-0005-0000-0000-0000B4190000}"/>
    <cellStyle name="20% - Accent3 13 2 2 5" xfId="17848" xr:uid="{00000000-0005-0000-0000-0000B5190000}"/>
    <cellStyle name="20% - Accent3 13 2 3" xfId="22711" xr:uid="{00000000-0005-0000-0000-0000B6190000}"/>
    <cellStyle name="20% - Accent3 13 2 4" xfId="32436" xr:uid="{00000000-0005-0000-0000-0000B7190000}"/>
    <cellStyle name="20% - Accent3 13 2 5" xfId="42161" xr:uid="{00000000-0005-0000-0000-0000B8190000}"/>
    <cellStyle name="20% - Accent3 13 2 6" xfId="12986" xr:uid="{00000000-0005-0000-0000-0000B9190000}"/>
    <cellStyle name="20% - Accent3 13 3" xfId="4880" xr:uid="{00000000-0005-0000-0000-0000BA190000}"/>
    <cellStyle name="20% - Accent3 13 3 2" xfId="9742" xr:uid="{00000000-0005-0000-0000-0000BB190000}"/>
    <cellStyle name="20% - Accent3 13 3 2 2" xfId="29193" xr:uid="{00000000-0005-0000-0000-0000BC190000}"/>
    <cellStyle name="20% - Accent3 13 3 2 3" xfId="38918" xr:uid="{00000000-0005-0000-0000-0000BD190000}"/>
    <cellStyle name="20% - Accent3 13 3 2 4" xfId="48643" xr:uid="{00000000-0005-0000-0000-0000BE190000}"/>
    <cellStyle name="20% - Accent3 13 3 2 5" xfId="19468" xr:uid="{00000000-0005-0000-0000-0000BF190000}"/>
    <cellStyle name="20% - Accent3 13 3 3" xfId="24331" xr:uid="{00000000-0005-0000-0000-0000C0190000}"/>
    <cellStyle name="20% - Accent3 13 3 4" xfId="34056" xr:uid="{00000000-0005-0000-0000-0000C1190000}"/>
    <cellStyle name="20% - Accent3 13 3 5" xfId="43781" xr:uid="{00000000-0005-0000-0000-0000C2190000}"/>
    <cellStyle name="20% - Accent3 13 3 6" xfId="14606" xr:uid="{00000000-0005-0000-0000-0000C3190000}"/>
    <cellStyle name="20% - Accent3 13 4" xfId="6502" xr:uid="{00000000-0005-0000-0000-0000C4190000}"/>
    <cellStyle name="20% - Accent3 13 4 2" xfId="25953" xr:uid="{00000000-0005-0000-0000-0000C5190000}"/>
    <cellStyle name="20% - Accent3 13 4 3" xfId="35678" xr:uid="{00000000-0005-0000-0000-0000C6190000}"/>
    <cellStyle name="20% - Accent3 13 4 4" xfId="45403" xr:uid="{00000000-0005-0000-0000-0000C7190000}"/>
    <cellStyle name="20% - Accent3 13 4 5" xfId="16228" xr:uid="{00000000-0005-0000-0000-0000C8190000}"/>
    <cellStyle name="20% - Accent3 13 5" xfId="21091" xr:uid="{00000000-0005-0000-0000-0000C9190000}"/>
    <cellStyle name="20% - Accent3 13 6" xfId="30816" xr:uid="{00000000-0005-0000-0000-0000CA190000}"/>
    <cellStyle name="20% - Accent3 13 7" xfId="40541" xr:uid="{00000000-0005-0000-0000-0000CB190000}"/>
    <cellStyle name="20% - Accent3 13 8" xfId="11366" xr:uid="{00000000-0005-0000-0000-0000CC190000}"/>
    <cellStyle name="20% - Accent3 14" xfId="1730" xr:uid="{00000000-0005-0000-0000-0000CD190000}"/>
    <cellStyle name="20% - Accent3 14 2" xfId="6592" xr:uid="{00000000-0005-0000-0000-0000CE190000}"/>
    <cellStyle name="20% - Accent3 14 2 2" xfId="26043" xr:uid="{00000000-0005-0000-0000-0000CF190000}"/>
    <cellStyle name="20% - Accent3 14 2 3" xfId="35768" xr:uid="{00000000-0005-0000-0000-0000D0190000}"/>
    <cellStyle name="20% - Accent3 14 2 4" xfId="45493" xr:uid="{00000000-0005-0000-0000-0000D1190000}"/>
    <cellStyle name="20% - Accent3 14 2 5" xfId="16318" xr:uid="{00000000-0005-0000-0000-0000D2190000}"/>
    <cellStyle name="20% - Accent3 14 3" xfId="21181" xr:uid="{00000000-0005-0000-0000-0000D3190000}"/>
    <cellStyle name="20% - Accent3 14 4" xfId="30906" xr:uid="{00000000-0005-0000-0000-0000D4190000}"/>
    <cellStyle name="20% - Accent3 14 5" xfId="40631" xr:uid="{00000000-0005-0000-0000-0000D5190000}"/>
    <cellStyle name="20% - Accent3 14 6" xfId="11456" xr:uid="{00000000-0005-0000-0000-0000D6190000}"/>
    <cellStyle name="20% - Accent3 15" xfId="3350" xr:uid="{00000000-0005-0000-0000-0000D7190000}"/>
    <cellStyle name="20% - Accent3 15 2" xfId="8212" xr:uid="{00000000-0005-0000-0000-0000D8190000}"/>
    <cellStyle name="20% - Accent3 15 2 2" xfId="27663" xr:uid="{00000000-0005-0000-0000-0000D9190000}"/>
    <cellStyle name="20% - Accent3 15 2 3" xfId="37388" xr:uid="{00000000-0005-0000-0000-0000DA190000}"/>
    <cellStyle name="20% - Accent3 15 2 4" xfId="47113" xr:uid="{00000000-0005-0000-0000-0000DB190000}"/>
    <cellStyle name="20% - Accent3 15 2 5" xfId="17938" xr:uid="{00000000-0005-0000-0000-0000DC190000}"/>
    <cellStyle name="20% - Accent3 15 3" xfId="22801" xr:uid="{00000000-0005-0000-0000-0000DD190000}"/>
    <cellStyle name="20% - Accent3 15 4" xfId="32526" xr:uid="{00000000-0005-0000-0000-0000DE190000}"/>
    <cellStyle name="20% - Accent3 15 5" xfId="42251" xr:uid="{00000000-0005-0000-0000-0000DF190000}"/>
    <cellStyle name="20% - Accent3 15 6" xfId="13076" xr:uid="{00000000-0005-0000-0000-0000E0190000}"/>
    <cellStyle name="20% - Accent3 16" xfId="4972" xr:uid="{00000000-0005-0000-0000-0000E1190000}"/>
    <cellStyle name="20% - Accent3 16 2" xfId="24423" xr:uid="{00000000-0005-0000-0000-0000E2190000}"/>
    <cellStyle name="20% - Accent3 16 3" xfId="34148" xr:uid="{00000000-0005-0000-0000-0000E3190000}"/>
    <cellStyle name="20% - Accent3 16 4" xfId="43873" xr:uid="{00000000-0005-0000-0000-0000E4190000}"/>
    <cellStyle name="20% - Accent3 16 5" xfId="14698" xr:uid="{00000000-0005-0000-0000-0000E5190000}"/>
    <cellStyle name="20% - Accent3 17" xfId="19561" xr:uid="{00000000-0005-0000-0000-0000E6190000}"/>
    <cellStyle name="20% - Accent3 18" xfId="29286" xr:uid="{00000000-0005-0000-0000-0000E7190000}"/>
    <cellStyle name="20% - Accent3 19" xfId="39011" xr:uid="{00000000-0005-0000-0000-0000E8190000}"/>
    <cellStyle name="20% - Accent3 2" xfId="59" xr:uid="{00000000-0005-0000-0000-0000E9190000}"/>
    <cellStyle name="20% - Accent3 2 10" xfId="464" xr:uid="{00000000-0005-0000-0000-0000EA190000}"/>
    <cellStyle name="20% - Accent3 2 10 2" xfId="2104" xr:uid="{00000000-0005-0000-0000-0000EB190000}"/>
    <cellStyle name="20% - Accent3 2 10 2 2" xfId="6966" xr:uid="{00000000-0005-0000-0000-0000EC190000}"/>
    <cellStyle name="20% - Accent3 2 10 2 2 2" xfId="26417" xr:uid="{00000000-0005-0000-0000-0000ED190000}"/>
    <cellStyle name="20% - Accent3 2 10 2 2 3" xfId="36142" xr:uid="{00000000-0005-0000-0000-0000EE190000}"/>
    <cellStyle name="20% - Accent3 2 10 2 2 4" xfId="45867" xr:uid="{00000000-0005-0000-0000-0000EF190000}"/>
    <cellStyle name="20% - Accent3 2 10 2 2 5" xfId="16692" xr:uid="{00000000-0005-0000-0000-0000F0190000}"/>
    <cellStyle name="20% - Accent3 2 10 2 3" xfId="21555" xr:uid="{00000000-0005-0000-0000-0000F1190000}"/>
    <cellStyle name="20% - Accent3 2 10 2 4" xfId="31280" xr:uid="{00000000-0005-0000-0000-0000F2190000}"/>
    <cellStyle name="20% - Accent3 2 10 2 5" xfId="41005" xr:uid="{00000000-0005-0000-0000-0000F3190000}"/>
    <cellStyle name="20% - Accent3 2 10 2 6" xfId="11830" xr:uid="{00000000-0005-0000-0000-0000F4190000}"/>
    <cellStyle name="20% - Accent3 2 10 3" xfId="3724" xr:uid="{00000000-0005-0000-0000-0000F5190000}"/>
    <cellStyle name="20% - Accent3 2 10 3 2" xfId="8586" xr:uid="{00000000-0005-0000-0000-0000F6190000}"/>
    <cellStyle name="20% - Accent3 2 10 3 2 2" xfId="28037" xr:uid="{00000000-0005-0000-0000-0000F7190000}"/>
    <cellStyle name="20% - Accent3 2 10 3 2 3" xfId="37762" xr:uid="{00000000-0005-0000-0000-0000F8190000}"/>
    <cellStyle name="20% - Accent3 2 10 3 2 4" xfId="47487" xr:uid="{00000000-0005-0000-0000-0000F9190000}"/>
    <cellStyle name="20% - Accent3 2 10 3 2 5" xfId="18312" xr:uid="{00000000-0005-0000-0000-0000FA190000}"/>
    <cellStyle name="20% - Accent3 2 10 3 3" xfId="23175" xr:uid="{00000000-0005-0000-0000-0000FB190000}"/>
    <cellStyle name="20% - Accent3 2 10 3 4" xfId="32900" xr:uid="{00000000-0005-0000-0000-0000FC190000}"/>
    <cellStyle name="20% - Accent3 2 10 3 5" xfId="42625" xr:uid="{00000000-0005-0000-0000-0000FD190000}"/>
    <cellStyle name="20% - Accent3 2 10 3 6" xfId="13450" xr:uid="{00000000-0005-0000-0000-0000FE190000}"/>
    <cellStyle name="20% - Accent3 2 10 4" xfId="5346" xr:uid="{00000000-0005-0000-0000-0000FF190000}"/>
    <cellStyle name="20% - Accent3 2 10 4 2" xfId="24797" xr:uid="{00000000-0005-0000-0000-0000001A0000}"/>
    <cellStyle name="20% - Accent3 2 10 4 3" xfId="34522" xr:uid="{00000000-0005-0000-0000-0000011A0000}"/>
    <cellStyle name="20% - Accent3 2 10 4 4" xfId="44247" xr:uid="{00000000-0005-0000-0000-0000021A0000}"/>
    <cellStyle name="20% - Accent3 2 10 4 5" xfId="15072" xr:uid="{00000000-0005-0000-0000-0000031A0000}"/>
    <cellStyle name="20% - Accent3 2 10 5" xfId="19935" xr:uid="{00000000-0005-0000-0000-0000041A0000}"/>
    <cellStyle name="20% - Accent3 2 10 6" xfId="29660" xr:uid="{00000000-0005-0000-0000-0000051A0000}"/>
    <cellStyle name="20% - Accent3 2 10 7" xfId="39385" xr:uid="{00000000-0005-0000-0000-0000061A0000}"/>
    <cellStyle name="20% - Accent3 2 10 8" xfId="10210" xr:uid="{00000000-0005-0000-0000-0000071A0000}"/>
    <cellStyle name="20% - Accent3 2 11" xfId="1653" xr:uid="{00000000-0005-0000-0000-0000081A0000}"/>
    <cellStyle name="20% - Accent3 2 11 2" xfId="3274" xr:uid="{00000000-0005-0000-0000-0000091A0000}"/>
    <cellStyle name="20% - Accent3 2 11 2 2" xfId="8136" xr:uid="{00000000-0005-0000-0000-00000A1A0000}"/>
    <cellStyle name="20% - Accent3 2 11 2 2 2" xfId="27587" xr:uid="{00000000-0005-0000-0000-00000B1A0000}"/>
    <cellStyle name="20% - Accent3 2 11 2 2 3" xfId="37312" xr:uid="{00000000-0005-0000-0000-00000C1A0000}"/>
    <cellStyle name="20% - Accent3 2 11 2 2 4" xfId="47037" xr:uid="{00000000-0005-0000-0000-00000D1A0000}"/>
    <cellStyle name="20% - Accent3 2 11 2 2 5" xfId="17862" xr:uid="{00000000-0005-0000-0000-00000E1A0000}"/>
    <cellStyle name="20% - Accent3 2 11 2 3" xfId="22725" xr:uid="{00000000-0005-0000-0000-00000F1A0000}"/>
    <cellStyle name="20% - Accent3 2 11 2 4" xfId="32450" xr:uid="{00000000-0005-0000-0000-0000101A0000}"/>
    <cellStyle name="20% - Accent3 2 11 2 5" xfId="42175" xr:uid="{00000000-0005-0000-0000-0000111A0000}"/>
    <cellStyle name="20% - Accent3 2 11 2 6" xfId="13000" xr:uid="{00000000-0005-0000-0000-0000121A0000}"/>
    <cellStyle name="20% - Accent3 2 11 3" xfId="4894" xr:uid="{00000000-0005-0000-0000-0000131A0000}"/>
    <cellStyle name="20% - Accent3 2 11 3 2" xfId="9756" xr:uid="{00000000-0005-0000-0000-0000141A0000}"/>
    <cellStyle name="20% - Accent3 2 11 3 2 2" xfId="29207" xr:uid="{00000000-0005-0000-0000-0000151A0000}"/>
    <cellStyle name="20% - Accent3 2 11 3 2 3" xfId="38932" xr:uid="{00000000-0005-0000-0000-0000161A0000}"/>
    <cellStyle name="20% - Accent3 2 11 3 2 4" xfId="48657" xr:uid="{00000000-0005-0000-0000-0000171A0000}"/>
    <cellStyle name="20% - Accent3 2 11 3 2 5" xfId="19482" xr:uid="{00000000-0005-0000-0000-0000181A0000}"/>
    <cellStyle name="20% - Accent3 2 11 3 3" xfId="24345" xr:uid="{00000000-0005-0000-0000-0000191A0000}"/>
    <cellStyle name="20% - Accent3 2 11 3 4" xfId="34070" xr:uid="{00000000-0005-0000-0000-00001A1A0000}"/>
    <cellStyle name="20% - Accent3 2 11 3 5" xfId="43795" xr:uid="{00000000-0005-0000-0000-00001B1A0000}"/>
    <cellStyle name="20% - Accent3 2 11 3 6" xfId="14620" xr:uid="{00000000-0005-0000-0000-00001C1A0000}"/>
    <cellStyle name="20% - Accent3 2 11 4" xfId="6516" xr:uid="{00000000-0005-0000-0000-00001D1A0000}"/>
    <cellStyle name="20% - Accent3 2 11 4 2" xfId="25967" xr:uid="{00000000-0005-0000-0000-00001E1A0000}"/>
    <cellStyle name="20% - Accent3 2 11 4 3" xfId="35692" xr:uid="{00000000-0005-0000-0000-00001F1A0000}"/>
    <cellStyle name="20% - Accent3 2 11 4 4" xfId="45417" xr:uid="{00000000-0005-0000-0000-0000201A0000}"/>
    <cellStyle name="20% - Accent3 2 11 4 5" xfId="16242" xr:uid="{00000000-0005-0000-0000-0000211A0000}"/>
    <cellStyle name="20% - Accent3 2 11 5" xfId="21105" xr:uid="{00000000-0005-0000-0000-0000221A0000}"/>
    <cellStyle name="20% - Accent3 2 11 6" xfId="30830" xr:uid="{00000000-0005-0000-0000-0000231A0000}"/>
    <cellStyle name="20% - Accent3 2 11 7" xfId="40555" xr:uid="{00000000-0005-0000-0000-0000241A0000}"/>
    <cellStyle name="20% - Accent3 2 11 8" xfId="11380" xr:uid="{00000000-0005-0000-0000-0000251A0000}"/>
    <cellStyle name="20% - Accent3 2 12" xfId="1744" xr:uid="{00000000-0005-0000-0000-0000261A0000}"/>
    <cellStyle name="20% - Accent3 2 12 2" xfId="6606" xr:uid="{00000000-0005-0000-0000-0000271A0000}"/>
    <cellStyle name="20% - Accent3 2 12 2 2" xfId="26057" xr:uid="{00000000-0005-0000-0000-0000281A0000}"/>
    <cellStyle name="20% - Accent3 2 12 2 3" xfId="35782" xr:uid="{00000000-0005-0000-0000-0000291A0000}"/>
    <cellStyle name="20% - Accent3 2 12 2 4" xfId="45507" xr:uid="{00000000-0005-0000-0000-00002A1A0000}"/>
    <cellStyle name="20% - Accent3 2 12 2 5" xfId="16332" xr:uid="{00000000-0005-0000-0000-00002B1A0000}"/>
    <cellStyle name="20% - Accent3 2 12 3" xfId="21195" xr:uid="{00000000-0005-0000-0000-00002C1A0000}"/>
    <cellStyle name="20% - Accent3 2 12 4" xfId="30920" xr:uid="{00000000-0005-0000-0000-00002D1A0000}"/>
    <cellStyle name="20% - Accent3 2 12 5" xfId="40645" xr:uid="{00000000-0005-0000-0000-00002E1A0000}"/>
    <cellStyle name="20% - Accent3 2 12 6" xfId="11470" xr:uid="{00000000-0005-0000-0000-00002F1A0000}"/>
    <cellStyle name="20% - Accent3 2 13" xfId="3364" xr:uid="{00000000-0005-0000-0000-0000301A0000}"/>
    <cellStyle name="20% - Accent3 2 13 2" xfId="8226" xr:uid="{00000000-0005-0000-0000-0000311A0000}"/>
    <cellStyle name="20% - Accent3 2 13 2 2" xfId="27677" xr:uid="{00000000-0005-0000-0000-0000321A0000}"/>
    <cellStyle name="20% - Accent3 2 13 2 3" xfId="37402" xr:uid="{00000000-0005-0000-0000-0000331A0000}"/>
    <cellStyle name="20% - Accent3 2 13 2 4" xfId="47127" xr:uid="{00000000-0005-0000-0000-0000341A0000}"/>
    <cellStyle name="20% - Accent3 2 13 2 5" xfId="17952" xr:uid="{00000000-0005-0000-0000-0000351A0000}"/>
    <cellStyle name="20% - Accent3 2 13 3" xfId="22815" xr:uid="{00000000-0005-0000-0000-0000361A0000}"/>
    <cellStyle name="20% - Accent3 2 13 4" xfId="32540" xr:uid="{00000000-0005-0000-0000-0000371A0000}"/>
    <cellStyle name="20% - Accent3 2 13 5" xfId="42265" xr:uid="{00000000-0005-0000-0000-0000381A0000}"/>
    <cellStyle name="20% - Accent3 2 13 6" xfId="13090" xr:uid="{00000000-0005-0000-0000-0000391A0000}"/>
    <cellStyle name="20% - Accent3 2 14" xfId="4986" xr:uid="{00000000-0005-0000-0000-00003A1A0000}"/>
    <cellStyle name="20% - Accent3 2 14 2" xfId="24437" xr:uid="{00000000-0005-0000-0000-00003B1A0000}"/>
    <cellStyle name="20% - Accent3 2 14 3" xfId="34162" xr:uid="{00000000-0005-0000-0000-00003C1A0000}"/>
    <cellStyle name="20% - Accent3 2 14 4" xfId="43887" xr:uid="{00000000-0005-0000-0000-00003D1A0000}"/>
    <cellStyle name="20% - Accent3 2 14 5" xfId="14712" xr:uid="{00000000-0005-0000-0000-00003E1A0000}"/>
    <cellStyle name="20% - Accent3 2 15" xfId="19575" xr:uid="{00000000-0005-0000-0000-00003F1A0000}"/>
    <cellStyle name="20% - Accent3 2 16" xfId="29300" xr:uid="{00000000-0005-0000-0000-0000401A0000}"/>
    <cellStyle name="20% - Accent3 2 17" xfId="39025" xr:uid="{00000000-0005-0000-0000-0000411A0000}"/>
    <cellStyle name="20% - Accent3 2 18" xfId="9850" xr:uid="{00000000-0005-0000-0000-0000421A0000}"/>
    <cellStyle name="20% - Accent3 2 2" xfId="90" xr:uid="{00000000-0005-0000-0000-0000431A0000}"/>
    <cellStyle name="20% - Accent3 2 2 10" xfId="1774" xr:uid="{00000000-0005-0000-0000-0000441A0000}"/>
    <cellStyle name="20% - Accent3 2 2 10 2" xfId="6636" xr:uid="{00000000-0005-0000-0000-0000451A0000}"/>
    <cellStyle name="20% - Accent3 2 2 10 2 2" xfId="26087" xr:uid="{00000000-0005-0000-0000-0000461A0000}"/>
    <cellStyle name="20% - Accent3 2 2 10 2 3" xfId="35812" xr:uid="{00000000-0005-0000-0000-0000471A0000}"/>
    <cellStyle name="20% - Accent3 2 2 10 2 4" xfId="45537" xr:uid="{00000000-0005-0000-0000-0000481A0000}"/>
    <cellStyle name="20% - Accent3 2 2 10 2 5" xfId="16362" xr:uid="{00000000-0005-0000-0000-0000491A0000}"/>
    <cellStyle name="20% - Accent3 2 2 10 3" xfId="21225" xr:uid="{00000000-0005-0000-0000-00004A1A0000}"/>
    <cellStyle name="20% - Accent3 2 2 10 4" xfId="30950" xr:uid="{00000000-0005-0000-0000-00004B1A0000}"/>
    <cellStyle name="20% - Accent3 2 2 10 5" xfId="40675" xr:uid="{00000000-0005-0000-0000-00004C1A0000}"/>
    <cellStyle name="20% - Accent3 2 2 10 6" xfId="11500" xr:uid="{00000000-0005-0000-0000-00004D1A0000}"/>
    <cellStyle name="20% - Accent3 2 2 11" xfId="3394" xr:uid="{00000000-0005-0000-0000-00004E1A0000}"/>
    <cellStyle name="20% - Accent3 2 2 11 2" xfId="8256" xr:uid="{00000000-0005-0000-0000-00004F1A0000}"/>
    <cellStyle name="20% - Accent3 2 2 11 2 2" xfId="27707" xr:uid="{00000000-0005-0000-0000-0000501A0000}"/>
    <cellStyle name="20% - Accent3 2 2 11 2 3" xfId="37432" xr:uid="{00000000-0005-0000-0000-0000511A0000}"/>
    <cellStyle name="20% - Accent3 2 2 11 2 4" xfId="47157" xr:uid="{00000000-0005-0000-0000-0000521A0000}"/>
    <cellStyle name="20% - Accent3 2 2 11 2 5" xfId="17982" xr:uid="{00000000-0005-0000-0000-0000531A0000}"/>
    <cellStyle name="20% - Accent3 2 2 11 3" xfId="22845" xr:uid="{00000000-0005-0000-0000-0000541A0000}"/>
    <cellStyle name="20% - Accent3 2 2 11 4" xfId="32570" xr:uid="{00000000-0005-0000-0000-0000551A0000}"/>
    <cellStyle name="20% - Accent3 2 2 11 5" xfId="42295" xr:uid="{00000000-0005-0000-0000-0000561A0000}"/>
    <cellStyle name="20% - Accent3 2 2 11 6" xfId="13120" xr:uid="{00000000-0005-0000-0000-0000571A0000}"/>
    <cellStyle name="20% - Accent3 2 2 12" xfId="5016" xr:uid="{00000000-0005-0000-0000-0000581A0000}"/>
    <cellStyle name="20% - Accent3 2 2 12 2" xfId="24467" xr:uid="{00000000-0005-0000-0000-0000591A0000}"/>
    <cellStyle name="20% - Accent3 2 2 12 3" xfId="34192" xr:uid="{00000000-0005-0000-0000-00005A1A0000}"/>
    <cellStyle name="20% - Accent3 2 2 12 4" xfId="43917" xr:uid="{00000000-0005-0000-0000-00005B1A0000}"/>
    <cellStyle name="20% - Accent3 2 2 12 5" xfId="14742" xr:uid="{00000000-0005-0000-0000-00005C1A0000}"/>
    <cellStyle name="20% - Accent3 2 2 13" xfId="19605" xr:uid="{00000000-0005-0000-0000-00005D1A0000}"/>
    <cellStyle name="20% - Accent3 2 2 14" xfId="29330" xr:uid="{00000000-0005-0000-0000-00005E1A0000}"/>
    <cellStyle name="20% - Accent3 2 2 15" xfId="39055" xr:uid="{00000000-0005-0000-0000-00005F1A0000}"/>
    <cellStyle name="20% - Accent3 2 2 16" xfId="9880" xr:uid="{00000000-0005-0000-0000-0000601A0000}"/>
    <cellStyle name="20% - Accent3 2 2 2" xfId="272" xr:uid="{00000000-0005-0000-0000-0000611A0000}"/>
    <cellStyle name="20% - Accent3 2 2 2 10" xfId="39235" xr:uid="{00000000-0005-0000-0000-0000621A0000}"/>
    <cellStyle name="20% - Accent3 2 2 2 11" xfId="10060" xr:uid="{00000000-0005-0000-0000-0000631A0000}"/>
    <cellStyle name="20% - Accent3 2 2 2 2" xfId="1036" xr:uid="{00000000-0005-0000-0000-0000641A0000}"/>
    <cellStyle name="20% - Accent3 2 2 2 2 2" xfId="2674" xr:uid="{00000000-0005-0000-0000-0000651A0000}"/>
    <cellStyle name="20% - Accent3 2 2 2 2 2 2" xfId="7536" xr:uid="{00000000-0005-0000-0000-0000661A0000}"/>
    <cellStyle name="20% - Accent3 2 2 2 2 2 2 2" xfId="26987" xr:uid="{00000000-0005-0000-0000-0000671A0000}"/>
    <cellStyle name="20% - Accent3 2 2 2 2 2 2 3" xfId="36712" xr:uid="{00000000-0005-0000-0000-0000681A0000}"/>
    <cellStyle name="20% - Accent3 2 2 2 2 2 2 4" xfId="46437" xr:uid="{00000000-0005-0000-0000-0000691A0000}"/>
    <cellStyle name="20% - Accent3 2 2 2 2 2 2 5" xfId="17262" xr:uid="{00000000-0005-0000-0000-00006A1A0000}"/>
    <cellStyle name="20% - Accent3 2 2 2 2 2 3" xfId="22125" xr:uid="{00000000-0005-0000-0000-00006B1A0000}"/>
    <cellStyle name="20% - Accent3 2 2 2 2 2 4" xfId="31850" xr:uid="{00000000-0005-0000-0000-00006C1A0000}"/>
    <cellStyle name="20% - Accent3 2 2 2 2 2 5" xfId="41575" xr:uid="{00000000-0005-0000-0000-00006D1A0000}"/>
    <cellStyle name="20% - Accent3 2 2 2 2 2 6" xfId="12400" xr:uid="{00000000-0005-0000-0000-00006E1A0000}"/>
    <cellStyle name="20% - Accent3 2 2 2 2 3" xfId="4294" xr:uid="{00000000-0005-0000-0000-00006F1A0000}"/>
    <cellStyle name="20% - Accent3 2 2 2 2 3 2" xfId="9156" xr:uid="{00000000-0005-0000-0000-0000701A0000}"/>
    <cellStyle name="20% - Accent3 2 2 2 2 3 2 2" xfId="28607" xr:uid="{00000000-0005-0000-0000-0000711A0000}"/>
    <cellStyle name="20% - Accent3 2 2 2 2 3 2 3" xfId="38332" xr:uid="{00000000-0005-0000-0000-0000721A0000}"/>
    <cellStyle name="20% - Accent3 2 2 2 2 3 2 4" xfId="48057" xr:uid="{00000000-0005-0000-0000-0000731A0000}"/>
    <cellStyle name="20% - Accent3 2 2 2 2 3 2 5" xfId="18882" xr:uid="{00000000-0005-0000-0000-0000741A0000}"/>
    <cellStyle name="20% - Accent3 2 2 2 2 3 3" xfId="23745" xr:uid="{00000000-0005-0000-0000-0000751A0000}"/>
    <cellStyle name="20% - Accent3 2 2 2 2 3 4" xfId="33470" xr:uid="{00000000-0005-0000-0000-0000761A0000}"/>
    <cellStyle name="20% - Accent3 2 2 2 2 3 5" xfId="43195" xr:uid="{00000000-0005-0000-0000-0000771A0000}"/>
    <cellStyle name="20% - Accent3 2 2 2 2 3 6" xfId="14020" xr:uid="{00000000-0005-0000-0000-0000781A0000}"/>
    <cellStyle name="20% - Accent3 2 2 2 2 4" xfId="5916" xr:uid="{00000000-0005-0000-0000-0000791A0000}"/>
    <cellStyle name="20% - Accent3 2 2 2 2 4 2" xfId="25367" xr:uid="{00000000-0005-0000-0000-00007A1A0000}"/>
    <cellStyle name="20% - Accent3 2 2 2 2 4 3" xfId="35092" xr:uid="{00000000-0005-0000-0000-00007B1A0000}"/>
    <cellStyle name="20% - Accent3 2 2 2 2 4 4" xfId="44817" xr:uid="{00000000-0005-0000-0000-00007C1A0000}"/>
    <cellStyle name="20% - Accent3 2 2 2 2 4 5" xfId="15642" xr:uid="{00000000-0005-0000-0000-00007D1A0000}"/>
    <cellStyle name="20% - Accent3 2 2 2 2 5" xfId="20505" xr:uid="{00000000-0005-0000-0000-00007E1A0000}"/>
    <cellStyle name="20% - Accent3 2 2 2 2 6" xfId="30230" xr:uid="{00000000-0005-0000-0000-00007F1A0000}"/>
    <cellStyle name="20% - Accent3 2 2 2 2 7" xfId="39955" xr:uid="{00000000-0005-0000-0000-0000801A0000}"/>
    <cellStyle name="20% - Accent3 2 2 2 2 8" xfId="10780" xr:uid="{00000000-0005-0000-0000-0000811A0000}"/>
    <cellStyle name="20% - Accent3 2 2 2 3" xfId="1503" xr:uid="{00000000-0005-0000-0000-0000821A0000}"/>
    <cellStyle name="20% - Accent3 2 2 2 3 2" xfId="3124" xr:uid="{00000000-0005-0000-0000-0000831A0000}"/>
    <cellStyle name="20% - Accent3 2 2 2 3 2 2" xfId="7986" xr:uid="{00000000-0005-0000-0000-0000841A0000}"/>
    <cellStyle name="20% - Accent3 2 2 2 3 2 2 2" xfId="27437" xr:uid="{00000000-0005-0000-0000-0000851A0000}"/>
    <cellStyle name="20% - Accent3 2 2 2 3 2 2 3" xfId="37162" xr:uid="{00000000-0005-0000-0000-0000861A0000}"/>
    <cellStyle name="20% - Accent3 2 2 2 3 2 2 4" xfId="46887" xr:uid="{00000000-0005-0000-0000-0000871A0000}"/>
    <cellStyle name="20% - Accent3 2 2 2 3 2 2 5" xfId="17712" xr:uid="{00000000-0005-0000-0000-0000881A0000}"/>
    <cellStyle name="20% - Accent3 2 2 2 3 2 3" xfId="22575" xr:uid="{00000000-0005-0000-0000-0000891A0000}"/>
    <cellStyle name="20% - Accent3 2 2 2 3 2 4" xfId="32300" xr:uid="{00000000-0005-0000-0000-00008A1A0000}"/>
    <cellStyle name="20% - Accent3 2 2 2 3 2 5" xfId="42025" xr:uid="{00000000-0005-0000-0000-00008B1A0000}"/>
    <cellStyle name="20% - Accent3 2 2 2 3 2 6" xfId="12850" xr:uid="{00000000-0005-0000-0000-00008C1A0000}"/>
    <cellStyle name="20% - Accent3 2 2 2 3 3" xfId="4744" xr:uid="{00000000-0005-0000-0000-00008D1A0000}"/>
    <cellStyle name="20% - Accent3 2 2 2 3 3 2" xfId="9606" xr:uid="{00000000-0005-0000-0000-00008E1A0000}"/>
    <cellStyle name="20% - Accent3 2 2 2 3 3 2 2" xfId="29057" xr:uid="{00000000-0005-0000-0000-00008F1A0000}"/>
    <cellStyle name="20% - Accent3 2 2 2 3 3 2 3" xfId="38782" xr:uid="{00000000-0005-0000-0000-0000901A0000}"/>
    <cellStyle name="20% - Accent3 2 2 2 3 3 2 4" xfId="48507" xr:uid="{00000000-0005-0000-0000-0000911A0000}"/>
    <cellStyle name="20% - Accent3 2 2 2 3 3 2 5" xfId="19332" xr:uid="{00000000-0005-0000-0000-0000921A0000}"/>
    <cellStyle name="20% - Accent3 2 2 2 3 3 3" xfId="24195" xr:uid="{00000000-0005-0000-0000-0000931A0000}"/>
    <cellStyle name="20% - Accent3 2 2 2 3 3 4" xfId="33920" xr:uid="{00000000-0005-0000-0000-0000941A0000}"/>
    <cellStyle name="20% - Accent3 2 2 2 3 3 5" xfId="43645" xr:uid="{00000000-0005-0000-0000-0000951A0000}"/>
    <cellStyle name="20% - Accent3 2 2 2 3 3 6" xfId="14470" xr:uid="{00000000-0005-0000-0000-0000961A0000}"/>
    <cellStyle name="20% - Accent3 2 2 2 3 4" xfId="6366" xr:uid="{00000000-0005-0000-0000-0000971A0000}"/>
    <cellStyle name="20% - Accent3 2 2 2 3 4 2" xfId="25817" xr:uid="{00000000-0005-0000-0000-0000981A0000}"/>
    <cellStyle name="20% - Accent3 2 2 2 3 4 3" xfId="35542" xr:uid="{00000000-0005-0000-0000-0000991A0000}"/>
    <cellStyle name="20% - Accent3 2 2 2 3 4 4" xfId="45267" xr:uid="{00000000-0005-0000-0000-00009A1A0000}"/>
    <cellStyle name="20% - Accent3 2 2 2 3 4 5" xfId="16092" xr:uid="{00000000-0005-0000-0000-00009B1A0000}"/>
    <cellStyle name="20% - Accent3 2 2 2 3 5" xfId="20955" xr:uid="{00000000-0005-0000-0000-00009C1A0000}"/>
    <cellStyle name="20% - Accent3 2 2 2 3 6" xfId="30680" xr:uid="{00000000-0005-0000-0000-00009D1A0000}"/>
    <cellStyle name="20% - Accent3 2 2 2 3 7" xfId="40405" xr:uid="{00000000-0005-0000-0000-00009E1A0000}"/>
    <cellStyle name="20% - Accent3 2 2 2 3 8" xfId="11230" xr:uid="{00000000-0005-0000-0000-00009F1A0000}"/>
    <cellStyle name="20% - Accent3 2 2 2 4" xfId="674" xr:uid="{00000000-0005-0000-0000-0000A01A0000}"/>
    <cellStyle name="20% - Accent3 2 2 2 4 2" xfId="2314" xr:uid="{00000000-0005-0000-0000-0000A11A0000}"/>
    <cellStyle name="20% - Accent3 2 2 2 4 2 2" xfId="7176" xr:uid="{00000000-0005-0000-0000-0000A21A0000}"/>
    <cellStyle name="20% - Accent3 2 2 2 4 2 2 2" xfId="26627" xr:uid="{00000000-0005-0000-0000-0000A31A0000}"/>
    <cellStyle name="20% - Accent3 2 2 2 4 2 2 3" xfId="36352" xr:uid="{00000000-0005-0000-0000-0000A41A0000}"/>
    <cellStyle name="20% - Accent3 2 2 2 4 2 2 4" xfId="46077" xr:uid="{00000000-0005-0000-0000-0000A51A0000}"/>
    <cellStyle name="20% - Accent3 2 2 2 4 2 2 5" xfId="16902" xr:uid="{00000000-0005-0000-0000-0000A61A0000}"/>
    <cellStyle name="20% - Accent3 2 2 2 4 2 3" xfId="21765" xr:uid="{00000000-0005-0000-0000-0000A71A0000}"/>
    <cellStyle name="20% - Accent3 2 2 2 4 2 4" xfId="31490" xr:uid="{00000000-0005-0000-0000-0000A81A0000}"/>
    <cellStyle name="20% - Accent3 2 2 2 4 2 5" xfId="41215" xr:uid="{00000000-0005-0000-0000-0000A91A0000}"/>
    <cellStyle name="20% - Accent3 2 2 2 4 2 6" xfId="12040" xr:uid="{00000000-0005-0000-0000-0000AA1A0000}"/>
    <cellStyle name="20% - Accent3 2 2 2 4 3" xfId="3934" xr:uid="{00000000-0005-0000-0000-0000AB1A0000}"/>
    <cellStyle name="20% - Accent3 2 2 2 4 3 2" xfId="8796" xr:uid="{00000000-0005-0000-0000-0000AC1A0000}"/>
    <cellStyle name="20% - Accent3 2 2 2 4 3 2 2" xfId="28247" xr:uid="{00000000-0005-0000-0000-0000AD1A0000}"/>
    <cellStyle name="20% - Accent3 2 2 2 4 3 2 3" xfId="37972" xr:uid="{00000000-0005-0000-0000-0000AE1A0000}"/>
    <cellStyle name="20% - Accent3 2 2 2 4 3 2 4" xfId="47697" xr:uid="{00000000-0005-0000-0000-0000AF1A0000}"/>
    <cellStyle name="20% - Accent3 2 2 2 4 3 2 5" xfId="18522" xr:uid="{00000000-0005-0000-0000-0000B01A0000}"/>
    <cellStyle name="20% - Accent3 2 2 2 4 3 3" xfId="23385" xr:uid="{00000000-0005-0000-0000-0000B11A0000}"/>
    <cellStyle name="20% - Accent3 2 2 2 4 3 4" xfId="33110" xr:uid="{00000000-0005-0000-0000-0000B21A0000}"/>
    <cellStyle name="20% - Accent3 2 2 2 4 3 5" xfId="42835" xr:uid="{00000000-0005-0000-0000-0000B31A0000}"/>
    <cellStyle name="20% - Accent3 2 2 2 4 3 6" xfId="13660" xr:uid="{00000000-0005-0000-0000-0000B41A0000}"/>
    <cellStyle name="20% - Accent3 2 2 2 4 4" xfId="5556" xr:uid="{00000000-0005-0000-0000-0000B51A0000}"/>
    <cellStyle name="20% - Accent3 2 2 2 4 4 2" xfId="25007" xr:uid="{00000000-0005-0000-0000-0000B61A0000}"/>
    <cellStyle name="20% - Accent3 2 2 2 4 4 3" xfId="34732" xr:uid="{00000000-0005-0000-0000-0000B71A0000}"/>
    <cellStyle name="20% - Accent3 2 2 2 4 4 4" xfId="44457" xr:uid="{00000000-0005-0000-0000-0000B81A0000}"/>
    <cellStyle name="20% - Accent3 2 2 2 4 4 5" xfId="15282" xr:uid="{00000000-0005-0000-0000-0000B91A0000}"/>
    <cellStyle name="20% - Accent3 2 2 2 4 5" xfId="20145" xr:uid="{00000000-0005-0000-0000-0000BA1A0000}"/>
    <cellStyle name="20% - Accent3 2 2 2 4 6" xfId="29870" xr:uid="{00000000-0005-0000-0000-0000BB1A0000}"/>
    <cellStyle name="20% - Accent3 2 2 2 4 7" xfId="39595" xr:uid="{00000000-0005-0000-0000-0000BC1A0000}"/>
    <cellStyle name="20% - Accent3 2 2 2 4 8" xfId="10420" xr:uid="{00000000-0005-0000-0000-0000BD1A0000}"/>
    <cellStyle name="20% - Accent3 2 2 2 5" xfId="1954" xr:uid="{00000000-0005-0000-0000-0000BE1A0000}"/>
    <cellStyle name="20% - Accent3 2 2 2 5 2" xfId="6816" xr:uid="{00000000-0005-0000-0000-0000BF1A0000}"/>
    <cellStyle name="20% - Accent3 2 2 2 5 2 2" xfId="26267" xr:uid="{00000000-0005-0000-0000-0000C01A0000}"/>
    <cellStyle name="20% - Accent3 2 2 2 5 2 3" xfId="35992" xr:uid="{00000000-0005-0000-0000-0000C11A0000}"/>
    <cellStyle name="20% - Accent3 2 2 2 5 2 4" xfId="45717" xr:uid="{00000000-0005-0000-0000-0000C21A0000}"/>
    <cellStyle name="20% - Accent3 2 2 2 5 2 5" xfId="16542" xr:uid="{00000000-0005-0000-0000-0000C31A0000}"/>
    <cellStyle name="20% - Accent3 2 2 2 5 3" xfId="21405" xr:uid="{00000000-0005-0000-0000-0000C41A0000}"/>
    <cellStyle name="20% - Accent3 2 2 2 5 4" xfId="31130" xr:uid="{00000000-0005-0000-0000-0000C51A0000}"/>
    <cellStyle name="20% - Accent3 2 2 2 5 5" xfId="40855" xr:uid="{00000000-0005-0000-0000-0000C61A0000}"/>
    <cellStyle name="20% - Accent3 2 2 2 5 6" xfId="11680" xr:uid="{00000000-0005-0000-0000-0000C71A0000}"/>
    <cellStyle name="20% - Accent3 2 2 2 6" xfId="3574" xr:uid="{00000000-0005-0000-0000-0000C81A0000}"/>
    <cellStyle name="20% - Accent3 2 2 2 6 2" xfId="8436" xr:uid="{00000000-0005-0000-0000-0000C91A0000}"/>
    <cellStyle name="20% - Accent3 2 2 2 6 2 2" xfId="27887" xr:uid="{00000000-0005-0000-0000-0000CA1A0000}"/>
    <cellStyle name="20% - Accent3 2 2 2 6 2 3" xfId="37612" xr:uid="{00000000-0005-0000-0000-0000CB1A0000}"/>
    <cellStyle name="20% - Accent3 2 2 2 6 2 4" xfId="47337" xr:uid="{00000000-0005-0000-0000-0000CC1A0000}"/>
    <cellStyle name="20% - Accent3 2 2 2 6 2 5" xfId="18162" xr:uid="{00000000-0005-0000-0000-0000CD1A0000}"/>
    <cellStyle name="20% - Accent3 2 2 2 6 3" xfId="23025" xr:uid="{00000000-0005-0000-0000-0000CE1A0000}"/>
    <cellStyle name="20% - Accent3 2 2 2 6 4" xfId="32750" xr:uid="{00000000-0005-0000-0000-0000CF1A0000}"/>
    <cellStyle name="20% - Accent3 2 2 2 6 5" xfId="42475" xr:uid="{00000000-0005-0000-0000-0000D01A0000}"/>
    <cellStyle name="20% - Accent3 2 2 2 6 6" xfId="13300" xr:uid="{00000000-0005-0000-0000-0000D11A0000}"/>
    <cellStyle name="20% - Accent3 2 2 2 7" xfId="5196" xr:uid="{00000000-0005-0000-0000-0000D21A0000}"/>
    <cellStyle name="20% - Accent3 2 2 2 7 2" xfId="24647" xr:uid="{00000000-0005-0000-0000-0000D31A0000}"/>
    <cellStyle name="20% - Accent3 2 2 2 7 3" xfId="34372" xr:uid="{00000000-0005-0000-0000-0000D41A0000}"/>
    <cellStyle name="20% - Accent3 2 2 2 7 4" xfId="44097" xr:uid="{00000000-0005-0000-0000-0000D51A0000}"/>
    <cellStyle name="20% - Accent3 2 2 2 7 5" xfId="14922" xr:uid="{00000000-0005-0000-0000-0000D61A0000}"/>
    <cellStyle name="20% - Accent3 2 2 2 8" xfId="19785" xr:uid="{00000000-0005-0000-0000-0000D71A0000}"/>
    <cellStyle name="20% - Accent3 2 2 2 9" xfId="29510" xr:uid="{00000000-0005-0000-0000-0000D81A0000}"/>
    <cellStyle name="20% - Accent3 2 2 3" xfId="363" xr:uid="{00000000-0005-0000-0000-0000D91A0000}"/>
    <cellStyle name="20% - Accent3 2 2 3 10" xfId="39325" xr:uid="{00000000-0005-0000-0000-0000DA1A0000}"/>
    <cellStyle name="20% - Accent3 2 2 3 11" xfId="10150" xr:uid="{00000000-0005-0000-0000-0000DB1A0000}"/>
    <cellStyle name="20% - Accent3 2 2 3 2" xfId="1126" xr:uid="{00000000-0005-0000-0000-0000DC1A0000}"/>
    <cellStyle name="20% - Accent3 2 2 3 2 2" xfId="2764" xr:uid="{00000000-0005-0000-0000-0000DD1A0000}"/>
    <cellStyle name="20% - Accent3 2 2 3 2 2 2" xfId="7626" xr:uid="{00000000-0005-0000-0000-0000DE1A0000}"/>
    <cellStyle name="20% - Accent3 2 2 3 2 2 2 2" xfId="27077" xr:uid="{00000000-0005-0000-0000-0000DF1A0000}"/>
    <cellStyle name="20% - Accent3 2 2 3 2 2 2 3" xfId="36802" xr:uid="{00000000-0005-0000-0000-0000E01A0000}"/>
    <cellStyle name="20% - Accent3 2 2 3 2 2 2 4" xfId="46527" xr:uid="{00000000-0005-0000-0000-0000E11A0000}"/>
    <cellStyle name="20% - Accent3 2 2 3 2 2 2 5" xfId="17352" xr:uid="{00000000-0005-0000-0000-0000E21A0000}"/>
    <cellStyle name="20% - Accent3 2 2 3 2 2 3" xfId="22215" xr:uid="{00000000-0005-0000-0000-0000E31A0000}"/>
    <cellStyle name="20% - Accent3 2 2 3 2 2 4" xfId="31940" xr:uid="{00000000-0005-0000-0000-0000E41A0000}"/>
    <cellStyle name="20% - Accent3 2 2 3 2 2 5" xfId="41665" xr:uid="{00000000-0005-0000-0000-0000E51A0000}"/>
    <cellStyle name="20% - Accent3 2 2 3 2 2 6" xfId="12490" xr:uid="{00000000-0005-0000-0000-0000E61A0000}"/>
    <cellStyle name="20% - Accent3 2 2 3 2 3" xfId="4384" xr:uid="{00000000-0005-0000-0000-0000E71A0000}"/>
    <cellStyle name="20% - Accent3 2 2 3 2 3 2" xfId="9246" xr:uid="{00000000-0005-0000-0000-0000E81A0000}"/>
    <cellStyle name="20% - Accent3 2 2 3 2 3 2 2" xfId="28697" xr:uid="{00000000-0005-0000-0000-0000E91A0000}"/>
    <cellStyle name="20% - Accent3 2 2 3 2 3 2 3" xfId="38422" xr:uid="{00000000-0005-0000-0000-0000EA1A0000}"/>
    <cellStyle name="20% - Accent3 2 2 3 2 3 2 4" xfId="48147" xr:uid="{00000000-0005-0000-0000-0000EB1A0000}"/>
    <cellStyle name="20% - Accent3 2 2 3 2 3 2 5" xfId="18972" xr:uid="{00000000-0005-0000-0000-0000EC1A0000}"/>
    <cellStyle name="20% - Accent3 2 2 3 2 3 3" xfId="23835" xr:uid="{00000000-0005-0000-0000-0000ED1A0000}"/>
    <cellStyle name="20% - Accent3 2 2 3 2 3 4" xfId="33560" xr:uid="{00000000-0005-0000-0000-0000EE1A0000}"/>
    <cellStyle name="20% - Accent3 2 2 3 2 3 5" xfId="43285" xr:uid="{00000000-0005-0000-0000-0000EF1A0000}"/>
    <cellStyle name="20% - Accent3 2 2 3 2 3 6" xfId="14110" xr:uid="{00000000-0005-0000-0000-0000F01A0000}"/>
    <cellStyle name="20% - Accent3 2 2 3 2 4" xfId="6006" xr:uid="{00000000-0005-0000-0000-0000F11A0000}"/>
    <cellStyle name="20% - Accent3 2 2 3 2 4 2" xfId="25457" xr:uid="{00000000-0005-0000-0000-0000F21A0000}"/>
    <cellStyle name="20% - Accent3 2 2 3 2 4 3" xfId="35182" xr:uid="{00000000-0005-0000-0000-0000F31A0000}"/>
    <cellStyle name="20% - Accent3 2 2 3 2 4 4" xfId="44907" xr:uid="{00000000-0005-0000-0000-0000F41A0000}"/>
    <cellStyle name="20% - Accent3 2 2 3 2 4 5" xfId="15732" xr:uid="{00000000-0005-0000-0000-0000F51A0000}"/>
    <cellStyle name="20% - Accent3 2 2 3 2 5" xfId="20595" xr:uid="{00000000-0005-0000-0000-0000F61A0000}"/>
    <cellStyle name="20% - Accent3 2 2 3 2 6" xfId="30320" xr:uid="{00000000-0005-0000-0000-0000F71A0000}"/>
    <cellStyle name="20% - Accent3 2 2 3 2 7" xfId="40045" xr:uid="{00000000-0005-0000-0000-0000F81A0000}"/>
    <cellStyle name="20% - Accent3 2 2 3 2 8" xfId="10870" xr:uid="{00000000-0005-0000-0000-0000F91A0000}"/>
    <cellStyle name="20% - Accent3 2 2 3 3" xfId="1593" xr:uid="{00000000-0005-0000-0000-0000FA1A0000}"/>
    <cellStyle name="20% - Accent3 2 2 3 3 2" xfId="3214" xr:uid="{00000000-0005-0000-0000-0000FB1A0000}"/>
    <cellStyle name="20% - Accent3 2 2 3 3 2 2" xfId="8076" xr:uid="{00000000-0005-0000-0000-0000FC1A0000}"/>
    <cellStyle name="20% - Accent3 2 2 3 3 2 2 2" xfId="27527" xr:uid="{00000000-0005-0000-0000-0000FD1A0000}"/>
    <cellStyle name="20% - Accent3 2 2 3 3 2 2 3" xfId="37252" xr:uid="{00000000-0005-0000-0000-0000FE1A0000}"/>
    <cellStyle name="20% - Accent3 2 2 3 3 2 2 4" xfId="46977" xr:uid="{00000000-0005-0000-0000-0000FF1A0000}"/>
    <cellStyle name="20% - Accent3 2 2 3 3 2 2 5" xfId="17802" xr:uid="{00000000-0005-0000-0000-0000001B0000}"/>
    <cellStyle name="20% - Accent3 2 2 3 3 2 3" xfId="22665" xr:uid="{00000000-0005-0000-0000-0000011B0000}"/>
    <cellStyle name="20% - Accent3 2 2 3 3 2 4" xfId="32390" xr:uid="{00000000-0005-0000-0000-0000021B0000}"/>
    <cellStyle name="20% - Accent3 2 2 3 3 2 5" xfId="42115" xr:uid="{00000000-0005-0000-0000-0000031B0000}"/>
    <cellStyle name="20% - Accent3 2 2 3 3 2 6" xfId="12940" xr:uid="{00000000-0005-0000-0000-0000041B0000}"/>
    <cellStyle name="20% - Accent3 2 2 3 3 3" xfId="4834" xr:uid="{00000000-0005-0000-0000-0000051B0000}"/>
    <cellStyle name="20% - Accent3 2 2 3 3 3 2" xfId="9696" xr:uid="{00000000-0005-0000-0000-0000061B0000}"/>
    <cellStyle name="20% - Accent3 2 2 3 3 3 2 2" xfId="29147" xr:uid="{00000000-0005-0000-0000-0000071B0000}"/>
    <cellStyle name="20% - Accent3 2 2 3 3 3 2 3" xfId="38872" xr:uid="{00000000-0005-0000-0000-0000081B0000}"/>
    <cellStyle name="20% - Accent3 2 2 3 3 3 2 4" xfId="48597" xr:uid="{00000000-0005-0000-0000-0000091B0000}"/>
    <cellStyle name="20% - Accent3 2 2 3 3 3 2 5" xfId="19422" xr:uid="{00000000-0005-0000-0000-00000A1B0000}"/>
    <cellStyle name="20% - Accent3 2 2 3 3 3 3" xfId="24285" xr:uid="{00000000-0005-0000-0000-00000B1B0000}"/>
    <cellStyle name="20% - Accent3 2 2 3 3 3 4" xfId="34010" xr:uid="{00000000-0005-0000-0000-00000C1B0000}"/>
    <cellStyle name="20% - Accent3 2 2 3 3 3 5" xfId="43735" xr:uid="{00000000-0005-0000-0000-00000D1B0000}"/>
    <cellStyle name="20% - Accent3 2 2 3 3 3 6" xfId="14560" xr:uid="{00000000-0005-0000-0000-00000E1B0000}"/>
    <cellStyle name="20% - Accent3 2 2 3 3 4" xfId="6456" xr:uid="{00000000-0005-0000-0000-00000F1B0000}"/>
    <cellStyle name="20% - Accent3 2 2 3 3 4 2" xfId="25907" xr:uid="{00000000-0005-0000-0000-0000101B0000}"/>
    <cellStyle name="20% - Accent3 2 2 3 3 4 3" xfId="35632" xr:uid="{00000000-0005-0000-0000-0000111B0000}"/>
    <cellStyle name="20% - Accent3 2 2 3 3 4 4" xfId="45357" xr:uid="{00000000-0005-0000-0000-0000121B0000}"/>
    <cellStyle name="20% - Accent3 2 2 3 3 4 5" xfId="16182" xr:uid="{00000000-0005-0000-0000-0000131B0000}"/>
    <cellStyle name="20% - Accent3 2 2 3 3 5" xfId="21045" xr:uid="{00000000-0005-0000-0000-0000141B0000}"/>
    <cellStyle name="20% - Accent3 2 2 3 3 6" xfId="30770" xr:uid="{00000000-0005-0000-0000-0000151B0000}"/>
    <cellStyle name="20% - Accent3 2 2 3 3 7" xfId="40495" xr:uid="{00000000-0005-0000-0000-0000161B0000}"/>
    <cellStyle name="20% - Accent3 2 2 3 3 8" xfId="11320" xr:uid="{00000000-0005-0000-0000-0000171B0000}"/>
    <cellStyle name="20% - Accent3 2 2 3 4" xfId="764" xr:uid="{00000000-0005-0000-0000-0000181B0000}"/>
    <cellStyle name="20% - Accent3 2 2 3 4 2" xfId="2404" xr:uid="{00000000-0005-0000-0000-0000191B0000}"/>
    <cellStyle name="20% - Accent3 2 2 3 4 2 2" xfId="7266" xr:uid="{00000000-0005-0000-0000-00001A1B0000}"/>
    <cellStyle name="20% - Accent3 2 2 3 4 2 2 2" xfId="26717" xr:uid="{00000000-0005-0000-0000-00001B1B0000}"/>
    <cellStyle name="20% - Accent3 2 2 3 4 2 2 3" xfId="36442" xr:uid="{00000000-0005-0000-0000-00001C1B0000}"/>
    <cellStyle name="20% - Accent3 2 2 3 4 2 2 4" xfId="46167" xr:uid="{00000000-0005-0000-0000-00001D1B0000}"/>
    <cellStyle name="20% - Accent3 2 2 3 4 2 2 5" xfId="16992" xr:uid="{00000000-0005-0000-0000-00001E1B0000}"/>
    <cellStyle name="20% - Accent3 2 2 3 4 2 3" xfId="21855" xr:uid="{00000000-0005-0000-0000-00001F1B0000}"/>
    <cellStyle name="20% - Accent3 2 2 3 4 2 4" xfId="31580" xr:uid="{00000000-0005-0000-0000-0000201B0000}"/>
    <cellStyle name="20% - Accent3 2 2 3 4 2 5" xfId="41305" xr:uid="{00000000-0005-0000-0000-0000211B0000}"/>
    <cellStyle name="20% - Accent3 2 2 3 4 2 6" xfId="12130" xr:uid="{00000000-0005-0000-0000-0000221B0000}"/>
    <cellStyle name="20% - Accent3 2 2 3 4 3" xfId="4024" xr:uid="{00000000-0005-0000-0000-0000231B0000}"/>
    <cellStyle name="20% - Accent3 2 2 3 4 3 2" xfId="8886" xr:uid="{00000000-0005-0000-0000-0000241B0000}"/>
    <cellStyle name="20% - Accent3 2 2 3 4 3 2 2" xfId="28337" xr:uid="{00000000-0005-0000-0000-0000251B0000}"/>
    <cellStyle name="20% - Accent3 2 2 3 4 3 2 3" xfId="38062" xr:uid="{00000000-0005-0000-0000-0000261B0000}"/>
    <cellStyle name="20% - Accent3 2 2 3 4 3 2 4" xfId="47787" xr:uid="{00000000-0005-0000-0000-0000271B0000}"/>
    <cellStyle name="20% - Accent3 2 2 3 4 3 2 5" xfId="18612" xr:uid="{00000000-0005-0000-0000-0000281B0000}"/>
    <cellStyle name="20% - Accent3 2 2 3 4 3 3" xfId="23475" xr:uid="{00000000-0005-0000-0000-0000291B0000}"/>
    <cellStyle name="20% - Accent3 2 2 3 4 3 4" xfId="33200" xr:uid="{00000000-0005-0000-0000-00002A1B0000}"/>
    <cellStyle name="20% - Accent3 2 2 3 4 3 5" xfId="42925" xr:uid="{00000000-0005-0000-0000-00002B1B0000}"/>
    <cellStyle name="20% - Accent3 2 2 3 4 3 6" xfId="13750" xr:uid="{00000000-0005-0000-0000-00002C1B0000}"/>
    <cellStyle name="20% - Accent3 2 2 3 4 4" xfId="5646" xr:uid="{00000000-0005-0000-0000-00002D1B0000}"/>
    <cellStyle name="20% - Accent3 2 2 3 4 4 2" xfId="25097" xr:uid="{00000000-0005-0000-0000-00002E1B0000}"/>
    <cellStyle name="20% - Accent3 2 2 3 4 4 3" xfId="34822" xr:uid="{00000000-0005-0000-0000-00002F1B0000}"/>
    <cellStyle name="20% - Accent3 2 2 3 4 4 4" xfId="44547" xr:uid="{00000000-0005-0000-0000-0000301B0000}"/>
    <cellStyle name="20% - Accent3 2 2 3 4 4 5" xfId="15372" xr:uid="{00000000-0005-0000-0000-0000311B0000}"/>
    <cellStyle name="20% - Accent3 2 2 3 4 5" xfId="20235" xr:uid="{00000000-0005-0000-0000-0000321B0000}"/>
    <cellStyle name="20% - Accent3 2 2 3 4 6" xfId="29960" xr:uid="{00000000-0005-0000-0000-0000331B0000}"/>
    <cellStyle name="20% - Accent3 2 2 3 4 7" xfId="39685" xr:uid="{00000000-0005-0000-0000-0000341B0000}"/>
    <cellStyle name="20% - Accent3 2 2 3 4 8" xfId="10510" xr:uid="{00000000-0005-0000-0000-0000351B0000}"/>
    <cellStyle name="20% - Accent3 2 2 3 5" xfId="2044" xr:uid="{00000000-0005-0000-0000-0000361B0000}"/>
    <cellStyle name="20% - Accent3 2 2 3 5 2" xfId="6906" xr:uid="{00000000-0005-0000-0000-0000371B0000}"/>
    <cellStyle name="20% - Accent3 2 2 3 5 2 2" xfId="26357" xr:uid="{00000000-0005-0000-0000-0000381B0000}"/>
    <cellStyle name="20% - Accent3 2 2 3 5 2 3" xfId="36082" xr:uid="{00000000-0005-0000-0000-0000391B0000}"/>
    <cellStyle name="20% - Accent3 2 2 3 5 2 4" xfId="45807" xr:uid="{00000000-0005-0000-0000-00003A1B0000}"/>
    <cellStyle name="20% - Accent3 2 2 3 5 2 5" xfId="16632" xr:uid="{00000000-0005-0000-0000-00003B1B0000}"/>
    <cellStyle name="20% - Accent3 2 2 3 5 3" xfId="21495" xr:uid="{00000000-0005-0000-0000-00003C1B0000}"/>
    <cellStyle name="20% - Accent3 2 2 3 5 4" xfId="31220" xr:uid="{00000000-0005-0000-0000-00003D1B0000}"/>
    <cellStyle name="20% - Accent3 2 2 3 5 5" xfId="40945" xr:uid="{00000000-0005-0000-0000-00003E1B0000}"/>
    <cellStyle name="20% - Accent3 2 2 3 5 6" xfId="11770" xr:uid="{00000000-0005-0000-0000-00003F1B0000}"/>
    <cellStyle name="20% - Accent3 2 2 3 6" xfId="3664" xr:uid="{00000000-0005-0000-0000-0000401B0000}"/>
    <cellStyle name="20% - Accent3 2 2 3 6 2" xfId="8526" xr:uid="{00000000-0005-0000-0000-0000411B0000}"/>
    <cellStyle name="20% - Accent3 2 2 3 6 2 2" xfId="27977" xr:uid="{00000000-0005-0000-0000-0000421B0000}"/>
    <cellStyle name="20% - Accent3 2 2 3 6 2 3" xfId="37702" xr:uid="{00000000-0005-0000-0000-0000431B0000}"/>
    <cellStyle name="20% - Accent3 2 2 3 6 2 4" xfId="47427" xr:uid="{00000000-0005-0000-0000-0000441B0000}"/>
    <cellStyle name="20% - Accent3 2 2 3 6 2 5" xfId="18252" xr:uid="{00000000-0005-0000-0000-0000451B0000}"/>
    <cellStyle name="20% - Accent3 2 2 3 6 3" xfId="23115" xr:uid="{00000000-0005-0000-0000-0000461B0000}"/>
    <cellStyle name="20% - Accent3 2 2 3 6 4" xfId="32840" xr:uid="{00000000-0005-0000-0000-0000471B0000}"/>
    <cellStyle name="20% - Accent3 2 2 3 6 5" xfId="42565" xr:uid="{00000000-0005-0000-0000-0000481B0000}"/>
    <cellStyle name="20% - Accent3 2 2 3 6 6" xfId="13390" xr:uid="{00000000-0005-0000-0000-0000491B0000}"/>
    <cellStyle name="20% - Accent3 2 2 3 7" xfId="5286" xr:uid="{00000000-0005-0000-0000-00004A1B0000}"/>
    <cellStyle name="20% - Accent3 2 2 3 7 2" xfId="24737" xr:uid="{00000000-0005-0000-0000-00004B1B0000}"/>
    <cellStyle name="20% - Accent3 2 2 3 7 3" xfId="34462" xr:uid="{00000000-0005-0000-0000-00004C1B0000}"/>
    <cellStyle name="20% - Accent3 2 2 3 7 4" xfId="44187" xr:uid="{00000000-0005-0000-0000-00004D1B0000}"/>
    <cellStyle name="20% - Accent3 2 2 3 7 5" xfId="15012" xr:uid="{00000000-0005-0000-0000-00004E1B0000}"/>
    <cellStyle name="20% - Accent3 2 2 3 8" xfId="19875" xr:uid="{00000000-0005-0000-0000-00004F1B0000}"/>
    <cellStyle name="20% - Accent3 2 2 3 9" xfId="29600" xr:uid="{00000000-0005-0000-0000-0000501B0000}"/>
    <cellStyle name="20% - Accent3 2 2 4" xfId="181" xr:uid="{00000000-0005-0000-0000-0000511B0000}"/>
    <cellStyle name="20% - Accent3 2 2 4 10" xfId="39145" xr:uid="{00000000-0005-0000-0000-0000521B0000}"/>
    <cellStyle name="20% - Accent3 2 2 4 11" xfId="9970" xr:uid="{00000000-0005-0000-0000-0000531B0000}"/>
    <cellStyle name="20% - Accent3 2 2 4 2" xfId="945" xr:uid="{00000000-0005-0000-0000-0000541B0000}"/>
    <cellStyle name="20% - Accent3 2 2 4 2 2" xfId="2584" xr:uid="{00000000-0005-0000-0000-0000551B0000}"/>
    <cellStyle name="20% - Accent3 2 2 4 2 2 2" xfId="7446" xr:uid="{00000000-0005-0000-0000-0000561B0000}"/>
    <cellStyle name="20% - Accent3 2 2 4 2 2 2 2" xfId="26897" xr:uid="{00000000-0005-0000-0000-0000571B0000}"/>
    <cellStyle name="20% - Accent3 2 2 4 2 2 2 3" xfId="36622" xr:uid="{00000000-0005-0000-0000-0000581B0000}"/>
    <cellStyle name="20% - Accent3 2 2 4 2 2 2 4" xfId="46347" xr:uid="{00000000-0005-0000-0000-0000591B0000}"/>
    <cellStyle name="20% - Accent3 2 2 4 2 2 2 5" xfId="17172" xr:uid="{00000000-0005-0000-0000-00005A1B0000}"/>
    <cellStyle name="20% - Accent3 2 2 4 2 2 3" xfId="22035" xr:uid="{00000000-0005-0000-0000-00005B1B0000}"/>
    <cellStyle name="20% - Accent3 2 2 4 2 2 4" xfId="31760" xr:uid="{00000000-0005-0000-0000-00005C1B0000}"/>
    <cellStyle name="20% - Accent3 2 2 4 2 2 5" xfId="41485" xr:uid="{00000000-0005-0000-0000-00005D1B0000}"/>
    <cellStyle name="20% - Accent3 2 2 4 2 2 6" xfId="12310" xr:uid="{00000000-0005-0000-0000-00005E1B0000}"/>
    <cellStyle name="20% - Accent3 2 2 4 2 3" xfId="4204" xr:uid="{00000000-0005-0000-0000-00005F1B0000}"/>
    <cellStyle name="20% - Accent3 2 2 4 2 3 2" xfId="9066" xr:uid="{00000000-0005-0000-0000-0000601B0000}"/>
    <cellStyle name="20% - Accent3 2 2 4 2 3 2 2" xfId="28517" xr:uid="{00000000-0005-0000-0000-0000611B0000}"/>
    <cellStyle name="20% - Accent3 2 2 4 2 3 2 3" xfId="38242" xr:uid="{00000000-0005-0000-0000-0000621B0000}"/>
    <cellStyle name="20% - Accent3 2 2 4 2 3 2 4" xfId="47967" xr:uid="{00000000-0005-0000-0000-0000631B0000}"/>
    <cellStyle name="20% - Accent3 2 2 4 2 3 2 5" xfId="18792" xr:uid="{00000000-0005-0000-0000-0000641B0000}"/>
    <cellStyle name="20% - Accent3 2 2 4 2 3 3" xfId="23655" xr:uid="{00000000-0005-0000-0000-0000651B0000}"/>
    <cellStyle name="20% - Accent3 2 2 4 2 3 4" xfId="33380" xr:uid="{00000000-0005-0000-0000-0000661B0000}"/>
    <cellStyle name="20% - Accent3 2 2 4 2 3 5" xfId="43105" xr:uid="{00000000-0005-0000-0000-0000671B0000}"/>
    <cellStyle name="20% - Accent3 2 2 4 2 3 6" xfId="13930" xr:uid="{00000000-0005-0000-0000-0000681B0000}"/>
    <cellStyle name="20% - Accent3 2 2 4 2 4" xfId="5826" xr:uid="{00000000-0005-0000-0000-0000691B0000}"/>
    <cellStyle name="20% - Accent3 2 2 4 2 4 2" xfId="25277" xr:uid="{00000000-0005-0000-0000-00006A1B0000}"/>
    <cellStyle name="20% - Accent3 2 2 4 2 4 3" xfId="35002" xr:uid="{00000000-0005-0000-0000-00006B1B0000}"/>
    <cellStyle name="20% - Accent3 2 2 4 2 4 4" xfId="44727" xr:uid="{00000000-0005-0000-0000-00006C1B0000}"/>
    <cellStyle name="20% - Accent3 2 2 4 2 4 5" xfId="15552" xr:uid="{00000000-0005-0000-0000-00006D1B0000}"/>
    <cellStyle name="20% - Accent3 2 2 4 2 5" xfId="20415" xr:uid="{00000000-0005-0000-0000-00006E1B0000}"/>
    <cellStyle name="20% - Accent3 2 2 4 2 6" xfId="30140" xr:uid="{00000000-0005-0000-0000-00006F1B0000}"/>
    <cellStyle name="20% - Accent3 2 2 4 2 7" xfId="39865" xr:uid="{00000000-0005-0000-0000-0000701B0000}"/>
    <cellStyle name="20% - Accent3 2 2 4 2 8" xfId="10690" xr:uid="{00000000-0005-0000-0000-0000711B0000}"/>
    <cellStyle name="20% - Accent3 2 2 4 3" xfId="1413" xr:uid="{00000000-0005-0000-0000-0000721B0000}"/>
    <cellStyle name="20% - Accent3 2 2 4 3 2" xfId="3034" xr:uid="{00000000-0005-0000-0000-0000731B0000}"/>
    <cellStyle name="20% - Accent3 2 2 4 3 2 2" xfId="7896" xr:uid="{00000000-0005-0000-0000-0000741B0000}"/>
    <cellStyle name="20% - Accent3 2 2 4 3 2 2 2" xfId="27347" xr:uid="{00000000-0005-0000-0000-0000751B0000}"/>
    <cellStyle name="20% - Accent3 2 2 4 3 2 2 3" xfId="37072" xr:uid="{00000000-0005-0000-0000-0000761B0000}"/>
    <cellStyle name="20% - Accent3 2 2 4 3 2 2 4" xfId="46797" xr:uid="{00000000-0005-0000-0000-0000771B0000}"/>
    <cellStyle name="20% - Accent3 2 2 4 3 2 2 5" xfId="17622" xr:uid="{00000000-0005-0000-0000-0000781B0000}"/>
    <cellStyle name="20% - Accent3 2 2 4 3 2 3" xfId="22485" xr:uid="{00000000-0005-0000-0000-0000791B0000}"/>
    <cellStyle name="20% - Accent3 2 2 4 3 2 4" xfId="32210" xr:uid="{00000000-0005-0000-0000-00007A1B0000}"/>
    <cellStyle name="20% - Accent3 2 2 4 3 2 5" xfId="41935" xr:uid="{00000000-0005-0000-0000-00007B1B0000}"/>
    <cellStyle name="20% - Accent3 2 2 4 3 2 6" xfId="12760" xr:uid="{00000000-0005-0000-0000-00007C1B0000}"/>
    <cellStyle name="20% - Accent3 2 2 4 3 3" xfId="4654" xr:uid="{00000000-0005-0000-0000-00007D1B0000}"/>
    <cellStyle name="20% - Accent3 2 2 4 3 3 2" xfId="9516" xr:uid="{00000000-0005-0000-0000-00007E1B0000}"/>
    <cellStyle name="20% - Accent3 2 2 4 3 3 2 2" xfId="28967" xr:uid="{00000000-0005-0000-0000-00007F1B0000}"/>
    <cellStyle name="20% - Accent3 2 2 4 3 3 2 3" xfId="38692" xr:uid="{00000000-0005-0000-0000-0000801B0000}"/>
    <cellStyle name="20% - Accent3 2 2 4 3 3 2 4" xfId="48417" xr:uid="{00000000-0005-0000-0000-0000811B0000}"/>
    <cellStyle name="20% - Accent3 2 2 4 3 3 2 5" xfId="19242" xr:uid="{00000000-0005-0000-0000-0000821B0000}"/>
    <cellStyle name="20% - Accent3 2 2 4 3 3 3" xfId="24105" xr:uid="{00000000-0005-0000-0000-0000831B0000}"/>
    <cellStyle name="20% - Accent3 2 2 4 3 3 4" xfId="33830" xr:uid="{00000000-0005-0000-0000-0000841B0000}"/>
    <cellStyle name="20% - Accent3 2 2 4 3 3 5" xfId="43555" xr:uid="{00000000-0005-0000-0000-0000851B0000}"/>
    <cellStyle name="20% - Accent3 2 2 4 3 3 6" xfId="14380" xr:uid="{00000000-0005-0000-0000-0000861B0000}"/>
    <cellStyle name="20% - Accent3 2 2 4 3 4" xfId="6276" xr:uid="{00000000-0005-0000-0000-0000871B0000}"/>
    <cellStyle name="20% - Accent3 2 2 4 3 4 2" xfId="25727" xr:uid="{00000000-0005-0000-0000-0000881B0000}"/>
    <cellStyle name="20% - Accent3 2 2 4 3 4 3" xfId="35452" xr:uid="{00000000-0005-0000-0000-0000891B0000}"/>
    <cellStyle name="20% - Accent3 2 2 4 3 4 4" xfId="45177" xr:uid="{00000000-0005-0000-0000-00008A1B0000}"/>
    <cellStyle name="20% - Accent3 2 2 4 3 4 5" xfId="16002" xr:uid="{00000000-0005-0000-0000-00008B1B0000}"/>
    <cellStyle name="20% - Accent3 2 2 4 3 5" xfId="20865" xr:uid="{00000000-0005-0000-0000-00008C1B0000}"/>
    <cellStyle name="20% - Accent3 2 2 4 3 6" xfId="30590" xr:uid="{00000000-0005-0000-0000-00008D1B0000}"/>
    <cellStyle name="20% - Accent3 2 2 4 3 7" xfId="40315" xr:uid="{00000000-0005-0000-0000-00008E1B0000}"/>
    <cellStyle name="20% - Accent3 2 2 4 3 8" xfId="11140" xr:uid="{00000000-0005-0000-0000-00008F1B0000}"/>
    <cellStyle name="20% - Accent3 2 2 4 4" xfId="584" xr:uid="{00000000-0005-0000-0000-0000901B0000}"/>
    <cellStyle name="20% - Accent3 2 2 4 4 2" xfId="2224" xr:uid="{00000000-0005-0000-0000-0000911B0000}"/>
    <cellStyle name="20% - Accent3 2 2 4 4 2 2" xfId="7086" xr:uid="{00000000-0005-0000-0000-0000921B0000}"/>
    <cellStyle name="20% - Accent3 2 2 4 4 2 2 2" xfId="26537" xr:uid="{00000000-0005-0000-0000-0000931B0000}"/>
    <cellStyle name="20% - Accent3 2 2 4 4 2 2 3" xfId="36262" xr:uid="{00000000-0005-0000-0000-0000941B0000}"/>
    <cellStyle name="20% - Accent3 2 2 4 4 2 2 4" xfId="45987" xr:uid="{00000000-0005-0000-0000-0000951B0000}"/>
    <cellStyle name="20% - Accent3 2 2 4 4 2 2 5" xfId="16812" xr:uid="{00000000-0005-0000-0000-0000961B0000}"/>
    <cellStyle name="20% - Accent3 2 2 4 4 2 3" xfId="21675" xr:uid="{00000000-0005-0000-0000-0000971B0000}"/>
    <cellStyle name="20% - Accent3 2 2 4 4 2 4" xfId="31400" xr:uid="{00000000-0005-0000-0000-0000981B0000}"/>
    <cellStyle name="20% - Accent3 2 2 4 4 2 5" xfId="41125" xr:uid="{00000000-0005-0000-0000-0000991B0000}"/>
    <cellStyle name="20% - Accent3 2 2 4 4 2 6" xfId="11950" xr:uid="{00000000-0005-0000-0000-00009A1B0000}"/>
    <cellStyle name="20% - Accent3 2 2 4 4 3" xfId="3844" xr:uid="{00000000-0005-0000-0000-00009B1B0000}"/>
    <cellStyle name="20% - Accent3 2 2 4 4 3 2" xfId="8706" xr:uid="{00000000-0005-0000-0000-00009C1B0000}"/>
    <cellStyle name="20% - Accent3 2 2 4 4 3 2 2" xfId="28157" xr:uid="{00000000-0005-0000-0000-00009D1B0000}"/>
    <cellStyle name="20% - Accent3 2 2 4 4 3 2 3" xfId="37882" xr:uid="{00000000-0005-0000-0000-00009E1B0000}"/>
    <cellStyle name="20% - Accent3 2 2 4 4 3 2 4" xfId="47607" xr:uid="{00000000-0005-0000-0000-00009F1B0000}"/>
    <cellStyle name="20% - Accent3 2 2 4 4 3 2 5" xfId="18432" xr:uid="{00000000-0005-0000-0000-0000A01B0000}"/>
    <cellStyle name="20% - Accent3 2 2 4 4 3 3" xfId="23295" xr:uid="{00000000-0005-0000-0000-0000A11B0000}"/>
    <cellStyle name="20% - Accent3 2 2 4 4 3 4" xfId="33020" xr:uid="{00000000-0005-0000-0000-0000A21B0000}"/>
    <cellStyle name="20% - Accent3 2 2 4 4 3 5" xfId="42745" xr:uid="{00000000-0005-0000-0000-0000A31B0000}"/>
    <cellStyle name="20% - Accent3 2 2 4 4 3 6" xfId="13570" xr:uid="{00000000-0005-0000-0000-0000A41B0000}"/>
    <cellStyle name="20% - Accent3 2 2 4 4 4" xfId="5466" xr:uid="{00000000-0005-0000-0000-0000A51B0000}"/>
    <cellStyle name="20% - Accent3 2 2 4 4 4 2" xfId="24917" xr:uid="{00000000-0005-0000-0000-0000A61B0000}"/>
    <cellStyle name="20% - Accent3 2 2 4 4 4 3" xfId="34642" xr:uid="{00000000-0005-0000-0000-0000A71B0000}"/>
    <cellStyle name="20% - Accent3 2 2 4 4 4 4" xfId="44367" xr:uid="{00000000-0005-0000-0000-0000A81B0000}"/>
    <cellStyle name="20% - Accent3 2 2 4 4 4 5" xfId="15192" xr:uid="{00000000-0005-0000-0000-0000A91B0000}"/>
    <cellStyle name="20% - Accent3 2 2 4 4 5" xfId="20055" xr:uid="{00000000-0005-0000-0000-0000AA1B0000}"/>
    <cellStyle name="20% - Accent3 2 2 4 4 6" xfId="29780" xr:uid="{00000000-0005-0000-0000-0000AB1B0000}"/>
    <cellStyle name="20% - Accent3 2 2 4 4 7" xfId="39505" xr:uid="{00000000-0005-0000-0000-0000AC1B0000}"/>
    <cellStyle name="20% - Accent3 2 2 4 4 8" xfId="10330" xr:uid="{00000000-0005-0000-0000-0000AD1B0000}"/>
    <cellStyle name="20% - Accent3 2 2 4 5" xfId="1864" xr:uid="{00000000-0005-0000-0000-0000AE1B0000}"/>
    <cellStyle name="20% - Accent3 2 2 4 5 2" xfId="6726" xr:uid="{00000000-0005-0000-0000-0000AF1B0000}"/>
    <cellStyle name="20% - Accent3 2 2 4 5 2 2" xfId="26177" xr:uid="{00000000-0005-0000-0000-0000B01B0000}"/>
    <cellStyle name="20% - Accent3 2 2 4 5 2 3" xfId="35902" xr:uid="{00000000-0005-0000-0000-0000B11B0000}"/>
    <cellStyle name="20% - Accent3 2 2 4 5 2 4" xfId="45627" xr:uid="{00000000-0005-0000-0000-0000B21B0000}"/>
    <cellStyle name="20% - Accent3 2 2 4 5 2 5" xfId="16452" xr:uid="{00000000-0005-0000-0000-0000B31B0000}"/>
    <cellStyle name="20% - Accent3 2 2 4 5 3" xfId="21315" xr:uid="{00000000-0005-0000-0000-0000B41B0000}"/>
    <cellStyle name="20% - Accent3 2 2 4 5 4" xfId="31040" xr:uid="{00000000-0005-0000-0000-0000B51B0000}"/>
    <cellStyle name="20% - Accent3 2 2 4 5 5" xfId="40765" xr:uid="{00000000-0005-0000-0000-0000B61B0000}"/>
    <cellStyle name="20% - Accent3 2 2 4 5 6" xfId="11590" xr:uid="{00000000-0005-0000-0000-0000B71B0000}"/>
    <cellStyle name="20% - Accent3 2 2 4 6" xfId="3484" xr:uid="{00000000-0005-0000-0000-0000B81B0000}"/>
    <cellStyle name="20% - Accent3 2 2 4 6 2" xfId="8346" xr:uid="{00000000-0005-0000-0000-0000B91B0000}"/>
    <cellStyle name="20% - Accent3 2 2 4 6 2 2" xfId="27797" xr:uid="{00000000-0005-0000-0000-0000BA1B0000}"/>
    <cellStyle name="20% - Accent3 2 2 4 6 2 3" xfId="37522" xr:uid="{00000000-0005-0000-0000-0000BB1B0000}"/>
    <cellStyle name="20% - Accent3 2 2 4 6 2 4" xfId="47247" xr:uid="{00000000-0005-0000-0000-0000BC1B0000}"/>
    <cellStyle name="20% - Accent3 2 2 4 6 2 5" xfId="18072" xr:uid="{00000000-0005-0000-0000-0000BD1B0000}"/>
    <cellStyle name="20% - Accent3 2 2 4 6 3" xfId="22935" xr:uid="{00000000-0005-0000-0000-0000BE1B0000}"/>
    <cellStyle name="20% - Accent3 2 2 4 6 4" xfId="32660" xr:uid="{00000000-0005-0000-0000-0000BF1B0000}"/>
    <cellStyle name="20% - Accent3 2 2 4 6 5" xfId="42385" xr:uid="{00000000-0005-0000-0000-0000C01B0000}"/>
    <cellStyle name="20% - Accent3 2 2 4 6 6" xfId="13210" xr:uid="{00000000-0005-0000-0000-0000C11B0000}"/>
    <cellStyle name="20% - Accent3 2 2 4 7" xfId="5106" xr:uid="{00000000-0005-0000-0000-0000C21B0000}"/>
    <cellStyle name="20% - Accent3 2 2 4 7 2" xfId="24557" xr:uid="{00000000-0005-0000-0000-0000C31B0000}"/>
    <cellStyle name="20% - Accent3 2 2 4 7 3" xfId="34282" xr:uid="{00000000-0005-0000-0000-0000C41B0000}"/>
    <cellStyle name="20% - Accent3 2 2 4 7 4" xfId="44007" xr:uid="{00000000-0005-0000-0000-0000C51B0000}"/>
    <cellStyle name="20% - Accent3 2 2 4 7 5" xfId="14832" xr:uid="{00000000-0005-0000-0000-0000C61B0000}"/>
    <cellStyle name="20% - Accent3 2 2 4 8" xfId="19695" xr:uid="{00000000-0005-0000-0000-0000C71B0000}"/>
    <cellStyle name="20% - Accent3 2 2 4 9" xfId="29420" xr:uid="{00000000-0005-0000-0000-0000C81B0000}"/>
    <cellStyle name="20% - Accent3 2 2 5" xfId="855" xr:uid="{00000000-0005-0000-0000-0000C91B0000}"/>
    <cellStyle name="20% - Accent3 2 2 5 2" xfId="2494" xr:uid="{00000000-0005-0000-0000-0000CA1B0000}"/>
    <cellStyle name="20% - Accent3 2 2 5 2 2" xfId="7356" xr:uid="{00000000-0005-0000-0000-0000CB1B0000}"/>
    <cellStyle name="20% - Accent3 2 2 5 2 2 2" xfId="26807" xr:uid="{00000000-0005-0000-0000-0000CC1B0000}"/>
    <cellStyle name="20% - Accent3 2 2 5 2 2 3" xfId="36532" xr:uid="{00000000-0005-0000-0000-0000CD1B0000}"/>
    <cellStyle name="20% - Accent3 2 2 5 2 2 4" xfId="46257" xr:uid="{00000000-0005-0000-0000-0000CE1B0000}"/>
    <cellStyle name="20% - Accent3 2 2 5 2 2 5" xfId="17082" xr:uid="{00000000-0005-0000-0000-0000CF1B0000}"/>
    <cellStyle name="20% - Accent3 2 2 5 2 3" xfId="21945" xr:uid="{00000000-0005-0000-0000-0000D01B0000}"/>
    <cellStyle name="20% - Accent3 2 2 5 2 4" xfId="31670" xr:uid="{00000000-0005-0000-0000-0000D11B0000}"/>
    <cellStyle name="20% - Accent3 2 2 5 2 5" xfId="41395" xr:uid="{00000000-0005-0000-0000-0000D21B0000}"/>
    <cellStyle name="20% - Accent3 2 2 5 2 6" xfId="12220" xr:uid="{00000000-0005-0000-0000-0000D31B0000}"/>
    <cellStyle name="20% - Accent3 2 2 5 3" xfId="4114" xr:uid="{00000000-0005-0000-0000-0000D41B0000}"/>
    <cellStyle name="20% - Accent3 2 2 5 3 2" xfId="8976" xr:uid="{00000000-0005-0000-0000-0000D51B0000}"/>
    <cellStyle name="20% - Accent3 2 2 5 3 2 2" xfId="28427" xr:uid="{00000000-0005-0000-0000-0000D61B0000}"/>
    <cellStyle name="20% - Accent3 2 2 5 3 2 3" xfId="38152" xr:uid="{00000000-0005-0000-0000-0000D71B0000}"/>
    <cellStyle name="20% - Accent3 2 2 5 3 2 4" xfId="47877" xr:uid="{00000000-0005-0000-0000-0000D81B0000}"/>
    <cellStyle name="20% - Accent3 2 2 5 3 2 5" xfId="18702" xr:uid="{00000000-0005-0000-0000-0000D91B0000}"/>
    <cellStyle name="20% - Accent3 2 2 5 3 3" xfId="23565" xr:uid="{00000000-0005-0000-0000-0000DA1B0000}"/>
    <cellStyle name="20% - Accent3 2 2 5 3 4" xfId="33290" xr:uid="{00000000-0005-0000-0000-0000DB1B0000}"/>
    <cellStyle name="20% - Accent3 2 2 5 3 5" xfId="43015" xr:uid="{00000000-0005-0000-0000-0000DC1B0000}"/>
    <cellStyle name="20% - Accent3 2 2 5 3 6" xfId="13840" xr:uid="{00000000-0005-0000-0000-0000DD1B0000}"/>
    <cellStyle name="20% - Accent3 2 2 5 4" xfId="5736" xr:uid="{00000000-0005-0000-0000-0000DE1B0000}"/>
    <cellStyle name="20% - Accent3 2 2 5 4 2" xfId="25187" xr:uid="{00000000-0005-0000-0000-0000DF1B0000}"/>
    <cellStyle name="20% - Accent3 2 2 5 4 3" xfId="34912" xr:uid="{00000000-0005-0000-0000-0000E01B0000}"/>
    <cellStyle name="20% - Accent3 2 2 5 4 4" xfId="44637" xr:uid="{00000000-0005-0000-0000-0000E11B0000}"/>
    <cellStyle name="20% - Accent3 2 2 5 4 5" xfId="15462" xr:uid="{00000000-0005-0000-0000-0000E21B0000}"/>
    <cellStyle name="20% - Accent3 2 2 5 5" xfId="20325" xr:uid="{00000000-0005-0000-0000-0000E31B0000}"/>
    <cellStyle name="20% - Accent3 2 2 5 6" xfId="30050" xr:uid="{00000000-0005-0000-0000-0000E41B0000}"/>
    <cellStyle name="20% - Accent3 2 2 5 7" xfId="39775" xr:uid="{00000000-0005-0000-0000-0000E51B0000}"/>
    <cellStyle name="20% - Accent3 2 2 5 8" xfId="10600" xr:uid="{00000000-0005-0000-0000-0000E61B0000}"/>
    <cellStyle name="20% - Accent3 2 2 6" xfId="1233" xr:uid="{00000000-0005-0000-0000-0000E71B0000}"/>
    <cellStyle name="20% - Accent3 2 2 6 2" xfId="2854" xr:uid="{00000000-0005-0000-0000-0000E81B0000}"/>
    <cellStyle name="20% - Accent3 2 2 6 2 2" xfId="7716" xr:uid="{00000000-0005-0000-0000-0000E91B0000}"/>
    <cellStyle name="20% - Accent3 2 2 6 2 2 2" xfId="27167" xr:uid="{00000000-0005-0000-0000-0000EA1B0000}"/>
    <cellStyle name="20% - Accent3 2 2 6 2 2 3" xfId="36892" xr:uid="{00000000-0005-0000-0000-0000EB1B0000}"/>
    <cellStyle name="20% - Accent3 2 2 6 2 2 4" xfId="46617" xr:uid="{00000000-0005-0000-0000-0000EC1B0000}"/>
    <cellStyle name="20% - Accent3 2 2 6 2 2 5" xfId="17442" xr:uid="{00000000-0005-0000-0000-0000ED1B0000}"/>
    <cellStyle name="20% - Accent3 2 2 6 2 3" xfId="22305" xr:uid="{00000000-0005-0000-0000-0000EE1B0000}"/>
    <cellStyle name="20% - Accent3 2 2 6 2 4" xfId="32030" xr:uid="{00000000-0005-0000-0000-0000EF1B0000}"/>
    <cellStyle name="20% - Accent3 2 2 6 2 5" xfId="41755" xr:uid="{00000000-0005-0000-0000-0000F01B0000}"/>
    <cellStyle name="20% - Accent3 2 2 6 2 6" xfId="12580" xr:uid="{00000000-0005-0000-0000-0000F11B0000}"/>
    <cellStyle name="20% - Accent3 2 2 6 3" xfId="4474" xr:uid="{00000000-0005-0000-0000-0000F21B0000}"/>
    <cellStyle name="20% - Accent3 2 2 6 3 2" xfId="9336" xr:uid="{00000000-0005-0000-0000-0000F31B0000}"/>
    <cellStyle name="20% - Accent3 2 2 6 3 2 2" xfId="28787" xr:uid="{00000000-0005-0000-0000-0000F41B0000}"/>
    <cellStyle name="20% - Accent3 2 2 6 3 2 3" xfId="38512" xr:uid="{00000000-0005-0000-0000-0000F51B0000}"/>
    <cellStyle name="20% - Accent3 2 2 6 3 2 4" xfId="48237" xr:uid="{00000000-0005-0000-0000-0000F61B0000}"/>
    <cellStyle name="20% - Accent3 2 2 6 3 2 5" xfId="19062" xr:uid="{00000000-0005-0000-0000-0000F71B0000}"/>
    <cellStyle name="20% - Accent3 2 2 6 3 3" xfId="23925" xr:uid="{00000000-0005-0000-0000-0000F81B0000}"/>
    <cellStyle name="20% - Accent3 2 2 6 3 4" xfId="33650" xr:uid="{00000000-0005-0000-0000-0000F91B0000}"/>
    <cellStyle name="20% - Accent3 2 2 6 3 5" xfId="43375" xr:uid="{00000000-0005-0000-0000-0000FA1B0000}"/>
    <cellStyle name="20% - Accent3 2 2 6 3 6" xfId="14200" xr:uid="{00000000-0005-0000-0000-0000FB1B0000}"/>
    <cellStyle name="20% - Accent3 2 2 6 4" xfId="6096" xr:uid="{00000000-0005-0000-0000-0000FC1B0000}"/>
    <cellStyle name="20% - Accent3 2 2 6 4 2" xfId="25547" xr:uid="{00000000-0005-0000-0000-0000FD1B0000}"/>
    <cellStyle name="20% - Accent3 2 2 6 4 3" xfId="35272" xr:uid="{00000000-0005-0000-0000-0000FE1B0000}"/>
    <cellStyle name="20% - Accent3 2 2 6 4 4" xfId="44997" xr:uid="{00000000-0005-0000-0000-0000FF1B0000}"/>
    <cellStyle name="20% - Accent3 2 2 6 4 5" xfId="15822" xr:uid="{00000000-0005-0000-0000-0000001C0000}"/>
    <cellStyle name="20% - Accent3 2 2 6 5" xfId="20685" xr:uid="{00000000-0005-0000-0000-0000011C0000}"/>
    <cellStyle name="20% - Accent3 2 2 6 6" xfId="30410" xr:uid="{00000000-0005-0000-0000-0000021C0000}"/>
    <cellStyle name="20% - Accent3 2 2 6 7" xfId="40135" xr:uid="{00000000-0005-0000-0000-0000031C0000}"/>
    <cellStyle name="20% - Accent3 2 2 6 8" xfId="10960" xr:uid="{00000000-0005-0000-0000-0000041C0000}"/>
    <cellStyle name="20% - Accent3 2 2 7" xfId="1323" xr:uid="{00000000-0005-0000-0000-0000051C0000}"/>
    <cellStyle name="20% - Accent3 2 2 7 2" xfId="2944" xr:uid="{00000000-0005-0000-0000-0000061C0000}"/>
    <cellStyle name="20% - Accent3 2 2 7 2 2" xfId="7806" xr:uid="{00000000-0005-0000-0000-0000071C0000}"/>
    <cellStyle name="20% - Accent3 2 2 7 2 2 2" xfId="27257" xr:uid="{00000000-0005-0000-0000-0000081C0000}"/>
    <cellStyle name="20% - Accent3 2 2 7 2 2 3" xfId="36982" xr:uid="{00000000-0005-0000-0000-0000091C0000}"/>
    <cellStyle name="20% - Accent3 2 2 7 2 2 4" xfId="46707" xr:uid="{00000000-0005-0000-0000-00000A1C0000}"/>
    <cellStyle name="20% - Accent3 2 2 7 2 2 5" xfId="17532" xr:uid="{00000000-0005-0000-0000-00000B1C0000}"/>
    <cellStyle name="20% - Accent3 2 2 7 2 3" xfId="22395" xr:uid="{00000000-0005-0000-0000-00000C1C0000}"/>
    <cellStyle name="20% - Accent3 2 2 7 2 4" xfId="32120" xr:uid="{00000000-0005-0000-0000-00000D1C0000}"/>
    <cellStyle name="20% - Accent3 2 2 7 2 5" xfId="41845" xr:uid="{00000000-0005-0000-0000-00000E1C0000}"/>
    <cellStyle name="20% - Accent3 2 2 7 2 6" xfId="12670" xr:uid="{00000000-0005-0000-0000-00000F1C0000}"/>
    <cellStyle name="20% - Accent3 2 2 7 3" xfId="4564" xr:uid="{00000000-0005-0000-0000-0000101C0000}"/>
    <cellStyle name="20% - Accent3 2 2 7 3 2" xfId="9426" xr:uid="{00000000-0005-0000-0000-0000111C0000}"/>
    <cellStyle name="20% - Accent3 2 2 7 3 2 2" xfId="28877" xr:uid="{00000000-0005-0000-0000-0000121C0000}"/>
    <cellStyle name="20% - Accent3 2 2 7 3 2 3" xfId="38602" xr:uid="{00000000-0005-0000-0000-0000131C0000}"/>
    <cellStyle name="20% - Accent3 2 2 7 3 2 4" xfId="48327" xr:uid="{00000000-0005-0000-0000-0000141C0000}"/>
    <cellStyle name="20% - Accent3 2 2 7 3 2 5" xfId="19152" xr:uid="{00000000-0005-0000-0000-0000151C0000}"/>
    <cellStyle name="20% - Accent3 2 2 7 3 3" xfId="24015" xr:uid="{00000000-0005-0000-0000-0000161C0000}"/>
    <cellStyle name="20% - Accent3 2 2 7 3 4" xfId="33740" xr:uid="{00000000-0005-0000-0000-0000171C0000}"/>
    <cellStyle name="20% - Accent3 2 2 7 3 5" xfId="43465" xr:uid="{00000000-0005-0000-0000-0000181C0000}"/>
    <cellStyle name="20% - Accent3 2 2 7 3 6" xfId="14290" xr:uid="{00000000-0005-0000-0000-0000191C0000}"/>
    <cellStyle name="20% - Accent3 2 2 7 4" xfId="6186" xr:uid="{00000000-0005-0000-0000-00001A1C0000}"/>
    <cellStyle name="20% - Accent3 2 2 7 4 2" xfId="25637" xr:uid="{00000000-0005-0000-0000-00001B1C0000}"/>
    <cellStyle name="20% - Accent3 2 2 7 4 3" xfId="35362" xr:uid="{00000000-0005-0000-0000-00001C1C0000}"/>
    <cellStyle name="20% - Accent3 2 2 7 4 4" xfId="45087" xr:uid="{00000000-0005-0000-0000-00001D1C0000}"/>
    <cellStyle name="20% - Accent3 2 2 7 4 5" xfId="15912" xr:uid="{00000000-0005-0000-0000-00001E1C0000}"/>
    <cellStyle name="20% - Accent3 2 2 7 5" xfId="20775" xr:uid="{00000000-0005-0000-0000-00001F1C0000}"/>
    <cellStyle name="20% - Accent3 2 2 7 6" xfId="30500" xr:uid="{00000000-0005-0000-0000-0000201C0000}"/>
    <cellStyle name="20% - Accent3 2 2 7 7" xfId="40225" xr:uid="{00000000-0005-0000-0000-0000211C0000}"/>
    <cellStyle name="20% - Accent3 2 2 7 8" xfId="11050" xr:uid="{00000000-0005-0000-0000-0000221C0000}"/>
    <cellStyle name="20% - Accent3 2 2 8" xfId="494" xr:uid="{00000000-0005-0000-0000-0000231C0000}"/>
    <cellStyle name="20% - Accent3 2 2 8 2" xfId="2134" xr:uid="{00000000-0005-0000-0000-0000241C0000}"/>
    <cellStyle name="20% - Accent3 2 2 8 2 2" xfId="6996" xr:uid="{00000000-0005-0000-0000-0000251C0000}"/>
    <cellStyle name="20% - Accent3 2 2 8 2 2 2" xfId="26447" xr:uid="{00000000-0005-0000-0000-0000261C0000}"/>
    <cellStyle name="20% - Accent3 2 2 8 2 2 3" xfId="36172" xr:uid="{00000000-0005-0000-0000-0000271C0000}"/>
    <cellStyle name="20% - Accent3 2 2 8 2 2 4" xfId="45897" xr:uid="{00000000-0005-0000-0000-0000281C0000}"/>
    <cellStyle name="20% - Accent3 2 2 8 2 2 5" xfId="16722" xr:uid="{00000000-0005-0000-0000-0000291C0000}"/>
    <cellStyle name="20% - Accent3 2 2 8 2 3" xfId="21585" xr:uid="{00000000-0005-0000-0000-00002A1C0000}"/>
    <cellStyle name="20% - Accent3 2 2 8 2 4" xfId="31310" xr:uid="{00000000-0005-0000-0000-00002B1C0000}"/>
    <cellStyle name="20% - Accent3 2 2 8 2 5" xfId="41035" xr:uid="{00000000-0005-0000-0000-00002C1C0000}"/>
    <cellStyle name="20% - Accent3 2 2 8 2 6" xfId="11860" xr:uid="{00000000-0005-0000-0000-00002D1C0000}"/>
    <cellStyle name="20% - Accent3 2 2 8 3" xfId="3754" xr:uid="{00000000-0005-0000-0000-00002E1C0000}"/>
    <cellStyle name="20% - Accent3 2 2 8 3 2" xfId="8616" xr:uid="{00000000-0005-0000-0000-00002F1C0000}"/>
    <cellStyle name="20% - Accent3 2 2 8 3 2 2" xfId="28067" xr:uid="{00000000-0005-0000-0000-0000301C0000}"/>
    <cellStyle name="20% - Accent3 2 2 8 3 2 3" xfId="37792" xr:uid="{00000000-0005-0000-0000-0000311C0000}"/>
    <cellStyle name="20% - Accent3 2 2 8 3 2 4" xfId="47517" xr:uid="{00000000-0005-0000-0000-0000321C0000}"/>
    <cellStyle name="20% - Accent3 2 2 8 3 2 5" xfId="18342" xr:uid="{00000000-0005-0000-0000-0000331C0000}"/>
    <cellStyle name="20% - Accent3 2 2 8 3 3" xfId="23205" xr:uid="{00000000-0005-0000-0000-0000341C0000}"/>
    <cellStyle name="20% - Accent3 2 2 8 3 4" xfId="32930" xr:uid="{00000000-0005-0000-0000-0000351C0000}"/>
    <cellStyle name="20% - Accent3 2 2 8 3 5" xfId="42655" xr:uid="{00000000-0005-0000-0000-0000361C0000}"/>
    <cellStyle name="20% - Accent3 2 2 8 3 6" xfId="13480" xr:uid="{00000000-0005-0000-0000-0000371C0000}"/>
    <cellStyle name="20% - Accent3 2 2 8 4" xfId="5376" xr:uid="{00000000-0005-0000-0000-0000381C0000}"/>
    <cellStyle name="20% - Accent3 2 2 8 4 2" xfId="24827" xr:uid="{00000000-0005-0000-0000-0000391C0000}"/>
    <cellStyle name="20% - Accent3 2 2 8 4 3" xfId="34552" xr:uid="{00000000-0005-0000-0000-00003A1C0000}"/>
    <cellStyle name="20% - Accent3 2 2 8 4 4" xfId="44277" xr:uid="{00000000-0005-0000-0000-00003B1C0000}"/>
    <cellStyle name="20% - Accent3 2 2 8 4 5" xfId="15102" xr:uid="{00000000-0005-0000-0000-00003C1C0000}"/>
    <cellStyle name="20% - Accent3 2 2 8 5" xfId="19965" xr:uid="{00000000-0005-0000-0000-00003D1C0000}"/>
    <cellStyle name="20% - Accent3 2 2 8 6" xfId="29690" xr:uid="{00000000-0005-0000-0000-00003E1C0000}"/>
    <cellStyle name="20% - Accent3 2 2 8 7" xfId="39415" xr:uid="{00000000-0005-0000-0000-00003F1C0000}"/>
    <cellStyle name="20% - Accent3 2 2 8 8" xfId="10240" xr:uid="{00000000-0005-0000-0000-0000401C0000}"/>
    <cellStyle name="20% - Accent3 2 2 9" xfId="1683" xr:uid="{00000000-0005-0000-0000-0000411C0000}"/>
    <cellStyle name="20% - Accent3 2 2 9 2" xfId="3304" xr:uid="{00000000-0005-0000-0000-0000421C0000}"/>
    <cellStyle name="20% - Accent3 2 2 9 2 2" xfId="8166" xr:uid="{00000000-0005-0000-0000-0000431C0000}"/>
    <cellStyle name="20% - Accent3 2 2 9 2 2 2" xfId="27617" xr:uid="{00000000-0005-0000-0000-0000441C0000}"/>
    <cellStyle name="20% - Accent3 2 2 9 2 2 3" xfId="37342" xr:uid="{00000000-0005-0000-0000-0000451C0000}"/>
    <cellStyle name="20% - Accent3 2 2 9 2 2 4" xfId="47067" xr:uid="{00000000-0005-0000-0000-0000461C0000}"/>
    <cellStyle name="20% - Accent3 2 2 9 2 2 5" xfId="17892" xr:uid="{00000000-0005-0000-0000-0000471C0000}"/>
    <cellStyle name="20% - Accent3 2 2 9 2 3" xfId="22755" xr:uid="{00000000-0005-0000-0000-0000481C0000}"/>
    <cellStyle name="20% - Accent3 2 2 9 2 4" xfId="32480" xr:uid="{00000000-0005-0000-0000-0000491C0000}"/>
    <cellStyle name="20% - Accent3 2 2 9 2 5" xfId="42205" xr:uid="{00000000-0005-0000-0000-00004A1C0000}"/>
    <cellStyle name="20% - Accent3 2 2 9 2 6" xfId="13030" xr:uid="{00000000-0005-0000-0000-00004B1C0000}"/>
    <cellStyle name="20% - Accent3 2 2 9 3" xfId="4924" xr:uid="{00000000-0005-0000-0000-00004C1C0000}"/>
    <cellStyle name="20% - Accent3 2 2 9 3 2" xfId="9786" xr:uid="{00000000-0005-0000-0000-00004D1C0000}"/>
    <cellStyle name="20% - Accent3 2 2 9 3 2 2" xfId="29237" xr:uid="{00000000-0005-0000-0000-00004E1C0000}"/>
    <cellStyle name="20% - Accent3 2 2 9 3 2 3" xfId="38962" xr:uid="{00000000-0005-0000-0000-00004F1C0000}"/>
    <cellStyle name="20% - Accent3 2 2 9 3 2 4" xfId="48687" xr:uid="{00000000-0005-0000-0000-0000501C0000}"/>
    <cellStyle name="20% - Accent3 2 2 9 3 2 5" xfId="19512" xr:uid="{00000000-0005-0000-0000-0000511C0000}"/>
    <cellStyle name="20% - Accent3 2 2 9 3 3" xfId="24375" xr:uid="{00000000-0005-0000-0000-0000521C0000}"/>
    <cellStyle name="20% - Accent3 2 2 9 3 4" xfId="34100" xr:uid="{00000000-0005-0000-0000-0000531C0000}"/>
    <cellStyle name="20% - Accent3 2 2 9 3 5" xfId="43825" xr:uid="{00000000-0005-0000-0000-0000541C0000}"/>
    <cellStyle name="20% - Accent3 2 2 9 3 6" xfId="14650" xr:uid="{00000000-0005-0000-0000-0000551C0000}"/>
    <cellStyle name="20% - Accent3 2 2 9 4" xfId="6546" xr:uid="{00000000-0005-0000-0000-0000561C0000}"/>
    <cellStyle name="20% - Accent3 2 2 9 4 2" xfId="25997" xr:uid="{00000000-0005-0000-0000-0000571C0000}"/>
    <cellStyle name="20% - Accent3 2 2 9 4 3" xfId="35722" xr:uid="{00000000-0005-0000-0000-0000581C0000}"/>
    <cellStyle name="20% - Accent3 2 2 9 4 4" xfId="45447" xr:uid="{00000000-0005-0000-0000-0000591C0000}"/>
    <cellStyle name="20% - Accent3 2 2 9 4 5" xfId="16272" xr:uid="{00000000-0005-0000-0000-00005A1C0000}"/>
    <cellStyle name="20% - Accent3 2 2 9 5" xfId="21135" xr:uid="{00000000-0005-0000-0000-00005B1C0000}"/>
    <cellStyle name="20% - Accent3 2 2 9 6" xfId="30860" xr:uid="{00000000-0005-0000-0000-00005C1C0000}"/>
    <cellStyle name="20% - Accent3 2 2 9 7" xfId="40585" xr:uid="{00000000-0005-0000-0000-00005D1C0000}"/>
    <cellStyle name="20% - Accent3 2 2 9 8" xfId="11410" xr:uid="{00000000-0005-0000-0000-00005E1C0000}"/>
    <cellStyle name="20% - Accent3 2 3" xfId="120" xr:uid="{00000000-0005-0000-0000-00005F1C0000}"/>
    <cellStyle name="20% - Accent3 2 3 10" xfId="1804" xr:uid="{00000000-0005-0000-0000-0000601C0000}"/>
    <cellStyle name="20% - Accent3 2 3 10 2" xfId="6666" xr:uid="{00000000-0005-0000-0000-0000611C0000}"/>
    <cellStyle name="20% - Accent3 2 3 10 2 2" xfId="26117" xr:uid="{00000000-0005-0000-0000-0000621C0000}"/>
    <cellStyle name="20% - Accent3 2 3 10 2 3" xfId="35842" xr:uid="{00000000-0005-0000-0000-0000631C0000}"/>
    <cellStyle name="20% - Accent3 2 3 10 2 4" xfId="45567" xr:uid="{00000000-0005-0000-0000-0000641C0000}"/>
    <cellStyle name="20% - Accent3 2 3 10 2 5" xfId="16392" xr:uid="{00000000-0005-0000-0000-0000651C0000}"/>
    <cellStyle name="20% - Accent3 2 3 10 3" xfId="21255" xr:uid="{00000000-0005-0000-0000-0000661C0000}"/>
    <cellStyle name="20% - Accent3 2 3 10 4" xfId="30980" xr:uid="{00000000-0005-0000-0000-0000671C0000}"/>
    <cellStyle name="20% - Accent3 2 3 10 5" xfId="40705" xr:uid="{00000000-0005-0000-0000-0000681C0000}"/>
    <cellStyle name="20% - Accent3 2 3 10 6" xfId="11530" xr:uid="{00000000-0005-0000-0000-0000691C0000}"/>
    <cellStyle name="20% - Accent3 2 3 11" xfId="3424" xr:uid="{00000000-0005-0000-0000-00006A1C0000}"/>
    <cellStyle name="20% - Accent3 2 3 11 2" xfId="8286" xr:uid="{00000000-0005-0000-0000-00006B1C0000}"/>
    <cellStyle name="20% - Accent3 2 3 11 2 2" xfId="27737" xr:uid="{00000000-0005-0000-0000-00006C1C0000}"/>
    <cellStyle name="20% - Accent3 2 3 11 2 3" xfId="37462" xr:uid="{00000000-0005-0000-0000-00006D1C0000}"/>
    <cellStyle name="20% - Accent3 2 3 11 2 4" xfId="47187" xr:uid="{00000000-0005-0000-0000-00006E1C0000}"/>
    <cellStyle name="20% - Accent3 2 3 11 2 5" xfId="18012" xr:uid="{00000000-0005-0000-0000-00006F1C0000}"/>
    <cellStyle name="20% - Accent3 2 3 11 3" xfId="22875" xr:uid="{00000000-0005-0000-0000-0000701C0000}"/>
    <cellStyle name="20% - Accent3 2 3 11 4" xfId="32600" xr:uid="{00000000-0005-0000-0000-0000711C0000}"/>
    <cellStyle name="20% - Accent3 2 3 11 5" xfId="42325" xr:uid="{00000000-0005-0000-0000-0000721C0000}"/>
    <cellStyle name="20% - Accent3 2 3 11 6" xfId="13150" xr:uid="{00000000-0005-0000-0000-0000731C0000}"/>
    <cellStyle name="20% - Accent3 2 3 12" xfId="5046" xr:uid="{00000000-0005-0000-0000-0000741C0000}"/>
    <cellStyle name="20% - Accent3 2 3 12 2" xfId="24497" xr:uid="{00000000-0005-0000-0000-0000751C0000}"/>
    <cellStyle name="20% - Accent3 2 3 12 3" xfId="34222" xr:uid="{00000000-0005-0000-0000-0000761C0000}"/>
    <cellStyle name="20% - Accent3 2 3 12 4" xfId="43947" xr:uid="{00000000-0005-0000-0000-0000771C0000}"/>
    <cellStyle name="20% - Accent3 2 3 12 5" xfId="14772" xr:uid="{00000000-0005-0000-0000-0000781C0000}"/>
    <cellStyle name="20% - Accent3 2 3 13" xfId="19635" xr:uid="{00000000-0005-0000-0000-0000791C0000}"/>
    <cellStyle name="20% - Accent3 2 3 14" xfId="29360" xr:uid="{00000000-0005-0000-0000-00007A1C0000}"/>
    <cellStyle name="20% - Accent3 2 3 15" xfId="39085" xr:uid="{00000000-0005-0000-0000-00007B1C0000}"/>
    <cellStyle name="20% - Accent3 2 3 16" xfId="9910" xr:uid="{00000000-0005-0000-0000-00007C1C0000}"/>
    <cellStyle name="20% - Accent3 2 3 2" xfId="302" xr:uid="{00000000-0005-0000-0000-00007D1C0000}"/>
    <cellStyle name="20% - Accent3 2 3 2 10" xfId="39265" xr:uid="{00000000-0005-0000-0000-00007E1C0000}"/>
    <cellStyle name="20% - Accent3 2 3 2 11" xfId="10090" xr:uid="{00000000-0005-0000-0000-00007F1C0000}"/>
    <cellStyle name="20% - Accent3 2 3 2 2" xfId="1066" xr:uid="{00000000-0005-0000-0000-0000801C0000}"/>
    <cellStyle name="20% - Accent3 2 3 2 2 2" xfId="2704" xr:uid="{00000000-0005-0000-0000-0000811C0000}"/>
    <cellStyle name="20% - Accent3 2 3 2 2 2 2" xfId="7566" xr:uid="{00000000-0005-0000-0000-0000821C0000}"/>
    <cellStyle name="20% - Accent3 2 3 2 2 2 2 2" xfId="27017" xr:uid="{00000000-0005-0000-0000-0000831C0000}"/>
    <cellStyle name="20% - Accent3 2 3 2 2 2 2 3" xfId="36742" xr:uid="{00000000-0005-0000-0000-0000841C0000}"/>
    <cellStyle name="20% - Accent3 2 3 2 2 2 2 4" xfId="46467" xr:uid="{00000000-0005-0000-0000-0000851C0000}"/>
    <cellStyle name="20% - Accent3 2 3 2 2 2 2 5" xfId="17292" xr:uid="{00000000-0005-0000-0000-0000861C0000}"/>
    <cellStyle name="20% - Accent3 2 3 2 2 2 3" xfId="22155" xr:uid="{00000000-0005-0000-0000-0000871C0000}"/>
    <cellStyle name="20% - Accent3 2 3 2 2 2 4" xfId="31880" xr:uid="{00000000-0005-0000-0000-0000881C0000}"/>
    <cellStyle name="20% - Accent3 2 3 2 2 2 5" xfId="41605" xr:uid="{00000000-0005-0000-0000-0000891C0000}"/>
    <cellStyle name="20% - Accent3 2 3 2 2 2 6" xfId="12430" xr:uid="{00000000-0005-0000-0000-00008A1C0000}"/>
    <cellStyle name="20% - Accent3 2 3 2 2 3" xfId="4324" xr:uid="{00000000-0005-0000-0000-00008B1C0000}"/>
    <cellStyle name="20% - Accent3 2 3 2 2 3 2" xfId="9186" xr:uid="{00000000-0005-0000-0000-00008C1C0000}"/>
    <cellStyle name="20% - Accent3 2 3 2 2 3 2 2" xfId="28637" xr:uid="{00000000-0005-0000-0000-00008D1C0000}"/>
    <cellStyle name="20% - Accent3 2 3 2 2 3 2 3" xfId="38362" xr:uid="{00000000-0005-0000-0000-00008E1C0000}"/>
    <cellStyle name="20% - Accent3 2 3 2 2 3 2 4" xfId="48087" xr:uid="{00000000-0005-0000-0000-00008F1C0000}"/>
    <cellStyle name="20% - Accent3 2 3 2 2 3 2 5" xfId="18912" xr:uid="{00000000-0005-0000-0000-0000901C0000}"/>
    <cellStyle name="20% - Accent3 2 3 2 2 3 3" xfId="23775" xr:uid="{00000000-0005-0000-0000-0000911C0000}"/>
    <cellStyle name="20% - Accent3 2 3 2 2 3 4" xfId="33500" xr:uid="{00000000-0005-0000-0000-0000921C0000}"/>
    <cellStyle name="20% - Accent3 2 3 2 2 3 5" xfId="43225" xr:uid="{00000000-0005-0000-0000-0000931C0000}"/>
    <cellStyle name="20% - Accent3 2 3 2 2 3 6" xfId="14050" xr:uid="{00000000-0005-0000-0000-0000941C0000}"/>
    <cellStyle name="20% - Accent3 2 3 2 2 4" xfId="5946" xr:uid="{00000000-0005-0000-0000-0000951C0000}"/>
    <cellStyle name="20% - Accent3 2 3 2 2 4 2" xfId="25397" xr:uid="{00000000-0005-0000-0000-0000961C0000}"/>
    <cellStyle name="20% - Accent3 2 3 2 2 4 3" xfId="35122" xr:uid="{00000000-0005-0000-0000-0000971C0000}"/>
    <cellStyle name="20% - Accent3 2 3 2 2 4 4" xfId="44847" xr:uid="{00000000-0005-0000-0000-0000981C0000}"/>
    <cellStyle name="20% - Accent3 2 3 2 2 4 5" xfId="15672" xr:uid="{00000000-0005-0000-0000-0000991C0000}"/>
    <cellStyle name="20% - Accent3 2 3 2 2 5" xfId="20535" xr:uid="{00000000-0005-0000-0000-00009A1C0000}"/>
    <cellStyle name="20% - Accent3 2 3 2 2 6" xfId="30260" xr:uid="{00000000-0005-0000-0000-00009B1C0000}"/>
    <cellStyle name="20% - Accent3 2 3 2 2 7" xfId="39985" xr:uid="{00000000-0005-0000-0000-00009C1C0000}"/>
    <cellStyle name="20% - Accent3 2 3 2 2 8" xfId="10810" xr:uid="{00000000-0005-0000-0000-00009D1C0000}"/>
    <cellStyle name="20% - Accent3 2 3 2 3" xfId="1533" xr:uid="{00000000-0005-0000-0000-00009E1C0000}"/>
    <cellStyle name="20% - Accent3 2 3 2 3 2" xfId="3154" xr:uid="{00000000-0005-0000-0000-00009F1C0000}"/>
    <cellStyle name="20% - Accent3 2 3 2 3 2 2" xfId="8016" xr:uid="{00000000-0005-0000-0000-0000A01C0000}"/>
    <cellStyle name="20% - Accent3 2 3 2 3 2 2 2" xfId="27467" xr:uid="{00000000-0005-0000-0000-0000A11C0000}"/>
    <cellStyle name="20% - Accent3 2 3 2 3 2 2 3" xfId="37192" xr:uid="{00000000-0005-0000-0000-0000A21C0000}"/>
    <cellStyle name="20% - Accent3 2 3 2 3 2 2 4" xfId="46917" xr:uid="{00000000-0005-0000-0000-0000A31C0000}"/>
    <cellStyle name="20% - Accent3 2 3 2 3 2 2 5" xfId="17742" xr:uid="{00000000-0005-0000-0000-0000A41C0000}"/>
    <cellStyle name="20% - Accent3 2 3 2 3 2 3" xfId="22605" xr:uid="{00000000-0005-0000-0000-0000A51C0000}"/>
    <cellStyle name="20% - Accent3 2 3 2 3 2 4" xfId="32330" xr:uid="{00000000-0005-0000-0000-0000A61C0000}"/>
    <cellStyle name="20% - Accent3 2 3 2 3 2 5" xfId="42055" xr:uid="{00000000-0005-0000-0000-0000A71C0000}"/>
    <cellStyle name="20% - Accent3 2 3 2 3 2 6" xfId="12880" xr:uid="{00000000-0005-0000-0000-0000A81C0000}"/>
    <cellStyle name="20% - Accent3 2 3 2 3 3" xfId="4774" xr:uid="{00000000-0005-0000-0000-0000A91C0000}"/>
    <cellStyle name="20% - Accent3 2 3 2 3 3 2" xfId="9636" xr:uid="{00000000-0005-0000-0000-0000AA1C0000}"/>
    <cellStyle name="20% - Accent3 2 3 2 3 3 2 2" xfId="29087" xr:uid="{00000000-0005-0000-0000-0000AB1C0000}"/>
    <cellStyle name="20% - Accent3 2 3 2 3 3 2 3" xfId="38812" xr:uid="{00000000-0005-0000-0000-0000AC1C0000}"/>
    <cellStyle name="20% - Accent3 2 3 2 3 3 2 4" xfId="48537" xr:uid="{00000000-0005-0000-0000-0000AD1C0000}"/>
    <cellStyle name="20% - Accent3 2 3 2 3 3 2 5" xfId="19362" xr:uid="{00000000-0005-0000-0000-0000AE1C0000}"/>
    <cellStyle name="20% - Accent3 2 3 2 3 3 3" xfId="24225" xr:uid="{00000000-0005-0000-0000-0000AF1C0000}"/>
    <cellStyle name="20% - Accent3 2 3 2 3 3 4" xfId="33950" xr:uid="{00000000-0005-0000-0000-0000B01C0000}"/>
    <cellStyle name="20% - Accent3 2 3 2 3 3 5" xfId="43675" xr:uid="{00000000-0005-0000-0000-0000B11C0000}"/>
    <cellStyle name="20% - Accent3 2 3 2 3 3 6" xfId="14500" xr:uid="{00000000-0005-0000-0000-0000B21C0000}"/>
    <cellStyle name="20% - Accent3 2 3 2 3 4" xfId="6396" xr:uid="{00000000-0005-0000-0000-0000B31C0000}"/>
    <cellStyle name="20% - Accent3 2 3 2 3 4 2" xfId="25847" xr:uid="{00000000-0005-0000-0000-0000B41C0000}"/>
    <cellStyle name="20% - Accent3 2 3 2 3 4 3" xfId="35572" xr:uid="{00000000-0005-0000-0000-0000B51C0000}"/>
    <cellStyle name="20% - Accent3 2 3 2 3 4 4" xfId="45297" xr:uid="{00000000-0005-0000-0000-0000B61C0000}"/>
    <cellStyle name="20% - Accent3 2 3 2 3 4 5" xfId="16122" xr:uid="{00000000-0005-0000-0000-0000B71C0000}"/>
    <cellStyle name="20% - Accent3 2 3 2 3 5" xfId="20985" xr:uid="{00000000-0005-0000-0000-0000B81C0000}"/>
    <cellStyle name="20% - Accent3 2 3 2 3 6" xfId="30710" xr:uid="{00000000-0005-0000-0000-0000B91C0000}"/>
    <cellStyle name="20% - Accent3 2 3 2 3 7" xfId="40435" xr:uid="{00000000-0005-0000-0000-0000BA1C0000}"/>
    <cellStyle name="20% - Accent3 2 3 2 3 8" xfId="11260" xr:uid="{00000000-0005-0000-0000-0000BB1C0000}"/>
    <cellStyle name="20% - Accent3 2 3 2 4" xfId="704" xr:uid="{00000000-0005-0000-0000-0000BC1C0000}"/>
    <cellStyle name="20% - Accent3 2 3 2 4 2" xfId="2344" xr:uid="{00000000-0005-0000-0000-0000BD1C0000}"/>
    <cellStyle name="20% - Accent3 2 3 2 4 2 2" xfId="7206" xr:uid="{00000000-0005-0000-0000-0000BE1C0000}"/>
    <cellStyle name="20% - Accent3 2 3 2 4 2 2 2" xfId="26657" xr:uid="{00000000-0005-0000-0000-0000BF1C0000}"/>
    <cellStyle name="20% - Accent3 2 3 2 4 2 2 3" xfId="36382" xr:uid="{00000000-0005-0000-0000-0000C01C0000}"/>
    <cellStyle name="20% - Accent3 2 3 2 4 2 2 4" xfId="46107" xr:uid="{00000000-0005-0000-0000-0000C11C0000}"/>
    <cellStyle name="20% - Accent3 2 3 2 4 2 2 5" xfId="16932" xr:uid="{00000000-0005-0000-0000-0000C21C0000}"/>
    <cellStyle name="20% - Accent3 2 3 2 4 2 3" xfId="21795" xr:uid="{00000000-0005-0000-0000-0000C31C0000}"/>
    <cellStyle name="20% - Accent3 2 3 2 4 2 4" xfId="31520" xr:uid="{00000000-0005-0000-0000-0000C41C0000}"/>
    <cellStyle name="20% - Accent3 2 3 2 4 2 5" xfId="41245" xr:uid="{00000000-0005-0000-0000-0000C51C0000}"/>
    <cellStyle name="20% - Accent3 2 3 2 4 2 6" xfId="12070" xr:uid="{00000000-0005-0000-0000-0000C61C0000}"/>
    <cellStyle name="20% - Accent3 2 3 2 4 3" xfId="3964" xr:uid="{00000000-0005-0000-0000-0000C71C0000}"/>
    <cellStyle name="20% - Accent3 2 3 2 4 3 2" xfId="8826" xr:uid="{00000000-0005-0000-0000-0000C81C0000}"/>
    <cellStyle name="20% - Accent3 2 3 2 4 3 2 2" xfId="28277" xr:uid="{00000000-0005-0000-0000-0000C91C0000}"/>
    <cellStyle name="20% - Accent3 2 3 2 4 3 2 3" xfId="38002" xr:uid="{00000000-0005-0000-0000-0000CA1C0000}"/>
    <cellStyle name="20% - Accent3 2 3 2 4 3 2 4" xfId="47727" xr:uid="{00000000-0005-0000-0000-0000CB1C0000}"/>
    <cellStyle name="20% - Accent3 2 3 2 4 3 2 5" xfId="18552" xr:uid="{00000000-0005-0000-0000-0000CC1C0000}"/>
    <cellStyle name="20% - Accent3 2 3 2 4 3 3" xfId="23415" xr:uid="{00000000-0005-0000-0000-0000CD1C0000}"/>
    <cellStyle name="20% - Accent3 2 3 2 4 3 4" xfId="33140" xr:uid="{00000000-0005-0000-0000-0000CE1C0000}"/>
    <cellStyle name="20% - Accent3 2 3 2 4 3 5" xfId="42865" xr:uid="{00000000-0005-0000-0000-0000CF1C0000}"/>
    <cellStyle name="20% - Accent3 2 3 2 4 3 6" xfId="13690" xr:uid="{00000000-0005-0000-0000-0000D01C0000}"/>
    <cellStyle name="20% - Accent3 2 3 2 4 4" xfId="5586" xr:uid="{00000000-0005-0000-0000-0000D11C0000}"/>
    <cellStyle name="20% - Accent3 2 3 2 4 4 2" xfId="25037" xr:uid="{00000000-0005-0000-0000-0000D21C0000}"/>
    <cellStyle name="20% - Accent3 2 3 2 4 4 3" xfId="34762" xr:uid="{00000000-0005-0000-0000-0000D31C0000}"/>
    <cellStyle name="20% - Accent3 2 3 2 4 4 4" xfId="44487" xr:uid="{00000000-0005-0000-0000-0000D41C0000}"/>
    <cellStyle name="20% - Accent3 2 3 2 4 4 5" xfId="15312" xr:uid="{00000000-0005-0000-0000-0000D51C0000}"/>
    <cellStyle name="20% - Accent3 2 3 2 4 5" xfId="20175" xr:uid="{00000000-0005-0000-0000-0000D61C0000}"/>
    <cellStyle name="20% - Accent3 2 3 2 4 6" xfId="29900" xr:uid="{00000000-0005-0000-0000-0000D71C0000}"/>
    <cellStyle name="20% - Accent3 2 3 2 4 7" xfId="39625" xr:uid="{00000000-0005-0000-0000-0000D81C0000}"/>
    <cellStyle name="20% - Accent3 2 3 2 4 8" xfId="10450" xr:uid="{00000000-0005-0000-0000-0000D91C0000}"/>
    <cellStyle name="20% - Accent3 2 3 2 5" xfId="1984" xr:uid="{00000000-0005-0000-0000-0000DA1C0000}"/>
    <cellStyle name="20% - Accent3 2 3 2 5 2" xfId="6846" xr:uid="{00000000-0005-0000-0000-0000DB1C0000}"/>
    <cellStyle name="20% - Accent3 2 3 2 5 2 2" xfId="26297" xr:uid="{00000000-0005-0000-0000-0000DC1C0000}"/>
    <cellStyle name="20% - Accent3 2 3 2 5 2 3" xfId="36022" xr:uid="{00000000-0005-0000-0000-0000DD1C0000}"/>
    <cellStyle name="20% - Accent3 2 3 2 5 2 4" xfId="45747" xr:uid="{00000000-0005-0000-0000-0000DE1C0000}"/>
    <cellStyle name="20% - Accent3 2 3 2 5 2 5" xfId="16572" xr:uid="{00000000-0005-0000-0000-0000DF1C0000}"/>
    <cellStyle name="20% - Accent3 2 3 2 5 3" xfId="21435" xr:uid="{00000000-0005-0000-0000-0000E01C0000}"/>
    <cellStyle name="20% - Accent3 2 3 2 5 4" xfId="31160" xr:uid="{00000000-0005-0000-0000-0000E11C0000}"/>
    <cellStyle name="20% - Accent3 2 3 2 5 5" xfId="40885" xr:uid="{00000000-0005-0000-0000-0000E21C0000}"/>
    <cellStyle name="20% - Accent3 2 3 2 5 6" xfId="11710" xr:uid="{00000000-0005-0000-0000-0000E31C0000}"/>
    <cellStyle name="20% - Accent3 2 3 2 6" xfId="3604" xr:uid="{00000000-0005-0000-0000-0000E41C0000}"/>
    <cellStyle name="20% - Accent3 2 3 2 6 2" xfId="8466" xr:uid="{00000000-0005-0000-0000-0000E51C0000}"/>
    <cellStyle name="20% - Accent3 2 3 2 6 2 2" xfId="27917" xr:uid="{00000000-0005-0000-0000-0000E61C0000}"/>
    <cellStyle name="20% - Accent3 2 3 2 6 2 3" xfId="37642" xr:uid="{00000000-0005-0000-0000-0000E71C0000}"/>
    <cellStyle name="20% - Accent3 2 3 2 6 2 4" xfId="47367" xr:uid="{00000000-0005-0000-0000-0000E81C0000}"/>
    <cellStyle name="20% - Accent3 2 3 2 6 2 5" xfId="18192" xr:uid="{00000000-0005-0000-0000-0000E91C0000}"/>
    <cellStyle name="20% - Accent3 2 3 2 6 3" xfId="23055" xr:uid="{00000000-0005-0000-0000-0000EA1C0000}"/>
    <cellStyle name="20% - Accent3 2 3 2 6 4" xfId="32780" xr:uid="{00000000-0005-0000-0000-0000EB1C0000}"/>
    <cellStyle name="20% - Accent3 2 3 2 6 5" xfId="42505" xr:uid="{00000000-0005-0000-0000-0000EC1C0000}"/>
    <cellStyle name="20% - Accent3 2 3 2 6 6" xfId="13330" xr:uid="{00000000-0005-0000-0000-0000ED1C0000}"/>
    <cellStyle name="20% - Accent3 2 3 2 7" xfId="5226" xr:uid="{00000000-0005-0000-0000-0000EE1C0000}"/>
    <cellStyle name="20% - Accent3 2 3 2 7 2" xfId="24677" xr:uid="{00000000-0005-0000-0000-0000EF1C0000}"/>
    <cellStyle name="20% - Accent3 2 3 2 7 3" xfId="34402" xr:uid="{00000000-0005-0000-0000-0000F01C0000}"/>
    <cellStyle name="20% - Accent3 2 3 2 7 4" xfId="44127" xr:uid="{00000000-0005-0000-0000-0000F11C0000}"/>
    <cellStyle name="20% - Accent3 2 3 2 7 5" xfId="14952" xr:uid="{00000000-0005-0000-0000-0000F21C0000}"/>
    <cellStyle name="20% - Accent3 2 3 2 8" xfId="19815" xr:uid="{00000000-0005-0000-0000-0000F31C0000}"/>
    <cellStyle name="20% - Accent3 2 3 2 9" xfId="29540" xr:uid="{00000000-0005-0000-0000-0000F41C0000}"/>
    <cellStyle name="20% - Accent3 2 3 3" xfId="393" xr:uid="{00000000-0005-0000-0000-0000F51C0000}"/>
    <cellStyle name="20% - Accent3 2 3 3 10" xfId="39355" xr:uid="{00000000-0005-0000-0000-0000F61C0000}"/>
    <cellStyle name="20% - Accent3 2 3 3 11" xfId="10180" xr:uid="{00000000-0005-0000-0000-0000F71C0000}"/>
    <cellStyle name="20% - Accent3 2 3 3 2" xfId="1156" xr:uid="{00000000-0005-0000-0000-0000F81C0000}"/>
    <cellStyle name="20% - Accent3 2 3 3 2 2" xfId="2794" xr:uid="{00000000-0005-0000-0000-0000F91C0000}"/>
    <cellStyle name="20% - Accent3 2 3 3 2 2 2" xfId="7656" xr:uid="{00000000-0005-0000-0000-0000FA1C0000}"/>
    <cellStyle name="20% - Accent3 2 3 3 2 2 2 2" xfId="27107" xr:uid="{00000000-0005-0000-0000-0000FB1C0000}"/>
    <cellStyle name="20% - Accent3 2 3 3 2 2 2 3" xfId="36832" xr:uid="{00000000-0005-0000-0000-0000FC1C0000}"/>
    <cellStyle name="20% - Accent3 2 3 3 2 2 2 4" xfId="46557" xr:uid="{00000000-0005-0000-0000-0000FD1C0000}"/>
    <cellStyle name="20% - Accent3 2 3 3 2 2 2 5" xfId="17382" xr:uid="{00000000-0005-0000-0000-0000FE1C0000}"/>
    <cellStyle name="20% - Accent3 2 3 3 2 2 3" xfId="22245" xr:uid="{00000000-0005-0000-0000-0000FF1C0000}"/>
    <cellStyle name="20% - Accent3 2 3 3 2 2 4" xfId="31970" xr:uid="{00000000-0005-0000-0000-0000001D0000}"/>
    <cellStyle name="20% - Accent3 2 3 3 2 2 5" xfId="41695" xr:uid="{00000000-0005-0000-0000-0000011D0000}"/>
    <cellStyle name="20% - Accent3 2 3 3 2 2 6" xfId="12520" xr:uid="{00000000-0005-0000-0000-0000021D0000}"/>
    <cellStyle name="20% - Accent3 2 3 3 2 3" xfId="4414" xr:uid="{00000000-0005-0000-0000-0000031D0000}"/>
    <cellStyle name="20% - Accent3 2 3 3 2 3 2" xfId="9276" xr:uid="{00000000-0005-0000-0000-0000041D0000}"/>
    <cellStyle name="20% - Accent3 2 3 3 2 3 2 2" xfId="28727" xr:uid="{00000000-0005-0000-0000-0000051D0000}"/>
    <cellStyle name="20% - Accent3 2 3 3 2 3 2 3" xfId="38452" xr:uid="{00000000-0005-0000-0000-0000061D0000}"/>
    <cellStyle name="20% - Accent3 2 3 3 2 3 2 4" xfId="48177" xr:uid="{00000000-0005-0000-0000-0000071D0000}"/>
    <cellStyle name="20% - Accent3 2 3 3 2 3 2 5" xfId="19002" xr:uid="{00000000-0005-0000-0000-0000081D0000}"/>
    <cellStyle name="20% - Accent3 2 3 3 2 3 3" xfId="23865" xr:uid="{00000000-0005-0000-0000-0000091D0000}"/>
    <cellStyle name="20% - Accent3 2 3 3 2 3 4" xfId="33590" xr:uid="{00000000-0005-0000-0000-00000A1D0000}"/>
    <cellStyle name="20% - Accent3 2 3 3 2 3 5" xfId="43315" xr:uid="{00000000-0005-0000-0000-00000B1D0000}"/>
    <cellStyle name="20% - Accent3 2 3 3 2 3 6" xfId="14140" xr:uid="{00000000-0005-0000-0000-00000C1D0000}"/>
    <cellStyle name="20% - Accent3 2 3 3 2 4" xfId="6036" xr:uid="{00000000-0005-0000-0000-00000D1D0000}"/>
    <cellStyle name="20% - Accent3 2 3 3 2 4 2" xfId="25487" xr:uid="{00000000-0005-0000-0000-00000E1D0000}"/>
    <cellStyle name="20% - Accent3 2 3 3 2 4 3" xfId="35212" xr:uid="{00000000-0005-0000-0000-00000F1D0000}"/>
    <cellStyle name="20% - Accent3 2 3 3 2 4 4" xfId="44937" xr:uid="{00000000-0005-0000-0000-0000101D0000}"/>
    <cellStyle name="20% - Accent3 2 3 3 2 4 5" xfId="15762" xr:uid="{00000000-0005-0000-0000-0000111D0000}"/>
    <cellStyle name="20% - Accent3 2 3 3 2 5" xfId="20625" xr:uid="{00000000-0005-0000-0000-0000121D0000}"/>
    <cellStyle name="20% - Accent3 2 3 3 2 6" xfId="30350" xr:uid="{00000000-0005-0000-0000-0000131D0000}"/>
    <cellStyle name="20% - Accent3 2 3 3 2 7" xfId="40075" xr:uid="{00000000-0005-0000-0000-0000141D0000}"/>
    <cellStyle name="20% - Accent3 2 3 3 2 8" xfId="10900" xr:uid="{00000000-0005-0000-0000-0000151D0000}"/>
    <cellStyle name="20% - Accent3 2 3 3 3" xfId="1623" xr:uid="{00000000-0005-0000-0000-0000161D0000}"/>
    <cellStyle name="20% - Accent3 2 3 3 3 2" xfId="3244" xr:uid="{00000000-0005-0000-0000-0000171D0000}"/>
    <cellStyle name="20% - Accent3 2 3 3 3 2 2" xfId="8106" xr:uid="{00000000-0005-0000-0000-0000181D0000}"/>
    <cellStyle name="20% - Accent3 2 3 3 3 2 2 2" xfId="27557" xr:uid="{00000000-0005-0000-0000-0000191D0000}"/>
    <cellStyle name="20% - Accent3 2 3 3 3 2 2 3" xfId="37282" xr:uid="{00000000-0005-0000-0000-00001A1D0000}"/>
    <cellStyle name="20% - Accent3 2 3 3 3 2 2 4" xfId="47007" xr:uid="{00000000-0005-0000-0000-00001B1D0000}"/>
    <cellStyle name="20% - Accent3 2 3 3 3 2 2 5" xfId="17832" xr:uid="{00000000-0005-0000-0000-00001C1D0000}"/>
    <cellStyle name="20% - Accent3 2 3 3 3 2 3" xfId="22695" xr:uid="{00000000-0005-0000-0000-00001D1D0000}"/>
    <cellStyle name="20% - Accent3 2 3 3 3 2 4" xfId="32420" xr:uid="{00000000-0005-0000-0000-00001E1D0000}"/>
    <cellStyle name="20% - Accent3 2 3 3 3 2 5" xfId="42145" xr:uid="{00000000-0005-0000-0000-00001F1D0000}"/>
    <cellStyle name="20% - Accent3 2 3 3 3 2 6" xfId="12970" xr:uid="{00000000-0005-0000-0000-0000201D0000}"/>
    <cellStyle name="20% - Accent3 2 3 3 3 3" xfId="4864" xr:uid="{00000000-0005-0000-0000-0000211D0000}"/>
    <cellStyle name="20% - Accent3 2 3 3 3 3 2" xfId="9726" xr:uid="{00000000-0005-0000-0000-0000221D0000}"/>
    <cellStyle name="20% - Accent3 2 3 3 3 3 2 2" xfId="29177" xr:uid="{00000000-0005-0000-0000-0000231D0000}"/>
    <cellStyle name="20% - Accent3 2 3 3 3 3 2 3" xfId="38902" xr:uid="{00000000-0005-0000-0000-0000241D0000}"/>
    <cellStyle name="20% - Accent3 2 3 3 3 3 2 4" xfId="48627" xr:uid="{00000000-0005-0000-0000-0000251D0000}"/>
    <cellStyle name="20% - Accent3 2 3 3 3 3 2 5" xfId="19452" xr:uid="{00000000-0005-0000-0000-0000261D0000}"/>
    <cellStyle name="20% - Accent3 2 3 3 3 3 3" xfId="24315" xr:uid="{00000000-0005-0000-0000-0000271D0000}"/>
    <cellStyle name="20% - Accent3 2 3 3 3 3 4" xfId="34040" xr:uid="{00000000-0005-0000-0000-0000281D0000}"/>
    <cellStyle name="20% - Accent3 2 3 3 3 3 5" xfId="43765" xr:uid="{00000000-0005-0000-0000-0000291D0000}"/>
    <cellStyle name="20% - Accent3 2 3 3 3 3 6" xfId="14590" xr:uid="{00000000-0005-0000-0000-00002A1D0000}"/>
    <cellStyle name="20% - Accent3 2 3 3 3 4" xfId="6486" xr:uid="{00000000-0005-0000-0000-00002B1D0000}"/>
    <cellStyle name="20% - Accent3 2 3 3 3 4 2" xfId="25937" xr:uid="{00000000-0005-0000-0000-00002C1D0000}"/>
    <cellStyle name="20% - Accent3 2 3 3 3 4 3" xfId="35662" xr:uid="{00000000-0005-0000-0000-00002D1D0000}"/>
    <cellStyle name="20% - Accent3 2 3 3 3 4 4" xfId="45387" xr:uid="{00000000-0005-0000-0000-00002E1D0000}"/>
    <cellStyle name="20% - Accent3 2 3 3 3 4 5" xfId="16212" xr:uid="{00000000-0005-0000-0000-00002F1D0000}"/>
    <cellStyle name="20% - Accent3 2 3 3 3 5" xfId="21075" xr:uid="{00000000-0005-0000-0000-0000301D0000}"/>
    <cellStyle name="20% - Accent3 2 3 3 3 6" xfId="30800" xr:uid="{00000000-0005-0000-0000-0000311D0000}"/>
    <cellStyle name="20% - Accent3 2 3 3 3 7" xfId="40525" xr:uid="{00000000-0005-0000-0000-0000321D0000}"/>
    <cellStyle name="20% - Accent3 2 3 3 3 8" xfId="11350" xr:uid="{00000000-0005-0000-0000-0000331D0000}"/>
    <cellStyle name="20% - Accent3 2 3 3 4" xfId="794" xr:uid="{00000000-0005-0000-0000-0000341D0000}"/>
    <cellStyle name="20% - Accent3 2 3 3 4 2" xfId="2434" xr:uid="{00000000-0005-0000-0000-0000351D0000}"/>
    <cellStyle name="20% - Accent3 2 3 3 4 2 2" xfId="7296" xr:uid="{00000000-0005-0000-0000-0000361D0000}"/>
    <cellStyle name="20% - Accent3 2 3 3 4 2 2 2" xfId="26747" xr:uid="{00000000-0005-0000-0000-0000371D0000}"/>
    <cellStyle name="20% - Accent3 2 3 3 4 2 2 3" xfId="36472" xr:uid="{00000000-0005-0000-0000-0000381D0000}"/>
    <cellStyle name="20% - Accent3 2 3 3 4 2 2 4" xfId="46197" xr:uid="{00000000-0005-0000-0000-0000391D0000}"/>
    <cellStyle name="20% - Accent3 2 3 3 4 2 2 5" xfId="17022" xr:uid="{00000000-0005-0000-0000-00003A1D0000}"/>
    <cellStyle name="20% - Accent3 2 3 3 4 2 3" xfId="21885" xr:uid="{00000000-0005-0000-0000-00003B1D0000}"/>
    <cellStyle name="20% - Accent3 2 3 3 4 2 4" xfId="31610" xr:uid="{00000000-0005-0000-0000-00003C1D0000}"/>
    <cellStyle name="20% - Accent3 2 3 3 4 2 5" xfId="41335" xr:uid="{00000000-0005-0000-0000-00003D1D0000}"/>
    <cellStyle name="20% - Accent3 2 3 3 4 2 6" xfId="12160" xr:uid="{00000000-0005-0000-0000-00003E1D0000}"/>
    <cellStyle name="20% - Accent3 2 3 3 4 3" xfId="4054" xr:uid="{00000000-0005-0000-0000-00003F1D0000}"/>
    <cellStyle name="20% - Accent3 2 3 3 4 3 2" xfId="8916" xr:uid="{00000000-0005-0000-0000-0000401D0000}"/>
    <cellStyle name="20% - Accent3 2 3 3 4 3 2 2" xfId="28367" xr:uid="{00000000-0005-0000-0000-0000411D0000}"/>
    <cellStyle name="20% - Accent3 2 3 3 4 3 2 3" xfId="38092" xr:uid="{00000000-0005-0000-0000-0000421D0000}"/>
    <cellStyle name="20% - Accent3 2 3 3 4 3 2 4" xfId="47817" xr:uid="{00000000-0005-0000-0000-0000431D0000}"/>
    <cellStyle name="20% - Accent3 2 3 3 4 3 2 5" xfId="18642" xr:uid="{00000000-0005-0000-0000-0000441D0000}"/>
    <cellStyle name="20% - Accent3 2 3 3 4 3 3" xfId="23505" xr:uid="{00000000-0005-0000-0000-0000451D0000}"/>
    <cellStyle name="20% - Accent3 2 3 3 4 3 4" xfId="33230" xr:uid="{00000000-0005-0000-0000-0000461D0000}"/>
    <cellStyle name="20% - Accent3 2 3 3 4 3 5" xfId="42955" xr:uid="{00000000-0005-0000-0000-0000471D0000}"/>
    <cellStyle name="20% - Accent3 2 3 3 4 3 6" xfId="13780" xr:uid="{00000000-0005-0000-0000-0000481D0000}"/>
    <cellStyle name="20% - Accent3 2 3 3 4 4" xfId="5676" xr:uid="{00000000-0005-0000-0000-0000491D0000}"/>
    <cellStyle name="20% - Accent3 2 3 3 4 4 2" xfId="25127" xr:uid="{00000000-0005-0000-0000-00004A1D0000}"/>
    <cellStyle name="20% - Accent3 2 3 3 4 4 3" xfId="34852" xr:uid="{00000000-0005-0000-0000-00004B1D0000}"/>
    <cellStyle name="20% - Accent3 2 3 3 4 4 4" xfId="44577" xr:uid="{00000000-0005-0000-0000-00004C1D0000}"/>
    <cellStyle name="20% - Accent3 2 3 3 4 4 5" xfId="15402" xr:uid="{00000000-0005-0000-0000-00004D1D0000}"/>
    <cellStyle name="20% - Accent3 2 3 3 4 5" xfId="20265" xr:uid="{00000000-0005-0000-0000-00004E1D0000}"/>
    <cellStyle name="20% - Accent3 2 3 3 4 6" xfId="29990" xr:uid="{00000000-0005-0000-0000-00004F1D0000}"/>
    <cellStyle name="20% - Accent3 2 3 3 4 7" xfId="39715" xr:uid="{00000000-0005-0000-0000-0000501D0000}"/>
    <cellStyle name="20% - Accent3 2 3 3 4 8" xfId="10540" xr:uid="{00000000-0005-0000-0000-0000511D0000}"/>
    <cellStyle name="20% - Accent3 2 3 3 5" xfId="2074" xr:uid="{00000000-0005-0000-0000-0000521D0000}"/>
    <cellStyle name="20% - Accent3 2 3 3 5 2" xfId="6936" xr:uid="{00000000-0005-0000-0000-0000531D0000}"/>
    <cellStyle name="20% - Accent3 2 3 3 5 2 2" xfId="26387" xr:uid="{00000000-0005-0000-0000-0000541D0000}"/>
    <cellStyle name="20% - Accent3 2 3 3 5 2 3" xfId="36112" xr:uid="{00000000-0005-0000-0000-0000551D0000}"/>
    <cellStyle name="20% - Accent3 2 3 3 5 2 4" xfId="45837" xr:uid="{00000000-0005-0000-0000-0000561D0000}"/>
    <cellStyle name="20% - Accent3 2 3 3 5 2 5" xfId="16662" xr:uid="{00000000-0005-0000-0000-0000571D0000}"/>
    <cellStyle name="20% - Accent3 2 3 3 5 3" xfId="21525" xr:uid="{00000000-0005-0000-0000-0000581D0000}"/>
    <cellStyle name="20% - Accent3 2 3 3 5 4" xfId="31250" xr:uid="{00000000-0005-0000-0000-0000591D0000}"/>
    <cellStyle name="20% - Accent3 2 3 3 5 5" xfId="40975" xr:uid="{00000000-0005-0000-0000-00005A1D0000}"/>
    <cellStyle name="20% - Accent3 2 3 3 5 6" xfId="11800" xr:uid="{00000000-0005-0000-0000-00005B1D0000}"/>
    <cellStyle name="20% - Accent3 2 3 3 6" xfId="3694" xr:uid="{00000000-0005-0000-0000-00005C1D0000}"/>
    <cellStyle name="20% - Accent3 2 3 3 6 2" xfId="8556" xr:uid="{00000000-0005-0000-0000-00005D1D0000}"/>
    <cellStyle name="20% - Accent3 2 3 3 6 2 2" xfId="28007" xr:uid="{00000000-0005-0000-0000-00005E1D0000}"/>
    <cellStyle name="20% - Accent3 2 3 3 6 2 3" xfId="37732" xr:uid="{00000000-0005-0000-0000-00005F1D0000}"/>
    <cellStyle name="20% - Accent3 2 3 3 6 2 4" xfId="47457" xr:uid="{00000000-0005-0000-0000-0000601D0000}"/>
    <cellStyle name="20% - Accent3 2 3 3 6 2 5" xfId="18282" xr:uid="{00000000-0005-0000-0000-0000611D0000}"/>
    <cellStyle name="20% - Accent3 2 3 3 6 3" xfId="23145" xr:uid="{00000000-0005-0000-0000-0000621D0000}"/>
    <cellStyle name="20% - Accent3 2 3 3 6 4" xfId="32870" xr:uid="{00000000-0005-0000-0000-0000631D0000}"/>
    <cellStyle name="20% - Accent3 2 3 3 6 5" xfId="42595" xr:uid="{00000000-0005-0000-0000-0000641D0000}"/>
    <cellStyle name="20% - Accent3 2 3 3 6 6" xfId="13420" xr:uid="{00000000-0005-0000-0000-0000651D0000}"/>
    <cellStyle name="20% - Accent3 2 3 3 7" xfId="5316" xr:uid="{00000000-0005-0000-0000-0000661D0000}"/>
    <cellStyle name="20% - Accent3 2 3 3 7 2" xfId="24767" xr:uid="{00000000-0005-0000-0000-0000671D0000}"/>
    <cellStyle name="20% - Accent3 2 3 3 7 3" xfId="34492" xr:uid="{00000000-0005-0000-0000-0000681D0000}"/>
    <cellStyle name="20% - Accent3 2 3 3 7 4" xfId="44217" xr:uid="{00000000-0005-0000-0000-0000691D0000}"/>
    <cellStyle name="20% - Accent3 2 3 3 7 5" xfId="15042" xr:uid="{00000000-0005-0000-0000-00006A1D0000}"/>
    <cellStyle name="20% - Accent3 2 3 3 8" xfId="19905" xr:uid="{00000000-0005-0000-0000-00006B1D0000}"/>
    <cellStyle name="20% - Accent3 2 3 3 9" xfId="29630" xr:uid="{00000000-0005-0000-0000-00006C1D0000}"/>
    <cellStyle name="20% - Accent3 2 3 4" xfId="211" xr:uid="{00000000-0005-0000-0000-00006D1D0000}"/>
    <cellStyle name="20% - Accent3 2 3 4 10" xfId="39175" xr:uid="{00000000-0005-0000-0000-00006E1D0000}"/>
    <cellStyle name="20% - Accent3 2 3 4 11" xfId="10000" xr:uid="{00000000-0005-0000-0000-00006F1D0000}"/>
    <cellStyle name="20% - Accent3 2 3 4 2" xfId="975" xr:uid="{00000000-0005-0000-0000-0000701D0000}"/>
    <cellStyle name="20% - Accent3 2 3 4 2 2" xfId="2614" xr:uid="{00000000-0005-0000-0000-0000711D0000}"/>
    <cellStyle name="20% - Accent3 2 3 4 2 2 2" xfId="7476" xr:uid="{00000000-0005-0000-0000-0000721D0000}"/>
    <cellStyle name="20% - Accent3 2 3 4 2 2 2 2" xfId="26927" xr:uid="{00000000-0005-0000-0000-0000731D0000}"/>
    <cellStyle name="20% - Accent3 2 3 4 2 2 2 3" xfId="36652" xr:uid="{00000000-0005-0000-0000-0000741D0000}"/>
    <cellStyle name="20% - Accent3 2 3 4 2 2 2 4" xfId="46377" xr:uid="{00000000-0005-0000-0000-0000751D0000}"/>
    <cellStyle name="20% - Accent3 2 3 4 2 2 2 5" xfId="17202" xr:uid="{00000000-0005-0000-0000-0000761D0000}"/>
    <cellStyle name="20% - Accent3 2 3 4 2 2 3" xfId="22065" xr:uid="{00000000-0005-0000-0000-0000771D0000}"/>
    <cellStyle name="20% - Accent3 2 3 4 2 2 4" xfId="31790" xr:uid="{00000000-0005-0000-0000-0000781D0000}"/>
    <cellStyle name="20% - Accent3 2 3 4 2 2 5" xfId="41515" xr:uid="{00000000-0005-0000-0000-0000791D0000}"/>
    <cellStyle name="20% - Accent3 2 3 4 2 2 6" xfId="12340" xr:uid="{00000000-0005-0000-0000-00007A1D0000}"/>
    <cellStyle name="20% - Accent3 2 3 4 2 3" xfId="4234" xr:uid="{00000000-0005-0000-0000-00007B1D0000}"/>
    <cellStyle name="20% - Accent3 2 3 4 2 3 2" xfId="9096" xr:uid="{00000000-0005-0000-0000-00007C1D0000}"/>
    <cellStyle name="20% - Accent3 2 3 4 2 3 2 2" xfId="28547" xr:uid="{00000000-0005-0000-0000-00007D1D0000}"/>
    <cellStyle name="20% - Accent3 2 3 4 2 3 2 3" xfId="38272" xr:uid="{00000000-0005-0000-0000-00007E1D0000}"/>
    <cellStyle name="20% - Accent3 2 3 4 2 3 2 4" xfId="47997" xr:uid="{00000000-0005-0000-0000-00007F1D0000}"/>
    <cellStyle name="20% - Accent3 2 3 4 2 3 2 5" xfId="18822" xr:uid="{00000000-0005-0000-0000-0000801D0000}"/>
    <cellStyle name="20% - Accent3 2 3 4 2 3 3" xfId="23685" xr:uid="{00000000-0005-0000-0000-0000811D0000}"/>
    <cellStyle name="20% - Accent3 2 3 4 2 3 4" xfId="33410" xr:uid="{00000000-0005-0000-0000-0000821D0000}"/>
    <cellStyle name="20% - Accent3 2 3 4 2 3 5" xfId="43135" xr:uid="{00000000-0005-0000-0000-0000831D0000}"/>
    <cellStyle name="20% - Accent3 2 3 4 2 3 6" xfId="13960" xr:uid="{00000000-0005-0000-0000-0000841D0000}"/>
    <cellStyle name="20% - Accent3 2 3 4 2 4" xfId="5856" xr:uid="{00000000-0005-0000-0000-0000851D0000}"/>
    <cellStyle name="20% - Accent3 2 3 4 2 4 2" xfId="25307" xr:uid="{00000000-0005-0000-0000-0000861D0000}"/>
    <cellStyle name="20% - Accent3 2 3 4 2 4 3" xfId="35032" xr:uid="{00000000-0005-0000-0000-0000871D0000}"/>
    <cellStyle name="20% - Accent3 2 3 4 2 4 4" xfId="44757" xr:uid="{00000000-0005-0000-0000-0000881D0000}"/>
    <cellStyle name="20% - Accent3 2 3 4 2 4 5" xfId="15582" xr:uid="{00000000-0005-0000-0000-0000891D0000}"/>
    <cellStyle name="20% - Accent3 2 3 4 2 5" xfId="20445" xr:uid="{00000000-0005-0000-0000-00008A1D0000}"/>
    <cellStyle name="20% - Accent3 2 3 4 2 6" xfId="30170" xr:uid="{00000000-0005-0000-0000-00008B1D0000}"/>
    <cellStyle name="20% - Accent3 2 3 4 2 7" xfId="39895" xr:uid="{00000000-0005-0000-0000-00008C1D0000}"/>
    <cellStyle name="20% - Accent3 2 3 4 2 8" xfId="10720" xr:uid="{00000000-0005-0000-0000-00008D1D0000}"/>
    <cellStyle name="20% - Accent3 2 3 4 3" xfId="1443" xr:uid="{00000000-0005-0000-0000-00008E1D0000}"/>
    <cellStyle name="20% - Accent3 2 3 4 3 2" xfId="3064" xr:uid="{00000000-0005-0000-0000-00008F1D0000}"/>
    <cellStyle name="20% - Accent3 2 3 4 3 2 2" xfId="7926" xr:uid="{00000000-0005-0000-0000-0000901D0000}"/>
    <cellStyle name="20% - Accent3 2 3 4 3 2 2 2" xfId="27377" xr:uid="{00000000-0005-0000-0000-0000911D0000}"/>
    <cellStyle name="20% - Accent3 2 3 4 3 2 2 3" xfId="37102" xr:uid="{00000000-0005-0000-0000-0000921D0000}"/>
    <cellStyle name="20% - Accent3 2 3 4 3 2 2 4" xfId="46827" xr:uid="{00000000-0005-0000-0000-0000931D0000}"/>
    <cellStyle name="20% - Accent3 2 3 4 3 2 2 5" xfId="17652" xr:uid="{00000000-0005-0000-0000-0000941D0000}"/>
    <cellStyle name="20% - Accent3 2 3 4 3 2 3" xfId="22515" xr:uid="{00000000-0005-0000-0000-0000951D0000}"/>
    <cellStyle name="20% - Accent3 2 3 4 3 2 4" xfId="32240" xr:uid="{00000000-0005-0000-0000-0000961D0000}"/>
    <cellStyle name="20% - Accent3 2 3 4 3 2 5" xfId="41965" xr:uid="{00000000-0005-0000-0000-0000971D0000}"/>
    <cellStyle name="20% - Accent3 2 3 4 3 2 6" xfId="12790" xr:uid="{00000000-0005-0000-0000-0000981D0000}"/>
    <cellStyle name="20% - Accent3 2 3 4 3 3" xfId="4684" xr:uid="{00000000-0005-0000-0000-0000991D0000}"/>
    <cellStyle name="20% - Accent3 2 3 4 3 3 2" xfId="9546" xr:uid="{00000000-0005-0000-0000-00009A1D0000}"/>
    <cellStyle name="20% - Accent3 2 3 4 3 3 2 2" xfId="28997" xr:uid="{00000000-0005-0000-0000-00009B1D0000}"/>
    <cellStyle name="20% - Accent3 2 3 4 3 3 2 3" xfId="38722" xr:uid="{00000000-0005-0000-0000-00009C1D0000}"/>
    <cellStyle name="20% - Accent3 2 3 4 3 3 2 4" xfId="48447" xr:uid="{00000000-0005-0000-0000-00009D1D0000}"/>
    <cellStyle name="20% - Accent3 2 3 4 3 3 2 5" xfId="19272" xr:uid="{00000000-0005-0000-0000-00009E1D0000}"/>
    <cellStyle name="20% - Accent3 2 3 4 3 3 3" xfId="24135" xr:uid="{00000000-0005-0000-0000-00009F1D0000}"/>
    <cellStyle name="20% - Accent3 2 3 4 3 3 4" xfId="33860" xr:uid="{00000000-0005-0000-0000-0000A01D0000}"/>
    <cellStyle name="20% - Accent3 2 3 4 3 3 5" xfId="43585" xr:uid="{00000000-0005-0000-0000-0000A11D0000}"/>
    <cellStyle name="20% - Accent3 2 3 4 3 3 6" xfId="14410" xr:uid="{00000000-0005-0000-0000-0000A21D0000}"/>
    <cellStyle name="20% - Accent3 2 3 4 3 4" xfId="6306" xr:uid="{00000000-0005-0000-0000-0000A31D0000}"/>
    <cellStyle name="20% - Accent3 2 3 4 3 4 2" xfId="25757" xr:uid="{00000000-0005-0000-0000-0000A41D0000}"/>
    <cellStyle name="20% - Accent3 2 3 4 3 4 3" xfId="35482" xr:uid="{00000000-0005-0000-0000-0000A51D0000}"/>
    <cellStyle name="20% - Accent3 2 3 4 3 4 4" xfId="45207" xr:uid="{00000000-0005-0000-0000-0000A61D0000}"/>
    <cellStyle name="20% - Accent3 2 3 4 3 4 5" xfId="16032" xr:uid="{00000000-0005-0000-0000-0000A71D0000}"/>
    <cellStyle name="20% - Accent3 2 3 4 3 5" xfId="20895" xr:uid="{00000000-0005-0000-0000-0000A81D0000}"/>
    <cellStyle name="20% - Accent3 2 3 4 3 6" xfId="30620" xr:uid="{00000000-0005-0000-0000-0000A91D0000}"/>
    <cellStyle name="20% - Accent3 2 3 4 3 7" xfId="40345" xr:uid="{00000000-0005-0000-0000-0000AA1D0000}"/>
    <cellStyle name="20% - Accent3 2 3 4 3 8" xfId="11170" xr:uid="{00000000-0005-0000-0000-0000AB1D0000}"/>
    <cellStyle name="20% - Accent3 2 3 4 4" xfId="614" xr:uid="{00000000-0005-0000-0000-0000AC1D0000}"/>
    <cellStyle name="20% - Accent3 2 3 4 4 2" xfId="2254" xr:uid="{00000000-0005-0000-0000-0000AD1D0000}"/>
    <cellStyle name="20% - Accent3 2 3 4 4 2 2" xfId="7116" xr:uid="{00000000-0005-0000-0000-0000AE1D0000}"/>
    <cellStyle name="20% - Accent3 2 3 4 4 2 2 2" xfId="26567" xr:uid="{00000000-0005-0000-0000-0000AF1D0000}"/>
    <cellStyle name="20% - Accent3 2 3 4 4 2 2 3" xfId="36292" xr:uid="{00000000-0005-0000-0000-0000B01D0000}"/>
    <cellStyle name="20% - Accent3 2 3 4 4 2 2 4" xfId="46017" xr:uid="{00000000-0005-0000-0000-0000B11D0000}"/>
    <cellStyle name="20% - Accent3 2 3 4 4 2 2 5" xfId="16842" xr:uid="{00000000-0005-0000-0000-0000B21D0000}"/>
    <cellStyle name="20% - Accent3 2 3 4 4 2 3" xfId="21705" xr:uid="{00000000-0005-0000-0000-0000B31D0000}"/>
    <cellStyle name="20% - Accent3 2 3 4 4 2 4" xfId="31430" xr:uid="{00000000-0005-0000-0000-0000B41D0000}"/>
    <cellStyle name="20% - Accent3 2 3 4 4 2 5" xfId="41155" xr:uid="{00000000-0005-0000-0000-0000B51D0000}"/>
    <cellStyle name="20% - Accent3 2 3 4 4 2 6" xfId="11980" xr:uid="{00000000-0005-0000-0000-0000B61D0000}"/>
    <cellStyle name="20% - Accent3 2 3 4 4 3" xfId="3874" xr:uid="{00000000-0005-0000-0000-0000B71D0000}"/>
    <cellStyle name="20% - Accent3 2 3 4 4 3 2" xfId="8736" xr:uid="{00000000-0005-0000-0000-0000B81D0000}"/>
    <cellStyle name="20% - Accent3 2 3 4 4 3 2 2" xfId="28187" xr:uid="{00000000-0005-0000-0000-0000B91D0000}"/>
    <cellStyle name="20% - Accent3 2 3 4 4 3 2 3" xfId="37912" xr:uid="{00000000-0005-0000-0000-0000BA1D0000}"/>
    <cellStyle name="20% - Accent3 2 3 4 4 3 2 4" xfId="47637" xr:uid="{00000000-0005-0000-0000-0000BB1D0000}"/>
    <cellStyle name="20% - Accent3 2 3 4 4 3 2 5" xfId="18462" xr:uid="{00000000-0005-0000-0000-0000BC1D0000}"/>
    <cellStyle name="20% - Accent3 2 3 4 4 3 3" xfId="23325" xr:uid="{00000000-0005-0000-0000-0000BD1D0000}"/>
    <cellStyle name="20% - Accent3 2 3 4 4 3 4" xfId="33050" xr:uid="{00000000-0005-0000-0000-0000BE1D0000}"/>
    <cellStyle name="20% - Accent3 2 3 4 4 3 5" xfId="42775" xr:uid="{00000000-0005-0000-0000-0000BF1D0000}"/>
    <cellStyle name="20% - Accent3 2 3 4 4 3 6" xfId="13600" xr:uid="{00000000-0005-0000-0000-0000C01D0000}"/>
    <cellStyle name="20% - Accent3 2 3 4 4 4" xfId="5496" xr:uid="{00000000-0005-0000-0000-0000C11D0000}"/>
    <cellStyle name="20% - Accent3 2 3 4 4 4 2" xfId="24947" xr:uid="{00000000-0005-0000-0000-0000C21D0000}"/>
    <cellStyle name="20% - Accent3 2 3 4 4 4 3" xfId="34672" xr:uid="{00000000-0005-0000-0000-0000C31D0000}"/>
    <cellStyle name="20% - Accent3 2 3 4 4 4 4" xfId="44397" xr:uid="{00000000-0005-0000-0000-0000C41D0000}"/>
    <cellStyle name="20% - Accent3 2 3 4 4 4 5" xfId="15222" xr:uid="{00000000-0005-0000-0000-0000C51D0000}"/>
    <cellStyle name="20% - Accent3 2 3 4 4 5" xfId="20085" xr:uid="{00000000-0005-0000-0000-0000C61D0000}"/>
    <cellStyle name="20% - Accent3 2 3 4 4 6" xfId="29810" xr:uid="{00000000-0005-0000-0000-0000C71D0000}"/>
    <cellStyle name="20% - Accent3 2 3 4 4 7" xfId="39535" xr:uid="{00000000-0005-0000-0000-0000C81D0000}"/>
    <cellStyle name="20% - Accent3 2 3 4 4 8" xfId="10360" xr:uid="{00000000-0005-0000-0000-0000C91D0000}"/>
    <cellStyle name="20% - Accent3 2 3 4 5" xfId="1894" xr:uid="{00000000-0005-0000-0000-0000CA1D0000}"/>
    <cellStyle name="20% - Accent3 2 3 4 5 2" xfId="6756" xr:uid="{00000000-0005-0000-0000-0000CB1D0000}"/>
    <cellStyle name="20% - Accent3 2 3 4 5 2 2" xfId="26207" xr:uid="{00000000-0005-0000-0000-0000CC1D0000}"/>
    <cellStyle name="20% - Accent3 2 3 4 5 2 3" xfId="35932" xr:uid="{00000000-0005-0000-0000-0000CD1D0000}"/>
    <cellStyle name="20% - Accent3 2 3 4 5 2 4" xfId="45657" xr:uid="{00000000-0005-0000-0000-0000CE1D0000}"/>
    <cellStyle name="20% - Accent3 2 3 4 5 2 5" xfId="16482" xr:uid="{00000000-0005-0000-0000-0000CF1D0000}"/>
    <cellStyle name="20% - Accent3 2 3 4 5 3" xfId="21345" xr:uid="{00000000-0005-0000-0000-0000D01D0000}"/>
    <cellStyle name="20% - Accent3 2 3 4 5 4" xfId="31070" xr:uid="{00000000-0005-0000-0000-0000D11D0000}"/>
    <cellStyle name="20% - Accent3 2 3 4 5 5" xfId="40795" xr:uid="{00000000-0005-0000-0000-0000D21D0000}"/>
    <cellStyle name="20% - Accent3 2 3 4 5 6" xfId="11620" xr:uid="{00000000-0005-0000-0000-0000D31D0000}"/>
    <cellStyle name="20% - Accent3 2 3 4 6" xfId="3514" xr:uid="{00000000-0005-0000-0000-0000D41D0000}"/>
    <cellStyle name="20% - Accent3 2 3 4 6 2" xfId="8376" xr:uid="{00000000-0005-0000-0000-0000D51D0000}"/>
    <cellStyle name="20% - Accent3 2 3 4 6 2 2" xfId="27827" xr:uid="{00000000-0005-0000-0000-0000D61D0000}"/>
    <cellStyle name="20% - Accent3 2 3 4 6 2 3" xfId="37552" xr:uid="{00000000-0005-0000-0000-0000D71D0000}"/>
    <cellStyle name="20% - Accent3 2 3 4 6 2 4" xfId="47277" xr:uid="{00000000-0005-0000-0000-0000D81D0000}"/>
    <cellStyle name="20% - Accent3 2 3 4 6 2 5" xfId="18102" xr:uid="{00000000-0005-0000-0000-0000D91D0000}"/>
    <cellStyle name="20% - Accent3 2 3 4 6 3" xfId="22965" xr:uid="{00000000-0005-0000-0000-0000DA1D0000}"/>
    <cellStyle name="20% - Accent3 2 3 4 6 4" xfId="32690" xr:uid="{00000000-0005-0000-0000-0000DB1D0000}"/>
    <cellStyle name="20% - Accent3 2 3 4 6 5" xfId="42415" xr:uid="{00000000-0005-0000-0000-0000DC1D0000}"/>
    <cellStyle name="20% - Accent3 2 3 4 6 6" xfId="13240" xr:uid="{00000000-0005-0000-0000-0000DD1D0000}"/>
    <cellStyle name="20% - Accent3 2 3 4 7" xfId="5136" xr:uid="{00000000-0005-0000-0000-0000DE1D0000}"/>
    <cellStyle name="20% - Accent3 2 3 4 7 2" xfId="24587" xr:uid="{00000000-0005-0000-0000-0000DF1D0000}"/>
    <cellStyle name="20% - Accent3 2 3 4 7 3" xfId="34312" xr:uid="{00000000-0005-0000-0000-0000E01D0000}"/>
    <cellStyle name="20% - Accent3 2 3 4 7 4" xfId="44037" xr:uid="{00000000-0005-0000-0000-0000E11D0000}"/>
    <cellStyle name="20% - Accent3 2 3 4 7 5" xfId="14862" xr:uid="{00000000-0005-0000-0000-0000E21D0000}"/>
    <cellStyle name="20% - Accent3 2 3 4 8" xfId="19725" xr:uid="{00000000-0005-0000-0000-0000E31D0000}"/>
    <cellStyle name="20% - Accent3 2 3 4 9" xfId="29450" xr:uid="{00000000-0005-0000-0000-0000E41D0000}"/>
    <cellStyle name="20% - Accent3 2 3 5" xfId="885" xr:uid="{00000000-0005-0000-0000-0000E51D0000}"/>
    <cellStyle name="20% - Accent3 2 3 5 2" xfId="2524" xr:uid="{00000000-0005-0000-0000-0000E61D0000}"/>
    <cellStyle name="20% - Accent3 2 3 5 2 2" xfId="7386" xr:uid="{00000000-0005-0000-0000-0000E71D0000}"/>
    <cellStyle name="20% - Accent3 2 3 5 2 2 2" xfId="26837" xr:uid="{00000000-0005-0000-0000-0000E81D0000}"/>
    <cellStyle name="20% - Accent3 2 3 5 2 2 3" xfId="36562" xr:uid="{00000000-0005-0000-0000-0000E91D0000}"/>
    <cellStyle name="20% - Accent3 2 3 5 2 2 4" xfId="46287" xr:uid="{00000000-0005-0000-0000-0000EA1D0000}"/>
    <cellStyle name="20% - Accent3 2 3 5 2 2 5" xfId="17112" xr:uid="{00000000-0005-0000-0000-0000EB1D0000}"/>
    <cellStyle name="20% - Accent3 2 3 5 2 3" xfId="21975" xr:uid="{00000000-0005-0000-0000-0000EC1D0000}"/>
    <cellStyle name="20% - Accent3 2 3 5 2 4" xfId="31700" xr:uid="{00000000-0005-0000-0000-0000ED1D0000}"/>
    <cellStyle name="20% - Accent3 2 3 5 2 5" xfId="41425" xr:uid="{00000000-0005-0000-0000-0000EE1D0000}"/>
    <cellStyle name="20% - Accent3 2 3 5 2 6" xfId="12250" xr:uid="{00000000-0005-0000-0000-0000EF1D0000}"/>
    <cellStyle name="20% - Accent3 2 3 5 3" xfId="4144" xr:uid="{00000000-0005-0000-0000-0000F01D0000}"/>
    <cellStyle name="20% - Accent3 2 3 5 3 2" xfId="9006" xr:uid="{00000000-0005-0000-0000-0000F11D0000}"/>
    <cellStyle name="20% - Accent3 2 3 5 3 2 2" xfId="28457" xr:uid="{00000000-0005-0000-0000-0000F21D0000}"/>
    <cellStyle name="20% - Accent3 2 3 5 3 2 3" xfId="38182" xr:uid="{00000000-0005-0000-0000-0000F31D0000}"/>
    <cellStyle name="20% - Accent3 2 3 5 3 2 4" xfId="47907" xr:uid="{00000000-0005-0000-0000-0000F41D0000}"/>
    <cellStyle name="20% - Accent3 2 3 5 3 2 5" xfId="18732" xr:uid="{00000000-0005-0000-0000-0000F51D0000}"/>
    <cellStyle name="20% - Accent3 2 3 5 3 3" xfId="23595" xr:uid="{00000000-0005-0000-0000-0000F61D0000}"/>
    <cellStyle name="20% - Accent3 2 3 5 3 4" xfId="33320" xr:uid="{00000000-0005-0000-0000-0000F71D0000}"/>
    <cellStyle name="20% - Accent3 2 3 5 3 5" xfId="43045" xr:uid="{00000000-0005-0000-0000-0000F81D0000}"/>
    <cellStyle name="20% - Accent3 2 3 5 3 6" xfId="13870" xr:uid="{00000000-0005-0000-0000-0000F91D0000}"/>
    <cellStyle name="20% - Accent3 2 3 5 4" xfId="5766" xr:uid="{00000000-0005-0000-0000-0000FA1D0000}"/>
    <cellStyle name="20% - Accent3 2 3 5 4 2" xfId="25217" xr:uid="{00000000-0005-0000-0000-0000FB1D0000}"/>
    <cellStyle name="20% - Accent3 2 3 5 4 3" xfId="34942" xr:uid="{00000000-0005-0000-0000-0000FC1D0000}"/>
    <cellStyle name="20% - Accent3 2 3 5 4 4" xfId="44667" xr:uid="{00000000-0005-0000-0000-0000FD1D0000}"/>
    <cellStyle name="20% - Accent3 2 3 5 4 5" xfId="15492" xr:uid="{00000000-0005-0000-0000-0000FE1D0000}"/>
    <cellStyle name="20% - Accent3 2 3 5 5" xfId="20355" xr:uid="{00000000-0005-0000-0000-0000FF1D0000}"/>
    <cellStyle name="20% - Accent3 2 3 5 6" xfId="30080" xr:uid="{00000000-0005-0000-0000-0000001E0000}"/>
    <cellStyle name="20% - Accent3 2 3 5 7" xfId="39805" xr:uid="{00000000-0005-0000-0000-0000011E0000}"/>
    <cellStyle name="20% - Accent3 2 3 5 8" xfId="10630" xr:uid="{00000000-0005-0000-0000-0000021E0000}"/>
    <cellStyle name="20% - Accent3 2 3 6" xfId="1263" xr:uid="{00000000-0005-0000-0000-0000031E0000}"/>
    <cellStyle name="20% - Accent3 2 3 6 2" xfId="2884" xr:uid="{00000000-0005-0000-0000-0000041E0000}"/>
    <cellStyle name="20% - Accent3 2 3 6 2 2" xfId="7746" xr:uid="{00000000-0005-0000-0000-0000051E0000}"/>
    <cellStyle name="20% - Accent3 2 3 6 2 2 2" xfId="27197" xr:uid="{00000000-0005-0000-0000-0000061E0000}"/>
    <cellStyle name="20% - Accent3 2 3 6 2 2 3" xfId="36922" xr:uid="{00000000-0005-0000-0000-0000071E0000}"/>
    <cellStyle name="20% - Accent3 2 3 6 2 2 4" xfId="46647" xr:uid="{00000000-0005-0000-0000-0000081E0000}"/>
    <cellStyle name="20% - Accent3 2 3 6 2 2 5" xfId="17472" xr:uid="{00000000-0005-0000-0000-0000091E0000}"/>
    <cellStyle name="20% - Accent3 2 3 6 2 3" xfId="22335" xr:uid="{00000000-0005-0000-0000-00000A1E0000}"/>
    <cellStyle name="20% - Accent3 2 3 6 2 4" xfId="32060" xr:uid="{00000000-0005-0000-0000-00000B1E0000}"/>
    <cellStyle name="20% - Accent3 2 3 6 2 5" xfId="41785" xr:uid="{00000000-0005-0000-0000-00000C1E0000}"/>
    <cellStyle name="20% - Accent3 2 3 6 2 6" xfId="12610" xr:uid="{00000000-0005-0000-0000-00000D1E0000}"/>
    <cellStyle name="20% - Accent3 2 3 6 3" xfId="4504" xr:uid="{00000000-0005-0000-0000-00000E1E0000}"/>
    <cellStyle name="20% - Accent3 2 3 6 3 2" xfId="9366" xr:uid="{00000000-0005-0000-0000-00000F1E0000}"/>
    <cellStyle name="20% - Accent3 2 3 6 3 2 2" xfId="28817" xr:uid="{00000000-0005-0000-0000-0000101E0000}"/>
    <cellStyle name="20% - Accent3 2 3 6 3 2 3" xfId="38542" xr:uid="{00000000-0005-0000-0000-0000111E0000}"/>
    <cellStyle name="20% - Accent3 2 3 6 3 2 4" xfId="48267" xr:uid="{00000000-0005-0000-0000-0000121E0000}"/>
    <cellStyle name="20% - Accent3 2 3 6 3 2 5" xfId="19092" xr:uid="{00000000-0005-0000-0000-0000131E0000}"/>
    <cellStyle name="20% - Accent3 2 3 6 3 3" xfId="23955" xr:uid="{00000000-0005-0000-0000-0000141E0000}"/>
    <cellStyle name="20% - Accent3 2 3 6 3 4" xfId="33680" xr:uid="{00000000-0005-0000-0000-0000151E0000}"/>
    <cellStyle name="20% - Accent3 2 3 6 3 5" xfId="43405" xr:uid="{00000000-0005-0000-0000-0000161E0000}"/>
    <cellStyle name="20% - Accent3 2 3 6 3 6" xfId="14230" xr:uid="{00000000-0005-0000-0000-0000171E0000}"/>
    <cellStyle name="20% - Accent3 2 3 6 4" xfId="6126" xr:uid="{00000000-0005-0000-0000-0000181E0000}"/>
    <cellStyle name="20% - Accent3 2 3 6 4 2" xfId="25577" xr:uid="{00000000-0005-0000-0000-0000191E0000}"/>
    <cellStyle name="20% - Accent3 2 3 6 4 3" xfId="35302" xr:uid="{00000000-0005-0000-0000-00001A1E0000}"/>
    <cellStyle name="20% - Accent3 2 3 6 4 4" xfId="45027" xr:uid="{00000000-0005-0000-0000-00001B1E0000}"/>
    <cellStyle name="20% - Accent3 2 3 6 4 5" xfId="15852" xr:uid="{00000000-0005-0000-0000-00001C1E0000}"/>
    <cellStyle name="20% - Accent3 2 3 6 5" xfId="20715" xr:uid="{00000000-0005-0000-0000-00001D1E0000}"/>
    <cellStyle name="20% - Accent3 2 3 6 6" xfId="30440" xr:uid="{00000000-0005-0000-0000-00001E1E0000}"/>
    <cellStyle name="20% - Accent3 2 3 6 7" xfId="40165" xr:uid="{00000000-0005-0000-0000-00001F1E0000}"/>
    <cellStyle name="20% - Accent3 2 3 6 8" xfId="10990" xr:uid="{00000000-0005-0000-0000-0000201E0000}"/>
    <cellStyle name="20% - Accent3 2 3 7" xfId="1353" xr:uid="{00000000-0005-0000-0000-0000211E0000}"/>
    <cellStyle name="20% - Accent3 2 3 7 2" xfId="2974" xr:uid="{00000000-0005-0000-0000-0000221E0000}"/>
    <cellStyle name="20% - Accent3 2 3 7 2 2" xfId="7836" xr:uid="{00000000-0005-0000-0000-0000231E0000}"/>
    <cellStyle name="20% - Accent3 2 3 7 2 2 2" xfId="27287" xr:uid="{00000000-0005-0000-0000-0000241E0000}"/>
    <cellStyle name="20% - Accent3 2 3 7 2 2 3" xfId="37012" xr:uid="{00000000-0005-0000-0000-0000251E0000}"/>
    <cellStyle name="20% - Accent3 2 3 7 2 2 4" xfId="46737" xr:uid="{00000000-0005-0000-0000-0000261E0000}"/>
    <cellStyle name="20% - Accent3 2 3 7 2 2 5" xfId="17562" xr:uid="{00000000-0005-0000-0000-0000271E0000}"/>
    <cellStyle name="20% - Accent3 2 3 7 2 3" xfId="22425" xr:uid="{00000000-0005-0000-0000-0000281E0000}"/>
    <cellStyle name="20% - Accent3 2 3 7 2 4" xfId="32150" xr:uid="{00000000-0005-0000-0000-0000291E0000}"/>
    <cellStyle name="20% - Accent3 2 3 7 2 5" xfId="41875" xr:uid="{00000000-0005-0000-0000-00002A1E0000}"/>
    <cellStyle name="20% - Accent3 2 3 7 2 6" xfId="12700" xr:uid="{00000000-0005-0000-0000-00002B1E0000}"/>
    <cellStyle name="20% - Accent3 2 3 7 3" xfId="4594" xr:uid="{00000000-0005-0000-0000-00002C1E0000}"/>
    <cellStyle name="20% - Accent3 2 3 7 3 2" xfId="9456" xr:uid="{00000000-0005-0000-0000-00002D1E0000}"/>
    <cellStyle name="20% - Accent3 2 3 7 3 2 2" xfId="28907" xr:uid="{00000000-0005-0000-0000-00002E1E0000}"/>
    <cellStyle name="20% - Accent3 2 3 7 3 2 3" xfId="38632" xr:uid="{00000000-0005-0000-0000-00002F1E0000}"/>
    <cellStyle name="20% - Accent3 2 3 7 3 2 4" xfId="48357" xr:uid="{00000000-0005-0000-0000-0000301E0000}"/>
    <cellStyle name="20% - Accent3 2 3 7 3 2 5" xfId="19182" xr:uid="{00000000-0005-0000-0000-0000311E0000}"/>
    <cellStyle name="20% - Accent3 2 3 7 3 3" xfId="24045" xr:uid="{00000000-0005-0000-0000-0000321E0000}"/>
    <cellStyle name="20% - Accent3 2 3 7 3 4" xfId="33770" xr:uid="{00000000-0005-0000-0000-0000331E0000}"/>
    <cellStyle name="20% - Accent3 2 3 7 3 5" xfId="43495" xr:uid="{00000000-0005-0000-0000-0000341E0000}"/>
    <cellStyle name="20% - Accent3 2 3 7 3 6" xfId="14320" xr:uid="{00000000-0005-0000-0000-0000351E0000}"/>
    <cellStyle name="20% - Accent3 2 3 7 4" xfId="6216" xr:uid="{00000000-0005-0000-0000-0000361E0000}"/>
    <cellStyle name="20% - Accent3 2 3 7 4 2" xfId="25667" xr:uid="{00000000-0005-0000-0000-0000371E0000}"/>
    <cellStyle name="20% - Accent3 2 3 7 4 3" xfId="35392" xr:uid="{00000000-0005-0000-0000-0000381E0000}"/>
    <cellStyle name="20% - Accent3 2 3 7 4 4" xfId="45117" xr:uid="{00000000-0005-0000-0000-0000391E0000}"/>
    <cellStyle name="20% - Accent3 2 3 7 4 5" xfId="15942" xr:uid="{00000000-0005-0000-0000-00003A1E0000}"/>
    <cellStyle name="20% - Accent3 2 3 7 5" xfId="20805" xr:uid="{00000000-0005-0000-0000-00003B1E0000}"/>
    <cellStyle name="20% - Accent3 2 3 7 6" xfId="30530" xr:uid="{00000000-0005-0000-0000-00003C1E0000}"/>
    <cellStyle name="20% - Accent3 2 3 7 7" xfId="40255" xr:uid="{00000000-0005-0000-0000-00003D1E0000}"/>
    <cellStyle name="20% - Accent3 2 3 7 8" xfId="11080" xr:uid="{00000000-0005-0000-0000-00003E1E0000}"/>
    <cellStyle name="20% - Accent3 2 3 8" xfId="524" xr:uid="{00000000-0005-0000-0000-00003F1E0000}"/>
    <cellStyle name="20% - Accent3 2 3 8 2" xfId="2164" xr:uid="{00000000-0005-0000-0000-0000401E0000}"/>
    <cellStyle name="20% - Accent3 2 3 8 2 2" xfId="7026" xr:uid="{00000000-0005-0000-0000-0000411E0000}"/>
    <cellStyle name="20% - Accent3 2 3 8 2 2 2" xfId="26477" xr:uid="{00000000-0005-0000-0000-0000421E0000}"/>
    <cellStyle name="20% - Accent3 2 3 8 2 2 3" xfId="36202" xr:uid="{00000000-0005-0000-0000-0000431E0000}"/>
    <cellStyle name="20% - Accent3 2 3 8 2 2 4" xfId="45927" xr:uid="{00000000-0005-0000-0000-0000441E0000}"/>
    <cellStyle name="20% - Accent3 2 3 8 2 2 5" xfId="16752" xr:uid="{00000000-0005-0000-0000-0000451E0000}"/>
    <cellStyle name="20% - Accent3 2 3 8 2 3" xfId="21615" xr:uid="{00000000-0005-0000-0000-0000461E0000}"/>
    <cellStyle name="20% - Accent3 2 3 8 2 4" xfId="31340" xr:uid="{00000000-0005-0000-0000-0000471E0000}"/>
    <cellStyle name="20% - Accent3 2 3 8 2 5" xfId="41065" xr:uid="{00000000-0005-0000-0000-0000481E0000}"/>
    <cellStyle name="20% - Accent3 2 3 8 2 6" xfId="11890" xr:uid="{00000000-0005-0000-0000-0000491E0000}"/>
    <cellStyle name="20% - Accent3 2 3 8 3" xfId="3784" xr:uid="{00000000-0005-0000-0000-00004A1E0000}"/>
    <cellStyle name="20% - Accent3 2 3 8 3 2" xfId="8646" xr:uid="{00000000-0005-0000-0000-00004B1E0000}"/>
    <cellStyle name="20% - Accent3 2 3 8 3 2 2" xfId="28097" xr:uid="{00000000-0005-0000-0000-00004C1E0000}"/>
    <cellStyle name="20% - Accent3 2 3 8 3 2 3" xfId="37822" xr:uid="{00000000-0005-0000-0000-00004D1E0000}"/>
    <cellStyle name="20% - Accent3 2 3 8 3 2 4" xfId="47547" xr:uid="{00000000-0005-0000-0000-00004E1E0000}"/>
    <cellStyle name="20% - Accent3 2 3 8 3 2 5" xfId="18372" xr:uid="{00000000-0005-0000-0000-00004F1E0000}"/>
    <cellStyle name="20% - Accent3 2 3 8 3 3" xfId="23235" xr:uid="{00000000-0005-0000-0000-0000501E0000}"/>
    <cellStyle name="20% - Accent3 2 3 8 3 4" xfId="32960" xr:uid="{00000000-0005-0000-0000-0000511E0000}"/>
    <cellStyle name="20% - Accent3 2 3 8 3 5" xfId="42685" xr:uid="{00000000-0005-0000-0000-0000521E0000}"/>
    <cellStyle name="20% - Accent3 2 3 8 3 6" xfId="13510" xr:uid="{00000000-0005-0000-0000-0000531E0000}"/>
    <cellStyle name="20% - Accent3 2 3 8 4" xfId="5406" xr:uid="{00000000-0005-0000-0000-0000541E0000}"/>
    <cellStyle name="20% - Accent3 2 3 8 4 2" xfId="24857" xr:uid="{00000000-0005-0000-0000-0000551E0000}"/>
    <cellStyle name="20% - Accent3 2 3 8 4 3" xfId="34582" xr:uid="{00000000-0005-0000-0000-0000561E0000}"/>
    <cellStyle name="20% - Accent3 2 3 8 4 4" xfId="44307" xr:uid="{00000000-0005-0000-0000-0000571E0000}"/>
    <cellStyle name="20% - Accent3 2 3 8 4 5" xfId="15132" xr:uid="{00000000-0005-0000-0000-0000581E0000}"/>
    <cellStyle name="20% - Accent3 2 3 8 5" xfId="19995" xr:uid="{00000000-0005-0000-0000-0000591E0000}"/>
    <cellStyle name="20% - Accent3 2 3 8 6" xfId="29720" xr:uid="{00000000-0005-0000-0000-00005A1E0000}"/>
    <cellStyle name="20% - Accent3 2 3 8 7" xfId="39445" xr:uid="{00000000-0005-0000-0000-00005B1E0000}"/>
    <cellStyle name="20% - Accent3 2 3 8 8" xfId="10270" xr:uid="{00000000-0005-0000-0000-00005C1E0000}"/>
    <cellStyle name="20% - Accent3 2 3 9" xfId="1713" xr:uid="{00000000-0005-0000-0000-00005D1E0000}"/>
    <cellStyle name="20% - Accent3 2 3 9 2" xfId="3334" xr:uid="{00000000-0005-0000-0000-00005E1E0000}"/>
    <cellStyle name="20% - Accent3 2 3 9 2 2" xfId="8196" xr:uid="{00000000-0005-0000-0000-00005F1E0000}"/>
    <cellStyle name="20% - Accent3 2 3 9 2 2 2" xfId="27647" xr:uid="{00000000-0005-0000-0000-0000601E0000}"/>
    <cellStyle name="20% - Accent3 2 3 9 2 2 3" xfId="37372" xr:uid="{00000000-0005-0000-0000-0000611E0000}"/>
    <cellStyle name="20% - Accent3 2 3 9 2 2 4" xfId="47097" xr:uid="{00000000-0005-0000-0000-0000621E0000}"/>
    <cellStyle name="20% - Accent3 2 3 9 2 2 5" xfId="17922" xr:uid="{00000000-0005-0000-0000-0000631E0000}"/>
    <cellStyle name="20% - Accent3 2 3 9 2 3" xfId="22785" xr:uid="{00000000-0005-0000-0000-0000641E0000}"/>
    <cellStyle name="20% - Accent3 2 3 9 2 4" xfId="32510" xr:uid="{00000000-0005-0000-0000-0000651E0000}"/>
    <cellStyle name="20% - Accent3 2 3 9 2 5" xfId="42235" xr:uid="{00000000-0005-0000-0000-0000661E0000}"/>
    <cellStyle name="20% - Accent3 2 3 9 2 6" xfId="13060" xr:uid="{00000000-0005-0000-0000-0000671E0000}"/>
    <cellStyle name="20% - Accent3 2 3 9 3" xfId="4954" xr:uid="{00000000-0005-0000-0000-0000681E0000}"/>
    <cellStyle name="20% - Accent3 2 3 9 3 2" xfId="9816" xr:uid="{00000000-0005-0000-0000-0000691E0000}"/>
    <cellStyle name="20% - Accent3 2 3 9 3 2 2" xfId="29267" xr:uid="{00000000-0005-0000-0000-00006A1E0000}"/>
    <cellStyle name="20% - Accent3 2 3 9 3 2 3" xfId="38992" xr:uid="{00000000-0005-0000-0000-00006B1E0000}"/>
    <cellStyle name="20% - Accent3 2 3 9 3 2 4" xfId="48717" xr:uid="{00000000-0005-0000-0000-00006C1E0000}"/>
    <cellStyle name="20% - Accent3 2 3 9 3 2 5" xfId="19542" xr:uid="{00000000-0005-0000-0000-00006D1E0000}"/>
    <cellStyle name="20% - Accent3 2 3 9 3 3" xfId="24405" xr:uid="{00000000-0005-0000-0000-00006E1E0000}"/>
    <cellStyle name="20% - Accent3 2 3 9 3 4" xfId="34130" xr:uid="{00000000-0005-0000-0000-00006F1E0000}"/>
    <cellStyle name="20% - Accent3 2 3 9 3 5" xfId="43855" xr:uid="{00000000-0005-0000-0000-0000701E0000}"/>
    <cellStyle name="20% - Accent3 2 3 9 3 6" xfId="14680" xr:uid="{00000000-0005-0000-0000-0000711E0000}"/>
    <cellStyle name="20% - Accent3 2 3 9 4" xfId="6576" xr:uid="{00000000-0005-0000-0000-0000721E0000}"/>
    <cellStyle name="20% - Accent3 2 3 9 4 2" xfId="26027" xr:uid="{00000000-0005-0000-0000-0000731E0000}"/>
    <cellStyle name="20% - Accent3 2 3 9 4 3" xfId="35752" xr:uid="{00000000-0005-0000-0000-0000741E0000}"/>
    <cellStyle name="20% - Accent3 2 3 9 4 4" xfId="45477" xr:uid="{00000000-0005-0000-0000-0000751E0000}"/>
    <cellStyle name="20% - Accent3 2 3 9 4 5" xfId="16302" xr:uid="{00000000-0005-0000-0000-0000761E0000}"/>
    <cellStyle name="20% - Accent3 2 3 9 5" xfId="21165" xr:uid="{00000000-0005-0000-0000-0000771E0000}"/>
    <cellStyle name="20% - Accent3 2 3 9 6" xfId="30890" xr:uid="{00000000-0005-0000-0000-0000781E0000}"/>
    <cellStyle name="20% - Accent3 2 3 9 7" xfId="40615" xr:uid="{00000000-0005-0000-0000-0000791E0000}"/>
    <cellStyle name="20% - Accent3 2 3 9 8" xfId="11440" xr:uid="{00000000-0005-0000-0000-00007A1E0000}"/>
    <cellStyle name="20% - Accent3 2 4" xfId="242" xr:uid="{00000000-0005-0000-0000-00007B1E0000}"/>
    <cellStyle name="20% - Accent3 2 4 10" xfId="39205" xr:uid="{00000000-0005-0000-0000-00007C1E0000}"/>
    <cellStyle name="20% - Accent3 2 4 11" xfId="10030" xr:uid="{00000000-0005-0000-0000-00007D1E0000}"/>
    <cellStyle name="20% - Accent3 2 4 2" xfId="1006" xr:uid="{00000000-0005-0000-0000-00007E1E0000}"/>
    <cellStyle name="20% - Accent3 2 4 2 2" xfId="2644" xr:uid="{00000000-0005-0000-0000-00007F1E0000}"/>
    <cellStyle name="20% - Accent3 2 4 2 2 2" xfId="7506" xr:uid="{00000000-0005-0000-0000-0000801E0000}"/>
    <cellStyle name="20% - Accent3 2 4 2 2 2 2" xfId="26957" xr:uid="{00000000-0005-0000-0000-0000811E0000}"/>
    <cellStyle name="20% - Accent3 2 4 2 2 2 3" xfId="36682" xr:uid="{00000000-0005-0000-0000-0000821E0000}"/>
    <cellStyle name="20% - Accent3 2 4 2 2 2 4" xfId="46407" xr:uid="{00000000-0005-0000-0000-0000831E0000}"/>
    <cellStyle name="20% - Accent3 2 4 2 2 2 5" xfId="17232" xr:uid="{00000000-0005-0000-0000-0000841E0000}"/>
    <cellStyle name="20% - Accent3 2 4 2 2 3" xfId="22095" xr:uid="{00000000-0005-0000-0000-0000851E0000}"/>
    <cellStyle name="20% - Accent3 2 4 2 2 4" xfId="31820" xr:uid="{00000000-0005-0000-0000-0000861E0000}"/>
    <cellStyle name="20% - Accent3 2 4 2 2 5" xfId="41545" xr:uid="{00000000-0005-0000-0000-0000871E0000}"/>
    <cellStyle name="20% - Accent3 2 4 2 2 6" xfId="12370" xr:uid="{00000000-0005-0000-0000-0000881E0000}"/>
    <cellStyle name="20% - Accent3 2 4 2 3" xfId="4264" xr:uid="{00000000-0005-0000-0000-0000891E0000}"/>
    <cellStyle name="20% - Accent3 2 4 2 3 2" xfId="9126" xr:uid="{00000000-0005-0000-0000-00008A1E0000}"/>
    <cellStyle name="20% - Accent3 2 4 2 3 2 2" xfId="28577" xr:uid="{00000000-0005-0000-0000-00008B1E0000}"/>
    <cellStyle name="20% - Accent3 2 4 2 3 2 3" xfId="38302" xr:uid="{00000000-0005-0000-0000-00008C1E0000}"/>
    <cellStyle name="20% - Accent3 2 4 2 3 2 4" xfId="48027" xr:uid="{00000000-0005-0000-0000-00008D1E0000}"/>
    <cellStyle name="20% - Accent3 2 4 2 3 2 5" xfId="18852" xr:uid="{00000000-0005-0000-0000-00008E1E0000}"/>
    <cellStyle name="20% - Accent3 2 4 2 3 3" xfId="23715" xr:uid="{00000000-0005-0000-0000-00008F1E0000}"/>
    <cellStyle name="20% - Accent3 2 4 2 3 4" xfId="33440" xr:uid="{00000000-0005-0000-0000-0000901E0000}"/>
    <cellStyle name="20% - Accent3 2 4 2 3 5" xfId="43165" xr:uid="{00000000-0005-0000-0000-0000911E0000}"/>
    <cellStyle name="20% - Accent3 2 4 2 3 6" xfId="13990" xr:uid="{00000000-0005-0000-0000-0000921E0000}"/>
    <cellStyle name="20% - Accent3 2 4 2 4" xfId="5886" xr:uid="{00000000-0005-0000-0000-0000931E0000}"/>
    <cellStyle name="20% - Accent3 2 4 2 4 2" xfId="25337" xr:uid="{00000000-0005-0000-0000-0000941E0000}"/>
    <cellStyle name="20% - Accent3 2 4 2 4 3" xfId="35062" xr:uid="{00000000-0005-0000-0000-0000951E0000}"/>
    <cellStyle name="20% - Accent3 2 4 2 4 4" xfId="44787" xr:uid="{00000000-0005-0000-0000-0000961E0000}"/>
    <cellStyle name="20% - Accent3 2 4 2 4 5" xfId="15612" xr:uid="{00000000-0005-0000-0000-0000971E0000}"/>
    <cellStyle name="20% - Accent3 2 4 2 5" xfId="20475" xr:uid="{00000000-0005-0000-0000-0000981E0000}"/>
    <cellStyle name="20% - Accent3 2 4 2 6" xfId="30200" xr:uid="{00000000-0005-0000-0000-0000991E0000}"/>
    <cellStyle name="20% - Accent3 2 4 2 7" xfId="39925" xr:uid="{00000000-0005-0000-0000-00009A1E0000}"/>
    <cellStyle name="20% - Accent3 2 4 2 8" xfId="10750" xr:uid="{00000000-0005-0000-0000-00009B1E0000}"/>
    <cellStyle name="20% - Accent3 2 4 3" xfId="1473" xr:uid="{00000000-0005-0000-0000-00009C1E0000}"/>
    <cellStyle name="20% - Accent3 2 4 3 2" xfId="3094" xr:uid="{00000000-0005-0000-0000-00009D1E0000}"/>
    <cellStyle name="20% - Accent3 2 4 3 2 2" xfId="7956" xr:uid="{00000000-0005-0000-0000-00009E1E0000}"/>
    <cellStyle name="20% - Accent3 2 4 3 2 2 2" xfId="27407" xr:uid="{00000000-0005-0000-0000-00009F1E0000}"/>
    <cellStyle name="20% - Accent3 2 4 3 2 2 3" xfId="37132" xr:uid="{00000000-0005-0000-0000-0000A01E0000}"/>
    <cellStyle name="20% - Accent3 2 4 3 2 2 4" xfId="46857" xr:uid="{00000000-0005-0000-0000-0000A11E0000}"/>
    <cellStyle name="20% - Accent3 2 4 3 2 2 5" xfId="17682" xr:uid="{00000000-0005-0000-0000-0000A21E0000}"/>
    <cellStyle name="20% - Accent3 2 4 3 2 3" xfId="22545" xr:uid="{00000000-0005-0000-0000-0000A31E0000}"/>
    <cellStyle name="20% - Accent3 2 4 3 2 4" xfId="32270" xr:uid="{00000000-0005-0000-0000-0000A41E0000}"/>
    <cellStyle name="20% - Accent3 2 4 3 2 5" xfId="41995" xr:uid="{00000000-0005-0000-0000-0000A51E0000}"/>
    <cellStyle name="20% - Accent3 2 4 3 2 6" xfId="12820" xr:uid="{00000000-0005-0000-0000-0000A61E0000}"/>
    <cellStyle name="20% - Accent3 2 4 3 3" xfId="4714" xr:uid="{00000000-0005-0000-0000-0000A71E0000}"/>
    <cellStyle name="20% - Accent3 2 4 3 3 2" xfId="9576" xr:uid="{00000000-0005-0000-0000-0000A81E0000}"/>
    <cellStyle name="20% - Accent3 2 4 3 3 2 2" xfId="29027" xr:uid="{00000000-0005-0000-0000-0000A91E0000}"/>
    <cellStyle name="20% - Accent3 2 4 3 3 2 3" xfId="38752" xr:uid="{00000000-0005-0000-0000-0000AA1E0000}"/>
    <cellStyle name="20% - Accent3 2 4 3 3 2 4" xfId="48477" xr:uid="{00000000-0005-0000-0000-0000AB1E0000}"/>
    <cellStyle name="20% - Accent3 2 4 3 3 2 5" xfId="19302" xr:uid="{00000000-0005-0000-0000-0000AC1E0000}"/>
    <cellStyle name="20% - Accent3 2 4 3 3 3" xfId="24165" xr:uid="{00000000-0005-0000-0000-0000AD1E0000}"/>
    <cellStyle name="20% - Accent3 2 4 3 3 4" xfId="33890" xr:uid="{00000000-0005-0000-0000-0000AE1E0000}"/>
    <cellStyle name="20% - Accent3 2 4 3 3 5" xfId="43615" xr:uid="{00000000-0005-0000-0000-0000AF1E0000}"/>
    <cellStyle name="20% - Accent3 2 4 3 3 6" xfId="14440" xr:uid="{00000000-0005-0000-0000-0000B01E0000}"/>
    <cellStyle name="20% - Accent3 2 4 3 4" xfId="6336" xr:uid="{00000000-0005-0000-0000-0000B11E0000}"/>
    <cellStyle name="20% - Accent3 2 4 3 4 2" xfId="25787" xr:uid="{00000000-0005-0000-0000-0000B21E0000}"/>
    <cellStyle name="20% - Accent3 2 4 3 4 3" xfId="35512" xr:uid="{00000000-0005-0000-0000-0000B31E0000}"/>
    <cellStyle name="20% - Accent3 2 4 3 4 4" xfId="45237" xr:uid="{00000000-0005-0000-0000-0000B41E0000}"/>
    <cellStyle name="20% - Accent3 2 4 3 4 5" xfId="16062" xr:uid="{00000000-0005-0000-0000-0000B51E0000}"/>
    <cellStyle name="20% - Accent3 2 4 3 5" xfId="20925" xr:uid="{00000000-0005-0000-0000-0000B61E0000}"/>
    <cellStyle name="20% - Accent3 2 4 3 6" xfId="30650" xr:uid="{00000000-0005-0000-0000-0000B71E0000}"/>
    <cellStyle name="20% - Accent3 2 4 3 7" xfId="40375" xr:uid="{00000000-0005-0000-0000-0000B81E0000}"/>
    <cellStyle name="20% - Accent3 2 4 3 8" xfId="11200" xr:uid="{00000000-0005-0000-0000-0000B91E0000}"/>
    <cellStyle name="20% - Accent3 2 4 4" xfId="644" xr:uid="{00000000-0005-0000-0000-0000BA1E0000}"/>
    <cellStyle name="20% - Accent3 2 4 4 2" xfId="2284" xr:uid="{00000000-0005-0000-0000-0000BB1E0000}"/>
    <cellStyle name="20% - Accent3 2 4 4 2 2" xfId="7146" xr:uid="{00000000-0005-0000-0000-0000BC1E0000}"/>
    <cellStyle name="20% - Accent3 2 4 4 2 2 2" xfId="26597" xr:uid="{00000000-0005-0000-0000-0000BD1E0000}"/>
    <cellStyle name="20% - Accent3 2 4 4 2 2 3" xfId="36322" xr:uid="{00000000-0005-0000-0000-0000BE1E0000}"/>
    <cellStyle name="20% - Accent3 2 4 4 2 2 4" xfId="46047" xr:uid="{00000000-0005-0000-0000-0000BF1E0000}"/>
    <cellStyle name="20% - Accent3 2 4 4 2 2 5" xfId="16872" xr:uid="{00000000-0005-0000-0000-0000C01E0000}"/>
    <cellStyle name="20% - Accent3 2 4 4 2 3" xfId="21735" xr:uid="{00000000-0005-0000-0000-0000C11E0000}"/>
    <cellStyle name="20% - Accent3 2 4 4 2 4" xfId="31460" xr:uid="{00000000-0005-0000-0000-0000C21E0000}"/>
    <cellStyle name="20% - Accent3 2 4 4 2 5" xfId="41185" xr:uid="{00000000-0005-0000-0000-0000C31E0000}"/>
    <cellStyle name="20% - Accent3 2 4 4 2 6" xfId="12010" xr:uid="{00000000-0005-0000-0000-0000C41E0000}"/>
    <cellStyle name="20% - Accent3 2 4 4 3" xfId="3904" xr:uid="{00000000-0005-0000-0000-0000C51E0000}"/>
    <cellStyle name="20% - Accent3 2 4 4 3 2" xfId="8766" xr:uid="{00000000-0005-0000-0000-0000C61E0000}"/>
    <cellStyle name="20% - Accent3 2 4 4 3 2 2" xfId="28217" xr:uid="{00000000-0005-0000-0000-0000C71E0000}"/>
    <cellStyle name="20% - Accent3 2 4 4 3 2 3" xfId="37942" xr:uid="{00000000-0005-0000-0000-0000C81E0000}"/>
    <cellStyle name="20% - Accent3 2 4 4 3 2 4" xfId="47667" xr:uid="{00000000-0005-0000-0000-0000C91E0000}"/>
    <cellStyle name="20% - Accent3 2 4 4 3 2 5" xfId="18492" xr:uid="{00000000-0005-0000-0000-0000CA1E0000}"/>
    <cellStyle name="20% - Accent3 2 4 4 3 3" xfId="23355" xr:uid="{00000000-0005-0000-0000-0000CB1E0000}"/>
    <cellStyle name="20% - Accent3 2 4 4 3 4" xfId="33080" xr:uid="{00000000-0005-0000-0000-0000CC1E0000}"/>
    <cellStyle name="20% - Accent3 2 4 4 3 5" xfId="42805" xr:uid="{00000000-0005-0000-0000-0000CD1E0000}"/>
    <cellStyle name="20% - Accent3 2 4 4 3 6" xfId="13630" xr:uid="{00000000-0005-0000-0000-0000CE1E0000}"/>
    <cellStyle name="20% - Accent3 2 4 4 4" xfId="5526" xr:uid="{00000000-0005-0000-0000-0000CF1E0000}"/>
    <cellStyle name="20% - Accent3 2 4 4 4 2" xfId="24977" xr:uid="{00000000-0005-0000-0000-0000D01E0000}"/>
    <cellStyle name="20% - Accent3 2 4 4 4 3" xfId="34702" xr:uid="{00000000-0005-0000-0000-0000D11E0000}"/>
    <cellStyle name="20% - Accent3 2 4 4 4 4" xfId="44427" xr:uid="{00000000-0005-0000-0000-0000D21E0000}"/>
    <cellStyle name="20% - Accent3 2 4 4 4 5" xfId="15252" xr:uid="{00000000-0005-0000-0000-0000D31E0000}"/>
    <cellStyle name="20% - Accent3 2 4 4 5" xfId="20115" xr:uid="{00000000-0005-0000-0000-0000D41E0000}"/>
    <cellStyle name="20% - Accent3 2 4 4 6" xfId="29840" xr:uid="{00000000-0005-0000-0000-0000D51E0000}"/>
    <cellStyle name="20% - Accent3 2 4 4 7" xfId="39565" xr:uid="{00000000-0005-0000-0000-0000D61E0000}"/>
    <cellStyle name="20% - Accent3 2 4 4 8" xfId="10390" xr:uid="{00000000-0005-0000-0000-0000D71E0000}"/>
    <cellStyle name="20% - Accent3 2 4 5" xfId="1924" xr:uid="{00000000-0005-0000-0000-0000D81E0000}"/>
    <cellStyle name="20% - Accent3 2 4 5 2" xfId="6786" xr:uid="{00000000-0005-0000-0000-0000D91E0000}"/>
    <cellStyle name="20% - Accent3 2 4 5 2 2" xfId="26237" xr:uid="{00000000-0005-0000-0000-0000DA1E0000}"/>
    <cellStyle name="20% - Accent3 2 4 5 2 3" xfId="35962" xr:uid="{00000000-0005-0000-0000-0000DB1E0000}"/>
    <cellStyle name="20% - Accent3 2 4 5 2 4" xfId="45687" xr:uid="{00000000-0005-0000-0000-0000DC1E0000}"/>
    <cellStyle name="20% - Accent3 2 4 5 2 5" xfId="16512" xr:uid="{00000000-0005-0000-0000-0000DD1E0000}"/>
    <cellStyle name="20% - Accent3 2 4 5 3" xfId="21375" xr:uid="{00000000-0005-0000-0000-0000DE1E0000}"/>
    <cellStyle name="20% - Accent3 2 4 5 4" xfId="31100" xr:uid="{00000000-0005-0000-0000-0000DF1E0000}"/>
    <cellStyle name="20% - Accent3 2 4 5 5" xfId="40825" xr:uid="{00000000-0005-0000-0000-0000E01E0000}"/>
    <cellStyle name="20% - Accent3 2 4 5 6" xfId="11650" xr:uid="{00000000-0005-0000-0000-0000E11E0000}"/>
    <cellStyle name="20% - Accent3 2 4 6" xfId="3544" xr:uid="{00000000-0005-0000-0000-0000E21E0000}"/>
    <cellStyle name="20% - Accent3 2 4 6 2" xfId="8406" xr:uid="{00000000-0005-0000-0000-0000E31E0000}"/>
    <cellStyle name="20% - Accent3 2 4 6 2 2" xfId="27857" xr:uid="{00000000-0005-0000-0000-0000E41E0000}"/>
    <cellStyle name="20% - Accent3 2 4 6 2 3" xfId="37582" xr:uid="{00000000-0005-0000-0000-0000E51E0000}"/>
    <cellStyle name="20% - Accent3 2 4 6 2 4" xfId="47307" xr:uid="{00000000-0005-0000-0000-0000E61E0000}"/>
    <cellStyle name="20% - Accent3 2 4 6 2 5" xfId="18132" xr:uid="{00000000-0005-0000-0000-0000E71E0000}"/>
    <cellStyle name="20% - Accent3 2 4 6 3" xfId="22995" xr:uid="{00000000-0005-0000-0000-0000E81E0000}"/>
    <cellStyle name="20% - Accent3 2 4 6 4" xfId="32720" xr:uid="{00000000-0005-0000-0000-0000E91E0000}"/>
    <cellStyle name="20% - Accent3 2 4 6 5" xfId="42445" xr:uid="{00000000-0005-0000-0000-0000EA1E0000}"/>
    <cellStyle name="20% - Accent3 2 4 6 6" xfId="13270" xr:uid="{00000000-0005-0000-0000-0000EB1E0000}"/>
    <cellStyle name="20% - Accent3 2 4 7" xfId="5166" xr:uid="{00000000-0005-0000-0000-0000EC1E0000}"/>
    <cellStyle name="20% - Accent3 2 4 7 2" xfId="24617" xr:uid="{00000000-0005-0000-0000-0000ED1E0000}"/>
    <cellStyle name="20% - Accent3 2 4 7 3" xfId="34342" xr:uid="{00000000-0005-0000-0000-0000EE1E0000}"/>
    <cellStyle name="20% - Accent3 2 4 7 4" xfId="44067" xr:uid="{00000000-0005-0000-0000-0000EF1E0000}"/>
    <cellStyle name="20% - Accent3 2 4 7 5" xfId="14892" xr:uid="{00000000-0005-0000-0000-0000F01E0000}"/>
    <cellStyle name="20% - Accent3 2 4 8" xfId="19755" xr:uid="{00000000-0005-0000-0000-0000F11E0000}"/>
    <cellStyle name="20% - Accent3 2 4 9" xfId="29480" xr:uid="{00000000-0005-0000-0000-0000F21E0000}"/>
    <cellStyle name="20% - Accent3 2 5" xfId="333" xr:uid="{00000000-0005-0000-0000-0000F31E0000}"/>
    <cellStyle name="20% - Accent3 2 5 10" xfId="39295" xr:uid="{00000000-0005-0000-0000-0000F41E0000}"/>
    <cellStyle name="20% - Accent3 2 5 11" xfId="10120" xr:uid="{00000000-0005-0000-0000-0000F51E0000}"/>
    <cellStyle name="20% - Accent3 2 5 2" xfId="1096" xr:uid="{00000000-0005-0000-0000-0000F61E0000}"/>
    <cellStyle name="20% - Accent3 2 5 2 2" xfId="2734" xr:uid="{00000000-0005-0000-0000-0000F71E0000}"/>
    <cellStyle name="20% - Accent3 2 5 2 2 2" xfId="7596" xr:uid="{00000000-0005-0000-0000-0000F81E0000}"/>
    <cellStyle name="20% - Accent3 2 5 2 2 2 2" xfId="27047" xr:uid="{00000000-0005-0000-0000-0000F91E0000}"/>
    <cellStyle name="20% - Accent3 2 5 2 2 2 3" xfId="36772" xr:uid="{00000000-0005-0000-0000-0000FA1E0000}"/>
    <cellStyle name="20% - Accent3 2 5 2 2 2 4" xfId="46497" xr:uid="{00000000-0005-0000-0000-0000FB1E0000}"/>
    <cellStyle name="20% - Accent3 2 5 2 2 2 5" xfId="17322" xr:uid="{00000000-0005-0000-0000-0000FC1E0000}"/>
    <cellStyle name="20% - Accent3 2 5 2 2 3" xfId="22185" xr:uid="{00000000-0005-0000-0000-0000FD1E0000}"/>
    <cellStyle name="20% - Accent3 2 5 2 2 4" xfId="31910" xr:uid="{00000000-0005-0000-0000-0000FE1E0000}"/>
    <cellStyle name="20% - Accent3 2 5 2 2 5" xfId="41635" xr:uid="{00000000-0005-0000-0000-0000FF1E0000}"/>
    <cellStyle name="20% - Accent3 2 5 2 2 6" xfId="12460" xr:uid="{00000000-0005-0000-0000-0000001F0000}"/>
    <cellStyle name="20% - Accent3 2 5 2 3" xfId="4354" xr:uid="{00000000-0005-0000-0000-0000011F0000}"/>
    <cellStyle name="20% - Accent3 2 5 2 3 2" xfId="9216" xr:uid="{00000000-0005-0000-0000-0000021F0000}"/>
    <cellStyle name="20% - Accent3 2 5 2 3 2 2" xfId="28667" xr:uid="{00000000-0005-0000-0000-0000031F0000}"/>
    <cellStyle name="20% - Accent3 2 5 2 3 2 3" xfId="38392" xr:uid="{00000000-0005-0000-0000-0000041F0000}"/>
    <cellStyle name="20% - Accent3 2 5 2 3 2 4" xfId="48117" xr:uid="{00000000-0005-0000-0000-0000051F0000}"/>
    <cellStyle name="20% - Accent3 2 5 2 3 2 5" xfId="18942" xr:uid="{00000000-0005-0000-0000-0000061F0000}"/>
    <cellStyle name="20% - Accent3 2 5 2 3 3" xfId="23805" xr:uid="{00000000-0005-0000-0000-0000071F0000}"/>
    <cellStyle name="20% - Accent3 2 5 2 3 4" xfId="33530" xr:uid="{00000000-0005-0000-0000-0000081F0000}"/>
    <cellStyle name="20% - Accent3 2 5 2 3 5" xfId="43255" xr:uid="{00000000-0005-0000-0000-0000091F0000}"/>
    <cellStyle name="20% - Accent3 2 5 2 3 6" xfId="14080" xr:uid="{00000000-0005-0000-0000-00000A1F0000}"/>
    <cellStyle name="20% - Accent3 2 5 2 4" xfId="5976" xr:uid="{00000000-0005-0000-0000-00000B1F0000}"/>
    <cellStyle name="20% - Accent3 2 5 2 4 2" xfId="25427" xr:uid="{00000000-0005-0000-0000-00000C1F0000}"/>
    <cellStyle name="20% - Accent3 2 5 2 4 3" xfId="35152" xr:uid="{00000000-0005-0000-0000-00000D1F0000}"/>
    <cellStyle name="20% - Accent3 2 5 2 4 4" xfId="44877" xr:uid="{00000000-0005-0000-0000-00000E1F0000}"/>
    <cellStyle name="20% - Accent3 2 5 2 4 5" xfId="15702" xr:uid="{00000000-0005-0000-0000-00000F1F0000}"/>
    <cellStyle name="20% - Accent3 2 5 2 5" xfId="20565" xr:uid="{00000000-0005-0000-0000-0000101F0000}"/>
    <cellStyle name="20% - Accent3 2 5 2 6" xfId="30290" xr:uid="{00000000-0005-0000-0000-0000111F0000}"/>
    <cellStyle name="20% - Accent3 2 5 2 7" xfId="40015" xr:uid="{00000000-0005-0000-0000-0000121F0000}"/>
    <cellStyle name="20% - Accent3 2 5 2 8" xfId="10840" xr:uid="{00000000-0005-0000-0000-0000131F0000}"/>
    <cellStyle name="20% - Accent3 2 5 3" xfId="1563" xr:uid="{00000000-0005-0000-0000-0000141F0000}"/>
    <cellStyle name="20% - Accent3 2 5 3 2" xfId="3184" xr:uid="{00000000-0005-0000-0000-0000151F0000}"/>
    <cellStyle name="20% - Accent3 2 5 3 2 2" xfId="8046" xr:uid="{00000000-0005-0000-0000-0000161F0000}"/>
    <cellStyle name="20% - Accent3 2 5 3 2 2 2" xfId="27497" xr:uid="{00000000-0005-0000-0000-0000171F0000}"/>
    <cellStyle name="20% - Accent3 2 5 3 2 2 3" xfId="37222" xr:uid="{00000000-0005-0000-0000-0000181F0000}"/>
    <cellStyle name="20% - Accent3 2 5 3 2 2 4" xfId="46947" xr:uid="{00000000-0005-0000-0000-0000191F0000}"/>
    <cellStyle name="20% - Accent3 2 5 3 2 2 5" xfId="17772" xr:uid="{00000000-0005-0000-0000-00001A1F0000}"/>
    <cellStyle name="20% - Accent3 2 5 3 2 3" xfId="22635" xr:uid="{00000000-0005-0000-0000-00001B1F0000}"/>
    <cellStyle name="20% - Accent3 2 5 3 2 4" xfId="32360" xr:uid="{00000000-0005-0000-0000-00001C1F0000}"/>
    <cellStyle name="20% - Accent3 2 5 3 2 5" xfId="42085" xr:uid="{00000000-0005-0000-0000-00001D1F0000}"/>
    <cellStyle name="20% - Accent3 2 5 3 2 6" xfId="12910" xr:uid="{00000000-0005-0000-0000-00001E1F0000}"/>
    <cellStyle name="20% - Accent3 2 5 3 3" xfId="4804" xr:uid="{00000000-0005-0000-0000-00001F1F0000}"/>
    <cellStyle name="20% - Accent3 2 5 3 3 2" xfId="9666" xr:uid="{00000000-0005-0000-0000-0000201F0000}"/>
    <cellStyle name="20% - Accent3 2 5 3 3 2 2" xfId="29117" xr:uid="{00000000-0005-0000-0000-0000211F0000}"/>
    <cellStyle name="20% - Accent3 2 5 3 3 2 3" xfId="38842" xr:uid="{00000000-0005-0000-0000-0000221F0000}"/>
    <cellStyle name="20% - Accent3 2 5 3 3 2 4" xfId="48567" xr:uid="{00000000-0005-0000-0000-0000231F0000}"/>
    <cellStyle name="20% - Accent3 2 5 3 3 2 5" xfId="19392" xr:uid="{00000000-0005-0000-0000-0000241F0000}"/>
    <cellStyle name="20% - Accent3 2 5 3 3 3" xfId="24255" xr:uid="{00000000-0005-0000-0000-0000251F0000}"/>
    <cellStyle name="20% - Accent3 2 5 3 3 4" xfId="33980" xr:uid="{00000000-0005-0000-0000-0000261F0000}"/>
    <cellStyle name="20% - Accent3 2 5 3 3 5" xfId="43705" xr:uid="{00000000-0005-0000-0000-0000271F0000}"/>
    <cellStyle name="20% - Accent3 2 5 3 3 6" xfId="14530" xr:uid="{00000000-0005-0000-0000-0000281F0000}"/>
    <cellStyle name="20% - Accent3 2 5 3 4" xfId="6426" xr:uid="{00000000-0005-0000-0000-0000291F0000}"/>
    <cellStyle name="20% - Accent3 2 5 3 4 2" xfId="25877" xr:uid="{00000000-0005-0000-0000-00002A1F0000}"/>
    <cellStyle name="20% - Accent3 2 5 3 4 3" xfId="35602" xr:uid="{00000000-0005-0000-0000-00002B1F0000}"/>
    <cellStyle name="20% - Accent3 2 5 3 4 4" xfId="45327" xr:uid="{00000000-0005-0000-0000-00002C1F0000}"/>
    <cellStyle name="20% - Accent3 2 5 3 4 5" xfId="16152" xr:uid="{00000000-0005-0000-0000-00002D1F0000}"/>
    <cellStyle name="20% - Accent3 2 5 3 5" xfId="21015" xr:uid="{00000000-0005-0000-0000-00002E1F0000}"/>
    <cellStyle name="20% - Accent3 2 5 3 6" xfId="30740" xr:uid="{00000000-0005-0000-0000-00002F1F0000}"/>
    <cellStyle name="20% - Accent3 2 5 3 7" xfId="40465" xr:uid="{00000000-0005-0000-0000-0000301F0000}"/>
    <cellStyle name="20% - Accent3 2 5 3 8" xfId="11290" xr:uid="{00000000-0005-0000-0000-0000311F0000}"/>
    <cellStyle name="20% - Accent3 2 5 4" xfId="734" xr:uid="{00000000-0005-0000-0000-0000321F0000}"/>
    <cellStyle name="20% - Accent3 2 5 4 2" xfId="2374" xr:uid="{00000000-0005-0000-0000-0000331F0000}"/>
    <cellStyle name="20% - Accent3 2 5 4 2 2" xfId="7236" xr:uid="{00000000-0005-0000-0000-0000341F0000}"/>
    <cellStyle name="20% - Accent3 2 5 4 2 2 2" xfId="26687" xr:uid="{00000000-0005-0000-0000-0000351F0000}"/>
    <cellStyle name="20% - Accent3 2 5 4 2 2 3" xfId="36412" xr:uid="{00000000-0005-0000-0000-0000361F0000}"/>
    <cellStyle name="20% - Accent3 2 5 4 2 2 4" xfId="46137" xr:uid="{00000000-0005-0000-0000-0000371F0000}"/>
    <cellStyle name="20% - Accent3 2 5 4 2 2 5" xfId="16962" xr:uid="{00000000-0005-0000-0000-0000381F0000}"/>
    <cellStyle name="20% - Accent3 2 5 4 2 3" xfId="21825" xr:uid="{00000000-0005-0000-0000-0000391F0000}"/>
    <cellStyle name="20% - Accent3 2 5 4 2 4" xfId="31550" xr:uid="{00000000-0005-0000-0000-00003A1F0000}"/>
    <cellStyle name="20% - Accent3 2 5 4 2 5" xfId="41275" xr:uid="{00000000-0005-0000-0000-00003B1F0000}"/>
    <cellStyle name="20% - Accent3 2 5 4 2 6" xfId="12100" xr:uid="{00000000-0005-0000-0000-00003C1F0000}"/>
    <cellStyle name="20% - Accent3 2 5 4 3" xfId="3994" xr:uid="{00000000-0005-0000-0000-00003D1F0000}"/>
    <cellStyle name="20% - Accent3 2 5 4 3 2" xfId="8856" xr:uid="{00000000-0005-0000-0000-00003E1F0000}"/>
    <cellStyle name="20% - Accent3 2 5 4 3 2 2" xfId="28307" xr:uid="{00000000-0005-0000-0000-00003F1F0000}"/>
    <cellStyle name="20% - Accent3 2 5 4 3 2 3" xfId="38032" xr:uid="{00000000-0005-0000-0000-0000401F0000}"/>
    <cellStyle name="20% - Accent3 2 5 4 3 2 4" xfId="47757" xr:uid="{00000000-0005-0000-0000-0000411F0000}"/>
    <cellStyle name="20% - Accent3 2 5 4 3 2 5" xfId="18582" xr:uid="{00000000-0005-0000-0000-0000421F0000}"/>
    <cellStyle name="20% - Accent3 2 5 4 3 3" xfId="23445" xr:uid="{00000000-0005-0000-0000-0000431F0000}"/>
    <cellStyle name="20% - Accent3 2 5 4 3 4" xfId="33170" xr:uid="{00000000-0005-0000-0000-0000441F0000}"/>
    <cellStyle name="20% - Accent3 2 5 4 3 5" xfId="42895" xr:uid="{00000000-0005-0000-0000-0000451F0000}"/>
    <cellStyle name="20% - Accent3 2 5 4 3 6" xfId="13720" xr:uid="{00000000-0005-0000-0000-0000461F0000}"/>
    <cellStyle name="20% - Accent3 2 5 4 4" xfId="5616" xr:uid="{00000000-0005-0000-0000-0000471F0000}"/>
    <cellStyle name="20% - Accent3 2 5 4 4 2" xfId="25067" xr:uid="{00000000-0005-0000-0000-0000481F0000}"/>
    <cellStyle name="20% - Accent3 2 5 4 4 3" xfId="34792" xr:uid="{00000000-0005-0000-0000-0000491F0000}"/>
    <cellStyle name="20% - Accent3 2 5 4 4 4" xfId="44517" xr:uid="{00000000-0005-0000-0000-00004A1F0000}"/>
    <cellStyle name="20% - Accent3 2 5 4 4 5" xfId="15342" xr:uid="{00000000-0005-0000-0000-00004B1F0000}"/>
    <cellStyle name="20% - Accent3 2 5 4 5" xfId="20205" xr:uid="{00000000-0005-0000-0000-00004C1F0000}"/>
    <cellStyle name="20% - Accent3 2 5 4 6" xfId="29930" xr:uid="{00000000-0005-0000-0000-00004D1F0000}"/>
    <cellStyle name="20% - Accent3 2 5 4 7" xfId="39655" xr:uid="{00000000-0005-0000-0000-00004E1F0000}"/>
    <cellStyle name="20% - Accent3 2 5 4 8" xfId="10480" xr:uid="{00000000-0005-0000-0000-00004F1F0000}"/>
    <cellStyle name="20% - Accent3 2 5 5" xfId="2014" xr:uid="{00000000-0005-0000-0000-0000501F0000}"/>
    <cellStyle name="20% - Accent3 2 5 5 2" xfId="6876" xr:uid="{00000000-0005-0000-0000-0000511F0000}"/>
    <cellStyle name="20% - Accent3 2 5 5 2 2" xfId="26327" xr:uid="{00000000-0005-0000-0000-0000521F0000}"/>
    <cellStyle name="20% - Accent3 2 5 5 2 3" xfId="36052" xr:uid="{00000000-0005-0000-0000-0000531F0000}"/>
    <cellStyle name="20% - Accent3 2 5 5 2 4" xfId="45777" xr:uid="{00000000-0005-0000-0000-0000541F0000}"/>
    <cellStyle name="20% - Accent3 2 5 5 2 5" xfId="16602" xr:uid="{00000000-0005-0000-0000-0000551F0000}"/>
    <cellStyle name="20% - Accent3 2 5 5 3" xfId="21465" xr:uid="{00000000-0005-0000-0000-0000561F0000}"/>
    <cellStyle name="20% - Accent3 2 5 5 4" xfId="31190" xr:uid="{00000000-0005-0000-0000-0000571F0000}"/>
    <cellStyle name="20% - Accent3 2 5 5 5" xfId="40915" xr:uid="{00000000-0005-0000-0000-0000581F0000}"/>
    <cellStyle name="20% - Accent3 2 5 5 6" xfId="11740" xr:uid="{00000000-0005-0000-0000-0000591F0000}"/>
    <cellStyle name="20% - Accent3 2 5 6" xfId="3634" xr:uid="{00000000-0005-0000-0000-00005A1F0000}"/>
    <cellStyle name="20% - Accent3 2 5 6 2" xfId="8496" xr:uid="{00000000-0005-0000-0000-00005B1F0000}"/>
    <cellStyle name="20% - Accent3 2 5 6 2 2" xfId="27947" xr:uid="{00000000-0005-0000-0000-00005C1F0000}"/>
    <cellStyle name="20% - Accent3 2 5 6 2 3" xfId="37672" xr:uid="{00000000-0005-0000-0000-00005D1F0000}"/>
    <cellStyle name="20% - Accent3 2 5 6 2 4" xfId="47397" xr:uid="{00000000-0005-0000-0000-00005E1F0000}"/>
    <cellStyle name="20% - Accent3 2 5 6 2 5" xfId="18222" xr:uid="{00000000-0005-0000-0000-00005F1F0000}"/>
    <cellStyle name="20% - Accent3 2 5 6 3" xfId="23085" xr:uid="{00000000-0005-0000-0000-0000601F0000}"/>
    <cellStyle name="20% - Accent3 2 5 6 4" xfId="32810" xr:uid="{00000000-0005-0000-0000-0000611F0000}"/>
    <cellStyle name="20% - Accent3 2 5 6 5" xfId="42535" xr:uid="{00000000-0005-0000-0000-0000621F0000}"/>
    <cellStyle name="20% - Accent3 2 5 6 6" xfId="13360" xr:uid="{00000000-0005-0000-0000-0000631F0000}"/>
    <cellStyle name="20% - Accent3 2 5 7" xfId="5256" xr:uid="{00000000-0005-0000-0000-0000641F0000}"/>
    <cellStyle name="20% - Accent3 2 5 7 2" xfId="24707" xr:uid="{00000000-0005-0000-0000-0000651F0000}"/>
    <cellStyle name="20% - Accent3 2 5 7 3" xfId="34432" xr:uid="{00000000-0005-0000-0000-0000661F0000}"/>
    <cellStyle name="20% - Accent3 2 5 7 4" xfId="44157" xr:uid="{00000000-0005-0000-0000-0000671F0000}"/>
    <cellStyle name="20% - Accent3 2 5 7 5" xfId="14982" xr:uid="{00000000-0005-0000-0000-0000681F0000}"/>
    <cellStyle name="20% - Accent3 2 5 8" xfId="19845" xr:uid="{00000000-0005-0000-0000-0000691F0000}"/>
    <cellStyle name="20% - Accent3 2 5 9" xfId="29570" xr:uid="{00000000-0005-0000-0000-00006A1F0000}"/>
    <cellStyle name="20% - Accent3 2 6" xfId="151" xr:uid="{00000000-0005-0000-0000-00006B1F0000}"/>
    <cellStyle name="20% - Accent3 2 6 10" xfId="39115" xr:uid="{00000000-0005-0000-0000-00006C1F0000}"/>
    <cellStyle name="20% - Accent3 2 6 11" xfId="9940" xr:uid="{00000000-0005-0000-0000-00006D1F0000}"/>
    <cellStyle name="20% - Accent3 2 6 2" xfId="915" xr:uid="{00000000-0005-0000-0000-00006E1F0000}"/>
    <cellStyle name="20% - Accent3 2 6 2 2" xfId="2554" xr:uid="{00000000-0005-0000-0000-00006F1F0000}"/>
    <cellStyle name="20% - Accent3 2 6 2 2 2" xfId="7416" xr:uid="{00000000-0005-0000-0000-0000701F0000}"/>
    <cellStyle name="20% - Accent3 2 6 2 2 2 2" xfId="26867" xr:uid="{00000000-0005-0000-0000-0000711F0000}"/>
    <cellStyle name="20% - Accent3 2 6 2 2 2 3" xfId="36592" xr:uid="{00000000-0005-0000-0000-0000721F0000}"/>
    <cellStyle name="20% - Accent3 2 6 2 2 2 4" xfId="46317" xr:uid="{00000000-0005-0000-0000-0000731F0000}"/>
    <cellStyle name="20% - Accent3 2 6 2 2 2 5" xfId="17142" xr:uid="{00000000-0005-0000-0000-0000741F0000}"/>
    <cellStyle name="20% - Accent3 2 6 2 2 3" xfId="22005" xr:uid="{00000000-0005-0000-0000-0000751F0000}"/>
    <cellStyle name="20% - Accent3 2 6 2 2 4" xfId="31730" xr:uid="{00000000-0005-0000-0000-0000761F0000}"/>
    <cellStyle name="20% - Accent3 2 6 2 2 5" xfId="41455" xr:uid="{00000000-0005-0000-0000-0000771F0000}"/>
    <cellStyle name="20% - Accent3 2 6 2 2 6" xfId="12280" xr:uid="{00000000-0005-0000-0000-0000781F0000}"/>
    <cellStyle name="20% - Accent3 2 6 2 3" xfId="4174" xr:uid="{00000000-0005-0000-0000-0000791F0000}"/>
    <cellStyle name="20% - Accent3 2 6 2 3 2" xfId="9036" xr:uid="{00000000-0005-0000-0000-00007A1F0000}"/>
    <cellStyle name="20% - Accent3 2 6 2 3 2 2" xfId="28487" xr:uid="{00000000-0005-0000-0000-00007B1F0000}"/>
    <cellStyle name="20% - Accent3 2 6 2 3 2 3" xfId="38212" xr:uid="{00000000-0005-0000-0000-00007C1F0000}"/>
    <cellStyle name="20% - Accent3 2 6 2 3 2 4" xfId="47937" xr:uid="{00000000-0005-0000-0000-00007D1F0000}"/>
    <cellStyle name="20% - Accent3 2 6 2 3 2 5" xfId="18762" xr:uid="{00000000-0005-0000-0000-00007E1F0000}"/>
    <cellStyle name="20% - Accent3 2 6 2 3 3" xfId="23625" xr:uid="{00000000-0005-0000-0000-00007F1F0000}"/>
    <cellStyle name="20% - Accent3 2 6 2 3 4" xfId="33350" xr:uid="{00000000-0005-0000-0000-0000801F0000}"/>
    <cellStyle name="20% - Accent3 2 6 2 3 5" xfId="43075" xr:uid="{00000000-0005-0000-0000-0000811F0000}"/>
    <cellStyle name="20% - Accent3 2 6 2 3 6" xfId="13900" xr:uid="{00000000-0005-0000-0000-0000821F0000}"/>
    <cellStyle name="20% - Accent3 2 6 2 4" xfId="5796" xr:uid="{00000000-0005-0000-0000-0000831F0000}"/>
    <cellStyle name="20% - Accent3 2 6 2 4 2" xfId="25247" xr:uid="{00000000-0005-0000-0000-0000841F0000}"/>
    <cellStyle name="20% - Accent3 2 6 2 4 3" xfId="34972" xr:uid="{00000000-0005-0000-0000-0000851F0000}"/>
    <cellStyle name="20% - Accent3 2 6 2 4 4" xfId="44697" xr:uid="{00000000-0005-0000-0000-0000861F0000}"/>
    <cellStyle name="20% - Accent3 2 6 2 4 5" xfId="15522" xr:uid="{00000000-0005-0000-0000-0000871F0000}"/>
    <cellStyle name="20% - Accent3 2 6 2 5" xfId="20385" xr:uid="{00000000-0005-0000-0000-0000881F0000}"/>
    <cellStyle name="20% - Accent3 2 6 2 6" xfId="30110" xr:uid="{00000000-0005-0000-0000-0000891F0000}"/>
    <cellStyle name="20% - Accent3 2 6 2 7" xfId="39835" xr:uid="{00000000-0005-0000-0000-00008A1F0000}"/>
    <cellStyle name="20% - Accent3 2 6 2 8" xfId="10660" xr:uid="{00000000-0005-0000-0000-00008B1F0000}"/>
    <cellStyle name="20% - Accent3 2 6 3" xfId="1383" xr:uid="{00000000-0005-0000-0000-00008C1F0000}"/>
    <cellStyle name="20% - Accent3 2 6 3 2" xfId="3004" xr:uid="{00000000-0005-0000-0000-00008D1F0000}"/>
    <cellStyle name="20% - Accent3 2 6 3 2 2" xfId="7866" xr:uid="{00000000-0005-0000-0000-00008E1F0000}"/>
    <cellStyle name="20% - Accent3 2 6 3 2 2 2" xfId="27317" xr:uid="{00000000-0005-0000-0000-00008F1F0000}"/>
    <cellStyle name="20% - Accent3 2 6 3 2 2 3" xfId="37042" xr:uid="{00000000-0005-0000-0000-0000901F0000}"/>
    <cellStyle name="20% - Accent3 2 6 3 2 2 4" xfId="46767" xr:uid="{00000000-0005-0000-0000-0000911F0000}"/>
    <cellStyle name="20% - Accent3 2 6 3 2 2 5" xfId="17592" xr:uid="{00000000-0005-0000-0000-0000921F0000}"/>
    <cellStyle name="20% - Accent3 2 6 3 2 3" xfId="22455" xr:uid="{00000000-0005-0000-0000-0000931F0000}"/>
    <cellStyle name="20% - Accent3 2 6 3 2 4" xfId="32180" xr:uid="{00000000-0005-0000-0000-0000941F0000}"/>
    <cellStyle name="20% - Accent3 2 6 3 2 5" xfId="41905" xr:uid="{00000000-0005-0000-0000-0000951F0000}"/>
    <cellStyle name="20% - Accent3 2 6 3 2 6" xfId="12730" xr:uid="{00000000-0005-0000-0000-0000961F0000}"/>
    <cellStyle name="20% - Accent3 2 6 3 3" xfId="4624" xr:uid="{00000000-0005-0000-0000-0000971F0000}"/>
    <cellStyle name="20% - Accent3 2 6 3 3 2" xfId="9486" xr:uid="{00000000-0005-0000-0000-0000981F0000}"/>
    <cellStyle name="20% - Accent3 2 6 3 3 2 2" xfId="28937" xr:uid="{00000000-0005-0000-0000-0000991F0000}"/>
    <cellStyle name="20% - Accent3 2 6 3 3 2 3" xfId="38662" xr:uid="{00000000-0005-0000-0000-00009A1F0000}"/>
    <cellStyle name="20% - Accent3 2 6 3 3 2 4" xfId="48387" xr:uid="{00000000-0005-0000-0000-00009B1F0000}"/>
    <cellStyle name="20% - Accent3 2 6 3 3 2 5" xfId="19212" xr:uid="{00000000-0005-0000-0000-00009C1F0000}"/>
    <cellStyle name="20% - Accent3 2 6 3 3 3" xfId="24075" xr:uid="{00000000-0005-0000-0000-00009D1F0000}"/>
    <cellStyle name="20% - Accent3 2 6 3 3 4" xfId="33800" xr:uid="{00000000-0005-0000-0000-00009E1F0000}"/>
    <cellStyle name="20% - Accent3 2 6 3 3 5" xfId="43525" xr:uid="{00000000-0005-0000-0000-00009F1F0000}"/>
    <cellStyle name="20% - Accent3 2 6 3 3 6" xfId="14350" xr:uid="{00000000-0005-0000-0000-0000A01F0000}"/>
    <cellStyle name="20% - Accent3 2 6 3 4" xfId="6246" xr:uid="{00000000-0005-0000-0000-0000A11F0000}"/>
    <cellStyle name="20% - Accent3 2 6 3 4 2" xfId="25697" xr:uid="{00000000-0005-0000-0000-0000A21F0000}"/>
    <cellStyle name="20% - Accent3 2 6 3 4 3" xfId="35422" xr:uid="{00000000-0005-0000-0000-0000A31F0000}"/>
    <cellStyle name="20% - Accent3 2 6 3 4 4" xfId="45147" xr:uid="{00000000-0005-0000-0000-0000A41F0000}"/>
    <cellStyle name="20% - Accent3 2 6 3 4 5" xfId="15972" xr:uid="{00000000-0005-0000-0000-0000A51F0000}"/>
    <cellStyle name="20% - Accent3 2 6 3 5" xfId="20835" xr:uid="{00000000-0005-0000-0000-0000A61F0000}"/>
    <cellStyle name="20% - Accent3 2 6 3 6" xfId="30560" xr:uid="{00000000-0005-0000-0000-0000A71F0000}"/>
    <cellStyle name="20% - Accent3 2 6 3 7" xfId="40285" xr:uid="{00000000-0005-0000-0000-0000A81F0000}"/>
    <cellStyle name="20% - Accent3 2 6 3 8" xfId="11110" xr:uid="{00000000-0005-0000-0000-0000A91F0000}"/>
    <cellStyle name="20% - Accent3 2 6 4" xfId="554" xr:uid="{00000000-0005-0000-0000-0000AA1F0000}"/>
    <cellStyle name="20% - Accent3 2 6 4 2" xfId="2194" xr:uid="{00000000-0005-0000-0000-0000AB1F0000}"/>
    <cellStyle name="20% - Accent3 2 6 4 2 2" xfId="7056" xr:uid="{00000000-0005-0000-0000-0000AC1F0000}"/>
    <cellStyle name="20% - Accent3 2 6 4 2 2 2" xfId="26507" xr:uid="{00000000-0005-0000-0000-0000AD1F0000}"/>
    <cellStyle name="20% - Accent3 2 6 4 2 2 3" xfId="36232" xr:uid="{00000000-0005-0000-0000-0000AE1F0000}"/>
    <cellStyle name="20% - Accent3 2 6 4 2 2 4" xfId="45957" xr:uid="{00000000-0005-0000-0000-0000AF1F0000}"/>
    <cellStyle name="20% - Accent3 2 6 4 2 2 5" xfId="16782" xr:uid="{00000000-0005-0000-0000-0000B01F0000}"/>
    <cellStyle name="20% - Accent3 2 6 4 2 3" xfId="21645" xr:uid="{00000000-0005-0000-0000-0000B11F0000}"/>
    <cellStyle name="20% - Accent3 2 6 4 2 4" xfId="31370" xr:uid="{00000000-0005-0000-0000-0000B21F0000}"/>
    <cellStyle name="20% - Accent3 2 6 4 2 5" xfId="41095" xr:uid="{00000000-0005-0000-0000-0000B31F0000}"/>
    <cellStyle name="20% - Accent3 2 6 4 2 6" xfId="11920" xr:uid="{00000000-0005-0000-0000-0000B41F0000}"/>
    <cellStyle name="20% - Accent3 2 6 4 3" xfId="3814" xr:uid="{00000000-0005-0000-0000-0000B51F0000}"/>
    <cellStyle name="20% - Accent3 2 6 4 3 2" xfId="8676" xr:uid="{00000000-0005-0000-0000-0000B61F0000}"/>
    <cellStyle name="20% - Accent3 2 6 4 3 2 2" xfId="28127" xr:uid="{00000000-0005-0000-0000-0000B71F0000}"/>
    <cellStyle name="20% - Accent3 2 6 4 3 2 3" xfId="37852" xr:uid="{00000000-0005-0000-0000-0000B81F0000}"/>
    <cellStyle name="20% - Accent3 2 6 4 3 2 4" xfId="47577" xr:uid="{00000000-0005-0000-0000-0000B91F0000}"/>
    <cellStyle name="20% - Accent3 2 6 4 3 2 5" xfId="18402" xr:uid="{00000000-0005-0000-0000-0000BA1F0000}"/>
    <cellStyle name="20% - Accent3 2 6 4 3 3" xfId="23265" xr:uid="{00000000-0005-0000-0000-0000BB1F0000}"/>
    <cellStyle name="20% - Accent3 2 6 4 3 4" xfId="32990" xr:uid="{00000000-0005-0000-0000-0000BC1F0000}"/>
    <cellStyle name="20% - Accent3 2 6 4 3 5" xfId="42715" xr:uid="{00000000-0005-0000-0000-0000BD1F0000}"/>
    <cellStyle name="20% - Accent3 2 6 4 3 6" xfId="13540" xr:uid="{00000000-0005-0000-0000-0000BE1F0000}"/>
    <cellStyle name="20% - Accent3 2 6 4 4" xfId="5436" xr:uid="{00000000-0005-0000-0000-0000BF1F0000}"/>
    <cellStyle name="20% - Accent3 2 6 4 4 2" xfId="24887" xr:uid="{00000000-0005-0000-0000-0000C01F0000}"/>
    <cellStyle name="20% - Accent3 2 6 4 4 3" xfId="34612" xr:uid="{00000000-0005-0000-0000-0000C11F0000}"/>
    <cellStyle name="20% - Accent3 2 6 4 4 4" xfId="44337" xr:uid="{00000000-0005-0000-0000-0000C21F0000}"/>
    <cellStyle name="20% - Accent3 2 6 4 4 5" xfId="15162" xr:uid="{00000000-0005-0000-0000-0000C31F0000}"/>
    <cellStyle name="20% - Accent3 2 6 4 5" xfId="20025" xr:uid="{00000000-0005-0000-0000-0000C41F0000}"/>
    <cellStyle name="20% - Accent3 2 6 4 6" xfId="29750" xr:uid="{00000000-0005-0000-0000-0000C51F0000}"/>
    <cellStyle name="20% - Accent3 2 6 4 7" xfId="39475" xr:uid="{00000000-0005-0000-0000-0000C61F0000}"/>
    <cellStyle name="20% - Accent3 2 6 4 8" xfId="10300" xr:uid="{00000000-0005-0000-0000-0000C71F0000}"/>
    <cellStyle name="20% - Accent3 2 6 5" xfId="1834" xr:uid="{00000000-0005-0000-0000-0000C81F0000}"/>
    <cellStyle name="20% - Accent3 2 6 5 2" xfId="6696" xr:uid="{00000000-0005-0000-0000-0000C91F0000}"/>
    <cellStyle name="20% - Accent3 2 6 5 2 2" xfId="26147" xr:uid="{00000000-0005-0000-0000-0000CA1F0000}"/>
    <cellStyle name="20% - Accent3 2 6 5 2 3" xfId="35872" xr:uid="{00000000-0005-0000-0000-0000CB1F0000}"/>
    <cellStyle name="20% - Accent3 2 6 5 2 4" xfId="45597" xr:uid="{00000000-0005-0000-0000-0000CC1F0000}"/>
    <cellStyle name="20% - Accent3 2 6 5 2 5" xfId="16422" xr:uid="{00000000-0005-0000-0000-0000CD1F0000}"/>
    <cellStyle name="20% - Accent3 2 6 5 3" xfId="21285" xr:uid="{00000000-0005-0000-0000-0000CE1F0000}"/>
    <cellStyle name="20% - Accent3 2 6 5 4" xfId="31010" xr:uid="{00000000-0005-0000-0000-0000CF1F0000}"/>
    <cellStyle name="20% - Accent3 2 6 5 5" xfId="40735" xr:uid="{00000000-0005-0000-0000-0000D01F0000}"/>
    <cellStyle name="20% - Accent3 2 6 5 6" xfId="11560" xr:uid="{00000000-0005-0000-0000-0000D11F0000}"/>
    <cellStyle name="20% - Accent3 2 6 6" xfId="3454" xr:uid="{00000000-0005-0000-0000-0000D21F0000}"/>
    <cellStyle name="20% - Accent3 2 6 6 2" xfId="8316" xr:uid="{00000000-0005-0000-0000-0000D31F0000}"/>
    <cellStyle name="20% - Accent3 2 6 6 2 2" xfId="27767" xr:uid="{00000000-0005-0000-0000-0000D41F0000}"/>
    <cellStyle name="20% - Accent3 2 6 6 2 3" xfId="37492" xr:uid="{00000000-0005-0000-0000-0000D51F0000}"/>
    <cellStyle name="20% - Accent3 2 6 6 2 4" xfId="47217" xr:uid="{00000000-0005-0000-0000-0000D61F0000}"/>
    <cellStyle name="20% - Accent3 2 6 6 2 5" xfId="18042" xr:uid="{00000000-0005-0000-0000-0000D71F0000}"/>
    <cellStyle name="20% - Accent3 2 6 6 3" xfId="22905" xr:uid="{00000000-0005-0000-0000-0000D81F0000}"/>
    <cellStyle name="20% - Accent3 2 6 6 4" xfId="32630" xr:uid="{00000000-0005-0000-0000-0000D91F0000}"/>
    <cellStyle name="20% - Accent3 2 6 6 5" xfId="42355" xr:uid="{00000000-0005-0000-0000-0000DA1F0000}"/>
    <cellStyle name="20% - Accent3 2 6 6 6" xfId="13180" xr:uid="{00000000-0005-0000-0000-0000DB1F0000}"/>
    <cellStyle name="20% - Accent3 2 6 7" xfId="5076" xr:uid="{00000000-0005-0000-0000-0000DC1F0000}"/>
    <cellStyle name="20% - Accent3 2 6 7 2" xfId="24527" xr:uid="{00000000-0005-0000-0000-0000DD1F0000}"/>
    <cellStyle name="20% - Accent3 2 6 7 3" xfId="34252" xr:uid="{00000000-0005-0000-0000-0000DE1F0000}"/>
    <cellStyle name="20% - Accent3 2 6 7 4" xfId="43977" xr:uid="{00000000-0005-0000-0000-0000DF1F0000}"/>
    <cellStyle name="20% - Accent3 2 6 7 5" xfId="14802" xr:uid="{00000000-0005-0000-0000-0000E01F0000}"/>
    <cellStyle name="20% - Accent3 2 6 8" xfId="19665" xr:uid="{00000000-0005-0000-0000-0000E11F0000}"/>
    <cellStyle name="20% - Accent3 2 6 9" xfId="29390" xr:uid="{00000000-0005-0000-0000-0000E21F0000}"/>
    <cellStyle name="20% - Accent3 2 7" xfId="825" xr:uid="{00000000-0005-0000-0000-0000E31F0000}"/>
    <cellStyle name="20% - Accent3 2 7 2" xfId="2464" xr:uid="{00000000-0005-0000-0000-0000E41F0000}"/>
    <cellStyle name="20% - Accent3 2 7 2 2" xfId="7326" xr:uid="{00000000-0005-0000-0000-0000E51F0000}"/>
    <cellStyle name="20% - Accent3 2 7 2 2 2" xfId="26777" xr:uid="{00000000-0005-0000-0000-0000E61F0000}"/>
    <cellStyle name="20% - Accent3 2 7 2 2 3" xfId="36502" xr:uid="{00000000-0005-0000-0000-0000E71F0000}"/>
    <cellStyle name="20% - Accent3 2 7 2 2 4" xfId="46227" xr:uid="{00000000-0005-0000-0000-0000E81F0000}"/>
    <cellStyle name="20% - Accent3 2 7 2 2 5" xfId="17052" xr:uid="{00000000-0005-0000-0000-0000E91F0000}"/>
    <cellStyle name="20% - Accent3 2 7 2 3" xfId="21915" xr:uid="{00000000-0005-0000-0000-0000EA1F0000}"/>
    <cellStyle name="20% - Accent3 2 7 2 4" xfId="31640" xr:uid="{00000000-0005-0000-0000-0000EB1F0000}"/>
    <cellStyle name="20% - Accent3 2 7 2 5" xfId="41365" xr:uid="{00000000-0005-0000-0000-0000EC1F0000}"/>
    <cellStyle name="20% - Accent3 2 7 2 6" xfId="12190" xr:uid="{00000000-0005-0000-0000-0000ED1F0000}"/>
    <cellStyle name="20% - Accent3 2 7 3" xfId="4084" xr:uid="{00000000-0005-0000-0000-0000EE1F0000}"/>
    <cellStyle name="20% - Accent3 2 7 3 2" xfId="8946" xr:uid="{00000000-0005-0000-0000-0000EF1F0000}"/>
    <cellStyle name="20% - Accent3 2 7 3 2 2" xfId="28397" xr:uid="{00000000-0005-0000-0000-0000F01F0000}"/>
    <cellStyle name="20% - Accent3 2 7 3 2 3" xfId="38122" xr:uid="{00000000-0005-0000-0000-0000F11F0000}"/>
    <cellStyle name="20% - Accent3 2 7 3 2 4" xfId="47847" xr:uid="{00000000-0005-0000-0000-0000F21F0000}"/>
    <cellStyle name="20% - Accent3 2 7 3 2 5" xfId="18672" xr:uid="{00000000-0005-0000-0000-0000F31F0000}"/>
    <cellStyle name="20% - Accent3 2 7 3 3" xfId="23535" xr:uid="{00000000-0005-0000-0000-0000F41F0000}"/>
    <cellStyle name="20% - Accent3 2 7 3 4" xfId="33260" xr:uid="{00000000-0005-0000-0000-0000F51F0000}"/>
    <cellStyle name="20% - Accent3 2 7 3 5" xfId="42985" xr:uid="{00000000-0005-0000-0000-0000F61F0000}"/>
    <cellStyle name="20% - Accent3 2 7 3 6" xfId="13810" xr:uid="{00000000-0005-0000-0000-0000F71F0000}"/>
    <cellStyle name="20% - Accent3 2 7 4" xfId="5706" xr:uid="{00000000-0005-0000-0000-0000F81F0000}"/>
    <cellStyle name="20% - Accent3 2 7 4 2" xfId="25157" xr:uid="{00000000-0005-0000-0000-0000F91F0000}"/>
    <cellStyle name="20% - Accent3 2 7 4 3" xfId="34882" xr:uid="{00000000-0005-0000-0000-0000FA1F0000}"/>
    <cellStyle name="20% - Accent3 2 7 4 4" xfId="44607" xr:uid="{00000000-0005-0000-0000-0000FB1F0000}"/>
    <cellStyle name="20% - Accent3 2 7 4 5" xfId="15432" xr:uid="{00000000-0005-0000-0000-0000FC1F0000}"/>
    <cellStyle name="20% - Accent3 2 7 5" xfId="20295" xr:uid="{00000000-0005-0000-0000-0000FD1F0000}"/>
    <cellStyle name="20% - Accent3 2 7 6" xfId="30020" xr:uid="{00000000-0005-0000-0000-0000FE1F0000}"/>
    <cellStyle name="20% - Accent3 2 7 7" xfId="39745" xr:uid="{00000000-0005-0000-0000-0000FF1F0000}"/>
    <cellStyle name="20% - Accent3 2 7 8" xfId="10570" xr:uid="{00000000-0005-0000-0000-000000200000}"/>
    <cellStyle name="20% - Accent3 2 8" xfId="1203" xr:uid="{00000000-0005-0000-0000-000001200000}"/>
    <cellStyle name="20% - Accent3 2 8 2" xfId="2824" xr:uid="{00000000-0005-0000-0000-000002200000}"/>
    <cellStyle name="20% - Accent3 2 8 2 2" xfId="7686" xr:uid="{00000000-0005-0000-0000-000003200000}"/>
    <cellStyle name="20% - Accent3 2 8 2 2 2" xfId="27137" xr:uid="{00000000-0005-0000-0000-000004200000}"/>
    <cellStyle name="20% - Accent3 2 8 2 2 3" xfId="36862" xr:uid="{00000000-0005-0000-0000-000005200000}"/>
    <cellStyle name="20% - Accent3 2 8 2 2 4" xfId="46587" xr:uid="{00000000-0005-0000-0000-000006200000}"/>
    <cellStyle name="20% - Accent3 2 8 2 2 5" xfId="17412" xr:uid="{00000000-0005-0000-0000-000007200000}"/>
    <cellStyle name="20% - Accent3 2 8 2 3" xfId="22275" xr:uid="{00000000-0005-0000-0000-000008200000}"/>
    <cellStyle name="20% - Accent3 2 8 2 4" xfId="32000" xr:uid="{00000000-0005-0000-0000-000009200000}"/>
    <cellStyle name="20% - Accent3 2 8 2 5" xfId="41725" xr:uid="{00000000-0005-0000-0000-00000A200000}"/>
    <cellStyle name="20% - Accent3 2 8 2 6" xfId="12550" xr:uid="{00000000-0005-0000-0000-00000B200000}"/>
    <cellStyle name="20% - Accent3 2 8 3" xfId="4444" xr:uid="{00000000-0005-0000-0000-00000C200000}"/>
    <cellStyle name="20% - Accent3 2 8 3 2" xfId="9306" xr:uid="{00000000-0005-0000-0000-00000D200000}"/>
    <cellStyle name="20% - Accent3 2 8 3 2 2" xfId="28757" xr:uid="{00000000-0005-0000-0000-00000E200000}"/>
    <cellStyle name="20% - Accent3 2 8 3 2 3" xfId="38482" xr:uid="{00000000-0005-0000-0000-00000F200000}"/>
    <cellStyle name="20% - Accent3 2 8 3 2 4" xfId="48207" xr:uid="{00000000-0005-0000-0000-000010200000}"/>
    <cellStyle name="20% - Accent3 2 8 3 2 5" xfId="19032" xr:uid="{00000000-0005-0000-0000-000011200000}"/>
    <cellStyle name="20% - Accent3 2 8 3 3" xfId="23895" xr:uid="{00000000-0005-0000-0000-000012200000}"/>
    <cellStyle name="20% - Accent3 2 8 3 4" xfId="33620" xr:uid="{00000000-0005-0000-0000-000013200000}"/>
    <cellStyle name="20% - Accent3 2 8 3 5" xfId="43345" xr:uid="{00000000-0005-0000-0000-000014200000}"/>
    <cellStyle name="20% - Accent3 2 8 3 6" xfId="14170" xr:uid="{00000000-0005-0000-0000-000015200000}"/>
    <cellStyle name="20% - Accent3 2 8 4" xfId="6066" xr:uid="{00000000-0005-0000-0000-000016200000}"/>
    <cellStyle name="20% - Accent3 2 8 4 2" xfId="25517" xr:uid="{00000000-0005-0000-0000-000017200000}"/>
    <cellStyle name="20% - Accent3 2 8 4 3" xfId="35242" xr:uid="{00000000-0005-0000-0000-000018200000}"/>
    <cellStyle name="20% - Accent3 2 8 4 4" xfId="44967" xr:uid="{00000000-0005-0000-0000-000019200000}"/>
    <cellStyle name="20% - Accent3 2 8 4 5" xfId="15792" xr:uid="{00000000-0005-0000-0000-00001A200000}"/>
    <cellStyle name="20% - Accent3 2 8 5" xfId="20655" xr:uid="{00000000-0005-0000-0000-00001B200000}"/>
    <cellStyle name="20% - Accent3 2 8 6" xfId="30380" xr:uid="{00000000-0005-0000-0000-00001C200000}"/>
    <cellStyle name="20% - Accent3 2 8 7" xfId="40105" xr:uid="{00000000-0005-0000-0000-00001D200000}"/>
    <cellStyle name="20% - Accent3 2 8 8" xfId="10930" xr:uid="{00000000-0005-0000-0000-00001E200000}"/>
    <cellStyle name="20% - Accent3 2 9" xfId="1293" xr:uid="{00000000-0005-0000-0000-00001F200000}"/>
    <cellStyle name="20% - Accent3 2 9 2" xfId="2914" xr:uid="{00000000-0005-0000-0000-000020200000}"/>
    <cellStyle name="20% - Accent3 2 9 2 2" xfId="7776" xr:uid="{00000000-0005-0000-0000-000021200000}"/>
    <cellStyle name="20% - Accent3 2 9 2 2 2" xfId="27227" xr:uid="{00000000-0005-0000-0000-000022200000}"/>
    <cellStyle name="20% - Accent3 2 9 2 2 3" xfId="36952" xr:uid="{00000000-0005-0000-0000-000023200000}"/>
    <cellStyle name="20% - Accent3 2 9 2 2 4" xfId="46677" xr:uid="{00000000-0005-0000-0000-000024200000}"/>
    <cellStyle name="20% - Accent3 2 9 2 2 5" xfId="17502" xr:uid="{00000000-0005-0000-0000-000025200000}"/>
    <cellStyle name="20% - Accent3 2 9 2 3" xfId="22365" xr:uid="{00000000-0005-0000-0000-000026200000}"/>
    <cellStyle name="20% - Accent3 2 9 2 4" xfId="32090" xr:uid="{00000000-0005-0000-0000-000027200000}"/>
    <cellStyle name="20% - Accent3 2 9 2 5" xfId="41815" xr:uid="{00000000-0005-0000-0000-000028200000}"/>
    <cellStyle name="20% - Accent3 2 9 2 6" xfId="12640" xr:uid="{00000000-0005-0000-0000-000029200000}"/>
    <cellStyle name="20% - Accent3 2 9 3" xfId="4534" xr:uid="{00000000-0005-0000-0000-00002A200000}"/>
    <cellStyle name="20% - Accent3 2 9 3 2" xfId="9396" xr:uid="{00000000-0005-0000-0000-00002B200000}"/>
    <cellStyle name="20% - Accent3 2 9 3 2 2" xfId="28847" xr:uid="{00000000-0005-0000-0000-00002C200000}"/>
    <cellStyle name="20% - Accent3 2 9 3 2 3" xfId="38572" xr:uid="{00000000-0005-0000-0000-00002D200000}"/>
    <cellStyle name="20% - Accent3 2 9 3 2 4" xfId="48297" xr:uid="{00000000-0005-0000-0000-00002E200000}"/>
    <cellStyle name="20% - Accent3 2 9 3 2 5" xfId="19122" xr:uid="{00000000-0005-0000-0000-00002F200000}"/>
    <cellStyle name="20% - Accent3 2 9 3 3" xfId="23985" xr:uid="{00000000-0005-0000-0000-000030200000}"/>
    <cellStyle name="20% - Accent3 2 9 3 4" xfId="33710" xr:uid="{00000000-0005-0000-0000-000031200000}"/>
    <cellStyle name="20% - Accent3 2 9 3 5" xfId="43435" xr:uid="{00000000-0005-0000-0000-000032200000}"/>
    <cellStyle name="20% - Accent3 2 9 3 6" xfId="14260" xr:uid="{00000000-0005-0000-0000-000033200000}"/>
    <cellStyle name="20% - Accent3 2 9 4" xfId="6156" xr:uid="{00000000-0005-0000-0000-000034200000}"/>
    <cellStyle name="20% - Accent3 2 9 4 2" xfId="25607" xr:uid="{00000000-0005-0000-0000-000035200000}"/>
    <cellStyle name="20% - Accent3 2 9 4 3" xfId="35332" xr:uid="{00000000-0005-0000-0000-000036200000}"/>
    <cellStyle name="20% - Accent3 2 9 4 4" xfId="45057" xr:uid="{00000000-0005-0000-0000-000037200000}"/>
    <cellStyle name="20% - Accent3 2 9 4 5" xfId="15882" xr:uid="{00000000-0005-0000-0000-000038200000}"/>
    <cellStyle name="20% - Accent3 2 9 5" xfId="20745" xr:uid="{00000000-0005-0000-0000-000039200000}"/>
    <cellStyle name="20% - Accent3 2 9 6" xfId="30470" xr:uid="{00000000-0005-0000-0000-00003A200000}"/>
    <cellStyle name="20% - Accent3 2 9 7" xfId="40195" xr:uid="{00000000-0005-0000-0000-00003B200000}"/>
    <cellStyle name="20% - Accent3 2 9 8" xfId="11020" xr:uid="{00000000-0005-0000-0000-00003C200000}"/>
    <cellStyle name="20% - Accent3 2_Database (All)" xfId="1184" xr:uid="{00000000-0005-0000-0000-00003D200000}"/>
    <cellStyle name="20% - Accent3 20" xfId="9836" xr:uid="{00000000-0005-0000-0000-00003E200000}"/>
    <cellStyle name="20% - Accent3 3" xfId="76" xr:uid="{00000000-0005-0000-0000-00003F200000}"/>
    <cellStyle name="20% - Accent3 3 10" xfId="1760" xr:uid="{00000000-0005-0000-0000-000040200000}"/>
    <cellStyle name="20% - Accent3 3 10 2" xfId="6622" xr:uid="{00000000-0005-0000-0000-000041200000}"/>
    <cellStyle name="20% - Accent3 3 10 2 2" xfId="26073" xr:uid="{00000000-0005-0000-0000-000042200000}"/>
    <cellStyle name="20% - Accent3 3 10 2 3" xfId="35798" xr:uid="{00000000-0005-0000-0000-000043200000}"/>
    <cellStyle name="20% - Accent3 3 10 2 4" xfId="45523" xr:uid="{00000000-0005-0000-0000-000044200000}"/>
    <cellStyle name="20% - Accent3 3 10 2 5" xfId="16348" xr:uid="{00000000-0005-0000-0000-000045200000}"/>
    <cellStyle name="20% - Accent3 3 10 3" xfId="21211" xr:uid="{00000000-0005-0000-0000-000046200000}"/>
    <cellStyle name="20% - Accent3 3 10 4" xfId="30936" xr:uid="{00000000-0005-0000-0000-000047200000}"/>
    <cellStyle name="20% - Accent3 3 10 5" xfId="40661" xr:uid="{00000000-0005-0000-0000-000048200000}"/>
    <cellStyle name="20% - Accent3 3 10 6" xfId="11486" xr:uid="{00000000-0005-0000-0000-000049200000}"/>
    <cellStyle name="20% - Accent3 3 11" xfId="3380" xr:uid="{00000000-0005-0000-0000-00004A200000}"/>
    <cellStyle name="20% - Accent3 3 11 2" xfId="8242" xr:uid="{00000000-0005-0000-0000-00004B200000}"/>
    <cellStyle name="20% - Accent3 3 11 2 2" xfId="27693" xr:uid="{00000000-0005-0000-0000-00004C200000}"/>
    <cellStyle name="20% - Accent3 3 11 2 3" xfId="37418" xr:uid="{00000000-0005-0000-0000-00004D200000}"/>
    <cellStyle name="20% - Accent3 3 11 2 4" xfId="47143" xr:uid="{00000000-0005-0000-0000-00004E200000}"/>
    <cellStyle name="20% - Accent3 3 11 2 5" xfId="17968" xr:uid="{00000000-0005-0000-0000-00004F200000}"/>
    <cellStyle name="20% - Accent3 3 11 3" xfId="22831" xr:uid="{00000000-0005-0000-0000-000050200000}"/>
    <cellStyle name="20% - Accent3 3 11 4" xfId="32556" xr:uid="{00000000-0005-0000-0000-000051200000}"/>
    <cellStyle name="20% - Accent3 3 11 5" xfId="42281" xr:uid="{00000000-0005-0000-0000-000052200000}"/>
    <cellStyle name="20% - Accent3 3 11 6" xfId="13106" xr:uid="{00000000-0005-0000-0000-000053200000}"/>
    <cellStyle name="20% - Accent3 3 12" xfId="5002" xr:uid="{00000000-0005-0000-0000-000054200000}"/>
    <cellStyle name="20% - Accent3 3 12 2" xfId="24453" xr:uid="{00000000-0005-0000-0000-000055200000}"/>
    <cellStyle name="20% - Accent3 3 12 3" xfId="34178" xr:uid="{00000000-0005-0000-0000-000056200000}"/>
    <cellStyle name="20% - Accent3 3 12 4" xfId="43903" xr:uid="{00000000-0005-0000-0000-000057200000}"/>
    <cellStyle name="20% - Accent3 3 12 5" xfId="14728" xr:uid="{00000000-0005-0000-0000-000058200000}"/>
    <cellStyle name="20% - Accent3 3 13" xfId="19591" xr:uid="{00000000-0005-0000-0000-000059200000}"/>
    <cellStyle name="20% - Accent3 3 14" xfId="29316" xr:uid="{00000000-0005-0000-0000-00005A200000}"/>
    <cellStyle name="20% - Accent3 3 15" xfId="39041" xr:uid="{00000000-0005-0000-0000-00005B200000}"/>
    <cellStyle name="20% - Accent3 3 16" xfId="9866" xr:uid="{00000000-0005-0000-0000-00005C200000}"/>
    <cellStyle name="20% - Accent3 3 2" xfId="258" xr:uid="{00000000-0005-0000-0000-00005D200000}"/>
    <cellStyle name="20% - Accent3 3 2 10" xfId="39221" xr:uid="{00000000-0005-0000-0000-00005E200000}"/>
    <cellStyle name="20% - Accent3 3 2 11" xfId="10046" xr:uid="{00000000-0005-0000-0000-00005F200000}"/>
    <cellStyle name="20% - Accent3 3 2 2" xfId="1022" xr:uid="{00000000-0005-0000-0000-000060200000}"/>
    <cellStyle name="20% - Accent3 3 2 2 2" xfId="2660" xr:uid="{00000000-0005-0000-0000-000061200000}"/>
    <cellStyle name="20% - Accent3 3 2 2 2 2" xfId="7522" xr:uid="{00000000-0005-0000-0000-000062200000}"/>
    <cellStyle name="20% - Accent3 3 2 2 2 2 2" xfId="26973" xr:uid="{00000000-0005-0000-0000-000063200000}"/>
    <cellStyle name="20% - Accent3 3 2 2 2 2 3" xfId="36698" xr:uid="{00000000-0005-0000-0000-000064200000}"/>
    <cellStyle name="20% - Accent3 3 2 2 2 2 4" xfId="46423" xr:uid="{00000000-0005-0000-0000-000065200000}"/>
    <cellStyle name="20% - Accent3 3 2 2 2 2 5" xfId="17248" xr:uid="{00000000-0005-0000-0000-000066200000}"/>
    <cellStyle name="20% - Accent3 3 2 2 2 3" xfId="22111" xr:uid="{00000000-0005-0000-0000-000067200000}"/>
    <cellStyle name="20% - Accent3 3 2 2 2 4" xfId="31836" xr:uid="{00000000-0005-0000-0000-000068200000}"/>
    <cellStyle name="20% - Accent3 3 2 2 2 5" xfId="41561" xr:uid="{00000000-0005-0000-0000-000069200000}"/>
    <cellStyle name="20% - Accent3 3 2 2 2 6" xfId="12386" xr:uid="{00000000-0005-0000-0000-00006A200000}"/>
    <cellStyle name="20% - Accent3 3 2 2 3" xfId="4280" xr:uid="{00000000-0005-0000-0000-00006B200000}"/>
    <cellStyle name="20% - Accent3 3 2 2 3 2" xfId="9142" xr:uid="{00000000-0005-0000-0000-00006C200000}"/>
    <cellStyle name="20% - Accent3 3 2 2 3 2 2" xfId="28593" xr:uid="{00000000-0005-0000-0000-00006D200000}"/>
    <cellStyle name="20% - Accent3 3 2 2 3 2 3" xfId="38318" xr:uid="{00000000-0005-0000-0000-00006E200000}"/>
    <cellStyle name="20% - Accent3 3 2 2 3 2 4" xfId="48043" xr:uid="{00000000-0005-0000-0000-00006F200000}"/>
    <cellStyle name="20% - Accent3 3 2 2 3 2 5" xfId="18868" xr:uid="{00000000-0005-0000-0000-000070200000}"/>
    <cellStyle name="20% - Accent3 3 2 2 3 3" xfId="23731" xr:uid="{00000000-0005-0000-0000-000071200000}"/>
    <cellStyle name="20% - Accent3 3 2 2 3 4" xfId="33456" xr:uid="{00000000-0005-0000-0000-000072200000}"/>
    <cellStyle name="20% - Accent3 3 2 2 3 5" xfId="43181" xr:uid="{00000000-0005-0000-0000-000073200000}"/>
    <cellStyle name="20% - Accent3 3 2 2 3 6" xfId="14006" xr:uid="{00000000-0005-0000-0000-000074200000}"/>
    <cellStyle name="20% - Accent3 3 2 2 4" xfId="5902" xr:uid="{00000000-0005-0000-0000-000075200000}"/>
    <cellStyle name="20% - Accent3 3 2 2 4 2" xfId="25353" xr:uid="{00000000-0005-0000-0000-000076200000}"/>
    <cellStyle name="20% - Accent3 3 2 2 4 3" xfId="35078" xr:uid="{00000000-0005-0000-0000-000077200000}"/>
    <cellStyle name="20% - Accent3 3 2 2 4 4" xfId="44803" xr:uid="{00000000-0005-0000-0000-000078200000}"/>
    <cellStyle name="20% - Accent3 3 2 2 4 5" xfId="15628" xr:uid="{00000000-0005-0000-0000-000079200000}"/>
    <cellStyle name="20% - Accent3 3 2 2 5" xfId="20491" xr:uid="{00000000-0005-0000-0000-00007A200000}"/>
    <cellStyle name="20% - Accent3 3 2 2 6" xfId="30216" xr:uid="{00000000-0005-0000-0000-00007B200000}"/>
    <cellStyle name="20% - Accent3 3 2 2 7" xfId="39941" xr:uid="{00000000-0005-0000-0000-00007C200000}"/>
    <cellStyle name="20% - Accent3 3 2 2 8" xfId="10766" xr:uid="{00000000-0005-0000-0000-00007D200000}"/>
    <cellStyle name="20% - Accent3 3 2 3" xfId="1489" xr:uid="{00000000-0005-0000-0000-00007E200000}"/>
    <cellStyle name="20% - Accent3 3 2 3 2" xfId="3110" xr:uid="{00000000-0005-0000-0000-00007F200000}"/>
    <cellStyle name="20% - Accent3 3 2 3 2 2" xfId="7972" xr:uid="{00000000-0005-0000-0000-000080200000}"/>
    <cellStyle name="20% - Accent3 3 2 3 2 2 2" xfId="27423" xr:uid="{00000000-0005-0000-0000-000081200000}"/>
    <cellStyle name="20% - Accent3 3 2 3 2 2 3" xfId="37148" xr:uid="{00000000-0005-0000-0000-000082200000}"/>
    <cellStyle name="20% - Accent3 3 2 3 2 2 4" xfId="46873" xr:uid="{00000000-0005-0000-0000-000083200000}"/>
    <cellStyle name="20% - Accent3 3 2 3 2 2 5" xfId="17698" xr:uid="{00000000-0005-0000-0000-000084200000}"/>
    <cellStyle name="20% - Accent3 3 2 3 2 3" xfId="22561" xr:uid="{00000000-0005-0000-0000-000085200000}"/>
    <cellStyle name="20% - Accent3 3 2 3 2 4" xfId="32286" xr:uid="{00000000-0005-0000-0000-000086200000}"/>
    <cellStyle name="20% - Accent3 3 2 3 2 5" xfId="42011" xr:uid="{00000000-0005-0000-0000-000087200000}"/>
    <cellStyle name="20% - Accent3 3 2 3 2 6" xfId="12836" xr:uid="{00000000-0005-0000-0000-000088200000}"/>
    <cellStyle name="20% - Accent3 3 2 3 3" xfId="4730" xr:uid="{00000000-0005-0000-0000-000089200000}"/>
    <cellStyle name="20% - Accent3 3 2 3 3 2" xfId="9592" xr:uid="{00000000-0005-0000-0000-00008A200000}"/>
    <cellStyle name="20% - Accent3 3 2 3 3 2 2" xfId="29043" xr:uid="{00000000-0005-0000-0000-00008B200000}"/>
    <cellStyle name="20% - Accent3 3 2 3 3 2 3" xfId="38768" xr:uid="{00000000-0005-0000-0000-00008C200000}"/>
    <cellStyle name="20% - Accent3 3 2 3 3 2 4" xfId="48493" xr:uid="{00000000-0005-0000-0000-00008D200000}"/>
    <cellStyle name="20% - Accent3 3 2 3 3 2 5" xfId="19318" xr:uid="{00000000-0005-0000-0000-00008E200000}"/>
    <cellStyle name="20% - Accent3 3 2 3 3 3" xfId="24181" xr:uid="{00000000-0005-0000-0000-00008F200000}"/>
    <cellStyle name="20% - Accent3 3 2 3 3 4" xfId="33906" xr:uid="{00000000-0005-0000-0000-000090200000}"/>
    <cellStyle name="20% - Accent3 3 2 3 3 5" xfId="43631" xr:uid="{00000000-0005-0000-0000-000091200000}"/>
    <cellStyle name="20% - Accent3 3 2 3 3 6" xfId="14456" xr:uid="{00000000-0005-0000-0000-000092200000}"/>
    <cellStyle name="20% - Accent3 3 2 3 4" xfId="6352" xr:uid="{00000000-0005-0000-0000-000093200000}"/>
    <cellStyle name="20% - Accent3 3 2 3 4 2" xfId="25803" xr:uid="{00000000-0005-0000-0000-000094200000}"/>
    <cellStyle name="20% - Accent3 3 2 3 4 3" xfId="35528" xr:uid="{00000000-0005-0000-0000-000095200000}"/>
    <cellStyle name="20% - Accent3 3 2 3 4 4" xfId="45253" xr:uid="{00000000-0005-0000-0000-000096200000}"/>
    <cellStyle name="20% - Accent3 3 2 3 4 5" xfId="16078" xr:uid="{00000000-0005-0000-0000-000097200000}"/>
    <cellStyle name="20% - Accent3 3 2 3 5" xfId="20941" xr:uid="{00000000-0005-0000-0000-000098200000}"/>
    <cellStyle name="20% - Accent3 3 2 3 6" xfId="30666" xr:uid="{00000000-0005-0000-0000-000099200000}"/>
    <cellStyle name="20% - Accent3 3 2 3 7" xfId="40391" xr:uid="{00000000-0005-0000-0000-00009A200000}"/>
    <cellStyle name="20% - Accent3 3 2 3 8" xfId="11216" xr:uid="{00000000-0005-0000-0000-00009B200000}"/>
    <cellStyle name="20% - Accent3 3 2 4" xfId="660" xr:uid="{00000000-0005-0000-0000-00009C200000}"/>
    <cellStyle name="20% - Accent3 3 2 4 2" xfId="2300" xr:uid="{00000000-0005-0000-0000-00009D200000}"/>
    <cellStyle name="20% - Accent3 3 2 4 2 2" xfId="7162" xr:uid="{00000000-0005-0000-0000-00009E200000}"/>
    <cellStyle name="20% - Accent3 3 2 4 2 2 2" xfId="26613" xr:uid="{00000000-0005-0000-0000-00009F200000}"/>
    <cellStyle name="20% - Accent3 3 2 4 2 2 3" xfId="36338" xr:uid="{00000000-0005-0000-0000-0000A0200000}"/>
    <cellStyle name="20% - Accent3 3 2 4 2 2 4" xfId="46063" xr:uid="{00000000-0005-0000-0000-0000A1200000}"/>
    <cellStyle name="20% - Accent3 3 2 4 2 2 5" xfId="16888" xr:uid="{00000000-0005-0000-0000-0000A2200000}"/>
    <cellStyle name="20% - Accent3 3 2 4 2 3" xfId="21751" xr:uid="{00000000-0005-0000-0000-0000A3200000}"/>
    <cellStyle name="20% - Accent3 3 2 4 2 4" xfId="31476" xr:uid="{00000000-0005-0000-0000-0000A4200000}"/>
    <cellStyle name="20% - Accent3 3 2 4 2 5" xfId="41201" xr:uid="{00000000-0005-0000-0000-0000A5200000}"/>
    <cellStyle name="20% - Accent3 3 2 4 2 6" xfId="12026" xr:uid="{00000000-0005-0000-0000-0000A6200000}"/>
    <cellStyle name="20% - Accent3 3 2 4 3" xfId="3920" xr:uid="{00000000-0005-0000-0000-0000A7200000}"/>
    <cellStyle name="20% - Accent3 3 2 4 3 2" xfId="8782" xr:uid="{00000000-0005-0000-0000-0000A8200000}"/>
    <cellStyle name="20% - Accent3 3 2 4 3 2 2" xfId="28233" xr:uid="{00000000-0005-0000-0000-0000A9200000}"/>
    <cellStyle name="20% - Accent3 3 2 4 3 2 3" xfId="37958" xr:uid="{00000000-0005-0000-0000-0000AA200000}"/>
    <cellStyle name="20% - Accent3 3 2 4 3 2 4" xfId="47683" xr:uid="{00000000-0005-0000-0000-0000AB200000}"/>
    <cellStyle name="20% - Accent3 3 2 4 3 2 5" xfId="18508" xr:uid="{00000000-0005-0000-0000-0000AC200000}"/>
    <cellStyle name="20% - Accent3 3 2 4 3 3" xfId="23371" xr:uid="{00000000-0005-0000-0000-0000AD200000}"/>
    <cellStyle name="20% - Accent3 3 2 4 3 4" xfId="33096" xr:uid="{00000000-0005-0000-0000-0000AE200000}"/>
    <cellStyle name="20% - Accent3 3 2 4 3 5" xfId="42821" xr:uid="{00000000-0005-0000-0000-0000AF200000}"/>
    <cellStyle name="20% - Accent3 3 2 4 3 6" xfId="13646" xr:uid="{00000000-0005-0000-0000-0000B0200000}"/>
    <cellStyle name="20% - Accent3 3 2 4 4" xfId="5542" xr:uid="{00000000-0005-0000-0000-0000B1200000}"/>
    <cellStyle name="20% - Accent3 3 2 4 4 2" xfId="24993" xr:uid="{00000000-0005-0000-0000-0000B2200000}"/>
    <cellStyle name="20% - Accent3 3 2 4 4 3" xfId="34718" xr:uid="{00000000-0005-0000-0000-0000B3200000}"/>
    <cellStyle name="20% - Accent3 3 2 4 4 4" xfId="44443" xr:uid="{00000000-0005-0000-0000-0000B4200000}"/>
    <cellStyle name="20% - Accent3 3 2 4 4 5" xfId="15268" xr:uid="{00000000-0005-0000-0000-0000B5200000}"/>
    <cellStyle name="20% - Accent3 3 2 4 5" xfId="20131" xr:uid="{00000000-0005-0000-0000-0000B6200000}"/>
    <cellStyle name="20% - Accent3 3 2 4 6" xfId="29856" xr:uid="{00000000-0005-0000-0000-0000B7200000}"/>
    <cellStyle name="20% - Accent3 3 2 4 7" xfId="39581" xr:uid="{00000000-0005-0000-0000-0000B8200000}"/>
    <cellStyle name="20% - Accent3 3 2 4 8" xfId="10406" xr:uid="{00000000-0005-0000-0000-0000B9200000}"/>
    <cellStyle name="20% - Accent3 3 2 5" xfId="1940" xr:uid="{00000000-0005-0000-0000-0000BA200000}"/>
    <cellStyle name="20% - Accent3 3 2 5 2" xfId="6802" xr:uid="{00000000-0005-0000-0000-0000BB200000}"/>
    <cellStyle name="20% - Accent3 3 2 5 2 2" xfId="26253" xr:uid="{00000000-0005-0000-0000-0000BC200000}"/>
    <cellStyle name="20% - Accent3 3 2 5 2 3" xfId="35978" xr:uid="{00000000-0005-0000-0000-0000BD200000}"/>
    <cellStyle name="20% - Accent3 3 2 5 2 4" xfId="45703" xr:uid="{00000000-0005-0000-0000-0000BE200000}"/>
    <cellStyle name="20% - Accent3 3 2 5 2 5" xfId="16528" xr:uid="{00000000-0005-0000-0000-0000BF200000}"/>
    <cellStyle name="20% - Accent3 3 2 5 3" xfId="21391" xr:uid="{00000000-0005-0000-0000-0000C0200000}"/>
    <cellStyle name="20% - Accent3 3 2 5 4" xfId="31116" xr:uid="{00000000-0005-0000-0000-0000C1200000}"/>
    <cellStyle name="20% - Accent3 3 2 5 5" xfId="40841" xr:uid="{00000000-0005-0000-0000-0000C2200000}"/>
    <cellStyle name="20% - Accent3 3 2 5 6" xfId="11666" xr:uid="{00000000-0005-0000-0000-0000C3200000}"/>
    <cellStyle name="20% - Accent3 3 2 6" xfId="3560" xr:uid="{00000000-0005-0000-0000-0000C4200000}"/>
    <cellStyle name="20% - Accent3 3 2 6 2" xfId="8422" xr:uid="{00000000-0005-0000-0000-0000C5200000}"/>
    <cellStyle name="20% - Accent3 3 2 6 2 2" xfId="27873" xr:uid="{00000000-0005-0000-0000-0000C6200000}"/>
    <cellStyle name="20% - Accent3 3 2 6 2 3" xfId="37598" xr:uid="{00000000-0005-0000-0000-0000C7200000}"/>
    <cellStyle name="20% - Accent3 3 2 6 2 4" xfId="47323" xr:uid="{00000000-0005-0000-0000-0000C8200000}"/>
    <cellStyle name="20% - Accent3 3 2 6 2 5" xfId="18148" xr:uid="{00000000-0005-0000-0000-0000C9200000}"/>
    <cellStyle name="20% - Accent3 3 2 6 3" xfId="23011" xr:uid="{00000000-0005-0000-0000-0000CA200000}"/>
    <cellStyle name="20% - Accent3 3 2 6 4" xfId="32736" xr:uid="{00000000-0005-0000-0000-0000CB200000}"/>
    <cellStyle name="20% - Accent3 3 2 6 5" xfId="42461" xr:uid="{00000000-0005-0000-0000-0000CC200000}"/>
    <cellStyle name="20% - Accent3 3 2 6 6" xfId="13286" xr:uid="{00000000-0005-0000-0000-0000CD200000}"/>
    <cellStyle name="20% - Accent3 3 2 7" xfId="5182" xr:uid="{00000000-0005-0000-0000-0000CE200000}"/>
    <cellStyle name="20% - Accent3 3 2 7 2" xfId="24633" xr:uid="{00000000-0005-0000-0000-0000CF200000}"/>
    <cellStyle name="20% - Accent3 3 2 7 3" xfId="34358" xr:uid="{00000000-0005-0000-0000-0000D0200000}"/>
    <cellStyle name="20% - Accent3 3 2 7 4" xfId="44083" xr:uid="{00000000-0005-0000-0000-0000D1200000}"/>
    <cellStyle name="20% - Accent3 3 2 7 5" xfId="14908" xr:uid="{00000000-0005-0000-0000-0000D2200000}"/>
    <cellStyle name="20% - Accent3 3 2 8" xfId="19771" xr:uid="{00000000-0005-0000-0000-0000D3200000}"/>
    <cellStyle name="20% - Accent3 3 2 9" xfId="29496" xr:uid="{00000000-0005-0000-0000-0000D4200000}"/>
    <cellStyle name="20% - Accent3 3 3" xfId="349" xr:uid="{00000000-0005-0000-0000-0000D5200000}"/>
    <cellStyle name="20% - Accent3 3 3 10" xfId="39311" xr:uid="{00000000-0005-0000-0000-0000D6200000}"/>
    <cellStyle name="20% - Accent3 3 3 11" xfId="10136" xr:uid="{00000000-0005-0000-0000-0000D7200000}"/>
    <cellStyle name="20% - Accent3 3 3 2" xfId="1112" xr:uid="{00000000-0005-0000-0000-0000D8200000}"/>
    <cellStyle name="20% - Accent3 3 3 2 2" xfId="2750" xr:uid="{00000000-0005-0000-0000-0000D9200000}"/>
    <cellStyle name="20% - Accent3 3 3 2 2 2" xfId="7612" xr:uid="{00000000-0005-0000-0000-0000DA200000}"/>
    <cellStyle name="20% - Accent3 3 3 2 2 2 2" xfId="27063" xr:uid="{00000000-0005-0000-0000-0000DB200000}"/>
    <cellStyle name="20% - Accent3 3 3 2 2 2 3" xfId="36788" xr:uid="{00000000-0005-0000-0000-0000DC200000}"/>
    <cellStyle name="20% - Accent3 3 3 2 2 2 4" xfId="46513" xr:uid="{00000000-0005-0000-0000-0000DD200000}"/>
    <cellStyle name="20% - Accent3 3 3 2 2 2 5" xfId="17338" xr:uid="{00000000-0005-0000-0000-0000DE200000}"/>
    <cellStyle name="20% - Accent3 3 3 2 2 3" xfId="22201" xr:uid="{00000000-0005-0000-0000-0000DF200000}"/>
    <cellStyle name="20% - Accent3 3 3 2 2 4" xfId="31926" xr:uid="{00000000-0005-0000-0000-0000E0200000}"/>
    <cellStyle name="20% - Accent3 3 3 2 2 5" xfId="41651" xr:uid="{00000000-0005-0000-0000-0000E1200000}"/>
    <cellStyle name="20% - Accent3 3 3 2 2 6" xfId="12476" xr:uid="{00000000-0005-0000-0000-0000E2200000}"/>
    <cellStyle name="20% - Accent3 3 3 2 3" xfId="4370" xr:uid="{00000000-0005-0000-0000-0000E3200000}"/>
    <cellStyle name="20% - Accent3 3 3 2 3 2" xfId="9232" xr:uid="{00000000-0005-0000-0000-0000E4200000}"/>
    <cellStyle name="20% - Accent3 3 3 2 3 2 2" xfId="28683" xr:uid="{00000000-0005-0000-0000-0000E5200000}"/>
    <cellStyle name="20% - Accent3 3 3 2 3 2 3" xfId="38408" xr:uid="{00000000-0005-0000-0000-0000E6200000}"/>
    <cellStyle name="20% - Accent3 3 3 2 3 2 4" xfId="48133" xr:uid="{00000000-0005-0000-0000-0000E7200000}"/>
    <cellStyle name="20% - Accent3 3 3 2 3 2 5" xfId="18958" xr:uid="{00000000-0005-0000-0000-0000E8200000}"/>
    <cellStyle name="20% - Accent3 3 3 2 3 3" xfId="23821" xr:uid="{00000000-0005-0000-0000-0000E9200000}"/>
    <cellStyle name="20% - Accent3 3 3 2 3 4" xfId="33546" xr:uid="{00000000-0005-0000-0000-0000EA200000}"/>
    <cellStyle name="20% - Accent3 3 3 2 3 5" xfId="43271" xr:uid="{00000000-0005-0000-0000-0000EB200000}"/>
    <cellStyle name="20% - Accent3 3 3 2 3 6" xfId="14096" xr:uid="{00000000-0005-0000-0000-0000EC200000}"/>
    <cellStyle name="20% - Accent3 3 3 2 4" xfId="5992" xr:uid="{00000000-0005-0000-0000-0000ED200000}"/>
    <cellStyle name="20% - Accent3 3 3 2 4 2" xfId="25443" xr:uid="{00000000-0005-0000-0000-0000EE200000}"/>
    <cellStyle name="20% - Accent3 3 3 2 4 3" xfId="35168" xr:uid="{00000000-0005-0000-0000-0000EF200000}"/>
    <cellStyle name="20% - Accent3 3 3 2 4 4" xfId="44893" xr:uid="{00000000-0005-0000-0000-0000F0200000}"/>
    <cellStyle name="20% - Accent3 3 3 2 4 5" xfId="15718" xr:uid="{00000000-0005-0000-0000-0000F1200000}"/>
    <cellStyle name="20% - Accent3 3 3 2 5" xfId="20581" xr:uid="{00000000-0005-0000-0000-0000F2200000}"/>
    <cellStyle name="20% - Accent3 3 3 2 6" xfId="30306" xr:uid="{00000000-0005-0000-0000-0000F3200000}"/>
    <cellStyle name="20% - Accent3 3 3 2 7" xfId="40031" xr:uid="{00000000-0005-0000-0000-0000F4200000}"/>
    <cellStyle name="20% - Accent3 3 3 2 8" xfId="10856" xr:uid="{00000000-0005-0000-0000-0000F5200000}"/>
    <cellStyle name="20% - Accent3 3 3 3" xfId="1579" xr:uid="{00000000-0005-0000-0000-0000F6200000}"/>
    <cellStyle name="20% - Accent3 3 3 3 2" xfId="3200" xr:uid="{00000000-0005-0000-0000-0000F7200000}"/>
    <cellStyle name="20% - Accent3 3 3 3 2 2" xfId="8062" xr:uid="{00000000-0005-0000-0000-0000F8200000}"/>
    <cellStyle name="20% - Accent3 3 3 3 2 2 2" xfId="27513" xr:uid="{00000000-0005-0000-0000-0000F9200000}"/>
    <cellStyle name="20% - Accent3 3 3 3 2 2 3" xfId="37238" xr:uid="{00000000-0005-0000-0000-0000FA200000}"/>
    <cellStyle name="20% - Accent3 3 3 3 2 2 4" xfId="46963" xr:uid="{00000000-0005-0000-0000-0000FB200000}"/>
    <cellStyle name="20% - Accent3 3 3 3 2 2 5" xfId="17788" xr:uid="{00000000-0005-0000-0000-0000FC200000}"/>
    <cellStyle name="20% - Accent3 3 3 3 2 3" xfId="22651" xr:uid="{00000000-0005-0000-0000-0000FD200000}"/>
    <cellStyle name="20% - Accent3 3 3 3 2 4" xfId="32376" xr:uid="{00000000-0005-0000-0000-0000FE200000}"/>
    <cellStyle name="20% - Accent3 3 3 3 2 5" xfId="42101" xr:uid="{00000000-0005-0000-0000-0000FF200000}"/>
    <cellStyle name="20% - Accent3 3 3 3 2 6" xfId="12926" xr:uid="{00000000-0005-0000-0000-000000210000}"/>
    <cellStyle name="20% - Accent3 3 3 3 3" xfId="4820" xr:uid="{00000000-0005-0000-0000-000001210000}"/>
    <cellStyle name="20% - Accent3 3 3 3 3 2" xfId="9682" xr:uid="{00000000-0005-0000-0000-000002210000}"/>
    <cellStyle name="20% - Accent3 3 3 3 3 2 2" xfId="29133" xr:uid="{00000000-0005-0000-0000-000003210000}"/>
    <cellStyle name="20% - Accent3 3 3 3 3 2 3" xfId="38858" xr:uid="{00000000-0005-0000-0000-000004210000}"/>
    <cellStyle name="20% - Accent3 3 3 3 3 2 4" xfId="48583" xr:uid="{00000000-0005-0000-0000-000005210000}"/>
    <cellStyle name="20% - Accent3 3 3 3 3 2 5" xfId="19408" xr:uid="{00000000-0005-0000-0000-000006210000}"/>
    <cellStyle name="20% - Accent3 3 3 3 3 3" xfId="24271" xr:uid="{00000000-0005-0000-0000-000007210000}"/>
    <cellStyle name="20% - Accent3 3 3 3 3 4" xfId="33996" xr:uid="{00000000-0005-0000-0000-000008210000}"/>
    <cellStyle name="20% - Accent3 3 3 3 3 5" xfId="43721" xr:uid="{00000000-0005-0000-0000-000009210000}"/>
    <cellStyle name="20% - Accent3 3 3 3 3 6" xfId="14546" xr:uid="{00000000-0005-0000-0000-00000A210000}"/>
    <cellStyle name="20% - Accent3 3 3 3 4" xfId="6442" xr:uid="{00000000-0005-0000-0000-00000B210000}"/>
    <cellStyle name="20% - Accent3 3 3 3 4 2" xfId="25893" xr:uid="{00000000-0005-0000-0000-00000C210000}"/>
    <cellStyle name="20% - Accent3 3 3 3 4 3" xfId="35618" xr:uid="{00000000-0005-0000-0000-00000D210000}"/>
    <cellStyle name="20% - Accent3 3 3 3 4 4" xfId="45343" xr:uid="{00000000-0005-0000-0000-00000E210000}"/>
    <cellStyle name="20% - Accent3 3 3 3 4 5" xfId="16168" xr:uid="{00000000-0005-0000-0000-00000F210000}"/>
    <cellStyle name="20% - Accent3 3 3 3 5" xfId="21031" xr:uid="{00000000-0005-0000-0000-000010210000}"/>
    <cellStyle name="20% - Accent3 3 3 3 6" xfId="30756" xr:uid="{00000000-0005-0000-0000-000011210000}"/>
    <cellStyle name="20% - Accent3 3 3 3 7" xfId="40481" xr:uid="{00000000-0005-0000-0000-000012210000}"/>
    <cellStyle name="20% - Accent3 3 3 3 8" xfId="11306" xr:uid="{00000000-0005-0000-0000-000013210000}"/>
    <cellStyle name="20% - Accent3 3 3 4" xfId="750" xr:uid="{00000000-0005-0000-0000-000014210000}"/>
    <cellStyle name="20% - Accent3 3 3 4 2" xfId="2390" xr:uid="{00000000-0005-0000-0000-000015210000}"/>
    <cellStyle name="20% - Accent3 3 3 4 2 2" xfId="7252" xr:uid="{00000000-0005-0000-0000-000016210000}"/>
    <cellStyle name="20% - Accent3 3 3 4 2 2 2" xfId="26703" xr:uid="{00000000-0005-0000-0000-000017210000}"/>
    <cellStyle name="20% - Accent3 3 3 4 2 2 3" xfId="36428" xr:uid="{00000000-0005-0000-0000-000018210000}"/>
    <cellStyle name="20% - Accent3 3 3 4 2 2 4" xfId="46153" xr:uid="{00000000-0005-0000-0000-000019210000}"/>
    <cellStyle name="20% - Accent3 3 3 4 2 2 5" xfId="16978" xr:uid="{00000000-0005-0000-0000-00001A210000}"/>
    <cellStyle name="20% - Accent3 3 3 4 2 3" xfId="21841" xr:uid="{00000000-0005-0000-0000-00001B210000}"/>
    <cellStyle name="20% - Accent3 3 3 4 2 4" xfId="31566" xr:uid="{00000000-0005-0000-0000-00001C210000}"/>
    <cellStyle name="20% - Accent3 3 3 4 2 5" xfId="41291" xr:uid="{00000000-0005-0000-0000-00001D210000}"/>
    <cellStyle name="20% - Accent3 3 3 4 2 6" xfId="12116" xr:uid="{00000000-0005-0000-0000-00001E210000}"/>
    <cellStyle name="20% - Accent3 3 3 4 3" xfId="4010" xr:uid="{00000000-0005-0000-0000-00001F210000}"/>
    <cellStyle name="20% - Accent3 3 3 4 3 2" xfId="8872" xr:uid="{00000000-0005-0000-0000-000020210000}"/>
    <cellStyle name="20% - Accent3 3 3 4 3 2 2" xfId="28323" xr:uid="{00000000-0005-0000-0000-000021210000}"/>
    <cellStyle name="20% - Accent3 3 3 4 3 2 3" xfId="38048" xr:uid="{00000000-0005-0000-0000-000022210000}"/>
    <cellStyle name="20% - Accent3 3 3 4 3 2 4" xfId="47773" xr:uid="{00000000-0005-0000-0000-000023210000}"/>
    <cellStyle name="20% - Accent3 3 3 4 3 2 5" xfId="18598" xr:uid="{00000000-0005-0000-0000-000024210000}"/>
    <cellStyle name="20% - Accent3 3 3 4 3 3" xfId="23461" xr:uid="{00000000-0005-0000-0000-000025210000}"/>
    <cellStyle name="20% - Accent3 3 3 4 3 4" xfId="33186" xr:uid="{00000000-0005-0000-0000-000026210000}"/>
    <cellStyle name="20% - Accent3 3 3 4 3 5" xfId="42911" xr:uid="{00000000-0005-0000-0000-000027210000}"/>
    <cellStyle name="20% - Accent3 3 3 4 3 6" xfId="13736" xr:uid="{00000000-0005-0000-0000-000028210000}"/>
    <cellStyle name="20% - Accent3 3 3 4 4" xfId="5632" xr:uid="{00000000-0005-0000-0000-000029210000}"/>
    <cellStyle name="20% - Accent3 3 3 4 4 2" xfId="25083" xr:uid="{00000000-0005-0000-0000-00002A210000}"/>
    <cellStyle name="20% - Accent3 3 3 4 4 3" xfId="34808" xr:uid="{00000000-0005-0000-0000-00002B210000}"/>
    <cellStyle name="20% - Accent3 3 3 4 4 4" xfId="44533" xr:uid="{00000000-0005-0000-0000-00002C210000}"/>
    <cellStyle name="20% - Accent3 3 3 4 4 5" xfId="15358" xr:uid="{00000000-0005-0000-0000-00002D210000}"/>
    <cellStyle name="20% - Accent3 3 3 4 5" xfId="20221" xr:uid="{00000000-0005-0000-0000-00002E210000}"/>
    <cellStyle name="20% - Accent3 3 3 4 6" xfId="29946" xr:uid="{00000000-0005-0000-0000-00002F210000}"/>
    <cellStyle name="20% - Accent3 3 3 4 7" xfId="39671" xr:uid="{00000000-0005-0000-0000-000030210000}"/>
    <cellStyle name="20% - Accent3 3 3 4 8" xfId="10496" xr:uid="{00000000-0005-0000-0000-000031210000}"/>
    <cellStyle name="20% - Accent3 3 3 5" xfId="2030" xr:uid="{00000000-0005-0000-0000-000032210000}"/>
    <cellStyle name="20% - Accent3 3 3 5 2" xfId="6892" xr:uid="{00000000-0005-0000-0000-000033210000}"/>
    <cellStyle name="20% - Accent3 3 3 5 2 2" xfId="26343" xr:uid="{00000000-0005-0000-0000-000034210000}"/>
    <cellStyle name="20% - Accent3 3 3 5 2 3" xfId="36068" xr:uid="{00000000-0005-0000-0000-000035210000}"/>
    <cellStyle name="20% - Accent3 3 3 5 2 4" xfId="45793" xr:uid="{00000000-0005-0000-0000-000036210000}"/>
    <cellStyle name="20% - Accent3 3 3 5 2 5" xfId="16618" xr:uid="{00000000-0005-0000-0000-000037210000}"/>
    <cellStyle name="20% - Accent3 3 3 5 3" xfId="21481" xr:uid="{00000000-0005-0000-0000-000038210000}"/>
    <cellStyle name="20% - Accent3 3 3 5 4" xfId="31206" xr:uid="{00000000-0005-0000-0000-000039210000}"/>
    <cellStyle name="20% - Accent3 3 3 5 5" xfId="40931" xr:uid="{00000000-0005-0000-0000-00003A210000}"/>
    <cellStyle name="20% - Accent3 3 3 5 6" xfId="11756" xr:uid="{00000000-0005-0000-0000-00003B210000}"/>
    <cellStyle name="20% - Accent3 3 3 6" xfId="3650" xr:uid="{00000000-0005-0000-0000-00003C210000}"/>
    <cellStyle name="20% - Accent3 3 3 6 2" xfId="8512" xr:uid="{00000000-0005-0000-0000-00003D210000}"/>
    <cellStyle name="20% - Accent3 3 3 6 2 2" xfId="27963" xr:uid="{00000000-0005-0000-0000-00003E210000}"/>
    <cellStyle name="20% - Accent3 3 3 6 2 3" xfId="37688" xr:uid="{00000000-0005-0000-0000-00003F210000}"/>
    <cellStyle name="20% - Accent3 3 3 6 2 4" xfId="47413" xr:uid="{00000000-0005-0000-0000-000040210000}"/>
    <cellStyle name="20% - Accent3 3 3 6 2 5" xfId="18238" xr:uid="{00000000-0005-0000-0000-000041210000}"/>
    <cellStyle name="20% - Accent3 3 3 6 3" xfId="23101" xr:uid="{00000000-0005-0000-0000-000042210000}"/>
    <cellStyle name="20% - Accent3 3 3 6 4" xfId="32826" xr:uid="{00000000-0005-0000-0000-000043210000}"/>
    <cellStyle name="20% - Accent3 3 3 6 5" xfId="42551" xr:uid="{00000000-0005-0000-0000-000044210000}"/>
    <cellStyle name="20% - Accent3 3 3 6 6" xfId="13376" xr:uid="{00000000-0005-0000-0000-000045210000}"/>
    <cellStyle name="20% - Accent3 3 3 7" xfId="5272" xr:uid="{00000000-0005-0000-0000-000046210000}"/>
    <cellStyle name="20% - Accent3 3 3 7 2" xfId="24723" xr:uid="{00000000-0005-0000-0000-000047210000}"/>
    <cellStyle name="20% - Accent3 3 3 7 3" xfId="34448" xr:uid="{00000000-0005-0000-0000-000048210000}"/>
    <cellStyle name="20% - Accent3 3 3 7 4" xfId="44173" xr:uid="{00000000-0005-0000-0000-000049210000}"/>
    <cellStyle name="20% - Accent3 3 3 7 5" xfId="14998" xr:uid="{00000000-0005-0000-0000-00004A210000}"/>
    <cellStyle name="20% - Accent3 3 3 8" xfId="19861" xr:uid="{00000000-0005-0000-0000-00004B210000}"/>
    <cellStyle name="20% - Accent3 3 3 9" xfId="29586" xr:uid="{00000000-0005-0000-0000-00004C210000}"/>
    <cellStyle name="20% - Accent3 3 4" xfId="167" xr:uid="{00000000-0005-0000-0000-00004D210000}"/>
    <cellStyle name="20% - Accent3 3 4 10" xfId="39131" xr:uid="{00000000-0005-0000-0000-00004E210000}"/>
    <cellStyle name="20% - Accent3 3 4 11" xfId="9956" xr:uid="{00000000-0005-0000-0000-00004F210000}"/>
    <cellStyle name="20% - Accent3 3 4 2" xfId="931" xr:uid="{00000000-0005-0000-0000-000050210000}"/>
    <cellStyle name="20% - Accent3 3 4 2 2" xfId="2570" xr:uid="{00000000-0005-0000-0000-000051210000}"/>
    <cellStyle name="20% - Accent3 3 4 2 2 2" xfId="7432" xr:uid="{00000000-0005-0000-0000-000052210000}"/>
    <cellStyle name="20% - Accent3 3 4 2 2 2 2" xfId="26883" xr:uid="{00000000-0005-0000-0000-000053210000}"/>
    <cellStyle name="20% - Accent3 3 4 2 2 2 3" xfId="36608" xr:uid="{00000000-0005-0000-0000-000054210000}"/>
    <cellStyle name="20% - Accent3 3 4 2 2 2 4" xfId="46333" xr:uid="{00000000-0005-0000-0000-000055210000}"/>
    <cellStyle name="20% - Accent3 3 4 2 2 2 5" xfId="17158" xr:uid="{00000000-0005-0000-0000-000056210000}"/>
    <cellStyle name="20% - Accent3 3 4 2 2 3" xfId="22021" xr:uid="{00000000-0005-0000-0000-000057210000}"/>
    <cellStyle name="20% - Accent3 3 4 2 2 4" xfId="31746" xr:uid="{00000000-0005-0000-0000-000058210000}"/>
    <cellStyle name="20% - Accent3 3 4 2 2 5" xfId="41471" xr:uid="{00000000-0005-0000-0000-000059210000}"/>
    <cellStyle name="20% - Accent3 3 4 2 2 6" xfId="12296" xr:uid="{00000000-0005-0000-0000-00005A210000}"/>
    <cellStyle name="20% - Accent3 3 4 2 3" xfId="4190" xr:uid="{00000000-0005-0000-0000-00005B210000}"/>
    <cellStyle name="20% - Accent3 3 4 2 3 2" xfId="9052" xr:uid="{00000000-0005-0000-0000-00005C210000}"/>
    <cellStyle name="20% - Accent3 3 4 2 3 2 2" xfId="28503" xr:uid="{00000000-0005-0000-0000-00005D210000}"/>
    <cellStyle name="20% - Accent3 3 4 2 3 2 3" xfId="38228" xr:uid="{00000000-0005-0000-0000-00005E210000}"/>
    <cellStyle name="20% - Accent3 3 4 2 3 2 4" xfId="47953" xr:uid="{00000000-0005-0000-0000-00005F210000}"/>
    <cellStyle name="20% - Accent3 3 4 2 3 2 5" xfId="18778" xr:uid="{00000000-0005-0000-0000-000060210000}"/>
    <cellStyle name="20% - Accent3 3 4 2 3 3" xfId="23641" xr:uid="{00000000-0005-0000-0000-000061210000}"/>
    <cellStyle name="20% - Accent3 3 4 2 3 4" xfId="33366" xr:uid="{00000000-0005-0000-0000-000062210000}"/>
    <cellStyle name="20% - Accent3 3 4 2 3 5" xfId="43091" xr:uid="{00000000-0005-0000-0000-000063210000}"/>
    <cellStyle name="20% - Accent3 3 4 2 3 6" xfId="13916" xr:uid="{00000000-0005-0000-0000-000064210000}"/>
    <cellStyle name="20% - Accent3 3 4 2 4" xfId="5812" xr:uid="{00000000-0005-0000-0000-000065210000}"/>
    <cellStyle name="20% - Accent3 3 4 2 4 2" xfId="25263" xr:uid="{00000000-0005-0000-0000-000066210000}"/>
    <cellStyle name="20% - Accent3 3 4 2 4 3" xfId="34988" xr:uid="{00000000-0005-0000-0000-000067210000}"/>
    <cellStyle name="20% - Accent3 3 4 2 4 4" xfId="44713" xr:uid="{00000000-0005-0000-0000-000068210000}"/>
    <cellStyle name="20% - Accent3 3 4 2 4 5" xfId="15538" xr:uid="{00000000-0005-0000-0000-000069210000}"/>
    <cellStyle name="20% - Accent3 3 4 2 5" xfId="20401" xr:uid="{00000000-0005-0000-0000-00006A210000}"/>
    <cellStyle name="20% - Accent3 3 4 2 6" xfId="30126" xr:uid="{00000000-0005-0000-0000-00006B210000}"/>
    <cellStyle name="20% - Accent3 3 4 2 7" xfId="39851" xr:uid="{00000000-0005-0000-0000-00006C210000}"/>
    <cellStyle name="20% - Accent3 3 4 2 8" xfId="10676" xr:uid="{00000000-0005-0000-0000-00006D210000}"/>
    <cellStyle name="20% - Accent3 3 4 3" xfId="1399" xr:uid="{00000000-0005-0000-0000-00006E210000}"/>
    <cellStyle name="20% - Accent3 3 4 3 2" xfId="3020" xr:uid="{00000000-0005-0000-0000-00006F210000}"/>
    <cellStyle name="20% - Accent3 3 4 3 2 2" xfId="7882" xr:uid="{00000000-0005-0000-0000-000070210000}"/>
    <cellStyle name="20% - Accent3 3 4 3 2 2 2" xfId="27333" xr:uid="{00000000-0005-0000-0000-000071210000}"/>
    <cellStyle name="20% - Accent3 3 4 3 2 2 3" xfId="37058" xr:uid="{00000000-0005-0000-0000-000072210000}"/>
    <cellStyle name="20% - Accent3 3 4 3 2 2 4" xfId="46783" xr:uid="{00000000-0005-0000-0000-000073210000}"/>
    <cellStyle name="20% - Accent3 3 4 3 2 2 5" xfId="17608" xr:uid="{00000000-0005-0000-0000-000074210000}"/>
    <cellStyle name="20% - Accent3 3 4 3 2 3" xfId="22471" xr:uid="{00000000-0005-0000-0000-000075210000}"/>
    <cellStyle name="20% - Accent3 3 4 3 2 4" xfId="32196" xr:uid="{00000000-0005-0000-0000-000076210000}"/>
    <cellStyle name="20% - Accent3 3 4 3 2 5" xfId="41921" xr:uid="{00000000-0005-0000-0000-000077210000}"/>
    <cellStyle name="20% - Accent3 3 4 3 2 6" xfId="12746" xr:uid="{00000000-0005-0000-0000-000078210000}"/>
    <cellStyle name="20% - Accent3 3 4 3 3" xfId="4640" xr:uid="{00000000-0005-0000-0000-000079210000}"/>
    <cellStyle name="20% - Accent3 3 4 3 3 2" xfId="9502" xr:uid="{00000000-0005-0000-0000-00007A210000}"/>
    <cellStyle name="20% - Accent3 3 4 3 3 2 2" xfId="28953" xr:uid="{00000000-0005-0000-0000-00007B210000}"/>
    <cellStyle name="20% - Accent3 3 4 3 3 2 3" xfId="38678" xr:uid="{00000000-0005-0000-0000-00007C210000}"/>
    <cellStyle name="20% - Accent3 3 4 3 3 2 4" xfId="48403" xr:uid="{00000000-0005-0000-0000-00007D210000}"/>
    <cellStyle name="20% - Accent3 3 4 3 3 2 5" xfId="19228" xr:uid="{00000000-0005-0000-0000-00007E210000}"/>
    <cellStyle name="20% - Accent3 3 4 3 3 3" xfId="24091" xr:uid="{00000000-0005-0000-0000-00007F210000}"/>
    <cellStyle name="20% - Accent3 3 4 3 3 4" xfId="33816" xr:uid="{00000000-0005-0000-0000-000080210000}"/>
    <cellStyle name="20% - Accent3 3 4 3 3 5" xfId="43541" xr:uid="{00000000-0005-0000-0000-000081210000}"/>
    <cellStyle name="20% - Accent3 3 4 3 3 6" xfId="14366" xr:uid="{00000000-0005-0000-0000-000082210000}"/>
    <cellStyle name="20% - Accent3 3 4 3 4" xfId="6262" xr:uid="{00000000-0005-0000-0000-000083210000}"/>
    <cellStyle name="20% - Accent3 3 4 3 4 2" xfId="25713" xr:uid="{00000000-0005-0000-0000-000084210000}"/>
    <cellStyle name="20% - Accent3 3 4 3 4 3" xfId="35438" xr:uid="{00000000-0005-0000-0000-000085210000}"/>
    <cellStyle name="20% - Accent3 3 4 3 4 4" xfId="45163" xr:uid="{00000000-0005-0000-0000-000086210000}"/>
    <cellStyle name="20% - Accent3 3 4 3 4 5" xfId="15988" xr:uid="{00000000-0005-0000-0000-000087210000}"/>
    <cellStyle name="20% - Accent3 3 4 3 5" xfId="20851" xr:uid="{00000000-0005-0000-0000-000088210000}"/>
    <cellStyle name="20% - Accent3 3 4 3 6" xfId="30576" xr:uid="{00000000-0005-0000-0000-000089210000}"/>
    <cellStyle name="20% - Accent3 3 4 3 7" xfId="40301" xr:uid="{00000000-0005-0000-0000-00008A210000}"/>
    <cellStyle name="20% - Accent3 3 4 3 8" xfId="11126" xr:uid="{00000000-0005-0000-0000-00008B210000}"/>
    <cellStyle name="20% - Accent3 3 4 4" xfId="570" xr:uid="{00000000-0005-0000-0000-00008C210000}"/>
    <cellStyle name="20% - Accent3 3 4 4 2" xfId="2210" xr:uid="{00000000-0005-0000-0000-00008D210000}"/>
    <cellStyle name="20% - Accent3 3 4 4 2 2" xfId="7072" xr:uid="{00000000-0005-0000-0000-00008E210000}"/>
    <cellStyle name="20% - Accent3 3 4 4 2 2 2" xfId="26523" xr:uid="{00000000-0005-0000-0000-00008F210000}"/>
    <cellStyle name="20% - Accent3 3 4 4 2 2 3" xfId="36248" xr:uid="{00000000-0005-0000-0000-000090210000}"/>
    <cellStyle name="20% - Accent3 3 4 4 2 2 4" xfId="45973" xr:uid="{00000000-0005-0000-0000-000091210000}"/>
    <cellStyle name="20% - Accent3 3 4 4 2 2 5" xfId="16798" xr:uid="{00000000-0005-0000-0000-000092210000}"/>
    <cellStyle name="20% - Accent3 3 4 4 2 3" xfId="21661" xr:uid="{00000000-0005-0000-0000-000093210000}"/>
    <cellStyle name="20% - Accent3 3 4 4 2 4" xfId="31386" xr:uid="{00000000-0005-0000-0000-000094210000}"/>
    <cellStyle name="20% - Accent3 3 4 4 2 5" xfId="41111" xr:uid="{00000000-0005-0000-0000-000095210000}"/>
    <cellStyle name="20% - Accent3 3 4 4 2 6" xfId="11936" xr:uid="{00000000-0005-0000-0000-000096210000}"/>
    <cellStyle name="20% - Accent3 3 4 4 3" xfId="3830" xr:uid="{00000000-0005-0000-0000-000097210000}"/>
    <cellStyle name="20% - Accent3 3 4 4 3 2" xfId="8692" xr:uid="{00000000-0005-0000-0000-000098210000}"/>
    <cellStyle name="20% - Accent3 3 4 4 3 2 2" xfId="28143" xr:uid="{00000000-0005-0000-0000-000099210000}"/>
    <cellStyle name="20% - Accent3 3 4 4 3 2 3" xfId="37868" xr:uid="{00000000-0005-0000-0000-00009A210000}"/>
    <cellStyle name="20% - Accent3 3 4 4 3 2 4" xfId="47593" xr:uid="{00000000-0005-0000-0000-00009B210000}"/>
    <cellStyle name="20% - Accent3 3 4 4 3 2 5" xfId="18418" xr:uid="{00000000-0005-0000-0000-00009C210000}"/>
    <cellStyle name="20% - Accent3 3 4 4 3 3" xfId="23281" xr:uid="{00000000-0005-0000-0000-00009D210000}"/>
    <cellStyle name="20% - Accent3 3 4 4 3 4" xfId="33006" xr:uid="{00000000-0005-0000-0000-00009E210000}"/>
    <cellStyle name="20% - Accent3 3 4 4 3 5" xfId="42731" xr:uid="{00000000-0005-0000-0000-00009F210000}"/>
    <cellStyle name="20% - Accent3 3 4 4 3 6" xfId="13556" xr:uid="{00000000-0005-0000-0000-0000A0210000}"/>
    <cellStyle name="20% - Accent3 3 4 4 4" xfId="5452" xr:uid="{00000000-0005-0000-0000-0000A1210000}"/>
    <cellStyle name="20% - Accent3 3 4 4 4 2" xfId="24903" xr:uid="{00000000-0005-0000-0000-0000A2210000}"/>
    <cellStyle name="20% - Accent3 3 4 4 4 3" xfId="34628" xr:uid="{00000000-0005-0000-0000-0000A3210000}"/>
    <cellStyle name="20% - Accent3 3 4 4 4 4" xfId="44353" xr:uid="{00000000-0005-0000-0000-0000A4210000}"/>
    <cellStyle name="20% - Accent3 3 4 4 4 5" xfId="15178" xr:uid="{00000000-0005-0000-0000-0000A5210000}"/>
    <cellStyle name="20% - Accent3 3 4 4 5" xfId="20041" xr:uid="{00000000-0005-0000-0000-0000A6210000}"/>
    <cellStyle name="20% - Accent3 3 4 4 6" xfId="29766" xr:uid="{00000000-0005-0000-0000-0000A7210000}"/>
    <cellStyle name="20% - Accent3 3 4 4 7" xfId="39491" xr:uid="{00000000-0005-0000-0000-0000A8210000}"/>
    <cellStyle name="20% - Accent3 3 4 4 8" xfId="10316" xr:uid="{00000000-0005-0000-0000-0000A9210000}"/>
    <cellStyle name="20% - Accent3 3 4 5" xfId="1850" xr:uid="{00000000-0005-0000-0000-0000AA210000}"/>
    <cellStyle name="20% - Accent3 3 4 5 2" xfId="6712" xr:uid="{00000000-0005-0000-0000-0000AB210000}"/>
    <cellStyle name="20% - Accent3 3 4 5 2 2" xfId="26163" xr:uid="{00000000-0005-0000-0000-0000AC210000}"/>
    <cellStyle name="20% - Accent3 3 4 5 2 3" xfId="35888" xr:uid="{00000000-0005-0000-0000-0000AD210000}"/>
    <cellStyle name="20% - Accent3 3 4 5 2 4" xfId="45613" xr:uid="{00000000-0005-0000-0000-0000AE210000}"/>
    <cellStyle name="20% - Accent3 3 4 5 2 5" xfId="16438" xr:uid="{00000000-0005-0000-0000-0000AF210000}"/>
    <cellStyle name="20% - Accent3 3 4 5 3" xfId="21301" xr:uid="{00000000-0005-0000-0000-0000B0210000}"/>
    <cellStyle name="20% - Accent3 3 4 5 4" xfId="31026" xr:uid="{00000000-0005-0000-0000-0000B1210000}"/>
    <cellStyle name="20% - Accent3 3 4 5 5" xfId="40751" xr:uid="{00000000-0005-0000-0000-0000B2210000}"/>
    <cellStyle name="20% - Accent3 3 4 5 6" xfId="11576" xr:uid="{00000000-0005-0000-0000-0000B3210000}"/>
    <cellStyle name="20% - Accent3 3 4 6" xfId="3470" xr:uid="{00000000-0005-0000-0000-0000B4210000}"/>
    <cellStyle name="20% - Accent3 3 4 6 2" xfId="8332" xr:uid="{00000000-0005-0000-0000-0000B5210000}"/>
    <cellStyle name="20% - Accent3 3 4 6 2 2" xfId="27783" xr:uid="{00000000-0005-0000-0000-0000B6210000}"/>
    <cellStyle name="20% - Accent3 3 4 6 2 3" xfId="37508" xr:uid="{00000000-0005-0000-0000-0000B7210000}"/>
    <cellStyle name="20% - Accent3 3 4 6 2 4" xfId="47233" xr:uid="{00000000-0005-0000-0000-0000B8210000}"/>
    <cellStyle name="20% - Accent3 3 4 6 2 5" xfId="18058" xr:uid="{00000000-0005-0000-0000-0000B9210000}"/>
    <cellStyle name="20% - Accent3 3 4 6 3" xfId="22921" xr:uid="{00000000-0005-0000-0000-0000BA210000}"/>
    <cellStyle name="20% - Accent3 3 4 6 4" xfId="32646" xr:uid="{00000000-0005-0000-0000-0000BB210000}"/>
    <cellStyle name="20% - Accent3 3 4 6 5" xfId="42371" xr:uid="{00000000-0005-0000-0000-0000BC210000}"/>
    <cellStyle name="20% - Accent3 3 4 6 6" xfId="13196" xr:uid="{00000000-0005-0000-0000-0000BD210000}"/>
    <cellStyle name="20% - Accent3 3 4 7" xfId="5092" xr:uid="{00000000-0005-0000-0000-0000BE210000}"/>
    <cellStyle name="20% - Accent3 3 4 7 2" xfId="24543" xr:uid="{00000000-0005-0000-0000-0000BF210000}"/>
    <cellStyle name="20% - Accent3 3 4 7 3" xfId="34268" xr:uid="{00000000-0005-0000-0000-0000C0210000}"/>
    <cellStyle name="20% - Accent3 3 4 7 4" xfId="43993" xr:uid="{00000000-0005-0000-0000-0000C1210000}"/>
    <cellStyle name="20% - Accent3 3 4 7 5" xfId="14818" xr:uid="{00000000-0005-0000-0000-0000C2210000}"/>
    <cellStyle name="20% - Accent3 3 4 8" xfId="19681" xr:uid="{00000000-0005-0000-0000-0000C3210000}"/>
    <cellStyle name="20% - Accent3 3 4 9" xfId="29406" xr:uid="{00000000-0005-0000-0000-0000C4210000}"/>
    <cellStyle name="20% - Accent3 3 5" xfId="841" xr:uid="{00000000-0005-0000-0000-0000C5210000}"/>
    <cellStyle name="20% - Accent3 3 5 2" xfId="2480" xr:uid="{00000000-0005-0000-0000-0000C6210000}"/>
    <cellStyle name="20% - Accent3 3 5 2 2" xfId="7342" xr:uid="{00000000-0005-0000-0000-0000C7210000}"/>
    <cellStyle name="20% - Accent3 3 5 2 2 2" xfId="26793" xr:uid="{00000000-0005-0000-0000-0000C8210000}"/>
    <cellStyle name="20% - Accent3 3 5 2 2 3" xfId="36518" xr:uid="{00000000-0005-0000-0000-0000C9210000}"/>
    <cellStyle name="20% - Accent3 3 5 2 2 4" xfId="46243" xr:uid="{00000000-0005-0000-0000-0000CA210000}"/>
    <cellStyle name="20% - Accent3 3 5 2 2 5" xfId="17068" xr:uid="{00000000-0005-0000-0000-0000CB210000}"/>
    <cellStyle name="20% - Accent3 3 5 2 3" xfId="21931" xr:uid="{00000000-0005-0000-0000-0000CC210000}"/>
    <cellStyle name="20% - Accent3 3 5 2 4" xfId="31656" xr:uid="{00000000-0005-0000-0000-0000CD210000}"/>
    <cellStyle name="20% - Accent3 3 5 2 5" xfId="41381" xr:uid="{00000000-0005-0000-0000-0000CE210000}"/>
    <cellStyle name="20% - Accent3 3 5 2 6" xfId="12206" xr:uid="{00000000-0005-0000-0000-0000CF210000}"/>
    <cellStyle name="20% - Accent3 3 5 3" xfId="4100" xr:uid="{00000000-0005-0000-0000-0000D0210000}"/>
    <cellStyle name="20% - Accent3 3 5 3 2" xfId="8962" xr:uid="{00000000-0005-0000-0000-0000D1210000}"/>
    <cellStyle name="20% - Accent3 3 5 3 2 2" xfId="28413" xr:uid="{00000000-0005-0000-0000-0000D2210000}"/>
    <cellStyle name="20% - Accent3 3 5 3 2 3" xfId="38138" xr:uid="{00000000-0005-0000-0000-0000D3210000}"/>
    <cellStyle name="20% - Accent3 3 5 3 2 4" xfId="47863" xr:uid="{00000000-0005-0000-0000-0000D4210000}"/>
    <cellStyle name="20% - Accent3 3 5 3 2 5" xfId="18688" xr:uid="{00000000-0005-0000-0000-0000D5210000}"/>
    <cellStyle name="20% - Accent3 3 5 3 3" xfId="23551" xr:uid="{00000000-0005-0000-0000-0000D6210000}"/>
    <cellStyle name="20% - Accent3 3 5 3 4" xfId="33276" xr:uid="{00000000-0005-0000-0000-0000D7210000}"/>
    <cellStyle name="20% - Accent3 3 5 3 5" xfId="43001" xr:uid="{00000000-0005-0000-0000-0000D8210000}"/>
    <cellStyle name="20% - Accent3 3 5 3 6" xfId="13826" xr:uid="{00000000-0005-0000-0000-0000D9210000}"/>
    <cellStyle name="20% - Accent3 3 5 4" xfId="5722" xr:uid="{00000000-0005-0000-0000-0000DA210000}"/>
    <cellStyle name="20% - Accent3 3 5 4 2" xfId="25173" xr:uid="{00000000-0005-0000-0000-0000DB210000}"/>
    <cellStyle name="20% - Accent3 3 5 4 3" xfId="34898" xr:uid="{00000000-0005-0000-0000-0000DC210000}"/>
    <cellStyle name="20% - Accent3 3 5 4 4" xfId="44623" xr:uid="{00000000-0005-0000-0000-0000DD210000}"/>
    <cellStyle name="20% - Accent3 3 5 4 5" xfId="15448" xr:uid="{00000000-0005-0000-0000-0000DE210000}"/>
    <cellStyle name="20% - Accent3 3 5 5" xfId="20311" xr:uid="{00000000-0005-0000-0000-0000DF210000}"/>
    <cellStyle name="20% - Accent3 3 5 6" xfId="30036" xr:uid="{00000000-0005-0000-0000-0000E0210000}"/>
    <cellStyle name="20% - Accent3 3 5 7" xfId="39761" xr:uid="{00000000-0005-0000-0000-0000E1210000}"/>
    <cellStyle name="20% - Accent3 3 5 8" xfId="10586" xr:uid="{00000000-0005-0000-0000-0000E2210000}"/>
    <cellStyle name="20% - Accent3 3 6" xfId="1219" xr:uid="{00000000-0005-0000-0000-0000E3210000}"/>
    <cellStyle name="20% - Accent3 3 6 2" xfId="2840" xr:uid="{00000000-0005-0000-0000-0000E4210000}"/>
    <cellStyle name="20% - Accent3 3 6 2 2" xfId="7702" xr:uid="{00000000-0005-0000-0000-0000E5210000}"/>
    <cellStyle name="20% - Accent3 3 6 2 2 2" xfId="27153" xr:uid="{00000000-0005-0000-0000-0000E6210000}"/>
    <cellStyle name="20% - Accent3 3 6 2 2 3" xfId="36878" xr:uid="{00000000-0005-0000-0000-0000E7210000}"/>
    <cellStyle name="20% - Accent3 3 6 2 2 4" xfId="46603" xr:uid="{00000000-0005-0000-0000-0000E8210000}"/>
    <cellStyle name="20% - Accent3 3 6 2 2 5" xfId="17428" xr:uid="{00000000-0005-0000-0000-0000E9210000}"/>
    <cellStyle name="20% - Accent3 3 6 2 3" xfId="22291" xr:uid="{00000000-0005-0000-0000-0000EA210000}"/>
    <cellStyle name="20% - Accent3 3 6 2 4" xfId="32016" xr:uid="{00000000-0005-0000-0000-0000EB210000}"/>
    <cellStyle name="20% - Accent3 3 6 2 5" xfId="41741" xr:uid="{00000000-0005-0000-0000-0000EC210000}"/>
    <cellStyle name="20% - Accent3 3 6 2 6" xfId="12566" xr:uid="{00000000-0005-0000-0000-0000ED210000}"/>
    <cellStyle name="20% - Accent3 3 6 3" xfId="4460" xr:uid="{00000000-0005-0000-0000-0000EE210000}"/>
    <cellStyle name="20% - Accent3 3 6 3 2" xfId="9322" xr:uid="{00000000-0005-0000-0000-0000EF210000}"/>
    <cellStyle name="20% - Accent3 3 6 3 2 2" xfId="28773" xr:uid="{00000000-0005-0000-0000-0000F0210000}"/>
    <cellStyle name="20% - Accent3 3 6 3 2 3" xfId="38498" xr:uid="{00000000-0005-0000-0000-0000F1210000}"/>
    <cellStyle name="20% - Accent3 3 6 3 2 4" xfId="48223" xr:uid="{00000000-0005-0000-0000-0000F2210000}"/>
    <cellStyle name="20% - Accent3 3 6 3 2 5" xfId="19048" xr:uid="{00000000-0005-0000-0000-0000F3210000}"/>
    <cellStyle name="20% - Accent3 3 6 3 3" xfId="23911" xr:uid="{00000000-0005-0000-0000-0000F4210000}"/>
    <cellStyle name="20% - Accent3 3 6 3 4" xfId="33636" xr:uid="{00000000-0005-0000-0000-0000F5210000}"/>
    <cellStyle name="20% - Accent3 3 6 3 5" xfId="43361" xr:uid="{00000000-0005-0000-0000-0000F6210000}"/>
    <cellStyle name="20% - Accent3 3 6 3 6" xfId="14186" xr:uid="{00000000-0005-0000-0000-0000F7210000}"/>
    <cellStyle name="20% - Accent3 3 6 4" xfId="6082" xr:uid="{00000000-0005-0000-0000-0000F8210000}"/>
    <cellStyle name="20% - Accent3 3 6 4 2" xfId="25533" xr:uid="{00000000-0005-0000-0000-0000F9210000}"/>
    <cellStyle name="20% - Accent3 3 6 4 3" xfId="35258" xr:uid="{00000000-0005-0000-0000-0000FA210000}"/>
    <cellStyle name="20% - Accent3 3 6 4 4" xfId="44983" xr:uid="{00000000-0005-0000-0000-0000FB210000}"/>
    <cellStyle name="20% - Accent3 3 6 4 5" xfId="15808" xr:uid="{00000000-0005-0000-0000-0000FC210000}"/>
    <cellStyle name="20% - Accent3 3 6 5" xfId="20671" xr:uid="{00000000-0005-0000-0000-0000FD210000}"/>
    <cellStyle name="20% - Accent3 3 6 6" xfId="30396" xr:uid="{00000000-0005-0000-0000-0000FE210000}"/>
    <cellStyle name="20% - Accent3 3 6 7" xfId="40121" xr:uid="{00000000-0005-0000-0000-0000FF210000}"/>
    <cellStyle name="20% - Accent3 3 6 8" xfId="10946" xr:uid="{00000000-0005-0000-0000-000000220000}"/>
    <cellStyle name="20% - Accent3 3 7" xfId="1309" xr:uid="{00000000-0005-0000-0000-000001220000}"/>
    <cellStyle name="20% - Accent3 3 7 2" xfId="2930" xr:uid="{00000000-0005-0000-0000-000002220000}"/>
    <cellStyle name="20% - Accent3 3 7 2 2" xfId="7792" xr:uid="{00000000-0005-0000-0000-000003220000}"/>
    <cellStyle name="20% - Accent3 3 7 2 2 2" xfId="27243" xr:uid="{00000000-0005-0000-0000-000004220000}"/>
    <cellStyle name="20% - Accent3 3 7 2 2 3" xfId="36968" xr:uid="{00000000-0005-0000-0000-000005220000}"/>
    <cellStyle name="20% - Accent3 3 7 2 2 4" xfId="46693" xr:uid="{00000000-0005-0000-0000-000006220000}"/>
    <cellStyle name="20% - Accent3 3 7 2 2 5" xfId="17518" xr:uid="{00000000-0005-0000-0000-000007220000}"/>
    <cellStyle name="20% - Accent3 3 7 2 3" xfId="22381" xr:uid="{00000000-0005-0000-0000-000008220000}"/>
    <cellStyle name="20% - Accent3 3 7 2 4" xfId="32106" xr:uid="{00000000-0005-0000-0000-000009220000}"/>
    <cellStyle name="20% - Accent3 3 7 2 5" xfId="41831" xr:uid="{00000000-0005-0000-0000-00000A220000}"/>
    <cellStyle name="20% - Accent3 3 7 2 6" xfId="12656" xr:uid="{00000000-0005-0000-0000-00000B220000}"/>
    <cellStyle name="20% - Accent3 3 7 3" xfId="4550" xr:uid="{00000000-0005-0000-0000-00000C220000}"/>
    <cellStyle name="20% - Accent3 3 7 3 2" xfId="9412" xr:uid="{00000000-0005-0000-0000-00000D220000}"/>
    <cellStyle name="20% - Accent3 3 7 3 2 2" xfId="28863" xr:uid="{00000000-0005-0000-0000-00000E220000}"/>
    <cellStyle name="20% - Accent3 3 7 3 2 3" xfId="38588" xr:uid="{00000000-0005-0000-0000-00000F220000}"/>
    <cellStyle name="20% - Accent3 3 7 3 2 4" xfId="48313" xr:uid="{00000000-0005-0000-0000-000010220000}"/>
    <cellStyle name="20% - Accent3 3 7 3 2 5" xfId="19138" xr:uid="{00000000-0005-0000-0000-000011220000}"/>
    <cellStyle name="20% - Accent3 3 7 3 3" xfId="24001" xr:uid="{00000000-0005-0000-0000-000012220000}"/>
    <cellStyle name="20% - Accent3 3 7 3 4" xfId="33726" xr:uid="{00000000-0005-0000-0000-000013220000}"/>
    <cellStyle name="20% - Accent3 3 7 3 5" xfId="43451" xr:uid="{00000000-0005-0000-0000-000014220000}"/>
    <cellStyle name="20% - Accent3 3 7 3 6" xfId="14276" xr:uid="{00000000-0005-0000-0000-000015220000}"/>
    <cellStyle name="20% - Accent3 3 7 4" xfId="6172" xr:uid="{00000000-0005-0000-0000-000016220000}"/>
    <cellStyle name="20% - Accent3 3 7 4 2" xfId="25623" xr:uid="{00000000-0005-0000-0000-000017220000}"/>
    <cellStyle name="20% - Accent3 3 7 4 3" xfId="35348" xr:uid="{00000000-0005-0000-0000-000018220000}"/>
    <cellStyle name="20% - Accent3 3 7 4 4" xfId="45073" xr:uid="{00000000-0005-0000-0000-000019220000}"/>
    <cellStyle name="20% - Accent3 3 7 4 5" xfId="15898" xr:uid="{00000000-0005-0000-0000-00001A220000}"/>
    <cellStyle name="20% - Accent3 3 7 5" xfId="20761" xr:uid="{00000000-0005-0000-0000-00001B220000}"/>
    <cellStyle name="20% - Accent3 3 7 6" xfId="30486" xr:uid="{00000000-0005-0000-0000-00001C220000}"/>
    <cellStyle name="20% - Accent3 3 7 7" xfId="40211" xr:uid="{00000000-0005-0000-0000-00001D220000}"/>
    <cellStyle name="20% - Accent3 3 7 8" xfId="11036" xr:uid="{00000000-0005-0000-0000-00001E220000}"/>
    <cellStyle name="20% - Accent3 3 8" xfId="480" xr:uid="{00000000-0005-0000-0000-00001F220000}"/>
    <cellStyle name="20% - Accent3 3 8 2" xfId="2120" xr:uid="{00000000-0005-0000-0000-000020220000}"/>
    <cellStyle name="20% - Accent3 3 8 2 2" xfId="6982" xr:uid="{00000000-0005-0000-0000-000021220000}"/>
    <cellStyle name="20% - Accent3 3 8 2 2 2" xfId="26433" xr:uid="{00000000-0005-0000-0000-000022220000}"/>
    <cellStyle name="20% - Accent3 3 8 2 2 3" xfId="36158" xr:uid="{00000000-0005-0000-0000-000023220000}"/>
    <cellStyle name="20% - Accent3 3 8 2 2 4" xfId="45883" xr:uid="{00000000-0005-0000-0000-000024220000}"/>
    <cellStyle name="20% - Accent3 3 8 2 2 5" xfId="16708" xr:uid="{00000000-0005-0000-0000-000025220000}"/>
    <cellStyle name="20% - Accent3 3 8 2 3" xfId="21571" xr:uid="{00000000-0005-0000-0000-000026220000}"/>
    <cellStyle name="20% - Accent3 3 8 2 4" xfId="31296" xr:uid="{00000000-0005-0000-0000-000027220000}"/>
    <cellStyle name="20% - Accent3 3 8 2 5" xfId="41021" xr:uid="{00000000-0005-0000-0000-000028220000}"/>
    <cellStyle name="20% - Accent3 3 8 2 6" xfId="11846" xr:uid="{00000000-0005-0000-0000-000029220000}"/>
    <cellStyle name="20% - Accent3 3 8 3" xfId="3740" xr:uid="{00000000-0005-0000-0000-00002A220000}"/>
    <cellStyle name="20% - Accent3 3 8 3 2" xfId="8602" xr:uid="{00000000-0005-0000-0000-00002B220000}"/>
    <cellStyle name="20% - Accent3 3 8 3 2 2" xfId="28053" xr:uid="{00000000-0005-0000-0000-00002C220000}"/>
    <cellStyle name="20% - Accent3 3 8 3 2 3" xfId="37778" xr:uid="{00000000-0005-0000-0000-00002D220000}"/>
    <cellStyle name="20% - Accent3 3 8 3 2 4" xfId="47503" xr:uid="{00000000-0005-0000-0000-00002E220000}"/>
    <cellStyle name="20% - Accent3 3 8 3 2 5" xfId="18328" xr:uid="{00000000-0005-0000-0000-00002F220000}"/>
    <cellStyle name="20% - Accent3 3 8 3 3" xfId="23191" xr:uid="{00000000-0005-0000-0000-000030220000}"/>
    <cellStyle name="20% - Accent3 3 8 3 4" xfId="32916" xr:uid="{00000000-0005-0000-0000-000031220000}"/>
    <cellStyle name="20% - Accent3 3 8 3 5" xfId="42641" xr:uid="{00000000-0005-0000-0000-000032220000}"/>
    <cellStyle name="20% - Accent3 3 8 3 6" xfId="13466" xr:uid="{00000000-0005-0000-0000-000033220000}"/>
    <cellStyle name="20% - Accent3 3 8 4" xfId="5362" xr:uid="{00000000-0005-0000-0000-000034220000}"/>
    <cellStyle name="20% - Accent3 3 8 4 2" xfId="24813" xr:uid="{00000000-0005-0000-0000-000035220000}"/>
    <cellStyle name="20% - Accent3 3 8 4 3" xfId="34538" xr:uid="{00000000-0005-0000-0000-000036220000}"/>
    <cellStyle name="20% - Accent3 3 8 4 4" xfId="44263" xr:uid="{00000000-0005-0000-0000-000037220000}"/>
    <cellStyle name="20% - Accent3 3 8 4 5" xfId="15088" xr:uid="{00000000-0005-0000-0000-000038220000}"/>
    <cellStyle name="20% - Accent3 3 8 5" xfId="19951" xr:uid="{00000000-0005-0000-0000-000039220000}"/>
    <cellStyle name="20% - Accent3 3 8 6" xfId="29676" xr:uid="{00000000-0005-0000-0000-00003A220000}"/>
    <cellStyle name="20% - Accent3 3 8 7" xfId="39401" xr:uid="{00000000-0005-0000-0000-00003B220000}"/>
    <cellStyle name="20% - Accent3 3 8 8" xfId="10226" xr:uid="{00000000-0005-0000-0000-00003C220000}"/>
    <cellStyle name="20% - Accent3 3 9" xfId="1669" xr:uid="{00000000-0005-0000-0000-00003D220000}"/>
    <cellStyle name="20% - Accent3 3 9 2" xfId="3290" xr:uid="{00000000-0005-0000-0000-00003E220000}"/>
    <cellStyle name="20% - Accent3 3 9 2 2" xfId="8152" xr:uid="{00000000-0005-0000-0000-00003F220000}"/>
    <cellStyle name="20% - Accent3 3 9 2 2 2" xfId="27603" xr:uid="{00000000-0005-0000-0000-000040220000}"/>
    <cellStyle name="20% - Accent3 3 9 2 2 3" xfId="37328" xr:uid="{00000000-0005-0000-0000-000041220000}"/>
    <cellStyle name="20% - Accent3 3 9 2 2 4" xfId="47053" xr:uid="{00000000-0005-0000-0000-000042220000}"/>
    <cellStyle name="20% - Accent3 3 9 2 2 5" xfId="17878" xr:uid="{00000000-0005-0000-0000-000043220000}"/>
    <cellStyle name="20% - Accent3 3 9 2 3" xfId="22741" xr:uid="{00000000-0005-0000-0000-000044220000}"/>
    <cellStyle name="20% - Accent3 3 9 2 4" xfId="32466" xr:uid="{00000000-0005-0000-0000-000045220000}"/>
    <cellStyle name="20% - Accent3 3 9 2 5" xfId="42191" xr:uid="{00000000-0005-0000-0000-000046220000}"/>
    <cellStyle name="20% - Accent3 3 9 2 6" xfId="13016" xr:uid="{00000000-0005-0000-0000-000047220000}"/>
    <cellStyle name="20% - Accent3 3 9 3" xfId="4910" xr:uid="{00000000-0005-0000-0000-000048220000}"/>
    <cellStyle name="20% - Accent3 3 9 3 2" xfId="9772" xr:uid="{00000000-0005-0000-0000-000049220000}"/>
    <cellStyle name="20% - Accent3 3 9 3 2 2" xfId="29223" xr:uid="{00000000-0005-0000-0000-00004A220000}"/>
    <cellStyle name="20% - Accent3 3 9 3 2 3" xfId="38948" xr:uid="{00000000-0005-0000-0000-00004B220000}"/>
    <cellStyle name="20% - Accent3 3 9 3 2 4" xfId="48673" xr:uid="{00000000-0005-0000-0000-00004C220000}"/>
    <cellStyle name="20% - Accent3 3 9 3 2 5" xfId="19498" xr:uid="{00000000-0005-0000-0000-00004D220000}"/>
    <cellStyle name="20% - Accent3 3 9 3 3" xfId="24361" xr:uid="{00000000-0005-0000-0000-00004E220000}"/>
    <cellStyle name="20% - Accent3 3 9 3 4" xfId="34086" xr:uid="{00000000-0005-0000-0000-00004F220000}"/>
    <cellStyle name="20% - Accent3 3 9 3 5" xfId="43811" xr:uid="{00000000-0005-0000-0000-000050220000}"/>
    <cellStyle name="20% - Accent3 3 9 3 6" xfId="14636" xr:uid="{00000000-0005-0000-0000-000051220000}"/>
    <cellStyle name="20% - Accent3 3 9 4" xfId="6532" xr:uid="{00000000-0005-0000-0000-000052220000}"/>
    <cellStyle name="20% - Accent3 3 9 4 2" xfId="25983" xr:uid="{00000000-0005-0000-0000-000053220000}"/>
    <cellStyle name="20% - Accent3 3 9 4 3" xfId="35708" xr:uid="{00000000-0005-0000-0000-000054220000}"/>
    <cellStyle name="20% - Accent3 3 9 4 4" xfId="45433" xr:uid="{00000000-0005-0000-0000-000055220000}"/>
    <cellStyle name="20% - Accent3 3 9 4 5" xfId="16258" xr:uid="{00000000-0005-0000-0000-000056220000}"/>
    <cellStyle name="20% - Accent3 3 9 5" xfId="21121" xr:uid="{00000000-0005-0000-0000-000057220000}"/>
    <cellStyle name="20% - Accent3 3 9 6" xfId="30846" xr:uid="{00000000-0005-0000-0000-000058220000}"/>
    <cellStyle name="20% - Accent3 3 9 7" xfId="40571" xr:uid="{00000000-0005-0000-0000-000059220000}"/>
    <cellStyle name="20% - Accent3 3 9 8" xfId="11396" xr:uid="{00000000-0005-0000-0000-00005A220000}"/>
    <cellStyle name="20% - Accent3 4" xfId="106" xr:uid="{00000000-0005-0000-0000-00005B220000}"/>
    <cellStyle name="20% - Accent3 4 10" xfId="1790" xr:uid="{00000000-0005-0000-0000-00005C220000}"/>
    <cellStyle name="20% - Accent3 4 10 2" xfId="6652" xr:uid="{00000000-0005-0000-0000-00005D220000}"/>
    <cellStyle name="20% - Accent3 4 10 2 2" xfId="26103" xr:uid="{00000000-0005-0000-0000-00005E220000}"/>
    <cellStyle name="20% - Accent3 4 10 2 3" xfId="35828" xr:uid="{00000000-0005-0000-0000-00005F220000}"/>
    <cellStyle name="20% - Accent3 4 10 2 4" xfId="45553" xr:uid="{00000000-0005-0000-0000-000060220000}"/>
    <cellStyle name="20% - Accent3 4 10 2 5" xfId="16378" xr:uid="{00000000-0005-0000-0000-000061220000}"/>
    <cellStyle name="20% - Accent3 4 10 3" xfId="21241" xr:uid="{00000000-0005-0000-0000-000062220000}"/>
    <cellStyle name="20% - Accent3 4 10 4" xfId="30966" xr:uid="{00000000-0005-0000-0000-000063220000}"/>
    <cellStyle name="20% - Accent3 4 10 5" xfId="40691" xr:uid="{00000000-0005-0000-0000-000064220000}"/>
    <cellStyle name="20% - Accent3 4 10 6" xfId="11516" xr:uid="{00000000-0005-0000-0000-000065220000}"/>
    <cellStyle name="20% - Accent3 4 11" xfId="3410" xr:uid="{00000000-0005-0000-0000-000066220000}"/>
    <cellStyle name="20% - Accent3 4 11 2" xfId="8272" xr:uid="{00000000-0005-0000-0000-000067220000}"/>
    <cellStyle name="20% - Accent3 4 11 2 2" xfId="27723" xr:uid="{00000000-0005-0000-0000-000068220000}"/>
    <cellStyle name="20% - Accent3 4 11 2 3" xfId="37448" xr:uid="{00000000-0005-0000-0000-000069220000}"/>
    <cellStyle name="20% - Accent3 4 11 2 4" xfId="47173" xr:uid="{00000000-0005-0000-0000-00006A220000}"/>
    <cellStyle name="20% - Accent3 4 11 2 5" xfId="17998" xr:uid="{00000000-0005-0000-0000-00006B220000}"/>
    <cellStyle name="20% - Accent3 4 11 3" xfId="22861" xr:uid="{00000000-0005-0000-0000-00006C220000}"/>
    <cellStyle name="20% - Accent3 4 11 4" xfId="32586" xr:uid="{00000000-0005-0000-0000-00006D220000}"/>
    <cellStyle name="20% - Accent3 4 11 5" xfId="42311" xr:uid="{00000000-0005-0000-0000-00006E220000}"/>
    <cellStyle name="20% - Accent3 4 11 6" xfId="13136" xr:uid="{00000000-0005-0000-0000-00006F220000}"/>
    <cellStyle name="20% - Accent3 4 12" xfId="5032" xr:uid="{00000000-0005-0000-0000-000070220000}"/>
    <cellStyle name="20% - Accent3 4 12 2" xfId="24483" xr:uid="{00000000-0005-0000-0000-000071220000}"/>
    <cellStyle name="20% - Accent3 4 12 3" xfId="34208" xr:uid="{00000000-0005-0000-0000-000072220000}"/>
    <cellStyle name="20% - Accent3 4 12 4" xfId="43933" xr:uid="{00000000-0005-0000-0000-000073220000}"/>
    <cellStyle name="20% - Accent3 4 12 5" xfId="14758" xr:uid="{00000000-0005-0000-0000-000074220000}"/>
    <cellStyle name="20% - Accent3 4 13" xfId="19621" xr:uid="{00000000-0005-0000-0000-000075220000}"/>
    <cellStyle name="20% - Accent3 4 14" xfId="29346" xr:uid="{00000000-0005-0000-0000-000076220000}"/>
    <cellStyle name="20% - Accent3 4 15" xfId="39071" xr:uid="{00000000-0005-0000-0000-000077220000}"/>
    <cellStyle name="20% - Accent3 4 16" xfId="9896" xr:uid="{00000000-0005-0000-0000-000078220000}"/>
    <cellStyle name="20% - Accent3 4 2" xfId="288" xr:uid="{00000000-0005-0000-0000-000079220000}"/>
    <cellStyle name="20% - Accent3 4 2 10" xfId="39251" xr:uid="{00000000-0005-0000-0000-00007A220000}"/>
    <cellStyle name="20% - Accent3 4 2 11" xfId="10076" xr:uid="{00000000-0005-0000-0000-00007B220000}"/>
    <cellStyle name="20% - Accent3 4 2 2" xfId="1052" xr:uid="{00000000-0005-0000-0000-00007C220000}"/>
    <cellStyle name="20% - Accent3 4 2 2 2" xfId="2690" xr:uid="{00000000-0005-0000-0000-00007D220000}"/>
    <cellStyle name="20% - Accent3 4 2 2 2 2" xfId="7552" xr:uid="{00000000-0005-0000-0000-00007E220000}"/>
    <cellStyle name="20% - Accent3 4 2 2 2 2 2" xfId="27003" xr:uid="{00000000-0005-0000-0000-00007F220000}"/>
    <cellStyle name="20% - Accent3 4 2 2 2 2 3" xfId="36728" xr:uid="{00000000-0005-0000-0000-000080220000}"/>
    <cellStyle name="20% - Accent3 4 2 2 2 2 4" xfId="46453" xr:uid="{00000000-0005-0000-0000-000081220000}"/>
    <cellStyle name="20% - Accent3 4 2 2 2 2 5" xfId="17278" xr:uid="{00000000-0005-0000-0000-000082220000}"/>
    <cellStyle name="20% - Accent3 4 2 2 2 3" xfId="22141" xr:uid="{00000000-0005-0000-0000-000083220000}"/>
    <cellStyle name="20% - Accent3 4 2 2 2 4" xfId="31866" xr:uid="{00000000-0005-0000-0000-000084220000}"/>
    <cellStyle name="20% - Accent3 4 2 2 2 5" xfId="41591" xr:uid="{00000000-0005-0000-0000-000085220000}"/>
    <cellStyle name="20% - Accent3 4 2 2 2 6" xfId="12416" xr:uid="{00000000-0005-0000-0000-000086220000}"/>
    <cellStyle name="20% - Accent3 4 2 2 3" xfId="4310" xr:uid="{00000000-0005-0000-0000-000087220000}"/>
    <cellStyle name="20% - Accent3 4 2 2 3 2" xfId="9172" xr:uid="{00000000-0005-0000-0000-000088220000}"/>
    <cellStyle name="20% - Accent3 4 2 2 3 2 2" xfId="28623" xr:uid="{00000000-0005-0000-0000-000089220000}"/>
    <cellStyle name="20% - Accent3 4 2 2 3 2 3" xfId="38348" xr:uid="{00000000-0005-0000-0000-00008A220000}"/>
    <cellStyle name="20% - Accent3 4 2 2 3 2 4" xfId="48073" xr:uid="{00000000-0005-0000-0000-00008B220000}"/>
    <cellStyle name="20% - Accent3 4 2 2 3 2 5" xfId="18898" xr:uid="{00000000-0005-0000-0000-00008C220000}"/>
    <cellStyle name="20% - Accent3 4 2 2 3 3" xfId="23761" xr:uid="{00000000-0005-0000-0000-00008D220000}"/>
    <cellStyle name="20% - Accent3 4 2 2 3 4" xfId="33486" xr:uid="{00000000-0005-0000-0000-00008E220000}"/>
    <cellStyle name="20% - Accent3 4 2 2 3 5" xfId="43211" xr:uid="{00000000-0005-0000-0000-00008F220000}"/>
    <cellStyle name="20% - Accent3 4 2 2 3 6" xfId="14036" xr:uid="{00000000-0005-0000-0000-000090220000}"/>
    <cellStyle name="20% - Accent3 4 2 2 4" xfId="5932" xr:uid="{00000000-0005-0000-0000-000091220000}"/>
    <cellStyle name="20% - Accent3 4 2 2 4 2" xfId="25383" xr:uid="{00000000-0005-0000-0000-000092220000}"/>
    <cellStyle name="20% - Accent3 4 2 2 4 3" xfId="35108" xr:uid="{00000000-0005-0000-0000-000093220000}"/>
    <cellStyle name="20% - Accent3 4 2 2 4 4" xfId="44833" xr:uid="{00000000-0005-0000-0000-000094220000}"/>
    <cellStyle name="20% - Accent3 4 2 2 4 5" xfId="15658" xr:uid="{00000000-0005-0000-0000-000095220000}"/>
    <cellStyle name="20% - Accent3 4 2 2 5" xfId="20521" xr:uid="{00000000-0005-0000-0000-000096220000}"/>
    <cellStyle name="20% - Accent3 4 2 2 6" xfId="30246" xr:uid="{00000000-0005-0000-0000-000097220000}"/>
    <cellStyle name="20% - Accent3 4 2 2 7" xfId="39971" xr:uid="{00000000-0005-0000-0000-000098220000}"/>
    <cellStyle name="20% - Accent3 4 2 2 8" xfId="10796" xr:uid="{00000000-0005-0000-0000-000099220000}"/>
    <cellStyle name="20% - Accent3 4 2 3" xfId="1519" xr:uid="{00000000-0005-0000-0000-00009A220000}"/>
    <cellStyle name="20% - Accent3 4 2 3 2" xfId="3140" xr:uid="{00000000-0005-0000-0000-00009B220000}"/>
    <cellStyle name="20% - Accent3 4 2 3 2 2" xfId="8002" xr:uid="{00000000-0005-0000-0000-00009C220000}"/>
    <cellStyle name="20% - Accent3 4 2 3 2 2 2" xfId="27453" xr:uid="{00000000-0005-0000-0000-00009D220000}"/>
    <cellStyle name="20% - Accent3 4 2 3 2 2 3" xfId="37178" xr:uid="{00000000-0005-0000-0000-00009E220000}"/>
    <cellStyle name="20% - Accent3 4 2 3 2 2 4" xfId="46903" xr:uid="{00000000-0005-0000-0000-00009F220000}"/>
    <cellStyle name="20% - Accent3 4 2 3 2 2 5" xfId="17728" xr:uid="{00000000-0005-0000-0000-0000A0220000}"/>
    <cellStyle name="20% - Accent3 4 2 3 2 3" xfId="22591" xr:uid="{00000000-0005-0000-0000-0000A1220000}"/>
    <cellStyle name="20% - Accent3 4 2 3 2 4" xfId="32316" xr:uid="{00000000-0005-0000-0000-0000A2220000}"/>
    <cellStyle name="20% - Accent3 4 2 3 2 5" xfId="42041" xr:uid="{00000000-0005-0000-0000-0000A3220000}"/>
    <cellStyle name="20% - Accent3 4 2 3 2 6" xfId="12866" xr:uid="{00000000-0005-0000-0000-0000A4220000}"/>
    <cellStyle name="20% - Accent3 4 2 3 3" xfId="4760" xr:uid="{00000000-0005-0000-0000-0000A5220000}"/>
    <cellStyle name="20% - Accent3 4 2 3 3 2" xfId="9622" xr:uid="{00000000-0005-0000-0000-0000A6220000}"/>
    <cellStyle name="20% - Accent3 4 2 3 3 2 2" xfId="29073" xr:uid="{00000000-0005-0000-0000-0000A7220000}"/>
    <cellStyle name="20% - Accent3 4 2 3 3 2 3" xfId="38798" xr:uid="{00000000-0005-0000-0000-0000A8220000}"/>
    <cellStyle name="20% - Accent3 4 2 3 3 2 4" xfId="48523" xr:uid="{00000000-0005-0000-0000-0000A9220000}"/>
    <cellStyle name="20% - Accent3 4 2 3 3 2 5" xfId="19348" xr:uid="{00000000-0005-0000-0000-0000AA220000}"/>
    <cellStyle name="20% - Accent3 4 2 3 3 3" xfId="24211" xr:uid="{00000000-0005-0000-0000-0000AB220000}"/>
    <cellStyle name="20% - Accent3 4 2 3 3 4" xfId="33936" xr:uid="{00000000-0005-0000-0000-0000AC220000}"/>
    <cellStyle name="20% - Accent3 4 2 3 3 5" xfId="43661" xr:uid="{00000000-0005-0000-0000-0000AD220000}"/>
    <cellStyle name="20% - Accent3 4 2 3 3 6" xfId="14486" xr:uid="{00000000-0005-0000-0000-0000AE220000}"/>
    <cellStyle name="20% - Accent3 4 2 3 4" xfId="6382" xr:uid="{00000000-0005-0000-0000-0000AF220000}"/>
    <cellStyle name="20% - Accent3 4 2 3 4 2" xfId="25833" xr:uid="{00000000-0005-0000-0000-0000B0220000}"/>
    <cellStyle name="20% - Accent3 4 2 3 4 3" xfId="35558" xr:uid="{00000000-0005-0000-0000-0000B1220000}"/>
    <cellStyle name="20% - Accent3 4 2 3 4 4" xfId="45283" xr:uid="{00000000-0005-0000-0000-0000B2220000}"/>
    <cellStyle name="20% - Accent3 4 2 3 4 5" xfId="16108" xr:uid="{00000000-0005-0000-0000-0000B3220000}"/>
    <cellStyle name="20% - Accent3 4 2 3 5" xfId="20971" xr:uid="{00000000-0005-0000-0000-0000B4220000}"/>
    <cellStyle name="20% - Accent3 4 2 3 6" xfId="30696" xr:uid="{00000000-0005-0000-0000-0000B5220000}"/>
    <cellStyle name="20% - Accent3 4 2 3 7" xfId="40421" xr:uid="{00000000-0005-0000-0000-0000B6220000}"/>
    <cellStyle name="20% - Accent3 4 2 3 8" xfId="11246" xr:uid="{00000000-0005-0000-0000-0000B7220000}"/>
    <cellStyle name="20% - Accent3 4 2 4" xfId="690" xr:uid="{00000000-0005-0000-0000-0000B8220000}"/>
    <cellStyle name="20% - Accent3 4 2 4 2" xfId="2330" xr:uid="{00000000-0005-0000-0000-0000B9220000}"/>
    <cellStyle name="20% - Accent3 4 2 4 2 2" xfId="7192" xr:uid="{00000000-0005-0000-0000-0000BA220000}"/>
    <cellStyle name="20% - Accent3 4 2 4 2 2 2" xfId="26643" xr:uid="{00000000-0005-0000-0000-0000BB220000}"/>
    <cellStyle name="20% - Accent3 4 2 4 2 2 3" xfId="36368" xr:uid="{00000000-0005-0000-0000-0000BC220000}"/>
    <cellStyle name="20% - Accent3 4 2 4 2 2 4" xfId="46093" xr:uid="{00000000-0005-0000-0000-0000BD220000}"/>
    <cellStyle name="20% - Accent3 4 2 4 2 2 5" xfId="16918" xr:uid="{00000000-0005-0000-0000-0000BE220000}"/>
    <cellStyle name="20% - Accent3 4 2 4 2 3" xfId="21781" xr:uid="{00000000-0005-0000-0000-0000BF220000}"/>
    <cellStyle name="20% - Accent3 4 2 4 2 4" xfId="31506" xr:uid="{00000000-0005-0000-0000-0000C0220000}"/>
    <cellStyle name="20% - Accent3 4 2 4 2 5" xfId="41231" xr:uid="{00000000-0005-0000-0000-0000C1220000}"/>
    <cellStyle name="20% - Accent3 4 2 4 2 6" xfId="12056" xr:uid="{00000000-0005-0000-0000-0000C2220000}"/>
    <cellStyle name="20% - Accent3 4 2 4 3" xfId="3950" xr:uid="{00000000-0005-0000-0000-0000C3220000}"/>
    <cellStyle name="20% - Accent3 4 2 4 3 2" xfId="8812" xr:uid="{00000000-0005-0000-0000-0000C4220000}"/>
    <cellStyle name="20% - Accent3 4 2 4 3 2 2" xfId="28263" xr:uid="{00000000-0005-0000-0000-0000C5220000}"/>
    <cellStyle name="20% - Accent3 4 2 4 3 2 3" xfId="37988" xr:uid="{00000000-0005-0000-0000-0000C6220000}"/>
    <cellStyle name="20% - Accent3 4 2 4 3 2 4" xfId="47713" xr:uid="{00000000-0005-0000-0000-0000C7220000}"/>
    <cellStyle name="20% - Accent3 4 2 4 3 2 5" xfId="18538" xr:uid="{00000000-0005-0000-0000-0000C8220000}"/>
    <cellStyle name="20% - Accent3 4 2 4 3 3" xfId="23401" xr:uid="{00000000-0005-0000-0000-0000C9220000}"/>
    <cellStyle name="20% - Accent3 4 2 4 3 4" xfId="33126" xr:uid="{00000000-0005-0000-0000-0000CA220000}"/>
    <cellStyle name="20% - Accent3 4 2 4 3 5" xfId="42851" xr:uid="{00000000-0005-0000-0000-0000CB220000}"/>
    <cellStyle name="20% - Accent3 4 2 4 3 6" xfId="13676" xr:uid="{00000000-0005-0000-0000-0000CC220000}"/>
    <cellStyle name="20% - Accent3 4 2 4 4" xfId="5572" xr:uid="{00000000-0005-0000-0000-0000CD220000}"/>
    <cellStyle name="20% - Accent3 4 2 4 4 2" xfId="25023" xr:uid="{00000000-0005-0000-0000-0000CE220000}"/>
    <cellStyle name="20% - Accent3 4 2 4 4 3" xfId="34748" xr:uid="{00000000-0005-0000-0000-0000CF220000}"/>
    <cellStyle name="20% - Accent3 4 2 4 4 4" xfId="44473" xr:uid="{00000000-0005-0000-0000-0000D0220000}"/>
    <cellStyle name="20% - Accent3 4 2 4 4 5" xfId="15298" xr:uid="{00000000-0005-0000-0000-0000D1220000}"/>
    <cellStyle name="20% - Accent3 4 2 4 5" xfId="20161" xr:uid="{00000000-0005-0000-0000-0000D2220000}"/>
    <cellStyle name="20% - Accent3 4 2 4 6" xfId="29886" xr:uid="{00000000-0005-0000-0000-0000D3220000}"/>
    <cellStyle name="20% - Accent3 4 2 4 7" xfId="39611" xr:uid="{00000000-0005-0000-0000-0000D4220000}"/>
    <cellStyle name="20% - Accent3 4 2 4 8" xfId="10436" xr:uid="{00000000-0005-0000-0000-0000D5220000}"/>
    <cellStyle name="20% - Accent3 4 2 5" xfId="1970" xr:uid="{00000000-0005-0000-0000-0000D6220000}"/>
    <cellStyle name="20% - Accent3 4 2 5 2" xfId="6832" xr:uid="{00000000-0005-0000-0000-0000D7220000}"/>
    <cellStyle name="20% - Accent3 4 2 5 2 2" xfId="26283" xr:uid="{00000000-0005-0000-0000-0000D8220000}"/>
    <cellStyle name="20% - Accent3 4 2 5 2 3" xfId="36008" xr:uid="{00000000-0005-0000-0000-0000D9220000}"/>
    <cellStyle name="20% - Accent3 4 2 5 2 4" xfId="45733" xr:uid="{00000000-0005-0000-0000-0000DA220000}"/>
    <cellStyle name="20% - Accent3 4 2 5 2 5" xfId="16558" xr:uid="{00000000-0005-0000-0000-0000DB220000}"/>
    <cellStyle name="20% - Accent3 4 2 5 3" xfId="21421" xr:uid="{00000000-0005-0000-0000-0000DC220000}"/>
    <cellStyle name="20% - Accent3 4 2 5 4" xfId="31146" xr:uid="{00000000-0005-0000-0000-0000DD220000}"/>
    <cellStyle name="20% - Accent3 4 2 5 5" xfId="40871" xr:uid="{00000000-0005-0000-0000-0000DE220000}"/>
    <cellStyle name="20% - Accent3 4 2 5 6" xfId="11696" xr:uid="{00000000-0005-0000-0000-0000DF220000}"/>
    <cellStyle name="20% - Accent3 4 2 6" xfId="3590" xr:uid="{00000000-0005-0000-0000-0000E0220000}"/>
    <cellStyle name="20% - Accent3 4 2 6 2" xfId="8452" xr:uid="{00000000-0005-0000-0000-0000E1220000}"/>
    <cellStyle name="20% - Accent3 4 2 6 2 2" xfId="27903" xr:uid="{00000000-0005-0000-0000-0000E2220000}"/>
    <cellStyle name="20% - Accent3 4 2 6 2 3" xfId="37628" xr:uid="{00000000-0005-0000-0000-0000E3220000}"/>
    <cellStyle name="20% - Accent3 4 2 6 2 4" xfId="47353" xr:uid="{00000000-0005-0000-0000-0000E4220000}"/>
    <cellStyle name="20% - Accent3 4 2 6 2 5" xfId="18178" xr:uid="{00000000-0005-0000-0000-0000E5220000}"/>
    <cellStyle name="20% - Accent3 4 2 6 3" xfId="23041" xr:uid="{00000000-0005-0000-0000-0000E6220000}"/>
    <cellStyle name="20% - Accent3 4 2 6 4" xfId="32766" xr:uid="{00000000-0005-0000-0000-0000E7220000}"/>
    <cellStyle name="20% - Accent3 4 2 6 5" xfId="42491" xr:uid="{00000000-0005-0000-0000-0000E8220000}"/>
    <cellStyle name="20% - Accent3 4 2 6 6" xfId="13316" xr:uid="{00000000-0005-0000-0000-0000E9220000}"/>
    <cellStyle name="20% - Accent3 4 2 7" xfId="5212" xr:uid="{00000000-0005-0000-0000-0000EA220000}"/>
    <cellStyle name="20% - Accent3 4 2 7 2" xfId="24663" xr:uid="{00000000-0005-0000-0000-0000EB220000}"/>
    <cellStyle name="20% - Accent3 4 2 7 3" xfId="34388" xr:uid="{00000000-0005-0000-0000-0000EC220000}"/>
    <cellStyle name="20% - Accent3 4 2 7 4" xfId="44113" xr:uid="{00000000-0005-0000-0000-0000ED220000}"/>
    <cellStyle name="20% - Accent3 4 2 7 5" xfId="14938" xr:uid="{00000000-0005-0000-0000-0000EE220000}"/>
    <cellStyle name="20% - Accent3 4 2 8" xfId="19801" xr:uid="{00000000-0005-0000-0000-0000EF220000}"/>
    <cellStyle name="20% - Accent3 4 2 9" xfId="29526" xr:uid="{00000000-0005-0000-0000-0000F0220000}"/>
    <cellStyle name="20% - Accent3 4 3" xfId="379" xr:uid="{00000000-0005-0000-0000-0000F1220000}"/>
    <cellStyle name="20% - Accent3 4 3 10" xfId="39341" xr:uid="{00000000-0005-0000-0000-0000F2220000}"/>
    <cellStyle name="20% - Accent3 4 3 11" xfId="10166" xr:uid="{00000000-0005-0000-0000-0000F3220000}"/>
    <cellStyle name="20% - Accent3 4 3 2" xfId="1142" xr:uid="{00000000-0005-0000-0000-0000F4220000}"/>
    <cellStyle name="20% - Accent3 4 3 2 2" xfId="2780" xr:uid="{00000000-0005-0000-0000-0000F5220000}"/>
    <cellStyle name="20% - Accent3 4 3 2 2 2" xfId="7642" xr:uid="{00000000-0005-0000-0000-0000F6220000}"/>
    <cellStyle name="20% - Accent3 4 3 2 2 2 2" xfId="27093" xr:uid="{00000000-0005-0000-0000-0000F7220000}"/>
    <cellStyle name="20% - Accent3 4 3 2 2 2 3" xfId="36818" xr:uid="{00000000-0005-0000-0000-0000F8220000}"/>
    <cellStyle name="20% - Accent3 4 3 2 2 2 4" xfId="46543" xr:uid="{00000000-0005-0000-0000-0000F9220000}"/>
    <cellStyle name="20% - Accent3 4 3 2 2 2 5" xfId="17368" xr:uid="{00000000-0005-0000-0000-0000FA220000}"/>
    <cellStyle name="20% - Accent3 4 3 2 2 3" xfId="22231" xr:uid="{00000000-0005-0000-0000-0000FB220000}"/>
    <cellStyle name="20% - Accent3 4 3 2 2 4" xfId="31956" xr:uid="{00000000-0005-0000-0000-0000FC220000}"/>
    <cellStyle name="20% - Accent3 4 3 2 2 5" xfId="41681" xr:uid="{00000000-0005-0000-0000-0000FD220000}"/>
    <cellStyle name="20% - Accent3 4 3 2 2 6" xfId="12506" xr:uid="{00000000-0005-0000-0000-0000FE220000}"/>
    <cellStyle name="20% - Accent3 4 3 2 3" xfId="4400" xr:uid="{00000000-0005-0000-0000-0000FF220000}"/>
    <cellStyle name="20% - Accent3 4 3 2 3 2" xfId="9262" xr:uid="{00000000-0005-0000-0000-000000230000}"/>
    <cellStyle name="20% - Accent3 4 3 2 3 2 2" xfId="28713" xr:uid="{00000000-0005-0000-0000-000001230000}"/>
    <cellStyle name="20% - Accent3 4 3 2 3 2 3" xfId="38438" xr:uid="{00000000-0005-0000-0000-000002230000}"/>
    <cellStyle name="20% - Accent3 4 3 2 3 2 4" xfId="48163" xr:uid="{00000000-0005-0000-0000-000003230000}"/>
    <cellStyle name="20% - Accent3 4 3 2 3 2 5" xfId="18988" xr:uid="{00000000-0005-0000-0000-000004230000}"/>
    <cellStyle name="20% - Accent3 4 3 2 3 3" xfId="23851" xr:uid="{00000000-0005-0000-0000-000005230000}"/>
    <cellStyle name="20% - Accent3 4 3 2 3 4" xfId="33576" xr:uid="{00000000-0005-0000-0000-000006230000}"/>
    <cellStyle name="20% - Accent3 4 3 2 3 5" xfId="43301" xr:uid="{00000000-0005-0000-0000-000007230000}"/>
    <cellStyle name="20% - Accent3 4 3 2 3 6" xfId="14126" xr:uid="{00000000-0005-0000-0000-000008230000}"/>
    <cellStyle name="20% - Accent3 4 3 2 4" xfId="6022" xr:uid="{00000000-0005-0000-0000-000009230000}"/>
    <cellStyle name="20% - Accent3 4 3 2 4 2" xfId="25473" xr:uid="{00000000-0005-0000-0000-00000A230000}"/>
    <cellStyle name="20% - Accent3 4 3 2 4 3" xfId="35198" xr:uid="{00000000-0005-0000-0000-00000B230000}"/>
    <cellStyle name="20% - Accent3 4 3 2 4 4" xfId="44923" xr:uid="{00000000-0005-0000-0000-00000C230000}"/>
    <cellStyle name="20% - Accent3 4 3 2 4 5" xfId="15748" xr:uid="{00000000-0005-0000-0000-00000D230000}"/>
    <cellStyle name="20% - Accent3 4 3 2 5" xfId="20611" xr:uid="{00000000-0005-0000-0000-00000E230000}"/>
    <cellStyle name="20% - Accent3 4 3 2 6" xfId="30336" xr:uid="{00000000-0005-0000-0000-00000F230000}"/>
    <cellStyle name="20% - Accent3 4 3 2 7" xfId="40061" xr:uid="{00000000-0005-0000-0000-000010230000}"/>
    <cellStyle name="20% - Accent3 4 3 2 8" xfId="10886" xr:uid="{00000000-0005-0000-0000-000011230000}"/>
    <cellStyle name="20% - Accent3 4 3 3" xfId="1609" xr:uid="{00000000-0005-0000-0000-000012230000}"/>
    <cellStyle name="20% - Accent3 4 3 3 2" xfId="3230" xr:uid="{00000000-0005-0000-0000-000013230000}"/>
    <cellStyle name="20% - Accent3 4 3 3 2 2" xfId="8092" xr:uid="{00000000-0005-0000-0000-000014230000}"/>
    <cellStyle name="20% - Accent3 4 3 3 2 2 2" xfId="27543" xr:uid="{00000000-0005-0000-0000-000015230000}"/>
    <cellStyle name="20% - Accent3 4 3 3 2 2 3" xfId="37268" xr:uid="{00000000-0005-0000-0000-000016230000}"/>
    <cellStyle name="20% - Accent3 4 3 3 2 2 4" xfId="46993" xr:uid="{00000000-0005-0000-0000-000017230000}"/>
    <cellStyle name="20% - Accent3 4 3 3 2 2 5" xfId="17818" xr:uid="{00000000-0005-0000-0000-000018230000}"/>
    <cellStyle name="20% - Accent3 4 3 3 2 3" xfId="22681" xr:uid="{00000000-0005-0000-0000-000019230000}"/>
    <cellStyle name="20% - Accent3 4 3 3 2 4" xfId="32406" xr:uid="{00000000-0005-0000-0000-00001A230000}"/>
    <cellStyle name="20% - Accent3 4 3 3 2 5" xfId="42131" xr:uid="{00000000-0005-0000-0000-00001B230000}"/>
    <cellStyle name="20% - Accent3 4 3 3 2 6" xfId="12956" xr:uid="{00000000-0005-0000-0000-00001C230000}"/>
    <cellStyle name="20% - Accent3 4 3 3 3" xfId="4850" xr:uid="{00000000-0005-0000-0000-00001D230000}"/>
    <cellStyle name="20% - Accent3 4 3 3 3 2" xfId="9712" xr:uid="{00000000-0005-0000-0000-00001E230000}"/>
    <cellStyle name="20% - Accent3 4 3 3 3 2 2" xfId="29163" xr:uid="{00000000-0005-0000-0000-00001F230000}"/>
    <cellStyle name="20% - Accent3 4 3 3 3 2 3" xfId="38888" xr:uid="{00000000-0005-0000-0000-000020230000}"/>
    <cellStyle name="20% - Accent3 4 3 3 3 2 4" xfId="48613" xr:uid="{00000000-0005-0000-0000-000021230000}"/>
    <cellStyle name="20% - Accent3 4 3 3 3 2 5" xfId="19438" xr:uid="{00000000-0005-0000-0000-000022230000}"/>
    <cellStyle name="20% - Accent3 4 3 3 3 3" xfId="24301" xr:uid="{00000000-0005-0000-0000-000023230000}"/>
    <cellStyle name="20% - Accent3 4 3 3 3 4" xfId="34026" xr:uid="{00000000-0005-0000-0000-000024230000}"/>
    <cellStyle name="20% - Accent3 4 3 3 3 5" xfId="43751" xr:uid="{00000000-0005-0000-0000-000025230000}"/>
    <cellStyle name="20% - Accent3 4 3 3 3 6" xfId="14576" xr:uid="{00000000-0005-0000-0000-000026230000}"/>
    <cellStyle name="20% - Accent3 4 3 3 4" xfId="6472" xr:uid="{00000000-0005-0000-0000-000027230000}"/>
    <cellStyle name="20% - Accent3 4 3 3 4 2" xfId="25923" xr:uid="{00000000-0005-0000-0000-000028230000}"/>
    <cellStyle name="20% - Accent3 4 3 3 4 3" xfId="35648" xr:uid="{00000000-0005-0000-0000-000029230000}"/>
    <cellStyle name="20% - Accent3 4 3 3 4 4" xfId="45373" xr:uid="{00000000-0005-0000-0000-00002A230000}"/>
    <cellStyle name="20% - Accent3 4 3 3 4 5" xfId="16198" xr:uid="{00000000-0005-0000-0000-00002B230000}"/>
    <cellStyle name="20% - Accent3 4 3 3 5" xfId="21061" xr:uid="{00000000-0005-0000-0000-00002C230000}"/>
    <cellStyle name="20% - Accent3 4 3 3 6" xfId="30786" xr:uid="{00000000-0005-0000-0000-00002D230000}"/>
    <cellStyle name="20% - Accent3 4 3 3 7" xfId="40511" xr:uid="{00000000-0005-0000-0000-00002E230000}"/>
    <cellStyle name="20% - Accent3 4 3 3 8" xfId="11336" xr:uid="{00000000-0005-0000-0000-00002F230000}"/>
    <cellStyle name="20% - Accent3 4 3 4" xfId="780" xr:uid="{00000000-0005-0000-0000-000030230000}"/>
    <cellStyle name="20% - Accent3 4 3 4 2" xfId="2420" xr:uid="{00000000-0005-0000-0000-000031230000}"/>
    <cellStyle name="20% - Accent3 4 3 4 2 2" xfId="7282" xr:uid="{00000000-0005-0000-0000-000032230000}"/>
    <cellStyle name="20% - Accent3 4 3 4 2 2 2" xfId="26733" xr:uid="{00000000-0005-0000-0000-000033230000}"/>
    <cellStyle name="20% - Accent3 4 3 4 2 2 3" xfId="36458" xr:uid="{00000000-0005-0000-0000-000034230000}"/>
    <cellStyle name="20% - Accent3 4 3 4 2 2 4" xfId="46183" xr:uid="{00000000-0005-0000-0000-000035230000}"/>
    <cellStyle name="20% - Accent3 4 3 4 2 2 5" xfId="17008" xr:uid="{00000000-0005-0000-0000-000036230000}"/>
    <cellStyle name="20% - Accent3 4 3 4 2 3" xfId="21871" xr:uid="{00000000-0005-0000-0000-000037230000}"/>
    <cellStyle name="20% - Accent3 4 3 4 2 4" xfId="31596" xr:uid="{00000000-0005-0000-0000-000038230000}"/>
    <cellStyle name="20% - Accent3 4 3 4 2 5" xfId="41321" xr:uid="{00000000-0005-0000-0000-000039230000}"/>
    <cellStyle name="20% - Accent3 4 3 4 2 6" xfId="12146" xr:uid="{00000000-0005-0000-0000-00003A230000}"/>
    <cellStyle name="20% - Accent3 4 3 4 3" xfId="4040" xr:uid="{00000000-0005-0000-0000-00003B230000}"/>
    <cellStyle name="20% - Accent3 4 3 4 3 2" xfId="8902" xr:uid="{00000000-0005-0000-0000-00003C230000}"/>
    <cellStyle name="20% - Accent3 4 3 4 3 2 2" xfId="28353" xr:uid="{00000000-0005-0000-0000-00003D230000}"/>
    <cellStyle name="20% - Accent3 4 3 4 3 2 3" xfId="38078" xr:uid="{00000000-0005-0000-0000-00003E230000}"/>
    <cellStyle name="20% - Accent3 4 3 4 3 2 4" xfId="47803" xr:uid="{00000000-0005-0000-0000-00003F230000}"/>
    <cellStyle name="20% - Accent3 4 3 4 3 2 5" xfId="18628" xr:uid="{00000000-0005-0000-0000-000040230000}"/>
    <cellStyle name="20% - Accent3 4 3 4 3 3" xfId="23491" xr:uid="{00000000-0005-0000-0000-000041230000}"/>
    <cellStyle name="20% - Accent3 4 3 4 3 4" xfId="33216" xr:uid="{00000000-0005-0000-0000-000042230000}"/>
    <cellStyle name="20% - Accent3 4 3 4 3 5" xfId="42941" xr:uid="{00000000-0005-0000-0000-000043230000}"/>
    <cellStyle name="20% - Accent3 4 3 4 3 6" xfId="13766" xr:uid="{00000000-0005-0000-0000-000044230000}"/>
    <cellStyle name="20% - Accent3 4 3 4 4" xfId="5662" xr:uid="{00000000-0005-0000-0000-000045230000}"/>
    <cellStyle name="20% - Accent3 4 3 4 4 2" xfId="25113" xr:uid="{00000000-0005-0000-0000-000046230000}"/>
    <cellStyle name="20% - Accent3 4 3 4 4 3" xfId="34838" xr:uid="{00000000-0005-0000-0000-000047230000}"/>
    <cellStyle name="20% - Accent3 4 3 4 4 4" xfId="44563" xr:uid="{00000000-0005-0000-0000-000048230000}"/>
    <cellStyle name="20% - Accent3 4 3 4 4 5" xfId="15388" xr:uid="{00000000-0005-0000-0000-000049230000}"/>
    <cellStyle name="20% - Accent3 4 3 4 5" xfId="20251" xr:uid="{00000000-0005-0000-0000-00004A230000}"/>
    <cellStyle name="20% - Accent3 4 3 4 6" xfId="29976" xr:uid="{00000000-0005-0000-0000-00004B230000}"/>
    <cellStyle name="20% - Accent3 4 3 4 7" xfId="39701" xr:uid="{00000000-0005-0000-0000-00004C230000}"/>
    <cellStyle name="20% - Accent3 4 3 4 8" xfId="10526" xr:uid="{00000000-0005-0000-0000-00004D230000}"/>
    <cellStyle name="20% - Accent3 4 3 5" xfId="2060" xr:uid="{00000000-0005-0000-0000-00004E230000}"/>
    <cellStyle name="20% - Accent3 4 3 5 2" xfId="6922" xr:uid="{00000000-0005-0000-0000-00004F230000}"/>
    <cellStyle name="20% - Accent3 4 3 5 2 2" xfId="26373" xr:uid="{00000000-0005-0000-0000-000050230000}"/>
    <cellStyle name="20% - Accent3 4 3 5 2 3" xfId="36098" xr:uid="{00000000-0005-0000-0000-000051230000}"/>
    <cellStyle name="20% - Accent3 4 3 5 2 4" xfId="45823" xr:uid="{00000000-0005-0000-0000-000052230000}"/>
    <cellStyle name="20% - Accent3 4 3 5 2 5" xfId="16648" xr:uid="{00000000-0005-0000-0000-000053230000}"/>
    <cellStyle name="20% - Accent3 4 3 5 3" xfId="21511" xr:uid="{00000000-0005-0000-0000-000054230000}"/>
    <cellStyle name="20% - Accent3 4 3 5 4" xfId="31236" xr:uid="{00000000-0005-0000-0000-000055230000}"/>
    <cellStyle name="20% - Accent3 4 3 5 5" xfId="40961" xr:uid="{00000000-0005-0000-0000-000056230000}"/>
    <cellStyle name="20% - Accent3 4 3 5 6" xfId="11786" xr:uid="{00000000-0005-0000-0000-000057230000}"/>
    <cellStyle name="20% - Accent3 4 3 6" xfId="3680" xr:uid="{00000000-0005-0000-0000-000058230000}"/>
    <cellStyle name="20% - Accent3 4 3 6 2" xfId="8542" xr:uid="{00000000-0005-0000-0000-000059230000}"/>
    <cellStyle name="20% - Accent3 4 3 6 2 2" xfId="27993" xr:uid="{00000000-0005-0000-0000-00005A230000}"/>
    <cellStyle name="20% - Accent3 4 3 6 2 3" xfId="37718" xr:uid="{00000000-0005-0000-0000-00005B230000}"/>
    <cellStyle name="20% - Accent3 4 3 6 2 4" xfId="47443" xr:uid="{00000000-0005-0000-0000-00005C230000}"/>
    <cellStyle name="20% - Accent3 4 3 6 2 5" xfId="18268" xr:uid="{00000000-0005-0000-0000-00005D230000}"/>
    <cellStyle name="20% - Accent3 4 3 6 3" xfId="23131" xr:uid="{00000000-0005-0000-0000-00005E230000}"/>
    <cellStyle name="20% - Accent3 4 3 6 4" xfId="32856" xr:uid="{00000000-0005-0000-0000-00005F230000}"/>
    <cellStyle name="20% - Accent3 4 3 6 5" xfId="42581" xr:uid="{00000000-0005-0000-0000-000060230000}"/>
    <cellStyle name="20% - Accent3 4 3 6 6" xfId="13406" xr:uid="{00000000-0005-0000-0000-000061230000}"/>
    <cellStyle name="20% - Accent3 4 3 7" xfId="5302" xr:uid="{00000000-0005-0000-0000-000062230000}"/>
    <cellStyle name="20% - Accent3 4 3 7 2" xfId="24753" xr:uid="{00000000-0005-0000-0000-000063230000}"/>
    <cellStyle name="20% - Accent3 4 3 7 3" xfId="34478" xr:uid="{00000000-0005-0000-0000-000064230000}"/>
    <cellStyle name="20% - Accent3 4 3 7 4" xfId="44203" xr:uid="{00000000-0005-0000-0000-000065230000}"/>
    <cellStyle name="20% - Accent3 4 3 7 5" xfId="15028" xr:uid="{00000000-0005-0000-0000-000066230000}"/>
    <cellStyle name="20% - Accent3 4 3 8" xfId="19891" xr:uid="{00000000-0005-0000-0000-000067230000}"/>
    <cellStyle name="20% - Accent3 4 3 9" xfId="29616" xr:uid="{00000000-0005-0000-0000-000068230000}"/>
    <cellStyle name="20% - Accent3 4 4" xfId="197" xr:uid="{00000000-0005-0000-0000-000069230000}"/>
    <cellStyle name="20% - Accent3 4 4 10" xfId="39161" xr:uid="{00000000-0005-0000-0000-00006A230000}"/>
    <cellStyle name="20% - Accent3 4 4 11" xfId="9986" xr:uid="{00000000-0005-0000-0000-00006B230000}"/>
    <cellStyle name="20% - Accent3 4 4 2" xfId="961" xr:uid="{00000000-0005-0000-0000-00006C230000}"/>
    <cellStyle name="20% - Accent3 4 4 2 2" xfId="2600" xr:uid="{00000000-0005-0000-0000-00006D230000}"/>
    <cellStyle name="20% - Accent3 4 4 2 2 2" xfId="7462" xr:uid="{00000000-0005-0000-0000-00006E230000}"/>
    <cellStyle name="20% - Accent3 4 4 2 2 2 2" xfId="26913" xr:uid="{00000000-0005-0000-0000-00006F230000}"/>
    <cellStyle name="20% - Accent3 4 4 2 2 2 3" xfId="36638" xr:uid="{00000000-0005-0000-0000-000070230000}"/>
    <cellStyle name="20% - Accent3 4 4 2 2 2 4" xfId="46363" xr:uid="{00000000-0005-0000-0000-000071230000}"/>
    <cellStyle name="20% - Accent3 4 4 2 2 2 5" xfId="17188" xr:uid="{00000000-0005-0000-0000-000072230000}"/>
    <cellStyle name="20% - Accent3 4 4 2 2 3" xfId="22051" xr:uid="{00000000-0005-0000-0000-000073230000}"/>
    <cellStyle name="20% - Accent3 4 4 2 2 4" xfId="31776" xr:uid="{00000000-0005-0000-0000-000074230000}"/>
    <cellStyle name="20% - Accent3 4 4 2 2 5" xfId="41501" xr:uid="{00000000-0005-0000-0000-000075230000}"/>
    <cellStyle name="20% - Accent3 4 4 2 2 6" xfId="12326" xr:uid="{00000000-0005-0000-0000-000076230000}"/>
    <cellStyle name="20% - Accent3 4 4 2 3" xfId="4220" xr:uid="{00000000-0005-0000-0000-000077230000}"/>
    <cellStyle name="20% - Accent3 4 4 2 3 2" xfId="9082" xr:uid="{00000000-0005-0000-0000-000078230000}"/>
    <cellStyle name="20% - Accent3 4 4 2 3 2 2" xfId="28533" xr:uid="{00000000-0005-0000-0000-000079230000}"/>
    <cellStyle name="20% - Accent3 4 4 2 3 2 3" xfId="38258" xr:uid="{00000000-0005-0000-0000-00007A230000}"/>
    <cellStyle name="20% - Accent3 4 4 2 3 2 4" xfId="47983" xr:uid="{00000000-0005-0000-0000-00007B230000}"/>
    <cellStyle name="20% - Accent3 4 4 2 3 2 5" xfId="18808" xr:uid="{00000000-0005-0000-0000-00007C230000}"/>
    <cellStyle name="20% - Accent3 4 4 2 3 3" xfId="23671" xr:uid="{00000000-0005-0000-0000-00007D230000}"/>
    <cellStyle name="20% - Accent3 4 4 2 3 4" xfId="33396" xr:uid="{00000000-0005-0000-0000-00007E230000}"/>
    <cellStyle name="20% - Accent3 4 4 2 3 5" xfId="43121" xr:uid="{00000000-0005-0000-0000-00007F230000}"/>
    <cellStyle name="20% - Accent3 4 4 2 3 6" xfId="13946" xr:uid="{00000000-0005-0000-0000-000080230000}"/>
    <cellStyle name="20% - Accent3 4 4 2 4" xfId="5842" xr:uid="{00000000-0005-0000-0000-000081230000}"/>
    <cellStyle name="20% - Accent3 4 4 2 4 2" xfId="25293" xr:uid="{00000000-0005-0000-0000-000082230000}"/>
    <cellStyle name="20% - Accent3 4 4 2 4 3" xfId="35018" xr:uid="{00000000-0005-0000-0000-000083230000}"/>
    <cellStyle name="20% - Accent3 4 4 2 4 4" xfId="44743" xr:uid="{00000000-0005-0000-0000-000084230000}"/>
    <cellStyle name="20% - Accent3 4 4 2 4 5" xfId="15568" xr:uid="{00000000-0005-0000-0000-000085230000}"/>
    <cellStyle name="20% - Accent3 4 4 2 5" xfId="20431" xr:uid="{00000000-0005-0000-0000-000086230000}"/>
    <cellStyle name="20% - Accent3 4 4 2 6" xfId="30156" xr:uid="{00000000-0005-0000-0000-000087230000}"/>
    <cellStyle name="20% - Accent3 4 4 2 7" xfId="39881" xr:uid="{00000000-0005-0000-0000-000088230000}"/>
    <cellStyle name="20% - Accent3 4 4 2 8" xfId="10706" xr:uid="{00000000-0005-0000-0000-000089230000}"/>
    <cellStyle name="20% - Accent3 4 4 3" xfId="1429" xr:uid="{00000000-0005-0000-0000-00008A230000}"/>
    <cellStyle name="20% - Accent3 4 4 3 2" xfId="3050" xr:uid="{00000000-0005-0000-0000-00008B230000}"/>
    <cellStyle name="20% - Accent3 4 4 3 2 2" xfId="7912" xr:uid="{00000000-0005-0000-0000-00008C230000}"/>
    <cellStyle name="20% - Accent3 4 4 3 2 2 2" xfId="27363" xr:uid="{00000000-0005-0000-0000-00008D230000}"/>
    <cellStyle name="20% - Accent3 4 4 3 2 2 3" xfId="37088" xr:uid="{00000000-0005-0000-0000-00008E230000}"/>
    <cellStyle name="20% - Accent3 4 4 3 2 2 4" xfId="46813" xr:uid="{00000000-0005-0000-0000-00008F230000}"/>
    <cellStyle name="20% - Accent3 4 4 3 2 2 5" xfId="17638" xr:uid="{00000000-0005-0000-0000-000090230000}"/>
    <cellStyle name="20% - Accent3 4 4 3 2 3" xfId="22501" xr:uid="{00000000-0005-0000-0000-000091230000}"/>
    <cellStyle name="20% - Accent3 4 4 3 2 4" xfId="32226" xr:uid="{00000000-0005-0000-0000-000092230000}"/>
    <cellStyle name="20% - Accent3 4 4 3 2 5" xfId="41951" xr:uid="{00000000-0005-0000-0000-000093230000}"/>
    <cellStyle name="20% - Accent3 4 4 3 2 6" xfId="12776" xr:uid="{00000000-0005-0000-0000-000094230000}"/>
    <cellStyle name="20% - Accent3 4 4 3 3" xfId="4670" xr:uid="{00000000-0005-0000-0000-000095230000}"/>
    <cellStyle name="20% - Accent3 4 4 3 3 2" xfId="9532" xr:uid="{00000000-0005-0000-0000-000096230000}"/>
    <cellStyle name="20% - Accent3 4 4 3 3 2 2" xfId="28983" xr:uid="{00000000-0005-0000-0000-000097230000}"/>
    <cellStyle name="20% - Accent3 4 4 3 3 2 3" xfId="38708" xr:uid="{00000000-0005-0000-0000-000098230000}"/>
    <cellStyle name="20% - Accent3 4 4 3 3 2 4" xfId="48433" xr:uid="{00000000-0005-0000-0000-000099230000}"/>
    <cellStyle name="20% - Accent3 4 4 3 3 2 5" xfId="19258" xr:uid="{00000000-0005-0000-0000-00009A230000}"/>
    <cellStyle name="20% - Accent3 4 4 3 3 3" xfId="24121" xr:uid="{00000000-0005-0000-0000-00009B230000}"/>
    <cellStyle name="20% - Accent3 4 4 3 3 4" xfId="33846" xr:uid="{00000000-0005-0000-0000-00009C230000}"/>
    <cellStyle name="20% - Accent3 4 4 3 3 5" xfId="43571" xr:uid="{00000000-0005-0000-0000-00009D230000}"/>
    <cellStyle name="20% - Accent3 4 4 3 3 6" xfId="14396" xr:uid="{00000000-0005-0000-0000-00009E230000}"/>
    <cellStyle name="20% - Accent3 4 4 3 4" xfId="6292" xr:uid="{00000000-0005-0000-0000-00009F230000}"/>
    <cellStyle name="20% - Accent3 4 4 3 4 2" xfId="25743" xr:uid="{00000000-0005-0000-0000-0000A0230000}"/>
    <cellStyle name="20% - Accent3 4 4 3 4 3" xfId="35468" xr:uid="{00000000-0005-0000-0000-0000A1230000}"/>
    <cellStyle name="20% - Accent3 4 4 3 4 4" xfId="45193" xr:uid="{00000000-0005-0000-0000-0000A2230000}"/>
    <cellStyle name="20% - Accent3 4 4 3 4 5" xfId="16018" xr:uid="{00000000-0005-0000-0000-0000A3230000}"/>
    <cellStyle name="20% - Accent3 4 4 3 5" xfId="20881" xr:uid="{00000000-0005-0000-0000-0000A4230000}"/>
    <cellStyle name="20% - Accent3 4 4 3 6" xfId="30606" xr:uid="{00000000-0005-0000-0000-0000A5230000}"/>
    <cellStyle name="20% - Accent3 4 4 3 7" xfId="40331" xr:uid="{00000000-0005-0000-0000-0000A6230000}"/>
    <cellStyle name="20% - Accent3 4 4 3 8" xfId="11156" xr:uid="{00000000-0005-0000-0000-0000A7230000}"/>
    <cellStyle name="20% - Accent3 4 4 4" xfId="600" xr:uid="{00000000-0005-0000-0000-0000A8230000}"/>
    <cellStyle name="20% - Accent3 4 4 4 2" xfId="2240" xr:uid="{00000000-0005-0000-0000-0000A9230000}"/>
    <cellStyle name="20% - Accent3 4 4 4 2 2" xfId="7102" xr:uid="{00000000-0005-0000-0000-0000AA230000}"/>
    <cellStyle name="20% - Accent3 4 4 4 2 2 2" xfId="26553" xr:uid="{00000000-0005-0000-0000-0000AB230000}"/>
    <cellStyle name="20% - Accent3 4 4 4 2 2 3" xfId="36278" xr:uid="{00000000-0005-0000-0000-0000AC230000}"/>
    <cellStyle name="20% - Accent3 4 4 4 2 2 4" xfId="46003" xr:uid="{00000000-0005-0000-0000-0000AD230000}"/>
    <cellStyle name="20% - Accent3 4 4 4 2 2 5" xfId="16828" xr:uid="{00000000-0005-0000-0000-0000AE230000}"/>
    <cellStyle name="20% - Accent3 4 4 4 2 3" xfId="21691" xr:uid="{00000000-0005-0000-0000-0000AF230000}"/>
    <cellStyle name="20% - Accent3 4 4 4 2 4" xfId="31416" xr:uid="{00000000-0005-0000-0000-0000B0230000}"/>
    <cellStyle name="20% - Accent3 4 4 4 2 5" xfId="41141" xr:uid="{00000000-0005-0000-0000-0000B1230000}"/>
    <cellStyle name="20% - Accent3 4 4 4 2 6" xfId="11966" xr:uid="{00000000-0005-0000-0000-0000B2230000}"/>
    <cellStyle name="20% - Accent3 4 4 4 3" xfId="3860" xr:uid="{00000000-0005-0000-0000-0000B3230000}"/>
    <cellStyle name="20% - Accent3 4 4 4 3 2" xfId="8722" xr:uid="{00000000-0005-0000-0000-0000B4230000}"/>
    <cellStyle name="20% - Accent3 4 4 4 3 2 2" xfId="28173" xr:uid="{00000000-0005-0000-0000-0000B5230000}"/>
    <cellStyle name="20% - Accent3 4 4 4 3 2 3" xfId="37898" xr:uid="{00000000-0005-0000-0000-0000B6230000}"/>
    <cellStyle name="20% - Accent3 4 4 4 3 2 4" xfId="47623" xr:uid="{00000000-0005-0000-0000-0000B7230000}"/>
    <cellStyle name="20% - Accent3 4 4 4 3 2 5" xfId="18448" xr:uid="{00000000-0005-0000-0000-0000B8230000}"/>
    <cellStyle name="20% - Accent3 4 4 4 3 3" xfId="23311" xr:uid="{00000000-0005-0000-0000-0000B9230000}"/>
    <cellStyle name="20% - Accent3 4 4 4 3 4" xfId="33036" xr:uid="{00000000-0005-0000-0000-0000BA230000}"/>
    <cellStyle name="20% - Accent3 4 4 4 3 5" xfId="42761" xr:uid="{00000000-0005-0000-0000-0000BB230000}"/>
    <cellStyle name="20% - Accent3 4 4 4 3 6" xfId="13586" xr:uid="{00000000-0005-0000-0000-0000BC230000}"/>
    <cellStyle name="20% - Accent3 4 4 4 4" xfId="5482" xr:uid="{00000000-0005-0000-0000-0000BD230000}"/>
    <cellStyle name="20% - Accent3 4 4 4 4 2" xfId="24933" xr:uid="{00000000-0005-0000-0000-0000BE230000}"/>
    <cellStyle name="20% - Accent3 4 4 4 4 3" xfId="34658" xr:uid="{00000000-0005-0000-0000-0000BF230000}"/>
    <cellStyle name="20% - Accent3 4 4 4 4 4" xfId="44383" xr:uid="{00000000-0005-0000-0000-0000C0230000}"/>
    <cellStyle name="20% - Accent3 4 4 4 4 5" xfId="15208" xr:uid="{00000000-0005-0000-0000-0000C1230000}"/>
    <cellStyle name="20% - Accent3 4 4 4 5" xfId="20071" xr:uid="{00000000-0005-0000-0000-0000C2230000}"/>
    <cellStyle name="20% - Accent3 4 4 4 6" xfId="29796" xr:uid="{00000000-0005-0000-0000-0000C3230000}"/>
    <cellStyle name="20% - Accent3 4 4 4 7" xfId="39521" xr:uid="{00000000-0005-0000-0000-0000C4230000}"/>
    <cellStyle name="20% - Accent3 4 4 4 8" xfId="10346" xr:uid="{00000000-0005-0000-0000-0000C5230000}"/>
    <cellStyle name="20% - Accent3 4 4 5" xfId="1880" xr:uid="{00000000-0005-0000-0000-0000C6230000}"/>
    <cellStyle name="20% - Accent3 4 4 5 2" xfId="6742" xr:uid="{00000000-0005-0000-0000-0000C7230000}"/>
    <cellStyle name="20% - Accent3 4 4 5 2 2" xfId="26193" xr:uid="{00000000-0005-0000-0000-0000C8230000}"/>
    <cellStyle name="20% - Accent3 4 4 5 2 3" xfId="35918" xr:uid="{00000000-0005-0000-0000-0000C9230000}"/>
    <cellStyle name="20% - Accent3 4 4 5 2 4" xfId="45643" xr:uid="{00000000-0005-0000-0000-0000CA230000}"/>
    <cellStyle name="20% - Accent3 4 4 5 2 5" xfId="16468" xr:uid="{00000000-0005-0000-0000-0000CB230000}"/>
    <cellStyle name="20% - Accent3 4 4 5 3" xfId="21331" xr:uid="{00000000-0005-0000-0000-0000CC230000}"/>
    <cellStyle name="20% - Accent3 4 4 5 4" xfId="31056" xr:uid="{00000000-0005-0000-0000-0000CD230000}"/>
    <cellStyle name="20% - Accent3 4 4 5 5" xfId="40781" xr:uid="{00000000-0005-0000-0000-0000CE230000}"/>
    <cellStyle name="20% - Accent3 4 4 5 6" xfId="11606" xr:uid="{00000000-0005-0000-0000-0000CF230000}"/>
    <cellStyle name="20% - Accent3 4 4 6" xfId="3500" xr:uid="{00000000-0005-0000-0000-0000D0230000}"/>
    <cellStyle name="20% - Accent3 4 4 6 2" xfId="8362" xr:uid="{00000000-0005-0000-0000-0000D1230000}"/>
    <cellStyle name="20% - Accent3 4 4 6 2 2" xfId="27813" xr:uid="{00000000-0005-0000-0000-0000D2230000}"/>
    <cellStyle name="20% - Accent3 4 4 6 2 3" xfId="37538" xr:uid="{00000000-0005-0000-0000-0000D3230000}"/>
    <cellStyle name="20% - Accent3 4 4 6 2 4" xfId="47263" xr:uid="{00000000-0005-0000-0000-0000D4230000}"/>
    <cellStyle name="20% - Accent3 4 4 6 2 5" xfId="18088" xr:uid="{00000000-0005-0000-0000-0000D5230000}"/>
    <cellStyle name="20% - Accent3 4 4 6 3" xfId="22951" xr:uid="{00000000-0005-0000-0000-0000D6230000}"/>
    <cellStyle name="20% - Accent3 4 4 6 4" xfId="32676" xr:uid="{00000000-0005-0000-0000-0000D7230000}"/>
    <cellStyle name="20% - Accent3 4 4 6 5" xfId="42401" xr:uid="{00000000-0005-0000-0000-0000D8230000}"/>
    <cellStyle name="20% - Accent3 4 4 6 6" xfId="13226" xr:uid="{00000000-0005-0000-0000-0000D9230000}"/>
    <cellStyle name="20% - Accent3 4 4 7" xfId="5122" xr:uid="{00000000-0005-0000-0000-0000DA230000}"/>
    <cellStyle name="20% - Accent3 4 4 7 2" xfId="24573" xr:uid="{00000000-0005-0000-0000-0000DB230000}"/>
    <cellStyle name="20% - Accent3 4 4 7 3" xfId="34298" xr:uid="{00000000-0005-0000-0000-0000DC230000}"/>
    <cellStyle name="20% - Accent3 4 4 7 4" xfId="44023" xr:uid="{00000000-0005-0000-0000-0000DD230000}"/>
    <cellStyle name="20% - Accent3 4 4 7 5" xfId="14848" xr:uid="{00000000-0005-0000-0000-0000DE230000}"/>
    <cellStyle name="20% - Accent3 4 4 8" xfId="19711" xr:uid="{00000000-0005-0000-0000-0000DF230000}"/>
    <cellStyle name="20% - Accent3 4 4 9" xfId="29436" xr:uid="{00000000-0005-0000-0000-0000E0230000}"/>
    <cellStyle name="20% - Accent3 4 5" xfId="871" xr:uid="{00000000-0005-0000-0000-0000E1230000}"/>
    <cellStyle name="20% - Accent3 4 5 2" xfId="2510" xr:uid="{00000000-0005-0000-0000-0000E2230000}"/>
    <cellStyle name="20% - Accent3 4 5 2 2" xfId="7372" xr:uid="{00000000-0005-0000-0000-0000E3230000}"/>
    <cellStyle name="20% - Accent3 4 5 2 2 2" xfId="26823" xr:uid="{00000000-0005-0000-0000-0000E4230000}"/>
    <cellStyle name="20% - Accent3 4 5 2 2 3" xfId="36548" xr:uid="{00000000-0005-0000-0000-0000E5230000}"/>
    <cellStyle name="20% - Accent3 4 5 2 2 4" xfId="46273" xr:uid="{00000000-0005-0000-0000-0000E6230000}"/>
    <cellStyle name="20% - Accent3 4 5 2 2 5" xfId="17098" xr:uid="{00000000-0005-0000-0000-0000E7230000}"/>
    <cellStyle name="20% - Accent3 4 5 2 3" xfId="21961" xr:uid="{00000000-0005-0000-0000-0000E8230000}"/>
    <cellStyle name="20% - Accent3 4 5 2 4" xfId="31686" xr:uid="{00000000-0005-0000-0000-0000E9230000}"/>
    <cellStyle name="20% - Accent3 4 5 2 5" xfId="41411" xr:uid="{00000000-0005-0000-0000-0000EA230000}"/>
    <cellStyle name="20% - Accent3 4 5 2 6" xfId="12236" xr:uid="{00000000-0005-0000-0000-0000EB230000}"/>
    <cellStyle name="20% - Accent3 4 5 3" xfId="4130" xr:uid="{00000000-0005-0000-0000-0000EC230000}"/>
    <cellStyle name="20% - Accent3 4 5 3 2" xfId="8992" xr:uid="{00000000-0005-0000-0000-0000ED230000}"/>
    <cellStyle name="20% - Accent3 4 5 3 2 2" xfId="28443" xr:uid="{00000000-0005-0000-0000-0000EE230000}"/>
    <cellStyle name="20% - Accent3 4 5 3 2 3" xfId="38168" xr:uid="{00000000-0005-0000-0000-0000EF230000}"/>
    <cellStyle name="20% - Accent3 4 5 3 2 4" xfId="47893" xr:uid="{00000000-0005-0000-0000-0000F0230000}"/>
    <cellStyle name="20% - Accent3 4 5 3 2 5" xfId="18718" xr:uid="{00000000-0005-0000-0000-0000F1230000}"/>
    <cellStyle name="20% - Accent3 4 5 3 3" xfId="23581" xr:uid="{00000000-0005-0000-0000-0000F2230000}"/>
    <cellStyle name="20% - Accent3 4 5 3 4" xfId="33306" xr:uid="{00000000-0005-0000-0000-0000F3230000}"/>
    <cellStyle name="20% - Accent3 4 5 3 5" xfId="43031" xr:uid="{00000000-0005-0000-0000-0000F4230000}"/>
    <cellStyle name="20% - Accent3 4 5 3 6" xfId="13856" xr:uid="{00000000-0005-0000-0000-0000F5230000}"/>
    <cellStyle name="20% - Accent3 4 5 4" xfId="5752" xr:uid="{00000000-0005-0000-0000-0000F6230000}"/>
    <cellStyle name="20% - Accent3 4 5 4 2" xfId="25203" xr:uid="{00000000-0005-0000-0000-0000F7230000}"/>
    <cellStyle name="20% - Accent3 4 5 4 3" xfId="34928" xr:uid="{00000000-0005-0000-0000-0000F8230000}"/>
    <cellStyle name="20% - Accent3 4 5 4 4" xfId="44653" xr:uid="{00000000-0005-0000-0000-0000F9230000}"/>
    <cellStyle name="20% - Accent3 4 5 4 5" xfId="15478" xr:uid="{00000000-0005-0000-0000-0000FA230000}"/>
    <cellStyle name="20% - Accent3 4 5 5" xfId="20341" xr:uid="{00000000-0005-0000-0000-0000FB230000}"/>
    <cellStyle name="20% - Accent3 4 5 6" xfId="30066" xr:uid="{00000000-0005-0000-0000-0000FC230000}"/>
    <cellStyle name="20% - Accent3 4 5 7" xfId="39791" xr:uid="{00000000-0005-0000-0000-0000FD230000}"/>
    <cellStyle name="20% - Accent3 4 5 8" xfId="10616" xr:uid="{00000000-0005-0000-0000-0000FE230000}"/>
    <cellStyle name="20% - Accent3 4 6" xfId="1249" xr:uid="{00000000-0005-0000-0000-0000FF230000}"/>
    <cellStyle name="20% - Accent3 4 6 2" xfId="2870" xr:uid="{00000000-0005-0000-0000-000000240000}"/>
    <cellStyle name="20% - Accent3 4 6 2 2" xfId="7732" xr:uid="{00000000-0005-0000-0000-000001240000}"/>
    <cellStyle name="20% - Accent3 4 6 2 2 2" xfId="27183" xr:uid="{00000000-0005-0000-0000-000002240000}"/>
    <cellStyle name="20% - Accent3 4 6 2 2 3" xfId="36908" xr:uid="{00000000-0005-0000-0000-000003240000}"/>
    <cellStyle name="20% - Accent3 4 6 2 2 4" xfId="46633" xr:uid="{00000000-0005-0000-0000-000004240000}"/>
    <cellStyle name="20% - Accent3 4 6 2 2 5" xfId="17458" xr:uid="{00000000-0005-0000-0000-000005240000}"/>
    <cellStyle name="20% - Accent3 4 6 2 3" xfId="22321" xr:uid="{00000000-0005-0000-0000-000006240000}"/>
    <cellStyle name="20% - Accent3 4 6 2 4" xfId="32046" xr:uid="{00000000-0005-0000-0000-000007240000}"/>
    <cellStyle name="20% - Accent3 4 6 2 5" xfId="41771" xr:uid="{00000000-0005-0000-0000-000008240000}"/>
    <cellStyle name="20% - Accent3 4 6 2 6" xfId="12596" xr:uid="{00000000-0005-0000-0000-000009240000}"/>
    <cellStyle name="20% - Accent3 4 6 3" xfId="4490" xr:uid="{00000000-0005-0000-0000-00000A240000}"/>
    <cellStyle name="20% - Accent3 4 6 3 2" xfId="9352" xr:uid="{00000000-0005-0000-0000-00000B240000}"/>
    <cellStyle name="20% - Accent3 4 6 3 2 2" xfId="28803" xr:uid="{00000000-0005-0000-0000-00000C240000}"/>
    <cellStyle name="20% - Accent3 4 6 3 2 3" xfId="38528" xr:uid="{00000000-0005-0000-0000-00000D240000}"/>
    <cellStyle name="20% - Accent3 4 6 3 2 4" xfId="48253" xr:uid="{00000000-0005-0000-0000-00000E240000}"/>
    <cellStyle name="20% - Accent3 4 6 3 2 5" xfId="19078" xr:uid="{00000000-0005-0000-0000-00000F240000}"/>
    <cellStyle name="20% - Accent3 4 6 3 3" xfId="23941" xr:uid="{00000000-0005-0000-0000-000010240000}"/>
    <cellStyle name="20% - Accent3 4 6 3 4" xfId="33666" xr:uid="{00000000-0005-0000-0000-000011240000}"/>
    <cellStyle name="20% - Accent3 4 6 3 5" xfId="43391" xr:uid="{00000000-0005-0000-0000-000012240000}"/>
    <cellStyle name="20% - Accent3 4 6 3 6" xfId="14216" xr:uid="{00000000-0005-0000-0000-000013240000}"/>
    <cellStyle name="20% - Accent3 4 6 4" xfId="6112" xr:uid="{00000000-0005-0000-0000-000014240000}"/>
    <cellStyle name="20% - Accent3 4 6 4 2" xfId="25563" xr:uid="{00000000-0005-0000-0000-000015240000}"/>
    <cellStyle name="20% - Accent3 4 6 4 3" xfId="35288" xr:uid="{00000000-0005-0000-0000-000016240000}"/>
    <cellStyle name="20% - Accent3 4 6 4 4" xfId="45013" xr:uid="{00000000-0005-0000-0000-000017240000}"/>
    <cellStyle name="20% - Accent3 4 6 4 5" xfId="15838" xr:uid="{00000000-0005-0000-0000-000018240000}"/>
    <cellStyle name="20% - Accent3 4 6 5" xfId="20701" xr:uid="{00000000-0005-0000-0000-000019240000}"/>
    <cellStyle name="20% - Accent3 4 6 6" xfId="30426" xr:uid="{00000000-0005-0000-0000-00001A240000}"/>
    <cellStyle name="20% - Accent3 4 6 7" xfId="40151" xr:uid="{00000000-0005-0000-0000-00001B240000}"/>
    <cellStyle name="20% - Accent3 4 6 8" xfId="10976" xr:uid="{00000000-0005-0000-0000-00001C240000}"/>
    <cellStyle name="20% - Accent3 4 7" xfId="1339" xr:uid="{00000000-0005-0000-0000-00001D240000}"/>
    <cellStyle name="20% - Accent3 4 7 2" xfId="2960" xr:uid="{00000000-0005-0000-0000-00001E240000}"/>
    <cellStyle name="20% - Accent3 4 7 2 2" xfId="7822" xr:uid="{00000000-0005-0000-0000-00001F240000}"/>
    <cellStyle name="20% - Accent3 4 7 2 2 2" xfId="27273" xr:uid="{00000000-0005-0000-0000-000020240000}"/>
    <cellStyle name="20% - Accent3 4 7 2 2 3" xfId="36998" xr:uid="{00000000-0005-0000-0000-000021240000}"/>
    <cellStyle name="20% - Accent3 4 7 2 2 4" xfId="46723" xr:uid="{00000000-0005-0000-0000-000022240000}"/>
    <cellStyle name="20% - Accent3 4 7 2 2 5" xfId="17548" xr:uid="{00000000-0005-0000-0000-000023240000}"/>
    <cellStyle name="20% - Accent3 4 7 2 3" xfId="22411" xr:uid="{00000000-0005-0000-0000-000024240000}"/>
    <cellStyle name="20% - Accent3 4 7 2 4" xfId="32136" xr:uid="{00000000-0005-0000-0000-000025240000}"/>
    <cellStyle name="20% - Accent3 4 7 2 5" xfId="41861" xr:uid="{00000000-0005-0000-0000-000026240000}"/>
    <cellStyle name="20% - Accent3 4 7 2 6" xfId="12686" xr:uid="{00000000-0005-0000-0000-000027240000}"/>
    <cellStyle name="20% - Accent3 4 7 3" xfId="4580" xr:uid="{00000000-0005-0000-0000-000028240000}"/>
    <cellStyle name="20% - Accent3 4 7 3 2" xfId="9442" xr:uid="{00000000-0005-0000-0000-000029240000}"/>
    <cellStyle name="20% - Accent3 4 7 3 2 2" xfId="28893" xr:uid="{00000000-0005-0000-0000-00002A240000}"/>
    <cellStyle name="20% - Accent3 4 7 3 2 3" xfId="38618" xr:uid="{00000000-0005-0000-0000-00002B240000}"/>
    <cellStyle name="20% - Accent3 4 7 3 2 4" xfId="48343" xr:uid="{00000000-0005-0000-0000-00002C240000}"/>
    <cellStyle name="20% - Accent3 4 7 3 2 5" xfId="19168" xr:uid="{00000000-0005-0000-0000-00002D240000}"/>
    <cellStyle name="20% - Accent3 4 7 3 3" xfId="24031" xr:uid="{00000000-0005-0000-0000-00002E240000}"/>
    <cellStyle name="20% - Accent3 4 7 3 4" xfId="33756" xr:uid="{00000000-0005-0000-0000-00002F240000}"/>
    <cellStyle name="20% - Accent3 4 7 3 5" xfId="43481" xr:uid="{00000000-0005-0000-0000-000030240000}"/>
    <cellStyle name="20% - Accent3 4 7 3 6" xfId="14306" xr:uid="{00000000-0005-0000-0000-000031240000}"/>
    <cellStyle name="20% - Accent3 4 7 4" xfId="6202" xr:uid="{00000000-0005-0000-0000-000032240000}"/>
    <cellStyle name="20% - Accent3 4 7 4 2" xfId="25653" xr:uid="{00000000-0005-0000-0000-000033240000}"/>
    <cellStyle name="20% - Accent3 4 7 4 3" xfId="35378" xr:uid="{00000000-0005-0000-0000-000034240000}"/>
    <cellStyle name="20% - Accent3 4 7 4 4" xfId="45103" xr:uid="{00000000-0005-0000-0000-000035240000}"/>
    <cellStyle name="20% - Accent3 4 7 4 5" xfId="15928" xr:uid="{00000000-0005-0000-0000-000036240000}"/>
    <cellStyle name="20% - Accent3 4 7 5" xfId="20791" xr:uid="{00000000-0005-0000-0000-000037240000}"/>
    <cellStyle name="20% - Accent3 4 7 6" xfId="30516" xr:uid="{00000000-0005-0000-0000-000038240000}"/>
    <cellStyle name="20% - Accent3 4 7 7" xfId="40241" xr:uid="{00000000-0005-0000-0000-000039240000}"/>
    <cellStyle name="20% - Accent3 4 7 8" xfId="11066" xr:uid="{00000000-0005-0000-0000-00003A240000}"/>
    <cellStyle name="20% - Accent3 4 8" xfId="510" xr:uid="{00000000-0005-0000-0000-00003B240000}"/>
    <cellStyle name="20% - Accent3 4 8 2" xfId="2150" xr:uid="{00000000-0005-0000-0000-00003C240000}"/>
    <cellStyle name="20% - Accent3 4 8 2 2" xfId="7012" xr:uid="{00000000-0005-0000-0000-00003D240000}"/>
    <cellStyle name="20% - Accent3 4 8 2 2 2" xfId="26463" xr:uid="{00000000-0005-0000-0000-00003E240000}"/>
    <cellStyle name="20% - Accent3 4 8 2 2 3" xfId="36188" xr:uid="{00000000-0005-0000-0000-00003F240000}"/>
    <cellStyle name="20% - Accent3 4 8 2 2 4" xfId="45913" xr:uid="{00000000-0005-0000-0000-000040240000}"/>
    <cellStyle name="20% - Accent3 4 8 2 2 5" xfId="16738" xr:uid="{00000000-0005-0000-0000-000041240000}"/>
    <cellStyle name="20% - Accent3 4 8 2 3" xfId="21601" xr:uid="{00000000-0005-0000-0000-000042240000}"/>
    <cellStyle name="20% - Accent3 4 8 2 4" xfId="31326" xr:uid="{00000000-0005-0000-0000-000043240000}"/>
    <cellStyle name="20% - Accent3 4 8 2 5" xfId="41051" xr:uid="{00000000-0005-0000-0000-000044240000}"/>
    <cellStyle name="20% - Accent3 4 8 2 6" xfId="11876" xr:uid="{00000000-0005-0000-0000-000045240000}"/>
    <cellStyle name="20% - Accent3 4 8 3" xfId="3770" xr:uid="{00000000-0005-0000-0000-000046240000}"/>
    <cellStyle name="20% - Accent3 4 8 3 2" xfId="8632" xr:uid="{00000000-0005-0000-0000-000047240000}"/>
    <cellStyle name="20% - Accent3 4 8 3 2 2" xfId="28083" xr:uid="{00000000-0005-0000-0000-000048240000}"/>
    <cellStyle name="20% - Accent3 4 8 3 2 3" xfId="37808" xr:uid="{00000000-0005-0000-0000-000049240000}"/>
    <cellStyle name="20% - Accent3 4 8 3 2 4" xfId="47533" xr:uid="{00000000-0005-0000-0000-00004A240000}"/>
    <cellStyle name="20% - Accent3 4 8 3 2 5" xfId="18358" xr:uid="{00000000-0005-0000-0000-00004B240000}"/>
    <cellStyle name="20% - Accent3 4 8 3 3" xfId="23221" xr:uid="{00000000-0005-0000-0000-00004C240000}"/>
    <cellStyle name="20% - Accent3 4 8 3 4" xfId="32946" xr:uid="{00000000-0005-0000-0000-00004D240000}"/>
    <cellStyle name="20% - Accent3 4 8 3 5" xfId="42671" xr:uid="{00000000-0005-0000-0000-00004E240000}"/>
    <cellStyle name="20% - Accent3 4 8 3 6" xfId="13496" xr:uid="{00000000-0005-0000-0000-00004F240000}"/>
    <cellStyle name="20% - Accent3 4 8 4" xfId="5392" xr:uid="{00000000-0005-0000-0000-000050240000}"/>
    <cellStyle name="20% - Accent3 4 8 4 2" xfId="24843" xr:uid="{00000000-0005-0000-0000-000051240000}"/>
    <cellStyle name="20% - Accent3 4 8 4 3" xfId="34568" xr:uid="{00000000-0005-0000-0000-000052240000}"/>
    <cellStyle name="20% - Accent3 4 8 4 4" xfId="44293" xr:uid="{00000000-0005-0000-0000-000053240000}"/>
    <cellStyle name="20% - Accent3 4 8 4 5" xfId="15118" xr:uid="{00000000-0005-0000-0000-000054240000}"/>
    <cellStyle name="20% - Accent3 4 8 5" xfId="19981" xr:uid="{00000000-0005-0000-0000-000055240000}"/>
    <cellStyle name="20% - Accent3 4 8 6" xfId="29706" xr:uid="{00000000-0005-0000-0000-000056240000}"/>
    <cellStyle name="20% - Accent3 4 8 7" xfId="39431" xr:uid="{00000000-0005-0000-0000-000057240000}"/>
    <cellStyle name="20% - Accent3 4 8 8" xfId="10256" xr:uid="{00000000-0005-0000-0000-000058240000}"/>
    <cellStyle name="20% - Accent3 4 9" xfId="1699" xr:uid="{00000000-0005-0000-0000-000059240000}"/>
    <cellStyle name="20% - Accent3 4 9 2" xfId="3320" xr:uid="{00000000-0005-0000-0000-00005A240000}"/>
    <cellStyle name="20% - Accent3 4 9 2 2" xfId="8182" xr:uid="{00000000-0005-0000-0000-00005B240000}"/>
    <cellStyle name="20% - Accent3 4 9 2 2 2" xfId="27633" xr:uid="{00000000-0005-0000-0000-00005C240000}"/>
    <cellStyle name="20% - Accent3 4 9 2 2 3" xfId="37358" xr:uid="{00000000-0005-0000-0000-00005D240000}"/>
    <cellStyle name="20% - Accent3 4 9 2 2 4" xfId="47083" xr:uid="{00000000-0005-0000-0000-00005E240000}"/>
    <cellStyle name="20% - Accent3 4 9 2 2 5" xfId="17908" xr:uid="{00000000-0005-0000-0000-00005F240000}"/>
    <cellStyle name="20% - Accent3 4 9 2 3" xfId="22771" xr:uid="{00000000-0005-0000-0000-000060240000}"/>
    <cellStyle name="20% - Accent3 4 9 2 4" xfId="32496" xr:uid="{00000000-0005-0000-0000-000061240000}"/>
    <cellStyle name="20% - Accent3 4 9 2 5" xfId="42221" xr:uid="{00000000-0005-0000-0000-000062240000}"/>
    <cellStyle name="20% - Accent3 4 9 2 6" xfId="13046" xr:uid="{00000000-0005-0000-0000-000063240000}"/>
    <cellStyle name="20% - Accent3 4 9 3" xfId="4940" xr:uid="{00000000-0005-0000-0000-000064240000}"/>
    <cellStyle name="20% - Accent3 4 9 3 2" xfId="9802" xr:uid="{00000000-0005-0000-0000-000065240000}"/>
    <cellStyle name="20% - Accent3 4 9 3 2 2" xfId="29253" xr:uid="{00000000-0005-0000-0000-000066240000}"/>
    <cellStyle name="20% - Accent3 4 9 3 2 3" xfId="38978" xr:uid="{00000000-0005-0000-0000-000067240000}"/>
    <cellStyle name="20% - Accent3 4 9 3 2 4" xfId="48703" xr:uid="{00000000-0005-0000-0000-000068240000}"/>
    <cellStyle name="20% - Accent3 4 9 3 2 5" xfId="19528" xr:uid="{00000000-0005-0000-0000-000069240000}"/>
    <cellStyle name="20% - Accent3 4 9 3 3" xfId="24391" xr:uid="{00000000-0005-0000-0000-00006A240000}"/>
    <cellStyle name="20% - Accent3 4 9 3 4" xfId="34116" xr:uid="{00000000-0005-0000-0000-00006B240000}"/>
    <cellStyle name="20% - Accent3 4 9 3 5" xfId="43841" xr:uid="{00000000-0005-0000-0000-00006C240000}"/>
    <cellStyle name="20% - Accent3 4 9 3 6" xfId="14666" xr:uid="{00000000-0005-0000-0000-00006D240000}"/>
    <cellStyle name="20% - Accent3 4 9 4" xfId="6562" xr:uid="{00000000-0005-0000-0000-00006E240000}"/>
    <cellStyle name="20% - Accent3 4 9 4 2" xfId="26013" xr:uid="{00000000-0005-0000-0000-00006F240000}"/>
    <cellStyle name="20% - Accent3 4 9 4 3" xfId="35738" xr:uid="{00000000-0005-0000-0000-000070240000}"/>
    <cellStyle name="20% - Accent3 4 9 4 4" xfId="45463" xr:uid="{00000000-0005-0000-0000-000071240000}"/>
    <cellStyle name="20% - Accent3 4 9 4 5" xfId="16288" xr:uid="{00000000-0005-0000-0000-000072240000}"/>
    <cellStyle name="20% - Accent3 4 9 5" xfId="21151" xr:uid="{00000000-0005-0000-0000-000073240000}"/>
    <cellStyle name="20% - Accent3 4 9 6" xfId="30876" xr:uid="{00000000-0005-0000-0000-000074240000}"/>
    <cellStyle name="20% - Accent3 4 9 7" xfId="40601" xr:uid="{00000000-0005-0000-0000-000075240000}"/>
    <cellStyle name="20% - Accent3 4 9 8" xfId="11426" xr:uid="{00000000-0005-0000-0000-000076240000}"/>
    <cellStyle name="20% - Accent3 5" xfId="228" xr:uid="{00000000-0005-0000-0000-000077240000}"/>
    <cellStyle name="20% - Accent3 5 10" xfId="39191" xr:uid="{00000000-0005-0000-0000-000078240000}"/>
    <cellStyle name="20% - Accent3 5 11" xfId="10016" xr:uid="{00000000-0005-0000-0000-000079240000}"/>
    <cellStyle name="20% - Accent3 5 2" xfId="992" xr:uid="{00000000-0005-0000-0000-00007A240000}"/>
    <cellStyle name="20% - Accent3 5 2 2" xfId="2630" xr:uid="{00000000-0005-0000-0000-00007B240000}"/>
    <cellStyle name="20% - Accent3 5 2 2 2" xfId="7492" xr:uid="{00000000-0005-0000-0000-00007C240000}"/>
    <cellStyle name="20% - Accent3 5 2 2 2 2" xfId="26943" xr:uid="{00000000-0005-0000-0000-00007D240000}"/>
    <cellStyle name="20% - Accent3 5 2 2 2 3" xfId="36668" xr:uid="{00000000-0005-0000-0000-00007E240000}"/>
    <cellStyle name="20% - Accent3 5 2 2 2 4" xfId="46393" xr:uid="{00000000-0005-0000-0000-00007F240000}"/>
    <cellStyle name="20% - Accent3 5 2 2 2 5" xfId="17218" xr:uid="{00000000-0005-0000-0000-000080240000}"/>
    <cellStyle name="20% - Accent3 5 2 2 3" xfId="22081" xr:uid="{00000000-0005-0000-0000-000081240000}"/>
    <cellStyle name="20% - Accent3 5 2 2 4" xfId="31806" xr:uid="{00000000-0005-0000-0000-000082240000}"/>
    <cellStyle name="20% - Accent3 5 2 2 5" xfId="41531" xr:uid="{00000000-0005-0000-0000-000083240000}"/>
    <cellStyle name="20% - Accent3 5 2 2 6" xfId="12356" xr:uid="{00000000-0005-0000-0000-000084240000}"/>
    <cellStyle name="20% - Accent3 5 2 3" xfId="4250" xr:uid="{00000000-0005-0000-0000-000085240000}"/>
    <cellStyle name="20% - Accent3 5 2 3 2" xfId="9112" xr:uid="{00000000-0005-0000-0000-000086240000}"/>
    <cellStyle name="20% - Accent3 5 2 3 2 2" xfId="28563" xr:uid="{00000000-0005-0000-0000-000087240000}"/>
    <cellStyle name="20% - Accent3 5 2 3 2 3" xfId="38288" xr:uid="{00000000-0005-0000-0000-000088240000}"/>
    <cellStyle name="20% - Accent3 5 2 3 2 4" xfId="48013" xr:uid="{00000000-0005-0000-0000-000089240000}"/>
    <cellStyle name="20% - Accent3 5 2 3 2 5" xfId="18838" xr:uid="{00000000-0005-0000-0000-00008A240000}"/>
    <cellStyle name="20% - Accent3 5 2 3 3" xfId="23701" xr:uid="{00000000-0005-0000-0000-00008B240000}"/>
    <cellStyle name="20% - Accent3 5 2 3 4" xfId="33426" xr:uid="{00000000-0005-0000-0000-00008C240000}"/>
    <cellStyle name="20% - Accent3 5 2 3 5" xfId="43151" xr:uid="{00000000-0005-0000-0000-00008D240000}"/>
    <cellStyle name="20% - Accent3 5 2 3 6" xfId="13976" xr:uid="{00000000-0005-0000-0000-00008E240000}"/>
    <cellStyle name="20% - Accent3 5 2 4" xfId="5872" xr:uid="{00000000-0005-0000-0000-00008F240000}"/>
    <cellStyle name="20% - Accent3 5 2 4 2" xfId="25323" xr:uid="{00000000-0005-0000-0000-000090240000}"/>
    <cellStyle name="20% - Accent3 5 2 4 3" xfId="35048" xr:uid="{00000000-0005-0000-0000-000091240000}"/>
    <cellStyle name="20% - Accent3 5 2 4 4" xfId="44773" xr:uid="{00000000-0005-0000-0000-000092240000}"/>
    <cellStyle name="20% - Accent3 5 2 4 5" xfId="15598" xr:uid="{00000000-0005-0000-0000-000093240000}"/>
    <cellStyle name="20% - Accent3 5 2 5" xfId="20461" xr:uid="{00000000-0005-0000-0000-000094240000}"/>
    <cellStyle name="20% - Accent3 5 2 6" xfId="30186" xr:uid="{00000000-0005-0000-0000-000095240000}"/>
    <cellStyle name="20% - Accent3 5 2 7" xfId="39911" xr:uid="{00000000-0005-0000-0000-000096240000}"/>
    <cellStyle name="20% - Accent3 5 2 8" xfId="10736" xr:uid="{00000000-0005-0000-0000-000097240000}"/>
    <cellStyle name="20% - Accent3 5 3" xfId="1459" xr:uid="{00000000-0005-0000-0000-000098240000}"/>
    <cellStyle name="20% - Accent3 5 3 2" xfId="3080" xr:uid="{00000000-0005-0000-0000-000099240000}"/>
    <cellStyle name="20% - Accent3 5 3 2 2" xfId="7942" xr:uid="{00000000-0005-0000-0000-00009A240000}"/>
    <cellStyle name="20% - Accent3 5 3 2 2 2" xfId="27393" xr:uid="{00000000-0005-0000-0000-00009B240000}"/>
    <cellStyle name="20% - Accent3 5 3 2 2 3" xfId="37118" xr:uid="{00000000-0005-0000-0000-00009C240000}"/>
    <cellStyle name="20% - Accent3 5 3 2 2 4" xfId="46843" xr:uid="{00000000-0005-0000-0000-00009D240000}"/>
    <cellStyle name="20% - Accent3 5 3 2 2 5" xfId="17668" xr:uid="{00000000-0005-0000-0000-00009E240000}"/>
    <cellStyle name="20% - Accent3 5 3 2 3" xfId="22531" xr:uid="{00000000-0005-0000-0000-00009F240000}"/>
    <cellStyle name="20% - Accent3 5 3 2 4" xfId="32256" xr:uid="{00000000-0005-0000-0000-0000A0240000}"/>
    <cellStyle name="20% - Accent3 5 3 2 5" xfId="41981" xr:uid="{00000000-0005-0000-0000-0000A1240000}"/>
    <cellStyle name="20% - Accent3 5 3 2 6" xfId="12806" xr:uid="{00000000-0005-0000-0000-0000A2240000}"/>
    <cellStyle name="20% - Accent3 5 3 3" xfId="4700" xr:uid="{00000000-0005-0000-0000-0000A3240000}"/>
    <cellStyle name="20% - Accent3 5 3 3 2" xfId="9562" xr:uid="{00000000-0005-0000-0000-0000A4240000}"/>
    <cellStyle name="20% - Accent3 5 3 3 2 2" xfId="29013" xr:uid="{00000000-0005-0000-0000-0000A5240000}"/>
    <cellStyle name="20% - Accent3 5 3 3 2 3" xfId="38738" xr:uid="{00000000-0005-0000-0000-0000A6240000}"/>
    <cellStyle name="20% - Accent3 5 3 3 2 4" xfId="48463" xr:uid="{00000000-0005-0000-0000-0000A7240000}"/>
    <cellStyle name="20% - Accent3 5 3 3 2 5" xfId="19288" xr:uid="{00000000-0005-0000-0000-0000A8240000}"/>
    <cellStyle name="20% - Accent3 5 3 3 3" xfId="24151" xr:uid="{00000000-0005-0000-0000-0000A9240000}"/>
    <cellStyle name="20% - Accent3 5 3 3 4" xfId="33876" xr:uid="{00000000-0005-0000-0000-0000AA240000}"/>
    <cellStyle name="20% - Accent3 5 3 3 5" xfId="43601" xr:uid="{00000000-0005-0000-0000-0000AB240000}"/>
    <cellStyle name="20% - Accent3 5 3 3 6" xfId="14426" xr:uid="{00000000-0005-0000-0000-0000AC240000}"/>
    <cellStyle name="20% - Accent3 5 3 4" xfId="6322" xr:uid="{00000000-0005-0000-0000-0000AD240000}"/>
    <cellStyle name="20% - Accent3 5 3 4 2" xfId="25773" xr:uid="{00000000-0005-0000-0000-0000AE240000}"/>
    <cellStyle name="20% - Accent3 5 3 4 3" xfId="35498" xr:uid="{00000000-0005-0000-0000-0000AF240000}"/>
    <cellStyle name="20% - Accent3 5 3 4 4" xfId="45223" xr:uid="{00000000-0005-0000-0000-0000B0240000}"/>
    <cellStyle name="20% - Accent3 5 3 4 5" xfId="16048" xr:uid="{00000000-0005-0000-0000-0000B1240000}"/>
    <cellStyle name="20% - Accent3 5 3 5" xfId="20911" xr:uid="{00000000-0005-0000-0000-0000B2240000}"/>
    <cellStyle name="20% - Accent3 5 3 6" xfId="30636" xr:uid="{00000000-0005-0000-0000-0000B3240000}"/>
    <cellStyle name="20% - Accent3 5 3 7" xfId="40361" xr:uid="{00000000-0005-0000-0000-0000B4240000}"/>
    <cellStyle name="20% - Accent3 5 3 8" xfId="11186" xr:uid="{00000000-0005-0000-0000-0000B5240000}"/>
    <cellStyle name="20% - Accent3 5 4" xfId="630" xr:uid="{00000000-0005-0000-0000-0000B6240000}"/>
    <cellStyle name="20% - Accent3 5 4 2" xfId="2270" xr:uid="{00000000-0005-0000-0000-0000B7240000}"/>
    <cellStyle name="20% - Accent3 5 4 2 2" xfId="7132" xr:uid="{00000000-0005-0000-0000-0000B8240000}"/>
    <cellStyle name="20% - Accent3 5 4 2 2 2" xfId="26583" xr:uid="{00000000-0005-0000-0000-0000B9240000}"/>
    <cellStyle name="20% - Accent3 5 4 2 2 3" xfId="36308" xr:uid="{00000000-0005-0000-0000-0000BA240000}"/>
    <cellStyle name="20% - Accent3 5 4 2 2 4" xfId="46033" xr:uid="{00000000-0005-0000-0000-0000BB240000}"/>
    <cellStyle name="20% - Accent3 5 4 2 2 5" xfId="16858" xr:uid="{00000000-0005-0000-0000-0000BC240000}"/>
    <cellStyle name="20% - Accent3 5 4 2 3" xfId="21721" xr:uid="{00000000-0005-0000-0000-0000BD240000}"/>
    <cellStyle name="20% - Accent3 5 4 2 4" xfId="31446" xr:uid="{00000000-0005-0000-0000-0000BE240000}"/>
    <cellStyle name="20% - Accent3 5 4 2 5" xfId="41171" xr:uid="{00000000-0005-0000-0000-0000BF240000}"/>
    <cellStyle name="20% - Accent3 5 4 2 6" xfId="11996" xr:uid="{00000000-0005-0000-0000-0000C0240000}"/>
    <cellStyle name="20% - Accent3 5 4 3" xfId="3890" xr:uid="{00000000-0005-0000-0000-0000C1240000}"/>
    <cellStyle name="20% - Accent3 5 4 3 2" xfId="8752" xr:uid="{00000000-0005-0000-0000-0000C2240000}"/>
    <cellStyle name="20% - Accent3 5 4 3 2 2" xfId="28203" xr:uid="{00000000-0005-0000-0000-0000C3240000}"/>
    <cellStyle name="20% - Accent3 5 4 3 2 3" xfId="37928" xr:uid="{00000000-0005-0000-0000-0000C4240000}"/>
    <cellStyle name="20% - Accent3 5 4 3 2 4" xfId="47653" xr:uid="{00000000-0005-0000-0000-0000C5240000}"/>
    <cellStyle name="20% - Accent3 5 4 3 2 5" xfId="18478" xr:uid="{00000000-0005-0000-0000-0000C6240000}"/>
    <cellStyle name="20% - Accent3 5 4 3 3" xfId="23341" xr:uid="{00000000-0005-0000-0000-0000C7240000}"/>
    <cellStyle name="20% - Accent3 5 4 3 4" xfId="33066" xr:uid="{00000000-0005-0000-0000-0000C8240000}"/>
    <cellStyle name="20% - Accent3 5 4 3 5" xfId="42791" xr:uid="{00000000-0005-0000-0000-0000C9240000}"/>
    <cellStyle name="20% - Accent3 5 4 3 6" xfId="13616" xr:uid="{00000000-0005-0000-0000-0000CA240000}"/>
    <cellStyle name="20% - Accent3 5 4 4" xfId="5512" xr:uid="{00000000-0005-0000-0000-0000CB240000}"/>
    <cellStyle name="20% - Accent3 5 4 4 2" xfId="24963" xr:uid="{00000000-0005-0000-0000-0000CC240000}"/>
    <cellStyle name="20% - Accent3 5 4 4 3" xfId="34688" xr:uid="{00000000-0005-0000-0000-0000CD240000}"/>
    <cellStyle name="20% - Accent3 5 4 4 4" xfId="44413" xr:uid="{00000000-0005-0000-0000-0000CE240000}"/>
    <cellStyle name="20% - Accent3 5 4 4 5" xfId="15238" xr:uid="{00000000-0005-0000-0000-0000CF240000}"/>
    <cellStyle name="20% - Accent3 5 4 5" xfId="20101" xr:uid="{00000000-0005-0000-0000-0000D0240000}"/>
    <cellStyle name="20% - Accent3 5 4 6" xfId="29826" xr:uid="{00000000-0005-0000-0000-0000D1240000}"/>
    <cellStyle name="20% - Accent3 5 4 7" xfId="39551" xr:uid="{00000000-0005-0000-0000-0000D2240000}"/>
    <cellStyle name="20% - Accent3 5 4 8" xfId="10376" xr:uid="{00000000-0005-0000-0000-0000D3240000}"/>
    <cellStyle name="20% - Accent3 5 5" xfId="1910" xr:uid="{00000000-0005-0000-0000-0000D4240000}"/>
    <cellStyle name="20% - Accent3 5 5 2" xfId="6772" xr:uid="{00000000-0005-0000-0000-0000D5240000}"/>
    <cellStyle name="20% - Accent3 5 5 2 2" xfId="26223" xr:uid="{00000000-0005-0000-0000-0000D6240000}"/>
    <cellStyle name="20% - Accent3 5 5 2 3" xfId="35948" xr:uid="{00000000-0005-0000-0000-0000D7240000}"/>
    <cellStyle name="20% - Accent3 5 5 2 4" xfId="45673" xr:uid="{00000000-0005-0000-0000-0000D8240000}"/>
    <cellStyle name="20% - Accent3 5 5 2 5" xfId="16498" xr:uid="{00000000-0005-0000-0000-0000D9240000}"/>
    <cellStyle name="20% - Accent3 5 5 3" xfId="21361" xr:uid="{00000000-0005-0000-0000-0000DA240000}"/>
    <cellStyle name="20% - Accent3 5 5 4" xfId="31086" xr:uid="{00000000-0005-0000-0000-0000DB240000}"/>
    <cellStyle name="20% - Accent3 5 5 5" xfId="40811" xr:uid="{00000000-0005-0000-0000-0000DC240000}"/>
    <cellStyle name="20% - Accent3 5 5 6" xfId="11636" xr:uid="{00000000-0005-0000-0000-0000DD240000}"/>
    <cellStyle name="20% - Accent3 5 6" xfId="3530" xr:uid="{00000000-0005-0000-0000-0000DE240000}"/>
    <cellStyle name="20% - Accent3 5 6 2" xfId="8392" xr:uid="{00000000-0005-0000-0000-0000DF240000}"/>
    <cellStyle name="20% - Accent3 5 6 2 2" xfId="27843" xr:uid="{00000000-0005-0000-0000-0000E0240000}"/>
    <cellStyle name="20% - Accent3 5 6 2 3" xfId="37568" xr:uid="{00000000-0005-0000-0000-0000E1240000}"/>
    <cellStyle name="20% - Accent3 5 6 2 4" xfId="47293" xr:uid="{00000000-0005-0000-0000-0000E2240000}"/>
    <cellStyle name="20% - Accent3 5 6 2 5" xfId="18118" xr:uid="{00000000-0005-0000-0000-0000E3240000}"/>
    <cellStyle name="20% - Accent3 5 6 3" xfId="22981" xr:uid="{00000000-0005-0000-0000-0000E4240000}"/>
    <cellStyle name="20% - Accent3 5 6 4" xfId="32706" xr:uid="{00000000-0005-0000-0000-0000E5240000}"/>
    <cellStyle name="20% - Accent3 5 6 5" xfId="42431" xr:uid="{00000000-0005-0000-0000-0000E6240000}"/>
    <cellStyle name="20% - Accent3 5 6 6" xfId="13256" xr:uid="{00000000-0005-0000-0000-0000E7240000}"/>
    <cellStyle name="20% - Accent3 5 7" xfId="5152" xr:uid="{00000000-0005-0000-0000-0000E8240000}"/>
    <cellStyle name="20% - Accent3 5 7 2" xfId="24603" xr:uid="{00000000-0005-0000-0000-0000E9240000}"/>
    <cellStyle name="20% - Accent3 5 7 3" xfId="34328" xr:uid="{00000000-0005-0000-0000-0000EA240000}"/>
    <cellStyle name="20% - Accent3 5 7 4" xfId="44053" xr:uid="{00000000-0005-0000-0000-0000EB240000}"/>
    <cellStyle name="20% - Accent3 5 7 5" xfId="14878" xr:uid="{00000000-0005-0000-0000-0000EC240000}"/>
    <cellStyle name="20% - Accent3 5 8" xfId="19741" xr:uid="{00000000-0005-0000-0000-0000ED240000}"/>
    <cellStyle name="20% - Accent3 5 9" xfId="29466" xr:uid="{00000000-0005-0000-0000-0000EE240000}"/>
    <cellStyle name="20% - Accent3 6" xfId="319" xr:uid="{00000000-0005-0000-0000-0000EF240000}"/>
    <cellStyle name="20% - Accent3 6 10" xfId="39281" xr:uid="{00000000-0005-0000-0000-0000F0240000}"/>
    <cellStyle name="20% - Accent3 6 11" xfId="10106" xr:uid="{00000000-0005-0000-0000-0000F1240000}"/>
    <cellStyle name="20% - Accent3 6 2" xfId="1082" xr:uid="{00000000-0005-0000-0000-0000F2240000}"/>
    <cellStyle name="20% - Accent3 6 2 2" xfId="2720" xr:uid="{00000000-0005-0000-0000-0000F3240000}"/>
    <cellStyle name="20% - Accent3 6 2 2 2" xfId="7582" xr:uid="{00000000-0005-0000-0000-0000F4240000}"/>
    <cellStyle name="20% - Accent3 6 2 2 2 2" xfId="27033" xr:uid="{00000000-0005-0000-0000-0000F5240000}"/>
    <cellStyle name="20% - Accent3 6 2 2 2 3" xfId="36758" xr:uid="{00000000-0005-0000-0000-0000F6240000}"/>
    <cellStyle name="20% - Accent3 6 2 2 2 4" xfId="46483" xr:uid="{00000000-0005-0000-0000-0000F7240000}"/>
    <cellStyle name="20% - Accent3 6 2 2 2 5" xfId="17308" xr:uid="{00000000-0005-0000-0000-0000F8240000}"/>
    <cellStyle name="20% - Accent3 6 2 2 3" xfId="22171" xr:uid="{00000000-0005-0000-0000-0000F9240000}"/>
    <cellStyle name="20% - Accent3 6 2 2 4" xfId="31896" xr:uid="{00000000-0005-0000-0000-0000FA240000}"/>
    <cellStyle name="20% - Accent3 6 2 2 5" xfId="41621" xr:uid="{00000000-0005-0000-0000-0000FB240000}"/>
    <cellStyle name="20% - Accent3 6 2 2 6" xfId="12446" xr:uid="{00000000-0005-0000-0000-0000FC240000}"/>
    <cellStyle name="20% - Accent3 6 2 3" xfId="4340" xr:uid="{00000000-0005-0000-0000-0000FD240000}"/>
    <cellStyle name="20% - Accent3 6 2 3 2" xfId="9202" xr:uid="{00000000-0005-0000-0000-0000FE240000}"/>
    <cellStyle name="20% - Accent3 6 2 3 2 2" xfId="28653" xr:uid="{00000000-0005-0000-0000-0000FF240000}"/>
    <cellStyle name="20% - Accent3 6 2 3 2 3" xfId="38378" xr:uid="{00000000-0005-0000-0000-000000250000}"/>
    <cellStyle name="20% - Accent3 6 2 3 2 4" xfId="48103" xr:uid="{00000000-0005-0000-0000-000001250000}"/>
    <cellStyle name="20% - Accent3 6 2 3 2 5" xfId="18928" xr:uid="{00000000-0005-0000-0000-000002250000}"/>
    <cellStyle name="20% - Accent3 6 2 3 3" xfId="23791" xr:uid="{00000000-0005-0000-0000-000003250000}"/>
    <cellStyle name="20% - Accent3 6 2 3 4" xfId="33516" xr:uid="{00000000-0005-0000-0000-000004250000}"/>
    <cellStyle name="20% - Accent3 6 2 3 5" xfId="43241" xr:uid="{00000000-0005-0000-0000-000005250000}"/>
    <cellStyle name="20% - Accent3 6 2 3 6" xfId="14066" xr:uid="{00000000-0005-0000-0000-000006250000}"/>
    <cellStyle name="20% - Accent3 6 2 4" xfId="5962" xr:uid="{00000000-0005-0000-0000-000007250000}"/>
    <cellStyle name="20% - Accent3 6 2 4 2" xfId="25413" xr:uid="{00000000-0005-0000-0000-000008250000}"/>
    <cellStyle name="20% - Accent3 6 2 4 3" xfId="35138" xr:uid="{00000000-0005-0000-0000-000009250000}"/>
    <cellStyle name="20% - Accent3 6 2 4 4" xfId="44863" xr:uid="{00000000-0005-0000-0000-00000A250000}"/>
    <cellStyle name="20% - Accent3 6 2 4 5" xfId="15688" xr:uid="{00000000-0005-0000-0000-00000B250000}"/>
    <cellStyle name="20% - Accent3 6 2 5" xfId="20551" xr:uid="{00000000-0005-0000-0000-00000C250000}"/>
    <cellStyle name="20% - Accent3 6 2 6" xfId="30276" xr:uid="{00000000-0005-0000-0000-00000D250000}"/>
    <cellStyle name="20% - Accent3 6 2 7" xfId="40001" xr:uid="{00000000-0005-0000-0000-00000E250000}"/>
    <cellStyle name="20% - Accent3 6 2 8" xfId="10826" xr:uid="{00000000-0005-0000-0000-00000F250000}"/>
    <cellStyle name="20% - Accent3 6 3" xfId="1549" xr:uid="{00000000-0005-0000-0000-000010250000}"/>
    <cellStyle name="20% - Accent3 6 3 2" xfId="3170" xr:uid="{00000000-0005-0000-0000-000011250000}"/>
    <cellStyle name="20% - Accent3 6 3 2 2" xfId="8032" xr:uid="{00000000-0005-0000-0000-000012250000}"/>
    <cellStyle name="20% - Accent3 6 3 2 2 2" xfId="27483" xr:uid="{00000000-0005-0000-0000-000013250000}"/>
    <cellStyle name="20% - Accent3 6 3 2 2 3" xfId="37208" xr:uid="{00000000-0005-0000-0000-000014250000}"/>
    <cellStyle name="20% - Accent3 6 3 2 2 4" xfId="46933" xr:uid="{00000000-0005-0000-0000-000015250000}"/>
    <cellStyle name="20% - Accent3 6 3 2 2 5" xfId="17758" xr:uid="{00000000-0005-0000-0000-000016250000}"/>
    <cellStyle name="20% - Accent3 6 3 2 3" xfId="22621" xr:uid="{00000000-0005-0000-0000-000017250000}"/>
    <cellStyle name="20% - Accent3 6 3 2 4" xfId="32346" xr:uid="{00000000-0005-0000-0000-000018250000}"/>
    <cellStyle name="20% - Accent3 6 3 2 5" xfId="42071" xr:uid="{00000000-0005-0000-0000-000019250000}"/>
    <cellStyle name="20% - Accent3 6 3 2 6" xfId="12896" xr:uid="{00000000-0005-0000-0000-00001A250000}"/>
    <cellStyle name="20% - Accent3 6 3 3" xfId="4790" xr:uid="{00000000-0005-0000-0000-00001B250000}"/>
    <cellStyle name="20% - Accent3 6 3 3 2" xfId="9652" xr:uid="{00000000-0005-0000-0000-00001C250000}"/>
    <cellStyle name="20% - Accent3 6 3 3 2 2" xfId="29103" xr:uid="{00000000-0005-0000-0000-00001D250000}"/>
    <cellStyle name="20% - Accent3 6 3 3 2 3" xfId="38828" xr:uid="{00000000-0005-0000-0000-00001E250000}"/>
    <cellStyle name="20% - Accent3 6 3 3 2 4" xfId="48553" xr:uid="{00000000-0005-0000-0000-00001F250000}"/>
    <cellStyle name="20% - Accent3 6 3 3 2 5" xfId="19378" xr:uid="{00000000-0005-0000-0000-000020250000}"/>
    <cellStyle name="20% - Accent3 6 3 3 3" xfId="24241" xr:uid="{00000000-0005-0000-0000-000021250000}"/>
    <cellStyle name="20% - Accent3 6 3 3 4" xfId="33966" xr:uid="{00000000-0005-0000-0000-000022250000}"/>
    <cellStyle name="20% - Accent3 6 3 3 5" xfId="43691" xr:uid="{00000000-0005-0000-0000-000023250000}"/>
    <cellStyle name="20% - Accent3 6 3 3 6" xfId="14516" xr:uid="{00000000-0005-0000-0000-000024250000}"/>
    <cellStyle name="20% - Accent3 6 3 4" xfId="6412" xr:uid="{00000000-0005-0000-0000-000025250000}"/>
    <cellStyle name="20% - Accent3 6 3 4 2" xfId="25863" xr:uid="{00000000-0005-0000-0000-000026250000}"/>
    <cellStyle name="20% - Accent3 6 3 4 3" xfId="35588" xr:uid="{00000000-0005-0000-0000-000027250000}"/>
    <cellStyle name="20% - Accent3 6 3 4 4" xfId="45313" xr:uid="{00000000-0005-0000-0000-000028250000}"/>
    <cellStyle name="20% - Accent3 6 3 4 5" xfId="16138" xr:uid="{00000000-0005-0000-0000-000029250000}"/>
    <cellStyle name="20% - Accent3 6 3 5" xfId="21001" xr:uid="{00000000-0005-0000-0000-00002A250000}"/>
    <cellStyle name="20% - Accent3 6 3 6" xfId="30726" xr:uid="{00000000-0005-0000-0000-00002B250000}"/>
    <cellStyle name="20% - Accent3 6 3 7" xfId="40451" xr:uid="{00000000-0005-0000-0000-00002C250000}"/>
    <cellStyle name="20% - Accent3 6 3 8" xfId="11276" xr:uid="{00000000-0005-0000-0000-00002D250000}"/>
    <cellStyle name="20% - Accent3 6 4" xfId="720" xr:uid="{00000000-0005-0000-0000-00002E250000}"/>
    <cellStyle name="20% - Accent3 6 4 2" xfId="2360" xr:uid="{00000000-0005-0000-0000-00002F250000}"/>
    <cellStyle name="20% - Accent3 6 4 2 2" xfId="7222" xr:uid="{00000000-0005-0000-0000-000030250000}"/>
    <cellStyle name="20% - Accent3 6 4 2 2 2" xfId="26673" xr:uid="{00000000-0005-0000-0000-000031250000}"/>
    <cellStyle name="20% - Accent3 6 4 2 2 3" xfId="36398" xr:uid="{00000000-0005-0000-0000-000032250000}"/>
    <cellStyle name="20% - Accent3 6 4 2 2 4" xfId="46123" xr:uid="{00000000-0005-0000-0000-000033250000}"/>
    <cellStyle name="20% - Accent3 6 4 2 2 5" xfId="16948" xr:uid="{00000000-0005-0000-0000-000034250000}"/>
    <cellStyle name="20% - Accent3 6 4 2 3" xfId="21811" xr:uid="{00000000-0005-0000-0000-000035250000}"/>
    <cellStyle name="20% - Accent3 6 4 2 4" xfId="31536" xr:uid="{00000000-0005-0000-0000-000036250000}"/>
    <cellStyle name="20% - Accent3 6 4 2 5" xfId="41261" xr:uid="{00000000-0005-0000-0000-000037250000}"/>
    <cellStyle name="20% - Accent3 6 4 2 6" xfId="12086" xr:uid="{00000000-0005-0000-0000-000038250000}"/>
    <cellStyle name="20% - Accent3 6 4 3" xfId="3980" xr:uid="{00000000-0005-0000-0000-000039250000}"/>
    <cellStyle name="20% - Accent3 6 4 3 2" xfId="8842" xr:uid="{00000000-0005-0000-0000-00003A250000}"/>
    <cellStyle name="20% - Accent3 6 4 3 2 2" xfId="28293" xr:uid="{00000000-0005-0000-0000-00003B250000}"/>
    <cellStyle name="20% - Accent3 6 4 3 2 3" xfId="38018" xr:uid="{00000000-0005-0000-0000-00003C250000}"/>
    <cellStyle name="20% - Accent3 6 4 3 2 4" xfId="47743" xr:uid="{00000000-0005-0000-0000-00003D250000}"/>
    <cellStyle name="20% - Accent3 6 4 3 2 5" xfId="18568" xr:uid="{00000000-0005-0000-0000-00003E250000}"/>
    <cellStyle name="20% - Accent3 6 4 3 3" xfId="23431" xr:uid="{00000000-0005-0000-0000-00003F250000}"/>
    <cellStyle name="20% - Accent3 6 4 3 4" xfId="33156" xr:uid="{00000000-0005-0000-0000-000040250000}"/>
    <cellStyle name="20% - Accent3 6 4 3 5" xfId="42881" xr:uid="{00000000-0005-0000-0000-000041250000}"/>
    <cellStyle name="20% - Accent3 6 4 3 6" xfId="13706" xr:uid="{00000000-0005-0000-0000-000042250000}"/>
    <cellStyle name="20% - Accent3 6 4 4" xfId="5602" xr:uid="{00000000-0005-0000-0000-000043250000}"/>
    <cellStyle name="20% - Accent3 6 4 4 2" xfId="25053" xr:uid="{00000000-0005-0000-0000-000044250000}"/>
    <cellStyle name="20% - Accent3 6 4 4 3" xfId="34778" xr:uid="{00000000-0005-0000-0000-000045250000}"/>
    <cellStyle name="20% - Accent3 6 4 4 4" xfId="44503" xr:uid="{00000000-0005-0000-0000-000046250000}"/>
    <cellStyle name="20% - Accent3 6 4 4 5" xfId="15328" xr:uid="{00000000-0005-0000-0000-000047250000}"/>
    <cellStyle name="20% - Accent3 6 4 5" xfId="20191" xr:uid="{00000000-0005-0000-0000-000048250000}"/>
    <cellStyle name="20% - Accent3 6 4 6" xfId="29916" xr:uid="{00000000-0005-0000-0000-000049250000}"/>
    <cellStyle name="20% - Accent3 6 4 7" xfId="39641" xr:uid="{00000000-0005-0000-0000-00004A250000}"/>
    <cellStyle name="20% - Accent3 6 4 8" xfId="10466" xr:uid="{00000000-0005-0000-0000-00004B250000}"/>
    <cellStyle name="20% - Accent3 6 5" xfId="2000" xr:uid="{00000000-0005-0000-0000-00004C250000}"/>
    <cellStyle name="20% - Accent3 6 5 2" xfId="6862" xr:uid="{00000000-0005-0000-0000-00004D250000}"/>
    <cellStyle name="20% - Accent3 6 5 2 2" xfId="26313" xr:uid="{00000000-0005-0000-0000-00004E250000}"/>
    <cellStyle name="20% - Accent3 6 5 2 3" xfId="36038" xr:uid="{00000000-0005-0000-0000-00004F250000}"/>
    <cellStyle name="20% - Accent3 6 5 2 4" xfId="45763" xr:uid="{00000000-0005-0000-0000-000050250000}"/>
    <cellStyle name="20% - Accent3 6 5 2 5" xfId="16588" xr:uid="{00000000-0005-0000-0000-000051250000}"/>
    <cellStyle name="20% - Accent3 6 5 3" xfId="21451" xr:uid="{00000000-0005-0000-0000-000052250000}"/>
    <cellStyle name="20% - Accent3 6 5 4" xfId="31176" xr:uid="{00000000-0005-0000-0000-000053250000}"/>
    <cellStyle name="20% - Accent3 6 5 5" xfId="40901" xr:uid="{00000000-0005-0000-0000-000054250000}"/>
    <cellStyle name="20% - Accent3 6 5 6" xfId="11726" xr:uid="{00000000-0005-0000-0000-000055250000}"/>
    <cellStyle name="20% - Accent3 6 6" xfId="3620" xr:uid="{00000000-0005-0000-0000-000056250000}"/>
    <cellStyle name="20% - Accent3 6 6 2" xfId="8482" xr:uid="{00000000-0005-0000-0000-000057250000}"/>
    <cellStyle name="20% - Accent3 6 6 2 2" xfId="27933" xr:uid="{00000000-0005-0000-0000-000058250000}"/>
    <cellStyle name="20% - Accent3 6 6 2 3" xfId="37658" xr:uid="{00000000-0005-0000-0000-000059250000}"/>
    <cellStyle name="20% - Accent3 6 6 2 4" xfId="47383" xr:uid="{00000000-0005-0000-0000-00005A250000}"/>
    <cellStyle name="20% - Accent3 6 6 2 5" xfId="18208" xr:uid="{00000000-0005-0000-0000-00005B250000}"/>
    <cellStyle name="20% - Accent3 6 6 3" xfId="23071" xr:uid="{00000000-0005-0000-0000-00005C250000}"/>
    <cellStyle name="20% - Accent3 6 6 4" xfId="32796" xr:uid="{00000000-0005-0000-0000-00005D250000}"/>
    <cellStyle name="20% - Accent3 6 6 5" xfId="42521" xr:uid="{00000000-0005-0000-0000-00005E250000}"/>
    <cellStyle name="20% - Accent3 6 6 6" xfId="13346" xr:uid="{00000000-0005-0000-0000-00005F250000}"/>
    <cellStyle name="20% - Accent3 6 7" xfId="5242" xr:uid="{00000000-0005-0000-0000-000060250000}"/>
    <cellStyle name="20% - Accent3 6 7 2" xfId="24693" xr:uid="{00000000-0005-0000-0000-000061250000}"/>
    <cellStyle name="20% - Accent3 6 7 3" xfId="34418" xr:uid="{00000000-0005-0000-0000-000062250000}"/>
    <cellStyle name="20% - Accent3 6 7 4" xfId="44143" xr:uid="{00000000-0005-0000-0000-000063250000}"/>
    <cellStyle name="20% - Accent3 6 7 5" xfId="14968" xr:uid="{00000000-0005-0000-0000-000064250000}"/>
    <cellStyle name="20% - Accent3 6 8" xfId="19831" xr:uid="{00000000-0005-0000-0000-000065250000}"/>
    <cellStyle name="20% - Accent3 6 9" xfId="29556" xr:uid="{00000000-0005-0000-0000-000066250000}"/>
    <cellStyle name="20% - Accent3 7" xfId="137" xr:uid="{00000000-0005-0000-0000-000067250000}"/>
    <cellStyle name="20% - Accent3 7 10" xfId="39101" xr:uid="{00000000-0005-0000-0000-000068250000}"/>
    <cellStyle name="20% - Accent3 7 11" xfId="9926" xr:uid="{00000000-0005-0000-0000-000069250000}"/>
    <cellStyle name="20% - Accent3 7 2" xfId="901" xr:uid="{00000000-0005-0000-0000-00006A250000}"/>
    <cellStyle name="20% - Accent3 7 2 2" xfId="2540" xr:uid="{00000000-0005-0000-0000-00006B250000}"/>
    <cellStyle name="20% - Accent3 7 2 2 2" xfId="7402" xr:uid="{00000000-0005-0000-0000-00006C250000}"/>
    <cellStyle name="20% - Accent3 7 2 2 2 2" xfId="26853" xr:uid="{00000000-0005-0000-0000-00006D250000}"/>
    <cellStyle name="20% - Accent3 7 2 2 2 3" xfId="36578" xr:uid="{00000000-0005-0000-0000-00006E250000}"/>
    <cellStyle name="20% - Accent3 7 2 2 2 4" xfId="46303" xr:uid="{00000000-0005-0000-0000-00006F250000}"/>
    <cellStyle name="20% - Accent3 7 2 2 2 5" xfId="17128" xr:uid="{00000000-0005-0000-0000-000070250000}"/>
    <cellStyle name="20% - Accent3 7 2 2 3" xfId="21991" xr:uid="{00000000-0005-0000-0000-000071250000}"/>
    <cellStyle name="20% - Accent3 7 2 2 4" xfId="31716" xr:uid="{00000000-0005-0000-0000-000072250000}"/>
    <cellStyle name="20% - Accent3 7 2 2 5" xfId="41441" xr:uid="{00000000-0005-0000-0000-000073250000}"/>
    <cellStyle name="20% - Accent3 7 2 2 6" xfId="12266" xr:uid="{00000000-0005-0000-0000-000074250000}"/>
    <cellStyle name="20% - Accent3 7 2 3" xfId="4160" xr:uid="{00000000-0005-0000-0000-000075250000}"/>
    <cellStyle name="20% - Accent3 7 2 3 2" xfId="9022" xr:uid="{00000000-0005-0000-0000-000076250000}"/>
    <cellStyle name="20% - Accent3 7 2 3 2 2" xfId="28473" xr:uid="{00000000-0005-0000-0000-000077250000}"/>
    <cellStyle name="20% - Accent3 7 2 3 2 3" xfId="38198" xr:uid="{00000000-0005-0000-0000-000078250000}"/>
    <cellStyle name="20% - Accent3 7 2 3 2 4" xfId="47923" xr:uid="{00000000-0005-0000-0000-000079250000}"/>
    <cellStyle name="20% - Accent3 7 2 3 2 5" xfId="18748" xr:uid="{00000000-0005-0000-0000-00007A250000}"/>
    <cellStyle name="20% - Accent3 7 2 3 3" xfId="23611" xr:uid="{00000000-0005-0000-0000-00007B250000}"/>
    <cellStyle name="20% - Accent3 7 2 3 4" xfId="33336" xr:uid="{00000000-0005-0000-0000-00007C250000}"/>
    <cellStyle name="20% - Accent3 7 2 3 5" xfId="43061" xr:uid="{00000000-0005-0000-0000-00007D250000}"/>
    <cellStyle name="20% - Accent3 7 2 3 6" xfId="13886" xr:uid="{00000000-0005-0000-0000-00007E250000}"/>
    <cellStyle name="20% - Accent3 7 2 4" xfId="5782" xr:uid="{00000000-0005-0000-0000-00007F250000}"/>
    <cellStyle name="20% - Accent3 7 2 4 2" xfId="25233" xr:uid="{00000000-0005-0000-0000-000080250000}"/>
    <cellStyle name="20% - Accent3 7 2 4 3" xfId="34958" xr:uid="{00000000-0005-0000-0000-000081250000}"/>
    <cellStyle name="20% - Accent3 7 2 4 4" xfId="44683" xr:uid="{00000000-0005-0000-0000-000082250000}"/>
    <cellStyle name="20% - Accent3 7 2 4 5" xfId="15508" xr:uid="{00000000-0005-0000-0000-000083250000}"/>
    <cellStyle name="20% - Accent3 7 2 5" xfId="20371" xr:uid="{00000000-0005-0000-0000-000084250000}"/>
    <cellStyle name="20% - Accent3 7 2 6" xfId="30096" xr:uid="{00000000-0005-0000-0000-000085250000}"/>
    <cellStyle name="20% - Accent3 7 2 7" xfId="39821" xr:uid="{00000000-0005-0000-0000-000086250000}"/>
    <cellStyle name="20% - Accent3 7 2 8" xfId="10646" xr:uid="{00000000-0005-0000-0000-000087250000}"/>
    <cellStyle name="20% - Accent3 7 3" xfId="1369" xr:uid="{00000000-0005-0000-0000-000088250000}"/>
    <cellStyle name="20% - Accent3 7 3 2" xfId="2990" xr:uid="{00000000-0005-0000-0000-000089250000}"/>
    <cellStyle name="20% - Accent3 7 3 2 2" xfId="7852" xr:uid="{00000000-0005-0000-0000-00008A250000}"/>
    <cellStyle name="20% - Accent3 7 3 2 2 2" xfId="27303" xr:uid="{00000000-0005-0000-0000-00008B250000}"/>
    <cellStyle name="20% - Accent3 7 3 2 2 3" xfId="37028" xr:uid="{00000000-0005-0000-0000-00008C250000}"/>
    <cellStyle name="20% - Accent3 7 3 2 2 4" xfId="46753" xr:uid="{00000000-0005-0000-0000-00008D250000}"/>
    <cellStyle name="20% - Accent3 7 3 2 2 5" xfId="17578" xr:uid="{00000000-0005-0000-0000-00008E250000}"/>
    <cellStyle name="20% - Accent3 7 3 2 3" xfId="22441" xr:uid="{00000000-0005-0000-0000-00008F250000}"/>
    <cellStyle name="20% - Accent3 7 3 2 4" xfId="32166" xr:uid="{00000000-0005-0000-0000-000090250000}"/>
    <cellStyle name="20% - Accent3 7 3 2 5" xfId="41891" xr:uid="{00000000-0005-0000-0000-000091250000}"/>
    <cellStyle name="20% - Accent3 7 3 2 6" xfId="12716" xr:uid="{00000000-0005-0000-0000-000092250000}"/>
    <cellStyle name="20% - Accent3 7 3 3" xfId="4610" xr:uid="{00000000-0005-0000-0000-000093250000}"/>
    <cellStyle name="20% - Accent3 7 3 3 2" xfId="9472" xr:uid="{00000000-0005-0000-0000-000094250000}"/>
    <cellStyle name="20% - Accent3 7 3 3 2 2" xfId="28923" xr:uid="{00000000-0005-0000-0000-000095250000}"/>
    <cellStyle name="20% - Accent3 7 3 3 2 3" xfId="38648" xr:uid="{00000000-0005-0000-0000-000096250000}"/>
    <cellStyle name="20% - Accent3 7 3 3 2 4" xfId="48373" xr:uid="{00000000-0005-0000-0000-000097250000}"/>
    <cellStyle name="20% - Accent3 7 3 3 2 5" xfId="19198" xr:uid="{00000000-0005-0000-0000-000098250000}"/>
    <cellStyle name="20% - Accent3 7 3 3 3" xfId="24061" xr:uid="{00000000-0005-0000-0000-000099250000}"/>
    <cellStyle name="20% - Accent3 7 3 3 4" xfId="33786" xr:uid="{00000000-0005-0000-0000-00009A250000}"/>
    <cellStyle name="20% - Accent3 7 3 3 5" xfId="43511" xr:uid="{00000000-0005-0000-0000-00009B250000}"/>
    <cellStyle name="20% - Accent3 7 3 3 6" xfId="14336" xr:uid="{00000000-0005-0000-0000-00009C250000}"/>
    <cellStyle name="20% - Accent3 7 3 4" xfId="6232" xr:uid="{00000000-0005-0000-0000-00009D250000}"/>
    <cellStyle name="20% - Accent3 7 3 4 2" xfId="25683" xr:uid="{00000000-0005-0000-0000-00009E250000}"/>
    <cellStyle name="20% - Accent3 7 3 4 3" xfId="35408" xr:uid="{00000000-0005-0000-0000-00009F250000}"/>
    <cellStyle name="20% - Accent3 7 3 4 4" xfId="45133" xr:uid="{00000000-0005-0000-0000-0000A0250000}"/>
    <cellStyle name="20% - Accent3 7 3 4 5" xfId="15958" xr:uid="{00000000-0005-0000-0000-0000A1250000}"/>
    <cellStyle name="20% - Accent3 7 3 5" xfId="20821" xr:uid="{00000000-0005-0000-0000-0000A2250000}"/>
    <cellStyle name="20% - Accent3 7 3 6" xfId="30546" xr:uid="{00000000-0005-0000-0000-0000A3250000}"/>
    <cellStyle name="20% - Accent3 7 3 7" xfId="40271" xr:uid="{00000000-0005-0000-0000-0000A4250000}"/>
    <cellStyle name="20% - Accent3 7 3 8" xfId="11096" xr:uid="{00000000-0005-0000-0000-0000A5250000}"/>
    <cellStyle name="20% - Accent3 7 4" xfId="540" xr:uid="{00000000-0005-0000-0000-0000A6250000}"/>
    <cellStyle name="20% - Accent3 7 4 2" xfId="2180" xr:uid="{00000000-0005-0000-0000-0000A7250000}"/>
    <cellStyle name="20% - Accent3 7 4 2 2" xfId="7042" xr:uid="{00000000-0005-0000-0000-0000A8250000}"/>
    <cellStyle name="20% - Accent3 7 4 2 2 2" xfId="26493" xr:uid="{00000000-0005-0000-0000-0000A9250000}"/>
    <cellStyle name="20% - Accent3 7 4 2 2 3" xfId="36218" xr:uid="{00000000-0005-0000-0000-0000AA250000}"/>
    <cellStyle name="20% - Accent3 7 4 2 2 4" xfId="45943" xr:uid="{00000000-0005-0000-0000-0000AB250000}"/>
    <cellStyle name="20% - Accent3 7 4 2 2 5" xfId="16768" xr:uid="{00000000-0005-0000-0000-0000AC250000}"/>
    <cellStyle name="20% - Accent3 7 4 2 3" xfId="21631" xr:uid="{00000000-0005-0000-0000-0000AD250000}"/>
    <cellStyle name="20% - Accent3 7 4 2 4" xfId="31356" xr:uid="{00000000-0005-0000-0000-0000AE250000}"/>
    <cellStyle name="20% - Accent3 7 4 2 5" xfId="41081" xr:uid="{00000000-0005-0000-0000-0000AF250000}"/>
    <cellStyle name="20% - Accent3 7 4 2 6" xfId="11906" xr:uid="{00000000-0005-0000-0000-0000B0250000}"/>
    <cellStyle name="20% - Accent3 7 4 3" xfId="3800" xr:uid="{00000000-0005-0000-0000-0000B1250000}"/>
    <cellStyle name="20% - Accent3 7 4 3 2" xfId="8662" xr:uid="{00000000-0005-0000-0000-0000B2250000}"/>
    <cellStyle name="20% - Accent3 7 4 3 2 2" xfId="28113" xr:uid="{00000000-0005-0000-0000-0000B3250000}"/>
    <cellStyle name="20% - Accent3 7 4 3 2 3" xfId="37838" xr:uid="{00000000-0005-0000-0000-0000B4250000}"/>
    <cellStyle name="20% - Accent3 7 4 3 2 4" xfId="47563" xr:uid="{00000000-0005-0000-0000-0000B5250000}"/>
    <cellStyle name="20% - Accent3 7 4 3 2 5" xfId="18388" xr:uid="{00000000-0005-0000-0000-0000B6250000}"/>
    <cellStyle name="20% - Accent3 7 4 3 3" xfId="23251" xr:uid="{00000000-0005-0000-0000-0000B7250000}"/>
    <cellStyle name="20% - Accent3 7 4 3 4" xfId="32976" xr:uid="{00000000-0005-0000-0000-0000B8250000}"/>
    <cellStyle name="20% - Accent3 7 4 3 5" xfId="42701" xr:uid="{00000000-0005-0000-0000-0000B9250000}"/>
    <cellStyle name="20% - Accent3 7 4 3 6" xfId="13526" xr:uid="{00000000-0005-0000-0000-0000BA250000}"/>
    <cellStyle name="20% - Accent3 7 4 4" xfId="5422" xr:uid="{00000000-0005-0000-0000-0000BB250000}"/>
    <cellStyle name="20% - Accent3 7 4 4 2" xfId="24873" xr:uid="{00000000-0005-0000-0000-0000BC250000}"/>
    <cellStyle name="20% - Accent3 7 4 4 3" xfId="34598" xr:uid="{00000000-0005-0000-0000-0000BD250000}"/>
    <cellStyle name="20% - Accent3 7 4 4 4" xfId="44323" xr:uid="{00000000-0005-0000-0000-0000BE250000}"/>
    <cellStyle name="20% - Accent3 7 4 4 5" xfId="15148" xr:uid="{00000000-0005-0000-0000-0000BF250000}"/>
    <cellStyle name="20% - Accent3 7 4 5" xfId="20011" xr:uid="{00000000-0005-0000-0000-0000C0250000}"/>
    <cellStyle name="20% - Accent3 7 4 6" xfId="29736" xr:uid="{00000000-0005-0000-0000-0000C1250000}"/>
    <cellStyle name="20% - Accent3 7 4 7" xfId="39461" xr:uid="{00000000-0005-0000-0000-0000C2250000}"/>
    <cellStyle name="20% - Accent3 7 4 8" xfId="10286" xr:uid="{00000000-0005-0000-0000-0000C3250000}"/>
    <cellStyle name="20% - Accent3 7 5" xfId="1820" xr:uid="{00000000-0005-0000-0000-0000C4250000}"/>
    <cellStyle name="20% - Accent3 7 5 2" xfId="6682" xr:uid="{00000000-0005-0000-0000-0000C5250000}"/>
    <cellStyle name="20% - Accent3 7 5 2 2" xfId="26133" xr:uid="{00000000-0005-0000-0000-0000C6250000}"/>
    <cellStyle name="20% - Accent3 7 5 2 3" xfId="35858" xr:uid="{00000000-0005-0000-0000-0000C7250000}"/>
    <cellStyle name="20% - Accent3 7 5 2 4" xfId="45583" xr:uid="{00000000-0005-0000-0000-0000C8250000}"/>
    <cellStyle name="20% - Accent3 7 5 2 5" xfId="16408" xr:uid="{00000000-0005-0000-0000-0000C9250000}"/>
    <cellStyle name="20% - Accent3 7 5 3" xfId="21271" xr:uid="{00000000-0005-0000-0000-0000CA250000}"/>
    <cellStyle name="20% - Accent3 7 5 4" xfId="30996" xr:uid="{00000000-0005-0000-0000-0000CB250000}"/>
    <cellStyle name="20% - Accent3 7 5 5" xfId="40721" xr:uid="{00000000-0005-0000-0000-0000CC250000}"/>
    <cellStyle name="20% - Accent3 7 5 6" xfId="11546" xr:uid="{00000000-0005-0000-0000-0000CD250000}"/>
    <cellStyle name="20% - Accent3 7 6" xfId="3440" xr:uid="{00000000-0005-0000-0000-0000CE250000}"/>
    <cellStyle name="20% - Accent3 7 6 2" xfId="8302" xr:uid="{00000000-0005-0000-0000-0000CF250000}"/>
    <cellStyle name="20% - Accent3 7 6 2 2" xfId="27753" xr:uid="{00000000-0005-0000-0000-0000D0250000}"/>
    <cellStyle name="20% - Accent3 7 6 2 3" xfId="37478" xr:uid="{00000000-0005-0000-0000-0000D1250000}"/>
    <cellStyle name="20% - Accent3 7 6 2 4" xfId="47203" xr:uid="{00000000-0005-0000-0000-0000D2250000}"/>
    <cellStyle name="20% - Accent3 7 6 2 5" xfId="18028" xr:uid="{00000000-0005-0000-0000-0000D3250000}"/>
    <cellStyle name="20% - Accent3 7 6 3" xfId="22891" xr:uid="{00000000-0005-0000-0000-0000D4250000}"/>
    <cellStyle name="20% - Accent3 7 6 4" xfId="32616" xr:uid="{00000000-0005-0000-0000-0000D5250000}"/>
    <cellStyle name="20% - Accent3 7 6 5" xfId="42341" xr:uid="{00000000-0005-0000-0000-0000D6250000}"/>
    <cellStyle name="20% - Accent3 7 6 6" xfId="13166" xr:uid="{00000000-0005-0000-0000-0000D7250000}"/>
    <cellStyle name="20% - Accent3 7 7" xfId="5062" xr:uid="{00000000-0005-0000-0000-0000D8250000}"/>
    <cellStyle name="20% - Accent3 7 7 2" xfId="24513" xr:uid="{00000000-0005-0000-0000-0000D9250000}"/>
    <cellStyle name="20% - Accent3 7 7 3" xfId="34238" xr:uid="{00000000-0005-0000-0000-0000DA250000}"/>
    <cellStyle name="20% - Accent3 7 7 4" xfId="43963" xr:uid="{00000000-0005-0000-0000-0000DB250000}"/>
    <cellStyle name="20% - Accent3 7 7 5" xfId="14788" xr:uid="{00000000-0005-0000-0000-0000DC250000}"/>
    <cellStyle name="20% - Accent3 7 8" xfId="19651" xr:uid="{00000000-0005-0000-0000-0000DD250000}"/>
    <cellStyle name="20% - Accent3 7 9" xfId="29376" xr:uid="{00000000-0005-0000-0000-0000DE250000}"/>
    <cellStyle name="20% - Accent3 8" xfId="407" xr:uid="{00000000-0005-0000-0000-0000DF250000}"/>
    <cellStyle name="20% - Accent3 9" xfId="811" xr:uid="{00000000-0005-0000-0000-0000E0250000}"/>
    <cellStyle name="20% - Accent3 9 2" xfId="2450" xr:uid="{00000000-0005-0000-0000-0000E1250000}"/>
    <cellStyle name="20% - Accent3 9 2 2" xfId="7312" xr:uid="{00000000-0005-0000-0000-0000E2250000}"/>
    <cellStyle name="20% - Accent3 9 2 2 2" xfId="26763" xr:uid="{00000000-0005-0000-0000-0000E3250000}"/>
    <cellStyle name="20% - Accent3 9 2 2 3" xfId="36488" xr:uid="{00000000-0005-0000-0000-0000E4250000}"/>
    <cellStyle name="20% - Accent3 9 2 2 4" xfId="46213" xr:uid="{00000000-0005-0000-0000-0000E5250000}"/>
    <cellStyle name="20% - Accent3 9 2 2 5" xfId="17038" xr:uid="{00000000-0005-0000-0000-0000E6250000}"/>
    <cellStyle name="20% - Accent3 9 2 3" xfId="21901" xr:uid="{00000000-0005-0000-0000-0000E7250000}"/>
    <cellStyle name="20% - Accent3 9 2 4" xfId="31626" xr:uid="{00000000-0005-0000-0000-0000E8250000}"/>
    <cellStyle name="20% - Accent3 9 2 5" xfId="41351" xr:uid="{00000000-0005-0000-0000-0000E9250000}"/>
    <cellStyle name="20% - Accent3 9 2 6" xfId="12176" xr:uid="{00000000-0005-0000-0000-0000EA250000}"/>
    <cellStyle name="20% - Accent3 9 3" xfId="4070" xr:uid="{00000000-0005-0000-0000-0000EB250000}"/>
    <cellStyle name="20% - Accent3 9 3 2" xfId="8932" xr:uid="{00000000-0005-0000-0000-0000EC250000}"/>
    <cellStyle name="20% - Accent3 9 3 2 2" xfId="28383" xr:uid="{00000000-0005-0000-0000-0000ED250000}"/>
    <cellStyle name="20% - Accent3 9 3 2 3" xfId="38108" xr:uid="{00000000-0005-0000-0000-0000EE250000}"/>
    <cellStyle name="20% - Accent3 9 3 2 4" xfId="47833" xr:uid="{00000000-0005-0000-0000-0000EF250000}"/>
    <cellStyle name="20% - Accent3 9 3 2 5" xfId="18658" xr:uid="{00000000-0005-0000-0000-0000F0250000}"/>
    <cellStyle name="20% - Accent3 9 3 3" xfId="23521" xr:uid="{00000000-0005-0000-0000-0000F1250000}"/>
    <cellStyle name="20% - Accent3 9 3 4" xfId="33246" xr:uid="{00000000-0005-0000-0000-0000F2250000}"/>
    <cellStyle name="20% - Accent3 9 3 5" xfId="42971" xr:uid="{00000000-0005-0000-0000-0000F3250000}"/>
    <cellStyle name="20% - Accent3 9 3 6" xfId="13796" xr:uid="{00000000-0005-0000-0000-0000F4250000}"/>
    <cellStyle name="20% - Accent3 9 4" xfId="5692" xr:uid="{00000000-0005-0000-0000-0000F5250000}"/>
    <cellStyle name="20% - Accent3 9 4 2" xfId="25143" xr:uid="{00000000-0005-0000-0000-0000F6250000}"/>
    <cellStyle name="20% - Accent3 9 4 3" xfId="34868" xr:uid="{00000000-0005-0000-0000-0000F7250000}"/>
    <cellStyle name="20% - Accent3 9 4 4" xfId="44593" xr:uid="{00000000-0005-0000-0000-0000F8250000}"/>
    <cellStyle name="20% - Accent3 9 4 5" xfId="15418" xr:uid="{00000000-0005-0000-0000-0000F9250000}"/>
    <cellStyle name="20% - Accent3 9 5" xfId="20281" xr:uid="{00000000-0005-0000-0000-0000FA250000}"/>
    <cellStyle name="20% - Accent3 9 6" xfId="30006" xr:uid="{00000000-0005-0000-0000-0000FB250000}"/>
    <cellStyle name="20% - Accent3 9 7" xfId="39731" xr:uid="{00000000-0005-0000-0000-0000FC250000}"/>
    <cellStyle name="20% - Accent3 9 8" xfId="10556" xr:uid="{00000000-0005-0000-0000-0000FD250000}"/>
    <cellStyle name="20% - Accent4" xfId="42" builtinId="42" customBuiltin="1"/>
    <cellStyle name="20% - Accent4 10" xfId="1191" xr:uid="{00000000-0005-0000-0000-0000FF250000}"/>
    <cellStyle name="20% - Accent4 10 2" xfId="2812" xr:uid="{00000000-0005-0000-0000-000000260000}"/>
    <cellStyle name="20% - Accent4 10 2 2" xfId="7674" xr:uid="{00000000-0005-0000-0000-000001260000}"/>
    <cellStyle name="20% - Accent4 10 2 2 2" xfId="27125" xr:uid="{00000000-0005-0000-0000-000002260000}"/>
    <cellStyle name="20% - Accent4 10 2 2 3" xfId="36850" xr:uid="{00000000-0005-0000-0000-000003260000}"/>
    <cellStyle name="20% - Accent4 10 2 2 4" xfId="46575" xr:uid="{00000000-0005-0000-0000-000004260000}"/>
    <cellStyle name="20% - Accent4 10 2 2 5" xfId="17400" xr:uid="{00000000-0005-0000-0000-000005260000}"/>
    <cellStyle name="20% - Accent4 10 2 3" xfId="22263" xr:uid="{00000000-0005-0000-0000-000006260000}"/>
    <cellStyle name="20% - Accent4 10 2 4" xfId="31988" xr:uid="{00000000-0005-0000-0000-000007260000}"/>
    <cellStyle name="20% - Accent4 10 2 5" xfId="41713" xr:uid="{00000000-0005-0000-0000-000008260000}"/>
    <cellStyle name="20% - Accent4 10 2 6" xfId="12538" xr:uid="{00000000-0005-0000-0000-000009260000}"/>
    <cellStyle name="20% - Accent4 10 3" xfId="4432" xr:uid="{00000000-0005-0000-0000-00000A260000}"/>
    <cellStyle name="20% - Accent4 10 3 2" xfId="9294" xr:uid="{00000000-0005-0000-0000-00000B260000}"/>
    <cellStyle name="20% - Accent4 10 3 2 2" xfId="28745" xr:uid="{00000000-0005-0000-0000-00000C260000}"/>
    <cellStyle name="20% - Accent4 10 3 2 3" xfId="38470" xr:uid="{00000000-0005-0000-0000-00000D260000}"/>
    <cellStyle name="20% - Accent4 10 3 2 4" xfId="48195" xr:uid="{00000000-0005-0000-0000-00000E260000}"/>
    <cellStyle name="20% - Accent4 10 3 2 5" xfId="19020" xr:uid="{00000000-0005-0000-0000-00000F260000}"/>
    <cellStyle name="20% - Accent4 10 3 3" xfId="23883" xr:uid="{00000000-0005-0000-0000-000010260000}"/>
    <cellStyle name="20% - Accent4 10 3 4" xfId="33608" xr:uid="{00000000-0005-0000-0000-000011260000}"/>
    <cellStyle name="20% - Accent4 10 3 5" xfId="43333" xr:uid="{00000000-0005-0000-0000-000012260000}"/>
    <cellStyle name="20% - Accent4 10 3 6" xfId="14158" xr:uid="{00000000-0005-0000-0000-000013260000}"/>
    <cellStyle name="20% - Accent4 10 4" xfId="6054" xr:uid="{00000000-0005-0000-0000-000014260000}"/>
    <cellStyle name="20% - Accent4 10 4 2" xfId="25505" xr:uid="{00000000-0005-0000-0000-000015260000}"/>
    <cellStyle name="20% - Accent4 10 4 3" xfId="35230" xr:uid="{00000000-0005-0000-0000-000016260000}"/>
    <cellStyle name="20% - Accent4 10 4 4" xfId="44955" xr:uid="{00000000-0005-0000-0000-000017260000}"/>
    <cellStyle name="20% - Accent4 10 4 5" xfId="15780" xr:uid="{00000000-0005-0000-0000-000018260000}"/>
    <cellStyle name="20% - Accent4 10 5" xfId="20643" xr:uid="{00000000-0005-0000-0000-000019260000}"/>
    <cellStyle name="20% - Accent4 10 6" xfId="30368" xr:uid="{00000000-0005-0000-0000-00001A260000}"/>
    <cellStyle name="20% - Accent4 10 7" xfId="40093" xr:uid="{00000000-0005-0000-0000-00001B260000}"/>
    <cellStyle name="20% - Accent4 10 8" xfId="10918" xr:uid="{00000000-0005-0000-0000-00001C260000}"/>
    <cellStyle name="20% - Accent4 11" xfId="1281" xr:uid="{00000000-0005-0000-0000-00001D260000}"/>
    <cellStyle name="20% - Accent4 11 2" xfId="2902" xr:uid="{00000000-0005-0000-0000-00001E260000}"/>
    <cellStyle name="20% - Accent4 11 2 2" xfId="7764" xr:uid="{00000000-0005-0000-0000-00001F260000}"/>
    <cellStyle name="20% - Accent4 11 2 2 2" xfId="27215" xr:uid="{00000000-0005-0000-0000-000020260000}"/>
    <cellStyle name="20% - Accent4 11 2 2 3" xfId="36940" xr:uid="{00000000-0005-0000-0000-000021260000}"/>
    <cellStyle name="20% - Accent4 11 2 2 4" xfId="46665" xr:uid="{00000000-0005-0000-0000-000022260000}"/>
    <cellStyle name="20% - Accent4 11 2 2 5" xfId="17490" xr:uid="{00000000-0005-0000-0000-000023260000}"/>
    <cellStyle name="20% - Accent4 11 2 3" xfId="22353" xr:uid="{00000000-0005-0000-0000-000024260000}"/>
    <cellStyle name="20% - Accent4 11 2 4" xfId="32078" xr:uid="{00000000-0005-0000-0000-000025260000}"/>
    <cellStyle name="20% - Accent4 11 2 5" xfId="41803" xr:uid="{00000000-0005-0000-0000-000026260000}"/>
    <cellStyle name="20% - Accent4 11 2 6" xfId="12628" xr:uid="{00000000-0005-0000-0000-000027260000}"/>
    <cellStyle name="20% - Accent4 11 3" xfId="4522" xr:uid="{00000000-0005-0000-0000-000028260000}"/>
    <cellStyle name="20% - Accent4 11 3 2" xfId="9384" xr:uid="{00000000-0005-0000-0000-000029260000}"/>
    <cellStyle name="20% - Accent4 11 3 2 2" xfId="28835" xr:uid="{00000000-0005-0000-0000-00002A260000}"/>
    <cellStyle name="20% - Accent4 11 3 2 3" xfId="38560" xr:uid="{00000000-0005-0000-0000-00002B260000}"/>
    <cellStyle name="20% - Accent4 11 3 2 4" xfId="48285" xr:uid="{00000000-0005-0000-0000-00002C260000}"/>
    <cellStyle name="20% - Accent4 11 3 2 5" xfId="19110" xr:uid="{00000000-0005-0000-0000-00002D260000}"/>
    <cellStyle name="20% - Accent4 11 3 3" xfId="23973" xr:uid="{00000000-0005-0000-0000-00002E260000}"/>
    <cellStyle name="20% - Accent4 11 3 4" xfId="33698" xr:uid="{00000000-0005-0000-0000-00002F260000}"/>
    <cellStyle name="20% - Accent4 11 3 5" xfId="43423" xr:uid="{00000000-0005-0000-0000-000030260000}"/>
    <cellStyle name="20% - Accent4 11 3 6" xfId="14248" xr:uid="{00000000-0005-0000-0000-000031260000}"/>
    <cellStyle name="20% - Accent4 11 4" xfId="6144" xr:uid="{00000000-0005-0000-0000-000032260000}"/>
    <cellStyle name="20% - Accent4 11 4 2" xfId="25595" xr:uid="{00000000-0005-0000-0000-000033260000}"/>
    <cellStyle name="20% - Accent4 11 4 3" xfId="35320" xr:uid="{00000000-0005-0000-0000-000034260000}"/>
    <cellStyle name="20% - Accent4 11 4 4" xfId="45045" xr:uid="{00000000-0005-0000-0000-000035260000}"/>
    <cellStyle name="20% - Accent4 11 4 5" xfId="15870" xr:uid="{00000000-0005-0000-0000-000036260000}"/>
    <cellStyle name="20% - Accent4 11 5" xfId="20733" xr:uid="{00000000-0005-0000-0000-000037260000}"/>
    <cellStyle name="20% - Accent4 11 6" xfId="30458" xr:uid="{00000000-0005-0000-0000-000038260000}"/>
    <cellStyle name="20% - Accent4 11 7" xfId="40183" xr:uid="{00000000-0005-0000-0000-000039260000}"/>
    <cellStyle name="20% - Accent4 11 8" xfId="11008" xr:uid="{00000000-0005-0000-0000-00003A260000}"/>
    <cellStyle name="20% - Accent4 12" xfId="452" xr:uid="{00000000-0005-0000-0000-00003B260000}"/>
    <cellStyle name="20% - Accent4 12 2" xfId="2092" xr:uid="{00000000-0005-0000-0000-00003C260000}"/>
    <cellStyle name="20% - Accent4 12 2 2" xfId="6954" xr:uid="{00000000-0005-0000-0000-00003D260000}"/>
    <cellStyle name="20% - Accent4 12 2 2 2" xfId="26405" xr:uid="{00000000-0005-0000-0000-00003E260000}"/>
    <cellStyle name="20% - Accent4 12 2 2 3" xfId="36130" xr:uid="{00000000-0005-0000-0000-00003F260000}"/>
    <cellStyle name="20% - Accent4 12 2 2 4" xfId="45855" xr:uid="{00000000-0005-0000-0000-000040260000}"/>
    <cellStyle name="20% - Accent4 12 2 2 5" xfId="16680" xr:uid="{00000000-0005-0000-0000-000041260000}"/>
    <cellStyle name="20% - Accent4 12 2 3" xfId="21543" xr:uid="{00000000-0005-0000-0000-000042260000}"/>
    <cellStyle name="20% - Accent4 12 2 4" xfId="31268" xr:uid="{00000000-0005-0000-0000-000043260000}"/>
    <cellStyle name="20% - Accent4 12 2 5" xfId="40993" xr:uid="{00000000-0005-0000-0000-000044260000}"/>
    <cellStyle name="20% - Accent4 12 2 6" xfId="11818" xr:uid="{00000000-0005-0000-0000-000045260000}"/>
    <cellStyle name="20% - Accent4 12 3" xfId="3712" xr:uid="{00000000-0005-0000-0000-000046260000}"/>
    <cellStyle name="20% - Accent4 12 3 2" xfId="8574" xr:uid="{00000000-0005-0000-0000-000047260000}"/>
    <cellStyle name="20% - Accent4 12 3 2 2" xfId="28025" xr:uid="{00000000-0005-0000-0000-000048260000}"/>
    <cellStyle name="20% - Accent4 12 3 2 3" xfId="37750" xr:uid="{00000000-0005-0000-0000-000049260000}"/>
    <cellStyle name="20% - Accent4 12 3 2 4" xfId="47475" xr:uid="{00000000-0005-0000-0000-00004A260000}"/>
    <cellStyle name="20% - Accent4 12 3 2 5" xfId="18300" xr:uid="{00000000-0005-0000-0000-00004B260000}"/>
    <cellStyle name="20% - Accent4 12 3 3" xfId="23163" xr:uid="{00000000-0005-0000-0000-00004C260000}"/>
    <cellStyle name="20% - Accent4 12 3 4" xfId="32888" xr:uid="{00000000-0005-0000-0000-00004D260000}"/>
    <cellStyle name="20% - Accent4 12 3 5" xfId="42613" xr:uid="{00000000-0005-0000-0000-00004E260000}"/>
    <cellStyle name="20% - Accent4 12 3 6" xfId="13438" xr:uid="{00000000-0005-0000-0000-00004F260000}"/>
    <cellStyle name="20% - Accent4 12 4" xfId="5334" xr:uid="{00000000-0005-0000-0000-000050260000}"/>
    <cellStyle name="20% - Accent4 12 4 2" xfId="24785" xr:uid="{00000000-0005-0000-0000-000051260000}"/>
    <cellStyle name="20% - Accent4 12 4 3" xfId="34510" xr:uid="{00000000-0005-0000-0000-000052260000}"/>
    <cellStyle name="20% - Accent4 12 4 4" xfId="44235" xr:uid="{00000000-0005-0000-0000-000053260000}"/>
    <cellStyle name="20% - Accent4 12 4 5" xfId="15060" xr:uid="{00000000-0005-0000-0000-000054260000}"/>
    <cellStyle name="20% - Accent4 12 5" xfId="19923" xr:uid="{00000000-0005-0000-0000-000055260000}"/>
    <cellStyle name="20% - Accent4 12 6" xfId="29648" xr:uid="{00000000-0005-0000-0000-000056260000}"/>
    <cellStyle name="20% - Accent4 12 7" xfId="39373" xr:uid="{00000000-0005-0000-0000-000057260000}"/>
    <cellStyle name="20% - Accent4 12 8" xfId="10198" xr:uid="{00000000-0005-0000-0000-000058260000}"/>
    <cellStyle name="20% - Accent4 13" xfId="1641" xr:uid="{00000000-0005-0000-0000-000059260000}"/>
    <cellStyle name="20% - Accent4 13 2" xfId="3262" xr:uid="{00000000-0005-0000-0000-00005A260000}"/>
    <cellStyle name="20% - Accent4 13 2 2" xfId="8124" xr:uid="{00000000-0005-0000-0000-00005B260000}"/>
    <cellStyle name="20% - Accent4 13 2 2 2" xfId="27575" xr:uid="{00000000-0005-0000-0000-00005C260000}"/>
    <cellStyle name="20% - Accent4 13 2 2 3" xfId="37300" xr:uid="{00000000-0005-0000-0000-00005D260000}"/>
    <cellStyle name="20% - Accent4 13 2 2 4" xfId="47025" xr:uid="{00000000-0005-0000-0000-00005E260000}"/>
    <cellStyle name="20% - Accent4 13 2 2 5" xfId="17850" xr:uid="{00000000-0005-0000-0000-00005F260000}"/>
    <cellStyle name="20% - Accent4 13 2 3" xfId="22713" xr:uid="{00000000-0005-0000-0000-000060260000}"/>
    <cellStyle name="20% - Accent4 13 2 4" xfId="32438" xr:uid="{00000000-0005-0000-0000-000061260000}"/>
    <cellStyle name="20% - Accent4 13 2 5" xfId="42163" xr:uid="{00000000-0005-0000-0000-000062260000}"/>
    <cellStyle name="20% - Accent4 13 2 6" xfId="12988" xr:uid="{00000000-0005-0000-0000-000063260000}"/>
    <cellStyle name="20% - Accent4 13 3" xfId="4882" xr:uid="{00000000-0005-0000-0000-000064260000}"/>
    <cellStyle name="20% - Accent4 13 3 2" xfId="9744" xr:uid="{00000000-0005-0000-0000-000065260000}"/>
    <cellStyle name="20% - Accent4 13 3 2 2" xfId="29195" xr:uid="{00000000-0005-0000-0000-000066260000}"/>
    <cellStyle name="20% - Accent4 13 3 2 3" xfId="38920" xr:uid="{00000000-0005-0000-0000-000067260000}"/>
    <cellStyle name="20% - Accent4 13 3 2 4" xfId="48645" xr:uid="{00000000-0005-0000-0000-000068260000}"/>
    <cellStyle name="20% - Accent4 13 3 2 5" xfId="19470" xr:uid="{00000000-0005-0000-0000-000069260000}"/>
    <cellStyle name="20% - Accent4 13 3 3" xfId="24333" xr:uid="{00000000-0005-0000-0000-00006A260000}"/>
    <cellStyle name="20% - Accent4 13 3 4" xfId="34058" xr:uid="{00000000-0005-0000-0000-00006B260000}"/>
    <cellStyle name="20% - Accent4 13 3 5" xfId="43783" xr:uid="{00000000-0005-0000-0000-00006C260000}"/>
    <cellStyle name="20% - Accent4 13 3 6" xfId="14608" xr:uid="{00000000-0005-0000-0000-00006D260000}"/>
    <cellStyle name="20% - Accent4 13 4" xfId="6504" xr:uid="{00000000-0005-0000-0000-00006E260000}"/>
    <cellStyle name="20% - Accent4 13 4 2" xfId="25955" xr:uid="{00000000-0005-0000-0000-00006F260000}"/>
    <cellStyle name="20% - Accent4 13 4 3" xfId="35680" xr:uid="{00000000-0005-0000-0000-000070260000}"/>
    <cellStyle name="20% - Accent4 13 4 4" xfId="45405" xr:uid="{00000000-0005-0000-0000-000071260000}"/>
    <cellStyle name="20% - Accent4 13 4 5" xfId="16230" xr:uid="{00000000-0005-0000-0000-000072260000}"/>
    <cellStyle name="20% - Accent4 13 5" xfId="21093" xr:uid="{00000000-0005-0000-0000-000073260000}"/>
    <cellStyle name="20% - Accent4 13 6" xfId="30818" xr:uid="{00000000-0005-0000-0000-000074260000}"/>
    <cellStyle name="20% - Accent4 13 7" xfId="40543" xr:uid="{00000000-0005-0000-0000-000075260000}"/>
    <cellStyle name="20% - Accent4 13 8" xfId="11368" xr:uid="{00000000-0005-0000-0000-000076260000}"/>
    <cellStyle name="20% - Accent4 14" xfId="1732" xr:uid="{00000000-0005-0000-0000-000077260000}"/>
    <cellStyle name="20% - Accent4 14 2" xfId="6594" xr:uid="{00000000-0005-0000-0000-000078260000}"/>
    <cellStyle name="20% - Accent4 14 2 2" xfId="26045" xr:uid="{00000000-0005-0000-0000-000079260000}"/>
    <cellStyle name="20% - Accent4 14 2 3" xfId="35770" xr:uid="{00000000-0005-0000-0000-00007A260000}"/>
    <cellStyle name="20% - Accent4 14 2 4" xfId="45495" xr:uid="{00000000-0005-0000-0000-00007B260000}"/>
    <cellStyle name="20% - Accent4 14 2 5" xfId="16320" xr:uid="{00000000-0005-0000-0000-00007C260000}"/>
    <cellStyle name="20% - Accent4 14 3" xfId="21183" xr:uid="{00000000-0005-0000-0000-00007D260000}"/>
    <cellStyle name="20% - Accent4 14 4" xfId="30908" xr:uid="{00000000-0005-0000-0000-00007E260000}"/>
    <cellStyle name="20% - Accent4 14 5" xfId="40633" xr:uid="{00000000-0005-0000-0000-00007F260000}"/>
    <cellStyle name="20% - Accent4 14 6" xfId="11458" xr:uid="{00000000-0005-0000-0000-000080260000}"/>
    <cellStyle name="20% - Accent4 15" xfId="3352" xr:uid="{00000000-0005-0000-0000-000081260000}"/>
    <cellStyle name="20% - Accent4 15 2" xfId="8214" xr:uid="{00000000-0005-0000-0000-000082260000}"/>
    <cellStyle name="20% - Accent4 15 2 2" xfId="27665" xr:uid="{00000000-0005-0000-0000-000083260000}"/>
    <cellStyle name="20% - Accent4 15 2 3" xfId="37390" xr:uid="{00000000-0005-0000-0000-000084260000}"/>
    <cellStyle name="20% - Accent4 15 2 4" xfId="47115" xr:uid="{00000000-0005-0000-0000-000085260000}"/>
    <cellStyle name="20% - Accent4 15 2 5" xfId="17940" xr:uid="{00000000-0005-0000-0000-000086260000}"/>
    <cellStyle name="20% - Accent4 15 3" xfId="22803" xr:uid="{00000000-0005-0000-0000-000087260000}"/>
    <cellStyle name="20% - Accent4 15 4" xfId="32528" xr:uid="{00000000-0005-0000-0000-000088260000}"/>
    <cellStyle name="20% - Accent4 15 5" xfId="42253" xr:uid="{00000000-0005-0000-0000-000089260000}"/>
    <cellStyle name="20% - Accent4 15 6" xfId="13078" xr:uid="{00000000-0005-0000-0000-00008A260000}"/>
    <cellStyle name="20% - Accent4 16" xfId="4974" xr:uid="{00000000-0005-0000-0000-00008B260000}"/>
    <cellStyle name="20% - Accent4 16 2" xfId="24425" xr:uid="{00000000-0005-0000-0000-00008C260000}"/>
    <cellStyle name="20% - Accent4 16 3" xfId="34150" xr:uid="{00000000-0005-0000-0000-00008D260000}"/>
    <cellStyle name="20% - Accent4 16 4" xfId="43875" xr:uid="{00000000-0005-0000-0000-00008E260000}"/>
    <cellStyle name="20% - Accent4 16 5" xfId="14700" xr:uid="{00000000-0005-0000-0000-00008F260000}"/>
    <cellStyle name="20% - Accent4 17" xfId="19563" xr:uid="{00000000-0005-0000-0000-000090260000}"/>
    <cellStyle name="20% - Accent4 18" xfId="29288" xr:uid="{00000000-0005-0000-0000-000091260000}"/>
    <cellStyle name="20% - Accent4 19" xfId="39013" xr:uid="{00000000-0005-0000-0000-000092260000}"/>
    <cellStyle name="20% - Accent4 2" xfId="61" xr:uid="{00000000-0005-0000-0000-000093260000}"/>
    <cellStyle name="20% - Accent4 2 10" xfId="466" xr:uid="{00000000-0005-0000-0000-000094260000}"/>
    <cellStyle name="20% - Accent4 2 10 2" xfId="2106" xr:uid="{00000000-0005-0000-0000-000095260000}"/>
    <cellStyle name="20% - Accent4 2 10 2 2" xfId="6968" xr:uid="{00000000-0005-0000-0000-000096260000}"/>
    <cellStyle name="20% - Accent4 2 10 2 2 2" xfId="26419" xr:uid="{00000000-0005-0000-0000-000097260000}"/>
    <cellStyle name="20% - Accent4 2 10 2 2 3" xfId="36144" xr:uid="{00000000-0005-0000-0000-000098260000}"/>
    <cellStyle name="20% - Accent4 2 10 2 2 4" xfId="45869" xr:uid="{00000000-0005-0000-0000-000099260000}"/>
    <cellStyle name="20% - Accent4 2 10 2 2 5" xfId="16694" xr:uid="{00000000-0005-0000-0000-00009A260000}"/>
    <cellStyle name="20% - Accent4 2 10 2 3" xfId="21557" xr:uid="{00000000-0005-0000-0000-00009B260000}"/>
    <cellStyle name="20% - Accent4 2 10 2 4" xfId="31282" xr:uid="{00000000-0005-0000-0000-00009C260000}"/>
    <cellStyle name="20% - Accent4 2 10 2 5" xfId="41007" xr:uid="{00000000-0005-0000-0000-00009D260000}"/>
    <cellStyle name="20% - Accent4 2 10 2 6" xfId="11832" xr:uid="{00000000-0005-0000-0000-00009E260000}"/>
    <cellStyle name="20% - Accent4 2 10 3" xfId="3726" xr:uid="{00000000-0005-0000-0000-00009F260000}"/>
    <cellStyle name="20% - Accent4 2 10 3 2" xfId="8588" xr:uid="{00000000-0005-0000-0000-0000A0260000}"/>
    <cellStyle name="20% - Accent4 2 10 3 2 2" xfId="28039" xr:uid="{00000000-0005-0000-0000-0000A1260000}"/>
    <cellStyle name="20% - Accent4 2 10 3 2 3" xfId="37764" xr:uid="{00000000-0005-0000-0000-0000A2260000}"/>
    <cellStyle name="20% - Accent4 2 10 3 2 4" xfId="47489" xr:uid="{00000000-0005-0000-0000-0000A3260000}"/>
    <cellStyle name="20% - Accent4 2 10 3 2 5" xfId="18314" xr:uid="{00000000-0005-0000-0000-0000A4260000}"/>
    <cellStyle name="20% - Accent4 2 10 3 3" xfId="23177" xr:uid="{00000000-0005-0000-0000-0000A5260000}"/>
    <cellStyle name="20% - Accent4 2 10 3 4" xfId="32902" xr:uid="{00000000-0005-0000-0000-0000A6260000}"/>
    <cellStyle name="20% - Accent4 2 10 3 5" xfId="42627" xr:uid="{00000000-0005-0000-0000-0000A7260000}"/>
    <cellStyle name="20% - Accent4 2 10 3 6" xfId="13452" xr:uid="{00000000-0005-0000-0000-0000A8260000}"/>
    <cellStyle name="20% - Accent4 2 10 4" xfId="5348" xr:uid="{00000000-0005-0000-0000-0000A9260000}"/>
    <cellStyle name="20% - Accent4 2 10 4 2" xfId="24799" xr:uid="{00000000-0005-0000-0000-0000AA260000}"/>
    <cellStyle name="20% - Accent4 2 10 4 3" xfId="34524" xr:uid="{00000000-0005-0000-0000-0000AB260000}"/>
    <cellStyle name="20% - Accent4 2 10 4 4" xfId="44249" xr:uid="{00000000-0005-0000-0000-0000AC260000}"/>
    <cellStyle name="20% - Accent4 2 10 4 5" xfId="15074" xr:uid="{00000000-0005-0000-0000-0000AD260000}"/>
    <cellStyle name="20% - Accent4 2 10 5" xfId="19937" xr:uid="{00000000-0005-0000-0000-0000AE260000}"/>
    <cellStyle name="20% - Accent4 2 10 6" xfId="29662" xr:uid="{00000000-0005-0000-0000-0000AF260000}"/>
    <cellStyle name="20% - Accent4 2 10 7" xfId="39387" xr:uid="{00000000-0005-0000-0000-0000B0260000}"/>
    <cellStyle name="20% - Accent4 2 10 8" xfId="10212" xr:uid="{00000000-0005-0000-0000-0000B1260000}"/>
    <cellStyle name="20% - Accent4 2 11" xfId="1655" xr:uid="{00000000-0005-0000-0000-0000B2260000}"/>
    <cellStyle name="20% - Accent4 2 11 2" xfId="3276" xr:uid="{00000000-0005-0000-0000-0000B3260000}"/>
    <cellStyle name="20% - Accent4 2 11 2 2" xfId="8138" xr:uid="{00000000-0005-0000-0000-0000B4260000}"/>
    <cellStyle name="20% - Accent4 2 11 2 2 2" xfId="27589" xr:uid="{00000000-0005-0000-0000-0000B5260000}"/>
    <cellStyle name="20% - Accent4 2 11 2 2 3" xfId="37314" xr:uid="{00000000-0005-0000-0000-0000B6260000}"/>
    <cellStyle name="20% - Accent4 2 11 2 2 4" xfId="47039" xr:uid="{00000000-0005-0000-0000-0000B7260000}"/>
    <cellStyle name="20% - Accent4 2 11 2 2 5" xfId="17864" xr:uid="{00000000-0005-0000-0000-0000B8260000}"/>
    <cellStyle name="20% - Accent4 2 11 2 3" xfId="22727" xr:uid="{00000000-0005-0000-0000-0000B9260000}"/>
    <cellStyle name="20% - Accent4 2 11 2 4" xfId="32452" xr:uid="{00000000-0005-0000-0000-0000BA260000}"/>
    <cellStyle name="20% - Accent4 2 11 2 5" xfId="42177" xr:uid="{00000000-0005-0000-0000-0000BB260000}"/>
    <cellStyle name="20% - Accent4 2 11 2 6" xfId="13002" xr:uid="{00000000-0005-0000-0000-0000BC260000}"/>
    <cellStyle name="20% - Accent4 2 11 3" xfId="4896" xr:uid="{00000000-0005-0000-0000-0000BD260000}"/>
    <cellStyle name="20% - Accent4 2 11 3 2" xfId="9758" xr:uid="{00000000-0005-0000-0000-0000BE260000}"/>
    <cellStyle name="20% - Accent4 2 11 3 2 2" xfId="29209" xr:uid="{00000000-0005-0000-0000-0000BF260000}"/>
    <cellStyle name="20% - Accent4 2 11 3 2 3" xfId="38934" xr:uid="{00000000-0005-0000-0000-0000C0260000}"/>
    <cellStyle name="20% - Accent4 2 11 3 2 4" xfId="48659" xr:uid="{00000000-0005-0000-0000-0000C1260000}"/>
    <cellStyle name="20% - Accent4 2 11 3 2 5" xfId="19484" xr:uid="{00000000-0005-0000-0000-0000C2260000}"/>
    <cellStyle name="20% - Accent4 2 11 3 3" xfId="24347" xr:uid="{00000000-0005-0000-0000-0000C3260000}"/>
    <cellStyle name="20% - Accent4 2 11 3 4" xfId="34072" xr:uid="{00000000-0005-0000-0000-0000C4260000}"/>
    <cellStyle name="20% - Accent4 2 11 3 5" xfId="43797" xr:uid="{00000000-0005-0000-0000-0000C5260000}"/>
    <cellStyle name="20% - Accent4 2 11 3 6" xfId="14622" xr:uid="{00000000-0005-0000-0000-0000C6260000}"/>
    <cellStyle name="20% - Accent4 2 11 4" xfId="6518" xr:uid="{00000000-0005-0000-0000-0000C7260000}"/>
    <cellStyle name="20% - Accent4 2 11 4 2" xfId="25969" xr:uid="{00000000-0005-0000-0000-0000C8260000}"/>
    <cellStyle name="20% - Accent4 2 11 4 3" xfId="35694" xr:uid="{00000000-0005-0000-0000-0000C9260000}"/>
    <cellStyle name="20% - Accent4 2 11 4 4" xfId="45419" xr:uid="{00000000-0005-0000-0000-0000CA260000}"/>
    <cellStyle name="20% - Accent4 2 11 4 5" xfId="16244" xr:uid="{00000000-0005-0000-0000-0000CB260000}"/>
    <cellStyle name="20% - Accent4 2 11 5" xfId="21107" xr:uid="{00000000-0005-0000-0000-0000CC260000}"/>
    <cellStyle name="20% - Accent4 2 11 6" xfId="30832" xr:uid="{00000000-0005-0000-0000-0000CD260000}"/>
    <cellStyle name="20% - Accent4 2 11 7" xfId="40557" xr:uid="{00000000-0005-0000-0000-0000CE260000}"/>
    <cellStyle name="20% - Accent4 2 11 8" xfId="11382" xr:uid="{00000000-0005-0000-0000-0000CF260000}"/>
    <cellStyle name="20% - Accent4 2 12" xfId="1746" xr:uid="{00000000-0005-0000-0000-0000D0260000}"/>
    <cellStyle name="20% - Accent4 2 12 2" xfId="6608" xr:uid="{00000000-0005-0000-0000-0000D1260000}"/>
    <cellStyle name="20% - Accent4 2 12 2 2" xfId="26059" xr:uid="{00000000-0005-0000-0000-0000D2260000}"/>
    <cellStyle name="20% - Accent4 2 12 2 3" xfId="35784" xr:uid="{00000000-0005-0000-0000-0000D3260000}"/>
    <cellStyle name="20% - Accent4 2 12 2 4" xfId="45509" xr:uid="{00000000-0005-0000-0000-0000D4260000}"/>
    <cellStyle name="20% - Accent4 2 12 2 5" xfId="16334" xr:uid="{00000000-0005-0000-0000-0000D5260000}"/>
    <cellStyle name="20% - Accent4 2 12 3" xfId="21197" xr:uid="{00000000-0005-0000-0000-0000D6260000}"/>
    <cellStyle name="20% - Accent4 2 12 4" xfId="30922" xr:uid="{00000000-0005-0000-0000-0000D7260000}"/>
    <cellStyle name="20% - Accent4 2 12 5" xfId="40647" xr:uid="{00000000-0005-0000-0000-0000D8260000}"/>
    <cellStyle name="20% - Accent4 2 12 6" xfId="11472" xr:uid="{00000000-0005-0000-0000-0000D9260000}"/>
    <cellStyle name="20% - Accent4 2 13" xfId="3366" xr:uid="{00000000-0005-0000-0000-0000DA260000}"/>
    <cellStyle name="20% - Accent4 2 13 2" xfId="8228" xr:uid="{00000000-0005-0000-0000-0000DB260000}"/>
    <cellStyle name="20% - Accent4 2 13 2 2" xfId="27679" xr:uid="{00000000-0005-0000-0000-0000DC260000}"/>
    <cellStyle name="20% - Accent4 2 13 2 3" xfId="37404" xr:uid="{00000000-0005-0000-0000-0000DD260000}"/>
    <cellStyle name="20% - Accent4 2 13 2 4" xfId="47129" xr:uid="{00000000-0005-0000-0000-0000DE260000}"/>
    <cellStyle name="20% - Accent4 2 13 2 5" xfId="17954" xr:uid="{00000000-0005-0000-0000-0000DF260000}"/>
    <cellStyle name="20% - Accent4 2 13 3" xfId="22817" xr:uid="{00000000-0005-0000-0000-0000E0260000}"/>
    <cellStyle name="20% - Accent4 2 13 4" xfId="32542" xr:uid="{00000000-0005-0000-0000-0000E1260000}"/>
    <cellStyle name="20% - Accent4 2 13 5" xfId="42267" xr:uid="{00000000-0005-0000-0000-0000E2260000}"/>
    <cellStyle name="20% - Accent4 2 13 6" xfId="13092" xr:uid="{00000000-0005-0000-0000-0000E3260000}"/>
    <cellStyle name="20% - Accent4 2 14" xfId="4988" xr:uid="{00000000-0005-0000-0000-0000E4260000}"/>
    <cellStyle name="20% - Accent4 2 14 2" xfId="24439" xr:uid="{00000000-0005-0000-0000-0000E5260000}"/>
    <cellStyle name="20% - Accent4 2 14 3" xfId="34164" xr:uid="{00000000-0005-0000-0000-0000E6260000}"/>
    <cellStyle name="20% - Accent4 2 14 4" xfId="43889" xr:uid="{00000000-0005-0000-0000-0000E7260000}"/>
    <cellStyle name="20% - Accent4 2 14 5" xfId="14714" xr:uid="{00000000-0005-0000-0000-0000E8260000}"/>
    <cellStyle name="20% - Accent4 2 15" xfId="19577" xr:uid="{00000000-0005-0000-0000-0000E9260000}"/>
    <cellStyle name="20% - Accent4 2 16" xfId="29302" xr:uid="{00000000-0005-0000-0000-0000EA260000}"/>
    <cellStyle name="20% - Accent4 2 17" xfId="39027" xr:uid="{00000000-0005-0000-0000-0000EB260000}"/>
    <cellStyle name="20% - Accent4 2 18" xfId="9852" xr:uid="{00000000-0005-0000-0000-0000EC260000}"/>
    <cellStyle name="20% - Accent4 2 2" xfId="92" xr:uid="{00000000-0005-0000-0000-0000ED260000}"/>
    <cellStyle name="20% - Accent4 2 2 10" xfId="1776" xr:uid="{00000000-0005-0000-0000-0000EE260000}"/>
    <cellStyle name="20% - Accent4 2 2 10 2" xfId="6638" xr:uid="{00000000-0005-0000-0000-0000EF260000}"/>
    <cellStyle name="20% - Accent4 2 2 10 2 2" xfId="26089" xr:uid="{00000000-0005-0000-0000-0000F0260000}"/>
    <cellStyle name="20% - Accent4 2 2 10 2 3" xfId="35814" xr:uid="{00000000-0005-0000-0000-0000F1260000}"/>
    <cellStyle name="20% - Accent4 2 2 10 2 4" xfId="45539" xr:uid="{00000000-0005-0000-0000-0000F2260000}"/>
    <cellStyle name="20% - Accent4 2 2 10 2 5" xfId="16364" xr:uid="{00000000-0005-0000-0000-0000F3260000}"/>
    <cellStyle name="20% - Accent4 2 2 10 3" xfId="21227" xr:uid="{00000000-0005-0000-0000-0000F4260000}"/>
    <cellStyle name="20% - Accent4 2 2 10 4" xfId="30952" xr:uid="{00000000-0005-0000-0000-0000F5260000}"/>
    <cellStyle name="20% - Accent4 2 2 10 5" xfId="40677" xr:uid="{00000000-0005-0000-0000-0000F6260000}"/>
    <cellStyle name="20% - Accent4 2 2 10 6" xfId="11502" xr:uid="{00000000-0005-0000-0000-0000F7260000}"/>
    <cellStyle name="20% - Accent4 2 2 11" xfId="3396" xr:uid="{00000000-0005-0000-0000-0000F8260000}"/>
    <cellStyle name="20% - Accent4 2 2 11 2" xfId="8258" xr:uid="{00000000-0005-0000-0000-0000F9260000}"/>
    <cellStyle name="20% - Accent4 2 2 11 2 2" xfId="27709" xr:uid="{00000000-0005-0000-0000-0000FA260000}"/>
    <cellStyle name="20% - Accent4 2 2 11 2 3" xfId="37434" xr:uid="{00000000-0005-0000-0000-0000FB260000}"/>
    <cellStyle name="20% - Accent4 2 2 11 2 4" xfId="47159" xr:uid="{00000000-0005-0000-0000-0000FC260000}"/>
    <cellStyle name="20% - Accent4 2 2 11 2 5" xfId="17984" xr:uid="{00000000-0005-0000-0000-0000FD260000}"/>
    <cellStyle name="20% - Accent4 2 2 11 3" xfId="22847" xr:uid="{00000000-0005-0000-0000-0000FE260000}"/>
    <cellStyle name="20% - Accent4 2 2 11 4" xfId="32572" xr:uid="{00000000-0005-0000-0000-0000FF260000}"/>
    <cellStyle name="20% - Accent4 2 2 11 5" xfId="42297" xr:uid="{00000000-0005-0000-0000-000000270000}"/>
    <cellStyle name="20% - Accent4 2 2 11 6" xfId="13122" xr:uid="{00000000-0005-0000-0000-000001270000}"/>
    <cellStyle name="20% - Accent4 2 2 12" xfId="5018" xr:uid="{00000000-0005-0000-0000-000002270000}"/>
    <cellStyle name="20% - Accent4 2 2 12 2" xfId="24469" xr:uid="{00000000-0005-0000-0000-000003270000}"/>
    <cellStyle name="20% - Accent4 2 2 12 3" xfId="34194" xr:uid="{00000000-0005-0000-0000-000004270000}"/>
    <cellStyle name="20% - Accent4 2 2 12 4" xfId="43919" xr:uid="{00000000-0005-0000-0000-000005270000}"/>
    <cellStyle name="20% - Accent4 2 2 12 5" xfId="14744" xr:uid="{00000000-0005-0000-0000-000006270000}"/>
    <cellStyle name="20% - Accent4 2 2 13" xfId="19607" xr:uid="{00000000-0005-0000-0000-000007270000}"/>
    <cellStyle name="20% - Accent4 2 2 14" xfId="29332" xr:uid="{00000000-0005-0000-0000-000008270000}"/>
    <cellStyle name="20% - Accent4 2 2 15" xfId="39057" xr:uid="{00000000-0005-0000-0000-000009270000}"/>
    <cellStyle name="20% - Accent4 2 2 16" xfId="9882" xr:uid="{00000000-0005-0000-0000-00000A270000}"/>
    <cellStyle name="20% - Accent4 2 2 2" xfId="274" xr:uid="{00000000-0005-0000-0000-00000B270000}"/>
    <cellStyle name="20% - Accent4 2 2 2 10" xfId="39237" xr:uid="{00000000-0005-0000-0000-00000C270000}"/>
    <cellStyle name="20% - Accent4 2 2 2 11" xfId="10062" xr:uid="{00000000-0005-0000-0000-00000D270000}"/>
    <cellStyle name="20% - Accent4 2 2 2 2" xfId="1038" xr:uid="{00000000-0005-0000-0000-00000E270000}"/>
    <cellStyle name="20% - Accent4 2 2 2 2 2" xfId="2676" xr:uid="{00000000-0005-0000-0000-00000F270000}"/>
    <cellStyle name="20% - Accent4 2 2 2 2 2 2" xfId="7538" xr:uid="{00000000-0005-0000-0000-000010270000}"/>
    <cellStyle name="20% - Accent4 2 2 2 2 2 2 2" xfId="26989" xr:uid="{00000000-0005-0000-0000-000011270000}"/>
    <cellStyle name="20% - Accent4 2 2 2 2 2 2 3" xfId="36714" xr:uid="{00000000-0005-0000-0000-000012270000}"/>
    <cellStyle name="20% - Accent4 2 2 2 2 2 2 4" xfId="46439" xr:uid="{00000000-0005-0000-0000-000013270000}"/>
    <cellStyle name="20% - Accent4 2 2 2 2 2 2 5" xfId="17264" xr:uid="{00000000-0005-0000-0000-000014270000}"/>
    <cellStyle name="20% - Accent4 2 2 2 2 2 3" xfId="22127" xr:uid="{00000000-0005-0000-0000-000015270000}"/>
    <cellStyle name="20% - Accent4 2 2 2 2 2 4" xfId="31852" xr:uid="{00000000-0005-0000-0000-000016270000}"/>
    <cellStyle name="20% - Accent4 2 2 2 2 2 5" xfId="41577" xr:uid="{00000000-0005-0000-0000-000017270000}"/>
    <cellStyle name="20% - Accent4 2 2 2 2 2 6" xfId="12402" xr:uid="{00000000-0005-0000-0000-000018270000}"/>
    <cellStyle name="20% - Accent4 2 2 2 2 3" xfId="4296" xr:uid="{00000000-0005-0000-0000-000019270000}"/>
    <cellStyle name="20% - Accent4 2 2 2 2 3 2" xfId="9158" xr:uid="{00000000-0005-0000-0000-00001A270000}"/>
    <cellStyle name="20% - Accent4 2 2 2 2 3 2 2" xfId="28609" xr:uid="{00000000-0005-0000-0000-00001B270000}"/>
    <cellStyle name="20% - Accent4 2 2 2 2 3 2 3" xfId="38334" xr:uid="{00000000-0005-0000-0000-00001C270000}"/>
    <cellStyle name="20% - Accent4 2 2 2 2 3 2 4" xfId="48059" xr:uid="{00000000-0005-0000-0000-00001D270000}"/>
    <cellStyle name="20% - Accent4 2 2 2 2 3 2 5" xfId="18884" xr:uid="{00000000-0005-0000-0000-00001E270000}"/>
    <cellStyle name="20% - Accent4 2 2 2 2 3 3" xfId="23747" xr:uid="{00000000-0005-0000-0000-00001F270000}"/>
    <cellStyle name="20% - Accent4 2 2 2 2 3 4" xfId="33472" xr:uid="{00000000-0005-0000-0000-000020270000}"/>
    <cellStyle name="20% - Accent4 2 2 2 2 3 5" xfId="43197" xr:uid="{00000000-0005-0000-0000-000021270000}"/>
    <cellStyle name="20% - Accent4 2 2 2 2 3 6" xfId="14022" xr:uid="{00000000-0005-0000-0000-000022270000}"/>
    <cellStyle name="20% - Accent4 2 2 2 2 4" xfId="5918" xr:uid="{00000000-0005-0000-0000-000023270000}"/>
    <cellStyle name="20% - Accent4 2 2 2 2 4 2" xfId="25369" xr:uid="{00000000-0005-0000-0000-000024270000}"/>
    <cellStyle name="20% - Accent4 2 2 2 2 4 3" xfId="35094" xr:uid="{00000000-0005-0000-0000-000025270000}"/>
    <cellStyle name="20% - Accent4 2 2 2 2 4 4" xfId="44819" xr:uid="{00000000-0005-0000-0000-000026270000}"/>
    <cellStyle name="20% - Accent4 2 2 2 2 4 5" xfId="15644" xr:uid="{00000000-0005-0000-0000-000027270000}"/>
    <cellStyle name="20% - Accent4 2 2 2 2 5" xfId="20507" xr:uid="{00000000-0005-0000-0000-000028270000}"/>
    <cellStyle name="20% - Accent4 2 2 2 2 6" xfId="30232" xr:uid="{00000000-0005-0000-0000-000029270000}"/>
    <cellStyle name="20% - Accent4 2 2 2 2 7" xfId="39957" xr:uid="{00000000-0005-0000-0000-00002A270000}"/>
    <cellStyle name="20% - Accent4 2 2 2 2 8" xfId="10782" xr:uid="{00000000-0005-0000-0000-00002B270000}"/>
    <cellStyle name="20% - Accent4 2 2 2 3" xfId="1505" xr:uid="{00000000-0005-0000-0000-00002C270000}"/>
    <cellStyle name="20% - Accent4 2 2 2 3 2" xfId="3126" xr:uid="{00000000-0005-0000-0000-00002D270000}"/>
    <cellStyle name="20% - Accent4 2 2 2 3 2 2" xfId="7988" xr:uid="{00000000-0005-0000-0000-00002E270000}"/>
    <cellStyle name="20% - Accent4 2 2 2 3 2 2 2" xfId="27439" xr:uid="{00000000-0005-0000-0000-00002F270000}"/>
    <cellStyle name="20% - Accent4 2 2 2 3 2 2 3" xfId="37164" xr:uid="{00000000-0005-0000-0000-000030270000}"/>
    <cellStyle name="20% - Accent4 2 2 2 3 2 2 4" xfId="46889" xr:uid="{00000000-0005-0000-0000-000031270000}"/>
    <cellStyle name="20% - Accent4 2 2 2 3 2 2 5" xfId="17714" xr:uid="{00000000-0005-0000-0000-000032270000}"/>
    <cellStyle name="20% - Accent4 2 2 2 3 2 3" xfId="22577" xr:uid="{00000000-0005-0000-0000-000033270000}"/>
    <cellStyle name="20% - Accent4 2 2 2 3 2 4" xfId="32302" xr:uid="{00000000-0005-0000-0000-000034270000}"/>
    <cellStyle name="20% - Accent4 2 2 2 3 2 5" xfId="42027" xr:uid="{00000000-0005-0000-0000-000035270000}"/>
    <cellStyle name="20% - Accent4 2 2 2 3 2 6" xfId="12852" xr:uid="{00000000-0005-0000-0000-000036270000}"/>
    <cellStyle name="20% - Accent4 2 2 2 3 3" xfId="4746" xr:uid="{00000000-0005-0000-0000-000037270000}"/>
    <cellStyle name="20% - Accent4 2 2 2 3 3 2" xfId="9608" xr:uid="{00000000-0005-0000-0000-000038270000}"/>
    <cellStyle name="20% - Accent4 2 2 2 3 3 2 2" xfId="29059" xr:uid="{00000000-0005-0000-0000-000039270000}"/>
    <cellStyle name="20% - Accent4 2 2 2 3 3 2 3" xfId="38784" xr:uid="{00000000-0005-0000-0000-00003A270000}"/>
    <cellStyle name="20% - Accent4 2 2 2 3 3 2 4" xfId="48509" xr:uid="{00000000-0005-0000-0000-00003B270000}"/>
    <cellStyle name="20% - Accent4 2 2 2 3 3 2 5" xfId="19334" xr:uid="{00000000-0005-0000-0000-00003C270000}"/>
    <cellStyle name="20% - Accent4 2 2 2 3 3 3" xfId="24197" xr:uid="{00000000-0005-0000-0000-00003D270000}"/>
    <cellStyle name="20% - Accent4 2 2 2 3 3 4" xfId="33922" xr:uid="{00000000-0005-0000-0000-00003E270000}"/>
    <cellStyle name="20% - Accent4 2 2 2 3 3 5" xfId="43647" xr:uid="{00000000-0005-0000-0000-00003F270000}"/>
    <cellStyle name="20% - Accent4 2 2 2 3 3 6" xfId="14472" xr:uid="{00000000-0005-0000-0000-000040270000}"/>
    <cellStyle name="20% - Accent4 2 2 2 3 4" xfId="6368" xr:uid="{00000000-0005-0000-0000-000041270000}"/>
    <cellStyle name="20% - Accent4 2 2 2 3 4 2" xfId="25819" xr:uid="{00000000-0005-0000-0000-000042270000}"/>
    <cellStyle name="20% - Accent4 2 2 2 3 4 3" xfId="35544" xr:uid="{00000000-0005-0000-0000-000043270000}"/>
    <cellStyle name="20% - Accent4 2 2 2 3 4 4" xfId="45269" xr:uid="{00000000-0005-0000-0000-000044270000}"/>
    <cellStyle name="20% - Accent4 2 2 2 3 4 5" xfId="16094" xr:uid="{00000000-0005-0000-0000-000045270000}"/>
    <cellStyle name="20% - Accent4 2 2 2 3 5" xfId="20957" xr:uid="{00000000-0005-0000-0000-000046270000}"/>
    <cellStyle name="20% - Accent4 2 2 2 3 6" xfId="30682" xr:uid="{00000000-0005-0000-0000-000047270000}"/>
    <cellStyle name="20% - Accent4 2 2 2 3 7" xfId="40407" xr:uid="{00000000-0005-0000-0000-000048270000}"/>
    <cellStyle name="20% - Accent4 2 2 2 3 8" xfId="11232" xr:uid="{00000000-0005-0000-0000-000049270000}"/>
    <cellStyle name="20% - Accent4 2 2 2 4" xfId="676" xr:uid="{00000000-0005-0000-0000-00004A270000}"/>
    <cellStyle name="20% - Accent4 2 2 2 4 2" xfId="2316" xr:uid="{00000000-0005-0000-0000-00004B270000}"/>
    <cellStyle name="20% - Accent4 2 2 2 4 2 2" xfId="7178" xr:uid="{00000000-0005-0000-0000-00004C270000}"/>
    <cellStyle name="20% - Accent4 2 2 2 4 2 2 2" xfId="26629" xr:uid="{00000000-0005-0000-0000-00004D270000}"/>
    <cellStyle name="20% - Accent4 2 2 2 4 2 2 3" xfId="36354" xr:uid="{00000000-0005-0000-0000-00004E270000}"/>
    <cellStyle name="20% - Accent4 2 2 2 4 2 2 4" xfId="46079" xr:uid="{00000000-0005-0000-0000-00004F270000}"/>
    <cellStyle name="20% - Accent4 2 2 2 4 2 2 5" xfId="16904" xr:uid="{00000000-0005-0000-0000-000050270000}"/>
    <cellStyle name="20% - Accent4 2 2 2 4 2 3" xfId="21767" xr:uid="{00000000-0005-0000-0000-000051270000}"/>
    <cellStyle name="20% - Accent4 2 2 2 4 2 4" xfId="31492" xr:uid="{00000000-0005-0000-0000-000052270000}"/>
    <cellStyle name="20% - Accent4 2 2 2 4 2 5" xfId="41217" xr:uid="{00000000-0005-0000-0000-000053270000}"/>
    <cellStyle name="20% - Accent4 2 2 2 4 2 6" xfId="12042" xr:uid="{00000000-0005-0000-0000-000054270000}"/>
    <cellStyle name="20% - Accent4 2 2 2 4 3" xfId="3936" xr:uid="{00000000-0005-0000-0000-000055270000}"/>
    <cellStyle name="20% - Accent4 2 2 2 4 3 2" xfId="8798" xr:uid="{00000000-0005-0000-0000-000056270000}"/>
    <cellStyle name="20% - Accent4 2 2 2 4 3 2 2" xfId="28249" xr:uid="{00000000-0005-0000-0000-000057270000}"/>
    <cellStyle name="20% - Accent4 2 2 2 4 3 2 3" xfId="37974" xr:uid="{00000000-0005-0000-0000-000058270000}"/>
    <cellStyle name="20% - Accent4 2 2 2 4 3 2 4" xfId="47699" xr:uid="{00000000-0005-0000-0000-000059270000}"/>
    <cellStyle name="20% - Accent4 2 2 2 4 3 2 5" xfId="18524" xr:uid="{00000000-0005-0000-0000-00005A270000}"/>
    <cellStyle name="20% - Accent4 2 2 2 4 3 3" xfId="23387" xr:uid="{00000000-0005-0000-0000-00005B270000}"/>
    <cellStyle name="20% - Accent4 2 2 2 4 3 4" xfId="33112" xr:uid="{00000000-0005-0000-0000-00005C270000}"/>
    <cellStyle name="20% - Accent4 2 2 2 4 3 5" xfId="42837" xr:uid="{00000000-0005-0000-0000-00005D270000}"/>
    <cellStyle name="20% - Accent4 2 2 2 4 3 6" xfId="13662" xr:uid="{00000000-0005-0000-0000-00005E270000}"/>
    <cellStyle name="20% - Accent4 2 2 2 4 4" xfId="5558" xr:uid="{00000000-0005-0000-0000-00005F270000}"/>
    <cellStyle name="20% - Accent4 2 2 2 4 4 2" xfId="25009" xr:uid="{00000000-0005-0000-0000-000060270000}"/>
    <cellStyle name="20% - Accent4 2 2 2 4 4 3" xfId="34734" xr:uid="{00000000-0005-0000-0000-000061270000}"/>
    <cellStyle name="20% - Accent4 2 2 2 4 4 4" xfId="44459" xr:uid="{00000000-0005-0000-0000-000062270000}"/>
    <cellStyle name="20% - Accent4 2 2 2 4 4 5" xfId="15284" xr:uid="{00000000-0005-0000-0000-000063270000}"/>
    <cellStyle name="20% - Accent4 2 2 2 4 5" xfId="20147" xr:uid="{00000000-0005-0000-0000-000064270000}"/>
    <cellStyle name="20% - Accent4 2 2 2 4 6" xfId="29872" xr:uid="{00000000-0005-0000-0000-000065270000}"/>
    <cellStyle name="20% - Accent4 2 2 2 4 7" xfId="39597" xr:uid="{00000000-0005-0000-0000-000066270000}"/>
    <cellStyle name="20% - Accent4 2 2 2 4 8" xfId="10422" xr:uid="{00000000-0005-0000-0000-000067270000}"/>
    <cellStyle name="20% - Accent4 2 2 2 5" xfId="1956" xr:uid="{00000000-0005-0000-0000-000068270000}"/>
    <cellStyle name="20% - Accent4 2 2 2 5 2" xfId="6818" xr:uid="{00000000-0005-0000-0000-000069270000}"/>
    <cellStyle name="20% - Accent4 2 2 2 5 2 2" xfId="26269" xr:uid="{00000000-0005-0000-0000-00006A270000}"/>
    <cellStyle name="20% - Accent4 2 2 2 5 2 3" xfId="35994" xr:uid="{00000000-0005-0000-0000-00006B270000}"/>
    <cellStyle name="20% - Accent4 2 2 2 5 2 4" xfId="45719" xr:uid="{00000000-0005-0000-0000-00006C270000}"/>
    <cellStyle name="20% - Accent4 2 2 2 5 2 5" xfId="16544" xr:uid="{00000000-0005-0000-0000-00006D270000}"/>
    <cellStyle name="20% - Accent4 2 2 2 5 3" xfId="21407" xr:uid="{00000000-0005-0000-0000-00006E270000}"/>
    <cellStyle name="20% - Accent4 2 2 2 5 4" xfId="31132" xr:uid="{00000000-0005-0000-0000-00006F270000}"/>
    <cellStyle name="20% - Accent4 2 2 2 5 5" xfId="40857" xr:uid="{00000000-0005-0000-0000-000070270000}"/>
    <cellStyle name="20% - Accent4 2 2 2 5 6" xfId="11682" xr:uid="{00000000-0005-0000-0000-000071270000}"/>
    <cellStyle name="20% - Accent4 2 2 2 6" xfId="3576" xr:uid="{00000000-0005-0000-0000-000072270000}"/>
    <cellStyle name="20% - Accent4 2 2 2 6 2" xfId="8438" xr:uid="{00000000-0005-0000-0000-000073270000}"/>
    <cellStyle name="20% - Accent4 2 2 2 6 2 2" xfId="27889" xr:uid="{00000000-0005-0000-0000-000074270000}"/>
    <cellStyle name="20% - Accent4 2 2 2 6 2 3" xfId="37614" xr:uid="{00000000-0005-0000-0000-000075270000}"/>
    <cellStyle name="20% - Accent4 2 2 2 6 2 4" xfId="47339" xr:uid="{00000000-0005-0000-0000-000076270000}"/>
    <cellStyle name="20% - Accent4 2 2 2 6 2 5" xfId="18164" xr:uid="{00000000-0005-0000-0000-000077270000}"/>
    <cellStyle name="20% - Accent4 2 2 2 6 3" xfId="23027" xr:uid="{00000000-0005-0000-0000-000078270000}"/>
    <cellStyle name="20% - Accent4 2 2 2 6 4" xfId="32752" xr:uid="{00000000-0005-0000-0000-000079270000}"/>
    <cellStyle name="20% - Accent4 2 2 2 6 5" xfId="42477" xr:uid="{00000000-0005-0000-0000-00007A270000}"/>
    <cellStyle name="20% - Accent4 2 2 2 6 6" xfId="13302" xr:uid="{00000000-0005-0000-0000-00007B270000}"/>
    <cellStyle name="20% - Accent4 2 2 2 7" xfId="5198" xr:uid="{00000000-0005-0000-0000-00007C270000}"/>
    <cellStyle name="20% - Accent4 2 2 2 7 2" xfId="24649" xr:uid="{00000000-0005-0000-0000-00007D270000}"/>
    <cellStyle name="20% - Accent4 2 2 2 7 3" xfId="34374" xr:uid="{00000000-0005-0000-0000-00007E270000}"/>
    <cellStyle name="20% - Accent4 2 2 2 7 4" xfId="44099" xr:uid="{00000000-0005-0000-0000-00007F270000}"/>
    <cellStyle name="20% - Accent4 2 2 2 7 5" xfId="14924" xr:uid="{00000000-0005-0000-0000-000080270000}"/>
    <cellStyle name="20% - Accent4 2 2 2 8" xfId="19787" xr:uid="{00000000-0005-0000-0000-000081270000}"/>
    <cellStyle name="20% - Accent4 2 2 2 9" xfId="29512" xr:uid="{00000000-0005-0000-0000-000082270000}"/>
    <cellStyle name="20% - Accent4 2 2 3" xfId="365" xr:uid="{00000000-0005-0000-0000-000083270000}"/>
    <cellStyle name="20% - Accent4 2 2 3 10" xfId="39327" xr:uid="{00000000-0005-0000-0000-000084270000}"/>
    <cellStyle name="20% - Accent4 2 2 3 11" xfId="10152" xr:uid="{00000000-0005-0000-0000-000085270000}"/>
    <cellStyle name="20% - Accent4 2 2 3 2" xfId="1128" xr:uid="{00000000-0005-0000-0000-000086270000}"/>
    <cellStyle name="20% - Accent4 2 2 3 2 2" xfId="2766" xr:uid="{00000000-0005-0000-0000-000087270000}"/>
    <cellStyle name="20% - Accent4 2 2 3 2 2 2" xfId="7628" xr:uid="{00000000-0005-0000-0000-000088270000}"/>
    <cellStyle name="20% - Accent4 2 2 3 2 2 2 2" xfId="27079" xr:uid="{00000000-0005-0000-0000-000089270000}"/>
    <cellStyle name="20% - Accent4 2 2 3 2 2 2 3" xfId="36804" xr:uid="{00000000-0005-0000-0000-00008A270000}"/>
    <cellStyle name="20% - Accent4 2 2 3 2 2 2 4" xfId="46529" xr:uid="{00000000-0005-0000-0000-00008B270000}"/>
    <cellStyle name="20% - Accent4 2 2 3 2 2 2 5" xfId="17354" xr:uid="{00000000-0005-0000-0000-00008C270000}"/>
    <cellStyle name="20% - Accent4 2 2 3 2 2 3" xfId="22217" xr:uid="{00000000-0005-0000-0000-00008D270000}"/>
    <cellStyle name="20% - Accent4 2 2 3 2 2 4" xfId="31942" xr:uid="{00000000-0005-0000-0000-00008E270000}"/>
    <cellStyle name="20% - Accent4 2 2 3 2 2 5" xfId="41667" xr:uid="{00000000-0005-0000-0000-00008F270000}"/>
    <cellStyle name="20% - Accent4 2 2 3 2 2 6" xfId="12492" xr:uid="{00000000-0005-0000-0000-000090270000}"/>
    <cellStyle name="20% - Accent4 2 2 3 2 3" xfId="4386" xr:uid="{00000000-0005-0000-0000-000091270000}"/>
    <cellStyle name="20% - Accent4 2 2 3 2 3 2" xfId="9248" xr:uid="{00000000-0005-0000-0000-000092270000}"/>
    <cellStyle name="20% - Accent4 2 2 3 2 3 2 2" xfId="28699" xr:uid="{00000000-0005-0000-0000-000093270000}"/>
    <cellStyle name="20% - Accent4 2 2 3 2 3 2 3" xfId="38424" xr:uid="{00000000-0005-0000-0000-000094270000}"/>
    <cellStyle name="20% - Accent4 2 2 3 2 3 2 4" xfId="48149" xr:uid="{00000000-0005-0000-0000-000095270000}"/>
    <cellStyle name="20% - Accent4 2 2 3 2 3 2 5" xfId="18974" xr:uid="{00000000-0005-0000-0000-000096270000}"/>
    <cellStyle name="20% - Accent4 2 2 3 2 3 3" xfId="23837" xr:uid="{00000000-0005-0000-0000-000097270000}"/>
    <cellStyle name="20% - Accent4 2 2 3 2 3 4" xfId="33562" xr:uid="{00000000-0005-0000-0000-000098270000}"/>
    <cellStyle name="20% - Accent4 2 2 3 2 3 5" xfId="43287" xr:uid="{00000000-0005-0000-0000-000099270000}"/>
    <cellStyle name="20% - Accent4 2 2 3 2 3 6" xfId="14112" xr:uid="{00000000-0005-0000-0000-00009A270000}"/>
    <cellStyle name="20% - Accent4 2 2 3 2 4" xfId="6008" xr:uid="{00000000-0005-0000-0000-00009B270000}"/>
    <cellStyle name="20% - Accent4 2 2 3 2 4 2" xfId="25459" xr:uid="{00000000-0005-0000-0000-00009C270000}"/>
    <cellStyle name="20% - Accent4 2 2 3 2 4 3" xfId="35184" xr:uid="{00000000-0005-0000-0000-00009D270000}"/>
    <cellStyle name="20% - Accent4 2 2 3 2 4 4" xfId="44909" xr:uid="{00000000-0005-0000-0000-00009E270000}"/>
    <cellStyle name="20% - Accent4 2 2 3 2 4 5" xfId="15734" xr:uid="{00000000-0005-0000-0000-00009F270000}"/>
    <cellStyle name="20% - Accent4 2 2 3 2 5" xfId="20597" xr:uid="{00000000-0005-0000-0000-0000A0270000}"/>
    <cellStyle name="20% - Accent4 2 2 3 2 6" xfId="30322" xr:uid="{00000000-0005-0000-0000-0000A1270000}"/>
    <cellStyle name="20% - Accent4 2 2 3 2 7" xfId="40047" xr:uid="{00000000-0005-0000-0000-0000A2270000}"/>
    <cellStyle name="20% - Accent4 2 2 3 2 8" xfId="10872" xr:uid="{00000000-0005-0000-0000-0000A3270000}"/>
    <cellStyle name="20% - Accent4 2 2 3 3" xfId="1595" xr:uid="{00000000-0005-0000-0000-0000A4270000}"/>
    <cellStyle name="20% - Accent4 2 2 3 3 2" xfId="3216" xr:uid="{00000000-0005-0000-0000-0000A5270000}"/>
    <cellStyle name="20% - Accent4 2 2 3 3 2 2" xfId="8078" xr:uid="{00000000-0005-0000-0000-0000A6270000}"/>
    <cellStyle name="20% - Accent4 2 2 3 3 2 2 2" xfId="27529" xr:uid="{00000000-0005-0000-0000-0000A7270000}"/>
    <cellStyle name="20% - Accent4 2 2 3 3 2 2 3" xfId="37254" xr:uid="{00000000-0005-0000-0000-0000A8270000}"/>
    <cellStyle name="20% - Accent4 2 2 3 3 2 2 4" xfId="46979" xr:uid="{00000000-0005-0000-0000-0000A9270000}"/>
    <cellStyle name="20% - Accent4 2 2 3 3 2 2 5" xfId="17804" xr:uid="{00000000-0005-0000-0000-0000AA270000}"/>
    <cellStyle name="20% - Accent4 2 2 3 3 2 3" xfId="22667" xr:uid="{00000000-0005-0000-0000-0000AB270000}"/>
    <cellStyle name="20% - Accent4 2 2 3 3 2 4" xfId="32392" xr:uid="{00000000-0005-0000-0000-0000AC270000}"/>
    <cellStyle name="20% - Accent4 2 2 3 3 2 5" xfId="42117" xr:uid="{00000000-0005-0000-0000-0000AD270000}"/>
    <cellStyle name="20% - Accent4 2 2 3 3 2 6" xfId="12942" xr:uid="{00000000-0005-0000-0000-0000AE270000}"/>
    <cellStyle name="20% - Accent4 2 2 3 3 3" xfId="4836" xr:uid="{00000000-0005-0000-0000-0000AF270000}"/>
    <cellStyle name="20% - Accent4 2 2 3 3 3 2" xfId="9698" xr:uid="{00000000-0005-0000-0000-0000B0270000}"/>
    <cellStyle name="20% - Accent4 2 2 3 3 3 2 2" xfId="29149" xr:uid="{00000000-0005-0000-0000-0000B1270000}"/>
    <cellStyle name="20% - Accent4 2 2 3 3 3 2 3" xfId="38874" xr:uid="{00000000-0005-0000-0000-0000B2270000}"/>
    <cellStyle name="20% - Accent4 2 2 3 3 3 2 4" xfId="48599" xr:uid="{00000000-0005-0000-0000-0000B3270000}"/>
    <cellStyle name="20% - Accent4 2 2 3 3 3 2 5" xfId="19424" xr:uid="{00000000-0005-0000-0000-0000B4270000}"/>
    <cellStyle name="20% - Accent4 2 2 3 3 3 3" xfId="24287" xr:uid="{00000000-0005-0000-0000-0000B5270000}"/>
    <cellStyle name="20% - Accent4 2 2 3 3 3 4" xfId="34012" xr:uid="{00000000-0005-0000-0000-0000B6270000}"/>
    <cellStyle name="20% - Accent4 2 2 3 3 3 5" xfId="43737" xr:uid="{00000000-0005-0000-0000-0000B7270000}"/>
    <cellStyle name="20% - Accent4 2 2 3 3 3 6" xfId="14562" xr:uid="{00000000-0005-0000-0000-0000B8270000}"/>
    <cellStyle name="20% - Accent4 2 2 3 3 4" xfId="6458" xr:uid="{00000000-0005-0000-0000-0000B9270000}"/>
    <cellStyle name="20% - Accent4 2 2 3 3 4 2" xfId="25909" xr:uid="{00000000-0005-0000-0000-0000BA270000}"/>
    <cellStyle name="20% - Accent4 2 2 3 3 4 3" xfId="35634" xr:uid="{00000000-0005-0000-0000-0000BB270000}"/>
    <cellStyle name="20% - Accent4 2 2 3 3 4 4" xfId="45359" xr:uid="{00000000-0005-0000-0000-0000BC270000}"/>
    <cellStyle name="20% - Accent4 2 2 3 3 4 5" xfId="16184" xr:uid="{00000000-0005-0000-0000-0000BD270000}"/>
    <cellStyle name="20% - Accent4 2 2 3 3 5" xfId="21047" xr:uid="{00000000-0005-0000-0000-0000BE270000}"/>
    <cellStyle name="20% - Accent4 2 2 3 3 6" xfId="30772" xr:uid="{00000000-0005-0000-0000-0000BF270000}"/>
    <cellStyle name="20% - Accent4 2 2 3 3 7" xfId="40497" xr:uid="{00000000-0005-0000-0000-0000C0270000}"/>
    <cellStyle name="20% - Accent4 2 2 3 3 8" xfId="11322" xr:uid="{00000000-0005-0000-0000-0000C1270000}"/>
    <cellStyle name="20% - Accent4 2 2 3 4" xfId="766" xr:uid="{00000000-0005-0000-0000-0000C2270000}"/>
    <cellStyle name="20% - Accent4 2 2 3 4 2" xfId="2406" xr:uid="{00000000-0005-0000-0000-0000C3270000}"/>
    <cellStyle name="20% - Accent4 2 2 3 4 2 2" xfId="7268" xr:uid="{00000000-0005-0000-0000-0000C4270000}"/>
    <cellStyle name="20% - Accent4 2 2 3 4 2 2 2" xfId="26719" xr:uid="{00000000-0005-0000-0000-0000C5270000}"/>
    <cellStyle name="20% - Accent4 2 2 3 4 2 2 3" xfId="36444" xr:uid="{00000000-0005-0000-0000-0000C6270000}"/>
    <cellStyle name="20% - Accent4 2 2 3 4 2 2 4" xfId="46169" xr:uid="{00000000-0005-0000-0000-0000C7270000}"/>
    <cellStyle name="20% - Accent4 2 2 3 4 2 2 5" xfId="16994" xr:uid="{00000000-0005-0000-0000-0000C8270000}"/>
    <cellStyle name="20% - Accent4 2 2 3 4 2 3" xfId="21857" xr:uid="{00000000-0005-0000-0000-0000C9270000}"/>
    <cellStyle name="20% - Accent4 2 2 3 4 2 4" xfId="31582" xr:uid="{00000000-0005-0000-0000-0000CA270000}"/>
    <cellStyle name="20% - Accent4 2 2 3 4 2 5" xfId="41307" xr:uid="{00000000-0005-0000-0000-0000CB270000}"/>
    <cellStyle name="20% - Accent4 2 2 3 4 2 6" xfId="12132" xr:uid="{00000000-0005-0000-0000-0000CC270000}"/>
    <cellStyle name="20% - Accent4 2 2 3 4 3" xfId="4026" xr:uid="{00000000-0005-0000-0000-0000CD270000}"/>
    <cellStyle name="20% - Accent4 2 2 3 4 3 2" xfId="8888" xr:uid="{00000000-0005-0000-0000-0000CE270000}"/>
    <cellStyle name="20% - Accent4 2 2 3 4 3 2 2" xfId="28339" xr:uid="{00000000-0005-0000-0000-0000CF270000}"/>
    <cellStyle name="20% - Accent4 2 2 3 4 3 2 3" xfId="38064" xr:uid="{00000000-0005-0000-0000-0000D0270000}"/>
    <cellStyle name="20% - Accent4 2 2 3 4 3 2 4" xfId="47789" xr:uid="{00000000-0005-0000-0000-0000D1270000}"/>
    <cellStyle name="20% - Accent4 2 2 3 4 3 2 5" xfId="18614" xr:uid="{00000000-0005-0000-0000-0000D2270000}"/>
    <cellStyle name="20% - Accent4 2 2 3 4 3 3" xfId="23477" xr:uid="{00000000-0005-0000-0000-0000D3270000}"/>
    <cellStyle name="20% - Accent4 2 2 3 4 3 4" xfId="33202" xr:uid="{00000000-0005-0000-0000-0000D4270000}"/>
    <cellStyle name="20% - Accent4 2 2 3 4 3 5" xfId="42927" xr:uid="{00000000-0005-0000-0000-0000D5270000}"/>
    <cellStyle name="20% - Accent4 2 2 3 4 3 6" xfId="13752" xr:uid="{00000000-0005-0000-0000-0000D6270000}"/>
    <cellStyle name="20% - Accent4 2 2 3 4 4" xfId="5648" xr:uid="{00000000-0005-0000-0000-0000D7270000}"/>
    <cellStyle name="20% - Accent4 2 2 3 4 4 2" xfId="25099" xr:uid="{00000000-0005-0000-0000-0000D8270000}"/>
    <cellStyle name="20% - Accent4 2 2 3 4 4 3" xfId="34824" xr:uid="{00000000-0005-0000-0000-0000D9270000}"/>
    <cellStyle name="20% - Accent4 2 2 3 4 4 4" xfId="44549" xr:uid="{00000000-0005-0000-0000-0000DA270000}"/>
    <cellStyle name="20% - Accent4 2 2 3 4 4 5" xfId="15374" xr:uid="{00000000-0005-0000-0000-0000DB270000}"/>
    <cellStyle name="20% - Accent4 2 2 3 4 5" xfId="20237" xr:uid="{00000000-0005-0000-0000-0000DC270000}"/>
    <cellStyle name="20% - Accent4 2 2 3 4 6" xfId="29962" xr:uid="{00000000-0005-0000-0000-0000DD270000}"/>
    <cellStyle name="20% - Accent4 2 2 3 4 7" xfId="39687" xr:uid="{00000000-0005-0000-0000-0000DE270000}"/>
    <cellStyle name="20% - Accent4 2 2 3 4 8" xfId="10512" xr:uid="{00000000-0005-0000-0000-0000DF270000}"/>
    <cellStyle name="20% - Accent4 2 2 3 5" xfId="2046" xr:uid="{00000000-0005-0000-0000-0000E0270000}"/>
    <cellStyle name="20% - Accent4 2 2 3 5 2" xfId="6908" xr:uid="{00000000-0005-0000-0000-0000E1270000}"/>
    <cellStyle name="20% - Accent4 2 2 3 5 2 2" xfId="26359" xr:uid="{00000000-0005-0000-0000-0000E2270000}"/>
    <cellStyle name="20% - Accent4 2 2 3 5 2 3" xfId="36084" xr:uid="{00000000-0005-0000-0000-0000E3270000}"/>
    <cellStyle name="20% - Accent4 2 2 3 5 2 4" xfId="45809" xr:uid="{00000000-0005-0000-0000-0000E4270000}"/>
    <cellStyle name="20% - Accent4 2 2 3 5 2 5" xfId="16634" xr:uid="{00000000-0005-0000-0000-0000E5270000}"/>
    <cellStyle name="20% - Accent4 2 2 3 5 3" xfId="21497" xr:uid="{00000000-0005-0000-0000-0000E6270000}"/>
    <cellStyle name="20% - Accent4 2 2 3 5 4" xfId="31222" xr:uid="{00000000-0005-0000-0000-0000E7270000}"/>
    <cellStyle name="20% - Accent4 2 2 3 5 5" xfId="40947" xr:uid="{00000000-0005-0000-0000-0000E8270000}"/>
    <cellStyle name="20% - Accent4 2 2 3 5 6" xfId="11772" xr:uid="{00000000-0005-0000-0000-0000E9270000}"/>
    <cellStyle name="20% - Accent4 2 2 3 6" xfId="3666" xr:uid="{00000000-0005-0000-0000-0000EA270000}"/>
    <cellStyle name="20% - Accent4 2 2 3 6 2" xfId="8528" xr:uid="{00000000-0005-0000-0000-0000EB270000}"/>
    <cellStyle name="20% - Accent4 2 2 3 6 2 2" xfId="27979" xr:uid="{00000000-0005-0000-0000-0000EC270000}"/>
    <cellStyle name="20% - Accent4 2 2 3 6 2 3" xfId="37704" xr:uid="{00000000-0005-0000-0000-0000ED270000}"/>
    <cellStyle name="20% - Accent4 2 2 3 6 2 4" xfId="47429" xr:uid="{00000000-0005-0000-0000-0000EE270000}"/>
    <cellStyle name="20% - Accent4 2 2 3 6 2 5" xfId="18254" xr:uid="{00000000-0005-0000-0000-0000EF270000}"/>
    <cellStyle name="20% - Accent4 2 2 3 6 3" xfId="23117" xr:uid="{00000000-0005-0000-0000-0000F0270000}"/>
    <cellStyle name="20% - Accent4 2 2 3 6 4" xfId="32842" xr:uid="{00000000-0005-0000-0000-0000F1270000}"/>
    <cellStyle name="20% - Accent4 2 2 3 6 5" xfId="42567" xr:uid="{00000000-0005-0000-0000-0000F2270000}"/>
    <cellStyle name="20% - Accent4 2 2 3 6 6" xfId="13392" xr:uid="{00000000-0005-0000-0000-0000F3270000}"/>
    <cellStyle name="20% - Accent4 2 2 3 7" xfId="5288" xr:uid="{00000000-0005-0000-0000-0000F4270000}"/>
    <cellStyle name="20% - Accent4 2 2 3 7 2" xfId="24739" xr:uid="{00000000-0005-0000-0000-0000F5270000}"/>
    <cellStyle name="20% - Accent4 2 2 3 7 3" xfId="34464" xr:uid="{00000000-0005-0000-0000-0000F6270000}"/>
    <cellStyle name="20% - Accent4 2 2 3 7 4" xfId="44189" xr:uid="{00000000-0005-0000-0000-0000F7270000}"/>
    <cellStyle name="20% - Accent4 2 2 3 7 5" xfId="15014" xr:uid="{00000000-0005-0000-0000-0000F8270000}"/>
    <cellStyle name="20% - Accent4 2 2 3 8" xfId="19877" xr:uid="{00000000-0005-0000-0000-0000F9270000}"/>
    <cellStyle name="20% - Accent4 2 2 3 9" xfId="29602" xr:uid="{00000000-0005-0000-0000-0000FA270000}"/>
    <cellStyle name="20% - Accent4 2 2 4" xfId="183" xr:uid="{00000000-0005-0000-0000-0000FB270000}"/>
    <cellStyle name="20% - Accent4 2 2 4 10" xfId="39147" xr:uid="{00000000-0005-0000-0000-0000FC270000}"/>
    <cellStyle name="20% - Accent4 2 2 4 11" xfId="9972" xr:uid="{00000000-0005-0000-0000-0000FD270000}"/>
    <cellStyle name="20% - Accent4 2 2 4 2" xfId="947" xr:uid="{00000000-0005-0000-0000-0000FE270000}"/>
    <cellStyle name="20% - Accent4 2 2 4 2 2" xfId="2586" xr:uid="{00000000-0005-0000-0000-0000FF270000}"/>
    <cellStyle name="20% - Accent4 2 2 4 2 2 2" xfId="7448" xr:uid="{00000000-0005-0000-0000-000000280000}"/>
    <cellStyle name="20% - Accent4 2 2 4 2 2 2 2" xfId="26899" xr:uid="{00000000-0005-0000-0000-000001280000}"/>
    <cellStyle name="20% - Accent4 2 2 4 2 2 2 3" xfId="36624" xr:uid="{00000000-0005-0000-0000-000002280000}"/>
    <cellStyle name="20% - Accent4 2 2 4 2 2 2 4" xfId="46349" xr:uid="{00000000-0005-0000-0000-000003280000}"/>
    <cellStyle name="20% - Accent4 2 2 4 2 2 2 5" xfId="17174" xr:uid="{00000000-0005-0000-0000-000004280000}"/>
    <cellStyle name="20% - Accent4 2 2 4 2 2 3" xfId="22037" xr:uid="{00000000-0005-0000-0000-000005280000}"/>
    <cellStyle name="20% - Accent4 2 2 4 2 2 4" xfId="31762" xr:uid="{00000000-0005-0000-0000-000006280000}"/>
    <cellStyle name="20% - Accent4 2 2 4 2 2 5" xfId="41487" xr:uid="{00000000-0005-0000-0000-000007280000}"/>
    <cellStyle name="20% - Accent4 2 2 4 2 2 6" xfId="12312" xr:uid="{00000000-0005-0000-0000-000008280000}"/>
    <cellStyle name="20% - Accent4 2 2 4 2 3" xfId="4206" xr:uid="{00000000-0005-0000-0000-000009280000}"/>
    <cellStyle name="20% - Accent4 2 2 4 2 3 2" xfId="9068" xr:uid="{00000000-0005-0000-0000-00000A280000}"/>
    <cellStyle name="20% - Accent4 2 2 4 2 3 2 2" xfId="28519" xr:uid="{00000000-0005-0000-0000-00000B280000}"/>
    <cellStyle name="20% - Accent4 2 2 4 2 3 2 3" xfId="38244" xr:uid="{00000000-0005-0000-0000-00000C280000}"/>
    <cellStyle name="20% - Accent4 2 2 4 2 3 2 4" xfId="47969" xr:uid="{00000000-0005-0000-0000-00000D280000}"/>
    <cellStyle name="20% - Accent4 2 2 4 2 3 2 5" xfId="18794" xr:uid="{00000000-0005-0000-0000-00000E280000}"/>
    <cellStyle name="20% - Accent4 2 2 4 2 3 3" xfId="23657" xr:uid="{00000000-0005-0000-0000-00000F280000}"/>
    <cellStyle name="20% - Accent4 2 2 4 2 3 4" xfId="33382" xr:uid="{00000000-0005-0000-0000-000010280000}"/>
    <cellStyle name="20% - Accent4 2 2 4 2 3 5" xfId="43107" xr:uid="{00000000-0005-0000-0000-000011280000}"/>
    <cellStyle name="20% - Accent4 2 2 4 2 3 6" xfId="13932" xr:uid="{00000000-0005-0000-0000-000012280000}"/>
    <cellStyle name="20% - Accent4 2 2 4 2 4" xfId="5828" xr:uid="{00000000-0005-0000-0000-000013280000}"/>
    <cellStyle name="20% - Accent4 2 2 4 2 4 2" xfId="25279" xr:uid="{00000000-0005-0000-0000-000014280000}"/>
    <cellStyle name="20% - Accent4 2 2 4 2 4 3" xfId="35004" xr:uid="{00000000-0005-0000-0000-000015280000}"/>
    <cellStyle name="20% - Accent4 2 2 4 2 4 4" xfId="44729" xr:uid="{00000000-0005-0000-0000-000016280000}"/>
    <cellStyle name="20% - Accent4 2 2 4 2 4 5" xfId="15554" xr:uid="{00000000-0005-0000-0000-000017280000}"/>
    <cellStyle name="20% - Accent4 2 2 4 2 5" xfId="20417" xr:uid="{00000000-0005-0000-0000-000018280000}"/>
    <cellStyle name="20% - Accent4 2 2 4 2 6" xfId="30142" xr:uid="{00000000-0005-0000-0000-000019280000}"/>
    <cellStyle name="20% - Accent4 2 2 4 2 7" xfId="39867" xr:uid="{00000000-0005-0000-0000-00001A280000}"/>
    <cellStyle name="20% - Accent4 2 2 4 2 8" xfId="10692" xr:uid="{00000000-0005-0000-0000-00001B280000}"/>
    <cellStyle name="20% - Accent4 2 2 4 3" xfId="1415" xr:uid="{00000000-0005-0000-0000-00001C280000}"/>
    <cellStyle name="20% - Accent4 2 2 4 3 2" xfId="3036" xr:uid="{00000000-0005-0000-0000-00001D280000}"/>
    <cellStyle name="20% - Accent4 2 2 4 3 2 2" xfId="7898" xr:uid="{00000000-0005-0000-0000-00001E280000}"/>
    <cellStyle name="20% - Accent4 2 2 4 3 2 2 2" xfId="27349" xr:uid="{00000000-0005-0000-0000-00001F280000}"/>
    <cellStyle name="20% - Accent4 2 2 4 3 2 2 3" xfId="37074" xr:uid="{00000000-0005-0000-0000-000020280000}"/>
    <cellStyle name="20% - Accent4 2 2 4 3 2 2 4" xfId="46799" xr:uid="{00000000-0005-0000-0000-000021280000}"/>
    <cellStyle name="20% - Accent4 2 2 4 3 2 2 5" xfId="17624" xr:uid="{00000000-0005-0000-0000-000022280000}"/>
    <cellStyle name="20% - Accent4 2 2 4 3 2 3" xfId="22487" xr:uid="{00000000-0005-0000-0000-000023280000}"/>
    <cellStyle name="20% - Accent4 2 2 4 3 2 4" xfId="32212" xr:uid="{00000000-0005-0000-0000-000024280000}"/>
    <cellStyle name="20% - Accent4 2 2 4 3 2 5" xfId="41937" xr:uid="{00000000-0005-0000-0000-000025280000}"/>
    <cellStyle name="20% - Accent4 2 2 4 3 2 6" xfId="12762" xr:uid="{00000000-0005-0000-0000-000026280000}"/>
    <cellStyle name="20% - Accent4 2 2 4 3 3" xfId="4656" xr:uid="{00000000-0005-0000-0000-000027280000}"/>
    <cellStyle name="20% - Accent4 2 2 4 3 3 2" xfId="9518" xr:uid="{00000000-0005-0000-0000-000028280000}"/>
    <cellStyle name="20% - Accent4 2 2 4 3 3 2 2" xfId="28969" xr:uid="{00000000-0005-0000-0000-000029280000}"/>
    <cellStyle name="20% - Accent4 2 2 4 3 3 2 3" xfId="38694" xr:uid="{00000000-0005-0000-0000-00002A280000}"/>
    <cellStyle name="20% - Accent4 2 2 4 3 3 2 4" xfId="48419" xr:uid="{00000000-0005-0000-0000-00002B280000}"/>
    <cellStyle name="20% - Accent4 2 2 4 3 3 2 5" xfId="19244" xr:uid="{00000000-0005-0000-0000-00002C280000}"/>
    <cellStyle name="20% - Accent4 2 2 4 3 3 3" xfId="24107" xr:uid="{00000000-0005-0000-0000-00002D280000}"/>
    <cellStyle name="20% - Accent4 2 2 4 3 3 4" xfId="33832" xr:uid="{00000000-0005-0000-0000-00002E280000}"/>
    <cellStyle name="20% - Accent4 2 2 4 3 3 5" xfId="43557" xr:uid="{00000000-0005-0000-0000-00002F280000}"/>
    <cellStyle name="20% - Accent4 2 2 4 3 3 6" xfId="14382" xr:uid="{00000000-0005-0000-0000-000030280000}"/>
    <cellStyle name="20% - Accent4 2 2 4 3 4" xfId="6278" xr:uid="{00000000-0005-0000-0000-000031280000}"/>
    <cellStyle name="20% - Accent4 2 2 4 3 4 2" xfId="25729" xr:uid="{00000000-0005-0000-0000-000032280000}"/>
    <cellStyle name="20% - Accent4 2 2 4 3 4 3" xfId="35454" xr:uid="{00000000-0005-0000-0000-000033280000}"/>
    <cellStyle name="20% - Accent4 2 2 4 3 4 4" xfId="45179" xr:uid="{00000000-0005-0000-0000-000034280000}"/>
    <cellStyle name="20% - Accent4 2 2 4 3 4 5" xfId="16004" xr:uid="{00000000-0005-0000-0000-000035280000}"/>
    <cellStyle name="20% - Accent4 2 2 4 3 5" xfId="20867" xr:uid="{00000000-0005-0000-0000-000036280000}"/>
    <cellStyle name="20% - Accent4 2 2 4 3 6" xfId="30592" xr:uid="{00000000-0005-0000-0000-000037280000}"/>
    <cellStyle name="20% - Accent4 2 2 4 3 7" xfId="40317" xr:uid="{00000000-0005-0000-0000-000038280000}"/>
    <cellStyle name="20% - Accent4 2 2 4 3 8" xfId="11142" xr:uid="{00000000-0005-0000-0000-000039280000}"/>
    <cellStyle name="20% - Accent4 2 2 4 4" xfId="586" xr:uid="{00000000-0005-0000-0000-00003A280000}"/>
    <cellStyle name="20% - Accent4 2 2 4 4 2" xfId="2226" xr:uid="{00000000-0005-0000-0000-00003B280000}"/>
    <cellStyle name="20% - Accent4 2 2 4 4 2 2" xfId="7088" xr:uid="{00000000-0005-0000-0000-00003C280000}"/>
    <cellStyle name="20% - Accent4 2 2 4 4 2 2 2" xfId="26539" xr:uid="{00000000-0005-0000-0000-00003D280000}"/>
    <cellStyle name="20% - Accent4 2 2 4 4 2 2 3" xfId="36264" xr:uid="{00000000-0005-0000-0000-00003E280000}"/>
    <cellStyle name="20% - Accent4 2 2 4 4 2 2 4" xfId="45989" xr:uid="{00000000-0005-0000-0000-00003F280000}"/>
    <cellStyle name="20% - Accent4 2 2 4 4 2 2 5" xfId="16814" xr:uid="{00000000-0005-0000-0000-000040280000}"/>
    <cellStyle name="20% - Accent4 2 2 4 4 2 3" xfId="21677" xr:uid="{00000000-0005-0000-0000-000041280000}"/>
    <cellStyle name="20% - Accent4 2 2 4 4 2 4" xfId="31402" xr:uid="{00000000-0005-0000-0000-000042280000}"/>
    <cellStyle name="20% - Accent4 2 2 4 4 2 5" xfId="41127" xr:uid="{00000000-0005-0000-0000-000043280000}"/>
    <cellStyle name="20% - Accent4 2 2 4 4 2 6" xfId="11952" xr:uid="{00000000-0005-0000-0000-000044280000}"/>
    <cellStyle name="20% - Accent4 2 2 4 4 3" xfId="3846" xr:uid="{00000000-0005-0000-0000-000045280000}"/>
    <cellStyle name="20% - Accent4 2 2 4 4 3 2" xfId="8708" xr:uid="{00000000-0005-0000-0000-000046280000}"/>
    <cellStyle name="20% - Accent4 2 2 4 4 3 2 2" xfId="28159" xr:uid="{00000000-0005-0000-0000-000047280000}"/>
    <cellStyle name="20% - Accent4 2 2 4 4 3 2 3" xfId="37884" xr:uid="{00000000-0005-0000-0000-000048280000}"/>
    <cellStyle name="20% - Accent4 2 2 4 4 3 2 4" xfId="47609" xr:uid="{00000000-0005-0000-0000-000049280000}"/>
    <cellStyle name="20% - Accent4 2 2 4 4 3 2 5" xfId="18434" xr:uid="{00000000-0005-0000-0000-00004A280000}"/>
    <cellStyle name="20% - Accent4 2 2 4 4 3 3" xfId="23297" xr:uid="{00000000-0005-0000-0000-00004B280000}"/>
    <cellStyle name="20% - Accent4 2 2 4 4 3 4" xfId="33022" xr:uid="{00000000-0005-0000-0000-00004C280000}"/>
    <cellStyle name="20% - Accent4 2 2 4 4 3 5" xfId="42747" xr:uid="{00000000-0005-0000-0000-00004D280000}"/>
    <cellStyle name="20% - Accent4 2 2 4 4 3 6" xfId="13572" xr:uid="{00000000-0005-0000-0000-00004E280000}"/>
    <cellStyle name="20% - Accent4 2 2 4 4 4" xfId="5468" xr:uid="{00000000-0005-0000-0000-00004F280000}"/>
    <cellStyle name="20% - Accent4 2 2 4 4 4 2" xfId="24919" xr:uid="{00000000-0005-0000-0000-000050280000}"/>
    <cellStyle name="20% - Accent4 2 2 4 4 4 3" xfId="34644" xr:uid="{00000000-0005-0000-0000-000051280000}"/>
    <cellStyle name="20% - Accent4 2 2 4 4 4 4" xfId="44369" xr:uid="{00000000-0005-0000-0000-000052280000}"/>
    <cellStyle name="20% - Accent4 2 2 4 4 4 5" xfId="15194" xr:uid="{00000000-0005-0000-0000-000053280000}"/>
    <cellStyle name="20% - Accent4 2 2 4 4 5" xfId="20057" xr:uid="{00000000-0005-0000-0000-000054280000}"/>
    <cellStyle name="20% - Accent4 2 2 4 4 6" xfId="29782" xr:uid="{00000000-0005-0000-0000-000055280000}"/>
    <cellStyle name="20% - Accent4 2 2 4 4 7" xfId="39507" xr:uid="{00000000-0005-0000-0000-000056280000}"/>
    <cellStyle name="20% - Accent4 2 2 4 4 8" xfId="10332" xr:uid="{00000000-0005-0000-0000-000057280000}"/>
    <cellStyle name="20% - Accent4 2 2 4 5" xfId="1866" xr:uid="{00000000-0005-0000-0000-000058280000}"/>
    <cellStyle name="20% - Accent4 2 2 4 5 2" xfId="6728" xr:uid="{00000000-0005-0000-0000-000059280000}"/>
    <cellStyle name="20% - Accent4 2 2 4 5 2 2" xfId="26179" xr:uid="{00000000-0005-0000-0000-00005A280000}"/>
    <cellStyle name="20% - Accent4 2 2 4 5 2 3" xfId="35904" xr:uid="{00000000-0005-0000-0000-00005B280000}"/>
    <cellStyle name="20% - Accent4 2 2 4 5 2 4" xfId="45629" xr:uid="{00000000-0005-0000-0000-00005C280000}"/>
    <cellStyle name="20% - Accent4 2 2 4 5 2 5" xfId="16454" xr:uid="{00000000-0005-0000-0000-00005D280000}"/>
    <cellStyle name="20% - Accent4 2 2 4 5 3" xfId="21317" xr:uid="{00000000-0005-0000-0000-00005E280000}"/>
    <cellStyle name="20% - Accent4 2 2 4 5 4" xfId="31042" xr:uid="{00000000-0005-0000-0000-00005F280000}"/>
    <cellStyle name="20% - Accent4 2 2 4 5 5" xfId="40767" xr:uid="{00000000-0005-0000-0000-000060280000}"/>
    <cellStyle name="20% - Accent4 2 2 4 5 6" xfId="11592" xr:uid="{00000000-0005-0000-0000-000061280000}"/>
    <cellStyle name="20% - Accent4 2 2 4 6" xfId="3486" xr:uid="{00000000-0005-0000-0000-000062280000}"/>
    <cellStyle name="20% - Accent4 2 2 4 6 2" xfId="8348" xr:uid="{00000000-0005-0000-0000-000063280000}"/>
    <cellStyle name="20% - Accent4 2 2 4 6 2 2" xfId="27799" xr:uid="{00000000-0005-0000-0000-000064280000}"/>
    <cellStyle name="20% - Accent4 2 2 4 6 2 3" xfId="37524" xr:uid="{00000000-0005-0000-0000-000065280000}"/>
    <cellStyle name="20% - Accent4 2 2 4 6 2 4" xfId="47249" xr:uid="{00000000-0005-0000-0000-000066280000}"/>
    <cellStyle name="20% - Accent4 2 2 4 6 2 5" xfId="18074" xr:uid="{00000000-0005-0000-0000-000067280000}"/>
    <cellStyle name="20% - Accent4 2 2 4 6 3" xfId="22937" xr:uid="{00000000-0005-0000-0000-000068280000}"/>
    <cellStyle name="20% - Accent4 2 2 4 6 4" xfId="32662" xr:uid="{00000000-0005-0000-0000-000069280000}"/>
    <cellStyle name="20% - Accent4 2 2 4 6 5" xfId="42387" xr:uid="{00000000-0005-0000-0000-00006A280000}"/>
    <cellStyle name="20% - Accent4 2 2 4 6 6" xfId="13212" xr:uid="{00000000-0005-0000-0000-00006B280000}"/>
    <cellStyle name="20% - Accent4 2 2 4 7" xfId="5108" xr:uid="{00000000-0005-0000-0000-00006C280000}"/>
    <cellStyle name="20% - Accent4 2 2 4 7 2" xfId="24559" xr:uid="{00000000-0005-0000-0000-00006D280000}"/>
    <cellStyle name="20% - Accent4 2 2 4 7 3" xfId="34284" xr:uid="{00000000-0005-0000-0000-00006E280000}"/>
    <cellStyle name="20% - Accent4 2 2 4 7 4" xfId="44009" xr:uid="{00000000-0005-0000-0000-00006F280000}"/>
    <cellStyle name="20% - Accent4 2 2 4 7 5" xfId="14834" xr:uid="{00000000-0005-0000-0000-000070280000}"/>
    <cellStyle name="20% - Accent4 2 2 4 8" xfId="19697" xr:uid="{00000000-0005-0000-0000-000071280000}"/>
    <cellStyle name="20% - Accent4 2 2 4 9" xfId="29422" xr:uid="{00000000-0005-0000-0000-000072280000}"/>
    <cellStyle name="20% - Accent4 2 2 5" xfId="857" xr:uid="{00000000-0005-0000-0000-000073280000}"/>
    <cellStyle name="20% - Accent4 2 2 5 2" xfId="2496" xr:uid="{00000000-0005-0000-0000-000074280000}"/>
    <cellStyle name="20% - Accent4 2 2 5 2 2" xfId="7358" xr:uid="{00000000-0005-0000-0000-000075280000}"/>
    <cellStyle name="20% - Accent4 2 2 5 2 2 2" xfId="26809" xr:uid="{00000000-0005-0000-0000-000076280000}"/>
    <cellStyle name="20% - Accent4 2 2 5 2 2 3" xfId="36534" xr:uid="{00000000-0005-0000-0000-000077280000}"/>
    <cellStyle name="20% - Accent4 2 2 5 2 2 4" xfId="46259" xr:uid="{00000000-0005-0000-0000-000078280000}"/>
    <cellStyle name="20% - Accent4 2 2 5 2 2 5" xfId="17084" xr:uid="{00000000-0005-0000-0000-000079280000}"/>
    <cellStyle name="20% - Accent4 2 2 5 2 3" xfId="21947" xr:uid="{00000000-0005-0000-0000-00007A280000}"/>
    <cellStyle name="20% - Accent4 2 2 5 2 4" xfId="31672" xr:uid="{00000000-0005-0000-0000-00007B280000}"/>
    <cellStyle name="20% - Accent4 2 2 5 2 5" xfId="41397" xr:uid="{00000000-0005-0000-0000-00007C280000}"/>
    <cellStyle name="20% - Accent4 2 2 5 2 6" xfId="12222" xr:uid="{00000000-0005-0000-0000-00007D280000}"/>
    <cellStyle name="20% - Accent4 2 2 5 3" xfId="4116" xr:uid="{00000000-0005-0000-0000-00007E280000}"/>
    <cellStyle name="20% - Accent4 2 2 5 3 2" xfId="8978" xr:uid="{00000000-0005-0000-0000-00007F280000}"/>
    <cellStyle name="20% - Accent4 2 2 5 3 2 2" xfId="28429" xr:uid="{00000000-0005-0000-0000-000080280000}"/>
    <cellStyle name="20% - Accent4 2 2 5 3 2 3" xfId="38154" xr:uid="{00000000-0005-0000-0000-000081280000}"/>
    <cellStyle name="20% - Accent4 2 2 5 3 2 4" xfId="47879" xr:uid="{00000000-0005-0000-0000-000082280000}"/>
    <cellStyle name="20% - Accent4 2 2 5 3 2 5" xfId="18704" xr:uid="{00000000-0005-0000-0000-000083280000}"/>
    <cellStyle name="20% - Accent4 2 2 5 3 3" xfId="23567" xr:uid="{00000000-0005-0000-0000-000084280000}"/>
    <cellStyle name="20% - Accent4 2 2 5 3 4" xfId="33292" xr:uid="{00000000-0005-0000-0000-000085280000}"/>
    <cellStyle name="20% - Accent4 2 2 5 3 5" xfId="43017" xr:uid="{00000000-0005-0000-0000-000086280000}"/>
    <cellStyle name="20% - Accent4 2 2 5 3 6" xfId="13842" xr:uid="{00000000-0005-0000-0000-000087280000}"/>
    <cellStyle name="20% - Accent4 2 2 5 4" xfId="5738" xr:uid="{00000000-0005-0000-0000-000088280000}"/>
    <cellStyle name="20% - Accent4 2 2 5 4 2" xfId="25189" xr:uid="{00000000-0005-0000-0000-000089280000}"/>
    <cellStyle name="20% - Accent4 2 2 5 4 3" xfId="34914" xr:uid="{00000000-0005-0000-0000-00008A280000}"/>
    <cellStyle name="20% - Accent4 2 2 5 4 4" xfId="44639" xr:uid="{00000000-0005-0000-0000-00008B280000}"/>
    <cellStyle name="20% - Accent4 2 2 5 4 5" xfId="15464" xr:uid="{00000000-0005-0000-0000-00008C280000}"/>
    <cellStyle name="20% - Accent4 2 2 5 5" xfId="20327" xr:uid="{00000000-0005-0000-0000-00008D280000}"/>
    <cellStyle name="20% - Accent4 2 2 5 6" xfId="30052" xr:uid="{00000000-0005-0000-0000-00008E280000}"/>
    <cellStyle name="20% - Accent4 2 2 5 7" xfId="39777" xr:uid="{00000000-0005-0000-0000-00008F280000}"/>
    <cellStyle name="20% - Accent4 2 2 5 8" xfId="10602" xr:uid="{00000000-0005-0000-0000-000090280000}"/>
    <cellStyle name="20% - Accent4 2 2 6" xfId="1235" xr:uid="{00000000-0005-0000-0000-000091280000}"/>
    <cellStyle name="20% - Accent4 2 2 6 2" xfId="2856" xr:uid="{00000000-0005-0000-0000-000092280000}"/>
    <cellStyle name="20% - Accent4 2 2 6 2 2" xfId="7718" xr:uid="{00000000-0005-0000-0000-000093280000}"/>
    <cellStyle name="20% - Accent4 2 2 6 2 2 2" xfId="27169" xr:uid="{00000000-0005-0000-0000-000094280000}"/>
    <cellStyle name="20% - Accent4 2 2 6 2 2 3" xfId="36894" xr:uid="{00000000-0005-0000-0000-000095280000}"/>
    <cellStyle name="20% - Accent4 2 2 6 2 2 4" xfId="46619" xr:uid="{00000000-0005-0000-0000-000096280000}"/>
    <cellStyle name="20% - Accent4 2 2 6 2 2 5" xfId="17444" xr:uid="{00000000-0005-0000-0000-000097280000}"/>
    <cellStyle name="20% - Accent4 2 2 6 2 3" xfId="22307" xr:uid="{00000000-0005-0000-0000-000098280000}"/>
    <cellStyle name="20% - Accent4 2 2 6 2 4" xfId="32032" xr:uid="{00000000-0005-0000-0000-000099280000}"/>
    <cellStyle name="20% - Accent4 2 2 6 2 5" xfId="41757" xr:uid="{00000000-0005-0000-0000-00009A280000}"/>
    <cellStyle name="20% - Accent4 2 2 6 2 6" xfId="12582" xr:uid="{00000000-0005-0000-0000-00009B280000}"/>
    <cellStyle name="20% - Accent4 2 2 6 3" xfId="4476" xr:uid="{00000000-0005-0000-0000-00009C280000}"/>
    <cellStyle name="20% - Accent4 2 2 6 3 2" xfId="9338" xr:uid="{00000000-0005-0000-0000-00009D280000}"/>
    <cellStyle name="20% - Accent4 2 2 6 3 2 2" xfId="28789" xr:uid="{00000000-0005-0000-0000-00009E280000}"/>
    <cellStyle name="20% - Accent4 2 2 6 3 2 3" xfId="38514" xr:uid="{00000000-0005-0000-0000-00009F280000}"/>
    <cellStyle name="20% - Accent4 2 2 6 3 2 4" xfId="48239" xr:uid="{00000000-0005-0000-0000-0000A0280000}"/>
    <cellStyle name="20% - Accent4 2 2 6 3 2 5" xfId="19064" xr:uid="{00000000-0005-0000-0000-0000A1280000}"/>
    <cellStyle name="20% - Accent4 2 2 6 3 3" xfId="23927" xr:uid="{00000000-0005-0000-0000-0000A2280000}"/>
    <cellStyle name="20% - Accent4 2 2 6 3 4" xfId="33652" xr:uid="{00000000-0005-0000-0000-0000A3280000}"/>
    <cellStyle name="20% - Accent4 2 2 6 3 5" xfId="43377" xr:uid="{00000000-0005-0000-0000-0000A4280000}"/>
    <cellStyle name="20% - Accent4 2 2 6 3 6" xfId="14202" xr:uid="{00000000-0005-0000-0000-0000A5280000}"/>
    <cellStyle name="20% - Accent4 2 2 6 4" xfId="6098" xr:uid="{00000000-0005-0000-0000-0000A6280000}"/>
    <cellStyle name="20% - Accent4 2 2 6 4 2" xfId="25549" xr:uid="{00000000-0005-0000-0000-0000A7280000}"/>
    <cellStyle name="20% - Accent4 2 2 6 4 3" xfId="35274" xr:uid="{00000000-0005-0000-0000-0000A8280000}"/>
    <cellStyle name="20% - Accent4 2 2 6 4 4" xfId="44999" xr:uid="{00000000-0005-0000-0000-0000A9280000}"/>
    <cellStyle name="20% - Accent4 2 2 6 4 5" xfId="15824" xr:uid="{00000000-0005-0000-0000-0000AA280000}"/>
    <cellStyle name="20% - Accent4 2 2 6 5" xfId="20687" xr:uid="{00000000-0005-0000-0000-0000AB280000}"/>
    <cellStyle name="20% - Accent4 2 2 6 6" xfId="30412" xr:uid="{00000000-0005-0000-0000-0000AC280000}"/>
    <cellStyle name="20% - Accent4 2 2 6 7" xfId="40137" xr:uid="{00000000-0005-0000-0000-0000AD280000}"/>
    <cellStyle name="20% - Accent4 2 2 6 8" xfId="10962" xr:uid="{00000000-0005-0000-0000-0000AE280000}"/>
    <cellStyle name="20% - Accent4 2 2 7" xfId="1325" xr:uid="{00000000-0005-0000-0000-0000AF280000}"/>
    <cellStyle name="20% - Accent4 2 2 7 2" xfId="2946" xr:uid="{00000000-0005-0000-0000-0000B0280000}"/>
    <cellStyle name="20% - Accent4 2 2 7 2 2" xfId="7808" xr:uid="{00000000-0005-0000-0000-0000B1280000}"/>
    <cellStyle name="20% - Accent4 2 2 7 2 2 2" xfId="27259" xr:uid="{00000000-0005-0000-0000-0000B2280000}"/>
    <cellStyle name="20% - Accent4 2 2 7 2 2 3" xfId="36984" xr:uid="{00000000-0005-0000-0000-0000B3280000}"/>
    <cellStyle name="20% - Accent4 2 2 7 2 2 4" xfId="46709" xr:uid="{00000000-0005-0000-0000-0000B4280000}"/>
    <cellStyle name="20% - Accent4 2 2 7 2 2 5" xfId="17534" xr:uid="{00000000-0005-0000-0000-0000B5280000}"/>
    <cellStyle name="20% - Accent4 2 2 7 2 3" xfId="22397" xr:uid="{00000000-0005-0000-0000-0000B6280000}"/>
    <cellStyle name="20% - Accent4 2 2 7 2 4" xfId="32122" xr:uid="{00000000-0005-0000-0000-0000B7280000}"/>
    <cellStyle name="20% - Accent4 2 2 7 2 5" xfId="41847" xr:uid="{00000000-0005-0000-0000-0000B8280000}"/>
    <cellStyle name="20% - Accent4 2 2 7 2 6" xfId="12672" xr:uid="{00000000-0005-0000-0000-0000B9280000}"/>
    <cellStyle name="20% - Accent4 2 2 7 3" xfId="4566" xr:uid="{00000000-0005-0000-0000-0000BA280000}"/>
    <cellStyle name="20% - Accent4 2 2 7 3 2" xfId="9428" xr:uid="{00000000-0005-0000-0000-0000BB280000}"/>
    <cellStyle name="20% - Accent4 2 2 7 3 2 2" xfId="28879" xr:uid="{00000000-0005-0000-0000-0000BC280000}"/>
    <cellStyle name="20% - Accent4 2 2 7 3 2 3" xfId="38604" xr:uid="{00000000-0005-0000-0000-0000BD280000}"/>
    <cellStyle name="20% - Accent4 2 2 7 3 2 4" xfId="48329" xr:uid="{00000000-0005-0000-0000-0000BE280000}"/>
    <cellStyle name="20% - Accent4 2 2 7 3 2 5" xfId="19154" xr:uid="{00000000-0005-0000-0000-0000BF280000}"/>
    <cellStyle name="20% - Accent4 2 2 7 3 3" xfId="24017" xr:uid="{00000000-0005-0000-0000-0000C0280000}"/>
    <cellStyle name="20% - Accent4 2 2 7 3 4" xfId="33742" xr:uid="{00000000-0005-0000-0000-0000C1280000}"/>
    <cellStyle name="20% - Accent4 2 2 7 3 5" xfId="43467" xr:uid="{00000000-0005-0000-0000-0000C2280000}"/>
    <cellStyle name="20% - Accent4 2 2 7 3 6" xfId="14292" xr:uid="{00000000-0005-0000-0000-0000C3280000}"/>
    <cellStyle name="20% - Accent4 2 2 7 4" xfId="6188" xr:uid="{00000000-0005-0000-0000-0000C4280000}"/>
    <cellStyle name="20% - Accent4 2 2 7 4 2" xfId="25639" xr:uid="{00000000-0005-0000-0000-0000C5280000}"/>
    <cellStyle name="20% - Accent4 2 2 7 4 3" xfId="35364" xr:uid="{00000000-0005-0000-0000-0000C6280000}"/>
    <cellStyle name="20% - Accent4 2 2 7 4 4" xfId="45089" xr:uid="{00000000-0005-0000-0000-0000C7280000}"/>
    <cellStyle name="20% - Accent4 2 2 7 4 5" xfId="15914" xr:uid="{00000000-0005-0000-0000-0000C8280000}"/>
    <cellStyle name="20% - Accent4 2 2 7 5" xfId="20777" xr:uid="{00000000-0005-0000-0000-0000C9280000}"/>
    <cellStyle name="20% - Accent4 2 2 7 6" xfId="30502" xr:uid="{00000000-0005-0000-0000-0000CA280000}"/>
    <cellStyle name="20% - Accent4 2 2 7 7" xfId="40227" xr:uid="{00000000-0005-0000-0000-0000CB280000}"/>
    <cellStyle name="20% - Accent4 2 2 7 8" xfId="11052" xr:uid="{00000000-0005-0000-0000-0000CC280000}"/>
    <cellStyle name="20% - Accent4 2 2 8" xfId="496" xr:uid="{00000000-0005-0000-0000-0000CD280000}"/>
    <cellStyle name="20% - Accent4 2 2 8 2" xfId="2136" xr:uid="{00000000-0005-0000-0000-0000CE280000}"/>
    <cellStyle name="20% - Accent4 2 2 8 2 2" xfId="6998" xr:uid="{00000000-0005-0000-0000-0000CF280000}"/>
    <cellStyle name="20% - Accent4 2 2 8 2 2 2" xfId="26449" xr:uid="{00000000-0005-0000-0000-0000D0280000}"/>
    <cellStyle name="20% - Accent4 2 2 8 2 2 3" xfId="36174" xr:uid="{00000000-0005-0000-0000-0000D1280000}"/>
    <cellStyle name="20% - Accent4 2 2 8 2 2 4" xfId="45899" xr:uid="{00000000-0005-0000-0000-0000D2280000}"/>
    <cellStyle name="20% - Accent4 2 2 8 2 2 5" xfId="16724" xr:uid="{00000000-0005-0000-0000-0000D3280000}"/>
    <cellStyle name="20% - Accent4 2 2 8 2 3" xfId="21587" xr:uid="{00000000-0005-0000-0000-0000D4280000}"/>
    <cellStyle name="20% - Accent4 2 2 8 2 4" xfId="31312" xr:uid="{00000000-0005-0000-0000-0000D5280000}"/>
    <cellStyle name="20% - Accent4 2 2 8 2 5" xfId="41037" xr:uid="{00000000-0005-0000-0000-0000D6280000}"/>
    <cellStyle name="20% - Accent4 2 2 8 2 6" xfId="11862" xr:uid="{00000000-0005-0000-0000-0000D7280000}"/>
    <cellStyle name="20% - Accent4 2 2 8 3" xfId="3756" xr:uid="{00000000-0005-0000-0000-0000D8280000}"/>
    <cellStyle name="20% - Accent4 2 2 8 3 2" xfId="8618" xr:uid="{00000000-0005-0000-0000-0000D9280000}"/>
    <cellStyle name="20% - Accent4 2 2 8 3 2 2" xfId="28069" xr:uid="{00000000-0005-0000-0000-0000DA280000}"/>
    <cellStyle name="20% - Accent4 2 2 8 3 2 3" xfId="37794" xr:uid="{00000000-0005-0000-0000-0000DB280000}"/>
    <cellStyle name="20% - Accent4 2 2 8 3 2 4" xfId="47519" xr:uid="{00000000-0005-0000-0000-0000DC280000}"/>
    <cellStyle name="20% - Accent4 2 2 8 3 2 5" xfId="18344" xr:uid="{00000000-0005-0000-0000-0000DD280000}"/>
    <cellStyle name="20% - Accent4 2 2 8 3 3" xfId="23207" xr:uid="{00000000-0005-0000-0000-0000DE280000}"/>
    <cellStyle name="20% - Accent4 2 2 8 3 4" xfId="32932" xr:uid="{00000000-0005-0000-0000-0000DF280000}"/>
    <cellStyle name="20% - Accent4 2 2 8 3 5" xfId="42657" xr:uid="{00000000-0005-0000-0000-0000E0280000}"/>
    <cellStyle name="20% - Accent4 2 2 8 3 6" xfId="13482" xr:uid="{00000000-0005-0000-0000-0000E1280000}"/>
    <cellStyle name="20% - Accent4 2 2 8 4" xfId="5378" xr:uid="{00000000-0005-0000-0000-0000E2280000}"/>
    <cellStyle name="20% - Accent4 2 2 8 4 2" xfId="24829" xr:uid="{00000000-0005-0000-0000-0000E3280000}"/>
    <cellStyle name="20% - Accent4 2 2 8 4 3" xfId="34554" xr:uid="{00000000-0005-0000-0000-0000E4280000}"/>
    <cellStyle name="20% - Accent4 2 2 8 4 4" xfId="44279" xr:uid="{00000000-0005-0000-0000-0000E5280000}"/>
    <cellStyle name="20% - Accent4 2 2 8 4 5" xfId="15104" xr:uid="{00000000-0005-0000-0000-0000E6280000}"/>
    <cellStyle name="20% - Accent4 2 2 8 5" xfId="19967" xr:uid="{00000000-0005-0000-0000-0000E7280000}"/>
    <cellStyle name="20% - Accent4 2 2 8 6" xfId="29692" xr:uid="{00000000-0005-0000-0000-0000E8280000}"/>
    <cellStyle name="20% - Accent4 2 2 8 7" xfId="39417" xr:uid="{00000000-0005-0000-0000-0000E9280000}"/>
    <cellStyle name="20% - Accent4 2 2 8 8" xfId="10242" xr:uid="{00000000-0005-0000-0000-0000EA280000}"/>
    <cellStyle name="20% - Accent4 2 2 9" xfId="1685" xr:uid="{00000000-0005-0000-0000-0000EB280000}"/>
    <cellStyle name="20% - Accent4 2 2 9 2" xfId="3306" xr:uid="{00000000-0005-0000-0000-0000EC280000}"/>
    <cellStyle name="20% - Accent4 2 2 9 2 2" xfId="8168" xr:uid="{00000000-0005-0000-0000-0000ED280000}"/>
    <cellStyle name="20% - Accent4 2 2 9 2 2 2" xfId="27619" xr:uid="{00000000-0005-0000-0000-0000EE280000}"/>
    <cellStyle name="20% - Accent4 2 2 9 2 2 3" xfId="37344" xr:uid="{00000000-0005-0000-0000-0000EF280000}"/>
    <cellStyle name="20% - Accent4 2 2 9 2 2 4" xfId="47069" xr:uid="{00000000-0005-0000-0000-0000F0280000}"/>
    <cellStyle name="20% - Accent4 2 2 9 2 2 5" xfId="17894" xr:uid="{00000000-0005-0000-0000-0000F1280000}"/>
    <cellStyle name="20% - Accent4 2 2 9 2 3" xfId="22757" xr:uid="{00000000-0005-0000-0000-0000F2280000}"/>
    <cellStyle name="20% - Accent4 2 2 9 2 4" xfId="32482" xr:uid="{00000000-0005-0000-0000-0000F3280000}"/>
    <cellStyle name="20% - Accent4 2 2 9 2 5" xfId="42207" xr:uid="{00000000-0005-0000-0000-0000F4280000}"/>
    <cellStyle name="20% - Accent4 2 2 9 2 6" xfId="13032" xr:uid="{00000000-0005-0000-0000-0000F5280000}"/>
    <cellStyle name="20% - Accent4 2 2 9 3" xfId="4926" xr:uid="{00000000-0005-0000-0000-0000F6280000}"/>
    <cellStyle name="20% - Accent4 2 2 9 3 2" xfId="9788" xr:uid="{00000000-0005-0000-0000-0000F7280000}"/>
    <cellStyle name="20% - Accent4 2 2 9 3 2 2" xfId="29239" xr:uid="{00000000-0005-0000-0000-0000F8280000}"/>
    <cellStyle name="20% - Accent4 2 2 9 3 2 3" xfId="38964" xr:uid="{00000000-0005-0000-0000-0000F9280000}"/>
    <cellStyle name="20% - Accent4 2 2 9 3 2 4" xfId="48689" xr:uid="{00000000-0005-0000-0000-0000FA280000}"/>
    <cellStyle name="20% - Accent4 2 2 9 3 2 5" xfId="19514" xr:uid="{00000000-0005-0000-0000-0000FB280000}"/>
    <cellStyle name="20% - Accent4 2 2 9 3 3" xfId="24377" xr:uid="{00000000-0005-0000-0000-0000FC280000}"/>
    <cellStyle name="20% - Accent4 2 2 9 3 4" xfId="34102" xr:uid="{00000000-0005-0000-0000-0000FD280000}"/>
    <cellStyle name="20% - Accent4 2 2 9 3 5" xfId="43827" xr:uid="{00000000-0005-0000-0000-0000FE280000}"/>
    <cellStyle name="20% - Accent4 2 2 9 3 6" xfId="14652" xr:uid="{00000000-0005-0000-0000-0000FF280000}"/>
    <cellStyle name="20% - Accent4 2 2 9 4" xfId="6548" xr:uid="{00000000-0005-0000-0000-000000290000}"/>
    <cellStyle name="20% - Accent4 2 2 9 4 2" xfId="25999" xr:uid="{00000000-0005-0000-0000-000001290000}"/>
    <cellStyle name="20% - Accent4 2 2 9 4 3" xfId="35724" xr:uid="{00000000-0005-0000-0000-000002290000}"/>
    <cellStyle name="20% - Accent4 2 2 9 4 4" xfId="45449" xr:uid="{00000000-0005-0000-0000-000003290000}"/>
    <cellStyle name="20% - Accent4 2 2 9 4 5" xfId="16274" xr:uid="{00000000-0005-0000-0000-000004290000}"/>
    <cellStyle name="20% - Accent4 2 2 9 5" xfId="21137" xr:uid="{00000000-0005-0000-0000-000005290000}"/>
    <cellStyle name="20% - Accent4 2 2 9 6" xfId="30862" xr:uid="{00000000-0005-0000-0000-000006290000}"/>
    <cellStyle name="20% - Accent4 2 2 9 7" xfId="40587" xr:uid="{00000000-0005-0000-0000-000007290000}"/>
    <cellStyle name="20% - Accent4 2 2 9 8" xfId="11412" xr:uid="{00000000-0005-0000-0000-000008290000}"/>
    <cellStyle name="20% - Accent4 2 3" xfId="122" xr:uid="{00000000-0005-0000-0000-000009290000}"/>
    <cellStyle name="20% - Accent4 2 3 10" xfId="1806" xr:uid="{00000000-0005-0000-0000-00000A290000}"/>
    <cellStyle name="20% - Accent4 2 3 10 2" xfId="6668" xr:uid="{00000000-0005-0000-0000-00000B290000}"/>
    <cellStyle name="20% - Accent4 2 3 10 2 2" xfId="26119" xr:uid="{00000000-0005-0000-0000-00000C290000}"/>
    <cellStyle name="20% - Accent4 2 3 10 2 3" xfId="35844" xr:uid="{00000000-0005-0000-0000-00000D290000}"/>
    <cellStyle name="20% - Accent4 2 3 10 2 4" xfId="45569" xr:uid="{00000000-0005-0000-0000-00000E290000}"/>
    <cellStyle name="20% - Accent4 2 3 10 2 5" xfId="16394" xr:uid="{00000000-0005-0000-0000-00000F290000}"/>
    <cellStyle name="20% - Accent4 2 3 10 3" xfId="21257" xr:uid="{00000000-0005-0000-0000-000010290000}"/>
    <cellStyle name="20% - Accent4 2 3 10 4" xfId="30982" xr:uid="{00000000-0005-0000-0000-000011290000}"/>
    <cellStyle name="20% - Accent4 2 3 10 5" xfId="40707" xr:uid="{00000000-0005-0000-0000-000012290000}"/>
    <cellStyle name="20% - Accent4 2 3 10 6" xfId="11532" xr:uid="{00000000-0005-0000-0000-000013290000}"/>
    <cellStyle name="20% - Accent4 2 3 11" xfId="3426" xr:uid="{00000000-0005-0000-0000-000014290000}"/>
    <cellStyle name="20% - Accent4 2 3 11 2" xfId="8288" xr:uid="{00000000-0005-0000-0000-000015290000}"/>
    <cellStyle name="20% - Accent4 2 3 11 2 2" xfId="27739" xr:uid="{00000000-0005-0000-0000-000016290000}"/>
    <cellStyle name="20% - Accent4 2 3 11 2 3" xfId="37464" xr:uid="{00000000-0005-0000-0000-000017290000}"/>
    <cellStyle name="20% - Accent4 2 3 11 2 4" xfId="47189" xr:uid="{00000000-0005-0000-0000-000018290000}"/>
    <cellStyle name="20% - Accent4 2 3 11 2 5" xfId="18014" xr:uid="{00000000-0005-0000-0000-000019290000}"/>
    <cellStyle name="20% - Accent4 2 3 11 3" xfId="22877" xr:uid="{00000000-0005-0000-0000-00001A290000}"/>
    <cellStyle name="20% - Accent4 2 3 11 4" xfId="32602" xr:uid="{00000000-0005-0000-0000-00001B290000}"/>
    <cellStyle name="20% - Accent4 2 3 11 5" xfId="42327" xr:uid="{00000000-0005-0000-0000-00001C290000}"/>
    <cellStyle name="20% - Accent4 2 3 11 6" xfId="13152" xr:uid="{00000000-0005-0000-0000-00001D290000}"/>
    <cellStyle name="20% - Accent4 2 3 12" xfId="5048" xr:uid="{00000000-0005-0000-0000-00001E290000}"/>
    <cellStyle name="20% - Accent4 2 3 12 2" xfId="24499" xr:uid="{00000000-0005-0000-0000-00001F290000}"/>
    <cellStyle name="20% - Accent4 2 3 12 3" xfId="34224" xr:uid="{00000000-0005-0000-0000-000020290000}"/>
    <cellStyle name="20% - Accent4 2 3 12 4" xfId="43949" xr:uid="{00000000-0005-0000-0000-000021290000}"/>
    <cellStyle name="20% - Accent4 2 3 12 5" xfId="14774" xr:uid="{00000000-0005-0000-0000-000022290000}"/>
    <cellStyle name="20% - Accent4 2 3 13" xfId="19637" xr:uid="{00000000-0005-0000-0000-000023290000}"/>
    <cellStyle name="20% - Accent4 2 3 14" xfId="29362" xr:uid="{00000000-0005-0000-0000-000024290000}"/>
    <cellStyle name="20% - Accent4 2 3 15" xfId="39087" xr:uid="{00000000-0005-0000-0000-000025290000}"/>
    <cellStyle name="20% - Accent4 2 3 16" xfId="9912" xr:uid="{00000000-0005-0000-0000-000026290000}"/>
    <cellStyle name="20% - Accent4 2 3 2" xfId="304" xr:uid="{00000000-0005-0000-0000-000027290000}"/>
    <cellStyle name="20% - Accent4 2 3 2 10" xfId="39267" xr:uid="{00000000-0005-0000-0000-000028290000}"/>
    <cellStyle name="20% - Accent4 2 3 2 11" xfId="10092" xr:uid="{00000000-0005-0000-0000-000029290000}"/>
    <cellStyle name="20% - Accent4 2 3 2 2" xfId="1068" xr:uid="{00000000-0005-0000-0000-00002A290000}"/>
    <cellStyle name="20% - Accent4 2 3 2 2 2" xfId="2706" xr:uid="{00000000-0005-0000-0000-00002B290000}"/>
    <cellStyle name="20% - Accent4 2 3 2 2 2 2" xfId="7568" xr:uid="{00000000-0005-0000-0000-00002C290000}"/>
    <cellStyle name="20% - Accent4 2 3 2 2 2 2 2" xfId="27019" xr:uid="{00000000-0005-0000-0000-00002D290000}"/>
    <cellStyle name="20% - Accent4 2 3 2 2 2 2 3" xfId="36744" xr:uid="{00000000-0005-0000-0000-00002E290000}"/>
    <cellStyle name="20% - Accent4 2 3 2 2 2 2 4" xfId="46469" xr:uid="{00000000-0005-0000-0000-00002F290000}"/>
    <cellStyle name="20% - Accent4 2 3 2 2 2 2 5" xfId="17294" xr:uid="{00000000-0005-0000-0000-000030290000}"/>
    <cellStyle name="20% - Accent4 2 3 2 2 2 3" xfId="22157" xr:uid="{00000000-0005-0000-0000-000031290000}"/>
    <cellStyle name="20% - Accent4 2 3 2 2 2 4" xfId="31882" xr:uid="{00000000-0005-0000-0000-000032290000}"/>
    <cellStyle name="20% - Accent4 2 3 2 2 2 5" xfId="41607" xr:uid="{00000000-0005-0000-0000-000033290000}"/>
    <cellStyle name="20% - Accent4 2 3 2 2 2 6" xfId="12432" xr:uid="{00000000-0005-0000-0000-000034290000}"/>
    <cellStyle name="20% - Accent4 2 3 2 2 3" xfId="4326" xr:uid="{00000000-0005-0000-0000-000035290000}"/>
    <cellStyle name="20% - Accent4 2 3 2 2 3 2" xfId="9188" xr:uid="{00000000-0005-0000-0000-000036290000}"/>
    <cellStyle name="20% - Accent4 2 3 2 2 3 2 2" xfId="28639" xr:uid="{00000000-0005-0000-0000-000037290000}"/>
    <cellStyle name="20% - Accent4 2 3 2 2 3 2 3" xfId="38364" xr:uid="{00000000-0005-0000-0000-000038290000}"/>
    <cellStyle name="20% - Accent4 2 3 2 2 3 2 4" xfId="48089" xr:uid="{00000000-0005-0000-0000-000039290000}"/>
    <cellStyle name="20% - Accent4 2 3 2 2 3 2 5" xfId="18914" xr:uid="{00000000-0005-0000-0000-00003A290000}"/>
    <cellStyle name="20% - Accent4 2 3 2 2 3 3" xfId="23777" xr:uid="{00000000-0005-0000-0000-00003B290000}"/>
    <cellStyle name="20% - Accent4 2 3 2 2 3 4" xfId="33502" xr:uid="{00000000-0005-0000-0000-00003C290000}"/>
    <cellStyle name="20% - Accent4 2 3 2 2 3 5" xfId="43227" xr:uid="{00000000-0005-0000-0000-00003D290000}"/>
    <cellStyle name="20% - Accent4 2 3 2 2 3 6" xfId="14052" xr:uid="{00000000-0005-0000-0000-00003E290000}"/>
    <cellStyle name="20% - Accent4 2 3 2 2 4" xfId="5948" xr:uid="{00000000-0005-0000-0000-00003F290000}"/>
    <cellStyle name="20% - Accent4 2 3 2 2 4 2" xfId="25399" xr:uid="{00000000-0005-0000-0000-000040290000}"/>
    <cellStyle name="20% - Accent4 2 3 2 2 4 3" xfId="35124" xr:uid="{00000000-0005-0000-0000-000041290000}"/>
    <cellStyle name="20% - Accent4 2 3 2 2 4 4" xfId="44849" xr:uid="{00000000-0005-0000-0000-000042290000}"/>
    <cellStyle name="20% - Accent4 2 3 2 2 4 5" xfId="15674" xr:uid="{00000000-0005-0000-0000-000043290000}"/>
    <cellStyle name="20% - Accent4 2 3 2 2 5" xfId="20537" xr:uid="{00000000-0005-0000-0000-000044290000}"/>
    <cellStyle name="20% - Accent4 2 3 2 2 6" xfId="30262" xr:uid="{00000000-0005-0000-0000-000045290000}"/>
    <cellStyle name="20% - Accent4 2 3 2 2 7" xfId="39987" xr:uid="{00000000-0005-0000-0000-000046290000}"/>
    <cellStyle name="20% - Accent4 2 3 2 2 8" xfId="10812" xr:uid="{00000000-0005-0000-0000-000047290000}"/>
    <cellStyle name="20% - Accent4 2 3 2 3" xfId="1535" xr:uid="{00000000-0005-0000-0000-000048290000}"/>
    <cellStyle name="20% - Accent4 2 3 2 3 2" xfId="3156" xr:uid="{00000000-0005-0000-0000-000049290000}"/>
    <cellStyle name="20% - Accent4 2 3 2 3 2 2" xfId="8018" xr:uid="{00000000-0005-0000-0000-00004A290000}"/>
    <cellStyle name="20% - Accent4 2 3 2 3 2 2 2" xfId="27469" xr:uid="{00000000-0005-0000-0000-00004B290000}"/>
    <cellStyle name="20% - Accent4 2 3 2 3 2 2 3" xfId="37194" xr:uid="{00000000-0005-0000-0000-00004C290000}"/>
    <cellStyle name="20% - Accent4 2 3 2 3 2 2 4" xfId="46919" xr:uid="{00000000-0005-0000-0000-00004D290000}"/>
    <cellStyle name="20% - Accent4 2 3 2 3 2 2 5" xfId="17744" xr:uid="{00000000-0005-0000-0000-00004E290000}"/>
    <cellStyle name="20% - Accent4 2 3 2 3 2 3" xfId="22607" xr:uid="{00000000-0005-0000-0000-00004F290000}"/>
    <cellStyle name="20% - Accent4 2 3 2 3 2 4" xfId="32332" xr:uid="{00000000-0005-0000-0000-000050290000}"/>
    <cellStyle name="20% - Accent4 2 3 2 3 2 5" xfId="42057" xr:uid="{00000000-0005-0000-0000-000051290000}"/>
    <cellStyle name="20% - Accent4 2 3 2 3 2 6" xfId="12882" xr:uid="{00000000-0005-0000-0000-000052290000}"/>
    <cellStyle name="20% - Accent4 2 3 2 3 3" xfId="4776" xr:uid="{00000000-0005-0000-0000-000053290000}"/>
    <cellStyle name="20% - Accent4 2 3 2 3 3 2" xfId="9638" xr:uid="{00000000-0005-0000-0000-000054290000}"/>
    <cellStyle name="20% - Accent4 2 3 2 3 3 2 2" xfId="29089" xr:uid="{00000000-0005-0000-0000-000055290000}"/>
    <cellStyle name="20% - Accent4 2 3 2 3 3 2 3" xfId="38814" xr:uid="{00000000-0005-0000-0000-000056290000}"/>
    <cellStyle name="20% - Accent4 2 3 2 3 3 2 4" xfId="48539" xr:uid="{00000000-0005-0000-0000-000057290000}"/>
    <cellStyle name="20% - Accent4 2 3 2 3 3 2 5" xfId="19364" xr:uid="{00000000-0005-0000-0000-000058290000}"/>
    <cellStyle name="20% - Accent4 2 3 2 3 3 3" xfId="24227" xr:uid="{00000000-0005-0000-0000-000059290000}"/>
    <cellStyle name="20% - Accent4 2 3 2 3 3 4" xfId="33952" xr:uid="{00000000-0005-0000-0000-00005A290000}"/>
    <cellStyle name="20% - Accent4 2 3 2 3 3 5" xfId="43677" xr:uid="{00000000-0005-0000-0000-00005B290000}"/>
    <cellStyle name="20% - Accent4 2 3 2 3 3 6" xfId="14502" xr:uid="{00000000-0005-0000-0000-00005C290000}"/>
    <cellStyle name="20% - Accent4 2 3 2 3 4" xfId="6398" xr:uid="{00000000-0005-0000-0000-00005D290000}"/>
    <cellStyle name="20% - Accent4 2 3 2 3 4 2" xfId="25849" xr:uid="{00000000-0005-0000-0000-00005E290000}"/>
    <cellStyle name="20% - Accent4 2 3 2 3 4 3" xfId="35574" xr:uid="{00000000-0005-0000-0000-00005F290000}"/>
    <cellStyle name="20% - Accent4 2 3 2 3 4 4" xfId="45299" xr:uid="{00000000-0005-0000-0000-000060290000}"/>
    <cellStyle name="20% - Accent4 2 3 2 3 4 5" xfId="16124" xr:uid="{00000000-0005-0000-0000-000061290000}"/>
    <cellStyle name="20% - Accent4 2 3 2 3 5" xfId="20987" xr:uid="{00000000-0005-0000-0000-000062290000}"/>
    <cellStyle name="20% - Accent4 2 3 2 3 6" xfId="30712" xr:uid="{00000000-0005-0000-0000-000063290000}"/>
    <cellStyle name="20% - Accent4 2 3 2 3 7" xfId="40437" xr:uid="{00000000-0005-0000-0000-000064290000}"/>
    <cellStyle name="20% - Accent4 2 3 2 3 8" xfId="11262" xr:uid="{00000000-0005-0000-0000-000065290000}"/>
    <cellStyle name="20% - Accent4 2 3 2 4" xfId="706" xr:uid="{00000000-0005-0000-0000-000066290000}"/>
    <cellStyle name="20% - Accent4 2 3 2 4 2" xfId="2346" xr:uid="{00000000-0005-0000-0000-000067290000}"/>
    <cellStyle name="20% - Accent4 2 3 2 4 2 2" xfId="7208" xr:uid="{00000000-0005-0000-0000-000068290000}"/>
    <cellStyle name="20% - Accent4 2 3 2 4 2 2 2" xfId="26659" xr:uid="{00000000-0005-0000-0000-000069290000}"/>
    <cellStyle name="20% - Accent4 2 3 2 4 2 2 3" xfId="36384" xr:uid="{00000000-0005-0000-0000-00006A290000}"/>
    <cellStyle name="20% - Accent4 2 3 2 4 2 2 4" xfId="46109" xr:uid="{00000000-0005-0000-0000-00006B290000}"/>
    <cellStyle name="20% - Accent4 2 3 2 4 2 2 5" xfId="16934" xr:uid="{00000000-0005-0000-0000-00006C290000}"/>
    <cellStyle name="20% - Accent4 2 3 2 4 2 3" xfId="21797" xr:uid="{00000000-0005-0000-0000-00006D290000}"/>
    <cellStyle name="20% - Accent4 2 3 2 4 2 4" xfId="31522" xr:uid="{00000000-0005-0000-0000-00006E290000}"/>
    <cellStyle name="20% - Accent4 2 3 2 4 2 5" xfId="41247" xr:uid="{00000000-0005-0000-0000-00006F290000}"/>
    <cellStyle name="20% - Accent4 2 3 2 4 2 6" xfId="12072" xr:uid="{00000000-0005-0000-0000-000070290000}"/>
    <cellStyle name="20% - Accent4 2 3 2 4 3" xfId="3966" xr:uid="{00000000-0005-0000-0000-000071290000}"/>
    <cellStyle name="20% - Accent4 2 3 2 4 3 2" xfId="8828" xr:uid="{00000000-0005-0000-0000-000072290000}"/>
    <cellStyle name="20% - Accent4 2 3 2 4 3 2 2" xfId="28279" xr:uid="{00000000-0005-0000-0000-000073290000}"/>
    <cellStyle name="20% - Accent4 2 3 2 4 3 2 3" xfId="38004" xr:uid="{00000000-0005-0000-0000-000074290000}"/>
    <cellStyle name="20% - Accent4 2 3 2 4 3 2 4" xfId="47729" xr:uid="{00000000-0005-0000-0000-000075290000}"/>
    <cellStyle name="20% - Accent4 2 3 2 4 3 2 5" xfId="18554" xr:uid="{00000000-0005-0000-0000-000076290000}"/>
    <cellStyle name="20% - Accent4 2 3 2 4 3 3" xfId="23417" xr:uid="{00000000-0005-0000-0000-000077290000}"/>
    <cellStyle name="20% - Accent4 2 3 2 4 3 4" xfId="33142" xr:uid="{00000000-0005-0000-0000-000078290000}"/>
    <cellStyle name="20% - Accent4 2 3 2 4 3 5" xfId="42867" xr:uid="{00000000-0005-0000-0000-000079290000}"/>
    <cellStyle name="20% - Accent4 2 3 2 4 3 6" xfId="13692" xr:uid="{00000000-0005-0000-0000-00007A290000}"/>
    <cellStyle name="20% - Accent4 2 3 2 4 4" xfId="5588" xr:uid="{00000000-0005-0000-0000-00007B290000}"/>
    <cellStyle name="20% - Accent4 2 3 2 4 4 2" xfId="25039" xr:uid="{00000000-0005-0000-0000-00007C290000}"/>
    <cellStyle name="20% - Accent4 2 3 2 4 4 3" xfId="34764" xr:uid="{00000000-0005-0000-0000-00007D290000}"/>
    <cellStyle name="20% - Accent4 2 3 2 4 4 4" xfId="44489" xr:uid="{00000000-0005-0000-0000-00007E290000}"/>
    <cellStyle name="20% - Accent4 2 3 2 4 4 5" xfId="15314" xr:uid="{00000000-0005-0000-0000-00007F290000}"/>
    <cellStyle name="20% - Accent4 2 3 2 4 5" xfId="20177" xr:uid="{00000000-0005-0000-0000-000080290000}"/>
    <cellStyle name="20% - Accent4 2 3 2 4 6" xfId="29902" xr:uid="{00000000-0005-0000-0000-000081290000}"/>
    <cellStyle name="20% - Accent4 2 3 2 4 7" xfId="39627" xr:uid="{00000000-0005-0000-0000-000082290000}"/>
    <cellStyle name="20% - Accent4 2 3 2 4 8" xfId="10452" xr:uid="{00000000-0005-0000-0000-000083290000}"/>
    <cellStyle name="20% - Accent4 2 3 2 5" xfId="1986" xr:uid="{00000000-0005-0000-0000-000084290000}"/>
    <cellStyle name="20% - Accent4 2 3 2 5 2" xfId="6848" xr:uid="{00000000-0005-0000-0000-000085290000}"/>
    <cellStyle name="20% - Accent4 2 3 2 5 2 2" xfId="26299" xr:uid="{00000000-0005-0000-0000-000086290000}"/>
    <cellStyle name="20% - Accent4 2 3 2 5 2 3" xfId="36024" xr:uid="{00000000-0005-0000-0000-000087290000}"/>
    <cellStyle name="20% - Accent4 2 3 2 5 2 4" xfId="45749" xr:uid="{00000000-0005-0000-0000-000088290000}"/>
    <cellStyle name="20% - Accent4 2 3 2 5 2 5" xfId="16574" xr:uid="{00000000-0005-0000-0000-000089290000}"/>
    <cellStyle name="20% - Accent4 2 3 2 5 3" xfId="21437" xr:uid="{00000000-0005-0000-0000-00008A290000}"/>
    <cellStyle name="20% - Accent4 2 3 2 5 4" xfId="31162" xr:uid="{00000000-0005-0000-0000-00008B290000}"/>
    <cellStyle name="20% - Accent4 2 3 2 5 5" xfId="40887" xr:uid="{00000000-0005-0000-0000-00008C290000}"/>
    <cellStyle name="20% - Accent4 2 3 2 5 6" xfId="11712" xr:uid="{00000000-0005-0000-0000-00008D290000}"/>
    <cellStyle name="20% - Accent4 2 3 2 6" xfId="3606" xr:uid="{00000000-0005-0000-0000-00008E290000}"/>
    <cellStyle name="20% - Accent4 2 3 2 6 2" xfId="8468" xr:uid="{00000000-0005-0000-0000-00008F290000}"/>
    <cellStyle name="20% - Accent4 2 3 2 6 2 2" xfId="27919" xr:uid="{00000000-0005-0000-0000-000090290000}"/>
    <cellStyle name="20% - Accent4 2 3 2 6 2 3" xfId="37644" xr:uid="{00000000-0005-0000-0000-000091290000}"/>
    <cellStyle name="20% - Accent4 2 3 2 6 2 4" xfId="47369" xr:uid="{00000000-0005-0000-0000-000092290000}"/>
    <cellStyle name="20% - Accent4 2 3 2 6 2 5" xfId="18194" xr:uid="{00000000-0005-0000-0000-000093290000}"/>
    <cellStyle name="20% - Accent4 2 3 2 6 3" xfId="23057" xr:uid="{00000000-0005-0000-0000-000094290000}"/>
    <cellStyle name="20% - Accent4 2 3 2 6 4" xfId="32782" xr:uid="{00000000-0005-0000-0000-000095290000}"/>
    <cellStyle name="20% - Accent4 2 3 2 6 5" xfId="42507" xr:uid="{00000000-0005-0000-0000-000096290000}"/>
    <cellStyle name="20% - Accent4 2 3 2 6 6" xfId="13332" xr:uid="{00000000-0005-0000-0000-000097290000}"/>
    <cellStyle name="20% - Accent4 2 3 2 7" xfId="5228" xr:uid="{00000000-0005-0000-0000-000098290000}"/>
    <cellStyle name="20% - Accent4 2 3 2 7 2" xfId="24679" xr:uid="{00000000-0005-0000-0000-000099290000}"/>
    <cellStyle name="20% - Accent4 2 3 2 7 3" xfId="34404" xr:uid="{00000000-0005-0000-0000-00009A290000}"/>
    <cellStyle name="20% - Accent4 2 3 2 7 4" xfId="44129" xr:uid="{00000000-0005-0000-0000-00009B290000}"/>
    <cellStyle name="20% - Accent4 2 3 2 7 5" xfId="14954" xr:uid="{00000000-0005-0000-0000-00009C290000}"/>
    <cellStyle name="20% - Accent4 2 3 2 8" xfId="19817" xr:uid="{00000000-0005-0000-0000-00009D290000}"/>
    <cellStyle name="20% - Accent4 2 3 2 9" xfId="29542" xr:uid="{00000000-0005-0000-0000-00009E290000}"/>
    <cellStyle name="20% - Accent4 2 3 3" xfId="395" xr:uid="{00000000-0005-0000-0000-00009F290000}"/>
    <cellStyle name="20% - Accent4 2 3 3 10" xfId="39357" xr:uid="{00000000-0005-0000-0000-0000A0290000}"/>
    <cellStyle name="20% - Accent4 2 3 3 11" xfId="10182" xr:uid="{00000000-0005-0000-0000-0000A1290000}"/>
    <cellStyle name="20% - Accent4 2 3 3 2" xfId="1158" xr:uid="{00000000-0005-0000-0000-0000A2290000}"/>
    <cellStyle name="20% - Accent4 2 3 3 2 2" xfId="2796" xr:uid="{00000000-0005-0000-0000-0000A3290000}"/>
    <cellStyle name="20% - Accent4 2 3 3 2 2 2" xfId="7658" xr:uid="{00000000-0005-0000-0000-0000A4290000}"/>
    <cellStyle name="20% - Accent4 2 3 3 2 2 2 2" xfId="27109" xr:uid="{00000000-0005-0000-0000-0000A5290000}"/>
    <cellStyle name="20% - Accent4 2 3 3 2 2 2 3" xfId="36834" xr:uid="{00000000-0005-0000-0000-0000A6290000}"/>
    <cellStyle name="20% - Accent4 2 3 3 2 2 2 4" xfId="46559" xr:uid="{00000000-0005-0000-0000-0000A7290000}"/>
    <cellStyle name="20% - Accent4 2 3 3 2 2 2 5" xfId="17384" xr:uid="{00000000-0005-0000-0000-0000A8290000}"/>
    <cellStyle name="20% - Accent4 2 3 3 2 2 3" xfId="22247" xr:uid="{00000000-0005-0000-0000-0000A9290000}"/>
    <cellStyle name="20% - Accent4 2 3 3 2 2 4" xfId="31972" xr:uid="{00000000-0005-0000-0000-0000AA290000}"/>
    <cellStyle name="20% - Accent4 2 3 3 2 2 5" xfId="41697" xr:uid="{00000000-0005-0000-0000-0000AB290000}"/>
    <cellStyle name="20% - Accent4 2 3 3 2 2 6" xfId="12522" xr:uid="{00000000-0005-0000-0000-0000AC290000}"/>
    <cellStyle name="20% - Accent4 2 3 3 2 3" xfId="4416" xr:uid="{00000000-0005-0000-0000-0000AD290000}"/>
    <cellStyle name="20% - Accent4 2 3 3 2 3 2" xfId="9278" xr:uid="{00000000-0005-0000-0000-0000AE290000}"/>
    <cellStyle name="20% - Accent4 2 3 3 2 3 2 2" xfId="28729" xr:uid="{00000000-0005-0000-0000-0000AF290000}"/>
    <cellStyle name="20% - Accent4 2 3 3 2 3 2 3" xfId="38454" xr:uid="{00000000-0005-0000-0000-0000B0290000}"/>
    <cellStyle name="20% - Accent4 2 3 3 2 3 2 4" xfId="48179" xr:uid="{00000000-0005-0000-0000-0000B1290000}"/>
    <cellStyle name="20% - Accent4 2 3 3 2 3 2 5" xfId="19004" xr:uid="{00000000-0005-0000-0000-0000B2290000}"/>
    <cellStyle name="20% - Accent4 2 3 3 2 3 3" xfId="23867" xr:uid="{00000000-0005-0000-0000-0000B3290000}"/>
    <cellStyle name="20% - Accent4 2 3 3 2 3 4" xfId="33592" xr:uid="{00000000-0005-0000-0000-0000B4290000}"/>
    <cellStyle name="20% - Accent4 2 3 3 2 3 5" xfId="43317" xr:uid="{00000000-0005-0000-0000-0000B5290000}"/>
    <cellStyle name="20% - Accent4 2 3 3 2 3 6" xfId="14142" xr:uid="{00000000-0005-0000-0000-0000B6290000}"/>
    <cellStyle name="20% - Accent4 2 3 3 2 4" xfId="6038" xr:uid="{00000000-0005-0000-0000-0000B7290000}"/>
    <cellStyle name="20% - Accent4 2 3 3 2 4 2" xfId="25489" xr:uid="{00000000-0005-0000-0000-0000B8290000}"/>
    <cellStyle name="20% - Accent4 2 3 3 2 4 3" xfId="35214" xr:uid="{00000000-0005-0000-0000-0000B9290000}"/>
    <cellStyle name="20% - Accent4 2 3 3 2 4 4" xfId="44939" xr:uid="{00000000-0005-0000-0000-0000BA290000}"/>
    <cellStyle name="20% - Accent4 2 3 3 2 4 5" xfId="15764" xr:uid="{00000000-0005-0000-0000-0000BB290000}"/>
    <cellStyle name="20% - Accent4 2 3 3 2 5" xfId="20627" xr:uid="{00000000-0005-0000-0000-0000BC290000}"/>
    <cellStyle name="20% - Accent4 2 3 3 2 6" xfId="30352" xr:uid="{00000000-0005-0000-0000-0000BD290000}"/>
    <cellStyle name="20% - Accent4 2 3 3 2 7" xfId="40077" xr:uid="{00000000-0005-0000-0000-0000BE290000}"/>
    <cellStyle name="20% - Accent4 2 3 3 2 8" xfId="10902" xr:uid="{00000000-0005-0000-0000-0000BF290000}"/>
    <cellStyle name="20% - Accent4 2 3 3 3" xfId="1625" xr:uid="{00000000-0005-0000-0000-0000C0290000}"/>
    <cellStyle name="20% - Accent4 2 3 3 3 2" xfId="3246" xr:uid="{00000000-0005-0000-0000-0000C1290000}"/>
    <cellStyle name="20% - Accent4 2 3 3 3 2 2" xfId="8108" xr:uid="{00000000-0005-0000-0000-0000C2290000}"/>
    <cellStyle name="20% - Accent4 2 3 3 3 2 2 2" xfId="27559" xr:uid="{00000000-0005-0000-0000-0000C3290000}"/>
    <cellStyle name="20% - Accent4 2 3 3 3 2 2 3" xfId="37284" xr:uid="{00000000-0005-0000-0000-0000C4290000}"/>
    <cellStyle name="20% - Accent4 2 3 3 3 2 2 4" xfId="47009" xr:uid="{00000000-0005-0000-0000-0000C5290000}"/>
    <cellStyle name="20% - Accent4 2 3 3 3 2 2 5" xfId="17834" xr:uid="{00000000-0005-0000-0000-0000C6290000}"/>
    <cellStyle name="20% - Accent4 2 3 3 3 2 3" xfId="22697" xr:uid="{00000000-0005-0000-0000-0000C7290000}"/>
    <cellStyle name="20% - Accent4 2 3 3 3 2 4" xfId="32422" xr:uid="{00000000-0005-0000-0000-0000C8290000}"/>
    <cellStyle name="20% - Accent4 2 3 3 3 2 5" xfId="42147" xr:uid="{00000000-0005-0000-0000-0000C9290000}"/>
    <cellStyle name="20% - Accent4 2 3 3 3 2 6" xfId="12972" xr:uid="{00000000-0005-0000-0000-0000CA290000}"/>
    <cellStyle name="20% - Accent4 2 3 3 3 3" xfId="4866" xr:uid="{00000000-0005-0000-0000-0000CB290000}"/>
    <cellStyle name="20% - Accent4 2 3 3 3 3 2" xfId="9728" xr:uid="{00000000-0005-0000-0000-0000CC290000}"/>
    <cellStyle name="20% - Accent4 2 3 3 3 3 2 2" xfId="29179" xr:uid="{00000000-0005-0000-0000-0000CD290000}"/>
    <cellStyle name="20% - Accent4 2 3 3 3 3 2 3" xfId="38904" xr:uid="{00000000-0005-0000-0000-0000CE290000}"/>
    <cellStyle name="20% - Accent4 2 3 3 3 3 2 4" xfId="48629" xr:uid="{00000000-0005-0000-0000-0000CF290000}"/>
    <cellStyle name="20% - Accent4 2 3 3 3 3 2 5" xfId="19454" xr:uid="{00000000-0005-0000-0000-0000D0290000}"/>
    <cellStyle name="20% - Accent4 2 3 3 3 3 3" xfId="24317" xr:uid="{00000000-0005-0000-0000-0000D1290000}"/>
    <cellStyle name="20% - Accent4 2 3 3 3 3 4" xfId="34042" xr:uid="{00000000-0005-0000-0000-0000D2290000}"/>
    <cellStyle name="20% - Accent4 2 3 3 3 3 5" xfId="43767" xr:uid="{00000000-0005-0000-0000-0000D3290000}"/>
    <cellStyle name="20% - Accent4 2 3 3 3 3 6" xfId="14592" xr:uid="{00000000-0005-0000-0000-0000D4290000}"/>
    <cellStyle name="20% - Accent4 2 3 3 3 4" xfId="6488" xr:uid="{00000000-0005-0000-0000-0000D5290000}"/>
    <cellStyle name="20% - Accent4 2 3 3 3 4 2" xfId="25939" xr:uid="{00000000-0005-0000-0000-0000D6290000}"/>
    <cellStyle name="20% - Accent4 2 3 3 3 4 3" xfId="35664" xr:uid="{00000000-0005-0000-0000-0000D7290000}"/>
    <cellStyle name="20% - Accent4 2 3 3 3 4 4" xfId="45389" xr:uid="{00000000-0005-0000-0000-0000D8290000}"/>
    <cellStyle name="20% - Accent4 2 3 3 3 4 5" xfId="16214" xr:uid="{00000000-0005-0000-0000-0000D9290000}"/>
    <cellStyle name="20% - Accent4 2 3 3 3 5" xfId="21077" xr:uid="{00000000-0005-0000-0000-0000DA290000}"/>
    <cellStyle name="20% - Accent4 2 3 3 3 6" xfId="30802" xr:uid="{00000000-0005-0000-0000-0000DB290000}"/>
    <cellStyle name="20% - Accent4 2 3 3 3 7" xfId="40527" xr:uid="{00000000-0005-0000-0000-0000DC290000}"/>
    <cellStyle name="20% - Accent4 2 3 3 3 8" xfId="11352" xr:uid="{00000000-0005-0000-0000-0000DD290000}"/>
    <cellStyle name="20% - Accent4 2 3 3 4" xfId="796" xr:uid="{00000000-0005-0000-0000-0000DE290000}"/>
    <cellStyle name="20% - Accent4 2 3 3 4 2" xfId="2436" xr:uid="{00000000-0005-0000-0000-0000DF290000}"/>
    <cellStyle name="20% - Accent4 2 3 3 4 2 2" xfId="7298" xr:uid="{00000000-0005-0000-0000-0000E0290000}"/>
    <cellStyle name="20% - Accent4 2 3 3 4 2 2 2" xfId="26749" xr:uid="{00000000-0005-0000-0000-0000E1290000}"/>
    <cellStyle name="20% - Accent4 2 3 3 4 2 2 3" xfId="36474" xr:uid="{00000000-0005-0000-0000-0000E2290000}"/>
    <cellStyle name="20% - Accent4 2 3 3 4 2 2 4" xfId="46199" xr:uid="{00000000-0005-0000-0000-0000E3290000}"/>
    <cellStyle name="20% - Accent4 2 3 3 4 2 2 5" xfId="17024" xr:uid="{00000000-0005-0000-0000-0000E4290000}"/>
    <cellStyle name="20% - Accent4 2 3 3 4 2 3" xfId="21887" xr:uid="{00000000-0005-0000-0000-0000E5290000}"/>
    <cellStyle name="20% - Accent4 2 3 3 4 2 4" xfId="31612" xr:uid="{00000000-0005-0000-0000-0000E6290000}"/>
    <cellStyle name="20% - Accent4 2 3 3 4 2 5" xfId="41337" xr:uid="{00000000-0005-0000-0000-0000E7290000}"/>
    <cellStyle name="20% - Accent4 2 3 3 4 2 6" xfId="12162" xr:uid="{00000000-0005-0000-0000-0000E8290000}"/>
    <cellStyle name="20% - Accent4 2 3 3 4 3" xfId="4056" xr:uid="{00000000-0005-0000-0000-0000E9290000}"/>
    <cellStyle name="20% - Accent4 2 3 3 4 3 2" xfId="8918" xr:uid="{00000000-0005-0000-0000-0000EA290000}"/>
    <cellStyle name="20% - Accent4 2 3 3 4 3 2 2" xfId="28369" xr:uid="{00000000-0005-0000-0000-0000EB290000}"/>
    <cellStyle name="20% - Accent4 2 3 3 4 3 2 3" xfId="38094" xr:uid="{00000000-0005-0000-0000-0000EC290000}"/>
    <cellStyle name="20% - Accent4 2 3 3 4 3 2 4" xfId="47819" xr:uid="{00000000-0005-0000-0000-0000ED290000}"/>
    <cellStyle name="20% - Accent4 2 3 3 4 3 2 5" xfId="18644" xr:uid="{00000000-0005-0000-0000-0000EE290000}"/>
    <cellStyle name="20% - Accent4 2 3 3 4 3 3" xfId="23507" xr:uid="{00000000-0005-0000-0000-0000EF290000}"/>
    <cellStyle name="20% - Accent4 2 3 3 4 3 4" xfId="33232" xr:uid="{00000000-0005-0000-0000-0000F0290000}"/>
    <cellStyle name="20% - Accent4 2 3 3 4 3 5" xfId="42957" xr:uid="{00000000-0005-0000-0000-0000F1290000}"/>
    <cellStyle name="20% - Accent4 2 3 3 4 3 6" xfId="13782" xr:uid="{00000000-0005-0000-0000-0000F2290000}"/>
    <cellStyle name="20% - Accent4 2 3 3 4 4" xfId="5678" xr:uid="{00000000-0005-0000-0000-0000F3290000}"/>
    <cellStyle name="20% - Accent4 2 3 3 4 4 2" xfId="25129" xr:uid="{00000000-0005-0000-0000-0000F4290000}"/>
    <cellStyle name="20% - Accent4 2 3 3 4 4 3" xfId="34854" xr:uid="{00000000-0005-0000-0000-0000F5290000}"/>
    <cellStyle name="20% - Accent4 2 3 3 4 4 4" xfId="44579" xr:uid="{00000000-0005-0000-0000-0000F6290000}"/>
    <cellStyle name="20% - Accent4 2 3 3 4 4 5" xfId="15404" xr:uid="{00000000-0005-0000-0000-0000F7290000}"/>
    <cellStyle name="20% - Accent4 2 3 3 4 5" xfId="20267" xr:uid="{00000000-0005-0000-0000-0000F8290000}"/>
    <cellStyle name="20% - Accent4 2 3 3 4 6" xfId="29992" xr:uid="{00000000-0005-0000-0000-0000F9290000}"/>
    <cellStyle name="20% - Accent4 2 3 3 4 7" xfId="39717" xr:uid="{00000000-0005-0000-0000-0000FA290000}"/>
    <cellStyle name="20% - Accent4 2 3 3 4 8" xfId="10542" xr:uid="{00000000-0005-0000-0000-0000FB290000}"/>
    <cellStyle name="20% - Accent4 2 3 3 5" xfId="2076" xr:uid="{00000000-0005-0000-0000-0000FC290000}"/>
    <cellStyle name="20% - Accent4 2 3 3 5 2" xfId="6938" xr:uid="{00000000-0005-0000-0000-0000FD290000}"/>
    <cellStyle name="20% - Accent4 2 3 3 5 2 2" xfId="26389" xr:uid="{00000000-0005-0000-0000-0000FE290000}"/>
    <cellStyle name="20% - Accent4 2 3 3 5 2 3" xfId="36114" xr:uid="{00000000-0005-0000-0000-0000FF290000}"/>
    <cellStyle name="20% - Accent4 2 3 3 5 2 4" xfId="45839" xr:uid="{00000000-0005-0000-0000-0000002A0000}"/>
    <cellStyle name="20% - Accent4 2 3 3 5 2 5" xfId="16664" xr:uid="{00000000-0005-0000-0000-0000012A0000}"/>
    <cellStyle name="20% - Accent4 2 3 3 5 3" xfId="21527" xr:uid="{00000000-0005-0000-0000-0000022A0000}"/>
    <cellStyle name="20% - Accent4 2 3 3 5 4" xfId="31252" xr:uid="{00000000-0005-0000-0000-0000032A0000}"/>
    <cellStyle name="20% - Accent4 2 3 3 5 5" xfId="40977" xr:uid="{00000000-0005-0000-0000-0000042A0000}"/>
    <cellStyle name="20% - Accent4 2 3 3 5 6" xfId="11802" xr:uid="{00000000-0005-0000-0000-0000052A0000}"/>
    <cellStyle name="20% - Accent4 2 3 3 6" xfId="3696" xr:uid="{00000000-0005-0000-0000-0000062A0000}"/>
    <cellStyle name="20% - Accent4 2 3 3 6 2" xfId="8558" xr:uid="{00000000-0005-0000-0000-0000072A0000}"/>
    <cellStyle name="20% - Accent4 2 3 3 6 2 2" xfId="28009" xr:uid="{00000000-0005-0000-0000-0000082A0000}"/>
    <cellStyle name="20% - Accent4 2 3 3 6 2 3" xfId="37734" xr:uid="{00000000-0005-0000-0000-0000092A0000}"/>
    <cellStyle name="20% - Accent4 2 3 3 6 2 4" xfId="47459" xr:uid="{00000000-0005-0000-0000-00000A2A0000}"/>
    <cellStyle name="20% - Accent4 2 3 3 6 2 5" xfId="18284" xr:uid="{00000000-0005-0000-0000-00000B2A0000}"/>
    <cellStyle name="20% - Accent4 2 3 3 6 3" xfId="23147" xr:uid="{00000000-0005-0000-0000-00000C2A0000}"/>
    <cellStyle name="20% - Accent4 2 3 3 6 4" xfId="32872" xr:uid="{00000000-0005-0000-0000-00000D2A0000}"/>
    <cellStyle name="20% - Accent4 2 3 3 6 5" xfId="42597" xr:uid="{00000000-0005-0000-0000-00000E2A0000}"/>
    <cellStyle name="20% - Accent4 2 3 3 6 6" xfId="13422" xr:uid="{00000000-0005-0000-0000-00000F2A0000}"/>
    <cellStyle name="20% - Accent4 2 3 3 7" xfId="5318" xr:uid="{00000000-0005-0000-0000-0000102A0000}"/>
    <cellStyle name="20% - Accent4 2 3 3 7 2" xfId="24769" xr:uid="{00000000-0005-0000-0000-0000112A0000}"/>
    <cellStyle name="20% - Accent4 2 3 3 7 3" xfId="34494" xr:uid="{00000000-0005-0000-0000-0000122A0000}"/>
    <cellStyle name="20% - Accent4 2 3 3 7 4" xfId="44219" xr:uid="{00000000-0005-0000-0000-0000132A0000}"/>
    <cellStyle name="20% - Accent4 2 3 3 7 5" xfId="15044" xr:uid="{00000000-0005-0000-0000-0000142A0000}"/>
    <cellStyle name="20% - Accent4 2 3 3 8" xfId="19907" xr:uid="{00000000-0005-0000-0000-0000152A0000}"/>
    <cellStyle name="20% - Accent4 2 3 3 9" xfId="29632" xr:uid="{00000000-0005-0000-0000-0000162A0000}"/>
    <cellStyle name="20% - Accent4 2 3 4" xfId="213" xr:uid="{00000000-0005-0000-0000-0000172A0000}"/>
    <cellStyle name="20% - Accent4 2 3 4 10" xfId="39177" xr:uid="{00000000-0005-0000-0000-0000182A0000}"/>
    <cellStyle name="20% - Accent4 2 3 4 11" xfId="10002" xr:uid="{00000000-0005-0000-0000-0000192A0000}"/>
    <cellStyle name="20% - Accent4 2 3 4 2" xfId="977" xr:uid="{00000000-0005-0000-0000-00001A2A0000}"/>
    <cellStyle name="20% - Accent4 2 3 4 2 2" xfId="2616" xr:uid="{00000000-0005-0000-0000-00001B2A0000}"/>
    <cellStyle name="20% - Accent4 2 3 4 2 2 2" xfId="7478" xr:uid="{00000000-0005-0000-0000-00001C2A0000}"/>
    <cellStyle name="20% - Accent4 2 3 4 2 2 2 2" xfId="26929" xr:uid="{00000000-0005-0000-0000-00001D2A0000}"/>
    <cellStyle name="20% - Accent4 2 3 4 2 2 2 3" xfId="36654" xr:uid="{00000000-0005-0000-0000-00001E2A0000}"/>
    <cellStyle name="20% - Accent4 2 3 4 2 2 2 4" xfId="46379" xr:uid="{00000000-0005-0000-0000-00001F2A0000}"/>
    <cellStyle name="20% - Accent4 2 3 4 2 2 2 5" xfId="17204" xr:uid="{00000000-0005-0000-0000-0000202A0000}"/>
    <cellStyle name="20% - Accent4 2 3 4 2 2 3" xfId="22067" xr:uid="{00000000-0005-0000-0000-0000212A0000}"/>
    <cellStyle name="20% - Accent4 2 3 4 2 2 4" xfId="31792" xr:uid="{00000000-0005-0000-0000-0000222A0000}"/>
    <cellStyle name="20% - Accent4 2 3 4 2 2 5" xfId="41517" xr:uid="{00000000-0005-0000-0000-0000232A0000}"/>
    <cellStyle name="20% - Accent4 2 3 4 2 2 6" xfId="12342" xr:uid="{00000000-0005-0000-0000-0000242A0000}"/>
    <cellStyle name="20% - Accent4 2 3 4 2 3" xfId="4236" xr:uid="{00000000-0005-0000-0000-0000252A0000}"/>
    <cellStyle name="20% - Accent4 2 3 4 2 3 2" xfId="9098" xr:uid="{00000000-0005-0000-0000-0000262A0000}"/>
    <cellStyle name="20% - Accent4 2 3 4 2 3 2 2" xfId="28549" xr:uid="{00000000-0005-0000-0000-0000272A0000}"/>
    <cellStyle name="20% - Accent4 2 3 4 2 3 2 3" xfId="38274" xr:uid="{00000000-0005-0000-0000-0000282A0000}"/>
    <cellStyle name="20% - Accent4 2 3 4 2 3 2 4" xfId="47999" xr:uid="{00000000-0005-0000-0000-0000292A0000}"/>
    <cellStyle name="20% - Accent4 2 3 4 2 3 2 5" xfId="18824" xr:uid="{00000000-0005-0000-0000-00002A2A0000}"/>
    <cellStyle name="20% - Accent4 2 3 4 2 3 3" xfId="23687" xr:uid="{00000000-0005-0000-0000-00002B2A0000}"/>
    <cellStyle name="20% - Accent4 2 3 4 2 3 4" xfId="33412" xr:uid="{00000000-0005-0000-0000-00002C2A0000}"/>
    <cellStyle name="20% - Accent4 2 3 4 2 3 5" xfId="43137" xr:uid="{00000000-0005-0000-0000-00002D2A0000}"/>
    <cellStyle name="20% - Accent4 2 3 4 2 3 6" xfId="13962" xr:uid="{00000000-0005-0000-0000-00002E2A0000}"/>
    <cellStyle name="20% - Accent4 2 3 4 2 4" xfId="5858" xr:uid="{00000000-0005-0000-0000-00002F2A0000}"/>
    <cellStyle name="20% - Accent4 2 3 4 2 4 2" xfId="25309" xr:uid="{00000000-0005-0000-0000-0000302A0000}"/>
    <cellStyle name="20% - Accent4 2 3 4 2 4 3" xfId="35034" xr:uid="{00000000-0005-0000-0000-0000312A0000}"/>
    <cellStyle name="20% - Accent4 2 3 4 2 4 4" xfId="44759" xr:uid="{00000000-0005-0000-0000-0000322A0000}"/>
    <cellStyle name="20% - Accent4 2 3 4 2 4 5" xfId="15584" xr:uid="{00000000-0005-0000-0000-0000332A0000}"/>
    <cellStyle name="20% - Accent4 2 3 4 2 5" xfId="20447" xr:uid="{00000000-0005-0000-0000-0000342A0000}"/>
    <cellStyle name="20% - Accent4 2 3 4 2 6" xfId="30172" xr:uid="{00000000-0005-0000-0000-0000352A0000}"/>
    <cellStyle name="20% - Accent4 2 3 4 2 7" xfId="39897" xr:uid="{00000000-0005-0000-0000-0000362A0000}"/>
    <cellStyle name="20% - Accent4 2 3 4 2 8" xfId="10722" xr:uid="{00000000-0005-0000-0000-0000372A0000}"/>
    <cellStyle name="20% - Accent4 2 3 4 3" xfId="1445" xr:uid="{00000000-0005-0000-0000-0000382A0000}"/>
    <cellStyle name="20% - Accent4 2 3 4 3 2" xfId="3066" xr:uid="{00000000-0005-0000-0000-0000392A0000}"/>
    <cellStyle name="20% - Accent4 2 3 4 3 2 2" xfId="7928" xr:uid="{00000000-0005-0000-0000-00003A2A0000}"/>
    <cellStyle name="20% - Accent4 2 3 4 3 2 2 2" xfId="27379" xr:uid="{00000000-0005-0000-0000-00003B2A0000}"/>
    <cellStyle name="20% - Accent4 2 3 4 3 2 2 3" xfId="37104" xr:uid="{00000000-0005-0000-0000-00003C2A0000}"/>
    <cellStyle name="20% - Accent4 2 3 4 3 2 2 4" xfId="46829" xr:uid="{00000000-0005-0000-0000-00003D2A0000}"/>
    <cellStyle name="20% - Accent4 2 3 4 3 2 2 5" xfId="17654" xr:uid="{00000000-0005-0000-0000-00003E2A0000}"/>
    <cellStyle name="20% - Accent4 2 3 4 3 2 3" xfId="22517" xr:uid="{00000000-0005-0000-0000-00003F2A0000}"/>
    <cellStyle name="20% - Accent4 2 3 4 3 2 4" xfId="32242" xr:uid="{00000000-0005-0000-0000-0000402A0000}"/>
    <cellStyle name="20% - Accent4 2 3 4 3 2 5" xfId="41967" xr:uid="{00000000-0005-0000-0000-0000412A0000}"/>
    <cellStyle name="20% - Accent4 2 3 4 3 2 6" xfId="12792" xr:uid="{00000000-0005-0000-0000-0000422A0000}"/>
    <cellStyle name="20% - Accent4 2 3 4 3 3" xfId="4686" xr:uid="{00000000-0005-0000-0000-0000432A0000}"/>
    <cellStyle name="20% - Accent4 2 3 4 3 3 2" xfId="9548" xr:uid="{00000000-0005-0000-0000-0000442A0000}"/>
    <cellStyle name="20% - Accent4 2 3 4 3 3 2 2" xfId="28999" xr:uid="{00000000-0005-0000-0000-0000452A0000}"/>
    <cellStyle name="20% - Accent4 2 3 4 3 3 2 3" xfId="38724" xr:uid="{00000000-0005-0000-0000-0000462A0000}"/>
    <cellStyle name="20% - Accent4 2 3 4 3 3 2 4" xfId="48449" xr:uid="{00000000-0005-0000-0000-0000472A0000}"/>
    <cellStyle name="20% - Accent4 2 3 4 3 3 2 5" xfId="19274" xr:uid="{00000000-0005-0000-0000-0000482A0000}"/>
    <cellStyle name="20% - Accent4 2 3 4 3 3 3" xfId="24137" xr:uid="{00000000-0005-0000-0000-0000492A0000}"/>
    <cellStyle name="20% - Accent4 2 3 4 3 3 4" xfId="33862" xr:uid="{00000000-0005-0000-0000-00004A2A0000}"/>
    <cellStyle name="20% - Accent4 2 3 4 3 3 5" xfId="43587" xr:uid="{00000000-0005-0000-0000-00004B2A0000}"/>
    <cellStyle name="20% - Accent4 2 3 4 3 3 6" xfId="14412" xr:uid="{00000000-0005-0000-0000-00004C2A0000}"/>
    <cellStyle name="20% - Accent4 2 3 4 3 4" xfId="6308" xr:uid="{00000000-0005-0000-0000-00004D2A0000}"/>
    <cellStyle name="20% - Accent4 2 3 4 3 4 2" xfId="25759" xr:uid="{00000000-0005-0000-0000-00004E2A0000}"/>
    <cellStyle name="20% - Accent4 2 3 4 3 4 3" xfId="35484" xr:uid="{00000000-0005-0000-0000-00004F2A0000}"/>
    <cellStyle name="20% - Accent4 2 3 4 3 4 4" xfId="45209" xr:uid="{00000000-0005-0000-0000-0000502A0000}"/>
    <cellStyle name="20% - Accent4 2 3 4 3 4 5" xfId="16034" xr:uid="{00000000-0005-0000-0000-0000512A0000}"/>
    <cellStyle name="20% - Accent4 2 3 4 3 5" xfId="20897" xr:uid="{00000000-0005-0000-0000-0000522A0000}"/>
    <cellStyle name="20% - Accent4 2 3 4 3 6" xfId="30622" xr:uid="{00000000-0005-0000-0000-0000532A0000}"/>
    <cellStyle name="20% - Accent4 2 3 4 3 7" xfId="40347" xr:uid="{00000000-0005-0000-0000-0000542A0000}"/>
    <cellStyle name="20% - Accent4 2 3 4 3 8" xfId="11172" xr:uid="{00000000-0005-0000-0000-0000552A0000}"/>
    <cellStyle name="20% - Accent4 2 3 4 4" xfId="616" xr:uid="{00000000-0005-0000-0000-0000562A0000}"/>
    <cellStyle name="20% - Accent4 2 3 4 4 2" xfId="2256" xr:uid="{00000000-0005-0000-0000-0000572A0000}"/>
    <cellStyle name="20% - Accent4 2 3 4 4 2 2" xfId="7118" xr:uid="{00000000-0005-0000-0000-0000582A0000}"/>
    <cellStyle name="20% - Accent4 2 3 4 4 2 2 2" xfId="26569" xr:uid="{00000000-0005-0000-0000-0000592A0000}"/>
    <cellStyle name="20% - Accent4 2 3 4 4 2 2 3" xfId="36294" xr:uid="{00000000-0005-0000-0000-00005A2A0000}"/>
    <cellStyle name="20% - Accent4 2 3 4 4 2 2 4" xfId="46019" xr:uid="{00000000-0005-0000-0000-00005B2A0000}"/>
    <cellStyle name="20% - Accent4 2 3 4 4 2 2 5" xfId="16844" xr:uid="{00000000-0005-0000-0000-00005C2A0000}"/>
    <cellStyle name="20% - Accent4 2 3 4 4 2 3" xfId="21707" xr:uid="{00000000-0005-0000-0000-00005D2A0000}"/>
    <cellStyle name="20% - Accent4 2 3 4 4 2 4" xfId="31432" xr:uid="{00000000-0005-0000-0000-00005E2A0000}"/>
    <cellStyle name="20% - Accent4 2 3 4 4 2 5" xfId="41157" xr:uid="{00000000-0005-0000-0000-00005F2A0000}"/>
    <cellStyle name="20% - Accent4 2 3 4 4 2 6" xfId="11982" xr:uid="{00000000-0005-0000-0000-0000602A0000}"/>
    <cellStyle name="20% - Accent4 2 3 4 4 3" xfId="3876" xr:uid="{00000000-0005-0000-0000-0000612A0000}"/>
    <cellStyle name="20% - Accent4 2 3 4 4 3 2" xfId="8738" xr:uid="{00000000-0005-0000-0000-0000622A0000}"/>
    <cellStyle name="20% - Accent4 2 3 4 4 3 2 2" xfId="28189" xr:uid="{00000000-0005-0000-0000-0000632A0000}"/>
    <cellStyle name="20% - Accent4 2 3 4 4 3 2 3" xfId="37914" xr:uid="{00000000-0005-0000-0000-0000642A0000}"/>
    <cellStyle name="20% - Accent4 2 3 4 4 3 2 4" xfId="47639" xr:uid="{00000000-0005-0000-0000-0000652A0000}"/>
    <cellStyle name="20% - Accent4 2 3 4 4 3 2 5" xfId="18464" xr:uid="{00000000-0005-0000-0000-0000662A0000}"/>
    <cellStyle name="20% - Accent4 2 3 4 4 3 3" xfId="23327" xr:uid="{00000000-0005-0000-0000-0000672A0000}"/>
    <cellStyle name="20% - Accent4 2 3 4 4 3 4" xfId="33052" xr:uid="{00000000-0005-0000-0000-0000682A0000}"/>
    <cellStyle name="20% - Accent4 2 3 4 4 3 5" xfId="42777" xr:uid="{00000000-0005-0000-0000-0000692A0000}"/>
    <cellStyle name="20% - Accent4 2 3 4 4 3 6" xfId="13602" xr:uid="{00000000-0005-0000-0000-00006A2A0000}"/>
    <cellStyle name="20% - Accent4 2 3 4 4 4" xfId="5498" xr:uid="{00000000-0005-0000-0000-00006B2A0000}"/>
    <cellStyle name="20% - Accent4 2 3 4 4 4 2" xfId="24949" xr:uid="{00000000-0005-0000-0000-00006C2A0000}"/>
    <cellStyle name="20% - Accent4 2 3 4 4 4 3" xfId="34674" xr:uid="{00000000-0005-0000-0000-00006D2A0000}"/>
    <cellStyle name="20% - Accent4 2 3 4 4 4 4" xfId="44399" xr:uid="{00000000-0005-0000-0000-00006E2A0000}"/>
    <cellStyle name="20% - Accent4 2 3 4 4 4 5" xfId="15224" xr:uid="{00000000-0005-0000-0000-00006F2A0000}"/>
    <cellStyle name="20% - Accent4 2 3 4 4 5" xfId="20087" xr:uid="{00000000-0005-0000-0000-0000702A0000}"/>
    <cellStyle name="20% - Accent4 2 3 4 4 6" xfId="29812" xr:uid="{00000000-0005-0000-0000-0000712A0000}"/>
    <cellStyle name="20% - Accent4 2 3 4 4 7" xfId="39537" xr:uid="{00000000-0005-0000-0000-0000722A0000}"/>
    <cellStyle name="20% - Accent4 2 3 4 4 8" xfId="10362" xr:uid="{00000000-0005-0000-0000-0000732A0000}"/>
    <cellStyle name="20% - Accent4 2 3 4 5" xfId="1896" xr:uid="{00000000-0005-0000-0000-0000742A0000}"/>
    <cellStyle name="20% - Accent4 2 3 4 5 2" xfId="6758" xr:uid="{00000000-0005-0000-0000-0000752A0000}"/>
    <cellStyle name="20% - Accent4 2 3 4 5 2 2" xfId="26209" xr:uid="{00000000-0005-0000-0000-0000762A0000}"/>
    <cellStyle name="20% - Accent4 2 3 4 5 2 3" xfId="35934" xr:uid="{00000000-0005-0000-0000-0000772A0000}"/>
    <cellStyle name="20% - Accent4 2 3 4 5 2 4" xfId="45659" xr:uid="{00000000-0005-0000-0000-0000782A0000}"/>
    <cellStyle name="20% - Accent4 2 3 4 5 2 5" xfId="16484" xr:uid="{00000000-0005-0000-0000-0000792A0000}"/>
    <cellStyle name="20% - Accent4 2 3 4 5 3" xfId="21347" xr:uid="{00000000-0005-0000-0000-00007A2A0000}"/>
    <cellStyle name="20% - Accent4 2 3 4 5 4" xfId="31072" xr:uid="{00000000-0005-0000-0000-00007B2A0000}"/>
    <cellStyle name="20% - Accent4 2 3 4 5 5" xfId="40797" xr:uid="{00000000-0005-0000-0000-00007C2A0000}"/>
    <cellStyle name="20% - Accent4 2 3 4 5 6" xfId="11622" xr:uid="{00000000-0005-0000-0000-00007D2A0000}"/>
    <cellStyle name="20% - Accent4 2 3 4 6" xfId="3516" xr:uid="{00000000-0005-0000-0000-00007E2A0000}"/>
    <cellStyle name="20% - Accent4 2 3 4 6 2" xfId="8378" xr:uid="{00000000-0005-0000-0000-00007F2A0000}"/>
    <cellStyle name="20% - Accent4 2 3 4 6 2 2" xfId="27829" xr:uid="{00000000-0005-0000-0000-0000802A0000}"/>
    <cellStyle name="20% - Accent4 2 3 4 6 2 3" xfId="37554" xr:uid="{00000000-0005-0000-0000-0000812A0000}"/>
    <cellStyle name="20% - Accent4 2 3 4 6 2 4" xfId="47279" xr:uid="{00000000-0005-0000-0000-0000822A0000}"/>
    <cellStyle name="20% - Accent4 2 3 4 6 2 5" xfId="18104" xr:uid="{00000000-0005-0000-0000-0000832A0000}"/>
    <cellStyle name="20% - Accent4 2 3 4 6 3" xfId="22967" xr:uid="{00000000-0005-0000-0000-0000842A0000}"/>
    <cellStyle name="20% - Accent4 2 3 4 6 4" xfId="32692" xr:uid="{00000000-0005-0000-0000-0000852A0000}"/>
    <cellStyle name="20% - Accent4 2 3 4 6 5" xfId="42417" xr:uid="{00000000-0005-0000-0000-0000862A0000}"/>
    <cellStyle name="20% - Accent4 2 3 4 6 6" xfId="13242" xr:uid="{00000000-0005-0000-0000-0000872A0000}"/>
    <cellStyle name="20% - Accent4 2 3 4 7" xfId="5138" xr:uid="{00000000-0005-0000-0000-0000882A0000}"/>
    <cellStyle name="20% - Accent4 2 3 4 7 2" xfId="24589" xr:uid="{00000000-0005-0000-0000-0000892A0000}"/>
    <cellStyle name="20% - Accent4 2 3 4 7 3" xfId="34314" xr:uid="{00000000-0005-0000-0000-00008A2A0000}"/>
    <cellStyle name="20% - Accent4 2 3 4 7 4" xfId="44039" xr:uid="{00000000-0005-0000-0000-00008B2A0000}"/>
    <cellStyle name="20% - Accent4 2 3 4 7 5" xfId="14864" xr:uid="{00000000-0005-0000-0000-00008C2A0000}"/>
    <cellStyle name="20% - Accent4 2 3 4 8" xfId="19727" xr:uid="{00000000-0005-0000-0000-00008D2A0000}"/>
    <cellStyle name="20% - Accent4 2 3 4 9" xfId="29452" xr:uid="{00000000-0005-0000-0000-00008E2A0000}"/>
    <cellStyle name="20% - Accent4 2 3 5" xfId="887" xr:uid="{00000000-0005-0000-0000-00008F2A0000}"/>
    <cellStyle name="20% - Accent4 2 3 5 2" xfId="2526" xr:uid="{00000000-0005-0000-0000-0000902A0000}"/>
    <cellStyle name="20% - Accent4 2 3 5 2 2" xfId="7388" xr:uid="{00000000-0005-0000-0000-0000912A0000}"/>
    <cellStyle name="20% - Accent4 2 3 5 2 2 2" xfId="26839" xr:uid="{00000000-0005-0000-0000-0000922A0000}"/>
    <cellStyle name="20% - Accent4 2 3 5 2 2 3" xfId="36564" xr:uid="{00000000-0005-0000-0000-0000932A0000}"/>
    <cellStyle name="20% - Accent4 2 3 5 2 2 4" xfId="46289" xr:uid="{00000000-0005-0000-0000-0000942A0000}"/>
    <cellStyle name="20% - Accent4 2 3 5 2 2 5" xfId="17114" xr:uid="{00000000-0005-0000-0000-0000952A0000}"/>
    <cellStyle name="20% - Accent4 2 3 5 2 3" xfId="21977" xr:uid="{00000000-0005-0000-0000-0000962A0000}"/>
    <cellStyle name="20% - Accent4 2 3 5 2 4" xfId="31702" xr:uid="{00000000-0005-0000-0000-0000972A0000}"/>
    <cellStyle name="20% - Accent4 2 3 5 2 5" xfId="41427" xr:uid="{00000000-0005-0000-0000-0000982A0000}"/>
    <cellStyle name="20% - Accent4 2 3 5 2 6" xfId="12252" xr:uid="{00000000-0005-0000-0000-0000992A0000}"/>
    <cellStyle name="20% - Accent4 2 3 5 3" xfId="4146" xr:uid="{00000000-0005-0000-0000-00009A2A0000}"/>
    <cellStyle name="20% - Accent4 2 3 5 3 2" xfId="9008" xr:uid="{00000000-0005-0000-0000-00009B2A0000}"/>
    <cellStyle name="20% - Accent4 2 3 5 3 2 2" xfId="28459" xr:uid="{00000000-0005-0000-0000-00009C2A0000}"/>
    <cellStyle name="20% - Accent4 2 3 5 3 2 3" xfId="38184" xr:uid="{00000000-0005-0000-0000-00009D2A0000}"/>
    <cellStyle name="20% - Accent4 2 3 5 3 2 4" xfId="47909" xr:uid="{00000000-0005-0000-0000-00009E2A0000}"/>
    <cellStyle name="20% - Accent4 2 3 5 3 2 5" xfId="18734" xr:uid="{00000000-0005-0000-0000-00009F2A0000}"/>
    <cellStyle name="20% - Accent4 2 3 5 3 3" xfId="23597" xr:uid="{00000000-0005-0000-0000-0000A02A0000}"/>
    <cellStyle name="20% - Accent4 2 3 5 3 4" xfId="33322" xr:uid="{00000000-0005-0000-0000-0000A12A0000}"/>
    <cellStyle name="20% - Accent4 2 3 5 3 5" xfId="43047" xr:uid="{00000000-0005-0000-0000-0000A22A0000}"/>
    <cellStyle name="20% - Accent4 2 3 5 3 6" xfId="13872" xr:uid="{00000000-0005-0000-0000-0000A32A0000}"/>
    <cellStyle name="20% - Accent4 2 3 5 4" xfId="5768" xr:uid="{00000000-0005-0000-0000-0000A42A0000}"/>
    <cellStyle name="20% - Accent4 2 3 5 4 2" xfId="25219" xr:uid="{00000000-0005-0000-0000-0000A52A0000}"/>
    <cellStyle name="20% - Accent4 2 3 5 4 3" xfId="34944" xr:uid="{00000000-0005-0000-0000-0000A62A0000}"/>
    <cellStyle name="20% - Accent4 2 3 5 4 4" xfId="44669" xr:uid="{00000000-0005-0000-0000-0000A72A0000}"/>
    <cellStyle name="20% - Accent4 2 3 5 4 5" xfId="15494" xr:uid="{00000000-0005-0000-0000-0000A82A0000}"/>
    <cellStyle name="20% - Accent4 2 3 5 5" xfId="20357" xr:uid="{00000000-0005-0000-0000-0000A92A0000}"/>
    <cellStyle name="20% - Accent4 2 3 5 6" xfId="30082" xr:uid="{00000000-0005-0000-0000-0000AA2A0000}"/>
    <cellStyle name="20% - Accent4 2 3 5 7" xfId="39807" xr:uid="{00000000-0005-0000-0000-0000AB2A0000}"/>
    <cellStyle name="20% - Accent4 2 3 5 8" xfId="10632" xr:uid="{00000000-0005-0000-0000-0000AC2A0000}"/>
    <cellStyle name="20% - Accent4 2 3 6" xfId="1265" xr:uid="{00000000-0005-0000-0000-0000AD2A0000}"/>
    <cellStyle name="20% - Accent4 2 3 6 2" xfId="2886" xr:uid="{00000000-0005-0000-0000-0000AE2A0000}"/>
    <cellStyle name="20% - Accent4 2 3 6 2 2" xfId="7748" xr:uid="{00000000-0005-0000-0000-0000AF2A0000}"/>
    <cellStyle name="20% - Accent4 2 3 6 2 2 2" xfId="27199" xr:uid="{00000000-0005-0000-0000-0000B02A0000}"/>
    <cellStyle name="20% - Accent4 2 3 6 2 2 3" xfId="36924" xr:uid="{00000000-0005-0000-0000-0000B12A0000}"/>
    <cellStyle name="20% - Accent4 2 3 6 2 2 4" xfId="46649" xr:uid="{00000000-0005-0000-0000-0000B22A0000}"/>
    <cellStyle name="20% - Accent4 2 3 6 2 2 5" xfId="17474" xr:uid="{00000000-0005-0000-0000-0000B32A0000}"/>
    <cellStyle name="20% - Accent4 2 3 6 2 3" xfId="22337" xr:uid="{00000000-0005-0000-0000-0000B42A0000}"/>
    <cellStyle name="20% - Accent4 2 3 6 2 4" xfId="32062" xr:uid="{00000000-0005-0000-0000-0000B52A0000}"/>
    <cellStyle name="20% - Accent4 2 3 6 2 5" xfId="41787" xr:uid="{00000000-0005-0000-0000-0000B62A0000}"/>
    <cellStyle name="20% - Accent4 2 3 6 2 6" xfId="12612" xr:uid="{00000000-0005-0000-0000-0000B72A0000}"/>
    <cellStyle name="20% - Accent4 2 3 6 3" xfId="4506" xr:uid="{00000000-0005-0000-0000-0000B82A0000}"/>
    <cellStyle name="20% - Accent4 2 3 6 3 2" xfId="9368" xr:uid="{00000000-0005-0000-0000-0000B92A0000}"/>
    <cellStyle name="20% - Accent4 2 3 6 3 2 2" xfId="28819" xr:uid="{00000000-0005-0000-0000-0000BA2A0000}"/>
    <cellStyle name="20% - Accent4 2 3 6 3 2 3" xfId="38544" xr:uid="{00000000-0005-0000-0000-0000BB2A0000}"/>
    <cellStyle name="20% - Accent4 2 3 6 3 2 4" xfId="48269" xr:uid="{00000000-0005-0000-0000-0000BC2A0000}"/>
    <cellStyle name="20% - Accent4 2 3 6 3 2 5" xfId="19094" xr:uid="{00000000-0005-0000-0000-0000BD2A0000}"/>
    <cellStyle name="20% - Accent4 2 3 6 3 3" xfId="23957" xr:uid="{00000000-0005-0000-0000-0000BE2A0000}"/>
    <cellStyle name="20% - Accent4 2 3 6 3 4" xfId="33682" xr:uid="{00000000-0005-0000-0000-0000BF2A0000}"/>
    <cellStyle name="20% - Accent4 2 3 6 3 5" xfId="43407" xr:uid="{00000000-0005-0000-0000-0000C02A0000}"/>
    <cellStyle name="20% - Accent4 2 3 6 3 6" xfId="14232" xr:uid="{00000000-0005-0000-0000-0000C12A0000}"/>
    <cellStyle name="20% - Accent4 2 3 6 4" xfId="6128" xr:uid="{00000000-0005-0000-0000-0000C22A0000}"/>
    <cellStyle name="20% - Accent4 2 3 6 4 2" xfId="25579" xr:uid="{00000000-0005-0000-0000-0000C32A0000}"/>
    <cellStyle name="20% - Accent4 2 3 6 4 3" xfId="35304" xr:uid="{00000000-0005-0000-0000-0000C42A0000}"/>
    <cellStyle name="20% - Accent4 2 3 6 4 4" xfId="45029" xr:uid="{00000000-0005-0000-0000-0000C52A0000}"/>
    <cellStyle name="20% - Accent4 2 3 6 4 5" xfId="15854" xr:uid="{00000000-0005-0000-0000-0000C62A0000}"/>
    <cellStyle name="20% - Accent4 2 3 6 5" xfId="20717" xr:uid="{00000000-0005-0000-0000-0000C72A0000}"/>
    <cellStyle name="20% - Accent4 2 3 6 6" xfId="30442" xr:uid="{00000000-0005-0000-0000-0000C82A0000}"/>
    <cellStyle name="20% - Accent4 2 3 6 7" xfId="40167" xr:uid="{00000000-0005-0000-0000-0000C92A0000}"/>
    <cellStyle name="20% - Accent4 2 3 6 8" xfId="10992" xr:uid="{00000000-0005-0000-0000-0000CA2A0000}"/>
    <cellStyle name="20% - Accent4 2 3 7" xfId="1355" xr:uid="{00000000-0005-0000-0000-0000CB2A0000}"/>
    <cellStyle name="20% - Accent4 2 3 7 2" xfId="2976" xr:uid="{00000000-0005-0000-0000-0000CC2A0000}"/>
    <cellStyle name="20% - Accent4 2 3 7 2 2" xfId="7838" xr:uid="{00000000-0005-0000-0000-0000CD2A0000}"/>
    <cellStyle name="20% - Accent4 2 3 7 2 2 2" xfId="27289" xr:uid="{00000000-0005-0000-0000-0000CE2A0000}"/>
    <cellStyle name="20% - Accent4 2 3 7 2 2 3" xfId="37014" xr:uid="{00000000-0005-0000-0000-0000CF2A0000}"/>
    <cellStyle name="20% - Accent4 2 3 7 2 2 4" xfId="46739" xr:uid="{00000000-0005-0000-0000-0000D02A0000}"/>
    <cellStyle name="20% - Accent4 2 3 7 2 2 5" xfId="17564" xr:uid="{00000000-0005-0000-0000-0000D12A0000}"/>
    <cellStyle name="20% - Accent4 2 3 7 2 3" xfId="22427" xr:uid="{00000000-0005-0000-0000-0000D22A0000}"/>
    <cellStyle name="20% - Accent4 2 3 7 2 4" xfId="32152" xr:uid="{00000000-0005-0000-0000-0000D32A0000}"/>
    <cellStyle name="20% - Accent4 2 3 7 2 5" xfId="41877" xr:uid="{00000000-0005-0000-0000-0000D42A0000}"/>
    <cellStyle name="20% - Accent4 2 3 7 2 6" xfId="12702" xr:uid="{00000000-0005-0000-0000-0000D52A0000}"/>
    <cellStyle name="20% - Accent4 2 3 7 3" xfId="4596" xr:uid="{00000000-0005-0000-0000-0000D62A0000}"/>
    <cellStyle name="20% - Accent4 2 3 7 3 2" xfId="9458" xr:uid="{00000000-0005-0000-0000-0000D72A0000}"/>
    <cellStyle name="20% - Accent4 2 3 7 3 2 2" xfId="28909" xr:uid="{00000000-0005-0000-0000-0000D82A0000}"/>
    <cellStyle name="20% - Accent4 2 3 7 3 2 3" xfId="38634" xr:uid="{00000000-0005-0000-0000-0000D92A0000}"/>
    <cellStyle name="20% - Accent4 2 3 7 3 2 4" xfId="48359" xr:uid="{00000000-0005-0000-0000-0000DA2A0000}"/>
    <cellStyle name="20% - Accent4 2 3 7 3 2 5" xfId="19184" xr:uid="{00000000-0005-0000-0000-0000DB2A0000}"/>
    <cellStyle name="20% - Accent4 2 3 7 3 3" xfId="24047" xr:uid="{00000000-0005-0000-0000-0000DC2A0000}"/>
    <cellStyle name="20% - Accent4 2 3 7 3 4" xfId="33772" xr:uid="{00000000-0005-0000-0000-0000DD2A0000}"/>
    <cellStyle name="20% - Accent4 2 3 7 3 5" xfId="43497" xr:uid="{00000000-0005-0000-0000-0000DE2A0000}"/>
    <cellStyle name="20% - Accent4 2 3 7 3 6" xfId="14322" xr:uid="{00000000-0005-0000-0000-0000DF2A0000}"/>
    <cellStyle name="20% - Accent4 2 3 7 4" xfId="6218" xr:uid="{00000000-0005-0000-0000-0000E02A0000}"/>
    <cellStyle name="20% - Accent4 2 3 7 4 2" xfId="25669" xr:uid="{00000000-0005-0000-0000-0000E12A0000}"/>
    <cellStyle name="20% - Accent4 2 3 7 4 3" xfId="35394" xr:uid="{00000000-0005-0000-0000-0000E22A0000}"/>
    <cellStyle name="20% - Accent4 2 3 7 4 4" xfId="45119" xr:uid="{00000000-0005-0000-0000-0000E32A0000}"/>
    <cellStyle name="20% - Accent4 2 3 7 4 5" xfId="15944" xr:uid="{00000000-0005-0000-0000-0000E42A0000}"/>
    <cellStyle name="20% - Accent4 2 3 7 5" xfId="20807" xr:uid="{00000000-0005-0000-0000-0000E52A0000}"/>
    <cellStyle name="20% - Accent4 2 3 7 6" xfId="30532" xr:uid="{00000000-0005-0000-0000-0000E62A0000}"/>
    <cellStyle name="20% - Accent4 2 3 7 7" xfId="40257" xr:uid="{00000000-0005-0000-0000-0000E72A0000}"/>
    <cellStyle name="20% - Accent4 2 3 7 8" xfId="11082" xr:uid="{00000000-0005-0000-0000-0000E82A0000}"/>
    <cellStyle name="20% - Accent4 2 3 8" xfId="526" xr:uid="{00000000-0005-0000-0000-0000E92A0000}"/>
    <cellStyle name="20% - Accent4 2 3 8 2" xfId="2166" xr:uid="{00000000-0005-0000-0000-0000EA2A0000}"/>
    <cellStyle name="20% - Accent4 2 3 8 2 2" xfId="7028" xr:uid="{00000000-0005-0000-0000-0000EB2A0000}"/>
    <cellStyle name="20% - Accent4 2 3 8 2 2 2" xfId="26479" xr:uid="{00000000-0005-0000-0000-0000EC2A0000}"/>
    <cellStyle name="20% - Accent4 2 3 8 2 2 3" xfId="36204" xr:uid="{00000000-0005-0000-0000-0000ED2A0000}"/>
    <cellStyle name="20% - Accent4 2 3 8 2 2 4" xfId="45929" xr:uid="{00000000-0005-0000-0000-0000EE2A0000}"/>
    <cellStyle name="20% - Accent4 2 3 8 2 2 5" xfId="16754" xr:uid="{00000000-0005-0000-0000-0000EF2A0000}"/>
    <cellStyle name="20% - Accent4 2 3 8 2 3" xfId="21617" xr:uid="{00000000-0005-0000-0000-0000F02A0000}"/>
    <cellStyle name="20% - Accent4 2 3 8 2 4" xfId="31342" xr:uid="{00000000-0005-0000-0000-0000F12A0000}"/>
    <cellStyle name="20% - Accent4 2 3 8 2 5" xfId="41067" xr:uid="{00000000-0005-0000-0000-0000F22A0000}"/>
    <cellStyle name="20% - Accent4 2 3 8 2 6" xfId="11892" xr:uid="{00000000-0005-0000-0000-0000F32A0000}"/>
    <cellStyle name="20% - Accent4 2 3 8 3" xfId="3786" xr:uid="{00000000-0005-0000-0000-0000F42A0000}"/>
    <cellStyle name="20% - Accent4 2 3 8 3 2" xfId="8648" xr:uid="{00000000-0005-0000-0000-0000F52A0000}"/>
    <cellStyle name="20% - Accent4 2 3 8 3 2 2" xfId="28099" xr:uid="{00000000-0005-0000-0000-0000F62A0000}"/>
    <cellStyle name="20% - Accent4 2 3 8 3 2 3" xfId="37824" xr:uid="{00000000-0005-0000-0000-0000F72A0000}"/>
    <cellStyle name="20% - Accent4 2 3 8 3 2 4" xfId="47549" xr:uid="{00000000-0005-0000-0000-0000F82A0000}"/>
    <cellStyle name="20% - Accent4 2 3 8 3 2 5" xfId="18374" xr:uid="{00000000-0005-0000-0000-0000F92A0000}"/>
    <cellStyle name="20% - Accent4 2 3 8 3 3" xfId="23237" xr:uid="{00000000-0005-0000-0000-0000FA2A0000}"/>
    <cellStyle name="20% - Accent4 2 3 8 3 4" xfId="32962" xr:uid="{00000000-0005-0000-0000-0000FB2A0000}"/>
    <cellStyle name="20% - Accent4 2 3 8 3 5" xfId="42687" xr:uid="{00000000-0005-0000-0000-0000FC2A0000}"/>
    <cellStyle name="20% - Accent4 2 3 8 3 6" xfId="13512" xr:uid="{00000000-0005-0000-0000-0000FD2A0000}"/>
    <cellStyle name="20% - Accent4 2 3 8 4" xfId="5408" xr:uid="{00000000-0005-0000-0000-0000FE2A0000}"/>
    <cellStyle name="20% - Accent4 2 3 8 4 2" xfId="24859" xr:uid="{00000000-0005-0000-0000-0000FF2A0000}"/>
    <cellStyle name="20% - Accent4 2 3 8 4 3" xfId="34584" xr:uid="{00000000-0005-0000-0000-0000002B0000}"/>
    <cellStyle name="20% - Accent4 2 3 8 4 4" xfId="44309" xr:uid="{00000000-0005-0000-0000-0000012B0000}"/>
    <cellStyle name="20% - Accent4 2 3 8 4 5" xfId="15134" xr:uid="{00000000-0005-0000-0000-0000022B0000}"/>
    <cellStyle name="20% - Accent4 2 3 8 5" xfId="19997" xr:uid="{00000000-0005-0000-0000-0000032B0000}"/>
    <cellStyle name="20% - Accent4 2 3 8 6" xfId="29722" xr:uid="{00000000-0005-0000-0000-0000042B0000}"/>
    <cellStyle name="20% - Accent4 2 3 8 7" xfId="39447" xr:uid="{00000000-0005-0000-0000-0000052B0000}"/>
    <cellStyle name="20% - Accent4 2 3 8 8" xfId="10272" xr:uid="{00000000-0005-0000-0000-0000062B0000}"/>
    <cellStyle name="20% - Accent4 2 3 9" xfId="1715" xr:uid="{00000000-0005-0000-0000-0000072B0000}"/>
    <cellStyle name="20% - Accent4 2 3 9 2" xfId="3336" xr:uid="{00000000-0005-0000-0000-0000082B0000}"/>
    <cellStyle name="20% - Accent4 2 3 9 2 2" xfId="8198" xr:uid="{00000000-0005-0000-0000-0000092B0000}"/>
    <cellStyle name="20% - Accent4 2 3 9 2 2 2" xfId="27649" xr:uid="{00000000-0005-0000-0000-00000A2B0000}"/>
    <cellStyle name="20% - Accent4 2 3 9 2 2 3" xfId="37374" xr:uid="{00000000-0005-0000-0000-00000B2B0000}"/>
    <cellStyle name="20% - Accent4 2 3 9 2 2 4" xfId="47099" xr:uid="{00000000-0005-0000-0000-00000C2B0000}"/>
    <cellStyle name="20% - Accent4 2 3 9 2 2 5" xfId="17924" xr:uid="{00000000-0005-0000-0000-00000D2B0000}"/>
    <cellStyle name="20% - Accent4 2 3 9 2 3" xfId="22787" xr:uid="{00000000-0005-0000-0000-00000E2B0000}"/>
    <cellStyle name="20% - Accent4 2 3 9 2 4" xfId="32512" xr:uid="{00000000-0005-0000-0000-00000F2B0000}"/>
    <cellStyle name="20% - Accent4 2 3 9 2 5" xfId="42237" xr:uid="{00000000-0005-0000-0000-0000102B0000}"/>
    <cellStyle name="20% - Accent4 2 3 9 2 6" xfId="13062" xr:uid="{00000000-0005-0000-0000-0000112B0000}"/>
    <cellStyle name="20% - Accent4 2 3 9 3" xfId="4956" xr:uid="{00000000-0005-0000-0000-0000122B0000}"/>
    <cellStyle name="20% - Accent4 2 3 9 3 2" xfId="9818" xr:uid="{00000000-0005-0000-0000-0000132B0000}"/>
    <cellStyle name="20% - Accent4 2 3 9 3 2 2" xfId="29269" xr:uid="{00000000-0005-0000-0000-0000142B0000}"/>
    <cellStyle name="20% - Accent4 2 3 9 3 2 3" xfId="38994" xr:uid="{00000000-0005-0000-0000-0000152B0000}"/>
    <cellStyle name="20% - Accent4 2 3 9 3 2 4" xfId="48719" xr:uid="{00000000-0005-0000-0000-0000162B0000}"/>
    <cellStyle name="20% - Accent4 2 3 9 3 2 5" xfId="19544" xr:uid="{00000000-0005-0000-0000-0000172B0000}"/>
    <cellStyle name="20% - Accent4 2 3 9 3 3" xfId="24407" xr:uid="{00000000-0005-0000-0000-0000182B0000}"/>
    <cellStyle name="20% - Accent4 2 3 9 3 4" xfId="34132" xr:uid="{00000000-0005-0000-0000-0000192B0000}"/>
    <cellStyle name="20% - Accent4 2 3 9 3 5" xfId="43857" xr:uid="{00000000-0005-0000-0000-00001A2B0000}"/>
    <cellStyle name="20% - Accent4 2 3 9 3 6" xfId="14682" xr:uid="{00000000-0005-0000-0000-00001B2B0000}"/>
    <cellStyle name="20% - Accent4 2 3 9 4" xfId="6578" xr:uid="{00000000-0005-0000-0000-00001C2B0000}"/>
    <cellStyle name="20% - Accent4 2 3 9 4 2" xfId="26029" xr:uid="{00000000-0005-0000-0000-00001D2B0000}"/>
    <cellStyle name="20% - Accent4 2 3 9 4 3" xfId="35754" xr:uid="{00000000-0005-0000-0000-00001E2B0000}"/>
    <cellStyle name="20% - Accent4 2 3 9 4 4" xfId="45479" xr:uid="{00000000-0005-0000-0000-00001F2B0000}"/>
    <cellStyle name="20% - Accent4 2 3 9 4 5" xfId="16304" xr:uid="{00000000-0005-0000-0000-0000202B0000}"/>
    <cellStyle name="20% - Accent4 2 3 9 5" xfId="21167" xr:uid="{00000000-0005-0000-0000-0000212B0000}"/>
    <cellStyle name="20% - Accent4 2 3 9 6" xfId="30892" xr:uid="{00000000-0005-0000-0000-0000222B0000}"/>
    <cellStyle name="20% - Accent4 2 3 9 7" xfId="40617" xr:uid="{00000000-0005-0000-0000-0000232B0000}"/>
    <cellStyle name="20% - Accent4 2 3 9 8" xfId="11442" xr:uid="{00000000-0005-0000-0000-0000242B0000}"/>
    <cellStyle name="20% - Accent4 2 4" xfId="244" xr:uid="{00000000-0005-0000-0000-0000252B0000}"/>
    <cellStyle name="20% - Accent4 2 4 10" xfId="39207" xr:uid="{00000000-0005-0000-0000-0000262B0000}"/>
    <cellStyle name="20% - Accent4 2 4 11" xfId="10032" xr:uid="{00000000-0005-0000-0000-0000272B0000}"/>
    <cellStyle name="20% - Accent4 2 4 2" xfId="1008" xr:uid="{00000000-0005-0000-0000-0000282B0000}"/>
    <cellStyle name="20% - Accent4 2 4 2 2" xfId="2646" xr:uid="{00000000-0005-0000-0000-0000292B0000}"/>
    <cellStyle name="20% - Accent4 2 4 2 2 2" xfId="7508" xr:uid="{00000000-0005-0000-0000-00002A2B0000}"/>
    <cellStyle name="20% - Accent4 2 4 2 2 2 2" xfId="26959" xr:uid="{00000000-0005-0000-0000-00002B2B0000}"/>
    <cellStyle name="20% - Accent4 2 4 2 2 2 3" xfId="36684" xr:uid="{00000000-0005-0000-0000-00002C2B0000}"/>
    <cellStyle name="20% - Accent4 2 4 2 2 2 4" xfId="46409" xr:uid="{00000000-0005-0000-0000-00002D2B0000}"/>
    <cellStyle name="20% - Accent4 2 4 2 2 2 5" xfId="17234" xr:uid="{00000000-0005-0000-0000-00002E2B0000}"/>
    <cellStyle name="20% - Accent4 2 4 2 2 3" xfId="22097" xr:uid="{00000000-0005-0000-0000-00002F2B0000}"/>
    <cellStyle name="20% - Accent4 2 4 2 2 4" xfId="31822" xr:uid="{00000000-0005-0000-0000-0000302B0000}"/>
    <cellStyle name="20% - Accent4 2 4 2 2 5" xfId="41547" xr:uid="{00000000-0005-0000-0000-0000312B0000}"/>
    <cellStyle name="20% - Accent4 2 4 2 2 6" xfId="12372" xr:uid="{00000000-0005-0000-0000-0000322B0000}"/>
    <cellStyle name="20% - Accent4 2 4 2 3" xfId="4266" xr:uid="{00000000-0005-0000-0000-0000332B0000}"/>
    <cellStyle name="20% - Accent4 2 4 2 3 2" xfId="9128" xr:uid="{00000000-0005-0000-0000-0000342B0000}"/>
    <cellStyle name="20% - Accent4 2 4 2 3 2 2" xfId="28579" xr:uid="{00000000-0005-0000-0000-0000352B0000}"/>
    <cellStyle name="20% - Accent4 2 4 2 3 2 3" xfId="38304" xr:uid="{00000000-0005-0000-0000-0000362B0000}"/>
    <cellStyle name="20% - Accent4 2 4 2 3 2 4" xfId="48029" xr:uid="{00000000-0005-0000-0000-0000372B0000}"/>
    <cellStyle name="20% - Accent4 2 4 2 3 2 5" xfId="18854" xr:uid="{00000000-0005-0000-0000-0000382B0000}"/>
    <cellStyle name="20% - Accent4 2 4 2 3 3" xfId="23717" xr:uid="{00000000-0005-0000-0000-0000392B0000}"/>
    <cellStyle name="20% - Accent4 2 4 2 3 4" xfId="33442" xr:uid="{00000000-0005-0000-0000-00003A2B0000}"/>
    <cellStyle name="20% - Accent4 2 4 2 3 5" xfId="43167" xr:uid="{00000000-0005-0000-0000-00003B2B0000}"/>
    <cellStyle name="20% - Accent4 2 4 2 3 6" xfId="13992" xr:uid="{00000000-0005-0000-0000-00003C2B0000}"/>
    <cellStyle name="20% - Accent4 2 4 2 4" xfId="5888" xr:uid="{00000000-0005-0000-0000-00003D2B0000}"/>
    <cellStyle name="20% - Accent4 2 4 2 4 2" xfId="25339" xr:uid="{00000000-0005-0000-0000-00003E2B0000}"/>
    <cellStyle name="20% - Accent4 2 4 2 4 3" xfId="35064" xr:uid="{00000000-0005-0000-0000-00003F2B0000}"/>
    <cellStyle name="20% - Accent4 2 4 2 4 4" xfId="44789" xr:uid="{00000000-0005-0000-0000-0000402B0000}"/>
    <cellStyle name="20% - Accent4 2 4 2 4 5" xfId="15614" xr:uid="{00000000-0005-0000-0000-0000412B0000}"/>
    <cellStyle name="20% - Accent4 2 4 2 5" xfId="20477" xr:uid="{00000000-0005-0000-0000-0000422B0000}"/>
    <cellStyle name="20% - Accent4 2 4 2 6" xfId="30202" xr:uid="{00000000-0005-0000-0000-0000432B0000}"/>
    <cellStyle name="20% - Accent4 2 4 2 7" xfId="39927" xr:uid="{00000000-0005-0000-0000-0000442B0000}"/>
    <cellStyle name="20% - Accent4 2 4 2 8" xfId="10752" xr:uid="{00000000-0005-0000-0000-0000452B0000}"/>
    <cellStyle name="20% - Accent4 2 4 3" xfId="1475" xr:uid="{00000000-0005-0000-0000-0000462B0000}"/>
    <cellStyle name="20% - Accent4 2 4 3 2" xfId="3096" xr:uid="{00000000-0005-0000-0000-0000472B0000}"/>
    <cellStyle name="20% - Accent4 2 4 3 2 2" xfId="7958" xr:uid="{00000000-0005-0000-0000-0000482B0000}"/>
    <cellStyle name="20% - Accent4 2 4 3 2 2 2" xfId="27409" xr:uid="{00000000-0005-0000-0000-0000492B0000}"/>
    <cellStyle name="20% - Accent4 2 4 3 2 2 3" xfId="37134" xr:uid="{00000000-0005-0000-0000-00004A2B0000}"/>
    <cellStyle name="20% - Accent4 2 4 3 2 2 4" xfId="46859" xr:uid="{00000000-0005-0000-0000-00004B2B0000}"/>
    <cellStyle name="20% - Accent4 2 4 3 2 2 5" xfId="17684" xr:uid="{00000000-0005-0000-0000-00004C2B0000}"/>
    <cellStyle name="20% - Accent4 2 4 3 2 3" xfId="22547" xr:uid="{00000000-0005-0000-0000-00004D2B0000}"/>
    <cellStyle name="20% - Accent4 2 4 3 2 4" xfId="32272" xr:uid="{00000000-0005-0000-0000-00004E2B0000}"/>
    <cellStyle name="20% - Accent4 2 4 3 2 5" xfId="41997" xr:uid="{00000000-0005-0000-0000-00004F2B0000}"/>
    <cellStyle name="20% - Accent4 2 4 3 2 6" xfId="12822" xr:uid="{00000000-0005-0000-0000-0000502B0000}"/>
    <cellStyle name="20% - Accent4 2 4 3 3" xfId="4716" xr:uid="{00000000-0005-0000-0000-0000512B0000}"/>
    <cellStyle name="20% - Accent4 2 4 3 3 2" xfId="9578" xr:uid="{00000000-0005-0000-0000-0000522B0000}"/>
    <cellStyle name="20% - Accent4 2 4 3 3 2 2" xfId="29029" xr:uid="{00000000-0005-0000-0000-0000532B0000}"/>
    <cellStyle name="20% - Accent4 2 4 3 3 2 3" xfId="38754" xr:uid="{00000000-0005-0000-0000-0000542B0000}"/>
    <cellStyle name="20% - Accent4 2 4 3 3 2 4" xfId="48479" xr:uid="{00000000-0005-0000-0000-0000552B0000}"/>
    <cellStyle name="20% - Accent4 2 4 3 3 2 5" xfId="19304" xr:uid="{00000000-0005-0000-0000-0000562B0000}"/>
    <cellStyle name="20% - Accent4 2 4 3 3 3" xfId="24167" xr:uid="{00000000-0005-0000-0000-0000572B0000}"/>
    <cellStyle name="20% - Accent4 2 4 3 3 4" xfId="33892" xr:uid="{00000000-0005-0000-0000-0000582B0000}"/>
    <cellStyle name="20% - Accent4 2 4 3 3 5" xfId="43617" xr:uid="{00000000-0005-0000-0000-0000592B0000}"/>
    <cellStyle name="20% - Accent4 2 4 3 3 6" xfId="14442" xr:uid="{00000000-0005-0000-0000-00005A2B0000}"/>
    <cellStyle name="20% - Accent4 2 4 3 4" xfId="6338" xr:uid="{00000000-0005-0000-0000-00005B2B0000}"/>
    <cellStyle name="20% - Accent4 2 4 3 4 2" xfId="25789" xr:uid="{00000000-0005-0000-0000-00005C2B0000}"/>
    <cellStyle name="20% - Accent4 2 4 3 4 3" xfId="35514" xr:uid="{00000000-0005-0000-0000-00005D2B0000}"/>
    <cellStyle name="20% - Accent4 2 4 3 4 4" xfId="45239" xr:uid="{00000000-0005-0000-0000-00005E2B0000}"/>
    <cellStyle name="20% - Accent4 2 4 3 4 5" xfId="16064" xr:uid="{00000000-0005-0000-0000-00005F2B0000}"/>
    <cellStyle name="20% - Accent4 2 4 3 5" xfId="20927" xr:uid="{00000000-0005-0000-0000-0000602B0000}"/>
    <cellStyle name="20% - Accent4 2 4 3 6" xfId="30652" xr:uid="{00000000-0005-0000-0000-0000612B0000}"/>
    <cellStyle name="20% - Accent4 2 4 3 7" xfId="40377" xr:uid="{00000000-0005-0000-0000-0000622B0000}"/>
    <cellStyle name="20% - Accent4 2 4 3 8" xfId="11202" xr:uid="{00000000-0005-0000-0000-0000632B0000}"/>
    <cellStyle name="20% - Accent4 2 4 4" xfId="646" xr:uid="{00000000-0005-0000-0000-0000642B0000}"/>
    <cellStyle name="20% - Accent4 2 4 4 2" xfId="2286" xr:uid="{00000000-0005-0000-0000-0000652B0000}"/>
    <cellStyle name="20% - Accent4 2 4 4 2 2" xfId="7148" xr:uid="{00000000-0005-0000-0000-0000662B0000}"/>
    <cellStyle name="20% - Accent4 2 4 4 2 2 2" xfId="26599" xr:uid="{00000000-0005-0000-0000-0000672B0000}"/>
    <cellStyle name="20% - Accent4 2 4 4 2 2 3" xfId="36324" xr:uid="{00000000-0005-0000-0000-0000682B0000}"/>
    <cellStyle name="20% - Accent4 2 4 4 2 2 4" xfId="46049" xr:uid="{00000000-0005-0000-0000-0000692B0000}"/>
    <cellStyle name="20% - Accent4 2 4 4 2 2 5" xfId="16874" xr:uid="{00000000-0005-0000-0000-00006A2B0000}"/>
    <cellStyle name="20% - Accent4 2 4 4 2 3" xfId="21737" xr:uid="{00000000-0005-0000-0000-00006B2B0000}"/>
    <cellStyle name="20% - Accent4 2 4 4 2 4" xfId="31462" xr:uid="{00000000-0005-0000-0000-00006C2B0000}"/>
    <cellStyle name="20% - Accent4 2 4 4 2 5" xfId="41187" xr:uid="{00000000-0005-0000-0000-00006D2B0000}"/>
    <cellStyle name="20% - Accent4 2 4 4 2 6" xfId="12012" xr:uid="{00000000-0005-0000-0000-00006E2B0000}"/>
    <cellStyle name="20% - Accent4 2 4 4 3" xfId="3906" xr:uid="{00000000-0005-0000-0000-00006F2B0000}"/>
    <cellStyle name="20% - Accent4 2 4 4 3 2" xfId="8768" xr:uid="{00000000-0005-0000-0000-0000702B0000}"/>
    <cellStyle name="20% - Accent4 2 4 4 3 2 2" xfId="28219" xr:uid="{00000000-0005-0000-0000-0000712B0000}"/>
    <cellStyle name="20% - Accent4 2 4 4 3 2 3" xfId="37944" xr:uid="{00000000-0005-0000-0000-0000722B0000}"/>
    <cellStyle name="20% - Accent4 2 4 4 3 2 4" xfId="47669" xr:uid="{00000000-0005-0000-0000-0000732B0000}"/>
    <cellStyle name="20% - Accent4 2 4 4 3 2 5" xfId="18494" xr:uid="{00000000-0005-0000-0000-0000742B0000}"/>
    <cellStyle name="20% - Accent4 2 4 4 3 3" xfId="23357" xr:uid="{00000000-0005-0000-0000-0000752B0000}"/>
    <cellStyle name="20% - Accent4 2 4 4 3 4" xfId="33082" xr:uid="{00000000-0005-0000-0000-0000762B0000}"/>
    <cellStyle name="20% - Accent4 2 4 4 3 5" xfId="42807" xr:uid="{00000000-0005-0000-0000-0000772B0000}"/>
    <cellStyle name="20% - Accent4 2 4 4 3 6" xfId="13632" xr:uid="{00000000-0005-0000-0000-0000782B0000}"/>
    <cellStyle name="20% - Accent4 2 4 4 4" xfId="5528" xr:uid="{00000000-0005-0000-0000-0000792B0000}"/>
    <cellStyle name="20% - Accent4 2 4 4 4 2" xfId="24979" xr:uid="{00000000-0005-0000-0000-00007A2B0000}"/>
    <cellStyle name="20% - Accent4 2 4 4 4 3" xfId="34704" xr:uid="{00000000-0005-0000-0000-00007B2B0000}"/>
    <cellStyle name="20% - Accent4 2 4 4 4 4" xfId="44429" xr:uid="{00000000-0005-0000-0000-00007C2B0000}"/>
    <cellStyle name="20% - Accent4 2 4 4 4 5" xfId="15254" xr:uid="{00000000-0005-0000-0000-00007D2B0000}"/>
    <cellStyle name="20% - Accent4 2 4 4 5" xfId="20117" xr:uid="{00000000-0005-0000-0000-00007E2B0000}"/>
    <cellStyle name="20% - Accent4 2 4 4 6" xfId="29842" xr:uid="{00000000-0005-0000-0000-00007F2B0000}"/>
    <cellStyle name="20% - Accent4 2 4 4 7" xfId="39567" xr:uid="{00000000-0005-0000-0000-0000802B0000}"/>
    <cellStyle name="20% - Accent4 2 4 4 8" xfId="10392" xr:uid="{00000000-0005-0000-0000-0000812B0000}"/>
    <cellStyle name="20% - Accent4 2 4 5" xfId="1926" xr:uid="{00000000-0005-0000-0000-0000822B0000}"/>
    <cellStyle name="20% - Accent4 2 4 5 2" xfId="6788" xr:uid="{00000000-0005-0000-0000-0000832B0000}"/>
    <cellStyle name="20% - Accent4 2 4 5 2 2" xfId="26239" xr:uid="{00000000-0005-0000-0000-0000842B0000}"/>
    <cellStyle name="20% - Accent4 2 4 5 2 3" xfId="35964" xr:uid="{00000000-0005-0000-0000-0000852B0000}"/>
    <cellStyle name="20% - Accent4 2 4 5 2 4" xfId="45689" xr:uid="{00000000-0005-0000-0000-0000862B0000}"/>
    <cellStyle name="20% - Accent4 2 4 5 2 5" xfId="16514" xr:uid="{00000000-0005-0000-0000-0000872B0000}"/>
    <cellStyle name="20% - Accent4 2 4 5 3" xfId="21377" xr:uid="{00000000-0005-0000-0000-0000882B0000}"/>
    <cellStyle name="20% - Accent4 2 4 5 4" xfId="31102" xr:uid="{00000000-0005-0000-0000-0000892B0000}"/>
    <cellStyle name="20% - Accent4 2 4 5 5" xfId="40827" xr:uid="{00000000-0005-0000-0000-00008A2B0000}"/>
    <cellStyle name="20% - Accent4 2 4 5 6" xfId="11652" xr:uid="{00000000-0005-0000-0000-00008B2B0000}"/>
    <cellStyle name="20% - Accent4 2 4 6" xfId="3546" xr:uid="{00000000-0005-0000-0000-00008C2B0000}"/>
    <cellStyle name="20% - Accent4 2 4 6 2" xfId="8408" xr:uid="{00000000-0005-0000-0000-00008D2B0000}"/>
    <cellStyle name="20% - Accent4 2 4 6 2 2" xfId="27859" xr:uid="{00000000-0005-0000-0000-00008E2B0000}"/>
    <cellStyle name="20% - Accent4 2 4 6 2 3" xfId="37584" xr:uid="{00000000-0005-0000-0000-00008F2B0000}"/>
    <cellStyle name="20% - Accent4 2 4 6 2 4" xfId="47309" xr:uid="{00000000-0005-0000-0000-0000902B0000}"/>
    <cellStyle name="20% - Accent4 2 4 6 2 5" xfId="18134" xr:uid="{00000000-0005-0000-0000-0000912B0000}"/>
    <cellStyle name="20% - Accent4 2 4 6 3" xfId="22997" xr:uid="{00000000-0005-0000-0000-0000922B0000}"/>
    <cellStyle name="20% - Accent4 2 4 6 4" xfId="32722" xr:uid="{00000000-0005-0000-0000-0000932B0000}"/>
    <cellStyle name="20% - Accent4 2 4 6 5" xfId="42447" xr:uid="{00000000-0005-0000-0000-0000942B0000}"/>
    <cellStyle name="20% - Accent4 2 4 6 6" xfId="13272" xr:uid="{00000000-0005-0000-0000-0000952B0000}"/>
    <cellStyle name="20% - Accent4 2 4 7" xfId="5168" xr:uid="{00000000-0005-0000-0000-0000962B0000}"/>
    <cellStyle name="20% - Accent4 2 4 7 2" xfId="24619" xr:uid="{00000000-0005-0000-0000-0000972B0000}"/>
    <cellStyle name="20% - Accent4 2 4 7 3" xfId="34344" xr:uid="{00000000-0005-0000-0000-0000982B0000}"/>
    <cellStyle name="20% - Accent4 2 4 7 4" xfId="44069" xr:uid="{00000000-0005-0000-0000-0000992B0000}"/>
    <cellStyle name="20% - Accent4 2 4 7 5" xfId="14894" xr:uid="{00000000-0005-0000-0000-00009A2B0000}"/>
    <cellStyle name="20% - Accent4 2 4 8" xfId="19757" xr:uid="{00000000-0005-0000-0000-00009B2B0000}"/>
    <cellStyle name="20% - Accent4 2 4 9" xfId="29482" xr:uid="{00000000-0005-0000-0000-00009C2B0000}"/>
    <cellStyle name="20% - Accent4 2 5" xfId="335" xr:uid="{00000000-0005-0000-0000-00009D2B0000}"/>
    <cellStyle name="20% - Accent4 2 5 10" xfId="39297" xr:uid="{00000000-0005-0000-0000-00009E2B0000}"/>
    <cellStyle name="20% - Accent4 2 5 11" xfId="10122" xr:uid="{00000000-0005-0000-0000-00009F2B0000}"/>
    <cellStyle name="20% - Accent4 2 5 2" xfId="1098" xr:uid="{00000000-0005-0000-0000-0000A02B0000}"/>
    <cellStyle name="20% - Accent4 2 5 2 2" xfId="2736" xr:uid="{00000000-0005-0000-0000-0000A12B0000}"/>
    <cellStyle name="20% - Accent4 2 5 2 2 2" xfId="7598" xr:uid="{00000000-0005-0000-0000-0000A22B0000}"/>
    <cellStyle name="20% - Accent4 2 5 2 2 2 2" xfId="27049" xr:uid="{00000000-0005-0000-0000-0000A32B0000}"/>
    <cellStyle name="20% - Accent4 2 5 2 2 2 3" xfId="36774" xr:uid="{00000000-0005-0000-0000-0000A42B0000}"/>
    <cellStyle name="20% - Accent4 2 5 2 2 2 4" xfId="46499" xr:uid="{00000000-0005-0000-0000-0000A52B0000}"/>
    <cellStyle name="20% - Accent4 2 5 2 2 2 5" xfId="17324" xr:uid="{00000000-0005-0000-0000-0000A62B0000}"/>
    <cellStyle name="20% - Accent4 2 5 2 2 3" xfId="22187" xr:uid="{00000000-0005-0000-0000-0000A72B0000}"/>
    <cellStyle name="20% - Accent4 2 5 2 2 4" xfId="31912" xr:uid="{00000000-0005-0000-0000-0000A82B0000}"/>
    <cellStyle name="20% - Accent4 2 5 2 2 5" xfId="41637" xr:uid="{00000000-0005-0000-0000-0000A92B0000}"/>
    <cellStyle name="20% - Accent4 2 5 2 2 6" xfId="12462" xr:uid="{00000000-0005-0000-0000-0000AA2B0000}"/>
    <cellStyle name="20% - Accent4 2 5 2 3" xfId="4356" xr:uid="{00000000-0005-0000-0000-0000AB2B0000}"/>
    <cellStyle name="20% - Accent4 2 5 2 3 2" xfId="9218" xr:uid="{00000000-0005-0000-0000-0000AC2B0000}"/>
    <cellStyle name="20% - Accent4 2 5 2 3 2 2" xfId="28669" xr:uid="{00000000-0005-0000-0000-0000AD2B0000}"/>
    <cellStyle name="20% - Accent4 2 5 2 3 2 3" xfId="38394" xr:uid="{00000000-0005-0000-0000-0000AE2B0000}"/>
    <cellStyle name="20% - Accent4 2 5 2 3 2 4" xfId="48119" xr:uid="{00000000-0005-0000-0000-0000AF2B0000}"/>
    <cellStyle name="20% - Accent4 2 5 2 3 2 5" xfId="18944" xr:uid="{00000000-0005-0000-0000-0000B02B0000}"/>
    <cellStyle name="20% - Accent4 2 5 2 3 3" xfId="23807" xr:uid="{00000000-0005-0000-0000-0000B12B0000}"/>
    <cellStyle name="20% - Accent4 2 5 2 3 4" xfId="33532" xr:uid="{00000000-0005-0000-0000-0000B22B0000}"/>
    <cellStyle name="20% - Accent4 2 5 2 3 5" xfId="43257" xr:uid="{00000000-0005-0000-0000-0000B32B0000}"/>
    <cellStyle name="20% - Accent4 2 5 2 3 6" xfId="14082" xr:uid="{00000000-0005-0000-0000-0000B42B0000}"/>
    <cellStyle name="20% - Accent4 2 5 2 4" xfId="5978" xr:uid="{00000000-0005-0000-0000-0000B52B0000}"/>
    <cellStyle name="20% - Accent4 2 5 2 4 2" xfId="25429" xr:uid="{00000000-0005-0000-0000-0000B62B0000}"/>
    <cellStyle name="20% - Accent4 2 5 2 4 3" xfId="35154" xr:uid="{00000000-0005-0000-0000-0000B72B0000}"/>
    <cellStyle name="20% - Accent4 2 5 2 4 4" xfId="44879" xr:uid="{00000000-0005-0000-0000-0000B82B0000}"/>
    <cellStyle name="20% - Accent4 2 5 2 4 5" xfId="15704" xr:uid="{00000000-0005-0000-0000-0000B92B0000}"/>
    <cellStyle name="20% - Accent4 2 5 2 5" xfId="20567" xr:uid="{00000000-0005-0000-0000-0000BA2B0000}"/>
    <cellStyle name="20% - Accent4 2 5 2 6" xfId="30292" xr:uid="{00000000-0005-0000-0000-0000BB2B0000}"/>
    <cellStyle name="20% - Accent4 2 5 2 7" xfId="40017" xr:uid="{00000000-0005-0000-0000-0000BC2B0000}"/>
    <cellStyle name="20% - Accent4 2 5 2 8" xfId="10842" xr:uid="{00000000-0005-0000-0000-0000BD2B0000}"/>
    <cellStyle name="20% - Accent4 2 5 3" xfId="1565" xr:uid="{00000000-0005-0000-0000-0000BE2B0000}"/>
    <cellStyle name="20% - Accent4 2 5 3 2" xfId="3186" xr:uid="{00000000-0005-0000-0000-0000BF2B0000}"/>
    <cellStyle name="20% - Accent4 2 5 3 2 2" xfId="8048" xr:uid="{00000000-0005-0000-0000-0000C02B0000}"/>
    <cellStyle name="20% - Accent4 2 5 3 2 2 2" xfId="27499" xr:uid="{00000000-0005-0000-0000-0000C12B0000}"/>
    <cellStyle name="20% - Accent4 2 5 3 2 2 3" xfId="37224" xr:uid="{00000000-0005-0000-0000-0000C22B0000}"/>
    <cellStyle name="20% - Accent4 2 5 3 2 2 4" xfId="46949" xr:uid="{00000000-0005-0000-0000-0000C32B0000}"/>
    <cellStyle name="20% - Accent4 2 5 3 2 2 5" xfId="17774" xr:uid="{00000000-0005-0000-0000-0000C42B0000}"/>
    <cellStyle name="20% - Accent4 2 5 3 2 3" xfId="22637" xr:uid="{00000000-0005-0000-0000-0000C52B0000}"/>
    <cellStyle name="20% - Accent4 2 5 3 2 4" xfId="32362" xr:uid="{00000000-0005-0000-0000-0000C62B0000}"/>
    <cellStyle name="20% - Accent4 2 5 3 2 5" xfId="42087" xr:uid="{00000000-0005-0000-0000-0000C72B0000}"/>
    <cellStyle name="20% - Accent4 2 5 3 2 6" xfId="12912" xr:uid="{00000000-0005-0000-0000-0000C82B0000}"/>
    <cellStyle name="20% - Accent4 2 5 3 3" xfId="4806" xr:uid="{00000000-0005-0000-0000-0000C92B0000}"/>
    <cellStyle name="20% - Accent4 2 5 3 3 2" xfId="9668" xr:uid="{00000000-0005-0000-0000-0000CA2B0000}"/>
    <cellStyle name="20% - Accent4 2 5 3 3 2 2" xfId="29119" xr:uid="{00000000-0005-0000-0000-0000CB2B0000}"/>
    <cellStyle name="20% - Accent4 2 5 3 3 2 3" xfId="38844" xr:uid="{00000000-0005-0000-0000-0000CC2B0000}"/>
    <cellStyle name="20% - Accent4 2 5 3 3 2 4" xfId="48569" xr:uid="{00000000-0005-0000-0000-0000CD2B0000}"/>
    <cellStyle name="20% - Accent4 2 5 3 3 2 5" xfId="19394" xr:uid="{00000000-0005-0000-0000-0000CE2B0000}"/>
    <cellStyle name="20% - Accent4 2 5 3 3 3" xfId="24257" xr:uid="{00000000-0005-0000-0000-0000CF2B0000}"/>
    <cellStyle name="20% - Accent4 2 5 3 3 4" xfId="33982" xr:uid="{00000000-0005-0000-0000-0000D02B0000}"/>
    <cellStyle name="20% - Accent4 2 5 3 3 5" xfId="43707" xr:uid="{00000000-0005-0000-0000-0000D12B0000}"/>
    <cellStyle name="20% - Accent4 2 5 3 3 6" xfId="14532" xr:uid="{00000000-0005-0000-0000-0000D22B0000}"/>
    <cellStyle name="20% - Accent4 2 5 3 4" xfId="6428" xr:uid="{00000000-0005-0000-0000-0000D32B0000}"/>
    <cellStyle name="20% - Accent4 2 5 3 4 2" xfId="25879" xr:uid="{00000000-0005-0000-0000-0000D42B0000}"/>
    <cellStyle name="20% - Accent4 2 5 3 4 3" xfId="35604" xr:uid="{00000000-0005-0000-0000-0000D52B0000}"/>
    <cellStyle name="20% - Accent4 2 5 3 4 4" xfId="45329" xr:uid="{00000000-0005-0000-0000-0000D62B0000}"/>
    <cellStyle name="20% - Accent4 2 5 3 4 5" xfId="16154" xr:uid="{00000000-0005-0000-0000-0000D72B0000}"/>
    <cellStyle name="20% - Accent4 2 5 3 5" xfId="21017" xr:uid="{00000000-0005-0000-0000-0000D82B0000}"/>
    <cellStyle name="20% - Accent4 2 5 3 6" xfId="30742" xr:uid="{00000000-0005-0000-0000-0000D92B0000}"/>
    <cellStyle name="20% - Accent4 2 5 3 7" xfId="40467" xr:uid="{00000000-0005-0000-0000-0000DA2B0000}"/>
    <cellStyle name="20% - Accent4 2 5 3 8" xfId="11292" xr:uid="{00000000-0005-0000-0000-0000DB2B0000}"/>
    <cellStyle name="20% - Accent4 2 5 4" xfId="736" xr:uid="{00000000-0005-0000-0000-0000DC2B0000}"/>
    <cellStyle name="20% - Accent4 2 5 4 2" xfId="2376" xr:uid="{00000000-0005-0000-0000-0000DD2B0000}"/>
    <cellStyle name="20% - Accent4 2 5 4 2 2" xfId="7238" xr:uid="{00000000-0005-0000-0000-0000DE2B0000}"/>
    <cellStyle name="20% - Accent4 2 5 4 2 2 2" xfId="26689" xr:uid="{00000000-0005-0000-0000-0000DF2B0000}"/>
    <cellStyle name="20% - Accent4 2 5 4 2 2 3" xfId="36414" xr:uid="{00000000-0005-0000-0000-0000E02B0000}"/>
    <cellStyle name="20% - Accent4 2 5 4 2 2 4" xfId="46139" xr:uid="{00000000-0005-0000-0000-0000E12B0000}"/>
    <cellStyle name="20% - Accent4 2 5 4 2 2 5" xfId="16964" xr:uid="{00000000-0005-0000-0000-0000E22B0000}"/>
    <cellStyle name="20% - Accent4 2 5 4 2 3" xfId="21827" xr:uid="{00000000-0005-0000-0000-0000E32B0000}"/>
    <cellStyle name="20% - Accent4 2 5 4 2 4" xfId="31552" xr:uid="{00000000-0005-0000-0000-0000E42B0000}"/>
    <cellStyle name="20% - Accent4 2 5 4 2 5" xfId="41277" xr:uid="{00000000-0005-0000-0000-0000E52B0000}"/>
    <cellStyle name="20% - Accent4 2 5 4 2 6" xfId="12102" xr:uid="{00000000-0005-0000-0000-0000E62B0000}"/>
    <cellStyle name="20% - Accent4 2 5 4 3" xfId="3996" xr:uid="{00000000-0005-0000-0000-0000E72B0000}"/>
    <cellStyle name="20% - Accent4 2 5 4 3 2" xfId="8858" xr:uid="{00000000-0005-0000-0000-0000E82B0000}"/>
    <cellStyle name="20% - Accent4 2 5 4 3 2 2" xfId="28309" xr:uid="{00000000-0005-0000-0000-0000E92B0000}"/>
    <cellStyle name="20% - Accent4 2 5 4 3 2 3" xfId="38034" xr:uid="{00000000-0005-0000-0000-0000EA2B0000}"/>
    <cellStyle name="20% - Accent4 2 5 4 3 2 4" xfId="47759" xr:uid="{00000000-0005-0000-0000-0000EB2B0000}"/>
    <cellStyle name="20% - Accent4 2 5 4 3 2 5" xfId="18584" xr:uid="{00000000-0005-0000-0000-0000EC2B0000}"/>
    <cellStyle name="20% - Accent4 2 5 4 3 3" xfId="23447" xr:uid="{00000000-0005-0000-0000-0000ED2B0000}"/>
    <cellStyle name="20% - Accent4 2 5 4 3 4" xfId="33172" xr:uid="{00000000-0005-0000-0000-0000EE2B0000}"/>
    <cellStyle name="20% - Accent4 2 5 4 3 5" xfId="42897" xr:uid="{00000000-0005-0000-0000-0000EF2B0000}"/>
    <cellStyle name="20% - Accent4 2 5 4 3 6" xfId="13722" xr:uid="{00000000-0005-0000-0000-0000F02B0000}"/>
    <cellStyle name="20% - Accent4 2 5 4 4" xfId="5618" xr:uid="{00000000-0005-0000-0000-0000F12B0000}"/>
    <cellStyle name="20% - Accent4 2 5 4 4 2" xfId="25069" xr:uid="{00000000-0005-0000-0000-0000F22B0000}"/>
    <cellStyle name="20% - Accent4 2 5 4 4 3" xfId="34794" xr:uid="{00000000-0005-0000-0000-0000F32B0000}"/>
    <cellStyle name="20% - Accent4 2 5 4 4 4" xfId="44519" xr:uid="{00000000-0005-0000-0000-0000F42B0000}"/>
    <cellStyle name="20% - Accent4 2 5 4 4 5" xfId="15344" xr:uid="{00000000-0005-0000-0000-0000F52B0000}"/>
    <cellStyle name="20% - Accent4 2 5 4 5" xfId="20207" xr:uid="{00000000-0005-0000-0000-0000F62B0000}"/>
    <cellStyle name="20% - Accent4 2 5 4 6" xfId="29932" xr:uid="{00000000-0005-0000-0000-0000F72B0000}"/>
    <cellStyle name="20% - Accent4 2 5 4 7" xfId="39657" xr:uid="{00000000-0005-0000-0000-0000F82B0000}"/>
    <cellStyle name="20% - Accent4 2 5 4 8" xfId="10482" xr:uid="{00000000-0005-0000-0000-0000F92B0000}"/>
    <cellStyle name="20% - Accent4 2 5 5" xfId="2016" xr:uid="{00000000-0005-0000-0000-0000FA2B0000}"/>
    <cellStyle name="20% - Accent4 2 5 5 2" xfId="6878" xr:uid="{00000000-0005-0000-0000-0000FB2B0000}"/>
    <cellStyle name="20% - Accent4 2 5 5 2 2" xfId="26329" xr:uid="{00000000-0005-0000-0000-0000FC2B0000}"/>
    <cellStyle name="20% - Accent4 2 5 5 2 3" xfId="36054" xr:uid="{00000000-0005-0000-0000-0000FD2B0000}"/>
    <cellStyle name="20% - Accent4 2 5 5 2 4" xfId="45779" xr:uid="{00000000-0005-0000-0000-0000FE2B0000}"/>
    <cellStyle name="20% - Accent4 2 5 5 2 5" xfId="16604" xr:uid="{00000000-0005-0000-0000-0000FF2B0000}"/>
    <cellStyle name="20% - Accent4 2 5 5 3" xfId="21467" xr:uid="{00000000-0005-0000-0000-0000002C0000}"/>
    <cellStyle name="20% - Accent4 2 5 5 4" xfId="31192" xr:uid="{00000000-0005-0000-0000-0000012C0000}"/>
    <cellStyle name="20% - Accent4 2 5 5 5" xfId="40917" xr:uid="{00000000-0005-0000-0000-0000022C0000}"/>
    <cellStyle name="20% - Accent4 2 5 5 6" xfId="11742" xr:uid="{00000000-0005-0000-0000-0000032C0000}"/>
    <cellStyle name="20% - Accent4 2 5 6" xfId="3636" xr:uid="{00000000-0005-0000-0000-0000042C0000}"/>
    <cellStyle name="20% - Accent4 2 5 6 2" xfId="8498" xr:uid="{00000000-0005-0000-0000-0000052C0000}"/>
    <cellStyle name="20% - Accent4 2 5 6 2 2" xfId="27949" xr:uid="{00000000-0005-0000-0000-0000062C0000}"/>
    <cellStyle name="20% - Accent4 2 5 6 2 3" xfId="37674" xr:uid="{00000000-0005-0000-0000-0000072C0000}"/>
    <cellStyle name="20% - Accent4 2 5 6 2 4" xfId="47399" xr:uid="{00000000-0005-0000-0000-0000082C0000}"/>
    <cellStyle name="20% - Accent4 2 5 6 2 5" xfId="18224" xr:uid="{00000000-0005-0000-0000-0000092C0000}"/>
    <cellStyle name="20% - Accent4 2 5 6 3" xfId="23087" xr:uid="{00000000-0005-0000-0000-00000A2C0000}"/>
    <cellStyle name="20% - Accent4 2 5 6 4" xfId="32812" xr:uid="{00000000-0005-0000-0000-00000B2C0000}"/>
    <cellStyle name="20% - Accent4 2 5 6 5" xfId="42537" xr:uid="{00000000-0005-0000-0000-00000C2C0000}"/>
    <cellStyle name="20% - Accent4 2 5 6 6" xfId="13362" xr:uid="{00000000-0005-0000-0000-00000D2C0000}"/>
    <cellStyle name="20% - Accent4 2 5 7" xfId="5258" xr:uid="{00000000-0005-0000-0000-00000E2C0000}"/>
    <cellStyle name="20% - Accent4 2 5 7 2" xfId="24709" xr:uid="{00000000-0005-0000-0000-00000F2C0000}"/>
    <cellStyle name="20% - Accent4 2 5 7 3" xfId="34434" xr:uid="{00000000-0005-0000-0000-0000102C0000}"/>
    <cellStyle name="20% - Accent4 2 5 7 4" xfId="44159" xr:uid="{00000000-0005-0000-0000-0000112C0000}"/>
    <cellStyle name="20% - Accent4 2 5 7 5" xfId="14984" xr:uid="{00000000-0005-0000-0000-0000122C0000}"/>
    <cellStyle name="20% - Accent4 2 5 8" xfId="19847" xr:uid="{00000000-0005-0000-0000-0000132C0000}"/>
    <cellStyle name="20% - Accent4 2 5 9" xfId="29572" xr:uid="{00000000-0005-0000-0000-0000142C0000}"/>
    <cellStyle name="20% - Accent4 2 6" xfId="153" xr:uid="{00000000-0005-0000-0000-0000152C0000}"/>
    <cellStyle name="20% - Accent4 2 6 10" xfId="39117" xr:uid="{00000000-0005-0000-0000-0000162C0000}"/>
    <cellStyle name="20% - Accent4 2 6 11" xfId="9942" xr:uid="{00000000-0005-0000-0000-0000172C0000}"/>
    <cellStyle name="20% - Accent4 2 6 2" xfId="917" xr:uid="{00000000-0005-0000-0000-0000182C0000}"/>
    <cellStyle name="20% - Accent4 2 6 2 2" xfId="2556" xr:uid="{00000000-0005-0000-0000-0000192C0000}"/>
    <cellStyle name="20% - Accent4 2 6 2 2 2" xfId="7418" xr:uid="{00000000-0005-0000-0000-00001A2C0000}"/>
    <cellStyle name="20% - Accent4 2 6 2 2 2 2" xfId="26869" xr:uid="{00000000-0005-0000-0000-00001B2C0000}"/>
    <cellStyle name="20% - Accent4 2 6 2 2 2 3" xfId="36594" xr:uid="{00000000-0005-0000-0000-00001C2C0000}"/>
    <cellStyle name="20% - Accent4 2 6 2 2 2 4" xfId="46319" xr:uid="{00000000-0005-0000-0000-00001D2C0000}"/>
    <cellStyle name="20% - Accent4 2 6 2 2 2 5" xfId="17144" xr:uid="{00000000-0005-0000-0000-00001E2C0000}"/>
    <cellStyle name="20% - Accent4 2 6 2 2 3" xfId="22007" xr:uid="{00000000-0005-0000-0000-00001F2C0000}"/>
    <cellStyle name="20% - Accent4 2 6 2 2 4" xfId="31732" xr:uid="{00000000-0005-0000-0000-0000202C0000}"/>
    <cellStyle name="20% - Accent4 2 6 2 2 5" xfId="41457" xr:uid="{00000000-0005-0000-0000-0000212C0000}"/>
    <cellStyle name="20% - Accent4 2 6 2 2 6" xfId="12282" xr:uid="{00000000-0005-0000-0000-0000222C0000}"/>
    <cellStyle name="20% - Accent4 2 6 2 3" xfId="4176" xr:uid="{00000000-0005-0000-0000-0000232C0000}"/>
    <cellStyle name="20% - Accent4 2 6 2 3 2" xfId="9038" xr:uid="{00000000-0005-0000-0000-0000242C0000}"/>
    <cellStyle name="20% - Accent4 2 6 2 3 2 2" xfId="28489" xr:uid="{00000000-0005-0000-0000-0000252C0000}"/>
    <cellStyle name="20% - Accent4 2 6 2 3 2 3" xfId="38214" xr:uid="{00000000-0005-0000-0000-0000262C0000}"/>
    <cellStyle name="20% - Accent4 2 6 2 3 2 4" xfId="47939" xr:uid="{00000000-0005-0000-0000-0000272C0000}"/>
    <cellStyle name="20% - Accent4 2 6 2 3 2 5" xfId="18764" xr:uid="{00000000-0005-0000-0000-0000282C0000}"/>
    <cellStyle name="20% - Accent4 2 6 2 3 3" xfId="23627" xr:uid="{00000000-0005-0000-0000-0000292C0000}"/>
    <cellStyle name="20% - Accent4 2 6 2 3 4" xfId="33352" xr:uid="{00000000-0005-0000-0000-00002A2C0000}"/>
    <cellStyle name="20% - Accent4 2 6 2 3 5" xfId="43077" xr:uid="{00000000-0005-0000-0000-00002B2C0000}"/>
    <cellStyle name="20% - Accent4 2 6 2 3 6" xfId="13902" xr:uid="{00000000-0005-0000-0000-00002C2C0000}"/>
    <cellStyle name="20% - Accent4 2 6 2 4" xfId="5798" xr:uid="{00000000-0005-0000-0000-00002D2C0000}"/>
    <cellStyle name="20% - Accent4 2 6 2 4 2" xfId="25249" xr:uid="{00000000-0005-0000-0000-00002E2C0000}"/>
    <cellStyle name="20% - Accent4 2 6 2 4 3" xfId="34974" xr:uid="{00000000-0005-0000-0000-00002F2C0000}"/>
    <cellStyle name="20% - Accent4 2 6 2 4 4" xfId="44699" xr:uid="{00000000-0005-0000-0000-0000302C0000}"/>
    <cellStyle name="20% - Accent4 2 6 2 4 5" xfId="15524" xr:uid="{00000000-0005-0000-0000-0000312C0000}"/>
    <cellStyle name="20% - Accent4 2 6 2 5" xfId="20387" xr:uid="{00000000-0005-0000-0000-0000322C0000}"/>
    <cellStyle name="20% - Accent4 2 6 2 6" xfId="30112" xr:uid="{00000000-0005-0000-0000-0000332C0000}"/>
    <cellStyle name="20% - Accent4 2 6 2 7" xfId="39837" xr:uid="{00000000-0005-0000-0000-0000342C0000}"/>
    <cellStyle name="20% - Accent4 2 6 2 8" xfId="10662" xr:uid="{00000000-0005-0000-0000-0000352C0000}"/>
    <cellStyle name="20% - Accent4 2 6 3" xfId="1385" xr:uid="{00000000-0005-0000-0000-0000362C0000}"/>
    <cellStyle name="20% - Accent4 2 6 3 2" xfId="3006" xr:uid="{00000000-0005-0000-0000-0000372C0000}"/>
    <cellStyle name="20% - Accent4 2 6 3 2 2" xfId="7868" xr:uid="{00000000-0005-0000-0000-0000382C0000}"/>
    <cellStyle name="20% - Accent4 2 6 3 2 2 2" xfId="27319" xr:uid="{00000000-0005-0000-0000-0000392C0000}"/>
    <cellStyle name="20% - Accent4 2 6 3 2 2 3" xfId="37044" xr:uid="{00000000-0005-0000-0000-00003A2C0000}"/>
    <cellStyle name="20% - Accent4 2 6 3 2 2 4" xfId="46769" xr:uid="{00000000-0005-0000-0000-00003B2C0000}"/>
    <cellStyle name="20% - Accent4 2 6 3 2 2 5" xfId="17594" xr:uid="{00000000-0005-0000-0000-00003C2C0000}"/>
    <cellStyle name="20% - Accent4 2 6 3 2 3" xfId="22457" xr:uid="{00000000-0005-0000-0000-00003D2C0000}"/>
    <cellStyle name="20% - Accent4 2 6 3 2 4" xfId="32182" xr:uid="{00000000-0005-0000-0000-00003E2C0000}"/>
    <cellStyle name="20% - Accent4 2 6 3 2 5" xfId="41907" xr:uid="{00000000-0005-0000-0000-00003F2C0000}"/>
    <cellStyle name="20% - Accent4 2 6 3 2 6" xfId="12732" xr:uid="{00000000-0005-0000-0000-0000402C0000}"/>
    <cellStyle name="20% - Accent4 2 6 3 3" xfId="4626" xr:uid="{00000000-0005-0000-0000-0000412C0000}"/>
    <cellStyle name="20% - Accent4 2 6 3 3 2" xfId="9488" xr:uid="{00000000-0005-0000-0000-0000422C0000}"/>
    <cellStyle name="20% - Accent4 2 6 3 3 2 2" xfId="28939" xr:uid="{00000000-0005-0000-0000-0000432C0000}"/>
    <cellStyle name="20% - Accent4 2 6 3 3 2 3" xfId="38664" xr:uid="{00000000-0005-0000-0000-0000442C0000}"/>
    <cellStyle name="20% - Accent4 2 6 3 3 2 4" xfId="48389" xr:uid="{00000000-0005-0000-0000-0000452C0000}"/>
    <cellStyle name="20% - Accent4 2 6 3 3 2 5" xfId="19214" xr:uid="{00000000-0005-0000-0000-0000462C0000}"/>
    <cellStyle name="20% - Accent4 2 6 3 3 3" xfId="24077" xr:uid="{00000000-0005-0000-0000-0000472C0000}"/>
    <cellStyle name="20% - Accent4 2 6 3 3 4" xfId="33802" xr:uid="{00000000-0005-0000-0000-0000482C0000}"/>
    <cellStyle name="20% - Accent4 2 6 3 3 5" xfId="43527" xr:uid="{00000000-0005-0000-0000-0000492C0000}"/>
    <cellStyle name="20% - Accent4 2 6 3 3 6" xfId="14352" xr:uid="{00000000-0005-0000-0000-00004A2C0000}"/>
    <cellStyle name="20% - Accent4 2 6 3 4" xfId="6248" xr:uid="{00000000-0005-0000-0000-00004B2C0000}"/>
    <cellStyle name="20% - Accent4 2 6 3 4 2" xfId="25699" xr:uid="{00000000-0005-0000-0000-00004C2C0000}"/>
    <cellStyle name="20% - Accent4 2 6 3 4 3" xfId="35424" xr:uid="{00000000-0005-0000-0000-00004D2C0000}"/>
    <cellStyle name="20% - Accent4 2 6 3 4 4" xfId="45149" xr:uid="{00000000-0005-0000-0000-00004E2C0000}"/>
    <cellStyle name="20% - Accent4 2 6 3 4 5" xfId="15974" xr:uid="{00000000-0005-0000-0000-00004F2C0000}"/>
    <cellStyle name="20% - Accent4 2 6 3 5" xfId="20837" xr:uid="{00000000-0005-0000-0000-0000502C0000}"/>
    <cellStyle name="20% - Accent4 2 6 3 6" xfId="30562" xr:uid="{00000000-0005-0000-0000-0000512C0000}"/>
    <cellStyle name="20% - Accent4 2 6 3 7" xfId="40287" xr:uid="{00000000-0005-0000-0000-0000522C0000}"/>
    <cellStyle name="20% - Accent4 2 6 3 8" xfId="11112" xr:uid="{00000000-0005-0000-0000-0000532C0000}"/>
    <cellStyle name="20% - Accent4 2 6 4" xfId="556" xr:uid="{00000000-0005-0000-0000-0000542C0000}"/>
    <cellStyle name="20% - Accent4 2 6 4 2" xfId="2196" xr:uid="{00000000-0005-0000-0000-0000552C0000}"/>
    <cellStyle name="20% - Accent4 2 6 4 2 2" xfId="7058" xr:uid="{00000000-0005-0000-0000-0000562C0000}"/>
    <cellStyle name="20% - Accent4 2 6 4 2 2 2" xfId="26509" xr:uid="{00000000-0005-0000-0000-0000572C0000}"/>
    <cellStyle name="20% - Accent4 2 6 4 2 2 3" xfId="36234" xr:uid="{00000000-0005-0000-0000-0000582C0000}"/>
    <cellStyle name="20% - Accent4 2 6 4 2 2 4" xfId="45959" xr:uid="{00000000-0005-0000-0000-0000592C0000}"/>
    <cellStyle name="20% - Accent4 2 6 4 2 2 5" xfId="16784" xr:uid="{00000000-0005-0000-0000-00005A2C0000}"/>
    <cellStyle name="20% - Accent4 2 6 4 2 3" xfId="21647" xr:uid="{00000000-0005-0000-0000-00005B2C0000}"/>
    <cellStyle name="20% - Accent4 2 6 4 2 4" xfId="31372" xr:uid="{00000000-0005-0000-0000-00005C2C0000}"/>
    <cellStyle name="20% - Accent4 2 6 4 2 5" xfId="41097" xr:uid="{00000000-0005-0000-0000-00005D2C0000}"/>
    <cellStyle name="20% - Accent4 2 6 4 2 6" xfId="11922" xr:uid="{00000000-0005-0000-0000-00005E2C0000}"/>
    <cellStyle name="20% - Accent4 2 6 4 3" xfId="3816" xr:uid="{00000000-0005-0000-0000-00005F2C0000}"/>
    <cellStyle name="20% - Accent4 2 6 4 3 2" xfId="8678" xr:uid="{00000000-0005-0000-0000-0000602C0000}"/>
    <cellStyle name="20% - Accent4 2 6 4 3 2 2" xfId="28129" xr:uid="{00000000-0005-0000-0000-0000612C0000}"/>
    <cellStyle name="20% - Accent4 2 6 4 3 2 3" xfId="37854" xr:uid="{00000000-0005-0000-0000-0000622C0000}"/>
    <cellStyle name="20% - Accent4 2 6 4 3 2 4" xfId="47579" xr:uid="{00000000-0005-0000-0000-0000632C0000}"/>
    <cellStyle name="20% - Accent4 2 6 4 3 2 5" xfId="18404" xr:uid="{00000000-0005-0000-0000-0000642C0000}"/>
    <cellStyle name="20% - Accent4 2 6 4 3 3" xfId="23267" xr:uid="{00000000-0005-0000-0000-0000652C0000}"/>
    <cellStyle name="20% - Accent4 2 6 4 3 4" xfId="32992" xr:uid="{00000000-0005-0000-0000-0000662C0000}"/>
    <cellStyle name="20% - Accent4 2 6 4 3 5" xfId="42717" xr:uid="{00000000-0005-0000-0000-0000672C0000}"/>
    <cellStyle name="20% - Accent4 2 6 4 3 6" xfId="13542" xr:uid="{00000000-0005-0000-0000-0000682C0000}"/>
    <cellStyle name="20% - Accent4 2 6 4 4" xfId="5438" xr:uid="{00000000-0005-0000-0000-0000692C0000}"/>
    <cellStyle name="20% - Accent4 2 6 4 4 2" xfId="24889" xr:uid="{00000000-0005-0000-0000-00006A2C0000}"/>
    <cellStyle name="20% - Accent4 2 6 4 4 3" xfId="34614" xr:uid="{00000000-0005-0000-0000-00006B2C0000}"/>
    <cellStyle name="20% - Accent4 2 6 4 4 4" xfId="44339" xr:uid="{00000000-0005-0000-0000-00006C2C0000}"/>
    <cellStyle name="20% - Accent4 2 6 4 4 5" xfId="15164" xr:uid="{00000000-0005-0000-0000-00006D2C0000}"/>
    <cellStyle name="20% - Accent4 2 6 4 5" xfId="20027" xr:uid="{00000000-0005-0000-0000-00006E2C0000}"/>
    <cellStyle name="20% - Accent4 2 6 4 6" xfId="29752" xr:uid="{00000000-0005-0000-0000-00006F2C0000}"/>
    <cellStyle name="20% - Accent4 2 6 4 7" xfId="39477" xr:uid="{00000000-0005-0000-0000-0000702C0000}"/>
    <cellStyle name="20% - Accent4 2 6 4 8" xfId="10302" xr:uid="{00000000-0005-0000-0000-0000712C0000}"/>
    <cellStyle name="20% - Accent4 2 6 5" xfId="1836" xr:uid="{00000000-0005-0000-0000-0000722C0000}"/>
    <cellStyle name="20% - Accent4 2 6 5 2" xfId="6698" xr:uid="{00000000-0005-0000-0000-0000732C0000}"/>
    <cellStyle name="20% - Accent4 2 6 5 2 2" xfId="26149" xr:uid="{00000000-0005-0000-0000-0000742C0000}"/>
    <cellStyle name="20% - Accent4 2 6 5 2 3" xfId="35874" xr:uid="{00000000-0005-0000-0000-0000752C0000}"/>
    <cellStyle name="20% - Accent4 2 6 5 2 4" xfId="45599" xr:uid="{00000000-0005-0000-0000-0000762C0000}"/>
    <cellStyle name="20% - Accent4 2 6 5 2 5" xfId="16424" xr:uid="{00000000-0005-0000-0000-0000772C0000}"/>
    <cellStyle name="20% - Accent4 2 6 5 3" xfId="21287" xr:uid="{00000000-0005-0000-0000-0000782C0000}"/>
    <cellStyle name="20% - Accent4 2 6 5 4" xfId="31012" xr:uid="{00000000-0005-0000-0000-0000792C0000}"/>
    <cellStyle name="20% - Accent4 2 6 5 5" xfId="40737" xr:uid="{00000000-0005-0000-0000-00007A2C0000}"/>
    <cellStyle name="20% - Accent4 2 6 5 6" xfId="11562" xr:uid="{00000000-0005-0000-0000-00007B2C0000}"/>
    <cellStyle name="20% - Accent4 2 6 6" xfId="3456" xr:uid="{00000000-0005-0000-0000-00007C2C0000}"/>
    <cellStyle name="20% - Accent4 2 6 6 2" xfId="8318" xr:uid="{00000000-0005-0000-0000-00007D2C0000}"/>
    <cellStyle name="20% - Accent4 2 6 6 2 2" xfId="27769" xr:uid="{00000000-0005-0000-0000-00007E2C0000}"/>
    <cellStyle name="20% - Accent4 2 6 6 2 3" xfId="37494" xr:uid="{00000000-0005-0000-0000-00007F2C0000}"/>
    <cellStyle name="20% - Accent4 2 6 6 2 4" xfId="47219" xr:uid="{00000000-0005-0000-0000-0000802C0000}"/>
    <cellStyle name="20% - Accent4 2 6 6 2 5" xfId="18044" xr:uid="{00000000-0005-0000-0000-0000812C0000}"/>
    <cellStyle name="20% - Accent4 2 6 6 3" xfId="22907" xr:uid="{00000000-0005-0000-0000-0000822C0000}"/>
    <cellStyle name="20% - Accent4 2 6 6 4" xfId="32632" xr:uid="{00000000-0005-0000-0000-0000832C0000}"/>
    <cellStyle name="20% - Accent4 2 6 6 5" xfId="42357" xr:uid="{00000000-0005-0000-0000-0000842C0000}"/>
    <cellStyle name="20% - Accent4 2 6 6 6" xfId="13182" xr:uid="{00000000-0005-0000-0000-0000852C0000}"/>
    <cellStyle name="20% - Accent4 2 6 7" xfId="5078" xr:uid="{00000000-0005-0000-0000-0000862C0000}"/>
    <cellStyle name="20% - Accent4 2 6 7 2" xfId="24529" xr:uid="{00000000-0005-0000-0000-0000872C0000}"/>
    <cellStyle name="20% - Accent4 2 6 7 3" xfId="34254" xr:uid="{00000000-0005-0000-0000-0000882C0000}"/>
    <cellStyle name="20% - Accent4 2 6 7 4" xfId="43979" xr:uid="{00000000-0005-0000-0000-0000892C0000}"/>
    <cellStyle name="20% - Accent4 2 6 7 5" xfId="14804" xr:uid="{00000000-0005-0000-0000-00008A2C0000}"/>
    <cellStyle name="20% - Accent4 2 6 8" xfId="19667" xr:uid="{00000000-0005-0000-0000-00008B2C0000}"/>
    <cellStyle name="20% - Accent4 2 6 9" xfId="29392" xr:uid="{00000000-0005-0000-0000-00008C2C0000}"/>
    <cellStyle name="20% - Accent4 2 7" xfId="827" xr:uid="{00000000-0005-0000-0000-00008D2C0000}"/>
    <cellStyle name="20% - Accent4 2 7 2" xfId="2466" xr:uid="{00000000-0005-0000-0000-00008E2C0000}"/>
    <cellStyle name="20% - Accent4 2 7 2 2" xfId="7328" xr:uid="{00000000-0005-0000-0000-00008F2C0000}"/>
    <cellStyle name="20% - Accent4 2 7 2 2 2" xfId="26779" xr:uid="{00000000-0005-0000-0000-0000902C0000}"/>
    <cellStyle name="20% - Accent4 2 7 2 2 3" xfId="36504" xr:uid="{00000000-0005-0000-0000-0000912C0000}"/>
    <cellStyle name="20% - Accent4 2 7 2 2 4" xfId="46229" xr:uid="{00000000-0005-0000-0000-0000922C0000}"/>
    <cellStyle name="20% - Accent4 2 7 2 2 5" xfId="17054" xr:uid="{00000000-0005-0000-0000-0000932C0000}"/>
    <cellStyle name="20% - Accent4 2 7 2 3" xfId="21917" xr:uid="{00000000-0005-0000-0000-0000942C0000}"/>
    <cellStyle name="20% - Accent4 2 7 2 4" xfId="31642" xr:uid="{00000000-0005-0000-0000-0000952C0000}"/>
    <cellStyle name="20% - Accent4 2 7 2 5" xfId="41367" xr:uid="{00000000-0005-0000-0000-0000962C0000}"/>
    <cellStyle name="20% - Accent4 2 7 2 6" xfId="12192" xr:uid="{00000000-0005-0000-0000-0000972C0000}"/>
    <cellStyle name="20% - Accent4 2 7 3" xfId="4086" xr:uid="{00000000-0005-0000-0000-0000982C0000}"/>
    <cellStyle name="20% - Accent4 2 7 3 2" xfId="8948" xr:uid="{00000000-0005-0000-0000-0000992C0000}"/>
    <cellStyle name="20% - Accent4 2 7 3 2 2" xfId="28399" xr:uid="{00000000-0005-0000-0000-00009A2C0000}"/>
    <cellStyle name="20% - Accent4 2 7 3 2 3" xfId="38124" xr:uid="{00000000-0005-0000-0000-00009B2C0000}"/>
    <cellStyle name="20% - Accent4 2 7 3 2 4" xfId="47849" xr:uid="{00000000-0005-0000-0000-00009C2C0000}"/>
    <cellStyle name="20% - Accent4 2 7 3 2 5" xfId="18674" xr:uid="{00000000-0005-0000-0000-00009D2C0000}"/>
    <cellStyle name="20% - Accent4 2 7 3 3" xfId="23537" xr:uid="{00000000-0005-0000-0000-00009E2C0000}"/>
    <cellStyle name="20% - Accent4 2 7 3 4" xfId="33262" xr:uid="{00000000-0005-0000-0000-00009F2C0000}"/>
    <cellStyle name="20% - Accent4 2 7 3 5" xfId="42987" xr:uid="{00000000-0005-0000-0000-0000A02C0000}"/>
    <cellStyle name="20% - Accent4 2 7 3 6" xfId="13812" xr:uid="{00000000-0005-0000-0000-0000A12C0000}"/>
    <cellStyle name="20% - Accent4 2 7 4" xfId="5708" xr:uid="{00000000-0005-0000-0000-0000A22C0000}"/>
    <cellStyle name="20% - Accent4 2 7 4 2" xfId="25159" xr:uid="{00000000-0005-0000-0000-0000A32C0000}"/>
    <cellStyle name="20% - Accent4 2 7 4 3" xfId="34884" xr:uid="{00000000-0005-0000-0000-0000A42C0000}"/>
    <cellStyle name="20% - Accent4 2 7 4 4" xfId="44609" xr:uid="{00000000-0005-0000-0000-0000A52C0000}"/>
    <cellStyle name="20% - Accent4 2 7 4 5" xfId="15434" xr:uid="{00000000-0005-0000-0000-0000A62C0000}"/>
    <cellStyle name="20% - Accent4 2 7 5" xfId="20297" xr:uid="{00000000-0005-0000-0000-0000A72C0000}"/>
    <cellStyle name="20% - Accent4 2 7 6" xfId="30022" xr:uid="{00000000-0005-0000-0000-0000A82C0000}"/>
    <cellStyle name="20% - Accent4 2 7 7" xfId="39747" xr:uid="{00000000-0005-0000-0000-0000A92C0000}"/>
    <cellStyle name="20% - Accent4 2 7 8" xfId="10572" xr:uid="{00000000-0005-0000-0000-0000AA2C0000}"/>
    <cellStyle name="20% - Accent4 2 8" xfId="1205" xr:uid="{00000000-0005-0000-0000-0000AB2C0000}"/>
    <cellStyle name="20% - Accent4 2 8 2" xfId="2826" xr:uid="{00000000-0005-0000-0000-0000AC2C0000}"/>
    <cellStyle name="20% - Accent4 2 8 2 2" xfId="7688" xr:uid="{00000000-0005-0000-0000-0000AD2C0000}"/>
    <cellStyle name="20% - Accent4 2 8 2 2 2" xfId="27139" xr:uid="{00000000-0005-0000-0000-0000AE2C0000}"/>
    <cellStyle name="20% - Accent4 2 8 2 2 3" xfId="36864" xr:uid="{00000000-0005-0000-0000-0000AF2C0000}"/>
    <cellStyle name="20% - Accent4 2 8 2 2 4" xfId="46589" xr:uid="{00000000-0005-0000-0000-0000B02C0000}"/>
    <cellStyle name="20% - Accent4 2 8 2 2 5" xfId="17414" xr:uid="{00000000-0005-0000-0000-0000B12C0000}"/>
    <cellStyle name="20% - Accent4 2 8 2 3" xfId="22277" xr:uid="{00000000-0005-0000-0000-0000B22C0000}"/>
    <cellStyle name="20% - Accent4 2 8 2 4" xfId="32002" xr:uid="{00000000-0005-0000-0000-0000B32C0000}"/>
    <cellStyle name="20% - Accent4 2 8 2 5" xfId="41727" xr:uid="{00000000-0005-0000-0000-0000B42C0000}"/>
    <cellStyle name="20% - Accent4 2 8 2 6" xfId="12552" xr:uid="{00000000-0005-0000-0000-0000B52C0000}"/>
    <cellStyle name="20% - Accent4 2 8 3" xfId="4446" xr:uid="{00000000-0005-0000-0000-0000B62C0000}"/>
    <cellStyle name="20% - Accent4 2 8 3 2" xfId="9308" xr:uid="{00000000-0005-0000-0000-0000B72C0000}"/>
    <cellStyle name="20% - Accent4 2 8 3 2 2" xfId="28759" xr:uid="{00000000-0005-0000-0000-0000B82C0000}"/>
    <cellStyle name="20% - Accent4 2 8 3 2 3" xfId="38484" xr:uid="{00000000-0005-0000-0000-0000B92C0000}"/>
    <cellStyle name="20% - Accent4 2 8 3 2 4" xfId="48209" xr:uid="{00000000-0005-0000-0000-0000BA2C0000}"/>
    <cellStyle name="20% - Accent4 2 8 3 2 5" xfId="19034" xr:uid="{00000000-0005-0000-0000-0000BB2C0000}"/>
    <cellStyle name="20% - Accent4 2 8 3 3" xfId="23897" xr:uid="{00000000-0005-0000-0000-0000BC2C0000}"/>
    <cellStyle name="20% - Accent4 2 8 3 4" xfId="33622" xr:uid="{00000000-0005-0000-0000-0000BD2C0000}"/>
    <cellStyle name="20% - Accent4 2 8 3 5" xfId="43347" xr:uid="{00000000-0005-0000-0000-0000BE2C0000}"/>
    <cellStyle name="20% - Accent4 2 8 3 6" xfId="14172" xr:uid="{00000000-0005-0000-0000-0000BF2C0000}"/>
    <cellStyle name="20% - Accent4 2 8 4" xfId="6068" xr:uid="{00000000-0005-0000-0000-0000C02C0000}"/>
    <cellStyle name="20% - Accent4 2 8 4 2" xfId="25519" xr:uid="{00000000-0005-0000-0000-0000C12C0000}"/>
    <cellStyle name="20% - Accent4 2 8 4 3" xfId="35244" xr:uid="{00000000-0005-0000-0000-0000C22C0000}"/>
    <cellStyle name="20% - Accent4 2 8 4 4" xfId="44969" xr:uid="{00000000-0005-0000-0000-0000C32C0000}"/>
    <cellStyle name="20% - Accent4 2 8 4 5" xfId="15794" xr:uid="{00000000-0005-0000-0000-0000C42C0000}"/>
    <cellStyle name="20% - Accent4 2 8 5" xfId="20657" xr:uid="{00000000-0005-0000-0000-0000C52C0000}"/>
    <cellStyle name="20% - Accent4 2 8 6" xfId="30382" xr:uid="{00000000-0005-0000-0000-0000C62C0000}"/>
    <cellStyle name="20% - Accent4 2 8 7" xfId="40107" xr:uid="{00000000-0005-0000-0000-0000C72C0000}"/>
    <cellStyle name="20% - Accent4 2 8 8" xfId="10932" xr:uid="{00000000-0005-0000-0000-0000C82C0000}"/>
    <cellStyle name="20% - Accent4 2 9" xfId="1295" xr:uid="{00000000-0005-0000-0000-0000C92C0000}"/>
    <cellStyle name="20% - Accent4 2 9 2" xfId="2916" xr:uid="{00000000-0005-0000-0000-0000CA2C0000}"/>
    <cellStyle name="20% - Accent4 2 9 2 2" xfId="7778" xr:uid="{00000000-0005-0000-0000-0000CB2C0000}"/>
    <cellStyle name="20% - Accent4 2 9 2 2 2" xfId="27229" xr:uid="{00000000-0005-0000-0000-0000CC2C0000}"/>
    <cellStyle name="20% - Accent4 2 9 2 2 3" xfId="36954" xr:uid="{00000000-0005-0000-0000-0000CD2C0000}"/>
    <cellStyle name="20% - Accent4 2 9 2 2 4" xfId="46679" xr:uid="{00000000-0005-0000-0000-0000CE2C0000}"/>
    <cellStyle name="20% - Accent4 2 9 2 2 5" xfId="17504" xr:uid="{00000000-0005-0000-0000-0000CF2C0000}"/>
    <cellStyle name="20% - Accent4 2 9 2 3" xfId="22367" xr:uid="{00000000-0005-0000-0000-0000D02C0000}"/>
    <cellStyle name="20% - Accent4 2 9 2 4" xfId="32092" xr:uid="{00000000-0005-0000-0000-0000D12C0000}"/>
    <cellStyle name="20% - Accent4 2 9 2 5" xfId="41817" xr:uid="{00000000-0005-0000-0000-0000D22C0000}"/>
    <cellStyle name="20% - Accent4 2 9 2 6" xfId="12642" xr:uid="{00000000-0005-0000-0000-0000D32C0000}"/>
    <cellStyle name="20% - Accent4 2 9 3" xfId="4536" xr:uid="{00000000-0005-0000-0000-0000D42C0000}"/>
    <cellStyle name="20% - Accent4 2 9 3 2" xfId="9398" xr:uid="{00000000-0005-0000-0000-0000D52C0000}"/>
    <cellStyle name="20% - Accent4 2 9 3 2 2" xfId="28849" xr:uid="{00000000-0005-0000-0000-0000D62C0000}"/>
    <cellStyle name="20% - Accent4 2 9 3 2 3" xfId="38574" xr:uid="{00000000-0005-0000-0000-0000D72C0000}"/>
    <cellStyle name="20% - Accent4 2 9 3 2 4" xfId="48299" xr:uid="{00000000-0005-0000-0000-0000D82C0000}"/>
    <cellStyle name="20% - Accent4 2 9 3 2 5" xfId="19124" xr:uid="{00000000-0005-0000-0000-0000D92C0000}"/>
    <cellStyle name="20% - Accent4 2 9 3 3" xfId="23987" xr:uid="{00000000-0005-0000-0000-0000DA2C0000}"/>
    <cellStyle name="20% - Accent4 2 9 3 4" xfId="33712" xr:uid="{00000000-0005-0000-0000-0000DB2C0000}"/>
    <cellStyle name="20% - Accent4 2 9 3 5" xfId="43437" xr:uid="{00000000-0005-0000-0000-0000DC2C0000}"/>
    <cellStyle name="20% - Accent4 2 9 3 6" xfId="14262" xr:uid="{00000000-0005-0000-0000-0000DD2C0000}"/>
    <cellStyle name="20% - Accent4 2 9 4" xfId="6158" xr:uid="{00000000-0005-0000-0000-0000DE2C0000}"/>
    <cellStyle name="20% - Accent4 2 9 4 2" xfId="25609" xr:uid="{00000000-0005-0000-0000-0000DF2C0000}"/>
    <cellStyle name="20% - Accent4 2 9 4 3" xfId="35334" xr:uid="{00000000-0005-0000-0000-0000E02C0000}"/>
    <cellStyle name="20% - Accent4 2 9 4 4" xfId="45059" xr:uid="{00000000-0005-0000-0000-0000E12C0000}"/>
    <cellStyle name="20% - Accent4 2 9 4 5" xfId="15884" xr:uid="{00000000-0005-0000-0000-0000E22C0000}"/>
    <cellStyle name="20% - Accent4 2 9 5" xfId="20747" xr:uid="{00000000-0005-0000-0000-0000E32C0000}"/>
    <cellStyle name="20% - Accent4 2 9 6" xfId="30472" xr:uid="{00000000-0005-0000-0000-0000E42C0000}"/>
    <cellStyle name="20% - Accent4 2 9 7" xfId="40197" xr:uid="{00000000-0005-0000-0000-0000E52C0000}"/>
    <cellStyle name="20% - Accent4 2 9 8" xfId="11022" xr:uid="{00000000-0005-0000-0000-0000E62C0000}"/>
    <cellStyle name="20% - Accent4 2_Database (All)" xfId="1180" xr:uid="{00000000-0005-0000-0000-0000E72C0000}"/>
    <cellStyle name="20% - Accent4 20" xfId="9838" xr:uid="{00000000-0005-0000-0000-0000E82C0000}"/>
    <cellStyle name="20% - Accent4 3" xfId="78" xr:uid="{00000000-0005-0000-0000-0000E92C0000}"/>
    <cellStyle name="20% - Accent4 3 10" xfId="1762" xr:uid="{00000000-0005-0000-0000-0000EA2C0000}"/>
    <cellStyle name="20% - Accent4 3 10 2" xfId="6624" xr:uid="{00000000-0005-0000-0000-0000EB2C0000}"/>
    <cellStyle name="20% - Accent4 3 10 2 2" xfId="26075" xr:uid="{00000000-0005-0000-0000-0000EC2C0000}"/>
    <cellStyle name="20% - Accent4 3 10 2 3" xfId="35800" xr:uid="{00000000-0005-0000-0000-0000ED2C0000}"/>
    <cellStyle name="20% - Accent4 3 10 2 4" xfId="45525" xr:uid="{00000000-0005-0000-0000-0000EE2C0000}"/>
    <cellStyle name="20% - Accent4 3 10 2 5" xfId="16350" xr:uid="{00000000-0005-0000-0000-0000EF2C0000}"/>
    <cellStyle name="20% - Accent4 3 10 3" xfId="21213" xr:uid="{00000000-0005-0000-0000-0000F02C0000}"/>
    <cellStyle name="20% - Accent4 3 10 4" xfId="30938" xr:uid="{00000000-0005-0000-0000-0000F12C0000}"/>
    <cellStyle name="20% - Accent4 3 10 5" xfId="40663" xr:uid="{00000000-0005-0000-0000-0000F22C0000}"/>
    <cellStyle name="20% - Accent4 3 10 6" xfId="11488" xr:uid="{00000000-0005-0000-0000-0000F32C0000}"/>
    <cellStyle name="20% - Accent4 3 11" xfId="3382" xr:uid="{00000000-0005-0000-0000-0000F42C0000}"/>
    <cellStyle name="20% - Accent4 3 11 2" xfId="8244" xr:uid="{00000000-0005-0000-0000-0000F52C0000}"/>
    <cellStyle name="20% - Accent4 3 11 2 2" xfId="27695" xr:uid="{00000000-0005-0000-0000-0000F62C0000}"/>
    <cellStyle name="20% - Accent4 3 11 2 3" xfId="37420" xr:uid="{00000000-0005-0000-0000-0000F72C0000}"/>
    <cellStyle name="20% - Accent4 3 11 2 4" xfId="47145" xr:uid="{00000000-0005-0000-0000-0000F82C0000}"/>
    <cellStyle name="20% - Accent4 3 11 2 5" xfId="17970" xr:uid="{00000000-0005-0000-0000-0000F92C0000}"/>
    <cellStyle name="20% - Accent4 3 11 3" xfId="22833" xr:uid="{00000000-0005-0000-0000-0000FA2C0000}"/>
    <cellStyle name="20% - Accent4 3 11 4" xfId="32558" xr:uid="{00000000-0005-0000-0000-0000FB2C0000}"/>
    <cellStyle name="20% - Accent4 3 11 5" xfId="42283" xr:uid="{00000000-0005-0000-0000-0000FC2C0000}"/>
    <cellStyle name="20% - Accent4 3 11 6" xfId="13108" xr:uid="{00000000-0005-0000-0000-0000FD2C0000}"/>
    <cellStyle name="20% - Accent4 3 12" xfId="5004" xr:uid="{00000000-0005-0000-0000-0000FE2C0000}"/>
    <cellStyle name="20% - Accent4 3 12 2" xfId="24455" xr:uid="{00000000-0005-0000-0000-0000FF2C0000}"/>
    <cellStyle name="20% - Accent4 3 12 3" xfId="34180" xr:uid="{00000000-0005-0000-0000-0000002D0000}"/>
    <cellStyle name="20% - Accent4 3 12 4" xfId="43905" xr:uid="{00000000-0005-0000-0000-0000012D0000}"/>
    <cellStyle name="20% - Accent4 3 12 5" xfId="14730" xr:uid="{00000000-0005-0000-0000-0000022D0000}"/>
    <cellStyle name="20% - Accent4 3 13" xfId="19593" xr:uid="{00000000-0005-0000-0000-0000032D0000}"/>
    <cellStyle name="20% - Accent4 3 14" xfId="29318" xr:uid="{00000000-0005-0000-0000-0000042D0000}"/>
    <cellStyle name="20% - Accent4 3 15" xfId="39043" xr:uid="{00000000-0005-0000-0000-0000052D0000}"/>
    <cellStyle name="20% - Accent4 3 16" xfId="9868" xr:uid="{00000000-0005-0000-0000-0000062D0000}"/>
    <cellStyle name="20% - Accent4 3 2" xfId="260" xr:uid="{00000000-0005-0000-0000-0000072D0000}"/>
    <cellStyle name="20% - Accent4 3 2 10" xfId="39223" xr:uid="{00000000-0005-0000-0000-0000082D0000}"/>
    <cellStyle name="20% - Accent4 3 2 11" xfId="10048" xr:uid="{00000000-0005-0000-0000-0000092D0000}"/>
    <cellStyle name="20% - Accent4 3 2 2" xfId="1024" xr:uid="{00000000-0005-0000-0000-00000A2D0000}"/>
    <cellStyle name="20% - Accent4 3 2 2 2" xfId="2662" xr:uid="{00000000-0005-0000-0000-00000B2D0000}"/>
    <cellStyle name="20% - Accent4 3 2 2 2 2" xfId="7524" xr:uid="{00000000-0005-0000-0000-00000C2D0000}"/>
    <cellStyle name="20% - Accent4 3 2 2 2 2 2" xfId="26975" xr:uid="{00000000-0005-0000-0000-00000D2D0000}"/>
    <cellStyle name="20% - Accent4 3 2 2 2 2 3" xfId="36700" xr:uid="{00000000-0005-0000-0000-00000E2D0000}"/>
    <cellStyle name="20% - Accent4 3 2 2 2 2 4" xfId="46425" xr:uid="{00000000-0005-0000-0000-00000F2D0000}"/>
    <cellStyle name="20% - Accent4 3 2 2 2 2 5" xfId="17250" xr:uid="{00000000-0005-0000-0000-0000102D0000}"/>
    <cellStyle name="20% - Accent4 3 2 2 2 3" xfId="22113" xr:uid="{00000000-0005-0000-0000-0000112D0000}"/>
    <cellStyle name="20% - Accent4 3 2 2 2 4" xfId="31838" xr:uid="{00000000-0005-0000-0000-0000122D0000}"/>
    <cellStyle name="20% - Accent4 3 2 2 2 5" xfId="41563" xr:uid="{00000000-0005-0000-0000-0000132D0000}"/>
    <cellStyle name="20% - Accent4 3 2 2 2 6" xfId="12388" xr:uid="{00000000-0005-0000-0000-0000142D0000}"/>
    <cellStyle name="20% - Accent4 3 2 2 3" xfId="4282" xr:uid="{00000000-0005-0000-0000-0000152D0000}"/>
    <cellStyle name="20% - Accent4 3 2 2 3 2" xfId="9144" xr:uid="{00000000-0005-0000-0000-0000162D0000}"/>
    <cellStyle name="20% - Accent4 3 2 2 3 2 2" xfId="28595" xr:uid="{00000000-0005-0000-0000-0000172D0000}"/>
    <cellStyle name="20% - Accent4 3 2 2 3 2 3" xfId="38320" xr:uid="{00000000-0005-0000-0000-0000182D0000}"/>
    <cellStyle name="20% - Accent4 3 2 2 3 2 4" xfId="48045" xr:uid="{00000000-0005-0000-0000-0000192D0000}"/>
    <cellStyle name="20% - Accent4 3 2 2 3 2 5" xfId="18870" xr:uid="{00000000-0005-0000-0000-00001A2D0000}"/>
    <cellStyle name="20% - Accent4 3 2 2 3 3" xfId="23733" xr:uid="{00000000-0005-0000-0000-00001B2D0000}"/>
    <cellStyle name="20% - Accent4 3 2 2 3 4" xfId="33458" xr:uid="{00000000-0005-0000-0000-00001C2D0000}"/>
    <cellStyle name="20% - Accent4 3 2 2 3 5" xfId="43183" xr:uid="{00000000-0005-0000-0000-00001D2D0000}"/>
    <cellStyle name="20% - Accent4 3 2 2 3 6" xfId="14008" xr:uid="{00000000-0005-0000-0000-00001E2D0000}"/>
    <cellStyle name="20% - Accent4 3 2 2 4" xfId="5904" xr:uid="{00000000-0005-0000-0000-00001F2D0000}"/>
    <cellStyle name="20% - Accent4 3 2 2 4 2" xfId="25355" xr:uid="{00000000-0005-0000-0000-0000202D0000}"/>
    <cellStyle name="20% - Accent4 3 2 2 4 3" xfId="35080" xr:uid="{00000000-0005-0000-0000-0000212D0000}"/>
    <cellStyle name="20% - Accent4 3 2 2 4 4" xfId="44805" xr:uid="{00000000-0005-0000-0000-0000222D0000}"/>
    <cellStyle name="20% - Accent4 3 2 2 4 5" xfId="15630" xr:uid="{00000000-0005-0000-0000-0000232D0000}"/>
    <cellStyle name="20% - Accent4 3 2 2 5" xfId="20493" xr:uid="{00000000-0005-0000-0000-0000242D0000}"/>
    <cellStyle name="20% - Accent4 3 2 2 6" xfId="30218" xr:uid="{00000000-0005-0000-0000-0000252D0000}"/>
    <cellStyle name="20% - Accent4 3 2 2 7" xfId="39943" xr:uid="{00000000-0005-0000-0000-0000262D0000}"/>
    <cellStyle name="20% - Accent4 3 2 2 8" xfId="10768" xr:uid="{00000000-0005-0000-0000-0000272D0000}"/>
    <cellStyle name="20% - Accent4 3 2 3" xfId="1491" xr:uid="{00000000-0005-0000-0000-0000282D0000}"/>
    <cellStyle name="20% - Accent4 3 2 3 2" xfId="3112" xr:uid="{00000000-0005-0000-0000-0000292D0000}"/>
    <cellStyle name="20% - Accent4 3 2 3 2 2" xfId="7974" xr:uid="{00000000-0005-0000-0000-00002A2D0000}"/>
    <cellStyle name="20% - Accent4 3 2 3 2 2 2" xfId="27425" xr:uid="{00000000-0005-0000-0000-00002B2D0000}"/>
    <cellStyle name="20% - Accent4 3 2 3 2 2 3" xfId="37150" xr:uid="{00000000-0005-0000-0000-00002C2D0000}"/>
    <cellStyle name="20% - Accent4 3 2 3 2 2 4" xfId="46875" xr:uid="{00000000-0005-0000-0000-00002D2D0000}"/>
    <cellStyle name="20% - Accent4 3 2 3 2 2 5" xfId="17700" xr:uid="{00000000-0005-0000-0000-00002E2D0000}"/>
    <cellStyle name="20% - Accent4 3 2 3 2 3" xfId="22563" xr:uid="{00000000-0005-0000-0000-00002F2D0000}"/>
    <cellStyle name="20% - Accent4 3 2 3 2 4" xfId="32288" xr:uid="{00000000-0005-0000-0000-0000302D0000}"/>
    <cellStyle name="20% - Accent4 3 2 3 2 5" xfId="42013" xr:uid="{00000000-0005-0000-0000-0000312D0000}"/>
    <cellStyle name="20% - Accent4 3 2 3 2 6" xfId="12838" xr:uid="{00000000-0005-0000-0000-0000322D0000}"/>
    <cellStyle name="20% - Accent4 3 2 3 3" xfId="4732" xr:uid="{00000000-0005-0000-0000-0000332D0000}"/>
    <cellStyle name="20% - Accent4 3 2 3 3 2" xfId="9594" xr:uid="{00000000-0005-0000-0000-0000342D0000}"/>
    <cellStyle name="20% - Accent4 3 2 3 3 2 2" xfId="29045" xr:uid="{00000000-0005-0000-0000-0000352D0000}"/>
    <cellStyle name="20% - Accent4 3 2 3 3 2 3" xfId="38770" xr:uid="{00000000-0005-0000-0000-0000362D0000}"/>
    <cellStyle name="20% - Accent4 3 2 3 3 2 4" xfId="48495" xr:uid="{00000000-0005-0000-0000-0000372D0000}"/>
    <cellStyle name="20% - Accent4 3 2 3 3 2 5" xfId="19320" xr:uid="{00000000-0005-0000-0000-0000382D0000}"/>
    <cellStyle name="20% - Accent4 3 2 3 3 3" xfId="24183" xr:uid="{00000000-0005-0000-0000-0000392D0000}"/>
    <cellStyle name="20% - Accent4 3 2 3 3 4" xfId="33908" xr:uid="{00000000-0005-0000-0000-00003A2D0000}"/>
    <cellStyle name="20% - Accent4 3 2 3 3 5" xfId="43633" xr:uid="{00000000-0005-0000-0000-00003B2D0000}"/>
    <cellStyle name="20% - Accent4 3 2 3 3 6" xfId="14458" xr:uid="{00000000-0005-0000-0000-00003C2D0000}"/>
    <cellStyle name="20% - Accent4 3 2 3 4" xfId="6354" xr:uid="{00000000-0005-0000-0000-00003D2D0000}"/>
    <cellStyle name="20% - Accent4 3 2 3 4 2" xfId="25805" xr:uid="{00000000-0005-0000-0000-00003E2D0000}"/>
    <cellStyle name="20% - Accent4 3 2 3 4 3" xfId="35530" xr:uid="{00000000-0005-0000-0000-00003F2D0000}"/>
    <cellStyle name="20% - Accent4 3 2 3 4 4" xfId="45255" xr:uid="{00000000-0005-0000-0000-0000402D0000}"/>
    <cellStyle name="20% - Accent4 3 2 3 4 5" xfId="16080" xr:uid="{00000000-0005-0000-0000-0000412D0000}"/>
    <cellStyle name="20% - Accent4 3 2 3 5" xfId="20943" xr:uid="{00000000-0005-0000-0000-0000422D0000}"/>
    <cellStyle name="20% - Accent4 3 2 3 6" xfId="30668" xr:uid="{00000000-0005-0000-0000-0000432D0000}"/>
    <cellStyle name="20% - Accent4 3 2 3 7" xfId="40393" xr:uid="{00000000-0005-0000-0000-0000442D0000}"/>
    <cellStyle name="20% - Accent4 3 2 3 8" xfId="11218" xr:uid="{00000000-0005-0000-0000-0000452D0000}"/>
    <cellStyle name="20% - Accent4 3 2 4" xfId="662" xr:uid="{00000000-0005-0000-0000-0000462D0000}"/>
    <cellStyle name="20% - Accent4 3 2 4 2" xfId="2302" xr:uid="{00000000-0005-0000-0000-0000472D0000}"/>
    <cellStyle name="20% - Accent4 3 2 4 2 2" xfId="7164" xr:uid="{00000000-0005-0000-0000-0000482D0000}"/>
    <cellStyle name="20% - Accent4 3 2 4 2 2 2" xfId="26615" xr:uid="{00000000-0005-0000-0000-0000492D0000}"/>
    <cellStyle name="20% - Accent4 3 2 4 2 2 3" xfId="36340" xr:uid="{00000000-0005-0000-0000-00004A2D0000}"/>
    <cellStyle name="20% - Accent4 3 2 4 2 2 4" xfId="46065" xr:uid="{00000000-0005-0000-0000-00004B2D0000}"/>
    <cellStyle name="20% - Accent4 3 2 4 2 2 5" xfId="16890" xr:uid="{00000000-0005-0000-0000-00004C2D0000}"/>
    <cellStyle name="20% - Accent4 3 2 4 2 3" xfId="21753" xr:uid="{00000000-0005-0000-0000-00004D2D0000}"/>
    <cellStyle name="20% - Accent4 3 2 4 2 4" xfId="31478" xr:uid="{00000000-0005-0000-0000-00004E2D0000}"/>
    <cellStyle name="20% - Accent4 3 2 4 2 5" xfId="41203" xr:uid="{00000000-0005-0000-0000-00004F2D0000}"/>
    <cellStyle name="20% - Accent4 3 2 4 2 6" xfId="12028" xr:uid="{00000000-0005-0000-0000-0000502D0000}"/>
    <cellStyle name="20% - Accent4 3 2 4 3" xfId="3922" xr:uid="{00000000-0005-0000-0000-0000512D0000}"/>
    <cellStyle name="20% - Accent4 3 2 4 3 2" xfId="8784" xr:uid="{00000000-0005-0000-0000-0000522D0000}"/>
    <cellStyle name="20% - Accent4 3 2 4 3 2 2" xfId="28235" xr:uid="{00000000-0005-0000-0000-0000532D0000}"/>
    <cellStyle name="20% - Accent4 3 2 4 3 2 3" xfId="37960" xr:uid="{00000000-0005-0000-0000-0000542D0000}"/>
    <cellStyle name="20% - Accent4 3 2 4 3 2 4" xfId="47685" xr:uid="{00000000-0005-0000-0000-0000552D0000}"/>
    <cellStyle name="20% - Accent4 3 2 4 3 2 5" xfId="18510" xr:uid="{00000000-0005-0000-0000-0000562D0000}"/>
    <cellStyle name="20% - Accent4 3 2 4 3 3" xfId="23373" xr:uid="{00000000-0005-0000-0000-0000572D0000}"/>
    <cellStyle name="20% - Accent4 3 2 4 3 4" xfId="33098" xr:uid="{00000000-0005-0000-0000-0000582D0000}"/>
    <cellStyle name="20% - Accent4 3 2 4 3 5" xfId="42823" xr:uid="{00000000-0005-0000-0000-0000592D0000}"/>
    <cellStyle name="20% - Accent4 3 2 4 3 6" xfId="13648" xr:uid="{00000000-0005-0000-0000-00005A2D0000}"/>
    <cellStyle name="20% - Accent4 3 2 4 4" xfId="5544" xr:uid="{00000000-0005-0000-0000-00005B2D0000}"/>
    <cellStyle name="20% - Accent4 3 2 4 4 2" xfId="24995" xr:uid="{00000000-0005-0000-0000-00005C2D0000}"/>
    <cellStyle name="20% - Accent4 3 2 4 4 3" xfId="34720" xr:uid="{00000000-0005-0000-0000-00005D2D0000}"/>
    <cellStyle name="20% - Accent4 3 2 4 4 4" xfId="44445" xr:uid="{00000000-0005-0000-0000-00005E2D0000}"/>
    <cellStyle name="20% - Accent4 3 2 4 4 5" xfId="15270" xr:uid="{00000000-0005-0000-0000-00005F2D0000}"/>
    <cellStyle name="20% - Accent4 3 2 4 5" xfId="20133" xr:uid="{00000000-0005-0000-0000-0000602D0000}"/>
    <cellStyle name="20% - Accent4 3 2 4 6" xfId="29858" xr:uid="{00000000-0005-0000-0000-0000612D0000}"/>
    <cellStyle name="20% - Accent4 3 2 4 7" xfId="39583" xr:uid="{00000000-0005-0000-0000-0000622D0000}"/>
    <cellStyle name="20% - Accent4 3 2 4 8" xfId="10408" xr:uid="{00000000-0005-0000-0000-0000632D0000}"/>
    <cellStyle name="20% - Accent4 3 2 5" xfId="1942" xr:uid="{00000000-0005-0000-0000-0000642D0000}"/>
    <cellStyle name="20% - Accent4 3 2 5 2" xfId="6804" xr:uid="{00000000-0005-0000-0000-0000652D0000}"/>
    <cellStyle name="20% - Accent4 3 2 5 2 2" xfId="26255" xr:uid="{00000000-0005-0000-0000-0000662D0000}"/>
    <cellStyle name="20% - Accent4 3 2 5 2 3" xfId="35980" xr:uid="{00000000-0005-0000-0000-0000672D0000}"/>
    <cellStyle name="20% - Accent4 3 2 5 2 4" xfId="45705" xr:uid="{00000000-0005-0000-0000-0000682D0000}"/>
    <cellStyle name="20% - Accent4 3 2 5 2 5" xfId="16530" xr:uid="{00000000-0005-0000-0000-0000692D0000}"/>
    <cellStyle name="20% - Accent4 3 2 5 3" xfId="21393" xr:uid="{00000000-0005-0000-0000-00006A2D0000}"/>
    <cellStyle name="20% - Accent4 3 2 5 4" xfId="31118" xr:uid="{00000000-0005-0000-0000-00006B2D0000}"/>
    <cellStyle name="20% - Accent4 3 2 5 5" xfId="40843" xr:uid="{00000000-0005-0000-0000-00006C2D0000}"/>
    <cellStyle name="20% - Accent4 3 2 5 6" xfId="11668" xr:uid="{00000000-0005-0000-0000-00006D2D0000}"/>
    <cellStyle name="20% - Accent4 3 2 6" xfId="3562" xr:uid="{00000000-0005-0000-0000-00006E2D0000}"/>
    <cellStyle name="20% - Accent4 3 2 6 2" xfId="8424" xr:uid="{00000000-0005-0000-0000-00006F2D0000}"/>
    <cellStyle name="20% - Accent4 3 2 6 2 2" xfId="27875" xr:uid="{00000000-0005-0000-0000-0000702D0000}"/>
    <cellStyle name="20% - Accent4 3 2 6 2 3" xfId="37600" xr:uid="{00000000-0005-0000-0000-0000712D0000}"/>
    <cellStyle name="20% - Accent4 3 2 6 2 4" xfId="47325" xr:uid="{00000000-0005-0000-0000-0000722D0000}"/>
    <cellStyle name="20% - Accent4 3 2 6 2 5" xfId="18150" xr:uid="{00000000-0005-0000-0000-0000732D0000}"/>
    <cellStyle name="20% - Accent4 3 2 6 3" xfId="23013" xr:uid="{00000000-0005-0000-0000-0000742D0000}"/>
    <cellStyle name="20% - Accent4 3 2 6 4" xfId="32738" xr:uid="{00000000-0005-0000-0000-0000752D0000}"/>
    <cellStyle name="20% - Accent4 3 2 6 5" xfId="42463" xr:uid="{00000000-0005-0000-0000-0000762D0000}"/>
    <cellStyle name="20% - Accent4 3 2 6 6" xfId="13288" xr:uid="{00000000-0005-0000-0000-0000772D0000}"/>
    <cellStyle name="20% - Accent4 3 2 7" xfId="5184" xr:uid="{00000000-0005-0000-0000-0000782D0000}"/>
    <cellStyle name="20% - Accent4 3 2 7 2" xfId="24635" xr:uid="{00000000-0005-0000-0000-0000792D0000}"/>
    <cellStyle name="20% - Accent4 3 2 7 3" xfId="34360" xr:uid="{00000000-0005-0000-0000-00007A2D0000}"/>
    <cellStyle name="20% - Accent4 3 2 7 4" xfId="44085" xr:uid="{00000000-0005-0000-0000-00007B2D0000}"/>
    <cellStyle name="20% - Accent4 3 2 7 5" xfId="14910" xr:uid="{00000000-0005-0000-0000-00007C2D0000}"/>
    <cellStyle name="20% - Accent4 3 2 8" xfId="19773" xr:uid="{00000000-0005-0000-0000-00007D2D0000}"/>
    <cellStyle name="20% - Accent4 3 2 9" xfId="29498" xr:uid="{00000000-0005-0000-0000-00007E2D0000}"/>
    <cellStyle name="20% - Accent4 3 3" xfId="351" xr:uid="{00000000-0005-0000-0000-00007F2D0000}"/>
    <cellStyle name="20% - Accent4 3 3 10" xfId="39313" xr:uid="{00000000-0005-0000-0000-0000802D0000}"/>
    <cellStyle name="20% - Accent4 3 3 11" xfId="10138" xr:uid="{00000000-0005-0000-0000-0000812D0000}"/>
    <cellStyle name="20% - Accent4 3 3 2" xfId="1114" xr:uid="{00000000-0005-0000-0000-0000822D0000}"/>
    <cellStyle name="20% - Accent4 3 3 2 2" xfId="2752" xr:uid="{00000000-0005-0000-0000-0000832D0000}"/>
    <cellStyle name="20% - Accent4 3 3 2 2 2" xfId="7614" xr:uid="{00000000-0005-0000-0000-0000842D0000}"/>
    <cellStyle name="20% - Accent4 3 3 2 2 2 2" xfId="27065" xr:uid="{00000000-0005-0000-0000-0000852D0000}"/>
    <cellStyle name="20% - Accent4 3 3 2 2 2 3" xfId="36790" xr:uid="{00000000-0005-0000-0000-0000862D0000}"/>
    <cellStyle name="20% - Accent4 3 3 2 2 2 4" xfId="46515" xr:uid="{00000000-0005-0000-0000-0000872D0000}"/>
    <cellStyle name="20% - Accent4 3 3 2 2 2 5" xfId="17340" xr:uid="{00000000-0005-0000-0000-0000882D0000}"/>
    <cellStyle name="20% - Accent4 3 3 2 2 3" xfId="22203" xr:uid="{00000000-0005-0000-0000-0000892D0000}"/>
    <cellStyle name="20% - Accent4 3 3 2 2 4" xfId="31928" xr:uid="{00000000-0005-0000-0000-00008A2D0000}"/>
    <cellStyle name="20% - Accent4 3 3 2 2 5" xfId="41653" xr:uid="{00000000-0005-0000-0000-00008B2D0000}"/>
    <cellStyle name="20% - Accent4 3 3 2 2 6" xfId="12478" xr:uid="{00000000-0005-0000-0000-00008C2D0000}"/>
    <cellStyle name="20% - Accent4 3 3 2 3" xfId="4372" xr:uid="{00000000-0005-0000-0000-00008D2D0000}"/>
    <cellStyle name="20% - Accent4 3 3 2 3 2" xfId="9234" xr:uid="{00000000-0005-0000-0000-00008E2D0000}"/>
    <cellStyle name="20% - Accent4 3 3 2 3 2 2" xfId="28685" xr:uid="{00000000-0005-0000-0000-00008F2D0000}"/>
    <cellStyle name="20% - Accent4 3 3 2 3 2 3" xfId="38410" xr:uid="{00000000-0005-0000-0000-0000902D0000}"/>
    <cellStyle name="20% - Accent4 3 3 2 3 2 4" xfId="48135" xr:uid="{00000000-0005-0000-0000-0000912D0000}"/>
    <cellStyle name="20% - Accent4 3 3 2 3 2 5" xfId="18960" xr:uid="{00000000-0005-0000-0000-0000922D0000}"/>
    <cellStyle name="20% - Accent4 3 3 2 3 3" xfId="23823" xr:uid="{00000000-0005-0000-0000-0000932D0000}"/>
    <cellStyle name="20% - Accent4 3 3 2 3 4" xfId="33548" xr:uid="{00000000-0005-0000-0000-0000942D0000}"/>
    <cellStyle name="20% - Accent4 3 3 2 3 5" xfId="43273" xr:uid="{00000000-0005-0000-0000-0000952D0000}"/>
    <cellStyle name="20% - Accent4 3 3 2 3 6" xfId="14098" xr:uid="{00000000-0005-0000-0000-0000962D0000}"/>
    <cellStyle name="20% - Accent4 3 3 2 4" xfId="5994" xr:uid="{00000000-0005-0000-0000-0000972D0000}"/>
    <cellStyle name="20% - Accent4 3 3 2 4 2" xfId="25445" xr:uid="{00000000-0005-0000-0000-0000982D0000}"/>
    <cellStyle name="20% - Accent4 3 3 2 4 3" xfId="35170" xr:uid="{00000000-0005-0000-0000-0000992D0000}"/>
    <cellStyle name="20% - Accent4 3 3 2 4 4" xfId="44895" xr:uid="{00000000-0005-0000-0000-00009A2D0000}"/>
    <cellStyle name="20% - Accent4 3 3 2 4 5" xfId="15720" xr:uid="{00000000-0005-0000-0000-00009B2D0000}"/>
    <cellStyle name="20% - Accent4 3 3 2 5" xfId="20583" xr:uid="{00000000-0005-0000-0000-00009C2D0000}"/>
    <cellStyle name="20% - Accent4 3 3 2 6" xfId="30308" xr:uid="{00000000-0005-0000-0000-00009D2D0000}"/>
    <cellStyle name="20% - Accent4 3 3 2 7" xfId="40033" xr:uid="{00000000-0005-0000-0000-00009E2D0000}"/>
    <cellStyle name="20% - Accent4 3 3 2 8" xfId="10858" xr:uid="{00000000-0005-0000-0000-00009F2D0000}"/>
    <cellStyle name="20% - Accent4 3 3 3" xfId="1581" xr:uid="{00000000-0005-0000-0000-0000A02D0000}"/>
    <cellStyle name="20% - Accent4 3 3 3 2" xfId="3202" xr:uid="{00000000-0005-0000-0000-0000A12D0000}"/>
    <cellStyle name="20% - Accent4 3 3 3 2 2" xfId="8064" xr:uid="{00000000-0005-0000-0000-0000A22D0000}"/>
    <cellStyle name="20% - Accent4 3 3 3 2 2 2" xfId="27515" xr:uid="{00000000-0005-0000-0000-0000A32D0000}"/>
    <cellStyle name="20% - Accent4 3 3 3 2 2 3" xfId="37240" xr:uid="{00000000-0005-0000-0000-0000A42D0000}"/>
    <cellStyle name="20% - Accent4 3 3 3 2 2 4" xfId="46965" xr:uid="{00000000-0005-0000-0000-0000A52D0000}"/>
    <cellStyle name="20% - Accent4 3 3 3 2 2 5" xfId="17790" xr:uid="{00000000-0005-0000-0000-0000A62D0000}"/>
    <cellStyle name="20% - Accent4 3 3 3 2 3" xfId="22653" xr:uid="{00000000-0005-0000-0000-0000A72D0000}"/>
    <cellStyle name="20% - Accent4 3 3 3 2 4" xfId="32378" xr:uid="{00000000-0005-0000-0000-0000A82D0000}"/>
    <cellStyle name="20% - Accent4 3 3 3 2 5" xfId="42103" xr:uid="{00000000-0005-0000-0000-0000A92D0000}"/>
    <cellStyle name="20% - Accent4 3 3 3 2 6" xfId="12928" xr:uid="{00000000-0005-0000-0000-0000AA2D0000}"/>
    <cellStyle name="20% - Accent4 3 3 3 3" xfId="4822" xr:uid="{00000000-0005-0000-0000-0000AB2D0000}"/>
    <cellStyle name="20% - Accent4 3 3 3 3 2" xfId="9684" xr:uid="{00000000-0005-0000-0000-0000AC2D0000}"/>
    <cellStyle name="20% - Accent4 3 3 3 3 2 2" xfId="29135" xr:uid="{00000000-0005-0000-0000-0000AD2D0000}"/>
    <cellStyle name="20% - Accent4 3 3 3 3 2 3" xfId="38860" xr:uid="{00000000-0005-0000-0000-0000AE2D0000}"/>
    <cellStyle name="20% - Accent4 3 3 3 3 2 4" xfId="48585" xr:uid="{00000000-0005-0000-0000-0000AF2D0000}"/>
    <cellStyle name="20% - Accent4 3 3 3 3 2 5" xfId="19410" xr:uid="{00000000-0005-0000-0000-0000B02D0000}"/>
    <cellStyle name="20% - Accent4 3 3 3 3 3" xfId="24273" xr:uid="{00000000-0005-0000-0000-0000B12D0000}"/>
    <cellStyle name="20% - Accent4 3 3 3 3 4" xfId="33998" xr:uid="{00000000-0005-0000-0000-0000B22D0000}"/>
    <cellStyle name="20% - Accent4 3 3 3 3 5" xfId="43723" xr:uid="{00000000-0005-0000-0000-0000B32D0000}"/>
    <cellStyle name="20% - Accent4 3 3 3 3 6" xfId="14548" xr:uid="{00000000-0005-0000-0000-0000B42D0000}"/>
    <cellStyle name="20% - Accent4 3 3 3 4" xfId="6444" xr:uid="{00000000-0005-0000-0000-0000B52D0000}"/>
    <cellStyle name="20% - Accent4 3 3 3 4 2" xfId="25895" xr:uid="{00000000-0005-0000-0000-0000B62D0000}"/>
    <cellStyle name="20% - Accent4 3 3 3 4 3" xfId="35620" xr:uid="{00000000-0005-0000-0000-0000B72D0000}"/>
    <cellStyle name="20% - Accent4 3 3 3 4 4" xfId="45345" xr:uid="{00000000-0005-0000-0000-0000B82D0000}"/>
    <cellStyle name="20% - Accent4 3 3 3 4 5" xfId="16170" xr:uid="{00000000-0005-0000-0000-0000B92D0000}"/>
    <cellStyle name="20% - Accent4 3 3 3 5" xfId="21033" xr:uid="{00000000-0005-0000-0000-0000BA2D0000}"/>
    <cellStyle name="20% - Accent4 3 3 3 6" xfId="30758" xr:uid="{00000000-0005-0000-0000-0000BB2D0000}"/>
    <cellStyle name="20% - Accent4 3 3 3 7" xfId="40483" xr:uid="{00000000-0005-0000-0000-0000BC2D0000}"/>
    <cellStyle name="20% - Accent4 3 3 3 8" xfId="11308" xr:uid="{00000000-0005-0000-0000-0000BD2D0000}"/>
    <cellStyle name="20% - Accent4 3 3 4" xfId="752" xr:uid="{00000000-0005-0000-0000-0000BE2D0000}"/>
    <cellStyle name="20% - Accent4 3 3 4 2" xfId="2392" xr:uid="{00000000-0005-0000-0000-0000BF2D0000}"/>
    <cellStyle name="20% - Accent4 3 3 4 2 2" xfId="7254" xr:uid="{00000000-0005-0000-0000-0000C02D0000}"/>
    <cellStyle name="20% - Accent4 3 3 4 2 2 2" xfId="26705" xr:uid="{00000000-0005-0000-0000-0000C12D0000}"/>
    <cellStyle name="20% - Accent4 3 3 4 2 2 3" xfId="36430" xr:uid="{00000000-0005-0000-0000-0000C22D0000}"/>
    <cellStyle name="20% - Accent4 3 3 4 2 2 4" xfId="46155" xr:uid="{00000000-0005-0000-0000-0000C32D0000}"/>
    <cellStyle name="20% - Accent4 3 3 4 2 2 5" xfId="16980" xr:uid="{00000000-0005-0000-0000-0000C42D0000}"/>
    <cellStyle name="20% - Accent4 3 3 4 2 3" xfId="21843" xr:uid="{00000000-0005-0000-0000-0000C52D0000}"/>
    <cellStyle name="20% - Accent4 3 3 4 2 4" xfId="31568" xr:uid="{00000000-0005-0000-0000-0000C62D0000}"/>
    <cellStyle name="20% - Accent4 3 3 4 2 5" xfId="41293" xr:uid="{00000000-0005-0000-0000-0000C72D0000}"/>
    <cellStyle name="20% - Accent4 3 3 4 2 6" xfId="12118" xr:uid="{00000000-0005-0000-0000-0000C82D0000}"/>
    <cellStyle name="20% - Accent4 3 3 4 3" xfId="4012" xr:uid="{00000000-0005-0000-0000-0000C92D0000}"/>
    <cellStyle name="20% - Accent4 3 3 4 3 2" xfId="8874" xr:uid="{00000000-0005-0000-0000-0000CA2D0000}"/>
    <cellStyle name="20% - Accent4 3 3 4 3 2 2" xfId="28325" xr:uid="{00000000-0005-0000-0000-0000CB2D0000}"/>
    <cellStyle name="20% - Accent4 3 3 4 3 2 3" xfId="38050" xr:uid="{00000000-0005-0000-0000-0000CC2D0000}"/>
    <cellStyle name="20% - Accent4 3 3 4 3 2 4" xfId="47775" xr:uid="{00000000-0005-0000-0000-0000CD2D0000}"/>
    <cellStyle name="20% - Accent4 3 3 4 3 2 5" xfId="18600" xr:uid="{00000000-0005-0000-0000-0000CE2D0000}"/>
    <cellStyle name="20% - Accent4 3 3 4 3 3" xfId="23463" xr:uid="{00000000-0005-0000-0000-0000CF2D0000}"/>
    <cellStyle name="20% - Accent4 3 3 4 3 4" xfId="33188" xr:uid="{00000000-0005-0000-0000-0000D02D0000}"/>
    <cellStyle name="20% - Accent4 3 3 4 3 5" xfId="42913" xr:uid="{00000000-0005-0000-0000-0000D12D0000}"/>
    <cellStyle name="20% - Accent4 3 3 4 3 6" xfId="13738" xr:uid="{00000000-0005-0000-0000-0000D22D0000}"/>
    <cellStyle name="20% - Accent4 3 3 4 4" xfId="5634" xr:uid="{00000000-0005-0000-0000-0000D32D0000}"/>
    <cellStyle name="20% - Accent4 3 3 4 4 2" xfId="25085" xr:uid="{00000000-0005-0000-0000-0000D42D0000}"/>
    <cellStyle name="20% - Accent4 3 3 4 4 3" xfId="34810" xr:uid="{00000000-0005-0000-0000-0000D52D0000}"/>
    <cellStyle name="20% - Accent4 3 3 4 4 4" xfId="44535" xr:uid="{00000000-0005-0000-0000-0000D62D0000}"/>
    <cellStyle name="20% - Accent4 3 3 4 4 5" xfId="15360" xr:uid="{00000000-0005-0000-0000-0000D72D0000}"/>
    <cellStyle name="20% - Accent4 3 3 4 5" xfId="20223" xr:uid="{00000000-0005-0000-0000-0000D82D0000}"/>
    <cellStyle name="20% - Accent4 3 3 4 6" xfId="29948" xr:uid="{00000000-0005-0000-0000-0000D92D0000}"/>
    <cellStyle name="20% - Accent4 3 3 4 7" xfId="39673" xr:uid="{00000000-0005-0000-0000-0000DA2D0000}"/>
    <cellStyle name="20% - Accent4 3 3 4 8" xfId="10498" xr:uid="{00000000-0005-0000-0000-0000DB2D0000}"/>
    <cellStyle name="20% - Accent4 3 3 5" xfId="2032" xr:uid="{00000000-0005-0000-0000-0000DC2D0000}"/>
    <cellStyle name="20% - Accent4 3 3 5 2" xfId="6894" xr:uid="{00000000-0005-0000-0000-0000DD2D0000}"/>
    <cellStyle name="20% - Accent4 3 3 5 2 2" xfId="26345" xr:uid="{00000000-0005-0000-0000-0000DE2D0000}"/>
    <cellStyle name="20% - Accent4 3 3 5 2 3" xfId="36070" xr:uid="{00000000-0005-0000-0000-0000DF2D0000}"/>
    <cellStyle name="20% - Accent4 3 3 5 2 4" xfId="45795" xr:uid="{00000000-0005-0000-0000-0000E02D0000}"/>
    <cellStyle name="20% - Accent4 3 3 5 2 5" xfId="16620" xr:uid="{00000000-0005-0000-0000-0000E12D0000}"/>
    <cellStyle name="20% - Accent4 3 3 5 3" xfId="21483" xr:uid="{00000000-0005-0000-0000-0000E22D0000}"/>
    <cellStyle name="20% - Accent4 3 3 5 4" xfId="31208" xr:uid="{00000000-0005-0000-0000-0000E32D0000}"/>
    <cellStyle name="20% - Accent4 3 3 5 5" xfId="40933" xr:uid="{00000000-0005-0000-0000-0000E42D0000}"/>
    <cellStyle name="20% - Accent4 3 3 5 6" xfId="11758" xr:uid="{00000000-0005-0000-0000-0000E52D0000}"/>
    <cellStyle name="20% - Accent4 3 3 6" xfId="3652" xr:uid="{00000000-0005-0000-0000-0000E62D0000}"/>
    <cellStyle name="20% - Accent4 3 3 6 2" xfId="8514" xr:uid="{00000000-0005-0000-0000-0000E72D0000}"/>
    <cellStyle name="20% - Accent4 3 3 6 2 2" xfId="27965" xr:uid="{00000000-0005-0000-0000-0000E82D0000}"/>
    <cellStyle name="20% - Accent4 3 3 6 2 3" xfId="37690" xr:uid="{00000000-0005-0000-0000-0000E92D0000}"/>
    <cellStyle name="20% - Accent4 3 3 6 2 4" xfId="47415" xr:uid="{00000000-0005-0000-0000-0000EA2D0000}"/>
    <cellStyle name="20% - Accent4 3 3 6 2 5" xfId="18240" xr:uid="{00000000-0005-0000-0000-0000EB2D0000}"/>
    <cellStyle name="20% - Accent4 3 3 6 3" xfId="23103" xr:uid="{00000000-0005-0000-0000-0000EC2D0000}"/>
    <cellStyle name="20% - Accent4 3 3 6 4" xfId="32828" xr:uid="{00000000-0005-0000-0000-0000ED2D0000}"/>
    <cellStyle name="20% - Accent4 3 3 6 5" xfId="42553" xr:uid="{00000000-0005-0000-0000-0000EE2D0000}"/>
    <cellStyle name="20% - Accent4 3 3 6 6" xfId="13378" xr:uid="{00000000-0005-0000-0000-0000EF2D0000}"/>
    <cellStyle name="20% - Accent4 3 3 7" xfId="5274" xr:uid="{00000000-0005-0000-0000-0000F02D0000}"/>
    <cellStyle name="20% - Accent4 3 3 7 2" xfId="24725" xr:uid="{00000000-0005-0000-0000-0000F12D0000}"/>
    <cellStyle name="20% - Accent4 3 3 7 3" xfId="34450" xr:uid="{00000000-0005-0000-0000-0000F22D0000}"/>
    <cellStyle name="20% - Accent4 3 3 7 4" xfId="44175" xr:uid="{00000000-0005-0000-0000-0000F32D0000}"/>
    <cellStyle name="20% - Accent4 3 3 7 5" xfId="15000" xr:uid="{00000000-0005-0000-0000-0000F42D0000}"/>
    <cellStyle name="20% - Accent4 3 3 8" xfId="19863" xr:uid="{00000000-0005-0000-0000-0000F52D0000}"/>
    <cellStyle name="20% - Accent4 3 3 9" xfId="29588" xr:uid="{00000000-0005-0000-0000-0000F62D0000}"/>
    <cellStyle name="20% - Accent4 3 4" xfId="169" xr:uid="{00000000-0005-0000-0000-0000F72D0000}"/>
    <cellStyle name="20% - Accent4 3 4 10" xfId="39133" xr:uid="{00000000-0005-0000-0000-0000F82D0000}"/>
    <cellStyle name="20% - Accent4 3 4 11" xfId="9958" xr:uid="{00000000-0005-0000-0000-0000F92D0000}"/>
    <cellStyle name="20% - Accent4 3 4 2" xfId="933" xr:uid="{00000000-0005-0000-0000-0000FA2D0000}"/>
    <cellStyle name="20% - Accent4 3 4 2 2" xfId="2572" xr:uid="{00000000-0005-0000-0000-0000FB2D0000}"/>
    <cellStyle name="20% - Accent4 3 4 2 2 2" xfId="7434" xr:uid="{00000000-0005-0000-0000-0000FC2D0000}"/>
    <cellStyle name="20% - Accent4 3 4 2 2 2 2" xfId="26885" xr:uid="{00000000-0005-0000-0000-0000FD2D0000}"/>
    <cellStyle name="20% - Accent4 3 4 2 2 2 3" xfId="36610" xr:uid="{00000000-0005-0000-0000-0000FE2D0000}"/>
    <cellStyle name="20% - Accent4 3 4 2 2 2 4" xfId="46335" xr:uid="{00000000-0005-0000-0000-0000FF2D0000}"/>
    <cellStyle name="20% - Accent4 3 4 2 2 2 5" xfId="17160" xr:uid="{00000000-0005-0000-0000-0000002E0000}"/>
    <cellStyle name="20% - Accent4 3 4 2 2 3" xfId="22023" xr:uid="{00000000-0005-0000-0000-0000012E0000}"/>
    <cellStyle name="20% - Accent4 3 4 2 2 4" xfId="31748" xr:uid="{00000000-0005-0000-0000-0000022E0000}"/>
    <cellStyle name="20% - Accent4 3 4 2 2 5" xfId="41473" xr:uid="{00000000-0005-0000-0000-0000032E0000}"/>
    <cellStyle name="20% - Accent4 3 4 2 2 6" xfId="12298" xr:uid="{00000000-0005-0000-0000-0000042E0000}"/>
    <cellStyle name="20% - Accent4 3 4 2 3" xfId="4192" xr:uid="{00000000-0005-0000-0000-0000052E0000}"/>
    <cellStyle name="20% - Accent4 3 4 2 3 2" xfId="9054" xr:uid="{00000000-0005-0000-0000-0000062E0000}"/>
    <cellStyle name="20% - Accent4 3 4 2 3 2 2" xfId="28505" xr:uid="{00000000-0005-0000-0000-0000072E0000}"/>
    <cellStyle name="20% - Accent4 3 4 2 3 2 3" xfId="38230" xr:uid="{00000000-0005-0000-0000-0000082E0000}"/>
    <cellStyle name="20% - Accent4 3 4 2 3 2 4" xfId="47955" xr:uid="{00000000-0005-0000-0000-0000092E0000}"/>
    <cellStyle name="20% - Accent4 3 4 2 3 2 5" xfId="18780" xr:uid="{00000000-0005-0000-0000-00000A2E0000}"/>
    <cellStyle name="20% - Accent4 3 4 2 3 3" xfId="23643" xr:uid="{00000000-0005-0000-0000-00000B2E0000}"/>
    <cellStyle name="20% - Accent4 3 4 2 3 4" xfId="33368" xr:uid="{00000000-0005-0000-0000-00000C2E0000}"/>
    <cellStyle name="20% - Accent4 3 4 2 3 5" xfId="43093" xr:uid="{00000000-0005-0000-0000-00000D2E0000}"/>
    <cellStyle name="20% - Accent4 3 4 2 3 6" xfId="13918" xr:uid="{00000000-0005-0000-0000-00000E2E0000}"/>
    <cellStyle name="20% - Accent4 3 4 2 4" xfId="5814" xr:uid="{00000000-0005-0000-0000-00000F2E0000}"/>
    <cellStyle name="20% - Accent4 3 4 2 4 2" xfId="25265" xr:uid="{00000000-0005-0000-0000-0000102E0000}"/>
    <cellStyle name="20% - Accent4 3 4 2 4 3" xfId="34990" xr:uid="{00000000-0005-0000-0000-0000112E0000}"/>
    <cellStyle name="20% - Accent4 3 4 2 4 4" xfId="44715" xr:uid="{00000000-0005-0000-0000-0000122E0000}"/>
    <cellStyle name="20% - Accent4 3 4 2 4 5" xfId="15540" xr:uid="{00000000-0005-0000-0000-0000132E0000}"/>
    <cellStyle name="20% - Accent4 3 4 2 5" xfId="20403" xr:uid="{00000000-0005-0000-0000-0000142E0000}"/>
    <cellStyle name="20% - Accent4 3 4 2 6" xfId="30128" xr:uid="{00000000-0005-0000-0000-0000152E0000}"/>
    <cellStyle name="20% - Accent4 3 4 2 7" xfId="39853" xr:uid="{00000000-0005-0000-0000-0000162E0000}"/>
    <cellStyle name="20% - Accent4 3 4 2 8" xfId="10678" xr:uid="{00000000-0005-0000-0000-0000172E0000}"/>
    <cellStyle name="20% - Accent4 3 4 3" xfId="1401" xr:uid="{00000000-0005-0000-0000-0000182E0000}"/>
    <cellStyle name="20% - Accent4 3 4 3 2" xfId="3022" xr:uid="{00000000-0005-0000-0000-0000192E0000}"/>
    <cellStyle name="20% - Accent4 3 4 3 2 2" xfId="7884" xr:uid="{00000000-0005-0000-0000-00001A2E0000}"/>
    <cellStyle name="20% - Accent4 3 4 3 2 2 2" xfId="27335" xr:uid="{00000000-0005-0000-0000-00001B2E0000}"/>
    <cellStyle name="20% - Accent4 3 4 3 2 2 3" xfId="37060" xr:uid="{00000000-0005-0000-0000-00001C2E0000}"/>
    <cellStyle name="20% - Accent4 3 4 3 2 2 4" xfId="46785" xr:uid="{00000000-0005-0000-0000-00001D2E0000}"/>
    <cellStyle name="20% - Accent4 3 4 3 2 2 5" xfId="17610" xr:uid="{00000000-0005-0000-0000-00001E2E0000}"/>
    <cellStyle name="20% - Accent4 3 4 3 2 3" xfId="22473" xr:uid="{00000000-0005-0000-0000-00001F2E0000}"/>
    <cellStyle name="20% - Accent4 3 4 3 2 4" xfId="32198" xr:uid="{00000000-0005-0000-0000-0000202E0000}"/>
    <cellStyle name="20% - Accent4 3 4 3 2 5" xfId="41923" xr:uid="{00000000-0005-0000-0000-0000212E0000}"/>
    <cellStyle name="20% - Accent4 3 4 3 2 6" xfId="12748" xr:uid="{00000000-0005-0000-0000-0000222E0000}"/>
    <cellStyle name="20% - Accent4 3 4 3 3" xfId="4642" xr:uid="{00000000-0005-0000-0000-0000232E0000}"/>
    <cellStyle name="20% - Accent4 3 4 3 3 2" xfId="9504" xr:uid="{00000000-0005-0000-0000-0000242E0000}"/>
    <cellStyle name="20% - Accent4 3 4 3 3 2 2" xfId="28955" xr:uid="{00000000-0005-0000-0000-0000252E0000}"/>
    <cellStyle name="20% - Accent4 3 4 3 3 2 3" xfId="38680" xr:uid="{00000000-0005-0000-0000-0000262E0000}"/>
    <cellStyle name="20% - Accent4 3 4 3 3 2 4" xfId="48405" xr:uid="{00000000-0005-0000-0000-0000272E0000}"/>
    <cellStyle name="20% - Accent4 3 4 3 3 2 5" xfId="19230" xr:uid="{00000000-0005-0000-0000-0000282E0000}"/>
    <cellStyle name="20% - Accent4 3 4 3 3 3" xfId="24093" xr:uid="{00000000-0005-0000-0000-0000292E0000}"/>
    <cellStyle name="20% - Accent4 3 4 3 3 4" xfId="33818" xr:uid="{00000000-0005-0000-0000-00002A2E0000}"/>
    <cellStyle name="20% - Accent4 3 4 3 3 5" xfId="43543" xr:uid="{00000000-0005-0000-0000-00002B2E0000}"/>
    <cellStyle name="20% - Accent4 3 4 3 3 6" xfId="14368" xr:uid="{00000000-0005-0000-0000-00002C2E0000}"/>
    <cellStyle name="20% - Accent4 3 4 3 4" xfId="6264" xr:uid="{00000000-0005-0000-0000-00002D2E0000}"/>
    <cellStyle name="20% - Accent4 3 4 3 4 2" xfId="25715" xr:uid="{00000000-0005-0000-0000-00002E2E0000}"/>
    <cellStyle name="20% - Accent4 3 4 3 4 3" xfId="35440" xr:uid="{00000000-0005-0000-0000-00002F2E0000}"/>
    <cellStyle name="20% - Accent4 3 4 3 4 4" xfId="45165" xr:uid="{00000000-0005-0000-0000-0000302E0000}"/>
    <cellStyle name="20% - Accent4 3 4 3 4 5" xfId="15990" xr:uid="{00000000-0005-0000-0000-0000312E0000}"/>
    <cellStyle name="20% - Accent4 3 4 3 5" xfId="20853" xr:uid="{00000000-0005-0000-0000-0000322E0000}"/>
    <cellStyle name="20% - Accent4 3 4 3 6" xfId="30578" xr:uid="{00000000-0005-0000-0000-0000332E0000}"/>
    <cellStyle name="20% - Accent4 3 4 3 7" xfId="40303" xr:uid="{00000000-0005-0000-0000-0000342E0000}"/>
    <cellStyle name="20% - Accent4 3 4 3 8" xfId="11128" xr:uid="{00000000-0005-0000-0000-0000352E0000}"/>
    <cellStyle name="20% - Accent4 3 4 4" xfId="572" xr:uid="{00000000-0005-0000-0000-0000362E0000}"/>
    <cellStyle name="20% - Accent4 3 4 4 2" xfId="2212" xr:uid="{00000000-0005-0000-0000-0000372E0000}"/>
    <cellStyle name="20% - Accent4 3 4 4 2 2" xfId="7074" xr:uid="{00000000-0005-0000-0000-0000382E0000}"/>
    <cellStyle name="20% - Accent4 3 4 4 2 2 2" xfId="26525" xr:uid="{00000000-0005-0000-0000-0000392E0000}"/>
    <cellStyle name="20% - Accent4 3 4 4 2 2 3" xfId="36250" xr:uid="{00000000-0005-0000-0000-00003A2E0000}"/>
    <cellStyle name="20% - Accent4 3 4 4 2 2 4" xfId="45975" xr:uid="{00000000-0005-0000-0000-00003B2E0000}"/>
    <cellStyle name="20% - Accent4 3 4 4 2 2 5" xfId="16800" xr:uid="{00000000-0005-0000-0000-00003C2E0000}"/>
    <cellStyle name="20% - Accent4 3 4 4 2 3" xfId="21663" xr:uid="{00000000-0005-0000-0000-00003D2E0000}"/>
    <cellStyle name="20% - Accent4 3 4 4 2 4" xfId="31388" xr:uid="{00000000-0005-0000-0000-00003E2E0000}"/>
    <cellStyle name="20% - Accent4 3 4 4 2 5" xfId="41113" xr:uid="{00000000-0005-0000-0000-00003F2E0000}"/>
    <cellStyle name="20% - Accent4 3 4 4 2 6" xfId="11938" xr:uid="{00000000-0005-0000-0000-0000402E0000}"/>
    <cellStyle name="20% - Accent4 3 4 4 3" xfId="3832" xr:uid="{00000000-0005-0000-0000-0000412E0000}"/>
    <cellStyle name="20% - Accent4 3 4 4 3 2" xfId="8694" xr:uid="{00000000-0005-0000-0000-0000422E0000}"/>
    <cellStyle name="20% - Accent4 3 4 4 3 2 2" xfId="28145" xr:uid="{00000000-0005-0000-0000-0000432E0000}"/>
    <cellStyle name="20% - Accent4 3 4 4 3 2 3" xfId="37870" xr:uid="{00000000-0005-0000-0000-0000442E0000}"/>
    <cellStyle name="20% - Accent4 3 4 4 3 2 4" xfId="47595" xr:uid="{00000000-0005-0000-0000-0000452E0000}"/>
    <cellStyle name="20% - Accent4 3 4 4 3 2 5" xfId="18420" xr:uid="{00000000-0005-0000-0000-0000462E0000}"/>
    <cellStyle name="20% - Accent4 3 4 4 3 3" xfId="23283" xr:uid="{00000000-0005-0000-0000-0000472E0000}"/>
    <cellStyle name="20% - Accent4 3 4 4 3 4" xfId="33008" xr:uid="{00000000-0005-0000-0000-0000482E0000}"/>
    <cellStyle name="20% - Accent4 3 4 4 3 5" xfId="42733" xr:uid="{00000000-0005-0000-0000-0000492E0000}"/>
    <cellStyle name="20% - Accent4 3 4 4 3 6" xfId="13558" xr:uid="{00000000-0005-0000-0000-00004A2E0000}"/>
    <cellStyle name="20% - Accent4 3 4 4 4" xfId="5454" xr:uid="{00000000-0005-0000-0000-00004B2E0000}"/>
    <cellStyle name="20% - Accent4 3 4 4 4 2" xfId="24905" xr:uid="{00000000-0005-0000-0000-00004C2E0000}"/>
    <cellStyle name="20% - Accent4 3 4 4 4 3" xfId="34630" xr:uid="{00000000-0005-0000-0000-00004D2E0000}"/>
    <cellStyle name="20% - Accent4 3 4 4 4 4" xfId="44355" xr:uid="{00000000-0005-0000-0000-00004E2E0000}"/>
    <cellStyle name="20% - Accent4 3 4 4 4 5" xfId="15180" xr:uid="{00000000-0005-0000-0000-00004F2E0000}"/>
    <cellStyle name="20% - Accent4 3 4 4 5" xfId="20043" xr:uid="{00000000-0005-0000-0000-0000502E0000}"/>
    <cellStyle name="20% - Accent4 3 4 4 6" xfId="29768" xr:uid="{00000000-0005-0000-0000-0000512E0000}"/>
    <cellStyle name="20% - Accent4 3 4 4 7" xfId="39493" xr:uid="{00000000-0005-0000-0000-0000522E0000}"/>
    <cellStyle name="20% - Accent4 3 4 4 8" xfId="10318" xr:uid="{00000000-0005-0000-0000-0000532E0000}"/>
    <cellStyle name="20% - Accent4 3 4 5" xfId="1852" xr:uid="{00000000-0005-0000-0000-0000542E0000}"/>
    <cellStyle name="20% - Accent4 3 4 5 2" xfId="6714" xr:uid="{00000000-0005-0000-0000-0000552E0000}"/>
    <cellStyle name="20% - Accent4 3 4 5 2 2" xfId="26165" xr:uid="{00000000-0005-0000-0000-0000562E0000}"/>
    <cellStyle name="20% - Accent4 3 4 5 2 3" xfId="35890" xr:uid="{00000000-0005-0000-0000-0000572E0000}"/>
    <cellStyle name="20% - Accent4 3 4 5 2 4" xfId="45615" xr:uid="{00000000-0005-0000-0000-0000582E0000}"/>
    <cellStyle name="20% - Accent4 3 4 5 2 5" xfId="16440" xr:uid="{00000000-0005-0000-0000-0000592E0000}"/>
    <cellStyle name="20% - Accent4 3 4 5 3" xfId="21303" xr:uid="{00000000-0005-0000-0000-00005A2E0000}"/>
    <cellStyle name="20% - Accent4 3 4 5 4" xfId="31028" xr:uid="{00000000-0005-0000-0000-00005B2E0000}"/>
    <cellStyle name="20% - Accent4 3 4 5 5" xfId="40753" xr:uid="{00000000-0005-0000-0000-00005C2E0000}"/>
    <cellStyle name="20% - Accent4 3 4 5 6" xfId="11578" xr:uid="{00000000-0005-0000-0000-00005D2E0000}"/>
    <cellStyle name="20% - Accent4 3 4 6" xfId="3472" xr:uid="{00000000-0005-0000-0000-00005E2E0000}"/>
    <cellStyle name="20% - Accent4 3 4 6 2" xfId="8334" xr:uid="{00000000-0005-0000-0000-00005F2E0000}"/>
    <cellStyle name="20% - Accent4 3 4 6 2 2" xfId="27785" xr:uid="{00000000-0005-0000-0000-0000602E0000}"/>
    <cellStyle name="20% - Accent4 3 4 6 2 3" xfId="37510" xr:uid="{00000000-0005-0000-0000-0000612E0000}"/>
    <cellStyle name="20% - Accent4 3 4 6 2 4" xfId="47235" xr:uid="{00000000-0005-0000-0000-0000622E0000}"/>
    <cellStyle name="20% - Accent4 3 4 6 2 5" xfId="18060" xr:uid="{00000000-0005-0000-0000-0000632E0000}"/>
    <cellStyle name="20% - Accent4 3 4 6 3" xfId="22923" xr:uid="{00000000-0005-0000-0000-0000642E0000}"/>
    <cellStyle name="20% - Accent4 3 4 6 4" xfId="32648" xr:uid="{00000000-0005-0000-0000-0000652E0000}"/>
    <cellStyle name="20% - Accent4 3 4 6 5" xfId="42373" xr:uid="{00000000-0005-0000-0000-0000662E0000}"/>
    <cellStyle name="20% - Accent4 3 4 6 6" xfId="13198" xr:uid="{00000000-0005-0000-0000-0000672E0000}"/>
    <cellStyle name="20% - Accent4 3 4 7" xfId="5094" xr:uid="{00000000-0005-0000-0000-0000682E0000}"/>
    <cellStyle name="20% - Accent4 3 4 7 2" xfId="24545" xr:uid="{00000000-0005-0000-0000-0000692E0000}"/>
    <cellStyle name="20% - Accent4 3 4 7 3" xfId="34270" xr:uid="{00000000-0005-0000-0000-00006A2E0000}"/>
    <cellStyle name="20% - Accent4 3 4 7 4" xfId="43995" xr:uid="{00000000-0005-0000-0000-00006B2E0000}"/>
    <cellStyle name="20% - Accent4 3 4 7 5" xfId="14820" xr:uid="{00000000-0005-0000-0000-00006C2E0000}"/>
    <cellStyle name="20% - Accent4 3 4 8" xfId="19683" xr:uid="{00000000-0005-0000-0000-00006D2E0000}"/>
    <cellStyle name="20% - Accent4 3 4 9" xfId="29408" xr:uid="{00000000-0005-0000-0000-00006E2E0000}"/>
    <cellStyle name="20% - Accent4 3 5" xfId="843" xr:uid="{00000000-0005-0000-0000-00006F2E0000}"/>
    <cellStyle name="20% - Accent4 3 5 2" xfId="2482" xr:uid="{00000000-0005-0000-0000-0000702E0000}"/>
    <cellStyle name="20% - Accent4 3 5 2 2" xfId="7344" xr:uid="{00000000-0005-0000-0000-0000712E0000}"/>
    <cellStyle name="20% - Accent4 3 5 2 2 2" xfId="26795" xr:uid="{00000000-0005-0000-0000-0000722E0000}"/>
    <cellStyle name="20% - Accent4 3 5 2 2 3" xfId="36520" xr:uid="{00000000-0005-0000-0000-0000732E0000}"/>
    <cellStyle name="20% - Accent4 3 5 2 2 4" xfId="46245" xr:uid="{00000000-0005-0000-0000-0000742E0000}"/>
    <cellStyle name="20% - Accent4 3 5 2 2 5" xfId="17070" xr:uid="{00000000-0005-0000-0000-0000752E0000}"/>
    <cellStyle name="20% - Accent4 3 5 2 3" xfId="21933" xr:uid="{00000000-0005-0000-0000-0000762E0000}"/>
    <cellStyle name="20% - Accent4 3 5 2 4" xfId="31658" xr:uid="{00000000-0005-0000-0000-0000772E0000}"/>
    <cellStyle name="20% - Accent4 3 5 2 5" xfId="41383" xr:uid="{00000000-0005-0000-0000-0000782E0000}"/>
    <cellStyle name="20% - Accent4 3 5 2 6" xfId="12208" xr:uid="{00000000-0005-0000-0000-0000792E0000}"/>
    <cellStyle name="20% - Accent4 3 5 3" xfId="4102" xr:uid="{00000000-0005-0000-0000-00007A2E0000}"/>
    <cellStyle name="20% - Accent4 3 5 3 2" xfId="8964" xr:uid="{00000000-0005-0000-0000-00007B2E0000}"/>
    <cellStyle name="20% - Accent4 3 5 3 2 2" xfId="28415" xr:uid="{00000000-0005-0000-0000-00007C2E0000}"/>
    <cellStyle name="20% - Accent4 3 5 3 2 3" xfId="38140" xr:uid="{00000000-0005-0000-0000-00007D2E0000}"/>
    <cellStyle name="20% - Accent4 3 5 3 2 4" xfId="47865" xr:uid="{00000000-0005-0000-0000-00007E2E0000}"/>
    <cellStyle name="20% - Accent4 3 5 3 2 5" xfId="18690" xr:uid="{00000000-0005-0000-0000-00007F2E0000}"/>
    <cellStyle name="20% - Accent4 3 5 3 3" xfId="23553" xr:uid="{00000000-0005-0000-0000-0000802E0000}"/>
    <cellStyle name="20% - Accent4 3 5 3 4" xfId="33278" xr:uid="{00000000-0005-0000-0000-0000812E0000}"/>
    <cellStyle name="20% - Accent4 3 5 3 5" xfId="43003" xr:uid="{00000000-0005-0000-0000-0000822E0000}"/>
    <cellStyle name="20% - Accent4 3 5 3 6" xfId="13828" xr:uid="{00000000-0005-0000-0000-0000832E0000}"/>
    <cellStyle name="20% - Accent4 3 5 4" xfId="5724" xr:uid="{00000000-0005-0000-0000-0000842E0000}"/>
    <cellStyle name="20% - Accent4 3 5 4 2" xfId="25175" xr:uid="{00000000-0005-0000-0000-0000852E0000}"/>
    <cellStyle name="20% - Accent4 3 5 4 3" xfId="34900" xr:uid="{00000000-0005-0000-0000-0000862E0000}"/>
    <cellStyle name="20% - Accent4 3 5 4 4" xfId="44625" xr:uid="{00000000-0005-0000-0000-0000872E0000}"/>
    <cellStyle name="20% - Accent4 3 5 4 5" xfId="15450" xr:uid="{00000000-0005-0000-0000-0000882E0000}"/>
    <cellStyle name="20% - Accent4 3 5 5" xfId="20313" xr:uid="{00000000-0005-0000-0000-0000892E0000}"/>
    <cellStyle name="20% - Accent4 3 5 6" xfId="30038" xr:uid="{00000000-0005-0000-0000-00008A2E0000}"/>
    <cellStyle name="20% - Accent4 3 5 7" xfId="39763" xr:uid="{00000000-0005-0000-0000-00008B2E0000}"/>
    <cellStyle name="20% - Accent4 3 5 8" xfId="10588" xr:uid="{00000000-0005-0000-0000-00008C2E0000}"/>
    <cellStyle name="20% - Accent4 3 6" xfId="1221" xr:uid="{00000000-0005-0000-0000-00008D2E0000}"/>
    <cellStyle name="20% - Accent4 3 6 2" xfId="2842" xr:uid="{00000000-0005-0000-0000-00008E2E0000}"/>
    <cellStyle name="20% - Accent4 3 6 2 2" xfId="7704" xr:uid="{00000000-0005-0000-0000-00008F2E0000}"/>
    <cellStyle name="20% - Accent4 3 6 2 2 2" xfId="27155" xr:uid="{00000000-0005-0000-0000-0000902E0000}"/>
    <cellStyle name="20% - Accent4 3 6 2 2 3" xfId="36880" xr:uid="{00000000-0005-0000-0000-0000912E0000}"/>
    <cellStyle name="20% - Accent4 3 6 2 2 4" xfId="46605" xr:uid="{00000000-0005-0000-0000-0000922E0000}"/>
    <cellStyle name="20% - Accent4 3 6 2 2 5" xfId="17430" xr:uid="{00000000-0005-0000-0000-0000932E0000}"/>
    <cellStyle name="20% - Accent4 3 6 2 3" xfId="22293" xr:uid="{00000000-0005-0000-0000-0000942E0000}"/>
    <cellStyle name="20% - Accent4 3 6 2 4" xfId="32018" xr:uid="{00000000-0005-0000-0000-0000952E0000}"/>
    <cellStyle name="20% - Accent4 3 6 2 5" xfId="41743" xr:uid="{00000000-0005-0000-0000-0000962E0000}"/>
    <cellStyle name="20% - Accent4 3 6 2 6" xfId="12568" xr:uid="{00000000-0005-0000-0000-0000972E0000}"/>
    <cellStyle name="20% - Accent4 3 6 3" xfId="4462" xr:uid="{00000000-0005-0000-0000-0000982E0000}"/>
    <cellStyle name="20% - Accent4 3 6 3 2" xfId="9324" xr:uid="{00000000-0005-0000-0000-0000992E0000}"/>
    <cellStyle name="20% - Accent4 3 6 3 2 2" xfId="28775" xr:uid="{00000000-0005-0000-0000-00009A2E0000}"/>
    <cellStyle name="20% - Accent4 3 6 3 2 3" xfId="38500" xr:uid="{00000000-0005-0000-0000-00009B2E0000}"/>
    <cellStyle name="20% - Accent4 3 6 3 2 4" xfId="48225" xr:uid="{00000000-0005-0000-0000-00009C2E0000}"/>
    <cellStyle name="20% - Accent4 3 6 3 2 5" xfId="19050" xr:uid="{00000000-0005-0000-0000-00009D2E0000}"/>
    <cellStyle name="20% - Accent4 3 6 3 3" xfId="23913" xr:uid="{00000000-0005-0000-0000-00009E2E0000}"/>
    <cellStyle name="20% - Accent4 3 6 3 4" xfId="33638" xr:uid="{00000000-0005-0000-0000-00009F2E0000}"/>
    <cellStyle name="20% - Accent4 3 6 3 5" xfId="43363" xr:uid="{00000000-0005-0000-0000-0000A02E0000}"/>
    <cellStyle name="20% - Accent4 3 6 3 6" xfId="14188" xr:uid="{00000000-0005-0000-0000-0000A12E0000}"/>
    <cellStyle name="20% - Accent4 3 6 4" xfId="6084" xr:uid="{00000000-0005-0000-0000-0000A22E0000}"/>
    <cellStyle name="20% - Accent4 3 6 4 2" xfId="25535" xr:uid="{00000000-0005-0000-0000-0000A32E0000}"/>
    <cellStyle name="20% - Accent4 3 6 4 3" xfId="35260" xr:uid="{00000000-0005-0000-0000-0000A42E0000}"/>
    <cellStyle name="20% - Accent4 3 6 4 4" xfId="44985" xr:uid="{00000000-0005-0000-0000-0000A52E0000}"/>
    <cellStyle name="20% - Accent4 3 6 4 5" xfId="15810" xr:uid="{00000000-0005-0000-0000-0000A62E0000}"/>
    <cellStyle name="20% - Accent4 3 6 5" xfId="20673" xr:uid="{00000000-0005-0000-0000-0000A72E0000}"/>
    <cellStyle name="20% - Accent4 3 6 6" xfId="30398" xr:uid="{00000000-0005-0000-0000-0000A82E0000}"/>
    <cellStyle name="20% - Accent4 3 6 7" xfId="40123" xr:uid="{00000000-0005-0000-0000-0000A92E0000}"/>
    <cellStyle name="20% - Accent4 3 6 8" xfId="10948" xr:uid="{00000000-0005-0000-0000-0000AA2E0000}"/>
    <cellStyle name="20% - Accent4 3 7" xfId="1311" xr:uid="{00000000-0005-0000-0000-0000AB2E0000}"/>
    <cellStyle name="20% - Accent4 3 7 2" xfId="2932" xr:uid="{00000000-0005-0000-0000-0000AC2E0000}"/>
    <cellStyle name="20% - Accent4 3 7 2 2" xfId="7794" xr:uid="{00000000-0005-0000-0000-0000AD2E0000}"/>
    <cellStyle name="20% - Accent4 3 7 2 2 2" xfId="27245" xr:uid="{00000000-0005-0000-0000-0000AE2E0000}"/>
    <cellStyle name="20% - Accent4 3 7 2 2 3" xfId="36970" xr:uid="{00000000-0005-0000-0000-0000AF2E0000}"/>
    <cellStyle name="20% - Accent4 3 7 2 2 4" xfId="46695" xr:uid="{00000000-0005-0000-0000-0000B02E0000}"/>
    <cellStyle name="20% - Accent4 3 7 2 2 5" xfId="17520" xr:uid="{00000000-0005-0000-0000-0000B12E0000}"/>
    <cellStyle name="20% - Accent4 3 7 2 3" xfId="22383" xr:uid="{00000000-0005-0000-0000-0000B22E0000}"/>
    <cellStyle name="20% - Accent4 3 7 2 4" xfId="32108" xr:uid="{00000000-0005-0000-0000-0000B32E0000}"/>
    <cellStyle name="20% - Accent4 3 7 2 5" xfId="41833" xr:uid="{00000000-0005-0000-0000-0000B42E0000}"/>
    <cellStyle name="20% - Accent4 3 7 2 6" xfId="12658" xr:uid="{00000000-0005-0000-0000-0000B52E0000}"/>
    <cellStyle name="20% - Accent4 3 7 3" xfId="4552" xr:uid="{00000000-0005-0000-0000-0000B62E0000}"/>
    <cellStyle name="20% - Accent4 3 7 3 2" xfId="9414" xr:uid="{00000000-0005-0000-0000-0000B72E0000}"/>
    <cellStyle name="20% - Accent4 3 7 3 2 2" xfId="28865" xr:uid="{00000000-0005-0000-0000-0000B82E0000}"/>
    <cellStyle name="20% - Accent4 3 7 3 2 3" xfId="38590" xr:uid="{00000000-0005-0000-0000-0000B92E0000}"/>
    <cellStyle name="20% - Accent4 3 7 3 2 4" xfId="48315" xr:uid="{00000000-0005-0000-0000-0000BA2E0000}"/>
    <cellStyle name="20% - Accent4 3 7 3 2 5" xfId="19140" xr:uid="{00000000-0005-0000-0000-0000BB2E0000}"/>
    <cellStyle name="20% - Accent4 3 7 3 3" xfId="24003" xr:uid="{00000000-0005-0000-0000-0000BC2E0000}"/>
    <cellStyle name="20% - Accent4 3 7 3 4" xfId="33728" xr:uid="{00000000-0005-0000-0000-0000BD2E0000}"/>
    <cellStyle name="20% - Accent4 3 7 3 5" xfId="43453" xr:uid="{00000000-0005-0000-0000-0000BE2E0000}"/>
    <cellStyle name="20% - Accent4 3 7 3 6" xfId="14278" xr:uid="{00000000-0005-0000-0000-0000BF2E0000}"/>
    <cellStyle name="20% - Accent4 3 7 4" xfId="6174" xr:uid="{00000000-0005-0000-0000-0000C02E0000}"/>
    <cellStyle name="20% - Accent4 3 7 4 2" xfId="25625" xr:uid="{00000000-0005-0000-0000-0000C12E0000}"/>
    <cellStyle name="20% - Accent4 3 7 4 3" xfId="35350" xr:uid="{00000000-0005-0000-0000-0000C22E0000}"/>
    <cellStyle name="20% - Accent4 3 7 4 4" xfId="45075" xr:uid="{00000000-0005-0000-0000-0000C32E0000}"/>
    <cellStyle name="20% - Accent4 3 7 4 5" xfId="15900" xr:uid="{00000000-0005-0000-0000-0000C42E0000}"/>
    <cellStyle name="20% - Accent4 3 7 5" xfId="20763" xr:uid="{00000000-0005-0000-0000-0000C52E0000}"/>
    <cellStyle name="20% - Accent4 3 7 6" xfId="30488" xr:uid="{00000000-0005-0000-0000-0000C62E0000}"/>
    <cellStyle name="20% - Accent4 3 7 7" xfId="40213" xr:uid="{00000000-0005-0000-0000-0000C72E0000}"/>
    <cellStyle name="20% - Accent4 3 7 8" xfId="11038" xr:uid="{00000000-0005-0000-0000-0000C82E0000}"/>
    <cellStyle name="20% - Accent4 3 8" xfId="482" xr:uid="{00000000-0005-0000-0000-0000C92E0000}"/>
    <cellStyle name="20% - Accent4 3 8 2" xfId="2122" xr:uid="{00000000-0005-0000-0000-0000CA2E0000}"/>
    <cellStyle name="20% - Accent4 3 8 2 2" xfId="6984" xr:uid="{00000000-0005-0000-0000-0000CB2E0000}"/>
    <cellStyle name="20% - Accent4 3 8 2 2 2" xfId="26435" xr:uid="{00000000-0005-0000-0000-0000CC2E0000}"/>
    <cellStyle name="20% - Accent4 3 8 2 2 3" xfId="36160" xr:uid="{00000000-0005-0000-0000-0000CD2E0000}"/>
    <cellStyle name="20% - Accent4 3 8 2 2 4" xfId="45885" xr:uid="{00000000-0005-0000-0000-0000CE2E0000}"/>
    <cellStyle name="20% - Accent4 3 8 2 2 5" xfId="16710" xr:uid="{00000000-0005-0000-0000-0000CF2E0000}"/>
    <cellStyle name="20% - Accent4 3 8 2 3" xfId="21573" xr:uid="{00000000-0005-0000-0000-0000D02E0000}"/>
    <cellStyle name="20% - Accent4 3 8 2 4" xfId="31298" xr:uid="{00000000-0005-0000-0000-0000D12E0000}"/>
    <cellStyle name="20% - Accent4 3 8 2 5" xfId="41023" xr:uid="{00000000-0005-0000-0000-0000D22E0000}"/>
    <cellStyle name="20% - Accent4 3 8 2 6" xfId="11848" xr:uid="{00000000-0005-0000-0000-0000D32E0000}"/>
    <cellStyle name="20% - Accent4 3 8 3" xfId="3742" xr:uid="{00000000-0005-0000-0000-0000D42E0000}"/>
    <cellStyle name="20% - Accent4 3 8 3 2" xfId="8604" xr:uid="{00000000-0005-0000-0000-0000D52E0000}"/>
    <cellStyle name="20% - Accent4 3 8 3 2 2" xfId="28055" xr:uid="{00000000-0005-0000-0000-0000D62E0000}"/>
    <cellStyle name="20% - Accent4 3 8 3 2 3" xfId="37780" xr:uid="{00000000-0005-0000-0000-0000D72E0000}"/>
    <cellStyle name="20% - Accent4 3 8 3 2 4" xfId="47505" xr:uid="{00000000-0005-0000-0000-0000D82E0000}"/>
    <cellStyle name="20% - Accent4 3 8 3 2 5" xfId="18330" xr:uid="{00000000-0005-0000-0000-0000D92E0000}"/>
    <cellStyle name="20% - Accent4 3 8 3 3" xfId="23193" xr:uid="{00000000-0005-0000-0000-0000DA2E0000}"/>
    <cellStyle name="20% - Accent4 3 8 3 4" xfId="32918" xr:uid="{00000000-0005-0000-0000-0000DB2E0000}"/>
    <cellStyle name="20% - Accent4 3 8 3 5" xfId="42643" xr:uid="{00000000-0005-0000-0000-0000DC2E0000}"/>
    <cellStyle name="20% - Accent4 3 8 3 6" xfId="13468" xr:uid="{00000000-0005-0000-0000-0000DD2E0000}"/>
    <cellStyle name="20% - Accent4 3 8 4" xfId="5364" xr:uid="{00000000-0005-0000-0000-0000DE2E0000}"/>
    <cellStyle name="20% - Accent4 3 8 4 2" xfId="24815" xr:uid="{00000000-0005-0000-0000-0000DF2E0000}"/>
    <cellStyle name="20% - Accent4 3 8 4 3" xfId="34540" xr:uid="{00000000-0005-0000-0000-0000E02E0000}"/>
    <cellStyle name="20% - Accent4 3 8 4 4" xfId="44265" xr:uid="{00000000-0005-0000-0000-0000E12E0000}"/>
    <cellStyle name="20% - Accent4 3 8 4 5" xfId="15090" xr:uid="{00000000-0005-0000-0000-0000E22E0000}"/>
    <cellStyle name="20% - Accent4 3 8 5" xfId="19953" xr:uid="{00000000-0005-0000-0000-0000E32E0000}"/>
    <cellStyle name="20% - Accent4 3 8 6" xfId="29678" xr:uid="{00000000-0005-0000-0000-0000E42E0000}"/>
    <cellStyle name="20% - Accent4 3 8 7" xfId="39403" xr:uid="{00000000-0005-0000-0000-0000E52E0000}"/>
    <cellStyle name="20% - Accent4 3 8 8" xfId="10228" xr:uid="{00000000-0005-0000-0000-0000E62E0000}"/>
    <cellStyle name="20% - Accent4 3 9" xfId="1671" xr:uid="{00000000-0005-0000-0000-0000E72E0000}"/>
    <cellStyle name="20% - Accent4 3 9 2" xfId="3292" xr:uid="{00000000-0005-0000-0000-0000E82E0000}"/>
    <cellStyle name="20% - Accent4 3 9 2 2" xfId="8154" xr:uid="{00000000-0005-0000-0000-0000E92E0000}"/>
    <cellStyle name="20% - Accent4 3 9 2 2 2" xfId="27605" xr:uid="{00000000-0005-0000-0000-0000EA2E0000}"/>
    <cellStyle name="20% - Accent4 3 9 2 2 3" xfId="37330" xr:uid="{00000000-0005-0000-0000-0000EB2E0000}"/>
    <cellStyle name="20% - Accent4 3 9 2 2 4" xfId="47055" xr:uid="{00000000-0005-0000-0000-0000EC2E0000}"/>
    <cellStyle name="20% - Accent4 3 9 2 2 5" xfId="17880" xr:uid="{00000000-0005-0000-0000-0000ED2E0000}"/>
    <cellStyle name="20% - Accent4 3 9 2 3" xfId="22743" xr:uid="{00000000-0005-0000-0000-0000EE2E0000}"/>
    <cellStyle name="20% - Accent4 3 9 2 4" xfId="32468" xr:uid="{00000000-0005-0000-0000-0000EF2E0000}"/>
    <cellStyle name="20% - Accent4 3 9 2 5" xfId="42193" xr:uid="{00000000-0005-0000-0000-0000F02E0000}"/>
    <cellStyle name="20% - Accent4 3 9 2 6" xfId="13018" xr:uid="{00000000-0005-0000-0000-0000F12E0000}"/>
    <cellStyle name="20% - Accent4 3 9 3" xfId="4912" xr:uid="{00000000-0005-0000-0000-0000F22E0000}"/>
    <cellStyle name="20% - Accent4 3 9 3 2" xfId="9774" xr:uid="{00000000-0005-0000-0000-0000F32E0000}"/>
    <cellStyle name="20% - Accent4 3 9 3 2 2" xfId="29225" xr:uid="{00000000-0005-0000-0000-0000F42E0000}"/>
    <cellStyle name="20% - Accent4 3 9 3 2 3" xfId="38950" xr:uid="{00000000-0005-0000-0000-0000F52E0000}"/>
    <cellStyle name="20% - Accent4 3 9 3 2 4" xfId="48675" xr:uid="{00000000-0005-0000-0000-0000F62E0000}"/>
    <cellStyle name="20% - Accent4 3 9 3 2 5" xfId="19500" xr:uid="{00000000-0005-0000-0000-0000F72E0000}"/>
    <cellStyle name="20% - Accent4 3 9 3 3" xfId="24363" xr:uid="{00000000-0005-0000-0000-0000F82E0000}"/>
    <cellStyle name="20% - Accent4 3 9 3 4" xfId="34088" xr:uid="{00000000-0005-0000-0000-0000F92E0000}"/>
    <cellStyle name="20% - Accent4 3 9 3 5" xfId="43813" xr:uid="{00000000-0005-0000-0000-0000FA2E0000}"/>
    <cellStyle name="20% - Accent4 3 9 3 6" xfId="14638" xr:uid="{00000000-0005-0000-0000-0000FB2E0000}"/>
    <cellStyle name="20% - Accent4 3 9 4" xfId="6534" xr:uid="{00000000-0005-0000-0000-0000FC2E0000}"/>
    <cellStyle name="20% - Accent4 3 9 4 2" xfId="25985" xr:uid="{00000000-0005-0000-0000-0000FD2E0000}"/>
    <cellStyle name="20% - Accent4 3 9 4 3" xfId="35710" xr:uid="{00000000-0005-0000-0000-0000FE2E0000}"/>
    <cellStyle name="20% - Accent4 3 9 4 4" xfId="45435" xr:uid="{00000000-0005-0000-0000-0000FF2E0000}"/>
    <cellStyle name="20% - Accent4 3 9 4 5" xfId="16260" xr:uid="{00000000-0005-0000-0000-0000002F0000}"/>
    <cellStyle name="20% - Accent4 3 9 5" xfId="21123" xr:uid="{00000000-0005-0000-0000-0000012F0000}"/>
    <cellStyle name="20% - Accent4 3 9 6" xfId="30848" xr:uid="{00000000-0005-0000-0000-0000022F0000}"/>
    <cellStyle name="20% - Accent4 3 9 7" xfId="40573" xr:uid="{00000000-0005-0000-0000-0000032F0000}"/>
    <cellStyle name="20% - Accent4 3 9 8" xfId="11398" xr:uid="{00000000-0005-0000-0000-0000042F0000}"/>
    <cellStyle name="20% - Accent4 4" xfId="108" xr:uid="{00000000-0005-0000-0000-0000052F0000}"/>
    <cellStyle name="20% - Accent4 4 10" xfId="1792" xr:uid="{00000000-0005-0000-0000-0000062F0000}"/>
    <cellStyle name="20% - Accent4 4 10 2" xfId="6654" xr:uid="{00000000-0005-0000-0000-0000072F0000}"/>
    <cellStyle name="20% - Accent4 4 10 2 2" xfId="26105" xr:uid="{00000000-0005-0000-0000-0000082F0000}"/>
    <cellStyle name="20% - Accent4 4 10 2 3" xfId="35830" xr:uid="{00000000-0005-0000-0000-0000092F0000}"/>
    <cellStyle name="20% - Accent4 4 10 2 4" xfId="45555" xr:uid="{00000000-0005-0000-0000-00000A2F0000}"/>
    <cellStyle name="20% - Accent4 4 10 2 5" xfId="16380" xr:uid="{00000000-0005-0000-0000-00000B2F0000}"/>
    <cellStyle name="20% - Accent4 4 10 3" xfId="21243" xr:uid="{00000000-0005-0000-0000-00000C2F0000}"/>
    <cellStyle name="20% - Accent4 4 10 4" xfId="30968" xr:uid="{00000000-0005-0000-0000-00000D2F0000}"/>
    <cellStyle name="20% - Accent4 4 10 5" xfId="40693" xr:uid="{00000000-0005-0000-0000-00000E2F0000}"/>
    <cellStyle name="20% - Accent4 4 10 6" xfId="11518" xr:uid="{00000000-0005-0000-0000-00000F2F0000}"/>
    <cellStyle name="20% - Accent4 4 11" xfId="3412" xr:uid="{00000000-0005-0000-0000-0000102F0000}"/>
    <cellStyle name="20% - Accent4 4 11 2" xfId="8274" xr:uid="{00000000-0005-0000-0000-0000112F0000}"/>
    <cellStyle name="20% - Accent4 4 11 2 2" xfId="27725" xr:uid="{00000000-0005-0000-0000-0000122F0000}"/>
    <cellStyle name="20% - Accent4 4 11 2 3" xfId="37450" xr:uid="{00000000-0005-0000-0000-0000132F0000}"/>
    <cellStyle name="20% - Accent4 4 11 2 4" xfId="47175" xr:uid="{00000000-0005-0000-0000-0000142F0000}"/>
    <cellStyle name="20% - Accent4 4 11 2 5" xfId="18000" xr:uid="{00000000-0005-0000-0000-0000152F0000}"/>
    <cellStyle name="20% - Accent4 4 11 3" xfId="22863" xr:uid="{00000000-0005-0000-0000-0000162F0000}"/>
    <cellStyle name="20% - Accent4 4 11 4" xfId="32588" xr:uid="{00000000-0005-0000-0000-0000172F0000}"/>
    <cellStyle name="20% - Accent4 4 11 5" xfId="42313" xr:uid="{00000000-0005-0000-0000-0000182F0000}"/>
    <cellStyle name="20% - Accent4 4 11 6" xfId="13138" xr:uid="{00000000-0005-0000-0000-0000192F0000}"/>
    <cellStyle name="20% - Accent4 4 12" xfId="5034" xr:uid="{00000000-0005-0000-0000-00001A2F0000}"/>
    <cellStyle name="20% - Accent4 4 12 2" xfId="24485" xr:uid="{00000000-0005-0000-0000-00001B2F0000}"/>
    <cellStyle name="20% - Accent4 4 12 3" xfId="34210" xr:uid="{00000000-0005-0000-0000-00001C2F0000}"/>
    <cellStyle name="20% - Accent4 4 12 4" xfId="43935" xr:uid="{00000000-0005-0000-0000-00001D2F0000}"/>
    <cellStyle name="20% - Accent4 4 12 5" xfId="14760" xr:uid="{00000000-0005-0000-0000-00001E2F0000}"/>
    <cellStyle name="20% - Accent4 4 13" xfId="19623" xr:uid="{00000000-0005-0000-0000-00001F2F0000}"/>
    <cellStyle name="20% - Accent4 4 14" xfId="29348" xr:uid="{00000000-0005-0000-0000-0000202F0000}"/>
    <cellStyle name="20% - Accent4 4 15" xfId="39073" xr:uid="{00000000-0005-0000-0000-0000212F0000}"/>
    <cellStyle name="20% - Accent4 4 16" xfId="9898" xr:uid="{00000000-0005-0000-0000-0000222F0000}"/>
    <cellStyle name="20% - Accent4 4 2" xfId="290" xr:uid="{00000000-0005-0000-0000-0000232F0000}"/>
    <cellStyle name="20% - Accent4 4 2 10" xfId="39253" xr:uid="{00000000-0005-0000-0000-0000242F0000}"/>
    <cellStyle name="20% - Accent4 4 2 11" xfId="10078" xr:uid="{00000000-0005-0000-0000-0000252F0000}"/>
    <cellStyle name="20% - Accent4 4 2 2" xfId="1054" xr:uid="{00000000-0005-0000-0000-0000262F0000}"/>
    <cellStyle name="20% - Accent4 4 2 2 2" xfId="2692" xr:uid="{00000000-0005-0000-0000-0000272F0000}"/>
    <cellStyle name="20% - Accent4 4 2 2 2 2" xfId="7554" xr:uid="{00000000-0005-0000-0000-0000282F0000}"/>
    <cellStyle name="20% - Accent4 4 2 2 2 2 2" xfId="27005" xr:uid="{00000000-0005-0000-0000-0000292F0000}"/>
    <cellStyle name="20% - Accent4 4 2 2 2 2 3" xfId="36730" xr:uid="{00000000-0005-0000-0000-00002A2F0000}"/>
    <cellStyle name="20% - Accent4 4 2 2 2 2 4" xfId="46455" xr:uid="{00000000-0005-0000-0000-00002B2F0000}"/>
    <cellStyle name="20% - Accent4 4 2 2 2 2 5" xfId="17280" xr:uid="{00000000-0005-0000-0000-00002C2F0000}"/>
    <cellStyle name="20% - Accent4 4 2 2 2 3" xfId="22143" xr:uid="{00000000-0005-0000-0000-00002D2F0000}"/>
    <cellStyle name="20% - Accent4 4 2 2 2 4" xfId="31868" xr:uid="{00000000-0005-0000-0000-00002E2F0000}"/>
    <cellStyle name="20% - Accent4 4 2 2 2 5" xfId="41593" xr:uid="{00000000-0005-0000-0000-00002F2F0000}"/>
    <cellStyle name="20% - Accent4 4 2 2 2 6" xfId="12418" xr:uid="{00000000-0005-0000-0000-0000302F0000}"/>
    <cellStyle name="20% - Accent4 4 2 2 3" xfId="4312" xr:uid="{00000000-0005-0000-0000-0000312F0000}"/>
    <cellStyle name="20% - Accent4 4 2 2 3 2" xfId="9174" xr:uid="{00000000-0005-0000-0000-0000322F0000}"/>
    <cellStyle name="20% - Accent4 4 2 2 3 2 2" xfId="28625" xr:uid="{00000000-0005-0000-0000-0000332F0000}"/>
    <cellStyle name="20% - Accent4 4 2 2 3 2 3" xfId="38350" xr:uid="{00000000-0005-0000-0000-0000342F0000}"/>
    <cellStyle name="20% - Accent4 4 2 2 3 2 4" xfId="48075" xr:uid="{00000000-0005-0000-0000-0000352F0000}"/>
    <cellStyle name="20% - Accent4 4 2 2 3 2 5" xfId="18900" xr:uid="{00000000-0005-0000-0000-0000362F0000}"/>
    <cellStyle name="20% - Accent4 4 2 2 3 3" xfId="23763" xr:uid="{00000000-0005-0000-0000-0000372F0000}"/>
    <cellStyle name="20% - Accent4 4 2 2 3 4" xfId="33488" xr:uid="{00000000-0005-0000-0000-0000382F0000}"/>
    <cellStyle name="20% - Accent4 4 2 2 3 5" xfId="43213" xr:uid="{00000000-0005-0000-0000-0000392F0000}"/>
    <cellStyle name="20% - Accent4 4 2 2 3 6" xfId="14038" xr:uid="{00000000-0005-0000-0000-00003A2F0000}"/>
    <cellStyle name="20% - Accent4 4 2 2 4" xfId="5934" xr:uid="{00000000-0005-0000-0000-00003B2F0000}"/>
    <cellStyle name="20% - Accent4 4 2 2 4 2" xfId="25385" xr:uid="{00000000-0005-0000-0000-00003C2F0000}"/>
    <cellStyle name="20% - Accent4 4 2 2 4 3" xfId="35110" xr:uid="{00000000-0005-0000-0000-00003D2F0000}"/>
    <cellStyle name="20% - Accent4 4 2 2 4 4" xfId="44835" xr:uid="{00000000-0005-0000-0000-00003E2F0000}"/>
    <cellStyle name="20% - Accent4 4 2 2 4 5" xfId="15660" xr:uid="{00000000-0005-0000-0000-00003F2F0000}"/>
    <cellStyle name="20% - Accent4 4 2 2 5" xfId="20523" xr:uid="{00000000-0005-0000-0000-0000402F0000}"/>
    <cellStyle name="20% - Accent4 4 2 2 6" xfId="30248" xr:uid="{00000000-0005-0000-0000-0000412F0000}"/>
    <cellStyle name="20% - Accent4 4 2 2 7" xfId="39973" xr:uid="{00000000-0005-0000-0000-0000422F0000}"/>
    <cellStyle name="20% - Accent4 4 2 2 8" xfId="10798" xr:uid="{00000000-0005-0000-0000-0000432F0000}"/>
    <cellStyle name="20% - Accent4 4 2 3" xfId="1521" xr:uid="{00000000-0005-0000-0000-0000442F0000}"/>
    <cellStyle name="20% - Accent4 4 2 3 2" xfId="3142" xr:uid="{00000000-0005-0000-0000-0000452F0000}"/>
    <cellStyle name="20% - Accent4 4 2 3 2 2" xfId="8004" xr:uid="{00000000-0005-0000-0000-0000462F0000}"/>
    <cellStyle name="20% - Accent4 4 2 3 2 2 2" xfId="27455" xr:uid="{00000000-0005-0000-0000-0000472F0000}"/>
    <cellStyle name="20% - Accent4 4 2 3 2 2 3" xfId="37180" xr:uid="{00000000-0005-0000-0000-0000482F0000}"/>
    <cellStyle name="20% - Accent4 4 2 3 2 2 4" xfId="46905" xr:uid="{00000000-0005-0000-0000-0000492F0000}"/>
    <cellStyle name="20% - Accent4 4 2 3 2 2 5" xfId="17730" xr:uid="{00000000-0005-0000-0000-00004A2F0000}"/>
    <cellStyle name="20% - Accent4 4 2 3 2 3" xfId="22593" xr:uid="{00000000-0005-0000-0000-00004B2F0000}"/>
    <cellStyle name="20% - Accent4 4 2 3 2 4" xfId="32318" xr:uid="{00000000-0005-0000-0000-00004C2F0000}"/>
    <cellStyle name="20% - Accent4 4 2 3 2 5" xfId="42043" xr:uid="{00000000-0005-0000-0000-00004D2F0000}"/>
    <cellStyle name="20% - Accent4 4 2 3 2 6" xfId="12868" xr:uid="{00000000-0005-0000-0000-00004E2F0000}"/>
    <cellStyle name="20% - Accent4 4 2 3 3" xfId="4762" xr:uid="{00000000-0005-0000-0000-00004F2F0000}"/>
    <cellStyle name="20% - Accent4 4 2 3 3 2" xfId="9624" xr:uid="{00000000-0005-0000-0000-0000502F0000}"/>
    <cellStyle name="20% - Accent4 4 2 3 3 2 2" xfId="29075" xr:uid="{00000000-0005-0000-0000-0000512F0000}"/>
    <cellStyle name="20% - Accent4 4 2 3 3 2 3" xfId="38800" xr:uid="{00000000-0005-0000-0000-0000522F0000}"/>
    <cellStyle name="20% - Accent4 4 2 3 3 2 4" xfId="48525" xr:uid="{00000000-0005-0000-0000-0000532F0000}"/>
    <cellStyle name="20% - Accent4 4 2 3 3 2 5" xfId="19350" xr:uid="{00000000-0005-0000-0000-0000542F0000}"/>
    <cellStyle name="20% - Accent4 4 2 3 3 3" xfId="24213" xr:uid="{00000000-0005-0000-0000-0000552F0000}"/>
    <cellStyle name="20% - Accent4 4 2 3 3 4" xfId="33938" xr:uid="{00000000-0005-0000-0000-0000562F0000}"/>
    <cellStyle name="20% - Accent4 4 2 3 3 5" xfId="43663" xr:uid="{00000000-0005-0000-0000-0000572F0000}"/>
    <cellStyle name="20% - Accent4 4 2 3 3 6" xfId="14488" xr:uid="{00000000-0005-0000-0000-0000582F0000}"/>
    <cellStyle name="20% - Accent4 4 2 3 4" xfId="6384" xr:uid="{00000000-0005-0000-0000-0000592F0000}"/>
    <cellStyle name="20% - Accent4 4 2 3 4 2" xfId="25835" xr:uid="{00000000-0005-0000-0000-00005A2F0000}"/>
    <cellStyle name="20% - Accent4 4 2 3 4 3" xfId="35560" xr:uid="{00000000-0005-0000-0000-00005B2F0000}"/>
    <cellStyle name="20% - Accent4 4 2 3 4 4" xfId="45285" xr:uid="{00000000-0005-0000-0000-00005C2F0000}"/>
    <cellStyle name="20% - Accent4 4 2 3 4 5" xfId="16110" xr:uid="{00000000-0005-0000-0000-00005D2F0000}"/>
    <cellStyle name="20% - Accent4 4 2 3 5" xfId="20973" xr:uid="{00000000-0005-0000-0000-00005E2F0000}"/>
    <cellStyle name="20% - Accent4 4 2 3 6" xfId="30698" xr:uid="{00000000-0005-0000-0000-00005F2F0000}"/>
    <cellStyle name="20% - Accent4 4 2 3 7" xfId="40423" xr:uid="{00000000-0005-0000-0000-0000602F0000}"/>
    <cellStyle name="20% - Accent4 4 2 3 8" xfId="11248" xr:uid="{00000000-0005-0000-0000-0000612F0000}"/>
    <cellStyle name="20% - Accent4 4 2 4" xfId="692" xr:uid="{00000000-0005-0000-0000-0000622F0000}"/>
    <cellStyle name="20% - Accent4 4 2 4 2" xfId="2332" xr:uid="{00000000-0005-0000-0000-0000632F0000}"/>
    <cellStyle name="20% - Accent4 4 2 4 2 2" xfId="7194" xr:uid="{00000000-0005-0000-0000-0000642F0000}"/>
    <cellStyle name="20% - Accent4 4 2 4 2 2 2" xfId="26645" xr:uid="{00000000-0005-0000-0000-0000652F0000}"/>
    <cellStyle name="20% - Accent4 4 2 4 2 2 3" xfId="36370" xr:uid="{00000000-0005-0000-0000-0000662F0000}"/>
    <cellStyle name="20% - Accent4 4 2 4 2 2 4" xfId="46095" xr:uid="{00000000-0005-0000-0000-0000672F0000}"/>
    <cellStyle name="20% - Accent4 4 2 4 2 2 5" xfId="16920" xr:uid="{00000000-0005-0000-0000-0000682F0000}"/>
    <cellStyle name="20% - Accent4 4 2 4 2 3" xfId="21783" xr:uid="{00000000-0005-0000-0000-0000692F0000}"/>
    <cellStyle name="20% - Accent4 4 2 4 2 4" xfId="31508" xr:uid="{00000000-0005-0000-0000-00006A2F0000}"/>
    <cellStyle name="20% - Accent4 4 2 4 2 5" xfId="41233" xr:uid="{00000000-0005-0000-0000-00006B2F0000}"/>
    <cellStyle name="20% - Accent4 4 2 4 2 6" xfId="12058" xr:uid="{00000000-0005-0000-0000-00006C2F0000}"/>
    <cellStyle name="20% - Accent4 4 2 4 3" xfId="3952" xr:uid="{00000000-0005-0000-0000-00006D2F0000}"/>
    <cellStyle name="20% - Accent4 4 2 4 3 2" xfId="8814" xr:uid="{00000000-0005-0000-0000-00006E2F0000}"/>
    <cellStyle name="20% - Accent4 4 2 4 3 2 2" xfId="28265" xr:uid="{00000000-0005-0000-0000-00006F2F0000}"/>
    <cellStyle name="20% - Accent4 4 2 4 3 2 3" xfId="37990" xr:uid="{00000000-0005-0000-0000-0000702F0000}"/>
    <cellStyle name="20% - Accent4 4 2 4 3 2 4" xfId="47715" xr:uid="{00000000-0005-0000-0000-0000712F0000}"/>
    <cellStyle name="20% - Accent4 4 2 4 3 2 5" xfId="18540" xr:uid="{00000000-0005-0000-0000-0000722F0000}"/>
    <cellStyle name="20% - Accent4 4 2 4 3 3" xfId="23403" xr:uid="{00000000-0005-0000-0000-0000732F0000}"/>
    <cellStyle name="20% - Accent4 4 2 4 3 4" xfId="33128" xr:uid="{00000000-0005-0000-0000-0000742F0000}"/>
    <cellStyle name="20% - Accent4 4 2 4 3 5" xfId="42853" xr:uid="{00000000-0005-0000-0000-0000752F0000}"/>
    <cellStyle name="20% - Accent4 4 2 4 3 6" xfId="13678" xr:uid="{00000000-0005-0000-0000-0000762F0000}"/>
    <cellStyle name="20% - Accent4 4 2 4 4" xfId="5574" xr:uid="{00000000-0005-0000-0000-0000772F0000}"/>
    <cellStyle name="20% - Accent4 4 2 4 4 2" xfId="25025" xr:uid="{00000000-0005-0000-0000-0000782F0000}"/>
    <cellStyle name="20% - Accent4 4 2 4 4 3" xfId="34750" xr:uid="{00000000-0005-0000-0000-0000792F0000}"/>
    <cellStyle name="20% - Accent4 4 2 4 4 4" xfId="44475" xr:uid="{00000000-0005-0000-0000-00007A2F0000}"/>
    <cellStyle name="20% - Accent4 4 2 4 4 5" xfId="15300" xr:uid="{00000000-0005-0000-0000-00007B2F0000}"/>
    <cellStyle name="20% - Accent4 4 2 4 5" xfId="20163" xr:uid="{00000000-0005-0000-0000-00007C2F0000}"/>
    <cellStyle name="20% - Accent4 4 2 4 6" xfId="29888" xr:uid="{00000000-0005-0000-0000-00007D2F0000}"/>
    <cellStyle name="20% - Accent4 4 2 4 7" xfId="39613" xr:uid="{00000000-0005-0000-0000-00007E2F0000}"/>
    <cellStyle name="20% - Accent4 4 2 4 8" xfId="10438" xr:uid="{00000000-0005-0000-0000-00007F2F0000}"/>
    <cellStyle name="20% - Accent4 4 2 5" xfId="1972" xr:uid="{00000000-0005-0000-0000-0000802F0000}"/>
    <cellStyle name="20% - Accent4 4 2 5 2" xfId="6834" xr:uid="{00000000-0005-0000-0000-0000812F0000}"/>
    <cellStyle name="20% - Accent4 4 2 5 2 2" xfId="26285" xr:uid="{00000000-0005-0000-0000-0000822F0000}"/>
    <cellStyle name="20% - Accent4 4 2 5 2 3" xfId="36010" xr:uid="{00000000-0005-0000-0000-0000832F0000}"/>
    <cellStyle name="20% - Accent4 4 2 5 2 4" xfId="45735" xr:uid="{00000000-0005-0000-0000-0000842F0000}"/>
    <cellStyle name="20% - Accent4 4 2 5 2 5" xfId="16560" xr:uid="{00000000-0005-0000-0000-0000852F0000}"/>
    <cellStyle name="20% - Accent4 4 2 5 3" xfId="21423" xr:uid="{00000000-0005-0000-0000-0000862F0000}"/>
    <cellStyle name="20% - Accent4 4 2 5 4" xfId="31148" xr:uid="{00000000-0005-0000-0000-0000872F0000}"/>
    <cellStyle name="20% - Accent4 4 2 5 5" xfId="40873" xr:uid="{00000000-0005-0000-0000-0000882F0000}"/>
    <cellStyle name="20% - Accent4 4 2 5 6" xfId="11698" xr:uid="{00000000-0005-0000-0000-0000892F0000}"/>
    <cellStyle name="20% - Accent4 4 2 6" xfId="3592" xr:uid="{00000000-0005-0000-0000-00008A2F0000}"/>
    <cellStyle name="20% - Accent4 4 2 6 2" xfId="8454" xr:uid="{00000000-0005-0000-0000-00008B2F0000}"/>
    <cellStyle name="20% - Accent4 4 2 6 2 2" xfId="27905" xr:uid="{00000000-0005-0000-0000-00008C2F0000}"/>
    <cellStyle name="20% - Accent4 4 2 6 2 3" xfId="37630" xr:uid="{00000000-0005-0000-0000-00008D2F0000}"/>
    <cellStyle name="20% - Accent4 4 2 6 2 4" xfId="47355" xr:uid="{00000000-0005-0000-0000-00008E2F0000}"/>
    <cellStyle name="20% - Accent4 4 2 6 2 5" xfId="18180" xr:uid="{00000000-0005-0000-0000-00008F2F0000}"/>
    <cellStyle name="20% - Accent4 4 2 6 3" xfId="23043" xr:uid="{00000000-0005-0000-0000-0000902F0000}"/>
    <cellStyle name="20% - Accent4 4 2 6 4" xfId="32768" xr:uid="{00000000-0005-0000-0000-0000912F0000}"/>
    <cellStyle name="20% - Accent4 4 2 6 5" xfId="42493" xr:uid="{00000000-0005-0000-0000-0000922F0000}"/>
    <cellStyle name="20% - Accent4 4 2 6 6" xfId="13318" xr:uid="{00000000-0005-0000-0000-0000932F0000}"/>
    <cellStyle name="20% - Accent4 4 2 7" xfId="5214" xr:uid="{00000000-0005-0000-0000-0000942F0000}"/>
    <cellStyle name="20% - Accent4 4 2 7 2" xfId="24665" xr:uid="{00000000-0005-0000-0000-0000952F0000}"/>
    <cellStyle name="20% - Accent4 4 2 7 3" xfId="34390" xr:uid="{00000000-0005-0000-0000-0000962F0000}"/>
    <cellStyle name="20% - Accent4 4 2 7 4" xfId="44115" xr:uid="{00000000-0005-0000-0000-0000972F0000}"/>
    <cellStyle name="20% - Accent4 4 2 7 5" xfId="14940" xr:uid="{00000000-0005-0000-0000-0000982F0000}"/>
    <cellStyle name="20% - Accent4 4 2 8" xfId="19803" xr:uid="{00000000-0005-0000-0000-0000992F0000}"/>
    <cellStyle name="20% - Accent4 4 2 9" xfId="29528" xr:uid="{00000000-0005-0000-0000-00009A2F0000}"/>
    <cellStyle name="20% - Accent4 4 3" xfId="381" xr:uid="{00000000-0005-0000-0000-00009B2F0000}"/>
    <cellStyle name="20% - Accent4 4 3 10" xfId="39343" xr:uid="{00000000-0005-0000-0000-00009C2F0000}"/>
    <cellStyle name="20% - Accent4 4 3 11" xfId="10168" xr:uid="{00000000-0005-0000-0000-00009D2F0000}"/>
    <cellStyle name="20% - Accent4 4 3 2" xfId="1144" xr:uid="{00000000-0005-0000-0000-00009E2F0000}"/>
    <cellStyle name="20% - Accent4 4 3 2 2" xfId="2782" xr:uid="{00000000-0005-0000-0000-00009F2F0000}"/>
    <cellStyle name="20% - Accent4 4 3 2 2 2" xfId="7644" xr:uid="{00000000-0005-0000-0000-0000A02F0000}"/>
    <cellStyle name="20% - Accent4 4 3 2 2 2 2" xfId="27095" xr:uid="{00000000-0005-0000-0000-0000A12F0000}"/>
    <cellStyle name="20% - Accent4 4 3 2 2 2 3" xfId="36820" xr:uid="{00000000-0005-0000-0000-0000A22F0000}"/>
    <cellStyle name="20% - Accent4 4 3 2 2 2 4" xfId="46545" xr:uid="{00000000-0005-0000-0000-0000A32F0000}"/>
    <cellStyle name="20% - Accent4 4 3 2 2 2 5" xfId="17370" xr:uid="{00000000-0005-0000-0000-0000A42F0000}"/>
    <cellStyle name="20% - Accent4 4 3 2 2 3" xfId="22233" xr:uid="{00000000-0005-0000-0000-0000A52F0000}"/>
    <cellStyle name="20% - Accent4 4 3 2 2 4" xfId="31958" xr:uid="{00000000-0005-0000-0000-0000A62F0000}"/>
    <cellStyle name="20% - Accent4 4 3 2 2 5" xfId="41683" xr:uid="{00000000-0005-0000-0000-0000A72F0000}"/>
    <cellStyle name="20% - Accent4 4 3 2 2 6" xfId="12508" xr:uid="{00000000-0005-0000-0000-0000A82F0000}"/>
    <cellStyle name="20% - Accent4 4 3 2 3" xfId="4402" xr:uid="{00000000-0005-0000-0000-0000A92F0000}"/>
    <cellStyle name="20% - Accent4 4 3 2 3 2" xfId="9264" xr:uid="{00000000-0005-0000-0000-0000AA2F0000}"/>
    <cellStyle name="20% - Accent4 4 3 2 3 2 2" xfId="28715" xr:uid="{00000000-0005-0000-0000-0000AB2F0000}"/>
    <cellStyle name="20% - Accent4 4 3 2 3 2 3" xfId="38440" xr:uid="{00000000-0005-0000-0000-0000AC2F0000}"/>
    <cellStyle name="20% - Accent4 4 3 2 3 2 4" xfId="48165" xr:uid="{00000000-0005-0000-0000-0000AD2F0000}"/>
    <cellStyle name="20% - Accent4 4 3 2 3 2 5" xfId="18990" xr:uid="{00000000-0005-0000-0000-0000AE2F0000}"/>
    <cellStyle name="20% - Accent4 4 3 2 3 3" xfId="23853" xr:uid="{00000000-0005-0000-0000-0000AF2F0000}"/>
    <cellStyle name="20% - Accent4 4 3 2 3 4" xfId="33578" xr:uid="{00000000-0005-0000-0000-0000B02F0000}"/>
    <cellStyle name="20% - Accent4 4 3 2 3 5" xfId="43303" xr:uid="{00000000-0005-0000-0000-0000B12F0000}"/>
    <cellStyle name="20% - Accent4 4 3 2 3 6" xfId="14128" xr:uid="{00000000-0005-0000-0000-0000B22F0000}"/>
    <cellStyle name="20% - Accent4 4 3 2 4" xfId="6024" xr:uid="{00000000-0005-0000-0000-0000B32F0000}"/>
    <cellStyle name="20% - Accent4 4 3 2 4 2" xfId="25475" xr:uid="{00000000-0005-0000-0000-0000B42F0000}"/>
    <cellStyle name="20% - Accent4 4 3 2 4 3" xfId="35200" xr:uid="{00000000-0005-0000-0000-0000B52F0000}"/>
    <cellStyle name="20% - Accent4 4 3 2 4 4" xfId="44925" xr:uid="{00000000-0005-0000-0000-0000B62F0000}"/>
    <cellStyle name="20% - Accent4 4 3 2 4 5" xfId="15750" xr:uid="{00000000-0005-0000-0000-0000B72F0000}"/>
    <cellStyle name="20% - Accent4 4 3 2 5" xfId="20613" xr:uid="{00000000-0005-0000-0000-0000B82F0000}"/>
    <cellStyle name="20% - Accent4 4 3 2 6" xfId="30338" xr:uid="{00000000-0005-0000-0000-0000B92F0000}"/>
    <cellStyle name="20% - Accent4 4 3 2 7" xfId="40063" xr:uid="{00000000-0005-0000-0000-0000BA2F0000}"/>
    <cellStyle name="20% - Accent4 4 3 2 8" xfId="10888" xr:uid="{00000000-0005-0000-0000-0000BB2F0000}"/>
    <cellStyle name="20% - Accent4 4 3 3" xfId="1611" xr:uid="{00000000-0005-0000-0000-0000BC2F0000}"/>
    <cellStyle name="20% - Accent4 4 3 3 2" xfId="3232" xr:uid="{00000000-0005-0000-0000-0000BD2F0000}"/>
    <cellStyle name="20% - Accent4 4 3 3 2 2" xfId="8094" xr:uid="{00000000-0005-0000-0000-0000BE2F0000}"/>
    <cellStyle name="20% - Accent4 4 3 3 2 2 2" xfId="27545" xr:uid="{00000000-0005-0000-0000-0000BF2F0000}"/>
    <cellStyle name="20% - Accent4 4 3 3 2 2 3" xfId="37270" xr:uid="{00000000-0005-0000-0000-0000C02F0000}"/>
    <cellStyle name="20% - Accent4 4 3 3 2 2 4" xfId="46995" xr:uid="{00000000-0005-0000-0000-0000C12F0000}"/>
    <cellStyle name="20% - Accent4 4 3 3 2 2 5" xfId="17820" xr:uid="{00000000-0005-0000-0000-0000C22F0000}"/>
    <cellStyle name="20% - Accent4 4 3 3 2 3" xfId="22683" xr:uid="{00000000-0005-0000-0000-0000C32F0000}"/>
    <cellStyle name="20% - Accent4 4 3 3 2 4" xfId="32408" xr:uid="{00000000-0005-0000-0000-0000C42F0000}"/>
    <cellStyle name="20% - Accent4 4 3 3 2 5" xfId="42133" xr:uid="{00000000-0005-0000-0000-0000C52F0000}"/>
    <cellStyle name="20% - Accent4 4 3 3 2 6" xfId="12958" xr:uid="{00000000-0005-0000-0000-0000C62F0000}"/>
    <cellStyle name="20% - Accent4 4 3 3 3" xfId="4852" xr:uid="{00000000-0005-0000-0000-0000C72F0000}"/>
    <cellStyle name="20% - Accent4 4 3 3 3 2" xfId="9714" xr:uid="{00000000-0005-0000-0000-0000C82F0000}"/>
    <cellStyle name="20% - Accent4 4 3 3 3 2 2" xfId="29165" xr:uid="{00000000-0005-0000-0000-0000C92F0000}"/>
    <cellStyle name="20% - Accent4 4 3 3 3 2 3" xfId="38890" xr:uid="{00000000-0005-0000-0000-0000CA2F0000}"/>
    <cellStyle name="20% - Accent4 4 3 3 3 2 4" xfId="48615" xr:uid="{00000000-0005-0000-0000-0000CB2F0000}"/>
    <cellStyle name="20% - Accent4 4 3 3 3 2 5" xfId="19440" xr:uid="{00000000-0005-0000-0000-0000CC2F0000}"/>
    <cellStyle name="20% - Accent4 4 3 3 3 3" xfId="24303" xr:uid="{00000000-0005-0000-0000-0000CD2F0000}"/>
    <cellStyle name="20% - Accent4 4 3 3 3 4" xfId="34028" xr:uid="{00000000-0005-0000-0000-0000CE2F0000}"/>
    <cellStyle name="20% - Accent4 4 3 3 3 5" xfId="43753" xr:uid="{00000000-0005-0000-0000-0000CF2F0000}"/>
    <cellStyle name="20% - Accent4 4 3 3 3 6" xfId="14578" xr:uid="{00000000-0005-0000-0000-0000D02F0000}"/>
    <cellStyle name="20% - Accent4 4 3 3 4" xfId="6474" xr:uid="{00000000-0005-0000-0000-0000D12F0000}"/>
    <cellStyle name="20% - Accent4 4 3 3 4 2" xfId="25925" xr:uid="{00000000-0005-0000-0000-0000D22F0000}"/>
    <cellStyle name="20% - Accent4 4 3 3 4 3" xfId="35650" xr:uid="{00000000-0005-0000-0000-0000D32F0000}"/>
    <cellStyle name="20% - Accent4 4 3 3 4 4" xfId="45375" xr:uid="{00000000-0005-0000-0000-0000D42F0000}"/>
    <cellStyle name="20% - Accent4 4 3 3 4 5" xfId="16200" xr:uid="{00000000-0005-0000-0000-0000D52F0000}"/>
    <cellStyle name="20% - Accent4 4 3 3 5" xfId="21063" xr:uid="{00000000-0005-0000-0000-0000D62F0000}"/>
    <cellStyle name="20% - Accent4 4 3 3 6" xfId="30788" xr:uid="{00000000-0005-0000-0000-0000D72F0000}"/>
    <cellStyle name="20% - Accent4 4 3 3 7" xfId="40513" xr:uid="{00000000-0005-0000-0000-0000D82F0000}"/>
    <cellStyle name="20% - Accent4 4 3 3 8" xfId="11338" xr:uid="{00000000-0005-0000-0000-0000D92F0000}"/>
    <cellStyle name="20% - Accent4 4 3 4" xfId="782" xr:uid="{00000000-0005-0000-0000-0000DA2F0000}"/>
    <cellStyle name="20% - Accent4 4 3 4 2" xfId="2422" xr:uid="{00000000-0005-0000-0000-0000DB2F0000}"/>
    <cellStyle name="20% - Accent4 4 3 4 2 2" xfId="7284" xr:uid="{00000000-0005-0000-0000-0000DC2F0000}"/>
    <cellStyle name="20% - Accent4 4 3 4 2 2 2" xfId="26735" xr:uid="{00000000-0005-0000-0000-0000DD2F0000}"/>
    <cellStyle name="20% - Accent4 4 3 4 2 2 3" xfId="36460" xr:uid="{00000000-0005-0000-0000-0000DE2F0000}"/>
    <cellStyle name="20% - Accent4 4 3 4 2 2 4" xfId="46185" xr:uid="{00000000-0005-0000-0000-0000DF2F0000}"/>
    <cellStyle name="20% - Accent4 4 3 4 2 2 5" xfId="17010" xr:uid="{00000000-0005-0000-0000-0000E02F0000}"/>
    <cellStyle name="20% - Accent4 4 3 4 2 3" xfId="21873" xr:uid="{00000000-0005-0000-0000-0000E12F0000}"/>
    <cellStyle name="20% - Accent4 4 3 4 2 4" xfId="31598" xr:uid="{00000000-0005-0000-0000-0000E22F0000}"/>
    <cellStyle name="20% - Accent4 4 3 4 2 5" xfId="41323" xr:uid="{00000000-0005-0000-0000-0000E32F0000}"/>
    <cellStyle name="20% - Accent4 4 3 4 2 6" xfId="12148" xr:uid="{00000000-0005-0000-0000-0000E42F0000}"/>
    <cellStyle name="20% - Accent4 4 3 4 3" xfId="4042" xr:uid="{00000000-0005-0000-0000-0000E52F0000}"/>
    <cellStyle name="20% - Accent4 4 3 4 3 2" xfId="8904" xr:uid="{00000000-0005-0000-0000-0000E62F0000}"/>
    <cellStyle name="20% - Accent4 4 3 4 3 2 2" xfId="28355" xr:uid="{00000000-0005-0000-0000-0000E72F0000}"/>
    <cellStyle name="20% - Accent4 4 3 4 3 2 3" xfId="38080" xr:uid="{00000000-0005-0000-0000-0000E82F0000}"/>
    <cellStyle name="20% - Accent4 4 3 4 3 2 4" xfId="47805" xr:uid="{00000000-0005-0000-0000-0000E92F0000}"/>
    <cellStyle name="20% - Accent4 4 3 4 3 2 5" xfId="18630" xr:uid="{00000000-0005-0000-0000-0000EA2F0000}"/>
    <cellStyle name="20% - Accent4 4 3 4 3 3" xfId="23493" xr:uid="{00000000-0005-0000-0000-0000EB2F0000}"/>
    <cellStyle name="20% - Accent4 4 3 4 3 4" xfId="33218" xr:uid="{00000000-0005-0000-0000-0000EC2F0000}"/>
    <cellStyle name="20% - Accent4 4 3 4 3 5" xfId="42943" xr:uid="{00000000-0005-0000-0000-0000ED2F0000}"/>
    <cellStyle name="20% - Accent4 4 3 4 3 6" xfId="13768" xr:uid="{00000000-0005-0000-0000-0000EE2F0000}"/>
    <cellStyle name="20% - Accent4 4 3 4 4" xfId="5664" xr:uid="{00000000-0005-0000-0000-0000EF2F0000}"/>
    <cellStyle name="20% - Accent4 4 3 4 4 2" xfId="25115" xr:uid="{00000000-0005-0000-0000-0000F02F0000}"/>
    <cellStyle name="20% - Accent4 4 3 4 4 3" xfId="34840" xr:uid="{00000000-0005-0000-0000-0000F12F0000}"/>
    <cellStyle name="20% - Accent4 4 3 4 4 4" xfId="44565" xr:uid="{00000000-0005-0000-0000-0000F22F0000}"/>
    <cellStyle name="20% - Accent4 4 3 4 4 5" xfId="15390" xr:uid="{00000000-0005-0000-0000-0000F32F0000}"/>
    <cellStyle name="20% - Accent4 4 3 4 5" xfId="20253" xr:uid="{00000000-0005-0000-0000-0000F42F0000}"/>
    <cellStyle name="20% - Accent4 4 3 4 6" xfId="29978" xr:uid="{00000000-0005-0000-0000-0000F52F0000}"/>
    <cellStyle name="20% - Accent4 4 3 4 7" xfId="39703" xr:uid="{00000000-0005-0000-0000-0000F62F0000}"/>
    <cellStyle name="20% - Accent4 4 3 4 8" xfId="10528" xr:uid="{00000000-0005-0000-0000-0000F72F0000}"/>
    <cellStyle name="20% - Accent4 4 3 5" xfId="2062" xr:uid="{00000000-0005-0000-0000-0000F82F0000}"/>
    <cellStyle name="20% - Accent4 4 3 5 2" xfId="6924" xr:uid="{00000000-0005-0000-0000-0000F92F0000}"/>
    <cellStyle name="20% - Accent4 4 3 5 2 2" xfId="26375" xr:uid="{00000000-0005-0000-0000-0000FA2F0000}"/>
    <cellStyle name="20% - Accent4 4 3 5 2 3" xfId="36100" xr:uid="{00000000-0005-0000-0000-0000FB2F0000}"/>
    <cellStyle name="20% - Accent4 4 3 5 2 4" xfId="45825" xr:uid="{00000000-0005-0000-0000-0000FC2F0000}"/>
    <cellStyle name="20% - Accent4 4 3 5 2 5" xfId="16650" xr:uid="{00000000-0005-0000-0000-0000FD2F0000}"/>
    <cellStyle name="20% - Accent4 4 3 5 3" xfId="21513" xr:uid="{00000000-0005-0000-0000-0000FE2F0000}"/>
    <cellStyle name="20% - Accent4 4 3 5 4" xfId="31238" xr:uid="{00000000-0005-0000-0000-0000FF2F0000}"/>
    <cellStyle name="20% - Accent4 4 3 5 5" xfId="40963" xr:uid="{00000000-0005-0000-0000-000000300000}"/>
    <cellStyle name="20% - Accent4 4 3 5 6" xfId="11788" xr:uid="{00000000-0005-0000-0000-000001300000}"/>
    <cellStyle name="20% - Accent4 4 3 6" xfId="3682" xr:uid="{00000000-0005-0000-0000-000002300000}"/>
    <cellStyle name="20% - Accent4 4 3 6 2" xfId="8544" xr:uid="{00000000-0005-0000-0000-000003300000}"/>
    <cellStyle name="20% - Accent4 4 3 6 2 2" xfId="27995" xr:uid="{00000000-0005-0000-0000-000004300000}"/>
    <cellStyle name="20% - Accent4 4 3 6 2 3" xfId="37720" xr:uid="{00000000-0005-0000-0000-000005300000}"/>
    <cellStyle name="20% - Accent4 4 3 6 2 4" xfId="47445" xr:uid="{00000000-0005-0000-0000-000006300000}"/>
    <cellStyle name="20% - Accent4 4 3 6 2 5" xfId="18270" xr:uid="{00000000-0005-0000-0000-000007300000}"/>
    <cellStyle name="20% - Accent4 4 3 6 3" xfId="23133" xr:uid="{00000000-0005-0000-0000-000008300000}"/>
    <cellStyle name="20% - Accent4 4 3 6 4" xfId="32858" xr:uid="{00000000-0005-0000-0000-000009300000}"/>
    <cellStyle name="20% - Accent4 4 3 6 5" xfId="42583" xr:uid="{00000000-0005-0000-0000-00000A300000}"/>
    <cellStyle name="20% - Accent4 4 3 6 6" xfId="13408" xr:uid="{00000000-0005-0000-0000-00000B300000}"/>
    <cellStyle name="20% - Accent4 4 3 7" xfId="5304" xr:uid="{00000000-0005-0000-0000-00000C300000}"/>
    <cellStyle name="20% - Accent4 4 3 7 2" xfId="24755" xr:uid="{00000000-0005-0000-0000-00000D300000}"/>
    <cellStyle name="20% - Accent4 4 3 7 3" xfId="34480" xr:uid="{00000000-0005-0000-0000-00000E300000}"/>
    <cellStyle name="20% - Accent4 4 3 7 4" xfId="44205" xr:uid="{00000000-0005-0000-0000-00000F300000}"/>
    <cellStyle name="20% - Accent4 4 3 7 5" xfId="15030" xr:uid="{00000000-0005-0000-0000-000010300000}"/>
    <cellStyle name="20% - Accent4 4 3 8" xfId="19893" xr:uid="{00000000-0005-0000-0000-000011300000}"/>
    <cellStyle name="20% - Accent4 4 3 9" xfId="29618" xr:uid="{00000000-0005-0000-0000-000012300000}"/>
    <cellStyle name="20% - Accent4 4 4" xfId="199" xr:uid="{00000000-0005-0000-0000-000013300000}"/>
    <cellStyle name="20% - Accent4 4 4 10" xfId="39163" xr:uid="{00000000-0005-0000-0000-000014300000}"/>
    <cellStyle name="20% - Accent4 4 4 11" xfId="9988" xr:uid="{00000000-0005-0000-0000-000015300000}"/>
    <cellStyle name="20% - Accent4 4 4 2" xfId="963" xr:uid="{00000000-0005-0000-0000-000016300000}"/>
    <cellStyle name="20% - Accent4 4 4 2 2" xfId="2602" xr:uid="{00000000-0005-0000-0000-000017300000}"/>
    <cellStyle name="20% - Accent4 4 4 2 2 2" xfId="7464" xr:uid="{00000000-0005-0000-0000-000018300000}"/>
    <cellStyle name="20% - Accent4 4 4 2 2 2 2" xfId="26915" xr:uid="{00000000-0005-0000-0000-000019300000}"/>
    <cellStyle name="20% - Accent4 4 4 2 2 2 3" xfId="36640" xr:uid="{00000000-0005-0000-0000-00001A300000}"/>
    <cellStyle name="20% - Accent4 4 4 2 2 2 4" xfId="46365" xr:uid="{00000000-0005-0000-0000-00001B300000}"/>
    <cellStyle name="20% - Accent4 4 4 2 2 2 5" xfId="17190" xr:uid="{00000000-0005-0000-0000-00001C300000}"/>
    <cellStyle name="20% - Accent4 4 4 2 2 3" xfId="22053" xr:uid="{00000000-0005-0000-0000-00001D300000}"/>
    <cellStyle name="20% - Accent4 4 4 2 2 4" xfId="31778" xr:uid="{00000000-0005-0000-0000-00001E300000}"/>
    <cellStyle name="20% - Accent4 4 4 2 2 5" xfId="41503" xr:uid="{00000000-0005-0000-0000-00001F300000}"/>
    <cellStyle name="20% - Accent4 4 4 2 2 6" xfId="12328" xr:uid="{00000000-0005-0000-0000-000020300000}"/>
    <cellStyle name="20% - Accent4 4 4 2 3" xfId="4222" xr:uid="{00000000-0005-0000-0000-000021300000}"/>
    <cellStyle name="20% - Accent4 4 4 2 3 2" xfId="9084" xr:uid="{00000000-0005-0000-0000-000022300000}"/>
    <cellStyle name="20% - Accent4 4 4 2 3 2 2" xfId="28535" xr:uid="{00000000-0005-0000-0000-000023300000}"/>
    <cellStyle name="20% - Accent4 4 4 2 3 2 3" xfId="38260" xr:uid="{00000000-0005-0000-0000-000024300000}"/>
    <cellStyle name="20% - Accent4 4 4 2 3 2 4" xfId="47985" xr:uid="{00000000-0005-0000-0000-000025300000}"/>
    <cellStyle name="20% - Accent4 4 4 2 3 2 5" xfId="18810" xr:uid="{00000000-0005-0000-0000-000026300000}"/>
    <cellStyle name="20% - Accent4 4 4 2 3 3" xfId="23673" xr:uid="{00000000-0005-0000-0000-000027300000}"/>
    <cellStyle name="20% - Accent4 4 4 2 3 4" xfId="33398" xr:uid="{00000000-0005-0000-0000-000028300000}"/>
    <cellStyle name="20% - Accent4 4 4 2 3 5" xfId="43123" xr:uid="{00000000-0005-0000-0000-000029300000}"/>
    <cellStyle name="20% - Accent4 4 4 2 3 6" xfId="13948" xr:uid="{00000000-0005-0000-0000-00002A300000}"/>
    <cellStyle name="20% - Accent4 4 4 2 4" xfId="5844" xr:uid="{00000000-0005-0000-0000-00002B300000}"/>
    <cellStyle name="20% - Accent4 4 4 2 4 2" xfId="25295" xr:uid="{00000000-0005-0000-0000-00002C300000}"/>
    <cellStyle name="20% - Accent4 4 4 2 4 3" xfId="35020" xr:uid="{00000000-0005-0000-0000-00002D300000}"/>
    <cellStyle name="20% - Accent4 4 4 2 4 4" xfId="44745" xr:uid="{00000000-0005-0000-0000-00002E300000}"/>
    <cellStyle name="20% - Accent4 4 4 2 4 5" xfId="15570" xr:uid="{00000000-0005-0000-0000-00002F300000}"/>
    <cellStyle name="20% - Accent4 4 4 2 5" xfId="20433" xr:uid="{00000000-0005-0000-0000-000030300000}"/>
    <cellStyle name="20% - Accent4 4 4 2 6" xfId="30158" xr:uid="{00000000-0005-0000-0000-000031300000}"/>
    <cellStyle name="20% - Accent4 4 4 2 7" xfId="39883" xr:uid="{00000000-0005-0000-0000-000032300000}"/>
    <cellStyle name="20% - Accent4 4 4 2 8" xfId="10708" xr:uid="{00000000-0005-0000-0000-000033300000}"/>
    <cellStyle name="20% - Accent4 4 4 3" xfId="1431" xr:uid="{00000000-0005-0000-0000-000034300000}"/>
    <cellStyle name="20% - Accent4 4 4 3 2" xfId="3052" xr:uid="{00000000-0005-0000-0000-000035300000}"/>
    <cellStyle name="20% - Accent4 4 4 3 2 2" xfId="7914" xr:uid="{00000000-0005-0000-0000-000036300000}"/>
    <cellStyle name="20% - Accent4 4 4 3 2 2 2" xfId="27365" xr:uid="{00000000-0005-0000-0000-000037300000}"/>
    <cellStyle name="20% - Accent4 4 4 3 2 2 3" xfId="37090" xr:uid="{00000000-0005-0000-0000-000038300000}"/>
    <cellStyle name="20% - Accent4 4 4 3 2 2 4" xfId="46815" xr:uid="{00000000-0005-0000-0000-000039300000}"/>
    <cellStyle name="20% - Accent4 4 4 3 2 2 5" xfId="17640" xr:uid="{00000000-0005-0000-0000-00003A300000}"/>
    <cellStyle name="20% - Accent4 4 4 3 2 3" xfId="22503" xr:uid="{00000000-0005-0000-0000-00003B300000}"/>
    <cellStyle name="20% - Accent4 4 4 3 2 4" xfId="32228" xr:uid="{00000000-0005-0000-0000-00003C300000}"/>
    <cellStyle name="20% - Accent4 4 4 3 2 5" xfId="41953" xr:uid="{00000000-0005-0000-0000-00003D300000}"/>
    <cellStyle name="20% - Accent4 4 4 3 2 6" xfId="12778" xr:uid="{00000000-0005-0000-0000-00003E300000}"/>
    <cellStyle name="20% - Accent4 4 4 3 3" xfId="4672" xr:uid="{00000000-0005-0000-0000-00003F300000}"/>
    <cellStyle name="20% - Accent4 4 4 3 3 2" xfId="9534" xr:uid="{00000000-0005-0000-0000-000040300000}"/>
    <cellStyle name="20% - Accent4 4 4 3 3 2 2" xfId="28985" xr:uid="{00000000-0005-0000-0000-000041300000}"/>
    <cellStyle name="20% - Accent4 4 4 3 3 2 3" xfId="38710" xr:uid="{00000000-0005-0000-0000-000042300000}"/>
    <cellStyle name="20% - Accent4 4 4 3 3 2 4" xfId="48435" xr:uid="{00000000-0005-0000-0000-000043300000}"/>
    <cellStyle name="20% - Accent4 4 4 3 3 2 5" xfId="19260" xr:uid="{00000000-0005-0000-0000-000044300000}"/>
    <cellStyle name="20% - Accent4 4 4 3 3 3" xfId="24123" xr:uid="{00000000-0005-0000-0000-000045300000}"/>
    <cellStyle name="20% - Accent4 4 4 3 3 4" xfId="33848" xr:uid="{00000000-0005-0000-0000-000046300000}"/>
    <cellStyle name="20% - Accent4 4 4 3 3 5" xfId="43573" xr:uid="{00000000-0005-0000-0000-000047300000}"/>
    <cellStyle name="20% - Accent4 4 4 3 3 6" xfId="14398" xr:uid="{00000000-0005-0000-0000-000048300000}"/>
    <cellStyle name="20% - Accent4 4 4 3 4" xfId="6294" xr:uid="{00000000-0005-0000-0000-000049300000}"/>
    <cellStyle name="20% - Accent4 4 4 3 4 2" xfId="25745" xr:uid="{00000000-0005-0000-0000-00004A300000}"/>
    <cellStyle name="20% - Accent4 4 4 3 4 3" xfId="35470" xr:uid="{00000000-0005-0000-0000-00004B300000}"/>
    <cellStyle name="20% - Accent4 4 4 3 4 4" xfId="45195" xr:uid="{00000000-0005-0000-0000-00004C300000}"/>
    <cellStyle name="20% - Accent4 4 4 3 4 5" xfId="16020" xr:uid="{00000000-0005-0000-0000-00004D300000}"/>
    <cellStyle name="20% - Accent4 4 4 3 5" xfId="20883" xr:uid="{00000000-0005-0000-0000-00004E300000}"/>
    <cellStyle name="20% - Accent4 4 4 3 6" xfId="30608" xr:uid="{00000000-0005-0000-0000-00004F300000}"/>
    <cellStyle name="20% - Accent4 4 4 3 7" xfId="40333" xr:uid="{00000000-0005-0000-0000-000050300000}"/>
    <cellStyle name="20% - Accent4 4 4 3 8" xfId="11158" xr:uid="{00000000-0005-0000-0000-000051300000}"/>
    <cellStyle name="20% - Accent4 4 4 4" xfId="602" xr:uid="{00000000-0005-0000-0000-000052300000}"/>
    <cellStyle name="20% - Accent4 4 4 4 2" xfId="2242" xr:uid="{00000000-0005-0000-0000-000053300000}"/>
    <cellStyle name="20% - Accent4 4 4 4 2 2" xfId="7104" xr:uid="{00000000-0005-0000-0000-000054300000}"/>
    <cellStyle name="20% - Accent4 4 4 4 2 2 2" xfId="26555" xr:uid="{00000000-0005-0000-0000-000055300000}"/>
    <cellStyle name="20% - Accent4 4 4 4 2 2 3" xfId="36280" xr:uid="{00000000-0005-0000-0000-000056300000}"/>
    <cellStyle name="20% - Accent4 4 4 4 2 2 4" xfId="46005" xr:uid="{00000000-0005-0000-0000-000057300000}"/>
    <cellStyle name="20% - Accent4 4 4 4 2 2 5" xfId="16830" xr:uid="{00000000-0005-0000-0000-000058300000}"/>
    <cellStyle name="20% - Accent4 4 4 4 2 3" xfId="21693" xr:uid="{00000000-0005-0000-0000-000059300000}"/>
    <cellStyle name="20% - Accent4 4 4 4 2 4" xfId="31418" xr:uid="{00000000-0005-0000-0000-00005A300000}"/>
    <cellStyle name="20% - Accent4 4 4 4 2 5" xfId="41143" xr:uid="{00000000-0005-0000-0000-00005B300000}"/>
    <cellStyle name="20% - Accent4 4 4 4 2 6" xfId="11968" xr:uid="{00000000-0005-0000-0000-00005C300000}"/>
    <cellStyle name="20% - Accent4 4 4 4 3" xfId="3862" xr:uid="{00000000-0005-0000-0000-00005D300000}"/>
    <cellStyle name="20% - Accent4 4 4 4 3 2" xfId="8724" xr:uid="{00000000-0005-0000-0000-00005E300000}"/>
    <cellStyle name="20% - Accent4 4 4 4 3 2 2" xfId="28175" xr:uid="{00000000-0005-0000-0000-00005F300000}"/>
    <cellStyle name="20% - Accent4 4 4 4 3 2 3" xfId="37900" xr:uid="{00000000-0005-0000-0000-000060300000}"/>
    <cellStyle name="20% - Accent4 4 4 4 3 2 4" xfId="47625" xr:uid="{00000000-0005-0000-0000-000061300000}"/>
    <cellStyle name="20% - Accent4 4 4 4 3 2 5" xfId="18450" xr:uid="{00000000-0005-0000-0000-000062300000}"/>
    <cellStyle name="20% - Accent4 4 4 4 3 3" xfId="23313" xr:uid="{00000000-0005-0000-0000-000063300000}"/>
    <cellStyle name="20% - Accent4 4 4 4 3 4" xfId="33038" xr:uid="{00000000-0005-0000-0000-000064300000}"/>
    <cellStyle name="20% - Accent4 4 4 4 3 5" xfId="42763" xr:uid="{00000000-0005-0000-0000-000065300000}"/>
    <cellStyle name="20% - Accent4 4 4 4 3 6" xfId="13588" xr:uid="{00000000-0005-0000-0000-000066300000}"/>
    <cellStyle name="20% - Accent4 4 4 4 4" xfId="5484" xr:uid="{00000000-0005-0000-0000-000067300000}"/>
    <cellStyle name="20% - Accent4 4 4 4 4 2" xfId="24935" xr:uid="{00000000-0005-0000-0000-000068300000}"/>
    <cellStyle name="20% - Accent4 4 4 4 4 3" xfId="34660" xr:uid="{00000000-0005-0000-0000-000069300000}"/>
    <cellStyle name="20% - Accent4 4 4 4 4 4" xfId="44385" xr:uid="{00000000-0005-0000-0000-00006A300000}"/>
    <cellStyle name="20% - Accent4 4 4 4 4 5" xfId="15210" xr:uid="{00000000-0005-0000-0000-00006B300000}"/>
    <cellStyle name="20% - Accent4 4 4 4 5" xfId="20073" xr:uid="{00000000-0005-0000-0000-00006C300000}"/>
    <cellStyle name="20% - Accent4 4 4 4 6" xfId="29798" xr:uid="{00000000-0005-0000-0000-00006D300000}"/>
    <cellStyle name="20% - Accent4 4 4 4 7" xfId="39523" xr:uid="{00000000-0005-0000-0000-00006E300000}"/>
    <cellStyle name="20% - Accent4 4 4 4 8" xfId="10348" xr:uid="{00000000-0005-0000-0000-00006F300000}"/>
    <cellStyle name="20% - Accent4 4 4 5" xfId="1882" xr:uid="{00000000-0005-0000-0000-000070300000}"/>
    <cellStyle name="20% - Accent4 4 4 5 2" xfId="6744" xr:uid="{00000000-0005-0000-0000-000071300000}"/>
    <cellStyle name="20% - Accent4 4 4 5 2 2" xfId="26195" xr:uid="{00000000-0005-0000-0000-000072300000}"/>
    <cellStyle name="20% - Accent4 4 4 5 2 3" xfId="35920" xr:uid="{00000000-0005-0000-0000-000073300000}"/>
    <cellStyle name="20% - Accent4 4 4 5 2 4" xfId="45645" xr:uid="{00000000-0005-0000-0000-000074300000}"/>
    <cellStyle name="20% - Accent4 4 4 5 2 5" xfId="16470" xr:uid="{00000000-0005-0000-0000-000075300000}"/>
    <cellStyle name="20% - Accent4 4 4 5 3" xfId="21333" xr:uid="{00000000-0005-0000-0000-000076300000}"/>
    <cellStyle name="20% - Accent4 4 4 5 4" xfId="31058" xr:uid="{00000000-0005-0000-0000-000077300000}"/>
    <cellStyle name="20% - Accent4 4 4 5 5" xfId="40783" xr:uid="{00000000-0005-0000-0000-000078300000}"/>
    <cellStyle name="20% - Accent4 4 4 5 6" xfId="11608" xr:uid="{00000000-0005-0000-0000-000079300000}"/>
    <cellStyle name="20% - Accent4 4 4 6" xfId="3502" xr:uid="{00000000-0005-0000-0000-00007A300000}"/>
    <cellStyle name="20% - Accent4 4 4 6 2" xfId="8364" xr:uid="{00000000-0005-0000-0000-00007B300000}"/>
    <cellStyle name="20% - Accent4 4 4 6 2 2" xfId="27815" xr:uid="{00000000-0005-0000-0000-00007C300000}"/>
    <cellStyle name="20% - Accent4 4 4 6 2 3" xfId="37540" xr:uid="{00000000-0005-0000-0000-00007D300000}"/>
    <cellStyle name="20% - Accent4 4 4 6 2 4" xfId="47265" xr:uid="{00000000-0005-0000-0000-00007E300000}"/>
    <cellStyle name="20% - Accent4 4 4 6 2 5" xfId="18090" xr:uid="{00000000-0005-0000-0000-00007F300000}"/>
    <cellStyle name="20% - Accent4 4 4 6 3" xfId="22953" xr:uid="{00000000-0005-0000-0000-000080300000}"/>
    <cellStyle name="20% - Accent4 4 4 6 4" xfId="32678" xr:uid="{00000000-0005-0000-0000-000081300000}"/>
    <cellStyle name="20% - Accent4 4 4 6 5" xfId="42403" xr:uid="{00000000-0005-0000-0000-000082300000}"/>
    <cellStyle name="20% - Accent4 4 4 6 6" xfId="13228" xr:uid="{00000000-0005-0000-0000-000083300000}"/>
    <cellStyle name="20% - Accent4 4 4 7" xfId="5124" xr:uid="{00000000-0005-0000-0000-000084300000}"/>
    <cellStyle name="20% - Accent4 4 4 7 2" xfId="24575" xr:uid="{00000000-0005-0000-0000-000085300000}"/>
    <cellStyle name="20% - Accent4 4 4 7 3" xfId="34300" xr:uid="{00000000-0005-0000-0000-000086300000}"/>
    <cellStyle name="20% - Accent4 4 4 7 4" xfId="44025" xr:uid="{00000000-0005-0000-0000-000087300000}"/>
    <cellStyle name="20% - Accent4 4 4 7 5" xfId="14850" xr:uid="{00000000-0005-0000-0000-000088300000}"/>
    <cellStyle name="20% - Accent4 4 4 8" xfId="19713" xr:uid="{00000000-0005-0000-0000-000089300000}"/>
    <cellStyle name="20% - Accent4 4 4 9" xfId="29438" xr:uid="{00000000-0005-0000-0000-00008A300000}"/>
    <cellStyle name="20% - Accent4 4 5" xfId="873" xr:uid="{00000000-0005-0000-0000-00008B300000}"/>
    <cellStyle name="20% - Accent4 4 5 2" xfId="2512" xr:uid="{00000000-0005-0000-0000-00008C300000}"/>
    <cellStyle name="20% - Accent4 4 5 2 2" xfId="7374" xr:uid="{00000000-0005-0000-0000-00008D300000}"/>
    <cellStyle name="20% - Accent4 4 5 2 2 2" xfId="26825" xr:uid="{00000000-0005-0000-0000-00008E300000}"/>
    <cellStyle name="20% - Accent4 4 5 2 2 3" xfId="36550" xr:uid="{00000000-0005-0000-0000-00008F300000}"/>
    <cellStyle name="20% - Accent4 4 5 2 2 4" xfId="46275" xr:uid="{00000000-0005-0000-0000-000090300000}"/>
    <cellStyle name="20% - Accent4 4 5 2 2 5" xfId="17100" xr:uid="{00000000-0005-0000-0000-000091300000}"/>
    <cellStyle name="20% - Accent4 4 5 2 3" xfId="21963" xr:uid="{00000000-0005-0000-0000-000092300000}"/>
    <cellStyle name="20% - Accent4 4 5 2 4" xfId="31688" xr:uid="{00000000-0005-0000-0000-000093300000}"/>
    <cellStyle name="20% - Accent4 4 5 2 5" xfId="41413" xr:uid="{00000000-0005-0000-0000-000094300000}"/>
    <cellStyle name="20% - Accent4 4 5 2 6" xfId="12238" xr:uid="{00000000-0005-0000-0000-000095300000}"/>
    <cellStyle name="20% - Accent4 4 5 3" xfId="4132" xr:uid="{00000000-0005-0000-0000-000096300000}"/>
    <cellStyle name="20% - Accent4 4 5 3 2" xfId="8994" xr:uid="{00000000-0005-0000-0000-000097300000}"/>
    <cellStyle name="20% - Accent4 4 5 3 2 2" xfId="28445" xr:uid="{00000000-0005-0000-0000-000098300000}"/>
    <cellStyle name="20% - Accent4 4 5 3 2 3" xfId="38170" xr:uid="{00000000-0005-0000-0000-000099300000}"/>
    <cellStyle name="20% - Accent4 4 5 3 2 4" xfId="47895" xr:uid="{00000000-0005-0000-0000-00009A300000}"/>
    <cellStyle name="20% - Accent4 4 5 3 2 5" xfId="18720" xr:uid="{00000000-0005-0000-0000-00009B300000}"/>
    <cellStyle name="20% - Accent4 4 5 3 3" xfId="23583" xr:uid="{00000000-0005-0000-0000-00009C300000}"/>
    <cellStyle name="20% - Accent4 4 5 3 4" xfId="33308" xr:uid="{00000000-0005-0000-0000-00009D300000}"/>
    <cellStyle name="20% - Accent4 4 5 3 5" xfId="43033" xr:uid="{00000000-0005-0000-0000-00009E300000}"/>
    <cellStyle name="20% - Accent4 4 5 3 6" xfId="13858" xr:uid="{00000000-0005-0000-0000-00009F300000}"/>
    <cellStyle name="20% - Accent4 4 5 4" xfId="5754" xr:uid="{00000000-0005-0000-0000-0000A0300000}"/>
    <cellStyle name="20% - Accent4 4 5 4 2" xfId="25205" xr:uid="{00000000-0005-0000-0000-0000A1300000}"/>
    <cellStyle name="20% - Accent4 4 5 4 3" xfId="34930" xr:uid="{00000000-0005-0000-0000-0000A2300000}"/>
    <cellStyle name="20% - Accent4 4 5 4 4" xfId="44655" xr:uid="{00000000-0005-0000-0000-0000A3300000}"/>
    <cellStyle name="20% - Accent4 4 5 4 5" xfId="15480" xr:uid="{00000000-0005-0000-0000-0000A4300000}"/>
    <cellStyle name="20% - Accent4 4 5 5" xfId="20343" xr:uid="{00000000-0005-0000-0000-0000A5300000}"/>
    <cellStyle name="20% - Accent4 4 5 6" xfId="30068" xr:uid="{00000000-0005-0000-0000-0000A6300000}"/>
    <cellStyle name="20% - Accent4 4 5 7" xfId="39793" xr:uid="{00000000-0005-0000-0000-0000A7300000}"/>
    <cellStyle name="20% - Accent4 4 5 8" xfId="10618" xr:uid="{00000000-0005-0000-0000-0000A8300000}"/>
    <cellStyle name="20% - Accent4 4 6" xfId="1251" xr:uid="{00000000-0005-0000-0000-0000A9300000}"/>
    <cellStyle name="20% - Accent4 4 6 2" xfId="2872" xr:uid="{00000000-0005-0000-0000-0000AA300000}"/>
    <cellStyle name="20% - Accent4 4 6 2 2" xfId="7734" xr:uid="{00000000-0005-0000-0000-0000AB300000}"/>
    <cellStyle name="20% - Accent4 4 6 2 2 2" xfId="27185" xr:uid="{00000000-0005-0000-0000-0000AC300000}"/>
    <cellStyle name="20% - Accent4 4 6 2 2 3" xfId="36910" xr:uid="{00000000-0005-0000-0000-0000AD300000}"/>
    <cellStyle name="20% - Accent4 4 6 2 2 4" xfId="46635" xr:uid="{00000000-0005-0000-0000-0000AE300000}"/>
    <cellStyle name="20% - Accent4 4 6 2 2 5" xfId="17460" xr:uid="{00000000-0005-0000-0000-0000AF300000}"/>
    <cellStyle name="20% - Accent4 4 6 2 3" xfId="22323" xr:uid="{00000000-0005-0000-0000-0000B0300000}"/>
    <cellStyle name="20% - Accent4 4 6 2 4" xfId="32048" xr:uid="{00000000-0005-0000-0000-0000B1300000}"/>
    <cellStyle name="20% - Accent4 4 6 2 5" xfId="41773" xr:uid="{00000000-0005-0000-0000-0000B2300000}"/>
    <cellStyle name="20% - Accent4 4 6 2 6" xfId="12598" xr:uid="{00000000-0005-0000-0000-0000B3300000}"/>
    <cellStyle name="20% - Accent4 4 6 3" xfId="4492" xr:uid="{00000000-0005-0000-0000-0000B4300000}"/>
    <cellStyle name="20% - Accent4 4 6 3 2" xfId="9354" xr:uid="{00000000-0005-0000-0000-0000B5300000}"/>
    <cellStyle name="20% - Accent4 4 6 3 2 2" xfId="28805" xr:uid="{00000000-0005-0000-0000-0000B6300000}"/>
    <cellStyle name="20% - Accent4 4 6 3 2 3" xfId="38530" xr:uid="{00000000-0005-0000-0000-0000B7300000}"/>
    <cellStyle name="20% - Accent4 4 6 3 2 4" xfId="48255" xr:uid="{00000000-0005-0000-0000-0000B8300000}"/>
    <cellStyle name="20% - Accent4 4 6 3 2 5" xfId="19080" xr:uid="{00000000-0005-0000-0000-0000B9300000}"/>
    <cellStyle name="20% - Accent4 4 6 3 3" xfId="23943" xr:uid="{00000000-0005-0000-0000-0000BA300000}"/>
    <cellStyle name="20% - Accent4 4 6 3 4" xfId="33668" xr:uid="{00000000-0005-0000-0000-0000BB300000}"/>
    <cellStyle name="20% - Accent4 4 6 3 5" xfId="43393" xr:uid="{00000000-0005-0000-0000-0000BC300000}"/>
    <cellStyle name="20% - Accent4 4 6 3 6" xfId="14218" xr:uid="{00000000-0005-0000-0000-0000BD300000}"/>
    <cellStyle name="20% - Accent4 4 6 4" xfId="6114" xr:uid="{00000000-0005-0000-0000-0000BE300000}"/>
    <cellStyle name="20% - Accent4 4 6 4 2" xfId="25565" xr:uid="{00000000-0005-0000-0000-0000BF300000}"/>
    <cellStyle name="20% - Accent4 4 6 4 3" xfId="35290" xr:uid="{00000000-0005-0000-0000-0000C0300000}"/>
    <cellStyle name="20% - Accent4 4 6 4 4" xfId="45015" xr:uid="{00000000-0005-0000-0000-0000C1300000}"/>
    <cellStyle name="20% - Accent4 4 6 4 5" xfId="15840" xr:uid="{00000000-0005-0000-0000-0000C2300000}"/>
    <cellStyle name="20% - Accent4 4 6 5" xfId="20703" xr:uid="{00000000-0005-0000-0000-0000C3300000}"/>
    <cellStyle name="20% - Accent4 4 6 6" xfId="30428" xr:uid="{00000000-0005-0000-0000-0000C4300000}"/>
    <cellStyle name="20% - Accent4 4 6 7" xfId="40153" xr:uid="{00000000-0005-0000-0000-0000C5300000}"/>
    <cellStyle name="20% - Accent4 4 6 8" xfId="10978" xr:uid="{00000000-0005-0000-0000-0000C6300000}"/>
    <cellStyle name="20% - Accent4 4 7" xfId="1341" xr:uid="{00000000-0005-0000-0000-0000C7300000}"/>
    <cellStyle name="20% - Accent4 4 7 2" xfId="2962" xr:uid="{00000000-0005-0000-0000-0000C8300000}"/>
    <cellStyle name="20% - Accent4 4 7 2 2" xfId="7824" xr:uid="{00000000-0005-0000-0000-0000C9300000}"/>
    <cellStyle name="20% - Accent4 4 7 2 2 2" xfId="27275" xr:uid="{00000000-0005-0000-0000-0000CA300000}"/>
    <cellStyle name="20% - Accent4 4 7 2 2 3" xfId="37000" xr:uid="{00000000-0005-0000-0000-0000CB300000}"/>
    <cellStyle name="20% - Accent4 4 7 2 2 4" xfId="46725" xr:uid="{00000000-0005-0000-0000-0000CC300000}"/>
    <cellStyle name="20% - Accent4 4 7 2 2 5" xfId="17550" xr:uid="{00000000-0005-0000-0000-0000CD300000}"/>
    <cellStyle name="20% - Accent4 4 7 2 3" xfId="22413" xr:uid="{00000000-0005-0000-0000-0000CE300000}"/>
    <cellStyle name="20% - Accent4 4 7 2 4" xfId="32138" xr:uid="{00000000-0005-0000-0000-0000CF300000}"/>
    <cellStyle name="20% - Accent4 4 7 2 5" xfId="41863" xr:uid="{00000000-0005-0000-0000-0000D0300000}"/>
    <cellStyle name="20% - Accent4 4 7 2 6" xfId="12688" xr:uid="{00000000-0005-0000-0000-0000D1300000}"/>
    <cellStyle name="20% - Accent4 4 7 3" xfId="4582" xr:uid="{00000000-0005-0000-0000-0000D2300000}"/>
    <cellStyle name="20% - Accent4 4 7 3 2" xfId="9444" xr:uid="{00000000-0005-0000-0000-0000D3300000}"/>
    <cellStyle name="20% - Accent4 4 7 3 2 2" xfId="28895" xr:uid="{00000000-0005-0000-0000-0000D4300000}"/>
    <cellStyle name="20% - Accent4 4 7 3 2 3" xfId="38620" xr:uid="{00000000-0005-0000-0000-0000D5300000}"/>
    <cellStyle name="20% - Accent4 4 7 3 2 4" xfId="48345" xr:uid="{00000000-0005-0000-0000-0000D6300000}"/>
    <cellStyle name="20% - Accent4 4 7 3 2 5" xfId="19170" xr:uid="{00000000-0005-0000-0000-0000D7300000}"/>
    <cellStyle name="20% - Accent4 4 7 3 3" xfId="24033" xr:uid="{00000000-0005-0000-0000-0000D8300000}"/>
    <cellStyle name="20% - Accent4 4 7 3 4" xfId="33758" xr:uid="{00000000-0005-0000-0000-0000D9300000}"/>
    <cellStyle name="20% - Accent4 4 7 3 5" xfId="43483" xr:uid="{00000000-0005-0000-0000-0000DA300000}"/>
    <cellStyle name="20% - Accent4 4 7 3 6" xfId="14308" xr:uid="{00000000-0005-0000-0000-0000DB300000}"/>
    <cellStyle name="20% - Accent4 4 7 4" xfId="6204" xr:uid="{00000000-0005-0000-0000-0000DC300000}"/>
    <cellStyle name="20% - Accent4 4 7 4 2" xfId="25655" xr:uid="{00000000-0005-0000-0000-0000DD300000}"/>
    <cellStyle name="20% - Accent4 4 7 4 3" xfId="35380" xr:uid="{00000000-0005-0000-0000-0000DE300000}"/>
    <cellStyle name="20% - Accent4 4 7 4 4" xfId="45105" xr:uid="{00000000-0005-0000-0000-0000DF300000}"/>
    <cellStyle name="20% - Accent4 4 7 4 5" xfId="15930" xr:uid="{00000000-0005-0000-0000-0000E0300000}"/>
    <cellStyle name="20% - Accent4 4 7 5" xfId="20793" xr:uid="{00000000-0005-0000-0000-0000E1300000}"/>
    <cellStyle name="20% - Accent4 4 7 6" xfId="30518" xr:uid="{00000000-0005-0000-0000-0000E2300000}"/>
    <cellStyle name="20% - Accent4 4 7 7" xfId="40243" xr:uid="{00000000-0005-0000-0000-0000E3300000}"/>
    <cellStyle name="20% - Accent4 4 7 8" xfId="11068" xr:uid="{00000000-0005-0000-0000-0000E4300000}"/>
    <cellStyle name="20% - Accent4 4 8" xfId="512" xr:uid="{00000000-0005-0000-0000-0000E5300000}"/>
    <cellStyle name="20% - Accent4 4 8 2" xfId="2152" xr:uid="{00000000-0005-0000-0000-0000E6300000}"/>
    <cellStyle name="20% - Accent4 4 8 2 2" xfId="7014" xr:uid="{00000000-0005-0000-0000-0000E7300000}"/>
    <cellStyle name="20% - Accent4 4 8 2 2 2" xfId="26465" xr:uid="{00000000-0005-0000-0000-0000E8300000}"/>
    <cellStyle name="20% - Accent4 4 8 2 2 3" xfId="36190" xr:uid="{00000000-0005-0000-0000-0000E9300000}"/>
    <cellStyle name="20% - Accent4 4 8 2 2 4" xfId="45915" xr:uid="{00000000-0005-0000-0000-0000EA300000}"/>
    <cellStyle name="20% - Accent4 4 8 2 2 5" xfId="16740" xr:uid="{00000000-0005-0000-0000-0000EB300000}"/>
    <cellStyle name="20% - Accent4 4 8 2 3" xfId="21603" xr:uid="{00000000-0005-0000-0000-0000EC300000}"/>
    <cellStyle name="20% - Accent4 4 8 2 4" xfId="31328" xr:uid="{00000000-0005-0000-0000-0000ED300000}"/>
    <cellStyle name="20% - Accent4 4 8 2 5" xfId="41053" xr:uid="{00000000-0005-0000-0000-0000EE300000}"/>
    <cellStyle name="20% - Accent4 4 8 2 6" xfId="11878" xr:uid="{00000000-0005-0000-0000-0000EF300000}"/>
    <cellStyle name="20% - Accent4 4 8 3" xfId="3772" xr:uid="{00000000-0005-0000-0000-0000F0300000}"/>
    <cellStyle name="20% - Accent4 4 8 3 2" xfId="8634" xr:uid="{00000000-0005-0000-0000-0000F1300000}"/>
    <cellStyle name="20% - Accent4 4 8 3 2 2" xfId="28085" xr:uid="{00000000-0005-0000-0000-0000F2300000}"/>
    <cellStyle name="20% - Accent4 4 8 3 2 3" xfId="37810" xr:uid="{00000000-0005-0000-0000-0000F3300000}"/>
    <cellStyle name="20% - Accent4 4 8 3 2 4" xfId="47535" xr:uid="{00000000-0005-0000-0000-0000F4300000}"/>
    <cellStyle name="20% - Accent4 4 8 3 2 5" xfId="18360" xr:uid="{00000000-0005-0000-0000-0000F5300000}"/>
    <cellStyle name="20% - Accent4 4 8 3 3" xfId="23223" xr:uid="{00000000-0005-0000-0000-0000F6300000}"/>
    <cellStyle name="20% - Accent4 4 8 3 4" xfId="32948" xr:uid="{00000000-0005-0000-0000-0000F7300000}"/>
    <cellStyle name="20% - Accent4 4 8 3 5" xfId="42673" xr:uid="{00000000-0005-0000-0000-0000F8300000}"/>
    <cellStyle name="20% - Accent4 4 8 3 6" xfId="13498" xr:uid="{00000000-0005-0000-0000-0000F9300000}"/>
    <cellStyle name="20% - Accent4 4 8 4" xfId="5394" xr:uid="{00000000-0005-0000-0000-0000FA300000}"/>
    <cellStyle name="20% - Accent4 4 8 4 2" xfId="24845" xr:uid="{00000000-0005-0000-0000-0000FB300000}"/>
    <cellStyle name="20% - Accent4 4 8 4 3" xfId="34570" xr:uid="{00000000-0005-0000-0000-0000FC300000}"/>
    <cellStyle name="20% - Accent4 4 8 4 4" xfId="44295" xr:uid="{00000000-0005-0000-0000-0000FD300000}"/>
    <cellStyle name="20% - Accent4 4 8 4 5" xfId="15120" xr:uid="{00000000-0005-0000-0000-0000FE300000}"/>
    <cellStyle name="20% - Accent4 4 8 5" xfId="19983" xr:uid="{00000000-0005-0000-0000-0000FF300000}"/>
    <cellStyle name="20% - Accent4 4 8 6" xfId="29708" xr:uid="{00000000-0005-0000-0000-000000310000}"/>
    <cellStyle name="20% - Accent4 4 8 7" xfId="39433" xr:uid="{00000000-0005-0000-0000-000001310000}"/>
    <cellStyle name="20% - Accent4 4 8 8" xfId="10258" xr:uid="{00000000-0005-0000-0000-000002310000}"/>
    <cellStyle name="20% - Accent4 4 9" xfId="1701" xr:uid="{00000000-0005-0000-0000-000003310000}"/>
    <cellStyle name="20% - Accent4 4 9 2" xfId="3322" xr:uid="{00000000-0005-0000-0000-000004310000}"/>
    <cellStyle name="20% - Accent4 4 9 2 2" xfId="8184" xr:uid="{00000000-0005-0000-0000-000005310000}"/>
    <cellStyle name="20% - Accent4 4 9 2 2 2" xfId="27635" xr:uid="{00000000-0005-0000-0000-000006310000}"/>
    <cellStyle name="20% - Accent4 4 9 2 2 3" xfId="37360" xr:uid="{00000000-0005-0000-0000-000007310000}"/>
    <cellStyle name="20% - Accent4 4 9 2 2 4" xfId="47085" xr:uid="{00000000-0005-0000-0000-000008310000}"/>
    <cellStyle name="20% - Accent4 4 9 2 2 5" xfId="17910" xr:uid="{00000000-0005-0000-0000-000009310000}"/>
    <cellStyle name="20% - Accent4 4 9 2 3" xfId="22773" xr:uid="{00000000-0005-0000-0000-00000A310000}"/>
    <cellStyle name="20% - Accent4 4 9 2 4" xfId="32498" xr:uid="{00000000-0005-0000-0000-00000B310000}"/>
    <cellStyle name="20% - Accent4 4 9 2 5" xfId="42223" xr:uid="{00000000-0005-0000-0000-00000C310000}"/>
    <cellStyle name="20% - Accent4 4 9 2 6" xfId="13048" xr:uid="{00000000-0005-0000-0000-00000D310000}"/>
    <cellStyle name="20% - Accent4 4 9 3" xfId="4942" xr:uid="{00000000-0005-0000-0000-00000E310000}"/>
    <cellStyle name="20% - Accent4 4 9 3 2" xfId="9804" xr:uid="{00000000-0005-0000-0000-00000F310000}"/>
    <cellStyle name="20% - Accent4 4 9 3 2 2" xfId="29255" xr:uid="{00000000-0005-0000-0000-000010310000}"/>
    <cellStyle name="20% - Accent4 4 9 3 2 3" xfId="38980" xr:uid="{00000000-0005-0000-0000-000011310000}"/>
    <cellStyle name="20% - Accent4 4 9 3 2 4" xfId="48705" xr:uid="{00000000-0005-0000-0000-000012310000}"/>
    <cellStyle name="20% - Accent4 4 9 3 2 5" xfId="19530" xr:uid="{00000000-0005-0000-0000-000013310000}"/>
    <cellStyle name="20% - Accent4 4 9 3 3" xfId="24393" xr:uid="{00000000-0005-0000-0000-000014310000}"/>
    <cellStyle name="20% - Accent4 4 9 3 4" xfId="34118" xr:uid="{00000000-0005-0000-0000-000015310000}"/>
    <cellStyle name="20% - Accent4 4 9 3 5" xfId="43843" xr:uid="{00000000-0005-0000-0000-000016310000}"/>
    <cellStyle name="20% - Accent4 4 9 3 6" xfId="14668" xr:uid="{00000000-0005-0000-0000-000017310000}"/>
    <cellStyle name="20% - Accent4 4 9 4" xfId="6564" xr:uid="{00000000-0005-0000-0000-000018310000}"/>
    <cellStyle name="20% - Accent4 4 9 4 2" xfId="26015" xr:uid="{00000000-0005-0000-0000-000019310000}"/>
    <cellStyle name="20% - Accent4 4 9 4 3" xfId="35740" xr:uid="{00000000-0005-0000-0000-00001A310000}"/>
    <cellStyle name="20% - Accent4 4 9 4 4" xfId="45465" xr:uid="{00000000-0005-0000-0000-00001B310000}"/>
    <cellStyle name="20% - Accent4 4 9 4 5" xfId="16290" xr:uid="{00000000-0005-0000-0000-00001C310000}"/>
    <cellStyle name="20% - Accent4 4 9 5" xfId="21153" xr:uid="{00000000-0005-0000-0000-00001D310000}"/>
    <cellStyle name="20% - Accent4 4 9 6" xfId="30878" xr:uid="{00000000-0005-0000-0000-00001E310000}"/>
    <cellStyle name="20% - Accent4 4 9 7" xfId="40603" xr:uid="{00000000-0005-0000-0000-00001F310000}"/>
    <cellStyle name="20% - Accent4 4 9 8" xfId="11428" xr:uid="{00000000-0005-0000-0000-000020310000}"/>
    <cellStyle name="20% - Accent4 5" xfId="230" xr:uid="{00000000-0005-0000-0000-000021310000}"/>
    <cellStyle name="20% - Accent4 5 10" xfId="39193" xr:uid="{00000000-0005-0000-0000-000022310000}"/>
    <cellStyle name="20% - Accent4 5 11" xfId="10018" xr:uid="{00000000-0005-0000-0000-000023310000}"/>
    <cellStyle name="20% - Accent4 5 2" xfId="994" xr:uid="{00000000-0005-0000-0000-000024310000}"/>
    <cellStyle name="20% - Accent4 5 2 2" xfId="2632" xr:uid="{00000000-0005-0000-0000-000025310000}"/>
    <cellStyle name="20% - Accent4 5 2 2 2" xfId="7494" xr:uid="{00000000-0005-0000-0000-000026310000}"/>
    <cellStyle name="20% - Accent4 5 2 2 2 2" xfId="26945" xr:uid="{00000000-0005-0000-0000-000027310000}"/>
    <cellStyle name="20% - Accent4 5 2 2 2 3" xfId="36670" xr:uid="{00000000-0005-0000-0000-000028310000}"/>
    <cellStyle name="20% - Accent4 5 2 2 2 4" xfId="46395" xr:uid="{00000000-0005-0000-0000-000029310000}"/>
    <cellStyle name="20% - Accent4 5 2 2 2 5" xfId="17220" xr:uid="{00000000-0005-0000-0000-00002A310000}"/>
    <cellStyle name="20% - Accent4 5 2 2 3" xfId="22083" xr:uid="{00000000-0005-0000-0000-00002B310000}"/>
    <cellStyle name="20% - Accent4 5 2 2 4" xfId="31808" xr:uid="{00000000-0005-0000-0000-00002C310000}"/>
    <cellStyle name="20% - Accent4 5 2 2 5" xfId="41533" xr:uid="{00000000-0005-0000-0000-00002D310000}"/>
    <cellStyle name="20% - Accent4 5 2 2 6" xfId="12358" xr:uid="{00000000-0005-0000-0000-00002E310000}"/>
    <cellStyle name="20% - Accent4 5 2 3" xfId="4252" xr:uid="{00000000-0005-0000-0000-00002F310000}"/>
    <cellStyle name="20% - Accent4 5 2 3 2" xfId="9114" xr:uid="{00000000-0005-0000-0000-000030310000}"/>
    <cellStyle name="20% - Accent4 5 2 3 2 2" xfId="28565" xr:uid="{00000000-0005-0000-0000-000031310000}"/>
    <cellStyle name="20% - Accent4 5 2 3 2 3" xfId="38290" xr:uid="{00000000-0005-0000-0000-000032310000}"/>
    <cellStyle name="20% - Accent4 5 2 3 2 4" xfId="48015" xr:uid="{00000000-0005-0000-0000-000033310000}"/>
    <cellStyle name="20% - Accent4 5 2 3 2 5" xfId="18840" xr:uid="{00000000-0005-0000-0000-000034310000}"/>
    <cellStyle name="20% - Accent4 5 2 3 3" xfId="23703" xr:uid="{00000000-0005-0000-0000-000035310000}"/>
    <cellStyle name="20% - Accent4 5 2 3 4" xfId="33428" xr:uid="{00000000-0005-0000-0000-000036310000}"/>
    <cellStyle name="20% - Accent4 5 2 3 5" xfId="43153" xr:uid="{00000000-0005-0000-0000-000037310000}"/>
    <cellStyle name="20% - Accent4 5 2 3 6" xfId="13978" xr:uid="{00000000-0005-0000-0000-000038310000}"/>
    <cellStyle name="20% - Accent4 5 2 4" xfId="5874" xr:uid="{00000000-0005-0000-0000-000039310000}"/>
    <cellStyle name="20% - Accent4 5 2 4 2" xfId="25325" xr:uid="{00000000-0005-0000-0000-00003A310000}"/>
    <cellStyle name="20% - Accent4 5 2 4 3" xfId="35050" xr:uid="{00000000-0005-0000-0000-00003B310000}"/>
    <cellStyle name="20% - Accent4 5 2 4 4" xfId="44775" xr:uid="{00000000-0005-0000-0000-00003C310000}"/>
    <cellStyle name="20% - Accent4 5 2 4 5" xfId="15600" xr:uid="{00000000-0005-0000-0000-00003D310000}"/>
    <cellStyle name="20% - Accent4 5 2 5" xfId="20463" xr:uid="{00000000-0005-0000-0000-00003E310000}"/>
    <cellStyle name="20% - Accent4 5 2 6" xfId="30188" xr:uid="{00000000-0005-0000-0000-00003F310000}"/>
    <cellStyle name="20% - Accent4 5 2 7" xfId="39913" xr:uid="{00000000-0005-0000-0000-000040310000}"/>
    <cellStyle name="20% - Accent4 5 2 8" xfId="10738" xr:uid="{00000000-0005-0000-0000-000041310000}"/>
    <cellStyle name="20% - Accent4 5 3" xfId="1461" xr:uid="{00000000-0005-0000-0000-000042310000}"/>
    <cellStyle name="20% - Accent4 5 3 2" xfId="3082" xr:uid="{00000000-0005-0000-0000-000043310000}"/>
    <cellStyle name="20% - Accent4 5 3 2 2" xfId="7944" xr:uid="{00000000-0005-0000-0000-000044310000}"/>
    <cellStyle name="20% - Accent4 5 3 2 2 2" xfId="27395" xr:uid="{00000000-0005-0000-0000-000045310000}"/>
    <cellStyle name="20% - Accent4 5 3 2 2 3" xfId="37120" xr:uid="{00000000-0005-0000-0000-000046310000}"/>
    <cellStyle name="20% - Accent4 5 3 2 2 4" xfId="46845" xr:uid="{00000000-0005-0000-0000-000047310000}"/>
    <cellStyle name="20% - Accent4 5 3 2 2 5" xfId="17670" xr:uid="{00000000-0005-0000-0000-000048310000}"/>
    <cellStyle name="20% - Accent4 5 3 2 3" xfId="22533" xr:uid="{00000000-0005-0000-0000-000049310000}"/>
    <cellStyle name="20% - Accent4 5 3 2 4" xfId="32258" xr:uid="{00000000-0005-0000-0000-00004A310000}"/>
    <cellStyle name="20% - Accent4 5 3 2 5" xfId="41983" xr:uid="{00000000-0005-0000-0000-00004B310000}"/>
    <cellStyle name="20% - Accent4 5 3 2 6" xfId="12808" xr:uid="{00000000-0005-0000-0000-00004C310000}"/>
    <cellStyle name="20% - Accent4 5 3 3" xfId="4702" xr:uid="{00000000-0005-0000-0000-00004D310000}"/>
    <cellStyle name="20% - Accent4 5 3 3 2" xfId="9564" xr:uid="{00000000-0005-0000-0000-00004E310000}"/>
    <cellStyle name="20% - Accent4 5 3 3 2 2" xfId="29015" xr:uid="{00000000-0005-0000-0000-00004F310000}"/>
    <cellStyle name="20% - Accent4 5 3 3 2 3" xfId="38740" xr:uid="{00000000-0005-0000-0000-000050310000}"/>
    <cellStyle name="20% - Accent4 5 3 3 2 4" xfId="48465" xr:uid="{00000000-0005-0000-0000-000051310000}"/>
    <cellStyle name="20% - Accent4 5 3 3 2 5" xfId="19290" xr:uid="{00000000-0005-0000-0000-000052310000}"/>
    <cellStyle name="20% - Accent4 5 3 3 3" xfId="24153" xr:uid="{00000000-0005-0000-0000-000053310000}"/>
    <cellStyle name="20% - Accent4 5 3 3 4" xfId="33878" xr:uid="{00000000-0005-0000-0000-000054310000}"/>
    <cellStyle name="20% - Accent4 5 3 3 5" xfId="43603" xr:uid="{00000000-0005-0000-0000-000055310000}"/>
    <cellStyle name="20% - Accent4 5 3 3 6" xfId="14428" xr:uid="{00000000-0005-0000-0000-000056310000}"/>
    <cellStyle name="20% - Accent4 5 3 4" xfId="6324" xr:uid="{00000000-0005-0000-0000-000057310000}"/>
    <cellStyle name="20% - Accent4 5 3 4 2" xfId="25775" xr:uid="{00000000-0005-0000-0000-000058310000}"/>
    <cellStyle name="20% - Accent4 5 3 4 3" xfId="35500" xr:uid="{00000000-0005-0000-0000-000059310000}"/>
    <cellStyle name="20% - Accent4 5 3 4 4" xfId="45225" xr:uid="{00000000-0005-0000-0000-00005A310000}"/>
    <cellStyle name="20% - Accent4 5 3 4 5" xfId="16050" xr:uid="{00000000-0005-0000-0000-00005B310000}"/>
    <cellStyle name="20% - Accent4 5 3 5" xfId="20913" xr:uid="{00000000-0005-0000-0000-00005C310000}"/>
    <cellStyle name="20% - Accent4 5 3 6" xfId="30638" xr:uid="{00000000-0005-0000-0000-00005D310000}"/>
    <cellStyle name="20% - Accent4 5 3 7" xfId="40363" xr:uid="{00000000-0005-0000-0000-00005E310000}"/>
    <cellStyle name="20% - Accent4 5 3 8" xfId="11188" xr:uid="{00000000-0005-0000-0000-00005F310000}"/>
    <cellStyle name="20% - Accent4 5 4" xfId="632" xr:uid="{00000000-0005-0000-0000-000060310000}"/>
    <cellStyle name="20% - Accent4 5 4 2" xfId="2272" xr:uid="{00000000-0005-0000-0000-000061310000}"/>
    <cellStyle name="20% - Accent4 5 4 2 2" xfId="7134" xr:uid="{00000000-0005-0000-0000-000062310000}"/>
    <cellStyle name="20% - Accent4 5 4 2 2 2" xfId="26585" xr:uid="{00000000-0005-0000-0000-000063310000}"/>
    <cellStyle name="20% - Accent4 5 4 2 2 3" xfId="36310" xr:uid="{00000000-0005-0000-0000-000064310000}"/>
    <cellStyle name="20% - Accent4 5 4 2 2 4" xfId="46035" xr:uid="{00000000-0005-0000-0000-000065310000}"/>
    <cellStyle name="20% - Accent4 5 4 2 2 5" xfId="16860" xr:uid="{00000000-0005-0000-0000-000066310000}"/>
    <cellStyle name="20% - Accent4 5 4 2 3" xfId="21723" xr:uid="{00000000-0005-0000-0000-000067310000}"/>
    <cellStyle name="20% - Accent4 5 4 2 4" xfId="31448" xr:uid="{00000000-0005-0000-0000-000068310000}"/>
    <cellStyle name="20% - Accent4 5 4 2 5" xfId="41173" xr:uid="{00000000-0005-0000-0000-000069310000}"/>
    <cellStyle name="20% - Accent4 5 4 2 6" xfId="11998" xr:uid="{00000000-0005-0000-0000-00006A310000}"/>
    <cellStyle name="20% - Accent4 5 4 3" xfId="3892" xr:uid="{00000000-0005-0000-0000-00006B310000}"/>
    <cellStyle name="20% - Accent4 5 4 3 2" xfId="8754" xr:uid="{00000000-0005-0000-0000-00006C310000}"/>
    <cellStyle name="20% - Accent4 5 4 3 2 2" xfId="28205" xr:uid="{00000000-0005-0000-0000-00006D310000}"/>
    <cellStyle name="20% - Accent4 5 4 3 2 3" xfId="37930" xr:uid="{00000000-0005-0000-0000-00006E310000}"/>
    <cellStyle name="20% - Accent4 5 4 3 2 4" xfId="47655" xr:uid="{00000000-0005-0000-0000-00006F310000}"/>
    <cellStyle name="20% - Accent4 5 4 3 2 5" xfId="18480" xr:uid="{00000000-0005-0000-0000-000070310000}"/>
    <cellStyle name="20% - Accent4 5 4 3 3" xfId="23343" xr:uid="{00000000-0005-0000-0000-000071310000}"/>
    <cellStyle name="20% - Accent4 5 4 3 4" xfId="33068" xr:uid="{00000000-0005-0000-0000-000072310000}"/>
    <cellStyle name="20% - Accent4 5 4 3 5" xfId="42793" xr:uid="{00000000-0005-0000-0000-000073310000}"/>
    <cellStyle name="20% - Accent4 5 4 3 6" xfId="13618" xr:uid="{00000000-0005-0000-0000-000074310000}"/>
    <cellStyle name="20% - Accent4 5 4 4" xfId="5514" xr:uid="{00000000-0005-0000-0000-000075310000}"/>
    <cellStyle name="20% - Accent4 5 4 4 2" xfId="24965" xr:uid="{00000000-0005-0000-0000-000076310000}"/>
    <cellStyle name="20% - Accent4 5 4 4 3" xfId="34690" xr:uid="{00000000-0005-0000-0000-000077310000}"/>
    <cellStyle name="20% - Accent4 5 4 4 4" xfId="44415" xr:uid="{00000000-0005-0000-0000-000078310000}"/>
    <cellStyle name="20% - Accent4 5 4 4 5" xfId="15240" xr:uid="{00000000-0005-0000-0000-000079310000}"/>
    <cellStyle name="20% - Accent4 5 4 5" xfId="20103" xr:uid="{00000000-0005-0000-0000-00007A310000}"/>
    <cellStyle name="20% - Accent4 5 4 6" xfId="29828" xr:uid="{00000000-0005-0000-0000-00007B310000}"/>
    <cellStyle name="20% - Accent4 5 4 7" xfId="39553" xr:uid="{00000000-0005-0000-0000-00007C310000}"/>
    <cellStyle name="20% - Accent4 5 4 8" xfId="10378" xr:uid="{00000000-0005-0000-0000-00007D310000}"/>
    <cellStyle name="20% - Accent4 5 5" xfId="1912" xr:uid="{00000000-0005-0000-0000-00007E310000}"/>
    <cellStyle name="20% - Accent4 5 5 2" xfId="6774" xr:uid="{00000000-0005-0000-0000-00007F310000}"/>
    <cellStyle name="20% - Accent4 5 5 2 2" xfId="26225" xr:uid="{00000000-0005-0000-0000-000080310000}"/>
    <cellStyle name="20% - Accent4 5 5 2 3" xfId="35950" xr:uid="{00000000-0005-0000-0000-000081310000}"/>
    <cellStyle name="20% - Accent4 5 5 2 4" xfId="45675" xr:uid="{00000000-0005-0000-0000-000082310000}"/>
    <cellStyle name="20% - Accent4 5 5 2 5" xfId="16500" xr:uid="{00000000-0005-0000-0000-000083310000}"/>
    <cellStyle name="20% - Accent4 5 5 3" xfId="21363" xr:uid="{00000000-0005-0000-0000-000084310000}"/>
    <cellStyle name="20% - Accent4 5 5 4" xfId="31088" xr:uid="{00000000-0005-0000-0000-000085310000}"/>
    <cellStyle name="20% - Accent4 5 5 5" xfId="40813" xr:uid="{00000000-0005-0000-0000-000086310000}"/>
    <cellStyle name="20% - Accent4 5 5 6" xfId="11638" xr:uid="{00000000-0005-0000-0000-000087310000}"/>
    <cellStyle name="20% - Accent4 5 6" xfId="3532" xr:uid="{00000000-0005-0000-0000-000088310000}"/>
    <cellStyle name="20% - Accent4 5 6 2" xfId="8394" xr:uid="{00000000-0005-0000-0000-000089310000}"/>
    <cellStyle name="20% - Accent4 5 6 2 2" xfId="27845" xr:uid="{00000000-0005-0000-0000-00008A310000}"/>
    <cellStyle name="20% - Accent4 5 6 2 3" xfId="37570" xr:uid="{00000000-0005-0000-0000-00008B310000}"/>
    <cellStyle name="20% - Accent4 5 6 2 4" xfId="47295" xr:uid="{00000000-0005-0000-0000-00008C310000}"/>
    <cellStyle name="20% - Accent4 5 6 2 5" xfId="18120" xr:uid="{00000000-0005-0000-0000-00008D310000}"/>
    <cellStyle name="20% - Accent4 5 6 3" xfId="22983" xr:uid="{00000000-0005-0000-0000-00008E310000}"/>
    <cellStyle name="20% - Accent4 5 6 4" xfId="32708" xr:uid="{00000000-0005-0000-0000-00008F310000}"/>
    <cellStyle name="20% - Accent4 5 6 5" xfId="42433" xr:uid="{00000000-0005-0000-0000-000090310000}"/>
    <cellStyle name="20% - Accent4 5 6 6" xfId="13258" xr:uid="{00000000-0005-0000-0000-000091310000}"/>
    <cellStyle name="20% - Accent4 5 7" xfId="5154" xr:uid="{00000000-0005-0000-0000-000092310000}"/>
    <cellStyle name="20% - Accent4 5 7 2" xfId="24605" xr:uid="{00000000-0005-0000-0000-000093310000}"/>
    <cellStyle name="20% - Accent4 5 7 3" xfId="34330" xr:uid="{00000000-0005-0000-0000-000094310000}"/>
    <cellStyle name="20% - Accent4 5 7 4" xfId="44055" xr:uid="{00000000-0005-0000-0000-000095310000}"/>
    <cellStyle name="20% - Accent4 5 7 5" xfId="14880" xr:uid="{00000000-0005-0000-0000-000096310000}"/>
    <cellStyle name="20% - Accent4 5 8" xfId="19743" xr:uid="{00000000-0005-0000-0000-000097310000}"/>
    <cellStyle name="20% - Accent4 5 9" xfId="29468" xr:uid="{00000000-0005-0000-0000-000098310000}"/>
    <cellStyle name="20% - Accent4 6" xfId="321" xr:uid="{00000000-0005-0000-0000-000099310000}"/>
    <cellStyle name="20% - Accent4 6 10" xfId="39283" xr:uid="{00000000-0005-0000-0000-00009A310000}"/>
    <cellStyle name="20% - Accent4 6 11" xfId="10108" xr:uid="{00000000-0005-0000-0000-00009B310000}"/>
    <cellStyle name="20% - Accent4 6 2" xfId="1084" xr:uid="{00000000-0005-0000-0000-00009C310000}"/>
    <cellStyle name="20% - Accent4 6 2 2" xfId="2722" xr:uid="{00000000-0005-0000-0000-00009D310000}"/>
    <cellStyle name="20% - Accent4 6 2 2 2" xfId="7584" xr:uid="{00000000-0005-0000-0000-00009E310000}"/>
    <cellStyle name="20% - Accent4 6 2 2 2 2" xfId="27035" xr:uid="{00000000-0005-0000-0000-00009F310000}"/>
    <cellStyle name="20% - Accent4 6 2 2 2 3" xfId="36760" xr:uid="{00000000-0005-0000-0000-0000A0310000}"/>
    <cellStyle name="20% - Accent4 6 2 2 2 4" xfId="46485" xr:uid="{00000000-0005-0000-0000-0000A1310000}"/>
    <cellStyle name="20% - Accent4 6 2 2 2 5" xfId="17310" xr:uid="{00000000-0005-0000-0000-0000A2310000}"/>
    <cellStyle name="20% - Accent4 6 2 2 3" xfId="22173" xr:uid="{00000000-0005-0000-0000-0000A3310000}"/>
    <cellStyle name="20% - Accent4 6 2 2 4" xfId="31898" xr:uid="{00000000-0005-0000-0000-0000A4310000}"/>
    <cellStyle name="20% - Accent4 6 2 2 5" xfId="41623" xr:uid="{00000000-0005-0000-0000-0000A5310000}"/>
    <cellStyle name="20% - Accent4 6 2 2 6" xfId="12448" xr:uid="{00000000-0005-0000-0000-0000A6310000}"/>
    <cellStyle name="20% - Accent4 6 2 3" xfId="4342" xr:uid="{00000000-0005-0000-0000-0000A7310000}"/>
    <cellStyle name="20% - Accent4 6 2 3 2" xfId="9204" xr:uid="{00000000-0005-0000-0000-0000A8310000}"/>
    <cellStyle name="20% - Accent4 6 2 3 2 2" xfId="28655" xr:uid="{00000000-0005-0000-0000-0000A9310000}"/>
    <cellStyle name="20% - Accent4 6 2 3 2 3" xfId="38380" xr:uid="{00000000-0005-0000-0000-0000AA310000}"/>
    <cellStyle name="20% - Accent4 6 2 3 2 4" xfId="48105" xr:uid="{00000000-0005-0000-0000-0000AB310000}"/>
    <cellStyle name="20% - Accent4 6 2 3 2 5" xfId="18930" xr:uid="{00000000-0005-0000-0000-0000AC310000}"/>
    <cellStyle name="20% - Accent4 6 2 3 3" xfId="23793" xr:uid="{00000000-0005-0000-0000-0000AD310000}"/>
    <cellStyle name="20% - Accent4 6 2 3 4" xfId="33518" xr:uid="{00000000-0005-0000-0000-0000AE310000}"/>
    <cellStyle name="20% - Accent4 6 2 3 5" xfId="43243" xr:uid="{00000000-0005-0000-0000-0000AF310000}"/>
    <cellStyle name="20% - Accent4 6 2 3 6" xfId="14068" xr:uid="{00000000-0005-0000-0000-0000B0310000}"/>
    <cellStyle name="20% - Accent4 6 2 4" xfId="5964" xr:uid="{00000000-0005-0000-0000-0000B1310000}"/>
    <cellStyle name="20% - Accent4 6 2 4 2" xfId="25415" xr:uid="{00000000-0005-0000-0000-0000B2310000}"/>
    <cellStyle name="20% - Accent4 6 2 4 3" xfId="35140" xr:uid="{00000000-0005-0000-0000-0000B3310000}"/>
    <cellStyle name="20% - Accent4 6 2 4 4" xfId="44865" xr:uid="{00000000-0005-0000-0000-0000B4310000}"/>
    <cellStyle name="20% - Accent4 6 2 4 5" xfId="15690" xr:uid="{00000000-0005-0000-0000-0000B5310000}"/>
    <cellStyle name="20% - Accent4 6 2 5" xfId="20553" xr:uid="{00000000-0005-0000-0000-0000B6310000}"/>
    <cellStyle name="20% - Accent4 6 2 6" xfId="30278" xr:uid="{00000000-0005-0000-0000-0000B7310000}"/>
    <cellStyle name="20% - Accent4 6 2 7" xfId="40003" xr:uid="{00000000-0005-0000-0000-0000B8310000}"/>
    <cellStyle name="20% - Accent4 6 2 8" xfId="10828" xr:uid="{00000000-0005-0000-0000-0000B9310000}"/>
    <cellStyle name="20% - Accent4 6 3" xfId="1551" xr:uid="{00000000-0005-0000-0000-0000BA310000}"/>
    <cellStyle name="20% - Accent4 6 3 2" xfId="3172" xr:uid="{00000000-0005-0000-0000-0000BB310000}"/>
    <cellStyle name="20% - Accent4 6 3 2 2" xfId="8034" xr:uid="{00000000-0005-0000-0000-0000BC310000}"/>
    <cellStyle name="20% - Accent4 6 3 2 2 2" xfId="27485" xr:uid="{00000000-0005-0000-0000-0000BD310000}"/>
    <cellStyle name="20% - Accent4 6 3 2 2 3" xfId="37210" xr:uid="{00000000-0005-0000-0000-0000BE310000}"/>
    <cellStyle name="20% - Accent4 6 3 2 2 4" xfId="46935" xr:uid="{00000000-0005-0000-0000-0000BF310000}"/>
    <cellStyle name="20% - Accent4 6 3 2 2 5" xfId="17760" xr:uid="{00000000-0005-0000-0000-0000C0310000}"/>
    <cellStyle name="20% - Accent4 6 3 2 3" xfId="22623" xr:uid="{00000000-0005-0000-0000-0000C1310000}"/>
    <cellStyle name="20% - Accent4 6 3 2 4" xfId="32348" xr:uid="{00000000-0005-0000-0000-0000C2310000}"/>
    <cellStyle name="20% - Accent4 6 3 2 5" xfId="42073" xr:uid="{00000000-0005-0000-0000-0000C3310000}"/>
    <cellStyle name="20% - Accent4 6 3 2 6" xfId="12898" xr:uid="{00000000-0005-0000-0000-0000C4310000}"/>
    <cellStyle name="20% - Accent4 6 3 3" xfId="4792" xr:uid="{00000000-0005-0000-0000-0000C5310000}"/>
    <cellStyle name="20% - Accent4 6 3 3 2" xfId="9654" xr:uid="{00000000-0005-0000-0000-0000C6310000}"/>
    <cellStyle name="20% - Accent4 6 3 3 2 2" xfId="29105" xr:uid="{00000000-0005-0000-0000-0000C7310000}"/>
    <cellStyle name="20% - Accent4 6 3 3 2 3" xfId="38830" xr:uid="{00000000-0005-0000-0000-0000C8310000}"/>
    <cellStyle name="20% - Accent4 6 3 3 2 4" xfId="48555" xr:uid="{00000000-0005-0000-0000-0000C9310000}"/>
    <cellStyle name="20% - Accent4 6 3 3 2 5" xfId="19380" xr:uid="{00000000-0005-0000-0000-0000CA310000}"/>
    <cellStyle name="20% - Accent4 6 3 3 3" xfId="24243" xr:uid="{00000000-0005-0000-0000-0000CB310000}"/>
    <cellStyle name="20% - Accent4 6 3 3 4" xfId="33968" xr:uid="{00000000-0005-0000-0000-0000CC310000}"/>
    <cellStyle name="20% - Accent4 6 3 3 5" xfId="43693" xr:uid="{00000000-0005-0000-0000-0000CD310000}"/>
    <cellStyle name="20% - Accent4 6 3 3 6" xfId="14518" xr:uid="{00000000-0005-0000-0000-0000CE310000}"/>
    <cellStyle name="20% - Accent4 6 3 4" xfId="6414" xr:uid="{00000000-0005-0000-0000-0000CF310000}"/>
    <cellStyle name="20% - Accent4 6 3 4 2" xfId="25865" xr:uid="{00000000-0005-0000-0000-0000D0310000}"/>
    <cellStyle name="20% - Accent4 6 3 4 3" xfId="35590" xr:uid="{00000000-0005-0000-0000-0000D1310000}"/>
    <cellStyle name="20% - Accent4 6 3 4 4" xfId="45315" xr:uid="{00000000-0005-0000-0000-0000D2310000}"/>
    <cellStyle name="20% - Accent4 6 3 4 5" xfId="16140" xr:uid="{00000000-0005-0000-0000-0000D3310000}"/>
    <cellStyle name="20% - Accent4 6 3 5" xfId="21003" xr:uid="{00000000-0005-0000-0000-0000D4310000}"/>
    <cellStyle name="20% - Accent4 6 3 6" xfId="30728" xr:uid="{00000000-0005-0000-0000-0000D5310000}"/>
    <cellStyle name="20% - Accent4 6 3 7" xfId="40453" xr:uid="{00000000-0005-0000-0000-0000D6310000}"/>
    <cellStyle name="20% - Accent4 6 3 8" xfId="11278" xr:uid="{00000000-0005-0000-0000-0000D7310000}"/>
    <cellStyle name="20% - Accent4 6 4" xfId="722" xr:uid="{00000000-0005-0000-0000-0000D8310000}"/>
    <cellStyle name="20% - Accent4 6 4 2" xfId="2362" xr:uid="{00000000-0005-0000-0000-0000D9310000}"/>
    <cellStyle name="20% - Accent4 6 4 2 2" xfId="7224" xr:uid="{00000000-0005-0000-0000-0000DA310000}"/>
    <cellStyle name="20% - Accent4 6 4 2 2 2" xfId="26675" xr:uid="{00000000-0005-0000-0000-0000DB310000}"/>
    <cellStyle name="20% - Accent4 6 4 2 2 3" xfId="36400" xr:uid="{00000000-0005-0000-0000-0000DC310000}"/>
    <cellStyle name="20% - Accent4 6 4 2 2 4" xfId="46125" xr:uid="{00000000-0005-0000-0000-0000DD310000}"/>
    <cellStyle name="20% - Accent4 6 4 2 2 5" xfId="16950" xr:uid="{00000000-0005-0000-0000-0000DE310000}"/>
    <cellStyle name="20% - Accent4 6 4 2 3" xfId="21813" xr:uid="{00000000-0005-0000-0000-0000DF310000}"/>
    <cellStyle name="20% - Accent4 6 4 2 4" xfId="31538" xr:uid="{00000000-0005-0000-0000-0000E0310000}"/>
    <cellStyle name="20% - Accent4 6 4 2 5" xfId="41263" xr:uid="{00000000-0005-0000-0000-0000E1310000}"/>
    <cellStyle name="20% - Accent4 6 4 2 6" xfId="12088" xr:uid="{00000000-0005-0000-0000-0000E2310000}"/>
    <cellStyle name="20% - Accent4 6 4 3" xfId="3982" xr:uid="{00000000-0005-0000-0000-0000E3310000}"/>
    <cellStyle name="20% - Accent4 6 4 3 2" xfId="8844" xr:uid="{00000000-0005-0000-0000-0000E4310000}"/>
    <cellStyle name="20% - Accent4 6 4 3 2 2" xfId="28295" xr:uid="{00000000-0005-0000-0000-0000E5310000}"/>
    <cellStyle name="20% - Accent4 6 4 3 2 3" xfId="38020" xr:uid="{00000000-0005-0000-0000-0000E6310000}"/>
    <cellStyle name="20% - Accent4 6 4 3 2 4" xfId="47745" xr:uid="{00000000-0005-0000-0000-0000E7310000}"/>
    <cellStyle name="20% - Accent4 6 4 3 2 5" xfId="18570" xr:uid="{00000000-0005-0000-0000-0000E8310000}"/>
    <cellStyle name="20% - Accent4 6 4 3 3" xfId="23433" xr:uid="{00000000-0005-0000-0000-0000E9310000}"/>
    <cellStyle name="20% - Accent4 6 4 3 4" xfId="33158" xr:uid="{00000000-0005-0000-0000-0000EA310000}"/>
    <cellStyle name="20% - Accent4 6 4 3 5" xfId="42883" xr:uid="{00000000-0005-0000-0000-0000EB310000}"/>
    <cellStyle name="20% - Accent4 6 4 3 6" xfId="13708" xr:uid="{00000000-0005-0000-0000-0000EC310000}"/>
    <cellStyle name="20% - Accent4 6 4 4" xfId="5604" xr:uid="{00000000-0005-0000-0000-0000ED310000}"/>
    <cellStyle name="20% - Accent4 6 4 4 2" xfId="25055" xr:uid="{00000000-0005-0000-0000-0000EE310000}"/>
    <cellStyle name="20% - Accent4 6 4 4 3" xfId="34780" xr:uid="{00000000-0005-0000-0000-0000EF310000}"/>
    <cellStyle name="20% - Accent4 6 4 4 4" xfId="44505" xr:uid="{00000000-0005-0000-0000-0000F0310000}"/>
    <cellStyle name="20% - Accent4 6 4 4 5" xfId="15330" xr:uid="{00000000-0005-0000-0000-0000F1310000}"/>
    <cellStyle name="20% - Accent4 6 4 5" xfId="20193" xr:uid="{00000000-0005-0000-0000-0000F2310000}"/>
    <cellStyle name="20% - Accent4 6 4 6" xfId="29918" xr:uid="{00000000-0005-0000-0000-0000F3310000}"/>
    <cellStyle name="20% - Accent4 6 4 7" xfId="39643" xr:uid="{00000000-0005-0000-0000-0000F4310000}"/>
    <cellStyle name="20% - Accent4 6 4 8" xfId="10468" xr:uid="{00000000-0005-0000-0000-0000F5310000}"/>
    <cellStyle name="20% - Accent4 6 5" xfId="2002" xr:uid="{00000000-0005-0000-0000-0000F6310000}"/>
    <cellStyle name="20% - Accent4 6 5 2" xfId="6864" xr:uid="{00000000-0005-0000-0000-0000F7310000}"/>
    <cellStyle name="20% - Accent4 6 5 2 2" xfId="26315" xr:uid="{00000000-0005-0000-0000-0000F8310000}"/>
    <cellStyle name="20% - Accent4 6 5 2 3" xfId="36040" xr:uid="{00000000-0005-0000-0000-0000F9310000}"/>
    <cellStyle name="20% - Accent4 6 5 2 4" xfId="45765" xr:uid="{00000000-0005-0000-0000-0000FA310000}"/>
    <cellStyle name="20% - Accent4 6 5 2 5" xfId="16590" xr:uid="{00000000-0005-0000-0000-0000FB310000}"/>
    <cellStyle name="20% - Accent4 6 5 3" xfId="21453" xr:uid="{00000000-0005-0000-0000-0000FC310000}"/>
    <cellStyle name="20% - Accent4 6 5 4" xfId="31178" xr:uid="{00000000-0005-0000-0000-0000FD310000}"/>
    <cellStyle name="20% - Accent4 6 5 5" xfId="40903" xr:uid="{00000000-0005-0000-0000-0000FE310000}"/>
    <cellStyle name="20% - Accent4 6 5 6" xfId="11728" xr:uid="{00000000-0005-0000-0000-0000FF310000}"/>
    <cellStyle name="20% - Accent4 6 6" xfId="3622" xr:uid="{00000000-0005-0000-0000-000000320000}"/>
    <cellStyle name="20% - Accent4 6 6 2" xfId="8484" xr:uid="{00000000-0005-0000-0000-000001320000}"/>
    <cellStyle name="20% - Accent4 6 6 2 2" xfId="27935" xr:uid="{00000000-0005-0000-0000-000002320000}"/>
    <cellStyle name="20% - Accent4 6 6 2 3" xfId="37660" xr:uid="{00000000-0005-0000-0000-000003320000}"/>
    <cellStyle name="20% - Accent4 6 6 2 4" xfId="47385" xr:uid="{00000000-0005-0000-0000-000004320000}"/>
    <cellStyle name="20% - Accent4 6 6 2 5" xfId="18210" xr:uid="{00000000-0005-0000-0000-000005320000}"/>
    <cellStyle name="20% - Accent4 6 6 3" xfId="23073" xr:uid="{00000000-0005-0000-0000-000006320000}"/>
    <cellStyle name="20% - Accent4 6 6 4" xfId="32798" xr:uid="{00000000-0005-0000-0000-000007320000}"/>
    <cellStyle name="20% - Accent4 6 6 5" xfId="42523" xr:uid="{00000000-0005-0000-0000-000008320000}"/>
    <cellStyle name="20% - Accent4 6 6 6" xfId="13348" xr:uid="{00000000-0005-0000-0000-000009320000}"/>
    <cellStyle name="20% - Accent4 6 7" xfId="5244" xr:uid="{00000000-0005-0000-0000-00000A320000}"/>
    <cellStyle name="20% - Accent4 6 7 2" xfId="24695" xr:uid="{00000000-0005-0000-0000-00000B320000}"/>
    <cellStyle name="20% - Accent4 6 7 3" xfId="34420" xr:uid="{00000000-0005-0000-0000-00000C320000}"/>
    <cellStyle name="20% - Accent4 6 7 4" xfId="44145" xr:uid="{00000000-0005-0000-0000-00000D320000}"/>
    <cellStyle name="20% - Accent4 6 7 5" xfId="14970" xr:uid="{00000000-0005-0000-0000-00000E320000}"/>
    <cellStyle name="20% - Accent4 6 8" xfId="19833" xr:uid="{00000000-0005-0000-0000-00000F320000}"/>
    <cellStyle name="20% - Accent4 6 9" xfId="29558" xr:uid="{00000000-0005-0000-0000-000010320000}"/>
    <cellStyle name="20% - Accent4 7" xfId="139" xr:uid="{00000000-0005-0000-0000-000011320000}"/>
    <cellStyle name="20% - Accent4 7 10" xfId="39103" xr:uid="{00000000-0005-0000-0000-000012320000}"/>
    <cellStyle name="20% - Accent4 7 11" xfId="9928" xr:uid="{00000000-0005-0000-0000-000013320000}"/>
    <cellStyle name="20% - Accent4 7 2" xfId="903" xr:uid="{00000000-0005-0000-0000-000014320000}"/>
    <cellStyle name="20% - Accent4 7 2 2" xfId="2542" xr:uid="{00000000-0005-0000-0000-000015320000}"/>
    <cellStyle name="20% - Accent4 7 2 2 2" xfId="7404" xr:uid="{00000000-0005-0000-0000-000016320000}"/>
    <cellStyle name="20% - Accent4 7 2 2 2 2" xfId="26855" xr:uid="{00000000-0005-0000-0000-000017320000}"/>
    <cellStyle name="20% - Accent4 7 2 2 2 3" xfId="36580" xr:uid="{00000000-0005-0000-0000-000018320000}"/>
    <cellStyle name="20% - Accent4 7 2 2 2 4" xfId="46305" xr:uid="{00000000-0005-0000-0000-000019320000}"/>
    <cellStyle name="20% - Accent4 7 2 2 2 5" xfId="17130" xr:uid="{00000000-0005-0000-0000-00001A320000}"/>
    <cellStyle name="20% - Accent4 7 2 2 3" xfId="21993" xr:uid="{00000000-0005-0000-0000-00001B320000}"/>
    <cellStyle name="20% - Accent4 7 2 2 4" xfId="31718" xr:uid="{00000000-0005-0000-0000-00001C320000}"/>
    <cellStyle name="20% - Accent4 7 2 2 5" xfId="41443" xr:uid="{00000000-0005-0000-0000-00001D320000}"/>
    <cellStyle name="20% - Accent4 7 2 2 6" xfId="12268" xr:uid="{00000000-0005-0000-0000-00001E320000}"/>
    <cellStyle name="20% - Accent4 7 2 3" xfId="4162" xr:uid="{00000000-0005-0000-0000-00001F320000}"/>
    <cellStyle name="20% - Accent4 7 2 3 2" xfId="9024" xr:uid="{00000000-0005-0000-0000-000020320000}"/>
    <cellStyle name="20% - Accent4 7 2 3 2 2" xfId="28475" xr:uid="{00000000-0005-0000-0000-000021320000}"/>
    <cellStyle name="20% - Accent4 7 2 3 2 3" xfId="38200" xr:uid="{00000000-0005-0000-0000-000022320000}"/>
    <cellStyle name="20% - Accent4 7 2 3 2 4" xfId="47925" xr:uid="{00000000-0005-0000-0000-000023320000}"/>
    <cellStyle name="20% - Accent4 7 2 3 2 5" xfId="18750" xr:uid="{00000000-0005-0000-0000-000024320000}"/>
    <cellStyle name="20% - Accent4 7 2 3 3" xfId="23613" xr:uid="{00000000-0005-0000-0000-000025320000}"/>
    <cellStyle name="20% - Accent4 7 2 3 4" xfId="33338" xr:uid="{00000000-0005-0000-0000-000026320000}"/>
    <cellStyle name="20% - Accent4 7 2 3 5" xfId="43063" xr:uid="{00000000-0005-0000-0000-000027320000}"/>
    <cellStyle name="20% - Accent4 7 2 3 6" xfId="13888" xr:uid="{00000000-0005-0000-0000-000028320000}"/>
    <cellStyle name="20% - Accent4 7 2 4" xfId="5784" xr:uid="{00000000-0005-0000-0000-000029320000}"/>
    <cellStyle name="20% - Accent4 7 2 4 2" xfId="25235" xr:uid="{00000000-0005-0000-0000-00002A320000}"/>
    <cellStyle name="20% - Accent4 7 2 4 3" xfId="34960" xr:uid="{00000000-0005-0000-0000-00002B320000}"/>
    <cellStyle name="20% - Accent4 7 2 4 4" xfId="44685" xr:uid="{00000000-0005-0000-0000-00002C320000}"/>
    <cellStyle name="20% - Accent4 7 2 4 5" xfId="15510" xr:uid="{00000000-0005-0000-0000-00002D320000}"/>
    <cellStyle name="20% - Accent4 7 2 5" xfId="20373" xr:uid="{00000000-0005-0000-0000-00002E320000}"/>
    <cellStyle name="20% - Accent4 7 2 6" xfId="30098" xr:uid="{00000000-0005-0000-0000-00002F320000}"/>
    <cellStyle name="20% - Accent4 7 2 7" xfId="39823" xr:uid="{00000000-0005-0000-0000-000030320000}"/>
    <cellStyle name="20% - Accent4 7 2 8" xfId="10648" xr:uid="{00000000-0005-0000-0000-000031320000}"/>
    <cellStyle name="20% - Accent4 7 3" xfId="1371" xr:uid="{00000000-0005-0000-0000-000032320000}"/>
    <cellStyle name="20% - Accent4 7 3 2" xfId="2992" xr:uid="{00000000-0005-0000-0000-000033320000}"/>
    <cellStyle name="20% - Accent4 7 3 2 2" xfId="7854" xr:uid="{00000000-0005-0000-0000-000034320000}"/>
    <cellStyle name="20% - Accent4 7 3 2 2 2" xfId="27305" xr:uid="{00000000-0005-0000-0000-000035320000}"/>
    <cellStyle name="20% - Accent4 7 3 2 2 3" xfId="37030" xr:uid="{00000000-0005-0000-0000-000036320000}"/>
    <cellStyle name="20% - Accent4 7 3 2 2 4" xfId="46755" xr:uid="{00000000-0005-0000-0000-000037320000}"/>
    <cellStyle name="20% - Accent4 7 3 2 2 5" xfId="17580" xr:uid="{00000000-0005-0000-0000-000038320000}"/>
    <cellStyle name="20% - Accent4 7 3 2 3" xfId="22443" xr:uid="{00000000-0005-0000-0000-000039320000}"/>
    <cellStyle name="20% - Accent4 7 3 2 4" xfId="32168" xr:uid="{00000000-0005-0000-0000-00003A320000}"/>
    <cellStyle name="20% - Accent4 7 3 2 5" xfId="41893" xr:uid="{00000000-0005-0000-0000-00003B320000}"/>
    <cellStyle name="20% - Accent4 7 3 2 6" xfId="12718" xr:uid="{00000000-0005-0000-0000-00003C320000}"/>
    <cellStyle name="20% - Accent4 7 3 3" xfId="4612" xr:uid="{00000000-0005-0000-0000-00003D320000}"/>
    <cellStyle name="20% - Accent4 7 3 3 2" xfId="9474" xr:uid="{00000000-0005-0000-0000-00003E320000}"/>
    <cellStyle name="20% - Accent4 7 3 3 2 2" xfId="28925" xr:uid="{00000000-0005-0000-0000-00003F320000}"/>
    <cellStyle name="20% - Accent4 7 3 3 2 3" xfId="38650" xr:uid="{00000000-0005-0000-0000-000040320000}"/>
    <cellStyle name="20% - Accent4 7 3 3 2 4" xfId="48375" xr:uid="{00000000-0005-0000-0000-000041320000}"/>
    <cellStyle name="20% - Accent4 7 3 3 2 5" xfId="19200" xr:uid="{00000000-0005-0000-0000-000042320000}"/>
    <cellStyle name="20% - Accent4 7 3 3 3" xfId="24063" xr:uid="{00000000-0005-0000-0000-000043320000}"/>
    <cellStyle name="20% - Accent4 7 3 3 4" xfId="33788" xr:uid="{00000000-0005-0000-0000-000044320000}"/>
    <cellStyle name="20% - Accent4 7 3 3 5" xfId="43513" xr:uid="{00000000-0005-0000-0000-000045320000}"/>
    <cellStyle name="20% - Accent4 7 3 3 6" xfId="14338" xr:uid="{00000000-0005-0000-0000-000046320000}"/>
    <cellStyle name="20% - Accent4 7 3 4" xfId="6234" xr:uid="{00000000-0005-0000-0000-000047320000}"/>
    <cellStyle name="20% - Accent4 7 3 4 2" xfId="25685" xr:uid="{00000000-0005-0000-0000-000048320000}"/>
    <cellStyle name="20% - Accent4 7 3 4 3" xfId="35410" xr:uid="{00000000-0005-0000-0000-000049320000}"/>
    <cellStyle name="20% - Accent4 7 3 4 4" xfId="45135" xr:uid="{00000000-0005-0000-0000-00004A320000}"/>
    <cellStyle name="20% - Accent4 7 3 4 5" xfId="15960" xr:uid="{00000000-0005-0000-0000-00004B320000}"/>
    <cellStyle name="20% - Accent4 7 3 5" xfId="20823" xr:uid="{00000000-0005-0000-0000-00004C320000}"/>
    <cellStyle name="20% - Accent4 7 3 6" xfId="30548" xr:uid="{00000000-0005-0000-0000-00004D320000}"/>
    <cellStyle name="20% - Accent4 7 3 7" xfId="40273" xr:uid="{00000000-0005-0000-0000-00004E320000}"/>
    <cellStyle name="20% - Accent4 7 3 8" xfId="11098" xr:uid="{00000000-0005-0000-0000-00004F320000}"/>
    <cellStyle name="20% - Accent4 7 4" xfId="542" xr:uid="{00000000-0005-0000-0000-000050320000}"/>
    <cellStyle name="20% - Accent4 7 4 2" xfId="2182" xr:uid="{00000000-0005-0000-0000-000051320000}"/>
    <cellStyle name="20% - Accent4 7 4 2 2" xfId="7044" xr:uid="{00000000-0005-0000-0000-000052320000}"/>
    <cellStyle name="20% - Accent4 7 4 2 2 2" xfId="26495" xr:uid="{00000000-0005-0000-0000-000053320000}"/>
    <cellStyle name="20% - Accent4 7 4 2 2 3" xfId="36220" xr:uid="{00000000-0005-0000-0000-000054320000}"/>
    <cellStyle name="20% - Accent4 7 4 2 2 4" xfId="45945" xr:uid="{00000000-0005-0000-0000-000055320000}"/>
    <cellStyle name="20% - Accent4 7 4 2 2 5" xfId="16770" xr:uid="{00000000-0005-0000-0000-000056320000}"/>
    <cellStyle name="20% - Accent4 7 4 2 3" xfId="21633" xr:uid="{00000000-0005-0000-0000-000057320000}"/>
    <cellStyle name="20% - Accent4 7 4 2 4" xfId="31358" xr:uid="{00000000-0005-0000-0000-000058320000}"/>
    <cellStyle name="20% - Accent4 7 4 2 5" xfId="41083" xr:uid="{00000000-0005-0000-0000-000059320000}"/>
    <cellStyle name="20% - Accent4 7 4 2 6" xfId="11908" xr:uid="{00000000-0005-0000-0000-00005A320000}"/>
    <cellStyle name="20% - Accent4 7 4 3" xfId="3802" xr:uid="{00000000-0005-0000-0000-00005B320000}"/>
    <cellStyle name="20% - Accent4 7 4 3 2" xfId="8664" xr:uid="{00000000-0005-0000-0000-00005C320000}"/>
    <cellStyle name="20% - Accent4 7 4 3 2 2" xfId="28115" xr:uid="{00000000-0005-0000-0000-00005D320000}"/>
    <cellStyle name="20% - Accent4 7 4 3 2 3" xfId="37840" xr:uid="{00000000-0005-0000-0000-00005E320000}"/>
    <cellStyle name="20% - Accent4 7 4 3 2 4" xfId="47565" xr:uid="{00000000-0005-0000-0000-00005F320000}"/>
    <cellStyle name="20% - Accent4 7 4 3 2 5" xfId="18390" xr:uid="{00000000-0005-0000-0000-000060320000}"/>
    <cellStyle name="20% - Accent4 7 4 3 3" xfId="23253" xr:uid="{00000000-0005-0000-0000-000061320000}"/>
    <cellStyle name="20% - Accent4 7 4 3 4" xfId="32978" xr:uid="{00000000-0005-0000-0000-000062320000}"/>
    <cellStyle name="20% - Accent4 7 4 3 5" xfId="42703" xr:uid="{00000000-0005-0000-0000-000063320000}"/>
    <cellStyle name="20% - Accent4 7 4 3 6" xfId="13528" xr:uid="{00000000-0005-0000-0000-000064320000}"/>
    <cellStyle name="20% - Accent4 7 4 4" xfId="5424" xr:uid="{00000000-0005-0000-0000-000065320000}"/>
    <cellStyle name="20% - Accent4 7 4 4 2" xfId="24875" xr:uid="{00000000-0005-0000-0000-000066320000}"/>
    <cellStyle name="20% - Accent4 7 4 4 3" xfId="34600" xr:uid="{00000000-0005-0000-0000-000067320000}"/>
    <cellStyle name="20% - Accent4 7 4 4 4" xfId="44325" xr:uid="{00000000-0005-0000-0000-000068320000}"/>
    <cellStyle name="20% - Accent4 7 4 4 5" xfId="15150" xr:uid="{00000000-0005-0000-0000-000069320000}"/>
    <cellStyle name="20% - Accent4 7 4 5" xfId="20013" xr:uid="{00000000-0005-0000-0000-00006A320000}"/>
    <cellStyle name="20% - Accent4 7 4 6" xfId="29738" xr:uid="{00000000-0005-0000-0000-00006B320000}"/>
    <cellStyle name="20% - Accent4 7 4 7" xfId="39463" xr:uid="{00000000-0005-0000-0000-00006C320000}"/>
    <cellStyle name="20% - Accent4 7 4 8" xfId="10288" xr:uid="{00000000-0005-0000-0000-00006D320000}"/>
    <cellStyle name="20% - Accent4 7 5" xfId="1822" xr:uid="{00000000-0005-0000-0000-00006E320000}"/>
    <cellStyle name="20% - Accent4 7 5 2" xfId="6684" xr:uid="{00000000-0005-0000-0000-00006F320000}"/>
    <cellStyle name="20% - Accent4 7 5 2 2" xfId="26135" xr:uid="{00000000-0005-0000-0000-000070320000}"/>
    <cellStyle name="20% - Accent4 7 5 2 3" xfId="35860" xr:uid="{00000000-0005-0000-0000-000071320000}"/>
    <cellStyle name="20% - Accent4 7 5 2 4" xfId="45585" xr:uid="{00000000-0005-0000-0000-000072320000}"/>
    <cellStyle name="20% - Accent4 7 5 2 5" xfId="16410" xr:uid="{00000000-0005-0000-0000-000073320000}"/>
    <cellStyle name="20% - Accent4 7 5 3" xfId="21273" xr:uid="{00000000-0005-0000-0000-000074320000}"/>
    <cellStyle name="20% - Accent4 7 5 4" xfId="30998" xr:uid="{00000000-0005-0000-0000-000075320000}"/>
    <cellStyle name="20% - Accent4 7 5 5" xfId="40723" xr:uid="{00000000-0005-0000-0000-000076320000}"/>
    <cellStyle name="20% - Accent4 7 5 6" xfId="11548" xr:uid="{00000000-0005-0000-0000-000077320000}"/>
    <cellStyle name="20% - Accent4 7 6" xfId="3442" xr:uid="{00000000-0005-0000-0000-000078320000}"/>
    <cellStyle name="20% - Accent4 7 6 2" xfId="8304" xr:uid="{00000000-0005-0000-0000-000079320000}"/>
    <cellStyle name="20% - Accent4 7 6 2 2" xfId="27755" xr:uid="{00000000-0005-0000-0000-00007A320000}"/>
    <cellStyle name="20% - Accent4 7 6 2 3" xfId="37480" xr:uid="{00000000-0005-0000-0000-00007B320000}"/>
    <cellStyle name="20% - Accent4 7 6 2 4" xfId="47205" xr:uid="{00000000-0005-0000-0000-00007C320000}"/>
    <cellStyle name="20% - Accent4 7 6 2 5" xfId="18030" xr:uid="{00000000-0005-0000-0000-00007D320000}"/>
    <cellStyle name="20% - Accent4 7 6 3" xfId="22893" xr:uid="{00000000-0005-0000-0000-00007E320000}"/>
    <cellStyle name="20% - Accent4 7 6 4" xfId="32618" xr:uid="{00000000-0005-0000-0000-00007F320000}"/>
    <cellStyle name="20% - Accent4 7 6 5" xfId="42343" xr:uid="{00000000-0005-0000-0000-000080320000}"/>
    <cellStyle name="20% - Accent4 7 6 6" xfId="13168" xr:uid="{00000000-0005-0000-0000-000081320000}"/>
    <cellStyle name="20% - Accent4 7 7" xfId="5064" xr:uid="{00000000-0005-0000-0000-000082320000}"/>
    <cellStyle name="20% - Accent4 7 7 2" xfId="24515" xr:uid="{00000000-0005-0000-0000-000083320000}"/>
    <cellStyle name="20% - Accent4 7 7 3" xfId="34240" xr:uid="{00000000-0005-0000-0000-000084320000}"/>
    <cellStyle name="20% - Accent4 7 7 4" xfId="43965" xr:uid="{00000000-0005-0000-0000-000085320000}"/>
    <cellStyle name="20% - Accent4 7 7 5" xfId="14790" xr:uid="{00000000-0005-0000-0000-000086320000}"/>
    <cellStyle name="20% - Accent4 7 8" xfId="19653" xr:uid="{00000000-0005-0000-0000-000087320000}"/>
    <cellStyle name="20% - Accent4 7 9" xfId="29378" xr:uid="{00000000-0005-0000-0000-000088320000}"/>
    <cellStyle name="20% - Accent4 8" xfId="408" xr:uid="{00000000-0005-0000-0000-000089320000}"/>
    <cellStyle name="20% - Accent4 9" xfId="813" xr:uid="{00000000-0005-0000-0000-00008A320000}"/>
    <cellStyle name="20% - Accent4 9 2" xfId="2452" xr:uid="{00000000-0005-0000-0000-00008B320000}"/>
    <cellStyle name="20% - Accent4 9 2 2" xfId="7314" xr:uid="{00000000-0005-0000-0000-00008C320000}"/>
    <cellStyle name="20% - Accent4 9 2 2 2" xfId="26765" xr:uid="{00000000-0005-0000-0000-00008D320000}"/>
    <cellStyle name="20% - Accent4 9 2 2 3" xfId="36490" xr:uid="{00000000-0005-0000-0000-00008E320000}"/>
    <cellStyle name="20% - Accent4 9 2 2 4" xfId="46215" xr:uid="{00000000-0005-0000-0000-00008F320000}"/>
    <cellStyle name="20% - Accent4 9 2 2 5" xfId="17040" xr:uid="{00000000-0005-0000-0000-000090320000}"/>
    <cellStyle name="20% - Accent4 9 2 3" xfId="21903" xr:uid="{00000000-0005-0000-0000-000091320000}"/>
    <cellStyle name="20% - Accent4 9 2 4" xfId="31628" xr:uid="{00000000-0005-0000-0000-000092320000}"/>
    <cellStyle name="20% - Accent4 9 2 5" xfId="41353" xr:uid="{00000000-0005-0000-0000-000093320000}"/>
    <cellStyle name="20% - Accent4 9 2 6" xfId="12178" xr:uid="{00000000-0005-0000-0000-000094320000}"/>
    <cellStyle name="20% - Accent4 9 3" xfId="4072" xr:uid="{00000000-0005-0000-0000-000095320000}"/>
    <cellStyle name="20% - Accent4 9 3 2" xfId="8934" xr:uid="{00000000-0005-0000-0000-000096320000}"/>
    <cellStyle name="20% - Accent4 9 3 2 2" xfId="28385" xr:uid="{00000000-0005-0000-0000-000097320000}"/>
    <cellStyle name="20% - Accent4 9 3 2 3" xfId="38110" xr:uid="{00000000-0005-0000-0000-000098320000}"/>
    <cellStyle name="20% - Accent4 9 3 2 4" xfId="47835" xr:uid="{00000000-0005-0000-0000-000099320000}"/>
    <cellStyle name="20% - Accent4 9 3 2 5" xfId="18660" xr:uid="{00000000-0005-0000-0000-00009A320000}"/>
    <cellStyle name="20% - Accent4 9 3 3" xfId="23523" xr:uid="{00000000-0005-0000-0000-00009B320000}"/>
    <cellStyle name="20% - Accent4 9 3 4" xfId="33248" xr:uid="{00000000-0005-0000-0000-00009C320000}"/>
    <cellStyle name="20% - Accent4 9 3 5" xfId="42973" xr:uid="{00000000-0005-0000-0000-00009D320000}"/>
    <cellStyle name="20% - Accent4 9 3 6" xfId="13798" xr:uid="{00000000-0005-0000-0000-00009E320000}"/>
    <cellStyle name="20% - Accent4 9 4" xfId="5694" xr:uid="{00000000-0005-0000-0000-00009F320000}"/>
    <cellStyle name="20% - Accent4 9 4 2" xfId="25145" xr:uid="{00000000-0005-0000-0000-0000A0320000}"/>
    <cellStyle name="20% - Accent4 9 4 3" xfId="34870" xr:uid="{00000000-0005-0000-0000-0000A1320000}"/>
    <cellStyle name="20% - Accent4 9 4 4" xfId="44595" xr:uid="{00000000-0005-0000-0000-0000A2320000}"/>
    <cellStyle name="20% - Accent4 9 4 5" xfId="15420" xr:uid="{00000000-0005-0000-0000-0000A3320000}"/>
    <cellStyle name="20% - Accent4 9 5" xfId="20283" xr:uid="{00000000-0005-0000-0000-0000A4320000}"/>
    <cellStyle name="20% - Accent4 9 6" xfId="30008" xr:uid="{00000000-0005-0000-0000-0000A5320000}"/>
    <cellStyle name="20% - Accent4 9 7" xfId="39733" xr:uid="{00000000-0005-0000-0000-0000A6320000}"/>
    <cellStyle name="20% - Accent4 9 8" xfId="10558" xr:uid="{00000000-0005-0000-0000-0000A7320000}"/>
    <cellStyle name="20% - Accent5" xfId="46" builtinId="46" customBuiltin="1"/>
    <cellStyle name="20% - Accent5 10" xfId="1193" xr:uid="{00000000-0005-0000-0000-0000A9320000}"/>
    <cellStyle name="20% - Accent5 10 2" xfId="2814" xr:uid="{00000000-0005-0000-0000-0000AA320000}"/>
    <cellStyle name="20% - Accent5 10 2 2" xfId="7676" xr:uid="{00000000-0005-0000-0000-0000AB320000}"/>
    <cellStyle name="20% - Accent5 10 2 2 2" xfId="27127" xr:uid="{00000000-0005-0000-0000-0000AC320000}"/>
    <cellStyle name="20% - Accent5 10 2 2 3" xfId="36852" xr:uid="{00000000-0005-0000-0000-0000AD320000}"/>
    <cellStyle name="20% - Accent5 10 2 2 4" xfId="46577" xr:uid="{00000000-0005-0000-0000-0000AE320000}"/>
    <cellStyle name="20% - Accent5 10 2 2 5" xfId="17402" xr:uid="{00000000-0005-0000-0000-0000AF320000}"/>
    <cellStyle name="20% - Accent5 10 2 3" xfId="22265" xr:uid="{00000000-0005-0000-0000-0000B0320000}"/>
    <cellStyle name="20% - Accent5 10 2 4" xfId="31990" xr:uid="{00000000-0005-0000-0000-0000B1320000}"/>
    <cellStyle name="20% - Accent5 10 2 5" xfId="41715" xr:uid="{00000000-0005-0000-0000-0000B2320000}"/>
    <cellStyle name="20% - Accent5 10 2 6" xfId="12540" xr:uid="{00000000-0005-0000-0000-0000B3320000}"/>
    <cellStyle name="20% - Accent5 10 3" xfId="4434" xr:uid="{00000000-0005-0000-0000-0000B4320000}"/>
    <cellStyle name="20% - Accent5 10 3 2" xfId="9296" xr:uid="{00000000-0005-0000-0000-0000B5320000}"/>
    <cellStyle name="20% - Accent5 10 3 2 2" xfId="28747" xr:uid="{00000000-0005-0000-0000-0000B6320000}"/>
    <cellStyle name="20% - Accent5 10 3 2 3" xfId="38472" xr:uid="{00000000-0005-0000-0000-0000B7320000}"/>
    <cellStyle name="20% - Accent5 10 3 2 4" xfId="48197" xr:uid="{00000000-0005-0000-0000-0000B8320000}"/>
    <cellStyle name="20% - Accent5 10 3 2 5" xfId="19022" xr:uid="{00000000-0005-0000-0000-0000B9320000}"/>
    <cellStyle name="20% - Accent5 10 3 3" xfId="23885" xr:uid="{00000000-0005-0000-0000-0000BA320000}"/>
    <cellStyle name="20% - Accent5 10 3 4" xfId="33610" xr:uid="{00000000-0005-0000-0000-0000BB320000}"/>
    <cellStyle name="20% - Accent5 10 3 5" xfId="43335" xr:uid="{00000000-0005-0000-0000-0000BC320000}"/>
    <cellStyle name="20% - Accent5 10 3 6" xfId="14160" xr:uid="{00000000-0005-0000-0000-0000BD320000}"/>
    <cellStyle name="20% - Accent5 10 4" xfId="6056" xr:uid="{00000000-0005-0000-0000-0000BE320000}"/>
    <cellStyle name="20% - Accent5 10 4 2" xfId="25507" xr:uid="{00000000-0005-0000-0000-0000BF320000}"/>
    <cellStyle name="20% - Accent5 10 4 3" xfId="35232" xr:uid="{00000000-0005-0000-0000-0000C0320000}"/>
    <cellStyle name="20% - Accent5 10 4 4" xfId="44957" xr:uid="{00000000-0005-0000-0000-0000C1320000}"/>
    <cellStyle name="20% - Accent5 10 4 5" xfId="15782" xr:uid="{00000000-0005-0000-0000-0000C2320000}"/>
    <cellStyle name="20% - Accent5 10 5" xfId="20645" xr:uid="{00000000-0005-0000-0000-0000C3320000}"/>
    <cellStyle name="20% - Accent5 10 6" xfId="30370" xr:uid="{00000000-0005-0000-0000-0000C4320000}"/>
    <cellStyle name="20% - Accent5 10 7" xfId="40095" xr:uid="{00000000-0005-0000-0000-0000C5320000}"/>
    <cellStyle name="20% - Accent5 10 8" xfId="10920" xr:uid="{00000000-0005-0000-0000-0000C6320000}"/>
    <cellStyle name="20% - Accent5 11" xfId="1283" xr:uid="{00000000-0005-0000-0000-0000C7320000}"/>
    <cellStyle name="20% - Accent5 11 2" xfId="2904" xr:uid="{00000000-0005-0000-0000-0000C8320000}"/>
    <cellStyle name="20% - Accent5 11 2 2" xfId="7766" xr:uid="{00000000-0005-0000-0000-0000C9320000}"/>
    <cellStyle name="20% - Accent5 11 2 2 2" xfId="27217" xr:uid="{00000000-0005-0000-0000-0000CA320000}"/>
    <cellStyle name="20% - Accent5 11 2 2 3" xfId="36942" xr:uid="{00000000-0005-0000-0000-0000CB320000}"/>
    <cellStyle name="20% - Accent5 11 2 2 4" xfId="46667" xr:uid="{00000000-0005-0000-0000-0000CC320000}"/>
    <cellStyle name="20% - Accent5 11 2 2 5" xfId="17492" xr:uid="{00000000-0005-0000-0000-0000CD320000}"/>
    <cellStyle name="20% - Accent5 11 2 3" xfId="22355" xr:uid="{00000000-0005-0000-0000-0000CE320000}"/>
    <cellStyle name="20% - Accent5 11 2 4" xfId="32080" xr:uid="{00000000-0005-0000-0000-0000CF320000}"/>
    <cellStyle name="20% - Accent5 11 2 5" xfId="41805" xr:uid="{00000000-0005-0000-0000-0000D0320000}"/>
    <cellStyle name="20% - Accent5 11 2 6" xfId="12630" xr:uid="{00000000-0005-0000-0000-0000D1320000}"/>
    <cellStyle name="20% - Accent5 11 3" xfId="4524" xr:uid="{00000000-0005-0000-0000-0000D2320000}"/>
    <cellStyle name="20% - Accent5 11 3 2" xfId="9386" xr:uid="{00000000-0005-0000-0000-0000D3320000}"/>
    <cellStyle name="20% - Accent5 11 3 2 2" xfId="28837" xr:uid="{00000000-0005-0000-0000-0000D4320000}"/>
    <cellStyle name="20% - Accent5 11 3 2 3" xfId="38562" xr:uid="{00000000-0005-0000-0000-0000D5320000}"/>
    <cellStyle name="20% - Accent5 11 3 2 4" xfId="48287" xr:uid="{00000000-0005-0000-0000-0000D6320000}"/>
    <cellStyle name="20% - Accent5 11 3 2 5" xfId="19112" xr:uid="{00000000-0005-0000-0000-0000D7320000}"/>
    <cellStyle name="20% - Accent5 11 3 3" xfId="23975" xr:uid="{00000000-0005-0000-0000-0000D8320000}"/>
    <cellStyle name="20% - Accent5 11 3 4" xfId="33700" xr:uid="{00000000-0005-0000-0000-0000D9320000}"/>
    <cellStyle name="20% - Accent5 11 3 5" xfId="43425" xr:uid="{00000000-0005-0000-0000-0000DA320000}"/>
    <cellStyle name="20% - Accent5 11 3 6" xfId="14250" xr:uid="{00000000-0005-0000-0000-0000DB320000}"/>
    <cellStyle name="20% - Accent5 11 4" xfId="6146" xr:uid="{00000000-0005-0000-0000-0000DC320000}"/>
    <cellStyle name="20% - Accent5 11 4 2" xfId="25597" xr:uid="{00000000-0005-0000-0000-0000DD320000}"/>
    <cellStyle name="20% - Accent5 11 4 3" xfId="35322" xr:uid="{00000000-0005-0000-0000-0000DE320000}"/>
    <cellStyle name="20% - Accent5 11 4 4" xfId="45047" xr:uid="{00000000-0005-0000-0000-0000DF320000}"/>
    <cellStyle name="20% - Accent5 11 4 5" xfId="15872" xr:uid="{00000000-0005-0000-0000-0000E0320000}"/>
    <cellStyle name="20% - Accent5 11 5" xfId="20735" xr:uid="{00000000-0005-0000-0000-0000E1320000}"/>
    <cellStyle name="20% - Accent5 11 6" xfId="30460" xr:uid="{00000000-0005-0000-0000-0000E2320000}"/>
    <cellStyle name="20% - Accent5 11 7" xfId="40185" xr:uid="{00000000-0005-0000-0000-0000E3320000}"/>
    <cellStyle name="20% - Accent5 11 8" xfId="11010" xr:uid="{00000000-0005-0000-0000-0000E4320000}"/>
    <cellStyle name="20% - Accent5 12" xfId="454" xr:uid="{00000000-0005-0000-0000-0000E5320000}"/>
    <cellStyle name="20% - Accent5 12 2" xfId="2094" xr:uid="{00000000-0005-0000-0000-0000E6320000}"/>
    <cellStyle name="20% - Accent5 12 2 2" xfId="6956" xr:uid="{00000000-0005-0000-0000-0000E7320000}"/>
    <cellStyle name="20% - Accent5 12 2 2 2" xfId="26407" xr:uid="{00000000-0005-0000-0000-0000E8320000}"/>
    <cellStyle name="20% - Accent5 12 2 2 3" xfId="36132" xr:uid="{00000000-0005-0000-0000-0000E9320000}"/>
    <cellStyle name="20% - Accent5 12 2 2 4" xfId="45857" xr:uid="{00000000-0005-0000-0000-0000EA320000}"/>
    <cellStyle name="20% - Accent5 12 2 2 5" xfId="16682" xr:uid="{00000000-0005-0000-0000-0000EB320000}"/>
    <cellStyle name="20% - Accent5 12 2 3" xfId="21545" xr:uid="{00000000-0005-0000-0000-0000EC320000}"/>
    <cellStyle name="20% - Accent5 12 2 4" xfId="31270" xr:uid="{00000000-0005-0000-0000-0000ED320000}"/>
    <cellStyle name="20% - Accent5 12 2 5" xfId="40995" xr:uid="{00000000-0005-0000-0000-0000EE320000}"/>
    <cellStyle name="20% - Accent5 12 2 6" xfId="11820" xr:uid="{00000000-0005-0000-0000-0000EF320000}"/>
    <cellStyle name="20% - Accent5 12 3" xfId="3714" xr:uid="{00000000-0005-0000-0000-0000F0320000}"/>
    <cellStyle name="20% - Accent5 12 3 2" xfId="8576" xr:uid="{00000000-0005-0000-0000-0000F1320000}"/>
    <cellStyle name="20% - Accent5 12 3 2 2" xfId="28027" xr:uid="{00000000-0005-0000-0000-0000F2320000}"/>
    <cellStyle name="20% - Accent5 12 3 2 3" xfId="37752" xr:uid="{00000000-0005-0000-0000-0000F3320000}"/>
    <cellStyle name="20% - Accent5 12 3 2 4" xfId="47477" xr:uid="{00000000-0005-0000-0000-0000F4320000}"/>
    <cellStyle name="20% - Accent5 12 3 2 5" xfId="18302" xr:uid="{00000000-0005-0000-0000-0000F5320000}"/>
    <cellStyle name="20% - Accent5 12 3 3" xfId="23165" xr:uid="{00000000-0005-0000-0000-0000F6320000}"/>
    <cellStyle name="20% - Accent5 12 3 4" xfId="32890" xr:uid="{00000000-0005-0000-0000-0000F7320000}"/>
    <cellStyle name="20% - Accent5 12 3 5" xfId="42615" xr:uid="{00000000-0005-0000-0000-0000F8320000}"/>
    <cellStyle name="20% - Accent5 12 3 6" xfId="13440" xr:uid="{00000000-0005-0000-0000-0000F9320000}"/>
    <cellStyle name="20% - Accent5 12 4" xfId="5336" xr:uid="{00000000-0005-0000-0000-0000FA320000}"/>
    <cellStyle name="20% - Accent5 12 4 2" xfId="24787" xr:uid="{00000000-0005-0000-0000-0000FB320000}"/>
    <cellStyle name="20% - Accent5 12 4 3" xfId="34512" xr:uid="{00000000-0005-0000-0000-0000FC320000}"/>
    <cellStyle name="20% - Accent5 12 4 4" xfId="44237" xr:uid="{00000000-0005-0000-0000-0000FD320000}"/>
    <cellStyle name="20% - Accent5 12 4 5" xfId="15062" xr:uid="{00000000-0005-0000-0000-0000FE320000}"/>
    <cellStyle name="20% - Accent5 12 5" xfId="19925" xr:uid="{00000000-0005-0000-0000-0000FF320000}"/>
    <cellStyle name="20% - Accent5 12 6" xfId="29650" xr:uid="{00000000-0005-0000-0000-000000330000}"/>
    <cellStyle name="20% - Accent5 12 7" xfId="39375" xr:uid="{00000000-0005-0000-0000-000001330000}"/>
    <cellStyle name="20% - Accent5 12 8" xfId="10200" xr:uid="{00000000-0005-0000-0000-000002330000}"/>
    <cellStyle name="20% - Accent5 13" xfId="1643" xr:uid="{00000000-0005-0000-0000-000003330000}"/>
    <cellStyle name="20% - Accent5 13 2" xfId="3264" xr:uid="{00000000-0005-0000-0000-000004330000}"/>
    <cellStyle name="20% - Accent5 13 2 2" xfId="8126" xr:uid="{00000000-0005-0000-0000-000005330000}"/>
    <cellStyle name="20% - Accent5 13 2 2 2" xfId="27577" xr:uid="{00000000-0005-0000-0000-000006330000}"/>
    <cellStyle name="20% - Accent5 13 2 2 3" xfId="37302" xr:uid="{00000000-0005-0000-0000-000007330000}"/>
    <cellStyle name="20% - Accent5 13 2 2 4" xfId="47027" xr:uid="{00000000-0005-0000-0000-000008330000}"/>
    <cellStyle name="20% - Accent5 13 2 2 5" xfId="17852" xr:uid="{00000000-0005-0000-0000-000009330000}"/>
    <cellStyle name="20% - Accent5 13 2 3" xfId="22715" xr:uid="{00000000-0005-0000-0000-00000A330000}"/>
    <cellStyle name="20% - Accent5 13 2 4" xfId="32440" xr:uid="{00000000-0005-0000-0000-00000B330000}"/>
    <cellStyle name="20% - Accent5 13 2 5" xfId="42165" xr:uid="{00000000-0005-0000-0000-00000C330000}"/>
    <cellStyle name="20% - Accent5 13 2 6" xfId="12990" xr:uid="{00000000-0005-0000-0000-00000D330000}"/>
    <cellStyle name="20% - Accent5 13 3" xfId="4884" xr:uid="{00000000-0005-0000-0000-00000E330000}"/>
    <cellStyle name="20% - Accent5 13 3 2" xfId="9746" xr:uid="{00000000-0005-0000-0000-00000F330000}"/>
    <cellStyle name="20% - Accent5 13 3 2 2" xfId="29197" xr:uid="{00000000-0005-0000-0000-000010330000}"/>
    <cellStyle name="20% - Accent5 13 3 2 3" xfId="38922" xr:uid="{00000000-0005-0000-0000-000011330000}"/>
    <cellStyle name="20% - Accent5 13 3 2 4" xfId="48647" xr:uid="{00000000-0005-0000-0000-000012330000}"/>
    <cellStyle name="20% - Accent5 13 3 2 5" xfId="19472" xr:uid="{00000000-0005-0000-0000-000013330000}"/>
    <cellStyle name="20% - Accent5 13 3 3" xfId="24335" xr:uid="{00000000-0005-0000-0000-000014330000}"/>
    <cellStyle name="20% - Accent5 13 3 4" xfId="34060" xr:uid="{00000000-0005-0000-0000-000015330000}"/>
    <cellStyle name="20% - Accent5 13 3 5" xfId="43785" xr:uid="{00000000-0005-0000-0000-000016330000}"/>
    <cellStyle name="20% - Accent5 13 3 6" xfId="14610" xr:uid="{00000000-0005-0000-0000-000017330000}"/>
    <cellStyle name="20% - Accent5 13 4" xfId="6506" xr:uid="{00000000-0005-0000-0000-000018330000}"/>
    <cellStyle name="20% - Accent5 13 4 2" xfId="25957" xr:uid="{00000000-0005-0000-0000-000019330000}"/>
    <cellStyle name="20% - Accent5 13 4 3" xfId="35682" xr:uid="{00000000-0005-0000-0000-00001A330000}"/>
    <cellStyle name="20% - Accent5 13 4 4" xfId="45407" xr:uid="{00000000-0005-0000-0000-00001B330000}"/>
    <cellStyle name="20% - Accent5 13 4 5" xfId="16232" xr:uid="{00000000-0005-0000-0000-00001C330000}"/>
    <cellStyle name="20% - Accent5 13 5" xfId="21095" xr:uid="{00000000-0005-0000-0000-00001D330000}"/>
    <cellStyle name="20% - Accent5 13 6" xfId="30820" xr:uid="{00000000-0005-0000-0000-00001E330000}"/>
    <cellStyle name="20% - Accent5 13 7" xfId="40545" xr:uid="{00000000-0005-0000-0000-00001F330000}"/>
    <cellStyle name="20% - Accent5 13 8" xfId="11370" xr:uid="{00000000-0005-0000-0000-000020330000}"/>
    <cellStyle name="20% - Accent5 14" xfId="1734" xr:uid="{00000000-0005-0000-0000-000021330000}"/>
    <cellStyle name="20% - Accent5 14 2" xfId="6596" xr:uid="{00000000-0005-0000-0000-000022330000}"/>
    <cellStyle name="20% - Accent5 14 2 2" xfId="26047" xr:uid="{00000000-0005-0000-0000-000023330000}"/>
    <cellStyle name="20% - Accent5 14 2 3" xfId="35772" xr:uid="{00000000-0005-0000-0000-000024330000}"/>
    <cellStyle name="20% - Accent5 14 2 4" xfId="45497" xr:uid="{00000000-0005-0000-0000-000025330000}"/>
    <cellStyle name="20% - Accent5 14 2 5" xfId="16322" xr:uid="{00000000-0005-0000-0000-000026330000}"/>
    <cellStyle name="20% - Accent5 14 3" xfId="21185" xr:uid="{00000000-0005-0000-0000-000027330000}"/>
    <cellStyle name="20% - Accent5 14 4" xfId="30910" xr:uid="{00000000-0005-0000-0000-000028330000}"/>
    <cellStyle name="20% - Accent5 14 5" xfId="40635" xr:uid="{00000000-0005-0000-0000-000029330000}"/>
    <cellStyle name="20% - Accent5 14 6" xfId="11460" xr:uid="{00000000-0005-0000-0000-00002A330000}"/>
    <cellStyle name="20% - Accent5 15" xfId="3354" xr:uid="{00000000-0005-0000-0000-00002B330000}"/>
    <cellStyle name="20% - Accent5 15 2" xfId="8216" xr:uid="{00000000-0005-0000-0000-00002C330000}"/>
    <cellStyle name="20% - Accent5 15 2 2" xfId="27667" xr:uid="{00000000-0005-0000-0000-00002D330000}"/>
    <cellStyle name="20% - Accent5 15 2 3" xfId="37392" xr:uid="{00000000-0005-0000-0000-00002E330000}"/>
    <cellStyle name="20% - Accent5 15 2 4" xfId="47117" xr:uid="{00000000-0005-0000-0000-00002F330000}"/>
    <cellStyle name="20% - Accent5 15 2 5" xfId="17942" xr:uid="{00000000-0005-0000-0000-000030330000}"/>
    <cellStyle name="20% - Accent5 15 3" xfId="22805" xr:uid="{00000000-0005-0000-0000-000031330000}"/>
    <cellStyle name="20% - Accent5 15 4" xfId="32530" xr:uid="{00000000-0005-0000-0000-000032330000}"/>
    <cellStyle name="20% - Accent5 15 5" xfId="42255" xr:uid="{00000000-0005-0000-0000-000033330000}"/>
    <cellStyle name="20% - Accent5 15 6" xfId="13080" xr:uid="{00000000-0005-0000-0000-000034330000}"/>
    <cellStyle name="20% - Accent5 16" xfId="4976" xr:uid="{00000000-0005-0000-0000-000035330000}"/>
    <cellStyle name="20% - Accent5 16 2" xfId="24427" xr:uid="{00000000-0005-0000-0000-000036330000}"/>
    <cellStyle name="20% - Accent5 16 3" xfId="34152" xr:uid="{00000000-0005-0000-0000-000037330000}"/>
    <cellStyle name="20% - Accent5 16 4" xfId="43877" xr:uid="{00000000-0005-0000-0000-000038330000}"/>
    <cellStyle name="20% - Accent5 16 5" xfId="14702" xr:uid="{00000000-0005-0000-0000-000039330000}"/>
    <cellStyle name="20% - Accent5 17" xfId="19565" xr:uid="{00000000-0005-0000-0000-00003A330000}"/>
    <cellStyle name="20% - Accent5 18" xfId="29290" xr:uid="{00000000-0005-0000-0000-00003B330000}"/>
    <cellStyle name="20% - Accent5 19" xfId="39015" xr:uid="{00000000-0005-0000-0000-00003C330000}"/>
    <cellStyle name="20% - Accent5 2" xfId="63" xr:uid="{00000000-0005-0000-0000-00003D330000}"/>
    <cellStyle name="20% - Accent5 2 10" xfId="468" xr:uid="{00000000-0005-0000-0000-00003E330000}"/>
    <cellStyle name="20% - Accent5 2 10 2" xfId="2108" xr:uid="{00000000-0005-0000-0000-00003F330000}"/>
    <cellStyle name="20% - Accent5 2 10 2 2" xfId="6970" xr:uid="{00000000-0005-0000-0000-000040330000}"/>
    <cellStyle name="20% - Accent5 2 10 2 2 2" xfId="26421" xr:uid="{00000000-0005-0000-0000-000041330000}"/>
    <cellStyle name="20% - Accent5 2 10 2 2 3" xfId="36146" xr:uid="{00000000-0005-0000-0000-000042330000}"/>
    <cellStyle name="20% - Accent5 2 10 2 2 4" xfId="45871" xr:uid="{00000000-0005-0000-0000-000043330000}"/>
    <cellStyle name="20% - Accent5 2 10 2 2 5" xfId="16696" xr:uid="{00000000-0005-0000-0000-000044330000}"/>
    <cellStyle name="20% - Accent5 2 10 2 3" xfId="21559" xr:uid="{00000000-0005-0000-0000-000045330000}"/>
    <cellStyle name="20% - Accent5 2 10 2 4" xfId="31284" xr:uid="{00000000-0005-0000-0000-000046330000}"/>
    <cellStyle name="20% - Accent5 2 10 2 5" xfId="41009" xr:uid="{00000000-0005-0000-0000-000047330000}"/>
    <cellStyle name="20% - Accent5 2 10 2 6" xfId="11834" xr:uid="{00000000-0005-0000-0000-000048330000}"/>
    <cellStyle name="20% - Accent5 2 10 3" xfId="3728" xr:uid="{00000000-0005-0000-0000-000049330000}"/>
    <cellStyle name="20% - Accent5 2 10 3 2" xfId="8590" xr:uid="{00000000-0005-0000-0000-00004A330000}"/>
    <cellStyle name="20% - Accent5 2 10 3 2 2" xfId="28041" xr:uid="{00000000-0005-0000-0000-00004B330000}"/>
    <cellStyle name="20% - Accent5 2 10 3 2 3" xfId="37766" xr:uid="{00000000-0005-0000-0000-00004C330000}"/>
    <cellStyle name="20% - Accent5 2 10 3 2 4" xfId="47491" xr:uid="{00000000-0005-0000-0000-00004D330000}"/>
    <cellStyle name="20% - Accent5 2 10 3 2 5" xfId="18316" xr:uid="{00000000-0005-0000-0000-00004E330000}"/>
    <cellStyle name="20% - Accent5 2 10 3 3" xfId="23179" xr:uid="{00000000-0005-0000-0000-00004F330000}"/>
    <cellStyle name="20% - Accent5 2 10 3 4" xfId="32904" xr:uid="{00000000-0005-0000-0000-000050330000}"/>
    <cellStyle name="20% - Accent5 2 10 3 5" xfId="42629" xr:uid="{00000000-0005-0000-0000-000051330000}"/>
    <cellStyle name="20% - Accent5 2 10 3 6" xfId="13454" xr:uid="{00000000-0005-0000-0000-000052330000}"/>
    <cellStyle name="20% - Accent5 2 10 4" xfId="5350" xr:uid="{00000000-0005-0000-0000-000053330000}"/>
    <cellStyle name="20% - Accent5 2 10 4 2" xfId="24801" xr:uid="{00000000-0005-0000-0000-000054330000}"/>
    <cellStyle name="20% - Accent5 2 10 4 3" xfId="34526" xr:uid="{00000000-0005-0000-0000-000055330000}"/>
    <cellStyle name="20% - Accent5 2 10 4 4" xfId="44251" xr:uid="{00000000-0005-0000-0000-000056330000}"/>
    <cellStyle name="20% - Accent5 2 10 4 5" xfId="15076" xr:uid="{00000000-0005-0000-0000-000057330000}"/>
    <cellStyle name="20% - Accent5 2 10 5" xfId="19939" xr:uid="{00000000-0005-0000-0000-000058330000}"/>
    <cellStyle name="20% - Accent5 2 10 6" xfId="29664" xr:uid="{00000000-0005-0000-0000-000059330000}"/>
    <cellStyle name="20% - Accent5 2 10 7" xfId="39389" xr:uid="{00000000-0005-0000-0000-00005A330000}"/>
    <cellStyle name="20% - Accent5 2 10 8" xfId="10214" xr:uid="{00000000-0005-0000-0000-00005B330000}"/>
    <cellStyle name="20% - Accent5 2 11" xfId="1657" xr:uid="{00000000-0005-0000-0000-00005C330000}"/>
    <cellStyle name="20% - Accent5 2 11 2" xfId="3278" xr:uid="{00000000-0005-0000-0000-00005D330000}"/>
    <cellStyle name="20% - Accent5 2 11 2 2" xfId="8140" xr:uid="{00000000-0005-0000-0000-00005E330000}"/>
    <cellStyle name="20% - Accent5 2 11 2 2 2" xfId="27591" xr:uid="{00000000-0005-0000-0000-00005F330000}"/>
    <cellStyle name="20% - Accent5 2 11 2 2 3" xfId="37316" xr:uid="{00000000-0005-0000-0000-000060330000}"/>
    <cellStyle name="20% - Accent5 2 11 2 2 4" xfId="47041" xr:uid="{00000000-0005-0000-0000-000061330000}"/>
    <cellStyle name="20% - Accent5 2 11 2 2 5" xfId="17866" xr:uid="{00000000-0005-0000-0000-000062330000}"/>
    <cellStyle name="20% - Accent5 2 11 2 3" xfId="22729" xr:uid="{00000000-0005-0000-0000-000063330000}"/>
    <cellStyle name="20% - Accent5 2 11 2 4" xfId="32454" xr:uid="{00000000-0005-0000-0000-000064330000}"/>
    <cellStyle name="20% - Accent5 2 11 2 5" xfId="42179" xr:uid="{00000000-0005-0000-0000-000065330000}"/>
    <cellStyle name="20% - Accent5 2 11 2 6" xfId="13004" xr:uid="{00000000-0005-0000-0000-000066330000}"/>
    <cellStyle name="20% - Accent5 2 11 3" xfId="4898" xr:uid="{00000000-0005-0000-0000-000067330000}"/>
    <cellStyle name="20% - Accent5 2 11 3 2" xfId="9760" xr:uid="{00000000-0005-0000-0000-000068330000}"/>
    <cellStyle name="20% - Accent5 2 11 3 2 2" xfId="29211" xr:uid="{00000000-0005-0000-0000-000069330000}"/>
    <cellStyle name="20% - Accent5 2 11 3 2 3" xfId="38936" xr:uid="{00000000-0005-0000-0000-00006A330000}"/>
    <cellStyle name="20% - Accent5 2 11 3 2 4" xfId="48661" xr:uid="{00000000-0005-0000-0000-00006B330000}"/>
    <cellStyle name="20% - Accent5 2 11 3 2 5" xfId="19486" xr:uid="{00000000-0005-0000-0000-00006C330000}"/>
    <cellStyle name="20% - Accent5 2 11 3 3" xfId="24349" xr:uid="{00000000-0005-0000-0000-00006D330000}"/>
    <cellStyle name="20% - Accent5 2 11 3 4" xfId="34074" xr:uid="{00000000-0005-0000-0000-00006E330000}"/>
    <cellStyle name="20% - Accent5 2 11 3 5" xfId="43799" xr:uid="{00000000-0005-0000-0000-00006F330000}"/>
    <cellStyle name="20% - Accent5 2 11 3 6" xfId="14624" xr:uid="{00000000-0005-0000-0000-000070330000}"/>
    <cellStyle name="20% - Accent5 2 11 4" xfId="6520" xr:uid="{00000000-0005-0000-0000-000071330000}"/>
    <cellStyle name="20% - Accent5 2 11 4 2" xfId="25971" xr:uid="{00000000-0005-0000-0000-000072330000}"/>
    <cellStyle name="20% - Accent5 2 11 4 3" xfId="35696" xr:uid="{00000000-0005-0000-0000-000073330000}"/>
    <cellStyle name="20% - Accent5 2 11 4 4" xfId="45421" xr:uid="{00000000-0005-0000-0000-000074330000}"/>
    <cellStyle name="20% - Accent5 2 11 4 5" xfId="16246" xr:uid="{00000000-0005-0000-0000-000075330000}"/>
    <cellStyle name="20% - Accent5 2 11 5" xfId="21109" xr:uid="{00000000-0005-0000-0000-000076330000}"/>
    <cellStyle name="20% - Accent5 2 11 6" xfId="30834" xr:uid="{00000000-0005-0000-0000-000077330000}"/>
    <cellStyle name="20% - Accent5 2 11 7" xfId="40559" xr:uid="{00000000-0005-0000-0000-000078330000}"/>
    <cellStyle name="20% - Accent5 2 11 8" xfId="11384" xr:uid="{00000000-0005-0000-0000-000079330000}"/>
    <cellStyle name="20% - Accent5 2 12" xfId="1748" xr:uid="{00000000-0005-0000-0000-00007A330000}"/>
    <cellStyle name="20% - Accent5 2 12 2" xfId="6610" xr:uid="{00000000-0005-0000-0000-00007B330000}"/>
    <cellStyle name="20% - Accent5 2 12 2 2" xfId="26061" xr:uid="{00000000-0005-0000-0000-00007C330000}"/>
    <cellStyle name="20% - Accent5 2 12 2 3" xfId="35786" xr:uid="{00000000-0005-0000-0000-00007D330000}"/>
    <cellStyle name="20% - Accent5 2 12 2 4" xfId="45511" xr:uid="{00000000-0005-0000-0000-00007E330000}"/>
    <cellStyle name="20% - Accent5 2 12 2 5" xfId="16336" xr:uid="{00000000-0005-0000-0000-00007F330000}"/>
    <cellStyle name="20% - Accent5 2 12 3" xfId="21199" xr:uid="{00000000-0005-0000-0000-000080330000}"/>
    <cellStyle name="20% - Accent5 2 12 4" xfId="30924" xr:uid="{00000000-0005-0000-0000-000081330000}"/>
    <cellStyle name="20% - Accent5 2 12 5" xfId="40649" xr:uid="{00000000-0005-0000-0000-000082330000}"/>
    <cellStyle name="20% - Accent5 2 12 6" xfId="11474" xr:uid="{00000000-0005-0000-0000-000083330000}"/>
    <cellStyle name="20% - Accent5 2 13" xfId="3368" xr:uid="{00000000-0005-0000-0000-000084330000}"/>
    <cellStyle name="20% - Accent5 2 13 2" xfId="8230" xr:uid="{00000000-0005-0000-0000-000085330000}"/>
    <cellStyle name="20% - Accent5 2 13 2 2" xfId="27681" xr:uid="{00000000-0005-0000-0000-000086330000}"/>
    <cellStyle name="20% - Accent5 2 13 2 3" xfId="37406" xr:uid="{00000000-0005-0000-0000-000087330000}"/>
    <cellStyle name="20% - Accent5 2 13 2 4" xfId="47131" xr:uid="{00000000-0005-0000-0000-000088330000}"/>
    <cellStyle name="20% - Accent5 2 13 2 5" xfId="17956" xr:uid="{00000000-0005-0000-0000-000089330000}"/>
    <cellStyle name="20% - Accent5 2 13 3" xfId="22819" xr:uid="{00000000-0005-0000-0000-00008A330000}"/>
    <cellStyle name="20% - Accent5 2 13 4" xfId="32544" xr:uid="{00000000-0005-0000-0000-00008B330000}"/>
    <cellStyle name="20% - Accent5 2 13 5" xfId="42269" xr:uid="{00000000-0005-0000-0000-00008C330000}"/>
    <cellStyle name="20% - Accent5 2 13 6" xfId="13094" xr:uid="{00000000-0005-0000-0000-00008D330000}"/>
    <cellStyle name="20% - Accent5 2 14" xfId="4990" xr:uid="{00000000-0005-0000-0000-00008E330000}"/>
    <cellStyle name="20% - Accent5 2 14 2" xfId="24441" xr:uid="{00000000-0005-0000-0000-00008F330000}"/>
    <cellStyle name="20% - Accent5 2 14 3" xfId="34166" xr:uid="{00000000-0005-0000-0000-000090330000}"/>
    <cellStyle name="20% - Accent5 2 14 4" xfId="43891" xr:uid="{00000000-0005-0000-0000-000091330000}"/>
    <cellStyle name="20% - Accent5 2 14 5" xfId="14716" xr:uid="{00000000-0005-0000-0000-000092330000}"/>
    <cellStyle name="20% - Accent5 2 15" xfId="19579" xr:uid="{00000000-0005-0000-0000-000093330000}"/>
    <cellStyle name="20% - Accent5 2 16" xfId="29304" xr:uid="{00000000-0005-0000-0000-000094330000}"/>
    <cellStyle name="20% - Accent5 2 17" xfId="39029" xr:uid="{00000000-0005-0000-0000-000095330000}"/>
    <cellStyle name="20% - Accent5 2 18" xfId="9854" xr:uid="{00000000-0005-0000-0000-000096330000}"/>
    <cellStyle name="20% - Accent5 2 2" xfId="94" xr:uid="{00000000-0005-0000-0000-000097330000}"/>
    <cellStyle name="20% - Accent5 2 2 10" xfId="1778" xr:uid="{00000000-0005-0000-0000-000098330000}"/>
    <cellStyle name="20% - Accent5 2 2 10 2" xfId="6640" xr:uid="{00000000-0005-0000-0000-000099330000}"/>
    <cellStyle name="20% - Accent5 2 2 10 2 2" xfId="26091" xr:uid="{00000000-0005-0000-0000-00009A330000}"/>
    <cellStyle name="20% - Accent5 2 2 10 2 3" xfId="35816" xr:uid="{00000000-0005-0000-0000-00009B330000}"/>
    <cellStyle name="20% - Accent5 2 2 10 2 4" xfId="45541" xr:uid="{00000000-0005-0000-0000-00009C330000}"/>
    <cellStyle name="20% - Accent5 2 2 10 2 5" xfId="16366" xr:uid="{00000000-0005-0000-0000-00009D330000}"/>
    <cellStyle name="20% - Accent5 2 2 10 3" xfId="21229" xr:uid="{00000000-0005-0000-0000-00009E330000}"/>
    <cellStyle name="20% - Accent5 2 2 10 4" xfId="30954" xr:uid="{00000000-0005-0000-0000-00009F330000}"/>
    <cellStyle name="20% - Accent5 2 2 10 5" xfId="40679" xr:uid="{00000000-0005-0000-0000-0000A0330000}"/>
    <cellStyle name="20% - Accent5 2 2 10 6" xfId="11504" xr:uid="{00000000-0005-0000-0000-0000A1330000}"/>
    <cellStyle name="20% - Accent5 2 2 11" xfId="3398" xr:uid="{00000000-0005-0000-0000-0000A2330000}"/>
    <cellStyle name="20% - Accent5 2 2 11 2" xfId="8260" xr:uid="{00000000-0005-0000-0000-0000A3330000}"/>
    <cellStyle name="20% - Accent5 2 2 11 2 2" xfId="27711" xr:uid="{00000000-0005-0000-0000-0000A4330000}"/>
    <cellStyle name="20% - Accent5 2 2 11 2 3" xfId="37436" xr:uid="{00000000-0005-0000-0000-0000A5330000}"/>
    <cellStyle name="20% - Accent5 2 2 11 2 4" xfId="47161" xr:uid="{00000000-0005-0000-0000-0000A6330000}"/>
    <cellStyle name="20% - Accent5 2 2 11 2 5" xfId="17986" xr:uid="{00000000-0005-0000-0000-0000A7330000}"/>
    <cellStyle name="20% - Accent5 2 2 11 3" xfId="22849" xr:uid="{00000000-0005-0000-0000-0000A8330000}"/>
    <cellStyle name="20% - Accent5 2 2 11 4" xfId="32574" xr:uid="{00000000-0005-0000-0000-0000A9330000}"/>
    <cellStyle name="20% - Accent5 2 2 11 5" xfId="42299" xr:uid="{00000000-0005-0000-0000-0000AA330000}"/>
    <cellStyle name="20% - Accent5 2 2 11 6" xfId="13124" xr:uid="{00000000-0005-0000-0000-0000AB330000}"/>
    <cellStyle name="20% - Accent5 2 2 12" xfId="5020" xr:uid="{00000000-0005-0000-0000-0000AC330000}"/>
    <cellStyle name="20% - Accent5 2 2 12 2" xfId="24471" xr:uid="{00000000-0005-0000-0000-0000AD330000}"/>
    <cellStyle name="20% - Accent5 2 2 12 3" xfId="34196" xr:uid="{00000000-0005-0000-0000-0000AE330000}"/>
    <cellStyle name="20% - Accent5 2 2 12 4" xfId="43921" xr:uid="{00000000-0005-0000-0000-0000AF330000}"/>
    <cellStyle name="20% - Accent5 2 2 12 5" xfId="14746" xr:uid="{00000000-0005-0000-0000-0000B0330000}"/>
    <cellStyle name="20% - Accent5 2 2 13" xfId="19609" xr:uid="{00000000-0005-0000-0000-0000B1330000}"/>
    <cellStyle name="20% - Accent5 2 2 14" xfId="29334" xr:uid="{00000000-0005-0000-0000-0000B2330000}"/>
    <cellStyle name="20% - Accent5 2 2 15" xfId="39059" xr:uid="{00000000-0005-0000-0000-0000B3330000}"/>
    <cellStyle name="20% - Accent5 2 2 16" xfId="9884" xr:uid="{00000000-0005-0000-0000-0000B4330000}"/>
    <cellStyle name="20% - Accent5 2 2 2" xfId="276" xr:uid="{00000000-0005-0000-0000-0000B5330000}"/>
    <cellStyle name="20% - Accent5 2 2 2 10" xfId="39239" xr:uid="{00000000-0005-0000-0000-0000B6330000}"/>
    <cellStyle name="20% - Accent5 2 2 2 11" xfId="10064" xr:uid="{00000000-0005-0000-0000-0000B7330000}"/>
    <cellStyle name="20% - Accent5 2 2 2 2" xfId="1040" xr:uid="{00000000-0005-0000-0000-0000B8330000}"/>
    <cellStyle name="20% - Accent5 2 2 2 2 2" xfId="2678" xr:uid="{00000000-0005-0000-0000-0000B9330000}"/>
    <cellStyle name="20% - Accent5 2 2 2 2 2 2" xfId="7540" xr:uid="{00000000-0005-0000-0000-0000BA330000}"/>
    <cellStyle name="20% - Accent5 2 2 2 2 2 2 2" xfId="26991" xr:uid="{00000000-0005-0000-0000-0000BB330000}"/>
    <cellStyle name="20% - Accent5 2 2 2 2 2 2 3" xfId="36716" xr:uid="{00000000-0005-0000-0000-0000BC330000}"/>
    <cellStyle name="20% - Accent5 2 2 2 2 2 2 4" xfId="46441" xr:uid="{00000000-0005-0000-0000-0000BD330000}"/>
    <cellStyle name="20% - Accent5 2 2 2 2 2 2 5" xfId="17266" xr:uid="{00000000-0005-0000-0000-0000BE330000}"/>
    <cellStyle name="20% - Accent5 2 2 2 2 2 3" xfId="22129" xr:uid="{00000000-0005-0000-0000-0000BF330000}"/>
    <cellStyle name="20% - Accent5 2 2 2 2 2 4" xfId="31854" xr:uid="{00000000-0005-0000-0000-0000C0330000}"/>
    <cellStyle name="20% - Accent5 2 2 2 2 2 5" xfId="41579" xr:uid="{00000000-0005-0000-0000-0000C1330000}"/>
    <cellStyle name="20% - Accent5 2 2 2 2 2 6" xfId="12404" xr:uid="{00000000-0005-0000-0000-0000C2330000}"/>
    <cellStyle name="20% - Accent5 2 2 2 2 3" xfId="4298" xr:uid="{00000000-0005-0000-0000-0000C3330000}"/>
    <cellStyle name="20% - Accent5 2 2 2 2 3 2" xfId="9160" xr:uid="{00000000-0005-0000-0000-0000C4330000}"/>
    <cellStyle name="20% - Accent5 2 2 2 2 3 2 2" xfId="28611" xr:uid="{00000000-0005-0000-0000-0000C5330000}"/>
    <cellStyle name="20% - Accent5 2 2 2 2 3 2 3" xfId="38336" xr:uid="{00000000-0005-0000-0000-0000C6330000}"/>
    <cellStyle name="20% - Accent5 2 2 2 2 3 2 4" xfId="48061" xr:uid="{00000000-0005-0000-0000-0000C7330000}"/>
    <cellStyle name="20% - Accent5 2 2 2 2 3 2 5" xfId="18886" xr:uid="{00000000-0005-0000-0000-0000C8330000}"/>
    <cellStyle name="20% - Accent5 2 2 2 2 3 3" xfId="23749" xr:uid="{00000000-0005-0000-0000-0000C9330000}"/>
    <cellStyle name="20% - Accent5 2 2 2 2 3 4" xfId="33474" xr:uid="{00000000-0005-0000-0000-0000CA330000}"/>
    <cellStyle name="20% - Accent5 2 2 2 2 3 5" xfId="43199" xr:uid="{00000000-0005-0000-0000-0000CB330000}"/>
    <cellStyle name="20% - Accent5 2 2 2 2 3 6" xfId="14024" xr:uid="{00000000-0005-0000-0000-0000CC330000}"/>
    <cellStyle name="20% - Accent5 2 2 2 2 4" xfId="5920" xr:uid="{00000000-0005-0000-0000-0000CD330000}"/>
    <cellStyle name="20% - Accent5 2 2 2 2 4 2" xfId="25371" xr:uid="{00000000-0005-0000-0000-0000CE330000}"/>
    <cellStyle name="20% - Accent5 2 2 2 2 4 3" xfId="35096" xr:uid="{00000000-0005-0000-0000-0000CF330000}"/>
    <cellStyle name="20% - Accent5 2 2 2 2 4 4" xfId="44821" xr:uid="{00000000-0005-0000-0000-0000D0330000}"/>
    <cellStyle name="20% - Accent5 2 2 2 2 4 5" xfId="15646" xr:uid="{00000000-0005-0000-0000-0000D1330000}"/>
    <cellStyle name="20% - Accent5 2 2 2 2 5" xfId="20509" xr:uid="{00000000-0005-0000-0000-0000D2330000}"/>
    <cellStyle name="20% - Accent5 2 2 2 2 6" xfId="30234" xr:uid="{00000000-0005-0000-0000-0000D3330000}"/>
    <cellStyle name="20% - Accent5 2 2 2 2 7" xfId="39959" xr:uid="{00000000-0005-0000-0000-0000D4330000}"/>
    <cellStyle name="20% - Accent5 2 2 2 2 8" xfId="10784" xr:uid="{00000000-0005-0000-0000-0000D5330000}"/>
    <cellStyle name="20% - Accent5 2 2 2 3" xfId="1507" xr:uid="{00000000-0005-0000-0000-0000D6330000}"/>
    <cellStyle name="20% - Accent5 2 2 2 3 2" xfId="3128" xr:uid="{00000000-0005-0000-0000-0000D7330000}"/>
    <cellStyle name="20% - Accent5 2 2 2 3 2 2" xfId="7990" xr:uid="{00000000-0005-0000-0000-0000D8330000}"/>
    <cellStyle name="20% - Accent5 2 2 2 3 2 2 2" xfId="27441" xr:uid="{00000000-0005-0000-0000-0000D9330000}"/>
    <cellStyle name="20% - Accent5 2 2 2 3 2 2 3" xfId="37166" xr:uid="{00000000-0005-0000-0000-0000DA330000}"/>
    <cellStyle name="20% - Accent5 2 2 2 3 2 2 4" xfId="46891" xr:uid="{00000000-0005-0000-0000-0000DB330000}"/>
    <cellStyle name="20% - Accent5 2 2 2 3 2 2 5" xfId="17716" xr:uid="{00000000-0005-0000-0000-0000DC330000}"/>
    <cellStyle name="20% - Accent5 2 2 2 3 2 3" xfId="22579" xr:uid="{00000000-0005-0000-0000-0000DD330000}"/>
    <cellStyle name="20% - Accent5 2 2 2 3 2 4" xfId="32304" xr:uid="{00000000-0005-0000-0000-0000DE330000}"/>
    <cellStyle name="20% - Accent5 2 2 2 3 2 5" xfId="42029" xr:uid="{00000000-0005-0000-0000-0000DF330000}"/>
    <cellStyle name="20% - Accent5 2 2 2 3 2 6" xfId="12854" xr:uid="{00000000-0005-0000-0000-0000E0330000}"/>
    <cellStyle name="20% - Accent5 2 2 2 3 3" xfId="4748" xr:uid="{00000000-0005-0000-0000-0000E1330000}"/>
    <cellStyle name="20% - Accent5 2 2 2 3 3 2" xfId="9610" xr:uid="{00000000-0005-0000-0000-0000E2330000}"/>
    <cellStyle name="20% - Accent5 2 2 2 3 3 2 2" xfId="29061" xr:uid="{00000000-0005-0000-0000-0000E3330000}"/>
    <cellStyle name="20% - Accent5 2 2 2 3 3 2 3" xfId="38786" xr:uid="{00000000-0005-0000-0000-0000E4330000}"/>
    <cellStyle name="20% - Accent5 2 2 2 3 3 2 4" xfId="48511" xr:uid="{00000000-0005-0000-0000-0000E5330000}"/>
    <cellStyle name="20% - Accent5 2 2 2 3 3 2 5" xfId="19336" xr:uid="{00000000-0005-0000-0000-0000E6330000}"/>
    <cellStyle name="20% - Accent5 2 2 2 3 3 3" xfId="24199" xr:uid="{00000000-0005-0000-0000-0000E7330000}"/>
    <cellStyle name="20% - Accent5 2 2 2 3 3 4" xfId="33924" xr:uid="{00000000-0005-0000-0000-0000E8330000}"/>
    <cellStyle name="20% - Accent5 2 2 2 3 3 5" xfId="43649" xr:uid="{00000000-0005-0000-0000-0000E9330000}"/>
    <cellStyle name="20% - Accent5 2 2 2 3 3 6" xfId="14474" xr:uid="{00000000-0005-0000-0000-0000EA330000}"/>
    <cellStyle name="20% - Accent5 2 2 2 3 4" xfId="6370" xr:uid="{00000000-0005-0000-0000-0000EB330000}"/>
    <cellStyle name="20% - Accent5 2 2 2 3 4 2" xfId="25821" xr:uid="{00000000-0005-0000-0000-0000EC330000}"/>
    <cellStyle name="20% - Accent5 2 2 2 3 4 3" xfId="35546" xr:uid="{00000000-0005-0000-0000-0000ED330000}"/>
    <cellStyle name="20% - Accent5 2 2 2 3 4 4" xfId="45271" xr:uid="{00000000-0005-0000-0000-0000EE330000}"/>
    <cellStyle name="20% - Accent5 2 2 2 3 4 5" xfId="16096" xr:uid="{00000000-0005-0000-0000-0000EF330000}"/>
    <cellStyle name="20% - Accent5 2 2 2 3 5" xfId="20959" xr:uid="{00000000-0005-0000-0000-0000F0330000}"/>
    <cellStyle name="20% - Accent5 2 2 2 3 6" xfId="30684" xr:uid="{00000000-0005-0000-0000-0000F1330000}"/>
    <cellStyle name="20% - Accent5 2 2 2 3 7" xfId="40409" xr:uid="{00000000-0005-0000-0000-0000F2330000}"/>
    <cellStyle name="20% - Accent5 2 2 2 3 8" xfId="11234" xr:uid="{00000000-0005-0000-0000-0000F3330000}"/>
    <cellStyle name="20% - Accent5 2 2 2 4" xfId="678" xr:uid="{00000000-0005-0000-0000-0000F4330000}"/>
    <cellStyle name="20% - Accent5 2 2 2 4 2" xfId="2318" xr:uid="{00000000-0005-0000-0000-0000F5330000}"/>
    <cellStyle name="20% - Accent5 2 2 2 4 2 2" xfId="7180" xr:uid="{00000000-0005-0000-0000-0000F6330000}"/>
    <cellStyle name="20% - Accent5 2 2 2 4 2 2 2" xfId="26631" xr:uid="{00000000-0005-0000-0000-0000F7330000}"/>
    <cellStyle name="20% - Accent5 2 2 2 4 2 2 3" xfId="36356" xr:uid="{00000000-0005-0000-0000-0000F8330000}"/>
    <cellStyle name="20% - Accent5 2 2 2 4 2 2 4" xfId="46081" xr:uid="{00000000-0005-0000-0000-0000F9330000}"/>
    <cellStyle name="20% - Accent5 2 2 2 4 2 2 5" xfId="16906" xr:uid="{00000000-0005-0000-0000-0000FA330000}"/>
    <cellStyle name="20% - Accent5 2 2 2 4 2 3" xfId="21769" xr:uid="{00000000-0005-0000-0000-0000FB330000}"/>
    <cellStyle name="20% - Accent5 2 2 2 4 2 4" xfId="31494" xr:uid="{00000000-0005-0000-0000-0000FC330000}"/>
    <cellStyle name="20% - Accent5 2 2 2 4 2 5" xfId="41219" xr:uid="{00000000-0005-0000-0000-0000FD330000}"/>
    <cellStyle name="20% - Accent5 2 2 2 4 2 6" xfId="12044" xr:uid="{00000000-0005-0000-0000-0000FE330000}"/>
    <cellStyle name="20% - Accent5 2 2 2 4 3" xfId="3938" xr:uid="{00000000-0005-0000-0000-0000FF330000}"/>
    <cellStyle name="20% - Accent5 2 2 2 4 3 2" xfId="8800" xr:uid="{00000000-0005-0000-0000-000000340000}"/>
    <cellStyle name="20% - Accent5 2 2 2 4 3 2 2" xfId="28251" xr:uid="{00000000-0005-0000-0000-000001340000}"/>
    <cellStyle name="20% - Accent5 2 2 2 4 3 2 3" xfId="37976" xr:uid="{00000000-0005-0000-0000-000002340000}"/>
    <cellStyle name="20% - Accent5 2 2 2 4 3 2 4" xfId="47701" xr:uid="{00000000-0005-0000-0000-000003340000}"/>
    <cellStyle name="20% - Accent5 2 2 2 4 3 2 5" xfId="18526" xr:uid="{00000000-0005-0000-0000-000004340000}"/>
    <cellStyle name="20% - Accent5 2 2 2 4 3 3" xfId="23389" xr:uid="{00000000-0005-0000-0000-000005340000}"/>
    <cellStyle name="20% - Accent5 2 2 2 4 3 4" xfId="33114" xr:uid="{00000000-0005-0000-0000-000006340000}"/>
    <cellStyle name="20% - Accent5 2 2 2 4 3 5" xfId="42839" xr:uid="{00000000-0005-0000-0000-000007340000}"/>
    <cellStyle name="20% - Accent5 2 2 2 4 3 6" xfId="13664" xr:uid="{00000000-0005-0000-0000-000008340000}"/>
    <cellStyle name="20% - Accent5 2 2 2 4 4" xfId="5560" xr:uid="{00000000-0005-0000-0000-000009340000}"/>
    <cellStyle name="20% - Accent5 2 2 2 4 4 2" xfId="25011" xr:uid="{00000000-0005-0000-0000-00000A340000}"/>
    <cellStyle name="20% - Accent5 2 2 2 4 4 3" xfId="34736" xr:uid="{00000000-0005-0000-0000-00000B340000}"/>
    <cellStyle name="20% - Accent5 2 2 2 4 4 4" xfId="44461" xr:uid="{00000000-0005-0000-0000-00000C340000}"/>
    <cellStyle name="20% - Accent5 2 2 2 4 4 5" xfId="15286" xr:uid="{00000000-0005-0000-0000-00000D340000}"/>
    <cellStyle name="20% - Accent5 2 2 2 4 5" xfId="20149" xr:uid="{00000000-0005-0000-0000-00000E340000}"/>
    <cellStyle name="20% - Accent5 2 2 2 4 6" xfId="29874" xr:uid="{00000000-0005-0000-0000-00000F340000}"/>
    <cellStyle name="20% - Accent5 2 2 2 4 7" xfId="39599" xr:uid="{00000000-0005-0000-0000-000010340000}"/>
    <cellStyle name="20% - Accent5 2 2 2 4 8" xfId="10424" xr:uid="{00000000-0005-0000-0000-000011340000}"/>
    <cellStyle name="20% - Accent5 2 2 2 5" xfId="1958" xr:uid="{00000000-0005-0000-0000-000012340000}"/>
    <cellStyle name="20% - Accent5 2 2 2 5 2" xfId="6820" xr:uid="{00000000-0005-0000-0000-000013340000}"/>
    <cellStyle name="20% - Accent5 2 2 2 5 2 2" xfId="26271" xr:uid="{00000000-0005-0000-0000-000014340000}"/>
    <cellStyle name="20% - Accent5 2 2 2 5 2 3" xfId="35996" xr:uid="{00000000-0005-0000-0000-000015340000}"/>
    <cellStyle name="20% - Accent5 2 2 2 5 2 4" xfId="45721" xr:uid="{00000000-0005-0000-0000-000016340000}"/>
    <cellStyle name="20% - Accent5 2 2 2 5 2 5" xfId="16546" xr:uid="{00000000-0005-0000-0000-000017340000}"/>
    <cellStyle name="20% - Accent5 2 2 2 5 3" xfId="21409" xr:uid="{00000000-0005-0000-0000-000018340000}"/>
    <cellStyle name="20% - Accent5 2 2 2 5 4" xfId="31134" xr:uid="{00000000-0005-0000-0000-000019340000}"/>
    <cellStyle name="20% - Accent5 2 2 2 5 5" xfId="40859" xr:uid="{00000000-0005-0000-0000-00001A340000}"/>
    <cellStyle name="20% - Accent5 2 2 2 5 6" xfId="11684" xr:uid="{00000000-0005-0000-0000-00001B340000}"/>
    <cellStyle name="20% - Accent5 2 2 2 6" xfId="3578" xr:uid="{00000000-0005-0000-0000-00001C340000}"/>
    <cellStyle name="20% - Accent5 2 2 2 6 2" xfId="8440" xr:uid="{00000000-0005-0000-0000-00001D340000}"/>
    <cellStyle name="20% - Accent5 2 2 2 6 2 2" xfId="27891" xr:uid="{00000000-0005-0000-0000-00001E340000}"/>
    <cellStyle name="20% - Accent5 2 2 2 6 2 3" xfId="37616" xr:uid="{00000000-0005-0000-0000-00001F340000}"/>
    <cellStyle name="20% - Accent5 2 2 2 6 2 4" xfId="47341" xr:uid="{00000000-0005-0000-0000-000020340000}"/>
    <cellStyle name="20% - Accent5 2 2 2 6 2 5" xfId="18166" xr:uid="{00000000-0005-0000-0000-000021340000}"/>
    <cellStyle name="20% - Accent5 2 2 2 6 3" xfId="23029" xr:uid="{00000000-0005-0000-0000-000022340000}"/>
    <cellStyle name="20% - Accent5 2 2 2 6 4" xfId="32754" xr:uid="{00000000-0005-0000-0000-000023340000}"/>
    <cellStyle name="20% - Accent5 2 2 2 6 5" xfId="42479" xr:uid="{00000000-0005-0000-0000-000024340000}"/>
    <cellStyle name="20% - Accent5 2 2 2 6 6" xfId="13304" xr:uid="{00000000-0005-0000-0000-000025340000}"/>
    <cellStyle name="20% - Accent5 2 2 2 7" xfId="5200" xr:uid="{00000000-0005-0000-0000-000026340000}"/>
    <cellStyle name="20% - Accent5 2 2 2 7 2" xfId="24651" xr:uid="{00000000-0005-0000-0000-000027340000}"/>
    <cellStyle name="20% - Accent5 2 2 2 7 3" xfId="34376" xr:uid="{00000000-0005-0000-0000-000028340000}"/>
    <cellStyle name="20% - Accent5 2 2 2 7 4" xfId="44101" xr:uid="{00000000-0005-0000-0000-000029340000}"/>
    <cellStyle name="20% - Accent5 2 2 2 7 5" xfId="14926" xr:uid="{00000000-0005-0000-0000-00002A340000}"/>
    <cellStyle name="20% - Accent5 2 2 2 8" xfId="19789" xr:uid="{00000000-0005-0000-0000-00002B340000}"/>
    <cellStyle name="20% - Accent5 2 2 2 9" xfId="29514" xr:uid="{00000000-0005-0000-0000-00002C340000}"/>
    <cellStyle name="20% - Accent5 2 2 3" xfId="367" xr:uid="{00000000-0005-0000-0000-00002D340000}"/>
    <cellStyle name="20% - Accent5 2 2 3 10" xfId="39329" xr:uid="{00000000-0005-0000-0000-00002E340000}"/>
    <cellStyle name="20% - Accent5 2 2 3 11" xfId="10154" xr:uid="{00000000-0005-0000-0000-00002F340000}"/>
    <cellStyle name="20% - Accent5 2 2 3 2" xfId="1130" xr:uid="{00000000-0005-0000-0000-000030340000}"/>
    <cellStyle name="20% - Accent5 2 2 3 2 2" xfId="2768" xr:uid="{00000000-0005-0000-0000-000031340000}"/>
    <cellStyle name="20% - Accent5 2 2 3 2 2 2" xfId="7630" xr:uid="{00000000-0005-0000-0000-000032340000}"/>
    <cellStyle name="20% - Accent5 2 2 3 2 2 2 2" xfId="27081" xr:uid="{00000000-0005-0000-0000-000033340000}"/>
    <cellStyle name="20% - Accent5 2 2 3 2 2 2 3" xfId="36806" xr:uid="{00000000-0005-0000-0000-000034340000}"/>
    <cellStyle name="20% - Accent5 2 2 3 2 2 2 4" xfId="46531" xr:uid="{00000000-0005-0000-0000-000035340000}"/>
    <cellStyle name="20% - Accent5 2 2 3 2 2 2 5" xfId="17356" xr:uid="{00000000-0005-0000-0000-000036340000}"/>
    <cellStyle name="20% - Accent5 2 2 3 2 2 3" xfId="22219" xr:uid="{00000000-0005-0000-0000-000037340000}"/>
    <cellStyle name="20% - Accent5 2 2 3 2 2 4" xfId="31944" xr:uid="{00000000-0005-0000-0000-000038340000}"/>
    <cellStyle name="20% - Accent5 2 2 3 2 2 5" xfId="41669" xr:uid="{00000000-0005-0000-0000-000039340000}"/>
    <cellStyle name="20% - Accent5 2 2 3 2 2 6" xfId="12494" xr:uid="{00000000-0005-0000-0000-00003A340000}"/>
    <cellStyle name="20% - Accent5 2 2 3 2 3" xfId="4388" xr:uid="{00000000-0005-0000-0000-00003B340000}"/>
    <cellStyle name="20% - Accent5 2 2 3 2 3 2" xfId="9250" xr:uid="{00000000-0005-0000-0000-00003C340000}"/>
    <cellStyle name="20% - Accent5 2 2 3 2 3 2 2" xfId="28701" xr:uid="{00000000-0005-0000-0000-00003D340000}"/>
    <cellStyle name="20% - Accent5 2 2 3 2 3 2 3" xfId="38426" xr:uid="{00000000-0005-0000-0000-00003E340000}"/>
    <cellStyle name="20% - Accent5 2 2 3 2 3 2 4" xfId="48151" xr:uid="{00000000-0005-0000-0000-00003F340000}"/>
    <cellStyle name="20% - Accent5 2 2 3 2 3 2 5" xfId="18976" xr:uid="{00000000-0005-0000-0000-000040340000}"/>
    <cellStyle name="20% - Accent5 2 2 3 2 3 3" xfId="23839" xr:uid="{00000000-0005-0000-0000-000041340000}"/>
    <cellStyle name="20% - Accent5 2 2 3 2 3 4" xfId="33564" xr:uid="{00000000-0005-0000-0000-000042340000}"/>
    <cellStyle name="20% - Accent5 2 2 3 2 3 5" xfId="43289" xr:uid="{00000000-0005-0000-0000-000043340000}"/>
    <cellStyle name="20% - Accent5 2 2 3 2 3 6" xfId="14114" xr:uid="{00000000-0005-0000-0000-000044340000}"/>
    <cellStyle name="20% - Accent5 2 2 3 2 4" xfId="6010" xr:uid="{00000000-0005-0000-0000-000045340000}"/>
    <cellStyle name="20% - Accent5 2 2 3 2 4 2" xfId="25461" xr:uid="{00000000-0005-0000-0000-000046340000}"/>
    <cellStyle name="20% - Accent5 2 2 3 2 4 3" xfId="35186" xr:uid="{00000000-0005-0000-0000-000047340000}"/>
    <cellStyle name="20% - Accent5 2 2 3 2 4 4" xfId="44911" xr:uid="{00000000-0005-0000-0000-000048340000}"/>
    <cellStyle name="20% - Accent5 2 2 3 2 4 5" xfId="15736" xr:uid="{00000000-0005-0000-0000-000049340000}"/>
    <cellStyle name="20% - Accent5 2 2 3 2 5" xfId="20599" xr:uid="{00000000-0005-0000-0000-00004A340000}"/>
    <cellStyle name="20% - Accent5 2 2 3 2 6" xfId="30324" xr:uid="{00000000-0005-0000-0000-00004B340000}"/>
    <cellStyle name="20% - Accent5 2 2 3 2 7" xfId="40049" xr:uid="{00000000-0005-0000-0000-00004C340000}"/>
    <cellStyle name="20% - Accent5 2 2 3 2 8" xfId="10874" xr:uid="{00000000-0005-0000-0000-00004D340000}"/>
    <cellStyle name="20% - Accent5 2 2 3 3" xfId="1597" xr:uid="{00000000-0005-0000-0000-00004E340000}"/>
    <cellStyle name="20% - Accent5 2 2 3 3 2" xfId="3218" xr:uid="{00000000-0005-0000-0000-00004F340000}"/>
    <cellStyle name="20% - Accent5 2 2 3 3 2 2" xfId="8080" xr:uid="{00000000-0005-0000-0000-000050340000}"/>
    <cellStyle name="20% - Accent5 2 2 3 3 2 2 2" xfId="27531" xr:uid="{00000000-0005-0000-0000-000051340000}"/>
    <cellStyle name="20% - Accent5 2 2 3 3 2 2 3" xfId="37256" xr:uid="{00000000-0005-0000-0000-000052340000}"/>
    <cellStyle name="20% - Accent5 2 2 3 3 2 2 4" xfId="46981" xr:uid="{00000000-0005-0000-0000-000053340000}"/>
    <cellStyle name="20% - Accent5 2 2 3 3 2 2 5" xfId="17806" xr:uid="{00000000-0005-0000-0000-000054340000}"/>
    <cellStyle name="20% - Accent5 2 2 3 3 2 3" xfId="22669" xr:uid="{00000000-0005-0000-0000-000055340000}"/>
    <cellStyle name="20% - Accent5 2 2 3 3 2 4" xfId="32394" xr:uid="{00000000-0005-0000-0000-000056340000}"/>
    <cellStyle name="20% - Accent5 2 2 3 3 2 5" xfId="42119" xr:uid="{00000000-0005-0000-0000-000057340000}"/>
    <cellStyle name="20% - Accent5 2 2 3 3 2 6" xfId="12944" xr:uid="{00000000-0005-0000-0000-000058340000}"/>
    <cellStyle name="20% - Accent5 2 2 3 3 3" xfId="4838" xr:uid="{00000000-0005-0000-0000-000059340000}"/>
    <cellStyle name="20% - Accent5 2 2 3 3 3 2" xfId="9700" xr:uid="{00000000-0005-0000-0000-00005A340000}"/>
    <cellStyle name="20% - Accent5 2 2 3 3 3 2 2" xfId="29151" xr:uid="{00000000-0005-0000-0000-00005B340000}"/>
    <cellStyle name="20% - Accent5 2 2 3 3 3 2 3" xfId="38876" xr:uid="{00000000-0005-0000-0000-00005C340000}"/>
    <cellStyle name="20% - Accent5 2 2 3 3 3 2 4" xfId="48601" xr:uid="{00000000-0005-0000-0000-00005D340000}"/>
    <cellStyle name="20% - Accent5 2 2 3 3 3 2 5" xfId="19426" xr:uid="{00000000-0005-0000-0000-00005E340000}"/>
    <cellStyle name="20% - Accent5 2 2 3 3 3 3" xfId="24289" xr:uid="{00000000-0005-0000-0000-00005F340000}"/>
    <cellStyle name="20% - Accent5 2 2 3 3 3 4" xfId="34014" xr:uid="{00000000-0005-0000-0000-000060340000}"/>
    <cellStyle name="20% - Accent5 2 2 3 3 3 5" xfId="43739" xr:uid="{00000000-0005-0000-0000-000061340000}"/>
    <cellStyle name="20% - Accent5 2 2 3 3 3 6" xfId="14564" xr:uid="{00000000-0005-0000-0000-000062340000}"/>
    <cellStyle name="20% - Accent5 2 2 3 3 4" xfId="6460" xr:uid="{00000000-0005-0000-0000-000063340000}"/>
    <cellStyle name="20% - Accent5 2 2 3 3 4 2" xfId="25911" xr:uid="{00000000-0005-0000-0000-000064340000}"/>
    <cellStyle name="20% - Accent5 2 2 3 3 4 3" xfId="35636" xr:uid="{00000000-0005-0000-0000-000065340000}"/>
    <cellStyle name="20% - Accent5 2 2 3 3 4 4" xfId="45361" xr:uid="{00000000-0005-0000-0000-000066340000}"/>
    <cellStyle name="20% - Accent5 2 2 3 3 4 5" xfId="16186" xr:uid="{00000000-0005-0000-0000-000067340000}"/>
    <cellStyle name="20% - Accent5 2 2 3 3 5" xfId="21049" xr:uid="{00000000-0005-0000-0000-000068340000}"/>
    <cellStyle name="20% - Accent5 2 2 3 3 6" xfId="30774" xr:uid="{00000000-0005-0000-0000-000069340000}"/>
    <cellStyle name="20% - Accent5 2 2 3 3 7" xfId="40499" xr:uid="{00000000-0005-0000-0000-00006A340000}"/>
    <cellStyle name="20% - Accent5 2 2 3 3 8" xfId="11324" xr:uid="{00000000-0005-0000-0000-00006B340000}"/>
    <cellStyle name="20% - Accent5 2 2 3 4" xfId="768" xr:uid="{00000000-0005-0000-0000-00006C340000}"/>
    <cellStyle name="20% - Accent5 2 2 3 4 2" xfId="2408" xr:uid="{00000000-0005-0000-0000-00006D340000}"/>
    <cellStyle name="20% - Accent5 2 2 3 4 2 2" xfId="7270" xr:uid="{00000000-0005-0000-0000-00006E340000}"/>
    <cellStyle name="20% - Accent5 2 2 3 4 2 2 2" xfId="26721" xr:uid="{00000000-0005-0000-0000-00006F340000}"/>
    <cellStyle name="20% - Accent5 2 2 3 4 2 2 3" xfId="36446" xr:uid="{00000000-0005-0000-0000-000070340000}"/>
    <cellStyle name="20% - Accent5 2 2 3 4 2 2 4" xfId="46171" xr:uid="{00000000-0005-0000-0000-000071340000}"/>
    <cellStyle name="20% - Accent5 2 2 3 4 2 2 5" xfId="16996" xr:uid="{00000000-0005-0000-0000-000072340000}"/>
    <cellStyle name="20% - Accent5 2 2 3 4 2 3" xfId="21859" xr:uid="{00000000-0005-0000-0000-000073340000}"/>
    <cellStyle name="20% - Accent5 2 2 3 4 2 4" xfId="31584" xr:uid="{00000000-0005-0000-0000-000074340000}"/>
    <cellStyle name="20% - Accent5 2 2 3 4 2 5" xfId="41309" xr:uid="{00000000-0005-0000-0000-000075340000}"/>
    <cellStyle name="20% - Accent5 2 2 3 4 2 6" xfId="12134" xr:uid="{00000000-0005-0000-0000-000076340000}"/>
    <cellStyle name="20% - Accent5 2 2 3 4 3" xfId="4028" xr:uid="{00000000-0005-0000-0000-000077340000}"/>
    <cellStyle name="20% - Accent5 2 2 3 4 3 2" xfId="8890" xr:uid="{00000000-0005-0000-0000-000078340000}"/>
    <cellStyle name="20% - Accent5 2 2 3 4 3 2 2" xfId="28341" xr:uid="{00000000-0005-0000-0000-000079340000}"/>
    <cellStyle name="20% - Accent5 2 2 3 4 3 2 3" xfId="38066" xr:uid="{00000000-0005-0000-0000-00007A340000}"/>
    <cellStyle name="20% - Accent5 2 2 3 4 3 2 4" xfId="47791" xr:uid="{00000000-0005-0000-0000-00007B340000}"/>
    <cellStyle name="20% - Accent5 2 2 3 4 3 2 5" xfId="18616" xr:uid="{00000000-0005-0000-0000-00007C340000}"/>
    <cellStyle name="20% - Accent5 2 2 3 4 3 3" xfId="23479" xr:uid="{00000000-0005-0000-0000-00007D340000}"/>
    <cellStyle name="20% - Accent5 2 2 3 4 3 4" xfId="33204" xr:uid="{00000000-0005-0000-0000-00007E340000}"/>
    <cellStyle name="20% - Accent5 2 2 3 4 3 5" xfId="42929" xr:uid="{00000000-0005-0000-0000-00007F340000}"/>
    <cellStyle name="20% - Accent5 2 2 3 4 3 6" xfId="13754" xr:uid="{00000000-0005-0000-0000-000080340000}"/>
    <cellStyle name="20% - Accent5 2 2 3 4 4" xfId="5650" xr:uid="{00000000-0005-0000-0000-000081340000}"/>
    <cellStyle name="20% - Accent5 2 2 3 4 4 2" xfId="25101" xr:uid="{00000000-0005-0000-0000-000082340000}"/>
    <cellStyle name="20% - Accent5 2 2 3 4 4 3" xfId="34826" xr:uid="{00000000-0005-0000-0000-000083340000}"/>
    <cellStyle name="20% - Accent5 2 2 3 4 4 4" xfId="44551" xr:uid="{00000000-0005-0000-0000-000084340000}"/>
    <cellStyle name="20% - Accent5 2 2 3 4 4 5" xfId="15376" xr:uid="{00000000-0005-0000-0000-000085340000}"/>
    <cellStyle name="20% - Accent5 2 2 3 4 5" xfId="20239" xr:uid="{00000000-0005-0000-0000-000086340000}"/>
    <cellStyle name="20% - Accent5 2 2 3 4 6" xfId="29964" xr:uid="{00000000-0005-0000-0000-000087340000}"/>
    <cellStyle name="20% - Accent5 2 2 3 4 7" xfId="39689" xr:uid="{00000000-0005-0000-0000-000088340000}"/>
    <cellStyle name="20% - Accent5 2 2 3 4 8" xfId="10514" xr:uid="{00000000-0005-0000-0000-000089340000}"/>
    <cellStyle name="20% - Accent5 2 2 3 5" xfId="2048" xr:uid="{00000000-0005-0000-0000-00008A340000}"/>
    <cellStyle name="20% - Accent5 2 2 3 5 2" xfId="6910" xr:uid="{00000000-0005-0000-0000-00008B340000}"/>
    <cellStyle name="20% - Accent5 2 2 3 5 2 2" xfId="26361" xr:uid="{00000000-0005-0000-0000-00008C340000}"/>
    <cellStyle name="20% - Accent5 2 2 3 5 2 3" xfId="36086" xr:uid="{00000000-0005-0000-0000-00008D340000}"/>
    <cellStyle name="20% - Accent5 2 2 3 5 2 4" xfId="45811" xr:uid="{00000000-0005-0000-0000-00008E340000}"/>
    <cellStyle name="20% - Accent5 2 2 3 5 2 5" xfId="16636" xr:uid="{00000000-0005-0000-0000-00008F340000}"/>
    <cellStyle name="20% - Accent5 2 2 3 5 3" xfId="21499" xr:uid="{00000000-0005-0000-0000-000090340000}"/>
    <cellStyle name="20% - Accent5 2 2 3 5 4" xfId="31224" xr:uid="{00000000-0005-0000-0000-000091340000}"/>
    <cellStyle name="20% - Accent5 2 2 3 5 5" xfId="40949" xr:uid="{00000000-0005-0000-0000-000092340000}"/>
    <cellStyle name="20% - Accent5 2 2 3 5 6" xfId="11774" xr:uid="{00000000-0005-0000-0000-000093340000}"/>
    <cellStyle name="20% - Accent5 2 2 3 6" xfId="3668" xr:uid="{00000000-0005-0000-0000-000094340000}"/>
    <cellStyle name="20% - Accent5 2 2 3 6 2" xfId="8530" xr:uid="{00000000-0005-0000-0000-000095340000}"/>
    <cellStyle name="20% - Accent5 2 2 3 6 2 2" xfId="27981" xr:uid="{00000000-0005-0000-0000-000096340000}"/>
    <cellStyle name="20% - Accent5 2 2 3 6 2 3" xfId="37706" xr:uid="{00000000-0005-0000-0000-000097340000}"/>
    <cellStyle name="20% - Accent5 2 2 3 6 2 4" xfId="47431" xr:uid="{00000000-0005-0000-0000-000098340000}"/>
    <cellStyle name="20% - Accent5 2 2 3 6 2 5" xfId="18256" xr:uid="{00000000-0005-0000-0000-000099340000}"/>
    <cellStyle name="20% - Accent5 2 2 3 6 3" xfId="23119" xr:uid="{00000000-0005-0000-0000-00009A340000}"/>
    <cellStyle name="20% - Accent5 2 2 3 6 4" xfId="32844" xr:uid="{00000000-0005-0000-0000-00009B340000}"/>
    <cellStyle name="20% - Accent5 2 2 3 6 5" xfId="42569" xr:uid="{00000000-0005-0000-0000-00009C340000}"/>
    <cellStyle name="20% - Accent5 2 2 3 6 6" xfId="13394" xr:uid="{00000000-0005-0000-0000-00009D340000}"/>
    <cellStyle name="20% - Accent5 2 2 3 7" xfId="5290" xr:uid="{00000000-0005-0000-0000-00009E340000}"/>
    <cellStyle name="20% - Accent5 2 2 3 7 2" xfId="24741" xr:uid="{00000000-0005-0000-0000-00009F340000}"/>
    <cellStyle name="20% - Accent5 2 2 3 7 3" xfId="34466" xr:uid="{00000000-0005-0000-0000-0000A0340000}"/>
    <cellStyle name="20% - Accent5 2 2 3 7 4" xfId="44191" xr:uid="{00000000-0005-0000-0000-0000A1340000}"/>
    <cellStyle name="20% - Accent5 2 2 3 7 5" xfId="15016" xr:uid="{00000000-0005-0000-0000-0000A2340000}"/>
    <cellStyle name="20% - Accent5 2 2 3 8" xfId="19879" xr:uid="{00000000-0005-0000-0000-0000A3340000}"/>
    <cellStyle name="20% - Accent5 2 2 3 9" xfId="29604" xr:uid="{00000000-0005-0000-0000-0000A4340000}"/>
    <cellStyle name="20% - Accent5 2 2 4" xfId="185" xr:uid="{00000000-0005-0000-0000-0000A5340000}"/>
    <cellStyle name="20% - Accent5 2 2 4 10" xfId="39149" xr:uid="{00000000-0005-0000-0000-0000A6340000}"/>
    <cellStyle name="20% - Accent5 2 2 4 11" xfId="9974" xr:uid="{00000000-0005-0000-0000-0000A7340000}"/>
    <cellStyle name="20% - Accent5 2 2 4 2" xfId="949" xr:uid="{00000000-0005-0000-0000-0000A8340000}"/>
    <cellStyle name="20% - Accent5 2 2 4 2 2" xfId="2588" xr:uid="{00000000-0005-0000-0000-0000A9340000}"/>
    <cellStyle name="20% - Accent5 2 2 4 2 2 2" xfId="7450" xr:uid="{00000000-0005-0000-0000-0000AA340000}"/>
    <cellStyle name="20% - Accent5 2 2 4 2 2 2 2" xfId="26901" xr:uid="{00000000-0005-0000-0000-0000AB340000}"/>
    <cellStyle name="20% - Accent5 2 2 4 2 2 2 3" xfId="36626" xr:uid="{00000000-0005-0000-0000-0000AC340000}"/>
    <cellStyle name="20% - Accent5 2 2 4 2 2 2 4" xfId="46351" xr:uid="{00000000-0005-0000-0000-0000AD340000}"/>
    <cellStyle name="20% - Accent5 2 2 4 2 2 2 5" xfId="17176" xr:uid="{00000000-0005-0000-0000-0000AE340000}"/>
    <cellStyle name="20% - Accent5 2 2 4 2 2 3" xfId="22039" xr:uid="{00000000-0005-0000-0000-0000AF340000}"/>
    <cellStyle name="20% - Accent5 2 2 4 2 2 4" xfId="31764" xr:uid="{00000000-0005-0000-0000-0000B0340000}"/>
    <cellStyle name="20% - Accent5 2 2 4 2 2 5" xfId="41489" xr:uid="{00000000-0005-0000-0000-0000B1340000}"/>
    <cellStyle name="20% - Accent5 2 2 4 2 2 6" xfId="12314" xr:uid="{00000000-0005-0000-0000-0000B2340000}"/>
    <cellStyle name="20% - Accent5 2 2 4 2 3" xfId="4208" xr:uid="{00000000-0005-0000-0000-0000B3340000}"/>
    <cellStyle name="20% - Accent5 2 2 4 2 3 2" xfId="9070" xr:uid="{00000000-0005-0000-0000-0000B4340000}"/>
    <cellStyle name="20% - Accent5 2 2 4 2 3 2 2" xfId="28521" xr:uid="{00000000-0005-0000-0000-0000B5340000}"/>
    <cellStyle name="20% - Accent5 2 2 4 2 3 2 3" xfId="38246" xr:uid="{00000000-0005-0000-0000-0000B6340000}"/>
    <cellStyle name="20% - Accent5 2 2 4 2 3 2 4" xfId="47971" xr:uid="{00000000-0005-0000-0000-0000B7340000}"/>
    <cellStyle name="20% - Accent5 2 2 4 2 3 2 5" xfId="18796" xr:uid="{00000000-0005-0000-0000-0000B8340000}"/>
    <cellStyle name="20% - Accent5 2 2 4 2 3 3" xfId="23659" xr:uid="{00000000-0005-0000-0000-0000B9340000}"/>
    <cellStyle name="20% - Accent5 2 2 4 2 3 4" xfId="33384" xr:uid="{00000000-0005-0000-0000-0000BA340000}"/>
    <cellStyle name="20% - Accent5 2 2 4 2 3 5" xfId="43109" xr:uid="{00000000-0005-0000-0000-0000BB340000}"/>
    <cellStyle name="20% - Accent5 2 2 4 2 3 6" xfId="13934" xr:uid="{00000000-0005-0000-0000-0000BC340000}"/>
    <cellStyle name="20% - Accent5 2 2 4 2 4" xfId="5830" xr:uid="{00000000-0005-0000-0000-0000BD340000}"/>
    <cellStyle name="20% - Accent5 2 2 4 2 4 2" xfId="25281" xr:uid="{00000000-0005-0000-0000-0000BE340000}"/>
    <cellStyle name="20% - Accent5 2 2 4 2 4 3" xfId="35006" xr:uid="{00000000-0005-0000-0000-0000BF340000}"/>
    <cellStyle name="20% - Accent5 2 2 4 2 4 4" xfId="44731" xr:uid="{00000000-0005-0000-0000-0000C0340000}"/>
    <cellStyle name="20% - Accent5 2 2 4 2 4 5" xfId="15556" xr:uid="{00000000-0005-0000-0000-0000C1340000}"/>
    <cellStyle name="20% - Accent5 2 2 4 2 5" xfId="20419" xr:uid="{00000000-0005-0000-0000-0000C2340000}"/>
    <cellStyle name="20% - Accent5 2 2 4 2 6" xfId="30144" xr:uid="{00000000-0005-0000-0000-0000C3340000}"/>
    <cellStyle name="20% - Accent5 2 2 4 2 7" xfId="39869" xr:uid="{00000000-0005-0000-0000-0000C4340000}"/>
    <cellStyle name="20% - Accent5 2 2 4 2 8" xfId="10694" xr:uid="{00000000-0005-0000-0000-0000C5340000}"/>
    <cellStyle name="20% - Accent5 2 2 4 3" xfId="1417" xr:uid="{00000000-0005-0000-0000-0000C6340000}"/>
    <cellStyle name="20% - Accent5 2 2 4 3 2" xfId="3038" xr:uid="{00000000-0005-0000-0000-0000C7340000}"/>
    <cellStyle name="20% - Accent5 2 2 4 3 2 2" xfId="7900" xr:uid="{00000000-0005-0000-0000-0000C8340000}"/>
    <cellStyle name="20% - Accent5 2 2 4 3 2 2 2" xfId="27351" xr:uid="{00000000-0005-0000-0000-0000C9340000}"/>
    <cellStyle name="20% - Accent5 2 2 4 3 2 2 3" xfId="37076" xr:uid="{00000000-0005-0000-0000-0000CA340000}"/>
    <cellStyle name="20% - Accent5 2 2 4 3 2 2 4" xfId="46801" xr:uid="{00000000-0005-0000-0000-0000CB340000}"/>
    <cellStyle name="20% - Accent5 2 2 4 3 2 2 5" xfId="17626" xr:uid="{00000000-0005-0000-0000-0000CC340000}"/>
    <cellStyle name="20% - Accent5 2 2 4 3 2 3" xfId="22489" xr:uid="{00000000-0005-0000-0000-0000CD340000}"/>
    <cellStyle name="20% - Accent5 2 2 4 3 2 4" xfId="32214" xr:uid="{00000000-0005-0000-0000-0000CE340000}"/>
    <cellStyle name="20% - Accent5 2 2 4 3 2 5" xfId="41939" xr:uid="{00000000-0005-0000-0000-0000CF340000}"/>
    <cellStyle name="20% - Accent5 2 2 4 3 2 6" xfId="12764" xr:uid="{00000000-0005-0000-0000-0000D0340000}"/>
    <cellStyle name="20% - Accent5 2 2 4 3 3" xfId="4658" xr:uid="{00000000-0005-0000-0000-0000D1340000}"/>
    <cellStyle name="20% - Accent5 2 2 4 3 3 2" xfId="9520" xr:uid="{00000000-0005-0000-0000-0000D2340000}"/>
    <cellStyle name="20% - Accent5 2 2 4 3 3 2 2" xfId="28971" xr:uid="{00000000-0005-0000-0000-0000D3340000}"/>
    <cellStyle name="20% - Accent5 2 2 4 3 3 2 3" xfId="38696" xr:uid="{00000000-0005-0000-0000-0000D4340000}"/>
    <cellStyle name="20% - Accent5 2 2 4 3 3 2 4" xfId="48421" xr:uid="{00000000-0005-0000-0000-0000D5340000}"/>
    <cellStyle name="20% - Accent5 2 2 4 3 3 2 5" xfId="19246" xr:uid="{00000000-0005-0000-0000-0000D6340000}"/>
    <cellStyle name="20% - Accent5 2 2 4 3 3 3" xfId="24109" xr:uid="{00000000-0005-0000-0000-0000D7340000}"/>
    <cellStyle name="20% - Accent5 2 2 4 3 3 4" xfId="33834" xr:uid="{00000000-0005-0000-0000-0000D8340000}"/>
    <cellStyle name="20% - Accent5 2 2 4 3 3 5" xfId="43559" xr:uid="{00000000-0005-0000-0000-0000D9340000}"/>
    <cellStyle name="20% - Accent5 2 2 4 3 3 6" xfId="14384" xr:uid="{00000000-0005-0000-0000-0000DA340000}"/>
    <cellStyle name="20% - Accent5 2 2 4 3 4" xfId="6280" xr:uid="{00000000-0005-0000-0000-0000DB340000}"/>
    <cellStyle name="20% - Accent5 2 2 4 3 4 2" xfId="25731" xr:uid="{00000000-0005-0000-0000-0000DC340000}"/>
    <cellStyle name="20% - Accent5 2 2 4 3 4 3" xfId="35456" xr:uid="{00000000-0005-0000-0000-0000DD340000}"/>
    <cellStyle name="20% - Accent5 2 2 4 3 4 4" xfId="45181" xr:uid="{00000000-0005-0000-0000-0000DE340000}"/>
    <cellStyle name="20% - Accent5 2 2 4 3 4 5" xfId="16006" xr:uid="{00000000-0005-0000-0000-0000DF340000}"/>
    <cellStyle name="20% - Accent5 2 2 4 3 5" xfId="20869" xr:uid="{00000000-0005-0000-0000-0000E0340000}"/>
    <cellStyle name="20% - Accent5 2 2 4 3 6" xfId="30594" xr:uid="{00000000-0005-0000-0000-0000E1340000}"/>
    <cellStyle name="20% - Accent5 2 2 4 3 7" xfId="40319" xr:uid="{00000000-0005-0000-0000-0000E2340000}"/>
    <cellStyle name="20% - Accent5 2 2 4 3 8" xfId="11144" xr:uid="{00000000-0005-0000-0000-0000E3340000}"/>
    <cellStyle name="20% - Accent5 2 2 4 4" xfId="588" xr:uid="{00000000-0005-0000-0000-0000E4340000}"/>
    <cellStyle name="20% - Accent5 2 2 4 4 2" xfId="2228" xr:uid="{00000000-0005-0000-0000-0000E5340000}"/>
    <cellStyle name="20% - Accent5 2 2 4 4 2 2" xfId="7090" xr:uid="{00000000-0005-0000-0000-0000E6340000}"/>
    <cellStyle name="20% - Accent5 2 2 4 4 2 2 2" xfId="26541" xr:uid="{00000000-0005-0000-0000-0000E7340000}"/>
    <cellStyle name="20% - Accent5 2 2 4 4 2 2 3" xfId="36266" xr:uid="{00000000-0005-0000-0000-0000E8340000}"/>
    <cellStyle name="20% - Accent5 2 2 4 4 2 2 4" xfId="45991" xr:uid="{00000000-0005-0000-0000-0000E9340000}"/>
    <cellStyle name="20% - Accent5 2 2 4 4 2 2 5" xfId="16816" xr:uid="{00000000-0005-0000-0000-0000EA340000}"/>
    <cellStyle name="20% - Accent5 2 2 4 4 2 3" xfId="21679" xr:uid="{00000000-0005-0000-0000-0000EB340000}"/>
    <cellStyle name="20% - Accent5 2 2 4 4 2 4" xfId="31404" xr:uid="{00000000-0005-0000-0000-0000EC340000}"/>
    <cellStyle name="20% - Accent5 2 2 4 4 2 5" xfId="41129" xr:uid="{00000000-0005-0000-0000-0000ED340000}"/>
    <cellStyle name="20% - Accent5 2 2 4 4 2 6" xfId="11954" xr:uid="{00000000-0005-0000-0000-0000EE340000}"/>
    <cellStyle name="20% - Accent5 2 2 4 4 3" xfId="3848" xr:uid="{00000000-0005-0000-0000-0000EF340000}"/>
    <cellStyle name="20% - Accent5 2 2 4 4 3 2" xfId="8710" xr:uid="{00000000-0005-0000-0000-0000F0340000}"/>
    <cellStyle name="20% - Accent5 2 2 4 4 3 2 2" xfId="28161" xr:uid="{00000000-0005-0000-0000-0000F1340000}"/>
    <cellStyle name="20% - Accent5 2 2 4 4 3 2 3" xfId="37886" xr:uid="{00000000-0005-0000-0000-0000F2340000}"/>
    <cellStyle name="20% - Accent5 2 2 4 4 3 2 4" xfId="47611" xr:uid="{00000000-0005-0000-0000-0000F3340000}"/>
    <cellStyle name="20% - Accent5 2 2 4 4 3 2 5" xfId="18436" xr:uid="{00000000-0005-0000-0000-0000F4340000}"/>
    <cellStyle name="20% - Accent5 2 2 4 4 3 3" xfId="23299" xr:uid="{00000000-0005-0000-0000-0000F5340000}"/>
    <cellStyle name="20% - Accent5 2 2 4 4 3 4" xfId="33024" xr:uid="{00000000-0005-0000-0000-0000F6340000}"/>
    <cellStyle name="20% - Accent5 2 2 4 4 3 5" xfId="42749" xr:uid="{00000000-0005-0000-0000-0000F7340000}"/>
    <cellStyle name="20% - Accent5 2 2 4 4 3 6" xfId="13574" xr:uid="{00000000-0005-0000-0000-0000F8340000}"/>
    <cellStyle name="20% - Accent5 2 2 4 4 4" xfId="5470" xr:uid="{00000000-0005-0000-0000-0000F9340000}"/>
    <cellStyle name="20% - Accent5 2 2 4 4 4 2" xfId="24921" xr:uid="{00000000-0005-0000-0000-0000FA340000}"/>
    <cellStyle name="20% - Accent5 2 2 4 4 4 3" xfId="34646" xr:uid="{00000000-0005-0000-0000-0000FB340000}"/>
    <cellStyle name="20% - Accent5 2 2 4 4 4 4" xfId="44371" xr:uid="{00000000-0005-0000-0000-0000FC340000}"/>
    <cellStyle name="20% - Accent5 2 2 4 4 4 5" xfId="15196" xr:uid="{00000000-0005-0000-0000-0000FD340000}"/>
    <cellStyle name="20% - Accent5 2 2 4 4 5" xfId="20059" xr:uid="{00000000-0005-0000-0000-0000FE340000}"/>
    <cellStyle name="20% - Accent5 2 2 4 4 6" xfId="29784" xr:uid="{00000000-0005-0000-0000-0000FF340000}"/>
    <cellStyle name="20% - Accent5 2 2 4 4 7" xfId="39509" xr:uid="{00000000-0005-0000-0000-000000350000}"/>
    <cellStyle name="20% - Accent5 2 2 4 4 8" xfId="10334" xr:uid="{00000000-0005-0000-0000-000001350000}"/>
    <cellStyle name="20% - Accent5 2 2 4 5" xfId="1868" xr:uid="{00000000-0005-0000-0000-000002350000}"/>
    <cellStyle name="20% - Accent5 2 2 4 5 2" xfId="6730" xr:uid="{00000000-0005-0000-0000-000003350000}"/>
    <cellStyle name="20% - Accent5 2 2 4 5 2 2" xfId="26181" xr:uid="{00000000-0005-0000-0000-000004350000}"/>
    <cellStyle name="20% - Accent5 2 2 4 5 2 3" xfId="35906" xr:uid="{00000000-0005-0000-0000-000005350000}"/>
    <cellStyle name="20% - Accent5 2 2 4 5 2 4" xfId="45631" xr:uid="{00000000-0005-0000-0000-000006350000}"/>
    <cellStyle name="20% - Accent5 2 2 4 5 2 5" xfId="16456" xr:uid="{00000000-0005-0000-0000-000007350000}"/>
    <cellStyle name="20% - Accent5 2 2 4 5 3" xfId="21319" xr:uid="{00000000-0005-0000-0000-000008350000}"/>
    <cellStyle name="20% - Accent5 2 2 4 5 4" xfId="31044" xr:uid="{00000000-0005-0000-0000-000009350000}"/>
    <cellStyle name="20% - Accent5 2 2 4 5 5" xfId="40769" xr:uid="{00000000-0005-0000-0000-00000A350000}"/>
    <cellStyle name="20% - Accent5 2 2 4 5 6" xfId="11594" xr:uid="{00000000-0005-0000-0000-00000B350000}"/>
    <cellStyle name="20% - Accent5 2 2 4 6" xfId="3488" xr:uid="{00000000-0005-0000-0000-00000C350000}"/>
    <cellStyle name="20% - Accent5 2 2 4 6 2" xfId="8350" xr:uid="{00000000-0005-0000-0000-00000D350000}"/>
    <cellStyle name="20% - Accent5 2 2 4 6 2 2" xfId="27801" xr:uid="{00000000-0005-0000-0000-00000E350000}"/>
    <cellStyle name="20% - Accent5 2 2 4 6 2 3" xfId="37526" xr:uid="{00000000-0005-0000-0000-00000F350000}"/>
    <cellStyle name="20% - Accent5 2 2 4 6 2 4" xfId="47251" xr:uid="{00000000-0005-0000-0000-000010350000}"/>
    <cellStyle name="20% - Accent5 2 2 4 6 2 5" xfId="18076" xr:uid="{00000000-0005-0000-0000-000011350000}"/>
    <cellStyle name="20% - Accent5 2 2 4 6 3" xfId="22939" xr:uid="{00000000-0005-0000-0000-000012350000}"/>
    <cellStyle name="20% - Accent5 2 2 4 6 4" xfId="32664" xr:uid="{00000000-0005-0000-0000-000013350000}"/>
    <cellStyle name="20% - Accent5 2 2 4 6 5" xfId="42389" xr:uid="{00000000-0005-0000-0000-000014350000}"/>
    <cellStyle name="20% - Accent5 2 2 4 6 6" xfId="13214" xr:uid="{00000000-0005-0000-0000-000015350000}"/>
    <cellStyle name="20% - Accent5 2 2 4 7" xfId="5110" xr:uid="{00000000-0005-0000-0000-000016350000}"/>
    <cellStyle name="20% - Accent5 2 2 4 7 2" xfId="24561" xr:uid="{00000000-0005-0000-0000-000017350000}"/>
    <cellStyle name="20% - Accent5 2 2 4 7 3" xfId="34286" xr:uid="{00000000-0005-0000-0000-000018350000}"/>
    <cellStyle name="20% - Accent5 2 2 4 7 4" xfId="44011" xr:uid="{00000000-0005-0000-0000-000019350000}"/>
    <cellStyle name="20% - Accent5 2 2 4 7 5" xfId="14836" xr:uid="{00000000-0005-0000-0000-00001A350000}"/>
    <cellStyle name="20% - Accent5 2 2 4 8" xfId="19699" xr:uid="{00000000-0005-0000-0000-00001B350000}"/>
    <cellStyle name="20% - Accent5 2 2 4 9" xfId="29424" xr:uid="{00000000-0005-0000-0000-00001C350000}"/>
    <cellStyle name="20% - Accent5 2 2 5" xfId="859" xr:uid="{00000000-0005-0000-0000-00001D350000}"/>
    <cellStyle name="20% - Accent5 2 2 5 2" xfId="2498" xr:uid="{00000000-0005-0000-0000-00001E350000}"/>
    <cellStyle name="20% - Accent5 2 2 5 2 2" xfId="7360" xr:uid="{00000000-0005-0000-0000-00001F350000}"/>
    <cellStyle name="20% - Accent5 2 2 5 2 2 2" xfId="26811" xr:uid="{00000000-0005-0000-0000-000020350000}"/>
    <cellStyle name="20% - Accent5 2 2 5 2 2 3" xfId="36536" xr:uid="{00000000-0005-0000-0000-000021350000}"/>
    <cellStyle name="20% - Accent5 2 2 5 2 2 4" xfId="46261" xr:uid="{00000000-0005-0000-0000-000022350000}"/>
    <cellStyle name="20% - Accent5 2 2 5 2 2 5" xfId="17086" xr:uid="{00000000-0005-0000-0000-000023350000}"/>
    <cellStyle name="20% - Accent5 2 2 5 2 3" xfId="21949" xr:uid="{00000000-0005-0000-0000-000024350000}"/>
    <cellStyle name="20% - Accent5 2 2 5 2 4" xfId="31674" xr:uid="{00000000-0005-0000-0000-000025350000}"/>
    <cellStyle name="20% - Accent5 2 2 5 2 5" xfId="41399" xr:uid="{00000000-0005-0000-0000-000026350000}"/>
    <cellStyle name="20% - Accent5 2 2 5 2 6" xfId="12224" xr:uid="{00000000-0005-0000-0000-000027350000}"/>
    <cellStyle name="20% - Accent5 2 2 5 3" xfId="4118" xr:uid="{00000000-0005-0000-0000-000028350000}"/>
    <cellStyle name="20% - Accent5 2 2 5 3 2" xfId="8980" xr:uid="{00000000-0005-0000-0000-000029350000}"/>
    <cellStyle name="20% - Accent5 2 2 5 3 2 2" xfId="28431" xr:uid="{00000000-0005-0000-0000-00002A350000}"/>
    <cellStyle name="20% - Accent5 2 2 5 3 2 3" xfId="38156" xr:uid="{00000000-0005-0000-0000-00002B350000}"/>
    <cellStyle name="20% - Accent5 2 2 5 3 2 4" xfId="47881" xr:uid="{00000000-0005-0000-0000-00002C350000}"/>
    <cellStyle name="20% - Accent5 2 2 5 3 2 5" xfId="18706" xr:uid="{00000000-0005-0000-0000-00002D350000}"/>
    <cellStyle name="20% - Accent5 2 2 5 3 3" xfId="23569" xr:uid="{00000000-0005-0000-0000-00002E350000}"/>
    <cellStyle name="20% - Accent5 2 2 5 3 4" xfId="33294" xr:uid="{00000000-0005-0000-0000-00002F350000}"/>
    <cellStyle name="20% - Accent5 2 2 5 3 5" xfId="43019" xr:uid="{00000000-0005-0000-0000-000030350000}"/>
    <cellStyle name="20% - Accent5 2 2 5 3 6" xfId="13844" xr:uid="{00000000-0005-0000-0000-000031350000}"/>
    <cellStyle name="20% - Accent5 2 2 5 4" xfId="5740" xr:uid="{00000000-0005-0000-0000-000032350000}"/>
    <cellStyle name="20% - Accent5 2 2 5 4 2" xfId="25191" xr:uid="{00000000-0005-0000-0000-000033350000}"/>
    <cellStyle name="20% - Accent5 2 2 5 4 3" xfId="34916" xr:uid="{00000000-0005-0000-0000-000034350000}"/>
    <cellStyle name="20% - Accent5 2 2 5 4 4" xfId="44641" xr:uid="{00000000-0005-0000-0000-000035350000}"/>
    <cellStyle name="20% - Accent5 2 2 5 4 5" xfId="15466" xr:uid="{00000000-0005-0000-0000-000036350000}"/>
    <cellStyle name="20% - Accent5 2 2 5 5" xfId="20329" xr:uid="{00000000-0005-0000-0000-000037350000}"/>
    <cellStyle name="20% - Accent5 2 2 5 6" xfId="30054" xr:uid="{00000000-0005-0000-0000-000038350000}"/>
    <cellStyle name="20% - Accent5 2 2 5 7" xfId="39779" xr:uid="{00000000-0005-0000-0000-000039350000}"/>
    <cellStyle name="20% - Accent5 2 2 5 8" xfId="10604" xr:uid="{00000000-0005-0000-0000-00003A350000}"/>
    <cellStyle name="20% - Accent5 2 2 6" xfId="1237" xr:uid="{00000000-0005-0000-0000-00003B350000}"/>
    <cellStyle name="20% - Accent5 2 2 6 2" xfId="2858" xr:uid="{00000000-0005-0000-0000-00003C350000}"/>
    <cellStyle name="20% - Accent5 2 2 6 2 2" xfId="7720" xr:uid="{00000000-0005-0000-0000-00003D350000}"/>
    <cellStyle name="20% - Accent5 2 2 6 2 2 2" xfId="27171" xr:uid="{00000000-0005-0000-0000-00003E350000}"/>
    <cellStyle name="20% - Accent5 2 2 6 2 2 3" xfId="36896" xr:uid="{00000000-0005-0000-0000-00003F350000}"/>
    <cellStyle name="20% - Accent5 2 2 6 2 2 4" xfId="46621" xr:uid="{00000000-0005-0000-0000-000040350000}"/>
    <cellStyle name="20% - Accent5 2 2 6 2 2 5" xfId="17446" xr:uid="{00000000-0005-0000-0000-000041350000}"/>
    <cellStyle name="20% - Accent5 2 2 6 2 3" xfId="22309" xr:uid="{00000000-0005-0000-0000-000042350000}"/>
    <cellStyle name="20% - Accent5 2 2 6 2 4" xfId="32034" xr:uid="{00000000-0005-0000-0000-000043350000}"/>
    <cellStyle name="20% - Accent5 2 2 6 2 5" xfId="41759" xr:uid="{00000000-0005-0000-0000-000044350000}"/>
    <cellStyle name="20% - Accent5 2 2 6 2 6" xfId="12584" xr:uid="{00000000-0005-0000-0000-000045350000}"/>
    <cellStyle name="20% - Accent5 2 2 6 3" xfId="4478" xr:uid="{00000000-0005-0000-0000-000046350000}"/>
    <cellStyle name="20% - Accent5 2 2 6 3 2" xfId="9340" xr:uid="{00000000-0005-0000-0000-000047350000}"/>
    <cellStyle name="20% - Accent5 2 2 6 3 2 2" xfId="28791" xr:uid="{00000000-0005-0000-0000-000048350000}"/>
    <cellStyle name="20% - Accent5 2 2 6 3 2 3" xfId="38516" xr:uid="{00000000-0005-0000-0000-000049350000}"/>
    <cellStyle name="20% - Accent5 2 2 6 3 2 4" xfId="48241" xr:uid="{00000000-0005-0000-0000-00004A350000}"/>
    <cellStyle name="20% - Accent5 2 2 6 3 2 5" xfId="19066" xr:uid="{00000000-0005-0000-0000-00004B350000}"/>
    <cellStyle name="20% - Accent5 2 2 6 3 3" xfId="23929" xr:uid="{00000000-0005-0000-0000-00004C350000}"/>
    <cellStyle name="20% - Accent5 2 2 6 3 4" xfId="33654" xr:uid="{00000000-0005-0000-0000-00004D350000}"/>
    <cellStyle name="20% - Accent5 2 2 6 3 5" xfId="43379" xr:uid="{00000000-0005-0000-0000-00004E350000}"/>
    <cellStyle name="20% - Accent5 2 2 6 3 6" xfId="14204" xr:uid="{00000000-0005-0000-0000-00004F350000}"/>
    <cellStyle name="20% - Accent5 2 2 6 4" xfId="6100" xr:uid="{00000000-0005-0000-0000-000050350000}"/>
    <cellStyle name="20% - Accent5 2 2 6 4 2" xfId="25551" xr:uid="{00000000-0005-0000-0000-000051350000}"/>
    <cellStyle name="20% - Accent5 2 2 6 4 3" xfId="35276" xr:uid="{00000000-0005-0000-0000-000052350000}"/>
    <cellStyle name="20% - Accent5 2 2 6 4 4" xfId="45001" xr:uid="{00000000-0005-0000-0000-000053350000}"/>
    <cellStyle name="20% - Accent5 2 2 6 4 5" xfId="15826" xr:uid="{00000000-0005-0000-0000-000054350000}"/>
    <cellStyle name="20% - Accent5 2 2 6 5" xfId="20689" xr:uid="{00000000-0005-0000-0000-000055350000}"/>
    <cellStyle name="20% - Accent5 2 2 6 6" xfId="30414" xr:uid="{00000000-0005-0000-0000-000056350000}"/>
    <cellStyle name="20% - Accent5 2 2 6 7" xfId="40139" xr:uid="{00000000-0005-0000-0000-000057350000}"/>
    <cellStyle name="20% - Accent5 2 2 6 8" xfId="10964" xr:uid="{00000000-0005-0000-0000-000058350000}"/>
    <cellStyle name="20% - Accent5 2 2 7" xfId="1327" xr:uid="{00000000-0005-0000-0000-000059350000}"/>
    <cellStyle name="20% - Accent5 2 2 7 2" xfId="2948" xr:uid="{00000000-0005-0000-0000-00005A350000}"/>
    <cellStyle name="20% - Accent5 2 2 7 2 2" xfId="7810" xr:uid="{00000000-0005-0000-0000-00005B350000}"/>
    <cellStyle name="20% - Accent5 2 2 7 2 2 2" xfId="27261" xr:uid="{00000000-0005-0000-0000-00005C350000}"/>
    <cellStyle name="20% - Accent5 2 2 7 2 2 3" xfId="36986" xr:uid="{00000000-0005-0000-0000-00005D350000}"/>
    <cellStyle name="20% - Accent5 2 2 7 2 2 4" xfId="46711" xr:uid="{00000000-0005-0000-0000-00005E350000}"/>
    <cellStyle name="20% - Accent5 2 2 7 2 2 5" xfId="17536" xr:uid="{00000000-0005-0000-0000-00005F350000}"/>
    <cellStyle name="20% - Accent5 2 2 7 2 3" xfId="22399" xr:uid="{00000000-0005-0000-0000-000060350000}"/>
    <cellStyle name="20% - Accent5 2 2 7 2 4" xfId="32124" xr:uid="{00000000-0005-0000-0000-000061350000}"/>
    <cellStyle name="20% - Accent5 2 2 7 2 5" xfId="41849" xr:uid="{00000000-0005-0000-0000-000062350000}"/>
    <cellStyle name="20% - Accent5 2 2 7 2 6" xfId="12674" xr:uid="{00000000-0005-0000-0000-000063350000}"/>
    <cellStyle name="20% - Accent5 2 2 7 3" xfId="4568" xr:uid="{00000000-0005-0000-0000-000064350000}"/>
    <cellStyle name="20% - Accent5 2 2 7 3 2" xfId="9430" xr:uid="{00000000-0005-0000-0000-000065350000}"/>
    <cellStyle name="20% - Accent5 2 2 7 3 2 2" xfId="28881" xr:uid="{00000000-0005-0000-0000-000066350000}"/>
    <cellStyle name="20% - Accent5 2 2 7 3 2 3" xfId="38606" xr:uid="{00000000-0005-0000-0000-000067350000}"/>
    <cellStyle name="20% - Accent5 2 2 7 3 2 4" xfId="48331" xr:uid="{00000000-0005-0000-0000-000068350000}"/>
    <cellStyle name="20% - Accent5 2 2 7 3 2 5" xfId="19156" xr:uid="{00000000-0005-0000-0000-000069350000}"/>
    <cellStyle name="20% - Accent5 2 2 7 3 3" xfId="24019" xr:uid="{00000000-0005-0000-0000-00006A350000}"/>
    <cellStyle name="20% - Accent5 2 2 7 3 4" xfId="33744" xr:uid="{00000000-0005-0000-0000-00006B350000}"/>
    <cellStyle name="20% - Accent5 2 2 7 3 5" xfId="43469" xr:uid="{00000000-0005-0000-0000-00006C350000}"/>
    <cellStyle name="20% - Accent5 2 2 7 3 6" xfId="14294" xr:uid="{00000000-0005-0000-0000-00006D350000}"/>
    <cellStyle name="20% - Accent5 2 2 7 4" xfId="6190" xr:uid="{00000000-0005-0000-0000-00006E350000}"/>
    <cellStyle name="20% - Accent5 2 2 7 4 2" xfId="25641" xr:uid="{00000000-0005-0000-0000-00006F350000}"/>
    <cellStyle name="20% - Accent5 2 2 7 4 3" xfId="35366" xr:uid="{00000000-0005-0000-0000-000070350000}"/>
    <cellStyle name="20% - Accent5 2 2 7 4 4" xfId="45091" xr:uid="{00000000-0005-0000-0000-000071350000}"/>
    <cellStyle name="20% - Accent5 2 2 7 4 5" xfId="15916" xr:uid="{00000000-0005-0000-0000-000072350000}"/>
    <cellStyle name="20% - Accent5 2 2 7 5" xfId="20779" xr:uid="{00000000-0005-0000-0000-000073350000}"/>
    <cellStyle name="20% - Accent5 2 2 7 6" xfId="30504" xr:uid="{00000000-0005-0000-0000-000074350000}"/>
    <cellStyle name="20% - Accent5 2 2 7 7" xfId="40229" xr:uid="{00000000-0005-0000-0000-000075350000}"/>
    <cellStyle name="20% - Accent5 2 2 7 8" xfId="11054" xr:uid="{00000000-0005-0000-0000-000076350000}"/>
    <cellStyle name="20% - Accent5 2 2 8" xfId="498" xr:uid="{00000000-0005-0000-0000-000077350000}"/>
    <cellStyle name="20% - Accent5 2 2 8 2" xfId="2138" xr:uid="{00000000-0005-0000-0000-000078350000}"/>
    <cellStyle name="20% - Accent5 2 2 8 2 2" xfId="7000" xr:uid="{00000000-0005-0000-0000-000079350000}"/>
    <cellStyle name="20% - Accent5 2 2 8 2 2 2" xfId="26451" xr:uid="{00000000-0005-0000-0000-00007A350000}"/>
    <cellStyle name="20% - Accent5 2 2 8 2 2 3" xfId="36176" xr:uid="{00000000-0005-0000-0000-00007B350000}"/>
    <cellStyle name="20% - Accent5 2 2 8 2 2 4" xfId="45901" xr:uid="{00000000-0005-0000-0000-00007C350000}"/>
    <cellStyle name="20% - Accent5 2 2 8 2 2 5" xfId="16726" xr:uid="{00000000-0005-0000-0000-00007D350000}"/>
    <cellStyle name="20% - Accent5 2 2 8 2 3" xfId="21589" xr:uid="{00000000-0005-0000-0000-00007E350000}"/>
    <cellStyle name="20% - Accent5 2 2 8 2 4" xfId="31314" xr:uid="{00000000-0005-0000-0000-00007F350000}"/>
    <cellStyle name="20% - Accent5 2 2 8 2 5" xfId="41039" xr:uid="{00000000-0005-0000-0000-000080350000}"/>
    <cellStyle name="20% - Accent5 2 2 8 2 6" xfId="11864" xr:uid="{00000000-0005-0000-0000-000081350000}"/>
    <cellStyle name="20% - Accent5 2 2 8 3" xfId="3758" xr:uid="{00000000-0005-0000-0000-000082350000}"/>
    <cellStyle name="20% - Accent5 2 2 8 3 2" xfId="8620" xr:uid="{00000000-0005-0000-0000-000083350000}"/>
    <cellStyle name="20% - Accent5 2 2 8 3 2 2" xfId="28071" xr:uid="{00000000-0005-0000-0000-000084350000}"/>
    <cellStyle name="20% - Accent5 2 2 8 3 2 3" xfId="37796" xr:uid="{00000000-0005-0000-0000-000085350000}"/>
    <cellStyle name="20% - Accent5 2 2 8 3 2 4" xfId="47521" xr:uid="{00000000-0005-0000-0000-000086350000}"/>
    <cellStyle name="20% - Accent5 2 2 8 3 2 5" xfId="18346" xr:uid="{00000000-0005-0000-0000-000087350000}"/>
    <cellStyle name="20% - Accent5 2 2 8 3 3" xfId="23209" xr:uid="{00000000-0005-0000-0000-000088350000}"/>
    <cellStyle name="20% - Accent5 2 2 8 3 4" xfId="32934" xr:uid="{00000000-0005-0000-0000-000089350000}"/>
    <cellStyle name="20% - Accent5 2 2 8 3 5" xfId="42659" xr:uid="{00000000-0005-0000-0000-00008A350000}"/>
    <cellStyle name="20% - Accent5 2 2 8 3 6" xfId="13484" xr:uid="{00000000-0005-0000-0000-00008B350000}"/>
    <cellStyle name="20% - Accent5 2 2 8 4" xfId="5380" xr:uid="{00000000-0005-0000-0000-00008C350000}"/>
    <cellStyle name="20% - Accent5 2 2 8 4 2" xfId="24831" xr:uid="{00000000-0005-0000-0000-00008D350000}"/>
    <cellStyle name="20% - Accent5 2 2 8 4 3" xfId="34556" xr:uid="{00000000-0005-0000-0000-00008E350000}"/>
    <cellStyle name="20% - Accent5 2 2 8 4 4" xfId="44281" xr:uid="{00000000-0005-0000-0000-00008F350000}"/>
    <cellStyle name="20% - Accent5 2 2 8 4 5" xfId="15106" xr:uid="{00000000-0005-0000-0000-000090350000}"/>
    <cellStyle name="20% - Accent5 2 2 8 5" xfId="19969" xr:uid="{00000000-0005-0000-0000-000091350000}"/>
    <cellStyle name="20% - Accent5 2 2 8 6" xfId="29694" xr:uid="{00000000-0005-0000-0000-000092350000}"/>
    <cellStyle name="20% - Accent5 2 2 8 7" xfId="39419" xr:uid="{00000000-0005-0000-0000-000093350000}"/>
    <cellStyle name="20% - Accent5 2 2 8 8" xfId="10244" xr:uid="{00000000-0005-0000-0000-000094350000}"/>
    <cellStyle name="20% - Accent5 2 2 9" xfId="1687" xr:uid="{00000000-0005-0000-0000-000095350000}"/>
    <cellStyle name="20% - Accent5 2 2 9 2" xfId="3308" xr:uid="{00000000-0005-0000-0000-000096350000}"/>
    <cellStyle name="20% - Accent5 2 2 9 2 2" xfId="8170" xr:uid="{00000000-0005-0000-0000-000097350000}"/>
    <cellStyle name="20% - Accent5 2 2 9 2 2 2" xfId="27621" xr:uid="{00000000-0005-0000-0000-000098350000}"/>
    <cellStyle name="20% - Accent5 2 2 9 2 2 3" xfId="37346" xr:uid="{00000000-0005-0000-0000-000099350000}"/>
    <cellStyle name="20% - Accent5 2 2 9 2 2 4" xfId="47071" xr:uid="{00000000-0005-0000-0000-00009A350000}"/>
    <cellStyle name="20% - Accent5 2 2 9 2 2 5" xfId="17896" xr:uid="{00000000-0005-0000-0000-00009B350000}"/>
    <cellStyle name="20% - Accent5 2 2 9 2 3" xfId="22759" xr:uid="{00000000-0005-0000-0000-00009C350000}"/>
    <cellStyle name="20% - Accent5 2 2 9 2 4" xfId="32484" xr:uid="{00000000-0005-0000-0000-00009D350000}"/>
    <cellStyle name="20% - Accent5 2 2 9 2 5" xfId="42209" xr:uid="{00000000-0005-0000-0000-00009E350000}"/>
    <cellStyle name="20% - Accent5 2 2 9 2 6" xfId="13034" xr:uid="{00000000-0005-0000-0000-00009F350000}"/>
    <cellStyle name="20% - Accent5 2 2 9 3" xfId="4928" xr:uid="{00000000-0005-0000-0000-0000A0350000}"/>
    <cellStyle name="20% - Accent5 2 2 9 3 2" xfId="9790" xr:uid="{00000000-0005-0000-0000-0000A1350000}"/>
    <cellStyle name="20% - Accent5 2 2 9 3 2 2" xfId="29241" xr:uid="{00000000-0005-0000-0000-0000A2350000}"/>
    <cellStyle name="20% - Accent5 2 2 9 3 2 3" xfId="38966" xr:uid="{00000000-0005-0000-0000-0000A3350000}"/>
    <cellStyle name="20% - Accent5 2 2 9 3 2 4" xfId="48691" xr:uid="{00000000-0005-0000-0000-0000A4350000}"/>
    <cellStyle name="20% - Accent5 2 2 9 3 2 5" xfId="19516" xr:uid="{00000000-0005-0000-0000-0000A5350000}"/>
    <cellStyle name="20% - Accent5 2 2 9 3 3" xfId="24379" xr:uid="{00000000-0005-0000-0000-0000A6350000}"/>
    <cellStyle name="20% - Accent5 2 2 9 3 4" xfId="34104" xr:uid="{00000000-0005-0000-0000-0000A7350000}"/>
    <cellStyle name="20% - Accent5 2 2 9 3 5" xfId="43829" xr:uid="{00000000-0005-0000-0000-0000A8350000}"/>
    <cellStyle name="20% - Accent5 2 2 9 3 6" xfId="14654" xr:uid="{00000000-0005-0000-0000-0000A9350000}"/>
    <cellStyle name="20% - Accent5 2 2 9 4" xfId="6550" xr:uid="{00000000-0005-0000-0000-0000AA350000}"/>
    <cellStyle name="20% - Accent5 2 2 9 4 2" xfId="26001" xr:uid="{00000000-0005-0000-0000-0000AB350000}"/>
    <cellStyle name="20% - Accent5 2 2 9 4 3" xfId="35726" xr:uid="{00000000-0005-0000-0000-0000AC350000}"/>
    <cellStyle name="20% - Accent5 2 2 9 4 4" xfId="45451" xr:uid="{00000000-0005-0000-0000-0000AD350000}"/>
    <cellStyle name="20% - Accent5 2 2 9 4 5" xfId="16276" xr:uid="{00000000-0005-0000-0000-0000AE350000}"/>
    <cellStyle name="20% - Accent5 2 2 9 5" xfId="21139" xr:uid="{00000000-0005-0000-0000-0000AF350000}"/>
    <cellStyle name="20% - Accent5 2 2 9 6" xfId="30864" xr:uid="{00000000-0005-0000-0000-0000B0350000}"/>
    <cellStyle name="20% - Accent5 2 2 9 7" xfId="40589" xr:uid="{00000000-0005-0000-0000-0000B1350000}"/>
    <cellStyle name="20% - Accent5 2 2 9 8" xfId="11414" xr:uid="{00000000-0005-0000-0000-0000B2350000}"/>
    <cellStyle name="20% - Accent5 2 3" xfId="124" xr:uid="{00000000-0005-0000-0000-0000B3350000}"/>
    <cellStyle name="20% - Accent5 2 3 10" xfId="1808" xr:uid="{00000000-0005-0000-0000-0000B4350000}"/>
    <cellStyle name="20% - Accent5 2 3 10 2" xfId="6670" xr:uid="{00000000-0005-0000-0000-0000B5350000}"/>
    <cellStyle name="20% - Accent5 2 3 10 2 2" xfId="26121" xr:uid="{00000000-0005-0000-0000-0000B6350000}"/>
    <cellStyle name="20% - Accent5 2 3 10 2 3" xfId="35846" xr:uid="{00000000-0005-0000-0000-0000B7350000}"/>
    <cellStyle name="20% - Accent5 2 3 10 2 4" xfId="45571" xr:uid="{00000000-0005-0000-0000-0000B8350000}"/>
    <cellStyle name="20% - Accent5 2 3 10 2 5" xfId="16396" xr:uid="{00000000-0005-0000-0000-0000B9350000}"/>
    <cellStyle name="20% - Accent5 2 3 10 3" xfId="21259" xr:uid="{00000000-0005-0000-0000-0000BA350000}"/>
    <cellStyle name="20% - Accent5 2 3 10 4" xfId="30984" xr:uid="{00000000-0005-0000-0000-0000BB350000}"/>
    <cellStyle name="20% - Accent5 2 3 10 5" xfId="40709" xr:uid="{00000000-0005-0000-0000-0000BC350000}"/>
    <cellStyle name="20% - Accent5 2 3 10 6" xfId="11534" xr:uid="{00000000-0005-0000-0000-0000BD350000}"/>
    <cellStyle name="20% - Accent5 2 3 11" xfId="3428" xr:uid="{00000000-0005-0000-0000-0000BE350000}"/>
    <cellStyle name="20% - Accent5 2 3 11 2" xfId="8290" xr:uid="{00000000-0005-0000-0000-0000BF350000}"/>
    <cellStyle name="20% - Accent5 2 3 11 2 2" xfId="27741" xr:uid="{00000000-0005-0000-0000-0000C0350000}"/>
    <cellStyle name="20% - Accent5 2 3 11 2 3" xfId="37466" xr:uid="{00000000-0005-0000-0000-0000C1350000}"/>
    <cellStyle name="20% - Accent5 2 3 11 2 4" xfId="47191" xr:uid="{00000000-0005-0000-0000-0000C2350000}"/>
    <cellStyle name="20% - Accent5 2 3 11 2 5" xfId="18016" xr:uid="{00000000-0005-0000-0000-0000C3350000}"/>
    <cellStyle name="20% - Accent5 2 3 11 3" xfId="22879" xr:uid="{00000000-0005-0000-0000-0000C4350000}"/>
    <cellStyle name="20% - Accent5 2 3 11 4" xfId="32604" xr:uid="{00000000-0005-0000-0000-0000C5350000}"/>
    <cellStyle name="20% - Accent5 2 3 11 5" xfId="42329" xr:uid="{00000000-0005-0000-0000-0000C6350000}"/>
    <cellStyle name="20% - Accent5 2 3 11 6" xfId="13154" xr:uid="{00000000-0005-0000-0000-0000C7350000}"/>
    <cellStyle name="20% - Accent5 2 3 12" xfId="5050" xr:uid="{00000000-0005-0000-0000-0000C8350000}"/>
    <cellStyle name="20% - Accent5 2 3 12 2" xfId="24501" xr:uid="{00000000-0005-0000-0000-0000C9350000}"/>
    <cellStyle name="20% - Accent5 2 3 12 3" xfId="34226" xr:uid="{00000000-0005-0000-0000-0000CA350000}"/>
    <cellStyle name="20% - Accent5 2 3 12 4" xfId="43951" xr:uid="{00000000-0005-0000-0000-0000CB350000}"/>
    <cellStyle name="20% - Accent5 2 3 12 5" xfId="14776" xr:uid="{00000000-0005-0000-0000-0000CC350000}"/>
    <cellStyle name="20% - Accent5 2 3 13" xfId="19639" xr:uid="{00000000-0005-0000-0000-0000CD350000}"/>
    <cellStyle name="20% - Accent5 2 3 14" xfId="29364" xr:uid="{00000000-0005-0000-0000-0000CE350000}"/>
    <cellStyle name="20% - Accent5 2 3 15" xfId="39089" xr:uid="{00000000-0005-0000-0000-0000CF350000}"/>
    <cellStyle name="20% - Accent5 2 3 16" xfId="9914" xr:uid="{00000000-0005-0000-0000-0000D0350000}"/>
    <cellStyle name="20% - Accent5 2 3 2" xfId="306" xr:uid="{00000000-0005-0000-0000-0000D1350000}"/>
    <cellStyle name="20% - Accent5 2 3 2 10" xfId="39269" xr:uid="{00000000-0005-0000-0000-0000D2350000}"/>
    <cellStyle name="20% - Accent5 2 3 2 11" xfId="10094" xr:uid="{00000000-0005-0000-0000-0000D3350000}"/>
    <cellStyle name="20% - Accent5 2 3 2 2" xfId="1070" xr:uid="{00000000-0005-0000-0000-0000D4350000}"/>
    <cellStyle name="20% - Accent5 2 3 2 2 2" xfId="2708" xr:uid="{00000000-0005-0000-0000-0000D5350000}"/>
    <cellStyle name="20% - Accent5 2 3 2 2 2 2" xfId="7570" xr:uid="{00000000-0005-0000-0000-0000D6350000}"/>
    <cellStyle name="20% - Accent5 2 3 2 2 2 2 2" xfId="27021" xr:uid="{00000000-0005-0000-0000-0000D7350000}"/>
    <cellStyle name="20% - Accent5 2 3 2 2 2 2 3" xfId="36746" xr:uid="{00000000-0005-0000-0000-0000D8350000}"/>
    <cellStyle name="20% - Accent5 2 3 2 2 2 2 4" xfId="46471" xr:uid="{00000000-0005-0000-0000-0000D9350000}"/>
    <cellStyle name="20% - Accent5 2 3 2 2 2 2 5" xfId="17296" xr:uid="{00000000-0005-0000-0000-0000DA350000}"/>
    <cellStyle name="20% - Accent5 2 3 2 2 2 3" xfId="22159" xr:uid="{00000000-0005-0000-0000-0000DB350000}"/>
    <cellStyle name="20% - Accent5 2 3 2 2 2 4" xfId="31884" xr:uid="{00000000-0005-0000-0000-0000DC350000}"/>
    <cellStyle name="20% - Accent5 2 3 2 2 2 5" xfId="41609" xr:uid="{00000000-0005-0000-0000-0000DD350000}"/>
    <cellStyle name="20% - Accent5 2 3 2 2 2 6" xfId="12434" xr:uid="{00000000-0005-0000-0000-0000DE350000}"/>
    <cellStyle name="20% - Accent5 2 3 2 2 3" xfId="4328" xr:uid="{00000000-0005-0000-0000-0000DF350000}"/>
    <cellStyle name="20% - Accent5 2 3 2 2 3 2" xfId="9190" xr:uid="{00000000-0005-0000-0000-0000E0350000}"/>
    <cellStyle name="20% - Accent5 2 3 2 2 3 2 2" xfId="28641" xr:uid="{00000000-0005-0000-0000-0000E1350000}"/>
    <cellStyle name="20% - Accent5 2 3 2 2 3 2 3" xfId="38366" xr:uid="{00000000-0005-0000-0000-0000E2350000}"/>
    <cellStyle name="20% - Accent5 2 3 2 2 3 2 4" xfId="48091" xr:uid="{00000000-0005-0000-0000-0000E3350000}"/>
    <cellStyle name="20% - Accent5 2 3 2 2 3 2 5" xfId="18916" xr:uid="{00000000-0005-0000-0000-0000E4350000}"/>
    <cellStyle name="20% - Accent5 2 3 2 2 3 3" xfId="23779" xr:uid="{00000000-0005-0000-0000-0000E5350000}"/>
    <cellStyle name="20% - Accent5 2 3 2 2 3 4" xfId="33504" xr:uid="{00000000-0005-0000-0000-0000E6350000}"/>
    <cellStyle name="20% - Accent5 2 3 2 2 3 5" xfId="43229" xr:uid="{00000000-0005-0000-0000-0000E7350000}"/>
    <cellStyle name="20% - Accent5 2 3 2 2 3 6" xfId="14054" xr:uid="{00000000-0005-0000-0000-0000E8350000}"/>
    <cellStyle name="20% - Accent5 2 3 2 2 4" xfId="5950" xr:uid="{00000000-0005-0000-0000-0000E9350000}"/>
    <cellStyle name="20% - Accent5 2 3 2 2 4 2" xfId="25401" xr:uid="{00000000-0005-0000-0000-0000EA350000}"/>
    <cellStyle name="20% - Accent5 2 3 2 2 4 3" xfId="35126" xr:uid="{00000000-0005-0000-0000-0000EB350000}"/>
    <cellStyle name="20% - Accent5 2 3 2 2 4 4" xfId="44851" xr:uid="{00000000-0005-0000-0000-0000EC350000}"/>
    <cellStyle name="20% - Accent5 2 3 2 2 4 5" xfId="15676" xr:uid="{00000000-0005-0000-0000-0000ED350000}"/>
    <cellStyle name="20% - Accent5 2 3 2 2 5" xfId="20539" xr:uid="{00000000-0005-0000-0000-0000EE350000}"/>
    <cellStyle name="20% - Accent5 2 3 2 2 6" xfId="30264" xr:uid="{00000000-0005-0000-0000-0000EF350000}"/>
    <cellStyle name="20% - Accent5 2 3 2 2 7" xfId="39989" xr:uid="{00000000-0005-0000-0000-0000F0350000}"/>
    <cellStyle name="20% - Accent5 2 3 2 2 8" xfId="10814" xr:uid="{00000000-0005-0000-0000-0000F1350000}"/>
    <cellStyle name="20% - Accent5 2 3 2 3" xfId="1537" xr:uid="{00000000-0005-0000-0000-0000F2350000}"/>
    <cellStyle name="20% - Accent5 2 3 2 3 2" xfId="3158" xr:uid="{00000000-0005-0000-0000-0000F3350000}"/>
    <cellStyle name="20% - Accent5 2 3 2 3 2 2" xfId="8020" xr:uid="{00000000-0005-0000-0000-0000F4350000}"/>
    <cellStyle name="20% - Accent5 2 3 2 3 2 2 2" xfId="27471" xr:uid="{00000000-0005-0000-0000-0000F5350000}"/>
    <cellStyle name="20% - Accent5 2 3 2 3 2 2 3" xfId="37196" xr:uid="{00000000-0005-0000-0000-0000F6350000}"/>
    <cellStyle name="20% - Accent5 2 3 2 3 2 2 4" xfId="46921" xr:uid="{00000000-0005-0000-0000-0000F7350000}"/>
    <cellStyle name="20% - Accent5 2 3 2 3 2 2 5" xfId="17746" xr:uid="{00000000-0005-0000-0000-0000F8350000}"/>
    <cellStyle name="20% - Accent5 2 3 2 3 2 3" xfId="22609" xr:uid="{00000000-0005-0000-0000-0000F9350000}"/>
    <cellStyle name="20% - Accent5 2 3 2 3 2 4" xfId="32334" xr:uid="{00000000-0005-0000-0000-0000FA350000}"/>
    <cellStyle name="20% - Accent5 2 3 2 3 2 5" xfId="42059" xr:uid="{00000000-0005-0000-0000-0000FB350000}"/>
    <cellStyle name="20% - Accent5 2 3 2 3 2 6" xfId="12884" xr:uid="{00000000-0005-0000-0000-0000FC350000}"/>
    <cellStyle name="20% - Accent5 2 3 2 3 3" xfId="4778" xr:uid="{00000000-0005-0000-0000-0000FD350000}"/>
    <cellStyle name="20% - Accent5 2 3 2 3 3 2" xfId="9640" xr:uid="{00000000-0005-0000-0000-0000FE350000}"/>
    <cellStyle name="20% - Accent5 2 3 2 3 3 2 2" xfId="29091" xr:uid="{00000000-0005-0000-0000-0000FF350000}"/>
    <cellStyle name="20% - Accent5 2 3 2 3 3 2 3" xfId="38816" xr:uid="{00000000-0005-0000-0000-000000360000}"/>
    <cellStyle name="20% - Accent5 2 3 2 3 3 2 4" xfId="48541" xr:uid="{00000000-0005-0000-0000-000001360000}"/>
    <cellStyle name="20% - Accent5 2 3 2 3 3 2 5" xfId="19366" xr:uid="{00000000-0005-0000-0000-000002360000}"/>
    <cellStyle name="20% - Accent5 2 3 2 3 3 3" xfId="24229" xr:uid="{00000000-0005-0000-0000-000003360000}"/>
    <cellStyle name="20% - Accent5 2 3 2 3 3 4" xfId="33954" xr:uid="{00000000-0005-0000-0000-000004360000}"/>
    <cellStyle name="20% - Accent5 2 3 2 3 3 5" xfId="43679" xr:uid="{00000000-0005-0000-0000-000005360000}"/>
    <cellStyle name="20% - Accent5 2 3 2 3 3 6" xfId="14504" xr:uid="{00000000-0005-0000-0000-000006360000}"/>
    <cellStyle name="20% - Accent5 2 3 2 3 4" xfId="6400" xr:uid="{00000000-0005-0000-0000-000007360000}"/>
    <cellStyle name="20% - Accent5 2 3 2 3 4 2" xfId="25851" xr:uid="{00000000-0005-0000-0000-000008360000}"/>
    <cellStyle name="20% - Accent5 2 3 2 3 4 3" xfId="35576" xr:uid="{00000000-0005-0000-0000-000009360000}"/>
    <cellStyle name="20% - Accent5 2 3 2 3 4 4" xfId="45301" xr:uid="{00000000-0005-0000-0000-00000A360000}"/>
    <cellStyle name="20% - Accent5 2 3 2 3 4 5" xfId="16126" xr:uid="{00000000-0005-0000-0000-00000B360000}"/>
    <cellStyle name="20% - Accent5 2 3 2 3 5" xfId="20989" xr:uid="{00000000-0005-0000-0000-00000C360000}"/>
    <cellStyle name="20% - Accent5 2 3 2 3 6" xfId="30714" xr:uid="{00000000-0005-0000-0000-00000D360000}"/>
    <cellStyle name="20% - Accent5 2 3 2 3 7" xfId="40439" xr:uid="{00000000-0005-0000-0000-00000E360000}"/>
    <cellStyle name="20% - Accent5 2 3 2 3 8" xfId="11264" xr:uid="{00000000-0005-0000-0000-00000F360000}"/>
    <cellStyle name="20% - Accent5 2 3 2 4" xfId="708" xr:uid="{00000000-0005-0000-0000-000010360000}"/>
    <cellStyle name="20% - Accent5 2 3 2 4 2" xfId="2348" xr:uid="{00000000-0005-0000-0000-000011360000}"/>
    <cellStyle name="20% - Accent5 2 3 2 4 2 2" xfId="7210" xr:uid="{00000000-0005-0000-0000-000012360000}"/>
    <cellStyle name="20% - Accent5 2 3 2 4 2 2 2" xfId="26661" xr:uid="{00000000-0005-0000-0000-000013360000}"/>
    <cellStyle name="20% - Accent5 2 3 2 4 2 2 3" xfId="36386" xr:uid="{00000000-0005-0000-0000-000014360000}"/>
    <cellStyle name="20% - Accent5 2 3 2 4 2 2 4" xfId="46111" xr:uid="{00000000-0005-0000-0000-000015360000}"/>
    <cellStyle name="20% - Accent5 2 3 2 4 2 2 5" xfId="16936" xr:uid="{00000000-0005-0000-0000-000016360000}"/>
    <cellStyle name="20% - Accent5 2 3 2 4 2 3" xfId="21799" xr:uid="{00000000-0005-0000-0000-000017360000}"/>
    <cellStyle name="20% - Accent5 2 3 2 4 2 4" xfId="31524" xr:uid="{00000000-0005-0000-0000-000018360000}"/>
    <cellStyle name="20% - Accent5 2 3 2 4 2 5" xfId="41249" xr:uid="{00000000-0005-0000-0000-000019360000}"/>
    <cellStyle name="20% - Accent5 2 3 2 4 2 6" xfId="12074" xr:uid="{00000000-0005-0000-0000-00001A360000}"/>
    <cellStyle name="20% - Accent5 2 3 2 4 3" xfId="3968" xr:uid="{00000000-0005-0000-0000-00001B360000}"/>
    <cellStyle name="20% - Accent5 2 3 2 4 3 2" xfId="8830" xr:uid="{00000000-0005-0000-0000-00001C360000}"/>
    <cellStyle name="20% - Accent5 2 3 2 4 3 2 2" xfId="28281" xr:uid="{00000000-0005-0000-0000-00001D360000}"/>
    <cellStyle name="20% - Accent5 2 3 2 4 3 2 3" xfId="38006" xr:uid="{00000000-0005-0000-0000-00001E360000}"/>
    <cellStyle name="20% - Accent5 2 3 2 4 3 2 4" xfId="47731" xr:uid="{00000000-0005-0000-0000-00001F360000}"/>
    <cellStyle name="20% - Accent5 2 3 2 4 3 2 5" xfId="18556" xr:uid="{00000000-0005-0000-0000-000020360000}"/>
    <cellStyle name="20% - Accent5 2 3 2 4 3 3" xfId="23419" xr:uid="{00000000-0005-0000-0000-000021360000}"/>
    <cellStyle name="20% - Accent5 2 3 2 4 3 4" xfId="33144" xr:uid="{00000000-0005-0000-0000-000022360000}"/>
    <cellStyle name="20% - Accent5 2 3 2 4 3 5" xfId="42869" xr:uid="{00000000-0005-0000-0000-000023360000}"/>
    <cellStyle name="20% - Accent5 2 3 2 4 3 6" xfId="13694" xr:uid="{00000000-0005-0000-0000-000024360000}"/>
    <cellStyle name="20% - Accent5 2 3 2 4 4" xfId="5590" xr:uid="{00000000-0005-0000-0000-000025360000}"/>
    <cellStyle name="20% - Accent5 2 3 2 4 4 2" xfId="25041" xr:uid="{00000000-0005-0000-0000-000026360000}"/>
    <cellStyle name="20% - Accent5 2 3 2 4 4 3" xfId="34766" xr:uid="{00000000-0005-0000-0000-000027360000}"/>
    <cellStyle name="20% - Accent5 2 3 2 4 4 4" xfId="44491" xr:uid="{00000000-0005-0000-0000-000028360000}"/>
    <cellStyle name="20% - Accent5 2 3 2 4 4 5" xfId="15316" xr:uid="{00000000-0005-0000-0000-000029360000}"/>
    <cellStyle name="20% - Accent5 2 3 2 4 5" xfId="20179" xr:uid="{00000000-0005-0000-0000-00002A360000}"/>
    <cellStyle name="20% - Accent5 2 3 2 4 6" xfId="29904" xr:uid="{00000000-0005-0000-0000-00002B360000}"/>
    <cellStyle name="20% - Accent5 2 3 2 4 7" xfId="39629" xr:uid="{00000000-0005-0000-0000-00002C360000}"/>
    <cellStyle name="20% - Accent5 2 3 2 4 8" xfId="10454" xr:uid="{00000000-0005-0000-0000-00002D360000}"/>
    <cellStyle name="20% - Accent5 2 3 2 5" xfId="1988" xr:uid="{00000000-0005-0000-0000-00002E360000}"/>
    <cellStyle name="20% - Accent5 2 3 2 5 2" xfId="6850" xr:uid="{00000000-0005-0000-0000-00002F360000}"/>
    <cellStyle name="20% - Accent5 2 3 2 5 2 2" xfId="26301" xr:uid="{00000000-0005-0000-0000-000030360000}"/>
    <cellStyle name="20% - Accent5 2 3 2 5 2 3" xfId="36026" xr:uid="{00000000-0005-0000-0000-000031360000}"/>
    <cellStyle name="20% - Accent5 2 3 2 5 2 4" xfId="45751" xr:uid="{00000000-0005-0000-0000-000032360000}"/>
    <cellStyle name="20% - Accent5 2 3 2 5 2 5" xfId="16576" xr:uid="{00000000-0005-0000-0000-000033360000}"/>
    <cellStyle name="20% - Accent5 2 3 2 5 3" xfId="21439" xr:uid="{00000000-0005-0000-0000-000034360000}"/>
    <cellStyle name="20% - Accent5 2 3 2 5 4" xfId="31164" xr:uid="{00000000-0005-0000-0000-000035360000}"/>
    <cellStyle name="20% - Accent5 2 3 2 5 5" xfId="40889" xr:uid="{00000000-0005-0000-0000-000036360000}"/>
    <cellStyle name="20% - Accent5 2 3 2 5 6" xfId="11714" xr:uid="{00000000-0005-0000-0000-000037360000}"/>
    <cellStyle name="20% - Accent5 2 3 2 6" xfId="3608" xr:uid="{00000000-0005-0000-0000-000038360000}"/>
    <cellStyle name="20% - Accent5 2 3 2 6 2" xfId="8470" xr:uid="{00000000-0005-0000-0000-000039360000}"/>
    <cellStyle name="20% - Accent5 2 3 2 6 2 2" xfId="27921" xr:uid="{00000000-0005-0000-0000-00003A360000}"/>
    <cellStyle name="20% - Accent5 2 3 2 6 2 3" xfId="37646" xr:uid="{00000000-0005-0000-0000-00003B360000}"/>
    <cellStyle name="20% - Accent5 2 3 2 6 2 4" xfId="47371" xr:uid="{00000000-0005-0000-0000-00003C360000}"/>
    <cellStyle name="20% - Accent5 2 3 2 6 2 5" xfId="18196" xr:uid="{00000000-0005-0000-0000-00003D360000}"/>
    <cellStyle name="20% - Accent5 2 3 2 6 3" xfId="23059" xr:uid="{00000000-0005-0000-0000-00003E360000}"/>
    <cellStyle name="20% - Accent5 2 3 2 6 4" xfId="32784" xr:uid="{00000000-0005-0000-0000-00003F360000}"/>
    <cellStyle name="20% - Accent5 2 3 2 6 5" xfId="42509" xr:uid="{00000000-0005-0000-0000-000040360000}"/>
    <cellStyle name="20% - Accent5 2 3 2 6 6" xfId="13334" xr:uid="{00000000-0005-0000-0000-000041360000}"/>
    <cellStyle name="20% - Accent5 2 3 2 7" xfId="5230" xr:uid="{00000000-0005-0000-0000-000042360000}"/>
    <cellStyle name="20% - Accent5 2 3 2 7 2" xfId="24681" xr:uid="{00000000-0005-0000-0000-000043360000}"/>
    <cellStyle name="20% - Accent5 2 3 2 7 3" xfId="34406" xr:uid="{00000000-0005-0000-0000-000044360000}"/>
    <cellStyle name="20% - Accent5 2 3 2 7 4" xfId="44131" xr:uid="{00000000-0005-0000-0000-000045360000}"/>
    <cellStyle name="20% - Accent5 2 3 2 7 5" xfId="14956" xr:uid="{00000000-0005-0000-0000-000046360000}"/>
    <cellStyle name="20% - Accent5 2 3 2 8" xfId="19819" xr:uid="{00000000-0005-0000-0000-000047360000}"/>
    <cellStyle name="20% - Accent5 2 3 2 9" xfId="29544" xr:uid="{00000000-0005-0000-0000-000048360000}"/>
    <cellStyle name="20% - Accent5 2 3 3" xfId="397" xr:uid="{00000000-0005-0000-0000-000049360000}"/>
    <cellStyle name="20% - Accent5 2 3 3 10" xfId="39359" xr:uid="{00000000-0005-0000-0000-00004A360000}"/>
    <cellStyle name="20% - Accent5 2 3 3 11" xfId="10184" xr:uid="{00000000-0005-0000-0000-00004B360000}"/>
    <cellStyle name="20% - Accent5 2 3 3 2" xfId="1160" xr:uid="{00000000-0005-0000-0000-00004C360000}"/>
    <cellStyle name="20% - Accent5 2 3 3 2 2" xfId="2798" xr:uid="{00000000-0005-0000-0000-00004D360000}"/>
    <cellStyle name="20% - Accent5 2 3 3 2 2 2" xfId="7660" xr:uid="{00000000-0005-0000-0000-00004E360000}"/>
    <cellStyle name="20% - Accent5 2 3 3 2 2 2 2" xfId="27111" xr:uid="{00000000-0005-0000-0000-00004F360000}"/>
    <cellStyle name="20% - Accent5 2 3 3 2 2 2 3" xfId="36836" xr:uid="{00000000-0005-0000-0000-000050360000}"/>
    <cellStyle name="20% - Accent5 2 3 3 2 2 2 4" xfId="46561" xr:uid="{00000000-0005-0000-0000-000051360000}"/>
    <cellStyle name="20% - Accent5 2 3 3 2 2 2 5" xfId="17386" xr:uid="{00000000-0005-0000-0000-000052360000}"/>
    <cellStyle name="20% - Accent5 2 3 3 2 2 3" xfId="22249" xr:uid="{00000000-0005-0000-0000-000053360000}"/>
    <cellStyle name="20% - Accent5 2 3 3 2 2 4" xfId="31974" xr:uid="{00000000-0005-0000-0000-000054360000}"/>
    <cellStyle name="20% - Accent5 2 3 3 2 2 5" xfId="41699" xr:uid="{00000000-0005-0000-0000-000055360000}"/>
    <cellStyle name="20% - Accent5 2 3 3 2 2 6" xfId="12524" xr:uid="{00000000-0005-0000-0000-000056360000}"/>
    <cellStyle name="20% - Accent5 2 3 3 2 3" xfId="4418" xr:uid="{00000000-0005-0000-0000-000057360000}"/>
    <cellStyle name="20% - Accent5 2 3 3 2 3 2" xfId="9280" xr:uid="{00000000-0005-0000-0000-000058360000}"/>
    <cellStyle name="20% - Accent5 2 3 3 2 3 2 2" xfId="28731" xr:uid="{00000000-0005-0000-0000-000059360000}"/>
    <cellStyle name="20% - Accent5 2 3 3 2 3 2 3" xfId="38456" xr:uid="{00000000-0005-0000-0000-00005A360000}"/>
    <cellStyle name="20% - Accent5 2 3 3 2 3 2 4" xfId="48181" xr:uid="{00000000-0005-0000-0000-00005B360000}"/>
    <cellStyle name="20% - Accent5 2 3 3 2 3 2 5" xfId="19006" xr:uid="{00000000-0005-0000-0000-00005C360000}"/>
    <cellStyle name="20% - Accent5 2 3 3 2 3 3" xfId="23869" xr:uid="{00000000-0005-0000-0000-00005D360000}"/>
    <cellStyle name="20% - Accent5 2 3 3 2 3 4" xfId="33594" xr:uid="{00000000-0005-0000-0000-00005E360000}"/>
    <cellStyle name="20% - Accent5 2 3 3 2 3 5" xfId="43319" xr:uid="{00000000-0005-0000-0000-00005F360000}"/>
    <cellStyle name="20% - Accent5 2 3 3 2 3 6" xfId="14144" xr:uid="{00000000-0005-0000-0000-000060360000}"/>
    <cellStyle name="20% - Accent5 2 3 3 2 4" xfId="6040" xr:uid="{00000000-0005-0000-0000-000061360000}"/>
    <cellStyle name="20% - Accent5 2 3 3 2 4 2" xfId="25491" xr:uid="{00000000-0005-0000-0000-000062360000}"/>
    <cellStyle name="20% - Accent5 2 3 3 2 4 3" xfId="35216" xr:uid="{00000000-0005-0000-0000-000063360000}"/>
    <cellStyle name="20% - Accent5 2 3 3 2 4 4" xfId="44941" xr:uid="{00000000-0005-0000-0000-000064360000}"/>
    <cellStyle name="20% - Accent5 2 3 3 2 4 5" xfId="15766" xr:uid="{00000000-0005-0000-0000-000065360000}"/>
    <cellStyle name="20% - Accent5 2 3 3 2 5" xfId="20629" xr:uid="{00000000-0005-0000-0000-000066360000}"/>
    <cellStyle name="20% - Accent5 2 3 3 2 6" xfId="30354" xr:uid="{00000000-0005-0000-0000-000067360000}"/>
    <cellStyle name="20% - Accent5 2 3 3 2 7" xfId="40079" xr:uid="{00000000-0005-0000-0000-000068360000}"/>
    <cellStyle name="20% - Accent5 2 3 3 2 8" xfId="10904" xr:uid="{00000000-0005-0000-0000-000069360000}"/>
    <cellStyle name="20% - Accent5 2 3 3 3" xfId="1627" xr:uid="{00000000-0005-0000-0000-00006A360000}"/>
    <cellStyle name="20% - Accent5 2 3 3 3 2" xfId="3248" xr:uid="{00000000-0005-0000-0000-00006B360000}"/>
    <cellStyle name="20% - Accent5 2 3 3 3 2 2" xfId="8110" xr:uid="{00000000-0005-0000-0000-00006C360000}"/>
    <cellStyle name="20% - Accent5 2 3 3 3 2 2 2" xfId="27561" xr:uid="{00000000-0005-0000-0000-00006D360000}"/>
    <cellStyle name="20% - Accent5 2 3 3 3 2 2 3" xfId="37286" xr:uid="{00000000-0005-0000-0000-00006E360000}"/>
    <cellStyle name="20% - Accent5 2 3 3 3 2 2 4" xfId="47011" xr:uid="{00000000-0005-0000-0000-00006F360000}"/>
    <cellStyle name="20% - Accent5 2 3 3 3 2 2 5" xfId="17836" xr:uid="{00000000-0005-0000-0000-000070360000}"/>
    <cellStyle name="20% - Accent5 2 3 3 3 2 3" xfId="22699" xr:uid="{00000000-0005-0000-0000-000071360000}"/>
    <cellStyle name="20% - Accent5 2 3 3 3 2 4" xfId="32424" xr:uid="{00000000-0005-0000-0000-000072360000}"/>
    <cellStyle name="20% - Accent5 2 3 3 3 2 5" xfId="42149" xr:uid="{00000000-0005-0000-0000-000073360000}"/>
    <cellStyle name="20% - Accent5 2 3 3 3 2 6" xfId="12974" xr:uid="{00000000-0005-0000-0000-000074360000}"/>
    <cellStyle name="20% - Accent5 2 3 3 3 3" xfId="4868" xr:uid="{00000000-0005-0000-0000-000075360000}"/>
    <cellStyle name="20% - Accent5 2 3 3 3 3 2" xfId="9730" xr:uid="{00000000-0005-0000-0000-000076360000}"/>
    <cellStyle name="20% - Accent5 2 3 3 3 3 2 2" xfId="29181" xr:uid="{00000000-0005-0000-0000-000077360000}"/>
    <cellStyle name="20% - Accent5 2 3 3 3 3 2 3" xfId="38906" xr:uid="{00000000-0005-0000-0000-000078360000}"/>
    <cellStyle name="20% - Accent5 2 3 3 3 3 2 4" xfId="48631" xr:uid="{00000000-0005-0000-0000-000079360000}"/>
    <cellStyle name="20% - Accent5 2 3 3 3 3 2 5" xfId="19456" xr:uid="{00000000-0005-0000-0000-00007A360000}"/>
    <cellStyle name="20% - Accent5 2 3 3 3 3 3" xfId="24319" xr:uid="{00000000-0005-0000-0000-00007B360000}"/>
    <cellStyle name="20% - Accent5 2 3 3 3 3 4" xfId="34044" xr:uid="{00000000-0005-0000-0000-00007C360000}"/>
    <cellStyle name="20% - Accent5 2 3 3 3 3 5" xfId="43769" xr:uid="{00000000-0005-0000-0000-00007D360000}"/>
    <cellStyle name="20% - Accent5 2 3 3 3 3 6" xfId="14594" xr:uid="{00000000-0005-0000-0000-00007E360000}"/>
    <cellStyle name="20% - Accent5 2 3 3 3 4" xfId="6490" xr:uid="{00000000-0005-0000-0000-00007F360000}"/>
    <cellStyle name="20% - Accent5 2 3 3 3 4 2" xfId="25941" xr:uid="{00000000-0005-0000-0000-000080360000}"/>
    <cellStyle name="20% - Accent5 2 3 3 3 4 3" xfId="35666" xr:uid="{00000000-0005-0000-0000-000081360000}"/>
    <cellStyle name="20% - Accent5 2 3 3 3 4 4" xfId="45391" xr:uid="{00000000-0005-0000-0000-000082360000}"/>
    <cellStyle name="20% - Accent5 2 3 3 3 4 5" xfId="16216" xr:uid="{00000000-0005-0000-0000-000083360000}"/>
    <cellStyle name="20% - Accent5 2 3 3 3 5" xfId="21079" xr:uid="{00000000-0005-0000-0000-000084360000}"/>
    <cellStyle name="20% - Accent5 2 3 3 3 6" xfId="30804" xr:uid="{00000000-0005-0000-0000-000085360000}"/>
    <cellStyle name="20% - Accent5 2 3 3 3 7" xfId="40529" xr:uid="{00000000-0005-0000-0000-000086360000}"/>
    <cellStyle name="20% - Accent5 2 3 3 3 8" xfId="11354" xr:uid="{00000000-0005-0000-0000-000087360000}"/>
    <cellStyle name="20% - Accent5 2 3 3 4" xfId="798" xr:uid="{00000000-0005-0000-0000-000088360000}"/>
    <cellStyle name="20% - Accent5 2 3 3 4 2" xfId="2438" xr:uid="{00000000-0005-0000-0000-000089360000}"/>
    <cellStyle name="20% - Accent5 2 3 3 4 2 2" xfId="7300" xr:uid="{00000000-0005-0000-0000-00008A360000}"/>
    <cellStyle name="20% - Accent5 2 3 3 4 2 2 2" xfId="26751" xr:uid="{00000000-0005-0000-0000-00008B360000}"/>
    <cellStyle name="20% - Accent5 2 3 3 4 2 2 3" xfId="36476" xr:uid="{00000000-0005-0000-0000-00008C360000}"/>
    <cellStyle name="20% - Accent5 2 3 3 4 2 2 4" xfId="46201" xr:uid="{00000000-0005-0000-0000-00008D360000}"/>
    <cellStyle name="20% - Accent5 2 3 3 4 2 2 5" xfId="17026" xr:uid="{00000000-0005-0000-0000-00008E360000}"/>
    <cellStyle name="20% - Accent5 2 3 3 4 2 3" xfId="21889" xr:uid="{00000000-0005-0000-0000-00008F360000}"/>
    <cellStyle name="20% - Accent5 2 3 3 4 2 4" xfId="31614" xr:uid="{00000000-0005-0000-0000-000090360000}"/>
    <cellStyle name="20% - Accent5 2 3 3 4 2 5" xfId="41339" xr:uid="{00000000-0005-0000-0000-000091360000}"/>
    <cellStyle name="20% - Accent5 2 3 3 4 2 6" xfId="12164" xr:uid="{00000000-0005-0000-0000-000092360000}"/>
    <cellStyle name="20% - Accent5 2 3 3 4 3" xfId="4058" xr:uid="{00000000-0005-0000-0000-000093360000}"/>
    <cellStyle name="20% - Accent5 2 3 3 4 3 2" xfId="8920" xr:uid="{00000000-0005-0000-0000-000094360000}"/>
    <cellStyle name="20% - Accent5 2 3 3 4 3 2 2" xfId="28371" xr:uid="{00000000-0005-0000-0000-000095360000}"/>
    <cellStyle name="20% - Accent5 2 3 3 4 3 2 3" xfId="38096" xr:uid="{00000000-0005-0000-0000-000096360000}"/>
    <cellStyle name="20% - Accent5 2 3 3 4 3 2 4" xfId="47821" xr:uid="{00000000-0005-0000-0000-000097360000}"/>
    <cellStyle name="20% - Accent5 2 3 3 4 3 2 5" xfId="18646" xr:uid="{00000000-0005-0000-0000-000098360000}"/>
    <cellStyle name="20% - Accent5 2 3 3 4 3 3" xfId="23509" xr:uid="{00000000-0005-0000-0000-000099360000}"/>
    <cellStyle name="20% - Accent5 2 3 3 4 3 4" xfId="33234" xr:uid="{00000000-0005-0000-0000-00009A360000}"/>
    <cellStyle name="20% - Accent5 2 3 3 4 3 5" xfId="42959" xr:uid="{00000000-0005-0000-0000-00009B360000}"/>
    <cellStyle name="20% - Accent5 2 3 3 4 3 6" xfId="13784" xr:uid="{00000000-0005-0000-0000-00009C360000}"/>
    <cellStyle name="20% - Accent5 2 3 3 4 4" xfId="5680" xr:uid="{00000000-0005-0000-0000-00009D360000}"/>
    <cellStyle name="20% - Accent5 2 3 3 4 4 2" xfId="25131" xr:uid="{00000000-0005-0000-0000-00009E360000}"/>
    <cellStyle name="20% - Accent5 2 3 3 4 4 3" xfId="34856" xr:uid="{00000000-0005-0000-0000-00009F360000}"/>
    <cellStyle name="20% - Accent5 2 3 3 4 4 4" xfId="44581" xr:uid="{00000000-0005-0000-0000-0000A0360000}"/>
    <cellStyle name="20% - Accent5 2 3 3 4 4 5" xfId="15406" xr:uid="{00000000-0005-0000-0000-0000A1360000}"/>
    <cellStyle name="20% - Accent5 2 3 3 4 5" xfId="20269" xr:uid="{00000000-0005-0000-0000-0000A2360000}"/>
    <cellStyle name="20% - Accent5 2 3 3 4 6" xfId="29994" xr:uid="{00000000-0005-0000-0000-0000A3360000}"/>
    <cellStyle name="20% - Accent5 2 3 3 4 7" xfId="39719" xr:uid="{00000000-0005-0000-0000-0000A4360000}"/>
    <cellStyle name="20% - Accent5 2 3 3 4 8" xfId="10544" xr:uid="{00000000-0005-0000-0000-0000A5360000}"/>
    <cellStyle name="20% - Accent5 2 3 3 5" xfId="2078" xr:uid="{00000000-0005-0000-0000-0000A6360000}"/>
    <cellStyle name="20% - Accent5 2 3 3 5 2" xfId="6940" xr:uid="{00000000-0005-0000-0000-0000A7360000}"/>
    <cellStyle name="20% - Accent5 2 3 3 5 2 2" xfId="26391" xr:uid="{00000000-0005-0000-0000-0000A8360000}"/>
    <cellStyle name="20% - Accent5 2 3 3 5 2 3" xfId="36116" xr:uid="{00000000-0005-0000-0000-0000A9360000}"/>
    <cellStyle name="20% - Accent5 2 3 3 5 2 4" xfId="45841" xr:uid="{00000000-0005-0000-0000-0000AA360000}"/>
    <cellStyle name="20% - Accent5 2 3 3 5 2 5" xfId="16666" xr:uid="{00000000-0005-0000-0000-0000AB360000}"/>
    <cellStyle name="20% - Accent5 2 3 3 5 3" xfId="21529" xr:uid="{00000000-0005-0000-0000-0000AC360000}"/>
    <cellStyle name="20% - Accent5 2 3 3 5 4" xfId="31254" xr:uid="{00000000-0005-0000-0000-0000AD360000}"/>
    <cellStyle name="20% - Accent5 2 3 3 5 5" xfId="40979" xr:uid="{00000000-0005-0000-0000-0000AE360000}"/>
    <cellStyle name="20% - Accent5 2 3 3 5 6" xfId="11804" xr:uid="{00000000-0005-0000-0000-0000AF360000}"/>
    <cellStyle name="20% - Accent5 2 3 3 6" xfId="3698" xr:uid="{00000000-0005-0000-0000-0000B0360000}"/>
    <cellStyle name="20% - Accent5 2 3 3 6 2" xfId="8560" xr:uid="{00000000-0005-0000-0000-0000B1360000}"/>
    <cellStyle name="20% - Accent5 2 3 3 6 2 2" xfId="28011" xr:uid="{00000000-0005-0000-0000-0000B2360000}"/>
    <cellStyle name="20% - Accent5 2 3 3 6 2 3" xfId="37736" xr:uid="{00000000-0005-0000-0000-0000B3360000}"/>
    <cellStyle name="20% - Accent5 2 3 3 6 2 4" xfId="47461" xr:uid="{00000000-0005-0000-0000-0000B4360000}"/>
    <cellStyle name="20% - Accent5 2 3 3 6 2 5" xfId="18286" xr:uid="{00000000-0005-0000-0000-0000B5360000}"/>
    <cellStyle name="20% - Accent5 2 3 3 6 3" xfId="23149" xr:uid="{00000000-0005-0000-0000-0000B6360000}"/>
    <cellStyle name="20% - Accent5 2 3 3 6 4" xfId="32874" xr:uid="{00000000-0005-0000-0000-0000B7360000}"/>
    <cellStyle name="20% - Accent5 2 3 3 6 5" xfId="42599" xr:uid="{00000000-0005-0000-0000-0000B8360000}"/>
    <cellStyle name="20% - Accent5 2 3 3 6 6" xfId="13424" xr:uid="{00000000-0005-0000-0000-0000B9360000}"/>
    <cellStyle name="20% - Accent5 2 3 3 7" xfId="5320" xr:uid="{00000000-0005-0000-0000-0000BA360000}"/>
    <cellStyle name="20% - Accent5 2 3 3 7 2" xfId="24771" xr:uid="{00000000-0005-0000-0000-0000BB360000}"/>
    <cellStyle name="20% - Accent5 2 3 3 7 3" xfId="34496" xr:uid="{00000000-0005-0000-0000-0000BC360000}"/>
    <cellStyle name="20% - Accent5 2 3 3 7 4" xfId="44221" xr:uid="{00000000-0005-0000-0000-0000BD360000}"/>
    <cellStyle name="20% - Accent5 2 3 3 7 5" xfId="15046" xr:uid="{00000000-0005-0000-0000-0000BE360000}"/>
    <cellStyle name="20% - Accent5 2 3 3 8" xfId="19909" xr:uid="{00000000-0005-0000-0000-0000BF360000}"/>
    <cellStyle name="20% - Accent5 2 3 3 9" xfId="29634" xr:uid="{00000000-0005-0000-0000-0000C0360000}"/>
    <cellStyle name="20% - Accent5 2 3 4" xfId="215" xr:uid="{00000000-0005-0000-0000-0000C1360000}"/>
    <cellStyle name="20% - Accent5 2 3 4 10" xfId="39179" xr:uid="{00000000-0005-0000-0000-0000C2360000}"/>
    <cellStyle name="20% - Accent5 2 3 4 11" xfId="10004" xr:uid="{00000000-0005-0000-0000-0000C3360000}"/>
    <cellStyle name="20% - Accent5 2 3 4 2" xfId="979" xr:uid="{00000000-0005-0000-0000-0000C4360000}"/>
    <cellStyle name="20% - Accent5 2 3 4 2 2" xfId="2618" xr:uid="{00000000-0005-0000-0000-0000C5360000}"/>
    <cellStyle name="20% - Accent5 2 3 4 2 2 2" xfId="7480" xr:uid="{00000000-0005-0000-0000-0000C6360000}"/>
    <cellStyle name="20% - Accent5 2 3 4 2 2 2 2" xfId="26931" xr:uid="{00000000-0005-0000-0000-0000C7360000}"/>
    <cellStyle name="20% - Accent5 2 3 4 2 2 2 3" xfId="36656" xr:uid="{00000000-0005-0000-0000-0000C8360000}"/>
    <cellStyle name="20% - Accent5 2 3 4 2 2 2 4" xfId="46381" xr:uid="{00000000-0005-0000-0000-0000C9360000}"/>
    <cellStyle name="20% - Accent5 2 3 4 2 2 2 5" xfId="17206" xr:uid="{00000000-0005-0000-0000-0000CA360000}"/>
    <cellStyle name="20% - Accent5 2 3 4 2 2 3" xfId="22069" xr:uid="{00000000-0005-0000-0000-0000CB360000}"/>
    <cellStyle name="20% - Accent5 2 3 4 2 2 4" xfId="31794" xr:uid="{00000000-0005-0000-0000-0000CC360000}"/>
    <cellStyle name="20% - Accent5 2 3 4 2 2 5" xfId="41519" xr:uid="{00000000-0005-0000-0000-0000CD360000}"/>
    <cellStyle name="20% - Accent5 2 3 4 2 2 6" xfId="12344" xr:uid="{00000000-0005-0000-0000-0000CE360000}"/>
    <cellStyle name="20% - Accent5 2 3 4 2 3" xfId="4238" xr:uid="{00000000-0005-0000-0000-0000CF360000}"/>
    <cellStyle name="20% - Accent5 2 3 4 2 3 2" xfId="9100" xr:uid="{00000000-0005-0000-0000-0000D0360000}"/>
    <cellStyle name="20% - Accent5 2 3 4 2 3 2 2" xfId="28551" xr:uid="{00000000-0005-0000-0000-0000D1360000}"/>
    <cellStyle name="20% - Accent5 2 3 4 2 3 2 3" xfId="38276" xr:uid="{00000000-0005-0000-0000-0000D2360000}"/>
    <cellStyle name="20% - Accent5 2 3 4 2 3 2 4" xfId="48001" xr:uid="{00000000-0005-0000-0000-0000D3360000}"/>
    <cellStyle name="20% - Accent5 2 3 4 2 3 2 5" xfId="18826" xr:uid="{00000000-0005-0000-0000-0000D4360000}"/>
    <cellStyle name="20% - Accent5 2 3 4 2 3 3" xfId="23689" xr:uid="{00000000-0005-0000-0000-0000D5360000}"/>
    <cellStyle name="20% - Accent5 2 3 4 2 3 4" xfId="33414" xr:uid="{00000000-0005-0000-0000-0000D6360000}"/>
    <cellStyle name="20% - Accent5 2 3 4 2 3 5" xfId="43139" xr:uid="{00000000-0005-0000-0000-0000D7360000}"/>
    <cellStyle name="20% - Accent5 2 3 4 2 3 6" xfId="13964" xr:uid="{00000000-0005-0000-0000-0000D8360000}"/>
    <cellStyle name="20% - Accent5 2 3 4 2 4" xfId="5860" xr:uid="{00000000-0005-0000-0000-0000D9360000}"/>
    <cellStyle name="20% - Accent5 2 3 4 2 4 2" xfId="25311" xr:uid="{00000000-0005-0000-0000-0000DA360000}"/>
    <cellStyle name="20% - Accent5 2 3 4 2 4 3" xfId="35036" xr:uid="{00000000-0005-0000-0000-0000DB360000}"/>
    <cellStyle name="20% - Accent5 2 3 4 2 4 4" xfId="44761" xr:uid="{00000000-0005-0000-0000-0000DC360000}"/>
    <cellStyle name="20% - Accent5 2 3 4 2 4 5" xfId="15586" xr:uid="{00000000-0005-0000-0000-0000DD360000}"/>
    <cellStyle name="20% - Accent5 2 3 4 2 5" xfId="20449" xr:uid="{00000000-0005-0000-0000-0000DE360000}"/>
    <cellStyle name="20% - Accent5 2 3 4 2 6" xfId="30174" xr:uid="{00000000-0005-0000-0000-0000DF360000}"/>
    <cellStyle name="20% - Accent5 2 3 4 2 7" xfId="39899" xr:uid="{00000000-0005-0000-0000-0000E0360000}"/>
    <cellStyle name="20% - Accent5 2 3 4 2 8" xfId="10724" xr:uid="{00000000-0005-0000-0000-0000E1360000}"/>
    <cellStyle name="20% - Accent5 2 3 4 3" xfId="1447" xr:uid="{00000000-0005-0000-0000-0000E2360000}"/>
    <cellStyle name="20% - Accent5 2 3 4 3 2" xfId="3068" xr:uid="{00000000-0005-0000-0000-0000E3360000}"/>
    <cellStyle name="20% - Accent5 2 3 4 3 2 2" xfId="7930" xr:uid="{00000000-0005-0000-0000-0000E4360000}"/>
    <cellStyle name="20% - Accent5 2 3 4 3 2 2 2" xfId="27381" xr:uid="{00000000-0005-0000-0000-0000E5360000}"/>
    <cellStyle name="20% - Accent5 2 3 4 3 2 2 3" xfId="37106" xr:uid="{00000000-0005-0000-0000-0000E6360000}"/>
    <cellStyle name="20% - Accent5 2 3 4 3 2 2 4" xfId="46831" xr:uid="{00000000-0005-0000-0000-0000E7360000}"/>
    <cellStyle name="20% - Accent5 2 3 4 3 2 2 5" xfId="17656" xr:uid="{00000000-0005-0000-0000-0000E8360000}"/>
    <cellStyle name="20% - Accent5 2 3 4 3 2 3" xfId="22519" xr:uid="{00000000-0005-0000-0000-0000E9360000}"/>
    <cellStyle name="20% - Accent5 2 3 4 3 2 4" xfId="32244" xr:uid="{00000000-0005-0000-0000-0000EA360000}"/>
    <cellStyle name="20% - Accent5 2 3 4 3 2 5" xfId="41969" xr:uid="{00000000-0005-0000-0000-0000EB360000}"/>
    <cellStyle name="20% - Accent5 2 3 4 3 2 6" xfId="12794" xr:uid="{00000000-0005-0000-0000-0000EC360000}"/>
    <cellStyle name="20% - Accent5 2 3 4 3 3" xfId="4688" xr:uid="{00000000-0005-0000-0000-0000ED360000}"/>
    <cellStyle name="20% - Accent5 2 3 4 3 3 2" xfId="9550" xr:uid="{00000000-0005-0000-0000-0000EE360000}"/>
    <cellStyle name="20% - Accent5 2 3 4 3 3 2 2" xfId="29001" xr:uid="{00000000-0005-0000-0000-0000EF360000}"/>
    <cellStyle name="20% - Accent5 2 3 4 3 3 2 3" xfId="38726" xr:uid="{00000000-0005-0000-0000-0000F0360000}"/>
    <cellStyle name="20% - Accent5 2 3 4 3 3 2 4" xfId="48451" xr:uid="{00000000-0005-0000-0000-0000F1360000}"/>
    <cellStyle name="20% - Accent5 2 3 4 3 3 2 5" xfId="19276" xr:uid="{00000000-0005-0000-0000-0000F2360000}"/>
    <cellStyle name="20% - Accent5 2 3 4 3 3 3" xfId="24139" xr:uid="{00000000-0005-0000-0000-0000F3360000}"/>
    <cellStyle name="20% - Accent5 2 3 4 3 3 4" xfId="33864" xr:uid="{00000000-0005-0000-0000-0000F4360000}"/>
    <cellStyle name="20% - Accent5 2 3 4 3 3 5" xfId="43589" xr:uid="{00000000-0005-0000-0000-0000F5360000}"/>
    <cellStyle name="20% - Accent5 2 3 4 3 3 6" xfId="14414" xr:uid="{00000000-0005-0000-0000-0000F6360000}"/>
    <cellStyle name="20% - Accent5 2 3 4 3 4" xfId="6310" xr:uid="{00000000-0005-0000-0000-0000F7360000}"/>
    <cellStyle name="20% - Accent5 2 3 4 3 4 2" xfId="25761" xr:uid="{00000000-0005-0000-0000-0000F8360000}"/>
    <cellStyle name="20% - Accent5 2 3 4 3 4 3" xfId="35486" xr:uid="{00000000-0005-0000-0000-0000F9360000}"/>
    <cellStyle name="20% - Accent5 2 3 4 3 4 4" xfId="45211" xr:uid="{00000000-0005-0000-0000-0000FA360000}"/>
    <cellStyle name="20% - Accent5 2 3 4 3 4 5" xfId="16036" xr:uid="{00000000-0005-0000-0000-0000FB360000}"/>
    <cellStyle name="20% - Accent5 2 3 4 3 5" xfId="20899" xr:uid="{00000000-0005-0000-0000-0000FC360000}"/>
    <cellStyle name="20% - Accent5 2 3 4 3 6" xfId="30624" xr:uid="{00000000-0005-0000-0000-0000FD360000}"/>
    <cellStyle name="20% - Accent5 2 3 4 3 7" xfId="40349" xr:uid="{00000000-0005-0000-0000-0000FE360000}"/>
    <cellStyle name="20% - Accent5 2 3 4 3 8" xfId="11174" xr:uid="{00000000-0005-0000-0000-0000FF360000}"/>
    <cellStyle name="20% - Accent5 2 3 4 4" xfId="618" xr:uid="{00000000-0005-0000-0000-000000370000}"/>
    <cellStyle name="20% - Accent5 2 3 4 4 2" xfId="2258" xr:uid="{00000000-0005-0000-0000-000001370000}"/>
    <cellStyle name="20% - Accent5 2 3 4 4 2 2" xfId="7120" xr:uid="{00000000-0005-0000-0000-000002370000}"/>
    <cellStyle name="20% - Accent5 2 3 4 4 2 2 2" xfId="26571" xr:uid="{00000000-0005-0000-0000-000003370000}"/>
    <cellStyle name="20% - Accent5 2 3 4 4 2 2 3" xfId="36296" xr:uid="{00000000-0005-0000-0000-000004370000}"/>
    <cellStyle name="20% - Accent5 2 3 4 4 2 2 4" xfId="46021" xr:uid="{00000000-0005-0000-0000-000005370000}"/>
    <cellStyle name="20% - Accent5 2 3 4 4 2 2 5" xfId="16846" xr:uid="{00000000-0005-0000-0000-000006370000}"/>
    <cellStyle name="20% - Accent5 2 3 4 4 2 3" xfId="21709" xr:uid="{00000000-0005-0000-0000-000007370000}"/>
    <cellStyle name="20% - Accent5 2 3 4 4 2 4" xfId="31434" xr:uid="{00000000-0005-0000-0000-000008370000}"/>
    <cellStyle name="20% - Accent5 2 3 4 4 2 5" xfId="41159" xr:uid="{00000000-0005-0000-0000-000009370000}"/>
    <cellStyle name="20% - Accent5 2 3 4 4 2 6" xfId="11984" xr:uid="{00000000-0005-0000-0000-00000A370000}"/>
    <cellStyle name="20% - Accent5 2 3 4 4 3" xfId="3878" xr:uid="{00000000-0005-0000-0000-00000B370000}"/>
    <cellStyle name="20% - Accent5 2 3 4 4 3 2" xfId="8740" xr:uid="{00000000-0005-0000-0000-00000C370000}"/>
    <cellStyle name="20% - Accent5 2 3 4 4 3 2 2" xfId="28191" xr:uid="{00000000-0005-0000-0000-00000D370000}"/>
    <cellStyle name="20% - Accent5 2 3 4 4 3 2 3" xfId="37916" xr:uid="{00000000-0005-0000-0000-00000E370000}"/>
    <cellStyle name="20% - Accent5 2 3 4 4 3 2 4" xfId="47641" xr:uid="{00000000-0005-0000-0000-00000F370000}"/>
    <cellStyle name="20% - Accent5 2 3 4 4 3 2 5" xfId="18466" xr:uid="{00000000-0005-0000-0000-000010370000}"/>
    <cellStyle name="20% - Accent5 2 3 4 4 3 3" xfId="23329" xr:uid="{00000000-0005-0000-0000-000011370000}"/>
    <cellStyle name="20% - Accent5 2 3 4 4 3 4" xfId="33054" xr:uid="{00000000-0005-0000-0000-000012370000}"/>
    <cellStyle name="20% - Accent5 2 3 4 4 3 5" xfId="42779" xr:uid="{00000000-0005-0000-0000-000013370000}"/>
    <cellStyle name="20% - Accent5 2 3 4 4 3 6" xfId="13604" xr:uid="{00000000-0005-0000-0000-000014370000}"/>
    <cellStyle name="20% - Accent5 2 3 4 4 4" xfId="5500" xr:uid="{00000000-0005-0000-0000-000015370000}"/>
    <cellStyle name="20% - Accent5 2 3 4 4 4 2" xfId="24951" xr:uid="{00000000-0005-0000-0000-000016370000}"/>
    <cellStyle name="20% - Accent5 2 3 4 4 4 3" xfId="34676" xr:uid="{00000000-0005-0000-0000-000017370000}"/>
    <cellStyle name="20% - Accent5 2 3 4 4 4 4" xfId="44401" xr:uid="{00000000-0005-0000-0000-000018370000}"/>
    <cellStyle name="20% - Accent5 2 3 4 4 4 5" xfId="15226" xr:uid="{00000000-0005-0000-0000-000019370000}"/>
    <cellStyle name="20% - Accent5 2 3 4 4 5" xfId="20089" xr:uid="{00000000-0005-0000-0000-00001A370000}"/>
    <cellStyle name="20% - Accent5 2 3 4 4 6" xfId="29814" xr:uid="{00000000-0005-0000-0000-00001B370000}"/>
    <cellStyle name="20% - Accent5 2 3 4 4 7" xfId="39539" xr:uid="{00000000-0005-0000-0000-00001C370000}"/>
    <cellStyle name="20% - Accent5 2 3 4 4 8" xfId="10364" xr:uid="{00000000-0005-0000-0000-00001D370000}"/>
    <cellStyle name="20% - Accent5 2 3 4 5" xfId="1898" xr:uid="{00000000-0005-0000-0000-00001E370000}"/>
    <cellStyle name="20% - Accent5 2 3 4 5 2" xfId="6760" xr:uid="{00000000-0005-0000-0000-00001F370000}"/>
    <cellStyle name="20% - Accent5 2 3 4 5 2 2" xfId="26211" xr:uid="{00000000-0005-0000-0000-000020370000}"/>
    <cellStyle name="20% - Accent5 2 3 4 5 2 3" xfId="35936" xr:uid="{00000000-0005-0000-0000-000021370000}"/>
    <cellStyle name="20% - Accent5 2 3 4 5 2 4" xfId="45661" xr:uid="{00000000-0005-0000-0000-000022370000}"/>
    <cellStyle name="20% - Accent5 2 3 4 5 2 5" xfId="16486" xr:uid="{00000000-0005-0000-0000-000023370000}"/>
    <cellStyle name="20% - Accent5 2 3 4 5 3" xfId="21349" xr:uid="{00000000-0005-0000-0000-000024370000}"/>
    <cellStyle name="20% - Accent5 2 3 4 5 4" xfId="31074" xr:uid="{00000000-0005-0000-0000-000025370000}"/>
    <cellStyle name="20% - Accent5 2 3 4 5 5" xfId="40799" xr:uid="{00000000-0005-0000-0000-000026370000}"/>
    <cellStyle name="20% - Accent5 2 3 4 5 6" xfId="11624" xr:uid="{00000000-0005-0000-0000-000027370000}"/>
    <cellStyle name="20% - Accent5 2 3 4 6" xfId="3518" xr:uid="{00000000-0005-0000-0000-000028370000}"/>
    <cellStyle name="20% - Accent5 2 3 4 6 2" xfId="8380" xr:uid="{00000000-0005-0000-0000-000029370000}"/>
    <cellStyle name="20% - Accent5 2 3 4 6 2 2" xfId="27831" xr:uid="{00000000-0005-0000-0000-00002A370000}"/>
    <cellStyle name="20% - Accent5 2 3 4 6 2 3" xfId="37556" xr:uid="{00000000-0005-0000-0000-00002B370000}"/>
    <cellStyle name="20% - Accent5 2 3 4 6 2 4" xfId="47281" xr:uid="{00000000-0005-0000-0000-00002C370000}"/>
    <cellStyle name="20% - Accent5 2 3 4 6 2 5" xfId="18106" xr:uid="{00000000-0005-0000-0000-00002D370000}"/>
    <cellStyle name="20% - Accent5 2 3 4 6 3" xfId="22969" xr:uid="{00000000-0005-0000-0000-00002E370000}"/>
    <cellStyle name="20% - Accent5 2 3 4 6 4" xfId="32694" xr:uid="{00000000-0005-0000-0000-00002F370000}"/>
    <cellStyle name="20% - Accent5 2 3 4 6 5" xfId="42419" xr:uid="{00000000-0005-0000-0000-000030370000}"/>
    <cellStyle name="20% - Accent5 2 3 4 6 6" xfId="13244" xr:uid="{00000000-0005-0000-0000-000031370000}"/>
    <cellStyle name="20% - Accent5 2 3 4 7" xfId="5140" xr:uid="{00000000-0005-0000-0000-000032370000}"/>
    <cellStyle name="20% - Accent5 2 3 4 7 2" xfId="24591" xr:uid="{00000000-0005-0000-0000-000033370000}"/>
    <cellStyle name="20% - Accent5 2 3 4 7 3" xfId="34316" xr:uid="{00000000-0005-0000-0000-000034370000}"/>
    <cellStyle name="20% - Accent5 2 3 4 7 4" xfId="44041" xr:uid="{00000000-0005-0000-0000-000035370000}"/>
    <cellStyle name="20% - Accent5 2 3 4 7 5" xfId="14866" xr:uid="{00000000-0005-0000-0000-000036370000}"/>
    <cellStyle name="20% - Accent5 2 3 4 8" xfId="19729" xr:uid="{00000000-0005-0000-0000-000037370000}"/>
    <cellStyle name="20% - Accent5 2 3 4 9" xfId="29454" xr:uid="{00000000-0005-0000-0000-000038370000}"/>
    <cellStyle name="20% - Accent5 2 3 5" xfId="889" xr:uid="{00000000-0005-0000-0000-000039370000}"/>
    <cellStyle name="20% - Accent5 2 3 5 2" xfId="2528" xr:uid="{00000000-0005-0000-0000-00003A370000}"/>
    <cellStyle name="20% - Accent5 2 3 5 2 2" xfId="7390" xr:uid="{00000000-0005-0000-0000-00003B370000}"/>
    <cellStyle name="20% - Accent5 2 3 5 2 2 2" xfId="26841" xr:uid="{00000000-0005-0000-0000-00003C370000}"/>
    <cellStyle name="20% - Accent5 2 3 5 2 2 3" xfId="36566" xr:uid="{00000000-0005-0000-0000-00003D370000}"/>
    <cellStyle name="20% - Accent5 2 3 5 2 2 4" xfId="46291" xr:uid="{00000000-0005-0000-0000-00003E370000}"/>
    <cellStyle name="20% - Accent5 2 3 5 2 2 5" xfId="17116" xr:uid="{00000000-0005-0000-0000-00003F370000}"/>
    <cellStyle name="20% - Accent5 2 3 5 2 3" xfId="21979" xr:uid="{00000000-0005-0000-0000-000040370000}"/>
    <cellStyle name="20% - Accent5 2 3 5 2 4" xfId="31704" xr:uid="{00000000-0005-0000-0000-000041370000}"/>
    <cellStyle name="20% - Accent5 2 3 5 2 5" xfId="41429" xr:uid="{00000000-0005-0000-0000-000042370000}"/>
    <cellStyle name="20% - Accent5 2 3 5 2 6" xfId="12254" xr:uid="{00000000-0005-0000-0000-000043370000}"/>
    <cellStyle name="20% - Accent5 2 3 5 3" xfId="4148" xr:uid="{00000000-0005-0000-0000-000044370000}"/>
    <cellStyle name="20% - Accent5 2 3 5 3 2" xfId="9010" xr:uid="{00000000-0005-0000-0000-000045370000}"/>
    <cellStyle name="20% - Accent5 2 3 5 3 2 2" xfId="28461" xr:uid="{00000000-0005-0000-0000-000046370000}"/>
    <cellStyle name="20% - Accent5 2 3 5 3 2 3" xfId="38186" xr:uid="{00000000-0005-0000-0000-000047370000}"/>
    <cellStyle name="20% - Accent5 2 3 5 3 2 4" xfId="47911" xr:uid="{00000000-0005-0000-0000-000048370000}"/>
    <cellStyle name="20% - Accent5 2 3 5 3 2 5" xfId="18736" xr:uid="{00000000-0005-0000-0000-000049370000}"/>
    <cellStyle name="20% - Accent5 2 3 5 3 3" xfId="23599" xr:uid="{00000000-0005-0000-0000-00004A370000}"/>
    <cellStyle name="20% - Accent5 2 3 5 3 4" xfId="33324" xr:uid="{00000000-0005-0000-0000-00004B370000}"/>
    <cellStyle name="20% - Accent5 2 3 5 3 5" xfId="43049" xr:uid="{00000000-0005-0000-0000-00004C370000}"/>
    <cellStyle name="20% - Accent5 2 3 5 3 6" xfId="13874" xr:uid="{00000000-0005-0000-0000-00004D370000}"/>
    <cellStyle name="20% - Accent5 2 3 5 4" xfId="5770" xr:uid="{00000000-0005-0000-0000-00004E370000}"/>
    <cellStyle name="20% - Accent5 2 3 5 4 2" xfId="25221" xr:uid="{00000000-0005-0000-0000-00004F370000}"/>
    <cellStyle name="20% - Accent5 2 3 5 4 3" xfId="34946" xr:uid="{00000000-0005-0000-0000-000050370000}"/>
    <cellStyle name="20% - Accent5 2 3 5 4 4" xfId="44671" xr:uid="{00000000-0005-0000-0000-000051370000}"/>
    <cellStyle name="20% - Accent5 2 3 5 4 5" xfId="15496" xr:uid="{00000000-0005-0000-0000-000052370000}"/>
    <cellStyle name="20% - Accent5 2 3 5 5" xfId="20359" xr:uid="{00000000-0005-0000-0000-000053370000}"/>
    <cellStyle name="20% - Accent5 2 3 5 6" xfId="30084" xr:uid="{00000000-0005-0000-0000-000054370000}"/>
    <cellStyle name="20% - Accent5 2 3 5 7" xfId="39809" xr:uid="{00000000-0005-0000-0000-000055370000}"/>
    <cellStyle name="20% - Accent5 2 3 5 8" xfId="10634" xr:uid="{00000000-0005-0000-0000-000056370000}"/>
    <cellStyle name="20% - Accent5 2 3 6" xfId="1267" xr:uid="{00000000-0005-0000-0000-000057370000}"/>
    <cellStyle name="20% - Accent5 2 3 6 2" xfId="2888" xr:uid="{00000000-0005-0000-0000-000058370000}"/>
    <cellStyle name="20% - Accent5 2 3 6 2 2" xfId="7750" xr:uid="{00000000-0005-0000-0000-000059370000}"/>
    <cellStyle name="20% - Accent5 2 3 6 2 2 2" xfId="27201" xr:uid="{00000000-0005-0000-0000-00005A370000}"/>
    <cellStyle name="20% - Accent5 2 3 6 2 2 3" xfId="36926" xr:uid="{00000000-0005-0000-0000-00005B370000}"/>
    <cellStyle name="20% - Accent5 2 3 6 2 2 4" xfId="46651" xr:uid="{00000000-0005-0000-0000-00005C370000}"/>
    <cellStyle name="20% - Accent5 2 3 6 2 2 5" xfId="17476" xr:uid="{00000000-0005-0000-0000-00005D370000}"/>
    <cellStyle name="20% - Accent5 2 3 6 2 3" xfId="22339" xr:uid="{00000000-0005-0000-0000-00005E370000}"/>
    <cellStyle name="20% - Accent5 2 3 6 2 4" xfId="32064" xr:uid="{00000000-0005-0000-0000-00005F370000}"/>
    <cellStyle name="20% - Accent5 2 3 6 2 5" xfId="41789" xr:uid="{00000000-0005-0000-0000-000060370000}"/>
    <cellStyle name="20% - Accent5 2 3 6 2 6" xfId="12614" xr:uid="{00000000-0005-0000-0000-000061370000}"/>
    <cellStyle name="20% - Accent5 2 3 6 3" xfId="4508" xr:uid="{00000000-0005-0000-0000-000062370000}"/>
    <cellStyle name="20% - Accent5 2 3 6 3 2" xfId="9370" xr:uid="{00000000-0005-0000-0000-000063370000}"/>
    <cellStyle name="20% - Accent5 2 3 6 3 2 2" xfId="28821" xr:uid="{00000000-0005-0000-0000-000064370000}"/>
    <cellStyle name="20% - Accent5 2 3 6 3 2 3" xfId="38546" xr:uid="{00000000-0005-0000-0000-000065370000}"/>
    <cellStyle name="20% - Accent5 2 3 6 3 2 4" xfId="48271" xr:uid="{00000000-0005-0000-0000-000066370000}"/>
    <cellStyle name="20% - Accent5 2 3 6 3 2 5" xfId="19096" xr:uid="{00000000-0005-0000-0000-000067370000}"/>
    <cellStyle name="20% - Accent5 2 3 6 3 3" xfId="23959" xr:uid="{00000000-0005-0000-0000-000068370000}"/>
    <cellStyle name="20% - Accent5 2 3 6 3 4" xfId="33684" xr:uid="{00000000-0005-0000-0000-000069370000}"/>
    <cellStyle name="20% - Accent5 2 3 6 3 5" xfId="43409" xr:uid="{00000000-0005-0000-0000-00006A370000}"/>
    <cellStyle name="20% - Accent5 2 3 6 3 6" xfId="14234" xr:uid="{00000000-0005-0000-0000-00006B370000}"/>
    <cellStyle name="20% - Accent5 2 3 6 4" xfId="6130" xr:uid="{00000000-0005-0000-0000-00006C370000}"/>
    <cellStyle name="20% - Accent5 2 3 6 4 2" xfId="25581" xr:uid="{00000000-0005-0000-0000-00006D370000}"/>
    <cellStyle name="20% - Accent5 2 3 6 4 3" xfId="35306" xr:uid="{00000000-0005-0000-0000-00006E370000}"/>
    <cellStyle name="20% - Accent5 2 3 6 4 4" xfId="45031" xr:uid="{00000000-0005-0000-0000-00006F370000}"/>
    <cellStyle name="20% - Accent5 2 3 6 4 5" xfId="15856" xr:uid="{00000000-0005-0000-0000-000070370000}"/>
    <cellStyle name="20% - Accent5 2 3 6 5" xfId="20719" xr:uid="{00000000-0005-0000-0000-000071370000}"/>
    <cellStyle name="20% - Accent5 2 3 6 6" xfId="30444" xr:uid="{00000000-0005-0000-0000-000072370000}"/>
    <cellStyle name="20% - Accent5 2 3 6 7" xfId="40169" xr:uid="{00000000-0005-0000-0000-000073370000}"/>
    <cellStyle name="20% - Accent5 2 3 6 8" xfId="10994" xr:uid="{00000000-0005-0000-0000-000074370000}"/>
    <cellStyle name="20% - Accent5 2 3 7" xfId="1357" xr:uid="{00000000-0005-0000-0000-000075370000}"/>
    <cellStyle name="20% - Accent5 2 3 7 2" xfId="2978" xr:uid="{00000000-0005-0000-0000-000076370000}"/>
    <cellStyle name="20% - Accent5 2 3 7 2 2" xfId="7840" xr:uid="{00000000-0005-0000-0000-000077370000}"/>
    <cellStyle name="20% - Accent5 2 3 7 2 2 2" xfId="27291" xr:uid="{00000000-0005-0000-0000-000078370000}"/>
    <cellStyle name="20% - Accent5 2 3 7 2 2 3" xfId="37016" xr:uid="{00000000-0005-0000-0000-000079370000}"/>
    <cellStyle name="20% - Accent5 2 3 7 2 2 4" xfId="46741" xr:uid="{00000000-0005-0000-0000-00007A370000}"/>
    <cellStyle name="20% - Accent5 2 3 7 2 2 5" xfId="17566" xr:uid="{00000000-0005-0000-0000-00007B370000}"/>
    <cellStyle name="20% - Accent5 2 3 7 2 3" xfId="22429" xr:uid="{00000000-0005-0000-0000-00007C370000}"/>
    <cellStyle name="20% - Accent5 2 3 7 2 4" xfId="32154" xr:uid="{00000000-0005-0000-0000-00007D370000}"/>
    <cellStyle name="20% - Accent5 2 3 7 2 5" xfId="41879" xr:uid="{00000000-0005-0000-0000-00007E370000}"/>
    <cellStyle name="20% - Accent5 2 3 7 2 6" xfId="12704" xr:uid="{00000000-0005-0000-0000-00007F370000}"/>
    <cellStyle name="20% - Accent5 2 3 7 3" xfId="4598" xr:uid="{00000000-0005-0000-0000-000080370000}"/>
    <cellStyle name="20% - Accent5 2 3 7 3 2" xfId="9460" xr:uid="{00000000-0005-0000-0000-000081370000}"/>
    <cellStyle name="20% - Accent5 2 3 7 3 2 2" xfId="28911" xr:uid="{00000000-0005-0000-0000-000082370000}"/>
    <cellStyle name="20% - Accent5 2 3 7 3 2 3" xfId="38636" xr:uid="{00000000-0005-0000-0000-000083370000}"/>
    <cellStyle name="20% - Accent5 2 3 7 3 2 4" xfId="48361" xr:uid="{00000000-0005-0000-0000-000084370000}"/>
    <cellStyle name="20% - Accent5 2 3 7 3 2 5" xfId="19186" xr:uid="{00000000-0005-0000-0000-000085370000}"/>
    <cellStyle name="20% - Accent5 2 3 7 3 3" xfId="24049" xr:uid="{00000000-0005-0000-0000-000086370000}"/>
    <cellStyle name="20% - Accent5 2 3 7 3 4" xfId="33774" xr:uid="{00000000-0005-0000-0000-000087370000}"/>
    <cellStyle name="20% - Accent5 2 3 7 3 5" xfId="43499" xr:uid="{00000000-0005-0000-0000-000088370000}"/>
    <cellStyle name="20% - Accent5 2 3 7 3 6" xfId="14324" xr:uid="{00000000-0005-0000-0000-000089370000}"/>
    <cellStyle name="20% - Accent5 2 3 7 4" xfId="6220" xr:uid="{00000000-0005-0000-0000-00008A370000}"/>
    <cellStyle name="20% - Accent5 2 3 7 4 2" xfId="25671" xr:uid="{00000000-0005-0000-0000-00008B370000}"/>
    <cellStyle name="20% - Accent5 2 3 7 4 3" xfId="35396" xr:uid="{00000000-0005-0000-0000-00008C370000}"/>
    <cellStyle name="20% - Accent5 2 3 7 4 4" xfId="45121" xr:uid="{00000000-0005-0000-0000-00008D370000}"/>
    <cellStyle name="20% - Accent5 2 3 7 4 5" xfId="15946" xr:uid="{00000000-0005-0000-0000-00008E370000}"/>
    <cellStyle name="20% - Accent5 2 3 7 5" xfId="20809" xr:uid="{00000000-0005-0000-0000-00008F370000}"/>
    <cellStyle name="20% - Accent5 2 3 7 6" xfId="30534" xr:uid="{00000000-0005-0000-0000-000090370000}"/>
    <cellStyle name="20% - Accent5 2 3 7 7" xfId="40259" xr:uid="{00000000-0005-0000-0000-000091370000}"/>
    <cellStyle name="20% - Accent5 2 3 7 8" xfId="11084" xr:uid="{00000000-0005-0000-0000-000092370000}"/>
    <cellStyle name="20% - Accent5 2 3 8" xfId="528" xr:uid="{00000000-0005-0000-0000-000093370000}"/>
    <cellStyle name="20% - Accent5 2 3 8 2" xfId="2168" xr:uid="{00000000-0005-0000-0000-000094370000}"/>
    <cellStyle name="20% - Accent5 2 3 8 2 2" xfId="7030" xr:uid="{00000000-0005-0000-0000-000095370000}"/>
    <cellStyle name="20% - Accent5 2 3 8 2 2 2" xfId="26481" xr:uid="{00000000-0005-0000-0000-000096370000}"/>
    <cellStyle name="20% - Accent5 2 3 8 2 2 3" xfId="36206" xr:uid="{00000000-0005-0000-0000-000097370000}"/>
    <cellStyle name="20% - Accent5 2 3 8 2 2 4" xfId="45931" xr:uid="{00000000-0005-0000-0000-000098370000}"/>
    <cellStyle name="20% - Accent5 2 3 8 2 2 5" xfId="16756" xr:uid="{00000000-0005-0000-0000-000099370000}"/>
    <cellStyle name="20% - Accent5 2 3 8 2 3" xfId="21619" xr:uid="{00000000-0005-0000-0000-00009A370000}"/>
    <cellStyle name="20% - Accent5 2 3 8 2 4" xfId="31344" xr:uid="{00000000-0005-0000-0000-00009B370000}"/>
    <cellStyle name="20% - Accent5 2 3 8 2 5" xfId="41069" xr:uid="{00000000-0005-0000-0000-00009C370000}"/>
    <cellStyle name="20% - Accent5 2 3 8 2 6" xfId="11894" xr:uid="{00000000-0005-0000-0000-00009D370000}"/>
    <cellStyle name="20% - Accent5 2 3 8 3" xfId="3788" xr:uid="{00000000-0005-0000-0000-00009E370000}"/>
    <cellStyle name="20% - Accent5 2 3 8 3 2" xfId="8650" xr:uid="{00000000-0005-0000-0000-00009F370000}"/>
    <cellStyle name="20% - Accent5 2 3 8 3 2 2" xfId="28101" xr:uid="{00000000-0005-0000-0000-0000A0370000}"/>
    <cellStyle name="20% - Accent5 2 3 8 3 2 3" xfId="37826" xr:uid="{00000000-0005-0000-0000-0000A1370000}"/>
    <cellStyle name="20% - Accent5 2 3 8 3 2 4" xfId="47551" xr:uid="{00000000-0005-0000-0000-0000A2370000}"/>
    <cellStyle name="20% - Accent5 2 3 8 3 2 5" xfId="18376" xr:uid="{00000000-0005-0000-0000-0000A3370000}"/>
    <cellStyle name="20% - Accent5 2 3 8 3 3" xfId="23239" xr:uid="{00000000-0005-0000-0000-0000A4370000}"/>
    <cellStyle name="20% - Accent5 2 3 8 3 4" xfId="32964" xr:uid="{00000000-0005-0000-0000-0000A5370000}"/>
    <cellStyle name="20% - Accent5 2 3 8 3 5" xfId="42689" xr:uid="{00000000-0005-0000-0000-0000A6370000}"/>
    <cellStyle name="20% - Accent5 2 3 8 3 6" xfId="13514" xr:uid="{00000000-0005-0000-0000-0000A7370000}"/>
    <cellStyle name="20% - Accent5 2 3 8 4" xfId="5410" xr:uid="{00000000-0005-0000-0000-0000A8370000}"/>
    <cellStyle name="20% - Accent5 2 3 8 4 2" xfId="24861" xr:uid="{00000000-0005-0000-0000-0000A9370000}"/>
    <cellStyle name="20% - Accent5 2 3 8 4 3" xfId="34586" xr:uid="{00000000-0005-0000-0000-0000AA370000}"/>
    <cellStyle name="20% - Accent5 2 3 8 4 4" xfId="44311" xr:uid="{00000000-0005-0000-0000-0000AB370000}"/>
    <cellStyle name="20% - Accent5 2 3 8 4 5" xfId="15136" xr:uid="{00000000-0005-0000-0000-0000AC370000}"/>
    <cellStyle name="20% - Accent5 2 3 8 5" xfId="19999" xr:uid="{00000000-0005-0000-0000-0000AD370000}"/>
    <cellStyle name="20% - Accent5 2 3 8 6" xfId="29724" xr:uid="{00000000-0005-0000-0000-0000AE370000}"/>
    <cellStyle name="20% - Accent5 2 3 8 7" xfId="39449" xr:uid="{00000000-0005-0000-0000-0000AF370000}"/>
    <cellStyle name="20% - Accent5 2 3 8 8" xfId="10274" xr:uid="{00000000-0005-0000-0000-0000B0370000}"/>
    <cellStyle name="20% - Accent5 2 3 9" xfId="1717" xr:uid="{00000000-0005-0000-0000-0000B1370000}"/>
    <cellStyle name="20% - Accent5 2 3 9 2" xfId="3338" xr:uid="{00000000-0005-0000-0000-0000B2370000}"/>
    <cellStyle name="20% - Accent5 2 3 9 2 2" xfId="8200" xr:uid="{00000000-0005-0000-0000-0000B3370000}"/>
    <cellStyle name="20% - Accent5 2 3 9 2 2 2" xfId="27651" xr:uid="{00000000-0005-0000-0000-0000B4370000}"/>
    <cellStyle name="20% - Accent5 2 3 9 2 2 3" xfId="37376" xr:uid="{00000000-0005-0000-0000-0000B5370000}"/>
    <cellStyle name="20% - Accent5 2 3 9 2 2 4" xfId="47101" xr:uid="{00000000-0005-0000-0000-0000B6370000}"/>
    <cellStyle name="20% - Accent5 2 3 9 2 2 5" xfId="17926" xr:uid="{00000000-0005-0000-0000-0000B7370000}"/>
    <cellStyle name="20% - Accent5 2 3 9 2 3" xfId="22789" xr:uid="{00000000-0005-0000-0000-0000B8370000}"/>
    <cellStyle name="20% - Accent5 2 3 9 2 4" xfId="32514" xr:uid="{00000000-0005-0000-0000-0000B9370000}"/>
    <cellStyle name="20% - Accent5 2 3 9 2 5" xfId="42239" xr:uid="{00000000-0005-0000-0000-0000BA370000}"/>
    <cellStyle name="20% - Accent5 2 3 9 2 6" xfId="13064" xr:uid="{00000000-0005-0000-0000-0000BB370000}"/>
    <cellStyle name="20% - Accent5 2 3 9 3" xfId="4958" xr:uid="{00000000-0005-0000-0000-0000BC370000}"/>
    <cellStyle name="20% - Accent5 2 3 9 3 2" xfId="9820" xr:uid="{00000000-0005-0000-0000-0000BD370000}"/>
    <cellStyle name="20% - Accent5 2 3 9 3 2 2" xfId="29271" xr:uid="{00000000-0005-0000-0000-0000BE370000}"/>
    <cellStyle name="20% - Accent5 2 3 9 3 2 3" xfId="38996" xr:uid="{00000000-0005-0000-0000-0000BF370000}"/>
    <cellStyle name="20% - Accent5 2 3 9 3 2 4" xfId="48721" xr:uid="{00000000-0005-0000-0000-0000C0370000}"/>
    <cellStyle name="20% - Accent5 2 3 9 3 2 5" xfId="19546" xr:uid="{00000000-0005-0000-0000-0000C1370000}"/>
    <cellStyle name="20% - Accent5 2 3 9 3 3" xfId="24409" xr:uid="{00000000-0005-0000-0000-0000C2370000}"/>
    <cellStyle name="20% - Accent5 2 3 9 3 4" xfId="34134" xr:uid="{00000000-0005-0000-0000-0000C3370000}"/>
    <cellStyle name="20% - Accent5 2 3 9 3 5" xfId="43859" xr:uid="{00000000-0005-0000-0000-0000C4370000}"/>
    <cellStyle name="20% - Accent5 2 3 9 3 6" xfId="14684" xr:uid="{00000000-0005-0000-0000-0000C5370000}"/>
    <cellStyle name="20% - Accent5 2 3 9 4" xfId="6580" xr:uid="{00000000-0005-0000-0000-0000C6370000}"/>
    <cellStyle name="20% - Accent5 2 3 9 4 2" xfId="26031" xr:uid="{00000000-0005-0000-0000-0000C7370000}"/>
    <cellStyle name="20% - Accent5 2 3 9 4 3" xfId="35756" xr:uid="{00000000-0005-0000-0000-0000C8370000}"/>
    <cellStyle name="20% - Accent5 2 3 9 4 4" xfId="45481" xr:uid="{00000000-0005-0000-0000-0000C9370000}"/>
    <cellStyle name="20% - Accent5 2 3 9 4 5" xfId="16306" xr:uid="{00000000-0005-0000-0000-0000CA370000}"/>
    <cellStyle name="20% - Accent5 2 3 9 5" xfId="21169" xr:uid="{00000000-0005-0000-0000-0000CB370000}"/>
    <cellStyle name="20% - Accent5 2 3 9 6" xfId="30894" xr:uid="{00000000-0005-0000-0000-0000CC370000}"/>
    <cellStyle name="20% - Accent5 2 3 9 7" xfId="40619" xr:uid="{00000000-0005-0000-0000-0000CD370000}"/>
    <cellStyle name="20% - Accent5 2 3 9 8" xfId="11444" xr:uid="{00000000-0005-0000-0000-0000CE370000}"/>
    <cellStyle name="20% - Accent5 2 4" xfId="246" xr:uid="{00000000-0005-0000-0000-0000CF370000}"/>
    <cellStyle name="20% - Accent5 2 4 10" xfId="39209" xr:uid="{00000000-0005-0000-0000-0000D0370000}"/>
    <cellStyle name="20% - Accent5 2 4 11" xfId="10034" xr:uid="{00000000-0005-0000-0000-0000D1370000}"/>
    <cellStyle name="20% - Accent5 2 4 2" xfId="1010" xr:uid="{00000000-0005-0000-0000-0000D2370000}"/>
    <cellStyle name="20% - Accent5 2 4 2 2" xfId="2648" xr:uid="{00000000-0005-0000-0000-0000D3370000}"/>
    <cellStyle name="20% - Accent5 2 4 2 2 2" xfId="7510" xr:uid="{00000000-0005-0000-0000-0000D4370000}"/>
    <cellStyle name="20% - Accent5 2 4 2 2 2 2" xfId="26961" xr:uid="{00000000-0005-0000-0000-0000D5370000}"/>
    <cellStyle name="20% - Accent5 2 4 2 2 2 3" xfId="36686" xr:uid="{00000000-0005-0000-0000-0000D6370000}"/>
    <cellStyle name="20% - Accent5 2 4 2 2 2 4" xfId="46411" xr:uid="{00000000-0005-0000-0000-0000D7370000}"/>
    <cellStyle name="20% - Accent5 2 4 2 2 2 5" xfId="17236" xr:uid="{00000000-0005-0000-0000-0000D8370000}"/>
    <cellStyle name="20% - Accent5 2 4 2 2 3" xfId="22099" xr:uid="{00000000-0005-0000-0000-0000D9370000}"/>
    <cellStyle name="20% - Accent5 2 4 2 2 4" xfId="31824" xr:uid="{00000000-0005-0000-0000-0000DA370000}"/>
    <cellStyle name="20% - Accent5 2 4 2 2 5" xfId="41549" xr:uid="{00000000-0005-0000-0000-0000DB370000}"/>
    <cellStyle name="20% - Accent5 2 4 2 2 6" xfId="12374" xr:uid="{00000000-0005-0000-0000-0000DC370000}"/>
    <cellStyle name="20% - Accent5 2 4 2 3" xfId="4268" xr:uid="{00000000-0005-0000-0000-0000DD370000}"/>
    <cellStyle name="20% - Accent5 2 4 2 3 2" xfId="9130" xr:uid="{00000000-0005-0000-0000-0000DE370000}"/>
    <cellStyle name="20% - Accent5 2 4 2 3 2 2" xfId="28581" xr:uid="{00000000-0005-0000-0000-0000DF370000}"/>
    <cellStyle name="20% - Accent5 2 4 2 3 2 3" xfId="38306" xr:uid="{00000000-0005-0000-0000-0000E0370000}"/>
    <cellStyle name="20% - Accent5 2 4 2 3 2 4" xfId="48031" xr:uid="{00000000-0005-0000-0000-0000E1370000}"/>
    <cellStyle name="20% - Accent5 2 4 2 3 2 5" xfId="18856" xr:uid="{00000000-0005-0000-0000-0000E2370000}"/>
    <cellStyle name="20% - Accent5 2 4 2 3 3" xfId="23719" xr:uid="{00000000-0005-0000-0000-0000E3370000}"/>
    <cellStyle name="20% - Accent5 2 4 2 3 4" xfId="33444" xr:uid="{00000000-0005-0000-0000-0000E4370000}"/>
    <cellStyle name="20% - Accent5 2 4 2 3 5" xfId="43169" xr:uid="{00000000-0005-0000-0000-0000E5370000}"/>
    <cellStyle name="20% - Accent5 2 4 2 3 6" xfId="13994" xr:uid="{00000000-0005-0000-0000-0000E6370000}"/>
    <cellStyle name="20% - Accent5 2 4 2 4" xfId="5890" xr:uid="{00000000-0005-0000-0000-0000E7370000}"/>
    <cellStyle name="20% - Accent5 2 4 2 4 2" xfId="25341" xr:uid="{00000000-0005-0000-0000-0000E8370000}"/>
    <cellStyle name="20% - Accent5 2 4 2 4 3" xfId="35066" xr:uid="{00000000-0005-0000-0000-0000E9370000}"/>
    <cellStyle name="20% - Accent5 2 4 2 4 4" xfId="44791" xr:uid="{00000000-0005-0000-0000-0000EA370000}"/>
    <cellStyle name="20% - Accent5 2 4 2 4 5" xfId="15616" xr:uid="{00000000-0005-0000-0000-0000EB370000}"/>
    <cellStyle name="20% - Accent5 2 4 2 5" xfId="20479" xr:uid="{00000000-0005-0000-0000-0000EC370000}"/>
    <cellStyle name="20% - Accent5 2 4 2 6" xfId="30204" xr:uid="{00000000-0005-0000-0000-0000ED370000}"/>
    <cellStyle name="20% - Accent5 2 4 2 7" xfId="39929" xr:uid="{00000000-0005-0000-0000-0000EE370000}"/>
    <cellStyle name="20% - Accent5 2 4 2 8" xfId="10754" xr:uid="{00000000-0005-0000-0000-0000EF370000}"/>
    <cellStyle name="20% - Accent5 2 4 3" xfId="1477" xr:uid="{00000000-0005-0000-0000-0000F0370000}"/>
    <cellStyle name="20% - Accent5 2 4 3 2" xfId="3098" xr:uid="{00000000-0005-0000-0000-0000F1370000}"/>
    <cellStyle name="20% - Accent5 2 4 3 2 2" xfId="7960" xr:uid="{00000000-0005-0000-0000-0000F2370000}"/>
    <cellStyle name="20% - Accent5 2 4 3 2 2 2" xfId="27411" xr:uid="{00000000-0005-0000-0000-0000F3370000}"/>
    <cellStyle name="20% - Accent5 2 4 3 2 2 3" xfId="37136" xr:uid="{00000000-0005-0000-0000-0000F4370000}"/>
    <cellStyle name="20% - Accent5 2 4 3 2 2 4" xfId="46861" xr:uid="{00000000-0005-0000-0000-0000F5370000}"/>
    <cellStyle name="20% - Accent5 2 4 3 2 2 5" xfId="17686" xr:uid="{00000000-0005-0000-0000-0000F6370000}"/>
    <cellStyle name="20% - Accent5 2 4 3 2 3" xfId="22549" xr:uid="{00000000-0005-0000-0000-0000F7370000}"/>
    <cellStyle name="20% - Accent5 2 4 3 2 4" xfId="32274" xr:uid="{00000000-0005-0000-0000-0000F8370000}"/>
    <cellStyle name="20% - Accent5 2 4 3 2 5" xfId="41999" xr:uid="{00000000-0005-0000-0000-0000F9370000}"/>
    <cellStyle name="20% - Accent5 2 4 3 2 6" xfId="12824" xr:uid="{00000000-0005-0000-0000-0000FA370000}"/>
    <cellStyle name="20% - Accent5 2 4 3 3" xfId="4718" xr:uid="{00000000-0005-0000-0000-0000FB370000}"/>
    <cellStyle name="20% - Accent5 2 4 3 3 2" xfId="9580" xr:uid="{00000000-0005-0000-0000-0000FC370000}"/>
    <cellStyle name="20% - Accent5 2 4 3 3 2 2" xfId="29031" xr:uid="{00000000-0005-0000-0000-0000FD370000}"/>
    <cellStyle name="20% - Accent5 2 4 3 3 2 3" xfId="38756" xr:uid="{00000000-0005-0000-0000-0000FE370000}"/>
    <cellStyle name="20% - Accent5 2 4 3 3 2 4" xfId="48481" xr:uid="{00000000-0005-0000-0000-0000FF370000}"/>
    <cellStyle name="20% - Accent5 2 4 3 3 2 5" xfId="19306" xr:uid="{00000000-0005-0000-0000-000000380000}"/>
    <cellStyle name="20% - Accent5 2 4 3 3 3" xfId="24169" xr:uid="{00000000-0005-0000-0000-000001380000}"/>
    <cellStyle name="20% - Accent5 2 4 3 3 4" xfId="33894" xr:uid="{00000000-0005-0000-0000-000002380000}"/>
    <cellStyle name="20% - Accent5 2 4 3 3 5" xfId="43619" xr:uid="{00000000-0005-0000-0000-000003380000}"/>
    <cellStyle name="20% - Accent5 2 4 3 3 6" xfId="14444" xr:uid="{00000000-0005-0000-0000-000004380000}"/>
    <cellStyle name="20% - Accent5 2 4 3 4" xfId="6340" xr:uid="{00000000-0005-0000-0000-000005380000}"/>
    <cellStyle name="20% - Accent5 2 4 3 4 2" xfId="25791" xr:uid="{00000000-0005-0000-0000-000006380000}"/>
    <cellStyle name="20% - Accent5 2 4 3 4 3" xfId="35516" xr:uid="{00000000-0005-0000-0000-000007380000}"/>
    <cellStyle name="20% - Accent5 2 4 3 4 4" xfId="45241" xr:uid="{00000000-0005-0000-0000-000008380000}"/>
    <cellStyle name="20% - Accent5 2 4 3 4 5" xfId="16066" xr:uid="{00000000-0005-0000-0000-000009380000}"/>
    <cellStyle name="20% - Accent5 2 4 3 5" xfId="20929" xr:uid="{00000000-0005-0000-0000-00000A380000}"/>
    <cellStyle name="20% - Accent5 2 4 3 6" xfId="30654" xr:uid="{00000000-0005-0000-0000-00000B380000}"/>
    <cellStyle name="20% - Accent5 2 4 3 7" xfId="40379" xr:uid="{00000000-0005-0000-0000-00000C380000}"/>
    <cellStyle name="20% - Accent5 2 4 3 8" xfId="11204" xr:uid="{00000000-0005-0000-0000-00000D380000}"/>
    <cellStyle name="20% - Accent5 2 4 4" xfId="648" xr:uid="{00000000-0005-0000-0000-00000E380000}"/>
    <cellStyle name="20% - Accent5 2 4 4 2" xfId="2288" xr:uid="{00000000-0005-0000-0000-00000F380000}"/>
    <cellStyle name="20% - Accent5 2 4 4 2 2" xfId="7150" xr:uid="{00000000-0005-0000-0000-000010380000}"/>
    <cellStyle name="20% - Accent5 2 4 4 2 2 2" xfId="26601" xr:uid="{00000000-0005-0000-0000-000011380000}"/>
    <cellStyle name="20% - Accent5 2 4 4 2 2 3" xfId="36326" xr:uid="{00000000-0005-0000-0000-000012380000}"/>
    <cellStyle name="20% - Accent5 2 4 4 2 2 4" xfId="46051" xr:uid="{00000000-0005-0000-0000-000013380000}"/>
    <cellStyle name="20% - Accent5 2 4 4 2 2 5" xfId="16876" xr:uid="{00000000-0005-0000-0000-000014380000}"/>
    <cellStyle name="20% - Accent5 2 4 4 2 3" xfId="21739" xr:uid="{00000000-0005-0000-0000-000015380000}"/>
    <cellStyle name="20% - Accent5 2 4 4 2 4" xfId="31464" xr:uid="{00000000-0005-0000-0000-000016380000}"/>
    <cellStyle name="20% - Accent5 2 4 4 2 5" xfId="41189" xr:uid="{00000000-0005-0000-0000-000017380000}"/>
    <cellStyle name="20% - Accent5 2 4 4 2 6" xfId="12014" xr:uid="{00000000-0005-0000-0000-000018380000}"/>
    <cellStyle name="20% - Accent5 2 4 4 3" xfId="3908" xr:uid="{00000000-0005-0000-0000-000019380000}"/>
    <cellStyle name="20% - Accent5 2 4 4 3 2" xfId="8770" xr:uid="{00000000-0005-0000-0000-00001A380000}"/>
    <cellStyle name="20% - Accent5 2 4 4 3 2 2" xfId="28221" xr:uid="{00000000-0005-0000-0000-00001B380000}"/>
    <cellStyle name="20% - Accent5 2 4 4 3 2 3" xfId="37946" xr:uid="{00000000-0005-0000-0000-00001C380000}"/>
    <cellStyle name="20% - Accent5 2 4 4 3 2 4" xfId="47671" xr:uid="{00000000-0005-0000-0000-00001D380000}"/>
    <cellStyle name="20% - Accent5 2 4 4 3 2 5" xfId="18496" xr:uid="{00000000-0005-0000-0000-00001E380000}"/>
    <cellStyle name="20% - Accent5 2 4 4 3 3" xfId="23359" xr:uid="{00000000-0005-0000-0000-00001F380000}"/>
    <cellStyle name="20% - Accent5 2 4 4 3 4" xfId="33084" xr:uid="{00000000-0005-0000-0000-000020380000}"/>
    <cellStyle name="20% - Accent5 2 4 4 3 5" xfId="42809" xr:uid="{00000000-0005-0000-0000-000021380000}"/>
    <cellStyle name="20% - Accent5 2 4 4 3 6" xfId="13634" xr:uid="{00000000-0005-0000-0000-000022380000}"/>
    <cellStyle name="20% - Accent5 2 4 4 4" xfId="5530" xr:uid="{00000000-0005-0000-0000-000023380000}"/>
    <cellStyle name="20% - Accent5 2 4 4 4 2" xfId="24981" xr:uid="{00000000-0005-0000-0000-000024380000}"/>
    <cellStyle name="20% - Accent5 2 4 4 4 3" xfId="34706" xr:uid="{00000000-0005-0000-0000-000025380000}"/>
    <cellStyle name="20% - Accent5 2 4 4 4 4" xfId="44431" xr:uid="{00000000-0005-0000-0000-000026380000}"/>
    <cellStyle name="20% - Accent5 2 4 4 4 5" xfId="15256" xr:uid="{00000000-0005-0000-0000-000027380000}"/>
    <cellStyle name="20% - Accent5 2 4 4 5" xfId="20119" xr:uid="{00000000-0005-0000-0000-000028380000}"/>
    <cellStyle name="20% - Accent5 2 4 4 6" xfId="29844" xr:uid="{00000000-0005-0000-0000-000029380000}"/>
    <cellStyle name="20% - Accent5 2 4 4 7" xfId="39569" xr:uid="{00000000-0005-0000-0000-00002A380000}"/>
    <cellStyle name="20% - Accent5 2 4 4 8" xfId="10394" xr:uid="{00000000-0005-0000-0000-00002B380000}"/>
    <cellStyle name="20% - Accent5 2 4 5" xfId="1928" xr:uid="{00000000-0005-0000-0000-00002C380000}"/>
    <cellStyle name="20% - Accent5 2 4 5 2" xfId="6790" xr:uid="{00000000-0005-0000-0000-00002D380000}"/>
    <cellStyle name="20% - Accent5 2 4 5 2 2" xfId="26241" xr:uid="{00000000-0005-0000-0000-00002E380000}"/>
    <cellStyle name="20% - Accent5 2 4 5 2 3" xfId="35966" xr:uid="{00000000-0005-0000-0000-00002F380000}"/>
    <cellStyle name="20% - Accent5 2 4 5 2 4" xfId="45691" xr:uid="{00000000-0005-0000-0000-000030380000}"/>
    <cellStyle name="20% - Accent5 2 4 5 2 5" xfId="16516" xr:uid="{00000000-0005-0000-0000-000031380000}"/>
    <cellStyle name="20% - Accent5 2 4 5 3" xfId="21379" xr:uid="{00000000-0005-0000-0000-000032380000}"/>
    <cellStyle name="20% - Accent5 2 4 5 4" xfId="31104" xr:uid="{00000000-0005-0000-0000-000033380000}"/>
    <cellStyle name="20% - Accent5 2 4 5 5" xfId="40829" xr:uid="{00000000-0005-0000-0000-000034380000}"/>
    <cellStyle name="20% - Accent5 2 4 5 6" xfId="11654" xr:uid="{00000000-0005-0000-0000-000035380000}"/>
    <cellStyle name="20% - Accent5 2 4 6" xfId="3548" xr:uid="{00000000-0005-0000-0000-000036380000}"/>
    <cellStyle name="20% - Accent5 2 4 6 2" xfId="8410" xr:uid="{00000000-0005-0000-0000-000037380000}"/>
    <cellStyle name="20% - Accent5 2 4 6 2 2" xfId="27861" xr:uid="{00000000-0005-0000-0000-000038380000}"/>
    <cellStyle name="20% - Accent5 2 4 6 2 3" xfId="37586" xr:uid="{00000000-0005-0000-0000-000039380000}"/>
    <cellStyle name="20% - Accent5 2 4 6 2 4" xfId="47311" xr:uid="{00000000-0005-0000-0000-00003A380000}"/>
    <cellStyle name="20% - Accent5 2 4 6 2 5" xfId="18136" xr:uid="{00000000-0005-0000-0000-00003B380000}"/>
    <cellStyle name="20% - Accent5 2 4 6 3" xfId="22999" xr:uid="{00000000-0005-0000-0000-00003C380000}"/>
    <cellStyle name="20% - Accent5 2 4 6 4" xfId="32724" xr:uid="{00000000-0005-0000-0000-00003D380000}"/>
    <cellStyle name="20% - Accent5 2 4 6 5" xfId="42449" xr:uid="{00000000-0005-0000-0000-00003E380000}"/>
    <cellStyle name="20% - Accent5 2 4 6 6" xfId="13274" xr:uid="{00000000-0005-0000-0000-00003F380000}"/>
    <cellStyle name="20% - Accent5 2 4 7" xfId="5170" xr:uid="{00000000-0005-0000-0000-000040380000}"/>
    <cellStyle name="20% - Accent5 2 4 7 2" xfId="24621" xr:uid="{00000000-0005-0000-0000-000041380000}"/>
    <cellStyle name="20% - Accent5 2 4 7 3" xfId="34346" xr:uid="{00000000-0005-0000-0000-000042380000}"/>
    <cellStyle name="20% - Accent5 2 4 7 4" xfId="44071" xr:uid="{00000000-0005-0000-0000-000043380000}"/>
    <cellStyle name="20% - Accent5 2 4 7 5" xfId="14896" xr:uid="{00000000-0005-0000-0000-000044380000}"/>
    <cellStyle name="20% - Accent5 2 4 8" xfId="19759" xr:uid="{00000000-0005-0000-0000-000045380000}"/>
    <cellStyle name="20% - Accent5 2 4 9" xfId="29484" xr:uid="{00000000-0005-0000-0000-000046380000}"/>
    <cellStyle name="20% - Accent5 2 5" xfId="337" xr:uid="{00000000-0005-0000-0000-000047380000}"/>
    <cellStyle name="20% - Accent5 2 5 10" xfId="39299" xr:uid="{00000000-0005-0000-0000-000048380000}"/>
    <cellStyle name="20% - Accent5 2 5 11" xfId="10124" xr:uid="{00000000-0005-0000-0000-000049380000}"/>
    <cellStyle name="20% - Accent5 2 5 2" xfId="1100" xr:uid="{00000000-0005-0000-0000-00004A380000}"/>
    <cellStyle name="20% - Accent5 2 5 2 2" xfId="2738" xr:uid="{00000000-0005-0000-0000-00004B380000}"/>
    <cellStyle name="20% - Accent5 2 5 2 2 2" xfId="7600" xr:uid="{00000000-0005-0000-0000-00004C380000}"/>
    <cellStyle name="20% - Accent5 2 5 2 2 2 2" xfId="27051" xr:uid="{00000000-0005-0000-0000-00004D380000}"/>
    <cellStyle name="20% - Accent5 2 5 2 2 2 3" xfId="36776" xr:uid="{00000000-0005-0000-0000-00004E380000}"/>
    <cellStyle name="20% - Accent5 2 5 2 2 2 4" xfId="46501" xr:uid="{00000000-0005-0000-0000-00004F380000}"/>
    <cellStyle name="20% - Accent5 2 5 2 2 2 5" xfId="17326" xr:uid="{00000000-0005-0000-0000-000050380000}"/>
    <cellStyle name="20% - Accent5 2 5 2 2 3" xfId="22189" xr:uid="{00000000-0005-0000-0000-000051380000}"/>
    <cellStyle name="20% - Accent5 2 5 2 2 4" xfId="31914" xr:uid="{00000000-0005-0000-0000-000052380000}"/>
    <cellStyle name="20% - Accent5 2 5 2 2 5" xfId="41639" xr:uid="{00000000-0005-0000-0000-000053380000}"/>
    <cellStyle name="20% - Accent5 2 5 2 2 6" xfId="12464" xr:uid="{00000000-0005-0000-0000-000054380000}"/>
    <cellStyle name="20% - Accent5 2 5 2 3" xfId="4358" xr:uid="{00000000-0005-0000-0000-000055380000}"/>
    <cellStyle name="20% - Accent5 2 5 2 3 2" xfId="9220" xr:uid="{00000000-0005-0000-0000-000056380000}"/>
    <cellStyle name="20% - Accent5 2 5 2 3 2 2" xfId="28671" xr:uid="{00000000-0005-0000-0000-000057380000}"/>
    <cellStyle name="20% - Accent5 2 5 2 3 2 3" xfId="38396" xr:uid="{00000000-0005-0000-0000-000058380000}"/>
    <cellStyle name="20% - Accent5 2 5 2 3 2 4" xfId="48121" xr:uid="{00000000-0005-0000-0000-000059380000}"/>
    <cellStyle name="20% - Accent5 2 5 2 3 2 5" xfId="18946" xr:uid="{00000000-0005-0000-0000-00005A380000}"/>
    <cellStyle name="20% - Accent5 2 5 2 3 3" xfId="23809" xr:uid="{00000000-0005-0000-0000-00005B380000}"/>
    <cellStyle name="20% - Accent5 2 5 2 3 4" xfId="33534" xr:uid="{00000000-0005-0000-0000-00005C380000}"/>
    <cellStyle name="20% - Accent5 2 5 2 3 5" xfId="43259" xr:uid="{00000000-0005-0000-0000-00005D380000}"/>
    <cellStyle name="20% - Accent5 2 5 2 3 6" xfId="14084" xr:uid="{00000000-0005-0000-0000-00005E380000}"/>
    <cellStyle name="20% - Accent5 2 5 2 4" xfId="5980" xr:uid="{00000000-0005-0000-0000-00005F380000}"/>
    <cellStyle name="20% - Accent5 2 5 2 4 2" xfId="25431" xr:uid="{00000000-0005-0000-0000-000060380000}"/>
    <cellStyle name="20% - Accent5 2 5 2 4 3" xfId="35156" xr:uid="{00000000-0005-0000-0000-000061380000}"/>
    <cellStyle name="20% - Accent5 2 5 2 4 4" xfId="44881" xr:uid="{00000000-0005-0000-0000-000062380000}"/>
    <cellStyle name="20% - Accent5 2 5 2 4 5" xfId="15706" xr:uid="{00000000-0005-0000-0000-000063380000}"/>
    <cellStyle name="20% - Accent5 2 5 2 5" xfId="20569" xr:uid="{00000000-0005-0000-0000-000064380000}"/>
    <cellStyle name="20% - Accent5 2 5 2 6" xfId="30294" xr:uid="{00000000-0005-0000-0000-000065380000}"/>
    <cellStyle name="20% - Accent5 2 5 2 7" xfId="40019" xr:uid="{00000000-0005-0000-0000-000066380000}"/>
    <cellStyle name="20% - Accent5 2 5 2 8" xfId="10844" xr:uid="{00000000-0005-0000-0000-000067380000}"/>
    <cellStyle name="20% - Accent5 2 5 3" xfId="1567" xr:uid="{00000000-0005-0000-0000-000068380000}"/>
    <cellStyle name="20% - Accent5 2 5 3 2" xfId="3188" xr:uid="{00000000-0005-0000-0000-000069380000}"/>
    <cellStyle name="20% - Accent5 2 5 3 2 2" xfId="8050" xr:uid="{00000000-0005-0000-0000-00006A380000}"/>
    <cellStyle name="20% - Accent5 2 5 3 2 2 2" xfId="27501" xr:uid="{00000000-0005-0000-0000-00006B380000}"/>
    <cellStyle name="20% - Accent5 2 5 3 2 2 3" xfId="37226" xr:uid="{00000000-0005-0000-0000-00006C380000}"/>
    <cellStyle name="20% - Accent5 2 5 3 2 2 4" xfId="46951" xr:uid="{00000000-0005-0000-0000-00006D380000}"/>
    <cellStyle name="20% - Accent5 2 5 3 2 2 5" xfId="17776" xr:uid="{00000000-0005-0000-0000-00006E380000}"/>
    <cellStyle name="20% - Accent5 2 5 3 2 3" xfId="22639" xr:uid="{00000000-0005-0000-0000-00006F380000}"/>
    <cellStyle name="20% - Accent5 2 5 3 2 4" xfId="32364" xr:uid="{00000000-0005-0000-0000-000070380000}"/>
    <cellStyle name="20% - Accent5 2 5 3 2 5" xfId="42089" xr:uid="{00000000-0005-0000-0000-000071380000}"/>
    <cellStyle name="20% - Accent5 2 5 3 2 6" xfId="12914" xr:uid="{00000000-0005-0000-0000-000072380000}"/>
    <cellStyle name="20% - Accent5 2 5 3 3" xfId="4808" xr:uid="{00000000-0005-0000-0000-000073380000}"/>
    <cellStyle name="20% - Accent5 2 5 3 3 2" xfId="9670" xr:uid="{00000000-0005-0000-0000-000074380000}"/>
    <cellStyle name="20% - Accent5 2 5 3 3 2 2" xfId="29121" xr:uid="{00000000-0005-0000-0000-000075380000}"/>
    <cellStyle name="20% - Accent5 2 5 3 3 2 3" xfId="38846" xr:uid="{00000000-0005-0000-0000-000076380000}"/>
    <cellStyle name="20% - Accent5 2 5 3 3 2 4" xfId="48571" xr:uid="{00000000-0005-0000-0000-000077380000}"/>
    <cellStyle name="20% - Accent5 2 5 3 3 2 5" xfId="19396" xr:uid="{00000000-0005-0000-0000-000078380000}"/>
    <cellStyle name="20% - Accent5 2 5 3 3 3" xfId="24259" xr:uid="{00000000-0005-0000-0000-000079380000}"/>
    <cellStyle name="20% - Accent5 2 5 3 3 4" xfId="33984" xr:uid="{00000000-0005-0000-0000-00007A380000}"/>
    <cellStyle name="20% - Accent5 2 5 3 3 5" xfId="43709" xr:uid="{00000000-0005-0000-0000-00007B380000}"/>
    <cellStyle name="20% - Accent5 2 5 3 3 6" xfId="14534" xr:uid="{00000000-0005-0000-0000-00007C380000}"/>
    <cellStyle name="20% - Accent5 2 5 3 4" xfId="6430" xr:uid="{00000000-0005-0000-0000-00007D380000}"/>
    <cellStyle name="20% - Accent5 2 5 3 4 2" xfId="25881" xr:uid="{00000000-0005-0000-0000-00007E380000}"/>
    <cellStyle name="20% - Accent5 2 5 3 4 3" xfId="35606" xr:uid="{00000000-0005-0000-0000-00007F380000}"/>
    <cellStyle name="20% - Accent5 2 5 3 4 4" xfId="45331" xr:uid="{00000000-0005-0000-0000-000080380000}"/>
    <cellStyle name="20% - Accent5 2 5 3 4 5" xfId="16156" xr:uid="{00000000-0005-0000-0000-000081380000}"/>
    <cellStyle name="20% - Accent5 2 5 3 5" xfId="21019" xr:uid="{00000000-0005-0000-0000-000082380000}"/>
    <cellStyle name="20% - Accent5 2 5 3 6" xfId="30744" xr:uid="{00000000-0005-0000-0000-000083380000}"/>
    <cellStyle name="20% - Accent5 2 5 3 7" xfId="40469" xr:uid="{00000000-0005-0000-0000-000084380000}"/>
    <cellStyle name="20% - Accent5 2 5 3 8" xfId="11294" xr:uid="{00000000-0005-0000-0000-000085380000}"/>
    <cellStyle name="20% - Accent5 2 5 4" xfId="738" xr:uid="{00000000-0005-0000-0000-000086380000}"/>
    <cellStyle name="20% - Accent5 2 5 4 2" xfId="2378" xr:uid="{00000000-0005-0000-0000-000087380000}"/>
    <cellStyle name="20% - Accent5 2 5 4 2 2" xfId="7240" xr:uid="{00000000-0005-0000-0000-000088380000}"/>
    <cellStyle name="20% - Accent5 2 5 4 2 2 2" xfId="26691" xr:uid="{00000000-0005-0000-0000-000089380000}"/>
    <cellStyle name="20% - Accent5 2 5 4 2 2 3" xfId="36416" xr:uid="{00000000-0005-0000-0000-00008A380000}"/>
    <cellStyle name="20% - Accent5 2 5 4 2 2 4" xfId="46141" xr:uid="{00000000-0005-0000-0000-00008B380000}"/>
    <cellStyle name="20% - Accent5 2 5 4 2 2 5" xfId="16966" xr:uid="{00000000-0005-0000-0000-00008C380000}"/>
    <cellStyle name="20% - Accent5 2 5 4 2 3" xfId="21829" xr:uid="{00000000-0005-0000-0000-00008D380000}"/>
    <cellStyle name="20% - Accent5 2 5 4 2 4" xfId="31554" xr:uid="{00000000-0005-0000-0000-00008E380000}"/>
    <cellStyle name="20% - Accent5 2 5 4 2 5" xfId="41279" xr:uid="{00000000-0005-0000-0000-00008F380000}"/>
    <cellStyle name="20% - Accent5 2 5 4 2 6" xfId="12104" xr:uid="{00000000-0005-0000-0000-000090380000}"/>
    <cellStyle name="20% - Accent5 2 5 4 3" xfId="3998" xr:uid="{00000000-0005-0000-0000-000091380000}"/>
    <cellStyle name="20% - Accent5 2 5 4 3 2" xfId="8860" xr:uid="{00000000-0005-0000-0000-000092380000}"/>
    <cellStyle name="20% - Accent5 2 5 4 3 2 2" xfId="28311" xr:uid="{00000000-0005-0000-0000-000093380000}"/>
    <cellStyle name="20% - Accent5 2 5 4 3 2 3" xfId="38036" xr:uid="{00000000-0005-0000-0000-000094380000}"/>
    <cellStyle name="20% - Accent5 2 5 4 3 2 4" xfId="47761" xr:uid="{00000000-0005-0000-0000-000095380000}"/>
    <cellStyle name="20% - Accent5 2 5 4 3 2 5" xfId="18586" xr:uid="{00000000-0005-0000-0000-000096380000}"/>
    <cellStyle name="20% - Accent5 2 5 4 3 3" xfId="23449" xr:uid="{00000000-0005-0000-0000-000097380000}"/>
    <cellStyle name="20% - Accent5 2 5 4 3 4" xfId="33174" xr:uid="{00000000-0005-0000-0000-000098380000}"/>
    <cellStyle name="20% - Accent5 2 5 4 3 5" xfId="42899" xr:uid="{00000000-0005-0000-0000-000099380000}"/>
    <cellStyle name="20% - Accent5 2 5 4 3 6" xfId="13724" xr:uid="{00000000-0005-0000-0000-00009A380000}"/>
    <cellStyle name="20% - Accent5 2 5 4 4" xfId="5620" xr:uid="{00000000-0005-0000-0000-00009B380000}"/>
    <cellStyle name="20% - Accent5 2 5 4 4 2" xfId="25071" xr:uid="{00000000-0005-0000-0000-00009C380000}"/>
    <cellStyle name="20% - Accent5 2 5 4 4 3" xfId="34796" xr:uid="{00000000-0005-0000-0000-00009D380000}"/>
    <cellStyle name="20% - Accent5 2 5 4 4 4" xfId="44521" xr:uid="{00000000-0005-0000-0000-00009E380000}"/>
    <cellStyle name="20% - Accent5 2 5 4 4 5" xfId="15346" xr:uid="{00000000-0005-0000-0000-00009F380000}"/>
    <cellStyle name="20% - Accent5 2 5 4 5" xfId="20209" xr:uid="{00000000-0005-0000-0000-0000A0380000}"/>
    <cellStyle name="20% - Accent5 2 5 4 6" xfId="29934" xr:uid="{00000000-0005-0000-0000-0000A1380000}"/>
    <cellStyle name="20% - Accent5 2 5 4 7" xfId="39659" xr:uid="{00000000-0005-0000-0000-0000A2380000}"/>
    <cellStyle name="20% - Accent5 2 5 4 8" xfId="10484" xr:uid="{00000000-0005-0000-0000-0000A3380000}"/>
    <cellStyle name="20% - Accent5 2 5 5" xfId="2018" xr:uid="{00000000-0005-0000-0000-0000A4380000}"/>
    <cellStyle name="20% - Accent5 2 5 5 2" xfId="6880" xr:uid="{00000000-0005-0000-0000-0000A5380000}"/>
    <cellStyle name="20% - Accent5 2 5 5 2 2" xfId="26331" xr:uid="{00000000-0005-0000-0000-0000A6380000}"/>
    <cellStyle name="20% - Accent5 2 5 5 2 3" xfId="36056" xr:uid="{00000000-0005-0000-0000-0000A7380000}"/>
    <cellStyle name="20% - Accent5 2 5 5 2 4" xfId="45781" xr:uid="{00000000-0005-0000-0000-0000A8380000}"/>
    <cellStyle name="20% - Accent5 2 5 5 2 5" xfId="16606" xr:uid="{00000000-0005-0000-0000-0000A9380000}"/>
    <cellStyle name="20% - Accent5 2 5 5 3" xfId="21469" xr:uid="{00000000-0005-0000-0000-0000AA380000}"/>
    <cellStyle name="20% - Accent5 2 5 5 4" xfId="31194" xr:uid="{00000000-0005-0000-0000-0000AB380000}"/>
    <cellStyle name="20% - Accent5 2 5 5 5" xfId="40919" xr:uid="{00000000-0005-0000-0000-0000AC380000}"/>
    <cellStyle name="20% - Accent5 2 5 5 6" xfId="11744" xr:uid="{00000000-0005-0000-0000-0000AD380000}"/>
    <cellStyle name="20% - Accent5 2 5 6" xfId="3638" xr:uid="{00000000-0005-0000-0000-0000AE380000}"/>
    <cellStyle name="20% - Accent5 2 5 6 2" xfId="8500" xr:uid="{00000000-0005-0000-0000-0000AF380000}"/>
    <cellStyle name="20% - Accent5 2 5 6 2 2" xfId="27951" xr:uid="{00000000-0005-0000-0000-0000B0380000}"/>
    <cellStyle name="20% - Accent5 2 5 6 2 3" xfId="37676" xr:uid="{00000000-0005-0000-0000-0000B1380000}"/>
    <cellStyle name="20% - Accent5 2 5 6 2 4" xfId="47401" xr:uid="{00000000-0005-0000-0000-0000B2380000}"/>
    <cellStyle name="20% - Accent5 2 5 6 2 5" xfId="18226" xr:uid="{00000000-0005-0000-0000-0000B3380000}"/>
    <cellStyle name="20% - Accent5 2 5 6 3" xfId="23089" xr:uid="{00000000-0005-0000-0000-0000B4380000}"/>
    <cellStyle name="20% - Accent5 2 5 6 4" xfId="32814" xr:uid="{00000000-0005-0000-0000-0000B5380000}"/>
    <cellStyle name="20% - Accent5 2 5 6 5" xfId="42539" xr:uid="{00000000-0005-0000-0000-0000B6380000}"/>
    <cellStyle name="20% - Accent5 2 5 6 6" xfId="13364" xr:uid="{00000000-0005-0000-0000-0000B7380000}"/>
    <cellStyle name="20% - Accent5 2 5 7" xfId="5260" xr:uid="{00000000-0005-0000-0000-0000B8380000}"/>
    <cellStyle name="20% - Accent5 2 5 7 2" xfId="24711" xr:uid="{00000000-0005-0000-0000-0000B9380000}"/>
    <cellStyle name="20% - Accent5 2 5 7 3" xfId="34436" xr:uid="{00000000-0005-0000-0000-0000BA380000}"/>
    <cellStyle name="20% - Accent5 2 5 7 4" xfId="44161" xr:uid="{00000000-0005-0000-0000-0000BB380000}"/>
    <cellStyle name="20% - Accent5 2 5 7 5" xfId="14986" xr:uid="{00000000-0005-0000-0000-0000BC380000}"/>
    <cellStyle name="20% - Accent5 2 5 8" xfId="19849" xr:uid="{00000000-0005-0000-0000-0000BD380000}"/>
    <cellStyle name="20% - Accent5 2 5 9" xfId="29574" xr:uid="{00000000-0005-0000-0000-0000BE380000}"/>
    <cellStyle name="20% - Accent5 2 6" xfId="155" xr:uid="{00000000-0005-0000-0000-0000BF380000}"/>
    <cellStyle name="20% - Accent5 2 6 10" xfId="39119" xr:uid="{00000000-0005-0000-0000-0000C0380000}"/>
    <cellStyle name="20% - Accent5 2 6 11" xfId="9944" xr:uid="{00000000-0005-0000-0000-0000C1380000}"/>
    <cellStyle name="20% - Accent5 2 6 2" xfId="919" xr:uid="{00000000-0005-0000-0000-0000C2380000}"/>
    <cellStyle name="20% - Accent5 2 6 2 2" xfId="2558" xr:uid="{00000000-0005-0000-0000-0000C3380000}"/>
    <cellStyle name="20% - Accent5 2 6 2 2 2" xfId="7420" xr:uid="{00000000-0005-0000-0000-0000C4380000}"/>
    <cellStyle name="20% - Accent5 2 6 2 2 2 2" xfId="26871" xr:uid="{00000000-0005-0000-0000-0000C5380000}"/>
    <cellStyle name="20% - Accent5 2 6 2 2 2 3" xfId="36596" xr:uid="{00000000-0005-0000-0000-0000C6380000}"/>
    <cellStyle name="20% - Accent5 2 6 2 2 2 4" xfId="46321" xr:uid="{00000000-0005-0000-0000-0000C7380000}"/>
    <cellStyle name="20% - Accent5 2 6 2 2 2 5" xfId="17146" xr:uid="{00000000-0005-0000-0000-0000C8380000}"/>
    <cellStyle name="20% - Accent5 2 6 2 2 3" xfId="22009" xr:uid="{00000000-0005-0000-0000-0000C9380000}"/>
    <cellStyle name="20% - Accent5 2 6 2 2 4" xfId="31734" xr:uid="{00000000-0005-0000-0000-0000CA380000}"/>
    <cellStyle name="20% - Accent5 2 6 2 2 5" xfId="41459" xr:uid="{00000000-0005-0000-0000-0000CB380000}"/>
    <cellStyle name="20% - Accent5 2 6 2 2 6" xfId="12284" xr:uid="{00000000-0005-0000-0000-0000CC380000}"/>
    <cellStyle name="20% - Accent5 2 6 2 3" xfId="4178" xr:uid="{00000000-0005-0000-0000-0000CD380000}"/>
    <cellStyle name="20% - Accent5 2 6 2 3 2" xfId="9040" xr:uid="{00000000-0005-0000-0000-0000CE380000}"/>
    <cellStyle name="20% - Accent5 2 6 2 3 2 2" xfId="28491" xr:uid="{00000000-0005-0000-0000-0000CF380000}"/>
    <cellStyle name="20% - Accent5 2 6 2 3 2 3" xfId="38216" xr:uid="{00000000-0005-0000-0000-0000D0380000}"/>
    <cellStyle name="20% - Accent5 2 6 2 3 2 4" xfId="47941" xr:uid="{00000000-0005-0000-0000-0000D1380000}"/>
    <cellStyle name="20% - Accent5 2 6 2 3 2 5" xfId="18766" xr:uid="{00000000-0005-0000-0000-0000D2380000}"/>
    <cellStyle name="20% - Accent5 2 6 2 3 3" xfId="23629" xr:uid="{00000000-0005-0000-0000-0000D3380000}"/>
    <cellStyle name="20% - Accent5 2 6 2 3 4" xfId="33354" xr:uid="{00000000-0005-0000-0000-0000D4380000}"/>
    <cellStyle name="20% - Accent5 2 6 2 3 5" xfId="43079" xr:uid="{00000000-0005-0000-0000-0000D5380000}"/>
    <cellStyle name="20% - Accent5 2 6 2 3 6" xfId="13904" xr:uid="{00000000-0005-0000-0000-0000D6380000}"/>
    <cellStyle name="20% - Accent5 2 6 2 4" xfId="5800" xr:uid="{00000000-0005-0000-0000-0000D7380000}"/>
    <cellStyle name="20% - Accent5 2 6 2 4 2" xfId="25251" xr:uid="{00000000-0005-0000-0000-0000D8380000}"/>
    <cellStyle name="20% - Accent5 2 6 2 4 3" xfId="34976" xr:uid="{00000000-0005-0000-0000-0000D9380000}"/>
    <cellStyle name="20% - Accent5 2 6 2 4 4" xfId="44701" xr:uid="{00000000-0005-0000-0000-0000DA380000}"/>
    <cellStyle name="20% - Accent5 2 6 2 4 5" xfId="15526" xr:uid="{00000000-0005-0000-0000-0000DB380000}"/>
    <cellStyle name="20% - Accent5 2 6 2 5" xfId="20389" xr:uid="{00000000-0005-0000-0000-0000DC380000}"/>
    <cellStyle name="20% - Accent5 2 6 2 6" xfId="30114" xr:uid="{00000000-0005-0000-0000-0000DD380000}"/>
    <cellStyle name="20% - Accent5 2 6 2 7" xfId="39839" xr:uid="{00000000-0005-0000-0000-0000DE380000}"/>
    <cellStyle name="20% - Accent5 2 6 2 8" xfId="10664" xr:uid="{00000000-0005-0000-0000-0000DF380000}"/>
    <cellStyle name="20% - Accent5 2 6 3" xfId="1387" xr:uid="{00000000-0005-0000-0000-0000E0380000}"/>
    <cellStyle name="20% - Accent5 2 6 3 2" xfId="3008" xr:uid="{00000000-0005-0000-0000-0000E1380000}"/>
    <cellStyle name="20% - Accent5 2 6 3 2 2" xfId="7870" xr:uid="{00000000-0005-0000-0000-0000E2380000}"/>
    <cellStyle name="20% - Accent5 2 6 3 2 2 2" xfId="27321" xr:uid="{00000000-0005-0000-0000-0000E3380000}"/>
    <cellStyle name="20% - Accent5 2 6 3 2 2 3" xfId="37046" xr:uid="{00000000-0005-0000-0000-0000E4380000}"/>
    <cellStyle name="20% - Accent5 2 6 3 2 2 4" xfId="46771" xr:uid="{00000000-0005-0000-0000-0000E5380000}"/>
    <cellStyle name="20% - Accent5 2 6 3 2 2 5" xfId="17596" xr:uid="{00000000-0005-0000-0000-0000E6380000}"/>
    <cellStyle name="20% - Accent5 2 6 3 2 3" xfId="22459" xr:uid="{00000000-0005-0000-0000-0000E7380000}"/>
    <cellStyle name="20% - Accent5 2 6 3 2 4" xfId="32184" xr:uid="{00000000-0005-0000-0000-0000E8380000}"/>
    <cellStyle name="20% - Accent5 2 6 3 2 5" xfId="41909" xr:uid="{00000000-0005-0000-0000-0000E9380000}"/>
    <cellStyle name="20% - Accent5 2 6 3 2 6" xfId="12734" xr:uid="{00000000-0005-0000-0000-0000EA380000}"/>
    <cellStyle name="20% - Accent5 2 6 3 3" xfId="4628" xr:uid="{00000000-0005-0000-0000-0000EB380000}"/>
    <cellStyle name="20% - Accent5 2 6 3 3 2" xfId="9490" xr:uid="{00000000-0005-0000-0000-0000EC380000}"/>
    <cellStyle name="20% - Accent5 2 6 3 3 2 2" xfId="28941" xr:uid="{00000000-0005-0000-0000-0000ED380000}"/>
    <cellStyle name="20% - Accent5 2 6 3 3 2 3" xfId="38666" xr:uid="{00000000-0005-0000-0000-0000EE380000}"/>
    <cellStyle name="20% - Accent5 2 6 3 3 2 4" xfId="48391" xr:uid="{00000000-0005-0000-0000-0000EF380000}"/>
    <cellStyle name="20% - Accent5 2 6 3 3 2 5" xfId="19216" xr:uid="{00000000-0005-0000-0000-0000F0380000}"/>
    <cellStyle name="20% - Accent5 2 6 3 3 3" xfId="24079" xr:uid="{00000000-0005-0000-0000-0000F1380000}"/>
    <cellStyle name="20% - Accent5 2 6 3 3 4" xfId="33804" xr:uid="{00000000-0005-0000-0000-0000F2380000}"/>
    <cellStyle name="20% - Accent5 2 6 3 3 5" xfId="43529" xr:uid="{00000000-0005-0000-0000-0000F3380000}"/>
    <cellStyle name="20% - Accent5 2 6 3 3 6" xfId="14354" xr:uid="{00000000-0005-0000-0000-0000F4380000}"/>
    <cellStyle name="20% - Accent5 2 6 3 4" xfId="6250" xr:uid="{00000000-0005-0000-0000-0000F5380000}"/>
    <cellStyle name="20% - Accent5 2 6 3 4 2" xfId="25701" xr:uid="{00000000-0005-0000-0000-0000F6380000}"/>
    <cellStyle name="20% - Accent5 2 6 3 4 3" xfId="35426" xr:uid="{00000000-0005-0000-0000-0000F7380000}"/>
    <cellStyle name="20% - Accent5 2 6 3 4 4" xfId="45151" xr:uid="{00000000-0005-0000-0000-0000F8380000}"/>
    <cellStyle name="20% - Accent5 2 6 3 4 5" xfId="15976" xr:uid="{00000000-0005-0000-0000-0000F9380000}"/>
    <cellStyle name="20% - Accent5 2 6 3 5" xfId="20839" xr:uid="{00000000-0005-0000-0000-0000FA380000}"/>
    <cellStyle name="20% - Accent5 2 6 3 6" xfId="30564" xr:uid="{00000000-0005-0000-0000-0000FB380000}"/>
    <cellStyle name="20% - Accent5 2 6 3 7" xfId="40289" xr:uid="{00000000-0005-0000-0000-0000FC380000}"/>
    <cellStyle name="20% - Accent5 2 6 3 8" xfId="11114" xr:uid="{00000000-0005-0000-0000-0000FD380000}"/>
    <cellStyle name="20% - Accent5 2 6 4" xfId="558" xr:uid="{00000000-0005-0000-0000-0000FE380000}"/>
    <cellStyle name="20% - Accent5 2 6 4 2" xfId="2198" xr:uid="{00000000-0005-0000-0000-0000FF380000}"/>
    <cellStyle name="20% - Accent5 2 6 4 2 2" xfId="7060" xr:uid="{00000000-0005-0000-0000-000000390000}"/>
    <cellStyle name="20% - Accent5 2 6 4 2 2 2" xfId="26511" xr:uid="{00000000-0005-0000-0000-000001390000}"/>
    <cellStyle name="20% - Accent5 2 6 4 2 2 3" xfId="36236" xr:uid="{00000000-0005-0000-0000-000002390000}"/>
    <cellStyle name="20% - Accent5 2 6 4 2 2 4" xfId="45961" xr:uid="{00000000-0005-0000-0000-000003390000}"/>
    <cellStyle name="20% - Accent5 2 6 4 2 2 5" xfId="16786" xr:uid="{00000000-0005-0000-0000-000004390000}"/>
    <cellStyle name="20% - Accent5 2 6 4 2 3" xfId="21649" xr:uid="{00000000-0005-0000-0000-000005390000}"/>
    <cellStyle name="20% - Accent5 2 6 4 2 4" xfId="31374" xr:uid="{00000000-0005-0000-0000-000006390000}"/>
    <cellStyle name="20% - Accent5 2 6 4 2 5" xfId="41099" xr:uid="{00000000-0005-0000-0000-000007390000}"/>
    <cellStyle name="20% - Accent5 2 6 4 2 6" xfId="11924" xr:uid="{00000000-0005-0000-0000-000008390000}"/>
    <cellStyle name="20% - Accent5 2 6 4 3" xfId="3818" xr:uid="{00000000-0005-0000-0000-000009390000}"/>
    <cellStyle name="20% - Accent5 2 6 4 3 2" xfId="8680" xr:uid="{00000000-0005-0000-0000-00000A390000}"/>
    <cellStyle name="20% - Accent5 2 6 4 3 2 2" xfId="28131" xr:uid="{00000000-0005-0000-0000-00000B390000}"/>
    <cellStyle name="20% - Accent5 2 6 4 3 2 3" xfId="37856" xr:uid="{00000000-0005-0000-0000-00000C390000}"/>
    <cellStyle name="20% - Accent5 2 6 4 3 2 4" xfId="47581" xr:uid="{00000000-0005-0000-0000-00000D390000}"/>
    <cellStyle name="20% - Accent5 2 6 4 3 2 5" xfId="18406" xr:uid="{00000000-0005-0000-0000-00000E390000}"/>
    <cellStyle name="20% - Accent5 2 6 4 3 3" xfId="23269" xr:uid="{00000000-0005-0000-0000-00000F390000}"/>
    <cellStyle name="20% - Accent5 2 6 4 3 4" xfId="32994" xr:uid="{00000000-0005-0000-0000-000010390000}"/>
    <cellStyle name="20% - Accent5 2 6 4 3 5" xfId="42719" xr:uid="{00000000-0005-0000-0000-000011390000}"/>
    <cellStyle name="20% - Accent5 2 6 4 3 6" xfId="13544" xr:uid="{00000000-0005-0000-0000-000012390000}"/>
    <cellStyle name="20% - Accent5 2 6 4 4" xfId="5440" xr:uid="{00000000-0005-0000-0000-000013390000}"/>
    <cellStyle name="20% - Accent5 2 6 4 4 2" xfId="24891" xr:uid="{00000000-0005-0000-0000-000014390000}"/>
    <cellStyle name="20% - Accent5 2 6 4 4 3" xfId="34616" xr:uid="{00000000-0005-0000-0000-000015390000}"/>
    <cellStyle name="20% - Accent5 2 6 4 4 4" xfId="44341" xr:uid="{00000000-0005-0000-0000-000016390000}"/>
    <cellStyle name="20% - Accent5 2 6 4 4 5" xfId="15166" xr:uid="{00000000-0005-0000-0000-000017390000}"/>
    <cellStyle name="20% - Accent5 2 6 4 5" xfId="20029" xr:uid="{00000000-0005-0000-0000-000018390000}"/>
    <cellStyle name="20% - Accent5 2 6 4 6" xfId="29754" xr:uid="{00000000-0005-0000-0000-000019390000}"/>
    <cellStyle name="20% - Accent5 2 6 4 7" xfId="39479" xr:uid="{00000000-0005-0000-0000-00001A390000}"/>
    <cellStyle name="20% - Accent5 2 6 4 8" xfId="10304" xr:uid="{00000000-0005-0000-0000-00001B390000}"/>
    <cellStyle name="20% - Accent5 2 6 5" xfId="1838" xr:uid="{00000000-0005-0000-0000-00001C390000}"/>
    <cellStyle name="20% - Accent5 2 6 5 2" xfId="6700" xr:uid="{00000000-0005-0000-0000-00001D390000}"/>
    <cellStyle name="20% - Accent5 2 6 5 2 2" xfId="26151" xr:uid="{00000000-0005-0000-0000-00001E390000}"/>
    <cellStyle name="20% - Accent5 2 6 5 2 3" xfId="35876" xr:uid="{00000000-0005-0000-0000-00001F390000}"/>
    <cellStyle name="20% - Accent5 2 6 5 2 4" xfId="45601" xr:uid="{00000000-0005-0000-0000-000020390000}"/>
    <cellStyle name="20% - Accent5 2 6 5 2 5" xfId="16426" xr:uid="{00000000-0005-0000-0000-000021390000}"/>
    <cellStyle name="20% - Accent5 2 6 5 3" xfId="21289" xr:uid="{00000000-0005-0000-0000-000022390000}"/>
    <cellStyle name="20% - Accent5 2 6 5 4" xfId="31014" xr:uid="{00000000-0005-0000-0000-000023390000}"/>
    <cellStyle name="20% - Accent5 2 6 5 5" xfId="40739" xr:uid="{00000000-0005-0000-0000-000024390000}"/>
    <cellStyle name="20% - Accent5 2 6 5 6" xfId="11564" xr:uid="{00000000-0005-0000-0000-000025390000}"/>
    <cellStyle name="20% - Accent5 2 6 6" xfId="3458" xr:uid="{00000000-0005-0000-0000-000026390000}"/>
    <cellStyle name="20% - Accent5 2 6 6 2" xfId="8320" xr:uid="{00000000-0005-0000-0000-000027390000}"/>
    <cellStyle name="20% - Accent5 2 6 6 2 2" xfId="27771" xr:uid="{00000000-0005-0000-0000-000028390000}"/>
    <cellStyle name="20% - Accent5 2 6 6 2 3" xfId="37496" xr:uid="{00000000-0005-0000-0000-000029390000}"/>
    <cellStyle name="20% - Accent5 2 6 6 2 4" xfId="47221" xr:uid="{00000000-0005-0000-0000-00002A390000}"/>
    <cellStyle name="20% - Accent5 2 6 6 2 5" xfId="18046" xr:uid="{00000000-0005-0000-0000-00002B390000}"/>
    <cellStyle name="20% - Accent5 2 6 6 3" xfId="22909" xr:uid="{00000000-0005-0000-0000-00002C390000}"/>
    <cellStyle name="20% - Accent5 2 6 6 4" xfId="32634" xr:uid="{00000000-0005-0000-0000-00002D390000}"/>
    <cellStyle name="20% - Accent5 2 6 6 5" xfId="42359" xr:uid="{00000000-0005-0000-0000-00002E390000}"/>
    <cellStyle name="20% - Accent5 2 6 6 6" xfId="13184" xr:uid="{00000000-0005-0000-0000-00002F390000}"/>
    <cellStyle name="20% - Accent5 2 6 7" xfId="5080" xr:uid="{00000000-0005-0000-0000-000030390000}"/>
    <cellStyle name="20% - Accent5 2 6 7 2" xfId="24531" xr:uid="{00000000-0005-0000-0000-000031390000}"/>
    <cellStyle name="20% - Accent5 2 6 7 3" xfId="34256" xr:uid="{00000000-0005-0000-0000-000032390000}"/>
    <cellStyle name="20% - Accent5 2 6 7 4" xfId="43981" xr:uid="{00000000-0005-0000-0000-000033390000}"/>
    <cellStyle name="20% - Accent5 2 6 7 5" xfId="14806" xr:uid="{00000000-0005-0000-0000-000034390000}"/>
    <cellStyle name="20% - Accent5 2 6 8" xfId="19669" xr:uid="{00000000-0005-0000-0000-000035390000}"/>
    <cellStyle name="20% - Accent5 2 6 9" xfId="29394" xr:uid="{00000000-0005-0000-0000-000036390000}"/>
    <cellStyle name="20% - Accent5 2 7" xfId="829" xr:uid="{00000000-0005-0000-0000-000037390000}"/>
    <cellStyle name="20% - Accent5 2 7 2" xfId="2468" xr:uid="{00000000-0005-0000-0000-000038390000}"/>
    <cellStyle name="20% - Accent5 2 7 2 2" xfId="7330" xr:uid="{00000000-0005-0000-0000-000039390000}"/>
    <cellStyle name="20% - Accent5 2 7 2 2 2" xfId="26781" xr:uid="{00000000-0005-0000-0000-00003A390000}"/>
    <cellStyle name="20% - Accent5 2 7 2 2 3" xfId="36506" xr:uid="{00000000-0005-0000-0000-00003B390000}"/>
    <cellStyle name="20% - Accent5 2 7 2 2 4" xfId="46231" xr:uid="{00000000-0005-0000-0000-00003C390000}"/>
    <cellStyle name="20% - Accent5 2 7 2 2 5" xfId="17056" xr:uid="{00000000-0005-0000-0000-00003D390000}"/>
    <cellStyle name="20% - Accent5 2 7 2 3" xfId="21919" xr:uid="{00000000-0005-0000-0000-00003E390000}"/>
    <cellStyle name="20% - Accent5 2 7 2 4" xfId="31644" xr:uid="{00000000-0005-0000-0000-00003F390000}"/>
    <cellStyle name="20% - Accent5 2 7 2 5" xfId="41369" xr:uid="{00000000-0005-0000-0000-000040390000}"/>
    <cellStyle name="20% - Accent5 2 7 2 6" xfId="12194" xr:uid="{00000000-0005-0000-0000-000041390000}"/>
    <cellStyle name="20% - Accent5 2 7 3" xfId="4088" xr:uid="{00000000-0005-0000-0000-000042390000}"/>
    <cellStyle name="20% - Accent5 2 7 3 2" xfId="8950" xr:uid="{00000000-0005-0000-0000-000043390000}"/>
    <cellStyle name="20% - Accent5 2 7 3 2 2" xfId="28401" xr:uid="{00000000-0005-0000-0000-000044390000}"/>
    <cellStyle name="20% - Accent5 2 7 3 2 3" xfId="38126" xr:uid="{00000000-0005-0000-0000-000045390000}"/>
    <cellStyle name="20% - Accent5 2 7 3 2 4" xfId="47851" xr:uid="{00000000-0005-0000-0000-000046390000}"/>
    <cellStyle name="20% - Accent5 2 7 3 2 5" xfId="18676" xr:uid="{00000000-0005-0000-0000-000047390000}"/>
    <cellStyle name="20% - Accent5 2 7 3 3" xfId="23539" xr:uid="{00000000-0005-0000-0000-000048390000}"/>
    <cellStyle name="20% - Accent5 2 7 3 4" xfId="33264" xr:uid="{00000000-0005-0000-0000-000049390000}"/>
    <cellStyle name="20% - Accent5 2 7 3 5" xfId="42989" xr:uid="{00000000-0005-0000-0000-00004A390000}"/>
    <cellStyle name="20% - Accent5 2 7 3 6" xfId="13814" xr:uid="{00000000-0005-0000-0000-00004B390000}"/>
    <cellStyle name="20% - Accent5 2 7 4" xfId="5710" xr:uid="{00000000-0005-0000-0000-00004C390000}"/>
    <cellStyle name="20% - Accent5 2 7 4 2" xfId="25161" xr:uid="{00000000-0005-0000-0000-00004D390000}"/>
    <cellStyle name="20% - Accent5 2 7 4 3" xfId="34886" xr:uid="{00000000-0005-0000-0000-00004E390000}"/>
    <cellStyle name="20% - Accent5 2 7 4 4" xfId="44611" xr:uid="{00000000-0005-0000-0000-00004F390000}"/>
    <cellStyle name="20% - Accent5 2 7 4 5" xfId="15436" xr:uid="{00000000-0005-0000-0000-000050390000}"/>
    <cellStyle name="20% - Accent5 2 7 5" xfId="20299" xr:uid="{00000000-0005-0000-0000-000051390000}"/>
    <cellStyle name="20% - Accent5 2 7 6" xfId="30024" xr:uid="{00000000-0005-0000-0000-000052390000}"/>
    <cellStyle name="20% - Accent5 2 7 7" xfId="39749" xr:uid="{00000000-0005-0000-0000-000053390000}"/>
    <cellStyle name="20% - Accent5 2 7 8" xfId="10574" xr:uid="{00000000-0005-0000-0000-000054390000}"/>
    <cellStyle name="20% - Accent5 2 8" xfId="1207" xr:uid="{00000000-0005-0000-0000-000055390000}"/>
    <cellStyle name="20% - Accent5 2 8 2" xfId="2828" xr:uid="{00000000-0005-0000-0000-000056390000}"/>
    <cellStyle name="20% - Accent5 2 8 2 2" xfId="7690" xr:uid="{00000000-0005-0000-0000-000057390000}"/>
    <cellStyle name="20% - Accent5 2 8 2 2 2" xfId="27141" xr:uid="{00000000-0005-0000-0000-000058390000}"/>
    <cellStyle name="20% - Accent5 2 8 2 2 3" xfId="36866" xr:uid="{00000000-0005-0000-0000-000059390000}"/>
    <cellStyle name="20% - Accent5 2 8 2 2 4" xfId="46591" xr:uid="{00000000-0005-0000-0000-00005A390000}"/>
    <cellStyle name="20% - Accent5 2 8 2 2 5" xfId="17416" xr:uid="{00000000-0005-0000-0000-00005B390000}"/>
    <cellStyle name="20% - Accent5 2 8 2 3" xfId="22279" xr:uid="{00000000-0005-0000-0000-00005C390000}"/>
    <cellStyle name="20% - Accent5 2 8 2 4" xfId="32004" xr:uid="{00000000-0005-0000-0000-00005D390000}"/>
    <cellStyle name="20% - Accent5 2 8 2 5" xfId="41729" xr:uid="{00000000-0005-0000-0000-00005E390000}"/>
    <cellStyle name="20% - Accent5 2 8 2 6" xfId="12554" xr:uid="{00000000-0005-0000-0000-00005F390000}"/>
    <cellStyle name="20% - Accent5 2 8 3" xfId="4448" xr:uid="{00000000-0005-0000-0000-000060390000}"/>
    <cellStyle name="20% - Accent5 2 8 3 2" xfId="9310" xr:uid="{00000000-0005-0000-0000-000061390000}"/>
    <cellStyle name="20% - Accent5 2 8 3 2 2" xfId="28761" xr:uid="{00000000-0005-0000-0000-000062390000}"/>
    <cellStyle name="20% - Accent5 2 8 3 2 3" xfId="38486" xr:uid="{00000000-0005-0000-0000-000063390000}"/>
    <cellStyle name="20% - Accent5 2 8 3 2 4" xfId="48211" xr:uid="{00000000-0005-0000-0000-000064390000}"/>
    <cellStyle name="20% - Accent5 2 8 3 2 5" xfId="19036" xr:uid="{00000000-0005-0000-0000-000065390000}"/>
    <cellStyle name="20% - Accent5 2 8 3 3" xfId="23899" xr:uid="{00000000-0005-0000-0000-000066390000}"/>
    <cellStyle name="20% - Accent5 2 8 3 4" xfId="33624" xr:uid="{00000000-0005-0000-0000-000067390000}"/>
    <cellStyle name="20% - Accent5 2 8 3 5" xfId="43349" xr:uid="{00000000-0005-0000-0000-000068390000}"/>
    <cellStyle name="20% - Accent5 2 8 3 6" xfId="14174" xr:uid="{00000000-0005-0000-0000-000069390000}"/>
    <cellStyle name="20% - Accent5 2 8 4" xfId="6070" xr:uid="{00000000-0005-0000-0000-00006A390000}"/>
    <cellStyle name="20% - Accent5 2 8 4 2" xfId="25521" xr:uid="{00000000-0005-0000-0000-00006B390000}"/>
    <cellStyle name="20% - Accent5 2 8 4 3" xfId="35246" xr:uid="{00000000-0005-0000-0000-00006C390000}"/>
    <cellStyle name="20% - Accent5 2 8 4 4" xfId="44971" xr:uid="{00000000-0005-0000-0000-00006D390000}"/>
    <cellStyle name="20% - Accent5 2 8 4 5" xfId="15796" xr:uid="{00000000-0005-0000-0000-00006E390000}"/>
    <cellStyle name="20% - Accent5 2 8 5" xfId="20659" xr:uid="{00000000-0005-0000-0000-00006F390000}"/>
    <cellStyle name="20% - Accent5 2 8 6" xfId="30384" xr:uid="{00000000-0005-0000-0000-000070390000}"/>
    <cellStyle name="20% - Accent5 2 8 7" xfId="40109" xr:uid="{00000000-0005-0000-0000-000071390000}"/>
    <cellStyle name="20% - Accent5 2 8 8" xfId="10934" xr:uid="{00000000-0005-0000-0000-000072390000}"/>
    <cellStyle name="20% - Accent5 2 9" xfId="1297" xr:uid="{00000000-0005-0000-0000-000073390000}"/>
    <cellStyle name="20% - Accent5 2 9 2" xfId="2918" xr:uid="{00000000-0005-0000-0000-000074390000}"/>
    <cellStyle name="20% - Accent5 2 9 2 2" xfId="7780" xr:uid="{00000000-0005-0000-0000-000075390000}"/>
    <cellStyle name="20% - Accent5 2 9 2 2 2" xfId="27231" xr:uid="{00000000-0005-0000-0000-000076390000}"/>
    <cellStyle name="20% - Accent5 2 9 2 2 3" xfId="36956" xr:uid="{00000000-0005-0000-0000-000077390000}"/>
    <cellStyle name="20% - Accent5 2 9 2 2 4" xfId="46681" xr:uid="{00000000-0005-0000-0000-000078390000}"/>
    <cellStyle name="20% - Accent5 2 9 2 2 5" xfId="17506" xr:uid="{00000000-0005-0000-0000-000079390000}"/>
    <cellStyle name="20% - Accent5 2 9 2 3" xfId="22369" xr:uid="{00000000-0005-0000-0000-00007A390000}"/>
    <cellStyle name="20% - Accent5 2 9 2 4" xfId="32094" xr:uid="{00000000-0005-0000-0000-00007B390000}"/>
    <cellStyle name="20% - Accent5 2 9 2 5" xfId="41819" xr:uid="{00000000-0005-0000-0000-00007C390000}"/>
    <cellStyle name="20% - Accent5 2 9 2 6" xfId="12644" xr:uid="{00000000-0005-0000-0000-00007D390000}"/>
    <cellStyle name="20% - Accent5 2 9 3" xfId="4538" xr:uid="{00000000-0005-0000-0000-00007E390000}"/>
    <cellStyle name="20% - Accent5 2 9 3 2" xfId="9400" xr:uid="{00000000-0005-0000-0000-00007F390000}"/>
    <cellStyle name="20% - Accent5 2 9 3 2 2" xfId="28851" xr:uid="{00000000-0005-0000-0000-000080390000}"/>
    <cellStyle name="20% - Accent5 2 9 3 2 3" xfId="38576" xr:uid="{00000000-0005-0000-0000-000081390000}"/>
    <cellStyle name="20% - Accent5 2 9 3 2 4" xfId="48301" xr:uid="{00000000-0005-0000-0000-000082390000}"/>
    <cellStyle name="20% - Accent5 2 9 3 2 5" xfId="19126" xr:uid="{00000000-0005-0000-0000-000083390000}"/>
    <cellStyle name="20% - Accent5 2 9 3 3" xfId="23989" xr:uid="{00000000-0005-0000-0000-000084390000}"/>
    <cellStyle name="20% - Accent5 2 9 3 4" xfId="33714" xr:uid="{00000000-0005-0000-0000-000085390000}"/>
    <cellStyle name="20% - Accent5 2 9 3 5" xfId="43439" xr:uid="{00000000-0005-0000-0000-000086390000}"/>
    <cellStyle name="20% - Accent5 2 9 3 6" xfId="14264" xr:uid="{00000000-0005-0000-0000-000087390000}"/>
    <cellStyle name="20% - Accent5 2 9 4" xfId="6160" xr:uid="{00000000-0005-0000-0000-000088390000}"/>
    <cellStyle name="20% - Accent5 2 9 4 2" xfId="25611" xr:uid="{00000000-0005-0000-0000-000089390000}"/>
    <cellStyle name="20% - Accent5 2 9 4 3" xfId="35336" xr:uid="{00000000-0005-0000-0000-00008A390000}"/>
    <cellStyle name="20% - Accent5 2 9 4 4" xfId="45061" xr:uid="{00000000-0005-0000-0000-00008B390000}"/>
    <cellStyle name="20% - Accent5 2 9 4 5" xfId="15886" xr:uid="{00000000-0005-0000-0000-00008C390000}"/>
    <cellStyle name="20% - Accent5 2 9 5" xfId="20749" xr:uid="{00000000-0005-0000-0000-00008D390000}"/>
    <cellStyle name="20% - Accent5 2 9 6" xfId="30474" xr:uid="{00000000-0005-0000-0000-00008E390000}"/>
    <cellStyle name="20% - Accent5 2 9 7" xfId="40199" xr:uid="{00000000-0005-0000-0000-00008F390000}"/>
    <cellStyle name="20% - Accent5 2 9 8" xfId="11024" xr:uid="{00000000-0005-0000-0000-000090390000}"/>
    <cellStyle name="20% - Accent5 2_Database (All)" xfId="1170" xr:uid="{00000000-0005-0000-0000-000091390000}"/>
    <cellStyle name="20% - Accent5 20" xfId="9840" xr:uid="{00000000-0005-0000-0000-000092390000}"/>
    <cellStyle name="20% - Accent5 3" xfId="80" xr:uid="{00000000-0005-0000-0000-000093390000}"/>
    <cellStyle name="20% - Accent5 3 10" xfId="1764" xr:uid="{00000000-0005-0000-0000-000094390000}"/>
    <cellStyle name="20% - Accent5 3 10 2" xfId="6626" xr:uid="{00000000-0005-0000-0000-000095390000}"/>
    <cellStyle name="20% - Accent5 3 10 2 2" xfId="26077" xr:uid="{00000000-0005-0000-0000-000096390000}"/>
    <cellStyle name="20% - Accent5 3 10 2 3" xfId="35802" xr:uid="{00000000-0005-0000-0000-000097390000}"/>
    <cellStyle name="20% - Accent5 3 10 2 4" xfId="45527" xr:uid="{00000000-0005-0000-0000-000098390000}"/>
    <cellStyle name="20% - Accent5 3 10 2 5" xfId="16352" xr:uid="{00000000-0005-0000-0000-000099390000}"/>
    <cellStyle name="20% - Accent5 3 10 3" xfId="21215" xr:uid="{00000000-0005-0000-0000-00009A390000}"/>
    <cellStyle name="20% - Accent5 3 10 4" xfId="30940" xr:uid="{00000000-0005-0000-0000-00009B390000}"/>
    <cellStyle name="20% - Accent5 3 10 5" xfId="40665" xr:uid="{00000000-0005-0000-0000-00009C390000}"/>
    <cellStyle name="20% - Accent5 3 10 6" xfId="11490" xr:uid="{00000000-0005-0000-0000-00009D390000}"/>
    <cellStyle name="20% - Accent5 3 11" xfId="3384" xr:uid="{00000000-0005-0000-0000-00009E390000}"/>
    <cellStyle name="20% - Accent5 3 11 2" xfId="8246" xr:uid="{00000000-0005-0000-0000-00009F390000}"/>
    <cellStyle name="20% - Accent5 3 11 2 2" xfId="27697" xr:uid="{00000000-0005-0000-0000-0000A0390000}"/>
    <cellStyle name="20% - Accent5 3 11 2 3" xfId="37422" xr:uid="{00000000-0005-0000-0000-0000A1390000}"/>
    <cellStyle name="20% - Accent5 3 11 2 4" xfId="47147" xr:uid="{00000000-0005-0000-0000-0000A2390000}"/>
    <cellStyle name="20% - Accent5 3 11 2 5" xfId="17972" xr:uid="{00000000-0005-0000-0000-0000A3390000}"/>
    <cellStyle name="20% - Accent5 3 11 3" xfId="22835" xr:uid="{00000000-0005-0000-0000-0000A4390000}"/>
    <cellStyle name="20% - Accent5 3 11 4" xfId="32560" xr:uid="{00000000-0005-0000-0000-0000A5390000}"/>
    <cellStyle name="20% - Accent5 3 11 5" xfId="42285" xr:uid="{00000000-0005-0000-0000-0000A6390000}"/>
    <cellStyle name="20% - Accent5 3 11 6" xfId="13110" xr:uid="{00000000-0005-0000-0000-0000A7390000}"/>
    <cellStyle name="20% - Accent5 3 12" xfId="5006" xr:uid="{00000000-0005-0000-0000-0000A8390000}"/>
    <cellStyle name="20% - Accent5 3 12 2" xfId="24457" xr:uid="{00000000-0005-0000-0000-0000A9390000}"/>
    <cellStyle name="20% - Accent5 3 12 3" xfId="34182" xr:uid="{00000000-0005-0000-0000-0000AA390000}"/>
    <cellStyle name="20% - Accent5 3 12 4" xfId="43907" xr:uid="{00000000-0005-0000-0000-0000AB390000}"/>
    <cellStyle name="20% - Accent5 3 12 5" xfId="14732" xr:uid="{00000000-0005-0000-0000-0000AC390000}"/>
    <cellStyle name="20% - Accent5 3 13" xfId="19595" xr:uid="{00000000-0005-0000-0000-0000AD390000}"/>
    <cellStyle name="20% - Accent5 3 14" xfId="29320" xr:uid="{00000000-0005-0000-0000-0000AE390000}"/>
    <cellStyle name="20% - Accent5 3 15" xfId="39045" xr:uid="{00000000-0005-0000-0000-0000AF390000}"/>
    <cellStyle name="20% - Accent5 3 16" xfId="9870" xr:uid="{00000000-0005-0000-0000-0000B0390000}"/>
    <cellStyle name="20% - Accent5 3 2" xfId="262" xr:uid="{00000000-0005-0000-0000-0000B1390000}"/>
    <cellStyle name="20% - Accent5 3 2 10" xfId="39225" xr:uid="{00000000-0005-0000-0000-0000B2390000}"/>
    <cellStyle name="20% - Accent5 3 2 11" xfId="10050" xr:uid="{00000000-0005-0000-0000-0000B3390000}"/>
    <cellStyle name="20% - Accent5 3 2 2" xfId="1026" xr:uid="{00000000-0005-0000-0000-0000B4390000}"/>
    <cellStyle name="20% - Accent5 3 2 2 2" xfId="2664" xr:uid="{00000000-0005-0000-0000-0000B5390000}"/>
    <cellStyle name="20% - Accent5 3 2 2 2 2" xfId="7526" xr:uid="{00000000-0005-0000-0000-0000B6390000}"/>
    <cellStyle name="20% - Accent5 3 2 2 2 2 2" xfId="26977" xr:uid="{00000000-0005-0000-0000-0000B7390000}"/>
    <cellStyle name="20% - Accent5 3 2 2 2 2 3" xfId="36702" xr:uid="{00000000-0005-0000-0000-0000B8390000}"/>
    <cellStyle name="20% - Accent5 3 2 2 2 2 4" xfId="46427" xr:uid="{00000000-0005-0000-0000-0000B9390000}"/>
    <cellStyle name="20% - Accent5 3 2 2 2 2 5" xfId="17252" xr:uid="{00000000-0005-0000-0000-0000BA390000}"/>
    <cellStyle name="20% - Accent5 3 2 2 2 3" xfId="22115" xr:uid="{00000000-0005-0000-0000-0000BB390000}"/>
    <cellStyle name="20% - Accent5 3 2 2 2 4" xfId="31840" xr:uid="{00000000-0005-0000-0000-0000BC390000}"/>
    <cellStyle name="20% - Accent5 3 2 2 2 5" xfId="41565" xr:uid="{00000000-0005-0000-0000-0000BD390000}"/>
    <cellStyle name="20% - Accent5 3 2 2 2 6" xfId="12390" xr:uid="{00000000-0005-0000-0000-0000BE390000}"/>
    <cellStyle name="20% - Accent5 3 2 2 3" xfId="4284" xr:uid="{00000000-0005-0000-0000-0000BF390000}"/>
    <cellStyle name="20% - Accent5 3 2 2 3 2" xfId="9146" xr:uid="{00000000-0005-0000-0000-0000C0390000}"/>
    <cellStyle name="20% - Accent5 3 2 2 3 2 2" xfId="28597" xr:uid="{00000000-0005-0000-0000-0000C1390000}"/>
    <cellStyle name="20% - Accent5 3 2 2 3 2 3" xfId="38322" xr:uid="{00000000-0005-0000-0000-0000C2390000}"/>
    <cellStyle name="20% - Accent5 3 2 2 3 2 4" xfId="48047" xr:uid="{00000000-0005-0000-0000-0000C3390000}"/>
    <cellStyle name="20% - Accent5 3 2 2 3 2 5" xfId="18872" xr:uid="{00000000-0005-0000-0000-0000C4390000}"/>
    <cellStyle name="20% - Accent5 3 2 2 3 3" xfId="23735" xr:uid="{00000000-0005-0000-0000-0000C5390000}"/>
    <cellStyle name="20% - Accent5 3 2 2 3 4" xfId="33460" xr:uid="{00000000-0005-0000-0000-0000C6390000}"/>
    <cellStyle name="20% - Accent5 3 2 2 3 5" xfId="43185" xr:uid="{00000000-0005-0000-0000-0000C7390000}"/>
    <cellStyle name="20% - Accent5 3 2 2 3 6" xfId="14010" xr:uid="{00000000-0005-0000-0000-0000C8390000}"/>
    <cellStyle name="20% - Accent5 3 2 2 4" xfId="5906" xr:uid="{00000000-0005-0000-0000-0000C9390000}"/>
    <cellStyle name="20% - Accent5 3 2 2 4 2" xfId="25357" xr:uid="{00000000-0005-0000-0000-0000CA390000}"/>
    <cellStyle name="20% - Accent5 3 2 2 4 3" xfId="35082" xr:uid="{00000000-0005-0000-0000-0000CB390000}"/>
    <cellStyle name="20% - Accent5 3 2 2 4 4" xfId="44807" xr:uid="{00000000-0005-0000-0000-0000CC390000}"/>
    <cellStyle name="20% - Accent5 3 2 2 4 5" xfId="15632" xr:uid="{00000000-0005-0000-0000-0000CD390000}"/>
    <cellStyle name="20% - Accent5 3 2 2 5" xfId="20495" xr:uid="{00000000-0005-0000-0000-0000CE390000}"/>
    <cellStyle name="20% - Accent5 3 2 2 6" xfId="30220" xr:uid="{00000000-0005-0000-0000-0000CF390000}"/>
    <cellStyle name="20% - Accent5 3 2 2 7" xfId="39945" xr:uid="{00000000-0005-0000-0000-0000D0390000}"/>
    <cellStyle name="20% - Accent5 3 2 2 8" xfId="10770" xr:uid="{00000000-0005-0000-0000-0000D1390000}"/>
    <cellStyle name="20% - Accent5 3 2 3" xfId="1493" xr:uid="{00000000-0005-0000-0000-0000D2390000}"/>
    <cellStyle name="20% - Accent5 3 2 3 2" xfId="3114" xr:uid="{00000000-0005-0000-0000-0000D3390000}"/>
    <cellStyle name="20% - Accent5 3 2 3 2 2" xfId="7976" xr:uid="{00000000-0005-0000-0000-0000D4390000}"/>
    <cellStyle name="20% - Accent5 3 2 3 2 2 2" xfId="27427" xr:uid="{00000000-0005-0000-0000-0000D5390000}"/>
    <cellStyle name="20% - Accent5 3 2 3 2 2 3" xfId="37152" xr:uid="{00000000-0005-0000-0000-0000D6390000}"/>
    <cellStyle name="20% - Accent5 3 2 3 2 2 4" xfId="46877" xr:uid="{00000000-0005-0000-0000-0000D7390000}"/>
    <cellStyle name="20% - Accent5 3 2 3 2 2 5" xfId="17702" xr:uid="{00000000-0005-0000-0000-0000D8390000}"/>
    <cellStyle name="20% - Accent5 3 2 3 2 3" xfId="22565" xr:uid="{00000000-0005-0000-0000-0000D9390000}"/>
    <cellStyle name="20% - Accent5 3 2 3 2 4" xfId="32290" xr:uid="{00000000-0005-0000-0000-0000DA390000}"/>
    <cellStyle name="20% - Accent5 3 2 3 2 5" xfId="42015" xr:uid="{00000000-0005-0000-0000-0000DB390000}"/>
    <cellStyle name="20% - Accent5 3 2 3 2 6" xfId="12840" xr:uid="{00000000-0005-0000-0000-0000DC390000}"/>
    <cellStyle name="20% - Accent5 3 2 3 3" xfId="4734" xr:uid="{00000000-0005-0000-0000-0000DD390000}"/>
    <cellStyle name="20% - Accent5 3 2 3 3 2" xfId="9596" xr:uid="{00000000-0005-0000-0000-0000DE390000}"/>
    <cellStyle name="20% - Accent5 3 2 3 3 2 2" xfId="29047" xr:uid="{00000000-0005-0000-0000-0000DF390000}"/>
    <cellStyle name="20% - Accent5 3 2 3 3 2 3" xfId="38772" xr:uid="{00000000-0005-0000-0000-0000E0390000}"/>
    <cellStyle name="20% - Accent5 3 2 3 3 2 4" xfId="48497" xr:uid="{00000000-0005-0000-0000-0000E1390000}"/>
    <cellStyle name="20% - Accent5 3 2 3 3 2 5" xfId="19322" xr:uid="{00000000-0005-0000-0000-0000E2390000}"/>
    <cellStyle name="20% - Accent5 3 2 3 3 3" xfId="24185" xr:uid="{00000000-0005-0000-0000-0000E3390000}"/>
    <cellStyle name="20% - Accent5 3 2 3 3 4" xfId="33910" xr:uid="{00000000-0005-0000-0000-0000E4390000}"/>
    <cellStyle name="20% - Accent5 3 2 3 3 5" xfId="43635" xr:uid="{00000000-0005-0000-0000-0000E5390000}"/>
    <cellStyle name="20% - Accent5 3 2 3 3 6" xfId="14460" xr:uid="{00000000-0005-0000-0000-0000E6390000}"/>
    <cellStyle name="20% - Accent5 3 2 3 4" xfId="6356" xr:uid="{00000000-0005-0000-0000-0000E7390000}"/>
    <cellStyle name="20% - Accent5 3 2 3 4 2" xfId="25807" xr:uid="{00000000-0005-0000-0000-0000E8390000}"/>
    <cellStyle name="20% - Accent5 3 2 3 4 3" xfId="35532" xr:uid="{00000000-0005-0000-0000-0000E9390000}"/>
    <cellStyle name="20% - Accent5 3 2 3 4 4" xfId="45257" xr:uid="{00000000-0005-0000-0000-0000EA390000}"/>
    <cellStyle name="20% - Accent5 3 2 3 4 5" xfId="16082" xr:uid="{00000000-0005-0000-0000-0000EB390000}"/>
    <cellStyle name="20% - Accent5 3 2 3 5" xfId="20945" xr:uid="{00000000-0005-0000-0000-0000EC390000}"/>
    <cellStyle name="20% - Accent5 3 2 3 6" xfId="30670" xr:uid="{00000000-0005-0000-0000-0000ED390000}"/>
    <cellStyle name="20% - Accent5 3 2 3 7" xfId="40395" xr:uid="{00000000-0005-0000-0000-0000EE390000}"/>
    <cellStyle name="20% - Accent5 3 2 3 8" xfId="11220" xr:uid="{00000000-0005-0000-0000-0000EF390000}"/>
    <cellStyle name="20% - Accent5 3 2 4" xfId="664" xr:uid="{00000000-0005-0000-0000-0000F0390000}"/>
    <cellStyle name="20% - Accent5 3 2 4 2" xfId="2304" xr:uid="{00000000-0005-0000-0000-0000F1390000}"/>
    <cellStyle name="20% - Accent5 3 2 4 2 2" xfId="7166" xr:uid="{00000000-0005-0000-0000-0000F2390000}"/>
    <cellStyle name="20% - Accent5 3 2 4 2 2 2" xfId="26617" xr:uid="{00000000-0005-0000-0000-0000F3390000}"/>
    <cellStyle name="20% - Accent5 3 2 4 2 2 3" xfId="36342" xr:uid="{00000000-0005-0000-0000-0000F4390000}"/>
    <cellStyle name="20% - Accent5 3 2 4 2 2 4" xfId="46067" xr:uid="{00000000-0005-0000-0000-0000F5390000}"/>
    <cellStyle name="20% - Accent5 3 2 4 2 2 5" xfId="16892" xr:uid="{00000000-0005-0000-0000-0000F6390000}"/>
    <cellStyle name="20% - Accent5 3 2 4 2 3" xfId="21755" xr:uid="{00000000-0005-0000-0000-0000F7390000}"/>
    <cellStyle name="20% - Accent5 3 2 4 2 4" xfId="31480" xr:uid="{00000000-0005-0000-0000-0000F8390000}"/>
    <cellStyle name="20% - Accent5 3 2 4 2 5" xfId="41205" xr:uid="{00000000-0005-0000-0000-0000F9390000}"/>
    <cellStyle name="20% - Accent5 3 2 4 2 6" xfId="12030" xr:uid="{00000000-0005-0000-0000-0000FA390000}"/>
    <cellStyle name="20% - Accent5 3 2 4 3" xfId="3924" xr:uid="{00000000-0005-0000-0000-0000FB390000}"/>
    <cellStyle name="20% - Accent5 3 2 4 3 2" xfId="8786" xr:uid="{00000000-0005-0000-0000-0000FC390000}"/>
    <cellStyle name="20% - Accent5 3 2 4 3 2 2" xfId="28237" xr:uid="{00000000-0005-0000-0000-0000FD390000}"/>
    <cellStyle name="20% - Accent5 3 2 4 3 2 3" xfId="37962" xr:uid="{00000000-0005-0000-0000-0000FE390000}"/>
    <cellStyle name="20% - Accent5 3 2 4 3 2 4" xfId="47687" xr:uid="{00000000-0005-0000-0000-0000FF390000}"/>
    <cellStyle name="20% - Accent5 3 2 4 3 2 5" xfId="18512" xr:uid="{00000000-0005-0000-0000-0000003A0000}"/>
    <cellStyle name="20% - Accent5 3 2 4 3 3" xfId="23375" xr:uid="{00000000-0005-0000-0000-0000013A0000}"/>
    <cellStyle name="20% - Accent5 3 2 4 3 4" xfId="33100" xr:uid="{00000000-0005-0000-0000-0000023A0000}"/>
    <cellStyle name="20% - Accent5 3 2 4 3 5" xfId="42825" xr:uid="{00000000-0005-0000-0000-0000033A0000}"/>
    <cellStyle name="20% - Accent5 3 2 4 3 6" xfId="13650" xr:uid="{00000000-0005-0000-0000-0000043A0000}"/>
    <cellStyle name="20% - Accent5 3 2 4 4" xfId="5546" xr:uid="{00000000-0005-0000-0000-0000053A0000}"/>
    <cellStyle name="20% - Accent5 3 2 4 4 2" xfId="24997" xr:uid="{00000000-0005-0000-0000-0000063A0000}"/>
    <cellStyle name="20% - Accent5 3 2 4 4 3" xfId="34722" xr:uid="{00000000-0005-0000-0000-0000073A0000}"/>
    <cellStyle name="20% - Accent5 3 2 4 4 4" xfId="44447" xr:uid="{00000000-0005-0000-0000-0000083A0000}"/>
    <cellStyle name="20% - Accent5 3 2 4 4 5" xfId="15272" xr:uid="{00000000-0005-0000-0000-0000093A0000}"/>
    <cellStyle name="20% - Accent5 3 2 4 5" xfId="20135" xr:uid="{00000000-0005-0000-0000-00000A3A0000}"/>
    <cellStyle name="20% - Accent5 3 2 4 6" xfId="29860" xr:uid="{00000000-0005-0000-0000-00000B3A0000}"/>
    <cellStyle name="20% - Accent5 3 2 4 7" xfId="39585" xr:uid="{00000000-0005-0000-0000-00000C3A0000}"/>
    <cellStyle name="20% - Accent5 3 2 4 8" xfId="10410" xr:uid="{00000000-0005-0000-0000-00000D3A0000}"/>
    <cellStyle name="20% - Accent5 3 2 5" xfId="1944" xr:uid="{00000000-0005-0000-0000-00000E3A0000}"/>
    <cellStyle name="20% - Accent5 3 2 5 2" xfId="6806" xr:uid="{00000000-0005-0000-0000-00000F3A0000}"/>
    <cellStyle name="20% - Accent5 3 2 5 2 2" xfId="26257" xr:uid="{00000000-0005-0000-0000-0000103A0000}"/>
    <cellStyle name="20% - Accent5 3 2 5 2 3" xfId="35982" xr:uid="{00000000-0005-0000-0000-0000113A0000}"/>
    <cellStyle name="20% - Accent5 3 2 5 2 4" xfId="45707" xr:uid="{00000000-0005-0000-0000-0000123A0000}"/>
    <cellStyle name="20% - Accent5 3 2 5 2 5" xfId="16532" xr:uid="{00000000-0005-0000-0000-0000133A0000}"/>
    <cellStyle name="20% - Accent5 3 2 5 3" xfId="21395" xr:uid="{00000000-0005-0000-0000-0000143A0000}"/>
    <cellStyle name="20% - Accent5 3 2 5 4" xfId="31120" xr:uid="{00000000-0005-0000-0000-0000153A0000}"/>
    <cellStyle name="20% - Accent5 3 2 5 5" xfId="40845" xr:uid="{00000000-0005-0000-0000-0000163A0000}"/>
    <cellStyle name="20% - Accent5 3 2 5 6" xfId="11670" xr:uid="{00000000-0005-0000-0000-0000173A0000}"/>
    <cellStyle name="20% - Accent5 3 2 6" xfId="3564" xr:uid="{00000000-0005-0000-0000-0000183A0000}"/>
    <cellStyle name="20% - Accent5 3 2 6 2" xfId="8426" xr:uid="{00000000-0005-0000-0000-0000193A0000}"/>
    <cellStyle name="20% - Accent5 3 2 6 2 2" xfId="27877" xr:uid="{00000000-0005-0000-0000-00001A3A0000}"/>
    <cellStyle name="20% - Accent5 3 2 6 2 3" xfId="37602" xr:uid="{00000000-0005-0000-0000-00001B3A0000}"/>
    <cellStyle name="20% - Accent5 3 2 6 2 4" xfId="47327" xr:uid="{00000000-0005-0000-0000-00001C3A0000}"/>
    <cellStyle name="20% - Accent5 3 2 6 2 5" xfId="18152" xr:uid="{00000000-0005-0000-0000-00001D3A0000}"/>
    <cellStyle name="20% - Accent5 3 2 6 3" xfId="23015" xr:uid="{00000000-0005-0000-0000-00001E3A0000}"/>
    <cellStyle name="20% - Accent5 3 2 6 4" xfId="32740" xr:uid="{00000000-0005-0000-0000-00001F3A0000}"/>
    <cellStyle name="20% - Accent5 3 2 6 5" xfId="42465" xr:uid="{00000000-0005-0000-0000-0000203A0000}"/>
    <cellStyle name="20% - Accent5 3 2 6 6" xfId="13290" xr:uid="{00000000-0005-0000-0000-0000213A0000}"/>
    <cellStyle name="20% - Accent5 3 2 7" xfId="5186" xr:uid="{00000000-0005-0000-0000-0000223A0000}"/>
    <cellStyle name="20% - Accent5 3 2 7 2" xfId="24637" xr:uid="{00000000-0005-0000-0000-0000233A0000}"/>
    <cellStyle name="20% - Accent5 3 2 7 3" xfId="34362" xr:uid="{00000000-0005-0000-0000-0000243A0000}"/>
    <cellStyle name="20% - Accent5 3 2 7 4" xfId="44087" xr:uid="{00000000-0005-0000-0000-0000253A0000}"/>
    <cellStyle name="20% - Accent5 3 2 7 5" xfId="14912" xr:uid="{00000000-0005-0000-0000-0000263A0000}"/>
    <cellStyle name="20% - Accent5 3 2 8" xfId="19775" xr:uid="{00000000-0005-0000-0000-0000273A0000}"/>
    <cellStyle name="20% - Accent5 3 2 9" xfId="29500" xr:uid="{00000000-0005-0000-0000-0000283A0000}"/>
    <cellStyle name="20% - Accent5 3 3" xfId="353" xr:uid="{00000000-0005-0000-0000-0000293A0000}"/>
    <cellStyle name="20% - Accent5 3 3 10" xfId="39315" xr:uid="{00000000-0005-0000-0000-00002A3A0000}"/>
    <cellStyle name="20% - Accent5 3 3 11" xfId="10140" xr:uid="{00000000-0005-0000-0000-00002B3A0000}"/>
    <cellStyle name="20% - Accent5 3 3 2" xfId="1116" xr:uid="{00000000-0005-0000-0000-00002C3A0000}"/>
    <cellStyle name="20% - Accent5 3 3 2 2" xfId="2754" xr:uid="{00000000-0005-0000-0000-00002D3A0000}"/>
    <cellStyle name="20% - Accent5 3 3 2 2 2" xfId="7616" xr:uid="{00000000-0005-0000-0000-00002E3A0000}"/>
    <cellStyle name="20% - Accent5 3 3 2 2 2 2" xfId="27067" xr:uid="{00000000-0005-0000-0000-00002F3A0000}"/>
    <cellStyle name="20% - Accent5 3 3 2 2 2 3" xfId="36792" xr:uid="{00000000-0005-0000-0000-0000303A0000}"/>
    <cellStyle name="20% - Accent5 3 3 2 2 2 4" xfId="46517" xr:uid="{00000000-0005-0000-0000-0000313A0000}"/>
    <cellStyle name="20% - Accent5 3 3 2 2 2 5" xfId="17342" xr:uid="{00000000-0005-0000-0000-0000323A0000}"/>
    <cellStyle name="20% - Accent5 3 3 2 2 3" xfId="22205" xr:uid="{00000000-0005-0000-0000-0000333A0000}"/>
    <cellStyle name="20% - Accent5 3 3 2 2 4" xfId="31930" xr:uid="{00000000-0005-0000-0000-0000343A0000}"/>
    <cellStyle name="20% - Accent5 3 3 2 2 5" xfId="41655" xr:uid="{00000000-0005-0000-0000-0000353A0000}"/>
    <cellStyle name="20% - Accent5 3 3 2 2 6" xfId="12480" xr:uid="{00000000-0005-0000-0000-0000363A0000}"/>
    <cellStyle name="20% - Accent5 3 3 2 3" xfId="4374" xr:uid="{00000000-0005-0000-0000-0000373A0000}"/>
    <cellStyle name="20% - Accent5 3 3 2 3 2" xfId="9236" xr:uid="{00000000-0005-0000-0000-0000383A0000}"/>
    <cellStyle name="20% - Accent5 3 3 2 3 2 2" xfId="28687" xr:uid="{00000000-0005-0000-0000-0000393A0000}"/>
    <cellStyle name="20% - Accent5 3 3 2 3 2 3" xfId="38412" xr:uid="{00000000-0005-0000-0000-00003A3A0000}"/>
    <cellStyle name="20% - Accent5 3 3 2 3 2 4" xfId="48137" xr:uid="{00000000-0005-0000-0000-00003B3A0000}"/>
    <cellStyle name="20% - Accent5 3 3 2 3 2 5" xfId="18962" xr:uid="{00000000-0005-0000-0000-00003C3A0000}"/>
    <cellStyle name="20% - Accent5 3 3 2 3 3" xfId="23825" xr:uid="{00000000-0005-0000-0000-00003D3A0000}"/>
    <cellStyle name="20% - Accent5 3 3 2 3 4" xfId="33550" xr:uid="{00000000-0005-0000-0000-00003E3A0000}"/>
    <cellStyle name="20% - Accent5 3 3 2 3 5" xfId="43275" xr:uid="{00000000-0005-0000-0000-00003F3A0000}"/>
    <cellStyle name="20% - Accent5 3 3 2 3 6" xfId="14100" xr:uid="{00000000-0005-0000-0000-0000403A0000}"/>
    <cellStyle name="20% - Accent5 3 3 2 4" xfId="5996" xr:uid="{00000000-0005-0000-0000-0000413A0000}"/>
    <cellStyle name="20% - Accent5 3 3 2 4 2" xfId="25447" xr:uid="{00000000-0005-0000-0000-0000423A0000}"/>
    <cellStyle name="20% - Accent5 3 3 2 4 3" xfId="35172" xr:uid="{00000000-0005-0000-0000-0000433A0000}"/>
    <cellStyle name="20% - Accent5 3 3 2 4 4" xfId="44897" xr:uid="{00000000-0005-0000-0000-0000443A0000}"/>
    <cellStyle name="20% - Accent5 3 3 2 4 5" xfId="15722" xr:uid="{00000000-0005-0000-0000-0000453A0000}"/>
    <cellStyle name="20% - Accent5 3 3 2 5" xfId="20585" xr:uid="{00000000-0005-0000-0000-0000463A0000}"/>
    <cellStyle name="20% - Accent5 3 3 2 6" xfId="30310" xr:uid="{00000000-0005-0000-0000-0000473A0000}"/>
    <cellStyle name="20% - Accent5 3 3 2 7" xfId="40035" xr:uid="{00000000-0005-0000-0000-0000483A0000}"/>
    <cellStyle name="20% - Accent5 3 3 2 8" xfId="10860" xr:uid="{00000000-0005-0000-0000-0000493A0000}"/>
    <cellStyle name="20% - Accent5 3 3 3" xfId="1583" xr:uid="{00000000-0005-0000-0000-00004A3A0000}"/>
    <cellStyle name="20% - Accent5 3 3 3 2" xfId="3204" xr:uid="{00000000-0005-0000-0000-00004B3A0000}"/>
    <cellStyle name="20% - Accent5 3 3 3 2 2" xfId="8066" xr:uid="{00000000-0005-0000-0000-00004C3A0000}"/>
    <cellStyle name="20% - Accent5 3 3 3 2 2 2" xfId="27517" xr:uid="{00000000-0005-0000-0000-00004D3A0000}"/>
    <cellStyle name="20% - Accent5 3 3 3 2 2 3" xfId="37242" xr:uid="{00000000-0005-0000-0000-00004E3A0000}"/>
    <cellStyle name="20% - Accent5 3 3 3 2 2 4" xfId="46967" xr:uid="{00000000-0005-0000-0000-00004F3A0000}"/>
    <cellStyle name="20% - Accent5 3 3 3 2 2 5" xfId="17792" xr:uid="{00000000-0005-0000-0000-0000503A0000}"/>
    <cellStyle name="20% - Accent5 3 3 3 2 3" xfId="22655" xr:uid="{00000000-0005-0000-0000-0000513A0000}"/>
    <cellStyle name="20% - Accent5 3 3 3 2 4" xfId="32380" xr:uid="{00000000-0005-0000-0000-0000523A0000}"/>
    <cellStyle name="20% - Accent5 3 3 3 2 5" xfId="42105" xr:uid="{00000000-0005-0000-0000-0000533A0000}"/>
    <cellStyle name="20% - Accent5 3 3 3 2 6" xfId="12930" xr:uid="{00000000-0005-0000-0000-0000543A0000}"/>
    <cellStyle name="20% - Accent5 3 3 3 3" xfId="4824" xr:uid="{00000000-0005-0000-0000-0000553A0000}"/>
    <cellStyle name="20% - Accent5 3 3 3 3 2" xfId="9686" xr:uid="{00000000-0005-0000-0000-0000563A0000}"/>
    <cellStyle name="20% - Accent5 3 3 3 3 2 2" xfId="29137" xr:uid="{00000000-0005-0000-0000-0000573A0000}"/>
    <cellStyle name="20% - Accent5 3 3 3 3 2 3" xfId="38862" xr:uid="{00000000-0005-0000-0000-0000583A0000}"/>
    <cellStyle name="20% - Accent5 3 3 3 3 2 4" xfId="48587" xr:uid="{00000000-0005-0000-0000-0000593A0000}"/>
    <cellStyle name="20% - Accent5 3 3 3 3 2 5" xfId="19412" xr:uid="{00000000-0005-0000-0000-00005A3A0000}"/>
    <cellStyle name="20% - Accent5 3 3 3 3 3" xfId="24275" xr:uid="{00000000-0005-0000-0000-00005B3A0000}"/>
    <cellStyle name="20% - Accent5 3 3 3 3 4" xfId="34000" xr:uid="{00000000-0005-0000-0000-00005C3A0000}"/>
    <cellStyle name="20% - Accent5 3 3 3 3 5" xfId="43725" xr:uid="{00000000-0005-0000-0000-00005D3A0000}"/>
    <cellStyle name="20% - Accent5 3 3 3 3 6" xfId="14550" xr:uid="{00000000-0005-0000-0000-00005E3A0000}"/>
    <cellStyle name="20% - Accent5 3 3 3 4" xfId="6446" xr:uid="{00000000-0005-0000-0000-00005F3A0000}"/>
    <cellStyle name="20% - Accent5 3 3 3 4 2" xfId="25897" xr:uid="{00000000-0005-0000-0000-0000603A0000}"/>
    <cellStyle name="20% - Accent5 3 3 3 4 3" xfId="35622" xr:uid="{00000000-0005-0000-0000-0000613A0000}"/>
    <cellStyle name="20% - Accent5 3 3 3 4 4" xfId="45347" xr:uid="{00000000-0005-0000-0000-0000623A0000}"/>
    <cellStyle name="20% - Accent5 3 3 3 4 5" xfId="16172" xr:uid="{00000000-0005-0000-0000-0000633A0000}"/>
    <cellStyle name="20% - Accent5 3 3 3 5" xfId="21035" xr:uid="{00000000-0005-0000-0000-0000643A0000}"/>
    <cellStyle name="20% - Accent5 3 3 3 6" xfId="30760" xr:uid="{00000000-0005-0000-0000-0000653A0000}"/>
    <cellStyle name="20% - Accent5 3 3 3 7" xfId="40485" xr:uid="{00000000-0005-0000-0000-0000663A0000}"/>
    <cellStyle name="20% - Accent5 3 3 3 8" xfId="11310" xr:uid="{00000000-0005-0000-0000-0000673A0000}"/>
    <cellStyle name="20% - Accent5 3 3 4" xfId="754" xr:uid="{00000000-0005-0000-0000-0000683A0000}"/>
    <cellStyle name="20% - Accent5 3 3 4 2" xfId="2394" xr:uid="{00000000-0005-0000-0000-0000693A0000}"/>
    <cellStyle name="20% - Accent5 3 3 4 2 2" xfId="7256" xr:uid="{00000000-0005-0000-0000-00006A3A0000}"/>
    <cellStyle name="20% - Accent5 3 3 4 2 2 2" xfId="26707" xr:uid="{00000000-0005-0000-0000-00006B3A0000}"/>
    <cellStyle name="20% - Accent5 3 3 4 2 2 3" xfId="36432" xr:uid="{00000000-0005-0000-0000-00006C3A0000}"/>
    <cellStyle name="20% - Accent5 3 3 4 2 2 4" xfId="46157" xr:uid="{00000000-0005-0000-0000-00006D3A0000}"/>
    <cellStyle name="20% - Accent5 3 3 4 2 2 5" xfId="16982" xr:uid="{00000000-0005-0000-0000-00006E3A0000}"/>
    <cellStyle name="20% - Accent5 3 3 4 2 3" xfId="21845" xr:uid="{00000000-0005-0000-0000-00006F3A0000}"/>
    <cellStyle name="20% - Accent5 3 3 4 2 4" xfId="31570" xr:uid="{00000000-0005-0000-0000-0000703A0000}"/>
    <cellStyle name="20% - Accent5 3 3 4 2 5" xfId="41295" xr:uid="{00000000-0005-0000-0000-0000713A0000}"/>
    <cellStyle name="20% - Accent5 3 3 4 2 6" xfId="12120" xr:uid="{00000000-0005-0000-0000-0000723A0000}"/>
    <cellStyle name="20% - Accent5 3 3 4 3" xfId="4014" xr:uid="{00000000-0005-0000-0000-0000733A0000}"/>
    <cellStyle name="20% - Accent5 3 3 4 3 2" xfId="8876" xr:uid="{00000000-0005-0000-0000-0000743A0000}"/>
    <cellStyle name="20% - Accent5 3 3 4 3 2 2" xfId="28327" xr:uid="{00000000-0005-0000-0000-0000753A0000}"/>
    <cellStyle name="20% - Accent5 3 3 4 3 2 3" xfId="38052" xr:uid="{00000000-0005-0000-0000-0000763A0000}"/>
    <cellStyle name="20% - Accent5 3 3 4 3 2 4" xfId="47777" xr:uid="{00000000-0005-0000-0000-0000773A0000}"/>
    <cellStyle name="20% - Accent5 3 3 4 3 2 5" xfId="18602" xr:uid="{00000000-0005-0000-0000-0000783A0000}"/>
    <cellStyle name="20% - Accent5 3 3 4 3 3" xfId="23465" xr:uid="{00000000-0005-0000-0000-0000793A0000}"/>
    <cellStyle name="20% - Accent5 3 3 4 3 4" xfId="33190" xr:uid="{00000000-0005-0000-0000-00007A3A0000}"/>
    <cellStyle name="20% - Accent5 3 3 4 3 5" xfId="42915" xr:uid="{00000000-0005-0000-0000-00007B3A0000}"/>
    <cellStyle name="20% - Accent5 3 3 4 3 6" xfId="13740" xr:uid="{00000000-0005-0000-0000-00007C3A0000}"/>
    <cellStyle name="20% - Accent5 3 3 4 4" xfId="5636" xr:uid="{00000000-0005-0000-0000-00007D3A0000}"/>
    <cellStyle name="20% - Accent5 3 3 4 4 2" xfId="25087" xr:uid="{00000000-0005-0000-0000-00007E3A0000}"/>
    <cellStyle name="20% - Accent5 3 3 4 4 3" xfId="34812" xr:uid="{00000000-0005-0000-0000-00007F3A0000}"/>
    <cellStyle name="20% - Accent5 3 3 4 4 4" xfId="44537" xr:uid="{00000000-0005-0000-0000-0000803A0000}"/>
    <cellStyle name="20% - Accent5 3 3 4 4 5" xfId="15362" xr:uid="{00000000-0005-0000-0000-0000813A0000}"/>
    <cellStyle name="20% - Accent5 3 3 4 5" xfId="20225" xr:uid="{00000000-0005-0000-0000-0000823A0000}"/>
    <cellStyle name="20% - Accent5 3 3 4 6" xfId="29950" xr:uid="{00000000-0005-0000-0000-0000833A0000}"/>
    <cellStyle name="20% - Accent5 3 3 4 7" xfId="39675" xr:uid="{00000000-0005-0000-0000-0000843A0000}"/>
    <cellStyle name="20% - Accent5 3 3 4 8" xfId="10500" xr:uid="{00000000-0005-0000-0000-0000853A0000}"/>
    <cellStyle name="20% - Accent5 3 3 5" xfId="2034" xr:uid="{00000000-0005-0000-0000-0000863A0000}"/>
    <cellStyle name="20% - Accent5 3 3 5 2" xfId="6896" xr:uid="{00000000-0005-0000-0000-0000873A0000}"/>
    <cellStyle name="20% - Accent5 3 3 5 2 2" xfId="26347" xr:uid="{00000000-0005-0000-0000-0000883A0000}"/>
    <cellStyle name="20% - Accent5 3 3 5 2 3" xfId="36072" xr:uid="{00000000-0005-0000-0000-0000893A0000}"/>
    <cellStyle name="20% - Accent5 3 3 5 2 4" xfId="45797" xr:uid="{00000000-0005-0000-0000-00008A3A0000}"/>
    <cellStyle name="20% - Accent5 3 3 5 2 5" xfId="16622" xr:uid="{00000000-0005-0000-0000-00008B3A0000}"/>
    <cellStyle name="20% - Accent5 3 3 5 3" xfId="21485" xr:uid="{00000000-0005-0000-0000-00008C3A0000}"/>
    <cellStyle name="20% - Accent5 3 3 5 4" xfId="31210" xr:uid="{00000000-0005-0000-0000-00008D3A0000}"/>
    <cellStyle name="20% - Accent5 3 3 5 5" xfId="40935" xr:uid="{00000000-0005-0000-0000-00008E3A0000}"/>
    <cellStyle name="20% - Accent5 3 3 5 6" xfId="11760" xr:uid="{00000000-0005-0000-0000-00008F3A0000}"/>
    <cellStyle name="20% - Accent5 3 3 6" xfId="3654" xr:uid="{00000000-0005-0000-0000-0000903A0000}"/>
    <cellStyle name="20% - Accent5 3 3 6 2" xfId="8516" xr:uid="{00000000-0005-0000-0000-0000913A0000}"/>
    <cellStyle name="20% - Accent5 3 3 6 2 2" xfId="27967" xr:uid="{00000000-0005-0000-0000-0000923A0000}"/>
    <cellStyle name="20% - Accent5 3 3 6 2 3" xfId="37692" xr:uid="{00000000-0005-0000-0000-0000933A0000}"/>
    <cellStyle name="20% - Accent5 3 3 6 2 4" xfId="47417" xr:uid="{00000000-0005-0000-0000-0000943A0000}"/>
    <cellStyle name="20% - Accent5 3 3 6 2 5" xfId="18242" xr:uid="{00000000-0005-0000-0000-0000953A0000}"/>
    <cellStyle name="20% - Accent5 3 3 6 3" xfId="23105" xr:uid="{00000000-0005-0000-0000-0000963A0000}"/>
    <cellStyle name="20% - Accent5 3 3 6 4" xfId="32830" xr:uid="{00000000-0005-0000-0000-0000973A0000}"/>
    <cellStyle name="20% - Accent5 3 3 6 5" xfId="42555" xr:uid="{00000000-0005-0000-0000-0000983A0000}"/>
    <cellStyle name="20% - Accent5 3 3 6 6" xfId="13380" xr:uid="{00000000-0005-0000-0000-0000993A0000}"/>
    <cellStyle name="20% - Accent5 3 3 7" xfId="5276" xr:uid="{00000000-0005-0000-0000-00009A3A0000}"/>
    <cellStyle name="20% - Accent5 3 3 7 2" xfId="24727" xr:uid="{00000000-0005-0000-0000-00009B3A0000}"/>
    <cellStyle name="20% - Accent5 3 3 7 3" xfId="34452" xr:uid="{00000000-0005-0000-0000-00009C3A0000}"/>
    <cellStyle name="20% - Accent5 3 3 7 4" xfId="44177" xr:uid="{00000000-0005-0000-0000-00009D3A0000}"/>
    <cellStyle name="20% - Accent5 3 3 7 5" xfId="15002" xr:uid="{00000000-0005-0000-0000-00009E3A0000}"/>
    <cellStyle name="20% - Accent5 3 3 8" xfId="19865" xr:uid="{00000000-0005-0000-0000-00009F3A0000}"/>
    <cellStyle name="20% - Accent5 3 3 9" xfId="29590" xr:uid="{00000000-0005-0000-0000-0000A03A0000}"/>
    <cellStyle name="20% - Accent5 3 4" xfId="171" xr:uid="{00000000-0005-0000-0000-0000A13A0000}"/>
    <cellStyle name="20% - Accent5 3 4 10" xfId="39135" xr:uid="{00000000-0005-0000-0000-0000A23A0000}"/>
    <cellStyle name="20% - Accent5 3 4 11" xfId="9960" xr:uid="{00000000-0005-0000-0000-0000A33A0000}"/>
    <cellStyle name="20% - Accent5 3 4 2" xfId="935" xr:uid="{00000000-0005-0000-0000-0000A43A0000}"/>
    <cellStyle name="20% - Accent5 3 4 2 2" xfId="2574" xr:uid="{00000000-0005-0000-0000-0000A53A0000}"/>
    <cellStyle name="20% - Accent5 3 4 2 2 2" xfId="7436" xr:uid="{00000000-0005-0000-0000-0000A63A0000}"/>
    <cellStyle name="20% - Accent5 3 4 2 2 2 2" xfId="26887" xr:uid="{00000000-0005-0000-0000-0000A73A0000}"/>
    <cellStyle name="20% - Accent5 3 4 2 2 2 3" xfId="36612" xr:uid="{00000000-0005-0000-0000-0000A83A0000}"/>
    <cellStyle name="20% - Accent5 3 4 2 2 2 4" xfId="46337" xr:uid="{00000000-0005-0000-0000-0000A93A0000}"/>
    <cellStyle name="20% - Accent5 3 4 2 2 2 5" xfId="17162" xr:uid="{00000000-0005-0000-0000-0000AA3A0000}"/>
    <cellStyle name="20% - Accent5 3 4 2 2 3" xfId="22025" xr:uid="{00000000-0005-0000-0000-0000AB3A0000}"/>
    <cellStyle name="20% - Accent5 3 4 2 2 4" xfId="31750" xr:uid="{00000000-0005-0000-0000-0000AC3A0000}"/>
    <cellStyle name="20% - Accent5 3 4 2 2 5" xfId="41475" xr:uid="{00000000-0005-0000-0000-0000AD3A0000}"/>
    <cellStyle name="20% - Accent5 3 4 2 2 6" xfId="12300" xr:uid="{00000000-0005-0000-0000-0000AE3A0000}"/>
    <cellStyle name="20% - Accent5 3 4 2 3" xfId="4194" xr:uid="{00000000-0005-0000-0000-0000AF3A0000}"/>
    <cellStyle name="20% - Accent5 3 4 2 3 2" xfId="9056" xr:uid="{00000000-0005-0000-0000-0000B03A0000}"/>
    <cellStyle name="20% - Accent5 3 4 2 3 2 2" xfId="28507" xr:uid="{00000000-0005-0000-0000-0000B13A0000}"/>
    <cellStyle name="20% - Accent5 3 4 2 3 2 3" xfId="38232" xr:uid="{00000000-0005-0000-0000-0000B23A0000}"/>
    <cellStyle name="20% - Accent5 3 4 2 3 2 4" xfId="47957" xr:uid="{00000000-0005-0000-0000-0000B33A0000}"/>
    <cellStyle name="20% - Accent5 3 4 2 3 2 5" xfId="18782" xr:uid="{00000000-0005-0000-0000-0000B43A0000}"/>
    <cellStyle name="20% - Accent5 3 4 2 3 3" xfId="23645" xr:uid="{00000000-0005-0000-0000-0000B53A0000}"/>
    <cellStyle name="20% - Accent5 3 4 2 3 4" xfId="33370" xr:uid="{00000000-0005-0000-0000-0000B63A0000}"/>
    <cellStyle name="20% - Accent5 3 4 2 3 5" xfId="43095" xr:uid="{00000000-0005-0000-0000-0000B73A0000}"/>
    <cellStyle name="20% - Accent5 3 4 2 3 6" xfId="13920" xr:uid="{00000000-0005-0000-0000-0000B83A0000}"/>
    <cellStyle name="20% - Accent5 3 4 2 4" xfId="5816" xr:uid="{00000000-0005-0000-0000-0000B93A0000}"/>
    <cellStyle name="20% - Accent5 3 4 2 4 2" xfId="25267" xr:uid="{00000000-0005-0000-0000-0000BA3A0000}"/>
    <cellStyle name="20% - Accent5 3 4 2 4 3" xfId="34992" xr:uid="{00000000-0005-0000-0000-0000BB3A0000}"/>
    <cellStyle name="20% - Accent5 3 4 2 4 4" xfId="44717" xr:uid="{00000000-0005-0000-0000-0000BC3A0000}"/>
    <cellStyle name="20% - Accent5 3 4 2 4 5" xfId="15542" xr:uid="{00000000-0005-0000-0000-0000BD3A0000}"/>
    <cellStyle name="20% - Accent5 3 4 2 5" xfId="20405" xr:uid="{00000000-0005-0000-0000-0000BE3A0000}"/>
    <cellStyle name="20% - Accent5 3 4 2 6" xfId="30130" xr:uid="{00000000-0005-0000-0000-0000BF3A0000}"/>
    <cellStyle name="20% - Accent5 3 4 2 7" xfId="39855" xr:uid="{00000000-0005-0000-0000-0000C03A0000}"/>
    <cellStyle name="20% - Accent5 3 4 2 8" xfId="10680" xr:uid="{00000000-0005-0000-0000-0000C13A0000}"/>
    <cellStyle name="20% - Accent5 3 4 3" xfId="1403" xr:uid="{00000000-0005-0000-0000-0000C23A0000}"/>
    <cellStyle name="20% - Accent5 3 4 3 2" xfId="3024" xr:uid="{00000000-0005-0000-0000-0000C33A0000}"/>
    <cellStyle name="20% - Accent5 3 4 3 2 2" xfId="7886" xr:uid="{00000000-0005-0000-0000-0000C43A0000}"/>
    <cellStyle name="20% - Accent5 3 4 3 2 2 2" xfId="27337" xr:uid="{00000000-0005-0000-0000-0000C53A0000}"/>
    <cellStyle name="20% - Accent5 3 4 3 2 2 3" xfId="37062" xr:uid="{00000000-0005-0000-0000-0000C63A0000}"/>
    <cellStyle name="20% - Accent5 3 4 3 2 2 4" xfId="46787" xr:uid="{00000000-0005-0000-0000-0000C73A0000}"/>
    <cellStyle name="20% - Accent5 3 4 3 2 2 5" xfId="17612" xr:uid="{00000000-0005-0000-0000-0000C83A0000}"/>
    <cellStyle name="20% - Accent5 3 4 3 2 3" xfId="22475" xr:uid="{00000000-0005-0000-0000-0000C93A0000}"/>
    <cellStyle name="20% - Accent5 3 4 3 2 4" xfId="32200" xr:uid="{00000000-0005-0000-0000-0000CA3A0000}"/>
    <cellStyle name="20% - Accent5 3 4 3 2 5" xfId="41925" xr:uid="{00000000-0005-0000-0000-0000CB3A0000}"/>
    <cellStyle name="20% - Accent5 3 4 3 2 6" xfId="12750" xr:uid="{00000000-0005-0000-0000-0000CC3A0000}"/>
    <cellStyle name="20% - Accent5 3 4 3 3" xfId="4644" xr:uid="{00000000-0005-0000-0000-0000CD3A0000}"/>
    <cellStyle name="20% - Accent5 3 4 3 3 2" xfId="9506" xr:uid="{00000000-0005-0000-0000-0000CE3A0000}"/>
    <cellStyle name="20% - Accent5 3 4 3 3 2 2" xfId="28957" xr:uid="{00000000-0005-0000-0000-0000CF3A0000}"/>
    <cellStyle name="20% - Accent5 3 4 3 3 2 3" xfId="38682" xr:uid="{00000000-0005-0000-0000-0000D03A0000}"/>
    <cellStyle name="20% - Accent5 3 4 3 3 2 4" xfId="48407" xr:uid="{00000000-0005-0000-0000-0000D13A0000}"/>
    <cellStyle name="20% - Accent5 3 4 3 3 2 5" xfId="19232" xr:uid="{00000000-0005-0000-0000-0000D23A0000}"/>
    <cellStyle name="20% - Accent5 3 4 3 3 3" xfId="24095" xr:uid="{00000000-0005-0000-0000-0000D33A0000}"/>
    <cellStyle name="20% - Accent5 3 4 3 3 4" xfId="33820" xr:uid="{00000000-0005-0000-0000-0000D43A0000}"/>
    <cellStyle name="20% - Accent5 3 4 3 3 5" xfId="43545" xr:uid="{00000000-0005-0000-0000-0000D53A0000}"/>
    <cellStyle name="20% - Accent5 3 4 3 3 6" xfId="14370" xr:uid="{00000000-0005-0000-0000-0000D63A0000}"/>
    <cellStyle name="20% - Accent5 3 4 3 4" xfId="6266" xr:uid="{00000000-0005-0000-0000-0000D73A0000}"/>
    <cellStyle name="20% - Accent5 3 4 3 4 2" xfId="25717" xr:uid="{00000000-0005-0000-0000-0000D83A0000}"/>
    <cellStyle name="20% - Accent5 3 4 3 4 3" xfId="35442" xr:uid="{00000000-0005-0000-0000-0000D93A0000}"/>
    <cellStyle name="20% - Accent5 3 4 3 4 4" xfId="45167" xr:uid="{00000000-0005-0000-0000-0000DA3A0000}"/>
    <cellStyle name="20% - Accent5 3 4 3 4 5" xfId="15992" xr:uid="{00000000-0005-0000-0000-0000DB3A0000}"/>
    <cellStyle name="20% - Accent5 3 4 3 5" xfId="20855" xr:uid="{00000000-0005-0000-0000-0000DC3A0000}"/>
    <cellStyle name="20% - Accent5 3 4 3 6" xfId="30580" xr:uid="{00000000-0005-0000-0000-0000DD3A0000}"/>
    <cellStyle name="20% - Accent5 3 4 3 7" xfId="40305" xr:uid="{00000000-0005-0000-0000-0000DE3A0000}"/>
    <cellStyle name="20% - Accent5 3 4 3 8" xfId="11130" xr:uid="{00000000-0005-0000-0000-0000DF3A0000}"/>
    <cellStyle name="20% - Accent5 3 4 4" xfId="574" xr:uid="{00000000-0005-0000-0000-0000E03A0000}"/>
    <cellStyle name="20% - Accent5 3 4 4 2" xfId="2214" xr:uid="{00000000-0005-0000-0000-0000E13A0000}"/>
    <cellStyle name="20% - Accent5 3 4 4 2 2" xfId="7076" xr:uid="{00000000-0005-0000-0000-0000E23A0000}"/>
    <cellStyle name="20% - Accent5 3 4 4 2 2 2" xfId="26527" xr:uid="{00000000-0005-0000-0000-0000E33A0000}"/>
    <cellStyle name="20% - Accent5 3 4 4 2 2 3" xfId="36252" xr:uid="{00000000-0005-0000-0000-0000E43A0000}"/>
    <cellStyle name="20% - Accent5 3 4 4 2 2 4" xfId="45977" xr:uid="{00000000-0005-0000-0000-0000E53A0000}"/>
    <cellStyle name="20% - Accent5 3 4 4 2 2 5" xfId="16802" xr:uid="{00000000-0005-0000-0000-0000E63A0000}"/>
    <cellStyle name="20% - Accent5 3 4 4 2 3" xfId="21665" xr:uid="{00000000-0005-0000-0000-0000E73A0000}"/>
    <cellStyle name="20% - Accent5 3 4 4 2 4" xfId="31390" xr:uid="{00000000-0005-0000-0000-0000E83A0000}"/>
    <cellStyle name="20% - Accent5 3 4 4 2 5" xfId="41115" xr:uid="{00000000-0005-0000-0000-0000E93A0000}"/>
    <cellStyle name="20% - Accent5 3 4 4 2 6" xfId="11940" xr:uid="{00000000-0005-0000-0000-0000EA3A0000}"/>
    <cellStyle name="20% - Accent5 3 4 4 3" xfId="3834" xr:uid="{00000000-0005-0000-0000-0000EB3A0000}"/>
    <cellStyle name="20% - Accent5 3 4 4 3 2" xfId="8696" xr:uid="{00000000-0005-0000-0000-0000EC3A0000}"/>
    <cellStyle name="20% - Accent5 3 4 4 3 2 2" xfId="28147" xr:uid="{00000000-0005-0000-0000-0000ED3A0000}"/>
    <cellStyle name="20% - Accent5 3 4 4 3 2 3" xfId="37872" xr:uid="{00000000-0005-0000-0000-0000EE3A0000}"/>
    <cellStyle name="20% - Accent5 3 4 4 3 2 4" xfId="47597" xr:uid="{00000000-0005-0000-0000-0000EF3A0000}"/>
    <cellStyle name="20% - Accent5 3 4 4 3 2 5" xfId="18422" xr:uid="{00000000-0005-0000-0000-0000F03A0000}"/>
    <cellStyle name="20% - Accent5 3 4 4 3 3" xfId="23285" xr:uid="{00000000-0005-0000-0000-0000F13A0000}"/>
    <cellStyle name="20% - Accent5 3 4 4 3 4" xfId="33010" xr:uid="{00000000-0005-0000-0000-0000F23A0000}"/>
    <cellStyle name="20% - Accent5 3 4 4 3 5" xfId="42735" xr:uid="{00000000-0005-0000-0000-0000F33A0000}"/>
    <cellStyle name="20% - Accent5 3 4 4 3 6" xfId="13560" xr:uid="{00000000-0005-0000-0000-0000F43A0000}"/>
    <cellStyle name="20% - Accent5 3 4 4 4" xfId="5456" xr:uid="{00000000-0005-0000-0000-0000F53A0000}"/>
    <cellStyle name="20% - Accent5 3 4 4 4 2" xfId="24907" xr:uid="{00000000-0005-0000-0000-0000F63A0000}"/>
    <cellStyle name="20% - Accent5 3 4 4 4 3" xfId="34632" xr:uid="{00000000-0005-0000-0000-0000F73A0000}"/>
    <cellStyle name="20% - Accent5 3 4 4 4 4" xfId="44357" xr:uid="{00000000-0005-0000-0000-0000F83A0000}"/>
    <cellStyle name="20% - Accent5 3 4 4 4 5" xfId="15182" xr:uid="{00000000-0005-0000-0000-0000F93A0000}"/>
    <cellStyle name="20% - Accent5 3 4 4 5" xfId="20045" xr:uid="{00000000-0005-0000-0000-0000FA3A0000}"/>
    <cellStyle name="20% - Accent5 3 4 4 6" xfId="29770" xr:uid="{00000000-0005-0000-0000-0000FB3A0000}"/>
    <cellStyle name="20% - Accent5 3 4 4 7" xfId="39495" xr:uid="{00000000-0005-0000-0000-0000FC3A0000}"/>
    <cellStyle name="20% - Accent5 3 4 4 8" xfId="10320" xr:uid="{00000000-0005-0000-0000-0000FD3A0000}"/>
    <cellStyle name="20% - Accent5 3 4 5" xfId="1854" xr:uid="{00000000-0005-0000-0000-0000FE3A0000}"/>
    <cellStyle name="20% - Accent5 3 4 5 2" xfId="6716" xr:uid="{00000000-0005-0000-0000-0000FF3A0000}"/>
    <cellStyle name="20% - Accent5 3 4 5 2 2" xfId="26167" xr:uid="{00000000-0005-0000-0000-0000003B0000}"/>
    <cellStyle name="20% - Accent5 3 4 5 2 3" xfId="35892" xr:uid="{00000000-0005-0000-0000-0000013B0000}"/>
    <cellStyle name="20% - Accent5 3 4 5 2 4" xfId="45617" xr:uid="{00000000-0005-0000-0000-0000023B0000}"/>
    <cellStyle name="20% - Accent5 3 4 5 2 5" xfId="16442" xr:uid="{00000000-0005-0000-0000-0000033B0000}"/>
    <cellStyle name="20% - Accent5 3 4 5 3" xfId="21305" xr:uid="{00000000-0005-0000-0000-0000043B0000}"/>
    <cellStyle name="20% - Accent5 3 4 5 4" xfId="31030" xr:uid="{00000000-0005-0000-0000-0000053B0000}"/>
    <cellStyle name="20% - Accent5 3 4 5 5" xfId="40755" xr:uid="{00000000-0005-0000-0000-0000063B0000}"/>
    <cellStyle name="20% - Accent5 3 4 5 6" xfId="11580" xr:uid="{00000000-0005-0000-0000-0000073B0000}"/>
    <cellStyle name="20% - Accent5 3 4 6" xfId="3474" xr:uid="{00000000-0005-0000-0000-0000083B0000}"/>
    <cellStyle name="20% - Accent5 3 4 6 2" xfId="8336" xr:uid="{00000000-0005-0000-0000-0000093B0000}"/>
    <cellStyle name="20% - Accent5 3 4 6 2 2" xfId="27787" xr:uid="{00000000-0005-0000-0000-00000A3B0000}"/>
    <cellStyle name="20% - Accent5 3 4 6 2 3" xfId="37512" xr:uid="{00000000-0005-0000-0000-00000B3B0000}"/>
    <cellStyle name="20% - Accent5 3 4 6 2 4" xfId="47237" xr:uid="{00000000-0005-0000-0000-00000C3B0000}"/>
    <cellStyle name="20% - Accent5 3 4 6 2 5" xfId="18062" xr:uid="{00000000-0005-0000-0000-00000D3B0000}"/>
    <cellStyle name="20% - Accent5 3 4 6 3" xfId="22925" xr:uid="{00000000-0005-0000-0000-00000E3B0000}"/>
    <cellStyle name="20% - Accent5 3 4 6 4" xfId="32650" xr:uid="{00000000-0005-0000-0000-00000F3B0000}"/>
    <cellStyle name="20% - Accent5 3 4 6 5" xfId="42375" xr:uid="{00000000-0005-0000-0000-0000103B0000}"/>
    <cellStyle name="20% - Accent5 3 4 6 6" xfId="13200" xr:uid="{00000000-0005-0000-0000-0000113B0000}"/>
    <cellStyle name="20% - Accent5 3 4 7" xfId="5096" xr:uid="{00000000-0005-0000-0000-0000123B0000}"/>
    <cellStyle name="20% - Accent5 3 4 7 2" xfId="24547" xr:uid="{00000000-0005-0000-0000-0000133B0000}"/>
    <cellStyle name="20% - Accent5 3 4 7 3" xfId="34272" xr:uid="{00000000-0005-0000-0000-0000143B0000}"/>
    <cellStyle name="20% - Accent5 3 4 7 4" xfId="43997" xr:uid="{00000000-0005-0000-0000-0000153B0000}"/>
    <cellStyle name="20% - Accent5 3 4 7 5" xfId="14822" xr:uid="{00000000-0005-0000-0000-0000163B0000}"/>
    <cellStyle name="20% - Accent5 3 4 8" xfId="19685" xr:uid="{00000000-0005-0000-0000-0000173B0000}"/>
    <cellStyle name="20% - Accent5 3 4 9" xfId="29410" xr:uid="{00000000-0005-0000-0000-0000183B0000}"/>
    <cellStyle name="20% - Accent5 3 5" xfId="845" xr:uid="{00000000-0005-0000-0000-0000193B0000}"/>
    <cellStyle name="20% - Accent5 3 5 2" xfId="2484" xr:uid="{00000000-0005-0000-0000-00001A3B0000}"/>
    <cellStyle name="20% - Accent5 3 5 2 2" xfId="7346" xr:uid="{00000000-0005-0000-0000-00001B3B0000}"/>
    <cellStyle name="20% - Accent5 3 5 2 2 2" xfId="26797" xr:uid="{00000000-0005-0000-0000-00001C3B0000}"/>
    <cellStyle name="20% - Accent5 3 5 2 2 3" xfId="36522" xr:uid="{00000000-0005-0000-0000-00001D3B0000}"/>
    <cellStyle name="20% - Accent5 3 5 2 2 4" xfId="46247" xr:uid="{00000000-0005-0000-0000-00001E3B0000}"/>
    <cellStyle name="20% - Accent5 3 5 2 2 5" xfId="17072" xr:uid="{00000000-0005-0000-0000-00001F3B0000}"/>
    <cellStyle name="20% - Accent5 3 5 2 3" xfId="21935" xr:uid="{00000000-0005-0000-0000-0000203B0000}"/>
    <cellStyle name="20% - Accent5 3 5 2 4" xfId="31660" xr:uid="{00000000-0005-0000-0000-0000213B0000}"/>
    <cellStyle name="20% - Accent5 3 5 2 5" xfId="41385" xr:uid="{00000000-0005-0000-0000-0000223B0000}"/>
    <cellStyle name="20% - Accent5 3 5 2 6" xfId="12210" xr:uid="{00000000-0005-0000-0000-0000233B0000}"/>
    <cellStyle name="20% - Accent5 3 5 3" xfId="4104" xr:uid="{00000000-0005-0000-0000-0000243B0000}"/>
    <cellStyle name="20% - Accent5 3 5 3 2" xfId="8966" xr:uid="{00000000-0005-0000-0000-0000253B0000}"/>
    <cellStyle name="20% - Accent5 3 5 3 2 2" xfId="28417" xr:uid="{00000000-0005-0000-0000-0000263B0000}"/>
    <cellStyle name="20% - Accent5 3 5 3 2 3" xfId="38142" xr:uid="{00000000-0005-0000-0000-0000273B0000}"/>
    <cellStyle name="20% - Accent5 3 5 3 2 4" xfId="47867" xr:uid="{00000000-0005-0000-0000-0000283B0000}"/>
    <cellStyle name="20% - Accent5 3 5 3 2 5" xfId="18692" xr:uid="{00000000-0005-0000-0000-0000293B0000}"/>
    <cellStyle name="20% - Accent5 3 5 3 3" xfId="23555" xr:uid="{00000000-0005-0000-0000-00002A3B0000}"/>
    <cellStyle name="20% - Accent5 3 5 3 4" xfId="33280" xr:uid="{00000000-0005-0000-0000-00002B3B0000}"/>
    <cellStyle name="20% - Accent5 3 5 3 5" xfId="43005" xr:uid="{00000000-0005-0000-0000-00002C3B0000}"/>
    <cellStyle name="20% - Accent5 3 5 3 6" xfId="13830" xr:uid="{00000000-0005-0000-0000-00002D3B0000}"/>
    <cellStyle name="20% - Accent5 3 5 4" xfId="5726" xr:uid="{00000000-0005-0000-0000-00002E3B0000}"/>
    <cellStyle name="20% - Accent5 3 5 4 2" xfId="25177" xr:uid="{00000000-0005-0000-0000-00002F3B0000}"/>
    <cellStyle name="20% - Accent5 3 5 4 3" xfId="34902" xr:uid="{00000000-0005-0000-0000-0000303B0000}"/>
    <cellStyle name="20% - Accent5 3 5 4 4" xfId="44627" xr:uid="{00000000-0005-0000-0000-0000313B0000}"/>
    <cellStyle name="20% - Accent5 3 5 4 5" xfId="15452" xr:uid="{00000000-0005-0000-0000-0000323B0000}"/>
    <cellStyle name="20% - Accent5 3 5 5" xfId="20315" xr:uid="{00000000-0005-0000-0000-0000333B0000}"/>
    <cellStyle name="20% - Accent5 3 5 6" xfId="30040" xr:uid="{00000000-0005-0000-0000-0000343B0000}"/>
    <cellStyle name="20% - Accent5 3 5 7" xfId="39765" xr:uid="{00000000-0005-0000-0000-0000353B0000}"/>
    <cellStyle name="20% - Accent5 3 5 8" xfId="10590" xr:uid="{00000000-0005-0000-0000-0000363B0000}"/>
    <cellStyle name="20% - Accent5 3 6" xfId="1223" xr:uid="{00000000-0005-0000-0000-0000373B0000}"/>
    <cellStyle name="20% - Accent5 3 6 2" xfId="2844" xr:uid="{00000000-0005-0000-0000-0000383B0000}"/>
    <cellStyle name="20% - Accent5 3 6 2 2" xfId="7706" xr:uid="{00000000-0005-0000-0000-0000393B0000}"/>
    <cellStyle name="20% - Accent5 3 6 2 2 2" xfId="27157" xr:uid="{00000000-0005-0000-0000-00003A3B0000}"/>
    <cellStyle name="20% - Accent5 3 6 2 2 3" xfId="36882" xr:uid="{00000000-0005-0000-0000-00003B3B0000}"/>
    <cellStyle name="20% - Accent5 3 6 2 2 4" xfId="46607" xr:uid="{00000000-0005-0000-0000-00003C3B0000}"/>
    <cellStyle name="20% - Accent5 3 6 2 2 5" xfId="17432" xr:uid="{00000000-0005-0000-0000-00003D3B0000}"/>
    <cellStyle name="20% - Accent5 3 6 2 3" xfId="22295" xr:uid="{00000000-0005-0000-0000-00003E3B0000}"/>
    <cellStyle name="20% - Accent5 3 6 2 4" xfId="32020" xr:uid="{00000000-0005-0000-0000-00003F3B0000}"/>
    <cellStyle name="20% - Accent5 3 6 2 5" xfId="41745" xr:uid="{00000000-0005-0000-0000-0000403B0000}"/>
    <cellStyle name="20% - Accent5 3 6 2 6" xfId="12570" xr:uid="{00000000-0005-0000-0000-0000413B0000}"/>
    <cellStyle name="20% - Accent5 3 6 3" xfId="4464" xr:uid="{00000000-0005-0000-0000-0000423B0000}"/>
    <cellStyle name="20% - Accent5 3 6 3 2" xfId="9326" xr:uid="{00000000-0005-0000-0000-0000433B0000}"/>
    <cellStyle name="20% - Accent5 3 6 3 2 2" xfId="28777" xr:uid="{00000000-0005-0000-0000-0000443B0000}"/>
    <cellStyle name="20% - Accent5 3 6 3 2 3" xfId="38502" xr:uid="{00000000-0005-0000-0000-0000453B0000}"/>
    <cellStyle name="20% - Accent5 3 6 3 2 4" xfId="48227" xr:uid="{00000000-0005-0000-0000-0000463B0000}"/>
    <cellStyle name="20% - Accent5 3 6 3 2 5" xfId="19052" xr:uid="{00000000-0005-0000-0000-0000473B0000}"/>
    <cellStyle name="20% - Accent5 3 6 3 3" xfId="23915" xr:uid="{00000000-0005-0000-0000-0000483B0000}"/>
    <cellStyle name="20% - Accent5 3 6 3 4" xfId="33640" xr:uid="{00000000-0005-0000-0000-0000493B0000}"/>
    <cellStyle name="20% - Accent5 3 6 3 5" xfId="43365" xr:uid="{00000000-0005-0000-0000-00004A3B0000}"/>
    <cellStyle name="20% - Accent5 3 6 3 6" xfId="14190" xr:uid="{00000000-0005-0000-0000-00004B3B0000}"/>
    <cellStyle name="20% - Accent5 3 6 4" xfId="6086" xr:uid="{00000000-0005-0000-0000-00004C3B0000}"/>
    <cellStyle name="20% - Accent5 3 6 4 2" xfId="25537" xr:uid="{00000000-0005-0000-0000-00004D3B0000}"/>
    <cellStyle name="20% - Accent5 3 6 4 3" xfId="35262" xr:uid="{00000000-0005-0000-0000-00004E3B0000}"/>
    <cellStyle name="20% - Accent5 3 6 4 4" xfId="44987" xr:uid="{00000000-0005-0000-0000-00004F3B0000}"/>
    <cellStyle name="20% - Accent5 3 6 4 5" xfId="15812" xr:uid="{00000000-0005-0000-0000-0000503B0000}"/>
    <cellStyle name="20% - Accent5 3 6 5" xfId="20675" xr:uid="{00000000-0005-0000-0000-0000513B0000}"/>
    <cellStyle name="20% - Accent5 3 6 6" xfId="30400" xr:uid="{00000000-0005-0000-0000-0000523B0000}"/>
    <cellStyle name="20% - Accent5 3 6 7" xfId="40125" xr:uid="{00000000-0005-0000-0000-0000533B0000}"/>
    <cellStyle name="20% - Accent5 3 6 8" xfId="10950" xr:uid="{00000000-0005-0000-0000-0000543B0000}"/>
    <cellStyle name="20% - Accent5 3 7" xfId="1313" xr:uid="{00000000-0005-0000-0000-0000553B0000}"/>
    <cellStyle name="20% - Accent5 3 7 2" xfId="2934" xr:uid="{00000000-0005-0000-0000-0000563B0000}"/>
    <cellStyle name="20% - Accent5 3 7 2 2" xfId="7796" xr:uid="{00000000-0005-0000-0000-0000573B0000}"/>
    <cellStyle name="20% - Accent5 3 7 2 2 2" xfId="27247" xr:uid="{00000000-0005-0000-0000-0000583B0000}"/>
    <cellStyle name="20% - Accent5 3 7 2 2 3" xfId="36972" xr:uid="{00000000-0005-0000-0000-0000593B0000}"/>
    <cellStyle name="20% - Accent5 3 7 2 2 4" xfId="46697" xr:uid="{00000000-0005-0000-0000-00005A3B0000}"/>
    <cellStyle name="20% - Accent5 3 7 2 2 5" xfId="17522" xr:uid="{00000000-0005-0000-0000-00005B3B0000}"/>
    <cellStyle name="20% - Accent5 3 7 2 3" xfId="22385" xr:uid="{00000000-0005-0000-0000-00005C3B0000}"/>
    <cellStyle name="20% - Accent5 3 7 2 4" xfId="32110" xr:uid="{00000000-0005-0000-0000-00005D3B0000}"/>
    <cellStyle name="20% - Accent5 3 7 2 5" xfId="41835" xr:uid="{00000000-0005-0000-0000-00005E3B0000}"/>
    <cellStyle name="20% - Accent5 3 7 2 6" xfId="12660" xr:uid="{00000000-0005-0000-0000-00005F3B0000}"/>
    <cellStyle name="20% - Accent5 3 7 3" xfId="4554" xr:uid="{00000000-0005-0000-0000-0000603B0000}"/>
    <cellStyle name="20% - Accent5 3 7 3 2" xfId="9416" xr:uid="{00000000-0005-0000-0000-0000613B0000}"/>
    <cellStyle name="20% - Accent5 3 7 3 2 2" xfId="28867" xr:uid="{00000000-0005-0000-0000-0000623B0000}"/>
    <cellStyle name="20% - Accent5 3 7 3 2 3" xfId="38592" xr:uid="{00000000-0005-0000-0000-0000633B0000}"/>
    <cellStyle name="20% - Accent5 3 7 3 2 4" xfId="48317" xr:uid="{00000000-0005-0000-0000-0000643B0000}"/>
    <cellStyle name="20% - Accent5 3 7 3 2 5" xfId="19142" xr:uid="{00000000-0005-0000-0000-0000653B0000}"/>
    <cellStyle name="20% - Accent5 3 7 3 3" xfId="24005" xr:uid="{00000000-0005-0000-0000-0000663B0000}"/>
    <cellStyle name="20% - Accent5 3 7 3 4" xfId="33730" xr:uid="{00000000-0005-0000-0000-0000673B0000}"/>
    <cellStyle name="20% - Accent5 3 7 3 5" xfId="43455" xr:uid="{00000000-0005-0000-0000-0000683B0000}"/>
    <cellStyle name="20% - Accent5 3 7 3 6" xfId="14280" xr:uid="{00000000-0005-0000-0000-0000693B0000}"/>
    <cellStyle name="20% - Accent5 3 7 4" xfId="6176" xr:uid="{00000000-0005-0000-0000-00006A3B0000}"/>
    <cellStyle name="20% - Accent5 3 7 4 2" xfId="25627" xr:uid="{00000000-0005-0000-0000-00006B3B0000}"/>
    <cellStyle name="20% - Accent5 3 7 4 3" xfId="35352" xr:uid="{00000000-0005-0000-0000-00006C3B0000}"/>
    <cellStyle name="20% - Accent5 3 7 4 4" xfId="45077" xr:uid="{00000000-0005-0000-0000-00006D3B0000}"/>
    <cellStyle name="20% - Accent5 3 7 4 5" xfId="15902" xr:uid="{00000000-0005-0000-0000-00006E3B0000}"/>
    <cellStyle name="20% - Accent5 3 7 5" xfId="20765" xr:uid="{00000000-0005-0000-0000-00006F3B0000}"/>
    <cellStyle name="20% - Accent5 3 7 6" xfId="30490" xr:uid="{00000000-0005-0000-0000-0000703B0000}"/>
    <cellStyle name="20% - Accent5 3 7 7" xfId="40215" xr:uid="{00000000-0005-0000-0000-0000713B0000}"/>
    <cellStyle name="20% - Accent5 3 7 8" xfId="11040" xr:uid="{00000000-0005-0000-0000-0000723B0000}"/>
    <cellStyle name="20% - Accent5 3 8" xfId="484" xr:uid="{00000000-0005-0000-0000-0000733B0000}"/>
    <cellStyle name="20% - Accent5 3 8 2" xfId="2124" xr:uid="{00000000-0005-0000-0000-0000743B0000}"/>
    <cellStyle name="20% - Accent5 3 8 2 2" xfId="6986" xr:uid="{00000000-0005-0000-0000-0000753B0000}"/>
    <cellStyle name="20% - Accent5 3 8 2 2 2" xfId="26437" xr:uid="{00000000-0005-0000-0000-0000763B0000}"/>
    <cellStyle name="20% - Accent5 3 8 2 2 3" xfId="36162" xr:uid="{00000000-0005-0000-0000-0000773B0000}"/>
    <cellStyle name="20% - Accent5 3 8 2 2 4" xfId="45887" xr:uid="{00000000-0005-0000-0000-0000783B0000}"/>
    <cellStyle name="20% - Accent5 3 8 2 2 5" xfId="16712" xr:uid="{00000000-0005-0000-0000-0000793B0000}"/>
    <cellStyle name="20% - Accent5 3 8 2 3" xfId="21575" xr:uid="{00000000-0005-0000-0000-00007A3B0000}"/>
    <cellStyle name="20% - Accent5 3 8 2 4" xfId="31300" xr:uid="{00000000-0005-0000-0000-00007B3B0000}"/>
    <cellStyle name="20% - Accent5 3 8 2 5" xfId="41025" xr:uid="{00000000-0005-0000-0000-00007C3B0000}"/>
    <cellStyle name="20% - Accent5 3 8 2 6" xfId="11850" xr:uid="{00000000-0005-0000-0000-00007D3B0000}"/>
    <cellStyle name="20% - Accent5 3 8 3" xfId="3744" xr:uid="{00000000-0005-0000-0000-00007E3B0000}"/>
    <cellStyle name="20% - Accent5 3 8 3 2" xfId="8606" xr:uid="{00000000-0005-0000-0000-00007F3B0000}"/>
    <cellStyle name="20% - Accent5 3 8 3 2 2" xfId="28057" xr:uid="{00000000-0005-0000-0000-0000803B0000}"/>
    <cellStyle name="20% - Accent5 3 8 3 2 3" xfId="37782" xr:uid="{00000000-0005-0000-0000-0000813B0000}"/>
    <cellStyle name="20% - Accent5 3 8 3 2 4" xfId="47507" xr:uid="{00000000-0005-0000-0000-0000823B0000}"/>
    <cellStyle name="20% - Accent5 3 8 3 2 5" xfId="18332" xr:uid="{00000000-0005-0000-0000-0000833B0000}"/>
    <cellStyle name="20% - Accent5 3 8 3 3" xfId="23195" xr:uid="{00000000-0005-0000-0000-0000843B0000}"/>
    <cellStyle name="20% - Accent5 3 8 3 4" xfId="32920" xr:uid="{00000000-0005-0000-0000-0000853B0000}"/>
    <cellStyle name="20% - Accent5 3 8 3 5" xfId="42645" xr:uid="{00000000-0005-0000-0000-0000863B0000}"/>
    <cellStyle name="20% - Accent5 3 8 3 6" xfId="13470" xr:uid="{00000000-0005-0000-0000-0000873B0000}"/>
    <cellStyle name="20% - Accent5 3 8 4" xfId="5366" xr:uid="{00000000-0005-0000-0000-0000883B0000}"/>
    <cellStyle name="20% - Accent5 3 8 4 2" xfId="24817" xr:uid="{00000000-0005-0000-0000-0000893B0000}"/>
    <cellStyle name="20% - Accent5 3 8 4 3" xfId="34542" xr:uid="{00000000-0005-0000-0000-00008A3B0000}"/>
    <cellStyle name="20% - Accent5 3 8 4 4" xfId="44267" xr:uid="{00000000-0005-0000-0000-00008B3B0000}"/>
    <cellStyle name="20% - Accent5 3 8 4 5" xfId="15092" xr:uid="{00000000-0005-0000-0000-00008C3B0000}"/>
    <cellStyle name="20% - Accent5 3 8 5" xfId="19955" xr:uid="{00000000-0005-0000-0000-00008D3B0000}"/>
    <cellStyle name="20% - Accent5 3 8 6" xfId="29680" xr:uid="{00000000-0005-0000-0000-00008E3B0000}"/>
    <cellStyle name="20% - Accent5 3 8 7" xfId="39405" xr:uid="{00000000-0005-0000-0000-00008F3B0000}"/>
    <cellStyle name="20% - Accent5 3 8 8" xfId="10230" xr:uid="{00000000-0005-0000-0000-0000903B0000}"/>
    <cellStyle name="20% - Accent5 3 9" xfId="1673" xr:uid="{00000000-0005-0000-0000-0000913B0000}"/>
    <cellStyle name="20% - Accent5 3 9 2" xfId="3294" xr:uid="{00000000-0005-0000-0000-0000923B0000}"/>
    <cellStyle name="20% - Accent5 3 9 2 2" xfId="8156" xr:uid="{00000000-0005-0000-0000-0000933B0000}"/>
    <cellStyle name="20% - Accent5 3 9 2 2 2" xfId="27607" xr:uid="{00000000-0005-0000-0000-0000943B0000}"/>
    <cellStyle name="20% - Accent5 3 9 2 2 3" xfId="37332" xr:uid="{00000000-0005-0000-0000-0000953B0000}"/>
    <cellStyle name="20% - Accent5 3 9 2 2 4" xfId="47057" xr:uid="{00000000-0005-0000-0000-0000963B0000}"/>
    <cellStyle name="20% - Accent5 3 9 2 2 5" xfId="17882" xr:uid="{00000000-0005-0000-0000-0000973B0000}"/>
    <cellStyle name="20% - Accent5 3 9 2 3" xfId="22745" xr:uid="{00000000-0005-0000-0000-0000983B0000}"/>
    <cellStyle name="20% - Accent5 3 9 2 4" xfId="32470" xr:uid="{00000000-0005-0000-0000-0000993B0000}"/>
    <cellStyle name="20% - Accent5 3 9 2 5" xfId="42195" xr:uid="{00000000-0005-0000-0000-00009A3B0000}"/>
    <cellStyle name="20% - Accent5 3 9 2 6" xfId="13020" xr:uid="{00000000-0005-0000-0000-00009B3B0000}"/>
    <cellStyle name="20% - Accent5 3 9 3" xfId="4914" xr:uid="{00000000-0005-0000-0000-00009C3B0000}"/>
    <cellStyle name="20% - Accent5 3 9 3 2" xfId="9776" xr:uid="{00000000-0005-0000-0000-00009D3B0000}"/>
    <cellStyle name="20% - Accent5 3 9 3 2 2" xfId="29227" xr:uid="{00000000-0005-0000-0000-00009E3B0000}"/>
    <cellStyle name="20% - Accent5 3 9 3 2 3" xfId="38952" xr:uid="{00000000-0005-0000-0000-00009F3B0000}"/>
    <cellStyle name="20% - Accent5 3 9 3 2 4" xfId="48677" xr:uid="{00000000-0005-0000-0000-0000A03B0000}"/>
    <cellStyle name="20% - Accent5 3 9 3 2 5" xfId="19502" xr:uid="{00000000-0005-0000-0000-0000A13B0000}"/>
    <cellStyle name="20% - Accent5 3 9 3 3" xfId="24365" xr:uid="{00000000-0005-0000-0000-0000A23B0000}"/>
    <cellStyle name="20% - Accent5 3 9 3 4" xfId="34090" xr:uid="{00000000-0005-0000-0000-0000A33B0000}"/>
    <cellStyle name="20% - Accent5 3 9 3 5" xfId="43815" xr:uid="{00000000-0005-0000-0000-0000A43B0000}"/>
    <cellStyle name="20% - Accent5 3 9 3 6" xfId="14640" xr:uid="{00000000-0005-0000-0000-0000A53B0000}"/>
    <cellStyle name="20% - Accent5 3 9 4" xfId="6536" xr:uid="{00000000-0005-0000-0000-0000A63B0000}"/>
    <cellStyle name="20% - Accent5 3 9 4 2" xfId="25987" xr:uid="{00000000-0005-0000-0000-0000A73B0000}"/>
    <cellStyle name="20% - Accent5 3 9 4 3" xfId="35712" xr:uid="{00000000-0005-0000-0000-0000A83B0000}"/>
    <cellStyle name="20% - Accent5 3 9 4 4" xfId="45437" xr:uid="{00000000-0005-0000-0000-0000A93B0000}"/>
    <cellStyle name="20% - Accent5 3 9 4 5" xfId="16262" xr:uid="{00000000-0005-0000-0000-0000AA3B0000}"/>
    <cellStyle name="20% - Accent5 3 9 5" xfId="21125" xr:uid="{00000000-0005-0000-0000-0000AB3B0000}"/>
    <cellStyle name="20% - Accent5 3 9 6" xfId="30850" xr:uid="{00000000-0005-0000-0000-0000AC3B0000}"/>
    <cellStyle name="20% - Accent5 3 9 7" xfId="40575" xr:uid="{00000000-0005-0000-0000-0000AD3B0000}"/>
    <cellStyle name="20% - Accent5 3 9 8" xfId="11400" xr:uid="{00000000-0005-0000-0000-0000AE3B0000}"/>
    <cellStyle name="20% - Accent5 4" xfId="110" xr:uid="{00000000-0005-0000-0000-0000AF3B0000}"/>
    <cellStyle name="20% - Accent5 4 10" xfId="1794" xr:uid="{00000000-0005-0000-0000-0000B03B0000}"/>
    <cellStyle name="20% - Accent5 4 10 2" xfId="6656" xr:uid="{00000000-0005-0000-0000-0000B13B0000}"/>
    <cellStyle name="20% - Accent5 4 10 2 2" xfId="26107" xr:uid="{00000000-0005-0000-0000-0000B23B0000}"/>
    <cellStyle name="20% - Accent5 4 10 2 3" xfId="35832" xr:uid="{00000000-0005-0000-0000-0000B33B0000}"/>
    <cellStyle name="20% - Accent5 4 10 2 4" xfId="45557" xr:uid="{00000000-0005-0000-0000-0000B43B0000}"/>
    <cellStyle name="20% - Accent5 4 10 2 5" xfId="16382" xr:uid="{00000000-0005-0000-0000-0000B53B0000}"/>
    <cellStyle name="20% - Accent5 4 10 3" xfId="21245" xr:uid="{00000000-0005-0000-0000-0000B63B0000}"/>
    <cellStyle name="20% - Accent5 4 10 4" xfId="30970" xr:uid="{00000000-0005-0000-0000-0000B73B0000}"/>
    <cellStyle name="20% - Accent5 4 10 5" xfId="40695" xr:uid="{00000000-0005-0000-0000-0000B83B0000}"/>
    <cellStyle name="20% - Accent5 4 10 6" xfId="11520" xr:uid="{00000000-0005-0000-0000-0000B93B0000}"/>
    <cellStyle name="20% - Accent5 4 11" xfId="3414" xr:uid="{00000000-0005-0000-0000-0000BA3B0000}"/>
    <cellStyle name="20% - Accent5 4 11 2" xfId="8276" xr:uid="{00000000-0005-0000-0000-0000BB3B0000}"/>
    <cellStyle name="20% - Accent5 4 11 2 2" xfId="27727" xr:uid="{00000000-0005-0000-0000-0000BC3B0000}"/>
    <cellStyle name="20% - Accent5 4 11 2 3" xfId="37452" xr:uid="{00000000-0005-0000-0000-0000BD3B0000}"/>
    <cellStyle name="20% - Accent5 4 11 2 4" xfId="47177" xr:uid="{00000000-0005-0000-0000-0000BE3B0000}"/>
    <cellStyle name="20% - Accent5 4 11 2 5" xfId="18002" xr:uid="{00000000-0005-0000-0000-0000BF3B0000}"/>
    <cellStyle name="20% - Accent5 4 11 3" xfId="22865" xr:uid="{00000000-0005-0000-0000-0000C03B0000}"/>
    <cellStyle name="20% - Accent5 4 11 4" xfId="32590" xr:uid="{00000000-0005-0000-0000-0000C13B0000}"/>
    <cellStyle name="20% - Accent5 4 11 5" xfId="42315" xr:uid="{00000000-0005-0000-0000-0000C23B0000}"/>
    <cellStyle name="20% - Accent5 4 11 6" xfId="13140" xr:uid="{00000000-0005-0000-0000-0000C33B0000}"/>
    <cellStyle name="20% - Accent5 4 12" xfId="5036" xr:uid="{00000000-0005-0000-0000-0000C43B0000}"/>
    <cellStyle name="20% - Accent5 4 12 2" xfId="24487" xr:uid="{00000000-0005-0000-0000-0000C53B0000}"/>
    <cellStyle name="20% - Accent5 4 12 3" xfId="34212" xr:uid="{00000000-0005-0000-0000-0000C63B0000}"/>
    <cellStyle name="20% - Accent5 4 12 4" xfId="43937" xr:uid="{00000000-0005-0000-0000-0000C73B0000}"/>
    <cellStyle name="20% - Accent5 4 12 5" xfId="14762" xr:uid="{00000000-0005-0000-0000-0000C83B0000}"/>
    <cellStyle name="20% - Accent5 4 13" xfId="19625" xr:uid="{00000000-0005-0000-0000-0000C93B0000}"/>
    <cellStyle name="20% - Accent5 4 14" xfId="29350" xr:uid="{00000000-0005-0000-0000-0000CA3B0000}"/>
    <cellStyle name="20% - Accent5 4 15" xfId="39075" xr:uid="{00000000-0005-0000-0000-0000CB3B0000}"/>
    <cellStyle name="20% - Accent5 4 16" xfId="9900" xr:uid="{00000000-0005-0000-0000-0000CC3B0000}"/>
    <cellStyle name="20% - Accent5 4 2" xfId="292" xr:uid="{00000000-0005-0000-0000-0000CD3B0000}"/>
    <cellStyle name="20% - Accent5 4 2 10" xfId="39255" xr:uid="{00000000-0005-0000-0000-0000CE3B0000}"/>
    <cellStyle name="20% - Accent5 4 2 11" xfId="10080" xr:uid="{00000000-0005-0000-0000-0000CF3B0000}"/>
    <cellStyle name="20% - Accent5 4 2 2" xfId="1056" xr:uid="{00000000-0005-0000-0000-0000D03B0000}"/>
    <cellStyle name="20% - Accent5 4 2 2 2" xfId="2694" xr:uid="{00000000-0005-0000-0000-0000D13B0000}"/>
    <cellStyle name="20% - Accent5 4 2 2 2 2" xfId="7556" xr:uid="{00000000-0005-0000-0000-0000D23B0000}"/>
    <cellStyle name="20% - Accent5 4 2 2 2 2 2" xfId="27007" xr:uid="{00000000-0005-0000-0000-0000D33B0000}"/>
    <cellStyle name="20% - Accent5 4 2 2 2 2 3" xfId="36732" xr:uid="{00000000-0005-0000-0000-0000D43B0000}"/>
    <cellStyle name="20% - Accent5 4 2 2 2 2 4" xfId="46457" xr:uid="{00000000-0005-0000-0000-0000D53B0000}"/>
    <cellStyle name="20% - Accent5 4 2 2 2 2 5" xfId="17282" xr:uid="{00000000-0005-0000-0000-0000D63B0000}"/>
    <cellStyle name="20% - Accent5 4 2 2 2 3" xfId="22145" xr:uid="{00000000-0005-0000-0000-0000D73B0000}"/>
    <cellStyle name="20% - Accent5 4 2 2 2 4" xfId="31870" xr:uid="{00000000-0005-0000-0000-0000D83B0000}"/>
    <cellStyle name="20% - Accent5 4 2 2 2 5" xfId="41595" xr:uid="{00000000-0005-0000-0000-0000D93B0000}"/>
    <cellStyle name="20% - Accent5 4 2 2 2 6" xfId="12420" xr:uid="{00000000-0005-0000-0000-0000DA3B0000}"/>
    <cellStyle name="20% - Accent5 4 2 2 3" xfId="4314" xr:uid="{00000000-0005-0000-0000-0000DB3B0000}"/>
    <cellStyle name="20% - Accent5 4 2 2 3 2" xfId="9176" xr:uid="{00000000-0005-0000-0000-0000DC3B0000}"/>
    <cellStyle name="20% - Accent5 4 2 2 3 2 2" xfId="28627" xr:uid="{00000000-0005-0000-0000-0000DD3B0000}"/>
    <cellStyle name="20% - Accent5 4 2 2 3 2 3" xfId="38352" xr:uid="{00000000-0005-0000-0000-0000DE3B0000}"/>
    <cellStyle name="20% - Accent5 4 2 2 3 2 4" xfId="48077" xr:uid="{00000000-0005-0000-0000-0000DF3B0000}"/>
    <cellStyle name="20% - Accent5 4 2 2 3 2 5" xfId="18902" xr:uid="{00000000-0005-0000-0000-0000E03B0000}"/>
    <cellStyle name="20% - Accent5 4 2 2 3 3" xfId="23765" xr:uid="{00000000-0005-0000-0000-0000E13B0000}"/>
    <cellStyle name="20% - Accent5 4 2 2 3 4" xfId="33490" xr:uid="{00000000-0005-0000-0000-0000E23B0000}"/>
    <cellStyle name="20% - Accent5 4 2 2 3 5" xfId="43215" xr:uid="{00000000-0005-0000-0000-0000E33B0000}"/>
    <cellStyle name="20% - Accent5 4 2 2 3 6" xfId="14040" xr:uid="{00000000-0005-0000-0000-0000E43B0000}"/>
    <cellStyle name="20% - Accent5 4 2 2 4" xfId="5936" xr:uid="{00000000-0005-0000-0000-0000E53B0000}"/>
    <cellStyle name="20% - Accent5 4 2 2 4 2" xfId="25387" xr:uid="{00000000-0005-0000-0000-0000E63B0000}"/>
    <cellStyle name="20% - Accent5 4 2 2 4 3" xfId="35112" xr:uid="{00000000-0005-0000-0000-0000E73B0000}"/>
    <cellStyle name="20% - Accent5 4 2 2 4 4" xfId="44837" xr:uid="{00000000-0005-0000-0000-0000E83B0000}"/>
    <cellStyle name="20% - Accent5 4 2 2 4 5" xfId="15662" xr:uid="{00000000-0005-0000-0000-0000E93B0000}"/>
    <cellStyle name="20% - Accent5 4 2 2 5" xfId="20525" xr:uid="{00000000-0005-0000-0000-0000EA3B0000}"/>
    <cellStyle name="20% - Accent5 4 2 2 6" xfId="30250" xr:uid="{00000000-0005-0000-0000-0000EB3B0000}"/>
    <cellStyle name="20% - Accent5 4 2 2 7" xfId="39975" xr:uid="{00000000-0005-0000-0000-0000EC3B0000}"/>
    <cellStyle name="20% - Accent5 4 2 2 8" xfId="10800" xr:uid="{00000000-0005-0000-0000-0000ED3B0000}"/>
    <cellStyle name="20% - Accent5 4 2 3" xfId="1523" xr:uid="{00000000-0005-0000-0000-0000EE3B0000}"/>
    <cellStyle name="20% - Accent5 4 2 3 2" xfId="3144" xr:uid="{00000000-0005-0000-0000-0000EF3B0000}"/>
    <cellStyle name="20% - Accent5 4 2 3 2 2" xfId="8006" xr:uid="{00000000-0005-0000-0000-0000F03B0000}"/>
    <cellStyle name="20% - Accent5 4 2 3 2 2 2" xfId="27457" xr:uid="{00000000-0005-0000-0000-0000F13B0000}"/>
    <cellStyle name="20% - Accent5 4 2 3 2 2 3" xfId="37182" xr:uid="{00000000-0005-0000-0000-0000F23B0000}"/>
    <cellStyle name="20% - Accent5 4 2 3 2 2 4" xfId="46907" xr:uid="{00000000-0005-0000-0000-0000F33B0000}"/>
    <cellStyle name="20% - Accent5 4 2 3 2 2 5" xfId="17732" xr:uid="{00000000-0005-0000-0000-0000F43B0000}"/>
    <cellStyle name="20% - Accent5 4 2 3 2 3" xfId="22595" xr:uid="{00000000-0005-0000-0000-0000F53B0000}"/>
    <cellStyle name="20% - Accent5 4 2 3 2 4" xfId="32320" xr:uid="{00000000-0005-0000-0000-0000F63B0000}"/>
    <cellStyle name="20% - Accent5 4 2 3 2 5" xfId="42045" xr:uid="{00000000-0005-0000-0000-0000F73B0000}"/>
    <cellStyle name="20% - Accent5 4 2 3 2 6" xfId="12870" xr:uid="{00000000-0005-0000-0000-0000F83B0000}"/>
    <cellStyle name="20% - Accent5 4 2 3 3" xfId="4764" xr:uid="{00000000-0005-0000-0000-0000F93B0000}"/>
    <cellStyle name="20% - Accent5 4 2 3 3 2" xfId="9626" xr:uid="{00000000-0005-0000-0000-0000FA3B0000}"/>
    <cellStyle name="20% - Accent5 4 2 3 3 2 2" xfId="29077" xr:uid="{00000000-0005-0000-0000-0000FB3B0000}"/>
    <cellStyle name="20% - Accent5 4 2 3 3 2 3" xfId="38802" xr:uid="{00000000-0005-0000-0000-0000FC3B0000}"/>
    <cellStyle name="20% - Accent5 4 2 3 3 2 4" xfId="48527" xr:uid="{00000000-0005-0000-0000-0000FD3B0000}"/>
    <cellStyle name="20% - Accent5 4 2 3 3 2 5" xfId="19352" xr:uid="{00000000-0005-0000-0000-0000FE3B0000}"/>
    <cellStyle name="20% - Accent5 4 2 3 3 3" xfId="24215" xr:uid="{00000000-0005-0000-0000-0000FF3B0000}"/>
    <cellStyle name="20% - Accent5 4 2 3 3 4" xfId="33940" xr:uid="{00000000-0005-0000-0000-0000003C0000}"/>
    <cellStyle name="20% - Accent5 4 2 3 3 5" xfId="43665" xr:uid="{00000000-0005-0000-0000-0000013C0000}"/>
    <cellStyle name="20% - Accent5 4 2 3 3 6" xfId="14490" xr:uid="{00000000-0005-0000-0000-0000023C0000}"/>
    <cellStyle name="20% - Accent5 4 2 3 4" xfId="6386" xr:uid="{00000000-0005-0000-0000-0000033C0000}"/>
    <cellStyle name="20% - Accent5 4 2 3 4 2" xfId="25837" xr:uid="{00000000-0005-0000-0000-0000043C0000}"/>
    <cellStyle name="20% - Accent5 4 2 3 4 3" xfId="35562" xr:uid="{00000000-0005-0000-0000-0000053C0000}"/>
    <cellStyle name="20% - Accent5 4 2 3 4 4" xfId="45287" xr:uid="{00000000-0005-0000-0000-0000063C0000}"/>
    <cellStyle name="20% - Accent5 4 2 3 4 5" xfId="16112" xr:uid="{00000000-0005-0000-0000-0000073C0000}"/>
    <cellStyle name="20% - Accent5 4 2 3 5" xfId="20975" xr:uid="{00000000-0005-0000-0000-0000083C0000}"/>
    <cellStyle name="20% - Accent5 4 2 3 6" xfId="30700" xr:uid="{00000000-0005-0000-0000-0000093C0000}"/>
    <cellStyle name="20% - Accent5 4 2 3 7" xfId="40425" xr:uid="{00000000-0005-0000-0000-00000A3C0000}"/>
    <cellStyle name="20% - Accent5 4 2 3 8" xfId="11250" xr:uid="{00000000-0005-0000-0000-00000B3C0000}"/>
    <cellStyle name="20% - Accent5 4 2 4" xfId="694" xr:uid="{00000000-0005-0000-0000-00000C3C0000}"/>
    <cellStyle name="20% - Accent5 4 2 4 2" xfId="2334" xr:uid="{00000000-0005-0000-0000-00000D3C0000}"/>
    <cellStyle name="20% - Accent5 4 2 4 2 2" xfId="7196" xr:uid="{00000000-0005-0000-0000-00000E3C0000}"/>
    <cellStyle name="20% - Accent5 4 2 4 2 2 2" xfId="26647" xr:uid="{00000000-0005-0000-0000-00000F3C0000}"/>
    <cellStyle name="20% - Accent5 4 2 4 2 2 3" xfId="36372" xr:uid="{00000000-0005-0000-0000-0000103C0000}"/>
    <cellStyle name="20% - Accent5 4 2 4 2 2 4" xfId="46097" xr:uid="{00000000-0005-0000-0000-0000113C0000}"/>
    <cellStyle name="20% - Accent5 4 2 4 2 2 5" xfId="16922" xr:uid="{00000000-0005-0000-0000-0000123C0000}"/>
    <cellStyle name="20% - Accent5 4 2 4 2 3" xfId="21785" xr:uid="{00000000-0005-0000-0000-0000133C0000}"/>
    <cellStyle name="20% - Accent5 4 2 4 2 4" xfId="31510" xr:uid="{00000000-0005-0000-0000-0000143C0000}"/>
    <cellStyle name="20% - Accent5 4 2 4 2 5" xfId="41235" xr:uid="{00000000-0005-0000-0000-0000153C0000}"/>
    <cellStyle name="20% - Accent5 4 2 4 2 6" xfId="12060" xr:uid="{00000000-0005-0000-0000-0000163C0000}"/>
    <cellStyle name="20% - Accent5 4 2 4 3" xfId="3954" xr:uid="{00000000-0005-0000-0000-0000173C0000}"/>
    <cellStyle name="20% - Accent5 4 2 4 3 2" xfId="8816" xr:uid="{00000000-0005-0000-0000-0000183C0000}"/>
    <cellStyle name="20% - Accent5 4 2 4 3 2 2" xfId="28267" xr:uid="{00000000-0005-0000-0000-0000193C0000}"/>
    <cellStyle name="20% - Accent5 4 2 4 3 2 3" xfId="37992" xr:uid="{00000000-0005-0000-0000-00001A3C0000}"/>
    <cellStyle name="20% - Accent5 4 2 4 3 2 4" xfId="47717" xr:uid="{00000000-0005-0000-0000-00001B3C0000}"/>
    <cellStyle name="20% - Accent5 4 2 4 3 2 5" xfId="18542" xr:uid="{00000000-0005-0000-0000-00001C3C0000}"/>
    <cellStyle name="20% - Accent5 4 2 4 3 3" xfId="23405" xr:uid="{00000000-0005-0000-0000-00001D3C0000}"/>
    <cellStyle name="20% - Accent5 4 2 4 3 4" xfId="33130" xr:uid="{00000000-0005-0000-0000-00001E3C0000}"/>
    <cellStyle name="20% - Accent5 4 2 4 3 5" xfId="42855" xr:uid="{00000000-0005-0000-0000-00001F3C0000}"/>
    <cellStyle name="20% - Accent5 4 2 4 3 6" xfId="13680" xr:uid="{00000000-0005-0000-0000-0000203C0000}"/>
    <cellStyle name="20% - Accent5 4 2 4 4" xfId="5576" xr:uid="{00000000-0005-0000-0000-0000213C0000}"/>
    <cellStyle name="20% - Accent5 4 2 4 4 2" xfId="25027" xr:uid="{00000000-0005-0000-0000-0000223C0000}"/>
    <cellStyle name="20% - Accent5 4 2 4 4 3" xfId="34752" xr:uid="{00000000-0005-0000-0000-0000233C0000}"/>
    <cellStyle name="20% - Accent5 4 2 4 4 4" xfId="44477" xr:uid="{00000000-0005-0000-0000-0000243C0000}"/>
    <cellStyle name="20% - Accent5 4 2 4 4 5" xfId="15302" xr:uid="{00000000-0005-0000-0000-0000253C0000}"/>
    <cellStyle name="20% - Accent5 4 2 4 5" xfId="20165" xr:uid="{00000000-0005-0000-0000-0000263C0000}"/>
    <cellStyle name="20% - Accent5 4 2 4 6" xfId="29890" xr:uid="{00000000-0005-0000-0000-0000273C0000}"/>
    <cellStyle name="20% - Accent5 4 2 4 7" xfId="39615" xr:uid="{00000000-0005-0000-0000-0000283C0000}"/>
    <cellStyle name="20% - Accent5 4 2 4 8" xfId="10440" xr:uid="{00000000-0005-0000-0000-0000293C0000}"/>
    <cellStyle name="20% - Accent5 4 2 5" xfId="1974" xr:uid="{00000000-0005-0000-0000-00002A3C0000}"/>
    <cellStyle name="20% - Accent5 4 2 5 2" xfId="6836" xr:uid="{00000000-0005-0000-0000-00002B3C0000}"/>
    <cellStyle name="20% - Accent5 4 2 5 2 2" xfId="26287" xr:uid="{00000000-0005-0000-0000-00002C3C0000}"/>
    <cellStyle name="20% - Accent5 4 2 5 2 3" xfId="36012" xr:uid="{00000000-0005-0000-0000-00002D3C0000}"/>
    <cellStyle name="20% - Accent5 4 2 5 2 4" xfId="45737" xr:uid="{00000000-0005-0000-0000-00002E3C0000}"/>
    <cellStyle name="20% - Accent5 4 2 5 2 5" xfId="16562" xr:uid="{00000000-0005-0000-0000-00002F3C0000}"/>
    <cellStyle name="20% - Accent5 4 2 5 3" xfId="21425" xr:uid="{00000000-0005-0000-0000-0000303C0000}"/>
    <cellStyle name="20% - Accent5 4 2 5 4" xfId="31150" xr:uid="{00000000-0005-0000-0000-0000313C0000}"/>
    <cellStyle name="20% - Accent5 4 2 5 5" xfId="40875" xr:uid="{00000000-0005-0000-0000-0000323C0000}"/>
    <cellStyle name="20% - Accent5 4 2 5 6" xfId="11700" xr:uid="{00000000-0005-0000-0000-0000333C0000}"/>
    <cellStyle name="20% - Accent5 4 2 6" xfId="3594" xr:uid="{00000000-0005-0000-0000-0000343C0000}"/>
    <cellStyle name="20% - Accent5 4 2 6 2" xfId="8456" xr:uid="{00000000-0005-0000-0000-0000353C0000}"/>
    <cellStyle name="20% - Accent5 4 2 6 2 2" xfId="27907" xr:uid="{00000000-0005-0000-0000-0000363C0000}"/>
    <cellStyle name="20% - Accent5 4 2 6 2 3" xfId="37632" xr:uid="{00000000-0005-0000-0000-0000373C0000}"/>
    <cellStyle name="20% - Accent5 4 2 6 2 4" xfId="47357" xr:uid="{00000000-0005-0000-0000-0000383C0000}"/>
    <cellStyle name="20% - Accent5 4 2 6 2 5" xfId="18182" xr:uid="{00000000-0005-0000-0000-0000393C0000}"/>
    <cellStyle name="20% - Accent5 4 2 6 3" xfId="23045" xr:uid="{00000000-0005-0000-0000-00003A3C0000}"/>
    <cellStyle name="20% - Accent5 4 2 6 4" xfId="32770" xr:uid="{00000000-0005-0000-0000-00003B3C0000}"/>
    <cellStyle name="20% - Accent5 4 2 6 5" xfId="42495" xr:uid="{00000000-0005-0000-0000-00003C3C0000}"/>
    <cellStyle name="20% - Accent5 4 2 6 6" xfId="13320" xr:uid="{00000000-0005-0000-0000-00003D3C0000}"/>
    <cellStyle name="20% - Accent5 4 2 7" xfId="5216" xr:uid="{00000000-0005-0000-0000-00003E3C0000}"/>
    <cellStyle name="20% - Accent5 4 2 7 2" xfId="24667" xr:uid="{00000000-0005-0000-0000-00003F3C0000}"/>
    <cellStyle name="20% - Accent5 4 2 7 3" xfId="34392" xr:uid="{00000000-0005-0000-0000-0000403C0000}"/>
    <cellStyle name="20% - Accent5 4 2 7 4" xfId="44117" xr:uid="{00000000-0005-0000-0000-0000413C0000}"/>
    <cellStyle name="20% - Accent5 4 2 7 5" xfId="14942" xr:uid="{00000000-0005-0000-0000-0000423C0000}"/>
    <cellStyle name="20% - Accent5 4 2 8" xfId="19805" xr:uid="{00000000-0005-0000-0000-0000433C0000}"/>
    <cellStyle name="20% - Accent5 4 2 9" xfId="29530" xr:uid="{00000000-0005-0000-0000-0000443C0000}"/>
    <cellStyle name="20% - Accent5 4 3" xfId="383" xr:uid="{00000000-0005-0000-0000-0000453C0000}"/>
    <cellStyle name="20% - Accent5 4 3 10" xfId="39345" xr:uid="{00000000-0005-0000-0000-0000463C0000}"/>
    <cellStyle name="20% - Accent5 4 3 11" xfId="10170" xr:uid="{00000000-0005-0000-0000-0000473C0000}"/>
    <cellStyle name="20% - Accent5 4 3 2" xfId="1146" xr:uid="{00000000-0005-0000-0000-0000483C0000}"/>
    <cellStyle name="20% - Accent5 4 3 2 2" xfId="2784" xr:uid="{00000000-0005-0000-0000-0000493C0000}"/>
    <cellStyle name="20% - Accent5 4 3 2 2 2" xfId="7646" xr:uid="{00000000-0005-0000-0000-00004A3C0000}"/>
    <cellStyle name="20% - Accent5 4 3 2 2 2 2" xfId="27097" xr:uid="{00000000-0005-0000-0000-00004B3C0000}"/>
    <cellStyle name="20% - Accent5 4 3 2 2 2 3" xfId="36822" xr:uid="{00000000-0005-0000-0000-00004C3C0000}"/>
    <cellStyle name="20% - Accent5 4 3 2 2 2 4" xfId="46547" xr:uid="{00000000-0005-0000-0000-00004D3C0000}"/>
    <cellStyle name="20% - Accent5 4 3 2 2 2 5" xfId="17372" xr:uid="{00000000-0005-0000-0000-00004E3C0000}"/>
    <cellStyle name="20% - Accent5 4 3 2 2 3" xfId="22235" xr:uid="{00000000-0005-0000-0000-00004F3C0000}"/>
    <cellStyle name="20% - Accent5 4 3 2 2 4" xfId="31960" xr:uid="{00000000-0005-0000-0000-0000503C0000}"/>
    <cellStyle name="20% - Accent5 4 3 2 2 5" xfId="41685" xr:uid="{00000000-0005-0000-0000-0000513C0000}"/>
    <cellStyle name="20% - Accent5 4 3 2 2 6" xfId="12510" xr:uid="{00000000-0005-0000-0000-0000523C0000}"/>
    <cellStyle name="20% - Accent5 4 3 2 3" xfId="4404" xr:uid="{00000000-0005-0000-0000-0000533C0000}"/>
    <cellStyle name="20% - Accent5 4 3 2 3 2" xfId="9266" xr:uid="{00000000-0005-0000-0000-0000543C0000}"/>
    <cellStyle name="20% - Accent5 4 3 2 3 2 2" xfId="28717" xr:uid="{00000000-0005-0000-0000-0000553C0000}"/>
    <cellStyle name="20% - Accent5 4 3 2 3 2 3" xfId="38442" xr:uid="{00000000-0005-0000-0000-0000563C0000}"/>
    <cellStyle name="20% - Accent5 4 3 2 3 2 4" xfId="48167" xr:uid="{00000000-0005-0000-0000-0000573C0000}"/>
    <cellStyle name="20% - Accent5 4 3 2 3 2 5" xfId="18992" xr:uid="{00000000-0005-0000-0000-0000583C0000}"/>
    <cellStyle name="20% - Accent5 4 3 2 3 3" xfId="23855" xr:uid="{00000000-0005-0000-0000-0000593C0000}"/>
    <cellStyle name="20% - Accent5 4 3 2 3 4" xfId="33580" xr:uid="{00000000-0005-0000-0000-00005A3C0000}"/>
    <cellStyle name="20% - Accent5 4 3 2 3 5" xfId="43305" xr:uid="{00000000-0005-0000-0000-00005B3C0000}"/>
    <cellStyle name="20% - Accent5 4 3 2 3 6" xfId="14130" xr:uid="{00000000-0005-0000-0000-00005C3C0000}"/>
    <cellStyle name="20% - Accent5 4 3 2 4" xfId="6026" xr:uid="{00000000-0005-0000-0000-00005D3C0000}"/>
    <cellStyle name="20% - Accent5 4 3 2 4 2" xfId="25477" xr:uid="{00000000-0005-0000-0000-00005E3C0000}"/>
    <cellStyle name="20% - Accent5 4 3 2 4 3" xfId="35202" xr:uid="{00000000-0005-0000-0000-00005F3C0000}"/>
    <cellStyle name="20% - Accent5 4 3 2 4 4" xfId="44927" xr:uid="{00000000-0005-0000-0000-0000603C0000}"/>
    <cellStyle name="20% - Accent5 4 3 2 4 5" xfId="15752" xr:uid="{00000000-0005-0000-0000-0000613C0000}"/>
    <cellStyle name="20% - Accent5 4 3 2 5" xfId="20615" xr:uid="{00000000-0005-0000-0000-0000623C0000}"/>
    <cellStyle name="20% - Accent5 4 3 2 6" xfId="30340" xr:uid="{00000000-0005-0000-0000-0000633C0000}"/>
    <cellStyle name="20% - Accent5 4 3 2 7" xfId="40065" xr:uid="{00000000-0005-0000-0000-0000643C0000}"/>
    <cellStyle name="20% - Accent5 4 3 2 8" xfId="10890" xr:uid="{00000000-0005-0000-0000-0000653C0000}"/>
    <cellStyle name="20% - Accent5 4 3 3" xfId="1613" xr:uid="{00000000-0005-0000-0000-0000663C0000}"/>
    <cellStyle name="20% - Accent5 4 3 3 2" xfId="3234" xr:uid="{00000000-0005-0000-0000-0000673C0000}"/>
    <cellStyle name="20% - Accent5 4 3 3 2 2" xfId="8096" xr:uid="{00000000-0005-0000-0000-0000683C0000}"/>
    <cellStyle name="20% - Accent5 4 3 3 2 2 2" xfId="27547" xr:uid="{00000000-0005-0000-0000-0000693C0000}"/>
    <cellStyle name="20% - Accent5 4 3 3 2 2 3" xfId="37272" xr:uid="{00000000-0005-0000-0000-00006A3C0000}"/>
    <cellStyle name="20% - Accent5 4 3 3 2 2 4" xfId="46997" xr:uid="{00000000-0005-0000-0000-00006B3C0000}"/>
    <cellStyle name="20% - Accent5 4 3 3 2 2 5" xfId="17822" xr:uid="{00000000-0005-0000-0000-00006C3C0000}"/>
    <cellStyle name="20% - Accent5 4 3 3 2 3" xfId="22685" xr:uid="{00000000-0005-0000-0000-00006D3C0000}"/>
    <cellStyle name="20% - Accent5 4 3 3 2 4" xfId="32410" xr:uid="{00000000-0005-0000-0000-00006E3C0000}"/>
    <cellStyle name="20% - Accent5 4 3 3 2 5" xfId="42135" xr:uid="{00000000-0005-0000-0000-00006F3C0000}"/>
    <cellStyle name="20% - Accent5 4 3 3 2 6" xfId="12960" xr:uid="{00000000-0005-0000-0000-0000703C0000}"/>
    <cellStyle name="20% - Accent5 4 3 3 3" xfId="4854" xr:uid="{00000000-0005-0000-0000-0000713C0000}"/>
    <cellStyle name="20% - Accent5 4 3 3 3 2" xfId="9716" xr:uid="{00000000-0005-0000-0000-0000723C0000}"/>
    <cellStyle name="20% - Accent5 4 3 3 3 2 2" xfId="29167" xr:uid="{00000000-0005-0000-0000-0000733C0000}"/>
    <cellStyle name="20% - Accent5 4 3 3 3 2 3" xfId="38892" xr:uid="{00000000-0005-0000-0000-0000743C0000}"/>
    <cellStyle name="20% - Accent5 4 3 3 3 2 4" xfId="48617" xr:uid="{00000000-0005-0000-0000-0000753C0000}"/>
    <cellStyle name="20% - Accent5 4 3 3 3 2 5" xfId="19442" xr:uid="{00000000-0005-0000-0000-0000763C0000}"/>
    <cellStyle name="20% - Accent5 4 3 3 3 3" xfId="24305" xr:uid="{00000000-0005-0000-0000-0000773C0000}"/>
    <cellStyle name="20% - Accent5 4 3 3 3 4" xfId="34030" xr:uid="{00000000-0005-0000-0000-0000783C0000}"/>
    <cellStyle name="20% - Accent5 4 3 3 3 5" xfId="43755" xr:uid="{00000000-0005-0000-0000-0000793C0000}"/>
    <cellStyle name="20% - Accent5 4 3 3 3 6" xfId="14580" xr:uid="{00000000-0005-0000-0000-00007A3C0000}"/>
    <cellStyle name="20% - Accent5 4 3 3 4" xfId="6476" xr:uid="{00000000-0005-0000-0000-00007B3C0000}"/>
    <cellStyle name="20% - Accent5 4 3 3 4 2" xfId="25927" xr:uid="{00000000-0005-0000-0000-00007C3C0000}"/>
    <cellStyle name="20% - Accent5 4 3 3 4 3" xfId="35652" xr:uid="{00000000-0005-0000-0000-00007D3C0000}"/>
    <cellStyle name="20% - Accent5 4 3 3 4 4" xfId="45377" xr:uid="{00000000-0005-0000-0000-00007E3C0000}"/>
    <cellStyle name="20% - Accent5 4 3 3 4 5" xfId="16202" xr:uid="{00000000-0005-0000-0000-00007F3C0000}"/>
    <cellStyle name="20% - Accent5 4 3 3 5" xfId="21065" xr:uid="{00000000-0005-0000-0000-0000803C0000}"/>
    <cellStyle name="20% - Accent5 4 3 3 6" xfId="30790" xr:uid="{00000000-0005-0000-0000-0000813C0000}"/>
    <cellStyle name="20% - Accent5 4 3 3 7" xfId="40515" xr:uid="{00000000-0005-0000-0000-0000823C0000}"/>
    <cellStyle name="20% - Accent5 4 3 3 8" xfId="11340" xr:uid="{00000000-0005-0000-0000-0000833C0000}"/>
    <cellStyle name="20% - Accent5 4 3 4" xfId="784" xr:uid="{00000000-0005-0000-0000-0000843C0000}"/>
    <cellStyle name="20% - Accent5 4 3 4 2" xfId="2424" xr:uid="{00000000-0005-0000-0000-0000853C0000}"/>
    <cellStyle name="20% - Accent5 4 3 4 2 2" xfId="7286" xr:uid="{00000000-0005-0000-0000-0000863C0000}"/>
    <cellStyle name="20% - Accent5 4 3 4 2 2 2" xfId="26737" xr:uid="{00000000-0005-0000-0000-0000873C0000}"/>
    <cellStyle name="20% - Accent5 4 3 4 2 2 3" xfId="36462" xr:uid="{00000000-0005-0000-0000-0000883C0000}"/>
    <cellStyle name="20% - Accent5 4 3 4 2 2 4" xfId="46187" xr:uid="{00000000-0005-0000-0000-0000893C0000}"/>
    <cellStyle name="20% - Accent5 4 3 4 2 2 5" xfId="17012" xr:uid="{00000000-0005-0000-0000-00008A3C0000}"/>
    <cellStyle name="20% - Accent5 4 3 4 2 3" xfId="21875" xr:uid="{00000000-0005-0000-0000-00008B3C0000}"/>
    <cellStyle name="20% - Accent5 4 3 4 2 4" xfId="31600" xr:uid="{00000000-0005-0000-0000-00008C3C0000}"/>
    <cellStyle name="20% - Accent5 4 3 4 2 5" xfId="41325" xr:uid="{00000000-0005-0000-0000-00008D3C0000}"/>
    <cellStyle name="20% - Accent5 4 3 4 2 6" xfId="12150" xr:uid="{00000000-0005-0000-0000-00008E3C0000}"/>
    <cellStyle name="20% - Accent5 4 3 4 3" xfId="4044" xr:uid="{00000000-0005-0000-0000-00008F3C0000}"/>
    <cellStyle name="20% - Accent5 4 3 4 3 2" xfId="8906" xr:uid="{00000000-0005-0000-0000-0000903C0000}"/>
    <cellStyle name="20% - Accent5 4 3 4 3 2 2" xfId="28357" xr:uid="{00000000-0005-0000-0000-0000913C0000}"/>
    <cellStyle name="20% - Accent5 4 3 4 3 2 3" xfId="38082" xr:uid="{00000000-0005-0000-0000-0000923C0000}"/>
    <cellStyle name="20% - Accent5 4 3 4 3 2 4" xfId="47807" xr:uid="{00000000-0005-0000-0000-0000933C0000}"/>
    <cellStyle name="20% - Accent5 4 3 4 3 2 5" xfId="18632" xr:uid="{00000000-0005-0000-0000-0000943C0000}"/>
    <cellStyle name="20% - Accent5 4 3 4 3 3" xfId="23495" xr:uid="{00000000-0005-0000-0000-0000953C0000}"/>
    <cellStyle name="20% - Accent5 4 3 4 3 4" xfId="33220" xr:uid="{00000000-0005-0000-0000-0000963C0000}"/>
    <cellStyle name="20% - Accent5 4 3 4 3 5" xfId="42945" xr:uid="{00000000-0005-0000-0000-0000973C0000}"/>
    <cellStyle name="20% - Accent5 4 3 4 3 6" xfId="13770" xr:uid="{00000000-0005-0000-0000-0000983C0000}"/>
    <cellStyle name="20% - Accent5 4 3 4 4" xfId="5666" xr:uid="{00000000-0005-0000-0000-0000993C0000}"/>
    <cellStyle name="20% - Accent5 4 3 4 4 2" xfId="25117" xr:uid="{00000000-0005-0000-0000-00009A3C0000}"/>
    <cellStyle name="20% - Accent5 4 3 4 4 3" xfId="34842" xr:uid="{00000000-0005-0000-0000-00009B3C0000}"/>
    <cellStyle name="20% - Accent5 4 3 4 4 4" xfId="44567" xr:uid="{00000000-0005-0000-0000-00009C3C0000}"/>
    <cellStyle name="20% - Accent5 4 3 4 4 5" xfId="15392" xr:uid="{00000000-0005-0000-0000-00009D3C0000}"/>
    <cellStyle name="20% - Accent5 4 3 4 5" xfId="20255" xr:uid="{00000000-0005-0000-0000-00009E3C0000}"/>
    <cellStyle name="20% - Accent5 4 3 4 6" xfId="29980" xr:uid="{00000000-0005-0000-0000-00009F3C0000}"/>
    <cellStyle name="20% - Accent5 4 3 4 7" xfId="39705" xr:uid="{00000000-0005-0000-0000-0000A03C0000}"/>
    <cellStyle name="20% - Accent5 4 3 4 8" xfId="10530" xr:uid="{00000000-0005-0000-0000-0000A13C0000}"/>
    <cellStyle name="20% - Accent5 4 3 5" xfId="2064" xr:uid="{00000000-0005-0000-0000-0000A23C0000}"/>
    <cellStyle name="20% - Accent5 4 3 5 2" xfId="6926" xr:uid="{00000000-0005-0000-0000-0000A33C0000}"/>
    <cellStyle name="20% - Accent5 4 3 5 2 2" xfId="26377" xr:uid="{00000000-0005-0000-0000-0000A43C0000}"/>
    <cellStyle name="20% - Accent5 4 3 5 2 3" xfId="36102" xr:uid="{00000000-0005-0000-0000-0000A53C0000}"/>
    <cellStyle name="20% - Accent5 4 3 5 2 4" xfId="45827" xr:uid="{00000000-0005-0000-0000-0000A63C0000}"/>
    <cellStyle name="20% - Accent5 4 3 5 2 5" xfId="16652" xr:uid="{00000000-0005-0000-0000-0000A73C0000}"/>
    <cellStyle name="20% - Accent5 4 3 5 3" xfId="21515" xr:uid="{00000000-0005-0000-0000-0000A83C0000}"/>
    <cellStyle name="20% - Accent5 4 3 5 4" xfId="31240" xr:uid="{00000000-0005-0000-0000-0000A93C0000}"/>
    <cellStyle name="20% - Accent5 4 3 5 5" xfId="40965" xr:uid="{00000000-0005-0000-0000-0000AA3C0000}"/>
    <cellStyle name="20% - Accent5 4 3 5 6" xfId="11790" xr:uid="{00000000-0005-0000-0000-0000AB3C0000}"/>
    <cellStyle name="20% - Accent5 4 3 6" xfId="3684" xr:uid="{00000000-0005-0000-0000-0000AC3C0000}"/>
    <cellStyle name="20% - Accent5 4 3 6 2" xfId="8546" xr:uid="{00000000-0005-0000-0000-0000AD3C0000}"/>
    <cellStyle name="20% - Accent5 4 3 6 2 2" xfId="27997" xr:uid="{00000000-0005-0000-0000-0000AE3C0000}"/>
    <cellStyle name="20% - Accent5 4 3 6 2 3" xfId="37722" xr:uid="{00000000-0005-0000-0000-0000AF3C0000}"/>
    <cellStyle name="20% - Accent5 4 3 6 2 4" xfId="47447" xr:uid="{00000000-0005-0000-0000-0000B03C0000}"/>
    <cellStyle name="20% - Accent5 4 3 6 2 5" xfId="18272" xr:uid="{00000000-0005-0000-0000-0000B13C0000}"/>
    <cellStyle name="20% - Accent5 4 3 6 3" xfId="23135" xr:uid="{00000000-0005-0000-0000-0000B23C0000}"/>
    <cellStyle name="20% - Accent5 4 3 6 4" xfId="32860" xr:uid="{00000000-0005-0000-0000-0000B33C0000}"/>
    <cellStyle name="20% - Accent5 4 3 6 5" xfId="42585" xr:uid="{00000000-0005-0000-0000-0000B43C0000}"/>
    <cellStyle name="20% - Accent5 4 3 6 6" xfId="13410" xr:uid="{00000000-0005-0000-0000-0000B53C0000}"/>
    <cellStyle name="20% - Accent5 4 3 7" xfId="5306" xr:uid="{00000000-0005-0000-0000-0000B63C0000}"/>
    <cellStyle name="20% - Accent5 4 3 7 2" xfId="24757" xr:uid="{00000000-0005-0000-0000-0000B73C0000}"/>
    <cellStyle name="20% - Accent5 4 3 7 3" xfId="34482" xr:uid="{00000000-0005-0000-0000-0000B83C0000}"/>
    <cellStyle name="20% - Accent5 4 3 7 4" xfId="44207" xr:uid="{00000000-0005-0000-0000-0000B93C0000}"/>
    <cellStyle name="20% - Accent5 4 3 7 5" xfId="15032" xr:uid="{00000000-0005-0000-0000-0000BA3C0000}"/>
    <cellStyle name="20% - Accent5 4 3 8" xfId="19895" xr:uid="{00000000-0005-0000-0000-0000BB3C0000}"/>
    <cellStyle name="20% - Accent5 4 3 9" xfId="29620" xr:uid="{00000000-0005-0000-0000-0000BC3C0000}"/>
    <cellStyle name="20% - Accent5 4 4" xfId="201" xr:uid="{00000000-0005-0000-0000-0000BD3C0000}"/>
    <cellStyle name="20% - Accent5 4 4 10" xfId="39165" xr:uid="{00000000-0005-0000-0000-0000BE3C0000}"/>
    <cellStyle name="20% - Accent5 4 4 11" xfId="9990" xr:uid="{00000000-0005-0000-0000-0000BF3C0000}"/>
    <cellStyle name="20% - Accent5 4 4 2" xfId="965" xr:uid="{00000000-0005-0000-0000-0000C03C0000}"/>
    <cellStyle name="20% - Accent5 4 4 2 2" xfId="2604" xr:uid="{00000000-0005-0000-0000-0000C13C0000}"/>
    <cellStyle name="20% - Accent5 4 4 2 2 2" xfId="7466" xr:uid="{00000000-0005-0000-0000-0000C23C0000}"/>
    <cellStyle name="20% - Accent5 4 4 2 2 2 2" xfId="26917" xr:uid="{00000000-0005-0000-0000-0000C33C0000}"/>
    <cellStyle name="20% - Accent5 4 4 2 2 2 3" xfId="36642" xr:uid="{00000000-0005-0000-0000-0000C43C0000}"/>
    <cellStyle name="20% - Accent5 4 4 2 2 2 4" xfId="46367" xr:uid="{00000000-0005-0000-0000-0000C53C0000}"/>
    <cellStyle name="20% - Accent5 4 4 2 2 2 5" xfId="17192" xr:uid="{00000000-0005-0000-0000-0000C63C0000}"/>
    <cellStyle name="20% - Accent5 4 4 2 2 3" xfId="22055" xr:uid="{00000000-0005-0000-0000-0000C73C0000}"/>
    <cellStyle name="20% - Accent5 4 4 2 2 4" xfId="31780" xr:uid="{00000000-0005-0000-0000-0000C83C0000}"/>
    <cellStyle name="20% - Accent5 4 4 2 2 5" xfId="41505" xr:uid="{00000000-0005-0000-0000-0000C93C0000}"/>
    <cellStyle name="20% - Accent5 4 4 2 2 6" xfId="12330" xr:uid="{00000000-0005-0000-0000-0000CA3C0000}"/>
    <cellStyle name="20% - Accent5 4 4 2 3" xfId="4224" xr:uid="{00000000-0005-0000-0000-0000CB3C0000}"/>
    <cellStyle name="20% - Accent5 4 4 2 3 2" xfId="9086" xr:uid="{00000000-0005-0000-0000-0000CC3C0000}"/>
    <cellStyle name="20% - Accent5 4 4 2 3 2 2" xfId="28537" xr:uid="{00000000-0005-0000-0000-0000CD3C0000}"/>
    <cellStyle name="20% - Accent5 4 4 2 3 2 3" xfId="38262" xr:uid="{00000000-0005-0000-0000-0000CE3C0000}"/>
    <cellStyle name="20% - Accent5 4 4 2 3 2 4" xfId="47987" xr:uid="{00000000-0005-0000-0000-0000CF3C0000}"/>
    <cellStyle name="20% - Accent5 4 4 2 3 2 5" xfId="18812" xr:uid="{00000000-0005-0000-0000-0000D03C0000}"/>
    <cellStyle name="20% - Accent5 4 4 2 3 3" xfId="23675" xr:uid="{00000000-0005-0000-0000-0000D13C0000}"/>
    <cellStyle name="20% - Accent5 4 4 2 3 4" xfId="33400" xr:uid="{00000000-0005-0000-0000-0000D23C0000}"/>
    <cellStyle name="20% - Accent5 4 4 2 3 5" xfId="43125" xr:uid="{00000000-0005-0000-0000-0000D33C0000}"/>
    <cellStyle name="20% - Accent5 4 4 2 3 6" xfId="13950" xr:uid="{00000000-0005-0000-0000-0000D43C0000}"/>
    <cellStyle name="20% - Accent5 4 4 2 4" xfId="5846" xr:uid="{00000000-0005-0000-0000-0000D53C0000}"/>
    <cellStyle name="20% - Accent5 4 4 2 4 2" xfId="25297" xr:uid="{00000000-0005-0000-0000-0000D63C0000}"/>
    <cellStyle name="20% - Accent5 4 4 2 4 3" xfId="35022" xr:uid="{00000000-0005-0000-0000-0000D73C0000}"/>
    <cellStyle name="20% - Accent5 4 4 2 4 4" xfId="44747" xr:uid="{00000000-0005-0000-0000-0000D83C0000}"/>
    <cellStyle name="20% - Accent5 4 4 2 4 5" xfId="15572" xr:uid="{00000000-0005-0000-0000-0000D93C0000}"/>
    <cellStyle name="20% - Accent5 4 4 2 5" xfId="20435" xr:uid="{00000000-0005-0000-0000-0000DA3C0000}"/>
    <cellStyle name="20% - Accent5 4 4 2 6" xfId="30160" xr:uid="{00000000-0005-0000-0000-0000DB3C0000}"/>
    <cellStyle name="20% - Accent5 4 4 2 7" xfId="39885" xr:uid="{00000000-0005-0000-0000-0000DC3C0000}"/>
    <cellStyle name="20% - Accent5 4 4 2 8" xfId="10710" xr:uid="{00000000-0005-0000-0000-0000DD3C0000}"/>
    <cellStyle name="20% - Accent5 4 4 3" xfId="1433" xr:uid="{00000000-0005-0000-0000-0000DE3C0000}"/>
    <cellStyle name="20% - Accent5 4 4 3 2" xfId="3054" xr:uid="{00000000-0005-0000-0000-0000DF3C0000}"/>
    <cellStyle name="20% - Accent5 4 4 3 2 2" xfId="7916" xr:uid="{00000000-0005-0000-0000-0000E03C0000}"/>
    <cellStyle name="20% - Accent5 4 4 3 2 2 2" xfId="27367" xr:uid="{00000000-0005-0000-0000-0000E13C0000}"/>
    <cellStyle name="20% - Accent5 4 4 3 2 2 3" xfId="37092" xr:uid="{00000000-0005-0000-0000-0000E23C0000}"/>
    <cellStyle name="20% - Accent5 4 4 3 2 2 4" xfId="46817" xr:uid="{00000000-0005-0000-0000-0000E33C0000}"/>
    <cellStyle name="20% - Accent5 4 4 3 2 2 5" xfId="17642" xr:uid="{00000000-0005-0000-0000-0000E43C0000}"/>
    <cellStyle name="20% - Accent5 4 4 3 2 3" xfId="22505" xr:uid="{00000000-0005-0000-0000-0000E53C0000}"/>
    <cellStyle name="20% - Accent5 4 4 3 2 4" xfId="32230" xr:uid="{00000000-0005-0000-0000-0000E63C0000}"/>
    <cellStyle name="20% - Accent5 4 4 3 2 5" xfId="41955" xr:uid="{00000000-0005-0000-0000-0000E73C0000}"/>
    <cellStyle name="20% - Accent5 4 4 3 2 6" xfId="12780" xr:uid="{00000000-0005-0000-0000-0000E83C0000}"/>
    <cellStyle name="20% - Accent5 4 4 3 3" xfId="4674" xr:uid="{00000000-0005-0000-0000-0000E93C0000}"/>
    <cellStyle name="20% - Accent5 4 4 3 3 2" xfId="9536" xr:uid="{00000000-0005-0000-0000-0000EA3C0000}"/>
    <cellStyle name="20% - Accent5 4 4 3 3 2 2" xfId="28987" xr:uid="{00000000-0005-0000-0000-0000EB3C0000}"/>
    <cellStyle name="20% - Accent5 4 4 3 3 2 3" xfId="38712" xr:uid="{00000000-0005-0000-0000-0000EC3C0000}"/>
    <cellStyle name="20% - Accent5 4 4 3 3 2 4" xfId="48437" xr:uid="{00000000-0005-0000-0000-0000ED3C0000}"/>
    <cellStyle name="20% - Accent5 4 4 3 3 2 5" xfId="19262" xr:uid="{00000000-0005-0000-0000-0000EE3C0000}"/>
    <cellStyle name="20% - Accent5 4 4 3 3 3" xfId="24125" xr:uid="{00000000-0005-0000-0000-0000EF3C0000}"/>
    <cellStyle name="20% - Accent5 4 4 3 3 4" xfId="33850" xr:uid="{00000000-0005-0000-0000-0000F03C0000}"/>
    <cellStyle name="20% - Accent5 4 4 3 3 5" xfId="43575" xr:uid="{00000000-0005-0000-0000-0000F13C0000}"/>
    <cellStyle name="20% - Accent5 4 4 3 3 6" xfId="14400" xr:uid="{00000000-0005-0000-0000-0000F23C0000}"/>
    <cellStyle name="20% - Accent5 4 4 3 4" xfId="6296" xr:uid="{00000000-0005-0000-0000-0000F33C0000}"/>
    <cellStyle name="20% - Accent5 4 4 3 4 2" xfId="25747" xr:uid="{00000000-0005-0000-0000-0000F43C0000}"/>
    <cellStyle name="20% - Accent5 4 4 3 4 3" xfId="35472" xr:uid="{00000000-0005-0000-0000-0000F53C0000}"/>
    <cellStyle name="20% - Accent5 4 4 3 4 4" xfId="45197" xr:uid="{00000000-0005-0000-0000-0000F63C0000}"/>
    <cellStyle name="20% - Accent5 4 4 3 4 5" xfId="16022" xr:uid="{00000000-0005-0000-0000-0000F73C0000}"/>
    <cellStyle name="20% - Accent5 4 4 3 5" xfId="20885" xr:uid="{00000000-0005-0000-0000-0000F83C0000}"/>
    <cellStyle name="20% - Accent5 4 4 3 6" xfId="30610" xr:uid="{00000000-0005-0000-0000-0000F93C0000}"/>
    <cellStyle name="20% - Accent5 4 4 3 7" xfId="40335" xr:uid="{00000000-0005-0000-0000-0000FA3C0000}"/>
    <cellStyle name="20% - Accent5 4 4 3 8" xfId="11160" xr:uid="{00000000-0005-0000-0000-0000FB3C0000}"/>
    <cellStyle name="20% - Accent5 4 4 4" xfId="604" xr:uid="{00000000-0005-0000-0000-0000FC3C0000}"/>
    <cellStyle name="20% - Accent5 4 4 4 2" xfId="2244" xr:uid="{00000000-0005-0000-0000-0000FD3C0000}"/>
    <cellStyle name="20% - Accent5 4 4 4 2 2" xfId="7106" xr:uid="{00000000-0005-0000-0000-0000FE3C0000}"/>
    <cellStyle name="20% - Accent5 4 4 4 2 2 2" xfId="26557" xr:uid="{00000000-0005-0000-0000-0000FF3C0000}"/>
    <cellStyle name="20% - Accent5 4 4 4 2 2 3" xfId="36282" xr:uid="{00000000-0005-0000-0000-0000003D0000}"/>
    <cellStyle name="20% - Accent5 4 4 4 2 2 4" xfId="46007" xr:uid="{00000000-0005-0000-0000-0000013D0000}"/>
    <cellStyle name="20% - Accent5 4 4 4 2 2 5" xfId="16832" xr:uid="{00000000-0005-0000-0000-0000023D0000}"/>
    <cellStyle name="20% - Accent5 4 4 4 2 3" xfId="21695" xr:uid="{00000000-0005-0000-0000-0000033D0000}"/>
    <cellStyle name="20% - Accent5 4 4 4 2 4" xfId="31420" xr:uid="{00000000-0005-0000-0000-0000043D0000}"/>
    <cellStyle name="20% - Accent5 4 4 4 2 5" xfId="41145" xr:uid="{00000000-0005-0000-0000-0000053D0000}"/>
    <cellStyle name="20% - Accent5 4 4 4 2 6" xfId="11970" xr:uid="{00000000-0005-0000-0000-0000063D0000}"/>
    <cellStyle name="20% - Accent5 4 4 4 3" xfId="3864" xr:uid="{00000000-0005-0000-0000-0000073D0000}"/>
    <cellStyle name="20% - Accent5 4 4 4 3 2" xfId="8726" xr:uid="{00000000-0005-0000-0000-0000083D0000}"/>
    <cellStyle name="20% - Accent5 4 4 4 3 2 2" xfId="28177" xr:uid="{00000000-0005-0000-0000-0000093D0000}"/>
    <cellStyle name="20% - Accent5 4 4 4 3 2 3" xfId="37902" xr:uid="{00000000-0005-0000-0000-00000A3D0000}"/>
    <cellStyle name="20% - Accent5 4 4 4 3 2 4" xfId="47627" xr:uid="{00000000-0005-0000-0000-00000B3D0000}"/>
    <cellStyle name="20% - Accent5 4 4 4 3 2 5" xfId="18452" xr:uid="{00000000-0005-0000-0000-00000C3D0000}"/>
    <cellStyle name="20% - Accent5 4 4 4 3 3" xfId="23315" xr:uid="{00000000-0005-0000-0000-00000D3D0000}"/>
    <cellStyle name="20% - Accent5 4 4 4 3 4" xfId="33040" xr:uid="{00000000-0005-0000-0000-00000E3D0000}"/>
    <cellStyle name="20% - Accent5 4 4 4 3 5" xfId="42765" xr:uid="{00000000-0005-0000-0000-00000F3D0000}"/>
    <cellStyle name="20% - Accent5 4 4 4 3 6" xfId="13590" xr:uid="{00000000-0005-0000-0000-0000103D0000}"/>
    <cellStyle name="20% - Accent5 4 4 4 4" xfId="5486" xr:uid="{00000000-0005-0000-0000-0000113D0000}"/>
    <cellStyle name="20% - Accent5 4 4 4 4 2" xfId="24937" xr:uid="{00000000-0005-0000-0000-0000123D0000}"/>
    <cellStyle name="20% - Accent5 4 4 4 4 3" xfId="34662" xr:uid="{00000000-0005-0000-0000-0000133D0000}"/>
    <cellStyle name="20% - Accent5 4 4 4 4 4" xfId="44387" xr:uid="{00000000-0005-0000-0000-0000143D0000}"/>
    <cellStyle name="20% - Accent5 4 4 4 4 5" xfId="15212" xr:uid="{00000000-0005-0000-0000-0000153D0000}"/>
    <cellStyle name="20% - Accent5 4 4 4 5" xfId="20075" xr:uid="{00000000-0005-0000-0000-0000163D0000}"/>
    <cellStyle name="20% - Accent5 4 4 4 6" xfId="29800" xr:uid="{00000000-0005-0000-0000-0000173D0000}"/>
    <cellStyle name="20% - Accent5 4 4 4 7" xfId="39525" xr:uid="{00000000-0005-0000-0000-0000183D0000}"/>
    <cellStyle name="20% - Accent5 4 4 4 8" xfId="10350" xr:uid="{00000000-0005-0000-0000-0000193D0000}"/>
    <cellStyle name="20% - Accent5 4 4 5" xfId="1884" xr:uid="{00000000-0005-0000-0000-00001A3D0000}"/>
    <cellStyle name="20% - Accent5 4 4 5 2" xfId="6746" xr:uid="{00000000-0005-0000-0000-00001B3D0000}"/>
    <cellStyle name="20% - Accent5 4 4 5 2 2" xfId="26197" xr:uid="{00000000-0005-0000-0000-00001C3D0000}"/>
    <cellStyle name="20% - Accent5 4 4 5 2 3" xfId="35922" xr:uid="{00000000-0005-0000-0000-00001D3D0000}"/>
    <cellStyle name="20% - Accent5 4 4 5 2 4" xfId="45647" xr:uid="{00000000-0005-0000-0000-00001E3D0000}"/>
    <cellStyle name="20% - Accent5 4 4 5 2 5" xfId="16472" xr:uid="{00000000-0005-0000-0000-00001F3D0000}"/>
    <cellStyle name="20% - Accent5 4 4 5 3" xfId="21335" xr:uid="{00000000-0005-0000-0000-0000203D0000}"/>
    <cellStyle name="20% - Accent5 4 4 5 4" xfId="31060" xr:uid="{00000000-0005-0000-0000-0000213D0000}"/>
    <cellStyle name="20% - Accent5 4 4 5 5" xfId="40785" xr:uid="{00000000-0005-0000-0000-0000223D0000}"/>
    <cellStyle name="20% - Accent5 4 4 5 6" xfId="11610" xr:uid="{00000000-0005-0000-0000-0000233D0000}"/>
    <cellStyle name="20% - Accent5 4 4 6" xfId="3504" xr:uid="{00000000-0005-0000-0000-0000243D0000}"/>
    <cellStyle name="20% - Accent5 4 4 6 2" xfId="8366" xr:uid="{00000000-0005-0000-0000-0000253D0000}"/>
    <cellStyle name="20% - Accent5 4 4 6 2 2" xfId="27817" xr:uid="{00000000-0005-0000-0000-0000263D0000}"/>
    <cellStyle name="20% - Accent5 4 4 6 2 3" xfId="37542" xr:uid="{00000000-0005-0000-0000-0000273D0000}"/>
    <cellStyle name="20% - Accent5 4 4 6 2 4" xfId="47267" xr:uid="{00000000-0005-0000-0000-0000283D0000}"/>
    <cellStyle name="20% - Accent5 4 4 6 2 5" xfId="18092" xr:uid="{00000000-0005-0000-0000-0000293D0000}"/>
    <cellStyle name="20% - Accent5 4 4 6 3" xfId="22955" xr:uid="{00000000-0005-0000-0000-00002A3D0000}"/>
    <cellStyle name="20% - Accent5 4 4 6 4" xfId="32680" xr:uid="{00000000-0005-0000-0000-00002B3D0000}"/>
    <cellStyle name="20% - Accent5 4 4 6 5" xfId="42405" xr:uid="{00000000-0005-0000-0000-00002C3D0000}"/>
    <cellStyle name="20% - Accent5 4 4 6 6" xfId="13230" xr:uid="{00000000-0005-0000-0000-00002D3D0000}"/>
    <cellStyle name="20% - Accent5 4 4 7" xfId="5126" xr:uid="{00000000-0005-0000-0000-00002E3D0000}"/>
    <cellStyle name="20% - Accent5 4 4 7 2" xfId="24577" xr:uid="{00000000-0005-0000-0000-00002F3D0000}"/>
    <cellStyle name="20% - Accent5 4 4 7 3" xfId="34302" xr:uid="{00000000-0005-0000-0000-0000303D0000}"/>
    <cellStyle name="20% - Accent5 4 4 7 4" xfId="44027" xr:uid="{00000000-0005-0000-0000-0000313D0000}"/>
    <cellStyle name="20% - Accent5 4 4 7 5" xfId="14852" xr:uid="{00000000-0005-0000-0000-0000323D0000}"/>
    <cellStyle name="20% - Accent5 4 4 8" xfId="19715" xr:uid="{00000000-0005-0000-0000-0000333D0000}"/>
    <cellStyle name="20% - Accent5 4 4 9" xfId="29440" xr:uid="{00000000-0005-0000-0000-0000343D0000}"/>
    <cellStyle name="20% - Accent5 4 5" xfId="875" xr:uid="{00000000-0005-0000-0000-0000353D0000}"/>
    <cellStyle name="20% - Accent5 4 5 2" xfId="2514" xr:uid="{00000000-0005-0000-0000-0000363D0000}"/>
    <cellStyle name="20% - Accent5 4 5 2 2" xfId="7376" xr:uid="{00000000-0005-0000-0000-0000373D0000}"/>
    <cellStyle name="20% - Accent5 4 5 2 2 2" xfId="26827" xr:uid="{00000000-0005-0000-0000-0000383D0000}"/>
    <cellStyle name="20% - Accent5 4 5 2 2 3" xfId="36552" xr:uid="{00000000-0005-0000-0000-0000393D0000}"/>
    <cellStyle name="20% - Accent5 4 5 2 2 4" xfId="46277" xr:uid="{00000000-0005-0000-0000-00003A3D0000}"/>
    <cellStyle name="20% - Accent5 4 5 2 2 5" xfId="17102" xr:uid="{00000000-0005-0000-0000-00003B3D0000}"/>
    <cellStyle name="20% - Accent5 4 5 2 3" xfId="21965" xr:uid="{00000000-0005-0000-0000-00003C3D0000}"/>
    <cellStyle name="20% - Accent5 4 5 2 4" xfId="31690" xr:uid="{00000000-0005-0000-0000-00003D3D0000}"/>
    <cellStyle name="20% - Accent5 4 5 2 5" xfId="41415" xr:uid="{00000000-0005-0000-0000-00003E3D0000}"/>
    <cellStyle name="20% - Accent5 4 5 2 6" xfId="12240" xr:uid="{00000000-0005-0000-0000-00003F3D0000}"/>
    <cellStyle name="20% - Accent5 4 5 3" xfId="4134" xr:uid="{00000000-0005-0000-0000-0000403D0000}"/>
    <cellStyle name="20% - Accent5 4 5 3 2" xfId="8996" xr:uid="{00000000-0005-0000-0000-0000413D0000}"/>
    <cellStyle name="20% - Accent5 4 5 3 2 2" xfId="28447" xr:uid="{00000000-0005-0000-0000-0000423D0000}"/>
    <cellStyle name="20% - Accent5 4 5 3 2 3" xfId="38172" xr:uid="{00000000-0005-0000-0000-0000433D0000}"/>
    <cellStyle name="20% - Accent5 4 5 3 2 4" xfId="47897" xr:uid="{00000000-0005-0000-0000-0000443D0000}"/>
    <cellStyle name="20% - Accent5 4 5 3 2 5" xfId="18722" xr:uid="{00000000-0005-0000-0000-0000453D0000}"/>
    <cellStyle name="20% - Accent5 4 5 3 3" xfId="23585" xr:uid="{00000000-0005-0000-0000-0000463D0000}"/>
    <cellStyle name="20% - Accent5 4 5 3 4" xfId="33310" xr:uid="{00000000-0005-0000-0000-0000473D0000}"/>
    <cellStyle name="20% - Accent5 4 5 3 5" xfId="43035" xr:uid="{00000000-0005-0000-0000-0000483D0000}"/>
    <cellStyle name="20% - Accent5 4 5 3 6" xfId="13860" xr:uid="{00000000-0005-0000-0000-0000493D0000}"/>
    <cellStyle name="20% - Accent5 4 5 4" xfId="5756" xr:uid="{00000000-0005-0000-0000-00004A3D0000}"/>
    <cellStyle name="20% - Accent5 4 5 4 2" xfId="25207" xr:uid="{00000000-0005-0000-0000-00004B3D0000}"/>
    <cellStyle name="20% - Accent5 4 5 4 3" xfId="34932" xr:uid="{00000000-0005-0000-0000-00004C3D0000}"/>
    <cellStyle name="20% - Accent5 4 5 4 4" xfId="44657" xr:uid="{00000000-0005-0000-0000-00004D3D0000}"/>
    <cellStyle name="20% - Accent5 4 5 4 5" xfId="15482" xr:uid="{00000000-0005-0000-0000-00004E3D0000}"/>
    <cellStyle name="20% - Accent5 4 5 5" xfId="20345" xr:uid="{00000000-0005-0000-0000-00004F3D0000}"/>
    <cellStyle name="20% - Accent5 4 5 6" xfId="30070" xr:uid="{00000000-0005-0000-0000-0000503D0000}"/>
    <cellStyle name="20% - Accent5 4 5 7" xfId="39795" xr:uid="{00000000-0005-0000-0000-0000513D0000}"/>
    <cellStyle name="20% - Accent5 4 5 8" xfId="10620" xr:uid="{00000000-0005-0000-0000-0000523D0000}"/>
    <cellStyle name="20% - Accent5 4 6" xfId="1253" xr:uid="{00000000-0005-0000-0000-0000533D0000}"/>
    <cellStyle name="20% - Accent5 4 6 2" xfId="2874" xr:uid="{00000000-0005-0000-0000-0000543D0000}"/>
    <cellStyle name="20% - Accent5 4 6 2 2" xfId="7736" xr:uid="{00000000-0005-0000-0000-0000553D0000}"/>
    <cellStyle name="20% - Accent5 4 6 2 2 2" xfId="27187" xr:uid="{00000000-0005-0000-0000-0000563D0000}"/>
    <cellStyle name="20% - Accent5 4 6 2 2 3" xfId="36912" xr:uid="{00000000-0005-0000-0000-0000573D0000}"/>
    <cellStyle name="20% - Accent5 4 6 2 2 4" xfId="46637" xr:uid="{00000000-0005-0000-0000-0000583D0000}"/>
    <cellStyle name="20% - Accent5 4 6 2 2 5" xfId="17462" xr:uid="{00000000-0005-0000-0000-0000593D0000}"/>
    <cellStyle name="20% - Accent5 4 6 2 3" xfId="22325" xr:uid="{00000000-0005-0000-0000-00005A3D0000}"/>
    <cellStyle name="20% - Accent5 4 6 2 4" xfId="32050" xr:uid="{00000000-0005-0000-0000-00005B3D0000}"/>
    <cellStyle name="20% - Accent5 4 6 2 5" xfId="41775" xr:uid="{00000000-0005-0000-0000-00005C3D0000}"/>
    <cellStyle name="20% - Accent5 4 6 2 6" xfId="12600" xr:uid="{00000000-0005-0000-0000-00005D3D0000}"/>
    <cellStyle name="20% - Accent5 4 6 3" xfId="4494" xr:uid="{00000000-0005-0000-0000-00005E3D0000}"/>
    <cellStyle name="20% - Accent5 4 6 3 2" xfId="9356" xr:uid="{00000000-0005-0000-0000-00005F3D0000}"/>
    <cellStyle name="20% - Accent5 4 6 3 2 2" xfId="28807" xr:uid="{00000000-0005-0000-0000-0000603D0000}"/>
    <cellStyle name="20% - Accent5 4 6 3 2 3" xfId="38532" xr:uid="{00000000-0005-0000-0000-0000613D0000}"/>
    <cellStyle name="20% - Accent5 4 6 3 2 4" xfId="48257" xr:uid="{00000000-0005-0000-0000-0000623D0000}"/>
    <cellStyle name="20% - Accent5 4 6 3 2 5" xfId="19082" xr:uid="{00000000-0005-0000-0000-0000633D0000}"/>
    <cellStyle name="20% - Accent5 4 6 3 3" xfId="23945" xr:uid="{00000000-0005-0000-0000-0000643D0000}"/>
    <cellStyle name="20% - Accent5 4 6 3 4" xfId="33670" xr:uid="{00000000-0005-0000-0000-0000653D0000}"/>
    <cellStyle name="20% - Accent5 4 6 3 5" xfId="43395" xr:uid="{00000000-0005-0000-0000-0000663D0000}"/>
    <cellStyle name="20% - Accent5 4 6 3 6" xfId="14220" xr:uid="{00000000-0005-0000-0000-0000673D0000}"/>
    <cellStyle name="20% - Accent5 4 6 4" xfId="6116" xr:uid="{00000000-0005-0000-0000-0000683D0000}"/>
    <cellStyle name="20% - Accent5 4 6 4 2" xfId="25567" xr:uid="{00000000-0005-0000-0000-0000693D0000}"/>
    <cellStyle name="20% - Accent5 4 6 4 3" xfId="35292" xr:uid="{00000000-0005-0000-0000-00006A3D0000}"/>
    <cellStyle name="20% - Accent5 4 6 4 4" xfId="45017" xr:uid="{00000000-0005-0000-0000-00006B3D0000}"/>
    <cellStyle name="20% - Accent5 4 6 4 5" xfId="15842" xr:uid="{00000000-0005-0000-0000-00006C3D0000}"/>
    <cellStyle name="20% - Accent5 4 6 5" xfId="20705" xr:uid="{00000000-0005-0000-0000-00006D3D0000}"/>
    <cellStyle name="20% - Accent5 4 6 6" xfId="30430" xr:uid="{00000000-0005-0000-0000-00006E3D0000}"/>
    <cellStyle name="20% - Accent5 4 6 7" xfId="40155" xr:uid="{00000000-0005-0000-0000-00006F3D0000}"/>
    <cellStyle name="20% - Accent5 4 6 8" xfId="10980" xr:uid="{00000000-0005-0000-0000-0000703D0000}"/>
    <cellStyle name="20% - Accent5 4 7" xfId="1343" xr:uid="{00000000-0005-0000-0000-0000713D0000}"/>
    <cellStyle name="20% - Accent5 4 7 2" xfId="2964" xr:uid="{00000000-0005-0000-0000-0000723D0000}"/>
    <cellStyle name="20% - Accent5 4 7 2 2" xfId="7826" xr:uid="{00000000-0005-0000-0000-0000733D0000}"/>
    <cellStyle name="20% - Accent5 4 7 2 2 2" xfId="27277" xr:uid="{00000000-0005-0000-0000-0000743D0000}"/>
    <cellStyle name="20% - Accent5 4 7 2 2 3" xfId="37002" xr:uid="{00000000-0005-0000-0000-0000753D0000}"/>
    <cellStyle name="20% - Accent5 4 7 2 2 4" xfId="46727" xr:uid="{00000000-0005-0000-0000-0000763D0000}"/>
    <cellStyle name="20% - Accent5 4 7 2 2 5" xfId="17552" xr:uid="{00000000-0005-0000-0000-0000773D0000}"/>
    <cellStyle name="20% - Accent5 4 7 2 3" xfId="22415" xr:uid="{00000000-0005-0000-0000-0000783D0000}"/>
    <cellStyle name="20% - Accent5 4 7 2 4" xfId="32140" xr:uid="{00000000-0005-0000-0000-0000793D0000}"/>
    <cellStyle name="20% - Accent5 4 7 2 5" xfId="41865" xr:uid="{00000000-0005-0000-0000-00007A3D0000}"/>
    <cellStyle name="20% - Accent5 4 7 2 6" xfId="12690" xr:uid="{00000000-0005-0000-0000-00007B3D0000}"/>
    <cellStyle name="20% - Accent5 4 7 3" xfId="4584" xr:uid="{00000000-0005-0000-0000-00007C3D0000}"/>
    <cellStyle name="20% - Accent5 4 7 3 2" xfId="9446" xr:uid="{00000000-0005-0000-0000-00007D3D0000}"/>
    <cellStyle name="20% - Accent5 4 7 3 2 2" xfId="28897" xr:uid="{00000000-0005-0000-0000-00007E3D0000}"/>
    <cellStyle name="20% - Accent5 4 7 3 2 3" xfId="38622" xr:uid="{00000000-0005-0000-0000-00007F3D0000}"/>
    <cellStyle name="20% - Accent5 4 7 3 2 4" xfId="48347" xr:uid="{00000000-0005-0000-0000-0000803D0000}"/>
    <cellStyle name="20% - Accent5 4 7 3 2 5" xfId="19172" xr:uid="{00000000-0005-0000-0000-0000813D0000}"/>
    <cellStyle name="20% - Accent5 4 7 3 3" xfId="24035" xr:uid="{00000000-0005-0000-0000-0000823D0000}"/>
    <cellStyle name="20% - Accent5 4 7 3 4" xfId="33760" xr:uid="{00000000-0005-0000-0000-0000833D0000}"/>
    <cellStyle name="20% - Accent5 4 7 3 5" xfId="43485" xr:uid="{00000000-0005-0000-0000-0000843D0000}"/>
    <cellStyle name="20% - Accent5 4 7 3 6" xfId="14310" xr:uid="{00000000-0005-0000-0000-0000853D0000}"/>
    <cellStyle name="20% - Accent5 4 7 4" xfId="6206" xr:uid="{00000000-0005-0000-0000-0000863D0000}"/>
    <cellStyle name="20% - Accent5 4 7 4 2" xfId="25657" xr:uid="{00000000-0005-0000-0000-0000873D0000}"/>
    <cellStyle name="20% - Accent5 4 7 4 3" xfId="35382" xr:uid="{00000000-0005-0000-0000-0000883D0000}"/>
    <cellStyle name="20% - Accent5 4 7 4 4" xfId="45107" xr:uid="{00000000-0005-0000-0000-0000893D0000}"/>
    <cellStyle name="20% - Accent5 4 7 4 5" xfId="15932" xr:uid="{00000000-0005-0000-0000-00008A3D0000}"/>
    <cellStyle name="20% - Accent5 4 7 5" xfId="20795" xr:uid="{00000000-0005-0000-0000-00008B3D0000}"/>
    <cellStyle name="20% - Accent5 4 7 6" xfId="30520" xr:uid="{00000000-0005-0000-0000-00008C3D0000}"/>
    <cellStyle name="20% - Accent5 4 7 7" xfId="40245" xr:uid="{00000000-0005-0000-0000-00008D3D0000}"/>
    <cellStyle name="20% - Accent5 4 7 8" xfId="11070" xr:uid="{00000000-0005-0000-0000-00008E3D0000}"/>
    <cellStyle name="20% - Accent5 4 8" xfId="514" xr:uid="{00000000-0005-0000-0000-00008F3D0000}"/>
    <cellStyle name="20% - Accent5 4 8 2" xfId="2154" xr:uid="{00000000-0005-0000-0000-0000903D0000}"/>
    <cellStyle name="20% - Accent5 4 8 2 2" xfId="7016" xr:uid="{00000000-0005-0000-0000-0000913D0000}"/>
    <cellStyle name="20% - Accent5 4 8 2 2 2" xfId="26467" xr:uid="{00000000-0005-0000-0000-0000923D0000}"/>
    <cellStyle name="20% - Accent5 4 8 2 2 3" xfId="36192" xr:uid="{00000000-0005-0000-0000-0000933D0000}"/>
    <cellStyle name="20% - Accent5 4 8 2 2 4" xfId="45917" xr:uid="{00000000-0005-0000-0000-0000943D0000}"/>
    <cellStyle name="20% - Accent5 4 8 2 2 5" xfId="16742" xr:uid="{00000000-0005-0000-0000-0000953D0000}"/>
    <cellStyle name="20% - Accent5 4 8 2 3" xfId="21605" xr:uid="{00000000-0005-0000-0000-0000963D0000}"/>
    <cellStyle name="20% - Accent5 4 8 2 4" xfId="31330" xr:uid="{00000000-0005-0000-0000-0000973D0000}"/>
    <cellStyle name="20% - Accent5 4 8 2 5" xfId="41055" xr:uid="{00000000-0005-0000-0000-0000983D0000}"/>
    <cellStyle name="20% - Accent5 4 8 2 6" xfId="11880" xr:uid="{00000000-0005-0000-0000-0000993D0000}"/>
    <cellStyle name="20% - Accent5 4 8 3" xfId="3774" xr:uid="{00000000-0005-0000-0000-00009A3D0000}"/>
    <cellStyle name="20% - Accent5 4 8 3 2" xfId="8636" xr:uid="{00000000-0005-0000-0000-00009B3D0000}"/>
    <cellStyle name="20% - Accent5 4 8 3 2 2" xfId="28087" xr:uid="{00000000-0005-0000-0000-00009C3D0000}"/>
    <cellStyle name="20% - Accent5 4 8 3 2 3" xfId="37812" xr:uid="{00000000-0005-0000-0000-00009D3D0000}"/>
    <cellStyle name="20% - Accent5 4 8 3 2 4" xfId="47537" xr:uid="{00000000-0005-0000-0000-00009E3D0000}"/>
    <cellStyle name="20% - Accent5 4 8 3 2 5" xfId="18362" xr:uid="{00000000-0005-0000-0000-00009F3D0000}"/>
    <cellStyle name="20% - Accent5 4 8 3 3" xfId="23225" xr:uid="{00000000-0005-0000-0000-0000A03D0000}"/>
    <cellStyle name="20% - Accent5 4 8 3 4" xfId="32950" xr:uid="{00000000-0005-0000-0000-0000A13D0000}"/>
    <cellStyle name="20% - Accent5 4 8 3 5" xfId="42675" xr:uid="{00000000-0005-0000-0000-0000A23D0000}"/>
    <cellStyle name="20% - Accent5 4 8 3 6" xfId="13500" xr:uid="{00000000-0005-0000-0000-0000A33D0000}"/>
    <cellStyle name="20% - Accent5 4 8 4" xfId="5396" xr:uid="{00000000-0005-0000-0000-0000A43D0000}"/>
    <cellStyle name="20% - Accent5 4 8 4 2" xfId="24847" xr:uid="{00000000-0005-0000-0000-0000A53D0000}"/>
    <cellStyle name="20% - Accent5 4 8 4 3" xfId="34572" xr:uid="{00000000-0005-0000-0000-0000A63D0000}"/>
    <cellStyle name="20% - Accent5 4 8 4 4" xfId="44297" xr:uid="{00000000-0005-0000-0000-0000A73D0000}"/>
    <cellStyle name="20% - Accent5 4 8 4 5" xfId="15122" xr:uid="{00000000-0005-0000-0000-0000A83D0000}"/>
    <cellStyle name="20% - Accent5 4 8 5" xfId="19985" xr:uid="{00000000-0005-0000-0000-0000A93D0000}"/>
    <cellStyle name="20% - Accent5 4 8 6" xfId="29710" xr:uid="{00000000-0005-0000-0000-0000AA3D0000}"/>
    <cellStyle name="20% - Accent5 4 8 7" xfId="39435" xr:uid="{00000000-0005-0000-0000-0000AB3D0000}"/>
    <cellStyle name="20% - Accent5 4 8 8" xfId="10260" xr:uid="{00000000-0005-0000-0000-0000AC3D0000}"/>
    <cellStyle name="20% - Accent5 4 9" xfId="1703" xr:uid="{00000000-0005-0000-0000-0000AD3D0000}"/>
    <cellStyle name="20% - Accent5 4 9 2" xfId="3324" xr:uid="{00000000-0005-0000-0000-0000AE3D0000}"/>
    <cellStyle name="20% - Accent5 4 9 2 2" xfId="8186" xr:uid="{00000000-0005-0000-0000-0000AF3D0000}"/>
    <cellStyle name="20% - Accent5 4 9 2 2 2" xfId="27637" xr:uid="{00000000-0005-0000-0000-0000B03D0000}"/>
    <cellStyle name="20% - Accent5 4 9 2 2 3" xfId="37362" xr:uid="{00000000-0005-0000-0000-0000B13D0000}"/>
    <cellStyle name="20% - Accent5 4 9 2 2 4" xfId="47087" xr:uid="{00000000-0005-0000-0000-0000B23D0000}"/>
    <cellStyle name="20% - Accent5 4 9 2 2 5" xfId="17912" xr:uid="{00000000-0005-0000-0000-0000B33D0000}"/>
    <cellStyle name="20% - Accent5 4 9 2 3" xfId="22775" xr:uid="{00000000-0005-0000-0000-0000B43D0000}"/>
    <cellStyle name="20% - Accent5 4 9 2 4" xfId="32500" xr:uid="{00000000-0005-0000-0000-0000B53D0000}"/>
    <cellStyle name="20% - Accent5 4 9 2 5" xfId="42225" xr:uid="{00000000-0005-0000-0000-0000B63D0000}"/>
    <cellStyle name="20% - Accent5 4 9 2 6" xfId="13050" xr:uid="{00000000-0005-0000-0000-0000B73D0000}"/>
    <cellStyle name="20% - Accent5 4 9 3" xfId="4944" xr:uid="{00000000-0005-0000-0000-0000B83D0000}"/>
    <cellStyle name="20% - Accent5 4 9 3 2" xfId="9806" xr:uid="{00000000-0005-0000-0000-0000B93D0000}"/>
    <cellStyle name="20% - Accent5 4 9 3 2 2" xfId="29257" xr:uid="{00000000-0005-0000-0000-0000BA3D0000}"/>
    <cellStyle name="20% - Accent5 4 9 3 2 3" xfId="38982" xr:uid="{00000000-0005-0000-0000-0000BB3D0000}"/>
    <cellStyle name="20% - Accent5 4 9 3 2 4" xfId="48707" xr:uid="{00000000-0005-0000-0000-0000BC3D0000}"/>
    <cellStyle name="20% - Accent5 4 9 3 2 5" xfId="19532" xr:uid="{00000000-0005-0000-0000-0000BD3D0000}"/>
    <cellStyle name="20% - Accent5 4 9 3 3" xfId="24395" xr:uid="{00000000-0005-0000-0000-0000BE3D0000}"/>
    <cellStyle name="20% - Accent5 4 9 3 4" xfId="34120" xr:uid="{00000000-0005-0000-0000-0000BF3D0000}"/>
    <cellStyle name="20% - Accent5 4 9 3 5" xfId="43845" xr:uid="{00000000-0005-0000-0000-0000C03D0000}"/>
    <cellStyle name="20% - Accent5 4 9 3 6" xfId="14670" xr:uid="{00000000-0005-0000-0000-0000C13D0000}"/>
    <cellStyle name="20% - Accent5 4 9 4" xfId="6566" xr:uid="{00000000-0005-0000-0000-0000C23D0000}"/>
    <cellStyle name="20% - Accent5 4 9 4 2" xfId="26017" xr:uid="{00000000-0005-0000-0000-0000C33D0000}"/>
    <cellStyle name="20% - Accent5 4 9 4 3" xfId="35742" xr:uid="{00000000-0005-0000-0000-0000C43D0000}"/>
    <cellStyle name="20% - Accent5 4 9 4 4" xfId="45467" xr:uid="{00000000-0005-0000-0000-0000C53D0000}"/>
    <cellStyle name="20% - Accent5 4 9 4 5" xfId="16292" xr:uid="{00000000-0005-0000-0000-0000C63D0000}"/>
    <cellStyle name="20% - Accent5 4 9 5" xfId="21155" xr:uid="{00000000-0005-0000-0000-0000C73D0000}"/>
    <cellStyle name="20% - Accent5 4 9 6" xfId="30880" xr:uid="{00000000-0005-0000-0000-0000C83D0000}"/>
    <cellStyle name="20% - Accent5 4 9 7" xfId="40605" xr:uid="{00000000-0005-0000-0000-0000C93D0000}"/>
    <cellStyle name="20% - Accent5 4 9 8" xfId="11430" xr:uid="{00000000-0005-0000-0000-0000CA3D0000}"/>
    <cellStyle name="20% - Accent5 5" xfId="232" xr:uid="{00000000-0005-0000-0000-0000CB3D0000}"/>
    <cellStyle name="20% - Accent5 5 10" xfId="39195" xr:uid="{00000000-0005-0000-0000-0000CC3D0000}"/>
    <cellStyle name="20% - Accent5 5 11" xfId="10020" xr:uid="{00000000-0005-0000-0000-0000CD3D0000}"/>
    <cellStyle name="20% - Accent5 5 2" xfId="996" xr:uid="{00000000-0005-0000-0000-0000CE3D0000}"/>
    <cellStyle name="20% - Accent5 5 2 2" xfId="2634" xr:uid="{00000000-0005-0000-0000-0000CF3D0000}"/>
    <cellStyle name="20% - Accent5 5 2 2 2" xfId="7496" xr:uid="{00000000-0005-0000-0000-0000D03D0000}"/>
    <cellStyle name="20% - Accent5 5 2 2 2 2" xfId="26947" xr:uid="{00000000-0005-0000-0000-0000D13D0000}"/>
    <cellStyle name="20% - Accent5 5 2 2 2 3" xfId="36672" xr:uid="{00000000-0005-0000-0000-0000D23D0000}"/>
    <cellStyle name="20% - Accent5 5 2 2 2 4" xfId="46397" xr:uid="{00000000-0005-0000-0000-0000D33D0000}"/>
    <cellStyle name="20% - Accent5 5 2 2 2 5" xfId="17222" xr:uid="{00000000-0005-0000-0000-0000D43D0000}"/>
    <cellStyle name="20% - Accent5 5 2 2 3" xfId="22085" xr:uid="{00000000-0005-0000-0000-0000D53D0000}"/>
    <cellStyle name="20% - Accent5 5 2 2 4" xfId="31810" xr:uid="{00000000-0005-0000-0000-0000D63D0000}"/>
    <cellStyle name="20% - Accent5 5 2 2 5" xfId="41535" xr:uid="{00000000-0005-0000-0000-0000D73D0000}"/>
    <cellStyle name="20% - Accent5 5 2 2 6" xfId="12360" xr:uid="{00000000-0005-0000-0000-0000D83D0000}"/>
    <cellStyle name="20% - Accent5 5 2 3" xfId="4254" xr:uid="{00000000-0005-0000-0000-0000D93D0000}"/>
    <cellStyle name="20% - Accent5 5 2 3 2" xfId="9116" xr:uid="{00000000-0005-0000-0000-0000DA3D0000}"/>
    <cellStyle name="20% - Accent5 5 2 3 2 2" xfId="28567" xr:uid="{00000000-0005-0000-0000-0000DB3D0000}"/>
    <cellStyle name="20% - Accent5 5 2 3 2 3" xfId="38292" xr:uid="{00000000-0005-0000-0000-0000DC3D0000}"/>
    <cellStyle name="20% - Accent5 5 2 3 2 4" xfId="48017" xr:uid="{00000000-0005-0000-0000-0000DD3D0000}"/>
    <cellStyle name="20% - Accent5 5 2 3 2 5" xfId="18842" xr:uid="{00000000-0005-0000-0000-0000DE3D0000}"/>
    <cellStyle name="20% - Accent5 5 2 3 3" xfId="23705" xr:uid="{00000000-0005-0000-0000-0000DF3D0000}"/>
    <cellStyle name="20% - Accent5 5 2 3 4" xfId="33430" xr:uid="{00000000-0005-0000-0000-0000E03D0000}"/>
    <cellStyle name="20% - Accent5 5 2 3 5" xfId="43155" xr:uid="{00000000-0005-0000-0000-0000E13D0000}"/>
    <cellStyle name="20% - Accent5 5 2 3 6" xfId="13980" xr:uid="{00000000-0005-0000-0000-0000E23D0000}"/>
    <cellStyle name="20% - Accent5 5 2 4" xfId="5876" xr:uid="{00000000-0005-0000-0000-0000E33D0000}"/>
    <cellStyle name="20% - Accent5 5 2 4 2" xfId="25327" xr:uid="{00000000-0005-0000-0000-0000E43D0000}"/>
    <cellStyle name="20% - Accent5 5 2 4 3" xfId="35052" xr:uid="{00000000-0005-0000-0000-0000E53D0000}"/>
    <cellStyle name="20% - Accent5 5 2 4 4" xfId="44777" xr:uid="{00000000-0005-0000-0000-0000E63D0000}"/>
    <cellStyle name="20% - Accent5 5 2 4 5" xfId="15602" xr:uid="{00000000-0005-0000-0000-0000E73D0000}"/>
    <cellStyle name="20% - Accent5 5 2 5" xfId="20465" xr:uid="{00000000-0005-0000-0000-0000E83D0000}"/>
    <cellStyle name="20% - Accent5 5 2 6" xfId="30190" xr:uid="{00000000-0005-0000-0000-0000E93D0000}"/>
    <cellStyle name="20% - Accent5 5 2 7" xfId="39915" xr:uid="{00000000-0005-0000-0000-0000EA3D0000}"/>
    <cellStyle name="20% - Accent5 5 2 8" xfId="10740" xr:uid="{00000000-0005-0000-0000-0000EB3D0000}"/>
    <cellStyle name="20% - Accent5 5 3" xfId="1463" xr:uid="{00000000-0005-0000-0000-0000EC3D0000}"/>
    <cellStyle name="20% - Accent5 5 3 2" xfId="3084" xr:uid="{00000000-0005-0000-0000-0000ED3D0000}"/>
    <cellStyle name="20% - Accent5 5 3 2 2" xfId="7946" xr:uid="{00000000-0005-0000-0000-0000EE3D0000}"/>
    <cellStyle name="20% - Accent5 5 3 2 2 2" xfId="27397" xr:uid="{00000000-0005-0000-0000-0000EF3D0000}"/>
    <cellStyle name="20% - Accent5 5 3 2 2 3" xfId="37122" xr:uid="{00000000-0005-0000-0000-0000F03D0000}"/>
    <cellStyle name="20% - Accent5 5 3 2 2 4" xfId="46847" xr:uid="{00000000-0005-0000-0000-0000F13D0000}"/>
    <cellStyle name="20% - Accent5 5 3 2 2 5" xfId="17672" xr:uid="{00000000-0005-0000-0000-0000F23D0000}"/>
    <cellStyle name="20% - Accent5 5 3 2 3" xfId="22535" xr:uid="{00000000-0005-0000-0000-0000F33D0000}"/>
    <cellStyle name="20% - Accent5 5 3 2 4" xfId="32260" xr:uid="{00000000-0005-0000-0000-0000F43D0000}"/>
    <cellStyle name="20% - Accent5 5 3 2 5" xfId="41985" xr:uid="{00000000-0005-0000-0000-0000F53D0000}"/>
    <cellStyle name="20% - Accent5 5 3 2 6" xfId="12810" xr:uid="{00000000-0005-0000-0000-0000F63D0000}"/>
    <cellStyle name="20% - Accent5 5 3 3" xfId="4704" xr:uid="{00000000-0005-0000-0000-0000F73D0000}"/>
    <cellStyle name="20% - Accent5 5 3 3 2" xfId="9566" xr:uid="{00000000-0005-0000-0000-0000F83D0000}"/>
    <cellStyle name="20% - Accent5 5 3 3 2 2" xfId="29017" xr:uid="{00000000-0005-0000-0000-0000F93D0000}"/>
    <cellStyle name="20% - Accent5 5 3 3 2 3" xfId="38742" xr:uid="{00000000-0005-0000-0000-0000FA3D0000}"/>
    <cellStyle name="20% - Accent5 5 3 3 2 4" xfId="48467" xr:uid="{00000000-0005-0000-0000-0000FB3D0000}"/>
    <cellStyle name="20% - Accent5 5 3 3 2 5" xfId="19292" xr:uid="{00000000-0005-0000-0000-0000FC3D0000}"/>
    <cellStyle name="20% - Accent5 5 3 3 3" xfId="24155" xr:uid="{00000000-0005-0000-0000-0000FD3D0000}"/>
    <cellStyle name="20% - Accent5 5 3 3 4" xfId="33880" xr:uid="{00000000-0005-0000-0000-0000FE3D0000}"/>
    <cellStyle name="20% - Accent5 5 3 3 5" xfId="43605" xr:uid="{00000000-0005-0000-0000-0000FF3D0000}"/>
    <cellStyle name="20% - Accent5 5 3 3 6" xfId="14430" xr:uid="{00000000-0005-0000-0000-0000003E0000}"/>
    <cellStyle name="20% - Accent5 5 3 4" xfId="6326" xr:uid="{00000000-0005-0000-0000-0000013E0000}"/>
    <cellStyle name="20% - Accent5 5 3 4 2" xfId="25777" xr:uid="{00000000-0005-0000-0000-0000023E0000}"/>
    <cellStyle name="20% - Accent5 5 3 4 3" xfId="35502" xr:uid="{00000000-0005-0000-0000-0000033E0000}"/>
    <cellStyle name="20% - Accent5 5 3 4 4" xfId="45227" xr:uid="{00000000-0005-0000-0000-0000043E0000}"/>
    <cellStyle name="20% - Accent5 5 3 4 5" xfId="16052" xr:uid="{00000000-0005-0000-0000-0000053E0000}"/>
    <cellStyle name="20% - Accent5 5 3 5" xfId="20915" xr:uid="{00000000-0005-0000-0000-0000063E0000}"/>
    <cellStyle name="20% - Accent5 5 3 6" xfId="30640" xr:uid="{00000000-0005-0000-0000-0000073E0000}"/>
    <cellStyle name="20% - Accent5 5 3 7" xfId="40365" xr:uid="{00000000-0005-0000-0000-0000083E0000}"/>
    <cellStyle name="20% - Accent5 5 3 8" xfId="11190" xr:uid="{00000000-0005-0000-0000-0000093E0000}"/>
    <cellStyle name="20% - Accent5 5 4" xfId="634" xr:uid="{00000000-0005-0000-0000-00000A3E0000}"/>
    <cellStyle name="20% - Accent5 5 4 2" xfId="2274" xr:uid="{00000000-0005-0000-0000-00000B3E0000}"/>
    <cellStyle name="20% - Accent5 5 4 2 2" xfId="7136" xr:uid="{00000000-0005-0000-0000-00000C3E0000}"/>
    <cellStyle name="20% - Accent5 5 4 2 2 2" xfId="26587" xr:uid="{00000000-0005-0000-0000-00000D3E0000}"/>
    <cellStyle name="20% - Accent5 5 4 2 2 3" xfId="36312" xr:uid="{00000000-0005-0000-0000-00000E3E0000}"/>
    <cellStyle name="20% - Accent5 5 4 2 2 4" xfId="46037" xr:uid="{00000000-0005-0000-0000-00000F3E0000}"/>
    <cellStyle name="20% - Accent5 5 4 2 2 5" xfId="16862" xr:uid="{00000000-0005-0000-0000-0000103E0000}"/>
    <cellStyle name="20% - Accent5 5 4 2 3" xfId="21725" xr:uid="{00000000-0005-0000-0000-0000113E0000}"/>
    <cellStyle name="20% - Accent5 5 4 2 4" xfId="31450" xr:uid="{00000000-0005-0000-0000-0000123E0000}"/>
    <cellStyle name="20% - Accent5 5 4 2 5" xfId="41175" xr:uid="{00000000-0005-0000-0000-0000133E0000}"/>
    <cellStyle name="20% - Accent5 5 4 2 6" xfId="12000" xr:uid="{00000000-0005-0000-0000-0000143E0000}"/>
    <cellStyle name="20% - Accent5 5 4 3" xfId="3894" xr:uid="{00000000-0005-0000-0000-0000153E0000}"/>
    <cellStyle name="20% - Accent5 5 4 3 2" xfId="8756" xr:uid="{00000000-0005-0000-0000-0000163E0000}"/>
    <cellStyle name="20% - Accent5 5 4 3 2 2" xfId="28207" xr:uid="{00000000-0005-0000-0000-0000173E0000}"/>
    <cellStyle name="20% - Accent5 5 4 3 2 3" xfId="37932" xr:uid="{00000000-0005-0000-0000-0000183E0000}"/>
    <cellStyle name="20% - Accent5 5 4 3 2 4" xfId="47657" xr:uid="{00000000-0005-0000-0000-0000193E0000}"/>
    <cellStyle name="20% - Accent5 5 4 3 2 5" xfId="18482" xr:uid="{00000000-0005-0000-0000-00001A3E0000}"/>
    <cellStyle name="20% - Accent5 5 4 3 3" xfId="23345" xr:uid="{00000000-0005-0000-0000-00001B3E0000}"/>
    <cellStyle name="20% - Accent5 5 4 3 4" xfId="33070" xr:uid="{00000000-0005-0000-0000-00001C3E0000}"/>
    <cellStyle name="20% - Accent5 5 4 3 5" xfId="42795" xr:uid="{00000000-0005-0000-0000-00001D3E0000}"/>
    <cellStyle name="20% - Accent5 5 4 3 6" xfId="13620" xr:uid="{00000000-0005-0000-0000-00001E3E0000}"/>
    <cellStyle name="20% - Accent5 5 4 4" xfId="5516" xr:uid="{00000000-0005-0000-0000-00001F3E0000}"/>
    <cellStyle name="20% - Accent5 5 4 4 2" xfId="24967" xr:uid="{00000000-0005-0000-0000-0000203E0000}"/>
    <cellStyle name="20% - Accent5 5 4 4 3" xfId="34692" xr:uid="{00000000-0005-0000-0000-0000213E0000}"/>
    <cellStyle name="20% - Accent5 5 4 4 4" xfId="44417" xr:uid="{00000000-0005-0000-0000-0000223E0000}"/>
    <cellStyle name="20% - Accent5 5 4 4 5" xfId="15242" xr:uid="{00000000-0005-0000-0000-0000233E0000}"/>
    <cellStyle name="20% - Accent5 5 4 5" xfId="20105" xr:uid="{00000000-0005-0000-0000-0000243E0000}"/>
    <cellStyle name="20% - Accent5 5 4 6" xfId="29830" xr:uid="{00000000-0005-0000-0000-0000253E0000}"/>
    <cellStyle name="20% - Accent5 5 4 7" xfId="39555" xr:uid="{00000000-0005-0000-0000-0000263E0000}"/>
    <cellStyle name="20% - Accent5 5 4 8" xfId="10380" xr:uid="{00000000-0005-0000-0000-0000273E0000}"/>
    <cellStyle name="20% - Accent5 5 5" xfId="1914" xr:uid="{00000000-0005-0000-0000-0000283E0000}"/>
    <cellStyle name="20% - Accent5 5 5 2" xfId="6776" xr:uid="{00000000-0005-0000-0000-0000293E0000}"/>
    <cellStyle name="20% - Accent5 5 5 2 2" xfId="26227" xr:uid="{00000000-0005-0000-0000-00002A3E0000}"/>
    <cellStyle name="20% - Accent5 5 5 2 3" xfId="35952" xr:uid="{00000000-0005-0000-0000-00002B3E0000}"/>
    <cellStyle name="20% - Accent5 5 5 2 4" xfId="45677" xr:uid="{00000000-0005-0000-0000-00002C3E0000}"/>
    <cellStyle name="20% - Accent5 5 5 2 5" xfId="16502" xr:uid="{00000000-0005-0000-0000-00002D3E0000}"/>
    <cellStyle name="20% - Accent5 5 5 3" xfId="21365" xr:uid="{00000000-0005-0000-0000-00002E3E0000}"/>
    <cellStyle name="20% - Accent5 5 5 4" xfId="31090" xr:uid="{00000000-0005-0000-0000-00002F3E0000}"/>
    <cellStyle name="20% - Accent5 5 5 5" xfId="40815" xr:uid="{00000000-0005-0000-0000-0000303E0000}"/>
    <cellStyle name="20% - Accent5 5 5 6" xfId="11640" xr:uid="{00000000-0005-0000-0000-0000313E0000}"/>
    <cellStyle name="20% - Accent5 5 6" xfId="3534" xr:uid="{00000000-0005-0000-0000-0000323E0000}"/>
    <cellStyle name="20% - Accent5 5 6 2" xfId="8396" xr:uid="{00000000-0005-0000-0000-0000333E0000}"/>
    <cellStyle name="20% - Accent5 5 6 2 2" xfId="27847" xr:uid="{00000000-0005-0000-0000-0000343E0000}"/>
    <cellStyle name="20% - Accent5 5 6 2 3" xfId="37572" xr:uid="{00000000-0005-0000-0000-0000353E0000}"/>
    <cellStyle name="20% - Accent5 5 6 2 4" xfId="47297" xr:uid="{00000000-0005-0000-0000-0000363E0000}"/>
    <cellStyle name="20% - Accent5 5 6 2 5" xfId="18122" xr:uid="{00000000-0005-0000-0000-0000373E0000}"/>
    <cellStyle name="20% - Accent5 5 6 3" xfId="22985" xr:uid="{00000000-0005-0000-0000-0000383E0000}"/>
    <cellStyle name="20% - Accent5 5 6 4" xfId="32710" xr:uid="{00000000-0005-0000-0000-0000393E0000}"/>
    <cellStyle name="20% - Accent5 5 6 5" xfId="42435" xr:uid="{00000000-0005-0000-0000-00003A3E0000}"/>
    <cellStyle name="20% - Accent5 5 6 6" xfId="13260" xr:uid="{00000000-0005-0000-0000-00003B3E0000}"/>
    <cellStyle name="20% - Accent5 5 7" xfId="5156" xr:uid="{00000000-0005-0000-0000-00003C3E0000}"/>
    <cellStyle name="20% - Accent5 5 7 2" xfId="24607" xr:uid="{00000000-0005-0000-0000-00003D3E0000}"/>
    <cellStyle name="20% - Accent5 5 7 3" xfId="34332" xr:uid="{00000000-0005-0000-0000-00003E3E0000}"/>
    <cellStyle name="20% - Accent5 5 7 4" xfId="44057" xr:uid="{00000000-0005-0000-0000-00003F3E0000}"/>
    <cellStyle name="20% - Accent5 5 7 5" xfId="14882" xr:uid="{00000000-0005-0000-0000-0000403E0000}"/>
    <cellStyle name="20% - Accent5 5 8" xfId="19745" xr:uid="{00000000-0005-0000-0000-0000413E0000}"/>
    <cellStyle name="20% - Accent5 5 9" xfId="29470" xr:uid="{00000000-0005-0000-0000-0000423E0000}"/>
    <cellStyle name="20% - Accent5 6" xfId="323" xr:uid="{00000000-0005-0000-0000-0000433E0000}"/>
    <cellStyle name="20% - Accent5 6 10" xfId="39285" xr:uid="{00000000-0005-0000-0000-0000443E0000}"/>
    <cellStyle name="20% - Accent5 6 11" xfId="10110" xr:uid="{00000000-0005-0000-0000-0000453E0000}"/>
    <cellStyle name="20% - Accent5 6 2" xfId="1086" xr:uid="{00000000-0005-0000-0000-0000463E0000}"/>
    <cellStyle name="20% - Accent5 6 2 2" xfId="2724" xr:uid="{00000000-0005-0000-0000-0000473E0000}"/>
    <cellStyle name="20% - Accent5 6 2 2 2" xfId="7586" xr:uid="{00000000-0005-0000-0000-0000483E0000}"/>
    <cellStyle name="20% - Accent5 6 2 2 2 2" xfId="27037" xr:uid="{00000000-0005-0000-0000-0000493E0000}"/>
    <cellStyle name="20% - Accent5 6 2 2 2 3" xfId="36762" xr:uid="{00000000-0005-0000-0000-00004A3E0000}"/>
    <cellStyle name="20% - Accent5 6 2 2 2 4" xfId="46487" xr:uid="{00000000-0005-0000-0000-00004B3E0000}"/>
    <cellStyle name="20% - Accent5 6 2 2 2 5" xfId="17312" xr:uid="{00000000-0005-0000-0000-00004C3E0000}"/>
    <cellStyle name="20% - Accent5 6 2 2 3" xfId="22175" xr:uid="{00000000-0005-0000-0000-00004D3E0000}"/>
    <cellStyle name="20% - Accent5 6 2 2 4" xfId="31900" xr:uid="{00000000-0005-0000-0000-00004E3E0000}"/>
    <cellStyle name="20% - Accent5 6 2 2 5" xfId="41625" xr:uid="{00000000-0005-0000-0000-00004F3E0000}"/>
    <cellStyle name="20% - Accent5 6 2 2 6" xfId="12450" xr:uid="{00000000-0005-0000-0000-0000503E0000}"/>
    <cellStyle name="20% - Accent5 6 2 3" xfId="4344" xr:uid="{00000000-0005-0000-0000-0000513E0000}"/>
    <cellStyle name="20% - Accent5 6 2 3 2" xfId="9206" xr:uid="{00000000-0005-0000-0000-0000523E0000}"/>
    <cellStyle name="20% - Accent5 6 2 3 2 2" xfId="28657" xr:uid="{00000000-0005-0000-0000-0000533E0000}"/>
    <cellStyle name="20% - Accent5 6 2 3 2 3" xfId="38382" xr:uid="{00000000-0005-0000-0000-0000543E0000}"/>
    <cellStyle name="20% - Accent5 6 2 3 2 4" xfId="48107" xr:uid="{00000000-0005-0000-0000-0000553E0000}"/>
    <cellStyle name="20% - Accent5 6 2 3 2 5" xfId="18932" xr:uid="{00000000-0005-0000-0000-0000563E0000}"/>
    <cellStyle name="20% - Accent5 6 2 3 3" xfId="23795" xr:uid="{00000000-0005-0000-0000-0000573E0000}"/>
    <cellStyle name="20% - Accent5 6 2 3 4" xfId="33520" xr:uid="{00000000-0005-0000-0000-0000583E0000}"/>
    <cellStyle name="20% - Accent5 6 2 3 5" xfId="43245" xr:uid="{00000000-0005-0000-0000-0000593E0000}"/>
    <cellStyle name="20% - Accent5 6 2 3 6" xfId="14070" xr:uid="{00000000-0005-0000-0000-00005A3E0000}"/>
    <cellStyle name="20% - Accent5 6 2 4" xfId="5966" xr:uid="{00000000-0005-0000-0000-00005B3E0000}"/>
    <cellStyle name="20% - Accent5 6 2 4 2" xfId="25417" xr:uid="{00000000-0005-0000-0000-00005C3E0000}"/>
    <cellStyle name="20% - Accent5 6 2 4 3" xfId="35142" xr:uid="{00000000-0005-0000-0000-00005D3E0000}"/>
    <cellStyle name="20% - Accent5 6 2 4 4" xfId="44867" xr:uid="{00000000-0005-0000-0000-00005E3E0000}"/>
    <cellStyle name="20% - Accent5 6 2 4 5" xfId="15692" xr:uid="{00000000-0005-0000-0000-00005F3E0000}"/>
    <cellStyle name="20% - Accent5 6 2 5" xfId="20555" xr:uid="{00000000-0005-0000-0000-0000603E0000}"/>
    <cellStyle name="20% - Accent5 6 2 6" xfId="30280" xr:uid="{00000000-0005-0000-0000-0000613E0000}"/>
    <cellStyle name="20% - Accent5 6 2 7" xfId="40005" xr:uid="{00000000-0005-0000-0000-0000623E0000}"/>
    <cellStyle name="20% - Accent5 6 2 8" xfId="10830" xr:uid="{00000000-0005-0000-0000-0000633E0000}"/>
    <cellStyle name="20% - Accent5 6 3" xfId="1553" xr:uid="{00000000-0005-0000-0000-0000643E0000}"/>
    <cellStyle name="20% - Accent5 6 3 2" xfId="3174" xr:uid="{00000000-0005-0000-0000-0000653E0000}"/>
    <cellStyle name="20% - Accent5 6 3 2 2" xfId="8036" xr:uid="{00000000-0005-0000-0000-0000663E0000}"/>
    <cellStyle name="20% - Accent5 6 3 2 2 2" xfId="27487" xr:uid="{00000000-0005-0000-0000-0000673E0000}"/>
    <cellStyle name="20% - Accent5 6 3 2 2 3" xfId="37212" xr:uid="{00000000-0005-0000-0000-0000683E0000}"/>
    <cellStyle name="20% - Accent5 6 3 2 2 4" xfId="46937" xr:uid="{00000000-0005-0000-0000-0000693E0000}"/>
    <cellStyle name="20% - Accent5 6 3 2 2 5" xfId="17762" xr:uid="{00000000-0005-0000-0000-00006A3E0000}"/>
    <cellStyle name="20% - Accent5 6 3 2 3" xfId="22625" xr:uid="{00000000-0005-0000-0000-00006B3E0000}"/>
    <cellStyle name="20% - Accent5 6 3 2 4" xfId="32350" xr:uid="{00000000-0005-0000-0000-00006C3E0000}"/>
    <cellStyle name="20% - Accent5 6 3 2 5" xfId="42075" xr:uid="{00000000-0005-0000-0000-00006D3E0000}"/>
    <cellStyle name="20% - Accent5 6 3 2 6" xfId="12900" xr:uid="{00000000-0005-0000-0000-00006E3E0000}"/>
    <cellStyle name="20% - Accent5 6 3 3" xfId="4794" xr:uid="{00000000-0005-0000-0000-00006F3E0000}"/>
    <cellStyle name="20% - Accent5 6 3 3 2" xfId="9656" xr:uid="{00000000-0005-0000-0000-0000703E0000}"/>
    <cellStyle name="20% - Accent5 6 3 3 2 2" xfId="29107" xr:uid="{00000000-0005-0000-0000-0000713E0000}"/>
    <cellStyle name="20% - Accent5 6 3 3 2 3" xfId="38832" xr:uid="{00000000-0005-0000-0000-0000723E0000}"/>
    <cellStyle name="20% - Accent5 6 3 3 2 4" xfId="48557" xr:uid="{00000000-0005-0000-0000-0000733E0000}"/>
    <cellStyle name="20% - Accent5 6 3 3 2 5" xfId="19382" xr:uid="{00000000-0005-0000-0000-0000743E0000}"/>
    <cellStyle name="20% - Accent5 6 3 3 3" xfId="24245" xr:uid="{00000000-0005-0000-0000-0000753E0000}"/>
    <cellStyle name="20% - Accent5 6 3 3 4" xfId="33970" xr:uid="{00000000-0005-0000-0000-0000763E0000}"/>
    <cellStyle name="20% - Accent5 6 3 3 5" xfId="43695" xr:uid="{00000000-0005-0000-0000-0000773E0000}"/>
    <cellStyle name="20% - Accent5 6 3 3 6" xfId="14520" xr:uid="{00000000-0005-0000-0000-0000783E0000}"/>
    <cellStyle name="20% - Accent5 6 3 4" xfId="6416" xr:uid="{00000000-0005-0000-0000-0000793E0000}"/>
    <cellStyle name="20% - Accent5 6 3 4 2" xfId="25867" xr:uid="{00000000-0005-0000-0000-00007A3E0000}"/>
    <cellStyle name="20% - Accent5 6 3 4 3" xfId="35592" xr:uid="{00000000-0005-0000-0000-00007B3E0000}"/>
    <cellStyle name="20% - Accent5 6 3 4 4" xfId="45317" xr:uid="{00000000-0005-0000-0000-00007C3E0000}"/>
    <cellStyle name="20% - Accent5 6 3 4 5" xfId="16142" xr:uid="{00000000-0005-0000-0000-00007D3E0000}"/>
    <cellStyle name="20% - Accent5 6 3 5" xfId="21005" xr:uid="{00000000-0005-0000-0000-00007E3E0000}"/>
    <cellStyle name="20% - Accent5 6 3 6" xfId="30730" xr:uid="{00000000-0005-0000-0000-00007F3E0000}"/>
    <cellStyle name="20% - Accent5 6 3 7" xfId="40455" xr:uid="{00000000-0005-0000-0000-0000803E0000}"/>
    <cellStyle name="20% - Accent5 6 3 8" xfId="11280" xr:uid="{00000000-0005-0000-0000-0000813E0000}"/>
    <cellStyle name="20% - Accent5 6 4" xfId="724" xr:uid="{00000000-0005-0000-0000-0000823E0000}"/>
    <cellStyle name="20% - Accent5 6 4 2" xfId="2364" xr:uid="{00000000-0005-0000-0000-0000833E0000}"/>
    <cellStyle name="20% - Accent5 6 4 2 2" xfId="7226" xr:uid="{00000000-0005-0000-0000-0000843E0000}"/>
    <cellStyle name="20% - Accent5 6 4 2 2 2" xfId="26677" xr:uid="{00000000-0005-0000-0000-0000853E0000}"/>
    <cellStyle name="20% - Accent5 6 4 2 2 3" xfId="36402" xr:uid="{00000000-0005-0000-0000-0000863E0000}"/>
    <cellStyle name="20% - Accent5 6 4 2 2 4" xfId="46127" xr:uid="{00000000-0005-0000-0000-0000873E0000}"/>
    <cellStyle name="20% - Accent5 6 4 2 2 5" xfId="16952" xr:uid="{00000000-0005-0000-0000-0000883E0000}"/>
    <cellStyle name="20% - Accent5 6 4 2 3" xfId="21815" xr:uid="{00000000-0005-0000-0000-0000893E0000}"/>
    <cellStyle name="20% - Accent5 6 4 2 4" xfId="31540" xr:uid="{00000000-0005-0000-0000-00008A3E0000}"/>
    <cellStyle name="20% - Accent5 6 4 2 5" xfId="41265" xr:uid="{00000000-0005-0000-0000-00008B3E0000}"/>
    <cellStyle name="20% - Accent5 6 4 2 6" xfId="12090" xr:uid="{00000000-0005-0000-0000-00008C3E0000}"/>
    <cellStyle name="20% - Accent5 6 4 3" xfId="3984" xr:uid="{00000000-0005-0000-0000-00008D3E0000}"/>
    <cellStyle name="20% - Accent5 6 4 3 2" xfId="8846" xr:uid="{00000000-0005-0000-0000-00008E3E0000}"/>
    <cellStyle name="20% - Accent5 6 4 3 2 2" xfId="28297" xr:uid="{00000000-0005-0000-0000-00008F3E0000}"/>
    <cellStyle name="20% - Accent5 6 4 3 2 3" xfId="38022" xr:uid="{00000000-0005-0000-0000-0000903E0000}"/>
    <cellStyle name="20% - Accent5 6 4 3 2 4" xfId="47747" xr:uid="{00000000-0005-0000-0000-0000913E0000}"/>
    <cellStyle name="20% - Accent5 6 4 3 2 5" xfId="18572" xr:uid="{00000000-0005-0000-0000-0000923E0000}"/>
    <cellStyle name="20% - Accent5 6 4 3 3" xfId="23435" xr:uid="{00000000-0005-0000-0000-0000933E0000}"/>
    <cellStyle name="20% - Accent5 6 4 3 4" xfId="33160" xr:uid="{00000000-0005-0000-0000-0000943E0000}"/>
    <cellStyle name="20% - Accent5 6 4 3 5" xfId="42885" xr:uid="{00000000-0005-0000-0000-0000953E0000}"/>
    <cellStyle name="20% - Accent5 6 4 3 6" xfId="13710" xr:uid="{00000000-0005-0000-0000-0000963E0000}"/>
    <cellStyle name="20% - Accent5 6 4 4" xfId="5606" xr:uid="{00000000-0005-0000-0000-0000973E0000}"/>
    <cellStyle name="20% - Accent5 6 4 4 2" xfId="25057" xr:uid="{00000000-0005-0000-0000-0000983E0000}"/>
    <cellStyle name="20% - Accent5 6 4 4 3" xfId="34782" xr:uid="{00000000-0005-0000-0000-0000993E0000}"/>
    <cellStyle name="20% - Accent5 6 4 4 4" xfId="44507" xr:uid="{00000000-0005-0000-0000-00009A3E0000}"/>
    <cellStyle name="20% - Accent5 6 4 4 5" xfId="15332" xr:uid="{00000000-0005-0000-0000-00009B3E0000}"/>
    <cellStyle name="20% - Accent5 6 4 5" xfId="20195" xr:uid="{00000000-0005-0000-0000-00009C3E0000}"/>
    <cellStyle name="20% - Accent5 6 4 6" xfId="29920" xr:uid="{00000000-0005-0000-0000-00009D3E0000}"/>
    <cellStyle name="20% - Accent5 6 4 7" xfId="39645" xr:uid="{00000000-0005-0000-0000-00009E3E0000}"/>
    <cellStyle name="20% - Accent5 6 4 8" xfId="10470" xr:uid="{00000000-0005-0000-0000-00009F3E0000}"/>
    <cellStyle name="20% - Accent5 6 5" xfId="2004" xr:uid="{00000000-0005-0000-0000-0000A03E0000}"/>
    <cellStyle name="20% - Accent5 6 5 2" xfId="6866" xr:uid="{00000000-0005-0000-0000-0000A13E0000}"/>
    <cellStyle name="20% - Accent5 6 5 2 2" xfId="26317" xr:uid="{00000000-0005-0000-0000-0000A23E0000}"/>
    <cellStyle name="20% - Accent5 6 5 2 3" xfId="36042" xr:uid="{00000000-0005-0000-0000-0000A33E0000}"/>
    <cellStyle name="20% - Accent5 6 5 2 4" xfId="45767" xr:uid="{00000000-0005-0000-0000-0000A43E0000}"/>
    <cellStyle name="20% - Accent5 6 5 2 5" xfId="16592" xr:uid="{00000000-0005-0000-0000-0000A53E0000}"/>
    <cellStyle name="20% - Accent5 6 5 3" xfId="21455" xr:uid="{00000000-0005-0000-0000-0000A63E0000}"/>
    <cellStyle name="20% - Accent5 6 5 4" xfId="31180" xr:uid="{00000000-0005-0000-0000-0000A73E0000}"/>
    <cellStyle name="20% - Accent5 6 5 5" xfId="40905" xr:uid="{00000000-0005-0000-0000-0000A83E0000}"/>
    <cellStyle name="20% - Accent5 6 5 6" xfId="11730" xr:uid="{00000000-0005-0000-0000-0000A93E0000}"/>
    <cellStyle name="20% - Accent5 6 6" xfId="3624" xr:uid="{00000000-0005-0000-0000-0000AA3E0000}"/>
    <cellStyle name="20% - Accent5 6 6 2" xfId="8486" xr:uid="{00000000-0005-0000-0000-0000AB3E0000}"/>
    <cellStyle name="20% - Accent5 6 6 2 2" xfId="27937" xr:uid="{00000000-0005-0000-0000-0000AC3E0000}"/>
    <cellStyle name="20% - Accent5 6 6 2 3" xfId="37662" xr:uid="{00000000-0005-0000-0000-0000AD3E0000}"/>
    <cellStyle name="20% - Accent5 6 6 2 4" xfId="47387" xr:uid="{00000000-0005-0000-0000-0000AE3E0000}"/>
    <cellStyle name="20% - Accent5 6 6 2 5" xfId="18212" xr:uid="{00000000-0005-0000-0000-0000AF3E0000}"/>
    <cellStyle name="20% - Accent5 6 6 3" xfId="23075" xr:uid="{00000000-0005-0000-0000-0000B03E0000}"/>
    <cellStyle name="20% - Accent5 6 6 4" xfId="32800" xr:uid="{00000000-0005-0000-0000-0000B13E0000}"/>
    <cellStyle name="20% - Accent5 6 6 5" xfId="42525" xr:uid="{00000000-0005-0000-0000-0000B23E0000}"/>
    <cellStyle name="20% - Accent5 6 6 6" xfId="13350" xr:uid="{00000000-0005-0000-0000-0000B33E0000}"/>
    <cellStyle name="20% - Accent5 6 7" xfId="5246" xr:uid="{00000000-0005-0000-0000-0000B43E0000}"/>
    <cellStyle name="20% - Accent5 6 7 2" xfId="24697" xr:uid="{00000000-0005-0000-0000-0000B53E0000}"/>
    <cellStyle name="20% - Accent5 6 7 3" xfId="34422" xr:uid="{00000000-0005-0000-0000-0000B63E0000}"/>
    <cellStyle name="20% - Accent5 6 7 4" xfId="44147" xr:uid="{00000000-0005-0000-0000-0000B73E0000}"/>
    <cellStyle name="20% - Accent5 6 7 5" xfId="14972" xr:uid="{00000000-0005-0000-0000-0000B83E0000}"/>
    <cellStyle name="20% - Accent5 6 8" xfId="19835" xr:uid="{00000000-0005-0000-0000-0000B93E0000}"/>
    <cellStyle name="20% - Accent5 6 9" xfId="29560" xr:uid="{00000000-0005-0000-0000-0000BA3E0000}"/>
    <cellStyle name="20% - Accent5 7" xfId="141" xr:uid="{00000000-0005-0000-0000-0000BB3E0000}"/>
    <cellStyle name="20% - Accent5 7 10" xfId="39105" xr:uid="{00000000-0005-0000-0000-0000BC3E0000}"/>
    <cellStyle name="20% - Accent5 7 11" xfId="9930" xr:uid="{00000000-0005-0000-0000-0000BD3E0000}"/>
    <cellStyle name="20% - Accent5 7 2" xfId="905" xr:uid="{00000000-0005-0000-0000-0000BE3E0000}"/>
    <cellStyle name="20% - Accent5 7 2 2" xfId="2544" xr:uid="{00000000-0005-0000-0000-0000BF3E0000}"/>
    <cellStyle name="20% - Accent5 7 2 2 2" xfId="7406" xr:uid="{00000000-0005-0000-0000-0000C03E0000}"/>
    <cellStyle name="20% - Accent5 7 2 2 2 2" xfId="26857" xr:uid="{00000000-0005-0000-0000-0000C13E0000}"/>
    <cellStyle name="20% - Accent5 7 2 2 2 3" xfId="36582" xr:uid="{00000000-0005-0000-0000-0000C23E0000}"/>
    <cellStyle name="20% - Accent5 7 2 2 2 4" xfId="46307" xr:uid="{00000000-0005-0000-0000-0000C33E0000}"/>
    <cellStyle name="20% - Accent5 7 2 2 2 5" xfId="17132" xr:uid="{00000000-0005-0000-0000-0000C43E0000}"/>
    <cellStyle name="20% - Accent5 7 2 2 3" xfId="21995" xr:uid="{00000000-0005-0000-0000-0000C53E0000}"/>
    <cellStyle name="20% - Accent5 7 2 2 4" xfId="31720" xr:uid="{00000000-0005-0000-0000-0000C63E0000}"/>
    <cellStyle name="20% - Accent5 7 2 2 5" xfId="41445" xr:uid="{00000000-0005-0000-0000-0000C73E0000}"/>
    <cellStyle name="20% - Accent5 7 2 2 6" xfId="12270" xr:uid="{00000000-0005-0000-0000-0000C83E0000}"/>
    <cellStyle name="20% - Accent5 7 2 3" xfId="4164" xr:uid="{00000000-0005-0000-0000-0000C93E0000}"/>
    <cellStyle name="20% - Accent5 7 2 3 2" xfId="9026" xr:uid="{00000000-0005-0000-0000-0000CA3E0000}"/>
    <cellStyle name="20% - Accent5 7 2 3 2 2" xfId="28477" xr:uid="{00000000-0005-0000-0000-0000CB3E0000}"/>
    <cellStyle name="20% - Accent5 7 2 3 2 3" xfId="38202" xr:uid="{00000000-0005-0000-0000-0000CC3E0000}"/>
    <cellStyle name="20% - Accent5 7 2 3 2 4" xfId="47927" xr:uid="{00000000-0005-0000-0000-0000CD3E0000}"/>
    <cellStyle name="20% - Accent5 7 2 3 2 5" xfId="18752" xr:uid="{00000000-0005-0000-0000-0000CE3E0000}"/>
    <cellStyle name="20% - Accent5 7 2 3 3" xfId="23615" xr:uid="{00000000-0005-0000-0000-0000CF3E0000}"/>
    <cellStyle name="20% - Accent5 7 2 3 4" xfId="33340" xr:uid="{00000000-0005-0000-0000-0000D03E0000}"/>
    <cellStyle name="20% - Accent5 7 2 3 5" xfId="43065" xr:uid="{00000000-0005-0000-0000-0000D13E0000}"/>
    <cellStyle name="20% - Accent5 7 2 3 6" xfId="13890" xr:uid="{00000000-0005-0000-0000-0000D23E0000}"/>
    <cellStyle name="20% - Accent5 7 2 4" xfId="5786" xr:uid="{00000000-0005-0000-0000-0000D33E0000}"/>
    <cellStyle name="20% - Accent5 7 2 4 2" xfId="25237" xr:uid="{00000000-0005-0000-0000-0000D43E0000}"/>
    <cellStyle name="20% - Accent5 7 2 4 3" xfId="34962" xr:uid="{00000000-0005-0000-0000-0000D53E0000}"/>
    <cellStyle name="20% - Accent5 7 2 4 4" xfId="44687" xr:uid="{00000000-0005-0000-0000-0000D63E0000}"/>
    <cellStyle name="20% - Accent5 7 2 4 5" xfId="15512" xr:uid="{00000000-0005-0000-0000-0000D73E0000}"/>
    <cellStyle name="20% - Accent5 7 2 5" xfId="20375" xr:uid="{00000000-0005-0000-0000-0000D83E0000}"/>
    <cellStyle name="20% - Accent5 7 2 6" xfId="30100" xr:uid="{00000000-0005-0000-0000-0000D93E0000}"/>
    <cellStyle name="20% - Accent5 7 2 7" xfId="39825" xr:uid="{00000000-0005-0000-0000-0000DA3E0000}"/>
    <cellStyle name="20% - Accent5 7 2 8" xfId="10650" xr:uid="{00000000-0005-0000-0000-0000DB3E0000}"/>
    <cellStyle name="20% - Accent5 7 3" xfId="1373" xr:uid="{00000000-0005-0000-0000-0000DC3E0000}"/>
    <cellStyle name="20% - Accent5 7 3 2" xfId="2994" xr:uid="{00000000-0005-0000-0000-0000DD3E0000}"/>
    <cellStyle name="20% - Accent5 7 3 2 2" xfId="7856" xr:uid="{00000000-0005-0000-0000-0000DE3E0000}"/>
    <cellStyle name="20% - Accent5 7 3 2 2 2" xfId="27307" xr:uid="{00000000-0005-0000-0000-0000DF3E0000}"/>
    <cellStyle name="20% - Accent5 7 3 2 2 3" xfId="37032" xr:uid="{00000000-0005-0000-0000-0000E03E0000}"/>
    <cellStyle name="20% - Accent5 7 3 2 2 4" xfId="46757" xr:uid="{00000000-0005-0000-0000-0000E13E0000}"/>
    <cellStyle name="20% - Accent5 7 3 2 2 5" xfId="17582" xr:uid="{00000000-0005-0000-0000-0000E23E0000}"/>
    <cellStyle name="20% - Accent5 7 3 2 3" xfId="22445" xr:uid="{00000000-0005-0000-0000-0000E33E0000}"/>
    <cellStyle name="20% - Accent5 7 3 2 4" xfId="32170" xr:uid="{00000000-0005-0000-0000-0000E43E0000}"/>
    <cellStyle name="20% - Accent5 7 3 2 5" xfId="41895" xr:uid="{00000000-0005-0000-0000-0000E53E0000}"/>
    <cellStyle name="20% - Accent5 7 3 2 6" xfId="12720" xr:uid="{00000000-0005-0000-0000-0000E63E0000}"/>
    <cellStyle name="20% - Accent5 7 3 3" xfId="4614" xr:uid="{00000000-0005-0000-0000-0000E73E0000}"/>
    <cellStyle name="20% - Accent5 7 3 3 2" xfId="9476" xr:uid="{00000000-0005-0000-0000-0000E83E0000}"/>
    <cellStyle name="20% - Accent5 7 3 3 2 2" xfId="28927" xr:uid="{00000000-0005-0000-0000-0000E93E0000}"/>
    <cellStyle name="20% - Accent5 7 3 3 2 3" xfId="38652" xr:uid="{00000000-0005-0000-0000-0000EA3E0000}"/>
    <cellStyle name="20% - Accent5 7 3 3 2 4" xfId="48377" xr:uid="{00000000-0005-0000-0000-0000EB3E0000}"/>
    <cellStyle name="20% - Accent5 7 3 3 2 5" xfId="19202" xr:uid="{00000000-0005-0000-0000-0000EC3E0000}"/>
    <cellStyle name="20% - Accent5 7 3 3 3" xfId="24065" xr:uid="{00000000-0005-0000-0000-0000ED3E0000}"/>
    <cellStyle name="20% - Accent5 7 3 3 4" xfId="33790" xr:uid="{00000000-0005-0000-0000-0000EE3E0000}"/>
    <cellStyle name="20% - Accent5 7 3 3 5" xfId="43515" xr:uid="{00000000-0005-0000-0000-0000EF3E0000}"/>
    <cellStyle name="20% - Accent5 7 3 3 6" xfId="14340" xr:uid="{00000000-0005-0000-0000-0000F03E0000}"/>
    <cellStyle name="20% - Accent5 7 3 4" xfId="6236" xr:uid="{00000000-0005-0000-0000-0000F13E0000}"/>
    <cellStyle name="20% - Accent5 7 3 4 2" xfId="25687" xr:uid="{00000000-0005-0000-0000-0000F23E0000}"/>
    <cellStyle name="20% - Accent5 7 3 4 3" xfId="35412" xr:uid="{00000000-0005-0000-0000-0000F33E0000}"/>
    <cellStyle name="20% - Accent5 7 3 4 4" xfId="45137" xr:uid="{00000000-0005-0000-0000-0000F43E0000}"/>
    <cellStyle name="20% - Accent5 7 3 4 5" xfId="15962" xr:uid="{00000000-0005-0000-0000-0000F53E0000}"/>
    <cellStyle name="20% - Accent5 7 3 5" xfId="20825" xr:uid="{00000000-0005-0000-0000-0000F63E0000}"/>
    <cellStyle name="20% - Accent5 7 3 6" xfId="30550" xr:uid="{00000000-0005-0000-0000-0000F73E0000}"/>
    <cellStyle name="20% - Accent5 7 3 7" xfId="40275" xr:uid="{00000000-0005-0000-0000-0000F83E0000}"/>
    <cellStyle name="20% - Accent5 7 3 8" xfId="11100" xr:uid="{00000000-0005-0000-0000-0000F93E0000}"/>
    <cellStyle name="20% - Accent5 7 4" xfId="544" xr:uid="{00000000-0005-0000-0000-0000FA3E0000}"/>
    <cellStyle name="20% - Accent5 7 4 2" xfId="2184" xr:uid="{00000000-0005-0000-0000-0000FB3E0000}"/>
    <cellStyle name="20% - Accent5 7 4 2 2" xfId="7046" xr:uid="{00000000-0005-0000-0000-0000FC3E0000}"/>
    <cellStyle name="20% - Accent5 7 4 2 2 2" xfId="26497" xr:uid="{00000000-0005-0000-0000-0000FD3E0000}"/>
    <cellStyle name="20% - Accent5 7 4 2 2 3" xfId="36222" xr:uid="{00000000-0005-0000-0000-0000FE3E0000}"/>
    <cellStyle name="20% - Accent5 7 4 2 2 4" xfId="45947" xr:uid="{00000000-0005-0000-0000-0000FF3E0000}"/>
    <cellStyle name="20% - Accent5 7 4 2 2 5" xfId="16772" xr:uid="{00000000-0005-0000-0000-0000003F0000}"/>
    <cellStyle name="20% - Accent5 7 4 2 3" xfId="21635" xr:uid="{00000000-0005-0000-0000-0000013F0000}"/>
    <cellStyle name="20% - Accent5 7 4 2 4" xfId="31360" xr:uid="{00000000-0005-0000-0000-0000023F0000}"/>
    <cellStyle name="20% - Accent5 7 4 2 5" xfId="41085" xr:uid="{00000000-0005-0000-0000-0000033F0000}"/>
    <cellStyle name="20% - Accent5 7 4 2 6" xfId="11910" xr:uid="{00000000-0005-0000-0000-0000043F0000}"/>
    <cellStyle name="20% - Accent5 7 4 3" xfId="3804" xr:uid="{00000000-0005-0000-0000-0000053F0000}"/>
    <cellStyle name="20% - Accent5 7 4 3 2" xfId="8666" xr:uid="{00000000-0005-0000-0000-0000063F0000}"/>
    <cellStyle name="20% - Accent5 7 4 3 2 2" xfId="28117" xr:uid="{00000000-0005-0000-0000-0000073F0000}"/>
    <cellStyle name="20% - Accent5 7 4 3 2 3" xfId="37842" xr:uid="{00000000-0005-0000-0000-0000083F0000}"/>
    <cellStyle name="20% - Accent5 7 4 3 2 4" xfId="47567" xr:uid="{00000000-0005-0000-0000-0000093F0000}"/>
    <cellStyle name="20% - Accent5 7 4 3 2 5" xfId="18392" xr:uid="{00000000-0005-0000-0000-00000A3F0000}"/>
    <cellStyle name="20% - Accent5 7 4 3 3" xfId="23255" xr:uid="{00000000-0005-0000-0000-00000B3F0000}"/>
    <cellStyle name="20% - Accent5 7 4 3 4" xfId="32980" xr:uid="{00000000-0005-0000-0000-00000C3F0000}"/>
    <cellStyle name="20% - Accent5 7 4 3 5" xfId="42705" xr:uid="{00000000-0005-0000-0000-00000D3F0000}"/>
    <cellStyle name="20% - Accent5 7 4 3 6" xfId="13530" xr:uid="{00000000-0005-0000-0000-00000E3F0000}"/>
    <cellStyle name="20% - Accent5 7 4 4" xfId="5426" xr:uid="{00000000-0005-0000-0000-00000F3F0000}"/>
    <cellStyle name="20% - Accent5 7 4 4 2" xfId="24877" xr:uid="{00000000-0005-0000-0000-0000103F0000}"/>
    <cellStyle name="20% - Accent5 7 4 4 3" xfId="34602" xr:uid="{00000000-0005-0000-0000-0000113F0000}"/>
    <cellStyle name="20% - Accent5 7 4 4 4" xfId="44327" xr:uid="{00000000-0005-0000-0000-0000123F0000}"/>
    <cellStyle name="20% - Accent5 7 4 4 5" xfId="15152" xr:uid="{00000000-0005-0000-0000-0000133F0000}"/>
    <cellStyle name="20% - Accent5 7 4 5" xfId="20015" xr:uid="{00000000-0005-0000-0000-0000143F0000}"/>
    <cellStyle name="20% - Accent5 7 4 6" xfId="29740" xr:uid="{00000000-0005-0000-0000-0000153F0000}"/>
    <cellStyle name="20% - Accent5 7 4 7" xfId="39465" xr:uid="{00000000-0005-0000-0000-0000163F0000}"/>
    <cellStyle name="20% - Accent5 7 4 8" xfId="10290" xr:uid="{00000000-0005-0000-0000-0000173F0000}"/>
    <cellStyle name="20% - Accent5 7 5" xfId="1824" xr:uid="{00000000-0005-0000-0000-0000183F0000}"/>
    <cellStyle name="20% - Accent5 7 5 2" xfId="6686" xr:uid="{00000000-0005-0000-0000-0000193F0000}"/>
    <cellStyle name="20% - Accent5 7 5 2 2" xfId="26137" xr:uid="{00000000-0005-0000-0000-00001A3F0000}"/>
    <cellStyle name="20% - Accent5 7 5 2 3" xfId="35862" xr:uid="{00000000-0005-0000-0000-00001B3F0000}"/>
    <cellStyle name="20% - Accent5 7 5 2 4" xfId="45587" xr:uid="{00000000-0005-0000-0000-00001C3F0000}"/>
    <cellStyle name="20% - Accent5 7 5 2 5" xfId="16412" xr:uid="{00000000-0005-0000-0000-00001D3F0000}"/>
    <cellStyle name="20% - Accent5 7 5 3" xfId="21275" xr:uid="{00000000-0005-0000-0000-00001E3F0000}"/>
    <cellStyle name="20% - Accent5 7 5 4" xfId="31000" xr:uid="{00000000-0005-0000-0000-00001F3F0000}"/>
    <cellStyle name="20% - Accent5 7 5 5" xfId="40725" xr:uid="{00000000-0005-0000-0000-0000203F0000}"/>
    <cellStyle name="20% - Accent5 7 5 6" xfId="11550" xr:uid="{00000000-0005-0000-0000-0000213F0000}"/>
    <cellStyle name="20% - Accent5 7 6" xfId="3444" xr:uid="{00000000-0005-0000-0000-0000223F0000}"/>
    <cellStyle name="20% - Accent5 7 6 2" xfId="8306" xr:uid="{00000000-0005-0000-0000-0000233F0000}"/>
    <cellStyle name="20% - Accent5 7 6 2 2" xfId="27757" xr:uid="{00000000-0005-0000-0000-0000243F0000}"/>
    <cellStyle name="20% - Accent5 7 6 2 3" xfId="37482" xr:uid="{00000000-0005-0000-0000-0000253F0000}"/>
    <cellStyle name="20% - Accent5 7 6 2 4" xfId="47207" xr:uid="{00000000-0005-0000-0000-0000263F0000}"/>
    <cellStyle name="20% - Accent5 7 6 2 5" xfId="18032" xr:uid="{00000000-0005-0000-0000-0000273F0000}"/>
    <cellStyle name="20% - Accent5 7 6 3" xfId="22895" xr:uid="{00000000-0005-0000-0000-0000283F0000}"/>
    <cellStyle name="20% - Accent5 7 6 4" xfId="32620" xr:uid="{00000000-0005-0000-0000-0000293F0000}"/>
    <cellStyle name="20% - Accent5 7 6 5" xfId="42345" xr:uid="{00000000-0005-0000-0000-00002A3F0000}"/>
    <cellStyle name="20% - Accent5 7 6 6" xfId="13170" xr:uid="{00000000-0005-0000-0000-00002B3F0000}"/>
    <cellStyle name="20% - Accent5 7 7" xfId="5066" xr:uid="{00000000-0005-0000-0000-00002C3F0000}"/>
    <cellStyle name="20% - Accent5 7 7 2" xfId="24517" xr:uid="{00000000-0005-0000-0000-00002D3F0000}"/>
    <cellStyle name="20% - Accent5 7 7 3" xfId="34242" xr:uid="{00000000-0005-0000-0000-00002E3F0000}"/>
    <cellStyle name="20% - Accent5 7 7 4" xfId="43967" xr:uid="{00000000-0005-0000-0000-00002F3F0000}"/>
    <cellStyle name="20% - Accent5 7 7 5" xfId="14792" xr:uid="{00000000-0005-0000-0000-0000303F0000}"/>
    <cellStyle name="20% - Accent5 7 8" xfId="19655" xr:uid="{00000000-0005-0000-0000-0000313F0000}"/>
    <cellStyle name="20% - Accent5 7 9" xfId="29380" xr:uid="{00000000-0005-0000-0000-0000323F0000}"/>
    <cellStyle name="20% - Accent5 8" xfId="409" xr:uid="{00000000-0005-0000-0000-0000333F0000}"/>
    <cellStyle name="20% - Accent5 9" xfId="815" xr:uid="{00000000-0005-0000-0000-0000343F0000}"/>
    <cellStyle name="20% - Accent5 9 2" xfId="2454" xr:uid="{00000000-0005-0000-0000-0000353F0000}"/>
    <cellStyle name="20% - Accent5 9 2 2" xfId="7316" xr:uid="{00000000-0005-0000-0000-0000363F0000}"/>
    <cellStyle name="20% - Accent5 9 2 2 2" xfId="26767" xr:uid="{00000000-0005-0000-0000-0000373F0000}"/>
    <cellStyle name="20% - Accent5 9 2 2 3" xfId="36492" xr:uid="{00000000-0005-0000-0000-0000383F0000}"/>
    <cellStyle name="20% - Accent5 9 2 2 4" xfId="46217" xr:uid="{00000000-0005-0000-0000-0000393F0000}"/>
    <cellStyle name="20% - Accent5 9 2 2 5" xfId="17042" xr:uid="{00000000-0005-0000-0000-00003A3F0000}"/>
    <cellStyle name="20% - Accent5 9 2 3" xfId="21905" xr:uid="{00000000-0005-0000-0000-00003B3F0000}"/>
    <cellStyle name="20% - Accent5 9 2 4" xfId="31630" xr:uid="{00000000-0005-0000-0000-00003C3F0000}"/>
    <cellStyle name="20% - Accent5 9 2 5" xfId="41355" xr:uid="{00000000-0005-0000-0000-00003D3F0000}"/>
    <cellStyle name="20% - Accent5 9 2 6" xfId="12180" xr:uid="{00000000-0005-0000-0000-00003E3F0000}"/>
    <cellStyle name="20% - Accent5 9 3" xfId="4074" xr:uid="{00000000-0005-0000-0000-00003F3F0000}"/>
    <cellStyle name="20% - Accent5 9 3 2" xfId="8936" xr:uid="{00000000-0005-0000-0000-0000403F0000}"/>
    <cellStyle name="20% - Accent5 9 3 2 2" xfId="28387" xr:uid="{00000000-0005-0000-0000-0000413F0000}"/>
    <cellStyle name="20% - Accent5 9 3 2 3" xfId="38112" xr:uid="{00000000-0005-0000-0000-0000423F0000}"/>
    <cellStyle name="20% - Accent5 9 3 2 4" xfId="47837" xr:uid="{00000000-0005-0000-0000-0000433F0000}"/>
    <cellStyle name="20% - Accent5 9 3 2 5" xfId="18662" xr:uid="{00000000-0005-0000-0000-0000443F0000}"/>
    <cellStyle name="20% - Accent5 9 3 3" xfId="23525" xr:uid="{00000000-0005-0000-0000-0000453F0000}"/>
    <cellStyle name="20% - Accent5 9 3 4" xfId="33250" xr:uid="{00000000-0005-0000-0000-0000463F0000}"/>
    <cellStyle name="20% - Accent5 9 3 5" xfId="42975" xr:uid="{00000000-0005-0000-0000-0000473F0000}"/>
    <cellStyle name="20% - Accent5 9 3 6" xfId="13800" xr:uid="{00000000-0005-0000-0000-0000483F0000}"/>
    <cellStyle name="20% - Accent5 9 4" xfId="5696" xr:uid="{00000000-0005-0000-0000-0000493F0000}"/>
    <cellStyle name="20% - Accent5 9 4 2" xfId="25147" xr:uid="{00000000-0005-0000-0000-00004A3F0000}"/>
    <cellStyle name="20% - Accent5 9 4 3" xfId="34872" xr:uid="{00000000-0005-0000-0000-00004B3F0000}"/>
    <cellStyle name="20% - Accent5 9 4 4" xfId="44597" xr:uid="{00000000-0005-0000-0000-00004C3F0000}"/>
    <cellStyle name="20% - Accent5 9 4 5" xfId="15422" xr:uid="{00000000-0005-0000-0000-00004D3F0000}"/>
    <cellStyle name="20% - Accent5 9 5" xfId="20285" xr:uid="{00000000-0005-0000-0000-00004E3F0000}"/>
    <cellStyle name="20% - Accent5 9 6" xfId="30010" xr:uid="{00000000-0005-0000-0000-00004F3F0000}"/>
    <cellStyle name="20% - Accent5 9 7" xfId="39735" xr:uid="{00000000-0005-0000-0000-0000503F0000}"/>
    <cellStyle name="20% - Accent5 9 8" xfId="10560" xr:uid="{00000000-0005-0000-0000-0000513F0000}"/>
    <cellStyle name="20% - Accent6" xfId="50" builtinId="50" customBuiltin="1"/>
    <cellStyle name="20% - Accent6 10" xfId="1195" xr:uid="{00000000-0005-0000-0000-0000533F0000}"/>
    <cellStyle name="20% - Accent6 10 2" xfId="2816" xr:uid="{00000000-0005-0000-0000-0000543F0000}"/>
    <cellStyle name="20% - Accent6 10 2 2" xfId="7678" xr:uid="{00000000-0005-0000-0000-0000553F0000}"/>
    <cellStyle name="20% - Accent6 10 2 2 2" xfId="27129" xr:uid="{00000000-0005-0000-0000-0000563F0000}"/>
    <cellStyle name="20% - Accent6 10 2 2 3" xfId="36854" xr:uid="{00000000-0005-0000-0000-0000573F0000}"/>
    <cellStyle name="20% - Accent6 10 2 2 4" xfId="46579" xr:uid="{00000000-0005-0000-0000-0000583F0000}"/>
    <cellStyle name="20% - Accent6 10 2 2 5" xfId="17404" xr:uid="{00000000-0005-0000-0000-0000593F0000}"/>
    <cellStyle name="20% - Accent6 10 2 3" xfId="22267" xr:uid="{00000000-0005-0000-0000-00005A3F0000}"/>
    <cellStyle name="20% - Accent6 10 2 4" xfId="31992" xr:uid="{00000000-0005-0000-0000-00005B3F0000}"/>
    <cellStyle name="20% - Accent6 10 2 5" xfId="41717" xr:uid="{00000000-0005-0000-0000-00005C3F0000}"/>
    <cellStyle name="20% - Accent6 10 2 6" xfId="12542" xr:uid="{00000000-0005-0000-0000-00005D3F0000}"/>
    <cellStyle name="20% - Accent6 10 3" xfId="4436" xr:uid="{00000000-0005-0000-0000-00005E3F0000}"/>
    <cellStyle name="20% - Accent6 10 3 2" xfId="9298" xr:uid="{00000000-0005-0000-0000-00005F3F0000}"/>
    <cellStyle name="20% - Accent6 10 3 2 2" xfId="28749" xr:uid="{00000000-0005-0000-0000-0000603F0000}"/>
    <cellStyle name="20% - Accent6 10 3 2 3" xfId="38474" xr:uid="{00000000-0005-0000-0000-0000613F0000}"/>
    <cellStyle name="20% - Accent6 10 3 2 4" xfId="48199" xr:uid="{00000000-0005-0000-0000-0000623F0000}"/>
    <cellStyle name="20% - Accent6 10 3 2 5" xfId="19024" xr:uid="{00000000-0005-0000-0000-0000633F0000}"/>
    <cellStyle name="20% - Accent6 10 3 3" xfId="23887" xr:uid="{00000000-0005-0000-0000-0000643F0000}"/>
    <cellStyle name="20% - Accent6 10 3 4" xfId="33612" xr:uid="{00000000-0005-0000-0000-0000653F0000}"/>
    <cellStyle name="20% - Accent6 10 3 5" xfId="43337" xr:uid="{00000000-0005-0000-0000-0000663F0000}"/>
    <cellStyle name="20% - Accent6 10 3 6" xfId="14162" xr:uid="{00000000-0005-0000-0000-0000673F0000}"/>
    <cellStyle name="20% - Accent6 10 4" xfId="6058" xr:uid="{00000000-0005-0000-0000-0000683F0000}"/>
    <cellStyle name="20% - Accent6 10 4 2" xfId="25509" xr:uid="{00000000-0005-0000-0000-0000693F0000}"/>
    <cellStyle name="20% - Accent6 10 4 3" xfId="35234" xr:uid="{00000000-0005-0000-0000-00006A3F0000}"/>
    <cellStyle name="20% - Accent6 10 4 4" xfId="44959" xr:uid="{00000000-0005-0000-0000-00006B3F0000}"/>
    <cellStyle name="20% - Accent6 10 4 5" xfId="15784" xr:uid="{00000000-0005-0000-0000-00006C3F0000}"/>
    <cellStyle name="20% - Accent6 10 5" xfId="20647" xr:uid="{00000000-0005-0000-0000-00006D3F0000}"/>
    <cellStyle name="20% - Accent6 10 6" xfId="30372" xr:uid="{00000000-0005-0000-0000-00006E3F0000}"/>
    <cellStyle name="20% - Accent6 10 7" xfId="40097" xr:uid="{00000000-0005-0000-0000-00006F3F0000}"/>
    <cellStyle name="20% - Accent6 10 8" xfId="10922" xr:uid="{00000000-0005-0000-0000-0000703F0000}"/>
    <cellStyle name="20% - Accent6 11" xfId="1285" xr:uid="{00000000-0005-0000-0000-0000713F0000}"/>
    <cellStyle name="20% - Accent6 11 2" xfId="2906" xr:uid="{00000000-0005-0000-0000-0000723F0000}"/>
    <cellStyle name="20% - Accent6 11 2 2" xfId="7768" xr:uid="{00000000-0005-0000-0000-0000733F0000}"/>
    <cellStyle name="20% - Accent6 11 2 2 2" xfId="27219" xr:uid="{00000000-0005-0000-0000-0000743F0000}"/>
    <cellStyle name="20% - Accent6 11 2 2 3" xfId="36944" xr:uid="{00000000-0005-0000-0000-0000753F0000}"/>
    <cellStyle name="20% - Accent6 11 2 2 4" xfId="46669" xr:uid="{00000000-0005-0000-0000-0000763F0000}"/>
    <cellStyle name="20% - Accent6 11 2 2 5" xfId="17494" xr:uid="{00000000-0005-0000-0000-0000773F0000}"/>
    <cellStyle name="20% - Accent6 11 2 3" xfId="22357" xr:uid="{00000000-0005-0000-0000-0000783F0000}"/>
    <cellStyle name="20% - Accent6 11 2 4" xfId="32082" xr:uid="{00000000-0005-0000-0000-0000793F0000}"/>
    <cellStyle name="20% - Accent6 11 2 5" xfId="41807" xr:uid="{00000000-0005-0000-0000-00007A3F0000}"/>
    <cellStyle name="20% - Accent6 11 2 6" xfId="12632" xr:uid="{00000000-0005-0000-0000-00007B3F0000}"/>
    <cellStyle name="20% - Accent6 11 3" xfId="4526" xr:uid="{00000000-0005-0000-0000-00007C3F0000}"/>
    <cellStyle name="20% - Accent6 11 3 2" xfId="9388" xr:uid="{00000000-0005-0000-0000-00007D3F0000}"/>
    <cellStyle name="20% - Accent6 11 3 2 2" xfId="28839" xr:uid="{00000000-0005-0000-0000-00007E3F0000}"/>
    <cellStyle name="20% - Accent6 11 3 2 3" xfId="38564" xr:uid="{00000000-0005-0000-0000-00007F3F0000}"/>
    <cellStyle name="20% - Accent6 11 3 2 4" xfId="48289" xr:uid="{00000000-0005-0000-0000-0000803F0000}"/>
    <cellStyle name="20% - Accent6 11 3 2 5" xfId="19114" xr:uid="{00000000-0005-0000-0000-0000813F0000}"/>
    <cellStyle name="20% - Accent6 11 3 3" xfId="23977" xr:uid="{00000000-0005-0000-0000-0000823F0000}"/>
    <cellStyle name="20% - Accent6 11 3 4" xfId="33702" xr:uid="{00000000-0005-0000-0000-0000833F0000}"/>
    <cellStyle name="20% - Accent6 11 3 5" xfId="43427" xr:uid="{00000000-0005-0000-0000-0000843F0000}"/>
    <cellStyle name="20% - Accent6 11 3 6" xfId="14252" xr:uid="{00000000-0005-0000-0000-0000853F0000}"/>
    <cellStyle name="20% - Accent6 11 4" xfId="6148" xr:uid="{00000000-0005-0000-0000-0000863F0000}"/>
    <cellStyle name="20% - Accent6 11 4 2" xfId="25599" xr:uid="{00000000-0005-0000-0000-0000873F0000}"/>
    <cellStyle name="20% - Accent6 11 4 3" xfId="35324" xr:uid="{00000000-0005-0000-0000-0000883F0000}"/>
    <cellStyle name="20% - Accent6 11 4 4" xfId="45049" xr:uid="{00000000-0005-0000-0000-0000893F0000}"/>
    <cellStyle name="20% - Accent6 11 4 5" xfId="15874" xr:uid="{00000000-0005-0000-0000-00008A3F0000}"/>
    <cellStyle name="20% - Accent6 11 5" xfId="20737" xr:uid="{00000000-0005-0000-0000-00008B3F0000}"/>
    <cellStyle name="20% - Accent6 11 6" xfId="30462" xr:uid="{00000000-0005-0000-0000-00008C3F0000}"/>
    <cellStyle name="20% - Accent6 11 7" xfId="40187" xr:uid="{00000000-0005-0000-0000-00008D3F0000}"/>
    <cellStyle name="20% - Accent6 11 8" xfId="11012" xr:uid="{00000000-0005-0000-0000-00008E3F0000}"/>
    <cellStyle name="20% - Accent6 12" xfId="456" xr:uid="{00000000-0005-0000-0000-00008F3F0000}"/>
    <cellStyle name="20% - Accent6 12 2" xfId="2096" xr:uid="{00000000-0005-0000-0000-0000903F0000}"/>
    <cellStyle name="20% - Accent6 12 2 2" xfId="6958" xr:uid="{00000000-0005-0000-0000-0000913F0000}"/>
    <cellStyle name="20% - Accent6 12 2 2 2" xfId="26409" xr:uid="{00000000-0005-0000-0000-0000923F0000}"/>
    <cellStyle name="20% - Accent6 12 2 2 3" xfId="36134" xr:uid="{00000000-0005-0000-0000-0000933F0000}"/>
    <cellStyle name="20% - Accent6 12 2 2 4" xfId="45859" xr:uid="{00000000-0005-0000-0000-0000943F0000}"/>
    <cellStyle name="20% - Accent6 12 2 2 5" xfId="16684" xr:uid="{00000000-0005-0000-0000-0000953F0000}"/>
    <cellStyle name="20% - Accent6 12 2 3" xfId="21547" xr:uid="{00000000-0005-0000-0000-0000963F0000}"/>
    <cellStyle name="20% - Accent6 12 2 4" xfId="31272" xr:uid="{00000000-0005-0000-0000-0000973F0000}"/>
    <cellStyle name="20% - Accent6 12 2 5" xfId="40997" xr:uid="{00000000-0005-0000-0000-0000983F0000}"/>
    <cellStyle name="20% - Accent6 12 2 6" xfId="11822" xr:uid="{00000000-0005-0000-0000-0000993F0000}"/>
    <cellStyle name="20% - Accent6 12 3" xfId="3716" xr:uid="{00000000-0005-0000-0000-00009A3F0000}"/>
    <cellStyle name="20% - Accent6 12 3 2" xfId="8578" xr:uid="{00000000-0005-0000-0000-00009B3F0000}"/>
    <cellStyle name="20% - Accent6 12 3 2 2" xfId="28029" xr:uid="{00000000-0005-0000-0000-00009C3F0000}"/>
    <cellStyle name="20% - Accent6 12 3 2 3" xfId="37754" xr:uid="{00000000-0005-0000-0000-00009D3F0000}"/>
    <cellStyle name="20% - Accent6 12 3 2 4" xfId="47479" xr:uid="{00000000-0005-0000-0000-00009E3F0000}"/>
    <cellStyle name="20% - Accent6 12 3 2 5" xfId="18304" xr:uid="{00000000-0005-0000-0000-00009F3F0000}"/>
    <cellStyle name="20% - Accent6 12 3 3" xfId="23167" xr:uid="{00000000-0005-0000-0000-0000A03F0000}"/>
    <cellStyle name="20% - Accent6 12 3 4" xfId="32892" xr:uid="{00000000-0005-0000-0000-0000A13F0000}"/>
    <cellStyle name="20% - Accent6 12 3 5" xfId="42617" xr:uid="{00000000-0005-0000-0000-0000A23F0000}"/>
    <cellStyle name="20% - Accent6 12 3 6" xfId="13442" xr:uid="{00000000-0005-0000-0000-0000A33F0000}"/>
    <cellStyle name="20% - Accent6 12 4" xfId="5338" xr:uid="{00000000-0005-0000-0000-0000A43F0000}"/>
    <cellStyle name="20% - Accent6 12 4 2" xfId="24789" xr:uid="{00000000-0005-0000-0000-0000A53F0000}"/>
    <cellStyle name="20% - Accent6 12 4 3" xfId="34514" xr:uid="{00000000-0005-0000-0000-0000A63F0000}"/>
    <cellStyle name="20% - Accent6 12 4 4" xfId="44239" xr:uid="{00000000-0005-0000-0000-0000A73F0000}"/>
    <cellStyle name="20% - Accent6 12 4 5" xfId="15064" xr:uid="{00000000-0005-0000-0000-0000A83F0000}"/>
    <cellStyle name="20% - Accent6 12 5" xfId="19927" xr:uid="{00000000-0005-0000-0000-0000A93F0000}"/>
    <cellStyle name="20% - Accent6 12 6" xfId="29652" xr:uid="{00000000-0005-0000-0000-0000AA3F0000}"/>
    <cellStyle name="20% - Accent6 12 7" xfId="39377" xr:uid="{00000000-0005-0000-0000-0000AB3F0000}"/>
    <cellStyle name="20% - Accent6 12 8" xfId="10202" xr:uid="{00000000-0005-0000-0000-0000AC3F0000}"/>
    <cellStyle name="20% - Accent6 13" xfId="1645" xr:uid="{00000000-0005-0000-0000-0000AD3F0000}"/>
    <cellStyle name="20% - Accent6 13 2" xfId="3266" xr:uid="{00000000-0005-0000-0000-0000AE3F0000}"/>
    <cellStyle name="20% - Accent6 13 2 2" xfId="8128" xr:uid="{00000000-0005-0000-0000-0000AF3F0000}"/>
    <cellStyle name="20% - Accent6 13 2 2 2" xfId="27579" xr:uid="{00000000-0005-0000-0000-0000B03F0000}"/>
    <cellStyle name="20% - Accent6 13 2 2 3" xfId="37304" xr:uid="{00000000-0005-0000-0000-0000B13F0000}"/>
    <cellStyle name="20% - Accent6 13 2 2 4" xfId="47029" xr:uid="{00000000-0005-0000-0000-0000B23F0000}"/>
    <cellStyle name="20% - Accent6 13 2 2 5" xfId="17854" xr:uid="{00000000-0005-0000-0000-0000B33F0000}"/>
    <cellStyle name="20% - Accent6 13 2 3" xfId="22717" xr:uid="{00000000-0005-0000-0000-0000B43F0000}"/>
    <cellStyle name="20% - Accent6 13 2 4" xfId="32442" xr:uid="{00000000-0005-0000-0000-0000B53F0000}"/>
    <cellStyle name="20% - Accent6 13 2 5" xfId="42167" xr:uid="{00000000-0005-0000-0000-0000B63F0000}"/>
    <cellStyle name="20% - Accent6 13 2 6" xfId="12992" xr:uid="{00000000-0005-0000-0000-0000B73F0000}"/>
    <cellStyle name="20% - Accent6 13 3" xfId="4886" xr:uid="{00000000-0005-0000-0000-0000B83F0000}"/>
    <cellStyle name="20% - Accent6 13 3 2" xfId="9748" xr:uid="{00000000-0005-0000-0000-0000B93F0000}"/>
    <cellStyle name="20% - Accent6 13 3 2 2" xfId="29199" xr:uid="{00000000-0005-0000-0000-0000BA3F0000}"/>
    <cellStyle name="20% - Accent6 13 3 2 3" xfId="38924" xr:uid="{00000000-0005-0000-0000-0000BB3F0000}"/>
    <cellStyle name="20% - Accent6 13 3 2 4" xfId="48649" xr:uid="{00000000-0005-0000-0000-0000BC3F0000}"/>
    <cellStyle name="20% - Accent6 13 3 2 5" xfId="19474" xr:uid="{00000000-0005-0000-0000-0000BD3F0000}"/>
    <cellStyle name="20% - Accent6 13 3 3" xfId="24337" xr:uid="{00000000-0005-0000-0000-0000BE3F0000}"/>
    <cellStyle name="20% - Accent6 13 3 4" xfId="34062" xr:uid="{00000000-0005-0000-0000-0000BF3F0000}"/>
    <cellStyle name="20% - Accent6 13 3 5" xfId="43787" xr:uid="{00000000-0005-0000-0000-0000C03F0000}"/>
    <cellStyle name="20% - Accent6 13 3 6" xfId="14612" xr:uid="{00000000-0005-0000-0000-0000C13F0000}"/>
    <cellStyle name="20% - Accent6 13 4" xfId="6508" xr:uid="{00000000-0005-0000-0000-0000C23F0000}"/>
    <cellStyle name="20% - Accent6 13 4 2" xfId="25959" xr:uid="{00000000-0005-0000-0000-0000C33F0000}"/>
    <cellStyle name="20% - Accent6 13 4 3" xfId="35684" xr:uid="{00000000-0005-0000-0000-0000C43F0000}"/>
    <cellStyle name="20% - Accent6 13 4 4" xfId="45409" xr:uid="{00000000-0005-0000-0000-0000C53F0000}"/>
    <cellStyle name="20% - Accent6 13 4 5" xfId="16234" xr:uid="{00000000-0005-0000-0000-0000C63F0000}"/>
    <cellStyle name="20% - Accent6 13 5" xfId="21097" xr:uid="{00000000-0005-0000-0000-0000C73F0000}"/>
    <cellStyle name="20% - Accent6 13 6" xfId="30822" xr:uid="{00000000-0005-0000-0000-0000C83F0000}"/>
    <cellStyle name="20% - Accent6 13 7" xfId="40547" xr:uid="{00000000-0005-0000-0000-0000C93F0000}"/>
    <cellStyle name="20% - Accent6 13 8" xfId="11372" xr:uid="{00000000-0005-0000-0000-0000CA3F0000}"/>
    <cellStyle name="20% - Accent6 14" xfId="1736" xr:uid="{00000000-0005-0000-0000-0000CB3F0000}"/>
    <cellStyle name="20% - Accent6 14 2" xfId="6598" xr:uid="{00000000-0005-0000-0000-0000CC3F0000}"/>
    <cellStyle name="20% - Accent6 14 2 2" xfId="26049" xr:uid="{00000000-0005-0000-0000-0000CD3F0000}"/>
    <cellStyle name="20% - Accent6 14 2 3" xfId="35774" xr:uid="{00000000-0005-0000-0000-0000CE3F0000}"/>
    <cellStyle name="20% - Accent6 14 2 4" xfId="45499" xr:uid="{00000000-0005-0000-0000-0000CF3F0000}"/>
    <cellStyle name="20% - Accent6 14 2 5" xfId="16324" xr:uid="{00000000-0005-0000-0000-0000D03F0000}"/>
    <cellStyle name="20% - Accent6 14 3" xfId="21187" xr:uid="{00000000-0005-0000-0000-0000D13F0000}"/>
    <cellStyle name="20% - Accent6 14 4" xfId="30912" xr:uid="{00000000-0005-0000-0000-0000D23F0000}"/>
    <cellStyle name="20% - Accent6 14 5" xfId="40637" xr:uid="{00000000-0005-0000-0000-0000D33F0000}"/>
    <cellStyle name="20% - Accent6 14 6" xfId="11462" xr:uid="{00000000-0005-0000-0000-0000D43F0000}"/>
    <cellStyle name="20% - Accent6 15" xfId="3356" xr:uid="{00000000-0005-0000-0000-0000D53F0000}"/>
    <cellStyle name="20% - Accent6 15 2" xfId="8218" xr:uid="{00000000-0005-0000-0000-0000D63F0000}"/>
    <cellStyle name="20% - Accent6 15 2 2" xfId="27669" xr:uid="{00000000-0005-0000-0000-0000D73F0000}"/>
    <cellStyle name="20% - Accent6 15 2 3" xfId="37394" xr:uid="{00000000-0005-0000-0000-0000D83F0000}"/>
    <cellStyle name="20% - Accent6 15 2 4" xfId="47119" xr:uid="{00000000-0005-0000-0000-0000D93F0000}"/>
    <cellStyle name="20% - Accent6 15 2 5" xfId="17944" xr:uid="{00000000-0005-0000-0000-0000DA3F0000}"/>
    <cellStyle name="20% - Accent6 15 3" xfId="22807" xr:uid="{00000000-0005-0000-0000-0000DB3F0000}"/>
    <cellStyle name="20% - Accent6 15 4" xfId="32532" xr:uid="{00000000-0005-0000-0000-0000DC3F0000}"/>
    <cellStyle name="20% - Accent6 15 5" xfId="42257" xr:uid="{00000000-0005-0000-0000-0000DD3F0000}"/>
    <cellStyle name="20% - Accent6 15 6" xfId="13082" xr:uid="{00000000-0005-0000-0000-0000DE3F0000}"/>
    <cellStyle name="20% - Accent6 16" xfId="4978" xr:uid="{00000000-0005-0000-0000-0000DF3F0000}"/>
    <cellStyle name="20% - Accent6 16 2" xfId="24429" xr:uid="{00000000-0005-0000-0000-0000E03F0000}"/>
    <cellStyle name="20% - Accent6 16 3" xfId="34154" xr:uid="{00000000-0005-0000-0000-0000E13F0000}"/>
    <cellStyle name="20% - Accent6 16 4" xfId="43879" xr:uid="{00000000-0005-0000-0000-0000E23F0000}"/>
    <cellStyle name="20% - Accent6 16 5" xfId="14704" xr:uid="{00000000-0005-0000-0000-0000E33F0000}"/>
    <cellStyle name="20% - Accent6 17" xfId="19567" xr:uid="{00000000-0005-0000-0000-0000E43F0000}"/>
    <cellStyle name="20% - Accent6 18" xfId="29292" xr:uid="{00000000-0005-0000-0000-0000E53F0000}"/>
    <cellStyle name="20% - Accent6 19" xfId="39017" xr:uid="{00000000-0005-0000-0000-0000E63F0000}"/>
    <cellStyle name="20% - Accent6 2" xfId="65" xr:uid="{00000000-0005-0000-0000-0000E73F0000}"/>
    <cellStyle name="20% - Accent6 2 10" xfId="470" xr:uid="{00000000-0005-0000-0000-0000E83F0000}"/>
    <cellStyle name="20% - Accent6 2 10 2" xfId="2110" xr:uid="{00000000-0005-0000-0000-0000E93F0000}"/>
    <cellStyle name="20% - Accent6 2 10 2 2" xfId="6972" xr:uid="{00000000-0005-0000-0000-0000EA3F0000}"/>
    <cellStyle name="20% - Accent6 2 10 2 2 2" xfId="26423" xr:uid="{00000000-0005-0000-0000-0000EB3F0000}"/>
    <cellStyle name="20% - Accent6 2 10 2 2 3" xfId="36148" xr:uid="{00000000-0005-0000-0000-0000EC3F0000}"/>
    <cellStyle name="20% - Accent6 2 10 2 2 4" xfId="45873" xr:uid="{00000000-0005-0000-0000-0000ED3F0000}"/>
    <cellStyle name="20% - Accent6 2 10 2 2 5" xfId="16698" xr:uid="{00000000-0005-0000-0000-0000EE3F0000}"/>
    <cellStyle name="20% - Accent6 2 10 2 3" xfId="21561" xr:uid="{00000000-0005-0000-0000-0000EF3F0000}"/>
    <cellStyle name="20% - Accent6 2 10 2 4" xfId="31286" xr:uid="{00000000-0005-0000-0000-0000F03F0000}"/>
    <cellStyle name="20% - Accent6 2 10 2 5" xfId="41011" xr:uid="{00000000-0005-0000-0000-0000F13F0000}"/>
    <cellStyle name="20% - Accent6 2 10 2 6" xfId="11836" xr:uid="{00000000-0005-0000-0000-0000F23F0000}"/>
    <cellStyle name="20% - Accent6 2 10 3" xfId="3730" xr:uid="{00000000-0005-0000-0000-0000F33F0000}"/>
    <cellStyle name="20% - Accent6 2 10 3 2" xfId="8592" xr:uid="{00000000-0005-0000-0000-0000F43F0000}"/>
    <cellStyle name="20% - Accent6 2 10 3 2 2" xfId="28043" xr:uid="{00000000-0005-0000-0000-0000F53F0000}"/>
    <cellStyle name="20% - Accent6 2 10 3 2 3" xfId="37768" xr:uid="{00000000-0005-0000-0000-0000F63F0000}"/>
    <cellStyle name="20% - Accent6 2 10 3 2 4" xfId="47493" xr:uid="{00000000-0005-0000-0000-0000F73F0000}"/>
    <cellStyle name="20% - Accent6 2 10 3 2 5" xfId="18318" xr:uid="{00000000-0005-0000-0000-0000F83F0000}"/>
    <cellStyle name="20% - Accent6 2 10 3 3" xfId="23181" xr:uid="{00000000-0005-0000-0000-0000F93F0000}"/>
    <cellStyle name="20% - Accent6 2 10 3 4" xfId="32906" xr:uid="{00000000-0005-0000-0000-0000FA3F0000}"/>
    <cellStyle name="20% - Accent6 2 10 3 5" xfId="42631" xr:uid="{00000000-0005-0000-0000-0000FB3F0000}"/>
    <cellStyle name="20% - Accent6 2 10 3 6" xfId="13456" xr:uid="{00000000-0005-0000-0000-0000FC3F0000}"/>
    <cellStyle name="20% - Accent6 2 10 4" xfId="5352" xr:uid="{00000000-0005-0000-0000-0000FD3F0000}"/>
    <cellStyle name="20% - Accent6 2 10 4 2" xfId="24803" xr:uid="{00000000-0005-0000-0000-0000FE3F0000}"/>
    <cellStyle name="20% - Accent6 2 10 4 3" xfId="34528" xr:uid="{00000000-0005-0000-0000-0000FF3F0000}"/>
    <cellStyle name="20% - Accent6 2 10 4 4" xfId="44253" xr:uid="{00000000-0005-0000-0000-000000400000}"/>
    <cellStyle name="20% - Accent6 2 10 4 5" xfId="15078" xr:uid="{00000000-0005-0000-0000-000001400000}"/>
    <cellStyle name="20% - Accent6 2 10 5" xfId="19941" xr:uid="{00000000-0005-0000-0000-000002400000}"/>
    <cellStyle name="20% - Accent6 2 10 6" xfId="29666" xr:uid="{00000000-0005-0000-0000-000003400000}"/>
    <cellStyle name="20% - Accent6 2 10 7" xfId="39391" xr:uid="{00000000-0005-0000-0000-000004400000}"/>
    <cellStyle name="20% - Accent6 2 10 8" xfId="10216" xr:uid="{00000000-0005-0000-0000-000005400000}"/>
    <cellStyle name="20% - Accent6 2 11" xfId="1659" xr:uid="{00000000-0005-0000-0000-000006400000}"/>
    <cellStyle name="20% - Accent6 2 11 2" xfId="3280" xr:uid="{00000000-0005-0000-0000-000007400000}"/>
    <cellStyle name="20% - Accent6 2 11 2 2" xfId="8142" xr:uid="{00000000-0005-0000-0000-000008400000}"/>
    <cellStyle name="20% - Accent6 2 11 2 2 2" xfId="27593" xr:uid="{00000000-0005-0000-0000-000009400000}"/>
    <cellStyle name="20% - Accent6 2 11 2 2 3" xfId="37318" xr:uid="{00000000-0005-0000-0000-00000A400000}"/>
    <cellStyle name="20% - Accent6 2 11 2 2 4" xfId="47043" xr:uid="{00000000-0005-0000-0000-00000B400000}"/>
    <cellStyle name="20% - Accent6 2 11 2 2 5" xfId="17868" xr:uid="{00000000-0005-0000-0000-00000C400000}"/>
    <cellStyle name="20% - Accent6 2 11 2 3" xfId="22731" xr:uid="{00000000-0005-0000-0000-00000D400000}"/>
    <cellStyle name="20% - Accent6 2 11 2 4" xfId="32456" xr:uid="{00000000-0005-0000-0000-00000E400000}"/>
    <cellStyle name="20% - Accent6 2 11 2 5" xfId="42181" xr:uid="{00000000-0005-0000-0000-00000F400000}"/>
    <cellStyle name="20% - Accent6 2 11 2 6" xfId="13006" xr:uid="{00000000-0005-0000-0000-000010400000}"/>
    <cellStyle name="20% - Accent6 2 11 3" xfId="4900" xr:uid="{00000000-0005-0000-0000-000011400000}"/>
    <cellStyle name="20% - Accent6 2 11 3 2" xfId="9762" xr:uid="{00000000-0005-0000-0000-000012400000}"/>
    <cellStyle name="20% - Accent6 2 11 3 2 2" xfId="29213" xr:uid="{00000000-0005-0000-0000-000013400000}"/>
    <cellStyle name="20% - Accent6 2 11 3 2 3" xfId="38938" xr:uid="{00000000-0005-0000-0000-000014400000}"/>
    <cellStyle name="20% - Accent6 2 11 3 2 4" xfId="48663" xr:uid="{00000000-0005-0000-0000-000015400000}"/>
    <cellStyle name="20% - Accent6 2 11 3 2 5" xfId="19488" xr:uid="{00000000-0005-0000-0000-000016400000}"/>
    <cellStyle name="20% - Accent6 2 11 3 3" xfId="24351" xr:uid="{00000000-0005-0000-0000-000017400000}"/>
    <cellStyle name="20% - Accent6 2 11 3 4" xfId="34076" xr:uid="{00000000-0005-0000-0000-000018400000}"/>
    <cellStyle name="20% - Accent6 2 11 3 5" xfId="43801" xr:uid="{00000000-0005-0000-0000-000019400000}"/>
    <cellStyle name="20% - Accent6 2 11 3 6" xfId="14626" xr:uid="{00000000-0005-0000-0000-00001A400000}"/>
    <cellStyle name="20% - Accent6 2 11 4" xfId="6522" xr:uid="{00000000-0005-0000-0000-00001B400000}"/>
    <cellStyle name="20% - Accent6 2 11 4 2" xfId="25973" xr:uid="{00000000-0005-0000-0000-00001C400000}"/>
    <cellStyle name="20% - Accent6 2 11 4 3" xfId="35698" xr:uid="{00000000-0005-0000-0000-00001D400000}"/>
    <cellStyle name="20% - Accent6 2 11 4 4" xfId="45423" xr:uid="{00000000-0005-0000-0000-00001E400000}"/>
    <cellStyle name="20% - Accent6 2 11 4 5" xfId="16248" xr:uid="{00000000-0005-0000-0000-00001F400000}"/>
    <cellStyle name="20% - Accent6 2 11 5" xfId="21111" xr:uid="{00000000-0005-0000-0000-000020400000}"/>
    <cellStyle name="20% - Accent6 2 11 6" xfId="30836" xr:uid="{00000000-0005-0000-0000-000021400000}"/>
    <cellStyle name="20% - Accent6 2 11 7" xfId="40561" xr:uid="{00000000-0005-0000-0000-000022400000}"/>
    <cellStyle name="20% - Accent6 2 11 8" xfId="11386" xr:uid="{00000000-0005-0000-0000-000023400000}"/>
    <cellStyle name="20% - Accent6 2 12" xfId="1750" xr:uid="{00000000-0005-0000-0000-000024400000}"/>
    <cellStyle name="20% - Accent6 2 12 2" xfId="6612" xr:uid="{00000000-0005-0000-0000-000025400000}"/>
    <cellStyle name="20% - Accent6 2 12 2 2" xfId="26063" xr:uid="{00000000-0005-0000-0000-000026400000}"/>
    <cellStyle name="20% - Accent6 2 12 2 3" xfId="35788" xr:uid="{00000000-0005-0000-0000-000027400000}"/>
    <cellStyle name="20% - Accent6 2 12 2 4" xfId="45513" xr:uid="{00000000-0005-0000-0000-000028400000}"/>
    <cellStyle name="20% - Accent6 2 12 2 5" xfId="16338" xr:uid="{00000000-0005-0000-0000-000029400000}"/>
    <cellStyle name="20% - Accent6 2 12 3" xfId="21201" xr:uid="{00000000-0005-0000-0000-00002A400000}"/>
    <cellStyle name="20% - Accent6 2 12 4" xfId="30926" xr:uid="{00000000-0005-0000-0000-00002B400000}"/>
    <cellStyle name="20% - Accent6 2 12 5" xfId="40651" xr:uid="{00000000-0005-0000-0000-00002C400000}"/>
    <cellStyle name="20% - Accent6 2 12 6" xfId="11476" xr:uid="{00000000-0005-0000-0000-00002D400000}"/>
    <cellStyle name="20% - Accent6 2 13" xfId="3370" xr:uid="{00000000-0005-0000-0000-00002E400000}"/>
    <cellStyle name="20% - Accent6 2 13 2" xfId="8232" xr:uid="{00000000-0005-0000-0000-00002F400000}"/>
    <cellStyle name="20% - Accent6 2 13 2 2" xfId="27683" xr:uid="{00000000-0005-0000-0000-000030400000}"/>
    <cellStyle name="20% - Accent6 2 13 2 3" xfId="37408" xr:uid="{00000000-0005-0000-0000-000031400000}"/>
    <cellStyle name="20% - Accent6 2 13 2 4" xfId="47133" xr:uid="{00000000-0005-0000-0000-000032400000}"/>
    <cellStyle name="20% - Accent6 2 13 2 5" xfId="17958" xr:uid="{00000000-0005-0000-0000-000033400000}"/>
    <cellStyle name="20% - Accent6 2 13 3" xfId="22821" xr:uid="{00000000-0005-0000-0000-000034400000}"/>
    <cellStyle name="20% - Accent6 2 13 4" xfId="32546" xr:uid="{00000000-0005-0000-0000-000035400000}"/>
    <cellStyle name="20% - Accent6 2 13 5" xfId="42271" xr:uid="{00000000-0005-0000-0000-000036400000}"/>
    <cellStyle name="20% - Accent6 2 13 6" xfId="13096" xr:uid="{00000000-0005-0000-0000-000037400000}"/>
    <cellStyle name="20% - Accent6 2 14" xfId="4992" xr:uid="{00000000-0005-0000-0000-000038400000}"/>
    <cellStyle name="20% - Accent6 2 14 2" xfId="24443" xr:uid="{00000000-0005-0000-0000-000039400000}"/>
    <cellStyle name="20% - Accent6 2 14 3" xfId="34168" xr:uid="{00000000-0005-0000-0000-00003A400000}"/>
    <cellStyle name="20% - Accent6 2 14 4" xfId="43893" xr:uid="{00000000-0005-0000-0000-00003B400000}"/>
    <cellStyle name="20% - Accent6 2 14 5" xfId="14718" xr:uid="{00000000-0005-0000-0000-00003C400000}"/>
    <cellStyle name="20% - Accent6 2 15" xfId="19581" xr:uid="{00000000-0005-0000-0000-00003D400000}"/>
    <cellStyle name="20% - Accent6 2 16" xfId="29306" xr:uid="{00000000-0005-0000-0000-00003E400000}"/>
    <cellStyle name="20% - Accent6 2 17" xfId="39031" xr:uid="{00000000-0005-0000-0000-00003F400000}"/>
    <cellStyle name="20% - Accent6 2 18" xfId="9856" xr:uid="{00000000-0005-0000-0000-000040400000}"/>
    <cellStyle name="20% - Accent6 2 2" xfId="96" xr:uid="{00000000-0005-0000-0000-000041400000}"/>
    <cellStyle name="20% - Accent6 2 2 10" xfId="1780" xr:uid="{00000000-0005-0000-0000-000042400000}"/>
    <cellStyle name="20% - Accent6 2 2 10 2" xfId="6642" xr:uid="{00000000-0005-0000-0000-000043400000}"/>
    <cellStyle name="20% - Accent6 2 2 10 2 2" xfId="26093" xr:uid="{00000000-0005-0000-0000-000044400000}"/>
    <cellStyle name="20% - Accent6 2 2 10 2 3" xfId="35818" xr:uid="{00000000-0005-0000-0000-000045400000}"/>
    <cellStyle name="20% - Accent6 2 2 10 2 4" xfId="45543" xr:uid="{00000000-0005-0000-0000-000046400000}"/>
    <cellStyle name="20% - Accent6 2 2 10 2 5" xfId="16368" xr:uid="{00000000-0005-0000-0000-000047400000}"/>
    <cellStyle name="20% - Accent6 2 2 10 3" xfId="21231" xr:uid="{00000000-0005-0000-0000-000048400000}"/>
    <cellStyle name="20% - Accent6 2 2 10 4" xfId="30956" xr:uid="{00000000-0005-0000-0000-000049400000}"/>
    <cellStyle name="20% - Accent6 2 2 10 5" xfId="40681" xr:uid="{00000000-0005-0000-0000-00004A400000}"/>
    <cellStyle name="20% - Accent6 2 2 10 6" xfId="11506" xr:uid="{00000000-0005-0000-0000-00004B400000}"/>
    <cellStyle name="20% - Accent6 2 2 11" xfId="3400" xr:uid="{00000000-0005-0000-0000-00004C400000}"/>
    <cellStyle name="20% - Accent6 2 2 11 2" xfId="8262" xr:uid="{00000000-0005-0000-0000-00004D400000}"/>
    <cellStyle name="20% - Accent6 2 2 11 2 2" xfId="27713" xr:uid="{00000000-0005-0000-0000-00004E400000}"/>
    <cellStyle name="20% - Accent6 2 2 11 2 3" xfId="37438" xr:uid="{00000000-0005-0000-0000-00004F400000}"/>
    <cellStyle name="20% - Accent6 2 2 11 2 4" xfId="47163" xr:uid="{00000000-0005-0000-0000-000050400000}"/>
    <cellStyle name="20% - Accent6 2 2 11 2 5" xfId="17988" xr:uid="{00000000-0005-0000-0000-000051400000}"/>
    <cellStyle name="20% - Accent6 2 2 11 3" xfId="22851" xr:uid="{00000000-0005-0000-0000-000052400000}"/>
    <cellStyle name="20% - Accent6 2 2 11 4" xfId="32576" xr:uid="{00000000-0005-0000-0000-000053400000}"/>
    <cellStyle name="20% - Accent6 2 2 11 5" xfId="42301" xr:uid="{00000000-0005-0000-0000-000054400000}"/>
    <cellStyle name="20% - Accent6 2 2 11 6" xfId="13126" xr:uid="{00000000-0005-0000-0000-000055400000}"/>
    <cellStyle name="20% - Accent6 2 2 12" xfId="5022" xr:uid="{00000000-0005-0000-0000-000056400000}"/>
    <cellStyle name="20% - Accent6 2 2 12 2" xfId="24473" xr:uid="{00000000-0005-0000-0000-000057400000}"/>
    <cellStyle name="20% - Accent6 2 2 12 3" xfId="34198" xr:uid="{00000000-0005-0000-0000-000058400000}"/>
    <cellStyle name="20% - Accent6 2 2 12 4" xfId="43923" xr:uid="{00000000-0005-0000-0000-000059400000}"/>
    <cellStyle name="20% - Accent6 2 2 12 5" xfId="14748" xr:uid="{00000000-0005-0000-0000-00005A400000}"/>
    <cellStyle name="20% - Accent6 2 2 13" xfId="19611" xr:uid="{00000000-0005-0000-0000-00005B400000}"/>
    <cellStyle name="20% - Accent6 2 2 14" xfId="29336" xr:uid="{00000000-0005-0000-0000-00005C400000}"/>
    <cellStyle name="20% - Accent6 2 2 15" xfId="39061" xr:uid="{00000000-0005-0000-0000-00005D400000}"/>
    <cellStyle name="20% - Accent6 2 2 16" xfId="9886" xr:uid="{00000000-0005-0000-0000-00005E400000}"/>
    <cellStyle name="20% - Accent6 2 2 2" xfId="278" xr:uid="{00000000-0005-0000-0000-00005F400000}"/>
    <cellStyle name="20% - Accent6 2 2 2 10" xfId="39241" xr:uid="{00000000-0005-0000-0000-000060400000}"/>
    <cellStyle name="20% - Accent6 2 2 2 11" xfId="10066" xr:uid="{00000000-0005-0000-0000-000061400000}"/>
    <cellStyle name="20% - Accent6 2 2 2 2" xfId="1042" xr:uid="{00000000-0005-0000-0000-000062400000}"/>
    <cellStyle name="20% - Accent6 2 2 2 2 2" xfId="2680" xr:uid="{00000000-0005-0000-0000-000063400000}"/>
    <cellStyle name="20% - Accent6 2 2 2 2 2 2" xfId="7542" xr:uid="{00000000-0005-0000-0000-000064400000}"/>
    <cellStyle name="20% - Accent6 2 2 2 2 2 2 2" xfId="26993" xr:uid="{00000000-0005-0000-0000-000065400000}"/>
    <cellStyle name="20% - Accent6 2 2 2 2 2 2 3" xfId="36718" xr:uid="{00000000-0005-0000-0000-000066400000}"/>
    <cellStyle name="20% - Accent6 2 2 2 2 2 2 4" xfId="46443" xr:uid="{00000000-0005-0000-0000-000067400000}"/>
    <cellStyle name="20% - Accent6 2 2 2 2 2 2 5" xfId="17268" xr:uid="{00000000-0005-0000-0000-000068400000}"/>
    <cellStyle name="20% - Accent6 2 2 2 2 2 3" xfId="22131" xr:uid="{00000000-0005-0000-0000-000069400000}"/>
    <cellStyle name="20% - Accent6 2 2 2 2 2 4" xfId="31856" xr:uid="{00000000-0005-0000-0000-00006A400000}"/>
    <cellStyle name="20% - Accent6 2 2 2 2 2 5" xfId="41581" xr:uid="{00000000-0005-0000-0000-00006B400000}"/>
    <cellStyle name="20% - Accent6 2 2 2 2 2 6" xfId="12406" xr:uid="{00000000-0005-0000-0000-00006C400000}"/>
    <cellStyle name="20% - Accent6 2 2 2 2 3" xfId="4300" xr:uid="{00000000-0005-0000-0000-00006D400000}"/>
    <cellStyle name="20% - Accent6 2 2 2 2 3 2" xfId="9162" xr:uid="{00000000-0005-0000-0000-00006E400000}"/>
    <cellStyle name="20% - Accent6 2 2 2 2 3 2 2" xfId="28613" xr:uid="{00000000-0005-0000-0000-00006F400000}"/>
    <cellStyle name="20% - Accent6 2 2 2 2 3 2 3" xfId="38338" xr:uid="{00000000-0005-0000-0000-000070400000}"/>
    <cellStyle name="20% - Accent6 2 2 2 2 3 2 4" xfId="48063" xr:uid="{00000000-0005-0000-0000-000071400000}"/>
    <cellStyle name="20% - Accent6 2 2 2 2 3 2 5" xfId="18888" xr:uid="{00000000-0005-0000-0000-000072400000}"/>
    <cellStyle name="20% - Accent6 2 2 2 2 3 3" xfId="23751" xr:uid="{00000000-0005-0000-0000-000073400000}"/>
    <cellStyle name="20% - Accent6 2 2 2 2 3 4" xfId="33476" xr:uid="{00000000-0005-0000-0000-000074400000}"/>
    <cellStyle name="20% - Accent6 2 2 2 2 3 5" xfId="43201" xr:uid="{00000000-0005-0000-0000-000075400000}"/>
    <cellStyle name="20% - Accent6 2 2 2 2 3 6" xfId="14026" xr:uid="{00000000-0005-0000-0000-000076400000}"/>
    <cellStyle name="20% - Accent6 2 2 2 2 4" xfId="5922" xr:uid="{00000000-0005-0000-0000-000077400000}"/>
    <cellStyle name="20% - Accent6 2 2 2 2 4 2" xfId="25373" xr:uid="{00000000-0005-0000-0000-000078400000}"/>
    <cellStyle name="20% - Accent6 2 2 2 2 4 3" xfId="35098" xr:uid="{00000000-0005-0000-0000-000079400000}"/>
    <cellStyle name="20% - Accent6 2 2 2 2 4 4" xfId="44823" xr:uid="{00000000-0005-0000-0000-00007A400000}"/>
    <cellStyle name="20% - Accent6 2 2 2 2 4 5" xfId="15648" xr:uid="{00000000-0005-0000-0000-00007B400000}"/>
    <cellStyle name="20% - Accent6 2 2 2 2 5" xfId="20511" xr:uid="{00000000-0005-0000-0000-00007C400000}"/>
    <cellStyle name="20% - Accent6 2 2 2 2 6" xfId="30236" xr:uid="{00000000-0005-0000-0000-00007D400000}"/>
    <cellStyle name="20% - Accent6 2 2 2 2 7" xfId="39961" xr:uid="{00000000-0005-0000-0000-00007E400000}"/>
    <cellStyle name="20% - Accent6 2 2 2 2 8" xfId="10786" xr:uid="{00000000-0005-0000-0000-00007F400000}"/>
    <cellStyle name="20% - Accent6 2 2 2 3" xfId="1509" xr:uid="{00000000-0005-0000-0000-000080400000}"/>
    <cellStyle name="20% - Accent6 2 2 2 3 2" xfId="3130" xr:uid="{00000000-0005-0000-0000-000081400000}"/>
    <cellStyle name="20% - Accent6 2 2 2 3 2 2" xfId="7992" xr:uid="{00000000-0005-0000-0000-000082400000}"/>
    <cellStyle name="20% - Accent6 2 2 2 3 2 2 2" xfId="27443" xr:uid="{00000000-0005-0000-0000-000083400000}"/>
    <cellStyle name="20% - Accent6 2 2 2 3 2 2 3" xfId="37168" xr:uid="{00000000-0005-0000-0000-000084400000}"/>
    <cellStyle name="20% - Accent6 2 2 2 3 2 2 4" xfId="46893" xr:uid="{00000000-0005-0000-0000-000085400000}"/>
    <cellStyle name="20% - Accent6 2 2 2 3 2 2 5" xfId="17718" xr:uid="{00000000-0005-0000-0000-000086400000}"/>
    <cellStyle name="20% - Accent6 2 2 2 3 2 3" xfId="22581" xr:uid="{00000000-0005-0000-0000-000087400000}"/>
    <cellStyle name="20% - Accent6 2 2 2 3 2 4" xfId="32306" xr:uid="{00000000-0005-0000-0000-000088400000}"/>
    <cellStyle name="20% - Accent6 2 2 2 3 2 5" xfId="42031" xr:uid="{00000000-0005-0000-0000-000089400000}"/>
    <cellStyle name="20% - Accent6 2 2 2 3 2 6" xfId="12856" xr:uid="{00000000-0005-0000-0000-00008A400000}"/>
    <cellStyle name="20% - Accent6 2 2 2 3 3" xfId="4750" xr:uid="{00000000-0005-0000-0000-00008B400000}"/>
    <cellStyle name="20% - Accent6 2 2 2 3 3 2" xfId="9612" xr:uid="{00000000-0005-0000-0000-00008C400000}"/>
    <cellStyle name="20% - Accent6 2 2 2 3 3 2 2" xfId="29063" xr:uid="{00000000-0005-0000-0000-00008D400000}"/>
    <cellStyle name="20% - Accent6 2 2 2 3 3 2 3" xfId="38788" xr:uid="{00000000-0005-0000-0000-00008E400000}"/>
    <cellStyle name="20% - Accent6 2 2 2 3 3 2 4" xfId="48513" xr:uid="{00000000-0005-0000-0000-00008F400000}"/>
    <cellStyle name="20% - Accent6 2 2 2 3 3 2 5" xfId="19338" xr:uid="{00000000-0005-0000-0000-000090400000}"/>
    <cellStyle name="20% - Accent6 2 2 2 3 3 3" xfId="24201" xr:uid="{00000000-0005-0000-0000-000091400000}"/>
    <cellStyle name="20% - Accent6 2 2 2 3 3 4" xfId="33926" xr:uid="{00000000-0005-0000-0000-000092400000}"/>
    <cellStyle name="20% - Accent6 2 2 2 3 3 5" xfId="43651" xr:uid="{00000000-0005-0000-0000-000093400000}"/>
    <cellStyle name="20% - Accent6 2 2 2 3 3 6" xfId="14476" xr:uid="{00000000-0005-0000-0000-000094400000}"/>
    <cellStyle name="20% - Accent6 2 2 2 3 4" xfId="6372" xr:uid="{00000000-0005-0000-0000-000095400000}"/>
    <cellStyle name="20% - Accent6 2 2 2 3 4 2" xfId="25823" xr:uid="{00000000-0005-0000-0000-000096400000}"/>
    <cellStyle name="20% - Accent6 2 2 2 3 4 3" xfId="35548" xr:uid="{00000000-0005-0000-0000-000097400000}"/>
    <cellStyle name="20% - Accent6 2 2 2 3 4 4" xfId="45273" xr:uid="{00000000-0005-0000-0000-000098400000}"/>
    <cellStyle name="20% - Accent6 2 2 2 3 4 5" xfId="16098" xr:uid="{00000000-0005-0000-0000-000099400000}"/>
    <cellStyle name="20% - Accent6 2 2 2 3 5" xfId="20961" xr:uid="{00000000-0005-0000-0000-00009A400000}"/>
    <cellStyle name="20% - Accent6 2 2 2 3 6" xfId="30686" xr:uid="{00000000-0005-0000-0000-00009B400000}"/>
    <cellStyle name="20% - Accent6 2 2 2 3 7" xfId="40411" xr:uid="{00000000-0005-0000-0000-00009C400000}"/>
    <cellStyle name="20% - Accent6 2 2 2 3 8" xfId="11236" xr:uid="{00000000-0005-0000-0000-00009D400000}"/>
    <cellStyle name="20% - Accent6 2 2 2 4" xfId="680" xr:uid="{00000000-0005-0000-0000-00009E400000}"/>
    <cellStyle name="20% - Accent6 2 2 2 4 2" xfId="2320" xr:uid="{00000000-0005-0000-0000-00009F400000}"/>
    <cellStyle name="20% - Accent6 2 2 2 4 2 2" xfId="7182" xr:uid="{00000000-0005-0000-0000-0000A0400000}"/>
    <cellStyle name="20% - Accent6 2 2 2 4 2 2 2" xfId="26633" xr:uid="{00000000-0005-0000-0000-0000A1400000}"/>
    <cellStyle name="20% - Accent6 2 2 2 4 2 2 3" xfId="36358" xr:uid="{00000000-0005-0000-0000-0000A2400000}"/>
    <cellStyle name="20% - Accent6 2 2 2 4 2 2 4" xfId="46083" xr:uid="{00000000-0005-0000-0000-0000A3400000}"/>
    <cellStyle name="20% - Accent6 2 2 2 4 2 2 5" xfId="16908" xr:uid="{00000000-0005-0000-0000-0000A4400000}"/>
    <cellStyle name="20% - Accent6 2 2 2 4 2 3" xfId="21771" xr:uid="{00000000-0005-0000-0000-0000A5400000}"/>
    <cellStyle name="20% - Accent6 2 2 2 4 2 4" xfId="31496" xr:uid="{00000000-0005-0000-0000-0000A6400000}"/>
    <cellStyle name="20% - Accent6 2 2 2 4 2 5" xfId="41221" xr:uid="{00000000-0005-0000-0000-0000A7400000}"/>
    <cellStyle name="20% - Accent6 2 2 2 4 2 6" xfId="12046" xr:uid="{00000000-0005-0000-0000-0000A8400000}"/>
    <cellStyle name="20% - Accent6 2 2 2 4 3" xfId="3940" xr:uid="{00000000-0005-0000-0000-0000A9400000}"/>
    <cellStyle name="20% - Accent6 2 2 2 4 3 2" xfId="8802" xr:uid="{00000000-0005-0000-0000-0000AA400000}"/>
    <cellStyle name="20% - Accent6 2 2 2 4 3 2 2" xfId="28253" xr:uid="{00000000-0005-0000-0000-0000AB400000}"/>
    <cellStyle name="20% - Accent6 2 2 2 4 3 2 3" xfId="37978" xr:uid="{00000000-0005-0000-0000-0000AC400000}"/>
    <cellStyle name="20% - Accent6 2 2 2 4 3 2 4" xfId="47703" xr:uid="{00000000-0005-0000-0000-0000AD400000}"/>
    <cellStyle name="20% - Accent6 2 2 2 4 3 2 5" xfId="18528" xr:uid="{00000000-0005-0000-0000-0000AE400000}"/>
    <cellStyle name="20% - Accent6 2 2 2 4 3 3" xfId="23391" xr:uid="{00000000-0005-0000-0000-0000AF400000}"/>
    <cellStyle name="20% - Accent6 2 2 2 4 3 4" xfId="33116" xr:uid="{00000000-0005-0000-0000-0000B0400000}"/>
    <cellStyle name="20% - Accent6 2 2 2 4 3 5" xfId="42841" xr:uid="{00000000-0005-0000-0000-0000B1400000}"/>
    <cellStyle name="20% - Accent6 2 2 2 4 3 6" xfId="13666" xr:uid="{00000000-0005-0000-0000-0000B2400000}"/>
    <cellStyle name="20% - Accent6 2 2 2 4 4" xfId="5562" xr:uid="{00000000-0005-0000-0000-0000B3400000}"/>
    <cellStyle name="20% - Accent6 2 2 2 4 4 2" xfId="25013" xr:uid="{00000000-0005-0000-0000-0000B4400000}"/>
    <cellStyle name="20% - Accent6 2 2 2 4 4 3" xfId="34738" xr:uid="{00000000-0005-0000-0000-0000B5400000}"/>
    <cellStyle name="20% - Accent6 2 2 2 4 4 4" xfId="44463" xr:uid="{00000000-0005-0000-0000-0000B6400000}"/>
    <cellStyle name="20% - Accent6 2 2 2 4 4 5" xfId="15288" xr:uid="{00000000-0005-0000-0000-0000B7400000}"/>
    <cellStyle name="20% - Accent6 2 2 2 4 5" xfId="20151" xr:uid="{00000000-0005-0000-0000-0000B8400000}"/>
    <cellStyle name="20% - Accent6 2 2 2 4 6" xfId="29876" xr:uid="{00000000-0005-0000-0000-0000B9400000}"/>
    <cellStyle name="20% - Accent6 2 2 2 4 7" xfId="39601" xr:uid="{00000000-0005-0000-0000-0000BA400000}"/>
    <cellStyle name="20% - Accent6 2 2 2 4 8" xfId="10426" xr:uid="{00000000-0005-0000-0000-0000BB400000}"/>
    <cellStyle name="20% - Accent6 2 2 2 5" xfId="1960" xr:uid="{00000000-0005-0000-0000-0000BC400000}"/>
    <cellStyle name="20% - Accent6 2 2 2 5 2" xfId="6822" xr:uid="{00000000-0005-0000-0000-0000BD400000}"/>
    <cellStyle name="20% - Accent6 2 2 2 5 2 2" xfId="26273" xr:uid="{00000000-0005-0000-0000-0000BE400000}"/>
    <cellStyle name="20% - Accent6 2 2 2 5 2 3" xfId="35998" xr:uid="{00000000-0005-0000-0000-0000BF400000}"/>
    <cellStyle name="20% - Accent6 2 2 2 5 2 4" xfId="45723" xr:uid="{00000000-0005-0000-0000-0000C0400000}"/>
    <cellStyle name="20% - Accent6 2 2 2 5 2 5" xfId="16548" xr:uid="{00000000-0005-0000-0000-0000C1400000}"/>
    <cellStyle name="20% - Accent6 2 2 2 5 3" xfId="21411" xr:uid="{00000000-0005-0000-0000-0000C2400000}"/>
    <cellStyle name="20% - Accent6 2 2 2 5 4" xfId="31136" xr:uid="{00000000-0005-0000-0000-0000C3400000}"/>
    <cellStyle name="20% - Accent6 2 2 2 5 5" xfId="40861" xr:uid="{00000000-0005-0000-0000-0000C4400000}"/>
    <cellStyle name="20% - Accent6 2 2 2 5 6" xfId="11686" xr:uid="{00000000-0005-0000-0000-0000C5400000}"/>
    <cellStyle name="20% - Accent6 2 2 2 6" xfId="3580" xr:uid="{00000000-0005-0000-0000-0000C6400000}"/>
    <cellStyle name="20% - Accent6 2 2 2 6 2" xfId="8442" xr:uid="{00000000-0005-0000-0000-0000C7400000}"/>
    <cellStyle name="20% - Accent6 2 2 2 6 2 2" xfId="27893" xr:uid="{00000000-0005-0000-0000-0000C8400000}"/>
    <cellStyle name="20% - Accent6 2 2 2 6 2 3" xfId="37618" xr:uid="{00000000-0005-0000-0000-0000C9400000}"/>
    <cellStyle name="20% - Accent6 2 2 2 6 2 4" xfId="47343" xr:uid="{00000000-0005-0000-0000-0000CA400000}"/>
    <cellStyle name="20% - Accent6 2 2 2 6 2 5" xfId="18168" xr:uid="{00000000-0005-0000-0000-0000CB400000}"/>
    <cellStyle name="20% - Accent6 2 2 2 6 3" xfId="23031" xr:uid="{00000000-0005-0000-0000-0000CC400000}"/>
    <cellStyle name="20% - Accent6 2 2 2 6 4" xfId="32756" xr:uid="{00000000-0005-0000-0000-0000CD400000}"/>
    <cellStyle name="20% - Accent6 2 2 2 6 5" xfId="42481" xr:uid="{00000000-0005-0000-0000-0000CE400000}"/>
    <cellStyle name="20% - Accent6 2 2 2 6 6" xfId="13306" xr:uid="{00000000-0005-0000-0000-0000CF400000}"/>
    <cellStyle name="20% - Accent6 2 2 2 7" xfId="5202" xr:uid="{00000000-0005-0000-0000-0000D0400000}"/>
    <cellStyle name="20% - Accent6 2 2 2 7 2" xfId="24653" xr:uid="{00000000-0005-0000-0000-0000D1400000}"/>
    <cellStyle name="20% - Accent6 2 2 2 7 3" xfId="34378" xr:uid="{00000000-0005-0000-0000-0000D2400000}"/>
    <cellStyle name="20% - Accent6 2 2 2 7 4" xfId="44103" xr:uid="{00000000-0005-0000-0000-0000D3400000}"/>
    <cellStyle name="20% - Accent6 2 2 2 7 5" xfId="14928" xr:uid="{00000000-0005-0000-0000-0000D4400000}"/>
    <cellStyle name="20% - Accent6 2 2 2 8" xfId="19791" xr:uid="{00000000-0005-0000-0000-0000D5400000}"/>
    <cellStyle name="20% - Accent6 2 2 2 9" xfId="29516" xr:uid="{00000000-0005-0000-0000-0000D6400000}"/>
    <cellStyle name="20% - Accent6 2 2 3" xfId="369" xr:uid="{00000000-0005-0000-0000-0000D7400000}"/>
    <cellStyle name="20% - Accent6 2 2 3 10" xfId="39331" xr:uid="{00000000-0005-0000-0000-0000D8400000}"/>
    <cellStyle name="20% - Accent6 2 2 3 11" xfId="10156" xr:uid="{00000000-0005-0000-0000-0000D9400000}"/>
    <cellStyle name="20% - Accent6 2 2 3 2" xfId="1132" xr:uid="{00000000-0005-0000-0000-0000DA400000}"/>
    <cellStyle name="20% - Accent6 2 2 3 2 2" xfId="2770" xr:uid="{00000000-0005-0000-0000-0000DB400000}"/>
    <cellStyle name="20% - Accent6 2 2 3 2 2 2" xfId="7632" xr:uid="{00000000-0005-0000-0000-0000DC400000}"/>
    <cellStyle name="20% - Accent6 2 2 3 2 2 2 2" xfId="27083" xr:uid="{00000000-0005-0000-0000-0000DD400000}"/>
    <cellStyle name="20% - Accent6 2 2 3 2 2 2 3" xfId="36808" xr:uid="{00000000-0005-0000-0000-0000DE400000}"/>
    <cellStyle name="20% - Accent6 2 2 3 2 2 2 4" xfId="46533" xr:uid="{00000000-0005-0000-0000-0000DF400000}"/>
    <cellStyle name="20% - Accent6 2 2 3 2 2 2 5" xfId="17358" xr:uid="{00000000-0005-0000-0000-0000E0400000}"/>
    <cellStyle name="20% - Accent6 2 2 3 2 2 3" xfId="22221" xr:uid="{00000000-0005-0000-0000-0000E1400000}"/>
    <cellStyle name="20% - Accent6 2 2 3 2 2 4" xfId="31946" xr:uid="{00000000-0005-0000-0000-0000E2400000}"/>
    <cellStyle name="20% - Accent6 2 2 3 2 2 5" xfId="41671" xr:uid="{00000000-0005-0000-0000-0000E3400000}"/>
    <cellStyle name="20% - Accent6 2 2 3 2 2 6" xfId="12496" xr:uid="{00000000-0005-0000-0000-0000E4400000}"/>
    <cellStyle name="20% - Accent6 2 2 3 2 3" xfId="4390" xr:uid="{00000000-0005-0000-0000-0000E5400000}"/>
    <cellStyle name="20% - Accent6 2 2 3 2 3 2" xfId="9252" xr:uid="{00000000-0005-0000-0000-0000E6400000}"/>
    <cellStyle name="20% - Accent6 2 2 3 2 3 2 2" xfId="28703" xr:uid="{00000000-0005-0000-0000-0000E7400000}"/>
    <cellStyle name="20% - Accent6 2 2 3 2 3 2 3" xfId="38428" xr:uid="{00000000-0005-0000-0000-0000E8400000}"/>
    <cellStyle name="20% - Accent6 2 2 3 2 3 2 4" xfId="48153" xr:uid="{00000000-0005-0000-0000-0000E9400000}"/>
    <cellStyle name="20% - Accent6 2 2 3 2 3 2 5" xfId="18978" xr:uid="{00000000-0005-0000-0000-0000EA400000}"/>
    <cellStyle name="20% - Accent6 2 2 3 2 3 3" xfId="23841" xr:uid="{00000000-0005-0000-0000-0000EB400000}"/>
    <cellStyle name="20% - Accent6 2 2 3 2 3 4" xfId="33566" xr:uid="{00000000-0005-0000-0000-0000EC400000}"/>
    <cellStyle name="20% - Accent6 2 2 3 2 3 5" xfId="43291" xr:uid="{00000000-0005-0000-0000-0000ED400000}"/>
    <cellStyle name="20% - Accent6 2 2 3 2 3 6" xfId="14116" xr:uid="{00000000-0005-0000-0000-0000EE400000}"/>
    <cellStyle name="20% - Accent6 2 2 3 2 4" xfId="6012" xr:uid="{00000000-0005-0000-0000-0000EF400000}"/>
    <cellStyle name="20% - Accent6 2 2 3 2 4 2" xfId="25463" xr:uid="{00000000-0005-0000-0000-0000F0400000}"/>
    <cellStyle name="20% - Accent6 2 2 3 2 4 3" xfId="35188" xr:uid="{00000000-0005-0000-0000-0000F1400000}"/>
    <cellStyle name="20% - Accent6 2 2 3 2 4 4" xfId="44913" xr:uid="{00000000-0005-0000-0000-0000F2400000}"/>
    <cellStyle name="20% - Accent6 2 2 3 2 4 5" xfId="15738" xr:uid="{00000000-0005-0000-0000-0000F3400000}"/>
    <cellStyle name="20% - Accent6 2 2 3 2 5" xfId="20601" xr:uid="{00000000-0005-0000-0000-0000F4400000}"/>
    <cellStyle name="20% - Accent6 2 2 3 2 6" xfId="30326" xr:uid="{00000000-0005-0000-0000-0000F5400000}"/>
    <cellStyle name="20% - Accent6 2 2 3 2 7" xfId="40051" xr:uid="{00000000-0005-0000-0000-0000F6400000}"/>
    <cellStyle name="20% - Accent6 2 2 3 2 8" xfId="10876" xr:uid="{00000000-0005-0000-0000-0000F7400000}"/>
    <cellStyle name="20% - Accent6 2 2 3 3" xfId="1599" xr:uid="{00000000-0005-0000-0000-0000F8400000}"/>
    <cellStyle name="20% - Accent6 2 2 3 3 2" xfId="3220" xr:uid="{00000000-0005-0000-0000-0000F9400000}"/>
    <cellStyle name="20% - Accent6 2 2 3 3 2 2" xfId="8082" xr:uid="{00000000-0005-0000-0000-0000FA400000}"/>
    <cellStyle name="20% - Accent6 2 2 3 3 2 2 2" xfId="27533" xr:uid="{00000000-0005-0000-0000-0000FB400000}"/>
    <cellStyle name="20% - Accent6 2 2 3 3 2 2 3" xfId="37258" xr:uid="{00000000-0005-0000-0000-0000FC400000}"/>
    <cellStyle name="20% - Accent6 2 2 3 3 2 2 4" xfId="46983" xr:uid="{00000000-0005-0000-0000-0000FD400000}"/>
    <cellStyle name="20% - Accent6 2 2 3 3 2 2 5" xfId="17808" xr:uid="{00000000-0005-0000-0000-0000FE400000}"/>
    <cellStyle name="20% - Accent6 2 2 3 3 2 3" xfId="22671" xr:uid="{00000000-0005-0000-0000-0000FF400000}"/>
    <cellStyle name="20% - Accent6 2 2 3 3 2 4" xfId="32396" xr:uid="{00000000-0005-0000-0000-000000410000}"/>
    <cellStyle name="20% - Accent6 2 2 3 3 2 5" xfId="42121" xr:uid="{00000000-0005-0000-0000-000001410000}"/>
    <cellStyle name="20% - Accent6 2 2 3 3 2 6" xfId="12946" xr:uid="{00000000-0005-0000-0000-000002410000}"/>
    <cellStyle name="20% - Accent6 2 2 3 3 3" xfId="4840" xr:uid="{00000000-0005-0000-0000-000003410000}"/>
    <cellStyle name="20% - Accent6 2 2 3 3 3 2" xfId="9702" xr:uid="{00000000-0005-0000-0000-000004410000}"/>
    <cellStyle name="20% - Accent6 2 2 3 3 3 2 2" xfId="29153" xr:uid="{00000000-0005-0000-0000-000005410000}"/>
    <cellStyle name="20% - Accent6 2 2 3 3 3 2 3" xfId="38878" xr:uid="{00000000-0005-0000-0000-000006410000}"/>
    <cellStyle name="20% - Accent6 2 2 3 3 3 2 4" xfId="48603" xr:uid="{00000000-0005-0000-0000-000007410000}"/>
    <cellStyle name="20% - Accent6 2 2 3 3 3 2 5" xfId="19428" xr:uid="{00000000-0005-0000-0000-000008410000}"/>
    <cellStyle name="20% - Accent6 2 2 3 3 3 3" xfId="24291" xr:uid="{00000000-0005-0000-0000-000009410000}"/>
    <cellStyle name="20% - Accent6 2 2 3 3 3 4" xfId="34016" xr:uid="{00000000-0005-0000-0000-00000A410000}"/>
    <cellStyle name="20% - Accent6 2 2 3 3 3 5" xfId="43741" xr:uid="{00000000-0005-0000-0000-00000B410000}"/>
    <cellStyle name="20% - Accent6 2 2 3 3 3 6" xfId="14566" xr:uid="{00000000-0005-0000-0000-00000C410000}"/>
    <cellStyle name="20% - Accent6 2 2 3 3 4" xfId="6462" xr:uid="{00000000-0005-0000-0000-00000D410000}"/>
    <cellStyle name="20% - Accent6 2 2 3 3 4 2" xfId="25913" xr:uid="{00000000-0005-0000-0000-00000E410000}"/>
    <cellStyle name="20% - Accent6 2 2 3 3 4 3" xfId="35638" xr:uid="{00000000-0005-0000-0000-00000F410000}"/>
    <cellStyle name="20% - Accent6 2 2 3 3 4 4" xfId="45363" xr:uid="{00000000-0005-0000-0000-000010410000}"/>
    <cellStyle name="20% - Accent6 2 2 3 3 4 5" xfId="16188" xr:uid="{00000000-0005-0000-0000-000011410000}"/>
    <cellStyle name="20% - Accent6 2 2 3 3 5" xfId="21051" xr:uid="{00000000-0005-0000-0000-000012410000}"/>
    <cellStyle name="20% - Accent6 2 2 3 3 6" xfId="30776" xr:uid="{00000000-0005-0000-0000-000013410000}"/>
    <cellStyle name="20% - Accent6 2 2 3 3 7" xfId="40501" xr:uid="{00000000-0005-0000-0000-000014410000}"/>
    <cellStyle name="20% - Accent6 2 2 3 3 8" xfId="11326" xr:uid="{00000000-0005-0000-0000-000015410000}"/>
    <cellStyle name="20% - Accent6 2 2 3 4" xfId="770" xr:uid="{00000000-0005-0000-0000-000016410000}"/>
    <cellStyle name="20% - Accent6 2 2 3 4 2" xfId="2410" xr:uid="{00000000-0005-0000-0000-000017410000}"/>
    <cellStyle name="20% - Accent6 2 2 3 4 2 2" xfId="7272" xr:uid="{00000000-0005-0000-0000-000018410000}"/>
    <cellStyle name="20% - Accent6 2 2 3 4 2 2 2" xfId="26723" xr:uid="{00000000-0005-0000-0000-000019410000}"/>
    <cellStyle name="20% - Accent6 2 2 3 4 2 2 3" xfId="36448" xr:uid="{00000000-0005-0000-0000-00001A410000}"/>
    <cellStyle name="20% - Accent6 2 2 3 4 2 2 4" xfId="46173" xr:uid="{00000000-0005-0000-0000-00001B410000}"/>
    <cellStyle name="20% - Accent6 2 2 3 4 2 2 5" xfId="16998" xr:uid="{00000000-0005-0000-0000-00001C410000}"/>
    <cellStyle name="20% - Accent6 2 2 3 4 2 3" xfId="21861" xr:uid="{00000000-0005-0000-0000-00001D410000}"/>
    <cellStyle name="20% - Accent6 2 2 3 4 2 4" xfId="31586" xr:uid="{00000000-0005-0000-0000-00001E410000}"/>
    <cellStyle name="20% - Accent6 2 2 3 4 2 5" xfId="41311" xr:uid="{00000000-0005-0000-0000-00001F410000}"/>
    <cellStyle name="20% - Accent6 2 2 3 4 2 6" xfId="12136" xr:uid="{00000000-0005-0000-0000-000020410000}"/>
    <cellStyle name="20% - Accent6 2 2 3 4 3" xfId="4030" xr:uid="{00000000-0005-0000-0000-000021410000}"/>
    <cellStyle name="20% - Accent6 2 2 3 4 3 2" xfId="8892" xr:uid="{00000000-0005-0000-0000-000022410000}"/>
    <cellStyle name="20% - Accent6 2 2 3 4 3 2 2" xfId="28343" xr:uid="{00000000-0005-0000-0000-000023410000}"/>
    <cellStyle name="20% - Accent6 2 2 3 4 3 2 3" xfId="38068" xr:uid="{00000000-0005-0000-0000-000024410000}"/>
    <cellStyle name="20% - Accent6 2 2 3 4 3 2 4" xfId="47793" xr:uid="{00000000-0005-0000-0000-000025410000}"/>
    <cellStyle name="20% - Accent6 2 2 3 4 3 2 5" xfId="18618" xr:uid="{00000000-0005-0000-0000-000026410000}"/>
    <cellStyle name="20% - Accent6 2 2 3 4 3 3" xfId="23481" xr:uid="{00000000-0005-0000-0000-000027410000}"/>
    <cellStyle name="20% - Accent6 2 2 3 4 3 4" xfId="33206" xr:uid="{00000000-0005-0000-0000-000028410000}"/>
    <cellStyle name="20% - Accent6 2 2 3 4 3 5" xfId="42931" xr:uid="{00000000-0005-0000-0000-000029410000}"/>
    <cellStyle name="20% - Accent6 2 2 3 4 3 6" xfId="13756" xr:uid="{00000000-0005-0000-0000-00002A410000}"/>
    <cellStyle name="20% - Accent6 2 2 3 4 4" xfId="5652" xr:uid="{00000000-0005-0000-0000-00002B410000}"/>
    <cellStyle name="20% - Accent6 2 2 3 4 4 2" xfId="25103" xr:uid="{00000000-0005-0000-0000-00002C410000}"/>
    <cellStyle name="20% - Accent6 2 2 3 4 4 3" xfId="34828" xr:uid="{00000000-0005-0000-0000-00002D410000}"/>
    <cellStyle name="20% - Accent6 2 2 3 4 4 4" xfId="44553" xr:uid="{00000000-0005-0000-0000-00002E410000}"/>
    <cellStyle name="20% - Accent6 2 2 3 4 4 5" xfId="15378" xr:uid="{00000000-0005-0000-0000-00002F410000}"/>
    <cellStyle name="20% - Accent6 2 2 3 4 5" xfId="20241" xr:uid="{00000000-0005-0000-0000-000030410000}"/>
    <cellStyle name="20% - Accent6 2 2 3 4 6" xfId="29966" xr:uid="{00000000-0005-0000-0000-000031410000}"/>
    <cellStyle name="20% - Accent6 2 2 3 4 7" xfId="39691" xr:uid="{00000000-0005-0000-0000-000032410000}"/>
    <cellStyle name="20% - Accent6 2 2 3 4 8" xfId="10516" xr:uid="{00000000-0005-0000-0000-000033410000}"/>
    <cellStyle name="20% - Accent6 2 2 3 5" xfId="2050" xr:uid="{00000000-0005-0000-0000-000034410000}"/>
    <cellStyle name="20% - Accent6 2 2 3 5 2" xfId="6912" xr:uid="{00000000-0005-0000-0000-000035410000}"/>
    <cellStyle name="20% - Accent6 2 2 3 5 2 2" xfId="26363" xr:uid="{00000000-0005-0000-0000-000036410000}"/>
    <cellStyle name="20% - Accent6 2 2 3 5 2 3" xfId="36088" xr:uid="{00000000-0005-0000-0000-000037410000}"/>
    <cellStyle name="20% - Accent6 2 2 3 5 2 4" xfId="45813" xr:uid="{00000000-0005-0000-0000-000038410000}"/>
    <cellStyle name="20% - Accent6 2 2 3 5 2 5" xfId="16638" xr:uid="{00000000-0005-0000-0000-000039410000}"/>
    <cellStyle name="20% - Accent6 2 2 3 5 3" xfId="21501" xr:uid="{00000000-0005-0000-0000-00003A410000}"/>
    <cellStyle name="20% - Accent6 2 2 3 5 4" xfId="31226" xr:uid="{00000000-0005-0000-0000-00003B410000}"/>
    <cellStyle name="20% - Accent6 2 2 3 5 5" xfId="40951" xr:uid="{00000000-0005-0000-0000-00003C410000}"/>
    <cellStyle name="20% - Accent6 2 2 3 5 6" xfId="11776" xr:uid="{00000000-0005-0000-0000-00003D410000}"/>
    <cellStyle name="20% - Accent6 2 2 3 6" xfId="3670" xr:uid="{00000000-0005-0000-0000-00003E410000}"/>
    <cellStyle name="20% - Accent6 2 2 3 6 2" xfId="8532" xr:uid="{00000000-0005-0000-0000-00003F410000}"/>
    <cellStyle name="20% - Accent6 2 2 3 6 2 2" xfId="27983" xr:uid="{00000000-0005-0000-0000-000040410000}"/>
    <cellStyle name="20% - Accent6 2 2 3 6 2 3" xfId="37708" xr:uid="{00000000-0005-0000-0000-000041410000}"/>
    <cellStyle name="20% - Accent6 2 2 3 6 2 4" xfId="47433" xr:uid="{00000000-0005-0000-0000-000042410000}"/>
    <cellStyle name="20% - Accent6 2 2 3 6 2 5" xfId="18258" xr:uid="{00000000-0005-0000-0000-000043410000}"/>
    <cellStyle name="20% - Accent6 2 2 3 6 3" xfId="23121" xr:uid="{00000000-0005-0000-0000-000044410000}"/>
    <cellStyle name="20% - Accent6 2 2 3 6 4" xfId="32846" xr:uid="{00000000-0005-0000-0000-000045410000}"/>
    <cellStyle name="20% - Accent6 2 2 3 6 5" xfId="42571" xr:uid="{00000000-0005-0000-0000-000046410000}"/>
    <cellStyle name="20% - Accent6 2 2 3 6 6" xfId="13396" xr:uid="{00000000-0005-0000-0000-000047410000}"/>
    <cellStyle name="20% - Accent6 2 2 3 7" xfId="5292" xr:uid="{00000000-0005-0000-0000-000048410000}"/>
    <cellStyle name="20% - Accent6 2 2 3 7 2" xfId="24743" xr:uid="{00000000-0005-0000-0000-000049410000}"/>
    <cellStyle name="20% - Accent6 2 2 3 7 3" xfId="34468" xr:uid="{00000000-0005-0000-0000-00004A410000}"/>
    <cellStyle name="20% - Accent6 2 2 3 7 4" xfId="44193" xr:uid="{00000000-0005-0000-0000-00004B410000}"/>
    <cellStyle name="20% - Accent6 2 2 3 7 5" xfId="15018" xr:uid="{00000000-0005-0000-0000-00004C410000}"/>
    <cellStyle name="20% - Accent6 2 2 3 8" xfId="19881" xr:uid="{00000000-0005-0000-0000-00004D410000}"/>
    <cellStyle name="20% - Accent6 2 2 3 9" xfId="29606" xr:uid="{00000000-0005-0000-0000-00004E410000}"/>
    <cellStyle name="20% - Accent6 2 2 4" xfId="187" xr:uid="{00000000-0005-0000-0000-00004F410000}"/>
    <cellStyle name="20% - Accent6 2 2 4 10" xfId="39151" xr:uid="{00000000-0005-0000-0000-000050410000}"/>
    <cellStyle name="20% - Accent6 2 2 4 11" xfId="9976" xr:uid="{00000000-0005-0000-0000-000051410000}"/>
    <cellStyle name="20% - Accent6 2 2 4 2" xfId="951" xr:uid="{00000000-0005-0000-0000-000052410000}"/>
    <cellStyle name="20% - Accent6 2 2 4 2 2" xfId="2590" xr:uid="{00000000-0005-0000-0000-000053410000}"/>
    <cellStyle name="20% - Accent6 2 2 4 2 2 2" xfId="7452" xr:uid="{00000000-0005-0000-0000-000054410000}"/>
    <cellStyle name="20% - Accent6 2 2 4 2 2 2 2" xfId="26903" xr:uid="{00000000-0005-0000-0000-000055410000}"/>
    <cellStyle name="20% - Accent6 2 2 4 2 2 2 3" xfId="36628" xr:uid="{00000000-0005-0000-0000-000056410000}"/>
    <cellStyle name="20% - Accent6 2 2 4 2 2 2 4" xfId="46353" xr:uid="{00000000-0005-0000-0000-000057410000}"/>
    <cellStyle name="20% - Accent6 2 2 4 2 2 2 5" xfId="17178" xr:uid="{00000000-0005-0000-0000-000058410000}"/>
    <cellStyle name="20% - Accent6 2 2 4 2 2 3" xfId="22041" xr:uid="{00000000-0005-0000-0000-000059410000}"/>
    <cellStyle name="20% - Accent6 2 2 4 2 2 4" xfId="31766" xr:uid="{00000000-0005-0000-0000-00005A410000}"/>
    <cellStyle name="20% - Accent6 2 2 4 2 2 5" xfId="41491" xr:uid="{00000000-0005-0000-0000-00005B410000}"/>
    <cellStyle name="20% - Accent6 2 2 4 2 2 6" xfId="12316" xr:uid="{00000000-0005-0000-0000-00005C410000}"/>
    <cellStyle name="20% - Accent6 2 2 4 2 3" xfId="4210" xr:uid="{00000000-0005-0000-0000-00005D410000}"/>
    <cellStyle name="20% - Accent6 2 2 4 2 3 2" xfId="9072" xr:uid="{00000000-0005-0000-0000-00005E410000}"/>
    <cellStyle name="20% - Accent6 2 2 4 2 3 2 2" xfId="28523" xr:uid="{00000000-0005-0000-0000-00005F410000}"/>
    <cellStyle name="20% - Accent6 2 2 4 2 3 2 3" xfId="38248" xr:uid="{00000000-0005-0000-0000-000060410000}"/>
    <cellStyle name="20% - Accent6 2 2 4 2 3 2 4" xfId="47973" xr:uid="{00000000-0005-0000-0000-000061410000}"/>
    <cellStyle name="20% - Accent6 2 2 4 2 3 2 5" xfId="18798" xr:uid="{00000000-0005-0000-0000-000062410000}"/>
    <cellStyle name="20% - Accent6 2 2 4 2 3 3" xfId="23661" xr:uid="{00000000-0005-0000-0000-000063410000}"/>
    <cellStyle name="20% - Accent6 2 2 4 2 3 4" xfId="33386" xr:uid="{00000000-0005-0000-0000-000064410000}"/>
    <cellStyle name="20% - Accent6 2 2 4 2 3 5" xfId="43111" xr:uid="{00000000-0005-0000-0000-000065410000}"/>
    <cellStyle name="20% - Accent6 2 2 4 2 3 6" xfId="13936" xr:uid="{00000000-0005-0000-0000-000066410000}"/>
    <cellStyle name="20% - Accent6 2 2 4 2 4" xfId="5832" xr:uid="{00000000-0005-0000-0000-000067410000}"/>
    <cellStyle name="20% - Accent6 2 2 4 2 4 2" xfId="25283" xr:uid="{00000000-0005-0000-0000-000068410000}"/>
    <cellStyle name="20% - Accent6 2 2 4 2 4 3" xfId="35008" xr:uid="{00000000-0005-0000-0000-000069410000}"/>
    <cellStyle name="20% - Accent6 2 2 4 2 4 4" xfId="44733" xr:uid="{00000000-0005-0000-0000-00006A410000}"/>
    <cellStyle name="20% - Accent6 2 2 4 2 4 5" xfId="15558" xr:uid="{00000000-0005-0000-0000-00006B410000}"/>
    <cellStyle name="20% - Accent6 2 2 4 2 5" xfId="20421" xr:uid="{00000000-0005-0000-0000-00006C410000}"/>
    <cellStyle name="20% - Accent6 2 2 4 2 6" xfId="30146" xr:uid="{00000000-0005-0000-0000-00006D410000}"/>
    <cellStyle name="20% - Accent6 2 2 4 2 7" xfId="39871" xr:uid="{00000000-0005-0000-0000-00006E410000}"/>
    <cellStyle name="20% - Accent6 2 2 4 2 8" xfId="10696" xr:uid="{00000000-0005-0000-0000-00006F410000}"/>
    <cellStyle name="20% - Accent6 2 2 4 3" xfId="1419" xr:uid="{00000000-0005-0000-0000-000070410000}"/>
    <cellStyle name="20% - Accent6 2 2 4 3 2" xfId="3040" xr:uid="{00000000-0005-0000-0000-000071410000}"/>
    <cellStyle name="20% - Accent6 2 2 4 3 2 2" xfId="7902" xr:uid="{00000000-0005-0000-0000-000072410000}"/>
    <cellStyle name="20% - Accent6 2 2 4 3 2 2 2" xfId="27353" xr:uid="{00000000-0005-0000-0000-000073410000}"/>
    <cellStyle name="20% - Accent6 2 2 4 3 2 2 3" xfId="37078" xr:uid="{00000000-0005-0000-0000-000074410000}"/>
    <cellStyle name="20% - Accent6 2 2 4 3 2 2 4" xfId="46803" xr:uid="{00000000-0005-0000-0000-000075410000}"/>
    <cellStyle name="20% - Accent6 2 2 4 3 2 2 5" xfId="17628" xr:uid="{00000000-0005-0000-0000-000076410000}"/>
    <cellStyle name="20% - Accent6 2 2 4 3 2 3" xfId="22491" xr:uid="{00000000-0005-0000-0000-000077410000}"/>
    <cellStyle name="20% - Accent6 2 2 4 3 2 4" xfId="32216" xr:uid="{00000000-0005-0000-0000-000078410000}"/>
    <cellStyle name="20% - Accent6 2 2 4 3 2 5" xfId="41941" xr:uid="{00000000-0005-0000-0000-000079410000}"/>
    <cellStyle name="20% - Accent6 2 2 4 3 2 6" xfId="12766" xr:uid="{00000000-0005-0000-0000-00007A410000}"/>
    <cellStyle name="20% - Accent6 2 2 4 3 3" xfId="4660" xr:uid="{00000000-0005-0000-0000-00007B410000}"/>
    <cellStyle name="20% - Accent6 2 2 4 3 3 2" xfId="9522" xr:uid="{00000000-0005-0000-0000-00007C410000}"/>
    <cellStyle name="20% - Accent6 2 2 4 3 3 2 2" xfId="28973" xr:uid="{00000000-0005-0000-0000-00007D410000}"/>
    <cellStyle name="20% - Accent6 2 2 4 3 3 2 3" xfId="38698" xr:uid="{00000000-0005-0000-0000-00007E410000}"/>
    <cellStyle name="20% - Accent6 2 2 4 3 3 2 4" xfId="48423" xr:uid="{00000000-0005-0000-0000-00007F410000}"/>
    <cellStyle name="20% - Accent6 2 2 4 3 3 2 5" xfId="19248" xr:uid="{00000000-0005-0000-0000-000080410000}"/>
    <cellStyle name="20% - Accent6 2 2 4 3 3 3" xfId="24111" xr:uid="{00000000-0005-0000-0000-000081410000}"/>
    <cellStyle name="20% - Accent6 2 2 4 3 3 4" xfId="33836" xr:uid="{00000000-0005-0000-0000-000082410000}"/>
    <cellStyle name="20% - Accent6 2 2 4 3 3 5" xfId="43561" xr:uid="{00000000-0005-0000-0000-000083410000}"/>
    <cellStyle name="20% - Accent6 2 2 4 3 3 6" xfId="14386" xr:uid="{00000000-0005-0000-0000-000084410000}"/>
    <cellStyle name="20% - Accent6 2 2 4 3 4" xfId="6282" xr:uid="{00000000-0005-0000-0000-000085410000}"/>
    <cellStyle name="20% - Accent6 2 2 4 3 4 2" xfId="25733" xr:uid="{00000000-0005-0000-0000-000086410000}"/>
    <cellStyle name="20% - Accent6 2 2 4 3 4 3" xfId="35458" xr:uid="{00000000-0005-0000-0000-000087410000}"/>
    <cellStyle name="20% - Accent6 2 2 4 3 4 4" xfId="45183" xr:uid="{00000000-0005-0000-0000-000088410000}"/>
    <cellStyle name="20% - Accent6 2 2 4 3 4 5" xfId="16008" xr:uid="{00000000-0005-0000-0000-000089410000}"/>
    <cellStyle name="20% - Accent6 2 2 4 3 5" xfId="20871" xr:uid="{00000000-0005-0000-0000-00008A410000}"/>
    <cellStyle name="20% - Accent6 2 2 4 3 6" xfId="30596" xr:uid="{00000000-0005-0000-0000-00008B410000}"/>
    <cellStyle name="20% - Accent6 2 2 4 3 7" xfId="40321" xr:uid="{00000000-0005-0000-0000-00008C410000}"/>
    <cellStyle name="20% - Accent6 2 2 4 3 8" xfId="11146" xr:uid="{00000000-0005-0000-0000-00008D410000}"/>
    <cellStyle name="20% - Accent6 2 2 4 4" xfId="590" xr:uid="{00000000-0005-0000-0000-00008E410000}"/>
    <cellStyle name="20% - Accent6 2 2 4 4 2" xfId="2230" xr:uid="{00000000-0005-0000-0000-00008F410000}"/>
    <cellStyle name="20% - Accent6 2 2 4 4 2 2" xfId="7092" xr:uid="{00000000-0005-0000-0000-000090410000}"/>
    <cellStyle name="20% - Accent6 2 2 4 4 2 2 2" xfId="26543" xr:uid="{00000000-0005-0000-0000-000091410000}"/>
    <cellStyle name="20% - Accent6 2 2 4 4 2 2 3" xfId="36268" xr:uid="{00000000-0005-0000-0000-000092410000}"/>
    <cellStyle name="20% - Accent6 2 2 4 4 2 2 4" xfId="45993" xr:uid="{00000000-0005-0000-0000-000093410000}"/>
    <cellStyle name="20% - Accent6 2 2 4 4 2 2 5" xfId="16818" xr:uid="{00000000-0005-0000-0000-000094410000}"/>
    <cellStyle name="20% - Accent6 2 2 4 4 2 3" xfId="21681" xr:uid="{00000000-0005-0000-0000-000095410000}"/>
    <cellStyle name="20% - Accent6 2 2 4 4 2 4" xfId="31406" xr:uid="{00000000-0005-0000-0000-000096410000}"/>
    <cellStyle name="20% - Accent6 2 2 4 4 2 5" xfId="41131" xr:uid="{00000000-0005-0000-0000-000097410000}"/>
    <cellStyle name="20% - Accent6 2 2 4 4 2 6" xfId="11956" xr:uid="{00000000-0005-0000-0000-000098410000}"/>
    <cellStyle name="20% - Accent6 2 2 4 4 3" xfId="3850" xr:uid="{00000000-0005-0000-0000-000099410000}"/>
    <cellStyle name="20% - Accent6 2 2 4 4 3 2" xfId="8712" xr:uid="{00000000-0005-0000-0000-00009A410000}"/>
    <cellStyle name="20% - Accent6 2 2 4 4 3 2 2" xfId="28163" xr:uid="{00000000-0005-0000-0000-00009B410000}"/>
    <cellStyle name="20% - Accent6 2 2 4 4 3 2 3" xfId="37888" xr:uid="{00000000-0005-0000-0000-00009C410000}"/>
    <cellStyle name="20% - Accent6 2 2 4 4 3 2 4" xfId="47613" xr:uid="{00000000-0005-0000-0000-00009D410000}"/>
    <cellStyle name="20% - Accent6 2 2 4 4 3 2 5" xfId="18438" xr:uid="{00000000-0005-0000-0000-00009E410000}"/>
    <cellStyle name="20% - Accent6 2 2 4 4 3 3" xfId="23301" xr:uid="{00000000-0005-0000-0000-00009F410000}"/>
    <cellStyle name="20% - Accent6 2 2 4 4 3 4" xfId="33026" xr:uid="{00000000-0005-0000-0000-0000A0410000}"/>
    <cellStyle name="20% - Accent6 2 2 4 4 3 5" xfId="42751" xr:uid="{00000000-0005-0000-0000-0000A1410000}"/>
    <cellStyle name="20% - Accent6 2 2 4 4 3 6" xfId="13576" xr:uid="{00000000-0005-0000-0000-0000A2410000}"/>
    <cellStyle name="20% - Accent6 2 2 4 4 4" xfId="5472" xr:uid="{00000000-0005-0000-0000-0000A3410000}"/>
    <cellStyle name="20% - Accent6 2 2 4 4 4 2" xfId="24923" xr:uid="{00000000-0005-0000-0000-0000A4410000}"/>
    <cellStyle name="20% - Accent6 2 2 4 4 4 3" xfId="34648" xr:uid="{00000000-0005-0000-0000-0000A5410000}"/>
    <cellStyle name="20% - Accent6 2 2 4 4 4 4" xfId="44373" xr:uid="{00000000-0005-0000-0000-0000A6410000}"/>
    <cellStyle name="20% - Accent6 2 2 4 4 4 5" xfId="15198" xr:uid="{00000000-0005-0000-0000-0000A7410000}"/>
    <cellStyle name="20% - Accent6 2 2 4 4 5" xfId="20061" xr:uid="{00000000-0005-0000-0000-0000A8410000}"/>
    <cellStyle name="20% - Accent6 2 2 4 4 6" xfId="29786" xr:uid="{00000000-0005-0000-0000-0000A9410000}"/>
    <cellStyle name="20% - Accent6 2 2 4 4 7" xfId="39511" xr:uid="{00000000-0005-0000-0000-0000AA410000}"/>
    <cellStyle name="20% - Accent6 2 2 4 4 8" xfId="10336" xr:uid="{00000000-0005-0000-0000-0000AB410000}"/>
    <cellStyle name="20% - Accent6 2 2 4 5" xfId="1870" xr:uid="{00000000-0005-0000-0000-0000AC410000}"/>
    <cellStyle name="20% - Accent6 2 2 4 5 2" xfId="6732" xr:uid="{00000000-0005-0000-0000-0000AD410000}"/>
    <cellStyle name="20% - Accent6 2 2 4 5 2 2" xfId="26183" xr:uid="{00000000-0005-0000-0000-0000AE410000}"/>
    <cellStyle name="20% - Accent6 2 2 4 5 2 3" xfId="35908" xr:uid="{00000000-0005-0000-0000-0000AF410000}"/>
    <cellStyle name="20% - Accent6 2 2 4 5 2 4" xfId="45633" xr:uid="{00000000-0005-0000-0000-0000B0410000}"/>
    <cellStyle name="20% - Accent6 2 2 4 5 2 5" xfId="16458" xr:uid="{00000000-0005-0000-0000-0000B1410000}"/>
    <cellStyle name="20% - Accent6 2 2 4 5 3" xfId="21321" xr:uid="{00000000-0005-0000-0000-0000B2410000}"/>
    <cellStyle name="20% - Accent6 2 2 4 5 4" xfId="31046" xr:uid="{00000000-0005-0000-0000-0000B3410000}"/>
    <cellStyle name="20% - Accent6 2 2 4 5 5" xfId="40771" xr:uid="{00000000-0005-0000-0000-0000B4410000}"/>
    <cellStyle name="20% - Accent6 2 2 4 5 6" xfId="11596" xr:uid="{00000000-0005-0000-0000-0000B5410000}"/>
    <cellStyle name="20% - Accent6 2 2 4 6" xfId="3490" xr:uid="{00000000-0005-0000-0000-0000B6410000}"/>
    <cellStyle name="20% - Accent6 2 2 4 6 2" xfId="8352" xr:uid="{00000000-0005-0000-0000-0000B7410000}"/>
    <cellStyle name="20% - Accent6 2 2 4 6 2 2" xfId="27803" xr:uid="{00000000-0005-0000-0000-0000B8410000}"/>
    <cellStyle name="20% - Accent6 2 2 4 6 2 3" xfId="37528" xr:uid="{00000000-0005-0000-0000-0000B9410000}"/>
    <cellStyle name="20% - Accent6 2 2 4 6 2 4" xfId="47253" xr:uid="{00000000-0005-0000-0000-0000BA410000}"/>
    <cellStyle name="20% - Accent6 2 2 4 6 2 5" xfId="18078" xr:uid="{00000000-0005-0000-0000-0000BB410000}"/>
    <cellStyle name="20% - Accent6 2 2 4 6 3" xfId="22941" xr:uid="{00000000-0005-0000-0000-0000BC410000}"/>
    <cellStyle name="20% - Accent6 2 2 4 6 4" xfId="32666" xr:uid="{00000000-0005-0000-0000-0000BD410000}"/>
    <cellStyle name="20% - Accent6 2 2 4 6 5" xfId="42391" xr:uid="{00000000-0005-0000-0000-0000BE410000}"/>
    <cellStyle name="20% - Accent6 2 2 4 6 6" xfId="13216" xr:uid="{00000000-0005-0000-0000-0000BF410000}"/>
    <cellStyle name="20% - Accent6 2 2 4 7" xfId="5112" xr:uid="{00000000-0005-0000-0000-0000C0410000}"/>
    <cellStyle name="20% - Accent6 2 2 4 7 2" xfId="24563" xr:uid="{00000000-0005-0000-0000-0000C1410000}"/>
    <cellStyle name="20% - Accent6 2 2 4 7 3" xfId="34288" xr:uid="{00000000-0005-0000-0000-0000C2410000}"/>
    <cellStyle name="20% - Accent6 2 2 4 7 4" xfId="44013" xr:uid="{00000000-0005-0000-0000-0000C3410000}"/>
    <cellStyle name="20% - Accent6 2 2 4 7 5" xfId="14838" xr:uid="{00000000-0005-0000-0000-0000C4410000}"/>
    <cellStyle name="20% - Accent6 2 2 4 8" xfId="19701" xr:uid="{00000000-0005-0000-0000-0000C5410000}"/>
    <cellStyle name="20% - Accent6 2 2 4 9" xfId="29426" xr:uid="{00000000-0005-0000-0000-0000C6410000}"/>
    <cellStyle name="20% - Accent6 2 2 5" xfId="861" xr:uid="{00000000-0005-0000-0000-0000C7410000}"/>
    <cellStyle name="20% - Accent6 2 2 5 2" xfId="2500" xr:uid="{00000000-0005-0000-0000-0000C8410000}"/>
    <cellStyle name="20% - Accent6 2 2 5 2 2" xfId="7362" xr:uid="{00000000-0005-0000-0000-0000C9410000}"/>
    <cellStyle name="20% - Accent6 2 2 5 2 2 2" xfId="26813" xr:uid="{00000000-0005-0000-0000-0000CA410000}"/>
    <cellStyle name="20% - Accent6 2 2 5 2 2 3" xfId="36538" xr:uid="{00000000-0005-0000-0000-0000CB410000}"/>
    <cellStyle name="20% - Accent6 2 2 5 2 2 4" xfId="46263" xr:uid="{00000000-0005-0000-0000-0000CC410000}"/>
    <cellStyle name="20% - Accent6 2 2 5 2 2 5" xfId="17088" xr:uid="{00000000-0005-0000-0000-0000CD410000}"/>
    <cellStyle name="20% - Accent6 2 2 5 2 3" xfId="21951" xr:uid="{00000000-0005-0000-0000-0000CE410000}"/>
    <cellStyle name="20% - Accent6 2 2 5 2 4" xfId="31676" xr:uid="{00000000-0005-0000-0000-0000CF410000}"/>
    <cellStyle name="20% - Accent6 2 2 5 2 5" xfId="41401" xr:uid="{00000000-0005-0000-0000-0000D0410000}"/>
    <cellStyle name="20% - Accent6 2 2 5 2 6" xfId="12226" xr:uid="{00000000-0005-0000-0000-0000D1410000}"/>
    <cellStyle name="20% - Accent6 2 2 5 3" xfId="4120" xr:uid="{00000000-0005-0000-0000-0000D2410000}"/>
    <cellStyle name="20% - Accent6 2 2 5 3 2" xfId="8982" xr:uid="{00000000-0005-0000-0000-0000D3410000}"/>
    <cellStyle name="20% - Accent6 2 2 5 3 2 2" xfId="28433" xr:uid="{00000000-0005-0000-0000-0000D4410000}"/>
    <cellStyle name="20% - Accent6 2 2 5 3 2 3" xfId="38158" xr:uid="{00000000-0005-0000-0000-0000D5410000}"/>
    <cellStyle name="20% - Accent6 2 2 5 3 2 4" xfId="47883" xr:uid="{00000000-0005-0000-0000-0000D6410000}"/>
    <cellStyle name="20% - Accent6 2 2 5 3 2 5" xfId="18708" xr:uid="{00000000-0005-0000-0000-0000D7410000}"/>
    <cellStyle name="20% - Accent6 2 2 5 3 3" xfId="23571" xr:uid="{00000000-0005-0000-0000-0000D8410000}"/>
    <cellStyle name="20% - Accent6 2 2 5 3 4" xfId="33296" xr:uid="{00000000-0005-0000-0000-0000D9410000}"/>
    <cellStyle name="20% - Accent6 2 2 5 3 5" xfId="43021" xr:uid="{00000000-0005-0000-0000-0000DA410000}"/>
    <cellStyle name="20% - Accent6 2 2 5 3 6" xfId="13846" xr:uid="{00000000-0005-0000-0000-0000DB410000}"/>
    <cellStyle name="20% - Accent6 2 2 5 4" xfId="5742" xr:uid="{00000000-0005-0000-0000-0000DC410000}"/>
    <cellStyle name="20% - Accent6 2 2 5 4 2" xfId="25193" xr:uid="{00000000-0005-0000-0000-0000DD410000}"/>
    <cellStyle name="20% - Accent6 2 2 5 4 3" xfId="34918" xr:uid="{00000000-0005-0000-0000-0000DE410000}"/>
    <cellStyle name="20% - Accent6 2 2 5 4 4" xfId="44643" xr:uid="{00000000-0005-0000-0000-0000DF410000}"/>
    <cellStyle name="20% - Accent6 2 2 5 4 5" xfId="15468" xr:uid="{00000000-0005-0000-0000-0000E0410000}"/>
    <cellStyle name="20% - Accent6 2 2 5 5" xfId="20331" xr:uid="{00000000-0005-0000-0000-0000E1410000}"/>
    <cellStyle name="20% - Accent6 2 2 5 6" xfId="30056" xr:uid="{00000000-0005-0000-0000-0000E2410000}"/>
    <cellStyle name="20% - Accent6 2 2 5 7" xfId="39781" xr:uid="{00000000-0005-0000-0000-0000E3410000}"/>
    <cellStyle name="20% - Accent6 2 2 5 8" xfId="10606" xr:uid="{00000000-0005-0000-0000-0000E4410000}"/>
    <cellStyle name="20% - Accent6 2 2 6" xfId="1239" xr:uid="{00000000-0005-0000-0000-0000E5410000}"/>
    <cellStyle name="20% - Accent6 2 2 6 2" xfId="2860" xr:uid="{00000000-0005-0000-0000-0000E6410000}"/>
    <cellStyle name="20% - Accent6 2 2 6 2 2" xfId="7722" xr:uid="{00000000-0005-0000-0000-0000E7410000}"/>
    <cellStyle name="20% - Accent6 2 2 6 2 2 2" xfId="27173" xr:uid="{00000000-0005-0000-0000-0000E8410000}"/>
    <cellStyle name="20% - Accent6 2 2 6 2 2 3" xfId="36898" xr:uid="{00000000-0005-0000-0000-0000E9410000}"/>
    <cellStyle name="20% - Accent6 2 2 6 2 2 4" xfId="46623" xr:uid="{00000000-0005-0000-0000-0000EA410000}"/>
    <cellStyle name="20% - Accent6 2 2 6 2 2 5" xfId="17448" xr:uid="{00000000-0005-0000-0000-0000EB410000}"/>
    <cellStyle name="20% - Accent6 2 2 6 2 3" xfId="22311" xr:uid="{00000000-0005-0000-0000-0000EC410000}"/>
    <cellStyle name="20% - Accent6 2 2 6 2 4" xfId="32036" xr:uid="{00000000-0005-0000-0000-0000ED410000}"/>
    <cellStyle name="20% - Accent6 2 2 6 2 5" xfId="41761" xr:uid="{00000000-0005-0000-0000-0000EE410000}"/>
    <cellStyle name="20% - Accent6 2 2 6 2 6" xfId="12586" xr:uid="{00000000-0005-0000-0000-0000EF410000}"/>
    <cellStyle name="20% - Accent6 2 2 6 3" xfId="4480" xr:uid="{00000000-0005-0000-0000-0000F0410000}"/>
    <cellStyle name="20% - Accent6 2 2 6 3 2" xfId="9342" xr:uid="{00000000-0005-0000-0000-0000F1410000}"/>
    <cellStyle name="20% - Accent6 2 2 6 3 2 2" xfId="28793" xr:uid="{00000000-0005-0000-0000-0000F2410000}"/>
    <cellStyle name="20% - Accent6 2 2 6 3 2 3" xfId="38518" xr:uid="{00000000-0005-0000-0000-0000F3410000}"/>
    <cellStyle name="20% - Accent6 2 2 6 3 2 4" xfId="48243" xr:uid="{00000000-0005-0000-0000-0000F4410000}"/>
    <cellStyle name="20% - Accent6 2 2 6 3 2 5" xfId="19068" xr:uid="{00000000-0005-0000-0000-0000F5410000}"/>
    <cellStyle name="20% - Accent6 2 2 6 3 3" xfId="23931" xr:uid="{00000000-0005-0000-0000-0000F6410000}"/>
    <cellStyle name="20% - Accent6 2 2 6 3 4" xfId="33656" xr:uid="{00000000-0005-0000-0000-0000F7410000}"/>
    <cellStyle name="20% - Accent6 2 2 6 3 5" xfId="43381" xr:uid="{00000000-0005-0000-0000-0000F8410000}"/>
    <cellStyle name="20% - Accent6 2 2 6 3 6" xfId="14206" xr:uid="{00000000-0005-0000-0000-0000F9410000}"/>
    <cellStyle name="20% - Accent6 2 2 6 4" xfId="6102" xr:uid="{00000000-0005-0000-0000-0000FA410000}"/>
    <cellStyle name="20% - Accent6 2 2 6 4 2" xfId="25553" xr:uid="{00000000-0005-0000-0000-0000FB410000}"/>
    <cellStyle name="20% - Accent6 2 2 6 4 3" xfId="35278" xr:uid="{00000000-0005-0000-0000-0000FC410000}"/>
    <cellStyle name="20% - Accent6 2 2 6 4 4" xfId="45003" xr:uid="{00000000-0005-0000-0000-0000FD410000}"/>
    <cellStyle name="20% - Accent6 2 2 6 4 5" xfId="15828" xr:uid="{00000000-0005-0000-0000-0000FE410000}"/>
    <cellStyle name="20% - Accent6 2 2 6 5" xfId="20691" xr:uid="{00000000-0005-0000-0000-0000FF410000}"/>
    <cellStyle name="20% - Accent6 2 2 6 6" xfId="30416" xr:uid="{00000000-0005-0000-0000-000000420000}"/>
    <cellStyle name="20% - Accent6 2 2 6 7" xfId="40141" xr:uid="{00000000-0005-0000-0000-000001420000}"/>
    <cellStyle name="20% - Accent6 2 2 6 8" xfId="10966" xr:uid="{00000000-0005-0000-0000-000002420000}"/>
    <cellStyle name="20% - Accent6 2 2 7" xfId="1329" xr:uid="{00000000-0005-0000-0000-000003420000}"/>
    <cellStyle name="20% - Accent6 2 2 7 2" xfId="2950" xr:uid="{00000000-0005-0000-0000-000004420000}"/>
    <cellStyle name="20% - Accent6 2 2 7 2 2" xfId="7812" xr:uid="{00000000-0005-0000-0000-000005420000}"/>
    <cellStyle name="20% - Accent6 2 2 7 2 2 2" xfId="27263" xr:uid="{00000000-0005-0000-0000-000006420000}"/>
    <cellStyle name="20% - Accent6 2 2 7 2 2 3" xfId="36988" xr:uid="{00000000-0005-0000-0000-000007420000}"/>
    <cellStyle name="20% - Accent6 2 2 7 2 2 4" xfId="46713" xr:uid="{00000000-0005-0000-0000-000008420000}"/>
    <cellStyle name="20% - Accent6 2 2 7 2 2 5" xfId="17538" xr:uid="{00000000-0005-0000-0000-000009420000}"/>
    <cellStyle name="20% - Accent6 2 2 7 2 3" xfId="22401" xr:uid="{00000000-0005-0000-0000-00000A420000}"/>
    <cellStyle name="20% - Accent6 2 2 7 2 4" xfId="32126" xr:uid="{00000000-0005-0000-0000-00000B420000}"/>
    <cellStyle name="20% - Accent6 2 2 7 2 5" xfId="41851" xr:uid="{00000000-0005-0000-0000-00000C420000}"/>
    <cellStyle name="20% - Accent6 2 2 7 2 6" xfId="12676" xr:uid="{00000000-0005-0000-0000-00000D420000}"/>
    <cellStyle name="20% - Accent6 2 2 7 3" xfId="4570" xr:uid="{00000000-0005-0000-0000-00000E420000}"/>
    <cellStyle name="20% - Accent6 2 2 7 3 2" xfId="9432" xr:uid="{00000000-0005-0000-0000-00000F420000}"/>
    <cellStyle name="20% - Accent6 2 2 7 3 2 2" xfId="28883" xr:uid="{00000000-0005-0000-0000-000010420000}"/>
    <cellStyle name="20% - Accent6 2 2 7 3 2 3" xfId="38608" xr:uid="{00000000-0005-0000-0000-000011420000}"/>
    <cellStyle name="20% - Accent6 2 2 7 3 2 4" xfId="48333" xr:uid="{00000000-0005-0000-0000-000012420000}"/>
    <cellStyle name="20% - Accent6 2 2 7 3 2 5" xfId="19158" xr:uid="{00000000-0005-0000-0000-000013420000}"/>
    <cellStyle name="20% - Accent6 2 2 7 3 3" xfId="24021" xr:uid="{00000000-0005-0000-0000-000014420000}"/>
    <cellStyle name="20% - Accent6 2 2 7 3 4" xfId="33746" xr:uid="{00000000-0005-0000-0000-000015420000}"/>
    <cellStyle name="20% - Accent6 2 2 7 3 5" xfId="43471" xr:uid="{00000000-0005-0000-0000-000016420000}"/>
    <cellStyle name="20% - Accent6 2 2 7 3 6" xfId="14296" xr:uid="{00000000-0005-0000-0000-000017420000}"/>
    <cellStyle name="20% - Accent6 2 2 7 4" xfId="6192" xr:uid="{00000000-0005-0000-0000-000018420000}"/>
    <cellStyle name="20% - Accent6 2 2 7 4 2" xfId="25643" xr:uid="{00000000-0005-0000-0000-000019420000}"/>
    <cellStyle name="20% - Accent6 2 2 7 4 3" xfId="35368" xr:uid="{00000000-0005-0000-0000-00001A420000}"/>
    <cellStyle name="20% - Accent6 2 2 7 4 4" xfId="45093" xr:uid="{00000000-0005-0000-0000-00001B420000}"/>
    <cellStyle name="20% - Accent6 2 2 7 4 5" xfId="15918" xr:uid="{00000000-0005-0000-0000-00001C420000}"/>
    <cellStyle name="20% - Accent6 2 2 7 5" xfId="20781" xr:uid="{00000000-0005-0000-0000-00001D420000}"/>
    <cellStyle name="20% - Accent6 2 2 7 6" xfId="30506" xr:uid="{00000000-0005-0000-0000-00001E420000}"/>
    <cellStyle name="20% - Accent6 2 2 7 7" xfId="40231" xr:uid="{00000000-0005-0000-0000-00001F420000}"/>
    <cellStyle name="20% - Accent6 2 2 7 8" xfId="11056" xr:uid="{00000000-0005-0000-0000-000020420000}"/>
    <cellStyle name="20% - Accent6 2 2 8" xfId="500" xr:uid="{00000000-0005-0000-0000-000021420000}"/>
    <cellStyle name="20% - Accent6 2 2 8 2" xfId="2140" xr:uid="{00000000-0005-0000-0000-000022420000}"/>
    <cellStyle name="20% - Accent6 2 2 8 2 2" xfId="7002" xr:uid="{00000000-0005-0000-0000-000023420000}"/>
    <cellStyle name="20% - Accent6 2 2 8 2 2 2" xfId="26453" xr:uid="{00000000-0005-0000-0000-000024420000}"/>
    <cellStyle name="20% - Accent6 2 2 8 2 2 3" xfId="36178" xr:uid="{00000000-0005-0000-0000-000025420000}"/>
    <cellStyle name="20% - Accent6 2 2 8 2 2 4" xfId="45903" xr:uid="{00000000-0005-0000-0000-000026420000}"/>
    <cellStyle name="20% - Accent6 2 2 8 2 2 5" xfId="16728" xr:uid="{00000000-0005-0000-0000-000027420000}"/>
    <cellStyle name="20% - Accent6 2 2 8 2 3" xfId="21591" xr:uid="{00000000-0005-0000-0000-000028420000}"/>
    <cellStyle name="20% - Accent6 2 2 8 2 4" xfId="31316" xr:uid="{00000000-0005-0000-0000-000029420000}"/>
    <cellStyle name="20% - Accent6 2 2 8 2 5" xfId="41041" xr:uid="{00000000-0005-0000-0000-00002A420000}"/>
    <cellStyle name="20% - Accent6 2 2 8 2 6" xfId="11866" xr:uid="{00000000-0005-0000-0000-00002B420000}"/>
    <cellStyle name="20% - Accent6 2 2 8 3" xfId="3760" xr:uid="{00000000-0005-0000-0000-00002C420000}"/>
    <cellStyle name="20% - Accent6 2 2 8 3 2" xfId="8622" xr:uid="{00000000-0005-0000-0000-00002D420000}"/>
    <cellStyle name="20% - Accent6 2 2 8 3 2 2" xfId="28073" xr:uid="{00000000-0005-0000-0000-00002E420000}"/>
    <cellStyle name="20% - Accent6 2 2 8 3 2 3" xfId="37798" xr:uid="{00000000-0005-0000-0000-00002F420000}"/>
    <cellStyle name="20% - Accent6 2 2 8 3 2 4" xfId="47523" xr:uid="{00000000-0005-0000-0000-000030420000}"/>
    <cellStyle name="20% - Accent6 2 2 8 3 2 5" xfId="18348" xr:uid="{00000000-0005-0000-0000-000031420000}"/>
    <cellStyle name="20% - Accent6 2 2 8 3 3" xfId="23211" xr:uid="{00000000-0005-0000-0000-000032420000}"/>
    <cellStyle name="20% - Accent6 2 2 8 3 4" xfId="32936" xr:uid="{00000000-0005-0000-0000-000033420000}"/>
    <cellStyle name="20% - Accent6 2 2 8 3 5" xfId="42661" xr:uid="{00000000-0005-0000-0000-000034420000}"/>
    <cellStyle name="20% - Accent6 2 2 8 3 6" xfId="13486" xr:uid="{00000000-0005-0000-0000-000035420000}"/>
    <cellStyle name="20% - Accent6 2 2 8 4" xfId="5382" xr:uid="{00000000-0005-0000-0000-000036420000}"/>
    <cellStyle name="20% - Accent6 2 2 8 4 2" xfId="24833" xr:uid="{00000000-0005-0000-0000-000037420000}"/>
    <cellStyle name="20% - Accent6 2 2 8 4 3" xfId="34558" xr:uid="{00000000-0005-0000-0000-000038420000}"/>
    <cellStyle name="20% - Accent6 2 2 8 4 4" xfId="44283" xr:uid="{00000000-0005-0000-0000-000039420000}"/>
    <cellStyle name="20% - Accent6 2 2 8 4 5" xfId="15108" xr:uid="{00000000-0005-0000-0000-00003A420000}"/>
    <cellStyle name="20% - Accent6 2 2 8 5" xfId="19971" xr:uid="{00000000-0005-0000-0000-00003B420000}"/>
    <cellStyle name="20% - Accent6 2 2 8 6" xfId="29696" xr:uid="{00000000-0005-0000-0000-00003C420000}"/>
    <cellStyle name="20% - Accent6 2 2 8 7" xfId="39421" xr:uid="{00000000-0005-0000-0000-00003D420000}"/>
    <cellStyle name="20% - Accent6 2 2 8 8" xfId="10246" xr:uid="{00000000-0005-0000-0000-00003E420000}"/>
    <cellStyle name="20% - Accent6 2 2 9" xfId="1689" xr:uid="{00000000-0005-0000-0000-00003F420000}"/>
    <cellStyle name="20% - Accent6 2 2 9 2" xfId="3310" xr:uid="{00000000-0005-0000-0000-000040420000}"/>
    <cellStyle name="20% - Accent6 2 2 9 2 2" xfId="8172" xr:uid="{00000000-0005-0000-0000-000041420000}"/>
    <cellStyle name="20% - Accent6 2 2 9 2 2 2" xfId="27623" xr:uid="{00000000-0005-0000-0000-000042420000}"/>
    <cellStyle name="20% - Accent6 2 2 9 2 2 3" xfId="37348" xr:uid="{00000000-0005-0000-0000-000043420000}"/>
    <cellStyle name="20% - Accent6 2 2 9 2 2 4" xfId="47073" xr:uid="{00000000-0005-0000-0000-000044420000}"/>
    <cellStyle name="20% - Accent6 2 2 9 2 2 5" xfId="17898" xr:uid="{00000000-0005-0000-0000-000045420000}"/>
    <cellStyle name="20% - Accent6 2 2 9 2 3" xfId="22761" xr:uid="{00000000-0005-0000-0000-000046420000}"/>
    <cellStyle name="20% - Accent6 2 2 9 2 4" xfId="32486" xr:uid="{00000000-0005-0000-0000-000047420000}"/>
    <cellStyle name="20% - Accent6 2 2 9 2 5" xfId="42211" xr:uid="{00000000-0005-0000-0000-000048420000}"/>
    <cellStyle name="20% - Accent6 2 2 9 2 6" xfId="13036" xr:uid="{00000000-0005-0000-0000-000049420000}"/>
    <cellStyle name="20% - Accent6 2 2 9 3" xfId="4930" xr:uid="{00000000-0005-0000-0000-00004A420000}"/>
    <cellStyle name="20% - Accent6 2 2 9 3 2" xfId="9792" xr:uid="{00000000-0005-0000-0000-00004B420000}"/>
    <cellStyle name="20% - Accent6 2 2 9 3 2 2" xfId="29243" xr:uid="{00000000-0005-0000-0000-00004C420000}"/>
    <cellStyle name="20% - Accent6 2 2 9 3 2 3" xfId="38968" xr:uid="{00000000-0005-0000-0000-00004D420000}"/>
    <cellStyle name="20% - Accent6 2 2 9 3 2 4" xfId="48693" xr:uid="{00000000-0005-0000-0000-00004E420000}"/>
    <cellStyle name="20% - Accent6 2 2 9 3 2 5" xfId="19518" xr:uid="{00000000-0005-0000-0000-00004F420000}"/>
    <cellStyle name="20% - Accent6 2 2 9 3 3" xfId="24381" xr:uid="{00000000-0005-0000-0000-000050420000}"/>
    <cellStyle name="20% - Accent6 2 2 9 3 4" xfId="34106" xr:uid="{00000000-0005-0000-0000-000051420000}"/>
    <cellStyle name="20% - Accent6 2 2 9 3 5" xfId="43831" xr:uid="{00000000-0005-0000-0000-000052420000}"/>
    <cellStyle name="20% - Accent6 2 2 9 3 6" xfId="14656" xr:uid="{00000000-0005-0000-0000-000053420000}"/>
    <cellStyle name="20% - Accent6 2 2 9 4" xfId="6552" xr:uid="{00000000-0005-0000-0000-000054420000}"/>
    <cellStyle name="20% - Accent6 2 2 9 4 2" xfId="26003" xr:uid="{00000000-0005-0000-0000-000055420000}"/>
    <cellStyle name="20% - Accent6 2 2 9 4 3" xfId="35728" xr:uid="{00000000-0005-0000-0000-000056420000}"/>
    <cellStyle name="20% - Accent6 2 2 9 4 4" xfId="45453" xr:uid="{00000000-0005-0000-0000-000057420000}"/>
    <cellStyle name="20% - Accent6 2 2 9 4 5" xfId="16278" xr:uid="{00000000-0005-0000-0000-000058420000}"/>
    <cellStyle name="20% - Accent6 2 2 9 5" xfId="21141" xr:uid="{00000000-0005-0000-0000-000059420000}"/>
    <cellStyle name="20% - Accent6 2 2 9 6" xfId="30866" xr:uid="{00000000-0005-0000-0000-00005A420000}"/>
    <cellStyle name="20% - Accent6 2 2 9 7" xfId="40591" xr:uid="{00000000-0005-0000-0000-00005B420000}"/>
    <cellStyle name="20% - Accent6 2 2 9 8" xfId="11416" xr:uid="{00000000-0005-0000-0000-00005C420000}"/>
    <cellStyle name="20% - Accent6 2 3" xfId="126" xr:uid="{00000000-0005-0000-0000-00005D420000}"/>
    <cellStyle name="20% - Accent6 2 3 10" xfId="1810" xr:uid="{00000000-0005-0000-0000-00005E420000}"/>
    <cellStyle name="20% - Accent6 2 3 10 2" xfId="6672" xr:uid="{00000000-0005-0000-0000-00005F420000}"/>
    <cellStyle name="20% - Accent6 2 3 10 2 2" xfId="26123" xr:uid="{00000000-0005-0000-0000-000060420000}"/>
    <cellStyle name="20% - Accent6 2 3 10 2 3" xfId="35848" xr:uid="{00000000-0005-0000-0000-000061420000}"/>
    <cellStyle name="20% - Accent6 2 3 10 2 4" xfId="45573" xr:uid="{00000000-0005-0000-0000-000062420000}"/>
    <cellStyle name="20% - Accent6 2 3 10 2 5" xfId="16398" xr:uid="{00000000-0005-0000-0000-000063420000}"/>
    <cellStyle name="20% - Accent6 2 3 10 3" xfId="21261" xr:uid="{00000000-0005-0000-0000-000064420000}"/>
    <cellStyle name="20% - Accent6 2 3 10 4" xfId="30986" xr:uid="{00000000-0005-0000-0000-000065420000}"/>
    <cellStyle name="20% - Accent6 2 3 10 5" xfId="40711" xr:uid="{00000000-0005-0000-0000-000066420000}"/>
    <cellStyle name="20% - Accent6 2 3 10 6" xfId="11536" xr:uid="{00000000-0005-0000-0000-000067420000}"/>
    <cellStyle name="20% - Accent6 2 3 11" xfId="3430" xr:uid="{00000000-0005-0000-0000-000068420000}"/>
    <cellStyle name="20% - Accent6 2 3 11 2" xfId="8292" xr:uid="{00000000-0005-0000-0000-000069420000}"/>
    <cellStyle name="20% - Accent6 2 3 11 2 2" xfId="27743" xr:uid="{00000000-0005-0000-0000-00006A420000}"/>
    <cellStyle name="20% - Accent6 2 3 11 2 3" xfId="37468" xr:uid="{00000000-0005-0000-0000-00006B420000}"/>
    <cellStyle name="20% - Accent6 2 3 11 2 4" xfId="47193" xr:uid="{00000000-0005-0000-0000-00006C420000}"/>
    <cellStyle name="20% - Accent6 2 3 11 2 5" xfId="18018" xr:uid="{00000000-0005-0000-0000-00006D420000}"/>
    <cellStyle name="20% - Accent6 2 3 11 3" xfId="22881" xr:uid="{00000000-0005-0000-0000-00006E420000}"/>
    <cellStyle name="20% - Accent6 2 3 11 4" xfId="32606" xr:uid="{00000000-0005-0000-0000-00006F420000}"/>
    <cellStyle name="20% - Accent6 2 3 11 5" xfId="42331" xr:uid="{00000000-0005-0000-0000-000070420000}"/>
    <cellStyle name="20% - Accent6 2 3 11 6" xfId="13156" xr:uid="{00000000-0005-0000-0000-000071420000}"/>
    <cellStyle name="20% - Accent6 2 3 12" xfId="5052" xr:uid="{00000000-0005-0000-0000-000072420000}"/>
    <cellStyle name="20% - Accent6 2 3 12 2" xfId="24503" xr:uid="{00000000-0005-0000-0000-000073420000}"/>
    <cellStyle name="20% - Accent6 2 3 12 3" xfId="34228" xr:uid="{00000000-0005-0000-0000-000074420000}"/>
    <cellStyle name="20% - Accent6 2 3 12 4" xfId="43953" xr:uid="{00000000-0005-0000-0000-000075420000}"/>
    <cellStyle name="20% - Accent6 2 3 12 5" xfId="14778" xr:uid="{00000000-0005-0000-0000-000076420000}"/>
    <cellStyle name="20% - Accent6 2 3 13" xfId="19641" xr:uid="{00000000-0005-0000-0000-000077420000}"/>
    <cellStyle name="20% - Accent6 2 3 14" xfId="29366" xr:uid="{00000000-0005-0000-0000-000078420000}"/>
    <cellStyle name="20% - Accent6 2 3 15" xfId="39091" xr:uid="{00000000-0005-0000-0000-000079420000}"/>
    <cellStyle name="20% - Accent6 2 3 16" xfId="9916" xr:uid="{00000000-0005-0000-0000-00007A420000}"/>
    <cellStyle name="20% - Accent6 2 3 2" xfId="308" xr:uid="{00000000-0005-0000-0000-00007B420000}"/>
    <cellStyle name="20% - Accent6 2 3 2 10" xfId="39271" xr:uid="{00000000-0005-0000-0000-00007C420000}"/>
    <cellStyle name="20% - Accent6 2 3 2 11" xfId="10096" xr:uid="{00000000-0005-0000-0000-00007D420000}"/>
    <cellStyle name="20% - Accent6 2 3 2 2" xfId="1072" xr:uid="{00000000-0005-0000-0000-00007E420000}"/>
    <cellStyle name="20% - Accent6 2 3 2 2 2" xfId="2710" xr:uid="{00000000-0005-0000-0000-00007F420000}"/>
    <cellStyle name="20% - Accent6 2 3 2 2 2 2" xfId="7572" xr:uid="{00000000-0005-0000-0000-000080420000}"/>
    <cellStyle name="20% - Accent6 2 3 2 2 2 2 2" xfId="27023" xr:uid="{00000000-0005-0000-0000-000081420000}"/>
    <cellStyle name="20% - Accent6 2 3 2 2 2 2 3" xfId="36748" xr:uid="{00000000-0005-0000-0000-000082420000}"/>
    <cellStyle name="20% - Accent6 2 3 2 2 2 2 4" xfId="46473" xr:uid="{00000000-0005-0000-0000-000083420000}"/>
    <cellStyle name="20% - Accent6 2 3 2 2 2 2 5" xfId="17298" xr:uid="{00000000-0005-0000-0000-000084420000}"/>
    <cellStyle name="20% - Accent6 2 3 2 2 2 3" xfId="22161" xr:uid="{00000000-0005-0000-0000-000085420000}"/>
    <cellStyle name="20% - Accent6 2 3 2 2 2 4" xfId="31886" xr:uid="{00000000-0005-0000-0000-000086420000}"/>
    <cellStyle name="20% - Accent6 2 3 2 2 2 5" xfId="41611" xr:uid="{00000000-0005-0000-0000-000087420000}"/>
    <cellStyle name="20% - Accent6 2 3 2 2 2 6" xfId="12436" xr:uid="{00000000-0005-0000-0000-000088420000}"/>
    <cellStyle name="20% - Accent6 2 3 2 2 3" xfId="4330" xr:uid="{00000000-0005-0000-0000-000089420000}"/>
    <cellStyle name="20% - Accent6 2 3 2 2 3 2" xfId="9192" xr:uid="{00000000-0005-0000-0000-00008A420000}"/>
    <cellStyle name="20% - Accent6 2 3 2 2 3 2 2" xfId="28643" xr:uid="{00000000-0005-0000-0000-00008B420000}"/>
    <cellStyle name="20% - Accent6 2 3 2 2 3 2 3" xfId="38368" xr:uid="{00000000-0005-0000-0000-00008C420000}"/>
    <cellStyle name="20% - Accent6 2 3 2 2 3 2 4" xfId="48093" xr:uid="{00000000-0005-0000-0000-00008D420000}"/>
    <cellStyle name="20% - Accent6 2 3 2 2 3 2 5" xfId="18918" xr:uid="{00000000-0005-0000-0000-00008E420000}"/>
    <cellStyle name="20% - Accent6 2 3 2 2 3 3" xfId="23781" xr:uid="{00000000-0005-0000-0000-00008F420000}"/>
    <cellStyle name="20% - Accent6 2 3 2 2 3 4" xfId="33506" xr:uid="{00000000-0005-0000-0000-000090420000}"/>
    <cellStyle name="20% - Accent6 2 3 2 2 3 5" xfId="43231" xr:uid="{00000000-0005-0000-0000-000091420000}"/>
    <cellStyle name="20% - Accent6 2 3 2 2 3 6" xfId="14056" xr:uid="{00000000-0005-0000-0000-000092420000}"/>
    <cellStyle name="20% - Accent6 2 3 2 2 4" xfId="5952" xr:uid="{00000000-0005-0000-0000-000093420000}"/>
    <cellStyle name="20% - Accent6 2 3 2 2 4 2" xfId="25403" xr:uid="{00000000-0005-0000-0000-000094420000}"/>
    <cellStyle name="20% - Accent6 2 3 2 2 4 3" xfId="35128" xr:uid="{00000000-0005-0000-0000-000095420000}"/>
    <cellStyle name="20% - Accent6 2 3 2 2 4 4" xfId="44853" xr:uid="{00000000-0005-0000-0000-000096420000}"/>
    <cellStyle name="20% - Accent6 2 3 2 2 4 5" xfId="15678" xr:uid="{00000000-0005-0000-0000-000097420000}"/>
    <cellStyle name="20% - Accent6 2 3 2 2 5" xfId="20541" xr:uid="{00000000-0005-0000-0000-000098420000}"/>
    <cellStyle name="20% - Accent6 2 3 2 2 6" xfId="30266" xr:uid="{00000000-0005-0000-0000-000099420000}"/>
    <cellStyle name="20% - Accent6 2 3 2 2 7" xfId="39991" xr:uid="{00000000-0005-0000-0000-00009A420000}"/>
    <cellStyle name="20% - Accent6 2 3 2 2 8" xfId="10816" xr:uid="{00000000-0005-0000-0000-00009B420000}"/>
    <cellStyle name="20% - Accent6 2 3 2 3" xfId="1539" xr:uid="{00000000-0005-0000-0000-00009C420000}"/>
    <cellStyle name="20% - Accent6 2 3 2 3 2" xfId="3160" xr:uid="{00000000-0005-0000-0000-00009D420000}"/>
    <cellStyle name="20% - Accent6 2 3 2 3 2 2" xfId="8022" xr:uid="{00000000-0005-0000-0000-00009E420000}"/>
    <cellStyle name="20% - Accent6 2 3 2 3 2 2 2" xfId="27473" xr:uid="{00000000-0005-0000-0000-00009F420000}"/>
    <cellStyle name="20% - Accent6 2 3 2 3 2 2 3" xfId="37198" xr:uid="{00000000-0005-0000-0000-0000A0420000}"/>
    <cellStyle name="20% - Accent6 2 3 2 3 2 2 4" xfId="46923" xr:uid="{00000000-0005-0000-0000-0000A1420000}"/>
    <cellStyle name="20% - Accent6 2 3 2 3 2 2 5" xfId="17748" xr:uid="{00000000-0005-0000-0000-0000A2420000}"/>
    <cellStyle name="20% - Accent6 2 3 2 3 2 3" xfId="22611" xr:uid="{00000000-0005-0000-0000-0000A3420000}"/>
    <cellStyle name="20% - Accent6 2 3 2 3 2 4" xfId="32336" xr:uid="{00000000-0005-0000-0000-0000A4420000}"/>
    <cellStyle name="20% - Accent6 2 3 2 3 2 5" xfId="42061" xr:uid="{00000000-0005-0000-0000-0000A5420000}"/>
    <cellStyle name="20% - Accent6 2 3 2 3 2 6" xfId="12886" xr:uid="{00000000-0005-0000-0000-0000A6420000}"/>
    <cellStyle name="20% - Accent6 2 3 2 3 3" xfId="4780" xr:uid="{00000000-0005-0000-0000-0000A7420000}"/>
    <cellStyle name="20% - Accent6 2 3 2 3 3 2" xfId="9642" xr:uid="{00000000-0005-0000-0000-0000A8420000}"/>
    <cellStyle name="20% - Accent6 2 3 2 3 3 2 2" xfId="29093" xr:uid="{00000000-0005-0000-0000-0000A9420000}"/>
    <cellStyle name="20% - Accent6 2 3 2 3 3 2 3" xfId="38818" xr:uid="{00000000-0005-0000-0000-0000AA420000}"/>
    <cellStyle name="20% - Accent6 2 3 2 3 3 2 4" xfId="48543" xr:uid="{00000000-0005-0000-0000-0000AB420000}"/>
    <cellStyle name="20% - Accent6 2 3 2 3 3 2 5" xfId="19368" xr:uid="{00000000-0005-0000-0000-0000AC420000}"/>
    <cellStyle name="20% - Accent6 2 3 2 3 3 3" xfId="24231" xr:uid="{00000000-0005-0000-0000-0000AD420000}"/>
    <cellStyle name="20% - Accent6 2 3 2 3 3 4" xfId="33956" xr:uid="{00000000-0005-0000-0000-0000AE420000}"/>
    <cellStyle name="20% - Accent6 2 3 2 3 3 5" xfId="43681" xr:uid="{00000000-0005-0000-0000-0000AF420000}"/>
    <cellStyle name="20% - Accent6 2 3 2 3 3 6" xfId="14506" xr:uid="{00000000-0005-0000-0000-0000B0420000}"/>
    <cellStyle name="20% - Accent6 2 3 2 3 4" xfId="6402" xr:uid="{00000000-0005-0000-0000-0000B1420000}"/>
    <cellStyle name="20% - Accent6 2 3 2 3 4 2" xfId="25853" xr:uid="{00000000-0005-0000-0000-0000B2420000}"/>
    <cellStyle name="20% - Accent6 2 3 2 3 4 3" xfId="35578" xr:uid="{00000000-0005-0000-0000-0000B3420000}"/>
    <cellStyle name="20% - Accent6 2 3 2 3 4 4" xfId="45303" xr:uid="{00000000-0005-0000-0000-0000B4420000}"/>
    <cellStyle name="20% - Accent6 2 3 2 3 4 5" xfId="16128" xr:uid="{00000000-0005-0000-0000-0000B5420000}"/>
    <cellStyle name="20% - Accent6 2 3 2 3 5" xfId="20991" xr:uid="{00000000-0005-0000-0000-0000B6420000}"/>
    <cellStyle name="20% - Accent6 2 3 2 3 6" xfId="30716" xr:uid="{00000000-0005-0000-0000-0000B7420000}"/>
    <cellStyle name="20% - Accent6 2 3 2 3 7" xfId="40441" xr:uid="{00000000-0005-0000-0000-0000B8420000}"/>
    <cellStyle name="20% - Accent6 2 3 2 3 8" xfId="11266" xr:uid="{00000000-0005-0000-0000-0000B9420000}"/>
    <cellStyle name="20% - Accent6 2 3 2 4" xfId="710" xr:uid="{00000000-0005-0000-0000-0000BA420000}"/>
    <cellStyle name="20% - Accent6 2 3 2 4 2" xfId="2350" xr:uid="{00000000-0005-0000-0000-0000BB420000}"/>
    <cellStyle name="20% - Accent6 2 3 2 4 2 2" xfId="7212" xr:uid="{00000000-0005-0000-0000-0000BC420000}"/>
    <cellStyle name="20% - Accent6 2 3 2 4 2 2 2" xfId="26663" xr:uid="{00000000-0005-0000-0000-0000BD420000}"/>
    <cellStyle name="20% - Accent6 2 3 2 4 2 2 3" xfId="36388" xr:uid="{00000000-0005-0000-0000-0000BE420000}"/>
    <cellStyle name="20% - Accent6 2 3 2 4 2 2 4" xfId="46113" xr:uid="{00000000-0005-0000-0000-0000BF420000}"/>
    <cellStyle name="20% - Accent6 2 3 2 4 2 2 5" xfId="16938" xr:uid="{00000000-0005-0000-0000-0000C0420000}"/>
    <cellStyle name="20% - Accent6 2 3 2 4 2 3" xfId="21801" xr:uid="{00000000-0005-0000-0000-0000C1420000}"/>
    <cellStyle name="20% - Accent6 2 3 2 4 2 4" xfId="31526" xr:uid="{00000000-0005-0000-0000-0000C2420000}"/>
    <cellStyle name="20% - Accent6 2 3 2 4 2 5" xfId="41251" xr:uid="{00000000-0005-0000-0000-0000C3420000}"/>
    <cellStyle name="20% - Accent6 2 3 2 4 2 6" xfId="12076" xr:uid="{00000000-0005-0000-0000-0000C4420000}"/>
    <cellStyle name="20% - Accent6 2 3 2 4 3" xfId="3970" xr:uid="{00000000-0005-0000-0000-0000C5420000}"/>
    <cellStyle name="20% - Accent6 2 3 2 4 3 2" xfId="8832" xr:uid="{00000000-0005-0000-0000-0000C6420000}"/>
    <cellStyle name="20% - Accent6 2 3 2 4 3 2 2" xfId="28283" xr:uid="{00000000-0005-0000-0000-0000C7420000}"/>
    <cellStyle name="20% - Accent6 2 3 2 4 3 2 3" xfId="38008" xr:uid="{00000000-0005-0000-0000-0000C8420000}"/>
    <cellStyle name="20% - Accent6 2 3 2 4 3 2 4" xfId="47733" xr:uid="{00000000-0005-0000-0000-0000C9420000}"/>
    <cellStyle name="20% - Accent6 2 3 2 4 3 2 5" xfId="18558" xr:uid="{00000000-0005-0000-0000-0000CA420000}"/>
    <cellStyle name="20% - Accent6 2 3 2 4 3 3" xfId="23421" xr:uid="{00000000-0005-0000-0000-0000CB420000}"/>
    <cellStyle name="20% - Accent6 2 3 2 4 3 4" xfId="33146" xr:uid="{00000000-0005-0000-0000-0000CC420000}"/>
    <cellStyle name="20% - Accent6 2 3 2 4 3 5" xfId="42871" xr:uid="{00000000-0005-0000-0000-0000CD420000}"/>
    <cellStyle name="20% - Accent6 2 3 2 4 3 6" xfId="13696" xr:uid="{00000000-0005-0000-0000-0000CE420000}"/>
    <cellStyle name="20% - Accent6 2 3 2 4 4" xfId="5592" xr:uid="{00000000-0005-0000-0000-0000CF420000}"/>
    <cellStyle name="20% - Accent6 2 3 2 4 4 2" xfId="25043" xr:uid="{00000000-0005-0000-0000-0000D0420000}"/>
    <cellStyle name="20% - Accent6 2 3 2 4 4 3" xfId="34768" xr:uid="{00000000-0005-0000-0000-0000D1420000}"/>
    <cellStyle name="20% - Accent6 2 3 2 4 4 4" xfId="44493" xr:uid="{00000000-0005-0000-0000-0000D2420000}"/>
    <cellStyle name="20% - Accent6 2 3 2 4 4 5" xfId="15318" xr:uid="{00000000-0005-0000-0000-0000D3420000}"/>
    <cellStyle name="20% - Accent6 2 3 2 4 5" xfId="20181" xr:uid="{00000000-0005-0000-0000-0000D4420000}"/>
    <cellStyle name="20% - Accent6 2 3 2 4 6" xfId="29906" xr:uid="{00000000-0005-0000-0000-0000D5420000}"/>
    <cellStyle name="20% - Accent6 2 3 2 4 7" xfId="39631" xr:uid="{00000000-0005-0000-0000-0000D6420000}"/>
    <cellStyle name="20% - Accent6 2 3 2 4 8" xfId="10456" xr:uid="{00000000-0005-0000-0000-0000D7420000}"/>
    <cellStyle name="20% - Accent6 2 3 2 5" xfId="1990" xr:uid="{00000000-0005-0000-0000-0000D8420000}"/>
    <cellStyle name="20% - Accent6 2 3 2 5 2" xfId="6852" xr:uid="{00000000-0005-0000-0000-0000D9420000}"/>
    <cellStyle name="20% - Accent6 2 3 2 5 2 2" xfId="26303" xr:uid="{00000000-0005-0000-0000-0000DA420000}"/>
    <cellStyle name="20% - Accent6 2 3 2 5 2 3" xfId="36028" xr:uid="{00000000-0005-0000-0000-0000DB420000}"/>
    <cellStyle name="20% - Accent6 2 3 2 5 2 4" xfId="45753" xr:uid="{00000000-0005-0000-0000-0000DC420000}"/>
    <cellStyle name="20% - Accent6 2 3 2 5 2 5" xfId="16578" xr:uid="{00000000-0005-0000-0000-0000DD420000}"/>
    <cellStyle name="20% - Accent6 2 3 2 5 3" xfId="21441" xr:uid="{00000000-0005-0000-0000-0000DE420000}"/>
    <cellStyle name="20% - Accent6 2 3 2 5 4" xfId="31166" xr:uid="{00000000-0005-0000-0000-0000DF420000}"/>
    <cellStyle name="20% - Accent6 2 3 2 5 5" xfId="40891" xr:uid="{00000000-0005-0000-0000-0000E0420000}"/>
    <cellStyle name="20% - Accent6 2 3 2 5 6" xfId="11716" xr:uid="{00000000-0005-0000-0000-0000E1420000}"/>
    <cellStyle name="20% - Accent6 2 3 2 6" xfId="3610" xr:uid="{00000000-0005-0000-0000-0000E2420000}"/>
    <cellStyle name="20% - Accent6 2 3 2 6 2" xfId="8472" xr:uid="{00000000-0005-0000-0000-0000E3420000}"/>
    <cellStyle name="20% - Accent6 2 3 2 6 2 2" xfId="27923" xr:uid="{00000000-0005-0000-0000-0000E4420000}"/>
    <cellStyle name="20% - Accent6 2 3 2 6 2 3" xfId="37648" xr:uid="{00000000-0005-0000-0000-0000E5420000}"/>
    <cellStyle name="20% - Accent6 2 3 2 6 2 4" xfId="47373" xr:uid="{00000000-0005-0000-0000-0000E6420000}"/>
    <cellStyle name="20% - Accent6 2 3 2 6 2 5" xfId="18198" xr:uid="{00000000-0005-0000-0000-0000E7420000}"/>
    <cellStyle name="20% - Accent6 2 3 2 6 3" xfId="23061" xr:uid="{00000000-0005-0000-0000-0000E8420000}"/>
    <cellStyle name="20% - Accent6 2 3 2 6 4" xfId="32786" xr:uid="{00000000-0005-0000-0000-0000E9420000}"/>
    <cellStyle name="20% - Accent6 2 3 2 6 5" xfId="42511" xr:uid="{00000000-0005-0000-0000-0000EA420000}"/>
    <cellStyle name="20% - Accent6 2 3 2 6 6" xfId="13336" xr:uid="{00000000-0005-0000-0000-0000EB420000}"/>
    <cellStyle name="20% - Accent6 2 3 2 7" xfId="5232" xr:uid="{00000000-0005-0000-0000-0000EC420000}"/>
    <cellStyle name="20% - Accent6 2 3 2 7 2" xfId="24683" xr:uid="{00000000-0005-0000-0000-0000ED420000}"/>
    <cellStyle name="20% - Accent6 2 3 2 7 3" xfId="34408" xr:uid="{00000000-0005-0000-0000-0000EE420000}"/>
    <cellStyle name="20% - Accent6 2 3 2 7 4" xfId="44133" xr:uid="{00000000-0005-0000-0000-0000EF420000}"/>
    <cellStyle name="20% - Accent6 2 3 2 7 5" xfId="14958" xr:uid="{00000000-0005-0000-0000-0000F0420000}"/>
    <cellStyle name="20% - Accent6 2 3 2 8" xfId="19821" xr:uid="{00000000-0005-0000-0000-0000F1420000}"/>
    <cellStyle name="20% - Accent6 2 3 2 9" xfId="29546" xr:uid="{00000000-0005-0000-0000-0000F2420000}"/>
    <cellStyle name="20% - Accent6 2 3 3" xfId="399" xr:uid="{00000000-0005-0000-0000-0000F3420000}"/>
    <cellStyle name="20% - Accent6 2 3 3 10" xfId="39361" xr:uid="{00000000-0005-0000-0000-0000F4420000}"/>
    <cellStyle name="20% - Accent6 2 3 3 11" xfId="10186" xr:uid="{00000000-0005-0000-0000-0000F5420000}"/>
    <cellStyle name="20% - Accent6 2 3 3 2" xfId="1162" xr:uid="{00000000-0005-0000-0000-0000F6420000}"/>
    <cellStyle name="20% - Accent6 2 3 3 2 2" xfId="2800" xr:uid="{00000000-0005-0000-0000-0000F7420000}"/>
    <cellStyle name="20% - Accent6 2 3 3 2 2 2" xfId="7662" xr:uid="{00000000-0005-0000-0000-0000F8420000}"/>
    <cellStyle name="20% - Accent6 2 3 3 2 2 2 2" xfId="27113" xr:uid="{00000000-0005-0000-0000-0000F9420000}"/>
    <cellStyle name="20% - Accent6 2 3 3 2 2 2 3" xfId="36838" xr:uid="{00000000-0005-0000-0000-0000FA420000}"/>
    <cellStyle name="20% - Accent6 2 3 3 2 2 2 4" xfId="46563" xr:uid="{00000000-0005-0000-0000-0000FB420000}"/>
    <cellStyle name="20% - Accent6 2 3 3 2 2 2 5" xfId="17388" xr:uid="{00000000-0005-0000-0000-0000FC420000}"/>
    <cellStyle name="20% - Accent6 2 3 3 2 2 3" xfId="22251" xr:uid="{00000000-0005-0000-0000-0000FD420000}"/>
    <cellStyle name="20% - Accent6 2 3 3 2 2 4" xfId="31976" xr:uid="{00000000-0005-0000-0000-0000FE420000}"/>
    <cellStyle name="20% - Accent6 2 3 3 2 2 5" xfId="41701" xr:uid="{00000000-0005-0000-0000-0000FF420000}"/>
    <cellStyle name="20% - Accent6 2 3 3 2 2 6" xfId="12526" xr:uid="{00000000-0005-0000-0000-000000430000}"/>
    <cellStyle name="20% - Accent6 2 3 3 2 3" xfId="4420" xr:uid="{00000000-0005-0000-0000-000001430000}"/>
    <cellStyle name="20% - Accent6 2 3 3 2 3 2" xfId="9282" xr:uid="{00000000-0005-0000-0000-000002430000}"/>
    <cellStyle name="20% - Accent6 2 3 3 2 3 2 2" xfId="28733" xr:uid="{00000000-0005-0000-0000-000003430000}"/>
    <cellStyle name="20% - Accent6 2 3 3 2 3 2 3" xfId="38458" xr:uid="{00000000-0005-0000-0000-000004430000}"/>
    <cellStyle name="20% - Accent6 2 3 3 2 3 2 4" xfId="48183" xr:uid="{00000000-0005-0000-0000-000005430000}"/>
    <cellStyle name="20% - Accent6 2 3 3 2 3 2 5" xfId="19008" xr:uid="{00000000-0005-0000-0000-000006430000}"/>
    <cellStyle name="20% - Accent6 2 3 3 2 3 3" xfId="23871" xr:uid="{00000000-0005-0000-0000-000007430000}"/>
    <cellStyle name="20% - Accent6 2 3 3 2 3 4" xfId="33596" xr:uid="{00000000-0005-0000-0000-000008430000}"/>
    <cellStyle name="20% - Accent6 2 3 3 2 3 5" xfId="43321" xr:uid="{00000000-0005-0000-0000-000009430000}"/>
    <cellStyle name="20% - Accent6 2 3 3 2 3 6" xfId="14146" xr:uid="{00000000-0005-0000-0000-00000A430000}"/>
    <cellStyle name="20% - Accent6 2 3 3 2 4" xfId="6042" xr:uid="{00000000-0005-0000-0000-00000B430000}"/>
    <cellStyle name="20% - Accent6 2 3 3 2 4 2" xfId="25493" xr:uid="{00000000-0005-0000-0000-00000C430000}"/>
    <cellStyle name="20% - Accent6 2 3 3 2 4 3" xfId="35218" xr:uid="{00000000-0005-0000-0000-00000D430000}"/>
    <cellStyle name="20% - Accent6 2 3 3 2 4 4" xfId="44943" xr:uid="{00000000-0005-0000-0000-00000E430000}"/>
    <cellStyle name="20% - Accent6 2 3 3 2 4 5" xfId="15768" xr:uid="{00000000-0005-0000-0000-00000F430000}"/>
    <cellStyle name="20% - Accent6 2 3 3 2 5" xfId="20631" xr:uid="{00000000-0005-0000-0000-000010430000}"/>
    <cellStyle name="20% - Accent6 2 3 3 2 6" xfId="30356" xr:uid="{00000000-0005-0000-0000-000011430000}"/>
    <cellStyle name="20% - Accent6 2 3 3 2 7" xfId="40081" xr:uid="{00000000-0005-0000-0000-000012430000}"/>
    <cellStyle name="20% - Accent6 2 3 3 2 8" xfId="10906" xr:uid="{00000000-0005-0000-0000-000013430000}"/>
    <cellStyle name="20% - Accent6 2 3 3 3" xfId="1629" xr:uid="{00000000-0005-0000-0000-000014430000}"/>
    <cellStyle name="20% - Accent6 2 3 3 3 2" xfId="3250" xr:uid="{00000000-0005-0000-0000-000015430000}"/>
    <cellStyle name="20% - Accent6 2 3 3 3 2 2" xfId="8112" xr:uid="{00000000-0005-0000-0000-000016430000}"/>
    <cellStyle name="20% - Accent6 2 3 3 3 2 2 2" xfId="27563" xr:uid="{00000000-0005-0000-0000-000017430000}"/>
    <cellStyle name="20% - Accent6 2 3 3 3 2 2 3" xfId="37288" xr:uid="{00000000-0005-0000-0000-000018430000}"/>
    <cellStyle name="20% - Accent6 2 3 3 3 2 2 4" xfId="47013" xr:uid="{00000000-0005-0000-0000-000019430000}"/>
    <cellStyle name="20% - Accent6 2 3 3 3 2 2 5" xfId="17838" xr:uid="{00000000-0005-0000-0000-00001A430000}"/>
    <cellStyle name="20% - Accent6 2 3 3 3 2 3" xfId="22701" xr:uid="{00000000-0005-0000-0000-00001B430000}"/>
    <cellStyle name="20% - Accent6 2 3 3 3 2 4" xfId="32426" xr:uid="{00000000-0005-0000-0000-00001C430000}"/>
    <cellStyle name="20% - Accent6 2 3 3 3 2 5" xfId="42151" xr:uid="{00000000-0005-0000-0000-00001D430000}"/>
    <cellStyle name="20% - Accent6 2 3 3 3 2 6" xfId="12976" xr:uid="{00000000-0005-0000-0000-00001E430000}"/>
    <cellStyle name="20% - Accent6 2 3 3 3 3" xfId="4870" xr:uid="{00000000-0005-0000-0000-00001F430000}"/>
    <cellStyle name="20% - Accent6 2 3 3 3 3 2" xfId="9732" xr:uid="{00000000-0005-0000-0000-000020430000}"/>
    <cellStyle name="20% - Accent6 2 3 3 3 3 2 2" xfId="29183" xr:uid="{00000000-0005-0000-0000-000021430000}"/>
    <cellStyle name="20% - Accent6 2 3 3 3 3 2 3" xfId="38908" xr:uid="{00000000-0005-0000-0000-000022430000}"/>
    <cellStyle name="20% - Accent6 2 3 3 3 3 2 4" xfId="48633" xr:uid="{00000000-0005-0000-0000-000023430000}"/>
    <cellStyle name="20% - Accent6 2 3 3 3 3 2 5" xfId="19458" xr:uid="{00000000-0005-0000-0000-000024430000}"/>
    <cellStyle name="20% - Accent6 2 3 3 3 3 3" xfId="24321" xr:uid="{00000000-0005-0000-0000-000025430000}"/>
    <cellStyle name="20% - Accent6 2 3 3 3 3 4" xfId="34046" xr:uid="{00000000-0005-0000-0000-000026430000}"/>
    <cellStyle name="20% - Accent6 2 3 3 3 3 5" xfId="43771" xr:uid="{00000000-0005-0000-0000-000027430000}"/>
    <cellStyle name="20% - Accent6 2 3 3 3 3 6" xfId="14596" xr:uid="{00000000-0005-0000-0000-000028430000}"/>
    <cellStyle name="20% - Accent6 2 3 3 3 4" xfId="6492" xr:uid="{00000000-0005-0000-0000-000029430000}"/>
    <cellStyle name="20% - Accent6 2 3 3 3 4 2" xfId="25943" xr:uid="{00000000-0005-0000-0000-00002A430000}"/>
    <cellStyle name="20% - Accent6 2 3 3 3 4 3" xfId="35668" xr:uid="{00000000-0005-0000-0000-00002B430000}"/>
    <cellStyle name="20% - Accent6 2 3 3 3 4 4" xfId="45393" xr:uid="{00000000-0005-0000-0000-00002C430000}"/>
    <cellStyle name="20% - Accent6 2 3 3 3 4 5" xfId="16218" xr:uid="{00000000-0005-0000-0000-00002D430000}"/>
    <cellStyle name="20% - Accent6 2 3 3 3 5" xfId="21081" xr:uid="{00000000-0005-0000-0000-00002E430000}"/>
    <cellStyle name="20% - Accent6 2 3 3 3 6" xfId="30806" xr:uid="{00000000-0005-0000-0000-00002F430000}"/>
    <cellStyle name="20% - Accent6 2 3 3 3 7" xfId="40531" xr:uid="{00000000-0005-0000-0000-000030430000}"/>
    <cellStyle name="20% - Accent6 2 3 3 3 8" xfId="11356" xr:uid="{00000000-0005-0000-0000-000031430000}"/>
    <cellStyle name="20% - Accent6 2 3 3 4" xfId="800" xr:uid="{00000000-0005-0000-0000-000032430000}"/>
    <cellStyle name="20% - Accent6 2 3 3 4 2" xfId="2440" xr:uid="{00000000-0005-0000-0000-000033430000}"/>
    <cellStyle name="20% - Accent6 2 3 3 4 2 2" xfId="7302" xr:uid="{00000000-0005-0000-0000-000034430000}"/>
    <cellStyle name="20% - Accent6 2 3 3 4 2 2 2" xfId="26753" xr:uid="{00000000-0005-0000-0000-000035430000}"/>
    <cellStyle name="20% - Accent6 2 3 3 4 2 2 3" xfId="36478" xr:uid="{00000000-0005-0000-0000-000036430000}"/>
    <cellStyle name="20% - Accent6 2 3 3 4 2 2 4" xfId="46203" xr:uid="{00000000-0005-0000-0000-000037430000}"/>
    <cellStyle name="20% - Accent6 2 3 3 4 2 2 5" xfId="17028" xr:uid="{00000000-0005-0000-0000-000038430000}"/>
    <cellStyle name="20% - Accent6 2 3 3 4 2 3" xfId="21891" xr:uid="{00000000-0005-0000-0000-000039430000}"/>
    <cellStyle name="20% - Accent6 2 3 3 4 2 4" xfId="31616" xr:uid="{00000000-0005-0000-0000-00003A430000}"/>
    <cellStyle name="20% - Accent6 2 3 3 4 2 5" xfId="41341" xr:uid="{00000000-0005-0000-0000-00003B430000}"/>
    <cellStyle name="20% - Accent6 2 3 3 4 2 6" xfId="12166" xr:uid="{00000000-0005-0000-0000-00003C430000}"/>
    <cellStyle name="20% - Accent6 2 3 3 4 3" xfId="4060" xr:uid="{00000000-0005-0000-0000-00003D430000}"/>
    <cellStyle name="20% - Accent6 2 3 3 4 3 2" xfId="8922" xr:uid="{00000000-0005-0000-0000-00003E430000}"/>
    <cellStyle name="20% - Accent6 2 3 3 4 3 2 2" xfId="28373" xr:uid="{00000000-0005-0000-0000-00003F430000}"/>
    <cellStyle name="20% - Accent6 2 3 3 4 3 2 3" xfId="38098" xr:uid="{00000000-0005-0000-0000-000040430000}"/>
    <cellStyle name="20% - Accent6 2 3 3 4 3 2 4" xfId="47823" xr:uid="{00000000-0005-0000-0000-000041430000}"/>
    <cellStyle name="20% - Accent6 2 3 3 4 3 2 5" xfId="18648" xr:uid="{00000000-0005-0000-0000-000042430000}"/>
    <cellStyle name="20% - Accent6 2 3 3 4 3 3" xfId="23511" xr:uid="{00000000-0005-0000-0000-000043430000}"/>
    <cellStyle name="20% - Accent6 2 3 3 4 3 4" xfId="33236" xr:uid="{00000000-0005-0000-0000-000044430000}"/>
    <cellStyle name="20% - Accent6 2 3 3 4 3 5" xfId="42961" xr:uid="{00000000-0005-0000-0000-000045430000}"/>
    <cellStyle name="20% - Accent6 2 3 3 4 3 6" xfId="13786" xr:uid="{00000000-0005-0000-0000-000046430000}"/>
    <cellStyle name="20% - Accent6 2 3 3 4 4" xfId="5682" xr:uid="{00000000-0005-0000-0000-000047430000}"/>
    <cellStyle name="20% - Accent6 2 3 3 4 4 2" xfId="25133" xr:uid="{00000000-0005-0000-0000-000048430000}"/>
    <cellStyle name="20% - Accent6 2 3 3 4 4 3" xfId="34858" xr:uid="{00000000-0005-0000-0000-000049430000}"/>
    <cellStyle name="20% - Accent6 2 3 3 4 4 4" xfId="44583" xr:uid="{00000000-0005-0000-0000-00004A430000}"/>
    <cellStyle name="20% - Accent6 2 3 3 4 4 5" xfId="15408" xr:uid="{00000000-0005-0000-0000-00004B430000}"/>
    <cellStyle name="20% - Accent6 2 3 3 4 5" xfId="20271" xr:uid="{00000000-0005-0000-0000-00004C430000}"/>
    <cellStyle name="20% - Accent6 2 3 3 4 6" xfId="29996" xr:uid="{00000000-0005-0000-0000-00004D430000}"/>
    <cellStyle name="20% - Accent6 2 3 3 4 7" xfId="39721" xr:uid="{00000000-0005-0000-0000-00004E430000}"/>
    <cellStyle name="20% - Accent6 2 3 3 4 8" xfId="10546" xr:uid="{00000000-0005-0000-0000-00004F430000}"/>
    <cellStyle name="20% - Accent6 2 3 3 5" xfId="2080" xr:uid="{00000000-0005-0000-0000-000050430000}"/>
    <cellStyle name="20% - Accent6 2 3 3 5 2" xfId="6942" xr:uid="{00000000-0005-0000-0000-000051430000}"/>
    <cellStyle name="20% - Accent6 2 3 3 5 2 2" xfId="26393" xr:uid="{00000000-0005-0000-0000-000052430000}"/>
    <cellStyle name="20% - Accent6 2 3 3 5 2 3" xfId="36118" xr:uid="{00000000-0005-0000-0000-000053430000}"/>
    <cellStyle name="20% - Accent6 2 3 3 5 2 4" xfId="45843" xr:uid="{00000000-0005-0000-0000-000054430000}"/>
    <cellStyle name="20% - Accent6 2 3 3 5 2 5" xfId="16668" xr:uid="{00000000-0005-0000-0000-000055430000}"/>
    <cellStyle name="20% - Accent6 2 3 3 5 3" xfId="21531" xr:uid="{00000000-0005-0000-0000-000056430000}"/>
    <cellStyle name="20% - Accent6 2 3 3 5 4" xfId="31256" xr:uid="{00000000-0005-0000-0000-000057430000}"/>
    <cellStyle name="20% - Accent6 2 3 3 5 5" xfId="40981" xr:uid="{00000000-0005-0000-0000-000058430000}"/>
    <cellStyle name="20% - Accent6 2 3 3 5 6" xfId="11806" xr:uid="{00000000-0005-0000-0000-000059430000}"/>
    <cellStyle name="20% - Accent6 2 3 3 6" xfId="3700" xr:uid="{00000000-0005-0000-0000-00005A430000}"/>
    <cellStyle name="20% - Accent6 2 3 3 6 2" xfId="8562" xr:uid="{00000000-0005-0000-0000-00005B430000}"/>
    <cellStyle name="20% - Accent6 2 3 3 6 2 2" xfId="28013" xr:uid="{00000000-0005-0000-0000-00005C430000}"/>
    <cellStyle name="20% - Accent6 2 3 3 6 2 3" xfId="37738" xr:uid="{00000000-0005-0000-0000-00005D430000}"/>
    <cellStyle name="20% - Accent6 2 3 3 6 2 4" xfId="47463" xr:uid="{00000000-0005-0000-0000-00005E430000}"/>
    <cellStyle name="20% - Accent6 2 3 3 6 2 5" xfId="18288" xr:uid="{00000000-0005-0000-0000-00005F430000}"/>
    <cellStyle name="20% - Accent6 2 3 3 6 3" xfId="23151" xr:uid="{00000000-0005-0000-0000-000060430000}"/>
    <cellStyle name="20% - Accent6 2 3 3 6 4" xfId="32876" xr:uid="{00000000-0005-0000-0000-000061430000}"/>
    <cellStyle name="20% - Accent6 2 3 3 6 5" xfId="42601" xr:uid="{00000000-0005-0000-0000-000062430000}"/>
    <cellStyle name="20% - Accent6 2 3 3 6 6" xfId="13426" xr:uid="{00000000-0005-0000-0000-000063430000}"/>
    <cellStyle name="20% - Accent6 2 3 3 7" xfId="5322" xr:uid="{00000000-0005-0000-0000-000064430000}"/>
    <cellStyle name="20% - Accent6 2 3 3 7 2" xfId="24773" xr:uid="{00000000-0005-0000-0000-000065430000}"/>
    <cellStyle name="20% - Accent6 2 3 3 7 3" xfId="34498" xr:uid="{00000000-0005-0000-0000-000066430000}"/>
    <cellStyle name="20% - Accent6 2 3 3 7 4" xfId="44223" xr:uid="{00000000-0005-0000-0000-000067430000}"/>
    <cellStyle name="20% - Accent6 2 3 3 7 5" xfId="15048" xr:uid="{00000000-0005-0000-0000-000068430000}"/>
    <cellStyle name="20% - Accent6 2 3 3 8" xfId="19911" xr:uid="{00000000-0005-0000-0000-000069430000}"/>
    <cellStyle name="20% - Accent6 2 3 3 9" xfId="29636" xr:uid="{00000000-0005-0000-0000-00006A430000}"/>
    <cellStyle name="20% - Accent6 2 3 4" xfId="217" xr:uid="{00000000-0005-0000-0000-00006B430000}"/>
    <cellStyle name="20% - Accent6 2 3 4 10" xfId="39181" xr:uid="{00000000-0005-0000-0000-00006C430000}"/>
    <cellStyle name="20% - Accent6 2 3 4 11" xfId="10006" xr:uid="{00000000-0005-0000-0000-00006D430000}"/>
    <cellStyle name="20% - Accent6 2 3 4 2" xfId="981" xr:uid="{00000000-0005-0000-0000-00006E430000}"/>
    <cellStyle name="20% - Accent6 2 3 4 2 2" xfId="2620" xr:uid="{00000000-0005-0000-0000-00006F430000}"/>
    <cellStyle name="20% - Accent6 2 3 4 2 2 2" xfId="7482" xr:uid="{00000000-0005-0000-0000-000070430000}"/>
    <cellStyle name="20% - Accent6 2 3 4 2 2 2 2" xfId="26933" xr:uid="{00000000-0005-0000-0000-000071430000}"/>
    <cellStyle name="20% - Accent6 2 3 4 2 2 2 3" xfId="36658" xr:uid="{00000000-0005-0000-0000-000072430000}"/>
    <cellStyle name="20% - Accent6 2 3 4 2 2 2 4" xfId="46383" xr:uid="{00000000-0005-0000-0000-000073430000}"/>
    <cellStyle name="20% - Accent6 2 3 4 2 2 2 5" xfId="17208" xr:uid="{00000000-0005-0000-0000-000074430000}"/>
    <cellStyle name="20% - Accent6 2 3 4 2 2 3" xfId="22071" xr:uid="{00000000-0005-0000-0000-000075430000}"/>
    <cellStyle name="20% - Accent6 2 3 4 2 2 4" xfId="31796" xr:uid="{00000000-0005-0000-0000-000076430000}"/>
    <cellStyle name="20% - Accent6 2 3 4 2 2 5" xfId="41521" xr:uid="{00000000-0005-0000-0000-000077430000}"/>
    <cellStyle name="20% - Accent6 2 3 4 2 2 6" xfId="12346" xr:uid="{00000000-0005-0000-0000-000078430000}"/>
    <cellStyle name="20% - Accent6 2 3 4 2 3" xfId="4240" xr:uid="{00000000-0005-0000-0000-000079430000}"/>
    <cellStyle name="20% - Accent6 2 3 4 2 3 2" xfId="9102" xr:uid="{00000000-0005-0000-0000-00007A430000}"/>
    <cellStyle name="20% - Accent6 2 3 4 2 3 2 2" xfId="28553" xr:uid="{00000000-0005-0000-0000-00007B430000}"/>
    <cellStyle name="20% - Accent6 2 3 4 2 3 2 3" xfId="38278" xr:uid="{00000000-0005-0000-0000-00007C430000}"/>
    <cellStyle name="20% - Accent6 2 3 4 2 3 2 4" xfId="48003" xr:uid="{00000000-0005-0000-0000-00007D430000}"/>
    <cellStyle name="20% - Accent6 2 3 4 2 3 2 5" xfId="18828" xr:uid="{00000000-0005-0000-0000-00007E430000}"/>
    <cellStyle name="20% - Accent6 2 3 4 2 3 3" xfId="23691" xr:uid="{00000000-0005-0000-0000-00007F430000}"/>
    <cellStyle name="20% - Accent6 2 3 4 2 3 4" xfId="33416" xr:uid="{00000000-0005-0000-0000-000080430000}"/>
    <cellStyle name="20% - Accent6 2 3 4 2 3 5" xfId="43141" xr:uid="{00000000-0005-0000-0000-000081430000}"/>
    <cellStyle name="20% - Accent6 2 3 4 2 3 6" xfId="13966" xr:uid="{00000000-0005-0000-0000-000082430000}"/>
    <cellStyle name="20% - Accent6 2 3 4 2 4" xfId="5862" xr:uid="{00000000-0005-0000-0000-000083430000}"/>
    <cellStyle name="20% - Accent6 2 3 4 2 4 2" xfId="25313" xr:uid="{00000000-0005-0000-0000-000084430000}"/>
    <cellStyle name="20% - Accent6 2 3 4 2 4 3" xfId="35038" xr:uid="{00000000-0005-0000-0000-000085430000}"/>
    <cellStyle name="20% - Accent6 2 3 4 2 4 4" xfId="44763" xr:uid="{00000000-0005-0000-0000-000086430000}"/>
    <cellStyle name="20% - Accent6 2 3 4 2 4 5" xfId="15588" xr:uid="{00000000-0005-0000-0000-000087430000}"/>
    <cellStyle name="20% - Accent6 2 3 4 2 5" xfId="20451" xr:uid="{00000000-0005-0000-0000-000088430000}"/>
    <cellStyle name="20% - Accent6 2 3 4 2 6" xfId="30176" xr:uid="{00000000-0005-0000-0000-000089430000}"/>
    <cellStyle name="20% - Accent6 2 3 4 2 7" xfId="39901" xr:uid="{00000000-0005-0000-0000-00008A430000}"/>
    <cellStyle name="20% - Accent6 2 3 4 2 8" xfId="10726" xr:uid="{00000000-0005-0000-0000-00008B430000}"/>
    <cellStyle name="20% - Accent6 2 3 4 3" xfId="1449" xr:uid="{00000000-0005-0000-0000-00008C430000}"/>
    <cellStyle name="20% - Accent6 2 3 4 3 2" xfId="3070" xr:uid="{00000000-0005-0000-0000-00008D430000}"/>
    <cellStyle name="20% - Accent6 2 3 4 3 2 2" xfId="7932" xr:uid="{00000000-0005-0000-0000-00008E430000}"/>
    <cellStyle name="20% - Accent6 2 3 4 3 2 2 2" xfId="27383" xr:uid="{00000000-0005-0000-0000-00008F430000}"/>
    <cellStyle name="20% - Accent6 2 3 4 3 2 2 3" xfId="37108" xr:uid="{00000000-0005-0000-0000-000090430000}"/>
    <cellStyle name="20% - Accent6 2 3 4 3 2 2 4" xfId="46833" xr:uid="{00000000-0005-0000-0000-000091430000}"/>
    <cellStyle name="20% - Accent6 2 3 4 3 2 2 5" xfId="17658" xr:uid="{00000000-0005-0000-0000-000092430000}"/>
    <cellStyle name="20% - Accent6 2 3 4 3 2 3" xfId="22521" xr:uid="{00000000-0005-0000-0000-000093430000}"/>
    <cellStyle name="20% - Accent6 2 3 4 3 2 4" xfId="32246" xr:uid="{00000000-0005-0000-0000-000094430000}"/>
    <cellStyle name="20% - Accent6 2 3 4 3 2 5" xfId="41971" xr:uid="{00000000-0005-0000-0000-000095430000}"/>
    <cellStyle name="20% - Accent6 2 3 4 3 2 6" xfId="12796" xr:uid="{00000000-0005-0000-0000-000096430000}"/>
    <cellStyle name="20% - Accent6 2 3 4 3 3" xfId="4690" xr:uid="{00000000-0005-0000-0000-000097430000}"/>
    <cellStyle name="20% - Accent6 2 3 4 3 3 2" xfId="9552" xr:uid="{00000000-0005-0000-0000-000098430000}"/>
    <cellStyle name="20% - Accent6 2 3 4 3 3 2 2" xfId="29003" xr:uid="{00000000-0005-0000-0000-000099430000}"/>
    <cellStyle name="20% - Accent6 2 3 4 3 3 2 3" xfId="38728" xr:uid="{00000000-0005-0000-0000-00009A430000}"/>
    <cellStyle name="20% - Accent6 2 3 4 3 3 2 4" xfId="48453" xr:uid="{00000000-0005-0000-0000-00009B430000}"/>
    <cellStyle name="20% - Accent6 2 3 4 3 3 2 5" xfId="19278" xr:uid="{00000000-0005-0000-0000-00009C430000}"/>
    <cellStyle name="20% - Accent6 2 3 4 3 3 3" xfId="24141" xr:uid="{00000000-0005-0000-0000-00009D430000}"/>
    <cellStyle name="20% - Accent6 2 3 4 3 3 4" xfId="33866" xr:uid="{00000000-0005-0000-0000-00009E430000}"/>
    <cellStyle name="20% - Accent6 2 3 4 3 3 5" xfId="43591" xr:uid="{00000000-0005-0000-0000-00009F430000}"/>
    <cellStyle name="20% - Accent6 2 3 4 3 3 6" xfId="14416" xr:uid="{00000000-0005-0000-0000-0000A0430000}"/>
    <cellStyle name="20% - Accent6 2 3 4 3 4" xfId="6312" xr:uid="{00000000-0005-0000-0000-0000A1430000}"/>
    <cellStyle name="20% - Accent6 2 3 4 3 4 2" xfId="25763" xr:uid="{00000000-0005-0000-0000-0000A2430000}"/>
    <cellStyle name="20% - Accent6 2 3 4 3 4 3" xfId="35488" xr:uid="{00000000-0005-0000-0000-0000A3430000}"/>
    <cellStyle name="20% - Accent6 2 3 4 3 4 4" xfId="45213" xr:uid="{00000000-0005-0000-0000-0000A4430000}"/>
    <cellStyle name="20% - Accent6 2 3 4 3 4 5" xfId="16038" xr:uid="{00000000-0005-0000-0000-0000A5430000}"/>
    <cellStyle name="20% - Accent6 2 3 4 3 5" xfId="20901" xr:uid="{00000000-0005-0000-0000-0000A6430000}"/>
    <cellStyle name="20% - Accent6 2 3 4 3 6" xfId="30626" xr:uid="{00000000-0005-0000-0000-0000A7430000}"/>
    <cellStyle name="20% - Accent6 2 3 4 3 7" xfId="40351" xr:uid="{00000000-0005-0000-0000-0000A8430000}"/>
    <cellStyle name="20% - Accent6 2 3 4 3 8" xfId="11176" xr:uid="{00000000-0005-0000-0000-0000A9430000}"/>
    <cellStyle name="20% - Accent6 2 3 4 4" xfId="620" xr:uid="{00000000-0005-0000-0000-0000AA430000}"/>
    <cellStyle name="20% - Accent6 2 3 4 4 2" xfId="2260" xr:uid="{00000000-0005-0000-0000-0000AB430000}"/>
    <cellStyle name="20% - Accent6 2 3 4 4 2 2" xfId="7122" xr:uid="{00000000-0005-0000-0000-0000AC430000}"/>
    <cellStyle name="20% - Accent6 2 3 4 4 2 2 2" xfId="26573" xr:uid="{00000000-0005-0000-0000-0000AD430000}"/>
    <cellStyle name="20% - Accent6 2 3 4 4 2 2 3" xfId="36298" xr:uid="{00000000-0005-0000-0000-0000AE430000}"/>
    <cellStyle name="20% - Accent6 2 3 4 4 2 2 4" xfId="46023" xr:uid="{00000000-0005-0000-0000-0000AF430000}"/>
    <cellStyle name="20% - Accent6 2 3 4 4 2 2 5" xfId="16848" xr:uid="{00000000-0005-0000-0000-0000B0430000}"/>
    <cellStyle name="20% - Accent6 2 3 4 4 2 3" xfId="21711" xr:uid="{00000000-0005-0000-0000-0000B1430000}"/>
    <cellStyle name="20% - Accent6 2 3 4 4 2 4" xfId="31436" xr:uid="{00000000-0005-0000-0000-0000B2430000}"/>
    <cellStyle name="20% - Accent6 2 3 4 4 2 5" xfId="41161" xr:uid="{00000000-0005-0000-0000-0000B3430000}"/>
    <cellStyle name="20% - Accent6 2 3 4 4 2 6" xfId="11986" xr:uid="{00000000-0005-0000-0000-0000B4430000}"/>
    <cellStyle name="20% - Accent6 2 3 4 4 3" xfId="3880" xr:uid="{00000000-0005-0000-0000-0000B5430000}"/>
    <cellStyle name="20% - Accent6 2 3 4 4 3 2" xfId="8742" xr:uid="{00000000-0005-0000-0000-0000B6430000}"/>
    <cellStyle name="20% - Accent6 2 3 4 4 3 2 2" xfId="28193" xr:uid="{00000000-0005-0000-0000-0000B7430000}"/>
    <cellStyle name="20% - Accent6 2 3 4 4 3 2 3" xfId="37918" xr:uid="{00000000-0005-0000-0000-0000B8430000}"/>
    <cellStyle name="20% - Accent6 2 3 4 4 3 2 4" xfId="47643" xr:uid="{00000000-0005-0000-0000-0000B9430000}"/>
    <cellStyle name="20% - Accent6 2 3 4 4 3 2 5" xfId="18468" xr:uid="{00000000-0005-0000-0000-0000BA430000}"/>
    <cellStyle name="20% - Accent6 2 3 4 4 3 3" xfId="23331" xr:uid="{00000000-0005-0000-0000-0000BB430000}"/>
    <cellStyle name="20% - Accent6 2 3 4 4 3 4" xfId="33056" xr:uid="{00000000-0005-0000-0000-0000BC430000}"/>
    <cellStyle name="20% - Accent6 2 3 4 4 3 5" xfId="42781" xr:uid="{00000000-0005-0000-0000-0000BD430000}"/>
    <cellStyle name="20% - Accent6 2 3 4 4 3 6" xfId="13606" xr:uid="{00000000-0005-0000-0000-0000BE430000}"/>
    <cellStyle name="20% - Accent6 2 3 4 4 4" xfId="5502" xr:uid="{00000000-0005-0000-0000-0000BF430000}"/>
    <cellStyle name="20% - Accent6 2 3 4 4 4 2" xfId="24953" xr:uid="{00000000-0005-0000-0000-0000C0430000}"/>
    <cellStyle name="20% - Accent6 2 3 4 4 4 3" xfId="34678" xr:uid="{00000000-0005-0000-0000-0000C1430000}"/>
    <cellStyle name="20% - Accent6 2 3 4 4 4 4" xfId="44403" xr:uid="{00000000-0005-0000-0000-0000C2430000}"/>
    <cellStyle name="20% - Accent6 2 3 4 4 4 5" xfId="15228" xr:uid="{00000000-0005-0000-0000-0000C3430000}"/>
    <cellStyle name="20% - Accent6 2 3 4 4 5" xfId="20091" xr:uid="{00000000-0005-0000-0000-0000C4430000}"/>
    <cellStyle name="20% - Accent6 2 3 4 4 6" xfId="29816" xr:uid="{00000000-0005-0000-0000-0000C5430000}"/>
    <cellStyle name="20% - Accent6 2 3 4 4 7" xfId="39541" xr:uid="{00000000-0005-0000-0000-0000C6430000}"/>
    <cellStyle name="20% - Accent6 2 3 4 4 8" xfId="10366" xr:uid="{00000000-0005-0000-0000-0000C7430000}"/>
    <cellStyle name="20% - Accent6 2 3 4 5" xfId="1900" xr:uid="{00000000-0005-0000-0000-0000C8430000}"/>
    <cellStyle name="20% - Accent6 2 3 4 5 2" xfId="6762" xr:uid="{00000000-0005-0000-0000-0000C9430000}"/>
    <cellStyle name="20% - Accent6 2 3 4 5 2 2" xfId="26213" xr:uid="{00000000-0005-0000-0000-0000CA430000}"/>
    <cellStyle name="20% - Accent6 2 3 4 5 2 3" xfId="35938" xr:uid="{00000000-0005-0000-0000-0000CB430000}"/>
    <cellStyle name="20% - Accent6 2 3 4 5 2 4" xfId="45663" xr:uid="{00000000-0005-0000-0000-0000CC430000}"/>
    <cellStyle name="20% - Accent6 2 3 4 5 2 5" xfId="16488" xr:uid="{00000000-0005-0000-0000-0000CD430000}"/>
    <cellStyle name="20% - Accent6 2 3 4 5 3" xfId="21351" xr:uid="{00000000-0005-0000-0000-0000CE430000}"/>
    <cellStyle name="20% - Accent6 2 3 4 5 4" xfId="31076" xr:uid="{00000000-0005-0000-0000-0000CF430000}"/>
    <cellStyle name="20% - Accent6 2 3 4 5 5" xfId="40801" xr:uid="{00000000-0005-0000-0000-0000D0430000}"/>
    <cellStyle name="20% - Accent6 2 3 4 5 6" xfId="11626" xr:uid="{00000000-0005-0000-0000-0000D1430000}"/>
    <cellStyle name="20% - Accent6 2 3 4 6" xfId="3520" xr:uid="{00000000-0005-0000-0000-0000D2430000}"/>
    <cellStyle name="20% - Accent6 2 3 4 6 2" xfId="8382" xr:uid="{00000000-0005-0000-0000-0000D3430000}"/>
    <cellStyle name="20% - Accent6 2 3 4 6 2 2" xfId="27833" xr:uid="{00000000-0005-0000-0000-0000D4430000}"/>
    <cellStyle name="20% - Accent6 2 3 4 6 2 3" xfId="37558" xr:uid="{00000000-0005-0000-0000-0000D5430000}"/>
    <cellStyle name="20% - Accent6 2 3 4 6 2 4" xfId="47283" xr:uid="{00000000-0005-0000-0000-0000D6430000}"/>
    <cellStyle name="20% - Accent6 2 3 4 6 2 5" xfId="18108" xr:uid="{00000000-0005-0000-0000-0000D7430000}"/>
    <cellStyle name="20% - Accent6 2 3 4 6 3" xfId="22971" xr:uid="{00000000-0005-0000-0000-0000D8430000}"/>
    <cellStyle name="20% - Accent6 2 3 4 6 4" xfId="32696" xr:uid="{00000000-0005-0000-0000-0000D9430000}"/>
    <cellStyle name="20% - Accent6 2 3 4 6 5" xfId="42421" xr:uid="{00000000-0005-0000-0000-0000DA430000}"/>
    <cellStyle name="20% - Accent6 2 3 4 6 6" xfId="13246" xr:uid="{00000000-0005-0000-0000-0000DB430000}"/>
    <cellStyle name="20% - Accent6 2 3 4 7" xfId="5142" xr:uid="{00000000-0005-0000-0000-0000DC430000}"/>
    <cellStyle name="20% - Accent6 2 3 4 7 2" xfId="24593" xr:uid="{00000000-0005-0000-0000-0000DD430000}"/>
    <cellStyle name="20% - Accent6 2 3 4 7 3" xfId="34318" xr:uid="{00000000-0005-0000-0000-0000DE430000}"/>
    <cellStyle name="20% - Accent6 2 3 4 7 4" xfId="44043" xr:uid="{00000000-0005-0000-0000-0000DF430000}"/>
    <cellStyle name="20% - Accent6 2 3 4 7 5" xfId="14868" xr:uid="{00000000-0005-0000-0000-0000E0430000}"/>
    <cellStyle name="20% - Accent6 2 3 4 8" xfId="19731" xr:uid="{00000000-0005-0000-0000-0000E1430000}"/>
    <cellStyle name="20% - Accent6 2 3 4 9" xfId="29456" xr:uid="{00000000-0005-0000-0000-0000E2430000}"/>
    <cellStyle name="20% - Accent6 2 3 5" xfId="891" xr:uid="{00000000-0005-0000-0000-0000E3430000}"/>
    <cellStyle name="20% - Accent6 2 3 5 2" xfId="2530" xr:uid="{00000000-0005-0000-0000-0000E4430000}"/>
    <cellStyle name="20% - Accent6 2 3 5 2 2" xfId="7392" xr:uid="{00000000-0005-0000-0000-0000E5430000}"/>
    <cellStyle name="20% - Accent6 2 3 5 2 2 2" xfId="26843" xr:uid="{00000000-0005-0000-0000-0000E6430000}"/>
    <cellStyle name="20% - Accent6 2 3 5 2 2 3" xfId="36568" xr:uid="{00000000-0005-0000-0000-0000E7430000}"/>
    <cellStyle name="20% - Accent6 2 3 5 2 2 4" xfId="46293" xr:uid="{00000000-0005-0000-0000-0000E8430000}"/>
    <cellStyle name="20% - Accent6 2 3 5 2 2 5" xfId="17118" xr:uid="{00000000-0005-0000-0000-0000E9430000}"/>
    <cellStyle name="20% - Accent6 2 3 5 2 3" xfId="21981" xr:uid="{00000000-0005-0000-0000-0000EA430000}"/>
    <cellStyle name="20% - Accent6 2 3 5 2 4" xfId="31706" xr:uid="{00000000-0005-0000-0000-0000EB430000}"/>
    <cellStyle name="20% - Accent6 2 3 5 2 5" xfId="41431" xr:uid="{00000000-0005-0000-0000-0000EC430000}"/>
    <cellStyle name="20% - Accent6 2 3 5 2 6" xfId="12256" xr:uid="{00000000-0005-0000-0000-0000ED430000}"/>
    <cellStyle name="20% - Accent6 2 3 5 3" xfId="4150" xr:uid="{00000000-0005-0000-0000-0000EE430000}"/>
    <cellStyle name="20% - Accent6 2 3 5 3 2" xfId="9012" xr:uid="{00000000-0005-0000-0000-0000EF430000}"/>
    <cellStyle name="20% - Accent6 2 3 5 3 2 2" xfId="28463" xr:uid="{00000000-0005-0000-0000-0000F0430000}"/>
    <cellStyle name="20% - Accent6 2 3 5 3 2 3" xfId="38188" xr:uid="{00000000-0005-0000-0000-0000F1430000}"/>
    <cellStyle name="20% - Accent6 2 3 5 3 2 4" xfId="47913" xr:uid="{00000000-0005-0000-0000-0000F2430000}"/>
    <cellStyle name="20% - Accent6 2 3 5 3 2 5" xfId="18738" xr:uid="{00000000-0005-0000-0000-0000F3430000}"/>
    <cellStyle name="20% - Accent6 2 3 5 3 3" xfId="23601" xr:uid="{00000000-0005-0000-0000-0000F4430000}"/>
    <cellStyle name="20% - Accent6 2 3 5 3 4" xfId="33326" xr:uid="{00000000-0005-0000-0000-0000F5430000}"/>
    <cellStyle name="20% - Accent6 2 3 5 3 5" xfId="43051" xr:uid="{00000000-0005-0000-0000-0000F6430000}"/>
    <cellStyle name="20% - Accent6 2 3 5 3 6" xfId="13876" xr:uid="{00000000-0005-0000-0000-0000F7430000}"/>
    <cellStyle name="20% - Accent6 2 3 5 4" xfId="5772" xr:uid="{00000000-0005-0000-0000-0000F8430000}"/>
    <cellStyle name="20% - Accent6 2 3 5 4 2" xfId="25223" xr:uid="{00000000-0005-0000-0000-0000F9430000}"/>
    <cellStyle name="20% - Accent6 2 3 5 4 3" xfId="34948" xr:uid="{00000000-0005-0000-0000-0000FA430000}"/>
    <cellStyle name="20% - Accent6 2 3 5 4 4" xfId="44673" xr:uid="{00000000-0005-0000-0000-0000FB430000}"/>
    <cellStyle name="20% - Accent6 2 3 5 4 5" xfId="15498" xr:uid="{00000000-0005-0000-0000-0000FC430000}"/>
    <cellStyle name="20% - Accent6 2 3 5 5" xfId="20361" xr:uid="{00000000-0005-0000-0000-0000FD430000}"/>
    <cellStyle name="20% - Accent6 2 3 5 6" xfId="30086" xr:uid="{00000000-0005-0000-0000-0000FE430000}"/>
    <cellStyle name="20% - Accent6 2 3 5 7" xfId="39811" xr:uid="{00000000-0005-0000-0000-0000FF430000}"/>
    <cellStyle name="20% - Accent6 2 3 5 8" xfId="10636" xr:uid="{00000000-0005-0000-0000-000000440000}"/>
    <cellStyle name="20% - Accent6 2 3 6" xfId="1269" xr:uid="{00000000-0005-0000-0000-000001440000}"/>
    <cellStyle name="20% - Accent6 2 3 6 2" xfId="2890" xr:uid="{00000000-0005-0000-0000-000002440000}"/>
    <cellStyle name="20% - Accent6 2 3 6 2 2" xfId="7752" xr:uid="{00000000-0005-0000-0000-000003440000}"/>
    <cellStyle name="20% - Accent6 2 3 6 2 2 2" xfId="27203" xr:uid="{00000000-0005-0000-0000-000004440000}"/>
    <cellStyle name="20% - Accent6 2 3 6 2 2 3" xfId="36928" xr:uid="{00000000-0005-0000-0000-000005440000}"/>
    <cellStyle name="20% - Accent6 2 3 6 2 2 4" xfId="46653" xr:uid="{00000000-0005-0000-0000-000006440000}"/>
    <cellStyle name="20% - Accent6 2 3 6 2 2 5" xfId="17478" xr:uid="{00000000-0005-0000-0000-000007440000}"/>
    <cellStyle name="20% - Accent6 2 3 6 2 3" xfId="22341" xr:uid="{00000000-0005-0000-0000-000008440000}"/>
    <cellStyle name="20% - Accent6 2 3 6 2 4" xfId="32066" xr:uid="{00000000-0005-0000-0000-000009440000}"/>
    <cellStyle name="20% - Accent6 2 3 6 2 5" xfId="41791" xr:uid="{00000000-0005-0000-0000-00000A440000}"/>
    <cellStyle name="20% - Accent6 2 3 6 2 6" xfId="12616" xr:uid="{00000000-0005-0000-0000-00000B440000}"/>
    <cellStyle name="20% - Accent6 2 3 6 3" xfId="4510" xr:uid="{00000000-0005-0000-0000-00000C440000}"/>
    <cellStyle name="20% - Accent6 2 3 6 3 2" xfId="9372" xr:uid="{00000000-0005-0000-0000-00000D440000}"/>
    <cellStyle name="20% - Accent6 2 3 6 3 2 2" xfId="28823" xr:uid="{00000000-0005-0000-0000-00000E440000}"/>
    <cellStyle name="20% - Accent6 2 3 6 3 2 3" xfId="38548" xr:uid="{00000000-0005-0000-0000-00000F440000}"/>
    <cellStyle name="20% - Accent6 2 3 6 3 2 4" xfId="48273" xr:uid="{00000000-0005-0000-0000-000010440000}"/>
    <cellStyle name="20% - Accent6 2 3 6 3 2 5" xfId="19098" xr:uid="{00000000-0005-0000-0000-000011440000}"/>
    <cellStyle name="20% - Accent6 2 3 6 3 3" xfId="23961" xr:uid="{00000000-0005-0000-0000-000012440000}"/>
    <cellStyle name="20% - Accent6 2 3 6 3 4" xfId="33686" xr:uid="{00000000-0005-0000-0000-000013440000}"/>
    <cellStyle name="20% - Accent6 2 3 6 3 5" xfId="43411" xr:uid="{00000000-0005-0000-0000-000014440000}"/>
    <cellStyle name="20% - Accent6 2 3 6 3 6" xfId="14236" xr:uid="{00000000-0005-0000-0000-000015440000}"/>
    <cellStyle name="20% - Accent6 2 3 6 4" xfId="6132" xr:uid="{00000000-0005-0000-0000-000016440000}"/>
    <cellStyle name="20% - Accent6 2 3 6 4 2" xfId="25583" xr:uid="{00000000-0005-0000-0000-000017440000}"/>
    <cellStyle name="20% - Accent6 2 3 6 4 3" xfId="35308" xr:uid="{00000000-0005-0000-0000-000018440000}"/>
    <cellStyle name="20% - Accent6 2 3 6 4 4" xfId="45033" xr:uid="{00000000-0005-0000-0000-000019440000}"/>
    <cellStyle name="20% - Accent6 2 3 6 4 5" xfId="15858" xr:uid="{00000000-0005-0000-0000-00001A440000}"/>
    <cellStyle name="20% - Accent6 2 3 6 5" xfId="20721" xr:uid="{00000000-0005-0000-0000-00001B440000}"/>
    <cellStyle name="20% - Accent6 2 3 6 6" xfId="30446" xr:uid="{00000000-0005-0000-0000-00001C440000}"/>
    <cellStyle name="20% - Accent6 2 3 6 7" xfId="40171" xr:uid="{00000000-0005-0000-0000-00001D440000}"/>
    <cellStyle name="20% - Accent6 2 3 6 8" xfId="10996" xr:uid="{00000000-0005-0000-0000-00001E440000}"/>
    <cellStyle name="20% - Accent6 2 3 7" xfId="1359" xr:uid="{00000000-0005-0000-0000-00001F440000}"/>
    <cellStyle name="20% - Accent6 2 3 7 2" xfId="2980" xr:uid="{00000000-0005-0000-0000-000020440000}"/>
    <cellStyle name="20% - Accent6 2 3 7 2 2" xfId="7842" xr:uid="{00000000-0005-0000-0000-000021440000}"/>
    <cellStyle name="20% - Accent6 2 3 7 2 2 2" xfId="27293" xr:uid="{00000000-0005-0000-0000-000022440000}"/>
    <cellStyle name="20% - Accent6 2 3 7 2 2 3" xfId="37018" xr:uid="{00000000-0005-0000-0000-000023440000}"/>
    <cellStyle name="20% - Accent6 2 3 7 2 2 4" xfId="46743" xr:uid="{00000000-0005-0000-0000-000024440000}"/>
    <cellStyle name="20% - Accent6 2 3 7 2 2 5" xfId="17568" xr:uid="{00000000-0005-0000-0000-000025440000}"/>
    <cellStyle name="20% - Accent6 2 3 7 2 3" xfId="22431" xr:uid="{00000000-0005-0000-0000-000026440000}"/>
    <cellStyle name="20% - Accent6 2 3 7 2 4" xfId="32156" xr:uid="{00000000-0005-0000-0000-000027440000}"/>
    <cellStyle name="20% - Accent6 2 3 7 2 5" xfId="41881" xr:uid="{00000000-0005-0000-0000-000028440000}"/>
    <cellStyle name="20% - Accent6 2 3 7 2 6" xfId="12706" xr:uid="{00000000-0005-0000-0000-000029440000}"/>
    <cellStyle name="20% - Accent6 2 3 7 3" xfId="4600" xr:uid="{00000000-0005-0000-0000-00002A440000}"/>
    <cellStyle name="20% - Accent6 2 3 7 3 2" xfId="9462" xr:uid="{00000000-0005-0000-0000-00002B440000}"/>
    <cellStyle name="20% - Accent6 2 3 7 3 2 2" xfId="28913" xr:uid="{00000000-0005-0000-0000-00002C440000}"/>
    <cellStyle name="20% - Accent6 2 3 7 3 2 3" xfId="38638" xr:uid="{00000000-0005-0000-0000-00002D440000}"/>
    <cellStyle name="20% - Accent6 2 3 7 3 2 4" xfId="48363" xr:uid="{00000000-0005-0000-0000-00002E440000}"/>
    <cellStyle name="20% - Accent6 2 3 7 3 2 5" xfId="19188" xr:uid="{00000000-0005-0000-0000-00002F440000}"/>
    <cellStyle name="20% - Accent6 2 3 7 3 3" xfId="24051" xr:uid="{00000000-0005-0000-0000-000030440000}"/>
    <cellStyle name="20% - Accent6 2 3 7 3 4" xfId="33776" xr:uid="{00000000-0005-0000-0000-000031440000}"/>
    <cellStyle name="20% - Accent6 2 3 7 3 5" xfId="43501" xr:uid="{00000000-0005-0000-0000-000032440000}"/>
    <cellStyle name="20% - Accent6 2 3 7 3 6" xfId="14326" xr:uid="{00000000-0005-0000-0000-000033440000}"/>
    <cellStyle name="20% - Accent6 2 3 7 4" xfId="6222" xr:uid="{00000000-0005-0000-0000-000034440000}"/>
    <cellStyle name="20% - Accent6 2 3 7 4 2" xfId="25673" xr:uid="{00000000-0005-0000-0000-000035440000}"/>
    <cellStyle name="20% - Accent6 2 3 7 4 3" xfId="35398" xr:uid="{00000000-0005-0000-0000-000036440000}"/>
    <cellStyle name="20% - Accent6 2 3 7 4 4" xfId="45123" xr:uid="{00000000-0005-0000-0000-000037440000}"/>
    <cellStyle name="20% - Accent6 2 3 7 4 5" xfId="15948" xr:uid="{00000000-0005-0000-0000-000038440000}"/>
    <cellStyle name="20% - Accent6 2 3 7 5" xfId="20811" xr:uid="{00000000-0005-0000-0000-000039440000}"/>
    <cellStyle name="20% - Accent6 2 3 7 6" xfId="30536" xr:uid="{00000000-0005-0000-0000-00003A440000}"/>
    <cellStyle name="20% - Accent6 2 3 7 7" xfId="40261" xr:uid="{00000000-0005-0000-0000-00003B440000}"/>
    <cellStyle name="20% - Accent6 2 3 7 8" xfId="11086" xr:uid="{00000000-0005-0000-0000-00003C440000}"/>
    <cellStyle name="20% - Accent6 2 3 8" xfId="530" xr:uid="{00000000-0005-0000-0000-00003D440000}"/>
    <cellStyle name="20% - Accent6 2 3 8 2" xfId="2170" xr:uid="{00000000-0005-0000-0000-00003E440000}"/>
    <cellStyle name="20% - Accent6 2 3 8 2 2" xfId="7032" xr:uid="{00000000-0005-0000-0000-00003F440000}"/>
    <cellStyle name="20% - Accent6 2 3 8 2 2 2" xfId="26483" xr:uid="{00000000-0005-0000-0000-000040440000}"/>
    <cellStyle name="20% - Accent6 2 3 8 2 2 3" xfId="36208" xr:uid="{00000000-0005-0000-0000-000041440000}"/>
    <cellStyle name="20% - Accent6 2 3 8 2 2 4" xfId="45933" xr:uid="{00000000-0005-0000-0000-000042440000}"/>
    <cellStyle name="20% - Accent6 2 3 8 2 2 5" xfId="16758" xr:uid="{00000000-0005-0000-0000-000043440000}"/>
    <cellStyle name="20% - Accent6 2 3 8 2 3" xfId="21621" xr:uid="{00000000-0005-0000-0000-000044440000}"/>
    <cellStyle name="20% - Accent6 2 3 8 2 4" xfId="31346" xr:uid="{00000000-0005-0000-0000-000045440000}"/>
    <cellStyle name="20% - Accent6 2 3 8 2 5" xfId="41071" xr:uid="{00000000-0005-0000-0000-000046440000}"/>
    <cellStyle name="20% - Accent6 2 3 8 2 6" xfId="11896" xr:uid="{00000000-0005-0000-0000-000047440000}"/>
    <cellStyle name="20% - Accent6 2 3 8 3" xfId="3790" xr:uid="{00000000-0005-0000-0000-000048440000}"/>
    <cellStyle name="20% - Accent6 2 3 8 3 2" xfId="8652" xr:uid="{00000000-0005-0000-0000-000049440000}"/>
    <cellStyle name="20% - Accent6 2 3 8 3 2 2" xfId="28103" xr:uid="{00000000-0005-0000-0000-00004A440000}"/>
    <cellStyle name="20% - Accent6 2 3 8 3 2 3" xfId="37828" xr:uid="{00000000-0005-0000-0000-00004B440000}"/>
    <cellStyle name="20% - Accent6 2 3 8 3 2 4" xfId="47553" xr:uid="{00000000-0005-0000-0000-00004C440000}"/>
    <cellStyle name="20% - Accent6 2 3 8 3 2 5" xfId="18378" xr:uid="{00000000-0005-0000-0000-00004D440000}"/>
    <cellStyle name="20% - Accent6 2 3 8 3 3" xfId="23241" xr:uid="{00000000-0005-0000-0000-00004E440000}"/>
    <cellStyle name="20% - Accent6 2 3 8 3 4" xfId="32966" xr:uid="{00000000-0005-0000-0000-00004F440000}"/>
    <cellStyle name="20% - Accent6 2 3 8 3 5" xfId="42691" xr:uid="{00000000-0005-0000-0000-000050440000}"/>
    <cellStyle name="20% - Accent6 2 3 8 3 6" xfId="13516" xr:uid="{00000000-0005-0000-0000-000051440000}"/>
    <cellStyle name="20% - Accent6 2 3 8 4" xfId="5412" xr:uid="{00000000-0005-0000-0000-000052440000}"/>
    <cellStyle name="20% - Accent6 2 3 8 4 2" xfId="24863" xr:uid="{00000000-0005-0000-0000-000053440000}"/>
    <cellStyle name="20% - Accent6 2 3 8 4 3" xfId="34588" xr:uid="{00000000-0005-0000-0000-000054440000}"/>
    <cellStyle name="20% - Accent6 2 3 8 4 4" xfId="44313" xr:uid="{00000000-0005-0000-0000-000055440000}"/>
    <cellStyle name="20% - Accent6 2 3 8 4 5" xfId="15138" xr:uid="{00000000-0005-0000-0000-000056440000}"/>
    <cellStyle name="20% - Accent6 2 3 8 5" xfId="20001" xr:uid="{00000000-0005-0000-0000-000057440000}"/>
    <cellStyle name="20% - Accent6 2 3 8 6" xfId="29726" xr:uid="{00000000-0005-0000-0000-000058440000}"/>
    <cellStyle name="20% - Accent6 2 3 8 7" xfId="39451" xr:uid="{00000000-0005-0000-0000-000059440000}"/>
    <cellStyle name="20% - Accent6 2 3 8 8" xfId="10276" xr:uid="{00000000-0005-0000-0000-00005A440000}"/>
    <cellStyle name="20% - Accent6 2 3 9" xfId="1719" xr:uid="{00000000-0005-0000-0000-00005B440000}"/>
    <cellStyle name="20% - Accent6 2 3 9 2" xfId="3340" xr:uid="{00000000-0005-0000-0000-00005C440000}"/>
    <cellStyle name="20% - Accent6 2 3 9 2 2" xfId="8202" xr:uid="{00000000-0005-0000-0000-00005D440000}"/>
    <cellStyle name="20% - Accent6 2 3 9 2 2 2" xfId="27653" xr:uid="{00000000-0005-0000-0000-00005E440000}"/>
    <cellStyle name="20% - Accent6 2 3 9 2 2 3" xfId="37378" xr:uid="{00000000-0005-0000-0000-00005F440000}"/>
    <cellStyle name="20% - Accent6 2 3 9 2 2 4" xfId="47103" xr:uid="{00000000-0005-0000-0000-000060440000}"/>
    <cellStyle name="20% - Accent6 2 3 9 2 2 5" xfId="17928" xr:uid="{00000000-0005-0000-0000-000061440000}"/>
    <cellStyle name="20% - Accent6 2 3 9 2 3" xfId="22791" xr:uid="{00000000-0005-0000-0000-000062440000}"/>
    <cellStyle name="20% - Accent6 2 3 9 2 4" xfId="32516" xr:uid="{00000000-0005-0000-0000-000063440000}"/>
    <cellStyle name="20% - Accent6 2 3 9 2 5" xfId="42241" xr:uid="{00000000-0005-0000-0000-000064440000}"/>
    <cellStyle name="20% - Accent6 2 3 9 2 6" xfId="13066" xr:uid="{00000000-0005-0000-0000-000065440000}"/>
    <cellStyle name="20% - Accent6 2 3 9 3" xfId="4960" xr:uid="{00000000-0005-0000-0000-000066440000}"/>
    <cellStyle name="20% - Accent6 2 3 9 3 2" xfId="9822" xr:uid="{00000000-0005-0000-0000-000067440000}"/>
    <cellStyle name="20% - Accent6 2 3 9 3 2 2" xfId="29273" xr:uid="{00000000-0005-0000-0000-000068440000}"/>
    <cellStyle name="20% - Accent6 2 3 9 3 2 3" xfId="38998" xr:uid="{00000000-0005-0000-0000-000069440000}"/>
    <cellStyle name="20% - Accent6 2 3 9 3 2 4" xfId="48723" xr:uid="{00000000-0005-0000-0000-00006A440000}"/>
    <cellStyle name="20% - Accent6 2 3 9 3 2 5" xfId="19548" xr:uid="{00000000-0005-0000-0000-00006B440000}"/>
    <cellStyle name="20% - Accent6 2 3 9 3 3" xfId="24411" xr:uid="{00000000-0005-0000-0000-00006C440000}"/>
    <cellStyle name="20% - Accent6 2 3 9 3 4" xfId="34136" xr:uid="{00000000-0005-0000-0000-00006D440000}"/>
    <cellStyle name="20% - Accent6 2 3 9 3 5" xfId="43861" xr:uid="{00000000-0005-0000-0000-00006E440000}"/>
    <cellStyle name="20% - Accent6 2 3 9 3 6" xfId="14686" xr:uid="{00000000-0005-0000-0000-00006F440000}"/>
    <cellStyle name="20% - Accent6 2 3 9 4" xfId="6582" xr:uid="{00000000-0005-0000-0000-000070440000}"/>
    <cellStyle name="20% - Accent6 2 3 9 4 2" xfId="26033" xr:uid="{00000000-0005-0000-0000-000071440000}"/>
    <cellStyle name="20% - Accent6 2 3 9 4 3" xfId="35758" xr:uid="{00000000-0005-0000-0000-000072440000}"/>
    <cellStyle name="20% - Accent6 2 3 9 4 4" xfId="45483" xr:uid="{00000000-0005-0000-0000-000073440000}"/>
    <cellStyle name="20% - Accent6 2 3 9 4 5" xfId="16308" xr:uid="{00000000-0005-0000-0000-000074440000}"/>
    <cellStyle name="20% - Accent6 2 3 9 5" xfId="21171" xr:uid="{00000000-0005-0000-0000-000075440000}"/>
    <cellStyle name="20% - Accent6 2 3 9 6" xfId="30896" xr:uid="{00000000-0005-0000-0000-000076440000}"/>
    <cellStyle name="20% - Accent6 2 3 9 7" xfId="40621" xr:uid="{00000000-0005-0000-0000-000077440000}"/>
    <cellStyle name="20% - Accent6 2 3 9 8" xfId="11446" xr:uid="{00000000-0005-0000-0000-000078440000}"/>
    <cellStyle name="20% - Accent6 2 4" xfId="248" xr:uid="{00000000-0005-0000-0000-000079440000}"/>
    <cellStyle name="20% - Accent6 2 4 10" xfId="39211" xr:uid="{00000000-0005-0000-0000-00007A440000}"/>
    <cellStyle name="20% - Accent6 2 4 11" xfId="10036" xr:uid="{00000000-0005-0000-0000-00007B440000}"/>
    <cellStyle name="20% - Accent6 2 4 2" xfId="1012" xr:uid="{00000000-0005-0000-0000-00007C440000}"/>
    <cellStyle name="20% - Accent6 2 4 2 2" xfId="2650" xr:uid="{00000000-0005-0000-0000-00007D440000}"/>
    <cellStyle name="20% - Accent6 2 4 2 2 2" xfId="7512" xr:uid="{00000000-0005-0000-0000-00007E440000}"/>
    <cellStyle name="20% - Accent6 2 4 2 2 2 2" xfId="26963" xr:uid="{00000000-0005-0000-0000-00007F440000}"/>
    <cellStyle name="20% - Accent6 2 4 2 2 2 3" xfId="36688" xr:uid="{00000000-0005-0000-0000-000080440000}"/>
    <cellStyle name="20% - Accent6 2 4 2 2 2 4" xfId="46413" xr:uid="{00000000-0005-0000-0000-000081440000}"/>
    <cellStyle name="20% - Accent6 2 4 2 2 2 5" xfId="17238" xr:uid="{00000000-0005-0000-0000-000082440000}"/>
    <cellStyle name="20% - Accent6 2 4 2 2 3" xfId="22101" xr:uid="{00000000-0005-0000-0000-000083440000}"/>
    <cellStyle name="20% - Accent6 2 4 2 2 4" xfId="31826" xr:uid="{00000000-0005-0000-0000-000084440000}"/>
    <cellStyle name="20% - Accent6 2 4 2 2 5" xfId="41551" xr:uid="{00000000-0005-0000-0000-000085440000}"/>
    <cellStyle name="20% - Accent6 2 4 2 2 6" xfId="12376" xr:uid="{00000000-0005-0000-0000-000086440000}"/>
    <cellStyle name="20% - Accent6 2 4 2 3" xfId="4270" xr:uid="{00000000-0005-0000-0000-000087440000}"/>
    <cellStyle name="20% - Accent6 2 4 2 3 2" xfId="9132" xr:uid="{00000000-0005-0000-0000-000088440000}"/>
    <cellStyle name="20% - Accent6 2 4 2 3 2 2" xfId="28583" xr:uid="{00000000-0005-0000-0000-000089440000}"/>
    <cellStyle name="20% - Accent6 2 4 2 3 2 3" xfId="38308" xr:uid="{00000000-0005-0000-0000-00008A440000}"/>
    <cellStyle name="20% - Accent6 2 4 2 3 2 4" xfId="48033" xr:uid="{00000000-0005-0000-0000-00008B440000}"/>
    <cellStyle name="20% - Accent6 2 4 2 3 2 5" xfId="18858" xr:uid="{00000000-0005-0000-0000-00008C440000}"/>
    <cellStyle name="20% - Accent6 2 4 2 3 3" xfId="23721" xr:uid="{00000000-0005-0000-0000-00008D440000}"/>
    <cellStyle name="20% - Accent6 2 4 2 3 4" xfId="33446" xr:uid="{00000000-0005-0000-0000-00008E440000}"/>
    <cellStyle name="20% - Accent6 2 4 2 3 5" xfId="43171" xr:uid="{00000000-0005-0000-0000-00008F440000}"/>
    <cellStyle name="20% - Accent6 2 4 2 3 6" xfId="13996" xr:uid="{00000000-0005-0000-0000-000090440000}"/>
    <cellStyle name="20% - Accent6 2 4 2 4" xfId="5892" xr:uid="{00000000-0005-0000-0000-000091440000}"/>
    <cellStyle name="20% - Accent6 2 4 2 4 2" xfId="25343" xr:uid="{00000000-0005-0000-0000-000092440000}"/>
    <cellStyle name="20% - Accent6 2 4 2 4 3" xfId="35068" xr:uid="{00000000-0005-0000-0000-000093440000}"/>
    <cellStyle name="20% - Accent6 2 4 2 4 4" xfId="44793" xr:uid="{00000000-0005-0000-0000-000094440000}"/>
    <cellStyle name="20% - Accent6 2 4 2 4 5" xfId="15618" xr:uid="{00000000-0005-0000-0000-000095440000}"/>
    <cellStyle name="20% - Accent6 2 4 2 5" xfId="20481" xr:uid="{00000000-0005-0000-0000-000096440000}"/>
    <cellStyle name="20% - Accent6 2 4 2 6" xfId="30206" xr:uid="{00000000-0005-0000-0000-000097440000}"/>
    <cellStyle name="20% - Accent6 2 4 2 7" xfId="39931" xr:uid="{00000000-0005-0000-0000-000098440000}"/>
    <cellStyle name="20% - Accent6 2 4 2 8" xfId="10756" xr:uid="{00000000-0005-0000-0000-000099440000}"/>
    <cellStyle name="20% - Accent6 2 4 3" xfId="1479" xr:uid="{00000000-0005-0000-0000-00009A440000}"/>
    <cellStyle name="20% - Accent6 2 4 3 2" xfId="3100" xr:uid="{00000000-0005-0000-0000-00009B440000}"/>
    <cellStyle name="20% - Accent6 2 4 3 2 2" xfId="7962" xr:uid="{00000000-0005-0000-0000-00009C440000}"/>
    <cellStyle name="20% - Accent6 2 4 3 2 2 2" xfId="27413" xr:uid="{00000000-0005-0000-0000-00009D440000}"/>
    <cellStyle name="20% - Accent6 2 4 3 2 2 3" xfId="37138" xr:uid="{00000000-0005-0000-0000-00009E440000}"/>
    <cellStyle name="20% - Accent6 2 4 3 2 2 4" xfId="46863" xr:uid="{00000000-0005-0000-0000-00009F440000}"/>
    <cellStyle name="20% - Accent6 2 4 3 2 2 5" xfId="17688" xr:uid="{00000000-0005-0000-0000-0000A0440000}"/>
    <cellStyle name="20% - Accent6 2 4 3 2 3" xfId="22551" xr:uid="{00000000-0005-0000-0000-0000A1440000}"/>
    <cellStyle name="20% - Accent6 2 4 3 2 4" xfId="32276" xr:uid="{00000000-0005-0000-0000-0000A2440000}"/>
    <cellStyle name="20% - Accent6 2 4 3 2 5" xfId="42001" xr:uid="{00000000-0005-0000-0000-0000A3440000}"/>
    <cellStyle name="20% - Accent6 2 4 3 2 6" xfId="12826" xr:uid="{00000000-0005-0000-0000-0000A4440000}"/>
    <cellStyle name="20% - Accent6 2 4 3 3" xfId="4720" xr:uid="{00000000-0005-0000-0000-0000A5440000}"/>
    <cellStyle name="20% - Accent6 2 4 3 3 2" xfId="9582" xr:uid="{00000000-0005-0000-0000-0000A6440000}"/>
    <cellStyle name="20% - Accent6 2 4 3 3 2 2" xfId="29033" xr:uid="{00000000-0005-0000-0000-0000A7440000}"/>
    <cellStyle name="20% - Accent6 2 4 3 3 2 3" xfId="38758" xr:uid="{00000000-0005-0000-0000-0000A8440000}"/>
    <cellStyle name="20% - Accent6 2 4 3 3 2 4" xfId="48483" xr:uid="{00000000-0005-0000-0000-0000A9440000}"/>
    <cellStyle name="20% - Accent6 2 4 3 3 2 5" xfId="19308" xr:uid="{00000000-0005-0000-0000-0000AA440000}"/>
    <cellStyle name="20% - Accent6 2 4 3 3 3" xfId="24171" xr:uid="{00000000-0005-0000-0000-0000AB440000}"/>
    <cellStyle name="20% - Accent6 2 4 3 3 4" xfId="33896" xr:uid="{00000000-0005-0000-0000-0000AC440000}"/>
    <cellStyle name="20% - Accent6 2 4 3 3 5" xfId="43621" xr:uid="{00000000-0005-0000-0000-0000AD440000}"/>
    <cellStyle name="20% - Accent6 2 4 3 3 6" xfId="14446" xr:uid="{00000000-0005-0000-0000-0000AE440000}"/>
    <cellStyle name="20% - Accent6 2 4 3 4" xfId="6342" xr:uid="{00000000-0005-0000-0000-0000AF440000}"/>
    <cellStyle name="20% - Accent6 2 4 3 4 2" xfId="25793" xr:uid="{00000000-0005-0000-0000-0000B0440000}"/>
    <cellStyle name="20% - Accent6 2 4 3 4 3" xfId="35518" xr:uid="{00000000-0005-0000-0000-0000B1440000}"/>
    <cellStyle name="20% - Accent6 2 4 3 4 4" xfId="45243" xr:uid="{00000000-0005-0000-0000-0000B2440000}"/>
    <cellStyle name="20% - Accent6 2 4 3 4 5" xfId="16068" xr:uid="{00000000-0005-0000-0000-0000B3440000}"/>
    <cellStyle name="20% - Accent6 2 4 3 5" xfId="20931" xr:uid="{00000000-0005-0000-0000-0000B4440000}"/>
    <cellStyle name="20% - Accent6 2 4 3 6" xfId="30656" xr:uid="{00000000-0005-0000-0000-0000B5440000}"/>
    <cellStyle name="20% - Accent6 2 4 3 7" xfId="40381" xr:uid="{00000000-0005-0000-0000-0000B6440000}"/>
    <cellStyle name="20% - Accent6 2 4 3 8" xfId="11206" xr:uid="{00000000-0005-0000-0000-0000B7440000}"/>
    <cellStyle name="20% - Accent6 2 4 4" xfId="650" xr:uid="{00000000-0005-0000-0000-0000B8440000}"/>
    <cellStyle name="20% - Accent6 2 4 4 2" xfId="2290" xr:uid="{00000000-0005-0000-0000-0000B9440000}"/>
    <cellStyle name="20% - Accent6 2 4 4 2 2" xfId="7152" xr:uid="{00000000-0005-0000-0000-0000BA440000}"/>
    <cellStyle name="20% - Accent6 2 4 4 2 2 2" xfId="26603" xr:uid="{00000000-0005-0000-0000-0000BB440000}"/>
    <cellStyle name="20% - Accent6 2 4 4 2 2 3" xfId="36328" xr:uid="{00000000-0005-0000-0000-0000BC440000}"/>
    <cellStyle name="20% - Accent6 2 4 4 2 2 4" xfId="46053" xr:uid="{00000000-0005-0000-0000-0000BD440000}"/>
    <cellStyle name="20% - Accent6 2 4 4 2 2 5" xfId="16878" xr:uid="{00000000-0005-0000-0000-0000BE440000}"/>
    <cellStyle name="20% - Accent6 2 4 4 2 3" xfId="21741" xr:uid="{00000000-0005-0000-0000-0000BF440000}"/>
    <cellStyle name="20% - Accent6 2 4 4 2 4" xfId="31466" xr:uid="{00000000-0005-0000-0000-0000C0440000}"/>
    <cellStyle name="20% - Accent6 2 4 4 2 5" xfId="41191" xr:uid="{00000000-0005-0000-0000-0000C1440000}"/>
    <cellStyle name="20% - Accent6 2 4 4 2 6" xfId="12016" xr:uid="{00000000-0005-0000-0000-0000C2440000}"/>
    <cellStyle name="20% - Accent6 2 4 4 3" xfId="3910" xr:uid="{00000000-0005-0000-0000-0000C3440000}"/>
    <cellStyle name="20% - Accent6 2 4 4 3 2" xfId="8772" xr:uid="{00000000-0005-0000-0000-0000C4440000}"/>
    <cellStyle name="20% - Accent6 2 4 4 3 2 2" xfId="28223" xr:uid="{00000000-0005-0000-0000-0000C5440000}"/>
    <cellStyle name="20% - Accent6 2 4 4 3 2 3" xfId="37948" xr:uid="{00000000-0005-0000-0000-0000C6440000}"/>
    <cellStyle name="20% - Accent6 2 4 4 3 2 4" xfId="47673" xr:uid="{00000000-0005-0000-0000-0000C7440000}"/>
    <cellStyle name="20% - Accent6 2 4 4 3 2 5" xfId="18498" xr:uid="{00000000-0005-0000-0000-0000C8440000}"/>
    <cellStyle name="20% - Accent6 2 4 4 3 3" xfId="23361" xr:uid="{00000000-0005-0000-0000-0000C9440000}"/>
    <cellStyle name="20% - Accent6 2 4 4 3 4" xfId="33086" xr:uid="{00000000-0005-0000-0000-0000CA440000}"/>
    <cellStyle name="20% - Accent6 2 4 4 3 5" xfId="42811" xr:uid="{00000000-0005-0000-0000-0000CB440000}"/>
    <cellStyle name="20% - Accent6 2 4 4 3 6" xfId="13636" xr:uid="{00000000-0005-0000-0000-0000CC440000}"/>
    <cellStyle name="20% - Accent6 2 4 4 4" xfId="5532" xr:uid="{00000000-0005-0000-0000-0000CD440000}"/>
    <cellStyle name="20% - Accent6 2 4 4 4 2" xfId="24983" xr:uid="{00000000-0005-0000-0000-0000CE440000}"/>
    <cellStyle name="20% - Accent6 2 4 4 4 3" xfId="34708" xr:uid="{00000000-0005-0000-0000-0000CF440000}"/>
    <cellStyle name="20% - Accent6 2 4 4 4 4" xfId="44433" xr:uid="{00000000-0005-0000-0000-0000D0440000}"/>
    <cellStyle name="20% - Accent6 2 4 4 4 5" xfId="15258" xr:uid="{00000000-0005-0000-0000-0000D1440000}"/>
    <cellStyle name="20% - Accent6 2 4 4 5" xfId="20121" xr:uid="{00000000-0005-0000-0000-0000D2440000}"/>
    <cellStyle name="20% - Accent6 2 4 4 6" xfId="29846" xr:uid="{00000000-0005-0000-0000-0000D3440000}"/>
    <cellStyle name="20% - Accent6 2 4 4 7" xfId="39571" xr:uid="{00000000-0005-0000-0000-0000D4440000}"/>
    <cellStyle name="20% - Accent6 2 4 4 8" xfId="10396" xr:uid="{00000000-0005-0000-0000-0000D5440000}"/>
    <cellStyle name="20% - Accent6 2 4 5" xfId="1930" xr:uid="{00000000-0005-0000-0000-0000D6440000}"/>
    <cellStyle name="20% - Accent6 2 4 5 2" xfId="6792" xr:uid="{00000000-0005-0000-0000-0000D7440000}"/>
    <cellStyle name="20% - Accent6 2 4 5 2 2" xfId="26243" xr:uid="{00000000-0005-0000-0000-0000D8440000}"/>
    <cellStyle name="20% - Accent6 2 4 5 2 3" xfId="35968" xr:uid="{00000000-0005-0000-0000-0000D9440000}"/>
    <cellStyle name="20% - Accent6 2 4 5 2 4" xfId="45693" xr:uid="{00000000-0005-0000-0000-0000DA440000}"/>
    <cellStyle name="20% - Accent6 2 4 5 2 5" xfId="16518" xr:uid="{00000000-0005-0000-0000-0000DB440000}"/>
    <cellStyle name="20% - Accent6 2 4 5 3" xfId="21381" xr:uid="{00000000-0005-0000-0000-0000DC440000}"/>
    <cellStyle name="20% - Accent6 2 4 5 4" xfId="31106" xr:uid="{00000000-0005-0000-0000-0000DD440000}"/>
    <cellStyle name="20% - Accent6 2 4 5 5" xfId="40831" xr:uid="{00000000-0005-0000-0000-0000DE440000}"/>
    <cellStyle name="20% - Accent6 2 4 5 6" xfId="11656" xr:uid="{00000000-0005-0000-0000-0000DF440000}"/>
    <cellStyle name="20% - Accent6 2 4 6" xfId="3550" xr:uid="{00000000-0005-0000-0000-0000E0440000}"/>
    <cellStyle name="20% - Accent6 2 4 6 2" xfId="8412" xr:uid="{00000000-0005-0000-0000-0000E1440000}"/>
    <cellStyle name="20% - Accent6 2 4 6 2 2" xfId="27863" xr:uid="{00000000-0005-0000-0000-0000E2440000}"/>
    <cellStyle name="20% - Accent6 2 4 6 2 3" xfId="37588" xr:uid="{00000000-0005-0000-0000-0000E3440000}"/>
    <cellStyle name="20% - Accent6 2 4 6 2 4" xfId="47313" xr:uid="{00000000-0005-0000-0000-0000E4440000}"/>
    <cellStyle name="20% - Accent6 2 4 6 2 5" xfId="18138" xr:uid="{00000000-0005-0000-0000-0000E5440000}"/>
    <cellStyle name="20% - Accent6 2 4 6 3" xfId="23001" xr:uid="{00000000-0005-0000-0000-0000E6440000}"/>
    <cellStyle name="20% - Accent6 2 4 6 4" xfId="32726" xr:uid="{00000000-0005-0000-0000-0000E7440000}"/>
    <cellStyle name="20% - Accent6 2 4 6 5" xfId="42451" xr:uid="{00000000-0005-0000-0000-0000E8440000}"/>
    <cellStyle name="20% - Accent6 2 4 6 6" xfId="13276" xr:uid="{00000000-0005-0000-0000-0000E9440000}"/>
    <cellStyle name="20% - Accent6 2 4 7" xfId="5172" xr:uid="{00000000-0005-0000-0000-0000EA440000}"/>
    <cellStyle name="20% - Accent6 2 4 7 2" xfId="24623" xr:uid="{00000000-0005-0000-0000-0000EB440000}"/>
    <cellStyle name="20% - Accent6 2 4 7 3" xfId="34348" xr:uid="{00000000-0005-0000-0000-0000EC440000}"/>
    <cellStyle name="20% - Accent6 2 4 7 4" xfId="44073" xr:uid="{00000000-0005-0000-0000-0000ED440000}"/>
    <cellStyle name="20% - Accent6 2 4 7 5" xfId="14898" xr:uid="{00000000-0005-0000-0000-0000EE440000}"/>
    <cellStyle name="20% - Accent6 2 4 8" xfId="19761" xr:uid="{00000000-0005-0000-0000-0000EF440000}"/>
    <cellStyle name="20% - Accent6 2 4 9" xfId="29486" xr:uid="{00000000-0005-0000-0000-0000F0440000}"/>
    <cellStyle name="20% - Accent6 2 5" xfId="339" xr:uid="{00000000-0005-0000-0000-0000F1440000}"/>
    <cellStyle name="20% - Accent6 2 5 10" xfId="39301" xr:uid="{00000000-0005-0000-0000-0000F2440000}"/>
    <cellStyle name="20% - Accent6 2 5 11" xfId="10126" xr:uid="{00000000-0005-0000-0000-0000F3440000}"/>
    <cellStyle name="20% - Accent6 2 5 2" xfId="1102" xr:uid="{00000000-0005-0000-0000-0000F4440000}"/>
    <cellStyle name="20% - Accent6 2 5 2 2" xfId="2740" xr:uid="{00000000-0005-0000-0000-0000F5440000}"/>
    <cellStyle name="20% - Accent6 2 5 2 2 2" xfId="7602" xr:uid="{00000000-0005-0000-0000-0000F6440000}"/>
    <cellStyle name="20% - Accent6 2 5 2 2 2 2" xfId="27053" xr:uid="{00000000-0005-0000-0000-0000F7440000}"/>
    <cellStyle name="20% - Accent6 2 5 2 2 2 3" xfId="36778" xr:uid="{00000000-0005-0000-0000-0000F8440000}"/>
    <cellStyle name="20% - Accent6 2 5 2 2 2 4" xfId="46503" xr:uid="{00000000-0005-0000-0000-0000F9440000}"/>
    <cellStyle name="20% - Accent6 2 5 2 2 2 5" xfId="17328" xr:uid="{00000000-0005-0000-0000-0000FA440000}"/>
    <cellStyle name="20% - Accent6 2 5 2 2 3" xfId="22191" xr:uid="{00000000-0005-0000-0000-0000FB440000}"/>
    <cellStyle name="20% - Accent6 2 5 2 2 4" xfId="31916" xr:uid="{00000000-0005-0000-0000-0000FC440000}"/>
    <cellStyle name="20% - Accent6 2 5 2 2 5" xfId="41641" xr:uid="{00000000-0005-0000-0000-0000FD440000}"/>
    <cellStyle name="20% - Accent6 2 5 2 2 6" xfId="12466" xr:uid="{00000000-0005-0000-0000-0000FE440000}"/>
    <cellStyle name="20% - Accent6 2 5 2 3" xfId="4360" xr:uid="{00000000-0005-0000-0000-0000FF440000}"/>
    <cellStyle name="20% - Accent6 2 5 2 3 2" xfId="9222" xr:uid="{00000000-0005-0000-0000-000000450000}"/>
    <cellStyle name="20% - Accent6 2 5 2 3 2 2" xfId="28673" xr:uid="{00000000-0005-0000-0000-000001450000}"/>
    <cellStyle name="20% - Accent6 2 5 2 3 2 3" xfId="38398" xr:uid="{00000000-0005-0000-0000-000002450000}"/>
    <cellStyle name="20% - Accent6 2 5 2 3 2 4" xfId="48123" xr:uid="{00000000-0005-0000-0000-000003450000}"/>
    <cellStyle name="20% - Accent6 2 5 2 3 2 5" xfId="18948" xr:uid="{00000000-0005-0000-0000-000004450000}"/>
    <cellStyle name="20% - Accent6 2 5 2 3 3" xfId="23811" xr:uid="{00000000-0005-0000-0000-000005450000}"/>
    <cellStyle name="20% - Accent6 2 5 2 3 4" xfId="33536" xr:uid="{00000000-0005-0000-0000-000006450000}"/>
    <cellStyle name="20% - Accent6 2 5 2 3 5" xfId="43261" xr:uid="{00000000-0005-0000-0000-000007450000}"/>
    <cellStyle name="20% - Accent6 2 5 2 3 6" xfId="14086" xr:uid="{00000000-0005-0000-0000-000008450000}"/>
    <cellStyle name="20% - Accent6 2 5 2 4" xfId="5982" xr:uid="{00000000-0005-0000-0000-000009450000}"/>
    <cellStyle name="20% - Accent6 2 5 2 4 2" xfId="25433" xr:uid="{00000000-0005-0000-0000-00000A450000}"/>
    <cellStyle name="20% - Accent6 2 5 2 4 3" xfId="35158" xr:uid="{00000000-0005-0000-0000-00000B450000}"/>
    <cellStyle name="20% - Accent6 2 5 2 4 4" xfId="44883" xr:uid="{00000000-0005-0000-0000-00000C450000}"/>
    <cellStyle name="20% - Accent6 2 5 2 4 5" xfId="15708" xr:uid="{00000000-0005-0000-0000-00000D450000}"/>
    <cellStyle name="20% - Accent6 2 5 2 5" xfId="20571" xr:uid="{00000000-0005-0000-0000-00000E450000}"/>
    <cellStyle name="20% - Accent6 2 5 2 6" xfId="30296" xr:uid="{00000000-0005-0000-0000-00000F450000}"/>
    <cellStyle name="20% - Accent6 2 5 2 7" xfId="40021" xr:uid="{00000000-0005-0000-0000-000010450000}"/>
    <cellStyle name="20% - Accent6 2 5 2 8" xfId="10846" xr:uid="{00000000-0005-0000-0000-000011450000}"/>
    <cellStyle name="20% - Accent6 2 5 3" xfId="1569" xr:uid="{00000000-0005-0000-0000-000012450000}"/>
    <cellStyle name="20% - Accent6 2 5 3 2" xfId="3190" xr:uid="{00000000-0005-0000-0000-000013450000}"/>
    <cellStyle name="20% - Accent6 2 5 3 2 2" xfId="8052" xr:uid="{00000000-0005-0000-0000-000014450000}"/>
    <cellStyle name="20% - Accent6 2 5 3 2 2 2" xfId="27503" xr:uid="{00000000-0005-0000-0000-000015450000}"/>
    <cellStyle name="20% - Accent6 2 5 3 2 2 3" xfId="37228" xr:uid="{00000000-0005-0000-0000-000016450000}"/>
    <cellStyle name="20% - Accent6 2 5 3 2 2 4" xfId="46953" xr:uid="{00000000-0005-0000-0000-000017450000}"/>
    <cellStyle name="20% - Accent6 2 5 3 2 2 5" xfId="17778" xr:uid="{00000000-0005-0000-0000-000018450000}"/>
    <cellStyle name="20% - Accent6 2 5 3 2 3" xfId="22641" xr:uid="{00000000-0005-0000-0000-000019450000}"/>
    <cellStyle name="20% - Accent6 2 5 3 2 4" xfId="32366" xr:uid="{00000000-0005-0000-0000-00001A450000}"/>
    <cellStyle name="20% - Accent6 2 5 3 2 5" xfId="42091" xr:uid="{00000000-0005-0000-0000-00001B450000}"/>
    <cellStyle name="20% - Accent6 2 5 3 2 6" xfId="12916" xr:uid="{00000000-0005-0000-0000-00001C450000}"/>
    <cellStyle name="20% - Accent6 2 5 3 3" xfId="4810" xr:uid="{00000000-0005-0000-0000-00001D450000}"/>
    <cellStyle name="20% - Accent6 2 5 3 3 2" xfId="9672" xr:uid="{00000000-0005-0000-0000-00001E450000}"/>
    <cellStyle name="20% - Accent6 2 5 3 3 2 2" xfId="29123" xr:uid="{00000000-0005-0000-0000-00001F450000}"/>
    <cellStyle name="20% - Accent6 2 5 3 3 2 3" xfId="38848" xr:uid="{00000000-0005-0000-0000-000020450000}"/>
    <cellStyle name="20% - Accent6 2 5 3 3 2 4" xfId="48573" xr:uid="{00000000-0005-0000-0000-000021450000}"/>
    <cellStyle name="20% - Accent6 2 5 3 3 2 5" xfId="19398" xr:uid="{00000000-0005-0000-0000-000022450000}"/>
    <cellStyle name="20% - Accent6 2 5 3 3 3" xfId="24261" xr:uid="{00000000-0005-0000-0000-000023450000}"/>
    <cellStyle name="20% - Accent6 2 5 3 3 4" xfId="33986" xr:uid="{00000000-0005-0000-0000-000024450000}"/>
    <cellStyle name="20% - Accent6 2 5 3 3 5" xfId="43711" xr:uid="{00000000-0005-0000-0000-000025450000}"/>
    <cellStyle name="20% - Accent6 2 5 3 3 6" xfId="14536" xr:uid="{00000000-0005-0000-0000-000026450000}"/>
    <cellStyle name="20% - Accent6 2 5 3 4" xfId="6432" xr:uid="{00000000-0005-0000-0000-000027450000}"/>
    <cellStyle name="20% - Accent6 2 5 3 4 2" xfId="25883" xr:uid="{00000000-0005-0000-0000-000028450000}"/>
    <cellStyle name="20% - Accent6 2 5 3 4 3" xfId="35608" xr:uid="{00000000-0005-0000-0000-000029450000}"/>
    <cellStyle name="20% - Accent6 2 5 3 4 4" xfId="45333" xr:uid="{00000000-0005-0000-0000-00002A450000}"/>
    <cellStyle name="20% - Accent6 2 5 3 4 5" xfId="16158" xr:uid="{00000000-0005-0000-0000-00002B450000}"/>
    <cellStyle name="20% - Accent6 2 5 3 5" xfId="21021" xr:uid="{00000000-0005-0000-0000-00002C450000}"/>
    <cellStyle name="20% - Accent6 2 5 3 6" xfId="30746" xr:uid="{00000000-0005-0000-0000-00002D450000}"/>
    <cellStyle name="20% - Accent6 2 5 3 7" xfId="40471" xr:uid="{00000000-0005-0000-0000-00002E450000}"/>
    <cellStyle name="20% - Accent6 2 5 3 8" xfId="11296" xr:uid="{00000000-0005-0000-0000-00002F450000}"/>
    <cellStyle name="20% - Accent6 2 5 4" xfId="740" xr:uid="{00000000-0005-0000-0000-000030450000}"/>
    <cellStyle name="20% - Accent6 2 5 4 2" xfId="2380" xr:uid="{00000000-0005-0000-0000-000031450000}"/>
    <cellStyle name="20% - Accent6 2 5 4 2 2" xfId="7242" xr:uid="{00000000-0005-0000-0000-000032450000}"/>
    <cellStyle name="20% - Accent6 2 5 4 2 2 2" xfId="26693" xr:uid="{00000000-0005-0000-0000-000033450000}"/>
    <cellStyle name="20% - Accent6 2 5 4 2 2 3" xfId="36418" xr:uid="{00000000-0005-0000-0000-000034450000}"/>
    <cellStyle name="20% - Accent6 2 5 4 2 2 4" xfId="46143" xr:uid="{00000000-0005-0000-0000-000035450000}"/>
    <cellStyle name="20% - Accent6 2 5 4 2 2 5" xfId="16968" xr:uid="{00000000-0005-0000-0000-000036450000}"/>
    <cellStyle name="20% - Accent6 2 5 4 2 3" xfId="21831" xr:uid="{00000000-0005-0000-0000-000037450000}"/>
    <cellStyle name="20% - Accent6 2 5 4 2 4" xfId="31556" xr:uid="{00000000-0005-0000-0000-000038450000}"/>
    <cellStyle name="20% - Accent6 2 5 4 2 5" xfId="41281" xr:uid="{00000000-0005-0000-0000-000039450000}"/>
    <cellStyle name="20% - Accent6 2 5 4 2 6" xfId="12106" xr:uid="{00000000-0005-0000-0000-00003A450000}"/>
    <cellStyle name="20% - Accent6 2 5 4 3" xfId="4000" xr:uid="{00000000-0005-0000-0000-00003B450000}"/>
    <cellStyle name="20% - Accent6 2 5 4 3 2" xfId="8862" xr:uid="{00000000-0005-0000-0000-00003C450000}"/>
    <cellStyle name="20% - Accent6 2 5 4 3 2 2" xfId="28313" xr:uid="{00000000-0005-0000-0000-00003D450000}"/>
    <cellStyle name="20% - Accent6 2 5 4 3 2 3" xfId="38038" xr:uid="{00000000-0005-0000-0000-00003E450000}"/>
    <cellStyle name="20% - Accent6 2 5 4 3 2 4" xfId="47763" xr:uid="{00000000-0005-0000-0000-00003F450000}"/>
    <cellStyle name="20% - Accent6 2 5 4 3 2 5" xfId="18588" xr:uid="{00000000-0005-0000-0000-000040450000}"/>
    <cellStyle name="20% - Accent6 2 5 4 3 3" xfId="23451" xr:uid="{00000000-0005-0000-0000-000041450000}"/>
    <cellStyle name="20% - Accent6 2 5 4 3 4" xfId="33176" xr:uid="{00000000-0005-0000-0000-000042450000}"/>
    <cellStyle name="20% - Accent6 2 5 4 3 5" xfId="42901" xr:uid="{00000000-0005-0000-0000-000043450000}"/>
    <cellStyle name="20% - Accent6 2 5 4 3 6" xfId="13726" xr:uid="{00000000-0005-0000-0000-000044450000}"/>
    <cellStyle name="20% - Accent6 2 5 4 4" xfId="5622" xr:uid="{00000000-0005-0000-0000-000045450000}"/>
    <cellStyle name="20% - Accent6 2 5 4 4 2" xfId="25073" xr:uid="{00000000-0005-0000-0000-000046450000}"/>
    <cellStyle name="20% - Accent6 2 5 4 4 3" xfId="34798" xr:uid="{00000000-0005-0000-0000-000047450000}"/>
    <cellStyle name="20% - Accent6 2 5 4 4 4" xfId="44523" xr:uid="{00000000-0005-0000-0000-000048450000}"/>
    <cellStyle name="20% - Accent6 2 5 4 4 5" xfId="15348" xr:uid="{00000000-0005-0000-0000-000049450000}"/>
    <cellStyle name="20% - Accent6 2 5 4 5" xfId="20211" xr:uid="{00000000-0005-0000-0000-00004A450000}"/>
    <cellStyle name="20% - Accent6 2 5 4 6" xfId="29936" xr:uid="{00000000-0005-0000-0000-00004B450000}"/>
    <cellStyle name="20% - Accent6 2 5 4 7" xfId="39661" xr:uid="{00000000-0005-0000-0000-00004C450000}"/>
    <cellStyle name="20% - Accent6 2 5 4 8" xfId="10486" xr:uid="{00000000-0005-0000-0000-00004D450000}"/>
    <cellStyle name="20% - Accent6 2 5 5" xfId="2020" xr:uid="{00000000-0005-0000-0000-00004E450000}"/>
    <cellStyle name="20% - Accent6 2 5 5 2" xfId="6882" xr:uid="{00000000-0005-0000-0000-00004F450000}"/>
    <cellStyle name="20% - Accent6 2 5 5 2 2" xfId="26333" xr:uid="{00000000-0005-0000-0000-000050450000}"/>
    <cellStyle name="20% - Accent6 2 5 5 2 3" xfId="36058" xr:uid="{00000000-0005-0000-0000-000051450000}"/>
    <cellStyle name="20% - Accent6 2 5 5 2 4" xfId="45783" xr:uid="{00000000-0005-0000-0000-000052450000}"/>
    <cellStyle name="20% - Accent6 2 5 5 2 5" xfId="16608" xr:uid="{00000000-0005-0000-0000-000053450000}"/>
    <cellStyle name="20% - Accent6 2 5 5 3" xfId="21471" xr:uid="{00000000-0005-0000-0000-000054450000}"/>
    <cellStyle name="20% - Accent6 2 5 5 4" xfId="31196" xr:uid="{00000000-0005-0000-0000-000055450000}"/>
    <cellStyle name="20% - Accent6 2 5 5 5" xfId="40921" xr:uid="{00000000-0005-0000-0000-000056450000}"/>
    <cellStyle name="20% - Accent6 2 5 5 6" xfId="11746" xr:uid="{00000000-0005-0000-0000-000057450000}"/>
    <cellStyle name="20% - Accent6 2 5 6" xfId="3640" xr:uid="{00000000-0005-0000-0000-000058450000}"/>
    <cellStyle name="20% - Accent6 2 5 6 2" xfId="8502" xr:uid="{00000000-0005-0000-0000-000059450000}"/>
    <cellStyle name="20% - Accent6 2 5 6 2 2" xfId="27953" xr:uid="{00000000-0005-0000-0000-00005A450000}"/>
    <cellStyle name="20% - Accent6 2 5 6 2 3" xfId="37678" xr:uid="{00000000-0005-0000-0000-00005B450000}"/>
    <cellStyle name="20% - Accent6 2 5 6 2 4" xfId="47403" xr:uid="{00000000-0005-0000-0000-00005C450000}"/>
    <cellStyle name="20% - Accent6 2 5 6 2 5" xfId="18228" xr:uid="{00000000-0005-0000-0000-00005D450000}"/>
    <cellStyle name="20% - Accent6 2 5 6 3" xfId="23091" xr:uid="{00000000-0005-0000-0000-00005E450000}"/>
    <cellStyle name="20% - Accent6 2 5 6 4" xfId="32816" xr:uid="{00000000-0005-0000-0000-00005F450000}"/>
    <cellStyle name="20% - Accent6 2 5 6 5" xfId="42541" xr:uid="{00000000-0005-0000-0000-000060450000}"/>
    <cellStyle name="20% - Accent6 2 5 6 6" xfId="13366" xr:uid="{00000000-0005-0000-0000-000061450000}"/>
    <cellStyle name="20% - Accent6 2 5 7" xfId="5262" xr:uid="{00000000-0005-0000-0000-000062450000}"/>
    <cellStyle name="20% - Accent6 2 5 7 2" xfId="24713" xr:uid="{00000000-0005-0000-0000-000063450000}"/>
    <cellStyle name="20% - Accent6 2 5 7 3" xfId="34438" xr:uid="{00000000-0005-0000-0000-000064450000}"/>
    <cellStyle name="20% - Accent6 2 5 7 4" xfId="44163" xr:uid="{00000000-0005-0000-0000-000065450000}"/>
    <cellStyle name="20% - Accent6 2 5 7 5" xfId="14988" xr:uid="{00000000-0005-0000-0000-000066450000}"/>
    <cellStyle name="20% - Accent6 2 5 8" xfId="19851" xr:uid="{00000000-0005-0000-0000-000067450000}"/>
    <cellStyle name="20% - Accent6 2 5 9" xfId="29576" xr:uid="{00000000-0005-0000-0000-000068450000}"/>
    <cellStyle name="20% - Accent6 2 6" xfId="157" xr:uid="{00000000-0005-0000-0000-000069450000}"/>
    <cellStyle name="20% - Accent6 2 6 10" xfId="39121" xr:uid="{00000000-0005-0000-0000-00006A450000}"/>
    <cellStyle name="20% - Accent6 2 6 11" xfId="9946" xr:uid="{00000000-0005-0000-0000-00006B450000}"/>
    <cellStyle name="20% - Accent6 2 6 2" xfId="921" xr:uid="{00000000-0005-0000-0000-00006C450000}"/>
    <cellStyle name="20% - Accent6 2 6 2 2" xfId="2560" xr:uid="{00000000-0005-0000-0000-00006D450000}"/>
    <cellStyle name="20% - Accent6 2 6 2 2 2" xfId="7422" xr:uid="{00000000-0005-0000-0000-00006E450000}"/>
    <cellStyle name="20% - Accent6 2 6 2 2 2 2" xfId="26873" xr:uid="{00000000-0005-0000-0000-00006F450000}"/>
    <cellStyle name="20% - Accent6 2 6 2 2 2 3" xfId="36598" xr:uid="{00000000-0005-0000-0000-000070450000}"/>
    <cellStyle name="20% - Accent6 2 6 2 2 2 4" xfId="46323" xr:uid="{00000000-0005-0000-0000-000071450000}"/>
    <cellStyle name="20% - Accent6 2 6 2 2 2 5" xfId="17148" xr:uid="{00000000-0005-0000-0000-000072450000}"/>
    <cellStyle name="20% - Accent6 2 6 2 2 3" xfId="22011" xr:uid="{00000000-0005-0000-0000-000073450000}"/>
    <cellStyle name="20% - Accent6 2 6 2 2 4" xfId="31736" xr:uid="{00000000-0005-0000-0000-000074450000}"/>
    <cellStyle name="20% - Accent6 2 6 2 2 5" xfId="41461" xr:uid="{00000000-0005-0000-0000-000075450000}"/>
    <cellStyle name="20% - Accent6 2 6 2 2 6" xfId="12286" xr:uid="{00000000-0005-0000-0000-000076450000}"/>
    <cellStyle name="20% - Accent6 2 6 2 3" xfId="4180" xr:uid="{00000000-0005-0000-0000-000077450000}"/>
    <cellStyle name="20% - Accent6 2 6 2 3 2" xfId="9042" xr:uid="{00000000-0005-0000-0000-000078450000}"/>
    <cellStyle name="20% - Accent6 2 6 2 3 2 2" xfId="28493" xr:uid="{00000000-0005-0000-0000-000079450000}"/>
    <cellStyle name="20% - Accent6 2 6 2 3 2 3" xfId="38218" xr:uid="{00000000-0005-0000-0000-00007A450000}"/>
    <cellStyle name="20% - Accent6 2 6 2 3 2 4" xfId="47943" xr:uid="{00000000-0005-0000-0000-00007B450000}"/>
    <cellStyle name="20% - Accent6 2 6 2 3 2 5" xfId="18768" xr:uid="{00000000-0005-0000-0000-00007C450000}"/>
    <cellStyle name="20% - Accent6 2 6 2 3 3" xfId="23631" xr:uid="{00000000-0005-0000-0000-00007D450000}"/>
    <cellStyle name="20% - Accent6 2 6 2 3 4" xfId="33356" xr:uid="{00000000-0005-0000-0000-00007E450000}"/>
    <cellStyle name="20% - Accent6 2 6 2 3 5" xfId="43081" xr:uid="{00000000-0005-0000-0000-00007F450000}"/>
    <cellStyle name="20% - Accent6 2 6 2 3 6" xfId="13906" xr:uid="{00000000-0005-0000-0000-000080450000}"/>
    <cellStyle name="20% - Accent6 2 6 2 4" xfId="5802" xr:uid="{00000000-0005-0000-0000-000081450000}"/>
    <cellStyle name="20% - Accent6 2 6 2 4 2" xfId="25253" xr:uid="{00000000-0005-0000-0000-000082450000}"/>
    <cellStyle name="20% - Accent6 2 6 2 4 3" xfId="34978" xr:uid="{00000000-0005-0000-0000-000083450000}"/>
    <cellStyle name="20% - Accent6 2 6 2 4 4" xfId="44703" xr:uid="{00000000-0005-0000-0000-000084450000}"/>
    <cellStyle name="20% - Accent6 2 6 2 4 5" xfId="15528" xr:uid="{00000000-0005-0000-0000-000085450000}"/>
    <cellStyle name="20% - Accent6 2 6 2 5" xfId="20391" xr:uid="{00000000-0005-0000-0000-000086450000}"/>
    <cellStyle name="20% - Accent6 2 6 2 6" xfId="30116" xr:uid="{00000000-0005-0000-0000-000087450000}"/>
    <cellStyle name="20% - Accent6 2 6 2 7" xfId="39841" xr:uid="{00000000-0005-0000-0000-000088450000}"/>
    <cellStyle name="20% - Accent6 2 6 2 8" xfId="10666" xr:uid="{00000000-0005-0000-0000-000089450000}"/>
    <cellStyle name="20% - Accent6 2 6 3" xfId="1389" xr:uid="{00000000-0005-0000-0000-00008A450000}"/>
    <cellStyle name="20% - Accent6 2 6 3 2" xfId="3010" xr:uid="{00000000-0005-0000-0000-00008B450000}"/>
    <cellStyle name="20% - Accent6 2 6 3 2 2" xfId="7872" xr:uid="{00000000-0005-0000-0000-00008C450000}"/>
    <cellStyle name="20% - Accent6 2 6 3 2 2 2" xfId="27323" xr:uid="{00000000-0005-0000-0000-00008D450000}"/>
    <cellStyle name="20% - Accent6 2 6 3 2 2 3" xfId="37048" xr:uid="{00000000-0005-0000-0000-00008E450000}"/>
    <cellStyle name="20% - Accent6 2 6 3 2 2 4" xfId="46773" xr:uid="{00000000-0005-0000-0000-00008F450000}"/>
    <cellStyle name="20% - Accent6 2 6 3 2 2 5" xfId="17598" xr:uid="{00000000-0005-0000-0000-000090450000}"/>
    <cellStyle name="20% - Accent6 2 6 3 2 3" xfId="22461" xr:uid="{00000000-0005-0000-0000-000091450000}"/>
    <cellStyle name="20% - Accent6 2 6 3 2 4" xfId="32186" xr:uid="{00000000-0005-0000-0000-000092450000}"/>
    <cellStyle name="20% - Accent6 2 6 3 2 5" xfId="41911" xr:uid="{00000000-0005-0000-0000-000093450000}"/>
    <cellStyle name="20% - Accent6 2 6 3 2 6" xfId="12736" xr:uid="{00000000-0005-0000-0000-000094450000}"/>
    <cellStyle name="20% - Accent6 2 6 3 3" xfId="4630" xr:uid="{00000000-0005-0000-0000-000095450000}"/>
    <cellStyle name="20% - Accent6 2 6 3 3 2" xfId="9492" xr:uid="{00000000-0005-0000-0000-000096450000}"/>
    <cellStyle name="20% - Accent6 2 6 3 3 2 2" xfId="28943" xr:uid="{00000000-0005-0000-0000-000097450000}"/>
    <cellStyle name="20% - Accent6 2 6 3 3 2 3" xfId="38668" xr:uid="{00000000-0005-0000-0000-000098450000}"/>
    <cellStyle name="20% - Accent6 2 6 3 3 2 4" xfId="48393" xr:uid="{00000000-0005-0000-0000-000099450000}"/>
    <cellStyle name="20% - Accent6 2 6 3 3 2 5" xfId="19218" xr:uid="{00000000-0005-0000-0000-00009A450000}"/>
    <cellStyle name="20% - Accent6 2 6 3 3 3" xfId="24081" xr:uid="{00000000-0005-0000-0000-00009B450000}"/>
    <cellStyle name="20% - Accent6 2 6 3 3 4" xfId="33806" xr:uid="{00000000-0005-0000-0000-00009C450000}"/>
    <cellStyle name="20% - Accent6 2 6 3 3 5" xfId="43531" xr:uid="{00000000-0005-0000-0000-00009D450000}"/>
    <cellStyle name="20% - Accent6 2 6 3 3 6" xfId="14356" xr:uid="{00000000-0005-0000-0000-00009E450000}"/>
    <cellStyle name="20% - Accent6 2 6 3 4" xfId="6252" xr:uid="{00000000-0005-0000-0000-00009F450000}"/>
    <cellStyle name="20% - Accent6 2 6 3 4 2" xfId="25703" xr:uid="{00000000-0005-0000-0000-0000A0450000}"/>
    <cellStyle name="20% - Accent6 2 6 3 4 3" xfId="35428" xr:uid="{00000000-0005-0000-0000-0000A1450000}"/>
    <cellStyle name="20% - Accent6 2 6 3 4 4" xfId="45153" xr:uid="{00000000-0005-0000-0000-0000A2450000}"/>
    <cellStyle name="20% - Accent6 2 6 3 4 5" xfId="15978" xr:uid="{00000000-0005-0000-0000-0000A3450000}"/>
    <cellStyle name="20% - Accent6 2 6 3 5" xfId="20841" xr:uid="{00000000-0005-0000-0000-0000A4450000}"/>
    <cellStyle name="20% - Accent6 2 6 3 6" xfId="30566" xr:uid="{00000000-0005-0000-0000-0000A5450000}"/>
    <cellStyle name="20% - Accent6 2 6 3 7" xfId="40291" xr:uid="{00000000-0005-0000-0000-0000A6450000}"/>
    <cellStyle name="20% - Accent6 2 6 3 8" xfId="11116" xr:uid="{00000000-0005-0000-0000-0000A7450000}"/>
    <cellStyle name="20% - Accent6 2 6 4" xfId="560" xr:uid="{00000000-0005-0000-0000-0000A8450000}"/>
    <cellStyle name="20% - Accent6 2 6 4 2" xfId="2200" xr:uid="{00000000-0005-0000-0000-0000A9450000}"/>
    <cellStyle name="20% - Accent6 2 6 4 2 2" xfId="7062" xr:uid="{00000000-0005-0000-0000-0000AA450000}"/>
    <cellStyle name="20% - Accent6 2 6 4 2 2 2" xfId="26513" xr:uid="{00000000-0005-0000-0000-0000AB450000}"/>
    <cellStyle name="20% - Accent6 2 6 4 2 2 3" xfId="36238" xr:uid="{00000000-0005-0000-0000-0000AC450000}"/>
    <cellStyle name="20% - Accent6 2 6 4 2 2 4" xfId="45963" xr:uid="{00000000-0005-0000-0000-0000AD450000}"/>
    <cellStyle name="20% - Accent6 2 6 4 2 2 5" xfId="16788" xr:uid="{00000000-0005-0000-0000-0000AE450000}"/>
    <cellStyle name="20% - Accent6 2 6 4 2 3" xfId="21651" xr:uid="{00000000-0005-0000-0000-0000AF450000}"/>
    <cellStyle name="20% - Accent6 2 6 4 2 4" xfId="31376" xr:uid="{00000000-0005-0000-0000-0000B0450000}"/>
    <cellStyle name="20% - Accent6 2 6 4 2 5" xfId="41101" xr:uid="{00000000-0005-0000-0000-0000B1450000}"/>
    <cellStyle name="20% - Accent6 2 6 4 2 6" xfId="11926" xr:uid="{00000000-0005-0000-0000-0000B2450000}"/>
    <cellStyle name="20% - Accent6 2 6 4 3" xfId="3820" xr:uid="{00000000-0005-0000-0000-0000B3450000}"/>
    <cellStyle name="20% - Accent6 2 6 4 3 2" xfId="8682" xr:uid="{00000000-0005-0000-0000-0000B4450000}"/>
    <cellStyle name="20% - Accent6 2 6 4 3 2 2" xfId="28133" xr:uid="{00000000-0005-0000-0000-0000B5450000}"/>
    <cellStyle name="20% - Accent6 2 6 4 3 2 3" xfId="37858" xr:uid="{00000000-0005-0000-0000-0000B6450000}"/>
    <cellStyle name="20% - Accent6 2 6 4 3 2 4" xfId="47583" xr:uid="{00000000-0005-0000-0000-0000B7450000}"/>
    <cellStyle name="20% - Accent6 2 6 4 3 2 5" xfId="18408" xr:uid="{00000000-0005-0000-0000-0000B8450000}"/>
    <cellStyle name="20% - Accent6 2 6 4 3 3" xfId="23271" xr:uid="{00000000-0005-0000-0000-0000B9450000}"/>
    <cellStyle name="20% - Accent6 2 6 4 3 4" xfId="32996" xr:uid="{00000000-0005-0000-0000-0000BA450000}"/>
    <cellStyle name="20% - Accent6 2 6 4 3 5" xfId="42721" xr:uid="{00000000-0005-0000-0000-0000BB450000}"/>
    <cellStyle name="20% - Accent6 2 6 4 3 6" xfId="13546" xr:uid="{00000000-0005-0000-0000-0000BC450000}"/>
    <cellStyle name="20% - Accent6 2 6 4 4" xfId="5442" xr:uid="{00000000-0005-0000-0000-0000BD450000}"/>
    <cellStyle name="20% - Accent6 2 6 4 4 2" xfId="24893" xr:uid="{00000000-0005-0000-0000-0000BE450000}"/>
    <cellStyle name="20% - Accent6 2 6 4 4 3" xfId="34618" xr:uid="{00000000-0005-0000-0000-0000BF450000}"/>
    <cellStyle name="20% - Accent6 2 6 4 4 4" xfId="44343" xr:uid="{00000000-0005-0000-0000-0000C0450000}"/>
    <cellStyle name="20% - Accent6 2 6 4 4 5" xfId="15168" xr:uid="{00000000-0005-0000-0000-0000C1450000}"/>
    <cellStyle name="20% - Accent6 2 6 4 5" xfId="20031" xr:uid="{00000000-0005-0000-0000-0000C2450000}"/>
    <cellStyle name="20% - Accent6 2 6 4 6" xfId="29756" xr:uid="{00000000-0005-0000-0000-0000C3450000}"/>
    <cellStyle name="20% - Accent6 2 6 4 7" xfId="39481" xr:uid="{00000000-0005-0000-0000-0000C4450000}"/>
    <cellStyle name="20% - Accent6 2 6 4 8" xfId="10306" xr:uid="{00000000-0005-0000-0000-0000C5450000}"/>
    <cellStyle name="20% - Accent6 2 6 5" xfId="1840" xr:uid="{00000000-0005-0000-0000-0000C6450000}"/>
    <cellStyle name="20% - Accent6 2 6 5 2" xfId="6702" xr:uid="{00000000-0005-0000-0000-0000C7450000}"/>
    <cellStyle name="20% - Accent6 2 6 5 2 2" xfId="26153" xr:uid="{00000000-0005-0000-0000-0000C8450000}"/>
    <cellStyle name="20% - Accent6 2 6 5 2 3" xfId="35878" xr:uid="{00000000-0005-0000-0000-0000C9450000}"/>
    <cellStyle name="20% - Accent6 2 6 5 2 4" xfId="45603" xr:uid="{00000000-0005-0000-0000-0000CA450000}"/>
    <cellStyle name="20% - Accent6 2 6 5 2 5" xfId="16428" xr:uid="{00000000-0005-0000-0000-0000CB450000}"/>
    <cellStyle name="20% - Accent6 2 6 5 3" xfId="21291" xr:uid="{00000000-0005-0000-0000-0000CC450000}"/>
    <cellStyle name="20% - Accent6 2 6 5 4" xfId="31016" xr:uid="{00000000-0005-0000-0000-0000CD450000}"/>
    <cellStyle name="20% - Accent6 2 6 5 5" xfId="40741" xr:uid="{00000000-0005-0000-0000-0000CE450000}"/>
    <cellStyle name="20% - Accent6 2 6 5 6" xfId="11566" xr:uid="{00000000-0005-0000-0000-0000CF450000}"/>
    <cellStyle name="20% - Accent6 2 6 6" xfId="3460" xr:uid="{00000000-0005-0000-0000-0000D0450000}"/>
    <cellStyle name="20% - Accent6 2 6 6 2" xfId="8322" xr:uid="{00000000-0005-0000-0000-0000D1450000}"/>
    <cellStyle name="20% - Accent6 2 6 6 2 2" xfId="27773" xr:uid="{00000000-0005-0000-0000-0000D2450000}"/>
    <cellStyle name="20% - Accent6 2 6 6 2 3" xfId="37498" xr:uid="{00000000-0005-0000-0000-0000D3450000}"/>
    <cellStyle name="20% - Accent6 2 6 6 2 4" xfId="47223" xr:uid="{00000000-0005-0000-0000-0000D4450000}"/>
    <cellStyle name="20% - Accent6 2 6 6 2 5" xfId="18048" xr:uid="{00000000-0005-0000-0000-0000D5450000}"/>
    <cellStyle name="20% - Accent6 2 6 6 3" xfId="22911" xr:uid="{00000000-0005-0000-0000-0000D6450000}"/>
    <cellStyle name="20% - Accent6 2 6 6 4" xfId="32636" xr:uid="{00000000-0005-0000-0000-0000D7450000}"/>
    <cellStyle name="20% - Accent6 2 6 6 5" xfId="42361" xr:uid="{00000000-0005-0000-0000-0000D8450000}"/>
    <cellStyle name="20% - Accent6 2 6 6 6" xfId="13186" xr:uid="{00000000-0005-0000-0000-0000D9450000}"/>
    <cellStyle name="20% - Accent6 2 6 7" xfId="5082" xr:uid="{00000000-0005-0000-0000-0000DA450000}"/>
    <cellStyle name="20% - Accent6 2 6 7 2" xfId="24533" xr:uid="{00000000-0005-0000-0000-0000DB450000}"/>
    <cellStyle name="20% - Accent6 2 6 7 3" xfId="34258" xr:uid="{00000000-0005-0000-0000-0000DC450000}"/>
    <cellStyle name="20% - Accent6 2 6 7 4" xfId="43983" xr:uid="{00000000-0005-0000-0000-0000DD450000}"/>
    <cellStyle name="20% - Accent6 2 6 7 5" xfId="14808" xr:uid="{00000000-0005-0000-0000-0000DE450000}"/>
    <cellStyle name="20% - Accent6 2 6 8" xfId="19671" xr:uid="{00000000-0005-0000-0000-0000DF450000}"/>
    <cellStyle name="20% - Accent6 2 6 9" xfId="29396" xr:uid="{00000000-0005-0000-0000-0000E0450000}"/>
    <cellStyle name="20% - Accent6 2 7" xfId="831" xr:uid="{00000000-0005-0000-0000-0000E1450000}"/>
    <cellStyle name="20% - Accent6 2 7 2" xfId="2470" xr:uid="{00000000-0005-0000-0000-0000E2450000}"/>
    <cellStyle name="20% - Accent6 2 7 2 2" xfId="7332" xr:uid="{00000000-0005-0000-0000-0000E3450000}"/>
    <cellStyle name="20% - Accent6 2 7 2 2 2" xfId="26783" xr:uid="{00000000-0005-0000-0000-0000E4450000}"/>
    <cellStyle name="20% - Accent6 2 7 2 2 3" xfId="36508" xr:uid="{00000000-0005-0000-0000-0000E5450000}"/>
    <cellStyle name="20% - Accent6 2 7 2 2 4" xfId="46233" xr:uid="{00000000-0005-0000-0000-0000E6450000}"/>
    <cellStyle name="20% - Accent6 2 7 2 2 5" xfId="17058" xr:uid="{00000000-0005-0000-0000-0000E7450000}"/>
    <cellStyle name="20% - Accent6 2 7 2 3" xfId="21921" xr:uid="{00000000-0005-0000-0000-0000E8450000}"/>
    <cellStyle name="20% - Accent6 2 7 2 4" xfId="31646" xr:uid="{00000000-0005-0000-0000-0000E9450000}"/>
    <cellStyle name="20% - Accent6 2 7 2 5" xfId="41371" xr:uid="{00000000-0005-0000-0000-0000EA450000}"/>
    <cellStyle name="20% - Accent6 2 7 2 6" xfId="12196" xr:uid="{00000000-0005-0000-0000-0000EB450000}"/>
    <cellStyle name="20% - Accent6 2 7 3" xfId="4090" xr:uid="{00000000-0005-0000-0000-0000EC450000}"/>
    <cellStyle name="20% - Accent6 2 7 3 2" xfId="8952" xr:uid="{00000000-0005-0000-0000-0000ED450000}"/>
    <cellStyle name="20% - Accent6 2 7 3 2 2" xfId="28403" xr:uid="{00000000-0005-0000-0000-0000EE450000}"/>
    <cellStyle name="20% - Accent6 2 7 3 2 3" xfId="38128" xr:uid="{00000000-0005-0000-0000-0000EF450000}"/>
    <cellStyle name="20% - Accent6 2 7 3 2 4" xfId="47853" xr:uid="{00000000-0005-0000-0000-0000F0450000}"/>
    <cellStyle name="20% - Accent6 2 7 3 2 5" xfId="18678" xr:uid="{00000000-0005-0000-0000-0000F1450000}"/>
    <cellStyle name="20% - Accent6 2 7 3 3" xfId="23541" xr:uid="{00000000-0005-0000-0000-0000F2450000}"/>
    <cellStyle name="20% - Accent6 2 7 3 4" xfId="33266" xr:uid="{00000000-0005-0000-0000-0000F3450000}"/>
    <cellStyle name="20% - Accent6 2 7 3 5" xfId="42991" xr:uid="{00000000-0005-0000-0000-0000F4450000}"/>
    <cellStyle name="20% - Accent6 2 7 3 6" xfId="13816" xr:uid="{00000000-0005-0000-0000-0000F5450000}"/>
    <cellStyle name="20% - Accent6 2 7 4" xfId="5712" xr:uid="{00000000-0005-0000-0000-0000F6450000}"/>
    <cellStyle name="20% - Accent6 2 7 4 2" xfId="25163" xr:uid="{00000000-0005-0000-0000-0000F7450000}"/>
    <cellStyle name="20% - Accent6 2 7 4 3" xfId="34888" xr:uid="{00000000-0005-0000-0000-0000F8450000}"/>
    <cellStyle name="20% - Accent6 2 7 4 4" xfId="44613" xr:uid="{00000000-0005-0000-0000-0000F9450000}"/>
    <cellStyle name="20% - Accent6 2 7 4 5" xfId="15438" xr:uid="{00000000-0005-0000-0000-0000FA450000}"/>
    <cellStyle name="20% - Accent6 2 7 5" xfId="20301" xr:uid="{00000000-0005-0000-0000-0000FB450000}"/>
    <cellStyle name="20% - Accent6 2 7 6" xfId="30026" xr:uid="{00000000-0005-0000-0000-0000FC450000}"/>
    <cellStyle name="20% - Accent6 2 7 7" xfId="39751" xr:uid="{00000000-0005-0000-0000-0000FD450000}"/>
    <cellStyle name="20% - Accent6 2 7 8" xfId="10576" xr:uid="{00000000-0005-0000-0000-0000FE450000}"/>
    <cellStyle name="20% - Accent6 2 8" xfId="1209" xr:uid="{00000000-0005-0000-0000-0000FF450000}"/>
    <cellStyle name="20% - Accent6 2 8 2" xfId="2830" xr:uid="{00000000-0005-0000-0000-000000460000}"/>
    <cellStyle name="20% - Accent6 2 8 2 2" xfId="7692" xr:uid="{00000000-0005-0000-0000-000001460000}"/>
    <cellStyle name="20% - Accent6 2 8 2 2 2" xfId="27143" xr:uid="{00000000-0005-0000-0000-000002460000}"/>
    <cellStyle name="20% - Accent6 2 8 2 2 3" xfId="36868" xr:uid="{00000000-0005-0000-0000-000003460000}"/>
    <cellStyle name="20% - Accent6 2 8 2 2 4" xfId="46593" xr:uid="{00000000-0005-0000-0000-000004460000}"/>
    <cellStyle name="20% - Accent6 2 8 2 2 5" xfId="17418" xr:uid="{00000000-0005-0000-0000-000005460000}"/>
    <cellStyle name="20% - Accent6 2 8 2 3" xfId="22281" xr:uid="{00000000-0005-0000-0000-000006460000}"/>
    <cellStyle name="20% - Accent6 2 8 2 4" xfId="32006" xr:uid="{00000000-0005-0000-0000-000007460000}"/>
    <cellStyle name="20% - Accent6 2 8 2 5" xfId="41731" xr:uid="{00000000-0005-0000-0000-000008460000}"/>
    <cellStyle name="20% - Accent6 2 8 2 6" xfId="12556" xr:uid="{00000000-0005-0000-0000-000009460000}"/>
    <cellStyle name="20% - Accent6 2 8 3" xfId="4450" xr:uid="{00000000-0005-0000-0000-00000A460000}"/>
    <cellStyle name="20% - Accent6 2 8 3 2" xfId="9312" xr:uid="{00000000-0005-0000-0000-00000B460000}"/>
    <cellStyle name="20% - Accent6 2 8 3 2 2" xfId="28763" xr:uid="{00000000-0005-0000-0000-00000C460000}"/>
    <cellStyle name="20% - Accent6 2 8 3 2 3" xfId="38488" xr:uid="{00000000-0005-0000-0000-00000D460000}"/>
    <cellStyle name="20% - Accent6 2 8 3 2 4" xfId="48213" xr:uid="{00000000-0005-0000-0000-00000E460000}"/>
    <cellStyle name="20% - Accent6 2 8 3 2 5" xfId="19038" xr:uid="{00000000-0005-0000-0000-00000F460000}"/>
    <cellStyle name="20% - Accent6 2 8 3 3" xfId="23901" xr:uid="{00000000-0005-0000-0000-000010460000}"/>
    <cellStyle name="20% - Accent6 2 8 3 4" xfId="33626" xr:uid="{00000000-0005-0000-0000-000011460000}"/>
    <cellStyle name="20% - Accent6 2 8 3 5" xfId="43351" xr:uid="{00000000-0005-0000-0000-000012460000}"/>
    <cellStyle name="20% - Accent6 2 8 3 6" xfId="14176" xr:uid="{00000000-0005-0000-0000-000013460000}"/>
    <cellStyle name="20% - Accent6 2 8 4" xfId="6072" xr:uid="{00000000-0005-0000-0000-000014460000}"/>
    <cellStyle name="20% - Accent6 2 8 4 2" xfId="25523" xr:uid="{00000000-0005-0000-0000-000015460000}"/>
    <cellStyle name="20% - Accent6 2 8 4 3" xfId="35248" xr:uid="{00000000-0005-0000-0000-000016460000}"/>
    <cellStyle name="20% - Accent6 2 8 4 4" xfId="44973" xr:uid="{00000000-0005-0000-0000-000017460000}"/>
    <cellStyle name="20% - Accent6 2 8 4 5" xfId="15798" xr:uid="{00000000-0005-0000-0000-000018460000}"/>
    <cellStyle name="20% - Accent6 2 8 5" xfId="20661" xr:uid="{00000000-0005-0000-0000-000019460000}"/>
    <cellStyle name="20% - Accent6 2 8 6" xfId="30386" xr:uid="{00000000-0005-0000-0000-00001A460000}"/>
    <cellStyle name="20% - Accent6 2 8 7" xfId="40111" xr:uid="{00000000-0005-0000-0000-00001B460000}"/>
    <cellStyle name="20% - Accent6 2 8 8" xfId="10936" xr:uid="{00000000-0005-0000-0000-00001C460000}"/>
    <cellStyle name="20% - Accent6 2 9" xfId="1299" xr:uid="{00000000-0005-0000-0000-00001D460000}"/>
    <cellStyle name="20% - Accent6 2 9 2" xfId="2920" xr:uid="{00000000-0005-0000-0000-00001E460000}"/>
    <cellStyle name="20% - Accent6 2 9 2 2" xfId="7782" xr:uid="{00000000-0005-0000-0000-00001F460000}"/>
    <cellStyle name="20% - Accent6 2 9 2 2 2" xfId="27233" xr:uid="{00000000-0005-0000-0000-000020460000}"/>
    <cellStyle name="20% - Accent6 2 9 2 2 3" xfId="36958" xr:uid="{00000000-0005-0000-0000-000021460000}"/>
    <cellStyle name="20% - Accent6 2 9 2 2 4" xfId="46683" xr:uid="{00000000-0005-0000-0000-000022460000}"/>
    <cellStyle name="20% - Accent6 2 9 2 2 5" xfId="17508" xr:uid="{00000000-0005-0000-0000-000023460000}"/>
    <cellStyle name="20% - Accent6 2 9 2 3" xfId="22371" xr:uid="{00000000-0005-0000-0000-000024460000}"/>
    <cellStyle name="20% - Accent6 2 9 2 4" xfId="32096" xr:uid="{00000000-0005-0000-0000-000025460000}"/>
    <cellStyle name="20% - Accent6 2 9 2 5" xfId="41821" xr:uid="{00000000-0005-0000-0000-000026460000}"/>
    <cellStyle name="20% - Accent6 2 9 2 6" xfId="12646" xr:uid="{00000000-0005-0000-0000-000027460000}"/>
    <cellStyle name="20% - Accent6 2 9 3" xfId="4540" xr:uid="{00000000-0005-0000-0000-000028460000}"/>
    <cellStyle name="20% - Accent6 2 9 3 2" xfId="9402" xr:uid="{00000000-0005-0000-0000-000029460000}"/>
    <cellStyle name="20% - Accent6 2 9 3 2 2" xfId="28853" xr:uid="{00000000-0005-0000-0000-00002A460000}"/>
    <cellStyle name="20% - Accent6 2 9 3 2 3" xfId="38578" xr:uid="{00000000-0005-0000-0000-00002B460000}"/>
    <cellStyle name="20% - Accent6 2 9 3 2 4" xfId="48303" xr:uid="{00000000-0005-0000-0000-00002C460000}"/>
    <cellStyle name="20% - Accent6 2 9 3 2 5" xfId="19128" xr:uid="{00000000-0005-0000-0000-00002D460000}"/>
    <cellStyle name="20% - Accent6 2 9 3 3" xfId="23991" xr:uid="{00000000-0005-0000-0000-00002E460000}"/>
    <cellStyle name="20% - Accent6 2 9 3 4" xfId="33716" xr:uid="{00000000-0005-0000-0000-00002F460000}"/>
    <cellStyle name="20% - Accent6 2 9 3 5" xfId="43441" xr:uid="{00000000-0005-0000-0000-000030460000}"/>
    <cellStyle name="20% - Accent6 2 9 3 6" xfId="14266" xr:uid="{00000000-0005-0000-0000-000031460000}"/>
    <cellStyle name="20% - Accent6 2 9 4" xfId="6162" xr:uid="{00000000-0005-0000-0000-000032460000}"/>
    <cellStyle name="20% - Accent6 2 9 4 2" xfId="25613" xr:uid="{00000000-0005-0000-0000-000033460000}"/>
    <cellStyle name="20% - Accent6 2 9 4 3" xfId="35338" xr:uid="{00000000-0005-0000-0000-000034460000}"/>
    <cellStyle name="20% - Accent6 2 9 4 4" xfId="45063" xr:uid="{00000000-0005-0000-0000-000035460000}"/>
    <cellStyle name="20% - Accent6 2 9 4 5" xfId="15888" xr:uid="{00000000-0005-0000-0000-000036460000}"/>
    <cellStyle name="20% - Accent6 2 9 5" xfId="20751" xr:uid="{00000000-0005-0000-0000-000037460000}"/>
    <cellStyle name="20% - Accent6 2 9 6" xfId="30476" xr:uid="{00000000-0005-0000-0000-000038460000}"/>
    <cellStyle name="20% - Accent6 2 9 7" xfId="40201" xr:uid="{00000000-0005-0000-0000-000039460000}"/>
    <cellStyle name="20% - Accent6 2 9 8" xfId="11026" xr:uid="{00000000-0005-0000-0000-00003A460000}"/>
    <cellStyle name="20% - Accent6 2_Database (All)" xfId="1177" xr:uid="{00000000-0005-0000-0000-00003B460000}"/>
    <cellStyle name="20% - Accent6 20" xfId="9842" xr:uid="{00000000-0005-0000-0000-00003C460000}"/>
    <cellStyle name="20% - Accent6 3" xfId="82" xr:uid="{00000000-0005-0000-0000-00003D460000}"/>
    <cellStyle name="20% - Accent6 3 10" xfId="1766" xr:uid="{00000000-0005-0000-0000-00003E460000}"/>
    <cellStyle name="20% - Accent6 3 10 2" xfId="6628" xr:uid="{00000000-0005-0000-0000-00003F460000}"/>
    <cellStyle name="20% - Accent6 3 10 2 2" xfId="26079" xr:uid="{00000000-0005-0000-0000-000040460000}"/>
    <cellStyle name="20% - Accent6 3 10 2 3" xfId="35804" xr:uid="{00000000-0005-0000-0000-000041460000}"/>
    <cellStyle name="20% - Accent6 3 10 2 4" xfId="45529" xr:uid="{00000000-0005-0000-0000-000042460000}"/>
    <cellStyle name="20% - Accent6 3 10 2 5" xfId="16354" xr:uid="{00000000-0005-0000-0000-000043460000}"/>
    <cellStyle name="20% - Accent6 3 10 3" xfId="21217" xr:uid="{00000000-0005-0000-0000-000044460000}"/>
    <cellStyle name="20% - Accent6 3 10 4" xfId="30942" xr:uid="{00000000-0005-0000-0000-000045460000}"/>
    <cellStyle name="20% - Accent6 3 10 5" xfId="40667" xr:uid="{00000000-0005-0000-0000-000046460000}"/>
    <cellStyle name="20% - Accent6 3 10 6" xfId="11492" xr:uid="{00000000-0005-0000-0000-000047460000}"/>
    <cellStyle name="20% - Accent6 3 11" xfId="3386" xr:uid="{00000000-0005-0000-0000-000048460000}"/>
    <cellStyle name="20% - Accent6 3 11 2" xfId="8248" xr:uid="{00000000-0005-0000-0000-000049460000}"/>
    <cellStyle name="20% - Accent6 3 11 2 2" xfId="27699" xr:uid="{00000000-0005-0000-0000-00004A460000}"/>
    <cellStyle name="20% - Accent6 3 11 2 3" xfId="37424" xr:uid="{00000000-0005-0000-0000-00004B460000}"/>
    <cellStyle name="20% - Accent6 3 11 2 4" xfId="47149" xr:uid="{00000000-0005-0000-0000-00004C460000}"/>
    <cellStyle name="20% - Accent6 3 11 2 5" xfId="17974" xr:uid="{00000000-0005-0000-0000-00004D460000}"/>
    <cellStyle name="20% - Accent6 3 11 3" xfId="22837" xr:uid="{00000000-0005-0000-0000-00004E460000}"/>
    <cellStyle name="20% - Accent6 3 11 4" xfId="32562" xr:uid="{00000000-0005-0000-0000-00004F460000}"/>
    <cellStyle name="20% - Accent6 3 11 5" xfId="42287" xr:uid="{00000000-0005-0000-0000-000050460000}"/>
    <cellStyle name="20% - Accent6 3 11 6" xfId="13112" xr:uid="{00000000-0005-0000-0000-000051460000}"/>
    <cellStyle name="20% - Accent6 3 12" xfId="5008" xr:uid="{00000000-0005-0000-0000-000052460000}"/>
    <cellStyle name="20% - Accent6 3 12 2" xfId="24459" xr:uid="{00000000-0005-0000-0000-000053460000}"/>
    <cellStyle name="20% - Accent6 3 12 3" xfId="34184" xr:uid="{00000000-0005-0000-0000-000054460000}"/>
    <cellStyle name="20% - Accent6 3 12 4" xfId="43909" xr:uid="{00000000-0005-0000-0000-000055460000}"/>
    <cellStyle name="20% - Accent6 3 12 5" xfId="14734" xr:uid="{00000000-0005-0000-0000-000056460000}"/>
    <cellStyle name="20% - Accent6 3 13" xfId="19597" xr:uid="{00000000-0005-0000-0000-000057460000}"/>
    <cellStyle name="20% - Accent6 3 14" xfId="29322" xr:uid="{00000000-0005-0000-0000-000058460000}"/>
    <cellStyle name="20% - Accent6 3 15" xfId="39047" xr:uid="{00000000-0005-0000-0000-000059460000}"/>
    <cellStyle name="20% - Accent6 3 16" xfId="9872" xr:uid="{00000000-0005-0000-0000-00005A460000}"/>
    <cellStyle name="20% - Accent6 3 2" xfId="264" xr:uid="{00000000-0005-0000-0000-00005B460000}"/>
    <cellStyle name="20% - Accent6 3 2 10" xfId="39227" xr:uid="{00000000-0005-0000-0000-00005C460000}"/>
    <cellStyle name="20% - Accent6 3 2 11" xfId="10052" xr:uid="{00000000-0005-0000-0000-00005D460000}"/>
    <cellStyle name="20% - Accent6 3 2 2" xfId="1028" xr:uid="{00000000-0005-0000-0000-00005E460000}"/>
    <cellStyle name="20% - Accent6 3 2 2 2" xfId="2666" xr:uid="{00000000-0005-0000-0000-00005F460000}"/>
    <cellStyle name="20% - Accent6 3 2 2 2 2" xfId="7528" xr:uid="{00000000-0005-0000-0000-000060460000}"/>
    <cellStyle name="20% - Accent6 3 2 2 2 2 2" xfId="26979" xr:uid="{00000000-0005-0000-0000-000061460000}"/>
    <cellStyle name="20% - Accent6 3 2 2 2 2 3" xfId="36704" xr:uid="{00000000-0005-0000-0000-000062460000}"/>
    <cellStyle name="20% - Accent6 3 2 2 2 2 4" xfId="46429" xr:uid="{00000000-0005-0000-0000-000063460000}"/>
    <cellStyle name="20% - Accent6 3 2 2 2 2 5" xfId="17254" xr:uid="{00000000-0005-0000-0000-000064460000}"/>
    <cellStyle name="20% - Accent6 3 2 2 2 3" xfId="22117" xr:uid="{00000000-0005-0000-0000-000065460000}"/>
    <cellStyle name="20% - Accent6 3 2 2 2 4" xfId="31842" xr:uid="{00000000-0005-0000-0000-000066460000}"/>
    <cellStyle name="20% - Accent6 3 2 2 2 5" xfId="41567" xr:uid="{00000000-0005-0000-0000-000067460000}"/>
    <cellStyle name="20% - Accent6 3 2 2 2 6" xfId="12392" xr:uid="{00000000-0005-0000-0000-000068460000}"/>
    <cellStyle name="20% - Accent6 3 2 2 3" xfId="4286" xr:uid="{00000000-0005-0000-0000-000069460000}"/>
    <cellStyle name="20% - Accent6 3 2 2 3 2" xfId="9148" xr:uid="{00000000-0005-0000-0000-00006A460000}"/>
    <cellStyle name="20% - Accent6 3 2 2 3 2 2" xfId="28599" xr:uid="{00000000-0005-0000-0000-00006B460000}"/>
    <cellStyle name="20% - Accent6 3 2 2 3 2 3" xfId="38324" xr:uid="{00000000-0005-0000-0000-00006C460000}"/>
    <cellStyle name="20% - Accent6 3 2 2 3 2 4" xfId="48049" xr:uid="{00000000-0005-0000-0000-00006D460000}"/>
    <cellStyle name="20% - Accent6 3 2 2 3 2 5" xfId="18874" xr:uid="{00000000-0005-0000-0000-00006E460000}"/>
    <cellStyle name="20% - Accent6 3 2 2 3 3" xfId="23737" xr:uid="{00000000-0005-0000-0000-00006F460000}"/>
    <cellStyle name="20% - Accent6 3 2 2 3 4" xfId="33462" xr:uid="{00000000-0005-0000-0000-000070460000}"/>
    <cellStyle name="20% - Accent6 3 2 2 3 5" xfId="43187" xr:uid="{00000000-0005-0000-0000-000071460000}"/>
    <cellStyle name="20% - Accent6 3 2 2 3 6" xfId="14012" xr:uid="{00000000-0005-0000-0000-000072460000}"/>
    <cellStyle name="20% - Accent6 3 2 2 4" xfId="5908" xr:uid="{00000000-0005-0000-0000-000073460000}"/>
    <cellStyle name="20% - Accent6 3 2 2 4 2" xfId="25359" xr:uid="{00000000-0005-0000-0000-000074460000}"/>
    <cellStyle name="20% - Accent6 3 2 2 4 3" xfId="35084" xr:uid="{00000000-0005-0000-0000-000075460000}"/>
    <cellStyle name="20% - Accent6 3 2 2 4 4" xfId="44809" xr:uid="{00000000-0005-0000-0000-000076460000}"/>
    <cellStyle name="20% - Accent6 3 2 2 4 5" xfId="15634" xr:uid="{00000000-0005-0000-0000-000077460000}"/>
    <cellStyle name="20% - Accent6 3 2 2 5" xfId="20497" xr:uid="{00000000-0005-0000-0000-000078460000}"/>
    <cellStyle name="20% - Accent6 3 2 2 6" xfId="30222" xr:uid="{00000000-0005-0000-0000-000079460000}"/>
    <cellStyle name="20% - Accent6 3 2 2 7" xfId="39947" xr:uid="{00000000-0005-0000-0000-00007A460000}"/>
    <cellStyle name="20% - Accent6 3 2 2 8" xfId="10772" xr:uid="{00000000-0005-0000-0000-00007B460000}"/>
    <cellStyle name="20% - Accent6 3 2 3" xfId="1495" xr:uid="{00000000-0005-0000-0000-00007C460000}"/>
    <cellStyle name="20% - Accent6 3 2 3 2" xfId="3116" xr:uid="{00000000-0005-0000-0000-00007D460000}"/>
    <cellStyle name="20% - Accent6 3 2 3 2 2" xfId="7978" xr:uid="{00000000-0005-0000-0000-00007E460000}"/>
    <cellStyle name="20% - Accent6 3 2 3 2 2 2" xfId="27429" xr:uid="{00000000-0005-0000-0000-00007F460000}"/>
    <cellStyle name="20% - Accent6 3 2 3 2 2 3" xfId="37154" xr:uid="{00000000-0005-0000-0000-000080460000}"/>
    <cellStyle name="20% - Accent6 3 2 3 2 2 4" xfId="46879" xr:uid="{00000000-0005-0000-0000-000081460000}"/>
    <cellStyle name="20% - Accent6 3 2 3 2 2 5" xfId="17704" xr:uid="{00000000-0005-0000-0000-000082460000}"/>
    <cellStyle name="20% - Accent6 3 2 3 2 3" xfId="22567" xr:uid="{00000000-0005-0000-0000-000083460000}"/>
    <cellStyle name="20% - Accent6 3 2 3 2 4" xfId="32292" xr:uid="{00000000-0005-0000-0000-000084460000}"/>
    <cellStyle name="20% - Accent6 3 2 3 2 5" xfId="42017" xr:uid="{00000000-0005-0000-0000-000085460000}"/>
    <cellStyle name="20% - Accent6 3 2 3 2 6" xfId="12842" xr:uid="{00000000-0005-0000-0000-000086460000}"/>
    <cellStyle name="20% - Accent6 3 2 3 3" xfId="4736" xr:uid="{00000000-0005-0000-0000-000087460000}"/>
    <cellStyle name="20% - Accent6 3 2 3 3 2" xfId="9598" xr:uid="{00000000-0005-0000-0000-000088460000}"/>
    <cellStyle name="20% - Accent6 3 2 3 3 2 2" xfId="29049" xr:uid="{00000000-0005-0000-0000-000089460000}"/>
    <cellStyle name="20% - Accent6 3 2 3 3 2 3" xfId="38774" xr:uid="{00000000-0005-0000-0000-00008A460000}"/>
    <cellStyle name="20% - Accent6 3 2 3 3 2 4" xfId="48499" xr:uid="{00000000-0005-0000-0000-00008B460000}"/>
    <cellStyle name="20% - Accent6 3 2 3 3 2 5" xfId="19324" xr:uid="{00000000-0005-0000-0000-00008C460000}"/>
    <cellStyle name="20% - Accent6 3 2 3 3 3" xfId="24187" xr:uid="{00000000-0005-0000-0000-00008D460000}"/>
    <cellStyle name="20% - Accent6 3 2 3 3 4" xfId="33912" xr:uid="{00000000-0005-0000-0000-00008E460000}"/>
    <cellStyle name="20% - Accent6 3 2 3 3 5" xfId="43637" xr:uid="{00000000-0005-0000-0000-00008F460000}"/>
    <cellStyle name="20% - Accent6 3 2 3 3 6" xfId="14462" xr:uid="{00000000-0005-0000-0000-000090460000}"/>
    <cellStyle name="20% - Accent6 3 2 3 4" xfId="6358" xr:uid="{00000000-0005-0000-0000-000091460000}"/>
    <cellStyle name="20% - Accent6 3 2 3 4 2" xfId="25809" xr:uid="{00000000-0005-0000-0000-000092460000}"/>
    <cellStyle name="20% - Accent6 3 2 3 4 3" xfId="35534" xr:uid="{00000000-0005-0000-0000-000093460000}"/>
    <cellStyle name="20% - Accent6 3 2 3 4 4" xfId="45259" xr:uid="{00000000-0005-0000-0000-000094460000}"/>
    <cellStyle name="20% - Accent6 3 2 3 4 5" xfId="16084" xr:uid="{00000000-0005-0000-0000-000095460000}"/>
    <cellStyle name="20% - Accent6 3 2 3 5" xfId="20947" xr:uid="{00000000-0005-0000-0000-000096460000}"/>
    <cellStyle name="20% - Accent6 3 2 3 6" xfId="30672" xr:uid="{00000000-0005-0000-0000-000097460000}"/>
    <cellStyle name="20% - Accent6 3 2 3 7" xfId="40397" xr:uid="{00000000-0005-0000-0000-000098460000}"/>
    <cellStyle name="20% - Accent6 3 2 3 8" xfId="11222" xr:uid="{00000000-0005-0000-0000-000099460000}"/>
    <cellStyle name="20% - Accent6 3 2 4" xfId="666" xr:uid="{00000000-0005-0000-0000-00009A460000}"/>
    <cellStyle name="20% - Accent6 3 2 4 2" xfId="2306" xr:uid="{00000000-0005-0000-0000-00009B460000}"/>
    <cellStyle name="20% - Accent6 3 2 4 2 2" xfId="7168" xr:uid="{00000000-0005-0000-0000-00009C460000}"/>
    <cellStyle name="20% - Accent6 3 2 4 2 2 2" xfId="26619" xr:uid="{00000000-0005-0000-0000-00009D460000}"/>
    <cellStyle name="20% - Accent6 3 2 4 2 2 3" xfId="36344" xr:uid="{00000000-0005-0000-0000-00009E460000}"/>
    <cellStyle name="20% - Accent6 3 2 4 2 2 4" xfId="46069" xr:uid="{00000000-0005-0000-0000-00009F460000}"/>
    <cellStyle name="20% - Accent6 3 2 4 2 2 5" xfId="16894" xr:uid="{00000000-0005-0000-0000-0000A0460000}"/>
    <cellStyle name="20% - Accent6 3 2 4 2 3" xfId="21757" xr:uid="{00000000-0005-0000-0000-0000A1460000}"/>
    <cellStyle name="20% - Accent6 3 2 4 2 4" xfId="31482" xr:uid="{00000000-0005-0000-0000-0000A2460000}"/>
    <cellStyle name="20% - Accent6 3 2 4 2 5" xfId="41207" xr:uid="{00000000-0005-0000-0000-0000A3460000}"/>
    <cellStyle name="20% - Accent6 3 2 4 2 6" xfId="12032" xr:uid="{00000000-0005-0000-0000-0000A4460000}"/>
    <cellStyle name="20% - Accent6 3 2 4 3" xfId="3926" xr:uid="{00000000-0005-0000-0000-0000A5460000}"/>
    <cellStyle name="20% - Accent6 3 2 4 3 2" xfId="8788" xr:uid="{00000000-0005-0000-0000-0000A6460000}"/>
    <cellStyle name="20% - Accent6 3 2 4 3 2 2" xfId="28239" xr:uid="{00000000-0005-0000-0000-0000A7460000}"/>
    <cellStyle name="20% - Accent6 3 2 4 3 2 3" xfId="37964" xr:uid="{00000000-0005-0000-0000-0000A8460000}"/>
    <cellStyle name="20% - Accent6 3 2 4 3 2 4" xfId="47689" xr:uid="{00000000-0005-0000-0000-0000A9460000}"/>
    <cellStyle name="20% - Accent6 3 2 4 3 2 5" xfId="18514" xr:uid="{00000000-0005-0000-0000-0000AA460000}"/>
    <cellStyle name="20% - Accent6 3 2 4 3 3" xfId="23377" xr:uid="{00000000-0005-0000-0000-0000AB460000}"/>
    <cellStyle name="20% - Accent6 3 2 4 3 4" xfId="33102" xr:uid="{00000000-0005-0000-0000-0000AC460000}"/>
    <cellStyle name="20% - Accent6 3 2 4 3 5" xfId="42827" xr:uid="{00000000-0005-0000-0000-0000AD460000}"/>
    <cellStyle name="20% - Accent6 3 2 4 3 6" xfId="13652" xr:uid="{00000000-0005-0000-0000-0000AE460000}"/>
    <cellStyle name="20% - Accent6 3 2 4 4" xfId="5548" xr:uid="{00000000-0005-0000-0000-0000AF460000}"/>
    <cellStyle name="20% - Accent6 3 2 4 4 2" xfId="24999" xr:uid="{00000000-0005-0000-0000-0000B0460000}"/>
    <cellStyle name="20% - Accent6 3 2 4 4 3" xfId="34724" xr:uid="{00000000-0005-0000-0000-0000B1460000}"/>
    <cellStyle name="20% - Accent6 3 2 4 4 4" xfId="44449" xr:uid="{00000000-0005-0000-0000-0000B2460000}"/>
    <cellStyle name="20% - Accent6 3 2 4 4 5" xfId="15274" xr:uid="{00000000-0005-0000-0000-0000B3460000}"/>
    <cellStyle name="20% - Accent6 3 2 4 5" xfId="20137" xr:uid="{00000000-0005-0000-0000-0000B4460000}"/>
    <cellStyle name="20% - Accent6 3 2 4 6" xfId="29862" xr:uid="{00000000-0005-0000-0000-0000B5460000}"/>
    <cellStyle name="20% - Accent6 3 2 4 7" xfId="39587" xr:uid="{00000000-0005-0000-0000-0000B6460000}"/>
    <cellStyle name="20% - Accent6 3 2 4 8" xfId="10412" xr:uid="{00000000-0005-0000-0000-0000B7460000}"/>
    <cellStyle name="20% - Accent6 3 2 5" xfId="1946" xr:uid="{00000000-0005-0000-0000-0000B8460000}"/>
    <cellStyle name="20% - Accent6 3 2 5 2" xfId="6808" xr:uid="{00000000-0005-0000-0000-0000B9460000}"/>
    <cellStyle name="20% - Accent6 3 2 5 2 2" xfId="26259" xr:uid="{00000000-0005-0000-0000-0000BA460000}"/>
    <cellStyle name="20% - Accent6 3 2 5 2 3" xfId="35984" xr:uid="{00000000-0005-0000-0000-0000BB460000}"/>
    <cellStyle name="20% - Accent6 3 2 5 2 4" xfId="45709" xr:uid="{00000000-0005-0000-0000-0000BC460000}"/>
    <cellStyle name="20% - Accent6 3 2 5 2 5" xfId="16534" xr:uid="{00000000-0005-0000-0000-0000BD460000}"/>
    <cellStyle name="20% - Accent6 3 2 5 3" xfId="21397" xr:uid="{00000000-0005-0000-0000-0000BE460000}"/>
    <cellStyle name="20% - Accent6 3 2 5 4" xfId="31122" xr:uid="{00000000-0005-0000-0000-0000BF460000}"/>
    <cellStyle name="20% - Accent6 3 2 5 5" xfId="40847" xr:uid="{00000000-0005-0000-0000-0000C0460000}"/>
    <cellStyle name="20% - Accent6 3 2 5 6" xfId="11672" xr:uid="{00000000-0005-0000-0000-0000C1460000}"/>
    <cellStyle name="20% - Accent6 3 2 6" xfId="3566" xr:uid="{00000000-0005-0000-0000-0000C2460000}"/>
    <cellStyle name="20% - Accent6 3 2 6 2" xfId="8428" xr:uid="{00000000-0005-0000-0000-0000C3460000}"/>
    <cellStyle name="20% - Accent6 3 2 6 2 2" xfId="27879" xr:uid="{00000000-0005-0000-0000-0000C4460000}"/>
    <cellStyle name="20% - Accent6 3 2 6 2 3" xfId="37604" xr:uid="{00000000-0005-0000-0000-0000C5460000}"/>
    <cellStyle name="20% - Accent6 3 2 6 2 4" xfId="47329" xr:uid="{00000000-0005-0000-0000-0000C6460000}"/>
    <cellStyle name="20% - Accent6 3 2 6 2 5" xfId="18154" xr:uid="{00000000-0005-0000-0000-0000C7460000}"/>
    <cellStyle name="20% - Accent6 3 2 6 3" xfId="23017" xr:uid="{00000000-0005-0000-0000-0000C8460000}"/>
    <cellStyle name="20% - Accent6 3 2 6 4" xfId="32742" xr:uid="{00000000-0005-0000-0000-0000C9460000}"/>
    <cellStyle name="20% - Accent6 3 2 6 5" xfId="42467" xr:uid="{00000000-0005-0000-0000-0000CA460000}"/>
    <cellStyle name="20% - Accent6 3 2 6 6" xfId="13292" xr:uid="{00000000-0005-0000-0000-0000CB460000}"/>
    <cellStyle name="20% - Accent6 3 2 7" xfId="5188" xr:uid="{00000000-0005-0000-0000-0000CC460000}"/>
    <cellStyle name="20% - Accent6 3 2 7 2" xfId="24639" xr:uid="{00000000-0005-0000-0000-0000CD460000}"/>
    <cellStyle name="20% - Accent6 3 2 7 3" xfId="34364" xr:uid="{00000000-0005-0000-0000-0000CE460000}"/>
    <cellStyle name="20% - Accent6 3 2 7 4" xfId="44089" xr:uid="{00000000-0005-0000-0000-0000CF460000}"/>
    <cellStyle name="20% - Accent6 3 2 7 5" xfId="14914" xr:uid="{00000000-0005-0000-0000-0000D0460000}"/>
    <cellStyle name="20% - Accent6 3 2 8" xfId="19777" xr:uid="{00000000-0005-0000-0000-0000D1460000}"/>
    <cellStyle name="20% - Accent6 3 2 9" xfId="29502" xr:uid="{00000000-0005-0000-0000-0000D2460000}"/>
    <cellStyle name="20% - Accent6 3 3" xfId="355" xr:uid="{00000000-0005-0000-0000-0000D3460000}"/>
    <cellStyle name="20% - Accent6 3 3 10" xfId="39317" xr:uid="{00000000-0005-0000-0000-0000D4460000}"/>
    <cellStyle name="20% - Accent6 3 3 11" xfId="10142" xr:uid="{00000000-0005-0000-0000-0000D5460000}"/>
    <cellStyle name="20% - Accent6 3 3 2" xfId="1118" xr:uid="{00000000-0005-0000-0000-0000D6460000}"/>
    <cellStyle name="20% - Accent6 3 3 2 2" xfId="2756" xr:uid="{00000000-0005-0000-0000-0000D7460000}"/>
    <cellStyle name="20% - Accent6 3 3 2 2 2" xfId="7618" xr:uid="{00000000-0005-0000-0000-0000D8460000}"/>
    <cellStyle name="20% - Accent6 3 3 2 2 2 2" xfId="27069" xr:uid="{00000000-0005-0000-0000-0000D9460000}"/>
    <cellStyle name="20% - Accent6 3 3 2 2 2 3" xfId="36794" xr:uid="{00000000-0005-0000-0000-0000DA460000}"/>
    <cellStyle name="20% - Accent6 3 3 2 2 2 4" xfId="46519" xr:uid="{00000000-0005-0000-0000-0000DB460000}"/>
    <cellStyle name="20% - Accent6 3 3 2 2 2 5" xfId="17344" xr:uid="{00000000-0005-0000-0000-0000DC460000}"/>
    <cellStyle name="20% - Accent6 3 3 2 2 3" xfId="22207" xr:uid="{00000000-0005-0000-0000-0000DD460000}"/>
    <cellStyle name="20% - Accent6 3 3 2 2 4" xfId="31932" xr:uid="{00000000-0005-0000-0000-0000DE460000}"/>
    <cellStyle name="20% - Accent6 3 3 2 2 5" xfId="41657" xr:uid="{00000000-0005-0000-0000-0000DF460000}"/>
    <cellStyle name="20% - Accent6 3 3 2 2 6" xfId="12482" xr:uid="{00000000-0005-0000-0000-0000E0460000}"/>
    <cellStyle name="20% - Accent6 3 3 2 3" xfId="4376" xr:uid="{00000000-0005-0000-0000-0000E1460000}"/>
    <cellStyle name="20% - Accent6 3 3 2 3 2" xfId="9238" xr:uid="{00000000-0005-0000-0000-0000E2460000}"/>
    <cellStyle name="20% - Accent6 3 3 2 3 2 2" xfId="28689" xr:uid="{00000000-0005-0000-0000-0000E3460000}"/>
    <cellStyle name="20% - Accent6 3 3 2 3 2 3" xfId="38414" xr:uid="{00000000-0005-0000-0000-0000E4460000}"/>
    <cellStyle name="20% - Accent6 3 3 2 3 2 4" xfId="48139" xr:uid="{00000000-0005-0000-0000-0000E5460000}"/>
    <cellStyle name="20% - Accent6 3 3 2 3 2 5" xfId="18964" xr:uid="{00000000-0005-0000-0000-0000E6460000}"/>
    <cellStyle name="20% - Accent6 3 3 2 3 3" xfId="23827" xr:uid="{00000000-0005-0000-0000-0000E7460000}"/>
    <cellStyle name="20% - Accent6 3 3 2 3 4" xfId="33552" xr:uid="{00000000-0005-0000-0000-0000E8460000}"/>
    <cellStyle name="20% - Accent6 3 3 2 3 5" xfId="43277" xr:uid="{00000000-0005-0000-0000-0000E9460000}"/>
    <cellStyle name="20% - Accent6 3 3 2 3 6" xfId="14102" xr:uid="{00000000-0005-0000-0000-0000EA460000}"/>
    <cellStyle name="20% - Accent6 3 3 2 4" xfId="5998" xr:uid="{00000000-0005-0000-0000-0000EB460000}"/>
    <cellStyle name="20% - Accent6 3 3 2 4 2" xfId="25449" xr:uid="{00000000-0005-0000-0000-0000EC460000}"/>
    <cellStyle name="20% - Accent6 3 3 2 4 3" xfId="35174" xr:uid="{00000000-0005-0000-0000-0000ED460000}"/>
    <cellStyle name="20% - Accent6 3 3 2 4 4" xfId="44899" xr:uid="{00000000-0005-0000-0000-0000EE460000}"/>
    <cellStyle name="20% - Accent6 3 3 2 4 5" xfId="15724" xr:uid="{00000000-0005-0000-0000-0000EF460000}"/>
    <cellStyle name="20% - Accent6 3 3 2 5" xfId="20587" xr:uid="{00000000-0005-0000-0000-0000F0460000}"/>
    <cellStyle name="20% - Accent6 3 3 2 6" xfId="30312" xr:uid="{00000000-0005-0000-0000-0000F1460000}"/>
    <cellStyle name="20% - Accent6 3 3 2 7" xfId="40037" xr:uid="{00000000-0005-0000-0000-0000F2460000}"/>
    <cellStyle name="20% - Accent6 3 3 2 8" xfId="10862" xr:uid="{00000000-0005-0000-0000-0000F3460000}"/>
    <cellStyle name="20% - Accent6 3 3 3" xfId="1585" xr:uid="{00000000-0005-0000-0000-0000F4460000}"/>
    <cellStyle name="20% - Accent6 3 3 3 2" xfId="3206" xr:uid="{00000000-0005-0000-0000-0000F5460000}"/>
    <cellStyle name="20% - Accent6 3 3 3 2 2" xfId="8068" xr:uid="{00000000-0005-0000-0000-0000F6460000}"/>
    <cellStyle name="20% - Accent6 3 3 3 2 2 2" xfId="27519" xr:uid="{00000000-0005-0000-0000-0000F7460000}"/>
    <cellStyle name="20% - Accent6 3 3 3 2 2 3" xfId="37244" xr:uid="{00000000-0005-0000-0000-0000F8460000}"/>
    <cellStyle name="20% - Accent6 3 3 3 2 2 4" xfId="46969" xr:uid="{00000000-0005-0000-0000-0000F9460000}"/>
    <cellStyle name="20% - Accent6 3 3 3 2 2 5" xfId="17794" xr:uid="{00000000-0005-0000-0000-0000FA460000}"/>
    <cellStyle name="20% - Accent6 3 3 3 2 3" xfId="22657" xr:uid="{00000000-0005-0000-0000-0000FB460000}"/>
    <cellStyle name="20% - Accent6 3 3 3 2 4" xfId="32382" xr:uid="{00000000-0005-0000-0000-0000FC460000}"/>
    <cellStyle name="20% - Accent6 3 3 3 2 5" xfId="42107" xr:uid="{00000000-0005-0000-0000-0000FD460000}"/>
    <cellStyle name="20% - Accent6 3 3 3 2 6" xfId="12932" xr:uid="{00000000-0005-0000-0000-0000FE460000}"/>
    <cellStyle name="20% - Accent6 3 3 3 3" xfId="4826" xr:uid="{00000000-0005-0000-0000-0000FF460000}"/>
    <cellStyle name="20% - Accent6 3 3 3 3 2" xfId="9688" xr:uid="{00000000-0005-0000-0000-000000470000}"/>
    <cellStyle name="20% - Accent6 3 3 3 3 2 2" xfId="29139" xr:uid="{00000000-0005-0000-0000-000001470000}"/>
    <cellStyle name="20% - Accent6 3 3 3 3 2 3" xfId="38864" xr:uid="{00000000-0005-0000-0000-000002470000}"/>
    <cellStyle name="20% - Accent6 3 3 3 3 2 4" xfId="48589" xr:uid="{00000000-0005-0000-0000-000003470000}"/>
    <cellStyle name="20% - Accent6 3 3 3 3 2 5" xfId="19414" xr:uid="{00000000-0005-0000-0000-000004470000}"/>
    <cellStyle name="20% - Accent6 3 3 3 3 3" xfId="24277" xr:uid="{00000000-0005-0000-0000-000005470000}"/>
    <cellStyle name="20% - Accent6 3 3 3 3 4" xfId="34002" xr:uid="{00000000-0005-0000-0000-000006470000}"/>
    <cellStyle name="20% - Accent6 3 3 3 3 5" xfId="43727" xr:uid="{00000000-0005-0000-0000-000007470000}"/>
    <cellStyle name="20% - Accent6 3 3 3 3 6" xfId="14552" xr:uid="{00000000-0005-0000-0000-000008470000}"/>
    <cellStyle name="20% - Accent6 3 3 3 4" xfId="6448" xr:uid="{00000000-0005-0000-0000-000009470000}"/>
    <cellStyle name="20% - Accent6 3 3 3 4 2" xfId="25899" xr:uid="{00000000-0005-0000-0000-00000A470000}"/>
    <cellStyle name="20% - Accent6 3 3 3 4 3" xfId="35624" xr:uid="{00000000-0005-0000-0000-00000B470000}"/>
    <cellStyle name="20% - Accent6 3 3 3 4 4" xfId="45349" xr:uid="{00000000-0005-0000-0000-00000C470000}"/>
    <cellStyle name="20% - Accent6 3 3 3 4 5" xfId="16174" xr:uid="{00000000-0005-0000-0000-00000D470000}"/>
    <cellStyle name="20% - Accent6 3 3 3 5" xfId="21037" xr:uid="{00000000-0005-0000-0000-00000E470000}"/>
    <cellStyle name="20% - Accent6 3 3 3 6" xfId="30762" xr:uid="{00000000-0005-0000-0000-00000F470000}"/>
    <cellStyle name="20% - Accent6 3 3 3 7" xfId="40487" xr:uid="{00000000-0005-0000-0000-000010470000}"/>
    <cellStyle name="20% - Accent6 3 3 3 8" xfId="11312" xr:uid="{00000000-0005-0000-0000-000011470000}"/>
    <cellStyle name="20% - Accent6 3 3 4" xfId="756" xr:uid="{00000000-0005-0000-0000-000012470000}"/>
    <cellStyle name="20% - Accent6 3 3 4 2" xfId="2396" xr:uid="{00000000-0005-0000-0000-000013470000}"/>
    <cellStyle name="20% - Accent6 3 3 4 2 2" xfId="7258" xr:uid="{00000000-0005-0000-0000-000014470000}"/>
    <cellStyle name="20% - Accent6 3 3 4 2 2 2" xfId="26709" xr:uid="{00000000-0005-0000-0000-000015470000}"/>
    <cellStyle name="20% - Accent6 3 3 4 2 2 3" xfId="36434" xr:uid="{00000000-0005-0000-0000-000016470000}"/>
    <cellStyle name="20% - Accent6 3 3 4 2 2 4" xfId="46159" xr:uid="{00000000-0005-0000-0000-000017470000}"/>
    <cellStyle name="20% - Accent6 3 3 4 2 2 5" xfId="16984" xr:uid="{00000000-0005-0000-0000-000018470000}"/>
    <cellStyle name="20% - Accent6 3 3 4 2 3" xfId="21847" xr:uid="{00000000-0005-0000-0000-000019470000}"/>
    <cellStyle name="20% - Accent6 3 3 4 2 4" xfId="31572" xr:uid="{00000000-0005-0000-0000-00001A470000}"/>
    <cellStyle name="20% - Accent6 3 3 4 2 5" xfId="41297" xr:uid="{00000000-0005-0000-0000-00001B470000}"/>
    <cellStyle name="20% - Accent6 3 3 4 2 6" xfId="12122" xr:uid="{00000000-0005-0000-0000-00001C470000}"/>
    <cellStyle name="20% - Accent6 3 3 4 3" xfId="4016" xr:uid="{00000000-0005-0000-0000-00001D470000}"/>
    <cellStyle name="20% - Accent6 3 3 4 3 2" xfId="8878" xr:uid="{00000000-0005-0000-0000-00001E470000}"/>
    <cellStyle name="20% - Accent6 3 3 4 3 2 2" xfId="28329" xr:uid="{00000000-0005-0000-0000-00001F470000}"/>
    <cellStyle name="20% - Accent6 3 3 4 3 2 3" xfId="38054" xr:uid="{00000000-0005-0000-0000-000020470000}"/>
    <cellStyle name="20% - Accent6 3 3 4 3 2 4" xfId="47779" xr:uid="{00000000-0005-0000-0000-000021470000}"/>
    <cellStyle name="20% - Accent6 3 3 4 3 2 5" xfId="18604" xr:uid="{00000000-0005-0000-0000-000022470000}"/>
    <cellStyle name="20% - Accent6 3 3 4 3 3" xfId="23467" xr:uid="{00000000-0005-0000-0000-000023470000}"/>
    <cellStyle name="20% - Accent6 3 3 4 3 4" xfId="33192" xr:uid="{00000000-0005-0000-0000-000024470000}"/>
    <cellStyle name="20% - Accent6 3 3 4 3 5" xfId="42917" xr:uid="{00000000-0005-0000-0000-000025470000}"/>
    <cellStyle name="20% - Accent6 3 3 4 3 6" xfId="13742" xr:uid="{00000000-0005-0000-0000-000026470000}"/>
    <cellStyle name="20% - Accent6 3 3 4 4" xfId="5638" xr:uid="{00000000-0005-0000-0000-000027470000}"/>
    <cellStyle name="20% - Accent6 3 3 4 4 2" xfId="25089" xr:uid="{00000000-0005-0000-0000-000028470000}"/>
    <cellStyle name="20% - Accent6 3 3 4 4 3" xfId="34814" xr:uid="{00000000-0005-0000-0000-000029470000}"/>
    <cellStyle name="20% - Accent6 3 3 4 4 4" xfId="44539" xr:uid="{00000000-0005-0000-0000-00002A470000}"/>
    <cellStyle name="20% - Accent6 3 3 4 4 5" xfId="15364" xr:uid="{00000000-0005-0000-0000-00002B470000}"/>
    <cellStyle name="20% - Accent6 3 3 4 5" xfId="20227" xr:uid="{00000000-0005-0000-0000-00002C470000}"/>
    <cellStyle name="20% - Accent6 3 3 4 6" xfId="29952" xr:uid="{00000000-0005-0000-0000-00002D470000}"/>
    <cellStyle name="20% - Accent6 3 3 4 7" xfId="39677" xr:uid="{00000000-0005-0000-0000-00002E470000}"/>
    <cellStyle name="20% - Accent6 3 3 4 8" xfId="10502" xr:uid="{00000000-0005-0000-0000-00002F470000}"/>
    <cellStyle name="20% - Accent6 3 3 5" xfId="2036" xr:uid="{00000000-0005-0000-0000-000030470000}"/>
    <cellStyle name="20% - Accent6 3 3 5 2" xfId="6898" xr:uid="{00000000-0005-0000-0000-000031470000}"/>
    <cellStyle name="20% - Accent6 3 3 5 2 2" xfId="26349" xr:uid="{00000000-0005-0000-0000-000032470000}"/>
    <cellStyle name="20% - Accent6 3 3 5 2 3" xfId="36074" xr:uid="{00000000-0005-0000-0000-000033470000}"/>
    <cellStyle name="20% - Accent6 3 3 5 2 4" xfId="45799" xr:uid="{00000000-0005-0000-0000-000034470000}"/>
    <cellStyle name="20% - Accent6 3 3 5 2 5" xfId="16624" xr:uid="{00000000-0005-0000-0000-000035470000}"/>
    <cellStyle name="20% - Accent6 3 3 5 3" xfId="21487" xr:uid="{00000000-0005-0000-0000-000036470000}"/>
    <cellStyle name="20% - Accent6 3 3 5 4" xfId="31212" xr:uid="{00000000-0005-0000-0000-000037470000}"/>
    <cellStyle name="20% - Accent6 3 3 5 5" xfId="40937" xr:uid="{00000000-0005-0000-0000-000038470000}"/>
    <cellStyle name="20% - Accent6 3 3 5 6" xfId="11762" xr:uid="{00000000-0005-0000-0000-000039470000}"/>
    <cellStyle name="20% - Accent6 3 3 6" xfId="3656" xr:uid="{00000000-0005-0000-0000-00003A470000}"/>
    <cellStyle name="20% - Accent6 3 3 6 2" xfId="8518" xr:uid="{00000000-0005-0000-0000-00003B470000}"/>
    <cellStyle name="20% - Accent6 3 3 6 2 2" xfId="27969" xr:uid="{00000000-0005-0000-0000-00003C470000}"/>
    <cellStyle name="20% - Accent6 3 3 6 2 3" xfId="37694" xr:uid="{00000000-0005-0000-0000-00003D470000}"/>
    <cellStyle name="20% - Accent6 3 3 6 2 4" xfId="47419" xr:uid="{00000000-0005-0000-0000-00003E470000}"/>
    <cellStyle name="20% - Accent6 3 3 6 2 5" xfId="18244" xr:uid="{00000000-0005-0000-0000-00003F470000}"/>
    <cellStyle name="20% - Accent6 3 3 6 3" xfId="23107" xr:uid="{00000000-0005-0000-0000-000040470000}"/>
    <cellStyle name="20% - Accent6 3 3 6 4" xfId="32832" xr:uid="{00000000-0005-0000-0000-000041470000}"/>
    <cellStyle name="20% - Accent6 3 3 6 5" xfId="42557" xr:uid="{00000000-0005-0000-0000-000042470000}"/>
    <cellStyle name="20% - Accent6 3 3 6 6" xfId="13382" xr:uid="{00000000-0005-0000-0000-000043470000}"/>
    <cellStyle name="20% - Accent6 3 3 7" xfId="5278" xr:uid="{00000000-0005-0000-0000-000044470000}"/>
    <cellStyle name="20% - Accent6 3 3 7 2" xfId="24729" xr:uid="{00000000-0005-0000-0000-000045470000}"/>
    <cellStyle name="20% - Accent6 3 3 7 3" xfId="34454" xr:uid="{00000000-0005-0000-0000-000046470000}"/>
    <cellStyle name="20% - Accent6 3 3 7 4" xfId="44179" xr:uid="{00000000-0005-0000-0000-000047470000}"/>
    <cellStyle name="20% - Accent6 3 3 7 5" xfId="15004" xr:uid="{00000000-0005-0000-0000-000048470000}"/>
    <cellStyle name="20% - Accent6 3 3 8" xfId="19867" xr:uid="{00000000-0005-0000-0000-000049470000}"/>
    <cellStyle name="20% - Accent6 3 3 9" xfId="29592" xr:uid="{00000000-0005-0000-0000-00004A470000}"/>
    <cellStyle name="20% - Accent6 3 4" xfId="173" xr:uid="{00000000-0005-0000-0000-00004B470000}"/>
    <cellStyle name="20% - Accent6 3 4 10" xfId="39137" xr:uid="{00000000-0005-0000-0000-00004C470000}"/>
    <cellStyle name="20% - Accent6 3 4 11" xfId="9962" xr:uid="{00000000-0005-0000-0000-00004D470000}"/>
    <cellStyle name="20% - Accent6 3 4 2" xfId="937" xr:uid="{00000000-0005-0000-0000-00004E470000}"/>
    <cellStyle name="20% - Accent6 3 4 2 2" xfId="2576" xr:uid="{00000000-0005-0000-0000-00004F470000}"/>
    <cellStyle name="20% - Accent6 3 4 2 2 2" xfId="7438" xr:uid="{00000000-0005-0000-0000-000050470000}"/>
    <cellStyle name="20% - Accent6 3 4 2 2 2 2" xfId="26889" xr:uid="{00000000-0005-0000-0000-000051470000}"/>
    <cellStyle name="20% - Accent6 3 4 2 2 2 3" xfId="36614" xr:uid="{00000000-0005-0000-0000-000052470000}"/>
    <cellStyle name="20% - Accent6 3 4 2 2 2 4" xfId="46339" xr:uid="{00000000-0005-0000-0000-000053470000}"/>
    <cellStyle name="20% - Accent6 3 4 2 2 2 5" xfId="17164" xr:uid="{00000000-0005-0000-0000-000054470000}"/>
    <cellStyle name="20% - Accent6 3 4 2 2 3" xfId="22027" xr:uid="{00000000-0005-0000-0000-000055470000}"/>
    <cellStyle name="20% - Accent6 3 4 2 2 4" xfId="31752" xr:uid="{00000000-0005-0000-0000-000056470000}"/>
    <cellStyle name="20% - Accent6 3 4 2 2 5" xfId="41477" xr:uid="{00000000-0005-0000-0000-000057470000}"/>
    <cellStyle name="20% - Accent6 3 4 2 2 6" xfId="12302" xr:uid="{00000000-0005-0000-0000-000058470000}"/>
    <cellStyle name="20% - Accent6 3 4 2 3" xfId="4196" xr:uid="{00000000-0005-0000-0000-000059470000}"/>
    <cellStyle name="20% - Accent6 3 4 2 3 2" xfId="9058" xr:uid="{00000000-0005-0000-0000-00005A470000}"/>
    <cellStyle name="20% - Accent6 3 4 2 3 2 2" xfId="28509" xr:uid="{00000000-0005-0000-0000-00005B470000}"/>
    <cellStyle name="20% - Accent6 3 4 2 3 2 3" xfId="38234" xr:uid="{00000000-0005-0000-0000-00005C470000}"/>
    <cellStyle name="20% - Accent6 3 4 2 3 2 4" xfId="47959" xr:uid="{00000000-0005-0000-0000-00005D470000}"/>
    <cellStyle name="20% - Accent6 3 4 2 3 2 5" xfId="18784" xr:uid="{00000000-0005-0000-0000-00005E470000}"/>
    <cellStyle name="20% - Accent6 3 4 2 3 3" xfId="23647" xr:uid="{00000000-0005-0000-0000-00005F470000}"/>
    <cellStyle name="20% - Accent6 3 4 2 3 4" xfId="33372" xr:uid="{00000000-0005-0000-0000-000060470000}"/>
    <cellStyle name="20% - Accent6 3 4 2 3 5" xfId="43097" xr:uid="{00000000-0005-0000-0000-000061470000}"/>
    <cellStyle name="20% - Accent6 3 4 2 3 6" xfId="13922" xr:uid="{00000000-0005-0000-0000-000062470000}"/>
    <cellStyle name="20% - Accent6 3 4 2 4" xfId="5818" xr:uid="{00000000-0005-0000-0000-000063470000}"/>
    <cellStyle name="20% - Accent6 3 4 2 4 2" xfId="25269" xr:uid="{00000000-0005-0000-0000-000064470000}"/>
    <cellStyle name="20% - Accent6 3 4 2 4 3" xfId="34994" xr:uid="{00000000-0005-0000-0000-000065470000}"/>
    <cellStyle name="20% - Accent6 3 4 2 4 4" xfId="44719" xr:uid="{00000000-0005-0000-0000-000066470000}"/>
    <cellStyle name="20% - Accent6 3 4 2 4 5" xfId="15544" xr:uid="{00000000-0005-0000-0000-000067470000}"/>
    <cellStyle name="20% - Accent6 3 4 2 5" xfId="20407" xr:uid="{00000000-0005-0000-0000-000068470000}"/>
    <cellStyle name="20% - Accent6 3 4 2 6" xfId="30132" xr:uid="{00000000-0005-0000-0000-000069470000}"/>
    <cellStyle name="20% - Accent6 3 4 2 7" xfId="39857" xr:uid="{00000000-0005-0000-0000-00006A470000}"/>
    <cellStyle name="20% - Accent6 3 4 2 8" xfId="10682" xr:uid="{00000000-0005-0000-0000-00006B470000}"/>
    <cellStyle name="20% - Accent6 3 4 3" xfId="1405" xr:uid="{00000000-0005-0000-0000-00006C470000}"/>
    <cellStyle name="20% - Accent6 3 4 3 2" xfId="3026" xr:uid="{00000000-0005-0000-0000-00006D470000}"/>
    <cellStyle name="20% - Accent6 3 4 3 2 2" xfId="7888" xr:uid="{00000000-0005-0000-0000-00006E470000}"/>
    <cellStyle name="20% - Accent6 3 4 3 2 2 2" xfId="27339" xr:uid="{00000000-0005-0000-0000-00006F470000}"/>
    <cellStyle name="20% - Accent6 3 4 3 2 2 3" xfId="37064" xr:uid="{00000000-0005-0000-0000-000070470000}"/>
    <cellStyle name="20% - Accent6 3 4 3 2 2 4" xfId="46789" xr:uid="{00000000-0005-0000-0000-000071470000}"/>
    <cellStyle name="20% - Accent6 3 4 3 2 2 5" xfId="17614" xr:uid="{00000000-0005-0000-0000-000072470000}"/>
    <cellStyle name="20% - Accent6 3 4 3 2 3" xfId="22477" xr:uid="{00000000-0005-0000-0000-000073470000}"/>
    <cellStyle name="20% - Accent6 3 4 3 2 4" xfId="32202" xr:uid="{00000000-0005-0000-0000-000074470000}"/>
    <cellStyle name="20% - Accent6 3 4 3 2 5" xfId="41927" xr:uid="{00000000-0005-0000-0000-000075470000}"/>
    <cellStyle name="20% - Accent6 3 4 3 2 6" xfId="12752" xr:uid="{00000000-0005-0000-0000-000076470000}"/>
    <cellStyle name="20% - Accent6 3 4 3 3" xfId="4646" xr:uid="{00000000-0005-0000-0000-000077470000}"/>
    <cellStyle name="20% - Accent6 3 4 3 3 2" xfId="9508" xr:uid="{00000000-0005-0000-0000-000078470000}"/>
    <cellStyle name="20% - Accent6 3 4 3 3 2 2" xfId="28959" xr:uid="{00000000-0005-0000-0000-000079470000}"/>
    <cellStyle name="20% - Accent6 3 4 3 3 2 3" xfId="38684" xr:uid="{00000000-0005-0000-0000-00007A470000}"/>
    <cellStyle name="20% - Accent6 3 4 3 3 2 4" xfId="48409" xr:uid="{00000000-0005-0000-0000-00007B470000}"/>
    <cellStyle name="20% - Accent6 3 4 3 3 2 5" xfId="19234" xr:uid="{00000000-0005-0000-0000-00007C470000}"/>
    <cellStyle name="20% - Accent6 3 4 3 3 3" xfId="24097" xr:uid="{00000000-0005-0000-0000-00007D470000}"/>
    <cellStyle name="20% - Accent6 3 4 3 3 4" xfId="33822" xr:uid="{00000000-0005-0000-0000-00007E470000}"/>
    <cellStyle name="20% - Accent6 3 4 3 3 5" xfId="43547" xr:uid="{00000000-0005-0000-0000-00007F470000}"/>
    <cellStyle name="20% - Accent6 3 4 3 3 6" xfId="14372" xr:uid="{00000000-0005-0000-0000-000080470000}"/>
    <cellStyle name="20% - Accent6 3 4 3 4" xfId="6268" xr:uid="{00000000-0005-0000-0000-000081470000}"/>
    <cellStyle name="20% - Accent6 3 4 3 4 2" xfId="25719" xr:uid="{00000000-0005-0000-0000-000082470000}"/>
    <cellStyle name="20% - Accent6 3 4 3 4 3" xfId="35444" xr:uid="{00000000-0005-0000-0000-000083470000}"/>
    <cellStyle name="20% - Accent6 3 4 3 4 4" xfId="45169" xr:uid="{00000000-0005-0000-0000-000084470000}"/>
    <cellStyle name="20% - Accent6 3 4 3 4 5" xfId="15994" xr:uid="{00000000-0005-0000-0000-000085470000}"/>
    <cellStyle name="20% - Accent6 3 4 3 5" xfId="20857" xr:uid="{00000000-0005-0000-0000-000086470000}"/>
    <cellStyle name="20% - Accent6 3 4 3 6" xfId="30582" xr:uid="{00000000-0005-0000-0000-000087470000}"/>
    <cellStyle name="20% - Accent6 3 4 3 7" xfId="40307" xr:uid="{00000000-0005-0000-0000-000088470000}"/>
    <cellStyle name="20% - Accent6 3 4 3 8" xfId="11132" xr:uid="{00000000-0005-0000-0000-000089470000}"/>
    <cellStyle name="20% - Accent6 3 4 4" xfId="576" xr:uid="{00000000-0005-0000-0000-00008A470000}"/>
    <cellStyle name="20% - Accent6 3 4 4 2" xfId="2216" xr:uid="{00000000-0005-0000-0000-00008B470000}"/>
    <cellStyle name="20% - Accent6 3 4 4 2 2" xfId="7078" xr:uid="{00000000-0005-0000-0000-00008C470000}"/>
    <cellStyle name="20% - Accent6 3 4 4 2 2 2" xfId="26529" xr:uid="{00000000-0005-0000-0000-00008D470000}"/>
    <cellStyle name="20% - Accent6 3 4 4 2 2 3" xfId="36254" xr:uid="{00000000-0005-0000-0000-00008E470000}"/>
    <cellStyle name="20% - Accent6 3 4 4 2 2 4" xfId="45979" xr:uid="{00000000-0005-0000-0000-00008F470000}"/>
    <cellStyle name="20% - Accent6 3 4 4 2 2 5" xfId="16804" xr:uid="{00000000-0005-0000-0000-000090470000}"/>
    <cellStyle name="20% - Accent6 3 4 4 2 3" xfId="21667" xr:uid="{00000000-0005-0000-0000-000091470000}"/>
    <cellStyle name="20% - Accent6 3 4 4 2 4" xfId="31392" xr:uid="{00000000-0005-0000-0000-000092470000}"/>
    <cellStyle name="20% - Accent6 3 4 4 2 5" xfId="41117" xr:uid="{00000000-0005-0000-0000-000093470000}"/>
    <cellStyle name="20% - Accent6 3 4 4 2 6" xfId="11942" xr:uid="{00000000-0005-0000-0000-000094470000}"/>
    <cellStyle name="20% - Accent6 3 4 4 3" xfId="3836" xr:uid="{00000000-0005-0000-0000-000095470000}"/>
    <cellStyle name="20% - Accent6 3 4 4 3 2" xfId="8698" xr:uid="{00000000-0005-0000-0000-000096470000}"/>
    <cellStyle name="20% - Accent6 3 4 4 3 2 2" xfId="28149" xr:uid="{00000000-0005-0000-0000-000097470000}"/>
    <cellStyle name="20% - Accent6 3 4 4 3 2 3" xfId="37874" xr:uid="{00000000-0005-0000-0000-000098470000}"/>
    <cellStyle name="20% - Accent6 3 4 4 3 2 4" xfId="47599" xr:uid="{00000000-0005-0000-0000-000099470000}"/>
    <cellStyle name="20% - Accent6 3 4 4 3 2 5" xfId="18424" xr:uid="{00000000-0005-0000-0000-00009A470000}"/>
    <cellStyle name="20% - Accent6 3 4 4 3 3" xfId="23287" xr:uid="{00000000-0005-0000-0000-00009B470000}"/>
    <cellStyle name="20% - Accent6 3 4 4 3 4" xfId="33012" xr:uid="{00000000-0005-0000-0000-00009C470000}"/>
    <cellStyle name="20% - Accent6 3 4 4 3 5" xfId="42737" xr:uid="{00000000-0005-0000-0000-00009D470000}"/>
    <cellStyle name="20% - Accent6 3 4 4 3 6" xfId="13562" xr:uid="{00000000-0005-0000-0000-00009E470000}"/>
    <cellStyle name="20% - Accent6 3 4 4 4" xfId="5458" xr:uid="{00000000-0005-0000-0000-00009F470000}"/>
    <cellStyle name="20% - Accent6 3 4 4 4 2" xfId="24909" xr:uid="{00000000-0005-0000-0000-0000A0470000}"/>
    <cellStyle name="20% - Accent6 3 4 4 4 3" xfId="34634" xr:uid="{00000000-0005-0000-0000-0000A1470000}"/>
    <cellStyle name="20% - Accent6 3 4 4 4 4" xfId="44359" xr:uid="{00000000-0005-0000-0000-0000A2470000}"/>
    <cellStyle name="20% - Accent6 3 4 4 4 5" xfId="15184" xr:uid="{00000000-0005-0000-0000-0000A3470000}"/>
    <cellStyle name="20% - Accent6 3 4 4 5" xfId="20047" xr:uid="{00000000-0005-0000-0000-0000A4470000}"/>
    <cellStyle name="20% - Accent6 3 4 4 6" xfId="29772" xr:uid="{00000000-0005-0000-0000-0000A5470000}"/>
    <cellStyle name="20% - Accent6 3 4 4 7" xfId="39497" xr:uid="{00000000-0005-0000-0000-0000A6470000}"/>
    <cellStyle name="20% - Accent6 3 4 4 8" xfId="10322" xr:uid="{00000000-0005-0000-0000-0000A7470000}"/>
    <cellStyle name="20% - Accent6 3 4 5" xfId="1856" xr:uid="{00000000-0005-0000-0000-0000A8470000}"/>
    <cellStyle name="20% - Accent6 3 4 5 2" xfId="6718" xr:uid="{00000000-0005-0000-0000-0000A9470000}"/>
    <cellStyle name="20% - Accent6 3 4 5 2 2" xfId="26169" xr:uid="{00000000-0005-0000-0000-0000AA470000}"/>
    <cellStyle name="20% - Accent6 3 4 5 2 3" xfId="35894" xr:uid="{00000000-0005-0000-0000-0000AB470000}"/>
    <cellStyle name="20% - Accent6 3 4 5 2 4" xfId="45619" xr:uid="{00000000-0005-0000-0000-0000AC470000}"/>
    <cellStyle name="20% - Accent6 3 4 5 2 5" xfId="16444" xr:uid="{00000000-0005-0000-0000-0000AD470000}"/>
    <cellStyle name="20% - Accent6 3 4 5 3" xfId="21307" xr:uid="{00000000-0005-0000-0000-0000AE470000}"/>
    <cellStyle name="20% - Accent6 3 4 5 4" xfId="31032" xr:uid="{00000000-0005-0000-0000-0000AF470000}"/>
    <cellStyle name="20% - Accent6 3 4 5 5" xfId="40757" xr:uid="{00000000-0005-0000-0000-0000B0470000}"/>
    <cellStyle name="20% - Accent6 3 4 5 6" xfId="11582" xr:uid="{00000000-0005-0000-0000-0000B1470000}"/>
    <cellStyle name="20% - Accent6 3 4 6" xfId="3476" xr:uid="{00000000-0005-0000-0000-0000B2470000}"/>
    <cellStyle name="20% - Accent6 3 4 6 2" xfId="8338" xr:uid="{00000000-0005-0000-0000-0000B3470000}"/>
    <cellStyle name="20% - Accent6 3 4 6 2 2" xfId="27789" xr:uid="{00000000-0005-0000-0000-0000B4470000}"/>
    <cellStyle name="20% - Accent6 3 4 6 2 3" xfId="37514" xr:uid="{00000000-0005-0000-0000-0000B5470000}"/>
    <cellStyle name="20% - Accent6 3 4 6 2 4" xfId="47239" xr:uid="{00000000-0005-0000-0000-0000B6470000}"/>
    <cellStyle name="20% - Accent6 3 4 6 2 5" xfId="18064" xr:uid="{00000000-0005-0000-0000-0000B7470000}"/>
    <cellStyle name="20% - Accent6 3 4 6 3" xfId="22927" xr:uid="{00000000-0005-0000-0000-0000B8470000}"/>
    <cellStyle name="20% - Accent6 3 4 6 4" xfId="32652" xr:uid="{00000000-0005-0000-0000-0000B9470000}"/>
    <cellStyle name="20% - Accent6 3 4 6 5" xfId="42377" xr:uid="{00000000-0005-0000-0000-0000BA470000}"/>
    <cellStyle name="20% - Accent6 3 4 6 6" xfId="13202" xr:uid="{00000000-0005-0000-0000-0000BB470000}"/>
    <cellStyle name="20% - Accent6 3 4 7" xfId="5098" xr:uid="{00000000-0005-0000-0000-0000BC470000}"/>
    <cellStyle name="20% - Accent6 3 4 7 2" xfId="24549" xr:uid="{00000000-0005-0000-0000-0000BD470000}"/>
    <cellStyle name="20% - Accent6 3 4 7 3" xfId="34274" xr:uid="{00000000-0005-0000-0000-0000BE470000}"/>
    <cellStyle name="20% - Accent6 3 4 7 4" xfId="43999" xr:uid="{00000000-0005-0000-0000-0000BF470000}"/>
    <cellStyle name="20% - Accent6 3 4 7 5" xfId="14824" xr:uid="{00000000-0005-0000-0000-0000C0470000}"/>
    <cellStyle name="20% - Accent6 3 4 8" xfId="19687" xr:uid="{00000000-0005-0000-0000-0000C1470000}"/>
    <cellStyle name="20% - Accent6 3 4 9" xfId="29412" xr:uid="{00000000-0005-0000-0000-0000C2470000}"/>
    <cellStyle name="20% - Accent6 3 5" xfId="847" xr:uid="{00000000-0005-0000-0000-0000C3470000}"/>
    <cellStyle name="20% - Accent6 3 5 2" xfId="2486" xr:uid="{00000000-0005-0000-0000-0000C4470000}"/>
    <cellStyle name="20% - Accent6 3 5 2 2" xfId="7348" xr:uid="{00000000-0005-0000-0000-0000C5470000}"/>
    <cellStyle name="20% - Accent6 3 5 2 2 2" xfId="26799" xr:uid="{00000000-0005-0000-0000-0000C6470000}"/>
    <cellStyle name="20% - Accent6 3 5 2 2 3" xfId="36524" xr:uid="{00000000-0005-0000-0000-0000C7470000}"/>
    <cellStyle name="20% - Accent6 3 5 2 2 4" xfId="46249" xr:uid="{00000000-0005-0000-0000-0000C8470000}"/>
    <cellStyle name="20% - Accent6 3 5 2 2 5" xfId="17074" xr:uid="{00000000-0005-0000-0000-0000C9470000}"/>
    <cellStyle name="20% - Accent6 3 5 2 3" xfId="21937" xr:uid="{00000000-0005-0000-0000-0000CA470000}"/>
    <cellStyle name="20% - Accent6 3 5 2 4" xfId="31662" xr:uid="{00000000-0005-0000-0000-0000CB470000}"/>
    <cellStyle name="20% - Accent6 3 5 2 5" xfId="41387" xr:uid="{00000000-0005-0000-0000-0000CC470000}"/>
    <cellStyle name="20% - Accent6 3 5 2 6" xfId="12212" xr:uid="{00000000-0005-0000-0000-0000CD470000}"/>
    <cellStyle name="20% - Accent6 3 5 3" xfId="4106" xr:uid="{00000000-0005-0000-0000-0000CE470000}"/>
    <cellStyle name="20% - Accent6 3 5 3 2" xfId="8968" xr:uid="{00000000-0005-0000-0000-0000CF470000}"/>
    <cellStyle name="20% - Accent6 3 5 3 2 2" xfId="28419" xr:uid="{00000000-0005-0000-0000-0000D0470000}"/>
    <cellStyle name="20% - Accent6 3 5 3 2 3" xfId="38144" xr:uid="{00000000-0005-0000-0000-0000D1470000}"/>
    <cellStyle name="20% - Accent6 3 5 3 2 4" xfId="47869" xr:uid="{00000000-0005-0000-0000-0000D2470000}"/>
    <cellStyle name="20% - Accent6 3 5 3 2 5" xfId="18694" xr:uid="{00000000-0005-0000-0000-0000D3470000}"/>
    <cellStyle name="20% - Accent6 3 5 3 3" xfId="23557" xr:uid="{00000000-0005-0000-0000-0000D4470000}"/>
    <cellStyle name="20% - Accent6 3 5 3 4" xfId="33282" xr:uid="{00000000-0005-0000-0000-0000D5470000}"/>
    <cellStyle name="20% - Accent6 3 5 3 5" xfId="43007" xr:uid="{00000000-0005-0000-0000-0000D6470000}"/>
    <cellStyle name="20% - Accent6 3 5 3 6" xfId="13832" xr:uid="{00000000-0005-0000-0000-0000D7470000}"/>
    <cellStyle name="20% - Accent6 3 5 4" xfId="5728" xr:uid="{00000000-0005-0000-0000-0000D8470000}"/>
    <cellStyle name="20% - Accent6 3 5 4 2" xfId="25179" xr:uid="{00000000-0005-0000-0000-0000D9470000}"/>
    <cellStyle name="20% - Accent6 3 5 4 3" xfId="34904" xr:uid="{00000000-0005-0000-0000-0000DA470000}"/>
    <cellStyle name="20% - Accent6 3 5 4 4" xfId="44629" xr:uid="{00000000-0005-0000-0000-0000DB470000}"/>
    <cellStyle name="20% - Accent6 3 5 4 5" xfId="15454" xr:uid="{00000000-0005-0000-0000-0000DC470000}"/>
    <cellStyle name="20% - Accent6 3 5 5" xfId="20317" xr:uid="{00000000-0005-0000-0000-0000DD470000}"/>
    <cellStyle name="20% - Accent6 3 5 6" xfId="30042" xr:uid="{00000000-0005-0000-0000-0000DE470000}"/>
    <cellStyle name="20% - Accent6 3 5 7" xfId="39767" xr:uid="{00000000-0005-0000-0000-0000DF470000}"/>
    <cellStyle name="20% - Accent6 3 5 8" xfId="10592" xr:uid="{00000000-0005-0000-0000-0000E0470000}"/>
    <cellStyle name="20% - Accent6 3 6" xfId="1225" xr:uid="{00000000-0005-0000-0000-0000E1470000}"/>
    <cellStyle name="20% - Accent6 3 6 2" xfId="2846" xr:uid="{00000000-0005-0000-0000-0000E2470000}"/>
    <cellStyle name="20% - Accent6 3 6 2 2" xfId="7708" xr:uid="{00000000-0005-0000-0000-0000E3470000}"/>
    <cellStyle name="20% - Accent6 3 6 2 2 2" xfId="27159" xr:uid="{00000000-0005-0000-0000-0000E4470000}"/>
    <cellStyle name="20% - Accent6 3 6 2 2 3" xfId="36884" xr:uid="{00000000-0005-0000-0000-0000E5470000}"/>
    <cellStyle name="20% - Accent6 3 6 2 2 4" xfId="46609" xr:uid="{00000000-0005-0000-0000-0000E6470000}"/>
    <cellStyle name="20% - Accent6 3 6 2 2 5" xfId="17434" xr:uid="{00000000-0005-0000-0000-0000E7470000}"/>
    <cellStyle name="20% - Accent6 3 6 2 3" xfId="22297" xr:uid="{00000000-0005-0000-0000-0000E8470000}"/>
    <cellStyle name="20% - Accent6 3 6 2 4" xfId="32022" xr:uid="{00000000-0005-0000-0000-0000E9470000}"/>
    <cellStyle name="20% - Accent6 3 6 2 5" xfId="41747" xr:uid="{00000000-0005-0000-0000-0000EA470000}"/>
    <cellStyle name="20% - Accent6 3 6 2 6" xfId="12572" xr:uid="{00000000-0005-0000-0000-0000EB470000}"/>
    <cellStyle name="20% - Accent6 3 6 3" xfId="4466" xr:uid="{00000000-0005-0000-0000-0000EC470000}"/>
    <cellStyle name="20% - Accent6 3 6 3 2" xfId="9328" xr:uid="{00000000-0005-0000-0000-0000ED470000}"/>
    <cellStyle name="20% - Accent6 3 6 3 2 2" xfId="28779" xr:uid="{00000000-0005-0000-0000-0000EE470000}"/>
    <cellStyle name="20% - Accent6 3 6 3 2 3" xfId="38504" xr:uid="{00000000-0005-0000-0000-0000EF470000}"/>
    <cellStyle name="20% - Accent6 3 6 3 2 4" xfId="48229" xr:uid="{00000000-0005-0000-0000-0000F0470000}"/>
    <cellStyle name="20% - Accent6 3 6 3 2 5" xfId="19054" xr:uid="{00000000-0005-0000-0000-0000F1470000}"/>
    <cellStyle name="20% - Accent6 3 6 3 3" xfId="23917" xr:uid="{00000000-0005-0000-0000-0000F2470000}"/>
    <cellStyle name="20% - Accent6 3 6 3 4" xfId="33642" xr:uid="{00000000-0005-0000-0000-0000F3470000}"/>
    <cellStyle name="20% - Accent6 3 6 3 5" xfId="43367" xr:uid="{00000000-0005-0000-0000-0000F4470000}"/>
    <cellStyle name="20% - Accent6 3 6 3 6" xfId="14192" xr:uid="{00000000-0005-0000-0000-0000F5470000}"/>
    <cellStyle name="20% - Accent6 3 6 4" xfId="6088" xr:uid="{00000000-0005-0000-0000-0000F6470000}"/>
    <cellStyle name="20% - Accent6 3 6 4 2" xfId="25539" xr:uid="{00000000-0005-0000-0000-0000F7470000}"/>
    <cellStyle name="20% - Accent6 3 6 4 3" xfId="35264" xr:uid="{00000000-0005-0000-0000-0000F8470000}"/>
    <cellStyle name="20% - Accent6 3 6 4 4" xfId="44989" xr:uid="{00000000-0005-0000-0000-0000F9470000}"/>
    <cellStyle name="20% - Accent6 3 6 4 5" xfId="15814" xr:uid="{00000000-0005-0000-0000-0000FA470000}"/>
    <cellStyle name="20% - Accent6 3 6 5" xfId="20677" xr:uid="{00000000-0005-0000-0000-0000FB470000}"/>
    <cellStyle name="20% - Accent6 3 6 6" xfId="30402" xr:uid="{00000000-0005-0000-0000-0000FC470000}"/>
    <cellStyle name="20% - Accent6 3 6 7" xfId="40127" xr:uid="{00000000-0005-0000-0000-0000FD470000}"/>
    <cellStyle name="20% - Accent6 3 6 8" xfId="10952" xr:uid="{00000000-0005-0000-0000-0000FE470000}"/>
    <cellStyle name="20% - Accent6 3 7" xfId="1315" xr:uid="{00000000-0005-0000-0000-0000FF470000}"/>
    <cellStyle name="20% - Accent6 3 7 2" xfId="2936" xr:uid="{00000000-0005-0000-0000-000000480000}"/>
    <cellStyle name="20% - Accent6 3 7 2 2" xfId="7798" xr:uid="{00000000-0005-0000-0000-000001480000}"/>
    <cellStyle name="20% - Accent6 3 7 2 2 2" xfId="27249" xr:uid="{00000000-0005-0000-0000-000002480000}"/>
    <cellStyle name="20% - Accent6 3 7 2 2 3" xfId="36974" xr:uid="{00000000-0005-0000-0000-000003480000}"/>
    <cellStyle name="20% - Accent6 3 7 2 2 4" xfId="46699" xr:uid="{00000000-0005-0000-0000-000004480000}"/>
    <cellStyle name="20% - Accent6 3 7 2 2 5" xfId="17524" xr:uid="{00000000-0005-0000-0000-000005480000}"/>
    <cellStyle name="20% - Accent6 3 7 2 3" xfId="22387" xr:uid="{00000000-0005-0000-0000-000006480000}"/>
    <cellStyle name="20% - Accent6 3 7 2 4" xfId="32112" xr:uid="{00000000-0005-0000-0000-000007480000}"/>
    <cellStyle name="20% - Accent6 3 7 2 5" xfId="41837" xr:uid="{00000000-0005-0000-0000-000008480000}"/>
    <cellStyle name="20% - Accent6 3 7 2 6" xfId="12662" xr:uid="{00000000-0005-0000-0000-000009480000}"/>
    <cellStyle name="20% - Accent6 3 7 3" xfId="4556" xr:uid="{00000000-0005-0000-0000-00000A480000}"/>
    <cellStyle name="20% - Accent6 3 7 3 2" xfId="9418" xr:uid="{00000000-0005-0000-0000-00000B480000}"/>
    <cellStyle name="20% - Accent6 3 7 3 2 2" xfId="28869" xr:uid="{00000000-0005-0000-0000-00000C480000}"/>
    <cellStyle name="20% - Accent6 3 7 3 2 3" xfId="38594" xr:uid="{00000000-0005-0000-0000-00000D480000}"/>
    <cellStyle name="20% - Accent6 3 7 3 2 4" xfId="48319" xr:uid="{00000000-0005-0000-0000-00000E480000}"/>
    <cellStyle name="20% - Accent6 3 7 3 2 5" xfId="19144" xr:uid="{00000000-0005-0000-0000-00000F480000}"/>
    <cellStyle name="20% - Accent6 3 7 3 3" xfId="24007" xr:uid="{00000000-0005-0000-0000-000010480000}"/>
    <cellStyle name="20% - Accent6 3 7 3 4" xfId="33732" xr:uid="{00000000-0005-0000-0000-000011480000}"/>
    <cellStyle name="20% - Accent6 3 7 3 5" xfId="43457" xr:uid="{00000000-0005-0000-0000-000012480000}"/>
    <cellStyle name="20% - Accent6 3 7 3 6" xfId="14282" xr:uid="{00000000-0005-0000-0000-000013480000}"/>
    <cellStyle name="20% - Accent6 3 7 4" xfId="6178" xr:uid="{00000000-0005-0000-0000-000014480000}"/>
    <cellStyle name="20% - Accent6 3 7 4 2" xfId="25629" xr:uid="{00000000-0005-0000-0000-000015480000}"/>
    <cellStyle name="20% - Accent6 3 7 4 3" xfId="35354" xr:uid="{00000000-0005-0000-0000-000016480000}"/>
    <cellStyle name="20% - Accent6 3 7 4 4" xfId="45079" xr:uid="{00000000-0005-0000-0000-000017480000}"/>
    <cellStyle name="20% - Accent6 3 7 4 5" xfId="15904" xr:uid="{00000000-0005-0000-0000-000018480000}"/>
    <cellStyle name="20% - Accent6 3 7 5" xfId="20767" xr:uid="{00000000-0005-0000-0000-000019480000}"/>
    <cellStyle name="20% - Accent6 3 7 6" xfId="30492" xr:uid="{00000000-0005-0000-0000-00001A480000}"/>
    <cellStyle name="20% - Accent6 3 7 7" xfId="40217" xr:uid="{00000000-0005-0000-0000-00001B480000}"/>
    <cellStyle name="20% - Accent6 3 7 8" xfId="11042" xr:uid="{00000000-0005-0000-0000-00001C480000}"/>
    <cellStyle name="20% - Accent6 3 8" xfId="486" xr:uid="{00000000-0005-0000-0000-00001D480000}"/>
    <cellStyle name="20% - Accent6 3 8 2" xfId="2126" xr:uid="{00000000-0005-0000-0000-00001E480000}"/>
    <cellStyle name="20% - Accent6 3 8 2 2" xfId="6988" xr:uid="{00000000-0005-0000-0000-00001F480000}"/>
    <cellStyle name="20% - Accent6 3 8 2 2 2" xfId="26439" xr:uid="{00000000-0005-0000-0000-000020480000}"/>
    <cellStyle name="20% - Accent6 3 8 2 2 3" xfId="36164" xr:uid="{00000000-0005-0000-0000-000021480000}"/>
    <cellStyle name="20% - Accent6 3 8 2 2 4" xfId="45889" xr:uid="{00000000-0005-0000-0000-000022480000}"/>
    <cellStyle name="20% - Accent6 3 8 2 2 5" xfId="16714" xr:uid="{00000000-0005-0000-0000-000023480000}"/>
    <cellStyle name="20% - Accent6 3 8 2 3" xfId="21577" xr:uid="{00000000-0005-0000-0000-000024480000}"/>
    <cellStyle name="20% - Accent6 3 8 2 4" xfId="31302" xr:uid="{00000000-0005-0000-0000-000025480000}"/>
    <cellStyle name="20% - Accent6 3 8 2 5" xfId="41027" xr:uid="{00000000-0005-0000-0000-000026480000}"/>
    <cellStyle name="20% - Accent6 3 8 2 6" xfId="11852" xr:uid="{00000000-0005-0000-0000-000027480000}"/>
    <cellStyle name="20% - Accent6 3 8 3" xfId="3746" xr:uid="{00000000-0005-0000-0000-000028480000}"/>
    <cellStyle name="20% - Accent6 3 8 3 2" xfId="8608" xr:uid="{00000000-0005-0000-0000-000029480000}"/>
    <cellStyle name="20% - Accent6 3 8 3 2 2" xfId="28059" xr:uid="{00000000-0005-0000-0000-00002A480000}"/>
    <cellStyle name="20% - Accent6 3 8 3 2 3" xfId="37784" xr:uid="{00000000-0005-0000-0000-00002B480000}"/>
    <cellStyle name="20% - Accent6 3 8 3 2 4" xfId="47509" xr:uid="{00000000-0005-0000-0000-00002C480000}"/>
    <cellStyle name="20% - Accent6 3 8 3 2 5" xfId="18334" xr:uid="{00000000-0005-0000-0000-00002D480000}"/>
    <cellStyle name="20% - Accent6 3 8 3 3" xfId="23197" xr:uid="{00000000-0005-0000-0000-00002E480000}"/>
    <cellStyle name="20% - Accent6 3 8 3 4" xfId="32922" xr:uid="{00000000-0005-0000-0000-00002F480000}"/>
    <cellStyle name="20% - Accent6 3 8 3 5" xfId="42647" xr:uid="{00000000-0005-0000-0000-000030480000}"/>
    <cellStyle name="20% - Accent6 3 8 3 6" xfId="13472" xr:uid="{00000000-0005-0000-0000-000031480000}"/>
    <cellStyle name="20% - Accent6 3 8 4" xfId="5368" xr:uid="{00000000-0005-0000-0000-000032480000}"/>
    <cellStyle name="20% - Accent6 3 8 4 2" xfId="24819" xr:uid="{00000000-0005-0000-0000-000033480000}"/>
    <cellStyle name="20% - Accent6 3 8 4 3" xfId="34544" xr:uid="{00000000-0005-0000-0000-000034480000}"/>
    <cellStyle name="20% - Accent6 3 8 4 4" xfId="44269" xr:uid="{00000000-0005-0000-0000-000035480000}"/>
    <cellStyle name="20% - Accent6 3 8 4 5" xfId="15094" xr:uid="{00000000-0005-0000-0000-000036480000}"/>
    <cellStyle name="20% - Accent6 3 8 5" xfId="19957" xr:uid="{00000000-0005-0000-0000-000037480000}"/>
    <cellStyle name="20% - Accent6 3 8 6" xfId="29682" xr:uid="{00000000-0005-0000-0000-000038480000}"/>
    <cellStyle name="20% - Accent6 3 8 7" xfId="39407" xr:uid="{00000000-0005-0000-0000-000039480000}"/>
    <cellStyle name="20% - Accent6 3 8 8" xfId="10232" xr:uid="{00000000-0005-0000-0000-00003A480000}"/>
    <cellStyle name="20% - Accent6 3 9" xfId="1675" xr:uid="{00000000-0005-0000-0000-00003B480000}"/>
    <cellStyle name="20% - Accent6 3 9 2" xfId="3296" xr:uid="{00000000-0005-0000-0000-00003C480000}"/>
    <cellStyle name="20% - Accent6 3 9 2 2" xfId="8158" xr:uid="{00000000-0005-0000-0000-00003D480000}"/>
    <cellStyle name="20% - Accent6 3 9 2 2 2" xfId="27609" xr:uid="{00000000-0005-0000-0000-00003E480000}"/>
    <cellStyle name="20% - Accent6 3 9 2 2 3" xfId="37334" xr:uid="{00000000-0005-0000-0000-00003F480000}"/>
    <cellStyle name="20% - Accent6 3 9 2 2 4" xfId="47059" xr:uid="{00000000-0005-0000-0000-000040480000}"/>
    <cellStyle name="20% - Accent6 3 9 2 2 5" xfId="17884" xr:uid="{00000000-0005-0000-0000-000041480000}"/>
    <cellStyle name="20% - Accent6 3 9 2 3" xfId="22747" xr:uid="{00000000-0005-0000-0000-000042480000}"/>
    <cellStyle name="20% - Accent6 3 9 2 4" xfId="32472" xr:uid="{00000000-0005-0000-0000-000043480000}"/>
    <cellStyle name="20% - Accent6 3 9 2 5" xfId="42197" xr:uid="{00000000-0005-0000-0000-000044480000}"/>
    <cellStyle name="20% - Accent6 3 9 2 6" xfId="13022" xr:uid="{00000000-0005-0000-0000-000045480000}"/>
    <cellStyle name="20% - Accent6 3 9 3" xfId="4916" xr:uid="{00000000-0005-0000-0000-000046480000}"/>
    <cellStyle name="20% - Accent6 3 9 3 2" xfId="9778" xr:uid="{00000000-0005-0000-0000-000047480000}"/>
    <cellStyle name="20% - Accent6 3 9 3 2 2" xfId="29229" xr:uid="{00000000-0005-0000-0000-000048480000}"/>
    <cellStyle name="20% - Accent6 3 9 3 2 3" xfId="38954" xr:uid="{00000000-0005-0000-0000-000049480000}"/>
    <cellStyle name="20% - Accent6 3 9 3 2 4" xfId="48679" xr:uid="{00000000-0005-0000-0000-00004A480000}"/>
    <cellStyle name="20% - Accent6 3 9 3 2 5" xfId="19504" xr:uid="{00000000-0005-0000-0000-00004B480000}"/>
    <cellStyle name="20% - Accent6 3 9 3 3" xfId="24367" xr:uid="{00000000-0005-0000-0000-00004C480000}"/>
    <cellStyle name="20% - Accent6 3 9 3 4" xfId="34092" xr:uid="{00000000-0005-0000-0000-00004D480000}"/>
    <cellStyle name="20% - Accent6 3 9 3 5" xfId="43817" xr:uid="{00000000-0005-0000-0000-00004E480000}"/>
    <cellStyle name="20% - Accent6 3 9 3 6" xfId="14642" xr:uid="{00000000-0005-0000-0000-00004F480000}"/>
    <cellStyle name="20% - Accent6 3 9 4" xfId="6538" xr:uid="{00000000-0005-0000-0000-000050480000}"/>
    <cellStyle name="20% - Accent6 3 9 4 2" xfId="25989" xr:uid="{00000000-0005-0000-0000-000051480000}"/>
    <cellStyle name="20% - Accent6 3 9 4 3" xfId="35714" xr:uid="{00000000-0005-0000-0000-000052480000}"/>
    <cellStyle name="20% - Accent6 3 9 4 4" xfId="45439" xr:uid="{00000000-0005-0000-0000-000053480000}"/>
    <cellStyle name="20% - Accent6 3 9 4 5" xfId="16264" xr:uid="{00000000-0005-0000-0000-000054480000}"/>
    <cellStyle name="20% - Accent6 3 9 5" xfId="21127" xr:uid="{00000000-0005-0000-0000-000055480000}"/>
    <cellStyle name="20% - Accent6 3 9 6" xfId="30852" xr:uid="{00000000-0005-0000-0000-000056480000}"/>
    <cellStyle name="20% - Accent6 3 9 7" xfId="40577" xr:uid="{00000000-0005-0000-0000-000057480000}"/>
    <cellStyle name="20% - Accent6 3 9 8" xfId="11402" xr:uid="{00000000-0005-0000-0000-000058480000}"/>
    <cellStyle name="20% - Accent6 4" xfId="112" xr:uid="{00000000-0005-0000-0000-000059480000}"/>
    <cellStyle name="20% - Accent6 4 10" xfId="1796" xr:uid="{00000000-0005-0000-0000-00005A480000}"/>
    <cellStyle name="20% - Accent6 4 10 2" xfId="6658" xr:uid="{00000000-0005-0000-0000-00005B480000}"/>
    <cellStyle name="20% - Accent6 4 10 2 2" xfId="26109" xr:uid="{00000000-0005-0000-0000-00005C480000}"/>
    <cellStyle name="20% - Accent6 4 10 2 3" xfId="35834" xr:uid="{00000000-0005-0000-0000-00005D480000}"/>
    <cellStyle name="20% - Accent6 4 10 2 4" xfId="45559" xr:uid="{00000000-0005-0000-0000-00005E480000}"/>
    <cellStyle name="20% - Accent6 4 10 2 5" xfId="16384" xr:uid="{00000000-0005-0000-0000-00005F480000}"/>
    <cellStyle name="20% - Accent6 4 10 3" xfId="21247" xr:uid="{00000000-0005-0000-0000-000060480000}"/>
    <cellStyle name="20% - Accent6 4 10 4" xfId="30972" xr:uid="{00000000-0005-0000-0000-000061480000}"/>
    <cellStyle name="20% - Accent6 4 10 5" xfId="40697" xr:uid="{00000000-0005-0000-0000-000062480000}"/>
    <cellStyle name="20% - Accent6 4 10 6" xfId="11522" xr:uid="{00000000-0005-0000-0000-000063480000}"/>
    <cellStyle name="20% - Accent6 4 11" xfId="3416" xr:uid="{00000000-0005-0000-0000-000064480000}"/>
    <cellStyle name="20% - Accent6 4 11 2" xfId="8278" xr:uid="{00000000-0005-0000-0000-000065480000}"/>
    <cellStyle name="20% - Accent6 4 11 2 2" xfId="27729" xr:uid="{00000000-0005-0000-0000-000066480000}"/>
    <cellStyle name="20% - Accent6 4 11 2 3" xfId="37454" xr:uid="{00000000-0005-0000-0000-000067480000}"/>
    <cellStyle name="20% - Accent6 4 11 2 4" xfId="47179" xr:uid="{00000000-0005-0000-0000-000068480000}"/>
    <cellStyle name="20% - Accent6 4 11 2 5" xfId="18004" xr:uid="{00000000-0005-0000-0000-000069480000}"/>
    <cellStyle name="20% - Accent6 4 11 3" xfId="22867" xr:uid="{00000000-0005-0000-0000-00006A480000}"/>
    <cellStyle name="20% - Accent6 4 11 4" xfId="32592" xr:uid="{00000000-0005-0000-0000-00006B480000}"/>
    <cellStyle name="20% - Accent6 4 11 5" xfId="42317" xr:uid="{00000000-0005-0000-0000-00006C480000}"/>
    <cellStyle name="20% - Accent6 4 11 6" xfId="13142" xr:uid="{00000000-0005-0000-0000-00006D480000}"/>
    <cellStyle name="20% - Accent6 4 12" xfId="5038" xr:uid="{00000000-0005-0000-0000-00006E480000}"/>
    <cellStyle name="20% - Accent6 4 12 2" xfId="24489" xr:uid="{00000000-0005-0000-0000-00006F480000}"/>
    <cellStyle name="20% - Accent6 4 12 3" xfId="34214" xr:uid="{00000000-0005-0000-0000-000070480000}"/>
    <cellStyle name="20% - Accent6 4 12 4" xfId="43939" xr:uid="{00000000-0005-0000-0000-000071480000}"/>
    <cellStyle name="20% - Accent6 4 12 5" xfId="14764" xr:uid="{00000000-0005-0000-0000-000072480000}"/>
    <cellStyle name="20% - Accent6 4 13" xfId="19627" xr:uid="{00000000-0005-0000-0000-000073480000}"/>
    <cellStyle name="20% - Accent6 4 14" xfId="29352" xr:uid="{00000000-0005-0000-0000-000074480000}"/>
    <cellStyle name="20% - Accent6 4 15" xfId="39077" xr:uid="{00000000-0005-0000-0000-000075480000}"/>
    <cellStyle name="20% - Accent6 4 16" xfId="9902" xr:uid="{00000000-0005-0000-0000-000076480000}"/>
    <cellStyle name="20% - Accent6 4 2" xfId="294" xr:uid="{00000000-0005-0000-0000-000077480000}"/>
    <cellStyle name="20% - Accent6 4 2 10" xfId="39257" xr:uid="{00000000-0005-0000-0000-000078480000}"/>
    <cellStyle name="20% - Accent6 4 2 11" xfId="10082" xr:uid="{00000000-0005-0000-0000-000079480000}"/>
    <cellStyle name="20% - Accent6 4 2 2" xfId="1058" xr:uid="{00000000-0005-0000-0000-00007A480000}"/>
    <cellStyle name="20% - Accent6 4 2 2 2" xfId="2696" xr:uid="{00000000-0005-0000-0000-00007B480000}"/>
    <cellStyle name="20% - Accent6 4 2 2 2 2" xfId="7558" xr:uid="{00000000-0005-0000-0000-00007C480000}"/>
    <cellStyle name="20% - Accent6 4 2 2 2 2 2" xfId="27009" xr:uid="{00000000-0005-0000-0000-00007D480000}"/>
    <cellStyle name="20% - Accent6 4 2 2 2 2 3" xfId="36734" xr:uid="{00000000-0005-0000-0000-00007E480000}"/>
    <cellStyle name="20% - Accent6 4 2 2 2 2 4" xfId="46459" xr:uid="{00000000-0005-0000-0000-00007F480000}"/>
    <cellStyle name="20% - Accent6 4 2 2 2 2 5" xfId="17284" xr:uid="{00000000-0005-0000-0000-000080480000}"/>
    <cellStyle name="20% - Accent6 4 2 2 2 3" xfId="22147" xr:uid="{00000000-0005-0000-0000-000081480000}"/>
    <cellStyle name="20% - Accent6 4 2 2 2 4" xfId="31872" xr:uid="{00000000-0005-0000-0000-000082480000}"/>
    <cellStyle name="20% - Accent6 4 2 2 2 5" xfId="41597" xr:uid="{00000000-0005-0000-0000-000083480000}"/>
    <cellStyle name="20% - Accent6 4 2 2 2 6" xfId="12422" xr:uid="{00000000-0005-0000-0000-000084480000}"/>
    <cellStyle name="20% - Accent6 4 2 2 3" xfId="4316" xr:uid="{00000000-0005-0000-0000-000085480000}"/>
    <cellStyle name="20% - Accent6 4 2 2 3 2" xfId="9178" xr:uid="{00000000-0005-0000-0000-000086480000}"/>
    <cellStyle name="20% - Accent6 4 2 2 3 2 2" xfId="28629" xr:uid="{00000000-0005-0000-0000-000087480000}"/>
    <cellStyle name="20% - Accent6 4 2 2 3 2 3" xfId="38354" xr:uid="{00000000-0005-0000-0000-000088480000}"/>
    <cellStyle name="20% - Accent6 4 2 2 3 2 4" xfId="48079" xr:uid="{00000000-0005-0000-0000-000089480000}"/>
    <cellStyle name="20% - Accent6 4 2 2 3 2 5" xfId="18904" xr:uid="{00000000-0005-0000-0000-00008A480000}"/>
    <cellStyle name="20% - Accent6 4 2 2 3 3" xfId="23767" xr:uid="{00000000-0005-0000-0000-00008B480000}"/>
    <cellStyle name="20% - Accent6 4 2 2 3 4" xfId="33492" xr:uid="{00000000-0005-0000-0000-00008C480000}"/>
    <cellStyle name="20% - Accent6 4 2 2 3 5" xfId="43217" xr:uid="{00000000-0005-0000-0000-00008D480000}"/>
    <cellStyle name="20% - Accent6 4 2 2 3 6" xfId="14042" xr:uid="{00000000-0005-0000-0000-00008E480000}"/>
    <cellStyle name="20% - Accent6 4 2 2 4" xfId="5938" xr:uid="{00000000-0005-0000-0000-00008F480000}"/>
    <cellStyle name="20% - Accent6 4 2 2 4 2" xfId="25389" xr:uid="{00000000-0005-0000-0000-000090480000}"/>
    <cellStyle name="20% - Accent6 4 2 2 4 3" xfId="35114" xr:uid="{00000000-0005-0000-0000-000091480000}"/>
    <cellStyle name="20% - Accent6 4 2 2 4 4" xfId="44839" xr:uid="{00000000-0005-0000-0000-000092480000}"/>
    <cellStyle name="20% - Accent6 4 2 2 4 5" xfId="15664" xr:uid="{00000000-0005-0000-0000-000093480000}"/>
    <cellStyle name="20% - Accent6 4 2 2 5" xfId="20527" xr:uid="{00000000-0005-0000-0000-000094480000}"/>
    <cellStyle name="20% - Accent6 4 2 2 6" xfId="30252" xr:uid="{00000000-0005-0000-0000-000095480000}"/>
    <cellStyle name="20% - Accent6 4 2 2 7" xfId="39977" xr:uid="{00000000-0005-0000-0000-000096480000}"/>
    <cellStyle name="20% - Accent6 4 2 2 8" xfId="10802" xr:uid="{00000000-0005-0000-0000-000097480000}"/>
    <cellStyle name="20% - Accent6 4 2 3" xfId="1525" xr:uid="{00000000-0005-0000-0000-000098480000}"/>
    <cellStyle name="20% - Accent6 4 2 3 2" xfId="3146" xr:uid="{00000000-0005-0000-0000-000099480000}"/>
    <cellStyle name="20% - Accent6 4 2 3 2 2" xfId="8008" xr:uid="{00000000-0005-0000-0000-00009A480000}"/>
    <cellStyle name="20% - Accent6 4 2 3 2 2 2" xfId="27459" xr:uid="{00000000-0005-0000-0000-00009B480000}"/>
    <cellStyle name="20% - Accent6 4 2 3 2 2 3" xfId="37184" xr:uid="{00000000-0005-0000-0000-00009C480000}"/>
    <cellStyle name="20% - Accent6 4 2 3 2 2 4" xfId="46909" xr:uid="{00000000-0005-0000-0000-00009D480000}"/>
    <cellStyle name="20% - Accent6 4 2 3 2 2 5" xfId="17734" xr:uid="{00000000-0005-0000-0000-00009E480000}"/>
    <cellStyle name="20% - Accent6 4 2 3 2 3" xfId="22597" xr:uid="{00000000-0005-0000-0000-00009F480000}"/>
    <cellStyle name="20% - Accent6 4 2 3 2 4" xfId="32322" xr:uid="{00000000-0005-0000-0000-0000A0480000}"/>
    <cellStyle name="20% - Accent6 4 2 3 2 5" xfId="42047" xr:uid="{00000000-0005-0000-0000-0000A1480000}"/>
    <cellStyle name="20% - Accent6 4 2 3 2 6" xfId="12872" xr:uid="{00000000-0005-0000-0000-0000A2480000}"/>
    <cellStyle name="20% - Accent6 4 2 3 3" xfId="4766" xr:uid="{00000000-0005-0000-0000-0000A3480000}"/>
    <cellStyle name="20% - Accent6 4 2 3 3 2" xfId="9628" xr:uid="{00000000-0005-0000-0000-0000A4480000}"/>
    <cellStyle name="20% - Accent6 4 2 3 3 2 2" xfId="29079" xr:uid="{00000000-0005-0000-0000-0000A5480000}"/>
    <cellStyle name="20% - Accent6 4 2 3 3 2 3" xfId="38804" xr:uid="{00000000-0005-0000-0000-0000A6480000}"/>
    <cellStyle name="20% - Accent6 4 2 3 3 2 4" xfId="48529" xr:uid="{00000000-0005-0000-0000-0000A7480000}"/>
    <cellStyle name="20% - Accent6 4 2 3 3 2 5" xfId="19354" xr:uid="{00000000-0005-0000-0000-0000A8480000}"/>
    <cellStyle name="20% - Accent6 4 2 3 3 3" xfId="24217" xr:uid="{00000000-0005-0000-0000-0000A9480000}"/>
    <cellStyle name="20% - Accent6 4 2 3 3 4" xfId="33942" xr:uid="{00000000-0005-0000-0000-0000AA480000}"/>
    <cellStyle name="20% - Accent6 4 2 3 3 5" xfId="43667" xr:uid="{00000000-0005-0000-0000-0000AB480000}"/>
    <cellStyle name="20% - Accent6 4 2 3 3 6" xfId="14492" xr:uid="{00000000-0005-0000-0000-0000AC480000}"/>
    <cellStyle name="20% - Accent6 4 2 3 4" xfId="6388" xr:uid="{00000000-0005-0000-0000-0000AD480000}"/>
    <cellStyle name="20% - Accent6 4 2 3 4 2" xfId="25839" xr:uid="{00000000-0005-0000-0000-0000AE480000}"/>
    <cellStyle name="20% - Accent6 4 2 3 4 3" xfId="35564" xr:uid="{00000000-0005-0000-0000-0000AF480000}"/>
    <cellStyle name="20% - Accent6 4 2 3 4 4" xfId="45289" xr:uid="{00000000-0005-0000-0000-0000B0480000}"/>
    <cellStyle name="20% - Accent6 4 2 3 4 5" xfId="16114" xr:uid="{00000000-0005-0000-0000-0000B1480000}"/>
    <cellStyle name="20% - Accent6 4 2 3 5" xfId="20977" xr:uid="{00000000-0005-0000-0000-0000B2480000}"/>
    <cellStyle name="20% - Accent6 4 2 3 6" xfId="30702" xr:uid="{00000000-0005-0000-0000-0000B3480000}"/>
    <cellStyle name="20% - Accent6 4 2 3 7" xfId="40427" xr:uid="{00000000-0005-0000-0000-0000B4480000}"/>
    <cellStyle name="20% - Accent6 4 2 3 8" xfId="11252" xr:uid="{00000000-0005-0000-0000-0000B5480000}"/>
    <cellStyle name="20% - Accent6 4 2 4" xfId="696" xr:uid="{00000000-0005-0000-0000-0000B6480000}"/>
    <cellStyle name="20% - Accent6 4 2 4 2" xfId="2336" xr:uid="{00000000-0005-0000-0000-0000B7480000}"/>
    <cellStyle name="20% - Accent6 4 2 4 2 2" xfId="7198" xr:uid="{00000000-0005-0000-0000-0000B8480000}"/>
    <cellStyle name="20% - Accent6 4 2 4 2 2 2" xfId="26649" xr:uid="{00000000-0005-0000-0000-0000B9480000}"/>
    <cellStyle name="20% - Accent6 4 2 4 2 2 3" xfId="36374" xr:uid="{00000000-0005-0000-0000-0000BA480000}"/>
    <cellStyle name="20% - Accent6 4 2 4 2 2 4" xfId="46099" xr:uid="{00000000-0005-0000-0000-0000BB480000}"/>
    <cellStyle name="20% - Accent6 4 2 4 2 2 5" xfId="16924" xr:uid="{00000000-0005-0000-0000-0000BC480000}"/>
    <cellStyle name="20% - Accent6 4 2 4 2 3" xfId="21787" xr:uid="{00000000-0005-0000-0000-0000BD480000}"/>
    <cellStyle name="20% - Accent6 4 2 4 2 4" xfId="31512" xr:uid="{00000000-0005-0000-0000-0000BE480000}"/>
    <cellStyle name="20% - Accent6 4 2 4 2 5" xfId="41237" xr:uid="{00000000-0005-0000-0000-0000BF480000}"/>
    <cellStyle name="20% - Accent6 4 2 4 2 6" xfId="12062" xr:uid="{00000000-0005-0000-0000-0000C0480000}"/>
    <cellStyle name="20% - Accent6 4 2 4 3" xfId="3956" xr:uid="{00000000-0005-0000-0000-0000C1480000}"/>
    <cellStyle name="20% - Accent6 4 2 4 3 2" xfId="8818" xr:uid="{00000000-0005-0000-0000-0000C2480000}"/>
    <cellStyle name="20% - Accent6 4 2 4 3 2 2" xfId="28269" xr:uid="{00000000-0005-0000-0000-0000C3480000}"/>
    <cellStyle name="20% - Accent6 4 2 4 3 2 3" xfId="37994" xr:uid="{00000000-0005-0000-0000-0000C4480000}"/>
    <cellStyle name="20% - Accent6 4 2 4 3 2 4" xfId="47719" xr:uid="{00000000-0005-0000-0000-0000C5480000}"/>
    <cellStyle name="20% - Accent6 4 2 4 3 2 5" xfId="18544" xr:uid="{00000000-0005-0000-0000-0000C6480000}"/>
    <cellStyle name="20% - Accent6 4 2 4 3 3" xfId="23407" xr:uid="{00000000-0005-0000-0000-0000C7480000}"/>
    <cellStyle name="20% - Accent6 4 2 4 3 4" xfId="33132" xr:uid="{00000000-0005-0000-0000-0000C8480000}"/>
    <cellStyle name="20% - Accent6 4 2 4 3 5" xfId="42857" xr:uid="{00000000-0005-0000-0000-0000C9480000}"/>
    <cellStyle name="20% - Accent6 4 2 4 3 6" xfId="13682" xr:uid="{00000000-0005-0000-0000-0000CA480000}"/>
    <cellStyle name="20% - Accent6 4 2 4 4" xfId="5578" xr:uid="{00000000-0005-0000-0000-0000CB480000}"/>
    <cellStyle name="20% - Accent6 4 2 4 4 2" xfId="25029" xr:uid="{00000000-0005-0000-0000-0000CC480000}"/>
    <cellStyle name="20% - Accent6 4 2 4 4 3" xfId="34754" xr:uid="{00000000-0005-0000-0000-0000CD480000}"/>
    <cellStyle name="20% - Accent6 4 2 4 4 4" xfId="44479" xr:uid="{00000000-0005-0000-0000-0000CE480000}"/>
    <cellStyle name="20% - Accent6 4 2 4 4 5" xfId="15304" xr:uid="{00000000-0005-0000-0000-0000CF480000}"/>
    <cellStyle name="20% - Accent6 4 2 4 5" xfId="20167" xr:uid="{00000000-0005-0000-0000-0000D0480000}"/>
    <cellStyle name="20% - Accent6 4 2 4 6" xfId="29892" xr:uid="{00000000-0005-0000-0000-0000D1480000}"/>
    <cellStyle name="20% - Accent6 4 2 4 7" xfId="39617" xr:uid="{00000000-0005-0000-0000-0000D2480000}"/>
    <cellStyle name="20% - Accent6 4 2 4 8" xfId="10442" xr:uid="{00000000-0005-0000-0000-0000D3480000}"/>
    <cellStyle name="20% - Accent6 4 2 5" xfId="1976" xr:uid="{00000000-0005-0000-0000-0000D4480000}"/>
    <cellStyle name="20% - Accent6 4 2 5 2" xfId="6838" xr:uid="{00000000-0005-0000-0000-0000D5480000}"/>
    <cellStyle name="20% - Accent6 4 2 5 2 2" xfId="26289" xr:uid="{00000000-0005-0000-0000-0000D6480000}"/>
    <cellStyle name="20% - Accent6 4 2 5 2 3" xfId="36014" xr:uid="{00000000-0005-0000-0000-0000D7480000}"/>
    <cellStyle name="20% - Accent6 4 2 5 2 4" xfId="45739" xr:uid="{00000000-0005-0000-0000-0000D8480000}"/>
    <cellStyle name="20% - Accent6 4 2 5 2 5" xfId="16564" xr:uid="{00000000-0005-0000-0000-0000D9480000}"/>
    <cellStyle name="20% - Accent6 4 2 5 3" xfId="21427" xr:uid="{00000000-0005-0000-0000-0000DA480000}"/>
    <cellStyle name="20% - Accent6 4 2 5 4" xfId="31152" xr:uid="{00000000-0005-0000-0000-0000DB480000}"/>
    <cellStyle name="20% - Accent6 4 2 5 5" xfId="40877" xr:uid="{00000000-0005-0000-0000-0000DC480000}"/>
    <cellStyle name="20% - Accent6 4 2 5 6" xfId="11702" xr:uid="{00000000-0005-0000-0000-0000DD480000}"/>
    <cellStyle name="20% - Accent6 4 2 6" xfId="3596" xr:uid="{00000000-0005-0000-0000-0000DE480000}"/>
    <cellStyle name="20% - Accent6 4 2 6 2" xfId="8458" xr:uid="{00000000-0005-0000-0000-0000DF480000}"/>
    <cellStyle name="20% - Accent6 4 2 6 2 2" xfId="27909" xr:uid="{00000000-0005-0000-0000-0000E0480000}"/>
    <cellStyle name="20% - Accent6 4 2 6 2 3" xfId="37634" xr:uid="{00000000-0005-0000-0000-0000E1480000}"/>
    <cellStyle name="20% - Accent6 4 2 6 2 4" xfId="47359" xr:uid="{00000000-0005-0000-0000-0000E2480000}"/>
    <cellStyle name="20% - Accent6 4 2 6 2 5" xfId="18184" xr:uid="{00000000-0005-0000-0000-0000E3480000}"/>
    <cellStyle name="20% - Accent6 4 2 6 3" xfId="23047" xr:uid="{00000000-0005-0000-0000-0000E4480000}"/>
    <cellStyle name="20% - Accent6 4 2 6 4" xfId="32772" xr:uid="{00000000-0005-0000-0000-0000E5480000}"/>
    <cellStyle name="20% - Accent6 4 2 6 5" xfId="42497" xr:uid="{00000000-0005-0000-0000-0000E6480000}"/>
    <cellStyle name="20% - Accent6 4 2 6 6" xfId="13322" xr:uid="{00000000-0005-0000-0000-0000E7480000}"/>
    <cellStyle name="20% - Accent6 4 2 7" xfId="5218" xr:uid="{00000000-0005-0000-0000-0000E8480000}"/>
    <cellStyle name="20% - Accent6 4 2 7 2" xfId="24669" xr:uid="{00000000-0005-0000-0000-0000E9480000}"/>
    <cellStyle name="20% - Accent6 4 2 7 3" xfId="34394" xr:uid="{00000000-0005-0000-0000-0000EA480000}"/>
    <cellStyle name="20% - Accent6 4 2 7 4" xfId="44119" xr:uid="{00000000-0005-0000-0000-0000EB480000}"/>
    <cellStyle name="20% - Accent6 4 2 7 5" xfId="14944" xr:uid="{00000000-0005-0000-0000-0000EC480000}"/>
    <cellStyle name="20% - Accent6 4 2 8" xfId="19807" xr:uid="{00000000-0005-0000-0000-0000ED480000}"/>
    <cellStyle name="20% - Accent6 4 2 9" xfId="29532" xr:uid="{00000000-0005-0000-0000-0000EE480000}"/>
    <cellStyle name="20% - Accent6 4 3" xfId="385" xr:uid="{00000000-0005-0000-0000-0000EF480000}"/>
    <cellStyle name="20% - Accent6 4 3 10" xfId="39347" xr:uid="{00000000-0005-0000-0000-0000F0480000}"/>
    <cellStyle name="20% - Accent6 4 3 11" xfId="10172" xr:uid="{00000000-0005-0000-0000-0000F1480000}"/>
    <cellStyle name="20% - Accent6 4 3 2" xfId="1148" xr:uid="{00000000-0005-0000-0000-0000F2480000}"/>
    <cellStyle name="20% - Accent6 4 3 2 2" xfId="2786" xr:uid="{00000000-0005-0000-0000-0000F3480000}"/>
    <cellStyle name="20% - Accent6 4 3 2 2 2" xfId="7648" xr:uid="{00000000-0005-0000-0000-0000F4480000}"/>
    <cellStyle name="20% - Accent6 4 3 2 2 2 2" xfId="27099" xr:uid="{00000000-0005-0000-0000-0000F5480000}"/>
    <cellStyle name="20% - Accent6 4 3 2 2 2 3" xfId="36824" xr:uid="{00000000-0005-0000-0000-0000F6480000}"/>
    <cellStyle name="20% - Accent6 4 3 2 2 2 4" xfId="46549" xr:uid="{00000000-0005-0000-0000-0000F7480000}"/>
    <cellStyle name="20% - Accent6 4 3 2 2 2 5" xfId="17374" xr:uid="{00000000-0005-0000-0000-0000F8480000}"/>
    <cellStyle name="20% - Accent6 4 3 2 2 3" xfId="22237" xr:uid="{00000000-0005-0000-0000-0000F9480000}"/>
    <cellStyle name="20% - Accent6 4 3 2 2 4" xfId="31962" xr:uid="{00000000-0005-0000-0000-0000FA480000}"/>
    <cellStyle name="20% - Accent6 4 3 2 2 5" xfId="41687" xr:uid="{00000000-0005-0000-0000-0000FB480000}"/>
    <cellStyle name="20% - Accent6 4 3 2 2 6" xfId="12512" xr:uid="{00000000-0005-0000-0000-0000FC480000}"/>
    <cellStyle name="20% - Accent6 4 3 2 3" xfId="4406" xr:uid="{00000000-0005-0000-0000-0000FD480000}"/>
    <cellStyle name="20% - Accent6 4 3 2 3 2" xfId="9268" xr:uid="{00000000-0005-0000-0000-0000FE480000}"/>
    <cellStyle name="20% - Accent6 4 3 2 3 2 2" xfId="28719" xr:uid="{00000000-0005-0000-0000-0000FF480000}"/>
    <cellStyle name="20% - Accent6 4 3 2 3 2 3" xfId="38444" xr:uid="{00000000-0005-0000-0000-000000490000}"/>
    <cellStyle name="20% - Accent6 4 3 2 3 2 4" xfId="48169" xr:uid="{00000000-0005-0000-0000-000001490000}"/>
    <cellStyle name="20% - Accent6 4 3 2 3 2 5" xfId="18994" xr:uid="{00000000-0005-0000-0000-000002490000}"/>
    <cellStyle name="20% - Accent6 4 3 2 3 3" xfId="23857" xr:uid="{00000000-0005-0000-0000-000003490000}"/>
    <cellStyle name="20% - Accent6 4 3 2 3 4" xfId="33582" xr:uid="{00000000-0005-0000-0000-000004490000}"/>
    <cellStyle name="20% - Accent6 4 3 2 3 5" xfId="43307" xr:uid="{00000000-0005-0000-0000-000005490000}"/>
    <cellStyle name="20% - Accent6 4 3 2 3 6" xfId="14132" xr:uid="{00000000-0005-0000-0000-000006490000}"/>
    <cellStyle name="20% - Accent6 4 3 2 4" xfId="6028" xr:uid="{00000000-0005-0000-0000-000007490000}"/>
    <cellStyle name="20% - Accent6 4 3 2 4 2" xfId="25479" xr:uid="{00000000-0005-0000-0000-000008490000}"/>
    <cellStyle name="20% - Accent6 4 3 2 4 3" xfId="35204" xr:uid="{00000000-0005-0000-0000-000009490000}"/>
    <cellStyle name="20% - Accent6 4 3 2 4 4" xfId="44929" xr:uid="{00000000-0005-0000-0000-00000A490000}"/>
    <cellStyle name="20% - Accent6 4 3 2 4 5" xfId="15754" xr:uid="{00000000-0005-0000-0000-00000B490000}"/>
    <cellStyle name="20% - Accent6 4 3 2 5" xfId="20617" xr:uid="{00000000-0005-0000-0000-00000C490000}"/>
    <cellStyle name="20% - Accent6 4 3 2 6" xfId="30342" xr:uid="{00000000-0005-0000-0000-00000D490000}"/>
    <cellStyle name="20% - Accent6 4 3 2 7" xfId="40067" xr:uid="{00000000-0005-0000-0000-00000E490000}"/>
    <cellStyle name="20% - Accent6 4 3 2 8" xfId="10892" xr:uid="{00000000-0005-0000-0000-00000F490000}"/>
    <cellStyle name="20% - Accent6 4 3 3" xfId="1615" xr:uid="{00000000-0005-0000-0000-000010490000}"/>
    <cellStyle name="20% - Accent6 4 3 3 2" xfId="3236" xr:uid="{00000000-0005-0000-0000-000011490000}"/>
    <cellStyle name="20% - Accent6 4 3 3 2 2" xfId="8098" xr:uid="{00000000-0005-0000-0000-000012490000}"/>
    <cellStyle name="20% - Accent6 4 3 3 2 2 2" xfId="27549" xr:uid="{00000000-0005-0000-0000-000013490000}"/>
    <cellStyle name="20% - Accent6 4 3 3 2 2 3" xfId="37274" xr:uid="{00000000-0005-0000-0000-000014490000}"/>
    <cellStyle name="20% - Accent6 4 3 3 2 2 4" xfId="46999" xr:uid="{00000000-0005-0000-0000-000015490000}"/>
    <cellStyle name="20% - Accent6 4 3 3 2 2 5" xfId="17824" xr:uid="{00000000-0005-0000-0000-000016490000}"/>
    <cellStyle name="20% - Accent6 4 3 3 2 3" xfId="22687" xr:uid="{00000000-0005-0000-0000-000017490000}"/>
    <cellStyle name="20% - Accent6 4 3 3 2 4" xfId="32412" xr:uid="{00000000-0005-0000-0000-000018490000}"/>
    <cellStyle name="20% - Accent6 4 3 3 2 5" xfId="42137" xr:uid="{00000000-0005-0000-0000-000019490000}"/>
    <cellStyle name="20% - Accent6 4 3 3 2 6" xfId="12962" xr:uid="{00000000-0005-0000-0000-00001A490000}"/>
    <cellStyle name="20% - Accent6 4 3 3 3" xfId="4856" xr:uid="{00000000-0005-0000-0000-00001B490000}"/>
    <cellStyle name="20% - Accent6 4 3 3 3 2" xfId="9718" xr:uid="{00000000-0005-0000-0000-00001C490000}"/>
    <cellStyle name="20% - Accent6 4 3 3 3 2 2" xfId="29169" xr:uid="{00000000-0005-0000-0000-00001D490000}"/>
    <cellStyle name="20% - Accent6 4 3 3 3 2 3" xfId="38894" xr:uid="{00000000-0005-0000-0000-00001E490000}"/>
    <cellStyle name="20% - Accent6 4 3 3 3 2 4" xfId="48619" xr:uid="{00000000-0005-0000-0000-00001F490000}"/>
    <cellStyle name="20% - Accent6 4 3 3 3 2 5" xfId="19444" xr:uid="{00000000-0005-0000-0000-000020490000}"/>
    <cellStyle name="20% - Accent6 4 3 3 3 3" xfId="24307" xr:uid="{00000000-0005-0000-0000-000021490000}"/>
    <cellStyle name="20% - Accent6 4 3 3 3 4" xfId="34032" xr:uid="{00000000-0005-0000-0000-000022490000}"/>
    <cellStyle name="20% - Accent6 4 3 3 3 5" xfId="43757" xr:uid="{00000000-0005-0000-0000-000023490000}"/>
    <cellStyle name="20% - Accent6 4 3 3 3 6" xfId="14582" xr:uid="{00000000-0005-0000-0000-000024490000}"/>
    <cellStyle name="20% - Accent6 4 3 3 4" xfId="6478" xr:uid="{00000000-0005-0000-0000-000025490000}"/>
    <cellStyle name="20% - Accent6 4 3 3 4 2" xfId="25929" xr:uid="{00000000-0005-0000-0000-000026490000}"/>
    <cellStyle name="20% - Accent6 4 3 3 4 3" xfId="35654" xr:uid="{00000000-0005-0000-0000-000027490000}"/>
    <cellStyle name="20% - Accent6 4 3 3 4 4" xfId="45379" xr:uid="{00000000-0005-0000-0000-000028490000}"/>
    <cellStyle name="20% - Accent6 4 3 3 4 5" xfId="16204" xr:uid="{00000000-0005-0000-0000-000029490000}"/>
    <cellStyle name="20% - Accent6 4 3 3 5" xfId="21067" xr:uid="{00000000-0005-0000-0000-00002A490000}"/>
    <cellStyle name="20% - Accent6 4 3 3 6" xfId="30792" xr:uid="{00000000-0005-0000-0000-00002B490000}"/>
    <cellStyle name="20% - Accent6 4 3 3 7" xfId="40517" xr:uid="{00000000-0005-0000-0000-00002C490000}"/>
    <cellStyle name="20% - Accent6 4 3 3 8" xfId="11342" xr:uid="{00000000-0005-0000-0000-00002D490000}"/>
    <cellStyle name="20% - Accent6 4 3 4" xfId="786" xr:uid="{00000000-0005-0000-0000-00002E490000}"/>
    <cellStyle name="20% - Accent6 4 3 4 2" xfId="2426" xr:uid="{00000000-0005-0000-0000-00002F490000}"/>
    <cellStyle name="20% - Accent6 4 3 4 2 2" xfId="7288" xr:uid="{00000000-0005-0000-0000-000030490000}"/>
    <cellStyle name="20% - Accent6 4 3 4 2 2 2" xfId="26739" xr:uid="{00000000-0005-0000-0000-000031490000}"/>
    <cellStyle name="20% - Accent6 4 3 4 2 2 3" xfId="36464" xr:uid="{00000000-0005-0000-0000-000032490000}"/>
    <cellStyle name="20% - Accent6 4 3 4 2 2 4" xfId="46189" xr:uid="{00000000-0005-0000-0000-000033490000}"/>
    <cellStyle name="20% - Accent6 4 3 4 2 2 5" xfId="17014" xr:uid="{00000000-0005-0000-0000-000034490000}"/>
    <cellStyle name="20% - Accent6 4 3 4 2 3" xfId="21877" xr:uid="{00000000-0005-0000-0000-000035490000}"/>
    <cellStyle name="20% - Accent6 4 3 4 2 4" xfId="31602" xr:uid="{00000000-0005-0000-0000-000036490000}"/>
    <cellStyle name="20% - Accent6 4 3 4 2 5" xfId="41327" xr:uid="{00000000-0005-0000-0000-000037490000}"/>
    <cellStyle name="20% - Accent6 4 3 4 2 6" xfId="12152" xr:uid="{00000000-0005-0000-0000-000038490000}"/>
    <cellStyle name="20% - Accent6 4 3 4 3" xfId="4046" xr:uid="{00000000-0005-0000-0000-000039490000}"/>
    <cellStyle name="20% - Accent6 4 3 4 3 2" xfId="8908" xr:uid="{00000000-0005-0000-0000-00003A490000}"/>
    <cellStyle name="20% - Accent6 4 3 4 3 2 2" xfId="28359" xr:uid="{00000000-0005-0000-0000-00003B490000}"/>
    <cellStyle name="20% - Accent6 4 3 4 3 2 3" xfId="38084" xr:uid="{00000000-0005-0000-0000-00003C490000}"/>
    <cellStyle name="20% - Accent6 4 3 4 3 2 4" xfId="47809" xr:uid="{00000000-0005-0000-0000-00003D490000}"/>
    <cellStyle name="20% - Accent6 4 3 4 3 2 5" xfId="18634" xr:uid="{00000000-0005-0000-0000-00003E490000}"/>
    <cellStyle name="20% - Accent6 4 3 4 3 3" xfId="23497" xr:uid="{00000000-0005-0000-0000-00003F490000}"/>
    <cellStyle name="20% - Accent6 4 3 4 3 4" xfId="33222" xr:uid="{00000000-0005-0000-0000-000040490000}"/>
    <cellStyle name="20% - Accent6 4 3 4 3 5" xfId="42947" xr:uid="{00000000-0005-0000-0000-000041490000}"/>
    <cellStyle name="20% - Accent6 4 3 4 3 6" xfId="13772" xr:uid="{00000000-0005-0000-0000-000042490000}"/>
    <cellStyle name="20% - Accent6 4 3 4 4" xfId="5668" xr:uid="{00000000-0005-0000-0000-000043490000}"/>
    <cellStyle name="20% - Accent6 4 3 4 4 2" xfId="25119" xr:uid="{00000000-0005-0000-0000-000044490000}"/>
    <cellStyle name="20% - Accent6 4 3 4 4 3" xfId="34844" xr:uid="{00000000-0005-0000-0000-000045490000}"/>
    <cellStyle name="20% - Accent6 4 3 4 4 4" xfId="44569" xr:uid="{00000000-0005-0000-0000-000046490000}"/>
    <cellStyle name="20% - Accent6 4 3 4 4 5" xfId="15394" xr:uid="{00000000-0005-0000-0000-000047490000}"/>
    <cellStyle name="20% - Accent6 4 3 4 5" xfId="20257" xr:uid="{00000000-0005-0000-0000-000048490000}"/>
    <cellStyle name="20% - Accent6 4 3 4 6" xfId="29982" xr:uid="{00000000-0005-0000-0000-000049490000}"/>
    <cellStyle name="20% - Accent6 4 3 4 7" xfId="39707" xr:uid="{00000000-0005-0000-0000-00004A490000}"/>
    <cellStyle name="20% - Accent6 4 3 4 8" xfId="10532" xr:uid="{00000000-0005-0000-0000-00004B490000}"/>
    <cellStyle name="20% - Accent6 4 3 5" xfId="2066" xr:uid="{00000000-0005-0000-0000-00004C490000}"/>
    <cellStyle name="20% - Accent6 4 3 5 2" xfId="6928" xr:uid="{00000000-0005-0000-0000-00004D490000}"/>
    <cellStyle name="20% - Accent6 4 3 5 2 2" xfId="26379" xr:uid="{00000000-0005-0000-0000-00004E490000}"/>
    <cellStyle name="20% - Accent6 4 3 5 2 3" xfId="36104" xr:uid="{00000000-0005-0000-0000-00004F490000}"/>
    <cellStyle name="20% - Accent6 4 3 5 2 4" xfId="45829" xr:uid="{00000000-0005-0000-0000-000050490000}"/>
    <cellStyle name="20% - Accent6 4 3 5 2 5" xfId="16654" xr:uid="{00000000-0005-0000-0000-000051490000}"/>
    <cellStyle name="20% - Accent6 4 3 5 3" xfId="21517" xr:uid="{00000000-0005-0000-0000-000052490000}"/>
    <cellStyle name="20% - Accent6 4 3 5 4" xfId="31242" xr:uid="{00000000-0005-0000-0000-000053490000}"/>
    <cellStyle name="20% - Accent6 4 3 5 5" xfId="40967" xr:uid="{00000000-0005-0000-0000-000054490000}"/>
    <cellStyle name="20% - Accent6 4 3 5 6" xfId="11792" xr:uid="{00000000-0005-0000-0000-000055490000}"/>
    <cellStyle name="20% - Accent6 4 3 6" xfId="3686" xr:uid="{00000000-0005-0000-0000-000056490000}"/>
    <cellStyle name="20% - Accent6 4 3 6 2" xfId="8548" xr:uid="{00000000-0005-0000-0000-000057490000}"/>
    <cellStyle name="20% - Accent6 4 3 6 2 2" xfId="27999" xr:uid="{00000000-0005-0000-0000-000058490000}"/>
    <cellStyle name="20% - Accent6 4 3 6 2 3" xfId="37724" xr:uid="{00000000-0005-0000-0000-000059490000}"/>
    <cellStyle name="20% - Accent6 4 3 6 2 4" xfId="47449" xr:uid="{00000000-0005-0000-0000-00005A490000}"/>
    <cellStyle name="20% - Accent6 4 3 6 2 5" xfId="18274" xr:uid="{00000000-0005-0000-0000-00005B490000}"/>
    <cellStyle name="20% - Accent6 4 3 6 3" xfId="23137" xr:uid="{00000000-0005-0000-0000-00005C490000}"/>
    <cellStyle name="20% - Accent6 4 3 6 4" xfId="32862" xr:uid="{00000000-0005-0000-0000-00005D490000}"/>
    <cellStyle name="20% - Accent6 4 3 6 5" xfId="42587" xr:uid="{00000000-0005-0000-0000-00005E490000}"/>
    <cellStyle name="20% - Accent6 4 3 6 6" xfId="13412" xr:uid="{00000000-0005-0000-0000-00005F490000}"/>
    <cellStyle name="20% - Accent6 4 3 7" xfId="5308" xr:uid="{00000000-0005-0000-0000-000060490000}"/>
    <cellStyle name="20% - Accent6 4 3 7 2" xfId="24759" xr:uid="{00000000-0005-0000-0000-000061490000}"/>
    <cellStyle name="20% - Accent6 4 3 7 3" xfId="34484" xr:uid="{00000000-0005-0000-0000-000062490000}"/>
    <cellStyle name="20% - Accent6 4 3 7 4" xfId="44209" xr:uid="{00000000-0005-0000-0000-000063490000}"/>
    <cellStyle name="20% - Accent6 4 3 7 5" xfId="15034" xr:uid="{00000000-0005-0000-0000-000064490000}"/>
    <cellStyle name="20% - Accent6 4 3 8" xfId="19897" xr:uid="{00000000-0005-0000-0000-000065490000}"/>
    <cellStyle name="20% - Accent6 4 3 9" xfId="29622" xr:uid="{00000000-0005-0000-0000-000066490000}"/>
    <cellStyle name="20% - Accent6 4 4" xfId="203" xr:uid="{00000000-0005-0000-0000-000067490000}"/>
    <cellStyle name="20% - Accent6 4 4 10" xfId="39167" xr:uid="{00000000-0005-0000-0000-000068490000}"/>
    <cellStyle name="20% - Accent6 4 4 11" xfId="9992" xr:uid="{00000000-0005-0000-0000-000069490000}"/>
    <cellStyle name="20% - Accent6 4 4 2" xfId="967" xr:uid="{00000000-0005-0000-0000-00006A490000}"/>
    <cellStyle name="20% - Accent6 4 4 2 2" xfId="2606" xr:uid="{00000000-0005-0000-0000-00006B490000}"/>
    <cellStyle name="20% - Accent6 4 4 2 2 2" xfId="7468" xr:uid="{00000000-0005-0000-0000-00006C490000}"/>
    <cellStyle name="20% - Accent6 4 4 2 2 2 2" xfId="26919" xr:uid="{00000000-0005-0000-0000-00006D490000}"/>
    <cellStyle name="20% - Accent6 4 4 2 2 2 3" xfId="36644" xr:uid="{00000000-0005-0000-0000-00006E490000}"/>
    <cellStyle name="20% - Accent6 4 4 2 2 2 4" xfId="46369" xr:uid="{00000000-0005-0000-0000-00006F490000}"/>
    <cellStyle name="20% - Accent6 4 4 2 2 2 5" xfId="17194" xr:uid="{00000000-0005-0000-0000-000070490000}"/>
    <cellStyle name="20% - Accent6 4 4 2 2 3" xfId="22057" xr:uid="{00000000-0005-0000-0000-000071490000}"/>
    <cellStyle name="20% - Accent6 4 4 2 2 4" xfId="31782" xr:uid="{00000000-0005-0000-0000-000072490000}"/>
    <cellStyle name="20% - Accent6 4 4 2 2 5" xfId="41507" xr:uid="{00000000-0005-0000-0000-000073490000}"/>
    <cellStyle name="20% - Accent6 4 4 2 2 6" xfId="12332" xr:uid="{00000000-0005-0000-0000-000074490000}"/>
    <cellStyle name="20% - Accent6 4 4 2 3" xfId="4226" xr:uid="{00000000-0005-0000-0000-000075490000}"/>
    <cellStyle name="20% - Accent6 4 4 2 3 2" xfId="9088" xr:uid="{00000000-0005-0000-0000-000076490000}"/>
    <cellStyle name="20% - Accent6 4 4 2 3 2 2" xfId="28539" xr:uid="{00000000-0005-0000-0000-000077490000}"/>
    <cellStyle name="20% - Accent6 4 4 2 3 2 3" xfId="38264" xr:uid="{00000000-0005-0000-0000-000078490000}"/>
    <cellStyle name="20% - Accent6 4 4 2 3 2 4" xfId="47989" xr:uid="{00000000-0005-0000-0000-000079490000}"/>
    <cellStyle name="20% - Accent6 4 4 2 3 2 5" xfId="18814" xr:uid="{00000000-0005-0000-0000-00007A490000}"/>
    <cellStyle name="20% - Accent6 4 4 2 3 3" xfId="23677" xr:uid="{00000000-0005-0000-0000-00007B490000}"/>
    <cellStyle name="20% - Accent6 4 4 2 3 4" xfId="33402" xr:uid="{00000000-0005-0000-0000-00007C490000}"/>
    <cellStyle name="20% - Accent6 4 4 2 3 5" xfId="43127" xr:uid="{00000000-0005-0000-0000-00007D490000}"/>
    <cellStyle name="20% - Accent6 4 4 2 3 6" xfId="13952" xr:uid="{00000000-0005-0000-0000-00007E490000}"/>
    <cellStyle name="20% - Accent6 4 4 2 4" xfId="5848" xr:uid="{00000000-0005-0000-0000-00007F490000}"/>
    <cellStyle name="20% - Accent6 4 4 2 4 2" xfId="25299" xr:uid="{00000000-0005-0000-0000-000080490000}"/>
    <cellStyle name="20% - Accent6 4 4 2 4 3" xfId="35024" xr:uid="{00000000-0005-0000-0000-000081490000}"/>
    <cellStyle name="20% - Accent6 4 4 2 4 4" xfId="44749" xr:uid="{00000000-0005-0000-0000-000082490000}"/>
    <cellStyle name="20% - Accent6 4 4 2 4 5" xfId="15574" xr:uid="{00000000-0005-0000-0000-000083490000}"/>
    <cellStyle name="20% - Accent6 4 4 2 5" xfId="20437" xr:uid="{00000000-0005-0000-0000-000084490000}"/>
    <cellStyle name="20% - Accent6 4 4 2 6" xfId="30162" xr:uid="{00000000-0005-0000-0000-000085490000}"/>
    <cellStyle name="20% - Accent6 4 4 2 7" xfId="39887" xr:uid="{00000000-0005-0000-0000-000086490000}"/>
    <cellStyle name="20% - Accent6 4 4 2 8" xfId="10712" xr:uid="{00000000-0005-0000-0000-000087490000}"/>
    <cellStyle name="20% - Accent6 4 4 3" xfId="1435" xr:uid="{00000000-0005-0000-0000-000088490000}"/>
    <cellStyle name="20% - Accent6 4 4 3 2" xfId="3056" xr:uid="{00000000-0005-0000-0000-000089490000}"/>
    <cellStyle name="20% - Accent6 4 4 3 2 2" xfId="7918" xr:uid="{00000000-0005-0000-0000-00008A490000}"/>
    <cellStyle name="20% - Accent6 4 4 3 2 2 2" xfId="27369" xr:uid="{00000000-0005-0000-0000-00008B490000}"/>
    <cellStyle name="20% - Accent6 4 4 3 2 2 3" xfId="37094" xr:uid="{00000000-0005-0000-0000-00008C490000}"/>
    <cellStyle name="20% - Accent6 4 4 3 2 2 4" xfId="46819" xr:uid="{00000000-0005-0000-0000-00008D490000}"/>
    <cellStyle name="20% - Accent6 4 4 3 2 2 5" xfId="17644" xr:uid="{00000000-0005-0000-0000-00008E490000}"/>
    <cellStyle name="20% - Accent6 4 4 3 2 3" xfId="22507" xr:uid="{00000000-0005-0000-0000-00008F490000}"/>
    <cellStyle name="20% - Accent6 4 4 3 2 4" xfId="32232" xr:uid="{00000000-0005-0000-0000-000090490000}"/>
    <cellStyle name="20% - Accent6 4 4 3 2 5" xfId="41957" xr:uid="{00000000-0005-0000-0000-000091490000}"/>
    <cellStyle name="20% - Accent6 4 4 3 2 6" xfId="12782" xr:uid="{00000000-0005-0000-0000-000092490000}"/>
    <cellStyle name="20% - Accent6 4 4 3 3" xfId="4676" xr:uid="{00000000-0005-0000-0000-000093490000}"/>
    <cellStyle name="20% - Accent6 4 4 3 3 2" xfId="9538" xr:uid="{00000000-0005-0000-0000-000094490000}"/>
    <cellStyle name="20% - Accent6 4 4 3 3 2 2" xfId="28989" xr:uid="{00000000-0005-0000-0000-000095490000}"/>
    <cellStyle name="20% - Accent6 4 4 3 3 2 3" xfId="38714" xr:uid="{00000000-0005-0000-0000-000096490000}"/>
    <cellStyle name="20% - Accent6 4 4 3 3 2 4" xfId="48439" xr:uid="{00000000-0005-0000-0000-000097490000}"/>
    <cellStyle name="20% - Accent6 4 4 3 3 2 5" xfId="19264" xr:uid="{00000000-0005-0000-0000-000098490000}"/>
    <cellStyle name="20% - Accent6 4 4 3 3 3" xfId="24127" xr:uid="{00000000-0005-0000-0000-000099490000}"/>
    <cellStyle name="20% - Accent6 4 4 3 3 4" xfId="33852" xr:uid="{00000000-0005-0000-0000-00009A490000}"/>
    <cellStyle name="20% - Accent6 4 4 3 3 5" xfId="43577" xr:uid="{00000000-0005-0000-0000-00009B490000}"/>
    <cellStyle name="20% - Accent6 4 4 3 3 6" xfId="14402" xr:uid="{00000000-0005-0000-0000-00009C490000}"/>
    <cellStyle name="20% - Accent6 4 4 3 4" xfId="6298" xr:uid="{00000000-0005-0000-0000-00009D490000}"/>
    <cellStyle name="20% - Accent6 4 4 3 4 2" xfId="25749" xr:uid="{00000000-0005-0000-0000-00009E490000}"/>
    <cellStyle name="20% - Accent6 4 4 3 4 3" xfId="35474" xr:uid="{00000000-0005-0000-0000-00009F490000}"/>
    <cellStyle name="20% - Accent6 4 4 3 4 4" xfId="45199" xr:uid="{00000000-0005-0000-0000-0000A0490000}"/>
    <cellStyle name="20% - Accent6 4 4 3 4 5" xfId="16024" xr:uid="{00000000-0005-0000-0000-0000A1490000}"/>
    <cellStyle name="20% - Accent6 4 4 3 5" xfId="20887" xr:uid="{00000000-0005-0000-0000-0000A2490000}"/>
    <cellStyle name="20% - Accent6 4 4 3 6" xfId="30612" xr:uid="{00000000-0005-0000-0000-0000A3490000}"/>
    <cellStyle name="20% - Accent6 4 4 3 7" xfId="40337" xr:uid="{00000000-0005-0000-0000-0000A4490000}"/>
    <cellStyle name="20% - Accent6 4 4 3 8" xfId="11162" xr:uid="{00000000-0005-0000-0000-0000A5490000}"/>
    <cellStyle name="20% - Accent6 4 4 4" xfId="606" xr:uid="{00000000-0005-0000-0000-0000A6490000}"/>
    <cellStyle name="20% - Accent6 4 4 4 2" xfId="2246" xr:uid="{00000000-0005-0000-0000-0000A7490000}"/>
    <cellStyle name="20% - Accent6 4 4 4 2 2" xfId="7108" xr:uid="{00000000-0005-0000-0000-0000A8490000}"/>
    <cellStyle name="20% - Accent6 4 4 4 2 2 2" xfId="26559" xr:uid="{00000000-0005-0000-0000-0000A9490000}"/>
    <cellStyle name="20% - Accent6 4 4 4 2 2 3" xfId="36284" xr:uid="{00000000-0005-0000-0000-0000AA490000}"/>
    <cellStyle name="20% - Accent6 4 4 4 2 2 4" xfId="46009" xr:uid="{00000000-0005-0000-0000-0000AB490000}"/>
    <cellStyle name="20% - Accent6 4 4 4 2 2 5" xfId="16834" xr:uid="{00000000-0005-0000-0000-0000AC490000}"/>
    <cellStyle name="20% - Accent6 4 4 4 2 3" xfId="21697" xr:uid="{00000000-0005-0000-0000-0000AD490000}"/>
    <cellStyle name="20% - Accent6 4 4 4 2 4" xfId="31422" xr:uid="{00000000-0005-0000-0000-0000AE490000}"/>
    <cellStyle name="20% - Accent6 4 4 4 2 5" xfId="41147" xr:uid="{00000000-0005-0000-0000-0000AF490000}"/>
    <cellStyle name="20% - Accent6 4 4 4 2 6" xfId="11972" xr:uid="{00000000-0005-0000-0000-0000B0490000}"/>
    <cellStyle name="20% - Accent6 4 4 4 3" xfId="3866" xr:uid="{00000000-0005-0000-0000-0000B1490000}"/>
    <cellStyle name="20% - Accent6 4 4 4 3 2" xfId="8728" xr:uid="{00000000-0005-0000-0000-0000B2490000}"/>
    <cellStyle name="20% - Accent6 4 4 4 3 2 2" xfId="28179" xr:uid="{00000000-0005-0000-0000-0000B3490000}"/>
    <cellStyle name="20% - Accent6 4 4 4 3 2 3" xfId="37904" xr:uid="{00000000-0005-0000-0000-0000B4490000}"/>
    <cellStyle name="20% - Accent6 4 4 4 3 2 4" xfId="47629" xr:uid="{00000000-0005-0000-0000-0000B5490000}"/>
    <cellStyle name="20% - Accent6 4 4 4 3 2 5" xfId="18454" xr:uid="{00000000-0005-0000-0000-0000B6490000}"/>
    <cellStyle name="20% - Accent6 4 4 4 3 3" xfId="23317" xr:uid="{00000000-0005-0000-0000-0000B7490000}"/>
    <cellStyle name="20% - Accent6 4 4 4 3 4" xfId="33042" xr:uid="{00000000-0005-0000-0000-0000B8490000}"/>
    <cellStyle name="20% - Accent6 4 4 4 3 5" xfId="42767" xr:uid="{00000000-0005-0000-0000-0000B9490000}"/>
    <cellStyle name="20% - Accent6 4 4 4 3 6" xfId="13592" xr:uid="{00000000-0005-0000-0000-0000BA490000}"/>
    <cellStyle name="20% - Accent6 4 4 4 4" xfId="5488" xr:uid="{00000000-0005-0000-0000-0000BB490000}"/>
    <cellStyle name="20% - Accent6 4 4 4 4 2" xfId="24939" xr:uid="{00000000-0005-0000-0000-0000BC490000}"/>
    <cellStyle name="20% - Accent6 4 4 4 4 3" xfId="34664" xr:uid="{00000000-0005-0000-0000-0000BD490000}"/>
    <cellStyle name="20% - Accent6 4 4 4 4 4" xfId="44389" xr:uid="{00000000-0005-0000-0000-0000BE490000}"/>
    <cellStyle name="20% - Accent6 4 4 4 4 5" xfId="15214" xr:uid="{00000000-0005-0000-0000-0000BF490000}"/>
    <cellStyle name="20% - Accent6 4 4 4 5" xfId="20077" xr:uid="{00000000-0005-0000-0000-0000C0490000}"/>
    <cellStyle name="20% - Accent6 4 4 4 6" xfId="29802" xr:uid="{00000000-0005-0000-0000-0000C1490000}"/>
    <cellStyle name="20% - Accent6 4 4 4 7" xfId="39527" xr:uid="{00000000-0005-0000-0000-0000C2490000}"/>
    <cellStyle name="20% - Accent6 4 4 4 8" xfId="10352" xr:uid="{00000000-0005-0000-0000-0000C3490000}"/>
    <cellStyle name="20% - Accent6 4 4 5" xfId="1886" xr:uid="{00000000-0005-0000-0000-0000C4490000}"/>
    <cellStyle name="20% - Accent6 4 4 5 2" xfId="6748" xr:uid="{00000000-0005-0000-0000-0000C5490000}"/>
    <cellStyle name="20% - Accent6 4 4 5 2 2" xfId="26199" xr:uid="{00000000-0005-0000-0000-0000C6490000}"/>
    <cellStyle name="20% - Accent6 4 4 5 2 3" xfId="35924" xr:uid="{00000000-0005-0000-0000-0000C7490000}"/>
    <cellStyle name="20% - Accent6 4 4 5 2 4" xfId="45649" xr:uid="{00000000-0005-0000-0000-0000C8490000}"/>
    <cellStyle name="20% - Accent6 4 4 5 2 5" xfId="16474" xr:uid="{00000000-0005-0000-0000-0000C9490000}"/>
    <cellStyle name="20% - Accent6 4 4 5 3" xfId="21337" xr:uid="{00000000-0005-0000-0000-0000CA490000}"/>
    <cellStyle name="20% - Accent6 4 4 5 4" xfId="31062" xr:uid="{00000000-0005-0000-0000-0000CB490000}"/>
    <cellStyle name="20% - Accent6 4 4 5 5" xfId="40787" xr:uid="{00000000-0005-0000-0000-0000CC490000}"/>
    <cellStyle name="20% - Accent6 4 4 5 6" xfId="11612" xr:uid="{00000000-0005-0000-0000-0000CD490000}"/>
    <cellStyle name="20% - Accent6 4 4 6" xfId="3506" xr:uid="{00000000-0005-0000-0000-0000CE490000}"/>
    <cellStyle name="20% - Accent6 4 4 6 2" xfId="8368" xr:uid="{00000000-0005-0000-0000-0000CF490000}"/>
    <cellStyle name="20% - Accent6 4 4 6 2 2" xfId="27819" xr:uid="{00000000-0005-0000-0000-0000D0490000}"/>
    <cellStyle name="20% - Accent6 4 4 6 2 3" xfId="37544" xr:uid="{00000000-0005-0000-0000-0000D1490000}"/>
    <cellStyle name="20% - Accent6 4 4 6 2 4" xfId="47269" xr:uid="{00000000-0005-0000-0000-0000D2490000}"/>
    <cellStyle name="20% - Accent6 4 4 6 2 5" xfId="18094" xr:uid="{00000000-0005-0000-0000-0000D3490000}"/>
    <cellStyle name="20% - Accent6 4 4 6 3" xfId="22957" xr:uid="{00000000-0005-0000-0000-0000D4490000}"/>
    <cellStyle name="20% - Accent6 4 4 6 4" xfId="32682" xr:uid="{00000000-0005-0000-0000-0000D5490000}"/>
    <cellStyle name="20% - Accent6 4 4 6 5" xfId="42407" xr:uid="{00000000-0005-0000-0000-0000D6490000}"/>
    <cellStyle name="20% - Accent6 4 4 6 6" xfId="13232" xr:uid="{00000000-0005-0000-0000-0000D7490000}"/>
    <cellStyle name="20% - Accent6 4 4 7" xfId="5128" xr:uid="{00000000-0005-0000-0000-0000D8490000}"/>
    <cellStyle name="20% - Accent6 4 4 7 2" xfId="24579" xr:uid="{00000000-0005-0000-0000-0000D9490000}"/>
    <cellStyle name="20% - Accent6 4 4 7 3" xfId="34304" xr:uid="{00000000-0005-0000-0000-0000DA490000}"/>
    <cellStyle name="20% - Accent6 4 4 7 4" xfId="44029" xr:uid="{00000000-0005-0000-0000-0000DB490000}"/>
    <cellStyle name="20% - Accent6 4 4 7 5" xfId="14854" xr:uid="{00000000-0005-0000-0000-0000DC490000}"/>
    <cellStyle name="20% - Accent6 4 4 8" xfId="19717" xr:uid="{00000000-0005-0000-0000-0000DD490000}"/>
    <cellStyle name="20% - Accent6 4 4 9" xfId="29442" xr:uid="{00000000-0005-0000-0000-0000DE490000}"/>
    <cellStyle name="20% - Accent6 4 5" xfId="877" xr:uid="{00000000-0005-0000-0000-0000DF490000}"/>
    <cellStyle name="20% - Accent6 4 5 2" xfId="2516" xr:uid="{00000000-0005-0000-0000-0000E0490000}"/>
    <cellStyle name="20% - Accent6 4 5 2 2" xfId="7378" xr:uid="{00000000-0005-0000-0000-0000E1490000}"/>
    <cellStyle name="20% - Accent6 4 5 2 2 2" xfId="26829" xr:uid="{00000000-0005-0000-0000-0000E2490000}"/>
    <cellStyle name="20% - Accent6 4 5 2 2 3" xfId="36554" xr:uid="{00000000-0005-0000-0000-0000E3490000}"/>
    <cellStyle name="20% - Accent6 4 5 2 2 4" xfId="46279" xr:uid="{00000000-0005-0000-0000-0000E4490000}"/>
    <cellStyle name="20% - Accent6 4 5 2 2 5" xfId="17104" xr:uid="{00000000-0005-0000-0000-0000E5490000}"/>
    <cellStyle name="20% - Accent6 4 5 2 3" xfId="21967" xr:uid="{00000000-0005-0000-0000-0000E6490000}"/>
    <cellStyle name="20% - Accent6 4 5 2 4" xfId="31692" xr:uid="{00000000-0005-0000-0000-0000E7490000}"/>
    <cellStyle name="20% - Accent6 4 5 2 5" xfId="41417" xr:uid="{00000000-0005-0000-0000-0000E8490000}"/>
    <cellStyle name="20% - Accent6 4 5 2 6" xfId="12242" xr:uid="{00000000-0005-0000-0000-0000E9490000}"/>
    <cellStyle name="20% - Accent6 4 5 3" xfId="4136" xr:uid="{00000000-0005-0000-0000-0000EA490000}"/>
    <cellStyle name="20% - Accent6 4 5 3 2" xfId="8998" xr:uid="{00000000-0005-0000-0000-0000EB490000}"/>
    <cellStyle name="20% - Accent6 4 5 3 2 2" xfId="28449" xr:uid="{00000000-0005-0000-0000-0000EC490000}"/>
    <cellStyle name="20% - Accent6 4 5 3 2 3" xfId="38174" xr:uid="{00000000-0005-0000-0000-0000ED490000}"/>
    <cellStyle name="20% - Accent6 4 5 3 2 4" xfId="47899" xr:uid="{00000000-0005-0000-0000-0000EE490000}"/>
    <cellStyle name="20% - Accent6 4 5 3 2 5" xfId="18724" xr:uid="{00000000-0005-0000-0000-0000EF490000}"/>
    <cellStyle name="20% - Accent6 4 5 3 3" xfId="23587" xr:uid="{00000000-0005-0000-0000-0000F0490000}"/>
    <cellStyle name="20% - Accent6 4 5 3 4" xfId="33312" xr:uid="{00000000-0005-0000-0000-0000F1490000}"/>
    <cellStyle name="20% - Accent6 4 5 3 5" xfId="43037" xr:uid="{00000000-0005-0000-0000-0000F2490000}"/>
    <cellStyle name="20% - Accent6 4 5 3 6" xfId="13862" xr:uid="{00000000-0005-0000-0000-0000F3490000}"/>
    <cellStyle name="20% - Accent6 4 5 4" xfId="5758" xr:uid="{00000000-0005-0000-0000-0000F4490000}"/>
    <cellStyle name="20% - Accent6 4 5 4 2" xfId="25209" xr:uid="{00000000-0005-0000-0000-0000F5490000}"/>
    <cellStyle name="20% - Accent6 4 5 4 3" xfId="34934" xr:uid="{00000000-0005-0000-0000-0000F6490000}"/>
    <cellStyle name="20% - Accent6 4 5 4 4" xfId="44659" xr:uid="{00000000-0005-0000-0000-0000F7490000}"/>
    <cellStyle name="20% - Accent6 4 5 4 5" xfId="15484" xr:uid="{00000000-0005-0000-0000-0000F8490000}"/>
    <cellStyle name="20% - Accent6 4 5 5" xfId="20347" xr:uid="{00000000-0005-0000-0000-0000F9490000}"/>
    <cellStyle name="20% - Accent6 4 5 6" xfId="30072" xr:uid="{00000000-0005-0000-0000-0000FA490000}"/>
    <cellStyle name="20% - Accent6 4 5 7" xfId="39797" xr:uid="{00000000-0005-0000-0000-0000FB490000}"/>
    <cellStyle name="20% - Accent6 4 5 8" xfId="10622" xr:uid="{00000000-0005-0000-0000-0000FC490000}"/>
    <cellStyle name="20% - Accent6 4 6" xfId="1255" xr:uid="{00000000-0005-0000-0000-0000FD490000}"/>
    <cellStyle name="20% - Accent6 4 6 2" xfId="2876" xr:uid="{00000000-0005-0000-0000-0000FE490000}"/>
    <cellStyle name="20% - Accent6 4 6 2 2" xfId="7738" xr:uid="{00000000-0005-0000-0000-0000FF490000}"/>
    <cellStyle name="20% - Accent6 4 6 2 2 2" xfId="27189" xr:uid="{00000000-0005-0000-0000-0000004A0000}"/>
    <cellStyle name="20% - Accent6 4 6 2 2 3" xfId="36914" xr:uid="{00000000-0005-0000-0000-0000014A0000}"/>
    <cellStyle name="20% - Accent6 4 6 2 2 4" xfId="46639" xr:uid="{00000000-0005-0000-0000-0000024A0000}"/>
    <cellStyle name="20% - Accent6 4 6 2 2 5" xfId="17464" xr:uid="{00000000-0005-0000-0000-0000034A0000}"/>
    <cellStyle name="20% - Accent6 4 6 2 3" xfId="22327" xr:uid="{00000000-0005-0000-0000-0000044A0000}"/>
    <cellStyle name="20% - Accent6 4 6 2 4" xfId="32052" xr:uid="{00000000-0005-0000-0000-0000054A0000}"/>
    <cellStyle name="20% - Accent6 4 6 2 5" xfId="41777" xr:uid="{00000000-0005-0000-0000-0000064A0000}"/>
    <cellStyle name="20% - Accent6 4 6 2 6" xfId="12602" xr:uid="{00000000-0005-0000-0000-0000074A0000}"/>
    <cellStyle name="20% - Accent6 4 6 3" xfId="4496" xr:uid="{00000000-0005-0000-0000-0000084A0000}"/>
    <cellStyle name="20% - Accent6 4 6 3 2" xfId="9358" xr:uid="{00000000-0005-0000-0000-0000094A0000}"/>
    <cellStyle name="20% - Accent6 4 6 3 2 2" xfId="28809" xr:uid="{00000000-0005-0000-0000-00000A4A0000}"/>
    <cellStyle name="20% - Accent6 4 6 3 2 3" xfId="38534" xr:uid="{00000000-0005-0000-0000-00000B4A0000}"/>
    <cellStyle name="20% - Accent6 4 6 3 2 4" xfId="48259" xr:uid="{00000000-0005-0000-0000-00000C4A0000}"/>
    <cellStyle name="20% - Accent6 4 6 3 2 5" xfId="19084" xr:uid="{00000000-0005-0000-0000-00000D4A0000}"/>
    <cellStyle name="20% - Accent6 4 6 3 3" xfId="23947" xr:uid="{00000000-0005-0000-0000-00000E4A0000}"/>
    <cellStyle name="20% - Accent6 4 6 3 4" xfId="33672" xr:uid="{00000000-0005-0000-0000-00000F4A0000}"/>
    <cellStyle name="20% - Accent6 4 6 3 5" xfId="43397" xr:uid="{00000000-0005-0000-0000-0000104A0000}"/>
    <cellStyle name="20% - Accent6 4 6 3 6" xfId="14222" xr:uid="{00000000-0005-0000-0000-0000114A0000}"/>
    <cellStyle name="20% - Accent6 4 6 4" xfId="6118" xr:uid="{00000000-0005-0000-0000-0000124A0000}"/>
    <cellStyle name="20% - Accent6 4 6 4 2" xfId="25569" xr:uid="{00000000-0005-0000-0000-0000134A0000}"/>
    <cellStyle name="20% - Accent6 4 6 4 3" xfId="35294" xr:uid="{00000000-0005-0000-0000-0000144A0000}"/>
    <cellStyle name="20% - Accent6 4 6 4 4" xfId="45019" xr:uid="{00000000-0005-0000-0000-0000154A0000}"/>
    <cellStyle name="20% - Accent6 4 6 4 5" xfId="15844" xr:uid="{00000000-0005-0000-0000-0000164A0000}"/>
    <cellStyle name="20% - Accent6 4 6 5" xfId="20707" xr:uid="{00000000-0005-0000-0000-0000174A0000}"/>
    <cellStyle name="20% - Accent6 4 6 6" xfId="30432" xr:uid="{00000000-0005-0000-0000-0000184A0000}"/>
    <cellStyle name="20% - Accent6 4 6 7" xfId="40157" xr:uid="{00000000-0005-0000-0000-0000194A0000}"/>
    <cellStyle name="20% - Accent6 4 6 8" xfId="10982" xr:uid="{00000000-0005-0000-0000-00001A4A0000}"/>
    <cellStyle name="20% - Accent6 4 7" xfId="1345" xr:uid="{00000000-0005-0000-0000-00001B4A0000}"/>
    <cellStyle name="20% - Accent6 4 7 2" xfId="2966" xr:uid="{00000000-0005-0000-0000-00001C4A0000}"/>
    <cellStyle name="20% - Accent6 4 7 2 2" xfId="7828" xr:uid="{00000000-0005-0000-0000-00001D4A0000}"/>
    <cellStyle name="20% - Accent6 4 7 2 2 2" xfId="27279" xr:uid="{00000000-0005-0000-0000-00001E4A0000}"/>
    <cellStyle name="20% - Accent6 4 7 2 2 3" xfId="37004" xr:uid="{00000000-0005-0000-0000-00001F4A0000}"/>
    <cellStyle name="20% - Accent6 4 7 2 2 4" xfId="46729" xr:uid="{00000000-0005-0000-0000-0000204A0000}"/>
    <cellStyle name="20% - Accent6 4 7 2 2 5" xfId="17554" xr:uid="{00000000-0005-0000-0000-0000214A0000}"/>
    <cellStyle name="20% - Accent6 4 7 2 3" xfId="22417" xr:uid="{00000000-0005-0000-0000-0000224A0000}"/>
    <cellStyle name="20% - Accent6 4 7 2 4" xfId="32142" xr:uid="{00000000-0005-0000-0000-0000234A0000}"/>
    <cellStyle name="20% - Accent6 4 7 2 5" xfId="41867" xr:uid="{00000000-0005-0000-0000-0000244A0000}"/>
    <cellStyle name="20% - Accent6 4 7 2 6" xfId="12692" xr:uid="{00000000-0005-0000-0000-0000254A0000}"/>
    <cellStyle name="20% - Accent6 4 7 3" xfId="4586" xr:uid="{00000000-0005-0000-0000-0000264A0000}"/>
    <cellStyle name="20% - Accent6 4 7 3 2" xfId="9448" xr:uid="{00000000-0005-0000-0000-0000274A0000}"/>
    <cellStyle name="20% - Accent6 4 7 3 2 2" xfId="28899" xr:uid="{00000000-0005-0000-0000-0000284A0000}"/>
    <cellStyle name="20% - Accent6 4 7 3 2 3" xfId="38624" xr:uid="{00000000-0005-0000-0000-0000294A0000}"/>
    <cellStyle name="20% - Accent6 4 7 3 2 4" xfId="48349" xr:uid="{00000000-0005-0000-0000-00002A4A0000}"/>
    <cellStyle name="20% - Accent6 4 7 3 2 5" xfId="19174" xr:uid="{00000000-0005-0000-0000-00002B4A0000}"/>
    <cellStyle name="20% - Accent6 4 7 3 3" xfId="24037" xr:uid="{00000000-0005-0000-0000-00002C4A0000}"/>
    <cellStyle name="20% - Accent6 4 7 3 4" xfId="33762" xr:uid="{00000000-0005-0000-0000-00002D4A0000}"/>
    <cellStyle name="20% - Accent6 4 7 3 5" xfId="43487" xr:uid="{00000000-0005-0000-0000-00002E4A0000}"/>
    <cellStyle name="20% - Accent6 4 7 3 6" xfId="14312" xr:uid="{00000000-0005-0000-0000-00002F4A0000}"/>
    <cellStyle name="20% - Accent6 4 7 4" xfId="6208" xr:uid="{00000000-0005-0000-0000-0000304A0000}"/>
    <cellStyle name="20% - Accent6 4 7 4 2" xfId="25659" xr:uid="{00000000-0005-0000-0000-0000314A0000}"/>
    <cellStyle name="20% - Accent6 4 7 4 3" xfId="35384" xr:uid="{00000000-0005-0000-0000-0000324A0000}"/>
    <cellStyle name="20% - Accent6 4 7 4 4" xfId="45109" xr:uid="{00000000-0005-0000-0000-0000334A0000}"/>
    <cellStyle name="20% - Accent6 4 7 4 5" xfId="15934" xr:uid="{00000000-0005-0000-0000-0000344A0000}"/>
    <cellStyle name="20% - Accent6 4 7 5" xfId="20797" xr:uid="{00000000-0005-0000-0000-0000354A0000}"/>
    <cellStyle name="20% - Accent6 4 7 6" xfId="30522" xr:uid="{00000000-0005-0000-0000-0000364A0000}"/>
    <cellStyle name="20% - Accent6 4 7 7" xfId="40247" xr:uid="{00000000-0005-0000-0000-0000374A0000}"/>
    <cellStyle name="20% - Accent6 4 7 8" xfId="11072" xr:uid="{00000000-0005-0000-0000-0000384A0000}"/>
    <cellStyle name="20% - Accent6 4 8" xfId="516" xr:uid="{00000000-0005-0000-0000-0000394A0000}"/>
    <cellStyle name="20% - Accent6 4 8 2" xfId="2156" xr:uid="{00000000-0005-0000-0000-00003A4A0000}"/>
    <cellStyle name="20% - Accent6 4 8 2 2" xfId="7018" xr:uid="{00000000-0005-0000-0000-00003B4A0000}"/>
    <cellStyle name="20% - Accent6 4 8 2 2 2" xfId="26469" xr:uid="{00000000-0005-0000-0000-00003C4A0000}"/>
    <cellStyle name="20% - Accent6 4 8 2 2 3" xfId="36194" xr:uid="{00000000-0005-0000-0000-00003D4A0000}"/>
    <cellStyle name="20% - Accent6 4 8 2 2 4" xfId="45919" xr:uid="{00000000-0005-0000-0000-00003E4A0000}"/>
    <cellStyle name="20% - Accent6 4 8 2 2 5" xfId="16744" xr:uid="{00000000-0005-0000-0000-00003F4A0000}"/>
    <cellStyle name="20% - Accent6 4 8 2 3" xfId="21607" xr:uid="{00000000-0005-0000-0000-0000404A0000}"/>
    <cellStyle name="20% - Accent6 4 8 2 4" xfId="31332" xr:uid="{00000000-0005-0000-0000-0000414A0000}"/>
    <cellStyle name="20% - Accent6 4 8 2 5" xfId="41057" xr:uid="{00000000-0005-0000-0000-0000424A0000}"/>
    <cellStyle name="20% - Accent6 4 8 2 6" xfId="11882" xr:uid="{00000000-0005-0000-0000-0000434A0000}"/>
    <cellStyle name="20% - Accent6 4 8 3" xfId="3776" xr:uid="{00000000-0005-0000-0000-0000444A0000}"/>
    <cellStyle name="20% - Accent6 4 8 3 2" xfId="8638" xr:uid="{00000000-0005-0000-0000-0000454A0000}"/>
    <cellStyle name="20% - Accent6 4 8 3 2 2" xfId="28089" xr:uid="{00000000-0005-0000-0000-0000464A0000}"/>
    <cellStyle name="20% - Accent6 4 8 3 2 3" xfId="37814" xr:uid="{00000000-0005-0000-0000-0000474A0000}"/>
    <cellStyle name="20% - Accent6 4 8 3 2 4" xfId="47539" xr:uid="{00000000-0005-0000-0000-0000484A0000}"/>
    <cellStyle name="20% - Accent6 4 8 3 2 5" xfId="18364" xr:uid="{00000000-0005-0000-0000-0000494A0000}"/>
    <cellStyle name="20% - Accent6 4 8 3 3" xfId="23227" xr:uid="{00000000-0005-0000-0000-00004A4A0000}"/>
    <cellStyle name="20% - Accent6 4 8 3 4" xfId="32952" xr:uid="{00000000-0005-0000-0000-00004B4A0000}"/>
    <cellStyle name="20% - Accent6 4 8 3 5" xfId="42677" xr:uid="{00000000-0005-0000-0000-00004C4A0000}"/>
    <cellStyle name="20% - Accent6 4 8 3 6" xfId="13502" xr:uid="{00000000-0005-0000-0000-00004D4A0000}"/>
    <cellStyle name="20% - Accent6 4 8 4" xfId="5398" xr:uid="{00000000-0005-0000-0000-00004E4A0000}"/>
    <cellStyle name="20% - Accent6 4 8 4 2" xfId="24849" xr:uid="{00000000-0005-0000-0000-00004F4A0000}"/>
    <cellStyle name="20% - Accent6 4 8 4 3" xfId="34574" xr:uid="{00000000-0005-0000-0000-0000504A0000}"/>
    <cellStyle name="20% - Accent6 4 8 4 4" xfId="44299" xr:uid="{00000000-0005-0000-0000-0000514A0000}"/>
    <cellStyle name="20% - Accent6 4 8 4 5" xfId="15124" xr:uid="{00000000-0005-0000-0000-0000524A0000}"/>
    <cellStyle name="20% - Accent6 4 8 5" xfId="19987" xr:uid="{00000000-0005-0000-0000-0000534A0000}"/>
    <cellStyle name="20% - Accent6 4 8 6" xfId="29712" xr:uid="{00000000-0005-0000-0000-0000544A0000}"/>
    <cellStyle name="20% - Accent6 4 8 7" xfId="39437" xr:uid="{00000000-0005-0000-0000-0000554A0000}"/>
    <cellStyle name="20% - Accent6 4 8 8" xfId="10262" xr:uid="{00000000-0005-0000-0000-0000564A0000}"/>
    <cellStyle name="20% - Accent6 4 9" xfId="1705" xr:uid="{00000000-0005-0000-0000-0000574A0000}"/>
    <cellStyle name="20% - Accent6 4 9 2" xfId="3326" xr:uid="{00000000-0005-0000-0000-0000584A0000}"/>
    <cellStyle name="20% - Accent6 4 9 2 2" xfId="8188" xr:uid="{00000000-0005-0000-0000-0000594A0000}"/>
    <cellStyle name="20% - Accent6 4 9 2 2 2" xfId="27639" xr:uid="{00000000-0005-0000-0000-00005A4A0000}"/>
    <cellStyle name="20% - Accent6 4 9 2 2 3" xfId="37364" xr:uid="{00000000-0005-0000-0000-00005B4A0000}"/>
    <cellStyle name="20% - Accent6 4 9 2 2 4" xfId="47089" xr:uid="{00000000-0005-0000-0000-00005C4A0000}"/>
    <cellStyle name="20% - Accent6 4 9 2 2 5" xfId="17914" xr:uid="{00000000-0005-0000-0000-00005D4A0000}"/>
    <cellStyle name="20% - Accent6 4 9 2 3" xfId="22777" xr:uid="{00000000-0005-0000-0000-00005E4A0000}"/>
    <cellStyle name="20% - Accent6 4 9 2 4" xfId="32502" xr:uid="{00000000-0005-0000-0000-00005F4A0000}"/>
    <cellStyle name="20% - Accent6 4 9 2 5" xfId="42227" xr:uid="{00000000-0005-0000-0000-0000604A0000}"/>
    <cellStyle name="20% - Accent6 4 9 2 6" xfId="13052" xr:uid="{00000000-0005-0000-0000-0000614A0000}"/>
    <cellStyle name="20% - Accent6 4 9 3" xfId="4946" xr:uid="{00000000-0005-0000-0000-0000624A0000}"/>
    <cellStyle name="20% - Accent6 4 9 3 2" xfId="9808" xr:uid="{00000000-0005-0000-0000-0000634A0000}"/>
    <cellStyle name="20% - Accent6 4 9 3 2 2" xfId="29259" xr:uid="{00000000-0005-0000-0000-0000644A0000}"/>
    <cellStyle name="20% - Accent6 4 9 3 2 3" xfId="38984" xr:uid="{00000000-0005-0000-0000-0000654A0000}"/>
    <cellStyle name="20% - Accent6 4 9 3 2 4" xfId="48709" xr:uid="{00000000-0005-0000-0000-0000664A0000}"/>
    <cellStyle name="20% - Accent6 4 9 3 2 5" xfId="19534" xr:uid="{00000000-0005-0000-0000-0000674A0000}"/>
    <cellStyle name="20% - Accent6 4 9 3 3" xfId="24397" xr:uid="{00000000-0005-0000-0000-0000684A0000}"/>
    <cellStyle name="20% - Accent6 4 9 3 4" xfId="34122" xr:uid="{00000000-0005-0000-0000-0000694A0000}"/>
    <cellStyle name="20% - Accent6 4 9 3 5" xfId="43847" xr:uid="{00000000-0005-0000-0000-00006A4A0000}"/>
    <cellStyle name="20% - Accent6 4 9 3 6" xfId="14672" xr:uid="{00000000-0005-0000-0000-00006B4A0000}"/>
    <cellStyle name="20% - Accent6 4 9 4" xfId="6568" xr:uid="{00000000-0005-0000-0000-00006C4A0000}"/>
    <cellStyle name="20% - Accent6 4 9 4 2" xfId="26019" xr:uid="{00000000-0005-0000-0000-00006D4A0000}"/>
    <cellStyle name="20% - Accent6 4 9 4 3" xfId="35744" xr:uid="{00000000-0005-0000-0000-00006E4A0000}"/>
    <cellStyle name="20% - Accent6 4 9 4 4" xfId="45469" xr:uid="{00000000-0005-0000-0000-00006F4A0000}"/>
    <cellStyle name="20% - Accent6 4 9 4 5" xfId="16294" xr:uid="{00000000-0005-0000-0000-0000704A0000}"/>
    <cellStyle name="20% - Accent6 4 9 5" xfId="21157" xr:uid="{00000000-0005-0000-0000-0000714A0000}"/>
    <cellStyle name="20% - Accent6 4 9 6" xfId="30882" xr:uid="{00000000-0005-0000-0000-0000724A0000}"/>
    <cellStyle name="20% - Accent6 4 9 7" xfId="40607" xr:uid="{00000000-0005-0000-0000-0000734A0000}"/>
    <cellStyle name="20% - Accent6 4 9 8" xfId="11432" xr:uid="{00000000-0005-0000-0000-0000744A0000}"/>
    <cellStyle name="20% - Accent6 5" xfId="234" xr:uid="{00000000-0005-0000-0000-0000754A0000}"/>
    <cellStyle name="20% - Accent6 5 10" xfId="39197" xr:uid="{00000000-0005-0000-0000-0000764A0000}"/>
    <cellStyle name="20% - Accent6 5 11" xfId="10022" xr:uid="{00000000-0005-0000-0000-0000774A0000}"/>
    <cellStyle name="20% - Accent6 5 2" xfId="998" xr:uid="{00000000-0005-0000-0000-0000784A0000}"/>
    <cellStyle name="20% - Accent6 5 2 2" xfId="2636" xr:uid="{00000000-0005-0000-0000-0000794A0000}"/>
    <cellStyle name="20% - Accent6 5 2 2 2" xfId="7498" xr:uid="{00000000-0005-0000-0000-00007A4A0000}"/>
    <cellStyle name="20% - Accent6 5 2 2 2 2" xfId="26949" xr:uid="{00000000-0005-0000-0000-00007B4A0000}"/>
    <cellStyle name="20% - Accent6 5 2 2 2 3" xfId="36674" xr:uid="{00000000-0005-0000-0000-00007C4A0000}"/>
    <cellStyle name="20% - Accent6 5 2 2 2 4" xfId="46399" xr:uid="{00000000-0005-0000-0000-00007D4A0000}"/>
    <cellStyle name="20% - Accent6 5 2 2 2 5" xfId="17224" xr:uid="{00000000-0005-0000-0000-00007E4A0000}"/>
    <cellStyle name="20% - Accent6 5 2 2 3" xfId="22087" xr:uid="{00000000-0005-0000-0000-00007F4A0000}"/>
    <cellStyle name="20% - Accent6 5 2 2 4" xfId="31812" xr:uid="{00000000-0005-0000-0000-0000804A0000}"/>
    <cellStyle name="20% - Accent6 5 2 2 5" xfId="41537" xr:uid="{00000000-0005-0000-0000-0000814A0000}"/>
    <cellStyle name="20% - Accent6 5 2 2 6" xfId="12362" xr:uid="{00000000-0005-0000-0000-0000824A0000}"/>
    <cellStyle name="20% - Accent6 5 2 3" xfId="4256" xr:uid="{00000000-0005-0000-0000-0000834A0000}"/>
    <cellStyle name="20% - Accent6 5 2 3 2" xfId="9118" xr:uid="{00000000-0005-0000-0000-0000844A0000}"/>
    <cellStyle name="20% - Accent6 5 2 3 2 2" xfId="28569" xr:uid="{00000000-0005-0000-0000-0000854A0000}"/>
    <cellStyle name="20% - Accent6 5 2 3 2 3" xfId="38294" xr:uid="{00000000-0005-0000-0000-0000864A0000}"/>
    <cellStyle name="20% - Accent6 5 2 3 2 4" xfId="48019" xr:uid="{00000000-0005-0000-0000-0000874A0000}"/>
    <cellStyle name="20% - Accent6 5 2 3 2 5" xfId="18844" xr:uid="{00000000-0005-0000-0000-0000884A0000}"/>
    <cellStyle name="20% - Accent6 5 2 3 3" xfId="23707" xr:uid="{00000000-0005-0000-0000-0000894A0000}"/>
    <cellStyle name="20% - Accent6 5 2 3 4" xfId="33432" xr:uid="{00000000-0005-0000-0000-00008A4A0000}"/>
    <cellStyle name="20% - Accent6 5 2 3 5" xfId="43157" xr:uid="{00000000-0005-0000-0000-00008B4A0000}"/>
    <cellStyle name="20% - Accent6 5 2 3 6" xfId="13982" xr:uid="{00000000-0005-0000-0000-00008C4A0000}"/>
    <cellStyle name="20% - Accent6 5 2 4" xfId="5878" xr:uid="{00000000-0005-0000-0000-00008D4A0000}"/>
    <cellStyle name="20% - Accent6 5 2 4 2" xfId="25329" xr:uid="{00000000-0005-0000-0000-00008E4A0000}"/>
    <cellStyle name="20% - Accent6 5 2 4 3" xfId="35054" xr:uid="{00000000-0005-0000-0000-00008F4A0000}"/>
    <cellStyle name="20% - Accent6 5 2 4 4" xfId="44779" xr:uid="{00000000-0005-0000-0000-0000904A0000}"/>
    <cellStyle name="20% - Accent6 5 2 4 5" xfId="15604" xr:uid="{00000000-0005-0000-0000-0000914A0000}"/>
    <cellStyle name="20% - Accent6 5 2 5" xfId="20467" xr:uid="{00000000-0005-0000-0000-0000924A0000}"/>
    <cellStyle name="20% - Accent6 5 2 6" xfId="30192" xr:uid="{00000000-0005-0000-0000-0000934A0000}"/>
    <cellStyle name="20% - Accent6 5 2 7" xfId="39917" xr:uid="{00000000-0005-0000-0000-0000944A0000}"/>
    <cellStyle name="20% - Accent6 5 2 8" xfId="10742" xr:uid="{00000000-0005-0000-0000-0000954A0000}"/>
    <cellStyle name="20% - Accent6 5 3" xfId="1465" xr:uid="{00000000-0005-0000-0000-0000964A0000}"/>
    <cellStyle name="20% - Accent6 5 3 2" xfId="3086" xr:uid="{00000000-0005-0000-0000-0000974A0000}"/>
    <cellStyle name="20% - Accent6 5 3 2 2" xfId="7948" xr:uid="{00000000-0005-0000-0000-0000984A0000}"/>
    <cellStyle name="20% - Accent6 5 3 2 2 2" xfId="27399" xr:uid="{00000000-0005-0000-0000-0000994A0000}"/>
    <cellStyle name="20% - Accent6 5 3 2 2 3" xfId="37124" xr:uid="{00000000-0005-0000-0000-00009A4A0000}"/>
    <cellStyle name="20% - Accent6 5 3 2 2 4" xfId="46849" xr:uid="{00000000-0005-0000-0000-00009B4A0000}"/>
    <cellStyle name="20% - Accent6 5 3 2 2 5" xfId="17674" xr:uid="{00000000-0005-0000-0000-00009C4A0000}"/>
    <cellStyle name="20% - Accent6 5 3 2 3" xfId="22537" xr:uid="{00000000-0005-0000-0000-00009D4A0000}"/>
    <cellStyle name="20% - Accent6 5 3 2 4" xfId="32262" xr:uid="{00000000-0005-0000-0000-00009E4A0000}"/>
    <cellStyle name="20% - Accent6 5 3 2 5" xfId="41987" xr:uid="{00000000-0005-0000-0000-00009F4A0000}"/>
    <cellStyle name="20% - Accent6 5 3 2 6" xfId="12812" xr:uid="{00000000-0005-0000-0000-0000A04A0000}"/>
    <cellStyle name="20% - Accent6 5 3 3" xfId="4706" xr:uid="{00000000-0005-0000-0000-0000A14A0000}"/>
    <cellStyle name="20% - Accent6 5 3 3 2" xfId="9568" xr:uid="{00000000-0005-0000-0000-0000A24A0000}"/>
    <cellStyle name="20% - Accent6 5 3 3 2 2" xfId="29019" xr:uid="{00000000-0005-0000-0000-0000A34A0000}"/>
    <cellStyle name="20% - Accent6 5 3 3 2 3" xfId="38744" xr:uid="{00000000-0005-0000-0000-0000A44A0000}"/>
    <cellStyle name="20% - Accent6 5 3 3 2 4" xfId="48469" xr:uid="{00000000-0005-0000-0000-0000A54A0000}"/>
    <cellStyle name="20% - Accent6 5 3 3 2 5" xfId="19294" xr:uid="{00000000-0005-0000-0000-0000A64A0000}"/>
    <cellStyle name="20% - Accent6 5 3 3 3" xfId="24157" xr:uid="{00000000-0005-0000-0000-0000A74A0000}"/>
    <cellStyle name="20% - Accent6 5 3 3 4" xfId="33882" xr:uid="{00000000-0005-0000-0000-0000A84A0000}"/>
    <cellStyle name="20% - Accent6 5 3 3 5" xfId="43607" xr:uid="{00000000-0005-0000-0000-0000A94A0000}"/>
    <cellStyle name="20% - Accent6 5 3 3 6" xfId="14432" xr:uid="{00000000-0005-0000-0000-0000AA4A0000}"/>
    <cellStyle name="20% - Accent6 5 3 4" xfId="6328" xr:uid="{00000000-0005-0000-0000-0000AB4A0000}"/>
    <cellStyle name="20% - Accent6 5 3 4 2" xfId="25779" xr:uid="{00000000-0005-0000-0000-0000AC4A0000}"/>
    <cellStyle name="20% - Accent6 5 3 4 3" xfId="35504" xr:uid="{00000000-0005-0000-0000-0000AD4A0000}"/>
    <cellStyle name="20% - Accent6 5 3 4 4" xfId="45229" xr:uid="{00000000-0005-0000-0000-0000AE4A0000}"/>
    <cellStyle name="20% - Accent6 5 3 4 5" xfId="16054" xr:uid="{00000000-0005-0000-0000-0000AF4A0000}"/>
    <cellStyle name="20% - Accent6 5 3 5" xfId="20917" xr:uid="{00000000-0005-0000-0000-0000B04A0000}"/>
    <cellStyle name="20% - Accent6 5 3 6" xfId="30642" xr:uid="{00000000-0005-0000-0000-0000B14A0000}"/>
    <cellStyle name="20% - Accent6 5 3 7" xfId="40367" xr:uid="{00000000-0005-0000-0000-0000B24A0000}"/>
    <cellStyle name="20% - Accent6 5 3 8" xfId="11192" xr:uid="{00000000-0005-0000-0000-0000B34A0000}"/>
    <cellStyle name="20% - Accent6 5 4" xfId="636" xr:uid="{00000000-0005-0000-0000-0000B44A0000}"/>
    <cellStyle name="20% - Accent6 5 4 2" xfId="2276" xr:uid="{00000000-0005-0000-0000-0000B54A0000}"/>
    <cellStyle name="20% - Accent6 5 4 2 2" xfId="7138" xr:uid="{00000000-0005-0000-0000-0000B64A0000}"/>
    <cellStyle name="20% - Accent6 5 4 2 2 2" xfId="26589" xr:uid="{00000000-0005-0000-0000-0000B74A0000}"/>
    <cellStyle name="20% - Accent6 5 4 2 2 3" xfId="36314" xr:uid="{00000000-0005-0000-0000-0000B84A0000}"/>
    <cellStyle name="20% - Accent6 5 4 2 2 4" xfId="46039" xr:uid="{00000000-0005-0000-0000-0000B94A0000}"/>
    <cellStyle name="20% - Accent6 5 4 2 2 5" xfId="16864" xr:uid="{00000000-0005-0000-0000-0000BA4A0000}"/>
    <cellStyle name="20% - Accent6 5 4 2 3" xfId="21727" xr:uid="{00000000-0005-0000-0000-0000BB4A0000}"/>
    <cellStyle name="20% - Accent6 5 4 2 4" xfId="31452" xr:uid="{00000000-0005-0000-0000-0000BC4A0000}"/>
    <cellStyle name="20% - Accent6 5 4 2 5" xfId="41177" xr:uid="{00000000-0005-0000-0000-0000BD4A0000}"/>
    <cellStyle name="20% - Accent6 5 4 2 6" xfId="12002" xr:uid="{00000000-0005-0000-0000-0000BE4A0000}"/>
    <cellStyle name="20% - Accent6 5 4 3" xfId="3896" xr:uid="{00000000-0005-0000-0000-0000BF4A0000}"/>
    <cellStyle name="20% - Accent6 5 4 3 2" xfId="8758" xr:uid="{00000000-0005-0000-0000-0000C04A0000}"/>
    <cellStyle name="20% - Accent6 5 4 3 2 2" xfId="28209" xr:uid="{00000000-0005-0000-0000-0000C14A0000}"/>
    <cellStyle name="20% - Accent6 5 4 3 2 3" xfId="37934" xr:uid="{00000000-0005-0000-0000-0000C24A0000}"/>
    <cellStyle name="20% - Accent6 5 4 3 2 4" xfId="47659" xr:uid="{00000000-0005-0000-0000-0000C34A0000}"/>
    <cellStyle name="20% - Accent6 5 4 3 2 5" xfId="18484" xr:uid="{00000000-0005-0000-0000-0000C44A0000}"/>
    <cellStyle name="20% - Accent6 5 4 3 3" xfId="23347" xr:uid="{00000000-0005-0000-0000-0000C54A0000}"/>
    <cellStyle name="20% - Accent6 5 4 3 4" xfId="33072" xr:uid="{00000000-0005-0000-0000-0000C64A0000}"/>
    <cellStyle name="20% - Accent6 5 4 3 5" xfId="42797" xr:uid="{00000000-0005-0000-0000-0000C74A0000}"/>
    <cellStyle name="20% - Accent6 5 4 3 6" xfId="13622" xr:uid="{00000000-0005-0000-0000-0000C84A0000}"/>
    <cellStyle name="20% - Accent6 5 4 4" xfId="5518" xr:uid="{00000000-0005-0000-0000-0000C94A0000}"/>
    <cellStyle name="20% - Accent6 5 4 4 2" xfId="24969" xr:uid="{00000000-0005-0000-0000-0000CA4A0000}"/>
    <cellStyle name="20% - Accent6 5 4 4 3" xfId="34694" xr:uid="{00000000-0005-0000-0000-0000CB4A0000}"/>
    <cellStyle name="20% - Accent6 5 4 4 4" xfId="44419" xr:uid="{00000000-0005-0000-0000-0000CC4A0000}"/>
    <cellStyle name="20% - Accent6 5 4 4 5" xfId="15244" xr:uid="{00000000-0005-0000-0000-0000CD4A0000}"/>
    <cellStyle name="20% - Accent6 5 4 5" xfId="20107" xr:uid="{00000000-0005-0000-0000-0000CE4A0000}"/>
    <cellStyle name="20% - Accent6 5 4 6" xfId="29832" xr:uid="{00000000-0005-0000-0000-0000CF4A0000}"/>
    <cellStyle name="20% - Accent6 5 4 7" xfId="39557" xr:uid="{00000000-0005-0000-0000-0000D04A0000}"/>
    <cellStyle name="20% - Accent6 5 4 8" xfId="10382" xr:uid="{00000000-0005-0000-0000-0000D14A0000}"/>
    <cellStyle name="20% - Accent6 5 5" xfId="1916" xr:uid="{00000000-0005-0000-0000-0000D24A0000}"/>
    <cellStyle name="20% - Accent6 5 5 2" xfId="6778" xr:uid="{00000000-0005-0000-0000-0000D34A0000}"/>
    <cellStyle name="20% - Accent6 5 5 2 2" xfId="26229" xr:uid="{00000000-0005-0000-0000-0000D44A0000}"/>
    <cellStyle name="20% - Accent6 5 5 2 3" xfId="35954" xr:uid="{00000000-0005-0000-0000-0000D54A0000}"/>
    <cellStyle name="20% - Accent6 5 5 2 4" xfId="45679" xr:uid="{00000000-0005-0000-0000-0000D64A0000}"/>
    <cellStyle name="20% - Accent6 5 5 2 5" xfId="16504" xr:uid="{00000000-0005-0000-0000-0000D74A0000}"/>
    <cellStyle name="20% - Accent6 5 5 3" xfId="21367" xr:uid="{00000000-0005-0000-0000-0000D84A0000}"/>
    <cellStyle name="20% - Accent6 5 5 4" xfId="31092" xr:uid="{00000000-0005-0000-0000-0000D94A0000}"/>
    <cellStyle name="20% - Accent6 5 5 5" xfId="40817" xr:uid="{00000000-0005-0000-0000-0000DA4A0000}"/>
    <cellStyle name="20% - Accent6 5 5 6" xfId="11642" xr:uid="{00000000-0005-0000-0000-0000DB4A0000}"/>
    <cellStyle name="20% - Accent6 5 6" xfId="3536" xr:uid="{00000000-0005-0000-0000-0000DC4A0000}"/>
    <cellStyle name="20% - Accent6 5 6 2" xfId="8398" xr:uid="{00000000-0005-0000-0000-0000DD4A0000}"/>
    <cellStyle name="20% - Accent6 5 6 2 2" xfId="27849" xr:uid="{00000000-0005-0000-0000-0000DE4A0000}"/>
    <cellStyle name="20% - Accent6 5 6 2 3" xfId="37574" xr:uid="{00000000-0005-0000-0000-0000DF4A0000}"/>
    <cellStyle name="20% - Accent6 5 6 2 4" xfId="47299" xr:uid="{00000000-0005-0000-0000-0000E04A0000}"/>
    <cellStyle name="20% - Accent6 5 6 2 5" xfId="18124" xr:uid="{00000000-0005-0000-0000-0000E14A0000}"/>
    <cellStyle name="20% - Accent6 5 6 3" xfId="22987" xr:uid="{00000000-0005-0000-0000-0000E24A0000}"/>
    <cellStyle name="20% - Accent6 5 6 4" xfId="32712" xr:uid="{00000000-0005-0000-0000-0000E34A0000}"/>
    <cellStyle name="20% - Accent6 5 6 5" xfId="42437" xr:uid="{00000000-0005-0000-0000-0000E44A0000}"/>
    <cellStyle name="20% - Accent6 5 6 6" xfId="13262" xr:uid="{00000000-0005-0000-0000-0000E54A0000}"/>
    <cellStyle name="20% - Accent6 5 7" xfId="5158" xr:uid="{00000000-0005-0000-0000-0000E64A0000}"/>
    <cellStyle name="20% - Accent6 5 7 2" xfId="24609" xr:uid="{00000000-0005-0000-0000-0000E74A0000}"/>
    <cellStyle name="20% - Accent6 5 7 3" xfId="34334" xr:uid="{00000000-0005-0000-0000-0000E84A0000}"/>
    <cellStyle name="20% - Accent6 5 7 4" xfId="44059" xr:uid="{00000000-0005-0000-0000-0000E94A0000}"/>
    <cellStyle name="20% - Accent6 5 7 5" xfId="14884" xr:uid="{00000000-0005-0000-0000-0000EA4A0000}"/>
    <cellStyle name="20% - Accent6 5 8" xfId="19747" xr:uid="{00000000-0005-0000-0000-0000EB4A0000}"/>
    <cellStyle name="20% - Accent6 5 9" xfId="29472" xr:uid="{00000000-0005-0000-0000-0000EC4A0000}"/>
    <cellStyle name="20% - Accent6 6" xfId="325" xr:uid="{00000000-0005-0000-0000-0000ED4A0000}"/>
    <cellStyle name="20% - Accent6 6 10" xfId="39287" xr:uid="{00000000-0005-0000-0000-0000EE4A0000}"/>
    <cellStyle name="20% - Accent6 6 11" xfId="10112" xr:uid="{00000000-0005-0000-0000-0000EF4A0000}"/>
    <cellStyle name="20% - Accent6 6 2" xfId="1088" xr:uid="{00000000-0005-0000-0000-0000F04A0000}"/>
    <cellStyle name="20% - Accent6 6 2 2" xfId="2726" xr:uid="{00000000-0005-0000-0000-0000F14A0000}"/>
    <cellStyle name="20% - Accent6 6 2 2 2" xfId="7588" xr:uid="{00000000-0005-0000-0000-0000F24A0000}"/>
    <cellStyle name="20% - Accent6 6 2 2 2 2" xfId="27039" xr:uid="{00000000-0005-0000-0000-0000F34A0000}"/>
    <cellStyle name="20% - Accent6 6 2 2 2 3" xfId="36764" xr:uid="{00000000-0005-0000-0000-0000F44A0000}"/>
    <cellStyle name="20% - Accent6 6 2 2 2 4" xfId="46489" xr:uid="{00000000-0005-0000-0000-0000F54A0000}"/>
    <cellStyle name="20% - Accent6 6 2 2 2 5" xfId="17314" xr:uid="{00000000-0005-0000-0000-0000F64A0000}"/>
    <cellStyle name="20% - Accent6 6 2 2 3" xfId="22177" xr:uid="{00000000-0005-0000-0000-0000F74A0000}"/>
    <cellStyle name="20% - Accent6 6 2 2 4" xfId="31902" xr:uid="{00000000-0005-0000-0000-0000F84A0000}"/>
    <cellStyle name="20% - Accent6 6 2 2 5" xfId="41627" xr:uid="{00000000-0005-0000-0000-0000F94A0000}"/>
    <cellStyle name="20% - Accent6 6 2 2 6" xfId="12452" xr:uid="{00000000-0005-0000-0000-0000FA4A0000}"/>
    <cellStyle name="20% - Accent6 6 2 3" xfId="4346" xr:uid="{00000000-0005-0000-0000-0000FB4A0000}"/>
    <cellStyle name="20% - Accent6 6 2 3 2" xfId="9208" xr:uid="{00000000-0005-0000-0000-0000FC4A0000}"/>
    <cellStyle name="20% - Accent6 6 2 3 2 2" xfId="28659" xr:uid="{00000000-0005-0000-0000-0000FD4A0000}"/>
    <cellStyle name="20% - Accent6 6 2 3 2 3" xfId="38384" xr:uid="{00000000-0005-0000-0000-0000FE4A0000}"/>
    <cellStyle name="20% - Accent6 6 2 3 2 4" xfId="48109" xr:uid="{00000000-0005-0000-0000-0000FF4A0000}"/>
    <cellStyle name="20% - Accent6 6 2 3 2 5" xfId="18934" xr:uid="{00000000-0005-0000-0000-0000004B0000}"/>
    <cellStyle name="20% - Accent6 6 2 3 3" xfId="23797" xr:uid="{00000000-0005-0000-0000-0000014B0000}"/>
    <cellStyle name="20% - Accent6 6 2 3 4" xfId="33522" xr:uid="{00000000-0005-0000-0000-0000024B0000}"/>
    <cellStyle name="20% - Accent6 6 2 3 5" xfId="43247" xr:uid="{00000000-0005-0000-0000-0000034B0000}"/>
    <cellStyle name="20% - Accent6 6 2 3 6" xfId="14072" xr:uid="{00000000-0005-0000-0000-0000044B0000}"/>
    <cellStyle name="20% - Accent6 6 2 4" xfId="5968" xr:uid="{00000000-0005-0000-0000-0000054B0000}"/>
    <cellStyle name="20% - Accent6 6 2 4 2" xfId="25419" xr:uid="{00000000-0005-0000-0000-0000064B0000}"/>
    <cellStyle name="20% - Accent6 6 2 4 3" xfId="35144" xr:uid="{00000000-0005-0000-0000-0000074B0000}"/>
    <cellStyle name="20% - Accent6 6 2 4 4" xfId="44869" xr:uid="{00000000-0005-0000-0000-0000084B0000}"/>
    <cellStyle name="20% - Accent6 6 2 4 5" xfId="15694" xr:uid="{00000000-0005-0000-0000-0000094B0000}"/>
    <cellStyle name="20% - Accent6 6 2 5" xfId="20557" xr:uid="{00000000-0005-0000-0000-00000A4B0000}"/>
    <cellStyle name="20% - Accent6 6 2 6" xfId="30282" xr:uid="{00000000-0005-0000-0000-00000B4B0000}"/>
    <cellStyle name="20% - Accent6 6 2 7" xfId="40007" xr:uid="{00000000-0005-0000-0000-00000C4B0000}"/>
    <cellStyle name="20% - Accent6 6 2 8" xfId="10832" xr:uid="{00000000-0005-0000-0000-00000D4B0000}"/>
    <cellStyle name="20% - Accent6 6 3" xfId="1555" xr:uid="{00000000-0005-0000-0000-00000E4B0000}"/>
    <cellStyle name="20% - Accent6 6 3 2" xfId="3176" xr:uid="{00000000-0005-0000-0000-00000F4B0000}"/>
    <cellStyle name="20% - Accent6 6 3 2 2" xfId="8038" xr:uid="{00000000-0005-0000-0000-0000104B0000}"/>
    <cellStyle name="20% - Accent6 6 3 2 2 2" xfId="27489" xr:uid="{00000000-0005-0000-0000-0000114B0000}"/>
    <cellStyle name="20% - Accent6 6 3 2 2 3" xfId="37214" xr:uid="{00000000-0005-0000-0000-0000124B0000}"/>
    <cellStyle name="20% - Accent6 6 3 2 2 4" xfId="46939" xr:uid="{00000000-0005-0000-0000-0000134B0000}"/>
    <cellStyle name="20% - Accent6 6 3 2 2 5" xfId="17764" xr:uid="{00000000-0005-0000-0000-0000144B0000}"/>
    <cellStyle name="20% - Accent6 6 3 2 3" xfId="22627" xr:uid="{00000000-0005-0000-0000-0000154B0000}"/>
    <cellStyle name="20% - Accent6 6 3 2 4" xfId="32352" xr:uid="{00000000-0005-0000-0000-0000164B0000}"/>
    <cellStyle name="20% - Accent6 6 3 2 5" xfId="42077" xr:uid="{00000000-0005-0000-0000-0000174B0000}"/>
    <cellStyle name="20% - Accent6 6 3 2 6" xfId="12902" xr:uid="{00000000-0005-0000-0000-0000184B0000}"/>
    <cellStyle name="20% - Accent6 6 3 3" xfId="4796" xr:uid="{00000000-0005-0000-0000-0000194B0000}"/>
    <cellStyle name="20% - Accent6 6 3 3 2" xfId="9658" xr:uid="{00000000-0005-0000-0000-00001A4B0000}"/>
    <cellStyle name="20% - Accent6 6 3 3 2 2" xfId="29109" xr:uid="{00000000-0005-0000-0000-00001B4B0000}"/>
    <cellStyle name="20% - Accent6 6 3 3 2 3" xfId="38834" xr:uid="{00000000-0005-0000-0000-00001C4B0000}"/>
    <cellStyle name="20% - Accent6 6 3 3 2 4" xfId="48559" xr:uid="{00000000-0005-0000-0000-00001D4B0000}"/>
    <cellStyle name="20% - Accent6 6 3 3 2 5" xfId="19384" xr:uid="{00000000-0005-0000-0000-00001E4B0000}"/>
    <cellStyle name="20% - Accent6 6 3 3 3" xfId="24247" xr:uid="{00000000-0005-0000-0000-00001F4B0000}"/>
    <cellStyle name="20% - Accent6 6 3 3 4" xfId="33972" xr:uid="{00000000-0005-0000-0000-0000204B0000}"/>
    <cellStyle name="20% - Accent6 6 3 3 5" xfId="43697" xr:uid="{00000000-0005-0000-0000-0000214B0000}"/>
    <cellStyle name="20% - Accent6 6 3 3 6" xfId="14522" xr:uid="{00000000-0005-0000-0000-0000224B0000}"/>
    <cellStyle name="20% - Accent6 6 3 4" xfId="6418" xr:uid="{00000000-0005-0000-0000-0000234B0000}"/>
    <cellStyle name="20% - Accent6 6 3 4 2" xfId="25869" xr:uid="{00000000-0005-0000-0000-0000244B0000}"/>
    <cellStyle name="20% - Accent6 6 3 4 3" xfId="35594" xr:uid="{00000000-0005-0000-0000-0000254B0000}"/>
    <cellStyle name="20% - Accent6 6 3 4 4" xfId="45319" xr:uid="{00000000-0005-0000-0000-0000264B0000}"/>
    <cellStyle name="20% - Accent6 6 3 4 5" xfId="16144" xr:uid="{00000000-0005-0000-0000-0000274B0000}"/>
    <cellStyle name="20% - Accent6 6 3 5" xfId="21007" xr:uid="{00000000-0005-0000-0000-0000284B0000}"/>
    <cellStyle name="20% - Accent6 6 3 6" xfId="30732" xr:uid="{00000000-0005-0000-0000-0000294B0000}"/>
    <cellStyle name="20% - Accent6 6 3 7" xfId="40457" xr:uid="{00000000-0005-0000-0000-00002A4B0000}"/>
    <cellStyle name="20% - Accent6 6 3 8" xfId="11282" xr:uid="{00000000-0005-0000-0000-00002B4B0000}"/>
    <cellStyle name="20% - Accent6 6 4" xfId="726" xr:uid="{00000000-0005-0000-0000-00002C4B0000}"/>
    <cellStyle name="20% - Accent6 6 4 2" xfId="2366" xr:uid="{00000000-0005-0000-0000-00002D4B0000}"/>
    <cellStyle name="20% - Accent6 6 4 2 2" xfId="7228" xr:uid="{00000000-0005-0000-0000-00002E4B0000}"/>
    <cellStyle name="20% - Accent6 6 4 2 2 2" xfId="26679" xr:uid="{00000000-0005-0000-0000-00002F4B0000}"/>
    <cellStyle name="20% - Accent6 6 4 2 2 3" xfId="36404" xr:uid="{00000000-0005-0000-0000-0000304B0000}"/>
    <cellStyle name="20% - Accent6 6 4 2 2 4" xfId="46129" xr:uid="{00000000-0005-0000-0000-0000314B0000}"/>
    <cellStyle name="20% - Accent6 6 4 2 2 5" xfId="16954" xr:uid="{00000000-0005-0000-0000-0000324B0000}"/>
    <cellStyle name="20% - Accent6 6 4 2 3" xfId="21817" xr:uid="{00000000-0005-0000-0000-0000334B0000}"/>
    <cellStyle name="20% - Accent6 6 4 2 4" xfId="31542" xr:uid="{00000000-0005-0000-0000-0000344B0000}"/>
    <cellStyle name="20% - Accent6 6 4 2 5" xfId="41267" xr:uid="{00000000-0005-0000-0000-0000354B0000}"/>
    <cellStyle name="20% - Accent6 6 4 2 6" xfId="12092" xr:uid="{00000000-0005-0000-0000-0000364B0000}"/>
    <cellStyle name="20% - Accent6 6 4 3" xfId="3986" xr:uid="{00000000-0005-0000-0000-0000374B0000}"/>
    <cellStyle name="20% - Accent6 6 4 3 2" xfId="8848" xr:uid="{00000000-0005-0000-0000-0000384B0000}"/>
    <cellStyle name="20% - Accent6 6 4 3 2 2" xfId="28299" xr:uid="{00000000-0005-0000-0000-0000394B0000}"/>
    <cellStyle name="20% - Accent6 6 4 3 2 3" xfId="38024" xr:uid="{00000000-0005-0000-0000-00003A4B0000}"/>
    <cellStyle name="20% - Accent6 6 4 3 2 4" xfId="47749" xr:uid="{00000000-0005-0000-0000-00003B4B0000}"/>
    <cellStyle name="20% - Accent6 6 4 3 2 5" xfId="18574" xr:uid="{00000000-0005-0000-0000-00003C4B0000}"/>
    <cellStyle name="20% - Accent6 6 4 3 3" xfId="23437" xr:uid="{00000000-0005-0000-0000-00003D4B0000}"/>
    <cellStyle name="20% - Accent6 6 4 3 4" xfId="33162" xr:uid="{00000000-0005-0000-0000-00003E4B0000}"/>
    <cellStyle name="20% - Accent6 6 4 3 5" xfId="42887" xr:uid="{00000000-0005-0000-0000-00003F4B0000}"/>
    <cellStyle name="20% - Accent6 6 4 3 6" xfId="13712" xr:uid="{00000000-0005-0000-0000-0000404B0000}"/>
    <cellStyle name="20% - Accent6 6 4 4" xfId="5608" xr:uid="{00000000-0005-0000-0000-0000414B0000}"/>
    <cellStyle name="20% - Accent6 6 4 4 2" xfId="25059" xr:uid="{00000000-0005-0000-0000-0000424B0000}"/>
    <cellStyle name="20% - Accent6 6 4 4 3" xfId="34784" xr:uid="{00000000-0005-0000-0000-0000434B0000}"/>
    <cellStyle name="20% - Accent6 6 4 4 4" xfId="44509" xr:uid="{00000000-0005-0000-0000-0000444B0000}"/>
    <cellStyle name="20% - Accent6 6 4 4 5" xfId="15334" xr:uid="{00000000-0005-0000-0000-0000454B0000}"/>
    <cellStyle name="20% - Accent6 6 4 5" xfId="20197" xr:uid="{00000000-0005-0000-0000-0000464B0000}"/>
    <cellStyle name="20% - Accent6 6 4 6" xfId="29922" xr:uid="{00000000-0005-0000-0000-0000474B0000}"/>
    <cellStyle name="20% - Accent6 6 4 7" xfId="39647" xr:uid="{00000000-0005-0000-0000-0000484B0000}"/>
    <cellStyle name="20% - Accent6 6 4 8" xfId="10472" xr:uid="{00000000-0005-0000-0000-0000494B0000}"/>
    <cellStyle name="20% - Accent6 6 5" xfId="2006" xr:uid="{00000000-0005-0000-0000-00004A4B0000}"/>
    <cellStyle name="20% - Accent6 6 5 2" xfId="6868" xr:uid="{00000000-0005-0000-0000-00004B4B0000}"/>
    <cellStyle name="20% - Accent6 6 5 2 2" xfId="26319" xr:uid="{00000000-0005-0000-0000-00004C4B0000}"/>
    <cellStyle name="20% - Accent6 6 5 2 3" xfId="36044" xr:uid="{00000000-0005-0000-0000-00004D4B0000}"/>
    <cellStyle name="20% - Accent6 6 5 2 4" xfId="45769" xr:uid="{00000000-0005-0000-0000-00004E4B0000}"/>
    <cellStyle name="20% - Accent6 6 5 2 5" xfId="16594" xr:uid="{00000000-0005-0000-0000-00004F4B0000}"/>
    <cellStyle name="20% - Accent6 6 5 3" xfId="21457" xr:uid="{00000000-0005-0000-0000-0000504B0000}"/>
    <cellStyle name="20% - Accent6 6 5 4" xfId="31182" xr:uid="{00000000-0005-0000-0000-0000514B0000}"/>
    <cellStyle name="20% - Accent6 6 5 5" xfId="40907" xr:uid="{00000000-0005-0000-0000-0000524B0000}"/>
    <cellStyle name="20% - Accent6 6 5 6" xfId="11732" xr:uid="{00000000-0005-0000-0000-0000534B0000}"/>
    <cellStyle name="20% - Accent6 6 6" xfId="3626" xr:uid="{00000000-0005-0000-0000-0000544B0000}"/>
    <cellStyle name="20% - Accent6 6 6 2" xfId="8488" xr:uid="{00000000-0005-0000-0000-0000554B0000}"/>
    <cellStyle name="20% - Accent6 6 6 2 2" xfId="27939" xr:uid="{00000000-0005-0000-0000-0000564B0000}"/>
    <cellStyle name="20% - Accent6 6 6 2 3" xfId="37664" xr:uid="{00000000-0005-0000-0000-0000574B0000}"/>
    <cellStyle name="20% - Accent6 6 6 2 4" xfId="47389" xr:uid="{00000000-0005-0000-0000-0000584B0000}"/>
    <cellStyle name="20% - Accent6 6 6 2 5" xfId="18214" xr:uid="{00000000-0005-0000-0000-0000594B0000}"/>
    <cellStyle name="20% - Accent6 6 6 3" xfId="23077" xr:uid="{00000000-0005-0000-0000-00005A4B0000}"/>
    <cellStyle name="20% - Accent6 6 6 4" xfId="32802" xr:uid="{00000000-0005-0000-0000-00005B4B0000}"/>
    <cellStyle name="20% - Accent6 6 6 5" xfId="42527" xr:uid="{00000000-0005-0000-0000-00005C4B0000}"/>
    <cellStyle name="20% - Accent6 6 6 6" xfId="13352" xr:uid="{00000000-0005-0000-0000-00005D4B0000}"/>
    <cellStyle name="20% - Accent6 6 7" xfId="5248" xr:uid="{00000000-0005-0000-0000-00005E4B0000}"/>
    <cellStyle name="20% - Accent6 6 7 2" xfId="24699" xr:uid="{00000000-0005-0000-0000-00005F4B0000}"/>
    <cellStyle name="20% - Accent6 6 7 3" xfId="34424" xr:uid="{00000000-0005-0000-0000-0000604B0000}"/>
    <cellStyle name="20% - Accent6 6 7 4" xfId="44149" xr:uid="{00000000-0005-0000-0000-0000614B0000}"/>
    <cellStyle name="20% - Accent6 6 7 5" xfId="14974" xr:uid="{00000000-0005-0000-0000-0000624B0000}"/>
    <cellStyle name="20% - Accent6 6 8" xfId="19837" xr:uid="{00000000-0005-0000-0000-0000634B0000}"/>
    <cellStyle name="20% - Accent6 6 9" xfId="29562" xr:uid="{00000000-0005-0000-0000-0000644B0000}"/>
    <cellStyle name="20% - Accent6 7" xfId="143" xr:uid="{00000000-0005-0000-0000-0000654B0000}"/>
    <cellStyle name="20% - Accent6 7 10" xfId="39107" xr:uid="{00000000-0005-0000-0000-0000664B0000}"/>
    <cellStyle name="20% - Accent6 7 11" xfId="9932" xr:uid="{00000000-0005-0000-0000-0000674B0000}"/>
    <cellStyle name="20% - Accent6 7 2" xfId="907" xr:uid="{00000000-0005-0000-0000-0000684B0000}"/>
    <cellStyle name="20% - Accent6 7 2 2" xfId="2546" xr:uid="{00000000-0005-0000-0000-0000694B0000}"/>
    <cellStyle name="20% - Accent6 7 2 2 2" xfId="7408" xr:uid="{00000000-0005-0000-0000-00006A4B0000}"/>
    <cellStyle name="20% - Accent6 7 2 2 2 2" xfId="26859" xr:uid="{00000000-0005-0000-0000-00006B4B0000}"/>
    <cellStyle name="20% - Accent6 7 2 2 2 3" xfId="36584" xr:uid="{00000000-0005-0000-0000-00006C4B0000}"/>
    <cellStyle name="20% - Accent6 7 2 2 2 4" xfId="46309" xr:uid="{00000000-0005-0000-0000-00006D4B0000}"/>
    <cellStyle name="20% - Accent6 7 2 2 2 5" xfId="17134" xr:uid="{00000000-0005-0000-0000-00006E4B0000}"/>
    <cellStyle name="20% - Accent6 7 2 2 3" xfId="21997" xr:uid="{00000000-0005-0000-0000-00006F4B0000}"/>
    <cellStyle name="20% - Accent6 7 2 2 4" xfId="31722" xr:uid="{00000000-0005-0000-0000-0000704B0000}"/>
    <cellStyle name="20% - Accent6 7 2 2 5" xfId="41447" xr:uid="{00000000-0005-0000-0000-0000714B0000}"/>
    <cellStyle name="20% - Accent6 7 2 2 6" xfId="12272" xr:uid="{00000000-0005-0000-0000-0000724B0000}"/>
    <cellStyle name="20% - Accent6 7 2 3" xfId="4166" xr:uid="{00000000-0005-0000-0000-0000734B0000}"/>
    <cellStyle name="20% - Accent6 7 2 3 2" xfId="9028" xr:uid="{00000000-0005-0000-0000-0000744B0000}"/>
    <cellStyle name="20% - Accent6 7 2 3 2 2" xfId="28479" xr:uid="{00000000-0005-0000-0000-0000754B0000}"/>
    <cellStyle name="20% - Accent6 7 2 3 2 3" xfId="38204" xr:uid="{00000000-0005-0000-0000-0000764B0000}"/>
    <cellStyle name="20% - Accent6 7 2 3 2 4" xfId="47929" xr:uid="{00000000-0005-0000-0000-0000774B0000}"/>
    <cellStyle name="20% - Accent6 7 2 3 2 5" xfId="18754" xr:uid="{00000000-0005-0000-0000-0000784B0000}"/>
    <cellStyle name="20% - Accent6 7 2 3 3" xfId="23617" xr:uid="{00000000-0005-0000-0000-0000794B0000}"/>
    <cellStyle name="20% - Accent6 7 2 3 4" xfId="33342" xr:uid="{00000000-0005-0000-0000-00007A4B0000}"/>
    <cellStyle name="20% - Accent6 7 2 3 5" xfId="43067" xr:uid="{00000000-0005-0000-0000-00007B4B0000}"/>
    <cellStyle name="20% - Accent6 7 2 3 6" xfId="13892" xr:uid="{00000000-0005-0000-0000-00007C4B0000}"/>
    <cellStyle name="20% - Accent6 7 2 4" xfId="5788" xr:uid="{00000000-0005-0000-0000-00007D4B0000}"/>
    <cellStyle name="20% - Accent6 7 2 4 2" xfId="25239" xr:uid="{00000000-0005-0000-0000-00007E4B0000}"/>
    <cellStyle name="20% - Accent6 7 2 4 3" xfId="34964" xr:uid="{00000000-0005-0000-0000-00007F4B0000}"/>
    <cellStyle name="20% - Accent6 7 2 4 4" xfId="44689" xr:uid="{00000000-0005-0000-0000-0000804B0000}"/>
    <cellStyle name="20% - Accent6 7 2 4 5" xfId="15514" xr:uid="{00000000-0005-0000-0000-0000814B0000}"/>
    <cellStyle name="20% - Accent6 7 2 5" xfId="20377" xr:uid="{00000000-0005-0000-0000-0000824B0000}"/>
    <cellStyle name="20% - Accent6 7 2 6" xfId="30102" xr:uid="{00000000-0005-0000-0000-0000834B0000}"/>
    <cellStyle name="20% - Accent6 7 2 7" xfId="39827" xr:uid="{00000000-0005-0000-0000-0000844B0000}"/>
    <cellStyle name="20% - Accent6 7 2 8" xfId="10652" xr:uid="{00000000-0005-0000-0000-0000854B0000}"/>
    <cellStyle name="20% - Accent6 7 3" xfId="1375" xr:uid="{00000000-0005-0000-0000-0000864B0000}"/>
    <cellStyle name="20% - Accent6 7 3 2" xfId="2996" xr:uid="{00000000-0005-0000-0000-0000874B0000}"/>
    <cellStyle name="20% - Accent6 7 3 2 2" xfId="7858" xr:uid="{00000000-0005-0000-0000-0000884B0000}"/>
    <cellStyle name="20% - Accent6 7 3 2 2 2" xfId="27309" xr:uid="{00000000-0005-0000-0000-0000894B0000}"/>
    <cellStyle name="20% - Accent6 7 3 2 2 3" xfId="37034" xr:uid="{00000000-0005-0000-0000-00008A4B0000}"/>
    <cellStyle name="20% - Accent6 7 3 2 2 4" xfId="46759" xr:uid="{00000000-0005-0000-0000-00008B4B0000}"/>
    <cellStyle name="20% - Accent6 7 3 2 2 5" xfId="17584" xr:uid="{00000000-0005-0000-0000-00008C4B0000}"/>
    <cellStyle name="20% - Accent6 7 3 2 3" xfId="22447" xr:uid="{00000000-0005-0000-0000-00008D4B0000}"/>
    <cellStyle name="20% - Accent6 7 3 2 4" xfId="32172" xr:uid="{00000000-0005-0000-0000-00008E4B0000}"/>
    <cellStyle name="20% - Accent6 7 3 2 5" xfId="41897" xr:uid="{00000000-0005-0000-0000-00008F4B0000}"/>
    <cellStyle name="20% - Accent6 7 3 2 6" xfId="12722" xr:uid="{00000000-0005-0000-0000-0000904B0000}"/>
    <cellStyle name="20% - Accent6 7 3 3" xfId="4616" xr:uid="{00000000-0005-0000-0000-0000914B0000}"/>
    <cellStyle name="20% - Accent6 7 3 3 2" xfId="9478" xr:uid="{00000000-0005-0000-0000-0000924B0000}"/>
    <cellStyle name="20% - Accent6 7 3 3 2 2" xfId="28929" xr:uid="{00000000-0005-0000-0000-0000934B0000}"/>
    <cellStyle name="20% - Accent6 7 3 3 2 3" xfId="38654" xr:uid="{00000000-0005-0000-0000-0000944B0000}"/>
    <cellStyle name="20% - Accent6 7 3 3 2 4" xfId="48379" xr:uid="{00000000-0005-0000-0000-0000954B0000}"/>
    <cellStyle name="20% - Accent6 7 3 3 2 5" xfId="19204" xr:uid="{00000000-0005-0000-0000-0000964B0000}"/>
    <cellStyle name="20% - Accent6 7 3 3 3" xfId="24067" xr:uid="{00000000-0005-0000-0000-0000974B0000}"/>
    <cellStyle name="20% - Accent6 7 3 3 4" xfId="33792" xr:uid="{00000000-0005-0000-0000-0000984B0000}"/>
    <cellStyle name="20% - Accent6 7 3 3 5" xfId="43517" xr:uid="{00000000-0005-0000-0000-0000994B0000}"/>
    <cellStyle name="20% - Accent6 7 3 3 6" xfId="14342" xr:uid="{00000000-0005-0000-0000-00009A4B0000}"/>
    <cellStyle name="20% - Accent6 7 3 4" xfId="6238" xr:uid="{00000000-0005-0000-0000-00009B4B0000}"/>
    <cellStyle name="20% - Accent6 7 3 4 2" xfId="25689" xr:uid="{00000000-0005-0000-0000-00009C4B0000}"/>
    <cellStyle name="20% - Accent6 7 3 4 3" xfId="35414" xr:uid="{00000000-0005-0000-0000-00009D4B0000}"/>
    <cellStyle name="20% - Accent6 7 3 4 4" xfId="45139" xr:uid="{00000000-0005-0000-0000-00009E4B0000}"/>
    <cellStyle name="20% - Accent6 7 3 4 5" xfId="15964" xr:uid="{00000000-0005-0000-0000-00009F4B0000}"/>
    <cellStyle name="20% - Accent6 7 3 5" xfId="20827" xr:uid="{00000000-0005-0000-0000-0000A04B0000}"/>
    <cellStyle name="20% - Accent6 7 3 6" xfId="30552" xr:uid="{00000000-0005-0000-0000-0000A14B0000}"/>
    <cellStyle name="20% - Accent6 7 3 7" xfId="40277" xr:uid="{00000000-0005-0000-0000-0000A24B0000}"/>
    <cellStyle name="20% - Accent6 7 3 8" xfId="11102" xr:uid="{00000000-0005-0000-0000-0000A34B0000}"/>
    <cellStyle name="20% - Accent6 7 4" xfId="546" xr:uid="{00000000-0005-0000-0000-0000A44B0000}"/>
    <cellStyle name="20% - Accent6 7 4 2" xfId="2186" xr:uid="{00000000-0005-0000-0000-0000A54B0000}"/>
    <cellStyle name="20% - Accent6 7 4 2 2" xfId="7048" xr:uid="{00000000-0005-0000-0000-0000A64B0000}"/>
    <cellStyle name="20% - Accent6 7 4 2 2 2" xfId="26499" xr:uid="{00000000-0005-0000-0000-0000A74B0000}"/>
    <cellStyle name="20% - Accent6 7 4 2 2 3" xfId="36224" xr:uid="{00000000-0005-0000-0000-0000A84B0000}"/>
    <cellStyle name="20% - Accent6 7 4 2 2 4" xfId="45949" xr:uid="{00000000-0005-0000-0000-0000A94B0000}"/>
    <cellStyle name="20% - Accent6 7 4 2 2 5" xfId="16774" xr:uid="{00000000-0005-0000-0000-0000AA4B0000}"/>
    <cellStyle name="20% - Accent6 7 4 2 3" xfId="21637" xr:uid="{00000000-0005-0000-0000-0000AB4B0000}"/>
    <cellStyle name="20% - Accent6 7 4 2 4" xfId="31362" xr:uid="{00000000-0005-0000-0000-0000AC4B0000}"/>
    <cellStyle name="20% - Accent6 7 4 2 5" xfId="41087" xr:uid="{00000000-0005-0000-0000-0000AD4B0000}"/>
    <cellStyle name="20% - Accent6 7 4 2 6" xfId="11912" xr:uid="{00000000-0005-0000-0000-0000AE4B0000}"/>
    <cellStyle name="20% - Accent6 7 4 3" xfId="3806" xr:uid="{00000000-0005-0000-0000-0000AF4B0000}"/>
    <cellStyle name="20% - Accent6 7 4 3 2" xfId="8668" xr:uid="{00000000-0005-0000-0000-0000B04B0000}"/>
    <cellStyle name="20% - Accent6 7 4 3 2 2" xfId="28119" xr:uid="{00000000-0005-0000-0000-0000B14B0000}"/>
    <cellStyle name="20% - Accent6 7 4 3 2 3" xfId="37844" xr:uid="{00000000-0005-0000-0000-0000B24B0000}"/>
    <cellStyle name="20% - Accent6 7 4 3 2 4" xfId="47569" xr:uid="{00000000-0005-0000-0000-0000B34B0000}"/>
    <cellStyle name="20% - Accent6 7 4 3 2 5" xfId="18394" xr:uid="{00000000-0005-0000-0000-0000B44B0000}"/>
    <cellStyle name="20% - Accent6 7 4 3 3" xfId="23257" xr:uid="{00000000-0005-0000-0000-0000B54B0000}"/>
    <cellStyle name="20% - Accent6 7 4 3 4" xfId="32982" xr:uid="{00000000-0005-0000-0000-0000B64B0000}"/>
    <cellStyle name="20% - Accent6 7 4 3 5" xfId="42707" xr:uid="{00000000-0005-0000-0000-0000B74B0000}"/>
    <cellStyle name="20% - Accent6 7 4 3 6" xfId="13532" xr:uid="{00000000-0005-0000-0000-0000B84B0000}"/>
    <cellStyle name="20% - Accent6 7 4 4" xfId="5428" xr:uid="{00000000-0005-0000-0000-0000B94B0000}"/>
    <cellStyle name="20% - Accent6 7 4 4 2" xfId="24879" xr:uid="{00000000-0005-0000-0000-0000BA4B0000}"/>
    <cellStyle name="20% - Accent6 7 4 4 3" xfId="34604" xr:uid="{00000000-0005-0000-0000-0000BB4B0000}"/>
    <cellStyle name="20% - Accent6 7 4 4 4" xfId="44329" xr:uid="{00000000-0005-0000-0000-0000BC4B0000}"/>
    <cellStyle name="20% - Accent6 7 4 4 5" xfId="15154" xr:uid="{00000000-0005-0000-0000-0000BD4B0000}"/>
    <cellStyle name="20% - Accent6 7 4 5" xfId="20017" xr:uid="{00000000-0005-0000-0000-0000BE4B0000}"/>
    <cellStyle name="20% - Accent6 7 4 6" xfId="29742" xr:uid="{00000000-0005-0000-0000-0000BF4B0000}"/>
    <cellStyle name="20% - Accent6 7 4 7" xfId="39467" xr:uid="{00000000-0005-0000-0000-0000C04B0000}"/>
    <cellStyle name="20% - Accent6 7 4 8" xfId="10292" xr:uid="{00000000-0005-0000-0000-0000C14B0000}"/>
    <cellStyle name="20% - Accent6 7 5" xfId="1826" xr:uid="{00000000-0005-0000-0000-0000C24B0000}"/>
    <cellStyle name="20% - Accent6 7 5 2" xfId="6688" xr:uid="{00000000-0005-0000-0000-0000C34B0000}"/>
    <cellStyle name="20% - Accent6 7 5 2 2" xfId="26139" xr:uid="{00000000-0005-0000-0000-0000C44B0000}"/>
    <cellStyle name="20% - Accent6 7 5 2 3" xfId="35864" xr:uid="{00000000-0005-0000-0000-0000C54B0000}"/>
    <cellStyle name="20% - Accent6 7 5 2 4" xfId="45589" xr:uid="{00000000-0005-0000-0000-0000C64B0000}"/>
    <cellStyle name="20% - Accent6 7 5 2 5" xfId="16414" xr:uid="{00000000-0005-0000-0000-0000C74B0000}"/>
    <cellStyle name="20% - Accent6 7 5 3" xfId="21277" xr:uid="{00000000-0005-0000-0000-0000C84B0000}"/>
    <cellStyle name="20% - Accent6 7 5 4" xfId="31002" xr:uid="{00000000-0005-0000-0000-0000C94B0000}"/>
    <cellStyle name="20% - Accent6 7 5 5" xfId="40727" xr:uid="{00000000-0005-0000-0000-0000CA4B0000}"/>
    <cellStyle name="20% - Accent6 7 5 6" xfId="11552" xr:uid="{00000000-0005-0000-0000-0000CB4B0000}"/>
    <cellStyle name="20% - Accent6 7 6" xfId="3446" xr:uid="{00000000-0005-0000-0000-0000CC4B0000}"/>
    <cellStyle name="20% - Accent6 7 6 2" xfId="8308" xr:uid="{00000000-0005-0000-0000-0000CD4B0000}"/>
    <cellStyle name="20% - Accent6 7 6 2 2" xfId="27759" xr:uid="{00000000-0005-0000-0000-0000CE4B0000}"/>
    <cellStyle name="20% - Accent6 7 6 2 3" xfId="37484" xr:uid="{00000000-0005-0000-0000-0000CF4B0000}"/>
    <cellStyle name="20% - Accent6 7 6 2 4" xfId="47209" xr:uid="{00000000-0005-0000-0000-0000D04B0000}"/>
    <cellStyle name="20% - Accent6 7 6 2 5" xfId="18034" xr:uid="{00000000-0005-0000-0000-0000D14B0000}"/>
    <cellStyle name="20% - Accent6 7 6 3" xfId="22897" xr:uid="{00000000-0005-0000-0000-0000D24B0000}"/>
    <cellStyle name="20% - Accent6 7 6 4" xfId="32622" xr:uid="{00000000-0005-0000-0000-0000D34B0000}"/>
    <cellStyle name="20% - Accent6 7 6 5" xfId="42347" xr:uid="{00000000-0005-0000-0000-0000D44B0000}"/>
    <cellStyle name="20% - Accent6 7 6 6" xfId="13172" xr:uid="{00000000-0005-0000-0000-0000D54B0000}"/>
    <cellStyle name="20% - Accent6 7 7" xfId="5068" xr:uid="{00000000-0005-0000-0000-0000D64B0000}"/>
    <cellStyle name="20% - Accent6 7 7 2" xfId="24519" xr:uid="{00000000-0005-0000-0000-0000D74B0000}"/>
    <cellStyle name="20% - Accent6 7 7 3" xfId="34244" xr:uid="{00000000-0005-0000-0000-0000D84B0000}"/>
    <cellStyle name="20% - Accent6 7 7 4" xfId="43969" xr:uid="{00000000-0005-0000-0000-0000D94B0000}"/>
    <cellStyle name="20% - Accent6 7 7 5" xfId="14794" xr:uid="{00000000-0005-0000-0000-0000DA4B0000}"/>
    <cellStyle name="20% - Accent6 7 8" xfId="19657" xr:uid="{00000000-0005-0000-0000-0000DB4B0000}"/>
    <cellStyle name="20% - Accent6 7 9" xfId="29382" xr:uid="{00000000-0005-0000-0000-0000DC4B0000}"/>
    <cellStyle name="20% - Accent6 8" xfId="410" xr:uid="{00000000-0005-0000-0000-0000DD4B0000}"/>
    <cellStyle name="20% - Accent6 9" xfId="817" xr:uid="{00000000-0005-0000-0000-0000DE4B0000}"/>
    <cellStyle name="20% - Accent6 9 2" xfId="2456" xr:uid="{00000000-0005-0000-0000-0000DF4B0000}"/>
    <cellStyle name="20% - Accent6 9 2 2" xfId="7318" xr:uid="{00000000-0005-0000-0000-0000E04B0000}"/>
    <cellStyle name="20% - Accent6 9 2 2 2" xfId="26769" xr:uid="{00000000-0005-0000-0000-0000E14B0000}"/>
    <cellStyle name="20% - Accent6 9 2 2 3" xfId="36494" xr:uid="{00000000-0005-0000-0000-0000E24B0000}"/>
    <cellStyle name="20% - Accent6 9 2 2 4" xfId="46219" xr:uid="{00000000-0005-0000-0000-0000E34B0000}"/>
    <cellStyle name="20% - Accent6 9 2 2 5" xfId="17044" xr:uid="{00000000-0005-0000-0000-0000E44B0000}"/>
    <cellStyle name="20% - Accent6 9 2 3" xfId="21907" xr:uid="{00000000-0005-0000-0000-0000E54B0000}"/>
    <cellStyle name="20% - Accent6 9 2 4" xfId="31632" xr:uid="{00000000-0005-0000-0000-0000E64B0000}"/>
    <cellStyle name="20% - Accent6 9 2 5" xfId="41357" xr:uid="{00000000-0005-0000-0000-0000E74B0000}"/>
    <cellStyle name="20% - Accent6 9 2 6" xfId="12182" xr:uid="{00000000-0005-0000-0000-0000E84B0000}"/>
    <cellStyle name="20% - Accent6 9 3" xfId="4076" xr:uid="{00000000-0005-0000-0000-0000E94B0000}"/>
    <cellStyle name="20% - Accent6 9 3 2" xfId="8938" xr:uid="{00000000-0005-0000-0000-0000EA4B0000}"/>
    <cellStyle name="20% - Accent6 9 3 2 2" xfId="28389" xr:uid="{00000000-0005-0000-0000-0000EB4B0000}"/>
    <cellStyle name="20% - Accent6 9 3 2 3" xfId="38114" xr:uid="{00000000-0005-0000-0000-0000EC4B0000}"/>
    <cellStyle name="20% - Accent6 9 3 2 4" xfId="47839" xr:uid="{00000000-0005-0000-0000-0000ED4B0000}"/>
    <cellStyle name="20% - Accent6 9 3 2 5" xfId="18664" xr:uid="{00000000-0005-0000-0000-0000EE4B0000}"/>
    <cellStyle name="20% - Accent6 9 3 3" xfId="23527" xr:uid="{00000000-0005-0000-0000-0000EF4B0000}"/>
    <cellStyle name="20% - Accent6 9 3 4" xfId="33252" xr:uid="{00000000-0005-0000-0000-0000F04B0000}"/>
    <cellStyle name="20% - Accent6 9 3 5" xfId="42977" xr:uid="{00000000-0005-0000-0000-0000F14B0000}"/>
    <cellStyle name="20% - Accent6 9 3 6" xfId="13802" xr:uid="{00000000-0005-0000-0000-0000F24B0000}"/>
    <cellStyle name="20% - Accent6 9 4" xfId="5698" xr:uid="{00000000-0005-0000-0000-0000F34B0000}"/>
    <cellStyle name="20% - Accent6 9 4 2" xfId="25149" xr:uid="{00000000-0005-0000-0000-0000F44B0000}"/>
    <cellStyle name="20% - Accent6 9 4 3" xfId="34874" xr:uid="{00000000-0005-0000-0000-0000F54B0000}"/>
    <cellStyle name="20% - Accent6 9 4 4" xfId="44599" xr:uid="{00000000-0005-0000-0000-0000F64B0000}"/>
    <cellStyle name="20% - Accent6 9 4 5" xfId="15424" xr:uid="{00000000-0005-0000-0000-0000F74B0000}"/>
    <cellStyle name="20% - Accent6 9 5" xfId="20287" xr:uid="{00000000-0005-0000-0000-0000F84B0000}"/>
    <cellStyle name="20% - Accent6 9 6" xfId="30012" xr:uid="{00000000-0005-0000-0000-0000F94B0000}"/>
    <cellStyle name="20% - Accent6 9 7" xfId="39737" xr:uid="{00000000-0005-0000-0000-0000FA4B0000}"/>
    <cellStyle name="20% - Accent6 9 8" xfId="10562" xr:uid="{00000000-0005-0000-0000-0000FB4B0000}"/>
    <cellStyle name="40% - Accent1" xfId="31" builtinId="31" customBuiltin="1"/>
    <cellStyle name="40% - Accent1 10" xfId="1186" xr:uid="{00000000-0005-0000-0000-0000FD4B0000}"/>
    <cellStyle name="40% - Accent1 10 2" xfId="2807" xr:uid="{00000000-0005-0000-0000-0000FE4B0000}"/>
    <cellStyle name="40% - Accent1 10 2 2" xfId="7669" xr:uid="{00000000-0005-0000-0000-0000FF4B0000}"/>
    <cellStyle name="40% - Accent1 10 2 2 2" xfId="27120" xr:uid="{00000000-0005-0000-0000-0000004C0000}"/>
    <cellStyle name="40% - Accent1 10 2 2 3" xfId="36845" xr:uid="{00000000-0005-0000-0000-0000014C0000}"/>
    <cellStyle name="40% - Accent1 10 2 2 4" xfId="46570" xr:uid="{00000000-0005-0000-0000-0000024C0000}"/>
    <cellStyle name="40% - Accent1 10 2 2 5" xfId="17395" xr:uid="{00000000-0005-0000-0000-0000034C0000}"/>
    <cellStyle name="40% - Accent1 10 2 3" xfId="22258" xr:uid="{00000000-0005-0000-0000-0000044C0000}"/>
    <cellStyle name="40% - Accent1 10 2 4" xfId="31983" xr:uid="{00000000-0005-0000-0000-0000054C0000}"/>
    <cellStyle name="40% - Accent1 10 2 5" xfId="41708" xr:uid="{00000000-0005-0000-0000-0000064C0000}"/>
    <cellStyle name="40% - Accent1 10 2 6" xfId="12533" xr:uid="{00000000-0005-0000-0000-0000074C0000}"/>
    <cellStyle name="40% - Accent1 10 3" xfId="4427" xr:uid="{00000000-0005-0000-0000-0000084C0000}"/>
    <cellStyle name="40% - Accent1 10 3 2" xfId="9289" xr:uid="{00000000-0005-0000-0000-0000094C0000}"/>
    <cellStyle name="40% - Accent1 10 3 2 2" xfId="28740" xr:uid="{00000000-0005-0000-0000-00000A4C0000}"/>
    <cellStyle name="40% - Accent1 10 3 2 3" xfId="38465" xr:uid="{00000000-0005-0000-0000-00000B4C0000}"/>
    <cellStyle name="40% - Accent1 10 3 2 4" xfId="48190" xr:uid="{00000000-0005-0000-0000-00000C4C0000}"/>
    <cellStyle name="40% - Accent1 10 3 2 5" xfId="19015" xr:uid="{00000000-0005-0000-0000-00000D4C0000}"/>
    <cellStyle name="40% - Accent1 10 3 3" xfId="23878" xr:uid="{00000000-0005-0000-0000-00000E4C0000}"/>
    <cellStyle name="40% - Accent1 10 3 4" xfId="33603" xr:uid="{00000000-0005-0000-0000-00000F4C0000}"/>
    <cellStyle name="40% - Accent1 10 3 5" xfId="43328" xr:uid="{00000000-0005-0000-0000-0000104C0000}"/>
    <cellStyle name="40% - Accent1 10 3 6" xfId="14153" xr:uid="{00000000-0005-0000-0000-0000114C0000}"/>
    <cellStyle name="40% - Accent1 10 4" xfId="6049" xr:uid="{00000000-0005-0000-0000-0000124C0000}"/>
    <cellStyle name="40% - Accent1 10 4 2" xfId="25500" xr:uid="{00000000-0005-0000-0000-0000134C0000}"/>
    <cellStyle name="40% - Accent1 10 4 3" xfId="35225" xr:uid="{00000000-0005-0000-0000-0000144C0000}"/>
    <cellStyle name="40% - Accent1 10 4 4" xfId="44950" xr:uid="{00000000-0005-0000-0000-0000154C0000}"/>
    <cellStyle name="40% - Accent1 10 4 5" xfId="15775" xr:uid="{00000000-0005-0000-0000-0000164C0000}"/>
    <cellStyle name="40% - Accent1 10 5" xfId="20638" xr:uid="{00000000-0005-0000-0000-0000174C0000}"/>
    <cellStyle name="40% - Accent1 10 6" xfId="30363" xr:uid="{00000000-0005-0000-0000-0000184C0000}"/>
    <cellStyle name="40% - Accent1 10 7" xfId="40088" xr:uid="{00000000-0005-0000-0000-0000194C0000}"/>
    <cellStyle name="40% - Accent1 10 8" xfId="10913" xr:uid="{00000000-0005-0000-0000-00001A4C0000}"/>
    <cellStyle name="40% - Accent1 11" xfId="1276" xr:uid="{00000000-0005-0000-0000-00001B4C0000}"/>
    <cellStyle name="40% - Accent1 11 2" xfId="2897" xr:uid="{00000000-0005-0000-0000-00001C4C0000}"/>
    <cellStyle name="40% - Accent1 11 2 2" xfId="7759" xr:uid="{00000000-0005-0000-0000-00001D4C0000}"/>
    <cellStyle name="40% - Accent1 11 2 2 2" xfId="27210" xr:uid="{00000000-0005-0000-0000-00001E4C0000}"/>
    <cellStyle name="40% - Accent1 11 2 2 3" xfId="36935" xr:uid="{00000000-0005-0000-0000-00001F4C0000}"/>
    <cellStyle name="40% - Accent1 11 2 2 4" xfId="46660" xr:uid="{00000000-0005-0000-0000-0000204C0000}"/>
    <cellStyle name="40% - Accent1 11 2 2 5" xfId="17485" xr:uid="{00000000-0005-0000-0000-0000214C0000}"/>
    <cellStyle name="40% - Accent1 11 2 3" xfId="22348" xr:uid="{00000000-0005-0000-0000-0000224C0000}"/>
    <cellStyle name="40% - Accent1 11 2 4" xfId="32073" xr:uid="{00000000-0005-0000-0000-0000234C0000}"/>
    <cellStyle name="40% - Accent1 11 2 5" xfId="41798" xr:uid="{00000000-0005-0000-0000-0000244C0000}"/>
    <cellStyle name="40% - Accent1 11 2 6" xfId="12623" xr:uid="{00000000-0005-0000-0000-0000254C0000}"/>
    <cellStyle name="40% - Accent1 11 3" xfId="4517" xr:uid="{00000000-0005-0000-0000-0000264C0000}"/>
    <cellStyle name="40% - Accent1 11 3 2" xfId="9379" xr:uid="{00000000-0005-0000-0000-0000274C0000}"/>
    <cellStyle name="40% - Accent1 11 3 2 2" xfId="28830" xr:uid="{00000000-0005-0000-0000-0000284C0000}"/>
    <cellStyle name="40% - Accent1 11 3 2 3" xfId="38555" xr:uid="{00000000-0005-0000-0000-0000294C0000}"/>
    <cellStyle name="40% - Accent1 11 3 2 4" xfId="48280" xr:uid="{00000000-0005-0000-0000-00002A4C0000}"/>
    <cellStyle name="40% - Accent1 11 3 2 5" xfId="19105" xr:uid="{00000000-0005-0000-0000-00002B4C0000}"/>
    <cellStyle name="40% - Accent1 11 3 3" xfId="23968" xr:uid="{00000000-0005-0000-0000-00002C4C0000}"/>
    <cellStyle name="40% - Accent1 11 3 4" xfId="33693" xr:uid="{00000000-0005-0000-0000-00002D4C0000}"/>
    <cellStyle name="40% - Accent1 11 3 5" xfId="43418" xr:uid="{00000000-0005-0000-0000-00002E4C0000}"/>
    <cellStyle name="40% - Accent1 11 3 6" xfId="14243" xr:uid="{00000000-0005-0000-0000-00002F4C0000}"/>
    <cellStyle name="40% - Accent1 11 4" xfId="6139" xr:uid="{00000000-0005-0000-0000-0000304C0000}"/>
    <cellStyle name="40% - Accent1 11 4 2" xfId="25590" xr:uid="{00000000-0005-0000-0000-0000314C0000}"/>
    <cellStyle name="40% - Accent1 11 4 3" xfId="35315" xr:uid="{00000000-0005-0000-0000-0000324C0000}"/>
    <cellStyle name="40% - Accent1 11 4 4" xfId="45040" xr:uid="{00000000-0005-0000-0000-0000334C0000}"/>
    <cellStyle name="40% - Accent1 11 4 5" xfId="15865" xr:uid="{00000000-0005-0000-0000-0000344C0000}"/>
    <cellStyle name="40% - Accent1 11 5" xfId="20728" xr:uid="{00000000-0005-0000-0000-0000354C0000}"/>
    <cellStyle name="40% - Accent1 11 6" xfId="30453" xr:uid="{00000000-0005-0000-0000-0000364C0000}"/>
    <cellStyle name="40% - Accent1 11 7" xfId="40178" xr:uid="{00000000-0005-0000-0000-0000374C0000}"/>
    <cellStyle name="40% - Accent1 11 8" xfId="11003" xr:uid="{00000000-0005-0000-0000-0000384C0000}"/>
    <cellStyle name="40% - Accent1 12" xfId="447" xr:uid="{00000000-0005-0000-0000-0000394C0000}"/>
    <cellStyle name="40% - Accent1 12 2" xfId="2087" xr:uid="{00000000-0005-0000-0000-00003A4C0000}"/>
    <cellStyle name="40% - Accent1 12 2 2" xfId="6949" xr:uid="{00000000-0005-0000-0000-00003B4C0000}"/>
    <cellStyle name="40% - Accent1 12 2 2 2" xfId="26400" xr:uid="{00000000-0005-0000-0000-00003C4C0000}"/>
    <cellStyle name="40% - Accent1 12 2 2 3" xfId="36125" xr:uid="{00000000-0005-0000-0000-00003D4C0000}"/>
    <cellStyle name="40% - Accent1 12 2 2 4" xfId="45850" xr:uid="{00000000-0005-0000-0000-00003E4C0000}"/>
    <cellStyle name="40% - Accent1 12 2 2 5" xfId="16675" xr:uid="{00000000-0005-0000-0000-00003F4C0000}"/>
    <cellStyle name="40% - Accent1 12 2 3" xfId="21538" xr:uid="{00000000-0005-0000-0000-0000404C0000}"/>
    <cellStyle name="40% - Accent1 12 2 4" xfId="31263" xr:uid="{00000000-0005-0000-0000-0000414C0000}"/>
    <cellStyle name="40% - Accent1 12 2 5" xfId="40988" xr:uid="{00000000-0005-0000-0000-0000424C0000}"/>
    <cellStyle name="40% - Accent1 12 2 6" xfId="11813" xr:uid="{00000000-0005-0000-0000-0000434C0000}"/>
    <cellStyle name="40% - Accent1 12 3" xfId="3707" xr:uid="{00000000-0005-0000-0000-0000444C0000}"/>
    <cellStyle name="40% - Accent1 12 3 2" xfId="8569" xr:uid="{00000000-0005-0000-0000-0000454C0000}"/>
    <cellStyle name="40% - Accent1 12 3 2 2" xfId="28020" xr:uid="{00000000-0005-0000-0000-0000464C0000}"/>
    <cellStyle name="40% - Accent1 12 3 2 3" xfId="37745" xr:uid="{00000000-0005-0000-0000-0000474C0000}"/>
    <cellStyle name="40% - Accent1 12 3 2 4" xfId="47470" xr:uid="{00000000-0005-0000-0000-0000484C0000}"/>
    <cellStyle name="40% - Accent1 12 3 2 5" xfId="18295" xr:uid="{00000000-0005-0000-0000-0000494C0000}"/>
    <cellStyle name="40% - Accent1 12 3 3" xfId="23158" xr:uid="{00000000-0005-0000-0000-00004A4C0000}"/>
    <cellStyle name="40% - Accent1 12 3 4" xfId="32883" xr:uid="{00000000-0005-0000-0000-00004B4C0000}"/>
    <cellStyle name="40% - Accent1 12 3 5" xfId="42608" xr:uid="{00000000-0005-0000-0000-00004C4C0000}"/>
    <cellStyle name="40% - Accent1 12 3 6" xfId="13433" xr:uid="{00000000-0005-0000-0000-00004D4C0000}"/>
    <cellStyle name="40% - Accent1 12 4" xfId="5329" xr:uid="{00000000-0005-0000-0000-00004E4C0000}"/>
    <cellStyle name="40% - Accent1 12 4 2" xfId="24780" xr:uid="{00000000-0005-0000-0000-00004F4C0000}"/>
    <cellStyle name="40% - Accent1 12 4 3" xfId="34505" xr:uid="{00000000-0005-0000-0000-0000504C0000}"/>
    <cellStyle name="40% - Accent1 12 4 4" xfId="44230" xr:uid="{00000000-0005-0000-0000-0000514C0000}"/>
    <cellStyle name="40% - Accent1 12 4 5" xfId="15055" xr:uid="{00000000-0005-0000-0000-0000524C0000}"/>
    <cellStyle name="40% - Accent1 12 5" xfId="19918" xr:uid="{00000000-0005-0000-0000-0000534C0000}"/>
    <cellStyle name="40% - Accent1 12 6" xfId="29643" xr:uid="{00000000-0005-0000-0000-0000544C0000}"/>
    <cellStyle name="40% - Accent1 12 7" xfId="39368" xr:uid="{00000000-0005-0000-0000-0000554C0000}"/>
    <cellStyle name="40% - Accent1 12 8" xfId="10193" xr:uid="{00000000-0005-0000-0000-0000564C0000}"/>
    <cellStyle name="40% - Accent1 13" xfId="1636" xr:uid="{00000000-0005-0000-0000-0000574C0000}"/>
    <cellStyle name="40% - Accent1 13 2" xfId="3257" xr:uid="{00000000-0005-0000-0000-0000584C0000}"/>
    <cellStyle name="40% - Accent1 13 2 2" xfId="8119" xr:uid="{00000000-0005-0000-0000-0000594C0000}"/>
    <cellStyle name="40% - Accent1 13 2 2 2" xfId="27570" xr:uid="{00000000-0005-0000-0000-00005A4C0000}"/>
    <cellStyle name="40% - Accent1 13 2 2 3" xfId="37295" xr:uid="{00000000-0005-0000-0000-00005B4C0000}"/>
    <cellStyle name="40% - Accent1 13 2 2 4" xfId="47020" xr:uid="{00000000-0005-0000-0000-00005C4C0000}"/>
    <cellStyle name="40% - Accent1 13 2 2 5" xfId="17845" xr:uid="{00000000-0005-0000-0000-00005D4C0000}"/>
    <cellStyle name="40% - Accent1 13 2 3" xfId="22708" xr:uid="{00000000-0005-0000-0000-00005E4C0000}"/>
    <cellStyle name="40% - Accent1 13 2 4" xfId="32433" xr:uid="{00000000-0005-0000-0000-00005F4C0000}"/>
    <cellStyle name="40% - Accent1 13 2 5" xfId="42158" xr:uid="{00000000-0005-0000-0000-0000604C0000}"/>
    <cellStyle name="40% - Accent1 13 2 6" xfId="12983" xr:uid="{00000000-0005-0000-0000-0000614C0000}"/>
    <cellStyle name="40% - Accent1 13 3" xfId="4877" xr:uid="{00000000-0005-0000-0000-0000624C0000}"/>
    <cellStyle name="40% - Accent1 13 3 2" xfId="9739" xr:uid="{00000000-0005-0000-0000-0000634C0000}"/>
    <cellStyle name="40% - Accent1 13 3 2 2" xfId="29190" xr:uid="{00000000-0005-0000-0000-0000644C0000}"/>
    <cellStyle name="40% - Accent1 13 3 2 3" xfId="38915" xr:uid="{00000000-0005-0000-0000-0000654C0000}"/>
    <cellStyle name="40% - Accent1 13 3 2 4" xfId="48640" xr:uid="{00000000-0005-0000-0000-0000664C0000}"/>
    <cellStyle name="40% - Accent1 13 3 2 5" xfId="19465" xr:uid="{00000000-0005-0000-0000-0000674C0000}"/>
    <cellStyle name="40% - Accent1 13 3 3" xfId="24328" xr:uid="{00000000-0005-0000-0000-0000684C0000}"/>
    <cellStyle name="40% - Accent1 13 3 4" xfId="34053" xr:uid="{00000000-0005-0000-0000-0000694C0000}"/>
    <cellStyle name="40% - Accent1 13 3 5" xfId="43778" xr:uid="{00000000-0005-0000-0000-00006A4C0000}"/>
    <cellStyle name="40% - Accent1 13 3 6" xfId="14603" xr:uid="{00000000-0005-0000-0000-00006B4C0000}"/>
    <cellStyle name="40% - Accent1 13 4" xfId="6499" xr:uid="{00000000-0005-0000-0000-00006C4C0000}"/>
    <cellStyle name="40% - Accent1 13 4 2" xfId="25950" xr:uid="{00000000-0005-0000-0000-00006D4C0000}"/>
    <cellStyle name="40% - Accent1 13 4 3" xfId="35675" xr:uid="{00000000-0005-0000-0000-00006E4C0000}"/>
    <cellStyle name="40% - Accent1 13 4 4" xfId="45400" xr:uid="{00000000-0005-0000-0000-00006F4C0000}"/>
    <cellStyle name="40% - Accent1 13 4 5" xfId="16225" xr:uid="{00000000-0005-0000-0000-0000704C0000}"/>
    <cellStyle name="40% - Accent1 13 5" xfId="21088" xr:uid="{00000000-0005-0000-0000-0000714C0000}"/>
    <cellStyle name="40% - Accent1 13 6" xfId="30813" xr:uid="{00000000-0005-0000-0000-0000724C0000}"/>
    <cellStyle name="40% - Accent1 13 7" xfId="40538" xr:uid="{00000000-0005-0000-0000-0000734C0000}"/>
    <cellStyle name="40% - Accent1 13 8" xfId="11363" xr:uid="{00000000-0005-0000-0000-0000744C0000}"/>
    <cellStyle name="40% - Accent1 14" xfId="1727" xr:uid="{00000000-0005-0000-0000-0000754C0000}"/>
    <cellStyle name="40% - Accent1 14 2" xfId="6589" xr:uid="{00000000-0005-0000-0000-0000764C0000}"/>
    <cellStyle name="40% - Accent1 14 2 2" xfId="26040" xr:uid="{00000000-0005-0000-0000-0000774C0000}"/>
    <cellStyle name="40% - Accent1 14 2 3" xfId="35765" xr:uid="{00000000-0005-0000-0000-0000784C0000}"/>
    <cellStyle name="40% - Accent1 14 2 4" xfId="45490" xr:uid="{00000000-0005-0000-0000-0000794C0000}"/>
    <cellStyle name="40% - Accent1 14 2 5" xfId="16315" xr:uid="{00000000-0005-0000-0000-00007A4C0000}"/>
    <cellStyle name="40% - Accent1 14 3" xfId="21178" xr:uid="{00000000-0005-0000-0000-00007B4C0000}"/>
    <cellStyle name="40% - Accent1 14 4" xfId="30903" xr:uid="{00000000-0005-0000-0000-00007C4C0000}"/>
    <cellStyle name="40% - Accent1 14 5" xfId="40628" xr:uid="{00000000-0005-0000-0000-00007D4C0000}"/>
    <cellStyle name="40% - Accent1 14 6" xfId="11453" xr:uid="{00000000-0005-0000-0000-00007E4C0000}"/>
    <cellStyle name="40% - Accent1 15" xfId="3347" xr:uid="{00000000-0005-0000-0000-00007F4C0000}"/>
    <cellStyle name="40% - Accent1 15 2" xfId="8209" xr:uid="{00000000-0005-0000-0000-0000804C0000}"/>
    <cellStyle name="40% - Accent1 15 2 2" xfId="27660" xr:uid="{00000000-0005-0000-0000-0000814C0000}"/>
    <cellStyle name="40% - Accent1 15 2 3" xfId="37385" xr:uid="{00000000-0005-0000-0000-0000824C0000}"/>
    <cellStyle name="40% - Accent1 15 2 4" xfId="47110" xr:uid="{00000000-0005-0000-0000-0000834C0000}"/>
    <cellStyle name="40% - Accent1 15 2 5" xfId="17935" xr:uid="{00000000-0005-0000-0000-0000844C0000}"/>
    <cellStyle name="40% - Accent1 15 3" xfId="22798" xr:uid="{00000000-0005-0000-0000-0000854C0000}"/>
    <cellStyle name="40% - Accent1 15 4" xfId="32523" xr:uid="{00000000-0005-0000-0000-0000864C0000}"/>
    <cellStyle name="40% - Accent1 15 5" xfId="42248" xr:uid="{00000000-0005-0000-0000-0000874C0000}"/>
    <cellStyle name="40% - Accent1 15 6" xfId="13073" xr:uid="{00000000-0005-0000-0000-0000884C0000}"/>
    <cellStyle name="40% - Accent1 16" xfId="4969" xr:uid="{00000000-0005-0000-0000-0000894C0000}"/>
    <cellStyle name="40% - Accent1 16 2" xfId="24420" xr:uid="{00000000-0005-0000-0000-00008A4C0000}"/>
    <cellStyle name="40% - Accent1 16 3" xfId="34145" xr:uid="{00000000-0005-0000-0000-00008B4C0000}"/>
    <cellStyle name="40% - Accent1 16 4" xfId="43870" xr:uid="{00000000-0005-0000-0000-00008C4C0000}"/>
    <cellStyle name="40% - Accent1 16 5" xfId="14695" xr:uid="{00000000-0005-0000-0000-00008D4C0000}"/>
    <cellStyle name="40% - Accent1 17" xfId="19558" xr:uid="{00000000-0005-0000-0000-00008E4C0000}"/>
    <cellStyle name="40% - Accent1 18" xfId="29283" xr:uid="{00000000-0005-0000-0000-00008F4C0000}"/>
    <cellStyle name="40% - Accent1 19" xfId="39008" xr:uid="{00000000-0005-0000-0000-0000904C0000}"/>
    <cellStyle name="40% - Accent1 2" xfId="56" xr:uid="{00000000-0005-0000-0000-0000914C0000}"/>
    <cellStyle name="40% - Accent1 2 10" xfId="461" xr:uid="{00000000-0005-0000-0000-0000924C0000}"/>
    <cellStyle name="40% - Accent1 2 10 2" xfId="2101" xr:uid="{00000000-0005-0000-0000-0000934C0000}"/>
    <cellStyle name="40% - Accent1 2 10 2 2" xfId="6963" xr:uid="{00000000-0005-0000-0000-0000944C0000}"/>
    <cellStyle name="40% - Accent1 2 10 2 2 2" xfId="26414" xr:uid="{00000000-0005-0000-0000-0000954C0000}"/>
    <cellStyle name="40% - Accent1 2 10 2 2 3" xfId="36139" xr:uid="{00000000-0005-0000-0000-0000964C0000}"/>
    <cellStyle name="40% - Accent1 2 10 2 2 4" xfId="45864" xr:uid="{00000000-0005-0000-0000-0000974C0000}"/>
    <cellStyle name="40% - Accent1 2 10 2 2 5" xfId="16689" xr:uid="{00000000-0005-0000-0000-0000984C0000}"/>
    <cellStyle name="40% - Accent1 2 10 2 3" xfId="21552" xr:uid="{00000000-0005-0000-0000-0000994C0000}"/>
    <cellStyle name="40% - Accent1 2 10 2 4" xfId="31277" xr:uid="{00000000-0005-0000-0000-00009A4C0000}"/>
    <cellStyle name="40% - Accent1 2 10 2 5" xfId="41002" xr:uid="{00000000-0005-0000-0000-00009B4C0000}"/>
    <cellStyle name="40% - Accent1 2 10 2 6" xfId="11827" xr:uid="{00000000-0005-0000-0000-00009C4C0000}"/>
    <cellStyle name="40% - Accent1 2 10 3" xfId="3721" xr:uid="{00000000-0005-0000-0000-00009D4C0000}"/>
    <cellStyle name="40% - Accent1 2 10 3 2" xfId="8583" xr:uid="{00000000-0005-0000-0000-00009E4C0000}"/>
    <cellStyle name="40% - Accent1 2 10 3 2 2" xfId="28034" xr:uid="{00000000-0005-0000-0000-00009F4C0000}"/>
    <cellStyle name="40% - Accent1 2 10 3 2 3" xfId="37759" xr:uid="{00000000-0005-0000-0000-0000A04C0000}"/>
    <cellStyle name="40% - Accent1 2 10 3 2 4" xfId="47484" xr:uid="{00000000-0005-0000-0000-0000A14C0000}"/>
    <cellStyle name="40% - Accent1 2 10 3 2 5" xfId="18309" xr:uid="{00000000-0005-0000-0000-0000A24C0000}"/>
    <cellStyle name="40% - Accent1 2 10 3 3" xfId="23172" xr:uid="{00000000-0005-0000-0000-0000A34C0000}"/>
    <cellStyle name="40% - Accent1 2 10 3 4" xfId="32897" xr:uid="{00000000-0005-0000-0000-0000A44C0000}"/>
    <cellStyle name="40% - Accent1 2 10 3 5" xfId="42622" xr:uid="{00000000-0005-0000-0000-0000A54C0000}"/>
    <cellStyle name="40% - Accent1 2 10 3 6" xfId="13447" xr:uid="{00000000-0005-0000-0000-0000A64C0000}"/>
    <cellStyle name="40% - Accent1 2 10 4" xfId="5343" xr:uid="{00000000-0005-0000-0000-0000A74C0000}"/>
    <cellStyle name="40% - Accent1 2 10 4 2" xfId="24794" xr:uid="{00000000-0005-0000-0000-0000A84C0000}"/>
    <cellStyle name="40% - Accent1 2 10 4 3" xfId="34519" xr:uid="{00000000-0005-0000-0000-0000A94C0000}"/>
    <cellStyle name="40% - Accent1 2 10 4 4" xfId="44244" xr:uid="{00000000-0005-0000-0000-0000AA4C0000}"/>
    <cellStyle name="40% - Accent1 2 10 4 5" xfId="15069" xr:uid="{00000000-0005-0000-0000-0000AB4C0000}"/>
    <cellStyle name="40% - Accent1 2 10 5" xfId="19932" xr:uid="{00000000-0005-0000-0000-0000AC4C0000}"/>
    <cellStyle name="40% - Accent1 2 10 6" xfId="29657" xr:uid="{00000000-0005-0000-0000-0000AD4C0000}"/>
    <cellStyle name="40% - Accent1 2 10 7" xfId="39382" xr:uid="{00000000-0005-0000-0000-0000AE4C0000}"/>
    <cellStyle name="40% - Accent1 2 10 8" xfId="10207" xr:uid="{00000000-0005-0000-0000-0000AF4C0000}"/>
    <cellStyle name="40% - Accent1 2 11" xfId="1650" xr:uid="{00000000-0005-0000-0000-0000B04C0000}"/>
    <cellStyle name="40% - Accent1 2 11 2" xfId="3271" xr:uid="{00000000-0005-0000-0000-0000B14C0000}"/>
    <cellStyle name="40% - Accent1 2 11 2 2" xfId="8133" xr:uid="{00000000-0005-0000-0000-0000B24C0000}"/>
    <cellStyle name="40% - Accent1 2 11 2 2 2" xfId="27584" xr:uid="{00000000-0005-0000-0000-0000B34C0000}"/>
    <cellStyle name="40% - Accent1 2 11 2 2 3" xfId="37309" xr:uid="{00000000-0005-0000-0000-0000B44C0000}"/>
    <cellStyle name="40% - Accent1 2 11 2 2 4" xfId="47034" xr:uid="{00000000-0005-0000-0000-0000B54C0000}"/>
    <cellStyle name="40% - Accent1 2 11 2 2 5" xfId="17859" xr:uid="{00000000-0005-0000-0000-0000B64C0000}"/>
    <cellStyle name="40% - Accent1 2 11 2 3" xfId="22722" xr:uid="{00000000-0005-0000-0000-0000B74C0000}"/>
    <cellStyle name="40% - Accent1 2 11 2 4" xfId="32447" xr:uid="{00000000-0005-0000-0000-0000B84C0000}"/>
    <cellStyle name="40% - Accent1 2 11 2 5" xfId="42172" xr:uid="{00000000-0005-0000-0000-0000B94C0000}"/>
    <cellStyle name="40% - Accent1 2 11 2 6" xfId="12997" xr:uid="{00000000-0005-0000-0000-0000BA4C0000}"/>
    <cellStyle name="40% - Accent1 2 11 3" xfId="4891" xr:uid="{00000000-0005-0000-0000-0000BB4C0000}"/>
    <cellStyle name="40% - Accent1 2 11 3 2" xfId="9753" xr:uid="{00000000-0005-0000-0000-0000BC4C0000}"/>
    <cellStyle name="40% - Accent1 2 11 3 2 2" xfId="29204" xr:uid="{00000000-0005-0000-0000-0000BD4C0000}"/>
    <cellStyle name="40% - Accent1 2 11 3 2 3" xfId="38929" xr:uid="{00000000-0005-0000-0000-0000BE4C0000}"/>
    <cellStyle name="40% - Accent1 2 11 3 2 4" xfId="48654" xr:uid="{00000000-0005-0000-0000-0000BF4C0000}"/>
    <cellStyle name="40% - Accent1 2 11 3 2 5" xfId="19479" xr:uid="{00000000-0005-0000-0000-0000C04C0000}"/>
    <cellStyle name="40% - Accent1 2 11 3 3" xfId="24342" xr:uid="{00000000-0005-0000-0000-0000C14C0000}"/>
    <cellStyle name="40% - Accent1 2 11 3 4" xfId="34067" xr:uid="{00000000-0005-0000-0000-0000C24C0000}"/>
    <cellStyle name="40% - Accent1 2 11 3 5" xfId="43792" xr:uid="{00000000-0005-0000-0000-0000C34C0000}"/>
    <cellStyle name="40% - Accent1 2 11 3 6" xfId="14617" xr:uid="{00000000-0005-0000-0000-0000C44C0000}"/>
    <cellStyle name="40% - Accent1 2 11 4" xfId="6513" xr:uid="{00000000-0005-0000-0000-0000C54C0000}"/>
    <cellStyle name="40% - Accent1 2 11 4 2" xfId="25964" xr:uid="{00000000-0005-0000-0000-0000C64C0000}"/>
    <cellStyle name="40% - Accent1 2 11 4 3" xfId="35689" xr:uid="{00000000-0005-0000-0000-0000C74C0000}"/>
    <cellStyle name="40% - Accent1 2 11 4 4" xfId="45414" xr:uid="{00000000-0005-0000-0000-0000C84C0000}"/>
    <cellStyle name="40% - Accent1 2 11 4 5" xfId="16239" xr:uid="{00000000-0005-0000-0000-0000C94C0000}"/>
    <cellStyle name="40% - Accent1 2 11 5" xfId="21102" xr:uid="{00000000-0005-0000-0000-0000CA4C0000}"/>
    <cellStyle name="40% - Accent1 2 11 6" xfId="30827" xr:uid="{00000000-0005-0000-0000-0000CB4C0000}"/>
    <cellStyle name="40% - Accent1 2 11 7" xfId="40552" xr:uid="{00000000-0005-0000-0000-0000CC4C0000}"/>
    <cellStyle name="40% - Accent1 2 11 8" xfId="11377" xr:uid="{00000000-0005-0000-0000-0000CD4C0000}"/>
    <cellStyle name="40% - Accent1 2 12" xfId="1741" xr:uid="{00000000-0005-0000-0000-0000CE4C0000}"/>
    <cellStyle name="40% - Accent1 2 12 2" xfId="6603" xr:uid="{00000000-0005-0000-0000-0000CF4C0000}"/>
    <cellStyle name="40% - Accent1 2 12 2 2" xfId="26054" xr:uid="{00000000-0005-0000-0000-0000D04C0000}"/>
    <cellStyle name="40% - Accent1 2 12 2 3" xfId="35779" xr:uid="{00000000-0005-0000-0000-0000D14C0000}"/>
    <cellStyle name="40% - Accent1 2 12 2 4" xfId="45504" xr:uid="{00000000-0005-0000-0000-0000D24C0000}"/>
    <cellStyle name="40% - Accent1 2 12 2 5" xfId="16329" xr:uid="{00000000-0005-0000-0000-0000D34C0000}"/>
    <cellStyle name="40% - Accent1 2 12 3" xfId="21192" xr:uid="{00000000-0005-0000-0000-0000D44C0000}"/>
    <cellStyle name="40% - Accent1 2 12 4" xfId="30917" xr:uid="{00000000-0005-0000-0000-0000D54C0000}"/>
    <cellStyle name="40% - Accent1 2 12 5" xfId="40642" xr:uid="{00000000-0005-0000-0000-0000D64C0000}"/>
    <cellStyle name="40% - Accent1 2 12 6" xfId="11467" xr:uid="{00000000-0005-0000-0000-0000D74C0000}"/>
    <cellStyle name="40% - Accent1 2 13" xfId="3361" xr:uid="{00000000-0005-0000-0000-0000D84C0000}"/>
    <cellStyle name="40% - Accent1 2 13 2" xfId="8223" xr:uid="{00000000-0005-0000-0000-0000D94C0000}"/>
    <cellStyle name="40% - Accent1 2 13 2 2" xfId="27674" xr:uid="{00000000-0005-0000-0000-0000DA4C0000}"/>
    <cellStyle name="40% - Accent1 2 13 2 3" xfId="37399" xr:uid="{00000000-0005-0000-0000-0000DB4C0000}"/>
    <cellStyle name="40% - Accent1 2 13 2 4" xfId="47124" xr:uid="{00000000-0005-0000-0000-0000DC4C0000}"/>
    <cellStyle name="40% - Accent1 2 13 2 5" xfId="17949" xr:uid="{00000000-0005-0000-0000-0000DD4C0000}"/>
    <cellStyle name="40% - Accent1 2 13 3" xfId="22812" xr:uid="{00000000-0005-0000-0000-0000DE4C0000}"/>
    <cellStyle name="40% - Accent1 2 13 4" xfId="32537" xr:uid="{00000000-0005-0000-0000-0000DF4C0000}"/>
    <cellStyle name="40% - Accent1 2 13 5" xfId="42262" xr:uid="{00000000-0005-0000-0000-0000E04C0000}"/>
    <cellStyle name="40% - Accent1 2 13 6" xfId="13087" xr:uid="{00000000-0005-0000-0000-0000E14C0000}"/>
    <cellStyle name="40% - Accent1 2 14" xfId="4983" xr:uid="{00000000-0005-0000-0000-0000E24C0000}"/>
    <cellStyle name="40% - Accent1 2 14 2" xfId="24434" xr:uid="{00000000-0005-0000-0000-0000E34C0000}"/>
    <cellStyle name="40% - Accent1 2 14 3" xfId="34159" xr:uid="{00000000-0005-0000-0000-0000E44C0000}"/>
    <cellStyle name="40% - Accent1 2 14 4" xfId="43884" xr:uid="{00000000-0005-0000-0000-0000E54C0000}"/>
    <cellStyle name="40% - Accent1 2 14 5" xfId="14709" xr:uid="{00000000-0005-0000-0000-0000E64C0000}"/>
    <cellStyle name="40% - Accent1 2 15" xfId="19572" xr:uid="{00000000-0005-0000-0000-0000E74C0000}"/>
    <cellStyle name="40% - Accent1 2 16" xfId="29297" xr:uid="{00000000-0005-0000-0000-0000E84C0000}"/>
    <cellStyle name="40% - Accent1 2 17" xfId="39022" xr:uid="{00000000-0005-0000-0000-0000E94C0000}"/>
    <cellStyle name="40% - Accent1 2 18" xfId="9847" xr:uid="{00000000-0005-0000-0000-0000EA4C0000}"/>
    <cellStyle name="40% - Accent1 2 2" xfId="87" xr:uid="{00000000-0005-0000-0000-0000EB4C0000}"/>
    <cellStyle name="40% - Accent1 2 2 10" xfId="1771" xr:uid="{00000000-0005-0000-0000-0000EC4C0000}"/>
    <cellStyle name="40% - Accent1 2 2 10 2" xfId="6633" xr:uid="{00000000-0005-0000-0000-0000ED4C0000}"/>
    <cellStyle name="40% - Accent1 2 2 10 2 2" xfId="26084" xr:uid="{00000000-0005-0000-0000-0000EE4C0000}"/>
    <cellStyle name="40% - Accent1 2 2 10 2 3" xfId="35809" xr:uid="{00000000-0005-0000-0000-0000EF4C0000}"/>
    <cellStyle name="40% - Accent1 2 2 10 2 4" xfId="45534" xr:uid="{00000000-0005-0000-0000-0000F04C0000}"/>
    <cellStyle name="40% - Accent1 2 2 10 2 5" xfId="16359" xr:uid="{00000000-0005-0000-0000-0000F14C0000}"/>
    <cellStyle name="40% - Accent1 2 2 10 3" xfId="21222" xr:uid="{00000000-0005-0000-0000-0000F24C0000}"/>
    <cellStyle name="40% - Accent1 2 2 10 4" xfId="30947" xr:uid="{00000000-0005-0000-0000-0000F34C0000}"/>
    <cellStyle name="40% - Accent1 2 2 10 5" xfId="40672" xr:uid="{00000000-0005-0000-0000-0000F44C0000}"/>
    <cellStyle name="40% - Accent1 2 2 10 6" xfId="11497" xr:uid="{00000000-0005-0000-0000-0000F54C0000}"/>
    <cellStyle name="40% - Accent1 2 2 11" xfId="3391" xr:uid="{00000000-0005-0000-0000-0000F64C0000}"/>
    <cellStyle name="40% - Accent1 2 2 11 2" xfId="8253" xr:uid="{00000000-0005-0000-0000-0000F74C0000}"/>
    <cellStyle name="40% - Accent1 2 2 11 2 2" xfId="27704" xr:uid="{00000000-0005-0000-0000-0000F84C0000}"/>
    <cellStyle name="40% - Accent1 2 2 11 2 3" xfId="37429" xr:uid="{00000000-0005-0000-0000-0000F94C0000}"/>
    <cellStyle name="40% - Accent1 2 2 11 2 4" xfId="47154" xr:uid="{00000000-0005-0000-0000-0000FA4C0000}"/>
    <cellStyle name="40% - Accent1 2 2 11 2 5" xfId="17979" xr:uid="{00000000-0005-0000-0000-0000FB4C0000}"/>
    <cellStyle name="40% - Accent1 2 2 11 3" xfId="22842" xr:uid="{00000000-0005-0000-0000-0000FC4C0000}"/>
    <cellStyle name="40% - Accent1 2 2 11 4" xfId="32567" xr:uid="{00000000-0005-0000-0000-0000FD4C0000}"/>
    <cellStyle name="40% - Accent1 2 2 11 5" xfId="42292" xr:uid="{00000000-0005-0000-0000-0000FE4C0000}"/>
    <cellStyle name="40% - Accent1 2 2 11 6" xfId="13117" xr:uid="{00000000-0005-0000-0000-0000FF4C0000}"/>
    <cellStyle name="40% - Accent1 2 2 12" xfId="5013" xr:uid="{00000000-0005-0000-0000-0000004D0000}"/>
    <cellStyle name="40% - Accent1 2 2 12 2" xfId="24464" xr:uid="{00000000-0005-0000-0000-0000014D0000}"/>
    <cellStyle name="40% - Accent1 2 2 12 3" xfId="34189" xr:uid="{00000000-0005-0000-0000-0000024D0000}"/>
    <cellStyle name="40% - Accent1 2 2 12 4" xfId="43914" xr:uid="{00000000-0005-0000-0000-0000034D0000}"/>
    <cellStyle name="40% - Accent1 2 2 12 5" xfId="14739" xr:uid="{00000000-0005-0000-0000-0000044D0000}"/>
    <cellStyle name="40% - Accent1 2 2 13" xfId="19602" xr:uid="{00000000-0005-0000-0000-0000054D0000}"/>
    <cellStyle name="40% - Accent1 2 2 14" xfId="29327" xr:uid="{00000000-0005-0000-0000-0000064D0000}"/>
    <cellStyle name="40% - Accent1 2 2 15" xfId="39052" xr:uid="{00000000-0005-0000-0000-0000074D0000}"/>
    <cellStyle name="40% - Accent1 2 2 16" xfId="9877" xr:uid="{00000000-0005-0000-0000-0000084D0000}"/>
    <cellStyle name="40% - Accent1 2 2 2" xfId="269" xr:uid="{00000000-0005-0000-0000-0000094D0000}"/>
    <cellStyle name="40% - Accent1 2 2 2 10" xfId="39232" xr:uid="{00000000-0005-0000-0000-00000A4D0000}"/>
    <cellStyle name="40% - Accent1 2 2 2 11" xfId="10057" xr:uid="{00000000-0005-0000-0000-00000B4D0000}"/>
    <cellStyle name="40% - Accent1 2 2 2 2" xfId="1033" xr:uid="{00000000-0005-0000-0000-00000C4D0000}"/>
    <cellStyle name="40% - Accent1 2 2 2 2 2" xfId="2671" xr:uid="{00000000-0005-0000-0000-00000D4D0000}"/>
    <cellStyle name="40% - Accent1 2 2 2 2 2 2" xfId="7533" xr:uid="{00000000-0005-0000-0000-00000E4D0000}"/>
    <cellStyle name="40% - Accent1 2 2 2 2 2 2 2" xfId="26984" xr:uid="{00000000-0005-0000-0000-00000F4D0000}"/>
    <cellStyle name="40% - Accent1 2 2 2 2 2 2 3" xfId="36709" xr:uid="{00000000-0005-0000-0000-0000104D0000}"/>
    <cellStyle name="40% - Accent1 2 2 2 2 2 2 4" xfId="46434" xr:uid="{00000000-0005-0000-0000-0000114D0000}"/>
    <cellStyle name="40% - Accent1 2 2 2 2 2 2 5" xfId="17259" xr:uid="{00000000-0005-0000-0000-0000124D0000}"/>
    <cellStyle name="40% - Accent1 2 2 2 2 2 3" xfId="22122" xr:uid="{00000000-0005-0000-0000-0000134D0000}"/>
    <cellStyle name="40% - Accent1 2 2 2 2 2 4" xfId="31847" xr:uid="{00000000-0005-0000-0000-0000144D0000}"/>
    <cellStyle name="40% - Accent1 2 2 2 2 2 5" xfId="41572" xr:uid="{00000000-0005-0000-0000-0000154D0000}"/>
    <cellStyle name="40% - Accent1 2 2 2 2 2 6" xfId="12397" xr:uid="{00000000-0005-0000-0000-0000164D0000}"/>
    <cellStyle name="40% - Accent1 2 2 2 2 3" xfId="4291" xr:uid="{00000000-0005-0000-0000-0000174D0000}"/>
    <cellStyle name="40% - Accent1 2 2 2 2 3 2" xfId="9153" xr:uid="{00000000-0005-0000-0000-0000184D0000}"/>
    <cellStyle name="40% - Accent1 2 2 2 2 3 2 2" xfId="28604" xr:uid="{00000000-0005-0000-0000-0000194D0000}"/>
    <cellStyle name="40% - Accent1 2 2 2 2 3 2 3" xfId="38329" xr:uid="{00000000-0005-0000-0000-00001A4D0000}"/>
    <cellStyle name="40% - Accent1 2 2 2 2 3 2 4" xfId="48054" xr:uid="{00000000-0005-0000-0000-00001B4D0000}"/>
    <cellStyle name="40% - Accent1 2 2 2 2 3 2 5" xfId="18879" xr:uid="{00000000-0005-0000-0000-00001C4D0000}"/>
    <cellStyle name="40% - Accent1 2 2 2 2 3 3" xfId="23742" xr:uid="{00000000-0005-0000-0000-00001D4D0000}"/>
    <cellStyle name="40% - Accent1 2 2 2 2 3 4" xfId="33467" xr:uid="{00000000-0005-0000-0000-00001E4D0000}"/>
    <cellStyle name="40% - Accent1 2 2 2 2 3 5" xfId="43192" xr:uid="{00000000-0005-0000-0000-00001F4D0000}"/>
    <cellStyle name="40% - Accent1 2 2 2 2 3 6" xfId="14017" xr:uid="{00000000-0005-0000-0000-0000204D0000}"/>
    <cellStyle name="40% - Accent1 2 2 2 2 4" xfId="5913" xr:uid="{00000000-0005-0000-0000-0000214D0000}"/>
    <cellStyle name="40% - Accent1 2 2 2 2 4 2" xfId="25364" xr:uid="{00000000-0005-0000-0000-0000224D0000}"/>
    <cellStyle name="40% - Accent1 2 2 2 2 4 3" xfId="35089" xr:uid="{00000000-0005-0000-0000-0000234D0000}"/>
    <cellStyle name="40% - Accent1 2 2 2 2 4 4" xfId="44814" xr:uid="{00000000-0005-0000-0000-0000244D0000}"/>
    <cellStyle name="40% - Accent1 2 2 2 2 4 5" xfId="15639" xr:uid="{00000000-0005-0000-0000-0000254D0000}"/>
    <cellStyle name="40% - Accent1 2 2 2 2 5" xfId="20502" xr:uid="{00000000-0005-0000-0000-0000264D0000}"/>
    <cellStyle name="40% - Accent1 2 2 2 2 6" xfId="30227" xr:uid="{00000000-0005-0000-0000-0000274D0000}"/>
    <cellStyle name="40% - Accent1 2 2 2 2 7" xfId="39952" xr:uid="{00000000-0005-0000-0000-0000284D0000}"/>
    <cellStyle name="40% - Accent1 2 2 2 2 8" xfId="10777" xr:uid="{00000000-0005-0000-0000-0000294D0000}"/>
    <cellStyle name="40% - Accent1 2 2 2 3" xfId="1500" xr:uid="{00000000-0005-0000-0000-00002A4D0000}"/>
    <cellStyle name="40% - Accent1 2 2 2 3 2" xfId="3121" xr:uid="{00000000-0005-0000-0000-00002B4D0000}"/>
    <cellStyle name="40% - Accent1 2 2 2 3 2 2" xfId="7983" xr:uid="{00000000-0005-0000-0000-00002C4D0000}"/>
    <cellStyle name="40% - Accent1 2 2 2 3 2 2 2" xfId="27434" xr:uid="{00000000-0005-0000-0000-00002D4D0000}"/>
    <cellStyle name="40% - Accent1 2 2 2 3 2 2 3" xfId="37159" xr:uid="{00000000-0005-0000-0000-00002E4D0000}"/>
    <cellStyle name="40% - Accent1 2 2 2 3 2 2 4" xfId="46884" xr:uid="{00000000-0005-0000-0000-00002F4D0000}"/>
    <cellStyle name="40% - Accent1 2 2 2 3 2 2 5" xfId="17709" xr:uid="{00000000-0005-0000-0000-0000304D0000}"/>
    <cellStyle name="40% - Accent1 2 2 2 3 2 3" xfId="22572" xr:uid="{00000000-0005-0000-0000-0000314D0000}"/>
    <cellStyle name="40% - Accent1 2 2 2 3 2 4" xfId="32297" xr:uid="{00000000-0005-0000-0000-0000324D0000}"/>
    <cellStyle name="40% - Accent1 2 2 2 3 2 5" xfId="42022" xr:uid="{00000000-0005-0000-0000-0000334D0000}"/>
    <cellStyle name="40% - Accent1 2 2 2 3 2 6" xfId="12847" xr:uid="{00000000-0005-0000-0000-0000344D0000}"/>
    <cellStyle name="40% - Accent1 2 2 2 3 3" xfId="4741" xr:uid="{00000000-0005-0000-0000-0000354D0000}"/>
    <cellStyle name="40% - Accent1 2 2 2 3 3 2" xfId="9603" xr:uid="{00000000-0005-0000-0000-0000364D0000}"/>
    <cellStyle name="40% - Accent1 2 2 2 3 3 2 2" xfId="29054" xr:uid="{00000000-0005-0000-0000-0000374D0000}"/>
    <cellStyle name="40% - Accent1 2 2 2 3 3 2 3" xfId="38779" xr:uid="{00000000-0005-0000-0000-0000384D0000}"/>
    <cellStyle name="40% - Accent1 2 2 2 3 3 2 4" xfId="48504" xr:uid="{00000000-0005-0000-0000-0000394D0000}"/>
    <cellStyle name="40% - Accent1 2 2 2 3 3 2 5" xfId="19329" xr:uid="{00000000-0005-0000-0000-00003A4D0000}"/>
    <cellStyle name="40% - Accent1 2 2 2 3 3 3" xfId="24192" xr:uid="{00000000-0005-0000-0000-00003B4D0000}"/>
    <cellStyle name="40% - Accent1 2 2 2 3 3 4" xfId="33917" xr:uid="{00000000-0005-0000-0000-00003C4D0000}"/>
    <cellStyle name="40% - Accent1 2 2 2 3 3 5" xfId="43642" xr:uid="{00000000-0005-0000-0000-00003D4D0000}"/>
    <cellStyle name="40% - Accent1 2 2 2 3 3 6" xfId="14467" xr:uid="{00000000-0005-0000-0000-00003E4D0000}"/>
    <cellStyle name="40% - Accent1 2 2 2 3 4" xfId="6363" xr:uid="{00000000-0005-0000-0000-00003F4D0000}"/>
    <cellStyle name="40% - Accent1 2 2 2 3 4 2" xfId="25814" xr:uid="{00000000-0005-0000-0000-0000404D0000}"/>
    <cellStyle name="40% - Accent1 2 2 2 3 4 3" xfId="35539" xr:uid="{00000000-0005-0000-0000-0000414D0000}"/>
    <cellStyle name="40% - Accent1 2 2 2 3 4 4" xfId="45264" xr:uid="{00000000-0005-0000-0000-0000424D0000}"/>
    <cellStyle name="40% - Accent1 2 2 2 3 4 5" xfId="16089" xr:uid="{00000000-0005-0000-0000-0000434D0000}"/>
    <cellStyle name="40% - Accent1 2 2 2 3 5" xfId="20952" xr:uid="{00000000-0005-0000-0000-0000444D0000}"/>
    <cellStyle name="40% - Accent1 2 2 2 3 6" xfId="30677" xr:uid="{00000000-0005-0000-0000-0000454D0000}"/>
    <cellStyle name="40% - Accent1 2 2 2 3 7" xfId="40402" xr:uid="{00000000-0005-0000-0000-0000464D0000}"/>
    <cellStyle name="40% - Accent1 2 2 2 3 8" xfId="11227" xr:uid="{00000000-0005-0000-0000-0000474D0000}"/>
    <cellStyle name="40% - Accent1 2 2 2 4" xfId="671" xr:uid="{00000000-0005-0000-0000-0000484D0000}"/>
    <cellStyle name="40% - Accent1 2 2 2 4 2" xfId="2311" xr:uid="{00000000-0005-0000-0000-0000494D0000}"/>
    <cellStyle name="40% - Accent1 2 2 2 4 2 2" xfId="7173" xr:uid="{00000000-0005-0000-0000-00004A4D0000}"/>
    <cellStyle name="40% - Accent1 2 2 2 4 2 2 2" xfId="26624" xr:uid="{00000000-0005-0000-0000-00004B4D0000}"/>
    <cellStyle name="40% - Accent1 2 2 2 4 2 2 3" xfId="36349" xr:uid="{00000000-0005-0000-0000-00004C4D0000}"/>
    <cellStyle name="40% - Accent1 2 2 2 4 2 2 4" xfId="46074" xr:uid="{00000000-0005-0000-0000-00004D4D0000}"/>
    <cellStyle name="40% - Accent1 2 2 2 4 2 2 5" xfId="16899" xr:uid="{00000000-0005-0000-0000-00004E4D0000}"/>
    <cellStyle name="40% - Accent1 2 2 2 4 2 3" xfId="21762" xr:uid="{00000000-0005-0000-0000-00004F4D0000}"/>
    <cellStyle name="40% - Accent1 2 2 2 4 2 4" xfId="31487" xr:uid="{00000000-0005-0000-0000-0000504D0000}"/>
    <cellStyle name="40% - Accent1 2 2 2 4 2 5" xfId="41212" xr:uid="{00000000-0005-0000-0000-0000514D0000}"/>
    <cellStyle name="40% - Accent1 2 2 2 4 2 6" xfId="12037" xr:uid="{00000000-0005-0000-0000-0000524D0000}"/>
    <cellStyle name="40% - Accent1 2 2 2 4 3" xfId="3931" xr:uid="{00000000-0005-0000-0000-0000534D0000}"/>
    <cellStyle name="40% - Accent1 2 2 2 4 3 2" xfId="8793" xr:uid="{00000000-0005-0000-0000-0000544D0000}"/>
    <cellStyle name="40% - Accent1 2 2 2 4 3 2 2" xfId="28244" xr:uid="{00000000-0005-0000-0000-0000554D0000}"/>
    <cellStyle name="40% - Accent1 2 2 2 4 3 2 3" xfId="37969" xr:uid="{00000000-0005-0000-0000-0000564D0000}"/>
    <cellStyle name="40% - Accent1 2 2 2 4 3 2 4" xfId="47694" xr:uid="{00000000-0005-0000-0000-0000574D0000}"/>
    <cellStyle name="40% - Accent1 2 2 2 4 3 2 5" xfId="18519" xr:uid="{00000000-0005-0000-0000-0000584D0000}"/>
    <cellStyle name="40% - Accent1 2 2 2 4 3 3" xfId="23382" xr:uid="{00000000-0005-0000-0000-0000594D0000}"/>
    <cellStyle name="40% - Accent1 2 2 2 4 3 4" xfId="33107" xr:uid="{00000000-0005-0000-0000-00005A4D0000}"/>
    <cellStyle name="40% - Accent1 2 2 2 4 3 5" xfId="42832" xr:uid="{00000000-0005-0000-0000-00005B4D0000}"/>
    <cellStyle name="40% - Accent1 2 2 2 4 3 6" xfId="13657" xr:uid="{00000000-0005-0000-0000-00005C4D0000}"/>
    <cellStyle name="40% - Accent1 2 2 2 4 4" xfId="5553" xr:uid="{00000000-0005-0000-0000-00005D4D0000}"/>
    <cellStyle name="40% - Accent1 2 2 2 4 4 2" xfId="25004" xr:uid="{00000000-0005-0000-0000-00005E4D0000}"/>
    <cellStyle name="40% - Accent1 2 2 2 4 4 3" xfId="34729" xr:uid="{00000000-0005-0000-0000-00005F4D0000}"/>
    <cellStyle name="40% - Accent1 2 2 2 4 4 4" xfId="44454" xr:uid="{00000000-0005-0000-0000-0000604D0000}"/>
    <cellStyle name="40% - Accent1 2 2 2 4 4 5" xfId="15279" xr:uid="{00000000-0005-0000-0000-0000614D0000}"/>
    <cellStyle name="40% - Accent1 2 2 2 4 5" xfId="20142" xr:uid="{00000000-0005-0000-0000-0000624D0000}"/>
    <cellStyle name="40% - Accent1 2 2 2 4 6" xfId="29867" xr:uid="{00000000-0005-0000-0000-0000634D0000}"/>
    <cellStyle name="40% - Accent1 2 2 2 4 7" xfId="39592" xr:uid="{00000000-0005-0000-0000-0000644D0000}"/>
    <cellStyle name="40% - Accent1 2 2 2 4 8" xfId="10417" xr:uid="{00000000-0005-0000-0000-0000654D0000}"/>
    <cellStyle name="40% - Accent1 2 2 2 5" xfId="1951" xr:uid="{00000000-0005-0000-0000-0000664D0000}"/>
    <cellStyle name="40% - Accent1 2 2 2 5 2" xfId="6813" xr:uid="{00000000-0005-0000-0000-0000674D0000}"/>
    <cellStyle name="40% - Accent1 2 2 2 5 2 2" xfId="26264" xr:uid="{00000000-0005-0000-0000-0000684D0000}"/>
    <cellStyle name="40% - Accent1 2 2 2 5 2 3" xfId="35989" xr:uid="{00000000-0005-0000-0000-0000694D0000}"/>
    <cellStyle name="40% - Accent1 2 2 2 5 2 4" xfId="45714" xr:uid="{00000000-0005-0000-0000-00006A4D0000}"/>
    <cellStyle name="40% - Accent1 2 2 2 5 2 5" xfId="16539" xr:uid="{00000000-0005-0000-0000-00006B4D0000}"/>
    <cellStyle name="40% - Accent1 2 2 2 5 3" xfId="21402" xr:uid="{00000000-0005-0000-0000-00006C4D0000}"/>
    <cellStyle name="40% - Accent1 2 2 2 5 4" xfId="31127" xr:uid="{00000000-0005-0000-0000-00006D4D0000}"/>
    <cellStyle name="40% - Accent1 2 2 2 5 5" xfId="40852" xr:uid="{00000000-0005-0000-0000-00006E4D0000}"/>
    <cellStyle name="40% - Accent1 2 2 2 5 6" xfId="11677" xr:uid="{00000000-0005-0000-0000-00006F4D0000}"/>
    <cellStyle name="40% - Accent1 2 2 2 6" xfId="3571" xr:uid="{00000000-0005-0000-0000-0000704D0000}"/>
    <cellStyle name="40% - Accent1 2 2 2 6 2" xfId="8433" xr:uid="{00000000-0005-0000-0000-0000714D0000}"/>
    <cellStyle name="40% - Accent1 2 2 2 6 2 2" xfId="27884" xr:uid="{00000000-0005-0000-0000-0000724D0000}"/>
    <cellStyle name="40% - Accent1 2 2 2 6 2 3" xfId="37609" xr:uid="{00000000-0005-0000-0000-0000734D0000}"/>
    <cellStyle name="40% - Accent1 2 2 2 6 2 4" xfId="47334" xr:uid="{00000000-0005-0000-0000-0000744D0000}"/>
    <cellStyle name="40% - Accent1 2 2 2 6 2 5" xfId="18159" xr:uid="{00000000-0005-0000-0000-0000754D0000}"/>
    <cellStyle name="40% - Accent1 2 2 2 6 3" xfId="23022" xr:uid="{00000000-0005-0000-0000-0000764D0000}"/>
    <cellStyle name="40% - Accent1 2 2 2 6 4" xfId="32747" xr:uid="{00000000-0005-0000-0000-0000774D0000}"/>
    <cellStyle name="40% - Accent1 2 2 2 6 5" xfId="42472" xr:uid="{00000000-0005-0000-0000-0000784D0000}"/>
    <cellStyle name="40% - Accent1 2 2 2 6 6" xfId="13297" xr:uid="{00000000-0005-0000-0000-0000794D0000}"/>
    <cellStyle name="40% - Accent1 2 2 2 7" xfId="5193" xr:uid="{00000000-0005-0000-0000-00007A4D0000}"/>
    <cellStyle name="40% - Accent1 2 2 2 7 2" xfId="24644" xr:uid="{00000000-0005-0000-0000-00007B4D0000}"/>
    <cellStyle name="40% - Accent1 2 2 2 7 3" xfId="34369" xr:uid="{00000000-0005-0000-0000-00007C4D0000}"/>
    <cellStyle name="40% - Accent1 2 2 2 7 4" xfId="44094" xr:uid="{00000000-0005-0000-0000-00007D4D0000}"/>
    <cellStyle name="40% - Accent1 2 2 2 7 5" xfId="14919" xr:uid="{00000000-0005-0000-0000-00007E4D0000}"/>
    <cellStyle name="40% - Accent1 2 2 2 8" xfId="19782" xr:uid="{00000000-0005-0000-0000-00007F4D0000}"/>
    <cellStyle name="40% - Accent1 2 2 2 9" xfId="29507" xr:uid="{00000000-0005-0000-0000-0000804D0000}"/>
    <cellStyle name="40% - Accent1 2 2 3" xfId="360" xr:uid="{00000000-0005-0000-0000-0000814D0000}"/>
    <cellStyle name="40% - Accent1 2 2 3 10" xfId="39322" xr:uid="{00000000-0005-0000-0000-0000824D0000}"/>
    <cellStyle name="40% - Accent1 2 2 3 11" xfId="10147" xr:uid="{00000000-0005-0000-0000-0000834D0000}"/>
    <cellStyle name="40% - Accent1 2 2 3 2" xfId="1123" xr:uid="{00000000-0005-0000-0000-0000844D0000}"/>
    <cellStyle name="40% - Accent1 2 2 3 2 2" xfId="2761" xr:uid="{00000000-0005-0000-0000-0000854D0000}"/>
    <cellStyle name="40% - Accent1 2 2 3 2 2 2" xfId="7623" xr:uid="{00000000-0005-0000-0000-0000864D0000}"/>
    <cellStyle name="40% - Accent1 2 2 3 2 2 2 2" xfId="27074" xr:uid="{00000000-0005-0000-0000-0000874D0000}"/>
    <cellStyle name="40% - Accent1 2 2 3 2 2 2 3" xfId="36799" xr:uid="{00000000-0005-0000-0000-0000884D0000}"/>
    <cellStyle name="40% - Accent1 2 2 3 2 2 2 4" xfId="46524" xr:uid="{00000000-0005-0000-0000-0000894D0000}"/>
    <cellStyle name="40% - Accent1 2 2 3 2 2 2 5" xfId="17349" xr:uid="{00000000-0005-0000-0000-00008A4D0000}"/>
    <cellStyle name="40% - Accent1 2 2 3 2 2 3" xfId="22212" xr:uid="{00000000-0005-0000-0000-00008B4D0000}"/>
    <cellStyle name="40% - Accent1 2 2 3 2 2 4" xfId="31937" xr:uid="{00000000-0005-0000-0000-00008C4D0000}"/>
    <cellStyle name="40% - Accent1 2 2 3 2 2 5" xfId="41662" xr:uid="{00000000-0005-0000-0000-00008D4D0000}"/>
    <cellStyle name="40% - Accent1 2 2 3 2 2 6" xfId="12487" xr:uid="{00000000-0005-0000-0000-00008E4D0000}"/>
    <cellStyle name="40% - Accent1 2 2 3 2 3" xfId="4381" xr:uid="{00000000-0005-0000-0000-00008F4D0000}"/>
    <cellStyle name="40% - Accent1 2 2 3 2 3 2" xfId="9243" xr:uid="{00000000-0005-0000-0000-0000904D0000}"/>
    <cellStyle name="40% - Accent1 2 2 3 2 3 2 2" xfId="28694" xr:uid="{00000000-0005-0000-0000-0000914D0000}"/>
    <cellStyle name="40% - Accent1 2 2 3 2 3 2 3" xfId="38419" xr:uid="{00000000-0005-0000-0000-0000924D0000}"/>
    <cellStyle name="40% - Accent1 2 2 3 2 3 2 4" xfId="48144" xr:uid="{00000000-0005-0000-0000-0000934D0000}"/>
    <cellStyle name="40% - Accent1 2 2 3 2 3 2 5" xfId="18969" xr:uid="{00000000-0005-0000-0000-0000944D0000}"/>
    <cellStyle name="40% - Accent1 2 2 3 2 3 3" xfId="23832" xr:uid="{00000000-0005-0000-0000-0000954D0000}"/>
    <cellStyle name="40% - Accent1 2 2 3 2 3 4" xfId="33557" xr:uid="{00000000-0005-0000-0000-0000964D0000}"/>
    <cellStyle name="40% - Accent1 2 2 3 2 3 5" xfId="43282" xr:uid="{00000000-0005-0000-0000-0000974D0000}"/>
    <cellStyle name="40% - Accent1 2 2 3 2 3 6" xfId="14107" xr:uid="{00000000-0005-0000-0000-0000984D0000}"/>
    <cellStyle name="40% - Accent1 2 2 3 2 4" xfId="6003" xr:uid="{00000000-0005-0000-0000-0000994D0000}"/>
    <cellStyle name="40% - Accent1 2 2 3 2 4 2" xfId="25454" xr:uid="{00000000-0005-0000-0000-00009A4D0000}"/>
    <cellStyle name="40% - Accent1 2 2 3 2 4 3" xfId="35179" xr:uid="{00000000-0005-0000-0000-00009B4D0000}"/>
    <cellStyle name="40% - Accent1 2 2 3 2 4 4" xfId="44904" xr:uid="{00000000-0005-0000-0000-00009C4D0000}"/>
    <cellStyle name="40% - Accent1 2 2 3 2 4 5" xfId="15729" xr:uid="{00000000-0005-0000-0000-00009D4D0000}"/>
    <cellStyle name="40% - Accent1 2 2 3 2 5" xfId="20592" xr:uid="{00000000-0005-0000-0000-00009E4D0000}"/>
    <cellStyle name="40% - Accent1 2 2 3 2 6" xfId="30317" xr:uid="{00000000-0005-0000-0000-00009F4D0000}"/>
    <cellStyle name="40% - Accent1 2 2 3 2 7" xfId="40042" xr:uid="{00000000-0005-0000-0000-0000A04D0000}"/>
    <cellStyle name="40% - Accent1 2 2 3 2 8" xfId="10867" xr:uid="{00000000-0005-0000-0000-0000A14D0000}"/>
    <cellStyle name="40% - Accent1 2 2 3 3" xfId="1590" xr:uid="{00000000-0005-0000-0000-0000A24D0000}"/>
    <cellStyle name="40% - Accent1 2 2 3 3 2" xfId="3211" xr:uid="{00000000-0005-0000-0000-0000A34D0000}"/>
    <cellStyle name="40% - Accent1 2 2 3 3 2 2" xfId="8073" xr:uid="{00000000-0005-0000-0000-0000A44D0000}"/>
    <cellStyle name="40% - Accent1 2 2 3 3 2 2 2" xfId="27524" xr:uid="{00000000-0005-0000-0000-0000A54D0000}"/>
    <cellStyle name="40% - Accent1 2 2 3 3 2 2 3" xfId="37249" xr:uid="{00000000-0005-0000-0000-0000A64D0000}"/>
    <cellStyle name="40% - Accent1 2 2 3 3 2 2 4" xfId="46974" xr:uid="{00000000-0005-0000-0000-0000A74D0000}"/>
    <cellStyle name="40% - Accent1 2 2 3 3 2 2 5" xfId="17799" xr:uid="{00000000-0005-0000-0000-0000A84D0000}"/>
    <cellStyle name="40% - Accent1 2 2 3 3 2 3" xfId="22662" xr:uid="{00000000-0005-0000-0000-0000A94D0000}"/>
    <cellStyle name="40% - Accent1 2 2 3 3 2 4" xfId="32387" xr:uid="{00000000-0005-0000-0000-0000AA4D0000}"/>
    <cellStyle name="40% - Accent1 2 2 3 3 2 5" xfId="42112" xr:uid="{00000000-0005-0000-0000-0000AB4D0000}"/>
    <cellStyle name="40% - Accent1 2 2 3 3 2 6" xfId="12937" xr:uid="{00000000-0005-0000-0000-0000AC4D0000}"/>
    <cellStyle name="40% - Accent1 2 2 3 3 3" xfId="4831" xr:uid="{00000000-0005-0000-0000-0000AD4D0000}"/>
    <cellStyle name="40% - Accent1 2 2 3 3 3 2" xfId="9693" xr:uid="{00000000-0005-0000-0000-0000AE4D0000}"/>
    <cellStyle name="40% - Accent1 2 2 3 3 3 2 2" xfId="29144" xr:uid="{00000000-0005-0000-0000-0000AF4D0000}"/>
    <cellStyle name="40% - Accent1 2 2 3 3 3 2 3" xfId="38869" xr:uid="{00000000-0005-0000-0000-0000B04D0000}"/>
    <cellStyle name="40% - Accent1 2 2 3 3 3 2 4" xfId="48594" xr:uid="{00000000-0005-0000-0000-0000B14D0000}"/>
    <cellStyle name="40% - Accent1 2 2 3 3 3 2 5" xfId="19419" xr:uid="{00000000-0005-0000-0000-0000B24D0000}"/>
    <cellStyle name="40% - Accent1 2 2 3 3 3 3" xfId="24282" xr:uid="{00000000-0005-0000-0000-0000B34D0000}"/>
    <cellStyle name="40% - Accent1 2 2 3 3 3 4" xfId="34007" xr:uid="{00000000-0005-0000-0000-0000B44D0000}"/>
    <cellStyle name="40% - Accent1 2 2 3 3 3 5" xfId="43732" xr:uid="{00000000-0005-0000-0000-0000B54D0000}"/>
    <cellStyle name="40% - Accent1 2 2 3 3 3 6" xfId="14557" xr:uid="{00000000-0005-0000-0000-0000B64D0000}"/>
    <cellStyle name="40% - Accent1 2 2 3 3 4" xfId="6453" xr:uid="{00000000-0005-0000-0000-0000B74D0000}"/>
    <cellStyle name="40% - Accent1 2 2 3 3 4 2" xfId="25904" xr:uid="{00000000-0005-0000-0000-0000B84D0000}"/>
    <cellStyle name="40% - Accent1 2 2 3 3 4 3" xfId="35629" xr:uid="{00000000-0005-0000-0000-0000B94D0000}"/>
    <cellStyle name="40% - Accent1 2 2 3 3 4 4" xfId="45354" xr:uid="{00000000-0005-0000-0000-0000BA4D0000}"/>
    <cellStyle name="40% - Accent1 2 2 3 3 4 5" xfId="16179" xr:uid="{00000000-0005-0000-0000-0000BB4D0000}"/>
    <cellStyle name="40% - Accent1 2 2 3 3 5" xfId="21042" xr:uid="{00000000-0005-0000-0000-0000BC4D0000}"/>
    <cellStyle name="40% - Accent1 2 2 3 3 6" xfId="30767" xr:uid="{00000000-0005-0000-0000-0000BD4D0000}"/>
    <cellStyle name="40% - Accent1 2 2 3 3 7" xfId="40492" xr:uid="{00000000-0005-0000-0000-0000BE4D0000}"/>
    <cellStyle name="40% - Accent1 2 2 3 3 8" xfId="11317" xr:uid="{00000000-0005-0000-0000-0000BF4D0000}"/>
    <cellStyle name="40% - Accent1 2 2 3 4" xfId="761" xr:uid="{00000000-0005-0000-0000-0000C04D0000}"/>
    <cellStyle name="40% - Accent1 2 2 3 4 2" xfId="2401" xr:uid="{00000000-0005-0000-0000-0000C14D0000}"/>
    <cellStyle name="40% - Accent1 2 2 3 4 2 2" xfId="7263" xr:uid="{00000000-0005-0000-0000-0000C24D0000}"/>
    <cellStyle name="40% - Accent1 2 2 3 4 2 2 2" xfId="26714" xr:uid="{00000000-0005-0000-0000-0000C34D0000}"/>
    <cellStyle name="40% - Accent1 2 2 3 4 2 2 3" xfId="36439" xr:uid="{00000000-0005-0000-0000-0000C44D0000}"/>
    <cellStyle name="40% - Accent1 2 2 3 4 2 2 4" xfId="46164" xr:uid="{00000000-0005-0000-0000-0000C54D0000}"/>
    <cellStyle name="40% - Accent1 2 2 3 4 2 2 5" xfId="16989" xr:uid="{00000000-0005-0000-0000-0000C64D0000}"/>
    <cellStyle name="40% - Accent1 2 2 3 4 2 3" xfId="21852" xr:uid="{00000000-0005-0000-0000-0000C74D0000}"/>
    <cellStyle name="40% - Accent1 2 2 3 4 2 4" xfId="31577" xr:uid="{00000000-0005-0000-0000-0000C84D0000}"/>
    <cellStyle name="40% - Accent1 2 2 3 4 2 5" xfId="41302" xr:uid="{00000000-0005-0000-0000-0000C94D0000}"/>
    <cellStyle name="40% - Accent1 2 2 3 4 2 6" xfId="12127" xr:uid="{00000000-0005-0000-0000-0000CA4D0000}"/>
    <cellStyle name="40% - Accent1 2 2 3 4 3" xfId="4021" xr:uid="{00000000-0005-0000-0000-0000CB4D0000}"/>
    <cellStyle name="40% - Accent1 2 2 3 4 3 2" xfId="8883" xr:uid="{00000000-0005-0000-0000-0000CC4D0000}"/>
    <cellStyle name="40% - Accent1 2 2 3 4 3 2 2" xfId="28334" xr:uid="{00000000-0005-0000-0000-0000CD4D0000}"/>
    <cellStyle name="40% - Accent1 2 2 3 4 3 2 3" xfId="38059" xr:uid="{00000000-0005-0000-0000-0000CE4D0000}"/>
    <cellStyle name="40% - Accent1 2 2 3 4 3 2 4" xfId="47784" xr:uid="{00000000-0005-0000-0000-0000CF4D0000}"/>
    <cellStyle name="40% - Accent1 2 2 3 4 3 2 5" xfId="18609" xr:uid="{00000000-0005-0000-0000-0000D04D0000}"/>
    <cellStyle name="40% - Accent1 2 2 3 4 3 3" xfId="23472" xr:uid="{00000000-0005-0000-0000-0000D14D0000}"/>
    <cellStyle name="40% - Accent1 2 2 3 4 3 4" xfId="33197" xr:uid="{00000000-0005-0000-0000-0000D24D0000}"/>
    <cellStyle name="40% - Accent1 2 2 3 4 3 5" xfId="42922" xr:uid="{00000000-0005-0000-0000-0000D34D0000}"/>
    <cellStyle name="40% - Accent1 2 2 3 4 3 6" xfId="13747" xr:uid="{00000000-0005-0000-0000-0000D44D0000}"/>
    <cellStyle name="40% - Accent1 2 2 3 4 4" xfId="5643" xr:uid="{00000000-0005-0000-0000-0000D54D0000}"/>
    <cellStyle name="40% - Accent1 2 2 3 4 4 2" xfId="25094" xr:uid="{00000000-0005-0000-0000-0000D64D0000}"/>
    <cellStyle name="40% - Accent1 2 2 3 4 4 3" xfId="34819" xr:uid="{00000000-0005-0000-0000-0000D74D0000}"/>
    <cellStyle name="40% - Accent1 2 2 3 4 4 4" xfId="44544" xr:uid="{00000000-0005-0000-0000-0000D84D0000}"/>
    <cellStyle name="40% - Accent1 2 2 3 4 4 5" xfId="15369" xr:uid="{00000000-0005-0000-0000-0000D94D0000}"/>
    <cellStyle name="40% - Accent1 2 2 3 4 5" xfId="20232" xr:uid="{00000000-0005-0000-0000-0000DA4D0000}"/>
    <cellStyle name="40% - Accent1 2 2 3 4 6" xfId="29957" xr:uid="{00000000-0005-0000-0000-0000DB4D0000}"/>
    <cellStyle name="40% - Accent1 2 2 3 4 7" xfId="39682" xr:uid="{00000000-0005-0000-0000-0000DC4D0000}"/>
    <cellStyle name="40% - Accent1 2 2 3 4 8" xfId="10507" xr:uid="{00000000-0005-0000-0000-0000DD4D0000}"/>
    <cellStyle name="40% - Accent1 2 2 3 5" xfId="2041" xr:uid="{00000000-0005-0000-0000-0000DE4D0000}"/>
    <cellStyle name="40% - Accent1 2 2 3 5 2" xfId="6903" xr:uid="{00000000-0005-0000-0000-0000DF4D0000}"/>
    <cellStyle name="40% - Accent1 2 2 3 5 2 2" xfId="26354" xr:uid="{00000000-0005-0000-0000-0000E04D0000}"/>
    <cellStyle name="40% - Accent1 2 2 3 5 2 3" xfId="36079" xr:uid="{00000000-0005-0000-0000-0000E14D0000}"/>
    <cellStyle name="40% - Accent1 2 2 3 5 2 4" xfId="45804" xr:uid="{00000000-0005-0000-0000-0000E24D0000}"/>
    <cellStyle name="40% - Accent1 2 2 3 5 2 5" xfId="16629" xr:uid="{00000000-0005-0000-0000-0000E34D0000}"/>
    <cellStyle name="40% - Accent1 2 2 3 5 3" xfId="21492" xr:uid="{00000000-0005-0000-0000-0000E44D0000}"/>
    <cellStyle name="40% - Accent1 2 2 3 5 4" xfId="31217" xr:uid="{00000000-0005-0000-0000-0000E54D0000}"/>
    <cellStyle name="40% - Accent1 2 2 3 5 5" xfId="40942" xr:uid="{00000000-0005-0000-0000-0000E64D0000}"/>
    <cellStyle name="40% - Accent1 2 2 3 5 6" xfId="11767" xr:uid="{00000000-0005-0000-0000-0000E74D0000}"/>
    <cellStyle name="40% - Accent1 2 2 3 6" xfId="3661" xr:uid="{00000000-0005-0000-0000-0000E84D0000}"/>
    <cellStyle name="40% - Accent1 2 2 3 6 2" xfId="8523" xr:uid="{00000000-0005-0000-0000-0000E94D0000}"/>
    <cellStyle name="40% - Accent1 2 2 3 6 2 2" xfId="27974" xr:uid="{00000000-0005-0000-0000-0000EA4D0000}"/>
    <cellStyle name="40% - Accent1 2 2 3 6 2 3" xfId="37699" xr:uid="{00000000-0005-0000-0000-0000EB4D0000}"/>
    <cellStyle name="40% - Accent1 2 2 3 6 2 4" xfId="47424" xr:uid="{00000000-0005-0000-0000-0000EC4D0000}"/>
    <cellStyle name="40% - Accent1 2 2 3 6 2 5" xfId="18249" xr:uid="{00000000-0005-0000-0000-0000ED4D0000}"/>
    <cellStyle name="40% - Accent1 2 2 3 6 3" xfId="23112" xr:uid="{00000000-0005-0000-0000-0000EE4D0000}"/>
    <cellStyle name="40% - Accent1 2 2 3 6 4" xfId="32837" xr:uid="{00000000-0005-0000-0000-0000EF4D0000}"/>
    <cellStyle name="40% - Accent1 2 2 3 6 5" xfId="42562" xr:uid="{00000000-0005-0000-0000-0000F04D0000}"/>
    <cellStyle name="40% - Accent1 2 2 3 6 6" xfId="13387" xr:uid="{00000000-0005-0000-0000-0000F14D0000}"/>
    <cellStyle name="40% - Accent1 2 2 3 7" xfId="5283" xr:uid="{00000000-0005-0000-0000-0000F24D0000}"/>
    <cellStyle name="40% - Accent1 2 2 3 7 2" xfId="24734" xr:uid="{00000000-0005-0000-0000-0000F34D0000}"/>
    <cellStyle name="40% - Accent1 2 2 3 7 3" xfId="34459" xr:uid="{00000000-0005-0000-0000-0000F44D0000}"/>
    <cellStyle name="40% - Accent1 2 2 3 7 4" xfId="44184" xr:uid="{00000000-0005-0000-0000-0000F54D0000}"/>
    <cellStyle name="40% - Accent1 2 2 3 7 5" xfId="15009" xr:uid="{00000000-0005-0000-0000-0000F64D0000}"/>
    <cellStyle name="40% - Accent1 2 2 3 8" xfId="19872" xr:uid="{00000000-0005-0000-0000-0000F74D0000}"/>
    <cellStyle name="40% - Accent1 2 2 3 9" xfId="29597" xr:uid="{00000000-0005-0000-0000-0000F84D0000}"/>
    <cellStyle name="40% - Accent1 2 2 4" xfId="178" xr:uid="{00000000-0005-0000-0000-0000F94D0000}"/>
    <cellStyle name="40% - Accent1 2 2 4 10" xfId="39142" xr:uid="{00000000-0005-0000-0000-0000FA4D0000}"/>
    <cellStyle name="40% - Accent1 2 2 4 11" xfId="9967" xr:uid="{00000000-0005-0000-0000-0000FB4D0000}"/>
    <cellStyle name="40% - Accent1 2 2 4 2" xfId="942" xr:uid="{00000000-0005-0000-0000-0000FC4D0000}"/>
    <cellStyle name="40% - Accent1 2 2 4 2 2" xfId="2581" xr:uid="{00000000-0005-0000-0000-0000FD4D0000}"/>
    <cellStyle name="40% - Accent1 2 2 4 2 2 2" xfId="7443" xr:uid="{00000000-0005-0000-0000-0000FE4D0000}"/>
    <cellStyle name="40% - Accent1 2 2 4 2 2 2 2" xfId="26894" xr:uid="{00000000-0005-0000-0000-0000FF4D0000}"/>
    <cellStyle name="40% - Accent1 2 2 4 2 2 2 3" xfId="36619" xr:uid="{00000000-0005-0000-0000-0000004E0000}"/>
    <cellStyle name="40% - Accent1 2 2 4 2 2 2 4" xfId="46344" xr:uid="{00000000-0005-0000-0000-0000014E0000}"/>
    <cellStyle name="40% - Accent1 2 2 4 2 2 2 5" xfId="17169" xr:uid="{00000000-0005-0000-0000-0000024E0000}"/>
    <cellStyle name="40% - Accent1 2 2 4 2 2 3" xfId="22032" xr:uid="{00000000-0005-0000-0000-0000034E0000}"/>
    <cellStyle name="40% - Accent1 2 2 4 2 2 4" xfId="31757" xr:uid="{00000000-0005-0000-0000-0000044E0000}"/>
    <cellStyle name="40% - Accent1 2 2 4 2 2 5" xfId="41482" xr:uid="{00000000-0005-0000-0000-0000054E0000}"/>
    <cellStyle name="40% - Accent1 2 2 4 2 2 6" xfId="12307" xr:uid="{00000000-0005-0000-0000-0000064E0000}"/>
    <cellStyle name="40% - Accent1 2 2 4 2 3" xfId="4201" xr:uid="{00000000-0005-0000-0000-0000074E0000}"/>
    <cellStyle name="40% - Accent1 2 2 4 2 3 2" xfId="9063" xr:uid="{00000000-0005-0000-0000-0000084E0000}"/>
    <cellStyle name="40% - Accent1 2 2 4 2 3 2 2" xfId="28514" xr:uid="{00000000-0005-0000-0000-0000094E0000}"/>
    <cellStyle name="40% - Accent1 2 2 4 2 3 2 3" xfId="38239" xr:uid="{00000000-0005-0000-0000-00000A4E0000}"/>
    <cellStyle name="40% - Accent1 2 2 4 2 3 2 4" xfId="47964" xr:uid="{00000000-0005-0000-0000-00000B4E0000}"/>
    <cellStyle name="40% - Accent1 2 2 4 2 3 2 5" xfId="18789" xr:uid="{00000000-0005-0000-0000-00000C4E0000}"/>
    <cellStyle name="40% - Accent1 2 2 4 2 3 3" xfId="23652" xr:uid="{00000000-0005-0000-0000-00000D4E0000}"/>
    <cellStyle name="40% - Accent1 2 2 4 2 3 4" xfId="33377" xr:uid="{00000000-0005-0000-0000-00000E4E0000}"/>
    <cellStyle name="40% - Accent1 2 2 4 2 3 5" xfId="43102" xr:uid="{00000000-0005-0000-0000-00000F4E0000}"/>
    <cellStyle name="40% - Accent1 2 2 4 2 3 6" xfId="13927" xr:uid="{00000000-0005-0000-0000-0000104E0000}"/>
    <cellStyle name="40% - Accent1 2 2 4 2 4" xfId="5823" xr:uid="{00000000-0005-0000-0000-0000114E0000}"/>
    <cellStyle name="40% - Accent1 2 2 4 2 4 2" xfId="25274" xr:uid="{00000000-0005-0000-0000-0000124E0000}"/>
    <cellStyle name="40% - Accent1 2 2 4 2 4 3" xfId="34999" xr:uid="{00000000-0005-0000-0000-0000134E0000}"/>
    <cellStyle name="40% - Accent1 2 2 4 2 4 4" xfId="44724" xr:uid="{00000000-0005-0000-0000-0000144E0000}"/>
    <cellStyle name="40% - Accent1 2 2 4 2 4 5" xfId="15549" xr:uid="{00000000-0005-0000-0000-0000154E0000}"/>
    <cellStyle name="40% - Accent1 2 2 4 2 5" xfId="20412" xr:uid="{00000000-0005-0000-0000-0000164E0000}"/>
    <cellStyle name="40% - Accent1 2 2 4 2 6" xfId="30137" xr:uid="{00000000-0005-0000-0000-0000174E0000}"/>
    <cellStyle name="40% - Accent1 2 2 4 2 7" xfId="39862" xr:uid="{00000000-0005-0000-0000-0000184E0000}"/>
    <cellStyle name="40% - Accent1 2 2 4 2 8" xfId="10687" xr:uid="{00000000-0005-0000-0000-0000194E0000}"/>
    <cellStyle name="40% - Accent1 2 2 4 3" xfId="1410" xr:uid="{00000000-0005-0000-0000-00001A4E0000}"/>
    <cellStyle name="40% - Accent1 2 2 4 3 2" xfId="3031" xr:uid="{00000000-0005-0000-0000-00001B4E0000}"/>
    <cellStyle name="40% - Accent1 2 2 4 3 2 2" xfId="7893" xr:uid="{00000000-0005-0000-0000-00001C4E0000}"/>
    <cellStyle name="40% - Accent1 2 2 4 3 2 2 2" xfId="27344" xr:uid="{00000000-0005-0000-0000-00001D4E0000}"/>
    <cellStyle name="40% - Accent1 2 2 4 3 2 2 3" xfId="37069" xr:uid="{00000000-0005-0000-0000-00001E4E0000}"/>
    <cellStyle name="40% - Accent1 2 2 4 3 2 2 4" xfId="46794" xr:uid="{00000000-0005-0000-0000-00001F4E0000}"/>
    <cellStyle name="40% - Accent1 2 2 4 3 2 2 5" xfId="17619" xr:uid="{00000000-0005-0000-0000-0000204E0000}"/>
    <cellStyle name="40% - Accent1 2 2 4 3 2 3" xfId="22482" xr:uid="{00000000-0005-0000-0000-0000214E0000}"/>
    <cellStyle name="40% - Accent1 2 2 4 3 2 4" xfId="32207" xr:uid="{00000000-0005-0000-0000-0000224E0000}"/>
    <cellStyle name="40% - Accent1 2 2 4 3 2 5" xfId="41932" xr:uid="{00000000-0005-0000-0000-0000234E0000}"/>
    <cellStyle name="40% - Accent1 2 2 4 3 2 6" xfId="12757" xr:uid="{00000000-0005-0000-0000-0000244E0000}"/>
    <cellStyle name="40% - Accent1 2 2 4 3 3" xfId="4651" xr:uid="{00000000-0005-0000-0000-0000254E0000}"/>
    <cellStyle name="40% - Accent1 2 2 4 3 3 2" xfId="9513" xr:uid="{00000000-0005-0000-0000-0000264E0000}"/>
    <cellStyle name="40% - Accent1 2 2 4 3 3 2 2" xfId="28964" xr:uid="{00000000-0005-0000-0000-0000274E0000}"/>
    <cellStyle name="40% - Accent1 2 2 4 3 3 2 3" xfId="38689" xr:uid="{00000000-0005-0000-0000-0000284E0000}"/>
    <cellStyle name="40% - Accent1 2 2 4 3 3 2 4" xfId="48414" xr:uid="{00000000-0005-0000-0000-0000294E0000}"/>
    <cellStyle name="40% - Accent1 2 2 4 3 3 2 5" xfId="19239" xr:uid="{00000000-0005-0000-0000-00002A4E0000}"/>
    <cellStyle name="40% - Accent1 2 2 4 3 3 3" xfId="24102" xr:uid="{00000000-0005-0000-0000-00002B4E0000}"/>
    <cellStyle name="40% - Accent1 2 2 4 3 3 4" xfId="33827" xr:uid="{00000000-0005-0000-0000-00002C4E0000}"/>
    <cellStyle name="40% - Accent1 2 2 4 3 3 5" xfId="43552" xr:uid="{00000000-0005-0000-0000-00002D4E0000}"/>
    <cellStyle name="40% - Accent1 2 2 4 3 3 6" xfId="14377" xr:uid="{00000000-0005-0000-0000-00002E4E0000}"/>
    <cellStyle name="40% - Accent1 2 2 4 3 4" xfId="6273" xr:uid="{00000000-0005-0000-0000-00002F4E0000}"/>
    <cellStyle name="40% - Accent1 2 2 4 3 4 2" xfId="25724" xr:uid="{00000000-0005-0000-0000-0000304E0000}"/>
    <cellStyle name="40% - Accent1 2 2 4 3 4 3" xfId="35449" xr:uid="{00000000-0005-0000-0000-0000314E0000}"/>
    <cellStyle name="40% - Accent1 2 2 4 3 4 4" xfId="45174" xr:uid="{00000000-0005-0000-0000-0000324E0000}"/>
    <cellStyle name="40% - Accent1 2 2 4 3 4 5" xfId="15999" xr:uid="{00000000-0005-0000-0000-0000334E0000}"/>
    <cellStyle name="40% - Accent1 2 2 4 3 5" xfId="20862" xr:uid="{00000000-0005-0000-0000-0000344E0000}"/>
    <cellStyle name="40% - Accent1 2 2 4 3 6" xfId="30587" xr:uid="{00000000-0005-0000-0000-0000354E0000}"/>
    <cellStyle name="40% - Accent1 2 2 4 3 7" xfId="40312" xr:uid="{00000000-0005-0000-0000-0000364E0000}"/>
    <cellStyle name="40% - Accent1 2 2 4 3 8" xfId="11137" xr:uid="{00000000-0005-0000-0000-0000374E0000}"/>
    <cellStyle name="40% - Accent1 2 2 4 4" xfId="581" xr:uid="{00000000-0005-0000-0000-0000384E0000}"/>
    <cellStyle name="40% - Accent1 2 2 4 4 2" xfId="2221" xr:uid="{00000000-0005-0000-0000-0000394E0000}"/>
    <cellStyle name="40% - Accent1 2 2 4 4 2 2" xfId="7083" xr:uid="{00000000-0005-0000-0000-00003A4E0000}"/>
    <cellStyle name="40% - Accent1 2 2 4 4 2 2 2" xfId="26534" xr:uid="{00000000-0005-0000-0000-00003B4E0000}"/>
    <cellStyle name="40% - Accent1 2 2 4 4 2 2 3" xfId="36259" xr:uid="{00000000-0005-0000-0000-00003C4E0000}"/>
    <cellStyle name="40% - Accent1 2 2 4 4 2 2 4" xfId="45984" xr:uid="{00000000-0005-0000-0000-00003D4E0000}"/>
    <cellStyle name="40% - Accent1 2 2 4 4 2 2 5" xfId="16809" xr:uid="{00000000-0005-0000-0000-00003E4E0000}"/>
    <cellStyle name="40% - Accent1 2 2 4 4 2 3" xfId="21672" xr:uid="{00000000-0005-0000-0000-00003F4E0000}"/>
    <cellStyle name="40% - Accent1 2 2 4 4 2 4" xfId="31397" xr:uid="{00000000-0005-0000-0000-0000404E0000}"/>
    <cellStyle name="40% - Accent1 2 2 4 4 2 5" xfId="41122" xr:uid="{00000000-0005-0000-0000-0000414E0000}"/>
    <cellStyle name="40% - Accent1 2 2 4 4 2 6" xfId="11947" xr:uid="{00000000-0005-0000-0000-0000424E0000}"/>
    <cellStyle name="40% - Accent1 2 2 4 4 3" xfId="3841" xr:uid="{00000000-0005-0000-0000-0000434E0000}"/>
    <cellStyle name="40% - Accent1 2 2 4 4 3 2" xfId="8703" xr:uid="{00000000-0005-0000-0000-0000444E0000}"/>
    <cellStyle name="40% - Accent1 2 2 4 4 3 2 2" xfId="28154" xr:uid="{00000000-0005-0000-0000-0000454E0000}"/>
    <cellStyle name="40% - Accent1 2 2 4 4 3 2 3" xfId="37879" xr:uid="{00000000-0005-0000-0000-0000464E0000}"/>
    <cellStyle name="40% - Accent1 2 2 4 4 3 2 4" xfId="47604" xr:uid="{00000000-0005-0000-0000-0000474E0000}"/>
    <cellStyle name="40% - Accent1 2 2 4 4 3 2 5" xfId="18429" xr:uid="{00000000-0005-0000-0000-0000484E0000}"/>
    <cellStyle name="40% - Accent1 2 2 4 4 3 3" xfId="23292" xr:uid="{00000000-0005-0000-0000-0000494E0000}"/>
    <cellStyle name="40% - Accent1 2 2 4 4 3 4" xfId="33017" xr:uid="{00000000-0005-0000-0000-00004A4E0000}"/>
    <cellStyle name="40% - Accent1 2 2 4 4 3 5" xfId="42742" xr:uid="{00000000-0005-0000-0000-00004B4E0000}"/>
    <cellStyle name="40% - Accent1 2 2 4 4 3 6" xfId="13567" xr:uid="{00000000-0005-0000-0000-00004C4E0000}"/>
    <cellStyle name="40% - Accent1 2 2 4 4 4" xfId="5463" xr:uid="{00000000-0005-0000-0000-00004D4E0000}"/>
    <cellStyle name="40% - Accent1 2 2 4 4 4 2" xfId="24914" xr:uid="{00000000-0005-0000-0000-00004E4E0000}"/>
    <cellStyle name="40% - Accent1 2 2 4 4 4 3" xfId="34639" xr:uid="{00000000-0005-0000-0000-00004F4E0000}"/>
    <cellStyle name="40% - Accent1 2 2 4 4 4 4" xfId="44364" xr:uid="{00000000-0005-0000-0000-0000504E0000}"/>
    <cellStyle name="40% - Accent1 2 2 4 4 4 5" xfId="15189" xr:uid="{00000000-0005-0000-0000-0000514E0000}"/>
    <cellStyle name="40% - Accent1 2 2 4 4 5" xfId="20052" xr:uid="{00000000-0005-0000-0000-0000524E0000}"/>
    <cellStyle name="40% - Accent1 2 2 4 4 6" xfId="29777" xr:uid="{00000000-0005-0000-0000-0000534E0000}"/>
    <cellStyle name="40% - Accent1 2 2 4 4 7" xfId="39502" xr:uid="{00000000-0005-0000-0000-0000544E0000}"/>
    <cellStyle name="40% - Accent1 2 2 4 4 8" xfId="10327" xr:uid="{00000000-0005-0000-0000-0000554E0000}"/>
    <cellStyle name="40% - Accent1 2 2 4 5" xfId="1861" xr:uid="{00000000-0005-0000-0000-0000564E0000}"/>
    <cellStyle name="40% - Accent1 2 2 4 5 2" xfId="6723" xr:uid="{00000000-0005-0000-0000-0000574E0000}"/>
    <cellStyle name="40% - Accent1 2 2 4 5 2 2" xfId="26174" xr:uid="{00000000-0005-0000-0000-0000584E0000}"/>
    <cellStyle name="40% - Accent1 2 2 4 5 2 3" xfId="35899" xr:uid="{00000000-0005-0000-0000-0000594E0000}"/>
    <cellStyle name="40% - Accent1 2 2 4 5 2 4" xfId="45624" xr:uid="{00000000-0005-0000-0000-00005A4E0000}"/>
    <cellStyle name="40% - Accent1 2 2 4 5 2 5" xfId="16449" xr:uid="{00000000-0005-0000-0000-00005B4E0000}"/>
    <cellStyle name="40% - Accent1 2 2 4 5 3" xfId="21312" xr:uid="{00000000-0005-0000-0000-00005C4E0000}"/>
    <cellStyle name="40% - Accent1 2 2 4 5 4" xfId="31037" xr:uid="{00000000-0005-0000-0000-00005D4E0000}"/>
    <cellStyle name="40% - Accent1 2 2 4 5 5" xfId="40762" xr:uid="{00000000-0005-0000-0000-00005E4E0000}"/>
    <cellStyle name="40% - Accent1 2 2 4 5 6" xfId="11587" xr:uid="{00000000-0005-0000-0000-00005F4E0000}"/>
    <cellStyle name="40% - Accent1 2 2 4 6" xfId="3481" xr:uid="{00000000-0005-0000-0000-0000604E0000}"/>
    <cellStyle name="40% - Accent1 2 2 4 6 2" xfId="8343" xr:uid="{00000000-0005-0000-0000-0000614E0000}"/>
    <cellStyle name="40% - Accent1 2 2 4 6 2 2" xfId="27794" xr:uid="{00000000-0005-0000-0000-0000624E0000}"/>
    <cellStyle name="40% - Accent1 2 2 4 6 2 3" xfId="37519" xr:uid="{00000000-0005-0000-0000-0000634E0000}"/>
    <cellStyle name="40% - Accent1 2 2 4 6 2 4" xfId="47244" xr:uid="{00000000-0005-0000-0000-0000644E0000}"/>
    <cellStyle name="40% - Accent1 2 2 4 6 2 5" xfId="18069" xr:uid="{00000000-0005-0000-0000-0000654E0000}"/>
    <cellStyle name="40% - Accent1 2 2 4 6 3" xfId="22932" xr:uid="{00000000-0005-0000-0000-0000664E0000}"/>
    <cellStyle name="40% - Accent1 2 2 4 6 4" xfId="32657" xr:uid="{00000000-0005-0000-0000-0000674E0000}"/>
    <cellStyle name="40% - Accent1 2 2 4 6 5" xfId="42382" xr:uid="{00000000-0005-0000-0000-0000684E0000}"/>
    <cellStyle name="40% - Accent1 2 2 4 6 6" xfId="13207" xr:uid="{00000000-0005-0000-0000-0000694E0000}"/>
    <cellStyle name="40% - Accent1 2 2 4 7" xfId="5103" xr:uid="{00000000-0005-0000-0000-00006A4E0000}"/>
    <cellStyle name="40% - Accent1 2 2 4 7 2" xfId="24554" xr:uid="{00000000-0005-0000-0000-00006B4E0000}"/>
    <cellStyle name="40% - Accent1 2 2 4 7 3" xfId="34279" xr:uid="{00000000-0005-0000-0000-00006C4E0000}"/>
    <cellStyle name="40% - Accent1 2 2 4 7 4" xfId="44004" xr:uid="{00000000-0005-0000-0000-00006D4E0000}"/>
    <cellStyle name="40% - Accent1 2 2 4 7 5" xfId="14829" xr:uid="{00000000-0005-0000-0000-00006E4E0000}"/>
    <cellStyle name="40% - Accent1 2 2 4 8" xfId="19692" xr:uid="{00000000-0005-0000-0000-00006F4E0000}"/>
    <cellStyle name="40% - Accent1 2 2 4 9" xfId="29417" xr:uid="{00000000-0005-0000-0000-0000704E0000}"/>
    <cellStyle name="40% - Accent1 2 2 5" xfId="852" xr:uid="{00000000-0005-0000-0000-0000714E0000}"/>
    <cellStyle name="40% - Accent1 2 2 5 2" xfId="2491" xr:uid="{00000000-0005-0000-0000-0000724E0000}"/>
    <cellStyle name="40% - Accent1 2 2 5 2 2" xfId="7353" xr:uid="{00000000-0005-0000-0000-0000734E0000}"/>
    <cellStyle name="40% - Accent1 2 2 5 2 2 2" xfId="26804" xr:uid="{00000000-0005-0000-0000-0000744E0000}"/>
    <cellStyle name="40% - Accent1 2 2 5 2 2 3" xfId="36529" xr:uid="{00000000-0005-0000-0000-0000754E0000}"/>
    <cellStyle name="40% - Accent1 2 2 5 2 2 4" xfId="46254" xr:uid="{00000000-0005-0000-0000-0000764E0000}"/>
    <cellStyle name="40% - Accent1 2 2 5 2 2 5" xfId="17079" xr:uid="{00000000-0005-0000-0000-0000774E0000}"/>
    <cellStyle name="40% - Accent1 2 2 5 2 3" xfId="21942" xr:uid="{00000000-0005-0000-0000-0000784E0000}"/>
    <cellStyle name="40% - Accent1 2 2 5 2 4" xfId="31667" xr:uid="{00000000-0005-0000-0000-0000794E0000}"/>
    <cellStyle name="40% - Accent1 2 2 5 2 5" xfId="41392" xr:uid="{00000000-0005-0000-0000-00007A4E0000}"/>
    <cellStyle name="40% - Accent1 2 2 5 2 6" xfId="12217" xr:uid="{00000000-0005-0000-0000-00007B4E0000}"/>
    <cellStyle name="40% - Accent1 2 2 5 3" xfId="4111" xr:uid="{00000000-0005-0000-0000-00007C4E0000}"/>
    <cellStyle name="40% - Accent1 2 2 5 3 2" xfId="8973" xr:uid="{00000000-0005-0000-0000-00007D4E0000}"/>
    <cellStyle name="40% - Accent1 2 2 5 3 2 2" xfId="28424" xr:uid="{00000000-0005-0000-0000-00007E4E0000}"/>
    <cellStyle name="40% - Accent1 2 2 5 3 2 3" xfId="38149" xr:uid="{00000000-0005-0000-0000-00007F4E0000}"/>
    <cellStyle name="40% - Accent1 2 2 5 3 2 4" xfId="47874" xr:uid="{00000000-0005-0000-0000-0000804E0000}"/>
    <cellStyle name="40% - Accent1 2 2 5 3 2 5" xfId="18699" xr:uid="{00000000-0005-0000-0000-0000814E0000}"/>
    <cellStyle name="40% - Accent1 2 2 5 3 3" xfId="23562" xr:uid="{00000000-0005-0000-0000-0000824E0000}"/>
    <cellStyle name="40% - Accent1 2 2 5 3 4" xfId="33287" xr:uid="{00000000-0005-0000-0000-0000834E0000}"/>
    <cellStyle name="40% - Accent1 2 2 5 3 5" xfId="43012" xr:uid="{00000000-0005-0000-0000-0000844E0000}"/>
    <cellStyle name="40% - Accent1 2 2 5 3 6" xfId="13837" xr:uid="{00000000-0005-0000-0000-0000854E0000}"/>
    <cellStyle name="40% - Accent1 2 2 5 4" xfId="5733" xr:uid="{00000000-0005-0000-0000-0000864E0000}"/>
    <cellStyle name="40% - Accent1 2 2 5 4 2" xfId="25184" xr:uid="{00000000-0005-0000-0000-0000874E0000}"/>
    <cellStyle name="40% - Accent1 2 2 5 4 3" xfId="34909" xr:uid="{00000000-0005-0000-0000-0000884E0000}"/>
    <cellStyle name="40% - Accent1 2 2 5 4 4" xfId="44634" xr:uid="{00000000-0005-0000-0000-0000894E0000}"/>
    <cellStyle name="40% - Accent1 2 2 5 4 5" xfId="15459" xr:uid="{00000000-0005-0000-0000-00008A4E0000}"/>
    <cellStyle name="40% - Accent1 2 2 5 5" xfId="20322" xr:uid="{00000000-0005-0000-0000-00008B4E0000}"/>
    <cellStyle name="40% - Accent1 2 2 5 6" xfId="30047" xr:uid="{00000000-0005-0000-0000-00008C4E0000}"/>
    <cellStyle name="40% - Accent1 2 2 5 7" xfId="39772" xr:uid="{00000000-0005-0000-0000-00008D4E0000}"/>
    <cellStyle name="40% - Accent1 2 2 5 8" xfId="10597" xr:uid="{00000000-0005-0000-0000-00008E4E0000}"/>
    <cellStyle name="40% - Accent1 2 2 6" xfId="1230" xr:uid="{00000000-0005-0000-0000-00008F4E0000}"/>
    <cellStyle name="40% - Accent1 2 2 6 2" xfId="2851" xr:uid="{00000000-0005-0000-0000-0000904E0000}"/>
    <cellStyle name="40% - Accent1 2 2 6 2 2" xfId="7713" xr:uid="{00000000-0005-0000-0000-0000914E0000}"/>
    <cellStyle name="40% - Accent1 2 2 6 2 2 2" xfId="27164" xr:uid="{00000000-0005-0000-0000-0000924E0000}"/>
    <cellStyle name="40% - Accent1 2 2 6 2 2 3" xfId="36889" xr:uid="{00000000-0005-0000-0000-0000934E0000}"/>
    <cellStyle name="40% - Accent1 2 2 6 2 2 4" xfId="46614" xr:uid="{00000000-0005-0000-0000-0000944E0000}"/>
    <cellStyle name="40% - Accent1 2 2 6 2 2 5" xfId="17439" xr:uid="{00000000-0005-0000-0000-0000954E0000}"/>
    <cellStyle name="40% - Accent1 2 2 6 2 3" xfId="22302" xr:uid="{00000000-0005-0000-0000-0000964E0000}"/>
    <cellStyle name="40% - Accent1 2 2 6 2 4" xfId="32027" xr:uid="{00000000-0005-0000-0000-0000974E0000}"/>
    <cellStyle name="40% - Accent1 2 2 6 2 5" xfId="41752" xr:uid="{00000000-0005-0000-0000-0000984E0000}"/>
    <cellStyle name="40% - Accent1 2 2 6 2 6" xfId="12577" xr:uid="{00000000-0005-0000-0000-0000994E0000}"/>
    <cellStyle name="40% - Accent1 2 2 6 3" xfId="4471" xr:uid="{00000000-0005-0000-0000-00009A4E0000}"/>
    <cellStyle name="40% - Accent1 2 2 6 3 2" xfId="9333" xr:uid="{00000000-0005-0000-0000-00009B4E0000}"/>
    <cellStyle name="40% - Accent1 2 2 6 3 2 2" xfId="28784" xr:uid="{00000000-0005-0000-0000-00009C4E0000}"/>
    <cellStyle name="40% - Accent1 2 2 6 3 2 3" xfId="38509" xr:uid="{00000000-0005-0000-0000-00009D4E0000}"/>
    <cellStyle name="40% - Accent1 2 2 6 3 2 4" xfId="48234" xr:uid="{00000000-0005-0000-0000-00009E4E0000}"/>
    <cellStyle name="40% - Accent1 2 2 6 3 2 5" xfId="19059" xr:uid="{00000000-0005-0000-0000-00009F4E0000}"/>
    <cellStyle name="40% - Accent1 2 2 6 3 3" xfId="23922" xr:uid="{00000000-0005-0000-0000-0000A04E0000}"/>
    <cellStyle name="40% - Accent1 2 2 6 3 4" xfId="33647" xr:uid="{00000000-0005-0000-0000-0000A14E0000}"/>
    <cellStyle name="40% - Accent1 2 2 6 3 5" xfId="43372" xr:uid="{00000000-0005-0000-0000-0000A24E0000}"/>
    <cellStyle name="40% - Accent1 2 2 6 3 6" xfId="14197" xr:uid="{00000000-0005-0000-0000-0000A34E0000}"/>
    <cellStyle name="40% - Accent1 2 2 6 4" xfId="6093" xr:uid="{00000000-0005-0000-0000-0000A44E0000}"/>
    <cellStyle name="40% - Accent1 2 2 6 4 2" xfId="25544" xr:uid="{00000000-0005-0000-0000-0000A54E0000}"/>
    <cellStyle name="40% - Accent1 2 2 6 4 3" xfId="35269" xr:uid="{00000000-0005-0000-0000-0000A64E0000}"/>
    <cellStyle name="40% - Accent1 2 2 6 4 4" xfId="44994" xr:uid="{00000000-0005-0000-0000-0000A74E0000}"/>
    <cellStyle name="40% - Accent1 2 2 6 4 5" xfId="15819" xr:uid="{00000000-0005-0000-0000-0000A84E0000}"/>
    <cellStyle name="40% - Accent1 2 2 6 5" xfId="20682" xr:uid="{00000000-0005-0000-0000-0000A94E0000}"/>
    <cellStyle name="40% - Accent1 2 2 6 6" xfId="30407" xr:uid="{00000000-0005-0000-0000-0000AA4E0000}"/>
    <cellStyle name="40% - Accent1 2 2 6 7" xfId="40132" xr:uid="{00000000-0005-0000-0000-0000AB4E0000}"/>
    <cellStyle name="40% - Accent1 2 2 6 8" xfId="10957" xr:uid="{00000000-0005-0000-0000-0000AC4E0000}"/>
    <cellStyle name="40% - Accent1 2 2 7" xfId="1320" xr:uid="{00000000-0005-0000-0000-0000AD4E0000}"/>
    <cellStyle name="40% - Accent1 2 2 7 2" xfId="2941" xr:uid="{00000000-0005-0000-0000-0000AE4E0000}"/>
    <cellStyle name="40% - Accent1 2 2 7 2 2" xfId="7803" xr:uid="{00000000-0005-0000-0000-0000AF4E0000}"/>
    <cellStyle name="40% - Accent1 2 2 7 2 2 2" xfId="27254" xr:uid="{00000000-0005-0000-0000-0000B04E0000}"/>
    <cellStyle name="40% - Accent1 2 2 7 2 2 3" xfId="36979" xr:uid="{00000000-0005-0000-0000-0000B14E0000}"/>
    <cellStyle name="40% - Accent1 2 2 7 2 2 4" xfId="46704" xr:uid="{00000000-0005-0000-0000-0000B24E0000}"/>
    <cellStyle name="40% - Accent1 2 2 7 2 2 5" xfId="17529" xr:uid="{00000000-0005-0000-0000-0000B34E0000}"/>
    <cellStyle name="40% - Accent1 2 2 7 2 3" xfId="22392" xr:uid="{00000000-0005-0000-0000-0000B44E0000}"/>
    <cellStyle name="40% - Accent1 2 2 7 2 4" xfId="32117" xr:uid="{00000000-0005-0000-0000-0000B54E0000}"/>
    <cellStyle name="40% - Accent1 2 2 7 2 5" xfId="41842" xr:uid="{00000000-0005-0000-0000-0000B64E0000}"/>
    <cellStyle name="40% - Accent1 2 2 7 2 6" xfId="12667" xr:uid="{00000000-0005-0000-0000-0000B74E0000}"/>
    <cellStyle name="40% - Accent1 2 2 7 3" xfId="4561" xr:uid="{00000000-0005-0000-0000-0000B84E0000}"/>
    <cellStyle name="40% - Accent1 2 2 7 3 2" xfId="9423" xr:uid="{00000000-0005-0000-0000-0000B94E0000}"/>
    <cellStyle name="40% - Accent1 2 2 7 3 2 2" xfId="28874" xr:uid="{00000000-0005-0000-0000-0000BA4E0000}"/>
    <cellStyle name="40% - Accent1 2 2 7 3 2 3" xfId="38599" xr:uid="{00000000-0005-0000-0000-0000BB4E0000}"/>
    <cellStyle name="40% - Accent1 2 2 7 3 2 4" xfId="48324" xr:uid="{00000000-0005-0000-0000-0000BC4E0000}"/>
    <cellStyle name="40% - Accent1 2 2 7 3 2 5" xfId="19149" xr:uid="{00000000-0005-0000-0000-0000BD4E0000}"/>
    <cellStyle name="40% - Accent1 2 2 7 3 3" xfId="24012" xr:uid="{00000000-0005-0000-0000-0000BE4E0000}"/>
    <cellStyle name="40% - Accent1 2 2 7 3 4" xfId="33737" xr:uid="{00000000-0005-0000-0000-0000BF4E0000}"/>
    <cellStyle name="40% - Accent1 2 2 7 3 5" xfId="43462" xr:uid="{00000000-0005-0000-0000-0000C04E0000}"/>
    <cellStyle name="40% - Accent1 2 2 7 3 6" xfId="14287" xr:uid="{00000000-0005-0000-0000-0000C14E0000}"/>
    <cellStyle name="40% - Accent1 2 2 7 4" xfId="6183" xr:uid="{00000000-0005-0000-0000-0000C24E0000}"/>
    <cellStyle name="40% - Accent1 2 2 7 4 2" xfId="25634" xr:uid="{00000000-0005-0000-0000-0000C34E0000}"/>
    <cellStyle name="40% - Accent1 2 2 7 4 3" xfId="35359" xr:uid="{00000000-0005-0000-0000-0000C44E0000}"/>
    <cellStyle name="40% - Accent1 2 2 7 4 4" xfId="45084" xr:uid="{00000000-0005-0000-0000-0000C54E0000}"/>
    <cellStyle name="40% - Accent1 2 2 7 4 5" xfId="15909" xr:uid="{00000000-0005-0000-0000-0000C64E0000}"/>
    <cellStyle name="40% - Accent1 2 2 7 5" xfId="20772" xr:uid="{00000000-0005-0000-0000-0000C74E0000}"/>
    <cellStyle name="40% - Accent1 2 2 7 6" xfId="30497" xr:uid="{00000000-0005-0000-0000-0000C84E0000}"/>
    <cellStyle name="40% - Accent1 2 2 7 7" xfId="40222" xr:uid="{00000000-0005-0000-0000-0000C94E0000}"/>
    <cellStyle name="40% - Accent1 2 2 7 8" xfId="11047" xr:uid="{00000000-0005-0000-0000-0000CA4E0000}"/>
    <cellStyle name="40% - Accent1 2 2 8" xfId="491" xr:uid="{00000000-0005-0000-0000-0000CB4E0000}"/>
    <cellStyle name="40% - Accent1 2 2 8 2" xfId="2131" xr:uid="{00000000-0005-0000-0000-0000CC4E0000}"/>
    <cellStyle name="40% - Accent1 2 2 8 2 2" xfId="6993" xr:uid="{00000000-0005-0000-0000-0000CD4E0000}"/>
    <cellStyle name="40% - Accent1 2 2 8 2 2 2" xfId="26444" xr:uid="{00000000-0005-0000-0000-0000CE4E0000}"/>
    <cellStyle name="40% - Accent1 2 2 8 2 2 3" xfId="36169" xr:uid="{00000000-0005-0000-0000-0000CF4E0000}"/>
    <cellStyle name="40% - Accent1 2 2 8 2 2 4" xfId="45894" xr:uid="{00000000-0005-0000-0000-0000D04E0000}"/>
    <cellStyle name="40% - Accent1 2 2 8 2 2 5" xfId="16719" xr:uid="{00000000-0005-0000-0000-0000D14E0000}"/>
    <cellStyle name="40% - Accent1 2 2 8 2 3" xfId="21582" xr:uid="{00000000-0005-0000-0000-0000D24E0000}"/>
    <cellStyle name="40% - Accent1 2 2 8 2 4" xfId="31307" xr:uid="{00000000-0005-0000-0000-0000D34E0000}"/>
    <cellStyle name="40% - Accent1 2 2 8 2 5" xfId="41032" xr:uid="{00000000-0005-0000-0000-0000D44E0000}"/>
    <cellStyle name="40% - Accent1 2 2 8 2 6" xfId="11857" xr:uid="{00000000-0005-0000-0000-0000D54E0000}"/>
    <cellStyle name="40% - Accent1 2 2 8 3" xfId="3751" xr:uid="{00000000-0005-0000-0000-0000D64E0000}"/>
    <cellStyle name="40% - Accent1 2 2 8 3 2" xfId="8613" xr:uid="{00000000-0005-0000-0000-0000D74E0000}"/>
    <cellStyle name="40% - Accent1 2 2 8 3 2 2" xfId="28064" xr:uid="{00000000-0005-0000-0000-0000D84E0000}"/>
    <cellStyle name="40% - Accent1 2 2 8 3 2 3" xfId="37789" xr:uid="{00000000-0005-0000-0000-0000D94E0000}"/>
    <cellStyle name="40% - Accent1 2 2 8 3 2 4" xfId="47514" xr:uid="{00000000-0005-0000-0000-0000DA4E0000}"/>
    <cellStyle name="40% - Accent1 2 2 8 3 2 5" xfId="18339" xr:uid="{00000000-0005-0000-0000-0000DB4E0000}"/>
    <cellStyle name="40% - Accent1 2 2 8 3 3" xfId="23202" xr:uid="{00000000-0005-0000-0000-0000DC4E0000}"/>
    <cellStyle name="40% - Accent1 2 2 8 3 4" xfId="32927" xr:uid="{00000000-0005-0000-0000-0000DD4E0000}"/>
    <cellStyle name="40% - Accent1 2 2 8 3 5" xfId="42652" xr:uid="{00000000-0005-0000-0000-0000DE4E0000}"/>
    <cellStyle name="40% - Accent1 2 2 8 3 6" xfId="13477" xr:uid="{00000000-0005-0000-0000-0000DF4E0000}"/>
    <cellStyle name="40% - Accent1 2 2 8 4" xfId="5373" xr:uid="{00000000-0005-0000-0000-0000E04E0000}"/>
    <cellStyle name="40% - Accent1 2 2 8 4 2" xfId="24824" xr:uid="{00000000-0005-0000-0000-0000E14E0000}"/>
    <cellStyle name="40% - Accent1 2 2 8 4 3" xfId="34549" xr:uid="{00000000-0005-0000-0000-0000E24E0000}"/>
    <cellStyle name="40% - Accent1 2 2 8 4 4" xfId="44274" xr:uid="{00000000-0005-0000-0000-0000E34E0000}"/>
    <cellStyle name="40% - Accent1 2 2 8 4 5" xfId="15099" xr:uid="{00000000-0005-0000-0000-0000E44E0000}"/>
    <cellStyle name="40% - Accent1 2 2 8 5" xfId="19962" xr:uid="{00000000-0005-0000-0000-0000E54E0000}"/>
    <cellStyle name="40% - Accent1 2 2 8 6" xfId="29687" xr:uid="{00000000-0005-0000-0000-0000E64E0000}"/>
    <cellStyle name="40% - Accent1 2 2 8 7" xfId="39412" xr:uid="{00000000-0005-0000-0000-0000E74E0000}"/>
    <cellStyle name="40% - Accent1 2 2 8 8" xfId="10237" xr:uid="{00000000-0005-0000-0000-0000E84E0000}"/>
    <cellStyle name="40% - Accent1 2 2 9" xfId="1680" xr:uid="{00000000-0005-0000-0000-0000E94E0000}"/>
    <cellStyle name="40% - Accent1 2 2 9 2" xfId="3301" xr:uid="{00000000-0005-0000-0000-0000EA4E0000}"/>
    <cellStyle name="40% - Accent1 2 2 9 2 2" xfId="8163" xr:uid="{00000000-0005-0000-0000-0000EB4E0000}"/>
    <cellStyle name="40% - Accent1 2 2 9 2 2 2" xfId="27614" xr:uid="{00000000-0005-0000-0000-0000EC4E0000}"/>
    <cellStyle name="40% - Accent1 2 2 9 2 2 3" xfId="37339" xr:uid="{00000000-0005-0000-0000-0000ED4E0000}"/>
    <cellStyle name="40% - Accent1 2 2 9 2 2 4" xfId="47064" xr:uid="{00000000-0005-0000-0000-0000EE4E0000}"/>
    <cellStyle name="40% - Accent1 2 2 9 2 2 5" xfId="17889" xr:uid="{00000000-0005-0000-0000-0000EF4E0000}"/>
    <cellStyle name="40% - Accent1 2 2 9 2 3" xfId="22752" xr:uid="{00000000-0005-0000-0000-0000F04E0000}"/>
    <cellStyle name="40% - Accent1 2 2 9 2 4" xfId="32477" xr:uid="{00000000-0005-0000-0000-0000F14E0000}"/>
    <cellStyle name="40% - Accent1 2 2 9 2 5" xfId="42202" xr:uid="{00000000-0005-0000-0000-0000F24E0000}"/>
    <cellStyle name="40% - Accent1 2 2 9 2 6" xfId="13027" xr:uid="{00000000-0005-0000-0000-0000F34E0000}"/>
    <cellStyle name="40% - Accent1 2 2 9 3" xfId="4921" xr:uid="{00000000-0005-0000-0000-0000F44E0000}"/>
    <cellStyle name="40% - Accent1 2 2 9 3 2" xfId="9783" xr:uid="{00000000-0005-0000-0000-0000F54E0000}"/>
    <cellStyle name="40% - Accent1 2 2 9 3 2 2" xfId="29234" xr:uid="{00000000-0005-0000-0000-0000F64E0000}"/>
    <cellStyle name="40% - Accent1 2 2 9 3 2 3" xfId="38959" xr:uid="{00000000-0005-0000-0000-0000F74E0000}"/>
    <cellStyle name="40% - Accent1 2 2 9 3 2 4" xfId="48684" xr:uid="{00000000-0005-0000-0000-0000F84E0000}"/>
    <cellStyle name="40% - Accent1 2 2 9 3 2 5" xfId="19509" xr:uid="{00000000-0005-0000-0000-0000F94E0000}"/>
    <cellStyle name="40% - Accent1 2 2 9 3 3" xfId="24372" xr:uid="{00000000-0005-0000-0000-0000FA4E0000}"/>
    <cellStyle name="40% - Accent1 2 2 9 3 4" xfId="34097" xr:uid="{00000000-0005-0000-0000-0000FB4E0000}"/>
    <cellStyle name="40% - Accent1 2 2 9 3 5" xfId="43822" xr:uid="{00000000-0005-0000-0000-0000FC4E0000}"/>
    <cellStyle name="40% - Accent1 2 2 9 3 6" xfId="14647" xr:uid="{00000000-0005-0000-0000-0000FD4E0000}"/>
    <cellStyle name="40% - Accent1 2 2 9 4" xfId="6543" xr:uid="{00000000-0005-0000-0000-0000FE4E0000}"/>
    <cellStyle name="40% - Accent1 2 2 9 4 2" xfId="25994" xr:uid="{00000000-0005-0000-0000-0000FF4E0000}"/>
    <cellStyle name="40% - Accent1 2 2 9 4 3" xfId="35719" xr:uid="{00000000-0005-0000-0000-0000004F0000}"/>
    <cellStyle name="40% - Accent1 2 2 9 4 4" xfId="45444" xr:uid="{00000000-0005-0000-0000-0000014F0000}"/>
    <cellStyle name="40% - Accent1 2 2 9 4 5" xfId="16269" xr:uid="{00000000-0005-0000-0000-0000024F0000}"/>
    <cellStyle name="40% - Accent1 2 2 9 5" xfId="21132" xr:uid="{00000000-0005-0000-0000-0000034F0000}"/>
    <cellStyle name="40% - Accent1 2 2 9 6" xfId="30857" xr:uid="{00000000-0005-0000-0000-0000044F0000}"/>
    <cellStyle name="40% - Accent1 2 2 9 7" xfId="40582" xr:uid="{00000000-0005-0000-0000-0000054F0000}"/>
    <cellStyle name="40% - Accent1 2 2 9 8" xfId="11407" xr:uid="{00000000-0005-0000-0000-0000064F0000}"/>
    <cellStyle name="40% - Accent1 2 3" xfId="117" xr:uid="{00000000-0005-0000-0000-0000074F0000}"/>
    <cellStyle name="40% - Accent1 2 3 10" xfId="1801" xr:uid="{00000000-0005-0000-0000-0000084F0000}"/>
    <cellStyle name="40% - Accent1 2 3 10 2" xfId="6663" xr:uid="{00000000-0005-0000-0000-0000094F0000}"/>
    <cellStyle name="40% - Accent1 2 3 10 2 2" xfId="26114" xr:uid="{00000000-0005-0000-0000-00000A4F0000}"/>
    <cellStyle name="40% - Accent1 2 3 10 2 3" xfId="35839" xr:uid="{00000000-0005-0000-0000-00000B4F0000}"/>
    <cellStyle name="40% - Accent1 2 3 10 2 4" xfId="45564" xr:uid="{00000000-0005-0000-0000-00000C4F0000}"/>
    <cellStyle name="40% - Accent1 2 3 10 2 5" xfId="16389" xr:uid="{00000000-0005-0000-0000-00000D4F0000}"/>
    <cellStyle name="40% - Accent1 2 3 10 3" xfId="21252" xr:uid="{00000000-0005-0000-0000-00000E4F0000}"/>
    <cellStyle name="40% - Accent1 2 3 10 4" xfId="30977" xr:uid="{00000000-0005-0000-0000-00000F4F0000}"/>
    <cellStyle name="40% - Accent1 2 3 10 5" xfId="40702" xr:uid="{00000000-0005-0000-0000-0000104F0000}"/>
    <cellStyle name="40% - Accent1 2 3 10 6" xfId="11527" xr:uid="{00000000-0005-0000-0000-0000114F0000}"/>
    <cellStyle name="40% - Accent1 2 3 11" xfId="3421" xr:uid="{00000000-0005-0000-0000-0000124F0000}"/>
    <cellStyle name="40% - Accent1 2 3 11 2" xfId="8283" xr:uid="{00000000-0005-0000-0000-0000134F0000}"/>
    <cellStyle name="40% - Accent1 2 3 11 2 2" xfId="27734" xr:uid="{00000000-0005-0000-0000-0000144F0000}"/>
    <cellStyle name="40% - Accent1 2 3 11 2 3" xfId="37459" xr:uid="{00000000-0005-0000-0000-0000154F0000}"/>
    <cellStyle name="40% - Accent1 2 3 11 2 4" xfId="47184" xr:uid="{00000000-0005-0000-0000-0000164F0000}"/>
    <cellStyle name="40% - Accent1 2 3 11 2 5" xfId="18009" xr:uid="{00000000-0005-0000-0000-0000174F0000}"/>
    <cellStyle name="40% - Accent1 2 3 11 3" xfId="22872" xr:uid="{00000000-0005-0000-0000-0000184F0000}"/>
    <cellStyle name="40% - Accent1 2 3 11 4" xfId="32597" xr:uid="{00000000-0005-0000-0000-0000194F0000}"/>
    <cellStyle name="40% - Accent1 2 3 11 5" xfId="42322" xr:uid="{00000000-0005-0000-0000-00001A4F0000}"/>
    <cellStyle name="40% - Accent1 2 3 11 6" xfId="13147" xr:uid="{00000000-0005-0000-0000-00001B4F0000}"/>
    <cellStyle name="40% - Accent1 2 3 12" xfId="5043" xr:uid="{00000000-0005-0000-0000-00001C4F0000}"/>
    <cellStyle name="40% - Accent1 2 3 12 2" xfId="24494" xr:uid="{00000000-0005-0000-0000-00001D4F0000}"/>
    <cellStyle name="40% - Accent1 2 3 12 3" xfId="34219" xr:uid="{00000000-0005-0000-0000-00001E4F0000}"/>
    <cellStyle name="40% - Accent1 2 3 12 4" xfId="43944" xr:uid="{00000000-0005-0000-0000-00001F4F0000}"/>
    <cellStyle name="40% - Accent1 2 3 12 5" xfId="14769" xr:uid="{00000000-0005-0000-0000-0000204F0000}"/>
    <cellStyle name="40% - Accent1 2 3 13" xfId="19632" xr:uid="{00000000-0005-0000-0000-0000214F0000}"/>
    <cellStyle name="40% - Accent1 2 3 14" xfId="29357" xr:uid="{00000000-0005-0000-0000-0000224F0000}"/>
    <cellStyle name="40% - Accent1 2 3 15" xfId="39082" xr:uid="{00000000-0005-0000-0000-0000234F0000}"/>
    <cellStyle name="40% - Accent1 2 3 16" xfId="9907" xr:uid="{00000000-0005-0000-0000-0000244F0000}"/>
    <cellStyle name="40% - Accent1 2 3 2" xfId="299" xr:uid="{00000000-0005-0000-0000-0000254F0000}"/>
    <cellStyle name="40% - Accent1 2 3 2 10" xfId="39262" xr:uid="{00000000-0005-0000-0000-0000264F0000}"/>
    <cellStyle name="40% - Accent1 2 3 2 11" xfId="10087" xr:uid="{00000000-0005-0000-0000-0000274F0000}"/>
    <cellStyle name="40% - Accent1 2 3 2 2" xfId="1063" xr:uid="{00000000-0005-0000-0000-0000284F0000}"/>
    <cellStyle name="40% - Accent1 2 3 2 2 2" xfId="2701" xr:uid="{00000000-0005-0000-0000-0000294F0000}"/>
    <cellStyle name="40% - Accent1 2 3 2 2 2 2" xfId="7563" xr:uid="{00000000-0005-0000-0000-00002A4F0000}"/>
    <cellStyle name="40% - Accent1 2 3 2 2 2 2 2" xfId="27014" xr:uid="{00000000-0005-0000-0000-00002B4F0000}"/>
    <cellStyle name="40% - Accent1 2 3 2 2 2 2 3" xfId="36739" xr:uid="{00000000-0005-0000-0000-00002C4F0000}"/>
    <cellStyle name="40% - Accent1 2 3 2 2 2 2 4" xfId="46464" xr:uid="{00000000-0005-0000-0000-00002D4F0000}"/>
    <cellStyle name="40% - Accent1 2 3 2 2 2 2 5" xfId="17289" xr:uid="{00000000-0005-0000-0000-00002E4F0000}"/>
    <cellStyle name="40% - Accent1 2 3 2 2 2 3" xfId="22152" xr:uid="{00000000-0005-0000-0000-00002F4F0000}"/>
    <cellStyle name="40% - Accent1 2 3 2 2 2 4" xfId="31877" xr:uid="{00000000-0005-0000-0000-0000304F0000}"/>
    <cellStyle name="40% - Accent1 2 3 2 2 2 5" xfId="41602" xr:uid="{00000000-0005-0000-0000-0000314F0000}"/>
    <cellStyle name="40% - Accent1 2 3 2 2 2 6" xfId="12427" xr:uid="{00000000-0005-0000-0000-0000324F0000}"/>
    <cellStyle name="40% - Accent1 2 3 2 2 3" xfId="4321" xr:uid="{00000000-0005-0000-0000-0000334F0000}"/>
    <cellStyle name="40% - Accent1 2 3 2 2 3 2" xfId="9183" xr:uid="{00000000-0005-0000-0000-0000344F0000}"/>
    <cellStyle name="40% - Accent1 2 3 2 2 3 2 2" xfId="28634" xr:uid="{00000000-0005-0000-0000-0000354F0000}"/>
    <cellStyle name="40% - Accent1 2 3 2 2 3 2 3" xfId="38359" xr:uid="{00000000-0005-0000-0000-0000364F0000}"/>
    <cellStyle name="40% - Accent1 2 3 2 2 3 2 4" xfId="48084" xr:uid="{00000000-0005-0000-0000-0000374F0000}"/>
    <cellStyle name="40% - Accent1 2 3 2 2 3 2 5" xfId="18909" xr:uid="{00000000-0005-0000-0000-0000384F0000}"/>
    <cellStyle name="40% - Accent1 2 3 2 2 3 3" xfId="23772" xr:uid="{00000000-0005-0000-0000-0000394F0000}"/>
    <cellStyle name="40% - Accent1 2 3 2 2 3 4" xfId="33497" xr:uid="{00000000-0005-0000-0000-00003A4F0000}"/>
    <cellStyle name="40% - Accent1 2 3 2 2 3 5" xfId="43222" xr:uid="{00000000-0005-0000-0000-00003B4F0000}"/>
    <cellStyle name="40% - Accent1 2 3 2 2 3 6" xfId="14047" xr:uid="{00000000-0005-0000-0000-00003C4F0000}"/>
    <cellStyle name="40% - Accent1 2 3 2 2 4" xfId="5943" xr:uid="{00000000-0005-0000-0000-00003D4F0000}"/>
    <cellStyle name="40% - Accent1 2 3 2 2 4 2" xfId="25394" xr:uid="{00000000-0005-0000-0000-00003E4F0000}"/>
    <cellStyle name="40% - Accent1 2 3 2 2 4 3" xfId="35119" xr:uid="{00000000-0005-0000-0000-00003F4F0000}"/>
    <cellStyle name="40% - Accent1 2 3 2 2 4 4" xfId="44844" xr:uid="{00000000-0005-0000-0000-0000404F0000}"/>
    <cellStyle name="40% - Accent1 2 3 2 2 4 5" xfId="15669" xr:uid="{00000000-0005-0000-0000-0000414F0000}"/>
    <cellStyle name="40% - Accent1 2 3 2 2 5" xfId="20532" xr:uid="{00000000-0005-0000-0000-0000424F0000}"/>
    <cellStyle name="40% - Accent1 2 3 2 2 6" xfId="30257" xr:uid="{00000000-0005-0000-0000-0000434F0000}"/>
    <cellStyle name="40% - Accent1 2 3 2 2 7" xfId="39982" xr:uid="{00000000-0005-0000-0000-0000444F0000}"/>
    <cellStyle name="40% - Accent1 2 3 2 2 8" xfId="10807" xr:uid="{00000000-0005-0000-0000-0000454F0000}"/>
    <cellStyle name="40% - Accent1 2 3 2 3" xfId="1530" xr:uid="{00000000-0005-0000-0000-0000464F0000}"/>
    <cellStyle name="40% - Accent1 2 3 2 3 2" xfId="3151" xr:uid="{00000000-0005-0000-0000-0000474F0000}"/>
    <cellStyle name="40% - Accent1 2 3 2 3 2 2" xfId="8013" xr:uid="{00000000-0005-0000-0000-0000484F0000}"/>
    <cellStyle name="40% - Accent1 2 3 2 3 2 2 2" xfId="27464" xr:uid="{00000000-0005-0000-0000-0000494F0000}"/>
    <cellStyle name="40% - Accent1 2 3 2 3 2 2 3" xfId="37189" xr:uid="{00000000-0005-0000-0000-00004A4F0000}"/>
    <cellStyle name="40% - Accent1 2 3 2 3 2 2 4" xfId="46914" xr:uid="{00000000-0005-0000-0000-00004B4F0000}"/>
    <cellStyle name="40% - Accent1 2 3 2 3 2 2 5" xfId="17739" xr:uid="{00000000-0005-0000-0000-00004C4F0000}"/>
    <cellStyle name="40% - Accent1 2 3 2 3 2 3" xfId="22602" xr:uid="{00000000-0005-0000-0000-00004D4F0000}"/>
    <cellStyle name="40% - Accent1 2 3 2 3 2 4" xfId="32327" xr:uid="{00000000-0005-0000-0000-00004E4F0000}"/>
    <cellStyle name="40% - Accent1 2 3 2 3 2 5" xfId="42052" xr:uid="{00000000-0005-0000-0000-00004F4F0000}"/>
    <cellStyle name="40% - Accent1 2 3 2 3 2 6" xfId="12877" xr:uid="{00000000-0005-0000-0000-0000504F0000}"/>
    <cellStyle name="40% - Accent1 2 3 2 3 3" xfId="4771" xr:uid="{00000000-0005-0000-0000-0000514F0000}"/>
    <cellStyle name="40% - Accent1 2 3 2 3 3 2" xfId="9633" xr:uid="{00000000-0005-0000-0000-0000524F0000}"/>
    <cellStyle name="40% - Accent1 2 3 2 3 3 2 2" xfId="29084" xr:uid="{00000000-0005-0000-0000-0000534F0000}"/>
    <cellStyle name="40% - Accent1 2 3 2 3 3 2 3" xfId="38809" xr:uid="{00000000-0005-0000-0000-0000544F0000}"/>
    <cellStyle name="40% - Accent1 2 3 2 3 3 2 4" xfId="48534" xr:uid="{00000000-0005-0000-0000-0000554F0000}"/>
    <cellStyle name="40% - Accent1 2 3 2 3 3 2 5" xfId="19359" xr:uid="{00000000-0005-0000-0000-0000564F0000}"/>
    <cellStyle name="40% - Accent1 2 3 2 3 3 3" xfId="24222" xr:uid="{00000000-0005-0000-0000-0000574F0000}"/>
    <cellStyle name="40% - Accent1 2 3 2 3 3 4" xfId="33947" xr:uid="{00000000-0005-0000-0000-0000584F0000}"/>
    <cellStyle name="40% - Accent1 2 3 2 3 3 5" xfId="43672" xr:uid="{00000000-0005-0000-0000-0000594F0000}"/>
    <cellStyle name="40% - Accent1 2 3 2 3 3 6" xfId="14497" xr:uid="{00000000-0005-0000-0000-00005A4F0000}"/>
    <cellStyle name="40% - Accent1 2 3 2 3 4" xfId="6393" xr:uid="{00000000-0005-0000-0000-00005B4F0000}"/>
    <cellStyle name="40% - Accent1 2 3 2 3 4 2" xfId="25844" xr:uid="{00000000-0005-0000-0000-00005C4F0000}"/>
    <cellStyle name="40% - Accent1 2 3 2 3 4 3" xfId="35569" xr:uid="{00000000-0005-0000-0000-00005D4F0000}"/>
    <cellStyle name="40% - Accent1 2 3 2 3 4 4" xfId="45294" xr:uid="{00000000-0005-0000-0000-00005E4F0000}"/>
    <cellStyle name="40% - Accent1 2 3 2 3 4 5" xfId="16119" xr:uid="{00000000-0005-0000-0000-00005F4F0000}"/>
    <cellStyle name="40% - Accent1 2 3 2 3 5" xfId="20982" xr:uid="{00000000-0005-0000-0000-0000604F0000}"/>
    <cellStyle name="40% - Accent1 2 3 2 3 6" xfId="30707" xr:uid="{00000000-0005-0000-0000-0000614F0000}"/>
    <cellStyle name="40% - Accent1 2 3 2 3 7" xfId="40432" xr:uid="{00000000-0005-0000-0000-0000624F0000}"/>
    <cellStyle name="40% - Accent1 2 3 2 3 8" xfId="11257" xr:uid="{00000000-0005-0000-0000-0000634F0000}"/>
    <cellStyle name="40% - Accent1 2 3 2 4" xfId="701" xr:uid="{00000000-0005-0000-0000-0000644F0000}"/>
    <cellStyle name="40% - Accent1 2 3 2 4 2" xfId="2341" xr:uid="{00000000-0005-0000-0000-0000654F0000}"/>
    <cellStyle name="40% - Accent1 2 3 2 4 2 2" xfId="7203" xr:uid="{00000000-0005-0000-0000-0000664F0000}"/>
    <cellStyle name="40% - Accent1 2 3 2 4 2 2 2" xfId="26654" xr:uid="{00000000-0005-0000-0000-0000674F0000}"/>
    <cellStyle name="40% - Accent1 2 3 2 4 2 2 3" xfId="36379" xr:uid="{00000000-0005-0000-0000-0000684F0000}"/>
    <cellStyle name="40% - Accent1 2 3 2 4 2 2 4" xfId="46104" xr:uid="{00000000-0005-0000-0000-0000694F0000}"/>
    <cellStyle name="40% - Accent1 2 3 2 4 2 2 5" xfId="16929" xr:uid="{00000000-0005-0000-0000-00006A4F0000}"/>
    <cellStyle name="40% - Accent1 2 3 2 4 2 3" xfId="21792" xr:uid="{00000000-0005-0000-0000-00006B4F0000}"/>
    <cellStyle name="40% - Accent1 2 3 2 4 2 4" xfId="31517" xr:uid="{00000000-0005-0000-0000-00006C4F0000}"/>
    <cellStyle name="40% - Accent1 2 3 2 4 2 5" xfId="41242" xr:uid="{00000000-0005-0000-0000-00006D4F0000}"/>
    <cellStyle name="40% - Accent1 2 3 2 4 2 6" xfId="12067" xr:uid="{00000000-0005-0000-0000-00006E4F0000}"/>
    <cellStyle name="40% - Accent1 2 3 2 4 3" xfId="3961" xr:uid="{00000000-0005-0000-0000-00006F4F0000}"/>
    <cellStyle name="40% - Accent1 2 3 2 4 3 2" xfId="8823" xr:uid="{00000000-0005-0000-0000-0000704F0000}"/>
    <cellStyle name="40% - Accent1 2 3 2 4 3 2 2" xfId="28274" xr:uid="{00000000-0005-0000-0000-0000714F0000}"/>
    <cellStyle name="40% - Accent1 2 3 2 4 3 2 3" xfId="37999" xr:uid="{00000000-0005-0000-0000-0000724F0000}"/>
    <cellStyle name="40% - Accent1 2 3 2 4 3 2 4" xfId="47724" xr:uid="{00000000-0005-0000-0000-0000734F0000}"/>
    <cellStyle name="40% - Accent1 2 3 2 4 3 2 5" xfId="18549" xr:uid="{00000000-0005-0000-0000-0000744F0000}"/>
    <cellStyle name="40% - Accent1 2 3 2 4 3 3" xfId="23412" xr:uid="{00000000-0005-0000-0000-0000754F0000}"/>
    <cellStyle name="40% - Accent1 2 3 2 4 3 4" xfId="33137" xr:uid="{00000000-0005-0000-0000-0000764F0000}"/>
    <cellStyle name="40% - Accent1 2 3 2 4 3 5" xfId="42862" xr:uid="{00000000-0005-0000-0000-0000774F0000}"/>
    <cellStyle name="40% - Accent1 2 3 2 4 3 6" xfId="13687" xr:uid="{00000000-0005-0000-0000-0000784F0000}"/>
    <cellStyle name="40% - Accent1 2 3 2 4 4" xfId="5583" xr:uid="{00000000-0005-0000-0000-0000794F0000}"/>
    <cellStyle name="40% - Accent1 2 3 2 4 4 2" xfId="25034" xr:uid="{00000000-0005-0000-0000-00007A4F0000}"/>
    <cellStyle name="40% - Accent1 2 3 2 4 4 3" xfId="34759" xr:uid="{00000000-0005-0000-0000-00007B4F0000}"/>
    <cellStyle name="40% - Accent1 2 3 2 4 4 4" xfId="44484" xr:uid="{00000000-0005-0000-0000-00007C4F0000}"/>
    <cellStyle name="40% - Accent1 2 3 2 4 4 5" xfId="15309" xr:uid="{00000000-0005-0000-0000-00007D4F0000}"/>
    <cellStyle name="40% - Accent1 2 3 2 4 5" xfId="20172" xr:uid="{00000000-0005-0000-0000-00007E4F0000}"/>
    <cellStyle name="40% - Accent1 2 3 2 4 6" xfId="29897" xr:uid="{00000000-0005-0000-0000-00007F4F0000}"/>
    <cellStyle name="40% - Accent1 2 3 2 4 7" xfId="39622" xr:uid="{00000000-0005-0000-0000-0000804F0000}"/>
    <cellStyle name="40% - Accent1 2 3 2 4 8" xfId="10447" xr:uid="{00000000-0005-0000-0000-0000814F0000}"/>
    <cellStyle name="40% - Accent1 2 3 2 5" xfId="1981" xr:uid="{00000000-0005-0000-0000-0000824F0000}"/>
    <cellStyle name="40% - Accent1 2 3 2 5 2" xfId="6843" xr:uid="{00000000-0005-0000-0000-0000834F0000}"/>
    <cellStyle name="40% - Accent1 2 3 2 5 2 2" xfId="26294" xr:uid="{00000000-0005-0000-0000-0000844F0000}"/>
    <cellStyle name="40% - Accent1 2 3 2 5 2 3" xfId="36019" xr:uid="{00000000-0005-0000-0000-0000854F0000}"/>
    <cellStyle name="40% - Accent1 2 3 2 5 2 4" xfId="45744" xr:uid="{00000000-0005-0000-0000-0000864F0000}"/>
    <cellStyle name="40% - Accent1 2 3 2 5 2 5" xfId="16569" xr:uid="{00000000-0005-0000-0000-0000874F0000}"/>
    <cellStyle name="40% - Accent1 2 3 2 5 3" xfId="21432" xr:uid="{00000000-0005-0000-0000-0000884F0000}"/>
    <cellStyle name="40% - Accent1 2 3 2 5 4" xfId="31157" xr:uid="{00000000-0005-0000-0000-0000894F0000}"/>
    <cellStyle name="40% - Accent1 2 3 2 5 5" xfId="40882" xr:uid="{00000000-0005-0000-0000-00008A4F0000}"/>
    <cellStyle name="40% - Accent1 2 3 2 5 6" xfId="11707" xr:uid="{00000000-0005-0000-0000-00008B4F0000}"/>
    <cellStyle name="40% - Accent1 2 3 2 6" xfId="3601" xr:uid="{00000000-0005-0000-0000-00008C4F0000}"/>
    <cellStyle name="40% - Accent1 2 3 2 6 2" xfId="8463" xr:uid="{00000000-0005-0000-0000-00008D4F0000}"/>
    <cellStyle name="40% - Accent1 2 3 2 6 2 2" xfId="27914" xr:uid="{00000000-0005-0000-0000-00008E4F0000}"/>
    <cellStyle name="40% - Accent1 2 3 2 6 2 3" xfId="37639" xr:uid="{00000000-0005-0000-0000-00008F4F0000}"/>
    <cellStyle name="40% - Accent1 2 3 2 6 2 4" xfId="47364" xr:uid="{00000000-0005-0000-0000-0000904F0000}"/>
    <cellStyle name="40% - Accent1 2 3 2 6 2 5" xfId="18189" xr:uid="{00000000-0005-0000-0000-0000914F0000}"/>
    <cellStyle name="40% - Accent1 2 3 2 6 3" xfId="23052" xr:uid="{00000000-0005-0000-0000-0000924F0000}"/>
    <cellStyle name="40% - Accent1 2 3 2 6 4" xfId="32777" xr:uid="{00000000-0005-0000-0000-0000934F0000}"/>
    <cellStyle name="40% - Accent1 2 3 2 6 5" xfId="42502" xr:uid="{00000000-0005-0000-0000-0000944F0000}"/>
    <cellStyle name="40% - Accent1 2 3 2 6 6" xfId="13327" xr:uid="{00000000-0005-0000-0000-0000954F0000}"/>
    <cellStyle name="40% - Accent1 2 3 2 7" xfId="5223" xr:uid="{00000000-0005-0000-0000-0000964F0000}"/>
    <cellStyle name="40% - Accent1 2 3 2 7 2" xfId="24674" xr:uid="{00000000-0005-0000-0000-0000974F0000}"/>
    <cellStyle name="40% - Accent1 2 3 2 7 3" xfId="34399" xr:uid="{00000000-0005-0000-0000-0000984F0000}"/>
    <cellStyle name="40% - Accent1 2 3 2 7 4" xfId="44124" xr:uid="{00000000-0005-0000-0000-0000994F0000}"/>
    <cellStyle name="40% - Accent1 2 3 2 7 5" xfId="14949" xr:uid="{00000000-0005-0000-0000-00009A4F0000}"/>
    <cellStyle name="40% - Accent1 2 3 2 8" xfId="19812" xr:uid="{00000000-0005-0000-0000-00009B4F0000}"/>
    <cellStyle name="40% - Accent1 2 3 2 9" xfId="29537" xr:uid="{00000000-0005-0000-0000-00009C4F0000}"/>
    <cellStyle name="40% - Accent1 2 3 3" xfId="390" xr:uid="{00000000-0005-0000-0000-00009D4F0000}"/>
    <cellStyle name="40% - Accent1 2 3 3 10" xfId="39352" xr:uid="{00000000-0005-0000-0000-00009E4F0000}"/>
    <cellStyle name="40% - Accent1 2 3 3 11" xfId="10177" xr:uid="{00000000-0005-0000-0000-00009F4F0000}"/>
    <cellStyle name="40% - Accent1 2 3 3 2" xfId="1153" xr:uid="{00000000-0005-0000-0000-0000A04F0000}"/>
    <cellStyle name="40% - Accent1 2 3 3 2 2" xfId="2791" xr:uid="{00000000-0005-0000-0000-0000A14F0000}"/>
    <cellStyle name="40% - Accent1 2 3 3 2 2 2" xfId="7653" xr:uid="{00000000-0005-0000-0000-0000A24F0000}"/>
    <cellStyle name="40% - Accent1 2 3 3 2 2 2 2" xfId="27104" xr:uid="{00000000-0005-0000-0000-0000A34F0000}"/>
    <cellStyle name="40% - Accent1 2 3 3 2 2 2 3" xfId="36829" xr:uid="{00000000-0005-0000-0000-0000A44F0000}"/>
    <cellStyle name="40% - Accent1 2 3 3 2 2 2 4" xfId="46554" xr:uid="{00000000-0005-0000-0000-0000A54F0000}"/>
    <cellStyle name="40% - Accent1 2 3 3 2 2 2 5" xfId="17379" xr:uid="{00000000-0005-0000-0000-0000A64F0000}"/>
    <cellStyle name="40% - Accent1 2 3 3 2 2 3" xfId="22242" xr:uid="{00000000-0005-0000-0000-0000A74F0000}"/>
    <cellStyle name="40% - Accent1 2 3 3 2 2 4" xfId="31967" xr:uid="{00000000-0005-0000-0000-0000A84F0000}"/>
    <cellStyle name="40% - Accent1 2 3 3 2 2 5" xfId="41692" xr:uid="{00000000-0005-0000-0000-0000A94F0000}"/>
    <cellStyle name="40% - Accent1 2 3 3 2 2 6" xfId="12517" xr:uid="{00000000-0005-0000-0000-0000AA4F0000}"/>
    <cellStyle name="40% - Accent1 2 3 3 2 3" xfId="4411" xr:uid="{00000000-0005-0000-0000-0000AB4F0000}"/>
    <cellStyle name="40% - Accent1 2 3 3 2 3 2" xfId="9273" xr:uid="{00000000-0005-0000-0000-0000AC4F0000}"/>
    <cellStyle name="40% - Accent1 2 3 3 2 3 2 2" xfId="28724" xr:uid="{00000000-0005-0000-0000-0000AD4F0000}"/>
    <cellStyle name="40% - Accent1 2 3 3 2 3 2 3" xfId="38449" xr:uid="{00000000-0005-0000-0000-0000AE4F0000}"/>
    <cellStyle name="40% - Accent1 2 3 3 2 3 2 4" xfId="48174" xr:uid="{00000000-0005-0000-0000-0000AF4F0000}"/>
    <cellStyle name="40% - Accent1 2 3 3 2 3 2 5" xfId="18999" xr:uid="{00000000-0005-0000-0000-0000B04F0000}"/>
    <cellStyle name="40% - Accent1 2 3 3 2 3 3" xfId="23862" xr:uid="{00000000-0005-0000-0000-0000B14F0000}"/>
    <cellStyle name="40% - Accent1 2 3 3 2 3 4" xfId="33587" xr:uid="{00000000-0005-0000-0000-0000B24F0000}"/>
    <cellStyle name="40% - Accent1 2 3 3 2 3 5" xfId="43312" xr:uid="{00000000-0005-0000-0000-0000B34F0000}"/>
    <cellStyle name="40% - Accent1 2 3 3 2 3 6" xfId="14137" xr:uid="{00000000-0005-0000-0000-0000B44F0000}"/>
    <cellStyle name="40% - Accent1 2 3 3 2 4" xfId="6033" xr:uid="{00000000-0005-0000-0000-0000B54F0000}"/>
    <cellStyle name="40% - Accent1 2 3 3 2 4 2" xfId="25484" xr:uid="{00000000-0005-0000-0000-0000B64F0000}"/>
    <cellStyle name="40% - Accent1 2 3 3 2 4 3" xfId="35209" xr:uid="{00000000-0005-0000-0000-0000B74F0000}"/>
    <cellStyle name="40% - Accent1 2 3 3 2 4 4" xfId="44934" xr:uid="{00000000-0005-0000-0000-0000B84F0000}"/>
    <cellStyle name="40% - Accent1 2 3 3 2 4 5" xfId="15759" xr:uid="{00000000-0005-0000-0000-0000B94F0000}"/>
    <cellStyle name="40% - Accent1 2 3 3 2 5" xfId="20622" xr:uid="{00000000-0005-0000-0000-0000BA4F0000}"/>
    <cellStyle name="40% - Accent1 2 3 3 2 6" xfId="30347" xr:uid="{00000000-0005-0000-0000-0000BB4F0000}"/>
    <cellStyle name="40% - Accent1 2 3 3 2 7" xfId="40072" xr:uid="{00000000-0005-0000-0000-0000BC4F0000}"/>
    <cellStyle name="40% - Accent1 2 3 3 2 8" xfId="10897" xr:uid="{00000000-0005-0000-0000-0000BD4F0000}"/>
    <cellStyle name="40% - Accent1 2 3 3 3" xfId="1620" xr:uid="{00000000-0005-0000-0000-0000BE4F0000}"/>
    <cellStyle name="40% - Accent1 2 3 3 3 2" xfId="3241" xr:uid="{00000000-0005-0000-0000-0000BF4F0000}"/>
    <cellStyle name="40% - Accent1 2 3 3 3 2 2" xfId="8103" xr:uid="{00000000-0005-0000-0000-0000C04F0000}"/>
    <cellStyle name="40% - Accent1 2 3 3 3 2 2 2" xfId="27554" xr:uid="{00000000-0005-0000-0000-0000C14F0000}"/>
    <cellStyle name="40% - Accent1 2 3 3 3 2 2 3" xfId="37279" xr:uid="{00000000-0005-0000-0000-0000C24F0000}"/>
    <cellStyle name="40% - Accent1 2 3 3 3 2 2 4" xfId="47004" xr:uid="{00000000-0005-0000-0000-0000C34F0000}"/>
    <cellStyle name="40% - Accent1 2 3 3 3 2 2 5" xfId="17829" xr:uid="{00000000-0005-0000-0000-0000C44F0000}"/>
    <cellStyle name="40% - Accent1 2 3 3 3 2 3" xfId="22692" xr:uid="{00000000-0005-0000-0000-0000C54F0000}"/>
    <cellStyle name="40% - Accent1 2 3 3 3 2 4" xfId="32417" xr:uid="{00000000-0005-0000-0000-0000C64F0000}"/>
    <cellStyle name="40% - Accent1 2 3 3 3 2 5" xfId="42142" xr:uid="{00000000-0005-0000-0000-0000C74F0000}"/>
    <cellStyle name="40% - Accent1 2 3 3 3 2 6" xfId="12967" xr:uid="{00000000-0005-0000-0000-0000C84F0000}"/>
    <cellStyle name="40% - Accent1 2 3 3 3 3" xfId="4861" xr:uid="{00000000-0005-0000-0000-0000C94F0000}"/>
    <cellStyle name="40% - Accent1 2 3 3 3 3 2" xfId="9723" xr:uid="{00000000-0005-0000-0000-0000CA4F0000}"/>
    <cellStyle name="40% - Accent1 2 3 3 3 3 2 2" xfId="29174" xr:uid="{00000000-0005-0000-0000-0000CB4F0000}"/>
    <cellStyle name="40% - Accent1 2 3 3 3 3 2 3" xfId="38899" xr:uid="{00000000-0005-0000-0000-0000CC4F0000}"/>
    <cellStyle name="40% - Accent1 2 3 3 3 3 2 4" xfId="48624" xr:uid="{00000000-0005-0000-0000-0000CD4F0000}"/>
    <cellStyle name="40% - Accent1 2 3 3 3 3 2 5" xfId="19449" xr:uid="{00000000-0005-0000-0000-0000CE4F0000}"/>
    <cellStyle name="40% - Accent1 2 3 3 3 3 3" xfId="24312" xr:uid="{00000000-0005-0000-0000-0000CF4F0000}"/>
    <cellStyle name="40% - Accent1 2 3 3 3 3 4" xfId="34037" xr:uid="{00000000-0005-0000-0000-0000D04F0000}"/>
    <cellStyle name="40% - Accent1 2 3 3 3 3 5" xfId="43762" xr:uid="{00000000-0005-0000-0000-0000D14F0000}"/>
    <cellStyle name="40% - Accent1 2 3 3 3 3 6" xfId="14587" xr:uid="{00000000-0005-0000-0000-0000D24F0000}"/>
    <cellStyle name="40% - Accent1 2 3 3 3 4" xfId="6483" xr:uid="{00000000-0005-0000-0000-0000D34F0000}"/>
    <cellStyle name="40% - Accent1 2 3 3 3 4 2" xfId="25934" xr:uid="{00000000-0005-0000-0000-0000D44F0000}"/>
    <cellStyle name="40% - Accent1 2 3 3 3 4 3" xfId="35659" xr:uid="{00000000-0005-0000-0000-0000D54F0000}"/>
    <cellStyle name="40% - Accent1 2 3 3 3 4 4" xfId="45384" xr:uid="{00000000-0005-0000-0000-0000D64F0000}"/>
    <cellStyle name="40% - Accent1 2 3 3 3 4 5" xfId="16209" xr:uid="{00000000-0005-0000-0000-0000D74F0000}"/>
    <cellStyle name="40% - Accent1 2 3 3 3 5" xfId="21072" xr:uid="{00000000-0005-0000-0000-0000D84F0000}"/>
    <cellStyle name="40% - Accent1 2 3 3 3 6" xfId="30797" xr:uid="{00000000-0005-0000-0000-0000D94F0000}"/>
    <cellStyle name="40% - Accent1 2 3 3 3 7" xfId="40522" xr:uid="{00000000-0005-0000-0000-0000DA4F0000}"/>
    <cellStyle name="40% - Accent1 2 3 3 3 8" xfId="11347" xr:uid="{00000000-0005-0000-0000-0000DB4F0000}"/>
    <cellStyle name="40% - Accent1 2 3 3 4" xfId="791" xr:uid="{00000000-0005-0000-0000-0000DC4F0000}"/>
    <cellStyle name="40% - Accent1 2 3 3 4 2" xfId="2431" xr:uid="{00000000-0005-0000-0000-0000DD4F0000}"/>
    <cellStyle name="40% - Accent1 2 3 3 4 2 2" xfId="7293" xr:uid="{00000000-0005-0000-0000-0000DE4F0000}"/>
    <cellStyle name="40% - Accent1 2 3 3 4 2 2 2" xfId="26744" xr:uid="{00000000-0005-0000-0000-0000DF4F0000}"/>
    <cellStyle name="40% - Accent1 2 3 3 4 2 2 3" xfId="36469" xr:uid="{00000000-0005-0000-0000-0000E04F0000}"/>
    <cellStyle name="40% - Accent1 2 3 3 4 2 2 4" xfId="46194" xr:uid="{00000000-0005-0000-0000-0000E14F0000}"/>
    <cellStyle name="40% - Accent1 2 3 3 4 2 2 5" xfId="17019" xr:uid="{00000000-0005-0000-0000-0000E24F0000}"/>
    <cellStyle name="40% - Accent1 2 3 3 4 2 3" xfId="21882" xr:uid="{00000000-0005-0000-0000-0000E34F0000}"/>
    <cellStyle name="40% - Accent1 2 3 3 4 2 4" xfId="31607" xr:uid="{00000000-0005-0000-0000-0000E44F0000}"/>
    <cellStyle name="40% - Accent1 2 3 3 4 2 5" xfId="41332" xr:uid="{00000000-0005-0000-0000-0000E54F0000}"/>
    <cellStyle name="40% - Accent1 2 3 3 4 2 6" xfId="12157" xr:uid="{00000000-0005-0000-0000-0000E64F0000}"/>
    <cellStyle name="40% - Accent1 2 3 3 4 3" xfId="4051" xr:uid="{00000000-0005-0000-0000-0000E74F0000}"/>
    <cellStyle name="40% - Accent1 2 3 3 4 3 2" xfId="8913" xr:uid="{00000000-0005-0000-0000-0000E84F0000}"/>
    <cellStyle name="40% - Accent1 2 3 3 4 3 2 2" xfId="28364" xr:uid="{00000000-0005-0000-0000-0000E94F0000}"/>
    <cellStyle name="40% - Accent1 2 3 3 4 3 2 3" xfId="38089" xr:uid="{00000000-0005-0000-0000-0000EA4F0000}"/>
    <cellStyle name="40% - Accent1 2 3 3 4 3 2 4" xfId="47814" xr:uid="{00000000-0005-0000-0000-0000EB4F0000}"/>
    <cellStyle name="40% - Accent1 2 3 3 4 3 2 5" xfId="18639" xr:uid="{00000000-0005-0000-0000-0000EC4F0000}"/>
    <cellStyle name="40% - Accent1 2 3 3 4 3 3" xfId="23502" xr:uid="{00000000-0005-0000-0000-0000ED4F0000}"/>
    <cellStyle name="40% - Accent1 2 3 3 4 3 4" xfId="33227" xr:uid="{00000000-0005-0000-0000-0000EE4F0000}"/>
    <cellStyle name="40% - Accent1 2 3 3 4 3 5" xfId="42952" xr:uid="{00000000-0005-0000-0000-0000EF4F0000}"/>
    <cellStyle name="40% - Accent1 2 3 3 4 3 6" xfId="13777" xr:uid="{00000000-0005-0000-0000-0000F04F0000}"/>
    <cellStyle name="40% - Accent1 2 3 3 4 4" xfId="5673" xr:uid="{00000000-0005-0000-0000-0000F14F0000}"/>
    <cellStyle name="40% - Accent1 2 3 3 4 4 2" xfId="25124" xr:uid="{00000000-0005-0000-0000-0000F24F0000}"/>
    <cellStyle name="40% - Accent1 2 3 3 4 4 3" xfId="34849" xr:uid="{00000000-0005-0000-0000-0000F34F0000}"/>
    <cellStyle name="40% - Accent1 2 3 3 4 4 4" xfId="44574" xr:uid="{00000000-0005-0000-0000-0000F44F0000}"/>
    <cellStyle name="40% - Accent1 2 3 3 4 4 5" xfId="15399" xr:uid="{00000000-0005-0000-0000-0000F54F0000}"/>
    <cellStyle name="40% - Accent1 2 3 3 4 5" xfId="20262" xr:uid="{00000000-0005-0000-0000-0000F64F0000}"/>
    <cellStyle name="40% - Accent1 2 3 3 4 6" xfId="29987" xr:uid="{00000000-0005-0000-0000-0000F74F0000}"/>
    <cellStyle name="40% - Accent1 2 3 3 4 7" xfId="39712" xr:uid="{00000000-0005-0000-0000-0000F84F0000}"/>
    <cellStyle name="40% - Accent1 2 3 3 4 8" xfId="10537" xr:uid="{00000000-0005-0000-0000-0000F94F0000}"/>
    <cellStyle name="40% - Accent1 2 3 3 5" xfId="2071" xr:uid="{00000000-0005-0000-0000-0000FA4F0000}"/>
    <cellStyle name="40% - Accent1 2 3 3 5 2" xfId="6933" xr:uid="{00000000-0005-0000-0000-0000FB4F0000}"/>
    <cellStyle name="40% - Accent1 2 3 3 5 2 2" xfId="26384" xr:uid="{00000000-0005-0000-0000-0000FC4F0000}"/>
    <cellStyle name="40% - Accent1 2 3 3 5 2 3" xfId="36109" xr:uid="{00000000-0005-0000-0000-0000FD4F0000}"/>
    <cellStyle name="40% - Accent1 2 3 3 5 2 4" xfId="45834" xr:uid="{00000000-0005-0000-0000-0000FE4F0000}"/>
    <cellStyle name="40% - Accent1 2 3 3 5 2 5" xfId="16659" xr:uid="{00000000-0005-0000-0000-0000FF4F0000}"/>
    <cellStyle name="40% - Accent1 2 3 3 5 3" xfId="21522" xr:uid="{00000000-0005-0000-0000-000000500000}"/>
    <cellStyle name="40% - Accent1 2 3 3 5 4" xfId="31247" xr:uid="{00000000-0005-0000-0000-000001500000}"/>
    <cellStyle name="40% - Accent1 2 3 3 5 5" xfId="40972" xr:uid="{00000000-0005-0000-0000-000002500000}"/>
    <cellStyle name="40% - Accent1 2 3 3 5 6" xfId="11797" xr:uid="{00000000-0005-0000-0000-000003500000}"/>
    <cellStyle name="40% - Accent1 2 3 3 6" xfId="3691" xr:uid="{00000000-0005-0000-0000-000004500000}"/>
    <cellStyle name="40% - Accent1 2 3 3 6 2" xfId="8553" xr:uid="{00000000-0005-0000-0000-000005500000}"/>
    <cellStyle name="40% - Accent1 2 3 3 6 2 2" xfId="28004" xr:uid="{00000000-0005-0000-0000-000006500000}"/>
    <cellStyle name="40% - Accent1 2 3 3 6 2 3" xfId="37729" xr:uid="{00000000-0005-0000-0000-000007500000}"/>
    <cellStyle name="40% - Accent1 2 3 3 6 2 4" xfId="47454" xr:uid="{00000000-0005-0000-0000-000008500000}"/>
    <cellStyle name="40% - Accent1 2 3 3 6 2 5" xfId="18279" xr:uid="{00000000-0005-0000-0000-000009500000}"/>
    <cellStyle name="40% - Accent1 2 3 3 6 3" xfId="23142" xr:uid="{00000000-0005-0000-0000-00000A500000}"/>
    <cellStyle name="40% - Accent1 2 3 3 6 4" xfId="32867" xr:uid="{00000000-0005-0000-0000-00000B500000}"/>
    <cellStyle name="40% - Accent1 2 3 3 6 5" xfId="42592" xr:uid="{00000000-0005-0000-0000-00000C500000}"/>
    <cellStyle name="40% - Accent1 2 3 3 6 6" xfId="13417" xr:uid="{00000000-0005-0000-0000-00000D500000}"/>
    <cellStyle name="40% - Accent1 2 3 3 7" xfId="5313" xr:uid="{00000000-0005-0000-0000-00000E500000}"/>
    <cellStyle name="40% - Accent1 2 3 3 7 2" xfId="24764" xr:uid="{00000000-0005-0000-0000-00000F500000}"/>
    <cellStyle name="40% - Accent1 2 3 3 7 3" xfId="34489" xr:uid="{00000000-0005-0000-0000-000010500000}"/>
    <cellStyle name="40% - Accent1 2 3 3 7 4" xfId="44214" xr:uid="{00000000-0005-0000-0000-000011500000}"/>
    <cellStyle name="40% - Accent1 2 3 3 7 5" xfId="15039" xr:uid="{00000000-0005-0000-0000-000012500000}"/>
    <cellStyle name="40% - Accent1 2 3 3 8" xfId="19902" xr:uid="{00000000-0005-0000-0000-000013500000}"/>
    <cellStyle name="40% - Accent1 2 3 3 9" xfId="29627" xr:uid="{00000000-0005-0000-0000-000014500000}"/>
    <cellStyle name="40% - Accent1 2 3 4" xfId="208" xr:uid="{00000000-0005-0000-0000-000015500000}"/>
    <cellStyle name="40% - Accent1 2 3 4 10" xfId="39172" xr:uid="{00000000-0005-0000-0000-000016500000}"/>
    <cellStyle name="40% - Accent1 2 3 4 11" xfId="9997" xr:uid="{00000000-0005-0000-0000-000017500000}"/>
    <cellStyle name="40% - Accent1 2 3 4 2" xfId="972" xr:uid="{00000000-0005-0000-0000-000018500000}"/>
    <cellStyle name="40% - Accent1 2 3 4 2 2" xfId="2611" xr:uid="{00000000-0005-0000-0000-000019500000}"/>
    <cellStyle name="40% - Accent1 2 3 4 2 2 2" xfId="7473" xr:uid="{00000000-0005-0000-0000-00001A500000}"/>
    <cellStyle name="40% - Accent1 2 3 4 2 2 2 2" xfId="26924" xr:uid="{00000000-0005-0000-0000-00001B500000}"/>
    <cellStyle name="40% - Accent1 2 3 4 2 2 2 3" xfId="36649" xr:uid="{00000000-0005-0000-0000-00001C500000}"/>
    <cellStyle name="40% - Accent1 2 3 4 2 2 2 4" xfId="46374" xr:uid="{00000000-0005-0000-0000-00001D500000}"/>
    <cellStyle name="40% - Accent1 2 3 4 2 2 2 5" xfId="17199" xr:uid="{00000000-0005-0000-0000-00001E500000}"/>
    <cellStyle name="40% - Accent1 2 3 4 2 2 3" xfId="22062" xr:uid="{00000000-0005-0000-0000-00001F500000}"/>
    <cellStyle name="40% - Accent1 2 3 4 2 2 4" xfId="31787" xr:uid="{00000000-0005-0000-0000-000020500000}"/>
    <cellStyle name="40% - Accent1 2 3 4 2 2 5" xfId="41512" xr:uid="{00000000-0005-0000-0000-000021500000}"/>
    <cellStyle name="40% - Accent1 2 3 4 2 2 6" xfId="12337" xr:uid="{00000000-0005-0000-0000-000022500000}"/>
    <cellStyle name="40% - Accent1 2 3 4 2 3" xfId="4231" xr:uid="{00000000-0005-0000-0000-000023500000}"/>
    <cellStyle name="40% - Accent1 2 3 4 2 3 2" xfId="9093" xr:uid="{00000000-0005-0000-0000-000024500000}"/>
    <cellStyle name="40% - Accent1 2 3 4 2 3 2 2" xfId="28544" xr:uid="{00000000-0005-0000-0000-000025500000}"/>
    <cellStyle name="40% - Accent1 2 3 4 2 3 2 3" xfId="38269" xr:uid="{00000000-0005-0000-0000-000026500000}"/>
    <cellStyle name="40% - Accent1 2 3 4 2 3 2 4" xfId="47994" xr:uid="{00000000-0005-0000-0000-000027500000}"/>
    <cellStyle name="40% - Accent1 2 3 4 2 3 2 5" xfId="18819" xr:uid="{00000000-0005-0000-0000-000028500000}"/>
    <cellStyle name="40% - Accent1 2 3 4 2 3 3" xfId="23682" xr:uid="{00000000-0005-0000-0000-000029500000}"/>
    <cellStyle name="40% - Accent1 2 3 4 2 3 4" xfId="33407" xr:uid="{00000000-0005-0000-0000-00002A500000}"/>
    <cellStyle name="40% - Accent1 2 3 4 2 3 5" xfId="43132" xr:uid="{00000000-0005-0000-0000-00002B500000}"/>
    <cellStyle name="40% - Accent1 2 3 4 2 3 6" xfId="13957" xr:uid="{00000000-0005-0000-0000-00002C500000}"/>
    <cellStyle name="40% - Accent1 2 3 4 2 4" xfId="5853" xr:uid="{00000000-0005-0000-0000-00002D500000}"/>
    <cellStyle name="40% - Accent1 2 3 4 2 4 2" xfId="25304" xr:uid="{00000000-0005-0000-0000-00002E500000}"/>
    <cellStyle name="40% - Accent1 2 3 4 2 4 3" xfId="35029" xr:uid="{00000000-0005-0000-0000-00002F500000}"/>
    <cellStyle name="40% - Accent1 2 3 4 2 4 4" xfId="44754" xr:uid="{00000000-0005-0000-0000-000030500000}"/>
    <cellStyle name="40% - Accent1 2 3 4 2 4 5" xfId="15579" xr:uid="{00000000-0005-0000-0000-000031500000}"/>
    <cellStyle name="40% - Accent1 2 3 4 2 5" xfId="20442" xr:uid="{00000000-0005-0000-0000-000032500000}"/>
    <cellStyle name="40% - Accent1 2 3 4 2 6" xfId="30167" xr:uid="{00000000-0005-0000-0000-000033500000}"/>
    <cellStyle name="40% - Accent1 2 3 4 2 7" xfId="39892" xr:uid="{00000000-0005-0000-0000-000034500000}"/>
    <cellStyle name="40% - Accent1 2 3 4 2 8" xfId="10717" xr:uid="{00000000-0005-0000-0000-000035500000}"/>
    <cellStyle name="40% - Accent1 2 3 4 3" xfId="1440" xr:uid="{00000000-0005-0000-0000-000036500000}"/>
    <cellStyle name="40% - Accent1 2 3 4 3 2" xfId="3061" xr:uid="{00000000-0005-0000-0000-000037500000}"/>
    <cellStyle name="40% - Accent1 2 3 4 3 2 2" xfId="7923" xr:uid="{00000000-0005-0000-0000-000038500000}"/>
    <cellStyle name="40% - Accent1 2 3 4 3 2 2 2" xfId="27374" xr:uid="{00000000-0005-0000-0000-000039500000}"/>
    <cellStyle name="40% - Accent1 2 3 4 3 2 2 3" xfId="37099" xr:uid="{00000000-0005-0000-0000-00003A500000}"/>
    <cellStyle name="40% - Accent1 2 3 4 3 2 2 4" xfId="46824" xr:uid="{00000000-0005-0000-0000-00003B500000}"/>
    <cellStyle name="40% - Accent1 2 3 4 3 2 2 5" xfId="17649" xr:uid="{00000000-0005-0000-0000-00003C500000}"/>
    <cellStyle name="40% - Accent1 2 3 4 3 2 3" xfId="22512" xr:uid="{00000000-0005-0000-0000-00003D500000}"/>
    <cellStyle name="40% - Accent1 2 3 4 3 2 4" xfId="32237" xr:uid="{00000000-0005-0000-0000-00003E500000}"/>
    <cellStyle name="40% - Accent1 2 3 4 3 2 5" xfId="41962" xr:uid="{00000000-0005-0000-0000-00003F500000}"/>
    <cellStyle name="40% - Accent1 2 3 4 3 2 6" xfId="12787" xr:uid="{00000000-0005-0000-0000-000040500000}"/>
    <cellStyle name="40% - Accent1 2 3 4 3 3" xfId="4681" xr:uid="{00000000-0005-0000-0000-000041500000}"/>
    <cellStyle name="40% - Accent1 2 3 4 3 3 2" xfId="9543" xr:uid="{00000000-0005-0000-0000-000042500000}"/>
    <cellStyle name="40% - Accent1 2 3 4 3 3 2 2" xfId="28994" xr:uid="{00000000-0005-0000-0000-000043500000}"/>
    <cellStyle name="40% - Accent1 2 3 4 3 3 2 3" xfId="38719" xr:uid="{00000000-0005-0000-0000-000044500000}"/>
    <cellStyle name="40% - Accent1 2 3 4 3 3 2 4" xfId="48444" xr:uid="{00000000-0005-0000-0000-000045500000}"/>
    <cellStyle name="40% - Accent1 2 3 4 3 3 2 5" xfId="19269" xr:uid="{00000000-0005-0000-0000-000046500000}"/>
    <cellStyle name="40% - Accent1 2 3 4 3 3 3" xfId="24132" xr:uid="{00000000-0005-0000-0000-000047500000}"/>
    <cellStyle name="40% - Accent1 2 3 4 3 3 4" xfId="33857" xr:uid="{00000000-0005-0000-0000-000048500000}"/>
    <cellStyle name="40% - Accent1 2 3 4 3 3 5" xfId="43582" xr:uid="{00000000-0005-0000-0000-000049500000}"/>
    <cellStyle name="40% - Accent1 2 3 4 3 3 6" xfId="14407" xr:uid="{00000000-0005-0000-0000-00004A500000}"/>
    <cellStyle name="40% - Accent1 2 3 4 3 4" xfId="6303" xr:uid="{00000000-0005-0000-0000-00004B500000}"/>
    <cellStyle name="40% - Accent1 2 3 4 3 4 2" xfId="25754" xr:uid="{00000000-0005-0000-0000-00004C500000}"/>
    <cellStyle name="40% - Accent1 2 3 4 3 4 3" xfId="35479" xr:uid="{00000000-0005-0000-0000-00004D500000}"/>
    <cellStyle name="40% - Accent1 2 3 4 3 4 4" xfId="45204" xr:uid="{00000000-0005-0000-0000-00004E500000}"/>
    <cellStyle name="40% - Accent1 2 3 4 3 4 5" xfId="16029" xr:uid="{00000000-0005-0000-0000-00004F500000}"/>
    <cellStyle name="40% - Accent1 2 3 4 3 5" xfId="20892" xr:uid="{00000000-0005-0000-0000-000050500000}"/>
    <cellStyle name="40% - Accent1 2 3 4 3 6" xfId="30617" xr:uid="{00000000-0005-0000-0000-000051500000}"/>
    <cellStyle name="40% - Accent1 2 3 4 3 7" xfId="40342" xr:uid="{00000000-0005-0000-0000-000052500000}"/>
    <cellStyle name="40% - Accent1 2 3 4 3 8" xfId="11167" xr:uid="{00000000-0005-0000-0000-000053500000}"/>
    <cellStyle name="40% - Accent1 2 3 4 4" xfId="611" xr:uid="{00000000-0005-0000-0000-000054500000}"/>
    <cellStyle name="40% - Accent1 2 3 4 4 2" xfId="2251" xr:uid="{00000000-0005-0000-0000-000055500000}"/>
    <cellStyle name="40% - Accent1 2 3 4 4 2 2" xfId="7113" xr:uid="{00000000-0005-0000-0000-000056500000}"/>
    <cellStyle name="40% - Accent1 2 3 4 4 2 2 2" xfId="26564" xr:uid="{00000000-0005-0000-0000-000057500000}"/>
    <cellStyle name="40% - Accent1 2 3 4 4 2 2 3" xfId="36289" xr:uid="{00000000-0005-0000-0000-000058500000}"/>
    <cellStyle name="40% - Accent1 2 3 4 4 2 2 4" xfId="46014" xr:uid="{00000000-0005-0000-0000-000059500000}"/>
    <cellStyle name="40% - Accent1 2 3 4 4 2 2 5" xfId="16839" xr:uid="{00000000-0005-0000-0000-00005A500000}"/>
    <cellStyle name="40% - Accent1 2 3 4 4 2 3" xfId="21702" xr:uid="{00000000-0005-0000-0000-00005B500000}"/>
    <cellStyle name="40% - Accent1 2 3 4 4 2 4" xfId="31427" xr:uid="{00000000-0005-0000-0000-00005C500000}"/>
    <cellStyle name="40% - Accent1 2 3 4 4 2 5" xfId="41152" xr:uid="{00000000-0005-0000-0000-00005D500000}"/>
    <cellStyle name="40% - Accent1 2 3 4 4 2 6" xfId="11977" xr:uid="{00000000-0005-0000-0000-00005E500000}"/>
    <cellStyle name="40% - Accent1 2 3 4 4 3" xfId="3871" xr:uid="{00000000-0005-0000-0000-00005F500000}"/>
    <cellStyle name="40% - Accent1 2 3 4 4 3 2" xfId="8733" xr:uid="{00000000-0005-0000-0000-000060500000}"/>
    <cellStyle name="40% - Accent1 2 3 4 4 3 2 2" xfId="28184" xr:uid="{00000000-0005-0000-0000-000061500000}"/>
    <cellStyle name="40% - Accent1 2 3 4 4 3 2 3" xfId="37909" xr:uid="{00000000-0005-0000-0000-000062500000}"/>
    <cellStyle name="40% - Accent1 2 3 4 4 3 2 4" xfId="47634" xr:uid="{00000000-0005-0000-0000-000063500000}"/>
    <cellStyle name="40% - Accent1 2 3 4 4 3 2 5" xfId="18459" xr:uid="{00000000-0005-0000-0000-000064500000}"/>
    <cellStyle name="40% - Accent1 2 3 4 4 3 3" xfId="23322" xr:uid="{00000000-0005-0000-0000-000065500000}"/>
    <cellStyle name="40% - Accent1 2 3 4 4 3 4" xfId="33047" xr:uid="{00000000-0005-0000-0000-000066500000}"/>
    <cellStyle name="40% - Accent1 2 3 4 4 3 5" xfId="42772" xr:uid="{00000000-0005-0000-0000-000067500000}"/>
    <cellStyle name="40% - Accent1 2 3 4 4 3 6" xfId="13597" xr:uid="{00000000-0005-0000-0000-000068500000}"/>
    <cellStyle name="40% - Accent1 2 3 4 4 4" xfId="5493" xr:uid="{00000000-0005-0000-0000-000069500000}"/>
    <cellStyle name="40% - Accent1 2 3 4 4 4 2" xfId="24944" xr:uid="{00000000-0005-0000-0000-00006A500000}"/>
    <cellStyle name="40% - Accent1 2 3 4 4 4 3" xfId="34669" xr:uid="{00000000-0005-0000-0000-00006B500000}"/>
    <cellStyle name="40% - Accent1 2 3 4 4 4 4" xfId="44394" xr:uid="{00000000-0005-0000-0000-00006C500000}"/>
    <cellStyle name="40% - Accent1 2 3 4 4 4 5" xfId="15219" xr:uid="{00000000-0005-0000-0000-00006D500000}"/>
    <cellStyle name="40% - Accent1 2 3 4 4 5" xfId="20082" xr:uid="{00000000-0005-0000-0000-00006E500000}"/>
    <cellStyle name="40% - Accent1 2 3 4 4 6" xfId="29807" xr:uid="{00000000-0005-0000-0000-00006F500000}"/>
    <cellStyle name="40% - Accent1 2 3 4 4 7" xfId="39532" xr:uid="{00000000-0005-0000-0000-000070500000}"/>
    <cellStyle name="40% - Accent1 2 3 4 4 8" xfId="10357" xr:uid="{00000000-0005-0000-0000-000071500000}"/>
    <cellStyle name="40% - Accent1 2 3 4 5" xfId="1891" xr:uid="{00000000-0005-0000-0000-000072500000}"/>
    <cellStyle name="40% - Accent1 2 3 4 5 2" xfId="6753" xr:uid="{00000000-0005-0000-0000-000073500000}"/>
    <cellStyle name="40% - Accent1 2 3 4 5 2 2" xfId="26204" xr:uid="{00000000-0005-0000-0000-000074500000}"/>
    <cellStyle name="40% - Accent1 2 3 4 5 2 3" xfId="35929" xr:uid="{00000000-0005-0000-0000-000075500000}"/>
    <cellStyle name="40% - Accent1 2 3 4 5 2 4" xfId="45654" xr:uid="{00000000-0005-0000-0000-000076500000}"/>
    <cellStyle name="40% - Accent1 2 3 4 5 2 5" xfId="16479" xr:uid="{00000000-0005-0000-0000-000077500000}"/>
    <cellStyle name="40% - Accent1 2 3 4 5 3" xfId="21342" xr:uid="{00000000-0005-0000-0000-000078500000}"/>
    <cellStyle name="40% - Accent1 2 3 4 5 4" xfId="31067" xr:uid="{00000000-0005-0000-0000-000079500000}"/>
    <cellStyle name="40% - Accent1 2 3 4 5 5" xfId="40792" xr:uid="{00000000-0005-0000-0000-00007A500000}"/>
    <cellStyle name="40% - Accent1 2 3 4 5 6" xfId="11617" xr:uid="{00000000-0005-0000-0000-00007B500000}"/>
    <cellStyle name="40% - Accent1 2 3 4 6" xfId="3511" xr:uid="{00000000-0005-0000-0000-00007C500000}"/>
    <cellStyle name="40% - Accent1 2 3 4 6 2" xfId="8373" xr:uid="{00000000-0005-0000-0000-00007D500000}"/>
    <cellStyle name="40% - Accent1 2 3 4 6 2 2" xfId="27824" xr:uid="{00000000-0005-0000-0000-00007E500000}"/>
    <cellStyle name="40% - Accent1 2 3 4 6 2 3" xfId="37549" xr:uid="{00000000-0005-0000-0000-00007F500000}"/>
    <cellStyle name="40% - Accent1 2 3 4 6 2 4" xfId="47274" xr:uid="{00000000-0005-0000-0000-000080500000}"/>
    <cellStyle name="40% - Accent1 2 3 4 6 2 5" xfId="18099" xr:uid="{00000000-0005-0000-0000-000081500000}"/>
    <cellStyle name="40% - Accent1 2 3 4 6 3" xfId="22962" xr:uid="{00000000-0005-0000-0000-000082500000}"/>
    <cellStyle name="40% - Accent1 2 3 4 6 4" xfId="32687" xr:uid="{00000000-0005-0000-0000-000083500000}"/>
    <cellStyle name="40% - Accent1 2 3 4 6 5" xfId="42412" xr:uid="{00000000-0005-0000-0000-000084500000}"/>
    <cellStyle name="40% - Accent1 2 3 4 6 6" xfId="13237" xr:uid="{00000000-0005-0000-0000-000085500000}"/>
    <cellStyle name="40% - Accent1 2 3 4 7" xfId="5133" xr:uid="{00000000-0005-0000-0000-000086500000}"/>
    <cellStyle name="40% - Accent1 2 3 4 7 2" xfId="24584" xr:uid="{00000000-0005-0000-0000-000087500000}"/>
    <cellStyle name="40% - Accent1 2 3 4 7 3" xfId="34309" xr:uid="{00000000-0005-0000-0000-000088500000}"/>
    <cellStyle name="40% - Accent1 2 3 4 7 4" xfId="44034" xr:uid="{00000000-0005-0000-0000-000089500000}"/>
    <cellStyle name="40% - Accent1 2 3 4 7 5" xfId="14859" xr:uid="{00000000-0005-0000-0000-00008A500000}"/>
    <cellStyle name="40% - Accent1 2 3 4 8" xfId="19722" xr:uid="{00000000-0005-0000-0000-00008B500000}"/>
    <cellStyle name="40% - Accent1 2 3 4 9" xfId="29447" xr:uid="{00000000-0005-0000-0000-00008C500000}"/>
    <cellStyle name="40% - Accent1 2 3 5" xfId="882" xr:uid="{00000000-0005-0000-0000-00008D500000}"/>
    <cellStyle name="40% - Accent1 2 3 5 2" xfId="2521" xr:uid="{00000000-0005-0000-0000-00008E500000}"/>
    <cellStyle name="40% - Accent1 2 3 5 2 2" xfId="7383" xr:uid="{00000000-0005-0000-0000-00008F500000}"/>
    <cellStyle name="40% - Accent1 2 3 5 2 2 2" xfId="26834" xr:uid="{00000000-0005-0000-0000-000090500000}"/>
    <cellStyle name="40% - Accent1 2 3 5 2 2 3" xfId="36559" xr:uid="{00000000-0005-0000-0000-000091500000}"/>
    <cellStyle name="40% - Accent1 2 3 5 2 2 4" xfId="46284" xr:uid="{00000000-0005-0000-0000-000092500000}"/>
    <cellStyle name="40% - Accent1 2 3 5 2 2 5" xfId="17109" xr:uid="{00000000-0005-0000-0000-000093500000}"/>
    <cellStyle name="40% - Accent1 2 3 5 2 3" xfId="21972" xr:uid="{00000000-0005-0000-0000-000094500000}"/>
    <cellStyle name="40% - Accent1 2 3 5 2 4" xfId="31697" xr:uid="{00000000-0005-0000-0000-000095500000}"/>
    <cellStyle name="40% - Accent1 2 3 5 2 5" xfId="41422" xr:uid="{00000000-0005-0000-0000-000096500000}"/>
    <cellStyle name="40% - Accent1 2 3 5 2 6" xfId="12247" xr:uid="{00000000-0005-0000-0000-000097500000}"/>
    <cellStyle name="40% - Accent1 2 3 5 3" xfId="4141" xr:uid="{00000000-0005-0000-0000-000098500000}"/>
    <cellStyle name="40% - Accent1 2 3 5 3 2" xfId="9003" xr:uid="{00000000-0005-0000-0000-000099500000}"/>
    <cellStyle name="40% - Accent1 2 3 5 3 2 2" xfId="28454" xr:uid="{00000000-0005-0000-0000-00009A500000}"/>
    <cellStyle name="40% - Accent1 2 3 5 3 2 3" xfId="38179" xr:uid="{00000000-0005-0000-0000-00009B500000}"/>
    <cellStyle name="40% - Accent1 2 3 5 3 2 4" xfId="47904" xr:uid="{00000000-0005-0000-0000-00009C500000}"/>
    <cellStyle name="40% - Accent1 2 3 5 3 2 5" xfId="18729" xr:uid="{00000000-0005-0000-0000-00009D500000}"/>
    <cellStyle name="40% - Accent1 2 3 5 3 3" xfId="23592" xr:uid="{00000000-0005-0000-0000-00009E500000}"/>
    <cellStyle name="40% - Accent1 2 3 5 3 4" xfId="33317" xr:uid="{00000000-0005-0000-0000-00009F500000}"/>
    <cellStyle name="40% - Accent1 2 3 5 3 5" xfId="43042" xr:uid="{00000000-0005-0000-0000-0000A0500000}"/>
    <cellStyle name="40% - Accent1 2 3 5 3 6" xfId="13867" xr:uid="{00000000-0005-0000-0000-0000A1500000}"/>
    <cellStyle name="40% - Accent1 2 3 5 4" xfId="5763" xr:uid="{00000000-0005-0000-0000-0000A2500000}"/>
    <cellStyle name="40% - Accent1 2 3 5 4 2" xfId="25214" xr:uid="{00000000-0005-0000-0000-0000A3500000}"/>
    <cellStyle name="40% - Accent1 2 3 5 4 3" xfId="34939" xr:uid="{00000000-0005-0000-0000-0000A4500000}"/>
    <cellStyle name="40% - Accent1 2 3 5 4 4" xfId="44664" xr:uid="{00000000-0005-0000-0000-0000A5500000}"/>
    <cellStyle name="40% - Accent1 2 3 5 4 5" xfId="15489" xr:uid="{00000000-0005-0000-0000-0000A6500000}"/>
    <cellStyle name="40% - Accent1 2 3 5 5" xfId="20352" xr:uid="{00000000-0005-0000-0000-0000A7500000}"/>
    <cellStyle name="40% - Accent1 2 3 5 6" xfId="30077" xr:uid="{00000000-0005-0000-0000-0000A8500000}"/>
    <cellStyle name="40% - Accent1 2 3 5 7" xfId="39802" xr:uid="{00000000-0005-0000-0000-0000A9500000}"/>
    <cellStyle name="40% - Accent1 2 3 5 8" xfId="10627" xr:uid="{00000000-0005-0000-0000-0000AA500000}"/>
    <cellStyle name="40% - Accent1 2 3 6" xfId="1260" xr:uid="{00000000-0005-0000-0000-0000AB500000}"/>
    <cellStyle name="40% - Accent1 2 3 6 2" xfId="2881" xr:uid="{00000000-0005-0000-0000-0000AC500000}"/>
    <cellStyle name="40% - Accent1 2 3 6 2 2" xfId="7743" xr:uid="{00000000-0005-0000-0000-0000AD500000}"/>
    <cellStyle name="40% - Accent1 2 3 6 2 2 2" xfId="27194" xr:uid="{00000000-0005-0000-0000-0000AE500000}"/>
    <cellStyle name="40% - Accent1 2 3 6 2 2 3" xfId="36919" xr:uid="{00000000-0005-0000-0000-0000AF500000}"/>
    <cellStyle name="40% - Accent1 2 3 6 2 2 4" xfId="46644" xr:uid="{00000000-0005-0000-0000-0000B0500000}"/>
    <cellStyle name="40% - Accent1 2 3 6 2 2 5" xfId="17469" xr:uid="{00000000-0005-0000-0000-0000B1500000}"/>
    <cellStyle name="40% - Accent1 2 3 6 2 3" xfId="22332" xr:uid="{00000000-0005-0000-0000-0000B2500000}"/>
    <cellStyle name="40% - Accent1 2 3 6 2 4" xfId="32057" xr:uid="{00000000-0005-0000-0000-0000B3500000}"/>
    <cellStyle name="40% - Accent1 2 3 6 2 5" xfId="41782" xr:uid="{00000000-0005-0000-0000-0000B4500000}"/>
    <cellStyle name="40% - Accent1 2 3 6 2 6" xfId="12607" xr:uid="{00000000-0005-0000-0000-0000B5500000}"/>
    <cellStyle name="40% - Accent1 2 3 6 3" xfId="4501" xr:uid="{00000000-0005-0000-0000-0000B6500000}"/>
    <cellStyle name="40% - Accent1 2 3 6 3 2" xfId="9363" xr:uid="{00000000-0005-0000-0000-0000B7500000}"/>
    <cellStyle name="40% - Accent1 2 3 6 3 2 2" xfId="28814" xr:uid="{00000000-0005-0000-0000-0000B8500000}"/>
    <cellStyle name="40% - Accent1 2 3 6 3 2 3" xfId="38539" xr:uid="{00000000-0005-0000-0000-0000B9500000}"/>
    <cellStyle name="40% - Accent1 2 3 6 3 2 4" xfId="48264" xr:uid="{00000000-0005-0000-0000-0000BA500000}"/>
    <cellStyle name="40% - Accent1 2 3 6 3 2 5" xfId="19089" xr:uid="{00000000-0005-0000-0000-0000BB500000}"/>
    <cellStyle name="40% - Accent1 2 3 6 3 3" xfId="23952" xr:uid="{00000000-0005-0000-0000-0000BC500000}"/>
    <cellStyle name="40% - Accent1 2 3 6 3 4" xfId="33677" xr:uid="{00000000-0005-0000-0000-0000BD500000}"/>
    <cellStyle name="40% - Accent1 2 3 6 3 5" xfId="43402" xr:uid="{00000000-0005-0000-0000-0000BE500000}"/>
    <cellStyle name="40% - Accent1 2 3 6 3 6" xfId="14227" xr:uid="{00000000-0005-0000-0000-0000BF500000}"/>
    <cellStyle name="40% - Accent1 2 3 6 4" xfId="6123" xr:uid="{00000000-0005-0000-0000-0000C0500000}"/>
    <cellStyle name="40% - Accent1 2 3 6 4 2" xfId="25574" xr:uid="{00000000-0005-0000-0000-0000C1500000}"/>
    <cellStyle name="40% - Accent1 2 3 6 4 3" xfId="35299" xr:uid="{00000000-0005-0000-0000-0000C2500000}"/>
    <cellStyle name="40% - Accent1 2 3 6 4 4" xfId="45024" xr:uid="{00000000-0005-0000-0000-0000C3500000}"/>
    <cellStyle name="40% - Accent1 2 3 6 4 5" xfId="15849" xr:uid="{00000000-0005-0000-0000-0000C4500000}"/>
    <cellStyle name="40% - Accent1 2 3 6 5" xfId="20712" xr:uid="{00000000-0005-0000-0000-0000C5500000}"/>
    <cellStyle name="40% - Accent1 2 3 6 6" xfId="30437" xr:uid="{00000000-0005-0000-0000-0000C6500000}"/>
    <cellStyle name="40% - Accent1 2 3 6 7" xfId="40162" xr:uid="{00000000-0005-0000-0000-0000C7500000}"/>
    <cellStyle name="40% - Accent1 2 3 6 8" xfId="10987" xr:uid="{00000000-0005-0000-0000-0000C8500000}"/>
    <cellStyle name="40% - Accent1 2 3 7" xfId="1350" xr:uid="{00000000-0005-0000-0000-0000C9500000}"/>
    <cellStyle name="40% - Accent1 2 3 7 2" xfId="2971" xr:uid="{00000000-0005-0000-0000-0000CA500000}"/>
    <cellStyle name="40% - Accent1 2 3 7 2 2" xfId="7833" xr:uid="{00000000-0005-0000-0000-0000CB500000}"/>
    <cellStyle name="40% - Accent1 2 3 7 2 2 2" xfId="27284" xr:uid="{00000000-0005-0000-0000-0000CC500000}"/>
    <cellStyle name="40% - Accent1 2 3 7 2 2 3" xfId="37009" xr:uid="{00000000-0005-0000-0000-0000CD500000}"/>
    <cellStyle name="40% - Accent1 2 3 7 2 2 4" xfId="46734" xr:uid="{00000000-0005-0000-0000-0000CE500000}"/>
    <cellStyle name="40% - Accent1 2 3 7 2 2 5" xfId="17559" xr:uid="{00000000-0005-0000-0000-0000CF500000}"/>
    <cellStyle name="40% - Accent1 2 3 7 2 3" xfId="22422" xr:uid="{00000000-0005-0000-0000-0000D0500000}"/>
    <cellStyle name="40% - Accent1 2 3 7 2 4" xfId="32147" xr:uid="{00000000-0005-0000-0000-0000D1500000}"/>
    <cellStyle name="40% - Accent1 2 3 7 2 5" xfId="41872" xr:uid="{00000000-0005-0000-0000-0000D2500000}"/>
    <cellStyle name="40% - Accent1 2 3 7 2 6" xfId="12697" xr:uid="{00000000-0005-0000-0000-0000D3500000}"/>
    <cellStyle name="40% - Accent1 2 3 7 3" xfId="4591" xr:uid="{00000000-0005-0000-0000-0000D4500000}"/>
    <cellStyle name="40% - Accent1 2 3 7 3 2" xfId="9453" xr:uid="{00000000-0005-0000-0000-0000D5500000}"/>
    <cellStyle name="40% - Accent1 2 3 7 3 2 2" xfId="28904" xr:uid="{00000000-0005-0000-0000-0000D6500000}"/>
    <cellStyle name="40% - Accent1 2 3 7 3 2 3" xfId="38629" xr:uid="{00000000-0005-0000-0000-0000D7500000}"/>
    <cellStyle name="40% - Accent1 2 3 7 3 2 4" xfId="48354" xr:uid="{00000000-0005-0000-0000-0000D8500000}"/>
    <cellStyle name="40% - Accent1 2 3 7 3 2 5" xfId="19179" xr:uid="{00000000-0005-0000-0000-0000D9500000}"/>
    <cellStyle name="40% - Accent1 2 3 7 3 3" xfId="24042" xr:uid="{00000000-0005-0000-0000-0000DA500000}"/>
    <cellStyle name="40% - Accent1 2 3 7 3 4" xfId="33767" xr:uid="{00000000-0005-0000-0000-0000DB500000}"/>
    <cellStyle name="40% - Accent1 2 3 7 3 5" xfId="43492" xr:uid="{00000000-0005-0000-0000-0000DC500000}"/>
    <cellStyle name="40% - Accent1 2 3 7 3 6" xfId="14317" xr:uid="{00000000-0005-0000-0000-0000DD500000}"/>
    <cellStyle name="40% - Accent1 2 3 7 4" xfId="6213" xr:uid="{00000000-0005-0000-0000-0000DE500000}"/>
    <cellStyle name="40% - Accent1 2 3 7 4 2" xfId="25664" xr:uid="{00000000-0005-0000-0000-0000DF500000}"/>
    <cellStyle name="40% - Accent1 2 3 7 4 3" xfId="35389" xr:uid="{00000000-0005-0000-0000-0000E0500000}"/>
    <cellStyle name="40% - Accent1 2 3 7 4 4" xfId="45114" xr:uid="{00000000-0005-0000-0000-0000E1500000}"/>
    <cellStyle name="40% - Accent1 2 3 7 4 5" xfId="15939" xr:uid="{00000000-0005-0000-0000-0000E2500000}"/>
    <cellStyle name="40% - Accent1 2 3 7 5" xfId="20802" xr:uid="{00000000-0005-0000-0000-0000E3500000}"/>
    <cellStyle name="40% - Accent1 2 3 7 6" xfId="30527" xr:uid="{00000000-0005-0000-0000-0000E4500000}"/>
    <cellStyle name="40% - Accent1 2 3 7 7" xfId="40252" xr:uid="{00000000-0005-0000-0000-0000E5500000}"/>
    <cellStyle name="40% - Accent1 2 3 7 8" xfId="11077" xr:uid="{00000000-0005-0000-0000-0000E6500000}"/>
    <cellStyle name="40% - Accent1 2 3 8" xfId="521" xr:uid="{00000000-0005-0000-0000-0000E7500000}"/>
    <cellStyle name="40% - Accent1 2 3 8 2" xfId="2161" xr:uid="{00000000-0005-0000-0000-0000E8500000}"/>
    <cellStyle name="40% - Accent1 2 3 8 2 2" xfId="7023" xr:uid="{00000000-0005-0000-0000-0000E9500000}"/>
    <cellStyle name="40% - Accent1 2 3 8 2 2 2" xfId="26474" xr:uid="{00000000-0005-0000-0000-0000EA500000}"/>
    <cellStyle name="40% - Accent1 2 3 8 2 2 3" xfId="36199" xr:uid="{00000000-0005-0000-0000-0000EB500000}"/>
    <cellStyle name="40% - Accent1 2 3 8 2 2 4" xfId="45924" xr:uid="{00000000-0005-0000-0000-0000EC500000}"/>
    <cellStyle name="40% - Accent1 2 3 8 2 2 5" xfId="16749" xr:uid="{00000000-0005-0000-0000-0000ED500000}"/>
    <cellStyle name="40% - Accent1 2 3 8 2 3" xfId="21612" xr:uid="{00000000-0005-0000-0000-0000EE500000}"/>
    <cellStyle name="40% - Accent1 2 3 8 2 4" xfId="31337" xr:uid="{00000000-0005-0000-0000-0000EF500000}"/>
    <cellStyle name="40% - Accent1 2 3 8 2 5" xfId="41062" xr:uid="{00000000-0005-0000-0000-0000F0500000}"/>
    <cellStyle name="40% - Accent1 2 3 8 2 6" xfId="11887" xr:uid="{00000000-0005-0000-0000-0000F1500000}"/>
    <cellStyle name="40% - Accent1 2 3 8 3" xfId="3781" xr:uid="{00000000-0005-0000-0000-0000F2500000}"/>
    <cellStyle name="40% - Accent1 2 3 8 3 2" xfId="8643" xr:uid="{00000000-0005-0000-0000-0000F3500000}"/>
    <cellStyle name="40% - Accent1 2 3 8 3 2 2" xfId="28094" xr:uid="{00000000-0005-0000-0000-0000F4500000}"/>
    <cellStyle name="40% - Accent1 2 3 8 3 2 3" xfId="37819" xr:uid="{00000000-0005-0000-0000-0000F5500000}"/>
    <cellStyle name="40% - Accent1 2 3 8 3 2 4" xfId="47544" xr:uid="{00000000-0005-0000-0000-0000F6500000}"/>
    <cellStyle name="40% - Accent1 2 3 8 3 2 5" xfId="18369" xr:uid="{00000000-0005-0000-0000-0000F7500000}"/>
    <cellStyle name="40% - Accent1 2 3 8 3 3" xfId="23232" xr:uid="{00000000-0005-0000-0000-0000F8500000}"/>
    <cellStyle name="40% - Accent1 2 3 8 3 4" xfId="32957" xr:uid="{00000000-0005-0000-0000-0000F9500000}"/>
    <cellStyle name="40% - Accent1 2 3 8 3 5" xfId="42682" xr:uid="{00000000-0005-0000-0000-0000FA500000}"/>
    <cellStyle name="40% - Accent1 2 3 8 3 6" xfId="13507" xr:uid="{00000000-0005-0000-0000-0000FB500000}"/>
    <cellStyle name="40% - Accent1 2 3 8 4" xfId="5403" xr:uid="{00000000-0005-0000-0000-0000FC500000}"/>
    <cellStyle name="40% - Accent1 2 3 8 4 2" xfId="24854" xr:uid="{00000000-0005-0000-0000-0000FD500000}"/>
    <cellStyle name="40% - Accent1 2 3 8 4 3" xfId="34579" xr:uid="{00000000-0005-0000-0000-0000FE500000}"/>
    <cellStyle name="40% - Accent1 2 3 8 4 4" xfId="44304" xr:uid="{00000000-0005-0000-0000-0000FF500000}"/>
    <cellStyle name="40% - Accent1 2 3 8 4 5" xfId="15129" xr:uid="{00000000-0005-0000-0000-000000510000}"/>
    <cellStyle name="40% - Accent1 2 3 8 5" xfId="19992" xr:uid="{00000000-0005-0000-0000-000001510000}"/>
    <cellStyle name="40% - Accent1 2 3 8 6" xfId="29717" xr:uid="{00000000-0005-0000-0000-000002510000}"/>
    <cellStyle name="40% - Accent1 2 3 8 7" xfId="39442" xr:uid="{00000000-0005-0000-0000-000003510000}"/>
    <cellStyle name="40% - Accent1 2 3 8 8" xfId="10267" xr:uid="{00000000-0005-0000-0000-000004510000}"/>
    <cellStyle name="40% - Accent1 2 3 9" xfId="1710" xr:uid="{00000000-0005-0000-0000-000005510000}"/>
    <cellStyle name="40% - Accent1 2 3 9 2" xfId="3331" xr:uid="{00000000-0005-0000-0000-000006510000}"/>
    <cellStyle name="40% - Accent1 2 3 9 2 2" xfId="8193" xr:uid="{00000000-0005-0000-0000-000007510000}"/>
    <cellStyle name="40% - Accent1 2 3 9 2 2 2" xfId="27644" xr:uid="{00000000-0005-0000-0000-000008510000}"/>
    <cellStyle name="40% - Accent1 2 3 9 2 2 3" xfId="37369" xr:uid="{00000000-0005-0000-0000-000009510000}"/>
    <cellStyle name="40% - Accent1 2 3 9 2 2 4" xfId="47094" xr:uid="{00000000-0005-0000-0000-00000A510000}"/>
    <cellStyle name="40% - Accent1 2 3 9 2 2 5" xfId="17919" xr:uid="{00000000-0005-0000-0000-00000B510000}"/>
    <cellStyle name="40% - Accent1 2 3 9 2 3" xfId="22782" xr:uid="{00000000-0005-0000-0000-00000C510000}"/>
    <cellStyle name="40% - Accent1 2 3 9 2 4" xfId="32507" xr:uid="{00000000-0005-0000-0000-00000D510000}"/>
    <cellStyle name="40% - Accent1 2 3 9 2 5" xfId="42232" xr:uid="{00000000-0005-0000-0000-00000E510000}"/>
    <cellStyle name="40% - Accent1 2 3 9 2 6" xfId="13057" xr:uid="{00000000-0005-0000-0000-00000F510000}"/>
    <cellStyle name="40% - Accent1 2 3 9 3" xfId="4951" xr:uid="{00000000-0005-0000-0000-000010510000}"/>
    <cellStyle name="40% - Accent1 2 3 9 3 2" xfId="9813" xr:uid="{00000000-0005-0000-0000-000011510000}"/>
    <cellStyle name="40% - Accent1 2 3 9 3 2 2" xfId="29264" xr:uid="{00000000-0005-0000-0000-000012510000}"/>
    <cellStyle name="40% - Accent1 2 3 9 3 2 3" xfId="38989" xr:uid="{00000000-0005-0000-0000-000013510000}"/>
    <cellStyle name="40% - Accent1 2 3 9 3 2 4" xfId="48714" xr:uid="{00000000-0005-0000-0000-000014510000}"/>
    <cellStyle name="40% - Accent1 2 3 9 3 2 5" xfId="19539" xr:uid="{00000000-0005-0000-0000-000015510000}"/>
    <cellStyle name="40% - Accent1 2 3 9 3 3" xfId="24402" xr:uid="{00000000-0005-0000-0000-000016510000}"/>
    <cellStyle name="40% - Accent1 2 3 9 3 4" xfId="34127" xr:uid="{00000000-0005-0000-0000-000017510000}"/>
    <cellStyle name="40% - Accent1 2 3 9 3 5" xfId="43852" xr:uid="{00000000-0005-0000-0000-000018510000}"/>
    <cellStyle name="40% - Accent1 2 3 9 3 6" xfId="14677" xr:uid="{00000000-0005-0000-0000-000019510000}"/>
    <cellStyle name="40% - Accent1 2 3 9 4" xfId="6573" xr:uid="{00000000-0005-0000-0000-00001A510000}"/>
    <cellStyle name="40% - Accent1 2 3 9 4 2" xfId="26024" xr:uid="{00000000-0005-0000-0000-00001B510000}"/>
    <cellStyle name="40% - Accent1 2 3 9 4 3" xfId="35749" xr:uid="{00000000-0005-0000-0000-00001C510000}"/>
    <cellStyle name="40% - Accent1 2 3 9 4 4" xfId="45474" xr:uid="{00000000-0005-0000-0000-00001D510000}"/>
    <cellStyle name="40% - Accent1 2 3 9 4 5" xfId="16299" xr:uid="{00000000-0005-0000-0000-00001E510000}"/>
    <cellStyle name="40% - Accent1 2 3 9 5" xfId="21162" xr:uid="{00000000-0005-0000-0000-00001F510000}"/>
    <cellStyle name="40% - Accent1 2 3 9 6" xfId="30887" xr:uid="{00000000-0005-0000-0000-000020510000}"/>
    <cellStyle name="40% - Accent1 2 3 9 7" xfId="40612" xr:uid="{00000000-0005-0000-0000-000021510000}"/>
    <cellStyle name="40% - Accent1 2 3 9 8" xfId="11437" xr:uid="{00000000-0005-0000-0000-000022510000}"/>
    <cellStyle name="40% - Accent1 2 4" xfId="239" xr:uid="{00000000-0005-0000-0000-000023510000}"/>
    <cellStyle name="40% - Accent1 2 4 10" xfId="39202" xr:uid="{00000000-0005-0000-0000-000024510000}"/>
    <cellStyle name="40% - Accent1 2 4 11" xfId="10027" xr:uid="{00000000-0005-0000-0000-000025510000}"/>
    <cellStyle name="40% - Accent1 2 4 2" xfId="1003" xr:uid="{00000000-0005-0000-0000-000026510000}"/>
    <cellStyle name="40% - Accent1 2 4 2 2" xfId="2641" xr:uid="{00000000-0005-0000-0000-000027510000}"/>
    <cellStyle name="40% - Accent1 2 4 2 2 2" xfId="7503" xr:uid="{00000000-0005-0000-0000-000028510000}"/>
    <cellStyle name="40% - Accent1 2 4 2 2 2 2" xfId="26954" xr:uid="{00000000-0005-0000-0000-000029510000}"/>
    <cellStyle name="40% - Accent1 2 4 2 2 2 3" xfId="36679" xr:uid="{00000000-0005-0000-0000-00002A510000}"/>
    <cellStyle name="40% - Accent1 2 4 2 2 2 4" xfId="46404" xr:uid="{00000000-0005-0000-0000-00002B510000}"/>
    <cellStyle name="40% - Accent1 2 4 2 2 2 5" xfId="17229" xr:uid="{00000000-0005-0000-0000-00002C510000}"/>
    <cellStyle name="40% - Accent1 2 4 2 2 3" xfId="22092" xr:uid="{00000000-0005-0000-0000-00002D510000}"/>
    <cellStyle name="40% - Accent1 2 4 2 2 4" xfId="31817" xr:uid="{00000000-0005-0000-0000-00002E510000}"/>
    <cellStyle name="40% - Accent1 2 4 2 2 5" xfId="41542" xr:uid="{00000000-0005-0000-0000-00002F510000}"/>
    <cellStyle name="40% - Accent1 2 4 2 2 6" xfId="12367" xr:uid="{00000000-0005-0000-0000-000030510000}"/>
    <cellStyle name="40% - Accent1 2 4 2 3" xfId="4261" xr:uid="{00000000-0005-0000-0000-000031510000}"/>
    <cellStyle name="40% - Accent1 2 4 2 3 2" xfId="9123" xr:uid="{00000000-0005-0000-0000-000032510000}"/>
    <cellStyle name="40% - Accent1 2 4 2 3 2 2" xfId="28574" xr:uid="{00000000-0005-0000-0000-000033510000}"/>
    <cellStyle name="40% - Accent1 2 4 2 3 2 3" xfId="38299" xr:uid="{00000000-0005-0000-0000-000034510000}"/>
    <cellStyle name="40% - Accent1 2 4 2 3 2 4" xfId="48024" xr:uid="{00000000-0005-0000-0000-000035510000}"/>
    <cellStyle name="40% - Accent1 2 4 2 3 2 5" xfId="18849" xr:uid="{00000000-0005-0000-0000-000036510000}"/>
    <cellStyle name="40% - Accent1 2 4 2 3 3" xfId="23712" xr:uid="{00000000-0005-0000-0000-000037510000}"/>
    <cellStyle name="40% - Accent1 2 4 2 3 4" xfId="33437" xr:uid="{00000000-0005-0000-0000-000038510000}"/>
    <cellStyle name="40% - Accent1 2 4 2 3 5" xfId="43162" xr:uid="{00000000-0005-0000-0000-000039510000}"/>
    <cellStyle name="40% - Accent1 2 4 2 3 6" xfId="13987" xr:uid="{00000000-0005-0000-0000-00003A510000}"/>
    <cellStyle name="40% - Accent1 2 4 2 4" xfId="5883" xr:uid="{00000000-0005-0000-0000-00003B510000}"/>
    <cellStyle name="40% - Accent1 2 4 2 4 2" xfId="25334" xr:uid="{00000000-0005-0000-0000-00003C510000}"/>
    <cellStyle name="40% - Accent1 2 4 2 4 3" xfId="35059" xr:uid="{00000000-0005-0000-0000-00003D510000}"/>
    <cellStyle name="40% - Accent1 2 4 2 4 4" xfId="44784" xr:uid="{00000000-0005-0000-0000-00003E510000}"/>
    <cellStyle name="40% - Accent1 2 4 2 4 5" xfId="15609" xr:uid="{00000000-0005-0000-0000-00003F510000}"/>
    <cellStyle name="40% - Accent1 2 4 2 5" xfId="20472" xr:uid="{00000000-0005-0000-0000-000040510000}"/>
    <cellStyle name="40% - Accent1 2 4 2 6" xfId="30197" xr:uid="{00000000-0005-0000-0000-000041510000}"/>
    <cellStyle name="40% - Accent1 2 4 2 7" xfId="39922" xr:uid="{00000000-0005-0000-0000-000042510000}"/>
    <cellStyle name="40% - Accent1 2 4 2 8" xfId="10747" xr:uid="{00000000-0005-0000-0000-000043510000}"/>
    <cellStyle name="40% - Accent1 2 4 3" xfId="1470" xr:uid="{00000000-0005-0000-0000-000044510000}"/>
    <cellStyle name="40% - Accent1 2 4 3 2" xfId="3091" xr:uid="{00000000-0005-0000-0000-000045510000}"/>
    <cellStyle name="40% - Accent1 2 4 3 2 2" xfId="7953" xr:uid="{00000000-0005-0000-0000-000046510000}"/>
    <cellStyle name="40% - Accent1 2 4 3 2 2 2" xfId="27404" xr:uid="{00000000-0005-0000-0000-000047510000}"/>
    <cellStyle name="40% - Accent1 2 4 3 2 2 3" xfId="37129" xr:uid="{00000000-0005-0000-0000-000048510000}"/>
    <cellStyle name="40% - Accent1 2 4 3 2 2 4" xfId="46854" xr:uid="{00000000-0005-0000-0000-000049510000}"/>
    <cellStyle name="40% - Accent1 2 4 3 2 2 5" xfId="17679" xr:uid="{00000000-0005-0000-0000-00004A510000}"/>
    <cellStyle name="40% - Accent1 2 4 3 2 3" xfId="22542" xr:uid="{00000000-0005-0000-0000-00004B510000}"/>
    <cellStyle name="40% - Accent1 2 4 3 2 4" xfId="32267" xr:uid="{00000000-0005-0000-0000-00004C510000}"/>
    <cellStyle name="40% - Accent1 2 4 3 2 5" xfId="41992" xr:uid="{00000000-0005-0000-0000-00004D510000}"/>
    <cellStyle name="40% - Accent1 2 4 3 2 6" xfId="12817" xr:uid="{00000000-0005-0000-0000-00004E510000}"/>
    <cellStyle name="40% - Accent1 2 4 3 3" xfId="4711" xr:uid="{00000000-0005-0000-0000-00004F510000}"/>
    <cellStyle name="40% - Accent1 2 4 3 3 2" xfId="9573" xr:uid="{00000000-0005-0000-0000-000050510000}"/>
    <cellStyle name="40% - Accent1 2 4 3 3 2 2" xfId="29024" xr:uid="{00000000-0005-0000-0000-000051510000}"/>
    <cellStyle name="40% - Accent1 2 4 3 3 2 3" xfId="38749" xr:uid="{00000000-0005-0000-0000-000052510000}"/>
    <cellStyle name="40% - Accent1 2 4 3 3 2 4" xfId="48474" xr:uid="{00000000-0005-0000-0000-000053510000}"/>
    <cellStyle name="40% - Accent1 2 4 3 3 2 5" xfId="19299" xr:uid="{00000000-0005-0000-0000-000054510000}"/>
    <cellStyle name="40% - Accent1 2 4 3 3 3" xfId="24162" xr:uid="{00000000-0005-0000-0000-000055510000}"/>
    <cellStyle name="40% - Accent1 2 4 3 3 4" xfId="33887" xr:uid="{00000000-0005-0000-0000-000056510000}"/>
    <cellStyle name="40% - Accent1 2 4 3 3 5" xfId="43612" xr:uid="{00000000-0005-0000-0000-000057510000}"/>
    <cellStyle name="40% - Accent1 2 4 3 3 6" xfId="14437" xr:uid="{00000000-0005-0000-0000-000058510000}"/>
    <cellStyle name="40% - Accent1 2 4 3 4" xfId="6333" xr:uid="{00000000-0005-0000-0000-000059510000}"/>
    <cellStyle name="40% - Accent1 2 4 3 4 2" xfId="25784" xr:uid="{00000000-0005-0000-0000-00005A510000}"/>
    <cellStyle name="40% - Accent1 2 4 3 4 3" xfId="35509" xr:uid="{00000000-0005-0000-0000-00005B510000}"/>
    <cellStyle name="40% - Accent1 2 4 3 4 4" xfId="45234" xr:uid="{00000000-0005-0000-0000-00005C510000}"/>
    <cellStyle name="40% - Accent1 2 4 3 4 5" xfId="16059" xr:uid="{00000000-0005-0000-0000-00005D510000}"/>
    <cellStyle name="40% - Accent1 2 4 3 5" xfId="20922" xr:uid="{00000000-0005-0000-0000-00005E510000}"/>
    <cellStyle name="40% - Accent1 2 4 3 6" xfId="30647" xr:uid="{00000000-0005-0000-0000-00005F510000}"/>
    <cellStyle name="40% - Accent1 2 4 3 7" xfId="40372" xr:uid="{00000000-0005-0000-0000-000060510000}"/>
    <cellStyle name="40% - Accent1 2 4 3 8" xfId="11197" xr:uid="{00000000-0005-0000-0000-000061510000}"/>
    <cellStyle name="40% - Accent1 2 4 4" xfId="641" xr:uid="{00000000-0005-0000-0000-000062510000}"/>
    <cellStyle name="40% - Accent1 2 4 4 2" xfId="2281" xr:uid="{00000000-0005-0000-0000-000063510000}"/>
    <cellStyle name="40% - Accent1 2 4 4 2 2" xfId="7143" xr:uid="{00000000-0005-0000-0000-000064510000}"/>
    <cellStyle name="40% - Accent1 2 4 4 2 2 2" xfId="26594" xr:uid="{00000000-0005-0000-0000-000065510000}"/>
    <cellStyle name="40% - Accent1 2 4 4 2 2 3" xfId="36319" xr:uid="{00000000-0005-0000-0000-000066510000}"/>
    <cellStyle name="40% - Accent1 2 4 4 2 2 4" xfId="46044" xr:uid="{00000000-0005-0000-0000-000067510000}"/>
    <cellStyle name="40% - Accent1 2 4 4 2 2 5" xfId="16869" xr:uid="{00000000-0005-0000-0000-000068510000}"/>
    <cellStyle name="40% - Accent1 2 4 4 2 3" xfId="21732" xr:uid="{00000000-0005-0000-0000-000069510000}"/>
    <cellStyle name="40% - Accent1 2 4 4 2 4" xfId="31457" xr:uid="{00000000-0005-0000-0000-00006A510000}"/>
    <cellStyle name="40% - Accent1 2 4 4 2 5" xfId="41182" xr:uid="{00000000-0005-0000-0000-00006B510000}"/>
    <cellStyle name="40% - Accent1 2 4 4 2 6" xfId="12007" xr:uid="{00000000-0005-0000-0000-00006C510000}"/>
    <cellStyle name="40% - Accent1 2 4 4 3" xfId="3901" xr:uid="{00000000-0005-0000-0000-00006D510000}"/>
    <cellStyle name="40% - Accent1 2 4 4 3 2" xfId="8763" xr:uid="{00000000-0005-0000-0000-00006E510000}"/>
    <cellStyle name="40% - Accent1 2 4 4 3 2 2" xfId="28214" xr:uid="{00000000-0005-0000-0000-00006F510000}"/>
    <cellStyle name="40% - Accent1 2 4 4 3 2 3" xfId="37939" xr:uid="{00000000-0005-0000-0000-000070510000}"/>
    <cellStyle name="40% - Accent1 2 4 4 3 2 4" xfId="47664" xr:uid="{00000000-0005-0000-0000-000071510000}"/>
    <cellStyle name="40% - Accent1 2 4 4 3 2 5" xfId="18489" xr:uid="{00000000-0005-0000-0000-000072510000}"/>
    <cellStyle name="40% - Accent1 2 4 4 3 3" xfId="23352" xr:uid="{00000000-0005-0000-0000-000073510000}"/>
    <cellStyle name="40% - Accent1 2 4 4 3 4" xfId="33077" xr:uid="{00000000-0005-0000-0000-000074510000}"/>
    <cellStyle name="40% - Accent1 2 4 4 3 5" xfId="42802" xr:uid="{00000000-0005-0000-0000-000075510000}"/>
    <cellStyle name="40% - Accent1 2 4 4 3 6" xfId="13627" xr:uid="{00000000-0005-0000-0000-000076510000}"/>
    <cellStyle name="40% - Accent1 2 4 4 4" xfId="5523" xr:uid="{00000000-0005-0000-0000-000077510000}"/>
    <cellStyle name="40% - Accent1 2 4 4 4 2" xfId="24974" xr:uid="{00000000-0005-0000-0000-000078510000}"/>
    <cellStyle name="40% - Accent1 2 4 4 4 3" xfId="34699" xr:uid="{00000000-0005-0000-0000-000079510000}"/>
    <cellStyle name="40% - Accent1 2 4 4 4 4" xfId="44424" xr:uid="{00000000-0005-0000-0000-00007A510000}"/>
    <cellStyle name="40% - Accent1 2 4 4 4 5" xfId="15249" xr:uid="{00000000-0005-0000-0000-00007B510000}"/>
    <cellStyle name="40% - Accent1 2 4 4 5" xfId="20112" xr:uid="{00000000-0005-0000-0000-00007C510000}"/>
    <cellStyle name="40% - Accent1 2 4 4 6" xfId="29837" xr:uid="{00000000-0005-0000-0000-00007D510000}"/>
    <cellStyle name="40% - Accent1 2 4 4 7" xfId="39562" xr:uid="{00000000-0005-0000-0000-00007E510000}"/>
    <cellStyle name="40% - Accent1 2 4 4 8" xfId="10387" xr:uid="{00000000-0005-0000-0000-00007F510000}"/>
    <cellStyle name="40% - Accent1 2 4 5" xfId="1921" xr:uid="{00000000-0005-0000-0000-000080510000}"/>
    <cellStyle name="40% - Accent1 2 4 5 2" xfId="6783" xr:uid="{00000000-0005-0000-0000-000081510000}"/>
    <cellStyle name="40% - Accent1 2 4 5 2 2" xfId="26234" xr:uid="{00000000-0005-0000-0000-000082510000}"/>
    <cellStyle name="40% - Accent1 2 4 5 2 3" xfId="35959" xr:uid="{00000000-0005-0000-0000-000083510000}"/>
    <cellStyle name="40% - Accent1 2 4 5 2 4" xfId="45684" xr:uid="{00000000-0005-0000-0000-000084510000}"/>
    <cellStyle name="40% - Accent1 2 4 5 2 5" xfId="16509" xr:uid="{00000000-0005-0000-0000-000085510000}"/>
    <cellStyle name="40% - Accent1 2 4 5 3" xfId="21372" xr:uid="{00000000-0005-0000-0000-000086510000}"/>
    <cellStyle name="40% - Accent1 2 4 5 4" xfId="31097" xr:uid="{00000000-0005-0000-0000-000087510000}"/>
    <cellStyle name="40% - Accent1 2 4 5 5" xfId="40822" xr:uid="{00000000-0005-0000-0000-000088510000}"/>
    <cellStyle name="40% - Accent1 2 4 5 6" xfId="11647" xr:uid="{00000000-0005-0000-0000-000089510000}"/>
    <cellStyle name="40% - Accent1 2 4 6" xfId="3541" xr:uid="{00000000-0005-0000-0000-00008A510000}"/>
    <cellStyle name="40% - Accent1 2 4 6 2" xfId="8403" xr:uid="{00000000-0005-0000-0000-00008B510000}"/>
    <cellStyle name="40% - Accent1 2 4 6 2 2" xfId="27854" xr:uid="{00000000-0005-0000-0000-00008C510000}"/>
    <cellStyle name="40% - Accent1 2 4 6 2 3" xfId="37579" xr:uid="{00000000-0005-0000-0000-00008D510000}"/>
    <cellStyle name="40% - Accent1 2 4 6 2 4" xfId="47304" xr:uid="{00000000-0005-0000-0000-00008E510000}"/>
    <cellStyle name="40% - Accent1 2 4 6 2 5" xfId="18129" xr:uid="{00000000-0005-0000-0000-00008F510000}"/>
    <cellStyle name="40% - Accent1 2 4 6 3" xfId="22992" xr:uid="{00000000-0005-0000-0000-000090510000}"/>
    <cellStyle name="40% - Accent1 2 4 6 4" xfId="32717" xr:uid="{00000000-0005-0000-0000-000091510000}"/>
    <cellStyle name="40% - Accent1 2 4 6 5" xfId="42442" xr:uid="{00000000-0005-0000-0000-000092510000}"/>
    <cellStyle name="40% - Accent1 2 4 6 6" xfId="13267" xr:uid="{00000000-0005-0000-0000-000093510000}"/>
    <cellStyle name="40% - Accent1 2 4 7" xfId="5163" xr:uid="{00000000-0005-0000-0000-000094510000}"/>
    <cellStyle name="40% - Accent1 2 4 7 2" xfId="24614" xr:uid="{00000000-0005-0000-0000-000095510000}"/>
    <cellStyle name="40% - Accent1 2 4 7 3" xfId="34339" xr:uid="{00000000-0005-0000-0000-000096510000}"/>
    <cellStyle name="40% - Accent1 2 4 7 4" xfId="44064" xr:uid="{00000000-0005-0000-0000-000097510000}"/>
    <cellStyle name="40% - Accent1 2 4 7 5" xfId="14889" xr:uid="{00000000-0005-0000-0000-000098510000}"/>
    <cellStyle name="40% - Accent1 2 4 8" xfId="19752" xr:uid="{00000000-0005-0000-0000-000099510000}"/>
    <cellStyle name="40% - Accent1 2 4 9" xfId="29477" xr:uid="{00000000-0005-0000-0000-00009A510000}"/>
    <cellStyle name="40% - Accent1 2 5" xfId="330" xr:uid="{00000000-0005-0000-0000-00009B510000}"/>
    <cellStyle name="40% - Accent1 2 5 10" xfId="39292" xr:uid="{00000000-0005-0000-0000-00009C510000}"/>
    <cellStyle name="40% - Accent1 2 5 11" xfId="10117" xr:uid="{00000000-0005-0000-0000-00009D510000}"/>
    <cellStyle name="40% - Accent1 2 5 2" xfId="1093" xr:uid="{00000000-0005-0000-0000-00009E510000}"/>
    <cellStyle name="40% - Accent1 2 5 2 2" xfId="2731" xr:uid="{00000000-0005-0000-0000-00009F510000}"/>
    <cellStyle name="40% - Accent1 2 5 2 2 2" xfId="7593" xr:uid="{00000000-0005-0000-0000-0000A0510000}"/>
    <cellStyle name="40% - Accent1 2 5 2 2 2 2" xfId="27044" xr:uid="{00000000-0005-0000-0000-0000A1510000}"/>
    <cellStyle name="40% - Accent1 2 5 2 2 2 3" xfId="36769" xr:uid="{00000000-0005-0000-0000-0000A2510000}"/>
    <cellStyle name="40% - Accent1 2 5 2 2 2 4" xfId="46494" xr:uid="{00000000-0005-0000-0000-0000A3510000}"/>
    <cellStyle name="40% - Accent1 2 5 2 2 2 5" xfId="17319" xr:uid="{00000000-0005-0000-0000-0000A4510000}"/>
    <cellStyle name="40% - Accent1 2 5 2 2 3" xfId="22182" xr:uid="{00000000-0005-0000-0000-0000A5510000}"/>
    <cellStyle name="40% - Accent1 2 5 2 2 4" xfId="31907" xr:uid="{00000000-0005-0000-0000-0000A6510000}"/>
    <cellStyle name="40% - Accent1 2 5 2 2 5" xfId="41632" xr:uid="{00000000-0005-0000-0000-0000A7510000}"/>
    <cellStyle name="40% - Accent1 2 5 2 2 6" xfId="12457" xr:uid="{00000000-0005-0000-0000-0000A8510000}"/>
    <cellStyle name="40% - Accent1 2 5 2 3" xfId="4351" xr:uid="{00000000-0005-0000-0000-0000A9510000}"/>
    <cellStyle name="40% - Accent1 2 5 2 3 2" xfId="9213" xr:uid="{00000000-0005-0000-0000-0000AA510000}"/>
    <cellStyle name="40% - Accent1 2 5 2 3 2 2" xfId="28664" xr:uid="{00000000-0005-0000-0000-0000AB510000}"/>
    <cellStyle name="40% - Accent1 2 5 2 3 2 3" xfId="38389" xr:uid="{00000000-0005-0000-0000-0000AC510000}"/>
    <cellStyle name="40% - Accent1 2 5 2 3 2 4" xfId="48114" xr:uid="{00000000-0005-0000-0000-0000AD510000}"/>
    <cellStyle name="40% - Accent1 2 5 2 3 2 5" xfId="18939" xr:uid="{00000000-0005-0000-0000-0000AE510000}"/>
    <cellStyle name="40% - Accent1 2 5 2 3 3" xfId="23802" xr:uid="{00000000-0005-0000-0000-0000AF510000}"/>
    <cellStyle name="40% - Accent1 2 5 2 3 4" xfId="33527" xr:uid="{00000000-0005-0000-0000-0000B0510000}"/>
    <cellStyle name="40% - Accent1 2 5 2 3 5" xfId="43252" xr:uid="{00000000-0005-0000-0000-0000B1510000}"/>
    <cellStyle name="40% - Accent1 2 5 2 3 6" xfId="14077" xr:uid="{00000000-0005-0000-0000-0000B2510000}"/>
    <cellStyle name="40% - Accent1 2 5 2 4" xfId="5973" xr:uid="{00000000-0005-0000-0000-0000B3510000}"/>
    <cellStyle name="40% - Accent1 2 5 2 4 2" xfId="25424" xr:uid="{00000000-0005-0000-0000-0000B4510000}"/>
    <cellStyle name="40% - Accent1 2 5 2 4 3" xfId="35149" xr:uid="{00000000-0005-0000-0000-0000B5510000}"/>
    <cellStyle name="40% - Accent1 2 5 2 4 4" xfId="44874" xr:uid="{00000000-0005-0000-0000-0000B6510000}"/>
    <cellStyle name="40% - Accent1 2 5 2 4 5" xfId="15699" xr:uid="{00000000-0005-0000-0000-0000B7510000}"/>
    <cellStyle name="40% - Accent1 2 5 2 5" xfId="20562" xr:uid="{00000000-0005-0000-0000-0000B8510000}"/>
    <cellStyle name="40% - Accent1 2 5 2 6" xfId="30287" xr:uid="{00000000-0005-0000-0000-0000B9510000}"/>
    <cellStyle name="40% - Accent1 2 5 2 7" xfId="40012" xr:uid="{00000000-0005-0000-0000-0000BA510000}"/>
    <cellStyle name="40% - Accent1 2 5 2 8" xfId="10837" xr:uid="{00000000-0005-0000-0000-0000BB510000}"/>
    <cellStyle name="40% - Accent1 2 5 3" xfId="1560" xr:uid="{00000000-0005-0000-0000-0000BC510000}"/>
    <cellStyle name="40% - Accent1 2 5 3 2" xfId="3181" xr:uid="{00000000-0005-0000-0000-0000BD510000}"/>
    <cellStyle name="40% - Accent1 2 5 3 2 2" xfId="8043" xr:uid="{00000000-0005-0000-0000-0000BE510000}"/>
    <cellStyle name="40% - Accent1 2 5 3 2 2 2" xfId="27494" xr:uid="{00000000-0005-0000-0000-0000BF510000}"/>
    <cellStyle name="40% - Accent1 2 5 3 2 2 3" xfId="37219" xr:uid="{00000000-0005-0000-0000-0000C0510000}"/>
    <cellStyle name="40% - Accent1 2 5 3 2 2 4" xfId="46944" xr:uid="{00000000-0005-0000-0000-0000C1510000}"/>
    <cellStyle name="40% - Accent1 2 5 3 2 2 5" xfId="17769" xr:uid="{00000000-0005-0000-0000-0000C2510000}"/>
    <cellStyle name="40% - Accent1 2 5 3 2 3" xfId="22632" xr:uid="{00000000-0005-0000-0000-0000C3510000}"/>
    <cellStyle name="40% - Accent1 2 5 3 2 4" xfId="32357" xr:uid="{00000000-0005-0000-0000-0000C4510000}"/>
    <cellStyle name="40% - Accent1 2 5 3 2 5" xfId="42082" xr:uid="{00000000-0005-0000-0000-0000C5510000}"/>
    <cellStyle name="40% - Accent1 2 5 3 2 6" xfId="12907" xr:uid="{00000000-0005-0000-0000-0000C6510000}"/>
    <cellStyle name="40% - Accent1 2 5 3 3" xfId="4801" xr:uid="{00000000-0005-0000-0000-0000C7510000}"/>
    <cellStyle name="40% - Accent1 2 5 3 3 2" xfId="9663" xr:uid="{00000000-0005-0000-0000-0000C8510000}"/>
    <cellStyle name="40% - Accent1 2 5 3 3 2 2" xfId="29114" xr:uid="{00000000-0005-0000-0000-0000C9510000}"/>
    <cellStyle name="40% - Accent1 2 5 3 3 2 3" xfId="38839" xr:uid="{00000000-0005-0000-0000-0000CA510000}"/>
    <cellStyle name="40% - Accent1 2 5 3 3 2 4" xfId="48564" xr:uid="{00000000-0005-0000-0000-0000CB510000}"/>
    <cellStyle name="40% - Accent1 2 5 3 3 2 5" xfId="19389" xr:uid="{00000000-0005-0000-0000-0000CC510000}"/>
    <cellStyle name="40% - Accent1 2 5 3 3 3" xfId="24252" xr:uid="{00000000-0005-0000-0000-0000CD510000}"/>
    <cellStyle name="40% - Accent1 2 5 3 3 4" xfId="33977" xr:uid="{00000000-0005-0000-0000-0000CE510000}"/>
    <cellStyle name="40% - Accent1 2 5 3 3 5" xfId="43702" xr:uid="{00000000-0005-0000-0000-0000CF510000}"/>
    <cellStyle name="40% - Accent1 2 5 3 3 6" xfId="14527" xr:uid="{00000000-0005-0000-0000-0000D0510000}"/>
    <cellStyle name="40% - Accent1 2 5 3 4" xfId="6423" xr:uid="{00000000-0005-0000-0000-0000D1510000}"/>
    <cellStyle name="40% - Accent1 2 5 3 4 2" xfId="25874" xr:uid="{00000000-0005-0000-0000-0000D2510000}"/>
    <cellStyle name="40% - Accent1 2 5 3 4 3" xfId="35599" xr:uid="{00000000-0005-0000-0000-0000D3510000}"/>
    <cellStyle name="40% - Accent1 2 5 3 4 4" xfId="45324" xr:uid="{00000000-0005-0000-0000-0000D4510000}"/>
    <cellStyle name="40% - Accent1 2 5 3 4 5" xfId="16149" xr:uid="{00000000-0005-0000-0000-0000D5510000}"/>
    <cellStyle name="40% - Accent1 2 5 3 5" xfId="21012" xr:uid="{00000000-0005-0000-0000-0000D6510000}"/>
    <cellStyle name="40% - Accent1 2 5 3 6" xfId="30737" xr:uid="{00000000-0005-0000-0000-0000D7510000}"/>
    <cellStyle name="40% - Accent1 2 5 3 7" xfId="40462" xr:uid="{00000000-0005-0000-0000-0000D8510000}"/>
    <cellStyle name="40% - Accent1 2 5 3 8" xfId="11287" xr:uid="{00000000-0005-0000-0000-0000D9510000}"/>
    <cellStyle name="40% - Accent1 2 5 4" xfId="731" xr:uid="{00000000-0005-0000-0000-0000DA510000}"/>
    <cellStyle name="40% - Accent1 2 5 4 2" xfId="2371" xr:uid="{00000000-0005-0000-0000-0000DB510000}"/>
    <cellStyle name="40% - Accent1 2 5 4 2 2" xfId="7233" xr:uid="{00000000-0005-0000-0000-0000DC510000}"/>
    <cellStyle name="40% - Accent1 2 5 4 2 2 2" xfId="26684" xr:uid="{00000000-0005-0000-0000-0000DD510000}"/>
    <cellStyle name="40% - Accent1 2 5 4 2 2 3" xfId="36409" xr:uid="{00000000-0005-0000-0000-0000DE510000}"/>
    <cellStyle name="40% - Accent1 2 5 4 2 2 4" xfId="46134" xr:uid="{00000000-0005-0000-0000-0000DF510000}"/>
    <cellStyle name="40% - Accent1 2 5 4 2 2 5" xfId="16959" xr:uid="{00000000-0005-0000-0000-0000E0510000}"/>
    <cellStyle name="40% - Accent1 2 5 4 2 3" xfId="21822" xr:uid="{00000000-0005-0000-0000-0000E1510000}"/>
    <cellStyle name="40% - Accent1 2 5 4 2 4" xfId="31547" xr:uid="{00000000-0005-0000-0000-0000E2510000}"/>
    <cellStyle name="40% - Accent1 2 5 4 2 5" xfId="41272" xr:uid="{00000000-0005-0000-0000-0000E3510000}"/>
    <cellStyle name="40% - Accent1 2 5 4 2 6" xfId="12097" xr:uid="{00000000-0005-0000-0000-0000E4510000}"/>
    <cellStyle name="40% - Accent1 2 5 4 3" xfId="3991" xr:uid="{00000000-0005-0000-0000-0000E5510000}"/>
    <cellStyle name="40% - Accent1 2 5 4 3 2" xfId="8853" xr:uid="{00000000-0005-0000-0000-0000E6510000}"/>
    <cellStyle name="40% - Accent1 2 5 4 3 2 2" xfId="28304" xr:uid="{00000000-0005-0000-0000-0000E7510000}"/>
    <cellStyle name="40% - Accent1 2 5 4 3 2 3" xfId="38029" xr:uid="{00000000-0005-0000-0000-0000E8510000}"/>
    <cellStyle name="40% - Accent1 2 5 4 3 2 4" xfId="47754" xr:uid="{00000000-0005-0000-0000-0000E9510000}"/>
    <cellStyle name="40% - Accent1 2 5 4 3 2 5" xfId="18579" xr:uid="{00000000-0005-0000-0000-0000EA510000}"/>
    <cellStyle name="40% - Accent1 2 5 4 3 3" xfId="23442" xr:uid="{00000000-0005-0000-0000-0000EB510000}"/>
    <cellStyle name="40% - Accent1 2 5 4 3 4" xfId="33167" xr:uid="{00000000-0005-0000-0000-0000EC510000}"/>
    <cellStyle name="40% - Accent1 2 5 4 3 5" xfId="42892" xr:uid="{00000000-0005-0000-0000-0000ED510000}"/>
    <cellStyle name="40% - Accent1 2 5 4 3 6" xfId="13717" xr:uid="{00000000-0005-0000-0000-0000EE510000}"/>
    <cellStyle name="40% - Accent1 2 5 4 4" xfId="5613" xr:uid="{00000000-0005-0000-0000-0000EF510000}"/>
    <cellStyle name="40% - Accent1 2 5 4 4 2" xfId="25064" xr:uid="{00000000-0005-0000-0000-0000F0510000}"/>
    <cellStyle name="40% - Accent1 2 5 4 4 3" xfId="34789" xr:uid="{00000000-0005-0000-0000-0000F1510000}"/>
    <cellStyle name="40% - Accent1 2 5 4 4 4" xfId="44514" xr:uid="{00000000-0005-0000-0000-0000F2510000}"/>
    <cellStyle name="40% - Accent1 2 5 4 4 5" xfId="15339" xr:uid="{00000000-0005-0000-0000-0000F3510000}"/>
    <cellStyle name="40% - Accent1 2 5 4 5" xfId="20202" xr:uid="{00000000-0005-0000-0000-0000F4510000}"/>
    <cellStyle name="40% - Accent1 2 5 4 6" xfId="29927" xr:uid="{00000000-0005-0000-0000-0000F5510000}"/>
    <cellStyle name="40% - Accent1 2 5 4 7" xfId="39652" xr:uid="{00000000-0005-0000-0000-0000F6510000}"/>
    <cellStyle name="40% - Accent1 2 5 4 8" xfId="10477" xr:uid="{00000000-0005-0000-0000-0000F7510000}"/>
    <cellStyle name="40% - Accent1 2 5 5" xfId="2011" xr:uid="{00000000-0005-0000-0000-0000F8510000}"/>
    <cellStyle name="40% - Accent1 2 5 5 2" xfId="6873" xr:uid="{00000000-0005-0000-0000-0000F9510000}"/>
    <cellStyle name="40% - Accent1 2 5 5 2 2" xfId="26324" xr:uid="{00000000-0005-0000-0000-0000FA510000}"/>
    <cellStyle name="40% - Accent1 2 5 5 2 3" xfId="36049" xr:uid="{00000000-0005-0000-0000-0000FB510000}"/>
    <cellStyle name="40% - Accent1 2 5 5 2 4" xfId="45774" xr:uid="{00000000-0005-0000-0000-0000FC510000}"/>
    <cellStyle name="40% - Accent1 2 5 5 2 5" xfId="16599" xr:uid="{00000000-0005-0000-0000-0000FD510000}"/>
    <cellStyle name="40% - Accent1 2 5 5 3" xfId="21462" xr:uid="{00000000-0005-0000-0000-0000FE510000}"/>
    <cellStyle name="40% - Accent1 2 5 5 4" xfId="31187" xr:uid="{00000000-0005-0000-0000-0000FF510000}"/>
    <cellStyle name="40% - Accent1 2 5 5 5" xfId="40912" xr:uid="{00000000-0005-0000-0000-000000520000}"/>
    <cellStyle name="40% - Accent1 2 5 5 6" xfId="11737" xr:uid="{00000000-0005-0000-0000-000001520000}"/>
    <cellStyle name="40% - Accent1 2 5 6" xfId="3631" xr:uid="{00000000-0005-0000-0000-000002520000}"/>
    <cellStyle name="40% - Accent1 2 5 6 2" xfId="8493" xr:uid="{00000000-0005-0000-0000-000003520000}"/>
    <cellStyle name="40% - Accent1 2 5 6 2 2" xfId="27944" xr:uid="{00000000-0005-0000-0000-000004520000}"/>
    <cellStyle name="40% - Accent1 2 5 6 2 3" xfId="37669" xr:uid="{00000000-0005-0000-0000-000005520000}"/>
    <cellStyle name="40% - Accent1 2 5 6 2 4" xfId="47394" xr:uid="{00000000-0005-0000-0000-000006520000}"/>
    <cellStyle name="40% - Accent1 2 5 6 2 5" xfId="18219" xr:uid="{00000000-0005-0000-0000-000007520000}"/>
    <cellStyle name="40% - Accent1 2 5 6 3" xfId="23082" xr:uid="{00000000-0005-0000-0000-000008520000}"/>
    <cellStyle name="40% - Accent1 2 5 6 4" xfId="32807" xr:uid="{00000000-0005-0000-0000-000009520000}"/>
    <cellStyle name="40% - Accent1 2 5 6 5" xfId="42532" xr:uid="{00000000-0005-0000-0000-00000A520000}"/>
    <cellStyle name="40% - Accent1 2 5 6 6" xfId="13357" xr:uid="{00000000-0005-0000-0000-00000B520000}"/>
    <cellStyle name="40% - Accent1 2 5 7" xfId="5253" xr:uid="{00000000-0005-0000-0000-00000C520000}"/>
    <cellStyle name="40% - Accent1 2 5 7 2" xfId="24704" xr:uid="{00000000-0005-0000-0000-00000D520000}"/>
    <cellStyle name="40% - Accent1 2 5 7 3" xfId="34429" xr:uid="{00000000-0005-0000-0000-00000E520000}"/>
    <cellStyle name="40% - Accent1 2 5 7 4" xfId="44154" xr:uid="{00000000-0005-0000-0000-00000F520000}"/>
    <cellStyle name="40% - Accent1 2 5 7 5" xfId="14979" xr:uid="{00000000-0005-0000-0000-000010520000}"/>
    <cellStyle name="40% - Accent1 2 5 8" xfId="19842" xr:uid="{00000000-0005-0000-0000-000011520000}"/>
    <cellStyle name="40% - Accent1 2 5 9" xfId="29567" xr:uid="{00000000-0005-0000-0000-000012520000}"/>
    <cellStyle name="40% - Accent1 2 6" xfId="148" xr:uid="{00000000-0005-0000-0000-000013520000}"/>
    <cellStyle name="40% - Accent1 2 6 10" xfId="39112" xr:uid="{00000000-0005-0000-0000-000014520000}"/>
    <cellStyle name="40% - Accent1 2 6 11" xfId="9937" xr:uid="{00000000-0005-0000-0000-000015520000}"/>
    <cellStyle name="40% - Accent1 2 6 2" xfId="912" xr:uid="{00000000-0005-0000-0000-000016520000}"/>
    <cellStyle name="40% - Accent1 2 6 2 2" xfId="2551" xr:uid="{00000000-0005-0000-0000-000017520000}"/>
    <cellStyle name="40% - Accent1 2 6 2 2 2" xfId="7413" xr:uid="{00000000-0005-0000-0000-000018520000}"/>
    <cellStyle name="40% - Accent1 2 6 2 2 2 2" xfId="26864" xr:uid="{00000000-0005-0000-0000-000019520000}"/>
    <cellStyle name="40% - Accent1 2 6 2 2 2 3" xfId="36589" xr:uid="{00000000-0005-0000-0000-00001A520000}"/>
    <cellStyle name="40% - Accent1 2 6 2 2 2 4" xfId="46314" xr:uid="{00000000-0005-0000-0000-00001B520000}"/>
    <cellStyle name="40% - Accent1 2 6 2 2 2 5" xfId="17139" xr:uid="{00000000-0005-0000-0000-00001C520000}"/>
    <cellStyle name="40% - Accent1 2 6 2 2 3" xfId="22002" xr:uid="{00000000-0005-0000-0000-00001D520000}"/>
    <cellStyle name="40% - Accent1 2 6 2 2 4" xfId="31727" xr:uid="{00000000-0005-0000-0000-00001E520000}"/>
    <cellStyle name="40% - Accent1 2 6 2 2 5" xfId="41452" xr:uid="{00000000-0005-0000-0000-00001F520000}"/>
    <cellStyle name="40% - Accent1 2 6 2 2 6" xfId="12277" xr:uid="{00000000-0005-0000-0000-000020520000}"/>
    <cellStyle name="40% - Accent1 2 6 2 3" xfId="4171" xr:uid="{00000000-0005-0000-0000-000021520000}"/>
    <cellStyle name="40% - Accent1 2 6 2 3 2" xfId="9033" xr:uid="{00000000-0005-0000-0000-000022520000}"/>
    <cellStyle name="40% - Accent1 2 6 2 3 2 2" xfId="28484" xr:uid="{00000000-0005-0000-0000-000023520000}"/>
    <cellStyle name="40% - Accent1 2 6 2 3 2 3" xfId="38209" xr:uid="{00000000-0005-0000-0000-000024520000}"/>
    <cellStyle name="40% - Accent1 2 6 2 3 2 4" xfId="47934" xr:uid="{00000000-0005-0000-0000-000025520000}"/>
    <cellStyle name="40% - Accent1 2 6 2 3 2 5" xfId="18759" xr:uid="{00000000-0005-0000-0000-000026520000}"/>
    <cellStyle name="40% - Accent1 2 6 2 3 3" xfId="23622" xr:uid="{00000000-0005-0000-0000-000027520000}"/>
    <cellStyle name="40% - Accent1 2 6 2 3 4" xfId="33347" xr:uid="{00000000-0005-0000-0000-000028520000}"/>
    <cellStyle name="40% - Accent1 2 6 2 3 5" xfId="43072" xr:uid="{00000000-0005-0000-0000-000029520000}"/>
    <cellStyle name="40% - Accent1 2 6 2 3 6" xfId="13897" xr:uid="{00000000-0005-0000-0000-00002A520000}"/>
    <cellStyle name="40% - Accent1 2 6 2 4" xfId="5793" xr:uid="{00000000-0005-0000-0000-00002B520000}"/>
    <cellStyle name="40% - Accent1 2 6 2 4 2" xfId="25244" xr:uid="{00000000-0005-0000-0000-00002C520000}"/>
    <cellStyle name="40% - Accent1 2 6 2 4 3" xfId="34969" xr:uid="{00000000-0005-0000-0000-00002D520000}"/>
    <cellStyle name="40% - Accent1 2 6 2 4 4" xfId="44694" xr:uid="{00000000-0005-0000-0000-00002E520000}"/>
    <cellStyle name="40% - Accent1 2 6 2 4 5" xfId="15519" xr:uid="{00000000-0005-0000-0000-00002F520000}"/>
    <cellStyle name="40% - Accent1 2 6 2 5" xfId="20382" xr:uid="{00000000-0005-0000-0000-000030520000}"/>
    <cellStyle name="40% - Accent1 2 6 2 6" xfId="30107" xr:uid="{00000000-0005-0000-0000-000031520000}"/>
    <cellStyle name="40% - Accent1 2 6 2 7" xfId="39832" xr:uid="{00000000-0005-0000-0000-000032520000}"/>
    <cellStyle name="40% - Accent1 2 6 2 8" xfId="10657" xr:uid="{00000000-0005-0000-0000-000033520000}"/>
    <cellStyle name="40% - Accent1 2 6 3" xfId="1380" xr:uid="{00000000-0005-0000-0000-000034520000}"/>
    <cellStyle name="40% - Accent1 2 6 3 2" xfId="3001" xr:uid="{00000000-0005-0000-0000-000035520000}"/>
    <cellStyle name="40% - Accent1 2 6 3 2 2" xfId="7863" xr:uid="{00000000-0005-0000-0000-000036520000}"/>
    <cellStyle name="40% - Accent1 2 6 3 2 2 2" xfId="27314" xr:uid="{00000000-0005-0000-0000-000037520000}"/>
    <cellStyle name="40% - Accent1 2 6 3 2 2 3" xfId="37039" xr:uid="{00000000-0005-0000-0000-000038520000}"/>
    <cellStyle name="40% - Accent1 2 6 3 2 2 4" xfId="46764" xr:uid="{00000000-0005-0000-0000-000039520000}"/>
    <cellStyle name="40% - Accent1 2 6 3 2 2 5" xfId="17589" xr:uid="{00000000-0005-0000-0000-00003A520000}"/>
    <cellStyle name="40% - Accent1 2 6 3 2 3" xfId="22452" xr:uid="{00000000-0005-0000-0000-00003B520000}"/>
    <cellStyle name="40% - Accent1 2 6 3 2 4" xfId="32177" xr:uid="{00000000-0005-0000-0000-00003C520000}"/>
    <cellStyle name="40% - Accent1 2 6 3 2 5" xfId="41902" xr:uid="{00000000-0005-0000-0000-00003D520000}"/>
    <cellStyle name="40% - Accent1 2 6 3 2 6" xfId="12727" xr:uid="{00000000-0005-0000-0000-00003E520000}"/>
    <cellStyle name="40% - Accent1 2 6 3 3" xfId="4621" xr:uid="{00000000-0005-0000-0000-00003F520000}"/>
    <cellStyle name="40% - Accent1 2 6 3 3 2" xfId="9483" xr:uid="{00000000-0005-0000-0000-000040520000}"/>
    <cellStyle name="40% - Accent1 2 6 3 3 2 2" xfId="28934" xr:uid="{00000000-0005-0000-0000-000041520000}"/>
    <cellStyle name="40% - Accent1 2 6 3 3 2 3" xfId="38659" xr:uid="{00000000-0005-0000-0000-000042520000}"/>
    <cellStyle name="40% - Accent1 2 6 3 3 2 4" xfId="48384" xr:uid="{00000000-0005-0000-0000-000043520000}"/>
    <cellStyle name="40% - Accent1 2 6 3 3 2 5" xfId="19209" xr:uid="{00000000-0005-0000-0000-000044520000}"/>
    <cellStyle name="40% - Accent1 2 6 3 3 3" xfId="24072" xr:uid="{00000000-0005-0000-0000-000045520000}"/>
    <cellStyle name="40% - Accent1 2 6 3 3 4" xfId="33797" xr:uid="{00000000-0005-0000-0000-000046520000}"/>
    <cellStyle name="40% - Accent1 2 6 3 3 5" xfId="43522" xr:uid="{00000000-0005-0000-0000-000047520000}"/>
    <cellStyle name="40% - Accent1 2 6 3 3 6" xfId="14347" xr:uid="{00000000-0005-0000-0000-000048520000}"/>
    <cellStyle name="40% - Accent1 2 6 3 4" xfId="6243" xr:uid="{00000000-0005-0000-0000-000049520000}"/>
    <cellStyle name="40% - Accent1 2 6 3 4 2" xfId="25694" xr:uid="{00000000-0005-0000-0000-00004A520000}"/>
    <cellStyle name="40% - Accent1 2 6 3 4 3" xfId="35419" xr:uid="{00000000-0005-0000-0000-00004B520000}"/>
    <cellStyle name="40% - Accent1 2 6 3 4 4" xfId="45144" xr:uid="{00000000-0005-0000-0000-00004C520000}"/>
    <cellStyle name="40% - Accent1 2 6 3 4 5" xfId="15969" xr:uid="{00000000-0005-0000-0000-00004D520000}"/>
    <cellStyle name="40% - Accent1 2 6 3 5" xfId="20832" xr:uid="{00000000-0005-0000-0000-00004E520000}"/>
    <cellStyle name="40% - Accent1 2 6 3 6" xfId="30557" xr:uid="{00000000-0005-0000-0000-00004F520000}"/>
    <cellStyle name="40% - Accent1 2 6 3 7" xfId="40282" xr:uid="{00000000-0005-0000-0000-000050520000}"/>
    <cellStyle name="40% - Accent1 2 6 3 8" xfId="11107" xr:uid="{00000000-0005-0000-0000-000051520000}"/>
    <cellStyle name="40% - Accent1 2 6 4" xfId="551" xr:uid="{00000000-0005-0000-0000-000052520000}"/>
    <cellStyle name="40% - Accent1 2 6 4 2" xfId="2191" xr:uid="{00000000-0005-0000-0000-000053520000}"/>
    <cellStyle name="40% - Accent1 2 6 4 2 2" xfId="7053" xr:uid="{00000000-0005-0000-0000-000054520000}"/>
    <cellStyle name="40% - Accent1 2 6 4 2 2 2" xfId="26504" xr:uid="{00000000-0005-0000-0000-000055520000}"/>
    <cellStyle name="40% - Accent1 2 6 4 2 2 3" xfId="36229" xr:uid="{00000000-0005-0000-0000-000056520000}"/>
    <cellStyle name="40% - Accent1 2 6 4 2 2 4" xfId="45954" xr:uid="{00000000-0005-0000-0000-000057520000}"/>
    <cellStyle name="40% - Accent1 2 6 4 2 2 5" xfId="16779" xr:uid="{00000000-0005-0000-0000-000058520000}"/>
    <cellStyle name="40% - Accent1 2 6 4 2 3" xfId="21642" xr:uid="{00000000-0005-0000-0000-000059520000}"/>
    <cellStyle name="40% - Accent1 2 6 4 2 4" xfId="31367" xr:uid="{00000000-0005-0000-0000-00005A520000}"/>
    <cellStyle name="40% - Accent1 2 6 4 2 5" xfId="41092" xr:uid="{00000000-0005-0000-0000-00005B520000}"/>
    <cellStyle name="40% - Accent1 2 6 4 2 6" xfId="11917" xr:uid="{00000000-0005-0000-0000-00005C520000}"/>
    <cellStyle name="40% - Accent1 2 6 4 3" xfId="3811" xr:uid="{00000000-0005-0000-0000-00005D520000}"/>
    <cellStyle name="40% - Accent1 2 6 4 3 2" xfId="8673" xr:uid="{00000000-0005-0000-0000-00005E520000}"/>
    <cellStyle name="40% - Accent1 2 6 4 3 2 2" xfId="28124" xr:uid="{00000000-0005-0000-0000-00005F520000}"/>
    <cellStyle name="40% - Accent1 2 6 4 3 2 3" xfId="37849" xr:uid="{00000000-0005-0000-0000-000060520000}"/>
    <cellStyle name="40% - Accent1 2 6 4 3 2 4" xfId="47574" xr:uid="{00000000-0005-0000-0000-000061520000}"/>
    <cellStyle name="40% - Accent1 2 6 4 3 2 5" xfId="18399" xr:uid="{00000000-0005-0000-0000-000062520000}"/>
    <cellStyle name="40% - Accent1 2 6 4 3 3" xfId="23262" xr:uid="{00000000-0005-0000-0000-000063520000}"/>
    <cellStyle name="40% - Accent1 2 6 4 3 4" xfId="32987" xr:uid="{00000000-0005-0000-0000-000064520000}"/>
    <cellStyle name="40% - Accent1 2 6 4 3 5" xfId="42712" xr:uid="{00000000-0005-0000-0000-000065520000}"/>
    <cellStyle name="40% - Accent1 2 6 4 3 6" xfId="13537" xr:uid="{00000000-0005-0000-0000-000066520000}"/>
    <cellStyle name="40% - Accent1 2 6 4 4" xfId="5433" xr:uid="{00000000-0005-0000-0000-000067520000}"/>
    <cellStyle name="40% - Accent1 2 6 4 4 2" xfId="24884" xr:uid="{00000000-0005-0000-0000-000068520000}"/>
    <cellStyle name="40% - Accent1 2 6 4 4 3" xfId="34609" xr:uid="{00000000-0005-0000-0000-000069520000}"/>
    <cellStyle name="40% - Accent1 2 6 4 4 4" xfId="44334" xr:uid="{00000000-0005-0000-0000-00006A520000}"/>
    <cellStyle name="40% - Accent1 2 6 4 4 5" xfId="15159" xr:uid="{00000000-0005-0000-0000-00006B520000}"/>
    <cellStyle name="40% - Accent1 2 6 4 5" xfId="20022" xr:uid="{00000000-0005-0000-0000-00006C520000}"/>
    <cellStyle name="40% - Accent1 2 6 4 6" xfId="29747" xr:uid="{00000000-0005-0000-0000-00006D520000}"/>
    <cellStyle name="40% - Accent1 2 6 4 7" xfId="39472" xr:uid="{00000000-0005-0000-0000-00006E520000}"/>
    <cellStyle name="40% - Accent1 2 6 4 8" xfId="10297" xr:uid="{00000000-0005-0000-0000-00006F520000}"/>
    <cellStyle name="40% - Accent1 2 6 5" xfId="1831" xr:uid="{00000000-0005-0000-0000-000070520000}"/>
    <cellStyle name="40% - Accent1 2 6 5 2" xfId="6693" xr:uid="{00000000-0005-0000-0000-000071520000}"/>
    <cellStyle name="40% - Accent1 2 6 5 2 2" xfId="26144" xr:uid="{00000000-0005-0000-0000-000072520000}"/>
    <cellStyle name="40% - Accent1 2 6 5 2 3" xfId="35869" xr:uid="{00000000-0005-0000-0000-000073520000}"/>
    <cellStyle name="40% - Accent1 2 6 5 2 4" xfId="45594" xr:uid="{00000000-0005-0000-0000-000074520000}"/>
    <cellStyle name="40% - Accent1 2 6 5 2 5" xfId="16419" xr:uid="{00000000-0005-0000-0000-000075520000}"/>
    <cellStyle name="40% - Accent1 2 6 5 3" xfId="21282" xr:uid="{00000000-0005-0000-0000-000076520000}"/>
    <cellStyle name="40% - Accent1 2 6 5 4" xfId="31007" xr:uid="{00000000-0005-0000-0000-000077520000}"/>
    <cellStyle name="40% - Accent1 2 6 5 5" xfId="40732" xr:uid="{00000000-0005-0000-0000-000078520000}"/>
    <cellStyle name="40% - Accent1 2 6 5 6" xfId="11557" xr:uid="{00000000-0005-0000-0000-000079520000}"/>
    <cellStyle name="40% - Accent1 2 6 6" xfId="3451" xr:uid="{00000000-0005-0000-0000-00007A520000}"/>
    <cellStyle name="40% - Accent1 2 6 6 2" xfId="8313" xr:uid="{00000000-0005-0000-0000-00007B520000}"/>
    <cellStyle name="40% - Accent1 2 6 6 2 2" xfId="27764" xr:uid="{00000000-0005-0000-0000-00007C520000}"/>
    <cellStyle name="40% - Accent1 2 6 6 2 3" xfId="37489" xr:uid="{00000000-0005-0000-0000-00007D520000}"/>
    <cellStyle name="40% - Accent1 2 6 6 2 4" xfId="47214" xr:uid="{00000000-0005-0000-0000-00007E520000}"/>
    <cellStyle name="40% - Accent1 2 6 6 2 5" xfId="18039" xr:uid="{00000000-0005-0000-0000-00007F520000}"/>
    <cellStyle name="40% - Accent1 2 6 6 3" xfId="22902" xr:uid="{00000000-0005-0000-0000-000080520000}"/>
    <cellStyle name="40% - Accent1 2 6 6 4" xfId="32627" xr:uid="{00000000-0005-0000-0000-000081520000}"/>
    <cellStyle name="40% - Accent1 2 6 6 5" xfId="42352" xr:uid="{00000000-0005-0000-0000-000082520000}"/>
    <cellStyle name="40% - Accent1 2 6 6 6" xfId="13177" xr:uid="{00000000-0005-0000-0000-000083520000}"/>
    <cellStyle name="40% - Accent1 2 6 7" xfId="5073" xr:uid="{00000000-0005-0000-0000-000084520000}"/>
    <cellStyle name="40% - Accent1 2 6 7 2" xfId="24524" xr:uid="{00000000-0005-0000-0000-000085520000}"/>
    <cellStyle name="40% - Accent1 2 6 7 3" xfId="34249" xr:uid="{00000000-0005-0000-0000-000086520000}"/>
    <cellStyle name="40% - Accent1 2 6 7 4" xfId="43974" xr:uid="{00000000-0005-0000-0000-000087520000}"/>
    <cellStyle name="40% - Accent1 2 6 7 5" xfId="14799" xr:uid="{00000000-0005-0000-0000-000088520000}"/>
    <cellStyle name="40% - Accent1 2 6 8" xfId="19662" xr:uid="{00000000-0005-0000-0000-000089520000}"/>
    <cellStyle name="40% - Accent1 2 6 9" xfId="29387" xr:uid="{00000000-0005-0000-0000-00008A520000}"/>
    <cellStyle name="40% - Accent1 2 7" xfId="822" xr:uid="{00000000-0005-0000-0000-00008B520000}"/>
    <cellStyle name="40% - Accent1 2 7 2" xfId="2461" xr:uid="{00000000-0005-0000-0000-00008C520000}"/>
    <cellStyle name="40% - Accent1 2 7 2 2" xfId="7323" xr:uid="{00000000-0005-0000-0000-00008D520000}"/>
    <cellStyle name="40% - Accent1 2 7 2 2 2" xfId="26774" xr:uid="{00000000-0005-0000-0000-00008E520000}"/>
    <cellStyle name="40% - Accent1 2 7 2 2 3" xfId="36499" xr:uid="{00000000-0005-0000-0000-00008F520000}"/>
    <cellStyle name="40% - Accent1 2 7 2 2 4" xfId="46224" xr:uid="{00000000-0005-0000-0000-000090520000}"/>
    <cellStyle name="40% - Accent1 2 7 2 2 5" xfId="17049" xr:uid="{00000000-0005-0000-0000-000091520000}"/>
    <cellStyle name="40% - Accent1 2 7 2 3" xfId="21912" xr:uid="{00000000-0005-0000-0000-000092520000}"/>
    <cellStyle name="40% - Accent1 2 7 2 4" xfId="31637" xr:uid="{00000000-0005-0000-0000-000093520000}"/>
    <cellStyle name="40% - Accent1 2 7 2 5" xfId="41362" xr:uid="{00000000-0005-0000-0000-000094520000}"/>
    <cellStyle name="40% - Accent1 2 7 2 6" xfId="12187" xr:uid="{00000000-0005-0000-0000-000095520000}"/>
    <cellStyle name="40% - Accent1 2 7 3" xfId="4081" xr:uid="{00000000-0005-0000-0000-000096520000}"/>
    <cellStyle name="40% - Accent1 2 7 3 2" xfId="8943" xr:uid="{00000000-0005-0000-0000-000097520000}"/>
    <cellStyle name="40% - Accent1 2 7 3 2 2" xfId="28394" xr:uid="{00000000-0005-0000-0000-000098520000}"/>
    <cellStyle name="40% - Accent1 2 7 3 2 3" xfId="38119" xr:uid="{00000000-0005-0000-0000-000099520000}"/>
    <cellStyle name="40% - Accent1 2 7 3 2 4" xfId="47844" xr:uid="{00000000-0005-0000-0000-00009A520000}"/>
    <cellStyle name="40% - Accent1 2 7 3 2 5" xfId="18669" xr:uid="{00000000-0005-0000-0000-00009B520000}"/>
    <cellStyle name="40% - Accent1 2 7 3 3" xfId="23532" xr:uid="{00000000-0005-0000-0000-00009C520000}"/>
    <cellStyle name="40% - Accent1 2 7 3 4" xfId="33257" xr:uid="{00000000-0005-0000-0000-00009D520000}"/>
    <cellStyle name="40% - Accent1 2 7 3 5" xfId="42982" xr:uid="{00000000-0005-0000-0000-00009E520000}"/>
    <cellStyle name="40% - Accent1 2 7 3 6" xfId="13807" xr:uid="{00000000-0005-0000-0000-00009F520000}"/>
    <cellStyle name="40% - Accent1 2 7 4" xfId="5703" xr:uid="{00000000-0005-0000-0000-0000A0520000}"/>
    <cellStyle name="40% - Accent1 2 7 4 2" xfId="25154" xr:uid="{00000000-0005-0000-0000-0000A1520000}"/>
    <cellStyle name="40% - Accent1 2 7 4 3" xfId="34879" xr:uid="{00000000-0005-0000-0000-0000A2520000}"/>
    <cellStyle name="40% - Accent1 2 7 4 4" xfId="44604" xr:uid="{00000000-0005-0000-0000-0000A3520000}"/>
    <cellStyle name="40% - Accent1 2 7 4 5" xfId="15429" xr:uid="{00000000-0005-0000-0000-0000A4520000}"/>
    <cellStyle name="40% - Accent1 2 7 5" xfId="20292" xr:uid="{00000000-0005-0000-0000-0000A5520000}"/>
    <cellStyle name="40% - Accent1 2 7 6" xfId="30017" xr:uid="{00000000-0005-0000-0000-0000A6520000}"/>
    <cellStyle name="40% - Accent1 2 7 7" xfId="39742" xr:uid="{00000000-0005-0000-0000-0000A7520000}"/>
    <cellStyle name="40% - Accent1 2 7 8" xfId="10567" xr:uid="{00000000-0005-0000-0000-0000A8520000}"/>
    <cellStyle name="40% - Accent1 2 8" xfId="1200" xr:uid="{00000000-0005-0000-0000-0000A9520000}"/>
    <cellStyle name="40% - Accent1 2 8 2" xfId="2821" xr:uid="{00000000-0005-0000-0000-0000AA520000}"/>
    <cellStyle name="40% - Accent1 2 8 2 2" xfId="7683" xr:uid="{00000000-0005-0000-0000-0000AB520000}"/>
    <cellStyle name="40% - Accent1 2 8 2 2 2" xfId="27134" xr:uid="{00000000-0005-0000-0000-0000AC520000}"/>
    <cellStyle name="40% - Accent1 2 8 2 2 3" xfId="36859" xr:uid="{00000000-0005-0000-0000-0000AD520000}"/>
    <cellStyle name="40% - Accent1 2 8 2 2 4" xfId="46584" xr:uid="{00000000-0005-0000-0000-0000AE520000}"/>
    <cellStyle name="40% - Accent1 2 8 2 2 5" xfId="17409" xr:uid="{00000000-0005-0000-0000-0000AF520000}"/>
    <cellStyle name="40% - Accent1 2 8 2 3" xfId="22272" xr:uid="{00000000-0005-0000-0000-0000B0520000}"/>
    <cellStyle name="40% - Accent1 2 8 2 4" xfId="31997" xr:uid="{00000000-0005-0000-0000-0000B1520000}"/>
    <cellStyle name="40% - Accent1 2 8 2 5" xfId="41722" xr:uid="{00000000-0005-0000-0000-0000B2520000}"/>
    <cellStyle name="40% - Accent1 2 8 2 6" xfId="12547" xr:uid="{00000000-0005-0000-0000-0000B3520000}"/>
    <cellStyle name="40% - Accent1 2 8 3" xfId="4441" xr:uid="{00000000-0005-0000-0000-0000B4520000}"/>
    <cellStyle name="40% - Accent1 2 8 3 2" xfId="9303" xr:uid="{00000000-0005-0000-0000-0000B5520000}"/>
    <cellStyle name="40% - Accent1 2 8 3 2 2" xfId="28754" xr:uid="{00000000-0005-0000-0000-0000B6520000}"/>
    <cellStyle name="40% - Accent1 2 8 3 2 3" xfId="38479" xr:uid="{00000000-0005-0000-0000-0000B7520000}"/>
    <cellStyle name="40% - Accent1 2 8 3 2 4" xfId="48204" xr:uid="{00000000-0005-0000-0000-0000B8520000}"/>
    <cellStyle name="40% - Accent1 2 8 3 2 5" xfId="19029" xr:uid="{00000000-0005-0000-0000-0000B9520000}"/>
    <cellStyle name="40% - Accent1 2 8 3 3" xfId="23892" xr:uid="{00000000-0005-0000-0000-0000BA520000}"/>
    <cellStyle name="40% - Accent1 2 8 3 4" xfId="33617" xr:uid="{00000000-0005-0000-0000-0000BB520000}"/>
    <cellStyle name="40% - Accent1 2 8 3 5" xfId="43342" xr:uid="{00000000-0005-0000-0000-0000BC520000}"/>
    <cellStyle name="40% - Accent1 2 8 3 6" xfId="14167" xr:uid="{00000000-0005-0000-0000-0000BD520000}"/>
    <cellStyle name="40% - Accent1 2 8 4" xfId="6063" xr:uid="{00000000-0005-0000-0000-0000BE520000}"/>
    <cellStyle name="40% - Accent1 2 8 4 2" xfId="25514" xr:uid="{00000000-0005-0000-0000-0000BF520000}"/>
    <cellStyle name="40% - Accent1 2 8 4 3" xfId="35239" xr:uid="{00000000-0005-0000-0000-0000C0520000}"/>
    <cellStyle name="40% - Accent1 2 8 4 4" xfId="44964" xr:uid="{00000000-0005-0000-0000-0000C1520000}"/>
    <cellStyle name="40% - Accent1 2 8 4 5" xfId="15789" xr:uid="{00000000-0005-0000-0000-0000C2520000}"/>
    <cellStyle name="40% - Accent1 2 8 5" xfId="20652" xr:uid="{00000000-0005-0000-0000-0000C3520000}"/>
    <cellStyle name="40% - Accent1 2 8 6" xfId="30377" xr:uid="{00000000-0005-0000-0000-0000C4520000}"/>
    <cellStyle name="40% - Accent1 2 8 7" xfId="40102" xr:uid="{00000000-0005-0000-0000-0000C5520000}"/>
    <cellStyle name="40% - Accent1 2 8 8" xfId="10927" xr:uid="{00000000-0005-0000-0000-0000C6520000}"/>
    <cellStyle name="40% - Accent1 2 9" xfId="1290" xr:uid="{00000000-0005-0000-0000-0000C7520000}"/>
    <cellStyle name="40% - Accent1 2 9 2" xfId="2911" xr:uid="{00000000-0005-0000-0000-0000C8520000}"/>
    <cellStyle name="40% - Accent1 2 9 2 2" xfId="7773" xr:uid="{00000000-0005-0000-0000-0000C9520000}"/>
    <cellStyle name="40% - Accent1 2 9 2 2 2" xfId="27224" xr:uid="{00000000-0005-0000-0000-0000CA520000}"/>
    <cellStyle name="40% - Accent1 2 9 2 2 3" xfId="36949" xr:uid="{00000000-0005-0000-0000-0000CB520000}"/>
    <cellStyle name="40% - Accent1 2 9 2 2 4" xfId="46674" xr:uid="{00000000-0005-0000-0000-0000CC520000}"/>
    <cellStyle name="40% - Accent1 2 9 2 2 5" xfId="17499" xr:uid="{00000000-0005-0000-0000-0000CD520000}"/>
    <cellStyle name="40% - Accent1 2 9 2 3" xfId="22362" xr:uid="{00000000-0005-0000-0000-0000CE520000}"/>
    <cellStyle name="40% - Accent1 2 9 2 4" xfId="32087" xr:uid="{00000000-0005-0000-0000-0000CF520000}"/>
    <cellStyle name="40% - Accent1 2 9 2 5" xfId="41812" xr:uid="{00000000-0005-0000-0000-0000D0520000}"/>
    <cellStyle name="40% - Accent1 2 9 2 6" xfId="12637" xr:uid="{00000000-0005-0000-0000-0000D1520000}"/>
    <cellStyle name="40% - Accent1 2 9 3" xfId="4531" xr:uid="{00000000-0005-0000-0000-0000D2520000}"/>
    <cellStyle name="40% - Accent1 2 9 3 2" xfId="9393" xr:uid="{00000000-0005-0000-0000-0000D3520000}"/>
    <cellStyle name="40% - Accent1 2 9 3 2 2" xfId="28844" xr:uid="{00000000-0005-0000-0000-0000D4520000}"/>
    <cellStyle name="40% - Accent1 2 9 3 2 3" xfId="38569" xr:uid="{00000000-0005-0000-0000-0000D5520000}"/>
    <cellStyle name="40% - Accent1 2 9 3 2 4" xfId="48294" xr:uid="{00000000-0005-0000-0000-0000D6520000}"/>
    <cellStyle name="40% - Accent1 2 9 3 2 5" xfId="19119" xr:uid="{00000000-0005-0000-0000-0000D7520000}"/>
    <cellStyle name="40% - Accent1 2 9 3 3" xfId="23982" xr:uid="{00000000-0005-0000-0000-0000D8520000}"/>
    <cellStyle name="40% - Accent1 2 9 3 4" xfId="33707" xr:uid="{00000000-0005-0000-0000-0000D9520000}"/>
    <cellStyle name="40% - Accent1 2 9 3 5" xfId="43432" xr:uid="{00000000-0005-0000-0000-0000DA520000}"/>
    <cellStyle name="40% - Accent1 2 9 3 6" xfId="14257" xr:uid="{00000000-0005-0000-0000-0000DB520000}"/>
    <cellStyle name="40% - Accent1 2 9 4" xfId="6153" xr:uid="{00000000-0005-0000-0000-0000DC520000}"/>
    <cellStyle name="40% - Accent1 2 9 4 2" xfId="25604" xr:uid="{00000000-0005-0000-0000-0000DD520000}"/>
    <cellStyle name="40% - Accent1 2 9 4 3" xfId="35329" xr:uid="{00000000-0005-0000-0000-0000DE520000}"/>
    <cellStyle name="40% - Accent1 2 9 4 4" xfId="45054" xr:uid="{00000000-0005-0000-0000-0000DF520000}"/>
    <cellStyle name="40% - Accent1 2 9 4 5" xfId="15879" xr:uid="{00000000-0005-0000-0000-0000E0520000}"/>
    <cellStyle name="40% - Accent1 2 9 5" xfId="20742" xr:uid="{00000000-0005-0000-0000-0000E1520000}"/>
    <cellStyle name="40% - Accent1 2 9 6" xfId="30467" xr:uid="{00000000-0005-0000-0000-0000E2520000}"/>
    <cellStyle name="40% - Accent1 2 9 7" xfId="40192" xr:uid="{00000000-0005-0000-0000-0000E3520000}"/>
    <cellStyle name="40% - Accent1 2 9 8" xfId="11017" xr:uid="{00000000-0005-0000-0000-0000E4520000}"/>
    <cellStyle name="40% - Accent1 2_Database (All)" xfId="1173" xr:uid="{00000000-0005-0000-0000-0000E5520000}"/>
    <cellStyle name="40% - Accent1 20" xfId="9833" xr:uid="{00000000-0005-0000-0000-0000E6520000}"/>
    <cellStyle name="40% - Accent1 3" xfId="73" xr:uid="{00000000-0005-0000-0000-0000E7520000}"/>
    <cellStyle name="40% - Accent1 3 10" xfId="1757" xr:uid="{00000000-0005-0000-0000-0000E8520000}"/>
    <cellStyle name="40% - Accent1 3 10 2" xfId="6619" xr:uid="{00000000-0005-0000-0000-0000E9520000}"/>
    <cellStyle name="40% - Accent1 3 10 2 2" xfId="26070" xr:uid="{00000000-0005-0000-0000-0000EA520000}"/>
    <cellStyle name="40% - Accent1 3 10 2 3" xfId="35795" xr:uid="{00000000-0005-0000-0000-0000EB520000}"/>
    <cellStyle name="40% - Accent1 3 10 2 4" xfId="45520" xr:uid="{00000000-0005-0000-0000-0000EC520000}"/>
    <cellStyle name="40% - Accent1 3 10 2 5" xfId="16345" xr:uid="{00000000-0005-0000-0000-0000ED520000}"/>
    <cellStyle name="40% - Accent1 3 10 3" xfId="21208" xr:uid="{00000000-0005-0000-0000-0000EE520000}"/>
    <cellStyle name="40% - Accent1 3 10 4" xfId="30933" xr:uid="{00000000-0005-0000-0000-0000EF520000}"/>
    <cellStyle name="40% - Accent1 3 10 5" xfId="40658" xr:uid="{00000000-0005-0000-0000-0000F0520000}"/>
    <cellStyle name="40% - Accent1 3 10 6" xfId="11483" xr:uid="{00000000-0005-0000-0000-0000F1520000}"/>
    <cellStyle name="40% - Accent1 3 11" xfId="3377" xr:uid="{00000000-0005-0000-0000-0000F2520000}"/>
    <cellStyle name="40% - Accent1 3 11 2" xfId="8239" xr:uid="{00000000-0005-0000-0000-0000F3520000}"/>
    <cellStyle name="40% - Accent1 3 11 2 2" xfId="27690" xr:uid="{00000000-0005-0000-0000-0000F4520000}"/>
    <cellStyle name="40% - Accent1 3 11 2 3" xfId="37415" xr:uid="{00000000-0005-0000-0000-0000F5520000}"/>
    <cellStyle name="40% - Accent1 3 11 2 4" xfId="47140" xr:uid="{00000000-0005-0000-0000-0000F6520000}"/>
    <cellStyle name="40% - Accent1 3 11 2 5" xfId="17965" xr:uid="{00000000-0005-0000-0000-0000F7520000}"/>
    <cellStyle name="40% - Accent1 3 11 3" xfId="22828" xr:uid="{00000000-0005-0000-0000-0000F8520000}"/>
    <cellStyle name="40% - Accent1 3 11 4" xfId="32553" xr:uid="{00000000-0005-0000-0000-0000F9520000}"/>
    <cellStyle name="40% - Accent1 3 11 5" xfId="42278" xr:uid="{00000000-0005-0000-0000-0000FA520000}"/>
    <cellStyle name="40% - Accent1 3 11 6" xfId="13103" xr:uid="{00000000-0005-0000-0000-0000FB520000}"/>
    <cellStyle name="40% - Accent1 3 12" xfId="4999" xr:uid="{00000000-0005-0000-0000-0000FC520000}"/>
    <cellStyle name="40% - Accent1 3 12 2" xfId="24450" xr:uid="{00000000-0005-0000-0000-0000FD520000}"/>
    <cellStyle name="40% - Accent1 3 12 3" xfId="34175" xr:uid="{00000000-0005-0000-0000-0000FE520000}"/>
    <cellStyle name="40% - Accent1 3 12 4" xfId="43900" xr:uid="{00000000-0005-0000-0000-0000FF520000}"/>
    <cellStyle name="40% - Accent1 3 12 5" xfId="14725" xr:uid="{00000000-0005-0000-0000-000000530000}"/>
    <cellStyle name="40% - Accent1 3 13" xfId="19588" xr:uid="{00000000-0005-0000-0000-000001530000}"/>
    <cellStyle name="40% - Accent1 3 14" xfId="29313" xr:uid="{00000000-0005-0000-0000-000002530000}"/>
    <cellStyle name="40% - Accent1 3 15" xfId="39038" xr:uid="{00000000-0005-0000-0000-000003530000}"/>
    <cellStyle name="40% - Accent1 3 16" xfId="9863" xr:uid="{00000000-0005-0000-0000-000004530000}"/>
    <cellStyle name="40% - Accent1 3 2" xfId="255" xr:uid="{00000000-0005-0000-0000-000005530000}"/>
    <cellStyle name="40% - Accent1 3 2 10" xfId="39218" xr:uid="{00000000-0005-0000-0000-000006530000}"/>
    <cellStyle name="40% - Accent1 3 2 11" xfId="10043" xr:uid="{00000000-0005-0000-0000-000007530000}"/>
    <cellStyle name="40% - Accent1 3 2 2" xfId="1019" xr:uid="{00000000-0005-0000-0000-000008530000}"/>
    <cellStyle name="40% - Accent1 3 2 2 2" xfId="2657" xr:uid="{00000000-0005-0000-0000-000009530000}"/>
    <cellStyle name="40% - Accent1 3 2 2 2 2" xfId="7519" xr:uid="{00000000-0005-0000-0000-00000A530000}"/>
    <cellStyle name="40% - Accent1 3 2 2 2 2 2" xfId="26970" xr:uid="{00000000-0005-0000-0000-00000B530000}"/>
    <cellStyle name="40% - Accent1 3 2 2 2 2 3" xfId="36695" xr:uid="{00000000-0005-0000-0000-00000C530000}"/>
    <cellStyle name="40% - Accent1 3 2 2 2 2 4" xfId="46420" xr:uid="{00000000-0005-0000-0000-00000D530000}"/>
    <cellStyle name="40% - Accent1 3 2 2 2 2 5" xfId="17245" xr:uid="{00000000-0005-0000-0000-00000E530000}"/>
    <cellStyle name="40% - Accent1 3 2 2 2 3" xfId="22108" xr:uid="{00000000-0005-0000-0000-00000F530000}"/>
    <cellStyle name="40% - Accent1 3 2 2 2 4" xfId="31833" xr:uid="{00000000-0005-0000-0000-000010530000}"/>
    <cellStyle name="40% - Accent1 3 2 2 2 5" xfId="41558" xr:uid="{00000000-0005-0000-0000-000011530000}"/>
    <cellStyle name="40% - Accent1 3 2 2 2 6" xfId="12383" xr:uid="{00000000-0005-0000-0000-000012530000}"/>
    <cellStyle name="40% - Accent1 3 2 2 3" xfId="4277" xr:uid="{00000000-0005-0000-0000-000013530000}"/>
    <cellStyle name="40% - Accent1 3 2 2 3 2" xfId="9139" xr:uid="{00000000-0005-0000-0000-000014530000}"/>
    <cellStyle name="40% - Accent1 3 2 2 3 2 2" xfId="28590" xr:uid="{00000000-0005-0000-0000-000015530000}"/>
    <cellStyle name="40% - Accent1 3 2 2 3 2 3" xfId="38315" xr:uid="{00000000-0005-0000-0000-000016530000}"/>
    <cellStyle name="40% - Accent1 3 2 2 3 2 4" xfId="48040" xr:uid="{00000000-0005-0000-0000-000017530000}"/>
    <cellStyle name="40% - Accent1 3 2 2 3 2 5" xfId="18865" xr:uid="{00000000-0005-0000-0000-000018530000}"/>
    <cellStyle name="40% - Accent1 3 2 2 3 3" xfId="23728" xr:uid="{00000000-0005-0000-0000-000019530000}"/>
    <cellStyle name="40% - Accent1 3 2 2 3 4" xfId="33453" xr:uid="{00000000-0005-0000-0000-00001A530000}"/>
    <cellStyle name="40% - Accent1 3 2 2 3 5" xfId="43178" xr:uid="{00000000-0005-0000-0000-00001B530000}"/>
    <cellStyle name="40% - Accent1 3 2 2 3 6" xfId="14003" xr:uid="{00000000-0005-0000-0000-00001C530000}"/>
    <cellStyle name="40% - Accent1 3 2 2 4" xfId="5899" xr:uid="{00000000-0005-0000-0000-00001D530000}"/>
    <cellStyle name="40% - Accent1 3 2 2 4 2" xfId="25350" xr:uid="{00000000-0005-0000-0000-00001E530000}"/>
    <cellStyle name="40% - Accent1 3 2 2 4 3" xfId="35075" xr:uid="{00000000-0005-0000-0000-00001F530000}"/>
    <cellStyle name="40% - Accent1 3 2 2 4 4" xfId="44800" xr:uid="{00000000-0005-0000-0000-000020530000}"/>
    <cellStyle name="40% - Accent1 3 2 2 4 5" xfId="15625" xr:uid="{00000000-0005-0000-0000-000021530000}"/>
    <cellStyle name="40% - Accent1 3 2 2 5" xfId="20488" xr:uid="{00000000-0005-0000-0000-000022530000}"/>
    <cellStyle name="40% - Accent1 3 2 2 6" xfId="30213" xr:uid="{00000000-0005-0000-0000-000023530000}"/>
    <cellStyle name="40% - Accent1 3 2 2 7" xfId="39938" xr:uid="{00000000-0005-0000-0000-000024530000}"/>
    <cellStyle name="40% - Accent1 3 2 2 8" xfId="10763" xr:uid="{00000000-0005-0000-0000-000025530000}"/>
    <cellStyle name="40% - Accent1 3 2 3" xfId="1486" xr:uid="{00000000-0005-0000-0000-000026530000}"/>
    <cellStyle name="40% - Accent1 3 2 3 2" xfId="3107" xr:uid="{00000000-0005-0000-0000-000027530000}"/>
    <cellStyle name="40% - Accent1 3 2 3 2 2" xfId="7969" xr:uid="{00000000-0005-0000-0000-000028530000}"/>
    <cellStyle name="40% - Accent1 3 2 3 2 2 2" xfId="27420" xr:uid="{00000000-0005-0000-0000-000029530000}"/>
    <cellStyle name="40% - Accent1 3 2 3 2 2 3" xfId="37145" xr:uid="{00000000-0005-0000-0000-00002A530000}"/>
    <cellStyle name="40% - Accent1 3 2 3 2 2 4" xfId="46870" xr:uid="{00000000-0005-0000-0000-00002B530000}"/>
    <cellStyle name="40% - Accent1 3 2 3 2 2 5" xfId="17695" xr:uid="{00000000-0005-0000-0000-00002C530000}"/>
    <cellStyle name="40% - Accent1 3 2 3 2 3" xfId="22558" xr:uid="{00000000-0005-0000-0000-00002D530000}"/>
    <cellStyle name="40% - Accent1 3 2 3 2 4" xfId="32283" xr:uid="{00000000-0005-0000-0000-00002E530000}"/>
    <cellStyle name="40% - Accent1 3 2 3 2 5" xfId="42008" xr:uid="{00000000-0005-0000-0000-00002F530000}"/>
    <cellStyle name="40% - Accent1 3 2 3 2 6" xfId="12833" xr:uid="{00000000-0005-0000-0000-000030530000}"/>
    <cellStyle name="40% - Accent1 3 2 3 3" xfId="4727" xr:uid="{00000000-0005-0000-0000-000031530000}"/>
    <cellStyle name="40% - Accent1 3 2 3 3 2" xfId="9589" xr:uid="{00000000-0005-0000-0000-000032530000}"/>
    <cellStyle name="40% - Accent1 3 2 3 3 2 2" xfId="29040" xr:uid="{00000000-0005-0000-0000-000033530000}"/>
    <cellStyle name="40% - Accent1 3 2 3 3 2 3" xfId="38765" xr:uid="{00000000-0005-0000-0000-000034530000}"/>
    <cellStyle name="40% - Accent1 3 2 3 3 2 4" xfId="48490" xr:uid="{00000000-0005-0000-0000-000035530000}"/>
    <cellStyle name="40% - Accent1 3 2 3 3 2 5" xfId="19315" xr:uid="{00000000-0005-0000-0000-000036530000}"/>
    <cellStyle name="40% - Accent1 3 2 3 3 3" xfId="24178" xr:uid="{00000000-0005-0000-0000-000037530000}"/>
    <cellStyle name="40% - Accent1 3 2 3 3 4" xfId="33903" xr:uid="{00000000-0005-0000-0000-000038530000}"/>
    <cellStyle name="40% - Accent1 3 2 3 3 5" xfId="43628" xr:uid="{00000000-0005-0000-0000-000039530000}"/>
    <cellStyle name="40% - Accent1 3 2 3 3 6" xfId="14453" xr:uid="{00000000-0005-0000-0000-00003A530000}"/>
    <cellStyle name="40% - Accent1 3 2 3 4" xfId="6349" xr:uid="{00000000-0005-0000-0000-00003B530000}"/>
    <cellStyle name="40% - Accent1 3 2 3 4 2" xfId="25800" xr:uid="{00000000-0005-0000-0000-00003C530000}"/>
    <cellStyle name="40% - Accent1 3 2 3 4 3" xfId="35525" xr:uid="{00000000-0005-0000-0000-00003D530000}"/>
    <cellStyle name="40% - Accent1 3 2 3 4 4" xfId="45250" xr:uid="{00000000-0005-0000-0000-00003E530000}"/>
    <cellStyle name="40% - Accent1 3 2 3 4 5" xfId="16075" xr:uid="{00000000-0005-0000-0000-00003F530000}"/>
    <cellStyle name="40% - Accent1 3 2 3 5" xfId="20938" xr:uid="{00000000-0005-0000-0000-000040530000}"/>
    <cellStyle name="40% - Accent1 3 2 3 6" xfId="30663" xr:uid="{00000000-0005-0000-0000-000041530000}"/>
    <cellStyle name="40% - Accent1 3 2 3 7" xfId="40388" xr:uid="{00000000-0005-0000-0000-000042530000}"/>
    <cellStyle name="40% - Accent1 3 2 3 8" xfId="11213" xr:uid="{00000000-0005-0000-0000-000043530000}"/>
    <cellStyle name="40% - Accent1 3 2 4" xfId="657" xr:uid="{00000000-0005-0000-0000-000044530000}"/>
    <cellStyle name="40% - Accent1 3 2 4 2" xfId="2297" xr:uid="{00000000-0005-0000-0000-000045530000}"/>
    <cellStyle name="40% - Accent1 3 2 4 2 2" xfId="7159" xr:uid="{00000000-0005-0000-0000-000046530000}"/>
    <cellStyle name="40% - Accent1 3 2 4 2 2 2" xfId="26610" xr:uid="{00000000-0005-0000-0000-000047530000}"/>
    <cellStyle name="40% - Accent1 3 2 4 2 2 3" xfId="36335" xr:uid="{00000000-0005-0000-0000-000048530000}"/>
    <cellStyle name="40% - Accent1 3 2 4 2 2 4" xfId="46060" xr:uid="{00000000-0005-0000-0000-000049530000}"/>
    <cellStyle name="40% - Accent1 3 2 4 2 2 5" xfId="16885" xr:uid="{00000000-0005-0000-0000-00004A530000}"/>
    <cellStyle name="40% - Accent1 3 2 4 2 3" xfId="21748" xr:uid="{00000000-0005-0000-0000-00004B530000}"/>
    <cellStyle name="40% - Accent1 3 2 4 2 4" xfId="31473" xr:uid="{00000000-0005-0000-0000-00004C530000}"/>
    <cellStyle name="40% - Accent1 3 2 4 2 5" xfId="41198" xr:uid="{00000000-0005-0000-0000-00004D530000}"/>
    <cellStyle name="40% - Accent1 3 2 4 2 6" xfId="12023" xr:uid="{00000000-0005-0000-0000-00004E530000}"/>
    <cellStyle name="40% - Accent1 3 2 4 3" xfId="3917" xr:uid="{00000000-0005-0000-0000-00004F530000}"/>
    <cellStyle name="40% - Accent1 3 2 4 3 2" xfId="8779" xr:uid="{00000000-0005-0000-0000-000050530000}"/>
    <cellStyle name="40% - Accent1 3 2 4 3 2 2" xfId="28230" xr:uid="{00000000-0005-0000-0000-000051530000}"/>
    <cellStyle name="40% - Accent1 3 2 4 3 2 3" xfId="37955" xr:uid="{00000000-0005-0000-0000-000052530000}"/>
    <cellStyle name="40% - Accent1 3 2 4 3 2 4" xfId="47680" xr:uid="{00000000-0005-0000-0000-000053530000}"/>
    <cellStyle name="40% - Accent1 3 2 4 3 2 5" xfId="18505" xr:uid="{00000000-0005-0000-0000-000054530000}"/>
    <cellStyle name="40% - Accent1 3 2 4 3 3" xfId="23368" xr:uid="{00000000-0005-0000-0000-000055530000}"/>
    <cellStyle name="40% - Accent1 3 2 4 3 4" xfId="33093" xr:uid="{00000000-0005-0000-0000-000056530000}"/>
    <cellStyle name="40% - Accent1 3 2 4 3 5" xfId="42818" xr:uid="{00000000-0005-0000-0000-000057530000}"/>
    <cellStyle name="40% - Accent1 3 2 4 3 6" xfId="13643" xr:uid="{00000000-0005-0000-0000-000058530000}"/>
    <cellStyle name="40% - Accent1 3 2 4 4" xfId="5539" xr:uid="{00000000-0005-0000-0000-000059530000}"/>
    <cellStyle name="40% - Accent1 3 2 4 4 2" xfId="24990" xr:uid="{00000000-0005-0000-0000-00005A530000}"/>
    <cellStyle name="40% - Accent1 3 2 4 4 3" xfId="34715" xr:uid="{00000000-0005-0000-0000-00005B530000}"/>
    <cellStyle name="40% - Accent1 3 2 4 4 4" xfId="44440" xr:uid="{00000000-0005-0000-0000-00005C530000}"/>
    <cellStyle name="40% - Accent1 3 2 4 4 5" xfId="15265" xr:uid="{00000000-0005-0000-0000-00005D530000}"/>
    <cellStyle name="40% - Accent1 3 2 4 5" xfId="20128" xr:uid="{00000000-0005-0000-0000-00005E530000}"/>
    <cellStyle name="40% - Accent1 3 2 4 6" xfId="29853" xr:uid="{00000000-0005-0000-0000-00005F530000}"/>
    <cellStyle name="40% - Accent1 3 2 4 7" xfId="39578" xr:uid="{00000000-0005-0000-0000-000060530000}"/>
    <cellStyle name="40% - Accent1 3 2 4 8" xfId="10403" xr:uid="{00000000-0005-0000-0000-000061530000}"/>
    <cellStyle name="40% - Accent1 3 2 5" xfId="1937" xr:uid="{00000000-0005-0000-0000-000062530000}"/>
    <cellStyle name="40% - Accent1 3 2 5 2" xfId="6799" xr:uid="{00000000-0005-0000-0000-000063530000}"/>
    <cellStyle name="40% - Accent1 3 2 5 2 2" xfId="26250" xr:uid="{00000000-0005-0000-0000-000064530000}"/>
    <cellStyle name="40% - Accent1 3 2 5 2 3" xfId="35975" xr:uid="{00000000-0005-0000-0000-000065530000}"/>
    <cellStyle name="40% - Accent1 3 2 5 2 4" xfId="45700" xr:uid="{00000000-0005-0000-0000-000066530000}"/>
    <cellStyle name="40% - Accent1 3 2 5 2 5" xfId="16525" xr:uid="{00000000-0005-0000-0000-000067530000}"/>
    <cellStyle name="40% - Accent1 3 2 5 3" xfId="21388" xr:uid="{00000000-0005-0000-0000-000068530000}"/>
    <cellStyle name="40% - Accent1 3 2 5 4" xfId="31113" xr:uid="{00000000-0005-0000-0000-000069530000}"/>
    <cellStyle name="40% - Accent1 3 2 5 5" xfId="40838" xr:uid="{00000000-0005-0000-0000-00006A530000}"/>
    <cellStyle name="40% - Accent1 3 2 5 6" xfId="11663" xr:uid="{00000000-0005-0000-0000-00006B530000}"/>
    <cellStyle name="40% - Accent1 3 2 6" xfId="3557" xr:uid="{00000000-0005-0000-0000-00006C530000}"/>
    <cellStyle name="40% - Accent1 3 2 6 2" xfId="8419" xr:uid="{00000000-0005-0000-0000-00006D530000}"/>
    <cellStyle name="40% - Accent1 3 2 6 2 2" xfId="27870" xr:uid="{00000000-0005-0000-0000-00006E530000}"/>
    <cellStyle name="40% - Accent1 3 2 6 2 3" xfId="37595" xr:uid="{00000000-0005-0000-0000-00006F530000}"/>
    <cellStyle name="40% - Accent1 3 2 6 2 4" xfId="47320" xr:uid="{00000000-0005-0000-0000-000070530000}"/>
    <cellStyle name="40% - Accent1 3 2 6 2 5" xfId="18145" xr:uid="{00000000-0005-0000-0000-000071530000}"/>
    <cellStyle name="40% - Accent1 3 2 6 3" xfId="23008" xr:uid="{00000000-0005-0000-0000-000072530000}"/>
    <cellStyle name="40% - Accent1 3 2 6 4" xfId="32733" xr:uid="{00000000-0005-0000-0000-000073530000}"/>
    <cellStyle name="40% - Accent1 3 2 6 5" xfId="42458" xr:uid="{00000000-0005-0000-0000-000074530000}"/>
    <cellStyle name="40% - Accent1 3 2 6 6" xfId="13283" xr:uid="{00000000-0005-0000-0000-000075530000}"/>
    <cellStyle name="40% - Accent1 3 2 7" xfId="5179" xr:uid="{00000000-0005-0000-0000-000076530000}"/>
    <cellStyle name="40% - Accent1 3 2 7 2" xfId="24630" xr:uid="{00000000-0005-0000-0000-000077530000}"/>
    <cellStyle name="40% - Accent1 3 2 7 3" xfId="34355" xr:uid="{00000000-0005-0000-0000-000078530000}"/>
    <cellStyle name="40% - Accent1 3 2 7 4" xfId="44080" xr:uid="{00000000-0005-0000-0000-000079530000}"/>
    <cellStyle name="40% - Accent1 3 2 7 5" xfId="14905" xr:uid="{00000000-0005-0000-0000-00007A530000}"/>
    <cellStyle name="40% - Accent1 3 2 8" xfId="19768" xr:uid="{00000000-0005-0000-0000-00007B530000}"/>
    <cellStyle name="40% - Accent1 3 2 9" xfId="29493" xr:uid="{00000000-0005-0000-0000-00007C530000}"/>
    <cellStyle name="40% - Accent1 3 3" xfId="346" xr:uid="{00000000-0005-0000-0000-00007D530000}"/>
    <cellStyle name="40% - Accent1 3 3 10" xfId="39308" xr:uid="{00000000-0005-0000-0000-00007E530000}"/>
    <cellStyle name="40% - Accent1 3 3 11" xfId="10133" xr:uid="{00000000-0005-0000-0000-00007F530000}"/>
    <cellStyle name="40% - Accent1 3 3 2" xfId="1109" xr:uid="{00000000-0005-0000-0000-000080530000}"/>
    <cellStyle name="40% - Accent1 3 3 2 2" xfId="2747" xr:uid="{00000000-0005-0000-0000-000081530000}"/>
    <cellStyle name="40% - Accent1 3 3 2 2 2" xfId="7609" xr:uid="{00000000-0005-0000-0000-000082530000}"/>
    <cellStyle name="40% - Accent1 3 3 2 2 2 2" xfId="27060" xr:uid="{00000000-0005-0000-0000-000083530000}"/>
    <cellStyle name="40% - Accent1 3 3 2 2 2 3" xfId="36785" xr:uid="{00000000-0005-0000-0000-000084530000}"/>
    <cellStyle name="40% - Accent1 3 3 2 2 2 4" xfId="46510" xr:uid="{00000000-0005-0000-0000-000085530000}"/>
    <cellStyle name="40% - Accent1 3 3 2 2 2 5" xfId="17335" xr:uid="{00000000-0005-0000-0000-000086530000}"/>
    <cellStyle name="40% - Accent1 3 3 2 2 3" xfId="22198" xr:uid="{00000000-0005-0000-0000-000087530000}"/>
    <cellStyle name="40% - Accent1 3 3 2 2 4" xfId="31923" xr:uid="{00000000-0005-0000-0000-000088530000}"/>
    <cellStyle name="40% - Accent1 3 3 2 2 5" xfId="41648" xr:uid="{00000000-0005-0000-0000-000089530000}"/>
    <cellStyle name="40% - Accent1 3 3 2 2 6" xfId="12473" xr:uid="{00000000-0005-0000-0000-00008A530000}"/>
    <cellStyle name="40% - Accent1 3 3 2 3" xfId="4367" xr:uid="{00000000-0005-0000-0000-00008B530000}"/>
    <cellStyle name="40% - Accent1 3 3 2 3 2" xfId="9229" xr:uid="{00000000-0005-0000-0000-00008C530000}"/>
    <cellStyle name="40% - Accent1 3 3 2 3 2 2" xfId="28680" xr:uid="{00000000-0005-0000-0000-00008D530000}"/>
    <cellStyle name="40% - Accent1 3 3 2 3 2 3" xfId="38405" xr:uid="{00000000-0005-0000-0000-00008E530000}"/>
    <cellStyle name="40% - Accent1 3 3 2 3 2 4" xfId="48130" xr:uid="{00000000-0005-0000-0000-00008F530000}"/>
    <cellStyle name="40% - Accent1 3 3 2 3 2 5" xfId="18955" xr:uid="{00000000-0005-0000-0000-000090530000}"/>
    <cellStyle name="40% - Accent1 3 3 2 3 3" xfId="23818" xr:uid="{00000000-0005-0000-0000-000091530000}"/>
    <cellStyle name="40% - Accent1 3 3 2 3 4" xfId="33543" xr:uid="{00000000-0005-0000-0000-000092530000}"/>
    <cellStyle name="40% - Accent1 3 3 2 3 5" xfId="43268" xr:uid="{00000000-0005-0000-0000-000093530000}"/>
    <cellStyle name="40% - Accent1 3 3 2 3 6" xfId="14093" xr:uid="{00000000-0005-0000-0000-000094530000}"/>
    <cellStyle name="40% - Accent1 3 3 2 4" xfId="5989" xr:uid="{00000000-0005-0000-0000-000095530000}"/>
    <cellStyle name="40% - Accent1 3 3 2 4 2" xfId="25440" xr:uid="{00000000-0005-0000-0000-000096530000}"/>
    <cellStyle name="40% - Accent1 3 3 2 4 3" xfId="35165" xr:uid="{00000000-0005-0000-0000-000097530000}"/>
    <cellStyle name="40% - Accent1 3 3 2 4 4" xfId="44890" xr:uid="{00000000-0005-0000-0000-000098530000}"/>
    <cellStyle name="40% - Accent1 3 3 2 4 5" xfId="15715" xr:uid="{00000000-0005-0000-0000-000099530000}"/>
    <cellStyle name="40% - Accent1 3 3 2 5" xfId="20578" xr:uid="{00000000-0005-0000-0000-00009A530000}"/>
    <cellStyle name="40% - Accent1 3 3 2 6" xfId="30303" xr:uid="{00000000-0005-0000-0000-00009B530000}"/>
    <cellStyle name="40% - Accent1 3 3 2 7" xfId="40028" xr:uid="{00000000-0005-0000-0000-00009C530000}"/>
    <cellStyle name="40% - Accent1 3 3 2 8" xfId="10853" xr:uid="{00000000-0005-0000-0000-00009D530000}"/>
    <cellStyle name="40% - Accent1 3 3 3" xfId="1576" xr:uid="{00000000-0005-0000-0000-00009E530000}"/>
    <cellStyle name="40% - Accent1 3 3 3 2" xfId="3197" xr:uid="{00000000-0005-0000-0000-00009F530000}"/>
    <cellStyle name="40% - Accent1 3 3 3 2 2" xfId="8059" xr:uid="{00000000-0005-0000-0000-0000A0530000}"/>
    <cellStyle name="40% - Accent1 3 3 3 2 2 2" xfId="27510" xr:uid="{00000000-0005-0000-0000-0000A1530000}"/>
    <cellStyle name="40% - Accent1 3 3 3 2 2 3" xfId="37235" xr:uid="{00000000-0005-0000-0000-0000A2530000}"/>
    <cellStyle name="40% - Accent1 3 3 3 2 2 4" xfId="46960" xr:uid="{00000000-0005-0000-0000-0000A3530000}"/>
    <cellStyle name="40% - Accent1 3 3 3 2 2 5" xfId="17785" xr:uid="{00000000-0005-0000-0000-0000A4530000}"/>
    <cellStyle name="40% - Accent1 3 3 3 2 3" xfId="22648" xr:uid="{00000000-0005-0000-0000-0000A5530000}"/>
    <cellStyle name="40% - Accent1 3 3 3 2 4" xfId="32373" xr:uid="{00000000-0005-0000-0000-0000A6530000}"/>
    <cellStyle name="40% - Accent1 3 3 3 2 5" xfId="42098" xr:uid="{00000000-0005-0000-0000-0000A7530000}"/>
    <cellStyle name="40% - Accent1 3 3 3 2 6" xfId="12923" xr:uid="{00000000-0005-0000-0000-0000A8530000}"/>
    <cellStyle name="40% - Accent1 3 3 3 3" xfId="4817" xr:uid="{00000000-0005-0000-0000-0000A9530000}"/>
    <cellStyle name="40% - Accent1 3 3 3 3 2" xfId="9679" xr:uid="{00000000-0005-0000-0000-0000AA530000}"/>
    <cellStyle name="40% - Accent1 3 3 3 3 2 2" xfId="29130" xr:uid="{00000000-0005-0000-0000-0000AB530000}"/>
    <cellStyle name="40% - Accent1 3 3 3 3 2 3" xfId="38855" xr:uid="{00000000-0005-0000-0000-0000AC530000}"/>
    <cellStyle name="40% - Accent1 3 3 3 3 2 4" xfId="48580" xr:uid="{00000000-0005-0000-0000-0000AD530000}"/>
    <cellStyle name="40% - Accent1 3 3 3 3 2 5" xfId="19405" xr:uid="{00000000-0005-0000-0000-0000AE530000}"/>
    <cellStyle name="40% - Accent1 3 3 3 3 3" xfId="24268" xr:uid="{00000000-0005-0000-0000-0000AF530000}"/>
    <cellStyle name="40% - Accent1 3 3 3 3 4" xfId="33993" xr:uid="{00000000-0005-0000-0000-0000B0530000}"/>
    <cellStyle name="40% - Accent1 3 3 3 3 5" xfId="43718" xr:uid="{00000000-0005-0000-0000-0000B1530000}"/>
    <cellStyle name="40% - Accent1 3 3 3 3 6" xfId="14543" xr:uid="{00000000-0005-0000-0000-0000B2530000}"/>
    <cellStyle name="40% - Accent1 3 3 3 4" xfId="6439" xr:uid="{00000000-0005-0000-0000-0000B3530000}"/>
    <cellStyle name="40% - Accent1 3 3 3 4 2" xfId="25890" xr:uid="{00000000-0005-0000-0000-0000B4530000}"/>
    <cellStyle name="40% - Accent1 3 3 3 4 3" xfId="35615" xr:uid="{00000000-0005-0000-0000-0000B5530000}"/>
    <cellStyle name="40% - Accent1 3 3 3 4 4" xfId="45340" xr:uid="{00000000-0005-0000-0000-0000B6530000}"/>
    <cellStyle name="40% - Accent1 3 3 3 4 5" xfId="16165" xr:uid="{00000000-0005-0000-0000-0000B7530000}"/>
    <cellStyle name="40% - Accent1 3 3 3 5" xfId="21028" xr:uid="{00000000-0005-0000-0000-0000B8530000}"/>
    <cellStyle name="40% - Accent1 3 3 3 6" xfId="30753" xr:uid="{00000000-0005-0000-0000-0000B9530000}"/>
    <cellStyle name="40% - Accent1 3 3 3 7" xfId="40478" xr:uid="{00000000-0005-0000-0000-0000BA530000}"/>
    <cellStyle name="40% - Accent1 3 3 3 8" xfId="11303" xr:uid="{00000000-0005-0000-0000-0000BB530000}"/>
    <cellStyle name="40% - Accent1 3 3 4" xfId="747" xr:uid="{00000000-0005-0000-0000-0000BC530000}"/>
    <cellStyle name="40% - Accent1 3 3 4 2" xfId="2387" xr:uid="{00000000-0005-0000-0000-0000BD530000}"/>
    <cellStyle name="40% - Accent1 3 3 4 2 2" xfId="7249" xr:uid="{00000000-0005-0000-0000-0000BE530000}"/>
    <cellStyle name="40% - Accent1 3 3 4 2 2 2" xfId="26700" xr:uid="{00000000-0005-0000-0000-0000BF530000}"/>
    <cellStyle name="40% - Accent1 3 3 4 2 2 3" xfId="36425" xr:uid="{00000000-0005-0000-0000-0000C0530000}"/>
    <cellStyle name="40% - Accent1 3 3 4 2 2 4" xfId="46150" xr:uid="{00000000-0005-0000-0000-0000C1530000}"/>
    <cellStyle name="40% - Accent1 3 3 4 2 2 5" xfId="16975" xr:uid="{00000000-0005-0000-0000-0000C2530000}"/>
    <cellStyle name="40% - Accent1 3 3 4 2 3" xfId="21838" xr:uid="{00000000-0005-0000-0000-0000C3530000}"/>
    <cellStyle name="40% - Accent1 3 3 4 2 4" xfId="31563" xr:uid="{00000000-0005-0000-0000-0000C4530000}"/>
    <cellStyle name="40% - Accent1 3 3 4 2 5" xfId="41288" xr:uid="{00000000-0005-0000-0000-0000C5530000}"/>
    <cellStyle name="40% - Accent1 3 3 4 2 6" xfId="12113" xr:uid="{00000000-0005-0000-0000-0000C6530000}"/>
    <cellStyle name="40% - Accent1 3 3 4 3" xfId="4007" xr:uid="{00000000-0005-0000-0000-0000C7530000}"/>
    <cellStyle name="40% - Accent1 3 3 4 3 2" xfId="8869" xr:uid="{00000000-0005-0000-0000-0000C8530000}"/>
    <cellStyle name="40% - Accent1 3 3 4 3 2 2" xfId="28320" xr:uid="{00000000-0005-0000-0000-0000C9530000}"/>
    <cellStyle name="40% - Accent1 3 3 4 3 2 3" xfId="38045" xr:uid="{00000000-0005-0000-0000-0000CA530000}"/>
    <cellStyle name="40% - Accent1 3 3 4 3 2 4" xfId="47770" xr:uid="{00000000-0005-0000-0000-0000CB530000}"/>
    <cellStyle name="40% - Accent1 3 3 4 3 2 5" xfId="18595" xr:uid="{00000000-0005-0000-0000-0000CC530000}"/>
    <cellStyle name="40% - Accent1 3 3 4 3 3" xfId="23458" xr:uid="{00000000-0005-0000-0000-0000CD530000}"/>
    <cellStyle name="40% - Accent1 3 3 4 3 4" xfId="33183" xr:uid="{00000000-0005-0000-0000-0000CE530000}"/>
    <cellStyle name="40% - Accent1 3 3 4 3 5" xfId="42908" xr:uid="{00000000-0005-0000-0000-0000CF530000}"/>
    <cellStyle name="40% - Accent1 3 3 4 3 6" xfId="13733" xr:uid="{00000000-0005-0000-0000-0000D0530000}"/>
    <cellStyle name="40% - Accent1 3 3 4 4" xfId="5629" xr:uid="{00000000-0005-0000-0000-0000D1530000}"/>
    <cellStyle name="40% - Accent1 3 3 4 4 2" xfId="25080" xr:uid="{00000000-0005-0000-0000-0000D2530000}"/>
    <cellStyle name="40% - Accent1 3 3 4 4 3" xfId="34805" xr:uid="{00000000-0005-0000-0000-0000D3530000}"/>
    <cellStyle name="40% - Accent1 3 3 4 4 4" xfId="44530" xr:uid="{00000000-0005-0000-0000-0000D4530000}"/>
    <cellStyle name="40% - Accent1 3 3 4 4 5" xfId="15355" xr:uid="{00000000-0005-0000-0000-0000D5530000}"/>
    <cellStyle name="40% - Accent1 3 3 4 5" xfId="20218" xr:uid="{00000000-0005-0000-0000-0000D6530000}"/>
    <cellStyle name="40% - Accent1 3 3 4 6" xfId="29943" xr:uid="{00000000-0005-0000-0000-0000D7530000}"/>
    <cellStyle name="40% - Accent1 3 3 4 7" xfId="39668" xr:uid="{00000000-0005-0000-0000-0000D8530000}"/>
    <cellStyle name="40% - Accent1 3 3 4 8" xfId="10493" xr:uid="{00000000-0005-0000-0000-0000D9530000}"/>
    <cellStyle name="40% - Accent1 3 3 5" xfId="2027" xr:uid="{00000000-0005-0000-0000-0000DA530000}"/>
    <cellStyle name="40% - Accent1 3 3 5 2" xfId="6889" xr:uid="{00000000-0005-0000-0000-0000DB530000}"/>
    <cellStyle name="40% - Accent1 3 3 5 2 2" xfId="26340" xr:uid="{00000000-0005-0000-0000-0000DC530000}"/>
    <cellStyle name="40% - Accent1 3 3 5 2 3" xfId="36065" xr:uid="{00000000-0005-0000-0000-0000DD530000}"/>
    <cellStyle name="40% - Accent1 3 3 5 2 4" xfId="45790" xr:uid="{00000000-0005-0000-0000-0000DE530000}"/>
    <cellStyle name="40% - Accent1 3 3 5 2 5" xfId="16615" xr:uid="{00000000-0005-0000-0000-0000DF530000}"/>
    <cellStyle name="40% - Accent1 3 3 5 3" xfId="21478" xr:uid="{00000000-0005-0000-0000-0000E0530000}"/>
    <cellStyle name="40% - Accent1 3 3 5 4" xfId="31203" xr:uid="{00000000-0005-0000-0000-0000E1530000}"/>
    <cellStyle name="40% - Accent1 3 3 5 5" xfId="40928" xr:uid="{00000000-0005-0000-0000-0000E2530000}"/>
    <cellStyle name="40% - Accent1 3 3 5 6" xfId="11753" xr:uid="{00000000-0005-0000-0000-0000E3530000}"/>
    <cellStyle name="40% - Accent1 3 3 6" xfId="3647" xr:uid="{00000000-0005-0000-0000-0000E4530000}"/>
    <cellStyle name="40% - Accent1 3 3 6 2" xfId="8509" xr:uid="{00000000-0005-0000-0000-0000E5530000}"/>
    <cellStyle name="40% - Accent1 3 3 6 2 2" xfId="27960" xr:uid="{00000000-0005-0000-0000-0000E6530000}"/>
    <cellStyle name="40% - Accent1 3 3 6 2 3" xfId="37685" xr:uid="{00000000-0005-0000-0000-0000E7530000}"/>
    <cellStyle name="40% - Accent1 3 3 6 2 4" xfId="47410" xr:uid="{00000000-0005-0000-0000-0000E8530000}"/>
    <cellStyle name="40% - Accent1 3 3 6 2 5" xfId="18235" xr:uid="{00000000-0005-0000-0000-0000E9530000}"/>
    <cellStyle name="40% - Accent1 3 3 6 3" xfId="23098" xr:uid="{00000000-0005-0000-0000-0000EA530000}"/>
    <cellStyle name="40% - Accent1 3 3 6 4" xfId="32823" xr:uid="{00000000-0005-0000-0000-0000EB530000}"/>
    <cellStyle name="40% - Accent1 3 3 6 5" xfId="42548" xr:uid="{00000000-0005-0000-0000-0000EC530000}"/>
    <cellStyle name="40% - Accent1 3 3 6 6" xfId="13373" xr:uid="{00000000-0005-0000-0000-0000ED530000}"/>
    <cellStyle name="40% - Accent1 3 3 7" xfId="5269" xr:uid="{00000000-0005-0000-0000-0000EE530000}"/>
    <cellStyle name="40% - Accent1 3 3 7 2" xfId="24720" xr:uid="{00000000-0005-0000-0000-0000EF530000}"/>
    <cellStyle name="40% - Accent1 3 3 7 3" xfId="34445" xr:uid="{00000000-0005-0000-0000-0000F0530000}"/>
    <cellStyle name="40% - Accent1 3 3 7 4" xfId="44170" xr:uid="{00000000-0005-0000-0000-0000F1530000}"/>
    <cellStyle name="40% - Accent1 3 3 7 5" xfId="14995" xr:uid="{00000000-0005-0000-0000-0000F2530000}"/>
    <cellStyle name="40% - Accent1 3 3 8" xfId="19858" xr:uid="{00000000-0005-0000-0000-0000F3530000}"/>
    <cellStyle name="40% - Accent1 3 3 9" xfId="29583" xr:uid="{00000000-0005-0000-0000-0000F4530000}"/>
    <cellStyle name="40% - Accent1 3 4" xfId="164" xr:uid="{00000000-0005-0000-0000-0000F5530000}"/>
    <cellStyle name="40% - Accent1 3 4 10" xfId="39128" xr:uid="{00000000-0005-0000-0000-0000F6530000}"/>
    <cellStyle name="40% - Accent1 3 4 11" xfId="9953" xr:uid="{00000000-0005-0000-0000-0000F7530000}"/>
    <cellStyle name="40% - Accent1 3 4 2" xfId="928" xr:uid="{00000000-0005-0000-0000-0000F8530000}"/>
    <cellStyle name="40% - Accent1 3 4 2 2" xfId="2567" xr:uid="{00000000-0005-0000-0000-0000F9530000}"/>
    <cellStyle name="40% - Accent1 3 4 2 2 2" xfId="7429" xr:uid="{00000000-0005-0000-0000-0000FA530000}"/>
    <cellStyle name="40% - Accent1 3 4 2 2 2 2" xfId="26880" xr:uid="{00000000-0005-0000-0000-0000FB530000}"/>
    <cellStyle name="40% - Accent1 3 4 2 2 2 3" xfId="36605" xr:uid="{00000000-0005-0000-0000-0000FC530000}"/>
    <cellStyle name="40% - Accent1 3 4 2 2 2 4" xfId="46330" xr:uid="{00000000-0005-0000-0000-0000FD530000}"/>
    <cellStyle name="40% - Accent1 3 4 2 2 2 5" xfId="17155" xr:uid="{00000000-0005-0000-0000-0000FE530000}"/>
    <cellStyle name="40% - Accent1 3 4 2 2 3" xfId="22018" xr:uid="{00000000-0005-0000-0000-0000FF530000}"/>
    <cellStyle name="40% - Accent1 3 4 2 2 4" xfId="31743" xr:uid="{00000000-0005-0000-0000-000000540000}"/>
    <cellStyle name="40% - Accent1 3 4 2 2 5" xfId="41468" xr:uid="{00000000-0005-0000-0000-000001540000}"/>
    <cellStyle name="40% - Accent1 3 4 2 2 6" xfId="12293" xr:uid="{00000000-0005-0000-0000-000002540000}"/>
    <cellStyle name="40% - Accent1 3 4 2 3" xfId="4187" xr:uid="{00000000-0005-0000-0000-000003540000}"/>
    <cellStyle name="40% - Accent1 3 4 2 3 2" xfId="9049" xr:uid="{00000000-0005-0000-0000-000004540000}"/>
    <cellStyle name="40% - Accent1 3 4 2 3 2 2" xfId="28500" xr:uid="{00000000-0005-0000-0000-000005540000}"/>
    <cellStyle name="40% - Accent1 3 4 2 3 2 3" xfId="38225" xr:uid="{00000000-0005-0000-0000-000006540000}"/>
    <cellStyle name="40% - Accent1 3 4 2 3 2 4" xfId="47950" xr:uid="{00000000-0005-0000-0000-000007540000}"/>
    <cellStyle name="40% - Accent1 3 4 2 3 2 5" xfId="18775" xr:uid="{00000000-0005-0000-0000-000008540000}"/>
    <cellStyle name="40% - Accent1 3 4 2 3 3" xfId="23638" xr:uid="{00000000-0005-0000-0000-000009540000}"/>
    <cellStyle name="40% - Accent1 3 4 2 3 4" xfId="33363" xr:uid="{00000000-0005-0000-0000-00000A540000}"/>
    <cellStyle name="40% - Accent1 3 4 2 3 5" xfId="43088" xr:uid="{00000000-0005-0000-0000-00000B540000}"/>
    <cellStyle name="40% - Accent1 3 4 2 3 6" xfId="13913" xr:uid="{00000000-0005-0000-0000-00000C540000}"/>
    <cellStyle name="40% - Accent1 3 4 2 4" xfId="5809" xr:uid="{00000000-0005-0000-0000-00000D540000}"/>
    <cellStyle name="40% - Accent1 3 4 2 4 2" xfId="25260" xr:uid="{00000000-0005-0000-0000-00000E540000}"/>
    <cellStyle name="40% - Accent1 3 4 2 4 3" xfId="34985" xr:uid="{00000000-0005-0000-0000-00000F540000}"/>
    <cellStyle name="40% - Accent1 3 4 2 4 4" xfId="44710" xr:uid="{00000000-0005-0000-0000-000010540000}"/>
    <cellStyle name="40% - Accent1 3 4 2 4 5" xfId="15535" xr:uid="{00000000-0005-0000-0000-000011540000}"/>
    <cellStyle name="40% - Accent1 3 4 2 5" xfId="20398" xr:uid="{00000000-0005-0000-0000-000012540000}"/>
    <cellStyle name="40% - Accent1 3 4 2 6" xfId="30123" xr:uid="{00000000-0005-0000-0000-000013540000}"/>
    <cellStyle name="40% - Accent1 3 4 2 7" xfId="39848" xr:uid="{00000000-0005-0000-0000-000014540000}"/>
    <cellStyle name="40% - Accent1 3 4 2 8" xfId="10673" xr:uid="{00000000-0005-0000-0000-000015540000}"/>
    <cellStyle name="40% - Accent1 3 4 3" xfId="1396" xr:uid="{00000000-0005-0000-0000-000016540000}"/>
    <cellStyle name="40% - Accent1 3 4 3 2" xfId="3017" xr:uid="{00000000-0005-0000-0000-000017540000}"/>
    <cellStyle name="40% - Accent1 3 4 3 2 2" xfId="7879" xr:uid="{00000000-0005-0000-0000-000018540000}"/>
    <cellStyle name="40% - Accent1 3 4 3 2 2 2" xfId="27330" xr:uid="{00000000-0005-0000-0000-000019540000}"/>
    <cellStyle name="40% - Accent1 3 4 3 2 2 3" xfId="37055" xr:uid="{00000000-0005-0000-0000-00001A540000}"/>
    <cellStyle name="40% - Accent1 3 4 3 2 2 4" xfId="46780" xr:uid="{00000000-0005-0000-0000-00001B540000}"/>
    <cellStyle name="40% - Accent1 3 4 3 2 2 5" xfId="17605" xr:uid="{00000000-0005-0000-0000-00001C540000}"/>
    <cellStyle name="40% - Accent1 3 4 3 2 3" xfId="22468" xr:uid="{00000000-0005-0000-0000-00001D540000}"/>
    <cellStyle name="40% - Accent1 3 4 3 2 4" xfId="32193" xr:uid="{00000000-0005-0000-0000-00001E540000}"/>
    <cellStyle name="40% - Accent1 3 4 3 2 5" xfId="41918" xr:uid="{00000000-0005-0000-0000-00001F540000}"/>
    <cellStyle name="40% - Accent1 3 4 3 2 6" xfId="12743" xr:uid="{00000000-0005-0000-0000-000020540000}"/>
    <cellStyle name="40% - Accent1 3 4 3 3" xfId="4637" xr:uid="{00000000-0005-0000-0000-000021540000}"/>
    <cellStyle name="40% - Accent1 3 4 3 3 2" xfId="9499" xr:uid="{00000000-0005-0000-0000-000022540000}"/>
    <cellStyle name="40% - Accent1 3 4 3 3 2 2" xfId="28950" xr:uid="{00000000-0005-0000-0000-000023540000}"/>
    <cellStyle name="40% - Accent1 3 4 3 3 2 3" xfId="38675" xr:uid="{00000000-0005-0000-0000-000024540000}"/>
    <cellStyle name="40% - Accent1 3 4 3 3 2 4" xfId="48400" xr:uid="{00000000-0005-0000-0000-000025540000}"/>
    <cellStyle name="40% - Accent1 3 4 3 3 2 5" xfId="19225" xr:uid="{00000000-0005-0000-0000-000026540000}"/>
    <cellStyle name="40% - Accent1 3 4 3 3 3" xfId="24088" xr:uid="{00000000-0005-0000-0000-000027540000}"/>
    <cellStyle name="40% - Accent1 3 4 3 3 4" xfId="33813" xr:uid="{00000000-0005-0000-0000-000028540000}"/>
    <cellStyle name="40% - Accent1 3 4 3 3 5" xfId="43538" xr:uid="{00000000-0005-0000-0000-000029540000}"/>
    <cellStyle name="40% - Accent1 3 4 3 3 6" xfId="14363" xr:uid="{00000000-0005-0000-0000-00002A540000}"/>
    <cellStyle name="40% - Accent1 3 4 3 4" xfId="6259" xr:uid="{00000000-0005-0000-0000-00002B540000}"/>
    <cellStyle name="40% - Accent1 3 4 3 4 2" xfId="25710" xr:uid="{00000000-0005-0000-0000-00002C540000}"/>
    <cellStyle name="40% - Accent1 3 4 3 4 3" xfId="35435" xr:uid="{00000000-0005-0000-0000-00002D540000}"/>
    <cellStyle name="40% - Accent1 3 4 3 4 4" xfId="45160" xr:uid="{00000000-0005-0000-0000-00002E540000}"/>
    <cellStyle name="40% - Accent1 3 4 3 4 5" xfId="15985" xr:uid="{00000000-0005-0000-0000-00002F540000}"/>
    <cellStyle name="40% - Accent1 3 4 3 5" xfId="20848" xr:uid="{00000000-0005-0000-0000-000030540000}"/>
    <cellStyle name="40% - Accent1 3 4 3 6" xfId="30573" xr:uid="{00000000-0005-0000-0000-000031540000}"/>
    <cellStyle name="40% - Accent1 3 4 3 7" xfId="40298" xr:uid="{00000000-0005-0000-0000-000032540000}"/>
    <cellStyle name="40% - Accent1 3 4 3 8" xfId="11123" xr:uid="{00000000-0005-0000-0000-000033540000}"/>
    <cellStyle name="40% - Accent1 3 4 4" xfId="567" xr:uid="{00000000-0005-0000-0000-000034540000}"/>
    <cellStyle name="40% - Accent1 3 4 4 2" xfId="2207" xr:uid="{00000000-0005-0000-0000-000035540000}"/>
    <cellStyle name="40% - Accent1 3 4 4 2 2" xfId="7069" xr:uid="{00000000-0005-0000-0000-000036540000}"/>
    <cellStyle name="40% - Accent1 3 4 4 2 2 2" xfId="26520" xr:uid="{00000000-0005-0000-0000-000037540000}"/>
    <cellStyle name="40% - Accent1 3 4 4 2 2 3" xfId="36245" xr:uid="{00000000-0005-0000-0000-000038540000}"/>
    <cellStyle name="40% - Accent1 3 4 4 2 2 4" xfId="45970" xr:uid="{00000000-0005-0000-0000-000039540000}"/>
    <cellStyle name="40% - Accent1 3 4 4 2 2 5" xfId="16795" xr:uid="{00000000-0005-0000-0000-00003A540000}"/>
    <cellStyle name="40% - Accent1 3 4 4 2 3" xfId="21658" xr:uid="{00000000-0005-0000-0000-00003B540000}"/>
    <cellStyle name="40% - Accent1 3 4 4 2 4" xfId="31383" xr:uid="{00000000-0005-0000-0000-00003C540000}"/>
    <cellStyle name="40% - Accent1 3 4 4 2 5" xfId="41108" xr:uid="{00000000-0005-0000-0000-00003D540000}"/>
    <cellStyle name="40% - Accent1 3 4 4 2 6" xfId="11933" xr:uid="{00000000-0005-0000-0000-00003E540000}"/>
    <cellStyle name="40% - Accent1 3 4 4 3" xfId="3827" xr:uid="{00000000-0005-0000-0000-00003F540000}"/>
    <cellStyle name="40% - Accent1 3 4 4 3 2" xfId="8689" xr:uid="{00000000-0005-0000-0000-000040540000}"/>
    <cellStyle name="40% - Accent1 3 4 4 3 2 2" xfId="28140" xr:uid="{00000000-0005-0000-0000-000041540000}"/>
    <cellStyle name="40% - Accent1 3 4 4 3 2 3" xfId="37865" xr:uid="{00000000-0005-0000-0000-000042540000}"/>
    <cellStyle name="40% - Accent1 3 4 4 3 2 4" xfId="47590" xr:uid="{00000000-0005-0000-0000-000043540000}"/>
    <cellStyle name="40% - Accent1 3 4 4 3 2 5" xfId="18415" xr:uid="{00000000-0005-0000-0000-000044540000}"/>
    <cellStyle name="40% - Accent1 3 4 4 3 3" xfId="23278" xr:uid="{00000000-0005-0000-0000-000045540000}"/>
    <cellStyle name="40% - Accent1 3 4 4 3 4" xfId="33003" xr:uid="{00000000-0005-0000-0000-000046540000}"/>
    <cellStyle name="40% - Accent1 3 4 4 3 5" xfId="42728" xr:uid="{00000000-0005-0000-0000-000047540000}"/>
    <cellStyle name="40% - Accent1 3 4 4 3 6" xfId="13553" xr:uid="{00000000-0005-0000-0000-000048540000}"/>
    <cellStyle name="40% - Accent1 3 4 4 4" xfId="5449" xr:uid="{00000000-0005-0000-0000-000049540000}"/>
    <cellStyle name="40% - Accent1 3 4 4 4 2" xfId="24900" xr:uid="{00000000-0005-0000-0000-00004A540000}"/>
    <cellStyle name="40% - Accent1 3 4 4 4 3" xfId="34625" xr:uid="{00000000-0005-0000-0000-00004B540000}"/>
    <cellStyle name="40% - Accent1 3 4 4 4 4" xfId="44350" xr:uid="{00000000-0005-0000-0000-00004C540000}"/>
    <cellStyle name="40% - Accent1 3 4 4 4 5" xfId="15175" xr:uid="{00000000-0005-0000-0000-00004D540000}"/>
    <cellStyle name="40% - Accent1 3 4 4 5" xfId="20038" xr:uid="{00000000-0005-0000-0000-00004E540000}"/>
    <cellStyle name="40% - Accent1 3 4 4 6" xfId="29763" xr:uid="{00000000-0005-0000-0000-00004F540000}"/>
    <cellStyle name="40% - Accent1 3 4 4 7" xfId="39488" xr:uid="{00000000-0005-0000-0000-000050540000}"/>
    <cellStyle name="40% - Accent1 3 4 4 8" xfId="10313" xr:uid="{00000000-0005-0000-0000-000051540000}"/>
    <cellStyle name="40% - Accent1 3 4 5" xfId="1847" xr:uid="{00000000-0005-0000-0000-000052540000}"/>
    <cellStyle name="40% - Accent1 3 4 5 2" xfId="6709" xr:uid="{00000000-0005-0000-0000-000053540000}"/>
    <cellStyle name="40% - Accent1 3 4 5 2 2" xfId="26160" xr:uid="{00000000-0005-0000-0000-000054540000}"/>
    <cellStyle name="40% - Accent1 3 4 5 2 3" xfId="35885" xr:uid="{00000000-0005-0000-0000-000055540000}"/>
    <cellStyle name="40% - Accent1 3 4 5 2 4" xfId="45610" xr:uid="{00000000-0005-0000-0000-000056540000}"/>
    <cellStyle name="40% - Accent1 3 4 5 2 5" xfId="16435" xr:uid="{00000000-0005-0000-0000-000057540000}"/>
    <cellStyle name="40% - Accent1 3 4 5 3" xfId="21298" xr:uid="{00000000-0005-0000-0000-000058540000}"/>
    <cellStyle name="40% - Accent1 3 4 5 4" xfId="31023" xr:uid="{00000000-0005-0000-0000-000059540000}"/>
    <cellStyle name="40% - Accent1 3 4 5 5" xfId="40748" xr:uid="{00000000-0005-0000-0000-00005A540000}"/>
    <cellStyle name="40% - Accent1 3 4 5 6" xfId="11573" xr:uid="{00000000-0005-0000-0000-00005B540000}"/>
    <cellStyle name="40% - Accent1 3 4 6" xfId="3467" xr:uid="{00000000-0005-0000-0000-00005C540000}"/>
    <cellStyle name="40% - Accent1 3 4 6 2" xfId="8329" xr:uid="{00000000-0005-0000-0000-00005D540000}"/>
    <cellStyle name="40% - Accent1 3 4 6 2 2" xfId="27780" xr:uid="{00000000-0005-0000-0000-00005E540000}"/>
    <cellStyle name="40% - Accent1 3 4 6 2 3" xfId="37505" xr:uid="{00000000-0005-0000-0000-00005F540000}"/>
    <cellStyle name="40% - Accent1 3 4 6 2 4" xfId="47230" xr:uid="{00000000-0005-0000-0000-000060540000}"/>
    <cellStyle name="40% - Accent1 3 4 6 2 5" xfId="18055" xr:uid="{00000000-0005-0000-0000-000061540000}"/>
    <cellStyle name="40% - Accent1 3 4 6 3" xfId="22918" xr:uid="{00000000-0005-0000-0000-000062540000}"/>
    <cellStyle name="40% - Accent1 3 4 6 4" xfId="32643" xr:uid="{00000000-0005-0000-0000-000063540000}"/>
    <cellStyle name="40% - Accent1 3 4 6 5" xfId="42368" xr:uid="{00000000-0005-0000-0000-000064540000}"/>
    <cellStyle name="40% - Accent1 3 4 6 6" xfId="13193" xr:uid="{00000000-0005-0000-0000-000065540000}"/>
    <cellStyle name="40% - Accent1 3 4 7" xfId="5089" xr:uid="{00000000-0005-0000-0000-000066540000}"/>
    <cellStyle name="40% - Accent1 3 4 7 2" xfId="24540" xr:uid="{00000000-0005-0000-0000-000067540000}"/>
    <cellStyle name="40% - Accent1 3 4 7 3" xfId="34265" xr:uid="{00000000-0005-0000-0000-000068540000}"/>
    <cellStyle name="40% - Accent1 3 4 7 4" xfId="43990" xr:uid="{00000000-0005-0000-0000-000069540000}"/>
    <cellStyle name="40% - Accent1 3 4 7 5" xfId="14815" xr:uid="{00000000-0005-0000-0000-00006A540000}"/>
    <cellStyle name="40% - Accent1 3 4 8" xfId="19678" xr:uid="{00000000-0005-0000-0000-00006B540000}"/>
    <cellStyle name="40% - Accent1 3 4 9" xfId="29403" xr:uid="{00000000-0005-0000-0000-00006C540000}"/>
    <cellStyle name="40% - Accent1 3 5" xfId="838" xr:uid="{00000000-0005-0000-0000-00006D540000}"/>
    <cellStyle name="40% - Accent1 3 5 2" xfId="2477" xr:uid="{00000000-0005-0000-0000-00006E540000}"/>
    <cellStyle name="40% - Accent1 3 5 2 2" xfId="7339" xr:uid="{00000000-0005-0000-0000-00006F540000}"/>
    <cellStyle name="40% - Accent1 3 5 2 2 2" xfId="26790" xr:uid="{00000000-0005-0000-0000-000070540000}"/>
    <cellStyle name="40% - Accent1 3 5 2 2 3" xfId="36515" xr:uid="{00000000-0005-0000-0000-000071540000}"/>
    <cellStyle name="40% - Accent1 3 5 2 2 4" xfId="46240" xr:uid="{00000000-0005-0000-0000-000072540000}"/>
    <cellStyle name="40% - Accent1 3 5 2 2 5" xfId="17065" xr:uid="{00000000-0005-0000-0000-000073540000}"/>
    <cellStyle name="40% - Accent1 3 5 2 3" xfId="21928" xr:uid="{00000000-0005-0000-0000-000074540000}"/>
    <cellStyle name="40% - Accent1 3 5 2 4" xfId="31653" xr:uid="{00000000-0005-0000-0000-000075540000}"/>
    <cellStyle name="40% - Accent1 3 5 2 5" xfId="41378" xr:uid="{00000000-0005-0000-0000-000076540000}"/>
    <cellStyle name="40% - Accent1 3 5 2 6" xfId="12203" xr:uid="{00000000-0005-0000-0000-000077540000}"/>
    <cellStyle name="40% - Accent1 3 5 3" xfId="4097" xr:uid="{00000000-0005-0000-0000-000078540000}"/>
    <cellStyle name="40% - Accent1 3 5 3 2" xfId="8959" xr:uid="{00000000-0005-0000-0000-000079540000}"/>
    <cellStyle name="40% - Accent1 3 5 3 2 2" xfId="28410" xr:uid="{00000000-0005-0000-0000-00007A540000}"/>
    <cellStyle name="40% - Accent1 3 5 3 2 3" xfId="38135" xr:uid="{00000000-0005-0000-0000-00007B540000}"/>
    <cellStyle name="40% - Accent1 3 5 3 2 4" xfId="47860" xr:uid="{00000000-0005-0000-0000-00007C540000}"/>
    <cellStyle name="40% - Accent1 3 5 3 2 5" xfId="18685" xr:uid="{00000000-0005-0000-0000-00007D540000}"/>
    <cellStyle name="40% - Accent1 3 5 3 3" xfId="23548" xr:uid="{00000000-0005-0000-0000-00007E540000}"/>
    <cellStyle name="40% - Accent1 3 5 3 4" xfId="33273" xr:uid="{00000000-0005-0000-0000-00007F540000}"/>
    <cellStyle name="40% - Accent1 3 5 3 5" xfId="42998" xr:uid="{00000000-0005-0000-0000-000080540000}"/>
    <cellStyle name="40% - Accent1 3 5 3 6" xfId="13823" xr:uid="{00000000-0005-0000-0000-000081540000}"/>
    <cellStyle name="40% - Accent1 3 5 4" xfId="5719" xr:uid="{00000000-0005-0000-0000-000082540000}"/>
    <cellStyle name="40% - Accent1 3 5 4 2" xfId="25170" xr:uid="{00000000-0005-0000-0000-000083540000}"/>
    <cellStyle name="40% - Accent1 3 5 4 3" xfId="34895" xr:uid="{00000000-0005-0000-0000-000084540000}"/>
    <cellStyle name="40% - Accent1 3 5 4 4" xfId="44620" xr:uid="{00000000-0005-0000-0000-000085540000}"/>
    <cellStyle name="40% - Accent1 3 5 4 5" xfId="15445" xr:uid="{00000000-0005-0000-0000-000086540000}"/>
    <cellStyle name="40% - Accent1 3 5 5" xfId="20308" xr:uid="{00000000-0005-0000-0000-000087540000}"/>
    <cellStyle name="40% - Accent1 3 5 6" xfId="30033" xr:uid="{00000000-0005-0000-0000-000088540000}"/>
    <cellStyle name="40% - Accent1 3 5 7" xfId="39758" xr:uid="{00000000-0005-0000-0000-000089540000}"/>
    <cellStyle name="40% - Accent1 3 5 8" xfId="10583" xr:uid="{00000000-0005-0000-0000-00008A540000}"/>
    <cellStyle name="40% - Accent1 3 6" xfId="1216" xr:uid="{00000000-0005-0000-0000-00008B540000}"/>
    <cellStyle name="40% - Accent1 3 6 2" xfId="2837" xr:uid="{00000000-0005-0000-0000-00008C540000}"/>
    <cellStyle name="40% - Accent1 3 6 2 2" xfId="7699" xr:uid="{00000000-0005-0000-0000-00008D540000}"/>
    <cellStyle name="40% - Accent1 3 6 2 2 2" xfId="27150" xr:uid="{00000000-0005-0000-0000-00008E540000}"/>
    <cellStyle name="40% - Accent1 3 6 2 2 3" xfId="36875" xr:uid="{00000000-0005-0000-0000-00008F540000}"/>
    <cellStyle name="40% - Accent1 3 6 2 2 4" xfId="46600" xr:uid="{00000000-0005-0000-0000-000090540000}"/>
    <cellStyle name="40% - Accent1 3 6 2 2 5" xfId="17425" xr:uid="{00000000-0005-0000-0000-000091540000}"/>
    <cellStyle name="40% - Accent1 3 6 2 3" xfId="22288" xr:uid="{00000000-0005-0000-0000-000092540000}"/>
    <cellStyle name="40% - Accent1 3 6 2 4" xfId="32013" xr:uid="{00000000-0005-0000-0000-000093540000}"/>
    <cellStyle name="40% - Accent1 3 6 2 5" xfId="41738" xr:uid="{00000000-0005-0000-0000-000094540000}"/>
    <cellStyle name="40% - Accent1 3 6 2 6" xfId="12563" xr:uid="{00000000-0005-0000-0000-000095540000}"/>
    <cellStyle name="40% - Accent1 3 6 3" xfId="4457" xr:uid="{00000000-0005-0000-0000-000096540000}"/>
    <cellStyle name="40% - Accent1 3 6 3 2" xfId="9319" xr:uid="{00000000-0005-0000-0000-000097540000}"/>
    <cellStyle name="40% - Accent1 3 6 3 2 2" xfId="28770" xr:uid="{00000000-0005-0000-0000-000098540000}"/>
    <cellStyle name="40% - Accent1 3 6 3 2 3" xfId="38495" xr:uid="{00000000-0005-0000-0000-000099540000}"/>
    <cellStyle name="40% - Accent1 3 6 3 2 4" xfId="48220" xr:uid="{00000000-0005-0000-0000-00009A540000}"/>
    <cellStyle name="40% - Accent1 3 6 3 2 5" xfId="19045" xr:uid="{00000000-0005-0000-0000-00009B540000}"/>
    <cellStyle name="40% - Accent1 3 6 3 3" xfId="23908" xr:uid="{00000000-0005-0000-0000-00009C540000}"/>
    <cellStyle name="40% - Accent1 3 6 3 4" xfId="33633" xr:uid="{00000000-0005-0000-0000-00009D540000}"/>
    <cellStyle name="40% - Accent1 3 6 3 5" xfId="43358" xr:uid="{00000000-0005-0000-0000-00009E540000}"/>
    <cellStyle name="40% - Accent1 3 6 3 6" xfId="14183" xr:uid="{00000000-0005-0000-0000-00009F540000}"/>
    <cellStyle name="40% - Accent1 3 6 4" xfId="6079" xr:uid="{00000000-0005-0000-0000-0000A0540000}"/>
    <cellStyle name="40% - Accent1 3 6 4 2" xfId="25530" xr:uid="{00000000-0005-0000-0000-0000A1540000}"/>
    <cellStyle name="40% - Accent1 3 6 4 3" xfId="35255" xr:uid="{00000000-0005-0000-0000-0000A2540000}"/>
    <cellStyle name="40% - Accent1 3 6 4 4" xfId="44980" xr:uid="{00000000-0005-0000-0000-0000A3540000}"/>
    <cellStyle name="40% - Accent1 3 6 4 5" xfId="15805" xr:uid="{00000000-0005-0000-0000-0000A4540000}"/>
    <cellStyle name="40% - Accent1 3 6 5" xfId="20668" xr:uid="{00000000-0005-0000-0000-0000A5540000}"/>
    <cellStyle name="40% - Accent1 3 6 6" xfId="30393" xr:uid="{00000000-0005-0000-0000-0000A6540000}"/>
    <cellStyle name="40% - Accent1 3 6 7" xfId="40118" xr:uid="{00000000-0005-0000-0000-0000A7540000}"/>
    <cellStyle name="40% - Accent1 3 6 8" xfId="10943" xr:uid="{00000000-0005-0000-0000-0000A8540000}"/>
    <cellStyle name="40% - Accent1 3 7" xfId="1306" xr:uid="{00000000-0005-0000-0000-0000A9540000}"/>
    <cellStyle name="40% - Accent1 3 7 2" xfId="2927" xr:uid="{00000000-0005-0000-0000-0000AA540000}"/>
    <cellStyle name="40% - Accent1 3 7 2 2" xfId="7789" xr:uid="{00000000-0005-0000-0000-0000AB540000}"/>
    <cellStyle name="40% - Accent1 3 7 2 2 2" xfId="27240" xr:uid="{00000000-0005-0000-0000-0000AC540000}"/>
    <cellStyle name="40% - Accent1 3 7 2 2 3" xfId="36965" xr:uid="{00000000-0005-0000-0000-0000AD540000}"/>
    <cellStyle name="40% - Accent1 3 7 2 2 4" xfId="46690" xr:uid="{00000000-0005-0000-0000-0000AE540000}"/>
    <cellStyle name="40% - Accent1 3 7 2 2 5" xfId="17515" xr:uid="{00000000-0005-0000-0000-0000AF540000}"/>
    <cellStyle name="40% - Accent1 3 7 2 3" xfId="22378" xr:uid="{00000000-0005-0000-0000-0000B0540000}"/>
    <cellStyle name="40% - Accent1 3 7 2 4" xfId="32103" xr:uid="{00000000-0005-0000-0000-0000B1540000}"/>
    <cellStyle name="40% - Accent1 3 7 2 5" xfId="41828" xr:uid="{00000000-0005-0000-0000-0000B2540000}"/>
    <cellStyle name="40% - Accent1 3 7 2 6" xfId="12653" xr:uid="{00000000-0005-0000-0000-0000B3540000}"/>
    <cellStyle name="40% - Accent1 3 7 3" xfId="4547" xr:uid="{00000000-0005-0000-0000-0000B4540000}"/>
    <cellStyle name="40% - Accent1 3 7 3 2" xfId="9409" xr:uid="{00000000-0005-0000-0000-0000B5540000}"/>
    <cellStyle name="40% - Accent1 3 7 3 2 2" xfId="28860" xr:uid="{00000000-0005-0000-0000-0000B6540000}"/>
    <cellStyle name="40% - Accent1 3 7 3 2 3" xfId="38585" xr:uid="{00000000-0005-0000-0000-0000B7540000}"/>
    <cellStyle name="40% - Accent1 3 7 3 2 4" xfId="48310" xr:uid="{00000000-0005-0000-0000-0000B8540000}"/>
    <cellStyle name="40% - Accent1 3 7 3 2 5" xfId="19135" xr:uid="{00000000-0005-0000-0000-0000B9540000}"/>
    <cellStyle name="40% - Accent1 3 7 3 3" xfId="23998" xr:uid="{00000000-0005-0000-0000-0000BA540000}"/>
    <cellStyle name="40% - Accent1 3 7 3 4" xfId="33723" xr:uid="{00000000-0005-0000-0000-0000BB540000}"/>
    <cellStyle name="40% - Accent1 3 7 3 5" xfId="43448" xr:uid="{00000000-0005-0000-0000-0000BC540000}"/>
    <cellStyle name="40% - Accent1 3 7 3 6" xfId="14273" xr:uid="{00000000-0005-0000-0000-0000BD540000}"/>
    <cellStyle name="40% - Accent1 3 7 4" xfId="6169" xr:uid="{00000000-0005-0000-0000-0000BE540000}"/>
    <cellStyle name="40% - Accent1 3 7 4 2" xfId="25620" xr:uid="{00000000-0005-0000-0000-0000BF540000}"/>
    <cellStyle name="40% - Accent1 3 7 4 3" xfId="35345" xr:uid="{00000000-0005-0000-0000-0000C0540000}"/>
    <cellStyle name="40% - Accent1 3 7 4 4" xfId="45070" xr:uid="{00000000-0005-0000-0000-0000C1540000}"/>
    <cellStyle name="40% - Accent1 3 7 4 5" xfId="15895" xr:uid="{00000000-0005-0000-0000-0000C2540000}"/>
    <cellStyle name="40% - Accent1 3 7 5" xfId="20758" xr:uid="{00000000-0005-0000-0000-0000C3540000}"/>
    <cellStyle name="40% - Accent1 3 7 6" xfId="30483" xr:uid="{00000000-0005-0000-0000-0000C4540000}"/>
    <cellStyle name="40% - Accent1 3 7 7" xfId="40208" xr:uid="{00000000-0005-0000-0000-0000C5540000}"/>
    <cellStyle name="40% - Accent1 3 7 8" xfId="11033" xr:uid="{00000000-0005-0000-0000-0000C6540000}"/>
    <cellStyle name="40% - Accent1 3 8" xfId="477" xr:uid="{00000000-0005-0000-0000-0000C7540000}"/>
    <cellStyle name="40% - Accent1 3 8 2" xfId="2117" xr:uid="{00000000-0005-0000-0000-0000C8540000}"/>
    <cellStyle name="40% - Accent1 3 8 2 2" xfId="6979" xr:uid="{00000000-0005-0000-0000-0000C9540000}"/>
    <cellStyle name="40% - Accent1 3 8 2 2 2" xfId="26430" xr:uid="{00000000-0005-0000-0000-0000CA540000}"/>
    <cellStyle name="40% - Accent1 3 8 2 2 3" xfId="36155" xr:uid="{00000000-0005-0000-0000-0000CB540000}"/>
    <cellStyle name="40% - Accent1 3 8 2 2 4" xfId="45880" xr:uid="{00000000-0005-0000-0000-0000CC540000}"/>
    <cellStyle name="40% - Accent1 3 8 2 2 5" xfId="16705" xr:uid="{00000000-0005-0000-0000-0000CD540000}"/>
    <cellStyle name="40% - Accent1 3 8 2 3" xfId="21568" xr:uid="{00000000-0005-0000-0000-0000CE540000}"/>
    <cellStyle name="40% - Accent1 3 8 2 4" xfId="31293" xr:uid="{00000000-0005-0000-0000-0000CF540000}"/>
    <cellStyle name="40% - Accent1 3 8 2 5" xfId="41018" xr:uid="{00000000-0005-0000-0000-0000D0540000}"/>
    <cellStyle name="40% - Accent1 3 8 2 6" xfId="11843" xr:uid="{00000000-0005-0000-0000-0000D1540000}"/>
    <cellStyle name="40% - Accent1 3 8 3" xfId="3737" xr:uid="{00000000-0005-0000-0000-0000D2540000}"/>
    <cellStyle name="40% - Accent1 3 8 3 2" xfId="8599" xr:uid="{00000000-0005-0000-0000-0000D3540000}"/>
    <cellStyle name="40% - Accent1 3 8 3 2 2" xfId="28050" xr:uid="{00000000-0005-0000-0000-0000D4540000}"/>
    <cellStyle name="40% - Accent1 3 8 3 2 3" xfId="37775" xr:uid="{00000000-0005-0000-0000-0000D5540000}"/>
    <cellStyle name="40% - Accent1 3 8 3 2 4" xfId="47500" xr:uid="{00000000-0005-0000-0000-0000D6540000}"/>
    <cellStyle name="40% - Accent1 3 8 3 2 5" xfId="18325" xr:uid="{00000000-0005-0000-0000-0000D7540000}"/>
    <cellStyle name="40% - Accent1 3 8 3 3" xfId="23188" xr:uid="{00000000-0005-0000-0000-0000D8540000}"/>
    <cellStyle name="40% - Accent1 3 8 3 4" xfId="32913" xr:uid="{00000000-0005-0000-0000-0000D9540000}"/>
    <cellStyle name="40% - Accent1 3 8 3 5" xfId="42638" xr:uid="{00000000-0005-0000-0000-0000DA540000}"/>
    <cellStyle name="40% - Accent1 3 8 3 6" xfId="13463" xr:uid="{00000000-0005-0000-0000-0000DB540000}"/>
    <cellStyle name="40% - Accent1 3 8 4" xfId="5359" xr:uid="{00000000-0005-0000-0000-0000DC540000}"/>
    <cellStyle name="40% - Accent1 3 8 4 2" xfId="24810" xr:uid="{00000000-0005-0000-0000-0000DD540000}"/>
    <cellStyle name="40% - Accent1 3 8 4 3" xfId="34535" xr:uid="{00000000-0005-0000-0000-0000DE540000}"/>
    <cellStyle name="40% - Accent1 3 8 4 4" xfId="44260" xr:uid="{00000000-0005-0000-0000-0000DF540000}"/>
    <cellStyle name="40% - Accent1 3 8 4 5" xfId="15085" xr:uid="{00000000-0005-0000-0000-0000E0540000}"/>
    <cellStyle name="40% - Accent1 3 8 5" xfId="19948" xr:uid="{00000000-0005-0000-0000-0000E1540000}"/>
    <cellStyle name="40% - Accent1 3 8 6" xfId="29673" xr:uid="{00000000-0005-0000-0000-0000E2540000}"/>
    <cellStyle name="40% - Accent1 3 8 7" xfId="39398" xr:uid="{00000000-0005-0000-0000-0000E3540000}"/>
    <cellStyle name="40% - Accent1 3 8 8" xfId="10223" xr:uid="{00000000-0005-0000-0000-0000E4540000}"/>
    <cellStyle name="40% - Accent1 3 9" xfId="1666" xr:uid="{00000000-0005-0000-0000-0000E5540000}"/>
    <cellStyle name="40% - Accent1 3 9 2" xfId="3287" xr:uid="{00000000-0005-0000-0000-0000E6540000}"/>
    <cellStyle name="40% - Accent1 3 9 2 2" xfId="8149" xr:uid="{00000000-0005-0000-0000-0000E7540000}"/>
    <cellStyle name="40% - Accent1 3 9 2 2 2" xfId="27600" xr:uid="{00000000-0005-0000-0000-0000E8540000}"/>
    <cellStyle name="40% - Accent1 3 9 2 2 3" xfId="37325" xr:uid="{00000000-0005-0000-0000-0000E9540000}"/>
    <cellStyle name="40% - Accent1 3 9 2 2 4" xfId="47050" xr:uid="{00000000-0005-0000-0000-0000EA540000}"/>
    <cellStyle name="40% - Accent1 3 9 2 2 5" xfId="17875" xr:uid="{00000000-0005-0000-0000-0000EB540000}"/>
    <cellStyle name="40% - Accent1 3 9 2 3" xfId="22738" xr:uid="{00000000-0005-0000-0000-0000EC540000}"/>
    <cellStyle name="40% - Accent1 3 9 2 4" xfId="32463" xr:uid="{00000000-0005-0000-0000-0000ED540000}"/>
    <cellStyle name="40% - Accent1 3 9 2 5" xfId="42188" xr:uid="{00000000-0005-0000-0000-0000EE540000}"/>
    <cellStyle name="40% - Accent1 3 9 2 6" xfId="13013" xr:uid="{00000000-0005-0000-0000-0000EF540000}"/>
    <cellStyle name="40% - Accent1 3 9 3" xfId="4907" xr:uid="{00000000-0005-0000-0000-0000F0540000}"/>
    <cellStyle name="40% - Accent1 3 9 3 2" xfId="9769" xr:uid="{00000000-0005-0000-0000-0000F1540000}"/>
    <cellStyle name="40% - Accent1 3 9 3 2 2" xfId="29220" xr:uid="{00000000-0005-0000-0000-0000F2540000}"/>
    <cellStyle name="40% - Accent1 3 9 3 2 3" xfId="38945" xr:uid="{00000000-0005-0000-0000-0000F3540000}"/>
    <cellStyle name="40% - Accent1 3 9 3 2 4" xfId="48670" xr:uid="{00000000-0005-0000-0000-0000F4540000}"/>
    <cellStyle name="40% - Accent1 3 9 3 2 5" xfId="19495" xr:uid="{00000000-0005-0000-0000-0000F5540000}"/>
    <cellStyle name="40% - Accent1 3 9 3 3" xfId="24358" xr:uid="{00000000-0005-0000-0000-0000F6540000}"/>
    <cellStyle name="40% - Accent1 3 9 3 4" xfId="34083" xr:uid="{00000000-0005-0000-0000-0000F7540000}"/>
    <cellStyle name="40% - Accent1 3 9 3 5" xfId="43808" xr:uid="{00000000-0005-0000-0000-0000F8540000}"/>
    <cellStyle name="40% - Accent1 3 9 3 6" xfId="14633" xr:uid="{00000000-0005-0000-0000-0000F9540000}"/>
    <cellStyle name="40% - Accent1 3 9 4" xfId="6529" xr:uid="{00000000-0005-0000-0000-0000FA540000}"/>
    <cellStyle name="40% - Accent1 3 9 4 2" xfId="25980" xr:uid="{00000000-0005-0000-0000-0000FB540000}"/>
    <cellStyle name="40% - Accent1 3 9 4 3" xfId="35705" xr:uid="{00000000-0005-0000-0000-0000FC540000}"/>
    <cellStyle name="40% - Accent1 3 9 4 4" xfId="45430" xr:uid="{00000000-0005-0000-0000-0000FD540000}"/>
    <cellStyle name="40% - Accent1 3 9 4 5" xfId="16255" xr:uid="{00000000-0005-0000-0000-0000FE540000}"/>
    <cellStyle name="40% - Accent1 3 9 5" xfId="21118" xr:uid="{00000000-0005-0000-0000-0000FF540000}"/>
    <cellStyle name="40% - Accent1 3 9 6" xfId="30843" xr:uid="{00000000-0005-0000-0000-000000550000}"/>
    <cellStyle name="40% - Accent1 3 9 7" xfId="40568" xr:uid="{00000000-0005-0000-0000-000001550000}"/>
    <cellStyle name="40% - Accent1 3 9 8" xfId="11393" xr:uid="{00000000-0005-0000-0000-000002550000}"/>
    <cellStyle name="40% - Accent1 4" xfId="103" xr:uid="{00000000-0005-0000-0000-000003550000}"/>
    <cellStyle name="40% - Accent1 4 10" xfId="1787" xr:uid="{00000000-0005-0000-0000-000004550000}"/>
    <cellStyle name="40% - Accent1 4 10 2" xfId="6649" xr:uid="{00000000-0005-0000-0000-000005550000}"/>
    <cellStyle name="40% - Accent1 4 10 2 2" xfId="26100" xr:uid="{00000000-0005-0000-0000-000006550000}"/>
    <cellStyle name="40% - Accent1 4 10 2 3" xfId="35825" xr:uid="{00000000-0005-0000-0000-000007550000}"/>
    <cellStyle name="40% - Accent1 4 10 2 4" xfId="45550" xr:uid="{00000000-0005-0000-0000-000008550000}"/>
    <cellStyle name="40% - Accent1 4 10 2 5" xfId="16375" xr:uid="{00000000-0005-0000-0000-000009550000}"/>
    <cellStyle name="40% - Accent1 4 10 3" xfId="21238" xr:uid="{00000000-0005-0000-0000-00000A550000}"/>
    <cellStyle name="40% - Accent1 4 10 4" xfId="30963" xr:uid="{00000000-0005-0000-0000-00000B550000}"/>
    <cellStyle name="40% - Accent1 4 10 5" xfId="40688" xr:uid="{00000000-0005-0000-0000-00000C550000}"/>
    <cellStyle name="40% - Accent1 4 10 6" xfId="11513" xr:uid="{00000000-0005-0000-0000-00000D550000}"/>
    <cellStyle name="40% - Accent1 4 11" xfId="3407" xr:uid="{00000000-0005-0000-0000-00000E550000}"/>
    <cellStyle name="40% - Accent1 4 11 2" xfId="8269" xr:uid="{00000000-0005-0000-0000-00000F550000}"/>
    <cellStyle name="40% - Accent1 4 11 2 2" xfId="27720" xr:uid="{00000000-0005-0000-0000-000010550000}"/>
    <cellStyle name="40% - Accent1 4 11 2 3" xfId="37445" xr:uid="{00000000-0005-0000-0000-000011550000}"/>
    <cellStyle name="40% - Accent1 4 11 2 4" xfId="47170" xr:uid="{00000000-0005-0000-0000-000012550000}"/>
    <cellStyle name="40% - Accent1 4 11 2 5" xfId="17995" xr:uid="{00000000-0005-0000-0000-000013550000}"/>
    <cellStyle name="40% - Accent1 4 11 3" xfId="22858" xr:uid="{00000000-0005-0000-0000-000014550000}"/>
    <cellStyle name="40% - Accent1 4 11 4" xfId="32583" xr:uid="{00000000-0005-0000-0000-000015550000}"/>
    <cellStyle name="40% - Accent1 4 11 5" xfId="42308" xr:uid="{00000000-0005-0000-0000-000016550000}"/>
    <cellStyle name="40% - Accent1 4 11 6" xfId="13133" xr:uid="{00000000-0005-0000-0000-000017550000}"/>
    <cellStyle name="40% - Accent1 4 12" xfId="5029" xr:uid="{00000000-0005-0000-0000-000018550000}"/>
    <cellStyle name="40% - Accent1 4 12 2" xfId="24480" xr:uid="{00000000-0005-0000-0000-000019550000}"/>
    <cellStyle name="40% - Accent1 4 12 3" xfId="34205" xr:uid="{00000000-0005-0000-0000-00001A550000}"/>
    <cellStyle name="40% - Accent1 4 12 4" xfId="43930" xr:uid="{00000000-0005-0000-0000-00001B550000}"/>
    <cellStyle name="40% - Accent1 4 12 5" xfId="14755" xr:uid="{00000000-0005-0000-0000-00001C550000}"/>
    <cellStyle name="40% - Accent1 4 13" xfId="19618" xr:uid="{00000000-0005-0000-0000-00001D550000}"/>
    <cellStyle name="40% - Accent1 4 14" xfId="29343" xr:uid="{00000000-0005-0000-0000-00001E550000}"/>
    <cellStyle name="40% - Accent1 4 15" xfId="39068" xr:uid="{00000000-0005-0000-0000-00001F550000}"/>
    <cellStyle name="40% - Accent1 4 16" xfId="9893" xr:uid="{00000000-0005-0000-0000-000020550000}"/>
    <cellStyle name="40% - Accent1 4 2" xfId="285" xr:uid="{00000000-0005-0000-0000-000021550000}"/>
    <cellStyle name="40% - Accent1 4 2 10" xfId="39248" xr:uid="{00000000-0005-0000-0000-000022550000}"/>
    <cellStyle name="40% - Accent1 4 2 11" xfId="10073" xr:uid="{00000000-0005-0000-0000-000023550000}"/>
    <cellStyle name="40% - Accent1 4 2 2" xfId="1049" xr:uid="{00000000-0005-0000-0000-000024550000}"/>
    <cellStyle name="40% - Accent1 4 2 2 2" xfId="2687" xr:uid="{00000000-0005-0000-0000-000025550000}"/>
    <cellStyle name="40% - Accent1 4 2 2 2 2" xfId="7549" xr:uid="{00000000-0005-0000-0000-000026550000}"/>
    <cellStyle name="40% - Accent1 4 2 2 2 2 2" xfId="27000" xr:uid="{00000000-0005-0000-0000-000027550000}"/>
    <cellStyle name="40% - Accent1 4 2 2 2 2 3" xfId="36725" xr:uid="{00000000-0005-0000-0000-000028550000}"/>
    <cellStyle name="40% - Accent1 4 2 2 2 2 4" xfId="46450" xr:uid="{00000000-0005-0000-0000-000029550000}"/>
    <cellStyle name="40% - Accent1 4 2 2 2 2 5" xfId="17275" xr:uid="{00000000-0005-0000-0000-00002A550000}"/>
    <cellStyle name="40% - Accent1 4 2 2 2 3" xfId="22138" xr:uid="{00000000-0005-0000-0000-00002B550000}"/>
    <cellStyle name="40% - Accent1 4 2 2 2 4" xfId="31863" xr:uid="{00000000-0005-0000-0000-00002C550000}"/>
    <cellStyle name="40% - Accent1 4 2 2 2 5" xfId="41588" xr:uid="{00000000-0005-0000-0000-00002D550000}"/>
    <cellStyle name="40% - Accent1 4 2 2 2 6" xfId="12413" xr:uid="{00000000-0005-0000-0000-00002E550000}"/>
    <cellStyle name="40% - Accent1 4 2 2 3" xfId="4307" xr:uid="{00000000-0005-0000-0000-00002F550000}"/>
    <cellStyle name="40% - Accent1 4 2 2 3 2" xfId="9169" xr:uid="{00000000-0005-0000-0000-000030550000}"/>
    <cellStyle name="40% - Accent1 4 2 2 3 2 2" xfId="28620" xr:uid="{00000000-0005-0000-0000-000031550000}"/>
    <cellStyle name="40% - Accent1 4 2 2 3 2 3" xfId="38345" xr:uid="{00000000-0005-0000-0000-000032550000}"/>
    <cellStyle name="40% - Accent1 4 2 2 3 2 4" xfId="48070" xr:uid="{00000000-0005-0000-0000-000033550000}"/>
    <cellStyle name="40% - Accent1 4 2 2 3 2 5" xfId="18895" xr:uid="{00000000-0005-0000-0000-000034550000}"/>
    <cellStyle name="40% - Accent1 4 2 2 3 3" xfId="23758" xr:uid="{00000000-0005-0000-0000-000035550000}"/>
    <cellStyle name="40% - Accent1 4 2 2 3 4" xfId="33483" xr:uid="{00000000-0005-0000-0000-000036550000}"/>
    <cellStyle name="40% - Accent1 4 2 2 3 5" xfId="43208" xr:uid="{00000000-0005-0000-0000-000037550000}"/>
    <cellStyle name="40% - Accent1 4 2 2 3 6" xfId="14033" xr:uid="{00000000-0005-0000-0000-000038550000}"/>
    <cellStyle name="40% - Accent1 4 2 2 4" xfId="5929" xr:uid="{00000000-0005-0000-0000-000039550000}"/>
    <cellStyle name="40% - Accent1 4 2 2 4 2" xfId="25380" xr:uid="{00000000-0005-0000-0000-00003A550000}"/>
    <cellStyle name="40% - Accent1 4 2 2 4 3" xfId="35105" xr:uid="{00000000-0005-0000-0000-00003B550000}"/>
    <cellStyle name="40% - Accent1 4 2 2 4 4" xfId="44830" xr:uid="{00000000-0005-0000-0000-00003C550000}"/>
    <cellStyle name="40% - Accent1 4 2 2 4 5" xfId="15655" xr:uid="{00000000-0005-0000-0000-00003D550000}"/>
    <cellStyle name="40% - Accent1 4 2 2 5" xfId="20518" xr:uid="{00000000-0005-0000-0000-00003E550000}"/>
    <cellStyle name="40% - Accent1 4 2 2 6" xfId="30243" xr:uid="{00000000-0005-0000-0000-00003F550000}"/>
    <cellStyle name="40% - Accent1 4 2 2 7" xfId="39968" xr:uid="{00000000-0005-0000-0000-000040550000}"/>
    <cellStyle name="40% - Accent1 4 2 2 8" xfId="10793" xr:uid="{00000000-0005-0000-0000-000041550000}"/>
    <cellStyle name="40% - Accent1 4 2 3" xfId="1516" xr:uid="{00000000-0005-0000-0000-000042550000}"/>
    <cellStyle name="40% - Accent1 4 2 3 2" xfId="3137" xr:uid="{00000000-0005-0000-0000-000043550000}"/>
    <cellStyle name="40% - Accent1 4 2 3 2 2" xfId="7999" xr:uid="{00000000-0005-0000-0000-000044550000}"/>
    <cellStyle name="40% - Accent1 4 2 3 2 2 2" xfId="27450" xr:uid="{00000000-0005-0000-0000-000045550000}"/>
    <cellStyle name="40% - Accent1 4 2 3 2 2 3" xfId="37175" xr:uid="{00000000-0005-0000-0000-000046550000}"/>
    <cellStyle name="40% - Accent1 4 2 3 2 2 4" xfId="46900" xr:uid="{00000000-0005-0000-0000-000047550000}"/>
    <cellStyle name="40% - Accent1 4 2 3 2 2 5" xfId="17725" xr:uid="{00000000-0005-0000-0000-000048550000}"/>
    <cellStyle name="40% - Accent1 4 2 3 2 3" xfId="22588" xr:uid="{00000000-0005-0000-0000-000049550000}"/>
    <cellStyle name="40% - Accent1 4 2 3 2 4" xfId="32313" xr:uid="{00000000-0005-0000-0000-00004A550000}"/>
    <cellStyle name="40% - Accent1 4 2 3 2 5" xfId="42038" xr:uid="{00000000-0005-0000-0000-00004B550000}"/>
    <cellStyle name="40% - Accent1 4 2 3 2 6" xfId="12863" xr:uid="{00000000-0005-0000-0000-00004C550000}"/>
    <cellStyle name="40% - Accent1 4 2 3 3" xfId="4757" xr:uid="{00000000-0005-0000-0000-00004D550000}"/>
    <cellStyle name="40% - Accent1 4 2 3 3 2" xfId="9619" xr:uid="{00000000-0005-0000-0000-00004E550000}"/>
    <cellStyle name="40% - Accent1 4 2 3 3 2 2" xfId="29070" xr:uid="{00000000-0005-0000-0000-00004F550000}"/>
    <cellStyle name="40% - Accent1 4 2 3 3 2 3" xfId="38795" xr:uid="{00000000-0005-0000-0000-000050550000}"/>
    <cellStyle name="40% - Accent1 4 2 3 3 2 4" xfId="48520" xr:uid="{00000000-0005-0000-0000-000051550000}"/>
    <cellStyle name="40% - Accent1 4 2 3 3 2 5" xfId="19345" xr:uid="{00000000-0005-0000-0000-000052550000}"/>
    <cellStyle name="40% - Accent1 4 2 3 3 3" xfId="24208" xr:uid="{00000000-0005-0000-0000-000053550000}"/>
    <cellStyle name="40% - Accent1 4 2 3 3 4" xfId="33933" xr:uid="{00000000-0005-0000-0000-000054550000}"/>
    <cellStyle name="40% - Accent1 4 2 3 3 5" xfId="43658" xr:uid="{00000000-0005-0000-0000-000055550000}"/>
    <cellStyle name="40% - Accent1 4 2 3 3 6" xfId="14483" xr:uid="{00000000-0005-0000-0000-000056550000}"/>
    <cellStyle name="40% - Accent1 4 2 3 4" xfId="6379" xr:uid="{00000000-0005-0000-0000-000057550000}"/>
    <cellStyle name="40% - Accent1 4 2 3 4 2" xfId="25830" xr:uid="{00000000-0005-0000-0000-000058550000}"/>
    <cellStyle name="40% - Accent1 4 2 3 4 3" xfId="35555" xr:uid="{00000000-0005-0000-0000-000059550000}"/>
    <cellStyle name="40% - Accent1 4 2 3 4 4" xfId="45280" xr:uid="{00000000-0005-0000-0000-00005A550000}"/>
    <cellStyle name="40% - Accent1 4 2 3 4 5" xfId="16105" xr:uid="{00000000-0005-0000-0000-00005B550000}"/>
    <cellStyle name="40% - Accent1 4 2 3 5" xfId="20968" xr:uid="{00000000-0005-0000-0000-00005C550000}"/>
    <cellStyle name="40% - Accent1 4 2 3 6" xfId="30693" xr:uid="{00000000-0005-0000-0000-00005D550000}"/>
    <cellStyle name="40% - Accent1 4 2 3 7" xfId="40418" xr:uid="{00000000-0005-0000-0000-00005E550000}"/>
    <cellStyle name="40% - Accent1 4 2 3 8" xfId="11243" xr:uid="{00000000-0005-0000-0000-00005F550000}"/>
    <cellStyle name="40% - Accent1 4 2 4" xfId="687" xr:uid="{00000000-0005-0000-0000-000060550000}"/>
    <cellStyle name="40% - Accent1 4 2 4 2" xfId="2327" xr:uid="{00000000-0005-0000-0000-000061550000}"/>
    <cellStyle name="40% - Accent1 4 2 4 2 2" xfId="7189" xr:uid="{00000000-0005-0000-0000-000062550000}"/>
    <cellStyle name="40% - Accent1 4 2 4 2 2 2" xfId="26640" xr:uid="{00000000-0005-0000-0000-000063550000}"/>
    <cellStyle name="40% - Accent1 4 2 4 2 2 3" xfId="36365" xr:uid="{00000000-0005-0000-0000-000064550000}"/>
    <cellStyle name="40% - Accent1 4 2 4 2 2 4" xfId="46090" xr:uid="{00000000-0005-0000-0000-000065550000}"/>
    <cellStyle name="40% - Accent1 4 2 4 2 2 5" xfId="16915" xr:uid="{00000000-0005-0000-0000-000066550000}"/>
    <cellStyle name="40% - Accent1 4 2 4 2 3" xfId="21778" xr:uid="{00000000-0005-0000-0000-000067550000}"/>
    <cellStyle name="40% - Accent1 4 2 4 2 4" xfId="31503" xr:uid="{00000000-0005-0000-0000-000068550000}"/>
    <cellStyle name="40% - Accent1 4 2 4 2 5" xfId="41228" xr:uid="{00000000-0005-0000-0000-000069550000}"/>
    <cellStyle name="40% - Accent1 4 2 4 2 6" xfId="12053" xr:uid="{00000000-0005-0000-0000-00006A550000}"/>
    <cellStyle name="40% - Accent1 4 2 4 3" xfId="3947" xr:uid="{00000000-0005-0000-0000-00006B550000}"/>
    <cellStyle name="40% - Accent1 4 2 4 3 2" xfId="8809" xr:uid="{00000000-0005-0000-0000-00006C550000}"/>
    <cellStyle name="40% - Accent1 4 2 4 3 2 2" xfId="28260" xr:uid="{00000000-0005-0000-0000-00006D550000}"/>
    <cellStyle name="40% - Accent1 4 2 4 3 2 3" xfId="37985" xr:uid="{00000000-0005-0000-0000-00006E550000}"/>
    <cellStyle name="40% - Accent1 4 2 4 3 2 4" xfId="47710" xr:uid="{00000000-0005-0000-0000-00006F550000}"/>
    <cellStyle name="40% - Accent1 4 2 4 3 2 5" xfId="18535" xr:uid="{00000000-0005-0000-0000-000070550000}"/>
    <cellStyle name="40% - Accent1 4 2 4 3 3" xfId="23398" xr:uid="{00000000-0005-0000-0000-000071550000}"/>
    <cellStyle name="40% - Accent1 4 2 4 3 4" xfId="33123" xr:uid="{00000000-0005-0000-0000-000072550000}"/>
    <cellStyle name="40% - Accent1 4 2 4 3 5" xfId="42848" xr:uid="{00000000-0005-0000-0000-000073550000}"/>
    <cellStyle name="40% - Accent1 4 2 4 3 6" xfId="13673" xr:uid="{00000000-0005-0000-0000-000074550000}"/>
    <cellStyle name="40% - Accent1 4 2 4 4" xfId="5569" xr:uid="{00000000-0005-0000-0000-000075550000}"/>
    <cellStyle name="40% - Accent1 4 2 4 4 2" xfId="25020" xr:uid="{00000000-0005-0000-0000-000076550000}"/>
    <cellStyle name="40% - Accent1 4 2 4 4 3" xfId="34745" xr:uid="{00000000-0005-0000-0000-000077550000}"/>
    <cellStyle name="40% - Accent1 4 2 4 4 4" xfId="44470" xr:uid="{00000000-0005-0000-0000-000078550000}"/>
    <cellStyle name="40% - Accent1 4 2 4 4 5" xfId="15295" xr:uid="{00000000-0005-0000-0000-000079550000}"/>
    <cellStyle name="40% - Accent1 4 2 4 5" xfId="20158" xr:uid="{00000000-0005-0000-0000-00007A550000}"/>
    <cellStyle name="40% - Accent1 4 2 4 6" xfId="29883" xr:uid="{00000000-0005-0000-0000-00007B550000}"/>
    <cellStyle name="40% - Accent1 4 2 4 7" xfId="39608" xr:uid="{00000000-0005-0000-0000-00007C550000}"/>
    <cellStyle name="40% - Accent1 4 2 4 8" xfId="10433" xr:uid="{00000000-0005-0000-0000-00007D550000}"/>
    <cellStyle name="40% - Accent1 4 2 5" xfId="1967" xr:uid="{00000000-0005-0000-0000-00007E550000}"/>
    <cellStyle name="40% - Accent1 4 2 5 2" xfId="6829" xr:uid="{00000000-0005-0000-0000-00007F550000}"/>
    <cellStyle name="40% - Accent1 4 2 5 2 2" xfId="26280" xr:uid="{00000000-0005-0000-0000-000080550000}"/>
    <cellStyle name="40% - Accent1 4 2 5 2 3" xfId="36005" xr:uid="{00000000-0005-0000-0000-000081550000}"/>
    <cellStyle name="40% - Accent1 4 2 5 2 4" xfId="45730" xr:uid="{00000000-0005-0000-0000-000082550000}"/>
    <cellStyle name="40% - Accent1 4 2 5 2 5" xfId="16555" xr:uid="{00000000-0005-0000-0000-000083550000}"/>
    <cellStyle name="40% - Accent1 4 2 5 3" xfId="21418" xr:uid="{00000000-0005-0000-0000-000084550000}"/>
    <cellStyle name="40% - Accent1 4 2 5 4" xfId="31143" xr:uid="{00000000-0005-0000-0000-000085550000}"/>
    <cellStyle name="40% - Accent1 4 2 5 5" xfId="40868" xr:uid="{00000000-0005-0000-0000-000086550000}"/>
    <cellStyle name="40% - Accent1 4 2 5 6" xfId="11693" xr:uid="{00000000-0005-0000-0000-000087550000}"/>
    <cellStyle name="40% - Accent1 4 2 6" xfId="3587" xr:uid="{00000000-0005-0000-0000-000088550000}"/>
    <cellStyle name="40% - Accent1 4 2 6 2" xfId="8449" xr:uid="{00000000-0005-0000-0000-000089550000}"/>
    <cellStyle name="40% - Accent1 4 2 6 2 2" xfId="27900" xr:uid="{00000000-0005-0000-0000-00008A550000}"/>
    <cellStyle name="40% - Accent1 4 2 6 2 3" xfId="37625" xr:uid="{00000000-0005-0000-0000-00008B550000}"/>
    <cellStyle name="40% - Accent1 4 2 6 2 4" xfId="47350" xr:uid="{00000000-0005-0000-0000-00008C550000}"/>
    <cellStyle name="40% - Accent1 4 2 6 2 5" xfId="18175" xr:uid="{00000000-0005-0000-0000-00008D550000}"/>
    <cellStyle name="40% - Accent1 4 2 6 3" xfId="23038" xr:uid="{00000000-0005-0000-0000-00008E550000}"/>
    <cellStyle name="40% - Accent1 4 2 6 4" xfId="32763" xr:uid="{00000000-0005-0000-0000-00008F550000}"/>
    <cellStyle name="40% - Accent1 4 2 6 5" xfId="42488" xr:uid="{00000000-0005-0000-0000-000090550000}"/>
    <cellStyle name="40% - Accent1 4 2 6 6" xfId="13313" xr:uid="{00000000-0005-0000-0000-000091550000}"/>
    <cellStyle name="40% - Accent1 4 2 7" xfId="5209" xr:uid="{00000000-0005-0000-0000-000092550000}"/>
    <cellStyle name="40% - Accent1 4 2 7 2" xfId="24660" xr:uid="{00000000-0005-0000-0000-000093550000}"/>
    <cellStyle name="40% - Accent1 4 2 7 3" xfId="34385" xr:uid="{00000000-0005-0000-0000-000094550000}"/>
    <cellStyle name="40% - Accent1 4 2 7 4" xfId="44110" xr:uid="{00000000-0005-0000-0000-000095550000}"/>
    <cellStyle name="40% - Accent1 4 2 7 5" xfId="14935" xr:uid="{00000000-0005-0000-0000-000096550000}"/>
    <cellStyle name="40% - Accent1 4 2 8" xfId="19798" xr:uid="{00000000-0005-0000-0000-000097550000}"/>
    <cellStyle name="40% - Accent1 4 2 9" xfId="29523" xr:uid="{00000000-0005-0000-0000-000098550000}"/>
    <cellStyle name="40% - Accent1 4 3" xfId="376" xr:uid="{00000000-0005-0000-0000-000099550000}"/>
    <cellStyle name="40% - Accent1 4 3 10" xfId="39338" xr:uid="{00000000-0005-0000-0000-00009A550000}"/>
    <cellStyle name="40% - Accent1 4 3 11" xfId="10163" xr:uid="{00000000-0005-0000-0000-00009B550000}"/>
    <cellStyle name="40% - Accent1 4 3 2" xfId="1139" xr:uid="{00000000-0005-0000-0000-00009C550000}"/>
    <cellStyle name="40% - Accent1 4 3 2 2" xfId="2777" xr:uid="{00000000-0005-0000-0000-00009D550000}"/>
    <cellStyle name="40% - Accent1 4 3 2 2 2" xfId="7639" xr:uid="{00000000-0005-0000-0000-00009E550000}"/>
    <cellStyle name="40% - Accent1 4 3 2 2 2 2" xfId="27090" xr:uid="{00000000-0005-0000-0000-00009F550000}"/>
    <cellStyle name="40% - Accent1 4 3 2 2 2 3" xfId="36815" xr:uid="{00000000-0005-0000-0000-0000A0550000}"/>
    <cellStyle name="40% - Accent1 4 3 2 2 2 4" xfId="46540" xr:uid="{00000000-0005-0000-0000-0000A1550000}"/>
    <cellStyle name="40% - Accent1 4 3 2 2 2 5" xfId="17365" xr:uid="{00000000-0005-0000-0000-0000A2550000}"/>
    <cellStyle name="40% - Accent1 4 3 2 2 3" xfId="22228" xr:uid="{00000000-0005-0000-0000-0000A3550000}"/>
    <cellStyle name="40% - Accent1 4 3 2 2 4" xfId="31953" xr:uid="{00000000-0005-0000-0000-0000A4550000}"/>
    <cellStyle name="40% - Accent1 4 3 2 2 5" xfId="41678" xr:uid="{00000000-0005-0000-0000-0000A5550000}"/>
    <cellStyle name="40% - Accent1 4 3 2 2 6" xfId="12503" xr:uid="{00000000-0005-0000-0000-0000A6550000}"/>
    <cellStyle name="40% - Accent1 4 3 2 3" xfId="4397" xr:uid="{00000000-0005-0000-0000-0000A7550000}"/>
    <cellStyle name="40% - Accent1 4 3 2 3 2" xfId="9259" xr:uid="{00000000-0005-0000-0000-0000A8550000}"/>
    <cellStyle name="40% - Accent1 4 3 2 3 2 2" xfId="28710" xr:uid="{00000000-0005-0000-0000-0000A9550000}"/>
    <cellStyle name="40% - Accent1 4 3 2 3 2 3" xfId="38435" xr:uid="{00000000-0005-0000-0000-0000AA550000}"/>
    <cellStyle name="40% - Accent1 4 3 2 3 2 4" xfId="48160" xr:uid="{00000000-0005-0000-0000-0000AB550000}"/>
    <cellStyle name="40% - Accent1 4 3 2 3 2 5" xfId="18985" xr:uid="{00000000-0005-0000-0000-0000AC550000}"/>
    <cellStyle name="40% - Accent1 4 3 2 3 3" xfId="23848" xr:uid="{00000000-0005-0000-0000-0000AD550000}"/>
    <cellStyle name="40% - Accent1 4 3 2 3 4" xfId="33573" xr:uid="{00000000-0005-0000-0000-0000AE550000}"/>
    <cellStyle name="40% - Accent1 4 3 2 3 5" xfId="43298" xr:uid="{00000000-0005-0000-0000-0000AF550000}"/>
    <cellStyle name="40% - Accent1 4 3 2 3 6" xfId="14123" xr:uid="{00000000-0005-0000-0000-0000B0550000}"/>
    <cellStyle name="40% - Accent1 4 3 2 4" xfId="6019" xr:uid="{00000000-0005-0000-0000-0000B1550000}"/>
    <cellStyle name="40% - Accent1 4 3 2 4 2" xfId="25470" xr:uid="{00000000-0005-0000-0000-0000B2550000}"/>
    <cellStyle name="40% - Accent1 4 3 2 4 3" xfId="35195" xr:uid="{00000000-0005-0000-0000-0000B3550000}"/>
    <cellStyle name="40% - Accent1 4 3 2 4 4" xfId="44920" xr:uid="{00000000-0005-0000-0000-0000B4550000}"/>
    <cellStyle name="40% - Accent1 4 3 2 4 5" xfId="15745" xr:uid="{00000000-0005-0000-0000-0000B5550000}"/>
    <cellStyle name="40% - Accent1 4 3 2 5" xfId="20608" xr:uid="{00000000-0005-0000-0000-0000B6550000}"/>
    <cellStyle name="40% - Accent1 4 3 2 6" xfId="30333" xr:uid="{00000000-0005-0000-0000-0000B7550000}"/>
    <cellStyle name="40% - Accent1 4 3 2 7" xfId="40058" xr:uid="{00000000-0005-0000-0000-0000B8550000}"/>
    <cellStyle name="40% - Accent1 4 3 2 8" xfId="10883" xr:uid="{00000000-0005-0000-0000-0000B9550000}"/>
    <cellStyle name="40% - Accent1 4 3 3" xfId="1606" xr:uid="{00000000-0005-0000-0000-0000BA550000}"/>
    <cellStyle name="40% - Accent1 4 3 3 2" xfId="3227" xr:uid="{00000000-0005-0000-0000-0000BB550000}"/>
    <cellStyle name="40% - Accent1 4 3 3 2 2" xfId="8089" xr:uid="{00000000-0005-0000-0000-0000BC550000}"/>
    <cellStyle name="40% - Accent1 4 3 3 2 2 2" xfId="27540" xr:uid="{00000000-0005-0000-0000-0000BD550000}"/>
    <cellStyle name="40% - Accent1 4 3 3 2 2 3" xfId="37265" xr:uid="{00000000-0005-0000-0000-0000BE550000}"/>
    <cellStyle name="40% - Accent1 4 3 3 2 2 4" xfId="46990" xr:uid="{00000000-0005-0000-0000-0000BF550000}"/>
    <cellStyle name="40% - Accent1 4 3 3 2 2 5" xfId="17815" xr:uid="{00000000-0005-0000-0000-0000C0550000}"/>
    <cellStyle name="40% - Accent1 4 3 3 2 3" xfId="22678" xr:uid="{00000000-0005-0000-0000-0000C1550000}"/>
    <cellStyle name="40% - Accent1 4 3 3 2 4" xfId="32403" xr:uid="{00000000-0005-0000-0000-0000C2550000}"/>
    <cellStyle name="40% - Accent1 4 3 3 2 5" xfId="42128" xr:uid="{00000000-0005-0000-0000-0000C3550000}"/>
    <cellStyle name="40% - Accent1 4 3 3 2 6" xfId="12953" xr:uid="{00000000-0005-0000-0000-0000C4550000}"/>
    <cellStyle name="40% - Accent1 4 3 3 3" xfId="4847" xr:uid="{00000000-0005-0000-0000-0000C5550000}"/>
    <cellStyle name="40% - Accent1 4 3 3 3 2" xfId="9709" xr:uid="{00000000-0005-0000-0000-0000C6550000}"/>
    <cellStyle name="40% - Accent1 4 3 3 3 2 2" xfId="29160" xr:uid="{00000000-0005-0000-0000-0000C7550000}"/>
    <cellStyle name="40% - Accent1 4 3 3 3 2 3" xfId="38885" xr:uid="{00000000-0005-0000-0000-0000C8550000}"/>
    <cellStyle name="40% - Accent1 4 3 3 3 2 4" xfId="48610" xr:uid="{00000000-0005-0000-0000-0000C9550000}"/>
    <cellStyle name="40% - Accent1 4 3 3 3 2 5" xfId="19435" xr:uid="{00000000-0005-0000-0000-0000CA550000}"/>
    <cellStyle name="40% - Accent1 4 3 3 3 3" xfId="24298" xr:uid="{00000000-0005-0000-0000-0000CB550000}"/>
    <cellStyle name="40% - Accent1 4 3 3 3 4" xfId="34023" xr:uid="{00000000-0005-0000-0000-0000CC550000}"/>
    <cellStyle name="40% - Accent1 4 3 3 3 5" xfId="43748" xr:uid="{00000000-0005-0000-0000-0000CD550000}"/>
    <cellStyle name="40% - Accent1 4 3 3 3 6" xfId="14573" xr:uid="{00000000-0005-0000-0000-0000CE550000}"/>
    <cellStyle name="40% - Accent1 4 3 3 4" xfId="6469" xr:uid="{00000000-0005-0000-0000-0000CF550000}"/>
    <cellStyle name="40% - Accent1 4 3 3 4 2" xfId="25920" xr:uid="{00000000-0005-0000-0000-0000D0550000}"/>
    <cellStyle name="40% - Accent1 4 3 3 4 3" xfId="35645" xr:uid="{00000000-0005-0000-0000-0000D1550000}"/>
    <cellStyle name="40% - Accent1 4 3 3 4 4" xfId="45370" xr:uid="{00000000-0005-0000-0000-0000D2550000}"/>
    <cellStyle name="40% - Accent1 4 3 3 4 5" xfId="16195" xr:uid="{00000000-0005-0000-0000-0000D3550000}"/>
    <cellStyle name="40% - Accent1 4 3 3 5" xfId="21058" xr:uid="{00000000-0005-0000-0000-0000D4550000}"/>
    <cellStyle name="40% - Accent1 4 3 3 6" xfId="30783" xr:uid="{00000000-0005-0000-0000-0000D5550000}"/>
    <cellStyle name="40% - Accent1 4 3 3 7" xfId="40508" xr:uid="{00000000-0005-0000-0000-0000D6550000}"/>
    <cellStyle name="40% - Accent1 4 3 3 8" xfId="11333" xr:uid="{00000000-0005-0000-0000-0000D7550000}"/>
    <cellStyle name="40% - Accent1 4 3 4" xfId="777" xr:uid="{00000000-0005-0000-0000-0000D8550000}"/>
    <cellStyle name="40% - Accent1 4 3 4 2" xfId="2417" xr:uid="{00000000-0005-0000-0000-0000D9550000}"/>
    <cellStyle name="40% - Accent1 4 3 4 2 2" xfId="7279" xr:uid="{00000000-0005-0000-0000-0000DA550000}"/>
    <cellStyle name="40% - Accent1 4 3 4 2 2 2" xfId="26730" xr:uid="{00000000-0005-0000-0000-0000DB550000}"/>
    <cellStyle name="40% - Accent1 4 3 4 2 2 3" xfId="36455" xr:uid="{00000000-0005-0000-0000-0000DC550000}"/>
    <cellStyle name="40% - Accent1 4 3 4 2 2 4" xfId="46180" xr:uid="{00000000-0005-0000-0000-0000DD550000}"/>
    <cellStyle name="40% - Accent1 4 3 4 2 2 5" xfId="17005" xr:uid="{00000000-0005-0000-0000-0000DE550000}"/>
    <cellStyle name="40% - Accent1 4 3 4 2 3" xfId="21868" xr:uid="{00000000-0005-0000-0000-0000DF550000}"/>
    <cellStyle name="40% - Accent1 4 3 4 2 4" xfId="31593" xr:uid="{00000000-0005-0000-0000-0000E0550000}"/>
    <cellStyle name="40% - Accent1 4 3 4 2 5" xfId="41318" xr:uid="{00000000-0005-0000-0000-0000E1550000}"/>
    <cellStyle name="40% - Accent1 4 3 4 2 6" xfId="12143" xr:uid="{00000000-0005-0000-0000-0000E2550000}"/>
    <cellStyle name="40% - Accent1 4 3 4 3" xfId="4037" xr:uid="{00000000-0005-0000-0000-0000E3550000}"/>
    <cellStyle name="40% - Accent1 4 3 4 3 2" xfId="8899" xr:uid="{00000000-0005-0000-0000-0000E4550000}"/>
    <cellStyle name="40% - Accent1 4 3 4 3 2 2" xfId="28350" xr:uid="{00000000-0005-0000-0000-0000E5550000}"/>
    <cellStyle name="40% - Accent1 4 3 4 3 2 3" xfId="38075" xr:uid="{00000000-0005-0000-0000-0000E6550000}"/>
    <cellStyle name="40% - Accent1 4 3 4 3 2 4" xfId="47800" xr:uid="{00000000-0005-0000-0000-0000E7550000}"/>
    <cellStyle name="40% - Accent1 4 3 4 3 2 5" xfId="18625" xr:uid="{00000000-0005-0000-0000-0000E8550000}"/>
    <cellStyle name="40% - Accent1 4 3 4 3 3" xfId="23488" xr:uid="{00000000-0005-0000-0000-0000E9550000}"/>
    <cellStyle name="40% - Accent1 4 3 4 3 4" xfId="33213" xr:uid="{00000000-0005-0000-0000-0000EA550000}"/>
    <cellStyle name="40% - Accent1 4 3 4 3 5" xfId="42938" xr:uid="{00000000-0005-0000-0000-0000EB550000}"/>
    <cellStyle name="40% - Accent1 4 3 4 3 6" xfId="13763" xr:uid="{00000000-0005-0000-0000-0000EC550000}"/>
    <cellStyle name="40% - Accent1 4 3 4 4" xfId="5659" xr:uid="{00000000-0005-0000-0000-0000ED550000}"/>
    <cellStyle name="40% - Accent1 4 3 4 4 2" xfId="25110" xr:uid="{00000000-0005-0000-0000-0000EE550000}"/>
    <cellStyle name="40% - Accent1 4 3 4 4 3" xfId="34835" xr:uid="{00000000-0005-0000-0000-0000EF550000}"/>
    <cellStyle name="40% - Accent1 4 3 4 4 4" xfId="44560" xr:uid="{00000000-0005-0000-0000-0000F0550000}"/>
    <cellStyle name="40% - Accent1 4 3 4 4 5" xfId="15385" xr:uid="{00000000-0005-0000-0000-0000F1550000}"/>
    <cellStyle name="40% - Accent1 4 3 4 5" xfId="20248" xr:uid="{00000000-0005-0000-0000-0000F2550000}"/>
    <cellStyle name="40% - Accent1 4 3 4 6" xfId="29973" xr:uid="{00000000-0005-0000-0000-0000F3550000}"/>
    <cellStyle name="40% - Accent1 4 3 4 7" xfId="39698" xr:uid="{00000000-0005-0000-0000-0000F4550000}"/>
    <cellStyle name="40% - Accent1 4 3 4 8" xfId="10523" xr:uid="{00000000-0005-0000-0000-0000F5550000}"/>
    <cellStyle name="40% - Accent1 4 3 5" xfId="2057" xr:uid="{00000000-0005-0000-0000-0000F6550000}"/>
    <cellStyle name="40% - Accent1 4 3 5 2" xfId="6919" xr:uid="{00000000-0005-0000-0000-0000F7550000}"/>
    <cellStyle name="40% - Accent1 4 3 5 2 2" xfId="26370" xr:uid="{00000000-0005-0000-0000-0000F8550000}"/>
    <cellStyle name="40% - Accent1 4 3 5 2 3" xfId="36095" xr:uid="{00000000-0005-0000-0000-0000F9550000}"/>
    <cellStyle name="40% - Accent1 4 3 5 2 4" xfId="45820" xr:uid="{00000000-0005-0000-0000-0000FA550000}"/>
    <cellStyle name="40% - Accent1 4 3 5 2 5" xfId="16645" xr:uid="{00000000-0005-0000-0000-0000FB550000}"/>
    <cellStyle name="40% - Accent1 4 3 5 3" xfId="21508" xr:uid="{00000000-0005-0000-0000-0000FC550000}"/>
    <cellStyle name="40% - Accent1 4 3 5 4" xfId="31233" xr:uid="{00000000-0005-0000-0000-0000FD550000}"/>
    <cellStyle name="40% - Accent1 4 3 5 5" xfId="40958" xr:uid="{00000000-0005-0000-0000-0000FE550000}"/>
    <cellStyle name="40% - Accent1 4 3 5 6" xfId="11783" xr:uid="{00000000-0005-0000-0000-0000FF550000}"/>
    <cellStyle name="40% - Accent1 4 3 6" xfId="3677" xr:uid="{00000000-0005-0000-0000-000000560000}"/>
    <cellStyle name="40% - Accent1 4 3 6 2" xfId="8539" xr:uid="{00000000-0005-0000-0000-000001560000}"/>
    <cellStyle name="40% - Accent1 4 3 6 2 2" xfId="27990" xr:uid="{00000000-0005-0000-0000-000002560000}"/>
    <cellStyle name="40% - Accent1 4 3 6 2 3" xfId="37715" xr:uid="{00000000-0005-0000-0000-000003560000}"/>
    <cellStyle name="40% - Accent1 4 3 6 2 4" xfId="47440" xr:uid="{00000000-0005-0000-0000-000004560000}"/>
    <cellStyle name="40% - Accent1 4 3 6 2 5" xfId="18265" xr:uid="{00000000-0005-0000-0000-000005560000}"/>
    <cellStyle name="40% - Accent1 4 3 6 3" xfId="23128" xr:uid="{00000000-0005-0000-0000-000006560000}"/>
    <cellStyle name="40% - Accent1 4 3 6 4" xfId="32853" xr:uid="{00000000-0005-0000-0000-000007560000}"/>
    <cellStyle name="40% - Accent1 4 3 6 5" xfId="42578" xr:uid="{00000000-0005-0000-0000-000008560000}"/>
    <cellStyle name="40% - Accent1 4 3 6 6" xfId="13403" xr:uid="{00000000-0005-0000-0000-000009560000}"/>
    <cellStyle name="40% - Accent1 4 3 7" xfId="5299" xr:uid="{00000000-0005-0000-0000-00000A560000}"/>
    <cellStyle name="40% - Accent1 4 3 7 2" xfId="24750" xr:uid="{00000000-0005-0000-0000-00000B560000}"/>
    <cellStyle name="40% - Accent1 4 3 7 3" xfId="34475" xr:uid="{00000000-0005-0000-0000-00000C560000}"/>
    <cellStyle name="40% - Accent1 4 3 7 4" xfId="44200" xr:uid="{00000000-0005-0000-0000-00000D560000}"/>
    <cellStyle name="40% - Accent1 4 3 7 5" xfId="15025" xr:uid="{00000000-0005-0000-0000-00000E560000}"/>
    <cellStyle name="40% - Accent1 4 3 8" xfId="19888" xr:uid="{00000000-0005-0000-0000-00000F560000}"/>
    <cellStyle name="40% - Accent1 4 3 9" xfId="29613" xr:uid="{00000000-0005-0000-0000-000010560000}"/>
    <cellStyle name="40% - Accent1 4 4" xfId="194" xr:uid="{00000000-0005-0000-0000-000011560000}"/>
    <cellStyle name="40% - Accent1 4 4 10" xfId="39158" xr:uid="{00000000-0005-0000-0000-000012560000}"/>
    <cellStyle name="40% - Accent1 4 4 11" xfId="9983" xr:uid="{00000000-0005-0000-0000-000013560000}"/>
    <cellStyle name="40% - Accent1 4 4 2" xfId="958" xr:uid="{00000000-0005-0000-0000-000014560000}"/>
    <cellStyle name="40% - Accent1 4 4 2 2" xfId="2597" xr:uid="{00000000-0005-0000-0000-000015560000}"/>
    <cellStyle name="40% - Accent1 4 4 2 2 2" xfId="7459" xr:uid="{00000000-0005-0000-0000-000016560000}"/>
    <cellStyle name="40% - Accent1 4 4 2 2 2 2" xfId="26910" xr:uid="{00000000-0005-0000-0000-000017560000}"/>
    <cellStyle name="40% - Accent1 4 4 2 2 2 3" xfId="36635" xr:uid="{00000000-0005-0000-0000-000018560000}"/>
    <cellStyle name="40% - Accent1 4 4 2 2 2 4" xfId="46360" xr:uid="{00000000-0005-0000-0000-000019560000}"/>
    <cellStyle name="40% - Accent1 4 4 2 2 2 5" xfId="17185" xr:uid="{00000000-0005-0000-0000-00001A560000}"/>
    <cellStyle name="40% - Accent1 4 4 2 2 3" xfId="22048" xr:uid="{00000000-0005-0000-0000-00001B560000}"/>
    <cellStyle name="40% - Accent1 4 4 2 2 4" xfId="31773" xr:uid="{00000000-0005-0000-0000-00001C560000}"/>
    <cellStyle name="40% - Accent1 4 4 2 2 5" xfId="41498" xr:uid="{00000000-0005-0000-0000-00001D560000}"/>
    <cellStyle name="40% - Accent1 4 4 2 2 6" xfId="12323" xr:uid="{00000000-0005-0000-0000-00001E560000}"/>
    <cellStyle name="40% - Accent1 4 4 2 3" xfId="4217" xr:uid="{00000000-0005-0000-0000-00001F560000}"/>
    <cellStyle name="40% - Accent1 4 4 2 3 2" xfId="9079" xr:uid="{00000000-0005-0000-0000-000020560000}"/>
    <cellStyle name="40% - Accent1 4 4 2 3 2 2" xfId="28530" xr:uid="{00000000-0005-0000-0000-000021560000}"/>
    <cellStyle name="40% - Accent1 4 4 2 3 2 3" xfId="38255" xr:uid="{00000000-0005-0000-0000-000022560000}"/>
    <cellStyle name="40% - Accent1 4 4 2 3 2 4" xfId="47980" xr:uid="{00000000-0005-0000-0000-000023560000}"/>
    <cellStyle name="40% - Accent1 4 4 2 3 2 5" xfId="18805" xr:uid="{00000000-0005-0000-0000-000024560000}"/>
    <cellStyle name="40% - Accent1 4 4 2 3 3" xfId="23668" xr:uid="{00000000-0005-0000-0000-000025560000}"/>
    <cellStyle name="40% - Accent1 4 4 2 3 4" xfId="33393" xr:uid="{00000000-0005-0000-0000-000026560000}"/>
    <cellStyle name="40% - Accent1 4 4 2 3 5" xfId="43118" xr:uid="{00000000-0005-0000-0000-000027560000}"/>
    <cellStyle name="40% - Accent1 4 4 2 3 6" xfId="13943" xr:uid="{00000000-0005-0000-0000-000028560000}"/>
    <cellStyle name="40% - Accent1 4 4 2 4" xfId="5839" xr:uid="{00000000-0005-0000-0000-000029560000}"/>
    <cellStyle name="40% - Accent1 4 4 2 4 2" xfId="25290" xr:uid="{00000000-0005-0000-0000-00002A560000}"/>
    <cellStyle name="40% - Accent1 4 4 2 4 3" xfId="35015" xr:uid="{00000000-0005-0000-0000-00002B560000}"/>
    <cellStyle name="40% - Accent1 4 4 2 4 4" xfId="44740" xr:uid="{00000000-0005-0000-0000-00002C560000}"/>
    <cellStyle name="40% - Accent1 4 4 2 4 5" xfId="15565" xr:uid="{00000000-0005-0000-0000-00002D560000}"/>
    <cellStyle name="40% - Accent1 4 4 2 5" xfId="20428" xr:uid="{00000000-0005-0000-0000-00002E560000}"/>
    <cellStyle name="40% - Accent1 4 4 2 6" xfId="30153" xr:uid="{00000000-0005-0000-0000-00002F560000}"/>
    <cellStyle name="40% - Accent1 4 4 2 7" xfId="39878" xr:uid="{00000000-0005-0000-0000-000030560000}"/>
    <cellStyle name="40% - Accent1 4 4 2 8" xfId="10703" xr:uid="{00000000-0005-0000-0000-000031560000}"/>
    <cellStyle name="40% - Accent1 4 4 3" xfId="1426" xr:uid="{00000000-0005-0000-0000-000032560000}"/>
    <cellStyle name="40% - Accent1 4 4 3 2" xfId="3047" xr:uid="{00000000-0005-0000-0000-000033560000}"/>
    <cellStyle name="40% - Accent1 4 4 3 2 2" xfId="7909" xr:uid="{00000000-0005-0000-0000-000034560000}"/>
    <cellStyle name="40% - Accent1 4 4 3 2 2 2" xfId="27360" xr:uid="{00000000-0005-0000-0000-000035560000}"/>
    <cellStyle name="40% - Accent1 4 4 3 2 2 3" xfId="37085" xr:uid="{00000000-0005-0000-0000-000036560000}"/>
    <cellStyle name="40% - Accent1 4 4 3 2 2 4" xfId="46810" xr:uid="{00000000-0005-0000-0000-000037560000}"/>
    <cellStyle name="40% - Accent1 4 4 3 2 2 5" xfId="17635" xr:uid="{00000000-0005-0000-0000-000038560000}"/>
    <cellStyle name="40% - Accent1 4 4 3 2 3" xfId="22498" xr:uid="{00000000-0005-0000-0000-000039560000}"/>
    <cellStyle name="40% - Accent1 4 4 3 2 4" xfId="32223" xr:uid="{00000000-0005-0000-0000-00003A560000}"/>
    <cellStyle name="40% - Accent1 4 4 3 2 5" xfId="41948" xr:uid="{00000000-0005-0000-0000-00003B560000}"/>
    <cellStyle name="40% - Accent1 4 4 3 2 6" xfId="12773" xr:uid="{00000000-0005-0000-0000-00003C560000}"/>
    <cellStyle name="40% - Accent1 4 4 3 3" xfId="4667" xr:uid="{00000000-0005-0000-0000-00003D560000}"/>
    <cellStyle name="40% - Accent1 4 4 3 3 2" xfId="9529" xr:uid="{00000000-0005-0000-0000-00003E560000}"/>
    <cellStyle name="40% - Accent1 4 4 3 3 2 2" xfId="28980" xr:uid="{00000000-0005-0000-0000-00003F560000}"/>
    <cellStyle name="40% - Accent1 4 4 3 3 2 3" xfId="38705" xr:uid="{00000000-0005-0000-0000-000040560000}"/>
    <cellStyle name="40% - Accent1 4 4 3 3 2 4" xfId="48430" xr:uid="{00000000-0005-0000-0000-000041560000}"/>
    <cellStyle name="40% - Accent1 4 4 3 3 2 5" xfId="19255" xr:uid="{00000000-0005-0000-0000-000042560000}"/>
    <cellStyle name="40% - Accent1 4 4 3 3 3" xfId="24118" xr:uid="{00000000-0005-0000-0000-000043560000}"/>
    <cellStyle name="40% - Accent1 4 4 3 3 4" xfId="33843" xr:uid="{00000000-0005-0000-0000-000044560000}"/>
    <cellStyle name="40% - Accent1 4 4 3 3 5" xfId="43568" xr:uid="{00000000-0005-0000-0000-000045560000}"/>
    <cellStyle name="40% - Accent1 4 4 3 3 6" xfId="14393" xr:uid="{00000000-0005-0000-0000-000046560000}"/>
    <cellStyle name="40% - Accent1 4 4 3 4" xfId="6289" xr:uid="{00000000-0005-0000-0000-000047560000}"/>
    <cellStyle name="40% - Accent1 4 4 3 4 2" xfId="25740" xr:uid="{00000000-0005-0000-0000-000048560000}"/>
    <cellStyle name="40% - Accent1 4 4 3 4 3" xfId="35465" xr:uid="{00000000-0005-0000-0000-000049560000}"/>
    <cellStyle name="40% - Accent1 4 4 3 4 4" xfId="45190" xr:uid="{00000000-0005-0000-0000-00004A560000}"/>
    <cellStyle name="40% - Accent1 4 4 3 4 5" xfId="16015" xr:uid="{00000000-0005-0000-0000-00004B560000}"/>
    <cellStyle name="40% - Accent1 4 4 3 5" xfId="20878" xr:uid="{00000000-0005-0000-0000-00004C560000}"/>
    <cellStyle name="40% - Accent1 4 4 3 6" xfId="30603" xr:uid="{00000000-0005-0000-0000-00004D560000}"/>
    <cellStyle name="40% - Accent1 4 4 3 7" xfId="40328" xr:uid="{00000000-0005-0000-0000-00004E560000}"/>
    <cellStyle name="40% - Accent1 4 4 3 8" xfId="11153" xr:uid="{00000000-0005-0000-0000-00004F560000}"/>
    <cellStyle name="40% - Accent1 4 4 4" xfId="597" xr:uid="{00000000-0005-0000-0000-000050560000}"/>
    <cellStyle name="40% - Accent1 4 4 4 2" xfId="2237" xr:uid="{00000000-0005-0000-0000-000051560000}"/>
    <cellStyle name="40% - Accent1 4 4 4 2 2" xfId="7099" xr:uid="{00000000-0005-0000-0000-000052560000}"/>
    <cellStyle name="40% - Accent1 4 4 4 2 2 2" xfId="26550" xr:uid="{00000000-0005-0000-0000-000053560000}"/>
    <cellStyle name="40% - Accent1 4 4 4 2 2 3" xfId="36275" xr:uid="{00000000-0005-0000-0000-000054560000}"/>
    <cellStyle name="40% - Accent1 4 4 4 2 2 4" xfId="46000" xr:uid="{00000000-0005-0000-0000-000055560000}"/>
    <cellStyle name="40% - Accent1 4 4 4 2 2 5" xfId="16825" xr:uid="{00000000-0005-0000-0000-000056560000}"/>
    <cellStyle name="40% - Accent1 4 4 4 2 3" xfId="21688" xr:uid="{00000000-0005-0000-0000-000057560000}"/>
    <cellStyle name="40% - Accent1 4 4 4 2 4" xfId="31413" xr:uid="{00000000-0005-0000-0000-000058560000}"/>
    <cellStyle name="40% - Accent1 4 4 4 2 5" xfId="41138" xr:uid="{00000000-0005-0000-0000-000059560000}"/>
    <cellStyle name="40% - Accent1 4 4 4 2 6" xfId="11963" xr:uid="{00000000-0005-0000-0000-00005A560000}"/>
    <cellStyle name="40% - Accent1 4 4 4 3" xfId="3857" xr:uid="{00000000-0005-0000-0000-00005B560000}"/>
    <cellStyle name="40% - Accent1 4 4 4 3 2" xfId="8719" xr:uid="{00000000-0005-0000-0000-00005C560000}"/>
    <cellStyle name="40% - Accent1 4 4 4 3 2 2" xfId="28170" xr:uid="{00000000-0005-0000-0000-00005D560000}"/>
    <cellStyle name="40% - Accent1 4 4 4 3 2 3" xfId="37895" xr:uid="{00000000-0005-0000-0000-00005E560000}"/>
    <cellStyle name="40% - Accent1 4 4 4 3 2 4" xfId="47620" xr:uid="{00000000-0005-0000-0000-00005F560000}"/>
    <cellStyle name="40% - Accent1 4 4 4 3 2 5" xfId="18445" xr:uid="{00000000-0005-0000-0000-000060560000}"/>
    <cellStyle name="40% - Accent1 4 4 4 3 3" xfId="23308" xr:uid="{00000000-0005-0000-0000-000061560000}"/>
    <cellStyle name="40% - Accent1 4 4 4 3 4" xfId="33033" xr:uid="{00000000-0005-0000-0000-000062560000}"/>
    <cellStyle name="40% - Accent1 4 4 4 3 5" xfId="42758" xr:uid="{00000000-0005-0000-0000-000063560000}"/>
    <cellStyle name="40% - Accent1 4 4 4 3 6" xfId="13583" xr:uid="{00000000-0005-0000-0000-000064560000}"/>
    <cellStyle name="40% - Accent1 4 4 4 4" xfId="5479" xr:uid="{00000000-0005-0000-0000-000065560000}"/>
    <cellStyle name="40% - Accent1 4 4 4 4 2" xfId="24930" xr:uid="{00000000-0005-0000-0000-000066560000}"/>
    <cellStyle name="40% - Accent1 4 4 4 4 3" xfId="34655" xr:uid="{00000000-0005-0000-0000-000067560000}"/>
    <cellStyle name="40% - Accent1 4 4 4 4 4" xfId="44380" xr:uid="{00000000-0005-0000-0000-000068560000}"/>
    <cellStyle name="40% - Accent1 4 4 4 4 5" xfId="15205" xr:uid="{00000000-0005-0000-0000-000069560000}"/>
    <cellStyle name="40% - Accent1 4 4 4 5" xfId="20068" xr:uid="{00000000-0005-0000-0000-00006A560000}"/>
    <cellStyle name="40% - Accent1 4 4 4 6" xfId="29793" xr:uid="{00000000-0005-0000-0000-00006B560000}"/>
    <cellStyle name="40% - Accent1 4 4 4 7" xfId="39518" xr:uid="{00000000-0005-0000-0000-00006C560000}"/>
    <cellStyle name="40% - Accent1 4 4 4 8" xfId="10343" xr:uid="{00000000-0005-0000-0000-00006D560000}"/>
    <cellStyle name="40% - Accent1 4 4 5" xfId="1877" xr:uid="{00000000-0005-0000-0000-00006E560000}"/>
    <cellStyle name="40% - Accent1 4 4 5 2" xfId="6739" xr:uid="{00000000-0005-0000-0000-00006F560000}"/>
    <cellStyle name="40% - Accent1 4 4 5 2 2" xfId="26190" xr:uid="{00000000-0005-0000-0000-000070560000}"/>
    <cellStyle name="40% - Accent1 4 4 5 2 3" xfId="35915" xr:uid="{00000000-0005-0000-0000-000071560000}"/>
    <cellStyle name="40% - Accent1 4 4 5 2 4" xfId="45640" xr:uid="{00000000-0005-0000-0000-000072560000}"/>
    <cellStyle name="40% - Accent1 4 4 5 2 5" xfId="16465" xr:uid="{00000000-0005-0000-0000-000073560000}"/>
    <cellStyle name="40% - Accent1 4 4 5 3" xfId="21328" xr:uid="{00000000-0005-0000-0000-000074560000}"/>
    <cellStyle name="40% - Accent1 4 4 5 4" xfId="31053" xr:uid="{00000000-0005-0000-0000-000075560000}"/>
    <cellStyle name="40% - Accent1 4 4 5 5" xfId="40778" xr:uid="{00000000-0005-0000-0000-000076560000}"/>
    <cellStyle name="40% - Accent1 4 4 5 6" xfId="11603" xr:uid="{00000000-0005-0000-0000-000077560000}"/>
    <cellStyle name="40% - Accent1 4 4 6" xfId="3497" xr:uid="{00000000-0005-0000-0000-000078560000}"/>
    <cellStyle name="40% - Accent1 4 4 6 2" xfId="8359" xr:uid="{00000000-0005-0000-0000-000079560000}"/>
    <cellStyle name="40% - Accent1 4 4 6 2 2" xfId="27810" xr:uid="{00000000-0005-0000-0000-00007A560000}"/>
    <cellStyle name="40% - Accent1 4 4 6 2 3" xfId="37535" xr:uid="{00000000-0005-0000-0000-00007B560000}"/>
    <cellStyle name="40% - Accent1 4 4 6 2 4" xfId="47260" xr:uid="{00000000-0005-0000-0000-00007C560000}"/>
    <cellStyle name="40% - Accent1 4 4 6 2 5" xfId="18085" xr:uid="{00000000-0005-0000-0000-00007D560000}"/>
    <cellStyle name="40% - Accent1 4 4 6 3" xfId="22948" xr:uid="{00000000-0005-0000-0000-00007E560000}"/>
    <cellStyle name="40% - Accent1 4 4 6 4" xfId="32673" xr:uid="{00000000-0005-0000-0000-00007F560000}"/>
    <cellStyle name="40% - Accent1 4 4 6 5" xfId="42398" xr:uid="{00000000-0005-0000-0000-000080560000}"/>
    <cellStyle name="40% - Accent1 4 4 6 6" xfId="13223" xr:uid="{00000000-0005-0000-0000-000081560000}"/>
    <cellStyle name="40% - Accent1 4 4 7" xfId="5119" xr:uid="{00000000-0005-0000-0000-000082560000}"/>
    <cellStyle name="40% - Accent1 4 4 7 2" xfId="24570" xr:uid="{00000000-0005-0000-0000-000083560000}"/>
    <cellStyle name="40% - Accent1 4 4 7 3" xfId="34295" xr:uid="{00000000-0005-0000-0000-000084560000}"/>
    <cellStyle name="40% - Accent1 4 4 7 4" xfId="44020" xr:uid="{00000000-0005-0000-0000-000085560000}"/>
    <cellStyle name="40% - Accent1 4 4 7 5" xfId="14845" xr:uid="{00000000-0005-0000-0000-000086560000}"/>
    <cellStyle name="40% - Accent1 4 4 8" xfId="19708" xr:uid="{00000000-0005-0000-0000-000087560000}"/>
    <cellStyle name="40% - Accent1 4 4 9" xfId="29433" xr:uid="{00000000-0005-0000-0000-000088560000}"/>
    <cellStyle name="40% - Accent1 4 5" xfId="868" xr:uid="{00000000-0005-0000-0000-000089560000}"/>
    <cellStyle name="40% - Accent1 4 5 2" xfId="2507" xr:uid="{00000000-0005-0000-0000-00008A560000}"/>
    <cellStyle name="40% - Accent1 4 5 2 2" xfId="7369" xr:uid="{00000000-0005-0000-0000-00008B560000}"/>
    <cellStyle name="40% - Accent1 4 5 2 2 2" xfId="26820" xr:uid="{00000000-0005-0000-0000-00008C560000}"/>
    <cellStyle name="40% - Accent1 4 5 2 2 3" xfId="36545" xr:uid="{00000000-0005-0000-0000-00008D560000}"/>
    <cellStyle name="40% - Accent1 4 5 2 2 4" xfId="46270" xr:uid="{00000000-0005-0000-0000-00008E560000}"/>
    <cellStyle name="40% - Accent1 4 5 2 2 5" xfId="17095" xr:uid="{00000000-0005-0000-0000-00008F560000}"/>
    <cellStyle name="40% - Accent1 4 5 2 3" xfId="21958" xr:uid="{00000000-0005-0000-0000-000090560000}"/>
    <cellStyle name="40% - Accent1 4 5 2 4" xfId="31683" xr:uid="{00000000-0005-0000-0000-000091560000}"/>
    <cellStyle name="40% - Accent1 4 5 2 5" xfId="41408" xr:uid="{00000000-0005-0000-0000-000092560000}"/>
    <cellStyle name="40% - Accent1 4 5 2 6" xfId="12233" xr:uid="{00000000-0005-0000-0000-000093560000}"/>
    <cellStyle name="40% - Accent1 4 5 3" xfId="4127" xr:uid="{00000000-0005-0000-0000-000094560000}"/>
    <cellStyle name="40% - Accent1 4 5 3 2" xfId="8989" xr:uid="{00000000-0005-0000-0000-000095560000}"/>
    <cellStyle name="40% - Accent1 4 5 3 2 2" xfId="28440" xr:uid="{00000000-0005-0000-0000-000096560000}"/>
    <cellStyle name="40% - Accent1 4 5 3 2 3" xfId="38165" xr:uid="{00000000-0005-0000-0000-000097560000}"/>
    <cellStyle name="40% - Accent1 4 5 3 2 4" xfId="47890" xr:uid="{00000000-0005-0000-0000-000098560000}"/>
    <cellStyle name="40% - Accent1 4 5 3 2 5" xfId="18715" xr:uid="{00000000-0005-0000-0000-000099560000}"/>
    <cellStyle name="40% - Accent1 4 5 3 3" xfId="23578" xr:uid="{00000000-0005-0000-0000-00009A560000}"/>
    <cellStyle name="40% - Accent1 4 5 3 4" xfId="33303" xr:uid="{00000000-0005-0000-0000-00009B560000}"/>
    <cellStyle name="40% - Accent1 4 5 3 5" xfId="43028" xr:uid="{00000000-0005-0000-0000-00009C560000}"/>
    <cellStyle name="40% - Accent1 4 5 3 6" xfId="13853" xr:uid="{00000000-0005-0000-0000-00009D560000}"/>
    <cellStyle name="40% - Accent1 4 5 4" xfId="5749" xr:uid="{00000000-0005-0000-0000-00009E560000}"/>
    <cellStyle name="40% - Accent1 4 5 4 2" xfId="25200" xr:uid="{00000000-0005-0000-0000-00009F560000}"/>
    <cellStyle name="40% - Accent1 4 5 4 3" xfId="34925" xr:uid="{00000000-0005-0000-0000-0000A0560000}"/>
    <cellStyle name="40% - Accent1 4 5 4 4" xfId="44650" xr:uid="{00000000-0005-0000-0000-0000A1560000}"/>
    <cellStyle name="40% - Accent1 4 5 4 5" xfId="15475" xr:uid="{00000000-0005-0000-0000-0000A2560000}"/>
    <cellStyle name="40% - Accent1 4 5 5" xfId="20338" xr:uid="{00000000-0005-0000-0000-0000A3560000}"/>
    <cellStyle name="40% - Accent1 4 5 6" xfId="30063" xr:uid="{00000000-0005-0000-0000-0000A4560000}"/>
    <cellStyle name="40% - Accent1 4 5 7" xfId="39788" xr:uid="{00000000-0005-0000-0000-0000A5560000}"/>
    <cellStyle name="40% - Accent1 4 5 8" xfId="10613" xr:uid="{00000000-0005-0000-0000-0000A6560000}"/>
    <cellStyle name="40% - Accent1 4 6" xfId="1246" xr:uid="{00000000-0005-0000-0000-0000A7560000}"/>
    <cellStyle name="40% - Accent1 4 6 2" xfId="2867" xr:uid="{00000000-0005-0000-0000-0000A8560000}"/>
    <cellStyle name="40% - Accent1 4 6 2 2" xfId="7729" xr:uid="{00000000-0005-0000-0000-0000A9560000}"/>
    <cellStyle name="40% - Accent1 4 6 2 2 2" xfId="27180" xr:uid="{00000000-0005-0000-0000-0000AA560000}"/>
    <cellStyle name="40% - Accent1 4 6 2 2 3" xfId="36905" xr:uid="{00000000-0005-0000-0000-0000AB560000}"/>
    <cellStyle name="40% - Accent1 4 6 2 2 4" xfId="46630" xr:uid="{00000000-0005-0000-0000-0000AC560000}"/>
    <cellStyle name="40% - Accent1 4 6 2 2 5" xfId="17455" xr:uid="{00000000-0005-0000-0000-0000AD560000}"/>
    <cellStyle name="40% - Accent1 4 6 2 3" xfId="22318" xr:uid="{00000000-0005-0000-0000-0000AE560000}"/>
    <cellStyle name="40% - Accent1 4 6 2 4" xfId="32043" xr:uid="{00000000-0005-0000-0000-0000AF560000}"/>
    <cellStyle name="40% - Accent1 4 6 2 5" xfId="41768" xr:uid="{00000000-0005-0000-0000-0000B0560000}"/>
    <cellStyle name="40% - Accent1 4 6 2 6" xfId="12593" xr:uid="{00000000-0005-0000-0000-0000B1560000}"/>
    <cellStyle name="40% - Accent1 4 6 3" xfId="4487" xr:uid="{00000000-0005-0000-0000-0000B2560000}"/>
    <cellStyle name="40% - Accent1 4 6 3 2" xfId="9349" xr:uid="{00000000-0005-0000-0000-0000B3560000}"/>
    <cellStyle name="40% - Accent1 4 6 3 2 2" xfId="28800" xr:uid="{00000000-0005-0000-0000-0000B4560000}"/>
    <cellStyle name="40% - Accent1 4 6 3 2 3" xfId="38525" xr:uid="{00000000-0005-0000-0000-0000B5560000}"/>
    <cellStyle name="40% - Accent1 4 6 3 2 4" xfId="48250" xr:uid="{00000000-0005-0000-0000-0000B6560000}"/>
    <cellStyle name="40% - Accent1 4 6 3 2 5" xfId="19075" xr:uid="{00000000-0005-0000-0000-0000B7560000}"/>
    <cellStyle name="40% - Accent1 4 6 3 3" xfId="23938" xr:uid="{00000000-0005-0000-0000-0000B8560000}"/>
    <cellStyle name="40% - Accent1 4 6 3 4" xfId="33663" xr:uid="{00000000-0005-0000-0000-0000B9560000}"/>
    <cellStyle name="40% - Accent1 4 6 3 5" xfId="43388" xr:uid="{00000000-0005-0000-0000-0000BA560000}"/>
    <cellStyle name="40% - Accent1 4 6 3 6" xfId="14213" xr:uid="{00000000-0005-0000-0000-0000BB560000}"/>
    <cellStyle name="40% - Accent1 4 6 4" xfId="6109" xr:uid="{00000000-0005-0000-0000-0000BC560000}"/>
    <cellStyle name="40% - Accent1 4 6 4 2" xfId="25560" xr:uid="{00000000-0005-0000-0000-0000BD560000}"/>
    <cellStyle name="40% - Accent1 4 6 4 3" xfId="35285" xr:uid="{00000000-0005-0000-0000-0000BE560000}"/>
    <cellStyle name="40% - Accent1 4 6 4 4" xfId="45010" xr:uid="{00000000-0005-0000-0000-0000BF560000}"/>
    <cellStyle name="40% - Accent1 4 6 4 5" xfId="15835" xr:uid="{00000000-0005-0000-0000-0000C0560000}"/>
    <cellStyle name="40% - Accent1 4 6 5" xfId="20698" xr:uid="{00000000-0005-0000-0000-0000C1560000}"/>
    <cellStyle name="40% - Accent1 4 6 6" xfId="30423" xr:uid="{00000000-0005-0000-0000-0000C2560000}"/>
    <cellStyle name="40% - Accent1 4 6 7" xfId="40148" xr:uid="{00000000-0005-0000-0000-0000C3560000}"/>
    <cellStyle name="40% - Accent1 4 6 8" xfId="10973" xr:uid="{00000000-0005-0000-0000-0000C4560000}"/>
    <cellStyle name="40% - Accent1 4 7" xfId="1336" xr:uid="{00000000-0005-0000-0000-0000C5560000}"/>
    <cellStyle name="40% - Accent1 4 7 2" xfId="2957" xr:uid="{00000000-0005-0000-0000-0000C6560000}"/>
    <cellStyle name="40% - Accent1 4 7 2 2" xfId="7819" xr:uid="{00000000-0005-0000-0000-0000C7560000}"/>
    <cellStyle name="40% - Accent1 4 7 2 2 2" xfId="27270" xr:uid="{00000000-0005-0000-0000-0000C8560000}"/>
    <cellStyle name="40% - Accent1 4 7 2 2 3" xfId="36995" xr:uid="{00000000-0005-0000-0000-0000C9560000}"/>
    <cellStyle name="40% - Accent1 4 7 2 2 4" xfId="46720" xr:uid="{00000000-0005-0000-0000-0000CA560000}"/>
    <cellStyle name="40% - Accent1 4 7 2 2 5" xfId="17545" xr:uid="{00000000-0005-0000-0000-0000CB560000}"/>
    <cellStyle name="40% - Accent1 4 7 2 3" xfId="22408" xr:uid="{00000000-0005-0000-0000-0000CC560000}"/>
    <cellStyle name="40% - Accent1 4 7 2 4" xfId="32133" xr:uid="{00000000-0005-0000-0000-0000CD560000}"/>
    <cellStyle name="40% - Accent1 4 7 2 5" xfId="41858" xr:uid="{00000000-0005-0000-0000-0000CE560000}"/>
    <cellStyle name="40% - Accent1 4 7 2 6" xfId="12683" xr:uid="{00000000-0005-0000-0000-0000CF560000}"/>
    <cellStyle name="40% - Accent1 4 7 3" xfId="4577" xr:uid="{00000000-0005-0000-0000-0000D0560000}"/>
    <cellStyle name="40% - Accent1 4 7 3 2" xfId="9439" xr:uid="{00000000-0005-0000-0000-0000D1560000}"/>
    <cellStyle name="40% - Accent1 4 7 3 2 2" xfId="28890" xr:uid="{00000000-0005-0000-0000-0000D2560000}"/>
    <cellStyle name="40% - Accent1 4 7 3 2 3" xfId="38615" xr:uid="{00000000-0005-0000-0000-0000D3560000}"/>
    <cellStyle name="40% - Accent1 4 7 3 2 4" xfId="48340" xr:uid="{00000000-0005-0000-0000-0000D4560000}"/>
    <cellStyle name="40% - Accent1 4 7 3 2 5" xfId="19165" xr:uid="{00000000-0005-0000-0000-0000D5560000}"/>
    <cellStyle name="40% - Accent1 4 7 3 3" xfId="24028" xr:uid="{00000000-0005-0000-0000-0000D6560000}"/>
    <cellStyle name="40% - Accent1 4 7 3 4" xfId="33753" xr:uid="{00000000-0005-0000-0000-0000D7560000}"/>
    <cellStyle name="40% - Accent1 4 7 3 5" xfId="43478" xr:uid="{00000000-0005-0000-0000-0000D8560000}"/>
    <cellStyle name="40% - Accent1 4 7 3 6" xfId="14303" xr:uid="{00000000-0005-0000-0000-0000D9560000}"/>
    <cellStyle name="40% - Accent1 4 7 4" xfId="6199" xr:uid="{00000000-0005-0000-0000-0000DA560000}"/>
    <cellStyle name="40% - Accent1 4 7 4 2" xfId="25650" xr:uid="{00000000-0005-0000-0000-0000DB560000}"/>
    <cellStyle name="40% - Accent1 4 7 4 3" xfId="35375" xr:uid="{00000000-0005-0000-0000-0000DC560000}"/>
    <cellStyle name="40% - Accent1 4 7 4 4" xfId="45100" xr:uid="{00000000-0005-0000-0000-0000DD560000}"/>
    <cellStyle name="40% - Accent1 4 7 4 5" xfId="15925" xr:uid="{00000000-0005-0000-0000-0000DE560000}"/>
    <cellStyle name="40% - Accent1 4 7 5" xfId="20788" xr:uid="{00000000-0005-0000-0000-0000DF560000}"/>
    <cellStyle name="40% - Accent1 4 7 6" xfId="30513" xr:uid="{00000000-0005-0000-0000-0000E0560000}"/>
    <cellStyle name="40% - Accent1 4 7 7" xfId="40238" xr:uid="{00000000-0005-0000-0000-0000E1560000}"/>
    <cellStyle name="40% - Accent1 4 7 8" xfId="11063" xr:uid="{00000000-0005-0000-0000-0000E2560000}"/>
    <cellStyle name="40% - Accent1 4 8" xfId="507" xr:uid="{00000000-0005-0000-0000-0000E3560000}"/>
    <cellStyle name="40% - Accent1 4 8 2" xfId="2147" xr:uid="{00000000-0005-0000-0000-0000E4560000}"/>
    <cellStyle name="40% - Accent1 4 8 2 2" xfId="7009" xr:uid="{00000000-0005-0000-0000-0000E5560000}"/>
    <cellStyle name="40% - Accent1 4 8 2 2 2" xfId="26460" xr:uid="{00000000-0005-0000-0000-0000E6560000}"/>
    <cellStyle name="40% - Accent1 4 8 2 2 3" xfId="36185" xr:uid="{00000000-0005-0000-0000-0000E7560000}"/>
    <cellStyle name="40% - Accent1 4 8 2 2 4" xfId="45910" xr:uid="{00000000-0005-0000-0000-0000E8560000}"/>
    <cellStyle name="40% - Accent1 4 8 2 2 5" xfId="16735" xr:uid="{00000000-0005-0000-0000-0000E9560000}"/>
    <cellStyle name="40% - Accent1 4 8 2 3" xfId="21598" xr:uid="{00000000-0005-0000-0000-0000EA560000}"/>
    <cellStyle name="40% - Accent1 4 8 2 4" xfId="31323" xr:uid="{00000000-0005-0000-0000-0000EB560000}"/>
    <cellStyle name="40% - Accent1 4 8 2 5" xfId="41048" xr:uid="{00000000-0005-0000-0000-0000EC560000}"/>
    <cellStyle name="40% - Accent1 4 8 2 6" xfId="11873" xr:uid="{00000000-0005-0000-0000-0000ED560000}"/>
    <cellStyle name="40% - Accent1 4 8 3" xfId="3767" xr:uid="{00000000-0005-0000-0000-0000EE560000}"/>
    <cellStyle name="40% - Accent1 4 8 3 2" xfId="8629" xr:uid="{00000000-0005-0000-0000-0000EF560000}"/>
    <cellStyle name="40% - Accent1 4 8 3 2 2" xfId="28080" xr:uid="{00000000-0005-0000-0000-0000F0560000}"/>
    <cellStyle name="40% - Accent1 4 8 3 2 3" xfId="37805" xr:uid="{00000000-0005-0000-0000-0000F1560000}"/>
    <cellStyle name="40% - Accent1 4 8 3 2 4" xfId="47530" xr:uid="{00000000-0005-0000-0000-0000F2560000}"/>
    <cellStyle name="40% - Accent1 4 8 3 2 5" xfId="18355" xr:uid="{00000000-0005-0000-0000-0000F3560000}"/>
    <cellStyle name="40% - Accent1 4 8 3 3" xfId="23218" xr:uid="{00000000-0005-0000-0000-0000F4560000}"/>
    <cellStyle name="40% - Accent1 4 8 3 4" xfId="32943" xr:uid="{00000000-0005-0000-0000-0000F5560000}"/>
    <cellStyle name="40% - Accent1 4 8 3 5" xfId="42668" xr:uid="{00000000-0005-0000-0000-0000F6560000}"/>
    <cellStyle name="40% - Accent1 4 8 3 6" xfId="13493" xr:uid="{00000000-0005-0000-0000-0000F7560000}"/>
    <cellStyle name="40% - Accent1 4 8 4" xfId="5389" xr:uid="{00000000-0005-0000-0000-0000F8560000}"/>
    <cellStyle name="40% - Accent1 4 8 4 2" xfId="24840" xr:uid="{00000000-0005-0000-0000-0000F9560000}"/>
    <cellStyle name="40% - Accent1 4 8 4 3" xfId="34565" xr:uid="{00000000-0005-0000-0000-0000FA560000}"/>
    <cellStyle name="40% - Accent1 4 8 4 4" xfId="44290" xr:uid="{00000000-0005-0000-0000-0000FB560000}"/>
    <cellStyle name="40% - Accent1 4 8 4 5" xfId="15115" xr:uid="{00000000-0005-0000-0000-0000FC560000}"/>
    <cellStyle name="40% - Accent1 4 8 5" xfId="19978" xr:uid="{00000000-0005-0000-0000-0000FD560000}"/>
    <cellStyle name="40% - Accent1 4 8 6" xfId="29703" xr:uid="{00000000-0005-0000-0000-0000FE560000}"/>
    <cellStyle name="40% - Accent1 4 8 7" xfId="39428" xr:uid="{00000000-0005-0000-0000-0000FF560000}"/>
    <cellStyle name="40% - Accent1 4 8 8" xfId="10253" xr:uid="{00000000-0005-0000-0000-000000570000}"/>
    <cellStyle name="40% - Accent1 4 9" xfId="1696" xr:uid="{00000000-0005-0000-0000-000001570000}"/>
    <cellStyle name="40% - Accent1 4 9 2" xfId="3317" xr:uid="{00000000-0005-0000-0000-000002570000}"/>
    <cellStyle name="40% - Accent1 4 9 2 2" xfId="8179" xr:uid="{00000000-0005-0000-0000-000003570000}"/>
    <cellStyle name="40% - Accent1 4 9 2 2 2" xfId="27630" xr:uid="{00000000-0005-0000-0000-000004570000}"/>
    <cellStyle name="40% - Accent1 4 9 2 2 3" xfId="37355" xr:uid="{00000000-0005-0000-0000-000005570000}"/>
    <cellStyle name="40% - Accent1 4 9 2 2 4" xfId="47080" xr:uid="{00000000-0005-0000-0000-000006570000}"/>
    <cellStyle name="40% - Accent1 4 9 2 2 5" xfId="17905" xr:uid="{00000000-0005-0000-0000-000007570000}"/>
    <cellStyle name="40% - Accent1 4 9 2 3" xfId="22768" xr:uid="{00000000-0005-0000-0000-000008570000}"/>
    <cellStyle name="40% - Accent1 4 9 2 4" xfId="32493" xr:uid="{00000000-0005-0000-0000-000009570000}"/>
    <cellStyle name="40% - Accent1 4 9 2 5" xfId="42218" xr:uid="{00000000-0005-0000-0000-00000A570000}"/>
    <cellStyle name="40% - Accent1 4 9 2 6" xfId="13043" xr:uid="{00000000-0005-0000-0000-00000B570000}"/>
    <cellStyle name="40% - Accent1 4 9 3" xfId="4937" xr:uid="{00000000-0005-0000-0000-00000C570000}"/>
    <cellStyle name="40% - Accent1 4 9 3 2" xfId="9799" xr:uid="{00000000-0005-0000-0000-00000D570000}"/>
    <cellStyle name="40% - Accent1 4 9 3 2 2" xfId="29250" xr:uid="{00000000-0005-0000-0000-00000E570000}"/>
    <cellStyle name="40% - Accent1 4 9 3 2 3" xfId="38975" xr:uid="{00000000-0005-0000-0000-00000F570000}"/>
    <cellStyle name="40% - Accent1 4 9 3 2 4" xfId="48700" xr:uid="{00000000-0005-0000-0000-000010570000}"/>
    <cellStyle name="40% - Accent1 4 9 3 2 5" xfId="19525" xr:uid="{00000000-0005-0000-0000-000011570000}"/>
    <cellStyle name="40% - Accent1 4 9 3 3" xfId="24388" xr:uid="{00000000-0005-0000-0000-000012570000}"/>
    <cellStyle name="40% - Accent1 4 9 3 4" xfId="34113" xr:uid="{00000000-0005-0000-0000-000013570000}"/>
    <cellStyle name="40% - Accent1 4 9 3 5" xfId="43838" xr:uid="{00000000-0005-0000-0000-000014570000}"/>
    <cellStyle name="40% - Accent1 4 9 3 6" xfId="14663" xr:uid="{00000000-0005-0000-0000-000015570000}"/>
    <cellStyle name="40% - Accent1 4 9 4" xfId="6559" xr:uid="{00000000-0005-0000-0000-000016570000}"/>
    <cellStyle name="40% - Accent1 4 9 4 2" xfId="26010" xr:uid="{00000000-0005-0000-0000-000017570000}"/>
    <cellStyle name="40% - Accent1 4 9 4 3" xfId="35735" xr:uid="{00000000-0005-0000-0000-000018570000}"/>
    <cellStyle name="40% - Accent1 4 9 4 4" xfId="45460" xr:uid="{00000000-0005-0000-0000-000019570000}"/>
    <cellStyle name="40% - Accent1 4 9 4 5" xfId="16285" xr:uid="{00000000-0005-0000-0000-00001A570000}"/>
    <cellStyle name="40% - Accent1 4 9 5" xfId="21148" xr:uid="{00000000-0005-0000-0000-00001B570000}"/>
    <cellStyle name="40% - Accent1 4 9 6" xfId="30873" xr:uid="{00000000-0005-0000-0000-00001C570000}"/>
    <cellStyle name="40% - Accent1 4 9 7" xfId="40598" xr:uid="{00000000-0005-0000-0000-00001D570000}"/>
    <cellStyle name="40% - Accent1 4 9 8" xfId="11423" xr:uid="{00000000-0005-0000-0000-00001E570000}"/>
    <cellStyle name="40% - Accent1 5" xfId="225" xr:uid="{00000000-0005-0000-0000-00001F570000}"/>
    <cellStyle name="40% - Accent1 5 10" xfId="39188" xr:uid="{00000000-0005-0000-0000-000020570000}"/>
    <cellStyle name="40% - Accent1 5 11" xfId="10013" xr:uid="{00000000-0005-0000-0000-000021570000}"/>
    <cellStyle name="40% - Accent1 5 2" xfId="989" xr:uid="{00000000-0005-0000-0000-000022570000}"/>
    <cellStyle name="40% - Accent1 5 2 2" xfId="2627" xr:uid="{00000000-0005-0000-0000-000023570000}"/>
    <cellStyle name="40% - Accent1 5 2 2 2" xfId="7489" xr:uid="{00000000-0005-0000-0000-000024570000}"/>
    <cellStyle name="40% - Accent1 5 2 2 2 2" xfId="26940" xr:uid="{00000000-0005-0000-0000-000025570000}"/>
    <cellStyle name="40% - Accent1 5 2 2 2 3" xfId="36665" xr:uid="{00000000-0005-0000-0000-000026570000}"/>
    <cellStyle name="40% - Accent1 5 2 2 2 4" xfId="46390" xr:uid="{00000000-0005-0000-0000-000027570000}"/>
    <cellStyle name="40% - Accent1 5 2 2 2 5" xfId="17215" xr:uid="{00000000-0005-0000-0000-000028570000}"/>
    <cellStyle name="40% - Accent1 5 2 2 3" xfId="22078" xr:uid="{00000000-0005-0000-0000-000029570000}"/>
    <cellStyle name="40% - Accent1 5 2 2 4" xfId="31803" xr:uid="{00000000-0005-0000-0000-00002A570000}"/>
    <cellStyle name="40% - Accent1 5 2 2 5" xfId="41528" xr:uid="{00000000-0005-0000-0000-00002B570000}"/>
    <cellStyle name="40% - Accent1 5 2 2 6" xfId="12353" xr:uid="{00000000-0005-0000-0000-00002C570000}"/>
    <cellStyle name="40% - Accent1 5 2 3" xfId="4247" xr:uid="{00000000-0005-0000-0000-00002D570000}"/>
    <cellStyle name="40% - Accent1 5 2 3 2" xfId="9109" xr:uid="{00000000-0005-0000-0000-00002E570000}"/>
    <cellStyle name="40% - Accent1 5 2 3 2 2" xfId="28560" xr:uid="{00000000-0005-0000-0000-00002F570000}"/>
    <cellStyle name="40% - Accent1 5 2 3 2 3" xfId="38285" xr:uid="{00000000-0005-0000-0000-000030570000}"/>
    <cellStyle name="40% - Accent1 5 2 3 2 4" xfId="48010" xr:uid="{00000000-0005-0000-0000-000031570000}"/>
    <cellStyle name="40% - Accent1 5 2 3 2 5" xfId="18835" xr:uid="{00000000-0005-0000-0000-000032570000}"/>
    <cellStyle name="40% - Accent1 5 2 3 3" xfId="23698" xr:uid="{00000000-0005-0000-0000-000033570000}"/>
    <cellStyle name="40% - Accent1 5 2 3 4" xfId="33423" xr:uid="{00000000-0005-0000-0000-000034570000}"/>
    <cellStyle name="40% - Accent1 5 2 3 5" xfId="43148" xr:uid="{00000000-0005-0000-0000-000035570000}"/>
    <cellStyle name="40% - Accent1 5 2 3 6" xfId="13973" xr:uid="{00000000-0005-0000-0000-000036570000}"/>
    <cellStyle name="40% - Accent1 5 2 4" xfId="5869" xr:uid="{00000000-0005-0000-0000-000037570000}"/>
    <cellStyle name="40% - Accent1 5 2 4 2" xfId="25320" xr:uid="{00000000-0005-0000-0000-000038570000}"/>
    <cellStyle name="40% - Accent1 5 2 4 3" xfId="35045" xr:uid="{00000000-0005-0000-0000-000039570000}"/>
    <cellStyle name="40% - Accent1 5 2 4 4" xfId="44770" xr:uid="{00000000-0005-0000-0000-00003A570000}"/>
    <cellStyle name="40% - Accent1 5 2 4 5" xfId="15595" xr:uid="{00000000-0005-0000-0000-00003B570000}"/>
    <cellStyle name="40% - Accent1 5 2 5" xfId="20458" xr:uid="{00000000-0005-0000-0000-00003C570000}"/>
    <cellStyle name="40% - Accent1 5 2 6" xfId="30183" xr:uid="{00000000-0005-0000-0000-00003D570000}"/>
    <cellStyle name="40% - Accent1 5 2 7" xfId="39908" xr:uid="{00000000-0005-0000-0000-00003E570000}"/>
    <cellStyle name="40% - Accent1 5 2 8" xfId="10733" xr:uid="{00000000-0005-0000-0000-00003F570000}"/>
    <cellStyle name="40% - Accent1 5 3" xfId="1456" xr:uid="{00000000-0005-0000-0000-000040570000}"/>
    <cellStyle name="40% - Accent1 5 3 2" xfId="3077" xr:uid="{00000000-0005-0000-0000-000041570000}"/>
    <cellStyle name="40% - Accent1 5 3 2 2" xfId="7939" xr:uid="{00000000-0005-0000-0000-000042570000}"/>
    <cellStyle name="40% - Accent1 5 3 2 2 2" xfId="27390" xr:uid="{00000000-0005-0000-0000-000043570000}"/>
    <cellStyle name="40% - Accent1 5 3 2 2 3" xfId="37115" xr:uid="{00000000-0005-0000-0000-000044570000}"/>
    <cellStyle name="40% - Accent1 5 3 2 2 4" xfId="46840" xr:uid="{00000000-0005-0000-0000-000045570000}"/>
    <cellStyle name="40% - Accent1 5 3 2 2 5" xfId="17665" xr:uid="{00000000-0005-0000-0000-000046570000}"/>
    <cellStyle name="40% - Accent1 5 3 2 3" xfId="22528" xr:uid="{00000000-0005-0000-0000-000047570000}"/>
    <cellStyle name="40% - Accent1 5 3 2 4" xfId="32253" xr:uid="{00000000-0005-0000-0000-000048570000}"/>
    <cellStyle name="40% - Accent1 5 3 2 5" xfId="41978" xr:uid="{00000000-0005-0000-0000-000049570000}"/>
    <cellStyle name="40% - Accent1 5 3 2 6" xfId="12803" xr:uid="{00000000-0005-0000-0000-00004A570000}"/>
    <cellStyle name="40% - Accent1 5 3 3" xfId="4697" xr:uid="{00000000-0005-0000-0000-00004B570000}"/>
    <cellStyle name="40% - Accent1 5 3 3 2" xfId="9559" xr:uid="{00000000-0005-0000-0000-00004C570000}"/>
    <cellStyle name="40% - Accent1 5 3 3 2 2" xfId="29010" xr:uid="{00000000-0005-0000-0000-00004D570000}"/>
    <cellStyle name="40% - Accent1 5 3 3 2 3" xfId="38735" xr:uid="{00000000-0005-0000-0000-00004E570000}"/>
    <cellStyle name="40% - Accent1 5 3 3 2 4" xfId="48460" xr:uid="{00000000-0005-0000-0000-00004F570000}"/>
    <cellStyle name="40% - Accent1 5 3 3 2 5" xfId="19285" xr:uid="{00000000-0005-0000-0000-000050570000}"/>
    <cellStyle name="40% - Accent1 5 3 3 3" xfId="24148" xr:uid="{00000000-0005-0000-0000-000051570000}"/>
    <cellStyle name="40% - Accent1 5 3 3 4" xfId="33873" xr:uid="{00000000-0005-0000-0000-000052570000}"/>
    <cellStyle name="40% - Accent1 5 3 3 5" xfId="43598" xr:uid="{00000000-0005-0000-0000-000053570000}"/>
    <cellStyle name="40% - Accent1 5 3 3 6" xfId="14423" xr:uid="{00000000-0005-0000-0000-000054570000}"/>
    <cellStyle name="40% - Accent1 5 3 4" xfId="6319" xr:uid="{00000000-0005-0000-0000-000055570000}"/>
    <cellStyle name="40% - Accent1 5 3 4 2" xfId="25770" xr:uid="{00000000-0005-0000-0000-000056570000}"/>
    <cellStyle name="40% - Accent1 5 3 4 3" xfId="35495" xr:uid="{00000000-0005-0000-0000-000057570000}"/>
    <cellStyle name="40% - Accent1 5 3 4 4" xfId="45220" xr:uid="{00000000-0005-0000-0000-000058570000}"/>
    <cellStyle name="40% - Accent1 5 3 4 5" xfId="16045" xr:uid="{00000000-0005-0000-0000-000059570000}"/>
    <cellStyle name="40% - Accent1 5 3 5" xfId="20908" xr:uid="{00000000-0005-0000-0000-00005A570000}"/>
    <cellStyle name="40% - Accent1 5 3 6" xfId="30633" xr:uid="{00000000-0005-0000-0000-00005B570000}"/>
    <cellStyle name="40% - Accent1 5 3 7" xfId="40358" xr:uid="{00000000-0005-0000-0000-00005C570000}"/>
    <cellStyle name="40% - Accent1 5 3 8" xfId="11183" xr:uid="{00000000-0005-0000-0000-00005D570000}"/>
    <cellStyle name="40% - Accent1 5 4" xfId="627" xr:uid="{00000000-0005-0000-0000-00005E570000}"/>
    <cellStyle name="40% - Accent1 5 4 2" xfId="2267" xr:uid="{00000000-0005-0000-0000-00005F570000}"/>
    <cellStyle name="40% - Accent1 5 4 2 2" xfId="7129" xr:uid="{00000000-0005-0000-0000-000060570000}"/>
    <cellStyle name="40% - Accent1 5 4 2 2 2" xfId="26580" xr:uid="{00000000-0005-0000-0000-000061570000}"/>
    <cellStyle name="40% - Accent1 5 4 2 2 3" xfId="36305" xr:uid="{00000000-0005-0000-0000-000062570000}"/>
    <cellStyle name="40% - Accent1 5 4 2 2 4" xfId="46030" xr:uid="{00000000-0005-0000-0000-000063570000}"/>
    <cellStyle name="40% - Accent1 5 4 2 2 5" xfId="16855" xr:uid="{00000000-0005-0000-0000-000064570000}"/>
    <cellStyle name="40% - Accent1 5 4 2 3" xfId="21718" xr:uid="{00000000-0005-0000-0000-000065570000}"/>
    <cellStyle name="40% - Accent1 5 4 2 4" xfId="31443" xr:uid="{00000000-0005-0000-0000-000066570000}"/>
    <cellStyle name="40% - Accent1 5 4 2 5" xfId="41168" xr:uid="{00000000-0005-0000-0000-000067570000}"/>
    <cellStyle name="40% - Accent1 5 4 2 6" xfId="11993" xr:uid="{00000000-0005-0000-0000-000068570000}"/>
    <cellStyle name="40% - Accent1 5 4 3" xfId="3887" xr:uid="{00000000-0005-0000-0000-000069570000}"/>
    <cellStyle name="40% - Accent1 5 4 3 2" xfId="8749" xr:uid="{00000000-0005-0000-0000-00006A570000}"/>
    <cellStyle name="40% - Accent1 5 4 3 2 2" xfId="28200" xr:uid="{00000000-0005-0000-0000-00006B570000}"/>
    <cellStyle name="40% - Accent1 5 4 3 2 3" xfId="37925" xr:uid="{00000000-0005-0000-0000-00006C570000}"/>
    <cellStyle name="40% - Accent1 5 4 3 2 4" xfId="47650" xr:uid="{00000000-0005-0000-0000-00006D570000}"/>
    <cellStyle name="40% - Accent1 5 4 3 2 5" xfId="18475" xr:uid="{00000000-0005-0000-0000-00006E570000}"/>
    <cellStyle name="40% - Accent1 5 4 3 3" xfId="23338" xr:uid="{00000000-0005-0000-0000-00006F570000}"/>
    <cellStyle name="40% - Accent1 5 4 3 4" xfId="33063" xr:uid="{00000000-0005-0000-0000-000070570000}"/>
    <cellStyle name="40% - Accent1 5 4 3 5" xfId="42788" xr:uid="{00000000-0005-0000-0000-000071570000}"/>
    <cellStyle name="40% - Accent1 5 4 3 6" xfId="13613" xr:uid="{00000000-0005-0000-0000-000072570000}"/>
    <cellStyle name="40% - Accent1 5 4 4" xfId="5509" xr:uid="{00000000-0005-0000-0000-000073570000}"/>
    <cellStyle name="40% - Accent1 5 4 4 2" xfId="24960" xr:uid="{00000000-0005-0000-0000-000074570000}"/>
    <cellStyle name="40% - Accent1 5 4 4 3" xfId="34685" xr:uid="{00000000-0005-0000-0000-000075570000}"/>
    <cellStyle name="40% - Accent1 5 4 4 4" xfId="44410" xr:uid="{00000000-0005-0000-0000-000076570000}"/>
    <cellStyle name="40% - Accent1 5 4 4 5" xfId="15235" xr:uid="{00000000-0005-0000-0000-000077570000}"/>
    <cellStyle name="40% - Accent1 5 4 5" xfId="20098" xr:uid="{00000000-0005-0000-0000-000078570000}"/>
    <cellStyle name="40% - Accent1 5 4 6" xfId="29823" xr:uid="{00000000-0005-0000-0000-000079570000}"/>
    <cellStyle name="40% - Accent1 5 4 7" xfId="39548" xr:uid="{00000000-0005-0000-0000-00007A570000}"/>
    <cellStyle name="40% - Accent1 5 4 8" xfId="10373" xr:uid="{00000000-0005-0000-0000-00007B570000}"/>
    <cellStyle name="40% - Accent1 5 5" xfId="1907" xr:uid="{00000000-0005-0000-0000-00007C570000}"/>
    <cellStyle name="40% - Accent1 5 5 2" xfId="6769" xr:uid="{00000000-0005-0000-0000-00007D570000}"/>
    <cellStyle name="40% - Accent1 5 5 2 2" xfId="26220" xr:uid="{00000000-0005-0000-0000-00007E570000}"/>
    <cellStyle name="40% - Accent1 5 5 2 3" xfId="35945" xr:uid="{00000000-0005-0000-0000-00007F570000}"/>
    <cellStyle name="40% - Accent1 5 5 2 4" xfId="45670" xr:uid="{00000000-0005-0000-0000-000080570000}"/>
    <cellStyle name="40% - Accent1 5 5 2 5" xfId="16495" xr:uid="{00000000-0005-0000-0000-000081570000}"/>
    <cellStyle name="40% - Accent1 5 5 3" xfId="21358" xr:uid="{00000000-0005-0000-0000-000082570000}"/>
    <cellStyle name="40% - Accent1 5 5 4" xfId="31083" xr:uid="{00000000-0005-0000-0000-000083570000}"/>
    <cellStyle name="40% - Accent1 5 5 5" xfId="40808" xr:uid="{00000000-0005-0000-0000-000084570000}"/>
    <cellStyle name="40% - Accent1 5 5 6" xfId="11633" xr:uid="{00000000-0005-0000-0000-000085570000}"/>
    <cellStyle name="40% - Accent1 5 6" xfId="3527" xr:uid="{00000000-0005-0000-0000-000086570000}"/>
    <cellStyle name="40% - Accent1 5 6 2" xfId="8389" xr:uid="{00000000-0005-0000-0000-000087570000}"/>
    <cellStyle name="40% - Accent1 5 6 2 2" xfId="27840" xr:uid="{00000000-0005-0000-0000-000088570000}"/>
    <cellStyle name="40% - Accent1 5 6 2 3" xfId="37565" xr:uid="{00000000-0005-0000-0000-000089570000}"/>
    <cellStyle name="40% - Accent1 5 6 2 4" xfId="47290" xr:uid="{00000000-0005-0000-0000-00008A570000}"/>
    <cellStyle name="40% - Accent1 5 6 2 5" xfId="18115" xr:uid="{00000000-0005-0000-0000-00008B570000}"/>
    <cellStyle name="40% - Accent1 5 6 3" xfId="22978" xr:uid="{00000000-0005-0000-0000-00008C570000}"/>
    <cellStyle name="40% - Accent1 5 6 4" xfId="32703" xr:uid="{00000000-0005-0000-0000-00008D570000}"/>
    <cellStyle name="40% - Accent1 5 6 5" xfId="42428" xr:uid="{00000000-0005-0000-0000-00008E570000}"/>
    <cellStyle name="40% - Accent1 5 6 6" xfId="13253" xr:uid="{00000000-0005-0000-0000-00008F570000}"/>
    <cellStyle name="40% - Accent1 5 7" xfId="5149" xr:uid="{00000000-0005-0000-0000-000090570000}"/>
    <cellStyle name="40% - Accent1 5 7 2" xfId="24600" xr:uid="{00000000-0005-0000-0000-000091570000}"/>
    <cellStyle name="40% - Accent1 5 7 3" xfId="34325" xr:uid="{00000000-0005-0000-0000-000092570000}"/>
    <cellStyle name="40% - Accent1 5 7 4" xfId="44050" xr:uid="{00000000-0005-0000-0000-000093570000}"/>
    <cellStyle name="40% - Accent1 5 7 5" xfId="14875" xr:uid="{00000000-0005-0000-0000-000094570000}"/>
    <cellStyle name="40% - Accent1 5 8" xfId="19738" xr:uid="{00000000-0005-0000-0000-000095570000}"/>
    <cellStyle name="40% - Accent1 5 9" xfId="29463" xr:uid="{00000000-0005-0000-0000-000096570000}"/>
    <cellStyle name="40% - Accent1 6" xfId="316" xr:uid="{00000000-0005-0000-0000-000097570000}"/>
    <cellStyle name="40% - Accent1 6 10" xfId="39278" xr:uid="{00000000-0005-0000-0000-000098570000}"/>
    <cellStyle name="40% - Accent1 6 11" xfId="10103" xr:uid="{00000000-0005-0000-0000-000099570000}"/>
    <cellStyle name="40% - Accent1 6 2" xfId="1079" xr:uid="{00000000-0005-0000-0000-00009A570000}"/>
    <cellStyle name="40% - Accent1 6 2 2" xfId="2717" xr:uid="{00000000-0005-0000-0000-00009B570000}"/>
    <cellStyle name="40% - Accent1 6 2 2 2" xfId="7579" xr:uid="{00000000-0005-0000-0000-00009C570000}"/>
    <cellStyle name="40% - Accent1 6 2 2 2 2" xfId="27030" xr:uid="{00000000-0005-0000-0000-00009D570000}"/>
    <cellStyle name="40% - Accent1 6 2 2 2 3" xfId="36755" xr:uid="{00000000-0005-0000-0000-00009E570000}"/>
    <cellStyle name="40% - Accent1 6 2 2 2 4" xfId="46480" xr:uid="{00000000-0005-0000-0000-00009F570000}"/>
    <cellStyle name="40% - Accent1 6 2 2 2 5" xfId="17305" xr:uid="{00000000-0005-0000-0000-0000A0570000}"/>
    <cellStyle name="40% - Accent1 6 2 2 3" xfId="22168" xr:uid="{00000000-0005-0000-0000-0000A1570000}"/>
    <cellStyle name="40% - Accent1 6 2 2 4" xfId="31893" xr:uid="{00000000-0005-0000-0000-0000A2570000}"/>
    <cellStyle name="40% - Accent1 6 2 2 5" xfId="41618" xr:uid="{00000000-0005-0000-0000-0000A3570000}"/>
    <cellStyle name="40% - Accent1 6 2 2 6" xfId="12443" xr:uid="{00000000-0005-0000-0000-0000A4570000}"/>
    <cellStyle name="40% - Accent1 6 2 3" xfId="4337" xr:uid="{00000000-0005-0000-0000-0000A5570000}"/>
    <cellStyle name="40% - Accent1 6 2 3 2" xfId="9199" xr:uid="{00000000-0005-0000-0000-0000A6570000}"/>
    <cellStyle name="40% - Accent1 6 2 3 2 2" xfId="28650" xr:uid="{00000000-0005-0000-0000-0000A7570000}"/>
    <cellStyle name="40% - Accent1 6 2 3 2 3" xfId="38375" xr:uid="{00000000-0005-0000-0000-0000A8570000}"/>
    <cellStyle name="40% - Accent1 6 2 3 2 4" xfId="48100" xr:uid="{00000000-0005-0000-0000-0000A9570000}"/>
    <cellStyle name="40% - Accent1 6 2 3 2 5" xfId="18925" xr:uid="{00000000-0005-0000-0000-0000AA570000}"/>
    <cellStyle name="40% - Accent1 6 2 3 3" xfId="23788" xr:uid="{00000000-0005-0000-0000-0000AB570000}"/>
    <cellStyle name="40% - Accent1 6 2 3 4" xfId="33513" xr:uid="{00000000-0005-0000-0000-0000AC570000}"/>
    <cellStyle name="40% - Accent1 6 2 3 5" xfId="43238" xr:uid="{00000000-0005-0000-0000-0000AD570000}"/>
    <cellStyle name="40% - Accent1 6 2 3 6" xfId="14063" xr:uid="{00000000-0005-0000-0000-0000AE570000}"/>
    <cellStyle name="40% - Accent1 6 2 4" xfId="5959" xr:uid="{00000000-0005-0000-0000-0000AF570000}"/>
    <cellStyle name="40% - Accent1 6 2 4 2" xfId="25410" xr:uid="{00000000-0005-0000-0000-0000B0570000}"/>
    <cellStyle name="40% - Accent1 6 2 4 3" xfId="35135" xr:uid="{00000000-0005-0000-0000-0000B1570000}"/>
    <cellStyle name="40% - Accent1 6 2 4 4" xfId="44860" xr:uid="{00000000-0005-0000-0000-0000B2570000}"/>
    <cellStyle name="40% - Accent1 6 2 4 5" xfId="15685" xr:uid="{00000000-0005-0000-0000-0000B3570000}"/>
    <cellStyle name="40% - Accent1 6 2 5" xfId="20548" xr:uid="{00000000-0005-0000-0000-0000B4570000}"/>
    <cellStyle name="40% - Accent1 6 2 6" xfId="30273" xr:uid="{00000000-0005-0000-0000-0000B5570000}"/>
    <cellStyle name="40% - Accent1 6 2 7" xfId="39998" xr:uid="{00000000-0005-0000-0000-0000B6570000}"/>
    <cellStyle name="40% - Accent1 6 2 8" xfId="10823" xr:uid="{00000000-0005-0000-0000-0000B7570000}"/>
    <cellStyle name="40% - Accent1 6 3" xfId="1546" xr:uid="{00000000-0005-0000-0000-0000B8570000}"/>
    <cellStyle name="40% - Accent1 6 3 2" xfId="3167" xr:uid="{00000000-0005-0000-0000-0000B9570000}"/>
    <cellStyle name="40% - Accent1 6 3 2 2" xfId="8029" xr:uid="{00000000-0005-0000-0000-0000BA570000}"/>
    <cellStyle name="40% - Accent1 6 3 2 2 2" xfId="27480" xr:uid="{00000000-0005-0000-0000-0000BB570000}"/>
    <cellStyle name="40% - Accent1 6 3 2 2 3" xfId="37205" xr:uid="{00000000-0005-0000-0000-0000BC570000}"/>
    <cellStyle name="40% - Accent1 6 3 2 2 4" xfId="46930" xr:uid="{00000000-0005-0000-0000-0000BD570000}"/>
    <cellStyle name="40% - Accent1 6 3 2 2 5" xfId="17755" xr:uid="{00000000-0005-0000-0000-0000BE570000}"/>
    <cellStyle name="40% - Accent1 6 3 2 3" xfId="22618" xr:uid="{00000000-0005-0000-0000-0000BF570000}"/>
    <cellStyle name="40% - Accent1 6 3 2 4" xfId="32343" xr:uid="{00000000-0005-0000-0000-0000C0570000}"/>
    <cellStyle name="40% - Accent1 6 3 2 5" xfId="42068" xr:uid="{00000000-0005-0000-0000-0000C1570000}"/>
    <cellStyle name="40% - Accent1 6 3 2 6" xfId="12893" xr:uid="{00000000-0005-0000-0000-0000C2570000}"/>
    <cellStyle name="40% - Accent1 6 3 3" xfId="4787" xr:uid="{00000000-0005-0000-0000-0000C3570000}"/>
    <cellStyle name="40% - Accent1 6 3 3 2" xfId="9649" xr:uid="{00000000-0005-0000-0000-0000C4570000}"/>
    <cellStyle name="40% - Accent1 6 3 3 2 2" xfId="29100" xr:uid="{00000000-0005-0000-0000-0000C5570000}"/>
    <cellStyle name="40% - Accent1 6 3 3 2 3" xfId="38825" xr:uid="{00000000-0005-0000-0000-0000C6570000}"/>
    <cellStyle name="40% - Accent1 6 3 3 2 4" xfId="48550" xr:uid="{00000000-0005-0000-0000-0000C7570000}"/>
    <cellStyle name="40% - Accent1 6 3 3 2 5" xfId="19375" xr:uid="{00000000-0005-0000-0000-0000C8570000}"/>
    <cellStyle name="40% - Accent1 6 3 3 3" xfId="24238" xr:uid="{00000000-0005-0000-0000-0000C9570000}"/>
    <cellStyle name="40% - Accent1 6 3 3 4" xfId="33963" xr:uid="{00000000-0005-0000-0000-0000CA570000}"/>
    <cellStyle name="40% - Accent1 6 3 3 5" xfId="43688" xr:uid="{00000000-0005-0000-0000-0000CB570000}"/>
    <cellStyle name="40% - Accent1 6 3 3 6" xfId="14513" xr:uid="{00000000-0005-0000-0000-0000CC570000}"/>
    <cellStyle name="40% - Accent1 6 3 4" xfId="6409" xr:uid="{00000000-0005-0000-0000-0000CD570000}"/>
    <cellStyle name="40% - Accent1 6 3 4 2" xfId="25860" xr:uid="{00000000-0005-0000-0000-0000CE570000}"/>
    <cellStyle name="40% - Accent1 6 3 4 3" xfId="35585" xr:uid="{00000000-0005-0000-0000-0000CF570000}"/>
    <cellStyle name="40% - Accent1 6 3 4 4" xfId="45310" xr:uid="{00000000-0005-0000-0000-0000D0570000}"/>
    <cellStyle name="40% - Accent1 6 3 4 5" xfId="16135" xr:uid="{00000000-0005-0000-0000-0000D1570000}"/>
    <cellStyle name="40% - Accent1 6 3 5" xfId="20998" xr:uid="{00000000-0005-0000-0000-0000D2570000}"/>
    <cellStyle name="40% - Accent1 6 3 6" xfId="30723" xr:uid="{00000000-0005-0000-0000-0000D3570000}"/>
    <cellStyle name="40% - Accent1 6 3 7" xfId="40448" xr:uid="{00000000-0005-0000-0000-0000D4570000}"/>
    <cellStyle name="40% - Accent1 6 3 8" xfId="11273" xr:uid="{00000000-0005-0000-0000-0000D5570000}"/>
    <cellStyle name="40% - Accent1 6 4" xfId="717" xr:uid="{00000000-0005-0000-0000-0000D6570000}"/>
    <cellStyle name="40% - Accent1 6 4 2" xfId="2357" xr:uid="{00000000-0005-0000-0000-0000D7570000}"/>
    <cellStyle name="40% - Accent1 6 4 2 2" xfId="7219" xr:uid="{00000000-0005-0000-0000-0000D8570000}"/>
    <cellStyle name="40% - Accent1 6 4 2 2 2" xfId="26670" xr:uid="{00000000-0005-0000-0000-0000D9570000}"/>
    <cellStyle name="40% - Accent1 6 4 2 2 3" xfId="36395" xr:uid="{00000000-0005-0000-0000-0000DA570000}"/>
    <cellStyle name="40% - Accent1 6 4 2 2 4" xfId="46120" xr:uid="{00000000-0005-0000-0000-0000DB570000}"/>
    <cellStyle name="40% - Accent1 6 4 2 2 5" xfId="16945" xr:uid="{00000000-0005-0000-0000-0000DC570000}"/>
    <cellStyle name="40% - Accent1 6 4 2 3" xfId="21808" xr:uid="{00000000-0005-0000-0000-0000DD570000}"/>
    <cellStyle name="40% - Accent1 6 4 2 4" xfId="31533" xr:uid="{00000000-0005-0000-0000-0000DE570000}"/>
    <cellStyle name="40% - Accent1 6 4 2 5" xfId="41258" xr:uid="{00000000-0005-0000-0000-0000DF570000}"/>
    <cellStyle name="40% - Accent1 6 4 2 6" xfId="12083" xr:uid="{00000000-0005-0000-0000-0000E0570000}"/>
    <cellStyle name="40% - Accent1 6 4 3" xfId="3977" xr:uid="{00000000-0005-0000-0000-0000E1570000}"/>
    <cellStyle name="40% - Accent1 6 4 3 2" xfId="8839" xr:uid="{00000000-0005-0000-0000-0000E2570000}"/>
    <cellStyle name="40% - Accent1 6 4 3 2 2" xfId="28290" xr:uid="{00000000-0005-0000-0000-0000E3570000}"/>
    <cellStyle name="40% - Accent1 6 4 3 2 3" xfId="38015" xr:uid="{00000000-0005-0000-0000-0000E4570000}"/>
    <cellStyle name="40% - Accent1 6 4 3 2 4" xfId="47740" xr:uid="{00000000-0005-0000-0000-0000E5570000}"/>
    <cellStyle name="40% - Accent1 6 4 3 2 5" xfId="18565" xr:uid="{00000000-0005-0000-0000-0000E6570000}"/>
    <cellStyle name="40% - Accent1 6 4 3 3" xfId="23428" xr:uid="{00000000-0005-0000-0000-0000E7570000}"/>
    <cellStyle name="40% - Accent1 6 4 3 4" xfId="33153" xr:uid="{00000000-0005-0000-0000-0000E8570000}"/>
    <cellStyle name="40% - Accent1 6 4 3 5" xfId="42878" xr:uid="{00000000-0005-0000-0000-0000E9570000}"/>
    <cellStyle name="40% - Accent1 6 4 3 6" xfId="13703" xr:uid="{00000000-0005-0000-0000-0000EA570000}"/>
    <cellStyle name="40% - Accent1 6 4 4" xfId="5599" xr:uid="{00000000-0005-0000-0000-0000EB570000}"/>
    <cellStyle name="40% - Accent1 6 4 4 2" xfId="25050" xr:uid="{00000000-0005-0000-0000-0000EC570000}"/>
    <cellStyle name="40% - Accent1 6 4 4 3" xfId="34775" xr:uid="{00000000-0005-0000-0000-0000ED570000}"/>
    <cellStyle name="40% - Accent1 6 4 4 4" xfId="44500" xr:uid="{00000000-0005-0000-0000-0000EE570000}"/>
    <cellStyle name="40% - Accent1 6 4 4 5" xfId="15325" xr:uid="{00000000-0005-0000-0000-0000EF570000}"/>
    <cellStyle name="40% - Accent1 6 4 5" xfId="20188" xr:uid="{00000000-0005-0000-0000-0000F0570000}"/>
    <cellStyle name="40% - Accent1 6 4 6" xfId="29913" xr:uid="{00000000-0005-0000-0000-0000F1570000}"/>
    <cellStyle name="40% - Accent1 6 4 7" xfId="39638" xr:uid="{00000000-0005-0000-0000-0000F2570000}"/>
    <cellStyle name="40% - Accent1 6 4 8" xfId="10463" xr:uid="{00000000-0005-0000-0000-0000F3570000}"/>
    <cellStyle name="40% - Accent1 6 5" xfId="1997" xr:uid="{00000000-0005-0000-0000-0000F4570000}"/>
    <cellStyle name="40% - Accent1 6 5 2" xfId="6859" xr:uid="{00000000-0005-0000-0000-0000F5570000}"/>
    <cellStyle name="40% - Accent1 6 5 2 2" xfId="26310" xr:uid="{00000000-0005-0000-0000-0000F6570000}"/>
    <cellStyle name="40% - Accent1 6 5 2 3" xfId="36035" xr:uid="{00000000-0005-0000-0000-0000F7570000}"/>
    <cellStyle name="40% - Accent1 6 5 2 4" xfId="45760" xr:uid="{00000000-0005-0000-0000-0000F8570000}"/>
    <cellStyle name="40% - Accent1 6 5 2 5" xfId="16585" xr:uid="{00000000-0005-0000-0000-0000F9570000}"/>
    <cellStyle name="40% - Accent1 6 5 3" xfId="21448" xr:uid="{00000000-0005-0000-0000-0000FA570000}"/>
    <cellStyle name="40% - Accent1 6 5 4" xfId="31173" xr:uid="{00000000-0005-0000-0000-0000FB570000}"/>
    <cellStyle name="40% - Accent1 6 5 5" xfId="40898" xr:uid="{00000000-0005-0000-0000-0000FC570000}"/>
    <cellStyle name="40% - Accent1 6 5 6" xfId="11723" xr:uid="{00000000-0005-0000-0000-0000FD570000}"/>
    <cellStyle name="40% - Accent1 6 6" xfId="3617" xr:uid="{00000000-0005-0000-0000-0000FE570000}"/>
    <cellStyle name="40% - Accent1 6 6 2" xfId="8479" xr:uid="{00000000-0005-0000-0000-0000FF570000}"/>
    <cellStyle name="40% - Accent1 6 6 2 2" xfId="27930" xr:uid="{00000000-0005-0000-0000-000000580000}"/>
    <cellStyle name="40% - Accent1 6 6 2 3" xfId="37655" xr:uid="{00000000-0005-0000-0000-000001580000}"/>
    <cellStyle name="40% - Accent1 6 6 2 4" xfId="47380" xr:uid="{00000000-0005-0000-0000-000002580000}"/>
    <cellStyle name="40% - Accent1 6 6 2 5" xfId="18205" xr:uid="{00000000-0005-0000-0000-000003580000}"/>
    <cellStyle name="40% - Accent1 6 6 3" xfId="23068" xr:uid="{00000000-0005-0000-0000-000004580000}"/>
    <cellStyle name="40% - Accent1 6 6 4" xfId="32793" xr:uid="{00000000-0005-0000-0000-000005580000}"/>
    <cellStyle name="40% - Accent1 6 6 5" xfId="42518" xr:uid="{00000000-0005-0000-0000-000006580000}"/>
    <cellStyle name="40% - Accent1 6 6 6" xfId="13343" xr:uid="{00000000-0005-0000-0000-000007580000}"/>
    <cellStyle name="40% - Accent1 6 7" xfId="5239" xr:uid="{00000000-0005-0000-0000-000008580000}"/>
    <cellStyle name="40% - Accent1 6 7 2" xfId="24690" xr:uid="{00000000-0005-0000-0000-000009580000}"/>
    <cellStyle name="40% - Accent1 6 7 3" xfId="34415" xr:uid="{00000000-0005-0000-0000-00000A580000}"/>
    <cellStyle name="40% - Accent1 6 7 4" xfId="44140" xr:uid="{00000000-0005-0000-0000-00000B580000}"/>
    <cellStyle name="40% - Accent1 6 7 5" xfId="14965" xr:uid="{00000000-0005-0000-0000-00000C580000}"/>
    <cellStyle name="40% - Accent1 6 8" xfId="19828" xr:uid="{00000000-0005-0000-0000-00000D580000}"/>
    <cellStyle name="40% - Accent1 6 9" xfId="29553" xr:uid="{00000000-0005-0000-0000-00000E580000}"/>
    <cellStyle name="40% - Accent1 7" xfId="134" xr:uid="{00000000-0005-0000-0000-00000F580000}"/>
    <cellStyle name="40% - Accent1 7 10" xfId="39098" xr:uid="{00000000-0005-0000-0000-000010580000}"/>
    <cellStyle name="40% - Accent1 7 11" xfId="9923" xr:uid="{00000000-0005-0000-0000-000011580000}"/>
    <cellStyle name="40% - Accent1 7 2" xfId="898" xr:uid="{00000000-0005-0000-0000-000012580000}"/>
    <cellStyle name="40% - Accent1 7 2 2" xfId="2537" xr:uid="{00000000-0005-0000-0000-000013580000}"/>
    <cellStyle name="40% - Accent1 7 2 2 2" xfId="7399" xr:uid="{00000000-0005-0000-0000-000014580000}"/>
    <cellStyle name="40% - Accent1 7 2 2 2 2" xfId="26850" xr:uid="{00000000-0005-0000-0000-000015580000}"/>
    <cellStyle name="40% - Accent1 7 2 2 2 3" xfId="36575" xr:uid="{00000000-0005-0000-0000-000016580000}"/>
    <cellStyle name="40% - Accent1 7 2 2 2 4" xfId="46300" xr:uid="{00000000-0005-0000-0000-000017580000}"/>
    <cellStyle name="40% - Accent1 7 2 2 2 5" xfId="17125" xr:uid="{00000000-0005-0000-0000-000018580000}"/>
    <cellStyle name="40% - Accent1 7 2 2 3" xfId="21988" xr:uid="{00000000-0005-0000-0000-000019580000}"/>
    <cellStyle name="40% - Accent1 7 2 2 4" xfId="31713" xr:uid="{00000000-0005-0000-0000-00001A580000}"/>
    <cellStyle name="40% - Accent1 7 2 2 5" xfId="41438" xr:uid="{00000000-0005-0000-0000-00001B580000}"/>
    <cellStyle name="40% - Accent1 7 2 2 6" xfId="12263" xr:uid="{00000000-0005-0000-0000-00001C580000}"/>
    <cellStyle name="40% - Accent1 7 2 3" xfId="4157" xr:uid="{00000000-0005-0000-0000-00001D580000}"/>
    <cellStyle name="40% - Accent1 7 2 3 2" xfId="9019" xr:uid="{00000000-0005-0000-0000-00001E580000}"/>
    <cellStyle name="40% - Accent1 7 2 3 2 2" xfId="28470" xr:uid="{00000000-0005-0000-0000-00001F580000}"/>
    <cellStyle name="40% - Accent1 7 2 3 2 3" xfId="38195" xr:uid="{00000000-0005-0000-0000-000020580000}"/>
    <cellStyle name="40% - Accent1 7 2 3 2 4" xfId="47920" xr:uid="{00000000-0005-0000-0000-000021580000}"/>
    <cellStyle name="40% - Accent1 7 2 3 2 5" xfId="18745" xr:uid="{00000000-0005-0000-0000-000022580000}"/>
    <cellStyle name="40% - Accent1 7 2 3 3" xfId="23608" xr:uid="{00000000-0005-0000-0000-000023580000}"/>
    <cellStyle name="40% - Accent1 7 2 3 4" xfId="33333" xr:uid="{00000000-0005-0000-0000-000024580000}"/>
    <cellStyle name="40% - Accent1 7 2 3 5" xfId="43058" xr:uid="{00000000-0005-0000-0000-000025580000}"/>
    <cellStyle name="40% - Accent1 7 2 3 6" xfId="13883" xr:uid="{00000000-0005-0000-0000-000026580000}"/>
    <cellStyle name="40% - Accent1 7 2 4" xfId="5779" xr:uid="{00000000-0005-0000-0000-000027580000}"/>
    <cellStyle name="40% - Accent1 7 2 4 2" xfId="25230" xr:uid="{00000000-0005-0000-0000-000028580000}"/>
    <cellStyle name="40% - Accent1 7 2 4 3" xfId="34955" xr:uid="{00000000-0005-0000-0000-000029580000}"/>
    <cellStyle name="40% - Accent1 7 2 4 4" xfId="44680" xr:uid="{00000000-0005-0000-0000-00002A580000}"/>
    <cellStyle name="40% - Accent1 7 2 4 5" xfId="15505" xr:uid="{00000000-0005-0000-0000-00002B580000}"/>
    <cellStyle name="40% - Accent1 7 2 5" xfId="20368" xr:uid="{00000000-0005-0000-0000-00002C580000}"/>
    <cellStyle name="40% - Accent1 7 2 6" xfId="30093" xr:uid="{00000000-0005-0000-0000-00002D580000}"/>
    <cellStyle name="40% - Accent1 7 2 7" xfId="39818" xr:uid="{00000000-0005-0000-0000-00002E580000}"/>
    <cellStyle name="40% - Accent1 7 2 8" xfId="10643" xr:uid="{00000000-0005-0000-0000-00002F580000}"/>
    <cellStyle name="40% - Accent1 7 3" xfId="1366" xr:uid="{00000000-0005-0000-0000-000030580000}"/>
    <cellStyle name="40% - Accent1 7 3 2" xfId="2987" xr:uid="{00000000-0005-0000-0000-000031580000}"/>
    <cellStyle name="40% - Accent1 7 3 2 2" xfId="7849" xr:uid="{00000000-0005-0000-0000-000032580000}"/>
    <cellStyle name="40% - Accent1 7 3 2 2 2" xfId="27300" xr:uid="{00000000-0005-0000-0000-000033580000}"/>
    <cellStyle name="40% - Accent1 7 3 2 2 3" xfId="37025" xr:uid="{00000000-0005-0000-0000-000034580000}"/>
    <cellStyle name="40% - Accent1 7 3 2 2 4" xfId="46750" xr:uid="{00000000-0005-0000-0000-000035580000}"/>
    <cellStyle name="40% - Accent1 7 3 2 2 5" xfId="17575" xr:uid="{00000000-0005-0000-0000-000036580000}"/>
    <cellStyle name="40% - Accent1 7 3 2 3" xfId="22438" xr:uid="{00000000-0005-0000-0000-000037580000}"/>
    <cellStyle name="40% - Accent1 7 3 2 4" xfId="32163" xr:uid="{00000000-0005-0000-0000-000038580000}"/>
    <cellStyle name="40% - Accent1 7 3 2 5" xfId="41888" xr:uid="{00000000-0005-0000-0000-000039580000}"/>
    <cellStyle name="40% - Accent1 7 3 2 6" xfId="12713" xr:uid="{00000000-0005-0000-0000-00003A580000}"/>
    <cellStyle name="40% - Accent1 7 3 3" xfId="4607" xr:uid="{00000000-0005-0000-0000-00003B580000}"/>
    <cellStyle name="40% - Accent1 7 3 3 2" xfId="9469" xr:uid="{00000000-0005-0000-0000-00003C580000}"/>
    <cellStyle name="40% - Accent1 7 3 3 2 2" xfId="28920" xr:uid="{00000000-0005-0000-0000-00003D580000}"/>
    <cellStyle name="40% - Accent1 7 3 3 2 3" xfId="38645" xr:uid="{00000000-0005-0000-0000-00003E580000}"/>
    <cellStyle name="40% - Accent1 7 3 3 2 4" xfId="48370" xr:uid="{00000000-0005-0000-0000-00003F580000}"/>
    <cellStyle name="40% - Accent1 7 3 3 2 5" xfId="19195" xr:uid="{00000000-0005-0000-0000-000040580000}"/>
    <cellStyle name="40% - Accent1 7 3 3 3" xfId="24058" xr:uid="{00000000-0005-0000-0000-000041580000}"/>
    <cellStyle name="40% - Accent1 7 3 3 4" xfId="33783" xr:uid="{00000000-0005-0000-0000-000042580000}"/>
    <cellStyle name="40% - Accent1 7 3 3 5" xfId="43508" xr:uid="{00000000-0005-0000-0000-000043580000}"/>
    <cellStyle name="40% - Accent1 7 3 3 6" xfId="14333" xr:uid="{00000000-0005-0000-0000-000044580000}"/>
    <cellStyle name="40% - Accent1 7 3 4" xfId="6229" xr:uid="{00000000-0005-0000-0000-000045580000}"/>
    <cellStyle name="40% - Accent1 7 3 4 2" xfId="25680" xr:uid="{00000000-0005-0000-0000-000046580000}"/>
    <cellStyle name="40% - Accent1 7 3 4 3" xfId="35405" xr:uid="{00000000-0005-0000-0000-000047580000}"/>
    <cellStyle name="40% - Accent1 7 3 4 4" xfId="45130" xr:uid="{00000000-0005-0000-0000-000048580000}"/>
    <cellStyle name="40% - Accent1 7 3 4 5" xfId="15955" xr:uid="{00000000-0005-0000-0000-000049580000}"/>
    <cellStyle name="40% - Accent1 7 3 5" xfId="20818" xr:uid="{00000000-0005-0000-0000-00004A580000}"/>
    <cellStyle name="40% - Accent1 7 3 6" xfId="30543" xr:uid="{00000000-0005-0000-0000-00004B580000}"/>
    <cellStyle name="40% - Accent1 7 3 7" xfId="40268" xr:uid="{00000000-0005-0000-0000-00004C580000}"/>
    <cellStyle name="40% - Accent1 7 3 8" xfId="11093" xr:uid="{00000000-0005-0000-0000-00004D580000}"/>
    <cellStyle name="40% - Accent1 7 4" xfId="537" xr:uid="{00000000-0005-0000-0000-00004E580000}"/>
    <cellStyle name="40% - Accent1 7 4 2" xfId="2177" xr:uid="{00000000-0005-0000-0000-00004F580000}"/>
    <cellStyle name="40% - Accent1 7 4 2 2" xfId="7039" xr:uid="{00000000-0005-0000-0000-000050580000}"/>
    <cellStyle name="40% - Accent1 7 4 2 2 2" xfId="26490" xr:uid="{00000000-0005-0000-0000-000051580000}"/>
    <cellStyle name="40% - Accent1 7 4 2 2 3" xfId="36215" xr:uid="{00000000-0005-0000-0000-000052580000}"/>
    <cellStyle name="40% - Accent1 7 4 2 2 4" xfId="45940" xr:uid="{00000000-0005-0000-0000-000053580000}"/>
    <cellStyle name="40% - Accent1 7 4 2 2 5" xfId="16765" xr:uid="{00000000-0005-0000-0000-000054580000}"/>
    <cellStyle name="40% - Accent1 7 4 2 3" xfId="21628" xr:uid="{00000000-0005-0000-0000-000055580000}"/>
    <cellStyle name="40% - Accent1 7 4 2 4" xfId="31353" xr:uid="{00000000-0005-0000-0000-000056580000}"/>
    <cellStyle name="40% - Accent1 7 4 2 5" xfId="41078" xr:uid="{00000000-0005-0000-0000-000057580000}"/>
    <cellStyle name="40% - Accent1 7 4 2 6" xfId="11903" xr:uid="{00000000-0005-0000-0000-000058580000}"/>
    <cellStyle name="40% - Accent1 7 4 3" xfId="3797" xr:uid="{00000000-0005-0000-0000-000059580000}"/>
    <cellStyle name="40% - Accent1 7 4 3 2" xfId="8659" xr:uid="{00000000-0005-0000-0000-00005A580000}"/>
    <cellStyle name="40% - Accent1 7 4 3 2 2" xfId="28110" xr:uid="{00000000-0005-0000-0000-00005B580000}"/>
    <cellStyle name="40% - Accent1 7 4 3 2 3" xfId="37835" xr:uid="{00000000-0005-0000-0000-00005C580000}"/>
    <cellStyle name="40% - Accent1 7 4 3 2 4" xfId="47560" xr:uid="{00000000-0005-0000-0000-00005D580000}"/>
    <cellStyle name="40% - Accent1 7 4 3 2 5" xfId="18385" xr:uid="{00000000-0005-0000-0000-00005E580000}"/>
    <cellStyle name="40% - Accent1 7 4 3 3" xfId="23248" xr:uid="{00000000-0005-0000-0000-00005F580000}"/>
    <cellStyle name="40% - Accent1 7 4 3 4" xfId="32973" xr:uid="{00000000-0005-0000-0000-000060580000}"/>
    <cellStyle name="40% - Accent1 7 4 3 5" xfId="42698" xr:uid="{00000000-0005-0000-0000-000061580000}"/>
    <cellStyle name="40% - Accent1 7 4 3 6" xfId="13523" xr:uid="{00000000-0005-0000-0000-000062580000}"/>
    <cellStyle name="40% - Accent1 7 4 4" xfId="5419" xr:uid="{00000000-0005-0000-0000-000063580000}"/>
    <cellStyle name="40% - Accent1 7 4 4 2" xfId="24870" xr:uid="{00000000-0005-0000-0000-000064580000}"/>
    <cellStyle name="40% - Accent1 7 4 4 3" xfId="34595" xr:uid="{00000000-0005-0000-0000-000065580000}"/>
    <cellStyle name="40% - Accent1 7 4 4 4" xfId="44320" xr:uid="{00000000-0005-0000-0000-000066580000}"/>
    <cellStyle name="40% - Accent1 7 4 4 5" xfId="15145" xr:uid="{00000000-0005-0000-0000-000067580000}"/>
    <cellStyle name="40% - Accent1 7 4 5" xfId="20008" xr:uid="{00000000-0005-0000-0000-000068580000}"/>
    <cellStyle name="40% - Accent1 7 4 6" xfId="29733" xr:uid="{00000000-0005-0000-0000-000069580000}"/>
    <cellStyle name="40% - Accent1 7 4 7" xfId="39458" xr:uid="{00000000-0005-0000-0000-00006A580000}"/>
    <cellStyle name="40% - Accent1 7 4 8" xfId="10283" xr:uid="{00000000-0005-0000-0000-00006B580000}"/>
    <cellStyle name="40% - Accent1 7 5" xfId="1817" xr:uid="{00000000-0005-0000-0000-00006C580000}"/>
    <cellStyle name="40% - Accent1 7 5 2" xfId="6679" xr:uid="{00000000-0005-0000-0000-00006D580000}"/>
    <cellStyle name="40% - Accent1 7 5 2 2" xfId="26130" xr:uid="{00000000-0005-0000-0000-00006E580000}"/>
    <cellStyle name="40% - Accent1 7 5 2 3" xfId="35855" xr:uid="{00000000-0005-0000-0000-00006F580000}"/>
    <cellStyle name="40% - Accent1 7 5 2 4" xfId="45580" xr:uid="{00000000-0005-0000-0000-000070580000}"/>
    <cellStyle name="40% - Accent1 7 5 2 5" xfId="16405" xr:uid="{00000000-0005-0000-0000-000071580000}"/>
    <cellStyle name="40% - Accent1 7 5 3" xfId="21268" xr:uid="{00000000-0005-0000-0000-000072580000}"/>
    <cellStyle name="40% - Accent1 7 5 4" xfId="30993" xr:uid="{00000000-0005-0000-0000-000073580000}"/>
    <cellStyle name="40% - Accent1 7 5 5" xfId="40718" xr:uid="{00000000-0005-0000-0000-000074580000}"/>
    <cellStyle name="40% - Accent1 7 5 6" xfId="11543" xr:uid="{00000000-0005-0000-0000-000075580000}"/>
    <cellStyle name="40% - Accent1 7 6" xfId="3437" xr:uid="{00000000-0005-0000-0000-000076580000}"/>
    <cellStyle name="40% - Accent1 7 6 2" xfId="8299" xr:uid="{00000000-0005-0000-0000-000077580000}"/>
    <cellStyle name="40% - Accent1 7 6 2 2" xfId="27750" xr:uid="{00000000-0005-0000-0000-000078580000}"/>
    <cellStyle name="40% - Accent1 7 6 2 3" xfId="37475" xr:uid="{00000000-0005-0000-0000-000079580000}"/>
    <cellStyle name="40% - Accent1 7 6 2 4" xfId="47200" xr:uid="{00000000-0005-0000-0000-00007A580000}"/>
    <cellStyle name="40% - Accent1 7 6 2 5" xfId="18025" xr:uid="{00000000-0005-0000-0000-00007B580000}"/>
    <cellStyle name="40% - Accent1 7 6 3" xfId="22888" xr:uid="{00000000-0005-0000-0000-00007C580000}"/>
    <cellStyle name="40% - Accent1 7 6 4" xfId="32613" xr:uid="{00000000-0005-0000-0000-00007D580000}"/>
    <cellStyle name="40% - Accent1 7 6 5" xfId="42338" xr:uid="{00000000-0005-0000-0000-00007E580000}"/>
    <cellStyle name="40% - Accent1 7 6 6" xfId="13163" xr:uid="{00000000-0005-0000-0000-00007F580000}"/>
    <cellStyle name="40% - Accent1 7 7" xfId="5059" xr:uid="{00000000-0005-0000-0000-000080580000}"/>
    <cellStyle name="40% - Accent1 7 7 2" xfId="24510" xr:uid="{00000000-0005-0000-0000-000081580000}"/>
    <cellStyle name="40% - Accent1 7 7 3" xfId="34235" xr:uid="{00000000-0005-0000-0000-000082580000}"/>
    <cellStyle name="40% - Accent1 7 7 4" xfId="43960" xr:uid="{00000000-0005-0000-0000-000083580000}"/>
    <cellStyle name="40% - Accent1 7 7 5" xfId="14785" xr:uid="{00000000-0005-0000-0000-000084580000}"/>
    <cellStyle name="40% - Accent1 7 8" xfId="19648" xr:uid="{00000000-0005-0000-0000-000085580000}"/>
    <cellStyle name="40% - Accent1 7 9" xfId="29373" xr:uid="{00000000-0005-0000-0000-000086580000}"/>
    <cellStyle name="40% - Accent1 8" xfId="411" xr:uid="{00000000-0005-0000-0000-000087580000}"/>
    <cellStyle name="40% - Accent1 9" xfId="808" xr:uid="{00000000-0005-0000-0000-000088580000}"/>
    <cellStyle name="40% - Accent1 9 2" xfId="2447" xr:uid="{00000000-0005-0000-0000-000089580000}"/>
    <cellStyle name="40% - Accent1 9 2 2" xfId="7309" xr:uid="{00000000-0005-0000-0000-00008A580000}"/>
    <cellStyle name="40% - Accent1 9 2 2 2" xfId="26760" xr:uid="{00000000-0005-0000-0000-00008B580000}"/>
    <cellStyle name="40% - Accent1 9 2 2 3" xfId="36485" xr:uid="{00000000-0005-0000-0000-00008C580000}"/>
    <cellStyle name="40% - Accent1 9 2 2 4" xfId="46210" xr:uid="{00000000-0005-0000-0000-00008D580000}"/>
    <cellStyle name="40% - Accent1 9 2 2 5" xfId="17035" xr:uid="{00000000-0005-0000-0000-00008E580000}"/>
    <cellStyle name="40% - Accent1 9 2 3" xfId="21898" xr:uid="{00000000-0005-0000-0000-00008F580000}"/>
    <cellStyle name="40% - Accent1 9 2 4" xfId="31623" xr:uid="{00000000-0005-0000-0000-000090580000}"/>
    <cellStyle name="40% - Accent1 9 2 5" xfId="41348" xr:uid="{00000000-0005-0000-0000-000091580000}"/>
    <cellStyle name="40% - Accent1 9 2 6" xfId="12173" xr:uid="{00000000-0005-0000-0000-000092580000}"/>
    <cellStyle name="40% - Accent1 9 3" xfId="4067" xr:uid="{00000000-0005-0000-0000-000093580000}"/>
    <cellStyle name="40% - Accent1 9 3 2" xfId="8929" xr:uid="{00000000-0005-0000-0000-000094580000}"/>
    <cellStyle name="40% - Accent1 9 3 2 2" xfId="28380" xr:uid="{00000000-0005-0000-0000-000095580000}"/>
    <cellStyle name="40% - Accent1 9 3 2 3" xfId="38105" xr:uid="{00000000-0005-0000-0000-000096580000}"/>
    <cellStyle name="40% - Accent1 9 3 2 4" xfId="47830" xr:uid="{00000000-0005-0000-0000-000097580000}"/>
    <cellStyle name="40% - Accent1 9 3 2 5" xfId="18655" xr:uid="{00000000-0005-0000-0000-000098580000}"/>
    <cellStyle name="40% - Accent1 9 3 3" xfId="23518" xr:uid="{00000000-0005-0000-0000-000099580000}"/>
    <cellStyle name="40% - Accent1 9 3 4" xfId="33243" xr:uid="{00000000-0005-0000-0000-00009A580000}"/>
    <cellStyle name="40% - Accent1 9 3 5" xfId="42968" xr:uid="{00000000-0005-0000-0000-00009B580000}"/>
    <cellStyle name="40% - Accent1 9 3 6" xfId="13793" xr:uid="{00000000-0005-0000-0000-00009C580000}"/>
    <cellStyle name="40% - Accent1 9 4" xfId="5689" xr:uid="{00000000-0005-0000-0000-00009D580000}"/>
    <cellStyle name="40% - Accent1 9 4 2" xfId="25140" xr:uid="{00000000-0005-0000-0000-00009E580000}"/>
    <cellStyle name="40% - Accent1 9 4 3" xfId="34865" xr:uid="{00000000-0005-0000-0000-00009F580000}"/>
    <cellStyle name="40% - Accent1 9 4 4" xfId="44590" xr:uid="{00000000-0005-0000-0000-0000A0580000}"/>
    <cellStyle name="40% - Accent1 9 4 5" xfId="15415" xr:uid="{00000000-0005-0000-0000-0000A1580000}"/>
    <cellStyle name="40% - Accent1 9 5" xfId="20278" xr:uid="{00000000-0005-0000-0000-0000A2580000}"/>
    <cellStyle name="40% - Accent1 9 6" xfId="30003" xr:uid="{00000000-0005-0000-0000-0000A3580000}"/>
    <cellStyle name="40% - Accent1 9 7" xfId="39728" xr:uid="{00000000-0005-0000-0000-0000A4580000}"/>
    <cellStyle name="40% - Accent1 9 8" xfId="10553" xr:uid="{00000000-0005-0000-0000-0000A5580000}"/>
    <cellStyle name="40% - Accent2" xfId="35" builtinId="35" customBuiltin="1"/>
    <cellStyle name="40% - Accent2 10" xfId="1188" xr:uid="{00000000-0005-0000-0000-0000A7580000}"/>
    <cellStyle name="40% - Accent2 10 2" xfId="2809" xr:uid="{00000000-0005-0000-0000-0000A8580000}"/>
    <cellStyle name="40% - Accent2 10 2 2" xfId="7671" xr:uid="{00000000-0005-0000-0000-0000A9580000}"/>
    <cellStyle name="40% - Accent2 10 2 2 2" xfId="27122" xr:uid="{00000000-0005-0000-0000-0000AA580000}"/>
    <cellStyle name="40% - Accent2 10 2 2 3" xfId="36847" xr:uid="{00000000-0005-0000-0000-0000AB580000}"/>
    <cellStyle name="40% - Accent2 10 2 2 4" xfId="46572" xr:uid="{00000000-0005-0000-0000-0000AC580000}"/>
    <cellStyle name="40% - Accent2 10 2 2 5" xfId="17397" xr:uid="{00000000-0005-0000-0000-0000AD580000}"/>
    <cellStyle name="40% - Accent2 10 2 3" xfId="22260" xr:uid="{00000000-0005-0000-0000-0000AE580000}"/>
    <cellStyle name="40% - Accent2 10 2 4" xfId="31985" xr:uid="{00000000-0005-0000-0000-0000AF580000}"/>
    <cellStyle name="40% - Accent2 10 2 5" xfId="41710" xr:uid="{00000000-0005-0000-0000-0000B0580000}"/>
    <cellStyle name="40% - Accent2 10 2 6" xfId="12535" xr:uid="{00000000-0005-0000-0000-0000B1580000}"/>
    <cellStyle name="40% - Accent2 10 3" xfId="4429" xr:uid="{00000000-0005-0000-0000-0000B2580000}"/>
    <cellStyle name="40% - Accent2 10 3 2" xfId="9291" xr:uid="{00000000-0005-0000-0000-0000B3580000}"/>
    <cellStyle name="40% - Accent2 10 3 2 2" xfId="28742" xr:uid="{00000000-0005-0000-0000-0000B4580000}"/>
    <cellStyle name="40% - Accent2 10 3 2 3" xfId="38467" xr:uid="{00000000-0005-0000-0000-0000B5580000}"/>
    <cellStyle name="40% - Accent2 10 3 2 4" xfId="48192" xr:uid="{00000000-0005-0000-0000-0000B6580000}"/>
    <cellStyle name="40% - Accent2 10 3 2 5" xfId="19017" xr:uid="{00000000-0005-0000-0000-0000B7580000}"/>
    <cellStyle name="40% - Accent2 10 3 3" xfId="23880" xr:uid="{00000000-0005-0000-0000-0000B8580000}"/>
    <cellStyle name="40% - Accent2 10 3 4" xfId="33605" xr:uid="{00000000-0005-0000-0000-0000B9580000}"/>
    <cellStyle name="40% - Accent2 10 3 5" xfId="43330" xr:uid="{00000000-0005-0000-0000-0000BA580000}"/>
    <cellStyle name="40% - Accent2 10 3 6" xfId="14155" xr:uid="{00000000-0005-0000-0000-0000BB580000}"/>
    <cellStyle name="40% - Accent2 10 4" xfId="6051" xr:uid="{00000000-0005-0000-0000-0000BC580000}"/>
    <cellStyle name="40% - Accent2 10 4 2" xfId="25502" xr:uid="{00000000-0005-0000-0000-0000BD580000}"/>
    <cellStyle name="40% - Accent2 10 4 3" xfId="35227" xr:uid="{00000000-0005-0000-0000-0000BE580000}"/>
    <cellStyle name="40% - Accent2 10 4 4" xfId="44952" xr:uid="{00000000-0005-0000-0000-0000BF580000}"/>
    <cellStyle name="40% - Accent2 10 4 5" xfId="15777" xr:uid="{00000000-0005-0000-0000-0000C0580000}"/>
    <cellStyle name="40% - Accent2 10 5" xfId="20640" xr:uid="{00000000-0005-0000-0000-0000C1580000}"/>
    <cellStyle name="40% - Accent2 10 6" xfId="30365" xr:uid="{00000000-0005-0000-0000-0000C2580000}"/>
    <cellStyle name="40% - Accent2 10 7" xfId="40090" xr:uid="{00000000-0005-0000-0000-0000C3580000}"/>
    <cellStyle name="40% - Accent2 10 8" xfId="10915" xr:uid="{00000000-0005-0000-0000-0000C4580000}"/>
    <cellStyle name="40% - Accent2 11" xfId="1278" xr:uid="{00000000-0005-0000-0000-0000C5580000}"/>
    <cellStyle name="40% - Accent2 11 2" xfId="2899" xr:uid="{00000000-0005-0000-0000-0000C6580000}"/>
    <cellStyle name="40% - Accent2 11 2 2" xfId="7761" xr:uid="{00000000-0005-0000-0000-0000C7580000}"/>
    <cellStyle name="40% - Accent2 11 2 2 2" xfId="27212" xr:uid="{00000000-0005-0000-0000-0000C8580000}"/>
    <cellStyle name="40% - Accent2 11 2 2 3" xfId="36937" xr:uid="{00000000-0005-0000-0000-0000C9580000}"/>
    <cellStyle name="40% - Accent2 11 2 2 4" xfId="46662" xr:uid="{00000000-0005-0000-0000-0000CA580000}"/>
    <cellStyle name="40% - Accent2 11 2 2 5" xfId="17487" xr:uid="{00000000-0005-0000-0000-0000CB580000}"/>
    <cellStyle name="40% - Accent2 11 2 3" xfId="22350" xr:uid="{00000000-0005-0000-0000-0000CC580000}"/>
    <cellStyle name="40% - Accent2 11 2 4" xfId="32075" xr:uid="{00000000-0005-0000-0000-0000CD580000}"/>
    <cellStyle name="40% - Accent2 11 2 5" xfId="41800" xr:uid="{00000000-0005-0000-0000-0000CE580000}"/>
    <cellStyle name="40% - Accent2 11 2 6" xfId="12625" xr:uid="{00000000-0005-0000-0000-0000CF580000}"/>
    <cellStyle name="40% - Accent2 11 3" xfId="4519" xr:uid="{00000000-0005-0000-0000-0000D0580000}"/>
    <cellStyle name="40% - Accent2 11 3 2" xfId="9381" xr:uid="{00000000-0005-0000-0000-0000D1580000}"/>
    <cellStyle name="40% - Accent2 11 3 2 2" xfId="28832" xr:uid="{00000000-0005-0000-0000-0000D2580000}"/>
    <cellStyle name="40% - Accent2 11 3 2 3" xfId="38557" xr:uid="{00000000-0005-0000-0000-0000D3580000}"/>
    <cellStyle name="40% - Accent2 11 3 2 4" xfId="48282" xr:uid="{00000000-0005-0000-0000-0000D4580000}"/>
    <cellStyle name="40% - Accent2 11 3 2 5" xfId="19107" xr:uid="{00000000-0005-0000-0000-0000D5580000}"/>
    <cellStyle name="40% - Accent2 11 3 3" xfId="23970" xr:uid="{00000000-0005-0000-0000-0000D6580000}"/>
    <cellStyle name="40% - Accent2 11 3 4" xfId="33695" xr:uid="{00000000-0005-0000-0000-0000D7580000}"/>
    <cellStyle name="40% - Accent2 11 3 5" xfId="43420" xr:uid="{00000000-0005-0000-0000-0000D8580000}"/>
    <cellStyle name="40% - Accent2 11 3 6" xfId="14245" xr:uid="{00000000-0005-0000-0000-0000D9580000}"/>
    <cellStyle name="40% - Accent2 11 4" xfId="6141" xr:uid="{00000000-0005-0000-0000-0000DA580000}"/>
    <cellStyle name="40% - Accent2 11 4 2" xfId="25592" xr:uid="{00000000-0005-0000-0000-0000DB580000}"/>
    <cellStyle name="40% - Accent2 11 4 3" xfId="35317" xr:uid="{00000000-0005-0000-0000-0000DC580000}"/>
    <cellStyle name="40% - Accent2 11 4 4" xfId="45042" xr:uid="{00000000-0005-0000-0000-0000DD580000}"/>
    <cellStyle name="40% - Accent2 11 4 5" xfId="15867" xr:uid="{00000000-0005-0000-0000-0000DE580000}"/>
    <cellStyle name="40% - Accent2 11 5" xfId="20730" xr:uid="{00000000-0005-0000-0000-0000DF580000}"/>
    <cellStyle name="40% - Accent2 11 6" xfId="30455" xr:uid="{00000000-0005-0000-0000-0000E0580000}"/>
    <cellStyle name="40% - Accent2 11 7" xfId="40180" xr:uid="{00000000-0005-0000-0000-0000E1580000}"/>
    <cellStyle name="40% - Accent2 11 8" xfId="11005" xr:uid="{00000000-0005-0000-0000-0000E2580000}"/>
    <cellStyle name="40% - Accent2 12" xfId="449" xr:uid="{00000000-0005-0000-0000-0000E3580000}"/>
    <cellStyle name="40% - Accent2 12 2" xfId="2089" xr:uid="{00000000-0005-0000-0000-0000E4580000}"/>
    <cellStyle name="40% - Accent2 12 2 2" xfId="6951" xr:uid="{00000000-0005-0000-0000-0000E5580000}"/>
    <cellStyle name="40% - Accent2 12 2 2 2" xfId="26402" xr:uid="{00000000-0005-0000-0000-0000E6580000}"/>
    <cellStyle name="40% - Accent2 12 2 2 3" xfId="36127" xr:uid="{00000000-0005-0000-0000-0000E7580000}"/>
    <cellStyle name="40% - Accent2 12 2 2 4" xfId="45852" xr:uid="{00000000-0005-0000-0000-0000E8580000}"/>
    <cellStyle name="40% - Accent2 12 2 2 5" xfId="16677" xr:uid="{00000000-0005-0000-0000-0000E9580000}"/>
    <cellStyle name="40% - Accent2 12 2 3" xfId="21540" xr:uid="{00000000-0005-0000-0000-0000EA580000}"/>
    <cellStyle name="40% - Accent2 12 2 4" xfId="31265" xr:uid="{00000000-0005-0000-0000-0000EB580000}"/>
    <cellStyle name="40% - Accent2 12 2 5" xfId="40990" xr:uid="{00000000-0005-0000-0000-0000EC580000}"/>
    <cellStyle name="40% - Accent2 12 2 6" xfId="11815" xr:uid="{00000000-0005-0000-0000-0000ED580000}"/>
    <cellStyle name="40% - Accent2 12 3" xfId="3709" xr:uid="{00000000-0005-0000-0000-0000EE580000}"/>
    <cellStyle name="40% - Accent2 12 3 2" xfId="8571" xr:uid="{00000000-0005-0000-0000-0000EF580000}"/>
    <cellStyle name="40% - Accent2 12 3 2 2" xfId="28022" xr:uid="{00000000-0005-0000-0000-0000F0580000}"/>
    <cellStyle name="40% - Accent2 12 3 2 3" xfId="37747" xr:uid="{00000000-0005-0000-0000-0000F1580000}"/>
    <cellStyle name="40% - Accent2 12 3 2 4" xfId="47472" xr:uid="{00000000-0005-0000-0000-0000F2580000}"/>
    <cellStyle name="40% - Accent2 12 3 2 5" xfId="18297" xr:uid="{00000000-0005-0000-0000-0000F3580000}"/>
    <cellStyle name="40% - Accent2 12 3 3" xfId="23160" xr:uid="{00000000-0005-0000-0000-0000F4580000}"/>
    <cellStyle name="40% - Accent2 12 3 4" xfId="32885" xr:uid="{00000000-0005-0000-0000-0000F5580000}"/>
    <cellStyle name="40% - Accent2 12 3 5" xfId="42610" xr:uid="{00000000-0005-0000-0000-0000F6580000}"/>
    <cellStyle name="40% - Accent2 12 3 6" xfId="13435" xr:uid="{00000000-0005-0000-0000-0000F7580000}"/>
    <cellStyle name="40% - Accent2 12 4" xfId="5331" xr:uid="{00000000-0005-0000-0000-0000F8580000}"/>
    <cellStyle name="40% - Accent2 12 4 2" xfId="24782" xr:uid="{00000000-0005-0000-0000-0000F9580000}"/>
    <cellStyle name="40% - Accent2 12 4 3" xfId="34507" xr:uid="{00000000-0005-0000-0000-0000FA580000}"/>
    <cellStyle name="40% - Accent2 12 4 4" xfId="44232" xr:uid="{00000000-0005-0000-0000-0000FB580000}"/>
    <cellStyle name="40% - Accent2 12 4 5" xfId="15057" xr:uid="{00000000-0005-0000-0000-0000FC580000}"/>
    <cellStyle name="40% - Accent2 12 5" xfId="19920" xr:uid="{00000000-0005-0000-0000-0000FD580000}"/>
    <cellStyle name="40% - Accent2 12 6" xfId="29645" xr:uid="{00000000-0005-0000-0000-0000FE580000}"/>
    <cellStyle name="40% - Accent2 12 7" xfId="39370" xr:uid="{00000000-0005-0000-0000-0000FF580000}"/>
    <cellStyle name="40% - Accent2 12 8" xfId="10195" xr:uid="{00000000-0005-0000-0000-000000590000}"/>
    <cellStyle name="40% - Accent2 13" xfId="1638" xr:uid="{00000000-0005-0000-0000-000001590000}"/>
    <cellStyle name="40% - Accent2 13 2" xfId="3259" xr:uid="{00000000-0005-0000-0000-000002590000}"/>
    <cellStyle name="40% - Accent2 13 2 2" xfId="8121" xr:uid="{00000000-0005-0000-0000-000003590000}"/>
    <cellStyle name="40% - Accent2 13 2 2 2" xfId="27572" xr:uid="{00000000-0005-0000-0000-000004590000}"/>
    <cellStyle name="40% - Accent2 13 2 2 3" xfId="37297" xr:uid="{00000000-0005-0000-0000-000005590000}"/>
    <cellStyle name="40% - Accent2 13 2 2 4" xfId="47022" xr:uid="{00000000-0005-0000-0000-000006590000}"/>
    <cellStyle name="40% - Accent2 13 2 2 5" xfId="17847" xr:uid="{00000000-0005-0000-0000-000007590000}"/>
    <cellStyle name="40% - Accent2 13 2 3" xfId="22710" xr:uid="{00000000-0005-0000-0000-000008590000}"/>
    <cellStyle name="40% - Accent2 13 2 4" xfId="32435" xr:uid="{00000000-0005-0000-0000-000009590000}"/>
    <cellStyle name="40% - Accent2 13 2 5" xfId="42160" xr:uid="{00000000-0005-0000-0000-00000A590000}"/>
    <cellStyle name="40% - Accent2 13 2 6" xfId="12985" xr:uid="{00000000-0005-0000-0000-00000B590000}"/>
    <cellStyle name="40% - Accent2 13 3" xfId="4879" xr:uid="{00000000-0005-0000-0000-00000C590000}"/>
    <cellStyle name="40% - Accent2 13 3 2" xfId="9741" xr:uid="{00000000-0005-0000-0000-00000D590000}"/>
    <cellStyle name="40% - Accent2 13 3 2 2" xfId="29192" xr:uid="{00000000-0005-0000-0000-00000E590000}"/>
    <cellStyle name="40% - Accent2 13 3 2 3" xfId="38917" xr:uid="{00000000-0005-0000-0000-00000F590000}"/>
    <cellStyle name="40% - Accent2 13 3 2 4" xfId="48642" xr:uid="{00000000-0005-0000-0000-000010590000}"/>
    <cellStyle name="40% - Accent2 13 3 2 5" xfId="19467" xr:uid="{00000000-0005-0000-0000-000011590000}"/>
    <cellStyle name="40% - Accent2 13 3 3" xfId="24330" xr:uid="{00000000-0005-0000-0000-000012590000}"/>
    <cellStyle name="40% - Accent2 13 3 4" xfId="34055" xr:uid="{00000000-0005-0000-0000-000013590000}"/>
    <cellStyle name="40% - Accent2 13 3 5" xfId="43780" xr:uid="{00000000-0005-0000-0000-000014590000}"/>
    <cellStyle name="40% - Accent2 13 3 6" xfId="14605" xr:uid="{00000000-0005-0000-0000-000015590000}"/>
    <cellStyle name="40% - Accent2 13 4" xfId="6501" xr:uid="{00000000-0005-0000-0000-000016590000}"/>
    <cellStyle name="40% - Accent2 13 4 2" xfId="25952" xr:uid="{00000000-0005-0000-0000-000017590000}"/>
    <cellStyle name="40% - Accent2 13 4 3" xfId="35677" xr:uid="{00000000-0005-0000-0000-000018590000}"/>
    <cellStyle name="40% - Accent2 13 4 4" xfId="45402" xr:uid="{00000000-0005-0000-0000-000019590000}"/>
    <cellStyle name="40% - Accent2 13 4 5" xfId="16227" xr:uid="{00000000-0005-0000-0000-00001A590000}"/>
    <cellStyle name="40% - Accent2 13 5" xfId="21090" xr:uid="{00000000-0005-0000-0000-00001B590000}"/>
    <cellStyle name="40% - Accent2 13 6" xfId="30815" xr:uid="{00000000-0005-0000-0000-00001C590000}"/>
    <cellStyle name="40% - Accent2 13 7" xfId="40540" xr:uid="{00000000-0005-0000-0000-00001D590000}"/>
    <cellStyle name="40% - Accent2 13 8" xfId="11365" xr:uid="{00000000-0005-0000-0000-00001E590000}"/>
    <cellStyle name="40% - Accent2 14" xfId="1729" xr:uid="{00000000-0005-0000-0000-00001F590000}"/>
    <cellStyle name="40% - Accent2 14 2" xfId="6591" xr:uid="{00000000-0005-0000-0000-000020590000}"/>
    <cellStyle name="40% - Accent2 14 2 2" xfId="26042" xr:uid="{00000000-0005-0000-0000-000021590000}"/>
    <cellStyle name="40% - Accent2 14 2 3" xfId="35767" xr:uid="{00000000-0005-0000-0000-000022590000}"/>
    <cellStyle name="40% - Accent2 14 2 4" xfId="45492" xr:uid="{00000000-0005-0000-0000-000023590000}"/>
    <cellStyle name="40% - Accent2 14 2 5" xfId="16317" xr:uid="{00000000-0005-0000-0000-000024590000}"/>
    <cellStyle name="40% - Accent2 14 3" xfId="21180" xr:uid="{00000000-0005-0000-0000-000025590000}"/>
    <cellStyle name="40% - Accent2 14 4" xfId="30905" xr:uid="{00000000-0005-0000-0000-000026590000}"/>
    <cellStyle name="40% - Accent2 14 5" xfId="40630" xr:uid="{00000000-0005-0000-0000-000027590000}"/>
    <cellStyle name="40% - Accent2 14 6" xfId="11455" xr:uid="{00000000-0005-0000-0000-000028590000}"/>
    <cellStyle name="40% - Accent2 15" xfId="3349" xr:uid="{00000000-0005-0000-0000-000029590000}"/>
    <cellStyle name="40% - Accent2 15 2" xfId="8211" xr:uid="{00000000-0005-0000-0000-00002A590000}"/>
    <cellStyle name="40% - Accent2 15 2 2" xfId="27662" xr:uid="{00000000-0005-0000-0000-00002B590000}"/>
    <cellStyle name="40% - Accent2 15 2 3" xfId="37387" xr:uid="{00000000-0005-0000-0000-00002C590000}"/>
    <cellStyle name="40% - Accent2 15 2 4" xfId="47112" xr:uid="{00000000-0005-0000-0000-00002D590000}"/>
    <cellStyle name="40% - Accent2 15 2 5" xfId="17937" xr:uid="{00000000-0005-0000-0000-00002E590000}"/>
    <cellStyle name="40% - Accent2 15 3" xfId="22800" xr:uid="{00000000-0005-0000-0000-00002F590000}"/>
    <cellStyle name="40% - Accent2 15 4" xfId="32525" xr:uid="{00000000-0005-0000-0000-000030590000}"/>
    <cellStyle name="40% - Accent2 15 5" xfId="42250" xr:uid="{00000000-0005-0000-0000-000031590000}"/>
    <cellStyle name="40% - Accent2 15 6" xfId="13075" xr:uid="{00000000-0005-0000-0000-000032590000}"/>
    <cellStyle name="40% - Accent2 16" xfId="4971" xr:uid="{00000000-0005-0000-0000-000033590000}"/>
    <cellStyle name="40% - Accent2 16 2" xfId="24422" xr:uid="{00000000-0005-0000-0000-000034590000}"/>
    <cellStyle name="40% - Accent2 16 3" xfId="34147" xr:uid="{00000000-0005-0000-0000-000035590000}"/>
    <cellStyle name="40% - Accent2 16 4" xfId="43872" xr:uid="{00000000-0005-0000-0000-000036590000}"/>
    <cellStyle name="40% - Accent2 16 5" xfId="14697" xr:uid="{00000000-0005-0000-0000-000037590000}"/>
    <cellStyle name="40% - Accent2 17" xfId="19560" xr:uid="{00000000-0005-0000-0000-000038590000}"/>
    <cellStyle name="40% - Accent2 18" xfId="29285" xr:uid="{00000000-0005-0000-0000-000039590000}"/>
    <cellStyle name="40% - Accent2 19" xfId="39010" xr:uid="{00000000-0005-0000-0000-00003A590000}"/>
    <cellStyle name="40% - Accent2 2" xfId="58" xr:uid="{00000000-0005-0000-0000-00003B590000}"/>
    <cellStyle name="40% - Accent2 2 10" xfId="463" xr:uid="{00000000-0005-0000-0000-00003C590000}"/>
    <cellStyle name="40% - Accent2 2 10 2" xfId="2103" xr:uid="{00000000-0005-0000-0000-00003D590000}"/>
    <cellStyle name="40% - Accent2 2 10 2 2" xfId="6965" xr:uid="{00000000-0005-0000-0000-00003E590000}"/>
    <cellStyle name="40% - Accent2 2 10 2 2 2" xfId="26416" xr:uid="{00000000-0005-0000-0000-00003F590000}"/>
    <cellStyle name="40% - Accent2 2 10 2 2 3" xfId="36141" xr:uid="{00000000-0005-0000-0000-000040590000}"/>
    <cellStyle name="40% - Accent2 2 10 2 2 4" xfId="45866" xr:uid="{00000000-0005-0000-0000-000041590000}"/>
    <cellStyle name="40% - Accent2 2 10 2 2 5" xfId="16691" xr:uid="{00000000-0005-0000-0000-000042590000}"/>
    <cellStyle name="40% - Accent2 2 10 2 3" xfId="21554" xr:uid="{00000000-0005-0000-0000-000043590000}"/>
    <cellStyle name="40% - Accent2 2 10 2 4" xfId="31279" xr:uid="{00000000-0005-0000-0000-000044590000}"/>
    <cellStyle name="40% - Accent2 2 10 2 5" xfId="41004" xr:uid="{00000000-0005-0000-0000-000045590000}"/>
    <cellStyle name="40% - Accent2 2 10 2 6" xfId="11829" xr:uid="{00000000-0005-0000-0000-000046590000}"/>
    <cellStyle name="40% - Accent2 2 10 3" xfId="3723" xr:uid="{00000000-0005-0000-0000-000047590000}"/>
    <cellStyle name="40% - Accent2 2 10 3 2" xfId="8585" xr:uid="{00000000-0005-0000-0000-000048590000}"/>
    <cellStyle name="40% - Accent2 2 10 3 2 2" xfId="28036" xr:uid="{00000000-0005-0000-0000-000049590000}"/>
    <cellStyle name="40% - Accent2 2 10 3 2 3" xfId="37761" xr:uid="{00000000-0005-0000-0000-00004A590000}"/>
    <cellStyle name="40% - Accent2 2 10 3 2 4" xfId="47486" xr:uid="{00000000-0005-0000-0000-00004B590000}"/>
    <cellStyle name="40% - Accent2 2 10 3 2 5" xfId="18311" xr:uid="{00000000-0005-0000-0000-00004C590000}"/>
    <cellStyle name="40% - Accent2 2 10 3 3" xfId="23174" xr:uid="{00000000-0005-0000-0000-00004D590000}"/>
    <cellStyle name="40% - Accent2 2 10 3 4" xfId="32899" xr:uid="{00000000-0005-0000-0000-00004E590000}"/>
    <cellStyle name="40% - Accent2 2 10 3 5" xfId="42624" xr:uid="{00000000-0005-0000-0000-00004F590000}"/>
    <cellStyle name="40% - Accent2 2 10 3 6" xfId="13449" xr:uid="{00000000-0005-0000-0000-000050590000}"/>
    <cellStyle name="40% - Accent2 2 10 4" xfId="5345" xr:uid="{00000000-0005-0000-0000-000051590000}"/>
    <cellStyle name="40% - Accent2 2 10 4 2" xfId="24796" xr:uid="{00000000-0005-0000-0000-000052590000}"/>
    <cellStyle name="40% - Accent2 2 10 4 3" xfId="34521" xr:uid="{00000000-0005-0000-0000-000053590000}"/>
    <cellStyle name="40% - Accent2 2 10 4 4" xfId="44246" xr:uid="{00000000-0005-0000-0000-000054590000}"/>
    <cellStyle name="40% - Accent2 2 10 4 5" xfId="15071" xr:uid="{00000000-0005-0000-0000-000055590000}"/>
    <cellStyle name="40% - Accent2 2 10 5" xfId="19934" xr:uid="{00000000-0005-0000-0000-000056590000}"/>
    <cellStyle name="40% - Accent2 2 10 6" xfId="29659" xr:uid="{00000000-0005-0000-0000-000057590000}"/>
    <cellStyle name="40% - Accent2 2 10 7" xfId="39384" xr:uid="{00000000-0005-0000-0000-000058590000}"/>
    <cellStyle name="40% - Accent2 2 10 8" xfId="10209" xr:uid="{00000000-0005-0000-0000-000059590000}"/>
    <cellStyle name="40% - Accent2 2 11" xfId="1652" xr:uid="{00000000-0005-0000-0000-00005A590000}"/>
    <cellStyle name="40% - Accent2 2 11 2" xfId="3273" xr:uid="{00000000-0005-0000-0000-00005B590000}"/>
    <cellStyle name="40% - Accent2 2 11 2 2" xfId="8135" xr:uid="{00000000-0005-0000-0000-00005C590000}"/>
    <cellStyle name="40% - Accent2 2 11 2 2 2" xfId="27586" xr:uid="{00000000-0005-0000-0000-00005D590000}"/>
    <cellStyle name="40% - Accent2 2 11 2 2 3" xfId="37311" xr:uid="{00000000-0005-0000-0000-00005E590000}"/>
    <cellStyle name="40% - Accent2 2 11 2 2 4" xfId="47036" xr:uid="{00000000-0005-0000-0000-00005F590000}"/>
    <cellStyle name="40% - Accent2 2 11 2 2 5" xfId="17861" xr:uid="{00000000-0005-0000-0000-000060590000}"/>
    <cellStyle name="40% - Accent2 2 11 2 3" xfId="22724" xr:uid="{00000000-0005-0000-0000-000061590000}"/>
    <cellStyle name="40% - Accent2 2 11 2 4" xfId="32449" xr:uid="{00000000-0005-0000-0000-000062590000}"/>
    <cellStyle name="40% - Accent2 2 11 2 5" xfId="42174" xr:uid="{00000000-0005-0000-0000-000063590000}"/>
    <cellStyle name="40% - Accent2 2 11 2 6" xfId="12999" xr:uid="{00000000-0005-0000-0000-000064590000}"/>
    <cellStyle name="40% - Accent2 2 11 3" xfId="4893" xr:uid="{00000000-0005-0000-0000-000065590000}"/>
    <cellStyle name="40% - Accent2 2 11 3 2" xfId="9755" xr:uid="{00000000-0005-0000-0000-000066590000}"/>
    <cellStyle name="40% - Accent2 2 11 3 2 2" xfId="29206" xr:uid="{00000000-0005-0000-0000-000067590000}"/>
    <cellStyle name="40% - Accent2 2 11 3 2 3" xfId="38931" xr:uid="{00000000-0005-0000-0000-000068590000}"/>
    <cellStyle name="40% - Accent2 2 11 3 2 4" xfId="48656" xr:uid="{00000000-0005-0000-0000-000069590000}"/>
    <cellStyle name="40% - Accent2 2 11 3 2 5" xfId="19481" xr:uid="{00000000-0005-0000-0000-00006A590000}"/>
    <cellStyle name="40% - Accent2 2 11 3 3" xfId="24344" xr:uid="{00000000-0005-0000-0000-00006B590000}"/>
    <cellStyle name="40% - Accent2 2 11 3 4" xfId="34069" xr:uid="{00000000-0005-0000-0000-00006C590000}"/>
    <cellStyle name="40% - Accent2 2 11 3 5" xfId="43794" xr:uid="{00000000-0005-0000-0000-00006D590000}"/>
    <cellStyle name="40% - Accent2 2 11 3 6" xfId="14619" xr:uid="{00000000-0005-0000-0000-00006E590000}"/>
    <cellStyle name="40% - Accent2 2 11 4" xfId="6515" xr:uid="{00000000-0005-0000-0000-00006F590000}"/>
    <cellStyle name="40% - Accent2 2 11 4 2" xfId="25966" xr:uid="{00000000-0005-0000-0000-000070590000}"/>
    <cellStyle name="40% - Accent2 2 11 4 3" xfId="35691" xr:uid="{00000000-0005-0000-0000-000071590000}"/>
    <cellStyle name="40% - Accent2 2 11 4 4" xfId="45416" xr:uid="{00000000-0005-0000-0000-000072590000}"/>
    <cellStyle name="40% - Accent2 2 11 4 5" xfId="16241" xr:uid="{00000000-0005-0000-0000-000073590000}"/>
    <cellStyle name="40% - Accent2 2 11 5" xfId="21104" xr:uid="{00000000-0005-0000-0000-000074590000}"/>
    <cellStyle name="40% - Accent2 2 11 6" xfId="30829" xr:uid="{00000000-0005-0000-0000-000075590000}"/>
    <cellStyle name="40% - Accent2 2 11 7" xfId="40554" xr:uid="{00000000-0005-0000-0000-000076590000}"/>
    <cellStyle name="40% - Accent2 2 11 8" xfId="11379" xr:uid="{00000000-0005-0000-0000-000077590000}"/>
    <cellStyle name="40% - Accent2 2 12" xfId="1743" xr:uid="{00000000-0005-0000-0000-000078590000}"/>
    <cellStyle name="40% - Accent2 2 12 2" xfId="6605" xr:uid="{00000000-0005-0000-0000-000079590000}"/>
    <cellStyle name="40% - Accent2 2 12 2 2" xfId="26056" xr:uid="{00000000-0005-0000-0000-00007A590000}"/>
    <cellStyle name="40% - Accent2 2 12 2 3" xfId="35781" xr:uid="{00000000-0005-0000-0000-00007B590000}"/>
    <cellStyle name="40% - Accent2 2 12 2 4" xfId="45506" xr:uid="{00000000-0005-0000-0000-00007C590000}"/>
    <cellStyle name="40% - Accent2 2 12 2 5" xfId="16331" xr:uid="{00000000-0005-0000-0000-00007D590000}"/>
    <cellStyle name="40% - Accent2 2 12 3" xfId="21194" xr:uid="{00000000-0005-0000-0000-00007E590000}"/>
    <cellStyle name="40% - Accent2 2 12 4" xfId="30919" xr:uid="{00000000-0005-0000-0000-00007F590000}"/>
    <cellStyle name="40% - Accent2 2 12 5" xfId="40644" xr:uid="{00000000-0005-0000-0000-000080590000}"/>
    <cellStyle name="40% - Accent2 2 12 6" xfId="11469" xr:uid="{00000000-0005-0000-0000-000081590000}"/>
    <cellStyle name="40% - Accent2 2 13" xfId="3363" xr:uid="{00000000-0005-0000-0000-000082590000}"/>
    <cellStyle name="40% - Accent2 2 13 2" xfId="8225" xr:uid="{00000000-0005-0000-0000-000083590000}"/>
    <cellStyle name="40% - Accent2 2 13 2 2" xfId="27676" xr:uid="{00000000-0005-0000-0000-000084590000}"/>
    <cellStyle name="40% - Accent2 2 13 2 3" xfId="37401" xr:uid="{00000000-0005-0000-0000-000085590000}"/>
    <cellStyle name="40% - Accent2 2 13 2 4" xfId="47126" xr:uid="{00000000-0005-0000-0000-000086590000}"/>
    <cellStyle name="40% - Accent2 2 13 2 5" xfId="17951" xr:uid="{00000000-0005-0000-0000-000087590000}"/>
    <cellStyle name="40% - Accent2 2 13 3" xfId="22814" xr:uid="{00000000-0005-0000-0000-000088590000}"/>
    <cellStyle name="40% - Accent2 2 13 4" xfId="32539" xr:uid="{00000000-0005-0000-0000-000089590000}"/>
    <cellStyle name="40% - Accent2 2 13 5" xfId="42264" xr:uid="{00000000-0005-0000-0000-00008A590000}"/>
    <cellStyle name="40% - Accent2 2 13 6" xfId="13089" xr:uid="{00000000-0005-0000-0000-00008B590000}"/>
    <cellStyle name="40% - Accent2 2 14" xfId="4985" xr:uid="{00000000-0005-0000-0000-00008C590000}"/>
    <cellStyle name="40% - Accent2 2 14 2" xfId="24436" xr:uid="{00000000-0005-0000-0000-00008D590000}"/>
    <cellStyle name="40% - Accent2 2 14 3" xfId="34161" xr:uid="{00000000-0005-0000-0000-00008E590000}"/>
    <cellStyle name="40% - Accent2 2 14 4" xfId="43886" xr:uid="{00000000-0005-0000-0000-00008F590000}"/>
    <cellStyle name="40% - Accent2 2 14 5" xfId="14711" xr:uid="{00000000-0005-0000-0000-000090590000}"/>
    <cellStyle name="40% - Accent2 2 15" xfId="19574" xr:uid="{00000000-0005-0000-0000-000091590000}"/>
    <cellStyle name="40% - Accent2 2 16" xfId="29299" xr:uid="{00000000-0005-0000-0000-000092590000}"/>
    <cellStyle name="40% - Accent2 2 17" xfId="39024" xr:uid="{00000000-0005-0000-0000-000093590000}"/>
    <cellStyle name="40% - Accent2 2 18" xfId="9849" xr:uid="{00000000-0005-0000-0000-000094590000}"/>
    <cellStyle name="40% - Accent2 2 2" xfId="89" xr:uid="{00000000-0005-0000-0000-000095590000}"/>
    <cellStyle name="40% - Accent2 2 2 10" xfId="1773" xr:uid="{00000000-0005-0000-0000-000096590000}"/>
    <cellStyle name="40% - Accent2 2 2 10 2" xfId="6635" xr:uid="{00000000-0005-0000-0000-000097590000}"/>
    <cellStyle name="40% - Accent2 2 2 10 2 2" xfId="26086" xr:uid="{00000000-0005-0000-0000-000098590000}"/>
    <cellStyle name="40% - Accent2 2 2 10 2 3" xfId="35811" xr:uid="{00000000-0005-0000-0000-000099590000}"/>
    <cellStyle name="40% - Accent2 2 2 10 2 4" xfId="45536" xr:uid="{00000000-0005-0000-0000-00009A590000}"/>
    <cellStyle name="40% - Accent2 2 2 10 2 5" xfId="16361" xr:uid="{00000000-0005-0000-0000-00009B590000}"/>
    <cellStyle name="40% - Accent2 2 2 10 3" xfId="21224" xr:uid="{00000000-0005-0000-0000-00009C590000}"/>
    <cellStyle name="40% - Accent2 2 2 10 4" xfId="30949" xr:uid="{00000000-0005-0000-0000-00009D590000}"/>
    <cellStyle name="40% - Accent2 2 2 10 5" xfId="40674" xr:uid="{00000000-0005-0000-0000-00009E590000}"/>
    <cellStyle name="40% - Accent2 2 2 10 6" xfId="11499" xr:uid="{00000000-0005-0000-0000-00009F590000}"/>
    <cellStyle name="40% - Accent2 2 2 11" xfId="3393" xr:uid="{00000000-0005-0000-0000-0000A0590000}"/>
    <cellStyle name="40% - Accent2 2 2 11 2" xfId="8255" xr:uid="{00000000-0005-0000-0000-0000A1590000}"/>
    <cellStyle name="40% - Accent2 2 2 11 2 2" xfId="27706" xr:uid="{00000000-0005-0000-0000-0000A2590000}"/>
    <cellStyle name="40% - Accent2 2 2 11 2 3" xfId="37431" xr:uid="{00000000-0005-0000-0000-0000A3590000}"/>
    <cellStyle name="40% - Accent2 2 2 11 2 4" xfId="47156" xr:uid="{00000000-0005-0000-0000-0000A4590000}"/>
    <cellStyle name="40% - Accent2 2 2 11 2 5" xfId="17981" xr:uid="{00000000-0005-0000-0000-0000A5590000}"/>
    <cellStyle name="40% - Accent2 2 2 11 3" xfId="22844" xr:uid="{00000000-0005-0000-0000-0000A6590000}"/>
    <cellStyle name="40% - Accent2 2 2 11 4" xfId="32569" xr:uid="{00000000-0005-0000-0000-0000A7590000}"/>
    <cellStyle name="40% - Accent2 2 2 11 5" xfId="42294" xr:uid="{00000000-0005-0000-0000-0000A8590000}"/>
    <cellStyle name="40% - Accent2 2 2 11 6" xfId="13119" xr:uid="{00000000-0005-0000-0000-0000A9590000}"/>
    <cellStyle name="40% - Accent2 2 2 12" xfId="5015" xr:uid="{00000000-0005-0000-0000-0000AA590000}"/>
    <cellStyle name="40% - Accent2 2 2 12 2" xfId="24466" xr:uid="{00000000-0005-0000-0000-0000AB590000}"/>
    <cellStyle name="40% - Accent2 2 2 12 3" xfId="34191" xr:uid="{00000000-0005-0000-0000-0000AC590000}"/>
    <cellStyle name="40% - Accent2 2 2 12 4" xfId="43916" xr:uid="{00000000-0005-0000-0000-0000AD590000}"/>
    <cellStyle name="40% - Accent2 2 2 12 5" xfId="14741" xr:uid="{00000000-0005-0000-0000-0000AE590000}"/>
    <cellStyle name="40% - Accent2 2 2 13" xfId="19604" xr:uid="{00000000-0005-0000-0000-0000AF590000}"/>
    <cellStyle name="40% - Accent2 2 2 14" xfId="29329" xr:uid="{00000000-0005-0000-0000-0000B0590000}"/>
    <cellStyle name="40% - Accent2 2 2 15" xfId="39054" xr:uid="{00000000-0005-0000-0000-0000B1590000}"/>
    <cellStyle name="40% - Accent2 2 2 16" xfId="9879" xr:uid="{00000000-0005-0000-0000-0000B2590000}"/>
    <cellStyle name="40% - Accent2 2 2 2" xfId="271" xr:uid="{00000000-0005-0000-0000-0000B3590000}"/>
    <cellStyle name="40% - Accent2 2 2 2 10" xfId="39234" xr:uid="{00000000-0005-0000-0000-0000B4590000}"/>
    <cellStyle name="40% - Accent2 2 2 2 11" xfId="10059" xr:uid="{00000000-0005-0000-0000-0000B5590000}"/>
    <cellStyle name="40% - Accent2 2 2 2 2" xfId="1035" xr:uid="{00000000-0005-0000-0000-0000B6590000}"/>
    <cellStyle name="40% - Accent2 2 2 2 2 2" xfId="2673" xr:uid="{00000000-0005-0000-0000-0000B7590000}"/>
    <cellStyle name="40% - Accent2 2 2 2 2 2 2" xfId="7535" xr:uid="{00000000-0005-0000-0000-0000B8590000}"/>
    <cellStyle name="40% - Accent2 2 2 2 2 2 2 2" xfId="26986" xr:uid="{00000000-0005-0000-0000-0000B9590000}"/>
    <cellStyle name="40% - Accent2 2 2 2 2 2 2 3" xfId="36711" xr:uid="{00000000-0005-0000-0000-0000BA590000}"/>
    <cellStyle name="40% - Accent2 2 2 2 2 2 2 4" xfId="46436" xr:uid="{00000000-0005-0000-0000-0000BB590000}"/>
    <cellStyle name="40% - Accent2 2 2 2 2 2 2 5" xfId="17261" xr:uid="{00000000-0005-0000-0000-0000BC590000}"/>
    <cellStyle name="40% - Accent2 2 2 2 2 2 3" xfId="22124" xr:uid="{00000000-0005-0000-0000-0000BD590000}"/>
    <cellStyle name="40% - Accent2 2 2 2 2 2 4" xfId="31849" xr:uid="{00000000-0005-0000-0000-0000BE590000}"/>
    <cellStyle name="40% - Accent2 2 2 2 2 2 5" xfId="41574" xr:uid="{00000000-0005-0000-0000-0000BF590000}"/>
    <cellStyle name="40% - Accent2 2 2 2 2 2 6" xfId="12399" xr:uid="{00000000-0005-0000-0000-0000C0590000}"/>
    <cellStyle name="40% - Accent2 2 2 2 2 3" xfId="4293" xr:uid="{00000000-0005-0000-0000-0000C1590000}"/>
    <cellStyle name="40% - Accent2 2 2 2 2 3 2" xfId="9155" xr:uid="{00000000-0005-0000-0000-0000C2590000}"/>
    <cellStyle name="40% - Accent2 2 2 2 2 3 2 2" xfId="28606" xr:uid="{00000000-0005-0000-0000-0000C3590000}"/>
    <cellStyle name="40% - Accent2 2 2 2 2 3 2 3" xfId="38331" xr:uid="{00000000-0005-0000-0000-0000C4590000}"/>
    <cellStyle name="40% - Accent2 2 2 2 2 3 2 4" xfId="48056" xr:uid="{00000000-0005-0000-0000-0000C5590000}"/>
    <cellStyle name="40% - Accent2 2 2 2 2 3 2 5" xfId="18881" xr:uid="{00000000-0005-0000-0000-0000C6590000}"/>
    <cellStyle name="40% - Accent2 2 2 2 2 3 3" xfId="23744" xr:uid="{00000000-0005-0000-0000-0000C7590000}"/>
    <cellStyle name="40% - Accent2 2 2 2 2 3 4" xfId="33469" xr:uid="{00000000-0005-0000-0000-0000C8590000}"/>
    <cellStyle name="40% - Accent2 2 2 2 2 3 5" xfId="43194" xr:uid="{00000000-0005-0000-0000-0000C9590000}"/>
    <cellStyle name="40% - Accent2 2 2 2 2 3 6" xfId="14019" xr:uid="{00000000-0005-0000-0000-0000CA590000}"/>
    <cellStyle name="40% - Accent2 2 2 2 2 4" xfId="5915" xr:uid="{00000000-0005-0000-0000-0000CB590000}"/>
    <cellStyle name="40% - Accent2 2 2 2 2 4 2" xfId="25366" xr:uid="{00000000-0005-0000-0000-0000CC590000}"/>
    <cellStyle name="40% - Accent2 2 2 2 2 4 3" xfId="35091" xr:uid="{00000000-0005-0000-0000-0000CD590000}"/>
    <cellStyle name="40% - Accent2 2 2 2 2 4 4" xfId="44816" xr:uid="{00000000-0005-0000-0000-0000CE590000}"/>
    <cellStyle name="40% - Accent2 2 2 2 2 4 5" xfId="15641" xr:uid="{00000000-0005-0000-0000-0000CF590000}"/>
    <cellStyle name="40% - Accent2 2 2 2 2 5" xfId="20504" xr:uid="{00000000-0005-0000-0000-0000D0590000}"/>
    <cellStyle name="40% - Accent2 2 2 2 2 6" xfId="30229" xr:uid="{00000000-0005-0000-0000-0000D1590000}"/>
    <cellStyle name="40% - Accent2 2 2 2 2 7" xfId="39954" xr:uid="{00000000-0005-0000-0000-0000D2590000}"/>
    <cellStyle name="40% - Accent2 2 2 2 2 8" xfId="10779" xr:uid="{00000000-0005-0000-0000-0000D3590000}"/>
    <cellStyle name="40% - Accent2 2 2 2 3" xfId="1502" xr:uid="{00000000-0005-0000-0000-0000D4590000}"/>
    <cellStyle name="40% - Accent2 2 2 2 3 2" xfId="3123" xr:uid="{00000000-0005-0000-0000-0000D5590000}"/>
    <cellStyle name="40% - Accent2 2 2 2 3 2 2" xfId="7985" xr:uid="{00000000-0005-0000-0000-0000D6590000}"/>
    <cellStyle name="40% - Accent2 2 2 2 3 2 2 2" xfId="27436" xr:uid="{00000000-0005-0000-0000-0000D7590000}"/>
    <cellStyle name="40% - Accent2 2 2 2 3 2 2 3" xfId="37161" xr:uid="{00000000-0005-0000-0000-0000D8590000}"/>
    <cellStyle name="40% - Accent2 2 2 2 3 2 2 4" xfId="46886" xr:uid="{00000000-0005-0000-0000-0000D9590000}"/>
    <cellStyle name="40% - Accent2 2 2 2 3 2 2 5" xfId="17711" xr:uid="{00000000-0005-0000-0000-0000DA590000}"/>
    <cellStyle name="40% - Accent2 2 2 2 3 2 3" xfId="22574" xr:uid="{00000000-0005-0000-0000-0000DB590000}"/>
    <cellStyle name="40% - Accent2 2 2 2 3 2 4" xfId="32299" xr:uid="{00000000-0005-0000-0000-0000DC590000}"/>
    <cellStyle name="40% - Accent2 2 2 2 3 2 5" xfId="42024" xr:uid="{00000000-0005-0000-0000-0000DD590000}"/>
    <cellStyle name="40% - Accent2 2 2 2 3 2 6" xfId="12849" xr:uid="{00000000-0005-0000-0000-0000DE590000}"/>
    <cellStyle name="40% - Accent2 2 2 2 3 3" xfId="4743" xr:uid="{00000000-0005-0000-0000-0000DF590000}"/>
    <cellStyle name="40% - Accent2 2 2 2 3 3 2" xfId="9605" xr:uid="{00000000-0005-0000-0000-0000E0590000}"/>
    <cellStyle name="40% - Accent2 2 2 2 3 3 2 2" xfId="29056" xr:uid="{00000000-0005-0000-0000-0000E1590000}"/>
    <cellStyle name="40% - Accent2 2 2 2 3 3 2 3" xfId="38781" xr:uid="{00000000-0005-0000-0000-0000E2590000}"/>
    <cellStyle name="40% - Accent2 2 2 2 3 3 2 4" xfId="48506" xr:uid="{00000000-0005-0000-0000-0000E3590000}"/>
    <cellStyle name="40% - Accent2 2 2 2 3 3 2 5" xfId="19331" xr:uid="{00000000-0005-0000-0000-0000E4590000}"/>
    <cellStyle name="40% - Accent2 2 2 2 3 3 3" xfId="24194" xr:uid="{00000000-0005-0000-0000-0000E5590000}"/>
    <cellStyle name="40% - Accent2 2 2 2 3 3 4" xfId="33919" xr:uid="{00000000-0005-0000-0000-0000E6590000}"/>
    <cellStyle name="40% - Accent2 2 2 2 3 3 5" xfId="43644" xr:uid="{00000000-0005-0000-0000-0000E7590000}"/>
    <cellStyle name="40% - Accent2 2 2 2 3 3 6" xfId="14469" xr:uid="{00000000-0005-0000-0000-0000E8590000}"/>
    <cellStyle name="40% - Accent2 2 2 2 3 4" xfId="6365" xr:uid="{00000000-0005-0000-0000-0000E9590000}"/>
    <cellStyle name="40% - Accent2 2 2 2 3 4 2" xfId="25816" xr:uid="{00000000-0005-0000-0000-0000EA590000}"/>
    <cellStyle name="40% - Accent2 2 2 2 3 4 3" xfId="35541" xr:uid="{00000000-0005-0000-0000-0000EB590000}"/>
    <cellStyle name="40% - Accent2 2 2 2 3 4 4" xfId="45266" xr:uid="{00000000-0005-0000-0000-0000EC590000}"/>
    <cellStyle name="40% - Accent2 2 2 2 3 4 5" xfId="16091" xr:uid="{00000000-0005-0000-0000-0000ED590000}"/>
    <cellStyle name="40% - Accent2 2 2 2 3 5" xfId="20954" xr:uid="{00000000-0005-0000-0000-0000EE590000}"/>
    <cellStyle name="40% - Accent2 2 2 2 3 6" xfId="30679" xr:uid="{00000000-0005-0000-0000-0000EF590000}"/>
    <cellStyle name="40% - Accent2 2 2 2 3 7" xfId="40404" xr:uid="{00000000-0005-0000-0000-0000F0590000}"/>
    <cellStyle name="40% - Accent2 2 2 2 3 8" xfId="11229" xr:uid="{00000000-0005-0000-0000-0000F1590000}"/>
    <cellStyle name="40% - Accent2 2 2 2 4" xfId="673" xr:uid="{00000000-0005-0000-0000-0000F2590000}"/>
    <cellStyle name="40% - Accent2 2 2 2 4 2" xfId="2313" xr:uid="{00000000-0005-0000-0000-0000F3590000}"/>
    <cellStyle name="40% - Accent2 2 2 2 4 2 2" xfId="7175" xr:uid="{00000000-0005-0000-0000-0000F4590000}"/>
    <cellStyle name="40% - Accent2 2 2 2 4 2 2 2" xfId="26626" xr:uid="{00000000-0005-0000-0000-0000F5590000}"/>
    <cellStyle name="40% - Accent2 2 2 2 4 2 2 3" xfId="36351" xr:uid="{00000000-0005-0000-0000-0000F6590000}"/>
    <cellStyle name="40% - Accent2 2 2 2 4 2 2 4" xfId="46076" xr:uid="{00000000-0005-0000-0000-0000F7590000}"/>
    <cellStyle name="40% - Accent2 2 2 2 4 2 2 5" xfId="16901" xr:uid="{00000000-0005-0000-0000-0000F8590000}"/>
    <cellStyle name="40% - Accent2 2 2 2 4 2 3" xfId="21764" xr:uid="{00000000-0005-0000-0000-0000F9590000}"/>
    <cellStyle name="40% - Accent2 2 2 2 4 2 4" xfId="31489" xr:uid="{00000000-0005-0000-0000-0000FA590000}"/>
    <cellStyle name="40% - Accent2 2 2 2 4 2 5" xfId="41214" xr:uid="{00000000-0005-0000-0000-0000FB590000}"/>
    <cellStyle name="40% - Accent2 2 2 2 4 2 6" xfId="12039" xr:uid="{00000000-0005-0000-0000-0000FC590000}"/>
    <cellStyle name="40% - Accent2 2 2 2 4 3" xfId="3933" xr:uid="{00000000-0005-0000-0000-0000FD590000}"/>
    <cellStyle name="40% - Accent2 2 2 2 4 3 2" xfId="8795" xr:uid="{00000000-0005-0000-0000-0000FE590000}"/>
    <cellStyle name="40% - Accent2 2 2 2 4 3 2 2" xfId="28246" xr:uid="{00000000-0005-0000-0000-0000FF590000}"/>
    <cellStyle name="40% - Accent2 2 2 2 4 3 2 3" xfId="37971" xr:uid="{00000000-0005-0000-0000-0000005A0000}"/>
    <cellStyle name="40% - Accent2 2 2 2 4 3 2 4" xfId="47696" xr:uid="{00000000-0005-0000-0000-0000015A0000}"/>
    <cellStyle name="40% - Accent2 2 2 2 4 3 2 5" xfId="18521" xr:uid="{00000000-0005-0000-0000-0000025A0000}"/>
    <cellStyle name="40% - Accent2 2 2 2 4 3 3" xfId="23384" xr:uid="{00000000-0005-0000-0000-0000035A0000}"/>
    <cellStyle name="40% - Accent2 2 2 2 4 3 4" xfId="33109" xr:uid="{00000000-0005-0000-0000-0000045A0000}"/>
    <cellStyle name="40% - Accent2 2 2 2 4 3 5" xfId="42834" xr:uid="{00000000-0005-0000-0000-0000055A0000}"/>
    <cellStyle name="40% - Accent2 2 2 2 4 3 6" xfId="13659" xr:uid="{00000000-0005-0000-0000-0000065A0000}"/>
    <cellStyle name="40% - Accent2 2 2 2 4 4" xfId="5555" xr:uid="{00000000-0005-0000-0000-0000075A0000}"/>
    <cellStyle name="40% - Accent2 2 2 2 4 4 2" xfId="25006" xr:uid="{00000000-0005-0000-0000-0000085A0000}"/>
    <cellStyle name="40% - Accent2 2 2 2 4 4 3" xfId="34731" xr:uid="{00000000-0005-0000-0000-0000095A0000}"/>
    <cellStyle name="40% - Accent2 2 2 2 4 4 4" xfId="44456" xr:uid="{00000000-0005-0000-0000-00000A5A0000}"/>
    <cellStyle name="40% - Accent2 2 2 2 4 4 5" xfId="15281" xr:uid="{00000000-0005-0000-0000-00000B5A0000}"/>
    <cellStyle name="40% - Accent2 2 2 2 4 5" xfId="20144" xr:uid="{00000000-0005-0000-0000-00000C5A0000}"/>
    <cellStyle name="40% - Accent2 2 2 2 4 6" xfId="29869" xr:uid="{00000000-0005-0000-0000-00000D5A0000}"/>
    <cellStyle name="40% - Accent2 2 2 2 4 7" xfId="39594" xr:uid="{00000000-0005-0000-0000-00000E5A0000}"/>
    <cellStyle name="40% - Accent2 2 2 2 4 8" xfId="10419" xr:uid="{00000000-0005-0000-0000-00000F5A0000}"/>
    <cellStyle name="40% - Accent2 2 2 2 5" xfId="1953" xr:uid="{00000000-0005-0000-0000-0000105A0000}"/>
    <cellStyle name="40% - Accent2 2 2 2 5 2" xfId="6815" xr:uid="{00000000-0005-0000-0000-0000115A0000}"/>
    <cellStyle name="40% - Accent2 2 2 2 5 2 2" xfId="26266" xr:uid="{00000000-0005-0000-0000-0000125A0000}"/>
    <cellStyle name="40% - Accent2 2 2 2 5 2 3" xfId="35991" xr:uid="{00000000-0005-0000-0000-0000135A0000}"/>
    <cellStyle name="40% - Accent2 2 2 2 5 2 4" xfId="45716" xr:uid="{00000000-0005-0000-0000-0000145A0000}"/>
    <cellStyle name="40% - Accent2 2 2 2 5 2 5" xfId="16541" xr:uid="{00000000-0005-0000-0000-0000155A0000}"/>
    <cellStyle name="40% - Accent2 2 2 2 5 3" xfId="21404" xr:uid="{00000000-0005-0000-0000-0000165A0000}"/>
    <cellStyle name="40% - Accent2 2 2 2 5 4" xfId="31129" xr:uid="{00000000-0005-0000-0000-0000175A0000}"/>
    <cellStyle name="40% - Accent2 2 2 2 5 5" xfId="40854" xr:uid="{00000000-0005-0000-0000-0000185A0000}"/>
    <cellStyle name="40% - Accent2 2 2 2 5 6" xfId="11679" xr:uid="{00000000-0005-0000-0000-0000195A0000}"/>
    <cellStyle name="40% - Accent2 2 2 2 6" xfId="3573" xr:uid="{00000000-0005-0000-0000-00001A5A0000}"/>
    <cellStyle name="40% - Accent2 2 2 2 6 2" xfId="8435" xr:uid="{00000000-0005-0000-0000-00001B5A0000}"/>
    <cellStyle name="40% - Accent2 2 2 2 6 2 2" xfId="27886" xr:uid="{00000000-0005-0000-0000-00001C5A0000}"/>
    <cellStyle name="40% - Accent2 2 2 2 6 2 3" xfId="37611" xr:uid="{00000000-0005-0000-0000-00001D5A0000}"/>
    <cellStyle name="40% - Accent2 2 2 2 6 2 4" xfId="47336" xr:uid="{00000000-0005-0000-0000-00001E5A0000}"/>
    <cellStyle name="40% - Accent2 2 2 2 6 2 5" xfId="18161" xr:uid="{00000000-0005-0000-0000-00001F5A0000}"/>
    <cellStyle name="40% - Accent2 2 2 2 6 3" xfId="23024" xr:uid="{00000000-0005-0000-0000-0000205A0000}"/>
    <cellStyle name="40% - Accent2 2 2 2 6 4" xfId="32749" xr:uid="{00000000-0005-0000-0000-0000215A0000}"/>
    <cellStyle name="40% - Accent2 2 2 2 6 5" xfId="42474" xr:uid="{00000000-0005-0000-0000-0000225A0000}"/>
    <cellStyle name="40% - Accent2 2 2 2 6 6" xfId="13299" xr:uid="{00000000-0005-0000-0000-0000235A0000}"/>
    <cellStyle name="40% - Accent2 2 2 2 7" xfId="5195" xr:uid="{00000000-0005-0000-0000-0000245A0000}"/>
    <cellStyle name="40% - Accent2 2 2 2 7 2" xfId="24646" xr:uid="{00000000-0005-0000-0000-0000255A0000}"/>
    <cellStyle name="40% - Accent2 2 2 2 7 3" xfId="34371" xr:uid="{00000000-0005-0000-0000-0000265A0000}"/>
    <cellStyle name="40% - Accent2 2 2 2 7 4" xfId="44096" xr:uid="{00000000-0005-0000-0000-0000275A0000}"/>
    <cellStyle name="40% - Accent2 2 2 2 7 5" xfId="14921" xr:uid="{00000000-0005-0000-0000-0000285A0000}"/>
    <cellStyle name="40% - Accent2 2 2 2 8" xfId="19784" xr:uid="{00000000-0005-0000-0000-0000295A0000}"/>
    <cellStyle name="40% - Accent2 2 2 2 9" xfId="29509" xr:uid="{00000000-0005-0000-0000-00002A5A0000}"/>
    <cellStyle name="40% - Accent2 2 2 3" xfId="362" xr:uid="{00000000-0005-0000-0000-00002B5A0000}"/>
    <cellStyle name="40% - Accent2 2 2 3 10" xfId="39324" xr:uid="{00000000-0005-0000-0000-00002C5A0000}"/>
    <cellStyle name="40% - Accent2 2 2 3 11" xfId="10149" xr:uid="{00000000-0005-0000-0000-00002D5A0000}"/>
    <cellStyle name="40% - Accent2 2 2 3 2" xfId="1125" xr:uid="{00000000-0005-0000-0000-00002E5A0000}"/>
    <cellStyle name="40% - Accent2 2 2 3 2 2" xfId="2763" xr:uid="{00000000-0005-0000-0000-00002F5A0000}"/>
    <cellStyle name="40% - Accent2 2 2 3 2 2 2" xfId="7625" xr:uid="{00000000-0005-0000-0000-0000305A0000}"/>
    <cellStyle name="40% - Accent2 2 2 3 2 2 2 2" xfId="27076" xr:uid="{00000000-0005-0000-0000-0000315A0000}"/>
    <cellStyle name="40% - Accent2 2 2 3 2 2 2 3" xfId="36801" xr:uid="{00000000-0005-0000-0000-0000325A0000}"/>
    <cellStyle name="40% - Accent2 2 2 3 2 2 2 4" xfId="46526" xr:uid="{00000000-0005-0000-0000-0000335A0000}"/>
    <cellStyle name="40% - Accent2 2 2 3 2 2 2 5" xfId="17351" xr:uid="{00000000-0005-0000-0000-0000345A0000}"/>
    <cellStyle name="40% - Accent2 2 2 3 2 2 3" xfId="22214" xr:uid="{00000000-0005-0000-0000-0000355A0000}"/>
    <cellStyle name="40% - Accent2 2 2 3 2 2 4" xfId="31939" xr:uid="{00000000-0005-0000-0000-0000365A0000}"/>
    <cellStyle name="40% - Accent2 2 2 3 2 2 5" xfId="41664" xr:uid="{00000000-0005-0000-0000-0000375A0000}"/>
    <cellStyle name="40% - Accent2 2 2 3 2 2 6" xfId="12489" xr:uid="{00000000-0005-0000-0000-0000385A0000}"/>
    <cellStyle name="40% - Accent2 2 2 3 2 3" xfId="4383" xr:uid="{00000000-0005-0000-0000-0000395A0000}"/>
    <cellStyle name="40% - Accent2 2 2 3 2 3 2" xfId="9245" xr:uid="{00000000-0005-0000-0000-00003A5A0000}"/>
    <cellStyle name="40% - Accent2 2 2 3 2 3 2 2" xfId="28696" xr:uid="{00000000-0005-0000-0000-00003B5A0000}"/>
    <cellStyle name="40% - Accent2 2 2 3 2 3 2 3" xfId="38421" xr:uid="{00000000-0005-0000-0000-00003C5A0000}"/>
    <cellStyle name="40% - Accent2 2 2 3 2 3 2 4" xfId="48146" xr:uid="{00000000-0005-0000-0000-00003D5A0000}"/>
    <cellStyle name="40% - Accent2 2 2 3 2 3 2 5" xfId="18971" xr:uid="{00000000-0005-0000-0000-00003E5A0000}"/>
    <cellStyle name="40% - Accent2 2 2 3 2 3 3" xfId="23834" xr:uid="{00000000-0005-0000-0000-00003F5A0000}"/>
    <cellStyle name="40% - Accent2 2 2 3 2 3 4" xfId="33559" xr:uid="{00000000-0005-0000-0000-0000405A0000}"/>
    <cellStyle name="40% - Accent2 2 2 3 2 3 5" xfId="43284" xr:uid="{00000000-0005-0000-0000-0000415A0000}"/>
    <cellStyle name="40% - Accent2 2 2 3 2 3 6" xfId="14109" xr:uid="{00000000-0005-0000-0000-0000425A0000}"/>
    <cellStyle name="40% - Accent2 2 2 3 2 4" xfId="6005" xr:uid="{00000000-0005-0000-0000-0000435A0000}"/>
    <cellStyle name="40% - Accent2 2 2 3 2 4 2" xfId="25456" xr:uid="{00000000-0005-0000-0000-0000445A0000}"/>
    <cellStyle name="40% - Accent2 2 2 3 2 4 3" xfId="35181" xr:uid="{00000000-0005-0000-0000-0000455A0000}"/>
    <cellStyle name="40% - Accent2 2 2 3 2 4 4" xfId="44906" xr:uid="{00000000-0005-0000-0000-0000465A0000}"/>
    <cellStyle name="40% - Accent2 2 2 3 2 4 5" xfId="15731" xr:uid="{00000000-0005-0000-0000-0000475A0000}"/>
    <cellStyle name="40% - Accent2 2 2 3 2 5" xfId="20594" xr:uid="{00000000-0005-0000-0000-0000485A0000}"/>
    <cellStyle name="40% - Accent2 2 2 3 2 6" xfId="30319" xr:uid="{00000000-0005-0000-0000-0000495A0000}"/>
    <cellStyle name="40% - Accent2 2 2 3 2 7" xfId="40044" xr:uid="{00000000-0005-0000-0000-00004A5A0000}"/>
    <cellStyle name="40% - Accent2 2 2 3 2 8" xfId="10869" xr:uid="{00000000-0005-0000-0000-00004B5A0000}"/>
    <cellStyle name="40% - Accent2 2 2 3 3" xfId="1592" xr:uid="{00000000-0005-0000-0000-00004C5A0000}"/>
    <cellStyle name="40% - Accent2 2 2 3 3 2" xfId="3213" xr:uid="{00000000-0005-0000-0000-00004D5A0000}"/>
    <cellStyle name="40% - Accent2 2 2 3 3 2 2" xfId="8075" xr:uid="{00000000-0005-0000-0000-00004E5A0000}"/>
    <cellStyle name="40% - Accent2 2 2 3 3 2 2 2" xfId="27526" xr:uid="{00000000-0005-0000-0000-00004F5A0000}"/>
    <cellStyle name="40% - Accent2 2 2 3 3 2 2 3" xfId="37251" xr:uid="{00000000-0005-0000-0000-0000505A0000}"/>
    <cellStyle name="40% - Accent2 2 2 3 3 2 2 4" xfId="46976" xr:uid="{00000000-0005-0000-0000-0000515A0000}"/>
    <cellStyle name="40% - Accent2 2 2 3 3 2 2 5" xfId="17801" xr:uid="{00000000-0005-0000-0000-0000525A0000}"/>
    <cellStyle name="40% - Accent2 2 2 3 3 2 3" xfId="22664" xr:uid="{00000000-0005-0000-0000-0000535A0000}"/>
    <cellStyle name="40% - Accent2 2 2 3 3 2 4" xfId="32389" xr:uid="{00000000-0005-0000-0000-0000545A0000}"/>
    <cellStyle name="40% - Accent2 2 2 3 3 2 5" xfId="42114" xr:uid="{00000000-0005-0000-0000-0000555A0000}"/>
    <cellStyle name="40% - Accent2 2 2 3 3 2 6" xfId="12939" xr:uid="{00000000-0005-0000-0000-0000565A0000}"/>
    <cellStyle name="40% - Accent2 2 2 3 3 3" xfId="4833" xr:uid="{00000000-0005-0000-0000-0000575A0000}"/>
    <cellStyle name="40% - Accent2 2 2 3 3 3 2" xfId="9695" xr:uid="{00000000-0005-0000-0000-0000585A0000}"/>
    <cellStyle name="40% - Accent2 2 2 3 3 3 2 2" xfId="29146" xr:uid="{00000000-0005-0000-0000-0000595A0000}"/>
    <cellStyle name="40% - Accent2 2 2 3 3 3 2 3" xfId="38871" xr:uid="{00000000-0005-0000-0000-00005A5A0000}"/>
    <cellStyle name="40% - Accent2 2 2 3 3 3 2 4" xfId="48596" xr:uid="{00000000-0005-0000-0000-00005B5A0000}"/>
    <cellStyle name="40% - Accent2 2 2 3 3 3 2 5" xfId="19421" xr:uid="{00000000-0005-0000-0000-00005C5A0000}"/>
    <cellStyle name="40% - Accent2 2 2 3 3 3 3" xfId="24284" xr:uid="{00000000-0005-0000-0000-00005D5A0000}"/>
    <cellStyle name="40% - Accent2 2 2 3 3 3 4" xfId="34009" xr:uid="{00000000-0005-0000-0000-00005E5A0000}"/>
    <cellStyle name="40% - Accent2 2 2 3 3 3 5" xfId="43734" xr:uid="{00000000-0005-0000-0000-00005F5A0000}"/>
    <cellStyle name="40% - Accent2 2 2 3 3 3 6" xfId="14559" xr:uid="{00000000-0005-0000-0000-0000605A0000}"/>
    <cellStyle name="40% - Accent2 2 2 3 3 4" xfId="6455" xr:uid="{00000000-0005-0000-0000-0000615A0000}"/>
    <cellStyle name="40% - Accent2 2 2 3 3 4 2" xfId="25906" xr:uid="{00000000-0005-0000-0000-0000625A0000}"/>
    <cellStyle name="40% - Accent2 2 2 3 3 4 3" xfId="35631" xr:uid="{00000000-0005-0000-0000-0000635A0000}"/>
    <cellStyle name="40% - Accent2 2 2 3 3 4 4" xfId="45356" xr:uid="{00000000-0005-0000-0000-0000645A0000}"/>
    <cellStyle name="40% - Accent2 2 2 3 3 4 5" xfId="16181" xr:uid="{00000000-0005-0000-0000-0000655A0000}"/>
    <cellStyle name="40% - Accent2 2 2 3 3 5" xfId="21044" xr:uid="{00000000-0005-0000-0000-0000665A0000}"/>
    <cellStyle name="40% - Accent2 2 2 3 3 6" xfId="30769" xr:uid="{00000000-0005-0000-0000-0000675A0000}"/>
    <cellStyle name="40% - Accent2 2 2 3 3 7" xfId="40494" xr:uid="{00000000-0005-0000-0000-0000685A0000}"/>
    <cellStyle name="40% - Accent2 2 2 3 3 8" xfId="11319" xr:uid="{00000000-0005-0000-0000-0000695A0000}"/>
    <cellStyle name="40% - Accent2 2 2 3 4" xfId="763" xr:uid="{00000000-0005-0000-0000-00006A5A0000}"/>
    <cellStyle name="40% - Accent2 2 2 3 4 2" xfId="2403" xr:uid="{00000000-0005-0000-0000-00006B5A0000}"/>
    <cellStyle name="40% - Accent2 2 2 3 4 2 2" xfId="7265" xr:uid="{00000000-0005-0000-0000-00006C5A0000}"/>
    <cellStyle name="40% - Accent2 2 2 3 4 2 2 2" xfId="26716" xr:uid="{00000000-0005-0000-0000-00006D5A0000}"/>
    <cellStyle name="40% - Accent2 2 2 3 4 2 2 3" xfId="36441" xr:uid="{00000000-0005-0000-0000-00006E5A0000}"/>
    <cellStyle name="40% - Accent2 2 2 3 4 2 2 4" xfId="46166" xr:uid="{00000000-0005-0000-0000-00006F5A0000}"/>
    <cellStyle name="40% - Accent2 2 2 3 4 2 2 5" xfId="16991" xr:uid="{00000000-0005-0000-0000-0000705A0000}"/>
    <cellStyle name="40% - Accent2 2 2 3 4 2 3" xfId="21854" xr:uid="{00000000-0005-0000-0000-0000715A0000}"/>
    <cellStyle name="40% - Accent2 2 2 3 4 2 4" xfId="31579" xr:uid="{00000000-0005-0000-0000-0000725A0000}"/>
    <cellStyle name="40% - Accent2 2 2 3 4 2 5" xfId="41304" xr:uid="{00000000-0005-0000-0000-0000735A0000}"/>
    <cellStyle name="40% - Accent2 2 2 3 4 2 6" xfId="12129" xr:uid="{00000000-0005-0000-0000-0000745A0000}"/>
    <cellStyle name="40% - Accent2 2 2 3 4 3" xfId="4023" xr:uid="{00000000-0005-0000-0000-0000755A0000}"/>
    <cellStyle name="40% - Accent2 2 2 3 4 3 2" xfId="8885" xr:uid="{00000000-0005-0000-0000-0000765A0000}"/>
    <cellStyle name="40% - Accent2 2 2 3 4 3 2 2" xfId="28336" xr:uid="{00000000-0005-0000-0000-0000775A0000}"/>
    <cellStyle name="40% - Accent2 2 2 3 4 3 2 3" xfId="38061" xr:uid="{00000000-0005-0000-0000-0000785A0000}"/>
    <cellStyle name="40% - Accent2 2 2 3 4 3 2 4" xfId="47786" xr:uid="{00000000-0005-0000-0000-0000795A0000}"/>
    <cellStyle name="40% - Accent2 2 2 3 4 3 2 5" xfId="18611" xr:uid="{00000000-0005-0000-0000-00007A5A0000}"/>
    <cellStyle name="40% - Accent2 2 2 3 4 3 3" xfId="23474" xr:uid="{00000000-0005-0000-0000-00007B5A0000}"/>
    <cellStyle name="40% - Accent2 2 2 3 4 3 4" xfId="33199" xr:uid="{00000000-0005-0000-0000-00007C5A0000}"/>
    <cellStyle name="40% - Accent2 2 2 3 4 3 5" xfId="42924" xr:uid="{00000000-0005-0000-0000-00007D5A0000}"/>
    <cellStyle name="40% - Accent2 2 2 3 4 3 6" xfId="13749" xr:uid="{00000000-0005-0000-0000-00007E5A0000}"/>
    <cellStyle name="40% - Accent2 2 2 3 4 4" xfId="5645" xr:uid="{00000000-0005-0000-0000-00007F5A0000}"/>
    <cellStyle name="40% - Accent2 2 2 3 4 4 2" xfId="25096" xr:uid="{00000000-0005-0000-0000-0000805A0000}"/>
    <cellStyle name="40% - Accent2 2 2 3 4 4 3" xfId="34821" xr:uid="{00000000-0005-0000-0000-0000815A0000}"/>
    <cellStyle name="40% - Accent2 2 2 3 4 4 4" xfId="44546" xr:uid="{00000000-0005-0000-0000-0000825A0000}"/>
    <cellStyle name="40% - Accent2 2 2 3 4 4 5" xfId="15371" xr:uid="{00000000-0005-0000-0000-0000835A0000}"/>
    <cellStyle name="40% - Accent2 2 2 3 4 5" xfId="20234" xr:uid="{00000000-0005-0000-0000-0000845A0000}"/>
    <cellStyle name="40% - Accent2 2 2 3 4 6" xfId="29959" xr:uid="{00000000-0005-0000-0000-0000855A0000}"/>
    <cellStyle name="40% - Accent2 2 2 3 4 7" xfId="39684" xr:uid="{00000000-0005-0000-0000-0000865A0000}"/>
    <cellStyle name="40% - Accent2 2 2 3 4 8" xfId="10509" xr:uid="{00000000-0005-0000-0000-0000875A0000}"/>
    <cellStyle name="40% - Accent2 2 2 3 5" xfId="2043" xr:uid="{00000000-0005-0000-0000-0000885A0000}"/>
    <cellStyle name="40% - Accent2 2 2 3 5 2" xfId="6905" xr:uid="{00000000-0005-0000-0000-0000895A0000}"/>
    <cellStyle name="40% - Accent2 2 2 3 5 2 2" xfId="26356" xr:uid="{00000000-0005-0000-0000-00008A5A0000}"/>
    <cellStyle name="40% - Accent2 2 2 3 5 2 3" xfId="36081" xr:uid="{00000000-0005-0000-0000-00008B5A0000}"/>
    <cellStyle name="40% - Accent2 2 2 3 5 2 4" xfId="45806" xr:uid="{00000000-0005-0000-0000-00008C5A0000}"/>
    <cellStyle name="40% - Accent2 2 2 3 5 2 5" xfId="16631" xr:uid="{00000000-0005-0000-0000-00008D5A0000}"/>
    <cellStyle name="40% - Accent2 2 2 3 5 3" xfId="21494" xr:uid="{00000000-0005-0000-0000-00008E5A0000}"/>
    <cellStyle name="40% - Accent2 2 2 3 5 4" xfId="31219" xr:uid="{00000000-0005-0000-0000-00008F5A0000}"/>
    <cellStyle name="40% - Accent2 2 2 3 5 5" xfId="40944" xr:uid="{00000000-0005-0000-0000-0000905A0000}"/>
    <cellStyle name="40% - Accent2 2 2 3 5 6" xfId="11769" xr:uid="{00000000-0005-0000-0000-0000915A0000}"/>
    <cellStyle name="40% - Accent2 2 2 3 6" xfId="3663" xr:uid="{00000000-0005-0000-0000-0000925A0000}"/>
    <cellStyle name="40% - Accent2 2 2 3 6 2" xfId="8525" xr:uid="{00000000-0005-0000-0000-0000935A0000}"/>
    <cellStyle name="40% - Accent2 2 2 3 6 2 2" xfId="27976" xr:uid="{00000000-0005-0000-0000-0000945A0000}"/>
    <cellStyle name="40% - Accent2 2 2 3 6 2 3" xfId="37701" xr:uid="{00000000-0005-0000-0000-0000955A0000}"/>
    <cellStyle name="40% - Accent2 2 2 3 6 2 4" xfId="47426" xr:uid="{00000000-0005-0000-0000-0000965A0000}"/>
    <cellStyle name="40% - Accent2 2 2 3 6 2 5" xfId="18251" xr:uid="{00000000-0005-0000-0000-0000975A0000}"/>
    <cellStyle name="40% - Accent2 2 2 3 6 3" xfId="23114" xr:uid="{00000000-0005-0000-0000-0000985A0000}"/>
    <cellStyle name="40% - Accent2 2 2 3 6 4" xfId="32839" xr:uid="{00000000-0005-0000-0000-0000995A0000}"/>
    <cellStyle name="40% - Accent2 2 2 3 6 5" xfId="42564" xr:uid="{00000000-0005-0000-0000-00009A5A0000}"/>
    <cellStyle name="40% - Accent2 2 2 3 6 6" xfId="13389" xr:uid="{00000000-0005-0000-0000-00009B5A0000}"/>
    <cellStyle name="40% - Accent2 2 2 3 7" xfId="5285" xr:uid="{00000000-0005-0000-0000-00009C5A0000}"/>
    <cellStyle name="40% - Accent2 2 2 3 7 2" xfId="24736" xr:uid="{00000000-0005-0000-0000-00009D5A0000}"/>
    <cellStyle name="40% - Accent2 2 2 3 7 3" xfId="34461" xr:uid="{00000000-0005-0000-0000-00009E5A0000}"/>
    <cellStyle name="40% - Accent2 2 2 3 7 4" xfId="44186" xr:uid="{00000000-0005-0000-0000-00009F5A0000}"/>
    <cellStyle name="40% - Accent2 2 2 3 7 5" xfId="15011" xr:uid="{00000000-0005-0000-0000-0000A05A0000}"/>
    <cellStyle name="40% - Accent2 2 2 3 8" xfId="19874" xr:uid="{00000000-0005-0000-0000-0000A15A0000}"/>
    <cellStyle name="40% - Accent2 2 2 3 9" xfId="29599" xr:uid="{00000000-0005-0000-0000-0000A25A0000}"/>
    <cellStyle name="40% - Accent2 2 2 4" xfId="180" xr:uid="{00000000-0005-0000-0000-0000A35A0000}"/>
    <cellStyle name="40% - Accent2 2 2 4 10" xfId="39144" xr:uid="{00000000-0005-0000-0000-0000A45A0000}"/>
    <cellStyle name="40% - Accent2 2 2 4 11" xfId="9969" xr:uid="{00000000-0005-0000-0000-0000A55A0000}"/>
    <cellStyle name="40% - Accent2 2 2 4 2" xfId="944" xr:uid="{00000000-0005-0000-0000-0000A65A0000}"/>
    <cellStyle name="40% - Accent2 2 2 4 2 2" xfId="2583" xr:uid="{00000000-0005-0000-0000-0000A75A0000}"/>
    <cellStyle name="40% - Accent2 2 2 4 2 2 2" xfId="7445" xr:uid="{00000000-0005-0000-0000-0000A85A0000}"/>
    <cellStyle name="40% - Accent2 2 2 4 2 2 2 2" xfId="26896" xr:uid="{00000000-0005-0000-0000-0000A95A0000}"/>
    <cellStyle name="40% - Accent2 2 2 4 2 2 2 3" xfId="36621" xr:uid="{00000000-0005-0000-0000-0000AA5A0000}"/>
    <cellStyle name="40% - Accent2 2 2 4 2 2 2 4" xfId="46346" xr:uid="{00000000-0005-0000-0000-0000AB5A0000}"/>
    <cellStyle name="40% - Accent2 2 2 4 2 2 2 5" xfId="17171" xr:uid="{00000000-0005-0000-0000-0000AC5A0000}"/>
    <cellStyle name="40% - Accent2 2 2 4 2 2 3" xfId="22034" xr:uid="{00000000-0005-0000-0000-0000AD5A0000}"/>
    <cellStyle name="40% - Accent2 2 2 4 2 2 4" xfId="31759" xr:uid="{00000000-0005-0000-0000-0000AE5A0000}"/>
    <cellStyle name="40% - Accent2 2 2 4 2 2 5" xfId="41484" xr:uid="{00000000-0005-0000-0000-0000AF5A0000}"/>
    <cellStyle name="40% - Accent2 2 2 4 2 2 6" xfId="12309" xr:uid="{00000000-0005-0000-0000-0000B05A0000}"/>
    <cellStyle name="40% - Accent2 2 2 4 2 3" xfId="4203" xr:uid="{00000000-0005-0000-0000-0000B15A0000}"/>
    <cellStyle name="40% - Accent2 2 2 4 2 3 2" xfId="9065" xr:uid="{00000000-0005-0000-0000-0000B25A0000}"/>
    <cellStyle name="40% - Accent2 2 2 4 2 3 2 2" xfId="28516" xr:uid="{00000000-0005-0000-0000-0000B35A0000}"/>
    <cellStyle name="40% - Accent2 2 2 4 2 3 2 3" xfId="38241" xr:uid="{00000000-0005-0000-0000-0000B45A0000}"/>
    <cellStyle name="40% - Accent2 2 2 4 2 3 2 4" xfId="47966" xr:uid="{00000000-0005-0000-0000-0000B55A0000}"/>
    <cellStyle name="40% - Accent2 2 2 4 2 3 2 5" xfId="18791" xr:uid="{00000000-0005-0000-0000-0000B65A0000}"/>
    <cellStyle name="40% - Accent2 2 2 4 2 3 3" xfId="23654" xr:uid="{00000000-0005-0000-0000-0000B75A0000}"/>
    <cellStyle name="40% - Accent2 2 2 4 2 3 4" xfId="33379" xr:uid="{00000000-0005-0000-0000-0000B85A0000}"/>
    <cellStyle name="40% - Accent2 2 2 4 2 3 5" xfId="43104" xr:uid="{00000000-0005-0000-0000-0000B95A0000}"/>
    <cellStyle name="40% - Accent2 2 2 4 2 3 6" xfId="13929" xr:uid="{00000000-0005-0000-0000-0000BA5A0000}"/>
    <cellStyle name="40% - Accent2 2 2 4 2 4" xfId="5825" xr:uid="{00000000-0005-0000-0000-0000BB5A0000}"/>
    <cellStyle name="40% - Accent2 2 2 4 2 4 2" xfId="25276" xr:uid="{00000000-0005-0000-0000-0000BC5A0000}"/>
    <cellStyle name="40% - Accent2 2 2 4 2 4 3" xfId="35001" xr:uid="{00000000-0005-0000-0000-0000BD5A0000}"/>
    <cellStyle name="40% - Accent2 2 2 4 2 4 4" xfId="44726" xr:uid="{00000000-0005-0000-0000-0000BE5A0000}"/>
    <cellStyle name="40% - Accent2 2 2 4 2 4 5" xfId="15551" xr:uid="{00000000-0005-0000-0000-0000BF5A0000}"/>
    <cellStyle name="40% - Accent2 2 2 4 2 5" xfId="20414" xr:uid="{00000000-0005-0000-0000-0000C05A0000}"/>
    <cellStyle name="40% - Accent2 2 2 4 2 6" xfId="30139" xr:uid="{00000000-0005-0000-0000-0000C15A0000}"/>
    <cellStyle name="40% - Accent2 2 2 4 2 7" xfId="39864" xr:uid="{00000000-0005-0000-0000-0000C25A0000}"/>
    <cellStyle name="40% - Accent2 2 2 4 2 8" xfId="10689" xr:uid="{00000000-0005-0000-0000-0000C35A0000}"/>
    <cellStyle name="40% - Accent2 2 2 4 3" xfId="1412" xr:uid="{00000000-0005-0000-0000-0000C45A0000}"/>
    <cellStyle name="40% - Accent2 2 2 4 3 2" xfId="3033" xr:uid="{00000000-0005-0000-0000-0000C55A0000}"/>
    <cellStyle name="40% - Accent2 2 2 4 3 2 2" xfId="7895" xr:uid="{00000000-0005-0000-0000-0000C65A0000}"/>
    <cellStyle name="40% - Accent2 2 2 4 3 2 2 2" xfId="27346" xr:uid="{00000000-0005-0000-0000-0000C75A0000}"/>
    <cellStyle name="40% - Accent2 2 2 4 3 2 2 3" xfId="37071" xr:uid="{00000000-0005-0000-0000-0000C85A0000}"/>
    <cellStyle name="40% - Accent2 2 2 4 3 2 2 4" xfId="46796" xr:uid="{00000000-0005-0000-0000-0000C95A0000}"/>
    <cellStyle name="40% - Accent2 2 2 4 3 2 2 5" xfId="17621" xr:uid="{00000000-0005-0000-0000-0000CA5A0000}"/>
    <cellStyle name="40% - Accent2 2 2 4 3 2 3" xfId="22484" xr:uid="{00000000-0005-0000-0000-0000CB5A0000}"/>
    <cellStyle name="40% - Accent2 2 2 4 3 2 4" xfId="32209" xr:uid="{00000000-0005-0000-0000-0000CC5A0000}"/>
    <cellStyle name="40% - Accent2 2 2 4 3 2 5" xfId="41934" xr:uid="{00000000-0005-0000-0000-0000CD5A0000}"/>
    <cellStyle name="40% - Accent2 2 2 4 3 2 6" xfId="12759" xr:uid="{00000000-0005-0000-0000-0000CE5A0000}"/>
    <cellStyle name="40% - Accent2 2 2 4 3 3" xfId="4653" xr:uid="{00000000-0005-0000-0000-0000CF5A0000}"/>
    <cellStyle name="40% - Accent2 2 2 4 3 3 2" xfId="9515" xr:uid="{00000000-0005-0000-0000-0000D05A0000}"/>
    <cellStyle name="40% - Accent2 2 2 4 3 3 2 2" xfId="28966" xr:uid="{00000000-0005-0000-0000-0000D15A0000}"/>
    <cellStyle name="40% - Accent2 2 2 4 3 3 2 3" xfId="38691" xr:uid="{00000000-0005-0000-0000-0000D25A0000}"/>
    <cellStyle name="40% - Accent2 2 2 4 3 3 2 4" xfId="48416" xr:uid="{00000000-0005-0000-0000-0000D35A0000}"/>
    <cellStyle name="40% - Accent2 2 2 4 3 3 2 5" xfId="19241" xr:uid="{00000000-0005-0000-0000-0000D45A0000}"/>
    <cellStyle name="40% - Accent2 2 2 4 3 3 3" xfId="24104" xr:uid="{00000000-0005-0000-0000-0000D55A0000}"/>
    <cellStyle name="40% - Accent2 2 2 4 3 3 4" xfId="33829" xr:uid="{00000000-0005-0000-0000-0000D65A0000}"/>
    <cellStyle name="40% - Accent2 2 2 4 3 3 5" xfId="43554" xr:uid="{00000000-0005-0000-0000-0000D75A0000}"/>
    <cellStyle name="40% - Accent2 2 2 4 3 3 6" xfId="14379" xr:uid="{00000000-0005-0000-0000-0000D85A0000}"/>
    <cellStyle name="40% - Accent2 2 2 4 3 4" xfId="6275" xr:uid="{00000000-0005-0000-0000-0000D95A0000}"/>
    <cellStyle name="40% - Accent2 2 2 4 3 4 2" xfId="25726" xr:uid="{00000000-0005-0000-0000-0000DA5A0000}"/>
    <cellStyle name="40% - Accent2 2 2 4 3 4 3" xfId="35451" xr:uid="{00000000-0005-0000-0000-0000DB5A0000}"/>
    <cellStyle name="40% - Accent2 2 2 4 3 4 4" xfId="45176" xr:uid="{00000000-0005-0000-0000-0000DC5A0000}"/>
    <cellStyle name="40% - Accent2 2 2 4 3 4 5" xfId="16001" xr:uid="{00000000-0005-0000-0000-0000DD5A0000}"/>
    <cellStyle name="40% - Accent2 2 2 4 3 5" xfId="20864" xr:uid="{00000000-0005-0000-0000-0000DE5A0000}"/>
    <cellStyle name="40% - Accent2 2 2 4 3 6" xfId="30589" xr:uid="{00000000-0005-0000-0000-0000DF5A0000}"/>
    <cellStyle name="40% - Accent2 2 2 4 3 7" xfId="40314" xr:uid="{00000000-0005-0000-0000-0000E05A0000}"/>
    <cellStyle name="40% - Accent2 2 2 4 3 8" xfId="11139" xr:uid="{00000000-0005-0000-0000-0000E15A0000}"/>
    <cellStyle name="40% - Accent2 2 2 4 4" xfId="583" xr:uid="{00000000-0005-0000-0000-0000E25A0000}"/>
    <cellStyle name="40% - Accent2 2 2 4 4 2" xfId="2223" xr:uid="{00000000-0005-0000-0000-0000E35A0000}"/>
    <cellStyle name="40% - Accent2 2 2 4 4 2 2" xfId="7085" xr:uid="{00000000-0005-0000-0000-0000E45A0000}"/>
    <cellStyle name="40% - Accent2 2 2 4 4 2 2 2" xfId="26536" xr:uid="{00000000-0005-0000-0000-0000E55A0000}"/>
    <cellStyle name="40% - Accent2 2 2 4 4 2 2 3" xfId="36261" xr:uid="{00000000-0005-0000-0000-0000E65A0000}"/>
    <cellStyle name="40% - Accent2 2 2 4 4 2 2 4" xfId="45986" xr:uid="{00000000-0005-0000-0000-0000E75A0000}"/>
    <cellStyle name="40% - Accent2 2 2 4 4 2 2 5" xfId="16811" xr:uid="{00000000-0005-0000-0000-0000E85A0000}"/>
    <cellStyle name="40% - Accent2 2 2 4 4 2 3" xfId="21674" xr:uid="{00000000-0005-0000-0000-0000E95A0000}"/>
    <cellStyle name="40% - Accent2 2 2 4 4 2 4" xfId="31399" xr:uid="{00000000-0005-0000-0000-0000EA5A0000}"/>
    <cellStyle name="40% - Accent2 2 2 4 4 2 5" xfId="41124" xr:uid="{00000000-0005-0000-0000-0000EB5A0000}"/>
    <cellStyle name="40% - Accent2 2 2 4 4 2 6" xfId="11949" xr:uid="{00000000-0005-0000-0000-0000EC5A0000}"/>
    <cellStyle name="40% - Accent2 2 2 4 4 3" xfId="3843" xr:uid="{00000000-0005-0000-0000-0000ED5A0000}"/>
    <cellStyle name="40% - Accent2 2 2 4 4 3 2" xfId="8705" xr:uid="{00000000-0005-0000-0000-0000EE5A0000}"/>
    <cellStyle name="40% - Accent2 2 2 4 4 3 2 2" xfId="28156" xr:uid="{00000000-0005-0000-0000-0000EF5A0000}"/>
    <cellStyle name="40% - Accent2 2 2 4 4 3 2 3" xfId="37881" xr:uid="{00000000-0005-0000-0000-0000F05A0000}"/>
    <cellStyle name="40% - Accent2 2 2 4 4 3 2 4" xfId="47606" xr:uid="{00000000-0005-0000-0000-0000F15A0000}"/>
    <cellStyle name="40% - Accent2 2 2 4 4 3 2 5" xfId="18431" xr:uid="{00000000-0005-0000-0000-0000F25A0000}"/>
    <cellStyle name="40% - Accent2 2 2 4 4 3 3" xfId="23294" xr:uid="{00000000-0005-0000-0000-0000F35A0000}"/>
    <cellStyle name="40% - Accent2 2 2 4 4 3 4" xfId="33019" xr:uid="{00000000-0005-0000-0000-0000F45A0000}"/>
    <cellStyle name="40% - Accent2 2 2 4 4 3 5" xfId="42744" xr:uid="{00000000-0005-0000-0000-0000F55A0000}"/>
    <cellStyle name="40% - Accent2 2 2 4 4 3 6" xfId="13569" xr:uid="{00000000-0005-0000-0000-0000F65A0000}"/>
    <cellStyle name="40% - Accent2 2 2 4 4 4" xfId="5465" xr:uid="{00000000-0005-0000-0000-0000F75A0000}"/>
    <cellStyle name="40% - Accent2 2 2 4 4 4 2" xfId="24916" xr:uid="{00000000-0005-0000-0000-0000F85A0000}"/>
    <cellStyle name="40% - Accent2 2 2 4 4 4 3" xfId="34641" xr:uid="{00000000-0005-0000-0000-0000F95A0000}"/>
    <cellStyle name="40% - Accent2 2 2 4 4 4 4" xfId="44366" xr:uid="{00000000-0005-0000-0000-0000FA5A0000}"/>
    <cellStyle name="40% - Accent2 2 2 4 4 4 5" xfId="15191" xr:uid="{00000000-0005-0000-0000-0000FB5A0000}"/>
    <cellStyle name="40% - Accent2 2 2 4 4 5" xfId="20054" xr:uid="{00000000-0005-0000-0000-0000FC5A0000}"/>
    <cellStyle name="40% - Accent2 2 2 4 4 6" xfId="29779" xr:uid="{00000000-0005-0000-0000-0000FD5A0000}"/>
    <cellStyle name="40% - Accent2 2 2 4 4 7" xfId="39504" xr:uid="{00000000-0005-0000-0000-0000FE5A0000}"/>
    <cellStyle name="40% - Accent2 2 2 4 4 8" xfId="10329" xr:uid="{00000000-0005-0000-0000-0000FF5A0000}"/>
    <cellStyle name="40% - Accent2 2 2 4 5" xfId="1863" xr:uid="{00000000-0005-0000-0000-0000005B0000}"/>
    <cellStyle name="40% - Accent2 2 2 4 5 2" xfId="6725" xr:uid="{00000000-0005-0000-0000-0000015B0000}"/>
    <cellStyle name="40% - Accent2 2 2 4 5 2 2" xfId="26176" xr:uid="{00000000-0005-0000-0000-0000025B0000}"/>
    <cellStyle name="40% - Accent2 2 2 4 5 2 3" xfId="35901" xr:uid="{00000000-0005-0000-0000-0000035B0000}"/>
    <cellStyle name="40% - Accent2 2 2 4 5 2 4" xfId="45626" xr:uid="{00000000-0005-0000-0000-0000045B0000}"/>
    <cellStyle name="40% - Accent2 2 2 4 5 2 5" xfId="16451" xr:uid="{00000000-0005-0000-0000-0000055B0000}"/>
    <cellStyle name="40% - Accent2 2 2 4 5 3" xfId="21314" xr:uid="{00000000-0005-0000-0000-0000065B0000}"/>
    <cellStyle name="40% - Accent2 2 2 4 5 4" xfId="31039" xr:uid="{00000000-0005-0000-0000-0000075B0000}"/>
    <cellStyle name="40% - Accent2 2 2 4 5 5" xfId="40764" xr:uid="{00000000-0005-0000-0000-0000085B0000}"/>
    <cellStyle name="40% - Accent2 2 2 4 5 6" xfId="11589" xr:uid="{00000000-0005-0000-0000-0000095B0000}"/>
    <cellStyle name="40% - Accent2 2 2 4 6" xfId="3483" xr:uid="{00000000-0005-0000-0000-00000A5B0000}"/>
    <cellStyle name="40% - Accent2 2 2 4 6 2" xfId="8345" xr:uid="{00000000-0005-0000-0000-00000B5B0000}"/>
    <cellStyle name="40% - Accent2 2 2 4 6 2 2" xfId="27796" xr:uid="{00000000-0005-0000-0000-00000C5B0000}"/>
    <cellStyle name="40% - Accent2 2 2 4 6 2 3" xfId="37521" xr:uid="{00000000-0005-0000-0000-00000D5B0000}"/>
    <cellStyle name="40% - Accent2 2 2 4 6 2 4" xfId="47246" xr:uid="{00000000-0005-0000-0000-00000E5B0000}"/>
    <cellStyle name="40% - Accent2 2 2 4 6 2 5" xfId="18071" xr:uid="{00000000-0005-0000-0000-00000F5B0000}"/>
    <cellStyle name="40% - Accent2 2 2 4 6 3" xfId="22934" xr:uid="{00000000-0005-0000-0000-0000105B0000}"/>
    <cellStyle name="40% - Accent2 2 2 4 6 4" xfId="32659" xr:uid="{00000000-0005-0000-0000-0000115B0000}"/>
    <cellStyle name="40% - Accent2 2 2 4 6 5" xfId="42384" xr:uid="{00000000-0005-0000-0000-0000125B0000}"/>
    <cellStyle name="40% - Accent2 2 2 4 6 6" xfId="13209" xr:uid="{00000000-0005-0000-0000-0000135B0000}"/>
    <cellStyle name="40% - Accent2 2 2 4 7" xfId="5105" xr:uid="{00000000-0005-0000-0000-0000145B0000}"/>
    <cellStyle name="40% - Accent2 2 2 4 7 2" xfId="24556" xr:uid="{00000000-0005-0000-0000-0000155B0000}"/>
    <cellStyle name="40% - Accent2 2 2 4 7 3" xfId="34281" xr:uid="{00000000-0005-0000-0000-0000165B0000}"/>
    <cellStyle name="40% - Accent2 2 2 4 7 4" xfId="44006" xr:uid="{00000000-0005-0000-0000-0000175B0000}"/>
    <cellStyle name="40% - Accent2 2 2 4 7 5" xfId="14831" xr:uid="{00000000-0005-0000-0000-0000185B0000}"/>
    <cellStyle name="40% - Accent2 2 2 4 8" xfId="19694" xr:uid="{00000000-0005-0000-0000-0000195B0000}"/>
    <cellStyle name="40% - Accent2 2 2 4 9" xfId="29419" xr:uid="{00000000-0005-0000-0000-00001A5B0000}"/>
    <cellStyle name="40% - Accent2 2 2 5" xfId="854" xr:uid="{00000000-0005-0000-0000-00001B5B0000}"/>
    <cellStyle name="40% - Accent2 2 2 5 2" xfId="2493" xr:uid="{00000000-0005-0000-0000-00001C5B0000}"/>
    <cellStyle name="40% - Accent2 2 2 5 2 2" xfId="7355" xr:uid="{00000000-0005-0000-0000-00001D5B0000}"/>
    <cellStyle name="40% - Accent2 2 2 5 2 2 2" xfId="26806" xr:uid="{00000000-0005-0000-0000-00001E5B0000}"/>
    <cellStyle name="40% - Accent2 2 2 5 2 2 3" xfId="36531" xr:uid="{00000000-0005-0000-0000-00001F5B0000}"/>
    <cellStyle name="40% - Accent2 2 2 5 2 2 4" xfId="46256" xr:uid="{00000000-0005-0000-0000-0000205B0000}"/>
    <cellStyle name="40% - Accent2 2 2 5 2 2 5" xfId="17081" xr:uid="{00000000-0005-0000-0000-0000215B0000}"/>
    <cellStyle name="40% - Accent2 2 2 5 2 3" xfId="21944" xr:uid="{00000000-0005-0000-0000-0000225B0000}"/>
    <cellStyle name="40% - Accent2 2 2 5 2 4" xfId="31669" xr:uid="{00000000-0005-0000-0000-0000235B0000}"/>
    <cellStyle name="40% - Accent2 2 2 5 2 5" xfId="41394" xr:uid="{00000000-0005-0000-0000-0000245B0000}"/>
    <cellStyle name="40% - Accent2 2 2 5 2 6" xfId="12219" xr:uid="{00000000-0005-0000-0000-0000255B0000}"/>
    <cellStyle name="40% - Accent2 2 2 5 3" xfId="4113" xr:uid="{00000000-0005-0000-0000-0000265B0000}"/>
    <cellStyle name="40% - Accent2 2 2 5 3 2" xfId="8975" xr:uid="{00000000-0005-0000-0000-0000275B0000}"/>
    <cellStyle name="40% - Accent2 2 2 5 3 2 2" xfId="28426" xr:uid="{00000000-0005-0000-0000-0000285B0000}"/>
    <cellStyle name="40% - Accent2 2 2 5 3 2 3" xfId="38151" xr:uid="{00000000-0005-0000-0000-0000295B0000}"/>
    <cellStyle name="40% - Accent2 2 2 5 3 2 4" xfId="47876" xr:uid="{00000000-0005-0000-0000-00002A5B0000}"/>
    <cellStyle name="40% - Accent2 2 2 5 3 2 5" xfId="18701" xr:uid="{00000000-0005-0000-0000-00002B5B0000}"/>
    <cellStyle name="40% - Accent2 2 2 5 3 3" xfId="23564" xr:uid="{00000000-0005-0000-0000-00002C5B0000}"/>
    <cellStyle name="40% - Accent2 2 2 5 3 4" xfId="33289" xr:uid="{00000000-0005-0000-0000-00002D5B0000}"/>
    <cellStyle name="40% - Accent2 2 2 5 3 5" xfId="43014" xr:uid="{00000000-0005-0000-0000-00002E5B0000}"/>
    <cellStyle name="40% - Accent2 2 2 5 3 6" xfId="13839" xr:uid="{00000000-0005-0000-0000-00002F5B0000}"/>
    <cellStyle name="40% - Accent2 2 2 5 4" xfId="5735" xr:uid="{00000000-0005-0000-0000-0000305B0000}"/>
    <cellStyle name="40% - Accent2 2 2 5 4 2" xfId="25186" xr:uid="{00000000-0005-0000-0000-0000315B0000}"/>
    <cellStyle name="40% - Accent2 2 2 5 4 3" xfId="34911" xr:uid="{00000000-0005-0000-0000-0000325B0000}"/>
    <cellStyle name="40% - Accent2 2 2 5 4 4" xfId="44636" xr:uid="{00000000-0005-0000-0000-0000335B0000}"/>
    <cellStyle name="40% - Accent2 2 2 5 4 5" xfId="15461" xr:uid="{00000000-0005-0000-0000-0000345B0000}"/>
    <cellStyle name="40% - Accent2 2 2 5 5" xfId="20324" xr:uid="{00000000-0005-0000-0000-0000355B0000}"/>
    <cellStyle name="40% - Accent2 2 2 5 6" xfId="30049" xr:uid="{00000000-0005-0000-0000-0000365B0000}"/>
    <cellStyle name="40% - Accent2 2 2 5 7" xfId="39774" xr:uid="{00000000-0005-0000-0000-0000375B0000}"/>
    <cellStyle name="40% - Accent2 2 2 5 8" xfId="10599" xr:uid="{00000000-0005-0000-0000-0000385B0000}"/>
    <cellStyle name="40% - Accent2 2 2 6" xfId="1232" xr:uid="{00000000-0005-0000-0000-0000395B0000}"/>
    <cellStyle name="40% - Accent2 2 2 6 2" xfId="2853" xr:uid="{00000000-0005-0000-0000-00003A5B0000}"/>
    <cellStyle name="40% - Accent2 2 2 6 2 2" xfId="7715" xr:uid="{00000000-0005-0000-0000-00003B5B0000}"/>
    <cellStyle name="40% - Accent2 2 2 6 2 2 2" xfId="27166" xr:uid="{00000000-0005-0000-0000-00003C5B0000}"/>
    <cellStyle name="40% - Accent2 2 2 6 2 2 3" xfId="36891" xr:uid="{00000000-0005-0000-0000-00003D5B0000}"/>
    <cellStyle name="40% - Accent2 2 2 6 2 2 4" xfId="46616" xr:uid="{00000000-0005-0000-0000-00003E5B0000}"/>
    <cellStyle name="40% - Accent2 2 2 6 2 2 5" xfId="17441" xr:uid="{00000000-0005-0000-0000-00003F5B0000}"/>
    <cellStyle name="40% - Accent2 2 2 6 2 3" xfId="22304" xr:uid="{00000000-0005-0000-0000-0000405B0000}"/>
    <cellStyle name="40% - Accent2 2 2 6 2 4" xfId="32029" xr:uid="{00000000-0005-0000-0000-0000415B0000}"/>
    <cellStyle name="40% - Accent2 2 2 6 2 5" xfId="41754" xr:uid="{00000000-0005-0000-0000-0000425B0000}"/>
    <cellStyle name="40% - Accent2 2 2 6 2 6" xfId="12579" xr:uid="{00000000-0005-0000-0000-0000435B0000}"/>
    <cellStyle name="40% - Accent2 2 2 6 3" xfId="4473" xr:uid="{00000000-0005-0000-0000-0000445B0000}"/>
    <cellStyle name="40% - Accent2 2 2 6 3 2" xfId="9335" xr:uid="{00000000-0005-0000-0000-0000455B0000}"/>
    <cellStyle name="40% - Accent2 2 2 6 3 2 2" xfId="28786" xr:uid="{00000000-0005-0000-0000-0000465B0000}"/>
    <cellStyle name="40% - Accent2 2 2 6 3 2 3" xfId="38511" xr:uid="{00000000-0005-0000-0000-0000475B0000}"/>
    <cellStyle name="40% - Accent2 2 2 6 3 2 4" xfId="48236" xr:uid="{00000000-0005-0000-0000-0000485B0000}"/>
    <cellStyle name="40% - Accent2 2 2 6 3 2 5" xfId="19061" xr:uid="{00000000-0005-0000-0000-0000495B0000}"/>
    <cellStyle name="40% - Accent2 2 2 6 3 3" xfId="23924" xr:uid="{00000000-0005-0000-0000-00004A5B0000}"/>
    <cellStyle name="40% - Accent2 2 2 6 3 4" xfId="33649" xr:uid="{00000000-0005-0000-0000-00004B5B0000}"/>
    <cellStyle name="40% - Accent2 2 2 6 3 5" xfId="43374" xr:uid="{00000000-0005-0000-0000-00004C5B0000}"/>
    <cellStyle name="40% - Accent2 2 2 6 3 6" xfId="14199" xr:uid="{00000000-0005-0000-0000-00004D5B0000}"/>
    <cellStyle name="40% - Accent2 2 2 6 4" xfId="6095" xr:uid="{00000000-0005-0000-0000-00004E5B0000}"/>
    <cellStyle name="40% - Accent2 2 2 6 4 2" xfId="25546" xr:uid="{00000000-0005-0000-0000-00004F5B0000}"/>
    <cellStyle name="40% - Accent2 2 2 6 4 3" xfId="35271" xr:uid="{00000000-0005-0000-0000-0000505B0000}"/>
    <cellStyle name="40% - Accent2 2 2 6 4 4" xfId="44996" xr:uid="{00000000-0005-0000-0000-0000515B0000}"/>
    <cellStyle name="40% - Accent2 2 2 6 4 5" xfId="15821" xr:uid="{00000000-0005-0000-0000-0000525B0000}"/>
    <cellStyle name="40% - Accent2 2 2 6 5" xfId="20684" xr:uid="{00000000-0005-0000-0000-0000535B0000}"/>
    <cellStyle name="40% - Accent2 2 2 6 6" xfId="30409" xr:uid="{00000000-0005-0000-0000-0000545B0000}"/>
    <cellStyle name="40% - Accent2 2 2 6 7" xfId="40134" xr:uid="{00000000-0005-0000-0000-0000555B0000}"/>
    <cellStyle name="40% - Accent2 2 2 6 8" xfId="10959" xr:uid="{00000000-0005-0000-0000-0000565B0000}"/>
    <cellStyle name="40% - Accent2 2 2 7" xfId="1322" xr:uid="{00000000-0005-0000-0000-0000575B0000}"/>
    <cellStyle name="40% - Accent2 2 2 7 2" xfId="2943" xr:uid="{00000000-0005-0000-0000-0000585B0000}"/>
    <cellStyle name="40% - Accent2 2 2 7 2 2" xfId="7805" xr:uid="{00000000-0005-0000-0000-0000595B0000}"/>
    <cellStyle name="40% - Accent2 2 2 7 2 2 2" xfId="27256" xr:uid="{00000000-0005-0000-0000-00005A5B0000}"/>
    <cellStyle name="40% - Accent2 2 2 7 2 2 3" xfId="36981" xr:uid="{00000000-0005-0000-0000-00005B5B0000}"/>
    <cellStyle name="40% - Accent2 2 2 7 2 2 4" xfId="46706" xr:uid="{00000000-0005-0000-0000-00005C5B0000}"/>
    <cellStyle name="40% - Accent2 2 2 7 2 2 5" xfId="17531" xr:uid="{00000000-0005-0000-0000-00005D5B0000}"/>
    <cellStyle name="40% - Accent2 2 2 7 2 3" xfId="22394" xr:uid="{00000000-0005-0000-0000-00005E5B0000}"/>
    <cellStyle name="40% - Accent2 2 2 7 2 4" xfId="32119" xr:uid="{00000000-0005-0000-0000-00005F5B0000}"/>
    <cellStyle name="40% - Accent2 2 2 7 2 5" xfId="41844" xr:uid="{00000000-0005-0000-0000-0000605B0000}"/>
    <cellStyle name="40% - Accent2 2 2 7 2 6" xfId="12669" xr:uid="{00000000-0005-0000-0000-0000615B0000}"/>
    <cellStyle name="40% - Accent2 2 2 7 3" xfId="4563" xr:uid="{00000000-0005-0000-0000-0000625B0000}"/>
    <cellStyle name="40% - Accent2 2 2 7 3 2" xfId="9425" xr:uid="{00000000-0005-0000-0000-0000635B0000}"/>
    <cellStyle name="40% - Accent2 2 2 7 3 2 2" xfId="28876" xr:uid="{00000000-0005-0000-0000-0000645B0000}"/>
    <cellStyle name="40% - Accent2 2 2 7 3 2 3" xfId="38601" xr:uid="{00000000-0005-0000-0000-0000655B0000}"/>
    <cellStyle name="40% - Accent2 2 2 7 3 2 4" xfId="48326" xr:uid="{00000000-0005-0000-0000-0000665B0000}"/>
    <cellStyle name="40% - Accent2 2 2 7 3 2 5" xfId="19151" xr:uid="{00000000-0005-0000-0000-0000675B0000}"/>
    <cellStyle name="40% - Accent2 2 2 7 3 3" xfId="24014" xr:uid="{00000000-0005-0000-0000-0000685B0000}"/>
    <cellStyle name="40% - Accent2 2 2 7 3 4" xfId="33739" xr:uid="{00000000-0005-0000-0000-0000695B0000}"/>
    <cellStyle name="40% - Accent2 2 2 7 3 5" xfId="43464" xr:uid="{00000000-0005-0000-0000-00006A5B0000}"/>
    <cellStyle name="40% - Accent2 2 2 7 3 6" xfId="14289" xr:uid="{00000000-0005-0000-0000-00006B5B0000}"/>
    <cellStyle name="40% - Accent2 2 2 7 4" xfId="6185" xr:uid="{00000000-0005-0000-0000-00006C5B0000}"/>
    <cellStyle name="40% - Accent2 2 2 7 4 2" xfId="25636" xr:uid="{00000000-0005-0000-0000-00006D5B0000}"/>
    <cellStyle name="40% - Accent2 2 2 7 4 3" xfId="35361" xr:uid="{00000000-0005-0000-0000-00006E5B0000}"/>
    <cellStyle name="40% - Accent2 2 2 7 4 4" xfId="45086" xr:uid="{00000000-0005-0000-0000-00006F5B0000}"/>
    <cellStyle name="40% - Accent2 2 2 7 4 5" xfId="15911" xr:uid="{00000000-0005-0000-0000-0000705B0000}"/>
    <cellStyle name="40% - Accent2 2 2 7 5" xfId="20774" xr:uid="{00000000-0005-0000-0000-0000715B0000}"/>
    <cellStyle name="40% - Accent2 2 2 7 6" xfId="30499" xr:uid="{00000000-0005-0000-0000-0000725B0000}"/>
    <cellStyle name="40% - Accent2 2 2 7 7" xfId="40224" xr:uid="{00000000-0005-0000-0000-0000735B0000}"/>
    <cellStyle name="40% - Accent2 2 2 7 8" xfId="11049" xr:uid="{00000000-0005-0000-0000-0000745B0000}"/>
    <cellStyle name="40% - Accent2 2 2 8" xfId="493" xr:uid="{00000000-0005-0000-0000-0000755B0000}"/>
    <cellStyle name="40% - Accent2 2 2 8 2" xfId="2133" xr:uid="{00000000-0005-0000-0000-0000765B0000}"/>
    <cellStyle name="40% - Accent2 2 2 8 2 2" xfId="6995" xr:uid="{00000000-0005-0000-0000-0000775B0000}"/>
    <cellStyle name="40% - Accent2 2 2 8 2 2 2" xfId="26446" xr:uid="{00000000-0005-0000-0000-0000785B0000}"/>
    <cellStyle name="40% - Accent2 2 2 8 2 2 3" xfId="36171" xr:uid="{00000000-0005-0000-0000-0000795B0000}"/>
    <cellStyle name="40% - Accent2 2 2 8 2 2 4" xfId="45896" xr:uid="{00000000-0005-0000-0000-00007A5B0000}"/>
    <cellStyle name="40% - Accent2 2 2 8 2 2 5" xfId="16721" xr:uid="{00000000-0005-0000-0000-00007B5B0000}"/>
    <cellStyle name="40% - Accent2 2 2 8 2 3" xfId="21584" xr:uid="{00000000-0005-0000-0000-00007C5B0000}"/>
    <cellStyle name="40% - Accent2 2 2 8 2 4" xfId="31309" xr:uid="{00000000-0005-0000-0000-00007D5B0000}"/>
    <cellStyle name="40% - Accent2 2 2 8 2 5" xfId="41034" xr:uid="{00000000-0005-0000-0000-00007E5B0000}"/>
    <cellStyle name="40% - Accent2 2 2 8 2 6" xfId="11859" xr:uid="{00000000-0005-0000-0000-00007F5B0000}"/>
    <cellStyle name="40% - Accent2 2 2 8 3" xfId="3753" xr:uid="{00000000-0005-0000-0000-0000805B0000}"/>
    <cellStyle name="40% - Accent2 2 2 8 3 2" xfId="8615" xr:uid="{00000000-0005-0000-0000-0000815B0000}"/>
    <cellStyle name="40% - Accent2 2 2 8 3 2 2" xfId="28066" xr:uid="{00000000-0005-0000-0000-0000825B0000}"/>
    <cellStyle name="40% - Accent2 2 2 8 3 2 3" xfId="37791" xr:uid="{00000000-0005-0000-0000-0000835B0000}"/>
    <cellStyle name="40% - Accent2 2 2 8 3 2 4" xfId="47516" xr:uid="{00000000-0005-0000-0000-0000845B0000}"/>
    <cellStyle name="40% - Accent2 2 2 8 3 2 5" xfId="18341" xr:uid="{00000000-0005-0000-0000-0000855B0000}"/>
    <cellStyle name="40% - Accent2 2 2 8 3 3" xfId="23204" xr:uid="{00000000-0005-0000-0000-0000865B0000}"/>
    <cellStyle name="40% - Accent2 2 2 8 3 4" xfId="32929" xr:uid="{00000000-0005-0000-0000-0000875B0000}"/>
    <cellStyle name="40% - Accent2 2 2 8 3 5" xfId="42654" xr:uid="{00000000-0005-0000-0000-0000885B0000}"/>
    <cellStyle name="40% - Accent2 2 2 8 3 6" xfId="13479" xr:uid="{00000000-0005-0000-0000-0000895B0000}"/>
    <cellStyle name="40% - Accent2 2 2 8 4" xfId="5375" xr:uid="{00000000-0005-0000-0000-00008A5B0000}"/>
    <cellStyle name="40% - Accent2 2 2 8 4 2" xfId="24826" xr:uid="{00000000-0005-0000-0000-00008B5B0000}"/>
    <cellStyle name="40% - Accent2 2 2 8 4 3" xfId="34551" xr:uid="{00000000-0005-0000-0000-00008C5B0000}"/>
    <cellStyle name="40% - Accent2 2 2 8 4 4" xfId="44276" xr:uid="{00000000-0005-0000-0000-00008D5B0000}"/>
    <cellStyle name="40% - Accent2 2 2 8 4 5" xfId="15101" xr:uid="{00000000-0005-0000-0000-00008E5B0000}"/>
    <cellStyle name="40% - Accent2 2 2 8 5" xfId="19964" xr:uid="{00000000-0005-0000-0000-00008F5B0000}"/>
    <cellStyle name="40% - Accent2 2 2 8 6" xfId="29689" xr:uid="{00000000-0005-0000-0000-0000905B0000}"/>
    <cellStyle name="40% - Accent2 2 2 8 7" xfId="39414" xr:uid="{00000000-0005-0000-0000-0000915B0000}"/>
    <cellStyle name="40% - Accent2 2 2 8 8" xfId="10239" xr:uid="{00000000-0005-0000-0000-0000925B0000}"/>
    <cellStyle name="40% - Accent2 2 2 9" xfId="1682" xr:uid="{00000000-0005-0000-0000-0000935B0000}"/>
    <cellStyle name="40% - Accent2 2 2 9 2" xfId="3303" xr:uid="{00000000-0005-0000-0000-0000945B0000}"/>
    <cellStyle name="40% - Accent2 2 2 9 2 2" xfId="8165" xr:uid="{00000000-0005-0000-0000-0000955B0000}"/>
    <cellStyle name="40% - Accent2 2 2 9 2 2 2" xfId="27616" xr:uid="{00000000-0005-0000-0000-0000965B0000}"/>
    <cellStyle name="40% - Accent2 2 2 9 2 2 3" xfId="37341" xr:uid="{00000000-0005-0000-0000-0000975B0000}"/>
    <cellStyle name="40% - Accent2 2 2 9 2 2 4" xfId="47066" xr:uid="{00000000-0005-0000-0000-0000985B0000}"/>
    <cellStyle name="40% - Accent2 2 2 9 2 2 5" xfId="17891" xr:uid="{00000000-0005-0000-0000-0000995B0000}"/>
    <cellStyle name="40% - Accent2 2 2 9 2 3" xfId="22754" xr:uid="{00000000-0005-0000-0000-00009A5B0000}"/>
    <cellStyle name="40% - Accent2 2 2 9 2 4" xfId="32479" xr:uid="{00000000-0005-0000-0000-00009B5B0000}"/>
    <cellStyle name="40% - Accent2 2 2 9 2 5" xfId="42204" xr:uid="{00000000-0005-0000-0000-00009C5B0000}"/>
    <cellStyle name="40% - Accent2 2 2 9 2 6" xfId="13029" xr:uid="{00000000-0005-0000-0000-00009D5B0000}"/>
    <cellStyle name="40% - Accent2 2 2 9 3" xfId="4923" xr:uid="{00000000-0005-0000-0000-00009E5B0000}"/>
    <cellStyle name="40% - Accent2 2 2 9 3 2" xfId="9785" xr:uid="{00000000-0005-0000-0000-00009F5B0000}"/>
    <cellStyle name="40% - Accent2 2 2 9 3 2 2" xfId="29236" xr:uid="{00000000-0005-0000-0000-0000A05B0000}"/>
    <cellStyle name="40% - Accent2 2 2 9 3 2 3" xfId="38961" xr:uid="{00000000-0005-0000-0000-0000A15B0000}"/>
    <cellStyle name="40% - Accent2 2 2 9 3 2 4" xfId="48686" xr:uid="{00000000-0005-0000-0000-0000A25B0000}"/>
    <cellStyle name="40% - Accent2 2 2 9 3 2 5" xfId="19511" xr:uid="{00000000-0005-0000-0000-0000A35B0000}"/>
    <cellStyle name="40% - Accent2 2 2 9 3 3" xfId="24374" xr:uid="{00000000-0005-0000-0000-0000A45B0000}"/>
    <cellStyle name="40% - Accent2 2 2 9 3 4" xfId="34099" xr:uid="{00000000-0005-0000-0000-0000A55B0000}"/>
    <cellStyle name="40% - Accent2 2 2 9 3 5" xfId="43824" xr:uid="{00000000-0005-0000-0000-0000A65B0000}"/>
    <cellStyle name="40% - Accent2 2 2 9 3 6" xfId="14649" xr:uid="{00000000-0005-0000-0000-0000A75B0000}"/>
    <cellStyle name="40% - Accent2 2 2 9 4" xfId="6545" xr:uid="{00000000-0005-0000-0000-0000A85B0000}"/>
    <cellStyle name="40% - Accent2 2 2 9 4 2" xfId="25996" xr:uid="{00000000-0005-0000-0000-0000A95B0000}"/>
    <cellStyle name="40% - Accent2 2 2 9 4 3" xfId="35721" xr:uid="{00000000-0005-0000-0000-0000AA5B0000}"/>
    <cellStyle name="40% - Accent2 2 2 9 4 4" xfId="45446" xr:uid="{00000000-0005-0000-0000-0000AB5B0000}"/>
    <cellStyle name="40% - Accent2 2 2 9 4 5" xfId="16271" xr:uid="{00000000-0005-0000-0000-0000AC5B0000}"/>
    <cellStyle name="40% - Accent2 2 2 9 5" xfId="21134" xr:uid="{00000000-0005-0000-0000-0000AD5B0000}"/>
    <cellStyle name="40% - Accent2 2 2 9 6" xfId="30859" xr:uid="{00000000-0005-0000-0000-0000AE5B0000}"/>
    <cellStyle name="40% - Accent2 2 2 9 7" xfId="40584" xr:uid="{00000000-0005-0000-0000-0000AF5B0000}"/>
    <cellStyle name="40% - Accent2 2 2 9 8" xfId="11409" xr:uid="{00000000-0005-0000-0000-0000B05B0000}"/>
    <cellStyle name="40% - Accent2 2 3" xfId="119" xr:uid="{00000000-0005-0000-0000-0000B15B0000}"/>
    <cellStyle name="40% - Accent2 2 3 10" xfId="1803" xr:uid="{00000000-0005-0000-0000-0000B25B0000}"/>
    <cellStyle name="40% - Accent2 2 3 10 2" xfId="6665" xr:uid="{00000000-0005-0000-0000-0000B35B0000}"/>
    <cellStyle name="40% - Accent2 2 3 10 2 2" xfId="26116" xr:uid="{00000000-0005-0000-0000-0000B45B0000}"/>
    <cellStyle name="40% - Accent2 2 3 10 2 3" xfId="35841" xr:uid="{00000000-0005-0000-0000-0000B55B0000}"/>
    <cellStyle name="40% - Accent2 2 3 10 2 4" xfId="45566" xr:uid="{00000000-0005-0000-0000-0000B65B0000}"/>
    <cellStyle name="40% - Accent2 2 3 10 2 5" xfId="16391" xr:uid="{00000000-0005-0000-0000-0000B75B0000}"/>
    <cellStyle name="40% - Accent2 2 3 10 3" xfId="21254" xr:uid="{00000000-0005-0000-0000-0000B85B0000}"/>
    <cellStyle name="40% - Accent2 2 3 10 4" xfId="30979" xr:uid="{00000000-0005-0000-0000-0000B95B0000}"/>
    <cellStyle name="40% - Accent2 2 3 10 5" xfId="40704" xr:uid="{00000000-0005-0000-0000-0000BA5B0000}"/>
    <cellStyle name="40% - Accent2 2 3 10 6" xfId="11529" xr:uid="{00000000-0005-0000-0000-0000BB5B0000}"/>
    <cellStyle name="40% - Accent2 2 3 11" xfId="3423" xr:uid="{00000000-0005-0000-0000-0000BC5B0000}"/>
    <cellStyle name="40% - Accent2 2 3 11 2" xfId="8285" xr:uid="{00000000-0005-0000-0000-0000BD5B0000}"/>
    <cellStyle name="40% - Accent2 2 3 11 2 2" xfId="27736" xr:uid="{00000000-0005-0000-0000-0000BE5B0000}"/>
    <cellStyle name="40% - Accent2 2 3 11 2 3" xfId="37461" xr:uid="{00000000-0005-0000-0000-0000BF5B0000}"/>
    <cellStyle name="40% - Accent2 2 3 11 2 4" xfId="47186" xr:uid="{00000000-0005-0000-0000-0000C05B0000}"/>
    <cellStyle name="40% - Accent2 2 3 11 2 5" xfId="18011" xr:uid="{00000000-0005-0000-0000-0000C15B0000}"/>
    <cellStyle name="40% - Accent2 2 3 11 3" xfId="22874" xr:uid="{00000000-0005-0000-0000-0000C25B0000}"/>
    <cellStyle name="40% - Accent2 2 3 11 4" xfId="32599" xr:uid="{00000000-0005-0000-0000-0000C35B0000}"/>
    <cellStyle name="40% - Accent2 2 3 11 5" xfId="42324" xr:uid="{00000000-0005-0000-0000-0000C45B0000}"/>
    <cellStyle name="40% - Accent2 2 3 11 6" xfId="13149" xr:uid="{00000000-0005-0000-0000-0000C55B0000}"/>
    <cellStyle name="40% - Accent2 2 3 12" xfId="5045" xr:uid="{00000000-0005-0000-0000-0000C65B0000}"/>
    <cellStyle name="40% - Accent2 2 3 12 2" xfId="24496" xr:uid="{00000000-0005-0000-0000-0000C75B0000}"/>
    <cellStyle name="40% - Accent2 2 3 12 3" xfId="34221" xr:uid="{00000000-0005-0000-0000-0000C85B0000}"/>
    <cellStyle name="40% - Accent2 2 3 12 4" xfId="43946" xr:uid="{00000000-0005-0000-0000-0000C95B0000}"/>
    <cellStyle name="40% - Accent2 2 3 12 5" xfId="14771" xr:uid="{00000000-0005-0000-0000-0000CA5B0000}"/>
    <cellStyle name="40% - Accent2 2 3 13" xfId="19634" xr:uid="{00000000-0005-0000-0000-0000CB5B0000}"/>
    <cellStyle name="40% - Accent2 2 3 14" xfId="29359" xr:uid="{00000000-0005-0000-0000-0000CC5B0000}"/>
    <cellStyle name="40% - Accent2 2 3 15" xfId="39084" xr:uid="{00000000-0005-0000-0000-0000CD5B0000}"/>
    <cellStyle name="40% - Accent2 2 3 16" xfId="9909" xr:uid="{00000000-0005-0000-0000-0000CE5B0000}"/>
    <cellStyle name="40% - Accent2 2 3 2" xfId="301" xr:uid="{00000000-0005-0000-0000-0000CF5B0000}"/>
    <cellStyle name="40% - Accent2 2 3 2 10" xfId="39264" xr:uid="{00000000-0005-0000-0000-0000D05B0000}"/>
    <cellStyle name="40% - Accent2 2 3 2 11" xfId="10089" xr:uid="{00000000-0005-0000-0000-0000D15B0000}"/>
    <cellStyle name="40% - Accent2 2 3 2 2" xfId="1065" xr:uid="{00000000-0005-0000-0000-0000D25B0000}"/>
    <cellStyle name="40% - Accent2 2 3 2 2 2" xfId="2703" xr:uid="{00000000-0005-0000-0000-0000D35B0000}"/>
    <cellStyle name="40% - Accent2 2 3 2 2 2 2" xfId="7565" xr:uid="{00000000-0005-0000-0000-0000D45B0000}"/>
    <cellStyle name="40% - Accent2 2 3 2 2 2 2 2" xfId="27016" xr:uid="{00000000-0005-0000-0000-0000D55B0000}"/>
    <cellStyle name="40% - Accent2 2 3 2 2 2 2 3" xfId="36741" xr:uid="{00000000-0005-0000-0000-0000D65B0000}"/>
    <cellStyle name="40% - Accent2 2 3 2 2 2 2 4" xfId="46466" xr:uid="{00000000-0005-0000-0000-0000D75B0000}"/>
    <cellStyle name="40% - Accent2 2 3 2 2 2 2 5" xfId="17291" xr:uid="{00000000-0005-0000-0000-0000D85B0000}"/>
    <cellStyle name="40% - Accent2 2 3 2 2 2 3" xfId="22154" xr:uid="{00000000-0005-0000-0000-0000D95B0000}"/>
    <cellStyle name="40% - Accent2 2 3 2 2 2 4" xfId="31879" xr:uid="{00000000-0005-0000-0000-0000DA5B0000}"/>
    <cellStyle name="40% - Accent2 2 3 2 2 2 5" xfId="41604" xr:uid="{00000000-0005-0000-0000-0000DB5B0000}"/>
    <cellStyle name="40% - Accent2 2 3 2 2 2 6" xfId="12429" xr:uid="{00000000-0005-0000-0000-0000DC5B0000}"/>
    <cellStyle name="40% - Accent2 2 3 2 2 3" xfId="4323" xr:uid="{00000000-0005-0000-0000-0000DD5B0000}"/>
    <cellStyle name="40% - Accent2 2 3 2 2 3 2" xfId="9185" xr:uid="{00000000-0005-0000-0000-0000DE5B0000}"/>
    <cellStyle name="40% - Accent2 2 3 2 2 3 2 2" xfId="28636" xr:uid="{00000000-0005-0000-0000-0000DF5B0000}"/>
    <cellStyle name="40% - Accent2 2 3 2 2 3 2 3" xfId="38361" xr:uid="{00000000-0005-0000-0000-0000E05B0000}"/>
    <cellStyle name="40% - Accent2 2 3 2 2 3 2 4" xfId="48086" xr:uid="{00000000-0005-0000-0000-0000E15B0000}"/>
    <cellStyle name="40% - Accent2 2 3 2 2 3 2 5" xfId="18911" xr:uid="{00000000-0005-0000-0000-0000E25B0000}"/>
    <cellStyle name="40% - Accent2 2 3 2 2 3 3" xfId="23774" xr:uid="{00000000-0005-0000-0000-0000E35B0000}"/>
    <cellStyle name="40% - Accent2 2 3 2 2 3 4" xfId="33499" xr:uid="{00000000-0005-0000-0000-0000E45B0000}"/>
    <cellStyle name="40% - Accent2 2 3 2 2 3 5" xfId="43224" xr:uid="{00000000-0005-0000-0000-0000E55B0000}"/>
    <cellStyle name="40% - Accent2 2 3 2 2 3 6" xfId="14049" xr:uid="{00000000-0005-0000-0000-0000E65B0000}"/>
    <cellStyle name="40% - Accent2 2 3 2 2 4" xfId="5945" xr:uid="{00000000-0005-0000-0000-0000E75B0000}"/>
    <cellStyle name="40% - Accent2 2 3 2 2 4 2" xfId="25396" xr:uid="{00000000-0005-0000-0000-0000E85B0000}"/>
    <cellStyle name="40% - Accent2 2 3 2 2 4 3" xfId="35121" xr:uid="{00000000-0005-0000-0000-0000E95B0000}"/>
    <cellStyle name="40% - Accent2 2 3 2 2 4 4" xfId="44846" xr:uid="{00000000-0005-0000-0000-0000EA5B0000}"/>
    <cellStyle name="40% - Accent2 2 3 2 2 4 5" xfId="15671" xr:uid="{00000000-0005-0000-0000-0000EB5B0000}"/>
    <cellStyle name="40% - Accent2 2 3 2 2 5" xfId="20534" xr:uid="{00000000-0005-0000-0000-0000EC5B0000}"/>
    <cellStyle name="40% - Accent2 2 3 2 2 6" xfId="30259" xr:uid="{00000000-0005-0000-0000-0000ED5B0000}"/>
    <cellStyle name="40% - Accent2 2 3 2 2 7" xfId="39984" xr:uid="{00000000-0005-0000-0000-0000EE5B0000}"/>
    <cellStyle name="40% - Accent2 2 3 2 2 8" xfId="10809" xr:uid="{00000000-0005-0000-0000-0000EF5B0000}"/>
    <cellStyle name="40% - Accent2 2 3 2 3" xfId="1532" xr:uid="{00000000-0005-0000-0000-0000F05B0000}"/>
    <cellStyle name="40% - Accent2 2 3 2 3 2" xfId="3153" xr:uid="{00000000-0005-0000-0000-0000F15B0000}"/>
    <cellStyle name="40% - Accent2 2 3 2 3 2 2" xfId="8015" xr:uid="{00000000-0005-0000-0000-0000F25B0000}"/>
    <cellStyle name="40% - Accent2 2 3 2 3 2 2 2" xfId="27466" xr:uid="{00000000-0005-0000-0000-0000F35B0000}"/>
    <cellStyle name="40% - Accent2 2 3 2 3 2 2 3" xfId="37191" xr:uid="{00000000-0005-0000-0000-0000F45B0000}"/>
    <cellStyle name="40% - Accent2 2 3 2 3 2 2 4" xfId="46916" xr:uid="{00000000-0005-0000-0000-0000F55B0000}"/>
    <cellStyle name="40% - Accent2 2 3 2 3 2 2 5" xfId="17741" xr:uid="{00000000-0005-0000-0000-0000F65B0000}"/>
    <cellStyle name="40% - Accent2 2 3 2 3 2 3" xfId="22604" xr:uid="{00000000-0005-0000-0000-0000F75B0000}"/>
    <cellStyle name="40% - Accent2 2 3 2 3 2 4" xfId="32329" xr:uid="{00000000-0005-0000-0000-0000F85B0000}"/>
    <cellStyle name="40% - Accent2 2 3 2 3 2 5" xfId="42054" xr:uid="{00000000-0005-0000-0000-0000F95B0000}"/>
    <cellStyle name="40% - Accent2 2 3 2 3 2 6" xfId="12879" xr:uid="{00000000-0005-0000-0000-0000FA5B0000}"/>
    <cellStyle name="40% - Accent2 2 3 2 3 3" xfId="4773" xr:uid="{00000000-0005-0000-0000-0000FB5B0000}"/>
    <cellStyle name="40% - Accent2 2 3 2 3 3 2" xfId="9635" xr:uid="{00000000-0005-0000-0000-0000FC5B0000}"/>
    <cellStyle name="40% - Accent2 2 3 2 3 3 2 2" xfId="29086" xr:uid="{00000000-0005-0000-0000-0000FD5B0000}"/>
    <cellStyle name="40% - Accent2 2 3 2 3 3 2 3" xfId="38811" xr:uid="{00000000-0005-0000-0000-0000FE5B0000}"/>
    <cellStyle name="40% - Accent2 2 3 2 3 3 2 4" xfId="48536" xr:uid="{00000000-0005-0000-0000-0000FF5B0000}"/>
    <cellStyle name="40% - Accent2 2 3 2 3 3 2 5" xfId="19361" xr:uid="{00000000-0005-0000-0000-0000005C0000}"/>
    <cellStyle name="40% - Accent2 2 3 2 3 3 3" xfId="24224" xr:uid="{00000000-0005-0000-0000-0000015C0000}"/>
    <cellStyle name="40% - Accent2 2 3 2 3 3 4" xfId="33949" xr:uid="{00000000-0005-0000-0000-0000025C0000}"/>
    <cellStyle name="40% - Accent2 2 3 2 3 3 5" xfId="43674" xr:uid="{00000000-0005-0000-0000-0000035C0000}"/>
    <cellStyle name="40% - Accent2 2 3 2 3 3 6" xfId="14499" xr:uid="{00000000-0005-0000-0000-0000045C0000}"/>
    <cellStyle name="40% - Accent2 2 3 2 3 4" xfId="6395" xr:uid="{00000000-0005-0000-0000-0000055C0000}"/>
    <cellStyle name="40% - Accent2 2 3 2 3 4 2" xfId="25846" xr:uid="{00000000-0005-0000-0000-0000065C0000}"/>
    <cellStyle name="40% - Accent2 2 3 2 3 4 3" xfId="35571" xr:uid="{00000000-0005-0000-0000-0000075C0000}"/>
    <cellStyle name="40% - Accent2 2 3 2 3 4 4" xfId="45296" xr:uid="{00000000-0005-0000-0000-0000085C0000}"/>
    <cellStyle name="40% - Accent2 2 3 2 3 4 5" xfId="16121" xr:uid="{00000000-0005-0000-0000-0000095C0000}"/>
    <cellStyle name="40% - Accent2 2 3 2 3 5" xfId="20984" xr:uid="{00000000-0005-0000-0000-00000A5C0000}"/>
    <cellStyle name="40% - Accent2 2 3 2 3 6" xfId="30709" xr:uid="{00000000-0005-0000-0000-00000B5C0000}"/>
    <cellStyle name="40% - Accent2 2 3 2 3 7" xfId="40434" xr:uid="{00000000-0005-0000-0000-00000C5C0000}"/>
    <cellStyle name="40% - Accent2 2 3 2 3 8" xfId="11259" xr:uid="{00000000-0005-0000-0000-00000D5C0000}"/>
    <cellStyle name="40% - Accent2 2 3 2 4" xfId="703" xr:uid="{00000000-0005-0000-0000-00000E5C0000}"/>
    <cellStyle name="40% - Accent2 2 3 2 4 2" xfId="2343" xr:uid="{00000000-0005-0000-0000-00000F5C0000}"/>
    <cellStyle name="40% - Accent2 2 3 2 4 2 2" xfId="7205" xr:uid="{00000000-0005-0000-0000-0000105C0000}"/>
    <cellStyle name="40% - Accent2 2 3 2 4 2 2 2" xfId="26656" xr:uid="{00000000-0005-0000-0000-0000115C0000}"/>
    <cellStyle name="40% - Accent2 2 3 2 4 2 2 3" xfId="36381" xr:uid="{00000000-0005-0000-0000-0000125C0000}"/>
    <cellStyle name="40% - Accent2 2 3 2 4 2 2 4" xfId="46106" xr:uid="{00000000-0005-0000-0000-0000135C0000}"/>
    <cellStyle name="40% - Accent2 2 3 2 4 2 2 5" xfId="16931" xr:uid="{00000000-0005-0000-0000-0000145C0000}"/>
    <cellStyle name="40% - Accent2 2 3 2 4 2 3" xfId="21794" xr:uid="{00000000-0005-0000-0000-0000155C0000}"/>
    <cellStyle name="40% - Accent2 2 3 2 4 2 4" xfId="31519" xr:uid="{00000000-0005-0000-0000-0000165C0000}"/>
    <cellStyle name="40% - Accent2 2 3 2 4 2 5" xfId="41244" xr:uid="{00000000-0005-0000-0000-0000175C0000}"/>
    <cellStyle name="40% - Accent2 2 3 2 4 2 6" xfId="12069" xr:uid="{00000000-0005-0000-0000-0000185C0000}"/>
    <cellStyle name="40% - Accent2 2 3 2 4 3" xfId="3963" xr:uid="{00000000-0005-0000-0000-0000195C0000}"/>
    <cellStyle name="40% - Accent2 2 3 2 4 3 2" xfId="8825" xr:uid="{00000000-0005-0000-0000-00001A5C0000}"/>
    <cellStyle name="40% - Accent2 2 3 2 4 3 2 2" xfId="28276" xr:uid="{00000000-0005-0000-0000-00001B5C0000}"/>
    <cellStyle name="40% - Accent2 2 3 2 4 3 2 3" xfId="38001" xr:uid="{00000000-0005-0000-0000-00001C5C0000}"/>
    <cellStyle name="40% - Accent2 2 3 2 4 3 2 4" xfId="47726" xr:uid="{00000000-0005-0000-0000-00001D5C0000}"/>
    <cellStyle name="40% - Accent2 2 3 2 4 3 2 5" xfId="18551" xr:uid="{00000000-0005-0000-0000-00001E5C0000}"/>
    <cellStyle name="40% - Accent2 2 3 2 4 3 3" xfId="23414" xr:uid="{00000000-0005-0000-0000-00001F5C0000}"/>
    <cellStyle name="40% - Accent2 2 3 2 4 3 4" xfId="33139" xr:uid="{00000000-0005-0000-0000-0000205C0000}"/>
    <cellStyle name="40% - Accent2 2 3 2 4 3 5" xfId="42864" xr:uid="{00000000-0005-0000-0000-0000215C0000}"/>
    <cellStyle name="40% - Accent2 2 3 2 4 3 6" xfId="13689" xr:uid="{00000000-0005-0000-0000-0000225C0000}"/>
    <cellStyle name="40% - Accent2 2 3 2 4 4" xfId="5585" xr:uid="{00000000-0005-0000-0000-0000235C0000}"/>
    <cellStyle name="40% - Accent2 2 3 2 4 4 2" xfId="25036" xr:uid="{00000000-0005-0000-0000-0000245C0000}"/>
    <cellStyle name="40% - Accent2 2 3 2 4 4 3" xfId="34761" xr:uid="{00000000-0005-0000-0000-0000255C0000}"/>
    <cellStyle name="40% - Accent2 2 3 2 4 4 4" xfId="44486" xr:uid="{00000000-0005-0000-0000-0000265C0000}"/>
    <cellStyle name="40% - Accent2 2 3 2 4 4 5" xfId="15311" xr:uid="{00000000-0005-0000-0000-0000275C0000}"/>
    <cellStyle name="40% - Accent2 2 3 2 4 5" xfId="20174" xr:uid="{00000000-0005-0000-0000-0000285C0000}"/>
    <cellStyle name="40% - Accent2 2 3 2 4 6" xfId="29899" xr:uid="{00000000-0005-0000-0000-0000295C0000}"/>
    <cellStyle name="40% - Accent2 2 3 2 4 7" xfId="39624" xr:uid="{00000000-0005-0000-0000-00002A5C0000}"/>
    <cellStyle name="40% - Accent2 2 3 2 4 8" xfId="10449" xr:uid="{00000000-0005-0000-0000-00002B5C0000}"/>
    <cellStyle name="40% - Accent2 2 3 2 5" xfId="1983" xr:uid="{00000000-0005-0000-0000-00002C5C0000}"/>
    <cellStyle name="40% - Accent2 2 3 2 5 2" xfId="6845" xr:uid="{00000000-0005-0000-0000-00002D5C0000}"/>
    <cellStyle name="40% - Accent2 2 3 2 5 2 2" xfId="26296" xr:uid="{00000000-0005-0000-0000-00002E5C0000}"/>
    <cellStyle name="40% - Accent2 2 3 2 5 2 3" xfId="36021" xr:uid="{00000000-0005-0000-0000-00002F5C0000}"/>
    <cellStyle name="40% - Accent2 2 3 2 5 2 4" xfId="45746" xr:uid="{00000000-0005-0000-0000-0000305C0000}"/>
    <cellStyle name="40% - Accent2 2 3 2 5 2 5" xfId="16571" xr:uid="{00000000-0005-0000-0000-0000315C0000}"/>
    <cellStyle name="40% - Accent2 2 3 2 5 3" xfId="21434" xr:uid="{00000000-0005-0000-0000-0000325C0000}"/>
    <cellStyle name="40% - Accent2 2 3 2 5 4" xfId="31159" xr:uid="{00000000-0005-0000-0000-0000335C0000}"/>
    <cellStyle name="40% - Accent2 2 3 2 5 5" xfId="40884" xr:uid="{00000000-0005-0000-0000-0000345C0000}"/>
    <cellStyle name="40% - Accent2 2 3 2 5 6" xfId="11709" xr:uid="{00000000-0005-0000-0000-0000355C0000}"/>
    <cellStyle name="40% - Accent2 2 3 2 6" xfId="3603" xr:uid="{00000000-0005-0000-0000-0000365C0000}"/>
    <cellStyle name="40% - Accent2 2 3 2 6 2" xfId="8465" xr:uid="{00000000-0005-0000-0000-0000375C0000}"/>
    <cellStyle name="40% - Accent2 2 3 2 6 2 2" xfId="27916" xr:uid="{00000000-0005-0000-0000-0000385C0000}"/>
    <cellStyle name="40% - Accent2 2 3 2 6 2 3" xfId="37641" xr:uid="{00000000-0005-0000-0000-0000395C0000}"/>
    <cellStyle name="40% - Accent2 2 3 2 6 2 4" xfId="47366" xr:uid="{00000000-0005-0000-0000-00003A5C0000}"/>
    <cellStyle name="40% - Accent2 2 3 2 6 2 5" xfId="18191" xr:uid="{00000000-0005-0000-0000-00003B5C0000}"/>
    <cellStyle name="40% - Accent2 2 3 2 6 3" xfId="23054" xr:uid="{00000000-0005-0000-0000-00003C5C0000}"/>
    <cellStyle name="40% - Accent2 2 3 2 6 4" xfId="32779" xr:uid="{00000000-0005-0000-0000-00003D5C0000}"/>
    <cellStyle name="40% - Accent2 2 3 2 6 5" xfId="42504" xr:uid="{00000000-0005-0000-0000-00003E5C0000}"/>
    <cellStyle name="40% - Accent2 2 3 2 6 6" xfId="13329" xr:uid="{00000000-0005-0000-0000-00003F5C0000}"/>
    <cellStyle name="40% - Accent2 2 3 2 7" xfId="5225" xr:uid="{00000000-0005-0000-0000-0000405C0000}"/>
    <cellStyle name="40% - Accent2 2 3 2 7 2" xfId="24676" xr:uid="{00000000-0005-0000-0000-0000415C0000}"/>
    <cellStyle name="40% - Accent2 2 3 2 7 3" xfId="34401" xr:uid="{00000000-0005-0000-0000-0000425C0000}"/>
    <cellStyle name="40% - Accent2 2 3 2 7 4" xfId="44126" xr:uid="{00000000-0005-0000-0000-0000435C0000}"/>
    <cellStyle name="40% - Accent2 2 3 2 7 5" xfId="14951" xr:uid="{00000000-0005-0000-0000-0000445C0000}"/>
    <cellStyle name="40% - Accent2 2 3 2 8" xfId="19814" xr:uid="{00000000-0005-0000-0000-0000455C0000}"/>
    <cellStyle name="40% - Accent2 2 3 2 9" xfId="29539" xr:uid="{00000000-0005-0000-0000-0000465C0000}"/>
    <cellStyle name="40% - Accent2 2 3 3" xfId="392" xr:uid="{00000000-0005-0000-0000-0000475C0000}"/>
    <cellStyle name="40% - Accent2 2 3 3 10" xfId="39354" xr:uid="{00000000-0005-0000-0000-0000485C0000}"/>
    <cellStyle name="40% - Accent2 2 3 3 11" xfId="10179" xr:uid="{00000000-0005-0000-0000-0000495C0000}"/>
    <cellStyle name="40% - Accent2 2 3 3 2" xfId="1155" xr:uid="{00000000-0005-0000-0000-00004A5C0000}"/>
    <cellStyle name="40% - Accent2 2 3 3 2 2" xfId="2793" xr:uid="{00000000-0005-0000-0000-00004B5C0000}"/>
    <cellStyle name="40% - Accent2 2 3 3 2 2 2" xfId="7655" xr:uid="{00000000-0005-0000-0000-00004C5C0000}"/>
    <cellStyle name="40% - Accent2 2 3 3 2 2 2 2" xfId="27106" xr:uid="{00000000-0005-0000-0000-00004D5C0000}"/>
    <cellStyle name="40% - Accent2 2 3 3 2 2 2 3" xfId="36831" xr:uid="{00000000-0005-0000-0000-00004E5C0000}"/>
    <cellStyle name="40% - Accent2 2 3 3 2 2 2 4" xfId="46556" xr:uid="{00000000-0005-0000-0000-00004F5C0000}"/>
    <cellStyle name="40% - Accent2 2 3 3 2 2 2 5" xfId="17381" xr:uid="{00000000-0005-0000-0000-0000505C0000}"/>
    <cellStyle name="40% - Accent2 2 3 3 2 2 3" xfId="22244" xr:uid="{00000000-0005-0000-0000-0000515C0000}"/>
    <cellStyle name="40% - Accent2 2 3 3 2 2 4" xfId="31969" xr:uid="{00000000-0005-0000-0000-0000525C0000}"/>
    <cellStyle name="40% - Accent2 2 3 3 2 2 5" xfId="41694" xr:uid="{00000000-0005-0000-0000-0000535C0000}"/>
    <cellStyle name="40% - Accent2 2 3 3 2 2 6" xfId="12519" xr:uid="{00000000-0005-0000-0000-0000545C0000}"/>
    <cellStyle name="40% - Accent2 2 3 3 2 3" xfId="4413" xr:uid="{00000000-0005-0000-0000-0000555C0000}"/>
    <cellStyle name="40% - Accent2 2 3 3 2 3 2" xfId="9275" xr:uid="{00000000-0005-0000-0000-0000565C0000}"/>
    <cellStyle name="40% - Accent2 2 3 3 2 3 2 2" xfId="28726" xr:uid="{00000000-0005-0000-0000-0000575C0000}"/>
    <cellStyle name="40% - Accent2 2 3 3 2 3 2 3" xfId="38451" xr:uid="{00000000-0005-0000-0000-0000585C0000}"/>
    <cellStyle name="40% - Accent2 2 3 3 2 3 2 4" xfId="48176" xr:uid="{00000000-0005-0000-0000-0000595C0000}"/>
    <cellStyle name="40% - Accent2 2 3 3 2 3 2 5" xfId="19001" xr:uid="{00000000-0005-0000-0000-00005A5C0000}"/>
    <cellStyle name="40% - Accent2 2 3 3 2 3 3" xfId="23864" xr:uid="{00000000-0005-0000-0000-00005B5C0000}"/>
    <cellStyle name="40% - Accent2 2 3 3 2 3 4" xfId="33589" xr:uid="{00000000-0005-0000-0000-00005C5C0000}"/>
    <cellStyle name="40% - Accent2 2 3 3 2 3 5" xfId="43314" xr:uid="{00000000-0005-0000-0000-00005D5C0000}"/>
    <cellStyle name="40% - Accent2 2 3 3 2 3 6" xfId="14139" xr:uid="{00000000-0005-0000-0000-00005E5C0000}"/>
    <cellStyle name="40% - Accent2 2 3 3 2 4" xfId="6035" xr:uid="{00000000-0005-0000-0000-00005F5C0000}"/>
    <cellStyle name="40% - Accent2 2 3 3 2 4 2" xfId="25486" xr:uid="{00000000-0005-0000-0000-0000605C0000}"/>
    <cellStyle name="40% - Accent2 2 3 3 2 4 3" xfId="35211" xr:uid="{00000000-0005-0000-0000-0000615C0000}"/>
    <cellStyle name="40% - Accent2 2 3 3 2 4 4" xfId="44936" xr:uid="{00000000-0005-0000-0000-0000625C0000}"/>
    <cellStyle name="40% - Accent2 2 3 3 2 4 5" xfId="15761" xr:uid="{00000000-0005-0000-0000-0000635C0000}"/>
    <cellStyle name="40% - Accent2 2 3 3 2 5" xfId="20624" xr:uid="{00000000-0005-0000-0000-0000645C0000}"/>
    <cellStyle name="40% - Accent2 2 3 3 2 6" xfId="30349" xr:uid="{00000000-0005-0000-0000-0000655C0000}"/>
    <cellStyle name="40% - Accent2 2 3 3 2 7" xfId="40074" xr:uid="{00000000-0005-0000-0000-0000665C0000}"/>
    <cellStyle name="40% - Accent2 2 3 3 2 8" xfId="10899" xr:uid="{00000000-0005-0000-0000-0000675C0000}"/>
    <cellStyle name="40% - Accent2 2 3 3 3" xfId="1622" xr:uid="{00000000-0005-0000-0000-0000685C0000}"/>
    <cellStyle name="40% - Accent2 2 3 3 3 2" xfId="3243" xr:uid="{00000000-0005-0000-0000-0000695C0000}"/>
    <cellStyle name="40% - Accent2 2 3 3 3 2 2" xfId="8105" xr:uid="{00000000-0005-0000-0000-00006A5C0000}"/>
    <cellStyle name="40% - Accent2 2 3 3 3 2 2 2" xfId="27556" xr:uid="{00000000-0005-0000-0000-00006B5C0000}"/>
    <cellStyle name="40% - Accent2 2 3 3 3 2 2 3" xfId="37281" xr:uid="{00000000-0005-0000-0000-00006C5C0000}"/>
    <cellStyle name="40% - Accent2 2 3 3 3 2 2 4" xfId="47006" xr:uid="{00000000-0005-0000-0000-00006D5C0000}"/>
    <cellStyle name="40% - Accent2 2 3 3 3 2 2 5" xfId="17831" xr:uid="{00000000-0005-0000-0000-00006E5C0000}"/>
    <cellStyle name="40% - Accent2 2 3 3 3 2 3" xfId="22694" xr:uid="{00000000-0005-0000-0000-00006F5C0000}"/>
    <cellStyle name="40% - Accent2 2 3 3 3 2 4" xfId="32419" xr:uid="{00000000-0005-0000-0000-0000705C0000}"/>
    <cellStyle name="40% - Accent2 2 3 3 3 2 5" xfId="42144" xr:uid="{00000000-0005-0000-0000-0000715C0000}"/>
    <cellStyle name="40% - Accent2 2 3 3 3 2 6" xfId="12969" xr:uid="{00000000-0005-0000-0000-0000725C0000}"/>
    <cellStyle name="40% - Accent2 2 3 3 3 3" xfId="4863" xr:uid="{00000000-0005-0000-0000-0000735C0000}"/>
    <cellStyle name="40% - Accent2 2 3 3 3 3 2" xfId="9725" xr:uid="{00000000-0005-0000-0000-0000745C0000}"/>
    <cellStyle name="40% - Accent2 2 3 3 3 3 2 2" xfId="29176" xr:uid="{00000000-0005-0000-0000-0000755C0000}"/>
    <cellStyle name="40% - Accent2 2 3 3 3 3 2 3" xfId="38901" xr:uid="{00000000-0005-0000-0000-0000765C0000}"/>
    <cellStyle name="40% - Accent2 2 3 3 3 3 2 4" xfId="48626" xr:uid="{00000000-0005-0000-0000-0000775C0000}"/>
    <cellStyle name="40% - Accent2 2 3 3 3 3 2 5" xfId="19451" xr:uid="{00000000-0005-0000-0000-0000785C0000}"/>
    <cellStyle name="40% - Accent2 2 3 3 3 3 3" xfId="24314" xr:uid="{00000000-0005-0000-0000-0000795C0000}"/>
    <cellStyle name="40% - Accent2 2 3 3 3 3 4" xfId="34039" xr:uid="{00000000-0005-0000-0000-00007A5C0000}"/>
    <cellStyle name="40% - Accent2 2 3 3 3 3 5" xfId="43764" xr:uid="{00000000-0005-0000-0000-00007B5C0000}"/>
    <cellStyle name="40% - Accent2 2 3 3 3 3 6" xfId="14589" xr:uid="{00000000-0005-0000-0000-00007C5C0000}"/>
    <cellStyle name="40% - Accent2 2 3 3 3 4" xfId="6485" xr:uid="{00000000-0005-0000-0000-00007D5C0000}"/>
    <cellStyle name="40% - Accent2 2 3 3 3 4 2" xfId="25936" xr:uid="{00000000-0005-0000-0000-00007E5C0000}"/>
    <cellStyle name="40% - Accent2 2 3 3 3 4 3" xfId="35661" xr:uid="{00000000-0005-0000-0000-00007F5C0000}"/>
    <cellStyle name="40% - Accent2 2 3 3 3 4 4" xfId="45386" xr:uid="{00000000-0005-0000-0000-0000805C0000}"/>
    <cellStyle name="40% - Accent2 2 3 3 3 4 5" xfId="16211" xr:uid="{00000000-0005-0000-0000-0000815C0000}"/>
    <cellStyle name="40% - Accent2 2 3 3 3 5" xfId="21074" xr:uid="{00000000-0005-0000-0000-0000825C0000}"/>
    <cellStyle name="40% - Accent2 2 3 3 3 6" xfId="30799" xr:uid="{00000000-0005-0000-0000-0000835C0000}"/>
    <cellStyle name="40% - Accent2 2 3 3 3 7" xfId="40524" xr:uid="{00000000-0005-0000-0000-0000845C0000}"/>
    <cellStyle name="40% - Accent2 2 3 3 3 8" xfId="11349" xr:uid="{00000000-0005-0000-0000-0000855C0000}"/>
    <cellStyle name="40% - Accent2 2 3 3 4" xfId="793" xr:uid="{00000000-0005-0000-0000-0000865C0000}"/>
    <cellStyle name="40% - Accent2 2 3 3 4 2" xfId="2433" xr:uid="{00000000-0005-0000-0000-0000875C0000}"/>
    <cellStyle name="40% - Accent2 2 3 3 4 2 2" xfId="7295" xr:uid="{00000000-0005-0000-0000-0000885C0000}"/>
    <cellStyle name="40% - Accent2 2 3 3 4 2 2 2" xfId="26746" xr:uid="{00000000-0005-0000-0000-0000895C0000}"/>
    <cellStyle name="40% - Accent2 2 3 3 4 2 2 3" xfId="36471" xr:uid="{00000000-0005-0000-0000-00008A5C0000}"/>
    <cellStyle name="40% - Accent2 2 3 3 4 2 2 4" xfId="46196" xr:uid="{00000000-0005-0000-0000-00008B5C0000}"/>
    <cellStyle name="40% - Accent2 2 3 3 4 2 2 5" xfId="17021" xr:uid="{00000000-0005-0000-0000-00008C5C0000}"/>
    <cellStyle name="40% - Accent2 2 3 3 4 2 3" xfId="21884" xr:uid="{00000000-0005-0000-0000-00008D5C0000}"/>
    <cellStyle name="40% - Accent2 2 3 3 4 2 4" xfId="31609" xr:uid="{00000000-0005-0000-0000-00008E5C0000}"/>
    <cellStyle name="40% - Accent2 2 3 3 4 2 5" xfId="41334" xr:uid="{00000000-0005-0000-0000-00008F5C0000}"/>
    <cellStyle name="40% - Accent2 2 3 3 4 2 6" xfId="12159" xr:uid="{00000000-0005-0000-0000-0000905C0000}"/>
    <cellStyle name="40% - Accent2 2 3 3 4 3" xfId="4053" xr:uid="{00000000-0005-0000-0000-0000915C0000}"/>
    <cellStyle name="40% - Accent2 2 3 3 4 3 2" xfId="8915" xr:uid="{00000000-0005-0000-0000-0000925C0000}"/>
    <cellStyle name="40% - Accent2 2 3 3 4 3 2 2" xfId="28366" xr:uid="{00000000-0005-0000-0000-0000935C0000}"/>
    <cellStyle name="40% - Accent2 2 3 3 4 3 2 3" xfId="38091" xr:uid="{00000000-0005-0000-0000-0000945C0000}"/>
    <cellStyle name="40% - Accent2 2 3 3 4 3 2 4" xfId="47816" xr:uid="{00000000-0005-0000-0000-0000955C0000}"/>
    <cellStyle name="40% - Accent2 2 3 3 4 3 2 5" xfId="18641" xr:uid="{00000000-0005-0000-0000-0000965C0000}"/>
    <cellStyle name="40% - Accent2 2 3 3 4 3 3" xfId="23504" xr:uid="{00000000-0005-0000-0000-0000975C0000}"/>
    <cellStyle name="40% - Accent2 2 3 3 4 3 4" xfId="33229" xr:uid="{00000000-0005-0000-0000-0000985C0000}"/>
    <cellStyle name="40% - Accent2 2 3 3 4 3 5" xfId="42954" xr:uid="{00000000-0005-0000-0000-0000995C0000}"/>
    <cellStyle name="40% - Accent2 2 3 3 4 3 6" xfId="13779" xr:uid="{00000000-0005-0000-0000-00009A5C0000}"/>
    <cellStyle name="40% - Accent2 2 3 3 4 4" xfId="5675" xr:uid="{00000000-0005-0000-0000-00009B5C0000}"/>
    <cellStyle name="40% - Accent2 2 3 3 4 4 2" xfId="25126" xr:uid="{00000000-0005-0000-0000-00009C5C0000}"/>
    <cellStyle name="40% - Accent2 2 3 3 4 4 3" xfId="34851" xr:uid="{00000000-0005-0000-0000-00009D5C0000}"/>
    <cellStyle name="40% - Accent2 2 3 3 4 4 4" xfId="44576" xr:uid="{00000000-0005-0000-0000-00009E5C0000}"/>
    <cellStyle name="40% - Accent2 2 3 3 4 4 5" xfId="15401" xr:uid="{00000000-0005-0000-0000-00009F5C0000}"/>
    <cellStyle name="40% - Accent2 2 3 3 4 5" xfId="20264" xr:uid="{00000000-0005-0000-0000-0000A05C0000}"/>
    <cellStyle name="40% - Accent2 2 3 3 4 6" xfId="29989" xr:uid="{00000000-0005-0000-0000-0000A15C0000}"/>
    <cellStyle name="40% - Accent2 2 3 3 4 7" xfId="39714" xr:uid="{00000000-0005-0000-0000-0000A25C0000}"/>
    <cellStyle name="40% - Accent2 2 3 3 4 8" xfId="10539" xr:uid="{00000000-0005-0000-0000-0000A35C0000}"/>
    <cellStyle name="40% - Accent2 2 3 3 5" xfId="2073" xr:uid="{00000000-0005-0000-0000-0000A45C0000}"/>
    <cellStyle name="40% - Accent2 2 3 3 5 2" xfId="6935" xr:uid="{00000000-0005-0000-0000-0000A55C0000}"/>
    <cellStyle name="40% - Accent2 2 3 3 5 2 2" xfId="26386" xr:uid="{00000000-0005-0000-0000-0000A65C0000}"/>
    <cellStyle name="40% - Accent2 2 3 3 5 2 3" xfId="36111" xr:uid="{00000000-0005-0000-0000-0000A75C0000}"/>
    <cellStyle name="40% - Accent2 2 3 3 5 2 4" xfId="45836" xr:uid="{00000000-0005-0000-0000-0000A85C0000}"/>
    <cellStyle name="40% - Accent2 2 3 3 5 2 5" xfId="16661" xr:uid="{00000000-0005-0000-0000-0000A95C0000}"/>
    <cellStyle name="40% - Accent2 2 3 3 5 3" xfId="21524" xr:uid="{00000000-0005-0000-0000-0000AA5C0000}"/>
    <cellStyle name="40% - Accent2 2 3 3 5 4" xfId="31249" xr:uid="{00000000-0005-0000-0000-0000AB5C0000}"/>
    <cellStyle name="40% - Accent2 2 3 3 5 5" xfId="40974" xr:uid="{00000000-0005-0000-0000-0000AC5C0000}"/>
    <cellStyle name="40% - Accent2 2 3 3 5 6" xfId="11799" xr:uid="{00000000-0005-0000-0000-0000AD5C0000}"/>
    <cellStyle name="40% - Accent2 2 3 3 6" xfId="3693" xr:uid="{00000000-0005-0000-0000-0000AE5C0000}"/>
    <cellStyle name="40% - Accent2 2 3 3 6 2" xfId="8555" xr:uid="{00000000-0005-0000-0000-0000AF5C0000}"/>
    <cellStyle name="40% - Accent2 2 3 3 6 2 2" xfId="28006" xr:uid="{00000000-0005-0000-0000-0000B05C0000}"/>
    <cellStyle name="40% - Accent2 2 3 3 6 2 3" xfId="37731" xr:uid="{00000000-0005-0000-0000-0000B15C0000}"/>
    <cellStyle name="40% - Accent2 2 3 3 6 2 4" xfId="47456" xr:uid="{00000000-0005-0000-0000-0000B25C0000}"/>
    <cellStyle name="40% - Accent2 2 3 3 6 2 5" xfId="18281" xr:uid="{00000000-0005-0000-0000-0000B35C0000}"/>
    <cellStyle name="40% - Accent2 2 3 3 6 3" xfId="23144" xr:uid="{00000000-0005-0000-0000-0000B45C0000}"/>
    <cellStyle name="40% - Accent2 2 3 3 6 4" xfId="32869" xr:uid="{00000000-0005-0000-0000-0000B55C0000}"/>
    <cellStyle name="40% - Accent2 2 3 3 6 5" xfId="42594" xr:uid="{00000000-0005-0000-0000-0000B65C0000}"/>
    <cellStyle name="40% - Accent2 2 3 3 6 6" xfId="13419" xr:uid="{00000000-0005-0000-0000-0000B75C0000}"/>
    <cellStyle name="40% - Accent2 2 3 3 7" xfId="5315" xr:uid="{00000000-0005-0000-0000-0000B85C0000}"/>
    <cellStyle name="40% - Accent2 2 3 3 7 2" xfId="24766" xr:uid="{00000000-0005-0000-0000-0000B95C0000}"/>
    <cellStyle name="40% - Accent2 2 3 3 7 3" xfId="34491" xr:uid="{00000000-0005-0000-0000-0000BA5C0000}"/>
    <cellStyle name="40% - Accent2 2 3 3 7 4" xfId="44216" xr:uid="{00000000-0005-0000-0000-0000BB5C0000}"/>
    <cellStyle name="40% - Accent2 2 3 3 7 5" xfId="15041" xr:uid="{00000000-0005-0000-0000-0000BC5C0000}"/>
    <cellStyle name="40% - Accent2 2 3 3 8" xfId="19904" xr:uid="{00000000-0005-0000-0000-0000BD5C0000}"/>
    <cellStyle name="40% - Accent2 2 3 3 9" xfId="29629" xr:uid="{00000000-0005-0000-0000-0000BE5C0000}"/>
    <cellStyle name="40% - Accent2 2 3 4" xfId="210" xr:uid="{00000000-0005-0000-0000-0000BF5C0000}"/>
    <cellStyle name="40% - Accent2 2 3 4 10" xfId="39174" xr:uid="{00000000-0005-0000-0000-0000C05C0000}"/>
    <cellStyle name="40% - Accent2 2 3 4 11" xfId="9999" xr:uid="{00000000-0005-0000-0000-0000C15C0000}"/>
    <cellStyle name="40% - Accent2 2 3 4 2" xfId="974" xr:uid="{00000000-0005-0000-0000-0000C25C0000}"/>
    <cellStyle name="40% - Accent2 2 3 4 2 2" xfId="2613" xr:uid="{00000000-0005-0000-0000-0000C35C0000}"/>
    <cellStyle name="40% - Accent2 2 3 4 2 2 2" xfId="7475" xr:uid="{00000000-0005-0000-0000-0000C45C0000}"/>
    <cellStyle name="40% - Accent2 2 3 4 2 2 2 2" xfId="26926" xr:uid="{00000000-0005-0000-0000-0000C55C0000}"/>
    <cellStyle name="40% - Accent2 2 3 4 2 2 2 3" xfId="36651" xr:uid="{00000000-0005-0000-0000-0000C65C0000}"/>
    <cellStyle name="40% - Accent2 2 3 4 2 2 2 4" xfId="46376" xr:uid="{00000000-0005-0000-0000-0000C75C0000}"/>
    <cellStyle name="40% - Accent2 2 3 4 2 2 2 5" xfId="17201" xr:uid="{00000000-0005-0000-0000-0000C85C0000}"/>
    <cellStyle name="40% - Accent2 2 3 4 2 2 3" xfId="22064" xr:uid="{00000000-0005-0000-0000-0000C95C0000}"/>
    <cellStyle name="40% - Accent2 2 3 4 2 2 4" xfId="31789" xr:uid="{00000000-0005-0000-0000-0000CA5C0000}"/>
    <cellStyle name="40% - Accent2 2 3 4 2 2 5" xfId="41514" xr:uid="{00000000-0005-0000-0000-0000CB5C0000}"/>
    <cellStyle name="40% - Accent2 2 3 4 2 2 6" xfId="12339" xr:uid="{00000000-0005-0000-0000-0000CC5C0000}"/>
    <cellStyle name="40% - Accent2 2 3 4 2 3" xfId="4233" xr:uid="{00000000-0005-0000-0000-0000CD5C0000}"/>
    <cellStyle name="40% - Accent2 2 3 4 2 3 2" xfId="9095" xr:uid="{00000000-0005-0000-0000-0000CE5C0000}"/>
    <cellStyle name="40% - Accent2 2 3 4 2 3 2 2" xfId="28546" xr:uid="{00000000-0005-0000-0000-0000CF5C0000}"/>
    <cellStyle name="40% - Accent2 2 3 4 2 3 2 3" xfId="38271" xr:uid="{00000000-0005-0000-0000-0000D05C0000}"/>
    <cellStyle name="40% - Accent2 2 3 4 2 3 2 4" xfId="47996" xr:uid="{00000000-0005-0000-0000-0000D15C0000}"/>
    <cellStyle name="40% - Accent2 2 3 4 2 3 2 5" xfId="18821" xr:uid="{00000000-0005-0000-0000-0000D25C0000}"/>
    <cellStyle name="40% - Accent2 2 3 4 2 3 3" xfId="23684" xr:uid="{00000000-0005-0000-0000-0000D35C0000}"/>
    <cellStyle name="40% - Accent2 2 3 4 2 3 4" xfId="33409" xr:uid="{00000000-0005-0000-0000-0000D45C0000}"/>
    <cellStyle name="40% - Accent2 2 3 4 2 3 5" xfId="43134" xr:uid="{00000000-0005-0000-0000-0000D55C0000}"/>
    <cellStyle name="40% - Accent2 2 3 4 2 3 6" xfId="13959" xr:uid="{00000000-0005-0000-0000-0000D65C0000}"/>
    <cellStyle name="40% - Accent2 2 3 4 2 4" xfId="5855" xr:uid="{00000000-0005-0000-0000-0000D75C0000}"/>
    <cellStyle name="40% - Accent2 2 3 4 2 4 2" xfId="25306" xr:uid="{00000000-0005-0000-0000-0000D85C0000}"/>
    <cellStyle name="40% - Accent2 2 3 4 2 4 3" xfId="35031" xr:uid="{00000000-0005-0000-0000-0000D95C0000}"/>
    <cellStyle name="40% - Accent2 2 3 4 2 4 4" xfId="44756" xr:uid="{00000000-0005-0000-0000-0000DA5C0000}"/>
    <cellStyle name="40% - Accent2 2 3 4 2 4 5" xfId="15581" xr:uid="{00000000-0005-0000-0000-0000DB5C0000}"/>
    <cellStyle name="40% - Accent2 2 3 4 2 5" xfId="20444" xr:uid="{00000000-0005-0000-0000-0000DC5C0000}"/>
    <cellStyle name="40% - Accent2 2 3 4 2 6" xfId="30169" xr:uid="{00000000-0005-0000-0000-0000DD5C0000}"/>
    <cellStyle name="40% - Accent2 2 3 4 2 7" xfId="39894" xr:uid="{00000000-0005-0000-0000-0000DE5C0000}"/>
    <cellStyle name="40% - Accent2 2 3 4 2 8" xfId="10719" xr:uid="{00000000-0005-0000-0000-0000DF5C0000}"/>
    <cellStyle name="40% - Accent2 2 3 4 3" xfId="1442" xr:uid="{00000000-0005-0000-0000-0000E05C0000}"/>
    <cellStyle name="40% - Accent2 2 3 4 3 2" xfId="3063" xr:uid="{00000000-0005-0000-0000-0000E15C0000}"/>
    <cellStyle name="40% - Accent2 2 3 4 3 2 2" xfId="7925" xr:uid="{00000000-0005-0000-0000-0000E25C0000}"/>
    <cellStyle name="40% - Accent2 2 3 4 3 2 2 2" xfId="27376" xr:uid="{00000000-0005-0000-0000-0000E35C0000}"/>
    <cellStyle name="40% - Accent2 2 3 4 3 2 2 3" xfId="37101" xr:uid="{00000000-0005-0000-0000-0000E45C0000}"/>
    <cellStyle name="40% - Accent2 2 3 4 3 2 2 4" xfId="46826" xr:uid="{00000000-0005-0000-0000-0000E55C0000}"/>
    <cellStyle name="40% - Accent2 2 3 4 3 2 2 5" xfId="17651" xr:uid="{00000000-0005-0000-0000-0000E65C0000}"/>
    <cellStyle name="40% - Accent2 2 3 4 3 2 3" xfId="22514" xr:uid="{00000000-0005-0000-0000-0000E75C0000}"/>
    <cellStyle name="40% - Accent2 2 3 4 3 2 4" xfId="32239" xr:uid="{00000000-0005-0000-0000-0000E85C0000}"/>
    <cellStyle name="40% - Accent2 2 3 4 3 2 5" xfId="41964" xr:uid="{00000000-0005-0000-0000-0000E95C0000}"/>
    <cellStyle name="40% - Accent2 2 3 4 3 2 6" xfId="12789" xr:uid="{00000000-0005-0000-0000-0000EA5C0000}"/>
    <cellStyle name="40% - Accent2 2 3 4 3 3" xfId="4683" xr:uid="{00000000-0005-0000-0000-0000EB5C0000}"/>
    <cellStyle name="40% - Accent2 2 3 4 3 3 2" xfId="9545" xr:uid="{00000000-0005-0000-0000-0000EC5C0000}"/>
    <cellStyle name="40% - Accent2 2 3 4 3 3 2 2" xfId="28996" xr:uid="{00000000-0005-0000-0000-0000ED5C0000}"/>
    <cellStyle name="40% - Accent2 2 3 4 3 3 2 3" xfId="38721" xr:uid="{00000000-0005-0000-0000-0000EE5C0000}"/>
    <cellStyle name="40% - Accent2 2 3 4 3 3 2 4" xfId="48446" xr:uid="{00000000-0005-0000-0000-0000EF5C0000}"/>
    <cellStyle name="40% - Accent2 2 3 4 3 3 2 5" xfId="19271" xr:uid="{00000000-0005-0000-0000-0000F05C0000}"/>
    <cellStyle name="40% - Accent2 2 3 4 3 3 3" xfId="24134" xr:uid="{00000000-0005-0000-0000-0000F15C0000}"/>
    <cellStyle name="40% - Accent2 2 3 4 3 3 4" xfId="33859" xr:uid="{00000000-0005-0000-0000-0000F25C0000}"/>
    <cellStyle name="40% - Accent2 2 3 4 3 3 5" xfId="43584" xr:uid="{00000000-0005-0000-0000-0000F35C0000}"/>
    <cellStyle name="40% - Accent2 2 3 4 3 3 6" xfId="14409" xr:uid="{00000000-0005-0000-0000-0000F45C0000}"/>
    <cellStyle name="40% - Accent2 2 3 4 3 4" xfId="6305" xr:uid="{00000000-0005-0000-0000-0000F55C0000}"/>
    <cellStyle name="40% - Accent2 2 3 4 3 4 2" xfId="25756" xr:uid="{00000000-0005-0000-0000-0000F65C0000}"/>
    <cellStyle name="40% - Accent2 2 3 4 3 4 3" xfId="35481" xr:uid="{00000000-0005-0000-0000-0000F75C0000}"/>
    <cellStyle name="40% - Accent2 2 3 4 3 4 4" xfId="45206" xr:uid="{00000000-0005-0000-0000-0000F85C0000}"/>
    <cellStyle name="40% - Accent2 2 3 4 3 4 5" xfId="16031" xr:uid="{00000000-0005-0000-0000-0000F95C0000}"/>
    <cellStyle name="40% - Accent2 2 3 4 3 5" xfId="20894" xr:uid="{00000000-0005-0000-0000-0000FA5C0000}"/>
    <cellStyle name="40% - Accent2 2 3 4 3 6" xfId="30619" xr:uid="{00000000-0005-0000-0000-0000FB5C0000}"/>
    <cellStyle name="40% - Accent2 2 3 4 3 7" xfId="40344" xr:uid="{00000000-0005-0000-0000-0000FC5C0000}"/>
    <cellStyle name="40% - Accent2 2 3 4 3 8" xfId="11169" xr:uid="{00000000-0005-0000-0000-0000FD5C0000}"/>
    <cellStyle name="40% - Accent2 2 3 4 4" xfId="613" xr:uid="{00000000-0005-0000-0000-0000FE5C0000}"/>
    <cellStyle name="40% - Accent2 2 3 4 4 2" xfId="2253" xr:uid="{00000000-0005-0000-0000-0000FF5C0000}"/>
    <cellStyle name="40% - Accent2 2 3 4 4 2 2" xfId="7115" xr:uid="{00000000-0005-0000-0000-0000005D0000}"/>
    <cellStyle name="40% - Accent2 2 3 4 4 2 2 2" xfId="26566" xr:uid="{00000000-0005-0000-0000-0000015D0000}"/>
    <cellStyle name="40% - Accent2 2 3 4 4 2 2 3" xfId="36291" xr:uid="{00000000-0005-0000-0000-0000025D0000}"/>
    <cellStyle name="40% - Accent2 2 3 4 4 2 2 4" xfId="46016" xr:uid="{00000000-0005-0000-0000-0000035D0000}"/>
    <cellStyle name="40% - Accent2 2 3 4 4 2 2 5" xfId="16841" xr:uid="{00000000-0005-0000-0000-0000045D0000}"/>
    <cellStyle name="40% - Accent2 2 3 4 4 2 3" xfId="21704" xr:uid="{00000000-0005-0000-0000-0000055D0000}"/>
    <cellStyle name="40% - Accent2 2 3 4 4 2 4" xfId="31429" xr:uid="{00000000-0005-0000-0000-0000065D0000}"/>
    <cellStyle name="40% - Accent2 2 3 4 4 2 5" xfId="41154" xr:uid="{00000000-0005-0000-0000-0000075D0000}"/>
    <cellStyle name="40% - Accent2 2 3 4 4 2 6" xfId="11979" xr:uid="{00000000-0005-0000-0000-0000085D0000}"/>
    <cellStyle name="40% - Accent2 2 3 4 4 3" xfId="3873" xr:uid="{00000000-0005-0000-0000-0000095D0000}"/>
    <cellStyle name="40% - Accent2 2 3 4 4 3 2" xfId="8735" xr:uid="{00000000-0005-0000-0000-00000A5D0000}"/>
    <cellStyle name="40% - Accent2 2 3 4 4 3 2 2" xfId="28186" xr:uid="{00000000-0005-0000-0000-00000B5D0000}"/>
    <cellStyle name="40% - Accent2 2 3 4 4 3 2 3" xfId="37911" xr:uid="{00000000-0005-0000-0000-00000C5D0000}"/>
    <cellStyle name="40% - Accent2 2 3 4 4 3 2 4" xfId="47636" xr:uid="{00000000-0005-0000-0000-00000D5D0000}"/>
    <cellStyle name="40% - Accent2 2 3 4 4 3 2 5" xfId="18461" xr:uid="{00000000-0005-0000-0000-00000E5D0000}"/>
    <cellStyle name="40% - Accent2 2 3 4 4 3 3" xfId="23324" xr:uid="{00000000-0005-0000-0000-00000F5D0000}"/>
    <cellStyle name="40% - Accent2 2 3 4 4 3 4" xfId="33049" xr:uid="{00000000-0005-0000-0000-0000105D0000}"/>
    <cellStyle name="40% - Accent2 2 3 4 4 3 5" xfId="42774" xr:uid="{00000000-0005-0000-0000-0000115D0000}"/>
    <cellStyle name="40% - Accent2 2 3 4 4 3 6" xfId="13599" xr:uid="{00000000-0005-0000-0000-0000125D0000}"/>
    <cellStyle name="40% - Accent2 2 3 4 4 4" xfId="5495" xr:uid="{00000000-0005-0000-0000-0000135D0000}"/>
    <cellStyle name="40% - Accent2 2 3 4 4 4 2" xfId="24946" xr:uid="{00000000-0005-0000-0000-0000145D0000}"/>
    <cellStyle name="40% - Accent2 2 3 4 4 4 3" xfId="34671" xr:uid="{00000000-0005-0000-0000-0000155D0000}"/>
    <cellStyle name="40% - Accent2 2 3 4 4 4 4" xfId="44396" xr:uid="{00000000-0005-0000-0000-0000165D0000}"/>
    <cellStyle name="40% - Accent2 2 3 4 4 4 5" xfId="15221" xr:uid="{00000000-0005-0000-0000-0000175D0000}"/>
    <cellStyle name="40% - Accent2 2 3 4 4 5" xfId="20084" xr:uid="{00000000-0005-0000-0000-0000185D0000}"/>
    <cellStyle name="40% - Accent2 2 3 4 4 6" xfId="29809" xr:uid="{00000000-0005-0000-0000-0000195D0000}"/>
    <cellStyle name="40% - Accent2 2 3 4 4 7" xfId="39534" xr:uid="{00000000-0005-0000-0000-00001A5D0000}"/>
    <cellStyle name="40% - Accent2 2 3 4 4 8" xfId="10359" xr:uid="{00000000-0005-0000-0000-00001B5D0000}"/>
    <cellStyle name="40% - Accent2 2 3 4 5" xfId="1893" xr:uid="{00000000-0005-0000-0000-00001C5D0000}"/>
    <cellStyle name="40% - Accent2 2 3 4 5 2" xfId="6755" xr:uid="{00000000-0005-0000-0000-00001D5D0000}"/>
    <cellStyle name="40% - Accent2 2 3 4 5 2 2" xfId="26206" xr:uid="{00000000-0005-0000-0000-00001E5D0000}"/>
    <cellStyle name="40% - Accent2 2 3 4 5 2 3" xfId="35931" xr:uid="{00000000-0005-0000-0000-00001F5D0000}"/>
    <cellStyle name="40% - Accent2 2 3 4 5 2 4" xfId="45656" xr:uid="{00000000-0005-0000-0000-0000205D0000}"/>
    <cellStyle name="40% - Accent2 2 3 4 5 2 5" xfId="16481" xr:uid="{00000000-0005-0000-0000-0000215D0000}"/>
    <cellStyle name="40% - Accent2 2 3 4 5 3" xfId="21344" xr:uid="{00000000-0005-0000-0000-0000225D0000}"/>
    <cellStyle name="40% - Accent2 2 3 4 5 4" xfId="31069" xr:uid="{00000000-0005-0000-0000-0000235D0000}"/>
    <cellStyle name="40% - Accent2 2 3 4 5 5" xfId="40794" xr:uid="{00000000-0005-0000-0000-0000245D0000}"/>
    <cellStyle name="40% - Accent2 2 3 4 5 6" xfId="11619" xr:uid="{00000000-0005-0000-0000-0000255D0000}"/>
    <cellStyle name="40% - Accent2 2 3 4 6" xfId="3513" xr:uid="{00000000-0005-0000-0000-0000265D0000}"/>
    <cellStyle name="40% - Accent2 2 3 4 6 2" xfId="8375" xr:uid="{00000000-0005-0000-0000-0000275D0000}"/>
    <cellStyle name="40% - Accent2 2 3 4 6 2 2" xfId="27826" xr:uid="{00000000-0005-0000-0000-0000285D0000}"/>
    <cellStyle name="40% - Accent2 2 3 4 6 2 3" xfId="37551" xr:uid="{00000000-0005-0000-0000-0000295D0000}"/>
    <cellStyle name="40% - Accent2 2 3 4 6 2 4" xfId="47276" xr:uid="{00000000-0005-0000-0000-00002A5D0000}"/>
    <cellStyle name="40% - Accent2 2 3 4 6 2 5" xfId="18101" xr:uid="{00000000-0005-0000-0000-00002B5D0000}"/>
    <cellStyle name="40% - Accent2 2 3 4 6 3" xfId="22964" xr:uid="{00000000-0005-0000-0000-00002C5D0000}"/>
    <cellStyle name="40% - Accent2 2 3 4 6 4" xfId="32689" xr:uid="{00000000-0005-0000-0000-00002D5D0000}"/>
    <cellStyle name="40% - Accent2 2 3 4 6 5" xfId="42414" xr:uid="{00000000-0005-0000-0000-00002E5D0000}"/>
    <cellStyle name="40% - Accent2 2 3 4 6 6" xfId="13239" xr:uid="{00000000-0005-0000-0000-00002F5D0000}"/>
    <cellStyle name="40% - Accent2 2 3 4 7" xfId="5135" xr:uid="{00000000-0005-0000-0000-0000305D0000}"/>
    <cellStyle name="40% - Accent2 2 3 4 7 2" xfId="24586" xr:uid="{00000000-0005-0000-0000-0000315D0000}"/>
    <cellStyle name="40% - Accent2 2 3 4 7 3" xfId="34311" xr:uid="{00000000-0005-0000-0000-0000325D0000}"/>
    <cellStyle name="40% - Accent2 2 3 4 7 4" xfId="44036" xr:uid="{00000000-0005-0000-0000-0000335D0000}"/>
    <cellStyle name="40% - Accent2 2 3 4 7 5" xfId="14861" xr:uid="{00000000-0005-0000-0000-0000345D0000}"/>
    <cellStyle name="40% - Accent2 2 3 4 8" xfId="19724" xr:uid="{00000000-0005-0000-0000-0000355D0000}"/>
    <cellStyle name="40% - Accent2 2 3 4 9" xfId="29449" xr:uid="{00000000-0005-0000-0000-0000365D0000}"/>
    <cellStyle name="40% - Accent2 2 3 5" xfId="884" xr:uid="{00000000-0005-0000-0000-0000375D0000}"/>
    <cellStyle name="40% - Accent2 2 3 5 2" xfId="2523" xr:uid="{00000000-0005-0000-0000-0000385D0000}"/>
    <cellStyle name="40% - Accent2 2 3 5 2 2" xfId="7385" xr:uid="{00000000-0005-0000-0000-0000395D0000}"/>
    <cellStyle name="40% - Accent2 2 3 5 2 2 2" xfId="26836" xr:uid="{00000000-0005-0000-0000-00003A5D0000}"/>
    <cellStyle name="40% - Accent2 2 3 5 2 2 3" xfId="36561" xr:uid="{00000000-0005-0000-0000-00003B5D0000}"/>
    <cellStyle name="40% - Accent2 2 3 5 2 2 4" xfId="46286" xr:uid="{00000000-0005-0000-0000-00003C5D0000}"/>
    <cellStyle name="40% - Accent2 2 3 5 2 2 5" xfId="17111" xr:uid="{00000000-0005-0000-0000-00003D5D0000}"/>
    <cellStyle name="40% - Accent2 2 3 5 2 3" xfId="21974" xr:uid="{00000000-0005-0000-0000-00003E5D0000}"/>
    <cellStyle name="40% - Accent2 2 3 5 2 4" xfId="31699" xr:uid="{00000000-0005-0000-0000-00003F5D0000}"/>
    <cellStyle name="40% - Accent2 2 3 5 2 5" xfId="41424" xr:uid="{00000000-0005-0000-0000-0000405D0000}"/>
    <cellStyle name="40% - Accent2 2 3 5 2 6" xfId="12249" xr:uid="{00000000-0005-0000-0000-0000415D0000}"/>
    <cellStyle name="40% - Accent2 2 3 5 3" xfId="4143" xr:uid="{00000000-0005-0000-0000-0000425D0000}"/>
    <cellStyle name="40% - Accent2 2 3 5 3 2" xfId="9005" xr:uid="{00000000-0005-0000-0000-0000435D0000}"/>
    <cellStyle name="40% - Accent2 2 3 5 3 2 2" xfId="28456" xr:uid="{00000000-0005-0000-0000-0000445D0000}"/>
    <cellStyle name="40% - Accent2 2 3 5 3 2 3" xfId="38181" xr:uid="{00000000-0005-0000-0000-0000455D0000}"/>
    <cellStyle name="40% - Accent2 2 3 5 3 2 4" xfId="47906" xr:uid="{00000000-0005-0000-0000-0000465D0000}"/>
    <cellStyle name="40% - Accent2 2 3 5 3 2 5" xfId="18731" xr:uid="{00000000-0005-0000-0000-0000475D0000}"/>
    <cellStyle name="40% - Accent2 2 3 5 3 3" xfId="23594" xr:uid="{00000000-0005-0000-0000-0000485D0000}"/>
    <cellStyle name="40% - Accent2 2 3 5 3 4" xfId="33319" xr:uid="{00000000-0005-0000-0000-0000495D0000}"/>
    <cellStyle name="40% - Accent2 2 3 5 3 5" xfId="43044" xr:uid="{00000000-0005-0000-0000-00004A5D0000}"/>
    <cellStyle name="40% - Accent2 2 3 5 3 6" xfId="13869" xr:uid="{00000000-0005-0000-0000-00004B5D0000}"/>
    <cellStyle name="40% - Accent2 2 3 5 4" xfId="5765" xr:uid="{00000000-0005-0000-0000-00004C5D0000}"/>
    <cellStyle name="40% - Accent2 2 3 5 4 2" xfId="25216" xr:uid="{00000000-0005-0000-0000-00004D5D0000}"/>
    <cellStyle name="40% - Accent2 2 3 5 4 3" xfId="34941" xr:uid="{00000000-0005-0000-0000-00004E5D0000}"/>
    <cellStyle name="40% - Accent2 2 3 5 4 4" xfId="44666" xr:uid="{00000000-0005-0000-0000-00004F5D0000}"/>
    <cellStyle name="40% - Accent2 2 3 5 4 5" xfId="15491" xr:uid="{00000000-0005-0000-0000-0000505D0000}"/>
    <cellStyle name="40% - Accent2 2 3 5 5" xfId="20354" xr:uid="{00000000-0005-0000-0000-0000515D0000}"/>
    <cellStyle name="40% - Accent2 2 3 5 6" xfId="30079" xr:uid="{00000000-0005-0000-0000-0000525D0000}"/>
    <cellStyle name="40% - Accent2 2 3 5 7" xfId="39804" xr:uid="{00000000-0005-0000-0000-0000535D0000}"/>
    <cellStyle name="40% - Accent2 2 3 5 8" xfId="10629" xr:uid="{00000000-0005-0000-0000-0000545D0000}"/>
    <cellStyle name="40% - Accent2 2 3 6" xfId="1262" xr:uid="{00000000-0005-0000-0000-0000555D0000}"/>
    <cellStyle name="40% - Accent2 2 3 6 2" xfId="2883" xr:uid="{00000000-0005-0000-0000-0000565D0000}"/>
    <cellStyle name="40% - Accent2 2 3 6 2 2" xfId="7745" xr:uid="{00000000-0005-0000-0000-0000575D0000}"/>
    <cellStyle name="40% - Accent2 2 3 6 2 2 2" xfId="27196" xr:uid="{00000000-0005-0000-0000-0000585D0000}"/>
    <cellStyle name="40% - Accent2 2 3 6 2 2 3" xfId="36921" xr:uid="{00000000-0005-0000-0000-0000595D0000}"/>
    <cellStyle name="40% - Accent2 2 3 6 2 2 4" xfId="46646" xr:uid="{00000000-0005-0000-0000-00005A5D0000}"/>
    <cellStyle name="40% - Accent2 2 3 6 2 2 5" xfId="17471" xr:uid="{00000000-0005-0000-0000-00005B5D0000}"/>
    <cellStyle name="40% - Accent2 2 3 6 2 3" xfId="22334" xr:uid="{00000000-0005-0000-0000-00005C5D0000}"/>
    <cellStyle name="40% - Accent2 2 3 6 2 4" xfId="32059" xr:uid="{00000000-0005-0000-0000-00005D5D0000}"/>
    <cellStyle name="40% - Accent2 2 3 6 2 5" xfId="41784" xr:uid="{00000000-0005-0000-0000-00005E5D0000}"/>
    <cellStyle name="40% - Accent2 2 3 6 2 6" xfId="12609" xr:uid="{00000000-0005-0000-0000-00005F5D0000}"/>
    <cellStyle name="40% - Accent2 2 3 6 3" xfId="4503" xr:uid="{00000000-0005-0000-0000-0000605D0000}"/>
    <cellStyle name="40% - Accent2 2 3 6 3 2" xfId="9365" xr:uid="{00000000-0005-0000-0000-0000615D0000}"/>
    <cellStyle name="40% - Accent2 2 3 6 3 2 2" xfId="28816" xr:uid="{00000000-0005-0000-0000-0000625D0000}"/>
    <cellStyle name="40% - Accent2 2 3 6 3 2 3" xfId="38541" xr:uid="{00000000-0005-0000-0000-0000635D0000}"/>
    <cellStyle name="40% - Accent2 2 3 6 3 2 4" xfId="48266" xr:uid="{00000000-0005-0000-0000-0000645D0000}"/>
    <cellStyle name="40% - Accent2 2 3 6 3 2 5" xfId="19091" xr:uid="{00000000-0005-0000-0000-0000655D0000}"/>
    <cellStyle name="40% - Accent2 2 3 6 3 3" xfId="23954" xr:uid="{00000000-0005-0000-0000-0000665D0000}"/>
    <cellStyle name="40% - Accent2 2 3 6 3 4" xfId="33679" xr:uid="{00000000-0005-0000-0000-0000675D0000}"/>
    <cellStyle name="40% - Accent2 2 3 6 3 5" xfId="43404" xr:uid="{00000000-0005-0000-0000-0000685D0000}"/>
    <cellStyle name="40% - Accent2 2 3 6 3 6" xfId="14229" xr:uid="{00000000-0005-0000-0000-0000695D0000}"/>
    <cellStyle name="40% - Accent2 2 3 6 4" xfId="6125" xr:uid="{00000000-0005-0000-0000-00006A5D0000}"/>
    <cellStyle name="40% - Accent2 2 3 6 4 2" xfId="25576" xr:uid="{00000000-0005-0000-0000-00006B5D0000}"/>
    <cellStyle name="40% - Accent2 2 3 6 4 3" xfId="35301" xr:uid="{00000000-0005-0000-0000-00006C5D0000}"/>
    <cellStyle name="40% - Accent2 2 3 6 4 4" xfId="45026" xr:uid="{00000000-0005-0000-0000-00006D5D0000}"/>
    <cellStyle name="40% - Accent2 2 3 6 4 5" xfId="15851" xr:uid="{00000000-0005-0000-0000-00006E5D0000}"/>
    <cellStyle name="40% - Accent2 2 3 6 5" xfId="20714" xr:uid="{00000000-0005-0000-0000-00006F5D0000}"/>
    <cellStyle name="40% - Accent2 2 3 6 6" xfId="30439" xr:uid="{00000000-0005-0000-0000-0000705D0000}"/>
    <cellStyle name="40% - Accent2 2 3 6 7" xfId="40164" xr:uid="{00000000-0005-0000-0000-0000715D0000}"/>
    <cellStyle name="40% - Accent2 2 3 6 8" xfId="10989" xr:uid="{00000000-0005-0000-0000-0000725D0000}"/>
    <cellStyle name="40% - Accent2 2 3 7" xfId="1352" xr:uid="{00000000-0005-0000-0000-0000735D0000}"/>
    <cellStyle name="40% - Accent2 2 3 7 2" xfId="2973" xr:uid="{00000000-0005-0000-0000-0000745D0000}"/>
    <cellStyle name="40% - Accent2 2 3 7 2 2" xfId="7835" xr:uid="{00000000-0005-0000-0000-0000755D0000}"/>
    <cellStyle name="40% - Accent2 2 3 7 2 2 2" xfId="27286" xr:uid="{00000000-0005-0000-0000-0000765D0000}"/>
    <cellStyle name="40% - Accent2 2 3 7 2 2 3" xfId="37011" xr:uid="{00000000-0005-0000-0000-0000775D0000}"/>
    <cellStyle name="40% - Accent2 2 3 7 2 2 4" xfId="46736" xr:uid="{00000000-0005-0000-0000-0000785D0000}"/>
    <cellStyle name="40% - Accent2 2 3 7 2 2 5" xfId="17561" xr:uid="{00000000-0005-0000-0000-0000795D0000}"/>
    <cellStyle name="40% - Accent2 2 3 7 2 3" xfId="22424" xr:uid="{00000000-0005-0000-0000-00007A5D0000}"/>
    <cellStyle name="40% - Accent2 2 3 7 2 4" xfId="32149" xr:uid="{00000000-0005-0000-0000-00007B5D0000}"/>
    <cellStyle name="40% - Accent2 2 3 7 2 5" xfId="41874" xr:uid="{00000000-0005-0000-0000-00007C5D0000}"/>
    <cellStyle name="40% - Accent2 2 3 7 2 6" xfId="12699" xr:uid="{00000000-0005-0000-0000-00007D5D0000}"/>
    <cellStyle name="40% - Accent2 2 3 7 3" xfId="4593" xr:uid="{00000000-0005-0000-0000-00007E5D0000}"/>
    <cellStyle name="40% - Accent2 2 3 7 3 2" xfId="9455" xr:uid="{00000000-0005-0000-0000-00007F5D0000}"/>
    <cellStyle name="40% - Accent2 2 3 7 3 2 2" xfId="28906" xr:uid="{00000000-0005-0000-0000-0000805D0000}"/>
    <cellStyle name="40% - Accent2 2 3 7 3 2 3" xfId="38631" xr:uid="{00000000-0005-0000-0000-0000815D0000}"/>
    <cellStyle name="40% - Accent2 2 3 7 3 2 4" xfId="48356" xr:uid="{00000000-0005-0000-0000-0000825D0000}"/>
    <cellStyle name="40% - Accent2 2 3 7 3 2 5" xfId="19181" xr:uid="{00000000-0005-0000-0000-0000835D0000}"/>
    <cellStyle name="40% - Accent2 2 3 7 3 3" xfId="24044" xr:uid="{00000000-0005-0000-0000-0000845D0000}"/>
    <cellStyle name="40% - Accent2 2 3 7 3 4" xfId="33769" xr:uid="{00000000-0005-0000-0000-0000855D0000}"/>
    <cellStyle name="40% - Accent2 2 3 7 3 5" xfId="43494" xr:uid="{00000000-0005-0000-0000-0000865D0000}"/>
    <cellStyle name="40% - Accent2 2 3 7 3 6" xfId="14319" xr:uid="{00000000-0005-0000-0000-0000875D0000}"/>
    <cellStyle name="40% - Accent2 2 3 7 4" xfId="6215" xr:uid="{00000000-0005-0000-0000-0000885D0000}"/>
    <cellStyle name="40% - Accent2 2 3 7 4 2" xfId="25666" xr:uid="{00000000-0005-0000-0000-0000895D0000}"/>
    <cellStyle name="40% - Accent2 2 3 7 4 3" xfId="35391" xr:uid="{00000000-0005-0000-0000-00008A5D0000}"/>
    <cellStyle name="40% - Accent2 2 3 7 4 4" xfId="45116" xr:uid="{00000000-0005-0000-0000-00008B5D0000}"/>
    <cellStyle name="40% - Accent2 2 3 7 4 5" xfId="15941" xr:uid="{00000000-0005-0000-0000-00008C5D0000}"/>
    <cellStyle name="40% - Accent2 2 3 7 5" xfId="20804" xr:uid="{00000000-0005-0000-0000-00008D5D0000}"/>
    <cellStyle name="40% - Accent2 2 3 7 6" xfId="30529" xr:uid="{00000000-0005-0000-0000-00008E5D0000}"/>
    <cellStyle name="40% - Accent2 2 3 7 7" xfId="40254" xr:uid="{00000000-0005-0000-0000-00008F5D0000}"/>
    <cellStyle name="40% - Accent2 2 3 7 8" xfId="11079" xr:uid="{00000000-0005-0000-0000-0000905D0000}"/>
    <cellStyle name="40% - Accent2 2 3 8" xfId="523" xr:uid="{00000000-0005-0000-0000-0000915D0000}"/>
    <cellStyle name="40% - Accent2 2 3 8 2" xfId="2163" xr:uid="{00000000-0005-0000-0000-0000925D0000}"/>
    <cellStyle name="40% - Accent2 2 3 8 2 2" xfId="7025" xr:uid="{00000000-0005-0000-0000-0000935D0000}"/>
    <cellStyle name="40% - Accent2 2 3 8 2 2 2" xfId="26476" xr:uid="{00000000-0005-0000-0000-0000945D0000}"/>
    <cellStyle name="40% - Accent2 2 3 8 2 2 3" xfId="36201" xr:uid="{00000000-0005-0000-0000-0000955D0000}"/>
    <cellStyle name="40% - Accent2 2 3 8 2 2 4" xfId="45926" xr:uid="{00000000-0005-0000-0000-0000965D0000}"/>
    <cellStyle name="40% - Accent2 2 3 8 2 2 5" xfId="16751" xr:uid="{00000000-0005-0000-0000-0000975D0000}"/>
    <cellStyle name="40% - Accent2 2 3 8 2 3" xfId="21614" xr:uid="{00000000-0005-0000-0000-0000985D0000}"/>
    <cellStyle name="40% - Accent2 2 3 8 2 4" xfId="31339" xr:uid="{00000000-0005-0000-0000-0000995D0000}"/>
    <cellStyle name="40% - Accent2 2 3 8 2 5" xfId="41064" xr:uid="{00000000-0005-0000-0000-00009A5D0000}"/>
    <cellStyle name="40% - Accent2 2 3 8 2 6" xfId="11889" xr:uid="{00000000-0005-0000-0000-00009B5D0000}"/>
    <cellStyle name="40% - Accent2 2 3 8 3" xfId="3783" xr:uid="{00000000-0005-0000-0000-00009C5D0000}"/>
    <cellStyle name="40% - Accent2 2 3 8 3 2" xfId="8645" xr:uid="{00000000-0005-0000-0000-00009D5D0000}"/>
    <cellStyle name="40% - Accent2 2 3 8 3 2 2" xfId="28096" xr:uid="{00000000-0005-0000-0000-00009E5D0000}"/>
    <cellStyle name="40% - Accent2 2 3 8 3 2 3" xfId="37821" xr:uid="{00000000-0005-0000-0000-00009F5D0000}"/>
    <cellStyle name="40% - Accent2 2 3 8 3 2 4" xfId="47546" xr:uid="{00000000-0005-0000-0000-0000A05D0000}"/>
    <cellStyle name="40% - Accent2 2 3 8 3 2 5" xfId="18371" xr:uid="{00000000-0005-0000-0000-0000A15D0000}"/>
    <cellStyle name="40% - Accent2 2 3 8 3 3" xfId="23234" xr:uid="{00000000-0005-0000-0000-0000A25D0000}"/>
    <cellStyle name="40% - Accent2 2 3 8 3 4" xfId="32959" xr:uid="{00000000-0005-0000-0000-0000A35D0000}"/>
    <cellStyle name="40% - Accent2 2 3 8 3 5" xfId="42684" xr:uid="{00000000-0005-0000-0000-0000A45D0000}"/>
    <cellStyle name="40% - Accent2 2 3 8 3 6" xfId="13509" xr:uid="{00000000-0005-0000-0000-0000A55D0000}"/>
    <cellStyle name="40% - Accent2 2 3 8 4" xfId="5405" xr:uid="{00000000-0005-0000-0000-0000A65D0000}"/>
    <cellStyle name="40% - Accent2 2 3 8 4 2" xfId="24856" xr:uid="{00000000-0005-0000-0000-0000A75D0000}"/>
    <cellStyle name="40% - Accent2 2 3 8 4 3" xfId="34581" xr:uid="{00000000-0005-0000-0000-0000A85D0000}"/>
    <cellStyle name="40% - Accent2 2 3 8 4 4" xfId="44306" xr:uid="{00000000-0005-0000-0000-0000A95D0000}"/>
    <cellStyle name="40% - Accent2 2 3 8 4 5" xfId="15131" xr:uid="{00000000-0005-0000-0000-0000AA5D0000}"/>
    <cellStyle name="40% - Accent2 2 3 8 5" xfId="19994" xr:uid="{00000000-0005-0000-0000-0000AB5D0000}"/>
    <cellStyle name="40% - Accent2 2 3 8 6" xfId="29719" xr:uid="{00000000-0005-0000-0000-0000AC5D0000}"/>
    <cellStyle name="40% - Accent2 2 3 8 7" xfId="39444" xr:uid="{00000000-0005-0000-0000-0000AD5D0000}"/>
    <cellStyle name="40% - Accent2 2 3 8 8" xfId="10269" xr:uid="{00000000-0005-0000-0000-0000AE5D0000}"/>
    <cellStyle name="40% - Accent2 2 3 9" xfId="1712" xr:uid="{00000000-0005-0000-0000-0000AF5D0000}"/>
    <cellStyle name="40% - Accent2 2 3 9 2" xfId="3333" xr:uid="{00000000-0005-0000-0000-0000B05D0000}"/>
    <cellStyle name="40% - Accent2 2 3 9 2 2" xfId="8195" xr:uid="{00000000-0005-0000-0000-0000B15D0000}"/>
    <cellStyle name="40% - Accent2 2 3 9 2 2 2" xfId="27646" xr:uid="{00000000-0005-0000-0000-0000B25D0000}"/>
    <cellStyle name="40% - Accent2 2 3 9 2 2 3" xfId="37371" xr:uid="{00000000-0005-0000-0000-0000B35D0000}"/>
    <cellStyle name="40% - Accent2 2 3 9 2 2 4" xfId="47096" xr:uid="{00000000-0005-0000-0000-0000B45D0000}"/>
    <cellStyle name="40% - Accent2 2 3 9 2 2 5" xfId="17921" xr:uid="{00000000-0005-0000-0000-0000B55D0000}"/>
    <cellStyle name="40% - Accent2 2 3 9 2 3" xfId="22784" xr:uid="{00000000-0005-0000-0000-0000B65D0000}"/>
    <cellStyle name="40% - Accent2 2 3 9 2 4" xfId="32509" xr:uid="{00000000-0005-0000-0000-0000B75D0000}"/>
    <cellStyle name="40% - Accent2 2 3 9 2 5" xfId="42234" xr:uid="{00000000-0005-0000-0000-0000B85D0000}"/>
    <cellStyle name="40% - Accent2 2 3 9 2 6" xfId="13059" xr:uid="{00000000-0005-0000-0000-0000B95D0000}"/>
    <cellStyle name="40% - Accent2 2 3 9 3" xfId="4953" xr:uid="{00000000-0005-0000-0000-0000BA5D0000}"/>
    <cellStyle name="40% - Accent2 2 3 9 3 2" xfId="9815" xr:uid="{00000000-0005-0000-0000-0000BB5D0000}"/>
    <cellStyle name="40% - Accent2 2 3 9 3 2 2" xfId="29266" xr:uid="{00000000-0005-0000-0000-0000BC5D0000}"/>
    <cellStyle name="40% - Accent2 2 3 9 3 2 3" xfId="38991" xr:uid="{00000000-0005-0000-0000-0000BD5D0000}"/>
    <cellStyle name="40% - Accent2 2 3 9 3 2 4" xfId="48716" xr:uid="{00000000-0005-0000-0000-0000BE5D0000}"/>
    <cellStyle name="40% - Accent2 2 3 9 3 2 5" xfId="19541" xr:uid="{00000000-0005-0000-0000-0000BF5D0000}"/>
    <cellStyle name="40% - Accent2 2 3 9 3 3" xfId="24404" xr:uid="{00000000-0005-0000-0000-0000C05D0000}"/>
    <cellStyle name="40% - Accent2 2 3 9 3 4" xfId="34129" xr:uid="{00000000-0005-0000-0000-0000C15D0000}"/>
    <cellStyle name="40% - Accent2 2 3 9 3 5" xfId="43854" xr:uid="{00000000-0005-0000-0000-0000C25D0000}"/>
    <cellStyle name="40% - Accent2 2 3 9 3 6" xfId="14679" xr:uid="{00000000-0005-0000-0000-0000C35D0000}"/>
    <cellStyle name="40% - Accent2 2 3 9 4" xfId="6575" xr:uid="{00000000-0005-0000-0000-0000C45D0000}"/>
    <cellStyle name="40% - Accent2 2 3 9 4 2" xfId="26026" xr:uid="{00000000-0005-0000-0000-0000C55D0000}"/>
    <cellStyle name="40% - Accent2 2 3 9 4 3" xfId="35751" xr:uid="{00000000-0005-0000-0000-0000C65D0000}"/>
    <cellStyle name="40% - Accent2 2 3 9 4 4" xfId="45476" xr:uid="{00000000-0005-0000-0000-0000C75D0000}"/>
    <cellStyle name="40% - Accent2 2 3 9 4 5" xfId="16301" xr:uid="{00000000-0005-0000-0000-0000C85D0000}"/>
    <cellStyle name="40% - Accent2 2 3 9 5" xfId="21164" xr:uid="{00000000-0005-0000-0000-0000C95D0000}"/>
    <cellStyle name="40% - Accent2 2 3 9 6" xfId="30889" xr:uid="{00000000-0005-0000-0000-0000CA5D0000}"/>
    <cellStyle name="40% - Accent2 2 3 9 7" xfId="40614" xr:uid="{00000000-0005-0000-0000-0000CB5D0000}"/>
    <cellStyle name="40% - Accent2 2 3 9 8" xfId="11439" xr:uid="{00000000-0005-0000-0000-0000CC5D0000}"/>
    <cellStyle name="40% - Accent2 2 4" xfId="241" xr:uid="{00000000-0005-0000-0000-0000CD5D0000}"/>
    <cellStyle name="40% - Accent2 2 4 10" xfId="39204" xr:uid="{00000000-0005-0000-0000-0000CE5D0000}"/>
    <cellStyle name="40% - Accent2 2 4 11" xfId="10029" xr:uid="{00000000-0005-0000-0000-0000CF5D0000}"/>
    <cellStyle name="40% - Accent2 2 4 2" xfId="1005" xr:uid="{00000000-0005-0000-0000-0000D05D0000}"/>
    <cellStyle name="40% - Accent2 2 4 2 2" xfId="2643" xr:uid="{00000000-0005-0000-0000-0000D15D0000}"/>
    <cellStyle name="40% - Accent2 2 4 2 2 2" xfId="7505" xr:uid="{00000000-0005-0000-0000-0000D25D0000}"/>
    <cellStyle name="40% - Accent2 2 4 2 2 2 2" xfId="26956" xr:uid="{00000000-0005-0000-0000-0000D35D0000}"/>
    <cellStyle name="40% - Accent2 2 4 2 2 2 3" xfId="36681" xr:uid="{00000000-0005-0000-0000-0000D45D0000}"/>
    <cellStyle name="40% - Accent2 2 4 2 2 2 4" xfId="46406" xr:uid="{00000000-0005-0000-0000-0000D55D0000}"/>
    <cellStyle name="40% - Accent2 2 4 2 2 2 5" xfId="17231" xr:uid="{00000000-0005-0000-0000-0000D65D0000}"/>
    <cellStyle name="40% - Accent2 2 4 2 2 3" xfId="22094" xr:uid="{00000000-0005-0000-0000-0000D75D0000}"/>
    <cellStyle name="40% - Accent2 2 4 2 2 4" xfId="31819" xr:uid="{00000000-0005-0000-0000-0000D85D0000}"/>
    <cellStyle name="40% - Accent2 2 4 2 2 5" xfId="41544" xr:uid="{00000000-0005-0000-0000-0000D95D0000}"/>
    <cellStyle name="40% - Accent2 2 4 2 2 6" xfId="12369" xr:uid="{00000000-0005-0000-0000-0000DA5D0000}"/>
    <cellStyle name="40% - Accent2 2 4 2 3" xfId="4263" xr:uid="{00000000-0005-0000-0000-0000DB5D0000}"/>
    <cellStyle name="40% - Accent2 2 4 2 3 2" xfId="9125" xr:uid="{00000000-0005-0000-0000-0000DC5D0000}"/>
    <cellStyle name="40% - Accent2 2 4 2 3 2 2" xfId="28576" xr:uid="{00000000-0005-0000-0000-0000DD5D0000}"/>
    <cellStyle name="40% - Accent2 2 4 2 3 2 3" xfId="38301" xr:uid="{00000000-0005-0000-0000-0000DE5D0000}"/>
    <cellStyle name="40% - Accent2 2 4 2 3 2 4" xfId="48026" xr:uid="{00000000-0005-0000-0000-0000DF5D0000}"/>
    <cellStyle name="40% - Accent2 2 4 2 3 2 5" xfId="18851" xr:uid="{00000000-0005-0000-0000-0000E05D0000}"/>
    <cellStyle name="40% - Accent2 2 4 2 3 3" xfId="23714" xr:uid="{00000000-0005-0000-0000-0000E15D0000}"/>
    <cellStyle name="40% - Accent2 2 4 2 3 4" xfId="33439" xr:uid="{00000000-0005-0000-0000-0000E25D0000}"/>
    <cellStyle name="40% - Accent2 2 4 2 3 5" xfId="43164" xr:uid="{00000000-0005-0000-0000-0000E35D0000}"/>
    <cellStyle name="40% - Accent2 2 4 2 3 6" xfId="13989" xr:uid="{00000000-0005-0000-0000-0000E45D0000}"/>
    <cellStyle name="40% - Accent2 2 4 2 4" xfId="5885" xr:uid="{00000000-0005-0000-0000-0000E55D0000}"/>
    <cellStyle name="40% - Accent2 2 4 2 4 2" xfId="25336" xr:uid="{00000000-0005-0000-0000-0000E65D0000}"/>
    <cellStyle name="40% - Accent2 2 4 2 4 3" xfId="35061" xr:uid="{00000000-0005-0000-0000-0000E75D0000}"/>
    <cellStyle name="40% - Accent2 2 4 2 4 4" xfId="44786" xr:uid="{00000000-0005-0000-0000-0000E85D0000}"/>
    <cellStyle name="40% - Accent2 2 4 2 4 5" xfId="15611" xr:uid="{00000000-0005-0000-0000-0000E95D0000}"/>
    <cellStyle name="40% - Accent2 2 4 2 5" xfId="20474" xr:uid="{00000000-0005-0000-0000-0000EA5D0000}"/>
    <cellStyle name="40% - Accent2 2 4 2 6" xfId="30199" xr:uid="{00000000-0005-0000-0000-0000EB5D0000}"/>
    <cellStyle name="40% - Accent2 2 4 2 7" xfId="39924" xr:uid="{00000000-0005-0000-0000-0000EC5D0000}"/>
    <cellStyle name="40% - Accent2 2 4 2 8" xfId="10749" xr:uid="{00000000-0005-0000-0000-0000ED5D0000}"/>
    <cellStyle name="40% - Accent2 2 4 3" xfId="1472" xr:uid="{00000000-0005-0000-0000-0000EE5D0000}"/>
    <cellStyle name="40% - Accent2 2 4 3 2" xfId="3093" xr:uid="{00000000-0005-0000-0000-0000EF5D0000}"/>
    <cellStyle name="40% - Accent2 2 4 3 2 2" xfId="7955" xr:uid="{00000000-0005-0000-0000-0000F05D0000}"/>
    <cellStyle name="40% - Accent2 2 4 3 2 2 2" xfId="27406" xr:uid="{00000000-0005-0000-0000-0000F15D0000}"/>
    <cellStyle name="40% - Accent2 2 4 3 2 2 3" xfId="37131" xr:uid="{00000000-0005-0000-0000-0000F25D0000}"/>
    <cellStyle name="40% - Accent2 2 4 3 2 2 4" xfId="46856" xr:uid="{00000000-0005-0000-0000-0000F35D0000}"/>
    <cellStyle name="40% - Accent2 2 4 3 2 2 5" xfId="17681" xr:uid="{00000000-0005-0000-0000-0000F45D0000}"/>
    <cellStyle name="40% - Accent2 2 4 3 2 3" xfId="22544" xr:uid="{00000000-0005-0000-0000-0000F55D0000}"/>
    <cellStyle name="40% - Accent2 2 4 3 2 4" xfId="32269" xr:uid="{00000000-0005-0000-0000-0000F65D0000}"/>
    <cellStyle name="40% - Accent2 2 4 3 2 5" xfId="41994" xr:uid="{00000000-0005-0000-0000-0000F75D0000}"/>
    <cellStyle name="40% - Accent2 2 4 3 2 6" xfId="12819" xr:uid="{00000000-0005-0000-0000-0000F85D0000}"/>
    <cellStyle name="40% - Accent2 2 4 3 3" xfId="4713" xr:uid="{00000000-0005-0000-0000-0000F95D0000}"/>
    <cellStyle name="40% - Accent2 2 4 3 3 2" xfId="9575" xr:uid="{00000000-0005-0000-0000-0000FA5D0000}"/>
    <cellStyle name="40% - Accent2 2 4 3 3 2 2" xfId="29026" xr:uid="{00000000-0005-0000-0000-0000FB5D0000}"/>
    <cellStyle name="40% - Accent2 2 4 3 3 2 3" xfId="38751" xr:uid="{00000000-0005-0000-0000-0000FC5D0000}"/>
    <cellStyle name="40% - Accent2 2 4 3 3 2 4" xfId="48476" xr:uid="{00000000-0005-0000-0000-0000FD5D0000}"/>
    <cellStyle name="40% - Accent2 2 4 3 3 2 5" xfId="19301" xr:uid="{00000000-0005-0000-0000-0000FE5D0000}"/>
    <cellStyle name="40% - Accent2 2 4 3 3 3" xfId="24164" xr:uid="{00000000-0005-0000-0000-0000FF5D0000}"/>
    <cellStyle name="40% - Accent2 2 4 3 3 4" xfId="33889" xr:uid="{00000000-0005-0000-0000-0000005E0000}"/>
    <cellStyle name="40% - Accent2 2 4 3 3 5" xfId="43614" xr:uid="{00000000-0005-0000-0000-0000015E0000}"/>
    <cellStyle name="40% - Accent2 2 4 3 3 6" xfId="14439" xr:uid="{00000000-0005-0000-0000-0000025E0000}"/>
    <cellStyle name="40% - Accent2 2 4 3 4" xfId="6335" xr:uid="{00000000-0005-0000-0000-0000035E0000}"/>
    <cellStyle name="40% - Accent2 2 4 3 4 2" xfId="25786" xr:uid="{00000000-0005-0000-0000-0000045E0000}"/>
    <cellStyle name="40% - Accent2 2 4 3 4 3" xfId="35511" xr:uid="{00000000-0005-0000-0000-0000055E0000}"/>
    <cellStyle name="40% - Accent2 2 4 3 4 4" xfId="45236" xr:uid="{00000000-0005-0000-0000-0000065E0000}"/>
    <cellStyle name="40% - Accent2 2 4 3 4 5" xfId="16061" xr:uid="{00000000-0005-0000-0000-0000075E0000}"/>
    <cellStyle name="40% - Accent2 2 4 3 5" xfId="20924" xr:uid="{00000000-0005-0000-0000-0000085E0000}"/>
    <cellStyle name="40% - Accent2 2 4 3 6" xfId="30649" xr:uid="{00000000-0005-0000-0000-0000095E0000}"/>
    <cellStyle name="40% - Accent2 2 4 3 7" xfId="40374" xr:uid="{00000000-0005-0000-0000-00000A5E0000}"/>
    <cellStyle name="40% - Accent2 2 4 3 8" xfId="11199" xr:uid="{00000000-0005-0000-0000-00000B5E0000}"/>
    <cellStyle name="40% - Accent2 2 4 4" xfId="643" xr:uid="{00000000-0005-0000-0000-00000C5E0000}"/>
    <cellStyle name="40% - Accent2 2 4 4 2" xfId="2283" xr:uid="{00000000-0005-0000-0000-00000D5E0000}"/>
    <cellStyle name="40% - Accent2 2 4 4 2 2" xfId="7145" xr:uid="{00000000-0005-0000-0000-00000E5E0000}"/>
    <cellStyle name="40% - Accent2 2 4 4 2 2 2" xfId="26596" xr:uid="{00000000-0005-0000-0000-00000F5E0000}"/>
    <cellStyle name="40% - Accent2 2 4 4 2 2 3" xfId="36321" xr:uid="{00000000-0005-0000-0000-0000105E0000}"/>
    <cellStyle name="40% - Accent2 2 4 4 2 2 4" xfId="46046" xr:uid="{00000000-0005-0000-0000-0000115E0000}"/>
    <cellStyle name="40% - Accent2 2 4 4 2 2 5" xfId="16871" xr:uid="{00000000-0005-0000-0000-0000125E0000}"/>
    <cellStyle name="40% - Accent2 2 4 4 2 3" xfId="21734" xr:uid="{00000000-0005-0000-0000-0000135E0000}"/>
    <cellStyle name="40% - Accent2 2 4 4 2 4" xfId="31459" xr:uid="{00000000-0005-0000-0000-0000145E0000}"/>
    <cellStyle name="40% - Accent2 2 4 4 2 5" xfId="41184" xr:uid="{00000000-0005-0000-0000-0000155E0000}"/>
    <cellStyle name="40% - Accent2 2 4 4 2 6" xfId="12009" xr:uid="{00000000-0005-0000-0000-0000165E0000}"/>
    <cellStyle name="40% - Accent2 2 4 4 3" xfId="3903" xr:uid="{00000000-0005-0000-0000-0000175E0000}"/>
    <cellStyle name="40% - Accent2 2 4 4 3 2" xfId="8765" xr:uid="{00000000-0005-0000-0000-0000185E0000}"/>
    <cellStyle name="40% - Accent2 2 4 4 3 2 2" xfId="28216" xr:uid="{00000000-0005-0000-0000-0000195E0000}"/>
    <cellStyle name="40% - Accent2 2 4 4 3 2 3" xfId="37941" xr:uid="{00000000-0005-0000-0000-00001A5E0000}"/>
    <cellStyle name="40% - Accent2 2 4 4 3 2 4" xfId="47666" xr:uid="{00000000-0005-0000-0000-00001B5E0000}"/>
    <cellStyle name="40% - Accent2 2 4 4 3 2 5" xfId="18491" xr:uid="{00000000-0005-0000-0000-00001C5E0000}"/>
    <cellStyle name="40% - Accent2 2 4 4 3 3" xfId="23354" xr:uid="{00000000-0005-0000-0000-00001D5E0000}"/>
    <cellStyle name="40% - Accent2 2 4 4 3 4" xfId="33079" xr:uid="{00000000-0005-0000-0000-00001E5E0000}"/>
    <cellStyle name="40% - Accent2 2 4 4 3 5" xfId="42804" xr:uid="{00000000-0005-0000-0000-00001F5E0000}"/>
    <cellStyle name="40% - Accent2 2 4 4 3 6" xfId="13629" xr:uid="{00000000-0005-0000-0000-0000205E0000}"/>
    <cellStyle name="40% - Accent2 2 4 4 4" xfId="5525" xr:uid="{00000000-0005-0000-0000-0000215E0000}"/>
    <cellStyle name="40% - Accent2 2 4 4 4 2" xfId="24976" xr:uid="{00000000-0005-0000-0000-0000225E0000}"/>
    <cellStyle name="40% - Accent2 2 4 4 4 3" xfId="34701" xr:uid="{00000000-0005-0000-0000-0000235E0000}"/>
    <cellStyle name="40% - Accent2 2 4 4 4 4" xfId="44426" xr:uid="{00000000-0005-0000-0000-0000245E0000}"/>
    <cellStyle name="40% - Accent2 2 4 4 4 5" xfId="15251" xr:uid="{00000000-0005-0000-0000-0000255E0000}"/>
    <cellStyle name="40% - Accent2 2 4 4 5" xfId="20114" xr:uid="{00000000-0005-0000-0000-0000265E0000}"/>
    <cellStyle name="40% - Accent2 2 4 4 6" xfId="29839" xr:uid="{00000000-0005-0000-0000-0000275E0000}"/>
    <cellStyle name="40% - Accent2 2 4 4 7" xfId="39564" xr:uid="{00000000-0005-0000-0000-0000285E0000}"/>
    <cellStyle name="40% - Accent2 2 4 4 8" xfId="10389" xr:uid="{00000000-0005-0000-0000-0000295E0000}"/>
    <cellStyle name="40% - Accent2 2 4 5" xfId="1923" xr:uid="{00000000-0005-0000-0000-00002A5E0000}"/>
    <cellStyle name="40% - Accent2 2 4 5 2" xfId="6785" xr:uid="{00000000-0005-0000-0000-00002B5E0000}"/>
    <cellStyle name="40% - Accent2 2 4 5 2 2" xfId="26236" xr:uid="{00000000-0005-0000-0000-00002C5E0000}"/>
    <cellStyle name="40% - Accent2 2 4 5 2 3" xfId="35961" xr:uid="{00000000-0005-0000-0000-00002D5E0000}"/>
    <cellStyle name="40% - Accent2 2 4 5 2 4" xfId="45686" xr:uid="{00000000-0005-0000-0000-00002E5E0000}"/>
    <cellStyle name="40% - Accent2 2 4 5 2 5" xfId="16511" xr:uid="{00000000-0005-0000-0000-00002F5E0000}"/>
    <cellStyle name="40% - Accent2 2 4 5 3" xfId="21374" xr:uid="{00000000-0005-0000-0000-0000305E0000}"/>
    <cellStyle name="40% - Accent2 2 4 5 4" xfId="31099" xr:uid="{00000000-0005-0000-0000-0000315E0000}"/>
    <cellStyle name="40% - Accent2 2 4 5 5" xfId="40824" xr:uid="{00000000-0005-0000-0000-0000325E0000}"/>
    <cellStyle name="40% - Accent2 2 4 5 6" xfId="11649" xr:uid="{00000000-0005-0000-0000-0000335E0000}"/>
    <cellStyle name="40% - Accent2 2 4 6" xfId="3543" xr:uid="{00000000-0005-0000-0000-0000345E0000}"/>
    <cellStyle name="40% - Accent2 2 4 6 2" xfId="8405" xr:uid="{00000000-0005-0000-0000-0000355E0000}"/>
    <cellStyle name="40% - Accent2 2 4 6 2 2" xfId="27856" xr:uid="{00000000-0005-0000-0000-0000365E0000}"/>
    <cellStyle name="40% - Accent2 2 4 6 2 3" xfId="37581" xr:uid="{00000000-0005-0000-0000-0000375E0000}"/>
    <cellStyle name="40% - Accent2 2 4 6 2 4" xfId="47306" xr:uid="{00000000-0005-0000-0000-0000385E0000}"/>
    <cellStyle name="40% - Accent2 2 4 6 2 5" xfId="18131" xr:uid="{00000000-0005-0000-0000-0000395E0000}"/>
    <cellStyle name="40% - Accent2 2 4 6 3" xfId="22994" xr:uid="{00000000-0005-0000-0000-00003A5E0000}"/>
    <cellStyle name="40% - Accent2 2 4 6 4" xfId="32719" xr:uid="{00000000-0005-0000-0000-00003B5E0000}"/>
    <cellStyle name="40% - Accent2 2 4 6 5" xfId="42444" xr:uid="{00000000-0005-0000-0000-00003C5E0000}"/>
    <cellStyle name="40% - Accent2 2 4 6 6" xfId="13269" xr:uid="{00000000-0005-0000-0000-00003D5E0000}"/>
    <cellStyle name="40% - Accent2 2 4 7" xfId="5165" xr:uid="{00000000-0005-0000-0000-00003E5E0000}"/>
    <cellStyle name="40% - Accent2 2 4 7 2" xfId="24616" xr:uid="{00000000-0005-0000-0000-00003F5E0000}"/>
    <cellStyle name="40% - Accent2 2 4 7 3" xfId="34341" xr:uid="{00000000-0005-0000-0000-0000405E0000}"/>
    <cellStyle name="40% - Accent2 2 4 7 4" xfId="44066" xr:uid="{00000000-0005-0000-0000-0000415E0000}"/>
    <cellStyle name="40% - Accent2 2 4 7 5" xfId="14891" xr:uid="{00000000-0005-0000-0000-0000425E0000}"/>
    <cellStyle name="40% - Accent2 2 4 8" xfId="19754" xr:uid="{00000000-0005-0000-0000-0000435E0000}"/>
    <cellStyle name="40% - Accent2 2 4 9" xfId="29479" xr:uid="{00000000-0005-0000-0000-0000445E0000}"/>
    <cellStyle name="40% - Accent2 2 5" xfId="332" xr:uid="{00000000-0005-0000-0000-0000455E0000}"/>
    <cellStyle name="40% - Accent2 2 5 10" xfId="39294" xr:uid="{00000000-0005-0000-0000-0000465E0000}"/>
    <cellStyle name="40% - Accent2 2 5 11" xfId="10119" xr:uid="{00000000-0005-0000-0000-0000475E0000}"/>
    <cellStyle name="40% - Accent2 2 5 2" xfId="1095" xr:uid="{00000000-0005-0000-0000-0000485E0000}"/>
    <cellStyle name="40% - Accent2 2 5 2 2" xfId="2733" xr:uid="{00000000-0005-0000-0000-0000495E0000}"/>
    <cellStyle name="40% - Accent2 2 5 2 2 2" xfId="7595" xr:uid="{00000000-0005-0000-0000-00004A5E0000}"/>
    <cellStyle name="40% - Accent2 2 5 2 2 2 2" xfId="27046" xr:uid="{00000000-0005-0000-0000-00004B5E0000}"/>
    <cellStyle name="40% - Accent2 2 5 2 2 2 3" xfId="36771" xr:uid="{00000000-0005-0000-0000-00004C5E0000}"/>
    <cellStyle name="40% - Accent2 2 5 2 2 2 4" xfId="46496" xr:uid="{00000000-0005-0000-0000-00004D5E0000}"/>
    <cellStyle name="40% - Accent2 2 5 2 2 2 5" xfId="17321" xr:uid="{00000000-0005-0000-0000-00004E5E0000}"/>
    <cellStyle name="40% - Accent2 2 5 2 2 3" xfId="22184" xr:uid="{00000000-0005-0000-0000-00004F5E0000}"/>
    <cellStyle name="40% - Accent2 2 5 2 2 4" xfId="31909" xr:uid="{00000000-0005-0000-0000-0000505E0000}"/>
    <cellStyle name="40% - Accent2 2 5 2 2 5" xfId="41634" xr:uid="{00000000-0005-0000-0000-0000515E0000}"/>
    <cellStyle name="40% - Accent2 2 5 2 2 6" xfId="12459" xr:uid="{00000000-0005-0000-0000-0000525E0000}"/>
    <cellStyle name="40% - Accent2 2 5 2 3" xfId="4353" xr:uid="{00000000-0005-0000-0000-0000535E0000}"/>
    <cellStyle name="40% - Accent2 2 5 2 3 2" xfId="9215" xr:uid="{00000000-0005-0000-0000-0000545E0000}"/>
    <cellStyle name="40% - Accent2 2 5 2 3 2 2" xfId="28666" xr:uid="{00000000-0005-0000-0000-0000555E0000}"/>
    <cellStyle name="40% - Accent2 2 5 2 3 2 3" xfId="38391" xr:uid="{00000000-0005-0000-0000-0000565E0000}"/>
    <cellStyle name="40% - Accent2 2 5 2 3 2 4" xfId="48116" xr:uid="{00000000-0005-0000-0000-0000575E0000}"/>
    <cellStyle name="40% - Accent2 2 5 2 3 2 5" xfId="18941" xr:uid="{00000000-0005-0000-0000-0000585E0000}"/>
    <cellStyle name="40% - Accent2 2 5 2 3 3" xfId="23804" xr:uid="{00000000-0005-0000-0000-0000595E0000}"/>
    <cellStyle name="40% - Accent2 2 5 2 3 4" xfId="33529" xr:uid="{00000000-0005-0000-0000-00005A5E0000}"/>
    <cellStyle name="40% - Accent2 2 5 2 3 5" xfId="43254" xr:uid="{00000000-0005-0000-0000-00005B5E0000}"/>
    <cellStyle name="40% - Accent2 2 5 2 3 6" xfId="14079" xr:uid="{00000000-0005-0000-0000-00005C5E0000}"/>
    <cellStyle name="40% - Accent2 2 5 2 4" xfId="5975" xr:uid="{00000000-0005-0000-0000-00005D5E0000}"/>
    <cellStyle name="40% - Accent2 2 5 2 4 2" xfId="25426" xr:uid="{00000000-0005-0000-0000-00005E5E0000}"/>
    <cellStyle name="40% - Accent2 2 5 2 4 3" xfId="35151" xr:uid="{00000000-0005-0000-0000-00005F5E0000}"/>
    <cellStyle name="40% - Accent2 2 5 2 4 4" xfId="44876" xr:uid="{00000000-0005-0000-0000-0000605E0000}"/>
    <cellStyle name="40% - Accent2 2 5 2 4 5" xfId="15701" xr:uid="{00000000-0005-0000-0000-0000615E0000}"/>
    <cellStyle name="40% - Accent2 2 5 2 5" xfId="20564" xr:uid="{00000000-0005-0000-0000-0000625E0000}"/>
    <cellStyle name="40% - Accent2 2 5 2 6" xfId="30289" xr:uid="{00000000-0005-0000-0000-0000635E0000}"/>
    <cellStyle name="40% - Accent2 2 5 2 7" xfId="40014" xr:uid="{00000000-0005-0000-0000-0000645E0000}"/>
    <cellStyle name="40% - Accent2 2 5 2 8" xfId="10839" xr:uid="{00000000-0005-0000-0000-0000655E0000}"/>
    <cellStyle name="40% - Accent2 2 5 3" xfId="1562" xr:uid="{00000000-0005-0000-0000-0000665E0000}"/>
    <cellStyle name="40% - Accent2 2 5 3 2" xfId="3183" xr:uid="{00000000-0005-0000-0000-0000675E0000}"/>
    <cellStyle name="40% - Accent2 2 5 3 2 2" xfId="8045" xr:uid="{00000000-0005-0000-0000-0000685E0000}"/>
    <cellStyle name="40% - Accent2 2 5 3 2 2 2" xfId="27496" xr:uid="{00000000-0005-0000-0000-0000695E0000}"/>
    <cellStyle name="40% - Accent2 2 5 3 2 2 3" xfId="37221" xr:uid="{00000000-0005-0000-0000-00006A5E0000}"/>
    <cellStyle name="40% - Accent2 2 5 3 2 2 4" xfId="46946" xr:uid="{00000000-0005-0000-0000-00006B5E0000}"/>
    <cellStyle name="40% - Accent2 2 5 3 2 2 5" xfId="17771" xr:uid="{00000000-0005-0000-0000-00006C5E0000}"/>
    <cellStyle name="40% - Accent2 2 5 3 2 3" xfId="22634" xr:uid="{00000000-0005-0000-0000-00006D5E0000}"/>
    <cellStyle name="40% - Accent2 2 5 3 2 4" xfId="32359" xr:uid="{00000000-0005-0000-0000-00006E5E0000}"/>
    <cellStyle name="40% - Accent2 2 5 3 2 5" xfId="42084" xr:uid="{00000000-0005-0000-0000-00006F5E0000}"/>
    <cellStyle name="40% - Accent2 2 5 3 2 6" xfId="12909" xr:uid="{00000000-0005-0000-0000-0000705E0000}"/>
    <cellStyle name="40% - Accent2 2 5 3 3" xfId="4803" xr:uid="{00000000-0005-0000-0000-0000715E0000}"/>
    <cellStyle name="40% - Accent2 2 5 3 3 2" xfId="9665" xr:uid="{00000000-0005-0000-0000-0000725E0000}"/>
    <cellStyle name="40% - Accent2 2 5 3 3 2 2" xfId="29116" xr:uid="{00000000-0005-0000-0000-0000735E0000}"/>
    <cellStyle name="40% - Accent2 2 5 3 3 2 3" xfId="38841" xr:uid="{00000000-0005-0000-0000-0000745E0000}"/>
    <cellStyle name="40% - Accent2 2 5 3 3 2 4" xfId="48566" xr:uid="{00000000-0005-0000-0000-0000755E0000}"/>
    <cellStyle name="40% - Accent2 2 5 3 3 2 5" xfId="19391" xr:uid="{00000000-0005-0000-0000-0000765E0000}"/>
    <cellStyle name="40% - Accent2 2 5 3 3 3" xfId="24254" xr:uid="{00000000-0005-0000-0000-0000775E0000}"/>
    <cellStyle name="40% - Accent2 2 5 3 3 4" xfId="33979" xr:uid="{00000000-0005-0000-0000-0000785E0000}"/>
    <cellStyle name="40% - Accent2 2 5 3 3 5" xfId="43704" xr:uid="{00000000-0005-0000-0000-0000795E0000}"/>
    <cellStyle name="40% - Accent2 2 5 3 3 6" xfId="14529" xr:uid="{00000000-0005-0000-0000-00007A5E0000}"/>
    <cellStyle name="40% - Accent2 2 5 3 4" xfId="6425" xr:uid="{00000000-0005-0000-0000-00007B5E0000}"/>
    <cellStyle name="40% - Accent2 2 5 3 4 2" xfId="25876" xr:uid="{00000000-0005-0000-0000-00007C5E0000}"/>
    <cellStyle name="40% - Accent2 2 5 3 4 3" xfId="35601" xr:uid="{00000000-0005-0000-0000-00007D5E0000}"/>
    <cellStyle name="40% - Accent2 2 5 3 4 4" xfId="45326" xr:uid="{00000000-0005-0000-0000-00007E5E0000}"/>
    <cellStyle name="40% - Accent2 2 5 3 4 5" xfId="16151" xr:uid="{00000000-0005-0000-0000-00007F5E0000}"/>
    <cellStyle name="40% - Accent2 2 5 3 5" xfId="21014" xr:uid="{00000000-0005-0000-0000-0000805E0000}"/>
    <cellStyle name="40% - Accent2 2 5 3 6" xfId="30739" xr:uid="{00000000-0005-0000-0000-0000815E0000}"/>
    <cellStyle name="40% - Accent2 2 5 3 7" xfId="40464" xr:uid="{00000000-0005-0000-0000-0000825E0000}"/>
    <cellStyle name="40% - Accent2 2 5 3 8" xfId="11289" xr:uid="{00000000-0005-0000-0000-0000835E0000}"/>
    <cellStyle name="40% - Accent2 2 5 4" xfId="733" xr:uid="{00000000-0005-0000-0000-0000845E0000}"/>
    <cellStyle name="40% - Accent2 2 5 4 2" xfId="2373" xr:uid="{00000000-0005-0000-0000-0000855E0000}"/>
    <cellStyle name="40% - Accent2 2 5 4 2 2" xfId="7235" xr:uid="{00000000-0005-0000-0000-0000865E0000}"/>
    <cellStyle name="40% - Accent2 2 5 4 2 2 2" xfId="26686" xr:uid="{00000000-0005-0000-0000-0000875E0000}"/>
    <cellStyle name="40% - Accent2 2 5 4 2 2 3" xfId="36411" xr:uid="{00000000-0005-0000-0000-0000885E0000}"/>
    <cellStyle name="40% - Accent2 2 5 4 2 2 4" xfId="46136" xr:uid="{00000000-0005-0000-0000-0000895E0000}"/>
    <cellStyle name="40% - Accent2 2 5 4 2 2 5" xfId="16961" xr:uid="{00000000-0005-0000-0000-00008A5E0000}"/>
    <cellStyle name="40% - Accent2 2 5 4 2 3" xfId="21824" xr:uid="{00000000-0005-0000-0000-00008B5E0000}"/>
    <cellStyle name="40% - Accent2 2 5 4 2 4" xfId="31549" xr:uid="{00000000-0005-0000-0000-00008C5E0000}"/>
    <cellStyle name="40% - Accent2 2 5 4 2 5" xfId="41274" xr:uid="{00000000-0005-0000-0000-00008D5E0000}"/>
    <cellStyle name="40% - Accent2 2 5 4 2 6" xfId="12099" xr:uid="{00000000-0005-0000-0000-00008E5E0000}"/>
    <cellStyle name="40% - Accent2 2 5 4 3" xfId="3993" xr:uid="{00000000-0005-0000-0000-00008F5E0000}"/>
    <cellStyle name="40% - Accent2 2 5 4 3 2" xfId="8855" xr:uid="{00000000-0005-0000-0000-0000905E0000}"/>
    <cellStyle name="40% - Accent2 2 5 4 3 2 2" xfId="28306" xr:uid="{00000000-0005-0000-0000-0000915E0000}"/>
    <cellStyle name="40% - Accent2 2 5 4 3 2 3" xfId="38031" xr:uid="{00000000-0005-0000-0000-0000925E0000}"/>
    <cellStyle name="40% - Accent2 2 5 4 3 2 4" xfId="47756" xr:uid="{00000000-0005-0000-0000-0000935E0000}"/>
    <cellStyle name="40% - Accent2 2 5 4 3 2 5" xfId="18581" xr:uid="{00000000-0005-0000-0000-0000945E0000}"/>
    <cellStyle name="40% - Accent2 2 5 4 3 3" xfId="23444" xr:uid="{00000000-0005-0000-0000-0000955E0000}"/>
    <cellStyle name="40% - Accent2 2 5 4 3 4" xfId="33169" xr:uid="{00000000-0005-0000-0000-0000965E0000}"/>
    <cellStyle name="40% - Accent2 2 5 4 3 5" xfId="42894" xr:uid="{00000000-0005-0000-0000-0000975E0000}"/>
    <cellStyle name="40% - Accent2 2 5 4 3 6" xfId="13719" xr:uid="{00000000-0005-0000-0000-0000985E0000}"/>
    <cellStyle name="40% - Accent2 2 5 4 4" xfId="5615" xr:uid="{00000000-0005-0000-0000-0000995E0000}"/>
    <cellStyle name="40% - Accent2 2 5 4 4 2" xfId="25066" xr:uid="{00000000-0005-0000-0000-00009A5E0000}"/>
    <cellStyle name="40% - Accent2 2 5 4 4 3" xfId="34791" xr:uid="{00000000-0005-0000-0000-00009B5E0000}"/>
    <cellStyle name="40% - Accent2 2 5 4 4 4" xfId="44516" xr:uid="{00000000-0005-0000-0000-00009C5E0000}"/>
    <cellStyle name="40% - Accent2 2 5 4 4 5" xfId="15341" xr:uid="{00000000-0005-0000-0000-00009D5E0000}"/>
    <cellStyle name="40% - Accent2 2 5 4 5" xfId="20204" xr:uid="{00000000-0005-0000-0000-00009E5E0000}"/>
    <cellStyle name="40% - Accent2 2 5 4 6" xfId="29929" xr:uid="{00000000-0005-0000-0000-00009F5E0000}"/>
    <cellStyle name="40% - Accent2 2 5 4 7" xfId="39654" xr:uid="{00000000-0005-0000-0000-0000A05E0000}"/>
    <cellStyle name="40% - Accent2 2 5 4 8" xfId="10479" xr:uid="{00000000-0005-0000-0000-0000A15E0000}"/>
    <cellStyle name="40% - Accent2 2 5 5" xfId="2013" xr:uid="{00000000-0005-0000-0000-0000A25E0000}"/>
    <cellStyle name="40% - Accent2 2 5 5 2" xfId="6875" xr:uid="{00000000-0005-0000-0000-0000A35E0000}"/>
    <cellStyle name="40% - Accent2 2 5 5 2 2" xfId="26326" xr:uid="{00000000-0005-0000-0000-0000A45E0000}"/>
    <cellStyle name="40% - Accent2 2 5 5 2 3" xfId="36051" xr:uid="{00000000-0005-0000-0000-0000A55E0000}"/>
    <cellStyle name="40% - Accent2 2 5 5 2 4" xfId="45776" xr:uid="{00000000-0005-0000-0000-0000A65E0000}"/>
    <cellStyle name="40% - Accent2 2 5 5 2 5" xfId="16601" xr:uid="{00000000-0005-0000-0000-0000A75E0000}"/>
    <cellStyle name="40% - Accent2 2 5 5 3" xfId="21464" xr:uid="{00000000-0005-0000-0000-0000A85E0000}"/>
    <cellStyle name="40% - Accent2 2 5 5 4" xfId="31189" xr:uid="{00000000-0005-0000-0000-0000A95E0000}"/>
    <cellStyle name="40% - Accent2 2 5 5 5" xfId="40914" xr:uid="{00000000-0005-0000-0000-0000AA5E0000}"/>
    <cellStyle name="40% - Accent2 2 5 5 6" xfId="11739" xr:uid="{00000000-0005-0000-0000-0000AB5E0000}"/>
    <cellStyle name="40% - Accent2 2 5 6" xfId="3633" xr:uid="{00000000-0005-0000-0000-0000AC5E0000}"/>
    <cellStyle name="40% - Accent2 2 5 6 2" xfId="8495" xr:uid="{00000000-0005-0000-0000-0000AD5E0000}"/>
    <cellStyle name="40% - Accent2 2 5 6 2 2" xfId="27946" xr:uid="{00000000-0005-0000-0000-0000AE5E0000}"/>
    <cellStyle name="40% - Accent2 2 5 6 2 3" xfId="37671" xr:uid="{00000000-0005-0000-0000-0000AF5E0000}"/>
    <cellStyle name="40% - Accent2 2 5 6 2 4" xfId="47396" xr:uid="{00000000-0005-0000-0000-0000B05E0000}"/>
    <cellStyle name="40% - Accent2 2 5 6 2 5" xfId="18221" xr:uid="{00000000-0005-0000-0000-0000B15E0000}"/>
    <cellStyle name="40% - Accent2 2 5 6 3" xfId="23084" xr:uid="{00000000-0005-0000-0000-0000B25E0000}"/>
    <cellStyle name="40% - Accent2 2 5 6 4" xfId="32809" xr:uid="{00000000-0005-0000-0000-0000B35E0000}"/>
    <cellStyle name="40% - Accent2 2 5 6 5" xfId="42534" xr:uid="{00000000-0005-0000-0000-0000B45E0000}"/>
    <cellStyle name="40% - Accent2 2 5 6 6" xfId="13359" xr:uid="{00000000-0005-0000-0000-0000B55E0000}"/>
    <cellStyle name="40% - Accent2 2 5 7" xfId="5255" xr:uid="{00000000-0005-0000-0000-0000B65E0000}"/>
    <cellStyle name="40% - Accent2 2 5 7 2" xfId="24706" xr:uid="{00000000-0005-0000-0000-0000B75E0000}"/>
    <cellStyle name="40% - Accent2 2 5 7 3" xfId="34431" xr:uid="{00000000-0005-0000-0000-0000B85E0000}"/>
    <cellStyle name="40% - Accent2 2 5 7 4" xfId="44156" xr:uid="{00000000-0005-0000-0000-0000B95E0000}"/>
    <cellStyle name="40% - Accent2 2 5 7 5" xfId="14981" xr:uid="{00000000-0005-0000-0000-0000BA5E0000}"/>
    <cellStyle name="40% - Accent2 2 5 8" xfId="19844" xr:uid="{00000000-0005-0000-0000-0000BB5E0000}"/>
    <cellStyle name="40% - Accent2 2 5 9" xfId="29569" xr:uid="{00000000-0005-0000-0000-0000BC5E0000}"/>
    <cellStyle name="40% - Accent2 2 6" xfId="150" xr:uid="{00000000-0005-0000-0000-0000BD5E0000}"/>
    <cellStyle name="40% - Accent2 2 6 10" xfId="39114" xr:uid="{00000000-0005-0000-0000-0000BE5E0000}"/>
    <cellStyle name="40% - Accent2 2 6 11" xfId="9939" xr:uid="{00000000-0005-0000-0000-0000BF5E0000}"/>
    <cellStyle name="40% - Accent2 2 6 2" xfId="914" xr:uid="{00000000-0005-0000-0000-0000C05E0000}"/>
    <cellStyle name="40% - Accent2 2 6 2 2" xfId="2553" xr:uid="{00000000-0005-0000-0000-0000C15E0000}"/>
    <cellStyle name="40% - Accent2 2 6 2 2 2" xfId="7415" xr:uid="{00000000-0005-0000-0000-0000C25E0000}"/>
    <cellStyle name="40% - Accent2 2 6 2 2 2 2" xfId="26866" xr:uid="{00000000-0005-0000-0000-0000C35E0000}"/>
    <cellStyle name="40% - Accent2 2 6 2 2 2 3" xfId="36591" xr:uid="{00000000-0005-0000-0000-0000C45E0000}"/>
    <cellStyle name="40% - Accent2 2 6 2 2 2 4" xfId="46316" xr:uid="{00000000-0005-0000-0000-0000C55E0000}"/>
    <cellStyle name="40% - Accent2 2 6 2 2 2 5" xfId="17141" xr:uid="{00000000-0005-0000-0000-0000C65E0000}"/>
    <cellStyle name="40% - Accent2 2 6 2 2 3" xfId="22004" xr:uid="{00000000-0005-0000-0000-0000C75E0000}"/>
    <cellStyle name="40% - Accent2 2 6 2 2 4" xfId="31729" xr:uid="{00000000-0005-0000-0000-0000C85E0000}"/>
    <cellStyle name="40% - Accent2 2 6 2 2 5" xfId="41454" xr:uid="{00000000-0005-0000-0000-0000C95E0000}"/>
    <cellStyle name="40% - Accent2 2 6 2 2 6" xfId="12279" xr:uid="{00000000-0005-0000-0000-0000CA5E0000}"/>
    <cellStyle name="40% - Accent2 2 6 2 3" xfId="4173" xr:uid="{00000000-0005-0000-0000-0000CB5E0000}"/>
    <cellStyle name="40% - Accent2 2 6 2 3 2" xfId="9035" xr:uid="{00000000-0005-0000-0000-0000CC5E0000}"/>
    <cellStyle name="40% - Accent2 2 6 2 3 2 2" xfId="28486" xr:uid="{00000000-0005-0000-0000-0000CD5E0000}"/>
    <cellStyle name="40% - Accent2 2 6 2 3 2 3" xfId="38211" xr:uid="{00000000-0005-0000-0000-0000CE5E0000}"/>
    <cellStyle name="40% - Accent2 2 6 2 3 2 4" xfId="47936" xr:uid="{00000000-0005-0000-0000-0000CF5E0000}"/>
    <cellStyle name="40% - Accent2 2 6 2 3 2 5" xfId="18761" xr:uid="{00000000-0005-0000-0000-0000D05E0000}"/>
    <cellStyle name="40% - Accent2 2 6 2 3 3" xfId="23624" xr:uid="{00000000-0005-0000-0000-0000D15E0000}"/>
    <cellStyle name="40% - Accent2 2 6 2 3 4" xfId="33349" xr:uid="{00000000-0005-0000-0000-0000D25E0000}"/>
    <cellStyle name="40% - Accent2 2 6 2 3 5" xfId="43074" xr:uid="{00000000-0005-0000-0000-0000D35E0000}"/>
    <cellStyle name="40% - Accent2 2 6 2 3 6" xfId="13899" xr:uid="{00000000-0005-0000-0000-0000D45E0000}"/>
    <cellStyle name="40% - Accent2 2 6 2 4" xfId="5795" xr:uid="{00000000-0005-0000-0000-0000D55E0000}"/>
    <cellStyle name="40% - Accent2 2 6 2 4 2" xfId="25246" xr:uid="{00000000-0005-0000-0000-0000D65E0000}"/>
    <cellStyle name="40% - Accent2 2 6 2 4 3" xfId="34971" xr:uid="{00000000-0005-0000-0000-0000D75E0000}"/>
    <cellStyle name="40% - Accent2 2 6 2 4 4" xfId="44696" xr:uid="{00000000-0005-0000-0000-0000D85E0000}"/>
    <cellStyle name="40% - Accent2 2 6 2 4 5" xfId="15521" xr:uid="{00000000-0005-0000-0000-0000D95E0000}"/>
    <cellStyle name="40% - Accent2 2 6 2 5" xfId="20384" xr:uid="{00000000-0005-0000-0000-0000DA5E0000}"/>
    <cellStyle name="40% - Accent2 2 6 2 6" xfId="30109" xr:uid="{00000000-0005-0000-0000-0000DB5E0000}"/>
    <cellStyle name="40% - Accent2 2 6 2 7" xfId="39834" xr:uid="{00000000-0005-0000-0000-0000DC5E0000}"/>
    <cellStyle name="40% - Accent2 2 6 2 8" xfId="10659" xr:uid="{00000000-0005-0000-0000-0000DD5E0000}"/>
    <cellStyle name="40% - Accent2 2 6 3" xfId="1382" xr:uid="{00000000-0005-0000-0000-0000DE5E0000}"/>
    <cellStyle name="40% - Accent2 2 6 3 2" xfId="3003" xr:uid="{00000000-0005-0000-0000-0000DF5E0000}"/>
    <cellStyle name="40% - Accent2 2 6 3 2 2" xfId="7865" xr:uid="{00000000-0005-0000-0000-0000E05E0000}"/>
    <cellStyle name="40% - Accent2 2 6 3 2 2 2" xfId="27316" xr:uid="{00000000-0005-0000-0000-0000E15E0000}"/>
    <cellStyle name="40% - Accent2 2 6 3 2 2 3" xfId="37041" xr:uid="{00000000-0005-0000-0000-0000E25E0000}"/>
    <cellStyle name="40% - Accent2 2 6 3 2 2 4" xfId="46766" xr:uid="{00000000-0005-0000-0000-0000E35E0000}"/>
    <cellStyle name="40% - Accent2 2 6 3 2 2 5" xfId="17591" xr:uid="{00000000-0005-0000-0000-0000E45E0000}"/>
    <cellStyle name="40% - Accent2 2 6 3 2 3" xfId="22454" xr:uid="{00000000-0005-0000-0000-0000E55E0000}"/>
    <cellStyle name="40% - Accent2 2 6 3 2 4" xfId="32179" xr:uid="{00000000-0005-0000-0000-0000E65E0000}"/>
    <cellStyle name="40% - Accent2 2 6 3 2 5" xfId="41904" xr:uid="{00000000-0005-0000-0000-0000E75E0000}"/>
    <cellStyle name="40% - Accent2 2 6 3 2 6" xfId="12729" xr:uid="{00000000-0005-0000-0000-0000E85E0000}"/>
    <cellStyle name="40% - Accent2 2 6 3 3" xfId="4623" xr:uid="{00000000-0005-0000-0000-0000E95E0000}"/>
    <cellStyle name="40% - Accent2 2 6 3 3 2" xfId="9485" xr:uid="{00000000-0005-0000-0000-0000EA5E0000}"/>
    <cellStyle name="40% - Accent2 2 6 3 3 2 2" xfId="28936" xr:uid="{00000000-0005-0000-0000-0000EB5E0000}"/>
    <cellStyle name="40% - Accent2 2 6 3 3 2 3" xfId="38661" xr:uid="{00000000-0005-0000-0000-0000EC5E0000}"/>
    <cellStyle name="40% - Accent2 2 6 3 3 2 4" xfId="48386" xr:uid="{00000000-0005-0000-0000-0000ED5E0000}"/>
    <cellStyle name="40% - Accent2 2 6 3 3 2 5" xfId="19211" xr:uid="{00000000-0005-0000-0000-0000EE5E0000}"/>
    <cellStyle name="40% - Accent2 2 6 3 3 3" xfId="24074" xr:uid="{00000000-0005-0000-0000-0000EF5E0000}"/>
    <cellStyle name="40% - Accent2 2 6 3 3 4" xfId="33799" xr:uid="{00000000-0005-0000-0000-0000F05E0000}"/>
    <cellStyle name="40% - Accent2 2 6 3 3 5" xfId="43524" xr:uid="{00000000-0005-0000-0000-0000F15E0000}"/>
    <cellStyle name="40% - Accent2 2 6 3 3 6" xfId="14349" xr:uid="{00000000-0005-0000-0000-0000F25E0000}"/>
    <cellStyle name="40% - Accent2 2 6 3 4" xfId="6245" xr:uid="{00000000-0005-0000-0000-0000F35E0000}"/>
    <cellStyle name="40% - Accent2 2 6 3 4 2" xfId="25696" xr:uid="{00000000-0005-0000-0000-0000F45E0000}"/>
    <cellStyle name="40% - Accent2 2 6 3 4 3" xfId="35421" xr:uid="{00000000-0005-0000-0000-0000F55E0000}"/>
    <cellStyle name="40% - Accent2 2 6 3 4 4" xfId="45146" xr:uid="{00000000-0005-0000-0000-0000F65E0000}"/>
    <cellStyle name="40% - Accent2 2 6 3 4 5" xfId="15971" xr:uid="{00000000-0005-0000-0000-0000F75E0000}"/>
    <cellStyle name="40% - Accent2 2 6 3 5" xfId="20834" xr:uid="{00000000-0005-0000-0000-0000F85E0000}"/>
    <cellStyle name="40% - Accent2 2 6 3 6" xfId="30559" xr:uid="{00000000-0005-0000-0000-0000F95E0000}"/>
    <cellStyle name="40% - Accent2 2 6 3 7" xfId="40284" xr:uid="{00000000-0005-0000-0000-0000FA5E0000}"/>
    <cellStyle name="40% - Accent2 2 6 3 8" xfId="11109" xr:uid="{00000000-0005-0000-0000-0000FB5E0000}"/>
    <cellStyle name="40% - Accent2 2 6 4" xfId="553" xr:uid="{00000000-0005-0000-0000-0000FC5E0000}"/>
    <cellStyle name="40% - Accent2 2 6 4 2" xfId="2193" xr:uid="{00000000-0005-0000-0000-0000FD5E0000}"/>
    <cellStyle name="40% - Accent2 2 6 4 2 2" xfId="7055" xr:uid="{00000000-0005-0000-0000-0000FE5E0000}"/>
    <cellStyle name="40% - Accent2 2 6 4 2 2 2" xfId="26506" xr:uid="{00000000-0005-0000-0000-0000FF5E0000}"/>
    <cellStyle name="40% - Accent2 2 6 4 2 2 3" xfId="36231" xr:uid="{00000000-0005-0000-0000-0000005F0000}"/>
    <cellStyle name="40% - Accent2 2 6 4 2 2 4" xfId="45956" xr:uid="{00000000-0005-0000-0000-0000015F0000}"/>
    <cellStyle name="40% - Accent2 2 6 4 2 2 5" xfId="16781" xr:uid="{00000000-0005-0000-0000-0000025F0000}"/>
    <cellStyle name="40% - Accent2 2 6 4 2 3" xfId="21644" xr:uid="{00000000-0005-0000-0000-0000035F0000}"/>
    <cellStyle name="40% - Accent2 2 6 4 2 4" xfId="31369" xr:uid="{00000000-0005-0000-0000-0000045F0000}"/>
    <cellStyle name="40% - Accent2 2 6 4 2 5" xfId="41094" xr:uid="{00000000-0005-0000-0000-0000055F0000}"/>
    <cellStyle name="40% - Accent2 2 6 4 2 6" xfId="11919" xr:uid="{00000000-0005-0000-0000-0000065F0000}"/>
    <cellStyle name="40% - Accent2 2 6 4 3" xfId="3813" xr:uid="{00000000-0005-0000-0000-0000075F0000}"/>
    <cellStyle name="40% - Accent2 2 6 4 3 2" xfId="8675" xr:uid="{00000000-0005-0000-0000-0000085F0000}"/>
    <cellStyle name="40% - Accent2 2 6 4 3 2 2" xfId="28126" xr:uid="{00000000-0005-0000-0000-0000095F0000}"/>
    <cellStyle name="40% - Accent2 2 6 4 3 2 3" xfId="37851" xr:uid="{00000000-0005-0000-0000-00000A5F0000}"/>
    <cellStyle name="40% - Accent2 2 6 4 3 2 4" xfId="47576" xr:uid="{00000000-0005-0000-0000-00000B5F0000}"/>
    <cellStyle name="40% - Accent2 2 6 4 3 2 5" xfId="18401" xr:uid="{00000000-0005-0000-0000-00000C5F0000}"/>
    <cellStyle name="40% - Accent2 2 6 4 3 3" xfId="23264" xr:uid="{00000000-0005-0000-0000-00000D5F0000}"/>
    <cellStyle name="40% - Accent2 2 6 4 3 4" xfId="32989" xr:uid="{00000000-0005-0000-0000-00000E5F0000}"/>
    <cellStyle name="40% - Accent2 2 6 4 3 5" xfId="42714" xr:uid="{00000000-0005-0000-0000-00000F5F0000}"/>
    <cellStyle name="40% - Accent2 2 6 4 3 6" xfId="13539" xr:uid="{00000000-0005-0000-0000-0000105F0000}"/>
    <cellStyle name="40% - Accent2 2 6 4 4" xfId="5435" xr:uid="{00000000-0005-0000-0000-0000115F0000}"/>
    <cellStyle name="40% - Accent2 2 6 4 4 2" xfId="24886" xr:uid="{00000000-0005-0000-0000-0000125F0000}"/>
    <cellStyle name="40% - Accent2 2 6 4 4 3" xfId="34611" xr:uid="{00000000-0005-0000-0000-0000135F0000}"/>
    <cellStyle name="40% - Accent2 2 6 4 4 4" xfId="44336" xr:uid="{00000000-0005-0000-0000-0000145F0000}"/>
    <cellStyle name="40% - Accent2 2 6 4 4 5" xfId="15161" xr:uid="{00000000-0005-0000-0000-0000155F0000}"/>
    <cellStyle name="40% - Accent2 2 6 4 5" xfId="20024" xr:uid="{00000000-0005-0000-0000-0000165F0000}"/>
    <cellStyle name="40% - Accent2 2 6 4 6" xfId="29749" xr:uid="{00000000-0005-0000-0000-0000175F0000}"/>
    <cellStyle name="40% - Accent2 2 6 4 7" xfId="39474" xr:uid="{00000000-0005-0000-0000-0000185F0000}"/>
    <cellStyle name="40% - Accent2 2 6 4 8" xfId="10299" xr:uid="{00000000-0005-0000-0000-0000195F0000}"/>
    <cellStyle name="40% - Accent2 2 6 5" xfId="1833" xr:uid="{00000000-0005-0000-0000-00001A5F0000}"/>
    <cellStyle name="40% - Accent2 2 6 5 2" xfId="6695" xr:uid="{00000000-0005-0000-0000-00001B5F0000}"/>
    <cellStyle name="40% - Accent2 2 6 5 2 2" xfId="26146" xr:uid="{00000000-0005-0000-0000-00001C5F0000}"/>
    <cellStyle name="40% - Accent2 2 6 5 2 3" xfId="35871" xr:uid="{00000000-0005-0000-0000-00001D5F0000}"/>
    <cellStyle name="40% - Accent2 2 6 5 2 4" xfId="45596" xr:uid="{00000000-0005-0000-0000-00001E5F0000}"/>
    <cellStyle name="40% - Accent2 2 6 5 2 5" xfId="16421" xr:uid="{00000000-0005-0000-0000-00001F5F0000}"/>
    <cellStyle name="40% - Accent2 2 6 5 3" xfId="21284" xr:uid="{00000000-0005-0000-0000-0000205F0000}"/>
    <cellStyle name="40% - Accent2 2 6 5 4" xfId="31009" xr:uid="{00000000-0005-0000-0000-0000215F0000}"/>
    <cellStyle name="40% - Accent2 2 6 5 5" xfId="40734" xr:uid="{00000000-0005-0000-0000-0000225F0000}"/>
    <cellStyle name="40% - Accent2 2 6 5 6" xfId="11559" xr:uid="{00000000-0005-0000-0000-0000235F0000}"/>
    <cellStyle name="40% - Accent2 2 6 6" xfId="3453" xr:uid="{00000000-0005-0000-0000-0000245F0000}"/>
    <cellStyle name="40% - Accent2 2 6 6 2" xfId="8315" xr:uid="{00000000-0005-0000-0000-0000255F0000}"/>
    <cellStyle name="40% - Accent2 2 6 6 2 2" xfId="27766" xr:uid="{00000000-0005-0000-0000-0000265F0000}"/>
    <cellStyle name="40% - Accent2 2 6 6 2 3" xfId="37491" xr:uid="{00000000-0005-0000-0000-0000275F0000}"/>
    <cellStyle name="40% - Accent2 2 6 6 2 4" xfId="47216" xr:uid="{00000000-0005-0000-0000-0000285F0000}"/>
    <cellStyle name="40% - Accent2 2 6 6 2 5" xfId="18041" xr:uid="{00000000-0005-0000-0000-0000295F0000}"/>
    <cellStyle name="40% - Accent2 2 6 6 3" xfId="22904" xr:uid="{00000000-0005-0000-0000-00002A5F0000}"/>
    <cellStyle name="40% - Accent2 2 6 6 4" xfId="32629" xr:uid="{00000000-0005-0000-0000-00002B5F0000}"/>
    <cellStyle name="40% - Accent2 2 6 6 5" xfId="42354" xr:uid="{00000000-0005-0000-0000-00002C5F0000}"/>
    <cellStyle name="40% - Accent2 2 6 6 6" xfId="13179" xr:uid="{00000000-0005-0000-0000-00002D5F0000}"/>
    <cellStyle name="40% - Accent2 2 6 7" xfId="5075" xr:uid="{00000000-0005-0000-0000-00002E5F0000}"/>
    <cellStyle name="40% - Accent2 2 6 7 2" xfId="24526" xr:uid="{00000000-0005-0000-0000-00002F5F0000}"/>
    <cellStyle name="40% - Accent2 2 6 7 3" xfId="34251" xr:uid="{00000000-0005-0000-0000-0000305F0000}"/>
    <cellStyle name="40% - Accent2 2 6 7 4" xfId="43976" xr:uid="{00000000-0005-0000-0000-0000315F0000}"/>
    <cellStyle name="40% - Accent2 2 6 7 5" xfId="14801" xr:uid="{00000000-0005-0000-0000-0000325F0000}"/>
    <cellStyle name="40% - Accent2 2 6 8" xfId="19664" xr:uid="{00000000-0005-0000-0000-0000335F0000}"/>
    <cellStyle name="40% - Accent2 2 6 9" xfId="29389" xr:uid="{00000000-0005-0000-0000-0000345F0000}"/>
    <cellStyle name="40% - Accent2 2 7" xfId="824" xr:uid="{00000000-0005-0000-0000-0000355F0000}"/>
    <cellStyle name="40% - Accent2 2 7 2" xfId="2463" xr:uid="{00000000-0005-0000-0000-0000365F0000}"/>
    <cellStyle name="40% - Accent2 2 7 2 2" xfId="7325" xr:uid="{00000000-0005-0000-0000-0000375F0000}"/>
    <cellStyle name="40% - Accent2 2 7 2 2 2" xfId="26776" xr:uid="{00000000-0005-0000-0000-0000385F0000}"/>
    <cellStyle name="40% - Accent2 2 7 2 2 3" xfId="36501" xr:uid="{00000000-0005-0000-0000-0000395F0000}"/>
    <cellStyle name="40% - Accent2 2 7 2 2 4" xfId="46226" xr:uid="{00000000-0005-0000-0000-00003A5F0000}"/>
    <cellStyle name="40% - Accent2 2 7 2 2 5" xfId="17051" xr:uid="{00000000-0005-0000-0000-00003B5F0000}"/>
    <cellStyle name="40% - Accent2 2 7 2 3" xfId="21914" xr:uid="{00000000-0005-0000-0000-00003C5F0000}"/>
    <cellStyle name="40% - Accent2 2 7 2 4" xfId="31639" xr:uid="{00000000-0005-0000-0000-00003D5F0000}"/>
    <cellStyle name="40% - Accent2 2 7 2 5" xfId="41364" xr:uid="{00000000-0005-0000-0000-00003E5F0000}"/>
    <cellStyle name="40% - Accent2 2 7 2 6" xfId="12189" xr:uid="{00000000-0005-0000-0000-00003F5F0000}"/>
    <cellStyle name="40% - Accent2 2 7 3" xfId="4083" xr:uid="{00000000-0005-0000-0000-0000405F0000}"/>
    <cellStyle name="40% - Accent2 2 7 3 2" xfId="8945" xr:uid="{00000000-0005-0000-0000-0000415F0000}"/>
    <cellStyle name="40% - Accent2 2 7 3 2 2" xfId="28396" xr:uid="{00000000-0005-0000-0000-0000425F0000}"/>
    <cellStyle name="40% - Accent2 2 7 3 2 3" xfId="38121" xr:uid="{00000000-0005-0000-0000-0000435F0000}"/>
    <cellStyle name="40% - Accent2 2 7 3 2 4" xfId="47846" xr:uid="{00000000-0005-0000-0000-0000445F0000}"/>
    <cellStyle name="40% - Accent2 2 7 3 2 5" xfId="18671" xr:uid="{00000000-0005-0000-0000-0000455F0000}"/>
    <cellStyle name="40% - Accent2 2 7 3 3" xfId="23534" xr:uid="{00000000-0005-0000-0000-0000465F0000}"/>
    <cellStyle name="40% - Accent2 2 7 3 4" xfId="33259" xr:uid="{00000000-0005-0000-0000-0000475F0000}"/>
    <cellStyle name="40% - Accent2 2 7 3 5" xfId="42984" xr:uid="{00000000-0005-0000-0000-0000485F0000}"/>
    <cellStyle name="40% - Accent2 2 7 3 6" xfId="13809" xr:uid="{00000000-0005-0000-0000-0000495F0000}"/>
    <cellStyle name="40% - Accent2 2 7 4" xfId="5705" xr:uid="{00000000-0005-0000-0000-00004A5F0000}"/>
    <cellStyle name="40% - Accent2 2 7 4 2" xfId="25156" xr:uid="{00000000-0005-0000-0000-00004B5F0000}"/>
    <cellStyle name="40% - Accent2 2 7 4 3" xfId="34881" xr:uid="{00000000-0005-0000-0000-00004C5F0000}"/>
    <cellStyle name="40% - Accent2 2 7 4 4" xfId="44606" xr:uid="{00000000-0005-0000-0000-00004D5F0000}"/>
    <cellStyle name="40% - Accent2 2 7 4 5" xfId="15431" xr:uid="{00000000-0005-0000-0000-00004E5F0000}"/>
    <cellStyle name="40% - Accent2 2 7 5" xfId="20294" xr:uid="{00000000-0005-0000-0000-00004F5F0000}"/>
    <cellStyle name="40% - Accent2 2 7 6" xfId="30019" xr:uid="{00000000-0005-0000-0000-0000505F0000}"/>
    <cellStyle name="40% - Accent2 2 7 7" xfId="39744" xr:uid="{00000000-0005-0000-0000-0000515F0000}"/>
    <cellStyle name="40% - Accent2 2 7 8" xfId="10569" xr:uid="{00000000-0005-0000-0000-0000525F0000}"/>
    <cellStyle name="40% - Accent2 2 8" xfId="1202" xr:uid="{00000000-0005-0000-0000-0000535F0000}"/>
    <cellStyle name="40% - Accent2 2 8 2" xfId="2823" xr:uid="{00000000-0005-0000-0000-0000545F0000}"/>
    <cellStyle name="40% - Accent2 2 8 2 2" xfId="7685" xr:uid="{00000000-0005-0000-0000-0000555F0000}"/>
    <cellStyle name="40% - Accent2 2 8 2 2 2" xfId="27136" xr:uid="{00000000-0005-0000-0000-0000565F0000}"/>
    <cellStyle name="40% - Accent2 2 8 2 2 3" xfId="36861" xr:uid="{00000000-0005-0000-0000-0000575F0000}"/>
    <cellStyle name="40% - Accent2 2 8 2 2 4" xfId="46586" xr:uid="{00000000-0005-0000-0000-0000585F0000}"/>
    <cellStyle name="40% - Accent2 2 8 2 2 5" xfId="17411" xr:uid="{00000000-0005-0000-0000-0000595F0000}"/>
    <cellStyle name="40% - Accent2 2 8 2 3" xfId="22274" xr:uid="{00000000-0005-0000-0000-00005A5F0000}"/>
    <cellStyle name="40% - Accent2 2 8 2 4" xfId="31999" xr:uid="{00000000-0005-0000-0000-00005B5F0000}"/>
    <cellStyle name="40% - Accent2 2 8 2 5" xfId="41724" xr:uid="{00000000-0005-0000-0000-00005C5F0000}"/>
    <cellStyle name="40% - Accent2 2 8 2 6" xfId="12549" xr:uid="{00000000-0005-0000-0000-00005D5F0000}"/>
    <cellStyle name="40% - Accent2 2 8 3" xfId="4443" xr:uid="{00000000-0005-0000-0000-00005E5F0000}"/>
    <cellStyle name="40% - Accent2 2 8 3 2" xfId="9305" xr:uid="{00000000-0005-0000-0000-00005F5F0000}"/>
    <cellStyle name="40% - Accent2 2 8 3 2 2" xfId="28756" xr:uid="{00000000-0005-0000-0000-0000605F0000}"/>
    <cellStyle name="40% - Accent2 2 8 3 2 3" xfId="38481" xr:uid="{00000000-0005-0000-0000-0000615F0000}"/>
    <cellStyle name="40% - Accent2 2 8 3 2 4" xfId="48206" xr:uid="{00000000-0005-0000-0000-0000625F0000}"/>
    <cellStyle name="40% - Accent2 2 8 3 2 5" xfId="19031" xr:uid="{00000000-0005-0000-0000-0000635F0000}"/>
    <cellStyle name="40% - Accent2 2 8 3 3" xfId="23894" xr:uid="{00000000-0005-0000-0000-0000645F0000}"/>
    <cellStyle name="40% - Accent2 2 8 3 4" xfId="33619" xr:uid="{00000000-0005-0000-0000-0000655F0000}"/>
    <cellStyle name="40% - Accent2 2 8 3 5" xfId="43344" xr:uid="{00000000-0005-0000-0000-0000665F0000}"/>
    <cellStyle name="40% - Accent2 2 8 3 6" xfId="14169" xr:uid="{00000000-0005-0000-0000-0000675F0000}"/>
    <cellStyle name="40% - Accent2 2 8 4" xfId="6065" xr:uid="{00000000-0005-0000-0000-0000685F0000}"/>
    <cellStyle name="40% - Accent2 2 8 4 2" xfId="25516" xr:uid="{00000000-0005-0000-0000-0000695F0000}"/>
    <cellStyle name="40% - Accent2 2 8 4 3" xfId="35241" xr:uid="{00000000-0005-0000-0000-00006A5F0000}"/>
    <cellStyle name="40% - Accent2 2 8 4 4" xfId="44966" xr:uid="{00000000-0005-0000-0000-00006B5F0000}"/>
    <cellStyle name="40% - Accent2 2 8 4 5" xfId="15791" xr:uid="{00000000-0005-0000-0000-00006C5F0000}"/>
    <cellStyle name="40% - Accent2 2 8 5" xfId="20654" xr:uid="{00000000-0005-0000-0000-00006D5F0000}"/>
    <cellStyle name="40% - Accent2 2 8 6" xfId="30379" xr:uid="{00000000-0005-0000-0000-00006E5F0000}"/>
    <cellStyle name="40% - Accent2 2 8 7" xfId="40104" xr:uid="{00000000-0005-0000-0000-00006F5F0000}"/>
    <cellStyle name="40% - Accent2 2 8 8" xfId="10929" xr:uid="{00000000-0005-0000-0000-0000705F0000}"/>
    <cellStyle name="40% - Accent2 2 9" xfId="1292" xr:uid="{00000000-0005-0000-0000-0000715F0000}"/>
    <cellStyle name="40% - Accent2 2 9 2" xfId="2913" xr:uid="{00000000-0005-0000-0000-0000725F0000}"/>
    <cellStyle name="40% - Accent2 2 9 2 2" xfId="7775" xr:uid="{00000000-0005-0000-0000-0000735F0000}"/>
    <cellStyle name="40% - Accent2 2 9 2 2 2" xfId="27226" xr:uid="{00000000-0005-0000-0000-0000745F0000}"/>
    <cellStyle name="40% - Accent2 2 9 2 2 3" xfId="36951" xr:uid="{00000000-0005-0000-0000-0000755F0000}"/>
    <cellStyle name="40% - Accent2 2 9 2 2 4" xfId="46676" xr:uid="{00000000-0005-0000-0000-0000765F0000}"/>
    <cellStyle name="40% - Accent2 2 9 2 2 5" xfId="17501" xr:uid="{00000000-0005-0000-0000-0000775F0000}"/>
    <cellStyle name="40% - Accent2 2 9 2 3" xfId="22364" xr:uid="{00000000-0005-0000-0000-0000785F0000}"/>
    <cellStyle name="40% - Accent2 2 9 2 4" xfId="32089" xr:uid="{00000000-0005-0000-0000-0000795F0000}"/>
    <cellStyle name="40% - Accent2 2 9 2 5" xfId="41814" xr:uid="{00000000-0005-0000-0000-00007A5F0000}"/>
    <cellStyle name="40% - Accent2 2 9 2 6" xfId="12639" xr:uid="{00000000-0005-0000-0000-00007B5F0000}"/>
    <cellStyle name="40% - Accent2 2 9 3" xfId="4533" xr:uid="{00000000-0005-0000-0000-00007C5F0000}"/>
    <cellStyle name="40% - Accent2 2 9 3 2" xfId="9395" xr:uid="{00000000-0005-0000-0000-00007D5F0000}"/>
    <cellStyle name="40% - Accent2 2 9 3 2 2" xfId="28846" xr:uid="{00000000-0005-0000-0000-00007E5F0000}"/>
    <cellStyle name="40% - Accent2 2 9 3 2 3" xfId="38571" xr:uid="{00000000-0005-0000-0000-00007F5F0000}"/>
    <cellStyle name="40% - Accent2 2 9 3 2 4" xfId="48296" xr:uid="{00000000-0005-0000-0000-0000805F0000}"/>
    <cellStyle name="40% - Accent2 2 9 3 2 5" xfId="19121" xr:uid="{00000000-0005-0000-0000-0000815F0000}"/>
    <cellStyle name="40% - Accent2 2 9 3 3" xfId="23984" xr:uid="{00000000-0005-0000-0000-0000825F0000}"/>
    <cellStyle name="40% - Accent2 2 9 3 4" xfId="33709" xr:uid="{00000000-0005-0000-0000-0000835F0000}"/>
    <cellStyle name="40% - Accent2 2 9 3 5" xfId="43434" xr:uid="{00000000-0005-0000-0000-0000845F0000}"/>
    <cellStyle name="40% - Accent2 2 9 3 6" xfId="14259" xr:uid="{00000000-0005-0000-0000-0000855F0000}"/>
    <cellStyle name="40% - Accent2 2 9 4" xfId="6155" xr:uid="{00000000-0005-0000-0000-0000865F0000}"/>
    <cellStyle name="40% - Accent2 2 9 4 2" xfId="25606" xr:uid="{00000000-0005-0000-0000-0000875F0000}"/>
    <cellStyle name="40% - Accent2 2 9 4 3" xfId="35331" xr:uid="{00000000-0005-0000-0000-0000885F0000}"/>
    <cellStyle name="40% - Accent2 2 9 4 4" xfId="45056" xr:uid="{00000000-0005-0000-0000-0000895F0000}"/>
    <cellStyle name="40% - Accent2 2 9 4 5" xfId="15881" xr:uid="{00000000-0005-0000-0000-00008A5F0000}"/>
    <cellStyle name="40% - Accent2 2 9 5" xfId="20744" xr:uid="{00000000-0005-0000-0000-00008B5F0000}"/>
    <cellStyle name="40% - Accent2 2 9 6" xfId="30469" xr:uid="{00000000-0005-0000-0000-00008C5F0000}"/>
    <cellStyle name="40% - Accent2 2 9 7" xfId="40194" xr:uid="{00000000-0005-0000-0000-00008D5F0000}"/>
    <cellStyle name="40% - Accent2 2 9 8" xfId="11019" xr:uid="{00000000-0005-0000-0000-00008E5F0000}"/>
    <cellStyle name="40% - Accent2 2_Database (All)" xfId="1169" xr:uid="{00000000-0005-0000-0000-00008F5F0000}"/>
    <cellStyle name="40% - Accent2 20" xfId="9835" xr:uid="{00000000-0005-0000-0000-0000905F0000}"/>
    <cellStyle name="40% - Accent2 3" xfId="75" xr:uid="{00000000-0005-0000-0000-0000915F0000}"/>
    <cellStyle name="40% - Accent2 3 10" xfId="1759" xr:uid="{00000000-0005-0000-0000-0000925F0000}"/>
    <cellStyle name="40% - Accent2 3 10 2" xfId="6621" xr:uid="{00000000-0005-0000-0000-0000935F0000}"/>
    <cellStyle name="40% - Accent2 3 10 2 2" xfId="26072" xr:uid="{00000000-0005-0000-0000-0000945F0000}"/>
    <cellStyle name="40% - Accent2 3 10 2 3" xfId="35797" xr:uid="{00000000-0005-0000-0000-0000955F0000}"/>
    <cellStyle name="40% - Accent2 3 10 2 4" xfId="45522" xr:uid="{00000000-0005-0000-0000-0000965F0000}"/>
    <cellStyle name="40% - Accent2 3 10 2 5" xfId="16347" xr:uid="{00000000-0005-0000-0000-0000975F0000}"/>
    <cellStyle name="40% - Accent2 3 10 3" xfId="21210" xr:uid="{00000000-0005-0000-0000-0000985F0000}"/>
    <cellStyle name="40% - Accent2 3 10 4" xfId="30935" xr:uid="{00000000-0005-0000-0000-0000995F0000}"/>
    <cellStyle name="40% - Accent2 3 10 5" xfId="40660" xr:uid="{00000000-0005-0000-0000-00009A5F0000}"/>
    <cellStyle name="40% - Accent2 3 10 6" xfId="11485" xr:uid="{00000000-0005-0000-0000-00009B5F0000}"/>
    <cellStyle name="40% - Accent2 3 11" xfId="3379" xr:uid="{00000000-0005-0000-0000-00009C5F0000}"/>
    <cellStyle name="40% - Accent2 3 11 2" xfId="8241" xr:uid="{00000000-0005-0000-0000-00009D5F0000}"/>
    <cellStyle name="40% - Accent2 3 11 2 2" xfId="27692" xr:uid="{00000000-0005-0000-0000-00009E5F0000}"/>
    <cellStyle name="40% - Accent2 3 11 2 3" xfId="37417" xr:uid="{00000000-0005-0000-0000-00009F5F0000}"/>
    <cellStyle name="40% - Accent2 3 11 2 4" xfId="47142" xr:uid="{00000000-0005-0000-0000-0000A05F0000}"/>
    <cellStyle name="40% - Accent2 3 11 2 5" xfId="17967" xr:uid="{00000000-0005-0000-0000-0000A15F0000}"/>
    <cellStyle name="40% - Accent2 3 11 3" xfId="22830" xr:uid="{00000000-0005-0000-0000-0000A25F0000}"/>
    <cellStyle name="40% - Accent2 3 11 4" xfId="32555" xr:uid="{00000000-0005-0000-0000-0000A35F0000}"/>
    <cellStyle name="40% - Accent2 3 11 5" xfId="42280" xr:uid="{00000000-0005-0000-0000-0000A45F0000}"/>
    <cellStyle name="40% - Accent2 3 11 6" xfId="13105" xr:uid="{00000000-0005-0000-0000-0000A55F0000}"/>
    <cellStyle name="40% - Accent2 3 12" xfId="5001" xr:uid="{00000000-0005-0000-0000-0000A65F0000}"/>
    <cellStyle name="40% - Accent2 3 12 2" xfId="24452" xr:uid="{00000000-0005-0000-0000-0000A75F0000}"/>
    <cellStyle name="40% - Accent2 3 12 3" xfId="34177" xr:uid="{00000000-0005-0000-0000-0000A85F0000}"/>
    <cellStyle name="40% - Accent2 3 12 4" xfId="43902" xr:uid="{00000000-0005-0000-0000-0000A95F0000}"/>
    <cellStyle name="40% - Accent2 3 12 5" xfId="14727" xr:uid="{00000000-0005-0000-0000-0000AA5F0000}"/>
    <cellStyle name="40% - Accent2 3 13" xfId="19590" xr:uid="{00000000-0005-0000-0000-0000AB5F0000}"/>
    <cellStyle name="40% - Accent2 3 14" xfId="29315" xr:uid="{00000000-0005-0000-0000-0000AC5F0000}"/>
    <cellStyle name="40% - Accent2 3 15" xfId="39040" xr:uid="{00000000-0005-0000-0000-0000AD5F0000}"/>
    <cellStyle name="40% - Accent2 3 16" xfId="9865" xr:uid="{00000000-0005-0000-0000-0000AE5F0000}"/>
    <cellStyle name="40% - Accent2 3 2" xfId="257" xr:uid="{00000000-0005-0000-0000-0000AF5F0000}"/>
    <cellStyle name="40% - Accent2 3 2 10" xfId="39220" xr:uid="{00000000-0005-0000-0000-0000B05F0000}"/>
    <cellStyle name="40% - Accent2 3 2 11" xfId="10045" xr:uid="{00000000-0005-0000-0000-0000B15F0000}"/>
    <cellStyle name="40% - Accent2 3 2 2" xfId="1021" xr:uid="{00000000-0005-0000-0000-0000B25F0000}"/>
    <cellStyle name="40% - Accent2 3 2 2 2" xfId="2659" xr:uid="{00000000-0005-0000-0000-0000B35F0000}"/>
    <cellStyle name="40% - Accent2 3 2 2 2 2" xfId="7521" xr:uid="{00000000-0005-0000-0000-0000B45F0000}"/>
    <cellStyle name="40% - Accent2 3 2 2 2 2 2" xfId="26972" xr:uid="{00000000-0005-0000-0000-0000B55F0000}"/>
    <cellStyle name="40% - Accent2 3 2 2 2 2 3" xfId="36697" xr:uid="{00000000-0005-0000-0000-0000B65F0000}"/>
    <cellStyle name="40% - Accent2 3 2 2 2 2 4" xfId="46422" xr:uid="{00000000-0005-0000-0000-0000B75F0000}"/>
    <cellStyle name="40% - Accent2 3 2 2 2 2 5" xfId="17247" xr:uid="{00000000-0005-0000-0000-0000B85F0000}"/>
    <cellStyle name="40% - Accent2 3 2 2 2 3" xfId="22110" xr:uid="{00000000-0005-0000-0000-0000B95F0000}"/>
    <cellStyle name="40% - Accent2 3 2 2 2 4" xfId="31835" xr:uid="{00000000-0005-0000-0000-0000BA5F0000}"/>
    <cellStyle name="40% - Accent2 3 2 2 2 5" xfId="41560" xr:uid="{00000000-0005-0000-0000-0000BB5F0000}"/>
    <cellStyle name="40% - Accent2 3 2 2 2 6" xfId="12385" xr:uid="{00000000-0005-0000-0000-0000BC5F0000}"/>
    <cellStyle name="40% - Accent2 3 2 2 3" xfId="4279" xr:uid="{00000000-0005-0000-0000-0000BD5F0000}"/>
    <cellStyle name="40% - Accent2 3 2 2 3 2" xfId="9141" xr:uid="{00000000-0005-0000-0000-0000BE5F0000}"/>
    <cellStyle name="40% - Accent2 3 2 2 3 2 2" xfId="28592" xr:uid="{00000000-0005-0000-0000-0000BF5F0000}"/>
    <cellStyle name="40% - Accent2 3 2 2 3 2 3" xfId="38317" xr:uid="{00000000-0005-0000-0000-0000C05F0000}"/>
    <cellStyle name="40% - Accent2 3 2 2 3 2 4" xfId="48042" xr:uid="{00000000-0005-0000-0000-0000C15F0000}"/>
    <cellStyle name="40% - Accent2 3 2 2 3 2 5" xfId="18867" xr:uid="{00000000-0005-0000-0000-0000C25F0000}"/>
    <cellStyle name="40% - Accent2 3 2 2 3 3" xfId="23730" xr:uid="{00000000-0005-0000-0000-0000C35F0000}"/>
    <cellStyle name="40% - Accent2 3 2 2 3 4" xfId="33455" xr:uid="{00000000-0005-0000-0000-0000C45F0000}"/>
    <cellStyle name="40% - Accent2 3 2 2 3 5" xfId="43180" xr:uid="{00000000-0005-0000-0000-0000C55F0000}"/>
    <cellStyle name="40% - Accent2 3 2 2 3 6" xfId="14005" xr:uid="{00000000-0005-0000-0000-0000C65F0000}"/>
    <cellStyle name="40% - Accent2 3 2 2 4" xfId="5901" xr:uid="{00000000-0005-0000-0000-0000C75F0000}"/>
    <cellStyle name="40% - Accent2 3 2 2 4 2" xfId="25352" xr:uid="{00000000-0005-0000-0000-0000C85F0000}"/>
    <cellStyle name="40% - Accent2 3 2 2 4 3" xfId="35077" xr:uid="{00000000-0005-0000-0000-0000C95F0000}"/>
    <cellStyle name="40% - Accent2 3 2 2 4 4" xfId="44802" xr:uid="{00000000-0005-0000-0000-0000CA5F0000}"/>
    <cellStyle name="40% - Accent2 3 2 2 4 5" xfId="15627" xr:uid="{00000000-0005-0000-0000-0000CB5F0000}"/>
    <cellStyle name="40% - Accent2 3 2 2 5" xfId="20490" xr:uid="{00000000-0005-0000-0000-0000CC5F0000}"/>
    <cellStyle name="40% - Accent2 3 2 2 6" xfId="30215" xr:uid="{00000000-0005-0000-0000-0000CD5F0000}"/>
    <cellStyle name="40% - Accent2 3 2 2 7" xfId="39940" xr:uid="{00000000-0005-0000-0000-0000CE5F0000}"/>
    <cellStyle name="40% - Accent2 3 2 2 8" xfId="10765" xr:uid="{00000000-0005-0000-0000-0000CF5F0000}"/>
    <cellStyle name="40% - Accent2 3 2 3" xfId="1488" xr:uid="{00000000-0005-0000-0000-0000D05F0000}"/>
    <cellStyle name="40% - Accent2 3 2 3 2" xfId="3109" xr:uid="{00000000-0005-0000-0000-0000D15F0000}"/>
    <cellStyle name="40% - Accent2 3 2 3 2 2" xfId="7971" xr:uid="{00000000-0005-0000-0000-0000D25F0000}"/>
    <cellStyle name="40% - Accent2 3 2 3 2 2 2" xfId="27422" xr:uid="{00000000-0005-0000-0000-0000D35F0000}"/>
    <cellStyle name="40% - Accent2 3 2 3 2 2 3" xfId="37147" xr:uid="{00000000-0005-0000-0000-0000D45F0000}"/>
    <cellStyle name="40% - Accent2 3 2 3 2 2 4" xfId="46872" xr:uid="{00000000-0005-0000-0000-0000D55F0000}"/>
    <cellStyle name="40% - Accent2 3 2 3 2 2 5" xfId="17697" xr:uid="{00000000-0005-0000-0000-0000D65F0000}"/>
    <cellStyle name="40% - Accent2 3 2 3 2 3" xfId="22560" xr:uid="{00000000-0005-0000-0000-0000D75F0000}"/>
    <cellStyle name="40% - Accent2 3 2 3 2 4" xfId="32285" xr:uid="{00000000-0005-0000-0000-0000D85F0000}"/>
    <cellStyle name="40% - Accent2 3 2 3 2 5" xfId="42010" xr:uid="{00000000-0005-0000-0000-0000D95F0000}"/>
    <cellStyle name="40% - Accent2 3 2 3 2 6" xfId="12835" xr:uid="{00000000-0005-0000-0000-0000DA5F0000}"/>
    <cellStyle name="40% - Accent2 3 2 3 3" xfId="4729" xr:uid="{00000000-0005-0000-0000-0000DB5F0000}"/>
    <cellStyle name="40% - Accent2 3 2 3 3 2" xfId="9591" xr:uid="{00000000-0005-0000-0000-0000DC5F0000}"/>
    <cellStyle name="40% - Accent2 3 2 3 3 2 2" xfId="29042" xr:uid="{00000000-0005-0000-0000-0000DD5F0000}"/>
    <cellStyle name="40% - Accent2 3 2 3 3 2 3" xfId="38767" xr:uid="{00000000-0005-0000-0000-0000DE5F0000}"/>
    <cellStyle name="40% - Accent2 3 2 3 3 2 4" xfId="48492" xr:uid="{00000000-0005-0000-0000-0000DF5F0000}"/>
    <cellStyle name="40% - Accent2 3 2 3 3 2 5" xfId="19317" xr:uid="{00000000-0005-0000-0000-0000E05F0000}"/>
    <cellStyle name="40% - Accent2 3 2 3 3 3" xfId="24180" xr:uid="{00000000-0005-0000-0000-0000E15F0000}"/>
    <cellStyle name="40% - Accent2 3 2 3 3 4" xfId="33905" xr:uid="{00000000-0005-0000-0000-0000E25F0000}"/>
    <cellStyle name="40% - Accent2 3 2 3 3 5" xfId="43630" xr:uid="{00000000-0005-0000-0000-0000E35F0000}"/>
    <cellStyle name="40% - Accent2 3 2 3 3 6" xfId="14455" xr:uid="{00000000-0005-0000-0000-0000E45F0000}"/>
    <cellStyle name="40% - Accent2 3 2 3 4" xfId="6351" xr:uid="{00000000-0005-0000-0000-0000E55F0000}"/>
    <cellStyle name="40% - Accent2 3 2 3 4 2" xfId="25802" xr:uid="{00000000-0005-0000-0000-0000E65F0000}"/>
    <cellStyle name="40% - Accent2 3 2 3 4 3" xfId="35527" xr:uid="{00000000-0005-0000-0000-0000E75F0000}"/>
    <cellStyle name="40% - Accent2 3 2 3 4 4" xfId="45252" xr:uid="{00000000-0005-0000-0000-0000E85F0000}"/>
    <cellStyle name="40% - Accent2 3 2 3 4 5" xfId="16077" xr:uid="{00000000-0005-0000-0000-0000E95F0000}"/>
    <cellStyle name="40% - Accent2 3 2 3 5" xfId="20940" xr:uid="{00000000-0005-0000-0000-0000EA5F0000}"/>
    <cellStyle name="40% - Accent2 3 2 3 6" xfId="30665" xr:uid="{00000000-0005-0000-0000-0000EB5F0000}"/>
    <cellStyle name="40% - Accent2 3 2 3 7" xfId="40390" xr:uid="{00000000-0005-0000-0000-0000EC5F0000}"/>
    <cellStyle name="40% - Accent2 3 2 3 8" xfId="11215" xr:uid="{00000000-0005-0000-0000-0000ED5F0000}"/>
    <cellStyle name="40% - Accent2 3 2 4" xfId="659" xr:uid="{00000000-0005-0000-0000-0000EE5F0000}"/>
    <cellStyle name="40% - Accent2 3 2 4 2" xfId="2299" xr:uid="{00000000-0005-0000-0000-0000EF5F0000}"/>
    <cellStyle name="40% - Accent2 3 2 4 2 2" xfId="7161" xr:uid="{00000000-0005-0000-0000-0000F05F0000}"/>
    <cellStyle name="40% - Accent2 3 2 4 2 2 2" xfId="26612" xr:uid="{00000000-0005-0000-0000-0000F15F0000}"/>
    <cellStyle name="40% - Accent2 3 2 4 2 2 3" xfId="36337" xr:uid="{00000000-0005-0000-0000-0000F25F0000}"/>
    <cellStyle name="40% - Accent2 3 2 4 2 2 4" xfId="46062" xr:uid="{00000000-0005-0000-0000-0000F35F0000}"/>
    <cellStyle name="40% - Accent2 3 2 4 2 2 5" xfId="16887" xr:uid="{00000000-0005-0000-0000-0000F45F0000}"/>
    <cellStyle name="40% - Accent2 3 2 4 2 3" xfId="21750" xr:uid="{00000000-0005-0000-0000-0000F55F0000}"/>
    <cellStyle name="40% - Accent2 3 2 4 2 4" xfId="31475" xr:uid="{00000000-0005-0000-0000-0000F65F0000}"/>
    <cellStyle name="40% - Accent2 3 2 4 2 5" xfId="41200" xr:uid="{00000000-0005-0000-0000-0000F75F0000}"/>
    <cellStyle name="40% - Accent2 3 2 4 2 6" xfId="12025" xr:uid="{00000000-0005-0000-0000-0000F85F0000}"/>
    <cellStyle name="40% - Accent2 3 2 4 3" xfId="3919" xr:uid="{00000000-0005-0000-0000-0000F95F0000}"/>
    <cellStyle name="40% - Accent2 3 2 4 3 2" xfId="8781" xr:uid="{00000000-0005-0000-0000-0000FA5F0000}"/>
    <cellStyle name="40% - Accent2 3 2 4 3 2 2" xfId="28232" xr:uid="{00000000-0005-0000-0000-0000FB5F0000}"/>
    <cellStyle name="40% - Accent2 3 2 4 3 2 3" xfId="37957" xr:uid="{00000000-0005-0000-0000-0000FC5F0000}"/>
    <cellStyle name="40% - Accent2 3 2 4 3 2 4" xfId="47682" xr:uid="{00000000-0005-0000-0000-0000FD5F0000}"/>
    <cellStyle name="40% - Accent2 3 2 4 3 2 5" xfId="18507" xr:uid="{00000000-0005-0000-0000-0000FE5F0000}"/>
    <cellStyle name="40% - Accent2 3 2 4 3 3" xfId="23370" xr:uid="{00000000-0005-0000-0000-0000FF5F0000}"/>
    <cellStyle name="40% - Accent2 3 2 4 3 4" xfId="33095" xr:uid="{00000000-0005-0000-0000-000000600000}"/>
    <cellStyle name="40% - Accent2 3 2 4 3 5" xfId="42820" xr:uid="{00000000-0005-0000-0000-000001600000}"/>
    <cellStyle name="40% - Accent2 3 2 4 3 6" xfId="13645" xr:uid="{00000000-0005-0000-0000-000002600000}"/>
    <cellStyle name="40% - Accent2 3 2 4 4" xfId="5541" xr:uid="{00000000-0005-0000-0000-000003600000}"/>
    <cellStyle name="40% - Accent2 3 2 4 4 2" xfId="24992" xr:uid="{00000000-0005-0000-0000-000004600000}"/>
    <cellStyle name="40% - Accent2 3 2 4 4 3" xfId="34717" xr:uid="{00000000-0005-0000-0000-000005600000}"/>
    <cellStyle name="40% - Accent2 3 2 4 4 4" xfId="44442" xr:uid="{00000000-0005-0000-0000-000006600000}"/>
    <cellStyle name="40% - Accent2 3 2 4 4 5" xfId="15267" xr:uid="{00000000-0005-0000-0000-000007600000}"/>
    <cellStyle name="40% - Accent2 3 2 4 5" xfId="20130" xr:uid="{00000000-0005-0000-0000-000008600000}"/>
    <cellStyle name="40% - Accent2 3 2 4 6" xfId="29855" xr:uid="{00000000-0005-0000-0000-000009600000}"/>
    <cellStyle name="40% - Accent2 3 2 4 7" xfId="39580" xr:uid="{00000000-0005-0000-0000-00000A600000}"/>
    <cellStyle name="40% - Accent2 3 2 4 8" xfId="10405" xr:uid="{00000000-0005-0000-0000-00000B600000}"/>
    <cellStyle name="40% - Accent2 3 2 5" xfId="1939" xr:uid="{00000000-0005-0000-0000-00000C600000}"/>
    <cellStyle name="40% - Accent2 3 2 5 2" xfId="6801" xr:uid="{00000000-0005-0000-0000-00000D600000}"/>
    <cellStyle name="40% - Accent2 3 2 5 2 2" xfId="26252" xr:uid="{00000000-0005-0000-0000-00000E600000}"/>
    <cellStyle name="40% - Accent2 3 2 5 2 3" xfId="35977" xr:uid="{00000000-0005-0000-0000-00000F600000}"/>
    <cellStyle name="40% - Accent2 3 2 5 2 4" xfId="45702" xr:uid="{00000000-0005-0000-0000-000010600000}"/>
    <cellStyle name="40% - Accent2 3 2 5 2 5" xfId="16527" xr:uid="{00000000-0005-0000-0000-000011600000}"/>
    <cellStyle name="40% - Accent2 3 2 5 3" xfId="21390" xr:uid="{00000000-0005-0000-0000-000012600000}"/>
    <cellStyle name="40% - Accent2 3 2 5 4" xfId="31115" xr:uid="{00000000-0005-0000-0000-000013600000}"/>
    <cellStyle name="40% - Accent2 3 2 5 5" xfId="40840" xr:uid="{00000000-0005-0000-0000-000014600000}"/>
    <cellStyle name="40% - Accent2 3 2 5 6" xfId="11665" xr:uid="{00000000-0005-0000-0000-000015600000}"/>
    <cellStyle name="40% - Accent2 3 2 6" xfId="3559" xr:uid="{00000000-0005-0000-0000-000016600000}"/>
    <cellStyle name="40% - Accent2 3 2 6 2" xfId="8421" xr:uid="{00000000-0005-0000-0000-000017600000}"/>
    <cellStyle name="40% - Accent2 3 2 6 2 2" xfId="27872" xr:uid="{00000000-0005-0000-0000-000018600000}"/>
    <cellStyle name="40% - Accent2 3 2 6 2 3" xfId="37597" xr:uid="{00000000-0005-0000-0000-000019600000}"/>
    <cellStyle name="40% - Accent2 3 2 6 2 4" xfId="47322" xr:uid="{00000000-0005-0000-0000-00001A600000}"/>
    <cellStyle name="40% - Accent2 3 2 6 2 5" xfId="18147" xr:uid="{00000000-0005-0000-0000-00001B600000}"/>
    <cellStyle name="40% - Accent2 3 2 6 3" xfId="23010" xr:uid="{00000000-0005-0000-0000-00001C600000}"/>
    <cellStyle name="40% - Accent2 3 2 6 4" xfId="32735" xr:uid="{00000000-0005-0000-0000-00001D600000}"/>
    <cellStyle name="40% - Accent2 3 2 6 5" xfId="42460" xr:uid="{00000000-0005-0000-0000-00001E600000}"/>
    <cellStyle name="40% - Accent2 3 2 6 6" xfId="13285" xr:uid="{00000000-0005-0000-0000-00001F600000}"/>
    <cellStyle name="40% - Accent2 3 2 7" xfId="5181" xr:uid="{00000000-0005-0000-0000-000020600000}"/>
    <cellStyle name="40% - Accent2 3 2 7 2" xfId="24632" xr:uid="{00000000-0005-0000-0000-000021600000}"/>
    <cellStyle name="40% - Accent2 3 2 7 3" xfId="34357" xr:uid="{00000000-0005-0000-0000-000022600000}"/>
    <cellStyle name="40% - Accent2 3 2 7 4" xfId="44082" xr:uid="{00000000-0005-0000-0000-000023600000}"/>
    <cellStyle name="40% - Accent2 3 2 7 5" xfId="14907" xr:uid="{00000000-0005-0000-0000-000024600000}"/>
    <cellStyle name="40% - Accent2 3 2 8" xfId="19770" xr:uid="{00000000-0005-0000-0000-000025600000}"/>
    <cellStyle name="40% - Accent2 3 2 9" xfId="29495" xr:uid="{00000000-0005-0000-0000-000026600000}"/>
    <cellStyle name="40% - Accent2 3 3" xfId="348" xr:uid="{00000000-0005-0000-0000-000027600000}"/>
    <cellStyle name="40% - Accent2 3 3 10" xfId="39310" xr:uid="{00000000-0005-0000-0000-000028600000}"/>
    <cellStyle name="40% - Accent2 3 3 11" xfId="10135" xr:uid="{00000000-0005-0000-0000-000029600000}"/>
    <cellStyle name="40% - Accent2 3 3 2" xfId="1111" xr:uid="{00000000-0005-0000-0000-00002A600000}"/>
    <cellStyle name="40% - Accent2 3 3 2 2" xfId="2749" xr:uid="{00000000-0005-0000-0000-00002B600000}"/>
    <cellStyle name="40% - Accent2 3 3 2 2 2" xfId="7611" xr:uid="{00000000-0005-0000-0000-00002C600000}"/>
    <cellStyle name="40% - Accent2 3 3 2 2 2 2" xfId="27062" xr:uid="{00000000-0005-0000-0000-00002D600000}"/>
    <cellStyle name="40% - Accent2 3 3 2 2 2 3" xfId="36787" xr:uid="{00000000-0005-0000-0000-00002E600000}"/>
    <cellStyle name="40% - Accent2 3 3 2 2 2 4" xfId="46512" xr:uid="{00000000-0005-0000-0000-00002F600000}"/>
    <cellStyle name="40% - Accent2 3 3 2 2 2 5" xfId="17337" xr:uid="{00000000-0005-0000-0000-000030600000}"/>
    <cellStyle name="40% - Accent2 3 3 2 2 3" xfId="22200" xr:uid="{00000000-0005-0000-0000-000031600000}"/>
    <cellStyle name="40% - Accent2 3 3 2 2 4" xfId="31925" xr:uid="{00000000-0005-0000-0000-000032600000}"/>
    <cellStyle name="40% - Accent2 3 3 2 2 5" xfId="41650" xr:uid="{00000000-0005-0000-0000-000033600000}"/>
    <cellStyle name="40% - Accent2 3 3 2 2 6" xfId="12475" xr:uid="{00000000-0005-0000-0000-000034600000}"/>
    <cellStyle name="40% - Accent2 3 3 2 3" xfId="4369" xr:uid="{00000000-0005-0000-0000-000035600000}"/>
    <cellStyle name="40% - Accent2 3 3 2 3 2" xfId="9231" xr:uid="{00000000-0005-0000-0000-000036600000}"/>
    <cellStyle name="40% - Accent2 3 3 2 3 2 2" xfId="28682" xr:uid="{00000000-0005-0000-0000-000037600000}"/>
    <cellStyle name="40% - Accent2 3 3 2 3 2 3" xfId="38407" xr:uid="{00000000-0005-0000-0000-000038600000}"/>
    <cellStyle name="40% - Accent2 3 3 2 3 2 4" xfId="48132" xr:uid="{00000000-0005-0000-0000-000039600000}"/>
    <cellStyle name="40% - Accent2 3 3 2 3 2 5" xfId="18957" xr:uid="{00000000-0005-0000-0000-00003A600000}"/>
    <cellStyle name="40% - Accent2 3 3 2 3 3" xfId="23820" xr:uid="{00000000-0005-0000-0000-00003B600000}"/>
    <cellStyle name="40% - Accent2 3 3 2 3 4" xfId="33545" xr:uid="{00000000-0005-0000-0000-00003C600000}"/>
    <cellStyle name="40% - Accent2 3 3 2 3 5" xfId="43270" xr:uid="{00000000-0005-0000-0000-00003D600000}"/>
    <cellStyle name="40% - Accent2 3 3 2 3 6" xfId="14095" xr:uid="{00000000-0005-0000-0000-00003E600000}"/>
    <cellStyle name="40% - Accent2 3 3 2 4" xfId="5991" xr:uid="{00000000-0005-0000-0000-00003F600000}"/>
    <cellStyle name="40% - Accent2 3 3 2 4 2" xfId="25442" xr:uid="{00000000-0005-0000-0000-000040600000}"/>
    <cellStyle name="40% - Accent2 3 3 2 4 3" xfId="35167" xr:uid="{00000000-0005-0000-0000-000041600000}"/>
    <cellStyle name="40% - Accent2 3 3 2 4 4" xfId="44892" xr:uid="{00000000-0005-0000-0000-000042600000}"/>
    <cellStyle name="40% - Accent2 3 3 2 4 5" xfId="15717" xr:uid="{00000000-0005-0000-0000-000043600000}"/>
    <cellStyle name="40% - Accent2 3 3 2 5" xfId="20580" xr:uid="{00000000-0005-0000-0000-000044600000}"/>
    <cellStyle name="40% - Accent2 3 3 2 6" xfId="30305" xr:uid="{00000000-0005-0000-0000-000045600000}"/>
    <cellStyle name="40% - Accent2 3 3 2 7" xfId="40030" xr:uid="{00000000-0005-0000-0000-000046600000}"/>
    <cellStyle name="40% - Accent2 3 3 2 8" xfId="10855" xr:uid="{00000000-0005-0000-0000-000047600000}"/>
    <cellStyle name="40% - Accent2 3 3 3" xfId="1578" xr:uid="{00000000-0005-0000-0000-000048600000}"/>
    <cellStyle name="40% - Accent2 3 3 3 2" xfId="3199" xr:uid="{00000000-0005-0000-0000-000049600000}"/>
    <cellStyle name="40% - Accent2 3 3 3 2 2" xfId="8061" xr:uid="{00000000-0005-0000-0000-00004A600000}"/>
    <cellStyle name="40% - Accent2 3 3 3 2 2 2" xfId="27512" xr:uid="{00000000-0005-0000-0000-00004B600000}"/>
    <cellStyle name="40% - Accent2 3 3 3 2 2 3" xfId="37237" xr:uid="{00000000-0005-0000-0000-00004C600000}"/>
    <cellStyle name="40% - Accent2 3 3 3 2 2 4" xfId="46962" xr:uid="{00000000-0005-0000-0000-00004D600000}"/>
    <cellStyle name="40% - Accent2 3 3 3 2 2 5" xfId="17787" xr:uid="{00000000-0005-0000-0000-00004E600000}"/>
    <cellStyle name="40% - Accent2 3 3 3 2 3" xfId="22650" xr:uid="{00000000-0005-0000-0000-00004F600000}"/>
    <cellStyle name="40% - Accent2 3 3 3 2 4" xfId="32375" xr:uid="{00000000-0005-0000-0000-000050600000}"/>
    <cellStyle name="40% - Accent2 3 3 3 2 5" xfId="42100" xr:uid="{00000000-0005-0000-0000-000051600000}"/>
    <cellStyle name="40% - Accent2 3 3 3 2 6" xfId="12925" xr:uid="{00000000-0005-0000-0000-000052600000}"/>
    <cellStyle name="40% - Accent2 3 3 3 3" xfId="4819" xr:uid="{00000000-0005-0000-0000-000053600000}"/>
    <cellStyle name="40% - Accent2 3 3 3 3 2" xfId="9681" xr:uid="{00000000-0005-0000-0000-000054600000}"/>
    <cellStyle name="40% - Accent2 3 3 3 3 2 2" xfId="29132" xr:uid="{00000000-0005-0000-0000-000055600000}"/>
    <cellStyle name="40% - Accent2 3 3 3 3 2 3" xfId="38857" xr:uid="{00000000-0005-0000-0000-000056600000}"/>
    <cellStyle name="40% - Accent2 3 3 3 3 2 4" xfId="48582" xr:uid="{00000000-0005-0000-0000-000057600000}"/>
    <cellStyle name="40% - Accent2 3 3 3 3 2 5" xfId="19407" xr:uid="{00000000-0005-0000-0000-000058600000}"/>
    <cellStyle name="40% - Accent2 3 3 3 3 3" xfId="24270" xr:uid="{00000000-0005-0000-0000-000059600000}"/>
    <cellStyle name="40% - Accent2 3 3 3 3 4" xfId="33995" xr:uid="{00000000-0005-0000-0000-00005A600000}"/>
    <cellStyle name="40% - Accent2 3 3 3 3 5" xfId="43720" xr:uid="{00000000-0005-0000-0000-00005B600000}"/>
    <cellStyle name="40% - Accent2 3 3 3 3 6" xfId="14545" xr:uid="{00000000-0005-0000-0000-00005C600000}"/>
    <cellStyle name="40% - Accent2 3 3 3 4" xfId="6441" xr:uid="{00000000-0005-0000-0000-00005D600000}"/>
    <cellStyle name="40% - Accent2 3 3 3 4 2" xfId="25892" xr:uid="{00000000-0005-0000-0000-00005E600000}"/>
    <cellStyle name="40% - Accent2 3 3 3 4 3" xfId="35617" xr:uid="{00000000-0005-0000-0000-00005F600000}"/>
    <cellStyle name="40% - Accent2 3 3 3 4 4" xfId="45342" xr:uid="{00000000-0005-0000-0000-000060600000}"/>
    <cellStyle name="40% - Accent2 3 3 3 4 5" xfId="16167" xr:uid="{00000000-0005-0000-0000-000061600000}"/>
    <cellStyle name="40% - Accent2 3 3 3 5" xfId="21030" xr:uid="{00000000-0005-0000-0000-000062600000}"/>
    <cellStyle name="40% - Accent2 3 3 3 6" xfId="30755" xr:uid="{00000000-0005-0000-0000-000063600000}"/>
    <cellStyle name="40% - Accent2 3 3 3 7" xfId="40480" xr:uid="{00000000-0005-0000-0000-000064600000}"/>
    <cellStyle name="40% - Accent2 3 3 3 8" xfId="11305" xr:uid="{00000000-0005-0000-0000-000065600000}"/>
    <cellStyle name="40% - Accent2 3 3 4" xfId="749" xr:uid="{00000000-0005-0000-0000-000066600000}"/>
    <cellStyle name="40% - Accent2 3 3 4 2" xfId="2389" xr:uid="{00000000-0005-0000-0000-000067600000}"/>
    <cellStyle name="40% - Accent2 3 3 4 2 2" xfId="7251" xr:uid="{00000000-0005-0000-0000-000068600000}"/>
    <cellStyle name="40% - Accent2 3 3 4 2 2 2" xfId="26702" xr:uid="{00000000-0005-0000-0000-000069600000}"/>
    <cellStyle name="40% - Accent2 3 3 4 2 2 3" xfId="36427" xr:uid="{00000000-0005-0000-0000-00006A600000}"/>
    <cellStyle name="40% - Accent2 3 3 4 2 2 4" xfId="46152" xr:uid="{00000000-0005-0000-0000-00006B600000}"/>
    <cellStyle name="40% - Accent2 3 3 4 2 2 5" xfId="16977" xr:uid="{00000000-0005-0000-0000-00006C600000}"/>
    <cellStyle name="40% - Accent2 3 3 4 2 3" xfId="21840" xr:uid="{00000000-0005-0000-0000-00006D600000}"/>
    <cellStyle name="40% - Accent2 3 3 4 2 4" xfId="31565" xr:uid="{00000000-0005-0000-0000-00006E600000}"/>
    <cellStyle name="40% - Accent2 3 3 4 2 5" xfId="41290" xr:uid="{00000000-0005-0000-0000-00006F600000}"/>
    <cellStyle name="40% - Accent2 3 3 4 2 6" xfId="12115" xr:uid="{00000000-0005-0000-0000-000070600000}"/>
    <cellStyle name="40% - Accent2 3 3 4 3" xfId="4009" xr:uid="{00000000-0005-0000-0000-000071600000}"/>
    <cellStyle name="40% - Accent2 3 3 4 3 2" xfId="8871" xr:uid="{00000000-0005-0000-0000-000072600000}"/>
    <cellStyle name="40% - Accent2 3 3 4 3 2 2" xfId="28322" xr:uid="{00000000-0005-0000-0000-000073600000}"/>
    <cellStyle name="40% - Accent2 3 3 4 3 2 3" xfId="38047" xr:uid="{00000000-0005-0000-0000-000074600000}"/>
    <cellStyle name="40% - Accent2 3 3 4 3 2 4" xfId="47772" xr:uid="{00000000-0005-0000-0000-000075600000}"/>
    <cellStyle name="40% - Accent2 3 3 4 3 2 5" xfId="18597" xr:uid="{00000000-0005-0000-0000-000076600000}"/>
    <cellStyle name="40% - Accent2 3 3 4 3 3" xfId="23460" xr:uid="{00000000-0005-0000-0000-000077600000}"/>
    <cellStyle name="40% - Accent2 3 3 4 3 4" xfId="33185" xr:uid="{00000000-0005-0000-0000-000078600000}"/>
    <cellStyle name="40% - Accent2 3 3 4 3 5" xfId="42910" xr:uid="{00000000-0005-0000-0000-000079600000}"/>
    <cellStyle name="40% - Accent2 3 3 4 3 6" xfId="13735" xr:uid="{00000000-0005-0000-0000-00007A600000}"/>
    <cellStyle name="40% - Accent2 3 3 4 4" xfId="5631" xr:uid="{00000000-0005-0000-0000-00007B600000}"/>
    <cellStyle name="40% - Accent2 3 3 4 4 2" xfId="25082" xr:uid="{00000000-0005-0000-0000-00007C600000}"/>
    <cellStyle name="40% - Accent2 3 3 4 4 3" xfId="34807" xr:uid="{00000000-0005-0000-0000-00007D600000}"/>
    <cellStyle name="40% - Accent2 3 3 4 4 4" xfId="44532" xr:uid="{00000000-0005-0000-0000-00007E600000}"/>
    <cellStyle name="40% - Accent2 3 3 4 4 5" xfId="15357" xr:uid="{00000000-0005-0000-0000-00007F600000}"/>
    <cellStyle name="40% - Accent2 3 3 4 5" xfId="20220" xr:uid="{00000000-0005-0000-0000-000080600000}"/>
    <cellStyle name="40% - Accent2 3 3 4 6" xfId="29945" xr:uid="{00000000-0005-0000-0000-000081600000}"/>
    <cellStyle name="40% - Accent2 3 3 4 7" xfId="39670" xr:uid="{00000000-0005-0000-0000-000082600000}"/>
    <cellStyle name="40% - Accent2 3 3 4 8" xfId="10495" xr:uid="{00000000-0005-0000-0000-000083600000}"/>
    <cellStyle name="40% - Accent2 3 3 5" xfId="2029" xr:uid="{00000000-0005-0000-0000-000084600000}"/>
    <cellStyle name="40% - Accent2 3 3 5 2" xfId="6891" xr:uid="{00000000-0005-0000-0000-000085600000}"/>
    <cellStyle name="40% - Accent2 3 3 5 2 2" xfId="26342" xr:uid="{00000000-0005-0000-0000-000086600000}"/>
    <cellStyle name="40% - Accent2 3 3 5 2 3" xfId="36067" xr:uid="{00000000-0005-0000-0000-000087600000}"/>
    <cellStyle name="40% - Accent2 3 3 5 2 4" xfId="45792" xr:uid="{00000000-0005-0000-0000-000088600000}"/>
    <cellStyle name="40% - Accent2 3 3 5 2 5" xfId="16617" xr:uid="{00000000-0005-0000-0000-000089600000}"/>
    <cellStyle name="40% - Accent2 3 3 5 3" xfId="21480" xr:uid="{00000000-0005-0000-0000-00008A600000}"/>
    <cellStyle name="40% - Accent2 3 3 5 4" xfId="31205" xr:uid="{00000000-0005-0000-0000-00008B600000}"/>
    <cellStyle name="40% - Accent2 3 3 5 5" xfId="40930" xr:uid="{00000000-0005-0000-0000-00008C600000}"/>
    <cellStyle name="40% - Accent2 3 3 5 6" xfId="11755" xr:uid="{00000000-0005-0000-0000-00008D600000}"/>
    <cellStyle name="40% - Accent2 3 3 6" xfId="3649" xr:uid="{00000000-0005-0000-0000-00008E600000}"/>
    <cellStyle name="40% - Accent2 3 3 6 2" xfId="8511" xr:uid="{00000000-0005-0000-0000-00008F600000}"/>
    <cellStyle name="40% - Accent2 3 3 6 2 2" xfId="27962" xr:uid="{00000000-0005-0000-0000-000090600000}"/>
    <cellStyle name="40% - Accent2 3 3 6 2 3" xfId="37687" xr:uid="{00000000-0005-0000-0000-000091600000}"/>
    <cellStyle name="40% - Accent2 3 3 6 2 4" xfId="47412" xr:uid="{00000000-0005-0000-0000-000092600000}"/>
    <cellStyle name="40% - Accent2 3 3 6 2 5" xfId="18237" xr:uid="{00000000-0005-0000-0000-000093600000}"/>
    <cellStyle name="40% - Accent2 3 3 6 3" xfId="23100" xr:uid="{00000000-0005-0000-0000-000094600000}"/>
    <cellStyle name="40% - Accent2 3 3 6 4" xfId="32825" xr:uid="{00000000-0005-0000-0000-000095600000}"/>
    <cellStyle name="40% - Accent2 3 3 6 5" xfId="42550" xr:uid="{00000000-0005-0000-0000-000096600000}"/>
    <cellStyle name="40% - Accent2 3 3 6 6" xfId="13375" xr:uid="{00000000-0005-0000-0000-000097600000}"/>
    <cellStyle name="40% - Accent2 3 3 7" xfId="5271" xr:uid="{00000000-0005-0000-0000-000098600000}"/>
    <cellStyle name="40% - Accent2 3 3 7 2" xfId="24722" xr:uid="{00000000-0005-0000-0000-000099600000}"/>
    <cellStyle name="40% - Accent2 3 3 7 3" xfId="34447" xr:uid="{00000000-0005-0000-0000-00009A600000}"/>
    <cellStyle name="40% - Accent2 3 3 7 4" xfId="44172" xr:uid="{00000000-0005-0000-0000-00009B600000}"/>
    <cellStyle name="40% - Accent2 3 3 7 5" xfId="14997" xr:uid="{00000000-0005-0000-0000-00009C600000}"/>
    <cellStyle name="40% - Accent2 3 3 8" xfId="19860" xr:uid="{00000000-0005-0000-0000-00009D600000}"/>
    <cellStyle name="40% - Accent2 3 3 9" xfId="29585" xr:uid="{00000000-0005-0000-0000-00009E600000}"/>
    <cellStyle name="40% - Accent2 3 4" xfId="166" xr:uid="{00000000-0005-0000-0000-00009F600000}"/>
    <cellStyle name="40% - Accent2 3 4 10" xfId="39130" xr:uid="{00000000-0005-0000-0000-0000A0600000}"/>
    <cellStyle name="40% - Accent2 3 4 11" xfId="9955" xr:uid="{00000000-0005-0000-0000-0000A1600000}"/>
    <cellStyle name="40% - Accent2 3 4 2" xfId="930" xr:uid="{00000000-0005-0000-0000-0000A2600000}"/>
    <cellStyle name="40% - Accent2 3 4 2 2" xfId="2569" xr:uid="{00000000-0005-0000-0000-0000A3600000}"/>
    <cellStyle name="40% - Accent2 3 4 2 2 2" xfId="7431" xr:uid="{00000000-0005-0000-0000-0000A4600000}"/>
    <cellStyle name="40% - Accent2 3 4 2 2 2 2" xfId="26882" xr:uid="{00000000-0005-0000-0000-0000A5600000}"/>
    <cellStyle name="40% - Accent2 3 4 2 2 2 3" xfId="36607" xr:uid="{00000000-0005-0000-0000-0000A6600000}"/>
    <cellStyle name="40% - Accent2 3 4 2 2 2 4" xfId="46332" xr:uid="{00000000-0005-0000-0000-0000A7600000}"/>
    <cellStyle name="40% - Accent2 3 4 2 2 2 5" xfId="17157" xr:uid="{00000000-0005-0000-0000-0000A8600000}"/>
    <cellStyle name="40% - Accent2 3 4 2 2 3" xfId="22020" xr:uid="{00000000-0005-0000-0000-0000A9600000}"/>
    <cellStyle name="40% - Accent2 3 4 2 2 4" xfId="31745" xr:uid="{00000000-0005-0000-0000-0000AA600000}"/>
    <cellStyle name="40% - Accent2 3 4 2 2 5" xfId="41470" xr:uid="{00000000-0005-0000-0000-0000AB600000}"/>
    <cellStyle name="40% - Accent2 3 4 2 2 6" xfId="12295" xr:uid="{00000000-0005-0000-0000-0000AC600000}"/>
    <cellStyle name="40% - Accent2 3 4 2 3" xfId="4189" xr:uid="{00000000-0005-0000-0000-0000AD600000}"/>
    <cellStyle name="40% - Accent2 3 4 2 3 2" xfId="9051" xr:uid="{00000000-0005-0000-0000-0000AE600000}"/>
    <cellStyle name="40% - Accent2 3 4 2 3 2 2" xfId="28502" xr:uid="{00000000-0005-0000-0000-0000AF600000}"/>
    <cellStyle name="40% - Accent2 3 4 2 3 2 3" xfId="38227" xr:uid="{00000000-0005-0000-0000-0000B0600000}"/>
    <cellStyle name="40% - Accent2 3 4 2 3 2 4" xfId="47952" xr:uid="{00000000-0005-0000-0000-0000B1600000}"/>
    <cellStyle name="40% - Accent2 3 4 2 3 2 5" xfId="18777" xr:uid="{00000000-0005-0000-0000-0000B2600000}"/>
    <cellStyle name="40% - Accent2 3 4 2 3 3" xfId="23640" xr:uid="{00000000-0005-0000-0000-0000B3600000}"/>
    <cellStyle name="40% - Accent2 3 4 2 3 4" xfId="33365" xr:uid="{00000000-0005-0000-0000-0000B4600000}"/>
    <cellStyle name="40% - Accent2 3 4 2 3 5" xfId="43090" xr:uid="{00000000-0005-0000-0000-0000B5600000}"/>
    <cellStyle name="40% - Accent2 3 4 2 3 6" xfId="13915" xr:uid="{00000000-0005-0000-0000-0000B6600000}"/>
    <cellStyle name="40% - Accent2 3 4 2 4" xfId="5811" xr:uid="{00000000-0005-0000-0000-0000B7600000}"/>
    <cellStyle name="40% - Accent2 3 4 2 4 2" xfId="25262" xr:uid="{00000000-0005-0000-0000-0000B8600000}"/>
    <cellStyle name="40% - Accent2 3 4 2 4 3" xfId="34987" xr:uid="{00000000-0005-0000-0000-0000B9600000}"/>
    <cellStyle name="40% - Accent2 3 4 2 4 4" xfId="44712" xr:uid="{00000000-0005-0000-0000-0000BA600000}"/>
    <cellStyle name="40% - Accent2 3 4 2 4 5" xfId="15537" xr:uid="{00000000-0005-0000-0000-0000BB600000}"/>
    <cellStyle name="40% - Accent2 3 4 2 5" xfId="20400" xr:uid="{00000000-0005-0000-0000-0000BC600000}"/>
    <cellStyle name="40% - Accent2 3 4 2 6" xfId="30125" xr:uid="{00000000-0005-0000-0000-0000BD600000}"/>
    <cellStyle name="40% - Accent2 3 4 2 7" xfId="39850" xr:uid="{00000000-0005-0000-0000-0000BE600000}"/>
    <cellStyle name="40% - Accent2 3 4 2 8" xfId="10675" xr:uid="{00000000-0005-0000-0000-0000BF600000}"/>
    <cellStyle name="40% - Accent2 3 4 3" xfId="1398" xr:uid="{00000000-0005-0000-0000-0000C0600000}"/>
    <cellStyle name="40% - Accent2 3 4 3 2" xfId="3019" xr:uid="{00000000-0005-0000-0000-0000C1600000}"/>
    <cellStyle name="40% - Accent2 3 4 3 2 2" xfId="7881" xr:uid="{00000000-0005-0000-0000-0000C2600000}"/>
    <cellStyle name="40% - Accent2 3 4 3 2 2 2" xfId="27332" xr:uid="{00000000-0005-0000-0000-0000C3600000}"/>
    <cellStyle name="40% - Accent2 3 4 3 2 2 3" xfId="37057" xr:uid="{00000000-0005-0000-0000-0000C4600000}"/>
    <cellStyle name="40% - Accent2 3 4 3 2 2 4" xfId="46782" xr:uid="{00000000-0005-0000-0000-0000C5600000}"/>
    <cellStyle name="40% - Accent2 3 4 3 2 2 5" xfId="17607" xr:uid="{00000000-0005-0000-0000-0000C6600000}"/>
    <cellStyle name="40% - Accent2 3 4 3 2 3" xfId="22470" xr:uid="{00000000-0005-0000-0000-0000C7600000}"/>
    <cellStyle name="40% - Accent2 3 4 3 2 4" xfId="32195" xr:uid="{00000000-0005-0000-0000-0000C8600000}"/>
    <cellStyle name="40% - Accent2 3 4 3 2 5" xfId="41920" xr:uid="{00000000-0005-0000-0000-0000C9600000}"/>
    <cellStyle name="40% - Accent2 3 4 3 2 6" xfId="12745" xr:uid="{00000000-0005-0000-0000-0000CA600000}"/>
    <cellStyle name="40% - Accent2 3 4 3 3" xfId="4639" xr:uid="{00000000-0005-0000-0000-0000CB600000}"/>
    <cellStyle name="40% - Accent2 3 4 3 3 2" xfId="9501" xr:uid="{00000000-0005-0000-0000-0000CC600000}"/>
    <cellStyle name="40% - Accent2 3 4 3 3 2 2" xfId="28952" xr:uid="{00000000-0005-0000-0000-0000CD600000}"/>
    <cellStyle name="40% - Accent2 3 4 3 3 2 3" xfId="38677" xr:uid="{00000000-0005-0000-0000-0000CE600000}"/>
    <cellStyle name="40% - Accent2 3 4 3 3 2 4" xfId="48402" xr:uid="{00000000-0005-0000-0000-0000CF600000}"/>
    <cellStyle name="40% - Accent2 3 4 3 3 2 5" xfId="19227" xr:uid="{00000000-0005-0000-0000-0000D0600000}"/>
    <cellStyle name="40% - Accent2 3 4 3 3 3" xfId="24090" xr:uid="{00000000-0005-0000-0000-0000D1600000}"/>
    <cellStyle name="40% - Accent2 3 4 3 3 4" xfId="33815" xr:uid="{00000000-0005-0000-0000-0000D2600000}"/>
    <cellStyle name="40% - Accent2 3 4 3 3 5" xfId="43540" xr:uid="{00000000-0005-0000-0000-0000D3600000}"/>
    <cellStyle name="40% - Accent2 3 4 3 3 6" xfId="14365" xr:uid="{00000000-0005-0000-0000-0000D4600000}"/>
    <cellStyle name="40% - Accent2 3 4 3 4" xfId="6261" xr:uid="{00000000-0005-0000-0000-0000D5600000}"/>
    <cellStyle name="40% - Accent2 3 4 3 4 2" xfId="25712" xr:uid="{00000000-0005-0000-0000-0000D6600000}"/>
    <cellStyle name="40% - Accent2 3 4 3 4 3" xfId="35437" xr:uid="{00000000-0005-0000-0000-0000D7600000}"/>
    <cellStyle name="40% - Accent2 3 4 3 4 4" xfId="45162" xr:uid="{00000000-0005-0000-0000-0000D8600000}"/>
    <cellStyle name="40% - Accent2 3 4 3 4 5" xfId="15987" xr:uid="{00000000-0005-0000-0000-0000D9600000}"/>
    <cellStyle name="40% - Accent2 3 4 3 5" xfId="20850" xr:uid="{00000000-0005-0000-0000-0000DA600000}"/>
    <cellStyle name="40% - Accent2 3 4 3 6" xfId="30575" xr:uid="{00000000-0005-0000-0000-0000DB600000}"/>
    <cellStyle name="40% - Accent2 3 4 3 7" xfId="40300" xr:uid="{00000000-0005-0000-0000-0000DC600000}"/>
    <cellStyle name="40% - Accent2 3 4 3 8" xfId="11125" xr:uid="{00000000-0005-0000-0000-0000DD600000}"/>
    <cellStyle name="40% - Accent2 3 4 4" xfId="569" xr:uid="{00000000-0005-0000-0000-0000DE600000}"/>
    <cellStyle name="40% - Accent2 3 4 4 2" xfId="2209" xr:uid="{00000000-0005-0000-0000-0000DF600000}"/>
    <cellStyle name="40% - Accent2 3 4 4 2 2" xfId="7071" xr:uid="{00000000-0005-0000-0000-0000E0600000}"/>
    <cellStyle name="40% - Accent2 3 4 4 2 2 2" xfId="26522" xr:uid="{00000000-0005-0000-0000-0000E1600000}"/>
    <cellStyle name="40% - Accent2 3 4 4 2 2 3" xfId="36247" xr:uid="{00000000-0005-0000-0000-0000E2600000}"/>
    <cellStyle name="40% - Accent2 3 4 4 2 2 4" xfId="45972" xr:uid="{00000000-0005-0000-0000-0000E3600000}"/>
    <cellStyle name="40% - Accent2 3 4 4 2 2 5" xfId="16797" xr:uid="{00000000-0005-0000-0000-0000E4600000}"/>
    <cellStyle name="40% - Accent2 3 4 4 2 3" xfId="21660" xr:uid="{00000000-0005-0000-0000-0000E5600000}"/>
    <cellStyle name="40% - Accent2 3 4 4 2 4" xfId="31385" xr:uid="{00000000-0005-0000-0000-0000E6600000}"/>
    <cellStyle name="40% - Accent2 3 4 4 2 5" xfId="41110" xr:uid="{00000000-0005-0000-0000-0000E7600000}"/>
    <cellStyle name="40% - Accent2 3 4 4 2 6" xfId="11935" xr:uid="{00000000-0005-0000-0000-0000E8600000}"/>
    <cellStyle name="40% - Accent2 3 4 4 3" xfId="3829" xr:uid="{00000000-0005-0000-0000-0000E9600000}"/>
    <cellStyle name="40% - Accent2 3 4 4 3 2" xfId="8691" xr:uid="{00000000-0005-0000-0000-0000EA600000}"/>
    <cellStyle name="40% - Accent2 3 4 4 3 2 2" xfId="28142" xr:uid="{00000000-0005-0000-0000-0000EB600000}"/>
    <cellStyle name="40% - Accent2 3 4 4 3 2 3" xfId="37867" xr:uid="{00000000-0005-0000-0000-0000EC600000}"/>
    <cellStyle name="40% - Accent2 3 4 4 3 2 4" xfId="47592" xr:uid="{00000000-0005-0000-0000-0000ED600000}"/>
    <cellStyle name="40% - Accent2 3 4 4 3 2 5" xfId="18417" xr:uid="{00000000-0005-0000-0000-0000EE600000}"/>
    <cellStyle name="40% - Accent2 3 4 4 3 3" xfId="23280" xr:uid="{00000000-0005-0000-0000-0000EF600000}"/>
    <cellStyle name="40% - Accent2 3 4 4 3 4" xfId="33005" xr:uid="{00000000-0005-0000-0000-0000F0600000}"/>
    <cellStyle name="40% - Accent2 3 4 4 3 5" xfId="42730" xr:uid="{00000000-0005-0000-0000-0000F1600000}"/>
    <cellStyle name="40% - Accent2 3 4 4 3 6" xfId="13555" xr:uid="{00000000-0005-0000-0000-0000F2600000}"/>
    <cellStyle name="40% - Accent2 3 4 4 4" xfId="5451" xr:uid="{00000000-0005-0000-0000-0000F3600000}"/>
    <cellStyle name="40% - Accent2 3 4 4 4 2" xfId="24902" xr:uid="{00000000-0005-0000-0000-0000F4600000}"/>
    <cellStyle name="40% - Accent2 3 4 4 4 3" xfId="34627" xr:uid="{00000000-0005-0000-0000-0000F5600000}"/>
    <cellStyle name="40% - Accent2 3 4 4 4 4" xfId="44352" xr:uid="{00000000-0005-0000-0000-0000F6600000}"/>
    <cellStyle name="40% - Accent2 3 4 4 4 5" xfId="15177" xr:uid="{00000000-0005-0000-0000-0000F7600000}"/>
    <cellStyle name="40% - Accent2 3 4 4 5" xfId="20040" xr:uid="{00000000-0005-0000-0000-0000F8600000}"/>
    <cellStyle name="40% - Accent2 3 4 4 6" xfId="29765" xr:uid="{00000000-0005-0000-0000-0000F9600000}"/>
    <cellStyle name="40% - Accent2 3 4 4 7" xfId="39490" xr:uid="{00000000-0005-0000-0000-0000FA600000}"/>
    <cellStyle name="40% - Accent2 3 4 4 8" xfId="10315" xr:uid="{00000000-0005-0000-0000-0000FB600000}"/>
    <cellStyle name="40% - Accent2 3 4 5" xfId="1849" xr:uid="{00000000-0005-0000-0000-0000FC600000}"/>
    <cellStyle name="40% - Accent2 3 4 5 2" xfId="6711" xr:uid="{00000000-0005-0000-0000-0000FD600000}"/>
    <cellStyle name="40% - Accent2 3 4 5 2 2" xfId="26162" xr:uid="{00000000-0005-0000-0000-0000FE600000}"/>
    <cellStyle name="40% - Accent2 3 4 5 2 3" xfId="35887" xr:uid="{00000000-0005-0000-0000-0000FF600000}"/>
    <cellStyle name="40% - Accent2 3 4 5 2 4" xfId="45612" xr:uid="{00000000-0005-0000-0000-000000610000}"/>
    <cellStyle name="40% - Accent2 3 4 5 2 5" xfId="16437" xr:uid="{00000000-0005-0000-0000-000001610000}"/>
    <cellStyle name="40% - Accent2 3 4 5 3" xfId="21300" xr:uid="{00000000-0005-0000-0000-000002610000}"/>
    <cellStyle name="40% - Accent2 3 4 5 4" xfId="31025" xr:uid="{00000000-0005-0000-0000-000003610000}"/>
    <cellStyle name="40% - Accent2 3 4 5 5" xfId="40750" xr:uid="{00000000-0005-0000-0000-000004610000}"/>
    <cellStyle name="40% - Accent2 3 4 5 6" xfId="11575" xr:uid="{00000000-0005-0000-0000-000005610000}"/>
    <cellStyle name="40% - Accent2 3 4 6" xfId="3469" xr:uid="{00000000-0005-0000-0000-000006610000}"/>
    <cellStyle name="40% - Accent2 3 4 6 2" xfId="8331" xr:uid="{00000000-0005-0000-0000-000007610000}"/>
    <cellStyle name="40% - Accent2 3 4 6 2 2" xfId="27782" xr:uid="{00000000-0005-0000-0000-000008610000}"/>
    <cellStyle name="40% - Accent2 3 4 6 2 3" xfId="37507" xr:uid="{00000000-0005-0000-0000-000009610000}"/>
    <cellStyle name="40% - Accent2 3 4 6 2 4" xfId="47232" xr:uid="{00000000-0005-0000-0000-00000A610000}"/>
    <cellStyle name="40% - Accent2 3 4 6 2 5" xfId="18057" xr:uid="{00000000-0005-0000-0000-00000B610000}"/>
    <cellStyle name="40% - Accent2 3 4 6 3" xfId="22920" xr:uid="{00000000-0005-0000-0000-00000C610000}"/>
    <cellStyle name="40% - Accent2 3 4 6 4" xfId="32645" xr:uid="{00000000-0005-0000-0000-00000D610000}"/>
    <cellStyle name="40% - Accent2 3 4 6 5" xfId="42370" xr:uid="{00000000-0005-0000-0000-00000E610000}"/>
    <cellStyle name="40% - Accent2 3 4 6 6" xfId="13195" xr:uid="{00000000-0005-0000-0000-00000F610000}"/>
    <cellStyle name="40% - Accent2 3 4 7" xfId="5091" xr:uid="{00000000-0005-0000-0000-000010610000}"/>
    <cellStyle name="40% - Accent2 3 4 7 2" xfId="24542" xr:uid="{00000000-0005-0000-0000-000011610000}"/>
    <cellStyle name="40% - Accent2 3 4 7 3" xfId="34267" xr:uid="{00000000-0005-0000-0000-000012610000}"/>
    <cellStyle name="40% - Accent2 3 4 7 4" xfId="43992" xr:uid="{00000000-0005-0000-0000-000013610000}"/>
    <cellStyle name="40% - Accent2 3 4 7 5" xfId="14817" xr:uid="{00000000-0005-0000-0000-000014610000}"/>
    <cellStyle name="40% - Accent2 3 4 8" xfId="19680" xr:uid="{00000000-0005-0000-0000-000015610000}"/>
    <cellStyle name="40% - Accent2 3 4 9" xfId="29405" xr:uid="{00000000-0005-0000-0000-000016610000}"/>
    <cellStyle name="40% - Accent2 3 5" xfId="840" xr:uid="{00000000-0005-0000-0000-000017610000}"/>
    <cellStyle name="40% - Accent2 3 5 2" xfId="2479" xr:uid="{00000000-0005-0000-0000-000018610000}"/>
    <cellStyle name="40% - Accent2 3 5 2 2" xfId="7341" xr:uid="{00000000-0005-0000-0000-000019610000}"/>
    <cellStyle name="40% - Accent2 3 5 2 2 2" xfId="26792" xr:uid="{00000000-0005-0000-0000-00001A610000}"/>
    <cellStyle name="40% - Accent2 3 5 2 2 3" xfId="36517" xr:uid="{00000000-0005-0000-0000-00001B610000}"/>
    <cellStyle name="40% - Accent2 3 5 2 2 4" xfId="46242" xr:uid="{00000000-0005-0000-0000-00001C610000}"/>
    <cellStyle name="40% - Accent2 3 5 2 2 5" xfId="17067" xr:uid="{00000000-0005-0000-0000-00001D610000}"/>
    <cellStyle name="40% - Accent2 3 5 2 3" xfId="21930" xr:uid="{00000000-0005-0000-0000-00001E610000}"/>
    <cellStyle name="40% - Accent2 3 5 2 4" xfId="31655" xr:uid="{00000000-0005-0000-0000-00001F610000}"/>
    <cellStyle name="40% - Accent2 3 5 2 5" xfId="41380" xr:uid="{00000000-0005-0000-0000-000020610000}"/>
    <cellStyle name="40% - Accent2 3 5 2 6" xfId="12205" xr:uid="{00000000-0005-0000-0000-000021610000}"/>
    <cellStyle name="40% - Accent2 3 5 3" xfId="4099" xr:uid="{00000000-0005-0000-0000-000022610000}"/>
    <cellStyle name="40% - Accent2 3 5 3 2" xfId="8961" xr:uid="{00000000-0005-0000-0000-000023610000}"/>
    <cellStyle name="40% - Accent2 3 5 3 2 2" xfId="28412" xr:uid="{00000000-0005-0000-0000-000024610000}"/>
    <cellStyle name="40% - Accent2 3 5 3 2 3" xfId="38137" xr:uid="{00000000-0005-0000-0000-000025610000}"/>
    <cellStyle name="40% - Accent2 3 5 3 2 4" xfId="47862" xr:uid="{00000000-0005-0000-0000-000026610000}"/>
    <cellStyle name="40% - Accent2 3 5 3 2 5" xfId="18687" xr:uid="{00000000-0005-0000-0000-000027610000}"/>
    <cellStyle name="40% - Accent2 3 5 3 3" xfId="23550" xr:uid="{00000000-0005-0000-0000-000028610000}"/>
    <cellStyle name="40% - Accent2 3 5 3 4" xfId="33275" xr:uid="{00000000-0005-0000-0000-000029610000}"/>
    <cellStyle name="40% - Accent2 3 5 3 5" xfId="43000" xr:uid="{00000000-0005-0000-0000-00002A610000}"/>
    <cellStyle name="40% - Accent2 3 5 3 6" xfId="13825" xr:uid="{00000000-0005-0000-0000-00002B610000}"/>
    <cellStyle name="40% - Accent2 3 5 4" xfId="5721" xr:uid="{00000000-0005-0000-0000-00002C610000}"/>
    <cellStyle name="40% - Accent2 3 5 4 2" xfId="25172" xr:uid="{00000000-0005-0000-0000-00002D610000}"/>
    <cellStyle name="40% - Accent2 3 5 4 3" xfId="34897" xr:uid="{00000000-0005-0000-0000-00002E610000}"/>
    <cellStyle name="40% - Accent2 3 5 4 4" xfId="44622" xr:uid="{00000000-0005-0000-0000-00002F610000}"/>
    <cellStyle name="40% - Accent2 3 5 4 5" xfId="15447" xr:uid="{00000000-0005-0000-0000-000030610000}"/>
    <cellStyle name="40% - Accent2 3 5 5" xfId="20310" xr:uid="{00000000-0005-0000-0000-000031610000}"/>
    <cellStyle name="40% - Accent2 3 5 6" xfId="30035" xr:uid="{00000000-0005-0000-0000-000032610000}"/>
    <cellStyle name="40% - Accent2 3 5 7" xfId="39760" xr:uid="{00000000-0005-0000-0000-000033610000}"/>
    <cellStyle name="40% - Accent2 3 5 8" xfId="10585" xr:uid="{00000000-0005-0000-0000-000034610000}"/>
    <cellStyle name="40% - Accent2 3 6" xfId="1218" xr:uid="{00000000-0005-0000-0000-000035610000}"/>
    <cellStyle name="40% - Accent2 3 6 2" xfId="2839" xr:uid="{00000000-0005-0000-0000-000036610000}"/>
    <cellStyle name="40% - Accent2 3 6 2 2" xfId="7701" xr:uid="{00000000-0005-0000-0000-000037610000}"/>
    <cellStyle name="40% - Accent2 3 6 2 2 2" xfId="27152" xr:uid="{00000000-0005-0000-0000-000038610000}"/>
    <cellStyle name="40% - Accent2 3 6 2 2 3" xfId="36877" xr:uid="{00000000-0005-0000-0000-000039610000}"/>
    <cellStyle name="40% - Accent2 3 6 2 2 4" xfId="46602" xr:uid="{00000000-0005-0000-0000-00003A610000}"/>
    <cellStyle name="40% - Accent2 3 6 2 2 5" xfId="17427" xr:uid="{00000000-0005-0000-0000-00003B610000}"/>
    <cellStyle name="40% - Accent2 3 6 2 3" xfId="22290" xr:uid="{00000000-0005-0000-0000-00003C610000}"/>
    <cellStyle name="40% - Accent2 3 6 2 4" xfId="32015" xr:uid="{00000000-0005-0000-0000-00003D610000}"/>
    <cellStyle name="40% - Accent2 3 6 2 5" xfId="41740" xr:uid="{00000000-0005-0000-0000-00003E610000}"/>
    <cellStyle name="40% - Accent2 3 6 2 6" xfId="12565" xr:uid="{00000000-0005-0000-0000-00003F610000}"/>
    <cellStyle name="40% - Accent2 3 6 3" xfId="4459" xr:uid="{00000000-0005-0000-0000-000040610000}"/>
    <cellStyle name="40% - Accent2 3 6 3 2" xfId="9321" xr:uid="{00000000-0005-0000-0000-000041610000}"/>
    <cellStyle name="40% - Accent2 3 6 3 2 2" xfId="28772" xr:uid="{00000000-0005-0000-0000-000042610000}"/>
    <cellStyle name="40% - Accent2 3 6 3 2 3" xfId="38497" xr:uid="{00000000-0005-0000-0000-000043610000}"/>
    <cellStyle name="40% - Accent2 3 6 3 2 4" xfId="48222" xr:uid="{00000000-0005-0000-0000-000044610000}"/>
    <cellStyle name="40% - Accent2 3 6 3 2 5" xfId="19047" xr:uid="{00000000-0005-0000-0000-000045610000}"/>
    <cellStyle name="40% - Accent2 3 6 3 3" xfId="23910" xr:uid="{00000000-0005-0000-0000-000046610000}"/>
    <cellStyle name="40% - Accent2 3 6 3 4" xfId="33635" xr:uid="{00000000-0005-0000-0000-000047610000}"/>
    <cellStyle name="40% - Accent2 3 6 3 5" xfId="43360" xr:uid="{00000000-0005-0000-0000-000048610000}"/>
    <cellStyle name="40% - Accent2 3 6 3 6" xfId="14185" xr:uid="{00000000-0005-0000-0000-000049610000}"/>
    <cellStyle name="40% - Accent2 3 6 4" xfId="6081" xr:uid="{00000000-0005-0000-0000-00004A610000}"/>
    <cellStyle name="40% - Accent2 3 6 4 2" xfId="25532" xr:uid="{00000000-0005-0000-0000-00004B610000}"/>
    <cellStyle name="40% - Accent2 3 6 4 3" xfId="35257" xr:uid="{00000000-0005-0000-0000-00004C610000}"/>
    <cellStyle name="40% - Accent2 3 6 4 4" xfId="44982" xr:uid="{00000000-0005-0000-0000-00004D610000}"/>
    <cellStyle name="40% - Accent2 3 6 4 5" xfId="15807" xr:uid="{00000000-0005-0000-0000-00004E610000}"/>
    <cellStyle name="40% - Accent2 3 6 5" xfId="20670" xr:uid="{00000000-0005-0000-0000-00004F610000}"/>
    <cellStyle name="40% - Accent2 3 6 6" xfId="30395" xr:uid="{00000000-0005-0000-0000-000050610000}"/>
    <cellStyle name="40% - Accent2 3 6 7" xfId="40120" xr:uid="{00000000-0005-0000-0000-000051610000}"/>
    <cellStyle name="40% - Accent2 3 6 8" xfId="10945" xr:uid="{00000000-0005-0000-0000-000052610000}"/>
    <cellStyle name="40% - Accent2 3 7" xfId="1308" xr:uid="{00000000-0005-0000-0000-000053610000}"/>
    <cellStyle name="40% - Accent2 3 7 2" xfId="2929" xr:uid="{00000000-0005-0000-0000-000054610000}"/>
    <cellStyle name="40% - Accent2 3 7 2 2" xfId="7791" xr:uid="{00000000-0005-0000-0000-000055610000}"/>
    <cellStyle name="40% - Accent2 3 7 2 2 2" xfId="27242" xr:uid="{00000000-0005-0000-0000-000056610000}"/>
    <cellStyle name="40% - Accent2 3 7 2 2 3" xfId="36967" xr:uid="{00000000-0005-0000-0000-000057610000}"/>
    <cellStyle name="40% - Accent2 3 7 2 2 4" xfId="46692" xr:uid="{00000000-0005-0000-0000-000058610000}"/>
    <cellStyle name="40% - Accent2 3 7 2 2 5" xfId="17517" xr:uid="{00000000-0005-0000-0000-000059610000}"/>
    <cellStyle name="40% - Accent2 3 7 2 3" xfId="22380" xr:uid="{00000000-0005-0000-0000-00005A610000}"/>
    <cellStyle name="40% - Accent2 3 7 2 4" xfId="32105" xr:uid="{00000000-0005-0000-0000-00005B610000}"/>
    <cellStyle name="40% - Accent2 3 7 2 5" xfId="41830" xr:uid="{00000000-0005-0000-0000-00005C610000}"/>
    <cellStyle name="40% - Accent2 3 7 2 6" xfId="12655" xr:uid="{00000000-0005-0000-0000-00005D610000}"/>
    <cellStyle name="40% - Accent2 3 7 3" xfId="4549" xr:uid="{00000000-0005-0000-0000-00005E610000}"/>
    <cellStyle name="40% - Accent2 3 7 3 2" xfId="9411" xr:uid="{00000000-0005-0000-0000-00005F610000}"/>
    <cellStyle name="40% - Accent2 3 7 3 2 2" xfId="28862" xr:uid="{00000000-0005-0000-0000-000060610000}"/>
    <cellStyle name="40% - Accent2 3 7 3 2 3" xfId="38587" xr:uid="{00000000-0005-0000-0000-000061610000}"/>
    <cellStyle name="40% - Accent2 3 7 3 2 4" xfId="48312" xr:uid="{00000000-0005-0000-0000-000062610000}"/>
    <cellStyle name="40% - Accent2 3 7 3 2 5" xfId="19137" xr:uid="{00000000-0005-0000-0000-000063610000}"/>
    <cellStyle name="40% - Accent2 3 7 3 3" xfId="24000" xr:uid="{00000000-0005-0000-0000-000064610000}"/>
    <cellStyle name="40% - Accent2 3 7 3 4" xfId="33725" xr:uid="{00000000-0005-0000-0000-000065610000}"/>
    <cellStyle name="40% - Accent2 3 7 3 5" xfId="43450" xr:uid="{00000000-0005-0000-0000-000066610000}"/>
    <cellStyle name="40% - Accent2 3 7 3 6" xfId="14275" xr:uid="{00000000-0005-0000-0000-000067610000}"/>
    <cellStyle name="40% - Accent2 3 7 4" xfId="6171" xr:uid="{00000000-0005-0000-0000-000068610000}"/>
    <cellStyle name="40% - Accent2 3 7 4 2" xfId="25622" xr:uid="{00000000-0005-0000-0000-000069610000}"/>
    <cellStyle name="40% - Accent2 3 7 4 3" xfId="35347" xr:uid="{00000000-0005-0000-0000-00006A610000}"/>
    <cellStyle name="40% - Accent2 3 7 4 4" xfId="45072" xr:uid="{00000000-0005-0000-0000-00006B610000}"/>
    <cellStyle name="40% - Accent2 3 7 4 5" xfId="15897" xr:uid="{00000000-0005-0000-0000-00006C610000}"/>
    <cellStyle name="40% - Accent2 3 7 5" xfId="20760" xr:uid="{00000000-0005-0000-0000-00006D610000}"/>
    <cellStyle name="40% - Accent2 3 7 6" xfId="30485" xr:uid="{00000000-0005-0000-0000-00006E610000}"/>
    <cellStyle name="40% - Accent2 3 7 7" xfId="40210" xr:uid="{00000000-0005-0000-0000-00006F610000}"/>
    <cellStyle name="40% - Accent2 3 7 8" xfId="11035" xr:uid="{00000000-0005-0000-0000-000070610000}"/>
    <cellStyle name="40% - Accent2 3 8" xfId="479" xr:uid="{00000000-0005-0000-0000-000071610000}"/>
    <cellStyle name="40% - Accent2 3 8 2" xfId="2119" xr:uid="{00000000-0005-0000-0000-000072610000}"/>
    <cellStyle name="40% - Accent2 3 8 2 2" xfId="6981" xr:uid="{00000000-0005-0000-0000-000073610000}"/>
    <cellStyle name="40% - Accent2 3 8 2 2 2" xfId="26432" xr:uid="{00000000-0005-0000-0000-000074610000}"/>
    <cellStyle name="40% - Accent2 3 8 2 2 3" xfId="36157" xr:uid="{00000000-0005-0000-0000-000075610000}"/>
    <cellStyle name="40% - Accent2 3 8 2 2 4" xfId="45882" xr:uid="{00000000-0005-0000-0000-000076610000}"/>
    <cellStyle name="40% - Accent2 3 8 2 2 5" xfId="16707" xr:uid="{00000000-0005-0000-0000-000077610000}"/>
    <cellStyle name="40% - Accent2 3 8 2 3" xfId="21570" xr:uid="{00000000-0005-0000-0000-000078610000}"/>
    <cellStyle name="40% - Accent2 3 8 2 4" xfId="31295" xr:uid="{00000000-0005-0000-0000-000079610000}"/>
    <cellStyle name="40% - Accent2 3 8 2 5" xfId="41020" xr:uid="{00000000-0005-0000-0000-00007A610000}"/>
    <cellStyle name="40% - Accent2 3 8 2 6" xfId="11845" xr:uid="{00000000-0005-0000-0000-00007B610000}"/>
    <cellStyle name="40% - Accent2 3 8 3" xfId="3739" xr:uid="{00000000-0005-0000-0000-00007C610000}"/>
    <cellStyle name="40% - Accent2 3 8 3 2" xfId="8601" xr:uid="{00000000-0005-0000-0000-00007D610000}"/>
    <cellStyle name="40% - Accent2 3 8 3 2 2" xfId="28052" xr:uid="{00000000-0005-0000-0000-00007E610000}"/>
    <cellStyle name="40% - Accent2 3 8 3 2 3" xfId="37777" xr:uid="{00000000-0005-0000-0000-00007F610000}"/>
    <cellStyle name="40% - Accent2 3 8 3 2 4" xfId="47502" xr:uid="{00000000-0005-0000-0000-000080610000}"/>
    <cellStyle name="40% - Accent2 3 8 3 2 5" xfId="18327" xr:uid="{00000000-0005-0000-0000-000081610000}"/>
    <cellStyle name="40% - Accent2 3 8 3 3" xfId="23190" xr:uid="{00000000-0005-0000-0000-000082610000}"/>
    <cellStyle name="40% - Accent2 3 8 3 4" xfId="32915" xr:uid="{00000000-0005-0000-0000-000083610000}"/>
    <cellStyle name="40% - Accent2 3 8 3 5" xfId="42640" xr:uid="{00000000-0005-0000-0000-000084610000}"/>
    <cellStyle name="40% - Accent2 3 8 3 6" xfId="13465" xr:uid="{00000000-0005-0000-0000-000085610000}"/>
    <cellStyle name="40% - Accent2 3 8 4" xfId="5361" xr:uid="{00000000-0005-0000-0000-000086610000}"/>
    <cellStyle name="40% - Accent2 3 8 4 2" xfId="24812" xr:uid="{00000000-0005-0000-0000-000087610000}"/>
    <cellStyle name="40% - Accent2 3 8 4 3" xfId="34537" xr:uid="{00000000-0005-0000-0000-000088610000}"/>
    <cellStyle name="40% - Accent2 3 8 4 4" xfId="44262" xr:uid="{00000000-0005-0000-0000-000089610000}"/>
    <cellStyle name="40% - Accent2 3 8 4 5" xfId="15087" xr:uid="{00000000-0005-0000-0000-00008A610000}"/>
    <cellStyle name="40% - Accent2 3 8 5" xfId="19950" xr:uid="{00000000-0005-0000-0000-00008B610000}"/>
    <cellStyle name="40% - Accent2 3 8 6" xfId="29675" xr:uid="{00000000-0005-0000-0000-00008C610000}"/>
    <cellStyle name="40% - Accent2 3 8 7" xfId="39400" xr:uid="{00000000-0005-0000-0000-00008D610000}"/>
    <cellStyle name="40% - Accent2 3 8 8" xfId="10225" xr:uid="{00000000-0005-0000-0000-00008E610000}"/>
    <cellStyle name="40% - Accent2 3 9" xfId="1668" xr:uid="{00000000-0005-0000-0000-00008F610000}"/>
    <cellStyle name="40% - Accent2 3 9 2" xfId="3289" xr:uid="{00000000-0005-0000-0000-000090610000}"/>
    <cellStyle name="40% - Accent2 3 9 2 2" xfId="8151" xr:uid="{00000000-0005-0000-0000-000091610000}"/>
    <cellStyle name="40% - Accent2 3 9 2 2 2" xfId="27602" xr:uid="{00000000-0005-0000-0000-000092610000}"/>
    <cellStyle name="40% - Accent2 3 9 2 2 3" xfId="37327" xr:uid="{00000000-0005-0000-0000-000093610000}"/>
    <cellStyle name="40% - Accent2 3 9 2 2 4" xfId="47052" xr:uid="{00000000-0005-0000-0000-000094610000}"/>
    <cellStyle name="40% - Accent2 3 9 2 2 5" xfId="17877" xr:uid="{00000000-0005-0000-0000-000095610000}"/>
    <cellStyle name="40% - Accent2 3 9 2 3" xfId="22740" xr:uid="{00000000-0005-0000-0000-000096610000}"/>
    <cellStyle name="40% - Accent2 3 9 2 4" xfId="32465" xr:uid="{00000000-0005-0000-0000-000097610000}"/>
    <cellStyle name="40% - Accent2 3 9 2 5" xfId="42190" xr:uid="{00000000-0005-0000-0000-000098610000}"/>
    <cellStyle name="40% - Accent2 3 9 2 6" xfId="13015" xr:uid="{00000000-0005-0000-0000-000099610000}"/>
    <cellStyle name="40% - Accent2 3 9 3" xfId="4909" xr:uid="{00000000-0005-0000-0000-00009A610000}"/>
    <cellStyle name="40% - Accent2 3 9 3 2" xfId="9771" xr:uid="{00000000-0005-0000-0000-00009B610000}"/>
    <cellStyle name="40% - Accent2 3 9 3 2 2" xfId="29222" xr:uid="{00000000-0005-0000-0000-00009C610000}"/>
    <cellStyle name="40% - Accent2 3 9 3 2 3" xfId="38947" xr:uid="{00000000-0005-0000-0000-00009D610000}"/>
    <cellStyle name="40% - Accent2 3 9 3 2 4" xfId="48672" xr:uid="{00000000-0005-0000-0000-00009E610000}"/>
    <cellStyle name="40% - Accent2 3 9 3 2 5" xfId="19497" xr:uid="{00000000-0005-0000-0000-00009F610000}"/>
    <cellStyle name="40% - Accent2 3 9 3 3" xfId="24360" xr:uid="{00000000-0005-0000-0000-0000A0610000}"/>
    <cellStyle name="40% - Accent2 3 9 3 4" xfId="34085" xr:uid="{00000000-0005-0000-0000-0000A1610000}"/>
    <cellStyle name="40% - Accent2 3 9 3 5" xfId="43810" xr:uid="{00000000-0005-0000-0000-0000A2610000}"/>
    <cellStyle name="40% - Accent2 3 9 3 6" xfId="14635" xr:uid="{00000000-0005-0000-0000-0000A3610000}"/>
    <cellStyle name="40% - Accent2 3 9 4" xfId="6531" xr:uid="{00000000-0005-0000-0000-0000A4610000}"/>
    <cellStyle name="40% - Accent2 3 9 4 2" xfId="25982" xr:uid="{00000000-0005-0000-0000-0000A5610000}"/>
    <cellStyle name="40% - Accent2 3 9 4 3" xfId="35707" xr:uid="{00000000-0005-0000-0000-0000A6610000}"/>
    <cellStyle name="40% - Accent2 3 9 4 4" xfId="45432" xr:uid="{00000000-0005-0000-0000-0000A7610000}"/>
    <cellStyle name="40% - Accent2 3 9 4 5" xfId="16257" xr:uid="{00000000-0005-0000-0000-0000A8610000}"/>
    <cellStyle name="40% - Accent2 3 9 5" xfId="21120" xr:uid="{00000000-0005-0000-0000-0000A9610000}"/>
    <cellStyle name="40% - Accent2 3 9 6" xfId="30845" xr:uid="{00000000-0005-0000-0000-0000AA610000}"/>
    <cellStyle name="40% - Accent2 3 9 7" xfId="40570" xr:uid="{00000000-0005-0000-0000-0000AB610000}"/>
    <cellStyle name="40% - Accent2 3 9 8" xfId="11395" xr:uid="{00000000-0005-0000-0000-0000AC610000}"/>
    <cellStyle name="40% - Accent2 4" xfId="105" xr:uid="{00000000-0005-0000-0000-0000AD610000}"/>
    <cellStyle name="40% - Accent2 4 10" xfId="1789" xr:uid="{00000000-0005-0000-0000-0000AE610000}"/>
    <cellStyle name="40% - Accent2 4 10 2" xfId="6651" xr:uid="{00000000-0005-0000-0000-0000AF610000}"/>
    <cellStyle name="40% - Accent2 4 10 2 2" xfId="26102" xr:uid="{00000000-0005-0000-0000-0000B0610000}"/>
    <cellStyle name="40% - Accent2 4 10 2 3" xfId="35827" xr:uid="{00000000-0005-0000-0000-0000B1610000}"/>
    <cellStyle name="40% - Accent2 4 10 2 4" xfId="45552" xr:uid="{00000000-0005-0000-0000-0000B2610000}"/>
    <cellStyle name="40% - Accent2 4 10 2 5" xfId="16377" xr:uid="{00000000-0005-0000-0000-0000B3610000}"/>
    <cellStyle name="40% - Accent2 4 10 3" xfId="21240" xr:uid="{00000000-0005-0000-0000-0000B4610000}"/>
    <cellStyle name="40% - Accent2 4 10 4" xfId="30965" xr:uid="{00000000-0005-0000-0000-0000B5610000}"/>
    <cellStyle name="40% - Accent2 4 10 5" xfId="40690" xr:uid="{00000000-0005-0000-0000-0000B6610000}"/>
    <cellStyle name="40% - Accent2 4 10 6" xfId="11515" xr:uid="{00000000-0005-0000-0000-0000B7610000}"/>
    <cellStyle name="40% - Accent2 4 11" xfId="3409" xr:uid="{00000000-0005-0000-0000-0000B8610000}"/>
    <cellStyle name="40% - Accent2 4 11 2" xfId="8271" xr:uid="{00000000-0005-0000-0000-0000B9610000}"/>
    <cellStyle name="40% - Accent2 4 11 2 2" xfId="27722" xr:uid="{00000000-0005-0000-0000-0000BA610000}"/>
    <cellStyle name="40% - Accent2 4 11 2 3" xfId="37447" xr:uid="{00000000-0005-0000-0000-0000BB610000}"/>
    <cellStyle name="40% - Accent2 4 11 2 4" xfId="47172" xr:uid="{00000000-0005-0000-0000-0000BC610000}"/>
    <cellStyle name="40% - Accent2 4 11 2 5" xfId="17997" xr:uid="{00000000-0005-0000-0000-0000BD610000}"/>
    <cellStyle name="40% - Accent2 4 11 3" xfId="22860" xr:uid="{00000000-0005-0000-0000-0000BE610000}"/>
    <cellStyle name="40% - Accent2 4 11 4" xfId="32585" xr:uid="{00000000-0005-0000-0000-0000BF610000}"/>
    <cellStyle name="40% - Accent2 4 11 5" xfId="42310" xr:uid="{00000000-0005-0000-0000-0000C0610000}"/>
    <cellStyle name="40% - Accent2 4 11 6" xfId="13135" xr:uid="{00000000-0005-0000-0000-0000C1610000}"/>
    <cellStyle name="40% - Accent2 4 12" xfId="5031" xr:uid="{00000000-0005-0000-0000-0000C2610000}"/>
    <cellStyle name="40% - Accent2 4 12 2" xfId="24482" xr:uid="{00000000-0005-0000-0000-0000C3610000}"/>
    <cellStyle name="40% - Accent2 4 12 3" xfId="34207" xr:uid="{00000000-0005-0000-0000-0000C4610000}"/>
    <cellStyle name="40% - Accent2 4 12 4" xfId="43932" xr:uid="{00000000-0005-0000-0000-0000C5610000}"/>
    <cellStyle name="40% - Accent2 4 12 5" xfId="14757" xr:uid="{00000000-0005-0000-0000-0000C6610000}"/>
    <cellStyle name="40% - Accent2 4 13" xfId="19620" xr:uid="{00000000-0005-0000-0000-0000C7610000}"/>
    <cellStyle name="40% - Accent2 4 14" xfId="29345" xr:uid="{00000000-0005-0000-0000-0000C8610000}"/>
    <cellStyle name="40% - Accent2 4 15" xfId="39070" xr:uid="{00000000-0005-0000-0000-0000C9610000}"/>
    <cellStyle name="40% - Accent2 4 16" xfId="9895" xr:uid="{00000000-0005-0000-0000-0000CA610000}"/>
    <cellStyle name="40% - Accent2 4 2" xfId="287" xr:uid="{00000000-0005-0000-0000-0000CB610000}"/>
    <cellStyle name="40% - Accent2 4 2 10" xfId="39250" xr:uid="{00000000-0005-0000-0000-0000CC610000}"/>
    <cellStyle name="40% - Accent2 4 2 11" xfId="10075" xr:uid="{00000000-0005-0000-0000-0000CD610000}"/>
    <cellStyle name="40% - Accent2 4 2 2" xfId="1051" xr:uid="{00000000-0005-0000-0000-0000CE610000}"/>
    <cellStyle name="40% - Accent2 4 2 2 2" xfId="2689" xr:uid="{00000000-0005-0000-0000-0000CF610000}"/>
    <cellStyle name="40% - Accent2 4 2 2 2 2" xfId="7551" xr:uid="{00000000-0005-0000-0000-0000D0610000}"/>
    <cellStyle name="40% - Accent2 4 2 2 2 2 2" xfId="27002" xr:uid="{00000000-0005-0000-0000-0000D1610000}"/>
    <cellStyle name="40% - Accent2 4 2 2 2 2 3" xfId="36727" xr:uid="{00000000-0005-0000-0000-0000D2610000}"/>
    <cellStyle name="40% - Accent2 4 2 2 2 2 4" xfId="46452" xr:uid="{00000000-0005-0000-0000-0000D3610000}"/>
    <cellStyle name="40% - Accent2 4 2 2 2 2 5" xfId="17277" xr:uid="{00000000-0005-0000-0000-0000D4610000}"/>
    <cellStyle name="40% - Accent2 4 2 2 2 3" xfId="22140" xr:uid="{00000000-0005-0000-0000-0000D5610000}"/>
    <cellStyle name="40% - Accent2 4 2 2 2 4" xfId="31865" xr:uid="{00000000-0005-0000-0000-0000D6610000}"/>
    <cellStyle name="40% - Accent2 4 2 2 2 5" xfId="41590" xr:uid="{00000000-0005-0000-0000-0000D7610000}"/>
    <cellStyle name="40% - Accent2 4 2 2 2 6" xfId="12415" xr:uid="{00000000-0005-0000-0000-0000D8610000}"/>
    <cellStyle name="40% - Accent2 4 2 2 3" xfId="4309" xr:uid="{00000000-0005-0000-0000-0000D9610000}"/>
    <cellStyle name="40% - Accent2 4 2 2 3 2" xfId="9171" xr:uid="{00000000-0005-0000-0000-0000DA610000}"/>
    <cellStyle name="40% - Accent2 4 2 2 3 2 2" xfId="28622" xr:uid="{00000000-0005-0000-0000-0000DB610000}"/>
    <cellStyle name="40% - Accent2 4 2 2 3 2 3" xfId="38347" xr:uid="{00000000-0005-0000-0000-0000DC610000}"/>
    <cellStyle name="40% - Accent2 4 2 2 3 2 4" xfId="48072" xr:uid="{00000000-0005-0000-0000-0000DD610000}"/>
    <cellStyle name="40% - Accent2 4 2 2 3 2 5" xfId="18897" xr:uid="{00000000-0005-0000-0000-0000DE610000}"/>
    <cellStyle name="40% - Accent2 4 2 2 3 3" xfId="23760" xr:uid="{00000000-0005-0000-0000-0000DF610000}"/>
    <cellStyle name="40% - Accent2 4 2 2 3 4" xfId="33485" xr:uid="{00000000-0005-0000-0000-0000E0610000}"/>
    <cellStyle name="40% - Accent2 4 2 2 3 5" xfId="43210" xr:uid="{00000000-0005-0000-0000-0000E1610000}"/>
    <cellStyle name="40% - Accent2 4 2 2 3 6" xfId="14035" xr:uid="{00000000-0005-0000-0000-0000E2610000}"/>
    <cellStyle name="40% - Accent2 4 2 2 4" xfId="5931" xr:uid="{00000000-0005-0000-0000-0000E3610000}"/>
    <cellStyle name="40% - Accent2 4 2 2 4 2" xfId="25382" xr:uid="{00000000-0005-0000-0000-0000E4610000}"/>
    <cellStyle name="40% - Accent2 4 2 2 4 3" xfId="35107" xr:uid="{00000000-0005-0000-0000-0000E5610000}"/>
    <cellStyle name="40% - Accent2 4 2 2 4 4" xfId="44832" xr:uid="{00000000-0005-0000-0000-0000E6610000}"/>
    <cellStyle name="40% - Accent2 4 2 2 4 5" xfId="15657" xr:uid="{00000000-0005-0000-0000-0000E7610000}"/>
    <cellStyle name="40% - Accent2 4 2 2 5" xfId="20520" xr:uid="{00000000-0005-0000-0000-0000E8610000}"/>
    <cellStyle name="40% - Accent2 4 2 2 6" xfId="30245" xr:uid="{00000000-0005-0000-0000-0000E9610000}"/>
    <cellStyle name="40% - Accent2 4 2 2 7" xfId="39970" xr:uid="{00000000-0005-0000-0000-0000EA610000}"/>
    <cellStyle name="40% - Accent2 4 2 2 8" xfId="10795" xr:uid="{00000000-0005-0000-0000-0000EB610000}"/>
    <cellStyle name="40% - Accent2 4 2 3" xfId="1518" xr:uid="{00000000-0005-0000-0000-0000EC610000}"/>
    <cellStyle name="40% - Accent2 4 2 3 2" xfId="3139" xr:uid="{00000000-0005-0000-0000-0000ED610000}"/>
    <cellStyle name="40% - Accent2 4 2 3 2 2" xfId="8001" xr:uid="{00000000-0005-0000-0000-0000EE610000}"/>
    <cellStyle name="40% - Accent2 4 2 3 2 2 2" xfId="27452" xr:uid="{00000000-0005-0000-0000-0000EF610000}"/>
    <cellStyle name="40% - Accent2 4 2 3 2 2 3" xfId="37177" xr:uid="{00000000-0005-0000-0000-0000F0610000}"/>
    <cellStyle name="40% - Accent2 4 2 3 2 2 4" xfId="46902" xr:uid="{00000000-0005-0000-0000-0000F1610000}"/>
    <cellStyle name="40% - Accent2 4 2 3 2 2 5" xfId="17727" xr:uid="{00000000-0005-0000-0000-0000F2610000}"/>
    <cellStyle name="40% - Accent2 4 2 3 2 3" xfId="22590" xr:uid="{00000000-0005-0000-0000-0000F3610000}"/>
    <cellStyle name="40% - Accent2 4 2 3 2 4" xfId="32315" xr:uid="{00000000-0005-0000-0000-0000F4610000}"/>
    <cellStyle name="40% - Accent2 4 2 3 2 5" xfId="42040" xr:uid="{00000000-0005-0000-0000-0000F5610000}"/>
    <cellStyle name="40% - Accent2 4 2 3 2 6" xfId="12865" xr:uid="{00000000-0005-0000-0000-0000F6610000}"/>
    <cellStyle name="40% - Accent2 4 2 3 3" xfId="4759" xr:uid="{00000000-0005-0000-0000-0000F7610000}"/>
    <cellStyle name="40% - Accent2 4 2 3 3 2" xfId="9621" xr:uid="{00000000-0005-0000-0000-0000F8610000}"/>
    <cellStyle name="40% - Accent2 4 2 3 3 2 2" xfId="29072" xr:uid="{00000000-0005-0000-0000-0000F9610000}"/>
    <cellStyle name="40% - Accent2 4 2 3 3 2 3" xfId="38797" xr:uid="{00000000-0005-0000-0000-0000FA610000}"/>
    <cellStyle name="40% - Accent2 4 2 3 3 2 4" xfId="48522" xr:uid="{00000000-0005-0000-0000-0000FB610000}"/>
    <cellStyle name="40% - Accent2 4 2 3 3 2 5" xfId="19347" xr:uid="{00000000-0005-0000-0000-0000FC610000}"/>
    <cellStyle name="40% - Accent2 4 2 3 3 3" xfId="24210" xr:uid="{00000000-0005-0000-0000-0000FD610000}"/>
    <cellStyle name="40% - Accent2 4 2 3 3 4" xfId="33935" xr:uid="{00000000-0005-0000-0000-0000FE610000}"/>
    <cellStyle name="40% - Accent2 4 2 3 3 5" xfId="43660" xr:uid="{00000000-0005-0000-0000-0000FF610000}"/>
    <cellStyle name="40% - Accent2 4 2 3 3 6" xfId="14485" xr:uid="{00000000-0005-0000-0000-000000620000}"/>
    <cellStyle name="40% - Accent2 4 2 3 4" xfId="6381" xr:uid="{00000000-0005-0000-0000-000001620000}"/>
    <cellStyle name="40% - Accent2 4 2 3 4 2" xfId="25832" xr:uid="{00000000-0005-0000-0000-000002620000}"/>
    <cellStyle name="40% - Accent2 4 2 3 4 3" xfId="35557" xr:uid="{00000000-0005-0000-0000-000003620000}"/>
    <cellStyle name="40% - Accent2 4 2 3 4 4" xfId="45282" xr:uid="{00000000-0005-0000-0000-000004620000}"/>
    <cellStyle name="40% - Accent2 4 2 3 4 5" xfId="16107" xr:uid="{00000000-0005-0000-0000-000005620000}"/>
    <cellStyle name="40% - Accent2 4 2 3 5" xfId="20970" xr:uid="{00000000-0005-0000-0000-000006620000}"/>
    <cellStyle name="40% - Accent2 4 2 3 6" xfId="30695" xr:uid="{00000000-0005-0000-0000-000007620000}"/>
    <cellStyle name="40% - Accent2 4 2 3 7" xfId="40420" xr:uid="{00000000-0005-0000-0000-000008620000}"/>
    <cellStyle name="40% - Accent2 4 2 3 8" xfId="11245" xr:uid="{00000000-0005-0000-0000-000009620000}"/>
    <cellStyle name="40% - Accent2 4 2 4" xfId="689" xr:uid="{00000000-0005-0000-0000-00000A620000}"/>
    <cellStyle name="40% - Accent2 4 2 4 2" xfId="2329" xr:uid="{00000000-0005-0000-0000-00000B620000}"/>
    <cellStyle name="40% - Accent2 4 2 4 2 2" xfId="7191" xr:uid="{00000000-0005-0000-0000-00000C620000}"/>
    <cellStyle name="40% - Accent2 4 2 4 2 2 2" xfId="26642" xr:uid="{00000000-0005-0000-0000-00000D620000}"/>
    <cellStyle name="40% - Accent2 4 2 4 2 2 3" xfId="36367" xr:uid="{00000000-0005-0000-0000-00000E620000}"/>
    <cellStyle name="40% - Accent2 4 2 4 2 2 4" xfId="46092" xr:uid="{00000000-0005-0000-0000-00000F620000}"/>
    <cellStyle name="40% - Accent2 4 2 4 2 2 5" xfId="16917" xr:uid="{00000000-0005-0000-0000-000010620000}"/>
    <cellStyle name="40% - Accent2 4 2 4 2 3" xfId="21780" xr:uid="{00000000-0005-0000-0000-000011620000}"/>
    <cellStyle name="40% - Accent2 4 2 4 2 4" xfId="31505" xr:uid="{00000000-0005-0000-0000-000012620000}"/>
    <cellStyle name="40% - Accent2 4 2 4 2 5" xfId="41230" xr:uid="{00000000-0005-0000-0000-000013620000}"/>
    <cellStyle name="40% - Accent2 4 2 4 2 6" xfId="12055" xr:uid="{00000000-0005-0000-0000-000014620000}"/>
    <cellStyle name="40% - Accent2 4 2 4 3" xfId="3949" xr:uid="{00000000-0005-0000-0000-000015620000}"/>
    <cellStyle name="40% - Accent2 4 2 4 3 2" xfId="8811" xr:uid="{00000000-0005-0000-0000-000016620000}"/>
    <cellStyle name="40% - Accent2 4 2 4 3 2 2" xfId="28262" xr:uid="{00000000-0005-0000-0000-000017620000}"/>
    <cellStyle name="40% - Accent2 4 2 4 3 2 3" xfId="37987" xr:uid="{00000000-0005-0000-0000-000018620000}"/>
    <cellStyle name="40% - Accent2 4 2 4 3 2 4" xfId="47712" xr:uid="{00000000-0005-0000-0000-000019620000}"/>
    <cellStyle name="40% - Accent2 4 2 4 3 2 5" xfId="18537" xr:uid="{00000000-0005-0000-0000-00001A620000}"/>
    <cellStyle name="40% - Accent2 4 2 4 3 3" xfId="23400" xr:uid="{00000000-0005-0000-0000-00001B620000}"/>
    <cellStyle name="40% - Accent2 4 2 4 3 4" xfId="33125" xr:uid="{00000000-0005-0000-0000-00001C620000}"/>
    <cellStyle name="40% - Accent2 4 2 4 3 5" xfId="42850" xr:uid="{00000000-0005-0000-0000-00001D620000}"/>
    <cellStyle name="40% - Accent2 4 2 4 3 6" xfId="13675" xr:uid="{00000000-0005-0000-0000-00001E620000}"/>
    <cellStyle name="40% - Accent2 4 2 4 4" xfId="5571" xr:uid="{00000000-0005-0000-0000-00001F620000}"/>
    <cellStyle name="40% - Accent2 4 2 4 4 2" xfId="25022" xr:uid="{00000000-0005-0000-0000-000020620000}"/>
    <cellStyle name="40% - Accent2 4 2 4 4 3" xfId="34747" xr:uid="{00000000-0005-0000-0000-000021620000}"/>
    <cellStyle name="40% - Accent2 4 2 4 4 4" xfId="44472" xr:uid="{00000000-0005-0000-0000-000022620000}"/>
    <cellStyle name="40% - Accent2 4 2 4 4 5" xfId="15297" xr:uid="{00000000-0005-0000-0000-000023620000}"/>
    <cellStyle name="40% - Accent2 4 2 4 5" xfId="20160" xr:uid="{00000000-0005-0000-0000-000024620000}"/>
    <cellStyle name="40% - Accent2 4 2 4 6" xfId="29885" xr:uid="{00000000-0005-0000-0000-000025620000}"/>
    <cellStyle name="40% - Accent2 4 2 4 7" xfId="39610" xr:uid="{00000000-0005-0000-0000-000026620000}"/>
    <cellStyle name="40% - Accent2 4 2 4 8" xfId="10435" xr:uid="{00000000-0005-0000-0000-000027620000}"/>
    <cellStyle name="40% - Accent2 4 2 5" xfId="1969" xr:uid="{00000000-0005-0000-0000-000028620000}"/>
    <cellStyle name="40% - Accent2 4 2 5 2" xfId="6831" xr:uid="{00000000-0005-0000-0000-000029620000}"/>
    <cellStyle name="40% - Accent2 4 2 5 2 2" xfId="26282" xr:uid="{00000000-0005-0000-0000-00002A620000}"/>
    <cellStyle name="40% - Accent2 4 2 5 2 3" xfId="36007" xr:uid="{00000000-0005-0000-0000-00002B620000}"/>
    <cellStyle name="40% - Accent2 4 2 5 2 4" xfId="45732" xr:uid="{00000000-0005-0000-0000-00002C620000}"/>
    <cellStyle name="40% - Accent2 4 2 5 2 5" xfId="16557" xr:uid="{00000000-0005-0000-0000-00002D620000}"/>
    <cellStyle name="40% - Accent2 4 2 5 3" xfId="21420" xr:uid="{00000000-0005-0000-0000-00002E620000}"/>
    <cellStyle name="40% - Accent2 4 2 5 4" xfId="31145" xr:uid="{00000000-0005-0000-0000-00002F620000}"/>
    <cellStyle name="40% - Accent2 4 2 5 5" xfId="40870" xr:uid="{00000000-0005-0000-0000-000030620000}"/>
    <cellStyle name="40% - Accent2 4 2 5 6" xfId="11695" xr:uid="{00000000-0005-0000-0000-000031620000}"/>
    <cellStyle name="40% - Accent2 4 2 6" xfId="3589" xr:uid="{00000000-0005-0000-0000-000032620000}"/>
    <cellStyle name="40% - Accent2 4 2 6 2" xfId="8451" xr:uid="{00000000-0005-0000-0000-000033620000}"/>
    <cellStyle name="40% - Accent2 4 2 6 2 2" xfId="27902" xr:uid="{00000000-0005-0000-0000-000034620000}"/>
    <cellStyle name="40% - Accent2 4 2 6 2 3" xfId="37627" xr:uid="{00000000-0005-0000-0000-000035620000}"/>
    <cellStyle name="40% - Accent2 4 2 6 2 4" xfId="47352" xr:uid="{00000000-0005-0000-0000-000036620000}"/>
    <cellStyle name="40% - Accent2 4 2 6 2 5" xfId="18177" xr:uid="{00000000-0005-0000-0000-000037620000}"/>
    <cellStyle name="40% - Accent2 4 2 6 3" xfId="23040" xr:uid="{00000000-0005-0000-0000-000038620000}"/>
    <cellStyle name="40% - Accent2 4 2 6 4" xfId="32765" xr:uid="{00000000-0005-0000-0000-000039620000}"/>
    <cellStyle name="40% - Accent2 4 2 6 5" xfId="42490" xr:uid="{00000000-0005-0000-0000-00003A620000}"/>
    <cellStyle name="40% - Accent2 4 2 6 6" xfId="13315" xr:uid="{00000000-0005-0000-0000-00003B620000}"/>
    <cellStyle name="40% - Accent2 4 2 7" xfId="5211" xr:uid="{00000000-0005-0000-0000-00003C620000}"/>
    <cellStyle name="40% - Accent2 4 2 7 2" xfId="24662" xr:uid="{00000000-0005-0000-0000-00003D620000}"/>
    <cellStyle name="40% - Accent2 4 2 7 3" xfId="34387" xr:uid="{00000000-0005-0000-0000-00003E620000}"/>
    <cellStyle name="40% - Accent2 4 2 7 4" xfId="44112" xr:uid="{00000000-0005-0000-0000-00003F620000}"/>
    <cellStyle name="40% - Accent2 4 2 7 5" xfId="14937" xr:uid="{00000000-0005-0000-0000-000040620000}"/>
    <cellStyle name="40% - Accent2 4 2 8" xfId="19800" xr:uid="{00000000-0005-0000-0000-000041620000}"/>
    <cellStyle name="40% - Accent2 4 2 9" xfId="29525" xr:uid="{00000000-0005-0000-0000-000042620000}"/>
    <cellStyle name="40% - Accent2 4 3" xfId="378" xr:uid="{00000000-0005-0000-0000-000043620000}"/>
    <cellStyle name="40% - Accent2 4 3 10" xfId="39340" xr:uid="{00000000-0005-0000-0000-000044620000}"/>
    <cellStyle name="40% - Accent2 4 3 11" xfId="10165" xr:uid="{00000000-0005-0000-0000-000045620000}"/>
    <cellStyle name="40% - Accent2 4 3 2" xfId="1141" xr:uid="{00000000-0005-0000-0000-000046620000}"/>
    <cellStyle name="40% - Accent2 4 3 2 2" xfId="2779" xr:uid="{00000000-0005-0000-0000-000047620000}"/>
    <cellStyle name="40% - Accent2 4 3 2 2 2" xfId="7641" xr:uid="{00000000-0005-0000-0000-000048620000}"/>
    <cellStyle name="40% - Accent2 4 3 2 2 2 2" xfId="27092" xr:uid="{00000000-0005-0000-0000-000049620000}"/>
    <cellStyle name="40% - Accent2 4 3 2 2 2 3" xfId="36817" xr:uid="{00000000-0005-0000-0000-00004A620000}"/>
    <cellStyle name="40% - Accent2 4 3 2 2 2 4" xfId="46542" xr:uid="{00000000-0005-0000-0000-00004B620000}"/>
    <cellStyle name="40% - Accent2 4 3 2 2 2 5" xfId="17367" xr:uid="{00000000-0005-0000-0000-00004C620000}"/>
    <cellStyle name="40% - Accent2 4 3 2 2 3" xfId="22230" xr:uid="{00000000-0005-0000-0000-00004D620000}"/>
    <cellStyle name="40% - Accent2 4 3 2 2 4" xfId="31955" xr:uid="{00000000-0005-0000-0000-00004E620000}"/>
    <cellStyle name="40% - Accent2 4 3 2 2 5" xfId="41680" xr:uid="{00000000-0005-0000-0000-00004F620000}"/>
    <cellStyle name="40% - Accent2 4 3 2 2 6" xfId="12505" xr:uid="{00000000-0005-0000-0000-000050620000}"/>
    <cellStyle name="40% - Accent2 4 3 2 3" xfId="4399" xr:uid="{00000000-0005-0000-0000-000051620000}"/>
    <cellStyle name="40% - Accent2 4 3 2 3 2" xfId="9261" xr:uid="{00000000-0005-0000-0000-000052620000}"/>
    <cellStyle name="40% - Accent2 4 3 2 3 2 2" xfId="28712" xr:uid="{00000000-0005-0000-0000-000053620000}"/>
    <cellStyle name="40% - Accent2 4 3 2 3 2 3" xfId="38437" xr:uid="{00000000-0005-0000-0000-000054620000}"/>
    <cellStyle name="40% - Accent2 4 3 2 3 2 4" xfId="48162" xr:uid="{00000000-0005-0000-0000-000055620000}"/>
    <cellStyle name="40% - Accent2 4 3 2 3 2 5" xfId="18987" xr:uid="{00000000-0005-0000-0000-000056620000}"/>
    <cellStyle name="40% - Accent2 4 3 2 3 3" xfId="23850" xr:uid="{00000000-0005-0000-0000-000057620000}"/>
    <cellStyle name="40% - Accent2 4 3 2 3 4" xfId="33575" xr:uid="{00000000-0005-0000-0000-000058620000}"/>
    <cellStyle name="40% - Accent2 4 3 2 3 5" xfId="43300" xr:uid="{00000000-0005-0000-0000-000059620000}"/>
    <cellStyle name="40% - Accent2 4 3 2 3 6" xfId="14125" xr:uid="{00000000-0005-0000-0000-00005A620000}"/>
    <cellStyle name="40% - Accent2 4 3 2 4" xfId="6021" xr:uid="{00000000-0005-0000-0000-00005B620000}"/>
    <cellStyle name="40% - Accent2 4 3 2 4 2" xfId="25472" xr:uid="{00000000-0005-0000-0000-00005C620000}"/>
    <cellStyle name="40% - Accent2 4 3 2 4 3" xfId="35197" xr:uid="{00000000-0005-0000-0000-00005D620000}"/>
    <cellStyle name="40% - Accent2 4 3 2 4 4" xfId="44922" xr:uid="{00000000-0005-0000-0000-00005E620000}"/>
    <cellStyle name="40% - Accent2 4 3 2 4 5" xfId="15747" xr:uid="{00000000-0005-0000-0000-00005F620000}"/>
    <cellStyle name="40% - Accent2 4 3 2 5" xfId="20610" xr:uid="{00000000-0005-0000-0000-000060620000}"/>
    <cellStyle name="40% - Accent2 4 3 2 6" xfId="30335" xr:uid="{00000000-0005-0000-0000-000061620000}"/>
    <cellStyle name="40% - Accent2 4 3 2 7" xfId="40060" xr:uid="{00000000-0005-0000-0000-000062620000}"/>
    <cellStyle name="40% - Accent2 4 3 2 8" xfId="10885" xr:uid="{00000000-0005-0000-0000-000063620000}"/>
    <cellStyle name="40% - Accent2 4 3 3" xfId="1608" xr:uid="{00000000-0005-0000-0000-000064620000}"/>
    <cellStyle name="40% - Accent2 4 3 3 2" xfId="3229" xr:uid="{00000000-0005-0000-0000-000065620000}"/>
    <cellStyle name="40% - Accent2 4 3 3 2 2" xfId="8091" xr:uid="{00000000-0005-0000-0000-000066620000}"/>
    <cellStyle name="40% - Accent2 4 3 3 2 2 2" xfId="27542" xr:uid="{00000000-0005-0000-0000-000067620000}"/>
    <cellStyle name="40% - Accent2 4 3 3 2 2 3" xfId="37267" xr:uid="{00000000-0005-0000-0000-000068620000}"/>
    <cellStyle name="40% - Accent2 4 3 3 2 2 4" xfId="46992" xr:uid="{00000000-0005-0000-0000-000069620000}"/>
    <cellStyle name="40% - Accent2 4 3 3 2 2 5" xfId="17817" xr:uid="{00000000-0005-0000-0000-00006A620000}"/>
    <cellStyle name="40% - Accent2 4 3 3 2 3" xfId="22680" xr:uid="{00000000-0005-0000-0000-00006B620000}"/>
    <cellStyle name="40% - Accent2 4 3 3 2 4" xfId="32405" xr:uid="{00000000-0005-0000-0000-00006C620000}"/>
    <cellStyle name="40% - Accent2 4 3 3 2 5" xfId="42130" xr:uid="{00000000-0005-0000-0000-00006D620000}"/>
    <cellStyle name="40% - Accent2 4 3 3 2 6" xfId="12955" xr:uid="{00000000-0005-0000-0000-00006E620000}"/>
    <cellStyle name="40% - Accent2 4 3 3 3" xfId="4849" xr:uid="{00000000-0005-0000-0000-00006F620000}"/>
    <cellStyle name="40% - Accent2 4 3 3 3 2" xfId="9711" xr:uid="{00000000-0005-0000-0000-000070620000}"/>
    <cellStyle name="40% - Accent2 4 3 3 3 2 2" xfId="29162" xr:uid="{00000000-0005-0000-0000-000071620000}"/>
    <cellStyle name="40% - Accent2 4 3 3 3 2 3" xfId="38887" xr:uid="{00000000-0005-0000-0000-000072620000}"/>
    <cellStyle name="40% - Accent2 4 3 3 3 2 4" xfId="48612" xr:uid="{00000000-0005-0000-0000-000073620000}"/>
    <cellStyle name="40% - Accent2 4 3 3 3 2 5" xfId="19437" xr:uid="{00000000-0005-0000-0000-000074620000}"/>
    <cellStyle name="40% - Accent2 4 3 3 3 3" xfId="24300" xr:uid="{00000000-0005-0000-0000-000075620000}"/>
    <cellStyle name="40% - Accent2 4 3 3 3 4" xfId="34025" xr:uid="{00000000-0005-0000-0000-000076620000}"/>
    <cellStyle name="40% - Accent2 4 3 3 3 5" xfId="43750" xr:uid="{00000000-0005-0000-0000-000077620000}"/>
    <cellStyle name="40% - Accent2 4 3 3 3 6" xfId="14575" xr:uid="{00000000-0005-0000-0000-000078620000}"/>
    <cellStyle name="40% - Accent2 4 3 3 4" xfId="6471" xr:uid="{00000000-0005-0000-0000-000079620000}"/>
    <cellStyle name="40% - Accent2 4 3 3 4 2" xfId="25922" xr:uid="{00000000-0005-0000-0000-00007A620000}"/>
    <cellStyle name="40% - Accent2 4 3 3 4 3" xfId="35647" xr:uid="{00000000-0005-0000-0000-00007B620000}"/>
    <cellStyle name="40% - Accent2 4 3 3 4 4" xfId="45372" xr:uid="{00000000-0005-0000-0000-00007C620000}"/>
    <cellStyle name="40% - Accent2 4 3 3 4 5" xfId="16197" xr:uid="{00000000-0005-0000-0000-00007D620000}"/>
    <cellStyle name="40% - Accent2 4 3 3 5" xfId="21060" xr:uid="{00000000-0005-0000-0000-00007E620000}"/>
    <cellStyle name="40% - Accent2 4 3 3 6" xfId="30785" xr:uid="{00000000-0005-0000-0000-00007F620000}"/>
    <cellStyle name="40% - Accent2 4 3 3 7" xfId="40510" xr:uid="{00000000-0005-0000-0000-000080620000}"/>
    <cellStyle name="40% - Accent2 4 3 3 8" xfId="11335" xr:uid="{00000000-0005-0000-0000-000081620000}"/>
    <cellStyle name="40% - Accent2 4 3 4" xfId="779" xr:uid="{00000000-0005-0000-0000-000082620000}"/>
    <cellStyle name="40% - Accent2 4 3 4 2" xfId="2419" xr:uid="{00000000-0005-0000-0000-000083620000}"/>
    <cellStyle name="40% - Accent2 4 3 4 2 2" xfId="7281" xr:uid="{00000000-0005-0000-0000-000084620000}"/>
    <cellStyle name="40% - Accent2 4 3 4 2 2 2" xfId="26732" xr:uid="{00000000-0005-0000-0000-000085620000}"/>
    <cellStyle name="40% - Accent2 4 3 4 2 2 3" xfId="36457" xr:uid="{00000000-0005-0000-0000-000086620000}"/>
    <cellStyle name="40% - Accent2 4 3 4 2 2 4" xfId="46182" xr:uid="{00000000-0005-0000-0000-000087620000}"/>
    <cellStyle name="40% - Accent2 4 3 4 2 2 5" xfId="17007" xr:uid="{00000000-0005-0000-0000-000088620000}"/>
    <cellStyle name="40% - Accent2 4 3 4 2 3" xfId="21870" xr:uid="{00000000-0005-0000-0000-000089620000}"/>
    <cellStyle name="40% - Accent2 4 3 4 2 4" xfId="31595" xr:uid="{00000000-0005-0000-0000-00008A620000}"/>
    <cellStyle name="40% - Accent2 4 3 4 2 5" xfId="41320" xr:uid="{00000000-0005-0000-0000-00008B620000}"/>
    <cellStyle name="40% - Accent2 4 3 4 2 6" xfId="12145" xr:uid="{00000000-0005-0000-0000-00008C620000}"/>
    <cellStyle name="40% - Accent2 4 3 4 3" xfId="4039" xr:uid="{00000000-0005-0000-0000-00008D620000}"/>
    <cellStyle name="40% - Accent2 4 3 4 3 2" xfId="8901" xr:uid="{00000000-0005-0000-0000-00008E620000}"/>
    <cellStyle name="40% - Accent2 4 3 4 3 2 2" xfId="28352" xr:uid="{00000000-0005-0000-0000-00008F620000}"/>
    <cellStyle name="40% - Accent2 4 3 4 3 2 3" xfId="38077" xr:uid="{00000000-0005-0000-0000-000090620000}"/>
    <cellStyle name="40% - Accent2 4 3 4 3 2 4" xfId="47802" xr:uid="{00000000-0005-0000-0000-000091620000}"/>
    <cellStyle name="40% - Accent2 4 3 4 3 2 5" xfId="18627" xr:uid="{00000000-0005-0000-0000-000092620000}"/>
    <cellStyle name="40% - Accent2 4 3 4 3 3" xfId="23490" xr:uid="{00000000-0005-0000-0000-000093620000}"/>
    <cellStyle name="40% - Accent2 4 3 4 3 4" xfId="33215" xr:uid="{00000000-0005-0000-0000-000094620000}"/>
    <cellStyle name="40% - Accent2 4 3 4 3 5" xfId="42940" xr:uid="{00000000-0005-0000-0000-000095620000}"/>
    <cellStyle name="40% - Accent2 4 3 4 3 6" xfId="13765" xr:uid="{00000000-0005-0000-0000-000096620000}"/>
    <cellStyle name="40% - Accent2 4 3 4 4" xfId="5661" xr:uid="{00000000-0005-0000-0000-000097620000}"/>
    <cellStyle name="40% - Accent2 4 3 4 4 2" xfId="25112" xr:uid="{00000000-0005-0000-0000-000098620000}"/>
    <cellStyle name="40% - Accent2 4 3 4 4 3" xfId="34837" xr:uid="{00000000-0005-0000-0000-000099620000}"/>
    <cellStyle name="40% - Accent2 4 3 4 4 4" xfId="44562" xr:uid="{00000000-0005-0000-0000-00009A620000}"/>
    <cellStyle name="40% - Accent2 4 3 4 4 5" xfId="15387" xr:uid="{00000000-0005-0000-0000-00009B620000}"/>
    <cellStyle name="40% - Accent2 4 3 4 5" xfId="20250" xr:uid="{00000000-0005-0000-0000-00009C620000}"/>
    <cellStyle name="40% - Accent2 4 3 4 6" xfId="29975" xr:uid="{00000000-0005-0000-0000-00009D620000}"/>
    <cellStyle name="40% - Accent2 4 3 4 7" xfId="39700" xr:uid="{00000000-0005-0000-0000-00009E620000}"/>
    <cellStyle name="40% - Accent2 4 3 4 8" xfId="10525" xr:uid="{00000000-0005-0000-0000-00009F620000}"/>
    <cellStyle name="40% - Accent2 4 3 5" xfId="2059" xr:uid="{00000000-0005-0000-0000-0000A0620000}"/>
    <cellStyle name="40% - Accent2 4 3 5 2" xfId="6921" xr:uid="{00000000-0005-0000-0000-0000A1620000}"/>
    <cellStyle name="40% - Accent2 4 3 5 2 2" xfId="26372" xr:uid="{00000000-0005-0000-0000-0000A2620000}"/>
    <cellStyle name="40% - Accent2 4 3 5 2 3" xfId="36097" xr:uid="{00000000-0005-0000-0000-0000A3620000}"/>
    <cellStyle name="40% - Accent2 4 3 5 2 4" xfId="45822" xr:uid="{00000000-0005-0000-0000-0000A4620000}"/>
    <cellStyle name="40% - Accent2 4 3 5 2 5" xfId="16647" xr:uid="{00000000-0005-0000-0000-0000A5620000}"/>
    <cellStyle name="40% - Accent2 4 3 5 3" xfId="21510" xr:uid="{00000000-0005-0000-0000-0000A6620000}"/>
    <cellStyle name="40% - Accent2 4 3 5 4" xfId="31235" xr:uid="{00000000-0005-0000-0000-0000A7620000}"/>
    <cellStyle name="40% - Accent2 4 3 5 5" xfId="40960" xr:uid="{00000000-0005-0000-0000-0000A8620000}"/>
    <cellStyle name="40% - Accent2 4 3 5 6" xfId="11785" xr:uid="{00000000-0005-0000-0000-0000A9620000}"/>
    <cellStyle name="40% - Accent2 4 3 6" xfId="3679" xr:uid="{00000000-0005-0000-0000-0000AA620000}"/>
    <cellStyle name="40% - Accent2 4 3 6 2" xfId="8541" xr:uid="{00000000-0005-0000-0000-0000AB620000}"/>
    <cellStyle name="40% - Accent2 4 3 6 2 2" xfId="27992" xr:uid="{00000000-0005-0000-0000-0000AC620000}"/>
    <cellStyle name="40% - Accent2 4 3 6 2 3" xfId="37717" xr:uid="{00000000-0005-0000-0000-0000AD620000}"/>
    <cellStyle name="40% - Accent2 4 3 6 2 4" xfId="47442" xr:uid="{00000000-0005-0000-0000-0000AE620000}"/>
    <cellStyle name="40% - Accent2 4 3 6 2 5" xfId="18267" xr:uid="{00000000-0005-0000-0000-0000AF620000}"/>
    <cellStyle name="40% - Accent2 4 3 6 3" xfId="23130" xr:uid="{00000000-0005-0000-0000-0000B0620000}"/>
    <cellStyle name="40% - Accent2 4 3 6 4" xfId="32855" xr:uid="{00000000-0005-0000-0000-0000B1620000}"/>
    <cellStyle name="40% - Accent2 4 3 6 5" xfId="42580" xr:uid="{00000000-0005-0000-0000-0000B2620000}"/>
    <cellStyle name="40% - Accent2 4 3 6 6" xfId="13405" xr:uid="{00000000-0005-0000-0000-0000B3620000}"/>
    <cellStyle name="40% - Accent2 4 3 7" xfId="5301" xr:uid="{00000000-0005-0000-0000-0000B4620000}"/>
    <cellStyle name="40% - Accent2 4 3 7 2" xfId="24752" xr:uid="{00000000-0005-0000-0000-0000B5620000}"/>
    <cellStyle name="40% - Accent2 4 3 7 3" xfId="34477" xr:uid="{00000000-0005-0000-0000-0000B6620000}"/>
    <cellStyle name="40% - Accent2 4 3 7 4" xfId="44202" xr:uid="{00000000-0005-0000-0000-0000B7620000}"/>
    <cellStyle name="40% - Accent2 4 3 7 5" xfId="15027" xr:uid="{00000000-0005-0000-0000-0000B8620000}"/>
    <cellStyle name="40% - Accent2 4 3 8" xfId="19890" xr:uid="{00000000-0005-0000-0000-0000B9620000}"/>
    <cellStyle name="40% - Accent2 4 3 9" xfId="29615" xr:uid="{00000000-0005-0000-0000-0000BA620000}"/>
    <cellStyle name="40% - Accent2 4 4" xfId="196" xr:uid="{00000000-0005-0000-0000-0000BB620000}"/>
    <cellStyle name="40% - Accent2 4 4 10" xfId="39160" xr:uid="{00000000-0005-0000-0000-0000BC620000}"/>
    <cellStyle name="40% - Accent2 4 4 11" xfId="9985" xr:uid="{00000000-0005-0000-0000-0000BD620000}"/>
    <cellStyle name="40% - Accent2 4 4 2" xfId="960" xr:uid="{00000000-0005-0000-0000-0000BE620000}"/>
    <cellStyle name="40% - Accent2 4 4 2 2" xfId="2599" xr:uid="{00000000-0005-0000-0000-0000BF620000}"/>
    <cellStyle name="40% - Accent2 4 4 2 2 2" xfId="7461" xr:uid="{00000000-0005-0000-0000-0000C0620000}"/>
    <cellStyle name="40% - Accent2 4 4 2 2 2 2" xfId="26912" xr:uid="{00000000-0005-0000-0000-0000C1620000}"/>
    <cellStyle name="40% - Accent2 4 4 2 2 2 3" xfId="36637" xr:uid="{00000000-0005-0000-0000-0000C2620000}"/>
    <cellStyle name="40% - Accent2 4 4 2 2 2 4" xfId="46362" xr:uid="{00000000-0005-0000-0000-0000C3620000}"/>
    <cellStyle name="40% - Accent2 4 4 2 2 2 5" xfId="17187" xr:uid="{00000000-0005-0000-0000-0000C4620000}"/>
    <cellStyle name="40% - Accent2 4 4 2 2 3" xfId="22050" xr:uid="{00000000-0005-0000-0000-0000C5620000}"/>
    <cellStyle name="40% - Accent2 4 4 2 2 4" xfId="31775" xr:uid="{00000000-0005-0000-0000-0000C6620000}"/>
    <cellStyle name="40% - Accent2 4 4 2 2 5" xfId="41500" xr:uid="{00000000-0005-0000-0000-0000C7620000}"/>
    <cellStyle name="40% - Accent2 4 4 2 2 6" xfId="12325" xr:uid="{00000000-0005-0000-0000-0000C8620000}"/>
    <cellStyle name="40% - Accent2 4 4 2 3" xfId="4219" xr:uid="{00000000-0005-0000-0000-0000C9620000}"/>
    <cellStyle name="40% - Accent2 4 4 2 3 2" xfId="9081" xr:uid="{00000000-0005-0000-0000-0000CA620000}"/>
    <cellStyle name="40% - Accent2 4 4 2 3 2 2" xfId="28532" xr:uid="{00000000-0005-0000-0000-0000CB620000}"/>
    <cellStyle name="40% - Accent2 4 4 2 3 2 3" xfId="38257" xr:uid="{00000000-0005-0000-0000-0000CC620000}"/>
    <cellStyle name="40% - Accent2 4 4 2 3 2 4" xfId="47982" xr:uid="{00000000-0005-0000-0000-0000CD620000}"/>
    <cellStyle name="40% - Accent2 4 4 2 3 2 5" xfId="18807" xr:uid="{00000000-0005-0000-0000-0000CE620000}"/>
    <cellStyle name="40% - Accent2 4 4 2 3 3" xfId="23670" xr:uid="{00000000-0005-0000-0000-0000CF620000}"/>
    <cellStyle name="40% - Accent2 4 4 2 3 4" xfId="33395" xr:uid="{00000000-0005-0000-0000-0000D0620000}"/>
    <cellStyle name="40% - Accent2 4 4 2 3 5" xfId="43120" xr:uid="{00000000-0005-0000-0000-0000D1620000}"/>
    <cellStyle name="40% - Accent2 4 4 2 3 6" xfId="13945" xr:uid="{00000000-0005-0000-0000-0000D2620000}"/>
    <cellStyle name="40% - Accent2 4 4 2 4" xfId="5841" xr:uid="{00000000-0005-0000-0000-0000D3620000}"/>
    <cellStyle name="40% - Accent2 4 4 2 4 2" xfId="25292" xr:uid="{00000000-0005-0000-0000-0000D4620000}"/>
    <cellStyle name="40% - Accent2 4 4 2 4 3" xfId="35017" xr:uid="{00000000-0005-0000-0000-0000D5620000}"/>
    <cellStyle name="40% - Accent2 4 4 2 4 4" xfId="44742" xr:uid="{00000000-0005-0000-0000-0000D6620000}"/>
    <cellStyle name="40% - Accent2 4 4 2 4 5" xfId="15567" xr:uid="{00000000-0005-0000-0000-0000D7620000}"/>
    <cellStyle name="40% - Accent2 4 4 2 5" xfId="20430" xr:uid="{00000000-0005-0000-0000-0000D8620000}"/>
    <cellStyle name="40% - Accent2 4 4 2 6" xfId="30155" xr:uid="{00000000-0005-0000-0000-0000D9620000}"/>
    <cellStyle name="40% - Accent2 4 4 2 7" xfId="39880" xr:uid="{00000000-0005-0000-0000-0000DA620000}"/>
    <cellStyle name="40% - Accent2 4 4 2 8" xfId="10705" xr:uid="{00000000-0005-0000-0000-0000DB620000}"/>
    <cellStyle name="40% - Accent2 4 4 3" xfId="1428" xr:uid="{00000000-0005-0000-0000-0000DC620000}"/>
    <cellStyle name="40% - Accent2 4 4 3 2" xfId="3049" xr:uid="{00000000-0005-0000-0000-0000DD620000}"/>
    <cellStyle name="40% - Accent2 4 4 3 2 2" xfId="7911" xr:uid="{00000000-0005-0000-0000-0000DE620000}"/>
    <cellStyle name="40% - Accent2 4 4 3 2 2 2" xfId="27362" xr:uid="{00000000-0005-0000-0000-0000DF620000}"/>
    <cellStyle name="40% - Accent2 4 4 3 2 2 3" xfId="37087" xr:uid="{00000000-0005-0000-0000-0000E0620000}"/>
    <cellStyle name="40% - Accent2 4 4 3 2 2 4" xfId="46812" xr:uid="{00000000-0005-0000-0000-0000E1620000}"/>
    <cellStyle name="40% - Accent2 4 4 3 2 2 5" xfId="17637" xr:uid="{00000000-0005-0000-0000-0000E2620000}"/>
    <cellStyle name="40% - Accent2 4 4 3 2 3" xfId="22500" xr:uid="{00000000-0005-0000-0000-0000E3620000}"/>
    <cellStyle name="40% - Accent2 4 4 3 2 4" xfId="32225" xr:uid="{00000000-0005-0000-0000-0000E4620000}"/>
    <cellStyle name="40% - Accent2 4 4 3 2 5" xfId="41950" xr:uid="{00000000-0005-0000-0000-0000E5620000}"/>
    <cellStyle name="40% - Accent2 4 4 3 2 6" xfId="12775" xr:uid="{00000000-0005-0000-0000-0000E6620000}"/>
    <cellStyle name="40% - Accent2 4 4 3 3" xfId="4669" xr:uid="{00000000-0005-0000-0000-0000E7620000}"/>
    <cellStyle name="40% - Accent2 4 4 3 3 2" xfId="9531" xr:uid="{00000000-0005-0000-0000-0000E8620000}"/>
    <cellStyle name="40% - Accent2 4 4 3 3 2 2" xfId="28982" xr:uid="{00000000-0005-0000-0000-0000E9620000}"/>
    <cellStyle name="40% - Accent2 4 4 3 3 2 3" xfId="38707" xr:uid="{00000000-0005-0000-0000-0000EA620000}"/>
    <cellStyle name="40% - Accent2 4 4 3 3 2 4" xfId="48432" xr:uid="{00000000-0005-0000-0000-0000EB620000}"/>
    <cellStyle name="40% - Accent2 4 4 3 3 2 5" xfId="19257" xr:uid="{00000000-0005-0000-0000-0000EC620000}"/>
    <cellStyle name="40% - Accent2 4 4 3 3 3" xfId="24120" xr:uid="{00000000-0005-0000-0000-0000ED620000}"/>
    <cellStyle name="40% - Accent2 4 4 3 3 4" xfId="33845" xr:uid="{00000000-0005-0000-0000-0000EE620000}"/>
    <cellStyle name="40% - Accent2 4 4 3 3 5" xfId="43570" xr:uid="{00000000-0005-0000-0000-0000EF620000}"/>
    <cellStyle name="40% - Accent2 4 4 3 3 6" xfId="14395" xr:uid="{00000000-0005-0000-0000-0000F0620000}"/>
    <cellStyle name="40% - Accent2 4 4 3 4" xfId="6291" xr:uid="{00000000-0005-0000-0000-0000F1620000}"/>
    <cellStyle name="40% - Accent2 4 4 3 4 2" xfId="25742" xr:uid="{00000000-0005-0000-0000-0000F2620000}"/>
    <cellStyle name="40% - Accent2 4 4 3 4 3" xfId="35467" xr:uid="{00000000-0005-0000-0000-0000F3620000}"/>
    <cellStyle name="40% - Accent2 4 4 3 4 4" xfId="45192" xr:uid="{00000000-0005-0000-0000-0000F4620000}"/>
    <cellStyle name="40% - Accent2 4 4 3 4 5" xfId="16017" xr:uid="{00000000-0005-0000-0000-0000F5620000}"/>
    <cellStyle name="40% - Accent2 4 4 3 5" xfId="20880" xr:uid="{00000000-0005-0000-0000-0000F6620000}"/>
    <cellStyle name="40% - Accent2 4 4 3 6" xfId="30605" xr:uid="{00000000-0005-0000-0000-0000F7620000}"/>
    <cellStyle name="40% - Accent2 4 4 3 7" xfId="40330" xr:uid="{00000000-0005-0000-0000-0000F8620000}"/>
    <cellStyle name="40% - Accent2 4 4 3 8" xfId="11155" xr:uid="{00000000-0005-0000-0000-0000F9620000}"/>
    <cellStyle name="40% - Accent2 4 4 4" xfId="599" xr:uid="{00000000-0005-0000-0000-0000FA620000}"/>
    <cellStyle name="40% - Accent2 4 4 4 2" xfId="2239" xr:uid="{00000000-0005-0000-0000-0000FB620000}"/>
    <cellStyle name="40% - Accent2 4 4 4 2 2" xfId="7101" xr:uid="{00000000-0005-0000-0000-0000FC620000}"/>
    <cellStyle name="40% - Accent2 4 4 4 2 2 2" xfId="26552" xr:uid="{00000000-0005-0000-0000-0000FD620000}"/>
    <cellStyle name="40% - Accent2 4 4 4 2 2 3" xfId="36277" xr:uid="{00000000-0005-0000-0000-0000FE620000}"/>
    <cellStyle name="40% - Accent2 4 4 4 2 2 4" xfId="46002" xr:uid="{00000000-0005-0000-0000-0000FF620000}"/>
    <cellStyle name="40% - Accent2 4 4 4 2 2 5" xfId="16827" xr:uid="{00000000-0005-0000-0000-000000630000}"/>
    <cellStyle name="40% - Accent2 4 4 4 2 3" xfId="21690" xr:uid="{00000000-0005-0000-0000-000001630000}"/>
    <cellStyle name="40% - Accent2 4 4 4 2 4" xfId="31415" xr:uid="{00000000-0005-0000-0000-000002630000}"/>
    <cellStyle name="40% - Accent2 4 4 4 2 5" xfId="41140" xr:uid="{00000000-0005-0000-0000-000003630000}"/>
    <cellStyle name="40% - Accent2 4 4 4 2 6" xfId="11965" xr:uid="{00000000-0005-0000-0000-000004630000}"/>
    <cellStyle name="40% - Accent2 4 4 4 3" xfId="3859" xr:uid="{00000000-0005-0000-0000-000005630000}"/>
    <cellStyle name="40% - Accent2 4 4 4 3 2" xfId="8721" xr:uid="{00000000-0005-0000-0000-000006630000}"/>
    <cellStyle name="40% - Accent2 4 4 4 3 2 2" xfId="28172" xr:uid="{00000000-0005-0000-0000-000007630000}"/>
    <cellStyle name="40% - Accent2 4 4 4 3 2 3" xfId="37897" xr:uid="{00000000-0005-0000-0000-000008630000}"/>
    <cellStyle name="40% - Accent2 4 4 4 3 2 4" xfId="47622" xr:uid="{00000000-0005-0000-0000-000009630000}"/>
    <cellStyle name="40% - Accent2 4 4 4 3 2 5" xfId="18447" xr:uid="{00000000-0005-0000-0000-00000A630000}"/>
    <cellStyle name="40% - Accent2 4 4 4 3 3" xfId="23310" xr:uid="{00000000-0005-0000-0000-00000B630000}"/>
    <cellStyle name="40% - Accent2 4 4 4 3 4" xfId="33035" xr:uid="{00000000-0005-0000-0000-00000C630000}"/>
    <cellStyle name="40% - Accent2 4 4 4 3 5" xfId="42760" xr:uid="{00000000-0005-0000-0000-00000D630000}"/>
    <cellStyle name="40% - Accent2 4 4 4 3 6" xfId="13585" xr:uid="{00000000-0005-0000-0000-00000E630000}"/>
    <cellStyle name="40% - Accent2 4 4 4 4" xfId="5481" xr:uid="{00000000-0005-0000-0000-00000F630000}"/>
    <cellStyle name="40% - Accent2 4 4 4 4 2" xfId="24932" xr:uid="{00000000-0005-0000-0000-000010630000}"/>
    <cellStyle name="40% - Accent2 4 4 4 4 3" xfId="34657" xr:uid="{00000000-0005-0000-0000-000011630000}"/>
    <cellStyle name="40% - Accent2 4 4 4 4 4" xfId="44382" xr:uid="{00000000-0005-0000-0000-000012630000}"/>
    <cellStyle name="40% - Accent2 4 4 4 4 5" xfId="15207" xr:uid="{00000000-0005-0000-0000-000013630000}"/>
    <cellStyle name="40% - Accent2 4 4 4 5" xfId="20070" xr:uid="{00000000-0005-0000-0000-000014630000}"/>
    <cellStyle name="40% - Accent2 4 4 4 6" xfId="29795" xr:uid="{00000000-0005-0000-0000-000015630000}"/>
    <cellStyle name="40% - Accent2 4 4 4 7" xfId="39520" xr:uid="{00000000-0005-0000-0000-000016630000}"/>
    <cellStyle name="40% - Accent2 4 4 4 8" xfId="10345" xr:uid="{00000000-0005-0000-0000-000017630000}"/>
    <cellStyle name="40% - Accent2 4 4 5" xfId="1879" xr:uid="{00000000-0005-0000-0000-000018630000}"/>
    <cellStyle name="40% - Accent2 4 4 5 2" xfId="6741" xr:uid="{00000000-0005-0000-0000-000019630000}"/>
    <cellStyle name="40% - Accent2 4 4 5 2 2" xfId="26192" xr:uid="{00000000-0005-0000-0000-00001A630000}"/>
    <cellStyle name="40% - Accent2 4 4 5 2 3" xfId="35917" xr:uid="{00000000-0005-0000-0000-00001B630000}"/>
    <cellStyle name="40% - Accent2 4 4 5 2 4" xfId="45642" xr:uid="{00000000-0005-0000-0000-00001C630000}"/>
    <cellStyle name="40% - Accent2 4 4 5 2 5" xfId="16467" xr:uid="{00000000-0005-0000-0000-00001D630000}"/>
    <cellStyle name="40% - Accent2 4 4 5 3" xfId="21330" xr:uid="{00000000-0005-0000-0000-00001E630000}"/>
    <cellStyle name="40% - Accent2 4 4 5 4" xfId="31055" xr:uid="{00000000-0005-0000-0000-00001F630000}"/>
    <cellStyle name="40% - Accent2 4 4 5 5" xfId="40780" xr:uid="{00000000-0005-0000-0000-000020630000}"/>
    <cellStyle name="40% - Accent2 4 4 5 6" xfId="11605" xr:uid="{00000000-0005-0000-0000-000021630000}"/>
    <cellStyle name="40% - Accent2 4 4 6" xfId="3499" xr:uid="{00000000-0005-0000-0000-000022630000}"/>
    <cellStyle name="40% - Accent2 4 4 6 2" xfId="8361" xr:uid="{00000000-0005-0000-0000-000023630000}"/>
    <cellStyle name="40% - Accent2 4 4 6 2 2" xfId="27812" xr:uid="{00000000-0005-0000-0000-000024630000}"/>
    <cellStyle name="40% - Accent2 4 4 6 2 3" xfId="37537" xr:uid="{00000000-0005-0000-0000-000025630000}"/>
    <cellStyle name="40% - Accent2 4 4 6 2 4" xfId="47262" xr:uid="{00000000-0005-0000-0000-000026630000}"/>
    <cellStyle name="40% - Accent2 4 4 6 2 5" xfId="18087" xr:uid="{00000000-0005-0000-0000-000027630000}"/>
    <cellStyle name="40% - Accent2 4 4 6 3" xfId="22950" xr:uid="{00000000-0005-0000-0000-000028630000}"/>
    <cellStyle name="40% - Accent2 4 4 6 4" xfId="32675" xr:uid="{00000000-0005-0000-0000-000029630000}"/>
    <cellStyle name="40% - Accent2 4 4 6 5" xfId="42400" xr:uid="{00000000-0005-0000-0000-00002A630000}"/>
    <cellStyle name="40% - Accent2 4 4 6 6" xfId="13225" xr:uid="{00000000-0005-0000-0000-00002B630000}"/>
    <cellStyle name="40% - Accent2 4 4 7" xfId="5121" xr:uid="{00000000-0005-0000-0000-00002C630000}"/>
    <cellStyle name="40% - Accent2 4 4 7 2" xfId="24572" xr:uid="{00000000-0005-0000-0000-00002D630000}"/>
    <cellStyle name="40% - Accent2 4 4 7 3" xfId="34297" xr:uid="{00000000-0005-0000-0000-00002E630000}"/>
    <cellStyle name="40% - Accent2 4 4 7 4" xfId="44022" xr:uid="{00000000-0005-0000-0000-00002F630000}"/>
    <cellStyle name="40% - Accent2 4 4 7 5" xfId="14847" xr:uid="{00000000-0005-0000-0000-000030630000}"/>
    <cellStyle name="40% - Accent2 4 4 8" xfId="19710" xr:uid="{00000000-0005-0000-0000-000031630000}"/>
    <cellStyle name="40% - Accent2 4 4 9" xfId="29435" xr:uid="{00000000-0005-0000-0000-000032630000}"/>
    <cellStyle name="40% - Accent2 4 5" xfId="870" xr:uid="{00000000-0005-0000-0000-000033630000}"/>
    <cellStyle name="40% - Accent2 4 5 2" xfId="2509" xr:uid="{00000000-0005-0000-0000-000034630000}"/>
    <cellStyle name="40% - Accent2 4 5 2 2" xfId="7371" xr:uid="{00000000-0005-0000-0000-000035630000}"/>
    <cellStyle name="40% - Accent2 4 5 2 2 2" xfId="26822" xr:uid="{00000000-0005-0000-0000-000036630000}"/>
    <cellStyle name="40% - Accent2 4 5 2 2 3" xfId="36547" xr:uid="{00000000-0005-0000-0000-000037630000}"/>
    <cellStyle name="40% - Accent2 4 5 2 2 4" xfId="46272" xr:uid="{00000000-0005-0000-0000-000038630000}"/>
    <cellStyle name="40% - Accent2 4 5 2 2 5" xfId="17097" xr:uid="{00000000-0005-0000-0000-000039630000}"/>
    <cellStyle name="40% - Accent2 4 5 2 3" xfId="21960" xr:uid="{00000000-0005-0000-0000-00003A630000}"/>
    <cellStyle name="40% - Accent2 4 5 2 4" xfId="31685" xr:uid="{00000000-0005-0000-0000-00003B630000}"/>
    <cellStyle name="40% - Accent2 4 5 2 5" xfId="41410" xr:uid="{00000000-0005-0000-0000-00003C630000}"/>
    <cellStyle name="40% - Accent2 4 5 2 6" xfId="12235" xr:uid="{00000000-0005-0000-0000-00003D630000}"/>
    <cellStyle name="40% - Accent2 4 5 3" xfId="4129" xr:uid="{00000000-0005-0000-0000-00003E630000}"/>
    <cellStyle name="40% - Accent2 4 5 3 2" xfId="8991" xr:uid="{00000000-0005-0000-0000-00003F630000}"/>
    <cellStyle name="40% - Accent2 4 5 3 2 2" xfId="28442" xr:uid="{00000000-0005-0000-0000-000040630000}"/>
    <cellStyle name="40% - Accent2 4 5 3 2 3" xfId="38167" xr:uid="{00000000-0005-0000-0000-000041630000}"/>
    <cellStyle name="40% - Accent2 4 5 3 2 4" xfId="47892" xr:uid="{00000000-0005-0000-0000-000042630000}"/>
    <cellStyle name="40% - Accent2 4 5 3 2 5" xfId="18717" xr:uid="{00000000-0005-0000-0000-000043630000}"/>
    <cellStyle name="40% - Accent2 4 5 3 3" xfId="23580" xr:uid="{00000000-0005-0000-0000-000044630000}"/>
    <cellStyle name="40% - Accent2 4 5 3 4" xfId="33305" xr:uid="{00000000-0005-0000-0000-000045630000}"/>
    <cellStyle name="40% - Accent2 4 5 3 5" xfId="43030" xr:uid="{00000000-0005-0000-0000-000046630000}"/>
    <cellStyle name="40% - Accent2 4 5 3 6" xfId="13855" xr:uid="{00000000-0005-0000-0000-000047630000}"/>
    <cellStyle name="40% - Accent2 4 5 4" xfId="5751" xr:uid="{00000000-0005-0000-0000-000048630000}"/>
    <cellStyle name="40% - Accent2 4 5 4 2" xfId="25202" xr:uid="{00000000-0005-0000-0000-000049630000}"/>
    <cellStyle name="40% - Accent2 4 5 4 3" xfId="34927" xr:uid="{00000000-0005-0000-0000-00004A630000}"/>
    <cellStyle name="40% - Accent2 4 5 4 4" xfId="44652" xr:uid="{00000000-0005-0000-0000-00004B630000}"/>
    <cellStyle name="40% - Accent2 4 5 4 5" xfId="15477" xr:uid="{00000000-0005-0000-0000-00004C630000}"/>
    <cellStyle name="40% - Accent2 4 5 5" xfId="20340" xr:uid="{00000000-0005-0000-0000-00004D630000}"/>
    <cellStyle name="40% - Accent2 4 5 6" xfId="30065" xr:uid="{00000000-0005-0000-0000-00004E630000}"/>
    <cellStyle name="40% - Accent2 4 5 7" xfId="39790" xr:uid="{00000000-0005-0000-0000-00004F630000}"/>
    <cellStyle name="40% - Accent2 4 5 8" xfId="10615" xr:uid="{00000000-0005-0000-0000-000050630000}"/>
    <cellStyle name="40% - Accent2 4 6" xfId="1248" xr:uid="{00000000-0005-0000-0000-000051630000}"/>
    <cellStyle name="40% - Accent2 4 6 2" xfId="2869" xr:uid="{00000000-0005-0000-0000-000052630000}"/>
    <cellStyle name="40% - Accent2 4 6 2 2" xfId="7731" xr:uid="{00000000-0005-0000-0000-000053630000}"/>
    <cellStyle name="40% - Accent2 4 6 2 2 2" xfId="27182" xr:uid="{00000000-0005-0000-0000-000054630000}"/>
    <cellStyle name="40% - Accent2 4 6 2 2 3" xfId="36907" xr:uid="{00000000-0005-0000-0000-000055630000}"/>
    <cellStyle name="40% - Accent2 4 6 2 2 4" xfId="46632" xr:uid="{00000000-0005-0000-0000-000056630000}"/>
    <cellStyle name="40% - Accent2 4 6 2 2 5" xfId="17457" xr:uid="{00000000-0005-0000-0000-000057630000}"/>
    <cellStyle name="40% - Accent2 4 6 2 3" xfId="22320" xr:uid="{00000000-0005-0000-0000-000058630000}"/>
    <cellStyle name="40% - Accent2 4 6 2 4" xfId="32045" xr:uid="{00000000-0005-0000-0000-000059630000}"/>
    <cellStyle name="40% - Accent2 4 6 2 5" xfId="41770" xr:uid="{00000000-0005-0000-0000-00005A630000}"/>
    <cellStyle name="40% - Accent2 4 6 2 6" xfId="12595" xr:uid="{00000000-0005-0000-0000-00005B630000}"/>
    <cellStyle name="40% - Accent2 4 6 3" xfId="4489" xr:uid="{00000000-0005-0000-0000-00005C630000}"/>
    <cellStyle name="40% - Accent2 4 6 3 2" xfId="9351" xr:uid="{00000000-0005-0000-0000-00005D630000}"/>
    <cellStyle name="40% - Accent2 4 6 3 2 2" xfId="28802" xr:uid="{00000000-0005-0000-0000-00005E630000}"/>
    <cellStyle name="40% - Accent2 4 6 3 2 3" xfId="38527" xr:uid="{00000000-0005-0000-0000-00005F630000}"/>
    <cellStyle name="40% - Accent2 4 6 3 2 4" xfId="48252" xr:uid="{00000000-0005-0000-0000-000060630000}"/>
    <cellStyle name="40% - Accent2 4 6 3 2 5" xfId="19077" xr:uid="{00000000-0005-0000-0000-000061630000}"/>
    <cellStyle name="40% - Accent2 4 6 3 3" xfId="23940" xr:uid="{00000000-0005-0000-0000-000062630000}"/>
    <cellStyle name="40% - Accent2 4 6 3 4" xfId="33665" xr:uid="{00000000-0005-0000-0000-000063630000}"/>
    <cellStyle name="40% - Accent2 4 6 3 5" xfId="43390" xr:uid="{00000000-0005-0000-0000-000064630000}"/>
    <cellStyle name="40% - Accent2 4 6 3 6" xfId="14215" xr:uid="{00000000-0005-0000-0000-000065630000}"/>
    <cellStyle name="40% - Accent2 4 6 4" xfId="6111" xr:uid="{00000000-0005-0000-0000-000066630000}"/>
    <cellStyle name="40% - Accent2 4 6 4 2" xfId="25562" xr:uid="{00000000-0005-0000-0000-000067630000}"/>
    <cellStyle name="40% - Accent2 4 6 4 3" xfId="35287" xr:uid="{00000000-0005-0000-0000-000068630000}"/>
    <cellStyle name="40% - Accent2 4 6 4 4" xfId="45012" xr:uid="{00000000-0005-0000-0000-000069630000}"/>
    <cellStyle name="40% - Accent2 4 6 4 5" xfId="15837" xr:uid="{00000000-0005-0000-0000-00006A630000}"/>
    <cellStyle name="40% - Accent2 4 6 5" xfId="20700" xr:uid="{00000000-0005-0000-0000-00006B630000}"/>
    <cellStyle name="40% - Accent2 4 6 6" xfId="30425" xr:uid="{00000000-0005-0000-0000-00006C630000}"/>
    <cellStyle name="40% - Accent2 4 6 7" xfId="40150" xr:uid="{00000000-0005-0000-0000-00006D630000}"/>
    <cellStyle name="40% - Accent2 4 6 8" xfId="10975" xr:uid="{00000000-0005-0000-0000-00006E630000}"/>
    <cellStyle name="40% - Accent2 4 7" xfId="1338" xr:uid="{00000000-0005-0000-0000-00006F630000}"/>
    <cellStyle name="40% - Accent2 4 7 2" xfId="2959" xr:uid="{00000000-0005-0000-0000-000070630000}"/>
    <cellStyle name="40% - Accent2 4 7 2 2" xfId="7821" xr:uid="{00000000-0005-0000-0000-000071630000}"/>
    <cellStyle name="40% - Accent2 4 7 2 2 2" xfId="27272" xr:uid="{00000000-0005-0000-0000-000072630000}"/>
    <cellStyle name="40% - Accent2 4 7 2 2 3" xfId="36997" xr:uid="{00000000-0005-0000-0000-000073630000}"/>
    <cellStyle name="40% - Accent2 4 7 2 2 4" xfId="46722" xr:uid="{00000000-0005-0000-0000-000074630000}"/>
    <cellStyle name="40% - Accent2 4 7 2 2 5" xfId="17547" xr:uid="{00000000-0005-0000-0000-000075630000}"/>
    <cellStyle name="40% - Accent2 4 7 2 3" xfId="22410" xr:uid="{00000000-0005-0000-0000-000076630000}"/>
    <cellStyle name="40% - Accent2 4 7 2 4" xfId="32135" xr:uid="{00000000-0005-0000-0000-000077630000}"/>
    <cellStyle name="40% - Accent2 4 7 2 5" xfId="41860" xr:uid="{00000000-0005-0000-0000-000078630000}"/>
    <cellStyle name="40% - Accent2 4 7 2 6" xfId="12685" xr:uid="{00000000-0005-0000-0000-000079630000}"/>
    <cellStyle name="40% - Accent2 4 7 3" xfId="4579" xr:uid="{00000000-0005-0000-0000-00007A630000}"/>
    <cellStyle name="40% - Accent2 4 7 3 2" xfId="9441" xr:uid="{00000000-0005-0000-0000-00007B630000}"/>
    <cellStyle name="40% - Accent2 4 7 3 2 2" xfId="28892" xr:uid="{00000000-0005-0000-0000-00007C630000}"/>
    <cellStyle name="40% - Accent2 4 7 3 2 3" xfId="38617" xr:uid="{00000000-0005-0000-0000-00007D630000}"/>
    <cellStyle name="40% - Accent2 4 7 3 2 4" xfId="48342" xr:uid="{00000000-0005-0000-0000-00007E630000}"/>
    <cellStyle name="40% - Accent2 4 7 3 2 5" xfId="19167" xr:uid="{00000000-0005-0000-0000-00007F630000}"/>
    <cellStyle name="40% - Accent2 4 7 3 3" xfId="24030" xr:uid="{00000000-0005-0000-0000-000080630000}"/>
    <cellStyle name="40% - Accent2 4 7 3 4" xfId="33755" xr:uid="{00000000-0005-0000-0000-000081630000}"/>
    <cellStyle name="40% - Accent2 4 7 3 5" xfId="43480" xr:uid="{00000000-0005-0000-0000-000082630000}"/>
    <cellStyle name="40% - Accent2 4 7 3 6" xfId="14305" xr:uid="{00000000-0005-0000-0000-000083630000}"/>
    <cellStyle name="40% - Accent2 4 7 4" xfId="6201" xr:uid="{00000000-0005-0000-0000-000084630000}"/>
    <cellStyle name="40% - Accent2 4 7 4 2" xfId="25652" xr:uid="{00000000-0005-0000-0000-000085630000}"/>
    <cellStyle name="40% - Accent2 4 7 4 3" xfId="35377" xr:uid="{00000000-0005-0000-0000-000086630000}"/>
    <cellStyle name="40% - Accent2 4 7 4 4" xfId="45102" xr:uid="{00000000-0005-0000-0000-000087630000}"/>
    <cellStyle name="40% - Accent2 4 7 4 5" xfId="15927" xr:uid="{00000000-0005-0000-0000-000088630000}"/>
    <cellStyle name="40% - Accent2 4 7 5" xfId="20790" xr:uid="{00000000-0005-0000-0000-000089630000}"/>
    <cellStyle name="40% - Accent2 4 7 6" xfId="30515" xr:uid="{00000000-0005-0000-0000-00008A630000}"/>
    <cellStyle name="40% - Accent2 4 7 7" xfId="40240" xr:uid="{00000000-0005-0000-0000-00008B630000}"/>
    <cellStyle name="40% - Accent2 4 7 8" xfId="11065" xr:uid="{00000000-0005-0000-0000-00008C630000}"/>
    <cellStyle name="40% - Accent2 4 8" xfId="509" xr:uid="{00000000-0005-0000-0000-00008D630000}"/>
    <cellStyle name="40% - Accent2 4 8 2" xfId="2149" xr:uid="{00000000-0005-0000-0000-00008E630000}"/>
    <cellStyle name="40% - Accent2 4 8 2 2" xfId="7011" xr:uid="{00000000-0005-0000-0000-00008F630000}"/>
    <cellStyle name="40% - Accent2 4 8 2 2 2" xfId="26462" xr:uid="{00000000-0005-0000-0000-000090630000}"/>
    <cellStyle name="40% - Accent2 4 8 2 2 3" xfId="36187" xr:uid="{00000000-0005-0000-0000-000091630000}"/>
    <cellStyle name="40% - Accent2 4 8 2 2 4" xfId="45912" xr:uid="{00000000-0005-0000-0000-000092630000}"/>
    <cellStyle name="40% - Accent2 4 8 2 2 5" xfId="16737" xr:uid="{00000000-0005-0000-0000-000093630000}"/>
    <cellStyle name="40% - Accent2 4 8 2 3" xfId="21600" xr:uid="{00000000-0005-0000-0000-000094630000}"/>
    <cellStyle name="40% - Accent2 4 8 2 4" xfId="31325" xr:uid="{00000000-0005-0000-0000-000095630000}"/>
    <cellStyle name="40% - Accent2 4 8 2 5" xfId="41050" xr:uid="{00000000-0005-0000-0000-000096630000}"/>
    <cellStyle name="40% - Accent2 4 8 2 6" xfId="11875" xr:uid="{00000000-0005-0000-0000-000097630000}"/>
    <cellStyle name="40% - Accent2 4 8 3" xfId="3769" xr:uid="{00000000-0005-0000-0000-000098630000}"/>
    <cellStyle name="40% - Accent2 4 8 3 2" xfId="8631" xr:uid="{00000000-0005-0000-0000-000099630000}"/>
    <cellStyle name="40% - Accent2 4 8 3 2 2" xfId="28082" xr:uid="{00000000-0005-0000-0000-00009A630000}"/>
    <cellStyle name="40% - Accent2 4 8 3 2 3" xfId="37807" xr:uid="{00000000-0005-0000-0000-00009B630000}"/>
    <cellStyle name="40% - Accent2 4 8 3 2 4" xfId="47532" xr:uid="{00000000-0005-0000-0000-00009C630000}"/>
    <cellStyle name="40% - Accent2 4 8 3 2 5" xfId="18357" xr:uid="{00000000-0005-0000-0000-00009D630000}"/>
    <cellStyle name="40% - Accent2 4 8 3 3" xfId="23220" xr:uid="{00000000-0005-0000-0000-00009E630000}"/>
    <cellStyle name="40% - Accent2 4 8 3 4" xfId="32945" xr:uid="{00000000-0005-0000-0000-00009F630000}"/>
    <cellStyle name="40% - Accent2 4 8 3 5" xfId="42670" xr:uid="{00000000-0005-0000-0000-0000A0630000}"/>
    <cellStyle name="40% - Accent2 4 8 3 6" xfId="13495" xr:uid="{00000000-0005-0000-0000-0000A1630000}"/>
    <cellStyle name="40% - Accent2 4 8 4" xfId="5391" xr:uid="{00000000-0005-0000-0000-0000A2630000}"/>
    <cellStyle name="40% - Accent2 4 8 4 2" xfId="24842" xr:uid="{00000000-0005-0000-0000-0000A3630000}"/>
    <cellStyle name="40% - Accent2 4 8 4 3" xfId="34567" xr:uid="{00000000-0005-0000-0000-0000A4630000}"/>
    <cellStyle name="40% - Accent2 4 8 4 4" xfId="44292" xr:uid="{00000000-0005-0000-0000-0000A5630000}"/>
    <cellStyle name="40% - Accent2 4 8 4 5" xfId="15117" xr:uid="{00000000-0005-0000-0000-0000A6630000}"/>
    <cellStyle name="40% - Accent2 4 8 5" xfId="19980" xr:uid="{00000000-0005-0000-0000-0000A7630000}"/>
    <cellStyle name="40% - Accent2 4 8 6" xfId="29705" xr:uid="{00000000-0005-0000-0000-0000A8630000}"/>
    <cellStyle name="40% - Accent2 4 8 7" xfId="39430" xr:uid="{00000000-0005-0000-0000-0000A9630000}"/>
    <cellStyle name="40% - Accent2 4 8 8" xfId="10255" xr:uid="{00000000-0005-0000-0000-0000AA630000}"/>
    <cellStyle name="40% - Accent2 4 9" xfId="1698" xr:uid="{00000000-0005-0000-0000-0000AB630000}"/>
    <cellStyle name="40% - Accent2 4 9 2" xfId="3319" xr:uid="{00000000-0005-0000-0000-0000AC630000}"/>
    <cellStyle name="40% - Accent2 4 9 2 2" xfId="8181" xr:uid="{00000000-0005-0000-0000-0000AD630000}"/>
    <cellStyle name="40% - Accent2 4 9 2 2 2" xfId="27632" xr:uid="{00000000-0005-0000-0000-0000AE630000}"/>
    <cellStyle name="40% - Accent2 4 9 2 2 3" xfId="37357" xr:uid="{00000000-0005-0000-0000-0000AF630000}"/>
    <cellStyle name="40% - Accent2 4 9 2 2 4" xfId="47082" xr:uid="{00000000-0005-0000-0000-0000B0630000}"/>
    <cellStyle name="40% - Accent2 4 9 2 2 5" xfId="17907" xr:uid="{00000000-0005-0000-0000-0000B1630000}"/>
    <cellStyle name="40% - Accent2 4 9 2 3" xfId="22770" xr:uid="{00000000-0005-0000-0000-0000B2630000}"/>
    <cellStyle name="40% - Accent2 4 9 2 4" xfId="32495" xr:uid="{00000000-0005-0000-0000-0000B3630000}"/>
    <cellStyle name="40% - Accent2 4 9 2 5" xfId="42220" xr:uid="{00000000-0005-0000-0000-0000B4630000}"/>
    <cellStyle name="40% - Accent2 4 9 2 6" xfId="13045" xr:uid="{00000000-0005-0000-0000-0000B5630000}"/>
    <cellStyle name="40% - Accent2 4 9 3" xfId="4939" xr:uid="{00000000-0005-0000-0000-0000B6630000}"/>
    <cellStyle name="40% - Accent2 4 9 3 2" xfId="9801" xr:uid="{00000000-0005-0000-0000-0000B7630000}"/>
    <cellStyle name="40% - Accent2 4 9 3 2 2" xfId="29252" xr:uid="{00000000-0005-0000-0000-0000B8630000}"/>
    <cellStyle name="40% - Accent2 4 9 3 2 3" xfId="38977" xr:uid="{00000000-0005-0000-0000-0000B9630000}"/>
    <cellStyle name="40% - Accent2 4 9 3 2 4" xfId="48702" xr:uid="{00000000-0005-0000-0000-0000BA630000}"/>
    <cellStyle name="40% - Accent2 4 9 3 2 5" xfId="19527" xr:uid="{00000000-0005-0000-0000-0000BB630000}"/>
    <cellStyle name="40% - Accent2 4 9 3 3" xfId="24390" xr:uid="{00000000-0005-0000-0000-0000BC630000}"/>
    <cellStyle name="40% - Accent2 4 9 3 4" xfId="34115" xr:uid="{00000000-0005-0000-0000-0000BD630000}"/>
    <cellStyle name="40% - Accent2 4 9 3 5" xfId="43840" xr:uid="{00000000-0005-0000-0000-0000BE630000}"/>
    <cellStyle name="40% - Accent2 4 9 3 6" xfId="14665" xr:uid="{00000000-0005-0000-0000-0000BF630000}"/>
    <cellStyle name="40% - Accent2 4 9 4" xfId="6561" xr:uid="{00000000-0005-0000-0000-0000C0630000}"/>
    <cellStyle name="40% - Accent2 4 9 4 2" xfId="26012" xr:uid="{00000000-0005-0000-0000-0000C1630000}"/>
    <cellStyle name="40% - Accent2 4 9 4 3" xfId="35737" xr:uid="{00000000-0005-0000-0000-0000C2630000}"/>
    <cellStyle name="40% - Accent2 4 9 4 4" xfId="45462" xr:uid="{00000000-0005-0000-0000-0000C3630000}"/>
    <cellStyle name="40% - Accent2 4 9 4 5" xfId="16287" xr:uid="{00000000-0005-0000-0000-0000C4630000}"/>
    <cellStyle name="40% - Accent2 4 9 5" xfId="21150" xr:uid="{00000000-0005-0000-0000-0000C5630000}"/>
    <cellStyle name="40% - Accent2 4 9 6" xfId="30875" xr:uid="{00000000-0005-0000-0000-0000C6630000}"/>
    <cellStyle name="40% - Accent2 4 9 7" xfId="40600" xr:uid="{00000000-0005-0000-0000-0000C7630000}"/>
    <cellStyle name="40% - Accent2 4 9 8" xfId="11425" xr:uid="{00000000-0005-0000-0000-0000C8630000}"/>
    <cellStyle name="40% - Accent2 5" xfId="227" xr:uid="{00000000-0005-0000-0000-0000C9630000}"/>
    <cellStyle name="40% - Accent2 5 10" xfId="39190" xr:uid="{00000000-0005-0000-0000-0000CA630000}"/>
    <cellStyle name="40% - Accent2 5 11" xfId="10015" xr:uid="{00000000-0005-0000-0000-0000CB630000}"/>
    <cellStyle name="40% - Accent2 5 2" xfId="991" xr:uid="{00000000-0005-0000-0000-0000CC630000}"/>
    <cellStyle name="40% - Accent2 5 2 2" xfId="2629" xr:uid="{00000000-0005-0000-0000-0000CD630000}"/>
    <cellStyle name="40% - Accent2 5 2 2 2" xfId="7491" xr:uid="{00000000-0005-0000-0000-0000CE630000}"/>
    <cellStyle name="40% - Accent2 5 2 2 2 2" xfId="26942" xr:uid="{00000000-0005-0000-0000-0000CF630000}"/>
    <cellStyle name="40% - Accent2 5 2 2 2 3" xfId="36667" xr:uid="{00000000-0005-0000-0000-0000D0630000}"/>
    <cellStyle name="40% - Accent2 5 2 2 2 4" xfId="46392" xr:uid="{00000000-0005-0000-0000-0000D1630000}"/>
    <cellStyle name="40% - Accent2 5 2 2 2 5" xfId="17217" xr:uid="{00000000-0005-0000-0000-0000D2630000}"/>
    <cellStyle name="40% - Accent2 5 2 2 3" xfId="22080" xr:uid="{00000000-0005-0000-0000-0000D3630000}"/>
    <cellStyle name="40% - Accent2 5 2 2 4" xfId="31805" xr:uid="{00000000-0005-0000-0000-0000D4630000}"/>
    <cellStyle name="40% - Accent2 5 2 2 5" xfId="41530" xr:uid="{00000000-0005-0000-0000-0000D5630000}"/>
    <cellStyle name="40% - Accent2 5 2 2 6" xfId="12355" xr:uid="{00000000-0005-0000-0000-0000D6630000}"/>
    <cellStyle name="40% - Accent2 5 2 3" xfId="4249" xr:uid="{00000000-0005-0000-0000-0000D7630000}"/>
    <cellStyle name="40% - Accent2 5 2 3 2" xfId="9111" xr:uid="{00000000-0005-0000-0000-0000D8630000}"/>
    <cellStyle name="40% - Accent2 5 2 3 2 2" xfId="28562" xr:uid="{00000000-0005-0000-0000-0000D9630000}"/>
    <cellStyle name="40% - Accent2 5 2 3 2 3" xfId="38287" xr:uid="{00000000-0005-0000-0000-0000DA630000}"/>
    <cellStyle name="40% - Accent2 5 2 3 2 4" xfId="48012" xr:uid="{00000000-0005-0000-0000-0000DB630000}"/>
    <cellStyle name="40% - Accent2 5 2 3 2 5" xfId="18837" xr:uid="{00000000-0005-0000-0000-0000DC630000}"/>
    <cellStyle name="40% - Accent2 5 2 3 3" xfId="23700" xr:uid="{00000000-0005-0000-0000-0000DD630000}"/>
    <cellStyle name="40% - Accent2 5 2 3 4" xfId="33425" xr:uid="{00000000-0005-0000-0000-0000DE630000}"/>
    <cellStyle name="40% - Accent2 5 2 3 5" xfId="43150" xr:uid="{00000000-0005-0000-0000-0000DF630000}"/>
    <cellStyle name="40% - Accent2 5 2 3 6" xfId="13975" xr:uid="{00000000-0005-0000-0000-0000E0630000}"/>
    <cellStyle name="40% - Accent2 5 2 4" xfId="5871" xr:uid="{00000000-0005-0000-0000-0000E1630000}"/>
    <cellStyle name="40% - Accent2 5 2 4 2" xfId="25322" xr:uid="{00000000-0005-0000-0000-0000E2630000}"/>
    <cellStyle name="40% - Accent2 5 2 4 3" xfId="35047" xr:uid="{00000000-0005-0000-0000-0000E3630000}"/>
    <cellStyle name="40% - Accent2 5 2 4 4" xfId="44772" xr:uid="{00000000-0005-0000-0000-0000E4630000}"/>
    <cellStyle name="40% - Accent2 5 2 4 5" xfId="15597" xr:uid="{00000000-0005-0000-0000-0000E5630000}"/>
    <cellStyle name="40% - Accent2 5 2 5" xfId="20460" xr:uid="{00000000-0005-0000-0000-0000E6630000}"/>
    <cellStyle name="40% - Accent2 5 2 6" xfId="30185" xr:uid="{00000000-0005-0000-0000-0000E7630000}"/>
    <cellStyle name="40% - Accent2 5 2 7" xfId="39910" xr:uid="{00000000-0005-0000-0000-0000E8630000}"/>
    <cellStyle name="40% - Accent2 5 2 8" xfId="10735" xr:uid="{00000000-0005-0000-0000-0000E9630000}"/>
    <cellStyle name="40% - Accent2 5 3" xfId="1458" xr:uid="{00000000-0005-0000-0000-0000EA630000}"/>
    <cellStyle name="40% - Accent2 5 3 2" xfId="3079" xr:uid="{00000000-0005-0000-0000-0000EB630000}"/>
    <cellStyle name="40% - Accent2 5 3 2 2" xfId="7941" xr:uid="{00000000-0005-0000-0000-0000EC630000}"/>
    <cellStyle name="40% - Accent2 5 3 2 2 2" xfId="27392" xr:uid="{00000000-0005-0000-0000-0000ED630000}"/>
    <cellStyle name="40% - Accent2 5 3 2 2 3" xfId="37117" xr:uid="{00000000-0005-0000-0000-0000EE630000}"/>
    <cellStyle name="40% - Accent2 5 3 2 2 4" xfId="46842" xr:uid="{00000000-0005-0000-0000-0000EF630000}"/>
    <cellStyle name="40% - Accent2 5 3 2 2 5" xfId="17667" xr:uid="{00000000-0005-0000-0000-0000F0630000}"/>
    <cellStyle name="40% - Accent2 5 3 2 3" xfId="22530" xr:uid="{00000000-0005-0000-0000-0000F1630000}"/>
    <cellStyle name="40% - Accent2 5 3 2 4" xfId="32255" xr:uid="{00000000-0005-0000-0000-0000F2630000}"/>
    <cellStyle name="40% - Accent2 5 3 2 5" xfId="41980" xr:uid="{00000000-0005-0000-0000-0000F3630000}"/>
    <cellStyle name="40% - Accent2 5 3 2 6" xfId="12805" xr:uid="{00000000-0005-0000-0000-0000F4630000}"/>
    <cellStyle name="40% - Accent2 5 3 3" xfId="4699" xr:uid="{00000000-0005-0000-0000-0000F5630000}"/>
    <cellStyle name="40% - Accent2 5 3 3 2" xfId="9561" xr:uid="{00000000-0005-0000-0000-0000F6630000}"/>
    <cellStyle name="40% - Accent2 5 3 3 2 2" xfId="29012" xr:uid="{00000000-0005-0000-0000-0000F7630000}"/>
    <cellStyle name="40% - Accent2 5 3 3 2 3" xfId="38737" xr:uid="{00000000-0005-0000-0000-0000F8630000}"/>
    <cellStyle name="40% - Accent2 5 3 3 2 4" xfId="48462" xr:uid="{00000000-0005-0000-0000-0000F9630000}"/>
    <cellStyle name="40% - Accent2 5 3 3 2 5" xfId="19287" xr:uid="{00000000-0005-0000-0000-0000FA630000}"/>
    <cellStyle name="40% - Accent2 5 3 3 3" xfId="24150" xr:uid="{00000000-0005-0000-0000-0000FB630000}"/>
    <cellStyle name="40% - Accent2 5 3 3 4" xfId="33875" xr:uid="{00000000-0005-0000-0000-0000FC630000}"/>
    <cellStyle name="40% - Accent2 5 3 3 5" xfId="43600" xr:uid="{00000000-0005-0000-0000-0000FD630000}"/>
    <cellStyle name="40% - Accent2 5 3 3 6" xfId="14425" xr:uid="{00000000-0005-0000-0000-0000FE630000}"/>
    <cellStyle name="40% - Accent2 5 3 4" xfId="6321" xr:uid="{00000000-0005-0000-0000-0000FF630000}"/>
    <cellStyle name="40% - Accent2 5 3 4 2" xfId="25772" xr:uid="{00000000-0005-0000-0000-000000640000}"/>
    <cellStyle name="40% - Accent2 5 3 4 3" xfId="35497" xr:uid="{00000000-0005-0000-0000-000001640000}"/>
    <cellStyle name="40% - Accent2 5 3 4 4" xfId="45222" xr:uid="{00000000-0005-0000-0000-000002640000}"/>
    <cellStyle name="40% - Accent2 5 3 4 5" xfId="16047" xr:uid="{00000000-0005-0000-0000-000003640000}"/>
    <cellStyle name="40% - Accent2 5 3 5" xfId="20910" xr:uid="{00000000-0005-0000-0000-000004640000}"/>
    <cellStyle name="40% - Accent2 5 3 6" xfId="30635" xr:uid="{00000000-0005-0000-0000-000005640000}"/>
    <cellStyle name="40% - Accent2 5 3 7" xfId="40360" xr:uid="{00000000-0005-0000-0000-000006640000}"/>
    <cellStyle name="40% - Accent2 5 3 8" xfId="11185" xr:uid="{00000000-0005-0000-0000-000007640000}"/>
    <cellStyle name="40% - Accent2 5 4" xfId="629" xr:uid="{00000000-0005-0000-0000-000008640000}"/>
    <cellStyle name="40% - Accent2 5 4 2" xfId="2269" xr:uid="{00000000-0005-0000-0000-000009640000}"/>
    <cellStyle name="40% - Accent2 5 4 2 2" xfId="7131" xr:uid="{00000000-0005-0000-0000-00000A640000}"/>
    <cellStyle name="40% - Accent2 5 4 2 2 2" xfId="26582" xr:uid="{00000000-0005-0000-0000-00000B640000}"/>
    <cellStyle name="40% - Accent2 5 4 2 2 3" xfId="36307" xr:uid="{00000000-0005-0000-0000-00000C640000}"/>
    <cellStyle name="40% - Accent2 5 4 2 2 4" xfId="46032" xr:uid="{00000000-0005-0000-0000-00000D640000}"/>
    <cellStyle name="40% - Accent2 5 4 2 2 5" xfId="16857" xr:uid="{00000000-0005-0000-0000-00000E640000}"/>
    <cellStyle name="40% - Accent2 5 4 2 3" xfId="21720" xr:uid="{00000000-0005-0000-0000-00000F640000}"/>
    <cellStyle name="40% - Accent2 5 4 2 4" xfId="31445" xr:uid="{00000000-0005-0000-0000-000010640000}"/>
    <cellStyle name="40% - Accent2 5 4 2 5" xfId="41170" xr:uid="{00000000-0005-0000-0000-000011640000}"/>
    <cellStyle name="40% - Accent2 5 4 2 6" xfId="11995" xr:uid="{00000000-0005-0000-0000-000012640000}"/>
    <cellStyle name="40% - Accent2 5 4 3" xfId="3889" xr:uid="{00000000-0005-0000-0000-000013640000}"/>
    <cellStyle name="40% - Accent2 5 4 3 2" xfId="8751" xr:uid="{00000000-0005-0000-0000-000014640000}"/>
    <cellStyle name="40% - Accent2 5 4 3 2 2" xfId="28202" xr:uid="{00000000-0005-0000-0000-000015640000}"/>
    <cellStyle name="40% - Accent2 5 4 3 2 3" xfId="37927" xr:uid="{00000000-0005-0000-0000-000016640000}"/>
    <cellStyle name="40% - Accent2 5 4 3 2 4" xfId="47652" xr:uid="{00000000-0005-0000-0000-000017640000}"/>
    <cellStyle name="40% - Accent2 5 4 3 2 5" xfId="18477" xr:uid="{00000000-0005-0000-0000-000018640000}"/>
    <cellStyle name="40% - Accent2 5 4 3 3" xfId="23340" xr:uid="{00000000-0005-0000-0000-000019640000}"/>
    <cellStyle name="40% - Accent2 5 4 3 4" xfId="33065" xr:uid="{00000000-0005-0000-0000-00001A640000}"/>
    <cellStyle name="40% - Accent2 5 4 3 5" xfId="42790" xr:uid="{00000000-0005-0000-0000-00001B640000}"/>
    <cellStyle name="40% - Accent2 5 4 3 6" xfId="13615" xr:uid="{00000000-0005-0000-0000-00001C640000}"/>
    <cellStyle name="40% - Accent2 5 4 4" xfId="5511" xr:uid="{00000000-0005-0000-0000-00001D640000}"/>
    <cellStyle name="40% - Accent2 5 4 4 2" xfId="24962" xr:uid="{00000000-0005-0000-0000-00001E640000}"/>
    <cellStyle name="40% - Accent2 5 4 4 3" xfId="34687" xr:uid="{00000000-0005-0000-0000-00001F640000}"/>
    <cellStyle name="40% - Accent2 5 4 4 4" xfId="44412" xr:uid="{00000000-0005-0000-0000-000020640000}"/>
    <cellStyle name="40% - Accent2 5 4 4 5" xfId="15237" xr:uid="{00000000-0005-0000-0000-000021640000}"/>
    <cellStyle name="40% - Accent2 5 4 5" xfId="20100" xr:uid="{00000000-0005-0000-0000-000022640000}"/>
    <cellStyle name="40% - Accent2 5 4 6" xfId="29825" xr:uid="{00000000-0005-0000-0000-000023640000}"/>
    <cellStyle name="40% - Accent2 5 4 7" xfId="39550" xr:uid="{00000000-0005-0000-0000-000024640000}"/>
    <cellStyle name="40% - Accent2 5 4 8" xfId="10375" xr:uid="{00000000-0005-0000-0000-000025640000}"/>
    <cellStyle name="40% - Accent2 5 5" xfId="1909" xr:uid="{00000000-0005-0000-0000-000026640000}"/>
    <cellStyle name="40% - Accent2 5 5 2" xfId="6771" xr:uid="{00000000-0005-0000-0000-000027640000}"/>
    <cellStyle name="40% - Accent2 5 5 2 2" xfId="26222" xr:uid="{00000000-0005-0000-0000-000028640000}"/>
    <cellStyle name="40% - Accent2 5 5 2 3" xfId="35947" xr:uid="{00000000-0005-0000-0000-000029640000}"/>
    <cellStyle name="40% - Accent2 5 5 2 4" xfId="45672" xr:uid="{00000000-0005-0000-0000-00002A640000}"/>
    <cellStyle name="40% - Accent2 5 5 2 5" xfId="16497" xr:uid="{00000000-0005-0000-0000-00002B640000}"/>
    <cellStyle name="40% - Accent2 5 5 3" xfId="21360" xr:uid="{00000000-0005-0000-0000-00002C640000}"/>
    <cellStyle name="40% - Accent2 5 5 4" xfId="31085" xr:uid="{00000000-0005-0000-0000-00002D640000}"/>
    <cellStyle name="40% - Accent2 5 5 5" xfId="40810" xr:uid="{00000000-0005-0000-0000-00002E640000}"/>
    <cellStyle name="40% - Accent2 5 5 6" xfId="11635" xr:uid="{00000000-0005-0000-0000-00002F640000}"/>
    <cellStyle name="40% - Accent2 5 6" xfId="3529" xr:uid="{00000000-0005-0000-0000-000030640000}"/>
    <cellStyle name="40% - Accent2 5 6 2" xfId="8391" xr:uid="{00000000-0005-0000-0000-000031640000}"/>
    <cellStyle name="40% - Accent2 5 6 2 2" xfId="27842" xr:uid="{00000000-0005-0000-0000-000032640000}"/>
    <cellStyle name="40% - Accent2 5 6 2 3" xfId="37567" xr:uid="{00000000-0005-0000-0000-000033640000}"/>
    <cellStyle name="40% - Accent2 5 6 2 4" xfId="47292" xr:uid="{00000000-0005-0000-0000-000034640000}"/>
    <cellStyle name="40% - Accent2 5 6 2 5" xfId="18117" xr:uid="{00000000-0005-0000-0000-000035640000}"/>
    <cellStyle name="40% - Accent2 5 6 3" xfId="22980" xr:uid="{00000000-0005-0000-0000-000036640000}"/>
    <cellStyle name="40% - Accent2 5 6 4" xfId="32705" xr:uid="{00000000-0005-0000-0000-000037640000}"/>
    <cellStyle name="40% - Accent2 5 6 5" xfId="42430" xr:uid="{00000000-0005-0000-0000-000038640000}"/>
    <cellStyle name="40% - Accent2 5 6 6" xfId="13255" xr:uid="{00000000-0005-0000-0000-000039640000}"/>
    <cellStyle name="40% - Accent2 5 7" xfId="5151" xr:uid="{00000000-0005-0000-0000-00003A640000}"/>
    <cellStyle name="40% - Accent2 5 7 2" xfId="24602" xr:uid="{00000000-0005-0000-0000-00003B640000}"/>
    <cellStyle name="40% - Accent2 5 7 3" xfId="34327" xr:uid="{00000000-0005-0000-0000-00003C640000}"/>
    <cellStyle name="40% - Accent2 5 7 4" xfId="44052" xr:uid="{00000000-0005-0000-0000-00003D640000}"/>
    <cellStyle name="40% - Accent2 5 7 5" xfId="14877" xr:uid="{00000000-0005-0000-0000-00003E640000}"/>
    <cellStyle name="40% - Accent2 5 8" xfId="19740" xr:uid="{00000000-0005-0000-0000-00003F640000}"/>
    <cellStyle name="40% - Accent2 5 9" xfId="29465" xr:uid="{00000000-0005-0000-0000-000040640000}"/>
    <cellStyle name="40% - Accent2 6" xfId="318" xr:uid="{00000000-0005-0000-0000-000041640000}"/>
    <cellStyle name="40% - Accent2 6 10" xfId="39280" xr:uid="{00000000-0005-0000-0000-000042640000}"/>
    <cellStyle name="40% - Accent2 6 11" xfId="10105" xr:uid="{00000000-0005-0000-0000-000043640000}"/>
    <cellStyle name="40% - Accent2 6 2" xfId="1081" xr:uid="{00000000-0005-0000-0000-000044640000}"/>
    <cellStyle name="40% - Accent2 6 2 2" xfId="2719" xr:uid="{00000000-0005-0000-0000-000045640000}"/>
    <cellStyle name="40% - Accent2 6 2 2 2" xfId="7581" xr:uid="{00000000-0005-0000-0000-000046640000}"/>
    <cellStyle name="40% - Accent2 6 2 2 2 2" xfId="27032" xr:uid="{00000000-0005-0000-0000-000047640000}"/>
    <cellStyle name="40% - Accent2 6 2 2 2 3" xfId="36757" xr:uid="{00000000-0005-0000-0000-000048640000}"/>
    <cellStyle name="40% - Accent2 6 2 2 2 4" xfId="46482" xr:uid="{00000000-0005-0000-0000-000049640000}"/>
    <cellStyle name="40% - Accent2 6 2 2 2 5" xfId="17307" xr:uid="{00000000-0005-0000-0000-00004A640000}"/>
    <cellStyle name="40% - Accent2 6 2 2 3" xfId="22170" xr:uid="{00000000-0005-0000-0000-00004B640000}"/>
    <cellStyle name="40% - Accent2 6 2 2 4" xfId="31895" xr:uid="{00000000-0005-0000-0000-00004C640000}"/>
    <cellStyle name="40% - Accent2 6 2 2 5" xfId="41620" xr:uid="{00000000-0005-0000-0000-00004D640000}"/>
    <cellStyle name="40% - Accent2 6 2 2 6" xfId="12445" xr:uid="{00000000-0005-0000-0000-00004E640000}"/>
    <cellStyle name="40% - Accent2 6 2 3" xfId="4339" xr:uid="{00000000-0005-0000-0000-00004F640000}"/>
    <cellStyle name="40% - Accent2 6 2 3 2" xfId="9201" xr:uid="{00000000-0005-0000-0000-000050640000}"/>
    <cellStyle name="40% - Accent2 6 2 3 2 2" xfId="28652" xr:uid="{00000000-0005-0000-0000-000051640000}"/>
    <cellStyle name="40% - Accent2 6 2 3 2 3" xfId="38377" xr:uid="{00000000-0005-0000-0000-000052640000}"/>
    <cellStyle name="40% - Accent2 6 2 3 2 4" xfId="48102" xr:uid="{00000000-0005-0000-0000-000053640000}"/>
    <cellStyle name="40% - Accent2 6 2 3 2 5" xfId="18927" xr:uid="{00000000-0005-0000-0000-000054640000}"/>
    <cellStyle name="40% - Accent2 6 2 3 3" xfId="23790" xr:uid="{00000000-0005-0000-0000-000055640000}"/>
    <cellStyle name="40% - Accent2 6 2 3 4" xfId="33515" xr:uid="{00000000-0005-0000-0000-000056640000}"/>
    <cellStyle name="40% - Accent2 6 2 3 5" xfId="43240" xr:uid="{00000000-0005-0000-0000-000057640000}"/>
    <cellStyle name="40% - Accent2 6 2 3 6" xfId="14065" xr:uid="{00000000-0005-0000-0000-000058640000}"/>
    <cellStyle name="40% - Accent2 6 2 4" xfId="5961" xr:uid="{00000000-0005-0000-0000-000059640000}"/>
    <cellStyle name="40% - Accent2 6 2 4 2" xfId="25412" xr:uid="{00000000-0005-0000-0000-00005A640000}"/>
    <cellStyle name="40% - Accent2 6 2 4 3" xfId="35137" xr:uid="{00000000-0005-0000-0000-00005B640000}"/>
    <cellStyle name="40% - Accent2 6 2 4 4" xfId="44862" xr:uid="{00000000-0005-0000-0000-00005C640000}"/>
    <cellStyle name="40% - Accent2 6 2 4 5" xfId="15687" xr:uid="{00000000-0005-0000-0000-00005D640000}"/>
    <cellStyle name="40% - Accent2 6 2 5" xfId="20550" xr:uid="{00000000-0005-0000-0000-00005E640000}"/>
    <cellStyle name="40% - Accent2 6 2 6" xfId="30275" xr:uid="{00000000-0005-0000-0000-00005F640000}"/>
    <cellStyle name="40% - Accent2 6 2 7" xfId="40000" xr:uid="{00000000-0005-0000-0000-000060640000}"/>
    <cellStyle name="40% - Accent2 6 2 8" xfId="10825" xr:uid="{00000000-0005-0000-0000-000061640000}"/>
    <cellStyle name="40% - Accent2 6 3" xfId="1548" xr:uid="{00000000-0005-0000-0000-000062640000}"/>
    <cellStyle name="40% - Accent2 6 3 2" xfId="3169" xr:uid="{00000000-0005-0000-0000-000063640000}"/>
    <cellStyle name="40% - Accent2 6 3 2 2" xfId="8031" xr:uid="{00000000-0005-0000-0000-000064640000}"/>
    <cellStyle name="40% - Accent2 6 3 2 2 2" xfId="27482" xr:uid="{00000000-0005-0000-0000-000065640000}"/>
    <cellStyle name="40% - Accent2 6 3 2 2 3" xfId="37207" xr:uid="{00000000-0005-0000-0000-000066640000}"/>
    <cellStyle name="40% - Accent2 6 3 2 2 4" xfId="46932" xr:uid="{00000000-0005-0000-0000-000067640000}"/>
    <cellStyle name="40% - Accent2 6 3 2 2 5" xfId="17757" xr:uid="{00000000-0005-0000-0000-000068640000}"/>
    <cellStyle name="40% - Accent2 6 3 2 3" xfId="22620" xr:uid="{00000000-0005-0000-0000-000069640000}"/>
    <cellStyle name="40% - Accent2 6 3 2 4" xfId="32345" xr:uid="{00000000-0005-0000-0000-00006A640000}"/>
    <cellStyle name="40% - Accent2 6 3 2 5" xfId="42070" xr:uid="{00000000-0005-0000-0000-00006B640000}"/>
    <cellStyle name="40% - Accent2 6 3 2 6" xfId="12895" xr:uid="{00000000-0005-0000-0000-00006C640000}"/>
    <cellStyle name="40% - Accent2 6 3 3" xfId="4789" xr:uid="{00000000-0005-0000-0000-00006D640000}"/>
    <cellStyle name="40% - Accent2 6 3 3 2" xfId="9651" xr:uid="{00000000-0005-0000-0000-00006E640000}"/>
    <cellStyle name="40% - Accent2 6 3 3 2 2" xfId="29102" xr:uid="{00000000-0005-0000-0000-00006F640000}"/>
    <cellStyle name="40% - Accent2 6 3 3 2 3" xfId="38827" xr:uid="{00000000-0005-0000-0000-000070640000}"/>
    <cellStyle name="40% - Accent2 6 3 3 2 4" xfId="48552" xr:uid="{00000000-0005-0000-0000-000071640000}"/>
    <cellStyle name="40% - Accent2 6 3 3 2 5" xfId="19377" xr:uid="{00000000-0005-0000-0000-000072640000}"/>
    <cellStyle name="40% - Accent2 6 3 3 3" xfId="24240" xr:uid="{00000000-0005-0000-0000-000073640000}"/>
    <cellStyle name="40% - Accent2 6 3 3 4" xfId="33965" xr:uid="{00000000-0005-0000-0000-000074640000}"/>
    <cellStyle name="40% - Accent2 6 3 3 5" xfId="43690" xr:uid="{00000000-0005-0000-0000-000075640000}"/>
    <cellStyle name="40% - Accent2 6 3 3 6" xfId="14515" xr:uid="{00000000-0005-0000-0000-000076640000}"/>
    <cellStyle name="40% - Accent2 6 3 4" xfId="6411" xr:uid="{00000000-0005-0000-0000-000077640000}"/>
    <cellStyle name="40% - Accent2 6 3 4 2" xfId="25862" xr:uid="{00000000-0005-0000-0000-000078640000}"/>
    <cellStyle name="40% - Accent2 6 3 4 3" xfId="35587" xr:uid="{00000000-0005-0000-0000-000079640000}"/>
    <cellStyle name="40% - Accent2 6 3 4 4" xfId="45312" xr:uid="{00000000-0005-0000-0000-00007A640000}"/>
    <cellStyle name="40% - Accent2 6 3 4 5" xfId="16137" xr:uid="{00000000-0005-0000-0000-00007B640000}"/>
    <cellStyle name="40% - Accent2 6 3 5" xfId="21000" xr:uid="{00000000-0005-0000-0000-00007C640000}"/>
    <cellStyle name="40% - Accent2 6 3 6" xfId="30725" xr:uid="{00000000-0005-0000-0000-00007D640000}"/>
    <cellStyle name="40% - Accent2 6 3 7" xfId="40450" xr:uid="{00000000-0005-0000-0000-00007E640000}"/>
    <cellStyle name="40% - Accent2 6 3 8" xfId="11275" xr:uid="{00000000-0005-0000-0000-00007F640000}"/>
    <cellStyle name="40% - Accent2 6 4" xfId="719" xr:uid="{00000000-0005-0000-0000-000080640000}"/>
    <cellStyle name="40% - Accent2 6 4 2" xfId="2359" xr:uid="{00000000-0005-0000-0000-000081640000}"/>
    <cellStyle name="40% - Accent2 6 4 2 2" xfId="7221" xr:uid="{00000000-0005-0000-0000-000082640000}"/>
    <cellStyle name="40% - Accent2 6 4 2 2 2" xfId="26672" xr:uid="{00000000-0005-0000-0000-000083640000}"/>
    <cellStyle name="40% - Accent2 6 4 2 2 3" xfId="36397" xr:uid="{00000000-0005-0000-0000-000084640000}"/>
    <cellStyle name="40% - Accent2 6 4 2 2 4" xfId="46122" xr:uid="{00000000-0005-0000-0000-000085640000}"/>
    <cellStyle name="40% - Accent2 6 4 2 2 5" xfId="16947" xr:uid="{00000000-0005-0000-0000-000086640000}"/>
    <cellStyle name="40% - Accent2 6 4 2 3" xfId="21810" xr:uid="{00000000-0005-0000-0000-000087640000}"/>
    <cellStyle name="40% - Accent2 6 4 2 4" xfId="31535" xr:uid="{00000000-0005-0000-0000-000088640000}"/>
    <cellStyle name="40% - Accent2 6 4 2 5" xfId="41260" xr:uid="{00000000-0005-0000-0000-000089640000}"/>
    <cellStyle name="40% - Accent2 6 4 2 6" xfId="12085" xr:uid="{00000000-0005-0000-0000-00008A640000}"/>
    <cellStyle name="40% - Accent2 6 4 3" xfId="3979" xr:uid="{00000000-0005-0000-0000-00008B640000}"/>
    <cellStyle name="40% - Accent2 6 4 3 2" xfId="8841" xr:uid="{00000000-0005-0000-0000-00008C640000}"/>
    <cellStyle name="40% - Accent2 6 4 3 2 2" xfId="28292" xr:uid="{00000000-0005-0000-0000-00008D640000}"/>
    <cellStyle name="40% - Accent2 6 4 3 2 3" xfId="38017" xr:uid="{00000000-0005-0000-0000-00008E640000}"/>
    <cellStyle name="40% - Accent2 6 4 3 2 4" xfId="47742" xr:uid="{00000000-0005-0000-0000-00008F640000}"/>
    <cellStyle name="40% - Accent2 6 4 3 2 5" xfId="18567" xr:uid="{00000000-0005-0000-0000-000090640000}"/>
    <cellStyle name="40% - Accent2 6 4 3 3" xfId="23430" xr:uid="{00000000-0005-0000-0000-000091640000}"/>
    <cellStyle name="40% - Accent2 6 4 3 4" xfId="33155" xr:uid="{00000000-0005-0000-0000-000092640000}"/>
    <cellStyle name="40% - Accent2 6 4 3 5" xfId="42880" xr:uid="{00000000-0005-0000-0000-000093640000}"/>
    <cellStyle name="40% - Accent2 6 4 3 6" xfId="13705" xr:uid="{00000000-0005-0000-0000-000094640000}"/>
    <cellStyle name="40% - Accent2 6 4 4" xfId="5601" xr:uid="{00000000-0005-0000-0000-000095640000}"/>
    <cellStyle name="40% - Accent2 6 4 4 2" xfId="25052" xr:uid="{00000000-0005-0000-0000-000096640000}"/>
    <cellStyle name="40% - Accent2 6 4 4 3" xfId="34777" xr:uid="{00000000-0005-0000-0000-000097640000}"/>
    <cellStyle name="40% - Accent2 6 4 4 4" xfId="44502" xr:uid="{00000000-0005-0000-0000-000098640000}"/>
    <cellStyle name="40% - Accent2 6 4 4 5" xfId="15327" xr:uid="{00000000-0005-0000-0000-000099640000}"/>
    <cellStyle name="40% - Accent2 6 4 5" xfId="20190" xr:uid="{00000000-0005-0000-0000-00009A640000}"/>
    <cellStyle name="40% - Accent2 6 4 6" xfId="29915" xr:uid="{00000000-0005-0000-0000-00009B640000}"/>
    <cellStyle name="40% - Accent2 6 4 7" xfId="39640" xr:uid="{00000000-0005-0000-0000-00009C640000}"/>
    <cellStyle name="40% - Accent2 6 4 8" xfId="10465" xr:uid="{00000000-0005-0000-0000-00009D640000}"/>
    <cellStyle name="40% - Accent2 6 5" xfId="1999" xr:uid="{00000000-0005-0000-0000-00009E640000}"/>
    <cellStyle name="40% - Accent2 6 5 2" xfId="6861" xr:uid="{00000000-0005-0000-0000-00009F640000}"/>
    <cellStyle name="40% - Accent2 6 5 2 2" xfId="26312" xr:uid="{00000000-0005-0000-0000-0000A0640000}"/>
    <cellStyle name="40% - Accent2 6 5 2 3" xfId="36037" xr:uid="{00000000-0005-0000-0000-0000A1640000}"/>
    <cellStyle name="40% - Accent2 6 5 2 4" xfId="45762" xr:uid="{00000000-0005-0000-0000-0000A2640000}"/>
    <cellStyle name="40% - Accent2 6 5 2 5" xfId="16587" xr:uid="{00000000-0005-0000-0000-0000A3640000}"/>
    <cellStyle name="40% - Accent2 6 5 3" xfId="21450" xr:uid="{00000000-0005-0000-0000-0000A4640000}"/>
    <cellStyle name="40% - Accent2 6 5 4" xfId="31175" xr:uid="{00000000-0005-0000-0000-0000A5640000}"/>
    <cellStyle name="40% - Accent2 6 5 5" xfId="40900" xr:uid="{00000000-0005-0000-0000-0000A6640000}"/>
    <cellStyle name="40% - Accent2 6 5 6" xfId="11725" xr:uid="{00000000-0005-0000-0000-0000A7640000}"/>
    <cellStyle name="40% - Accent2 6 6" xfId="3619" xr:uid="{00000000-0005-0000-0000-0000A8640000}"/>
    <cellStyle name="40% - Accent2 6 6 2" xfId="8481" xr:uid="{00000000-0005-0000-0000-0000A9640000}"/>
    <cellStyle name="40% - Accent2 6 6 2 2" xfId="27932" xr:uid="{00000000-0005-0000-0000-0000AA640000}"/>
    <cellStyle name="40% - Accent2 6 6 2 3" xfId="37657" xr:uid="{00000000-0005-0000-0000-0000AB640000}"/>
    <cellStyle name="40% - Accent2 6 6 2 4" xfId="47382" xr:uid="{00000000-0005-0000-0000-0000AC640000}"/>
    <cellStyle name="40% - Accent2 6 6 2 5" xfId="18207" xr:uid="{00000000-0005-0000-0000-0000AD640000}"/>
    <cellStyle name="40% - Accent2 6 6 3" xfId="23070" xr:uid="{00000000-0005-0000-0000-0000AE640000}"/>
    <cellStyle name="40% - Accent2 6 6 4" xfId="32795" xr:uid="{00000000-0005-0000-0000-0000AF640000}"/>
    <cellStyle name="40% - Accent2 6 6 5" xfId="42520" xr:uid="{00000000-0005-0000-0000-0000B0640000}"/>
    <cellStyle name="40% - Accent2 6 6 6" xfId="13345" xr:uid="{00000000-0005-0000-0000-0000B1640000}"/>
    <cellStyle name="40% - Accent2 6 7" xfId="5241" xr:uid="{00000000-0005-0000-0000-0000B2640000}"/>
    <cellStyle name="40% - Accent2 6 7 2" xfId="24692" xr:uid="{00000000-0005-0000-0000-0000B3640000}"/>
    <cellStyle name="40% - Accent2 6 7 3" xfId="34417" xr:uid="{00000000-0005-0000-0000-0000B4640000}"/>
    <cellStyle name="40% - Accent2 6 7 4" xfId="44142" xr:uid="{00000000-0005-0000-0000-0000B5640000}"/>
    <cellStyle name="40% - Accent2 6 7 5" xfId="14967" xr:uid="{00000000-0005-0000-0000-0000B6640000}"/>
    <cellStyle name="40% - Accent2 6 8" xfId="19830" xr:uid="{00000000-0005-0000-0000-0000B7640000}"/>
    <cellStyle name="40% - Accent2 6 9" xfId="29555" xr:uid="{00000000-0005-0000-0000-0000B8640000}"/>
    <cellStyle name="40% - Accent2 7" xfId="136" xr:uid="{00000000-0005-0000-0000-0000B9640000}"/>
    <cellStyle name="40% - Accent2 7 10" xfId="39100" xr:uid="{00000000-0005-0000-0000-0000BA640000}"/>
    <cellStyle name="40% - Accent2 7 11" xfId="9925" xr:uid="{00000000-0005-0000-0000-0000BB640000}"/>
    <cellStyle name="40% - Accent2 7 2" xfId="900" xr:uid="{00000000-0005-0000-0000-0000BC640000}"/>
    <cellStyle name="40% - Accent2 7 2 2" xfId="2539" xr:uid="{00000000-0005-0000-0000-0000BD640000}"/>
    <cellStyle name="40% - Accent2 7 2 2 2" xfId="7401" xr:uid="{00000000-0005-0000-0000-0000BE640000}"/>
    <cellStyle name="40% - Accent2 7 2 2 2 2" xfId="26852" xr:uid="{00000000-0005-0000-0000-0000BF640000}"/>
    <cellStyle name="40% - Accent2 7 2 2 2 3" xfId="36577" xr:uid="{00000000-0005-0000-0000-0000C0640000}"/>
    <cellStyle name="40% - Accent2 7 2 2 2 4" xfId="46302" xr:uid="{00000000-0005-0000-0000-0000C1640000}"/>
    <cellStyle name="40% - Accent2 7 2 2 2 5" xfId="17127" xr:uid="{00000000-0005-0000-0000-0000C2640000}"/>
    <cellStyle name="40% - Accent2 7 2 2 3" xfId="21990" xr:uid="{00000000-0005-0000-0000-0000C3640000}"/>
    <cellStyle name="40% - Accent2 7 2 2 4" xfId="31715" xr:uid="{00000000-0005-0000-0000-0000C4640000}"/>
    <cellStyle name="40% - Accent2 7 2 2 5" xfId="41440" xr:uid="{00000000-0005-0000-0000-0000C5640000}"/>
    <cellStyle name="40% - Accent2 7 2 2 6" xfId="12265" xr:uid="{00000000-0005-0000-0000-0000C6640000}"/>
    <cellStyle name="40% - Accent2 7 2 3" xfId="4159" xr:uid="{00000000-0005-0000-0000-0000C7640000}"/>
    <cellStyle name="40% - Accent2 7 2 3 2" xfId="9021" xr:uid="{00000000-0005-0000-0000-0000C8640000}"/>
    <cellStyle name="40% - Accent2 7 2 3 2 2" xfId="28472" xr:uid="{00000000-0005-0000-0000-0000C9640000}"/>
    <cellStyle name="40% - Accent2 7 2 3 2 3" xfId="38197" xr:uid="{00000000-0005-0000-0000-0000CA640000}"/>
    <cellStyle name="40% - Accent2 7 2 3 2 4" xfId="47922" xr:uid="{00000000-0005-0000-0000-0000CB640000}"/>
    <cellStyle name="40% - Accent2 7 2 3 2 5" xfId="18747" xr:uid="{00000000-0005-0000-0000-0000CC640000}"/>
    <cellStyle name="40% - Accent2 7 2 3 3" xfId="23610" xr:uid="{00000000-0005-0000-0000-0000CD640000}"/>
    <cellStyle name="40% - Accent2 7 2 3 4" xfId="33335" xr:uid="{00000000-0005-0000-0000-0000CE640000}"/>
    <cellStyle name="40% - Accent2 7 2 3 5" xfId="43060" xr:uid="{00000000-0005-0000-0000-0000CF640000}"/>
    <cellStyle name="40% - Accent2 7 2 3 6" xfId="13885" xr:uid="{00000000-0005-0000-0000-0000D0640000}"/>
    <cellStyle name="40% - Accent2 7 2 4" xfId="5781" xr:uid="{00000000-0005-0000-0000-0000D1640000}"/>
    <cellStyle name="40% - Accent2 7 2 4 2" xfId="25232" xr:uid="{00000000-0005-0000-0000-0000D2640000}"/>
    <cellStyle name="40% - Accent2 7 2 4 3" xfId="34957" xr:uid="{00000000-0005-0000-0000-0000D3640000}"/>
    <cellStyle name="40% - Accent2 7 2 4 4" xfId="44682" xr:uid="{00000000-0005-0000-0000-0000D4640000}"/>
    <cellStyle name="40% - Accent2 7 2 4 5" xfId="15507" xr:uid="{00000000-0005-0000-0000-0000D5640000}"/>
    <cellStyle name="40% - Accent2 7 2 5" xfId="20370" xr:uid="{00000000-0005-0000-0000-0000D6640000}"/>
    <cellStyle name="40% - Accent2 7 2 6" xfId="30095" xr:uid="{00000000-0005-0000-0000-0000D7640000}"/>
    <cellStyle name="40% - Accent2 7 2 7" xfId="39820" xr:uid="{00000000-0005-0000-0000-0000D8640000}"/>
    <cellStyle name="40% - Accent2 7 2 8" xfId="10645" xr:uid="{00000000-0005-0000-0000-0000D9640000}"/>
    <cellStyle name="40% - Accent2 7 3" xfId="1368" xr:uid="{00000000-0005-0000-0000-0000DA640000}"/>
    <cellStyle name="40% - Accent2 7 3 2" xfId="2989" xr:uid="{00000000-0005-0000-0000-0000DB640000}"/>
    <cellStyle name="40% - Accent2 7 3 2 2" xfId="7851" xr:uid="{00000000-0005-0000-0000-0000DC640000}"/>
    <cellStyle name="40% - Accent2 7 3 2 2 2" xfId="27302" xr:uid="{00000000-0005-0000-0000-0000DD640000}"/>
    <cellStyle name="40% - Accent2 7 3 2 2 3" xfId="37027" xr:uid="{00000000-0005-0000-0000-0000DE640000}"/>
    <cellStyle name="40% - Accent2 7 3 2 2 4" xfId="46752" xr:uid="{00000000-0005-0000-0000-0000DF640000}"/>
    <cellStyle name="40% - Accent2 7 3 2 2 5" xfId="17577" xr:uid="{00000000-0005-0000-0000-0000E0640000}"/>
    <cellStyle name="40% - Accent2 7 3 2 3" xfId="22440" xr:uid="{00000000-0005-0000-0000-0000E1640000}"/>
    <cellStyle name="40% - Accent2 7 3 2 4" xfId="32165" xr:uid="{00000000-0005-0000-0000-0000E2640000}"/>
    <cellStyle name="40% - Accent2 7 3 2 5" xfId="41890" xr:uid="{00000000-0005-0000-0000-0000E3640000}"/>
    <cellStyle name="40% - Accent2 7 3 2 6" xfId="12715" xr:uid="{00000000-0005-0000-0000-0000E4640000}"/>
    <cellStyle name="40% - Accent2 7 3 3" xfId="4609" xr:uid="{00000000-0005-0000-0000-0000E5640000}"/>
    <cellStyle name="40% - Accent2 7 3 3 2" xfId="9471" xr:uid="{00000000-0005-0000-0000-0000E6640000}"/>
    <cellStyle name="40% - Accent2 7 3 3 2 2" xfId="28922" xr:uid="{00000000-0005-0000-0000-0000E7640000}"/>
    <cellStyle name="40% - Accent2 7 3 3 2 3" xfId="38647" xr:uid="{00000000-0005-0000-0000-0000E8640000}"/>
    <cellStyle name="40% - Accent2 7 3 3 2 4" xfId="48372" xr:uid="{00000000-0005-0000-0000-0000E9640000}"/>
    <cellStyle name="40% - Accent2 7 3 3 2 5" xfId="19197" xr:uid="{00000000-0005-0000-0000-0000EA640000}"/>
    <cellStyle name="40% - Accent2 7 3 3 3" xfId="24060" xr:uid="{00000000-0005-0000-0000-0000EB640000}"/>
    <cellStyle name="40% - Accent2 7 3 3 4" xfId="33785" xr:uid="{00000000-0005-0000-0000-0000EC640000}"/>
    <cellStyle name="40% - Accent2 7 3 3 5" xfId="43510" xr:uid="{00000000-0005-0000-0000-0000ED640000}"/>
    <cellStyle name="40% - Accent2 7 3 3 6" xfId="14335" xr:uid="{00000000-0005-0000-0000-0000EE640000}"/>
    <cellStyle name="40% - Accent2 7 3 4" xfId="6231" xr:uid="{00000000-0005-0000-0000-0000EF640000}"/>
    <cellStyle name="40% - Accent2 7 3 4 2" xfId="25682" xr:uid="{00000000-0005-0000-0000-0000F0640000}"/>
    <cellStyle name="40% - Accent2 7 3 4 3" xfId="35407" xr:uid="{00000000-0005-0000-0000-0000F1640000}"/>
    <cellStyle name="40% - Accent2 7 3 4 4" xfId="45132" xr:uid="{00000000-0005-0000-0000-0000F2640000}"/>
    <cellStyle name="40% - Accent2 7 3 4 5" xfId="15957" xr:uid="{00000000-0005-0000-0000-0000F3640000}"/>
    <cellStyle name="40% - Accent2 7 3 5" xfId="20820" xr:uid="{00000000-0005-0000-0000-0000F4640000}"/>
    <cellStyle name="40% - Accent2 7 3 6" xfId="30545" xr:uid="{00000000-0005-0000-0000-0000F5640000}"/>
    <cellStyle name="40% - Accent2 7 3 7" xfId="40270" xr:uid="{00000000-0005-0000-0000-0000F6640000}"/>
    <cellStyle name="40% - Accent2 7 3 8" xfId="11095" xr:uid="{00000000-0005-0000-0000-0000F7640000}"/>
    <cellStyle name="40% - Accent2 7 4" xfId="539" xr:uid="{00000000-0005-0000-0000-0000F8640000}"/>
    <cellStyle name="40% - Accent2 7 4 2" xfId="2179" xr:uid="{00000000-0005-0000-0000-0000F9640000}"/>
    <cellStyle name="40% - Accent2 7 4 2 2" xfId="7041" xr:uid="{00000000-0005-0000-0000-0000FA640000}"/>
    <cellStyle name="40% - Accent2 7 4 2 2 2" xfId="26492" xr:uid="{00000000-0005-0000-0000-0000FB640000}"/>
    <cellStyle name="40% - Accent2 7 4 2 2 3" xfId="36217" xr:uid="{00000000-0005-0000-0000-0000FC640000}"/>
    <cellStyle name="40% - Accent2 7 4 2 2 4" xfId="45942" xr:uid="{00000000-0005-0000-0000-0000FD640000}"/>
    <cellStyle name="40% - Accent2 7 4 2 2 5" xfId="16767" xr:uid="{00000000-0005-0000-0000-0000FE640000}"/>
    <cellStyle name="40% - Accent2 7 4 2 3" xfId="21630" xr:uid="{00000000-0005-0000-0000-0000FF640000}"/>
    <cellStyle name="40% - Accent2 7 4 2 4" xfId="31355" xr:uid="{00000000-0005-0000-0000-000000650000}"/>
    <cellStyle name="40% - Accent2 7 4 2 5" xfId="41080" xr:uid="{00000000-0005-0000-0000-000001650000}"/>
    <cellStyle name="40% - Accent2 7 4 2 6" xfId="11905" xr:uid="{00000000-0005-0000-0000-000002650000}"/>
    <cellStyle name="40% - Accent2 7 4 3" xfId="3799" xr:uid="{00000000-0005-0000-0000-000003650000}"/>
    <cellStyle name="40% - Accent2 7 4 3 2" xfId="8661" xr:uid="{00000000-0005-0000-0000-000004650000}"/>
    <cellStyle name="40% - Accent2 7 4 3 2 2" xfId="28112" xr:uid="{00000000-0005-0000-0000-000005650000}"/>
    <cellStyle name="40% - Accent2 7 4 3 2 3" xfId="37837" xr:uid="{00000000-0005-0000-0000-000006650000}"/>
    <cellStyle name="40% - Accent2 7 4 3 2 4" xfId="47562" xr:uid="{00000000-0005-0000-0000-000007650000}"/>
    <cellStyle name="40% - Accent2 7 4 3 2 5" xfId="18387" xr:uid="{00000000-0005-0000-0000-000008650000}"/>
    <cellStyle name="40% - Accent2 7 4 3 3" xfId="23250" xr:uid="{00000000-0005-0000-0000-000009650000}"/>
    <cellStyle name="40% - Accent2 7 4 3 4" xfId="32975" xr:uid="{00000000-0005-0000-0000-00000A650000}"/>
    <cellStyle name="40% - Accent2 7 4 3 5" xfId="42700" xr:uid="{00000000-0005-0000-0000-00000B650000}"/>
    <cellStyle name="40% - Accent2 7 4 3 6" xfId="13525" xr:uid="{00000000-0005-0000-0000-00000C650000}"/>
    <cellStyle name="40% - Accent2 7 4 4" xfId="5421" xr:uid="{00000000-0005-0000-0000-00000D650000}"/>
    <cellStyle name="40% - Accent2 7 4 4 2" xfId="24872" xr:uid="{00000000-0005-0000-0000-00000E650000}"/>
    <cellStyle name="40% - Accent2 7 4 4 3" xfId="34597" xr:uid="{00000000-0005-0000-0000-00000F650000}"/>
    <cellStyle name="40% - Accent2 7 4 4 4" xfId="44322" xr:uid="{00000000-0005-0000-0000-000010650000}"/>
    <cellStyle name="40% - Accent2 7 4 4 5" xfId="15147" xr:uid="{00000000-0005-0000-0000-000011650000}"/>
    <cellStyle name="40% - Accent2 7 4 5" xfId="20010" xr:uid="{00000000-0005-0000-0000-000012650000}"/>
    <cellStyle name="40% - Accent2 7 4 6" xfId="29735" xr:uid="{00000000-0005-0000-0000-000013650000}"/>
    <cellStyle name="40% - Accent2 7 4 7" xfId="39460" xr:uid="{00000000-0005-0000-0000-000014650000}"/>
    <cellStyle name="40% - Accent2 7 4 8" xfId="10285" xr:uid="{00000000-0005-0000-0000-000015650000}"/>
    <cellStyle name="40% - Accent2 7 5" xfId="1819" xr:uid="{00000000-0005-0000-0000-000016650000}"/>
    <cellStyle name="40% - Accent2 7 5 2" xfId="6681" xr:uid="{00000000-0005-0000-0000-000017650000}"/>
    <cellStyle name="40% - Accent2 7 5 2 2" xfId="26132" xr:uid="{00000000-0005-0000-0000-000018650000}"/>
    <cellStyle name="40% - Accent2 7 5 2 3" xfId="35857" xr:uid="{00000000-0005-0000-0000-000019650000}"/>
    <cellStyle name="40% - Accent2 7 5 2 4" xfId="45582" xr:uid="{00000000-0005-0000-0000-00001A650000}"/>
    <cellStyle name="40% - Accent2 7 5 2 5" xfId="16407" xr:uid="{00000000-0005-0000-0000-00001B650000}"/>
    <cellStyle name="40% - Accent2 7 5 3" xfId="21270" xr:uid="{00000000-0005-0000-0000-00001C650000}"/>
    <cellStyle name="40% - Accent2 7 5 4" xfId="30995" xr:uid="{00000000-0005-0000-0000-00001D650000}"/>
    <cellStyle name="40% - Accent2 7 5 5" xfId="40720" xr:uid="{00000000-0005-0000-0000-00001E650000}"/>
    <cellStyle name="40% - Accent2 7 5 6" xfId="11545" xr:uid="{00000000-0005-0000-0000-00001F650000}"/>
    <cellStyle name="40% - Accent2 7 6" xfId="3439" xr:uid="{00000000-0005-0000-0000-000020650000}"/>
    <cellStyle name="40% - Accent2 7 6 2" xfId="8301" xr:uid="{00000000-0005-0000-0000-000021650000}"/>
    <cellStyle name="40% - Accent2 7 6 2 2" xfId="27752" xr:uid="{00000000-0005-0000-0000-000022650000}"/>
    <cellStyle name="40% - Accent2 7 6 2 3" xfId="37477" xr:uid="{00000000-0005-0000-0000-000023650000}"/>
    <cellStyle name="40% - Accent2 7 6 2 4" xfId="47202" xr:uid="{00000000-0005-0000-0000-000024650000}"/>
    <cellStyle name="40% - Accent2 7 6 2 5" xfId="18027" xr:uid="{00000000-0005-0000-0000-000025650000}"/>
    <cellStyle name="40% - Accent2 7 6 3" xfId="22890" xr:uid="{00000000-0005-0000-0000-000026650000}"/>
    <cellStyle name="40% - Accent2 7 6 4" xfId="32615" xr:uid="{00000000-0005-0000-0000-000027650000}"/>
    <cellStyle name="40% - Accent2 7 6 5" xfId="42340" xr:uid="{00000000-0005-0000-0000-000028650000}"/>
    <cellStyle name="40% - Accent2 7 6 6" xfId="13165" xr:uid="{00000000-0005-0000-0000-000029650000}"/>
    <cellStyle name="40% - Accent2 7 7" xfId="5061" xr:uid="{00000000-0005-0000-0000-00002A650000}"/>
    <cellStyle name="40% - Accent2 7 7 2" xfId="24512" xr:uid="{00000000-0005-0000-0000-00002B650000}"/>
    <cellStyle name="40% - Accent2 7 7 3" xfId="34237" xr:uid="{00000000-0005-0000-0000-00002C650000}"/>
    <cellStyle name="40% - Accent2 7 7 4" xfId="43962" xr:uid="{00000000-0005-0000-0000-00002D650000}"/>
    <cellStyle name="40% - Accent2 7 7 5" xfId="14787" xr:uid="{00000000-0005-0000-0000-00002E650000}"/>
    <cellStyle name="40% - Accent2 7 8" xfId="19650" xr:uid="{00000000-0005-0000-0000-00002F650000}"/>
    <cellStyle name="40% - Accent2 7 9" xfId="29375" xr:uid="{00000000-0005-0000-0000-000030650000}"/>
    <cellStyle name="40% - Accent2 8" xfId="412" xr:uid="{00000000-0005-0000-0000-000031650000}"/>
    <cellStyle name="40% - Accent2 9" xfId="810" xr:uid="{00000000-0005-0000-0000-000032650000}"/>
    <cellStyle name="40% - Accent2 9 2" xfId="2449" xr:uid="{00000000-0005-0000-0000-000033650000}"/>
    <cellStyle name="40% - Accent2 9 2 2" xfId="7311" xr:uid="{00000000-0005-0000-0000-000034650000}"/>
    <cellStyle name="40% - Accent2 9 2 2 2" xfId="26762" xr:uid="{00000000-0005-0000-0000-000035650000}"/>
    <cellStyle name="40% - Accent2 9 2 2 3" xfId="36487" xr:uid="{00000000-0005-0000-0000-000036650000}"/>
    <cellStyle name="40% - Accent2 9 2 2 4" xfId="46212" xr:uid="{00000000-0005-0000-0000-000037650000}"/>
    <cellStyle name="40% - Accent2 9 2 2 5" xfId="17037" xr:uid="{00000000-0005-0000-0000-000038650000}"/>
    <cellStyle name="40% - Accent2 9 2 3" xfId="21900" xr:uid="{00000000-0005-0000-0000-000039650000}"/>
    <cellStyle name="40% - Accent2 9 2 4" xfId="31625" xr:uid="{00000000-0005-0000-0000-00003A650000}"/>
    <cellStyle name="40% - Accent2 9 2 5" xfId="41350" xr:uid="{00000000-0005-0000-0000-00003B650000}"/>
    <cellStyle name="40% - Accent2 9 2 6" xfId="12175" xr:uid="{00000000-0005-0000-0000-00003C650000}"/>
    <cellStyle name="40% - Accent2 9 3" xfId="4069" xr:uid="{00000000-0005-0000-0000-00003D650000}"/>
    <cellStyle name="40% - Accent2 9 3 2" xfId="8931" xr:uid="{00000000-0005-0000-0000-00003E650000}"/>
    <cellStyle name="40% - Accent2 9 3 2 2" xfId="28382" xr:uid="{00000000-0005-0000-0000-00003F650000}"/>
    <cellStyle name="40% - Accent2 9 3 2 3" xfId="38107" xr:uid="{00000000-0005-0000-0000-000040650000}"/>
    <cellStyle name="40% - Accent2 9 3 2 4" xfId="47832" xr:uid="{00000000-0005-0000-0000-000041650000}"/>
    <cellStyle name="40% - Accent2 9 3 2 5" xfId="18657" xr:uid="{00000000-0005-0000-0000-000042650000}"/>
    <cellStyle name="40% - Accent2 9 3 3" xfId="23520" xr:uid="{00000000-0005-0000-0000-000043650000}"/>
    <cellStyle name="40% - Accent2 9 3 4" xfId="33245" xr:uid="{00000000-0005-0000-0000-000044650000}"/>
    <cellStyle name="40% - Accent2 9 3 5" xfId="42970" xr:uid="{00000000-0005-0000-0000-000045650000}"/>
    <cellStyle name="40% - Accent2 9 3 6" xfId="13795" xr:uid="{00000000-0005-0000-0000-000046650000}"/>
    <cellStyle name="40% - Accent2 9 4" xfId="5691" xr:uid="{00000000-0005-0000-0000-000047650000}"/>
    <cellStyle name="40% - Accent2 9 4 2" xfId="25142" xr:uid="{00000000-0005-0000-0000-000048650000}"/>
    <cellStyle name="40% - Accent2 9 4 3" xfId="34867" xr:uid="{00000000-0005-0000-0000-000049650000}"/>
    <cellStyle name="40% - Accent2 9 4 4" xfId="44592" xr:uid="{00000000-0005-0000-0000-00004A650000}"/>
    <cellStyle name="40% - Accent2 9 4 5" xfId="15417" xr:uid="{00000000-0005-0000-0000-00004B650000}"/>
    <cellStyle name="40% - Accent2 9 5" xfId="20280" xr:uid="{00000000-0005-0000-0000-00004C650000}"/>
    <cellStyle name="40% - Accent2 9 6" xfId="30005" xr:uid="{00000000-0005-0000-0000-00004D650000}"/>
    <cellStyle name="40% - Accent2 9 7" xfId="39730" xr:uid="{00000000-0005-0000-0000-00004E650000}"/>
    <cellStyle name="40% - Accent2 9 8" xfId="10555" xr:uid="{00000000-0005-0000-0000-00004F650000}"/>
    <cellStyle name="40% - Accent3" xfId="39" builtinId="39" customBuiltin="1"/>
    <cellStyle name="40% - Accent3 10" xfId="1190" xr:uid="{00000000-0005-0000-0000-000051650000}"/>
    <cellStyle name="40% - Accent3 10 2" xfId="2811" xr:uid="{00000000-0005-0000-0000-000052650000}"/>
    <cellStyle name="40% - Accent3 10 2 2" xfId="7673" xr:uid="{00000000-0005-0000-0000-000053650000}"/>
    <cellStyle name="40% - Accent3 10 2 2 2" xfId="27124" xr:uid="{00000000-0005-0000-0000-000054650000}"/>
    <cellStyle name="40% - Accent3 10 2 2 3" xfId="36849" xr:uid="{00000000-0005-0000-0000-000055650000}"/>
    <cellStyle name="40% - Accent3 10 2 2 4" xfId="46574" xr:uid="{00000000-0005-0000-0000-000056650000}"/>
    <cellStyle name="40% - Accent3 10 2 2 5" xfId="17399" xr:uid="{00000000-0005-0000-0000-000057650000}"/>
    <cellStyle name="40% - Accent3 10 2 3" xfId="22262" xr:uid="{00000000-0005-0000-0000-000058650000}"/>
    <cellStyle name="40% - Accent3 10 2 4" xfId="31987" xr:uid="{00000000-0005-0000-0000-000059650000}"/>
    <cellStyle name="40% - Accent3 10 2 5" xfId="41712" xr:uid="{00000000-0005-0000-0000-00005A650000}"/>
    <cellStyle name="40% - Accent3 10 2 6" xfId="12537" xr:uid="{00000000-0005-0000-0000-00005B650000}"/>
    <cellStyle name="40% - Accent3 10 3" xfId="4431" xr:uid="{00000000-0005-0000-0000-00005C650000}"/>
    <cellStyle name="40% - Accent3 10 3 2" xfId="9293" xr:uid="{00000000-0005-0000-0000-00005D650000}"/>
    <cellStyle name="40% - Accent3 10 3 2 2" xfId="28744" xr:uid="{00000000-0005-0000-0000-00005E650000}"/>
    <cellStyle name="40% - Accent3 10 3 2 3" xfId="38469" xr:uid="{00000000-0005-0000-0000-00005F650000}"/>
    <cellStyle name="40% - Accent3 10 3 2 4" xfId="48194" xr:uid="{00000000-0005-0000-0000-000060650000}"/>
    <cellStyle name="40% - Accent3 10 3 2 5" xfId="19019" xr:uid="{00000000-0005-0000-0000-000061650000}"/>
    <cellStyle name="40% - Accent3 10 3 3" xfId="23882" xr:uid="{00000000-0005-0000-0000-000062650000}"/>
    <cellStyle name="40% - Accent3 10 3 4" xfId="33607" xr:uid="{00000000-0005-0000-0000-000063650000}"/>
    <cellStyle name="40% - Accent3 10 3 5" xfId="43332" xr:uid="{00000000-0005-0000-0000-000064650000}"/>
    <cellStyle name="40% - Accent3 10 3 6" xfId="14157" xr:uid="{00000000-0005-0000-0000-000065650000}"/>
    <cellStyle name="40% - Accent3 10 4" xfId="6053" xr:uid="{00000000-0005-0000-0000-000066650000}"/>
    <cellStyle name="40% - Accent3 10 4 2" xfId="25504" xr:uid="{00000000-0005-0000-0000-000067650000}"/>
    <cellStyle name="40% - Accent3 10 4 3" xfId="35229" xr:uid="{00000000-0005-0000-0000-000068650000}"/>
    <cellStyle name="40% - Accent3 10 4 4" xfId="44954" xr:uid="{00000000-0005-0000-0000-000069650000}"/>
    <cellStyle name="40% - Accent3 10 4 5" xfId="15779" xr:uid="{00000000-0005-0000-0000-00006A650000}"/>
    <cellStyle name="40% - Accent3 10 5" xfId="20642" xr:uid="{00000000-0005-0000-0000-00006B650000}"/>
    <cellStyle name="40% - Accent3 10 6" xfId="30367" xr:uid="{00000000-0005-0000-0000-00006C650000}"/>
    <cellStyle name="40% - Accent3 10 7" xfId="40092" xr:uid="{00000000-0005-0000-0000-00006D650000}"/>
    <cellStyle name="40% - Accent3 10 8" xfId="10917" xr:uid="{00000000-0005-0000-0000-00006E650000}"/>
    <cellStyle name="40% - Accent3 11" xfId="1280" xr:uid="{00000000-0005-0000-0000-00006F650000}"/>
    <cellStyle name="40% - Accent3 11 2" xfId="2901" xr:uid="{00000000-0005-0000-0000-000070650000}"/>
    <cellStyle name="40% - Accent3 11 2 2" xfId="7763" xr:uid="{00000000-0005-0000-0000-000071650000}"/>
    <cellStyle name="40% - Accent3 11 2 2 2" xfId="27214" xr:uid="{00000000-0005-0000-0000-000072650000}"/>
    <cellStyle name="40% - Accent3 11 2 2 3" xfId="36939" xr:uid="{00000000-0005-0000-0000-000073650000}"/>
    <cellStyle name="40% - Accent3 11 2 2 4" xfId="46664" xr:uid="{00000000-0005-0000-0000-000074650000}"/>
    <cellStyle name="40% - Accent3 11 2 2 5" xfId="17489" xr:uid="{00000000-0005-0000-0000-000075650000}"/>
    <cellStyle name="40% - Accent3 11 2 3" xfId="22352" xr:uid="{00000000-0005-0000-0000-000076650000}"/>
    <cellStyle name="40% - Accent3 11 2 4" xfId="32077" xr:uid="{00000000-0005-0000-0000-000077650000}"/>
    <cellStyle name="40% - Accent3 11 2 5" xfId="41802" xr:uid="{00000000-0005-0000-0000-000078650000}"/>
    <cellStyle name="40% - Accent3 11 2 6" xfId="12627" xr:uid="{00000000-0005-0000-0000-000079650000}"/>
    <cellStyle name="40% - Accent3 11 3" xfId="4521" xr:uid="{00000000-0005-0000-0000-00007A650000}"/>
    <cellStyle name="40% - Accent3 11 3 2" xfId="9383" xr:uid="{00000000-0005-0000-0000-00007B650000}"/>
    <cellStyle name="40% - Accent3 11 3 2 2" xfId="28834" xr:uid="{00000000-0005-0000-0000-00007C650000}"/>
    <cellStyle name="40% - Accent3 11 3 2 3" xfId="38559" xr:uid="{00000000-0005-0000-0000-00007D650000}"/>
    <cellStyle name="40% - Accent3 11 3 2 4" xfId="48284" xr:uid="{00000000-0005-0000-0000-00007E650000}"/>
    <cellStyle name="40% - Accent3 11 3 2 5" xfId="19109" xr:uid="{00000000-0005-0000-0000-00007F650000}"/>
    <cellStyle name="40% - Accent3 11 3 3" xfId="23972" xr:uid="{00000000-0005-0000-0000-000080650000}"/>
    <cellStyle name="40% - Accent3 11 3 4" xfId="33697" xr:uid="{00000000-0005-0000-0000-000081650000}"/>
    <cellStyle name="40% - Accent3 11 3 5" xfId="43422" xr:uid="{00000000-0005-0000-0000-000082650000}"/>
    <cellStyle name="40% - Accent3 11 3 6" xfId="14247" xr:uid="{00000000-0005-0000-0000-000083650000}"/>
    <cellStyle name="40% - Accent3 11 4" xfId="6143" xr:uid="{00000000-0005-0000-0000-000084650000}"/>
    <cellStyle name="40% - Accent3 11 4 2" xfId="25594" xr:uid="{00000000-0005-0000-0000-000085650000}"/>
    <cellStyle name="40% - Accent3 11 4 3" xfId="35319" xr:uid="{00000000-0005-0000-0000-000086650000}"/>
    <cellStyle name="40% - Accent3 11 4 4" xfId="45044" xr:uid="{00000000-0005-0000-0000-000087650000}"/>
    <cellStyle name="40% - Accent3 11 4 5" xfId="15869" xr:uid="{00000000-0005-0000-0000-000088650000}"/>
    <cellStyle name="40% - Accent3 11 5" xfId="20732" xr:uid="{00000000-0005-0000-0000-000089650000}"/>
    <cellStyle name="40% - Accent3 11 6" xfId="30457" xr:uid="{00000000-0005-0000-0000-00008A650000}"/>
    <cellStyle name="40% - Accent3 11 7" xfId="40182" xr:uid="{00000000-0005-0000-0000-00008B650000}"/>
    <cellStyle name="40% - Accent3 11 8" xfId="11007" xr:uid="{00000000-0005-0000-0000-00008C650000}"/>
    <cellStyle name="40% - Accent3 12" xfId="451" xr:uid="{00000000-0005-0000-0000-00008D650000}"/>
    <cellStyle name="40% - Accent3 12 2" xfId="2091" xr:uid="{00000000-0005-0000-0000-00008E650000}"/>
    <cellStyle name="40% - Accent3 12 2 2" xfId="6953" xr:uid="{00000000-0005-0000-0000-00008F650000}"/>
    <cellStyle name="40% - Accent3 12 2 2 2" xfId="26404" xr:uid="{00000000-0005-0000-0000-000090650000}"/>
    <cellStyle name="40% - Accent3 12 2 2 3" xfId="36129" xr:uid="{00000000-0005-0000-0000-000091650000}"/>
    <cellStyle name="40% - Accent3 12 2 2 4" xfId="45854" xr:uid="{00000000-0005-0000-0000-000092650000}"/>
    <cellStyle name="40% - Accent3 12 2 2 5" xfId="16679" xr:uid="{00000000-0005-0000-0000-000093650000}"/>
    <cellStyle name="40% - Accent3 12 2 3" xfId="21542" xr:uid="{00000000-0005-0000-0000-000094650000}"/>
    <cellStyle name="40% - Accent3 12 2 4" xfId="31267" xr:uid="{00000000-0005-0000-0000-000095650000}"/>
    <cellStyle name="40% - Accent3 12 2 5" xfId="40992" xr:uid="{00000000-0005-0000-0000-000096650000}"/>
    <cellStyle name="40% - Accent3 12 2 6" xfId="11817" xr:uid="{00000000-0005-0000-0000-000097650000}"/>
    <cellStyle name="40% - Accent3 12 3" xfId="3711" xr:uid="{00000000-0005-0000-0000-000098650000}"/>
    <cellStyle name="40% - Accent3 12 3 2" xfId="8573" xr:uid="{00000000-0005-0000-0000-000099650000}"/>
    <cellStyle name="40% - Accent3 12 3 2 2" xfId="28024" xr:uid="{00000000-0005-0000-0000-00009A650000}"/>
    <cellStyle name="40% - Accent3 12 3 2 3" xfId="37749" xr:uid="{00000000-0005-0000-0000-00009B650000}"/>
    <cellStyle name="40% - Accent3 12 3 2 4" xfId="47474" xr:uid="{00000000-0005-0000-0000-00009C650000}"/>
    <cellStyle name="40% - Accent3 12 3 2 5" xfId="18299" xr:uid="{00000000-0005-0000-0000-00009D650000}"/>
    <cellStyle name="40% - Accent3 12 3 3" xfId="23162" xr:uid="{00000000-0005-0000-0000-00009E650000}"/>
    <cellStyle name="40% - Accent3 12 3 4" xfId="32887" xr:uid="{00000000-0005-0000-0000-00009F650000}"/>
    <cellStyle name="40% - Accent3 12 3 5" xfId="42612" xr:uid="{00000000-0005-0000-0000-0000A0650000}"/>
    <cellStyle name="40% - Accent3 12 3 6" xfId="13437" xr:uid="{00000000-0005-0000-0000-0000A1650000}"/>
    <cellStyle name="40% - Accent3 12 4" xfId="5333" xr:uid="{00000000-0005-0000-0000-0000A2650000}"/>
    <cellStyle name="40% - Accent3 12 4 2" xfId="24784" xr:uid="{00000000-0005-0000-0000-0000A3650000}"/>
    <cellStyle name="40% - Accent3 12 4 3" xfId="34509" xr:uid="{00000000-0005-0000-0000-0000A4650000}"/>
    <cellStyle name="40% - Accent3 12 4 4" xfId="44234" xr:uid="{00000000-0005-0000-0000-0000A5650000}"/>
    <cellStyle name="40% - Accent3 12 4 5" xfId="15059" xr:uid="{00000000-0005-0000-0000-0000A6650000}"/>
    <cellStyle name="40% - Accent3 12 5" xfId="19922" xr:uid="{00000000-0005-0000-0000-0000A7650000}"/>
    <cellStyle name="40% - Accent3 12 6" xfId="29647" xr:uid="{00000000-0005-0000-0000-0000A8650000}"/>
    <cellStyle name="40% - Accent3 12 7" xfId="39372" xr:uid="{00000000-0005-0000-0000-0000A9650000}"/>
    <cellStyle name="40% - Accent3 12 8" xfId="10197" xr:uid="{00000000-0005-0000-0000-0000AA650000}"/>
    <cellStyle name="40% - Accent3 13" xfId="1640" xr:uid="{00000000-0005-0000-0000-0000AB650000}"/>
    <cellStyle name="40% - Accent3 13 2" xfId="3261" xr:uid="{00000000-0005-0000-0000-0000AC650000}"/>
    <cellStyle name="40% - Accent3 13 2 2" xfId="8123" xr:uid="{00000000-0005-0000-0000-0000AD650000}"/>
    <cellStyle name="40% - Accent3 13 2 2 2" xfId="27574" xr:uid="{00000000-0005-0000-0000-0000AE650000}"/>
    <cellStyle name="40% - Accent3 13 2 2 3" xfId="37299" xr:uid="{00000000-0005-0000-0000-0000AF650000}"/>
    <cellStyle name="40% - Accent3 13 2 2 4" xfId="47024" xr:uid="{00000000-0005-0000-0000-0000B0650000}"/>
    <cellStyle name="40% - Accent3 13 2 2 5" xfId="17849" xr:uid="{00000000-0005-0000-0000-0000B1650000}"/>
    <cellStyle name="40% - Accent3 13 2 3" xfId="22712" xr:uid="{00000000-0005-0000-0000-0000B2650000}"/>
    <cellStyle name="40% - Accent3 13 2 4" xfId="32437" xr:uid="{00000000-0005-0000-0000-0000B3650000}"/>
    <cellStyle name="40% - Accent3 13 2 5" xfId="42162" xr:uid="{00000000-0005-0000-0000-0000B4650000}"/>
    <cellStyle name="40% - Accent3 13 2 6" xfId="12987" xr:uid="{00000000-0005-0000-0000-0000B5650000}"/>
    <cellStyle name="40% - Accent3 13 3" xfId="4881" xr:uid="{00000000-0005-0000-0000-0000B6650000}"/>
    <cellStyle name="40% - Accent3 13 3 2" xfId="9743" xr:uid="{00000000-0005-0000-0000-0000B7650000}"/>
    <cellStyle name="40% - Accent3 13 3 2 2" xfId="29194" xr:uid="{00000000-0005-0000-0000-0000B8650000}"/>
    <cellStyle name="40% - Accent3 13 3 2 3" xfId="38919" xr:uid="{00000000-0005-0000-0000-0000B9650000}"/>
    <cellStyle name="40% - Accent3 13 3 2 4" xfId="48644" xr:uid="{00000000-0005-0000-0000-0000BA650000}"/>
    <cellStyle name="40% - Accent3 13 3 2 5" xfId="19469" xr:uid="{00000000-0005-0000-0000-0000BB650000}"/>
    <cellStyle name="40% - Accent3 13 3 3" xfId="24332" xr:uid="{00000000-0005-0000-0000-0000BC650000}"/>
    <cellStyle name="40% - Accent3 13 3 4" xfId="34057" xr:uid="{00000000-0005-0000-0000-0000BD650000}"/>
    <cellStyle name="40% - Accent3 13 3 5" xfId="43782" xr:uid="{00000000-0005-0000-0000-0000BE650000}"/>
    <cellStyle name="40% - Accent3 13 3 6" xfId="14607" xr:uid="{00000000-0005-0000-0000-0000BF650000}"/>
    <cellStyle name="40% - Accent3 13 4" xfId="6503" xr:uid="{00000000-0005-0000-0000-0000C0650000}"/>
    <cellStyle name="40% - Accent3 13 4 2" xfId="25954" xr:uid="{00000000-0005-0000-0000-0000C1650000}"/>
    <cellStyle name="40% - Accent3 13 4 3" xfId="35679" xr:uid="{00000000-0005-0000-0000-0000C2650000}"/>
    <cellStyle name="40% - Accent3 13 4 4" xfId="45404" xr:uid="{00000000-0005-0000-0000-0000C3650000}"/>
    <cellStyle name="40% - Accent3 13 4 5" xfId="16229" xr:uid="{00000000-0005-0000-0000-0000C4650000}"/>
    <cellStyle name="40% - Accent3 13 5" xfId="21092" xr:uid="{00000000-0005-0000-0000-0000C5650000}"/>
    <cellStyle name="40% - Accent3 13 6" xfId="30817" xr:uid="{00000000-0005-0000-0000-0000C6650000}"/>
    <cellStyle name="40% - Accent3 13 7" xfId="40542" xr:uid="{00000000-0005-0000-0000-0000C7650000}"/>
    <cellStyle name="40% - Accent3 13 8" xfId="11367" xr:uid="{00000000-0005-0000-0000-0000C8650000}"/>
    <cellStyle name="40% - Accent3 14" xfId="1731" xr:uid="{00000000-0005-0000-0000-0000C9650000}"/>
    <cellStyle name="40% - Accent3 14 2" xfId="6593" xr:uid="{00000000-0005-0000-0000-0000CA650000}"/>
    <cellStyle name="40% - Accent3 14 2 2" xfId="26044" xr:uid="{00000000-0005-0000-0000-0000CB650000}"/>
    <cellStyle name="40% - Accent3 14 2 3" xfId="35769" xr:uid="{00000000-0005-0000-0000-0000CC650000}"/>
    <cellStyle name="40% - Accent3 14 2 4" xfId="45494" xr:uid="{00000000-0005-0000-0000-0000CD650000}"/>
    <cellStyle name="40% - Accent3 14 2 5" xfId="16319" xr:uid="{00000000-0005-0000-0000-0000CE650000}"/>
    <cellStyle name="40% - Accent3 14 3" xfId="21182" xr:uid="{00000000-0005-0000-0000-0000CF650000}"/>
    <cellStyle name="40% - Accent3 14 4" xfId="30907" xr:uid="{00000000-0005-0000-0000-0000D0650000}"/>
    <cellStyle name="40% - Accent3 14 5" xfId="40632" xr:uid="{00000000-0005-0000-0000-0000D1650000}"/>
    <cellStyle name="40% - Accent3 14 6" xfId="11457" xr:uid="{00000000-0005-0000-0000-0000D2650000}"/>
    <cellStyle name="40% - Accent3 15" xfId="3351" xr:uid="{00000000-0005-0000-0000-0000D3650000}"/>
    <cellStyle name="40% - Accent3 15 2" xfId="8213" xr:uid="{00000000-0005-0000-0000-0000D4650000}"/>
    <cellStyle name="40% - Accent3 15 2 2" xfId="27664" xr:uid="{00000000-0005-0000-0000-0000D5650000}"/>
    <cellStyle name="40% - Accent3 15 2 3" xfId="37389" xr:uid="{00000000-0005-0000-0000-0000D6650000}"/>
    <cellStyle name="40% - Accent3 15 2 4" xfId="47114" xr:uid="{00000000-0005-0000-0000-0000D7650000}"/>
    <cellStyle name="40% - Accent3 15 2 5" xfId="17939" xr:uid="{00000000-0005-0000-0000-0000D8650000}"/>
    <cellStyle name="40% - Accent3 15 3" xfId="22802" xr:uid="{00000000-0005-0000-0000-0000D9650000}"/>
    <cellStyle name="40% - Accent3 15 4" xfId="32527" xr:uid="{00000000-0005-0000-0000-0000DA650000}"/>
    <cellStyle name="40% - Accent3 15 5" xfId="42252" xr:uid="{00000000-0005-0000-0000-0000DB650000}"/>
    <cellStyle name="40% - Accent3 15 6" xfId="13077" xr:uid="{00000000-0005-0000-0000-0000DC650000}"/>
    <cellStyle name="40% - Accent3 16" xfId="4973" xr:uid="{00000000-0005-0000-0000-0000DD650000}"/>
    <cellStyle name="40% - Accent3 16 2" xfId="24424" xr:uid="{00000000-0005-0000-0000-0000DE650000}"/>
    <cellStyle name="40% - Accent3 16 3" xfId="34149" xr:uid="{00000000-0005-0000-0000-0000DF650000}"/>
    <cellStyle name="40% - Accent3 16 4" xfId="43874" xr:uid="{00000000-0005-0000-0000-0000E0650000}"/>
    <cellStyle name="40% - Accent3 16 5" xfId="14699" xr:uid="{00000000-0005-0000-0000-0000E1650000}"/>
    <cellStyle name="40% - Accent3 17" xfId="19562" xr:uid="{00000000-0005-0000-0000-0000E2650000}"/>
    <cellStyle name="40% - Accent3 18" xfId="29287" xr:uid="{00000000-0005-0000-0000-0000E3650000}"/>
    <cellStyle name="40% - Accent3 19" xfId="39012" xr:uid="{00000000-0005-0000-0000-0000E4650000}"/>
    <cellStyle name="40% - Accent3 2" xfId="60" xr:uid="{00000000-0005-0000-0000-0000E5650000}"/>
    <cellStyle name="40% - Accent3 2 10" xfId="465" xr:uid="{00000000-0005-0000-0000-0000E6650000}"/>
    <cellStyle name="40% - Accent3 2 10 2" xfId="2105" xr:uid="{00000000-0005-0000-0000-0000E7650000}"/>
    <cellStyle name="40% - Accent3 2 10 2 2" xfId="6967" xr:uid="{00000000-0005-0000-0000-0000E8650000}"/>
    <cellStyle name="40% - Accent3 2 10 2 2 2" xfId="26418" xr:uid="{00000000-0005-0000-0000-0000E9650000}"/>
    <cellStyle name="40% - Accent3 2 10 2 2 3" xfId="36143" xr:uid="{00000000-0005-0000-0000-0000EA650000}"/>
    <cellStyle name="40% - Accent3 2 10 2 2 4" xfId="45868" xr:uid="{00000000-0005-0000-0000-0000EB650000}"/>
    <cellStyle name="40% - Accent3 2 10 2 2 5" xfId="16693" xr:uid="{00000000-0005-0000-0000-0000EC650000}"/>
    <cellStyle name="40% - Accent3 2 10 2 3" xfId="21556" xr:uid="{00000000-0005-0000-0000-0000ED650000}"/>
    <cellStyle name="40% - Accent3 2 10 2 4" xfId="31281" xr:uid="{00000000-0005-0000-0000-0000EE650000}"/>
    <cellStyle name="40% - Accent3 2 10 2 5" xfId="41006" xr:uid="{00000000-0005-0000-0000-0000EF650000}"/>
    <cellStyle name="40% - Accent3 2 10 2 6" xfId="11831" xr:uid="{00000000-0005-0000-0000-0000F0650000}"/>
    <cellStyle name="40% - Accent3 2 10 3" xfId="3725" xr:uid="{00000000-0005-0000-0000-0000F1650000}"/>
    <cellStyle name="40% - Accent3 2 10 3 2" xfId="8587" xr:uid="{00000000-0005-0000-0000-0000F2650000}"/>
    <cellStyle name="40% - Accent3 2 10 3 2 2" xfId="28038" xr:uid="{00000000-0005-0000-0000-0000F3650000}"/>
    <cellStyle name="40% - Accent3 2 10 3 2 3" xfId="37763" xr:uid="{00000000-0005-0000-0000-0000F4650000}"/>
    <cellStyle name="40% - Accent3 2 10 3 2 4" xfId="47488" xr:uid="{00000000-0005-0000-0000-0000F5650000}"/>
    <cellStyle name="40% - Accent3 2 10 3 2 5" xfId="18313" xr:uid="{00000000-0005-0000-0000-0000F6650000}"/>
    <cellStyle name="40% - Accent3 2 10 3 3" xfId="23176" xr:uid="{00000000-0005-0000-0000-0000F7650000}"/>
    <cellStyle name="40% - Accent3 2 10 3 4" xfId="32901" xr:uid="{00000000-0005-0000-0000-0000F8650000}"/>
    <cellStyle name="40% - Accent3 2 10 3 5" xfId="42626" xr:uid="{00000000-0005-0000-0000-0000F9650000}"/>
    <cellStyle name="40% - Accent3 2 10 3 6" xfId="13451" xr:uid="{00000000-0005-0000-0000-0000FA650000}"/>
    <cellStyle name="40% - Accent3 2 10 4" xfId="5347" xr:uid="{00000000-0005-0000-0000-0000FB650000}"/>
    <cellStyle name="40% - Accent3 2 10 4 2" xfId="24798" xr:uid="{00000000-0005-0000-0000-0000FC650000}"/>
    <cellStyle name="40% - Accent3 2 10 4 3" xfId="34523" xr:uid="{00000000-0005-0000-0000-0000FD650000}"/>
    <cellStyle name="40% - Accent3 2 10 4 4" xfId="44248" xr:uid="{00000000-0005-0000-0000-0000FE650000}"/>
    <cellStyle name="40% - Accent3 2 10 4 5" xfId="15073" xr:uid="{00000000-0005-0000-0000-0000FF650000}"/>
    <cellStyle name="40% - Accent3 2 10 5" xfId="19936" xr:uid="{00000000-0005-0000-0000-000000660000}"/>
    <cellStyle name="40% - Accent3 2 10 6" xfId="29661" xr:uid="{00000000-0005-0000-0000-000001660000}"/>
    <cellStyle name="40% - Accent3 2 10 7" xfId="39386" xr:uid="{00000000-0005-0000-0000-000002660000}"/>
    <cellStyle name="40% - Accent3 2 10 8" xfId="10211" xr:uid="{00000000-0005-0000-0000-000003660000}"/>
    <cellStyle name="40% - Accent3 2 11" xfId="1654" xr:uid="{00000000-0005-0000-0000-000004660000}"/>
    <cellStyle name="40% - Accent3 2 11 2" xfId="3275" xr:uid="{00000000-0005-0000-0000-000005660000}"/>
    <cellStyle name="40% - Accent3 2 11 2 2" xfId="8137" xr:uid="{00000000-0005-0000-0000-000006660000}"/>
    <cellStyle name="40% - Accent3 2 11 2 2 2" xfId="27588" xr:uid="{00000000-0005-0000-0000-000007660000}"/>
    <cellStyle name="40% - Accent3 2 11 2 2 3" xfId="37313" xr:uid="{00000000-0005-0000-0000-000008660000}"/>
    <cellStyle name="40% - Accent3 2 11 2 2 4" xfId="47038" xr:uid="{00000000-0005-0000-0000-000009660000}"/>
    <cellStyle name="40% - Accent3 2 11 2 2 5" xfId="17863" xr:uid="{00000000-0005-0000-0000-00000A660000}"/>
    <cellStyle name="40% - Accent3 2 11 2 3" xfId="22726" xr:uid="{00000000-0005-0000-0000-00000B660000}"/>
    <cellStyle name="40% - Accent3 2 11 2 4" xfId="32451" xr:uid="{00000000-0005-0000-0000-00000C660000}"/>
    <cellStyle name="40% - Accent3 2 11 2 5" xfId="42176" xr:uid="{00000000-0005-0000-0000-00000D660000}"/>
    <cellStyle name="40% - Accent3 2 11 2 6" xfId="13001" xr:uid="{00000000-0005-0000-0000-00000E660000}"/>
    <cellStyle name="40% - Accent3 2 11 3" xfId="4895" xr:uid="{00000000-0005-0000-0000-00000F660000}"/>
    <cellStyle name="40% - Accent3 2 11 3 2" xfId="9757" xr:uid="{00000000-0005-0000-0000-000010660000}"/>
    <cellStyle name="40% - Accent3 2 11 3 2 2" xfId="29208" xr:uid="{00000000-0005-0000-0000-000011660000}"/>
    <cellStyle name="40% - Accent3 2 11 3 2 3" xfId="38933" xr:uid="{00000000-0005-0000-0000-000012660000}"/>
    <cellStyle name="40% - Accent3 2 11 3 2 4" xfId="48658" xr:uid="{00000000-0005-0000-0000-000013660000}"/>
    <cellStyle name="40% - Accent3 2 11 3 2 5" xfId="19483" xr:uid="{00000000-0005-0000-0000-000014660000}"/>
    <cellStyle name="40% - Accent3 2 11 3 3" xfId="24346" xr:uid="{00000000-0005-0000-0000-000015660000}"/>
    <cellStyle name="40% - Accent3 2 11 3 4" xfId="34071" xr:uid="{00000000-0005-0000-0000-000016660000}"/>
    <cellStyle name="40% - Accent3 2 11 3 5" xfId="43796" xr:uid="{00000000-0005-0000-0000-000017660000}"/>
    <cellStyle name="40% - Accent3 2 11 3 6" xfId="14621" xr:uid="{00000000-0005-0000-0000-000018660000}"/>
    <cellStyle name="40% - Accent3 2 11 4" xfId="6517" xr:uid="{00000000-0005-0000-0000-000019660000}"/>
    <cellStyle name="40% - Accent3 2 11 4 2" xfId="25968" xr:uid="{00000000-0005-0000-0000-00001A660000}"/>
    <cellStyle name="40% - Accent3 2 11 4 3" xfId="35693" xr:uid="{00000000-0005-0000-0000-00001B660000}"/>
    <cellStyle name="40% - Accent3 2 11 4 4" xfId="45418" xr:uid="{00000000-0005-0000-0000-00001C660000}"/>
    <cellStyle name="40% - Accent3 2 11 4 5" xfId="16243" xr:uid="{00000000-0005-0000-0000-00001D660000}"/>
    <cellStyle name="40% - Accent3 2 11 5" xfId="21106" xr:uid="{00000000-0005-0000-0000-00001E660000}"/>
    <cellStyle name="40% - Accent3 2 11 6" xfId="30831" xr:uid="{00000000-0005-0000-0000-00001F660000}"/>
    <cellStyle name="40% - Accent3 2 11 7" xfId="40556" xr:uid="{00000000-0005-0000-0000-000020660000}"/>
    <cellStyle name="40% - Accent3 2 11 8" xfId="11381" xr:uid="{00000000-0005-0000-0000-000021660000}"/>
    <cellStyle name="40% - Accent3 2 12" xfId="1745" xr:uid="{00000000-0005-0000-0000-000022660000}"/>
    <cellStyle name="40% - Accent3 2 12 2" xfId="6607" xr:uid="{00000000-0005-0000-0000-000023660000}"/>
    <cellStyle name="40% - Accent3 2 12 2 2" xfId="26058" xr:uid="{00000000-0005-0000-0000-000024660000}"/>
    <cellStyle name="40% - Accent3 2 12 2 3" xfId="35783" xr:uid="{00000000-0005-0000-0000-000025660000}"/>
    <cellStyle name="40% - Accent3 2 12 2 4" xfId="45508" xr:uid="{00000000-0005-0000-0000-000026660000}"/>
    <cellStyle name="40% - Accent3 2 12 2 5" xfId="16333" xr:uid="{00000000-0005-0000-0000-000027660000}"/>
    <cellStyle name="40% - Accent3 2 12 3" xfId="21196" xr:uid="{00000000-0005-0000-0000-000028660000}"/>
    <cellStyle name="40% - Accent3 2 12 4" xfId="30921" xr:uid="{00000000-0005-0000-0000-000029660000}"/>
    <cellStyle name="40% - Accent3 2 12 5" xfId="40646" xr:uid="{00000000-0005-0000-0000-00002A660000}"/>
    <cellStyle name="40% - Accent3 2 12 6" xfId="11471" xr:uid="{00000000-0005-0000-0000-00002B660000}"/>
    <cellStyle name="40% - Accent3 2 13" xfId="3365" xr:uid="{00000000-0005-0000-0000-00002C660000}"/>
    <cellStyle name="40% - Accent3 2 13 2" xfId="8227" xr:uid="{00000000-0005-0000-0000-00002D660000}"/>
    <cellStyle name="40% - Accent3 2 13 2 2" xfId="27678" xr:uid="{00000000-0005-0000-0000-00002E660000}"/>
    <cellStyle name="40% - Accent3 2 13 2 3" xfId="37403" xr:uid="{00000000-0005-0000-0000-00002F660000}"/>
    <cellStyle name="40% - Accent3 2 13 2 4" xfId="47128" xr:uid="{00000000-0005-0000-0000-000030660000}"/>
    <cellStyle name="40% - Accent3 2 13 2 5" xfId="17953" xr:uid="{00000000-0005-0000-0000-000031660000}"/>
    <cellStyle name="40% - Accent3 2 13 3" xfId="22816" xr:uid="{00000000-0005-0000-0000-000032660000}"/>
    <cellStyle name="40% - Accent3 2 13 4" xfId="32541" xr:uid="{00000000-0005-0000-0000-000033660000}"/>
    <cellStyle name="40% - Accent3 2 13 5" xfId="42266" xr:uid="{00000000-0005-0000-0000-000034660000}"/>
    <cellStyle name="40% - Accent3 2 13 6" xfId="13091" xr:uid="{00000000-0005-0000-0000-000035660000}"/>
    <cellStyle name="40% - Accent3 2 14" xfId="4987" xr:uid="{00000000-0005-0000-0000-000036660000}"/>
    <cellStyle name="40% - Accent3 2 14 2" xfId="24438" xr:uid="{00000000-0005-0000-0000-000037660000}"/>
    <cellStyle name="40% - Accent3 2 14 3" xfId="34163" xr:uid="{00000000-0005-0000-0000-000038660000}"/>
    <cellStyle name="40% - Accent3 2 14 4" xfId="43888" xr:uid="{00000000-0005-0000-0000-000039660000}"/>
    <cellStyle name="40% - Accent3 2 14 5" xfId="14713" xr:uid="{00000000-0005-0000-0000-00003A660000}"/>
    <cellStyle name="40% - Accent3 2 15" xfId="19576" xr:uid="{00000000-0005-0000-0000-00003B660000}"/>
    <cellStyle name="40% - Accent3 2 16" xfId="29301" xr:uid="{00000000-0005-0000-0000-00003C660000}"/>
    <cellStyle name="40% - Accent3 2 17" xfId="39026" xr:uid="{00000000-0005-0000-0000-00003D660000}"/>
    <cellStyle name="40% - Accent3 2 18" xfId="9851" xr:uid="{00000000-0005-0000-0000-00003E660000}"/>
    <cellStyle name="40% - Accent3 2 2" xfId="91" xr:uid="{00000000-0005-0000-0000-00003F660000}"/>
    <cellStyle name="40% - Accent3 2 2 10" xfId="1775" xr:uid="{00000000-0005-0000-0000-000040660000}"/>
    <cellStyle name="40% - Accent3 2 2 10 2" xfId="6637" xr:uid="{00000000-0005-0000-0000-000041660000}"/>
    <cellStyle name="40% - Accent3 2 2 10 2 2" xfId="26088" xr:uid="{00000000-0005-0000-0000-000042660000}"/>
    <cellStyle name="40% - Accent3 2 2 10 2 3" xfId="35813" xr:uid="{00000000-0005-0000-0000-000043660000}"/>
    <cellStyle name="40% - Accent3 2 2 10 2 4" xfId="45538" xr:uid="{00000000-0005-0000-0000-000044660000}"/>
    <cellStyle name="40% - Accent3 2 2 10 2 5" xfId="16363" xr:uid="{00000000-0005-0000-0000-000045660000}"/>
    <cellStyle name="40% - Accent3 2 2 10 3" xfId="21226" xr:uid="{00000000-0005-0000-0000-000046660000}"/>
    <cellStyle name="40% - Accent3 2 2 10 4" xfId="30951" xr:uid="{00000000-0005-0000-0000-000047660000}"/>
    <cellStyle name="40% - Accent3 2 2 10 5" xfId="40676" xr:uid="{00000000-0005-0000-0000-000048660000}"/>
    <cellStyle name="40% - Accent3 2 2 10 6" xfId="11501" xr:uid="{00000000-0005-0000-0000-000049660000}"/>
    <cellStyle name="40% - Accent3 2 2 11" xfId="3395" xr:uid="{00000000-0005-0000-0000-00004A660000}"/>
    <cellStyle name="40% - Accent3 2 2 11 2" xfId="8257" xr:uid="{00000000-0005-0000-0000-00004B660000}"/>
    <cellStyle name="40% - Accent3 2 2 11 2 2" xfId="27708" xr:uid="{00000000-0005-0000-0000-00004C660000}"/>
    <cellStyle name="40% - Accent3 2 2 11 2 3" xfId="37433" xr:uid="{00000000-0005-0000-0000-00004D660000}"/>
    <cellStyle name="40% - Accent3 2 2 11 2 4" xfId="47158" xr:uid="{00000000-0005-0000-0000-00004E660000}"/>
    <cellStyle name="40% - Accent3 2 2 11 2 5" xfId="17983" xr:uid="{00000000-0005-0000-0000-00004F660000}"/>
    <cellStyle name="40% - Accent3 2 2 11 3" xfId="22846" xr:uid="{00000000-0005-0000-0000-000050660000}"/>
    <cellStyle name="40% - Accent3 2 2 11 4" xfId="32571" xr:uid="{00000000-0005-0000-0000-000051660000}"/>
    <cellStyle name="40% - Accent3 2 2 11 5" xfId="42296" xr:uid="{00000000-0005-0000-0000-000052660000}"/>
    <cellStyle name="40% - Accent3 2 2 11 6" xfId="13121" xr:uid="{00000000-0005-0000-0000-000053660000}"/>
    <cellStyle name="40% - Accent3 2 2 12" xfId="5017" xr:uid="{00000000-0005-0000-0000-000054660000}"/>
    <cellStyle name="40% - Accent3 2 2 12 2" xfId="24468" xr:uid="{00000000-0005-0000-0000-000055660000}"/>
    <cellStyle name="40% - Accent3 2 2 12 3" xfId="34193" xr:uid="{00000000-0005-0000-0000-000056660000}"/>
    <cellStyle name="40% - Accent3 2 2 12 4" xfId="43918" xr:uid="{00000000-0005-0000-0000-000057660000}"/>
    <cellStyle name="40% - Accent3 2 2 12 5" xfId="14743" xr:uid="{00000000-0005-0000-0000-000058660000}"/>
    <cellStyle name="40% - Accent3 2 2 13" xfId="19606" xr:uid="{00000000-0005-0000-0000-000059660000}"/>
    <cellStyle name="40% - Accent3 2 2 14" xfId="29331" xr:uid="{00000000-0005-0000-0000-00005A660000}"/>
    <cellStyle name="40% - Accent3 2 2 15" xfId="39056" xr:uid="{00000000-0005-0000-0000-00005B660000}"/>
    <cellStyle name="40% - Accent3 2 2 16" xfId="9881" xr:uid="{00000000-0005-0000-0000-00005C660000}"/>
    <cellStyle name="40% - Accent3 2 2 2" xfId="273" xr:uid="{00000000-0005-0000-0000-00005D660000}"/>
    <cellStyle name="40% - Accent3 2 2 2 10" xfId="39236" xr:uid="{00000000-0005-0000-0000-00005E660000}"/>
    <cellStyle name="40% - Accent3 2 2 2 11" xfId="10061" xr:uid="{00000000-0005-0000-0000-00005F660000}"/>
    <cellStyle name="40% - Accent3 2 2 2 2" xfId="1037" xr:uid="{00000000-0005-0000-0000-000060660000}"/>
    <cellStyle name="40% - Accent3 2 2 2 2 2" xfId="2675" xr:uid="{00000000-0005-0000-0000-000061660000}"/>
    <cellStyle name="40% - Accent3 2 2 2 2 2 2" xfId="7537" xr:uid="{00000000-0005-0000-0000-000062660000}"/>
    <cellStyle name="40% - Accent3 2 2 2 2 2 2 2" xfId="26988" xr:uid="{00000000-0005-0000-0000-000063660000}"/>
    <cellStyle name="40% - Accent3 2 2 2 2 2 2 3" xfId="36713" xr:uid="{00000000-0005-0000-0000-000064660000}"/>
    <cellStyle name="40% - Accent3 2 2 2 2 2 2 4" xfId="46438" xr:uid="{00000000-0005-0000-0000-000065660000}"/>
    <cellStyle name="40% - Accent3 2 2 2 2 2 2 5" xfId="17263" xr:uid="{00000000-0005-0000-0000-000066660000}"/>
    <cellStyle name="40% - Accent3 2 2 2 2 2 3" xfId="22126" xr:uid="{00000000-0005-0000-0000-000067660000}"/>
    <cellStyle name="40% - Accent3 2 2 2 2 2 4" xfId="31851" xr:uid="{00000000-0005-0000-0000-000068660000}"/>
    <cellStyle name="40% - Accent3 2 2 2 2 2 5" xfId="41576" xr:uid="{00000000-0005-0000-0000-000069660000}"/>
    <cellStyle name="40% - Accent3 2 2 2 2 2 6" xfId="12401" xr:uid="{00000000-0005-0000-0000-00006A660000}"/>
    <cellStyle name="40% - Accent3 2 2 2 2 3" xfId="4295" xr:uid="{00000000-0005-0000-0000-00006B660000}"/>
    <cellStyle name="40% - Accent3 2 2 2 2 3 2" xfId="9157" xr:uid="{00000000-0005-0000-0000-00006C660000}"/>
    <cellStyle name="40% - Accent3 2 2 2 2 3 2 2" xfId="28608" xr:uid="{00000000-0005-0000-0000-00006D660000}"/>
    <cellStyle name="40% - Accent3 2 2 2 2 3 2 3" xfId="38333" xr:uid="{00000000-0005-0000-0000-00006E660000}"/>
    <cellStyle name="40% - Accent3 2 2 2 2 3 2 4" xfId="48058" xr:uid="{00000000-0005-0000-0000-00006F660000}"/>
    <cellStyle name="40% - Accent3 2 2 2 2 3 2 5" xfId="18883" xr:uid="{00000000-0005-0000-0000-000070660000}"/>
    <cellStyle name="40% - Accent3 2 2 2 2 3 3" xfId="23746" xr:uid="{00000000-0005-0000-0000-000071660000}"/>
    <cellStyle name="40% - Accent3 2 2 2 2 3 4" xfId="33471" xr:uid="{00000000-0005-0000-0000-000072660000}"/>
    <cellStyle name="40% - Accent3 2 2 2 2 3 5" xfId="43196" xr:uid="{00000000-0005-0000-0000-000073660000}"/>
    <cellStyle name="40% - Accent3 2 2 2 2 3 6" xfId="14021" xr:uid="{00000000-0005-0000-0000-000074660000}"/>
    <cellStyle name="40% - Accent3 2 2 2 2 4" xfId="5917" xr:uid="{00000000-0005-0000-0000-000075660000}"/>
    <cellStyle name="40% - Accent3 2 2 2 2 4 2" xfId="25368" xr:uid="{00000000-0005-0000-0000-000076660000}"/>
    <cellStyle name="40% - Accent3 2 2 2 2 4 3" xfId="35093" xr:uid="{00000000-0005-0000-0000-000077660000}"/>
    <cellStyle name="40% - Accent3 2 2 2 2 4 4" xfId="44818" xr:uid="{00000000-0005-0000-0000-000078660000}"/>
    <cellStyle name="40% - Accent3 2 2 2 2 4 5" xfId="15643" xr:uid="{00000000-0005-0000-0000-000079660000}"/>
    <cellStyle name="40% - Accent3 2 2 2 2 5" xfId="20506" xr:uid="{00000000-0005-0000-0000-00007A660000}"/>
    <cellStyle name="40% - Accent3 2 2 2 2 6" xfId="30231" xr:uid="{00000000-0005-0000-0000-00007B660000}"/>
    <cellStyle name="40% - Accent3 2 2 2 2 7" xfId="39956" xr:uid="{00000000-0005-0000-0000-00007C660000}"/>
    <cellStyle name="40% - Accent3 2 2 2 2 8" xfId="10781" xr:uid="{00000000-0005-0000-0000-00007D660000}"/>
    <cellStyle name="40% - Accent3 2 2 2 3" xfId="1504" xr:uid="{00000000-0005-0000-0000-00007E660000}"/>
    <cellStyle name="40% - Accent3 2 2 2 3 2" xfId="3125" xr:uid="{00000000-0005-0000-0000-00007F660000}"/>
    <cellStyle name="40% - Accent3 2 2 2 3 2 2" xfId="7987" xr:uid="{00000000-0005-0000-0000-000080660000}"/>
    <cellStyle name="40% - Accent3 2 2 2 3 2 2 2" xfId="27438" xr:uid="{00000000-0005-0000-0000-000081660000}"/>
    <cellStyle name="40% - Accent3 2 2 2 3 2 2 3" xfId="37163" xr:uid="{00000000-0005-0000-0000-000082660000}"/>
    <cellStyle name="40% - Accent3 2 2 2 3 2 2 4" xfId="46888" xr:uid="{00000000-0005-0000-0000-000083660000}"/>
    <cellStyle name="40% - Accent3 2 2 2 3 2 2 5" xfId="17713" xr:uid="{00000000-0005-0000-0000-000084660000}"/>
    <cellStyle name="40% - Accent3 2 2 2 3 2 3" xfId="22576" xr:uid="{00000000-0005-0000-0000-000085660000}"/>
    <cellStyle name="40% - Accent3 2 2 2 3 2 4" xfId="32301" xr:uid="{00000000-0005-0000-0000-000086660000}"/>
    <cellStyle name="40% - Accent3 2 2 2 3 2 5" xfId="42026" xr:uid="{00000000-0005-0000-0000-000087660000}"/>
    <cellStyle name="40% - Accent3 2 2 2 3 2 6" xfId="12851" xr:uid="{00000000-0005-0000-0000-000088660000}"/>
    <cellStyle name="40% - Accent3 2 2 2 3 3" xfId="4745" xr:uid="{00000000-0005-0000-0000-000089660000}"/>
    <cellStyle name="40% - Accent3 2 2 2 3 3 2" xfId="9607" xr:uid="{00000000-0005-0000-0000-00008A660000}"/>
    <cellStyle name="40% - Accent3 2 2 2 3 3 2 2" xfId="29058" xr:uid="{00000000-0005-0000-0000-00008B660000}"/>
    <cellStyle name="40% - Accent3 2 2 2 3 3 2 3" xfId="38783" xr:uid="{00000000-0005-0000-0000-00008C660000}"/>
    <cellStyle name="40% - Accent3 2 2 2 3 3 2 4" xfId="48508" xr:uid="{00000000-0005-0000-0000-00008D660000}"/>
    <cellStyle name="40% - Accent3 2 2 2 3 3 2 5" xfId="19333" xr:uid="{00000000-0005-0000-0000-00008E660000}"/>
    <cellStyle name="40% - Accent3 2 2 2 3 3 3" xfId="24196" xr:uid="{00000000-0005-0000-0000-00008F660000}"/>
    <cellStyle name="40% - Accent3 2 2 2 3 3 4" xfId="33921" xr:uid="{00000000-0005-0000-0000-000090660000}"/>
    <cellStyle name="40% - Accent3 2 2 2 3 3 5" xfId="43646" xr:uid="{00000000-0005-0000-0000-000091660000}"/>
    <cellStyle name="40% - Accent3 2 2 2 3 3 6" xfId="14471" xr:uid="{00000000-0005-0000-0000-000092660000}"/>
    <cellStyle name="40% - Accent3 2 2 2 3 4" xfId="6367" xr:uid="{00000000-0005-0000-0000-000093660000}"/>
    <cellStyle name="40% - Accent3 2 2 2 3 4 2" xfId="25818" xr:uid="{00000000-0005-0000-0000-000094660000}"/>
    <cellStyle name="40% - Accent3 2 2 2 3 4 3" xfId="35543" xr:uid="{00000000-0005-0000-0000-000095660000}"/>
    <cellStyle name="40% - Accent3 2 2 2 3 4 4" xfId="45268" xr:uid="{00000000-0005-0000-0000-000096660000}"/>
    <cellStyle name="40% - Accent3 2 2 2 3 4 5" xfId="16093" xr:uid="{00000000-0005-0000-0000-000097660000}"/>
    <cellStyle name="40% - Accent3 2 2 2 3 5" xfId="20956" xr:uid="{00000000-0005-0000-0000-000098660000}"/>
    <cellStyle name="40% - Accent3 2 2 2 3 6" xfId="30681" xr:uid="{00000000-0005-0000-0000-000099660000}"/>
    <cellStyle name="40% - Accent3 2 2 2 3 7" xfId="40406" xr:uid="{00000000-0005-0000-0000-00009A660000}"/>
    <cellStyle name="40% - Accent3 2 2 2 3 8" xfId="11231" xr:uid="{00000000-0005-0000-0000-00009B660000}"/>
    <cellStyle name="40% - Accent3 2 2 2 4" xfId="675" xr:uid="{00000000-0005-0000-0000-00009C660000}"/>
    <cellStyle name="40% - Accent3 2 2 2 4 2" xfId="2315" xr:uid="{00000000-0005-0000-0000-00009D660000}"/>
    <cellStyle name="40% - Accent3 2 2 2 4 2 2" xfId="7177" xr:uid="{00000000-0005-0000-0000-00009E660000}"/>
    <cellStyle name="40% - Accent3 2 2 2 4 2 2 2" xfId="26628" xr:uid="{00000000-0005-0000-0000-00009F660000}"/>
    <cellStyle name="40% - Accent3 2 2 2 4 2 2 3" xfId="36353" xr:uid="{00000000-0005-0000-0000-0000A0660000}"/>
    <cellStyle name="40% - Accent3 2 2 2 4 2 2 4" xfId="46078" xr:uid="{00000000-0005-0000-0000-0000A1660000}"/>
    <cellStyle name="40% - Accent3 2 2 2 4 2 2 5" xfId="16903" xr:uid="{00000000-0005-0000-0000-0000A2660000}"/>
    <cellStyle name="40% - Accent3 2 2 2 4 2 3" xfId="21766" xr:uid="{00000000-0005-0000-0000-0000A3660000}"/>
    <cellStyle name="40% - Accent3 2 2 2 4 2 4" xfId="31491" xr:uid="{00000000-0005-0000-0000-0000A4660000}"/>
    <cellStyle name="40% - Accent3 2 2 2 4 2 5" xfId="41216" xr:uid="{00000000-0005-0000-0000-0000A5660000}"/>
    <cellStyle name="40% - Accent3 2 2 2 4 2 6" xfId="12041" xr:uid="{00000000-0005-0000-0000-0000A6660000}"/>
    <cellStyle name="40% - Accent3 2 2 2 4 3" xfId="3935" xr:uid="{00000000-0005-0000-0000-0000A7660000}"/>
    <cellStyle name="40% - Accent3 2 2 2 4 3 2" xfId="8797" xr:uid="{00000000-0005-0000-0000-0000A8660000}"/>
    <cellStyle name="40% - Accent3 2 2 2 4 3 2 2" xfId="28248" xr:uid="{00000000-0005-0000-0000-0000A9660000}"/>
    <cellStyle name="40% - Accent3 2 2 2 4 3 2 3" xfId="37973" xr:uid="{00000000-0005-0000-0000-0000AA660000}"/>
    <cellStyle name="40% - Accent3 2 2 2 4 3 2 4" xfId="47698" xr:uid="{00000000-0005-0000-0000-0000AB660000}"/>
    <cellStyle name="40% - Accent3 2 2 2 4 3 2 5" xfId="18523" xr:uid="{00000000-0005-0000-0000-0000AC660000}"/>
    <cellStyle name="40% - Accent3 2 2 2 4 3 3" xfId="23386" xr:uid="{00000000-0005-0000-0000-0000AD660000}"/>
    <cellStyle name="40% - Accent3 2 2 2 4 3 4" xfId="33111" xr:uid="{00000000-0005-0000-0000-0000AE660000}"/>
    <cellStyle name="40% - Accent3 2 2 2 4 3 5" xfId="42836" xr:uid="{00000000-0005-0000-0000-0000AF660000}"/>
    <cellStyle name="40% - Accent3 2 2 2 4 3 6" xfId="13661" xr:uid="{00000000-0005-0000-0000-0000B0660000}"/>
    <cellStyle name="40% - Accent3 2 2 2 4 4" xfId="5557" xr:uid="{00000000-0005-0000-0000-0000B1660000}"/>
    <cellStyle name="40% - Accent3 2 2 2 4 4 2" xfId="25008" xr:uid="{00000000-0005-0000-0000-0000B2660000}"/>
    <cellStyle name="40% - Accent3 2 2 2 4 4 3" xfId="34733" xr:uid="{00000000-0005-0000-0000-0000B3660000}"/>
    <cellStyle name="40% - Accent3 2 2 2 4 4 4" xfId="44458" xr:uid="{00000000-0005-0000-0000-0000B4660000}"/>
    <cellStyle name="40% - Accent3 2 2 2 4 4 5" xfId="15283" xr:uid="{00000000-0005-0000-0000-0000B5660000}"/>
    <cellStyle name="40% - Accent3 2 2 2 4 5" xfId="20146" xr:uid="{00000000-0005-0000-0000-0000B6660000}"/>
    <cellStyle name="40% - Accent3 2 2 2 4 6" xfId="29871" xr:uid="{00000000-0005-0000-0000-0000B7660000}"/>
    <cellStyle name="40% - Accent3 2 2 2 4 7" xfId="39596" xr:uid="{00000000-0005-0000-0000-0000B8660000}"/>
    <cellStyle name="40% - Accent3 2 2 2 4 8" xfId="10421" xr:uid="{00000000-0005-0000-0000-0000B9660000}"/>
    <cellStyle name="40% - Accent3 2 2 2 5" xfId="1955" xr:uid="{00000000-0005-0000-0000-0000BA660000}"/>
    <cellStyle name="40% - Accent3 2 2 2 5 2" xfId="6817" xr:uid="{00000000-0005-0000-0000-0000BB660000}"/>
    <cellStyle name="40% - Accent3 2 2 2 5 2 2" xfId="26268" xr:uid="{00000000-0005-0000-0000-0000BC660000}"/>
    <cellStyle name="40% - Accent3 2 2 2 5 2 3" xfId="35993" xr:uid="{00000000-0005-0000-0000-0000BD660000}"/>
    <cellStyle name="40% - Accent3 2 2 2 5 2 4" xfId="45718" xr:uid="{00000000-0005-0000-0000-0000BE660000}"/>
    <cellStyle name="40% - Accent3 2 2 2 5 2 5" xfId="16543" xr:uid="{00000000-0005-0000-0000-0000BF660000}"/>
    <cellStyle name="40% - Accent3 2 2 2 5 3" xfId="21406" xr:uid="{00000000-0005-0000-0000-0000C0660000}"/>
    <cellStyle name="40% - Accent3 2 2 2 5 4" xfId="31131" xr:uid="{00000000-0005-0000-0000-0000C1660000}"/>
    <cellStyle name="40% - Accent3 2 2 2 5 5" xfId="40856" xr:uid="{00000000-0005-0000-0000-0000C2660000}"/>
    <cellStyle name="40% - Accent3 2 2 2 5 6" xfId="11681" xr:uid="{00000000-0005-0000-0000-0000C3660000}"/>
    <cellStyle name="40% - Accent3 2 2 2 6" xfId="3575" xr:uid="{00000000-0005-0000-0000-0000C4660000}"/>
    <cellStyle name="40% - Accent3 2 2 2 6 2" xfId="8437" xr:uid="{00000000-0005-0000-0000-0000C5660000}"/>
    <cellStyle name="40% - Accent3 2 2 2 6 2 2" xfId="27888" xr:uid="{00000000-0005-0000-0000-0000C6660000}"/>
    <cellStyle name="40% - Accent3 2 2 2 6 2 3" xfId="37613" xr:uid="{00000000-0005-0000-0000-0000C7660000}"/>
    <cellStyle name="40% - Accent3 2 2 2 6 2 4" xfId="47338" xr:uid="{00000000-0005-0000-0000-0000C8660000}"/>
    <cellStyle name="40% - Accent3 2 2 2 6 2 5" xfId="18163" xr:uid="{00000000-0005-0000-0000-0000C9660000}"/>
    <cellStyle name="40% - Accent3 2 2 2 6 3" xfId="23026" xr:uid="{00000000-0005-0000-0000-0000CA660000}"/>
    <cellStyle name="40% - Accent3 2 2 2 6 4" xfId="32751" xr:uid="{00000000-0005-0000-0000-0000CB660000}"/>
    <cellStyle name="40% - Accent3 2 2 2 6 5" xfId="42476" xr:uid="{00000000-0005-0000-0000-0000CC660000}"/>
    <cellStyle name="40% - Accent3 2 2 2 6 6" xfId="13301" xr:uid="{00000000-0005-0000-0000-0000CD660000}"/>
    <cellStyle name="40% - Accent3 2 2 2 7" xfId="5197" xr:uid="{00000000-0005-0000-0000-0000CE660000}"/>
    <cellStyle name="40% - Accent3 2 2 2 7 2" xfId="24648" xr:uid="{00000000-0005-0000-0000-0000CF660000}"/>
    <cellStyle name="40% - Accent3 2 2 2 7 3" xfId="34373" xr:uid="{00000000-0005-0000-0000-0000D0660000}"/>
    <cellStyle name="40% - Accent3 2 2 2 7 4" xfId="44098" xr:uid="{00000000-0005-0000-0000-0000D1660000}"/>
    <cellStyle name="40% - Accent3 2 2 2 7 5" xfId="14923" xr:uid="{00000000-0005-0000-0000-0000D2660000}"/>
    <cellStyle name="40% - Accent3 2 2 2 8" xfId="19786" xr:uid="{00000000-0005-0000-0000-0000D3660000}"/>
    <cellStyle name="40% - Accent3 2 2 2 9" xfId="29511" xr:uid="{00000000-0005-0000-0000-0000D4660000}"/>
    <cellStyle name="40% - Accent3 2 2 3" xfId="364" xr:uid="{00000000-0005-0000-0000-0000D5660000}"/>
    <cellStyle name="40% - Accent3 2 2 3 10" xfId="39326" xr:uid="{00000000-0005-0000-0000-0000D6660000}"/>
    <cellStyle name="40% - Accent3 2 2 3 11" xfId="10151" xr:uid="{00000000-0005-0000-0000-0000D7660000}"/>
    <cellStyle name="40% - Accent3 2 2 3 2" xfId="1127" xr:uid="{00000000-0005-0000-0000-0000D8660000}"/>
    <cellStyle name="40% - Accent3 2 2 3 2 2" xfId="2765" xr:uid="{00000000-0005-0000-0000-0000D9660000}"/>
    <cellStyle name="40% - Accent3 2 2 3 2 2 2" xfId="7627" xr:uid="{00000000-0005-0000-0000-0000DA660000}"/>
    <cellStyle name="40% - Accent3 2 2 3 2 2 2 2" xfId="27078" xr:uid="{00000000-0005-0000-0000-0000DB660000}"/>
    <cellStyle name="40% - Accent3 2 2 3 2 2 2 3" xfId="36803" xr:uid="{00000000-0005-0000-0000-0000DC660000}"/>
    <cellStyle name="40% - Accent3 2 2 3 2 2 2 4" xfId="46528" xr:uid="{00000000-0005-0000-0000-0000DD660000}"/>
    <cellStyle name="40% - Accent3 2 2 3 2 2 2 5" xfId="17353" xr:uid="{00000000-0005-0000-0000-0000DE660000}"/>
    <cellStyle name="40% - Accent3 2 2 3 2 2 3" xfId="22216" xr:uid="{00000000-0005-0000-0000-0000DF660000}"/>
    <cellStyle name="40% - Accent3 2 2 3 2 2 4" xfId="31941" xr:uid="{00000000-0005-0000-0000-0000E0660000}"/>
    <cellStyle name="40% - Accent3 2 2 3 2 2 5" xfId="41666" xr:uid="{00000000-0005-0000-0000-0000E1660000}"/>
    <cellStyle name="40% - Accent3 2 2 3 2 2 6" xfId="12491" xr:uid="{00000000-0005-0000-0000-0000E2660000}"/>
    <cellStyle name="40% - Accent3 2 2 3 2 3" xfId="4385" xr:uid="{00000000-0005-0000-0000-0000E3660000}"/>
    <cellStyle name="40% - Accent3 2 2 3 2 3 2" xfId="9247" xr:uid="{00000000-0005-0000-0000-0000E4660000}"/>
    <cellStyle name="40% - Accent3 2 2 3 2 3 2 2" xfId="28698" xr:uid="{00000000-0005-0000-0000-0000E5660000}"/>
    <cellStyle name="40% - Accent3 2 2 3 2 3 2 3" xfId="38423" xr:uid="{00000000-0005-0000-0000-0000E6660000}"/>
    <cellStyle name="40% - Accent3 2 2 3 2 3 2 4" xfId="48148" xr:uid="{00000000-0005-0000-0000-0000E7660000}"/>
    <cellStyle name="40% - Accent3 2 2 3 2 3 2 5" xfId="18973" xr:uid="{00000000-0005-0000-0000-0000E8660000}"/>
    <cellStyle name="40% - Accent3 2 2 3 2 3 3" xfId="23836" xr:uid="{00000000-0005-0000-0000-0000E9660000}"/>
    <cellStyle name="40% - Accent3 2 2 3 2 3 4" xfId="33561" xr:uid="{00000000-0005-0000-0000-0000EA660000}"/>
    <cellStyle name="40% - Accent3 2 2 3 2 3 5" xfId="43286" xr:uid="{00000000-0005-0000-0000-0000EB660000}"/>
    <cellStyle name="40% - Accent3 2 2 3 2 3 6" xfId="14111" xr:uid="{00000000-0005-0000-0000-0000EC660000}"/>
    <cellStyle name="40% - Accent3 2 2 3 2 4" xfId="6007" xr:uid="{00000000-0005-0000-0000-0000ED660000}"/>
    <cellStyle name="40% - Accent3 2 2 3 2 4 2" xfId="25458" xr:uid="{00000000-0005-0000-0000-0000EE660000}"/>
    <cellStyle name="40% - Accent3 2 2 3 2 4 3" xfId="35183" xr:uid="{00000000-0005-0000-0000-0000EF660000}"/>
    <cellStyle name="40% - Accent3 2 2 3 2 4 4" xfId="44908" xr:uid="{00000000-0005-0000-0000-0000F0660000}"/>
    <cellStyle name="40% - Accent3 2 2 3 2 4 5" xfId="15733" xr:uid="{00000000-0005-0000-0000-0000F1660000}"/>
    <cellStyle name="40% - Accent3 2 2 3 2 5" xfId="20596" xr:uid="{00000000-0005-0000-0000-0000F2660000}"/>
    <cellStyle name="40% - Accent3 2 2 3 2 6" xfId="30321" xr:uid="{00000000-0005-0000-0000-0000F3660000}"/>
    <cellStyle name="40% - Accent3 2 2 3 2 7" xfId="40046" xr:uid="{00000000-0005-0000-0000-0000F4660000}"/>
    <cellStyle name="40% - Accent3 2 2 3 2 8" xfId="10871" xr:uid="{00000000-0005-0000-0000-0000F5660000}"/>
    <cellStyle name="40% - Accent3 2 2 3 3" xfId="1594" xr:uid="{00000000-0005-0000-0000-0000F6660000}"/>
    <cellStyle name="40% - Accent3 2 2 3 3 2" xfId="3215" xr:uid="{00000000-0005-0000-0000-0000F7660000}"/>
    <cellStyle name="40% - Accent3 2 2 3 3 2 2" xfId="8077" xr:uid="{00000000-0005-0000-0000-0000F8660000}"/>
    <cellStyle name="40% - Accent3 2 2 3 3 2 2 2" xfId="27528" xr:uid="{00000000-0005-0000-0000-0000F9660000}"/>
    <cellStyle name="40% - Accent3 2 2 3 3 2 2 3" xfId="37253" xr:uid="{00000000-0005-0000-0000-0000FA660000}"/>
    <cellStyle name="40% - Accent3 2 2 3 3 2 2 4" xfId="46978" xr:uid="{00000000-0005-0000-0000-0000FB660000}"/>
    <cellStyle name="40% - Accent3 2 2 3 3 2 2 5" xfId="17803" xr:uid="{00000000-0005-0000-0000-0000FC660000}"/>
    <cellStyle name="40% - Accent3 2 2 3 3 2 3" xfId="22666" xr:uid="{00000000-0005-0000-0000-0000FD660000}"/>
    <cellStyle name="40% - Accent3 2 2 3 3 2 4" xfId="32391" xr:uid="{00000000-0005-0000-0000-0000FE660000}"/>
    <cellStyle name="40% - Accent3 2 2 3 3 2 5" xfId="42116" xr:uid="{00000000-0005-0000-0000-0000FF660000}"/>
    <cellStyle name="40% - Accent3 2 2 3 3 2 6" xfId="12941" xr:uid="{00000000-0005-0000-0000-000000670000}"/>
    <cellStyle name="40% - Accent3 2 2 3 3 3" xfId="4835" xr:uid="{00000000-0005-0000-0000-000001670000}"/>
    <cellStyle name="40% - Accent3 2 2 3 3 3 2" xfId="9697" xr:uid="{00000000-0005-0000-0000-000002670000}"/>
    <cellStyle name="40% - Accent3 2 2 3 3 3 2 2" xfId="29148" xr:uid="{00000000-0005-0000-0000-000003670000}"/>
    <cellStyle name="40% - Accent3 2 2 3 3 3 2 3" xfId="38873" xr:uid="{00000000-0005-0000-0000-000004670000}"/>
    <cellStyle name="40% - Accent3 2 2 3 3 3 2 4" xfId="48598" xr:uid="{00000000-0005-0000-0000-000005670000}"/>
    <cellStyle name="40% - Accent3 2 2 3 3 3 2 5" xfId="19423" xr:uid="{00000000-0005-0000-0000-000006670000}"/>
    <cellStyle name="40% - Accent3 2 2 3 3 3 3" xfId="24286" xr:uid="{00000000-0005-0000-0000-000007670000}"/>
    <cellStyle name="40% - Accent3 2 2 3 3 3 4" xfId="34011" xr:uid="{00000000-0005-0000-0000-000008670000}"/>
    <cellStyle name="40% - Accent3 2 2 3 3 3 5" xfId="43736" xr:uid="{00000000-0005-0000-0000-000009670000}"/>
    <cellStyle name="40% - Accent3 2 2 3 3 3 6" xfId="14561" xr:uid="{00000000-0005-0000-0000-00000A670000}"/>
    <cellStyle name="40% - Accent3 2 2 3 3 4" xfId="6457" xr:uid="{00000000-0005-0000-0000-00000B670000}"/>
    <cellStyle name="40% - Accent3 2 2 3 3 4 2" xfId="25908" xr:uid="{00000000-0005-0000-0000-00000C670000}"/>
    <cellStyle name="40% - Accent3 2 2 3 3 4 3" xfId="35633" xr:uid="{00000000-0005-0000-0000-00000D670000}"/>
    <cellStyle name="40% - Accent3 2 2 3 3 4 4" xfId="45358" xr:uid="{00000000-0005-0000-0000-00000E670000}"/>
    <cellStyle name="40% - Accent3 2 2 3 3 4 5" xfId="16183" xr:uid="{00000000-0005-0000-0000-00000F670000}"/>
    <cellStyle name="40% - Accent3 2 2 3 3 5" xfId="21046" xr:uid="{00000000-0005-0000-0000-000010670000}"/>
    <cellStyle name="40% - Accent3 2 2 3 3 6" xfId="30771" xr:uid="{00000000-0005-0000-0000-000011670000}"/>
    <cellStyle name="40% - Accent3 2 2 3 3 7" xfId="40496" xr:uid="{00000000-0005-0000-0000-000012670000}"/>
    <cellStyle name="40% - Accent3 2 2 3 3 8" xfId="11321" xr:uid="{00000000-0005-0000-0000-000013670000}"/>
    <cellStyle name="40% - Accent3 2 2 3 4" xfId="765" xr:uid="{00000000-0005-0000-0000-000014670000}"/>
    <cellStyle name="40% - Accent3 2 2 3 4 2" xfId="2405" xr:uid="{00000000-0005-0000-0000-000015670000}"/>
    <cellStyle name="40% - Accent3 2 2 3 4 2 2" xfId="7267" xr:uid="{00000000-0005-0000-0000-000016670000}"/>
    <cellStyle name="40% - Accent3 2 2 3 4 2 2 2" xfId="26718" xr:uid="{00000000-0005-0000-0000-000017670000}"/>
    <cellStyle name="40% - Accent3 2 2 3 4 2 2 3" xfId="36443" xr:uid="{00000000-0005-0000-0000-000018670000}"/>
    <cellStyle name="40% - Accent3 2 2 3 4 2 2 4" xfId="46168" xr:uid="{00000000-0005-0000-0000-000019670000}"/>
    <cellStyle name="40% - Accent3 2 2 3 4 2 2 5" xfId="16993" xr:uid="{00000000-0005-0000-0000-00001A670000}"/>
    <cellStyle name="40% - Accent3 2 2 3 4 2 3" xfId="21856" xr:uid="{00000000-0005-0000-0000-00001B670000}"/>
    <cellStyle name="40% - Accent3 2 2 3 4 2 4" xfId="31581" xr:uid="{00000000-0005-0000-0000-00001C670000}"/>
    <cellStyle name="40% - Accent3 2 2 3 4 2 5" xfId="41306" xr:uid="{00000000-0005-0000-0000-00001D670000}"/>
    <cellStyle name="40% - Accent3 2 2 3 4 2 6" xfId="12131" xr:uid="{00000000-0005-0000-0000-00001E670000}"/>
    <cellStyle name="40% - Accent3 2 2 3 4 3" xfId="4025" xr:uid="{00000000-0005-0000-0000-00001F670000}"/>
    <cellStyle name="40% - Accent3 2 2 3 4 3 2" xfId="8887" xr:uid="{00000000-0005-0000-0000-000020670000}"/>
    <cellStyle name="40% - Accent3 2 2 3 4 3 2 2" xfId="28338" xr:uid="{00000000-0005-0000-0000-000021670000}"/>
    <cellStyle name="40% - Accent3 2 2 3 4 3 2 3" xfId="38063" xr:uid="{00000000-0005-0000-0000-000022670000}"/>
    <cellStyle name="40% - Accent3 2 2 3 4 3 2 4" xfId="47788" xr:uid="{00000000-0005-0000-0000-000023670000}"/>
    <cellStyle name="40% - Accent3 2 2 3 4 3 2 5" xfId="18613" xr:uid="{00000000-0005-0000-0000-000024670000}"/>
    <cellStyle name="40% - Accent3 2 2 3 4 3 3" xfId="23476" xr:uid="{00000000-0005-0000-0000-000025670000}"/>
    <cellStyle name="40% - Accent3 2 2 3 4 3 4" xfId="33201" xr:uid="{00000000-0005-0000-0000-000026670000}"/>
    <cellStyle name="40% - Accent3 2 2 3 4 3 5" xfId="42926" xr:uid="{00000000-0005-0000-0000-000027670000}"/>
    <cellStyle name="40% - Accent3 2 2 3 4 3 6" xfId="13751" xr:uid="{00000000-0005-0000-0000-000028670000}"/>
    <cellStyle name="40% - Accent3 2 2 3 4 4" xfId="5647" xr:uid="{00000000-0005-0000-0000-000029670000}"/>
    <cellStyle name="40% - Accent3 2 2 3 4 4 2" xfId="25098" xr:uid="{00000000-0005-0000-0000-00002A670000}"/>
    <cellStyle name="40% - Accent3 2 2 3 4 4 3" xfId="34823" xr:uid="{00000000-0005-0000-0000-00002B670000}"/>
    <cellStyle name="40% - Accent3 2 2 3 4 4 4" xfId="44548" xr:uid="{00000000-0005-0000-0000-00002C670000}"/>
    <cellStyle name="40% - Accent3 2 2 3 4 4 5" xfId="15373" xr:uid="{00000000-0005-0000-0000-00002D670000}"/>
    <cellStyle name="40% - Accent3 2 2 3 4 5" xfId="20236" xr:uid="{00000000-0005-0000-0000-00002E670000}"/>
    <cellStyle name="40% - Accent3 2 2 3 4 6" xfId="29961" xr:uid="{00000000-0005-0000-0000-00002F670000}"/>
    <cellStyle name="40% - Accent3 2 2 3 4 7" xfId="39686" xr:uid="{00000000-0005-0000-0000-000030670000}"/>
    <cellStyle name="40% - Accent3 2 2 3 4 8" xfId="10511" xr:uid="{00000000-0005-0000-0000-000031670000}"/>
    <cellStyle name="40% - Accent3 2 2 3 5" xfId="2045" xr:uid="{00000000-0005-0000-0000-000032670000}"/>
    <cellStyle name="40% - Accent3 2 2 3 5 2" xfId="6907" xr:uid="{00000000-0005-0000-0000-000033670000}"/>
    <cellStyle name="40% - Accent3 2 2 3 5 2 2" xfId="26358" xr:uid="{00000000-0005-0000-0000-000034670000}"/>
    <cellStyle name="40% - Accent3 2 2 3 5 2 3" xfId="36083" xr:uid="{00000000-0005-0000-0000-000035670000}"/>
    <cellStyle name="40% - Accent3 2 2 3 5 2 4" xfId="45808" xr:uid="{00000000-0005-0000-0000-000036670000}"/>
    <cellStyle name="40% - Accent3 2 2 3 5 2 5" xfId="16633" xr:uid="{00000000-0005-0000-0000-000037670000}"/>
    <cellStyle name="40% - Accent3 2 2 3 5 3" xfId="21496" xr:uid="{00000000-0005-0000-0000-000038670000}"/>
    <cellStyle name="40% - Accent3 2 2 3 5 4" xfId="31221" xr:uid="{00000000-0005-0000-0000-000039670000}"/>
    <cellStyle name="40% - Accent3 2 2 3 5 5" xfId="40946" xr:uid="{00000000-0005-0000-0000-00003A670000}"/>
    <cellStyle name="40% - Accent3 2 2 3 5 6" xfId="11771" xr:uid="{00000000-0005-0000-0000-00003B670000}"/>
    <cellStyle name="40% - Accent3 2 2 3 6" xfId="3665" xr:uid="{00000000-0005-0000-0000-00003C670000}"/>
    <cellStyle name="40% - Accent3 2 2 3 6 2" xfId="8527" xr:uid="{00000000-0005-0000-0000-00003D670000}"/>
    <cellStyle name="40% - Accent3 2 2 3 6 2 2" xfId="27978" xr:uid="{00000000-0005-0000-0000-00003E670000}"/>
    <cellStyle name="40% - Accent3 2 2 3 6 2 3" xfId="37703" xr:uid="{00000000-0005-0000-0000-00003F670000}"/>
    <cellStyle name="40% - Accent3 2 2 3 6 2 4" xfId="47428" xr:uid="{00000000-0005-0000-0000-000040670000}"/>
    <cellStyle name="40% - Accent3 2 2 3 6 2 5" xfId="18253" xr:uid="{00000000-0005-0000-0000-000041670000}"/>
    <cellStyle name="40% - Accent3 2 2 3 6 3" xfId="23116" xr:uid="{00000000-0005-0000-0000-000042670000}"/>
    <cellStyle name="40% - Accent3 2 2 3 6 4" xfId="32841" xr:uid="{00000000-0005-0000-0000-000043670000}"/>
    <cellStyle name="40% - Accent3 2 2 3 6 5" xfId="42566" xr:uid="{00000000-0005-0000-0000-000044670000}"/>
    <cellStyle name="40% - Accent3 2 2 3 6 6" xfId="13391" xr:uid="{00000000-0005-0000-0000-000045670000}"/>
    <cellStyle name="40% - Accent3 2 2 3 7" xfId="5287" xr:uid="{00000000-0005-0000-0000-000046670000}"/>
    <cellStyle name="40% - Accent3 2 2 3 7 2" xfId="24738" xr:uid="{00000000-0005-0000-0000-000047670000}"/>
    <cellStyle name="40% - Accent3 2 2 3 7 3" xfId="34463" xr:uid="{00000000-0005-0000-0000-000048670000}"/>
    <cellStyle name="40% - Accent3 2 2 3 7 4" xfId="44188" xr:uid="{00000000-0005-0000-0000-000049670000}"/>
    <cellStyle name="40% - Accent3 2 2 3 7 5" xfId="15013" xr:uid="{00000000-0005-0000-0000-00004A670000}"/>
    <cellStyle name="40% - Accent3 2 2 3 8" xfId="19876" xr:uid="{00000000-0005-0000-0000-00004B670000}"/>
    <cellStyle name="40% - Accent3 2 2 3 9" xfId="29601" xr:uid="{00000000-0005-0000-0000-00004C670000}"/>
    <cellStyle name="40% - Accent3 2 2 4" xfId="182" xr:uid="{00000000-0005-0000-0000-00004D670000}"/>
    <cellStyle name="40% - Accent3 2 2 4 10" xfId="39146" xr:uid="{00000000-0005-0000-0000-00004E670000}"/>
    <cellStyle name="40% - Accent3 2 2 4 11" xfId="9971" xr:uid="{00000000-0005-0000-0000-00004F670000}"/>
    <cellStyle name="40% - Accent3 2 2 4 2" xfId="946" xr:uid="{00000000-0005-0000-0000-000050670000}"/>
    <cellStyle name="40% - Accent3 2 2 4 2 2" xfId="2585" xr:uid="{00000000-0005-0000-0000-000051670000}"/>
    <cellStyle name="40% - Accent3 2 2 4 2 2 2" xfId="7447" xr:uid="{00000000-0005-0000-0000-000052670000}"/>
    <cellStyle name="40% - Accent3 2 2 4 2 2 2 2" xfId="26898" xr:uid="{00000000-0005-0000-0000-000053670000}"/>
    <cellStyle name="40% - Accent3 2 2 4 2 2 2 3" xfId="36623" xr:uid="{00000000-0005-0000-0000-000054670000}"/>
    <cellStyle name="40% - Accent3 2 2 4 2 2 2 4" xfId="46348" xr:uid="{00000000-0005-0000-0000-000055670000}"/>
    <cellStyle name="40% - Accent3 2 2 4 2 2 2 5" xfId="17173" xr:uid="{00000000-0005-0000-0000-000056670000}"/>
    <cellStyle name="40% - Accent3 2 2 4 2 2 3" xfId="22036" xr:uid="{00000000-0005-0000-0000-000057670000}"/>
    <cellStyle name="40% - Accent3 2 2 4 2 2 4" xfId="31761" xr:uid="{00000000-0005-0000-0000-000058670000}"/>
    <cellStyle name="40% - Accent3 2 2 4 2 2 5" xfId="41486" xr:uid="{00000000-0005-0000-0000-000059670000}"/>
    <cellStyle name="40% - Accent3 2 2 4 2 2 6" xfId="12311" xr:uid="{00000000-0005-0000-0000-00005A670000}"/>
    <cellStyle name="40% - Accent3 2 2 4 2 3" xfId="4205" xr:uid="{00000000-0005-0000-0000-00005B670000}"/>
    <cellStyle name="40% - Accent3 2 2 4 2 3 2" xfId="9067" xr:uid="{00000000-0005-0000-0000-00005C670000}"/>
    <cellStyle name="40% - Accent3 2 2 4 2 3 2 2" xfId="28518" xr:uid="{00000000-0005-0000-0000-00005D670000}"/>
    <cellStyle name="40% - Accent3 2 2 4 2 3 2 3" xfId="38243" xr:uid="{00000000-0005-0000-0000-00005E670000}"/>
    <cellStyle name="40% - Accent3 2 2 4 2 3 2 4" xfId="47968" xr:uid="{00000000-0005-0000-0000-00005F670000}"/>
    <cellStyle name="40% - Accent3 2 2 4 2 3 2 5" xfId="18793" xr:uid="{00000000-0005-0000-0000-000060670000}"/>
    <cellStyle name="40% - Accent3 2 2 4 2 3 3" xfId="23656" xr:uid="{00000000-0005-0000-0000-000061670000}"/>
    <cellStyle name="40% - Accent3 2 2 4 2 3 4" xfId="33381" xr:uid="{00000000-0005-0000-0000-000062670000}"/>
    <cellStyle name="40% - Accent3 2 2 4 2 3 5" xfId="43106" xr:uid="{00000000-0005-0000-0000-000063670000}"/>
    <cellStyle name="40% - Accent3 2 2 4 2 3 6" xfId="13931" xr:uid="{00000000-0005-0000-0000-000064670000}"/>
    <cellStyle name="40% - Accent3 2 2 4 2 4" xfId="5827" xr:uid="{00000000-0005-0000-0000-000065670000}"/>
    <cellStyle name="40% - Accent3 2 2 4 2 4 2" xfId="25278" xr:uid="{00000000-0005-0000-0000-000066670000}"/>
    <cellStyle name="40% - Accent3 2 2 4 2 4 3" xfId="35003" xr:uid="{00000000-0005-0000-0000-000067670000}"/>
    <cellStyle name="40% - Accent3 2 2 4 2 4 4" xfId="44728" xr:uid="{00000000-0005-0000-0000-000068670000}"/>
    <cellStyle name="40% - Accent3 2 2 4 2 4 5" xfId="15553" xr:uid="{00000000-0005-0000-0000-000069670000}"/>
    <cellStyle name="40% - Accent3 2 2 4 2 5" xfId="20416" xr:uid="{00000000-0005-0000-0000-00006A670000}"/>
    <cellStyle name="40% - Accent3 2 2 4 2 6" xfId="30141" xr:uid="{00000000-0005-0000-0000-00006B670000}"/>
    <cellStyle name="40% - Accent3 2 2 4 2 7" xfId="39866" xr:uid="{00000000-0005-0000-0000-00006C670000}"/>
    <cellStyle name="40% - Accent3 2 2 4 2 8" xfId="10691" xr:uid="{00000000-0005-0000-0000-00006D670000}"/>
    <cellStyle name="40% - Accent3 2 2 4 3" xfId="1414" xr:uid="{00000000-0005-0000-0000-00006E670000}"/>
    <cellStyle name="40% - Accent3 2 2 4 3 2" xfId="3035" xr:uid="{00000000-0005-0000-0000-00006F670000}"/>
    <cellStyle name="40% - Accent3 2 2 4 3 2 2" xfId="7897" xr:uid="{00000000-0005-0000-0000-000070670000}"/>
    <cellStyle name="40% - Accent3 2 2 4 3 2 2 2" xfId="27348" xr:uid="{00000000-0005-0000-0000-000071670000}"/>
    <cellStyle name="40% - Accent3 2 2 4 3 2 2 3" xfId="37073" xr:uid="{00000000-0005-0000-0000-000072670000}"/>
    <cellStyle name="40% - Accent3 2 2 4 3 2 2 4" xfId="46798" xr:uid="{00000000-0005-0000-0000-000073670000}"/>
    <cellStyle name="40% - Accent3 2 2 4 3 2 2 5" xfId="17623" xr:uid="{00000000-0005-0000-0000-000074670000}"/>
    <cellStyle name="40% - Accent3 2 2 4 3 2 3" xfId="22486" xr:uid="{00000000-0005-0000-0000-000075670000}"/>
    <cellStyle name="40% - Accent3 2 2 4 3 2 4" xfId="32211" xr:uid="{00000000-0005-0000-0000-000076670000}"/>
    <cellStyle name="40% - Accent3 2 2 4 3 2 5" xfId="41936" xr:uid="{00000000-0005-0000-0000-000077670000}"/>
    <cellStyle name="40% - Accent3 2 2 4 3 2 6" xfId="12761" xr:uid="{00000000-0005-0000-0000-000078670000}"/>
    <cellStyle name="40% - Accent3 2 2 4 3 3" xfId="4655" xr:uid="{00000000-0005-0000-0000-000079670000}"/>
    <cellStyle name="40% - Accent3 2 2 4 3 3 2" xfId="9517" xr:uid="{00000000-0005-0000-0000-00007A670000}"/>
    <cellStyle name="40% - Accent3 2 2 4 3 3 2 2" xfId="28968" xr:uid="{00000000-0005-0000-0000-00007B670000}"/>
    <cellStyle name="40% - Accent3 2 2 4 3 3 2 3" xfId="38693" xr:uid="{00000000-0005-0000-0000-00007C670000}"/>
    <cellStyle name="40% - Accent3 2 2 4 3 3 2 4" xfId="48418" xr:uid="{00000000-0005-0000-0000-00007D670000}"/>
    <cellStyle name="40% - Accent3 2 2 4 3 3 2 5" xfId="19243" xr:uid="{00000000-0005-0000-0000-00007E670000}"/>
    <cellStyle name="40% - Accent3 2 2 4 3 3 3" xfId="24106" xr:uid="{00000000-0005-0000-0000-00007F670000}"/>
    <cellStyle name="40% - Accent3 2 2 4 3 3 4" xfId="33831" xr:uid="{00000000-0005-0000-0000-000080670000}"/>
    <cellStyle name="40% - Accent3 2 2 4 3 3 5" xfId="43556" xr:uid="{00000000-0005-0000-0000-000081670000}"/>
    <cellStyle name="40% - Accent3 2 2 4 3 3 6" xfId="14381" xr:uid="{00000000-0005-0000-0000-000082670000}"/>
    <cellStyle name="40% - Accent3 2 2 4 3 4" xfId="6277" xr:uid="{00000000-0005-0000-0000-000083670000}"/>
    <cellStyle name="40% - Accent3 2 2 4 3 4 2" xfId="25728" xr:uid="{00000000-0005-0000-0000-000084670000}"/>
    <cellStyle name="40% - Accent3 2 2 4 3 4 3" xfId="35453" xr:uid="{00000000-0005-0000-0000-000085670000}"/>
    <cellStyle name="40% - Accent3 2 2 4 3 4 4" xfId="45178" xr:uid="{00000000-0005-0000-0000-000086670000}"/>
    <cellStyle name="40% - Accent3 2 2 4 3 4 5" xfId="16003" xr:uid="{00000000-0005-0000-0000-000087670000}"/>
    <cellStyle name="40% - Accent3 2 2 4 3 5" xfId="20866" xr:uid="{00000000-0005-0000-0000-000088670000}"/>
    <cellStyle name="40% - Accent3 2 2 4 3 6" xfId="30591" xr:uid="{00000000-0005-0000-0000-000089670000}"/>
    <cellStyle name="40% - Accent3 2 2 4 3 7" xfId="40316" xr:uid="{00000000-0005-0000-0000-00008A670000}"/>
    <cellStyle name="40% - Accent3 2 2 4 3 8" xfId="11141" xr:uid="{00000000-0005-0000-0000-00008B670000}"/>
    <cellStyle name="40% - Accent3 2 2 4 4" xfId="585" xr:uid="{00000000-0005-0000-0000-00008C670000}"/>
    <cellStyle name="40% - Accent3 2 2 4 4 2" xfId="2225" xr:uid="{00000000-0005-0000-0000-00008D670000}"/>
    <cellStyle name="40% - Accent3 2 2 4 4 2 2" xfId="7087" xr:uid="{00000000-0005-0000-0000-00008E670000}"/>
    <cellStyle name="40% - Accent3 2 2 4 4 2 2 2" xfId="26538" xr:uid="{00000000-0005-0000-0000-00008F670000}"/>
    <cellStyle name="40% - Accent3 2 2 4 4 2 2 3" xfId="36263" xr:uid="{00000000-0005-0000-0000-000090670000}"/>
    <cellStyle name="40% - Accent3 2 2 4 4 2 2 4" xfId="45988" xr:uid="{00000000-0005-0000-0000-000091670000}"/>
    <cellStyle name="40% - Accent3 2 2 4 4 2 2 5" xfId="16813" xr:uid="{00000000-0005-0000-0000-000092670000}"/>
    <cellStyle name="40% - Accent3 2 2 4 4 2 3" xfId="21676" xr:uid="{00000000-0005-0000-0000-000093670000}"/>
    <cellStyle name="40% - Accent3 2 2 4 4 2 4" xfId="31401" xr:uid="{00000000-0005-0000-0000-000094670000}"/>
    <cellStyle name="40% - Accent3 2 2 4 4 2 5" xfId="41126" xr:uid="{00000000-0005-0000-0000-000095670000}"/>
    <cellStyle name="40% - Accent3 2 2 4 4 2 6" xfId="11951" xr:uid="{00000000-0005-0000-0000-000096670000}"/>
    <cellStyle name="40% - Accent3 2 2 4 4 3" xfId="3845" xr:uid="{00000000-0005-0000-0000-000097670000}"/>
    <cellStyle name="40% - Accent3 2 2 4 4 3 2" xfId="8707" xr:uid="{00000000-0005-0000-0000-000098670000}"/>
    <cellStyle name="40% - Accent3 2 2 4 4 3 2 2" xfId="28158" xr:uid="{00000000-0005-0000-0000-000099670000}"/>
    <cellStyle name="40% - Accent3 2 2 4 4 3 2 3" xfId="37883" xr:uid="{00000000-0005-0000-0000-00009A670000}"/>
    <cellStyle name="40% - Accent3 2 2 4 4 3 2 4" xfId="47608" xr:uid="{00000000-0005-0000-0000-00009B670000}"/>
    <cellStyle name="40% - Accent3 2 2 4 4 3 2 5" xfId="18433" xr:uid="{00000000-0005-0000-0000-00009C670000}"/>
    <cellStyle name="40% - Accent3 2 2 4 4 3 3" xfId="23296" xr:uid="{00000000-0005-0000-0000-00009D670000}"/>
    <cellStyle name="40% - Accent3 2 2 4 4 3 4" xfId="33021" xr:uid="{00000000-0005-0000-0000-00009E670000}"/>
    <cellStyle name="40% - Accent3 2 2 4 4 3 5" xfId="42746" xr:uid="{00000000-0005-0000-0000-00009F670000}"/>
    <cellStyle name="40% - Accent3 2 2 4 4 3 6" xfId="13571" xr:uid="{00000000-0005-0000-0000-0000A0670000}"/>
    <cellStyle name="40% - Accent3 2 2 4 4 4" xfId="5467" xr:uid="{00000000-0005-0000-0000-0000A1670000}"/>
    <cellStyle name="40% - Accent3 2 2 4 4 4 2" xfId="24918" xr:uid="{00000000-0005-0000-0000-0000A2670000}"/>
    <cellStyle name="40% - Accent3 2 2 4 4 4 3" xfId="34643" xr:uid="{00000000-0005-0000-0000-0000A3670000}"/>
    <cellStyle name="40% - Accent3 2 2 4 4 4 4" xfId="44368" xr:uid="{00000000-0005-0000-0000-0000A4670000}"/>
    <cellStyle name="40% - Accent3 2 2 4 4 4 5" xfId="15193" xr:uid="{00000000-0005-0000-0000-0000A5670000}"/>
    <cellStyle name="40% - Accent3 2 2 4 4 5" xfId="20056" xr:uid="{00000000-0005-0000-0000-0000A6670000}"/>
    <cellStyle name="40% - Accent3 2 2 4 4 6" xfId="29781" xr:uid="{00000000-0005-0000-0000-0000A7670000}"/>
    <cellStyle name="40% - Accent3 2 2 4 4 7" xfId="39506" xr:uid="{00000000-0005-0000-0000-0000A8670000}"/>
    <cellStyle name="40% - Accent3 2 2 4 4 8" xfId="10331" xr:uid="{00000000-0005-0000-0000-0000A9670000}"/>
    <cellStyle name="40% - Accent3 2 2 4 5" xfId="1865" xr:uid="{00000000-0005-0000-0000-0000AA670000}"/>
    <cellStyle name="40% - Accent3 2 2 4 5 2" xfId="6727" xr:uid="{00000000-0005-0000-0000-0000AB670000}"/>
    <cellStyle name="40% - Accent3 2 2 4 5 2 2" xfId="26178" xr:uid="{00000000-0005-0000-0000-0000AC670000}"/>
    <cellStyle name="40% - Accent3 2 2 4 5 2 3" xfId="35903" xr:uid="{00000000-0005-0000-0000-0000AD670000}"/>
    <cellStyle name="40% - Accent3 2 2 4 5 2 4" xfId="45628" xr:uid="{00000000-0005-0000-0000-0000AE670000}"/>
    <cellStyle name="40% - Accent3 2 2 4 5 2 5" xfId="16453" xr:uid="{00000000-0005-0000-0000-0000AF670000}"/>
    <cellStyle name="40% - Accent3 2 2 4 5 3" xfId="21316" xr:uid="{00000000-0005-0000-0000-0000B0670000}"/>
    <cellStyle name="40% - Accent3 2 2 4 5 4" xfId="31041" xr:uid="{00000000-0005-0000-0000-0000B1670000}"/>
    <cellStyle name="40% - Accent3 2 2 4 5 5" xfId="40766" xr:uid="{00000000-0005-0000-0000-0000B2670000}"/>
    <cellStyle name="40% - Accent3 2 2 4 5 6" xfId="11591" xr:uid="{00000000-0005-0000-0000-0000B3670000}"/>
    <cellStyle name="40% - Accent3 2 2 4 6" xfId="3485" xr:uid="{00000000-0005-0000-0000-0000B4670000}"/>
    <cellStyle name="40% - Accent3 2 2 4 6 2" xfId="8347" xr:uid="{00000000-0005-0000-0000-0000B5670000}"/>
    <cellStyle name="40% - Accent3 2 2 4 6 2 2" xfId="27798" xr:uid="{00000000-0005-0000-0000-0000B6670000}"/>
    <cellStyle name="40% - Accent3 2 2 4 6 2 3" xfId="37523" xr:uid="{00000000-0005-0000-0000-0000B7670000}"/>
    <cellStyle name="40% - Accent3 2 2 4 6 2 4" xfId="47248" xr:uid="{00000000-0005-0000-0000-0000B8670000}"/>
    <cellStyle name="40% - Accent3 2 2 4 6 2 5" xfId="18073" xr:uid="{00000000-0005-0000-0000-0000B9670000}"/>
    <cellStyle name="40% - Accent3 2 2 4 6 3" xfId="22936" xr:uid="{00000000-0005-0000-0000-0000BA670000}"/>
    <cellStyle name="40% - Accent3 2 2 4 6 4" xfId="32661" xr:uid="{00000000-0005-0000-0000-0000BB670000}"/>
    <cellStyle name="40% - Accent3 2 2 4 6 5" xfId="42386" xr:uid="{00000000-0005-0000-0000-0000BC670000}"/>
    <cellStyle name="40% - Accent3 2 2 4 6 6" xfId="13211" xr:uid="{00000000-0005-0000-0000-0000BD670000}"/>
    <cellStyle name="40% - Accent3 2 2 4 7" xfId="5107" xr:uid="{00000000-0005-0000-0000-0000BE670000}"/>
    <cellStyle name="40% - Accent3 2 2 4 7 2" xfId="24558" xr:uid="{00000000-0005-0000-0000-0000BF670000}"/>
    <cellStyle name="40% - Accent3 2 2 4 7 3" xfId="34283" xr:uid="{00000000-0005-0000-0000-0000C0670000}"/>
    <cellStyle name="40% - Accent3 2 2 4 7 4" xfId="44008" xr:uid="{00000000-0005-0000-0000-0000C1670000}"/>
    <cellStyle name="40% - Accent3 2 2 4 7 5" xfId="14833" xr:uid="{00000000-0005-0000-0000-0000C2670000}"/>
    <cellStyle name="40% - Accent3 2 2 4 8" xfId="19696" xr:uid="{00000000-0005-0000-0000-0000C3670000}"/>
    <cellStyle name="40% - Accent3 2 2 4 9" xfId="29421" xr:uid="{00000000-0005-0000-0000-0000C4670000}"/>
    <cellStyle name="40% - Accent3 2 2 5" xfId="856" xr:uid="{00000000-0005-0000-0000-0000C5670000}"/>
    <cellStyle name="40% - Accent3 2 2 5 2" xfId="2495" xr:uid="{00000000-0005-0000-0000-0000C6670000}"/>
    <cellStyle name="40% - Accent3 2 2 5 2 2" xfId="7357" xr:uid="{00000000-0005-0000-0000-0000C7670000}"/>
    <cellStyle name="40% - Accent3 2 2 5 2 2 2" xfId="26808" xr:uid="{00000000-0005-0000-0000-0000C8670000}"/>
    <cellStyle name="40% - Accent3 2 2 5 2 2 3" xfId="36533" xr:uid="{00000000-0005-0000-0000-0000C9670000}"/>
    <cellStyle name="40% - Accent3 2 2 5 2 2 4" xfId="46258" xr:uid="{00000000-0005-0000-0000-0000CA670000}"/>
    <cellStyle name="40% - Accent3 2 2 5 2 2 5" xfId="17083" xr:uid="{00000000-0005-0000-0000-0000CB670000}"/>
    <cellStyle name="40% - Accent3 2 2 5 2 3" xfId="21946" xr:uid="{00000000-0005-0000-0000-0000CC670000}"/>
    <cellStyle name="40% - Accent3 2 2 5 2 4" xfId="31671" xr:uid="{00000000-0005-0000-0000-0000CD670000}"/>
    <cellStyle name="40% - Accent3 2 2 5 2 5" xfId="41396" xr:uid="{00000000-0005-0000-0000-0000CE670000}"/>
    <cellStyle name="40% - Accent3 2 2 5 2 6" xfId="12221" xr:uid="{00000000-0005-0000-0000-0000CF670000}"/>
    <cellStyle name="40% - Accent3 2 2 5 3" xfId="4115" xr:uid="{00000000-0005-0000-0000-0000D0670000}"/>
    <cellStyle name="40% - Accent3 2 2 5 3 2" xfId="8977" xr:uid="{00000000-0005-0000-0000-0000D1670000}"/>
    <cellStyle name="40% - Accent3 2 2 5 3 2 2" xfId="28428" xr:uid="{00000000-0005-0000-0000-0000D2670000}"/>
    <cellStyle name="40% - Accent3 2 2 5 3 2 3" xfId="38153" xr:uid="{00000000-0005-0000-0000-0000D3670000}"/>
    <cellStyle name="40% - Accent3 2 2 5 3 2 4" xfId="47878" xr:uid="{00000000-0005-0000-0000-0000D4670000}"/>
    <cellStyle name="40% - Accent3 2 2 5 3 2 5" xfId="18703" xr:uid="{00000000-0005-0000-0000-0000D5670000}"/>
    <cellStyle name="40% - Accent3 2 2 5 3 3" xfId="23566" xr:uid="{00000000-0005-0000-0000-0000D6670000}"/>
    <cellStyle name="40% - Accent3 2 2 5 3 4" xfId="33291" xr:uid="{00000000-0005-0000-0000-0000D7670000}"/>
    <cellStyle name="40% - Accent3 2 2 5 3 5" xfId="43016" xr:uid="{00000000-0005-0000-0000-0000D8670000}"/>
    <cellStyle name="40% - Accent3 2 2 5 3 6" xfId="13841" xr:uid="{00000000-0005-0000-0000-0000D9670000}"/>
    <cellStyle name="40% - Accent3 2 2 5 4" xfId="5737" xr:uid="{00000000-0005-0000-0000-0000DA670000}"/>
    <cellStyle name="40% - Accent3 2 2 5 4 2" xfId="25188" xr:uid="{00000000-0005-0000-0000-0000DB670000}"/>
    <cellStyle name="40% - Accent3 2 2 5 4 3" xfId="34913" xr:uid="{00000000-0005-0000-0000-0000DC670000}"/>
    <cellStyle name="40% - Accent3 2 2 5 4 4" xfId="44638" xr:uid="{00000000-0005-0000-0000-0000DD670000}"/>
    <cellStyle name="40% - Accent3 2 2 5 4 5" xfId="15463" xr:uid="{00000000-0005-0000-0000-0000DE670000}"/>
    <cellStyle name="40% - Accent3 2 2 5 5" xfId="20326" xr:uid="{00000000-0005-0000-0000-0000DF670000}"/>
    <cellStyle name="40% - Accent3 2 2 5 6" xfId="30051" xr:uid="{00000000-0005-0000-0000-0000E0670000}"/>
    <cellStyle name="40% - Accent3 2 2 5 7" xfId="39776" xr:uid="{00000000-0005-0000-0000-0000E1670000}"/>
    <cellStyle name="40% - Accent3 2 2 5 8" xfId="10601" xr:uid="{00000000-0005-0000-0000-0000E2670000}"/>
    <cellStyle name="40% - Accent3 2 2 6" xfId="1234" xr:uid="{00000000-0005-0000-0000-0000E3670000}"/>
    <cellStyle name="40% - Accent3 2 2 6 2" xfId="2855" xr:uid="{00000000-0005-0000-0000-0000E4670000}"/>
    <cellStyle name="40% - Accent3 2 2 6 2 2" xfId="7717" xr:uid="{00000000-0005-0000-0000-0000E5670000}"/>
    <cellStyle name="40% - Accent3 2 2 6 2 2 2" xfId="27168" xr:uid="{00000000-0005-0000-0000-0000E6670000}"/>
    <cellStyle name="40% - Accent3 2 2 6 2 2 3" xfId="36893" xr:uid="{00000000-0005-0000-0000-0000E7670000}"/>
    <cellStyle name="40% - Accent3 2 2 6 2 2 4" xfId="46618" xr:uid="{00000000-0005-0000-0000-0000E8670000}"/>
    <cellStyle name="40% - Accent3 2 2 6 2 2 5" xfId="17443" xr:uid="{00000000-0005-0000-0000-0000E9670000}"/>
    <cellStyle name="40% - Accent3 2 2 6 2 3" xfId="22306" xr:uid="{00000000-0005-0000-0000-0000EA670000}"/>
    <cellStyle name="40% - Accent3 2 2 6 2 4" xfId="32031" xr:uid="{00000000-0005-0000-0000-0000EB670000}"/>
    <cellStyle name="40% - Accent3 2 2 6 2 5" xfId="41756" xr:uid="{00000000-0005-0000-0000-0000EC670000}"/>
    <cellStyle name="40% - Accent3 2 2 6 2 6" xfId="12581" xr:uid="{00000000-0005-0000-0000-0000ED670000}"/>
    <cellStyle name="40% - Accent3 2 2 6 3" xfId="4475" xr:uid="{00000000-0005-0000-0000-0000EE670000}"/>
    <cellStyle name="40% - Accent3 2 2 6 3 2" xfId="9337" xr:uid="{00000000-0005-0000-0000-0000EF670000}"/>
    <cellStyle name="40% - Accent3 2 2 6 3 2 2" xfId="28788" xr:uid="{00000000-0005-0000-0000-0000F0670000}"/>
    <cellStyle name="40% - Accent3 2 2 6 3 2 3" xfId="38513" xr:uid="{00000000-0005-0000-0000-0000F1670000}"/>
    <cellStyle name="40% - Accent3 2 2 6 3 2 4" xfId="48238" xr:uid="{00000000-0005-0000-0000-0000F2670000}"/>
    <cellStyle name="40% - Accent3 2 2 6 3 2 5" xfId="19063" xr:uid="{00000000-0005-0000-0000-0000F3670000}"/>
    <cellStyle name="40% - Accent3 2 2 6 3 3" xfId="23926" xr:uid="{00000000-0005-0000-0000-0000F4670000}"/>
    <cellStyle name="40% - Accent3 2 2 6 3 4" xfId="33651" xr:uid="{00000000-0005-0000-0000-0000F5670000}"/>
    <cellStyle name="40% - Accent3 2 2 6 3 5" xfId="43376" xr:uid="{00000000-0005-0000-0000-0000F6670000}"/>
    <cellStyle name="40% - Accent3 2 2 6 3 6" xfId="14201" xr:uid="{00000000-0005-0000-0000-0000F7670000}"/>
    <cellStyle name="40% - Accent3 2 2 6 4" xfId="6097" xr:uid="{00000000-0005-0000-0000-0000F8670000}"/>
    <cellStyle name="40% - Accent3 2 2 6 4 2" xfId="25548" xr:uid="{00000000-0005-0000-0000-0000F9670000}"/>
    <cellStyle name="40% - Accent3 2 2 6 4 3" xfId="35273" xr:uid="{00000000-0005-0000-0000-0000FA670000}"/>
    <cellStyle name="40% - Accent3 2 2 6 4 4" xfId="44998" xr:uid="{00000000-0005-0000-0000-0000FB670000}"/>
    <cellStyle name="40% - Accent3 2 2 6 4 5" xfId="15823" xr:uid="{00000000-0005-0000-0000-0000FC670000}"/>
    <cellStyle name="40% - Accent3 2 2 6 5" xfId="20686" xr:uid="{00000000-0005-0000-0000-0000FD670000}"/>
    <cellStyle name="40% - Accent3 2 2 6 6" xfId="30411" xr:uid="{00000000-0005-0000-0000-0000FE670000}"/>
    <cellStyle name="40% - Accent3 2 2 6 7" xfId="40136" xr:uid="{00000000-0005-0000-0000-0000FF670000}"/>
    <cellStyle name="40% - Accent3 2 2 6 8" xfId="10961" xr:uid="{00000000-0005-0000-0000-000000680000}"/>
    <cellStyle name="40% - Accent3 2 2 7" xfId="1324" xr:uid="{00000000-0005-0000-0000-000001680000}"/>
    <cellStyle name="40% - Accent3 2 2 7 2" xfId="2945" xr:uid="{00000000-0005-0000-0000-000002680000}"/>
    <cellStyle name="40% - Accent3 2 2 7 2 2" xfId="7807" xr:uid="{00000000-0005-0000-0000-000003680000}"/>
    <cellStyle name="40% - Accent3 2 2 7 2 2 2" xfId="27258" xr:uid="{00000000-0005-0000-0000-000004680000}"/>
    <cellStyle name="40% - Accent3 2 2 7 2 2 3" xfId="36983" xr:uid="{00000000-0005-0000-0000-000005680000}"/>
    <cellStyle name="40% - Accent3 2 2 7 2 2 4" xfId="46708" xr:uid="{00000000-0005-0000-0000-000006680000}"/>
    <cellStyle name="40% - Accent3 2 2 7 2 2 5" xfId="17533" xr:uid="{00000000-0005-0000-0000-000007680000}"/>
    <cellStyle name="40% - Accent3 2 2 7 2 3" xfId="22396" xr:uid="{00000000-0005-0000-0000-000008680000}"/>
    <cellStyle name="40% - Accent3 2 2 7 2 4" xfId="32121" xr:uid="{00000000-0005-0000-0000-000009680000}"/>
    <cellStyle name="40% - Accent3 2 2 7 2 5" xfId="41846" xr:uid="{00000000-0005-0000-0000-00000A680000}"/>
    <cellStyle name="40% - Accent3 2 2 7 2 6" xfId="12671" xr:uid="{00000000-0005-0000-0000-00000B680000}"/>
    <cellStyle name="40% - Accent3 2 2 7 3" xfId="4565" xr:uid="{00000000-0005-0000-0000-00000C680000}"/>
    <cellStyle name="40% - Accent3 2 2 7 3 2" xfId="9427" xr:uid="{00000000-0005-0000-0000-00000D680000}"/>
    <cellStyle name="40% - Accent3 2 2 7 3 2 2" xfId="28878" xr:uid="{00000000-0005-0000-0000-00000E680000}"/>
    <cellStyle name="40% - Accent3 2 2 7 3 2 3" xfId="38603" xr:uid="{00000000-0005-0000-0000-00000F680000}"/>
    <cellStyle name="40% - Accent3 2 2 7 3 2 4" xfId="48328" xr:uid="{00000000-0005-0000-0000-000010680000}"/>
    <cellStyle name="40% - Accent3 2 2 7 3 2 5" xfId="19153" xr:uid="{00000000-0005-0000-0000-000011680000}"/>
    <cellStyle name="40% - Accent3 2 2 7 3 3" xfId="24016" xr:uid="{00000000-0005-0000-0000-000012680000}"/>
    <cellStyle name="40% - Accent3 2 2 7 3 4" xfId="33741" xr:uid="{00000000-0005-0000-0000-000013680000}"/>
    <cellStyle name="40% - Accent3 2 2 7 3 5" xfId="43466" xr:uid="{00000000-0005-0000-0000-000014680000}"/>
    <cellStyle name="40% - Accent3 2 2 7 3 6" xfId="14291" xr:uid="{00000000-0005-0000-0000-000015680000}"/>
    <cellStyle name="40% - Accent3 2 2 7 4" xfId="6187" xr:uid="{00000000-0005-0000-0000-000016680000}"/>
    <cellStyle name="40% - Accent3 2 2 7 4 2" xfId="25638" xr:uid="{00000000-0005-0000-0000-000017680000}"/>
    <cellStyle name="40% - Accent3 2 2 7 4 3" xfId="35363" xr:uid="{00000000-0005-0000-0000-000018680000}"/>
    <cellStyle name="40% - Accent3 2 2 7 4 4" xfId="45088" xr:uid="{00000000-0005-0000-0000-000019680000}"/>
    <cellStyle name="40% - Accent3 2 2 7 4 5" xfId="15913" xr:uid="{00000000-0005-0000-0000-00001A680000}"/>
    <cellStyle name="40% - Accent3 2 2 7 5" xfId="20776" xr:uid="{00000000-0005-0000-0000-00001B680000}"/>
    <cellStyle name="40% - Accent3 2 2 7 6" xfId="30501" xr:uid="{00000000-0005-0000-0000-00001C680000}"/>
    <cellStyle name="40% - Accent3 2 2 7 7" xfId="40226" xr:uid="{00000000-0005-0000-0000-00001D680000}"/>
    <cellStyle name="40% - Accent3 2 2 7 8" xfId="11051" xr:uid="{00000000-0005-0000-0000-00001E680000}"/>
    <cellStyle name="40% - Accent3 2 2 8" xfId="495" xr:uid="{00000000-0005-0000-0000-00001F680000}"/>
    <cellStyle name="40% - Accent3 2 2 8 2" xfId="2135" xr:uid="{00000000-0005-0000-0000-000020680000}"/>
    <cellStyle name="40% - Accent3 2 2 8 2 2" xfId="6997" xr:uid="{00000000-0005-0000-0000-000021680000}"/>
    <cellStyle name="40% - Accent3 2 2 8 2 2 2" xfId="26448" xr:uid="{00000000-0005-0000-0000-000022680000}"/>
    <cellStyle name="40% - Accent3 2 2 8 2 2 3" xfId="36173" xr:uid="{00000000-0005-0000-0000-000023680000}"/>
    <cellStyle name="40% - Accent3 2 2 8 2 2 4" xfId="45898" xr:uid="{00000000-0005-0000-0000-000024680000}"/>
    <cellStyle name="40% - Accent3 2 2 8 2 2 5" xfId="16723" xr:uid="{00000000-0005-0000-0000-000025680000}"/>
    <cellStyle name="40% - Accent3 2 2 8 2 3" xfId="21586" xr:uid="{00000000-0005-0000-0000-000026680000}"/>
    <cellStyle name="40% - Accent3 2 2 8 2 4" xfId="31311" xr:uid="{00000000-0005-0000-0000-000027680000}"/>
    <cellStyle name="40% - Accent3 2 2 8 2 5" xfId="41036" xr:uid="{00000000-0005-0000-0000-000028680000}"/>
    <cellStyle name="40% - Accent3 2 2 8 2 6" xfId="11861" xr:uid="{00000000-0005-0000-0000-000029680000}"/>
    <cellStyle name="40% - Accent3 2 2 8 3" xfId="3755" xr:uid="{00000000-0005-0000-0000-00002A680000}"/>
    <cellStyle name="40% - Accent3 2 2 8 3 2" xfId="8617" xr:uid="{00000000-0005-0000-0000-00002B680000}"/>
    <cellStyle name="40% - Accent3 2 2 8 3 2 2" xfId="28068" xr:uid="{00000000-0005-0000-0000-00002C680000}"/>
    <cellStyle name="40% - Accent3 2 2 8 3 2 3" xfId="37793" xr:uid="{00000000-0005-0000-0000-00002D680000}"/>
    <cellStyle name="40% - Accent3 2 2 8 3 2 4" xfId="47518" xr:uid="{00000000-0005-0000-0000-00002E680000}"/>
    <cellStyle name="40% - Accent3 2 2 8 3 2 5" xfId="18343" xr:uid="{00000000-0005-0000-0000-00002F680000}"/>
    <cellStyle name="40% - Accent3 2 2 8 3 3" xfId="23206" xr:uid="{00000000-0005-0000-0000-000030680000}"/>
    <cellStyle name="40% - Accent3 2 2 8 3 4" xfId="32931" xr:uid="{00000000-0005-0000-0000-000031680000}"/>
    <cellStyle name="40% - Accent3 2 2 8 3 5" xfId="42656" xr:uid="{00000000-0005-0000-0000-000032680000}"/>
    <cellStyle name="40% - Accent3 2 2 8 3 6" xfId="13481" xr:uid="{00000000-0005-0000-0000-000033680000}"/>
    <cellStyle name="40% - Accent3 2 2 8 4" xfId="5377" xr:uid="{00000000-0005-0000-0000-000034680000}"/>
    <cellStyle name="40% - Accent3 2 2 8 4 2" xfId="24828" xr:uid="{00000000-0005-0000-0000-000035680000}"/>
    <cellStyle name="40% - Accent3 2 2 8 4 3" xfId="34553" xr:uid="{00000000-0005-0000-0000-000036680000}"/>
    <cellStyle name="40% - Accent3 2 2 8 4 4" xfId="44278" xr:uid="{00000000-0005-0000-0000-000037680000}"/>
    <cellStyle name="40% - Accent3 2 2 8 4 5" xfId="15103" xr:uid="{00000000-0005-0000-0000-000038680000}"/>
    <cellStyle name="40% - Accent3 2 2 8 5" xfId="19966" xr:uid="{00000000-0005-0000-0000-000039680000}"/>
    <cellStyle name="40% - Accent3 2 2 8 6" xfId="29691" xr:uid="{00000000-0005-0000-0000-00003A680000}"/>
    <cellStyle name="40% - Accent3 2 2 8 7" xfId="39416" xr:uid="{00000000-0005-0000-0000-00003B680000}"/>
    <cellStyle name="40% - Accent3 2 2 8 8" xfId="10241" xr:uid="{00000000-0005-0000-0000-00003C680000}"/>
    <cellStyle name="40% - Accent3 2 2 9" xfId="1684" xr:uid="{00000000-0005-0000-0000-00003D680000}"/>
    <cellStyle name="40% - Accent3 2 2 9 2" xfId="3305" xr:uid="{00000000-0005-0000-0000-00003E680000}"/>
    <cellStyle name="40% - Accent3 2 2 9 2 2" xfId="8167" xr:uid="{00000000-0005-0000-0000-00003F680000}"/>
    <cellStyle name="40% - Accent3 2 2 9 2 2 2" xfId="27618" xr:uid="{00000000-0005-0000-0000-000040680000}"/>
    <cellStyle name="40% - Accent3 2 2 9 2 2 3" xfId="37343" xr:uid="{00000000-0005-0000-0000-000041680000}"/>
    <cellStyle name="40% - Accent3 2 2 9 2 2 4" xfId="47068" xr:uid="{00000000-0005-0000-0000-000042680000}"/>
    <cellStyle name="40% - Accent3 2 2 9 2 2 5" xfId="17893" xr:uid="{00000000-0005-0000-0000-000043680000}"/>
    <cellStyle name="40% - Accent3 2 2 9 2 3" xfId="22756" xr:uid="{00000000-0005-0000-0000-000044680000}"/>
    <cellStyle name="40% - Accent3 2 2 9 2 4" xfId="32481" xr:uid="{00000000-0005-0000-0000-000045680000}"/>
    <cellStyle name="40% - Accent3 2 2 9 2 5" xfId="42206" xr:uid="{00000000-0005-0000-0000-000046680000}"/>
    <cellStyle name="40% - Accent3 2 2 9 2 6" xfId="13031" xr:uid="{00000000-0005-0000-0000-000047680000}"/>
    <cellStyle name="40% - Accent3 2 2 9 3" xfId="4925" xr:uid="{00000000-0005-0000-0000-000048680000}"/>
    <cellStyle name="40% - Accent3 2 2 9 3 2" xfId="9787" xr:uid="{00000000-0005-0000-0000-000049680000}"/>
    <cellStyle name="40% - Accent3 2 2 9 3 2 2" xfId="29238" xr:uid="{00000000-0005-0000-0000-00004A680000}"/>
    <cellStyle name="40% - Accent3 2 2 9 3 2 3" xfId="38963" xr:uid="{00000000-0005-0000-0000-00004B680000}"/>
    <cellStyle name="40% - Accent3 2 2 9 3 2 4" xfId="48688" xr:uid="{00000000-0005-0000-0000-00004C680000}"/>
    <cellStyle name="40% - Accent3 2 2 9 3 2 5" xfId="19513" xr:uid="{00000000-0005-0000-0000-00004D680000}"/>
    <cellStyle name="40% - Accent3 2 2 9 3 3" xfId="24376" xr:uid="{00000000-0005-0000-0000-00004E680000}"/>
    <cellStyle name="40% - Accent3 2 2 9 3 4" xfId="34101" xr:uid="{00000000-0005-0000-0000-00004F680000}"/>
    <cellStyle name="40% - Accent3 2 2 9 3 5" xfId="43826" xr:uid="{00000000-0005-0000-0000-000050680000}"/>
    <cellStyle name="40% - Accent3 2 2 9 3 6" xfId="14651" xr:uid="{00000000-0005-0000-0000-000051680000}"/>
    <cellStyle name="40% - Accent3 2 2 9 4" xfId="6547" xr:uid="{00000000-0005-0000-0000-000052680000}"/>
    <cellStyle name="40% - Accent3 2 2 9 4 2" xfId="25998" xr:uid="{00000000-0005-0000-0000-000053680000}"/>
    <cellStyle name="40% - Accent3 2 2 9 4 3" xfId="35723" xr:uid="{00000000-0005-0000-0000-000054680000}"/>
    <cellStyle name="40% - Accent3 2 2 9 4 4" xfId="45448" xr:uid="{00000000-0005-0000-0000-000055680000}"/>
    <cellStyle name="40% - Accent3 2 2 9 4 5" xfId="16273" xr:uid="{00000000-0005-0000-0000-000056680000}"/>
    <cellStyle name="40% - Accent3 2 2 9 5" xfId="21136" xr:uid="{00000000-0005-0000-0000-000057680000}"/>
    <cellStyle name="40% - Accent3 2 2 9 6" xfId="30861" xr:uid="{00000000-0005-0000-0000-000058680000}"/>
    <cellStyle name="40% - Accent3 2 2 9 7" xfId="40586" xr:uid="{00000000-0005-0000-0000-000059680000}"/>
    <cellStyle name="40% - Accent3 2 2 9 8" xfId="11411" xr:uid="{00000000-0005-0000-0000-00005A680000}"/>
    <cellStyle name="40% - Accent3 2 3" xfId="121" xr:uid="{00000000-0005-0000-0000-00005B680000}"/>
    <cellStyle name="40% - Accent3 2 3 10" xfId="1805" xr:uid="{00000000-0005-0000-0000-00005C680000}"/>
    <cellStyle name="40% - Accent3 2 3 10 2" xfId="6667" xr:uid="{00000000-0005-0000-0000-00005D680000}"/>
    <cellStyle name="40% - Accent3 2 3 10 2 2" xfId="26118" xr:uid="{00000000-0005-0000-0000-00005E680000}"/>
    <cellStyle name="40% - Accent3 2 3 10 2 3" xfId="35843" xr:uid="{00000000-0005-0000-0000-00005F680000}"/>
    <cellStyle name="40% - Accent3 2 3 10 2 4" xfId="45568" xr:uid="{00000000-0005-0000-0000-000060680000}"/>
    <cellStyle name="40% - Accent3 2 3 10 2 5" xfId="16393" xr:uid="{00000000-0005-0000-0000-000061680000}"/>
    <cellStyle name="40% - Accent3 2 3 10 3" xfId="21256" xr:uid="{00000000-0005-0000-0000-000062680000}"/>
    <cellStyle name="40% - Accent3 2 3 10 4" xfId="30981" xr:uid="{00000000-0005-0000-0000-000063680000}"/>
    <cellStyle name="40% - Accent3 2 3 10 5" xfId="40706" xr:uid="{00000000-0005-0000-0000-000064680000}"/>
    <cellStyle name="40% - Accent3 2 3 10 6" xfId="11531" xr:uid="{00000000-0005-0000-0000-000065680000}"/>
    <cellStyle name="40% - Accent3 2 3 11" xfId="3425" xr:uid="{00000000-0005-0000-0000-000066680000}"/>
    <cellStyle name="40% - Accent3 2 3 11 2" xfId="8287" xr:uid="{00000000-0005-0000-0000-000067680000}"/>
    <cellStyle name="40% - Accent3 2 3 11 2 2" xfId="27738" xr:uid="{00000000-0005-0000-0000-000068680000}"/>
    <cellStyle name="40% - Accent3 2 3 11 2 3" xfId="37463" xr:uid="{00000000-0005-0000-0000-000069680000}"/>
    <cellStyle name="40% - Accent3 2 3 11 2 4" xfId="47188" xr:uid="{00000000-0005-0000-0000-00006A680000}"/>
    <cellStyle name="40% - Accent3 2 3 11 2 5" xfId="18013" xr:uid="{00000000-0005-0000-0000-00006B680000}"/>
    <cellStyle name="40% - Accent3 2 3 11 3" xfId="22876" xr:uid="{00000000-0005-0000-0000-00006C680000}"/>
    <cellStyle name="40% - Accent3 2 3 11 4" xfId="32601" xr:uid="{00000000-0005-0000-0000-00006D680000}"/>
    <cellStyle name="40% - Accent3 2 3 11 5" xfId="42326" xr:uid="{00000000-0005-0000-0000-00006E680000}"/>
    <cellStyle name="40% - Accent3 2 3 11 6" xfId="13151" xr:uid="{00000000-0005-0000-0000-00006F680000}"/>
    <cellStyle name="40% - Accent3 2 3 12" xfId="5047" xr:uid="{00000000-0005-0000-0000-000070680000}"/>
    <cellStyle name="40% - Accent3 2 3 12 2" xfId="24498" xr:uid="{00000000-0005-0000-0000-000071680000}"/>
    <cellStyle name="40% - Accent3 2 3 12 3" xfId="34223" xr:uid="{00000000-0005-0000-0000-000072680000}"/>
    <cellStyle name="40% - Accent3 2 3 12 4" xfId="43948" xr:uid="{00000000-0005-0000-0000-000073680000}"/>
    <cellStyle name="40% - Accent3 2 3 12 5" xfId="14773" xr:uid="{00000000-0005-0000-0000-000074680000}"/>
    <cellStyle name="40% - Accent3 2 3 13" xfId="19636" xr:uid="{00000000-0005-0000-0000-000075680000}"/>
    <cellStyle name="40% - Accent3 2 3 14" xfId="29361" xr:uid="{00000000-0005-0000-0000-000076680000}"/>
    <cellStyle name="40% - Accent3 2 3 15" xfId="39086" xr:uid="{00000000-0005-0000-0000-000077680000}"/>
    <cellStyle name="40% - Accent3 2 3 16" xfId="9911" xr:uid="{00000000-0005-0000-0000-000078680000}"/>
    <cellStyle name="40% - Accent3 2 3 2" xfId="303" xr:uid="{00000000-0005-0000-0000-000079680000}"/>
    <cellStyle name="40% - Accent3 2 3 2 10" xfId="39266" xr:uid="{00000000-0005-0000-0000-00007A680000}"/>
    <cellStyle name="40% - Accent3 2 3 2 11" xfId="10091" xr:uid="{00000000-0005-0000-0000-00007B680000}"/>
    <cellStyle name="40% - Accent3 2 3 2 2" xfId="1067" xr:uid="{00000000-0005-0000-0000-00007C680000}"/>
    <cellStyle name="40% - Accent3 2 3 2 2 2" xfId="2705" xr:uid="{00000000-0005-0000-0000-00007D680000}"/>
    <cellStyle name="40% - Accent3 2 3 2 2 2 2" xfId="7567" xr:uid="{00000000-0005-0000-0000-00007E680000}"/>
    <cellStyle name="40% - Accent3 2 3 2 2 2 2 2" xfId="27018" xr:uid="{00000000-0005-0000-0000-00007F680000}"/>
    <cellStyle name="40% - Accent3 2 3 2 2 2 2 3" xfId="36743" xr:uid="{00000000-0005-0000-0000-000080680000}"/>
    <cellStyle name="40% - Accent3 2 3 2 2 2 2 4" xfId="46468" xr:uid="{00000000-0005-0000-0000-000081680000}"/>
    <cellStyle name="40% - Accent3 2 3 2 2 2 2 5" xfId="17293" xr:uid="{00000000-0005-0000-0000-000082680000}"/>
    <cellStyle name="40% - Accent3 2 3 2 2 2 3" xfId="22156" xr:uid="{00000000-0005-0000-0000-000083680000}"/>
    <cellStyle name="40% - Accent3 2 3 2 2 2 4" xfId="31881" xr:uid="{00000000-0005-0000-0000-000084680000}"/>
    <cellStyle name="40% - Accent3 2 3 2 2 2 5" xfId="41606" xr:uid="{00000000-0005-0000-0000-000085680000}"/>
    <cellStyle name="40% - Accent3 2 3 2 2 2 6" xfId="12431" xr:uid="{00000000-0005-0000-0000-000086680000}"/>
    <cellStyle name="40% - Accent3 2 3 2 2 3" xfId="4325" xr:uid="{00000000-0005-0000-0000-000087680000}"/>
    <cellStyle name="40% - Accent3 2 3 2 2 3 2" xfId="9187" xr:uid="{00000000-0005-0000-0000-000088680000}"/>
    <cellStyle name="40% - Accent3 2 3 2 2 3 2 2" xfId="28638" xr:uid="{00000000-0005-0000-0000-000089680000}"/>
    <cellStyle name="40% - Accent3 2 3 2 2 3 2 3" xfId="38363" xr:uid="{00000000-0005-0000-0000-00008A680000}"/>
    <cellStyle name="40% - Accent3 2 3 2 2 3 2 4" xfId="48088" xr:uid="{00000000-0005-0000-0000-00008B680000}"/>
    <cellStyle name="40% - Accent3 2 3 2 2 3 2 5" xfId="18913" xr:uid="{00000000-0005-0000-0000-00008C680000}"/>
    <cellStyle name="40% - Accent3 2 3 2 2 3 3" xfId="23776" xr:uid="{00000000-0005-0000-0000-00008D680000}"/>
    <cellStyle name="40% - Accent3 2 3 2 2 3 4" xfId="33501" xr:uid="{00000000-0005-0000-0000-00008E680000}"/>
    <cellStyle name="40% - Accent3 2 3 2 2 3 5" xfId="43226" xr:uid="{00000000-0005-0000-0000-00008F680000}"/>
    <cellStyle name="40% - Accent3 2 3 2 2 3 6" xfId="14051" xr:uid="{00000000-0005-0000-0000-000090680000}"/>
    <cellStyle name="40% - Accent3 2 3 2 2 4" xfId="5947" xr:uid="{00000000-0005-0000-0000-000091680000}"/>
    <cellStyle name="40% - Accent3 2 3 2 2 4 2" xfId="25398" xr:uid="{00000000-0005-0000-0000-000092680000}"/>
    <cellStyle name="40% - Accent3 2 3 2 2 4 3" xfId="35123" xr:uid="{00000000-0005-0000-0000-000093680000}"/>
    <cellStyle name="40% - Accent3 2 3 2 2 4 4" xfId="44848" xr:uid="{00000000-0005-0000-0000-000094680000}"/>
    <cellStyle name="40% - Accent3 2 3 2 2 4 5" xfId="15673" xr:uid="{00000000-0005-0000-0000-000095680000}"/>
    <cellStyle name="40% - Accent3 2 3 2 2 5" xfId="20536" xr:uid="{00000000-0005-0000-0000-000096680000}"/>
    <cellStyle name="40% - Accent3 2 3 2 2 6" xfId="30261" xr:uid="{00000000-0005-0000-0000-000097680000}"/>
    <cellStyle name="40% - Accent3 2 3 2 2 7" xfId="39986" xr:uid="{00000000-0005-0000-0000-000098680000}"/>
    <cellStyle name="40% - Accent3 2 3 2 2 8" xfId="10811" xr:uid="{00000000-0005-0000-0000-000099680000}"/>
    <cellStyle name="40% - Accent3 2 3 2 3" xfId="1534" xr:uid="{00000000-0005-0000-0000-00009A680000}"/>
    <cellStyle name="40% - Accent3 2 3 2 3 2" xfId="3155" xr:uid="{00000000-0005-0000-0000-00009B680000}"/>
    <cellStyle name="40% - Accent3 2 3 2 3 2 2" xfId="8017" xr:uid="{00000000-0005-0000-0000-00009C680000}"/>
    <cellStyle name="40% - Accent3 2 3 2 3 2 2 2" xfId="27468" xr:uid="{00000000-0005-0000-0000-00009D680000}"/>
    <cellStyle name="40% - Accent3 2 3 2 3 2 2 3" xfId="37193" xr:uid="{00000000-0005-0000-0000-00009E680000}"/>
    <cellStyle name="40% - Accent3 2 3 2 3 2 2 4" xfId="46918" xr:uid="{00000000-0005-0000-0000-00009F680000}"/>
    <cellStyle name="40% - Accent3 2 3 2 3 2 2 5" xfId="17743" xr:uid="{00000000-0005-0000-0000-0000A0680000}"/>
    <cellStyle name="40% - Accent3 2 3 2 3 2 3" xfId="22606" xr:uid="{00000000-0005-0000-0000-0000A1680000}"/>
    <cellStyle name="40% - Accent3 2 3 2 3 2 4" xfId="32331" xr:uid="{00000000-0005-0000-0000-0000A2680000}"/>
    <cellStyle name="40% - Accent3 2 3 2 3 2 5" xfId="42056" xr:uid="{00000000-0005-0000-0000-0000A3680000}"/>
    <cellStyle name="40% - Accent3 2 3 2 3 2 6" xfId="12881" xr:uid="{00000000-0005-0000-0000-0000A4680000}"/>
    <cellStyle name="40% - Accent3 2 3 2 3 3" xfId="4775" xr:uid="{00000000-0005-0000-0000-0000A5680000}"/>
    <cellStyle name="40% - Accent3 2 3 2 3 3 2" xfId="9637" xr:uid="{00000000-0005-0000-0000-0000A6680000}"/>
    <cellStyle name="40% - Accent3 2 3 2 3 3 2 2" xfId="29088" xr:uid="{00000000-0005-0000-0000-0000A7680000}"/>
    <cellStyle name="40% - Accent3 2 3 2 3 3 2 3" xfId="38813" xr:uid="{00000000-0005-0000-0000-0000A8680000}"/>
    <cellStyle name="40% - Accent3 2 3 2 3 3 2 4" xfId="48538" xr:uid="{00000000-0005-0000-0000-0000A9680000}"/>
    <cellStyle name="40% - Accent3 2 3 2 3 3 2 5" xfId="19363" xr:uid="{00000000-0005-0000-0000-0000AA680000}"/>
    <cellStyle name="40% - Accent3 2 3 2 3 3 3" xfId="24226" xr:uid="{00000000-0005-0000-0000-0000AB680000}"/>
    <cellStyle name="40% - Accent3 2 3 2 3 3 4" xfId="33951" xr:uid="{00000000-0005-0000-0000-0000AC680000}"/>
    <cellStyle name="40% - Accent3 2 3 2 3 3 5" xfId="43676" xr:uid="{00000000-0005-0000-0000-0000AD680000}"/>
    <cellStyle name="40% - Accent3 2 3 2 3 3 6" xfId="14501" xr:uid="{00000000-0005-0000-0000-0000AE680000}"/>
    <cellStyle name="40% - Accent3 2 3 2 3 4" xfId="6397" xr:uid="{00000000-0005-0000-0000-0000AF680000}"/>
    <cellStyle name="40% - Accent3 2 3 2 3 4 2" xfId="25848" xr:uid="{00000000-0005-0000-0000-0000B0680000}"/>
    <cellStyle name="40% - Accent3 2 3 2 3 4 3" xfId="35573" xr:uid="{00000000-0005-0000-0000-0000B1680000}"/>
    <cellStyle name="40% - Accent3 2 3 2 3 4 4" xfId="45298" xr:uid="{00000000-0005-0000-0000-0000B2680000}"/>
    <cellStyle name="40% - Accent3 2 3 2 3 4 5" xfId="16123" xr:uid="{00000000-0005-0000-0000-0000B3680000}"/>
    <cellStyle name="40% - Accent3 2 3 2 3 5" xfId="20986" xr:uid="{00000000-0005-0000-0000-0000B4680000}"/>
    <cellStyle name="40% - Accent3 2 3 2 3 6" xfId="30711" xr:uid="{00000000-0005-0000-0000-0000B5680000}"/>
    <cellStyle name="40% - Accent3 2 3 2 3 7" xfId="40436" xr:uid="{00000000-0005-0000-0000-0000B6680000}"/>
    <cellStyle name="40% - Accent3 2 3 2 3 8" xfId="11261" xr:uid="{00000000-0005-0000-0000-0000B7680000}"/>
    <cellStyle name="40% - Accent3 2 3 2 4" xfId="705" xr:uid="{00000000-0005-0000-0000-0000B8680000}"/>
    <cellStyle name="40% - Accent3 2 3 2 4 2" xfId="2345" xr:uid="{00000000-0005-0000-0000-0000B9680000}"/>
    <cellStyle name="40% - Accent3 2 3 2 4 2 2" xfId="7207" xr:uid="{00000000-0005-0000-0000-0000BA680000}"/>
    <cellStyle name="40% - Accent3 2 3 2 4 2 2 2" xfId="26658" xr:uid="{00000000-0005-0000-0000-0000BB680000}"/>
    <cellStyle name="40% - Accent3 2 3 2 4 2 2 3" xfId="36383" xr:uid="{00000000-0005-0000-0000-0000BC680000}"/>
    <cellStyle name="40% - Accent3 2 3 2 4 2 2 4" xfId="46108" xr:uid="{00000000-0005-0000-0000-0000BD680000}"/>
    <cellStyle name="40% - Accent3 2 3 2 4 2 2 5" xfId="16933" xr:uid="{00000000-0005-0000-0000-0000BE680000}"/>
    <cellStyle name="40% - Accent3 2 3 2 4 2 3" xfId="21796" xr:uid="{00000000-0005-0000-0000-0000BF680000}"/>
    <cellStyle name="40% - Accent3 2 3 2 4 2 4" xfId="31521" xr:uid="{00000000-0005-0000-0000-0000C0680000}"/>
    <cellStyle name="40% - Accent3 2 3 2 4 2 5" xfId="41246" xr:uid="{00000000-0005-0000-0000-0000C1680000}"/>
    <cellStyle name="40% - Accent3 2 3 2 4 2 6" xfId="12071" xr:uid="{00000000-0005-0000-0000-0000C2680000}"/>
    <cellStyle name="40% - Accent3 2 3 2 4 3" xfId="3965" xr:uid="{00000000-0005-0000-0000-0000C3680000}"/>
    <cellStyle name="40% - Accent3 2 3 2 4 3 2" xfId="8827" xr:uid="{00000000-0005-0000-0000-0000C4680000}"/>
    <cellStyle name="40% - Accent3 2 3 2 4 3 2 2" xfId="28278" xr:uid="{00000000-0005-0000-0000-0000C5680000}"/>
    <cellStyle name="40% - Accent3 2 3 2 4 3 2 3" xfId="38003" xr:uid="{00000000-0005-0000-0000-0000C6680000}"/>
    <cellStyle name="40% - Accent3 2 3 2 4 3 2 4" xfId="47728" xr:uid="{00000000-0005-0000-0000-0000C7680000}"/>
    <cellStyle name="40% - Accent3 2 3 2 4 3 2 5" xfId="18553" xr:uid="{00000000-0005-0000-0000-0000C8680000}"/>
    <cellStyle name="40% - Accent3 2 3 2 4 3 3" xfId="23416" xr:uid="{00000000-0005-0000-0000-0000C9680000}"/>
    <cellStyle name="40% - Accent3 2 3 2 4 3 4" xfId="33141" xr:uid="{00000000-0005-0000-0000-0000CA680000}"/>
    <cellStyle name="40% - Accent3 2 3 2 4 3 5" xfId="42866" xr:uid="{00000000-0005-0000-0000-0000CB680000}"/>
    <cellStyle name="40% - Accent3 2 3 2 4 3 6" xfId="13691" xr:uid="{00000000-0005-0000-0000-0000CC680000}"/>
    <cellStyle name="40% - Accent3 2 3 2 4 4" xfId="5587" xr:uid="{00000000-0005-0000-0000-0000CD680000}"/>
    <cellStyle name="40% - Accent3 2 3 2 4 4 2" xfId="25038" xr:uid="{00000000-0005-0000-0000-0000CE680000}"/>
    <cellStyle name="40% - Accent3 2 3 2 4 4 3" xfId="34763" xr:uid="{00000000-0005-0000-0000-0000CF680000}"/>
    <cellStyle name="40% - Accent3 2 3 2 4 4 4" xfId="44488" xr:uid="{00000000-0005-0000-0000-0000D0680000}"/>
    <cellStyle name="40% - Accent3 2 3 2 4 4 5" xfId="15313" xr:uid="{00000000-0005-0000-0000-0000D1680000}"/>
    <cellStyle name="40% - Accent3 2 3 2 4 5" xfId="20176" xr:uid="{00000000-0005-0000-0000-0000D2680000}"/>
    <cellStyle name="40% - Accent3 2 3 2 4 6" xfId="29901" xr:uid="{00000000-0005-0000-0000-0000D3680000}"/>
    <cellStyle name="40% - Accent3 2 3 2 4 7" xfId="39626" xr:uid="{00000000-0005-0000-0000-0000D4680000}"/>
    <cellStyle name="40% - Accent3 2 3 2 4 8" xfId="10451" xr:uid="{00000000-0005-0000-0000-0000D5680000}"/>
    <cellStyle name="40% - Accent3 2 3 2 5" xfId="1985" xr:uid="{00000000-0005-0000-0000-0000D6680000}"/>
    <cellStyle name="40% - Accent3 2 3 2 5 2" xfId="6847" xr:uid="{00000000-0005-0000-0000-0000D7680000}"/>
    <cellStyle name="40% - Accent3 2 3 2 5 2 2" xfId="26298" xr:uid="{00000000-0005-0000-0000-0000D8680000}"/>
    <cellStyle name="40% - Accent3 2 3 2 5 2 3" xfId="36023" xr:uid="{00000000-0005-0000-0000-0000D9680000}"/>
    <cellStyle name="40% - Accent3 2 3 2 5 2 4" xfId="45748" xr:uid="{00000000-0005-0000-0000-0000DA680000}"/>
    <cellStyle name="40% - Accent3 2 3 2 5 2 5" xfId="16573" xr:uid="{00000000-0005-0000-0000-0000DB680000}"/>
    <cellStyle name="40% - Accent3 2 3 2 5 3" xfId="21436" xr:uid="{00000000-0005-0000-0000-0000DC680000}"/>
    <cellStyle name="40% - Accent3 2 3 2 5 4" xfId="31161" xr:uid="{00000000-0005-0000-0000-0000DD680000}"/>
    <cellStyle name="40% - Accent3 2 3 2 5 5" xfId="40886" xr:uid="{00000000-0005-0000-0000-0000DE680000}"/>
    <cellStyle name="40% - Accent3 2 3 2 5 6" xfId="11711" xr:uid="{00000000-0005-0000-0000-0000DF680000}"/>
    <cellStyle name="40% - Accent3 2 3 2 6" xfId="3605" xr:uid="{00000000-0005-0000-0000-0000E0680000}"/>
    <cellStyle name="40% - Accent3 2 3 2 6 2" xfId="8467" xr:uid="{00000000-0005-0000-0000-0000E1680000}"/>
    <cellStyle name="40% - Accent3 2 3 2 6 2 2" xfId="27918" xr:uid="{00000000-0005-0000-0000-0000E2680000}"/>
    <cellStyle name="40% - Accent3 2 3 2 6 2 3" xfId="37643" xr:uid="{00000000-0005-0000-0000-0000E3680000}"/>
    <cellStyle name="40% - Accent3 2 3 2 6 2 4" xfId="47368" xr:uid="{00000000-0005-0000-0000-0000E4680000}"/>
    <cellStyle name="40% - Accent3 2 3 2 6 2 5" xfId="18193" xr:uid="{00000000-0005-0000-0000-0000E5680000}"/>
    <cellStyle name="40% - Accent3 2 3 2 6 3" xfId="23056" xr:uid="{00000000-0005-0000-0000-0000E6680000}"/>
    <cellStyle name="40% - Accent3 2 3 2 6 4" xfId="32781" xr:uid="{00000000-0005-0000-0000-0000E7680000}"/>
    <cellStyle name="40% - Accent3 2 3 2 6 5" xfId="42506" xr:uid="{00000000-0005-0000-0000-0000E8680000}"/>
    <cellStyle name="40% - Accent3 2 3 2 6 6" xfId="13331" xr:uid="{00000000-0005-0000-0000-0000E9680000}"/>
    <cellStyle name="40% - Accent3 2 3 2 7" xfId="5227" xr:uid="{00000000-0005-0000-0000-0000EA680000}"/>
    <cellStyle name="40% - Accent3 2 3 2 7 2" xfId="24678" xr:uid="{00000000-0005-0000-0000-0000EB680000}"/>
    <cellStyle name="40% - Accent3 2 3 2 7 3" xfId="34403" xr:uid="{00000000-0005-0000-0000-0000EC680000}"/>
    <cellStyle name="40% - Accent3 2 3 2 7 4" xfId="44128" xr:uid="{00000000-0005-0000-0000-0000ED680000}"/>
    <cellStyle name="40% - Accent3 2 3 2 7 5" xfId="14953" xr:uid="{00000000-0005-0000-0000-0000EE680000}"/>
    <cellStyle name="40% - Accent3 2 3 2 8" xfId="19816" xr:uid="{00000000-0005-0000-0000-0000EF680000}"/>
    <cellStyle name="40% - Accent3 2 3 2 9" xfId="29541" xr:uid="{00000000-0005-0000-0000-0000F0680000}"/>
    <cellStyle name="40% - Accent3 2 3 3" xfId="394" xr:uid="{00000000-0005-0000-0000-0000F1680000}"/>
    <cellStyle name="40% - Accent3 2 3 3 10" xfId="39356" xr:uid="{00000000-0005-0000-0000-0000F2680000}"/>
    <cellStyle name="40% - Accent3 2 3 3 11" xfId="10181" xr:uid="{00000000-0005-0000-0000-0000F3680000}"/>
    <cellStyle name="40% - Accent3 2 3 3 2" xfId="1157" xr:uid="{00000000-0005-0000-0000-0000F4680000}"/>
    <cellStyle name="40% - Accent3 2 3 3 2 2" xfId="2795" xr:uid="{00000000-0005-0000-0000-0000F5680000}"/>
    <cellStyle name="40% - Accent3 2 3 3 2 2 2" xfId="7657" xr:uid="{00000000-0005-0000-0000-0000F6680000}"/>
    <cellStyle name="40% - Accent3 2 3 3 2 2 2 2" xfId="27108" xr:uid="{00000000-0005-0000-0000-0000F7680000}"/>
    <cellStyle name="40% - Accent3 2 3 3 2 2 2 3" xfId="36833" xr:uid="{00000000-0005-0000-0000-0000F8680000}"/>
    <cellStyle name="40% - Accent3 2 3 3 2 2 2 4" xfId="46558" xr:uid="{00000000-0005-0000-0000-0000F9680000}"/>
    <cellStyle name="40% - Accent3 2 3 3 2 2 2 5" xfId="17383" xr:uid="{00000000-0005-0000-0000-0000FA680000}"/>
    <cellStyle name="40% - Accent3 2 3 3 2 2 3" xfId="22246" xr:uid="{00000000-0005-0000-0000-0000FB680000}"/>
    <cellStyle name="40% - Accent3 2 3 3 2 2 4" xfId="31971" xr:uid="{00000000-0005-0000-0000-0000FC680000}"/>
    <cellStyle name="40% - Accent3 2 3 3 2 2 5" xfId="41696" xr:uid="{00000000-0005-0000-0000-0000FD680000}"/>
    <cellStyle name="40% - Accent3 2 3 3 2 2 6" xfId="12521" xr:uid="{00000000-0005-0000-0000-0000FE680000}"/>
    <cellStyle name="40% - Accent3 2 3 3 2 3" xfId="4415" xr:uid="{00000000-0005-0000-0000-0000FF680000}"/>
    <cellStyle name="40% - Accent3 2 3 3 2 3 2" xfId="9277" xr:uid="{00000000-0005-0000-0000-000000690000}"/>
    <cellStyle name="40% - Accent3 2 3 3 2 3 2 2" xfId="28728" xr:uid="{00000000-0005-0000-0000-000001690000}"/>
    <cellStyle name="40% - Accent3 2 3 3 2 3 2 3" xfId="38453" xr:uid="{00000000-0005-0000-0000-000002690000}"/>
    <cellStyle name="40% - Accent3 2 3 3 2 3 2 4" xfId="48178" xr:uid="{00000000-0005-0000-0000-000003690000}"/>
    <cellStyle name="40% - Accent3 2 3 3 2 3 2 5" xfId="19003" xr:uid="{00000000-0005-0000-0000-000004690000}"/>
    <cellStyle name="40% - Accent3 2 3 3 2 3 3" xfId="23866" xr:uid="{00000000-0005-0000-0000-000005690000}"/>
    <cellStyle name="40% - Accent3 2 3 3 2 3 4" xfId="33591" xr:uid="{00000000-0005-0000-0000-000006690000}"/>
    <cellStyle name="40% - Accent3 2 3 3 2 3 5" xfId="43316" xr:uid="{00000000-0005-0000-0000-000007690000}"/>
    <cellStyle name="40% - Accent3 2 3 3 2 3 6" xfId="14141" xr:uid="{00000000-0005-0000-0000-000008690000}"/>
    <cellStyle name="40% - Accent3 2 3 3 2 4" xfId="6037" xr:uid="{00000000-0005-0000-0000-000009690000}"/>
    <cellStyle name="40% - Accent3 2 3 3 2 4 2" xfId="25488" xr:uid="{00000000-0005-0000-0000-00000A690000}"/>
    <cellStyle name="40% - Accent3 2 3 3 2 4 3" xfId="35213" xr:uid="{00000000-0005-0000-0000-00000B690000}"/>
    <cellStyle name="40% - Accent3 2 3 3 2 4 4" xfId="44938" xr:uid="{00000000-0005-0000-0000-00000C690000}"/>
    <cellStyle name="40% - Accent3 2 3 3 2 4 5" xfId="15763" xr:uid="{00000000-0005-0000-0000-00000D690000}"/>
    <cellStyle name="40% - Accent3 2 3 3 2 5" xfId="20626" xr:uid="{00000000-0005-0000-0000-00000E690000}"/>
    <cellStyle name="40% - Accent3 2 3 3 2 6" xfId="30351" xr:uid="{00000000-0005-0000-0000-00000F690000}"/>
    <cellStyle name="40% - Accent3 2 3 3 2 7" xfId="40076" xr:uid="{00000000-0005-0000-0000-000010690000}"/>
    <cellStyle name="40% - Accent3 2 3 3 2 8" xfId="10901" xr:uid="{00000000-0005-0000-0000-000011690000}"/>
    <cellStyle name="40% - Accent3 2 3 3 3" xfId="1624" xr:uid="{00000000-0005-0000-0000-000012690000}"/>
    <cellStyle name="40% - Accent3 2 3 3 3 2" xfId="3245" xr:uid="{00000000-0005-0000-0000-000013690000}"/>
    <cellStyle name="40% - Accent3 2 3 3 3 2 2" xfId="8107" xr:uid="{00000000-0005-0000-0000-000014690000}"/>
    <cellStyle name="40% - Accent3 2 3 3 3 2 2 2" xfId="27558" xr:uid="{00000000-0005-0000-0000-000015690000}"/>
    <cellStyle name="40% - Accent3 2 3 3 3 2 2 3" xfId="37283" xr:uid="{00000000-0005-0000-0000-000016690000}"/>
    <cellStyle name="40% - Accent3 2 3 3 3 2 2 4" xfId="47008" xr:uid="{00000000-0005-0000-0000-000017690000}"/>
    <cellStyle name="40% - Accent3 2 3 3 3 2 2 5" xfId="17833" xr:uid="{00000000-0005-0000-0000-000018690000}"/>
    <cellStyle name="40% - Accent3 2 3 3 3 2 3" xfId="22696" xr:uid="{00000000-0005-0000-0000-000019690000}"/>
    <cellStyle name="40% - Accent3 2 3 3 3 2 4" xfId="32421" xr:uid="{00000000-0005-0000-0000-00001A690000}"/>
    <cellStyle name="40% - Accent3 2 3 3 3 2 5" xfId="42146" xr:uid="{00000000-0005-0000-0000-00001B690000}"/>
    <cellStyle name="40% - Accent3 2 3 3 3 2 6" xfId="12971" xr:uid="{00000000-0005-0000-0000-00001C690000}"/>
    <cellStyle name="40% - Accent3 2 3 3 3 3" xfId="4865" xr:uid="{00000000-0005-0000-0000-00001D690000}"/>
    <cellStyle name="40% - Accent3 2 3 3 3 3 2" xfId="9727" xr:uid="{00000000-0005-0000-0000-00001E690000}"/>
    <cellStyle name="40% - Accent3 2 3 3 3 3 2 2" xfId="29178" xr:uid="{00000000-0005-0000-0000-00001F690000}"/>
    <cellStyle name="40% - Accent3 2 3 3 3 3 2 3" xfId="38903" xr:uid="{00000000-0005-0000-0000-000020690000}"/>
    <cellStyle name="40% - Accent3 2 3 3 3 3 2 4" xfId="48628" xr:uid="{00000000-0005-0000-0000-000021690000}"/>
    <cellStyle name="40% - Accent3 2 3 3 3 3 2 5" xfId="19453" xr:uid="{00000000-0005-0000-0000-000022690000}"/>
    <cellStyle name="40% - Accent3 2 3 3 3 3 3" xfId="24316" xr:uid="{00000000-0005-0000-0000-000023690000}"/>
    <cellStyle name="40% - Accent3 2 3 3 3 3 4" xfId="34041" xr:uid="{00000000-0005-0000-0000-000024690000}"/>
    <cellStyle name="40% - Accent3 2 3 3 3 3 5" xfId="43766" xr:uid="{00000000-0005-0000-0000-000025690000}"/>
    <cellStyle name="40% - Accent3 2 3 3 3 3 6" xfId="14591" xr:uid="{00000000-0005-0000-0000-000026690000}"/>
    <cellStyle name="40% - Accent3 2 3 3 3 4" xfId="6487" xr:uid="{00000000-0005-0000-0000-000027690000}"/>
    <cellStyle name="40% - Accent3 2 3 3 3 4 2" xfId="25938" xr:uid="{00000000-0005-0000-0000-000028690000}"/>
    <cellStyle name="40% - Accent3 2 3 3 3 4 3" xfId="35663" xr:uid="{00000000-0005-0000-0000-000029690000}"/>
    <cellStyle name="40% - Accent3 2 3 3 3 4 4" xfId="45388" xr:uid="{00000000-0005-0000-0000-00002A690000}"/>
    <cellStyle name="40% - Accent3 2 3 3 3 4 5" xfId="16213" xr:uid="{00000000-0005-0000-0000-00002B690000}"/>
    <cellStyle name="40% - Accent3 2 3 3 3 5" xfId="21076" xr:uid="{00000000-0005-0000-0000-00002C690000}"/>
    <cellStyle name="40% - Accent3 2 3 3 3 6" xfId="30801" xr:uid="{00000000-0005-0000-0000-00002D690000}"/>
    <cellStyle name="40% - Accent3 2 3 3 3 7" xfId="40526" xr:uid="{00000000-0005-0000-0000-00002E690000}"/>
    <cellStyle name="40% - Accent3 2 3 3 3 8" xfId="11351" xr:uid="{00000000-0005-0000-0000-00002F690000}"/>
    <cellStyle name="40% - Accent3 2 3 3 4" xfId="795" xr:uid="{00000000-0005-0000-0000-000030690000}"/>
    <cellStyle name="40% - Accent3 2 3 3 4 2" xfId="2435" xr:uid="{00000000-0005-0000-0000-000031690000}"/>
    <cellStyle name="40% - Accent3 2 3 3 4 2 2" xfId="7297" xr:uid="{00000000-0005-0000-0000-000032690000}"/>
    <cellStyle name="40% - Accent3 2 3 3 4 2 2 2" xfId="26748" xr:uid="{00000000-0005-0000-0000-000033690000}"/>
    <cellStyle name="40% - Accent3 2 3 3 4 2 2 3" xfId="36473" xr:uid="{00000000-0005-0000-0000-000034690000}"/>
    <cellStyle name="40% - Accent3 2 3 3 4 2 2 4" xfId="46198" xr:uid="{00000000-0005-0000-0000-000035690000}"/>
    <cellStyle name="40% - Accent3 2 3 3 4 2 2 5" xfId="17023" xr:uid="{00000000-0005-0000-0000-000036690000}"/>
    <cellStyle name="40% - Accent3 2 3 3 4 2 3" xfId="21886" xr:uid="{00000000-0005-0000-0000-000037690000}"/>
    <cellStyle name="40% - Accent3 2 3 3 4 2 4" xfId="31611" xr:uid="{00000000-0005-0000-0000-000038690000}"/>
    <cellStyle name="40% - Accent3 2 3 3 4 2 5" xfId="41336" xr:uid="{00000000-0005-0000-0000-000039690000}"/>
    <cellStyle name="40% - Accent3 2 3 3 4 2 6" xfId="12161" xr:uid="{00000000-0005-0000-0000-00003A690000}"/>
    <cellStyle name="40% - Accent3 2 3 3 4 3" xfId="4055" xr:uid="{00000000-0005-0000-0000-00003B690000}"/>
    <cellStyle name="40% - Accent3 2 3 3 4 3 2" xfId="8917" xr:uid="{00000000-0005-0000-0000-00003C690000}"/>
    <cellStyle name="40% - Accent3 2 3 3 4 3 2 2" xfId="28368" xr:uid="{00000000-0005-0000-0000-00003D690000}"/>
    <cellStyle name="40% - Accent3 2 3 3 4 3 2 3" xfId="38093" xr:uid="{00000000-0005-0000-0000-00003E690000}"/>
    <cellStyle name="40% - Accent3 2 3 3 4 3 2 4" xfId="47818" xr:uid="{00000000-0005-0000-0000-00003F690000}"/>
    <cellStyle name="40% - Accent3 2 3 3 4 3 2 5" xfId="18643" xr:uid="{00000000-0005-0000-0000-000040690000}"/>
    <cellStyle name="40% - Accent3 2 3 3 4 3 3" xfId="23506" xr:uid="{00000000-0005-0000-0000-000041690000}"/>
    <cellStyle name="40% - Accent3 2 3 3 4 3 4" xfId="33231" xr:uid="{00000000-0005-0000-0000-000042690000}"/>
    <cellStyle name="40% - Accent3 2 3 3 4 3 5" xfId="42956" xr:uid="{00000000-0005-0000-0000-000043690000}"/>
    <cellStyle name="40% - Accent3 2 3 3 4 3 6" xfId="13781" xr:uid="{00000000-0005-0000-0000-000044690000}"/>
    <cellStyle name="40% - Accent3 2 3 3 4 4" xfId="5677" xr:uid="{00000000-0005-0000-0000-000045690000}"/>
    <cellStyle name="40% - Accent3 2 3 3 4 4 2" xfId="25128" xr:uid="{00000000-0005-0000-0000-000046690000}"/>
    <cellStyle name="40% - Accent3 2 3 3 4 4 3" xfId="34853" xr:uid="{00000000-0005-0000-0000-000047690000}"/>
    <cellStyle name="40% - Accent3 2 3 3 4 4 4" xfId="44578" xr:uid="{00000000-0005-0000-0000-000048690000}"/>
    <cellStyle name="40% - Accent3 2 3 3 4 4 5" xfId="15403" xr:uid="{00000000-0005-0000-0000-000049690000}"/>
    <cellStyle name="40% - Accent3 2 3 3 4 5" xfId="20266" xr:uid="{00000000-0005-0000-0000-00004A690000}"/>
    <cellStyle name="40% - Accent3 2 3 3 4 6" xfId="29991" xr:uid="{00000000-0005-0000-0000-00004B690000}"/>
    <cellStyle name="40% - Accent3 2 3 3 4 7" xfId="39716" xr:uid="{00000000-0005-0000-0000-00004C690000}"/>
    <cellStyle name="40% - Accent3 2 3 3 4 8" xfId="10541" xr:uid="{00000000-0005-0000-0000-00004D690000}"/>
    <cellStyle name="40% - Accent3 2 3 3 5" xfId="2075" xr:uid="{00000000-0005-0000-0000-00004E690000}"/>
    <cellStyle name="40% - Accent3 2 3 3 5 2" xfId="6937" xr:uid="{00000000-0005-0000-0000-00004F690000}"/>
    <cellStyle name="40% - Accent3 2 3 3 5 2 2" xfId="26388" xr:uid="{00000000-0005-0000-0000-000050690000}"/>
    <cellStyle name="40% - Accent3 2 3 3 5 2 3" xfId="36113" xr:uid="{00000000-0005-0000-0000-000051690000}"/>
    <cellStyle name="40% - Accent3 2 3 3 5 2 4" xfId="45838" xr:uid="{00000000-0005-0000-0000-000052690000}"/>
    <cellStyle name="40% - Accent3 2 3 3 5 2 5" xfId="16663" xr:uid="{00000000-0005-0000-0000-000053690000}"/>
    <cellStyle name="40% - Accent3 2 3 3 5 3" xfId="21526" xr:uid="{00000000-0005-0000-0000-000054690000}"/>
    <cellStyle name="40% - Accent3 2 3 3 5 4" xfId="31251" xr:uid="{00000000-0005-0000-0000-000055690000}"/>
    <cellStyle name="40% - Accent3 2 3 3 5 5" xfId="40976" xr:uid="{00000000-0005-0000-0000-000056690000}"/>
    <cellStyle name="40% - Accent3 2 3 3 5 6" xfId="11801" xr:uid="{00000000-0005-0000-0000-000057690000}"/>
    <cellStyle name="40% - Accent3 2 3 3 6" xfId="3695" xr:uid="{00000000-0005-0000-0000-000058690000}"/>
    <cellStyle name="40% - Accent3 2 3 3 6 2" xfId="8557" xr:uid="{00000000-0005-0000-0000-000059690000}"/>
    <cellStyle name="40% - Accent3 2 3 3 6 2 2" xfId="28008" xr:uid="{00000000-0005-0000-0000-00005A690000}"/>
    <cellStyle name="40% - Accent3 2 3 3 6 2 3" xfId="37733" xr:uid="{00000000-0005-0000-0000-00005B690000}"/>
    <cellStyle name="40% - Accent3 2 3 3 6 2 4" xfId="47458" xr:uid="{00000000-0005-0000-0000-00005C690000}"/>
    <cellStyle name="40% - Accent3 2 3 3 6 2 5" xfId="18283" xr:uid="{00000000-0005-0000-0000-00005D690000}"/>
    <cellStyle name="40% - Accent3 2 3 3 6 3" xfId="23146" xr:uid="{00000000-0005-0000-0000-00005E690000}"/>
    <cellStyle name="40% - Accent3 2 3 3 6 4" xfId="32871" xr:uid="{00000000-0005-0000-0000-00005F690000}"/>
    <cellStyle name="40% - Accent3 2 3 3 6 5" xfId="42596" xr:uid="{00000000-0005-0000-0000-000060690000}"/>
    <cellStyle name="40% - Accent3 2 3 3 6 6" xfId="13421" xr:uid="{00000000-0005-0000-0000-000061690000}"/>
    <cellStyle name="40% - Accent3 2 3 3 7" xfId="5317" xr:uid="{00000000-0005-0000-0000-000062690000}"/>
    <cellStyle name="40% - Accent3 2 3 3 7 2" xfId="24768" xr:uid="{00000000-0005-0000-0000-000063690000}"/>
    <cellStyle name="40% - Accent3 2 3 3 7 3" xfId="34493" xr:uid="{00000000-0005-0000-0000-000064690000}"/>
    <cellStyle name="40% - Accent3 2 3 3 7 4" xfId="44218" xr:uid="{00000000-0005-0000-0000-000065690000}"/>
    <cellStyle name="40% - Accent3 2 3 3 7 5" xfId="15043" xr:uid="{00000000-0005-0000-0000-000066690000}"/>
    <cellStyle name="40% - Accent3 2 3 3 8" xfId="19906" xr:uid="{00000000-0005-0000-0000-000067690000}"/>
    <cellStyle name="40% - Accent3 2 3 3 9" xfId="29631" xr:uid="{00000000-0005-0000-0000-000068690000}"/>
    <cellStyle name="40% - Accent3 2 3 4" xfId="212" xr:uid="{00000000-0005-0000-0000-000069690000}"/>
    <cellStyle name="40% - Accent3 2 3 4 10" xfId="39176" xr:uid="{00000000-0005-0000-0000-00006A690000}"/>
    <cellStyle name="40% - Accent3 2 3 4 11" xfId="10001" xr:uid="{00000000-0005-0000-0000-00006B690000}"/>
    <cellStyle name="40% - Accent3 2 3 4 2" xfId="976" xr:uid="{00000000-0005-0000-0000-00006C690000}"/>
    <cellStyle name="40% - Accent3 2 3 4 2 2" xfId="2615" xr:uid="{00000000-0005-0000-0000-00006D690000}"/>
    <cellStyle name="40% - Accent3 2 3 4 2 2 2" xfId="7477" xr:uid="{00000000-0005-0000-0000-00006E690000}"/>
    <cellStyle name="40% - Accent3 2 3 4 2 2 2 2" xfId="26928" xr:uid="{00000000-0005-0000-0000-00006F690000}"/>
    <cellStyle name="40% - Accent3 2 3 4 2 2 2 3" xfId="36653" xr:uid="{00000000-0005-0000-0000-000070690000}"/>
    <cellStyle name="40% - Accent3 2 3 4 2 2 2 4" xfId="46378" xr:uid="{00000000-0005-0000-0000-000071690000}"/>
    <cellStyle name="40% - Accent3 2 3 4 2 2 2 5" xfId="17203" xr:uid="{00000000-0005-0000-0000-000072690000}"/>
    <cellStyle name="40% - Accent3 2 3 4 2 2 3" xfId="22066" xr:uid="{00000000-0005-0000-0000-000073690000}"/>
    <cellStyle name="40% - Accent3 2 3 4 2 2 4" xfId="31791" xr:uid="{00000000-0005-0000-0000-000074690000}"/>
    <cellStyle name="40% - Accent3 2 3 4 2 2 5" xfId="41516" xr:uid="{00000000-0005-0000-0000-000075690000}"/>
    <cellStyle name="40% - Accent3 2 3 4 2 2 6" xfId="12341" xr:uid="{00000000-0005-0000-0000-000076690000}"/>
    <cellStyle name="40% - Accent3 2 3 4 2 3" xfId="4235" xr:uid="{00000000-0005-0000-0000-000077690000}"/>
    <cellStyle name="40% - Accent3 2 3 4 2 3 2" xfId="9097" xr:uid="{00000000-0005-0000-0000-000078690000}"/>
    <cellStyle name="40% - Accent3 2 3 4 2 3 2 2" xfId="28548" xr:uid="{00000000-0005-0000-0000-000079690000}"/>
    <cellStyle name="40% - Accent3 2 3 4 2 3 2 3" xfId="38273" xr:uid="{00000000-0005-0000-0000-00007A690000}"/>
    <cellStyle name="40% - Accent3 2 3 4 2 3 2 4" xfId="47998" xr:uid="{00000000-0005-0000-0000-00007B690000}"/>
    <cellStyle name="40% - Accent3 2 3 4 2 3 2 5" xfId="18823" xr:uid="{00000000-0005-0000-0000-00007C690000}"/>
    <cellStyle name="40% - Accent3 2 3 4 2 3 3" xfId="23686" xr:uid="{00000000-0005-0000-0000-00007D690000}"/>
    <cellStyle name="40% - Accent3 2 3 4 2 3 4" xfId="33411" xr:uid="{00000000-0005-0000-0000-00007E690000}"/>
    <cellStyle name="40% - Accent3 2 3 4 2 3 5" xfId="43136" xr:uid="{00000000-0005-0000-0000-00007F690000}"/>
    <cellStyle name="40% - Accent3 2 3 4 2 3 6" xfId="13961" xr:uid="{00000000-0005-0000-0000-000080690000}"/>
    <cellStyle name="40% - Accent3 2 3 4 2 4" xfId="5857" xr:uid="{00000000-0005-0000-0000-000081690000}"/>
    <cellStyle name="40% - Accent3 2 3 4 2 4 2" xfId="25308" xr:uid="{00000000-0005-0000-0000-000082690000}"/>
    <cellStyle name="40% - Accent3 2 3 4 2 4 3" xfId="35033" xr:uid="{00000000-0005-0000-0000-000083690000}"/>
    <cellStyle name="40% - Accent3 2 3 4 2 4 4" xfId="44758" xr:uid="{00000000-0005-0000-0000-000084690000}"/>
    <cellStyle name="40% - Accent3 2 3 4 2 4 5" xfId="15583" xr:uid="{00000000-0005-0000-0000-000085690000}"/>
    <cellStyle name="40% - Accent3 2 3 4 2 5" xfId="20446" xr:uid="{00000000-0005-0000-0000-000086690000}"/>
    <cellStyle name="40% - Accent3 2 3 4 2 6" xfId="30171" xr:uid="{00000000-0005-0000-0000-000087690000}"/>
    <cellStyle name="40% - Accent3 2 3 4 2 7" xfId="39896" xr:uid="{00000000-0005-0000-0000-000088690000}"/>
    <cellStyle name="40% - Accent3 2 3 4 2 8" xfId="10721" xr:uid="{00000000-0005-0000-0000-000089690000}"/>
    <cellStyle name="40% - Accent3 2 3 4 3" xfId="1444" xr:uid="{00000000-0005-0000-0000-00008A690000}"/>
    <cellStyle name="40% - Accent3 2 3 4 3 2" xfId="3065" xr:uid="{00000000-0005-0000-0000-00008B690000}"/>
    <cellStyle name="40% - Accent3 2 3 4 3 2 2" xfId="7927" xr:uid="{00000000-0005-0000-0000-00008C690000}"/>
    <cellStyle name="40% - Accent3 2 3 4 3 2 2 2" xfId="27378" xr:uid="{00000000-0005-0000-0000-00008D690000}"/>
    <cellStyle name="40% - Accent3 2 3 4 3 2 2 3" xfId="37103" xr:uid="{00000000-0005-0000-0000-00008E690000}"/>
    <cellStyle name="40% - Accent3 2 3 4 3 2 2 4" xfId="46828" xr:uid="{00000000-0005-0000-0000-00008F690000}"/>
    <cellStyle name="40% - Accent3 2 3 4 3 2 2 5" xfId="17653" xr:uid="{00000000-0005-0000-0000-000090690000}"/>
    <cellStyle name="40% - Accent3 2 3 4 3 2 3" xfId="22516" xr:uid="{00000000-0005-0000-0000-000091690000}"/>
    <cellStyle name="40% - Accent3 2 3 4 3 2 4" xfId="32241" xr:uid="{00000000-0005-0000-0000-000092690000}"/>
    <cellStyle name="40% - Accent3 2 3 4 3 2 5" xfId="41966" xr:uid="{00000000-0005-0000-0000-000093690000}"/>
    <cellStyle name="40% - Accent3 2 3 4 3 2 6" xfId="12791" xr:uid="{00000000-0005-0000-0000-000094690000}"/>
    <cellStyle name="40% - Accent3 2 3 4 3 3" xfId="4685" xr:uid="{00000000-0005-0000-0000-000095690000}"/>
    <cellStyle name="40% - Accent3 2 3 4 3 3 2" xfId="9547" xr:uid="{00000000-0005-0000-0000-000096690000}"/>
    <cellStyle name="40% - Accent3 2 3 4 3 3 2 2" xfId="28998" xr:uid="{00000000-0005-0000-0000-000097690000}"/>
    <cellStyle name="40% - Accent3 2 3 4 3 3 2 3" xfId="38723" xr:uid="{00000000-0005-0000-0000-000098690000}"/>
    <cellStyle name="40% - Accent3 2 3 4 3 3 2 4" xfId="48448" xr:uid="{00000000-0005-0000-0000-000099690000}"/>
    <cellStyle name="40% - Accent3 2 3 4 3 3 2 5" xfId="19273" xr:uid="{00000000-0005-0000-0000-00009A690000}"/>
    <cellStyle name="40% - Accent3 2 3 4 3 3 3" xfId="24136" xr:uid="{00000000-0005-0000-0000-00009B690000}"/>
    <cellStyle name="40% - Accent3 2 3 4 3 3 4" xfId="33861" xr:uid="{00000000-0005-0000-0000-00009C690000}"/>
    <cellStyle name="40% - Accent3 2 3 4 3 3 5" xfId="43586" xr:uid="{00000000-0005-0000-0000-00009D690000}"/>
    <cellStyle name="40% - Accent3 2 3 4 3 3 6" xfId="14411" xr:uid="{00000000-0005-0000-0000-00009E690000}"/>
    <cellStyle name="40% - Accent3 2 3 4 3 4" xfId="6307" xr:uid="{00000000-0005-0000-0000-00009F690000}"/>
    <cellStyle name="40% - Accent3 2 3 4 3 4 2" xfId="25758" xr:uid="{00000000-0005-0000-0000-0000A0690000}"/>
    <cellStyle name="40% - Accent3 2 3 4 3 4 3" xfId="35483" xr:uid="{00000000-0005-0000-0000-0000A1690000}"/>
    <cellStyle name="40% - Accent3 2 3 4 3 4 4" xfId="45208" xr:uid="{00000000-0005-0000-0000-0000A2690000}"/>
    <cellStyle name="40% - Accent3 2 3 4 3 4 5" xfId="16033" xr:uid="{00000000-0005-0000-0000-0000A3690000}"/>
    <cellStyle name="40% - Accent3 2 3 4 3 5" xfId="20896" xr:uid="{00000000-0005-0000-0000-0000A4690000}"/>
    <cellStyle name="40% - Accent3 2 3 4 3 6" xfId="30621" xr:uid="{00000000-0005-0000-0000-0000A5690000}"/>
    <cellStyle name="40% - Accent3 2 3 4 3 7" xfId="40346" xr:uid="{00000000-0005-0000-0000-0000A6690000}"/>
    <cellStyle name="40% - Accent3 2 3 4 3 8" xfId="11171" xr:uid="{00000000-0005-0000-0000-0000A7690000}"/>
    <cellStyle name="40% - Accent3 2 3 4 4" xfId="615" xr:uid="{00000000-0005-0000-0000-0000A8690000}"/>
    <cellStyle name="40% - Accent3 2 3 4 4 2" xfId="2255" xr:uid="{00000000-0005-0000-0000-0000A9690000}"/>
    <cellStyle name="40% - Accent3 2 3 4 4 2 2" xfId="7117" xr:uid="{00000000-0005-0000-0000-0000AA690000}"/>
    <cellStyle name="40% - Accent3 2 3 4 4 2 2 2" xfId="26568" xr:uid="{00000000-0005-0000-0000-0000AB690000}"/>
    <cellStyle name="40% - Accent3 2 3 4 4 2 2 3" xfId="36293" xr:uid="{00000000-0005-0000-0000-0000AC690000}"/>
    <cellStyle name="40% - Accent3 2 3 4 4 2 2 4" xfId="46018" xr:uid="{00000000-0005-0000-0000-0000AD690000}"/>
    <cellStyle name="40% - Accent3 2 3 4 4 2 2 5" xfId="16843" xr:uid="{00000000-0005-0000-0000-0000AE690000}"/>
    <cellStyle name="40% - Accent3 2 3 4 4 2 3" xfId="21706" xr:uid="{00000000-0005-0000-0000-0000AF690000}"/>
    <cellStyle name="40% - Accent3 2 3 4 4 2 4" xfId="31431" xr:uid="{00000000-0005-0000-0000-0000B0690000}"/>
    <cellStyle name="40% - Accent3 2 3 4 4 2 5" xfId="41156" xr:uid="{00000000-0005-0000-0000-0000B1690000}"/>
    <cellStyle name="40% - Accent3 2 3 4 4 2 6" xfId="11981" xr:uid="{00000000-0005-0000-0000-0000B2690000}"/>
    <cellStyle name="40% - Accent3 2 3 4 4 3" xfId="3875" xr:uid="{00000000-0005-0000-0000-0000B3690000}"/>
    <cellStyle name="40% - Accent3 2 3 4 4 3 2" xfId="8737" xr:uid="{00000000-0005-0000-0000-0000B4690000}"/>
    <cellStyle name="40% - Accent3 2 3 4 4 3 2 2" xfId="28188" xr:uid="{00000000-0005-0000-0000-0000B5690000}"/>
    <cellStyle name="40% - Accent3 2 3 4 4 3 2 3" xfId="37913" xr:uid="{00000000-0005-0000-0000-0000B6690000}"/>
    <cellStyle name="40% - Accent3 2 3 4 4 3 2 4" xfId="47638" xr:uid="{00000000-0005-0000-0000-0000B7690000}"/>
    <cellStyle name="40% - Accent3 2 3 4 4 3 2 5" xfId="18463" xr:uid="{00000000-0005-0000-0000-0000B8690000}"/>
    <cellStyle name="40% - Accent3 2 3 4 4 3 3" xfId="23326" xr:uid="{00000000-0005-0000-0000-0000B9690000}"/>
    <cellStyle name="40% - Accent3 2 3 4 4 3 4" xfId="33051" xr:uid="{00000000-0005-0000-0000-0000BA690000}"/>
    <cellStyle name="40% - Accent3 2 3 4 4 3 5" xfId="42776" xr:uid="{00000000-0005-0000-0000-0000BB690000}"/>
    <cellStyle name="40% - Accent3 2 3 4 4 3 6" xfId="13601" xr:uid="{00000000-0005-0000-0000-0000BC690000}"/>
    <cellStyle name="40% - Accent3 2 3 4 4 4" xfId="5497" xr:uid="{00000000-0005-0000-0000-0000BD690000}"/>
    <cellStyle name="40% - Accent3 2 3 4 4 4 2" xfId="24948" xr:uid="{00000000-0005-0000-0000-0000BE690000}"/>
    <cellStyle name="40% - Accent3 2 3 4 4 4 3" xfId="34673" xr:uid="{00000000-0005-0000-0000-0000BF690000}"/>
    <cellStyle name="40% - Accent3 2 3 4 4 4 4" xfId="44398" xr:uid="{00000000-0005-0000-0000-0000C0690000}"/>
    <cellStyle name="40% - Accent3 2 3 4 4 4 5" xfId="15223" xr:uid="{00000000-0005-0000-0000-0000C1690000}"/>
    <cellStyle name="40% - Accent3 2 3 4 4 5" xfId="20086" xr:uid="{00000000-0005-0000-0000-0000C2690000}"/>
    <cellStyle name="40% - Accent3 2 3 4 4 6" xfId="29811" xr:uid="{00000000-0005-0000-0000-0000C3690000}"/>
    <cellStyle name="40% - Accent3 2 3 4 4 7" xfId="39536" xr:uid="{00000000-0005-0000-0000-0000C4690000}"/>
    <cellStyle name="40% - Accent3 2 3 4 4 8" xfId="10361" xr:uid="{00000000-0005-0000-0000-0000C5690000}"/>
    <cellStyle name="40% - Accent3 2 3 4 5" xfId="1895" xr:uid="{00000000-0005-0000-0000-0000C6690000}"/>
    <cellStyle name="40% - Accent3 2 3 4 5 2" xfId="6757" xr:uid="{00000000-0005-0000-0000-0000C7690000}"/>
    <cellStyle name="40% - Accent3 2 3 4 5 2 2" xfId="26208" xr:uid="{00000000-0005-0000-0000-0000C8690000}"/>
    <cellStyle name="40% - Accent3 2 3 4 5 2 3" xfId="35933" xr:uid="{00000000-0005-0000-0000-0000C9690000}"/>
    <cellStyle name="40% - Accent3 2 3 4 5 2 4" xfId="45658" xr:uid="{00000000-0005-0000-0000-0000CA690000}"/>
    <cellStyle name="40% - Accent3 2 3 4 5 2 5" xfId="16483" xr:uid="{00000000-0005-0000-0000-0000CB690000}"/>
    <cellStyle name="40% - Accent3 2 3 4 5 3" xfId="21346" xr:uid="{00000000-0005-0000-0000-0000CC690000}"/>
    <cellStyle name="40% - Accent3 2 3 4 5 4" xfId="31071" xr:uid="{00000000-0005-0000-0000-0000CD690000}"/>
    <cellStyle name="40% - Accent3 2 3 4 5 5" xfId="40796" xr:uid="{00000000-0005-0000-0000-0000CE690000}"/>
    <cellStyle name="40% - Accent3 2 3 4 5 6" xfId="11621" xr:uid="{00000000-0005-0000-0000-0000CF690000}"/>
    <cellStyle name="40% - Accent3 2 3 4 6" xfId="3515" xr:uid="{00000000-0005-0000-0000-0000D0690000}"/>
    <cellStyle name="40% - Accent3 2 3 4 6 2" xfId="8377" xr:uid="{00000000-0005-0000-0000-0000D1690000}"/>
    <cellStyle name="40% - Accent3 2 3 4 6 2 2" xfId="27828" xr:uid="{00000000-0005-0000-0000-0000D2690000}"/>
    <cellStyle name="40% - Accent3 2 3 4 6 2 3" xfId="37553" xr:uid="{00000000-0005-0000-0000-0000D3690000}"/>
    <cellStyle name="40% - Accent3 2 3 4 6 2 4" xfId="47278" xr:uid="{00000000-0005-0000-0000-0000D4690000}"/>
    <cellStyle name="40% - Accent3 2 3 4 6 2 5" xfId="18103" xr:uid="{00000000-0005-0000-0000-0000D5690000}"/>
    <cellStyle name="40% - Accent3 2 3 4 6 3" xfId="22966" xr:uid="{00000000-0005-0000-0000-0000D6690000}"/>
    <cellStyle name="40% - Accent3 2 3 4 6 4" xfId="32691" xr:uid="{00000000-0005-0000-0000-0000D7690000}"/>
    <cellStyle name="40% - Accent3 2 3 4 6 5" xfId="42416" xr:uid="{00000000-0005-0000-0000-0000D8690000}"/>
    <cellStyle name="40% - Accent3 2 3 4 6 6" xfId="13241" xr:uid="{00000000-0005-0000-0000-0000D9690000}"/>
    <cellStyle name="40% - Accent3 2 3 4 7" xfId="5137" xr:uid="{00000000-0005-0000-0000-0000DA690000}"/>
    <cellStyle name="40% - Accent3 2 3 4 7 2" xfId="24588" xr:uid="{00000000-0005-0000-0000-0000DB690000}"/>
    <cellStyle name="40% - Accent3 2 3 4 7 3" xfId="34313" xr:uid="{00000000-0005-0000-0000-0000DC690000}"/>
    <cellStyle name="40% - Accent3 2 3 4 7 4" xfId="44038" xr:uid="{00000000-0005-0000-0000-0000DD690000}"/>
    <cellStyle name="40% - Accent3 2 3 4 7 5" xfId="14863" xr:uid="{00000000-0005-0000-0000-0000DE690000}"/>
    <cellStyle name="40% - Accent3 2 3 4 8" xfId="19726" xr:uid="{00000000-0005-0000-0000-0000DF690000}"/>
    <cellStyle name="40% - Accent3 2 3 4 9" xfId="29451" xr:uid="{00000000-0005-0000-0000-0000E0690000}"/>
    <cellStyle name="40% - Accent3 2 3 5" xfId="886" xr:uid="{00000000-0005-0000-0000-0000E1690000}"/>
    <cellStyle name="40% - Accent3 2 3 5 2" xfId="2525" xr:uid="{00000000-0005-0000-0000-0000E2690000}"/>
    <cellStyle name="40% - Accent3 2 3 5 2 2" xfId="7387" xr:uid="{00000000-0005-0000-0000-0000E3690000}"/>
    <cellStyle name="40% - Accent3 2 3 5 2 2 2" xfId="26838" xr:uid="{00000000-0005-0000-0000-0000E4690000}"/>
    <cellStyle name="40% - Accent3 2 3 5 2 2 3" xfId="36563" xr:uid="{00000000-0005-0000-0000-0000E5690000}"/>
    <cellStyle name="40% - Accent3 2 3 5 2 2 4" xfId="46288" xr:uid="{00000000-0005-0000-0000-0000E6690000}"/>
    <cellStyle name="40% - Accent3 2 3 5 2 2 5" xfId="17113" xr:uid="{00000000-0005-0000-0000-0000E7690000}"/>
    <cellStyle name="40% - Accent3 2 3 5 2 3" xfId="21976" xr:uid="{00000000-0005-0000-0000-0000E8690000}"/>
    <cellStyle name="40% - Accent3 2 3 5 2 4" xfId="31701" xr:uid="{00000000-0005-0000-0000-0000E9690000}"/>
    <cellStyle name="40% - Accent3 2 3 5 2 5" xfId="41426" xr:uid="{00000000-0005-0000-0000-0000EA690000}"/>
    <cellStyle name="40% - Accent3 2 3 5 2 6" xfId="12251" xr:uid="{00000000-0005-0000-0000-0000EB690000}"/>
    <cellStyle name="40% - Accent3 2 3 5 3" xfId="4145" xr:uid="{00000000-0005-0000-0000-0000EC690000}"/>
    <cellStyle name="40% - Accent3 2 3 5 3 2" xfId="9007" xr:uid="{00000000-0005-0000-0000-0000ED690000}"/>
    <cellStyle name="40% - Accent3 2 3 5 3 2 2" xfId="28458" xr:uid="{00000000-0005-0000-0000-0000EE690000}"/>
    <cellStyle name="40% - Accent3 2 3 5 3 2 3" xfId="38183" xr:uid="{00000000-0005-0000-0000-0000EF690000}"/>
    <cellStyle name="40% - Accent3 2 3 5 3 2 4" xfId="47908" xr:uid="{00000000-0005-0000-0000-0000F0690000}"/>
    <cellStyle name="40% - Accent3 2 3 5 3 2 5" xfId="18733" xr:uid="{00000000-0005-0000-0000-0000F1690000}"/>
    <cellStyle name="40% - Accent3 2 3 5 3 3" xfId="23596" xr:uid="{00000000-0005-0000-0000-0000F2690000}"/>
    <cellStyle name="40% - Accent3 2 3 5 3 4" xfId="33321" xr:uid="{00000000-0005-0000-0000-0000F3690000}"/>
    <cellStyle name="40% - Accent3 2 3 5 3 5" xfId="43046" xr:uid="{00000000-0005-0000-0000-0000F4690000}"/>
    <cellStyle name="40% - Accent3 2 3 5 3 6" xfId="13871" xr:uid="{00000000-0005-0000-0000-0000F5690000}"/>
    <cellStyle name="40% - Accent3 2 3 5 4" xfId="5767" xr:uid="{00000000-0005-0000-0000-0000F6690000}"/>
    <cellStyle name="40% - Accent3 2 3 5 4 2" xfId="25218" xr:uid="{00000000-0005-0000-0000-0000F7690000}"/>
    <cellStyle name="40% - Accent3 2 3 5 4 3" xfId="34943" xr:uid="{00000000-0005-0000-0000-0000F8690000}"/>
    <cellStyle name="40% - Accent3 2 3 5 4 4" xfId="44668" xr:uid="{00000000-0005-0000-0000-0000F9690000}"/>
    <cellStyle name="40% - Accent3 2 3 5 4 5" xfId="15493" xr:uid="{00000000-0005-0000-0000-0000FA690000}"/>
    <cellStyle name="40% - Accent3 2 3 5 5" xfId="20356" xr:uid="{00000000-0005-0000-0000-0000FB690000}"/>
    <cellStyle name="40% - Accent3 2 3 5 6" xfId="30081" xr:uid="{00000000-0005-0000-0000-0000FC690000}"/>
    <cellStyle name="40% - Accent3 2 3 5 7" xfId="39806" xr:uid="{00000000-0005-0000-0000-0000FD690000}"/>
    <cellStyle name="40% - Accent3 2 3 5 8" xfId="10631" xr:uid="{00000000-0005-0000-0000-0000FE690000}"/>
    <cellStyle name="40% - Accent3 2 3 6" xfId="1264" xr:uid="{00000000-0005-0000-0000-0000FF690000}"/>
    <cellStyle name="40% - Accent3 2 3 6 2" xfId="2885" xr:uid="{00000000-0005-0000-0000-0000006A0000}"/>
    <cellStyle name="40% - Accent3 2 3 6 2 2" xfId="7747" xr:uid="{00000000-0005-0000-0000-0000016A0000}"/>
    <cellStyle name="40% - Accent3 2 3 6 2 2 2" xfId="27198" xr:uid="{00000000-0005-0000-0000-0000026A0000}"/>
    <cellStyle name="40% - Accent3 2 3 6 2 2 3" xfId="36923" xr:uid="{00000000-0005-0000-0000-0000036A0000}"/>
    <cellStyle name="40% - Accent3 2 3 6 2 2 4" xfId="46648" xr:uid="{00000000-0005-0000-0000-0000046A0000}"/>
    <cellStyle name="40% - Accent3 2 3 6 2 2 5" xfId="17473" xr:uid="{00000000-0005-0000-0000-0000056A0000}"/>
    <cellStyle name="40% - Accent3 2 3 6 2 3" xfId="22336" xr:uid="{00000000-0005-0000-0000-0000066A0000}"/>
    <cellStyle name="40% - Accent3 2 3 6 2 4" xfId="32061" xr:uid="{00000000-0005-0000-0000-0000076A0000}"/>
    <cellStyle name="40% - Accent3 2 3 6 2 5" xfId="41786" xr:uid="{00000000-0005-0000-0000-0000086A0000}"/>
    <cellStyle name="40% - Accent3 2 3 6 2 6" xfId="12611" xr:uid="{00000000-0005-0000-0000-0000096A0000}"/>
    <cellStyle name="40% - Accent3 2 3 6 3" xfId="4505" xr:uid="{00000000-0005-0000-0000-00000A6A0000}"/>
    <cellStyle name="40% - Accent3 2 3 6 3 2" xfId="9367" xr:uid="{00000000-0005-0000-0000-00000B6A0000}"/>
    <cellStyle name="40% - Accent3 2 3 6 3 2 2" xfId="28818" xr:uid="{00000000-0005-0000-0000-00000C6A0000}"/>
    <cellStyle name="40% - Accent3 2 3 6 3 2 3" xfId="38543" xr:uid="{00000000-0005-0000-0000-00000D6A0000}"/>
    <cellStyle name="40% - Accent3 2 3 6 3 2 4" xfId="48268" xr:uid="{00000000-0005-0000-0000-00000E6A0000}"/>
    <cellStyle name="40% - Accent3 2 3 6 3 2 5" xfId="19093" xr:uid="{00000000-0005-0000-0000-00000F6A0000}"/>
    <cellStyle name="40% - Accent3 2 3 6 3 3" xfId="23956" xr:uid="{00000000-0005-0000-0000-0000106A0000}"/>
    <cellStyle name="40% - Accent3 2 3 6 3 4" xfId="33681" xr:uid="{00000000-0005-0000-0000-0000116A0000}"/>
    <cellStyle name="40% - Accent3 2 3 6 3 5" xfId="43406" xr:uid="{00000000-0005-0000-0000-0000126A0000}"/>
    <cellStyle name="40% - Accent3 2 3 6 3 6" xfId="14231" xr:uid="{00000000-0005-0000-0000-0000136A0000}"/>
    <cellStyle name="40% - Accent3 2 3 6 4" xfId="6127" xr:uid="{00000000-0005-0000-0000-0000146A0000}"/>
    <cellStyle name="40% - Accent3 2 3 6 4 2" xfId="25578" xr:uid="{00000000-0005-0000-0000-0000156A0000}"/>
    <cellStyle name="40% - Accent3 2 3 6 4 3" xfId="35303" xr:uid="{00000000-0005-0000-0000-0000166A0000}"/>
    <cellStyle name="40% - Accent3 2 3 6 4 4" xfId="45028" xr:uid="{00000000-0005-0000-0000-0000176A0000}"/>
    <cellStyle name="40% - Accent3 2 3 6 4 5" xfId="15853" xr:uid="{00000000-0005-0000-0000-0000186A0000}"/>
    <cellStyle name="40% - Accent3 2 3 6 5" xfId="20716" xr:uid="{00000000-0005-0000-0000-0000196A0000}"/>
    <cellStyle name="40% - Accent3 2 3 6 6" xfId="30441" xr:uid="{00000000-0005-0000-0000-00001A6A0000}"/>
    <cellStyle name="40% - Accent3 2 3 6 7" xfId="40166" xr:uid="{00000000-0005-0000-0000-00001B6A0000}"/>
    <cellStyle name="40% - Accent3 2 3 6 8" xfId="10991" xr:uid="{00000000-0005-0000-0000-00001C6A0000}"/>
    <cellStyle name="40% - Accent3 2 3 7" xfId="1354" xr:uid="{00000000-0005-0000-0000-00001D6A0000}"/>
    <cellStyle name="40% - Accent3 2 3 7 2" xfId="2975" xr:uid="{00000000-0005-0000-0000-00001E6A0000}"/>
    <cellStyle name="40% - Accent3 2 3 7 2 2" xfId="7837" xr:uid="{00000000-0005-0000-0000-00001F6A0000}"/>
    <cellStyle name="40% - Accent3 2 3 7 2 2 2" xfId="27288" xr:uid="{00000000-0005-0000-0000-0000206A0000}"/>
    <cellStyle name="40% - Accent3 2 3 7 2 2 3" xfId="37013" xr:uid="{00000000-0005-0000-0000-0000216A0000}"/>
    <cellStyle name="40% - Accent3 2 3 7 2 2 4" xfId="46738" xr:uid="{00000000-0005-0000-0000-0000226A0000}"/>
    <cellStyle name="40% - Accent3 2 3 7 2 2 5" xfId="17563" xr:uid="{00000000-0005-0000-0000-0000236A0000}"/>
    <cellStyle name="40% - Accent3 2 3 7 2 3" xfId="22426" xr:uid="{00000000-0005-0000-0000-0000246A0000}"/>
    <cellStyle name="40% - Accent3 2 3 7 2 4" xfId="32151" xr:uid="{00000000-0005-0000-0000-0000256A0000}"/>
    <cellStyle name="40% - Accent3 2 3 7 2 5" xfId="41876" xr:uid="{00000000-0005-0000-0000-0000266A0000}"/>
    <cellStyle name="40% - Accent3 2 3 7 2 6" xfId="12701" xr:uid="{00000000-0005-0000-0000-0000276A0000}"/>
    <cellStyle name="40% - Accent3 2 3 7 3" xfId="4595" xr:uid="{00000000-0005-0000-0000-0000286A0000}"/>
    <cellStyle name="40% - Accent3 2 3 7 3 2" xfId="9457" xr:uid="{00000000-0005-0000-0000-0000296A0000}"/>
    <cellStyle name="40% - Accent3 2 3 7 3 2 2" xfId="28908" xr:uid="{00000000-0005-0000-0000-00002A6A0000}"/>
    <cellStyle name="40% - Accent3 2 3 7 3 2 3" xfId="38633" xr:uid="{00000000-0005-0000-0000-00002B6A0000}"/>
    <cellStyle name="40% - Accent3 2 3 7 3 2 4" xfId="48358" xr:uid="{00000000-0005-0000-0000-00002C6A0000}"/>
    <cellStyle name="40% - Accent3 2 3 7 3 2 5" xfId="19183" xr:uid="{00000000-0005-0000-0000-00002D6A0000}"/>
    <cellStyle name="40% - Accent3 2 3 7 3 3" xfId="24046" xr:uid="{00000000-0005-0000-0000-00002E6A0000}"/>
    <cellStyle name="40% - Accent3 2 3 7 3 4" xfId="33771" xr:uid="{00000000-0005-0000-0000-00002F6A0000}"/>
    <cellStyle name="40% - Accent3 2 3 7 3 5" xfId="43496" xr:uid="{00000000-0005-0000-0000-0000306A0000}"/>
    <cellStyle name="40% - Accent3 2 3 7 3 6" xfId="14321" xr:uid="{00000000-0005-0000-0000-0000316A0000}"/>
    <cellStyle name="40% - Accent3 2 3 7 4" xfId="6217" xr:uid="{00000000-0005-0000-0000-0000326A0000}"/>
    <cellStyle name="40% - Accent3 2 3 7 4 2" xfId="25668" xr:uid="{00000000-0005-0000-0000-0000336A0000}"/>
    <cellStyle name="40% - Accent3 2 3 7 4 3" xfId="35393" xr:uid="{00000000-0005-0000-0000-0000346A0000}"/>
    <cellStyle name="40% - Accent3 2 3 7 4 4" xfId="45118" xr:uid="{00000000-0005-0000-0000-0000356A0000}"/>
    <cellStyle name="40% - Accent3 2 3 7 4 5" xfId="15943" xr:uid="{00000000-0005-0000-0000-0000366A0000}"/>
    <cellStyle name="40% - Accent3 2 3 7 5" xfId="20806" xr:uid="{00000000-0005-0000-0000-0000376A0000}"/>
    <cellStyle name="40% - Accent3 2 3 7 6" xfId="30531" xr:uid="{00000000-0005-0000-0000-0000386A0000}"/>
    <cellStyle name="40% - Accent3 2 3 7 7" xfId="40256" xr:uid="{00000000-0005-0000-0000-0000396A0000}"/>
    <cellStyle name="40% - Accent3 2 3 7 8" xfId="11081" xr:uid="{00000000-0005-0000-0000-00003A6A0000}"/>
    <cellStyle name="40% - Accent3 2 3 8" xfId="525" xr:uid="{00000000-0005-0000-0000-00003B6A0000}"/>
    <cellStyle name="40% - Accent3 2 3 8 2" xfId="2165" xr:uid="{00000000-0005-0000-0000-00003C6A0000}"/>
    <cellStyle name="40% - Accent3 2 3 8 2 2" xfId="7027" xr:uid="{00000000-0005-0000-0000-00003D6A0000}"/>
    <cellStyle name="40% - Accent3 2 3 8 2 2 2" xfId="26478" xr:uid="{00000000-0005-0000-0000-00003E6A0000}"/>
    <cellStyle name="40% - Accent3 2 3 8 2 2 3" xfId="36203" xr:uid="{00000000-0005-0000-0000-00003F6A0000}"/>
    <cellStyle name="40% - Accent3 2 3 8 2 2 4" xfId="45928" xr:uid="{00000000-0005-0000-0000-0000406A0000}"/>
    <cellStyle name="40% - Accent3 2 3 8 2 2 5" xfId="16753" xr:uid="{00000000-0005-0000-0000-0000416A0000}"/>
    <cellStyle name="40% - Accent3 2 3 8 2 3" xfId="21616" xr:uid="{00000000-0005-0000-0000-0000426A0000}"/>
    <cellStyle name="40% - Accent3 2 3 8 2 4" xfId="31341" xr:uid="{00000000-0005-0000-0000-0000436A0000}"/>
    <cellStyle name="40% - Accent3 2 3 8 2 5" xfId="41066" xr:uid="{00000000-0005-0000-0000-0000446A0000}"/>
    <cellStyle name="40% - Accent3 2 3 8 2 6" xfId="11891" xr:uid="{00000000-0005-0000-0000-0000456A0000}"/>
    <cellStyle name="40% - Accent3 2 3 8 3" xfId="3785" xr:uid="{00000000-0005-0000-0000-0000466A0000}"/>
    <cellStyle name="40% - Accent3 2 3 8 3 2" xfId="8647" xr:uid="{00000000-0005-0000-0000-0000476A0000}"/>
    <cellStyle name="40% - Accent3 2 3 8 3 2 2" xfId="28098" xr:uid="{00000000-0005-0000-0000-0000486A0000}"/>
    <cellStyle name="40% - Accent3 2 3 8 3 2 3" xfId="37823" xr:uid="{00000000-0005-0000-0000-0000496A0000}"/>
    <cellStyle name="40% - Accent3 2 3 8 3 2 4" xfId="47548" xr:uid="{00000000-0005-0000-0000-00004A6A0000}"/>
    <cellStyle name="40% - Accent3 2 3 8 3 2 5" xfId="18373" xr:uid="{00000000-0005-0000-0000-00004B6A0000}"/>
    <cellStyle name="40% - Accent3 2 3 8 3 3" xfId="23236" xr:uid="{00000000-0005-0000-0000-00004C6A0000}"/>
    <cellStyle name="40% - Accent3 2 3 8 3 4" xfId="32961" xr:uid="{00000000-0005-0000-0000-00004D6A0000}"/>
    <cellStyle name="40% - Accent3 2 3 8 3 5" xfId="42686" xr:uid="{00000000-0005-0000-0000-00004E6A0000}"/>
    <cellStyle name="40% - Accent3 2 3 8 3 6" xfId="13511" xr:uid="{00000000-0005-0000-0000-00004F6A0000}"/>
    <cellStyle name="40% - Accent3 2 3 8 4" xfId="5407" xr:uid="{00000000-0005-0000-0000-0000506A0000}"/>
    <cellStyle name="40% - Accent3 2 3 8 4 2" xfId="24858" xr:uid="{00000000-0005-0000-0000-0000516A0000}"/>
    <cellStyle name="40% - Accent3 2 3 8 4 3" xfId="34583" xr:uid="{00000000-0005-0000-0000-0000526A0000}"/>
    <cellStyle name="40% - Accent3 2 3 8 4 4" xfId="44308" xr:uid="{00000000-0005-0000-0000-0000536A0000}"/>
    <cellStyle name="40% - Accent3 2 3 8 4 5" xfId="15133" xr:uid="{00000000-0005-0000-0000-0000546A0000}"/>
    <cellStyle name="40% - Accent3 2 3 8 5" xfId="19996" xr:uid="{00000000-0005-0000-0000-0000556A0000}"/>
    <cellStyle name="40% - Accent3 2 3 8 6" xfId="29721" xr:uid="{00000000-0005-0000-0000-0000566A0000}"/>
    <cellStyle name="40% - Accent3 2 3 8 7" xfId="39446" xr:uid="{00000000-0005-0000-0000-0000576A0000}"/>
    <cellStyle name="40% - Accent3 2 3 8 8" xfId="10271" xr:uid="{00000000-0005-0000-0000-0000586A0000}"/>
    <cellStyle name="40% - Accent3 2 3 9" xfId="1714" xr:uid="{00000000-0005-0000-0000-0000596A0000}"/>
    <cellStyle name="40% - Accent3 2 3 9 2" xfId="3335" xr:uid="{00000000-0005-0000-0000-00005A6A0000}"/>
    <cellStyle name="40% - Accent3 2 3 9 2 2" xfId="8197" xr:uid="{00000000-0005-0000-0000-00005B6A0000}"/>
    <cellStyle name="40% - Accent3 2 3 9 2 2 2" xfId="27648" xr:uid="{00000000-0005-0000-0000-00005C6A0000}"/>
    <cellStyle name="40% - Accent3 2 3 9 2 2 3" xfId="37373" xr:uid="{00000000-0005-0000-0000-00005D6A0000}"/>
    <cellStyle name="40% - Accent3 2 3 9 2 2 4" xfId="47098" xr:uid="{00000000-0005-0000-0000-00005E6A0000}"/>
    <cellStyle name="40% - Accent3 2 3 9 2 2 5" xfId="17923" xr:uid="{00000000-0005-0000-0000-00005F6A0000}"/>
    <cellStyle name="40% - Accent3 2 3 9 2 3" xfId="22786" xr:uid="{00000000-0005-0000-0000-0000606A0000}"/>
    <cellStyle name="40% - Accent3 2 3 9 2 4" xfId="32511" xr:uid="{00000000-0005-0000-0000-0000616A0000}"/>
    <cellStyle name="40% - Accent3 2 3 9 2 5" xfId="42236" xr:uid="{00000000-0005-0000-0000-0000626A0000}"/>
    <cellStyle name="40% - Accent3 2 3 9 2 6" xfId="13061" xr:uid="{00000000-0005-0000-0000-0000636A0000}"/>
    <cellStyle name="40% - Accent3 2 3 9 3" xfId="4955" xr:uid="{00000000-0005-0000-0000-0000646A0000}"/>
    <cellStyle name="40% - Accent3 2 3 9 3 2" xfId="9817" xr:uid="{00000000-0005-0000-0000-0000656A0000}"/>
    <cellStyle name="40% - Accent3 2 3 9 3 2 2" xfId="29268" xr:uid="{00000000-0005-0000-0000-0000666A0000}"/>
    <cellStyle name="40% - Accent3 2 3 9 3 2 3" xfId="38993" xr:uid="{00000000-0005-0000-0000-0000676A0000}"/>
    <cellStyle name="40% - Accent3 2 3 9 3 2 4" xfId="48718" xr:uid="{00000000-0005-0000-0000-0000686A0000}"/>
    <cellStyle name="40% - Accent3 2 3 9 3 2 5" xfId="19543" xr:uid="{00000000-0005-0000-0000-0000696A0000}"/>
    <cellStyle name="40% - Accent3 2 3 9 3 3" xfId="24406" xr:uid="{00000000-0005-0000-0000-00006A6A0000}"/>
    <cellStyle name="40% - Accent3 2 3 9 3 4" xfId="34131" xr:uid="{00000000-0005-0000-0000-00006B6A0000}"/>
    <cellStyle name="40% - Accent3 2 3 9 3 5" xfId="43856" xr:uid="{00000000-0005-0000-0000-00006C6A0000}"/>
    <cellStyle name="40% - Accent3 2 3 9 3 6" xfId="14681" xr:uid="{00000000-0005-0000-0000-00006D6A0000}"/>
    <cellStyle name="40% - Accent3 2 3 9 4" xfId="6577" xr:uid="{00000000-0005-0000-0000-00006E6A0000}"/>
    <cellStyle name="40% - Accent3 2 3 9 4 2" xfId="26028" xr:uid="{00000000-0005-0000-0000-00006F6A0000}"/>
    <cellStyle name="40% - Accent3 2 3 9 4 3" xfId="35753" xr:uid="{00000000-0005-0000-0000-0000706A0000}"/>
    <cellStyle name="40% - Accent3 2 3 9 4 4" xfId="45478" xr:uid="{00000000-0005-0000-0000-0000716A0000}"/>
    <cellStyle name="40% - Accent3 2 3 9 4 5" xfId="16303" xr:uid="{00000000-0005-0000-0000-0000726A0000}"/>
    <cellStyle name="40% - Accent3 2 3 9 5" xfId="21166" xr:uid="{00000000-0005-0000-0000-0000736A0000}"/>
    <cellStyle name="40% - Accent3 2 3 9 6" xfId="30891" xr:uid="{00000000-0005-0000-0000-0000746A0000}"/>
    <cellStyle name="40% - Accent3 2 3 9 7" xfId="40616" xr:uid="{00000000-0005-0000-0000-0000756A0000}"/>
    <cellStyle name="40% - Accent3 2 3 9 8" xfId="11441" xr:uid="{00000000-0005-0000-0000-0000766A0000}"/>
    <cellStyle name="40% - Accent3 2 4" xfId="243" xr:uid="{00000000-0005-0000-0000-0000776A0000}"/>
    <cellStyle name="40% - Accent3 2 4 10" xfId="39206" xr:uid="{00000000-0005-0000-0000-0000786A0000}"/>
    <cellStyle name="40% - Accent3 2 4 11" xfId="10031" xr:uid="{00000000-0005-0000-0000-0000796A0000}"/>
    <cellStyle name="40% - Accent3 2 4 2" xfId="1007" xr:uid="{00000000-0005-0000-0000-00007A6A0000}"/>
    <cellStyle name="40% - Accent3 2 4 2 2" xfId="2645" xr:uid="{00000000-0005-0000-0000-00007B6A0000}"/>
    <cellStyle name="40% - Accent3 2 4 2 2 2" xfId="7507" xr:uid="{00000000-0005-0000-0000-00007C6A0000}"/>
    <cellStyle name="40% - Accent3 2 4 2 2 2 2" xfId="26958" xr:uid="{00000000-0005-0000-0000-00007D6A0000}"/>
    <cellStyle name="40% - Accent3 2 4 2 2 2 3" xfId="36683" xr:uid="{00000000-0005-0000-0000-00007E6A0000}"/>
    <cellStyle name="40% - Accent3 2 4 2 2 2 4" xfId="46408" xr:uid="{00000000-0005-0000-0000-00007F6A0000}"/>
    <cellStyle name="40% - Accent3 2 4 2 2 2 5" xfId="17233" xr:uid="{00000000-0005-0000-0000-0000806A0000}"/>
    <cellStyle name="40% - Accent3 2 4 2 2 3" xfId="22096" xr:uid="{00000000-0005-0000-0000-0000816A0000}"/>
    <cellStyle name="40% - Accent3 2 4 2 2 4" xfId="31821" xr:uid="{00000000-0005-0000-0000-0000826A0000}"/>
    <cellStyle name="40% - Accent3 2 4 2 2 5" xfId="41546" xr:uid="{00000000-0005-0000-0000-0000836A0000}"/>
    <cellStyle name="40% - Accent3 2 4 2 2 6" xfId="12371" xr:uid="{00000000-0005-0000-0000-0000846A0000}"/>
    <cellStyle name="40% - Accent3 2 4 2 3" xfId="4265" xr:uid="{00000000-0005-0000-0000-0000856A0000}"/>
    <cellStyle name="40% - Accent3 2 4 2 3 2" xfId="9127" xr:uid="{00000000-0005-0000-0000-0000866A0000}"/>
    <cellStyle name="40% - Accent3 2 4 2 3 2 2" xfId="28578" xr:uid="{00000000-0005-0000-0000-0000876A0000}"/>
    <cellStyle name="40% - Accent3 2 4 2 3 2 3" xfId="38303" xr:uid="{00000000-0005-0000-0000-0000886A0000}"/>
    <cellStyle name="40% - Accent3 2 4 2 3 2 4" xfId="48028" xr:uid="{00000000-0005-0000-0000-0000896A0000}"/>
    <cellStyle name="40% - Accent3 2 4 2 3 2 5" xfId="18853" xr:uid="{00000000-0005-0000-0000-00008A6A0000}"/>
    <cellStyle name="40% - Accent3 2 4 2 3 3" xfId="23716" xr:uid="{00000000-0005-0000-0000-00008B6A0000}"/>
    <cellStyle name="40% - Accent3 2 4 2 3 4" xfId="33441" xr:uid="{00000000-0005-0000-0000-00008C6A0000}"/>
    <cellStyle name="40% - Accent3 2 4 2 3 5" xfId="43166" xr:uid="{00000000-0005-0000-0000-00008D6A0000}"/>
    <cellStyle name="40% - Accent3 2 4 2 3 6" xfId="13991" xr:uid="{00000000-0005-0000-0000-00008E6A0000}"/>
    <cellStyle name="40% - Accent3 2 4 2 4" xfId="5887" xr:uid="{00000000-0005-0000-0000-00008F6A0000}"/>
    <cellStyle name="40% - Accent3 2 4 2 4 2" xfId="25338" xr:uid="{00000000-0005-0000-0000-0000906A0000}"/>
    <cellStyle name="40% - Accent3 2 4 2 4 3" xfId="35063" xr:uid="{00000000-0005-0000-0000-0000916A0000}"/>
    <cellStyle name="40% - Accent3 2 4 2 4 4" xfId="44788" xr:uid="{00000000-0005-0000-0000-0000926A0000}"/>
    <cellStyle name="40% - Accent3 2 4 2 4 5" xfId="15613" xr:uid="{00000000-0005-0000-0000-0000936A0000}"/>
    <cellStyle name="40% - Accent3 2 4 2 5" xfId="20476" xr:uid="{00000000-0005-0000-0000-0000946A0000}"/>
    <cellStyle name="40% - Accent3 2 4 2 6" xfId="30201" xr:uid="{00000000-0005-0000-0000-0000956A0000}"/>
    <cellStyle name="40% - Accent3 2 4 2 7" xfId="39926" xr:uid="{00000000-0005-0000-0000-0000966A0000}"/>
    <cellStyle name="40% - Accent3 2 4 2 8" xfId="10751" xr:uid="{00000000-0005-0000-0000-0000976A0000}"/>
    <cellStyle name="40% - Accent3 2 4 3" xfId="1474" xr:uid="{00000000-0005-0000-0000-0000986A0000}"/>
    <cellStyle name="40% - Accent3 2 4 3 2" xfId="3095" xr:uid="{00000000-0005-0000-0000-0000996A0000}"/>
    <cellStyle name="40% - Accent3 2 4 3 2 2" xfId="7957" xr:uid="{00000000-0005-0000-0000-00009A6A0000}"/>
    <cellStyle name="40% - Accent3 2 4 3 2 2 2" xfId="27408" xr:uid="{00000000-0005-0000-0000-00009B6A0000}"/>
    <cellStyle name="40% - Accent3 2 4 3 2 2 3" xfId="37133" xr:uid="{00000000-0005-0000-0000-00009C6A0000}"/>
    <cellStyle name="40% - Accent3 2 4 3 2 2 4" xfId="46858" xr:uid="{00000000-0005-0000-0000-00009D6A0000}"/>
    <cellStyle name="40% - Accent3 2 4 3 2 2 5" xfId="17683" xr:uid="{00000000-0005-0000-0000-00009E6A0000}"/>
    <cellStyle name="40% - Accent3 2 4 3 2 3" xfId="22546" xr:uid="{00000000-0005-0000-0000-00009F6A0000}"/>
    <cellStyle name="40% - Accent3 2 4 3 2 4" xfId="32271" xr:uid="{00000000-0005-0000-0000-0000A06A0000}"/>
    <cellStyle name="40% - Accent3 2 4 3 2 5" xfId="41996" xr:uid="{00000000-0005-0000-0000-0000A16A0000}"/>
    <cellStyle name="40% - Accent3 2 4 3 2 6" xfId="12821" xr:uid="{00000000-0005-0000-0000-0000A26A0000}"/>
    <cellStyle name="40% - Accent3 2 4 3 3" xfId="4715" xr:uid="{00000000-0005-0000-0000-0000A36A0000}"/>
    <cellStyle name="40% - Accent3 2 4 3 3 2" xfId="9577" xr:uid="{00000000-0005-0000-0000-0000A46A0000}"/>
    <cellStyle name="40% - Accent3 2 4 3 3 2 2" xfId="29028" xr:uid="{00000000-0005-0000-0000-0000A56A0000}"/>
    <cellStyle name="40% - Accent3 2 4 3 3 2 3" xfId="38753" xr:uid="{00000000-0005-0000-0000-0000A66A0000}"/>
    <cellStyle name="40% - Accent3 2 4 3 3 2 4" xfId="48478" xr:uid="{00000000-0005-0000-0000-0000A76A0000}"/>
    <cellStyle name="40% - Accent3 2 4 3 3 2 5" xfId="19303" xr:uid="{00000000-0005-0000-0000-0000A86A0000}"/>
    <cellStyle name="40% - Accent3 2 4 3 3 3" xfId="24166" xr:uid="{00000000-0005-0000-0000-0000A96A0000}"/>
    <cellStyle name="40% - Accent3 2 4 3 3 4" xfId="33891" xr:uid="{00000000-0005-0000-0000-0000AA6A0000}"/>
    <cellStyle name="40% - Accent3 2 4 3 3 5" xfId="43616" xr:uid="{00000000-0005-0000-0000-0000AB6A0000}"/>
    <cellStyle name="40% - Accent3 2 4 3 3 6" xfId="14441" xr:uid="{00000000-0005-0000-0000-0000AC6A0000}"/>
    <cellStyle name="40% - Accent3 2 4 3 4" xfId="6337" xr:uid="{00000000-0005-0000-0000-0000AD6A0000}"/>
    <cellStyle name="40% - Accent3 2 4 3 4 2" xfId="25788" xr:uid="{00000000-0005-0000-0000-0000AE6A0000}"/>
    <cellStyle name="40% - Accent3 2 4 3 4 3" xfId="35513" xr:uid="{00000000-0005-0000-0000-0000AF6A0000}"/>
    <cellStyle name="40% - Accent3 2 4 3 4 4" xfId="45238" xr:uid="{00000000-0005-0000-0000-0000B06A0000}"/>
    <cellStyle name="40% - Accent3 2 4 3 4 5" xfId="16063" xr:uid="{00000000-0005-0000-0000-0000B16A0000}"/>
    <cellStyle name="40% - Accent3 2 4 3 5" xfId="20926" xr:uid="{00000000-0005-0000-0000-0000B26A0000}"/>
    <cellStyle name="40% - Accent3 2 4 3 6" xfId="30651" xr:uid="{00000000-0005-0000-0000-0000B36A0000}"/>
    <cellStyle name="40% - Accent3 2 4 3 7" xfId="40376" xr:uid="{00000000-0005-0000-0000-0000B46A0000}"/>
    <cellStyle name="40% - Accent3 2 4 3 8" xfId="11201" xr:uid="{00000000-0005-0000-0000-0000B56A0000}"/>
    <cellStyle name="40% - Accent3 2 4 4" xfId="645" xr:uid="{00000000-0005-0000-0000-0000B66A0000}"/>
    <cellStyle name="40% - Accent3 2 4 4 2" xfId="2285" xr:uid="{00000000-0005-0000-0000-0000B76A0000}"/>
    <cellStyle name="40% - Accent3 2 4 4 2 2" xfId="7147" xr:uid="{00000000-0005-0000-0000-0000B86A0000}"/>
    <cellStyle name="40% - Accent3 2 4 4 2 2 2" xfId="26598" xr:uid="{00000000-0005-0000-0000-0000B96A0000}"/>
    <cellStyle name="40% - Accent3 2 4 4 2 2 3" xfId="36323" xr:uid="{00000000-0005-0000-0000-0000BA6A0000}"/>
    <cellStyle name="40% - Accent3 2 4 4 2 2 4" xfId="46048" xr:uid="{00000000-0005-0000-0000-0000BB6A0000}"/>
    <cellStyle name="40% - Accent3 2 4 4 2 2 5" xfId="16873" xr:uid="{00000000-0005-0000-0000-0000BC6A0000}"/>
    <cellStyle name="40% - Accent3 2 4 4 2 3" xfId="21736" xr:uid="{00000000-0005-0000-0000-0000BD6A0000}"/>
    <cellStyle name="40% - Accent3 2 4 4 2 4" xfId="31461" xr:uid="{00000000-0005-0000-0000-0000BE6A0000}"/>
    <cellStyle name="40% - Accent3 2 4 4 2 5" xfId="41186" xr:uid="{00000000-0005-0000-0000-0000BF6A0000}"/>
    <cellStyle name="40% - Accent3 2 4 4 2 6" xfId="12011" xr:uid="{00000000-0005-0000-0000-0000C06A0000}"/>
    <cellStyle name="40% - Accent3 2 4 4 3" xfId="3905" xr:uid="{00000000-0005-0000-0000-0000C16A0000}"/>
    <cellStyle name="40% - Accent3 2 4 4 3 2" xfId="8767" xr:uid="{00000000-0005-0000-0000-0000C26A0000}"/>
    <cellStyle name="40% - Accent3 2 4 4 3 2 2" xfId="28218" xr:uid="{00000000-0005-0000-0000-0000C36A0000}"/>
    <cellStyle name="40% - Accent3 2 4 4 3 2 3" xfId="37943" xr:uid="{00000000-0005-0000-0000-0000C46A0000}"/>
    <cellStyle name="40% - Accent3 2 4 4 3 2 4" xfId="47668" xr:uid="{00000000-0005-0000-0000-0000C56A0000}"/>
    <cellStyle name="40% - Accent3 2 4 4 3 2 5" xfId="18493" xr:uid="{00000000-0005-0000-0000-0000C66A0000}"/>
    <cellStyle name="40% - Accent3 2 4 4 3 3" xfId="23356" xr:uid="{00000000-0005-0000-0000-0000C76A0000}"/>
    <cellStyle name="40% - Accent3 2 4 4 3 4" xfId="33081" xr:uid="{00000000-0005-0000-0000-0000C86A0000}"/>
    <cellStyle name="40% - Accent3 2 4 4 3 5" xfId="42806" xr:uid="{00000000-0005-0000-0000-0000C96A0000}"/>
    <cellStyle name="40% - Accent3 2 4 4 3 6" xfId="13631" xr:uid="{00000000-0005-0000-0000-0000CA6A0000}"/>
    <cellStyle name="40% - Accent3 2 4 4 4" xfId="5527" xr:uid="{00000000-0005-0000-0000-0000CB6A0000}"/>
    <cellStyle name="40% - Accent3 2 4 4 4 2" xfId="24978" xr:uid="{00000000-0005-0000-0000-0000CC6A0000}"/>
    <cellStyle name="40% - Accent3 2 4 4 4 3" xfId="34703" xr:uid="{00000000-0005-0000-0000-0000CD6A0000}"/>
    <cellStyle name="40% - Accent3 2 4 4 4 4" xfId="44428" xr:uid="{00000000-0005-0000-0000-0000CE6A0000}"/>
    <cellStyle name="40% - Accent3 2 4 4 4 5" xfId="15253" xr:uid="{00000000-0005-0000-0000-0000CF6A0000}"/>
    <cellStyle name="40% - Accent3 2 4 4 5" xfId="20116" xr:uid="{00000000-0005-0000-0000-0000D06A0000}"/>
    <cellStyle name="40% - Accent3 2 4 4 6" xfId="29841" xr:uid="{00000000-0005-0000-0000-0000D16A0000}"/>
    <cellStyle name="40% - Accent3 2 4 4 7" xfId="39566" xr:uid="{00000000-0005-0000-0000-0000D26A0000}"/>
    <cellStyle name="40% - Accent3 2 4 4 8" xfId="10391" xr:uid="{00000000-0005-0000-0000-0000D36A0000}"/>
    <cellStyle name="40% - Accent3 2 4 5" xfId="1925" xr:uid="{00000000-0005-0000-0000-0000D46A0000}"/>
    <cellStyle name="40% - Accent3 2 4 5 2" xfId="6787" xr:uid="{00000000-0005-0000-0000-0000D56A0000}"/>
    <cellStyle name="40% - Accent3 2 4 5 2 2" xfId="26238" xr:uid="{00000000-0005-0000-0000-0000D66A0000}"/>
    <cellStyle name="40% - Accent3 2 4 5 2 3" xfId="35963" xr:uid="{00000000-0005-0000-0000-0000D76A0000}"/>
    <cellStyle name="40% - Accent3 2 4 5 2 4" xfId="45688" xr:uid="{00000000-0005-0000-0000-0000D86A0000}"/>
    <cellStyle name="40% - Accent3 2 4 5 2 5" xfId="16513" xr:uid="{00000000-0005-0000-0000-0000D96A0000}"/>
    <cellStyle name="40% - Accent3 2 4 5 3" xfId="21376" xr:uid="{00000000-0005-0000-0000-0000DA6A0000}"/>
    <cellStyle name="40% - Accent3 2 4 5 4" xfId="31101" xr:uid="{00000000-0005-0000-0000-0000DB6A0000}"/>
    <cellStyle name="40% - Accent3 2 4 5 5" xfId="40826" xr:uid="{00000000-0005-0000-0000-0000DC6A0000}"/>
    <cellStyle name="40% - Accent3 2 4 5 6" xfId="11651" xr:uid="{00000000-0005-0000-0000-0000DD6A0000}"/>
    <cellStyle name="40% - Accent3 2 4 6" xfId="3545" xr:uid="{00000000-0005-0000-0000-0000DE6A0000}"/>
    <cellStyle name="40% - Accent3 2 4 6 2" xfId="8407" xr:uid="{00000000-0005-0000-0000-0000DF6A0000}"/>
    <cellStyle name="40% - Accent3 2 4 6 2 2" xfId="27858" xr:uid="{00000000-0005-0000-0000-0000E06A0000}"/>
    <cellStyle name="40% - Accent3 2 4 6 2 3" xfId="37583" xr:uid="{00000000-0005-0000-0000-0000E16A0000}"/>
    <cellStyle name="40% - Accent3 2 4 6 2 4" xfId="47308" xr:uid="{00000000-0005-0000-0000-0000E26A0000}"/>
    <cellStyle name="40% - Accent3 2 4 6 2 5" xfId="18133" xr:uid="{00000000-0005-0000-0000-0000E36A0000}"/>
    <cellStyle name="40% - Accent3 2 4 6 3" xfId="22996" xr:uid="{00000000-0005-0000-0000-0000E46A0000}"/>
    <cellStyle name="40% - Accent3 2 4 6 4" xfId="32721" xr:uid="{00000000-0005-0000-0000-0000E56A0000}"/>
    <cellStyle name="40% - Accent3 2 4 6 5" xfId="42446" xr:uid="{00000000-0005-0000-0000-0000E66A0000}"/>
    <cellStyle name="40% - Accent3 2 4 6 6" xfId="13271" xr:uid="{00000000-0005-0000-0000-0000E76A0000}"/>
    <cellStyle name="40% - Accent3 2 4 7" xfId="5167" xr:uid="{00000000-0005-0000-0000-0000E86A0000}"/>
    <cellStyle name="40% - Accent3 2 4 7 2" xfId="24618" xr:uid="{00000000-0005-0000-0000-0000E96A0000}"/>
    <cellStyle name="40% - Accent3 2 4 7 3" xfId="34343" xr:uid="{00000000-0005-0000-0000-0000EA6A0000}"/>
    <cellStyle name="40% - Accent3 2 4 7 4" xfId="44068" xr:uid="{00000000-0005-0000-0000-0000EB6A0000}"/>
    <cellStyle name="40% - Accent3 2 4 7 5" xfId="14893" xr:uid="{00000000-0005-0000-0000-0000EC6A0000}"/>
    <cellStyle name="40% - Accent3 2 4 8" xfId="19756" xr:uid="{00000000-0005-0000-0000-0000ED6A0000}"/>
    <cellStyle name="40% - Accent3 2 4 9" xfId="29481" xr:uid="{00000000-0005-0000-0000-0000EE6A0000}"/>
    <cellStyle name="40% - Accent3 2 5" xfId="334" xr:uid="{00000000-0005-0000-0000-0000EF6A0000}"/>
    <cellStyle name="40% - Accent3 2 5 10" xfId="39296" xr:uid="{00000000-0005-0000-0000-0000F06A0000}"/>
    <cellStyle name="40% - Accent3 2 5 11" xfId="10121" xr:uid="{00000000-0005-0000-0000-0000F16A0000}"/>
    <cellStyle name="40% - Accent3 2 5 2" xfId="1097" xr:uid="{00000000-0005-0000-0000-0000F26A0000}"/>
    <cellStyle name="40% - Accent3 2 5 2 2" xfId="2735" xr:uid="{00000000-0005-0000-0000-0000F36A0000}"/>
    <cellStyle name="40% - Accent3 2 5 2 2 2" xfId="7597" xr:uid="{00000000-0005-0000-0000-0000F46A0000}"/>
    <cellStyle name="40% - Accent3 2 5 2 2 2 2" xfId="27048" xr:uid="{00000000-0005-0000-0000-0000F56A0000}"/>
    <cellStyle name="40% - Accent3 2 5 2 2 2 3" xfId="36773" xr:uid="{00000000-0005-0000-0000-0000F66A0000}"/>
    <cellStyle name="40% - Accent3 2 5 2 2 2 4" xfId="46498" xr:uid="{00000000-0005-0000-0000-0000F76A0000}"/>
    <cellStyle name="40% - Accent3 2 5 2 2 2 5" xfId="17323" xr:uid="{00000000-0005-0000-0000-0000F86A0000}"/>
    <cellStyle name="40% - Accent3 2 5 2 2 3" xfId="22186" xr:uid="{00000000-0005-0000-0000-0000F96A0000}"/>
    <cellStyle name="40% - Accent3 2 5 2 2 4" xfId="31911" xr:uid="{00000000-0005-0000-0000-0000FA6A0000}"/>
    <cellStyle name="40% - Accent3 2 5 2 2 5" xfId="41636" xr:uid="{00000000-0005-0000-0000-0000FB6A0000}"/>
    <cellStyle name="40% - Accent3 2 5 2 2 6" xfId="12461" xr:uid="{00000000-0005-0000-0000-0000FC6A0000}"/>
    <cellStyle name="40% - Accent3 2 5 2 3" xfId="4355" xr:uid="{00000000-0005-0000-0000-0000FD6A0000}"/>
    <cellStyle name="40% - Accent3 2 5 2 3 2" xfId="9217" xr:uid="{00000000-0005-0000-0000-0000FE6A0000}"/>
    <cellStyle name="40% - Accent3 2 5 2 3 2 2" xfId="28668" xr:uid="{00000000-0005-0000-0000-0000FF6A0000}"/>
    <cellStyle name="40% - Accent3 2 5 2 3 2 3" xfId="38393" xr:uid="{00000000-0005-0000-0000-0000006B0000}"/>
    <cellStyle name="40% - Accent3 2 5 2 3 2 4" xfId="48118" xr:uid="{00000000-0005-0000-0000-0000016B0000}"/>
    <cellStyle name="40% - Accent3 2 5 2 3 2 5" xfId="18943" xr:uid="{00000000-0005-0000-0000-0000026B0000}"/>
    <cellStyle name="40% - Accent3 2 5 2 3 3" xfId="23806" xr:uid="{00000000-0005-0000-0000-0000036B0000}"/>
    <cellStyle name="40% - Accent3 2 5 2 3 4" xfId="33531" xr:uid="{00000000-0005-0000-0000-0000046B0000}"/>
    <cellStyle name="40% - Accent3 2 5 2 3 5" xfId="43256" xr:uid="{00000000-0005-0000-0000-0000056B0000}"/>
    <cellStyle name="40% - Accent3 2 5 2 3 6" xfId="14081" xr:uid="{00000000-0005-0000-0000-0000066B0000}"/>
    <cellStyle name="40% - Accent3 2 5 2 4" xfId="5977" xr:uid="{00000000-0005-0000-0000-0000076B0000}"/>
    <cellStyle name="40% - Accent3 2 5 2 4 2" xfId="25428" xr:uid="{00000000-0005-0000-0000-0000086B0000}"/>
    <cellStyle name="40% - Accent3 2 5 2 4 3" xfId="35153" xr:uid="{00000000-0005-0000-0000-0000096B0000}"/>
    <cellStyle name="40% - Accent3 2 5 2 4 4" xfId="44878" xr:uid="{00000000-0005-0000-0000-00000A6B0000}"/>
    <cellStyle name="40% - Accent3 2 5 2 4 5" xfId="15703" xr:uid="{00000000-0005-0000-0000-00000B6B0000}"/>
    <cellStyle name="40% - Accent3 2 5 2 5" xfId="20566" xr:uid="{00000000-0005-0000-0000-00000C6B0000}"/>
    <cellStyle name="40% - Accent3 2 5 2 6" xfId="30291" xr:uid="{00000000-0005-0000-0000-00000D6B0000}"/>
    <cellStyle name="40% - Accent3 2 5 2 7" xfId="40016" xr:uid="{00000000-0005-0000-0000-00000E6B0000}"/>
    <cellStyle name="40% - Accent3 2 5 2 8" xfId="10841" xr:uid="{00000000-0005-0000-0000-00000F6B0000}"/>
    <cellStyle name="40% - Accent3 2 5 3" xfId="1564" xr:uid="{00000000-0005-0000-0000-0000106B0000}"/>
    <cellStyle name="40% - Accent3 2 5 3 2" xfId="3185" xr:uid="{00000000-0005-0000-0000-0000116B0000}"/>
    <cellStyle name="40% - Accent3 2 5 3 2 2" xfId="8047" xr:uid="{00000000-0005-0000-0000-0000126B0000}"/>
    <cellStyle name="40% - Accent3 2 5 3 2 2 2" xfId="27498" xr:uid="{00000000-0005-0000-0000-0000136B0000}"/>
    <cellStyle name="40% - Accent3 2 5 3 2 2 3" xfId="37223" xr:uid="{00000000-0005-0000-0000-0000146B0000}"/>
    <cellStyle name="40% - Accent3 2 5 3 2 2 4" xfId="46948" xr:uid="{00000000-0005-0000-0000-0000156B0000}"/>
    <cellStyle name="40% - Accent3 2 5 3 2 2 5" xfId="17773" xr:uid="{00000000-0005-0000-0000-0000166B0000}"/>
    <cellStyle name="40% - Accent3 2 5 3 2 3" xfId="22636" xr:uid="{00000000-0005-0000-0000-0000176B0000}"/>
    <cellStyle name="40% - Accent3 2 5 3 2 4" xfId="32361" xr:uid="{00000000-0005-0000-0000-0000186B0000}"/>
    <cellStyle name="40% - Accent3 2 5 3 2 5" xfId="42086" xr:uid="{00000000-0005-0000-0000-0000196B0000}"/>
    <cellStyle name="40% - Accent3 2 5 3 2 6" xfId="12911" xr:uid="{00000000-0005-0000-0000-00001A6B0000}"/>
    <cellStyle name="40% - Accent3 2 5 3 3" xfId="4805" xr:uid="{00000000-0005-0000-0000-00001B6B0000}"/>
    <cellStyle name="40% - Accent3 2 5 3 3 2" xfId="9667" xr:uid="{00000000-0005-0000-0000-00001C6B0000}"/>
    <cellStyle name="40% - Accent3 2 5 3 3 2 2" xfId="29118" xr:uid="{00000000-0005-0000-0000-00001D6B0000}"/>
    <cellStyle name="40% - Accent3 2 5 3 3 2 3" xfId="38843" xr:uid="{00000000-0005-0000-0000-00001E6B0000}"/>
    <cellStyle name="40% - Accent3 2 5 3 3 2 4" xfId="48568" xr:uid="{00000000-0005-0000-0000-00001F6B0000}"/>
    <cellStyle name="40% - Accent3 2 5 3 3 2 5" xfId="19393" xr:uid="{00000000-0005-0000-0000-0000206B0000}"/>
    <cellStyle name="40% - Accent3 2 5 3 3 3" xfId="24256" xr:uid="{00000000-0005-0000-0000-0000216B0000}"/>
    <cellStyle name="40% - Accent3 2 5 3 3 4" xfId="33981" xr:uid="{00000000-0005-0000-0000-0000226B0000}"/>
    <cellStyle name="40% - Accent3 2 5 3 3 5" xfId="43706" xr:uid="{00000000-0005-0000-0000-0000236B0000}"/>
    <cellStyle name="40% - Accent3 2 5 3 3 6" xfId="14531" xr:uid="{00000000-0005-0000-0000-0000246B0000}"/>
    <cellStyle name="40% - Accent3 2 5 3 4" xfId="6427" xr:uid="{00000000-0005-0000-0000-0000256B0000}"/>
    <cellStyle name="40% - Accent3 2 5 3 4 2" xfId="25878" xr:uid="{00000000-0005-0000-0000-0000266B0000}"/>
    <cellStyle name="40% - Accent3 2 5 3 4 3" xfId="35603" xr:uid="{00000000-0005-0000-0000-0000276B0000}"/>
    <cellStyle name="40% - Accent3 2 5 3 4 4" xfId="45328" xr:uid="{00000000-0005-0000-0000-0000286B0000}"/>
    <cellStyle name="40% - Accent3 2 5 3 4 5" xfId="16153" xr:uid="{00000000-0005-0000-0000-0000296B0000}"/>
    <cellStyle name="40% - Accent3 2 5 3 5" xfId="21016" xr:uid="{00000000-0005-0000-0000-00002A6B0000}"/>
    <cellStyle name="40% - Accent3 2 5 3 6" xfId="30741" xr:uid="{00000000-0005-0000-0000-00002B6B0000}"/>
    <cellStyle name="40% - Accent3 2 5 3 7" xfId="40466" xr:uid="{00000000-0005-0000-0000-00002C6B0000}"/>
    <cellStyle name="40% - Accent3 2 5 3 8" xfId="11291" xr:uid="{00000000-0005-0000-0000-00002D6B0000}"/>
    <cellStyle name="40% - Accent3 2 5 4" xfId="735" xr:uid="{00000000-0005-0000-0000-00002E6B0000}"/>
    <cellStyle name="40% - Accent3 2 5 4 2" xfId="2375" xr:uid="{00000000-0005-0000-0000-00002F6B0000}"/>
    <cellStyle name="40% - Accent3 2 5 4 2 2" xfId="7237" xr:uid="{00000000-0005-0000-0000-0000306B0000}"/>
    <cellStyle name="40% - Accent3 2 5 4 2 2 2" xfId="26688" xr:uid="{00000000-0005-0000-0000-0000316B0000}"/>
    <cellStyle name="40% - Accent3 2 5 4 2 2 3" xfId="36413" xr:uid="{00000000-0005-0000-0000-0000326B0000}"/>
    <cellStyle name="40% - Accent3 2 5 4 2 2 4" xfId="46138" xr:uid="{00000000-0005-0000-0000-0000336B0000}"/>
    <cellStyle name="40% - Accent3 2 5 4 2 2 5" xfId="16963" xr:uid="{00000000-0005-0000-0000-0000346B0000}"/>
    <cellStyle name="40% - Accent3 2 5 4 2 3" xfId="21826" xr:uid="{00000000-0005-0000-0000-0000356B0000}"/>
    <cellStyle name="40% - Accent3 2 5 4 2 4" xfId="31551" xr:uid="{00000000-0005-0000-0000-0000366B0000}"/>
    <cellStyle name="40% - Accent3 2 5 4 2 5" xfId="41276" xr:uid="{00000000-0005-0000-0000-0000376B0000}"/>
    <cellStyle name="40% - Accent3 2 5 4 2 6" xfId="12101" xr:uid="{00000000-0005-0000-0000-0000386B0000}"/>
    <cellStyle name="40% - Accent3 2 5 4 3" xfId="3995" xr:uid="{00000000-0005-0000-0000-0000396B0000}"/>
    <cellStyle name="40% - Accent3 2 5 4 3 2" xfId="8857" xr:uid="{00000000-0005-0000-0000-00003A6B0000}"/>
    <cellStyle name="40% - Accent3 2 5 4 3 2 2" xfId="28308" xr:uid="{00000000-0005-0000-0000-00003B6B0000}"/>
    <cellStyle name="40% - Accent3 2 5 4 3 2 3" xfId="38033" xr:uid="{00000000-0005-0000-0000-00003C6B0000}"/>
    <cellStyle name="40% - Accent3 2 5 4 3 2 4" xfId="47758" xr:uid="{00000000-0005-0000-0000-00003D6B0000}"/>
    <cellStyle name="40% - Accent3 2 5 4 3 2 5" xfId="18583" xr:uid="{00000000-0005-0000-0000-00003E6B0000}"/>
    <cellStyle name="40% - Accent3 2 5 4 3 3" xfId="23446" xr:uid="{00000000-0005-0000-0000-00003F6B0000}"/>
    <cellStyle name="40% - Accent3 2 5 4 3 4" xfId="33171" xr:uid="{00000000-0005-0000-0000-0000406B0000}"/>
    <cellStyle name="40% - Accent3 2 5 4 3 5" xfId="42896" xr:uid="{00000000-0005-0000-0000-0000416B0000}"/>
    <cellStyle name="40% - Accent3 2 5 4 3 6" xfId="13721" xr:uid="{00000000-0005-0000-0000-0000426B0000}"/>
    <cellStyle name="40% - Accent3 2 5 4 4" xfId="5617" xr:uid="{00000000-0005-0000-0000-0000436B0000}"/>
    <cellStyle name="40% - Accent3 2 5 4 4 2" xfId="25068" xr:uid="{00000000-0005-0000-0000-0000446B0000}"/>
    <cellStyle name="40% - Accent3 2 5 4 4 3" xfId="34793" xr:uid="{00000000-0005-0000-0000-0000456B0000}"/>
    <cellStyle name="40% - Accent3 2 5 4 4 4" xfId="44518" xr:uid="{00000000-0005-0000-0000-0000466B0000}"/>
    <cellStyle name="40% - Accent3 2 5 4 4 5" xfId="15343" xr:uid="{00000000-0005-0000-0000-0000476B0000}"/>
    <cellStyle name="40% - Accent3 2 5 4 5" xfId="20206" xr:uid="{00000000-0005-0000-0000-0000486B0000}"/>
    <cellStyle name="40% - Accent3 2 5 4 6" xfId="29931" xr:uid="{00000000-0005-0000-0000-0000496B0000}"/>
    <cellStyle name="40% - Accent3 2 5 4 7" xfId="39656" xr:uid="{00000000-0005-0000-0000-00004A6B0000}"/>
    <cellStyle name="40% - Accent3 2 5 4 8" xfId="10481" xr:uid="{00000000-0005-0000-0000-00004B6B0000}"/>
    <cellStyle name="40% - Accent3 2 5 5" xfId="2015" xr:uid="{00000000-0005-0000-0000-00004C6B0000}"/>
    <cellStyle name="40% - Accent3 2 5 5 2" xfId="6877" xr:uid="{00000000-0005-0000-0000-00004D6B0000}"/>
    <cellStyle name="40% - Accent3 2 5 5 2 2" xfId="26328" xr:uid="{00000000-0005-0000-0000-00004E6B0000}"/>
    <cellStyle name="40% - Accent3 2 5 5 2 3" xfId="36053" xr:uid="{00000000-0005-0000-0000-00004F6B0000}"/>
    <cellStyle name="40% - Accent3 2 5 5 2 4" xfId="45778" xr:uid="{00000000-0005-0000-0000-0000506B0000}"/>
    <cellStyle name="40% - Accent3 2 5 5 2 5" xfId="16603" xr:uid="{00000000-0005-0000-0000-0000516B0000}"/>
    <cellStyle name="40% - Accent3 2 5 5 3" xfId="21466" xr:uid="{00000000-0005-0000-0000-0000526B0000}"/>
    <cellStyle name="40% - Accent3 2 5 5 4" xfId="31191" xr:uid="{00000000-0005-0000-0000-0000536B0000}"/>
    <cellStyle name="40% - Accent3 2 5 5 5" xfId="40916" xr:uid="{00000000-0005-0000-0000-0000546B0000}"/>
    <cellStyle name="40% - Accent3 2 5 5 6" xfId="11741" xr:uid="{00000000-0005-0000-0000-0000556B0000}"/>
    <cellStyle name="40% - Accent3 2 5 6" xfId="3635" xr:uid="{00000000-0005-0000-0000-0000566B0000}"/>
    <cellStyle name="40% - Accent3 2 5 6 2" xfId="8497" xr:uid="{00000000-0005-0000-0000-0000576B0000}"/>
    <cellStyle name="40% - Accent3 2 5 6 2 2" xfId="27948" xr:uid="{00000000-0005-0000-0000-0000586B0000}"/>
    <cellStyle name="40% - Accent3 2 5 6 2 3" xfId="37673" xr:uid="{00000000-0005-0000-0000-0000596B0000}"/>
    <cellStyle name="40% - Accent3 2 5 6 2 4" xfId="47398" xr:uid="{00000000-0005-0000-0000-00005A6B0000}"/>
    <cellStyle name="40% - Accent3 2 5 6 2 5" xfId="18223" xr:uid="{00000000-0005-0000-0000-00005B6B0000}"/>
    <cellStyle name="40% - Accent3 2 5 6 3" xfId="23086" xr:uid="{00000000-0005-0000-0000-00005C6B0000}"/>
    <cellStyle name="40% - Accent3 2 5 6 4" xfId="32811" xr:uid="{00000000-0005-0000-0000-00005D6B0000}"/>
    <cellStyle name="40% - Accent3 2 5 6 5" xfId="42536" xr:uid="{00000000-0005-0000-0000-00005E6B0000}"/>
    <cellStyle name="40% - Accent3 2 5 6 6" xfId="13361" xr:uid="{00000000-0005-0000-0000-00005F6B0000}"/>
    <cellStyle name="40% - Accent3 2 5 7" xfId="5257" xr:uid="{00000000-0005-0000-0000-0000606B0000}"/>
    <cellStyle name="40% - Accent3 2 5 7 2" xfId="24708" xr:uid="{00000000-0005-0000-0000-0000616B0000}"/>
    <cellStyle name="40% - Accent3 2 5 7 3" xfId="34433" xr:uid="{00000000-0005-0000-0000-0000626B0000}"/>
    <cellStyle name="40% - Accent3 2 5 7 4" xfId="44158" xr:uid="{00000000-0005-0000-0000-0000636B0000}"/>
    <cellStyle name="40% - Accent3 2 5 7 5" xfId="14983" xr:uid="{00000000-0005-0000-0000-0000646B0000}"/>
    <cellStyle name="40% - Accent3 2 5 8" xfId="19846" xr:uid="{00000000-0005-0000-0000-0000656B0000}"/>
    <cellStyle name="40% - Accent3 2 5 9" xfId="29571" xr:uid="{00000000-0005-0000-0000-0000666B0000}"/>
    <cellStyle name="40% - Accent3 2 6" xfId="152" xr:uid="{00000000-0005-0000-0000-0000676B0000}"/>
    <cellStyle name="40% - Accent3 2 6 10" xfId="39116" xr:uid="{00000000-0005-0000-0000-0000686B0000}"/>
    <cellStyle name="40% - Accent3 2 6 11" xfId="9941" xr:uid="{00000000-0005-0000-0000-0000696B0000}"/>
    <cellStyle name="40% - Accent3 2 6 2" xfId="916" xr:uid="{00000000-0005-0000-0000-00006A6B0000}"/>
    <cellStyle name="40% - Accent3 2 6 2 2" xfId="2555" xr:uid="{00000000-0005-0000-0000-00006B6B0000}"/>
    <cellStyle name="40% - Accent3 2 6 2 2 2" xfId="7417" xr:uid="{00000000-0005-0000-0000-00006C6B0000}"/>
    <cellStyle name="40% - Accent3 2 6 2 2 2 2" xfId="26868" xr:uid="{00000000-0005-0000-0000-00006D6B0000}"/>
    <cellStyle name="40% - Accent3 2 6 2 2 2 3" xfId="36593" xr:uid="{00000000-0005-0000-0000-00006E6B0000}"/>
    <cellStyle name="40% - Accent3 2 6 2 2 2 4" xfId="46318" xr:uid="{00000000-0005-0000-0000-00006F6B0000}"/>
    <cellStyle name="40% - Accent3 2 6 2 2 2 5" xfId="17143" xr:uid="{00000000-0005-0000-0000-0000706B0000}"/>
    <cellStyle name="40% - Accent3 2 6 2 2 3" xfId="22006" xr:uid="{00000000-0005-0000-0000-0000716B0000}"/>
    <cellStyle name="40% - Accent3 2 6 2 2 4" xfId="31731" xr:uid="{00000000-0005-0000-0000-0000726B0000}"/>
    <cellStyle name="40% - Accent3 2 6 2 2 5" xfId="41456" xr:uid="{00000000-0005-0000-0000-0000736B0000}"/>
    <cellStyle name="40% - Accent3 2 6 2 2 6" xfId="12281" xr:uid="{00000000-0005-0000-0000-0000746B0000}"/>
    <cellStyle name="40% - Accent3 2 6 2 3" xfId="4175" xr:uid="{00000000-0005-0000-0000-0000756B0000}"/>
    <cellStyle name="40% - Accent3 2 6 2 3 2" xfId="9037" xr:uid="{00000000-0005-0000-0000-0000766B0000}"/>
    <cellStyle name="40% - Accent3 2 6 2 3 2 2" xfId="28488" xr:uid="{00000000-0005-0000-0000-0000776B0000}"/>
    <cellStyle name="40% - Accent3 2 6 2 3 2 3" xfId="38213" xr:uid="{00000000-0005-0000-0000-0000786B0000}"/>
    <cellStyle name="40% - Accent3 2 6 2 3 2 4" xfId="47938" xr:uid="{00000000-0005-0000-0000-0000796B0000}"/>
    <cellStyle name="40% - Accent3 2 6 2 3 2 5" xfId="18763" xr:uid="{00000000-0005-0000-0000-00007A6B0000}"/>
    <cellStyle name="40% - Accent3 2 6 2 3 3" xfId="23626" xr:uid="{00000000-0005-0000-0000-00007B6B0000}"/>
    <cellStyle name="40% - Accent3 2 6 2 3 4" xfId="33351" xr:uid="{00000000-0005-0000-0000-00007C6B0000}"/>
    <cellStyle name="40% - Accent3 2 6 2 3 5" xfId="43076" xr:uid="{00000000-0005-0000-0000-00007D6B0000}"/>
    <cellStyle name="40% - Accent3 2 6 2 3 6" xfId="13901" xr:uid="{00000000-0005-0000-0000-00007E6B0000}"/>
    <cellStyle name="40% - Accent3 2 6 2 4" xfId="5797" xr:uid="{00000000-0005-0000-0000-00007F6B0000}"/>
    <cellStyle name="40% - Accent3 2 6 2 4 2" xfId="25248" xr:uid="{00000000-0005-0000-0000-0000806B0000}"/>
    <cellStyle name="40% - Accent3 2 6 2 4 3" xfId="34973" xr:uid="{00000000-0005-0000-0000-0000816B0000}"/>
    <cellStyle name="40% - Accent3 2 6 2 4 4" xfId="44698" xr:uid="{00000000-0005-0000-0000-0000826B0000}"/>
    <cellStyle name="40% - Accent3 2 6 2 4 5" xfId="15523" xr:uid="{00000000-0005-0000-0000-0000836B0000}"/>
    <cellStyle name="40% - Accent3 2 6 2 5" xfId="20386" xr:uid="{00000000-0005-0000-0000-0000846B0000}"/>
    <cellStyle name="40% - Accent3 2 6 2 6" xfId="30111" xr:uid="{00000000-0005-0000-0000-0000856B0000}"/>
    <cellStyle name="40% - Accent3 2 6 2 7" xfId="39836" xr:uid="{00000000-0005-0000-0000-0000866B0000}"/>
    <cellStyle name="40% - Accent3 2 6 2 8" xfId="10661" xr:uid="{00000000-0005-0000-0000-0000876B0000}"/>
    <cellStyle name="40% - Accent3 2 6 3" xfId="1384" xr:uid="{00000000-0005-0000-0000-0000886B0000}"/>
    <cellStyle name="40% - Accent3 2 6 3 2" xfId="3005" xr:uid="{00000000-0005-0000-0000-0000896B0000}"/>
    <cellStyle name="40% - Accent3 2 6 3 2 2" xfId="7867" xr:uid="{00000000-0005-0000-0000-00008A6B0000}"/>
    <cellStyle name="40% - Accent3 2 6 3 2 2 2" xfId="27318" xr:uid="{00000000-0005-0000-0000-00008B6B0000}"/>
    <cellStyle name="40% - Accent3 2 6 3 2 2 3" xfId="37043" xr:uid="{00000000-0005-0000-0000-00008C6B0000}"/>
    <cellStyle name="40% - Accent3 2 6 3 2 2 4" xfId="46768" xr:uid="{00000000-0005-0000-0000-00008D6B0000}"/>
    <cellStyle name="40% - Accent3 2 6 3 2 2 5" xfId="17593" xr:uid="{00000000-0005-0000-0000-00008E6B0000}"/>
    <cellStyle name="40% - Accent3 2 6 3 2 3" xfId="22456" xr:uid="{00000000-0005-0000-0000-00008F6B0000}"/>
    <cellStyle name="40% - Accent3 2 6 3 2 4" xfId="32181" xr:uid="{00000000-0005-0000-0000-0000906B0000}"/>
    <cellStyle name="40% - Accent3 2 6 3 2 5" xfId="41906" xr:uid="{00000000-0005-0000-0000-0000916B0000}"/>
    <cellStyle name="40% - Accent3 2 6 3 2 6" xfId="12731" xr:uid="{00000000-0005-0000-0000-0000926B0000}"/>
    <cellStyle name="40% - Accent3 2 6 3 3" xfId="4625" xr:uid="{00000000-0005-0000-0000-0000936B0000}"/>
    <cellStyle name="40% - Accent3 2 6 3 3 2" xfId="9487" xr:uid="{00000000-0005-0000-0000-0000946B0000}"/>
    <cellStyle name="40% - Accent3 2 6 3 3 2 2" xfId="28938" xr:uid="{00000000-0005-0000-0000-0000956B0000}"/>
    <cellStyle name="40% - Accent3 2 6 3 3 2 3" xfId="38663" xr:uid="{00000000-0005-0000-0000-0000966B0000}"/>
    <cellStyle name="40% - Accent3 2 6 3 3 2 4" xfId="48388" xr:uid="{00000000-0005-0000-0000-0000976B0000}"/>
    <cellStyle name="40% - Accent3 2 6 3 3 2 5" xfId="19213" xr:uid="{00000000-0005-0000-0000-0000986B0000}"/>
    <cellStyle name="40% - Accent3 2 6 3 3 3" xfId="24076" xr:uid="{00000000-0005-0000-0000-0000996B0000}"/>
    <cellStyle name="40% - Accent3 2 6 3 3 4" xfId="33801" xr:uid="{00000000-0005-0000-0000-00009A6B0000}"/>
    <cellStyle name="40% - Accent3 2 6 3 3 5" xfId="43526" xr:uid="{00000000-0005-0000-0000-00009B6B0000}"/>
    <cellStyle name="40% - Accent3 2 6 3 3 6" xfId="14351" xr:uid="{00000000-0005-0000-0000-00009C6B0000}"/>
    <cellStyle name="40% - Accent3 2 6 3 4" xfId="6247" xr:uid="{00000000-0005-0000-0000-00009D6B0000}"/>
    <cellStyle name="40% - Accent3 2 6 3 4 2" xfId="25698" xr:uid="{00000000-0005-0000-0000-00009E6B0000}"/>
    <cellStyle name="40% - Accent3 2 6 3 4 3" xfId="35423" xr:uid="{00000000-0005-0000-0000-00009F6B0000}"/>
    <cellStyle name="40% - Accent3 2 6 3 4 4" xfId="45148" xr:uid="{00000000-0005-0000-0000-0000A06B0000}"/>
    <cellStyle name="40% - Accent3 2 6 3 4 5" xfId="15973" xr:uid="{00000000-0005-0000-0000-0000A16B0000}"/>
    <cellStyle name="40% - Accent3 2 6 3 5" xfId="20836" xr:uid="{00000000-0005-0000-0000-0000A26B0000}"/>
    <cellStyle name="40% - Accent3 2 6 3 6" xfId="30561" xr:uid="{00000000-0005-0000-0000-0000A36B0000}"/>
    <cellStyle name="40% - Accent3 2 6 3 7" xfId="40286" xr:uid="{00000000-0005-0000-0000-0000A46B0000}"/>
    <cellStyle name="40% - Accent3 2 6 3 8" xfId="11111" xr:uid="{00000000-0005-0000-0000-0000A56B0000}"/>
    <cellStyle name="40% - Accent3 2 6 4" xfId="555" xr:uid="{00000000-0005-0000-0000-0000A66B0000}"/>
    <cellStyle name="40% - Accent3 2 6 4 2" xfId="2195" xr:uid="{00000000-0005-0000-0000-0000A76B0000}"/>
    <cellStyle name="40% - Accent3 2 6 4 2 2" xfId="7057" xr:uid="{00000000-0005-0000-0000-0000A86B0000}"/>
    <cellStyle name="40% - Accent3 2 6 4 2 2 2" xfId="26508" xr:uid="{00000000-0005-0000-0000-0000A96B0000}"/>
    <cellStyle name="40% - Accent3 2 6 4 2 2 3" xfId="36233" xr:uid="{00000000-0005-0000-0000-0000AA6B0000}"/>
    <cellStyle name="40% - Accent3 2 6 4 2 2 4" xfId="45958" xr:uid="{00000000-0005-0000-0000-0000AB6B0000}"/>
    <cellStyle name="40% - Accent3 2 6 4 2 2 5" xfId="16783" xr:uid="{00000000-0005-0000-0000-0000AC6B0000}"/>
    <cellStyle name="40% - Accent3 2 6 4 2 3" xfId="21646" xr:uid="{00000000-0005-0000-0000-0000AD6B0000}"/>
    <cellStyle name="40% - Accent3 2 6 4 2 4" xfId="31371" xr:uid="{00000000-0005-0000-0000-0000AE6B0000}"/>
    <cellStyle name="40% - Accent3 2 6 4 2 5" xfId="41096" xr:uid="{00000000-0005-0000-0000-0000AF6B0000}"/>
    <cellStyle name="40% - Accent3 2 6 4 2 6" xfId="11921" xr:uid="{00000000-0005-0000-0000-0000B06B0000}"/>
    <cellStyle name="40% - Accent3 2 6 4 3" xfId="3815" xr:uid="{00000000-0005-0000-0000-0000B16B0000}"/>
    <cellStyle name="40% - Accent3 2 6 4 3 2" xfId="8677" xr:uid="{00000000-0005-0000-0000-0000B26B0000}"/>
    <cellStyle name="40% - Accent3 2 6 4 3 2 2" xfId="28128" xr:uid="{00000000-0005-0000-0000-0000B36B0000}"/>
    <cellStyle name="40% - Accent3 2 6 4 3 2 3" xfId="37853" xr:uid="{00000000-0005-0000-0000-0000B46B0000}"/>
    <cellStyle name="40% - Accent3 2 6 4 3 2 4" xfId="47578" xr:uid="{00000000-0005-0000-0000-0000B56B0000}"/>
    <cellStyle name="40% - Accent3 2 6 4 3 2 5" xfId="18403" xr:uid="{00000000-0005-0000-0000-0000B66B0000}"/>
    <cellStyle name="40% - Accent3 2 6 4 3 3" xfId="23266" xr:uid="{00000000-0005-0000-0000-0000B76B0000}"/>
    <cellStyle name="40% - Accent3 2 6 4 3 4" xfId="32991" xr:uid="{00000000-0005-0000-0000-0000B86B0000}"/>
    <cellStyle name="40% - Accent3 2 6 4 3 5" xfId="42716" xr:uid="{00000000-0005-0000-0000-0000B96B0000}"/>
    <cellStyle name="40% - Accent3 2 6 4 3 6" xfId="13541" xr:uid="{00000000-0005-0000-0000-0000BA6B0000}"/>
    <cellStyle name="40% - Accent3 2 6 4 4" xfId="5437" xr:uid="{00000000-0005-0000-0000-0000BB6B0000}"/>
    <cellStyle name="40% - Accent3 2 6 4 4 2" xfId="24888" xr:uid="{00000000-0005-0000-0000-0000BC6B0000}"/>
    <cellStyle name="40% - Accent3 2 6 4 4 3" xfId="34613" xr:uid="{00000000-0005-0000-0000-0000BD6B0000}"/>
    <cellStyle name="40% - Accent3 2 6 4 4 4" xfId="44338" xr:uid="{00000000-0005-0000-0000-0000BE6B0000}"/>
    <cellStyle name="40% - Accent3 2 6 4 4 5" xfId="15163" xr:uid="{00000000-0005-0000-0000-0000BF6B0000}"/>
    <cellStyle name="40% - Accent3 2 6 4 5" xfId="20026" xr:uid="{00000000-0005-0000-0000-0000C06B0000}"/>
    <cellStyle name="40% - Accent3 2 6 4 6" xfId="29751" xr:uid="{00000000-0005-0000-0000-0000C16B0000}"/>
    <cellStyle name="40% - Accent3 2 6 4 7" xfId="39476" xr:uid="{00000000-0005-0000-0000-0000C26B0000}"/>
    <cellStyle name="40% - Accent3 2 6 4 8" xfId="10301" xr:uid="{00000000-0005-0000-0000-0000C36B0000}"/>
    <cellStyle name="40% - Accent3 2 6 5" xfId="1835" xr:uid="{00000000-0005-0000-0000-0000C46B0000}"/>
    <cellStyle name="40% - Accent3 2 6 5 2" xfId="6697" xr:uid="{00000000-0005-0000-0000-0000C56B0000}"/>
    <cellStyle name="40% - Accent3 2 6 5 2 2" xfId="26148" xr:uid="{00000000-0005-0000-0000-0000C66B0000}"/>
    <cellStyle name="40% - Accent3 2 6 5 2 3" xfId="35873" xr:uid="{00000000-0005-0000-0000-0000C76B0000}"/>
    <cellStyle name="40% - Accent3 2 6 5 2 4" xfId="45598" xr:uid="{00000000-0005-0000-0000-0000C86B0000}"/>
    <cellStyle name="40% - Accent3 2 6 5 2 5" xfId="16423" xr:uid="{00000000-0005-0000-0000-0000C96B0000}"/>
    <cellStyle name="40% - Accent3 2 6 5 3" xfId="21286" xr:uid="{00000000-0005-0000-0000-0000CA6B0000}"/>
    <cellStyle name="40% - Accent3 2 6 5 4" xfId="31011" xr:uid="{00000000-0005-0000-0000-0000CB6B0000}"/>
    <cellStyle name="40% - Accent3 2 6 5 5" xfId="40736" xr:uid="{00000000-0005-0000-0000-0000CC6B0000}"/>
    <cellStyle name="40% - Accent3 2 6 5 6" xfId="11561" xr:uid="{00000000-0005-0000-0000-0000CD6B0000}"/>
    <cellStyle name="40% - Accent3 2 6 6" xfId="3455" xr:uid="{00000000-0005-0000-0000-0000CE6B0000}"/>
    <cellStyle name="40% - Accent3 2 6 6 2" xfId="8317" xr:uid="{00000000-0005-0000-0000-0000CF6B0000}"/>
    <cellStyle name="40% - Accent3 2 6 6 2 2" xfId="27768" xr:uid="{00000000-0005-0000-0000-0000D06B0000}"/>
    <cellStyle name="40% - Accent3 2 6 6 2 3" xfId="37493" xr:uid="{00000000-0005-0000-0000-0000D16B0000}"/>
    <cellStyle name="40% - Accent3 2 6 6 2 4" xfId="47218" xr:uid="{00000000-0005-0000-0000-0000D26B0000}"/>
    <cellStyle name="40% - Accent3 2 6 6 2 5" xfId="18043" xr:uid="{00000000-0005-0000-0000-0000D36B0000}"/>
    <cellStyle name="40% - Accent3 2 6 6 3" xfId="22906" xr:uid="{00000000-0005-0000-0000-0000D46B0000}"/>
    <cellStyle name="40% - Accent3 2 6 6 4" xfId="32631" xr:uid="{00000000-0005-0000-0000-0000D56B0000}"/>
    <cellStyle name="40% - Accent3 2 6 6 5" xfId="42356" xr:uid="{00000000-0005-0000-0000-0000D66B0000}"/>
    <cellStyle name="40% - Accent3 2 6 6 6" xfId="13181" xr:uid="{00000000-0005-0000-0000-0000D76B0000}"/>
    <cellStyle name="40% - Accent3 2 6 7" xfId="5077" xr:uid="{00000000-0005-0000-0000-0000D86B0000}"/>
    <cellStyle name="40% - Accent3 2 6 7 2" xfId="24528" xr:uid="{00000000-0005-0000-0000-0000D96B0000}"/>
    <cellStyle name="40% - Accent3 2 6 7 3" xfId="34253" xr:uid="{00000000-0005-0000-0000-0000DA6B0000}"/>
    <cellStyle name="40% - Accent3 2 6 7 4" xfId="43978" xr:uid="{00000000-0005-0000-0000-0000DB6B0000}"/>
    <cellStyle name="40% - Accent3 2 6 7 5" xfId="14803" xr:uid="{00000000-0005-0000-0000-0000DC6B0000}"/>
    <cellStyle name="40% - Accent3 2 6 8" xfId="19666" xr:uid="{00000000-0005-0000-0000-0000DD6B0000}"/>
    <cellStyle name="40% - Accent3 2 6 9" xfId="29391" xr:uid="{00000000-0005-0000-0000-0000DE6B0000}"/>
    <cellStyle name="40% - Accent3 2 7" xfId="826" xr:uid="{00000000-0005-0000-0000-0000DF6B0000}"/>
    <cellStyle name="40% - Accent3 2 7 2" xfId="2465" xr:uid="{00000000-0005-0000-0000-0000E06B0000}"/>
    <cellStyle name="40% - Accent3 2 7 2 2" xfId="7327" xr:uid="{00000000-0005-0000-0000-0000E16B0000}"/>
    <cellStyle name="40% - Accent3 2 7 2 2 2" xfId="26778" xr:uid="{00000000-0005-0000-0000-0000E26B0000}"/>
    <cellStyle name="40% - Accent3 2 7 2 2 3" xfId="36503" xr:uid="{00000000-0005-0000-0000-0000E36B0000}"/>
    <cellStyle name="40% - Accent3 2 7 2 2 4" xfId="46228" xr:uid="{00000000-0005-0000-0000-0000E46B0000}"/>
    <cellStyle name="40% - Accent3 2 7 2 2 5" xfId="17053" xr:uid="{00000000-0005-0000-0000-0000E56B0000}"/>
    <cellStyle name="40% - Accent3 2 7 2 3" xfId="21916" xr:uid="{00000000-0005-0000-0000-0000E66B0000}"/>
    <cellStyle name="40% - Accent3 2 7 2 4" xfId="31641" xr:uid="{00000000-0005-0000-0000-0000E76B0000}"/>
    <cellStyle name="40% - Accent3 2 7 2 5" xfId="41366" xr:uid="{00000000-0005-0000-0000-0000E86B0000}"/>
    <cellStyle name="40% - Accent3 2 7 2 6" xfId="12191" xr:uid="{00000000-0005-0000-0000-0000E96B0000}"/>
    <cellStyle name="40% - Accent3 2 7 3" xfId="4085" xr:uid="{00000000-0005-0000-0000-0000EA6B0000}"/>
    <cellStyle name="40% - Accent3 2 7 3 2" xfId="8947" xr:uid="{00000000-0005-0000-0000-0000EB6B0000}"/>
    <cellStyle name="40% - Accent3 2 7 3 2 2" xfId="28398" xr:uid="{00000000-0005-0000-0000-0000EC6B0000}"/>
    <cellStyle name="40% - Accent3 2 7 3 2 3" xfId="38123" xr:uid="{00000000-0005-0000-0000-0000ED6B0000}"/>
    <cellStyle name="40% - Accent3 2 7 3 2 4" xfId="47848" xr:uid="{00000000-0005-0000-0000-0000EE6B0000}"/>
    <cellStyle name="40% - Accent3 2 7 3 2 5" xfId="18673" xr:uid="{00000000-0005-0000-0000-0000EF6B0000}"/>
    <cellStyle name="40% - Accent3 2 7 3 3" xfId="23536" xr:uid="{00000000-0005-0000-0000-0000F06B0000}"/>
    <cellStyle name="40% - Accent3 2 7 3 4" xfId="33261" xr:uid="{00000000-0005-0000-0000-0000F16B0000}"/>
    <cellStyle name="40% - Accent3 2 7 3 5" xfId="42986" xr:uid="{00000000-0005-0000-0000-0000F26B0000}"/>
    <cellStyle name="40% - Accent3 2 7 3 6" xfId="13811" xr:uid="{00000000-0005-0000-0000-0000F36B0000}"/>
    <cellStyle name="40% - Accent3 2 7 4" xfId="5707" xr:uid="{00000000-0005-0000-0000-0000F46B0000}"/>
    <cellStyle name="40% - Accent3 2 7 4 2" xfId="25158" xr:uid="{00000000-0005-0000-0000-0000F56B0000}"/>
    <cellStyle name="40% - Accent3 2 7 4 3" xfId="34883" xr:uid="{00000000-0005-0000-0000-0000F66B0000}"/>
    <cellStyle name="40% - Accent3 2 7 4 4" xfId="44608" xr:uid="{00000000-0005-0000-0000-0000F76B0000}"/>
    <cellStyle name="40% - Accent3 2 7 4 5" xfId="15433" xr:uid="{00000000-0005-0000-0000-0000F86B0000}"/>
    <cellStyle name="40% - Accent3 2 7 5" xfId="20296" xr:uid="{00000000-0005-0000-0000-0000F96B0000}"/>
    <cellStyle name="40% - Accent3 2 7 6" xfId="30021" xr:uid="{00000000-0005-0000-0000-0000FA6B0000}"/>
    <cellStyle name="40% - Accent3 2 7 7" xfId="39746" xr:uid="{00000000-0005-0000-0000-0000FB6B0000}"/>
    <cellStyle name="40% - Accent3 2 7 8" xfId="10571" xr:uid="{00000000-0005-0000-0000-0000FC6B0000}"/>
    <cellStyle name="40% - Accent3 2 8" xfId="1204" xr:uid="{00000000-0005-0000-0000-0000FD6B0000}"/>
    <cellStyle name="40% - Accent3 2 8 2" xfId="2825" xr:uid="{00000000-0005-0000-0000-0000FE6B0000}"/>
    <cellStyle name="40% - Accent3 2 8 2 2" xfId="7687" xr:uid="{00000000-0005-0000-0000-0000FF6B0000}"/>
    <cellStyle name="40% - Accent3 2 8 2 2 2" xfId="27138" xr:uid="{00000000-0005-0000-0000-0000006C0000}"/>
    <cellStyle name="40% - Accent3 2 8 2 2 3" xfId="36863" xr:uid="{00000000-0005-0000-0000-0000016C0000}"/>
    <cellStyle name="40% - Accent3 2 8 2 2 4" xfId="46588" xr:uid="{00000000-0005-0000-0000-0000026C0000}"/>
    <cellStyle name="40% - Accent3 2 8 2 2 5" xfId="17413" xr:uid="{00000000-0005-0000-0000-0000036C0000}"/>
    <cellStyle name="40% - Accent3 2 8 2 3" xfId="22276" xr:uid="{00000000-0005-0000-0000-0000046C0000}"/>
    <cellStyle name="40% - Accent3 2 8 2 4" xfId="32001" xr:uid="{00000000-0005-0000-0000-0000056C0000}"/>
    <cellStyle name="40% - Accent3 2 8 2 5" xfId="41726" xr:uid="{00000000-0005-0000-0000-0000066C0000}"/>
    <cellStyle name="40% - Accent3 2 8 2 6" xfId="12551" xr:uid="{00000000-0005-0000-0000-0000076C0000}"/>
    <cellStyle name="40% - Accent3 2 8 3" xfId="4445" xr:uid="{00000000-0005-0000-0000-0000086C0000}"/>
    <cellStyle name="40% - Accent3 2 8 3 2" xfId="9307" xr:uid="{00000000-0005-0000-0000-0000096C0000}"/>
    <cellStyle name="40% - Accent3 2 8 3 2 2" xfId="28758" xr:uid="{00000000-0005-0000-0000-00000A6C0000}"/>
    <cellStyle name="40% - Accent3 2 8 3 2 3" xfId="38483" xr:uid="{00000000-0005-0000-0000-00000B6C0000}"/>
    <cellStyle name="40% - Accent3 2 8 3 2 4" xfId="48208" xr:uid="{00000000-0005-0000-0000-00000C6C0000}"/>
    <cellStyle name="40% - Accent3 2 8 3 2 5" xfId="19033" xr:uid="{00000000-0005-0000-0000-00000D6C0000}"/>
    <cellStyle name="40% - Accent3 2 8 3 3" xfId="23896" xr:uid="{00000000-0005-0000-0000-00000E6C0000}"/>
    <cellStyle name="40% - Accent3 2 8 3 4" xfId="33621" xr:uid="{00000000-0005-0000-0000-00000F6C0000}"/>
    <cellStyle name="40% - Accent3 2 8 3 5" xfId="43346" xr:uid="{00000000-0005-0000-0000-0000106C0000}"/>
    <cellStyle name="40% - Accent3 2 8 3 6" xfId="14171" xr:uid="{00000000-0005-0000-0000-0000116C0000}"/>
    <cellStyle name="40% - Accent3 2 8 4" xfId="6067" xr:uid="{00000000-0005-0000-0000-0000126C0000}"/>
    <cellStyle name="40% - Accent3 2 8 4 2" xfId="25518" xr:uid="{00000000-0005-0000-0000-0000136C0000}"/>
    <cellStyle name="40% - Accent3 2 8 4 3" xfId="35243" xr:uid="{00000000-0005-0000-0000-0000146C0000}"/>
    <cellStyle name="40% - Accent3 2 8 4 4" xfId="44968" xr:uid="{00000000-0005-0000-0000-0000156C0000}"/>
    <cellStyle name="40% - Accent3 2 8 4 5" xfId="15793" xr:uid="{00000000-0005-0000-0000-0000166C0000}"/>
    <cellStyle name="40% - Accent3 2 8 5" xfId="20656" xr:uid="{00000000-0005-0000-0000-0000176C0000}"/>
    <cellStyle name="40% - Accent3 2 8 6" xfId="30381" xr:uid="{00000000-0005-0000-0000-0000186C0000}"/>
    <cellStyle name="40% - Accent3 2 8 7" xfId="40106" xr:uid="{00000000-0005-0000-0000-0000196C0000}"/>
    <cellStyle name="40% - Accent3 2 8 8" xfId="10931" xr:uid="{00000000-0005-0000-0000-00001A6C0000}"/>
    <cellStyle name="40% - Accent3 2 9" xfId="1294" xr:uid="{00000000-0005-0000-0000-00001B6C0000}"/>
    <cellStyle name="40% - Accent3 2 9 2" xfId="2915" xr:uid="{00000000-0005-0000-0000-00001C6C0000}"/>
    <cellStyle name="40% - Accent3 2 9 2 2" xfId="7777" xr:uid="{00000000-0005-0000-0000-00001D6C0000}"/>
    <cellStyle name="40% - Accent3 2 9 2 2 2" xfId="27228" xr:uid="{00000000-0005-0000-0000-00001E6C0000}"/>
    <cellStyle name="40% - Accent3 2 9 2 2 3" xfId="36953" xr:uid="{00000000-0005-0000-0000-00001F6C0000}"/>
    <cellStyle name="40% - Accent3 2 9 2 2 4" xfId="46678" xr:uid="{00000000-0005-0000-0000-0000206C0000}"/>
    <cellStyle name="40% - Accent3 2 9 2 2 5" xfId="17503" xr:uid="{00000000-0005-0000-0000-0000216C0000}"/>
    <cellStyle name="40% - Accent3 2 9 2 3" xfId="22366" xr:uid="{00000000-0005-0000-0000-0000226C0000}"/>
    <cellStyle name="40% - Accent3 2 9 2 4" xfId="32091" xr:uid="{00000000-0005-0000-0000-0000236C0000}"/>
    <cellStyle name="40% - Accent3 2 9 2 5" xfId="41816" xr:uid="{00000000-0005-0000-0000-0000246C0000}"/>
    <cellStyle name="40% - Accent3 2 9 2 6" xfId="12641" xr:uid="{00000000-0005-0000-0000-0000256C0000}"/>
    <cellStyle name="40% - Accent3 2 9 3" xfId="4535" xr:uid="{00000000-0005-0000-0000-0000266C0000}"/>
    <cellStyle name="40% - Accent3 2 9 3 2" xfId="9397" xr:uid="{00000000-0005-0000-0000-0000276C0000}"/>
    <cellStyle name="40% - Accent3 2 9 3 2 2" xfId="28848" xr:uid="{00000000-0005-0000-0000-0000286C0000}"/>
    <cellStyle name="40% - Accent3 2 9 3 2 3" xfId="38573" xr:uid="{00000000-0005-0000-0000-0000296C0000}"/>
    <cellStyle name="40% - Accent3 2 9 3 2 4" xfId="48298" xr:uid="{00000000-0005-0000-0000-00002A6C0000}"/>
    <cellStyle name="40% - Accent3 2 9 3 2 5" xfId="19123" xr:uid="{00000000-0005-0000-0000-00002B6C0000}"/>
    <cellStyle name="40% - Accent3 2 9 3 3" xfId="23986" xr:uid="{00000000-0005-0000-0000-00002C6C0000}"/>
    <cellStyle name="40% - Accent3 2 9 3 4" xfId="33711" xr:uid="{00000000-0005-0000-0000-00002D6C0000}"/>
    <cellStyle name="40% - Accent3 2 9 3 5" xfId="43436" xr:uid="{00000000-0005-0000-0000-00002E6C0000}"/>
    <cellStyle name="40% - Accent3 2 9 3 6" xfId="14261" xr:uid="{00000000-0005-0000-0000-00002F6C0000}"/>
    <cellStyle name="40% - Accent3 2 9 4" xfId="6157" xr:uid="{00000000-0005-0000-0000-0000306C0000}"/>
    <cellStyle name="40% - Accent3 2 9 4 2" xfId="25608" xr:uid="{00000000-0005-0000-0000-0000316C0000}"/>
    <cellStyle name="40% - Accent3 2 9 4 3" xfId="35333" xr:uid="{00000000-0005-0000-0000-0000326C0000}"/>
    <cellStyle name="40% - Accent3 2 9 4 4" xfId="45058" xr:uid="{00000000-0005-0000-0000-0000336C0000}"/>
    <cellStyle name="40% - Accent3 2 9 4 5" xfId="15883" xr:uid="{00000000-0005-0000-0000-0000346C0000}"/>
    <cellStyle name="40% - Accent3 2 9 5" xfId="20746" xr:uid="{00000000-0005-0000-0000-0000356C0000}"/>
    <cellStyle name="40% - Accent3 2 9 6" xfId="30471" xr:uid="{00000000-0005-0000-0000-0000366C0000}"/>
    <cellStyle name="40% - Accent3 2 9 7" xfId="40196" xr:uid="{00000000-0005-0000-0000-0000376C0000}"/>
    <cellStyle name="40% - Accent3 2 9 8" xfId="11021" xr:uid="{00000000-0005-0000-0000-0000386C0000}"/>
    <cellStyle name="40% - Accent3 2_Database (All)" xfId="1183" xr:uid="{00000000-0005-0000-0000-0000396C0000}"/>
    <cellStyle name="40% - Accent3 20" xfId="9837" xr:uid="{00000000-0005-0000-0000-00003A6C0000}"/>
    <cellStyle name="40% - Accent3 3" xfId="77" xr:uid="{00000000-0005-0000-0000-00003B6C0000}"/>
    <cellStyle name="40% - Accent3 3 10" xfId="1761" xr:uid="{00000000-0005-0000-0000-00003C6C0000}"/>
    <cellStyle name="40% - Accent3 3 10 2" xfId="6623" xr:uid="{00000000-0005-0000-0000-00003D6C0000}"/>
    <cellStyle name="40% - Accent3 3 10 2 2" xfId="26074" xr:uid="{00000000-0005-0000-0000-00003E6C0000}"/>
    <cellStyle name="40% - Accent3 3 10 2 3" xfId="35799" xr:uid="{00000000-0005-0000-0000-00003F6C0000}"/>
    <cellStyle name="40% - Accent3 3 10 2 4" xfId="45524" xr:uid="{00000000-0005-0000-0000-0000406C0000}"/>
    <cellStyle name="40% - Accent3 3 10 2 5" xfId="16349" xr:uid="{00000000-0005-0000-0000-0000416C0000}"/>
    <cellStyle name="40% - Accent3 3 10 3" xfId="21212" xr:uid="{00000000-0005-0000-0000-0000426C0000}"/>
    <cellStyle name="40% - Accent3 3 10 4" xfId="30937" xr:uid="{00000000-0005-0000-0000-0000436C0000}"/>
    <cellStyle name="40% - Accent3 3 10 5" xfId="40662" xr:uid="{00000000-0005-0000-0000-0000446C0000}"/>
    <cellStyle name="40% - Accent3 3 10 6" xfId="11487" xr:uid="{00000000-0005-0000-0000-0000456C0000}"/>
    <cellStyle name="40% - Accent3 3 11" xfId="3381" xr:uid="{00000000-0005-0000-0000-0000466C0000}"/>
    <cellStyle name="40% - Accent3 3 11 2" xfId="8243" xr:uid="{00000000-0005-0000-0000-0000476C0000}"/>
    <cellStyle name="40% - Accent3 3 11 2 2" xfId="27694" xr:uid="{00000000-0005-0000-0000-0000486C0000}"/>
    <cellStyle name="40% - Accent3 3 11 2 3" xfId="37419" xr:uid="{00000000-0005-0000-0000-0000496C0000}"/>
    <cellStyle name="40% - Accent3 3 11 2 4" xfId="47144" xr:uid="{00000000-0005-0000-0000-00004A6C0000}"/>
    <cellStyle name="40% - Accent3 3 11 2 5" xfId="17969" xr:uid="{00000000-0005-0000-0000-00004B6C0000}"/>
    <cellStyle name="40% - Accent3 3 11 3" xfId="22832" xr:uid="{00000000-0005-0000-0000-00004C6C0000}"/>
    <cellStyle name="40% - Accent3 3 11 4" xfId="32557" xr:uid="{00000000-0005-0000-0000-00004D6C0000}"/>
    <cellStyle name="40% - Accent3 3 11 5" xfId="42282" xr:uid="{00000000-0005-0000-0000-00004E6C0000}"/>
    <cellStyle name="40% - Accent3 3 11 6" xfId="13107" xr:uid="{00000000-0005-0000-0000-00004F6C0000}"/>
    <cellStyle name="40% - Accent3 3 12" xfId="5003" xr:uid="{00000000-0005-0000-0000-0000506C0000}"/>
    <cellStyle name="40% - Accent3 3 12 2" xfId="24454" xr:uid="{00000000-0005-0000-0000-0000516C0000}"/>
    <cellStyle name="40% - Accent3 3 12 3" xfId="34179" xr:uid="{00000000-0005-0000-0000-0000526C0000}"/>
    <cellStyle name="40% - Accent3 3 12 4" xfId="43904" xr:uid="{00000000-0005-0000-0000-0000536C0000}"/>
    <cellStyle name="40% - Accent3 3 12 5" xfId="14729" xr:uid="{00000000-0005-0000-0000-0000546C0000}"/>
    <cellStyle name="40% - Accent3 3 13" xfId="19592" xr:uid="{00000000-0005-0000-0000-0000556C0000}"/>
    <cellStyle name="40% - Accent3 3 14" xfId="29317" xr:uid="{00000000-0005-0000-0000-0000566C0000}"/>
    <cellStyle name="40% - Accent3 3 15" xfId="39042" xr:uid="{00000000-0005-0000-0000-0000576C0000}"/>
    <cellStyle name="40% - Accent3 3 16" xfId="9867" xr:uid="{00000000-0005-0000-0000-0000586C0000}"/>
    <cellStyle name="40% - Accent3 3 2" xfId="259" xr:uid="{00000000-0005-0000-0000-0000596C0000}"/>
    <cellStyle name="40% - Accent3 3 2 10" xfId="39222" xr:uid="{00000000-0005-0000-0000-00005A6C0000}"/>
    <cellStyle name="40% - Accent3 3 2 11" xfId="10047" xr:uid="{00000000-0005-0000-0000-00005B6C0000}"/>
    <cellStyle name="40% - Accent3 3 2 2" xfId="1023" xr:uid="{00000000-0005-0000-0000-00005C6C0000}"/>
    <cellStyle name="40% - Accent3 3 2 2 2" xfId="2661" xr:uid="{00000000-0005-0000-0000-00005D6C0000}"/>
    <cellStyle name="40% - Accent3 3 2 2 2 2" xfId="7523" xr:uid="{00000000-0005-0000-0000-00005E6C0000}"/>
    <cellStyle name="40% - Accent3 3 2 2 2 2 2" xfId="26974" xr:uid="{00000000-0005-0000-0000-00005F6C0000}"/>
    <cellStyle name="40% - Accent3 3 2 2 2 2 3" xfId="36699" xr:uid="{00000000-0005-0000-0000-0000606C0000}"/>
    <cellStyle name="40% - Accent3 3 2 2 2 2 4" xfId="46424" xr:uid="{00000000-0005-0000-0000-0000616C0000}"/>
    <cellStyle name="40% - Accent3 3 2 2 2 2 5" xfId="17249" xr:uid="{00000000-0005-0000-0000-0000626C0000}"/>
    <cellStyle name="40% - Accent3 3 2 2 2 3" xfId="22112" xr:uid="{00000000-0005-0000-0000-0000636C0000}"/>
    <cellStyle name="40% - Accent3 3 2 2 2 4" xfId="31837" xr:uid="{00000000-0005-0000-0000-0000646C0000}"/>
    <cellStyle name="40% - Accent3 3 2 2 2 5" xfId="41562" xr:uid="{00000000-0005-0000-0000-0000656C0000}"/>
    <cellStyle name="40% - Accent3 3 2 2 2 6" xfId="12387" xr:uid="{00000000-0005-0000-0000-0000666C0000}"/>
    <cellStyle name="40% - Accent3 3 2 2 3" xfId="4281" xr:uid="{00000000-0005-0000-0000-0000676C0000}"/>
    <cellStyle name="40% - Accent3 3 2 2 3 2" xfId="9143" xr:uid="{00000000-0005-0000-0000-0000686C0000}"/>
    <cellStyle name="40% - Accent3 3 2 2 3 2 2" xfId="28594" xr:uid="{00000000-0005-0000-0000-0000696C0000}"/>
    <cellStyle name="40% - Accent3 3 2 2 3 2 3" xfId="38319" xr:uid="{00000000-0005-0000-0000-00006A6C0000}"/>
    <cellStyle name="40% - Accent3 3 2 2 3 2 4" xfId="48044" xr:uid="{00000000-0005-0000-0000-00006B6C0000}"/>
    <cellStyle name="40% - Accent3 3 2 2 3 2 5" xfId="18869" xr:uid="{00000000-0005-0000-0000-00006C6C0000}"/>
    <cellStyle name="40% - Accent3 3 2 2 3 3" xfId="23732" xr:uid="{00000000-0005-0000-0000-00006D6C0000}"/>
    <cellStyle name="40% - Accent3 3 2 2 3 4" xfId="33457" xr:uid="{00000000-0005-0000-0000-00006E6C0000}"/>
    <cellStyle name="40% - Accent3 3 2 2 3 5" xfId="43182" xr:uid="{00000000-0005-0000-0000-00006F6C0000}"/>
    <cellStyle name="40% - Accent3 3 2 2 3 6" xfId="14007" xr:uid="{00000000-0005-0000-0000-0000706C0000}"/>
    <cellStyle name="40% - Accent3 3 2 2 4" xfId="5903" xr:uid="{00000000-0005-0000-0000-0000716C0000}"/>
    <cellStyle name="40% - Accent3 3 2 2 4 2" xfId="25354" xr:uid="{00000000-0005-0000-0000-0000726C0000}"/>
    <cellStyle name="40% - Accent3 3 2 2 4 3" xfId="35079" xr:uid="{00000000-0005-0000-0000-0000736C0000}"/>
    <cellStyle name="40% - Accent3 3 2 2 4 4" xfId="44804" xr:uid="{00000000-0005-0000-0000-0000746C0000}"/>
    <cellStyle name="40% - Accent3 3 2 2 4 5" xfId="15629" xr:uid="{00000000-0005-0000-0000-0000756C0000}"/>
    <cellStyle name="40% - Accent3 3 2 2 5" xfId="20492" xr:uid="{00000000-0005-0000-0000-0000766C0000}"/>
    <cellStyle name="40% - Accent3 3 2 2 6" xfId="30217" xr:uid="{00000000-0005-0000-0000-0000776C0000}"/>
    <cellStyle name="40% - Accent3 3 2 2 7" xfId="39942" xr:uid="{00000000-0005-0000-0000-0000786C0000}"/>
    <cellStyle name="40% - Accent3 3 2 2 8" xfId="10767" xr:uid="{00000000-0005-0000-0000-0000796C0000}"/>
    <cellStyle name="40% - Accent3 3 2 3" xfId="1490" xr:uid="{00000000-0005-0000-0000-00007A6C0000}"/>
    <cellStyle name="40% - Accent3 3 2 3 2" xfId="3111" xr:uid="{00000000-0005-0000-0000-00007B6C0000}"/>
    <cellStyle name="40% - Accent3 3 2 3 2 2" xfId="7973" xr:uid="{00000000-0005-0000-0000-00007C6C0000}"/>
    <cellStyle name="40% - Accent3 3 2 3 2 2 2" xfId="27424" xr:uid="{00000000-0005-0000-0000-00007D6C0000}"/>
    <cellStyle name="40% - Accent3 3 2 3 2 2 3" xfId="37149" xr:uid="{00000000-0005-0000-0000-00007E6C0000}"/>
    <cellStyle name="40% - Accent3 3 2 3 2 2 4" xfId="46874" xr:uid="{00000000-0005-0000-0000-00007F6C0000}"/>
    <cellStyle name="40% - Accent3 3 2 3 2 2 5" xfId="17699" xr:uid="{00000000-0005-0000-0000-0000806C0000}"/>
    <cellStyle name="40% - Accent3 3 2 3 2 3" xfId="22562" xr:uid="{00000000-0005-0000-0000-0000816C0000}"/>
    <cellStyle name="40% - Accent3 3 2 3 2 4" xfId="32287" xr:uid="{00000000-0005-0000-0000-0000826C0000}"/>
    <cellStyle name="40% - Accent3 3 2 3 2 5" xfId="42012" xr:uid="{00000000-0005-0000-0000-0000836C0000}"/>
    <cellStyle name="40% - Accent3 3 2 3 2 6" xfId="12837" xr:uid="{00000000-0005-0000-0000-0000846C0000}"/>
    <cellStyle name="40% - Accent3 3 2 3 3" xfId="4731" xr:uid="{00000000-0005-0000-0000-0000856C0000}"/>
    <cellStyle name="40% - Accent3 3 2 3 3 2" xfId="9593" xr:uid="{00000000-0005-0000-0000-0000866C0000}"/>
    <cellStyle name="40% - Accent3 3 2 3 3 2 2" xfId="29044" xr:uid="{00000000-0005-0000-0000-0000876C0000}"/>
    <cellStyle name="40% - Accent3 3 2 3 3 2 3" xfId="38769" xr:uid="{00000000-0005-0000-0000-0000886C0000}"/>
    <cellStyle name="40% - Accent3 3 2 3 3 2 4" xfId="48494" xr:uid="{00000000-0005-0000-0000-0000896C0000}"/>
    <cellStyle name="40% - Accent3 3 2 3 3 2 5" xfId="19319" xr:uid="{00000000-0005-0000-0000-00008A6C0000}"/>
    <cellStyle name="40% - Accent3 3 2 3 3 3" xfId="24182" xr:uid="{00000000-0005-0000-0000-00008B6C0000}"/>
    <cellStyle name="40% - Accent3 3 2 3 3 4" xfId="33907" xr:uid="{00000000-0005-0000-0000-00008C6C0000}"/>
    <cellStyle name="40% - Accent3 3 2 3 3 5" xfId="43632" xr:uid="{00000000-0005-0000-0000-00008D6C0000}"/>
    <cellStyle name="40% - Accent3 3 2 3 3 6" xfId="14457" xr:uid="{00000000-0005-0000-0000-00008E6C0000}"/>
    <cellStyle name="40% - Accent3 3 2 3 4" xfId="6353" xr:uid="{00000000-0005-0000-0000-00008F6C0000}"/>
    <cellStyle name="40% - Accent3 3 2 3 4 2" xfId="25804" xr:uid="{00000000-0005-0000-0000-0000906C0000}"/>
    <cellStyle name="40% - Accent3 3 2 3 4 3" xfId="35529" xr:uid="{00000000-0005-0000-0000-0000916C0000}"/>
    <cellStyle name="40% - Accent3 3 2 3 4 4" xfId="45254" xr:uid="{00000000-0005-0000-0000-0000926C0000}"/>
    <cellStyle name="40% - Accent3 3 2 3 4 5" xfId="16079" xr:uid="{00000000-0005-0000-0000-0000936C0000}"/>
    <cellStyle name="40% - Accent3 3 2 3 5" xfId="20942" xr:uid="{00000000-0005-0000-0000-0000946C0000}"/>
    <cellStyle name="40% - Accent3 3 2 3 6" xfId="30667" xr:uid="{00000000-0005-0000-0000-0000956C0000}"/>
    <cellStyle name="40% - Accent3 3 2 3 7" xfId="40392" xr:uid="{00000000-0005-0000-0000-0000966C0000}"/>
    <cellStyle name="40% - Accent3 3 2 3 8" xfId="11217" xr:uid="{00000000-0005-0000-0000-0000976C0000}"/>
    <cellStyle name="40% - Accent3 3 2 4" xfId="661" xr:uid="{00000000-0005-0000-0000-0000986C0000}"/>
    <cellStyle name="40% - Accent3 3 2 4 2" xfId="2301" xr:uid="{00000000-0005-0000-0000-0000996C0000}"/>
    <cellStyle name="40% - Accent3 3 2 4 2 2" xfId="7163" xr:uid="{00000000-0005-0000-0000-00009A6C0000}"/>
    <cellStyle name="40% - Accent3 3 2 4 2 2 2" xfId="26614" xr:uid="{00000000-0005-0000-0000-00009B6C0000}"/>
    <cellStyle name="40% - Accent3 3 2 4 2 2 3" xfId="36339" xr:uid="{00000000-0005-0000-0000-00009C6C0000}"/>
    <cellStyle name="40% - Accent3 3 2 4 2 2 4" xfId="46064" xr:uid="{00000000-0005-0000-0000-00009D6C0000}"/>
    <cellStyle name="40% - Accent3 3 2 4 2 2 5" xfId="16889" xr:uid="{00000000-0005-0000-0000-00009E6C0000}"/>
    <cellStyle name="40% - Accent3 3 2 4 2 3" xfId="21752" xr:uid="{00000000-0005-0000-0000-00009F6C0000}"/>
    <cellStyle name="40% - Accent3 3 2 4 2 4" xfId="31477" xr:uid="{00000000-0005-0000-0000-0000A06C0000}"/>
    <cellStyle name="40% - Accent3 3 2 4 2 5" xfId="41202" xr:uid="{00000000-0005-0000-0000-0000A16C0000}"/>
    <cellStyle name="40% - Accent3 3 2 4 2 6" xfId="12027" xr:uid="{00000000-0005-0000-0000-0000A26C0000}"/>
    <cellStyle name="40% - Accent3 3 2 4 3" xfId="3921" xr:uid="{00000000-0005-0000-0000-0000A36C0000}"/>
    <cellStyle name="40% - Accent3 3 2 4 3 2" xfId="8783" xr:uid="{00000000-0005-0000-0000-0000A46C0000}"/>
    <cellStyle name="40% - Accent3 3 2 4 3 2 2" xfId="28234" xr:uid="{00000000-0005-0000-0000-0000A56C0000}"/>
    <cellStyle name="40% - Accent3 3 2 4 3 2 3" xfId="37959" xr:uid="{00000000-0005-0000-0000-0000A66C0000}"/>
    <cellStyle name="40% - Accent3 3 2 4 3 2 4" xfId="47684" xr:uid="{00000000-0005-0000-0000-0000A76C0000}"/>
    <cellStyle name="40% - Accent3 3 2 4 3 2 5" xfId="18509" xr:uid="{00000000-0005-0000-0000-0000A86C0000}"/>
    <cellStyle name="40% - Accent3 3 2 4 3 3" xfId="23372" xr:uid="{00000000-0005-0000-0000-0000A96C0000}"/>
    <cellStyle name="40% - Accent3 3 2 4 3 4" xfId="33097" xr:uid="{00000000-0005-0000-0000-0000AA6C0000}"/>
    <cellStyle name="40% - Accent3 3 2 4 3 5" xfId="42822" xr:uid="{00000000-0005-0000-0000-0000AB6C0000}"/>
    <cellStyle name="40% - Accent3 3 2 4 3 6" xfId="13647" xr:uid="{00000000-0005-0000-0000-0000AC6C0000}"/>
    <cellStyle name="40% - Accent3 3 2 4 4" xfId="5543" xr:uid="{00000000-0005-0000-0000-0000AD6C0000}"/>
    <cellStyle name="40% - Accent3 3 2 4 4 2" xfId="24994" xr:uid="{00000000-0005-0000-0000-0000AE6C0000}"/>
    <cellStyle name="40% - Accent3 3 2 4 4 3" xfId="34719" xr:uid="{00000000-0005-0000-0000-0000AF6C0000}"/>
    <cellStyle name="40% - Accent3 3 2 4 4 4" xfId="44444" xr:uid="{00000000-0005-0000-0000-0000B06C0000}"/>
    <cellStyle name="40% - Accent3 3 2 4 4 5" xfId="15269" xr:uid="{00000000-0005-0000-0000-0000B16C0000}"/>
    <cellStyle name="40% - Accent3 3 2 4 5" xfId="20132" xr:uid="{00000000-0005-0000-0000-0000B26C0000}"/>
    <cellStyle name="40% - Accent3 3 2 4 6" xfId="29857" xr:uid="{00000000-0005-0000-0000-0000B36C0000}"/>
    <cellStyle name="40% - Accent3 3 2 4 7" xfId="39582" xr:uid="{00000000-0005-0000-0000-0000B46C0000}"/>
    <cellStyle name="40% - Accent3 3 2 4 8" xfId="10407" xr:uid="{00000000-0005-0000-0000-0000B56C0000}"/>
    <cellStyle name="40% - Accent3 3 2 5" xfId="1941" xr:uid="{00000000-0005-0000-0000-0000B66C0000}"/>
    <cellStyle name="40% - Accent3 3 2 5 2" xfId="6803" xr:uid="{00000000-0005-0000-0000-0000B76C0000}"/>
    <cellStyle name="40% - Accent3 3 2 5 2 2" xfId="26254" xr:uid="{00000000-0005-0000-0000-0000B86C0000}"/>
    <cellStyle name="40% - Accent3 3 2 5 2 3" xfId="35979" xr:uid="{00000000-0005-0000-0000-0000B96C0000}"/>
    <cellStyle name="40% - Accent3 3 2 5 2 4" xfId="45704" xr:uid="{00000000-0005-0000-0000-0000BA6C0000}"/>
    <cellStyle name="40% - Accent3 3 2 5 2 5" xfId="16529" xr:uid="{00000000-0005-0000-0000-0000BB6C0000}"/>
    <cellStyle name="40% - Accent3 3 2 5 3" xfId="21392" xr:uid="{00000000-0005-0000-0000-0000BC6C0000}"/>
    <cellStyle name="40% - Accent3 3 2 5 4" xfId="31117" xr:uid="{00000000-0005-0000-0000-0000BD6C0000}"/>
    <cellStyle name="40% - Accent3 3 2 5 5" xfId="40842" xr:uid="{00000000-0005-0000-0000-0000BE6C0000}"/>
    <cellStyle name="40% - Accent3 3 2 5 6" xfId="11667" xr:uid="{00000000-0005-0000-0000-0000BF6C0000}"/>
    <cellStyle name="40% - Accent3 3 2 6" xfId="3561" xr:uid="{00000000-0005-0000-0000-0000C06C0000}"/>
    <cellStyle name="40% - Accent3 3 2 6 2" xfId="8423" xr:uid="{00000000-0005-0000-0000-0000C16C0000}"/>
    <cellStyle name="40% - Accent3 3 2 6 2 2" xfId="27874" xr:uid="{00000000-0005-0000-0000-0000C26C0000}"/>
    <cellStyle name="40% - Accent3 3 2 6 2 3" xfId="37599" xr:uid="{00000000-0005-0000-0000-0000C36C0000}"/>
    <cellStyle name="40% - Accent3 3 2 6 2 4" xfId="47324" xr:uid="{00000000-0005-0000-0000-0000C46C0000}"/>
    <cellStyle name="40% - Accent3 3 2 6 2 5" xfId="18149" xr:uid="{00000000-0005-0000-0000-0000C56C0000}"/>
    <cellStyle name="40% - Accent3 3 2 6 3" xfId="23012" xr:uid="{00000000-0005-0000-0000-0000C66C0000}"/>
    <cellStyle name="40% - Accent3 3 2 6 4" xfId="32737" xr:uid="{00000000-0005-0000-0000-0000C76C0000}"/>
    <cellStyle name="40% - Accent3 3 2 6 5" xfId="42462" xr:uid="{00000000-0005-0000-0000-0000C86C0000}"/>
    <cellStyle name="40% - Accent3 3 2 6 6" xfId="13287" xr:uid="{00000000-0005-0000-0000-0000C96C0000}"/>
    <cellStyle name="40% - Accent3 3 2 7" xfId="5183" xr:uid="{00000000-0005-0000-0000-0000CA6C0000}"/>
    <cellStyle name="40% - Accent3 3 2 7 2" xfId="24634" xr:uid="{00000000-0005-0000-0000-0000CB6C0000}"/>
    <cellStyle name="40% - Accent3 3 2 7 3" xfId="34359" xr:uid="{00000000-0005-0000-0000-0000CC6C0000}"/>
    <cellStyle name="40% - Accent3 3 2 7 4" xfId="44084" xr:uid="{00000000-0005-0000-0000-0000CD6C0000}"/>
    <cellStyle name="40% - Accent3 3 2 7 5" xfId="14909" xr:uid="{00000000-0005-0000-0000-0000CE6C0000}"/>
    <cellStyle name="40% - Accent3 3 2 8" xfId="19772" xr:uid="{00000000-0005-0000-0000-0000CF6C0000}"/>
    <cellStyle name="40% - Accent3 3 2 9" xfId="29497" xr:uid="{00000000-0005-0000-0000-0000D06C0000}"/>
    <cellStyle name="40% - Accent3 3 3" xfId="350" xr:uid="{00000000-0005-0000-0000-0000D16C0000}"/>
    <cellStyle name="40% - Accent3 3 3 10" xfId="39312" xr:uid="{00000000-0005-0000-0000-0000D26C0000}"/>
    <cellStyle name="40% - Accent3 3 3 11" xfId="10137" xr:uid="{00000000-0005-0000-0000-0000D36C0000}"/>
    <cellStyle name="40% - Accent3 3 3 2" xfId="1113" xr:uid="{00000000-0005-0000-0000-0000D46C0000}"/>
    <cellStyle name="40% - Accent3 3 3 2 2" xfId="2751" xr:uid="{00000000-0005-0000-0000-0000D56C0000}"/>
    <cellStyle name="40% - Accent3 3 3 2 2 2" xfId="7613" xr:uid="{00000000-0005-0000-0000-0000D66C0000}"/>
    <cellStyle name="40% - Accent3 3 3 2 2 2 2" xfId="27064" xr:uid="{00000000-0005-0000-0000-0000D76C0000}"/>
    <cellStyle name="40% - Accent3 3 3 2 2 2 3" xfId="36789" xr:uid="{00000000-0005-0000-0000-0000D86C0000}"/>
    <cellStyle name="40% - Accent3 3 3 2 2 2 4" xfId="46514" xr:uid="{00000000-0005-0000-0000-0000D96C0000}"/>
    <cellStyle name="40% - Accent3 3 3 2 2 2 5" xfId="17339" xr:uid="{00000000-0005-0000-0000-0000DA6C0000}"/>
    <cellStyle name="40% - Accent3 3 3 2 2 3" xfId="22202" xr:uid="{00000000-0005-0000-0000-0000DB6C0000}"/>
    <cellStyle name="40% - Accent3 3 3 2 2 4" xfId="31927" xr:uid="{00000000-0005-0000-0000-0000DC6C0000}"/>
    <cellStyle name="40% - Accent3 3 3 2 2 5" xfId="41652" xr:uid="{00000000-0005-0000-0000-0000DD6C0000}"/>
    <cellStyle name="40% - Accent3 3 3 2 2 6" xfId="12477" xr:uid="{00000000-0005-0000-0000-0000DE6C0000}"/>
    <cellStyle name="40% - Accent3 3 3 2 3" xfId="4371" xr:uid="{00000000-0005-0000-0000-0000DF6C0000}"/>
    <cellStyle name="40% - Accent3 3 3 2 3 2" xfId="9233" xr:uid="{00000000-0005-0000-0000-0000E06C0000}"/>
    <cellStyle name="40% - Accent3 3 3 2 3 2 2" xfId="28684" xr:uid="{00000000-0005-0000-0000-0000E16C0000}"/>
    <cellStyle name="40% - Accent3 3 3 2 3 2 3" xfId="38409" xr:uid="{00000000-0005-0000-0000-0000E26C0000}"/>
    <cellStyle name="40% - Accent3 3 3 2 3 2 4" xfId="48134" xr:uid="{00000000-0005-0000-0000-0000E36C0000}"/>
    <cellStyle name="40% - Accent3 3 3 2 3 2 5" xfId="18959" xr:uid="{00000000-0005-0000-0000-0000E46C0000}"/>
    <cellStyle name="40% - Accent3 3 3 2 3 3" xfId="23822" xr:uid="{00000000-0005-0000-0000-0000E56C0000}"/>
    <cellStyle name="40% - Accent3 3 3 2 3 4" xfId="33547" xr:uid="{00000000-0005-0000-0000-0000E66C0000}"/>
    <cellStyle name="40% - Accent3 3 3 2 3 5" xfId="43272" xr:uid="{00000000-0005-0000-0000-0000E76C0000}"/>
    <cellStyle name="40% - Accent3 3 3 2 3 6" xfId="14097" xr:uid="{00000000-0005-0000-0000-0000E86C0000}"/>
    <cellStyle name="40% - Accent3 3 3 2 4" xfId="5993" xr:uid="{00000000-0005-0000-0000-0000E96C0000}"/>
    <cellStyle name="40% - Accent3 3 3 2 4 2" xfId="25444" xr:uid="{00000000-0005-0000-0000-0000EA6C0000}"/>
    <cellStyle name="40% - Accent3 3 3 2 4 3" xfId="35169" xr:uid="{00000000-0005-0000-0000-0000EB6C0000}"/>
    <cellStyle name="40% - Accent3 3 3 2 4 4" xfId="44894" xr:uid="{00000000-0005-0000-0000-0000EC6C0000}"/>
    <cellStyle name="40% - Accent3 3 3 2 4 5" xfId="15719" xr:uid="{00000000-0005-0000-0000-0000ED6C0000}"/>
    <cellStyle name="40% - Accent3 3 3 2 5" xfId="20582" xr:uid="{00000000-0005-0000-0000-0000EE6C0000}"/>
    <cellStyle name="40% - Accent3 3 3 2 6" xfId="30307" xr:uid="{00000000-0005-0000-0000-0000EF6C0000}"/>
    <cellStyle name="40% - Accent3 3 3 2 7" xfId="40032" xr:uid="{00000000-0005-0000-0000-0000F06C0000}"/>
    <cellStyle name="40% - Accent3 3 3 2 8" xfId="10857" xr:uid="{00000000-0005-0000-0000-0000F16C0000}"/>
    <cellStyle name="40% - Accent3 3 3 3" xfId="1580" xr:uid="{00000000-0005-0000-0000-0000F26C0000}"/>
    <cellStyle name="40% - Accent3 3 3 3 2" xfId="3201" xr:uid="{00000000-0005-0000-0000-0000F36C0000}"/>
    <cellStyle name="40% - Accent3 3 3 3 2 2" xfId="8063" xr:uid="{00000000-0005-0000-0000-0000F46C0000}"/>
    <cellStyle name="40% - Accent3 3 3 3 2 2 2" xfId="27514" xr:uid="{00000000-0005-0000-0000-0000F56C0000}"/>
    <cellStyle name="40% - Accent3 3 3 3 2 2 3" xfId="37239" xr:uid="{00000000-0005-0000-0000-0000F66C0000}"/>
    <cellStyle name="40% - Accent3 3 3 3 2 2 4" xfId="46964" xr:uid="{00000000-0005-0000-0000-0000F76C0000}"/>
    <cellStyle name="40% - Accent3 3 3 3 2 2 5" xfId="17789" xr:uid="{00000000-0005-0000-0000-0000F86C0000}"/>
    <cellStyle name="40% - Accent3 3 3 3 2 3" xfId="22652" xr:uid="{00000000-0005-0000-0000-0000F96C0000}"/>
    <cellStyle name="40% - Accent3 3 3 3 2 4" xfId="32377" xr:uid="{00000000-0005-0000-0000-0000FA6C0000}"/>
    <cellStyle name="40% - Accent3 3 3 3 2 5" xfId="42102" xr:uid="{00000000-0005-0000-0000-0000FB6C0000}"/>
    <cellStyle name="40% - Accent3 3 3 3 2 6" xfId="12927" xr:uid="{00000000-0005-0000-0000-0000FC6C0000}"/>
    <cellStyle name="40% - Accent3 3 3 3 3" xfId="4821" xr:uid="{00000000-0005-0000-0000-0000FD6C0000}"/>
    <cellStyle name="40% - Accent3 3 3 3 3 2" xfId="9683" xr:uid="{00000000-0005-0000-0000-0000FE6C0000}"/>
    <cellStyle name="40% - Accent3 3 3 3 3 2 2" xfId="29134" xr:uid="{00000000-0005-0000-0000-0000FF6C0000}"/>
    <cellStyle name="40% - Accent3 3 3 3 3 2 3" xfId="38859" xr:uid="{00000000-0005-0000-0000-0000006D0000}"/>
    <cellStyle name="40% - Accent3 3 3 3 3 2 4" xfId="48584" xr:uid="{00000000-0005-0000-0000-0000016D0000}"/>
    <cellStyle name="40% - Accent3 3 3 3 3 2 5" xfId="19409" xr:uid="{00000000-0005-0000-0000-0000026D0000}"/>
    <cellStyle name="40% - Accent3 3 3 3 3 3" xfId="24272" xr:uid="{00000000-0005-0000-0000-0000036D0000}"/>
    <cellStyle name="40% - Accent3 3 3 3 3 4" xfId="33997" xr:uid="{00000000-0005-0000-0000-0000046D0000}"/>
    <cellStyle name="40% - Accent3 3 3 3 3 5" xfId="43722" xr:uid="{00000000-0005-0000-0000-0000056D0000}"/>
    <cellStyle name="40% - Accent3 3 3 3 3 6" xfId="14547" xr:uid="{00000000-0005-0000-0000-0000066D0000}"/>
    <cellStyle name="40% - Accent3 3 3 3 4" xfId="6443" xr:uid="{00000000-0005-0000-0000-0000076D0000}"/>
    <cellStyle name="40% - Accent3 3 3 3 4 2" xfId="25894" xr:uid="{00000000-0005-0000-0000-0000086D0000}"/>
    <cellStyle name="40% - Accent3 3 3 3 4 3" xfId="35619" xr:uid="{00000000-0005-0000-0000-0000096D0000}"/>
    <cellStyle name="40% - Accent3 3 3 3 4 4" xfId="45344" xr:uid="{00000000-0005-0000-0000-00000A6D0000}"/>
    <cellStyle name="40% - Accent3 3 3 3 4 5" xfId="16169" xr:uid="{00000000-0005-0000-0000-00000B6D0000}"/>
    <cellStyle name="40% - Accent3 3 3 3 5" xfId="21032" xr:uid="{00000000-0005-0000-0000-00000C6D0000}"/>
    <cellStyle name="40% - Accent3 3 3 3 6" xfId="30757" xr:uid="{00000000-0005-0000-0000-00000D6D0000}"/>
    <cellStyle name="40% - Accent3 3 3 3 7" xfId="40482" xr:uid="{00000000-0005-0000-0000-00000E6D0000}"/>
    <cellStyle name="40% - Accent3 3 3 3 8" xfId="11307" xr:uid="{00000000-0005-0000-0000-00000F6D0000}"/>
    <cellStyle name="40% - Accent3 3 3 4" xfId="751" xr:uid="{00000000-0005-0000-0000-0000106D0000}"/>
    <cellStyle name="40% - Accent3 3 3 4 2" xfId="2391" xr:uid="{00000000-0005-0000-0000-0000116D0000}"/>
    <cellStyle name="40% - Accent3 3 3 4 2 2" xfId="7253" xr:uid="{00000000-0005-0000-0000-0000126D0000}"/>
    <cellStyle name="40% - Accent3 3 3 4 2 2 2" xfId="26704" xr:uid="{00000000-0005-0000-0000-0000136D0000}"/>
    <cellStyle name="40% - Accent3 3 3 4 2 2 3" xfId="36429" xr:uid="{00000000-0005-0000-0000-0000146D0000}"/>
    <cellStyle name="40% - Accent3 3 3 4 2 2 4" xfId="46154" xr:uid="{00000000-0005-0000-0000-0000156D0000}"/>
    <cellStyle name="40% - Accent3 3 3 4 2 2 5" xfId="16979" xr:uid="{00000000-0005-0000-0000-0000166D0000}"/>
    <cellStyle name="40% - Accent3 3 3 4 2 3" xfId="21842" xr:uid="{00000000-0005-0000-0000-0000176D0000}"/>
    <cellStyle name="40% - Accent3 3 3 4 2 4" xfId="31567" xr:uid="{00000000-0005-0000-0000-0000186D0000}"/>
    <cellStyle name="40% - Accent3 3 3 4 2 5" xfId="41292" xr:uid="{00000000-0005-0000-0000-0000196D0000}"/>
    <cellStyle name="40% - Accent3 3 3 4 2 6" xfId="12117" xr:uid="{00000000-0005-0000-0000-00001A6D0000}"/>
    <cellStyle name="40% - Accent3 3 3 4 3" xfId="4011" xr:uid="{00000000-0005-0000-0000-00001B6D0000}"/>
    <cellStyle name="40% - Accent3 3 3 4 3 2" xfId="8873" xr:uid="{00000000-0005-0000-0000-00001C6D0000}"/>
    <cellStyle name="40% - Accent3 3 3 4 3 2 2" xfId="28324" xr:uid="{00000000-0005-0000-0000-00001D6D0000}"/>
    <cellStyle name="40% - Accent3 3 3 4 3 2 3" xfId="38049" xr:uid="{00000000-0005-0000-0000-00001E6D0000}"/>
    <cellStyle name="40% - Accent3 3 3 4 3 2 4" xfId="47774" xr:uid="{00000000-0005-0000-0000-00001F6D0000}"/>
    <cellStyle name="40% - Accent3 3 3 4 3 2 5" xfId="18599" xr:uid="{00000000-0005-0000-0000-0000206D0000}"/>
    <cellStyle name="40% - Accent3 3 3 4 3 3" xfId="23462" xr:uid="{00000000-0005-0000-0000-0000216D0000}"/>
    <cellStyle name="40% - Accent3 3 3 4 3 4" xfId="33187" xr:uid="{00000000-0005-0000-0000-0000226D0000}"/>
    <cellStyle name="40% - Accent3 3 3 4 3 5" xfId="42912" xr:uid="{00000000-0005-0000-0000-0000236D0000}"/>
    <cellStyle name="40% - Accent3 3 3 4 3 6" xfId="13737" xr:uid="{00000000-0005-0000-0000-0000246D0000}"/>
    <cellStyle name="40% - Accent3 3 3 4 4" xfId="5633" xr:uid="{00000000-0005-0000-0000-0000256D0000}"/>
    <cellStyle name="40% - Accent3 3 3 4 4 2" xfId="25084" xr:uid="{00000000-0005-0000-0000-0000266D0000}"/>
    <cellStyle name="40% - Accent3 3 3 4 4 3" xfId="34809" xr:uid="{00000000-0005-0000-0000-0000276D0000}"/>
    <cellStyle name="40% - Accent3 3 3 4 4 4" xfId="44534" xr:uid="{00000000-0005-0000-0000-0000286D0000}"/>
    <cellStyle name="40% - Accent3 3 3 4 4 5" xfId="15359" xr:uid="{00000000-0005-0000-0000-0000296D0000}"/>
    <cellStyle name="40% - Accent3 3 3 4 5" xfId="20222" xr:uid="{00000000-0005-0000-0000-00002A6D0000}"/>
    <cellStyle name="40% - Accent3 3 3 4 6" xfId="29947" xr:uid="{00000000-0005-0000-0000-00002B6D0000}"/>
    <cellStyle name="40% - Accent3 3 3 4 7" xfId="39672" xr:uid="{00000000-0005-0000-0000-00002C6D0000}"/>
    <cellStyle name="40% - Accent3 3 3 4 8" xfId="10497" xr:uid="{00000000-0005-0000-0000-00002D6D0000}"/>
    <cellStyle name="40% - Accent3 3 3 5" xfId="2031" xr:uid="{00000000-0005-0000-0000-00002E6D0000}"/>
    <cellStyle name="40% - Accent3 3 3 5 2" xfId="6893" xr:uid="{00000000-0005-0000-0000-00002F6D0000}"/>
    <cellStyle name="40% - Accent3 3 3 5 2 2" xfId="26344" xr:uid="{00000000-0005-0000-0000-0000306D0000}"/>
    <cellStyle name="40% - Accent3 3 3 5 2 3" xfId="36069" xr:uid="{00000000-0005-0000-0000-0000316D0000}"/>
    <cellStyle name="40% - Accent3 3 3 5 2 4" xfId="45794" xr:uid="{00000000-0005-0000-0000-0000326D0000}"/>
    <cellStyle name="40% - Accent3 3 3 5 2 5" xfId="16619" xr:uid="{00000000-0005-0000-0000-0000336D0000}"/>
    <cellStyle name="40% - Accent3 3 3 5 3" xfId="21482" xr:uid="{00000000-0005-0000-0000-0000346D0000}"/>
    <cellStyle name="40% - Accent3 3 3 5 4" xfId="31207" xr:uid="{00000000-0005-0000-0000-0000356D0000}"/>
    <cellStyle name="40% - Accent3 3 3 5 5" xfId="40932" xr:uid="{00000000-0005-0000-0000-0000366D0000}"/>
    <cellStyle name="40% - Accent3 3 3 5 6" xfId="11757" xr:uid="{00000000-0005-0000-0000-0000376D0000}"/>
    <cellStyle name="40% - Accent3 3 3 6" xfId="3651" xr:uid="{00000000-0005-0000-0000-0000386D0000}"/>
    <cellStyle name="40% - Accent3 3 3 6 2" xfId="8513" xr:uid="{00000000-0005-0000-0000-0000396D0000}"/>
    <cellStyle name="40% - Accent3 3 3 6 2 2" xfId="27964" xr:uid="{00000000-0005-0000-0000-00003A6D0000}"/>
    <cellStyle name="40% - Accent3 3 3 6 2 3" xfId="37689" xr:uid="{00000000-0005-0000-0000-00003B6D0000}"/>
    <cellStyle name="40% - Accent3 3 3 6 2 4" xfId="47414" xr:uid="{00000000-0005-0000-0000-00003C6D0000}"/>
    <cellStyle name="40% - Accent3 3 3 6 2 5" xfId="18239" xr:uid="{00000000-0005-0000-0000-00003D6D0000}"/>
    <cellStyle name="40% - Accent3 3 3 6 3" xfId="23102" xr:uid="{00000000-0005-0000-0000-00003E6D0000}"/>
    <cellStyle name="40% - Accent3 3 3 6 4" xfId="32827" xr:uid="{00000000-0005-0000-0000-00003F6D0000}"/>
    <cellStyle name="40% - Accent3 3 3 6 5" xfId="42552" xr:uid="{00000000-0005-0000-0000-0000406D0000}"/>
    <cellStyle name="40% - Accent3 3 3 6 6" xfId="13377" xr:uid="{00000000-0005-0000-0000-0000416D0000}"/>
    <cellStyle name="40% - Accent3 3 3 7" xfId="5273" xr:uid="{00000000-0005-0000-0000-0000426D0000}"/>
    <cellStyle name="40% - Accent3 3 3 7 2" xfId="24724" xr:uid="{00000000-0005-0000-0000-0000436D0000}"/>
    <cellStyle name="40% - Accent3 3 3 7 3" xfId="34449" xr:uid="{00000000-0005-0000-0000-0000446D0000}"/>
    <cellStyle name="40% - Accent3 3 3 7 4" xfId="44174" xr:uid="{00000000-0005-0000-0000-0000456D0000}"/>
    <cellStyle name="40% - Accent3 3 3 7 5" xfId="14999" xr:uid="{00000000-0005-0000-0000-0000466D0000}"/>
    <cellStyle name="40% - Accent3 3 3 8" xfId="19862" xr:uid="{00000000-0005-0000-0000-0000476D0000}"/>
    <cellStyle name="40% - Accent3 3 3 9" xfId="29587" xr:uid="{00000000-0005-0000-0000-0000486D0000}"/>
    <cellStyle name="40% - Accent3 3 4" xfId="168" xr:uid="{00000000-0005-0000-0000-0000496D0000}"/>
    <cellStyle name="40% - Accent3 3 4 10" xfId="39132" xr:uid="{00000000-0005-0000-0000-00004A6D0000}"/>
    <cellStyle name="40% - Accent3 3 4 11" xfId="9957" xr:uid="{00000000-0005-0000-0000-00004B6D0000}"/>
    <cellStyle name="40% - Accent3 3 4 2" xfId="932" xr:uid="{00000000-0005-0000-0000-00004C6D0000}"/>
    <cellStyle name="40% - Accent3 3 4 2 2" xfId="2571" xr:uid="{00000000-0005-0000-0000-00004D6D0000}"/>
    <cellStyle name="40% - Accent3 3 4 2 2 2" xfId="7433" xr:uid="{00000000-0005-0000-0000-00004E6D0000}"/>
    <cellStyle name="40% - Accent3 3 4 2 2 2 2" xfId="26884" xr:uid="{00000000-0005-0000-0000-00004F6D0000}"/>
    <cellStyle name="40% - Accent3 3 4 2 2 2 3" xfId="36609" xr:uid="{00000000-0005-0000-0000-0000506D0000}"/>
    <cellStyle name="40% - Accent3 3 4 2 2 2 4" xfId="46334" xr:uid="{00000000-0005-0000-0000-0000516D0000}"/>
    <cellStyle name="40% - Accent3 3 4 2 2 2 5" xfId="17159" xr:uid="{00000000-0005-0000-0000-0000526D0000}"/>
    <cellStyle name="40% - Accent3 3 4 2 2 3" xfId="22022" xr:uid="{00000000-0005-0000-0000-0000536D0000}"/>
    <cellStyle name="40% - Accent3 3 4 2 2 4" xfId="31747" xr:uid="{00000000-0005-0000-0000-0000546D0000}"/>
    <cellStyle name="40% - Accent3 3 4 2 2 5" xfId="41472" xr:uid="{00000000-0005-0000-0000-0000556D0000}"/>
    <cellStyle name="40% - Accent3 3 4 2 2 6" xfId="12297" xr:uid="{00000000-0005-0000-0000-0000566D0000}"/>
    <cellStyle name="40% - Accent3 3 4 2 3" xfId="4191" xr:uid="{00000000-0005-0000-0000-0000576D0000}"/>
    <cellStyle name="40% - Accent3 3 4 2 3 2" xfId="9053" xr:uid="{00000000-0005-0000-0000-0000586D0000}"/>
    <cellStyle name="40% - Accent3 3 4 2 3 2 2" xfId="28504" xr:uid="{00000000-0005-0000-0000-0000596D0000}"/>
    <cellStyle name="40% - Accent3 3 4 2 3 2 3" xfId="38229" xr:uid="{00000000-0005-0000-0000-00005A6D0000}"/>
    <cellStyle name="40% - Accent3 3 4 2 3 2 4" xfId="47954" xr:uid="{00000000-0005-0000-0000-00005B6D0000}"/>
    <cellStyle name="40% - Accent3 3 4 2 3 2 5" xfId="18779" xr:uid="{00000000-0005-0000-0000-00005C6D0000}"/>
    <cellStyle name="40% - Accent3 3 4 2 3 3" xfId="23642" xr:uid="{00000000-0005-0000-0000-00005D6D0000}"/>
    <cellStyle name="40% - Accent3 3 4 2 3 4" xfId="33367" xr:uid="{00000000-0005-0000-0000-00005E6D0000}"/>
    <cellStyle name="40% - Accent3 3 4 2 3 5" xfId="43092" xr:uid="{00000000-0005-0000-0000-00005F6D0000}"/>
    <cellStyle name="40% - Accent3 3 4 2 3 6" xfId="13917" xr:uid="{00000000-0005-0000-0000-0000606D0000}"/>
    <cellStyle name="40% - Accent3 3 4 2 4" xfId="5813" xr:uid="{00000000-0005-0000-0000-0000616D0000}"/>
    <cellStyle name="40% - Accent3 3 4 2 4 2" xfId="25264" xr:uid="{00000000-0005-0000-0000-0000626D0000}"/>
    <cellStyle name="40% - Accent3 3 4 2 4 3" xfId="34989" xr:uid="{00000000-0005-0000-0000-0000636D0000}"/>
    <cellStyle name="40% - Accent3 3 4 2 4 4" xfId="44714" xr:uid="{00000000-0005-0000-0000-0000646D0000}"/>
    <cellStyle name="40% - Accent3 3 4 2 4 5" xfId="15539" xr:uid="{00000000-0005-0000-0000-0000656D0000}"/>
    <cellStyle name="40% - Accent3 3 4 2 5" xfId="20402" xr:uid="{00000000-0005-0000-0000-0000666D0000}"/>
    <cellStyle name="40% - Accent3 3 4 2 6" xfId="30127" xr:uid="{00000000-0005-0000-0000-0000676D0000}"/>
    <cellStyle name="40% - Accent3 3 4 2 7" xfId="39852" xr:uid="{00000000-0005-0000-0000-0000686D0000}"/>
    <cellStyle name="40% - Accent3 3 4 2 8" xfId="10677" xr:uid="{00000000-0005-0000-0000-0000696D0000}"/>
    <cellStyle name="40% - Accent3 3 4 3" xfId="1400" xr:uid="{00000000-0005-0000-0000-00006A6D0000}"/>
    <cellStyle name="40% - Accent3 3 4 3 2" xfId="3021" xr:uid="{00000000-0005-0000-0000-00006B6D0000}"/>
    <cellStyle name="40% - Accent3 3 4 3 2 2" xfId="7883" xr:uid="{00000000-0005-0000-0000-00006C6D0000}"/>
    <cellStyle name="40% - Accent3 3 4 3 2 2 2" xfId="27334" xr:uid="{00000000-0005-0000-0000-00006D6D0000}"/>
    <cellStyle name="40% - Accent3 3 4 3 2 2 3" xfId="37059" xr:uid="{00000000-0005-0000-0000-00006E6D0000}"/>
    <cellStyle name="40% - Accent3 3 4 3 2 2 4" xfId="46784" xr:uid="{00000000-0005-0000-0000-00006F6D0000}"/>
    <cellStyle name="40% - Accent3 3 4 3 2 2 5" xfId="17609" xr:uid="{00000000-0005-0000-0000-0000706D0000}"/>
    <cellStyle name="40% - Accent3 3 4 3 2 3" xfId="22472" xr:uid="{00000000-0005-0000-0000-0000716D0000}"/>
    <cellStyle name="40% - Accent3 3 4 3 2 4" xfId="32197" xr:uid="{00000000-0005-0000-0000-0000726D0000}"/>
    <cellStyle name="40% - Accent3 3 4 3 2 5" xfId="41922" xr:uid="{00000000-0005-0000-0000-0000736D0000}"/>
    <cellStyle name="40% - Accent3 3 4 3 2 6" xfId="12747" xr:uid="{00000000-0005-0000-0000-0000746D0000}"/>
    <cellStyle name="40% - Accent3 3 4 3 3" xfId="4641" xr:uid="{00000000-0005-0000-0000-0000756D0000}"/>
    <cellStyle name="40% - Accent3 3 4 3 3 2" xfId="9503" xr:uid="{00000000-0005-0000-0000-0000766D0000}"/>
    <cellStyle name="40% - Accent3 3 4 3 3 2 2" xfId="28954" xr:uid="{00000000-0005-0000-0000-0000776D0000}"/>
    <cellStyle name="40% - Accent3 3 4 3 3 2 3" xfId="38679" xr:uid="{00000000-0005-0000-0000-0000786D0000}"/>
    <cellStyle name="40% - Accent3 3 4 3 3 2 4" xfId="48404" xr:uid="{00000000-0005-0000-0000-0000796D0000}"/>
    <cellStyle name="40% - Accent3 3 4 3 3 2 5" xfId="19229" xr:uid="{00000000-0005-0000-0000-00007A6D0000}"/>
    <cellStyle name="40% - Accent3 3 4 3 3 3" xfId="24092" xr:uid="{00000000-0005-0000-0000-00007B6D0000}"/>
    <cellStyle name="40% - Accent3 3 4 3 3 4" xfId="33817" xr:uid="{00000000-0005-0000-0000-00007C6D0000}"/>
    <cellStyle name="40% - Accent3 3 4 3 3 5" xfId="43542" xr:uid="{00000000-0005-0000-0000-00007D6D0000}"/>
    <cellStyle name="40% - Accent3 3 4 3 3 6" xfId="14367" xr:uid="{00000000-0005-0000-0000-00007E6D0000}"/>
    <cellStyle name="40% - Accent3 3 4 3 4" xfId="6263" xr:uid="{00000000-0005-0000-0000-00007F6D0000}"/>
    <cellStyle name="40% - Accent3 3 4 3 4 2" xfId="25714" xr:uid="{00000000-0005-0000-0000-0000806D0000}"/>
    <cellStyle name="40% - Accent3 3 4 3 4 3" xfId="35439" xr:uid="{00000000-0005-0000-0000-0000816D0000}"/>
    <cellStyle name="40% - Accent3 3 4 3 4 4" xfId="45164" xr:uid="{00000000-0005-0000-0000-0000826D0000}"/>
    <cellStyle name="40% - Accent3 3 4 3 4 5" xfId="15989" xr:uid="{00000000-0005-0000-0000-0000836D0000}"/>
    <cellStyle name="40% - Accent3 3 4 3 5" xfId="20852" xr:uid="{00000000-0005-0000-0000-0000846D0000}"/>
    <cellStyle name="40% - Accent3 3 4 3 6" xfId="30577" xr:uid="{00000000-0005-0000-0000-0000856D0000}"/>
    <cellStyle name="40% - Accent3 3 4 3 7" xfId="40302" xr:uid="{00000000-0005-0000-0000-0000866D0000}"/>
    <cellStyle name="40% - Accent3 3 4 3 8" xfId="11127" xr:uid="{00000000-0005-0000-0000-0000876D0000}"/>
    <cellStyle name="40% - Accent3 3 4 4" xfId="571" xr:uid="{00000000-0005-0000-0000-0000886D0000}"/>
    <cellStyle name="40% - Accent3 3 4 4 2" xfId="2211" xr:uid="{00000000-0005-0000-0000-0000896D0000}"/>
    <cellStyle name="40% - Accent3 3 4 4 2 2" xfId="7073" xr:uid="{00000000-0005-0000-0000-00008A6D0000}"/>
    <cellStyle name="40% - Accent3 3 4 4 2 2 2" xfId="26524" xr:uid="{00000000-0005-0000-0000-00008B6D0000}"/>
    <cellStyle name="40% - Accent3 3 4 4 2 2 3" xfId="36249" xr:uid="{00000000-0005-0000-0000-00008C6D0000}"/>
    <cellStyle name="40% - Accent3 3 4 4 2 2 4" xfId="45974" xr:uid="{00000000-0005-0000-0000-00008D6D0000}"/>
    <cellStyle name="40% - Accent3 3 4 4 2 2 5" xfId="16799" xr:uid="{00000000-0005-0000-0000-00008E6D0000}"/>
    <cellStyle name="40% - Accent3 3 4 4 2 3" xfId="21662" xr:uid="{00000000-0005-0000-0000-00008F6D0000}"/>
    <cellStyle name="40% - Accent3 3 4 4 2 4" xfId="31387" xr:uid="{00000000-0005-0000-0000-0000906D0000}"/>
    <cellStyle name="40% - Accent3 3 4 4 2 5" xfId="41112" xr:uid="{00000000-0005-0000-0000-0000916D0000}"/>
    <cellStyle name="40% - Accent3 3 4 4 2 6" xfId="11937" xr:uid="{00000000-0005-0000-0000-0000926D0000}"/>
    <cellStyle name="40% - Accent3 3 4 4 3" xfId="3831" xr:uid="{00000000-0005-0000-0000-0000936D0000}"/>
    <cellStyle name="40% - Accent3 3 4 4 3 2" xfId="8693" xr:uid="{00000000-0005-0000-0000-0000946D0000}"/>
    <cellStyle name="40% - Accent3 3 4 4 3 2 2" xfId="28144" xr:uid="{00000000-0005-0000-0000-0000956D0000}"/>
    <cellStyle name="40% - Accent3 3 4 4 3 2 3" xfId="37869" xr:uid="{00000000-0005-0000-0000-0000966D0000}"/>
    <cellStyle name="40% - Accent3 3 4 4 3 2 4" xfId="47594" xr:uid="{00000000-0005-0000-0000-0000976D0000}"/>
    <cellStyle name="40% - Accent3 3 4 4 3 2 5" xfId="18419" xr:uid="{00000000-0005-0000-0000-0000986D0000}"/>
    <cellStyle name="40% - Accent3 3 4 4 3 3" xfId="23282" xr:uid="{00000000-0005-0000-0000-0000996D0000}"/>
    <cellStyle name="40% - Accent3 3 4 4 3 4" xfId="33007" xr:uid="{00000000-0005-0000-0000-00009A6D0000}"/>
    <cellStyle name="40% - Accent3 3 4 4 3 5" xfId="42732" xr:uid="{00000000-0005-0000-0000-00009B6D0000}"/>
    <cellStyle name="40% - Accent3 3 4 4 3 6" xfId="13557" xr:uid="{00000000-0005-0000-0000-00009C6D0000}"/>
    <cellStyle name="40% - Accent3 3 4 4 4" xfId="5453" xr:uid="{00000000-0005-0000-0000-00009D6D0000}"/>
    <cellStyle name="40% - Accent3 3 4 4 4 2" xfId="24904" xr:uid="{00000000-0005-0000-0000-00009E6D0000}"/>
    <cellStyle name="40% - Accent3 3 4 4 4 3" xfId="34629" xr:uid="{00000000-0005-0000-0000-00009F6D0000}"/>
    <cellStyle name="40% - Accent3 3 4 4 4 4" xfId="44354" xr:uid="{00000000-0005-0000-0000-0000A06D0000}"/>
    <cellStyle name="40% - Accent3 3 4 4 4 5" xfId="15179" xr:uid="{00000000-0005-0000-0000-0000A16D0000}"/>
    <cellStyle name="40% - Accent3 3 4 4 5" xfId="20042" xr:uid="{00000000-0005-0000-0000-0000A26D0000}"/>
    <cellStyle name="40% - Accent3 3 4 4 6" xfId="29767" xr:uid="{00000000-0005-0000-0000-0000A36D0000}"/>
    <cellStyle name="40% - Accent3 3 4 4 7" xfId="39492" xr:uid="{00000000-0005-0000-0000-0000A46D0000}"/>
    <cellStyle name="40% - Accent3 3 4 4 8" xfId="10317" xr:uid="{00000000-0005-0000-0000-0000A56D0000}"/>
    <cellStyle name="40% - Accent3 3 4 5" xfId="1851" xr:uid="{00000000-0005-0000-0000-0000A66D0000}"/>
    <cellStyle name="40% - Accent3 3 4 5 2" xfId="6713" xr:uid="{00000000-0005-0000-0000-0000A76D0000}"/>
    <cellStyle name="40% - Accent3 3 4 5 2 2" xfId="26164" xr:uid="{00000000-0005-0000-0000-0000A86D0000}"/>
    <cellStyle name="40% - Accent3 3 4 5 2 3" xfId="35889" xr:uid="{00000000-0005-0000-0000-0000A96D0000}"/>
    <cellStyle name="40% - Accent3 3 4 5 2 4" xfId="45614" xr:uid="{00000000-0005-0000-0000-0000AA6D0000}"/>
    <cellStyle name="40% - Accent3 3 4 5 2 5" xfId="16439" xr:uid="{00000000-0005-0000-0000-0000AB6D0000}"/>
    <cellStyle name="40% - Accent3 3 4 5 3" xfId="21302" xr:uid="{00000000-0005-0000-0000-0000AC6D0000}"/>
    <cellStyle name="40% - Accent3 3 4 5 4" xfId="31027" xr:uid="{00000000-0005-0000-0000-0000AD6D0000}"/>
    <cellStyle name="40% - Accent3 3 4 5 5" xfId="40752" xr:uid="{00000000-0005-0000-0000-0000AE6D0000}"/>
    <cellStyle name="40% - Accent3 3 4 5 6" xfId="11577" xr:uid="{00000000-0005-0000-0000-0000AF6D0000}"/>
    <cellStyle name="40% - Accent3 3 4 6" xfId="3471" xr:uid="{00000000-0005-0000-0000-0000B06D0000}"/>
    <cellStyle name="40% - Accent3 3 4 6 2" xfId="8333" xr:uid="{00000000-0005-0000-0000-0000B16D0000}"/>
    <cellStyle name="40% - Accent3 3 4 6 2 2" xfId="27784" xr:uid="{00000000-0005-0000-0000-0000B26D0000}"/>
    <cellStyle name="40% - Accent3 3 4 6 2 3" xfId="37509" xr:uid="{00000000-0005-0000-0000-0000B36D0000}"/>
    <cellStyle name="40% - Accent3 3 4 6 2 4" xfId="47234" xr:uid="{00000000-0005-0000-0000-0000B46D0000}"/>
    <cellStyle name="40% - Accent3 3 4 6 2 5" xfId="18059" xr:uid="{00000000-0005-0000-0000-0000B56D0000}"/>
    <cellStyle name="40% - Accent3 3 4 6 3" xfId="22922" xr:uid="{00000000-0005-0000-0000-0000B66D0000}"/>
    <cellStyle name="40% - Accent3 3 4 6 4" xfId="32647" xr:uid="{00000000-0005-0000-0000-0000B76D0000}"/>
    <cellStyle name="40% - Accent3 3 4 6 5" xfId="42372" xr:uid="{00000000-0005-0000-0000-0000B86D0000}"/>
    <cellStyle name="40% - Accent3 3 4 6 6" xfId="13197" xr:uid="{00000000-0005-0000-0000-0000B96D0000}"/>
    <cellStyle name="40% - Accent3 3 4 7" xfId="5093" xr:uid="{00000000-0005-0000-0000-0000BA6D0000}"/>
    <cellStyle name="40% - Accent3 3 4 7 2" xfId="24544" xr:uid="{00000000-0005-0000-0000-0000BB6D0000}"/>
    <cellStyle name="40% - Accent3 3 4 7 3" xfId="34269" xr:uid="{00000000-0005-0000-0000-0000BC6D0000}"/>
    <cellStyle name="40% - Accent3 3 4 7 4" xfId="43994" xr:uid="{00000000-0005-0000-0000-0000BD6D0000}"/>
    <cellStyle name="40% - Accent3 3 4 7 5" xfId="14819" xr:uid="{00000000-0005-0000-0000-0000BE6D0000}"/>
    <cellStyle name="40% - Accent3 3 4 8" xfId="19682" xr:uid="{00000000-0005-0000-0000-0000BF6D0000}"/>
    <cellStyle name="40% - Accent3 3 4 9" xfId="29407" xr:uid="{00000000-0005-0000-0000-0000C06D0000}"/>
    <cellStyle name="40% - Accent3 3 5" xfId="842" xr:uid="{00000000-0005-0000-0000-0000C16D0000}"/>
    <cellStyle name="40% - Accent3 3 5 2" xfId="2481" xr:uid="{00000000-0005-0000-0000-0000C26D0000}"/>
    <cellStyle name="40% - Accent3 3 5 2 2" xfId="7343" xr:uid="{00000000-0005-0000-0000-0000C36D0000}"/>
    <cellStyle name="40% - Accent3 3 5 2 2 2" xfId="26794" xr:uid="{00000000-0005-0000-0000-0000C46D0000}"/>
    <cellStyle name="40% - Accent3 3 5 2 2 3" xfId="36519" xr:uid="{00000000-0005-0000-0000-0000C56D0000}"/>
    <cellStyle name="40% - Accent3 3 5 2 2 4" xfId="46244" xr:uid="{00000000-0005-0000-0000-0000C66D0000}"/>
    <cellStyle name="40% - Accent3 3 5 2 2 5" xfId="17069" xr:uid="{00000000-0005-0000-0000-0000C76D0000}"/>
    <cellStyle name="40% - Accent3 3 5 2 3" xfId="21932" xr:uid="{00000000-0005-0000-0000-0000C86D0000}"/>
    <cellStyle name="40% - Accent3 3 5 2 4" xfId="31657" xr:uid="{00000000-0005-0000-0000-0000C96D0000}"/>
    <cellStyle name="40% - Accent3 3 5 2 5" xfId="41382" xr:uid="{00000000-0005-0000-0000-0000CA6D0000}"/>
    <cellStyle name="40% - Accent3 3 5 2 6" xfId="12207" xr:uid="{00000000-0005-0000-0000-0000CB6D0000}"/>
    <cellStyle name="40% - Accent3 3 5 3" xfId="4101" xr:uid="{00000000-0005-0000-0000-0000CC6D0000}"/>
    <cellStyle name="40% - Accent3 3 5 3 2" xfId="8963" xr:uid="{00000000-0005-0000-0000-0000CD6D0000}"/>
    <cellStyle name="40% - Accent3 3 5 3 2 2" xfId="28414" xr:uid="{00000000-0005-0000-0000-0000CE6D0000}"/>
    <cellStyle name="40% - Accent3 3 5 3 2 3" xfId="38139" xr:uid="{00000000-0005-0000-0000-0000CF6D0000}"/>
    <cellStyle name="40% - Accent3 3 5 3 2 4" xfId="47864" xr:uid="{00000000-0005-0000-0000-0000D06D0000}"/>
    <cellStyle name="40% - Accent3 3 5 3 2 5" xfId="18689" xr:uid="{00000000-0005-0000-0000-0000D16D0000}"/>
    <cellStyle name="40% - Accent3 3 5 3 3" xfId="23552" xr:uid="{00000000-0005-0000-0000-0000D26D0000}"/>
    <cellStyle name="40% - Accent3 3 5 3 4" xfId="33277" xr:uid="{00000000-0005-0000-0000-0000D36D0000}"/>
    <cellStyle name="40% - Accent3 3 5 3 5" xfId="43002" xr:uid="{00000000-0005-0000-0000-0000D46D0000}"/>
    <cellStyle name="40% - Accent3 3 5 3 6" xfId="13827" xr:uid="{00000000-0005-0000-0000-0000D56D0000}"/>
    <cellStyle name="40% - Accent3 3 5 4" xfId="5723" xr:uid="{00000000-0005-0000-0000-0000D66D0000}"/>
    <cellStyle name="40% - Accent3 3 5 4 2" xfId="25174" xr:uid="{00000000-0005-0000-0000-0000D76D0000}"/>
    <cellStyle name="40% - Accent3 3 5 4 3" xfId="34899" xr:uid="{00000000-0005-0000-0000-0000D86D0000}"/>
    <cellStyle name="40% - Accent3 3 5 4 4" xfId="44624" xr:uid="{00000000-0005-0000-0000-0000D96D0000}"/>
    <cellStyle name="40% - Accent3 3 5 4 5" xfId="15449" xr:uid="{00000000-0005-0000-0000-0000DA6D0000}"/>
    <cellStyle name="40% - Accent3 3 5 5" xfId="20312" xr:uid="{00000000-0005-0000-0000-0000DB6D0000}"/>
    <cellStyle name="40% - Accent3 3 5 6" xfId="30037" xr:uid="{00000000-0005-0000-0000-0000DC6D0000}"/>
    <cellStyle name="40% - Accent3 3 5 7" xfId="39762" xr:uid="{00000000-0005-0000-0000-0000DD6D0000}"/>
    <cellStyle name="40% - Accent3 3 5 8" xfId="10587" xr:uid="{00000000-0005-0000-0000-0000DE6D0000}"/>
    <cellStyle name="40% - Accent3 3 6" xfId="1220" xr:uid="{00000000-0005-0000-0000-0000DF6D0000}"/>
    <cellStyle name="40% - Accent3 3 6 2" xfId="2841" xr:uid="{00000000-0005-0000-0000-0000E06D0000}"/>
    <cellStyle name="40% - Accent3 3 6 2 2" xfId="7703" xr:uid="{00000000-0005-0000-0000-0000E16D0000}"/>
    <cellStyle name="40% - Accent3 3 6 2 2 2" xfId="27154" xr:uid="{00000000-0005-0000-0000-0000E26D0000}"/>
    <cellStyle name="40% - Accent3 3 6 2 2 3" xfId="36879" xr:uid="{00000000-0005-0000-0000-0000E36D0000}"/>
    <cellStyle name="40% - Accent3 3 6 2 2 4" xfId="46604" xr:uid="{00000000-0005-0000-0000-0000E46D0000}"/>
    <cellStyle name="40% - Accent3 3 6 2 2 5" xfId="17429" xr:uid="{00000000-0005-0000-0000-0000E56D0000}"/>
    <cellStyle name="40% - Accent3 3 6 2 3" xfId="22292" xr:uid="{00000000-0005-0000-0000-0000E66D0000}"/>
    <cellStyle name="40% - Accent3 3 6 2 4" xfId="32017" xr:uid="{00000000-0005-0000-0000-0000E76D0000}"/>
    <cellStyle name="40% - Accent3 3 6 2 5" xfId="41742" xr:uid="{00000000-0005-0000-0000-0000E86D0000}"/>
    <cellStyle name="40% - Accent3 3 6 2 6" xfId="12567" xr:uid="{00000000-0005-0000-0000-0000E96D0000}"/>
    <cellStyle name="40% - Accent3 3 6 3" xfId="4461" xr:uid="{00000000-0005-0000-0000-0000EA6D0000}"/>
    <cellStyle name="40% - Accent3 3 6 3 2" xfId="9323" xr:uid="{00000000-0005-0000-0000-0000EB6D0000}"/>
    <cellStyle name="40% - Accent3 3 6 3 2 2" xfId="28774" xr:uid="{00000000-0005-0000-0000-0000EC6D0000}"/>
    <cellStyle name="40% - Accent3 3 6 3 2 3" xfId="38499" xr:uid="{00000000-0005-0000-0000-0000ED6D0000}"/>
    <cellStyle name="40% - Accent3 3 6 3 2 4" xfId="48224" xr:uid="{00000000-0005-0000-0000-0000EE6D0000}"/>
    <cellStyle name="40% - Accent3 3 6 3 2 5" xfId="19049" xr:uid="{00000000-0005-0000-0000-0000EF6D0000}"/>
    <cellStyle name="40% - Accent3 3 6 3 3" xfId="23912" xr:uid="{00000000-0005-0000-0000-0000F06D0000}"/>
    <cellStyle name="40% - Accent3 3 6 3 4" xfId="33637" xr:uid="{00000000-0005-0000-0000-0000F16D0000}"/>
    <cellStyle name="40% - Accent3 3 6 3 5" xfId="43362" xr:uid="{00000000-0005-0000-0000-0000F26D0000}"/>
    <cellStyle name="40% - Accent3 3 6 3 6" xfId="14187" xr:uid="{00000000-0005-0000-0000-0000F36D0000}"/>
    <cellStyle name="40% - Accent3 3 6 4" xfId="6083" xr:uid="{00000000-0005-0000-0000-0000F46D0000}"/>
    <cellStyle name="40% - Accent3 3 6 4 2" xfId="25534" xr:uid="{00000000-0005-0000-0000-0000F56D0000}"/>
    <cellStyle name="40% - Accent3 3 6 4 3" xfId="35259" xr:uid="{00000000-0005-0000-0000-0000F66D0000}"/>
    <cellStyle name="40% - Accent3 3 6 4 4" xfId="44984" xr:uid="{00000000-0005-0000-0000-0000F76D0000}"/>
    <cellStyle name="40% - Accent3 3 6 4 5" xfId="15809" xr:uid="{00000000-0005-0000-0000-0000F86D0000}"/>
    <cellStyle name="40% - Accent3 3 6 5" xfId="20672" xr:uid="{00000000-0005-0000-0000-0000F96D0000}"/>
    <cellStyle name="40% - Accent3 3 6 6" xfId="30397" xr:uid="{00000000-0005-0000-0000-0000FA6D0000}"/>
    <cellStyle name="40% - Accent3 3 6 7" xfId="40122" xr:uid="{00000000-0005-0000-0000-0000FB6D0000}"/>
    <cellStyle name="40% - Accent3 3 6 8" xfId="10947" xr:uid="{00000000-0005-0000-0000-0000FC6D0000}"/>
    <cellStyle name="40% - Accent3 3 7" xfId="1310" xr:uid="{00000000-0005-0000-0000-0000FD6D0000}"/>
    <cellStyle name="40% - Accent3 3 7 2" xfId="2931" xr:uid="{00000000-0005-0000-0000-0000FE6D0000}"/>
    <cellStyle name="40% - Accent3 3 7 2 2" xfId="7793" xr:uid="{00000000-0005-0000-0000-0000FF6D0000}"/>
    <cellStyle name="40% - Accent3 3 7 2 2 2" xfId="27244" xr:uid="{00000000-0005-0000-0000-0000006E0000}"/>
    <cellStyle name="40% - Accent3 3 7 2 2 3" xfId="36969" xr:uid="{00000000-0005-0000-0000-0000016E0000}"/>
    <cellStyle name="40% - Accent3 3 7 2 2 4" xfId="46694" xr:uid="{00000000-0005-0000-0000-0000026E0000}"/>
    <cellStyle name="40% - Accent3 3 7 2 2 5" xfId="17519" xr:uid="{00000000-0005-0000-0000-0000036E0000}"/>
    <cellStyle name="40% - Accent3 3 7 2 3" xfId="22382" xr:uid="{00000000-0005-0000-0000-0000046E0000}"/>
    <cellStyle name="40% - Accent3 3 7 2 4" xfId="32107" xr:uid="{00000000-0005-0000-0000-0000056E0000}"/>
    <cellStyle name="40% - Accent3 3 7 2 5" xfId="41832" xr:uid="{00000000-0005-0000-0000-0000066E0000}"/>
    <cellStyle name="40% - Accent3 3 7 2 6" xfId="12657" xr:uid="{00000000-0005-0000-0000-0000076E0000}"/>
    <cellStyle name="40% - Accent3 3 7 3" xfId="4551" xr:uid="{00000000-0005-0000-0000-0000086E0000}"/>
    <cellStyle name="40% - Accent3 3 7 3 2" xfId="9413" xr:uid="{00000000-0005-0000-0000-0000096E0000}"/>
    <cellStyle name="40% - Accent3 3 7 3 2 2" xfId="28864" xr:uid="{00000000-0005-0000-0000-00000A6E0000}"/>
    <cellStyle name="40% - Accent3 3 7 3 2 3" xfId="38589" xr:uid="{00000000-0005-0000-0000-00000B6E0000}"/>
    <cellStyle name="40% - Accent3 3 7 3 2 4" xfId="48314" xr:uid="{00000000-0005-0000-0000-00000C6E0000}"/>
    <cellStyle name="40% - Accent3 3 7 3 2 5" xfId="19139" xr:uid="{00000000-0005-0000-0000-00000D6E0000}"/>
    <cellStyle name="40% - Accent3 3 7 3 3" xfId="24002" xr:uid="{00000000-0005-0000-0000-00000E6E0000}"/>
    <cellStyle name="40% - Accent3 3 7 3 4" xfId="33727" xr:uid="{00000000-0005-0000-0000-00000F6E0000}"/>
    <cellStyle name="40% - Accent3 3 7 3 5" xfId="43452" xr:uid="{00000000-0005-0000-0000-0000106E0000}"/>
    <cellStyle name="40% - Accent3 3 7 3 6" xfId="14277" xr:uid="{00000000-0005-0000-0000-0000116E0000}"/>
    <cellStyle name="40% - Accent3 3 7 4" xfId="6173" xr:uid="{00000000-0005-0000-0000-0000126E0000}"/>
    <cellStyle name="40% - Accent3 3 7 4 2" xfId="25624" xr:uid="{00000000-0005-0000-0000-0000136E0000}"/>
    <cellStyle name="40% - Accent3 3 7 4 3" xfId="35349" xr:uid="{00000000-0005-0000-0000-0000146E0000}"/>
    <cellStyle name="40% - Accent3 3 7 4 4" xfId="45074" xr:uid="{00000000-0005-0000-0000-0000156E0000}"/>
    <cellStyle name="40% - Accent3 3 7 4 5" xfId="15899" xr:uid="{00000000-0005-0000-0000-0000166E0000}"/>
    <cellStyle name="40% - Accent3 3 7 5" xfId="20762" xr:uid="{00000000-0005-0000-0000-0000176E0000}"/>
    <cellStyle name="40% - Accent3 3 7 6" xfId="30487" xr:uid="{00000000-0005-0000-0000-0000186E0000}"/>
    <cellStyle name="40% - Accent3 3 7 7" xfId="40212" xr:uid="{00000000-0005-0000-0000-0000196E0000}"/>
    <cellStyle name="40% - Accent3 3 7 8" xfId="11037" xr:uid="{00000000-0005-0000-0000-00001A6E0000}"/>
    <cellStyle name="40% - Accent3 3 8" xfId="481" xr:uid="{00000000-0005-0000-0000-00001B6E0000}"/>
    <cellStyle name="40% - Accent3 3 8 2" xfId="2121" xr:uid="{00000000-0005-0000-0000-00001C6E0000}"/>
    <cellStyle name="40% - Accent3 3 8 2 2" xfId="6983" xr:uid="{00000000-0005-0000-0000-00001D6E0000}"/>
    <cellStyle name="40% - Accent3 3 8 2 2 2" xfId="26434" xr:uid="{00000000-0005-0000-0000-00001E6E0000}"/>
    <cellStyle name="40% - Accent3 3 8 2 2 3" xfId="36159" xr:uid="{00000000-0005-0000-0000-00001F6E0000}"/>
    <cellStyle name="40% - Accent3 3 8 2 2 4" xfId="45884" xr:uid="{00000000-0005-0000-0000-0000206E0000}"/>
    <cellStyle name="40% - Accent3 3 8 2 2 5" xfId="16709" xr:uid="{00000000-0005-0000-0000-0000216E0000}"/>
    <cellStyle name="40% - Accent3 3 8 2 3" xfId="21572" xr:uid="{00000000-0005-0000-0000-0000226E0000}"/>
    <cellStyle name="40% - Accent3 3 8 2 4" xfId="31297" xr:uid="{00000000-0005-0000-0000-0000236E0000}"/>
    <cellStyle name="40% - Accent3 3 8 2 5" xfId="41022" xr:uid="{00000000-0005-0000-0000-0000246E0000}"/>
    <cellStyle name="40% - Accent3 3 8 2 6" xfId="11847" xr:uid="{00000000-0005-0000-0000-0000256E0000}"/>
    <cellStyle name="40% - Accent3 3 8 3" xfId="3741" xr:uid="{00000000-0005-0000-0000-0000266E0000}"/>
    <cellStyle name="40% - Accent3 3 8 3 2" xfId="8603" xr:uid="{00000000-0005-0000-0000-0000276E0000}"/>
    <cellStyle name="40% - Accent3 3 8 3 2 2" xfId="28054" xr:uid="{00000000-0005-0000-0000-0000286E0000}"/>
    <cellStyle name="40% - Accent3 3 8 3 2 3" xfId="37779" xr:uid="{00000000-0005-0000-0000-0000296E0000}"/>
    <cellStyle name="40% - Accent3 3 8 3 2 4" xfId="47504" xr:uid="{00000000-0005-0000-0000-00002A6E0000}"/>
    <cellStyle name="40% - Accent3 3 8 3 2 5" xfId="18329" xr:uid="{00000000-0005-0000-0000-00002B6E0000}"/>
    <cellStyle name="40% - Accent3 3 8 3 3" xfId="23192" xr:uid="{00000000-0005-0000-0000-00002C6E0000}"/>
    <cellStyle name="40% - Accent3 3 8 3 4" xfId="32917" xr:uid="{00000000-0005-0000-0000-00002D6E0000}"/>
    <cellStyle name="40% - Accent3 3 8 3 5" xfId="42642" xr:uid="{00000000-0005-0000-0000-00002E6E0000}"/>
    <cellStyle name="40% - Accent3 3 8 3 6" xfId="13467" xr:uid="{00000000-0005-0000-0000-00002F6E0000}"/>
    <cellStyle name="40% - Accent3 3 8 4" xfId="5363" xr:uid="{00000000-0005-0000-0000-0000306E0000}"/>
    <cellStyle name="40% - Accent3 3 8 4 2" xfId="24814" xr:uid="{00000000-0005-0000-0000-0000316E0000}"/>
    <cellStyle name="40% - Accent3 3 8 4 3" xfId="34539" xr:uid="{00000000-0005-0000-0000-0000326E0000}"/>
    <cellStyle name="40% - Accent3 3 8 4 4" xfId="44264" xr:uid="{00000000-0005-0000-0000-0000336E0000}"/>
    <cellStyle name="40% - Accent3 3 8 4 5" xfId="15089" xr:uid="{00000000-0005-0000-0000-0000346E0000}"/>
    <cellStyle name="40% - Accent3 3 8 5" xfId="19952" xr:uid="{00000000-0005-0000-0000-0000356E0000}"/>
    <cellStyle name="40% - Accent3 3 8 6" xfId="29677" xr:uid="{00000000-0005-0000-0000-0000366E0000}"/>
    <cellStyle name="40% - Accent3 3 8 7" xfId="39402" xr:uid="{00000000-0005-0000-0000-0000376E0000}"/>
    <cellStyle name="40% - Accent3 3 8 8" xfId="10227" xr:uid="{00000000-0005-0000-0000-0000386E0000}"/>
    <cellStyle name="40% - Accent3 3 9" xfId="1670" xr:uid="{00000000-0005-0000-0000-0000396E0000}"/>
    <cellStyle name="40% - Accent3 3 9 2" xfId="3291" xr:uid="{00000000-0005-0000-0000-00003A6E0000}"/>
    <cellStyle name="40% - Accent3 3 9 2 2" xfId="8153" xr:uid="{00000000-0005-0000-0000-00003B6E0000}"/>
    <cellStyle name="40% - Accent3 3 9 2 2 2" xfId="27604" xr:uid="{00000000-0005-0000-0000-00003C6E0000}"/>
    <cellStyle name="40% - Accent3 3 9 2 2 3" xfId="37329" xr:uid="{00000000-0005-0000-0000-00003D6E0000}"/>
    <cellStyle name="40% - Accent3 3 9 2 2 4" xfId="47054" xr:uid="{00000000-0005-0000-0000-00003E6E0000}"/>
    <cellStyle name="40% - Accent3 3 9 2 2 5" xfId="17879" xr:uid="{00000000-0005-0000-0000-00003F6E0000}"/>
    <cellStyle name="40% - Accent3 3 9 2 3" xfId="22742" xr:uid="{00000000-0005-0000-0000-0000406E0000}"/>
    <cellStyle name="40% - Accent3 3 9 2 4" xfId="32467" xr:uid="{00000000-0005-0000-0000-0000416E0000}"/>
    <cellStyle name="40% - Accent3 3 9 2 5" xfId="42192" xr:uid="{00000000-0005-0000-0000-0000426E0000}"/>
    <cellStyle name="40% - Accent3 3 9 2 6" xfId="13017" xr:uid="{00000000-0005-0000-0000-0000436E0000}"/>
    <cellStyle name="40% - Accent3 3 9 3" xfId="4911" xr:uid="{00000000-0005-0000-0000-0000446E0000}"/>
    <cellStyle name="40% - Accent3 3 9 3 2" xfId="9773" xr:uid="{00000000-0005-0000-0000-0000456E0000}"/>
    <cellStyle name="40% - Accent3 3 9 3 2 2" xfId="29224" xr:uid="{00000000-0005-0000-0000-0000466E0000}"/>
    <cellStyle name="40% - Accent3 3 9 3 2 3" xfId="38949" xr:uid="{00000000-0005-0000-0000-0000476E0000}"/>
    <cellStyle name="40% - Accent3 3 9 3 2 4" xfId="48674" xr:uid="{00000000-0005-0000-0000-0000486E0000}"/>
    <cellStyle name="40% - Accent3 3 9 3 2 5" xfId="19499" xr:uid="{00000000-0005-0000-0000-0000496E0000}"/>
    <cellStyle name="40% - Accent3 3 9 3 3" xfId="24362" xr:uid="{00000000-0005-0000-0000-00004A6E0000}"/>
    <cellStyle name="40% - Accent3 3 9 3 4" xfId="34087" xr:uid="{00000000-0005-0000-0000-00004B6E0000}"/>
    <cellStyle name="40% - Accent3 3 9 3 5" xfId="43812" xr:uid="{00000000-0005-0000-0000-00004C6E0000}"/>
    <cellStyle name="40% - Accent3 3 9 3 6" xfId="14637" xr:uid="{00000000-0005-0000-0000-00004D6E0000}"/>
    <cellStyle name="40% - Accent3 3 9 4" xfId="6533" xr:uid="{00000000-0005-0000-0000-00004E6E0000}"/>
    <cellStyle name="40% - Accent3 3 9 4 2" xfId="25984" xr:uid="{00000000-0005-0000-0000-00004F6E0000}"/>
    <cellStyle name="40% - Accent3 3 9 4 3" xfId="35709" xr:uid="{00000000-0005-0000-0000-0000506E0000}"/>
    <cellStyle name="40% - Accent3 3 9 4 4" xfId="45434" xr:uid="{00000000-0005-0000-0000-0000516E0000}"/>
    <cellStyle name="40% - Accent3 3 9 4 5" xfId="16259" xr:uid="{00000000-0005-0000-0000-0000526E0000}"/>
    <cellStyle name="40% - Accent3 3 9 5" xfId="21122" xr:uid="{00000000-0005-0000-0000-0000536E0000}"/>
    <cellStyle name="40% - Accent3 3 9 6" xfId="30847" xr:uid="{00000000-0005-0000-0000-0000546E0000}"/>
    <cellStyle name="40% - Accent3 3 9 7" xfId="40572" xr:uid="{00000000-0005-0000-0000-0000556E0000}"/>
    <cellStyle name="40% - Accent3 3 9 8" xfId="11397" xr:uid="{00000000-0005-0000-0000-0000566E0000}"/>
    <cellStyle name="40% - Accent3 4" xfId="107" xr:uid="{00000000-0005-0000-0000-0000576E0000}"/>
    <cellStyle name="40% - Accent3 4 10" xfId="1791" xr:uid="{00000000-0005-0000-0000-0000586E0000}"/>
    <cellStyle name="40% - Accent3 4 10 2" xfId="6653" xr:uid="{00000000-0005-0000-0000-0000596E0000}"/>
    <cellStyle name="40% - Accent3 4 10 2 2" xfId="26104" xr:uid="{00000000-0005-0000-0000-00005A6E0000}"/>
    <cellStyle name="40% - Accent3 4 10 2 3" xfId="35829" xr:uid="{00000000-0005-0000-0000-00005B6E0000}"/>
    <cellStyle name="40% - Accent3 4 10 2 4" xfId="45554" xr:uid="{00000000-0005-0000-0000-00005C6E0000}"/>
    <cellStyle name="40% - Accent3 4 10 2 5" xfId="16379" xr:uid="{00000000-0005-0000-0000-00005D6E0000}"/>
    <cellStyle name="40% - Accent3 4 10 3" xfId="21242" xr:uid="{00000000-0005-0000-0000-00005E6E0000}"/>
    <cellStyle name="40% - Accent3 4 10 4" xfId="30967" xr:uid="{00000000-0005-0000-0000-00005F6E0000}"/>
    <cellStyle name="40% - Accent3 4 10 5" xfId="40692" xr:uid="{00000000-0005-0000-0000-0000606E0000}"/>
    <cellStyle name="40% - Accent3 4 10 6" xfId="11517" xr:uid="{00000000-0005-0000-0000-0000616E0000}"/>
    <cellStyle name="40% - Accent3 4 11" xfId="3411" xr:uid="{00000000-0005-0000-0000-0000626E0000}"/>
    <cellStyle name="40% - Accent3 4 11 2" xfId="8273" xr:uid="{00000000-0005-0000-0000-0000636E0000}"/>
    <cellStyle name="40% - Accent3 4 11 2 2" xfId="27724" xr:uid="{00000000-0005-0000-0000-0000646E0000}"/>
    <cellStyle name="40% - Accent3 4 11 2 3" xfId="37449" xr:uid="{00000000-0005-0000-0000-0000656E0000}"/>
    <cellStyle name="40% - Accent3 4 11 2 4" xfId="47174" xr:uid="{00000000-0005-0000-0000-0000666E0000}"/>
    <cellStyle name="40% - Accent3 4 11 2 5" xfId="17999" xr:uid="{00000000-0005-0000-0000-0000676E0000}"/>
    <cellStyle name="40% - Accent3 4 11 3" xfId="22862" xr:uid="{00000000-0005-0000-0000-0000686E0000}"/>
    <cellStyle name="40% - Accent3 4 11 4" xfId="32587" xr:uid="{00000000-0005-0000-0000-0000696E0000}"/>
    <cellStyle name="40% - Accent3 4 11 5" xfId="42312" xr:uid="{00000000-0005-0000-0000-00006A6E0000}"/>
    <cellStyle name="40% - Accent3 4 11 6" xfId="13137" xr:uid="{00000000-0005-0000-0000-00006B6E0000}"/>
    <cellStyle name="40% - Accent3 4 12" xfId="5033" xr:uid="{00000000-0005-0000-0000-00006C6E0000}"/>
    <cellStyle name="40% - Accent3 4 12 2" xfId="24484" xr:uid="{00000000-0005-0000-0000-00006D6E0000}"/>
    <cellStyle name="40% - Accent3 4 12 3" xfId="34209" xr:uid="{00000000-0005-0000-0000-00006E6E0000}"/>
    <cellStyle name="40% - Accent3 4 12 4" xfId="43934" xr:uid="{00000000-0005-0000-0000-00006F6E0000}"/>
    <cellStyle name="40% - Accent3 4 12 5" xfId="14759" xr:uid="{00000000-0005-0000-0000-0000706E0000}"/>
    <cellStyle name="40% - Accent3 4 13" xfId="19622" xr:uid="{00000000-0005-0000-0000-0000716E0000}"/>
    <cellStyle name="40% - Accent3 4 14" xfId="29347" xr:uid="{00000000-0005-0000-0000-0000726E0000}"/>
    <cellStyle name="40% - Accent3 4 15" xfId="39072" xr:uid="{00000000-0005-0000-0000-0000736E0000}"/>
    <cellStyle name="40% - Accent3 4 16" xfId="9897" xr:uid="{00000000-0005-0000-0000-0000746E0000}"/>
    <cellStyle name="40% - Accent3 4 2" xfId="289" xr:uid="{00000000-0005-0000-0000-0000756E0000}"/>
    <cellStyle name="40% - Accent3 4 2 10" xfId="39252" xr:uid="{00000000-0005-0000-0000-0000766E0000}"/>
    <cellStyle name="40% - Accent3 4 2 11" xfId="10077" xr:uid="{00000000-0005-0000-0000-0000776E0000}"/>
    <cellStyle name="40% - Accent3 4 2 2" xfId="1053" xr:uid="{00000000-0005-0000-0000-0000786E0000}"/>
    <cellStyle name="40% - Accent3 4 2 2 2" xfId="2691" xr:uid="{00000000-0005-0000-0000-0000796E0000}"/>
    <cellStyle name="40% - Accent3 4 2 2 2 2" xfId="7553" xr:uid="{00000000-0005-0000-0000-00007A6E0000}"/>
    <cellStyle name="40% - Accent3 4 2 2 2 2 2" xfId="27004" xr:uid="{00000000-0005-0000-0000-00007B6E0000}"/>
    <cellStyle name="40% - Accent3 4 2 2 2 2 3" xfId="36729" xr:uid="{00000000-0005-0000-0000-00007C6E0000}"/>
    <cellStyle name="40% - Accent3 4 2 2 2 2 4" xfId="46454" xr:uid="{00000000-0005-0000-0000-00007D6E0000}"/>
    <cellStyle name="40% - Accent3 4 2 2 2 2 5" xfId="17279" xr:uid="{00000000-0005-0000-0000-00007E6E0000}"/>
    <cellStyle name="40% - Accent3 4 2 2 2 3" xfId="22142" xr:uid="{00000000-0005-0000-0000-00007F6E0000}"/>
    <cellStyle name="40% - Accent3 4 2 2 2 4" xfId="31867" xr:uid="{00000000-0005-0000-0000-0000806E0000}"/>
    <cellStyle name="40% - Accent3 4 2 2 2 5" xfId="41592" xr:uid="{00000000-0005-0000-0000-0000816E0000}"/>
    <cellStyle name="40% - Accent3 4 2 2 2 6" xfId="12417" xr:uid="{00000000-0005-0000-0000-0000826E0000}"/>
    <cellStyle name="40% - Accent3 4 2 2 3" xfId="4311" xr:uid="{00000000-0005-0000-0000-0000836E0000}"/>
    <cellStyle name="40% - Accent3 4 2 2 3 2" xfId="9173" xr:uid="{00000000-0005-0000-0000-0000846E0000}"/>
    <cellStyle name="40% - Accent3 4 2 2 3 2 2" xfId="28624" xr:uid="{00000000-0005-0000-0000-0000856E0000}"/>
    <cellStyle name="40% - Accent3 4 2 2 3 2 3" xfId="38349" xr:uid="{00000000-0005-0000-0000-0000866E0000}"/>
    <cellStyle name="40% - Accent3 4 2 2 3 2 4" xfId="48074" xr:uid="{00000000-0005-0000-0000-0000876E0000}"/>
    <cellStyle name="40% - Accent3 4 2 2 3 2 5" xfId="18899" xr:uid="{00000000-0005-0000-0000-0000886E0000}"/>
    <cellStyle name="40% - Accent3 4 2 2 3 3" xfId="23762" xr:uid="{00000000-0005-0000-0000-0000896E0000}"/>
    <cellStyle name="40% - Accent3 4 2 2 3 4" xfId="33487" xr:uid="{00000000-0005-0000-0000-00008A6E0000}"/>
    <cellStyle name="40% - Accent3 4 2 2 3 5" xfId="43212" xr:uid="{00000000-0005-0000-0000-00008B6E0000}"/>
    <cellStyle name="40% - Accent3 4 2 2 3 6" xfId="14037" xr:uid="{00000000-0005-0000-0000-00008C6E0000}"/>
    <cellStyle name="40% - Accent3 4 2 2 4" xfId="5933" xr:uid="{00000000-0005-0000-0000-00008D6E0000}"/>
    <cellStyle name="40% - Accent3 4 2 2 4 2" xfId="25384" xr:uid="{00000000-0005-0000-0000-00008E6E0000}"/>
    <cellStyle name="40% - Accent3 4 2 2 4 3" xfId="35109" xr:uid="{00000000-0005-0000-0000-00008F6E0000}"/>
    <cellStyle name="40% - Accent3 4 2 2 4 4" xfId="44834" xr:uid="{00000000-0005-0000-0000-0000906E0000}"/>
    <cellStyle name="40% - Accent3 4 2 2 4 5" xfId="15659" xr:uid="{00000000-0005-0000-0000-0000916E0000}"/>
    <cellStyle name="40% - Accent3 4 2 2 5" xfId="20522" xr:uid="{00000000-0005-0000-0000-0000926E0000}"/>
    <cellStyle name="40% - Accent3 4 2 2 6" xfId="30247" xr:uid="{00000000-0005-0000-0000-0000936E0000}"/>
    <cellStyle name="40% - Accent3 4 2 2 7" xfId="39972" xr:uid="{00000000-0005-0000-0000-0000946E0000}"/>
    <cellStyle name="40% - Accent3 4 2 2 8" xfId="10797" xr:uid="{00000000-0005-0000-0000-0000956E0000}"/>
    <cellStyle name="40% - Accent3 4 2 3" xfId="1520" xr:uid="{00000000-0005-0000-0000-0000966E0000}"/>
    <cellStyle name="40% - Accent3 4 2 3 2" xfId="3141" xr:uid="{00000000-0005-0000-0000-0000976E0000}"/>
    <cellStyle name="40% - Accent3 4 2 3 2 2" xfId="8003" xr:uid="{00000000-0005-0000-0000-0000986E0000}"/>
    <cellStyle name="40% - Accent3 4 2 3 2 2 2" xfId="27454" xr:uid="{00000000-0005-0000-0000-0000996E0000}"/>
    <cellStyle name="40% - Accent3 4 2 3 2 2 3" xfId="37179" xr:uid="{00000000-0005-0000-0000-00009A6E0000}"/>
    <cellStyle name="40% - Accent3 4 2 3 2 2 4" xfId="46904" xr:uid="{00000000-0005-0000-0000-00009B6E0000}"/>
    <cellStyle name="40% - Accent3 4 2 3 2 2 5" xfId="17729" xr:uid="{00000000-0005-0000-0000-00009C6E0000}"/>
    <cellStyle name="40% - Accent3 4 2 3 2 3" xfId="22592" xr:uid="{00000000-0005-0000-0000-00009D6E0000}"/>
    <cellStyle name="40% - Accent3 4 2 3 2 4" xfId="32317" xr:uid="{00000000-0005-0000-0000-00009E6E0000}"/>
    <cellStyle name="40% - Accent3 4 2 3 2 5" xfId="42042" xr:uid="{00000000-0005-0000-0000-00009F6E0000}"/>
    <cellStyle name="40% - Accent3 4 2 3 2 6" xfId="12867" xr:uid="{00000000-0005-0000-0000-0000A06E0000}"/>
    <cellStyle name="40% - Accent3 4 2 3 3" xfId="4761" xr:uid="{00000000-0005-0000-0000-0000A16E0000}"/>
    <cellStyle name="40% - Accent3 4 2 3 3 2" xfId="9623" xr:uid="{00000000-0005-0000-0000-0000A26E0000}"/>
    <cellStyle name="40% - Accent3 4 2 3 3 2 2" xfId="29074" xr:uid="{00000000-0005-0000-0000-0000A36E0000}"/>
    <cellStyle name="40% - Accent3 4 2 3 3 2 3" xfId="38799" xr:uid="{00000000-0005-0000-0000-0000A46E0000}"/>
    <cellStyle name="40% - Accent3 4 2 3 3 2 4" xfId="48524" xr:uid="{00000000-0005-0000-0000-0000A56E0000}"/>
    <cellStyle name="40% - Accent3 4 2 3 3 2 5" xfId="19349" xr:uid="{00000000-0005-0000-0000-0000A66E0000}"/>
    <cellStyle name="40% - Accent3 4 2 3 3 3" xfId="24212" xr:uid="{00000000-0005-0000-0000-0000A76E0000}"/>
    <cellStyle name="40% - Accent3 4 2 3 3 4" xfId="33937" xr:uid="{00000000-0005-0000-0000-0000A86E0000}"/>
    <cellStyle name="40% - Accent3 4 2 3 3 5" xfId="43662" xr:uid="{00000000-0005-0000-0000-0000A96E0000}"/>
    <cellStyle name="40% - Accent3 4 2 3 3 6" xfId="14487" xr:uid="{00000000-0005-0000-0000-0000AA6E0000}"/>
    <cellStyle name="40% - Accent3 4 2 3 4" xfId="6383" xr:uid="{00000000-0005-0000-0000-0000AB6E0000}"/>
    <cellStyle name="40% - Accent3 4 2 3 4 2" xfId="25834" xr:uid="{00000000-0005-0000-0000-0000AC6E0000}"/>
    <cellStyle name="40% - Accent3 4 2 3 4 3" xfId="35559" xr:uid="{00000000-0005-0000-0000-0000AD6E0000}"/>
    <cellStyle name="40% - Accent3 4 2 3 4 4" xfId="45284" xr:uid="{00000000-0005-0000-0000-0000AE6E0000}"/>
    <cellStyle name="40% - Accent3 4 2 3 4 5" xfId="16109" xr:uid="{00000000-0005-0000-0000-0000AF6E0000}"/>
    <cellStyle name="40% - Accent3 4 2 3 5" xfId="20972" xr:uid="{00000000-0005-0000-0000-0000B06E0000}"/>
    <cellStyle name="40% - Accent3 4 2 3 6" xfId="30697" xr:uid="{00000000-0005-0000-0000-0000B16E0000}"/>
    <cellStyle name="40% - Accent3 4 2 3 7" xfId="40422" xr:uid="{00000000-0005-0000-0000-0000B26E0000}"/>
    <cellStyle name="40% - Accent3 4 2 3 8" xfId="11247" xr:uid="{00000000-0005-0000-0000-0000B36E0000}"/>
    <cellStyle name="40% - Accent3 4 2 4" xfId="691" xr:uid="{00000000-0005-0000-0000-0000B46E0000}"/>
    <cellStyle name="40% - Accent3 4 2 4 2" xfId="2331" xr:uid="{00000000-0005-0000-0000-0000B56E0000}"/>
    <cellStyle name="40% - Accent3 4 2 4 2 2" xfId="7193" xr:uid="{00000000-0005-0000-0000-0000B66E0000}"/>
    <cellStyle name="40% - Accent3 4 2 4 2 2 2" xfId="26644" xr:uid="{00000000-0005-0000-0000-0000B76E0000}"/>
    <cellStyle name="40% - Accent3 4 2 4 2 2 3" xfId="36369" xr:uid="{00000000-0005-0000-0000-0000B86E0000}"/>
    <cellStyle name="40% - Accent3 4 2 4 2 2 4" xfId="46094" xr:uid="{00000000-0005-0000-0000-0000B96E0000}"/>
    <cellStyle name="40% - Accent3 4 2 4 2 2 5" xfId="16919" xr:uid="{00000000-0005-0000-0000-0000BA6E0000}"/>
    <cellStyle name="40% - Accent3 4 2 4 2 3" xfId="21782" xr:uid="{00000000-0005-0000-0000-0000BB6E0000}"/>
    <cellStyle name="40% - Accent3 4 2 4 2 4" xfId="31507" xr:uid="{00000000-0005-0000-0000-0000BC6E0000}"/>
    <cellStyle name="40% - Accent3 4 2 4 2 5" xfId="41232" xr:uid="{00000000-0005-0000-0000-0000BD6E0000}"/>
    <cellStyle name="40% - Accent3 4 2 4 2 6" xfId="12057" xr:uid="{00000000-0005-0000-0000-0000BE6E0000}"/>
    <cellStyle name="40% - Accent3 4 2 4 3" xfId="3951" xr:uid="{00000000-0005-0000-0000-0000BF6E0000}"/>
    <cellStyle name="40% - Accent3 4 2 4 3 2" xfId="8813" xr:uid="{00000000-0005-0000-0000-0000C06E0000}"/>
    <cellStyle name="40% - Accent3 4 2 4 3 2 2" xfId="28264" xr:uid="{00000000-0005-0000-0000-0000C16E0000}"/>
    <cellStyle name="40% - Accent3 4 2 4 3 2 3" xfId="37989" xr:uid="{00000000-0005-0000-0000-0000C26E0000}"/>
    <cellStyle name="40% - Accent3 4 2 4 3 2 4" xfId="47714" xr:uid="{00000000-0005-0000-0000-0000C36E0000}"/>
    <cellStyle name="40% - Accent3 4 2 4 3 2 5" xfId="18539" xr:uid="{00000000-0005-0000-0000-0000C46E0000}"/>
    <cellStyle name="40% - Accent3 4 2 4 3 3" xfId="23402" xr:uid="{00000000-0005-0000-0000-0000C56E0000}"/>
    <cellStyle name="40% - Accent3 4 2 4 3 4" xfId="33127" xr:uid="{00000000-0005-0000-0000-0000C66E0000}"/>
    <cellStyle name="40% - Accent3 4 2 4 3 5" xfId="42852" xr:uid="{00000000-0005-0000-0000-0000C76E0000}"/>
    <cellStyle name="40% - Accent3 4 2 4 3 6" xfId="13677" xr:uid="{00000000-0005-0000-0000-0000C86E0000}"/>
    <cellStyle name="40% - Accent3 4 2 4 4" xfId="5573" xr:uid="{00000000-0005-0000-0000-0000C96E0000}"/>
    <cellStyle name="40% - Accent3 4 2 4 4 2" xfId="25024" xr:uid="{00000000-0005-0000-0000-0000CA6E0000}"/>
    <cellStyle name="40% - Accent3 4 2 4 4 3" xfId="34749" xr:uid="{00000000-0005-0000-0000-0000CB6E0000}"/>
    <cellStyle name="40% - Accent3 4 2 4 4 4" xfId="44474" xr:uid="{00000000-0005-0000-0000-0000CC6E0000}"/>
    <cellStyle name="40% - Accent3 4 2 4 4 5" xfId="15299" xr:uid="{00000000-0005-0000-0000-0000CD6E0000}"/>
    <cellStyle name="40% - Accent3 4 2 4 5" xfId="20162" xr:uid="{00000000-0005-0000-0000-0000CE6E0000}"/>
    <cellStyle name="40% - Accent3 4 2 4 6" xfId="29887" xr:uid="{00000000-0005-0000-0000-0000CF6E0000}"/>
    <cellStyle name="40% - Accent3 4 2 4 7" xfId="39612" xr:uid="{00000000-0005-0000-0000-0000D06E0000}"/>
    <cellStyle name="40% - Accent3 4 2 4 8" xfId="10437" xr:uid="{00000000-0005-0000-0000-0000D16E0000}"/>
    <cellStyle name="40% - Accent3 4 2 5" xfId="1971" xr:uid="{00000000-0005-0000-0000-0000D26E0000}"/>
    <cellStyle name="40% - Accent3 4 2 5 2" xfId="6833" xr:uid="{00000000-0005-0000-0000-0000D36E0000}"/>
    <cellStyle name="40% - Accent3 4 2 5 2 2" xfId="26284" xr:uid="{00000000-0005-0000-0000-0000D46E0000}"/>
    <cellStyle name="40% - Accent3 4 2 5 2 3" xfId="36009" xr:uid="{00000000-0005-0000-0000-0000D56E0000}"/>
    <cellStyle name="40% - Accent3 4 2 5 2 4" xfId="45734" xr:uid="{00000000-0005-0000-0000-0000D66E0000}"/>
    <cellStyle name="40% - Accent3 4 2 5 2 5" xfId="16559" xr:uid="{00000000-0005-0000-0000-0000D76E0000}"/>
    <cellStyle name="40% - Accent3 4 2 5 3" xfId="21422" xr:uid="{00000000-0005-0000-0000-0000D86E0000}"/>
    <cellStyle name="40% - Accent3 4 2 5 4" xfId="31147" xr:uid="{00000000-0005-0000-0000-0000D96E0000}"/>
    <cellStyle name="40% - Accent3 4 2 5 5" xfId="40872" xr:uid="{00000000-0005-0000-0000-0000DA6E0000}"/>
    <cellStyle name="40% - Accent3 4 2 5 6" xfId="11697" xr:uid="{00000000-0005-0000-0000-0000DB6E0000}"/>
    <cellStyle name="40% - Accent3 4 2 6" xfId="3591" xr:uid="{00000000-0005-0000-0000-0000DC6E0000}"/>
    <cellStyle name="40% - Accent3 4 2 6 2" xfId="8453" xr:uid="{00000000-0005-0000-0000-0000DD6E0000}"/>
    <cellStyle name="40% - Accent3 4 2 6 2 2" xfId="27904" xr:uid="{00000000-0005-0000-0000-0000DE6E0000}"/>
    <cellStyle name="40% - Accent3 4 2 6 2 3" xfId="37629" xr:uid="{00000000-0005-0000-0000-0000DF6E0000}"/>
    <cellStyle name="40% - Accent3 4 2 6 2 4" xfId="47354" xr:uid="{00000000-0005-0000-0000-0000E06E0000}"/>
    <cellStyle name="40% - Accent3 4 2 6 2 5" xfId="18179" xr:uid="{00000000-0005-0000-0000-0000E16E0000}"/>
    <cellStyle name="40% - Accent3 4 2 6 3" xfId="23042" xr:uid="{00000000-0005-0000-0000-0000E26E0000}"/>
    <cellStyle name="40% - Accent3 4 2 6 4" xfId="32767" xr:uid="{00000000-0005-0000-0000-0000E36E0000}"/>
    <cellStyle name="40% - Accent3 4 2 6 5" xfId="42492" xr:uid="{00000000-0005-0000-0000-0000E46E0000}"/>
    <cellStyle name="40% - Accent3 4 2 6 6" xfId="13317" xr:uid="{00000000-0005-0000-0000-0000E56E0000}"/>
    <cellStyle name="40% - Accent3 4 2 7" xfId="5213" xr:uid="{00000000-0005-0000-0000-0000E66E0000}"/>
    <cellStyle name="40% - Accent3 4 2 7 2" xfId="24664" xr:uid="{00000000-0005-0000-0000-0000E76E0000}"/>
    <cellStyle name="40% - Accent3 4 2 7 3" xfId="34389" xr:uid="{00000000-0005-0000-0000-0000E86E0000}"/>
    <cellStyle name="40% - Accent3 4 2 7 4" xfId="44114" xr:uid="{00000000-0005-0000-0000-0000E96E0000}"/>
    <cellStyle name="40% - Accent3 4 2 7 5" xfId="14939" xr:uid="{00000000-0005-0000-0000-0000EA6E0000}"/>
    <cellStyle name="40% - Accent3 4 2 8" xfId="19802" xr:uid="{00000000-0005-0000-0000-0000EB6E0000}"/>
    <cellStyle name="40% - Accent3 4 2 9" xfId="29527" xr:uid="{00000000-0005-0000-0000-0000EC6E0000}"/>
    <cellStyle name="40% - Accent3 4 3" xfId="380" xr:uid="{00000000-0005-0000-0000-0000ED6E0000}"/>
    <cellStyle name="40% - Accent3 4 3 10" xfId="39342" xr:uid="{00000000-0005-0000-0000-0000EE6E0000}"/>
    <cellStyle name="40% - Accent3 4 3 11" xfId="10167" xr:uid="{00000000-0005-0000-0000-0000EF6E0000}"/>
    <cellStyle name="40% - Accent3 4 3 2" xfId="1143" xr:uid="{00000000-0005-0000-0000-0000F06E0000}"/>
    <cellStyle name="40% - Accent3 4 3 2 2" xfId="2781" xr:uid="{00000000-0005-0000-0000-0000F16E0000}"/>
    <cellStyle name="40% - Accent3 4 3 2 2 2" xfId="7643" xr:uid="{00000000-0005-0000-0000-0000F26E0000}"/>
    <cellStyle name="40% - Accent3 4 3 2 2 2 2" xfId="27094" xr:uid="{00000000-0005-0000-0000-0000F36E0000}"/>
    <cellStyle name="40% - Accent3 4 3 2 2 2 3" xfId="36819" xr:uid="{00000000-0005-0000-0000-0000F46E0000}"/>
    <cellStyle name="40% - Accent3 4 3 2 2 2 4" xfId="46544" xr:uid="{00000000-0005-0000-0000-0000F56E0000}"/>
    <cellStyle name="40% - Accent3 4 3 2 2 2 5" xfId="17369" xr:uid="{00000000-0005-0000-0000-0000F66E0000}"/>
    <cellStyle name="40% - Accent3 4 3 2 2 3" xfId="22232" xr:uid="{00000000-0005-0000-0000-0000F76E0000}"/>
    <cellStyle name="40% - Accent3 4 3 2 2 4" xfId="31957" xr:uid="{00000000-0005-0000-0000-0000F86E0000}"/>
    <cellStyle name="40% - Accent3 4 3 2 2 5" xfId="41682" xr:uid="{00000000-0005-0000-0000-0000F96E0000}"/>
    <cellStyle name="40% - Accent3 4 3 2 2 6" xfId="12507" xr:uid="{00000000-0005-0000-0000-0000FA6E0000}"/>
    <cellStyle name="40% - Accent3 4 3 2 3" xfId="4401" xr:uid="{00000000-0005-0000-0000-0000FB6E0000}"/>
    <cellStyle name="40% - Accent3 4 3 2 3 2" xfId="9263" xr:uid="{00000000-0005-0000-0000-0000FC6E0000}"/>
    <cellStyle name="40% - Accent3 4 3 2 3 2 2" xfId="28714" xr:uid="{00000000-0005-0000-0000-0000FD6E0000}"/>
    <cellStyle name="40% - Accent3 4 3 2 3 2 3" xfId="38439" xr:uid="{00000000-0005-0000-0000-0000FE6E0000}"/>
    <cellStyle name="40% - Accent3 4 3 2 3 2 4" xfId="48164" xr:uid="{00000000-0005-0000-0000-0000FF6E0000}"/>
    <cellStyle name="40% - Accent3 4 3 2 3 2 5" xfId="18989" xr:uid="{00000000-0005-0000-0000-0000006F0000}"/>
    <cellStyle name="40% - Accent3 4 3 2 3 3" xfId="23852" xr:uid="{00000000-0005-0000-0000-0000016F0000}"/>
    <cellStyle name="40% - Accent3 4 3 2 3 4" xfId="33577" xr:uid="{00000000-0005-0000-0000-0000026F0000}"/>
    <cellStyle name="40% - Accent3 4 3 2 3 5" xfId="43302" xr:uid="{00000000-0005-0000-0000-0000036F0000}"/>
    <cellStyle name="40% - Accent3 4 3 2 3 6" xfId="14127" xr:uid="{00000000-0005-0000-0000-0000046F0000}"/>
    <cellStyle name="40% - Accent3 4 3 2 4" xfId="6023" xr:uid="{00000000-0005-0000-0000-0000056F0000}"/>
    <cellStyle name="40% - Accent3 4 3 2 4 2" xfId="25474" xr:uid="{00000000-0005-0000-0000-0000066F0000}"/>
    <cellStyle name="40% - Accent3 4 3 2 4 3" xfId="35199" xr:uid="{00000000-0005-0000-0000-0000076F0000}"/>
    <cellStyle name="40% - Accent3 4 3 2 4 4" xfId="44924" xr:uid="{00000000-0005-0000-0000-0000086F0000}"/>
    <cellStyle name="40% - Accent3 4 3 2 4 5" xfId="15749" xr:uid="{00000000-0005-0000-0000-0000096F0000}"/>
    <cellStyle name="40% - Accent3 4 3 2 5" xfId="20612" xr:uid="{00000000-0005-0000-0000-00000A6F0000}"/>
    <cellStyle name="40% - Accent3 4 3 2 6" xfId="30337" xr:uid="{00000000-0005-0000-0000-00000B6F0000}"/>
    <cellStyle name="40% - Accent3 4 3 2 7" xfId="40062" xr:uid="{00000000-0005-0000-0000-00000C6F0000}"/>
    <cellStyle name="40% - Accent3 4 3 2 8" xfId="10887" xr:uid="{00000000-0005-0000-0000-00000D6F0000}"/>
    <cellStyle name="40% - Accent3 4 3 3" xfId="1610" xr:uid="{00000000-0005-0000-0000-00000E6F0000}"/>
    <cellStyle name="40% - Accent3 4 3 3 2" xfId="3231" xr:uid="{00000000-0005-0000-0000-00000F6F0000}"/>
    <cellStyle name="40% - Accent3 4 3 3 2 2" xfId="8093" xr:uid="{00000000-0005-0000-0000-0000106F0000}"/>
    <cellStyle name="40% - Accent3 4 3 3 2 2 2" xfId="27544" xr:uid="{00000000-0005-0000-0000-0000116F0000}"/>
    <cellStyle name="40% - Accent3 4 3 3 2 2 3" xfId="37269" xr:uid="{00000000-0005-0000-0000-0000126F0000}"/>
    <cellStyle name="40% - Accent3 4 3 3 2 2 4" xfId="46994" xr:uid="{00000000-0005-0000-0000-0000136F0000}"/>
    <cellStyle name="40% - Accent3 4 3 3 2 2 5" xfId="17819" xr:uid="{00000000-0005-0000-0000-0000146F0000}"/>
    <cellStyle name="40% - Accent3 4 3 3 2 3" xfId="22682" xr:uid="{00000000-0005-0000-0000-0000156F0000}"/>
    <cellStyle name="40% - Accent3 4 3 3 2 4" xfId="32407" xr:uid="{00000000-0005-0000-0000-0000166F0000}"/>
    <cellStyle name="40% - Accent3 4 3 3 2 5" xfId="42132" xr:uid="{00000000-0005-0000-0000-0000176F0000}"/>
    <cellStyle name="40% - Accent3 4 3 3 2 6" xfId="12957" xr:uid="{00000000-0005-0000-0000-0000186F0000}"/>
    <cellStyle name="40% - Accent3 4 3 3 3" xfId="4851" xr:uid="{00000000-0005-0000-0000-0000196F0000}"/>
    <cellStyle name="40% - Accent3 4 3 3 3 2" xfId="9713" xr:uid="{00000000-0005-0000-0000-00001A6F0000}"/>
    <cellStyle name="40% - Accent3 4 3 3 3 2 2" xfId="29164" xr:uid="{00000000-0005-0000-0000-00001B6F0000}"/>
    <cellStyle name="40% - Accent3 4 3 3 3 2 3" xfId="38889" xr:uid="{00000000-0005-0000-0000-00001C6F0000}"/>
    <cellStyle name="40% - Accent3 4 3 3 3 2 4" xfId="48614" xr:uid="{00000000-0005-0000-0000-00001D6F0000}"/>
    <cellStyle name="40% - Accent3 4 3 3 3 2 5" xfId="19439" xr:uid="{00000000-0005-0000-0000-00001E6F0000}"/>
    <cellStyle name="40% - Accent3 4 3 3 3 3" xfId="24302" xr:uid="{00000000-0005-0000-0000-00001F6F0000}"/>
    <cellStyle name="40% - Accent3 4 3 3 3 4" xfId="34027" xr:uid="{00000000-0005-0000-0000-0000206F0000}"/>
    <cellStyle name="40% - Accent3 4 3 3 3 5" xfId="43752" xr:uid="{00000000-0005-0000-0000-0000216F0000}"/>
    <cellStyle name="40% - Accent3 4 3 3 3 6" xfId="14577" xr:uid="{00000000-0005-0000-0000-0000226F0000}"/>
    <cellStyle name="40% - Accent3 4 3 3 4" xfId="6473" xr:uid="{00000000-0005-0000-0000-0000236F0000}"/>
    <cellStyle name="40% - Accent3 4 3 3 4 2" xfId="25924" xr:uid="{00000000-0005-0000-0000-0000246F0000}"/>
    <cellStyle name="40% - Accent3 4 3 3 4 3" xfId="35649" xr:uid="{00000000-0005-0000-0000-0000256F0000}"/>
    <cellStyle name="40% - Accent3 4 3 3 4 4" xfId="45374" xr:uid="{00000000-0005-0000-0000-0000266F0000}"/>
    <cellStyle name="40% - Accent3 4 3 3 4 5" xfId="16199" xr:uid="{00000000-0005-0000-0000-0000276F0000}"/>
    <cellStyle name="40% - Accent3 4 3 3 5" xfId="21062" xr:uid="{00000000-0005-0000-0000-0000286F0000}"/>
    <cellStyle name="40% - Accent3 4 3 3 6" xfId="30787" xr:uid="{00000000-0005-0000-0000-0000296F0000}"/>
    <cellStyle name="40% - Accent3 4 3 3 7" xfId="40512" xr:uid="{00000000-0005-0000-0000-00002A6F0000}"/>
    <cellStyle name="40% - Accent3 4 3 3 8" xfId="11337" xr:uid="{00000000-0005-0000-0000-00002B6F0000}"/>
    <cellStyle name="40% - Accent3 4 3 4" xfId="781" xr:uid="{00000000-0005-0000-0000-00002C6F0000}"/>
    <cellStyle name="40% - Accent3 4 3 4 2" xfId="2421" xr:uid="{00000000-0005-0000-0000-00002D6F0000}"/>
    <cellStyle name="40% - Accent3 4 3 4 2 2" xfId="7283" xr:uid="{00000000-0005-0000-0000-00002E6F0000}"/>
    <cellStyle name="40% - Accent3 4 3 4 2 2 2" xfId="26734" xr:uid="{00000000-0005-0000-0000-00002F6F0000}"/>
    <cellStyle name="40% - Accent3 4 3 4 2 2 3" xfId="36459" xr:uid="{00000000-0005-0000-0000-0000306F0000}"/>
    <cellStyle name="40% - Accent3 4 3 4 2 2 4" xfId="46184" xr:uid="{00000000-0005-0000-0000-0000316F0000}"/>
    <cellStyle name="40% - Accent3 4 3 4 2 2 5" xfId="17009" xr:uid="{00000000-0005-0000-0000-0000326F0000}"/>
    <cellStyle name="40% - Accent3 4 3 4 2 3" xfId="21872" xr:uid="{00000000-0005-0000-0000-0000336F0000}"/>
    <cellStyle name="40% - Accent3 4 3 4 2 4" xfId="31597" xr:uid="{00000000-0005-0000-0000-0000346F0000}"/>
    <cellStyle name="40% - Accent3 4 3 4 2 5" xfId="41322" xr:uid="{00000000-0005-0000-0000-0000356F0000}"/>
    <cellStyle name="40% - Accent3 4 3 4 2 6" xfId="12147" xr:uid="{00000000-0005-0000-0000-0000366F0000}"/>
    <cellStyle name="40% - Accent3 4 3 4 3" xfId="4041" xr:uid="{00000000-0005-0000-0000-0000376F0000}"/>
    <cellStyle name="40% - Accent3 4 3 4 3 2" xfId="8903" xr:uid="{00000000-0005-0000-0000-0000386F0000}"/>
    <cellStyle name="40% - Accent3 4 3 4 3 2 2" xfId="28354" xr:uid="{00000000-0005-0000-0000-0000396F0000}"/>
    <cellStyle name="40% - Accent3 4 3 4 3 2 3" xfId="38079" xr:uid="{00000000-0005-0000-0000-00003A6F0000}"/>
    <cellStyle name="40% - Accent3 4 3 4 3 2 4" xfId="47804" xr:uid="{00000000-0005-0000-0000-00003B6F0000}"/>
    <cellStyle name="40% - Accent3 4 3 4 3 2 5" xfId="18629" xr:uid="{00000000-0005-0000-0000-00003C6F0000}"/>
    <cellStyle name="40% - Accent3 4 3 4 3 3" xfId="23492" xr:uid="{00000000-0005-0000-0000-00003D6F0000}"/>
    <cellStyle name="40% - Accent3 4 3 4 3 4" xfId="33217" xr:uid="{00000000-0005-0000-0000-00003E6F0000}"/>
    <cellStyle name="40% - Accent3 4 3 4 3 5" xfId="42942" xr:uid="{00000000-0005-0000-0000-00003F6F0000}"/>
    <cellStyle name="40% - Accent3 4 3 4 3 6" xfId="13767" xr:uid="{00000000-0005-0000-0000-0000406F0000}"/>
    <cellStyle name="40% - Accent3 4 3 4 4" xfId="5663" xr:uid="{00000000-0005-0000-0000-0000416F0000}"/>
    <cellStyle name="40% - Accent3 4 3 4 4 2" xfId="25114" xr:uid="{00000000-0005-0000-0000-0000426F0000}"/>
    <cellStyle name="40% - Accent3 4 3 4 4 3" xfId="34839" xr:uid="{00000000-0005-0000-0000-0000436F0000}"/>
    <cellStyle name="40% - Accent3 4 3 4 4 4" xfId="44564" xr:uid="{00000000-0005-0000-0000-0000446F0000}"/>
    <cellStyle name="40% - Accent3 4 3 4 4 5" xfId="15389" xr:uid="{00000000-0005-0000-0000-0000456F0000}"/>
    <cellStyle name="40% - Accent3 4 3 4 5" xfId="20252" xr:uid="{00000000-0005-0000-0000-0000466F0000}"/>
    <cellStyle name="40% - Accent3 4 3 4 6" xfId="29977" xr:uid="{00000000-0005-0000-0000-0000476F0000}"/>
    <cellStyle name="40% - Accent3 4 3 4 7" xfId="39702" xr:uid="{00000000-0005-0000-0000-0000486F0000}"/>
    <cellStyle name="40% - Accent3 4 3 4 8" xfId="10527" xr:uid="{00000000-0005-0000-0000-0000496F0000}"/>
    <cellStyle name="40% - Accent3 4 3 5" xfId="2061" xr:uid="{00000000-0005-0000-0000-00004A6F0000}"/>
    <cellStyle name="40% - Accent3 4 3 5 2" xfId="6923" xr:uid="{00000000-0005-0000-0000-00004B6F0000}"/>
    <cellStyle name="40% - Accent3 4 3 5 2 2" xfId="26374" xr:uid="{00000000-0005-0000-0000-00004C6F0000}"/>
    <cellStyle name="40% - Accent3 4 3 5 2 3" xfId="36099" xr:uid="{00000000-0005-0000-0000-00004D6F0000}"/>
    <cellStyle name="40% - Accent3 4 3 5 2 4" xfId="45824" xr:uid="{00000000-0005-0000-0000-00004E6F0000}"/>
    <cellStyle name="40% - Accent3 4 3 5 2 5" xfId="16649" xr:uid="{00000000-0005-0000-0000-00004F6F0000}"/>
    <cellStyle name="40% - Accent3 4 3 5 3" xfId="21512" xr:uid="{00000000-0005-0000-0000-0000506F0000}"/>
    <cellStyle name="40% - Accent3 4 3 5 4" xfId="31237" xr:uid="{00000000-0005-0000-0000-0000516F0000}"/>
    <cellStyle name="40% - Accent3 4 3 5 5" xfId="40962" xr:uid="{00000000-0005-0000-0000-0000526F0000}"/>
    <cellStyle name="40% - Accent3 4 3 5 6" xfId="11787" xr:uid="{00000000-0005-0000-0000-0000536F0000}"/>
    <cellStyle name="40% - Accent3 4 3 6" xfId="3681" xr:uid="{00000000-0005-0000-0000-0000546F0000}"/>
    <cellStyle name="40% - Accent3 4 3 6 2" xfId="8543" xr:uid="{00000000-0005-0000-0000-0000556F0000}"/>
    <cellStyle name="40% - Accent3 4 3 6 2 2" xfId="27994" xr:uid="{00000000-0005-0000-0000-0000566F0000}"/>
    <cellStyle name="40% - Accent3 4 3 6 2 3" xfId="37719" xr:uid="{00000000-0005-0000-0000-0000576F0000}"/>
    <cellStyle name="40% - Accent3 4 3 6 2 4" xfId="47444" xr:uid="{00000000-0005-0000-0000-0000586F0000}"/>
    <cellStyle name="40% - Accent3 4 3 6 2 5" xfId="18269" xr:uid="{00000000-0005-0000-0000-0000596F0000}"/>
    <cellStyle name="40% - Accent3 4 3 6 3" xfId="23132" xr:uid="{00000000-0005-0000-0000-00005A6F0000}"/>
    <cellStyle name="40% - Accent3 4 3 6 4" xfId="32857" xr:uid="{00000000-0005-0000-0000-00005B6F0000}"/>
    <cellStyle name="40% - Accent3 4 3 6 5" xfId="42582" xr:uid="{00000000-0005-0000-0000-00005C6F0000}"/>
    <cellStyle name="40% - Accent3 4 3 6 6" xfId="13407" xr:uid="{00000000-0005-0000-0000-00005D6F0000}"/>
    <cellStyle name="40% - Accent3 4 3 7" xfId="5303" xr:uid="{00000000-0005-0000-0000-00005E6F0000}"/>
    <cellStyle name="40% - Accent3 4 3 7 2" xfId="24754" xr:uid="{00000000-0005-0000-0000-00005F6F0000}"/>
    <cellStyle name="40% - Accent3 4 3 7 3" xfId="34479" xr:uid="{00000000-0005-0000-0000-0000606F0000}"/>
    <cellStyle name="40% - Accent3 4 3 7 4" xfId="44204" xr:uid="{00000000-0005-0000-0000-0000616F0000}"/>
    <cellStyle name="40% - Accent3 4 3 7 5" xfId="15029" xr:uid="{00000000-0005-0000-0000-0000626F0000}"/>
    <cellStyle name="40% - Accent3 4 3 8" xfId="19892" xr:uid="{00000000-0005-0000-0000-0000636F0000}"/>
    <cellStyle name="40% - Accent3 4 3 9" xfId="29617" xr:uid="{00000000-0005-0000-0000-0000646F0000}"/>
    <cellStyle name="40% - Accent3 4 4" xfId="198" xr:uid="{00000000-0005-0000-0000-0000656F0000}"/>
    <cellStyle name="40% - Accent3 4 4 10" xfId="39162" xr:uid="{00000000-0005-0000-0000-0000666F0000}"/>
    <cellStyle name="40% - Accent3 4 4 11" xfId="9987" xr:uid="{00000000-0005-0000-0000-0000676F0000}"/>
    <cellStyle name="40% - Accent3 4 4 2" xfId="962" xr:uid="{00000000-0005-0000-0000-0000686F0000}"/>
    <cellStyle name="40% - Accent3 4 4 2 2" xfId="2601" xr:uid="{00000000-0005-0000-0000-0000696F0000}"/>
    <cellStyle name="40% - Accent3 4 4 2 2 2" xfId="7463" xr:uid="{00000000-0005-0000-0000-00006A6F0000}"/>
    <cellStyle name="40% - Accent3 4 4 2 2 2 2" xfId="26914" xr:uid="{00000000-0005-0000-0000-00006B6F0000}"/>
    <cellStyle name="40% - Accent3 4 4 2 2 2 3" xfId="36639" xr:uid="{00000000-0005-0000-0000-00006C6F0000}"/>
    <cellStyle name="40% - Accent3 4 4 2 2 2 4" xfId="46364" xr:uid="{00000000-0005-0000-0000-00006D6F0000}"/>
    <cellStyle name="40% - Accent3 4 4 2 2 2 5" xfId="17189" xr:uid="{00000000-0005-0000-0000-00006E6F0000}"/>
    <cellStyle name="40% - Accent3 4 4 2 2 3" xfId="22052" xr:uid="{00000000-0005-0000-0000-00006F6F0000}"/>
    <cellStyle name="40% - Accent3 4 4 2 2 4" xfId="31777" xr:uid="{00000000-0005-0000-0000-0000706F0000}"/>
    <cellStyle name="40% - Accent3 4 4 2 2 5" xfId="41502" xr:uid="{00000000-0005-0000-0000-0000716F0000}"/>
    <cellStyle name="40% - Accent3 4 4 2 2 6" xfId="12327" xr:uid="{00000000-0005-0000-0000-0000726F0000}"/>
    <cellStyle name="40% - Accent3 4 4 2 3" xfId="4221" xr:uid="{00000000-0005-0000-0000-0000736F0000}"/>
    <cellStyle name="40% - Accent3 4 4 2 3 2" xfId="9083" xr:uid="{00000000-0005-0000-0000-0000746F0000}"/>
    <cellStyle name="40% - Accent3 4 4 2 3 2 2" xfId="28534" xr:uid="{00000000-0005-0000-0000-0000756F0000}"/>
    <cellStyle name="40% - Accent3 4 4 2 3 2 3" xfId="38259" xr:uid="{00000000-0005-0000-0000-0000766F0000}"/>
    <cellStyle name="40% - Accent3 4 4 2 3 2 4" xfId="47984" xr:uid="{00000000-0005-0000-0000-0000776F0000}"/>
    <cellStyle name="40% - Accent3 4 4 2 3 2 5" xfId="18809" xr:uid="{00000000-0005-0000-0000-0000786F0000}"/>
    <cellStyle name="40% - Accent3 4 4 2 3 3" xfId="23672" xr:uid="{00000000-0005-0000-0000-0000796F0000}"/>
    <cellStyle name="40% - Accent3 4 4 2 3 4" xfId="33397" xr:uid="{00000000-0005-0000-0000-00007A6F0000}"/>
    <cellStyle name="40% - Accent3 4 4 2 3 5" xfId="43122" xr:uid="{00000000-0005-0000-0000-00007B6F0000}"/>
    <cellStyle name="40% - Accent3 4 4 2 3 6" xfId="13947" xr:uid="{00000000-0005-0000-0000-00007C6F0000}"/>
    <cellStyle name="40% - Accent3 4 4 2 4" xfId="5843" xr:uid="{00000000-0005-0000-0000-00007D6F0000}"/>
    <cellStyle name="40% - Accent3 4 4 2 4 2" xfId="25294" xr:uid="{00000000-0005-0000-0000-00007E6F0000}"/>
    <cellStyle name="40% - Accent3 4 4 2 4 3" xfId="35019" xr:uid="{00000000-0005-0000-0000-00007F6F0000}"/>
    <cellStyle name="40% - Accent3 4 4 2 4 4" xfId="44744" xr:uid="{00000000-0005-0000-0000-0000806F0000}"/>
    <cellStyle name="40% - Accent3 4 4 2 4 5" xfId="15569" xr:uid="{00000000-0005-0000-0000-0000816F0000}"/>
    <cellStyle name="40% - Accent3 4 4 2 5" xfId="20432" xr:uid="{00000000-0005-0000-0000-0000826F0000}"/>
    <cellStyle name="40% - Accent3 4 4 2 6" xfId="30157" xr:uid="{00000000-0005-0000-0000-0000836F0000}"/>
    <cellStyle name="40% - Accent3 4 4 2 7" xfId="39882" xr:uid="{00000000-0005-0000-0000-0000846F0000}"/>
    <cellStyle name="40% - Accent3 4 4 2 8" xfId="10707" xr:uid="{00000000-0005-0000-0000-0000856F0000}"/>
    <cellStyle name="40% - Accent3 4 4 3" xfId="1430" xr:uid="{00000000-0005-0000-0000-0000866F0000}"/>
    <cellStyle name="40% - Accent3 4 4 3 2" xfId="3051" xr:uid="{00000000-0005-0000-0000-0000876F0000}"/>
    <cellStyle name="40% - Accent3 4 4 3 2 2" xfId="7913" xr:uid="{00000000-0005-0000-0000-0000886F0000}"/>
    <cellStyle name="40% - Accent3 4 4 3 2 2 2" xfId="27364" xr:uid="{00000000-0005-0000-0000-0000896F0000}"/>
    <cellStyle name="40% - Accent3 4 4 3 2 2 3" xfId="37089" xr:uid="{00000000-0005-0000-0000-00008A6F0000}"/>
    <cellStyle name="40% - Accent3 4 4 3 2 2 4" xfId="46814" xr:uid="{00000000-0005-0000-0000-00008B6F0000}"/>
    <cellStyle name="40% - Accent3 4 4 3 2 2 5" xfId="17639" xr:uid="{00000000-0005-0000-0000-00008C6F0000}"/>
    <cellStyle name="40% - Accent3 4 4 3 2 3" xfId="22502" xr:uid="{00000000-0005-0000-0000-00008D6F0000}"/>
    <cellStyle name="40% - Accent3 4 4 3 2 4" xfId="32227" xr:uid="{00000000-0005-0000-0000-00008E6F0000}"/>
    <cellStyle name="40% - Accent3 4 4 3 2 5" xfId="41952" xr:uid="{00000000-0005-0000-0000-00008F6F0000}"/>
    <cellStyle name="40% - Accent3 4 4 3 2 6" xfId="12777" xr:uid="{00000000-0005-0000-0000-0000906F0000}"/>
    <cellStyle name="40% - Accent3 4 4 3 3" xfId="4671" xr:uid="{00000000-0005-0000-0000-0000916F0000}"/>
    <cellStyle name="40% - Accent3 4 4 3 3 2" xfId="9533" xr:uid="{00000000-0005-0000-0000-0000926F0000}"/>
    <cellStyle name="40% - Accent3 4 4 3 3 2 2" xfId="28984" xr:uid="{00000000-0005-0000-0000-0000936F0000}"/>
    <cellStyle name="40% - Accent3 4 4 3 3 2 3" xfId="38709" xr:uid="{00000000-0005-0000-0000-0000946F0000}"/>
    <cellStyle name="40% - Accent3 4 4 3 3 2 4" xfId="48434" xr:uid="{00000000-0005-0000-0000-0000956F0000}"/>
    <cellStyle name="40% - Accent3 4 4 3 3 2 5" xfId="19259" xr:uid="{00000000-0005-0000-0000-0000966F0000}"/>
    <cellStyle name="40% - Accent3 4 4 3 3 3" xfId="24122" xr:uid="{00000000-0005-0000-0000-0000976F0000}"/>
    <cellStyle name="40% - Accent3 4 4 3 3 4" xfId="33847" xr:uid="{00000000-0005-0000-0000-0000986F0000}"/>
    <cellStyle name="40% - Accent3 4 4 3 3 5" xfId="43572" xr:uid="{00000000-0005-0000-0000-0000996F0000}"/>
    <cellStyle name="40% - Accent3 4 4 3 3 6" xfId="14397" xr:uid="{00000000-0005-0000-0000-00009A6F0000}"/>
    <cellStyle name="40% - Accent3 4 4 3 4" xfId="6293" xr:uid="{00000000-0005-0000-0000-00009B6F0000}"/>
    <cellStyle name="40% - Accent3 4 4 3 4 2" xfId="25744" xr:uid="{00000000-0005-0000-0000-00009C6F0000}"/>
    <cellStyle name="40% - Accent3 4 4 3 4 3" xfId="35469" xr:uid="{00000000-0005-0000-0000-00009D6F0000}"/>
    <cellStyle name="40% - Accent3 4 4 3 4 4" xfId="45194" xr:uid="{00000000-0005-0000-0000-00009E6F0000}"/>
    <cellStyle name="40% - Accent3 4 4 3 4 5" xfId="16019" xr:uid="{00000000-0005-0000-0000-00009F6F0000}"/>
    <cellStyle name="40% - Accent3 4 4 3 5" xfId="20882" xr:uid="{00000000-0005-0000-0000-0000A06F0000}"/>
    <cellStyle name="40% - Accent3 4 4 3 6" xfId="30607" xr:uid="{00000000-0005-0000-0000-0000A16F0000}"/>
    <cellStyle name="40% - Accent3 4 4 3 7" xfId="40332" xr:uid="{00000000-0005-0000-0000-0000A26F0000}"/>
    <cellStyle name="40% - Accent3 4 4 3 8" xfId="11157" xr:uid="{00000000-0005-0000-0000-0000A36F0000}"/>
    <cellStyle name="40% - Accent3 4 4 4" xfId="601" xr:uid="{00000000-0005-0000-0000-0000A46F0000}"/>
    <cellStyle name="40% - Accent3 4 4 4 2" xfId="2241" xr:uid="{00000000-0005-0000-0000-0000A56F0000}"/>
    <cellStyle name="40% - Accent3 4 4 4 2 2" xfId="7103" xr:uid="{00000000-0005-0000-0000-0000A66F0000}"/>
    <cellStyle name="40% - Accent3 4 4 4 2 2 2" xfId="26554" xr:uid="{00000000-0005-0000-0000-0000A76F0000}"/>
    <cellStyle name="40% - Accent3 4 4 4 2 2 3" xfId="36279" xr:uid="{00000000-0005-0000-0000-0000A86F0000}"/>
    <cellStyle name="40% - Accent3 4 4 4 2 2 4" xfId="46004" xr:uid="{00000000-0005-0000-0000-0000A96F0000}"/>
    <cellStyle name="40% - Accent3 4 4 4 2 2 5" xfId="16829" xr:uid="{00000000-0005-0000-0000-0000AA6F0000}"/>
    <cellStyle name="40% - Accent3 4 4 4 2 3" xfId="21692" xr:uid="{00000000-0005-0000-0000-0000AB6F0000}"/>
    <cellStyle name="40% - Accent3 4 4 4 2 4" xfId="31417" xr:uid="{00000000-0005-0000-0000-0000AC6F0000}"/>
    <cellStyle name="40% - Accent3 4 4 4 2 5" xfId="41142" xr:uid="{00000000-0005-0000-0000-0000AD6F0000}"/>
    <cellStyle name="40% - Accent3 4 4 4 2 6" xfId="11967" xr:uid="{00000000-0005-0000-0000-0000AE6F0000}"/>
    <cellStyle name="40% - Accent3 4 4 4 3" xfId="3861" xr:uid="{00000000-0005-0000-0000-0000AF6F0000}"/>
    <cellStyle name="40% - Accent3 4 4 4 3 2" xfId="8723" xr:uid="{00000000-0005-0000-0000-0000B06F0000}"/>
    <cellStyle name="40% - Accent3 4 4 4 3 2 2" xfId="28174" xr:uid="{00000000-0005-0000-0000-0000B16F0000}"/>
    <cellStyle name="40% - Accent3 4 4 4 3 2 3" xfId="37899" xr:uid="{00000000-0005-0000-0000-0000B26F0000}"/>
    <cellStyle name="40% - Accent3 4 4 4 3 2 4" xfId="47624" xr:uid="{00000000-0005-0000-0000-0000B36F0000}"/>
    <cellStyle name="40% - Accent3 4 4 4 3 2 5" xfId="18449" xr:uid="{00000000-0005-0000-0000-0000B46F0000}"/>
    <cellStyle name="40% - Accent3 4 4 4 3 3" xfId="23312" xr:uid="{00000000-0005-0000-0000-0000B56F0000}"/>
    <cellStyle name="40% - Accent3 4 4 4 3 4" xfId="33037" xr:uid="{00000000-0005-0000-0000-0000B66F0000}"/>
    <cellStyle name="40% - Accent3 4 4 4 3 5" xfId="42762" xr:uid="{00000000-0005-0000-0000-0000B76F0000}"/>
    <cellStyle name="40% - Accent3 4 4 4 3 6" xfId="13587" xr:uid="{00000000-0005-0000-0000-0000B86F0000}"/>
    <cellStyle name="40% - Accent3 4 4 4 4" xfId="5483" xr:uid="{00000000-0005-0000-0000-0000B96F0000}"/>
    <cellStyle name="40% - Accent3 4 4 4 4 2" xfId="24934" xr:uid="{00000000-0005-0000-0000-0000BA6F0000}"/>
    <cellStyle name="40% - Accent3 4 4 4 4 3" xfId="34659" xr:uid="{00000000-0005-0000-0000-0000BB6F0000}"/>
    <cellStyle name="40% - Accent3 4 4 4 4 4" xfId="44384" xr:uid="{00000000-0005-0000-0000-0000BC6F0000}"/>
    <cellStyle name="40% - Accent3 4 4 4 4 5" xfId="15209" xr:uid="{00000000-0005-0000-0000-0000BD6F0000}"/>
    <cellStyle name="40% - Accent3 4 4 4 5" xfId="20072" xr:uid="{00000000-0005-0000-0000-0000BE6F0000}"/>
    <cellStyle name="40% - Accent3 4 4 4 6" xfId="29797" xr:uid="{00000000-0005-0000-0000-0000BF6F0000}"/>
    <cellStyle name="40% - Accent3 4 4 4 7" xfId="39522" xr:uid="{00000000-0005-0000-0000-0000C06F0000}"/>
    <cellStyle name="40% - Accent3 4 4 4 8" xfId="10347" xr:uid="{00000000-0005-0000-0000-0000C16F0000}"/>
    <cellStyle name="40% - Accent3 4 4 5" xfId="1881" xr:uid="{00000000-0005-0000-0000-0000C26F0000}"/>
    <cellStyle name="40% - Accent3 4 4 5 2" xfId="6743" xr:uid="{00000000-0005-0000-0000-0000C36F0000}"/>
    <cellStyle name="40% - Accent3 4 4 5 2 2" xfId="26194" xr:uid="{00000000-0005-0000-0000-0000C46F0000}"/>
    <cellStyle name="40% - Accent3 4 4 5 2 3" xfId="35919" xr:uid="{00000000-0005-0000-0000-0000C56F0000}"/>
    <cellStyle name="40% - Accent3 4 4 5 2 4" xfId="45644" xr:uid="{00000000-0005-0000-0000-0000C66F0000}"/>
    <cellStyle name="40% - Accent3 4 4 5 2 5" xfId="16469" xr:uid="{00000000-0005-0000-0000-0000C76F0000}"/>
    <cellStyle name="40% - Accent3 4 4 5 3" xfId="21332" xr:uid="{00000000-0005-0000-0000-0000C86F0000}"/>
    <cellStyle name="40% - Accent3 4 4 5 4" xfId="31057" xr:uid="{00000000-0005-0000-0000-0000C96F0000}"/>
    <cellStyle name="40% - Accent3 4 4 5 5" xfId="40782" xr:uid="{00000000-0005-0000-0000-0000CA6F0000}"/>
    <cellStyle name="40% - Accent3 4 4 5 6" xfId="11607" xr:uid="{00000000-0005-0000-0000-0000CB6F0000}"/>
    <cellStyle name="40% - Accent3 4 4 6" xfId="3501" xr:uid="{00000000-0005-0000-0000-0000CC6F0000}"/>
    <cellStyle name="40% - Accent3 4 4 6 2" xfId="8363" xr:uid="{00000000-0005-0000-0000-0000CD6F0000}"/>
    <cellStyle name="40% - Accent3 4 4 6 2 2" xfId="27814" xr:uid="{00000000-0005-0000-0000-0000CE6F0000}"/>
    <cellStyle name="40% - Accent3 4 4 6 2 3" xfId="37539" xr:uid="{00000000-0005-0000-0000-0000CF6F0000}"/>
    <cellStyle name="40% - Accent3 4 4 6 2 4" xfId="47264" xr:uid="{00000000-0005-0000-0000-0000D06F0000}"/>
    <cellStyle name="40% - Accent3 4 4 6 2 5" xfId="18089" xr:uid="{00000000-0005-0000-0000-0000D16F0000}"/>
    <cellStyle name="40% - Accent3 4 4 6 3" xfId="22952" xr:uid="{00000000-0005-0000-0000-0000D26F0000}"/>
    <cellStyle name="40% - Accent3 4 4 6 4" xfId="32677" xr:uid="{00000000-0005-0000-0000-0000D36F0000}"/>
    <cellStyle name="40% - Accent3 4 4 6 5" xfId="42402" xr:uid="{00000000-0005-0000-0000-0000D46F0000}"/>
    <cellStyle name="40% - Accent3 4 4 6 6" xfId="13227" xr:uid="{00000000-0005-0000-0000-0000D56F0000}"/>
    <cellStyle name="40% - Accent3 4 4 7" xfId="5123" xr:uid="{00000000-0005-0000-0000-0000D66F0000}"/>
    <cellStyle name="40% - Accent3 4 4 7 2" xfId="24574" xr:uid="{00000000-0005-0000-0000-0000D76F0000}"/>
    <cellStyle name="40% - Accent3 4 4 7 3" xfId="34299" xr:uid="{00000000-0005-0000-0000-0000D86F0000}"/>
    <cellStyle name="40% - Accent3 4 4 7 4" xfId="44024" xr:uid="{00000000-0005-0000-0000-0000D96F0000}"/>
    <cellStyle name="40% - Accent3 4 4 7 5" xfId="14849" xr:uid="{00000000-0005-0000-0000-0000DA6F0000}"/>
    <cellStyle name="40% - Accent3 4 4 8" xfId="19712" xr:uid="{00000000-0005-0000-0000-0000DB6F0000}"/>
    <cellStyle name="40% - Accent3 4 4 9" xfId="29437" xr:uid="{00000000-0005-0000-0000-0000DC6F0000}"/>
    <cellStyle name="40% - Accent3 4 5" xfId="872" xr:uid="{00000000-0005-0000-0000-0000DD6F0000}"/>
    <cellStyle name="40% - Accent3 4 5 2" xfId="2511" xr:uid="{00000000-0005-0000-0000-0000DE6F0000}"/>
    <cellStyle name="40% - Accent3 4 5 2 2" xfId="7373" xr:uid="{00000000-0005-0000-0000-0000DF6F0000}"/>
    <cellStyle name="40% - Accent3 4 5 2 2 2" xfId="26824" xr:uid="{00000000-0005-0000-0000-0000E06F0000}"/>
    <cellStyle name="40% - Accent3 4 5 2 2 3" xfId="36549" xr:uid="{00000000-0005-0000-0000-0000E16F0000}"/>
    <cellStyle name="40% - Accent3 4 5 2 2 4" xfId="46274" xr:uid="{00000000-0005-0000-0000-0000E26F0000}"/>
    <cellStyle name="40% - Accent3 4 5 2 2 5" xfId="17099" xr:uid="{00000000-0005-0000-0000-0000E36F0000}"/>
    <cellStyle name="40% - Accent3 4 5 2 3" xfId="21962" xr:uid="{00000000-0005-0000-0000-0000E46F0000}"/>
    <cellStyle name="40% - Accent3 4 5 2 4" xfId="31687" xr:uid="{00000000-0005-0000-0000-0000E56F0000}"/>
    <cellStyle name="40% - Accent3 4 5 2 5" xfId="41412" xr:uid="{00000000-0005-0000-0000-0000E66F0000}"/>
    <cellStyle name="40% - Accent3 4 5 2 6" xfId="12237" xr:uid="{00000000-0005-0000-0000-0000E76F0000}"/>
    <cellStyle name="40% - Accent3 4 5 3" xfId="4131" xr:uid="{00000000-0005-0000-0000-0000E86F0000}"/>
    <cellStyle name="40% - Accent3 4 5 3 2" xfId="8993" xr:uid="{00000000-0005-0000-0000-0000E96F0000}"/>
    <cellStyle name="40% - Accent3 4 5 3 2 2" xfId="28444" xr:uid="{00000000-0005-0000-0000-0000EA6F0000}"/>
    <cellStyle name="40% - Accent3 4 5 3 2 3" xfId="38169" xr:uid="{00000000-0005-0000-0000-0000EB6F0000}"/>
    <cellStyle name="40% - Accent3 4 5 3 2 4" xfId="47894" xr:uid="{00000000-0005-0000-0000-0000EC6F0000}"/>
    <cellStyle name="40% - Accent3 4 5 3 2 5" xfId="18719" xr:uid="{00000000-0005-0000-0000-0000ED6F0000}"/>
    <cellStyle name="40% - Accent3 4 5 3 3" xfId="23582" xr:uid="{00000000-0005-0000-0000-0000EE6F0000}"/>
    <cellStyle name="40% - Accent3 4 5 3 4" xfId="33307" xr:uid="{00000000-0005-0000-0000-0000EF6F0000}"/>
    <cellStyle name="40% - Accent3 4 5 3 5" xfId="43032" xr:uid="{00000000-0005-0000-0000-0000F06F0000}"/>
    <cellStyle name="40% - Accent3 4 5 3 6" xfId="13857" xr:uid="{00000000-0005-0000-0000-0000F16F0000}"/>
    <cellStyle name="40% - Accent3 4 5 4" xfId="5753" xr:uid="{00000000-0005-0000-0000-0000F26F0000}"/>
    <cellStyle name="40% - Accent3 4 5 4 2" xfId="25204" xr:uid="{00000000-0005-0000-0000-0000F36F0000}"/>
    <cellStyle name="40% - Accent3 4 5 4 3" xfId="34929" xr:uid="{00000000-0005-0000-0000-0000F46F0000}"/>
    <cellStyle name="40% - Accent3 4 5 4 4" xfId="44654" xr:uid="{00000000-0005-0000-0000-0000F56F0000}"/>
    <cellStyle name="40% - Accent3 4 5 4 5" xfId="15479" xr:uid="{00000000-0005-0000-0000-0000F66F0000}"/>
    <cellStyle name="40% - Accent3 4 5 5" xfId="20342" xr:uid="{00000000-0005-0000-0000-0000F76F0000}"/>
    <cellStyle name="40% - Accent3 4 5 6" xfId="30067" xr:uid="{00000000-0005-0000-0000-0000F86F0000}"/>
    <cellStyle name="40% - Accent3 4 5 7" xfId="39792" xr:uid="{00000000-0005-0000-0000-0000F96F0000}"/>
    <cellStyle name="40% - Accent3 4 5 8" xfId="10617" xr:uid="{00000000-0005-0000-0000-0000FA6F0000}"/>
    <cellStyle name="40% - Accent3 4 6" xfId="1250" xr:uid="{00000000-0005-0000-0000-0000FB6F0000}"/>
    <cellStyle name="40% - Accent3 4 6 2" xfId="2871" xr:uid="{00000000-0005-0000-0000-0000FC6F0000}"/>
    <cellStyle name="40% - Accent3 4 6 2 2" xfId="7733" xr:uid="{00000000-0005-0000-0000-0000FD6F0000}"/>
    <cellStyle name="40% - Accent3 4 6 2 2 2" xfId="27184" xr:uid="{00000000-0005-0000-0000-0000FE6F0000}"/>
    <cellStyle name="40% - Accent3 4 6 2 2 3" xfId="36909" xr:uid="{00000000-0005-0000-0000-0000FF6F0000}"/>
    <cellStyle name="40% - Accent3 4 6 2 2 4" xfId="46634" xr:uid="{00000000-0005-0000-0000-000000700000}"/>
    <cellStyle name="40% - Accent3 4 6 2 2 5" xfId="17459" xr:uid="{00000000-0005-0000-0000-000001700000}"/>
    <cellStyle name="40% - Accent3 4 6 2 3" xfId="22322" xr:uid="{00000000-0005-0000-0000-000002700000}"/>
    <cellStyle name="40% - Accent3 4 6 2 4" xfId="32047" xr:uid="{00000000-0005-0000-0000-000003700000}"/>
    <cellStyle name="40% - Accent3 4 6 2 5" xfId="41772" xr:uid="{00000000-0005-0000-0000-000004700000}"/>
    <cellStyle name="40% - Accent3 4 6 2 6" xfId="12597" xr:uid="{00000000-0005-0000-0000-000005700000}"/>
    <cellStyle name="40% - Accent3 4 6 3" xfId="4491" xr:uid="{00000000-0005-0000-0000-000006700000}"/>
    <cellStyle name="40% - Accent3 4 6 3 2" xfId="9353" xr:uid="{00000000-0005-0000-0000-000007700000}"/>
    <cellStyle name="40% - Accent3 4 6 3 2 2" xfId="28804" xr:uid="{00000000-0005-0000-0000-000008700000}"/>
    <cellStyle name="40% - Accent3 4 6 3 2 3" xfId="38529" xr:uid="{00000000-0005-0000-0000-000009700000}"/>
    <cellStyle name="40% - Accent3 4 6 3 2 4" xfId="48254" xr:uid="{00000000-0005-0000-0000-00000A700000}"/>
    <cellStyle name="40% - Accent3 4 6 3 2 5" xfId="19079" xr:uid="{00000000-0005-0000-0000-00000B700000}"/>
    <cellStyle name="40% - Accent3 4 6 3 3" xfId="23942" xr:uid="{00000000-0005-0000-0000-00000C700000}"/>
    <cellStyle name="40% - Accent3 4 6 3 4" xfId="33667" xr:uid="{00000000-0005-0000-0000-00000D700000}"/>
    <cellStyle name="40% - Accent3 4 6 3 5" xfId="43392" xr:uid="{00000000-0005-0000-0000-00000E700000}"/>
    <cellStyle name="40% - Accent3 4 6 3 6" xfId="14217" xr:uid="{00000000-0005-0000-0000-00000F700000}"/>
    <cellStyle name="40% - Accent3 4 6 4" xfId="6113" xr:uid="{00000000-0005-0000-0000-000010700000}"/>
    <cellStyle name="40% - Accent3 4 6 4 2" xfId="25564" xr:uid="{00000000-0005-0000-0000-000011700000}"/>
    <cellStyle name="40% - Accent3 4 6 4 3" xfId="35289" xr:uid="{00000000-0005-0000-0000-000012700000}"/>
    <cellStyle name="40% - Accent3 4 6 4 4" xfId="45014" xr:uid="{00000000-0005-0000-0000-000013700000}"/>
    <cellStyle name="40% - Accent3 4 6 4 5" xfId="15839" xr:uid="{00000000-0005-0000-0000-000014700000}"/>
    <cellStyle name="40% - Accent3 4 6 5" xfId="20702" xr:uid="{00000000-0005-0000-0000-000015700000}"/>
    <cellStyle name="40% - Accent3 4 6 6" xfId="30427" xr:uid="{00000000-0005-0000-0000-000016700000}"/>
    <cellStyle name="40% - Accent3 4 6 7" xfId="40152" xr:uid="{00000000-0005-0000-0000-000017700000}"/>
    <cellStyle name="40% - Accent3 4 6 8" xfId="10977" xr:uid="{00000000-0005-0000-0000-000018700000}"/>
    <cellStyle name="40% - Accent3 4 7" xfId="1340" xr:uid="{00000000-0005-0000-0000-000019700000}"/>
    <cellStyle name="40% - Accent3 4 7 2" xfId="2961" xr:uid="{00000000-0005-0000-0000-00001A700000}"/>
    <cellStyle name="40% - Accent3 4 7 2 2" xfId="7823" xr:uid="{00000000-0005-0000-0000-00001B700000}"/>
    <cellStyle name="40% - Accent3 4 7 2 2 2" xfId="27274" xr:uid="{00000000-0005-0000-0000-00001C700000}"/>
    <cellStyle name="40% - Accent3 4 7 2 2 3" xfId="36999" xr:uid="{00000000-0005-0000-0000-00001D700000}"/>
    <cellStyle name="40% - Accent3 4 7 2 2 4" xfId="46724" xr:uid="{00000000-0005-0000-0000-00001E700000}"/>
    <cellStyle name="40% - Accent3 4 7 2 2 5" xfId="17549" xr:uid="{00000000-0005-0000-0000-00001F700000}"/>
    <cellStyle name="40% - Accent3 4 7 2 3" xfId="22412" xr:uid="{00000000-0005-0000-0000-000020700000}"/>
    <cellStyle name="40% - Accent3 4 7 2 4" xfId="32137" xr:uid="{00000000-0005-0000-0000-000021700000}"/>
    <cellStyle name="40% - Accent3 4 7 2 5" xfId="41862" xr:uid="{00000000-0005-0000-0000-000022700000}"/>
    <cellStyle name="40% - Accent3 4 7 2 6" xfId="12687" xr:uid="{00000000-0005-0000-0000-000023700000}"/>
    <cellStyle name="40% - Accent3 4 7 3" xfId="4581" xr:uid="{00000000-0005-0000-0000-000024700000}"/>
    <cellStyle name="40% - Accent3 4 7 3 2" xfId="9443" xr:uid="{00000000-0005-0000-0000-000025700000}"/>
    <cellStyle name="40% - Accent3 4 7 3 2 2" xfId="28894" xr:uid="{00000000-0005-0000-0000-000026700000}"/>
    <cellStyle name="40% - Accent3 4 7 3 2 3" xfId="38619" xr:uid="{00000000-0005-0000-0000-000027700000}"/>
    <cellStyle name="40% - Accent3 4 7 3 2 4" xfId="48344" xr:uid="{00000000-0005-0000-0000-000028700000}"/>
    <cellStyle name="40% - Accent3 4 7 3 2 5" xfId="19169" xr:uid="{00000000-0005-0000-0000-000029700000}"/>
    <cellStyle name="40% - Accent3 4 7 3 3" xfId="24032" xr:uid="{00000000-0005-0000-0000-00002A700000}"/>
    <cellStyle name="40% - Accent3 4 7 3 4" xfId="33757" xr:uid="{00000000-0005-0000-0000-00002B700000}"/>
    <cellStyle name="40% - Accent3 4 7 3 5" xfId="43482" xr:uid="{00000000-0005-0000-0000-00002C700000}"/>
    <cellStyle name="40% - Accent3 4 7 3 6" xfId="14307" xr:uid="{00000000-0005-0000-0000-00002D700000}"/>
    <cellStyle name="40% - Accent3 4 7 4" xfId="6203" xr:uid="{00000000-0005-0000-0000-00002E700000}"/>
    <cellStyle name="40% - Accent3 4 7 4 2" xfId="25654" xr:uid="{00000000-0005-0000-0000-00002F700000}"/>
    <cellStyle name="40% - Accent3 4 7 4 3" xfId="35379" xr:uid="{00000000-0005-0000-0000-000030700000}"/>
    <cellStyle name="40% - Accent3 4 7 4 4" xfId="45104" xr:uid="{00000000-0005-0000-0000-000031700000}"/>
    <cellStyle name="40% - Accent3 4 7 4 5" xfId="15929" xr:uid="{00000000-0005-0000-0000-000032700000}"/>
    <cellStyle name="40% - Accent3 4 7 5" xfId="20792" xr:uid="{00000000-0005-0000-0000-000033700000}"/>
    <cellStyle name="40% - Accent3 4 7 6" xfId="30517" xr:uid="{00000000-0005-0000-0000-000034700000}"/>
    <cellStyle name="40% - Accent3 4 7 7" xfId="40242" xr:uid="{00000000-0005-0000-0000-000035700000}"/>
    <cellStyle name="40% - Accent3 4 7 8" xfId="11067" xr:uid="{00000000-0005-0000-0000-000036700000}"/>
    <cellStyle name="40% - Accent3 4 8" xfId="511" xr:uid="{00000000-0005-0000-0000-000037700000}"/>
    <cellStyle name="40% - Accent3 4 8 2" xfId="2151" xr:uid="{00000000-0005-0000-0000-000038700000}"/>
    <cellStyle name="40% - Accent3 4 8 2 2" xfId="7013" xr:uid="{00000000-0005-0000-0000-000039700000}"/>
    <cellStyle name="40% - Accent3 4 8 2 2 2" xfId="26464" xr:uid="{00000000-0005-0000-0000-00003A700000}"/>
    <cellStyle name="40% - Accent3 4 8 2 2 3" xfId="36189" xr:uid="{00000000-0005-0000-0000-00003B700000}"/>
    <cellStyle name="40% - Accent3 4 8 2 2 4" xfId="45914" xr:uid="{00000000-0005-0000-0000-00003C700000}"/>
    <cellStyle name="40% - Accent3 4 8 2 2 5" xfId="16739" xr:uid="{00000000-0005-0000-0000-00003D700000}"/>
    <cellStyle name="40% - Accent3 4 8 2 3" xfId="21602" xr:uid="{00000000-0005-0000-0000-00003E700000}"/>
    <cellStyle name="40% - Accent3 4 8 2 4" xfId="31327" xr:uid="{00000000-0005-0000-0000-00003F700000}"/>
    <cellStyle name="40% - Accent3 4 8 2 5" xfId="41052" xr:uid="{00000000-0005-0000-0000-000040700000}"/>
    <cellStyle name="40% - Accent3 4 8 2 6" xfId="11877" xr:uid="{00000000-0005-0000-0000-000041700000}"/>
    <cellStyle name="40% - Accent3 4 8 3" xfId="3771" xr:uid="{00000000-0005-0000-0000-000042700000}"/>
    <cellStyle name="40% - Accent3 4 8 3 2" xfId="8633" xr:uid="{00000000-0005-0000-0000-000043700000}"/>
    <cellStyle name="40% - Accent3 4 8 3 2 2" xfId="28084" xr:uid="{00000000-0005-0000-0000-000044700000}"/>
    <cellStyle name="40% - Accent3 4 8 3 2 3" xfId="37809" xr:uid="{00000000-0005-0000-0000-000045700000}"/>
    <cellStyle name="40% - Accent3 4 8 3 2 4" xfId="47534" xr:uid="{00000000-0005-0000-0000-000046700000}"/>
    <cellStyle name="40% - Accent3 4 8 3 2 5" xfId="18359" xr:uid="{00000000-0005-0000-0000-000047700000}"/>
    <cellStyle name="40% - Accent3 4 8 3 3" xfId="23222" xr:uid="{00000000-0005-0000-0000-000048700000}"/>
    <cellStyle name="40% - Accent3 4 8 3 4" xfId="32947" xr:uid="{00000000-0005-0000-0000-000049700000}"/>
    <cellStyle name="40% - Accent3 4 8 3 5" xfId="42672" xr:uid="{00000000-0005-0000-0000-00004A700000}"/>
    <cellStyle name="40% - Accent3 4 8 3 6" xfId="13497" xr:uid="{00000000-0005-0000-0000-00004B700000}"/>
    <cellStyle name="40% - Accent3 4 8 4" xfId="5393" xr:uid="{00000000-0005-0000-0000-00004C700000}"/>
    <cellStyle name="40% - Accent3 4 8 4 2" xfId="24844" xr:uid="{00000000-0005-0000-0000-00004D700000}"/>
    <cellStyle name="40% - Accent3 4 8 4 3" xfId="34569" xr:uid="{00000000-0005-0000-0000-00004E700000}"/>
    <cellStyle name="40% - Accent3 4 8 4 4" xfId="44294" xr:uid="{00000000-0005-0000-0000-00004F700000}"/>
    <cellStyle name="40% - Accent3 4 8 4 5" xfId="15119" xr:uid="{00000000-0005-0000-0000-000050700000}"/>
    <cellStyle name="40% - Accent3 4 8 5" xfId="19982" xr:uid="{00000000-0005-0000-0000-000051700000}"/>
    <cellStyle name="40% - Accent3 4 8 6" xfId="29707" xr:uid="{00000000-0005-0000-0000-000052700000}"/>
    <cellStyle name="40% - Accent3 4 8 7" xfId="39432" xr:uid="{00000000-0005-0000-0000-000053700000}"/>
    <cellStyle name="40% - Accent3 4 8 8" xfId="10257" xr:uid="{00000000-0005-0000-0000-000054700000}"/>
    <cellStyle name="40% - Accent3 4 9" xfId="1700" xr:uid="{00000000-0005-0000-0000-000055700000}"/>
    <cellStyle name="40% - Accent3 4 9 2" xfId="3321" xr:uid="{00000000-0005-0000-0000-000056700000}"/>
    <cellStyle name="40% - Accent3 4 9 2 2" xfId="8183" xr:uid="{00000000-0005-0000-0000-000057700000}"/>
    <cellStyle name="40% - Accent3 4 9 2 2 2" xfId="27634" xr:uid="{00000000-0005-0000-0000-000058700000}"/>
    <cellStyle name="40% - Accent3 4 9 2 2 3" xfId="37359" xr:uid="{00000000-0005-0000-0000-000059700000}"/>
    <cellStyle name="40% - Accent3 4 9 2 2 4" xfId="47084" xr:uid="{00000000-0005-0000-0000-00005A700000}"/>
    <cellStyle name="40% - Accent3 4 9 2 2 5" xfId="17909" xr:uid="{00000000-0005-0000-0000-00005B700000}"/>
    <cellStyle name="40% - Accent3 4 9 2 3" xfId="22772" xr:uid="{00000000-0005-0000-0000-00005C700000}"/>
    <cellStyle name="40% - Accent3 4 9 2 4" xfId="32497" xr:uid="{00000000-0005-0000-0000-00005D700000}"/>
    <cellStyle name="40% - Accent3 4 9 2 5" xfId="42222" xr:uid="{00000000-0005-0000-0000-00005E700000}"/>
    <cellStyle name="40% - Accent3 4 9 2 6" xfId="13047" xr:uid="{00000000-0005-0000-0000-00005F700000}"/>
    <cellStyle name="40% - Accent3 4 9 3" xfId="4941" xr:uid="{00000000-0005-0000-0000-000060700000}"/>
    <cellStyle name="40% - Accent3 4 9 3 2" xfId="9803" xr:uid="{00000000-0005-0000-0000-000061700000}"/>
    <cellStyle name="40% - Accent3 4 9 3 2 2" xfId="29254" xr:uid="{00000000-0005-0000-0000-000062700000}"/>
    <cellStyle name="40% - Accent3 4 9 3 2 3" xfId="38979" xr:uid="{00000000-0005-0000-0000-000063700000}"/>
    <cellStyle name="40% - Accent3 4 9 3 2 4" xfId="48704" xr:uid="{00000000-0005-0000-0000-000064700000}"/>
    <cellStyle name="40% - Accent3 4 9 3 2 5" xfId="19529" xr:uid="{00000000-0005-0000-0000-000065700000}"/>
    <cellStyle name="40% - Accent3 4 9 3 3" xfId="24392" xr:uid="{00000000-0005-0000-0000-000066700000}"/>
    <cellStyle name="40% - Accent3 4 9 3 4" xfId="34117" xr:uid="{00000000-0005-0000-0000-000067700000}"/>
    <cellStyle name="40% - Accent3 4 9 3 5" xfId="43842" xr:uid="{00000000-0005-0000-0000-000068700000}"/>
    <cellStyle name="40% - Accent3 4 9 3 6" xfId="14667" xr:uid="{00000000-0005-0000-0000-000069700000}"/>
    <cellStyle name="40% - Accent3 4 9 4" xfId="6563" xr:uid="{00000000-0005-0000-0000-00006A700000}"/>
    <cellStyle name="40% - Accent3 4 9 4 2" xfId="26014" xr:uid="{00000000-0005-0000-0000-00006B700000}"/>
    <cellStyle name="40% - Accent3 4 9 4 3" xfId="35739" xr:uid="{00000000-0005-0000-0000-00006C700000}"/>
    <cellStyle name="40% - Accent3 4 9 4 4" xfId="45464" xr:uid="{00000000-0005-0000-0000-00006D700000}"/>
    <cellStyle name="40% - Accent3 4 9 4 5" xfId="16289" xr:uid="{00000000-0005-0000-0000-00006E700000}"/>
    <cellStyle name="40% - Accent3 4 9 5" xfId="21152" xr:uid="{00000000-0005-0000-0000-00006F700000}"/>
    <cellStyle name="40% - Accent3 4 9 6" xfId="30877" xr:uid="{00000000-0005-0000-0000-000070700000}"/>
    <cellStyle name="40% - Accent3 4 9 7" xfId="40602" xr:uid="{00000000-0005-0000-0000-000071700000}"/>
    <cellStyle name="40% - Accent3 4 9 8" xfId="11427" xr:uid="{00000000-0005-0000-0000-000072700000}"/>
    <cellStyle name="40% - Accent3 5" xfId="229" xr:uid="{00000000-0005-0000-0000-000073700000}"/>
    <cellStyle name="40% - Accent3 5 10" xfId="39192" xr:uid="{00000000-0005-0000-0000-000074700000}"/>
    <cellStyle name="40% - Accent3 5 11" xfId="10017" xr:uid="{00000000-0005-0000-0000-000075700000}"/>
    <cellStyle name="40% - Accent3 5 2" xfId="993" xr:uid="{00000000-0005-0000-0000-000076700000}"/>
    <cellStyle name="40% - Accent3 5 2 2" xfId="2631" xr:uid="{00000000-0005-0000-0000-000077700000}"/>
    <cellStyle name="40% - Accent3 5 2 2 2" xfId="7493" xr:uid="{00000000-0005-0000-0000-000078700000}"/>
    <cellStyle name="40% - Accent3 5 2 2 2 2" xfId="26944" xr:uid="{00000000-0005-0000-0000-000079700000}"/>
    <cellStyle name="40% - Accent3 5 2 2 2 3" xfId="36669" xr:uid="{00000000-0005-0000-0000-00007A700000}"/>
    <cellStyle name="40% - Accent3 5 2 2 2 4" xfId="46394" xr:uid="{00000000-0005-0000-0000-00007B700000}"/>
    <cellStyle name="40% - Accent3 5 2 2 2 5" xfId="17219" xr:uid="{00000000-0005-0000-0000-00007C700000}"/>
    <cellStyle name="40% - Accent3 5 2 2 3" xfId="22082" xr:uid="{00000000-0005-0000-0000-00007D700000}"/>
    <cellStyle name="40% - Accent3 5 2 2 4" xfId="31807" xr:uid="{00000000-0005-0000-0000-00007E700000}"/>
    <cellStyle name="40% - Accent3 5 2 2 5" xfId="41532" xr:uid="{00000000-0005-0000-0000-00007F700000}"/>
    <cellStyle name="40% - Accent3 5 2 2 6" xfId="12357" xr:uid="{00000000-0005-0000-0000-000080700000}"/>
    <cellStyle name="40% - Accent3 5 2 3" xfId="4251" xr:uid="{00000000-0005-0000-0000-000081700000}"/>
    <cellStyle name="40% - Accent3 5 2 3 2" xfId="9113" xr:uid="{00000000-0005-0000-0000-000082700000}"/>
    <cellStyle name="40% - Accent3 5 2 3 2 2" xfId="28564" xr:uid="{00000000-0005-0000-0000-000083700000}"/>
    <cellStyle name="40% - Accent3 5 2 3 2 3" xfId="38289" xr:uid="{00000000-0005-0000-0000-000084700000}"/>
    <cellStyle name="40% - Accent3 5 2 3 2 4" xfId="48014" xr:uid="{00000000-0005-0000-0000-000085700000}"/>
    <cellStyle name="40% - Accent3 5 2 3 2 5" xfId="18839" xr:uid="{00000000-0005-0000-0000-000086700000}"/>
    <cellStyle name="40% - Accent3 5 2 3 3" xfId="23702" xr:uid="{00000000-0005-0000-0000-000087700000}"/>
    <cellStyle name="40% - Accent3 5 2 3 4" xfId="33427" xr:uid="{00000000-0005-0000-0000-000088700000}"/>
    <cellStyle name="40% - Accent3 5 2 3 5" xfId="43152" xr:uid="{00000000-0005-0000-0000-000089700000}"/>
    <cellStyle name="40% - Accent3 5 2 3 6" xfId="13977" xr:uid="{00000000-0005-0000-0000-00008A700000}"/>
    <cellStyle name="40% - Accent3 5 2 4" xfId="5873" xr:uid="{00000000-0005-0000-0000-00008B700000}"/>
    <cellStyle name="40% - Accent3 5 2 4 2" xfId="25324" xr:uid="{00000000-0005-0000-0000-00008C700000}"/>
    <cellStyle name="40% - Accent3 5 2 4 3" xfId="35049" xr:uid="{00000000-0005-0000-0000-00008D700000}"/>
    <cellStyle name="40% - Accent3 5 2 4 4" xfId="44774" xr:uid="{00000000-0005-0000-0000-00008E700000}"/>
    <cellStyle name="40% - Accent3 5 2 4 5" xfId="15599" xr:uid="{00000000-0005-0000-0000-00008F700000}"/>
    <cellStyle name="40% - Accent3 5 2 5" xfId="20462" xr:uid="{00000000-0005-0000-0000-000090700000}"/>
    <cellStyle name="40% - Accent3 5 2 6" xfId="30187" xr:uid="{00000000-0005-0000-0000-000091700000}"/>
    <cellStyle name="40% - Accent3 5 2 7" xfId="39912" xr:uid="{00000000-0005-0000-0000-000092700000}"/>
    <cellStyle name="40% - Accent3 5 2 8" xfId="10737" xr:uid="{00000000-0005-0000-0000-000093700000}"/>
    <cellStyle name="40% - Accent3 5 3" xfId="1460" xr:uid="{00000000-0005-0000-0000-000094700000}"/>
    <cellStyle name="40% - Accent3 5 3 2" xfId="3081" xr:uid="{00000000-0005-0000-0000-000095700000}"/>
    <cellStyle name="40% - Accent3 5 3 2 2" xfId="7943" xr:uid="{00000000-0005-0000-0000-000096700000}"/>
    <cellStyle name="40% - Accent3 5 3 2 2 2" xfId="27394" xr:uid="{00000000-0005-0000-0000-000097700000}"/>
    <cellStyle name="40% - Accent3 5 3 2 2 3" xfId="37119" xr:uid="{00000000-0005-0000-0000-000098700000}"/>
    <cellStyle name="40% - Accent3 5 3 2 2 4" xfId="46844" xr:uid="{00000000-0005-0000-0000-000099700000}"/>
    <cellStyle name="40% - Accent3 5 3 2 2 5" xfId="17669" xr:uid="{00000000-0005-0000-0000-00009A700000}"/>
    <cellStyle name="40% - Accent3 5 3 2 3" xfId="22532" xr:uid="{00000000-0005-0000-0000-00009B700000}"/>
    <cellStyle name="40% - Accent3 5 3 2 4" xfId="32257" xr:uid="{00000000-0005-0000-0000-00009C700000}"/>
    <cellStyle name="40% - Accent3 5 3 2 5" xfId="41982" xr:uid="{00000000-0005-0000-0000-00009D700000}"/>
    <cellStyle name="40% - Accent3 5 3 2 6" xfId="12807" xr:uid="{00000000-0005-0000-0000-00009E700000}"/>
    <cellStyle name="40% - Accent3 5 3 3" xfId="4701" xr:uid="{00000000-0005-0000-0000-00009F700000}"/>
    <cellStyle name="40% - Accent3 5 3 3 2" xfId="9563" xr:uid="{00000000-0005-0000-0000-0000A0700000}"/>
    <cellStyle name="40% - Accent3 5 3 3 2 2" xfId="29014" xr:uid="{00000000-0005-0000-0000-0000A1700000}"/>
    <cellStyle name="40% - Accent3 5 3 3 2 3" xfId="38739" xr:uid="{00000000-0005-0000-0000-0000A2700000}"/>
    <cellStyle name="40% - Accent3 5 3 3 2 4" xfId="48464" xr:uid="{00000000-0005-0000-0000-0000A3700000}"/>
    <cellStyle name="40% - Accent3 5 3 3 2 5" xfId="19289" xr:uid="{00000000-0005-0000-0000-0000A4700000}"/>
    <cellStyle name="40% - Accent3 5 3 3 3" xfId="24152" xr:uid="{00000000-0005-0000-0000-0000A5700000}"/>
    <cellStyle name="40% - Accent3 5 3 3 4" xfId="33877" xr:uid="{00000000-0005-0000-0000-0000A6700000}"/>
    <cellStyle name="40% - Accent3 5 3 3 5" xfId="43602" xr:uid="{00000000-0005-0000-0000-0000A7700000}"/>
    <cellStyle name="40% - Accent3 5 3 3 6" xfId="14427" xr:uid="{00000000-0005-0000-0000-0000A8700000}"/>
    <cellStyle name="40% - Accent3 5 3 4" xfId="6323" xr:uid="{00000000-0005-0000-0000-0000A9700000}"/>
    <cellStyle name="40% - Accent3 5 3 4 2" xfId="25774" xr:uid="{00000000-0005-0000-0000-0000AA700000}"/>
    <cellStyle name="40% - Accent3 5 3 4 3" xfId="35499" xr:uid="{00000000-0005-0000-0000-0000AB700000}"/>
    <cellStyle name="40% - Accent3 5 3 4 4" xfId="45224" xr:uid="{00000000-0005-0000-0000-0000AC700000}"/>
    <cellStyle name="40% - Accent3 5 3 4 5" xfId="16049" xr:uid="{00000000-0005-0000-0000-0000AD700000}"/>
    <cellStyle name="40% - Accent3 5 3 5" xfId="20912" xr:uid="{00000000-0005-0000-0000-0000AE700000}"/>
    <cellStyle name="40% - Accent3 5 3 6" xfId="30637" xr:uid="{00000000-0005-0000-0000-0000AF700000}"/>
    <cellStyle name="40% - Accent3 5 3 7" xfId="40362" xr:uid="{00000000-0005-0000-0000-0000B0700000}"/>
    <cellStyle name="40% - Accent3 5 3 8" xfId="11187" xr:uid="{00000000-0005-0000-0000-0000B1700000}"/>
    <cellStyle name="40% - Accent3 5 4" xfId="631" xr:uid="{00000000-0005-0000-0000-0000B2700000}"/>
    <cellStyle name="40% - Accent3 5 4 2" xfId="2271" xr:uid="{00000000-0005-0000-0000-0000B3700000}"/>
    <cellStyle name="40% - Accent3 5 4 2 2" xfId="7133" xr:uid="{00000000-0005-0000-0000-0000B4700000}"/>
    <cellStyle name="40% - Accent3 5 4 2 2 2" xfId="26584" xr:uid="{00000000-0005-0000-0000-0000B5700000}"/>
    <cellStyle name="40% - Accent3 5 4 2 2 3" xfId="36309" xr:uid="{00000000-0005-0000-0000-0000B6700000}"/>
    <cellStyle name="40% - Accent3 5 4 2 2 4" xfId="46034" xr:uid="{00000000-0005-0000-0000-0000B7700000}"/>
    <cellStyle name="40% - Accent3 5 4 2 2 5" xfId="16859" xr:uid="{00000000-0005-0000-0000-0000B8700000}"/>
    <cellStyle name="40% - Accent3 5 4 2 3" xfId="21722" xr:uid="{00000000-0005-0000-0000-0000B9700000}"/>
    <cellStyle name="40% - Accent3 5 4 2 4" xfId="31447" xr:uid="{00000000-0005-0000-0000-0000BA700000}"/>
    <cellStyle name="40% - Accent3 5 4 2 5" xfId="41172" xr:uid="{00000000-0005-0000-0000-0000BB700000}"/>
    <cellStyle name="40% - Accent3 5 4 2 6" xfId="11997" xr:uid="{00000000-0005-0000-0000-0000BC700000}"/>
    <cellStyle name="40% - Accent3 5 4 3" xfId="3891" xr:uid="{00000000-0005-0000-0000-0000BD700000}"/>
    <cellStyle name="40% - Accent3 5 4 3 2" xfId="8753" xr:uid="{00000000-0005-0000-0000-0000BE700000}"/>
    <cellStyle name="40% - Accent3 5 4 3 2 2" xfId="28204" xr:uid="{00000000-0005-0000-0000-0000BF700000}"/>
    <cellStyle name="40% - Accent3 5 4 3 2 3" xfId="37929" xr:uid="{00000000-0005-0000-0000-0000C0700000}"/>
    <cellStyle name="40% - Accent3 5 4 3 2 4" xfId="47654" xr:uid="{00000000-0005-0000-0000-0000C1700000}"/>
    <cellStyle name="40% - Accent3 5 4 3 2 5" xfId="18479" xr:uid="{00000000-0005-0000-0000-0000C2700000}"/>
    <cellStyle name="40% - Accent3 5 4 3 3" xfId="23342" xr:uid="{00000000-0005-0000-0000-0000C3700000}"/>
    <cellStyle name="40% - Accent3 5 4 3 4" xfId="33067" xr:uid="{00000000-0005-0000-0000-0000C4700000}"/>
    <cellStyle name="40% - Accent3 5 4 3 5" xfId="42792" xr:uid="{00000000-0005-0000-0000-0000C5700000}"/>
    <cellStyle name="40% - Accent3 5 4 3 6" xfId="13617" xr:uid="{00000000-0005-0000-0000-0000C6700000}"/>
    <cellStyle name="40% - Accent3 5 4 4" xfId="5513" xr:uid="{00000000-0005-0000-0000-0000C7700000}"/>
    <cellStyle name="40% - Accent3 5 4 4 2" xfId="24964" xr:uid="{00000000-0005-0000-0000-0000C8700000}"/>
    <cellStyle name="40% - Accent3 5 4 4 3" xfId="34689" xr:uid="{00000000-0005-0000-0000-0000C9700000}"/>
    <cellStyle name="40% - Accent3 5 4 4 4" xfId="44414" xr:uid="{00000000-0005-0000-0000-0000CA700000}"/>
    <cellStyle name="40% - Accent3 5 4 4 5" xfId="15239" xr:uid="{00000000-0005-0000-0000-0000CB700000}"/>
    <cellStyle name="40% - Accent3 5 4 5" xfId="20102" xr:uid="{00000000-0005-0000-0000-0000CC700000}"/>
    <cellStyle name="40% - Accent3 5 4 6" xfId="29827" xr:uid="{00000000-0005-0000-0000-0000CD700000}"/>
    <cellStyle name="40% - Accent3 5 4 7" xfId="39552" xr:uid="{00000000-0005-0000-0000-0000CE700000}"/>
    <cellStyle name="40% - Accent3 5 4 8" xfId="10377" xr:uid="{00000000-0005-0000-0000-0000CF700000}"/>
    <cellStyle name="40% - Accent3 5 5" xfId="1911" xr:uid="{00000000-0005-0000-0000-0000D0700000}"/>
    <cellStyle name="40% - Accent3 5 5 2" xfId="6773" xr:uid="{00000000-0005-0000-0000-0000D1700000}"/>
    <cellStyle name="40% - Accent3 5 5 2 2" xfId="26224" xr:uid="{00000000-0005-0000-0000-0000D2700000}"/>
    <cellStyle name="40% - Accent3 5 5 2 3" xfId="35949" xr:uid="{00000000-0005-0000-0000-0000D3700000}"/>
    <cellStyle name="40% - Accent3 5 5 2 4" xfId="45674" xr:uid="{00000000-0005-0000-0000-0000D4700000}"/>
    <cellStyle name="40% - Accent3 5 5 2 5" xfId="16499" xr:uid="{00000000-0005-0000-0000-0000D5700000}"/>
    <cellStyle name="40% - Accent3 5 5 3" xfId="21362" xr:uid="{00000000-0005-0000-0000-0000D6700000}"/>
    <cellStyle name="40% - Accent3 5 5 4" xfId="31087" xr:uid="{00000000-0005-0000-0000-0000D7700000}"/>
    <cellStyle name="40% - Accent3 5 5 5" xfId="40812" xr:uid="{00000000-0005-0000-0000-0000D8700000}"/>
    <cellStyle name="40% - Accent3 5 5 6" xfId="11637" xr:uid="{00000000-0005-0000-0000-0000D9700000}"/>
    <cellStyle name="40% - Accent3 5 6" xfId="3531" xr:uid="{00000000-0005-0000-0000-0000DA700000}"/>
    <cellStyle name="40% - Accent3 5 6 2" xfId="8393" xr:uid="{00000000-0005-0000-0000-0000DB700000}"/>
    <cellStyle name="40% - Accent3 5 6 2 2" xfId="27844" xr:uid="{00000000-0005-0000-0000-0000DC700000}"/>
    <cellStyle name="40% - Accent3 5 6 2 3" xfId="37569" xr:uid="{00000000-0005-0000-0000-0000DD700000}"/>
    <cellStyle name="40% - Accent3 5 6 2 4" xfId="47294" xr:uid="{00000000-0005-0000-0000-0000DE700000}"/>
    <cellStyle name="40% - Accent3 5 6 2 5" xfId="18119" xr:uid="{00000000-0005-0000-0000-0000DF700000}"/>
    <cellStyle name="40% - Accent3 5 6 3" xfId="22982" xr:uid="{00000000-0005-0000-0000-0000E0700000}"/>
    <cellStyle name="40% - Accent3 5 6 4" xfId="32707" xr:uid="{00000000-0005-0000-0000-0000E1700000}"/>
    <cellStyle name="40% - Accent3 5 6 5" xfId="42432" xr:uid="{00000000-0005-0000-0000-0000E2700000}"/>
    <cellStyle name="40% - Accent3 5 6 6" xfId="13257" xr:uid="{00000000-0005-0000-0000-0000E3700000}"/>
    <cellStyle name="40% - Accent3 5 7" xfId="5153" xr:uid="{00000000-0005-0000-0000-0000E4700000}"/>
    <cellStyle name="40% - Accent3 5 7 2" xfId="24604" xr:uid="{00000000-0005-0000-0000-0000E5700000}"/>
    <cellStyle name="40% - Accent3 5 7 3" xfId="34329" xr:uid="{00000000-0005-0000-0000-0000E6700000}"/>
    <cellStyle name="40% - Accent3 5 7 4" xfId="44054" xr:uid="{00000000-0005-0000-0000-0000E7700000}"/>
    <cellStyle name="40% - Accent3 5 7 5" xfId="14879" xr:uid="{00000000-0005-0000-0000-0000E8700000}"/>
    <cellStyle name="40% - Accent3 5 8" xfId="19742" xr:uid="{00000000-0005-0000-0000-0000E9700000}"/>
    <cellStyle name="40% - Accent3 5 9" xfId="29467" xr:uid="{00000000-0005-0000-0000-0000EA700000}"/>
    <cellStyle name="40% - Accent3 6" xfId="320" xr:uid="{00000000-0005-0000-0000-0000EB700000}"/>
    <cellStyle name="40% - Accent3 6 10" xfId="39282" xr:uid="{00000000-0005-0000-0000-0000EC700000}"/>
    <cellStyle name="40% - Accent3 6 11" xfId="10107" xr:uid="{00000000-0005-0000-0000-0000ED700000}"/>
    <cellStyle name="40% - Accent3 6 2" xfId="1083" xr:uid="{00000000-0005-0000-0000-0000EE700000}"/>
    <cellStyle name="40% - Accent3 6 2 2" xfId="2721" xr:uid="{00000000-0005-0000-0000-0000EF700000}"/>
    <cellStyle name="40% - Accent3 6 2 2 2" xfId="7583" xr:uid="{00000000-0005-0000-0000-0000F0700000}"/>
    <cellStyle name="40% - Accent3 6 2 2 2 2" xfId="27034" xr:uid="{00000000-0005-0000-0000-0000F1700000}"/>
    <cellStyle name="40% - Accent3 6 2 2 2 3" xfId="36759" xr:uid="{00000000-0005-0000-0000-0000F2700000}"/>
    <cellStyle name="40% - Accent3 6 2 2 2 4" xfId="46484" xr:uid="{00000000-0005-0000-0000-0000F3700000}"/>
    <cellStyle name="40% - Accent3 6 2 2 2 5" xfId="17309" xr:uid="{00000000-0005-0000-0000-0000F4700000}"/>
    <cellStyle name="40% - Accent3 6 2 2 3" xfId="22172" xr:uid="{00000000-0005-0000-0000-0000F5700000}"/>
    <cellStyle name="40% - Accent3 6 2 2 4" xfId="31897" xr:uid="{00000000-0005-0000-0000-0000F6700000}"/>
    <cellStyle name="40% - Accent3 6 2 2 5" xfId="41622" xr:uid="{00000000-0005-0000-0000-0000F7700000}"/>
    <cellStyle name="40% - Accent3 6 2 2 6" xfId="12447" xr:uid="{00000000-0005-0000-0000-0000F8700000}"/>
    <cellStyle name="40% - Accent3 6 2 3" xfId="4341" xr:uid="{00000000-0005-0000-0000-0000F9700000}"/>
    <cellStyle name="40% - Accent3 6 2 3 2" xfId="9203" xr:uid="{00000000-0005-0000-0000-0000FA700000}"/>
    <cellStyle name="40% - Accent3 6 2 3 2 2" xfId="28654" xr:uid="{00000000-0005-0000-0000-0000FB700000}"/>
    <cellStyle name="40% - Accent3 6 2 3 2 3" xfId="38379" xr:uid="{00000000-0005-0000-0000-0000FC700000}"/>
    <cellStyle name="40% - Accent3 6 2 3 2 4" xfId="48104" xr:uid="{00000000-0005-0000-0000-0000FD700000}"/>
    <cellStyle name="40% - Accent3 6 2 3 2 5" xfId="18929" xr:uid="{00000000-0005-0000-0000-0000FE700000}"/>
    <cellStyle name="40% - Accent3 6 2 3 3" xfId="23792" xr:uid="{00000000-0005-0000-0000-0000FF700000}"/>
    <cellStyle name="40% - Accent3 6 2 3 4" xfId="33517" xr:uid="{00000000-0005-0000-0000-000000710000}"/>
    <cellStyle name="40% - Accent3 6 2 3 5" xfId="43242" xr:uid="{00000000-0005-0000-0000-000001710000}"/>
    <cellStyle name="40% - Accent3 6 2 3 6" xfId="14067" xr:uid="{00000000-0005-0000-0000-000002710000}"/>
    <cellStyle name="40% - Accent3 6 2 4" xfId="5963" xr:uid="{00000000-0005-0000-0000-000003710000}"/>
    <cellStyle name="40% - Accent3 6 2 4 2" xfId="25414" xr:uid="{00000000-0005-0000-0000-000004710000}"/>
    <cellStyle name="40% - Accent3 6 2 4 3" xfId="35139" xr:uid="{00000000-0005-0000-0000-000005710000}"/>
    <cellStyle name="40% - Accent3 6 2 4 4" xfId="44864" xr:uid="{00000000-0005-0000-0000-000006710000}"/>
    <cellStyle name="40% - Accent3 6 2 4 5" xfId="15689" xr:uid="{00000000-0005-0000-0000-000007710000}"/>
    <cellStyle name="40% - Accent3 6 2 5" xfId="20552" xr:uid="{00000000-0005-0000-0000-000008710000}"/>
    <cellStyle name="40% - Accent3 6 2 6" xfId="30277" xr:uid="{00000000-0005-0000-0000-000009710000}"/>
    <cellStyle name="40% - Accent3 6 2 7" xfId="40002" xr:uid="{00000000-0005-0000-0000-00000A710000}"/>
    <cellStyle name="40% - Accent3 6 2 8" xfId="10827" xr:uid="{00000000-0005-0000-0000-00000B710000}"/>
    <cellStyle name="40% - Accent3 6 3" xfId="1550" xr:uid="{00000000-0005-0000-0000-00000C710000}"/>
    <cellStyle name="40% - Accent3 6 3 2" xfId="3171" xr:uid="{00000000-0005-0000-0000-00000D710000}"/>
    <cellStyle name="40% - Accent3 6 3 2 2" xfId="8033" xr:uid="{00000000-0005-0000-0000-00000E710000}"/>
    <cellStyle name="40% - Accent3 6 3 2 2 2" xfId="27484" xr:uid="{00000000-0005-0000-0000-00000F710000}"/>
    <cellStyle name="40% - Accent3 6 3 2 2 3" xfId="37209" xr:uid="{00000000-0005-0000-0000-000010710000}"/>
    <cellStyle name="40% - Accent3 6 3 2 2 4" xfId="46934" xr:uid="{00000000-0005-0000-0000-000011710000}"/>
    <cellStyle name="40% - Accent3 6 3 2 2 5" xfId="17759" xr:uid="{00000000-0005-0000-0000-000012710000}"/>
    <cellStyle name="40% - Accent3 6 3 2 3" xfId="22622" xr:uid="{00000000-0005-0000-0000-000013710000}"/>
    <cellStyle name="40% - Accent3 6 3 2 4" xfId="32347" xr:uid="{00000000-0005-0000-0000-000014710000}"/>
    <cellStyle name="40% - Accent3 6 3 2 5" xfId="42072" xr:uid="{00000000-0005-0000-0000-000015710000}"/>
    <cellStyle name="40% - Accent3 6 3 2 6" xfId="12897" xr:uid="{00000000-0005-0000-0000-000016710000}"/>
    <cellStyle name="40% - Accent3 6 3 3" xfId="4791" xr:uid="{00000000-0005-0000-0000-000017710000}"/>
    <cellStyle name="40% - Accent3 6 3 3 2" xfId="9653" xr:uid="{00000000-0005-0000-0000-000018710000}"/>
    <cellStyle name="40% - Accent3 6 3 3 2 2" xfId="29104" xr:uid="{00000000-0005-0000-0000-000019710000}"/>
    <cellStyle name="40% - Accent3 6 3 3 2 3" xfId="38829" xr:uid="{00000000-0005-0000-0000-00001A710000}"/>
    <cellStyle name="40% - Accent3 6 3 3 2 4" xfId="48554" xr:uid="{00000000-0005-0000-0000-00001B710000}"/>
    <cellStyle name="40% - Accent3 6 3 3 2 5" xfId="19379" xr:uid="{00000000-0005-0000-0000-00001C710000}"/>
    <cellStyle name="40% - Accent3 6 3 3 3" xfId="24242" xr:uid="{00000000-0005-0000-0000-00001D710000}"/>
    <cellStyle name="40% - Accent3 6 3 3 4" xfId="33967" xr:uid="{00000000-0005-0000-0000-00001E710000}"/>
    <cellStyle name="40% - Accent3 6 3 3 5" xfId="43692" xr:uid="{00000000-0005-0000-0000-00001F710000}"/>
    <cellStyle name="40% - Accent3 6 3 3 6" xfId="14517" xr:uid="{00000000-0005-0000-0000-000020710000}"/>
    <cellStyle name="40% - Accent3 6 3 4" xfId="6413" xr:uid="{00000000-0005-0000-0000-000021710000}"/>
    <cellStyle name="40% - Accent3 6 3 4 2" xfId="25864" xr:uid="{00000000-0005-0000-0000-000022710000}"/>
    <cellStyle name="40% - Accent3 6 3 4 3" xfId="35589" xr:uid="{00000000-0005-0000-0000-000023710000}"/>
    <cellStyle name="40% - Accent3 6 3 4 4" xfId="45314" xr:uid="{00000000-0005-0000-0000-000024710000}"/>
    <cellStyle name="40% - Accent3 6 3 4 5" xfId="16139" xr:uid="{00000000-0005-0000-0000-000025710000}"/>
    <cellStyle name="40% - Accent3 6 3 5" xfId="21002" xr:uid="{00000000-0005-0000-0000-000026710000}"/>
    <cellStyle name="40% - Accent3 6 3 6" xfId="30727" xr:uid="{00000000-0005-0000-0000-000027710000}"/>
    <cellStyle name="40% - Accent3 6 3 7" xfId="40452" xr:uid="{00000000-0005-0000-0000-000028710000}"/>
    <cellStyle name="40% - Accent3 6 3 8" xfId="11277" xr:uid="{00000000-0005-0000-0000-000029710000}"/>
    <cellStyle name="40% - Accent3 6 4" xfId="721" xr:uid="{00000000-0005-0000-0000-00002A710000}"/>
    <cellStyle name="40% - Accent3 6 4 2" xfId="2361" xr:uid="{00000000-0005-0000-0000-00002B710000}"/>
    <cellStyle name="40% - Accent3 6 4 2 2" xfId="7223" xr:uid="{00000000-0005-0000-0000-00002C710000}"/>
    <cellStyle name="40% - Accent3 6 4 2 2 2" xfId="26674" xr:uid="{00000000-0005-0000-0000-00002D710000}"/>
    <cellStyle name="40% - Accent3 6 4 2 2 3" xfId="36399" xr:uid="{00000000-0005-0000-0000-00002E710000}"/>
    <cellStyle name="40% - Accent3 6 4 2 2 4" xfId="46124" xr:uid="{00000000-0005-0000-0000-00002F710000}"/>
    <cellStyle name="40% - Accent3 6 4 2 2 5" xfId="16949" xr:uid="{00000000-0005-0000-0000-000030710000}"/>
    <cellStyle name="40% - Accent3 6 4 2 3" xfId="21812" xr:uid="{00000000-0005-0000-0000-000031710000}"/>
    <cellStyle name="40% - Accent3 6 4 2 4" xfId="31537" xr:uid="{00000000-0005-0000-0000-000032710000}"/>
    <cellStyle name="40% - Accent3 6 4 2 5" xfId="41262" xr:uid="{00000000-0005-0000-0000-000033710000}"/>
    <cellStyle name="40% - Accent3 6 4 2 6" xfId="12087" xr:uid="{00000000-0005-0000-0000-000034710000}"/>
    <cellStyle name="40% - Accent3 6 4 3" xfId="3981" xr:uid="{00000000-0005-0000-0000-000035710000}"/>
    <cellStyle name="40% - Accent3 6 4 3 2" xfId="8843" xr:uid="{00000000-0005-0000-0000-000036710000}"/>
    <cellStyle name="40% - Accent3 6 4 3 2 2" xfId="28294" xr:uid="{00000000-0005-0000-0000-000037710000}"/>
    <cellStyle name="40% - Accent3 6 4 3 2 3" xfId="38019" xr:uid="{00000000-0005-0000-0000-000038710000}"/>
    <cellStyle name="40% - Accent3 6 4 3 2 4" xfId="47744" xr:uid="{00000000-0005-0000-0000-000039710000}"/>
    <cellStyle name="40% - Accent3 6 4 3 2 5" xfId="18569" xr:uid="{00000000-0005-0000-0000-00003A710000}"/>
    <cellStyle name="40% - Accent3 6 4 3 3" xfId="23432" xr:uid="{00000000-0005-0000-0000-00003B710000}"/>
    <cellStyle name="40% - Accent3 6 4 3 4" xfId="33157" xr:uid="{00000000-0005-0000-0000-00003C710000}"/>
    <cellStyle name="40% - Accent3 6 4 3 5" xfId="42882" xr:uid="{00000000-0005-0000-0000-00003D710000}"/>
    <cellStyle name="40% - Accent3 6 4 3 6" xfId="13707" xr:uid="{00000000-0005-0000-0000-00003E710000}"/>
    <cellStyle name="40% - Accent3 6 4 4" xfId="5603" xr:uid="{00000000-0005-0000-0000-00003F710000}"/>
    <cellStyle name="40% - Accent3 6 4 4 2" xfId="25054" xr:uid="{00000000-0005-0000-0000-000040710000}"/>
    <cellStyle name="40% - Accent3 6 4 4 3" xfId="34779" xr:uid="{00000000-0005-0000-0000-000041710000}"/>
    <cellStyle name="40% - Accent3 6 4 4 4" xfId="44504" xr:uid="{00000000-0005-0000-0000-000042710000}"/>
    <cellStyle name="40% - Accent3 6 4 4 5" xfId="15329" xr:uid="{00000000-0005-0000-0000-000043710000}"/>
    <cellStyle name="40% - Accent3 6 4 5" xfId="20192" xr:uid="{00000000-0005-0000-0000-000044710000}"/>
    <cellStyle name="40% - Accent3 6 4 6" xfId="29917" xr:uid="{00000000-0005-0000-0000-000045710000}"/>
    <cellStyle name="40% - Accent3 6 4 7" xfId="39642" xr:uid="{00000000-0005-0000-0000-000046710000}"/>
    <cellStyle name="40% - Accent3 6 4 8" xfId="10467" xr:uid="{00000000-0005-0000-0000-000047710000}"/>
    <cellStyle name="40% - Accent3 6 5" xfId="2001" xr:uid="{00000000-0005-0000-0000-000048710000}"/>
    <cellStyle name="40% - Accent3 6 5 2" xfId="6863" xr:uid="{00000000-0005-0000-0000-000049710000}"/>
    <cellStyle name="40% - Accent3 6 5 2 2" xfId="26314" xr:uid="{00000000-0005-0000-0000-00004A710000}"/>
    <cellStyle name="40% - Accent3 6 5 2 3" xfId="36039" xr:uid="{00000000-0005-0000-0000-00004B710000}"/>
    <cellStyle name="40% - Accent3 6 5 2 4" xfId="45764" xr:uid="{00000000-0005-0000-0000-00004C710000}"/>
    <cellStyle name="40% - Accent3 6 5 2 5" xfId="16589" xr:uid="{00000000-0005-0000-0000-00004D710000}"/>
    <cellStyle name="40% - Accent3 6 5 3" xfId="21452" xr:uid="{00000000-0005-0000-0000-00004E710000}"/>
    <cellStyle name="40% - Accent3 6 5 4" xfId="31177" xr:uid="{00000000-0005-0000-0000-00004F710000}"/>
    <cellStyle name="40% - Accent3 6 5 5" xfId="40902" xr:uid="{00000000-0005-0000-0000-000050710000}"/>
    <cellStyle name="40% - Accent3 6 5 6" xfId="11727" xr:uid="{00000000-0005-0000-0000-000051710000}"/>
    <cellStyle name="40% - Accent3 6 6" xfId="3621" xr:uid="{00000000-0005-0000-0000-000052710000}"/>
    <cellStyle name="40% - Accent3 6 6 2" xfId="8483" xr:uid="{00000000-0005-0000-0000-000053710000}"/>
    <cellStyle name="40% - Accent3 6 6 2 2" xfId="27934" xr:uid="{00000000-0005-0000-0000-000054710000}"/>
    <cellStyle name="40% - Accent3 6 6 2 3" xfId="37659" xr:uid="{00000000-0005-0000-0000-000055710000}"/>
    <cellStyle name="40% - Accent3 6 6 2 4" xfId="47384" xr:uid="{00000000-0005-0000-0000-000056710000}"/>
    <cellStyle name="40% - Accent3 6 6 2 5" xfId="18209" xr:uid="{00000000-0005-0000-0000-000057710000}"/>
    <cellStyle name="40% - Accent3 6 6 3" xfId="23072" xr:uid="{00000000-0005-0000-0000-000058710000}"/>
    <cellStyle name="40% - Accent3 6 6 4" xfId="32797" xr:uid="{00000000-0005-0000-0000-000059710000}"/>
    <cellStyle name="40% - Accent3 6 6 5" xfId="42522" xr:uid="{00000000-0005-0000-0000-00005A710000}"/>
    <cellStyle name="40% - Accent3 6 6 6" xfId="13347" xr:uid="{00000000-0005-0000-0000-00005B710000}"/>
    <cellStyle name="40% - Accent3 6 7" xfId="5243" xr:uid="{00000000-0005-0000-0000-00005C710000}"/>
    <cellStyle name="40% - Accent3 6 7 2" xfId="24694" xr:uid="{00000000-0005-0000-0000-00005D710000}"/>
    <cellStyle name="40% - Accent3 6 7 3" xfId="34419" xr:uid="{00000000-0005-0000-0000-00005E710000}"/>
    <cellStyle name="40% - Accent3 6 7 4" xfId="44144" xr:uid="{00000000-0005-0000-0000-00005F710000}"/>
    <cellStyle name="40% - Accent3 6 7 5" xfId="14969" xr:uid="{00000000-0005-0000-0000-000060710000}"/>
    <cellStyle name="40% - Accent3 6 8" xfId="19832" xr:uid="{00000000-0005-0000-0000-000061710000}"/>
    <cellStyle name="40% - Accent3 6 9" xfId="29557" xr:uid="{00000000-0005-0000-0000-000062710000}"/>
    <cellStyle name="40% - Accent3 7" xfId="138" xr:uid="{00000000-0005-0000-0000-000063710000}"/>
    <cellStyle name="40% - Accent3 7 10" xfId="39102" xr:uid="{00000000-0005-0000-0000-000064710000}"/>
    <cellStyle name="40% - Accent3 7 11" xfId="9927" xr:uid="{00000000-0005-0000-0000-000065710000}"/>
    <cellStyle name="40% - Accent3 7 2" xfId="902" xr:uid="{00000000-0005-0000-0000-000066710000}"/>
    <cellStyle name="40% - Accent3 7 2 2" xfId="2541" xr:uid="{00000000-0005-0000-0000-000067710000}"/>
    <cellStyle name="40% - Accent3 7 2 2 2" xfId="7403" xr:uid="{00000000-0005-0000-0000-000068710000}"/>
    <cellStyle name="40% - Accent3 7 2 2 2 2" xfId="26854" xr:uid="{00000000-0005-0000-0000-000069710000}"/>
    <cellStyle name="40% - Accent3 7 2 2 2 3" xfId="36579" xr:uid="{00000000-0005-0000-0000-00006A710000}"/>
    <cellStyle name="40% - Accent3 7 2 2 2 4" xfId="46304" xr:uid="{00000000-0005-0000-0000-00006B710000}"/>
    <cellStyle name="40% - Accent3 7 2 2 2 5" xfId="17129" xr:uid="{00000000-0005-0000-0000-00006C710000}"/>
    <cellStyle name="40% - Accent3 7 2 2 3" xfId="21992" xr:uid="{00000000-0005-0000-0000-00006D710000}"/>
    <cellStyle name="40% - Accent3 7 2 2 4" xfId="31717" xr:uid="{00000000-0005-0000-0000-00006E710000}"/>
    <cellStyle name="40% - Accent3 7 2 2 5" xfId="41442" xr:uid="{00000000-0005-0000-0000-00006F710000}"/>
    <cellStyle name="40% - Accent3 7 2 2 6" xfId="12267" xr:uid="{00000000-0005-0000-0000-000070710000}"/>
    <cellStyle name="40% - Accent3 7 2 3" xfId="4161" xr:uid="{00000000-0005-0000-0000-000071710000}"/>
    <cellStyle name="40% - Accent3 7 2 3 2" xfId="9023" xr:uid="{00000000-0005-0000-0000-000072710000}"/>
    <cellStyle name="40% - Accent3 7 2 3 2 2" xfId="28474" xr:uid="{00000000-0005-0000-0000-000073710000}"/>
    <cellStyle name="40% - Accent3 7 2 3 2 3" xfId="38199" xr:uid="{00000000-0005-0000-0000-000074710000}"/>
    <cellStyle name="40% - Accent3 7 2 3 2 4" xfId="47924" xr:uid="{00000000-0005-0000-0000-000075710000}"/>
    <cellStyle name="40% - Accent3 7 2 3 2 5" xfId="18749" xr:uid="{00000000-0005-0000-0000-000076710000}"/>
    <cellStyle name="40% - Accent3 7 2 3 3" xfId="23612" xr:uid="{00000000-0005-0000-0000-000077710000}"/>
    <cellStyle name="40% - Accent3 7 2 3 4" xfId="33337" xr:uid="{00000000-0005-0000-0000-000078710000}"/>
    <cellStyle name="40% - Accent3 7 2 3 5" xfId="43062" xr:uid="{00000000-0005-0000-0000-000079710000}"/>
    <cellStyle name="40% - Accent3 7 2 3 6" xfId="13887" xr:uid="{00000000-0005-0000-0000-00007A710000}"/>
    <cellStyle name="40% - Accent3 7 2 4" xfId="5783" xr:uid="{00000000-0005-0000-0000-00007B710000}"/>
    <cellStyle name="40% - Accent3 7 2 4 2" xfId="25234" xr:uid="{00000000-0005-0000-0000-00007C710000}"/>
    <cellStyle name="40% - Accent3 7 2 4 3" xfId="34959" xr:uid="{00000000-0005-0000-0000-00007D710000}"/>
    <cellStyle name="40% - Accent3 7 2 4 4" xfId="44684" xr:uid="{00000000-0005-0000-0000-00007E710000}"/>
    <cellStyle name="40% - Accent3 7 2 4 5" xfId="15509" xr:uid="{00000000-0005-0000-0000-00007F710000}"/>
    <cellStyle name="40% - Accent3 7 2 5" xfId="20372" xr:uid="{00000000-0005-0000-0000-000080710000}"/>
    <cellStyle name="40% - Accent3 7 2 6" xfId="30097" xr:uid="{00000000-0005-0000-0000-000081710000}"/>
    <cellStyle name="40% - Accent3 7 2 7" xfId="39822" xr:uid="{00000000-0005-0000-0000-000082710000}"/>
    <cellStyle name="40% - Accent3 7 2 8" xfId="10647" xr:uid="{00000000-0005-0000-0000-000083710000}"/>
    <cellStyle name="40% - Accent3 7 3" xfId="1370" xr:uid="{00000000-0005-0000-0000-000084710000}"/>
    <cellStyle name="40% - Accent3 7 3 2" xfId="2991" xr:uid="{00000000-0005-0000-0000-000085710000}"/>
    <cellStyle name="40% - Accent3 7 3 2 2" xfId="7853" xr:uid="{00000000-0005-0000-0000-000086710000}"/>
    <cellStyle name="40% - Accent3 7 3 2 2 2" xfId="27304" xr:uid="{00000000-0005-0000-0000-000087710000}"/>
    <cellStyle name="40% - Accent3 7 3 2 2 3" xfId="37029" xr:uid="{00000000-0005-0000-0000-000088710000}"/>
    <cellStyle name="40% - Accent3 7 3 2 2 4" xfId="46754" xr:uid="{00000000-0005-0000-0000-000089710000}"/>
    <cellStyle name="40% - Accent3 7 3 2 2 5" xfId="17579" xr:uid="{00000000-0005-0000-0000-00008A710000}"/>
    <cellStyle name="40% - Accent3 7 3 2 3" xfId="22442" xr:uid="{00000000-0005-0000-0000-00008B710000}"/>
    <cellStyle name="40% - Accent3 7 3 2 4" xfId="32167" xr:uid="{00000000-0005-0000-0000-00008C710000}"/>
    <cellStyle name="40% - Accent3 7 3 2 5" xfId="41892" xr:uid="{00000000-0005-0000-0000-00008D710000}"/>
    <cellStyle name="40% - Accent3 7 3 2 6" xfId="12717" xr:uid="{00000000-0005-0000-0000-00008E710000}"/>
    <cellStyle name="40% - Accent3 7 3 3" xfId="4611" xr:uid="{00000000-0005-0000-0000-00008F710000}"/>
    <cellStyle name="40% - Accent3 7 3 3 2" xfId="9473" xr:uid="{00000000-0005-0000-0000-000090710000}"/>
    <cellStyle name="40% - Accent3 7 3 3 2 2" xfId="28924" xr:uid="{00000000-0005-0000-0000-000091710000}"/>
    <cellStyle name="40% - Accent3 7 3 3 2 3" xfId="38649" xr:uid="{00000000-0005-0000-0000-000092710000}"/>
    <cellStyle name="40% - Accent3 7 3 3 2 4" xfId="48374" xr:uid="{00000000-0005-0000-0000-000093710000}"/>
    <cellStyle name="40% - Accent3 7 3 3 2 5" xfId="19199" xr:uid="{00000000-0005-0000-0000-000094710000}"/>
    <cellStyle name="40% - Accent3 7 3 3 3" xfId="24062" xr:uid="{00000000-0005-0000-0000-000095710000}"/>
    <cellStyle name="40% - Accent3 7 3 3 4" xfId="33787" xr:uid="{00000000-0005-0000-0000-000096710000}"/>
    <cellStyle name="40% - Accent3 7 3 3 5" xfId="43512" xr:uid="{00000000-0005-0000-0000-000097710000}"/>
    <cellStyle name="40% - Accent3 7 3 3 6" xfId="14337" xr:uid="{00000000-0005-0000-0000-000098710000}"/>
    <cellStyle name="40% - Accent3 7 3 4" xfId="6233" xr:uid="{00000000-0005-0000-0000-000099710000}"/>
    <cellStyle name="40% - Accent3 7 3 4 2" xfId="25684" xr:uid="{00000000-0005-0000-0000-00009A710000}"/>
    <cellStyle name="40% - Accent3 7 3 4 3" xfId="35409" xr:uid="{00000000-0005-0000-0000-00009B710000}"/>
    <cellStyle name="40% - Accent3 7 3 4 4" xfId="45134" xr:uid="{00000000-0005-0000-0000-00009C710000}"/>
    <cellStyle name="40% - Accent3 7 3 4 5" xfId="15959" xr:uid="{00000000-0005-0000-0000-00009D710000}"/>
    <cellStyle name="40% - Accent3 7 3 5" xfId="20822" xr:uid="{00000000-0005-0000-0000-00009E710000}"/>
    <cellStyle name="40% - Accent3 7 3 6" xfId="30547" xr:uid="{00000000-0005-0000-0000-00009F710000}"/>
    <cellStyle name="40% - Accent3 7 3 7" xfId="40272" xr:uid="{00000000-0005-0000-0000-0000A0710000}"/>
    <cellStyle name="40% - Accent3 7 3 8" xfId="11097" xr:uid="{00000000-0005-0000-0000-0000A1710000}"/>
    <cellStyle name="40% - Accent3 7 4" xfId="541" xr:uid="{00000000-0005-0000-0000-0000A2710000}"/>
    <cellStyle name="40% - Accent3 7 4 2" xfId="2181" xr:uid="{00000000-0005-0000-0000-0000A3710000}"/>
    <cellStyle name="40% - Accent3 7 4 2 2" xfId="7043" xr:uid="{00000000-0005-0000-0000-0000A4710000}"/>
    <cellStyle name="40% - Accent3 7 4 2 2 2" xfId="26494" xr:uid="{00000000-0005-0000-0000-0000A5710000}"/>
    <cellStyle name="40% - Accent3 7 4 2 2 3" xfId="36219" xr:uid="{00000000-0005-0000-0000-0000A6710000}"/>
    <cellStyle name="40% - Accent3 7 4 2 2 4" xfId="45944" xr:uid="{00000000-0005-0000-0000-0000A7710000}"/>
    <cellStyle name="40% - Accent3 7 4 2 2 5" xfId="16769" xr:uid="{00000000-0005-0000-0000-0000A8710000}"/>
    <cellStyle name="40% - Accent3 7 4 2 3" xfId="21632" xr:uid="{00000000-0005-0000-0000-0000A9710000}"/>
    <cellStyle name="40% - Accent3 7 4 2 4" xfId="31357" xr:uid="{00000000-0005-0000-0000-0000AA710000}"/>
    <cellStyle name="40% - Accent3 7 4 2 5" xfId="41082" xr:uid="{00000000-0005-0000-0000-0000AB710000}"/>
    <cellStyle name="40% - Accent3 7 4 2 6" xfId="11907" xr:uid="{00000000-0005-0000-0000-0000AC710000}"/>
    <cellStyle name="40% - Accent3 7 4 3" xfId="3801" xr:uid="{00000000-0005-0000-0000-0000AD710000}"/>
    <cellStyle name="40% - Accent3 7 4 3 2" xfId="8663" xr:uid="{00000000-0005-0000-0000-0000AE710000}"/>
    <cellStyle name="40% - Accent3 7 4 3 2 2" xfId="28114" xr:uid="{00000000-0005-0000-0000-0000AF710000}"/>
    <cellStyle name="40% - Accent3 7 4 3 2 3" xfId="37839" xr:uid="{00000000-0005-0000-0000-0000B0710000}"/>
    <cellStyle name="40% - Accent3 7 4 3 2 4" xfId="47564" xr:uid="{00000000-0005-0000-0000-0000B1710000}"/>
    <cellStyle name="40% - Accent3 7 4 3 2 5" xfId="18389" xr:uid="{00000000-0005-0000-0000-0000B2710000}"/>
    <cellStyle name="40% - Accent3 7 4 3 3" xfId="23252" xr:uid="{00000000-0005-0000-0000-0000B3710000}"/>
    <cellStyle name="40% - Accent3 7 4 3 4" xfId="32977" xr:uid="{00000000-0005-0000-0000-0000B4710000}"/>
    <cellStyle name="40% - Accent3 7 4 3 5" xfId="42702" xr:uid="{00000000-0005-0000-0000-0000B5710000}"/>
    <cellStyle name="40% - Accent3 7 4 3 6" xfId="13527" xr:uid="{00000000-0005-0000-0000-0000B6710000}"/>
    <cellStyle name="40% - Accent3 7 4 4" xfId="5423" xr:uid="{00000000-0005-0000-0000-0000B7710000}"/>
    <cellStyle name="40% - Accent3 7 4 4 2" xfId="24874" xr:uid="{00000000-0005-0000-0000-0000B8710000}"/>
    <cellStyle name="40% - Accent3 7 4 4 3" xfId="34599" xr:uid="{00000000-0005-0000-0000-0000B9710000}"/>
    <cellStyle name="40% - Accent3 7 4 4 4" xfId="44324" xr:uid="{00000000-0005-0000-0000-0000BA710000}"/>
    <cellStyle name="40% - Accent3 7 4 4 5" xfId="15149" xr:uid="{00000000-0005-0000-0000-0000BB710000}"/>
    <cellStyle name="40% - Accent3 7 4 5" xfId="20012" xr:uid="{00000000-0005-0000-0000-0000BC710000}"/>
    <cellStyle name="40% - Accent3 7 4 6" xfId="29737" xr:uid="{00000000-0005-0000-0000-0000BD710000}"/>
    <cellStyle name="40% - Accent3 7 4 7" xfId="39462" xr:uid="{00000000-0005-0000-0000-0000BE710000}"/>
    <cellStyle name="40% - Accent3 7 4 8" xfId="10287" xr:uid="{00000000-0005-0000-0000-0000BF710000}"/>
    <cellStyle name="40% - Accent3 7 5" xfId="1821" xr:uid="{00000000-0005-0000-0000-0000C0710000}"/>
    <cellStyle name="40% - Accent3 7 5 2" xfId="6683" xr:uid="{00000000-0005-0000-0000-0000C1710000}"/>
    <cellStyle name="40% - Accent3 7 5 2 2" xfId="26134" xr:uid="{00000000-0005-0000-0000-0000C2710000}"/>
    <cellStyle name="40% - Accent3 7 5 2 3" xfId="35859" xr:uid="{00000000-0005-0000-0000-0000C3710000}"/>
    <cellStyle name="40% - Accent3 7 5 2 4" xfId="45584" xr:uid="{00000000-0005-0000-0000-0000C4710000}"/>
    <cellStyle name="40% - Accent3 7 5 2 5" xfId="16409" xr:uid="{00000000-0005-0000-0000-0000C5710000}"/>
    <cellStyle name="40% - Accent3 7 5 3" xfId="21272" xr:uid="{00000000-0005-0000-0000-0000C6710000}"/>
    <cellStyle name="40% - Accent3 7 5 4" xfId="30997" xr:uid="{00000000-0005-0000-0000-0000C7710000}"/>
    <cellStyle name="40% - Accent3 7 5 5" xfId="40722" xr:uid="{00000000-0005-0000-0000-0000C8710000}"/>
    <cellStyle name="40% - Accent3 7 5 6" xfId="11547" xr:uid="{00000000-0005-0000-0000-0000C9710000}"/>
    <cellStyle name="40% - Accent3 7 6" xfId="3441" xr:uid="{00000000-0005-0000-0000-0000CA710000}"/>
    <cellStyle name="40% - Accent3 7 6 2" xfId="8303" xr:uid="{00000000-0005-0000-0000-0000CB710000}"/>
    <cellStyle name="40% - Accent3 7 6 2 2" xfId="27754" xr:uid="{00000000-0005-0000-0000-0000CC710000}"/>
    <cellStyle name="40% - Accent3 7 6 2 3" xfId="37479" xr:uid="{00000000-0005-0000-0000-0000CD710000}"/>
    <cellStyle name="40% - Accent3 7 6 2 4" xfId="47204" xr:uid="{00000000-0005-0000-0000-0000CE710000}"/>
    <cellStyle name="40% - Accent3 7 6 2 5" xfId="18029" xr:uid="{00000000-0005-0000-0000-0000CF710000}"/>
    <cellStyle name="40% - Accent3 7 6 3" xfId="22892" xr:uid="{00000000-0005-0000-0000-0000D0710000}"/>
    <cellStyle name="40% - Accent3 7 6 4" xfId="32617" xr:uid="{00000000-0005-0000-0000-0000D1710000}"/>
    <cellStyle name="40% - Accent3 7 6 5" xfId="42342" xr:uid="{00000000-0005-0000-0000-0000D2710000}"/>
    <cellStyle name="40% - Accent3 7 6 6" xfId="13167" xr:uid="{00000000-0005-0000-0000-0000D3710000}"/>
    <cellStyle name="40% - Accent3 7 7" xfId="5063" xr:uid="{00000000-0005-0000-0000-0000D4710000}"/>
    <cellStyle name="40% - Accent3 7 7 2" xfId="24514" xr:uid="{00000000-0005-0000-0000-0000D5710000}"/>
    <cellStyle name="40% - Accent3 7 7 3" xfId="34239" xr:uid="{00000000-0005-0000-0000-0000D6710000}"/>
    <cellStyle name="40% - Accent3 7 7 4" xfId="43964" xr:uid="{00000000-0005-0000-0000-0000D7710000}"/>
    <cellStyle name="40% - Accent3 7 7 5" xfId="14789" xr:uid="{00000000-0005-0000-0000-0000D8710000}"/>
    <cellStyle name="40% - Accent3 7 8" xfId="19652" xr:uid="{00000000-0005-0000-0000-0000D9710000}"/>
    <cellStyle name="40% - Accent3 7 9" xfId="29377" xr:uid="{00000000-0005-0000-0000-0000DA710000}"/>
    <cellStyle name="40% - Accent3 8" xfId="413" xr:uid="{00000000-0005-0000-0000-0000DB710000}"/>
    <cellStyle name="40% - Accent3 9" xfId="812" xr:uid="{00000000-0005-0000-0000-0000DC710000}"/>
    <cellStyle name="40% - Accent3 9 2" xfId="2451" xr:uid="{00000000-0005-0000-0000-0000DD710000}"/>
    <cellStyle name="40% - Accent3 9 2 2" xfId="7313" xr:uid="{00000000-0005-0000-0000-0000DE710000}"/>
    <cellStyle name="40% - Accent3 9 2 2 2" xfId="26764" xr:uid="{00000000-0005-0000-0000-0000DF710000}"/>
    <cellStyle name="40% - Accent3 9 2 2 3" xfId="36489" xr:uid="{00000000-0005-0000-0000-0000E0710000}"/>
    <cellStyle name="40% - Accent3 9 2 2 4" xfId="46214" xr:uid="{00000000-0005-0000-0000-0000E1710000}"/>
    <cellStyle name="40% - Accent3 9 2 2 5" xfId="17039" xr:uid="{00000000-0005-0000-0000-0000E2710000}"/>
    <cellStyle name="40% - Accent3 9 2 3" xfId="21902" xr:uid="{00000000-0005-0000-0000-0000E3710000}"/>
    <cellStyle name="40% - Accent3 9 2 4" xfId="31627" xr:uid="{00000000-0005-0000-0000-0000E4710000}"/>
    <cellStyle name="40% - Accent3 9 2 5" xfId="41352" xr:uid="{00000000-0005-0000-0000-0000E5710000}"/>
    <cellStyle name="40% - Accent3 9 2 6" xfId="12177" xr:uid="{00000000-0005-0000-0000-0000E6710000}"/>
    <cellStyle name="40% - Accent3 9 3" xfId="4071" xr:uid="{00000000-0005-0000-0000-0000E7710000}"/>
    <cellStyle name="40% - Accent3 9 3 2" xfId="8933" xr:uid="{00000000-0005-0000-0000-0000E8710000}"/>
    <cellStyle name="40% - Accent3 9 3 2 2" xfId="28384" xr:uid="{00000000-0005-0000-0000-0000E9710000}"/>
    <cellStyle name="40% - Accent3 9 3 2 3" xfId="38109" xr:uid="{00000000-0005-0000-0000-0000EA710000}"/>
    <cellStyle name="40% - Accent3 9 3 2 4" xfId="47834" xr:uid="{00000000-0005-0000-0000-0000EB710000}"/>
    <cellStyle name="40% - Accent3 9 3 2 5" xfId="18659" xr:uid="{00000000-0005-0000-0000-0000EC710000}"/>
    <cellStyle name="40% - Accent3 9 3 3" xfId="23522" xr:uid="{00000000-0005-0000-0000-0000ED710000}"/>
    <cellStyle name="40% - Accent3 9 3 4" xfId="33247" xr:uid="{00000000-0005-0000-0000-0000EE710000}"/>
    <cellStyle name="40% - Accent3 9 3 5" xfId="42972" xr:uid="{00000000-0005-0000-0000-0000EF710000}"/>
    <cellStyle name="40% - Accent3 9 3 6" xfId="13797" xr:uid="{00000000-0005-0000-0000-0000F0710000}"/>
    <cellStyle name="40% - Accent3 9 4" xfId="5693" xr:uid="{00000000-0005-0000-0000-0000F1710000}"/>
    <cellStyle name="40% - Accent3 9 4 2" xfId="25144" xr:uid="{00000000-0005-0000-0000-0000F2710000}"/>
    <cellStyle name="40% - Accent3 9 4 3" xfId="34869" xr:uid="{00000000-0005-0000-0000-0000F3710000}"/>
    <cellStyle name="40% - Accent3 9 4 4" xfId="44594" xr:uid="{00000000-0005-0000-0000-0000F4710000}"/>
    <cellStyle name="40% - Accent3 9 4 5" xfId="15419" xr:uid="{00000000-0005-0000-0000-0000F5710000}"/>
    <cellStyle name="40% - Accent3 9 5" xfId="20282" xr:uid="{00000000-0005-0000-0000-0000F6710000}"/>
    <cellStyle name="40% - Accent3 9 6" xfId="30007" xr:uid="{00000000-0005-0000-0000-0000F7710000}"/>
    <cellStyle name="40% - Accent3 9 7" xfId="39732" xr:uid="{00000000-0005-0000-0000-0000F8710000}"/>
    <cellStyle name="40% - Accent3 9 8" xfId="10557" xr:uid="{00000000-0005-0000-0000-0000F9710000}"/>
    <cellStyle name="40% - Accent4" xfId="43" builtinId="43" customBuiltin="1"/>
    <cellStyle name="40% - Accent4 10" xfId="1192" xr:uid="{00000000-0005-0000-0000-0000FB710000}"/>
    <cellStyle name="40% - Accent4 10 2" xfId="2813" xr:uid="{00000000-0005-0000-0000-0000FC710000}"/>
    <cellStyle name="40% - Accent4 10 2 2" xfId="7675" xr:uid="{00000000-0005-0000-0000-0000FD710000}"/>
    <cellStyle name="40% - Accent4 10 2 2 2" xfId="27126" xr:uid="{00000000-0005-0000-0000-0000FE710000}"/>
    <cellStyle name="40% - Accent4 10 2 2 3" xfId="36851" xr:uid="{00000000-0005-0000-0000-0000FF710000}"/>
    <cellStyle name="40% - Accent4 10 2 2 4" xfId="46576" xr:uid="{00000000-0005-0000-0000-000000720000}"/>
    <cellStyle name="40% - Accent4 10 2 2 5" xfId="17401" xr:uid="{00000000-0005-0000-0000-000001720000}"/>
    <cellStyle name="40% - Accent4 10 2 3" xfId="22264" xr:uid="{00000000-0005-0000-0000-000002720000}"/>
    <cellStyle name="40% - Accent4 10 2 4" xfId="31989" xr:uid="{00000000-0005-0000-0000-000003720000}"/>
    <cellStyle name="40% - Accent4 10 2 5" xfId="41714" xr:uid="{00000000-0005-0000-0000-000004720000}"/>
    <cellStyle name="40% - Accent4 10 2 6" xfId="12539" xr:uid="{00000000-0005-0000-0000-000005720000}"/>
    <cellStyle name="40% - Accent4 10 3" xfId="4433" xr:uid="{00000000-0005-0000-0000-000006720000}"/>
    <cellStyle name="40% - Accent4 10 3 2" xfId="9295" xr:uid="{00000000-0005-0000-0000-000007720000}"/>
    <cellStyle name="40% - Accent4 10 3 2 2" xfId="28746" xr:uid="{00000000-0005-0000-0000-000008720000}"/>
    <cellStyle name="40% - Accent4 10 3 2 3" xfId="38471" xr:uid="{00000000-0005-0000-0000-000009720000}"/>
    <cellStyle name="40% - Accent4 10 3 2 4" xfId="48196" xr:uid="{00000000-0005-0000-0000-00000A720000}"/>
    <cellStyle name="40% - Accent4 10 3 2 5" xfId="19021" xr:uid="{00000000-0005-0000-0000-00000B720000}"/>
    <cellStyle name="40% - Accent4 10 3 3" xfId="23884" xr:uid="{00000000-0005-0000-0000-00000C720000}"/>
    <cellStyle name="40% - Accent4 10 3 4" xfId="33609" xr:uid="{00000000-0005-0000-0000-00000D720000}"/>
    <cellStyle name="40% - Accent4 10 3 5" xfId="43334" xr:uid="{00000000-0005-0000-0000-00000E720000}"/>
    <cellStyle name="40% - Accent4 10 3 6" xfId="14159" xr:uid="{00000000-0005-0000-0000-00000F720000}"/>
    <cellStyle name="40% - Accent4 10 4" xfId="6055" xr:uid="{00000000-0005-0000-0000-000010720000}"/>
    <cellStyle name="40% - Accent4 10 4 2" xfId="25506" xr:uid="{00000000-0005-0000-0000-000011720000}"/>
    <cellStyle name="40% - Accent4 10 4 3" xfId="35231" xr:uid="{00000000-0005-0000-0000-000012720000}"/>
    <cellStyle name="40% - Accent4 10 4 4" xfId="44956" xr:uid="{00000000-0005-0000-0000-000013720000}"/>
    <cellStyle name="40% - Accent4 10 4 5" xfId="15781" xr:uid="{00000000-0005-0000-0000-000014720000}"/>
    <cellStyle name="40% - Accent4 10 5" xfId="20644" xr:uid="{00000000-0005-0000-0000-000015720000}"/>
    <cellStyle name="40% - Accent4 10 6" xfId="30369" xr:uid="{00000000-0005-0000-0000-000016720000}"/>
    <cellStyle name="40% - Accent4 10 7" xfId="40094" xr:uid="{00000000-0005-0000-0000-000017720000}"/>
    <cellStyle name="40% - Accent4 10 8" xfId="10919" xr:uid="{00000000-0005-0000-0000-000018720000}"/>
    <cellStyle name="40% - Accent4 11" xfId="1282" xr:uid="{00000000-0005-0000-0000-000019720000}"/>
    <cellStyle name="40% - Accent4 11 2" xfId="2903" xr:uid="{00000000-0005-0000-0000-00001A720000}"/>
    <cellStyle name="40% - Accent4 11 2 2" xfId="7765" xr:uid="{00000000-0005-0000-0000-00001B720000}"/>
    <cellStyle name="40% - Accent4 11 2 2 2" xfId="27216" xr:uid="{00000000-0005-0000-0000-00001C720000}"/>
    <cellStyle name="40% - Accent4 11 2 2 3" xfId="36941" xr:uid="{00000000-0005-0000-0000-00001D720000}"/>
    <cellStyle name="40% - Accent4 11 2 2 4" xfId="46666" xr:uid="{00000000-0005-0000-0000-00001E720000}"/>
    <cellStyle name="40% - Accent4 11 2 2 5" xfId="17491" xr:uid="{00000000-0005-0000-0000-00001F720000}"/>
    <cellStyle name="40% - Accent4 11 2 3" xfId="22354" xr:uid="{00000000-0005-0000-0000-000020720000}"/>
    <cellStyle name="40% - Accent4 11 2 4" xfId="32079" xr:uid="{00000000-0005-0000-0000-000021720000}"/>
    <cellStyle name="40% - Accent4 11 2 5" xfId="41804" xr:uid="{00000000-0005-0000-0000-000022720000}"/>
    <cellStyle name="40% - Accent4 11 2 6" xfId="12629" xr:uid="{00000000-0005-0000-0000-000023720000}"/>
    <cellStyle name="40% - Accent4 11 3" xfId="4523" xr:uid="{00000000-0005-0000-0000-000024720000}"/>
    <cellStyle name="40% - Accent4 11 3 2" xfId="9385" xr:uid="{00000000-0005-0000-0000-000025720000}"/>
    <cellStyle name="40% - Accent4 11 3 2 2" xfId="28836" xr:uid="{00000000-0005-0000-0000-000026720000}"/>
    <cellStyle name="40% - Accent4 11 3 2 3" xfId="38561" xr:uid="{00000000-0005-0000-0000-000027720000}"/>
    <cellStyle name="40% - Accent4 11 3 2 4" xfId="48286" xr:uid="{00000000-0005-0000-0000-000028720000}"/>
    <cellStyle name="40% - Accent4 11 3 2 5" xfId="19111" xr:uid="{00000000-0005-0000-0000-000029720000}"/>
    <cellStyle name="40% - Accent4 11 3 3" xfId="23974" xr:uid="{00000000-0005-0000-0000-00002A720000}"/>
    <cellStyle name="40% - Accent4 11 3 4" xfId="33699" xr:uid="{00000000-0005-0000-0000-00002B720000}"/>
    <cellStyle name="40% - Accent4 11 3 5" xfId="43424" xr:uid="{00000000-0005-0000-0000-00002C720000}"/>
    <cellStyle name="40% - Accent4 11 3 6" xfId="14249" xr:uid="{00000000-0005-0000-0000-00002D720000}"/>
    <cellStyle name="40% - Accent4 11 4" xfId="6145" xr:uid="{00000000-0005-0000-0000-00002E720000}"/>
    <cellStyle name="40% - Accent4 11 4 2" xfId="25596" xr:uid="{00000000-0005-0000-0000-00002F720000}"/>
    <cellStyle name="40% - Accent4 11 4 3" xfId="35321" xr:uid="{00000000-0005-0000-0000-000030720000}"/>
    <cellStyle name="40% - Accent4 11 4 4" xfId="45046" xr:uid="{00000000-0005-0000-0000-000031720000}"/>
    <cellStyle name="40% - Accent4 11 4 5" xfId="15871" xr:uid="{00000000-0005-0000-0000-000032720000}"/>
    <cellStyle name="40% - Accent4 11 5" xfId="20734" xr:uid="{00000000-0005-0000-0000-000033720000}"/>
    <cellStyle name="40% - Accent4 11 6" xfId="30459" xr:uid="{00000000-0005-0000-0000-000034720000}"/>
    <cellStyle name="40% - Accent4 11 7" xfId="40184" xr:uid="{00000000-0005-0000-0000-000035720000}"/>
    <cellStyle name="40% - Accent4 11 8" xfId="11009" xr:uid="{00000000-0005-0000-0000-000036720000}"/>
    <cellStyle name="40% - Accent4 12" xfId="453" xr:uid="{00000000-0005-0000-0000-000037720000}"/>
    <cellStyle name="40% - Accent4 12 2" xfId="2093" xr:uid="{00000000-0005-0000-0000-000038720000}"/>
    <cellStyle name="40% - Accent4 12 2 2" xfId="6955" xr:uid="{00000000-0005-0000-0000-000039720000}"/>
    <cellStyle name="40% - Accent4 12 2 2 2" xfId="26406" xr:uid="{00000000-0005-0000-0000-00003A720000}"/>
    <cellStyle name="40% - Accent4 12 2 2 3" xfId="36131" xr:uid="{00000000-0005-0000-0000-00003B720000}"/>
    <cellStyle name="40% - Accent4 12 2 2 4" xfId="45856" xr:uid="{00000000-0005-0000-0000-00003C720000}"/>
    <cellStyle name="40% - Accent4 12 2 2 5" xfId="16681" xr:uid="{00000000-0005-0000-0000-00003D720000}"/>
    <cellStyle name="40% - Accent4 12 2 3" xfId="21544" xr:uid="{00000000-0005-0000-0000-00003E720000}"/>
    <cellStyle name="40% - Accent4 12 2 4" xfId="31269" xr:uid="{00000000-0005-0000-0000-00003F720000}"/>
    <cellStyle name="40% - Accent4 12 2 5" xfId="40994" xr:uid="{00000000-0005-0000-0000-000040720000}"/>
    <cellStyle name="40% - Accent4 12 2 6" xfId="11819" xr:uid="{00000000-0005-0000-0000-000041720000}"/>
    <cellStyle name="40% - Accent4 12 3" xfId="3713" xr:uid="{00000000-0005-0000-0000-000042720000}"/>
    <cellStyle name="40% - Accent4 12 3 2" xfId="8575" xr:uid="{00000000-0005-0000-0000-000043720000}"/>
    <cellStyle name="40% - Accent4 12 3 2 2" xfId="28026" xr:uid="{00000000-0005-0000-0000-000044720000}"/>
    <cellStyle name="40% - Accent4 12 3 2 3" xfId="37751" xr:uid="{00000000-0005-0000-0000-000045720000}"/>
    <cellStyle name="40% - Accent4 12 3 2 4" xfId="47476" xr:uid="{00000000-0005-0000-0000-000046720000}"/>
    <cellStyle name="40% - Accent4 12 3 2 5" xfId="18301" xr:uid="{00000000-0005-0000-0000-000047720000}"/>
    <cellStyle name="40% - Accent4 12 3 3" xfId="23164" xr:uid="{00000000-0005-0000-0000-000048720000}"/>
    <cellStyle name="40% - Accent4 12 3 4" xfId="32889" xr:uid="{00000000-0005-0000-0000-000049720000}"/>
    <cellStyle name="40% - Accent4 12 3 5" xfId="42614" xr:uid="{00000000-0005-0000-0000-00004A720000}"/>
    <cellStyle name="40% - Accent4 12 3 6" xfId="13439" xr:uid="{00000000-0005-0000-0000-00004B720000}"/>
    <cellStyle name="40% - Accent4 12 4" xfId="5335" xr:uid="{00000000-0005-0000-0000-00004C720000}"/>
    <cellStyle name="40% - Accent4 12 4 2" xfId="24786" xr:uid="{00000000-0005-0000-0000-00004D720000}"/>
    <cellStyle name="40% - Accent4 12 4 3" xfId="34511" xr:uid="{00000000-0005-0000-0000-00004E720000}"/>
    <cellStyle name="40% - Accent4 12 4 4" xfId="44236" xr:uid="{00000000-0005-0000-0000-00004F720000}"/>
    <cellStyle name="40% - Accent4 12 4 5" xfId="15061" xr:uid="{00000000-0005-0000-0000-000050720000}"/>
    <cellStyle name="40% - Accent4 12 5" xfId="19924" xr:uid="{00000000-0005-0000-0000-000051720000}"/>
    <cellStyle name="40% - Accent4 12 6" xfId="29649" xr:uid="{00000000-0005-0000-0000-000052720000}"/>
    <cellStyle name="40% - Accent4 12 7" xfId="39374" xr:uid="{00000000-0005-0000-0000-000053720000}"/>
    <cellStyle name="40% - Accent4 12 8" xfId="10199" xr:uid="{00000000-0005-0000-0000-000054720000}"/>
    <cellStyle name="40% - Accent4 13" xfId="1642" xr:uid="{00000000-0005-0000-0000-000055720000}"/>
    <cellStyle name="40% - Accent4 13 2" xfId="3263" xr:uid="{00000000-0005-0000-0000-000056720000}"/>
    <cellStyle name="40% - Accent4 13 2 2" xfId="8125" xr:uid="{00000000-0005-0000-0000-000057720000}"/>
    <cellStyle name="40% - Accent4 13 2 2 2" xfId="27576" xr:uid="{00000000-0005-0000-0000-000058720000}"/>
    <cellStyle name="40% - Accent4 13 2 2 3" xfId="37301" xr:uid="{00000000-0005-0000-0000-000059720000}"/>
    <cellStyle name="40% - Accent4 13 2 2 4" xfId="47026" xr:uid="{00000000-0005-0000-0000-00005A720000}"/>
    <cellStyle name="40% - Accent4 13 2 2 5" xfId="17851" xr:uid="{00000000-0005-0000-0000-00005B720000}"/>
    <cellStyle name="40% - Accent4 13 2 3" xfId="22714" xr:uid="{00000000-0005-0000-0000-00005C720000}"/>
    <cellStyle name="40% - Accent4 13 2 4" xfId="32439" xr:uid="{00000000-0005-0000-0000-00005D720000}"/>
    <cellStyle name="40% - Accent4 13 2 5" xfId="42164" xr:uid="{00000000-0005-0000-0000-00005E720000}"/>
    <cellStyle name="40% - Accent4 13 2 6" xfId="12989" xr:uid="{00000000-0005-0000-0000-00005F720000}"/>
    <cellStyle name="40% - Accent4 13 3" xfId="4883" xr:uid="{00000000-0005-0000-0000-000060720000}"/>
    <cellStyle name="40% - Accent4 13 3 2" xfId="9745" xr:uid="{00000000-0005-0000-0000-000061720000}"/>
    <cellStyle name="40% - Accent4 13 3 2 2" xfId="29196" xr:uid="{00000000-0005-0000-0000-000062720000}"/>
    <cellStyle name="40% - Accent4 13 3 2 3" xfId="38921" xr:uid="{00000000-0005-0000-0000-000063720000}"/>
    <cellStyle name="40% - Accent4 13 3 2 4" xfId="48646" xr:uid="{00000000-0005-0000-0000-000064720000}"/>
    <cellStyle name="40% - Accent4 13 3 2 5" xfId="19471" xr:uid="{00000000-0005-0000-0000-000065720000}"/>
    <cellStyle name="40% - Accent4 13 3 3" xfId="24334" xr:uid="{00000000-0005-0000-0000-000066720000}"/>
    <cellStyle name="40% - Accent4 13 3 4" xfId="34059" xr:uid="{00000000-0005-0000-0000-000067720000}"/>
    <cellStyle name="40% - Accent4 13 3 5" xfId="43784" xr:uid="{00000000-0005-0000-0000-000068720000}"/>
    <cellStyle name="40% - Accent4 13 3 6" xfId="14609" xr:uid="{00000000-0005-0000-0000-000069720000}"/>
    <cellStyle name="40% - Accent4 13 4" xfId="6505" xr:uid="{00000000-0005-0000-0000-00006A720000}"/>
    <cellStyle name="40% - Accent4 13 4 2" xfId="25956" xr:uid="{00000000-0005-0000-0000-00006B720000}"/>
    <cellStyle name="40% - Accent4 13 4 3" xfId="35681" xr:uid="{00000000-0005-0000-0000-00006C720000}"/>
    <cellStyle name="40% - Accent4 13 4 4" xfId="45406" xr:uid="{00000000-0005-0000-0000-00006D720000}"/>
    <cellStyle name="40% - Accent4 13 4 5" xfId="16231" xr:uid="{00000000-0005-0000-0000-00006E720000}"/>
    <cellStyle name="40% - Accent4 13 5" xfId="21094" xr:uid="{00000000-0005-0000-0000-00006F720000}"/>
    <cellStyle name="40% - Accent4 13 6" xfId="30819" xr:uid="{00000000-0005-0000-0000-000070720000}"/>
    <cellStyle name="40% - Accent4 13 7" xfId="40544" xr:uid="{00000000-0005-0000-0000-000071720000}"/>
    <cellStyle name="40% - Accent4 13 8" xfId="11369" xr:uid="{00000000-0005-0000-0000-000072720000}"/>
    <cellStyle name="40% - Accent4 14" xfId="1733" xr:uid="{00000000-0005-0000-0000-000073720000}"/>
    <cellStyle name="40% - Accent4 14 2" xfId="6595" xr:uid="{00000000-0005-0000-0000-000074720000}"/>
    <cellStyle name="40% - Accent4 14 2 2" xfId="26046" xr:uid="{00000000-0005-0000-0000-000075720000}"/>
    <cellStyle name="40% - Accent4 14 2 3" xfId="35771" xr:uid="{00000000-0005-0000-0000-000076720000}"/>
    <cellStyle name="40% - Accent4 14 2 4" xfId="45496" xr:uid="{00000000-0005-0000-0000-000077720000}"/>
    <cellStyle name="40% - Accent4 14 2 5" xfId="16321" xr:uid="{00000000-0005-0000-0000-000078720000}"/>
    <cellStyle name="40% - Accent4 14 3" xfId="21184" xr:uid="{00000000-0005-0000-0000-000079720000}"/>
    <cellStyle name="40% - Accent4 14 4" xfId="30909" xr:uid="{00000000-0005-0000-0000-00007A720000}"/>
    <cellStyle name="40% - Accent4 14 5" xfId="40634" xr:uid="{00000000-0005-0000-0000-00007B720000}"/>
    <cellStyle name="40% - Accent4 14 6" xfId="11459" xr:uid="{00000000-0005-0000-0000-00007C720000}"/>
    <cellStyle name="40% - Accent4 15" xfId="3353" xr:uid="{00000000-0005-0000-0000-00007D720000}"/>
    <cellStyle name="40% - Accent4 15 2" xfId="8215" xr:uid="{00000000-0005-0000-0000-00007E720000}"/>
    <cellStyle name="40% - Accent4 15 2 2" xfId="27666" xr:uid="{00000000-0005-0000-0000-00007F720000}"/>
    <cellStyle name="40% - Accent4 15 2 3" xfId="37391" xr:uid="{00000000-0005-0000-0000-000080720000}"/>
    <cellStyle name="40% - Accent4 15 2 4" xfId="47116" xr:uid="{00000000-0005-0000-0000-000081720000}"/>
    <cellStyle name="40% - Accent4 15 2 5" xfId="17941" xr:uid="{00000000-0005-0000-0000-000082720000}"/>
    <cellStyle name="40% - Accent4 15 3" xfId="22804" xr:uid="{00000000-0005-0000-0000-000083720000}"/>
    <cellStyle name="40% - Accent4 15 4" xfId="32529" xr:uid="{00000000-0005-0000-0000-000084720000}"/>
    <cellStyle name="40% - Accent4 15 5" xfId="42254" xr:uid="{00000000-0005-0000-0000-000085720000}"/>
    <cellStyle name="40% - Accent4 15 6" xfId="13079" xr:uid="{00000000-0005-0000-0000-000086720000}"/>
    <cellStyle name="40% - Accent4 16" xfId="4975" xr:uid="{00000000-0005-0000-0000-000087720000}"/>
    <cellStyle name="40% - Accent4 16 2" xfId="24426" xr:uid="{00000000-0005-0000-0000-000088720000}"/>
    <cellStyle name="40% - Accent4 16 3" xfId="34151" xr:uid="{00000000-0005-0000-0000-000089720000}"/>
    <cellStyle name="40% - Accent4 16 4" xfId="43876" xr:uid="{00000000-0005-0000-0000-00008A720000}"/>
    <cellStyle name="40% - Accent4 16 5" xfId="14701" xr:uid="{00000000-0005-0000-0000-00008B720000}"/>
    <cellStyle name="40% - Accent4 17" xfId="19564" xr:uid="{00000000-0005-0000-0000-00008C720000}"/>
    <cellStyle name="40% - Accent4 18" xfId="29289" xr:uid="{00000000-0005-0000-0000-00008D720000}"/>
    <cellStyle name="40% - Accent4 19" xfId="39014" xr:uid="{00000000-0005-0000-0000-00008E720000}"/>
    <cellStyle name="40% - Accent4 2" xfId="62" xr:uid="{00000000-0005-0000-0000-00008F720000}"/>
    <cellStyle name="40% - Accent4 2 10" xfId="467" xr:uid="{00000000-0005-0000-0000-000090720000}"/>
    <cellStyle name="40% - Accent4 2 10 2" xfId="2107" xr:uid="{00000000-0005-0000-0000-000091720000}"/>
    <cellStyle name="40% - Accent4 2 10 2 2" xfId="6969" xr:uid="{00000000-0005-0000-0000-000092720000}"/>
    <cellStyle name="40% - Accent4 2 10 2 2 2" xfId="26420" xr:uid="{00000000-0005-0000-0000-000093720000}"/>
    <cellStyle name="40% - Accent4 2 10 2 2 3" xfId="36145" xr:uid="{00000000-0005-0000-0000-000094720000}"/>
    <cellStyle name="40% - Accent4 2 10 2 2 4" xfId="45870" xr:uid="{00000000-0005-0000-0000-000095720000}"/>
    <cellStyle name="40% - Accent4 2 10 2 2 5" xfId="16695" xr:uid="{00000000-0005-0000-0000-000096720000}"/>
    <cellStyle name="40% - Accent4 2 10 2 3" xfId="21558" xr:uid="{00000000-0005-0000-0000-000097720000}"/>
    <cellStyle name="40% - Accent4 2 10 2 4" xfId="31283" xr:uid="{00000000-0005-0000-0000-000098720000}"/>
    <cellStyle name="40% - Accent4 2 10 2 5" xfId="41008" xr:uid="{00000000-0005-0000-0000-000099720000}"/>
    <cellStyle name="40% - Accent4 2 10 2 6" xfId="11833" xr:uid="{00000000-0005-0000-0000-00009A720000}"/>
    <cellStyle name="40% - Accent4 2 10 3" xfId="3727" xr:uid="{00000000-0005-0000-0000-00009B720000}"/>
    <cellStyle name="40% - Accent4 2 10 3 2" xfId="8589" xr:uid="{00000000-0005-0000-0000-00009C720000}"/>
    <cellStyle name="40% - Accent4 2 10 3 2 2" xfId="28040" xr:uid="{00000000-0005-0000-0000-00009D720000}"/>
    <cellStyle name="40% - Accent4 2 10 3 2 3" xfId="37765" xr:uid="{00000000-0005-0000-0000-00009E720000}"/>
    <cellStyle name="40% - Accent4 2 10 3 2 4" xfId="47490" xr:uid="{00000000-0005-0000-0000-00009F720000}"/>
    <cellStyle name="40% - Accent4 2 10 3 2 5" xfId="18315" xr:uid="{00000000-0005-0000-0000-0000A0720000}"/>
    <cellStyle name="40% - Accent4 2 10 3 3" xfId="23178" xr:uid="{00000000-0005-0000-0000-0000A1720000}"/>
    <cellStyle name="40% - Accent4 2 10 3 4" xfId="32903" xr:uid="{00000000-0005-0000-0000-0000A2720000}"/>
    <cellStyle name="40% - Accent4 2 10 3 5" xfId="42628" xr:uid="{00000000-0005-0000-0000-0000A3720000}"/>
    <cellStyle name="40% - Accent4 2 10 3 6" xfId="13453" xr:uid="{00000000-0005-0000-0000-0000A4720000}"/>
    <cellStyle name="40% - Accent4 2 10 4" xfId="5349" xr:uid="{00000000-0005-0000-0000-0000A5720000}"/>
    <cellStyle name="40% - Accent4 2 10 4 2" xfId="24800" xr:uid="{00000000-0005-0000-0000-0000A6720000}"/>
    <cellStyle name="40% - Accent4 2 10 4 3" xfId="34525" xr:uid="{00000000-0005-0000-0000-0000A7720000}"/>
    <cellStyle name="40% - Accent4 2 10 4 4" xfId="44250" xr:uid="{00000000-0005-0000-0000-0000A8720000}"/>
    <cellStyle name="40% - Accent4 2 10 4 5" xfId="15075" xr:uid="{00000000-0005-0000-0000-0000A9720000}"/>
    <cellStyle name="40% - Accent4 2 10 5" xfId="19938" xr:uid="{00000000-0005-0000-0000-0000AA720000}"/>
    <cellStyle name="40% - Accent4 2 10 6" xfId="29663" xr:uid="{00000000-0005-0000-0000-0000AB720000}"/>
    <cellStyle name="40% - Accent4 2 10 7" xfId="39388" xr:uid="{00000000-0005-0000-0000-0000AC720000}"/>
    <cellStyle name="40% - Accent4 2 10 8" xfId="10213" xr:uid="{00000000-0005-0000-0000-0000AD720000}"/>
    <cellStyle name="40% - Accent4 2 11" xfId="1656" xr:uid="{00000000-0005-0000-0000-0000AE720000}"/>
    <cellStyle name="40% - Accent4 2 11 2" xfId="3277" xr:uid="{00000000-0005-0000-0000-0000AF720000}"/>
    <cellStyle name="40% - Accent4 2 11 2 2" xfId="8139" xr:uid="{00000000-0005-0000-0000-0000B0720000}"/>
    <cellStyle name="40% - Accent4 2 11 2 2 2" xfId="27590" xr:uid="{00000000-0005-0000-0000-0000B1720000}"/>
    <cellStyle name="40% - Accent4 2 11 2 2 3" xfId="37315" xr:uid="{00000000-0005-0000-0000-0000B2720000}"/>
    <cellStyle name="40% - Accent4 2 11 2 2 4" xfId="47040" xr:uid="{00000000-0005-0000-0000-0000B3720000}"/>
    <cellStyle name="40% - Accent4 2 11 2 2 5" xfId="17865" xr:uid="{00000000-0005-0000-0000-0000B4720000}"/>
    <cellStyle name="40% - Accent4 2 11 2 3" xfId="22728" xr:uid="{00000000-0005-0000-0000-0000B5720000}"/>
    <cellStyle name="40% - Accent4 2 11 2 4" xfId="32453" xr:uid="{00000000-0005-0000-0000-0000B6720000}"/>
    <cellStyle name="40% - Accent4 2 11 2 5" xfId="42178" xr:uid="{00000000-0005-0000-0000-0000B7720000}"/>
    <cellStyle name="40% - Accent4 2 11 2 6" xfId="13003" xr:uid="{00000000-0005-0000-0000-0000B8720000}"/>
    <cellStyle name="40% - Accent4 2 11 3" xfId="4897" xr:uid="{00000000-0005-0000-0000-0000B9720000}"/>
    <cellStyle name="40% - Accent4 2 11 3 2" xfId="9759" xr:uid="{00000000-0005-0000-0000-0000BA720000}"/>
    <cellStyle name="40% - Accent4 2 11 3 2 2" xfId="29210" xr:uid="{00000000-0005-0000-0000-0000BB720000}"/>
    <cellStyle name="40% - Accent4 2 11 3 2 3" xfId="38935" xr:uid="{00000000-0005-0000-0000-0000BC720000}"/>
    <cellStyle name="40% - Accent4 2 11 3 2 4" xfId="48660" xr:uid="{00000000-0005-0000-0000-0000BD720000}"/>
    <cellStyle name="40% - Accent4 2 11 3 2 5" xfId="19485" xr:uid="{00000000-0005-0000-0000-0000BE720000}"/>
    <cellStyle name="40% - Accent4 2 11 3 3" xfId="24348" xr:uid="{00000000-0005-0000-0000-0000BF720000}"/>
    <cellStyle name="40% - Accent4 2 11 3 4" xfId="34073" xr:uid="{00000000-0005-0000-0000-0000C0720000}"/>
    <cellStyle name="40% - Accent4 2 11 3 5" xfId="43798" xr:uid="{00000000-0005-0000-0000-0000C1720000}"/>
    <cellStyle name="40% - Accent4 2 11 3 6" xfId="14623" xr:uid="{00000000-0005-0000-0000-0000C2720000}"/>
    <cellStyle name="40% - Accent4 2 11 4" xfId="6519" xr:uid="{00000000-0005-0000-0000-0000C3720000}"/>
    <cellStyle name="40% - Accent4 2 11 4 2" xfId="25970" xr:uid="{00000000-0005-0000-0000-0000C4720000}"/>
    <cellStyle name="40% - Accent4 2 11 4 3" xfId="35695" xr:uid="{00000000-0005-0000-0000-0000C5720000}"/>
    <cellStyle name="40% - Accent4 2 11 4 4" xfId="45420" xr:uid="{00000000-0005-0000-0000-0000C6720000}"/>
    <cellStyle name="40% - Accent4 2 11 4 5" xfId="16245" xr:uid="{00000000-0005-0000-0000-0000C7720000}"/>
    <cellStyle name="40% - Accent4 2 11 5" xfId="21108" xr:uid="{00000000-0005-0000-0000-0000C8720000}"/>
    <cellStyle name="40% - Accent4 2 11 6" xfId="30833" xr:uid="{00000000-0005-0000-0000-0000C9720000}"/>
    <cellStyle name="40% - Accent4 2 11 7" xfId="40558" xr:uid="{00000000-0005-0000-0000-0000CA720000}"/>
    <cellStyle name="40% - Accent4 2 11 8" xfId="11383" xr:uid="{00000000-0005-0000-0000-0000CB720000}"/>
    <cellStyle name="40% - Accent4 2 12" xfId="1747" xr:uid="{00000000-0005-0000-0000-0000CC720000}"/>
    <cellStyle name="40% - Accent4 2 12 2" xfId="6609" xr:uid="{00000000-0005-0000-0000-0000CD720000}"/>
    <cellStyle name="40% - Accent4 2 12 2 2" xfId="26060" xr:uid="{00000000-0005-0000-0000-0000CE720000}"/>
    <cellStyle name="40% - Accent4 2 12 2 3" xfId="35785" xr:uid="{00000000-0005-0000-0000-0000CF720000}"/>
    <cellStyle name="40% - Accent4 2 12 2 4" xfId="45510" xr:uid="{00000000-0005-0000-0000-0000D0720000}"/>
    <cellStyle name="40% - Accent4 2 12 2 5" xfId="16335" xr:uid="{00000000-0005-0000-0000-0000D1720000}"/>
    <cellStyle name="40% - Accent4 2 12 3" xfId="21198" xr:uid="{00000000-0005-0000-0000-0000D2720000}"/>
    <cellStyle name="40% - Accent4 2 12 4" xfId="30923" xr:uid="{00000000-0005-0000-0000-0000D3720000}"/>
    <cellStyle name="40% - Accent4 2 12 5" xfId="40648" xr:uid="{00000000-0005-0000-0000-0000D4720000}"/>
    <cellStyle name="40% - Accent4 2 12 6" xfId="11473" xr:uid="{00000000-0005-0000-0000-0000D5720000}"/>
    <cellStyle name="40% - Accent4 2 13" xfId="3367" xr:uid="{00000000-0005-0000-0000-0000D6720000}"/>
    <cellStyle name="40% - Accent4 2 13 2" xfId="8229" xr:uid="{00000000-0005-0000-0000-0000D7720000}"/>
    <cellStyle name="40% - Accent4 2 13 2 2" xfId="27680" xr:uid="{00000000-0005-0000-0000-0000D8720000}"/>
    <cellStyle name="40% - Accent4 2 13 2 3" xfId="37405" xr:uid="{00000000-0005-0000-0000-0000D9720000}"/>
    <cellStyle name="40% - Accent4 2 13 2 4" xfId="47130" xr:uid="{00000000-0005-0000-0000-0000DA720000}"/>
    <cellStyle name="40% - Accent4 2 13 2 5" xfId="17955" xr:uid="{00000000-0005-0000-0000-0000DB720000}"/>
    <cellStyle name="40% - Accent4 2 13 3" xfId="22818" xr:uid="{00000000-0005-0000-0000-0000DC720000}"/>
    <cellStyle name="40% - Accent4 2 13 4" xfId="32543" xr:uid="{00000000-0005-0000-0000-0000DD720000}"/>
    <cellStyle name="40% - Accent4 2 13 5" xfId="42268" xr:uid="{00000000-0005-0000-0000-0000DE720000}"/>
    <cellStyle name="40% - Accent4 2 13 6" xfId="13093" xr:uid="{00000000-0005-0000-0000-0000DF720000}"/>
    <cellStyle name="40% - Accent4 2 14" xfId="4989" xr:uid="{00000000-0005-0000-0000-0000E0720000}"/>
    <cellStyle name="40% - Accent4 2 14 2" xfId="24440" xr:uid="{00000000-0005-0000-0000-0000E1720000}"/>
    <cellStyle name="40% - Accent4 2 14 3" xfId="34165" xr:uid="{00000000-0005-0000-0000-0000E2720000}"/>
    <cellStyle name="40% - Accent4 2 14 4" xfId="43890" xr:uid="{00000000-0005-0000-0000-0000E3720000}"/>
    <cellStyle name="40% - Accent4 2 14 5" xfId="14715" xr:uid="{00000000-0005-0000-0000-0000E4720000}"/>
    <cellStyle name="40% - Accent4 2 15" xfId="19578" xr:uid="{00000000-0005-0000-0000-0000E5720000}"/>
    <cellStyle name="40% - Accent4 2 16" xfId="29303" xr:uid="{00000000-0005-0000-0000-0000E6720000}"/>
    <cellStyle name="40% - Accent4 2 17" xfId="39028" xr:uid="{00000000-0005-0000-0000-0000E7720000}"/>
    <cellStyle name="40% - Accent4 2 18" xfId="9853" xr:uid="{00000000-0005-0000-0000-0000E8720000}"/>
    <cellStyle name="40% - Accent4 2 2" xfId="93" xr:uid="{00000000-0005-0000-0000-0000E9720000}"/>
    <cellStyle name="40% - Accent4 2 2 10" xfId="1777" xr:uid="{00000000-0005-0000-0000-0000EA720000}"/>
    <cellStyle name="40% - Accent4 2 2 10 2" xfId="6639" xr:uid="{00000000-0005-0000-0000-0000EB720000}"/>
    <cellStyle name="40% - Accent4 2 2 10 2 2" xfId="26090" xr:uid="{00000000-0005-0000-0000-0000EC720000}"/>
    <cellStyle name="40% - Accent4 2 2 10 2 3" xfId="35815" xr:uid="{00000000-0005-0000-0000-0000ED720000}"/>
    <cellStyle name="40% - Accent4 2 2 10 2 4" xfId="45540" xr:uid="{00000000-0005-0000-0000-0000EE720000}"/>
    <cellStyle name="40% - Accent4 2 2 10 2 5" xfId="16365" xr:uid="{00000000-0005-0000-0000-0000EF720000}"/>
    <cellStyle name="40% - Accent4 2 2 10 3" xfId="21228" xr:uid="{00000000-0005-0000-0000-0000F0720000}"/>
    <cellStyle name="40% - Accent4 2 2 10 4" xfId="30953" xr:uid="{00000000-0005-0000-0000-0000F1720000}"/>
    <cellStyle name="40% - Accent4 2 2 10 5" xfId="40678" xr:uid="{00000000-0005-0000-0000-0000F2720000}"/>
    <cellStyle name="40% - Accent4 2 2 10 6" xfId="11503" xr:uid="{00000000-0005-0000-0000-0000F3720000}"/>
    <cellStyle name="40% - Accent4 2 2 11" xfId="3397" xr:uid="{00000000-0005-0000-0000-0000F4720000}"/>
    <cellStyle name="40% - Accent4 2 2 11 2" xfId="8259" xr:uid="{00000000-0005-0000-0000-0000F5720000}"/>
    <cellStyle name="40% - Accent4 2 2 11 2 2" xfId="27710" xr:uid="{00000000-0005-0000-0000-0000F6720000}"/>
    <cellStyle name="40% - Accent4 2 2 11 2 3" xfId="37435" xr:uid="{00000000-0005-0000-0000-0000F7720000}"/>
    <cellStyle name="40% - Accent4 2 2 11 2 4" xfId="47160" xr:uid="{00000000-0005-0000-0000-0000F8720000}"/>
    <cellStyle name="40% - Accent4 2 2 11 2 5" xfId="17985" xr:uid="{00000000-0005-0000-0000-0000F9720000}"/>
    <cellStyle name="40% - Accent4 2 2 11 3" xfId="22848" xr:uid="{00000000-0005-0000-0000-0000FA720000}"/>
    <cellStyle name="40% - Accent4 2 2 11 4" xfId="32573" xr:uid="{00000000-0005-0000-0000-0000FB720000}"/>
    <cellStyle name="40% - Accent4 2 2 11 5" xfId="42298" xr:uid="{00000000-0005-0000-0000-0000FC720000}"/>
    <cellStyle name="40% - Accent4 2 2 11 6" xfId="13123" xr:uid="{00000000-0005-0000-0000-0000FD720000}"/>
    <cellStyle name="40% - Accent4 2 2 12" xfId="5019" xr:uid="{00000000-0005-0000-0000-0000FE720000}"/>
    <cellStyle name="40% - Accent4 2 2 12 2" xfId="24470" xr:uid="{00000000-0005-0000-0000-0000FF720000}"/>
    <cellStyle name="40% - Accent4 2 2 12 3" xfId="34195" xr:uid="{00000000-0005-0000-0000-000000730000}"/>
    <cellStyle name="40% - Accent4 2 2 12 4" xfId="43920" xr:uid="{00000000-0005-0000-0000-000001730000}"/>
    <cellStyle name="40% - Accent4 2 2 12 5" xfId="14745" xr:uid="{00000000-0005-0000-0000-000002730000}"/>
    <cellStyle name="40% - Accent4 2 2 13" xfId="19608" xr:uid="{00000000-0005-0000-0000-000003730000}"/>
    <cellStyle name="40% - Accent4 2 2 14" xfId="29333" xr:uid="{00000000-0005-0000-0000-000004730000}"/>
    <cellStyle name="40% - Accent4 2 2 15" xfId="39058" xr:uid="{00000000-0005-0000-0000-000005730000}"/>
    <cellStyle name="40% - Accent4 2 2 16" xfId="9883" xr:uid="{00000000-0005-0000-0000-000006730000}"/>
    <cellStyle name="40% - Accent4 2 2 2" xfId="275" xr:uid="{00000000-0005-0000-0000-000007730000}"/>
    <cellStyle name="40% - Accent4 2 2 2 10" xfId="39238" xr:uid="{00000000-0005-0000-0000-000008730000}"/>
    <cellStyle name="40% - Accent4 2 2 2 11" xfId="10063" xr:uid="{00000000-0005-0000-0000-000009730000}"/>
    <cellStyle name="40% - Accent4 2 2 2 2" xfId="1039" xr:uid="{00000000-0005-0000-0000-00000A730000}"/>
    <cellStyle name="40% - Accent4 2 2 2 2 2" xfId="2677" xr:uid="{00000000-0005-0000-0000-00000B730000}"/>
    <cellStyle name="40% - Accent4 2 2 2 2 2 2" xfId="7539" xr:uid="{00000000-0005-0000-0000-00000C730000}"/>
    <cellStyle name="40% - Accent4 2 2 2 2 2 2 2" xfId="26990" xr:uid="{00000000-0005-0000-0000-00000D730000}"/>
    <cellStyle name="40% - Accent4 2 2 2 2 2 2 3" xfId="36715" xr:uid="{00000000-0005-0000-0000-00000E730000}"/>
    <cellStyle name="40% - Accent4 2 2 2 2 2 2 4" xfId="46440" xr:uid="{00000000-0005-0000-0000-00000F730000}"/>
    <cellStyle name="40% - Accent4 2 2 2 2 2 2 5" xfId="17265" xr:uid="{00000000-0005-0000-0000-000010730000}"/>
    <cellStyle name="40% - Accent4 2 2 2 2 2 3" xfId="22128" xr:uid="{00000000-0005-0000-0000-000011730000}"/>
    <cellStyle name="40% - Accent4 2 2 2 2 2 4" xfId="31853" xr:uid="{00000000-0005-0000-0000-000012730000}"/>
    <cellStyle name="40% - Accent4 2 2 2 2 2 5" xfId="41578" xr:uid="{00000000-0005-0000-0000-000013730000}"/>
    <cellStyle name="40% - Accent4 2 2 2 2 2 6" xfId="12403" xr:uid="{00000000-0005-0000-0000-000014730000}"/>
    <cellStyle name="40% - Accent4 2 2 2 2 3" xfId="4297" xr:uid="{00000000-0005-0000-0000-000015730000}"/>
    <cellStyle name="40% - Accent4 2 2 2 2 3 2" xfId="9159" xr:uid="{00000000-0005-0000-0000-000016730000}"/>
    <cellStyle name="40% - Accent4 2 2 2 2 3 2 2" xfId="28610" xr:uid="{00000000-0005-0000-0000-000017730000}"/>
    <cellStyle name="40% - Accent4 2 2 2 2 3 2 3" xfId="38335" xr:uid="{00000000-0005-0000-0000-000018730000}"/>
    <cellStyle name="40% - Accent4 2 2 2 2 3 2 4" xfId="48060" xr:uid="{00000000-0005-0000-0000-000019730000}"/>
    <cellStyle name="40% - Accent4 2 2 2 2 3 2 5" xfId="18885" xr:uid="{00000000-0005-0000-0000-00001A730000}"/>
    <cellStyle name="40% - Accent4 2 2 2 2 3 3" xfId="23748" xr:uid="{00000000-0005-0000-0000-00001B730000}"/>
    <cellStyle name="40% - Accent4 2 2 2 2 3 4" xfId="33473" xr:uid="{00000000-0005-0000-0000-00001C730000}"/>
    <cellStyle name="40% - Accent4 2 2 2 2 3 5" xfId="43198" xr:uid="{00000000-0005-0000-0000-00001D730000}"/>
    <cellStyle name="40% - Accent4 2 2 2 2 3 6" xfId="14023" xr:uid="{00000000-0005-0000-0000-00001E730000}"/>
    <cellStyle name="40% - Accent4 2 2 2 2 4" xfId="5919" xr:uid="{00000000-0005-0000-0000-00001F730000}"/>
    <cellStyle name="40% - Accent4 2 2 2 2 4 2" xfId="25370" xr:uid="{00000000-0005-0000-0000-000020730000}"/>
    <cellStyle name="40% - Accent4 2 2 2 2 4 3" xfId="35095" xr:uid="{00000000-0005-0000-0000-000021730000}"/>
    <cellStyle name="40% - Accent4 2 2 2 2 4 4" xfId="44820" xr:uid="{00000000-0005-0000-0000-000022730000}"/>
    <cellStyle name="40% - Accent4 2 2 2 2 4 5" xfId="15645" xr:uid="{00000000-0005-0000-0000-000023730000}"/>
    <cellStyle name="40% - Accent4 2 2 2 2 5" xfId="20508" xr:uid="{00000000-0005-0000-0000-000024730000}"/>
    <cellStyle name="40% - Accent4 2 2 2 2 6" xfId="30233" xr:uid="{00000000-0005-0000-0000-000025730000}"/>
    <cellStyle name="40% - Accent4 2 2 2 2 7" xfId="39958" xr:uid="{00000000-0005-0000-0000-000026730000}"/>
    <cellStyle name="40% - Accent4 2 2 2 2 8" xfId="10783" xr:uid="{00000000-0005-0000-0000-000027730000}"/>
    <cellStyle name="40% - Accent4 2 2 2 3" xfId="1506" xr:uid="{00000000-0005-0000-0000-000028730000}"/>
    <cellStyle name="40% - Accent4 2 2 2 3 2" xfId="3127" xr:uid="{00000000-0005-0000-0000-000029730000}"/>
    <cellStyle name="40% - Accent4 2 2 2 3 2 2" xfId="7989" xr:uid="{00000000-0005-0000-0000-00002A730000}"/>
    <cellStyle name="40% - Accent4 2 2 2 3 2 2 2" xfId="27440" xr:uid="{00000000-0005-0000-0000-00002B730000}"/>
    <cellStyle name="40% - Accent4 2 2 2 3 2 2 3" xfId="37165" xr:uid="{00000000-0005-0000-0000-00002C730000}"/>
    <cellStyle name="40% - Accent4 2 2 2 3 2 2 4" xfId="46890" xr:uid="{00000000-0005-0000-0000-00002D730000}"/>
    <cellStyle name="40% - Accent4 2 2 2 3 2 2 5" xfId="17715" xr:uid="{00000000-0005-0000-0000-00002E730000}"/>
    <cellStyle name="40% - Accent4 2 2 2 3 2 3" xfId="22578" xr:uid="{00000000-0005-0000-0000-00002F730000}"/>
    <cellStyle name="40% - Accent4 2 2 2 3 2 4" xfId="32303" xr:uid="{00000000-0005-0000-0000-000030730000}"/>
    <cellStyle name="40% - Accent4 2 2 2 3 2 5" xfId="42028" xr:uid="{00000000-0005-0000-0000-000031730000}"/>
    <cellStyle name="40% - Accent4 2 2 2 3 2 6" xfId="12853" xr:uid="{00000000-0005-0000-0000-000032730000}"/>
    <cellStyle name="40% - Accent4 2 2 2 3 3" xfId="4747" xr:uid="{00000000-0005-0000-0000-000033730000}"/>
    <cellStyle name="40% - Accent4 2 2 2 3 3 2" xfId="9609" xr:uid="{00000000-0005-0000-0000-000034730000}"/>
    <cellStyle name="40% - Accent4 2 2 2 3 3 2 2" xfId="29060" xr:uid="{00000000-0005-0000-0000-000035730000}"/>
    <cellStyle name="40% - Accent4 2 2 2 3 3 2 3" xfId="38785" xr:uid="{00000000-0005-0000-0000-000036730000}"/>
    <cellStyle name="40% - Accent4 2 2 2 3 3 2 4" xfId="48510" xr:uid="{00000000-0005-0000-0000-000037730000}"/>
    <cellStyle name="40% - Accent4 2 2 2 3 3 2 5" xfId="19335" xr:uid="{00000000-0005-0000-0000-000038730000}"/>
    <cellStyle name="40% - Accent4 2 2 2 3 3 3" xfId="24198" xr:uid="{00000000-0005-0000-0000-000039730000}"/>
    <cellStyle name="40% - Accent4 2 2 2 3 3 4" xfId="33923" xr:uid="{00000000-0005-0000-0000-00003A730000}"/>
    <cellStyle name="40% - Accent4 2 2 2 3 3 5" xfId="43648" xr:uid="{00000000-0005-0000-0000-00003B730000}"/>
    <cellStyle name="40% - Accent4 2 2 2 3 3 6" xfId="14473" xr:uid="{00000000-0005-0000-0000-00003C730000}"/>
    <cellStyle name="40% - Accent4 2 2 2 3 4" xfId="6369" xr:uid="{00000000-0005-0000-0000-00003D730000}"/>
    <cellStyle name="40% - Accent4 2 2 2 3 4 2" xfId="25820" xr:uid="{00000000-0005-0000-0000-00003E730000}"/>
    <cellStyle name="40% - Accent4 2 2 2 3 4 3" xfId="35545" xr:uid="{00000000-0005-0000-0000-00003F730000}"/>
    <cellStyle name="40% - Accent4 2 2 2 3 4 4" xfId="45270" xr:uid="{00000000-0005-0000-0000-000040730000}"/>
    <cellStyle name="40% - Accent4 2 2 2 3 4 5" xfId="16095" xr:uid="{00000000-0005-0000-0000-000041730000}"/>
    <cellStyle name="40% - Accent4 2 2 2 3 5" xfId="20958" xr:uid="{00000000-0005-0000-0000-000042730000}"/>
    <cellStyle name="40% - Accent4 2 2 2 3 6" xfId="30683" xr:uid="{00000000-0005-0000-0000-000043730000}"/>
    <cellStyle name="40% - Accent4 2 2 2 3 7" xfId="40408" xr:uid="{00000000-0005-0000-0000-000044730000}"/>
    <cellStyle name="40% - Accent4 2 2 2 3 8" xfId="11233" xr:uid="{00000000-0005-0000-0000-000045730000}"/>
    <cellStyle name="40% - Accent4 2 2 2 4" xfId="677" xr:uid="{00000000-0005-0000-0000-000046730000}"/>
    <cellStyle name="40% - Accent4 2 2 2 4 2" xfId="2317" xr:uid="{00000000-0005-0000-0000-000047730000}"/>
    <cellStyle name="40% - Accent4 2 2 2 4 2 2" xfId="7179" xr:uid="{00000000-0005-0000-0000-000048730000}"/>
    <cellStyle name="40% - Accent4 2 2 2 4 2 2 2" xfId="26630" xr:uid="{00000000-0005-0000-0000-000049730000}"/>
    <cellStyle name="40% - Accent4 2 2 2 4 2 2 3" xfId="36355" xr:uid="{00000000-0005-0000-0000-00004A730000}"/>
    <cellStyle name="40% - Accent4 2 2 2 4 2 2 4" xfId="46080" xr:uid="{00000000-0005-0000-0000-00004B730000}"/>
    <cellStyle name="40% - Accent4 2 2 2 4 2 2 5" xfId="16905" xr:uid="{00000000-0005-0000-0000-00004C730000}"/>
    <cellStyle name="40% - Accent4 2 2 2 4 2 3" xfId="21768" xr:uid="{00000000-0005-0000-0000-00004D730000}"/>
    <cellStyle name="40% - Accent4 2 2 2 4 2 4" xfId="31493" xr:uid="{00000000-0005-0000-0000-00004E730000}"/>
    <cellStyle name="40% - Accent4 2 2 2 4 2 5" xfId="41218" xr:uid="{00000000-0005-0000-0000-00004F730000}"/>
    <cellStyle name="40% - Accent4 2 2 2 4 2 6" xfId="12043" xr:uid="{00000000-0005-0000-0000-000050730000}"/>
    <cellStyle name="40% - Accent4 2 2 2 4 3" xfId="3937" xr:uid="{00000000-0005-0000-0000-000051730000}"/>
    <cellStyle name="40% - Accent4 2 2 2 4 3 2" xfId="8799" xr:uid="{00000000-0005-0000-0000-000052730000}"/>
    <cellStyle name="40% - Accent4 2 2 2 4 3 2 2" xfId="28250" xr:uid="{00000000-0005-0000-0000-000053730000}"/>
    <cellStyle name="40% - Accent4 2 2 2 4 3 2 3" xfId="37975" xr:uid="{00000000-0005-0000-0000-000054730000}"/>
    <cellStyle name="40% - Accent4 2 2 2 4 3 2 4" xfId="47700" xr:uid="{00000000-0005-0000-0000-000055730000}"/>
    <cellStyle name="40% - Accent4 2 2 2 4 3 2 5" xfId="18525" xr:uid="{00000000-0005-0000-0000-000056730000}"/>
    <cellStyle name="40% - Accent4 2 2 2 4 3 3" xfId="23388" xr:uid="{00000000-0005-0000-0000-000057730000}"/>
    <cellStyle name="40% - Accent4 2 2 2 4 3 4" xfId="33113" xr:uid="{00000000-0005-0000-0000-000058730000}"/>
    <cellStyle name="40% - Accent4 2 2 2 4 3 5" xfId="42838" xr:uid="{00000000-0005-0000-0000-000059730000}"/>
    <cellStyle name="40% - Accent4 2 2 2 4 3 6" xfId="13663" xr:uid="{00000000-0005-0000-0000-00005A730000}"/>
    <cellStyle name="40% - Accent4 2 2 2 4 4" xfId="5559" xr:uid="{00000000-0005-0000-0000-00005B730000}"/>
    <cellStyle name="40% - Accent4 2 2 2 4 4 2" xfId="25010" xr:uid="{00000000-0005-0000-0000-00005C730000}"/>
    <cellStyle name="40% - Accent4 2 2 2 4 4 3" xfId="34735" xr:uid="{00000000-0005-0000-0000-00005D730000}"/>
    <cellStyle name="40% - Accent4 2 2 2 4 4 4" xfId="44460" xr:uid="{00000000-0005-0000-0000-00005E730000}"/>
    <cellStyle name="40% - Accent4 2 2 2 4 4 5" xfId="15285" xr:uid="{00000000-0005-0000-0000-00005F730000}"/>
    <cellStyle name="40% - Accent4 2 2 2 4 5" xfId="20148" xr:uid="{00000000-0005-0000-0000-000060730000}"/>
    <cellStyle name="40% - Accent4 2 2 2 4 6" xfId="29873" xr:uid="{00000000-0005-0000-0000-000061730000}"/>
    <cellStyle name="40% - Accent4 2 2 2 4 7" xfId="39598" xr:uid="{00000000-0005-0000-0000-000062730000}"/>
    <cellStyle name="40% - Accent4 2 2 2 4 8" xfId="10423" xr:uid="{00000000-0005-0000-0000-000063730000}"/>
    <cellStyle name="40% - Accent4 2 2 2 5" xfId="1957" xr:uid="{00000000-0005-0000-0000-000064730000}"/>
    <cellStyle name="40% - Accent4 2 2 2 5 2" xfId="6819" xr:uid="{00000000-0005-0000-0000-000065730000}"/>
    <cellStyle name="40% - Accent4 2 2 2 5 2 2" xfId="26270" xr:uid="{00000000-0005-0000-0000-000066730000}"/>
    <cellStyle name="40% - Accent4 2 2 2 5 2 3" xfId="35995" xr:uid="{00000000-0005-0000-0000-000067730000}"/>
    <cellStyle name="40% - Accent4 2 2 2 5 2 4" xfId="45720" xr:uid="{00000000-0005-0000-0000-000068730000}"/>
    <cellStyle name="40% - Accent4 2 2 2 5 2 5" xfId="16545" xr:uid="{00000000-0005-0000-0000-000069730000}"/>
    <cellStyle name="40% - Accent4 2 2 2 5 3" xfId="21408" xr:uid="{00000000-0005-0000-0000-00006A730000}"/>
    <cellStyle name="40% - Accent4 2 2 2 5 4" xfId="31133" xr:uid="{00000000-0005-0000-0000-00006B730000}"/>
    <cellStyle name="40% - Accent4 2 2 2 5 5" xfId="40858" xr:uid="{00000000-0005-0000-0000-00006C730000}"/>
    <cellStyle name="40% - Accent4 2 2 2 5 6" xfId="11683" xr:uid="{00000000-0005-0000-0000-00006D730000}"/>
    <cellStyle name="40% - Accent4 2 2 2 6" xfId="3577" xr:uid="{00000000-0005-0000-0000-00006E730000}"/>
    <cellStyle name="40% - Accent4 2 2 2 6 2" xfId="8439" xr:uid="{00000000-0005-0000-0000-00006F730000}"/>
    <cellStyle name="40% - Accent4 2 2 2 6 2 2" xfId="27890" xr:uid="{00000000-0005-0000-0000-000070730000}"/>
    <cellStyle name="40% - Accent4 2 2 2 6 2 3" xfId="37615" xr:uid="{00000000-0005-0000-0000-000071730000}"/>
    <cellStyle name="40% - Accent4 2 2 2 6 2 4" xfId="47340" xr:uid="{00000000-0005-0000-0000-000072730000}"/>
    <cellStyle name="40% - Accent4 2 2 2 6 2 5" xfId="18165" xr:uid="{00000000-0005-0000-0000-000073730000}"/>
    <cellStyle name="40% - Accent4 2 2 2 6 3" xfId="23028" xr:uid="{00000000-0005-0000-0000-000074730000}"/>
    <cellStyle name="40% - Accent4 2 2 2 6 4" xfId="32753" xr:uid="{00000000-0005-0000-0000-000075730000}"/>
    <cellStyle name="40% - Accent4 2 2 2 6 5" xfId="42478" xr:uid="{00000000-0005-0000-0000-000076730000}"/>
    <cellStyle name="40% - Accent4 2 2 2 6 6" xfId="13303" xr:uid="{00000000-0005-0000-0000-000077730000}"/>
    <cellStyle name="40% - Accent4 2 2 2 7" xfId="5199" xr:uid="{00000000-0005-0000-0000-000078730000}"/>
    <cellStyle name="40% - Accent4 2 2 2 7 2" xfId="24650" xr:uid="{00000000-0005-0000-0000-000079730000}"/>
    <cellStyle name="40% - Accent4 2 2 2 7 3" xfId="34375" xr:uid="{00000000-0005-0000-0000-00007A730000}"/>
    <cellStyle name="40% - Accent4 2 2 2 7 4" xfId="44100" xr:uid="{00000000-0005-0000-0000-00007B730000}"/>
    <cellStyle name="40% - Accent4 2 2 2 7 5" xfId="14925" xr:uid="{00000000-0005-0000-0000-00007C730000}"/>
    <cellStyle name="40% - Accent4 2 2 2 8" xfId="19788" xr:uid="{00000000-0005-0000-0000-00007D730000}"/>
    <cellStyle name="40% - Accent4 2 2 2 9" xfId="29513" xr:uid="{00000000-0005-0000-0000-00007E730000}"/>
    <cellStyle name="40% - Accent4 2 2 3" xfId="366" xr:uid="{00000000-0005-0000-0000-00007F730000}"/>
    <cellStyle name="40% - Accent4 2 2 3 10" xfId="39328" xr:uid="{00000000-0005-0000-0000-000080730000}"/>
    <cellStyle name="40% - Accent4 2 2 3 11" xfId="10153" xr:uid="{00000000-0005-0000-0000-000081730000}"/>
    <cellStyle name="40% - Accent4 2 2 3 2" xfId="1129" xr:uid="{00000000-0005-0000-0000-000082730000}"/>
    <cellStyle name="40% - Accent4 2 2 3 2 2" xfId="2767" xr:uid="{00000000-0005-0000-0000-000083730000}"/>
    <cellStyle name="40% - Accent4 2 2 3 2 2 2" xfId="7629" xr:uid="{00000000-0005-0000-0000-000084730000}"/>
    <cellStyle name="40% - Accent4 2 2 3 2 2 2 2" xfId="27080" xr:uid="{00000000-0005-0000-0000-000085730000}"/>
    <cellStyle name="40% - Accent4 2 2 3 2 2 2 3" xfId="36805" xr:uid="{00000000-0005-0000-0000-000086730000}"/>
    <cellStyle name="40% - Accent4 2 2 3 2 2 2 4" xfId="46530" xr:uid="{00000000-0005-0000-0000-000087730000}"/>
    <cellStyle name="40% - Accent4 2 2 3 2 2 2 5" xfId="17355" xr:uid="{00000000-0005-0000-0000-000088730000}"/>
    <cellStyle name="40% - Accent4 2 2 3 2 2 3" xfId="22218" xr:uid="{00000000-0005-0000-0000-000089730000}"/>
    <cellStyle name="40% - Accent4 2 2 3 2 2 4" xfId="31943" xr:uid="{00000000-0005-0000-0000-00008A730000}"/>
    <cellStyle name="40% - Accent4 2 2 3 2 2 5" xfId="41668" xr:uid="{00000000-0005-0000-0000-00008B730000}"/>
    <cellStyle name="40% - Accent4 2 2 3 2 2 6" xfId="12493" xr:uid="{00000000-0005-0000-0000-00008C730000}"/>
    <cellStyle name="40% - Accent4 2 2 3 2 3" xfId="4387" xr:uid="{00000000-0005-0000-0000-00008D730000}"/>
    <cellStyle name="40% - Accent4 2 2 3 2 3 2" xfId="9249" xr:uid="{00000000-0005-0000-0000-00008E730000}"/>
    <cellStyle name="40% - Accent4 2 2 3 2 3 2 2" xfId="28700" xr:uid="{00000000-0005-0000-0000-00008F730000}"/>
    <cellStyle name="40% - Accent4 2 2 3 2 3 2 3" xfId="38425" xr:uid="{00000000-0005-0000-0000-000090730000}"/>
    <cellStyle name="40% - Accent4 2 2 3 2 3 2 4" xfId="48150" xr:uid="{00000000-0005-0000-0000-000091730000}"/>
    <cellStyle name="40% - Accent4 2 2 3 2 3 2 5" xfId="18975" xr:uid="{00000000-0005-0000-0000-000092730000}"/>
    <cellStyle name="40% - Accent4 2 2 3 2 3 3" xfId="23838" xr:uid="{00000000-0005-0000-0000-000093730000}"/>
    <cellStyle name="40% - Accent4 2 2 3 2 3 4" xfId="33563" xr:uid="{00000000-0005-0000-0000-000094730000}"/>
    <cellStyle name="40% - Accent4 2 2 3 2 3 5" xfId="43288" xr:uid="{00000000-0005-0000-0000-000095730000}"/>
    <cellStyle name="40% - Accent4 2 2 3 2 3 6" xfId="14113" xr:uid="{00000000-0005-0000-0000-000096730000}"/>
    <cellStyle name="40% - Accent4 2 2 3 2 4" xfId="6009" xr:uid="{00000000-0005-0000-0000-000097730000}"/>
    <cellStyle name="40% - Accent4 2 2 3 2 4 2" xfId="25460" xr:uid="{00000000-0005-0000-0000-000098730000}"/>
    <cellStyle name="40% - Accent4 2 2 3 2 4 3" xfId="35185" xr:uid="{00000000-0005-0000-0000-000099730000}"/>
    <cellStyle name="40% - Accent4 2 2 3 2 4 4" xfId="44910" xr:uid="{00000000-0005-0000-0000-00009A730000}"/>
    <cellStyle name="40% - Accent4 2 2 3 2 4 5" xfId="15735" xr:uid="{00000000-0005-0000-0000-00009B730000}"/>
    <cellStyle name="40% - Accent4 2 2 3 2 5" xfId="20598" xr:uid="{00000000-0005-0000-0000-00009C730000}"/>
    <cellStyle name="40% - Accent4 2 2 3 2 6" xfId="30323" xr:uid="{00000000-0005-0000-0000-00009D730000}"/>
    <cellStyle name="40% - Accent4 2 2 3 2 7" xfId="40048" xr:uid="{00000000-0005-0000-0000-00009E730000}"/>
    <cellStyle name="40% - Accent4 2 2 3 2 8" xfId="10873" xr:uid="{00000000-0005-0000-0000-00009F730000}"/>
    <cellStyle name="40% - Accent4 2 2 3 3" xfId="1596" xr:uid="{00000000-0005-0000-0000-0000A0730000}"/>
    <cellStyle name="40% - Accent4 2 2 3 3 2" xfId="3217" xr:uid="{00000000-0005-0000-0000-0000A1730000}"/>
    <cellStyle name="40% - Accent4 2 2 3 3 2 2" xfId="8079" xr:uid="{00000000-0005-0000-0000-0000A2730000}"/>
    <cellStyle name="40% - Accent4 2 2 3 3 2 2 2" xfId="27530" xr:uid="{00000000-0005-0000-0000-0000A3730000}"/>
    <cellStyle name="40% - Accent4 2 2 3 3 2 2 3" xfId="37255" xr:uid="{00000000-0005-0000-0000-0000A4730000}"/>
    <cellStyle name="40% - Accent4 2 2 3 3 2 2 4" xfId="46980" xr:uid="{00000000-0005-0000-0000-0000A5730000}"/>
    <cellStyle name="40% - Accent4 2 2 3 3 2 2 5" xfId="17805" xr:uid="{00000000-0005-0000-0000-0000A6730000}"/>
    <cellStyle name="40% - Accent4 2 2 3 3 2 3" xfId="22668" xr:uid="{00000000-0005-0000-0000-0000A7730000}"/>
    <cellStyle name="40% - Accent4 2 2 3 3 2 4" xfId="32393" xr:uid="{00000000-0005-0000-0000-0000A8730000}"/>
    <cellStyle name="40% - Accent4 2 2 3 3 2 5" xfId="42118" xr:uid="{00000000-0005-0000-0000-0000A9730000}"/>
    <cellStyle name="40% - Accent4 2 2 3 3 2 6" xfId="12943" xr:uid="{00000000-0005-0000-0000-0000AA730000}"/>
    <cellStyle name="40% - Accent4 2 2 3 3 3" xfId="4837" xr:uid="{00000000-0005-0000-0000-0000AB730000}"/>
    <cellStyle name="40% - Accent4 2 2 3 3 3 2" xfId="9699" xr:uid="{00000000-0005-0000-0000-0000AC730000}"/>
    <cellStyle name="40% - Accent4 2 2 3 3 3 2 2" xfId="29150" xr:uid="{00000000-0005-0000-0000-0000AD730000}"/>
    <cellStyle name="40% - Accent4 2 2 3 3 3 2 3" xfId="38875" xr:uid="{00000000-0005-0000-0000-0000AE730000}"/>
    <cellStyle name="40% - Accent4 2 2 3 3 3 2 4" xfId="48600" xr:uid="{00000000-0005-0000-0000-0000AF730000}"/>
    <cellStyle name="40% - Accent4 2 2 3 3 3 2 5" xfId="19425" xr:uid="{00000000-0005-0000-0000-0000B0730000}"/>
    <cellStyle name="40% - Accent4 2 2 3 3 3 3" xfId="24288" xr:uid="{00000000-0005-0000-0000-0000B1730000}"/>
    <cellStyle name="40% - Accent4 2 2 3 3 3 4" xfId="34013" xr:uid="{00000000-0005-0000-0000-0000B2730000}"/>
    <cellStyle name="40% - Accent4 2 2 3 3 3 5" xfId="43738" xr:uid="{00000000-0005-0000-0000-0000B3730000}"/>
    <cellStyle name="40% - Accent4 2 2 3 3 3 6" xfId="14563" xr:uid="{00000000-0005-0000-0000-0000B4730000}"/>
    <cellStyle name="40% - Accent4 2 2 3 3 4" xfId="6459" xr:uid="{00000000-0005-0000-0000-0000B5730000}"/>
    <cellStyle name="40% - Accent4 2 2 3 3 4 2" xfId="25910" xr:uid="{00000000-0005-0000-0000-0000B6730000}"/>
    <cellStyle name="40% - Accent4 2 2 3 3 4 3" xfId="35635" xr:uid="{00000000-0005-0000-0000-0000B7730000}"/>
    <cellStyle name="40% - Accent4 2 2 3 3 4 4" xfId="45360" xr:uid="{00000000-0005-0000-0000-0000B8730000}"/>
    <cellStyle name="40% - Accent4 2 2 3 3 4 5" xfId="16185" xr:uid="{00000000-0005-0000-0000-0000B9730000}"/>
    <cellStyle name="40% - Accent4 2 2 3 3 5" xfId="21048" xr:uid="{00000000-0005-0000-0000-0000BA730000}"/>
    <cellStyle name="40% - Accent4 2 2 3 3 6" xfId="30773" xr:uid="{00000000-0005-0000-0000-0000BB730000}"/>
    <cellStyle name="40% - Accent4 2 2 3 3 7" xfId="40498" xr:uid="{00000000-0005-0000-0000-0000BC730000}"/>
    <cellStyle name="40% - Accent4 2 2 3 3 8" xfId="11323" xr:uid="{00000000-0005-0000-0000-0000BD730000}"/>
    <cellStyle name="40% - Accent4 2 2 3 4" xfId="767" xr:uid="{00000000-0005-0000-0000-0000BE730000}"/>
    <cellStyle name="40% - Accent4 2 2 3 4 2" xfId="2407" xr:uid="{00000000-0005-0000-0000-0000BF730000}"/>
    <cellStyle name="40% - Accent4 2 2 3 4 2 2" xfId="7269" xr:uid="{00000000-0005-0000-0000-0000C0730000}"/>
    <cellStyle name="40% - Accent4 2 2 3 4 2 2 2" xfId="26720" xr:uid="{00000000-0005-0000-0000-0000C1730000}"/>
    <cellStyle name="40% - Accent4 2 2 3 4 2 2 3" xfId="36445" xr:uid="{00000000-0005-0000-0000-0000C2730000}"/>
    <cellStyle name="40% - Accent4 2 2 3 4 2 2 4" xfId="46170" xr:uid="{00000000-0005-0000-0000-0000C3730000}"/>
    <cellStyle name="40% - Accent4 2 2 3 4 2 2 5" xfId="16995" xr:uid="{00000000-0005-0000-0000-0000C4730000}"/>
    <cellStyle name="40% - Accent4 2 2 3 4 2 3" xfId="21858" xr:uid="{00000000-0005-0000-0000-0000C5730000}"/>
    <cellStyle name="40% - Accent4 2 2 3 4 2 4" xfId="31583" xr:uid="{00000000-0005-0000-0000-0000C6730000}"/>
    <cellStyle name="40% - Accent4 2 2 3 4 2 5" xfId="41308" xr:uid="{00000000-0005-0000-0000-0000C7730000}"/>
    <cellStyle name="40% - Accent4 2 2 3 4 2 6" xfId="12133" xr:uid="{00000000-0005-0000-0000-0000C8730000}"/>
    <cellStyle name="40% - Accent4 2 2 3 4 3" xfId="4027" xr:uid="{00000000-0005-0000-0000-0000C9730000}"/>
    <cellStyle name="40% - Accent4 2 2 3 4 3 2" xfId="8889" xr:uid="{00000000-0005-0000-0000-0000CA730000}"/>
    <cellStyle name="40% - Accent4 2 2 3 4 3 2 2" xfId="28340" xr:uid="{00000000-0005-0000-0000-0000CB730000}"/>
    <cellStyle name="40% - Accent4 2 2 3 4 3 2 3" xfId="38065" xr:uid="{00000000-0005-0000-0000-0000CC730000}"/>
    <cellStyle name="40% - Accent4 2 2 3 4 3 2 4" xfId="47790" xr:uid="{00000000-0005-0000-0000-0000CD730000}"/>
    <cellStyle name="40% - Accent4 2 2 3 4 3 2 5" xfId="18615" xr:uid="{00000000-0005-0000-0000-0000CE730000}"/>
    <cellStyle name="40% - Accent4 2 2 3 4 3 3" xfId="23478" xr:uid="{00000000-0005-0000-0000-0000CF730000}"/>
    <cellStyle name="40% - Accent4 2 2 3 4 3 4" xfId="33203" xr:uid="{00000000-0005-0000-0000-0000D0730000}"/>
    <cellStyle name="40% - Accent4 2 2 3 4 3 5" xfId="42928" xr:uid="{00000000-0005-0000-0000-0000D1730000}"/>
    <cellStyle name="40% - Accent4 2 2 3 4 3 6" xfId="13753" xr:uid="{00000000-0005-0000-0000-0000D2730000}"/>
    <cellStyle name="40% - Accent4 2 2 3 4 4" xfId="5649" xr:uid="{00000000-0005-0000-0000-0000D3730000}"/>
    <cellStyle name="40% - Accent4 2 2 3 4 4 2" xfId="25100" xr:uid="{00000000-0005-0000-0000-0000D4730000}"/>
    <cellStyle name="40% - Accent4 2 2 3 4 4 3" xfId="34825" xr:uid="{00000000-0005-0000-0000-0000D5730000}"/>
    <cellStyle name="40% - Accent4 2 2 3 4 4 4" xfId="44550" xr:uid="{00000000-0005-0000-0000-0000D6730000}"/>
    <cellStyle name="40% - Accent4 2 2 3 4 4 5" xfId="15375" xr:uid="{00000000-0005-0000-0000-0000D7730000}"/>
    <cellStyle name="40% - Accent4 2 2 3 4 5" xfId="20238" xr:uid="{00000000-0005-0000-0000-0000D8730000}"/>
    <cellStyle name="40% - Accent4 2 2 3 4 6" xfId="29963" xr:uid="{00000000-0005-0000-0000-0000D9730000}"/>
    <cellStyle name="40% - Accent4 2 2 3 4 7" xfId="39688" xr:uid="{00000000-0005-0000-0000-0000DA730000}"/>
    <cellStyle name="40% - Accent4 2 2 3 4 8" xfId="10513" xr:uid="{00000000-0005-0000-0000-0000DB730000}"/>
    <cellStyle name="40% - Accent4 2 2 3 5" xfId="2047" xr:uid="{00000000-0005-0000-0000-0000DC730000}"/>
    <cellStyle name="40% - Accent4 2 2 3 5 2" xfId="6909" xr:uid="{00000000-0005-0000-0000-0000DD730000}"/>
    <cellStyle name="40% - Accent4 2 2 3 5 2 2" xfId="26360" xr:uid="{00000000-0005-0000-0000-0000DE730000}"/>
    <cellStyle name="40% - Accent4 2 2 3 5 2 3" xfId="36085" xr:uid="{00000000-0005-0000-0000-0000DF730000}"/>
    <cellStyle name="40% - Accent4 2 2 3 5 2 4" xfId="45810" xr:uid="{00000000-0005-0000-0000-0000E0730000}"/>
    <cellStyle name="40% - Accent4 2 2 3 5 2 5" xfId="16635" xr:uid="{00000000-0005-0000-0000-0000E1730000}"/>
    <cellStyle name="40% - Accent4 2 2 3 5 3" xfId="21498" xr:uid="{00000000-0005-0000-0000-0000E2730000}"/>
    <cellStyle name="40% - Accent4 2 2 3 5 4" xfId="31223" xr:uid="{00000000-0005-0000-0000-0000E3730000}"/>
    <cellStyle name="40% - Accent4 2 2 3 5 5" xfId="40948" xr:uid="{00000000-0005-0000-0000-0000E4730000}"/>
    <cellStyle name="40% - Accent4 2 2 3 5 6" xfId="11773" xr:uid="{00000000-0005-0000-0000-0000E5730000}"/>
    <cellStyle name="40% - Accent4 2 2 3 6" xfId="3667" xr:uid="{00000000-0005-0000-0000-0000E6730000}"/>
    <cellStyle name="40% - Accent4 2 2 3 6 2" xfId="8529" xr:uid="{00000000-0005-0000-0000-0000E7730000}"/>
    <cellStyle name="40% - Accent4 2 2 3 6 2 2" xfId="27980" xr:uid="{00000000-0005-0000-0000-0000E8730000}"/>
    <cellStyle name="40% - Accent4 2 2 3 6 2 3" xfId="37705" xr:uid="{00000000-0005-0000-0000-0000E9730000}"/>
    <cellStyle name="40% - Accent4 2 2 3 6 2 4" xfId="47430" xr:uid="{00000000-0005-0000-0000-0000EA730000}"/>
    <cellStyle name="40% - Accent4 2 2 3 6 2 5" xfId="18255" xr:uid="{00000000-0005-0000-0000-0000EB730000}"/>
    <cellStyle name="40% - Accent4 2 2 3 6 3" xfId="23118" xr:uid="{00000000-0005-0000-0000-0000EC730000}"/>
    <cellStyle name="40% - Accent4 2 2 3 6 4" xfId="32843" xr:uid="{00000000-0005-0000-0000-0000ED730000}"/>
    <cellStyle name="40% - Accent4 2 2 3 6 5" xfId="42568" xr:uid="{00000000-0005-0000-0000-0000EE730000}"/>
    <cellStyle name="40% - Accent4 2 2 3 6 6" xfId="13393" xr:uid="{00000000-0005-0000-0000-0000EF730000}"/>
    <cellStyle name="40% - Accent4 2 2 3 7" xfId="5289" xr:uid="{00000000-0005-0000-0000-0000F0730000}"/>
    <cellStyle name="40% - Accent4 2 2 3 7 2" xfId="24740" xr:uid="{00000000-0005-0000-0000-0000F1730000}"/>
    <cellStyle name="40% - Accent4 2 2 3 7 3" xfId="34465" xr:uid="{00000000-0005-0000-0000-0000F2730000}"/>
    <cellStyle name="40% - Accent4 2 2 3 7 4" xfId="44190" xr:uid="{00000000-0005-0000-0000-0000F3730000}"/>
    <cellStyle name="40% - Accent4 2 2 3 7 5" xfId="15015" xr:uid="{00000000-0005-0000-0000-0000F4730000}"/>
    <cellStyle name="40% - Accent4 2 2 3 8" xfId="19878" xr:uid="{00000000-0005-0000-0000-0000F5730000}"/>
    <cellStyle name="40% - Accent4 2 2 3 9" xfId="29603" xr:uid="{00000000-0005-0000-0000-0000F6730000}"/>
    <cellStyle name="40% - Accent4 2 2 4" xfId="184" xr:uid="{00000000-0005-0000-0000-0000F7730000}"/>
    <cellStyle name="40% - Accent4 2 2 4 10" xfId="39148" xr:uid="{00000000-0005-0000-0000-0000F8730000}"/>
    <cellStyle name="40% - Accent4 2 2 4 11" xfId="9973" xr:uid="{00000000-0005-0000-0000-0000F9730000}"/>
    <cellStyle name="40% - Accent4 2 2 4 2" xfId="948" xr:uid="{00000000-0005-0000-0000-0000FA730000}"/>
    <cellStyle name="40% - Accent4 2 2 4 2 2" xfId="2587" xr:uid="{00000000-0005-0000-0000-0000FB730000}"/>
    <cellStyle name="40% - Accent4 2 2 4 2 2 2" xfId="7449" xr:uid="{00000000-0005-0000-0000-0000FC730000}"/>
    <cellStyle name="40% - Accent4 2 2 4 2 2 2 2" xfId="26900" xr:uid="{00000000-0005-0000-0000-0000FD730000}"/>
    <cellStyle name="40% - Accent4 2 2 4 2 2 2 3" xfId="36625" xr:uid="{00000000-0005-0000-0000-0000FE730000}"/>
    <cellStyle name="40% - Accent4 2 2 4 2 2 2 4" xfId="46350" xr:uid="{00000000-0005-0000-0000-0000FF730000}"/>
    <cellStyle name="40% - Accent4 2 2 4 2 2 2 5" xfId="17175" xr:uid="{00000000-0005-0000-0000-000000740000}"/>
    <cellStyle name="40% - Accent4 2 2 4 2 2 3" xfId="22038" xr:uid="{00000000-0005-0000-0000-000001740000}"/>
    <cellStyle name="40% - Accent4 2 2 4 2 2 4" xfId="31763" xr:uid="{00000000-0005-0000-0000-000002740000}"/>
    <cellStyle name="40% - Accent4 2 2 4 2 2 5" xfId="41488" xr:uid="{00000000-0005-0000-0000-000003740000}"/>
    <cellStyle name="40% - Accent4 2 2 4 2 2 6" xfId="12313" xr:uid="{00000000-0005-0000-0000-000004740000}"/>
    <cellStyle name="40% - Accent4 2 2 4 2 3" xfId="4207" xr:uid="{00000000-0005-0000-0000-000005740000}"/>
    <cellStyle name="40% - Accent4 2 2 4 2 3 2" xfId="9069" xr:uid="{00000000-0005-0000-0000-000006740000}"/>
    <cellStyle name="40% - Accent4 2 2 4 2 3 2 2" xfId="28520" xr:uid="{00000000-0005-0000-0000-000007740000}"/>
    <cellStyle name="40% - Accent4 2 2 4 2 3 2 3" xfId="38245" xr:uid="{00000000-0005-0000-0000-000008740000}"/>
    <cellStyle name="40% - Accent4 2 2 4 2 3 2 4" xfId="47970" xr:uid="{00000000-0005-0000-0000-000009740000}"/>
    <cellStyle name="40% - Accent4 2 2 4 2 3 2 5" xfId="18795" xr:uid="{00000000-0005-0000-0000-00000A740000}"/>
    <cellStyle name="40% - Accent4 2 2 4 2 3 3" xfId="23658" xr:uid="{00000000-0005-0000-0000-00000B740000}"/>
    <cellStyle name="40% - Accent4 2 2 4 2 3 4" xfId="33383" xr:uid="{00000000-0005-0000-0000-00000C740000}"/>
    <cellStyle name="40% - Accent4 2 2 4 2 3 5" xfId="43108" xr:uid="{00000000-0005-0000-0000-00000D740000}"/>
    <cellStyle name="40% - Accent4 2 2 4 2 3 6" xfId="13933" xr:uid="{00000000-0005-0000-0000-00000E740000}"/>
    <cellStyle name="40% - Accent4 2 2 4 2 4" xfId="5829" xr:uid="{00000000-0005-0000-0000-00000F740000}"/>
    <cellStyle name="40% - Accent4 2 2 4 2 4 2" xfId="25280" xr:uid="{00000000-0005-0000-0000-000010740000}"/>
    <cellStyle name="40% - Accent4 2 2 4 2 4 3" xfId="35005" xr:uid="{00000000-0005-0000-0000-000011740000}"/>
    <cellStyle name="40% - Accent4 2 2 4 2 4 4" xfId="44730" xr:uid="{00000000-0005-0000-0000-000012740000}"/>
    <cellStyle name="40% - Accent4 2 2 4 2 4 5" xfId="15555" xr:uid="{00000000-0005-0000-0000-000013740000}"/>
    <cellStyle name="40% - Accent4 2 2 4 2 5" xfId="20418" xr:uid="{00000000-0005-0000-0000-000014740000}"/>
    <cellStyle name="40% - Accent4 2 2 4 2 6" xfId="30143" xr:uid="{00000000-0005-0000-0000-000015740000}"/>
    <cellStyle name="40% - Accent4 2 2 4 2 7" xfId="39868" xr:uid="{00000000-0005-0000-0000-000016740000}"/>
    <cellStyle name="40% - Accent4 2 2 4 2 8" xfId="10693" xr:uid="{00000000-0005-0000-0000-000017740000}"/>
    <cellStyle name="40% - Accent4 2 2 4 3" xfId="1416" xr:uid="{00000000-0005-0000-0000-000018740000}"/>
    <cellStyle name="40% - Accent4 2 2 4 3 2" xfId="3037" xr:uid="{00000000-0005-0000-0000-000019740000}"/>
    <cellStyle name="40% - Accent4 2 2 4 3 2 2" xfId="7899" xr:uid="{00000000-0005-0000-0000-00001A740000}"/>
    <cellStyle name="40% - Accent4 2 2 4 3 2 2 2" xfId="27350" xr:uid="{00000000-0005-0000-0000-00001B740000}"/>
    <cellStyle name="40% - Accent4 2 2 4 3 2 2 3" xfId="37075" xr:uid="{00000000-0005-0000-0000-00001C740000}"/>
    <cellStyle name="40% - Accent4 2 2 4 3 2 2 4" xfId="46800" xr:uid="{00000000-0005-0000-0000-00001D740000}"/>
    <cellStyle name="40% - Accent4 2 2 4 3 2 2 5" xfId="17625" xr:uid="{00000000-0005-0000-0000-00001E740000}"/>
    <cellStyle name="40% - Accent4 2 2 4 3 2 3" xfId="22488" xr:uid="{00000000-0005-0000-0000-00001F740000}"/>
    <cellStyle name="40% - Accent4 2 2 4 3 2 4" xfId="32213" xr:uid="{00000000-0005-0000-0000-000020740000}"/>
    <cellStyle name="40% - Accent4 2 2 4 3 2 5" xfId="41938" xr:uid="{00000000-0005-0000-0000-000021740000}"/>
    <cellStyle name="40% - Accent4 2 2 4 3 2 6" xfId="12763" xr:uid="{00000000-0005-0000-0000-000022740000}"/>
    <cellStyle name="40% - Accent4 2 2 4 3 3" xfId="4657" xr:uid="{00000000-0005-0000-0000-000023740000}"/>
    <cellStyle name="40% - Accent4 2 2 4 3 3 2" xfId="9519" xr:uid="{00000000-0005-0000-0000-000024740000}"/>
    <cellStyle name="40% - Accent4 2 2 4 3 3 2 2" xfId="28970" xr:uid="{00000000-0005-0000-0000-000025740000}"/>
    <cellStyle name="40% - Accent4 2 2 4 3 3 2 3" xfId="38695" xr:uid="{00000000-0005-0000-0000-000026740000}"/>
    <cellStyle name="40% - Accent4 2 2 4 3 3 2 4" xfId="48420" xr:uid="{00000000-0005-0000-0000-000027740000}"/>
    <cellStyle name="40% - Accent4 2 2 4 3 3 2 5" xfId="19245" xr:uid="{00000000-0005-0000-0000-000028740000}"/>
    <cellStyle name="40% - Accent4 2 2 4 3 3 3" xfId="24108" xr:uid="{00000000-0005-0000-0000-000029740000}"/>
    <cellStyle name="40% - Accent4 2 2 4 3 3 4" xfId="33833" xr:uid="{00000000-0005-0000-0000-00002A740000}"/>
    <cellStyle name="40% - Accent4 2 2 4 3 3 5" xfId="43558" xr:uid="{00000000-0005-0000-0000-00002B740000}"/>
    <cellStyle name="40% - Accent4 2 2 4 3 3 6" xfId="14383" xr:uid="{00000000-0005-0000-0000-00002C740000}"/>
    <cellStyle name="40% - Accent4 2 2 4 3 4" xfId="6279" xr:uid="{00000000-0005-0000-0000-00002D740000}"/>
    <cellStyle name="40% - Accent4 2 2 4 3 4 2" xfId="25730" xr:uid="{00000000-0005-0000-0000-00002E740000}"/>
    <cellStyle name="40% - Accent4 2 2 4 3 4 3" xfId="35455" xr:uid="{00000000-0005-0000-0000-00002F740000}"/>
    <cellStyle name="40% - Accent4 2 2 4 3 4 4" xfId="45180" xr:uid="{00000000-0005-0000-0000-000030740000}"/>
    <cellStyle name="40% - Accent4 2 2 4 3 4 5" xfId="16005" xr:uid="{00000000-0005-0000-0000-000031740000}"/>
    <cellStyle name="40% - Accent4 2 2 4 3 5" xfId="20868" xr:uid="{00000000-0005-0000-0000-000032740000}"/>
    <cellStyle name="40% - Accent4 2 2 4 3 6" xfId="30593" xr:uid="{00000000-0005-0000-0000-000033740000}"/>
    <cellStyle name="40% - Accent4 2 2 4 3 7" xfId="40318" xr:uid="{00000000-0005-0000-0000-000034740000}"/>
    <cellStyle name="40% - Accent4 2 2 4 3 8" xfId="11143" xr:uid="{00000000-0005-0000-0000-000035740000}"/>
    <cellStyle name="40% - Accent4 2 2 4 4" xfId="587" xr:uid="{00000000-0005-0000-0000-000036740000}"/>
    <cellStyle name="40% - Accent4 2 2 4 4 2" xfId="2227" xr:uid="{00000000-0005-0000-0000-000037740000}"/>
    <cellStyle name="40% - Accent4 2 2 4 4 2 2" xfId="7089" xr:uid="{00000000-0005-0000-0000-000038740000}"/>
    <cellStyle name="40% - Accent4 2 2 4 4 2 2 2" xfId="26540" xr:uid="{00000000-0005-0000-0000-000039740000}"/>
    <cellStyle name="40% - Accent4 2 2 4 4 2 2 3" xfId="36265" xr:uid="{00000000-0005-0000-0000-00003A740000}"/>
    <cellStyle name="40% - Accent4 2 2 4 4 2 2 4" xfId="45990" xr:uid="{00000000-0005-0000-0000-00003B740000}"/>
    <cellStyle name="40% - Accent4 2 2 4 4 2 2 5" xfId="16815" xr:uid="{00000000-0005-0000-0000-00003C740000}"/>
    <cellStyle name="40% - Accent4 2 2 4 4 2 3" xfId="21678" xr:uid="{00000000-0005-0000-0000-00003D740000}"/>
    <cellStyle name="40% - Accent4 2 2 4 4 2 4" xfId="31403" xr:uid="{00000000-0005-0000-0000-00003E740000}"/>
    <cellStyle name="40% - Accent4 2 2 4 4 2 5" xfId="41128" xr:uid="{00000000-0005-0000-0000-00003F740000}"/>
    <cellStyle name="40% - Accent4 2 2 4 4 2 6" xfId="11953" xr:uid="{00000000-0005-0000-0000-000040740000}"/>
    <cellStyle name="40% - Accent4 2 2 4 4 3" xfId="3847" xr:uid="{00000000-0005-0000-0000-000041740000}"/>
    <cellStyle name="40% - Accent4 2 2 4 4 3 2" xfId="8709" xr:uid="{00000000-0005-0000-0000-000042740000}"/>
    <cellStyle name="40% - Accent4 2 2 4 4 3 2 2" xfId="28160" xr:uid="{00000000-0005-0000-0000-000043740000}"/>
    <cellStyle name="40% - Accent4 2 2 4 4 3 2 3" xfId="37885" xr:uid="{00000000-0005-0000-0000-000044740000}"/>
    <cellStyle name="40% - Accent4 2 2 4 4 3 2 4" xfId="47610" xr:uid="{00000000-0005-0000-0000-000045740000}"/>
    <cellStyle name="40% - Accent4 2 2 4 4 3 2 5" xfId="18435" xr:uid="{00000000-0005-0000-0000-000046740000}"/>
    <cellStyle name="40% - Accent4 2 2 4 4 3 3" xfId="23298" xr:uid="{00000000-0005-0000-0000-000047740000}"/>
    <cellStyle name="40% - Accent4 2 2 4 4 3 4" xfId="33023" xr:uid="{00000000-0005-0000-0000-000048740000}"/>
    <cellStyle name="40% - Accent4 2 2 4 4 3 5" xfId="42748" xr:uid="{00000000-0005-0000-0000-000049740000}"/>
    <cellStyle name="40% - Accent4 2 2 4 4 3 6" xfId="13573" xr:uid="{00000000-0005-0000-0000-00004A740000}"/>
    <cellStyle name="40% - Accent4 2 2 4 4 4" xfId="5469" xr:uid="{00000000-0005-0000-0000-00004B740000}"/>
    <cellStyle name="40% - Accent4 2 2 4 4 4 2" xfId="24920" xr:uid="{00000000-0005-0000-0000-00004C740000}"/>
    <cellStyle name="40% - Accent4 2 2 4 4 4 3" xfId="34645" xr:uid="{00000000-0005-0000-0000-00004D740000}"/>
    <cellStyle name="40% - Accent4 2 2 4 4 4 4" xfId="44370" xr:uid="{00000000-0005-0000-0000-00004E740000}"/>
    <cellStyle name="40% - Accent4 2 2 4 4 4 5" xfId="15195" xr:uid="{00000000-0005-0000-0000-00004F740000}"/>
    <cellStyle name="40% - Accent4 2 2 4 4 5" xfId="20058" xr:uid="{00000000-0005-0000-0000-000050740000}"/>
    <cellStyle name="40% - Accent4 2 2 4 4 6" xfId="29783" xr:uid="{00000000-0005-0000-0000-000051740000}"/>
    <cellStyle name="40% - Accent4 2 2 4 4 7" xfId="39508" xr:uid="{00000000-0005-0000-0000-000052740000}"/>
    <cellStyle name="40% - Accent4 2 2 4 4 8" xfId="10333" xr:uid="{00000000-0005-0000-0000-000053740000}"/>
    <cellStyle name="40% - Accent4 2 2 4 5" xfId="1867" xr:uid="{00000000-0005-0000-0000-000054740000}"/>
    <cellStyle name="40% - Accent4 2 2 4 5 2" xfId="6729" xr:uid="{00000000-0005-0000-0000-000055740000}"/>
    <cellStyle name="40% - Accent4 2 2 4 5 2 2" xfId="26180" xr:uid="{00000000-0005-0000-0000-000056740000}"/>
    <cellStyle name="40% - Accent4 2 2 4 5 2 3" xfId="35905" xr:uid="{00000000-0005-0000-0000-000057740000}"/>
    <cellStyle name="40% - Accent4 2 2 4 5 2 4" xfId="45630" xr:uid="{00000000-0005-0000-0000-000058740000}"/>
    <cellStyle name="40% - Accent4 2 2 4 5 2 5" xfId="16455" xr:uid="{00000000-0005-0000-0000-000059740000}"/>
    <cellStyle name="40% - Accent4 2 2 4 5 3" xfId="21318" xr:uid="{00000000-0005-0000-0000-00005A740000}"/>
    <cellStyle name="40% - Accent4 2 2 4 5 4" xfId="31043" xr:uid="{00000000-0005-0000-0000-00005B740000}"/>
    <cellStyle name="40% - Accent4 2 2 4 5 5" xfId="40768" xr:uid="{00000000-0005-0000-0000-00005C740000}"/>
    <cellStyle name="40% - Accent4 2 2 4 5 6" xfId="11593" xr:uid="{00000000-0005-0000-0000-00005D740000}"/>
    <cellStyle name="40% - Accent4 2 2 4 6" xfId="3487" xr:uid="{00000000-0005-0000-0000-00005E740000}"/>
    <cellStyle name="40% - Accent4 2 2 4 6 2" xfId="8349" xr:uid="{00000000-0005-0000-0000-00005F740000}"/>
    <cellStyle name="40% - Accent4 2 2 4 6 2 2" xfId="27800" xr:uid="{00000000-0005-0000-0000-000060740000}"/>
    <cellStyle name="40% - Accent4 2 2 4 6 2 3" xfId="37525" xr:uid="{00000000-0005-0000-0000-000061740000}"/>
    <cellStyle name="40% - Accent4 2 2 4 6 2 4" xfId="47250" xr:uid="{00000000-0005-0000-0000-000062740000}"/>
    <cellStyle name="40% - Accent4 2 2 4 6 2 5" xfId="18075" xr:uid="{00000000-0005-0000-0000-000063740000}"/>
    <cellStyle name="40% - Accent4 2 2 4 6 3" xfId="22938" xr:uid="{00000000-0005-0000-0000-000064740000}"/>
    <cellStyle name="40% - Accent4 2 2 4 6 4" xfId="32663" xr:uid="{00000000-0005-0000-0000-000065740000}"/>
    <cellStyle name="40% - Accent4 2 2 4 6 5" xfId="42388" xr:uid="{00000000-0005-0000-0000-000066740000}"/>
    <cellStyle name="40% - Accent4 2 2 4 6 6" xfId="13213" xr:uid="{00000000-0005-0000-0000-000067740000}"/>
    <cellStyle name="40% - Accent4 2 2 4 7" xfId="5109" xr:uid="{00000000-0005-0000-0000-000068740000}"/>
    <cellStyle name="40% - Accent4 2 2 4 7 2" xfId="24560" xr:uid="{00000000-0005-0000-0000-000069740000}"/>
    <cellStyle name="40% - Accent4 2 2 4 7 3" xfId="34285" xr:uid="{00000000-0005-0000-0000-00006A740000}"/>
    <cellStyle name="40% - Accent4 2 2 4 7 4" xfId="44010" xr:uid="{00000000-0005-0000-0000-00006B740000}"/>
    <cellStyle name="40% - Accent4 2 2 4 7 5" xfId="14835" xr:uid="{00000000-0005-0000-0000-00006C740000}"/>
    <cellStyle name="40% - Accent4 2 2 4 8" xfId="19698" xr:uid="{00000000-0005-0000-0000-00006D740000}"/>
    <cellStyle name="40% - Accent4 2 2 4 9" xfId="29423" xr:uid="{00000000-0005-0000-0000-00006E740000}"/>
    <cellStyle name="40% - Accent4 2 2 5" xfId="858" xr:uid="{00000000-0005-0000-0000-00006F740000}"/>
    <cellStyle name="40% - Accent4 2 2 5 2" xfId="2497" xr:uid="{00000000-0005-0000-0000-000070740000}"/>
    <cellStyle name="40% - Accent4 2 2 5 2 2" xfId="7359" xr:uid="{00000000-0005-0000-0000-000071740000}"/>
    <cellStyle name="40% - Accent4 2 2 5 2 2 2" xfId="26810" xr:uid="{00000000-0005-0000-0000-000072740000}"/>
    <cellStyle name="40% - Accent4 2 2 5 2 2 3" xfId="36535" xr:uid="{00000000-0005-0000-0000-000073740000}"/>
    <cellStyle name="40% - Accent4 2 2 5 2 2 4" xfId="46260" xr:uid="{00000000-0005-0000-0000-000074740000}"/>
    <cellStyle name="40% - Accent4 2 2 5 2 2 5" xfId="17085" xr:uid="{00000000-0005-0000-0000-000075740000}"/>
    <cellStyle name="40% - Accent4 2 2 5 2 3" xfId="21948" xr:uid="{00000000-0005-0000-0000-000076740000}"/>
    <cellStyle name="40% - Accent4 2 2 5 2 4" xfId="31673" xr:uid="{00000000-0005-0000-0000-000077740000}"/>
    <cellStyle name="40% - Accent4 2 2 5 2 5" xfId="41398" xr:uid="{00000000-0005-0000-0000-000078740000}"/>
    <cellStyle name="40% - Accent4 2 2 5 2 6" xfId="12223" xr:uid="{00000000-0005-0000-0000-000079740000}"/>
    <cellStyle name="40% - Accent4 2 2 5 3" xfId="4117" xr:uid="{00000000-0005-0000-0000-00007A740000}"/>
    <cellStyle name="40% - Accent4 2 2 5 3 2" xfId="8979" xr:uid="{00000000-0005-0000-0000-00007B740000}"/>
    <cellStyle name="40% - Accent4 2 2 5 3 2 2" xfId="28430" xr:uid="{00000000-0005-0000-0000-00007C740000}"/>
    <cellStyle name="40% - Accent4 2 2 5 3 2 3" xfId="38155" xr:uid="{00000000-0005-0000-0000-00007D740000}"/>
    <cellStyle name="40% - Accent4 2 2 5 3 2 4" xfId="47880" xr:uid="{00000000-0005-0000-0000-00007E740000}"/>
    <cellStyle name="40% - Accent4 2 2 5 3 2 5" xfId="18705" xr:uid="{00000000-0005-0000-0000-00007F740000}"/>
    <cellStyle name="40% - Accent4 2 2 5 3 3" xfId="23568" xr:uid="{00000000-0005-0000-0000-000080740000}"/>
    <cellStyle name="40% - Accent4 2 2 5 3 4" xfId="33293" xr:uid="{00000000-0005-0000-0000-000081740000}"/>
    <cellStyle name="40% - Accent4 2 2 5 3 5" xfId="43018" xr:uid="{00000000-0005-0000-0000-000082740000}"/>
    <cellStyle name="40% - Accent4 2 2 5 3 6" xfId="13843" xr:uid="{00000000-0005-0000-0000-000083740000}"/>
    <cellStyle name="40% - Accent4 2 2 5 4" xfId="5739" xr:uid="{00000000-0005-0000-0000-000084740000}"/>
    <cellStyle name="40% - Accent4 2 2 5 4 2" xfId="25190" xr:uid="{00000000-0005-0000-0000-000085740000}"/>
    <cellStyle name="40% - Accent4 2 2 5 4 3" xfId="34915" xr:uid="{00000000-0005-0000-0000-000086740000}"/>
    <cellStyle name="40% - Accent4 2 2 5 4 4" xfId="44640" xr:uid="{00000000-0005-0000-0000-000087740000}"/>
    <cellStyle name="40% - Accent4 2 2 5 4 5" xfId="15465" xr:uid="{00000000-0005-0000-0000-000088740000}"/>
    <cellStyle name="40% - Accent4 2 2 5 5" xfId="20328" xr:uid="{00000000-0005-0000-0000-000089740000}"/>
    <cellStyle name="40% - Accent4 2 2 5 6" xfId="30053" xr:uid="{00000000-0005-0000-0000-00008A740000}"/>
    <cellStyle name="40% - Accent4 2 2 5 7" xfId="39778" xr:uid="{00000000-0005-0000-0000-00008B740000}"/>
    <cellStyle name="40% - Accent4 2 2 5 8" xfId="10603" xr:uid="{00000000-0005-0000-0000-00008C740000}"/>
    <cellStyle name="40% - Accent4 2 2 6" xfId="1236" xr:uid="{00000000-0005-0000-0000-00008D740000}"/>
    <cellStyle name="40% - Accent4 2 2 6 2" xfId="2857" xr:uid="{00000000-0005-0000-0000-00008E740000}"/>
    <cellStyle name="40% - Accent4 2 2 6 2 2" xfId="7719" xr:uid="{00000000-0005-0000-0000-00008F740000}"/>
    <cellStyle name="40% - Accent4 2 2 6 2 2 2" xfId="27170" xr:uid="{00000000-0005-0000-0000-000090740000}"/>
    <cellStyle name="40% - Accent4 2 2 6 2 2 3" xfId="36895" xr:uid="{00000000-0005-0000-0000-000091740000}"/>
    <cellStyle name="40% - Accent4 2 2 6 2 2 4" xfId="46620" xr:uid="{00000000-0005-0000-0000-000092740000}"/>
    <cellStyle name="40% - Accent4 2 2 6 2 2 5" xfId="17445" xr:uid="{00000000-0005-0000-0000-000093740000}"/>
    <cellStyle name="40% - Accent4 2 2 6 2 3" xfId="22308" xr:uid="{00000000-0005-0000-0000-000094740000}"/>
    <cellStyle name="40% - Accent4 2 2 6 2 4" xfId="32033" xr:uid="{00000000-0005-0000-0000-000095740000}"/>
    <cellStyle name="40% - Accent4 2 2 6 2 5" xfId="41758" xr:uid="{00000000-0005-0000-0000-000096740000}"/>
    <cellStyle name="40% - Accent4 2 2 6 2 6" xfId="12583" xr:uid="{00000000-0005-0000-0000-000097740000}"/>
    <cellStyle name="40% - Accent4 2 2 6 3" xfId="4477" xr:uid="{00000000-0005-0000-0000-000098740000}"/>
    <cellStyle name="40% - Accent4 2 2 6 3 2" xfId="9339" xr:uid="{00000000-0005-0000-0000-000099740000}"/>
    <cellStyle name="40% - Accent4 2 2 6 3 2 2" xfId="28790" xr:uid="{00000000-0005-0000-0000-00009A740000}"/>
    <cellStyle name="40% - Accent4 2 2 6 3 2 3" xfId="38515" xr:uid="{00000000-0005-0000-0000-00009B740000}"/>
    <cellStyle name="40% - Accent4 2 2 6 3 2 4" xfId="48240" xr:uid="{00000000-0005-0000-0000-00009C740000}"/>
    <cellStyle name="40% - Accent4 2 2 6 3 2 5" xfId="19065" xr:uid="{00000000-0005-0000-0000-00009D740000}"/>
    <cellStyle name="40% - Accent4 2 2 6 3 3" xfId="23928" xr:uid="{00000000-0005-0000-0000-00009E740000}"/>
    <cellStyle name="40% - Accent4 2 2 6 3 4" xfId="33653" xr:uid="{00000000-0005-0000-0000-00009F740000}"/>
    <cellStyle name="40% - Accent4 2 2 6 3 5" xfId="43378" xr:uid="{00000000-0005-0000-0000-0000A0740000}"/>
    <cellStyle name="40% - Accent4 2 2 6 3 6" xfId="14203" xr:uid="{00000000-0005-0000-0000-0000A1740000}"/>
    <cellStyle name="40% - Accent4 2 2 6 4" xfId="6099" xr:uid="{00000000-0005-0000-0000-0000A2740000}"/>
    <cellStyle name="40% - Accent4 2 2 6 4 2" xfId="25550" xr:uid="{00000000-0005-0000-0000-0000A3740000}"/>
    <cellStyle name="40% - Accent4 2 2 6 4 3" xfId="35275" xr:uid="{00000000-0005-0000-0000-0000A4740000}"/>
    <cellStyle name="40% - Accent4 2 2 6 4 4" xfId="45000" xr:uid="{00000000-0005-0000-0000-0000A5740000}"/>
    <cellStyle name="40% - Accent4 2 2 6 4 5" xfId="15825" xr:uid="{00000000-0005-0000-0000-0000A6740000}"/>
    <cellStyle name="40% - Accent4 2 2 6 5" xfId="20688" xr:uid="{00000000-0005-0000-0000-0000A7740000}"/>
    <cellStyle name="40% - Accent4 2 2 6 6" xfId="30413" xr:uid="{00000000-0005-0000-0000-0000A8740000}"/>
    <cellStyle name="40% - Accent4 2 2 6 7" xfId="40138" xr:uid="{00000000-0005-0000-0000-0000A9740000}"/>
    <cellStyle name="40% - Accent4 2 2 6 8" xfId="10963" xr:uid="{00000000-0005-0000-0000-0000AA740000}"/>
    <cellStyle name="40% - Accent4 2 2 7" xfId="1326" xr:uid="{00000000-0005-0000-0000-0000AB740000}"/>
    <cellStyle name="40% - Accent4 2 2 7 2" xfId="2947" xr:uid="{00000000-0005-0000-0000-0000AC740000}"/>
    <cellStyle name="40% - Accent4 2 2 7 2 2" xfId="7809" xr:uid="{00000000-0005-0000-0000-0000AD740000}"/>
    <cellStyle name="40% - Accent4 2 2 7 2 2 2" xfId="27260" xr:uid="{00000000-0005-0000-0000-0000AE740000}"/>
    <cellStyle name="40% - Accent4 2 2 7 2 2 3" xfId="36985" xr:uid="{00000000-0005-0000-0000-0000AF740000}"/>
    <cellStyle name="40% - Accent4 2 2 7 2 2 4" xfId="46710" xr:uid="{00000000-0005-0000-0000-0000B0740000}"/>
    <cellStyle name="40% - Accent4 2 2 7 2 2 5" xfId="17535" xr:uid="{00000000-0005-0000-0000-0000B1740000}"/>
    <cellStyle name="40% - Accent4 2 2 7 2 3" xfId="22398" xr:uid="{00000000-0005-0000-0000-0000B2740000}"/>
    <cellStyle name="40% - Accent4 2 2 7 2 4" xfId="32123" xr:uid="{00000000-0005-0000-0000-0000B3740000}"/>
    <cellStyle name="40% - Accent4 2 2 7 2 5" xfId="41848" xr:uid="{00000000-0005-0000-0000-0000B4740000}"/>
    <cellStyle name="40% - Accent4 2 2 7 2 6" xfId="12673" xr:uid="{00000000-0005-0000-0000-0000B5740000}"/>
    <cellStyle name="40% - Accent4 2 2 7 3" xfId="4567" xr:uid="{00000000-0005-0000-0000-0000B6740000}"/>
    <cellStyle name="40% - Accent4 2 2 7 3 2" xfId="9429" xr:uid="{00000000-0005-0000-0000-0000B7740000}"/>
    <cellStyle name="40% - Accent4 2 2 7 3 2 2" xfId="28880" xr:uid="{00000000-0005-0000-0000-0000B8740000}"/>
    <cellStyle name="40% - Accent4 2 2 7 3 2 3" xfId="38605" xr:uid="{00000000-0005-0000-0000-0000B9740000}"/>
    <cellStyle name="40% - Accent4 2 2 7 3 2 4" xfId="48330" xr:uid="{00000000-0005-0000-0000-0000BA740000}"/>
    <cellStyle name="40% - Accent4 2 2 7 3 2 5" xfId="19155" xr:uid="{00000000-0005-0000-0000-0000BB740000}"/>
    <cellStyle name="40% - Accent4 2 2 7 3 3" xfId="24018" xr:uid="{00000000-0005-0000-0000-0000BC740000}"/>
    <cellStyle name="40% - Accent4 2 2 7 3 4" xfId="33743" xr:uid="{00000000-0005-0000-0000-0000BD740000}"/>
    <cellStyle name="40% - Accent4 2 2 7 3 5" xfId="43468" xr:uid="{00000000-0005-0000-0000-0000BE740000}"/>
    <cellStyle name="40% - Accent4 2 2 7 3 6" xfId="14293" xr:uid="{00000000-0005-0000-0000-0000BF740000}"/>
    <cellStyle name="40% - Accent4 2 2 7 4" xfId="6189" xr:uid="{00000000-0005-0000-0000-0000C0740000}"/>
    <cellStyle name="40% - Accent4 2 2 7 4 2" xfId="25640" xr:uid="{00000000-0005-0000-0000-0000C1740000}"/>
    <cellStyle name="40% - Accent4 2 2 7 4 3" xfId="35365" xr:uid="{00000000-0005-0000-0000-0000C2740000}"/>
    <cellStyle name="40% - Accent4 2 2 7 4 4" xfId="45090" xr:uid="{00000000-0005-0000-0000-0000C3740000}"/>
    <cellStyle name="40% - Accent4 2 2 7 4 5" xfId="15915" xr:uid="{00000000-0005-0000-0000-0000C4740000}"/>
    <cellStyle name="40% - Accent4 2 2 7 5" xfId="20778" xr:uid="{00000000-0005-0000-0000-0000C5740000}"/>
    <cellStyle name="40% - Accent4 2 2 7 6" xfId="30503" xr:uid="{00000000-0005-0000-0000-0000C6740000}"/>
    <cellStyle name="40% - Accent4 2 2 7 7" xfId="40228" xr:uid="{00000000-0005-0000-0000-0000C7740000}"/>
    <cellStyle name="40% - Accent4 2 2 7 8" xfId="11053" xr:uid="{00000000-0005-0000-0000-0000C8740000}"/>
    <cellStyle name="40% - Accent4 2 2 8" xfId="497" xr:uid="{00000000-0005-0000-0000-0000C9740000}"/>
    <cellStyle name="40% - Accent4 2 2 8 2" xfId="2137" xr:uid="{00000000-0005-0000-0000-0000CA740000}"/>
    <cellStyle name="40% - Accent4 2 2 8 2 2" xfId="6999" xr:uid="{00000000-0005-0000-0000-0000CB740000}"/>
    <cellStyle name="40% - Accent4 2 2 8 2 2 2" xfId="26450" xr:uid="{00000000-0005-0000-0000-0000CC740000}"/>
    <cellStyle name="40% - Accent4 2 2 8 2 2 3" xfId="36175" xr:uid="{00000000-0005-0000-0000-0000CD740000}"/>
    <cellStyle name="40% - Accent4 2 2 8 2 2 4" xfId="45900" xr:uid="{00000000-0005-0000-0000-0000CE740000}"/>
    <cellStyle name="40% - Accent4 2 2 8 2 2 5" xfId="16725" xr:uid="{00000000-0005-0000-0000-0000CF740000}"/>
    <cellStyle name="40% - Accent4 2 2 8 2 3" xfId="21588" xr:uid="{00000000-0005-0000-0000-0000D0740000}"/>
    <cellStyle name="40% - Accent4 2 2 8 2 4" xfId="31313" xr:uid="{00000000-0005-0000-0000-0000D1740000}"/>
    <cellStyle name="40% - Accent4 2 2 8 2 5" xfId="41038" xr:uid="{00000000-0005-0000-0000-0000D2740000}"/>
    <cellStyle name="40% - Accent4 2 2 8 2 6" xfId="11863" xr:uid="{00000000-0005-0000-0000-0000D3740000}"/>
    <cellStyle name="40% - Accent4 2 2 8 3" xfId="3757" xr:uid="{00000000-0005-0000-0000-0000D4740000}"/>
    <cellStyle name="40% - Accent4 2 2 8 3 2" xfId="8619" xr:uid="{00000000-0005-0000-0000-0000D5740000}"/>
    <cellStyle name="40% - Accent4 2 2 8 3 2 2" xfId="28070" xr:uid="{00000000-0005-0000-0000-0000D6740000}"/>
    <cellStyle name="40% - Accent4 2 2 8 3 2 3" xfId="37795" xr:uid="{00000000-0005-0000-0000-0000D7740000}"/>
    <cellStyle name="40% - Accent4 2 2 8 3 2 4" xfId="47520" xr:uid="{00000000-0005-0000-0000-0000D8740000}"/>
    <cellStyle name="40% - Accent4 2 2 8 3 2 5" xfId="18345" xr:uid="{00000000-0005-0000-0000-0000D9740000}"/>
    <cellStyle name="40% - Accent4 2 2 8 3 3" xfId="23208" xr:uid="{00000000-0005-0000-0000-0000DA740000}"/>
    <cellStyle name="40% - Accent4 2 2 8 3 4" xfId="32933" xr:uid="{00000000-0005-0000-0000-0000DB740000}"/>
    <cellStyle name="40% - Accent4 2 2 8 3 5" xfId="42658" xr:uid="{00000000-0005-0000-0000-0000DC740000}"/>
    <cellStyle name="40% - Accent4 2 2 8 3 6" xfId="13483" xr:uid="{00000000-0005-0000-0000-0000DD740000}"/>
    <cellStyle name="40% - Accent4 2 2 8 4" xfId="5379" xr:uid="{00000000-0005-0000-0000-0000DE740000}"/>
    <cellStyle name="40% - Accent4 2 2 8 4 2" xfId="24830" xr:uid="{00000000-0005-0000-0000-0000DF740000}"/>
    <cellStyle name="40% - Accent4 2 2 8 4 3" xfId="34555" xr:uid="{00000000-0005-0000-0000-0000E0740000}"/>
    <cellStyle name="40% - Accent4 2 2 8 4 4" xfId="44280" xr:uid="{00000000-0005-0000-0000-0000E1740000}"/>
    <cellStyle name="40% - Accent4 2 2 8 4 5" xfId="15105" xr:uid="{00000000-0005-0000-0000-0000E2740000}"/>
    <cellStyle name="40% - Accent4 2 2 8 5" xfId="19968" xr:uid="{00000000-0005-0000-0000-0000E3740000}"/>
    <cellStyle name="40% - Accent4 2 2 8 6" xfId="29693" xr:uid="{00000000-0005-0000-0000-0000E4740000}"/>
    <cellStyle name="40% - Accent4 2 2 8 7" xfId="39418" xr:uid="{00000000-0005-0000-0000-0000E5740000}"/>
    <cellStyle name="40% - Accent4 2 2 8 8" xfId="10243" xr:uid="{00000000-0005-0000-0000-0000E6740000}"/>
    <cellStyle name="40% - Accent4 2 2 9" xfId="1686" xr:uid="{00000000-0005-0000-0000-0000E7740000}"/>
    <cellStyle name="40% - Accent4 2 2 9 2" xfId="3307" xr:uid="{00000000-0005-0000-0000-0000E8740000}"/>
    <cellStyle name="40% - Accent4 2 2 9 2 2" xfId="8169" xr:uid="{00000000-0005-0000-0000-0000E9740000}"/>
    <cellStyle name="40% - Accent4 2 2 9 2 2 2" xfId="27620" xr:uid="{00000000-0005-0000-0000-0000EA740000}"/>
    <cellStyle name="40% - Accent4 2 2 9 2 2 3" xfId="37345" xr:uid="{00000000-0005-0000-0000-0000EB740000}"/>
    <cellStyle name="40% - Accent4 2 2 9 2 2 4" xfId="47070" xr:uid="{00000000-0005-0000-0000-0000EC740000}"/>
    <cellStyle name="40% - Accent4 2 2 9 2 2 5" xfId="17895" xr:uid="{00000000-0005-0000-0000-0000ED740000}"/>
    <cellStyle name="40% - Accent4 2 2 9 2 3" xfId="22758" xr:uid="{00000000-0005-0000-0000-0000EE740000}"/>
    <cellStyle name="40% - Accent4 2 2 9 2 4" xfId="32483" xr:uid="{00000000-0005-0000-0000-0000EF740000}"/>
    <cellStyle name="40% - Accent4 2 2 9 2 5" xfId="42208" xr:uid="{00000000-0005-0000-0000-0000F0740000}"/>
    <cellStyle name="40% - Accent4 2 2 9 2 6" xfId="13033" xr:uid="{00000000-0005-0000-0000-0000F1740000}"/>
    <cellStyle name="40% - Accent4 2 2 9 3" xfId="4927" xr:uid="{00000000-0005-0000-0000-0000F2740000}"/>
    <cellStyle name="40% - Accent4 2 2 9 3 2" xfId="9789" xr:uid="{00000000-0005-0000-0000-0000F3740000}"/>
    <cellStyle name="40% - Accent4 2 2 9 3 2 2" xfId="29240" xr:uid="{00000000-0005-0000-0000-0000F4740000}"/>
    <cellStyle name="40% - Accent4 2 2 9 3 2 3" xfId="38965" xr:uid="{00000000-0005-0000-0000-0000F5740000}"/>
    <cellStyle name="40% - Accent4 2 2 9 3 2 4" xfId="48690" xr:uid="{00000000-0005-0000-0000-0000F6740000}"/>
    <cellStyle name="40% - Accent4 2 2 9 3 2 5" xfId="19515" xr:uid="{00000000-0005-0000-0000-0000F7740000}"/>
    <cellStyle name="40% - Accent4 2 2 9 3 3" xfId="24378" xr:uid="{00000000-0005-0000-0000-0000F8740000}"/>
    <cellStyle name="40% - Accent4 2 2 9 3 4" xfId="34103" xr:uid="{00000000-0005-0000-0000-0000F9740000}"/>
    <cellStyle name="40% - Accent4 2 2 9 3 5" xfId="43828" xr:uid="{00000000-0005-0000-0000-0000FA740000}"/>
    <cellStyle name="40% - Accent4 2 2 9 3 6" xfId="14653" xr:uid="{00000000-0005-0000-0000-0000FB740000}"/>
    <cellStyle name="40% - Accent4 2 2 9 4" xfId="6549" xr:uid="{00000000-0005-0000-0000-0000FC740000}"/>
    <cellStyle name="40% - Accent4 2 2 9 4 2" xfId="26000" xr:uid="{00000000-0005-0000-0000-0000FD740000}"/>
    <cellStyle name="40% - Accent4 2 2 9 4 3" xfId="35725" xr:uid="{00000000-0005-0000-0000-0000FE740000}"/>
    <cellStyle name="40% - Accent4 2 2 9 4 4" xfId="45450" xr:uid="{00000000-0005-0000-0000-0000FF740000}"/>
    <cellStyle name="40% - Accent4 2 2 9 4 5" xfId="16275" xr:uid="{00000000-0005-0000-0000-000000750000}"/>
    <cellStyle name="40% - Accent4 2 2 9 5" xfId="21138" xr:uid="{00000000-0005-0000-0000-000001750000}"/>
    <cellStyle name="40% - Accent4 2 2 9 6" xfId="30863" xr:uid="{00000000-0005-0000-0000-000002750000}"/>
    <cellStyle name="40% - Accent4 2 2 9 7" xfId="40588" xr:uid="{00000000-0005-0000-0000-000003750000}"/>
    <cellStyle name="40% - Accent4 2 2 9 8" xfId="11413" xr:uid="{00000000-0005-0000-0000-000004750000}"/>
    <cellStyle name="40% - Accent4 2 3" xfId="123" xr:uid="{00000000-0005-0000-0000-000005750000}"/>
    <cellStyle name="40% - Accent4 2 3 10" xfId="1807" xr:uid="{00000000-0005-0000-0000-000006750000}"/>
    <cellStyle name="40% - Accent4 2 3 10 2" xfId="6669" xr:uid="{00000000-0005-0000-0000-000007750000}"/>
    <cellStyle name="40% - Accent4 2 3 10 2 2" xfId="26120" xr:uid="{00000000-0005-0000-0000-000008750000}"/>
    <cellStyle name="40% - Accent4 2 3 10 2 3" xfId="35845" xr:uid="{00000000-0005-0000-0000-000009750000}"/>
    <cellStyle name="40% - Accent4 2 3 10 2 4" xfId="45570" xr:uid="{00000000-0005-0000-0000-00000A750000}"/>
    <cellStyle name="40% - Accent4 2 3 10 2 5" xfId="16395" xr:uid="{00000000-0005-0000-0000-00000B750000}"/>
    <cellStyle name="40% - Accent4 2 3 10 3" xfId="21258" xr:uid="{00000000-0005-0000-0000-00000C750000}"/>
    <cellStyle name="40% - Accent4 2 3 10 4" xfId="30983" xr:uid="{00000000-0005-0000-0000-00000D750000}"/>
    <cellStyle name="40% - Accent4 2 3 10 5" xfId="40708" xr:uid="{00000000-0005-0000-0000-00000E750000}"/>
    <cellStyle name="40% - Accent4 2 3 10 6" xfId="11533" xr:uid="{00000000-0005-0000-0000-00000F750000}"/>
    <cellStyle name="40% - Accent4 2 3 11" xfId="3427" xr:uid="{00000000-0005-0000-0000-000010750000}"/>
    <cellStyle name="40% - Accent4 2 3 11 2" xfId="8289" xr:uid="{00000000-0005-0000-0000-000011750000}"/>
    <cellStyle name="40% - Accent4 2 3 11 2 2" xfId="27740" xr:uid="{00000000-0005-0000-0000-000012750000}"/>
    <cellStyle name="40% - Accent4 2 3 11 2 3" xfId="37465" xr:uid="{00000000-0005-0000-0000-000013750000}"/>
    <cellStyle name="40% - Accent4 2 3 11 2 4" xfId="47190" xr:uid="{00000000-0005-0000-0000-000014750000}"/>
    <cellStyle name="40% - Accent4 2 3 11 2 5" xfId="18015" xr:uid="{00000000-0005-0000-0000-000015750000}"/>
    <cellStyle name="40% - Accent4 2 3 11 3" xfId="22878" xr:uid="{00000000-0005-0000-0000-000016750000}"/>
    <cellStyle name="40% - Accent4 2 3 11 4" xfId="32603" xr:uid="{00000000-0005-0000-0000-000017750000}"/>
    <cellStyle name="40% - Accent4 2 3 11 5" xfId="42328" xr:uid="{00000000-0005-0000-0000-000018750000}"/>
    <cellStyle name="40% - Accent4 2 3 11 6" xfId="13153" xr:uid="{00000000-0005-0000-0000-000019750000}"/>
    <cellStyle name="40% - Accent4 2 3 12" xfId="5049" xr:uid="{00000000-0005-0000-0000-00001A750000}"/>
    <cellStyle name="40% - Accent4 2 3 12 2" xfId="24500" xr:uid="{00000000-0005-0000-0000-00001B750000}"/>
    <cellStyle name="40% - Accent4 2 3 12 3" xfId="34225" xr:uid="{00000000-0005-0000-0000-00001C750000}"/>
    <cellStyle name="40% - Accent4 2 3 12 4" xfId="43950" xr:uid="{00000000-0005-0000-0000-00001D750000}"/>
    <cellStyle name="40% - Accent4 2 3 12 5" xfId="14775" xr:uid="{00000000-0005-0000-0000-00001E750000}"/>
    <cellStyle name="40% - Accent4 2 3 13" xfId="19638" xr:uid="{00000000-0005-0000-0000-00001F750000}"/>
    <cellStyle name="40% - Accent4 2 3 14" xfId="29363" xr:uid="{00000000-0005-0000-0000-000020750000}"/>
    <cellStyle name="40% - Accent4 2 3 15" xfId="39088" xr:uid="{00000000-0005-0000-0000-000021750000}"/>
    <cellStyle name="40% - Accent4 2 3 16" xfId="9913" xr:uid="{00000000-0005-0000-0000-000022750000}"/>
    <cellStyle name="40% - Accent4 2 3 2" xfId="305" xr:uid="{00000000-0005-0000-0000-000023750000}"/>
    <cellStyle name="40% - Accent4 2 3 2 10" xfId="39268" xr:uid="{00000000-0005-0000-0000-000024750000}"/>
    <cellStyle name="40% - Accent4 2 3 2 11" xfId="10093" xr:uid="{00000000-0005-0000-0000-000025750000}"/>
    <cellStyle name="40% - Accent4 2 3 2 2" xfId="1069" xr:uid="{00000000-0005-0000-0000-000026750000}"/>
    <cellStyle name="40% - Accent4 2 3 2 2 2" xfId="2707" xr:uid="{00000000-0005-0000-0000-000027750000}"/>
    <cellStyle name="40% - Accent4 2 3 2 2 2 2" xfId="7569" xr:uid="{00000000-0005-0000-0000-000028750000}"/>
    <cellStyle name="40% - Accent4 2 3 2 2 2 2 2" xfId="27020" xr:uid="{00000000-0005-0000-0000-000029750000}"/>
    <cellStyle name="40% - Accent4 2 3 2 2 2 2 3" xfId="36745" xr:uid="{00000000-0005-0000-0000-00002A750000}"/>
    <cellStyle name="40% - Accent4 2 3 2 2 2 2 4" xfId="46470" xr:uid="{00000000-0005-0000-0000-00002B750000}"/>
    <cellStyle name="40% - Accent4 2 3 2 2 2 2 5" xfId="17295" xr:uid="{00000000-0005-0000-0000-00002C750000}"/>
    <cellStyle name="40% - Accent4 2 3 2 2 2 3" xfId="22158" xr:uid="{00000000-0005-0000-0000-00002D750000}"/>
    <cellStyle name="40% - Accent4 2 3 2 2 2 4" xfId="31883" xr:uid="{00000000-0005-0000-0000-00002E750000}"/>
    <cellStyle name="40% - Accent4 2 3 2 2 2 5" xfId="41608" xr:uid="{00000000-0005-0000-0000-00002F750000}"/>
    <cellStyle name="40% - Accent4 2 3 2 2 2 6" xfId="12433" xr:uid="{00000000-0005-0000-0000-000030750000}"/>
    <cellStyle name="40% - Accent4 2 3 2 2 3" xfId="4327" xr:uid="{00000000-0005-0000-0000-000031750000}"/>
    <cellStyle name="40% - Accent4 2 3 2 2 3 2" xfId="9189" xr:uid="{00000000-0005-0000-0000-000032750000}"/>
    <cellStyle name="40% - Accent4 2 3 2 2 3 2 2" xfId="28640" xr:uid="{00000000-0005-0000-0000-000033750000}"/>
    <cellStyle name="40% - Accent4 2 3 2 2 3 2 3" xfId="38365" xr:uid="{00000000-0005-0000-0000-000034750000}"/>
    <cellStyle name="40% - Accent4 2 3 2 2 3 2 4" xfId="48090" xr:uid="{00000000-0005-0000-0000-000035750000}"/>
    <cellStyle name="40% - Accent4 2 3 2 2 3 2 5" xfId="18915" xr:uid="{00000000-0005-0000-0000-000036750000}"/>
    <cellStyle name="40% - Accent4 2 3 2 2 3 3" xfId="23778" xr:uid="{00000000-0005-0000-0000-000037750000}"/>
    <cellStyle name="40% - Accent4 2 3 2 2 3 4" xfId="33503" xr:uid="{00000000-0005-0000-0000-000038750000}"/>
    <cellStyle name="40% - Accent4 2 3 2 2 3 5" xfId="43228" xr:uid="{00000000-0005-0000-0000-000039750000}"/>
    <cellStyle name="40% - Accent4 2 3 2 2 3 6" xfId="14053" xr:uid="{00000000-0005-0000-0000-00003A750000}"/>
    <cellStyle name="40% - Accent4 2 3 2 2 4" xfId="5949" xr:uid="{00000000-0005-0000-0000-00003B750000}"/>
    <cellStyle name="40% - Accent4 2 3 2 2 4 2" xfId="25400" xr:uid="{00000000-0005-0000-0000-00003C750000}"/>
    <cellStyle name="40% - Accent4 2 3 2 2 4 3" xfId="35125" xr:uid="{00000000-0005-0000-0000-00003D750000}"/>
    <cellStyle name="40% - Accent4 2 3 2 2 4 4" xfId="44850" xr:uid="{00000000-0005-0000-0000-00003E750000}"/>
    <cellStyle name="40% - Accent4 2 3 2 2 4 5" xfId="15675" xr:uid="{00000000-0005-0000-0000-00003F750000}"/>
    <cellStyle name="40% - Accent4 2 3 2 2 5" xfId="20538" xr:uid="{00000000-0005-0000-0000-000040750000}"/>
    <cellStyle name="40% - Accent4 2 3 2 2 6" xfId="30263" xr:uid="{00000000-0005-0000-0000-000041750000}"/>
    <cellStyle name="40% - Accent4 2 3 2 2 7" xfId="39988" xr:uid="{00000000-0005-0000-0000-000042750000}"/>
    <cellStyle name="40% - Accent4 2 3 2 2 8" xfId="10813" xr:uid="{00000000-0005-0000-0000-000043750000}"/>
    <cellStyle name="40% - Accent4 2 3 2 3" xfId="1536" xr:uid="{00000000-0005-0000-0000-000044750000}"/>
    <cellStyle name="40% - Accent4 2 3 2 3 2" xfId="3157" xr:uid="{00000000-0005-0000-0000-000045750000}"/>
    <cellStyle name="40% - Accent4 2 3 2 3 2 2" xfId="8019" xr:uid="{00000000-0005-0000-0000-000046750000}"/>
    <cellStyle name="40% - Accent4 2 3 2 3 2 2 2" xfId="27470" xr:uid="{00000000-0005-0000-0000-000047750000}"/>
    <cellStyle name="40% - Accent4 2 3 2 3 2 2 3" xfId="37195" xr:uid="{00000000-0005-0000-0000-000048750000}"/>
    <cellStyle name="40% - Accent4 2 3 2 3 2 2 4" xfId="46920" xr:uid="{00000000-0005-0000-0000-000049750000}"/>
    <cellStyle name="40% - Accent4 2 3 2 3 2 2 5" xfId="17745" xr:uid="{00000000-0005-0000-0000-00004A750000}"/>
    <cellStyle name="40% - Accent4 2 3 2 3 2 3" xfId="22608" xr:uid="{00000000-0005-0000-0000-00004B750000}"/>
    <cellStyle name="40% - Accent4 2 3 2 3 2 4" xfId="32333" xr:uid="{00000000-0005-0000-0000-00004C750000}"/>
    <cellStyle name="40% - Accent4 2 3 2 3 2 5" xfId="42058" xr:uid="{00000000-0005-0000-0000-00004D750000}"/>
    <cellStyle name="40% - Accent4 2 3 2 3 2 6" xfId="12883" xr:uid="{00000000-0005-0000-0000-00004E750000}"/>
    <cellStyle name="40% - Accent4 2 3 2 3 3" xfId="4777" xr:uid="{00000000-0005-0000-0000-00004F750000}"/>
    <cellStyle name="40% - Accent4 2 3 2 3 3 2" xfId="9639" xr:uid="{00000000-0005-0000-0000-000050750000}"/>
    <cellStyle name="40% - Accent4 2 3 2 3 3 2 2" xfId="29090" xr:uid="{00000000-0005-0000-0000-000051750000}"/>
    <cellStyle name="40% - Accent4 2 3 2 3 3 2 3" xfId="38815" xr:uid="{00000000-0005-0000-0000-000052750000}"/>
    <cellStyle name="40% - Accent4 2 3 2 3 3 2 4" xfId="48540" xr:uid="{00000000-0005-0000-0000-000053750000}"/>
    <cellStyle name="40% - Accent4 2 3 2 3 3 2 5" xfId="19365" xr:uid="{00000000-0005-0000-0000-000054750000}"/>
    <cellStyle name="40% - Accent4 2 3 2 3 3 3" xfId="24228" xr:uid="{00000000-0005-0000-0000-000055750000}"/>
    <cellStyle name="40% - Accent4 2 3 2 3 3 4" xfId="33953" xr:uid="{00000000-0005-0000-0000-000056750000}"/>
    <cellStyle name="40% - Accent4 2 3 2 3 3 5" xfId="43678" xr:uid="{00000000-0005-0000-0000-000057750000}"/>
    <cellStyle name="40% - Accent4 2 3 2 3 3 6" xfId="14503" xr:uid="{00000000-0005-0000-0000-000058750000}"/>
    <cellStyle name="40% - Accent4 2 3 2 3 4" xfId="6399" xr:uid="{00000000-0005-0000-0000-000059750000}"/>
    <cellStyle name="40% - Accent4 2 3 2 3 4 2" xfId="25850" xr:uid="{00000000-0005-0000-0000-00005A750000}"/>
    <cellStyle name="40% - Accent4 2 3 2 3 4 3" xfId="35575" xr:uid="{00000000-0005-0000-0000-00005B750000}"/>
    <cellStyle name="40% - Accent4 2 3 2 3 4 4" xfId="45300" xr:uid="{00000000-0005-0000-0000-00005C750000}"/>
    <cellStyle name="40% - Accent4 2 3 2 3 4 5" xfId="16125" xr:uid="{00000000-0005-0000-0000-00005D750000}"/>
    <cellStyle name="40% - Accent4 2 3 2 3 5" xfId="20988" xr:uid="{00000000-0005-0000-0000-00005E750000}"/>
    <cellStyle name="40% - Accent4 2 3 2 3 6" xfId="30713" xr:uid="{00000000-0005-0000-0000-00005F750000}"/>
    <cellStyle name="40% - Accent4 2 3 2 3 7" xfId="40438" xr:uid="{00000000-0005-0000-0000-000060750000}"/>
    <cellStyle name="40% - Accent4 2 3 2 3 8" xfId="11263" xr:uid="{00000000-0005-0000-0000-000061750000}"/>
    <cellStyle name="40% - Accent4 2 3 2 4" xfId="707" xr:uid="{00000000-0005-0000-0000-000062750000}"/>
    <cellStyle name="40% - Accent4 2 3 2 4 2" xfId="2347" xr:uid="{00000000-0005-0000-0000-000063750000}"/>
    <cellStyle name="40% - Accent4 2 3 2 4 2 2" xfId="7209" xr:uid="{00000000-0005-0000-0000-000064750000}"/>
    <cellStyle name="40% - Accent4 2 3 2 4 2 2 2" xfId="26660" xr:uid="{00000000-0005-0000-0000-000065750000}"/>
    <cellStyle name="40% - Accent4 2 3 2 4 2 2 3" xfId="36385" xr:uid="{00000000-0005-0000-0000-000066750000}"/>
    <cellStyle name="40% - Accent4 2 3 2 4 2 2 4" xfId="46110" xr:uid="{00000000-0005-0000-0000-000067750000}"/>
    <cellStyle name="40% - Accent4 2 3 2 4 2 2 5" xfId="16935" xr:uid="{00000000-0005-0000-0000-000068750000}"/>
    <cellStyle name="40% - Accent4 2 3 2 4 2 3" xfId="21798" xr:uid="{00000000-0005-0000-0000-000069750000}"/>
    <cellStyle name="40% - Accent4 2 3 2 4 2 4" xfId="31523" xr:uid="{00000000-0005-0000-0000-00006A750000}"/>
    <cellStyle name="40% - Accent4 2 3 2 4 2 5" xfId="41248" xr:uid="{00000000-0005-0000-0000-00006B750000}"/>
    <cellStyle name="40% - Accent4 2 3 2 4 2 6" xfId="12073" xr:uid="{00000000-0005-0000-0000-00006C750000}"/>
    <cellStyle name="40% - Accent4 2 3 2 4 3" xfId="3967" xr:uid="{00000000-0005-0000-0000-00006D750000}"/>
    <cellStyle name="40% - Accent4 2 3 2 4 3 2" xfId="8829" xr:uid="{00000000-0005-0000-0000-00006E750000}"/>
    <cellStyle name="40% - Accent4 2 3 2 4 3 2 2" xfId="28280" xr:uid="{00000000-0005-0000-0000-00006F750000}"/>
    <cellStyle name="40% - Accent4 2 3 2 4 3 2 3" xfId="38005" xr:uid="{00000000-0005-0000-0000-000070750000}"/>
    <cellStyle name="40% - Accent4 2 3 2 4 3 2 4" xfId="47730" xr:uid="{00000000-0005-0000-0000-000071750000}"/>
    <cellStyle name="40% - Accent4 2 3 2 4 3 2 5" xfId="18555" xr:uid="{00000000-0005-0000-0000-000072750000}"/>
    <cellStyle name="40% - Accent4 2 3 2 4 3 3" xfId="23418" xr:uid="{00000000-0005-0000-0000-000073750000}"/>
    <cellStyle name="40% - Accent4 2 3 2 4 3 4" xfId="33143" xr:uid="{00000000-0005-0000-0000-000074750000}"/>
    <cellStyle name="40% - Accent4 2 3 2 4 3 5" xfId="42868" xr:uid="{00000000-0005-0000-0000-000075750000}"/>
    <cellStyle name="40% - Accent4 2 3 2 4 3 6" xfId="13693" xr:uid="{00000000-0005-0000-0000-000076750000}"/>
    <cellStyle name="40% - Accent4 2 3 2 4 4" xfId="5589" xr:uid="{00000000-0005-0000-0000-000077750000}"/>
    <cellStyle name="40% - Accent4 2 3 2 4 4 2" xfId="25040" xr:uid="{00000000-0005-0000-0000-000078750000}"/>
    <cellStyle name="40% - Accent4 2 3 2 4 4 3" xfId="34765" xr:uid="{00000000-0005-0000-0000-000079750000}"/>
    <cellStyle name="40% - Accent4 2 3 2 4 4 4" xfId="44490" xr:uid="{00000000-0005-0000-0000-00007A750000}"/>
    <cellStyle name="40% - Accent4 2 3 2 4 4 5" xfId="15315" xr:uid="{00000000-0005-0000-0000-00007B750000}"/>
    <cellStyle name="40% - Accent4 2 3 2 4 5" xfId="20178" xr:uid="{00000000-0005-0000-0000-00007C750000}"/>
    <cellStyle name="40% - Accent4 2 3 2 4 6" xfId="29903" xr:uid="{00000000-0005-0000-0000-00007D750000}"/>
    <cellStyle name="40% - Accent4 2 3 2 4 7" xfId="39628" xr:uid="{00000000-0005-0000-0000-00007E750000}"/>
    <cellStyle name="40% - Accent4 2 3 2 4 8" xfId="10453" xr:uid="{00000000-0005-0000-0000-00007F750000}"/>
    <cellStyle name="40% - Accent4 2 3 2 5" xfId="1987" xr:uid="{00000000-0005-0000-0000-000080750000}"/>
    <cellStyle name="40% - Accent4 2 3 2 5 2" xfId="6849" xr:uid="{00000000-0005-0000-0000-000081750000}"/>
    <cellStyle name="40% - Accent4 2 3 2 5 2 2" xfId="26300" xr:uid="{00000000-0005-0000-0000-000082750000}"/>
    <cellStyle name="40% - Accent4 2 3 2 5 2 3" xfId="36025" xr:uid="{00000000-0005-0000-0000-000083750000}"/>
    <cellStyle name="40% - Accent4 2 3 2 5 2 4" xfId="45750" xr:uid="{00000000-0005-0000-0000-000084750000}"/>
    <cellStyle name="40% - Accent4 2 3 2 5 2 5" xfId="16575" xr:uid="{00000000-0005-0000-0000-000085750000}"/>
    <cellStyle name="40% - Accent4 2 3 2 5 3" xfId="21438" xr:uid="{00000000-0005-0000-0000-000086750000}"/>
    <cellStyle name="40% - Accent4 2 3 2 5 4" xfId="31163" xr:uid="{00000000-0005-0000-0000-000087750000}"/>
    <cellStyle name="40% - Accent4 2 3 2 5 5" xfId="40888" xr:uid="{00000000-0005-0000-0000-000088750000}"/>
    <cellStyle name="40% - Accent4 2 3 2 5 6" xfId="11713" xr:uid="{00000000-0005-0000-0000-000089750000}"/>
    <cellStyle name="40% - Accent4 2 3 2 6" xfId="3607" xr:uid="{00000000-0005-0000-0000-00008A750000}"/>
    <cellStyle name="40% - Accent4 2 3 2 6 2" xfId="8469" xr:uid="{00000000-0005-0000-0000-00008B750000}"/>
    <cellStyle name="40% - Accent4 2 3 2 6 2 2" xfId="27920" xr:uid="{00000000-0005-0000-0000-00008C750000}"/>
    <cellStyle name="40% - Accent4 2 3 2 6 2 3" xfId="37645" xr:uid="{00000000-0005-0000-0000-00008D750000}"/>
    <cellStyle name="40% - Accent4 2 3 2 6 2 4" xfId="47370" xr:uid="{00000000-0005-0000-0000-00008E750000}"/>
    <cellStyle name="40% - Accent4 2 3 2 6 2 5" xfId="18195" xr:uid="{00000000-0005-0000-0000-00008F750000}"/>
    <cellStyle name="40% - Accent4 2 3 2 6 3" xfId="23058" xr:uid="{00000000-0005-0000-0000-000090750000}"/>
    <cellStyle name="40% - Accent4 2 3 2 6 4" xfId="32783" xr:uid="{00000000-0005-0000-0000-000091750000}"/>
    <cellStyle name="40% - Accent4 2 3 2 6 5" xfId="42508" xr:uid="{00000000-0005-0000-0000-000092750000}"/>
    <cellStyle name="40% - Accent4 2 3 2 6 6" xfId="13333" xr:uid="{00000000-0005-0000-0000-000093750000}"/>
    <cellStyle name="40% - Accent4 2 3 2 7" xfId="5229" xr:uid="{00000000-0005-0000-0000-000094750000}"/>
    <cellStyle name="40% - Accent4 2 3 2 7 2" xfId="24680" xr:uid="{00000000-0005-0000-0000-000095750000}"/>
    <cellStyle name="40% - Accent4 2 3 2 7 3" xfId="34405" xr:uid="{00000000-0005-0000-0000-000096750000}"/>
    <cellStyle name="40% - Accent4 2 3 2 7 4" xfId="44130" xr:uid="{00000000-0005-0000-0000-000097750000}"/>
    <cellStyle name="40% - Accent4 2 3 2 7 5" xfId="14955" xr:uid="{00000000-0005-0000-0000-000098750000}"/>
    <cellStyle name="40% - Accent4 2 3 2 8" xfId="19818" xr:uid="{00000000-0005-0000-0000-000099750000}"/>
    <cellStyle name="40% - Accent4 2 3 2 9" xfId="29543" xr:uid="{00000000-0005-0000-0000-00009A750000}"/>
    <cellStyle name="40% - Accent4 2 3 3" xfId="396" xr:uid="{00000000-0005-0000-0000-00009B750000}"/>
    <cellStyle name="40% - Accent4 2 3 3 10" xfId="39358" xr:uid="{00000000-0005-0000-0000-00009C750000}"/>
    <cellStyle name="40% - Accent4 2 3 3 11" xfId="10183" xr:uid="{00000000-0005-0000-0000-00009D750000}"/>
    <cellStyle name="40% - Accent4 2 3 3 2" xfId="1159" xr:uid="{00000000-0005-0000-0000-00009E750000}"/>
    <cellStyle name="40% - Accent4 2 3 3 2 2" xfId="2797" xr:uid="{00000000-0005-0000-0000-00009F750000}"/>
    <cellStyle name="40% - Accent4 2 3 3 2 2 2" xfId="7659" xr:uid="{00000000-0005-0000-0000-0000A0750000}"/>
    <cellStyle name="40% - Accent4 2 3 3 2 2 2 2" xfId="27110" xr:uid="{00000000-0005-0000-0000-0000A1750000}"/>
    <cellStyle name="40% - Accent4 2 3 3 2 2 2 3" xfId="36835" xr:uid="{00000000-0005-0000-0000-0000A2750000}"/>
    <cellStyle name="40% - Accent4 2 3 3 2 2 2 4" xfId="46560" xr:uid="{00000000-0005-0000-0000-0000A3750000}"/>
    <cellStyle name="40% - Accent4 2 3 3 2 2 2 5" xfId="17385" xr:uid="{00000000-0005-0000-0000-0000A4750000}"/>
    <cellStyle name="40% - Accent4 2 3 3 2 2 3" xfId="22248" xr:uid="{00000000-0005-0000-0000-0000A5750000}"/>
    <cellStyle name="40% - Accent4 2 3 3 2 2 4" xfId="31973" xr:uid="{00000000-0005-0000-0000-0000A6750000}"/>
    <cellStyle name="40% - Accent4 2 3 3 2 2 5" xfId="41698" xr:uid="{00000000-0005-0000-0000-0000A7750000}"/>
    <cellStyle name="40% - Accent4 2 3 3 2 2 6" xfId="12523" xr:uid="{00000000-0005-0000-0000-0000A8750000}"/>
    <cellStyle name="40% - Accent4 2 3 3 2 3" xfId="4417" xr:uid="{00000000-0005-0000-0000-0000A9750000}"/>
    <cellStyle name="40% - Accent4 2 3 3 2 3 2" xfId="9279" xr:uid="{00000000-0005-0000-0000-0000AA750000}"/>
    <cellStyle name="40% - Accent4 2 3 3 2 3 2 2" xfId="28730" xr:uid="{00000000-0005-0000-0000-0000AB750000}"/>
    <cellStyle name="40% - Accent4 2 3 3 2 3 2 3" xfId="38455" xr:uid="{00000000-0005-0000-0000-0000AC750000}"/>
    <cellStyle name="40% - Accent4 2 3 3 2 3 2 4" xfId="48180" xr:uid="{00000000-0005-0000-0000-0000AD750000}"/>
    <cellStyle name="40% - Accent4 2 3 3 2 3 2 5" xfId="19005" xr:uid="{00000000-0005-0000-0000-0000AE750000}"/>
    <cellStyle name="40% - Accent4 2 3 3 2 3 3" xfId="23868" xr:uid="{00000000-0005-0000-0000-0000AF750000}"/>
    <cellStyle name="40% - Accent4 2 3 3 2 3 4" xfId="33593" xr:uid="{00000000-0005-0000-0000-0000B0750000}"/>
    <cellStyle name="40% - Accent4 2 3 3 2 3 5" xfId="43318" xr:uid="{00000000-0005-0000-0000-0000B1750000}"/>
    <cellStyle name="40% - Accent4 2 3 3 2 3 6" xfId="14143" xr:uid="{00000000-0005-0000-0000-0000B2750000}"/>
    <cellStyle name="40% - Accent4 2 3 3 2 4" xfId="6039" xr:uid="{00000000-0005-0000-0000-0000B3750000}"/>
    <cellStyle name="40% - Accent4 2 3 3 2 4 2" xfId="25490" xr:uid="{00000000-0005-0000-0000-0000B4750000}"/>
    <cellStyle name="40% - Accent4 2 3 3 2 4 3" xfId="35215" xr:uid="{00000000-0005-0000-0000-0000B5750000}"/>
    <cellStyle name="40% - Accent4 2 3 3 2 4 4" xfId="44940" xr:uid="{00000000-0005-0000-0000-0000B6750000}"/>
    <cellStyle name="40% - Accent4 2 3 3 2 4 5" xfId="15765" xr:uid="{00000000-0005-0000-0000-0000B7750000}"/>
    <cellStyle name="40% - Accent4 2 3 3 2 5" xfId="20628" xr:uid="{00000000-0005-0000-0000-0000B8750000}"/>
    <cellStyle name="40% - Accent4 2 3 3 2 6" xfId="30353" xr:uid="{00000000-0005-0000-0000-0000B9750000}"/>
    <cellStyle name="40% - Accent4 2 3 3 2 7" xfId="40078" xr:uid="{00000000-0005-0000-0000-0000BA750000}"/>
    <cellStyle name="40% - Accent4 2 3 3 2 8" xfId="10903" xr:uid="{00000000-0005-0000-0000-0000BB750000}"/>
    <cellStyle name="40% - Accent4 2 3 3 3" xfId="1626" xr:uid="{00000000-0005-0000-0000-0000BC750000}"/>
    <cellStyle name="40% - Accent4 2 3 3 3 2" xfId="3247" xr:uid="{00000000-0005-0000-0000-0000BD750000}"/>
    <cellStyle name="40% - Accent4 2 3 3 3 2 2" xfId="8109" xr:uid="{00000000-0005-0000-0000-0000BE750000}"/>
    <cellStyle name="40% - Accent4 2 3 3 3 2 2 2" xfId="27560" xr:uid="{00000000-0005-0000-0000-0000BF750000}"/>
    <cellStyle name="40% - Accent4 2 3 3 3 2 2 3" xfId="37285" xr:uid="{00000000-0005-0000-0000-0000C0750000}"/>
    <cellStyle name="40% - Accent4 2 3 3 3 2 2 4" xfId="47010" xr:uid="{00000000-0005-0000-0000-0000C1750000}"/>
    <cellStyle name="40% - Accent4 2 3 3 3 2 2 5" xfId="17835" xr:uid="{00000000-0005-0000-0000-0000C2750000}"/>
    <cellStyle name="40% - Accent4 2 3 3 3 2 3" xfId="22698" xr:uid="{00000000-0005-0000-0000-0000C3750000}"/>
    <cellStyle name="40% - Accent4 2 3 3 3 2 4" xfId="32423" xr:uid="{00000000-0005-0000-0000-0000C4750000}"/>
    <cellStyle name="40% - Accent4 2 3 3 3 2 5" xfId="42148" xr:uid="{00000000-0005-0000-0000-0000C5750000}"/>
    <cellStyle name="40% - Accent4 2 3 3 3 2 6" xfId="12973" xr:uid="{00000000-0005-0000-0000-0000C6750000}"/>
    <cellStyle name="40% - Accent4 2 3 3 3 3" xfId="4867" xr:uid="{00000000-0005-0000-0000-0000C7750000}"/>
    <cellStyle name="40% - Accent4 2 3 3 3 3 2" xfId="9729" xr:uid="{00000000-0005-0000-0000-0000C8750000}"/>
    <cellStyle name="40% - Accent4 2 3 3 3 3 2 2" xfId="29180" xr:uid="{00000000-0005-0000-0000-0000C9750000}"/>
    <cellStyle name="40% - Accent4 2 3 3 3 3 2 3" xfId="38905" xr:uid="{00000000-0005-0000-0000-0000CA750000}"/>
    <cellStyle name="40% - Accent4 2 3 3 3 3 2 4" xfId="48630" xr:uid="{00000000-0005-0000-0000-0000CB750000}"/>
    <cellStyle name="40% - Accent4 2 3 3 3 3 2 5" xfId="19455" xr:uid="{00000000-0005-0000-0000-0000CC750000}"/>
    <cellStyle name="40% - Accent4 2 3 3 3 3 3" xfId="24318" xr:uid="{00000000-0005-0000-0000-0000CD750000}"/>
    <cellStyle name="40% - Accent4 2 3 3 3 3 4" xfId="34043" xr:uid="{00000000-0005-0000-0000-0000CE750000}"/>
    <cellStyle name="40% - Accent4 2 3 3 3 3 5" xfId="43768" xr:uid="{00000000-0005-0000-0000-0000CF750000}"/>
    <cellStyle name="40% - Accent4 2 3 3 3 3 6" xfId="14593" xr:uid="{00000000-0005-0000-0000-0000D0750000}"/>
    <cellStyle name="40% - Accent4 2 3 3 3 4" xfId="6489" xr:uid="{00000000-0005-0000-0000-0000D1750000}"/>
    <cellStyle name="40% - Accent4 2 3 3 3 4 2" xfId="25940" xr:uid="{00000000-0005-0000-0000-0000D2750000}"/>
    <cellStyle name="40% - Accent4 2 3 3 3 4 3" xfId="35665" xr:uid="{00000000-0005-0000-0000-0000D3750000}"/>
    <cellStyle name="40% - Accent4 2 3 3 3 4 4" xfId="45390" xr:uid="{00000000-0005-0000-0000-0000D4750000}"/>
    <cellStyle name="40% - Accent4 2 3 3 3 4 5" xfId="16215" xr:uid="{00000000-0005-0000-0000-0000D5750000}"/>
    <cellStyle name="40% - Accent4 2 3 3 3 5" xfId="21078" xr:uid="{00000000-0005-0000-0000-0000D6750000}"/>
    <cellStyle name="40% - Accent4 2 3 3 3 6" xfId="30803" xr:uid="{00000000-0005-0000-0000-0000D7750000}"/>
    <cellStyle name="40% - Accent4 2 3 3 3 7" xfId="40528" xr:uid="{00000000-0005-0000-0000-0000D8750000}"/>
    <cellStyle name="40% - Accent4 2 3 3 3 8" xfId="11353" xr:uid="{00000000-0005-0000-0000-0000D9750000}"/>
    <cellStyle name="40% - Accent4 2 3 3 4" xfId="797" xr:uid="{00000000-0005-0000-0000-0000DA750000}"/>
    <cellStyle name="40% - Accent4 2 3 3 4 2" xfId="2437" xr:uid="{00000000-0005-0000-0000-0000DB750000}"/>
    <cellStyle name="40% - Accent4 2 3 3 4 2 2" xfId="7299" xr:uid="{00000000-0005-0000-0000-0000DC750000}"/>
    <cellStyle name="40% - Accent4 2 3 3 4 2 2 2" xfId="26750" xr:uid="{00000000-0005-0000-0000-0000DD750000}"/>
    <cellStyle name="40% - Accent4 2 3 3 4 2 2 3" xfId="36475" xr:uid="{00000000-0005-0000-0000-0000DE750000}"/>
    <cellStyle name="40% - Accent4 2 3 3 4 2 2 4" xfId="46200" xr:uid="{00000000-0005-0000-0000-0000DF750000}"/>
    <cellStyle name="40% - Accent4 2 3 3 4 2 2 5" xfId="17025" xr:uid="{00000000-0005-0000-0000-0000E0750000}"/>
    <cellStyle name="40% - Accent4 2 3 3 4 2 3" xfId="21888" xr:uid="{00000000-0005-0000-0000-0000E1750000}"/>
    <cellStyle name="40% - Accent4 2 3 3 4 2 4" xfId="31613" xr:uid="{00000000-0005-0000-0000-0000E2750000}"/>
    <cellStyle name="40% - Accent4 2 3 3 4 2 5" xfId="41338" xr:uid="{00000000-0005-0000-0000-0000E3750000}"/>
    <cellStyle name="40% - Accent4 2 3 3 4 2 6" xfId="12163" xr:uid="{00000000-0005-0000-0000-0000E4750000}"/>
    <cellStyle name="40% - Accent4 2 3 3 4 3" xfId="4057" xr:uid="{00000000-0005-0000-0000-0000E5750000}"/>
    <cellStyle name="40% - Accent4 2 3 3 4 3 2" xfId="8919" xr:uid="{00000000-0005-0000-0000-0000E6750000}"/>
    <cellStyle name="40% - Accent4 2 3 3 4 3 2 2" xfId="28370" xr:uid="{00000000-0005-0000-0000-0000E7750000}"/>
    <cellStyle name="40% - Accent4 2 3 3 4 3 2 3" xfId="38095" xr:uid="{00000000-0005-0000-0000-0000E8750000}"/>
    <cellStyle name="40% - Accent4 2 3 3 4 3 2 4" xfId="47820" xr:uid="{00000000-0005-0000-0000-0000E9750000}"/>
    <cellStyle name="40% - Accent4 2 3 3 4 3 2 5" xfId="18645" xr:uid="{00000000-0005-0000-0000-0000EA750000}"/>
    <cellStyle name="40% - Accent4 2 3 3 4 3 3" xfId="23508" xr:uid="{00000000-0005-0000-0000-0000EB750000}"/>
    <cellStyle name="40% - Accent4 2 3 3 4 3 4" xfId="33233" xr:uid="{00000000-0005-0000-0000-0000EC750000}"/>
    <cellStyle name="40% - Accent4 2 3 3 4 3 5" xfId="42958" xr:uid="{00000000-0005-0000-0000-0000ED750000}"/>
    <cellStyle name="40% - Accent4 2 3 3 4 3 6" xfId="13783" xr:uid="{00000000-0005-0000-0000-0000EE750000}"/>
    <cellStyle name="40% - Accent4 2 3 3 4 4" xfId="5679" xr:uid="{00000000-0005-0000-0000-0000EF750000}"/>
    <cellStyle name="40% - Accent4 2 3 3 4 4 2" xfId="25130" xr:uid="{00000000-0005-0000-0000-0000F0750000}"/>
    <cellStyle name="40% - Accent4 2 3 3 4 4 3" xfId="34855" xr:uid="{00000000-0005-0000-0000-0000F1750000}"/>
    <cellStyle name="40% - Accent4 2 3 3 4 4 4" xfId="44580" xr:uid="{00000000-0005-0000-0000-0000F2750000}"/>
    <cellStyle name="40% - Accent4 2 3 3 4 4 5" xfId="15405" xr:uid="{00000000-0005-0000-0000-0000F3750000}"/>
    <cellStyle name="40% - Accent4 2 3 3 4 5" xfId="20268" xr:uid="{00000000-0005-0000-0000-0000F4750000}"/>
    <cellStyle name="40% - Accent4 2 3 3 4 6" xfId="29993" xr:uid="{00000000-0005-0000-0000-0000F5750000}"/>
    <cellStyle name="40% - Accent4 2 3 3 4 7" xfId="39718" xr:uid="{00000000-0005-0000-0000-0000F6750000}"/>
    <cellStyle name="40% - Accent4 2 3 3 4 8" xfId="10543" xr:uid="{00000000-0005-0000-0000-0000F7750000}"/>
    <cellStyle name="40% - Accent4 2 3 3 5" xfId="2077" xr:uid="{00000000-0005-0000-0000-0000F8750000}"/>
    <cellStyle name="40% - Accent4 2 3 3 5 2" xfId="6939" xr:uid="{00000000-0005-0000-0000-0000F9750000}"/>
    <cellStyle name="40% - Accent4 2 3 3 5 2 2" xfId="26390" xr:uid="{00000000-0005-0000-0000-0000FA750000}"/>
    <cellStyle name="40% - Accent4 2 3 3 5 2 3" xfId="36115" xr:uid="{00000000-0005-0000-0000-0000FB750000}"/>
    <cellStyle name="40% - Accent4 2 3 3 5 2 4" xfId="45840" xr:uid="{00000000-0005-0000-0000-0000FC750000}"/>
    <cellStyle name="40% - Accent4 2 3 3 5 2 5" xfId="16665" xr:uid="{00000000-0005-0000-0000-0000FD750000}"/>
    <cellStyle name="40% - Accent4 2 3 3 5 3" xfId="21528" xr:uid="{00000000-0005-0000-0000-0000FE750000}"/>
    <cellStyle name="40% - Accent4 2 3 3 5 4" xfId="31253" xr:uid="{00000000-0005-0000-0000-0000FF750000}"/>
    <cellStyle name="40% - Accent4 2 3 3 5 5" xfId="40978" xr:uid="{00000000-0005-0000-0000-000000760000}"/>
    <cellStyle name="40% - Accent4 2 3 3 5 6" xfId="11803" xr:uid="{00000000-0005-0000-0000-000001760000}"/>
    <cellStyle name="40% - Accent4 2 3 3 6" xfId="3697" xr:uid="{00000000-0005-0000-0000-000002760000}"/>
    <cellStyle name="40% - Accent4 2 3 3 6 2" xfId="8559" xr:uid="{00000000-0005-0000-0000-000003760000}"/>
    <cellStyle name="40% - Accent4 2 3 3 6 2 2" xfId="28010" xr:uid="{00000000-0005-0000-0000-000004760000}"/>
    <cellStyle name="40% - Accent4 2 3 3 6 2 3" xfId="37735" xr:uid="{00000000-0005-0000-0000-000005760000}"/>
    <cellStyle name="40% - Accent4 2 3 3 6 2 4" xfId="47460" xr:uid="{00000000-0005-0000-0000-000006760000}"/>
    <cellStyle name="40% - Accent4 2 3 3 6 2 5" xfId="18285" xr:uid="{00000000-0005-0000-0000-000007760000}"/>
    <cellStyle name="40% - Accent4 2 3 3 6 3" xfId="23148" xr:uid="{00000000-0005-0000-0000-000008760000}"/>
    <cellStyle name="40% - Accent4 2 3 3 6 4" xfId="32873" xr:uid="{00000000-0005-0000-0000-000009760000}"/>
    <cellStyle name="40% - Accent4 2 3 3 6 5" xfId="42598" xr:uid="{00000000-0005-0000-0000-00000A760000}"/>
    <cellStyle name="40% - Accent4 2 3 3 6 6" xfId="13423" xr:uid="{00000000-0005-0000-0000-00000B760000}"/>
    <cellStyle name="40% - Accent4 2 3 3 7" xfId="5319" xr:uid="{00000000-0005-0000-0000-00000C760000}"/>
    <cellStyle name="40% - Accent4 2 3 3 7 2" xfId="24770" xr:uid="{00000000-0005-0000-0000-00000D760000}"/>
    <cellStyle name="40% - Accent4 2 3 3 7 3" xfId="34495" xr:uid="{00000000-0005-0000-0000-00000E760000}"/>
    <cellStyle name="40% - Accent4 2 3 3 7 4" xfId="44220" xr:uid="{00000000-0005-0000-0000-00000F760000}"/>
    <cellStyle name="40% - Accent4 2 3 3 7 5" xfId="15045" xr:uid="{00000000-0005-0000-0000-000010760000}"/>
    <cellStyle name="40% - Accent4 2 3 3 8" xfId="19908" xr:uid="{00000000-0005-0000-0000-000011760000}"/>
    <cellStyle name="40% - Accent4 2 3 3 9" xfId="29633" xr:uid="{00000000-0005-0000-0000-000012760000}"/>
    <cellStyle name="40% - Accent4 2 3 4" xfId="214" xr:uid="{00000000-0005-0000-0000-000013760000}"/>
    <cellStyle name="40% - Accent4 2 3 4 10" xfId="39178" xr:uid="{00000000-0005-0000-0000-000014760000}"/>
    <cellStyle name="40% - Accent4 2 3 4 11" xfId="10003" xr:uid="{00000000-0005-0000-0000-000015760000}"/>
    <cellStyle name="40% - Accent4 2 3 4 2" xfId="978" xr:uid="{00000000-0005-0000-0000-000016760000}"/>
    <cellStyle name="40% - Accent4 2 3 4 2 2" xfId="2617" xr:uid="{00000000-0005-0000-0000-000017760000}"/>
    <cellStyle name="40% - Accent4 2 3 4 2 2 2" xfId="7479" xr:uid="{00000000-0005-0000-0000-000018760000}"/>
    <cellStyle name="40% - Accent4 2 3 4 2 2 2 2" xfId="26930" xr:uid="{00000000-0005-0000-0000-000019760000}"/>
    <cellStyle name="40% - Accent4 2 3 4 2 2 2 3" xfId="36655" xr:uid="{00000000-0005-0000-0000-00001A760000}"/>
    <cellStyle name="40% - Accent4 2 3 4 2 2 2 4" xfId="46380" xr:uid="{00000000-0005-0000-0000-00001B760000}"/>
    <cellStyle name="40% - Accent4 2 3 4 2 2 2 5" xfId="17205" xr:uid="{00000000-0005-0000-0000-00001C760000}"/>
    <cellStyle name="40% - Accent4 2 3 4 2 2 3" xfId="22068" xr:uid="{00000000-0005-0000-0000-00001D760000}"/>
    <cellStyle name="40% - Accent4 2 3 4 2 2 4" xfId="31793" xr:uid="{00000000-0005-0000-0000-00001E760000}"/>
    <cellStyle name="40% - Accent4 2 3 4 2 2 5" xfId="41518" xr:uid="{00000000-0005-0000-0000-00001F760000}"/>
    <cellStyle name="40% - Accent4 2 3 4 2 2 6" xfId="12343" xr:uid="{00000000-0005-0000-0000-000020760000}"/>
    <cellStyle name="40% - Accent4 2 3 4 2 3" xfId="4237" xr:uid="{00000000-0005-0000-0000-000021760000}"/>
    <cellStyle name="40% - Accent4 2 3 4 2 3 2" xfId="9099" xr:uid="{00000000-0005-0000-0000-000022760000}"/>
    <cellStyle name="40% - Accent4 2 3 4 2 3 2 2" xfId="28550" xr:uid="{00000000-0005-0000-0000-000023760000}"/>
    <cellStyle name="40% - Accent4 2 3 4 2 3 2 3" xfId="38275" xr:uid="{00000000-0005-0000-0000-000024760000}"/>
    <cellStyle name="40% - Accent4 2 3 4 2 3 2 4" xfId="48000" xr:uid="{00000000-0005-0000-0000-000025760000}"/>
    <cellStyle name="40% - Accent4 2 3 4 2 3 2 5" xfId="18825" xr:uid="{00000000-0005-0000-0000-000026760000}"/>
    <cellStyle name="40% - Accent4 2 3 4 2 3 3" xfId="23688" xr:uid="{00000000-0005-0000-0000-000027760000}"/>
    <cellStyle name="40% - Accent4 2 3 4 2 3 4" xfId="33413" xr:uid="{00000000-0005-0000-0000-000028760000}"/>
    <cellStyle name="40% - Accent4 2 3 4 2 3 5" xfId="43138" xr:uid="{00000000-0005-0000-0000-000029760000}"/>
    <cellStyle name="40% - Accent4 2 3 4 2 3 6" xfId="13963" xr:uid="{00000000-0005-0000-0000-00002A760000}"/>
    <cellStyle name="40% - Accent4 2 3 4 2 4" xfId="5859" xr:uid="{00000000-0005-0000-0000-00002B760000}"/>
    <cellStyle name="40% - Accent4 2 3 4 2 4 2" xfId="25310" xr:uid="{00000000-0005-0000-0000-00002C760000}"/>
    <cellStyle name="40% - Accent4 2 3 4 2 4 3" xfId="35035" xr:uid="{00000000-0005-0000-0000-00002D760000}"/>
    <cellStyle name="40% - Accent4 2 3 4 2 4 4" xfId="44760" xr:uid="{00000000-0005-0000-0000-00002E760000}"/>
    <cellStyle name="40% - Accent4 2 3 4 2 4 5" xfId="15585" xr:uid="{00000000-0005-0000-0000-00002F760000}"/>
    <cellStyle name="40% - Accent4 2 3 4 2 5" xfId="20448" xr:uid="{00000000-0005-0000-0000-000030760000}"/>
    <cellStyle name="40% - Accent4 2 3 4 2 6" xfId="30173" xr:uid="{00000000-0005-0000-0000-000031760000}"/>
    <cellStyle name="40% - Accent4 2 3 4 2 7" xfId="39898" xr:uid="{00000000-0005-0000-0000-000032760000}"/>
    <cellStyle name="40% - Accent4 2 3 4 2 8" xfId="10723" xr:uid="{00000000-0005-0000-0000-000033760000}"/>
    <cellStyle name="40% - Accent4 2 3 4 3" xfId="1446" xr:uid="{00000000-0005-0000-0000-000034760000}"/>
    <cellStyle name="40% - Accent4 2 3 4 3 2" xfId="3067" xr:uid="{00000000-0005-0000-0000-000035760000}"/>
    <cellStyle name="40% - Accent4 2 3 4 3 2 2" xfId="7929" xr:uid="{00000000-0005-0000-0000-000036760000}"/>
    <cellStyle name="40% - Accent4 2 3 4 3 2 2 2" xfId="27380" xr:uid="{00000000-0005-0000-0000-000037760000}"/>
    <cellStyle name="40% - Accent4 2 3 4 3 2 2 3" xfId="37105" xr:uid="{00000000-0005-0000-0000-000038760000}"/>
    <cellStyle name="40% - Accent4 2 3 4 3 2 2 4" xfId="46830" xr:uid="{00000000-0005-0000-0000-000039760000}"/>
    <cellStyle name="40% - Accent4 2 3 4 3 2 2 5" xfId="17655" xr:uid="{00000000-0005-0000-0000-00003A760000}"/>
    <cellStyle name="40% - Accent4 2 3 4 3 2 3" xfId="22518" xr:uid="{00000000-0005-0000-0000-00003B760000}"/>
    <cellStyle name="40% - Accent4 2 3 4 3 2 4" xfId="32243" xr:uid="{00000000-0005-0000-0000-00003C760000}"/>
    <cellStyle name="40% - Accent4 2 3 4 3 2 5" xfId="41968" xr:uid="{00000000-0005-0000-0000-00003D760000}"/>
    <cellStyle name="40% - Accent4 2 3 4 3 2 6" xfId="12793" xr:uid="{00000000-0005-0000-0000-00003E760000}"/>
    <cellStyle name="40% - Accent4 2 3 4 3 3" xfId="4687" xr:uid="{00000000-0005-0000-0000-00003F760000}"/>
    <cellStyle name="40% - Accent4 2 3 4 3 3 2" xfId="9549" xr:uid="{00000000-0005-0000-0000-000040760000}"/>
    <cellStyle name="40% - Accent4 2 3 4 3 3 2 2" xfId="29000" xr:uid="{00000000-0005-0000-0000-000041760000}"/>
    <cellStyle name="40% - Accent4 2 3 4 3 3 2 3" xfId="38725" xr:uid="{00000000-0005-0000-0000-000042760000}"/>
    <cellStyle name="40% - Accent4 2 3 4 3 3 2 4" xfId="48450" xr:uid="{00000000-0005-0000-0000-000043760000}"/>
    <cellStyle name="40% - Accent4 2 3 4 3 3 2 5" xfId="19275" xr:uid="{00000000-0005-0000-0000-000044760000}"/>
    <cellStyle name="40% - Accent4 2 3 4 3 3 3" xfId="24138" xr:uid="{00000000-0005-0000-0000-000045760000}"/>
    <cellStyle name="40% - Accent4 2 3 4 3 3 4" xfId="33863" xr:uid="{00000000-0005-0000-0000-000046760000}"/>
    <cellStyle name="40% - Accent4 2 3 4 3 3 5" xfId="43588" xr:uid="{00000000-0005-0000-0000-000047760000}"/>
    <cellStyle name="40% - Accent4 2 3 4 3 3 6" xfId="14413" xr:uid="{00000000-0005-0000-0000-000048760000}"/>
    <cellStyle name="40% - Accent4 2 3 4 3 4" xfId="6309" xr:uid="{00000000-0005-0000-0000-000049760000}"/>
    <cellStyle name="40% - Accent4 2 3 4 3 4 2" xfId="25760" xr:uid="{00000000-0005-0000-0000-00004A760000}"/>
    <cellStyle name="40% - Accent4 2 3 4 3 4 3" xfId="35485" xr:uid="{00000000-0005-0000-0000-00004B760000}"/>
    <cellStyle name="40% - Accent4 2 3 4 3 4 4" xfId="45210" xr:uid="{00000000-0005-0000-0000-00004C760000}"/>
    <cellStyle name="40% - Accent4 2 3 4 3 4 5" xfId="16035" xr:uid="{00000000-0005-0000-0000-00004D760000}"/>
    <cellStyle name="40% - Accent4 2 3 4 3 5" xfId="20898" xr:uid="{00000000-0005-0000-0000-00004E760000}"/>
    <cellStyle name="40% - Accent4 2 3 4 3 6" xfId="30623" xr:uid="{00000000-0005-0000-0000-00004F760000}"/>
    <cellStyle name="40% - Accent4 2 3 4 3 7" xfId="40348" xr:uid="{00000000-0005-0000-0000-000050760000}"/>
    <cellStyle name="40% - Accent4 2 3 4 3 8" xfId="11173" xr:uid="{00000000-0005-0000-0000-000051760000}"/>
    <cellStyle name="40% - Accent4 2 3 4 4" xfId="617" xr:uid="{00000000-0005-0000-0000-000052760000}"/>
    <cellStyle name="40% - Accent4 2 3 4 4 2" xfId="2257" xr:uid="{00000000-0005-0000-0000-000053760000}"/>
    <cellStyle name="40% - Accent4 2 3 4 4 2 2" xfId="7119" xr:uid="{00000000-0005-0000-0000-000054760000}"/>
    <cellStyle name="40% - Accent4 2 3 4 4 2 2 2" xfId="26570" xr:uid="{00000000-0005-0000-0000-000055760000}"/>
    <cellStyle name="40% - Accent4 2 3 4 4 2 2 3" xfId="36295" xr:uid="{00000000-0005-0000-0000-000056760000}"/>
    <cellStyle name="40% - Accent4 2 3 4 4 2 2 4" xfId="46020" xr:uid="{00000000-0005-0000-0000-000057760000}"/>
    <cellStyle name="40% - Accent4 2 3 4 4 2 2 5" xfId="16845" xr:uid="{00000000-0005-0000-0000-000058760000}"/>
    <cellStyle name="40% - Accent4 2 3 4 4 2 3" xfId="21708" xr:uid="{00000000-0005-0000-0000-000059760000}"/>
    <cellStyle name="40% - Accent4 2 3 4 4 2 4" xfId="31433" xr:uid="{00000000-0005-0000-0000-00005A760000}"/>
    <cellStyle name="40% - Accent4 2 3 4 4 2 5" xfId="41158" xr:uid="{00000000-0005-0000-0000-00005B760000}"/>
    <cellStyle name="40% - Accent4 2 3 4 4 2 6" xfId="11983" xr:uid="{00000000-0005-0000-0000-00005C760000}"/>
    <cellStyle name="40% - Accent4 2 3 4 4 3" xfId="3877" xr:uid="{00000000-0005-0000-0000-00005D760000}"/>
    <cellStyle name="40% - Accent4 2 3 4 4 3 2" xfId="8739" xr:uid="{00000000-0005-0000-0000-00005E760000}"/>
    <cellStyle name="40% - Accent4 2 3 4 4 3 2 2" xfId="28190" xr:uid="{00000000-0005-0000-0000-00005F760000}"/>
    <cellStyle name="40% - Accent4 2 3 4 4 3 2 3" xfId="37915" xr:uid="{00000000-0005-0000-0000-000060760000}"/>
    <cellStyle name="40% - Accent4 2 3 4 4 3 2 4" xfId="47640" xr:uid="{00000000-0005-0000-0000-000061760000}"/>
    <cellStyle name="40% - Accent4 2 3 4 4 3 2 5" xfId="18465" xr:uid="{00000000-0005-0000-0000-000062760000}"/>
    <cellStyle name="40% - Accent4 2 3 4 4 3 3" xfId="23328" xr:uid="{00000000-0005-0000-0000-000063760000}"/>
    <cellStyle name="40% - Accent4 2 3 4 4 3 4" xfId="33053" xr:uid="{00000000-0005-0000-0000-000064760000}"/>
    <cellStyle name="40% - Accent4 2 3 4 4 3 5" xfId="42778" xr:uid="{00000000-0005-0000-0000-000065760000}"/>
    <cellStyle name="40% - Accent4 2 3 4 4 3 6" xfId="13603" xr:uid="{00000000-0005-0000-0000-000066760000}"/>
    <cellStyle name="40% - Accent4 2 3 4 4 4" xfId="5499" xr:uid="{00000000-0005-0000-0000-000067760000}"/>
    <cellStyle name="40% - Accent4 2 3 4 4 4 2" xfId="24950" xr:uid="{00000000-0005-0000-0000-000068760000}"/>
    <cellStyle name="40% - Accent4 2 3 4 4 4 3" xfId="34675" xr:uid="{00000000-0005-0000-0000-000069760000}"/>
    <cellStyle name="40% - Accent4 2 3 4 4 4 4" xfId="44400" xr:uid="{00000000-0005-0000-0000-00006A760000}"/>
    <cellStyle name="40% - Accent4 2 3 4 4 4 5" xfId="15225" xr:uid="{00000000-0005-0000-0000-00006B760000}"/>
    <cellStyle name="40% - Accent4 2 3 4 4 5" xfId="20088" xr:uid="{00000000-0005-0000-0000-00006C760000}"/>
    <cellStyle name="40% - Accent4 2 3 4 4 6" xfId="29813" xr:uid="{00000000-0005-0000-0000-00006D760000}"/>
    <cellStyle name="40% - Accent4 2 3 4 4 7" xfId="39538" xr:uid="{00000000-0005-0000-0000-00006E760000}"/>
    <cellStyle name="40% - Accent4 2 3 4 4 8" xfId="10363" xr:uid="{00000000-0005-0000-0000-00006F760000}"/>
    <cellStyle name="40% - Accent4 2 3 4 5" xfId="1897" xr:uid="{00000000-0005-0000-0000-000070760000}"/>
    <cellStyle name="40% - Accent4 2 3 4 5 2" xfId="6759" xr:uid="{00000000-0005-0000-0000-000071760000}"/>
    <cellStyle name="40% - Accent4 2 3 4 5 2 2" xfId="26210" xr:uid="{00000000-0005-0000-0000-000072760000}"/>
    <cellStyle name="40% - Accent4 2 3 4 5 2 3" xfId="35935" xr:uid="{00000000-0005-0000-0000-000073760000}"/>
    <cellStyle name="40% - Accent4 2 3 4 5 2 4" xfId="45660" xr:uid="{00000000-0005-0000-0000-000074760000}"/>
    <cellStyle name="40% - Accent4 2 3 4 5 2 5" xfId="16485" xr:uid="{00000000-0005-0000-0000-000075760000}"/>
    <cellStyle name="40% - Accent4 2 3 4 5 3" xfId="21348" xr:uid="{00000000-0005-0000-0000-000076760000}"/>
    <cellStyle name="40% - Accent4 2 3 4 5 4" xfId="31073" xr:uid="{00000000-0005-0000-0000-000077760000}"/>
    <cellStyle name="40% - Accent4 2 3 4 5 5" xfId="40798" xr:uid="{00000000-0005-0000-0000-000078760000}"/>
    <cellStyle name="40% - Accent4 2 3 4 5 6" xfId="11623" xr:uid="{00000000-0005-0000-0000-000079760000}"/>
    <cellStyle name="40% - Accent4 2 3 4 6" xfId="3517" xr:uid="{00000000-0005-0000-0000-00007A760000}"/>
    <cellStyle name="40% - Accent4 2 3 4 6 2" xfId="8379" xr:uid="{00000000-0005-0000-0000-00007B760000}"/>
    <cellStyle name="40% - Accent4 2 3 4 6 2 2" xfId="27830" xr:uid="{00000000-0005-0000-0000-00007C760000}"/>
    <cellStyle name="40% - Accent4 2 3 4 6 2 3" xfId="37555" xr:uid="{00000000-0005-0000-0000-00007D760000}"/>
    <cellStyle name="40% - Accent4 2 3 4 6 2 4" xfId="47280" xr:uid="{00000000-0005-0000-0000-00007E760000}"/>
    <cellStyle name="40% - Accent4 2 3 4 6 2 5" xfId="18105" xr:uid="{00000000-0005-0000-0000-00007F760000}"/>
    <cellStyle name="40% - Accent4 2 3 4 6 3" xfId="22968" xr:uid="{00000000-0005-0000-0000-000080760000}"/>
    <cellStyle name="40% - Accent4 2 3 4 6 4" xfId="32693" xr:uid="{00000000-0005-0000-0000-000081760000}"/>
    <cellStyle name="40% - Accent4 2 3 4 6 5" xfId="42418" xr:uid="{00000000-0005-0000-0000-000082760000}"/>
    <cellStyle name="40% - Accent4 2 3 4 6 6" xfId="13243" xr:uid="{00000000-0005-0000-0000-000083760000}"/>
    <cellStyle name="40% - Accent4 2 3 4 7" xfId="5139" xr:uid="{00000000-0005-0000-0000-000084760000}"/>
    <cellStyle name="40% - Accent4 2 3 4 7 2" xfId="24590" xr:uid="{00000000-0005-0000-0000-000085760000}"/>
    <cellStyle name="40% - Accent4 2 3 4 7 3" xfId="34315" xr:uid="{00000000-0005-0000-0000-000086760000}"/>
    <cellStyle name="40% - Accent4 2 3 4 7 4" xfId="44040" xr:uid="{00000000-0005-0000-0000-000087760000}"/>
    <cellStyle name="40% - Accent4 2 3 4 7 5" xfId="14865" xr:uid="{00000000-0005-0000-0000-000088760000}"/>
    <cellStyle name="40% - Accent4 2 3 4 8" xfId="19728" xr:uid="{00000000-0005-0000-0000-000089760000}"/>
    <cellStyle name="40% - Accent4 2 3 4 9" xfId="29453" xr:uid="{00000000-0005-0000-0000-00008A760000}"/>
    <cellStyle name="40% - Accent4 2 3 5" xfId="888" xr:uid="{00000000-0005-0000-0000-00008B760000}"/>
    <cellStyle name="40% - Accent4 2 3 5 2" xfId="2527" xr:uid="{00000000-0005-0000-0000-00008C760000}"/>
    <cellStyle name="40% - Accent4 2 3 5 2 2" xfId="7389" xr:uid="{00000000-0005-0000-0000-00008D760000}"/>
    <cellStyle name="40% - Accent4 2 3 5 2 2 2" xfId="26840" xr:uid="{00000000-0005-0000-0000-00008E760000}"/>
    <cellStyle name="40% - Accent4 2 3 5 2 2 3" xfId="36565" xr:uid="{00000000-0005-0000-0000-00008F760000}"/>
    <cellStyle name="40% - Accent4 2 3 5 2 2 4" xfId="46290" xr:uid="{00000000-0005-0000-0000-000090760000}"/>
    <cellStyle name="40% - Accent4 2 3 5 2 2 5" xfId="17115" xr:uid="{00000000-0005-0000-0000-000091760000}"/>
    <cellStyle name="40% - Accent4 2 3 5 2 3" xfId="21978" xr:uid="{00000000-0005-0000-0000-000092760000}"/>
    <cellStyle name="40% - Accent4 2 3 5 2 4" xfId="31703" xr:uid="{00000000-0005-0000-0000-000093760000}"/>
    <cellStyle name="40% - Accent4 2 3 5 2 5" xfId="41428" xr:uid="{00000000-0005-0000-0000-000094760000}"/>
    <cellStyle name="40% - Accent4 2 3 5 2 6" xfId="12253" xr:uid="{00000000-0005-0000-0000-000095760000}"/>
    <cellStyle name="40% - Accent4 2 3 5 3" xfId="4147" xr:uid="{00000000-0005-0000-0000-000096760000}"/>
    <cellStyle name="40% - Accent4 2 3 5 3 2" xfId="9009" xr:uid="{00000000-0005-0000-0000-000097760000}"/>
    <cellStyle name="40% - Accent4 2 3 5 3 2 2" xfId="28460" xr:uid="{00000000-0005-0000-0000-000098760000}"/>
    <cellStyle name="40% - Accent4 2 3 5 3 2 3" xfId="38185" xr:uid="{00000000-0005-0000-0000-000099760000}"/>
    <cellStyle name="40% - Accent4 2 3 5 3 2 4" xfId="47910" xr:uid="{00000000-0005-0000-0000-00009A760000}"/>
    <cellStyle name="40% - Accent4 2 3 5 3 2 5" xfId="18735" xr:uid="{00000000-0005-0000-0000-00009B760000}"/>
    <cellStyle name="40% - Accent4 2 3 5 3 3" xfId="23598" xr:uid="{00000000-0005-0000-0000-00009C760000}"/>
    <cellStyle name="40% - Accent4 2 3 5 3 4" xfId="33323" xr:uid="{00000000-0005-0000-0000-00009D760000}"/>
    <cellStyle name="40% - Accent4 2 3 5 3 5" xfId="43048" xr:uid="{00000000-0005-0000-0000-00009E760000}"/>
    <cellStyle name="40% - Accent4 2 3 5 3 6" xfId="13873" xr:uid="{00000000-0005-0000-0000-00009F760000}"/>
    <cellStyle name="40% - Accent4 2 3 5 4" xfId="5769" xr:uid="{00000000-0005-0000-0000-0000A0760000}"/>
    <cellStyle name="40% - Accent4 2 3 5 4 2" xfId="25220" xr:uid="{00000000-0005-0000-0000-0000A1760000}"/>
    <cellStyle name="40% - Accent4 2 3 5 4 3" xfId="34945" xr:uid="{00000000-0005-0000-0000-0000A2760000}"/>
    <cellStyle name="40% - Accent4 2 3 5 4 4" xfId="44670" xr:uid="{00000000-0005-0000-0000-0000A3760000}"/>
    <cellStyle name="40% - Accent4 2 3 5 4 5" xfId="15495" xr:uid="{00000000-0005-0000-0000-0000A4760000}"/>
    <cellStyle name="40% - Accent4 2 3 5 5" xfId="20358" xr:uid="{00000000-0005-0000-0000-0000A5760000}"/>
    <cellStyle name="40% - Accent4 2 3 5 6" xfId="30083" xr:uid="{00000000-0005-0000-0000-0000A6760000}"/>
    <cellStyle name="40% - Accent4 2 3 5 7" xfId="39808" xr:uid="{00000000-0005-0000-0000-0000A7760000}"/>
    <cellStyle name="40% - Accent4 2 3 5 8" xfId="10633" xr:uid="{00000000-0005-0000-0000-0000A8760000}"/>
    <cellStyle name="40% - Accent4 2 3 6" xfId="1266" xr:uid="{00000000-0005-0000-0000-0000A9760000}"/>
    <cellStyle name="40% - Accent4 2 3 6 2" xfId="2887" xr:uid="{00000000-0005-0000-0000-0000AA760000}"/>
    <cellStyle name="40% - Accent4 2 3 6 2 2" xfId="7749" xr:uid="{00000000-0005-0000-0000-0000AB760000}"/>
    <cellStyle name="40% - Accent4 2 3 6 2 2 2" xfId="27200" xr:uid="{00000000-0005-0000-0000-0000AC760000}"/>
    <cellStyle name="40% - Accent4 2 3 6 2 2 3" xfId="36925" xr:uid="{00000000-0005-0000-0000-0000AD760000}"/>
    <cellStyle name="40% - Accent4 2 3 6 2 2 4" xfId="46650" xr:uid="{00000000-0005-0000-0000-0000AE760000}"/>
    <cellStyle name="40% - Accent4 2 3 6 2 2 5" xfId="17475" xr:uid="{00000000-0005-0000-0000-0000AF760000}"/>
    <cellStyle name="40% - Accent4 2 3 6 2 3" xfId="22338" xr:uid="{00000000-0005-0000-0000-0000B0760000}"/>
    <cellStyle name="40% - Accent4 2 3 6 2 4" xfId="32063" xr:uid="{00000000-0005-0000-0000-0000B1760000}"/>
    <cellStyle name="40% - Accent4 2 3 6 2 5" xfId="41788" xr:uid="{00000000-0005-0000-0000-0000B2760000}"/>
    <cellStyle name="40% - Accent4 2 3 6 2 6" xfId="12613" xr:uid="{00000000-0005-0000-0000-0000B3760000}"/>
    <cellStyle name="40% - Accent4 2 3 6 3" xfId="4507" xr:uid="{00000000-0005-0000-0000-0000B4760000}"/>
    <cellStyle name="40% - Accent4 2 3 6 3 2" xfId="9369" xr:uid="{00000000-0005-0000-0000-0000B5760000}"/>
    <cellStyle name="40% - Accent4 2 3 6 3 2 2" xfId="28820" xr:uid="{00000000-0005-0000-0000-0000B6760000}"/>
    <cellStyle name="40% - Accent4 2 3 6 3 2 3" xfId="38545" xr:uid="{00000000-0005-0000-0000-0000B7760000}"/>
    <cellStyle name="40% - Accent4 2 3 6 3 2 4" xfId="48270" xr:uid="{00000000-0005-0000-0000-0000B8760000}"/>
    <cellStyle name="40% - Accent4 2 3 6 3 2 5" xfId="19095" xr:uid="{00000000-0005-0000-0000-0000B9760000}"/>
    <cellStyle name="40% - Accent4 2 3 6 3 3" xfId="23958" xr:uid="{00000000-0005-0000-0000-0000BA760000}"/>
    <cellStyle name="40% - Accent4 2 3 6 3 4" xfId="33683" xr:uid="{00000000-0005-0000-0000-0000BB760000}"/>
    <cellStyle name="40% - Accent4 2 3 6 3 5" xfId="43408" xr:uid="{00000000-0005-0000-0000-0000BC760000}"/>
    <cellStyle name="40% - Accent4 2 3 6 3 6" xfId="14233" xr:uid="{00000000-0005-0000-0000-0000BD760000}"/>
    <cellStyle name="40% - Accent4 2 3 6 4" xfId="6129" xr:uid="{00000000-0005-0000-0000-0000BE760000}"/>
    <cellStyle name="40% - Accent4 2 3 6 4 2" xfId="25580" xr:uid="{00000000-0005-0000-0000-0000BF760000}"/>
    <cellStyle name="40% - Accent4 2 3 6 4 3" xfId="35305" xr:uid="{00000000-0005-0000-0000-0000C0760000}"/>
    <cellStyle name="40% - Accent4 2 3 6 4 4" xfId="45030" xr:uid="{00000000-0005-0000-0000-0000C1760000}"/>
    <cellStyle name="40% - Accent4 2 3 6 4 5" xfId="15855" xr:uid="{00000000-0005-0000-0000-0000C2760000}"/>
    <cellStyle name="40% - Accent4 2 3 6 5" xfId="20718" xr:uid="{00000000-0005-0000-0000-0000C3760000}"/>
    <cellStyle name="40% - Accent4 2 3 6 6" xfId="30443" xr:uid="{00000000-0005-0000-0000-0000C4760000}"/>
    <cellStyle name="40% - Accent4 2 3 6 7" xfId="40168" xr:uid="{00000000-0005-0000-0000-0000C5760000}"/>
    <cellStyle name="40% - Accent4 2 3 6 8" xfId="10993" xr:uid="{00000000-0005-0000-0000-0000C6760000}"/>
    <cellStyle name="40% - Accent4 2 3 7" xfId="1356" xr:uid="{00000000-0005-0000-0000-0000C7760000}"/>
    <cellStyle name="40% - Accent4 2 3 7 2" xfId="2977" xr:uid="{00000000-0005-0000-0000-0000C8760000}"/>
    <cellStyle name="40% - Accent4 2 3 7 2 2" xfId="7839" xr:uid="{00000000-0005-0000-0000-0000C9760000}"/>
    <cellStyle name="40% - Accent4 2 3 7 2 2 2" xfId="27290" xr:uid="{00000000-0005-0000-0000-0000CA760000}"/>
    <cellStyle name="40% - Accent4 2 3 7 2 2 3" xfId="37015" xr:uid="{00000000-0005-0000-0000-0000CB760000}"/>
    <cellStyle name="40% - Accent4 2 3 7 2 2 4" xfId="46740" xr:uid="{00000000-0005-0000-0000-0000CC760000}"/>
    <cellStyle name="40% - Accent4 2 3 7 2 2 5" xfId="17565" xr:uid="{00000000-0005-0000-0000-0000CD760000}"/>
    <cellStyle name="40% - Accent4 2 3 7 2 3" xfId="22428" xr:uid="{00000000-0005-0000-0000-0000CE760000}"/>
    <cellStyle name="40% - Accent4 2 3 7 2 4" xfId="32153" xr:uid="{00000000-0005-0000-0000-0000CF760000}"/>
    <cellStyle name="40% - Accent4 2 3 7 2 5" xfId="41878" xr:uid="{00000000-0005-0000-0000-0000D0760000}"/>
    <cellStyle name="40% - Accent4 2 3 7 2 6" xfId="12703" xr:uid="{00000000-0005-0000-0000-0000D1760000}"/>
    <cellStyle name="40% - Accent4 2 3 7 3" xfId="4597" xr:uid="{00000000-0005-0000-0000-0000D2760000}"/>
    <cellStyle name="40% - Accent4 2 3 7 3 2" xfId="9459" xr:uid="{00000000-0005-0000-0000-0000D3760000}"/>
    <cellStyle name="40% - Accent4 2 3 7 3 2 2" xfId="28910" xr:uid="{00000000-0005-0000-0000-0000D4760000}"/>
    <cellStyle name="40% - Accent4 2 3 7 3 2 3" xfId="38635" xr:uid="{00000000-0005-0000-0000-0000D5760000}"/>
    <cellStyle name="40% - Accent4 2 3 7 3 2 4" xfId="48360" xr:uid="{00000000-0005-0000-0000-0000D6760000}"/>
    <cellStyle name="40% - Accent4 2 3 7 3 2 5" xfId="19185" xr:uid="{00000000-0005-0000-0000-0000D7760000}"/>
    <cellStyle name="40% - Accent4 2 3 7 3 3" xfId="24048" xr:uid="{00000000-0005-0000-0000-0000D8760000}"/>
    <cellStyle name="40% - Accent4 2 3 7 3 4" xfId="33773" xr:uid="{00000000-0005-0000-0000-0000D9760000}"/>
    <cellStyle name="40% - Accent4 2 3 7 3 5" xfId="43498" xr:uid="{00000000-0005-0000-0000-0000DA760000}"/>
    <cellStyle name="40% - Accent4 2 3 7 3 6" xfId="14323" xr:uid="{00000000-0005-0000-0000-0000DB760000}"/>
    <cellStyle name="40% - Accent4 2 3 7 4" xfId="6219" xr:uid="{00000000-0005-0000-0000-0000DC760000}"/>
    <cellStyle name="40% - Accent4 2 3 7 4 2" xfId="25670" xr:uid="{00000000-0005-0000-0000-0000DD760000}"/>
    <cellStyle name="40% - Accent4 2 3 7 4 3" xfId="35395" xr:uid="{00000000-0005-0000-0000-0000DE760000}"/>
    <cellStyle name="40% - Accent4 2 3 7 4 4" xfId="45120" xr:uid="{00000000-0005-0000-0000-0000DF760000}"/>
    <cellStyle name="40% - Accent4 2 3 7 4 5" xfId="15945" xr:uid="{00000000-0005-0000-0000-0000E0760000}"/>
    <cellStyle name="40% - Accent4 2 3 7 5" xfId="20808" xr:uid="{00000000-0005-0000-0000-0000E1760000}"/>
    <cellStyle name="40% - Accent4 2 3 7 6" xfId="30533" xr:uid="{00000000-0005-0000-0000-0000E2760000}"/>
    <cellStyle name="40% - Accent4 2 3 7 7" xfId="40258" xr:uid="{00000000-0005-0000-0000-0000E3760000}"/>
    <cellStyle name="40% - Accent4 2 3 7 8" xfId="11083" xr:uid="{00000000-0005-0000-0000-0000E4760000}"/>
    <cellStyle name="40% - Accent4 2 3 8" xfId="527" xr:uid="{00000000-0005-0000-0000-0000E5760000}"/>
    <cellStyle name="40% - Accent4 2 3 8 2" xfId="2167" xr:uid="{00000000-0005-0000-0000-0000E6760000}"/>
    <cellStyle name="40% - Accent4 2 3 8 2 2" xfId="7029" xr:uid="{00000000-0005-0000-0000-0000E7760000}"/>
    <cellStyle name="40% - Accent4 2 3 8 2 2 2" xfId="26480" xr:uid="{00000000-0005-0000-0000-0000E8760000}"/>
    <cellStyle name="40% - Accent4 2 3 8 2 2 3" xfId="36205" xr:uid="{00000000-0005-0000-0000-0000E9760000}"/>
    <cellStyle name="40% - Accent4 2 3 8 2 2 4" xfId="45930" xr:uid="{00000000-0005-0000-0000-0000EA760000}"/>
    <cellStyle name="40% - Accent4 2 3 8 2 2 5" xfId="16755" xr:uid="{00000000-0005-0000-0000-0000EB760000}"/>
    <cellStyle name="40% - Accent4 2 3 8 2 3" xfId="21618" xr:uid="{00000000-0005-0000-0000-0000EC760000}"/>
    <cellStyle name="40% - Accent4 2 3 8 2 4" xfId="31343" xr:uid="{00000000-0005-0000-0000-0000ED760000}"/>
    <cellStyle name="40% - Accent4 2 3 8 2 5" xfId="41068" xr:uid="{00000000-0005-0000-0000-0000EE760000}"/>
    <cellStyle name="40% - Accent4 2 3 8 2 6" xfId="11893" xr:uid="{00000000-0005-0000-0000-0000EF760000}"/>
    <cellStyle name="40% - Accent4 2 3 8 3" xfId="3787" xr:uid="{00000000-0005-0000-0000-0000F0760000}"/>
    <cellStyle name="40% - Accent4 2 3 8 3 2" xfId="8649" xr:uid="{00000000-0005-0000-0000-0000F1760000}"/>
    <cellStyle name="40% - Accent4 2 3 8 3 2 2" xfId="28100" xr:uid="{00000000-0005-0000-0000-0000F2760000}"/>
    <cellStyle name="40% - Accent4 2 3 8 3 2 3" xfId="37825" xr:uid="{00000000-0005-0000-0000-0000F3760000}"/>
    <cellStyle name="40% - Accent4 2 3 8 3 2 4" xfId="47550" xr:uid="{00000000-0005-0000-0000-0000F4760000}"/>
    <cellStyle name="40% - Accent4 2 3 8 3 2 5" xfId="18375" xr:uid="{00000000-0005-0000-0000-0000F5760000}"/>
    <cellStyle name="40% - Accent4 2 3 8 3 3" xfId="23238" xr:uid="{00000000-0005-0000-0000-0000F6760000}"/>
    <cellStyle name="40% - Accent4 2 3 8 3 4" xfId="32963" xr:uid="{00000000-0005-0000-0000-0000F7760000}"/>
    <cellStyle name="40% - Accent4 2 3 8 3 5" xfId="42688" xr:uid="{00000000-0005-0000-0000-0000F8760000}"/>
    <cellStyle name="40% - Accent4 2 3 8 3 6" xfId="13513" xr:uid="{00000000-0005-0000-0000-0000F9760000}"/>
    <cellStyle name="40% - Accent4 2 3 8 4" xfId="5409" xr:uid="{00000000-0005-0000-0000-0000FA760000}"/>
    <cellStyle name="40% - Accent4 2 3 8 4 2" xfId="24860" xr:uid="{00000000-0005-0000-0000-0000FB760000}"/>
    <cellStyle name="40% - Accent4 2 3 8 4 3" xfId="34585" xr:uid="{00000000-0005-0000-0000-0000FC760000}"/>
    <cellStyle name="40% - Accent4 2 3 8 4 4" xfId="44310" xr:uid="{00000000-0005-0000-0000-0000FD760000}"/>
    <cellStyle name="40% - Accent4 2 3 8 4 5" xfId="15135" xr:uid="{00000000-0005-0000-0000-0000FE760000}"/>
    <cellStyle name="40% - Accent4 2 3 8 5" xfId="19998" xr:uid="{00000000-0005-0000-0000-0000FF760000}"/>
    <cellStyle name="40% - Accent4 2 3 8 6" xfId="29723" xr:uid="{00000000-0005-0000-0000-000000770000}"/>
    <cellStyle name="40% - Accent4 2 3 8 7" xfId="39448" xr:uid="{00000000-0005-0000-0000-000001770000}"/>
    <cellStyle name="40% - Accent4 2 3 8 8" xfId="10273" xr:uid="{00000000-0005-0000-0000-000002770000}"/>
    <cellStyle name="40% - Accent4 2 3 9" xfId="1716" xr:uid="{00000000-0005-0000-0000-000003770000}"/>
    <cellStyle name="40% - Accent4 2 3 9 2" xfId="3337" xr:uid="{00000000-0005-0000-0000-000004770000}"/>
    <cellStyle name="40% - Accent4 2 3 9 2 2" xfId="8199" xr:uid="{00000000-0005-0000-0000-000005770000}"/>
    <cellStyle name="40% - Accent4 2 3 9 2 2 2" xfId="27650" xr:uid="{00000000-0005-0000-0000-000006770000}"/>
    <cellStyle name="40% - Accent4 2 3 9 2 2 3" xfId="37375" xr:uid="{00000000-0005-0000-0000-000007770000}"/>
    <cellStyle name="40% - Accent4 2 3 9 2 2 4" xfId="47100" xr:uid="{00000000-0005-0000-0000-000008770000}"/>
    <cellStyle name="40% - Accent4 2 3 9 2 2 5" xfId="17925" xr:uid="{00000000-0005-0000-0000-000009770000}"/>
    <cellStyle name="40% - Accent4 2 3 9 2 3" xfId="22788" xr:uid="{00000000-0005-0000-0000-00000A770000}"/>
    <cellStyle name="40% - Accent4 2 3 9 2 4" xfId="32513" xr:uid="{00000000-0005-0000-0000-00000B770000}"/>
    <cellStyle name="40% - Accent4 2 3 9 2 5" xfId="42238" xr:uid="{00000000-0005-0000-0000-00000C770000}"/>
    <cellStyle name="40% - Accent4 2 3 9 2 6" xfId="13063" xr:uid="{00000000-0005-0000-0000-00000D770000}"/>
    <cellStyle name="40% - Accent4 2 3 9 3" xfId="4957" xr:uid="{00000000-0005-0000-0000-00000E770000}"/>
    <cellStyle name="40% - Accent4 2 3 9 3 2" xfId="9819" xr:uid="{00000000-0005-0000-0000-00000F770000}"/>
    <cellStyle name="40% - Accent4 2 3 9 3 2 2" xfId="29270" xr:uid="{00000000-0005-0000-0000-000010770000}"/>
    <cellStyle name="40% - Accent4 2 3 9 3 2 3" xfId="38995" xr:uid="{00000000-0005-0000-0000-000011770000}"/>
    <cellStyle name="40% - Accent4 2 3 9 3 2 4" xfId="48720" xr:uid="{00000000-0005-0000-0000-000012770000}"/>
    <cellStyle name="40% - Accent4 2 3 9 3 2 5" xfId="19545" xr:uid="{00000000-0005-0000-0000-000013770000}"/>
    <cellStyle name="40% - Accent4 2 3 9 3 3" xfId="24408" xr:uid="{00000000-0005-0000-0000-000014770000}"/>
    <cellStyle name="40% - Accent4 2 3 9 3 4" xfId="34133" xr:uid="{00000000-0005-0000-0000-000015770000}"/>
    <cellStyle name="40% - Accent4 2 3 9 3 5" xfId="43858" xr:uid="{00000000-0005-0000-0000-000016770000}"/>
    <cellStyle name="40% - Accent4 2 3 9 3 6" xfId="14683" xr:uid="{00000000-0005-0000-0000-000017770000}"/>
    <cellStyle name="40% - Accent4 2 3 9 4" xfId="6579" xr:uid="{00000000-0005-0000-0000-000018770000}"/>
    <cellStyle name="40% - Accent4 2 3 9 4 2" xfId="26030" xr:uid="{00000000-0005-0000-0000-000019770000}"/>
    <cellStyle name="40% - Accent4 2 3 9 4 3" xfId="35755" xr:uid="{00000000-0005-0000-0000-00001A770000}"/>
    <cellStyle name="40% - Accent4 2 3 9 4 4" xfId="45480" xr:uid="{00000000-0005-0000-0000-00001B770000}"/>
    <cellStyle name="40% - Accent4 2 3 9 4 5" xfId="16305" xr:uid="{00000000-0005-0000-0000-00001C770000}"/>
    <cellStyle name="40% - Accent4 2 3 9 5" xfId="21168" xr:uid="{00000000-0005-0000-0000-00001D770000}"/>
    <cellStyle name="40% - Accent4 2 3 9 6" xfId="30893" xr:uid="{00000000-0005-0000-0000-00001E770000}"/>
    <cellStyle name="40% - Accent4 2 3 9 7" xfId="40618" xr:uid="{00000000-0005-0000-0000-00001F770000}"/>
    <cellStyle name="40% - Accent4 2 3 9 8" xfId="11443" xr:uid="{00000000-0005-0000-0000-000020770000}"/>
    <cellStyle name="40% - Accent4 2 4" xfId="245" xr:uid="{00000000-0005-0000-0000-000021770000}"/>
    <cellStyle name="40% - Accent4 2 4 10" xfId="39208" xr:uid="{00000000-0005-0000-0000-000022770000}"/>
    <cellStyle name="40% - Accent4 2 4 11" xfId="10033" xr:uid="{00000000-0005-0000-0000-000023770000}"/>
    <cellStyle name="40% - Accent4 2 4 2" xfId="1009" xr:uid="{00000000-0005-0000-0000-000024770000}"/>
    <cellStyle name="40% - Accent4 2 4 2 2" xfId="2647" xr:uid="{00000000-0005-0000-0000-000025770000}"/>
    <cellStyle name="40% - Accent4 2 4 2 2 2" xfId="7509" xr:uid="{00000000-0005-0000-0000-000026770000}"/>
    <cellStyle name="40% - Accent4 2 4 2 2 2 2" xfId="26960" xr:uid="{00000000-0005-0000-0000-000027770000}"/>
    <cellStyle name="40% - Accent4 2 4 2 2 2 3" xfId="36685" xr:uid="{00000000-0005-0000-0000-000028770000}"/>
    <cellStyle name="40% - Accent4 2 4 2 2 2 4" xfId="46410" xr:uid="{00000000-0005-0000-0000-000029770000}"/>
    <cellStyle name="40% - Accent4 2 4 2 2 2 5" xfId="17235" xr:uid="{00000000-0005-0000-0000-00002A770000}"/>
    <cellStyle name="40% - Accent4 2 4 2 2 3" xfId="22098" xr:uid="{00000000-0005-0000-0000-00002B770000}"/>
    <cellStyle name="40% - Accent4 2 4 2 2 4" xfId="31823" xr:uid="{00000000-0005-0000-0000-00002C770000}"/>
    <cellStyle name="40% - Accent4 2 4 2 2 5" xfId="41548" xr:uid="{00000000-0005-0000-0000-00002D770000}"/>
    <cellStyle name="40% - Accent4 2 4 2 2 6" xfId="12373" xr:uid="{00000000-0005-0000-0000-00002E770000}"/>
    <cellStyle name="40% - Accent4 2 4 2 3" xfId="4267" xr:uid="{00000000-0005-0000-0000-00002F770000}"/>
    <cellStyle name="40% - Accent4 2 4 2 3 2" xfId="9129" xr:uid="{00000000-0005-0000-0000-000030770000}"/>
    <cellStyle name="40% - Accent4 2 4 2 3 2 2" xfId="28580" xr:uid="{00000000-0005-0000-0000-000031770000}"/>
    <cellStyle name="40% - Accent4 2 4 2 3 2 3" xfId="38305" xr:uid="{00000000-0005-0000-0000-000032770000}"/>
    <cellStyle name="40% - Accent4 2 4 2 3 2 4" xfId="48030" xr:uid="{00000000-0005-0000-0000-000033770000}"/>
    <cellStyle name="40% - Accent4 2 4 2 3 2 5" xfId="18855" xr:uid="{00000000-0005-0000-0000-000034770000}"/>
    <cellStyle name="40% - Accent4 2 4 2 3 3" xfId="23718" xr:uid="{00000000-0005-0000-0000-000035770000}"/>
    <cellStyle name="40% - Accent4 2 4 2 3 4" xfId="33443" xr:uid="{00000000-0005-0000-0000-000036770000}"/>
    <cellStyle name="40% - Accent4 2 4 2 3 5" xfId="43168" xr:uid="{00000000-0005-0000-0000-000037770000}"/>
    <cellStyle name="40% - Accent4 2 4 2 3 6" xfId="13993" xr:uid="{00000000-0005-0000-0000-000038770000}"/>
    <cellStyle name="40% - Accent4 2 4 2 4" xfId="5889" xr:uid="{00000000-0005-0000-0000-000039770000}"/>
    <cellStyle name="40% - Accent4 2 4 2 4 2" xfId="25340" xr:uid="{00000000-0005-0000-0000-00003A770000}"/>
    <cellStyle name="40% - Accent4 2 4 2 4 3" xfId="35065" xr:uid="{00000000-0005-0000-0000-00003B770000}"/>
    <cellStyle name="40% - Accent4 2 4 2 4 4" xfId="44790" xr:uid="{00000000-0005-0000-0000-00003C770000}"/>
    <cellStyle name="40% - Accent4 2 4 2 4 5" xfId="15615" xr:uid="{00000000-0005-0000-0000-00003D770000}"/>
    <cellStyle name="40% - Accent4 2 4 2 5" xfId="20478" xr:uid="{00000000-0005-0000-0000-00003E770000}"/>
    <cellStyle name="40% - Accent4 2 4 2 6" xfId="30203" xr:uid="{00000000-0005-0000-0000-00003F770000}"/>
    <cellStyle name="40% - Accent4 2 4 2 7" xfId="39928" xr:uid="{00000000-0005-0000-0000-000040770000}"/>
    <cellStyle name="40% - Accent4 2 4 2 8" xfId="10753" xr:uid="{00000000-0005-0000-0000-000041770000}"/>
    <cellStyle name="40% - Accent4 2 4 3" xfId="1476" xr:uid="{00000000-0005-0000-0000-000042770000}"/>
    <cellStyle name="40% - Accent4 2 4 3 2" xfId="3097" xr:uid="{00000000-0005-0000-0000-000043770000}"/>
    <cellStyle name="40% - Accent4 2 4 3 2 2" xfId="7959" xr:uid="{00000000-0005-0000-0000-000044770000}"/>
    <cellStyle name="40% - Accent4 2 4 3 2 2 2" xfId="27410" xr:uid="{00000000-0005-0000-0000-000045770000}"/>
    <cellStyle name="40% - Accent4 2 4 3 2 2 3" xfId="37135" xr:uid="{00000000-0005-0000-0000-000046770000}"/>
    <cellStyle name="40% - Accent4 2 4 3 2 2 4" xfId="46860" xr:uid="{00000000-0005-0000-0000-000047770000}"/>
    <cellStyle name="40% - Accent4 2 4 3 2 2 5" xfId="17685" xr:uid="{00000000-0005-0000-0000-000048770000}"/>
    <cellStyle name="40% - Accent4 2 4 3 2 3" xfId="22548" xr:uid="{00000000-0005-0000-0000-000049770000}"/>
    <cellStyle name="40% - Accent4 2 4 3 2 4" xfId="32273" xr:uid="{00000000-0005-0000-0000-00004A770000}"/>
    <cellStyle name="40% - Accent4 2 4 3 2 5" xfId="41998" xr:uid="{00000000-0005-0000-0000-00004B770000}"/>
    <cellStyle name="40% - Accent4 2 4 3 2 6" xfId="12823" xr:uid="{00000000-0005-0000-0000-00004C770000}"/>
    <cellStyle name="40% - Accent4 2 4 3 3" xfId="4717" xr:uid="{00000000-0005-0000-0000-00004D770000}"/>
    <cellStyle name="40% - Accent4 2 4 3 3 2" xfId="9579" xr:uid="{00000000-0005-0000-0000-00004E770000}"/>
    <cellStyle name="40% - Accent4 2 4 3 3 2 2" xfId="29030" xr:uid="{00000000-0005-0000-0000-00004F770000}"/>
    <cellStyle name="40% - Accent4 2 4 3 3 2 3" xfId="38755" xr:uid="{00000000-0005-0000-0000-000050770000}"/>
    <cellStyle name="40% - Accent4 2 4 3 3 2 4" xfId="48480" xr:uid="{00000000-0005-0000-0000-000051770000}"/>
    <cellStyle name="40% - Accent4 2 4 3 3 2 5" xfId="19305" xr:uid="{00000000-0005-0000-0000-000052770000}"/>
    <cellStyle name="40% - Accent4 2 4 3 3 3" xfId="24168" xr:uid="{00000000-0005-0000-0000-000053770000}"/>
    <cellStyle name="40% - Accent4 2 4 3 3 4" xfId="33893" xr:uid="{00000000-0005-0000-0000-000054770000}"/>
    <cellStyle name="40% - Accent4 2 4 3 3 5" xfId="43618" xr:uid="{00000000-0005-0000-0000-000055770000}"/>
    <cellStyle name="40% - Accent4 2 4 3 3 6" xfId="14443" xr:uid="{00000000-0005-0000-0000-000056770000}"/>
    <cellStyle name="40% - Accent4 2 4 3 4" xfId="6339" xr:uid="{00000000-0005-0000-0000-000057770000}"/>
    <cellStyle name="40% - Accent4 2 4 3 4 2" xfId="25790" xr:uid="{00000000-0005-0000-0000-000058770000}"/>
    <cellStyle name="40% - Accent4 2 4 3 4 3" xfId="35515" xr:uid="{00000000-0005-0000-0000-000059770000}"/>
    <cellStyle name="40% - Accent4 2 4 3 4 4" xfId="45240" xr:uid="{00000000-0005-0000-0000-00005A770000}"/>
    <cellStyle name="40% - Accent4 2 4 3 4 5" xfId="16065" xr:uid="{00000000-0005-0000-0000-00005B770000}"/>
    <cellStyle name="40% - Accent4 2 4 3 5" xfId="20928" xr:uid="{00000000-0005-0000-0000-00005C770000}"/>
    <cellStyle name="40% - Accent4 2 4 3 6" xfId="30653" xr:uid="{00000000-0005-0000-0000-00005D770000}"/>
    <cellStyle name="40% - Accent4 2 4 3 7" xfId="40378" xr:uid="{00000000-0005-0000-0000-00005E770000}"/>
    <cellStyle name="40% - Accent4 2 4 3 8" xfId="11203" xr:uid="{00000000-0005-0000-0000-00005F770000}"/>
    <cellStyle name="40% - Accent4 2 4 4" xfId="647" xr:uid="{00000000-0005-0000-0000-000060770000}"/>
    <cellStyle name="40% - Accent4 2 4 4 2" xfId="2287" xr:uid="{00000000-0005-0000-0000-000061770000}"/>
    <cellStyle name="40% - Accent4 2 4 4 2 2" xfId="7149" xr:uid="{00000000-0005-0000-0000-000062770000}"/>
    <cellStyle name="40% - Accent4 2 4 4 2 2 2" xfId="26600" xr:uid="{00000000-0005-0000-0000-000063770000}"/>
    <cellStyle name="40% - Accent4 2 4 4 2 2 3" xfId="36325" xr:uid="{00000000-0005-0000-0000-000064770000}"/>
    <cellStyle name="40% - Accent4 2 4 4 2 2 4" xfId="46050" xr:uid="{00000000-0005-0000-0000-000065770000}"/>
    <cellStyle name="40% - Accent4 2 4 4 2 2 5" xfId="16875" xr:uid="{00000000-0005-0000-0000-000066770000}"/>
    <cellStyle name="40% - Accent4 2 4 4 2 3" xfId="21738" xr:uid="{00000000-0005-0000-0000-000067770000}"/>
    <cellStyle name="40% - Accent4 2 4 4 2 4" xfId="31463" xr:uid="{00000000-0005-0000-0000-000068770000}"/>
    <cellStyle name="40% - Accent4 2 4 4 2 5" xfId="41188" xr:uid="{00000000-0005-0000-0000-000069770000}"/>
    <cellStyle name="40% - Accent4 2 4 4 2 6" xfId="12013" xr:uid="{00000000-0005-0000-0000-00006A770000}"/>
    <cellStyle name="40% - Accent4 2 4 4 3" xfId="3907" xr:uid="{00000000-0005-0000-0000-00006B770000}"/>
    <cellStyle name="40% - Accent4 2 4 4 3 2" xfId="8769" xr:uid="{00000000-0005-0000-0000-00006C770000}"/>
    <cellStyle name="40% - Accent4 2 4 4 3 2 2" xfId="28220" xr:uid="{00000000-0005-0000-0000-00006D770000}"/>
    <cellStyle name="40% - Accent4 2 4 4 3 2 3" xfId="37945" xr:uid="{00000000-0005-0000-0000-00006E770000}"/>
    <cellStyle name="40% - Accent4 2 4 4 3 2 4" xfId="47670" xr:uid="{00000000-0005-0000-0000-00006F770000}"/>
    <cellStyle name="40% - Accent4 2 4 4 3 2 5" xfId="18495" xr:uid="{00000000-0005-0000-0000-000070770000}"/>
    <cellStyle name="40% - Accent4 2 4 4 3 3" xfId="23358" xr:uid="{00000000-0005-0000-0000-000071770000}"/>
    <cellStyle name="40% - Accent4 2 4 4 3 4" xfId="33083" xr:uid="{00000000-0005-0000-0000-000072770000}"/>
    <cellStyle name="40% - Accent4 2 4 4 3 5" xfId="42808" xr:uid="{00000000-0005-0000-0000-000073770000}"/>
    <cellStyle name="40% - Accent4 2 4 4 3 6" xfId="13633" xr:uid="{00000000-0005-0000-0000-000074770000}"/>
    <cellStyle name="40% - Accent4 2 4 4 4" xfId="5529" xr:uid="{00000000-0005-0000-0000-000075770000}"/>
    <cellStyle name="40% - Accent4 2 4 4 4 2" xfId="24980" xr:uid="{00000000-0005-0000-0000-000076770000}"/>
    <cellStyle name="40% - Accent4 2 4 4 4 3" xfId="34705" xr:uid="{00000000-0005-0000-0000-000077770000}"/>
    <cellStyle name="40% - Accent4 2 4 4 4 4" xfId="44430" xr:uid="{00000000-0005-0000-0000-000078770000}"/>
    <cellStyle name="40% - Accent4 2 4 4 4 5" xfId="15255" xr:uid="{00000000-0005-0000-0000-000079770000}"/>
    <cellStyle name="40% - Accent4 2 4 4 5" xfId="20118" xr:uid="{00000000-0005-0000-0000-00007A770000}"/>
    <cellStyle name="40% - Accent4 2 4 4 6" xfId="29843" xr:uid="{00000000-0005-0000-0000-00007B770000}"/>
    <cellStyle name="40% - Accent4 2 4 4 7" xfId="39568" xr:uid="{00000000-0005-0000-0000-00007C770000}"/>
    <cellStyle name="40% - Accent4 2 4 4 8" xfId="10393" xr:uid="{00000000-0005-0000-0000-00007D770000}"/>
    <cellStyle name="40% - Accent4 2 4 5" xfId="1927" xr:uid="{00000000-0005-0000-0000-00007E770000}"/>
    <cellStyle name="40% - Accent4 2 4 5 2" xfId="6789" xr:uid="{00000000-0005-0000-0000-00007F770000}"/>
    <cellStyle name="40% - Accent4 2 4 5 2 2" xfId="26240" xr:uid="{00000000-0005-0000-0000-000080770000}"/>
    <cellStyle name="40% - Accent4 2 4 5 2 3" xfId="35965" xr:uid="{00000000-0005-0000-0000-000081770000}"/>
    <cellStyle name="40% - Accent4 2 4 5 2 4" xfId="45690" xr:uid="{00000000-0005-0000-0000-000082770000}"/>
    <cellStyle name="40% - Accent4 2 4 5 2 5" xfId="16515" xr:uid="{00000000-0005-0000-0000-000083770000}"/>
    <cellStyle name="40% - Accent4 2 4 5 3" xfId="21378" xr:uid="{00000000-0005-0000-0000-000084770000}"/>
    <cellStyle name="40% - Accent4 2 4 5 4" xfId="31103" xr:uid="{00000000-0005-0000-0000-000085770000}"/>
    <cellStyle name="40% - Accent4 2 4 5 5" xfId="40828" xr:uid="{00000000-0005-0000-0000-000086770000}"/>
    <cellStyle name="40% - Accent4 2 4 5 6" xfId="11653" xr:uid="{00000000-0005-0000-0000-000087770000}"/>
    <cellStyle name="40% - Accent4 2 4 6" xfId="3547" xr:uid="{00000000-0005-0000-0000-000088770000}"/>
    <cellStyle name="40% - Accent4 2 4 6 2" xfId="8409" xr:uid="{00000000-0005-0000-0000-000089770000}"/>
    <cellStyle name="40% - Accent4 2 4 6 2 2" xfId="27860" xr:uid="{00000000-0005-0000-0000-00008A770000}"/>
    <cellStyle name="40% - Accent4 2 4 6 2 3" xfId="37585" xr:uid="{00000000-0005-0000-0000-00008B770000}"/>
    <cellStyle name="40% - Accent4 2 4 6 2 4" xfId="47310" xr:uid="{00000000-0005-0000-0000-00008C770000}"/>
    <cellStyle name="40% - Accent4 2 4 6 2 5" xfId="18135" xr:uid="{00000000-0005-0000-0000-00008D770000}"/>
    <cellStyle name="40% - Accent4 2 4 6 3" xfId="22998" xr:uid="{00000000-0005-0000-0000-00008E770000}"/>
    <cellStyle name="40% - Accent4 2 4 6 4" xfId="32723" xr:uid="{00000000-0005-0000-0000-00008F770000}"/>
    <cellStyle name="40% - Accent4 2 4 6 5" xfId="42448" xr:uid="{00000000-0005-0000-0000-000090770000}"/>
    <cellStyle name="40% - Accent4 2 4 6 6" xfId="13273" xr:uid="{00000000-0005-0000-0000-000091770000}"/>
    <cellStyle name="40% - Accent4 2 4 7" xfId="5169" xr:uid="{00000000-0005-0000-0000-000092770000}"/>
    <cellStyle name="40% - Accent4 2 4 7 2" xfId="24620" xr:uid="{00000000-0005-0000-0000-000093770000}"/>
    <cellStyle name="40% - Accent4 2 4 7 3" xfId="34345" xr:uid="{00000000-0005-0000-0000-000094770000}"/>
    <cellStyle name="40% - Accent4 2 4 7 4" xfId="44070" xr:uid="{00000000-0005-0000-0000-000095770000}"/>
    <cellStyle name="40% - Accent4 2 4 7 5" xfId="14895" xr:uid="{00000000-0005-0000-0000-000096770000}"/>
    <cellStyle name="40% - Accent4 2 4 8" xfId="19758" xr:uid="{00000000-0005-0000-0000-000097770000}"/>
    <cellStyle name="40% - Accent4 2 4 9" xfId="29483" xr:uid="{00000000-0005-0000-0000-000098770000}"/>
    <cellStyle name="40% - Accent4 2 5" xfId="336" xr:uid="{00000000-0005-0000-0000-000099770000}"/>
    <cellStyle name="40% - Accent4 2 5 10" xfId="39298" xr:uid="{00000000-0005-0000-0000-00009A770000}"/>
    <cellStyle name="40% - Accent4 2 5 11" xfId="10123" xr:uid="{00000000-0005-0000-0000-00009B770000}"/>
    <cellStyle name="40% - Accent4 2 5 2" xfId="1099" xr:uid="{00000000-0005-0000-0000-00009C770000}"/>
    <cellStyle name="40% - Accent4 2 5 2 2" xfId="2737" xr:uid="{00000000-0005-0000-0000-00009D770000}"/>
    <cellStyle name="40% - Accent4 2 5 2 2 2" xfId="7599" xr:uid="{00000000-0005-0000-0000-00009E770000}"/>
    <cellStyle name="40% - Accent4 2 5 2 2 2 2" xfId="27050" xr:uid="{00000000-0005-0000-0000-00009F770000}"/>
    <cellStyle name="40% - Accent4 2 5 2 2 2 3" xfId="36775" xr:uid="{00000000-0005-0000-0000-0000A0770000}"/>
    <cellStyle name="40% - Accent4 2 5 2 2 2 4" xfId="46500" xr:uid="{00000000-0005-0000-0000-0000A1770000}"/>
    <cellStyle name="40% - Accent4 2 5 2 2 2 5" xfId="17325" xr:uid="{00000000-0005-0000-0000-0000A2770000}"/>
    <cellStyle name="40% - Accent4 2 5 2 2 3" xfId="22188" xr:uid="{00000000-0005-0000-0000-0000A3770000}"/>
    <cellStyle name="40% - Accent4 2 5 2 2 4" xfId="31913" xr:uid="{00000000-0005-0000-0000-0000A4770000}"/>
    <cellStyle name="40% - Accent4 2 5 2 2 5" xfId="41638" xr:uid="{00000000-0005-0000-0000-0000A5770000}"/>
    <cellStyle name="40% - Accent4 2 5 2 2 6" xfId="12463" xr:uid="{00000000-0005-0000-0000-0000A6770000}"/>
    <cellStyle name="40% - Accent4 2 5 2 3" xfId="4357" xr:uid="{00000000-0005-0000-0000-0000A7770000}"/>
    <cellStyle name="40% - Accent4 2 5 2 3 2" xfId="9219" xr:uid="{00000000-0005-0000-0000-0000A8770000}"/>
    <cellStyle name="40% - Accent4 2 5 2 3 2 2" xfId="28670" xr:uid="{00000000-0005-0000-0000-0000A9770000}"/>
    <cellStyle name="40% - Accent4 2 5 2 3 2 3" xfId="38395" xr:uid="{00000000-0005-0000-0000-0000AA770000}"/>
    <cellStyle name="40% - Accent4 2 5 2 3 2 4" xfId="48120" xr:uid="{00000000-0005-0000-0000-0000AB770000}"/>
    <cellStyle name="40% - Accent4 2 5 2 3 2 5" xfId="18945" xr:uid="{00000000-0005-0000-0000-0000AC770000}"/>
    <cellStyle name="40% - Accent4 2 5 2 3 3" xfId="23808" xr:uid="{00000000-0005-0000-0000-0000AD770000}"/>
    <cellStyle name="40% - Accent4 2 5 2 3 4" xfId="33533" xr:uid="{00000000-0005-0000-0000-0000AE770000}"/>
    <cellStyle name="40% - Accent4 2 5 2 3 5" xfId="43258" xr:uid="{00000000-0005-0000-0000-0000AF770000}"/>
    <cellStyle name="40% - Accent4 2 5 2 3 6" xfId="14083" xr:uid="{00000000-0005-0000-0000-0000B0770000}"/>
    <cellStyle name="40% - Accent4 2 5 2 4" xfId="5979" xr:uid="{00000000-0005-0000-0000-0000B1770000}"/>
    <cellStyle name="40% - Accent4 2 5 2 4 2" xfId="25430" xr:uid="{00000000-0005-0000-0000-0000B2770000}"/>
    <cellStyle name="40% - Accent4 2 5 2 4 3" xfId="35155" xr:uid="{00000000-0005-0000-0000-0000B3770000}"/>
    <cellStyle name="40% - Accent4 2 5 2 4 4" xfId="44880" xr:uid="{00000000-0005-0000-0000-0000B4770000}"/>
    <cellStyle name="40% - Accent4 2 5 2 4 5" xfId="15705" xr:uid="{00000000-0005-0000-0000-0000B5770000}"/>
    <cellStyle name="40% - Accent4 2 5 2 5" xfId="20568" xr:uid="{00000000-0005-0000-0000-0000B6770000}"/>
    <cellStyle name="40% - Accent4 2 5 2 6" xfId="30293" xr:uid="{00000000-0005-0000-0000-0000B7770000}"/>
    <cellStyle name="40% - Accent4 2 5 2 7" xfId="40018" xr:uid="{00000000-0005-0000-0000-0000B8770000}"/>
    <cellStyle name="40% - Accent4 2 5 2 8" xfId="10843" xr:uid="{00000000-0005-0000-0000-0000B9770000}"/>
    <cellStyle name="40% - Accent4 2 5 3" xfId="1566" xr:uid="{00000000-0005-0000-0000-0000BA770000}"/>
    <cellStyle name="40% - Accent4 2 5 3 2" xfId="3187" xr:uid="{00000000-0005-0000-0000-0000BB770000}"/>
    <cellStyle name="40% - Accent4 2 5 3 2 2" xfId="8049" xr:uid="{00000000-0005-0000-0000-0000BC770000}"/>
    <cellStyle name="40% - Accent4 2 5 3 2 2 2" xfId="27500" xr:uid="{00000000-0005-0000-0000-0000BD770000}"/>
    <cellStyle name="40% - Accent4 2 5 3 2 2 3" xfId="37225" xr:uid="{00000000-0005-0000-0000-0000BE770000}"/>
    <cellStyle name="40% - Accent4 2 5 3 2 2 4" xfId="46950" xr:uid="{00000000-0005-0000-0000-0000BF770000}"/>
    <cellStyle name="40% - Accent4 2 5 3 2 2 5" xfId="17775" xr:uid="{00000000-0005-0000-0000-0000C0770000}"/>
    <cellStyle name="40% - Accent4 2 5 3 2 3" xfId="22638" xr:uid="{00000000-0005-0000-0000-0000C1770000}"/>
    <cellStyle name="40% - Accent4 2 5 3 2 4" xfId="32363" xr:uid="{00000000-0005-0000-0000-0000C2770000}"/>
    <cellStyle name="40% - Accent4 2 5 3 2 5" xfId="42088" xr:uid="{00000000-0005-0000-0000-0000C3770000}"/>
    <cellStyle name="40% - Accent4 2 5 3 2 6" xfId="12913" xr:uid="{00000000-0005-0000-0000-0000C4770000}"/>
    <cellStyle name="40% - Accent4 2 5 3 3" xfId="4807" xr:uid="{00000000-0005-0000-0000-0000C5770000}"/>
    <cellStyle name="40% - Accent4 2 5 3 3 2" xfId="9669" xr:uid="{00000000-0005-0000-0000-0000C6770000}"/>
    <cellStyle name="40% - Accent4 2 5 3 3 2 2" xfId="29120" xr:uid="{00000000-0005-0000-0000-0000C7770000}"/>
    <cellStyle name="40% - Accent4 2 5 3 3 2 3" xfId="38845" xr:uid="{00000000-0005-0000-0000-0000C8770000}"/>
    <cellStyle name="40% - Accent4 2 5 3 3 2 4" xfId="48570" xr:uid="{00000000-0005-0000-0000-0000C9770000}"/>
    <cellStyle name="40% - Accent4 2 5 3 3 2 5" xfId="19395" xr:uid="{00000000-0005-0000-0000-0000CA770000}"/>
    <cellStyle name="40% - Accent4 2 5 3 3 3" xfId="24258" xr:uid="{00000000-0005-0000-0000-0000CB770000}"/>
    <cellStyle name="40% - Accent4 2 5 3 3 4" xfId="33983" xr:uid="{00000000-0005-0000-0000-0000CC770000}"/>
    <cellStyle name="40% - Accent4 2 5 3 3 5" xfId="43708" xr:uid="{00000000-0005-0000-0000-0000CD770000}"/>
    <cellStyle name="40% - Accent4 2 5 3 3 6" xfId="14533" xr:uid="{00000000-0005-0000-0000-0000CE770000}"/>
    <cellStyle name="40% - Accent4 2 5 3 4" xfId="6429" xr:uid="{00000000-0005-0000-0000-0000CF770000}"/>
    <cellStyle name="40% - Accent4 2 5 3 4 2" xfId="25880" xr:uid="{00000000-0005-0000-0000-0000D0770000}"/>
    <cellStyle name="40% - Accent4 2 5 3 4 3" xfId="35605" xr:uid="{00000000-0005-0000-0000-0000D1770000}"/>
    <cellStyle name="40% - Accent4 2 5 3 4 4" xfId="45330" xr:uid="{00000000-0005-0000-0000-0000D2770000}"/>
    <cellStyle name="40% - Accent4 2 5 3 4 5" xfId="16155" xr:uid="{00000000-0005-0000-0000-0000D3770000}"/>
    <cellStyle name="40% - Accent4 2 5 3 5" xfId="21018" xr:uid="{00000000-0005-0000-0000-0000D4770000}"/>
    <cellStyle name="40% - Accent4 2 5 3 6" xfId="30743" xr:uid="{00000000-0005-0000-0000-0000D5770000}"/>
    <cellStyle name="40% - Accent4 2 5 3 7" xfId="40468" xr:uid="{00000000-0005-0000-0000-0000D6770000}"/>
    <cellStyle name="40% - Accent4 2 5 3 8" xfId="11293" xr:uid="{00000000-0005-0000-0000-0000D7770000}"/>
    <cellStyle name="40% - Accent4 2 5 4" xfId="737" xr:uid="{00000000-0005-0000-0000-0000D8770000}"/>
    <cellStyle name="40% - Accent4 2 5 4 2" xfId="2377" xr:uid="{00000000-0005-0000-0000-0000D9770000}"/>
    <cellStyle name="40% - Accent4 2 5 4 2 2" xfId="7239" xr:uid="{00000000-0005-0000-0000-0000DA770000}"/>
    <cellStyle name="40% - Accent4 2 5 4 2 2 2" xfId="26690" xr:uid="{00000000-0005-0000-0000-0000DB770000}"/>
    <cellStyle name="40% - Accent4 2 5 4 2 2 3" xfId="36415" xr:uid="{00000000-0005-0000-0000-0000DC770000}"/>
    <cellStyle name="40% - Accent4 2 5 4 2 2 4" xfId="46140" xr:uid="{00000000-0005-0000-0000-0000DD770000}"/>
    <cellStyle name="40% - Accent4 2 5 4 2 2 5" xfId="16965" xr:uid="{00000000-0005-0000-0000-0000DE770000}"/>
    <cellStyle name="40% - Accent4 2 5 4 2 3" xfId="21828" xr:uid="{00000000-0005-0000-0000-0000DF770000}"/>
    <cellStyle name="40% - Accent4 2 5 4 2 4" xfId="31553" xr:uid="{00000000-0005-0000-0000-0000E0770000}"/>
    <cellStyle name="40% - Accent4 2 5 4 2 5" xfId="41278" xr:uid="{00000000-0005-0000-0000-0000E1770000}"/>
    <cellStyle name="40% - Accent4 2 5 4 2 6" xfId="12103" xr:uid="{00000000-0005-0000-0000-0000E2770000}"/>
    <cellStyle name="40% - Accent4 2 5 4 3" xfId="3997" xr:uid="{00000000-0005-0000-0000-0000E3770000}"/>
    <cellStyle name="40% - Accent4 2 5 4 3 2" xfId="8859" xr:uid="{00000000-0005-0000-0000-0000E4770000}"/>
    <cellStyle name="40% - Accent4 2 5 4 3 2 2" xfId="28310" xr:uid="{00000000-0005-0000-0000-0000E5770000}"/>
    <cellStyle name="40% - Accent4 2 5 4 3 2 3" xfId="38035" xr:uid="{00000000-0005-0000-0000-0000E6770000}"/>
    <cellStyle name="40% - Accent4 2 5 4 3 2 4" xfId="47760" xr:uid="{00000000-0005-0000-0000-0000E7770000}"/>
    <cellStyle name="40% - Accent4 2 5 4 3 2 5" xfId="18585" xr:uid="{00000000-0005-0000-0000-0000E8770000}"/>
    <cellStyle name="40% - Accent4 2 5 4 3 3" xfId="23448" xr:uid="{00000000-0005-0000-0000-0000E9770000}"/>
    <cellStyle name="40% - Accent4 2 5 4 3 4" xfId="33173" xr:uid="{00000000-0005-0000-0000-0000EA770000}"/>
    <cellStyle name="40% - Accent4 2 5 4 3 5" xfId="42898" xr:uid="{00000000-0005-0000-0000-0000EB770000}"/>
    <cellStyle name="40% - Accent4 2 5 4 3 6" xfId="13723" xr:uid="{00000000-0005-0000-0000-0000EC770000}"/>
    <cellStyle name="40% - Accent4 2 5 4 4" xfId="5619" xr:uid="{00000000-0005-0000-0000-0000ED770000}"/>
    <cellStyle name="40% - Accent4 2 5 4 4 2" xfId="25070" xr:uid="{00000000-0005-0000-0000-0000EE770000}"/>
    <cellStyle name="40% - Accent4 2 5 4 4 3" xfId="34795" xr:uid="{00000000-0005-0000-0000-0000EF770000}"/>
    <cellStyle name="40% - Accent4 2 5 4 4 4" xfId="44520" xr:uid="{00000000-0005-0000-0000-0000F0770000}"/>
    <cellStyle name="40% - Accent4 2 5 4 4 5" xfId="15345" xr:uid="{00000000-0005-0000-0000-0000F1770000}"/>
    <cellStyle name="40% - Accent4 2 5 4 5" xfId="20208" xr:uid="{00000000-0005-0000-0000-0000F2770000}"/>
    <cellStyle name="40% - Accent4 2 5 4 6" xfId="29933" xr:uid="{00000000-0005-0000-0000-0000F3770000}"/>
    <cellStyle name="40% - Accent4 2 5 4 7" xfId="39658" xr:uid="{00000000-0005-0000-0000-0000F4770000}"/>
    <cellStyle name="40% - Accent4 2 5 4 8" xfId="10483" xr:uid="{00000000-0005-0000-0000-0000F5770000}"/>
    <cellStyle name="40% - Accent4 2 5 5" xfId="2017" xr:uid="{00000000-0005-0000-0000-0000F6770000}"/>
    <cellStyle name="40% - Accent4 2 5 5 2" xfId="6879" xr:uid="{00000000-0005-0000-0000-0000F7770000}"/>
    <cellStyle name="40% - Accent4 2 5 5 2 2" xfId="26330" xr:uid="{00000000-0005-0000-0000-0000F8770000}"/>
    <cellStyle name="40% - Accent4 2 5 5 2 3" xfId="36055" xr:uid="{00000000-0005-0000-0000-0000F9770000}"/>
    <cellStyle name="40% - Accent4 2 5 5 2 4" xfId="45780" xr:uid="{00000000-0005-0000-0000-0000FA770000}"/>
    <cellStyle name="40% - Accent4 2 5 5 2 5" xfId="16605" xr:uid="{00000000-0005-0000-0000-0000FB770000}"/>
    <cellStyle name="40% - Accent4 2 5 5 3" xfId="21468" xr:uid="{00000000-0005-0000-0000-0000FC770000}"/>
    <cellStyle name="40% - Accent4 2 5 5 4" xfId="31193" xr:uid="{00000000-0005-0000-0000-0000FD770000}"/>
    <cellStyle name="40% - Accent4 2 5 5 5" xfId="40918" xr:uid="{00000000-0005-0000-0000-0000FE770000}"/>
    <cellStyle name="40% - Accent4 2 5 5 6" xfId="11743" xr:uid="{00000000-0005-0000-0000-0000FF770000}"/>
    <cellStyle name="40% - Accent4 2 5 6" xfId="3637" xr:uid="{00000000-0005-0000-0000-000000780000}"/>
    <cellStyle name="40% - Accent4 2 5 6 2" xfId="8499" xr:uid="{00000000-0005-0000-0000-000001780000}"/>
    <cellStyle name="40% - Accent4 2 5 6 2 2" xfId="27950" xr:uid="{00000000-0005-0000-0000-000002780000}"/>
    <cellStyle name="40% - Accent4 2 5 6 2 3" xfId="37675" xr:uid="{00000000-0005-0000-0000-000003780000}"/>
    <cellStyle name="40% - Accent4 2 5 6 2 4" xfId="47400" xr:uid="{00000000-0005-0000-0000-000004780000}"/>
    <cellStyle name="40% - Accent4 2 5 6 2 5" xfId="18225" xr:uid="{00000000-0005-0000-0000-000005780000}"/>
    <cellStyle name="40% - Accent4 2 5 6 3" xfId="23088" xr:uid="{00000000-0005-0000-0000-000006780000}"/>
    <cellStyle name="40% - Accent4 2 5 6 4" xfId="32813" xr:uid="{00000000-0005-0000-0000-000007780000}"/>
    <cellStyle name="40% - Accent4 2 5 6 5" xfId="42538" xr:uid="{00000000-0005-0000-0000-000008780000}"/>
    <cellStyle name="40% - Accent4 2 5 6 6" xfId="13363" xr:uid="{00000000-0005-0000-0000-000009780000}"/>
    <cellStyle name="40% - Accent4 2 5 7" xfId="5259" xr:uid="{00000000-0005-0000-0000-00000A780000}"/>
    <cellStyle name="40% - Accent4 2 5 7 2" xfId="24710" xr:uid="{00000000-0005-0000-0000-00000B780000}"/>
    <cellStyle name="40% - Accent4 2 5 7 3" xfId="34435" xr:uid="{00000000-0005-0000-0000-00000C780000}"/>
    <cellStyle name="40% - Accent4 2 5 7 4" xfId="44160" xr:uid="{00000000-0005-0000-0000-00000D780000}"/>
    <cellStyle name="40% - Accent4 2 5 7 5" xfId="14985" xr:uid="{00000000-0005-0000-0000-00000E780000}"/>
    <cellStyle name="40% - Accent4 2 5 8" xfId="19848" xr:uid="{00000000-0005-0000-0000-00000F780000}"/>
    <cellStyle name="40% - Accent4 2 5 9" xfId="29573" xr:uid="{00000000-0005-0000-0000-000010780000}"/>
    <cellStyle name="40% - Accent4 2 6" xfId="154" xr:uid="{00000000-0005-0000-0000-000011780000}"/>
    <cellStyle name="40% - Accent4 2 6 10" xfId="39118" xr:uid="{00000000-0005-0000-0000-000012780000}"/>
    <cellStyle name="40% - Accent4 2 6 11" xfId="9943" xr:uid="{00000000-0005-0000-0000-000013780000}"/>
    <cellStyle name="40% - Accent4 2 6 2" xfId="918" xr:uid="{00000000-0005-0000-0000-000014780000}"/>
    <cellStyle name="40% - Accent4 2 6 2 2" xfId="2557" xr:uid="{00000000-0005-0000-0000-000015780000}"/>
    <cellStyle name="40% - Accent4 2 6 2 2 2" xfId="7419" xr:uid="{00000000-0005-0000-0000-000016780000}"/>
    <cellStyle name="40% - Accent4 2 6 2 2 2 2" xfId="26870" xr:uid="{00000000-0005-0000-0000-000017780000}"/>
    <cellStyle name="40% - Accent4 2 6 2 2 2 3" xfId="36595" xr:uid="{00000000-0005-0000-0000-000018780000}"/>
    <cellStyle name="40% - Accent4 2 6 2 2 2 4" xfId="46320" xr:uid="{00000000-0005-0000-0000-000019780000}"/>
    <cellStyle name="40% - Accent4 2 6 2 2 2 5" xfId="17145" xr:uid="{00000000-0005-0000-0000-00001A780000}"/>
    <cellStyle name="40% - Accent4 2 6 2 2 3" xfId="22008" xr:uid="{00000000-0005-0000-0000-00001B780000}"/>
    <cellStyle name="40% - Accent4 2 6 2 2 4" xfId="31733" xr:uid="{00000000-0005-0000-0000-00001C780000}"/>
    <cellStyle name="40% - Accent4 2 6 2 2 5" xfId="41458" xr:uid="{00000000-0005-0000-0000-00001D780000}"/>
    <cellStyle name="40% - Accent4 2 6 2 2 6" xfId="12283" xr:uid="{00000000-0005-0000-0000-00001E780000}"/>
    <cellStyle name="40% - Accent4 2 6 2 3" xfId="4177" xr:uid="{00000000-0005-0000-0000-00001F780000}"/>
    <cellStyle name="40% - Accent4 2 6 2 3 2" xfId="9039" xr:uid="{00000000-0005-0000-0000-000020780000}"/>
    <cellStyle name="40% - Accent4 2 6 2 3 2 2" xfId="28490" xr:uid="{00000000-0005-0000-0000-000021780000}"/>
    <cellStyle name="40% - Accent4 2 6 2 3 2 3" xfId="38215" xr:uid="{00000000-0005-0000-0000-000022780000}"/>
    <cellStyle name="40% - Accent4 2 6 2 3 2 4" xfId="47940" xr:uid="{00000000-0005-0000-0000-000023780000}"/>
    <cellStyle name="40% - Accent4 2 6 2 3 2 5" xfId="18765" xr:uid="{00000000-0005-0000-0000-000024780000}"/>
    <cellStyle name="40% - Accent4 2 6 2 3 3" xfId="23628" xr:uid="{00000000-0005-0000-0000-000025780000}"/>
    <cellStyle name="40% - Accent4 2 6 2 3 4" xfId="33353" xr:uid="{00000000-0005-0000-0000-000026780000}"/>
    <cellStyle name="40% - Accent4 2 6 2 3 5" xfId="43078" xr:uid="{00000000-0005-0000-0000-000027780000}"/>
    <cellStyle name="40% - Accent4 2 6 2 3 6" xfId="13903" xr:uid="{00000000-0005-0000-0000-000028780000}"/>
    <cellStyle name="40% - Accent4 2 6 2 4" xfId="5799" xr:uid="{00000000-0005-0000-0000-000029780000}"/>
    <cellStyle name="40% - Accent4 2 6 2 4 2" xfId="25250" xr:uid="{00000000-0005-0000-0000-00002A780000}"/>
    <cellStyle name="40% - Accent4 2 6 2 4 3" xfId="34975" xr:uid="{00000000-0005-0000-0000-00002B780000}"/>
    <cellStyle name="40% - Accent4 2 6 2 4 4" xfId="44700" xr:uid="{00000000-0005-0000-0000-00002C780000}"/>
    <cellStyle name="40% - Accent4 2 6 2 4 5" xfId="15525" xr:uid="{00000000-0005-0000-0000-00002D780000}"/>
    <cellStyle name="40% - Accent4 2 6 2 5" xfId="20388" xr:uid="{00000000-0005-0000-0000-00002E780000}"/>
    <cellStyle name="40% - Accent4 2 6 2 6" xfId="30113" xr:uid="{00000000-0005-0000-0000-00002F780000}"/>
    <cellStyle name="40% - Accent4 2 6 2 7" xfId="39838" xr:uid="{00000000-0005-0000-0000-000030780000}"/>
    <cellStyle name="40% - Accent4 2 6 2 8" xfId="10663" xr:uid="{00000000-0005-0000-0000-000031780000}"/>
    <cellStyle name="40% - Accent4 2 6 3" xfId="1386" xr:uid="{00000000-0005-0000-0000-000032780000}"/>
    <cellStyle name="40% - Accent4 2 6 3 2" xfId="3007" xr:uid="{00000000-0005-0000-0000-000033780000}"/>
    <cellStyle name="40% - Accent4 2 6 3 2 2" xfId="7869" xr:uid="{00000000-0005-0000-0000-000034780000}"/>
    <cellStyle name="40% - Accent4 2 6 3 2 2 2" xfId="27320" xr:uid="{00000000-0005-0000-0000-000035780000}"/>
    <cellStyle name="40% - Accent4 2 6 3 2 2 3" xfId="37045" xr:uid="{00000000-0005-0000-0000-000036780000}"/>
    <cellStyle name="40% - Accent4 2 6 3 2 2 4" xfId="46770" xr:uid="{00000000-0005-0000-0000-000037780000}"/>
    <cellStyle name="40% - Accent4 2 6 3 2 2 5" xfId="17595" xr:uid="{00000000-0005-0000-0000-000038780000}"/>
    <cellStyle name="40% - Accent4 2 6 3 2 3" xfId="22458" xr:uid="{00000000-0005-0000-0000-000039780000}"/>
    <cellStyle name="40% - Accent4 2 6 3 2 4" xfId="32183" xr:uid="{00000000-0005-0000-0000-00003A780000}"/>
    <cellStyle name="40% - Accent4 2 6 3 2 5" xfId="41908" xr:uid="{00000000-0005-0000-0000-00003B780000}"/>
    <cellStyle name="40% - Accent4 2 6 3 2 6" xfId="12733" xr:uid="{00000000-0005-0000-0000-00003C780000}"/>
    <cellStyle name="40% - Accent4 2 6 3 3" xfId="4627" xr:uid="{00000000-0005-0000-0000-00003D780000}"/>
    <cellStyle name="40% - Accent4 2 6 3 3 2" xfId="9489" xr:uid="{00000000-0005-0000-0000-00003E780000}"/>
    <cellStyle name="40% - Accent4 2 6 3 3 2 2" xfId="28940" xr:uid="{00000000-0005-0000-0000-00003F780000}"/>
    <cellStyle name="40% - Accent4 2 6 3 3 2 3" xfId="38665" xr:uid="{00000000-0005-0000-0000-000040780000}"/>
    <cellStyle name="40% - Accent4 2 6 3 3 2 4" xfId="48390" xr:uid="{00000000-0005-0000-0000-000041780000}"/>
    <cellStyle name="40% - Accent4 2 6 3 3 2 5" xfId="19215" xr:uid="{00000000-0005-0000-0000-000042780000}"/>
    <cellStyle name="40% - Accent4 2 6 3 3 3" xfId="24078" xr:uid="{00000000-0005-0000-0000-000043780000}"/>
    <cellStyle name="40% - Accent4 2 6 3 3 4" xfId="33803" xr:uid="{00000000-0005-0000-0000-000044780000}"/>
    <cellStyle name="40% - Accent4 2 6 3 3 5" xfId="43528" xr:uid="{00000000-0005-0000-0000-000045780000}"/>
    <cellStyle name="40% - Accent4 2 6 3 3 6" xfId="14353" xr:uid="{00000000-0005-0000-0000-000046780000}"/>
    <cellStyle name="40% - Accent4 2 6 3 4" xfId="6249" xr:uid="{00000000-0005-0000-0000-000047780000}"/>
    <cellStyle name="40% - Accent4 2 6 3 4 2" xfId="25700" xr:uid="{00000000-0005-0000-0000-000048780000}"/>
    <cellStyle name="40% - Accent4 2 6 3 4 3" xfId="35425" xr:uid="{00000000-0005-0000-0000-000049780000}"/>
    <cellStyle name="40% - Accent4 2 6 3 4 4" xfId="45150" xr:uid="{00000000-0005-0000-0000-00004A780000}"/>
    <cellStyle name="40% - Accent4 2 6 3 4 5" xfId="15975" xr:uid="{00000000-0005-0000-0000-00004B780000}"/>
    <cellStyle name="40% - Accent4 2 6 3 5" xfId="20838" xr:uid="{00000000-0005-0000-0000-00004C780000}"/>
    <cellStyle name="40% - Accent4 2 6 3 6" xfId="30563" xr:uid="{00000000-0005-0000-0000-00004D780000}"/>
    <cellStyle name="40% - Accent4 2 6 3 7" xfId="40288" xr:uid="{00000000-0005-0000-0000-00004E780000}"/>
    <cellStyle name="40% - Accent4 2 6 3 8" xfId="11113" xr:uid="{00000000-0005-0000-0000-00004F780000}"/>
    <cellStyle name="40% - Accent4 2 6 4" xfId="557" xr:uid="{00000000-0005-0000-0000-000050780000}"/>
    <cellStyle name="40% - Accent4 2 6 4 2" xfId="2197" xr:uid="{00000000-0005-0000-0000-000051780000}"/>
    <cellStyle name="40% - Accent4 2 6 4 2 2" xfId="7059" xr:uid="{00000000-0005-0000-0000-000052780000}"/>
    <cellStyle name="40% - Accent4 2 6 4 2 2 2" xfId="26510" xr:uid="{00000000-0005-0000-0000-000053780000}"/>
    <cellStyle name="40% - Accent4 2 6 4 2 2 3" xfId="36235" xr:uid="{00000000-0005-0000-0000-000054780000}"/>
    <cellStyle name="40% - Accent4 2 6 4 2 2 4" xfId="45960" xr:uid="{00000000-0005-0000-0000-000055780000}"/>
    <cellStyle name="40% - Accent4 2 6 4 2 2 5" xfId="16785" xr:uid="{00000000-0005-0000-0000-000056780000}"/>
    <cellStyle name="40% - Accent4 2 6 4 2 3" xfId="21648" xr:uid="{00000000-0005-0000-0000-000057780000}"/>
    <cellStyle name="40% - Accent4 2 6 4 2 4" xfId="31373" xr:uid="{00000000-0005-0000-0000-000058780000}"/>
    <cellStyle name="40% - Accent4 2 6 4 2 5" xfId="41098" xr:uid="{00000000-0005-0000-0000-000059780000}"/>
    <cellStyle name="40% - Accent4 2 6 4 2 6" xfId="11923" xr:uid="{00000000-0005-0000-0000-00005A780000}"/>
    <cellStyle name="40% - Accent4 2 6 4 3" xfId="3817" xr:uid="{00000000-0005-0000-0000-00005B780000}"/>
    <cellStyle name="40% - Accent4 2 6 4 3 2" xfId="8679" xr:uid="{00000000-0005-0000-0000-00005C780000}"/>
    <cellStyle name="40% - Accent4 2 6 4 3 2 2" xfId="28130" xr:uid="{00000000-0005-0000-0000-00005D780000}"/>
    <cellStyle name="40% - Accent4 2 6 4 3 2 3" xfId="37855" xr:uid="{00000000-0005-0000-0000-00005E780000}"/>
    <cellStyle name="40% - Accent4 2 6 4 3 2 4" xfId="47580" xr:uid="{00000000-0005-0000-0000-00005F780000}"/>
    <cellStyle name="40% - Accent4 2 6 4 3 2 5" xfId="18405" xr:uid="{00000000-0005-0000-0000-000060780000}"/>
    <cellStyle name="40% - Accent4 2 6 4 3 3" xfId="23268" xr:uid="{00000000-0005-0000-0000-000061780000}"/>
    <cellStyle name="40% - Accent4 2 6 4 3 4" xfId="32993" xr:uid="{00000000-0005-0000-0000-000062780000}"/>
    <cellStyle name="40% - Accent4 2 6 4 3 5" xfId="42718" xr:uid="{00000000-0005-0000-0000-000063780000}"/>
    <cellStyle name="40% - Accent4 2 6 4 3 6" xfId="13543" xr:uid="{00000000-0005-0000-0000-000064780000}"/>
    <cellStyle name="40% - Accent4 2 6 4 4" xfId="5439" xr:uid="{00000000-0005-0000-0000-000065780000}"/>
    <cellStyle name="40% - Accent4 2 6 4 4 2" xfId="24890" xr:uid="{00000000-0005-0000-0000-000066780000}"/>
    <cellStyle name="40% - Accent4 2 6 4 4 3" xfId="34615" xr:uid="{00000000-0005-0000-0000-000067780000}"/>
    <cellStyle name="40% - Accent4 2 6 4 4 4" xfId="44340" xr:uid="{00000000-0005-0000-0000-000068780000}"/>
    <cellStyle name="40% - Accent4 2 6 4 4 5" xfId="15165" xr:uid="{00000000-0005-0000-0000-000069780000}"/>
    <cellStyle name="40% - Accent4 2 6 4 5" xfId="20028" xr:uid="{00000000-0005-0000-0000-00006A780000}"/>
    <cellStyle name="40% - Accent4 2 6 4 6" xfId="29753" xr:uid="{00000000-0005-0000-0000-00006B780000}"/>
    <cellStyle name="40% - Accent4 2 6 4 7" xfId="39478" xr:uid="{00000000-0005-0000-0000-00006C780000}"/>
    <cellStyle name="40% - Accent4 2 6 4 8" xfId="10303" xr:uid="{00000000-0005-0000-0000-00006D780000}"/>
    <cellStyle name="40% - Accent4 2 6 5" xfId="1837" xr:uid="{00000000-0005-0000-0000-00006E780000}"/>
    <cellStyle name="40% - Accent4 2 6 5 2" xfId="6699" xr:uid="{00000000-0005-0000-0000-00006F780000}"/>
    <cellStyle name="40% - Accent4 2 6 5 2 2" xfId="26150" xr:uid="{00000000-0005-0000-0000-000070780000}"/>
    <cellStyle name="40% - Accent4 2 6 5 2 3" xfId="35875" xr:uid="{00000000-0005-0000-0000-000071780000}"/>
    <cellStyle name="40% - Accent4 2 6 5 2 4" xfId="45600" xr:uid="{00000000-0005-0000-0000-000072780000}"/>
    <cellStyle name="40% - Accent4 2 6 5 2 5" xfId="16425" xr:uid="{00000000-0005-0000-0000-000073780000}"/>
    <cellStyle name="40% - Accent4 2 6 5 3" xfId="21288" xr:uid="{00000000-0005-0000-0000-000074780000}"/>
    <cellStyle name="40% - Accent4 2 6 5 4" xfId="31013" xr:uid="{00000000-0005-0000-0000-000075780000}"/>
    <cellStyle name="40% - Accent4 2 6 5 5" xfId="40738" xr:uid="{00000000-0005-0000-0000-000076780000}"/>
    <cellStyle name="40% - Accent4 2 6 5 6" xfId="11563" xr:uid="{00000000-0005-0000-0000-000077780000}"/>
    <cellStyle name="40% - Accent4 2 6 6" xfId="3457" xr:uid="{00000000-0005-0000-0000-000078780000}"/>
    <cellStyle name="40% - Accent4 2 6 6 2" xfId="8319" xr:uid="{00000000-0005-0000-0000-000079780000}"/>
    <cellStyle name="40% - Accent4 2 6 6 2 2" xfId="27770" xr:uid="{00000000-0005-0000-0000-00007A780000}"/>
    <cellStyle name="40% - Accent4 2 6 6 2 3" xfId="37495" xr:uid="{00000000-0005-0000-0000-00007B780000}"/>
    <cellStyle name="40% - Accent4 2 6 6 2 4" xfId="47220" xr:uid="{00000000-0005-0000-0000-00007C780000}"/>
    <cellStyle name="40% - Accent4 2 6 6 2 5" xfId="18045" xr:uid="{00000000-0005-0000-0000-00007D780000}"/>
    <cellStyle name="40% - Accent4 2 6 6 3" xfId="22908" xr:uid="{00000000-0005-0000-0000-00007E780000}"/>
    <cellStyle name="40% - Accent4 2 6 6 4" xfId="32633" xr:uid="{00000000-0005-0000-0000-00007F780000}"/>
    <cellStyle name="40% - Accent4 2 6 6 5" xfId="42358" xr:uid="{00000000-0005-0000-0000-000080780000}"/>
    <cellStyle name="40% - Accent4 2 6 6 6" xfId="13183" xr:uid="{00000000-0005-0000-0000-000081780000}"/>
    <cellStyle name="40% - Accent4 2 6 7" xfId="5079" xr:uid="{00000000-0005-0000-0000-000082780000}"/>
    <cellStyle name="40% - Accent4 2 6 7 2" xfId="24530" xr:uid="{00000000-0005-0000-0000-000083780000}"/>
    <cellStyle name="40% - Accent4 2 6 7 3" xfId="34255" xr:uid="{00000000-0005-0000-0000-000084780000}"/>
    <cellStyle name="40% - Accent4 2 6 7 4" xfId="43980" xr:uid="{00000000-0005-0000-0000-000085780000}"/>
    <cellStyle name="40% - Accent4 2 6 7 5" xfId="14805" xr:uid="{00000000-0005-0000-0000-000086780000}"/>
    <cellStyle name="40% - Accent4 2 6 8" xfId="19668" xr:uid="{00000000-0005-0000-0000-000087780000}"/>
    <cellStyle name="40% - Accent4 2 6 9" xfId="29393" xr:uid="{00000000-0005-0000-0000-000088780000}"/>
    <cellStyle name="40% - Accent4 2 7" xfId="828" xr:uid="{00000000-0005-0000-0000-000089780000}"/>
    <cellStyle name="40% - Accent4 2 7 2" xfId="2467" xr:uid="{00000000-0005-0000-0000-00008A780000}"/>
    <cellStyle name="40% - Accent4 2 7 2 2" xfId="7329" xr:uid="{00000000-0005-0000-0000-00008B780000}"/>
    <cellStyle name="40% - Accent4 2 7 2 2 2" xfId="26780" xr:uid="{00000000-0005-0000-0000-00008C780000}"/>
    <cellStyle name="40% - Accent4 2 7 2 2 3" xfId="36505" xr:uid="{00000000-0005-0000-0000-00008D780000}"/>
    <cellStyle name="40% - Accent4 2 7 2 2 4" xfId="46230" xr:uid="{00000000-0005-0000-0000-00008E780000}"/>
    <cellStyle name="40% - Accent4 2 7 2 2 5" xfId="17055" xr:uid="{00000000-0005-0000-0000-00008F780000}"/>
    <cellStyle name="40% - Accent4 2 7 2 3" xfId="21918" xr:uid="{00000000-0005-0000-0000-000090780000}"/>
    <cellStyle name="40% - Accent4 2 7 2 4" xfId="31643" xr:uid="{00000000-0005-0000-0000-000091780000}"/>
    <cellStyle name="40% - Accent4 2 7 2 5" xfId="41368" xr:uid="{00000000-0005-0000-0000-000092780000}"/>
    <cellStyle name="40% - Accent4 2 7 2 6" xfId="12193" xr:uid="{00000000-0005-0000-0000-000093780000}"/>
    <cellStyle name="40% - Accent4 2 7 3" xfId="4087" xr:uid="{00000000-0005-0000-0000-000094780000}"/>
    <cellStyle name="40% - Accent4 2 7 3 2" xfId="8949" xr:uid="{00000000-0005-0000-0000-000095780000}"/>
    <cellStyle name="40% - Accent4 2 7 3 2 2" xfId="28400" xr:uid="{00000000-0005-0000-0000-000096780000}"/>
    <cellStyle name="40% - Accent4 2 7 3 2 3" xfId="38125" xr:uid="{00000000-0005-0000-0000-000097780000}"/>
    <cellStyle name="40% - Accent4 2 7 3 2 4" xfId="47850" xr:uid="{00000000-0005-0000-0000-000098780000}"/>
    <cellStyle name="40% - Accent4 2 7 3 2 5" xfId="18675" xr:uid="{00000000-0005-0000-0000-000099780000}"/>
    <cellStyle name="40% - Accent4 2 7 3 3" xfId="23538" xr:uid="{00000000-0005-0000-0000-00009A780000}"/>
    <cellStyle name="40% - Accent4 2 7 3 4" xfId="33263" xr:uid="{00000000-0005-0000-0000-00009B780000}"/>
    <cellStyle name="40% - Accent4 2 7 3 5" xfId="42988" xr:uid="{00000000-0005-0000-0000-00009C780000}"/>
    <cellStyle name="40% - Accent4 2 7 3 6" xfId="13813" xr:uid="{00000000-0005-0000-0000-00009D780000}"/>
    <cellStyle name="40% - Accent4 2 7 4" xfId="5709" xr:uid="{00000000-0005-0000-0000-00009E780000}"/>
    <cellStyle name="40% - Accent4 2 7 4 2" xfId="25160" xr:uid="{00000000-0005-0000-0000-00009F780000}"/>
    <cellStyle name="40% - Accent4 2 7 4 3" xfId="34885" xr:uid="{00000000-0005-0000-0000-0000A0780000}"/>
    <cellStyle name="40% - Accent4 2 7 4 4" xfId="44610" xr:uid="{00000000-0005-0000-0000-0000A1780000}"/>
    <cellStyle name="40% - Accent4 2 7 4 5" xfId="15435" xr:uid="{00000000-0005-0000-0000-0000A2780000}"/>
    <cellStyle name="40% - Accent4 2 7 5" xfId="20298" xr:uid="{00000000-0005-0000-0000-0000A3780000}"/>
    <cellStyle name="40% - Accent4 2 7 6" xfId="30023" xr:uid="{00000000-0005-0000-0000-0000A4780000}"/>
    <cellStyle name="40% - Accent4 2 7 7" xfId="39748" xr:uid="{00000000-0005-0000-0000-0000A5780000}"/>
    <cellStyle name="40% - Accent4 2 7 8" xfId="10573" xr:uid="{00000000-0005-0000-0000-0000A6780000}"/>
    <cellStyle name="40% - Accent4 2 8" xfId="1206" xr:uid="{00000000-0005-0000-0000-0000A7780000}"/>
    <cellStyle name="40% - Accent4 2 8 2" xfId="2827" xr:uid="{00000000-0005-0000-0000-0000A8780000}"/>
    <cellStyle name="40% - Accent4 2 8 2 2" xfId="7689" xr:uid="{00000000-0005-0000-0000-0000A9780000}"/>
    <cellStyle name="40% - Accent4 2 8 2 2 2" xfId="27140" xr:uid="{00000000-0005-0000-0000-0000AA780000}"/>
    <cellStyle name="40% - Accent4 2 8 2 2 3" xfId="36865" xr:uid="{00000000-0005-0000-0000-0000AB780000}"/>
    <cellStyle name="40% - Accent4 2 8 2 2 4" xfId="46590" xr:uid="{00000000-0005-0000-0000-0000AC780000}"/>
    <cellStyle name="40% - Accent4 2 8 2 2 5" xfId="17415" xr:uid="{00000000-0005-0000-0000-0000AD780000}"/>
    <cellStyle name="40% - Accent4 2 8 2 3" xfId="22278" xr:uid="{00000000-0005-0000-0000-0000AE780000}"/>
    <cellStyle name="40% - Accent4 2 8 2 4" xfId="32003" xr:uid="{00000000-0005-0000-0000-0000AF780000}"/>
    <cellStyle name="40% - Accent4 2 8 2 5" xfId="41728" xr:uid="{00000000-0005-0000-0000-0000B0780000}"/>
    <cellStyle name="40% - Accent4 2 8 2 6" xfId="12553" xr:uid="{00000000-0005-0000-0000-0000B1780000}"/>
    <cellStyle name="40% - Accent4 2 8 3" xfId="4447" xr:uid="{00000000-0005-0000-0000-0000B2780000}"/>
    <cellStyle name="40% - Accent4 2 8 3 2" xfId="9309" xr:uid="{00000000-0005-0000-0000-0000B3780000}"/>
    <cellStyle name="40% - Accent4 2 8 3 2 2" xfId="28760" xr:uid="{00000000-0005-0000-0000-0000B4780000}"/>
    <cellStyle name="40% - Accent4 2 8 3 2 3" xfId="38485" xr:uid="{00000000-0005-0000-0000-0000B5780000}"/>
    <cellStyle name="40% - Accent4 2 8 3 2 4" xfId="48210" xr:uid="{00000000-0005-0000-0000-0000B6780000}"/>
    <cellStyle name="40% - Accent4 2 8 3 2 5" xfId="19035" xr:uid="{00000000-0005-0000-0000-0000B7780000}"/>
    <cellStyle name="40% - Accent4 2 8 3 3" xfId="23898" xr:uid="{00000000-0005-0000-0000-0000B8780000}"/>
    <cellStyle name="40% - Accent4 2 8 3 4" xfId="33623" xr:uid="{00000000-0005-0000-0000-0000B9780000}"/>
    <cellStyle name="40% - Accent4 2 8 3 5" xfId="43348" xr:uid="{00000000-0005-0000-0000-0000BA780000}"/>
    <cellStyle name="40% - Accent4 2 8 3 6" xfId="14173" xr:uid="{00000000-0005-0000-0000-0000BB780000}"/>
    <cellStyle name="40% - Accent4 2 8 4" xfId="6069" xr:uid="{00000000-0005-0000-0000-0000BC780000}"/>
    <cellStyle name="40% - Accent4 2 8 4 2" xfId="25520" xr:uid="{00000000-0005-0000-0000-0000BD780000}"/>
    <cellStyle name="40% - Accent4 2 8 4 3" xfId="35245" xr:uid="{00000000-0005-0000-0000-0000BE780000}"/>
    <cellStyle name="40% - Accent4 2 8 4 4" xfId="44970" xr:uid="{00000000-0005-0000-0000-0000BF780000}"/>
    <cellStyle name="40% - Accent4 2 8 4 5" xfId="15795" xr:uid="{00000000-0005-0000-0000-0000C0780000}"/>
    <cellStyle name="40% - Accent4 2 8 5" xfId="20658" xr:uid="{00000000-0005-0000-0000-0000C1780000}"/>
    <cellStyle name="40% - Accent4 2 8 6" xfId="30383" xr:uid="{00000000-0005-0000-0000-0000C2780000}"/>
    <cellStyle name="40% - Accent4 2 8 7" xfId="40108" xr:uid="{00000000-0005-0000-0000-0000C3780000}"/>
    <cellStyle name="40% - Accent4 2 8 8" xfId="10933" xr:uid="{00000000-0005-0000-0000-0000C4780000}"/>
    <cellStyle name="40% - Accent4 2 9" xfId="1296" xr:uid="{00000000-0005-0000-0000-0000C5780000}"/>
    <cellStyle name="40% - Accent4 2 9 2" xfId="2917" xr:uid="{00000000-0005-0000-0000-0000C6780000}"/>
    <cellStyle name="40% - Accent4 2 9 2 2" xfId="7779" xr:uid="{00000000-0005-0000-0000-0000C7780000}"/>
    <cellStyle name="40% - Accent4 2 9 2 2 2" xfId="27230" xr:uid="{00000000-0005-0000-0000-0000C8780000}"/>
    <cellStyle name="40% - Accent4 2 9 2 2 3" xfId="36955" xr:uid="{00000000-0005-0000-0000-0000C9780000}"/>
    <cellStyle name="40% - Accent4 2 9 2 2 4" xfId="46680" xr:uid="{00000000-0005-0000-0000-0000CA780000}"/>
    <cellStyle name="40% - Accent4 2 9 2 2 5" xfId="17505" xr:uid="{00000000-0005-0000-0000-0000CB780000}"/>
    <cellStyle name="40% - Accent4 2 9 2 3" xfId="22368" xr:uid="{00000000-0005-0000-0000-0000CC780000}"/>
    <cellStyle name="40% - Accent4 2 9 2 4" xfId="32093" xr:uid="{00000000-0005-0000-0000-0000CD780000}"/>
    <cellStyle name="40% - Accent4 2 9 2 5" xfId="41818" xr:uid="{00000000-0005-0000-0000-0000CE780000}"/>
    <cellStyle name="40% - Accent4 2 9 2 6" xfId="12643" xr:uid="{00000000-0005-0000-0000-0000CF780000}"/>
    <cellStyle name="40% - Accent4 2 9 3" xfId="4537" xr:uid="{00000000-0005-0000-0000-0000D0780000}"/>
    <cellStyle name="40% - Accent4 2 9 3 2" xfId="9399" xr:uid="{00000000-0005-0000-0000-0000D1780000}"/>
    <cellStyle name="40% - Accent4 2 9 3 2 2" xfId="28850" xr:uid="{00000000-0005-0000-0000-0000D2780000}"/>
    <cellStyle name="40% - Accent4 2 9 3 2 3" xfId="38575" xr:uid="{00000000-0005-0000-0000-0000D3780000}"/>
    <cellStyle name="40% - Accent4 2 9 3 2 4" xfId="48300" xr:uid="{00000000-0005-0000-0000-0000D4780000}"/>
    <cellStyle name="40% - Accent4 2 9 3 2 5" xfId="19125" xr:uid="{00000000-0005-0000-0000-0000D5780000}"/>
    <cellStyle name="40% - Accent4 2 9 3 3" xfId="23988" xr:uid="{00000000-0005-0000-0000-0000D6780000}"/>
    <cellStyle name="40% - Accent4 2 9 3 4" xfId="33713" xr:uid="{00000000-0005-0000-0000-0000D7780000}"/>
    <cellStyle name="40% - Accent4 2 9 3 5" xfId="43438" xr:uid="{00000000-0005-0000-0000-0000D8780000}"/>
    <cellStyle name="40% - Accent4 2 9 3 6" xfId="14263" xr:uid="{00000000-0005-0000-0000-0000D9780000}"/>
    <cellStyle name="40% - Accent4 2 9 4" xfId="6159" xr:uid="{00000000-0005-0000-0000-0000DA780000}"/>
    <cellStyle name="40% - Accent4 2 9 4 2" xfId="25610" xr:uid="{00000000-0005-0000-0000-0000DB780000}"/>
    <cellStyle name="40% - Accent4 2 9 4 3" xfId="35335" xr:uid="{00000000-0005-0000-0000-0000DC780000}"/>
    <cellStyle name="40% - Accent4 2 9 4 4" xfId="45060" xr:uid="{00000000-0005-0000-0000-0000DD780000}"/>
    <cellStyle name="40% - Accent4 2 9 4 5" xfId="15885" xr:uid="{00000000-0005-0000-0000-0000DE780000}"/>
    <cellStyle name="40% - Accent4 2 9 5" xfId="20748" xr:uid="{00000000-0005-0000-0000-0000DF780000}"/>
    <cellStyle name="40% - Accent4 2 9 6" xfId="30473" xr:uid="{00000000-0005-0000-0000-0000E0780000}"/>
    <cellStyle name="40% - Accent4 2 9 7" xfId="40198" xr:uid="{00000000-0005-0000-0000-0000E1780000}"/>
    <cellStyle name="40% - Accent4 2 9 8" xfId="11023" xr:uid="{00000000-0005-0000-0000-0000E2780000}"/>
    <cellStyle name="40% - Accent4 2_Database (All)" xfId="1172" xr:uid="{00000000-0005-0000-0000-0000E3780000}"/>
    <cellStyle name="40% - Accent4 20" xfId="9839" xr:uid="{00000000-0005-0000-0000-0000E4780000}"/>
    <cellStyle name="40% - Accent4 3" xfId="79" xr:uid="{00000000-0005-0000-0000-0000E5780000}"/>
    <cellStyle name="40% - Accent4 3 10" xfId="1763" xr:uid="{00000000-0005-0000-0000-0000E6780000}"/>
    <cellStyle name="40% - Accent4 3 10 2" xfId="6625" xr:uid="{00000000-0005-0000-0000-0000E7780000}"/>
    <cellStyle name="40% - Accent4 3 10 2 2" xfId="26076" xr:uid="{00000000-0005-0000-0000-0000E8780000}"/>
    <cellStyle name="40% - Accent4 3 10 2 3" xfId="35801" xr:uid="{00000000-0005-0000-0000-0000E9780000}"/>
    <cellStyle name="40% - Accent4 3 10 2 4" xfId="45526" xr:uid="{00000000-0005-0000-0000-0000EA780000}"/>
    <cellStyle name="40% - Accent4 3 10 2 5" xfId="16351" xr:uid="{00000000-0005-0000-0000-0000EB780000}"/>
    <cellStyle name="40% - Accent4 3 10 3" xfId="21214" xr:uid="{00000000-0005-0000-0000-0000EC780000}"/>
    <cellStyle name="40% - Accent4 3 10 4" xfId="30939" xr:uid="{00000000-0005-0000-0000-0000ED780000}"/>
    <cellStyle name="40% - Accent4 3 10 5" xfId="40664" xr:uid="{00000000-0005-0000-0000-0000EE780000}"/>
    <cellStyle name="40% - Accent4 3 10 6" xfId="11489" xr:uid="{00000000-0005-0000-0000-0000EF780000}"/>
    <cellStyle name="40% - Accent4 3 11" xfId="3383" xr:uid="{00000000-0005-0000-0000-0000F0780000}"/>
    <cellStyle name="40% - Accent4 3 11 2" xfId="8245" xr:uid="{00000000-0005-0000-0000-0000F1780000}"/>
    <cellStyle name="40% - Accent4 3 11 2 2" xfId="27696" xr:uid="{00000000-0005-0000-0000-0000F2780000}"/>
    <cellStyle name="40% - Accent4 3 11 2 3" xfId="37421" xr:uid="{00000000-0005-0000-0000-0000F3780000}"/>
    <cellStyle name="40% - Accent4 3 11 2 4" xfId="47146" xr:uid="{00000000-0005-0000-0000-0000F4780000}"/>
    <cellStyle name="40% - Accent4 3 11 2 5" xfId="17971" xr:uid="{00000000-0005-0000-0000-0000F5780000}"/>
    <cellStyle name="40% - Accent4 3 11 3" xfId="22834" xr:uid="{00000000-0005-0000-0000-0000F6780000}"/>
    <cellStyle name="40% - Accent4 3 11 4" xfId="32559" xr:uid="{00000000-0005-0000-0000-0000F7780000}"/>
    <cellStyle name="40% - Accent4 3 11 5" xfId="42284" xr:uid="{00000000-0005-0000-0000-0000F8780000}"/>
    <cellStyle name="40% - Accent4 3 11 6" xfId="13109" xr:uid="{00000000-0005-0000-0000-0000F9780000}"/>
    <cellStyle name="40% - Accent4 3 12" xfId="5005" xr:uid="{00000000-0005-0000-0000-0000FA780000}"/>
    <cellStyle name="40% - Accent4 3 12 2" xfId="24456" xr:uid="{00000000-0005-0000-0000-0000FB780000}"/>
    <cellStyle name="40% - Accent4 3 12 3" xfId="34181" xr:uid="{00000000-0005-0000-0000-0000FC780000}"/>
    <cellStyle name="40% - Accent4 3 12 4" xfId="43906" xr:uid="{00000000-0005-0000-0000-0000FD780000}"/>
    <cellStyle name="40% - Accent4 3 12 5" xfId="14731" xr:uid="{00000000-0005-0000-0000-0000FE780000}"/>
    <cellStyle name="40% - Accent4 3 13" xfId="19594" xr:uid="{00000000-0005-0000-0000-0000FF780000}"/>
    <cellStyle name="40% - Accent4 3 14" xfId="29319" xr:uid="{00000000-0005-0000-0000-000000790000}"/>
    <cellStyle name="40% - Accent4 3 15" xfId="39044" xr:uid="{00000000-0005-0000-0000-000001790000}"/>
    <cellStyle name="40% - Accent4 3 16" xfId="9869" xr:uid="{00000000-0005-0000-0000-000002790000}"/>
    <cellStyle name="40% - Accent4 3 2" xfId="261" xr:uid="{00000000-0005-0000-0000-000003790000}"/>
    <cellStyle name="40% - Accent4 3 2 10" xfId="39224" xr:uid="{00000000-0005-0000-0000-000004790000}"/>
    <cellStyle name="40% - Accent4 3 2 11" xfId="10049" xr:uid="{00000000-0005-0000-0000-000005790000}"/>
    <cellStyle name="40% - Accent4 3 2 2" xfId="1025" xr:uid="{00000000-0005-0000-0000-000006790000}"/>
    <cellStyle name="40% - Accent4 3 2 2 2" xfId="2663" xr:uid="{00000000-0005-0000-0000-000007790000}"/>
    <cellStyle name="40% - Accent4 3 2 2 2 2" xfId="7525" xr:uid="{00000000-0005-0000-0000-000008790000}"/>
    <cellStyle name="40% - Accent4 3 2 2 2 2 2" xfId="26976" xr:uid="{00000000-0005-0000-0000-000009790000}"/>
    <cellStyle name="40% - Accent4 3 2 2 2 2 3" xfId="36701" xr:uid="{00000000-0005-0000-0000-00000A790000}"/>
    <cellStyle name="40% - Accent4 3 2 2 2 2 4" xfId="46426" xr:uid="{00000000-0005-0000-0000-00000B790000}"/>
    <cellStyle name="40% - Accent4 3 2 2 2 2 5" xfId="17251" xr:uid="{00000000-0005-0000-0000-00000C790000}"/>
    <cellStyle name="40% - Accent4 3 2 2 2 3" xfId="22114" xr:uid="{00000000-0005-0000-0000-00000D790000}"/>
    <cellStyle name="40% - Accent4 3 2 2 2 4" xfId="31839" xr:uid="{00000000-0005-0000-0000-00000E790000}"/>
    <cellStyle name="40% - Accent4 3 2 2 2 5" xfId="41564" xr:uid="{00000000-0005-0000-0000-00000F790000}"/>
    <cellStyle name="40% - Accent4 3 2 2 2 6" xfId="12389" xr:uid="{00000000-0005-0000-0000-000010790000}"/>
    <cellStyle name="40% - Accent4 3 2 2 3" xfId="4283" xr:uid="{00000000-0005-0000-0000-000011790000}"/>
    <cellStyle name="40% - Accent4 3 2 2 3 2" xfId="9145" xr:uid="{00000000-0005-0000-0000-000012790000}"/>
    <cellStyle name="40% - Accent4 3 2 2 3 2 2" xfId="28596" xr:uid="{00000000-0005-0000-0000-000013790000}"/>
    <cellStyle name="40% - Accent4 3 2 2 3 2 3" xfId="38321" xr:uid="{00000000-0005-0000-0000-000014790000}"/>
    <cellStyle name="40% - Accent4 3 2 2 3 2 4" xfId="48046" xr:uid="{00000000-0005-0000-0000-000015790000}"/>
    <cellStyle name="40% - Accent4 3 2 2 3 2 5" xfId="18871" xr:uid="{00000000-0005-0000-0000-000016790000}"/>
    <cellStyle name="40% - Accent4 3 2 2 3 3" xfId="23734" xr:uid="{00000000-0005-0000-0000-000017790000}"/>
    <cellStyle name="40% - Accent4 3 2 2 3 4" xfId="33459" xr:uid="{00000000-0005-0000-0000-000018790000}"/>
    <cellStyle name="40% - Accent4 3 2 2 3 5" xfId="43184" xr:uid="{00000000-0005-0000-0000-000019790000}"/>
    <cellStyle name="40% - Accent4 3 2 2 3 6" xfId="14009" xr:uid="{00000000-0005-0000-0000-00001A790000}"/>
    <cellStyle name="40% - Accent4 3 2 2 4" xfId="5905" xr:uid="{00000000-0005-0000-0000-00001B790000}"/>
    <cellStyle name="40% - Accent4 3 2 2 4 2" xfId="25356" xr:uid="{00000000-0005-0000-0000-00001C790000}"/>
    <cellStyle name="40% - Accent4 3 2 2 4 3" xfId="35081" xr:uid="{00000000-0005-0000-0000-00001D790000}"/>
    <cellStyle name="40% - Accent4 3 2 2 4 4" xfId="44806" xr:uid="{00000000-0005-0000-0000-00001E790000}"/>
    <cellStyle name="40% - Accent4 3 2 2 4 5" xfId="15631" xr:uid="{00000000-0005-0000-0000-00001F790000}"/>
    <cellStyle name="40% - Accent4 3 2 2 5" xfId="20494" xr:uid="{00000000-0005-0000-0000-000020790000}"/>
    <cellStyle name="40% - Accent4 3 2 2 6" xfId="30219" xr:uid="{00000000-0005-0000-0000-000021790000}"/>
    <cellStyle name="40% - Accent4 3 2 2 7" xfId="39944" xr:uid="{00000000-0005-0000-0000-000022790000}"/>
    <cellStyle name="40% - Accent4 3 2 2 8" xfId="10769" xr:uid="{00000000-0005-0000-0000-000023790000}"/>
    <cellStyle name="40% - Accent4 3 2 3" xfId="1492" xr:uid="{00000000-0005-0000-0000-000024790000}"/>
    <cellStyle name="40% - Accent4 3 2 3 2" xfId="3113" xr:uid="{00000000-0005-0000-0000-000025790000}"/>
    <cellStyle name="40% - Accent4 3 2 3 2 2" xfId="7975" xr:uid="{00000000-0005-0000-0000-000026790000}"/>
    <cellStyle name="40% - Accent4 3 2 3 2 2 2" xfId="27426" xr:uid="{00000000-0005-0000-0000-000027790000}"/>
    <cellStyle name="40% - Accent4 3 2 3 2 2 3" xfId="37151" xr:uid="{00000000-0005-0000-0000-000028790000}"/>
    <cellStyle name="40% - Accent4 3 2 3 2 2 4" xfId="46876" xr:uid="{00000000-0005-0000-0000-000029790000}"/>
    <cellStyle name="40% - Accent4 3 2 3 2 2 5" xfId="17701" xr:uid="{00000000-0005-0000-0000-00002A790000}"/>
    <cellStyle name="40% - Accent4 3 2 3 2 3" xfId="22564" xr:uid="{00000000-0005-0000-0000-00002B790000}"/>
    <cellStyle name="40% - Accent4 3 2 3 2 4" xfId="32289" xr:uid="{00000000-0005-0000-0000-00002C790000}"/>
    <cellStyle name="40% - Accent4 3 2 3 2 5" xfId="42014" xr:uid="{00000000-0005-0000-0000-00002D790000}"/>
    <cellStyle name="40% - Accent4 3 2 3 2 6" xfId="12839" xr:uid="{00000000-0005-0000-0000-00002E790000}"/>
    <cellStyle name="40% - Accent4 3 2 3 3" xfId="4733" xr:uid="{00000000-0005-0000-0000-00002F790000}"/>
    <cellStyle name="40% - Accent4 3 2 3 3 2" xfId="9595" xr:uid="{00000000-0005-0000-0000-000030790000}"/>
    <cellStyle name="40% - Accent4 3 2 3 3 2 2" xfId="29046" xr:uid="{00000000-0005-0000-0000-000031790000}"/>
    <cellStyle name="40% - Accent4 3 2 3 3 2 3" xfId="38771" xr:uid="{00000000-0005-0000-0000-000032790000}"/>
    <cellStyle name="40% - Accent4 3 2 3 3 2 4" xfId="48496" xr:uid="{00000000-0005-0000-0000-000033790000}"/>
    <cellStyle name="40% - Accent4 3 2 3 3 2 5" xfId="19321" xr:uid="{00000000-0005-0000-0000-000034790000}"/>
    <cellStyle name="40% - Accent4 3 2 3 3 3" xfId="24184" xr:uid="{00000000-0005-0000-0000-000035790000}"/>
    <cellStyle name="40% - Accent4 3 2 3 3 4" xfId="33909" xr:uid="{00000000-0005-0000-0000-000036790000}"/>
    <cellStyle name="40% - Accent4 3 2 3 3 5" xfId="43634" xr:uid="{00000000-0005-0000-0000-000037790000}"/>
    <cellStyle name="40% - Accent4 3 2 3 3 6" xfId="14459" xr:uid="{00000000-0005-0000-0000-000038790000}"/>
    <cellStyle name="40% - Accent4 3 2 3 4" xfId="6355" xr:uid="{00000000-0005-0000-0000-000039790000}"/>
    <cellStyle name="40% - Accent4 3 2 3 4 2" xfId="25806" xr:uid="{00000000-0005-0000-0000-00003A790000}"/>
    <cellStyle name="40% - Accent4 3 2 3 4 3" xfId="35531" xr:uid="{00000000-0005-0000-0000-00003B790000}"/>
    <cellStyle name="40% - Accent4 3 2 3 4 4" xfId="45256" xr:uid="{00000000-0005-0000-0000-00003C790000}"/>
    <cellStyle name="40% - Accent4 3 2 3 4 5" xfId="16081" xr:uid="{00000000-0005-0000-0000-00003D790000}"/>
    <cellStyle name="40% - Accent4 3 2 3 5" xfId="20944" xr:uid="{00000000-0005-0000-0000-00003E790000}"/>
    <cellStyle name="40% - Accent4 3 2 3 6" xfId="30669" xr:uid="{00000000-0005-0000-0000-00003F790000}"/>
    <cellStyle name="40% - Accent4 3 2 3 7" xfId="40394" xr:uid="{00000000-0005-0000-0000-000040790000}"/>
    <cellStyle name="40% - Accent4 3 2 3 8" xfId="11219" xr:uid="{00000000-0005-0000-0000-000041790000}"/>
    <cellStyle name="40% - Accent4 3 2 4" xfId="663" xr:uid="{00000000-0005-0000-0000-000042790000}"/>
    <cellStyle name="40% - Accent4 3 2 4 2" xfId="2303" xr:uid="{00000000-0005-0000-0000-000043790000}"/>
    <cellStyle name="40% - Accent4 3 2 4 2 2" xfId="7165" xr:uid="{00000000-0005-0000-0000-000044790000}"/>
    <cellStyle name="40% - Accent4 3 2 4 2 2 2" xfId="26616" xr:uid="{00000000-0005-0000-0000-000045790000}"/>
    <cellStyle name="40% - Accent4 3 2 4 2 2 3" xfId="36341" xr:uid="{00000000-0005-0000-0000-000046790000}"/>
    <cellStyle name="40% - Accent4 3 2 4 2 2 4" xfId="46066" xr:uid="{00000000-0005-0000-0000-000047790000}"/>
    <cellStyle name="40% - Accent4 3 2 4 2 2 5" xfId="16891" xr:uid="{00000000-0005-0000-0000-000048790000}"/>
    <cellStyle name="40% - Accent4 3 2 4 2 3" xfId="21754" xr:uid="{00000000-0005-0000-0000-000049790000}"/>
    <cellStyle name="40% - Accent4 3 2 4 2 4" xfId="31479" xr:uid="{00000000-0005-0000-0000-00004A790000}"/>
    <cellStyle name="40% - Accent4 3 2 4 2 5" xfId="41204" xr:uid="{00000000-0005-0000-0000-00004B790000}"/>
    <cellStyle name="40% - Accent4 3 2 4 2 6" xfId="12029" xr:uid="{00000000-0005-0000-0000-00004C790000}"/>
    <cellStyle name="40% - Accent4 3 2 4 3" xfId="3923" xr:uid="{00000000-0005-0000-0000-00004D790000}"/>
    <cellStyle name="40% - Accent4 3 2 4 3 2" xfId="8785" xr:uid="{00000000-0005-0000-0000-00004E790000}"/>
    <cellStyle name="40% - Accent4 3 2 4 3 2 2" xfId="28236" xr:uid="{00000000-0005-0000-0000-00004F790000}"/>
    <cellStyle name="40% - Accent4 3 2 4 3 2 3" xfId="37961" xr:uid="{00000000-0005-0000-0000-000050790000}"/>
    <cellStyle name="40% - Accent4 3 2 4 3 2 4" xfId="47686" xr:uid="{00000000-0005-0000-0000-000051790000}"/>
    <cellStyle name="40% - Accent4 3 2 4 3 2 5" xfId="18511" xr:uid="{00000000-0005-0000-0000-000052790000}"/>
    <cellStyle name="40% - Accent4 3 2 4 3 3" xfId="23374" xr:uid="{00000000-0005-0000-0000-000053790000}"/>
    <cellStyle name="40% - Accent4 3 2 4 3 4" xfId="33099" xr:uid="{00000000-0005-0000-0000-000054790000}"/>
    <cellStyle name="40% - Accent4 3 2 4 3 5" xfId="42824" xr:uid="{00000000-0005-0000-0000-000055790000}"/>
    <cellStyle name="40% - Accent4 3 2 4 3 6" xfId="13649" xr:uid="{00000000-0005-0000-0000-000056790000}"/>
    <cellStyle name="40% - Accent4 3 2 4 4" xfId="5545" xr:uid="{00000000-0005-0000-0000-000057790000}"/>
    <cellStyle name="40% - Accent4 3 2 4 4 2" xfId="24996" xr:uid="{00000000-0005-0000-0000-000058790000}"/>
    <cellStyle name="40% - Accent4 3 2 4 4 3" xfId="34721" xr:uid="{00000000-0005-0000-0000-000059790000}"/>
    <cellStyle name="40% - Accent4 3 2 4 4 4" xfId="44446" xr:uid="{00000000-0005-0000-0000-00005A790000}"/>
    <cellStyle name="40% - Accent4 3 2 4 4 5" xfId="15271" xr:uid="{00000000-0005-0000-0000-00005B790000}"/>
    <cellStyle name="40% - Accent4 3 2 4 5" xfId="20134" xr:uid="{00000000-0005-0000-0000-00005C790000}"/>
    <cellStyle name="40% - Accent4 3 2 4 6" xfId="29859" xr:uid="{00000000-0005-0000-0000-00005D790000}"/>
    <cellStyle name="40% - Accent4 3 2 4 7" xfId="39584" xr:uid="{00000000-0005-0000-0000-00005E790000}"/>
    <cellStyle name="40% - Accent4 3 2 4 8" xfId="10409" xr:uid="{00000000-0005-0000-0000-00005F790000}"/>
    <cellStyle name="40% - Accent4 3 2 5" xfId="1943" xr:uid="{00000000-0005-0000-0000-000060790000}"/>
    <cellStyle name="40% - Accent4 3 2 5 2" xfId="6805" xr:uid="{00000000-0005-0000-0000-000061790000}"/>
    <cellStyle name="40% - Accent4 3 2 5 2 2" xfId="26256" xr:uid="{00000000-0005-0000-0000-000062790000}"/>
    <cellStyle name="40% - Accent4 3 2 5 2 3" xfId="35981" xr:uid="{00000000-0005-0000-0000-000063790000}"/>
    <cellStyle name="40% - Accent4 3 2 5 2 4" xfId="45706" xr:uid="{00000000-0005-0000-0000-000064790000}"/>
    <cellStyle name="40% - Accent4 3 2 5 2 5" xfId="16531" xr:uid="{00000000-0005-0000-0000-000065790000}"/>
    <cellStyle name="40% - Accent4 3 2 5 3" xfId="21394" xr:uid="{00000000-0005-0000-0000-000066790000}"/>
    <cellStyle name="40% - Accent4 3 2 5 4" xfId="31119" xr:uid="{00000000-0005-0000-0000-000067790000}"/>
    <cellStyle name="40% - Accent4 3 2 5 5" xfId="40844" xr:uid="{00000000-0005-0000-0000-000068790000}"/>
    <cellStyle name="40% - Accent4 3 2 5 6" xfId="11669" xr:uid="{00000000-0005-0000-0000-000069790000}"/>
    <cellStyle name="40% - Accent4 3 2 6" xfId="3563" xr:uid="{00000000-0005-0000-0000-00006A790000}"/>
    <cellStyle name="40% - Accent4 3 2 6 2" xfId="8425" xr:uid="{00000000-0005-0000-0000-00006B790000}"/>
    <cellStyle name="40% - Accent4 3 2 6 2 2" xfId="27876" xr:uid="{00000000-0005-0000-0000-00006C790000}"/>
    <cellStyle name="40% - Accent4 3 2 6 2 3" xfId="37601" xr:uid="{00000000-0005-0000-0000-00006D790000}"/>
    <cellStyle name="40% - Accent4 3 2 6 2 4" xfId="47326" xr:uid="{00000000-0005-0000-0000-00006E790000}"/>
    <cellStyle name="40% - Accent4 3 2 6 2 5" xfId="18151" xr:uid="{00000000-0005-0000-0000-00006F790000}"/>
    <cellStyle name="40% - Accent4 3 2 6 3" xfId="23014" xr:uid="{00000000-0005-0000-0000-000070790000}"/>
    <cellStyle name="40% - Accent4 3 2 6 4" xfId="32739" xr:uid="{00000000-0005-0000-0000-000071790000}"/>
    <cellStyle name="40% - Accent4 3 2 6 5" xfId="42464" xr:uid="{00000000-0005-0000-0000-000072790000}"/>
    <cellStyle name="40% - Accent4 3 2 6 6" xfId="13289" xr:uid="{00000000-0005-0000-0000-000073790000}"/>
    <cellStyle name="40% - Accent4 3 2 7" xfId="5185" xr:uid="{00000000-0005-0000-0000-000074790000}"/>
    <cellStyle name="40% - Accent4 3 2 7 2" xfId="24636" xr:uid="{00000000-0005-0000-0000-000075790000}"/>
    <cellStyle name="40% - Accent4 3 2 7 3" xfId="34361" xr:uid="{00000000-0005-0000-0000-000076790000}"/>
    <cellStyle name="40% - Accent4 3 2 7 4" xfId="44086" xr:uid="{00000000-0005-0000-0000-000077790000}"/>
    <cellStyle name="40% - Accent4 3 2 7 5" xfId="14911" xr:uid="{00000000-0005-0000-0000-000078790000}"/>
    <cellStyle name="40% - Accent4 3 2 8" xfId="19774" xr:uid="{00000000-0005-0000-0000-000079790000}"/>
    <cellStyle name="40% - Accent4 3 2 9" xfId="29499" xr:uid="{00000000-0005-0000-0000-00007A790000}"/>
    <cellStyle name="40% - Accent4 3 3" xfId="352" xr:uid="{00000000-0005-0000-0000-00007B790000}"/>
    <cellStyle name="40% - Accent4 3 3 10" xfId="39314" xr:uid="{00000000-0005-0000-0000-00007C790000}"/>
    <cellStyle name="40% - Accent4 3 3 11" xfId="10139" xr:uid="{00000000-0005-0000-0000-00007D790000}"/>
    <cellStyle name="40% - Accent4 3 3 2" xfId="1115" xr:uid="{00000000-0005-0000-0000-00007E790000}"/>
    <cellStyle name="40% - Accent4 3 3 2 2" xfId="2753" xr:uid="{00000000-0005-0000-0000-00007F790000}"/>
    <cellStyle name="40% - Accent4 3 3 2 2 2" xfId="7615" xr:uid="{00000000-0005-0000-0000-000080790000}"/>
    <cellStyle name="40% - Accent4 3 3 2 2 2 2" xfId="27066" xr:uid="{00000000-0005-0000-0000-000081790000}"/>
    <cellStyle name="40% - Accent4 3 3 2 2 2 3" xfId="36791" xr:uid="{00000000-0005-0000-0000-000082790000}"/>
    <cellStyle name="40% - Accent4 3 3 2 2 2 4" xfId="46516" xr:uid="{00000000-0005-0000-0000-000083790000}"/>
    <cellStyle name="40% - Accent4 3 3 2 2 2 5" xfId="17341" xr:uid="{00000000-0005-0000-0000-000084790000}"/>
    <cellStyle name="40% - Accent4 3 3 2 2 3" xfId="22204" xr:uid="{00000000-0005-0000-0000-000085790000}"/>
    <cellStyle name="40% - Accent4 3 3 2 2 4" xfId="31929" xr:uid="{00000000-0005-0000-0000-000086790000}"/>
    <cellStyle name="40% - Accent4 3 3 2 2 5" xfId="41654" xr:uid="{00000000-0005-0000-0000-000087790000}"/>
    <cellStyle name="40% - Accent4 3 3 2 2 6" xfId="12479" xr:uid="{00000000-0005-0000-0000-000088790000}"/>
    <cellStyle name="40% - Accent4 3 3 2 3" xfId="4373" xr:uid="{00000000-0005-0000-0000-000089790000}"/>
    <cellStyle name="40% - Accent4 3 3 2 3 2" xfId="9235" xr:uid="{00000000-0005-0000-0000-00008A790000}"/>
    <cellStyle name="40% - Accent4 3 3 2 3 2 2" xfId="28686" xr:uid="{00000000-0005-0000-0000-00008B790000}"/>
    <cellStyle name="40% - Accent4 3 3 2 3 2 3" xfId="38411" xr:uid="{00000000-0005-0000-0000-00008C790000}"/>
    <cellStyle name="40% - Accent4 3 3 2 3 2 4" xfId="48136" xr:uid="{00000000-0005-0000-0000-00008D790000}"/>
    <cellStyle name="40% - Accent4 3 3 2 3 2 5" xfId="18961" xr:uid="{00000000-0005-0000-0000-00008E790000}"/>
    <cellStyle name="40% - Accent4 3 3 2 3 3" xfId="23824" xr:uid="{00000000-0005-0000-0000-00008F790000}"/>
    <cellStyle name="40% - Accent4 3 3 2 3 4" xfId="33549" xr:uid="{00000000-0005-0000-0000-000090790000}"/>
    <cellStyle name="40% - Accent4 3 3 2 3 5" xfId="43274" xr:uid="{00000000-0005-0000-0000-000091790000}"/>
    <cellStyle name="40% - Accent4 3 3 2 3 6" xfId="14099" xr:uid="{00000000-0005-0000-0000-000092790000}"/>
    <cellStyle name="40% - Accent4 3 3 2 4" xfId="5995" xr:uid="{00000000-0005-0000-0000-000093790000}"/>
    <cellStyle name="40% - Accent4 3 3 2 4 2" xfId="25446" xr:uid="{00000000-0005-0000-0000-000094790000}"/>
    <cellStyle name="40% - Accent4 3 3 2 4 3" xfId="35171" xr:uid="{00000000-0005-0000-0000-000095790000}"/>
    <cellStyle name="40% - Accent4 3 3 2 4 4" xfId="44896" xr:uid="{00000000-0005-0000-0000-000096790000}"/>
    <cellStyle name="40% - Accent4 3 3 2 4 5" xfId="15721" xr:uid="{00000000-0005-0000-0000-000097790000}"/>
    <cellStyle name="40% - Accent4 3 3 2 5" xfId="20584" xr:uid="{00000000-0005-0000-0000-000098790000}"/>
    <cellStyle name="40% - Accent4 3 3 2 6" xfId="30309" xr:uid="{00000000-0005-0000-0000-000099790000}"/>
    <cellStyle name="40% - Accent4 3 3 2 7" xfId="40034" xr:uid="{00000000-0005-0000-0000-00009A790000}"/>
    <cellStyle name="40% - Accent4 3 3 2 8" xfId="10859" xr:uid="{00000000-0005-0000-0000-00009B790000}"/>
    <cellStyle name="40% - Accent4 3 3 3" xfId="1582" xr:uid="{00000000-0005-0000-0000-00009C790000}"/>
    <cellStyle name="40% - Accent4 3 3 3 2" xfId="3203" xr:uid="{00000000-0005-0000-0000-00009D790000}"/>
    <cellStyle name="40% - Accent4 3 3 3 2 2" xfId="8065" xr:uid="{00000000-0005-0000-0000-00009E790000}"/>
    <cellStyle name="40% - Accent4 3 3 3 2 2 2" xfId="27516" xr:uid="{00000000-0005-0000-0000-00009F790000}"/>
    <cellStyle name="40% - Accent4 3 3 3 2 2 3" xfId="37241" xr:uid="{00000000-0005-0000-0000-0000A0790000}"/>
    <cellStyle name="40% - Accent4 3 3 3 2 2 4" xfId="46966" xr:uid="{00000000-0005-0000-0000-0000A1790000}"/>
    <cellStyle name="40% - Accent4 3 3 3 2 2 5" xfId="17791" xr:uid="{00000000-0005-0000-0000-0000A2790000}"/>
    <cellStyle name="40% - Accent4 3 3 3 2 3" xfId="22654" xr:uid="{00000000-0005-0000-0000-0000A3790000}"/>
    <cellStyle name="40% - Accent4 3 3 3 2 4" xfId="32379" xr:uid="{00000000-0005-0000-0000-0000A4790000}"/>
    <cellStyle name="40% - Accent4 3 3 3 2 5" xfId="42104" xr:uid="{00000000-0005-0000-0000-0000A5790000}"/>
    <cellStyle name="40% - Accent4 3 3 3 2 6" xfId="12929" xr:uid="{00000000-0005-0000-0000-0000A6790000}"/>
    <cellStyle name="40% - Accent4 3 3 3 3" xfId="4823" xr:uid="{00000000-0005-0000-0000-0000A7790000}"/>
    <cellStyle name="40% - Accent4 3 3 3 3 2" xfId="9685" xr:uid="{00000000-0005-0000-0000-0000A8790000}"/>
    <cellStyle name="40% - Accent4 3 3 3 3 2 2" xfId="29136" xr:uid="{00000000-0005-0000-0000-0000A9790000}"/>
    <cellStyle name="40% - Accent4 3 3 3 3 2 3" xfId="38861" xr:uid="{00000000-0005-0000-0000-0000AA790000}"/>
    <cellStyle name="40% - Accent4 3 3 3 3 2 4" xfId="48586" xr:uid="{00000000-0005-0000-0000-0000AB790000}"/>
    <cellStyle name="40% - Accent4 3 3 3 3 2 5" xfId="19411" xr:uid="{00000000-0005-0000-0000-0000AC790000}"/>
    <cellStyle name="40% - Accent4 3 3 3 3 3" xfId="24274" xr:uid="{00000000-0005-0000-0000-0000AD790000}"/>
    <cellStyle name="40% - Accent4 3 3 3 3 4" xfId="33999" xr:uid="{00000000-0005-0000-0000-0000AE790000}"/>
    <cellStyle name="40% - Accent4 3 3 3 3 5" xfId="43724" xr:uid="{00000000-0005-0000-0000-0000AF790000}"/>
    <cellStyle name="40% - Accent4 3 3 3 3 6" xfId="14549" xr:uid="{00000000-0005-0000-0000-0000B0790000}"/>
    <cellStyle name="40% - Accent4 3 3 3 4" xfId="6445" xr:uid="{00000000-0005-0000-0000-0000B1790000}"/>
    <cellStyle name="40% - Accent4 3 3 3 4 2" xfId="25896" xr:uid="{00000000-0005-0000-0000-0000B2790000}"/>
    <cellStyle name="40% - Accent4 3 3 3 4 3" xfId="35621" xr:uid="{00000000-0005-0000-0000-0000B3790000}"/>
    <cellStyle name="40% - Accent4 3 3 3 4 4" xfId="45346" xr:uid="{00000000-0005-0000-0000-0000B4790000}"/>
    <cellStyle name="40% - Accent4 3 3 3 4 5" xfId="16171" xr:uid="{00000000-0005-0000-0000-0000B5790000}"/>
    <cellStyle name="40% - Accent4 3 3 3 5" xfId="21034" xr:uid="{00000000-0005-0000-0000-0000B6790000}"/>
    <cellStyle name="40% - Accent4 3 3 3 6" xfId="30759" xr:uid="{00000000-0005-0000-0000-0000B7790000}"/>
    <cellStyle name="40% - Accent4 3 3 3 7" xfId="40484" xr:uid="{00000000-0005-0000-0000-0000B8790000}"/>
    <cellStyle name="40% - Accent4 3 3 3 8" xfId="11309" xr:uid="{00000000-0005-0000-0000-0000B9790000}"/>
    <cellStyle name="40% - Accent4 3 3 4" xfId="753" xr:uid="{00000000-0005-0000-0000-0000BA790000}"/>
    <cellStyle name="40% - Accent4 3 3 4 2" xfId="2393" xr:uid="{00000000-0005-0000-0000-0000BB790000}"/>
    <cellStyle name="40% - Accent4 3 3 4 2 2" xfId="7255" xr:uid="{00000000-0005-0000-0000-0000BC790000}"/>
    <cellStyle name="40% - Accent4 3 3 4 2 2 2" xfId="26706" xr:uid="{00000000-0005-0000-0000-0000BD790000}"/>
    <cellStyle name="40% - Accent4 3 3 4 2 2 3" xfId="36431" xr:uid="{00000000-0005-0000-0000-0000BE790000}"/>
    <cellStyle name="40% - Accent4 3 3 4 2 2 4" xfId="46156" xr:uid="{00000000-0005-0000-0000-0000BF790000}"/>
    <cellStyle name="40% - Accent4 3 3 4 2 2 5" xfId="16981" xr:uid="{00000000-0005-0000-0000-0000C0790000}"/>
    <cellStyle name="40% - Accent4 3 3 4 2 3" xfId="21844" xr:uid="{00000000-0005-0000-0000-0000C1790000}"/>
    <cellStyle name="40% - Accent4 3 3 4 2 4" xfId="31569" xr:uid="{00000000-0005-0000-0000-0000C2790000}"/>
    <cellStyle name="40% - Accent4 3 3 4 2 5" xfId="41294" xr:uid="{00000000-0005-0000-0000-0000C3790000}"/>
    <cellStyle name="40% - Accent4 3 3 4 2 6" xfId="12119" xr:uid="{00000000-0005-0000-0000-0000C4790000}"/>
    <cellStyle name="40% - Accent4 3 3 4 3" xfId="4013" xr:uid="{00000000-0005-0000-0000-0000C5790000}"/>
    <cellStyle name="40% - Accent4 3 3 4 3 2" xfId="8875" xr:uid="{00000000-0005-0000-0000-0000C6790000}"/>
    <cellStyle name="40% - Accent4 3 3 4 3 2 2" xfId="28326" xr:uid="{00000000-0005-0000-0000-0000C7790000}"/>
    <cellStyle name="40% - Accent4 3 3 4 3 2 3" xfId="38051" xr:uid="{00000000-0005-0000-0000-0000C8790000}"/>
    <cellStyle name="40% - Accent4 3 3 4 3 2 4" xfId="47776" xr:uid="{00000000-0005-0000-0000-0000C9790000}"/>
    <cellStyle name="40% - Accent4 3 3 4 3 2 5" xfId="18601" xr:uid="{00000000-0005-0000-0000-0000CA790000}"/>
    <cellStyle name="40% - Accent4 3 3 4 3 3" xfId="23464" xr:uid="{00000000-0005-0000-0000-0000CB790000}"/>
    <cellStyle name="40% - Accent4 3 3 4 3 4" xfId="33189" xr:uid="{00000000-0005-0000-0000-0000CC790000}"/>
    <cellStyle name="40% - Accent4 3 3 4 3 5" xfId="42914" xr:uid="{00000000-0005-0000-0000-0000CD790000}"/>
    <cellStyle name="40% - Accent4 3 3 4 3 6" xfId="13739" xr:uid="{00000000-0005-0000-0000-0000CE790000}"/>
    <cellStyle name="40% - Accent4 3 3 4 4" xfId="5635" xr:uid="{00000000-0005-0000-0000-0000CF790000}"/>
    <cellStyle name="40% - Accent4 3 3 4 4 2" xfId="25086" xr:uid="{00000000-0005-0000-0000-0000D0790000}"/>
    <cellStyle name="40% - Accent4 3 3 4 4 3" xfId="34811" xr:uid="{00000000-0005-0000-0000-0000D1790000}"/>
    <cellStyle name="40% - Accent4 3 3 4 4 4" xfId="44536" xr:uid="{00000000-0005-0000-0000-0000D2790000}"/>
    <cellStyle name="40% - Accent4 3 3 4 4 5" xfId="15361" xr:uid="{00000000-0005-0000-0000-0000D3790000}"/>
    <cellStyle name="40% - Accent4 3 3 4 5" xfId="20224" xr:uid="{00000000-0005-0000-0000-0000D4790000}"/>
    <cellStyle name="40% - Accent4 3 3 4 6" xfId="29949" xr:uid="{00000000-0005-0000-0000-0000D5790000}"/>
    <cellStyle name="40% - Accent4 3 3 4 7" xfId="39674" xr:uid="{00000000-0005-0000-0000-0000D6790000}"/>
    <cellStyle name="40% - Accent4 3 3 4 8" xfId="10499" xr:uid="{00000000-0005-0000-0000-0000D7790000}"/>
    <cellStyle name="40% - Accent4 3 3 5" xfId="2033" xr:uid="{00000000-0005-0000-0000-0000D8790000}"/>
    <cellStyle name="40% - Accent4 3 3 5 2" xfId="6895" xr:uid="{00000000-0005-0000-0000-0000D9790000}"/>
    <cellStyle name="40% - Accent4 3 3 5 2 2" xfId="26346" xr:uid="{00000000-0005-0000-0000-0000DA790000}"/>
    <cellStyle name="40% - Accent4 3 3 5 2 3" xfId="36071" xr:uid="{00000000-0005-0000-0000-0000DB790000}"/>
    <cellStyle name="40% - Accent4 3 3 5 2 4" xfId="45796" xr:uid="{00000000-0005-0000-0000-0000DC790000}"/>
    <cellStyle name="40% - Accent4 3 3 5 2 5" xfId="16621" xr:uid="{00000000-0005-0000-0000-0000DD790000}"/>
    <cellStyle name="40% - Accent4 3 3 5 3" xfId="21484" xr:uid="{00000000-0005-0000-0000-0000DE790000}"/>
    <cellStyle name="40% - Accent4 3 3 5 4" xfId="31209" xr:uid="{00000000-0005-0000-0000-0000DF790000}"/>
    <cellStyle name="40% - Accent4 3 3 5 5" xfId="40934" xr:uid="{00000000-0005-0000-0000-0000E0790000}"/>
    <cellStyle name="40% - Accent4 3 3 5 6" xfId="11759" xr:uid="{00000000-0005-0000-0000-0000E1790000}"/>
    <cellStyle name="40% - Accent4 3 3 6" xfId="3653" xr:uid="{00000000-0005-0000-0000-0000E2790000}"/>
    <cellStyle name="40% - Accent4 3 3 6 2" xfId="8515" xr:uid="{00000000-0005-0000-0000-0000E3790000}"/>
    <cellStyle name="40% - Accent4 3 3 6 2 2" xfId="27966" xr:uid="{00000000-0005-0000-0000-0000E4790000}"/>
    <cellStyle name="40% - Accent4 3 3 6 2 3" xfId="37691" xr:uid="{00000000-0005-0000-0000-0000E5790000}"/>
    <cellStyle name="40% - Accent4 3 3 6 2 4" xfId="47416" xr:uid="{00000000-0005-0000-0000-0000E6790000}"/>
    <cellStyle name="40% - Accent4 3 3 6 2 5" xfId="18241" xr:uid="{00000000-0005-0000-0000-0000E7790000}"/>
    <cellStyle name="40% - Accent4 3 3 6 3" xfId="23104" xr:uid="{00000000-0005-0000-0000-0000E8790000}"/>
    <cellStyle name="40% - Accent4 3 3 6 4" xfId="32829" xr:uid="{00000000-0005-0000-0000-0000E9790000}"/>
    <cellStyle name="40% - Accent4 3 3 6 5" xfId="42554" xr:uid="{00000000-0005-0000-0000-0000EA790000}"/>
    <cellStyle name="40% - Accent4 3 3 6 6" xfId="13379" xr:uid="{00000000-0005-0000-0000-0000EB790000}"/>
    <cellStyle name="40% - Accent4 3 3 7" xfId="5275" xr:uid="{00000000-0005-0000-0000-0000EC790000}"/>
    <cellStyle name="40% - Accent4 3 3 7 2" xfId="24726" xr:uid="{00000000-0005-0000-0000-0000ED790000}"/>
    <cellStyle name="40% - Accent4 3 3 7 3" xfId="34451" xr:uid="{00000000-0005-0000-0000-0000EE790000}"/>
    <cellStyle name="40% - Accent4 3 3 7 4" xfId="44176" xr:uid="{00000000-0005-0000-0000-0000EF790000}"/>
    <cellStyle name="40% - Accent4 3 3 7 5" xfId="15001" xr:uid="{00000000-0005-0000-0000-0000F0790000}"/>
    <cellStyle name="40% - Accent4 3 3 8" xfId="19864" xr:uid="{00000000-0005-0000-0000-0000F1790000}"/>
    <cellStyle name="40% - Accent4 3 3 9" xfId="29589" xr:uid="{00000000-0005-0000-0000-0000F2790000}"/>
    <cellStyle name="40% - Accent4 3 4" xfId="170" xr:uid="{00000000-0005-0000-0000-0000F3790000}"/>
    <cellStyle name="40% - Accent4 3 4 10" xfId="39134" xr:uid="{00000000-0005-0000-0000-0000F4790000}"/>
    <cellStyle name="40% - Accent4 3 4 11" xfId="9959" xr:uid="{00000000-0005-0000-0000-0000F5790000}"/>
    <cellStyle name="40% - Accent4 3 4 2" xfId="934" xr:uid="{00000000-0005-0000-0000-0000F6790000}"/>
    <cellStyle name="40% - Accent4 3 4 2 2" xfId="2573" xr:uid="{00000000-0005-0000-0000-0000F7790000}"/>
    <cellStyle name="40% - Accent4 3 4 2 2 2" xfId="7435" xr:uid="{00000000-0005-0000-0000-0000F8790000}"/>
    <cellStyle name="40% - Accent4 3 4 2 2 2 2" xfId="26886" xr:uid="{00000000-0005-0000-0000-0000F9790000}"/>
    <cellStyle name="40% - Accent4 3 4 2 2 2 3" xfId="36611" xr:uid="{00000000-0005-0000-0000-0000FA790000}"/>
    <cellStyle name="40% - Accent4 3 4 2 2 2 4" xfId="46336" xr:uid="{00000000-0005-0000-0000-0000FB790000}"/>
    <cellStyle name="40% - Accent4 3 4 2 2 2 5" xfId="17161" xr:uid="{00000000-0005-0000-0000-0000FC790000}"/>
    <cellStyle name="40% - Accent4 3 4 2 2 3" xfId="22024" xr:uid="{00000000-0005-0000-0000-0000FD790000}"/>
    <cellStyle name="40% - Accent4 3 4 2 2 4" xfId="31749" xr:uid="{00000000-0005-0000-0000-0000FE790000}"/>
    <cellStyle name="40% - Accent4 3 4 2 2 5" xfId="41474" xr:uid="{00000000-0005-0000-0000-0000FF790000}"/>
    <cellStyle name="40% - Accent4 3 4 2 2 6" xfId="12299" xr:uid="{00000000-0005-0000-0000-0000007A0000}"/>
    <cellStyle name="40% - Accent4 3 4 2 3" xfId="4193" xr:uid="{00000000-0005-0000-0000-0000017A0000}"/>
    <cellStyle name="40% - Accent4 3 4 2 3 2" xfId="9055" xr:uid="{00000000-0005-0000-0000-0000027A0000}"/>
    <cellStyle name="40% - Accent4 3 4 2 3 2 2" xfId="28506" xr:uid="{00000000-0005-0000-0000-0000037A0000}"/>
    <cellStyle name="40% - Accent4 3 4 2 3 2 3" xfId="38231" xr:uid="{00000000-0005-0000-0000-0000047A0000}"/>
    <cellStyle name="40% - Accent4 3 4 2 3 2 4" xfId="47956" xr:uid="{00000000-0005-0000-0000-0000057A0000}"/>
    <cellStyle name="40% - Accent4 3 4 2 3 2 5" xfId="18781" xr:uid="{00000000-0005-0000-0000-0000067A0000}"/>
    <cellStyle name="40% - Accent4 3 4 2 3 3" xfId="23644" xr:uid="{00000000-0005-0000-0000-0000077A0000}"/>
    <cellStyle name="40% - Accent4 3 4 2 3 4" xfId="33369" xr:uid="{00000000-0005-0000-0000-0000087A0000}"/>
    <cellStyle name="40% - Accent4 3 4 2 3 5" xfId="43094" xr:uid="{00000000-0005-0000-0000-0000097A0000}"/>
    <cellStyle name="40% - Accent4 3 4 2 3 6" xfId="13919" xr:uid="{00000000-0005-0000-0000-00000A7A0000}"/>
    <cellStyle name="40% - Accent4 3 4 2 4" xfId="5815" xr:uid="{00000000-0005-0000-0000-00000B7A0000}"/>
    <cellStyle name="40% - Accent4 3 4 2 4 2" xfId="25266" xr:uid="{00000000-0005-0000-0000-00000C7A0000}"/>
    <cellStyle name="40% - Accent4 3 4 2 4 3" xfId="34991" xr:uid="{00000000-0005-0000-0000-00000D7A0000}"/>
    <cellStyle name="40% - Accent4 3 4 2 4 4" xfId="44716" xr:uid="{00000000-0005-0000-0000-00000E7A0000}"/>
    <cellStyle name="40% - Accent4 3 4 2 4 5" xfId="15541" xr:uid="{00000000-0005-0000-0000-00000F7A0000}"/>
    <cellStyle name="40% - Accent4 3 4 2 5" xfId="20404" xr:uid="{00000000-0005-0000-0000-0000107A0000}"/>
    <cellStyle name="40% - Accent4 3 4 2 6" xfId="30129" xr:uid="{00000000-0005-0000-0000-0000117A0000}"/>
    <cellStyle name="40% - Accent4 3 4 2 7" xfId="39854" xr:uid="{00000000-0005-0000-0000-0000127A0000}"/>
    <cellStyle name="40% - Accent4 3 4 2 8" xfId="10679" xr:uid="{00000000-0005-0000-0000-0000137A0000}"/>
    <cellStyle name="40% - Accent4 3 4 3" xfId="1402" xr:uid="{00000000-0005-0000-0000-0000147A0000}"/>
    <cellStyle name="40% - Accent4 3 4 3 2" xfId="3023" xr:uid="{00000000-0005-0000-0000-0000157A0000}"/>
    <cellStyle name="40% - Accent4 3 4 3 2 2" xfId="7885" xr:uid="{00000000-0005-0000-0000-0000167A0000}"/>
    <cellStyle name="40% - Accent4 3 4 3 2 2 2" xfId="27336" xr:uid="{00000000-0005-0000-0000-0000177A0000}"/>
    <cellStyle name="40% - Accent4 3 4 3 2 2 3" xfId="37061" xr:uid="{00000000-0005-0000-0000-0000187A0000}"/>
    <cellStyle name="40% - Accent4 3 4 3 2 2 4" xfId="46786" xr:uid="{00000000-0005-0000-0000-0000197A0000}"/>
    <cellStyle name="40% - Accent4 3 4 3 2 2 5" xfId="17611" xr:uid="{00000000-0005-0000-0000-00001A7A0000}"/>
    <cellStyle name="40% - Accent4 3 4 3 2 3" xfId="22474" xr:uid="{00000000-0005-0000-0000-00001B7A0000}"/>
    <cellStyle name="40% - Accent4 3 4 3 2 4" xfId="32199" xr:uid="{00000000-0005-0000-0000-00001C7A0000}"/>
    <cellStyle name="40% - Accent4 3 4 3 2 5" xfId="41924" xr:uid="{00000000-0005-0000-0000-00001D7A0000}"/>
    <cellStyle name="40% - Accent4 3 4 3 2 6" xfId="12749" xr:uid="{00000000-0005-0000-0000-00001E7A0000}"/>
    <cellStyle name="40% - Accent4 3 4 3 3" xfId="4643" xr:uid="{00000000-0005-0000-0000-00001F7A0000}"/>
    <cellStyle name="40% - Accent4 3 4 3 3 2" xfId="9505" xr:uid="{00000000-0005-0000-0000-0000207A0000}"/>
    <cellStyle name="40% - Accent4 3 4 3 3 2 2" xfId="28956" xr:uid="{00000000-0005-0000-0000-0000217A0000}"/>
    <cellStyle name="40% - Accent4 3 4 3 3 2 3" xfId="38681" xr:uid="{00000000-0005-0000-0000-0000227A0000}"/>
    <cellStyle name="40% - Accent4 3 4 3 3 2 4" xfId="48406" xr:uid="{00000000-0005-0000-0000-0000237A0000}"/>
    <cellStyle name="40% - Accent4 3 4 3 3 2 5" xfId="19231" xr:uid="{00000000-0005-0000-0000-0000247A0000}"/>
    <cellStyle name="40% - Accent4 3 4 3 3 3" xfId="24094" xr:uid="{00000000-0005-0000-0000-0000257A0000}"/>
    <cellStyle name="40% - Accent4 3 4 3 3 4" xfId="33819" xr:uid="{00000000-0005-0000-0000-0000267A0000}"/>
    <cellStyle name="40% - Accent4 3 4 3 3 5" xfId="43544" xr:uid="{00000000-0005-0000-0000-0000277A0000}"/>
    <cellStyle name="40% - Accent4 3 4 3 3 6" xfId="14369" xr:uid="{00000000-0005-0000-0000-0000287A0000}"/>
    <cellStyle name="40% - Accent4 3 4 3 4" xfId="6265" xr:uid="{00000000-0005-0000-0000-0000297A0000}"/>
    <cellStyle name="40% - Accent4 3 4 3 4 2" xfId="25716" xr:uid="{00000000-0005-0000-0000-00002A7A0000}"/>
    <cellStyle name="40% - Accent4 3 4 3 4 3" xfId="35441" xr:uid="{00000000-0005-0000-0000-00002B7A0000}"/>
    <cellStyle name="40% - Accent4 3 4 3 4 4" xfId="45166" xr:uid="{00000000-0005-0000-0000-00002C7A0000}"/>
    <cellStyle name="40% - Accent4 3 4 3 4 5" xfId="15991" xr:uid="{00000000-0005-0000-0000-00002D7A0000}"/>
    <cellStyle name="40% - Accent4 3 4 3 5" xfId="20854" xr:uid="{00000000-0005-0000-0000-00002E7A0000}"/>
    <cellStyle name="40% - Accent4 3 4 3 6" xfId="30579" xr:uid="{00000000-0005-0000-0000-00002F7A0000}"/>
    <cellStyle name="40% - Accent4 3 4 3 7" xfId="40304" xr:uid="{00000000-0005-0000-0000-0000307A0000}"/>
    <cellStyle name="40% - Accent4 3 4 3 8" xfId="11129" xr:uid="{00000000-0005-0000-0000-0000317A0000}"/>
    <cellStyle name="40% - Accent4 3 4 4" xfId="573" xr:uid="{00000000-0005-0000-0000-0000327A0000}"/>
    <cellStyle name="40% - Accent4 3 4 4 2" xfId="2213" xr:uid="{00000000-0005-0000-0000-0000337A0000}"/>
    <cellStyle name="40% - Accent4 3 4 4 2 2" xfId="7075" xr:uid="{00000000-0005-0000-0000-0000347A0000}"/>
    <cellStyle name="40% - Accent4 3 4 4 2 2 2" xfId="26526" xr:uid="{00000000-0005-0000-0000-0000357A0000}"/>
    <cellStyle name="40% - Accent4 3 4 4 2 2 3" xfId="36251" xr:uid="{00000000-0005-0000-0000-0000367A0000}"/>
    <cellStyle name="40% - Accent4 3 4 4 2 2 4" xfId="45976" xr:uid="{00000000-0005-0000-0000-0000377A0000}"/>
    <cellStyle name="40% - Accent4 3 4 4 2 2 5" xfId="16801" xr:uid="{00000000-0005-0000-0000-0000387A0000}"/>
    <cellStyle name="40% - Accent4 3 4 4 2 3" xfId="21664" xr:uid="{00000000-0005-0000-0000-0000397A0000}"/>
    <cellStyle name="40% - Accent4 3 4 4 2 4" xfId="31389" xr:uid="{00000000-0005-0000-0000-00003A7A0000}"/>
    <cellStyle name="40% - Accent4 3 4 4 2 5" xfId="41114" xr:uid="{00000000-0005-0000-0000-00003B7A0000}"/>
    <cellStyle name="40% - Accent4 3 4 4 2 6" xfId="11939" xr:uid="{00000000-0005-0000-0000-00003C7A0000}"/>
    <cellStyle name="40% - Accent4 3 4 4 3" xfId="3833" xr:uid="{00000000-0005-0000-0000-00003D7A0000}"/>
    <cellStyle name="40% - Accent4 3 4 4 3 2" xfId="8695" xr:uid="{00000000-0005-0000-0000-00003E7A0000}"/>
    <cellStyle name="40% - Accent4 3 4 4 3 2 2" xfId="28146" xr:uid="{00000000-0005-0000-0000-00003F7A0000}"/>
    <cellStyle name="40% - Accent4 3 4 4 3 2 3" xfId="37871" xr:uid="{00000000-0005-0000-0000-0000407A0000}"/>
    <cellStyle name="40% - Accent4 3 4 4 3 2 4" xfId="47596" xr:uid="{00000000-0005-0000-0000-0000417A0000}"/>
    <cellStyle name="40% - Accent4 3 4 4 3 2 5" xfId="18421" xr:uid="{00000000-0005-0000-0000-0000427A0000}"/>
    <cellStyle name="40% - Accent4 3 4 4 3 3" xfId="23284" xr:uid="{00000000-0005-0000-0000-0000437A0000}"/>
    <cellStyle name="40% - Accent4 3 4 4 3 4" xfId="33009" xr:uid="{00000000-0005-0000-0000-0000447A0000}"/>
    <cellStyle name="40% - Accent4 3 4 4 3 5" xfId="42734" xr:uid="{00000000-0005-0000-0000-0000457A0000}"/>
    <cellStyle name="40% - Accent4 3 4 4 3 6" xfId="13559" xr:uid="{00000000-0005-0000-0000-0000467A0000}"/>
    <cellStyle name="40% - Accent4 3 4 4 4" xfId="5455" xr:uid="{00000000-0005-0000-0000-0000477A0000}"/>
    <cellStyle name="40% - Accent4 3 4 4 4 2" xfId="24906" xr:uid="{00000000-0005-0000-0000-0000487A0000}"/>
    <cellStyle name="40% - Accent4 3 4 4 4 3" xfId="34631" xr:uid="{00000000-0005-0000-0000-0000497A0000}"/>
    <cellStyle name="40% - Accent4 3 4 4 4 4" xfId="44356" xr:uid="{00000000-0005-0000-0000-00004A7A0000}"/>
    <cellStyle name="40% - Accent4 3 4 4 4 5" xfId="15181" xr:uid="{00000000-0005-0000-0000-00004B7A0000}"/>
    <cellStyle name="40% - Accent4 3 4 4 5" xfId="20044" xr:uid="{00000000-0005-0000-0000-00004C7A0000}"/>
    <cellStyle name="40% - Accent4 3 4 4 6" xfId="29769" xr:uid="{00000000-0005-0000-0000-00004D7A0000}"/>
    <cellStyle name="40% - Accent4 3 4 4 7" xfId="39494" xr:uid="{00000000-0005-0000-0000-00004E7A0000}"/>
    <cellStyle name="40% - Accent4 3 4 4 8" xfId="10319" xr:uid="{00000000-0005-0000-0000-00004F7A0000}"/>
    <cellStyle name="40% - Accent4 3 4 5" xfId="1853" xr:uid="{00000000-0005-0000-0000-0000507A0000}"/>
    <cellStyle name="40% - Accent4 3 4 5 2" xfId="6715" xr:uid="{00000000-0005-0000-0000-0000517A0000}"/>
    <cellStyle name="40% - Accent4 3 4 5 2 2" xfId="26166" xr:uid="{00000000-0005-0000-0000-0000527A0000}"/>
    <cellStyle name="40% - Accent4 3 4 5 2 3" xfId="35891" xr:uid="{00000000-0005-0000-0000-0000537A0000}"/>
    <cellStyle name="40% - Accent4 3 4 5 2 4" xfId="45616" xr:uid="{00000000-0005-0000-0000-0000547A0000}"/>
    <cellStyle name="40% - Accent4 3 4 5 2 5" xfId="16441" xr:uid="{00000000-0005-0000-0000-0000557A0000}"/>
    <cellStyle name="40% - Accent4 3 4 5 3" xfId="21304" xr:uid="{00000000-0005-0000-0000-0000567A0000}"/>
    <cellStyle name="40% - Accent4 3 4 5 4" xfId="31029" xr:uid="{00000000-0005-0000-0000-0000577A0000}"/>
    <cellStyle name="40% - Accent4 3 4 5 5" xfId="40754" xr:uid="{00000000-0005-0000-0000-0000587A0000}"/>
    <cellStyle name="40% - Accent4 3 4 5 6" xfId="11579" xr:uid="{00000000-0005-0000-0000-0000597A0000}"/>
    <cellStyle name="40% - Accent4 3 4 6" xfId="3473" xr:uid="{00000000-0005-0000-0000-00005A7A0000}"/>
    <cellStyle name="40% - Accent4 3 4 6 2" xfId="8335" xr:uid="{00000000-0005-0000-0000-00005B7A0000}"/>
    <cellStyle name="40% - Accent4 3 4 6 2 2" xfId="27786" xr:uid="{00000000-0005-0000-0000-00005C7A0000}"/>
    <cellStyle name="40% - Accent4 3 4 6 2 3" xfId="37511" xr:uid="{00000000-0005-0000-0000-00005D7A0000}"/>
    <cellStyle name="40% - Accent4 3 4 6 2 4" xfId="47236" xr:uid="{00000000-0005-0000-0000-00005E7A0000}"/>
    <cellStyle name="40% - Accent4 3 4 6 2 5" xfId="18061" xr:uid="{00000000-0005-0000-0000-00005F7A0000}"/>
    <cellStyle name="40% - Accent4 3 4 6 3" xfId="22924" xr:uid="{00000000-0005-0000-0000-0000607A0000}"/>
    <cellStyle name="40% - Accent4 3 4 6 4" xfId="32649" xr:uid="{00000000-0005-0000-0000-0000617A0000}"/>
    <cellStyle name="40% - Accent4 3 4 6 5" xfId="42374" xr:uid="{00000000-0005-0000-0000-0000627A0000}"/>
    <cellStyle name="40% - Accent4 3 4 6 6" xfId="13199" xr:uid="{00000000-0005-0000-0000-0000637A0000}"/>
    <cellStyle name="40% - Accent4 3 4 7" xfId="5095" xr:uid="{00000000-0005-0000-0000-0000647A0000}"/>
    <cellStyle name="40% - Accent4 3 4 7 2" xfId="24546" xr:uid="{00000000-0005-0000-0000-0000657A0000}"/>
    <cellStyle name="40% - Accent4 3 4 7 3" xfId="34271" xr:uid="{00000000-0005-0000-0000-0000667A0000}"/>
    <cellStyle name="40% - Accent4 3 4 7 4" xfId="43996" xr:uid="{00000000-0005-0000-0000-0000677A0000}"/>
    <cellStyle name="40% - Accent4 3 4 7 5" xfId="14821" xr:uid="{00000000-0005-0000-0000-0000687A0000}"/>
    <cellStyle name="40% - Accent4 3 4 8" xfId="19684" xr:uid="{00000000-0005-0000-0000-0000697A0000}"/>
    <cellStyle name="40% - Accent4 3 4 9" xfId="29409" xr:uid="{00000000-0005-0000-0000-00006A7A0000}"/>
    <cellStyle name="40% - Accent4 3 5" xfId="844" xr:uid="{00000000-0005-0000-0000-00006B7A0000}"/>
    <cellStyle name="40% - Accent4 3 5 2" xfId="2483" xr:uid="{00000000-0005-0000-0000-00006C7A0000}"/>
    <cellStyle name="40% - Accent4 3 5 2 2" xfId="7345" xr:uid="{00000000-0005-0000-0000-00006D7A0000}"/>
    <cellStyle name="40% - Accent4 3 5 2 2 2" xfId="26796" xr:uid="{00000000-0005-0000-0000-00006E7A0000}"/>
    <cellStyle name="40% - Accent4 3 5 2 2 3" xfId="36521" xr:uid="{00000000-0005-0000-0000-00006F7A0000}"/>
    <cellStyle name="40% - Accent4 3 5 2 2 4" xfId="46246" xr:uid="{00000000-0005-0000-0000-0000707A0000}"/>
    <cellStyle name="40% - Accent4 3 5 2 2 5" xfId="17071" xr:uid="{00000000-0005-0000-0000-0000717A0000}"/>
    <cellStyle name="40% - Accent4 3 5 2 3" xfId="21934" xr:uid="{00000000-0005-0000-0000-0000727A0000}"/>
    <cellStyle name="40% - Accent4 3 5 2 4" xfId="31659" xr:uid="{00000000-0005-0000-0000-0000737A0000}"/>
    <cellStyle name="40% - Accent4 3 5 2 5" xfId="41384" xr:uid="{00000000-0005-0000-0000-0000747A0000}"/>
    <cellStyle name="40% - Accent4 3 5 2 6" xfId="12209" xr:uid="{00000000-0005-0000-0000-0000757A0000}"/>
    <cellStyle name="40% - Accent4 3 5 3" xfId="4103" xr:uid="{00000000-0005-0000-0000-0000767A0000}"/>
    <cellStyle name="40% - Accent4 3 5 3 2" xfId="8965" xr:uid="{00000000-0005-0000-0000-0000777A0000}"/>
    <cellStyle name="40% - Accent4 3 5 3 2 2" xfId="28416" xr:uid="{00000000-0005-0000-0000-0000787A0000}"/>
    <cellStyle name="40% - Accent4 3 5 3 2 3" xfId="38141" xr:uid="{00000000-0005-0000-0000-0000797A0000}"/>
    <cellStyle name="40% - Accent4 3 5 3 2 4" xfId="47866" xr:uid="{00000000-0005-0000-0000-00007A7A0000}"/>
    <cellStyle name="40% - Accent4 3 5 3 2 5" xfId="18691" xr:uid="{00000000-0005-0000-0000-00007B7A0000}"/>
    <cellStyle name="40% - Accent4 3 5 3 3" xfId="23554" xr:uid="{00000000-0005-0000-0000-00007C7A0000}"/>
    <cellStyle name="40% - Accent4 3 5 3 4" xfId="33279" xr:uid="{00000000-0005-0000-0000-00007D7A0000}"/>
    <cellStyle name="40% - Accent4 3 5 3 5" xfId="43004" xr:uid="{00000000-0005-0000-0000-00007E7A0000}"/>
    <cellStyle name="40% - Accent4 3 5 3 6" xfId="13829" xr:uid="{00000000-0005-0000-0000-00007F7A0000}"/>
    <cellStyle name="40% - Accent4 3 5 4" xfId="5725" xr:uid="{00000000-0005-0000-0000-0000807A0000}"/>
    <cellStyle name="40% - Accent4 3 5 4 2" xfId="25176" xr:uid="{00000000-0005-0000-0000-0000817A0000}"/>
    <cellStyle name="40% - Accent4 3 5 4 3" xfId="34901" xr:uid="{00000000-0005-0000-0000-0000827A0000}"/>
    <cellStyle name="40% - Accent4 3 5 4 4" xfId="44626" xr:uid="{00000000-0005-0000-0000-0000837A0000}"/>
    <cellStyle name="40% - Accent4 3 5 4 5" xfId="15451" xr:uid="{00000000-0005-0000-0000-0000847A0000}"/>
    <cellStyle name="40% - Accent4 3 5 5" xfId="20314" xr:uid="{00000000-0005-0000-0000-0000857A0000}"/>
    <cellStyle name="40% - Accent4 3 5 6" xfId="30039" xr:uid="{00000000-0005-0000-0000-0000867A0000}"/>
    <cellStyle name="40% - Accent4 3 5 7" xfId="39764" xr:uid="{00000000-0005-0000-0000-0000877A0000}"/>
    <cellStyle name="40% - Accent4 3 5 8" xfId="10589" xr:uid="{00000000-0005-0000-0000-0000887A0000}"/>
    <cellStyle name="40% - Accent4 3 6" xfId="1222" xr:uid="{00000000-0005-0000-0000-0000897A0000}"/>
    <cellStyle name="40% - Accent4 3 6 2" xfId="2843" xr:uid="{00000000-0005-0000-0000-00008A7A0000}"/>
    <cellStyle name="40% - Accent4 3 6 2 2" xfId="7705" xr:uid="{00000000-0005-0000-0000-00008B7A0000}"/>
    <cellStyle name="40% - Accent4 3 6 2 2 2" xfId="27156" xr:uid="{00000000-0005-0000-0000-00008C7A0000}"/>
    <cellStyle name="40% - Accent4 3 6 2 2 3" xfId="36881" xr:uid="{00000000-0005-0000-0000-00008D7A0000}"/>
    <cellStyle name="40% - Accent4 3 6 2 2 4" xfId="46606" xr:uid="{00000000-0005-0000-0000-00008E7A0000}"/>
    <cellStyle name="40% - Accent4 3 6 2 2 5" xfId="17431" xr:uid="{00000000-0005-0000-0000-00008F7A0000}"/>
    <cellStyle name="40% - Accent4 3 6 2 3" xfId="22294" xr:uid="{00000000-0005-0000-0000-0000907A0000}"/>
    <cellStyle name="40% - Accent4 3 6 2 4" xfId="32019" xr:uid="{00000000-0005-0000-0000-0000917A0000}"/>
    <cellStyle name="40% - Accent4 3 6 2 5" xfId="41744" xr:uid="{00000000-0005-0000-0000-0000927A0000}"/>
    <cellStyle name="40% - Accent4 3 6 2 6" xfId="12569" xr:uid="{00000000-0005-0000-0000-0000937A0000}"/>
    <cellStyle name="40% - Accent4 3 6 3" xfId="4463" xr:uid="{00000000-0005-0000-0000-0000947A0000}"/>
    <cellStyle name="40% - Accent4 3 6 3 2" xfId="9325" xr:uid="{00000000-0005-0000-0000-0000957A0000}"/>
    <cellStyle name="40% - Accent4 3 6 3 2 2" xfId="28776" xr:uid="{00000000-0005-0000-0000-0000967A0000}"/>
    <cellStyle name="40% - Accent4 3 6 3 2 3" xfId="38501" xr:uid="{00000000-0005-0000-0000-0000977A0000}"/>
    <cellStyle name="40% - Accent4 3 6 3 2 4" xfId="48226" xr:uid="{00000000-0005-0000-0000-0000987A0000}"/>
    <cellStyle name="40% - Accent4 3 6 3 2 5" xfId="19051" xr:uid="{00000000-0005-0000-0000-0000997A0000}"/>
    <cellStyle name="40% - Accent4 3 6 3 3" xfId="23914" xr:uid="{00000000-0005-0000-0000-00009A7A0000}"/>
    <cellStyle name="40% - Accent4 3 6 3 4" xfId="33639" xr:uid="{00000000-0005-0000-0000-00009B7A0000}"/>
    <cellStyle name="40% - Accent4 3 6 3 5" xfId="43364" xr:uid="{00000000-0005-0000-0000-00009C7A0000}"/>
    <cellStyle name="40% - Accent4 3 6 3 6" xfId="14189" xr:uid="{00000000-0005-0000-0000-00009D7A0000}"/>
    <cellStyle name="40% - Accent4 3 6 4" xfId="6085" xr:uid="{00000000-0005-0000-0000-00009E7A0000}"/>
    <cellStyle name="40% - Accent4 3 6 4 2" xfId="25536" xr:uid="{00000000-0005-0000-0000-00009F7A0000}"/>
    <cellStyle name="40% - Accent4 3 6 4 3" xfId="35261" xr:uid="{00000000-0005-0000-0000-0000A07A0000}"/>
    <cellStyle name="40% - Accent4 3 6 4 4" xfId="44986" xr:uid="{00000000-0005-0000-0000-0000A17A0000}"/>
    <cellStyle name="40% - Accent4 3 6 4 5" xfId="15811" xr:uid="{00000000-0005-0000-0000-0000A27A0000}"/>
    <cellStyle name="40% - Accent4 3 6 5" xfId="20674" xr:uid="{00000000-0005-0000-0000-0000A37A0000}"/>
    <cellStyle name="40% - Accent4 3 6 6" xfId="30399" xr:uid="{00000000-0005-0000-0000-0000A47A0000}"/>
    <cellStyle name="40% - Accent4 3 6 7" xfId="40124" xr:uid="{00000000-0005-0000-0000-0000A57A0000}"/>
    <cellStyle name="40% - Accent4 3 6 8" xfId="10949" xr:uid="{00000000-0005-0000-0000-0000A67A0000}"/>
    <cellStyle name="40% - Accent4 3 7" xfId="1312" xr:uid="{00000000-0005-0000-0000-0000A77A0000}"/>
    <cellStyle name="40% - Accent4 3 7 2" xfId="2933" xr:uid="{00000000-0005-0000-0000-0000A87A0000}"/>
    <cellStyle name="40% - Accent4 3 7 2 2" xfId="7795" xr:uid="{00000000-0005-0000-0000-0000A97A0000}"/>
    <cellStyle name="40% - Accent4 3 7 2 2 2" xfId="27246" xr:uid="{00000000-0005-0000-0000-0000AA7A0000}"/>
    <cellStyle name="40% - Accent4 3 7 2 2 3" xfId="36971" xr:uid="{00000000-0005-0000-0000-0000AB7A0000}"/>
    <cellStyle name="40% - Accent4 3 7 2 2 4" xfId="46696" xr:uid="{00000000-0005-0000-0000-0000AC7A0000}"/>
    <cellStyle name="40% - Accent4 3 7 2 2 5" xfId="17521" xr:uid="{00000000-0005-0000-0000-0000AD7A0000}"/>
    <cellStyle name="40% - Accent4 3 7 2 3" xfId="22384" xr:uid="{00000000-0005-0000-0000-0000AE7A0000}"/>
    <cellStyle name="40% - Accent4 3 7 2 4" xfId="32109" xr:uid="{00000000-0005-0000-0000-0000AF7A0000}"/>
    <cellStyle name="40% - Accent4 3 7 2 5" xfId="41834" xr:uid="{00000000-0005-0000-0000-0000B07A0000}"/>
    <cellStyle name="40% - Accent4 3 7 2 6" xfId="12659" xr:uid="{00000000-0005-0000-0000-0000B17A0000}"/>
    <cellStyle name="40% - Accent4 3 7 3" xfId="4553" xr:uid="{00000000-0005-0000-0000-0000B27A0000}"/>
    <cellStyle name="40% - Accent4 3 7 3 2" xfId="9415" xr:uid="{00000000-0005-0000-0000-0000B37A0000}"/>
    <cellStyle name="40% - Accent4 3 7 3 2 2" xfId="28866" xr:uid="{00000000-0005-0000-0000-0000B47A0000}"/>
    <cellStyle name="40% - Accent4 3 7 3 2 3" xfId="38591" xr:uid="{00000000-0005-0000-0000-0000B57A0000}"/>
    <cellStyle name="40% - Accent4 3 7 3 2 4" xfId="48316" xr:uid="{00000000-0005-0000-0000-0000B67A0000}"/>
    <cellStyle name="40% - Accent4 3 7 3 2 5" xfId="19141" xr:uid="{00000000-0005-0000-0000-0000B77A0000}"/>
    <cellStyle name="40% - Accent4 3 7 3 3" xfId="24004" xr:uid="{00000000-0005-0000-0000-0000B87A0000}"/>
    <cellStyle name="40% - Accent4 3 7 3 4" xfId="33729" xr:uid="{00000000-0005-0000-0000-0000B97A0000}"/>
    <cellStyle name="40% - Accent4 3 7 3 5" xfId="43454" xr:uid="{00000000-0005-0000-0000-0000BA7A0000}"/>
    <cellStyle name="40% - Accent4 3 7 3 6" xfId="14279" xr:uid="{00000000-0005-0000-0000-0000BB7A0000}"/>
    <cellStyle name="40% - Accent4 3 7 4" xfId="6175" xr:uid="{00000000-0005-0000-0000-0000BC7A0000}"/>
    <cellStyle name="40% - Accent4 3 7 4 2" xfId="25626" xr:uid="{00000000-0005-0000-0000-0000BD7A0000}"/>
    <cellStyle name="40% - Accent4 3 7 4 3" xfId="35351" xr:uid="{00000000-0005-0000-0000-0000BE7A0000}"/>
    <cellStyle name="40% - Accent4 3 7 4 4" xfId="45076" xr:uid="{00000000-0005-0000-0000-0000BF7A0000}"/>
    <cellStyle name="40% - Accent4 3 7 4 5" xfId="15901" xr:uid="{00000000-0005-0000-0000-0000C07A0000}"/>
    <cellStyle name="40% - Accent4 3 7 5" xfId="20764" xr:uid="{00000000-0005-0000-0000-0000C17A0000}"/>
    <cellStyle name="40% - Accent4 3 7 6" xfId="30489" xr:uid="{00000000-0005-0000-0000-0000C27A0000}"/>
    <cellStyle name="40% - Accent4 3 7 7" xfId="40214" xr:uid="{00000000-0005-0000-0000-0000C37A0000}"/>
    <cellStyle name="40% - Accent4 3 7 8" xfId="11039" xr:uid="{00000000-0005-0000-0000-0000C47A0000}"/>
    <cellStyle name="40% - Accent4 3 8" xfId="483" xr:uid="{00000000-0005-0000-0000-0000C57A0000}"/>
    <cellStyle name="40% - Accent4 3 8 2" xfId="2123" xr:uid="{00000000-0005-0000-0000-0000C67A0000}"/>
    <cellStyle name="40% - Accent4 3 8 2 2" xfId="6985" xr:uid="{00000000-0005-0000-0000-0000C77A0000}"/>
    <cellStyle name="40% - Accent4 3 8 2 2 2" xfId="26436" xr:uid="{00000000-0005-0000-0000-0000C87A0000}"/>
    <cellStyle name="40% - Accent4 3 8 2 2 3" xfId="36161" xr:uid="{00000000-0005-0000-0000-0000C97A0000}"/>
    <cellStyle name="40% - Accent4 3 8 2 2 4" xfId="45886" xr:uid="{00000000-0005-0000-0000-0000CA7A0000}"/>
    <cellStyle name="40% - Accent4 3 8 2 2 5" xfId="16711" xr:uid="{00000000-0005-0000-0000-0000CB7A0000}"/>
    <cellStyle name="40% - Accent4 3 8 2 3" xfId="21574" xr:uid="{00000000-0005-0000-0000-0000CC7A0000}"/>
    <cellStyle name="40% - Accent4 3 8 2 4" xfId="31299" xr:uid="{00000000-0005-0000-0000-0000CD7A0000}"/>
    <cellStyle name="40% - Accent4 3 8 2 5" xfId="41024" xr:uid="{00000000-0005-0000-0000-0000CE7A0000}"/>
    <cellStyle name="40% - Accent4 3 8 2 6" xfId="11849" xr:uid="{00000000-0005-0000-0000-0000CF7A0000}"/>
    <cellStyle name="40% - Accent4 3 8 3" xfId="3743" xr:uid="{00000000-0005-0000-0000-0000D07A0000}"/>
    <cellStyle name="40% - Accent4 3 8 3 2" xfId="8605" xr:uid="{00000000-0005-0000-0000-0000D17A0000}"/>
    <cellStyle name="40% - Accent4 3 8 3 2 2" xfId="28056" xr:uid="{00000000-0005-0000-0000-0000D27A0000}"/>
    <cellStyle name="40% - Accent4 3 8 3 2 3" xfId="37781" xr:uid="{00000000-0005-0000-0000-0000D37A0000}"/>
    <cellStyle name="40% - Accent4 3 8 3 2 4" xfId="47506" xr:uid="{00000000-0005-0000-0000-0000D47A0000}"/>
    <cellStyle name="40% - Accent4 3 8 3 2 5" xfId="18331" xr:uid="{00000000-0005-0000-0000-0000D57A0000}"/>
    <cellStyle name="40% - Accent4 3 8 3 3" xfId="23194" xr:uid="{00000000-0005-0000-0000-0000D67A0000}"/>
    <cellStyle name="40% - Accent4 3 8 3 4" xfId="32919" xr:uid="{00000000-0005-0000-0000-0000D77A0000}"/>
    <cellStyle name="40% - Accent4 3 8 3 5" xfId="42644" xr:uid="{00000000-0005-0000-0000-0000D87A0000}"/>
    <cellStyle name="40% - Accent4 3 8 3 6" xfId="13469" xr:uid="{00000000-0005-0000-0000-0000D97A0000}"/>
    <cellStyle name="40% - Accent4 3 8 4" xfId="5365" xr:uid="{00000000-0005-0000-0000-0000DA7A0000}"/>
    <cellStyle name="40% - Accent4 3 8 4 2" xfId="24816" xr:uid="{00000000-0005-0000-0000-0000DB7A0000}"/>
    <cellStyle name="40% - Accent4 3 8 4 3" xfId="34541" xr:uid="{00000000-0005-0000-0000-0000DC7A0000}"/>
    <cellStyle name="40% - Accent4 3 8 4 4" xfId="44266" xr:uid="{00000000-0005-0000-0000-0000DD7A0000}"/>
    <cellStyle name="40% - Accent4 3 8 4 5" xfId="15091" xr:uid="{00000000-0005-0000-0000-0000DE7A0000}"/>
    <cellStyle name="40% - Accent4 3 8 5" xfId="19954" xr:uid="{00000000-0005-0000-0000-0000DF7A0000}"/>
    <cellStyle name="40% - Accent4 3 8 6" xfId="29679" xr:uid="{00000000-0005-0000-0000-0000E07A0000}"/>
    <cellStyle name="40% - Accent4 3 8 7" xfId="39404" xr:uid="{00000000-0005-0000-0000-0000E17A0000}"/>
    <cellStyle name="40% - Accent4 3 8 8" xfId="10229" xr:uid="{00000000-0005-0000-0000-0000E27A0000}"/>
    <cellStyle name="40% - Accent4 3 9" xfId="1672" xr:uid="{00000000-0005-0000-0000-0000E37A0000}"/>
    <cellStyle name="40% - Accent4 3 9 2" xfId="3293" xr:uid="{00000000-0005-0000-0000-0000E47A0000}"/>
    <cellStyle name="40% - Accent4 3 9 2 2" xfId="8155" xr:uid="{00000000-0005-0000-0000-0000E57A0000}"/>
    <cellStyle name="40% - Accent4 3 9 2 2 2" xfId="27606" xr:uid="{00000000-0005-0000-0000-0000E67A0000}"/>
    <cellStyle name="40% - Accent4 3 9 2 2 3" xfId="37331" xr:uid="{00000000-0005-0000-0000-0000E77A0000}"/>
    <cellStyle name="40% - Accent4 3 9 2 2 4" xfId="47056" xr:uid="{00000000-0005-0000-0000-0000E87A0000}"/>
    <cellStyle name="40% - Accent4 3 9 2 2 5" xfId="17881" xr:uid="{00000000-0005-0000-0000-0000E97A0000}"/>
    <cellStyle name="40% - Accent4 3 9 2 3" xfId="22744" xr:uid="{00000000-0005-0000-0000-0000EA7A0000}"/>
    <cellStyle name="40% - Accent4 3 9 2 4" xfId="32469" xr:uid="{00000000-0005-0000-0000-0000EB7A0000}"/>
    <cellStyle name="40% - Accent4 3 9 2 5" xfId="42194" xr:uid="{00000000-0005-0000-0000-0000EC7A0000}"/>
    <cellStyle name="40% - Accent4 3 9 2 6" xfId="13019" xr:uid="{00000000-0005-0000-0000-0000ED7A0000}"/>
    <cellStyle name="40% - Accent4 3 9 3" xfId="4913" xr:uid="{00000000-0005-0000-0000-0000EE7A0000}"/>
    <cellStyle name="40% - Accent4 3 9 3 2" xfId="9775" xr:uid="{00000000-0005-0000-0000-0000EF7A0000}"/>
    <cellStyle name="40% - Accent4 3 9 3 2 2" xfId="29226" xr:uid="{00000000-0005-0000-0000-0000F07A0000}"/>
    <cellStyle name="40% - Accent4 3 9 3 2 3" xfId="38951" xr:uid="{00000000-0005-0000-0000-0000F17A0000}"/>
    <cellStyle name="40% - Accent4 3 9 3 2 4" xfId="48676" xr:uid="{00000000-0005-0000-0000-0000F27A0000}"/>
    <cellStyle name="40% - Accent4 3 9 3 2 5" xfId="19501" xr:uid="{00000000-0005-0000-0000-0000F37A0000}"/>
    <cellStyle name="40% - Accent4 3 9 3 3" xfId="24364" xr:uid="{00000000-0005-0000-0000-0000F47A0000}"/>
    <cellStyle name="40% - Accent4 3 9 3 4" xfId="34089" xr:uid="{00000000-0005-0000-0000-0000F57A0000}"/>
    <cellStyle name="40% - Accent4 3 9 3 5" xfId="43814" xr:uid="{00000000-0005-0000-0000-0000F67A0000}"/>
    <cellStyle name="40% - Accent4 3 9 3 6" xfId="14639" xr:uid="{00000000-0005-0000-0000-0000F77A0000}"/>
    <cellStyle name="40% - Accent4 3 9 4" xfId="6535" xr:uid="{00000000-0005-0000-0000-0000F87A0000}"/>
    <cellStyle name="40% - Accent4 3 9 4 2" xfId="25986" xr:uid="{00000000-0005-0000-0000-0000F97A0000}"/>
    <cellStyle name="40% - Accent4 3 9 4 3" xfId="35711" xr:uid="{00000000-0005-0000-0000-0000FA7A0000}"/>
    <cellStyle name="40% - Accent4 3 9 4 4" xfId="45436" xr:uid="{00000000-0005-0000-0000-0000FB7A0000}"/>
    <cellStyle name="40% - Accent4 3 9 4 5" xfId="16261" xr:uid="{00000000-0005-0000-0000-0000FC7A0000}"/>
    <cellStyle name="40% - Accent4 3 9 5" xfId="21124" xr:uid="{00000000-0005-0000-0000-0000FD7A0000}"/>
    <cellStyle name="40% - Accent4 3 9 6" xfId="30849" xr:uid="{00000000-0005-0000-0000-0000FE7A0000}"/>
    <cellStyle name="40% - Accent4 3 9 7" xfId="40574" xr:uid="{00000000-0005-0000-0000-0000FF7A0000}"/>
    <cellStyle name="40% - Accent4 3 9 8" xfId="11399" xr:uid="{00000000-0005-0000-0000-0000007B0000}"/>
    <cellStyle name="40% - Accent4 4" xfId="109" xr:uid="{00000000-0005-0000-0000-0000017B0000}"/>
    <cellStyle name="40% - Accent4 4 10" xfId="1793" xr:uid="{00000000-0005-0000-0000-0000027B0000}"/>
    <cellStyle name="40% - Accent4 4 10 2" xfId="6655" xr:uid="{00000000-0005-0000-0000-0000037B0000}"/>
    <cellStyle name="40% - Accent4 4 10 2 2" xfId="26106" xr:uid="{00000000-0005-0000-0000-0000047B0000}"/>
    <cellStyle name="40% - Accent4 4 10 2 3" xfId="35831" xr:uid="{00000000-0005-0000-0000-0000057B0000}"/>
    <cellStyle name="40% - Accent4 4 10 2 4" xfId="45556" xr:uid="{00000000-0005-0000-0000-0000067B0000}"/>
    <cellStyle name="40% - Accent4 4 10 2 5" xfId="16381" xr:uid="{00000000-0005-0000-0000-0000077B0000}"/>
    <cellStyle name="40% - Accent4 4 10 3" xfId="21244" xr:uid="{00000000-0005-0000-0000-0000087B0000}"/>
    <cellStyle name="40% - Accent4 4 10 4" xfId="30969" xr:uid="{00000000-0005-0000-0000-0000097B0000}"/>
    <cellStyle name="40% - Accent4 4 10 5" xfId="40694" xr:uid="{00000000-0005-0000-0000-00000A7B0000}"/>
    <cellStyle name="40% - Accent4 4 10 6" xfId="11519" xr:uid="{00000000-0005-0000-0000-00000B7B0000}"/>
    <cellStyle name="40% - Accent4 4 11" xfId="3413" xr:uid="{00000000-0005-0000-0000-00000C7B0000}"/>
    <cellStyle name="40% - Accent4 4 11 2" xfId="8275" xr:uid="{00000000-0005-0000-0000-00000D7B0000}"/>
    <cellStyle name="40% - Accent4 4 11 2 2" xfId="27726" xr:uid="{00000000-0005-0000-0000-00000E7B0000}"/>
    <cellStyle name="40% - Accent4 4 11 2 3" xfId="37451" xr:uid="{00000000-0005-0000-0000-00000F7B0000}"/>
    <cellStyle name="40% - Accent4 4 11 2 4" xfId="47176" xr:uid="{00000000-0005-0000-0000-0000107B0000}"/>
    <cellStyle name="40% - Accent4 4 11 2 5" xfId="18001" xr:uid="{00000000-0005-0000-0000-0000117B0000}"/>
    <cellStyle name="40% - Accent4 4 11 3" xfId="22864" xr:uid="{00000000-0005-0000-0000-0000127B0000}"/>
    <cellStyle name="40% - Accent4 4 11 4" xfId="32589" xr:uid="{00000000-0005-0000-0000-0000137B0000}"/>
    <cellStyle name="40% - Accent4 4 11 5" xfId="42314" xr:uid="{00000000-0005-0000-0000-0000147B0000}"/>
    <cellStyle name="40% - Accent4 4 11 6" xfId="13139" xr:uid="{00000000-0005-0000-0000-0000157B0000}"/>
    <cellStyle name="40% - Accent4 4 12" xfId="5035" xr:uid="{00000000-0005-0000-0000-0000167B0000}"/>
    <cellStyle name="40% - Accent4 4 12 2" xfId="24486" xr:uid="{00000000-0005-0000-0000-0000177B0000}"/>
    <cellStyle name="40% - Accent4 4 12 3" xfId="34211" xr:uid="{00000000-0005-0000-0000-0000187B0000}"/>
    <cellStyle name="40% - Accent4 4 12 4" xfId="43936" xr:uid="{00000000-0005-0000-0000-0000197B0000}"/>
    <cellStyle name="40% - Accent4 4 12 5" xfId="14761" xr:uid="{00000000-0005-0000-0000-00001A7B0000}"/>
    <cellStyle name="40% - Accent4 4 13" xfId="19624" xr:uid="{00000000-0005-0000-0000-00001B7B0000}"/>
    <cellStyle name="40% - Accent4 4 14" xfId="29349" xr:uid="{00000000-0005-0000-0000-00001C7B0000}"/>
    <cellStyle name="40% - Accent4 4 15" xfId="39074" xr:uid="{00000000-0005-0000-0000-00001D7B0000}"/>
    <cellStyle name="40% - Accent4 4 16" xfId="9899" xr:uid="{00000000-0005-0000-0000-00001E7B0000}"/>
    <cellStyle name="40% - Accent4 4 2" xfId="291" xr:uid="{00000000-0005-0000-0000-00001F7B0000}"/>
    <cellStyle name="40% - Accent4 4 2 10" xfId="39254" xr:uid="{00000000-0005-0000-0000-0000207B0000}"/>
    <cellStyle name="40% - Accent4 4 2 11" xfId="10079" xr:uid="{00000000-0005-0000-0000-0000217B0000}"/>
    <cellStyle name="40% - Accent4 4 2 2" xfId="1055" xr:uid="{00000000-0005-0000-0000-0000227B0000}"/>
    <cellStyle name="40% - Accent4 4 2 2 2" xfId="2693" xr:uid="{00000000-0005-0000-0000-0000237B0000}"/>
    <cellStyle name="40% - Accent4 4 2 2 2 2" xfId="7555" xr:uid="{00000000-0005-0000-0000-0000247B0000}"/>
    <cellStyle name="40% - Accent4 4 2 2 2 2 2" xfId="27006" xr:uid="{00000000-0005-0000-0000-0000257B0000}"/>
    <cellStyle name="40% - Accent4 4 2 2 2 2 3" xfId="36731" xr:uid="{00000000-0005-0000-0000-0000267B0000}"/>
    <cellStyle name="40% - Accent4 4 2 2 2 2 4" xfId="46456" xr:uid="{00000000-0005-0000-0000-0000277B0000}"/>
    <cellStyle name="40% - Accent4 4 2 2 2 2 5" xfId="17281" xr:uid="{00000000-0005-0000-0000-0000287B0000}"/>
    <cellStyle name="40% - Accent4 4 2 2 2 3" xfId="22144" xr:uid="{00000000-0005-0000-0000-0000297B0000}"/>
    <cellStyle name="40% - Accent4 4 2 2 2 4" xfId="31869" xr:uid="{00000000-0005-0000-0000-00002A7B0000}"/>
    <cellStyle name="40% - Accent4 4 2 2 2 5" xfId="41594" xr:uid="{00000000-0005-0000-0000-00002B7B0000}"/>
    <cellStyle name="40% - Accent4 4 2 2 2 6" xfId="12419" xr:uid="{00000000-0005-0000-0000-00002C7B0000}"/>
    <cellStyle name="40% - Accent4 4 2 2 3" xfId="4313" xr:uid="{00000000-0005-0000-0000-00002D7B0000}"/>
    <cellStyle name="40% - Accent4 4 2 2 3 2" xfId="9175" xr:uid="{00000000-0005-0000-0000-00002E7B0000}"/>
    <cellStyle name="40% - Accent4 4 2 2 3 2 2" xfId="28626" xr:uid="{00000000-0005-0000-0000-00002F7B0000}"/>
    <cellStyle name="40% - Accent4 4 2 2 3 2 3" xfId="38351" xr:uid="{00000000-0005-0000-0000-0000307B0000}"/>
    <cellStyle name="40% - Accent4 4 2 2 3 2 4" xfId="48076" xr:uid="{00000000-0005-0000-0000-0000317B0000}"/>
    <cellStyle name="40% - Accent4 4 2 2 3 2 5" xfId="18901" xr:uid="{00000000-0005-0000-0000-0000327B0000}"/>
    <cellStyle name="40% - Accent4 4 2 2 3 3" xfId="23764" xr:uid="{00000000-0005-0000-0000-0000337B0000}"/>
    <cellStyle name="40% - Accent4 4 2 2 3 4" xfId="33489" xr:uid="{00000000-0005-0000-0000-0000347B0000}"/>
    <cellStyle name="40% - Accent4 4 2 2 3 5" xfId="43214" xr:uid="{00000000-0005-0000-0000-0000357B0000}"/>
    <cellStyle name="40% - Accent4 4 2 2 3 6" xfId="14039" xr:uid="{00000000-0005-0000-0000-0000367B0000}"/>
    <cellStyle name="40% - Accent4 4 2 2 4" xfId="5935" xr:uid="{00000000-0005-0000-0000-0000377B0000}"/>
    <cellStyle name="40% - Accent4 4 2 2 4 2" xfId="25386" xr:uid="{00000000-0005-0000-0000-0000387B0000}"/>
    <cellStyle name="40% - Accent4 4 2 2 4 3" xfId="35111" xr:uid="{00000000-0005-0000-0000-0000397B0000}"/>
    <cellStyle name="40% - Accent4 4 2 2 4 4" xfId="44836" xr:uid="{00000000-0005-0000-0000-00003A7B0000}"/>
    <cellStyle name="40% - Accent4 4 2 2 4 5" xfId="15661" xr:uid="{00000000-0005-0000-0000-00003B7B0000}"/>
    <cellStyle name="40% - Accent4 4 2 2 5" xfId="20524" xr:uid="{00000000-0005-0000-0000-00003C7B0000}"/>
    <cellStyle name="40% - Accent4 4 2 2 6" xfId="30249" xr:uid="{00000000-0005-0000-0000-00003D7B0000}"/>
    <cellStyle name="40% - Accent4 4 2 2 7" xfId="39974" xr:uid="{00000000-0005-0000-0000-00003E7B0000}"/>
    <cellStyle name="40% - Accent4 4 2 2 8" xfId="10799" xr:uid="{00000000-0005-0000-0000-00003F7B0000}"/>
    <cellStyle name="40% - Accent4 4 2 3" xfId="1522" xr:uid="{00000000-0005-0000-0000-0000407B0000}"/>
    <cellStyle name="40% - Accent4 4 2 3 2" xfId="3143" xr:uid="{00000000-0005-0000-0000-0000417B0000}"/>
    <cellStyle name="40% - Accent4 4 2 3 2 2" xfId="8005" xr:uid="{00000000-0005-0000-0000-0000427B0000}"/>
    <cellStyle name="40% - Accent4 4 2 3 2 2 2" xfId="27456" xr:uid="{00000000-0005-0000-0000-0000437B0000}"/>
    <cellStyle name="40% - Accent4 4 2 3 2 2 3" xfId="37181" xr:uid="{00000000-0005-0000-0000-0000447B0000}"/>
    <cellStyle name="40% - Accent4 4 2 3 2 2 4" xfId="46906" xr:uid="{00000000-0005-0000-0000-0000457B0000}"/>
    <cellStyle name="40% - Accent4 4 2 3 2 2 5" xfId="17731" xr:uid="{00000000-0005-0000-0000-0000467B0000}"/>
    <cellStyle name="40% - Accent4 4 2 3 2 3" xfId="22594" xr:uid="{00000000-0005-0000-0000-0000477B0000}"/>
    <cellStyle name="40% - Accent4 4 2 3 2 4" xfId="32319" xr:uid="{00000000-0005-0000-0000-0000487B0000}"/>
    <cellStyle name="40% - Accent4 4 2 3 2 5" xfId="42044" xr:uid="{00000000-0005-0000-0000-0000497B0000}"/>
    <cellStyle name="40% - Accent4 4 2 3 2 6" xfId="12869" xr:uid="{00000000-0005-0000-0000-00004A7B0000}"/>
    <cellStyle name="40% - Accent4 4 2 3 3" xfId="4763" xr:uid="{00000000-0005-0000-0000-00004B7B0000}"/>
    <cellStyle name="40% - Accent4 4 2 3 3 2" xfId="9625" xr:uid="{00000000-0005-0000-0000-00004C7B0000}"/>
    <cellStyle name="40% - Accent4 4 2 3 3 2 2" xfId="29076" xr:uid="{00000000-0005-0000-0000-00004D7B0000}"/>
    <cellStyle name="40% - Accent4 4 2 3 3 2 3" xfId="38801" xr:uid="{00000000-0005-0000-0000-00004E7B0000}"/>
    <cellStyle name="40% - Accent4 4 2 3 3 2 4" xfId="48526" xr:uid="{00000000-0005-0000-0000-00004F7B0000}"/>
    <cellStyle name="40% - Accent4 4 2 3 3 2 5" xfId="19351" xr:uid="{00000000-0005-0000-0000-0000507B0000}"/>
    <cellStyle name="40% - Accent4 4 2 3 3 3" xfId="24214" xr:uid="{00000000-0005-0000-0000-0000517B0000}"/>
    <cellStyle name="40% - Accent4 4 2 3 3 4" xfId="33939" xr:uid="{00000000-0005-0000-0000-0000527B0000}"/>
    <cellStyle name="40% - Accent4 4 2 3 3 5" xfId="43664" xr:uid="{00000000-0005-0000-0000-0000537B0000}"/>
    <cellStyle name="40% - Accent4 4 2 3 3 6" xfId="14489" xr:uid="{00000000-0005-0000-0000-0000547B0000}"/>
    <cellStyle name="40% - Accent4 4 2 3 4" xfId="6385" xr:uid="{00000000-0005-0000-0000-0000557B0000}"/>
    <cellStyle name="40% - Accent4 4 2 3 4 2" xfId="25836" xr:uid="{00000000-0005-0000-0000-0000567B0000}"/>
    <cellStyle name="40% - Accent4 4 2 3 4 3" xfId="35561" xr:uid="{00000000-0005-0000-0000-0000577B0000}"/>
    <cellStyle name="40% - Accent4 4 2 3 4 4" xfId="45286" xr:uid="{00000000-0005-0000-0000-0000587B0000}"/>
    <cellStyle name="40% - Accent4 4 2 3 4 5" xfId="16111" xr:uid="{00000000-0005-0000-0000-0000597B0000}"/>
    <cellStyle name="40% - Accent4 4 2 3 5" xfId="20974" xr:uid="{00000000-0005-0000-0000-00005A7B0000}"/>
    <cellStyle name="40% - Accent4 4 2 3 6" xfId="30699" xr:uid="{00000000-0005-0000-0000-00005B7B0000}"/>
    <cellStyle name="40% - Accent4 4 2 3 7" xfId="40424" xr:uid="{00000000-0005-0000-0000-00005C7B0000}"/>
    <cellStyle name="40% - Accent4 4 2 3 8" xfId="11249" xr:uid="{00000000-0005-0000-0000-00005D7B0000}"/>
    <cellStyle name="40% - Accent4 4 2 4" xfId="693" xr:uid="{00000000-0005-0000-0000-00005E7B0000}"/>
    <cellStyle name="40% - Accent4 4 2 4 2" xfId="2333" xr:uid="{00000000-0005-0000-0000-00005F7B0000}"/>
    <cellStyle name="40% - Accent4 4 2 4 2 2" xfId="7195" xr:uid="{00000000-0005-0000-0000-0000607B0000}"/>
    <cellStyle name="40% - Accent4 4 2 4 2 2 2" xfId="26646" xr:uid="{00000000-0005-0000-0000-0000617B0000}"/>
    <cellStyle name="40% - Accent4 4 2 4 2 2 3" xfId="36371" xr:uid="{00000000-0005-0000-0000-0000627B0000}"/>
    <cellStyle name="40% - Accent4 4 2 4 2 2 4" xfId="46096" xr:uid="{00000000-0005-0000-0000-0000637B0000}"/>
    <cellStyle name="40% - Accent4 4 2 4 2 2 5" xfId="16921" xr:uid="{00000000-0005-0000-0000-0000647B0000}"/>
    <cellStyle name="40% - Accent4 4 2 4 2 3" xfId="21784" xr:uid="{00000000-0005-0000-0000-0000657B0000}"/>
    <cellStyle name="40% - Accent4 4 2 4 2 4" xfId="31509" xr:uid="{00000000-0005-0000-0000-0000667B0000}"/>
    <cellStyle name="40% - Accent4 4 2 4 2 5" xfId="41234" xr:uid="{00000000-0005-0000-0000-0000677B0000}"/>
    <cellStyle name="40% - Accent4 4 2 4 2 6" xfId="12059" xr:uid="{00000000-0005-0000-0000-0000687B0000}"/>
    <cellStyle name="40% - Accent4 4 2 4 3" xfId="3953" xr:uid="{00000000-0005-0000-0000-0000697B0000}"/>
    <cellStyle name="40% - Accent4 4 2 4 3 2" xfId="8815" xr:uid="{00000000-0005-0000-0000-00006A7B0000}"/>
    <cellStyle name="40% - Accent4 4 2 4 3 2 2" xfId="28266" xr:uid="{00000000-0005-0000-0000-00006B7B0000}"/>
    <cellStyle name="40% - Accent4 4 2 4 3 2 3" xfId="37991" xr:uid="{00000000-0005-0000-0000-00006C7B0000}"/>
    <cellStyle name="40% - Accent4 4 2 4 3 2 4" xfId="47716" xr:uid="{00000000-0005-0000-0000-00006D7B0000}"/>
    <cellStyle name="40% - Accent4 4 2 4 3 2 5" xfId="18541" xr:uid="{00000000-0005-0000-0000-00006E7B0000}"/>
    <cellStyle name="40% - Accent4 4 2 4 3 3" xfId="23404" xr:uid="{00000000-0005-0000-0000-00006F7B0000}"/>
    <cellStyle name="40% - Accent4 4 2 4 3 4" xfId="33129" xr:uid="{00000000-0005-0000-0000-0000707B0000}"/>
    <cellStyle name="40% - Accent4 4 2 4 3 5" xfId="42854" xr:uid="{00000000-0005-0000-0000-0000717B0000}"/>
    <cellStyle name="40% - Accent4 4 2 4 3 6" xfId="13679" xr:uid="{00000000-0005-0000-0000-0000727B0000}"/>
    <cellStyle name="40% - Accent4 4 2 4 4" xfId="5575" xr:uid="{00000000-0005-0000-0000-0000737B0000}"/>
    <cellStyle name="40% - Accent4 4 2 4 4 2" xfId="25026" xr:uid="{00000000-0005-0000-0000-0000747B0000}"/>
    <cellStyle name="40% - Accent4 4 2 4 4 3" xfId="34751" xr:uid="{00000000-0005-0000-0000-0000757B0000}"/>
    <cellStyle name="40% - Accent4 4 2 4 4 4" xfId="44476" xr:uid="{00000000-0005-0000-0000-0000767B0000}"/>
    <cellStyle name="40% - Accent4 4 2 4 4 5" xfId="15301" xr:uid="{00000000-0005-0000-0000-0000777B0000}"/>
    <cellStyle name="40% - Accent4 4 2 4 5" xfId="20164" xr:uid="{00000000-0005-0000-0000-0000787B0000}"/>
    <cellStyle name="40% - Accent4 4 2 4 6" xfId="29889" xr:uid="{00000000-0005-0000-0000-0000797B0000}"/>
    <cellStyle name="40% - Accent4 4 2 4 7" xfId="39614" xr:uid="{00000000-0005-0000-0000-00007A7B0000}"/>
    <cellStyle name="40% - Accent4 4 2 4 8" xfId="10439" xr:uid="{00000000-0005-0000-0000-00007B7B0000}"/>
    <cellStyle name="40% - Accent4 4 2 5" xfId="1973" xr:uid="{00000000-0005-0000-0000-00007C7B0000}"/>
    <cellStyle name="40% - Accent4 4 2 5 2" xfId="6835" xr:uid="{00000000-0005-0000-0000-00007D7B0000}"/>
    <cellStyle name="40% - Accent4 4 2 5 2 2" xfId="26286" xr:uid="{00000000-0005-0000-0000-00007E7B0000}"/>
    <cellStyle name="40% - Accent4 4 2 5 2 3" xfId="36011" xr:uid="{00000000-0005-0000-0000-00007F7B0000}"/>
    <cellStyle name="40% - Accent4 4 2 5 2 4" xfId="45736" xr:uid="{00000000-0005-0000-0000-0000807B0000}"/>
    <cellStyle name="40% - Accent4 4 2 5 2 5" xfId="16561" xr:uid="{00000000-0005-0000-0000-0000817B0000}"/>
    <cellStyle name="40% - Accent4 4 2 5 3" xfId="21424" xr:uid="{00000000-0005-0000-0000-0000827B0000}"/>
    <cellStyle name="40% - Accent4 4 2 5 4" xfId="31149" xr:uid="{00000000-0005-0000-0000-0000837B0000}"/>
    <cellStyle name="40% - Accent4 4 2 5 5" xfId="40874" xr:uid="{00000000-0005-0000-0000-0000847B0000}"/>
    <cellStyle name="40% - Accent4 4 2 5 6" xfId="11699" xr:uid="{00000000-0005-0000-0000-0000857B0000}"/>
    <cellStyle name="40% - Accent4 4 2 6" xfId="3593" xr:uid="{00000000-0005-0000-0000-0000867B0000}"/>
    <cellStyle name="40% - Accent4 4 2 6 2" xfId="8455" xr:uid="{00000000-0005-0000-0000-0000877B0000}"/>
    <cellStyle name="40% - Accent4 4 2 6 2 2" xfId="27906" xr:uid="{00000000-0005-0000-0000-0000887B0000}"/>
    <cellStyle name="40% - Accent4 4 2 6 2 3" xfId="37631" xr:uid="{00000000-0005-0000-0000-0000897B0000}"/>
    <cellStyle name="40% - Accent4 4 2 6 2 4" xfId="47356" xr:uid="{00000000-0005-0000-0000-00008A7B0000}"/>
    <cellStyle name="40% - Accent4 4 2 6 2 5" xfId="18181" xr:uid="{00000000-0005-0000-0000-00008B7B0000}"/>
    <cellStyle name="40% - Accent4 4 2 6 3" xfId="23044" xr:uid="{00000000-0005-0000-0000-00008C7B0000}"/>
    <cellStyle name="40% - Accent4 4 2 6 4" xfId="32769" xr:uid="{00000000-0005-0000-0000-00008D7B0000}"/>
    <cellStyle name="40% - Accent4 4 2 6 5" xfId="42494" xr:uid="{00000000-0005-0000-0000-00008E7B0000}"/>
    <cellStyle name="40% - Accent4 4 2 6 6" xfId="13319" xr:uid="{00000000-0005-0000-0000-00008F7B0000}"/>
    <cellStyle name="40% - Accent4 4 2 7" xfId="5215" xr:uid="{00000000-0005-0000-0000-0000907B0000}"/>
    <cellStyle name="40% - Accent4 4 2 7 2" xfId="24666" xr:uid="{00000000-0005-0000-0000-0000917B0000}"/>
    <cellStyle name="40% - Accent4 4 2 7 3" xfId="34391" xr:uid="{00000000-0005-0000-0000-0000927B0000}"/>
    <cellStyle name="40% - Accent4 4 2 7 4" xfId="44116" xr:uid="{00000000-0005-0000-0000-0000937B0000}"/>
    <cellStyle name="40% - Accent4 4 2 7 5" xfId="14941" xr:uid="{00000000-0005-0000-0000-0000947B0000}"/>
    <cellStyle name="40% - Accent4 4 2 8" xfId="19804" xr:uid="{00000000-0005-0000-0000-0000957B0000}"/>
    <cellStyle name="40% - Accent4 4 2 9" xfId="29529" xr:uid="{00000000-0005-0000-0000-0000967B0000}"/>
    <cellStyle name="40% - Accent4 4 3" xfId="382" xr:uid="{00000000-0005-0000-0000-0000977B0000}"/>
    <cellStyle name="40% - Accent4 4 3 10" xfId="39344" xr:uid="{00000000-0005-0000-0000-0000987B0000}"/>
    <cellStyle name="40% - Accent4 4 3 11" xfId="10169" xr:uid="{00000000-0005-0000-0000-0000997B0000}"/>
    <cellStyle name="40% - Accent4 4 3 2" xfId="1145" xr:uid="{00000000-0005-0000-0000-00009A7B0000}"/>
    <cellStyle name="40% - Accent4 4 3 2 2" xfId="2783" xr:uid="{00000000-0005-0000-0000-00009B7B0000}"/>
    <cellStyle name="40% - Accent4 4 3 2 2 2" xfId="7645" xr:uid="{00000000-0005-0000-0000-00009C7B0000}"/>
    <cellStyle name="40% - Accent4 4 3 2 2 2 2" xfId="27096" xr:uid="{00000000-0005-0000-0000-00009D7B0000}"/>
    <cellStyle name="40% - Accent4 4 3 2 2 2 3" xfId="36821" xr:uid="{00000000-0005-0000-0000-00009E7B0000}"/>
    <cellStyle name="40% - Accent4 4 3 2 2 2 4" xfId="46546" xr:uid="{00000000-0005-0000-0000-00009F7B0000}"/>
    <cellStyle name="40% - Accent4 4 3 2 2 2 5" xfId="17371" xr:uid="{00000000-0005-0000-0000-0000A07B0000}"/>
    <cellStyle name="40% - Accent4 4 3 2 2 3" xfId="22234" xr:uid="{00000000-0005-0000-0000-0000A17B0000}"/>
    <cellStyle name="40% - Accent4 4 3 2 2 4" xfId="31959" xr:uid="{00000000-0005-0000-0000-0000A27B0000}"/>
    <cellStyle name="40% - Accent4 4 3 2 2 5" xfId="41684" xr:uid="{00000000-0005-0000-0000-0000A37B0000}"/>
    <cellStyle name="40% - Accent4 4 3 2 2 6" xfId="12509" xr:uid="{00000000-0005-0000-0000-0000A47B0000}"/>
    <cellStyle name="40% - Accent4 4 3 2 3" xfId="4403" xr:uid="{00000000-0005-0000-0000-0000A57B0000}"/>
    <cellStyle name="40% - Accent4 4 3 2 3 2" xfId="9265" xr:uid="{00000000-0005-0000-0000-0000A67B0000}"/>
    <cellStyle name="40% - Accent4 4 3 2 3 2 2" xfId="28716" xr:uid="{00000000-0005-0000-0000-0000A77B0000}"/>
    <cellStyle name="40% - Accent4 4 3 2 3 2 3" xfId="38441" xr:uid="{00000000-0005-0000-0000-0000A87B0000}"/>
    <cellStyle name="40% - Accent4 4 3 2 3 2 4" xfId="48166" xr:uid="{00000000-0005-0000-0000-0000A97B0000}"/>
    <cellStyle name="40% - Accent4 4 3 2 3 2 5" xfId="18991" xr:uid="{00000000-0005-0000-0000-0000AA7B0000}"/>
    <cellStyle name="40% - Accent4 4 3 2 3 3" xfId="23854" xr:uid="{00000000-0005-0000-0000-0000AB7B0000}"/>
    <cellStyle name="40% - Accent4 4 3 2 3 4" xfId="33579" xr:uid="{00000000-0005-0000-0000-0000AC7B0000}"/>
    <cellStyle name="40% - Accent4 4 3 2 3 5" xfId="43304" xr:uid="{00000000-0005-0000-0000-0000AD7B0000}"/>
    <cellStyle name="40% - Accent4 4 3 2 3 6" xfId="14129" xr:uid="{00000000-0005-0000-0000-0000AE7B0000}"/>
    <cellStyle name="40% - Accent4 4 3 2 4" xfId="6025" xr:uid="{00000000-0005-0000-0000-0000AF7B0000}"/>
    <cellStyle name="40% - Accent4 4 3 2 4 2" xfId="25476" xr:uid="{00000000-0005-0000-0000-0000B07B0000}"/>
    <cellStyle name="40% - Accent4 4 3 2 4 3" xfId="35201" xr:uid="{00000000-0005-0000-0000-0000B17B0000}"/>
    <cellStyle name="40% - Accent4 4 3 2 4 4" xfId="44926" xr:uid="{00000000-0005-0000-0000-0000B27B0000}"/>
    <cellStyle name="40% - Accent4 4 3 2 4 5" xfId="15751" xr:uid="{00000000-0005-0000-0000-0000B37B0000}"/>
    <cellStyle name="40% - Accent4 4 3 2 5" xfId="20614" xr:uid="{00000000-0005-0000-0000-0000B47B0000}"/>
    <cellStyle name="40% - Accent4 4 3 2 6" xfId="30339" xr:uid="{00000000-0005-0000-0000-0000B57B0000}"/>
    <cellStyle name="40% - Accent4 4 3 2 7" xfId="40064" xr:uid="{00000000-0005-0000-0000-0000B67B0000}"/>
    <cellStyle name="40% - Accent4 4 3 2 8" xfId="10889" xr:uid="{00000000-0005-0000-0000-0000B77B0000}"/>
    <cellStyle name="40% - Accent4 4 3 3" xfId="1612" xr:uid="{00000000-0005-0000-0000-0000B87B0000}"/>
    <cellStyle name="40% - Accent4 4 3 3 2" xfId="3233" xr:uid="{00000000-0005-0000-0000-0000B97B0000}"/>
    <cellStyle name="40% - Accent4 4 3 3 2 2" xfId="8095" xr:uid="{00000000-0005-0000-0000-0000BA7B0000}"/>
    <cellStyle name="40% - Accent4 4 3 3 2 2 2" xfId="27546" xr:uid="{00000000-0005-0000-0000-0000BB7B0000}"/>
    <cellStyle name="40% - Accent4 4 3 3 2 2 3" xfId="37271" xr:uid="{00000000-0005-0000-0000-0000BC7B0000}"/>
    <cellStyle name="40% - Accent4 4 3 3 2 2 4" xfId="46996" xr:uid="{00000000-0005-0000-0000-0000BD7B0000}"/>
    <cellStyle name="40% - Accent4 4 3 3 2 2 5" xfId="17821" xr:uid="{00000000-0005-0000-0000-0000BE7B0000}"/>
    <cellStyle name="40% - Accent4 4 3 3 2 3" xfId="22684" xr:uid="{00000000-0005-0000-0000-0000BF7B0000}"/>
    <cellStyle name="40% - Accent4 4 3 3 2 4" xfId="32409" xr:uid="{00000000-0005-0000-0000-0000C07B0000}"/>
    <cellStyle name="40% - Accent4 4 3 3 2 5" xfId="42134" xr:uid="{00000000-0005-0000-0000-0000C17B0000}"/>
    <cellStyle name="40% - Accent4 4 3 3 2 6" xfId="12959" xr:uid="{00000000-0005-0000-0000-0000C27B0000}"/>
    <cellStyle name="40% - Accent4 4 3 3 3" xfId="4853" xr:uid="{00000000-0005-0000-0000-0000C37B0000}"/>
    <cellStyle name="40% - Accent4 4 3 3 3 2" xfId="9715" xr:uid="{00000000-0005-0000-0000-0000C47B0000}"/>
    <cellStyle name="40% - Accent4 4 3 3 3 2 2" xfId="29166" xr:uid="{00000000-0005-0000-0000-0000C57B0000}"/>
    <cellStyle name="40% - Accent4 4 3 3 3 2 3" xfId="38891" xr:uid="{00000000-0005-0000-0000-0000C67B0000}"/>
    <cellStyle name="40% - Accent4 4 3 3 3 2 4" xfId="48616" xr:uid="{00000000-0005-0000-0000-0000C77B0000}"/>
    <cellStyle name="40% - Accent4 4 3 3 3 2 5" xfId="19441" xr:uid="{00000000-0005-0000-0000-0000C87B0000}"/>
    <cellStyle name="40% - Accent4 4 3 3 3 3" xfId="24304" xr:uid="{00000000-0005-0000-0000-0000C97B0000}"/>
    <cellStyle name="40% - Accent4 4 3 3 3 4" xfId="34029" xr:uid="{00000000-0005-0000-0000-0000CA7B0000}"/>
    <cellStyle name="40% - Accent4 4 3 3 3 5" xfId="43754" xr:uid="{00000000-0005-0000-0000-0000CB7B0000}"/>
    <cellStyle name="40% - Accent4 4 3 3 3 6" xfId="14579" xr:uid="{00000000-0005-0000-0000-0000CC7B0000}"/>
    <cellStyle name="40% - Accent4 4 3 3 4" xfId="6475" xr:uid="{00000000-0005-0000-0000-0000CD7B0000}"/>
    <cellStyle name="40% - Accent4 4 3 3 4 2" xfId="25926" xr:uid="{00000000-0005-0000-0000-0000CE7B0000}"/>
    <cellStyle name="40% - Accent4 4 3 3 4 3" xfId="35651" xr:uid="{00000000-0005-0000-0000-0000CF7B0000}"/>
    <cellStyle name="40% - Accent4 4 3 3 4 4" xfId="45376" xr:uid="{00000000-0005-0000-0000-0000D07B0000}"/>
    <cellStyle name="40% - Accent4 4 3 3 4 5" xfId="16201" xr:uid="{00000000-0005-0000-0000-0000D17B0000}"/>
    <cellStyle name="40% - Accent4 4 3 3 5" xfId="21064" xr:uid="{00000000-0005-0000-0000-0000D27B0000}"/>
    <cellStyle name="40% - Accent4 4 3 3 6" xfId="30789" xr:uid="{00000000-0005-0000-0000-0000D37B0000}"/>
    <cellStyle name="40% - Accent4 4 3 3 7" xfId="40514" xr:uid="{00000000-0005-0000-0000-0000D47B0000}"/>
    <cellStyle name="40% - Accent4 4 3 3 8" xfId="11339" xr:uid="{00000000-0005-0000-0000-0000D57B0000}"/>
    <cellStyle name="40% - Accent4 4 3 4" xfId="783" xr:uid="{00000000-0005-0000-0000-0000D67B0000}"/>
    <cellStyle name="40% - Accent4 4 3 4 2" xfId="2423" xr:uid="{00000000-0005-0000-0000-0000D77B0000}"/>
    <cellStyle name="40% - Accent4 4 3 4 2 2" xfId="7285" xr:uid="{00000000-0005-0000-0000-0000D87B0000}"/>
    <cellStyle name="40% - Accent4 4 3 4 2 2 2" xfId="26736" xr:uid="{00000000-0005-0000-0000-0000D97B0000}"/>
    <cellStyle name="40% - Accent4 4 3 4 2 2 3" xfId="36461" xr:uid="{00000000-0005-0000-0000-0000DA7B0000}"/>
    <cellStyle name="40% - Accent4 4 3 4 2 2 4" xfId="46186" xr:uid="{00000000-0005-0000-0000-0000DB7B0000}"/>
    <cellStyle name="40% - Accent4 4 3 4 2 2 5" xfId="17011" xr:uid="{00000000-0005-0000-0000-0000DC7B0000}"/>
    <cellStyle name="40% - Accent4 4 3 4 2 3" xfId="21874" xr:uid="{00000000-0005-0000-0000-0000DD7B0000}"/>
    <cellStyle name="40% - Accent4 4 3 4 2 4" xfId="31599" xr:uid="{00000000-0005-0000-0000-0000DE7B0000}"/>
    <cellStyle name="40% - Accent4 4 3 4 2 5" xfId="41324" xr:uid="{00000000-0005-0000-0000-0000DF7B0000}"/>
    <cellStyle name="40% - Accent4 4 3 4 2 6" xfId="12149" xr:uid="{00000000-0005-0000-0000-0000E07B0000}"/>
    <cellStyle name="40% - Accent4 4 3 4 3" xfId="4043" xr:uid="{00000000-0005-0000-0000-0000E17B0000}"/>
    <cellStyle name="40% - Accent4 4 3 4 3 2" xfId="8905" xr:uid="{00000000-0005-0000-0000-0000E27B0000}"/>
    <cellStyle name="40% - Accent4 4 3 4 3 2 2" xfId="28356" xr:uid="{00000000-0005-0000-0000-0000E37B0000}"/>
    <cellStyle name="40% - Accent4 4 3 4 3 2 3" xfId="38081" xr:uid="{00000000-0005-0000-0000-0000E47B0000}"/>
    <cellStyle name="40% - Accent4 4 3 4 3 2 4" xfId="47806" xr:uid="{00000000-0005-0000-0000-0000E57B0000}"/>
    <cellStyle name="40% - Accent4 4 3 4 3 2 5" xfId="18631" xr:uid="{00000000-0005-0000-0000-0000E67B0000}"/>
    <cellStyle name="40% - Accent4 4 3 4 3 3" xfId="23494" xr:uid="{00000000-0005-0000-0000-0000E77B0000}"/>
    <cellStyle name="40% - Accent4 4 3 4 3 4" xfId="33219" xr:uid="{00000000-0005-0000-0000-0000E87B0000}"/>
    <cellStyle name="40% - Accent4 4 3 4 3 5" xfId="42944" xr:uid="{00000000-0005-0000-0000-0000E97B0000}"/>
    <cellStyle name="40% - Accent4 4 3 4 3 6" xfId="13769" xr:uid="{00000000-0005-0000-0000-0000EA7B0000}"/>
    <cellStyle name="40% - Accent4 4 3 4 4" xfId="5665" xr:uid="{00000000-0005-0000-0000-0000EB7B0000}"/>
    <cellStyle name="40% - Accent4 4 3 4 4 2" xfId="25116" xr:uid="{00000000-0005-0000-0000-0000EC7B0000}"/>
    <cellStyle name="40% - Accent4 4 3 4 4 3" xfId="34841" xr:uid="{00000000-0005-0000-0000-0000ED7B0000}"/>
    <cellStyle name="40% - Accent4 4 3 4 4 4" xfId="44566" xr:uid="{00000000-0005-0000-0000-0000EE7B0000}"/>
    <cellStyle name="40% - Accent4 4 3 4 4 5" xfId="15391" xr:uid="{00000000-0005-0000-0000-0000EF7B0000}"/>
    <cellStyle name="40% - Accent4 4 3 4 5" xfId="20254" xr:uid="{00000000-0005-0000-0000-0000F07B0000}"/>
    <cellStyle name="40% - Accent4 4 3 4 6" xfId="29979" xr:uid="{00000000-0005-0000-0000-0000F17B0000}"/>
    <cellStyle name="40% - Accent4 4 3 4 7" xfId="39704" xr:uid="{00000000-0005-0000-0000-0000F27B0000}"/>
    <cellStyle name="40% - Accent4 4 3 4 8" xfId="10529" xr:uid="{00000000-0005-0000-0000-0000F37B0000}"/>
    <cellStyle name="40% - Accent4 4 3 5" xfId="2063" xr:uid="{00000000-0005-0000-0000-0000F47B0000}"/>
    <cellStyle name="40% - Accent4 4 3 5 2" xfId="6925" xr:uid="{00000000-0005-0000-0000-0000F57B0000}"/>
    <cellStyle name="40% - Accent4 4 3 5 2 2" xfId="26376" xr:uid="{00000000-0005-0000-0000-0000F67B0000}"/>
    <cellStyle name="40% - Accent4 4 3 5 2 3" xfId="36101" xr:uid="{00000000-0005-0000-0000-0000F77B0000}"/>
    <cellStyle name="40% - Accent4 4 3 5 2 4" xfId="45826" xr:uid="{00000000-0005-0000-0000-0000F87B0000}"/>
    <cellStyle name="40% - Accent4 4 3 5 2 5" xfId="16651" xr:uid="{00000000-0005-0000-0000-0000F97B0000}"/>
    <cellStyle name="40% - Accent4 4 3 5 3" xfId="21514" xr:uid="{00000000-0005-0000-0000-0000FA7B0000}"/>
    <cellStyle name="40% - Accent4 4 3 5 4" xfId="31239" xr:uid="{00000000-0005-0000-0000-0000FB7B0000}"/>
    <cellStyle name="40% - Accent4 4 3 5 5" xfId="40964" xr:uid="{00000000-0005-0000-0000-0000FC7B0000}"/>
    <cellStyle name="40% - Accent4 4 3 5 6" xfId="11789" xr:uid="{00000000-0005-0000-0000-0000FD7B0000}"/>
    <cellStyle name="40% - Accent4 4 3 6" xfId="3683" xr:uid="{00000000-0005-0000-0000-0000FE7B0000}"/>
    <cellStyle name="40% - Accent4 4 3 6 2" xfId="8545" xr:uid="{00000000-0005-0000-0000-0000FF7B0000}"/>
    <cellStyle name="40% - Accent4 4 3 6 2 2" xfId="27996" xr:uid="{00000000-0005-0000-0000-0000007C0000}"/>
    <cellStyle name="40% - Accent4 4 3 6 2 3" xfId="37721" xr:uid="{00000000-0005-0000-0000-0000017C0000}"/>
    <cellStyle name="40% - Accent4 4 3 6 2 4" xfId="47446" xr:uid="{00000000-0005-0000-0000-0000027C0000}"/>
    <cellStyle name="40% - Accent4 4 3 6 2 5" xfId="18271" xr:uid="{00000000-0005-0000-0000-0000037C0000}"/>
    <cellStyle name="40% - Accent4 4 3 6 3" xfId="23134" xr:uid="{00000000-0005-0000-0000-0000047C0000}"/>
    <cellStyle name="40% - Accent4 4 3 6 4" xfId="32859" xr:uid="{00000000-0005-0000-0000-0000057C0000}"/>
    <cellStyle name="40% - Accent4 4 3 6 5" xfId="42584" xr:uid="{00000000-0005-0000-0000-0000067C0000}"/>
    <cellStyle name="40% - Accent4 4 3 6 6" xfId="13409" xr:uid="{00000000-0005-0000-0000-0000077C0000}"/>
    <cellStyle name="40% - Accent4 4 3 7" xfId="5305" xr:uid="{00000000-0005-0000-0000-0000087C0000}"/>
    <cellStyle name="40% - Accent4 4 3 7 2" xfId="24756" xr:uid="{00000000-0005-0000-0000-0000097C0000}"/>
    <cellStyle name="40% - Accent4 4 3 7 3" xfId="34481" xr:uid="{00000000-0005-0000-0000-00000A7C0000}"/>
    <cellStyle name="40% - Accent4 4 3 7 4" xfId="44206" xr:uid="{00000000-0005-0000-0000-00000B7C0000}"/>
    <cellStyle name="40% - Accent4 4 3 7 5" xfId="15031" xr:uid="{00000000-0005-0000-0000-00000C7C0000}"/>
    <cellStyle name="40% - Accent4 4 3 8" xfId="19894" xr:uid="{00000000-0005-0000-0000-00000D7C0000}"/>
    <cellStyle name="40% - Accent4 4 3 9" xfId="29619" xr:uid="{00000000-0005-0000-0000-00000E7C0000}"/>
    <cellStyle name="40% - Accent4 4 4" xfId="200" xr:uid="{00000000-0005-0000-0000-00000F7C0000}"/>
    <cellStyle name="40% - Accent4 4 4 10" xfId="39164" xr:uid="{00000000-0005-0000-0000-0000107C0000}"/>
    <cellStyle name="40% - Accent4 4 4 11" xfId="9989" xr:uid="{00000000-0005-0000-0000-0000117C0000}"/>
    <cellStyle name="40% - Accent4 4 4 2" xfId="964" xr:uid="{00000000-0005-0000-0000-0000127C0000}"/>
    <cellStyle name="40% - Accent4 4 4 2 2" xfId="2603" xr:uid="{00000000-0005-0000-0000-0000137C0000}"/>
    <cellStyle name="40% - Accent4 4 4 2 2 2" xfId="7465" xr:uid="{00000000-0005-0000-0000-0000147C0000}"/>
    <cellStyle name="40% - Accent4 4 4 2 2 2 2" xfId="26916" xr:uid="{00000000-0005-0000-0000-0000157C0000}"/>
    <cellStyle name="40% - Accent4 4 4 2 2 2 3" xfId="36641" xr:uid="{00000000-0005-0000-0000-0000167C0000}"/>
    <cellStyle name="40% - Accent4 4 4 2 2 2 4" xfId="46366" xr:uid="{00000000-0005-0000-0000-0000177C0000}"/>
    <cellStyle name="40% - Accent4 4 4 2 2 2 5" xfId="17191" xr:uid="{00000000-0005-0000-0000-0000187C0000}"/>
    <cellStyle name="40% - Accent4 4 4 2 2 3" xfId="22054" xr:uid="{00000000-0005-0000-0000-0000197C0000}"/>
    <cellStyle name="40% - Accent4 4 4 2 2 4" xfId="31779" xr:uid="{00000000-0005-0000-0000-00001A7C0000}"/>
    <cellStyle name="40% - Accent4 4 4 2 2 5" xfId="41504" xr:uid="{00000000-0005-0000-0000-00001B7C0000}"/>
    <cellStyle name="40% - Accent4 4 4 2 2 6" xfId="12329" xr:uid="{00000000-0005-0000-0000-00001C7C0000}"/>
    <cellStyle name="40% - Accent4 4 4 2 3" xfId="4223" xr:uid="{00000000-0005-0000-0000-00001D7C0000}"/>
    <cellStyle name="40% - Accent4 4 4 2 3 2" xfId="9085" xr:uid="{00000000-0005-0000-0000-00001E7C0000}"/>
    <cellStyle name="40% - Accent4 4 4 2 3 2 2" xfId="28536" xr:uid="{00000000-0005-0000-0000-00001F7C0000}"/>
    <cellStyle name="40% - Accent4 4 4 2 3 2 3" xfId="38261" xr:uid="{00000000-0005-0000-0000-0000207C0000}"/>
    <cellStyle name="40% - Accent4 4 4 2 3 2 4" xfId="47986" xr:uid="{00000000-0005-0000-0000-0000217C0000}"/>
    <cellStyle name="40% - Accent4 4 4 2 3 2 5" xfId="18811" xr:uid="{00000000-0005-0000-0000-0000227C0000}"/>
    <cellStyle name="40% - Accent4 4 4 2 3 3" xfId="23674" xr:uid="{00000000-0005-0000-0000-0000237C0000}"/>
    <cellStyle name="40% - Accent4 4 4 2 3 4" xfId="33399" xr:uid="{00000000-0005-0000-0000-0000247C0000}"/>
    <cellStyle name="40% - Accent4 4 4 2 3 5" xfId="43124" xr:uid="{00000000-0005-0000-0000-0000257C0000}"/>
    <cellStyle name="40% - Accent4 4 4 2 3 6" xfId="13949" xr:uid="{00000000-0005-0000-0000-0000267C0000}"/>
    <cellStyle name="40% - Accent4 4 4 2 4" xfId="5845" xr:uid="{00000000-0005-0000-0000-0000277C0000}"/>
    <cellStyle name="40% - Accent4 4 4 2 4 2" xfId="25296" xr:uid="{00000000-0005-0000-0000-0000287C0000}"/>
    <cellStyle name="40% - Accent4 4 4 2 4 3" xfId="35021" xr:uid="{00000000-0005-0000-0000-0000297C0000}"/>
    <cellStyle name="40% - Accent4 4 4 2 4 4" xfId="44746" xr:uid="{00000000-0005-0000-0000-00002A7C0000}"/>
    <cellStyle name="40% - Accent4 4 4 2 4 5" xfId="15571" xr:uid="{00000000-0005-0000-0000-00002B7C0000}"/>
    <cellStyle name="40% - Accent4 4 4 2 5" xfId="20434" xr:uid="{00000000-0005-0000-0000-00002C7C0000}"/>
    <cellStyle name="40% - Accent4 4 4 2 6" xfId="30159" xr:uid="{00000000-0005-0000-0000-00002D7C0000}"/>
    <cellStyle name="40% - Accent4 4 4 2 7" xfId="39884" xr:uid="{00000000-0005-0000-0000-00002E7C0000}"/>
    <cellStyle name="40% - Accent4 4 4 2 8" xfId="10709" xr:uid="{00000000-0005-0000-0000-00002F7C0000}"/>
    <cellStyle name="40% - Accent4 4 4 3" xfId="1432" xr:uid="{00000000-0005-0000-0000-0000307C0000}"/>
    <cellStyle name="40% - Accent4 4 4 3 2" xfId="3053" xr:uid="{00000000-0005-0000-0000-0000317C0000}"/>
    <cellStyle name="40% - Accent4 4 4 3 2 2" xfId="7915" xr:uid="{00000000-0005-0000-0000-0000327C0000}"/>
    <cellStyle name="40% - Accent4 4 4 3 2 2 2" xfId="27366" xr:uid="{00000000-0005-0000-0000-0000337C0000}"/>
    <cellStyle name="40% - Accent4 4 4 3 2 2 3" xfId="37091" xr:uid="{00000000-0005-0000-0000-0000347C0000}"/>
    <cellStyle name="40% - Accent4 4 4 3 2 2 4" xfId="46816" xr:uid="{00000000-0005-0000-0000-0000357C0000}"/>
    <cellStyle name="40% - Accent4 4 4 3 2 2 5" xfId="17641" xr:uid="{00000000-0005-0000-0000-0000367C0000}"/>
    <cellStyle name="40% - Accent4 4 4 3 2 3" xfId="22504" xr:uid="{00000000-0005-0000-0000-0000377C0000}"/>
    <cellStyle name="40% - Accent4 4 4 3 2 4" xfId="32229" xr:uid="{00000000-0005-0000-0000-0000387C0000}"/>
    <cellStyle name="40% - Accent4 4 4 3 2 5" xfId="41954" xr:uid="{00000000-0005-0000-0000-0000397C0000}"/>
    <cellStyle name="40% - Accent4 4 4 3 2 6" xfId="12779" xr:uid="{00000000-0005-0000-0000-00003A7C0000}"/>
    <cellStyle name="40% - Accent4 4 4 3 3" xfId="4673" xr:uid="{00000000-0005-0000-0000-00003B7C0000}"/>
    <cellStyle name="40% - Accent4 4 4 3 3 2" xfId="9535" xr:uid="{00000000-0005-0000-0000-00003C7C0000}"/>
    <cellStyle name="40% - Accent4 4 4 3 3 2 2" xfId="28986" xr:uid="{00000000-0005-0000-0000-00003D7C0000}"/>
    <cellStyle name="40% - Accent4 4 4 3 3 2 3" xfId="38711" xr:uid="{00000000-0005-0000-0000-00003E7C0000}"/>
    <cellStyle name="40% - Accent4 4 4 3 3 2 4" xfId="48436" xr:uid="{00000000-0005-0000-0000-00003F7C0000}"/>
    <cellStyle name="40% - Accent4 4 4 3 3 2 5" xfId="19261" xr:uid="{00000000-0005-0000-0000-0000407C0000}"/>
    <cellStyle name="40% - Accent4 4 4 3 3 3" xfId="24124" xr:uid="{00000000-0005-0000-0000-0000417C0000}"/>
    <cellStyle name="40% - Accent4 4 4 3 3 4" xfId="33849" xr:uid="{00000000-0005-0000-0000-0000427C0000}"/>
    <cellStyle name="40% - Accent4 4 4 3 3 5" xfId="43574" xr:uid="{00000000-0005-0000-0000-0000437C0000}"/>
    <cellStyle name="40% - Accent4 4 4 3 3 6" xfId="14399" xr:uid="{00000000-0005-0000-0000-0000447C0000}"/>
    <cellStyle name="40% - Accent4 4 4 3 4" xfId="6295" xr:uid="{00000000-0005-0000-0000-0000457C0000}"/>
    <cellStyle name="40% - Accent4 4 4 3 4 2" xfId="25746" xr:uid="{00000000-0005-0000-0000-0000467C0000}"/>
    <cellStyle name="40% - Accent4 4 4 3 4 3" xfId="35471" xr:uid="{00000000-0005-0000-0000-0000477C0000}"/>
    <cellStyle name="40% - Accent4 4 4 3 4 4" xfId="45196" xr:uid="{00000000-0005-0000-0000-0000487C0000}"/>
    <cellStyle name="40% - Accent4 4 4 3 4 5" xfId="16021" xr:uid="{00000000-0005-0000-0000-0000497C0000}"/>
    <cellStyle name="40% - Accent4 4 4 3 5" xfId="20884" xr:uid="{00000000-0005-0000-0000-00004A7C0000}"/>
    <cellStyle name="40% - Accent4 4 4 3 6" xfId="30609" xr:uid="{00000000-0005-0000-0000-00004B7C0000}"/>
    <cellStyle name="40% - Accent4 4 4 3 7" xfId="40334" xr:uid="{00000000-0005-0000-0000-00004C7C0000}"/>
    <cellStyle name="40% - Accent4 4 4 3 8" xfId="11159" xr:uid="{00000000-0005-0000-0000-00004D7C0000}"/>
    <cellStyle name="40% - Accent4 4 4 4" xfId="603" xr:uid="{00000000-0005-0000-0000-00004E7C0000}"/>
    <cellStyle name="40% - Accent4 4 4 4 2" xfId="2243" xr:uid="{00000000-0005-0000-0000-00004F7C0000}"/>
    <cellStyle name="40% - Accent4 4 4 4 2 2" xfId="7105" xr:uid="{00000000-0005-0000-0000-0000507C0000}"/>
    <cellStyle name="40% - Accent4 4 4 4 2 2 2" xfId="26556" xr:uid="{00000000-0005-0000-0000-0000517C0000}"/>
    <cellStyle name="40% - Accent4 4 4 4 2 2 3" xfId="36281" xr:uid="{00000000-0005-0000-0000-0000527C0000}"/>
    <cellStyle name="40% - Accent4 4 4 4 2 2 4" xfId="46006" xr:uid="{00000000-0005-0000-0000-0000537C0000}"/>
    <cellStyle name="40% - Accent4 4 4 4 2 2 5" xfId="16831" xr:uid="{00000000-0005-0000-0000-0000547C0000}"/>
    <cellStyle name="40% - Accent4 4 4 4 2 3" xfId="21694" xr:uid="{00000000-0005-0000-0000-0000557C0000}"/>
    <cellStyle name="40% - Accent4 4 4 4 2 4" xfId="31419" xr:uid="{00000000-0005-0000-0000-0000567C0000}"/>
    <cellStyle name="40% - Accent4 4 4 4 2 5" xfId="41144" xr:uid="{00000000-0005-0000-0000-0000577C0000}"/>
    <cellStyle name="40% - Accent4 4 4 4 2 6" xfId="11969" xr:uid="{00000000-0005-0000-0000-0000587C0000}"/>
    <cellStyle name="40% - Accent4 4 4 4 3" xfId="3863" xr:uid="{00000000-0005-0000-0000-0000597C0000}"/>
    <cellStyle name="40% - Accent4 4 4 4 3 2" xfId="8725" xr:uid="{00000000-0005-0000-0000-00005A7C0000}"/>
    <cellStyle name="40% - Accent4 4 4 4 3 2 2" xfId="28176" xr:uid="{00000000-0005-0000-0000-00005B7C0000}"/>
    <cellStyle name="40% - Accent4 4 4 4 3 2 3" xfId="37901" xr:uid="{00000000-0005-0000-0000-00005C7C0000}"/>
    <cellStyle name="40% - Accent4 4 4 4 3 2 4" xfId="47626" xr:uid="{00000000-0005-0000-0000-00005D7C0000}"/>
    <cellStyle name="40% - Accent4 4 4 4 3 2 5" xfId="18451" xr:uid="{00000000-0005-0000-0000-00005E7C0000}"/>
    <cellStyle name="40% - Accent4 4 4 4 3 3" xfId="23314" xr:uid="{00000000-0005-0000-0000-00005F7C0000}"/>
    <cellStyle name="40% - Accent4 4 4 4 3 4" xfId="33039" xr:uid="{00000000-0005-0000-0000-0000607C0000}"/>
    <cellStyle name="40% - Accent4 4 4 4 3 5" xfId="42764" xr:uid="{00000000-0005-0000-0000-0000617C0000}"/>
    <cellStyle name="40% - Accent4 4 4 4 3 6" xfId="13589" xr:uid="{00000000-0005-0000-0000-0000627C0000}"/>
    <cellStyle name="40% - Accent4 4 4 4 4" xfId="5485" xr:uid="{00000000-0005-0000-0000-0000637C0000}"/>
    <cellStyle name="40% - Accent4 4 4 4 4 2" xfId="24936" xr:uid="{00000000-0005-0000-0000-0000647C0000}"/>
    <cellStyle name="40% - Accent4 4 4 4 4 3" xfId="34661" xr:uid="{00000000-0005-0000-0000-0000657C0000}"/>
    <cellStyle name="40% - Accent4 4 4 4 4 4" xfId="44386" xr:uid="{00000000-0005-0000-0000-0000667C0000}"/>
    <cellStyle name="40% - Accent4 4 4 4 4 5" xfId="15211" xr:uid="{00000000-0005-0000-0000-0000677C0000}"/>
    <cellStyle name="40% - Accent4 4 4 4 5" xfId="20074" xr:uid="{00000000-0005-0000-0000-0000687C0000}"/>
    <cellStyle name="40% - Accent4 4 4 4 6" xfId="29799" xr:uid="{00000000-0005-0000-0000-0000697C0000}"/>
    <cellStyle name="40% - Accent4 4 4 4 7" xfId="39524" xr:uid="{00000000-0005-0000-0000-00006A7C0000}"/>
    <cellStyle name="40% - Accent4 4 4 4 8" xfId="10349" xr:uid="{00000000-0005-0000-0000-00006B7C0000}"/>
    <cellStyle name="40% - Accent4 4 4 5" xfId="1883" xr:uid="{00000000-0005-0000-0000-00006C7C0000}"/>
    <cellStyle name="40% - Accent4 4 4 5 2" xfId="6745" xr:uid="{00000000-0005-0000-0000-00006D7C0000}"/>
    <cellStyle name="40% - Accent4 4 4 5 2 2" xfId="26196" xr:uid="{00000000-0005-0000-0000-00006E7C0000}"/>
    <cellStyle name="40% - Accent4 4 4 5 2 3" xfId="35921" xr:uid="{00000000-0005-0000-0000-00006F7C0000}"/>
    <cellStyle name="40% - Accent4 4 4 5 2 4" xfId="45646" xr:uid="{00000000-0005-0000-0000-0000707C0000}"/>
    <cellStyle name="40% - Accent4 4 4 5 2 5" xfId="16471" xr:uid="{00000000-0005-0000-0000-0000717C0000}"/>
    <cellStyle name="40% - Accent4 4 4 5 3" xfId="21334" xr:uid="{00000000-0005-0000-0000-0000727C0000}"/>
    <cellStyle name="40% - Accent4 4 4 5 4" xfId="31059" xr:uid="{00000000-0005-0000-0000-0000737C0000}"/>
    <cellStyle name="40% - Accent4 4 4 5 5" xfId="40784" xr:uid="{00000000-0005-0000-0000-0000747C0000}"/>
    <cellStyle name="40% - Accent4 4 4 5 6" xfId="11609" xr:uid="{00000000-0005-0000-0000-0000757C0000}"/>
    <cellStyle name="40% - Accent4 4 4 6" xfId="3503" xr:uid="{00000000-0005-0000-0000-0000767C0000}"/>
    <cellStyle name="40% - Accent4 4 4 6 2" xfId="8365" xr:uid="{00000000-0005-0000-0000-0000777C0000}"/>
    <cellStyle name="40% - Accent4 4 4 6 2 2" xfId="27816" xr:uid="{00000000-0005-0000-0000-0000787C0000}"/>
    <cellStyle name="40% - Accent4 4 4 6 2 3" xfId="37541" xr:uid="{00000000-0005-0000-0000-0000797C0000}"/>
    <cellStyle name="40% - Accent4 4 4 6 2 4" xfId="47266" xr:uid="{00000000-0005-0000-0000-00007A7C0000}"/>
    <cellStyle name="40% - Accent4 4 4 6 2 5" xfId="18091" xr:uid="{00000000-0005-0000-0000-00007B7C0000}"/>
    <cellStyle name="40% - Accent4 4 4 6 3" xfId="22954" xr:uid="{00000000-0005-0000-0000-00007C7C0000}"/>
    <cellStyle name="40% - Accent4 4 4 6 4" xfId="32679" xr:uid="{00000000-0005-0000-0000-00007D7C0000}"/>
    <cellStyle name="40% - Accent4 4 4 6 5" xfId="42404" xr:uid="{00000000-0005-0000-0000-00007E7C0000}"/>
    <cellStyle name="40% - Accent4 4 4 6 6" xfId="13229" xr:uid="{00000000-0005-0000-0000-00007F7C0000}"/>
    <cellStyle name="40% - Accent4 4 4 7" xfId="5125" xr:uid="{00000000-0005-0000-0000-0000807C0000}"/>
    <cellStyle name="40% - Accent4 4 4 7 2" xfId="24576" xr:uid="{00000000-0005-0000-0000-0000817C0000}"/>
    <cellStyle name="40% - Accent4 4 4 7 3" xfId="34301" xr:uid="{00000000-0005-0000-0000-0000827C0000}"/>
    <cellStyle name="40% - Accent4 4 4 7 4" xfId="44026" xr:uid="{00000000-0005-0000-0000-0000837C0000}"/>
    <cellStyle name="40% - Accent4 4 4 7 5" xfId="14851" xr:uid="{00000000-0005-0000-0000-0000847C0000}"/>
    <cellStyle name="40% - Accent4 4 4 8" xfId="19714" xr:uid="{00000000-0005-0000-0000-0000857C0000}"/>
    <cellStyle name="40% - Accent4 4 4 9" xfId="29439" xr:uid="{00000000-0005-0000-0000-0000867C0000}"/>
    <cellStyle name="40% - Accent4 4 5" xfId="874" xr:uid="{00000000-0005-0000-0000-0000877C0000}"/>
    <cellStyle name="40% - Accent4 4 5 2" xfId="2513" xr:uid="{00000000-0005-0000-0000-0000887C0000}"/>
    <cellStyle name="40% - Accent4 4 5 2 2" xfId="7375" xr:uid="{00000000-0005-0000-0000-0000897C0000}"/>
    <cellStyle name="40% - Accent4 4 5 2 2 2" xfId="26826" xr:uid="{00000000-0005-0000-0000-00008A7C0000}"/>
    <cellStyle name="40% - Accent4 4 5 2 2 3" xfId="36551" xr:uid="{00000000-0005-0000-0000-00008B7C0000}"/>
    <cellStyle name="40% - Accent4 4 5 2 2 4" xfId="46276" xr:uid="{00000000-0005-0000-0000-00008C7C0000}"/>
    <cellStyle name="40% - Accent4 4 5 2 2 5" xfId="17101" xr:uid="{00000000-0005-0000-0000-00008D7C0000}"/>
    <cellStyle name="40% - Accent4 4 5 2 3" xfId="21964" xr:uid="{00000000-0005-0000-0000-00008E7C0000}"/>
    <cellStyle name="40% - Accent4 4 5 2 4" xfId="31689" xr:uid="{00000000-0005-0000-0000-00008F7C0000}"/>
    <cellStyle name="40% - Accent4 4 5 2 5" xfId="41414" xr:uid="{00000000-0005-0000-0000-0000907C0000}"/>
    <cellStyle name="40% - Accent4 4 5 2 6" xfId="12239" xr:uid="{00000000-0005-0000-0000-0000917C0000}"/>
    <cellStyle name="40% - Accent4 4 5 3" xfId="4133" xr:uid="{00000000-0005-0000-0000-0000927C0000}"/>
    <cellStyle name="40% - Accent4 4 5 3 2" xfId="8995" xr:uid="{00000000-0005-0000-0000-0000937C0000}"/>
    <cellStyle name="40% - Accent4 4 5 3 2 2" xfId="28446" xr:uid="{00000000-0005-0000-0000-0000947C0000}"/>
    <cellStyle name="40% - Accent4 4 5 3 2 3" xfId="38171" xr:uid="{00000000-0005-0000-0000-0000957C0000}"/>
    <cellStyle name="40% - Accent4 4 5 3 2 4" xfId="47896" xr:uid="{00000000-0005-0000-0000-0000967C0000}"/>
    <cellStyle name="40% - Accent4 4 5 3 2 5" xfId="18721" xr:uid="{00000000-0005-0000-0000-0000977C0000}"/>
    <cellStyle name="40% - Accent4 4 5 3 3" xfId="23584" xr:uid="{00000000-0005-0000-0000-0000987C0000}"/>
    <cellStyle name="40% - Accent4 4 5 3 4" xfId="33309" xr:uid="{00000000-0005-0000-0000-0000997C0000}"/>
    <cellStyle name="40% - Accent4 4 5 3 5" xfId="43034" xr:uid="{00000000-0005-0000-0000-00009A7C0000}"/>
    <cellStyle name="40% - Accent4 4 5 3 6" xfId="13859" xr:uid="{00000000-0005-0000-0000-00009B7C0000}"/>
    <cellStyle name="40% - Accent4 4 5 4" xfId="5755" xr:uid="{00000000-0005-0000-0000-00009C7C0000}"/>
    <cellStyle name="40% - Accent4 4 5 4 2" xfId="25206" xr:uid="{00000000-0005-0000-0000-00009D7C0000}"/>
    <cellStyle name="40% - Accent4 4 5 4 3" xfId="34931" xr:uid="{00000000-0005-0000-0000-00009E7C0000}"/>
    <cellStyle name="40% - Accent4 4 5 4 4" xfId="44656" xr:uid="{00000000-0005-0000-0000-00009F7C0000}"/>
    <cellStyle name="40% - Accent4 4 5 4 5" xfId="15481" xr:uid="{00000000-0005-0000-0000-0000A07C0000}"/>
    <cellStyle name="40% - Accent4 4 5 5" xfId="20344" xr:uid="{00000000-0005-0000-0000-0000A17C0000}"/>
    <cellStyle name="40% - Accent4 4 5 6" xfId="30069" xr:uid="{00000000-0005-0000-0000-0000A27C0000}"/>
    <cellStyle name="40% - Accent4 4 5 7" xfId="39794" xr:uid="{00000000-0005-0000-0000-0000A37C0000}"/>
    <cellStyle name="40% - Accent4 4 5 8" xfId="10619" xr:uid="{00000000-0005-0000-0000-0000A47C0000}"/>
    <cellStyle name="40% - Accent4 4 6" xfId="1252" xr:uid="{00000000-0005-0000-0000-0000A57C0000}"/>
    <cellStyle name="40% - Accent4 4 6 2" xfId="2873" xr:uid="{00000000-0005-0000-0000-0000A67C0000}"/>
    <cellStyle name="40% - Accent4 4 6 2 2" xfId="7735" xr:uid="{00000000-0005-0000-0000-0000A77C0000}"/>
    <cellStyle name="40% - Accent4 4 6 2 2 2" xfId="27186" xr:uid="{00000000-0005-0000-0000-0000A87C0000}"/>
    <cellStyle name="40% - Accent4 4 6 2 2 3" xfId="36911" xr:uid="{00000000-0005-0000-0000-0000A97C0000}"/>
    <cellStyle name="40% - Accent4 4 6 2 2 4" xfId="46636" xr:uid="{00000000-0005-0000-0000-0000AA7C0000}"/>
    <cellStyle name="40% - Accent4 4 6 2 2 5" xfId="17461" xr:uid="{00000000-0005-0000-0000-0000AB7C0000}"/>
    <cellStyle name="40% - Accent4 4 6 2 3" xfId="22324" xr:uid="{00000000-0005-0000-0000-0000AC7C0000}"/>
    <cellStyle name="40% - Accent4 4 6 2 4" xfId="32049" xr:uid="{00000000-0005-0000-0000-0000AD7C0000}"/>
    <cellStyle name="40% - Accent4 4 6 2 5" xfId="41774" xr:uid="{00000000-0005-0000-0000-0000AE7C0000}"/>
    <cellStyle name="40% - Accent4 4 6 2 6" xfId="12599" xr:uid="{00000000-0005-0000-0000-0000AF7C0000}"/>
    <cellStyle name="40% - Accent4 4 6 3" xfId="4493" xr:uid="{00000000-0005-0000-0000-0000B07C0000}"/>
    <cellStyle name="40% - Accent4 4 6 3 2" xfId="9355" xr:uid="{00000000-0005-0000-0000-0000B17C0000}"/>
    <cellStyle name="40% - Accent4 4 6 3 2 2" xfId="28806" xr:uid="{00000000-0005-0000-0000-0000B27C0000}"/>
    <cellStyle name="40% - Accent4 4 6 3 2 3" xfId="38531" xr:uid="{00000000-0005-0000-0000-0000B37C0000}"/>
    <cellStyle name="40% - Accent4 4 6 3 2 4" xfId="48256" xr:uid="{00000000-0005-0000-0000-0000B47C0000}"/>
    <cellStyle name="40% - Accent4 4 6 3 2 5" xfId="19081" xr:uid="{00000000-0005-0000-0000-0000B57C0000}"/>
    <cellStyle name="40% - Accent4 4 6 3 3" xfId="23944" xr:uid="{00000000-0005-0000-0000-0000B67C0000}"/>
    <cellStyle name="40% - Accent4 4 6 3 4" xfId="33669" xr:uid="{00000000-0005-0000-0000-0000B77C0000}"/>
    <cellStyle name="40% - Accent4 4 6 3 5" xfId="43394" xr:uid="{00000000-0005-0000-0000-0000B87C0000}"/>
    <cellStyle name="40% - Accent4 4 6 3 6" xfId="14219" xr:uid="{00000000-0005-0000-0000-0000B97C0000}"/>
    <cellStyle name="40% - Accent4 4 6 4" xfId="6115" xr:uid="{00000000-0005-0000-0000-0000BA7C0000}"/>
    <cellStyle name="40% - Accent4 4 6 4 2" xfId="25566" xr:uid="{00000000-0005-0000-0000-0000BB7C0000}"/>
    <cellStyle name="40% - Accent4 4 6 4 3" xfId="35291" xr:uid="{00000000-0005-0000-0000-0000BC7C0000}"/>
    <cellStyle name="40% - Accent4 4 6 4 4" xfId="45016" xr:uid="{00000000-0005-0000-0000-0000BD7C0000}"/>
    <cellStyle name="40% - Accent4 4 6 4 5" xfId="15841" xr:uid="{00000000-0005-0000-0000-0000BE7C0000}"/>
    <cellStyle name="40% - Accent4 4 6 5" xfId="20704" xr:uid="{00000000-0005-0000-0000-0000BF7C0000}"/>
    <cellStyle name="40% - Accent4 4 6 6" xfId="30429" xr:uid="{00000000-0005-0000-0000-0000C07C0000}"/>
    <cellStyle name="40% - Accent4 4 6 7" xfId="40154" xr:uid="{00000000-0005-0000-0000-0000C17C0000}"/>
    <cellStyle name="40% - Accent4 4 6 8" xfId="10979" xr:uid="{00000000-0005-0000-0000-0000C27C0000}"/>
    <cellStyle name="40% - Accent4 4 7" xfId="1342" xr:uid="{00000000-0005-0000-0000-0000C37C0000}"/>
    <cellStyle name="40% - Accent4 4 7 2" xfId="2963" xr:uid="{00000000-0005-0000-0000-0000C47C0000}"/>
    <cellStyle name="40% - Accent4 4 7 2 2" xfId="7825" xr:uid="{00000000-0005-0000-0000-0000C57C0000}"/>
    <cellStyle name="40% - Accent4 4 7 2 2 2" xfId="27276" xr:uid="{00000000-0005-0000-0000-0000C67C0000}"/>
    <cellStyle name="40% - Accent4 4 7 2 2 3" xfId="37001" xr:uid="{00000000-0005-0000-0000-0000C77C0000}"/>
    <cellStyle name="40% - Accent4 4 7 2 2 4" xfId="46726" xr:uid="{00000000-0005-0000-0000-0000C87C0000}"/>
    <cellStyle name="40% - Accent4 4 7 2 2 5" xfId="17551" xr:uid="{00000000-0005-0000-0000-0000C97C0000}"/>
    <cellStyle name="40% - Accent4 4 7 2 3" xfId="22414" xr:uid="{00000000-0005-0000-0000-0000CA7C0000}"/>
    <cellStyle name="40% - Accent4 4 7 2 4" xfId="32139" xr:uid="{00000000-0005-0000-0000-0000CB7C0000}"/>
    <cellStyle name="40% - Accent4 4 7 2 5" xfId="41864" xr:uid="{00000000-0005-0000-0000-0000CC7C0000}"/>
    <cellStyle name="40% - Accent4 4 7 2 6" xfId="12689" xr:uid="{00000000-0005-0000-0000-0000CD7C0000}"/>
    <cellStyle name="40% - Accent4 4 7 3" xfId="4583" xr:uid="{00000000-0005-0000-0000-0000CE7C0000}"/>
    <cellStyle name="40% - Accent4 4 7 3 2" xfId="9445" xr:uid="{00000000-0005-0000-0000-0000CF7C0000}"/>
    <cellStyle name="40% - Accent4 4 7 3 2 2" xfId="28896" xr:uid="{00000000-0005-0000-0000-0000D07C0000}"/>
    <cellStyle name="40% - Accent4 4 7 3 2 3" xfId="38621" xr:uid="{00000000-0005-0000-0000-0000D17C0000}"/>
    <cellStyle name="40% - Accent4 4 7 3 2 4" xfId="48346" xr:uid="{00000000-0005-0000-0000-0000D27C0000}"/>
    <cellStyle name="40% - Accent4 4 7 3 2 5" xfId="19171" xr:uid="{00000000-0005-0000-0000-0000D37C0000}"/>
    <cellStyle name="40% - Accent4 4 7 3 3" xfId="24034" xr:uid="{00000000-0005-0000-0000-0000D47C0000}"/>
    <cellStyle name="40% - Accent4 4 7 3 4" xfId="33759" xr:uid="{00000000-0005-0000-0000-0000D57C0000}"/>
    <cellStyle name="40% - Accent4 4 7 3 5" xfId="43484" xr:uid="{00000000-0005-0000-0000-0000D67C0000}"/>
    <cellStyle name="40% - Accent4 4 7 3 6" xfId="14309" xr:uid="{00000000-0005-0000-0000-0000D77C0000}"/>
    <cellStyle name="40% - Accent4 4 7 4" xfId="6205" xr:uid="{00000000-0005-0000-0000-0000D87C0000}"/>
    <cellStyle name="40% - Accent4 4 7 4 2" xfId="25656" xr:uid="{00000000-0005-0000-0000-0000D97C0000}"/>
    <cellStyle name="40% - Accent4 4 7 4 3" xfId="35381" xr:uid="{00000000-0005-0000-0000-0000DA7C0000}"/>
    <cellStyle name="40% - Accent4 4 7 4 4" xfId="45106" xr:uid="{00000000-0005-0000-0000-0000DB7C0000}"/>
    <cellStyle name="40% - Accent4 4 7 4 5" xfId="15931" xr:uid="{00000000-0005-0000-0000-0000DC7C0000}"/>
    <cellStyle name="40% - Accent4 4 7 5" xfId="20794" xr:uid="{00000000-0005-0000-0000-0000DD7C0000}"/>
    <cellStyle name="40% - Accent4 4 7 6" xfId="30519" xr:uid="{00000000-0005-0000-0000-0000DE7C0000}"/>
    <cellStyle name="40% - Accent4 4 7 7" xfId="40244" xr:uid="{00000000-0005-0000-0000-0000DF7C0000}"/>
    <cellStyle name="40% - Accent4 4 7 8" xfId="11069" xr:uid="{00000000-0005-0000-0000-0000E07C0000}"/>
    <cellStyle name="40% - Accent4 4 8" xfId="513" xr:uid="{00000000-0005-0000-0000-0000E17C0000}"/>
    <cellStyle name="40% - Accent4 4 8 2" xfId="2153" xr:uid="{00000000-0005-0000-0000-0000E27C0000}"/>
    <cellStyle name="40% - Accent4 4 8 2 2" xfId="7015" xr:uid="{00000000-0005-0000-0000-0000E37C0000}"/>
    <cellStyle name="40% - Accent4 4 8 2 2 2" xfId="26466" xr:uid="{00000000-0005-0000-0000-0000E47C0000}"/>
    <cellStyle name="40% - Accent4 4 8 2 2 3" xfId="36191" xr:uid="{00000000-0005-0000-0000-0000E57C0000}"/>
    <cellStyle name="40% - Accent4 4 8 2 2 4" xfId="45916" xr:uid="{00000000-0005-0000-0000-0000E67C0000}"/>
    <cellStyle name="40% - Accent4 4 8 2 2 5" xfId="16741" xr:uid="{00000000-0005-0000-0000-0000E77C0000}"/>
    <cellStyle name="40% - Accent4 4 8 2 3" xfId="21604" xr:uid="{00000000-0005-0000-0000-0000E87C0000}"/>
    <cellStyle name="40% - Accent4 4 8 2 4" xfId="31329" xr:uid="{00000000-0005-0000-0000-0000E97C0000}"/>
    <cellStyle name="40% - Accent4 4 8 2 5" xfId="41054" xr:uid="{00000000-0005-0000-0000-0000EA7C0000}"/>
    <cellStyle name="40% - Accent4 4 8 2 6" xfId="11879" xr:uid="{00000000-0005-0000-0000-0000EB7C0000}"/>
    <cellStyle name="40% - Accent4 4 8 3" xfId="3773" xr:uid="{00000000-0005-0000-0000-0000EC7C0000}"/>
    <cellStyle name="40% - Accent4 4 8 3 2" xfId="8635" xr:uid="{00000000-0005-0000-0000-0000ED7C0000}"/>
    <cellStyle name="40% - Accent4 4 8 3 2 2" xfId="28086" xr:uid="{00000000-0005-0000-0000-0000EE7C0000}"/>
    <cellStyle name="40% - Accent4 4 8 3 2 3" xfId="37811" xr:uid="{00000000-0005-0000-0000-0000EF7C0000}"/>
    <cellStyle name="40% - Accent4 4 8 3 2 4" xfId="47536" xr:uid="{00000000-0005-0000-0000-0000F07C0000}"/>
    <cellStyle name="40% - Accent4 4 8 3 2 5" xfId="18361" xr:uid="{00000000-0005-0000-0000-0000F17C0000}"/>
    <cellStyle name="40% - Accent4 4 8 3 3" xfId="23224" xr:uid="{00000000-0005-0000-0000-0000F27C0000}"/>
    <cellStyle name="40% - Accent4 4 8 3 4" xfId="32949" xr:uid="{00000000-0005-0000-0000-0000F37C0000}"/>
    <cellStyle name="40% - Accent4 4 8 3 5" xfId="42674" xr:uid="{00000000-0005-0000-0000-0000F47C0000}"/>
    <cellStyle name="40% - Accent4 4 8 3 6" xfId="13499" xr:uid="{00000000-0005-0000-0000-0000F57C0000}"/>
    <cellStyle name="40% - Accent4 4 8 4" xfId="5395" xr:uid="{00000000-0005-0000-0000-0000F67C0000}"/>
    <cellStyle name="40% - Accent4 4 8 4 2" xfId="24846" xr:uid="{00000000-0005-0000-0000-0000F77C0000}"/>
    <cellStyle name="40% - Accent4 4 8 4 3" xfId="34571" xr:uid="{00000000-0005-0000-0000-0000F87C0000}"/>
    <cellStyle name="40% - Accent4 4 8 4 4" xfId="44296" xr:uid="{00000000-0005-0000-0000-0000F97C0000}"/>
    <cellStyle name="40% - Accent4 4 8 4 5" xfId="15121" xr:uid="{00000000-0005-0000-0000-0000FA7C0000}"/>
    <cellStyle name="40% - Accent4 4 8 5" xfId="19984" xr:uid="{00000000-0005-0000-0000-0000FB7C0000}"/>
    <cellStyle name="40% - Accent4 4 8 6" xfId="29709" xr:uid="{00000000-0005-0000-0000-0000FC7C0000}"/>
    <cellStyle name="40% - Accent4 4 8 7" xfId="39434" xr:uid="{00000000-0005-0000-0000-0000FD7C0000}"/>
    <cellStyle name="40% - Accent4 4 8 8" xfId="10259" xr:uid="{00000000-0005-0000-0000-0000FE7C0000}"/>
    <cellStyle name="40% - Accent4 4 9" xfId="1702" xr:uid="{00000000-0005-0000-0000-0000FF7C0000}"/>
    <cellStyle name="40% - Accent4 4 9 2" xfId="3323" xr:uid="{00000000-0005-0000-0000-0000007D0000}"/>
    <cellStyle name="40% - Accent4 4 9 2 2" xfId="8185" xr:uid="{00000000-0005-0000-0000-0000017D0000}"/>
    <cellStyle name="40% - Accent4 4 9 2 2 2" xfId="27636" xr:uid="{00000000-0005-0000-0000-0000027D0000}"/>
    <cellStyle name="40% - Accent4 4 9 2 2 3" xfId="37361" xr:uid="{00000000-0005-0000-0000-0000037D0000}"/>
    <cellStyle name="40% - Accent4 4 9 2 2 4" xfId="47086" xr:uid="{00000000-0005-0000-0000-0000047D0000}"/>
    <cellStyle name="40% - Accent4 4 9 2 2 5" xfId="17911" xr:uid="{00000000-0005-0000-0000-0000057D0000}"/>
    <cellStyle name="40% - Accent4 4 9 2 3" xfId="22774" xr:uid="{00000000-0005-0000-0000-0000067D0000}"/>
    <cellStyle name="40% - Accent4 4 9 2 4" xfId="32499" xr:uid="{00000000-0005-0000-0000-0000077D0000}"/>
    <cellStyle name="40% - Accent4 4 9 2 5" xfId="42224" xr:uid="{00000000-0005-0000-0000-0000087D0000}"/>
    <cellStyle name="40% - Accent4 4 9 2 6" xfId="13049" xr:uid="{00000000-0005-0000-0000-0000097D0000}"/>
    <cellStyle name="40% - Accent4 4 9 3" xfId="4943" xr:uid="{00000000-0005-0000-0000-00000A7D0000}"/>
    <cellStyle name="40% - Accent4 4 9 3 2" xfId="9805" xr:uid="{00000000-0005-0000-0000-00000B7D0000}"/>
    <cellStyle name="40% - Accent4 4 9 3 2 2" xfId="29256" xr:uid="{00000000-0005-0000-0000-00000C7D0000}"/>
    <cellStyle name="40% - Accent4 4 9 3 2 3" xfId="38981" xr:uid="{00000000-0005-0000-0000-00000D7D0000}"/>
    <cellStyle name="40% - Accent4 4 9 3 2 4" xfId="48706" xr:uid="{00000000-0005-0000-0000-00000E7D0000}"/>
    <cellStyle name="40% - Accent4 4 9 3 2 5" xfId="19531" xr:uid="{00000000-0005-0000-0000-00000F7D0000}"/>
    <cellStyle name="40% - Accent4 4 9 3 3" xfId="24394" xr:uid="{00000000-0005-0000-0000-0000107D0000}"/>
    <cellStyle name="40% - Accent4 4 9 3 4" xfId="34119" xr:uid="{00000000-0005-0000-0000-0000117D0000}"/>
    <cellStyle name="40% - Accent4 4 9 3 5" xfId="43844" xr:uid="{00000000-0005-0000-0000-0000127D0000}"/>
    <cellStyle name="40% - Accent4 4 9 3 6" xfId="14669" xr:uid="{00000000-0005-0000-0000-0000137D0000}"/>
    <cellStyle name="40% - Accent4 4 9 4" xfId="6565" xr:uid="{00000000-0005-0000-0000-0000147D0000}"/>
    <cellStyle name="40% - Accent4 4 9 4 2" xfId="26016" xr:uid="{00000000-0005-0000-0000-0000157D0000}"/>
    <cellStyle name="40% - Accent4 4 9 4 3" xfId="35741" xr:uid="{00000000-0005-0000-0000-0000167D0000}"/>
    <cellStyle name="40% - Accent4 4 9 4 4" xfId="45466" xr:uid="{00000000-0005-0000-0000-0000177D0000}"/>
    <cellStyle name="40% - Accent4 4 9 4 5" xfId="16291" xr:uid="{00000000-0005-0000-0000-0000187D0000}"/>
    <cellStyle name="40% - Accent4 4 9 5" xfId="21154" xr:uid="{00000000-0005-0000-0000-0000197D0000}"/>
    <cellStyle name="40% - Accent4 4 9 6" xfId="30879" xr:uid="{00000000-0005-0000-0000-00001A7D0000}"/>
    <cellStyle name="40% - Accent4 4 9 7" xfId="40604" xr:uid="{00000000-0005-0000-0000-00001B7D0000}"/>
    <cellStyle name="40% - Accent4 4 9 8" xfId="11429" xr:uid="{00000000-0005-0000-0000-00001C7D0000}"/>
    <cellStyle name="40% - Accent4 5" xfId="231" xr:uid="{00000000-0005-0000-0000-00001D7D0000}"/>
    <cellStyle name="40% - Accent4 5 10" xfId="39194" xr:uid="{00000000-0005-0000-0000-00001E7D0000}"/>
    <cellStyle name="40% - Accent4 5 11" xfId="10019" xr:uid="{00000000-0005-0000-0000-00001F7D0000}"/>
    <cellStyle name="40% - Accent4 5 2" xfId="995" xr:uid="{00000000-0005-0000-0000-0000207D0000}"/>
    <cellStyle name="40% - Accent4 5 2 2" xfId="2633" xr:uid="{00000000-0005-0000-0000-0000217D0000}"/>
    <cellStyle name="40% - Accent4 5 2 2 2" xfId="7495" xr:uid="{00000000-0005-0000-0000-0000227D0000}"/>
    <cellStyle name="40% - Accent4 5 2 2 2 2" xfId="26946" xr:uid="{00000000-0005-0000-0000-0000237D0000}"/>
    <cellStyle name="40% - Accent4 5 2 2 2 3" xfId="36671" xr:uid="{00000000-0005-0000-0000-0000247D0000}"/>
    <cellStyle name="40% - Accent4 5 2 2 2 4" xfId="46396" xr:uid="{00000000-0005-0000-0000-0000257D0000}"/>
    <cellStyle name="40% - Accent4 5 2 2 2 5" xfId="17221" xr:uid="{00000000-0005-0000-0000-0000267D0000}"/>
    <cellStyle name="40% - Accent4 5 2 2 3" xfId="22084" xr:uid="{00000000-0005-0000-0000-0000277D0000}"/>
    <cellStyle name="40% - Accent4 5 2 2 4" xfId="31809" xr:uid="{00000000-0005-0000-0000-0000287D0000}"/>
    <cellStyle name="40% - Accent4 5 2 2 5" xfId="41534" xr:uid="{00000000-0005-0000-0000-0000297D0000}"/>
    <cellStyle name="40% - Accent4 5 2 2 6" xfId="12359" xr:uid="{00000000-0005-0000-0000-00002A7D0000}"/>
    <cellStyle name="40% - Accent4 5 2 3" xfId="4253" xr:uid="{00000000-0005-0000-0000-00002B7D0000}"/>
    <cellStyle name="40% - Accent4 5 2 3 2" xfId="9115" xr:uid="{00000000-0005-0000-0000-00002C7D0000}"/>
    <cellStyle name="40% - Accent4 5 2 3 2 2" xfId="28566" xr:uid="{00000000-0005-0000-0000-00002D7D0000}"/>
    <cellStyle name="40% - Accent4 5 2 3 2 3" xfId="38291" xr:uid="{00000000-0005-0000-0000-00002E7D0000}"/>
    <cellStyle name="40% - Accent4 5 2 3 2 4" xfId="48016" xr:uid="{00000000-0005-0000-0000-00002F7D0000}"/>
    <cellStyle name="40% - Accent4 5 2 3 2 5" xfId="18841" xr:uid="{00000000-0005-0000-0000-0000307D0000}"/>
    <cellStyle name="40% - Accent4 5 2 3 3" xfId="23704" xr:uid="{00000000-0005-0000-0000-0000317D0000}"/>
    <cellStyle name="40% - Accent4 5 2 3 4" xfId="33429" xr:uid="{00000000-0005-0000-0000-0000327D0000}"/>
    <cellStyle name="40% - Accent4 5 2 3 5" xfId="43154" xr:uid="{00000000-0005-0000-0000-0000337D0000}"/>
    <cellStyle name="40% - Accent4 5 2 3 6" xfId="13979" xr:uid="{00000000-0005-0000-0000-0000347D0000}"/>
    <cellStyle name="40% - Accent4 5 2 4" xfId="5875" xr:uid="{00000000-0005-0000-0000-0000357D0000}"/>
    <cellStyle name="40% - Accent4 5 2 4 2" xfId="25326" xr:uid="{00000000-0005-0000-0000-0000367D0000}"/>
    <cellStyle name="40% - Accent4 5 2 4 3" xfId="35051" xr:uid="{00000000-0005-0000-0000-0000377D0000}"/>
    <cellStyle name="40% - Accent4 5 2 4 4" xfId="44776" xr:uid="{00000000-0005-0000-0000-0000387D0000}"/>
    <cellStyle name="40% - Accent4 5 2 4 5" xfId="15601" xr:uid="{00000000-0005-0000-0000-0000397D0000}"/>
    <cellStyle name="40% - Accent4 5 2 5" xfId="20464" xr:uid="{00000000-0005-0000-0000-00003A7D0000}"/>
    <cellStyle name="40% - Accent4 5 2 6" xfId="30189" xr:uid="{00000000-0005-0000-0000-00003B7D0000}"/>
    <cellStyle name="40% - Accent4 5 2 7" xfId="39914" xr:uid="{00000000-0005-0000-0000-00003C7D0000}"/>
    <cellStyle name="40% - Accent4 5 2 8" xfId="10739" xr:uid="{00000000-0005-0000-0000-00003D7D0000}"/>
    <cellStyle name="40% - Accent4 5 3" xfId="1462" xr:uid="{00000000-0005-0000-0000-00003E7D0000}"/>
    <cellStyle name="40% - Accent4 5 3 2" xfId="3083" xr:uid="{00000000-0005-0000-0000-00003F7D0000}"/>
    <cellStyle name="40% - Accent4 5 3 2 2" xfId="7945" xr:uid="{00000000-0005-0000-0000-0000407D0000}"/>
    <cellStyle name="40% - Accent4 5 3 2 2 2" xfId="27396" xr:uid="{00000000-0005-0000-0000-0000417D0000}"/>
    <cellStyle name="40% - Accent4 5 3 2 2 3" xfId="37121" xr:uid="{00000000-0005-0000-0000-0000427D0000}"/>
    <cellStyle name="40% - Accent4 5 3 2 2 4" xfId="46846" xr:uid="{00000000-0005-0000-0000-0000437D0000}"/>
    <cellStyle name="40% - Accent4 5 3 2 2 5" xfId="17671" xr:uid="{00000000-0005-0000-0000-0000447D0000}"/>
    <cellStyle name="40% - Accent4 5 3 2 3" xfId="22534" xr:uid="{00000000-0005-0000-0000-0000457D0000}"/>
    <cellStyle name="40% - Accent4 5 3 2 4" xfId="32259" xr:uid="{00000000-0005-0000-0000-0000467D0000}"/>
    <cellStyle name="40% - Accent4 5 3 2 5" xfId="41984" xr:uid="{00000000-0005-0000-0000-0000477D0000}"/>
    <cellStyle name="40% - Accent4 5 3 2 6" xfId="12809" xr:uid="{00000000-0005-0000-0000-0000487D0000}"/>
    <cellStyle name="40% - Accent4 5 3 3" xfId="4703" xr:uid="{00000000-0005-0000-0000-0000497D0000}"/>
    <cellStyle name="40% - Accent4 5 3 3 2" xfId="9565" xr:uid="{00000000-0005-0000-0000-00004A7D0000}"/>
    <cellStyle name="40% - Accent4 5 3 3 2 2" xfId="29016" xr:uid="{00000000-0005-0000-0000-00004B7D0000}"/>
    <cellStyle name="40% - Accent4 5 3 3 2 3" xfId="38741" xr:uid="{00000000-0005-0000-0000-00004C7D0000}"/>
    <cellStyle name="40% - Accent4 5 3 3 2 4" xfId="48466" xr:uid="{00000000-0005-0000-0000-00004D7D0000}"/>
    <cellStyle name="40% - Accent4 5 3 3 2 5" xfId="19291" xr:uid="{00000000-0005-0000-0000-00004E7D0000}"/>
    <cellStyle name="40% - Accent4 5 3 3 3" xfId="24154" xr:uid="{00000000-0005-0000-0000-00004F7D0000}"/>
    <cellStyle name="40% - Accent4 5 3 3 4" xfId="33879" xr:uid="{00000000-0005-0000-0000-0000507D0000}"/>
    <cellStyle name="40% - Accent4 5 3 3 5" xfId="43604" xr:uid="{00000000-0005-0000-0000-0000517D0000}"/>
    <cellStyle name="40% - Accent4 5 3 3 6" xfId="14429" xr:uid="{00000000-0005-0000-0000-0000527D0000}"/>
    <cellStyle name="40% - Accent4 5 3 4" xfId="6325" xr:uid="{00000000-0005-0000-0000-0000537D0000}"/>
    <cellStyle name="40% - Accent4 5 3 4 2" xfId="25776" xr:uid="{00000000-0005-0000-0000-0000547D0000}"/>
    <cellStyle name="40% - Accent4 5 3 4 3" xfId="35501" xr:uid="{00000000-0005-0000-0000-0000557D0000}"/>
    <cellStyle name="40% - Accent4 5 3 4 4" xfId="45226" xr:uid="{00000000-0005-0000-0000-0000567D0000}"/>
    <cellStyle name="40% - Accent4 5 3 4 5" xfId="16051" xr:uid="{00000000-0005-0000-0000-0000577D0000}"/>
    <cellStyle name="40% - Accent4 5 3 5" xfId="20914" xr:uid="{00000000-0005-0000-0000-0000587D0000}"/>
    <cellStyle name="40% - Accent4 5 3 6" xfId="30639" xr:uid="{00000000-0005-0000-0000-0000597D0000}"/>
    <cellStyle name="40% - Accent4 5 3 7" xfId="40364" xr:uid="{00000000-0005-0000-0000-00005A7D0000}"/>
    <cellStyle name="40% - Accent4 5 3 8" xfId="11189" xr:uid="{00000000-0005-0000-0000-00005B7D0000}"/>
    <cellStyle name="40% - Accent4 5 4" xfId="633" xr:uid="{00000000-0005-0000-0000-00005C7D0000}"/>
    <cellStyle name="40% - Accent4 5 4 2" xfId="2273" xr:uid="{00000000-0005-0000-0000-00005D7D0000}"/>
    <cellStyle name="40% - Accent4 5 4 2 2" xfId="7135" xr:uid="{00000000-0005-0000-0000-00005E7D0000}"/>
    <cellStyle name="40% - Accent4 5 4 2 2 2" xfId="26586" xr:uid="{00000000-0005-0000-0000-00005F7D0000}"/>
    <cellStyle name="40% - Accent4 5 4 2 2 3" xfId="36311" xr:uid="{00000000-0005-0000-0000-0000607D0000}"/>
    <cellStyle name="40% - Accent4 5 4 2 2 4" xfId="46036" xr:uid="{00000000-0005-0000-0000-0000617D0000}"/>
    <cellStyle name="40% - Accent4 5 4 2 2 5" xfId="16861" xr:uid="{00000000-0005-0000-0000-0000627D0000}"/>
    <cellStyle name="40% - Accent4 5 4 2 3" xfId="21724" xr:uid="{00000000-0005-0000-0000-0000637D0000}"/>
    <cellStyle name="40% - Accent4 5 4 2 4" xfId="31449" xr:uid="{00000000-0005-0000-0000-0000647D0000}"/>
    <cellStyle name="40% - Accent4 5 4 2 5" xfId="41174" xr:uid="{00000000-0005-0000-0000-0000657D0000}"/>
    <cellStyle name="40% - Accent4 5 4 2 6" xfId="11999" xr:uid="{00000000-0005-0000-0000-0000667D0000}"/>
    <cellStyle name="40% - Accent4 5 4 3" xfId="3893" xr:uid="{00000000-0005-0000-0000-0000677D0000}"/>
    <cellStyle name="40% - Accent4 5 4 3 2" xfId="8755" xr:uid="{00000000-0005-0000-0000-0000687D0000}"/>
    <cellStyle name="40% - Accent4 5 4 3 2 2" xfId="28206" xr:uid="{00000000-0005-0000-0000-0000697D0000}"/>
    <cellStyle name="40% - Accent4 5 4 3 2 3" xfId="37931" xr:uid="{00000000-0005-0000-0000-00006A7D0000}"/>
    <cellStyle name="40% - Accent4 5 4 3 2 4" xfId="47656" xr:uid="{00000000-0005-0000-0000-00006B7D0000}"/>
    <cellStyle name="40% - Accent4 5 4 3 2 5" xfId="18481" xr:uid="{00000000-0005-0000-0000-00006C7D0000}"/>
    <cellStyle name="40% - Accent4 5 4 3 3" xfId="23344" xr:uid="{00000000-0005-0000-0000-00006D7D0000}"/>
    <cellStyle name="40% - Accent4 5 4 3 4" xfId="33069" xr:uid="{00000000-0005-0000-0000-00006E7D0000}"/>
    <cellStyle name="40% - Accent4 5 4 3 5" xfId="42794" xr:uid="{00000000-0005-0000-0000-00006F7D0000}"/>
    <cellStyle name="40% - Accent4 5 4 3 6" xfId="13619" xr:uid="{00000000-0005-0000-0000-0000707D0000}"/>
    <cellStyle name="40% - Accent4 5 4 4" xfId="5515" xr:uid="{00000000-0005-0000-0000-0000717D0000}"/>
    <cellStyle name="40% - Accent4 5 4 4 2" xfId="24966" xr:uid="{00000000-0005-0000-0000-0000727D0000}"/>
    <cellStyle name="40% - Accent4 5 4 4 3" xfId="34691" xr:uid="{00000000-0005-0000-0000-0000737D0000}"/>
    <cellStyle name="40% - Accent4 5 4 4 4" xfId="44416" xr:uid="{00000000-0005-0000-0000-0000747D0000}"/>
    <cellStyle name="40% - Accent4 5 4 4 5" xfId="15241" xr:uid="{00000000-0005-0000-0000-0000757D0000}"/>
    <cellStyle name="40% - Accent4 5 4 5" xfId="20104" xr:uid="{00000000-0005-0000-0000-0000767D0000}"/>
    <cellStyle name="40% - Accent4 5 4 6" xfId="29829" xr:uid="{00000000-0005-0000-0000-0000777D0000}"/>
    <cellStyle name="40% - Accent4 5 4 7" xfId="39554" xr:uid="{00000000-0005-0000-0000-0000787D0000}"/>
    <cellStyle name="40% - Accent4 5 4 8" xfId="10379" xr:uid="{00000000-0005-0000-0000-0000797D0000}"/>
    <cellStyle name="40% - Accent4 5 5" xfId="1913" xr:uid="{00000000-0005-0000-0000-00007A7D0000}"/>
    <cellStyle name="40% - Accent4 5 5 2" xfId="6775" xr:uid="{00000000-0005-0000-0000-00007B7D0000}"/>
    <cellStyle name="40% - Accent4 5 5 2 2" xfId="26226" xr:uid="{00000000-0005-0000-0000-00007C7D0000}"/>
    <cellStyle name="40% - Accent4 5 5 2 3" xfId="35951" xr:uid="{00000000-0005-0000-0000-00007D7D0000}"/>
    <cellStyle name="40% - Accent4 5 5 2 4" xfId="45676" xr:uid="{00000000-0005-0000-0000-00007E7D0000}"/>
    <cellStyle name="40% - Accent4 5 5 2 5" xfId="16501" xr:uid="{00000000-0005-0000-0000-00007F7D0000}"/>
    <cellStyle name="40% - Accent4 5 5 3" xfId="21364" xr:uid="{00000000-0005-0000-0000-0000807D0000}"/>
    <cellStyle name="40% - Accent4 5 5 4" xfId="31089" xr:uid="{00000000-0005-0000-0000-0000817D0000}"/>
    <cellStyle name="40% - Accent4 5 5 5" xfId="40814" xr:uid="{00000000-0005-0000-0000-0000827D0000}"/>
    <cellStyle name="40% - Accent4 5 5 6" xfId="11639" xr:uid="{00000000-0005-0000-0000-0000837D0000}"/>
    <cellStyle name="40% - Accent4 5 6" xfId="3533" xr:uid="{00000000-0005-0000-0000-0000847D0000}"/>
    <cellStyle name="40% - Accent4 5 6 2" xfId="8395" xr:uid="{00000000-0005-0000-0000-0000857D0000}"/>
    <cellStyle name="40% - Accent4 5 6 2 2" xfId="27846" xr:uid="{00000000-0005-0000-0000-0000867D0000}"/>
    <cellStyle name="40% - Accent4 5 6 2 3" xfId="37571" xr:uid="{00000000-0005-0000-0000-0000877D0000}"/>
    <cellStyle name="40% - Accent4 5 6 2 4" xfId="47296" xr:uid="{00000000-0005-0000-0000-0000887D0000}"/>
    <cellStyle name="40% - Accent4 5 6 2 5" xfId="18121" xr:uid="{00000000-0005-0000-0000-0000897D0000}"/>
    <cellStyle name="40% - Accent4 5 6 3" xfId="22984" xr:uid="{00000000-0005-0000-0000-00008A7D0000}"/>
    <cellStyle name="40% - Accent4 5 6 4" xfId="32709" xr:uid="{00000000-0005-0000-0000-00008B7D0000}"/>
    <cellStyle name="40% - Accent4 5 6 5" xfId="42434" xr:uid="{00000000-0005-0000-0000-00008C7D0000}"/>
    <cellStyle name="40% - Accent4 5 6 6" xfId="13259" xr:uid="{00000000-0005-0000-0000-00008D7D0000}"/>
    <cellStyle name="40% - Accent4 5 7" xfId="5155" xr:uid="{00000000-0005-0000-0000-00008E7D0000}"/>
    <cellStyle name="40% - Accent4 5 7 2" xfId="24606" xr:uid="{00000000-0005-0000-0000-00008F7D0000}"/>
    <cellStyle name="40% - Accent4 5 7 3" xfId="34331" xr:uid="{00000000-0005-0000-0000-0000907D0000}"/>
    <cellStyle name="40% - Accent4 5 7 4" xfId="44056" xr:uid="{00000000-0005-0000-0000-0000917D0000}"/>
    <cellStyle name="40% - Accent4 5 7 5" xfId="14881" xr:uid="{00000000-0005-0000-0000-0000927D0000}"/>
    <cellStyle name="40% - Accent4 5 8" xfId="19744" xr:uid="{00000000-0005-0000-0000-0000937D0000}"/>
    <cellStyle name="40% - Accent4 5 9" xfId="29469" xr:uid="{00000000-0005-0000-0000-0000947D0000}"/>
    <cellStyle name="40% - Accent4 6" xfId="322" xr:uid="{00000000-0005-0000-0000-0000957D0000}"/>
    <cellStyle name="40% - Accent4 6 10" xfId="39284" xr:uid="{00000000-0005-0000-0000-0000967D0000}"/>
    <cellStyle name="40% - Accent4 6 11" xfId="10109" xr:uid="{00000000-0005-0000-0000-0000977D0000}"/>
    <cellStyle name="40% - Accent4 6 2" xfId="1085" xr:uid="{00000000-0005-0000-0000-0000987D0000}"/>
    <cellStyle name="40% - Accent4 6 2 2" xfId="2723" xr:uid="{00000000-0005-0000-0000-0000997D0000}"/>
    <cellStyle name="40% - Accent4 6 2 2 2" xfId="7585" xr:uid="{00000000-0005-0000-0000-00009A7D0000}"/>
    <cellStyle name="40% - Accent4 6 2 2 2 2" xfId="27036" xr:uid="{00000000-0005-0000-0000-00009B7D0000}"/>
    <cellStyle name="40% - Accent4 6 2 2 2 3" xfId="36761" xr:uid="{00000000-0005-0000-0000-00009C7D0000}"/>
    <cellStyle name="40% - Accent4 6 2 2 2 4" xfId="46486" xr:uid="{00000000-0005-0000-0000-00009D7D0000}"/>
    <cellStyle name="40% - Accent4 6 2 2 2 5" xfId="17311" xr:uid="{00000000-0005-0000-0000-00009E7D0000}"/>
    <cellStyle name="40% - Accent4 6 2 2 3" xfId="22174" xr:uid="{00000000-0005-0000-0000-00009F7D0000}"/>
    <cellStyle name="40% - Accent4 6 2 2 4" xfId="31899" xr:uid="{00000000-0005-0000-0000-0000A07D0000}"/>
    <cellStyle name="40% - Accent4 6 2 2 5" xfId="41624" xr:uid="{00000000-0005-0000-0000-0000A17D0000}"/>
    <cellStyle name="40% - Accent4 6 2 2 6" xfId="12449" xr:uid="{00000000-0005-0000-0000-0000A27D0000}"/>
    <cellStyle name="40% - Accent4 6 2 3" xfId="4343" xr:uid="{00000000-0005-0000-0000-0000A37D0000}"/>
    <cellStyle name="40% - Accent4 6 2 3 2" xfId="9205" xr:uid="{00000000-0005-0000-0000-0000A47D0000}"/>
    <cellStyle name="40% - Accent4 6 2 3 2 2" xfId="28656" xr:uid="{00000000-0005-0000-0000-0000A57D0000}"/>
    <cellStyle name="40% - Accent4 6 2 3 2 3" xfId="38381" xr:uid="{00000000-0005-0000-0000-0000A67D0000}"/>
    <cellStyle name="40% - Accent4 6 2 3 2 4" xfId="48106" xr:uid="{00000000-0005-0000-0000-0000A77D0000}"/>
    <cellStyle name="40% - Accent4 6 2 3 2 5" xfId="18931" xr:uid="{00000000-0005-0000-0000-0000A87D0000}"/>
    <cellStyle name="40% - Accent4 6 2 3 3" xfId="23794" xr:uid="{00000000-0005-0000-0000-0000A97D0000}"/>
    <cellStyle name="40% - Accent4 6 2 3 4" xfId="33519" xr:uid="{00000000-0005-0000-0000-0000AA7D0000}"/>
    <cellStyle name="40% - Accent4 6 2 3 5" xfId="43244" xr:uid="{00000000-0005-0000-0000-0000AB7D0000}"/>
    <cellStyle name="40% - Accent4 6 2 3 6" xfId="14069" xr:uid="{00000000-0005-0000-0000-0000AC7D0000}"/>
    <cellStyle name="40% - Accent4 6 2 4" xfId="5965" xr:uid="{00000000-0005-0000-0000-0000AD7D0000}"/>
    <cellStyle name="40% - Accent4 6 2 4 2" xfId="25416" xr:uid="{00000000-0005-0000-0000-0000AE7D0000}"/>
    <cellStyle name="40% - Accent4 6 2 4 3" xfId="35141" xr:uid="{00000000-0005-0000-0000-0000AF7D0000}"/>
    <cellStyle name="40% - Accent4 6 2 4 4" xfId="44866" xr:uid="{00000000-0005-0000-0000-0000B07D0000}"/>
    <cellStyle name="40% - Accent4 6 2 4 5" xfId="15691" xr:uid="{00000000-0005-0000-0000-0000B17D0000}"/>
    <cellStyle name="40% - Accent4 6 2 5" xfId="20554" xr:uid="{00000000-0005-0000-0000-0000B27D0000}"/>
    <cellStyle name="40% - Accent4 6 2 6" xfId="30279" xr:uid="{00000000-0005-0000-0000-0000B37D0000}"/>
    <cellStyle name="40% - Accent4 6 2 7" xfId="40004" xr:uid="{00000000-0005-0000-0000-0000B47D0000}"/>
    <cellStyle name="40% - Accent4 6 2 8" xfId="10829" xr:uid="{00000000-0005-0000-0000-0000B57D0000}"/>
    <cellStyle name="40% - Accent4 6 3" xfId="1552" xr:uid="{00000000-0005-0000-0000-0000B67D0000}"/>
    <cellStyle name="40% - Accent4 6 3 2" xfId="3173" xr:uid="{00000000-0005-0000-0000-0000B77D0000}"/>
    <cellStyle name="40% - Accent4 6 3 2 2" xfId="8035" xr:uid="{00000000-0005-0000-0000-0000B87D0000}"/>
    <cellStyle name="40% - Accent4 6 3 2 2 2" xfId="27486" xr:uid="{00000000-0005-0000-0000-0000B97D0000}"/>
    <cellStyle name="40% - Accent4 6 3 2 2 3" xfId="37211" xr:uid="{00000000-0005-0000-0000-0000BA7D0000}"/>
    <cellStyle name="40% - Accent4 6 3 2 2 4" xfId="46936" xr:uid="{00000000-0005-0000-0000-0000BB7D0000}"/>
    <cellStyle name="40% - Accent4 6 3 2 2 5" xfId="17761" xr:uid="{00000000-0005-0000-0000-0000BC7D0000}"/>
    <cellStyle name="40% - Accent4 6 3 2 3" xfId="22624" xr:uid="{00000000-0005-0000-0000-0000BD7D0000}"/>
    <cellStyle name="40% - Accent4 6 3 2 4" xfId="32349" xr:uid="{00000000-0005-0000-0000-0000BE7D0000}"/>
    <cellStyle name="40% - Accent4 6 3 2 5" xfId="42074" xr:uid="{00000000-0005-0000-0000-0000BF7D0000}"/>
    <cellStyle name="40% - Accent4 6 3 2 6" xfId="12899" xr:uid="{00000000-0005-0000-0000-0000C07D0000}"/>
    <cellStyle name="40% - Accent4 6 3 3" xfId="4793" xr:uid="{00000000-0005-0000-0000-0000C17D0000}"/>
    <cellStyle name="40% - Accent4 6 3 3 2" xfId="9655" xr:uid="{00000000-0005-0000-0000-0000C27D0000}"/>
    <cellStyle name="40% - Accent4 6 3 3 2 2" xfId="29106" xr:uid="{00000000-0005-0000-0000-0000C37D0000}"/>
    <cellStyle name="40% - Accent4 6 3 3 2 3" xfId="38831" xr:uid="{00000000-0005-0000-0000-0000C47D0000}"/>
    <cellStyle name="40% - Accent4 6 3 3 2 4" xfId="48556" xr:uid="{00000000-0005-0000-0000-0000C57D0000}"/>
    <cellStyle name="40% - Accent4 6 3 3 2 5" xfId="19381" xr:uid="{00000000-0005-0000-0000-0000C67D0000}"/>
    <cellStyle name="40% - Accent4 6 3 3 3" xfId="24244" xr:uid="{00000000-0005-0000-0000-0000C77D0000}"/>
    <cellStyle name="40% - Accent4 6 3 3 4" xfId="33969" xr:uid="{00000000-0005-0000-0000-0000C87D0000}"/>
    <cellStyle name="40% - Accent4 6 3 3 5" xfId="43694" xr:uid="{00000000-0005-0000-0000-0000C97D0000}"/>
    <cellStyle name="40% - Accent4 6 3 3 6" xfId="14519" xr:uid="{00000000-0005-0000-0000-0000CA7D0000}"/>
    <cellStyle name="40% - Accent4 6 3 4" xfId="6415" xr:uid="{00000000-0005-0000-0000-0000CB7D0000}"/>
    <cellStyle name="40% - Accent4 6 3 4 2" xfId="25866" xr:uid="{00000000-0005-0000-0000-0000CC7D0000}"/>
    <cellStyle name="40% - Accent4 6 3 4 3" xfId="35591" xr:uid="{00000000-0005-0000-0000-0000CD7D0000}"/>
    <cellStyle name="40% - Accent4 6 3 4 4" xfId="45316" xr:uid="{00000000-0005-0000-0000-0000CE7D0000}"/>
    <cellStyle name="40% - Accent4 6 3 4 5" xfId="16141" xr:uid="{00000000-0005-0000-0000-0000CF7D0000}"/>
    <cellStyle name="40% - Accent4 6 3 5" xfId="21004" xr:uid="{00000000-0005-0000-0000-0000D07D0000}"/>
    <cellStyle name="40% - Accent4 6 3 6" xfId="30729" xr:uid="{00000000-0005-0000-0000-0000D17D0000}"/>
    <cellStyle name="40% - Accent4 6 3 7" xfId="40454" xr:uid="{00000000-0005-0000-0000-0000D27D0000}"/>
    <cellStyle name="40% - Accent4 6 3 8" xfId="11279" xr:uid="{00000000-0005-0000-0000-0000D37D0000}"/>
    <cellStyle name="40% - Accent4 6 4" xfId="723" xr:uid="{00000000-0005-0000-0000-0000D47D0000}"/>
    <cellStyle name="40% - Accent4 6 4 2" xfId="2363" xr:uid="{00000000-0005-0000-0000-0000D57D0000}"/>
    <cellStyle name="40% - Accent4 6 4 2 2" xfId="7225" xr:uid="{00000000-0005-0000-0000-0000D67D0000}"/>
    <cellStyle name="40% - Accent4 6 4 2 2 2" xfId="26676" xr:uid="{00000000-0005-0000-0000-0000D77D0000}"/>
    <cellStyle name="40% - Accent4 6 4 2 2 3" xfId="36401" xr:uid="{00000000-0005-0000-0000-0000D87D0000}"/>
    <cellStyle name="40% - Accent4 6 4 2 2 4" xfId="46126" xr:uid="{00000000-0005-0000-0000-0000D97D0000}"/>
    <cellStyle name="40% - Accent4 6 4 2 2 5" xfId="16951" xr:uid="{00000000-0005-0000-0000-0000DA7D0000}"/>
    <cellStyle name="40% - Accent4 6 4 2 3" xfId="21814" xr:uid="{00000000-0005-0000-0000-0000DB7D0000}"/>
    <cellStyle name="40% - Accent4 6 4 2 4" xfId="31539" xr:uid="{00000000-0005-0000-0000-0000DC7D0000}"/>
    <cellStyle name="40% - Accent4 6 4 2 5" xfId="41264" xr:uid="{00000000-0005-0000-0000-0000DD7D0000}"/>
    <cellStyle name="40% - Accent4 6 4 2 6" xfId="12089" xr:uid="{00000000-0005-0000-0000-0000DE7D0000}"/>
    <cellStyle name="40% - Accent4 6 4 3" xfId="3983" xr:uid="{00000000-0005-0000-0000-0000DF7D0000}"/>
    <cellStyle name="40% - Accent4 6 4 3 2" xfId="8845" xr:uid="{00000000-0005-0000-0000-0000E07D0000}"/>
    <cellStyle name="40% - Accent4 6 4 3 2 2" xfId="28296" xr:uid="{00000000-0005-0000-0000-0000E17D0000}"/>
    <cellStyle name="40% - Accent4 6 4 3 2 3" xfId="38021" xr:uid="{00000000-0005-0000-0000-0000E27D0000}"/>
    <cellStyle name="40% - Accent4 6 4 3 2 4" xfId="47746" xr:uid="{00000000-0005-0000-0000-0000E37D0000}"/>
    <cellStyle name="40% - Accent4 6 4 3 2 5" xfId="18571" xr:uid="{00000000-0005-0000-0000-0000E47D0000}"/>
    <cellStyle name="40% - Accent4 6 4 3 3" xfId="23434" xr:uid="{00000000-0005-0000-0000-0000E57D0000}"/>
    <cellStyle name="40% - Accent4 6 4 3 4" xfId="33159" xr:uid="{00000000-0005-0000-0000-0000E67D0000}"/>
    <cellStyle name="40% - Accent4 6 4 3 5" xfId="42884" xr:uid="{00000000-0005-0000-0000-0000E77D0000}"/>
    <cellStyle name="40% - Accent4 6 4 3 6" xfId="13709" xr:uid="{00000000-0005-0000-0000-0000E87D0000}"/>
    <cellStyle name="40% - Accent4 6 4 4" xfId="5605" xr:uid="{00000000-0005-0000-0000-0000E97D0000}"/>
    <cellStyle name="40% - Accent4 6 4 4 2" xfId="25056" xr:uid="{00000000-0005-0000-0000-0000EA7D0000}"/>
    <cellStyle name="40% - Accent4 6 4 4 3" xfId="34781" xr:uid="{00000000-0005-0000-0000-0000EB7D0000}"/>
    <cellStyle name="40% - Accent4 6 4 4 4" xfId="44506" xr:uid="{00000000-0005-0000-0000-0000EC7D0000}"/>
    <cellStyle name="40% - Accent4 6 4 4 5" xfId="15331" xr:uid="{00000000-0005-0000-0000-0000ED7D0000}"/>
    <cellStyle name="40% - Accent4 6 4 5" xfId="20194" xr:uid="{00000000-0005-0000-0000-0000EE7D0000}"/>
    <cellStyle name="40% - Accent4 6 4 6" xfId="29919" xr:uid="{00000000-0005-0000-0000-0000EF7D0000}"/>
    <cellStyle name="40% - Accent4 6 4 7" xfId="39644" xr:uid="{00000000-0005-0000-0000-0000F07D0000}"/>
    <cellStyle name="40% - Accent4 6 4 8" xfId="10469" xr:uid="{00000000-0005-0000-0000-0000F17D0000}"/>
    <cellStyle name="40% - Accent4 6 5" xfId="2003" xr:uid="{00000000-0005-0000-0000-0000F27D0000}"/>
    <cellStyle name="40% - Accent4 6 5 2" xfId="6865" xr:uid="{00000000-0005-0000-0000-0000F37D0000}"/>
    <cellStyle name="40% - Accent4 6 5 2 2" xfId="26316" xr:uid="{00000000-0005-0000-0000-0000F47D0000}"/>
    <cellStyle name="40% - Accent4 6 5 2 3" xfId="36041" xr:uid="{00000000-0005-0000-0000-0000F57D0000}"/>
    <cellStyle name="40% - Accent4 6 5 2 4" xfId="45766" xr:uid="{00000000-0005-0000-0000-0000F67D0000}"/>
    <cellStyle name="40% - Accent4 6 5 2 5" xfId="16591" xr:uid="{00000000-0005-0000-0000-0000F77D0000}"/>
    <cellStyle name="40% - Accent4 6 5 3" xfId="21454" xr:uid="{00000000-0005-0000-0000-0000F87D0000}"/>
    <cellStyle name="40% - Accent4 6 5 4" xfId="31179" xr:uid="{00000000-0005-0000-0000-0000F97D0000}"/>
    <cellStyle name="40% - Accent4 6 5 5" xfId="40904" xr:uid="{00000000-0005-0000-0000-0000FA7D0000}"/>
    <cellStyle name="40% - Accent4 6 5 6" xfId="11729" xr:uid="{00000000-0005-0000-0000-0000FB7D0000}"/>
    <cellStyle name="40% - Accent4 6 6" xfId="3623" xr:uid="{00000000-0005-0000-0000-0000FC7D0000}"/>
    <cellStyle name="40% - Accent4 6 6 2" xfId="8485" xr:uid="{00000000-0005-0000-0000-0000FD7D0000}"/>
    <cellStyle name="40% - Accent4 6 6 2 2" xfId="27936" xr:uid="{00000000-0005-0000-0000-0000FE7D0000}"/>
    <cellStyle name="40% - Accent4 6 6 2 3" xfId="37661" xr:uid="{00000000-0005-0000-0000-0000FF7D0000}"/>
    <cellStyle name="40% - Accent4 6 6 2 4" xfId="47386" xr:uid="{00000000-0005-0000-0000-0000007E0000}"/>
    <cellStyle name="40% - Accent4 6 6 2 5" xfId="18211" xr:uid="{00000000-0005-0000-0000-0000017E0000}"/>
    <cellStyle name="40% - Accent4 6 6 3" xfId="23074" xr:uid="{00000000-0005-0000-0000-0000027E0000}"/>
    <cellStyle name="40% - Accent4 6 6 4" xfId="32799" xr:uid="{00000000-0005-0000-0000-0000037E0000}"/>
    <cellStyle name="40% - Accent4 6 6 5" xfId="42524" xr:uid="{00000000-0005-0000-0000-0000047E0000}"/>
    <cellStyle name="40% - Accent4 6 6 6" xfId="13349" xr:uid="{00000000-0005-0000-0000-0000057E0000}"/>
    <cellStyle name="40% - Accent4 6 7" xfId="5245" xr:uid="{00000000-0005-0000-0000-0000067E0000}"/>
    <cellStyle name="40% - Accent4 6 7 2" xfId="24696" xr:uid="{00000000-0005-0000-0000-0000077E0000}"/>
    <cellStyle name="40% - Accent4 6 7 3" xfId="34421" xr:uid="{00000000-0005-0000-0000-0000087E0000}"/>
    <cellStyle name="40% - Accent4 6 7 4" xfId="44146" xr:uid="{00000000-0005-0000-0000-0000097E0000}"/>
    <cellStyle name="40% - Accent4 6 7 5" xfId="14971" xr:uid="{00000000-0005-0000-0000-00000A7E0000}"/>
    <cellStyle name="40% - Accent4 6 8" xfId="19834" xr:uid="{00000000-0005-0000-0000-00000B7E0000}"/>
    <cellStyle name="40% - Accent4 6 9" xfId="29559" xr:uid="{00000000-0005-0000-0000-00000C7E0000}"/>
    <cellStyle name="40% - Accent4 7" xfId="140" xr:uid="{00000000-0005-0000-0000-00000D7E0000}"/>
    <cellStyle name="40% - Accent4 7 10" xfId="39104" xr:uid="{00000000-0005-0000-0000-00000E7E0000}"/>
    <cellStyle name="40% - Accent4 7 11" xfId="9929" xr:uid="{00000000-0005-0000-0000-00000F7E0000}"/>
    <cellStyle name="40% - Accent4 7 2" xfId="904" xr:uid="{00000000-0005-0000-0000-0000107E0000}"/>
    <cellStyle name="40% - Accent4 7 2 2" xfId="2543" xr:uid="{00000000-0005-0000-0000-0000117E0000}"/>
    <cellStyle name="40% - Accent4 7 2 2 2" xfId="7405" xr:uid="{00000000-0005-0000-0000-0000127E0000}"/>
    <cellStyle name="40% - Accent4 7 2 2 2 2" xfId="26856" xr:uid="{00000000-0005-0000-0000-0000137E0000}"/>
    <cellStyle name="40% - Accent4 7 2 2 2 3" xfId="36581" xr:uid="{00000000-0005-0000-0000-0000147E0000}"/>
    <cellStyle name="40% - Accent4 7 2 2 2 4" xfId="46306" xr:uid="{00000000-0005-0000-0000-0000157E0000}"/>
    <cellStyle name="40% - Accent4 7 2 2 2 5" xfId="17131" xr:uid="{00000000-0005-0000-0000-0000167E0000}"/>
    <cellStyle name="40% - Accent4 7 2 2 3" xfId="21994" xr:uid="{00000000-0005-0000-0000-0000177E0000}"/>
    <cellStyle name="40% - Accent4 7 2 2 4" xfId="31719" xr:uid="{00000000-0005-0000-0000-0000187E0000}"/>
    <cellStyle name="40% - Accent4 7 2 2 5" xfId="41444" xr:uid="{00000000-0005-0000-0000-0000197E0000}"/>
    <cellStyle name="40% - Accent4 7 2 2 6" xfId="12269" xr:uid="{00000000-0005-0000-0000-00001A7E0000}"/>
    <cellStyle name="40% - Accent4 7 2 3" xfId="4163" xr:uid="{00000000-0005-0000-0000-00001B7E0000}"/>
    <cellStyle name="40% - Accent4 7 2 3 2" xfId="9025" xr:uid="{00000000-0005-0000-0000-00001C7E0000}"/>
    <cellStyle name="40% - Accent4 7 2 3 2 2" xfId="28476" xr:uid="{00000000-0005-0000-0000-00001D7E0000}"/>
    <cellStyle name="40% - Accent4 7 2 3 2 3" xfId="38201" xr:uid="{00000000-0005-0000-0000-00001E7E0000}"/>
    <cellStyle name="40% - Accent4 7 2 3 2 4" xfId="47926" xr:uid="{00000000-0005-0000-0000-00001F7E0000}"/>
    <cellStyle name="40% - Accent4 7 2 3 2 5" xfId="18751" xr:uid="{00000000-0005-0000-0000-0000207E0000}"/>
    <cellStyle name="40% - Accent4 7 2 3 3" xfId="23614" xr:uid="{00000000-0005-0000-0000-0000217E0000}"/>
    <cellStyle name="40% - Accent4 7 2 3 4" xfId="33339" xr:uid="{00000000-0005-0000-0000-0000227E0000}"/>
    <cellStyle name="40% - Accent4 7 2 3 5" xfId="43064" xr:uid="{00000000-0005-0000-0000-0000237E0000}"/>
    <cellStyle name="40% - Accent4 7 2 3 6" xfId="13889" xr:uid="{00000000-0005-0000-0000-0000247E0000}"/>
    <cellStyle name="40% - Accent4 7 2 4" xfId="5785" xr:uid="{00000000-0005-0000-0000-0000257E0000}"/>
    <cellStyle name="40% - Accent4 7 2 4 2" xfId="25236" xr:uid="{00000000-0005-0000-0000-0000267E0000}"/>
    <cellStyle name="40% - Accent4 7 2 4 3" xfId="34961" xr:uid="{00000000-0005-0000-0000-0000277E0000}"/>
    <cellStyle name="40% - Accent4 7 2 4 4" xfId="44686" xr:uid="{00000000-0005-0000-0000-0000287E0000}"/>
    <cellStyle name="40% - Accent4 7 2 4 5" xfId="15511" xr:uid="{00000000-0005-0000-0000-0000297E0000}"/>
    <cellStyle name="40% - Accent4 7 2 5" xfId="20374" xr:uid="{00000000-0005-0000-0000-00002A7E0000}"/>
    <cellStyle name="40% - Accent4 7 2 6" xfId="30099" xr:uid="{00000000-0005-0000-0000-00002B7E0000}"/>
    <cellStyle name="40% - Accent4 7 2 7" xfId="39824" xr:uid="{00000000-0005-0000-0000-00002C7E0000}"/>
    <cellStyle name="40% - Accent4 7 2 8" xfId="10649" xr:uid="{00000000-0005-0000-0000-00002D7E0000}"/>
    <cellStyle name="40% - Accent4 7 3" xfId="1372" xr:uid="{00000000-0005-0000-0000-00002E7E0000}"/>
    <cellStyle name="40% - Accent4 7 3 2" xfId="2993" xr:uid="{00000000-0005-0000-0000-00002F7E0000}"/>
    <cellStyle name="40% - Accent4 7 3 2 2" xfId="7855" xr:uid="{00000000-0005-0000-0000-0000307E0000}"/>
    <cellStyle name="40% - Accent4 7 3 2 2 2" xfId="27306" xr:uid="{00000000-0005-0000-0000-0000317E0000}"/>
    <cellStyle name="40% - Accent4 7 3 2 2 3" xfId="37031" xr:uid="{00000000-0005-0000-0000-0000327E0000}"/>
    <cellStyle name="40% - Accent4 7 3 2 2 4" xfId="46756" xr:uid="{00000000-0005-0000-0000-0000337E0000}"/>
    <cellStyle name="40% - Accent4 7 3 2 2 5" xfId="17581" xr:uid="{00000000-0005-0000-0000-0000347E0000}"/>
    <cellStyle name="40% - Accent4 7 3 2 3" xfId="22444" xr:uid="{00000000-0005-0000-0000-0000357E0000}"/>
    <cellStyle name="40% - Accent4 7 3 2 4" xfId="32169" xr:uid="{00000000-0005-0000-0000-0000367E0000}"/>
    <cellStyle name="40% - Accent4 7 3 2 5" xfId="41894" xr:uid="{00000000-0005-0000-0000-0000377E0000}"/>
    <cellStyle name="40% - Accent4 7 3 2 6" xfId="12719" xr:uid="{00000000-0005-0000-0000-0000387E0000}"/>
    <cellStyle name="40% - Accent4 7 3 3" xfId="4613" xr:uid="{00000000-0005-0000-0000-0000397E0000}"/>
    <cellStyle name="40% - Accent4 7 3 3 2" xfId="9475" xr:uid="{00000000-0005-0000-0000-00003A7E0000}"/>
    <cellStyle name="40% - Accent4 7 3 3 2 2" xfId="28926" xr:uid="{00000000-0005-0000-0000-00003B7E0000}"/>
    <cellStyle name="40% - Accent4 7 3 3 2 3" xfId="38651" xr:uid="{00000000-0005-0000-0000-00003C7E0000}"/>
    <cellStyle name="40% - Accent4 7 3 3 2 4" xfId="48376" xr:uid="{00000000-0005-0000-0000-00003D7E0000}"/>
    <cellStyle name="40% - Accent4 7 3 3 2 5" xfId="19201" xr:uid="{00000000-0005-0000-0000-00003E7E0000}"/>
    <cellStyle name="40% - Accent4 7 3 3 3" xfId="24064" xr:uid="{00000000-0005-0000-0000-00003F7E0000}"/>
    <cellStyle name="40% - Accent4 7 3 3 4" xfId="33789" xr:uid="{00000000-0005-0000-0000-0000407E0000}"/>
    <cellStyle name="40% - Accent4 7 3 3 5" xfId="43514" xr:uid="{00000000-0005-0000-0000-0000417E0000}"/>
    <cellStyle name="40% - Accent4 7 3 3 6" xfId="14339" xr:uid="{00000000-0005-0000-0000-0000427E0000}"/>
    <cellStyle name="40% - Accent4 7 3 4" xfId="6235" xr:uid="{00000000-0005-0000-0000-0000437E0000}"/>
    <cellStyle name="40% - Accent4 7 3 4 2" xfId="25686" xr:uid="{00000000-0005-0000-0000-0000447E0000}"/>
    <cellStyle name="40% - Accent4 7 3 4 3" xfId="35411" xr:uid="{00000000-0005-0000-0000-0000457E0000}"/>
    <cellStyle name="40% - Accent4 7 3 4 4" xfId="45136" xr:uid="{00000000-0005-0000-0000-0000467E0000}"/>
    <cellStyle name="40% - Accent4 7 3 4 5" xfId="15961" xr:uid="{00000000-0005-0000-0000-0000477E0000}"/>
    <cellStyle name="40% - Accent4 7 3 5" xfId="20824" xr:uid="{00000000-0005-0000-0000-0000487E0000}"/>
    <cellStyle name="40% - Accent4 7 3 6" xfId="30549" xr:uid="{00000000-0005-0000-0000-0000497E0000}"/>
    <cellStyle name="40% - Accent4 7 3 7" xfId="40274" xr:uid="{00000000-0005-0000-0000-00004A7E0000}"/>
    <cellStyle name="40% - Accent4 7 3 8" xfId="11099" xr:uid="{00000000-0005-0000-0000-00004B7E0000}"/>
    <cellStyle name="40% - Accent4 7 4" xfId="543" xr:uid="{00000000-0005-0000-0000-00004C7E0000}"/>
    <cellStyle name="40% - Accent4 7 4 2" xfId="2183" xr:uid="{00000000-0005-0000-0000-00004D7E0000}"/>
    <cellStyle name="40% - Accent4 7 4 2 2" xfId="7045" xr:uid="{00000000-0005-0000-0000-00004E7E0000}"/>
    <cellStyle name="40% - Accent4 7 4 2 2 2" xfId="26496" xr:uid="{00000000-0005-0000-0000-00004F7E0000}"/>
    <cellStyle name="40% - Accent4 7 4 2 2 3" xfId="36221" xr:uid="{00000000-0005-0000-0000-0000507E0000}"/>
    <cellStyle name="40% - Accent4 7 4 2 2 4" xfId="45946" xr:uid="{00000000-0005-0000-0000-0000517E0000}"/>
    <cellStyle name="40% - Accent4 7 4 2 2 5" xfId="16771" xr:uid="{00000000-0005-0000-0000-0000527E0000}"/>
    <cellStyle name="40% - Accent4 7 4 2 3" xfId="21634" xr:uid="{00000000-0005-0000-0000-0000537E0000}"/>
    <cellStyle name="40% - Accent4 7 4 2 4" xfId="31359" xr:uid="{00000000-0005-0000-0000-0000547E0000}"/>
    <cellStyle name="40% - Accent4 7 4 2 5" xfId="41084" xr:uid="{00000000-0005-0000-0000-0000557E0000}"/>
    <cellStyle name="40% - Accent4 7 4 2 6" xfId="11909" xr:uid="{00000000-0005-0000-0000-0000567E0000}"/>
    <cellStyle name="40% - Accent4 7 4 3" xfId="3803" xr:uid="{00000000-0005-0000-0000-0000577E0000}"/>
    <cellStyle name="40% - Accent4 7 4 3 2" xfId="8665" xr:uid="{00000000-0005-0000-0000-0000587E0000}"/>
    <cellStyle name="40% - Accent4 7 4 3 2 2" xfId="28116" xr:uid="{00000000-0005-0000-0000-0000597E0000}"/>
    <cellStyle name="40% - Accent4 7 4 3 2 3" xfId="37841" xr:uid="{00000000-0005-0000-0000-00005A7E0000}"/>
    <cellStyle name="40% - Accent4 7 4 3 2 4" xfId="47566" xr:uid="{00000000-0005-0000-0000-00005B7E0000}"/>
    <cellStyle name="40% - Accent4 7 4 3 2 5" xfId="18391" xr:uid="{00000000-0005-0000-0000-00005C7E0000}"/>
    <cellStyle name="40% - Accent4 7 4 3 3" xfId="23254" xr:uid="{00000000-0005-0000-0000-00005D7E0000}"/>
    <cellStyle name="40% - Accent4 7 4 3 4" xfId="32979" xr:uid="{00000000-0005-0000-0000-00005E7E0000}"/>
    <cellStyle name="40% - Accent4 7 4 3 5" xfId="42704" xr:uid="{00000000-0005-0000-0000-00005F7E0000}"/>
    <cellStyle name="40% - Accent4 7 4 3 6" xfId="13529" xr:uid="{00000000-0005-0000-0000-0000607E0000}"/>
    <cellStyle name="40% - Accent4 7 4 4" xfId="5425" xr:uid="{00000000-0005-0000-0000-0000617E0000}"/>
    <cellStyle name="40% - Accent4 7 4 4 2" xfId="24876" xr:uid="{00000000-0005-0000-0000-0000627E0000}"/>
    <cellStyle name="40% - Accent4 7 4 4 3" xfId="34601" xr:uid="{00000000-0005-0000-0000-0000637E0000}"/>
    <cellStyle name="40% - Accent4 7 4 4 4" xfId="44326" xr:uid="{00000000-0005-0000-0000-0000647E0000}"/>
    <cellStyle name="40% - Accent4 7 4 4 5" xfId="15151" xr:uid="{00000000-0005-0000-0000-0000657E0000}"/>
    <cellStyle name="40% - Accent4 7 4 5" xfId="20014" xr:uid="{00000000-0005-0000-0000-0000667E0000}"/>
    <cellStyle name="40% - Accent4 7 4 6" xfId="29739" xr:uid="{00000000-0005-0000-0000-0000677E0000}"/>
    <cellStyle name="40% - Accent4 7 4 7" xfId="39464" xr:uid="{00000000-0005-0000-0000-0000687E0000}"/>
    <cellStyle name="40% - Accent4 7 4 8" xfId="10289" xr:uid="{00000000-0005-0000-0000-0000697E0000}"/>
    <cellStyle name="40% - Accent4 7 5" xfId="1823" xr:uid="{00000000-0005-0000-0000-00006A7E0000}"/>
    <cellStyle name="40% - Accent4 7 5 2" xfId="6685" xr:uid="{00000000-0005-0000-0000-00006B7E0000}"/>
    <cellStyle name="40% - Accent4 7 5 2 2" xfId="26136" xr:uid="{00000000-0005-0000-0000-00006C7E0000}"/>
    <cellStyle name="40% - Accent4 7 5 2 3" xfId="35861" xr:uid="{00000000-0005-0000-0000-00006D7E0000}"/>
    <cellStyle name="40% - Accent4 7 5 2 4" xfId="45586" xr:uid="{00000000-0005-0000-0000-00006E7E0000}"/>
    <cellStyle name="40% - Accent4 7 5 2 5" xfId="16411" xr:uid="{00000000-0005-0000-0000-00006F7E0000}"/>
    <cellStyle name="40% - Accent4 7 5 3" xfId="21274" xr:uid="{00000000-0005-0000-0000-0000707E0000}"/>
    <cellStyle name="40% - Accent4 7 5 4" xfId="30999" xr:uid="{00000000-0005-0000-0000-0000717E0000}"/>
    <cellStyle name="40% - Accent4 7 5 5" xfId="40724" xr:uid="{00000000-0005-0000-0000-0000727E0000}"/>
    <cellStyle name="40% - Accent4 7 5 6" xfId="11549" xr:uid="{00000000-0005-0000-0000-0000737E0000}"/>
    <cellStyle name="40% - Accent4 7 6" xfId="3443" xr:uid="{00000000-0005-0000-0000-0000747E0000}"/>
    <cellStyle name="40% - Accent4 7 6 2" xfId="8305" xr:uid="{00000000-0005-0000-0000-0000757E0000}"/>
    <cellStyle name="40% - Accent4 7 6 2 2" xfId="27756" xr:uid="{00000000-0005-0000-0000-0000767E0000}"/>
    <cellStyle name="40% - Accent4 7 6 2 3" xfId="37481" xr:uid="{00000000-0005-0000-0000-0000777E0000}"/>
    <cellStyle name="40% - Accent4 7 6 2 4" xfId="47206" xr:uid="{00000000-0005-0000-0000-0000787E0000}"/>
    <cellStyle name="40% - Accent4 7 6 2 5" xfId="18031" xr:uid="{00000000-0005-0000-0000-0000797E0000}"/>
    <cellStyle name="40% - Accent4 7 6 3" xfId="22894" xr:uid="{00000000-0005-0000-0000-00007A7E0000}"/>
    <cellStyle name="40% - Accent4 7 6 4" xfId="32619" xr:uid="{00000000-0005-0000-0000-00007B7E0000}"/>
    <cellStyle name="40% - Accent4 7 6 5" xfId="42344" xr:uid="{00000000-0005-0000-0000-00007C7E0000}"/>
    <cellStyle name="40% - Accent4 7 6 6" xfId="13169" xr:uid="{00000000-0005-0000-0000-00007D7E0000}"/>
    <cellStyle name="40% - Accent4 7 7" xfId="5065" xr:uid="{00000000-0005-0000-0000-00007E7E0000}"/>
    <cellStyle name="40% - Accent4 7 7 2" xfId="24516" xr:uid="{00000000-0005-0000-0000-00007F7E0000}"/>
    <cellStyle name="40% - Accent4 7 7 3" xfId="34241" xr:uid="{00000000-0005-0000-0000-0000807E0000}"/>
    <cellStyle name="40% - Accent4 7 7 4" xfId="43966" xr:uid="{00000000-0005-0000-0000-0000817E0000}"/>
    <cellStyle name="40% - Accent4 7 7 5" xfId="14791" xr:uid="{00000000-0005-0000-0000-0000827E0000}"/>
    <cellStyle name="40% - Accent4 7 8" xfId="19654" xr:uid="{00000000-0005-0000-0000-0000837E0000}"/>
    <cellStyle name="40% - Accent4 7 9" xfId="29379" xr:uid="{00000000-0005-0000-0000-0000847E0000}"/>
    <cellStyle name="40% - Accent4 8" xfId="414" xr:uid="{00000000-0005-0000-0000-0000857E0000}"/>
    <cellStyle name="40% - Accent4 9" xfId="814" xr:uid="{00000000-0005-0000-0000-0000867E0000}"/>
    <cellStyle name="40% - Accent4 9 2" xfId="2453" xr:uid="{00000000-0005-0000-0000-0000877E0000}"/>
    <cellStyle name="40% - Accent4 9 2 2" xfId="7315" xr:uid="{00000000-0005-0000-0000-0000887E0000}"/>
    <cellStyle name="40% - Accent4 9 2 2 2" xfId="26766" xr:uid="{00000000-0005-0000-0000-0000897E0000}"/>
    <cellStyle name="40% - Accent4 9 2 2 3" xfId="36491" xr:uid="{00000000-0005-0000-0000-00008A7E0000}"/>
    <cellStyle name="40% - Accent4 9 2 2 4" xfId="46216" xr:uid="{00000000-0005-0000-0000-00008B7E0000}"/>
    <cellStyle name="40% - Accent4 9 2 2 5" xfId="17041" xr:uid="{00000000-0005-0000-0000-00008C7E0000}"/>
    <cellStyle name="40% - Accent4 9 2 3" xfId="21904" xr:uid="{00000000-0005-0000-0000-00008D7E0000}"/>
    <cellStyle name="40% - Accent4 9 2 4" xfId="31629" xr:uid="{00000000-0005-0000-0000-00008E7E0000}"/>
    <cellStyle name="40% - Accent4 9 2 5" xfId="41354" xr:uid="{00000000-0005-0000-0000-00008F7E0000}"/>
    <cellStyle name="40% - Accent4 9 2 6" xfId="12179" xr:uid="{00000000-0005-0000-0000-0000907E0000}"/>
    <cellStyle name="40% - Accent4 9 3" xfId="4073" xr:uid="{00000000-0005-0000-0000-0000917E0000}"/>
    <cellStyle name="40% - Accent4 9 3 2" xfId="8935" xr:uid="{00000000-0005-0000-0000-0000927E0000}"/>
    <cellStyle name="40% - Accent4 9 3 2 2" xfId="28386" xr:uid="{00000000-0005-0000-0000-0000937E0000}"/>
    <cellStyle name="40% - Accent4 9 3 2 3" xfId="38111" xr:uid="{00000000-0005-0000-0000-0000947E0000}"/>
    <cellStyle name="40% - Accent4 9 3 2 4" xfId="47836" xr:uid="{00000000-0005-0000-0000-0000957E0000}"/>
    <cellStyle name="40% - Accent4 9 3 2 5" xfId="18661" xr:uid="{00000000-0005-0000-0000-0000967E0000}"/>
    <cellStyle name="40% - Accent4 9 3 3" xfId="23524" xr:uid="{00000000-0005-0000-0000-0000977E0000}"/>
    <cellStyle name="40% - Accent4 9 3 4" xfId="33249" xr:uid="{00000000-0005-0000-0000-0000987E0000}"/>
    <cellStyle name="40% - Accent4 9 3 5" xfId="42974" xr:uid="{00000000-0005-0000-0000-0000997E0000}"/>
    <cellStyle name="40% - Accent4 9 3 6" xfId="13799" xr:uid="{00000000-0005-0000-0000-00009A7E0000}"/>
    <cellStyle name="40% - Accent4 9 4" xfId="5695" xr:uid="{00000000-0005-0000-0000-00009B7E0000}"/>
    <cellStyle name="40% - Accent4 9 4 2" xfId="25146" xr:uid="{00000000-0005-0000-0000-00009C7E0000}"/>
    <cellStyle name="40% - Accent4 9 4 3" xfId="34871" xr:uid="{00000000-0005-0000-0000-00009D7E0000}"/>
    <cellStyle name="40% - Accent4 9 4 4" xfId="44596" xr:uid="{00000000-0005-0000-0000-00009E7E0000}"/>
    <cellStyle name="40% - Accent4 9 4 5" xfId="15421" xr:uid="{00000000-0005-0000-0000-00009F7E0000}"/>
    <cellStyle name="40% - Accent4 9 5" xfId="20284" xr:uid="{00000000-0005-0000-0000-0000A07E0000}"/>
    <cellStyle name="40% - Accent4 9 6" xfId="30009" xr:uid="{00000000-0005-0000-0000-0000A17E0000}"/>
    <cellStyle name="40% - Accent4 9 7" xfId="39734" xr:uid="{00000000-0005-0000-0000-0000A27E0000}"/>
    <cellStyle name="40% - Accent4 9 8" xfId="10559" xr:uid="{00000000-0005-0000-0000-0000A37E0000}"/>
    <cellStyle name="40% - Accent5" xfId="47" builtinId="47" customBuiltin="1"/>
    <cellStyle name="40% - Accent5 10" xfId="1194" xr:uid="{00000000-0005-0000-0000-0000A57E0000}"/>
    <cellStyle name="40% - Accent5 10 2" xfId="2815" xr:uid="{00000000-0005-0000-0000-0000A67E0000}"/>
    <cellStyle name="40% - Accent5 10 2 2" xfId="7677" xr:uid="{00000000-0005-0000-0000-0000A77E0000}"/>
    <cellStyle name="40% - Accent5 10 2 2 2" xfId="27128" xr:uid="{00000000-0005-0000-0000-0000A87E0000}"/>
    <cellStyle name="40% - Accent5 10 2 2 3" xfId="36853" xr:uid="{00000000-0005-0000-0000-0000A97E0000}"/>
    <cellStyle name="40% - Accent5 10 2 2 4" xfId="46578" xr:uid="{00000000-0005-0000-0000-0000AA7E0000}"/>
    <cellStyle name="40% - Accent5 10 2 2 5" xfId="17403" xr:uid="{00000000-0005-0000-0000-0000AB7E0000}"/>
    <cellStyle name="40% - Accent5 10 2 3" xfId="22266" xr:uid="{00000000-0005-0000-0000-0000AC7E0000}"/>
    <cellStyle name="40% - Accent5 10 2 4" xfId="31991" xr:uid="{00000000-0005-0000-0000-0000AD7E0000}"/>
    <cellStyle name="40% - Accent5 10 2 5" xfId="41716" xr:uid="{00000000-0005-0000-0000-0000AE7E0000}"/>
    <cellStyle name="40% - Accent5 10 2 6" xfId="12541" xr:uid="{00000000-0005-0000-0000-0000AF7E0000}"/>
    <cellStyle name="40% - Accent5 10 3" xfId="4435" xr:uid="{00000000-0005-0000-0000-0000B07E0000}"/>
    <cellStyle name="40% - Accent5 10 3 2" xfId="9297" xr:uid="{00000000-0005-0000-0000-0000B17E0000}"/>
    <cellStyle name="40% - Accent5 10 3 2 2" xfId="28748" xr:uid="{00000000-0005-0000-0000-0000B27E0000}"/>
    <cellStyle name="40% - Accent5 10 3 2 3" xfId="38473" xr:uid="{00000000-0005-0000-0000-0000B37E0000}"/>
    <cellStyle name="40% - Accent5 10 3 2 4" xfId="48198" xr:uid="{00000000-0005-0000-0000-0000B47E0000}"/>
    <cellStyle name="40% - Accent5 10 3 2 5" xfId="19023" xr:uid="{00000000-0005-0000-0000-0000B57E0000}"/>
    <cellStyle name="40% - Accent5 10 3 3" xfId="23886" xr:uid="{00000000-0005-0000-0000-0000B67E0000}"/>
    <cellStyle name="40% - Accent5 10 3 4" xfId="33611" xr:uid="{00000000-0005-0000-0000-0000B77E0000}"/>
    <cellStyle name="40% - Accent5 10 3 5" xfId="43336" xr:uid="{00000000-0005-0000-0000-0000B87E0000}"/>
    <cellStyle name="40% - Accent5 10 3 6" xfId="14161" xr:uid="{00000000-0005-0000-0000-0000B97E0000}"/>
    <cellStyle name="40% - Accent5 10 4" xfId="6057" xr:uid="{00000000-0005-0000-0000-0000BA7E0000}"/>
    <cellStyle name="40% - Accent5 10 4 2" xfId="25508" xr:uid="{00000000-0005-0000-0000-0000BB7E0000}"/>
    <cellStyle name="40% - Accent5 10 4 3" xfId="35233" xr:uid="{00000000-0005-0000-0000-0000BC7E0000}"/>
    <cellStyle name="40% - Accent5 10 4 4" xfId="44958" xr:uid="{00000000-0005-0000-0000-0000BD7E0000}"/>
    <cellStyle name="40% - Accent5 10 4 5" xfId="15783" xr:uid="{00000000-0005-0000-0000-0000BE7E0000}"/>
    <cellStyle name="40% - Accent5 10 5" xfId="20646" xr:uid="{00000000-0005-0000-0000-0000BF7E0000}"/>
    <cellStyle name="40% - Accent5 10 6" xfId="30371" xr:uid="{00000000-0005-0000-0000-0000C07E0000}"/>
    <cellStyle name="40% - Accent5 10 7" xfId="40096" xr:uid="{00000000-0005-0000-0000-0000C17E0000}"/>
    <cellStyle name="40% - Accent5 10 8" xfId="10921" xr:uid="{00000000-0005-0000-0000-0000C27E0000}"/>
    <cellStyle name="40% - Accent5 11" xfId="1284" xr:uid="{00000000-0005-0000-0000-0000C37E0000}"/>
    <cellStyle name="40% - Accent5 11 2" xfId="2905" xr:uid="{00000000-0005-0000-0000-0000C47E0000}"/>
    <cellStyle name="40% - Accent5 11 2 2" xfId="7767" xr:uid="{00000000-0005-0000-0000-0000C57E0000}"/>
    <cellStyle name="40% - Accent5 11 2 2 2" xfId="27218" xr:uid="{00000000-0005-0000-0000-0000C67E0000}"/>
    <cellStyle name="40% - Accent5 11 2 2 3" xfId="36943" xr:uid="{00000000-0005-0000-0000-0000C77E0000}"/>
    <cellStyle name="40% - Accent5 11 2 2 4" xfId="46668" xr:uid="{00000000-0005-0000-0000-0000C87E0000}"/>
    <cellStyle name="40% - Accent5 11 2 2 5" xfId="17493" xr:uid="{00000000-0005-0000-0000-0000C97E0000}"/>
    <cellStyle name="40% - Accent5 11 2 3" xfId="22356" xr:uid="{00000000-0005-0000-0000-0000CA7E0000}"/>
    <cellStyle name="40% - Accent5 11 2 4" xfId="32081" xr:uid="{00000000-0005-0000-0000-0000CB7E0000}"/>
    <cellStyle name="40% - Accent5 11 2 5" xfId="41806" xr:uid="{00000000-0005-0000-0000-0000CC7E0000}"/>
    <cellStyle name="40% - Accent5 11 2 6" xfId="12631" xr:uid="{00000000-0005-0000-0000-0000CD7E0000}"/>
    <cellStyle name="40% - Accent5 11 3" xfId="4525" xr:uid="{00000000-0005-0000-0000-0000CE7E0000}"/>
    <cellStyle name="40% - Accent5 11 3 2" xfId="9387" xr:uid="{00000000-0005-0000-0000-0000CF7E0000}"/>
    <cellStyle name="40% - Accent5 11 3 2 2" xfId="28838" xr:uid="{00000000-0005-0000-0000-0000D07E0000}"/>
    <cellStyle name="40% - Accent5 11 3 2 3" xfId="38563" xr:uid="{00000000-0005-0000-0000-0000D17E0000}"/>
    <cellStyle name="40% - Accent5 11 3 2 4" xfId="48288" xr:uid="{00000000-0005-0000-0000-0000D27E0000}"/>
    <cellStyle name="40% - Accent5 11 3 2 5" xfId="19113" xr:uid="{00000000-0005-0000-0000-0000D37E0000}"/>
    <cellStyle name="40% - Accent5 11 3 3" xfId="23976" xr:uid="{00000000-0005-0000-0000-0000D47E0000}"/>
    <cellStyle name="40% - Accent5 11 3 4" xfId="33701" xr:uid="{00000000-0005-0000-0000-0000D57E0000}"/>
    <cellStyle name="40% - Accent5 11 3 5" xfId="43426" xr:uid="{00000000-0005-0000-0000-0000D67E0000}"/>
    <cellStyle name="40% - Accent5 11 3 6" xfId="14251" xr:uid="{00000000-0005-0000-0000-0000D77E0000}"/>
    <cellStyle name="40% - Accent5 11 4" xfId="6147" xr:uid="{00000000-0005-0000-0000-0000D87E0000}"/>
    <cellStyle name="40% - Accent5 11 4 2" xfId="25598" xr:uid="{00000000-0005-0000-0000-0000D97E0000}"/>
    <cellStyle name="40% - Accent5 11 4 3" xfId="35323" xr:uid="{00000000-0005-0000-0000-0000DA7E0000}"/>
    <cellStyle name="40% - Accent5 11 4 4" xfId="45048" xr:uid="{00000000-0005-0000-0000-0000DB7E0000}"/>
    <cellStyle name="40% - Accent5 11 4 5" xfId="15873" xr:uid="{00000000-0005-0000-0000-0000DC7E0000}"/>
    <cellStyle name="40% - Accent5 11 5" xfId="20736" xr:uid="{00000000-0005-0000-0000-0000DD7E0000}"/>
    <cellStyle name="40% - Accent5 11 6" xfId="30461" xr:uid="{00000000-0005-0000-0000-0000DE7E0000}"/>
    <cellStyle name="40% - Accent5 11 7" xfId="40186" xr:uid="{00000000-0005-0000-0000-0000DF7E0000}"/>
    <cellStyle name="40% - Accent5 11 8" xfId="11011" xr:uid="{00000000-0005-0000-0000-0000E07E0000}"/>
    <cellStyle name="40% - Accent5 12" xfId="455" xr:uid="{00000000-0005-0000-0000-0000E17E0000}"/>
    <cellStyle name="40% - Accent5 12 2" xfId="2095" xr:uid="{00000000-0005-0000-0000-0000E27E0000}"/>
    <cellStyle name="40% - Accent5 12 2 2" xfId="6957" xr:uid="{00000000-0005-0000-0000-0000E37E0000}"/>
    <cellStyle name="40% - Accent5 12 2 2 2" xfId="26408" xr:uid="{00000000-0005-0000-0000-0000E47E0000}"/>
    <cellStyle name="40% - Accent5 12 2 2 3" xfId="36133" xr:uid="{00000000-0005-0000-0000-0000E57E0000}"/>
    <cellStyle name="40% - Accent5 12 2 2 4" xfId="45858" xr:uid="{00000000-0005-0000-0000-0000E67E0000}"/>
    <cellStyle name="40% - Accent5 12 2 2 5" xfId="16683" xr:uid="{00000000-0005-0000-0000-0000E77E0000}"/>
    <cellStyle name="40% - Accent5 12 2 3" xfId="21546" xr:uid="{00000000-0005-0000-0000-0000E87E0000}"/>
    <cellStyle name="40% - Accent5 12 2 4" xfId="31271" xr:uid="{00000000-0005-0000-0000-0000E97E0000}"/>
    <cellStyle name="40% - Accent5 12 2 5" xfId="40996" xr:uid="{00000000-0005-0000-0000-0000EA7E0000}"/>
    <cellStyle name="40% - Accent5 12 2 6" xfId="11821" xr:uid="{00000000-0005-0000-0000-0000EB7E0000}"/>
    <cellStyle name="40% - Accent5 12 3" xfId="3715" xr:uid="{00000000-0005-0000-0000-0000EC7E0000}"/>
    <cellStyle name="40% - Accent5 12 3 2" xfId="8577" xr:uid="{00000000-0005-0000-0000-0000ED7E0000}"/>
    <cellStyle name="40% - Accent5 12 3 2 2" xfId="28028" xr:uid="{00000000-0005-0000-0000-0000EE7E0000}"/>
    <cellStyle name="40% - Accent5 12 3 2 3" xfId="37753" xr:uid="{00000000-0005-0000-0000-0000EF7E0000}"/>
    <cellStyle name="40% - Accent5 12 3 2 4" xfId="47478" xr:uid="{00000000-0005-0000-0000-0000F07E0000}"/>
    <cellStyle name="40% - Accent5 12 3 2 5" xfId="18303" xr:uid="{00000000-0005-0000-0000-0000F17E0000}"/>
    <cellStyle name="40% - Accent5 12 3 3" xfId="23166" xr:uid="{00000000-0005-0000-0000-0000F27E0000}"/>
    <cellStyle name="40% - Accent5 12 3 4" xfId="32891" xr:uid="{00000000-0005-0000-0000-0000F37E0000}"/>
    <cellStyle name="40% - Accent5 12 3 5" xfId="42616" xr:uid="{00000000-0005-0000-0000-0000F47E0000}"/>
    <cellStyle name="40% - Accent5 12 3 6" xfId="13441" xr:uid="{00000000-0005-0000-0000-0000F57E0000}"/>
    <cellStyle name="40% - Accent5 12 4" xfId="5337" xr:uid="{00000000-0005-0000-0000-0000F67E0000}"/>
    <cellStyle name="40% - Accent5 12 4 2" xfId="24788" xr:uid="{00000000-0005-0000-0000-0000F77E0000}"/>
    <cellStyle name="40% - Accent5 12 4 3" xfId="34513" xr:uid="{00000000-0005-0000-0000-0000F87E0000}"/>
    <cellStyle name="40% - Accent5 12 4 4" xfId="44238" xr:uid="{00000000-0005-0000-0000-0000F97E0000}"/>
    <cellStyle name="40% - Accent5 12 4 5" xfId="15063" xr:uid="{00000000-0005-0000-0000-0000FA7E0000}"/>
    <cellStyle name="40% - Accent5 12 5" xfId="19926" xr:uid="{00000000-0005-0000-0000-0000FB7E0000}"/>
    <cellStyle name="40% - Accent5 12 6" xfId="29651" xr:uid="{00000000-0005-0000-0000-0000FC7E0000}"/>
    <cellStyle name="40% - Accent5 12 7" xfId="39376" xr:uid="{00000000-0005-0000-0000-0000FD7E0000}"/>
    <cellStyle name="40% - Accent5 12 8" xfId="10201" xr:uid="{00000000-0005-0000-0000-0000FE7E0000}"/>
    <cellStyle name="40% - Accent5 13" xfId="1644" xr:uid="{00000000-0005-0000-0000-0000FF7E0000}"/>
    <cellStyle name="40% - Accent5 13 2" xfId="3265" xr:uid="{00000000-0005-0000-0000-0000007F0000}"/>
    <cellStyle name="40% - Accent5 13 2 2" xfId="8127" xr:uid="{00000000-0005-0000-0000-0000017F0000}"/>
    <cellStyle name="40% - Accent5 13 2 2 2" xfId="27578" xr:uid="{00000000-0005-0000-0000-0000027F0000}"/>
    <cellStyle name="40% - Accent5 13 2 2 3" xfId="37303" xr:uid="{00000000-0005-0000-0000-0000037F0000}"/>
    <cellStyle name="40% - Accent5 13 2 2 4" xfId="47028" xr:uid="{00000000-0005-0000-0000-0000047F0000}"/>
    <cellStyle name="40% - Accent5 13 2 2 5" xfId="17853" xr:uid="{00000000-0005-0000-0000-0000057F0000}"/>
    <cellStyle name="40% - Accent5 13 2 3" xfId="22716" xr:uid="{00000000-0005-0000-0000-0000067F0000}"/>
    <cellStyle name="40% - Accent5 13 2 4" xfId="32441" xr:uid="{00000000-0005-0000-0000-0000077F0000}"/>
    <cellStyle name="40% - Accent5 13 2 5" xfId="42166" xr:uid="{00000000-0005-0000-0000-0000087F0000}"/>
    <cellStyle name="40% - Accent5 13 2 6" xfId="12991" xr:uid="{00000000-0005-0000-0000-0000097F0000}"/>
    <cellStyle name="40% - Accent5 13 3" xfId="4885" xr:uid="{00000000-0005-0000-0000-00000A7F0000}"/>
    <cellStyle name="40% - Accent5 13 3 2" xfId="9747" xr:uid="{00000000-0005-0000-0000-00000B7F0000}"/>
    <cellStyle name="40% - Accent5 13 3 2 2" xfId="29198" xr:uid="{00000000-0005-0000-0000-00000C7F0000}"/>
    <cellStyle name="40% - Accent5 13 3 2 3" xfId="38923" xr:uid="{00000000-0005-0000-0000-00000D7F0000}"/>
    <cellStyle name="40% - Accent5 13 3 2 4" xfId="48648" xr:uid="{00000000-0005-0000-0000-00000E7F0000}"/>
    <cellStyle name="40% - Accent5 13 3 2 5" xfId="19473" xr:uid="{00000000-0005-0000-0000-00000F7F0000}"/>
    <cellStyle name="40% - Accent5 13 3 3" xfId="24336" xr:uid="{00000000-0005-0000-0000-0000107F0000}"/>
    <cellStyle name="40% - Accent5 13 3 4" xfId="34061" xr:uid="{00000000-0005-0000-0000-0000117F0000}"/>
    <cellStyle name="40% - Accent5 13 3 5" xfId="43786" xr:uid="{00000000-0005-0000-0000-0000127F0000}"/>
    <cellStyle name="40% - Accent5 13 3 6" xfId="14611" xr:uid="{00000000-0005-0000-0000-0000137F0000}"/>
    <cellStyle name="40% - Accent5 13 4" xfId="6507" xr:uid="{00000000-0005-0000-0000-0000147F0000}"/>
    <cellStyle name="40% - Accent5 13 4 2" xfId="25958" xr:uid="{00000000-0005-0000-0000-0000157F0000}"/>
    <cellStyle name="40% - Accent5 13 4 3" xfId="35683" xr:uid="{00000000-0005-0000-0000-0000167F0000}"/>
    <cellStyle name="40% - Accent5 13 4 4" xfId="45408" xr:uid="{00000000-0005-0000-0000-0000177F0000}"/>
    <cellStyle name="40% - Accent5 13 4 5" xfId="16233" xr:uid="{00000000-0005-0000-0000-0000187F0000}"/>
    <cellStyle name="40% - Accent5 13 5" xfId="21096" xr:uid="{00000000-0005-0000-0000-0000197F0000}"/>
    <cellStyle name="40% - Accent5 13 6" xfId="30821" xr:uid="{00000000-0005-0000-0000-00001A7F0000}"/>
    <cellStyle name="40% - Accent5 13 7" xfId="40546" xr:uid="{00000000-0005-0000-0000-00001B7F0000}"/>
    <cellStyle name="40% - Accent5 13 8" xfId="11371" xr:uid="{00000000-0005-0000-0000-00001C7F0000}"/>
    <cellStyle name="40% - Accent5 14" xfId="1735" xr:uid="{00000000-0005-0000-0000-00001D7F0000}"/>
    <cellStyle name="40% - Accent5 14 2" xfId="6597" xr:uid="{00000000-0005-0000-0000-00001E7F0000}"/>
    <cellStyle name="40% - Accent5 14 2 2" xfId="26048" xr:uid="{00000000-0005-0000-0000-00001F7F0000}"/>
    <cellStyle name="40% - Accent5 14 2 3" xfId="35773" xr:uid="{00000000-0005-0000-0000-0000207F0000}"/>
    <cellStyle name="40% - Accent5 14 2 4" xfId="45498" xr:uid="{00000000-0005-0000-0000-0000217F0000}"/>
    <cellStyle name="40% - Accent5 14 2 5" xfId="16323" xr:uid="{00000000-0005-0000-0000-0000227F0000}"/>
    <cellStyle name="40% - Accent5 14 3" xfId="21186" xr:uid="{00000000-0005-0000-0000-0000237F0000}"/>
    <cellStyle name="40% - Accent5 14 4" xfId="30911" xr:uid="{00000000-0005-0000-0000-0000247F0000}"/>
    <cellStyle name="40% - Accent5 14 5" xfId="40636" xr:uid="{00000000-0005-0000-0000-0000257F0000}"/>
    <cellStyle name="40% - Accent5 14 6" xfId="11461" xr:uid="{00000000-0005-0000-0000-0000267F0000}"/>
    <cellStyle name="40% - Accent5 15" xfId="3355" xr:uid="{00000000-0005-0000-0000-0000277F0000}"/>
    <cellStyle name="40% - Accent5 15 2" xfId="8217" xr:uid="{00000000-0005-0000-0000-0000287F0000}"/>
    <cellStyle name="40% - Accent5 15 2 2" xfId="27668" xr:uid="{00000000-0005-0000-0000-0000297F0000}"/>
    <cellStyle name="40% - Accent5 15 2 3" xfId="37393" xr:uid="{00000000-0005-0000-0000-00002A7F0000}"/>
    <cellStyle name="40% - Accent5 15 2 4" xfId="47118" xr:uid="{00000000-0005-0000-0000-00002B7F0000}"/>
    <cellStyle name="40% - Accent5 15 2 5" xfId="17943" xr:uid="{00000000-0005-0000-0000-00002C7F0000}"/>
    <cellStyle name="40% - Accent5 15 3" xfId="22806" xr:uid="{00000000-0005-0000-0000-00002D7F0000}"/>
    <cellStyle name="40% - Accent5 15 4" xfId="32531" xr:uid="{00000000-0005-0000-0000-00002E7F0000}"/>
    <cellStyle name="40% - Accent5 15 5" xfId="42256" xr:uid="{00000000-0005-0000-0000-00002F7F0000}"/>
    <cellStyle name="40% - Accent5 15 6" xfId="13081" xr:uid="{00000000-0005-0000-0000-0000307F0000}"/>
    <cellStyle name="40% - Accent5 16" xfId="4977" xr:uid="{00000000-0005-0000-0000-0000317F0000}"/>
    <cellStyle name="40% - Accent5 16 2" xfId="24428" xr:uid="{00000000-0005-0000-0000-0000327F0000}"/>
    <cellStyle name="40% - Accent5 16 3" xfId="34153" xr:uid="{00000000-0005-0000-0000-0000337F0000}"/>
    <cellStyle name="40% - Accent5 16 4" xfId="43878" xr:uid="{00000000-0005-0000-0000-0000347F0000}"/>
    <cellStyle name="40% - Accent5 16 5" xfId="14703" xr:uid="{00000000-0005-0000-0000-0000357F0000}"/>
    <cellStyle name="40% - Accent5 17" xfId="19566" xr:uid="{00000000-0005-0000-0000-0000367F0000}"/>
    <cellStyle name="40% - Accent5 18" xfId="29291" xr:uid="{00000000-0005-0000-0000-0000377F0000}"/>
    <cellStyle name="40% - Accent5 19" xfId="39016" xr:uid="{00000000-0005-0000-0000-0000387F0000}"/>
    <cellStyle name="40% - Accent5 2" xfId="64" xr:uid="{00000000-0005-0000-0000-0000397F0000}"/>
    <cellStyle name="40% - Accent5 2 10" xfId="469" xr:uid="{00000000-0005-0000-0000-00003A7F0000}"/>
    <cellStyle name="40% - Accent5 2 10 2" xfId="2109" xr:uid="{00000000-0005-0000-0000-00003B7F0000}"/>
    <cellStyle name="40% - Accent5 2 10 2 2" xfId="6971" xr:uid="{00000000-0005-0000-0000-00003C7F0000}"/>
    <cellStyle name="40% - Accent5 2 10 2 2 2" xfId="26422" xr:uid="{00000000-0005-0000-0000-00003D7F0000}"/>
    <cellStyle name="40% - Accent5 2 10 2 2 3" xfId="36147" xr:uid="{00000000-0005-0000-0000-00003E7F0000}"/>
    <cellStyle name="40% - Accent5 2 10 2 2 4" xfId="45872" xr:uid="{00000000-0005-0000-0000-00003F7F0000}"/>
    <cellStyle name="40% - Accent5 2 10 2 2 5" xfId="16697" xr:uid="{00000000-0005-0000-0000-0000407F0000}"/>
    <cellStyle name="40% - Accent5 2 10 2 3" xfId="21560" xr:uid="{00000000-0005-0000-0000-0000417F0000}"/>
    <cellStyle name="40% - Accent5 2 10 2 4" xfId="31285" xr:uid="{00000000-0005-0000-0000-0000427F0000}"/>
    <cellStyle name="40% - Accent5 2 10 2 5" xfId="41010" xr:uid="{00000000-0005-0000-0000-0000437F0000}"/>
    <cellStyle name="40% - Accent5 2 10 2 6" xfId="11835" xr:uid="{00000000-0005-0000-0000-0000447F0000}"/>
    <cellStyle name="40% - Accent5 2 10 3" xfId="3729" xr:uid="{00000000-0005-0000-0000-0000457F0000}"/>
    <cellStyle name="40% - Accent5 2 10 3 2" xfId="8591" xr:uid="{00000000-0005-0000-0000-0000467F0000}"/>
    <cellStyle name="40% - Accent5 2 10 3 2 2" xfId="28042" xr:uid="{00000000-0005-0000-0000-0000477F0000}"/>
    <cellStyle name="40% - Accent5 2 10 3 2 3" xfId="37767" xr:uid="{00000000-0005-0000-0000-0000487F0000}"/>
    <cellStyle name="40% - Accent5 2 10 3 2 4" xfId="47492" xr:uid="{00000000-0005-0000-0000-0000497F0000}"/>
    <cellStyle name="40% - Accent5 2 10 3 2 5" xfId="18317" xr:uid="{00000000-0005-0000-0000-00004A7F0000}"/>
    <cellStyle name="40% - Accent5 2 10 3 3" xfId="23180" xr:uid="{00000000-0005-0000-0000-00004B7F0000}"/>
    <cellStyle name="40% - Accent5 2 10 3 4" xfId="32905" xr:uid="{00000000-0005-0000-0000-00004C7F0000}"/>
    <cellStyle name="40% - Accent5 2 10 3 5" xfId="42630" xr:uid="{00000000-0005-0000-0000-00004D7F0000}"/>
    <cellStyle name="40% - Accent5 2 10 3 6" xfId="13455" xr:uid="{00000000-0005-0000-0000-00004E7F0000}"/>
    <cellStyle name="40% - Accent5 2 10 4" xfId="5351" xr:uid="{00000000-0005-0000-0000-00004F7F0000}"/>
    <cellStyle name="40% - Accent5 2 10 4 2" xfId="24802" xr:uid="{00000000-0005-0000-0000-0000507F0000}"/>
    <cellStyle name="40% - Accent5 2 10 4 3" xfId="34527" xr:uid="{00000000-0005-0000-0000-0000517F0000}"/>
    <cellStyle name="40% - Accent5 2 10 4 4" xfId="44252" xr:uid="{00000000-0005-0000-0000-0000527F0000}"/>
    <cellStyle name="40% - Accent5 2 10 4 5" xfId="15077" xr:uid="{00000000-0005-0000-0000-0000537F0000}"/>
    <cellStyle name="40% - Accent5 2 10 5" xfId="19940" xr:uid="{00000000-0005-0000-0000-0000547F0000}"/>
    <cellStyle name="40% - Accent5 2 10 6" xfId="29665" xr:uid="{00000000-0005-0000-0000-0000557F0000}"/>
    <cellStyle name="40% - Accent5 2 10 7" xfId="39390" xr:uid="{00000000-0005-0000-0000-0000567F0000}"/>
    <cellStyle name="40% - Accent5 2 10 8" xfId="10215" xr:uid="{00000000-0005-0000-0000-0000577F0000}"/>
    <cellStyle name="40% - Accent5 2 11" xfId="1658" xr:uid="{00000000-0005-0000-0000-0000587F0000}"/>
    <cellStyle name="40% - Accent5 2 11 2" xfId="3279" xr:uid="{00000000-0005-0000-0000-0000597F0000}"/>
    <cellStyle name="40% - Accent5 2 11 2 2" xfId="8141" xr:uid="{00000000-0005-0000-0000-00005A7F0000}"/>
    <cellStyle name="40% - Accent5 2 11 2 2 2" xfId="27592" xr:uid="{00000000-0005-0000-0000-00005B7F0000}"/>
    <cellStyle name="40% - Accent5 2 11 2 2 3" xfId="37317" xr:uid="{00000000-0005-0000-0000-00005C7F0000}"/>
    <cellStyle name="40% - Accent5 2 11 2 2 4" xfId="47042" xr:uid="{00000000-0005-0000-0000-00005D7F0000}"/>
    <cellStyle name="40% - Accent5 2 11 2 2 5" xfId="17867" xr:uid="{00000000-0005-0000-0000-00005E7F0000}"/>
    <cellStyle name="40% - Accent5 2 11 2 3" xfId="22730" xr:uid="{00000000-0005-0000-0000-00005F7F0000}"/>
    <cellStyle name="40% - Accent5 2 11 2 4" xfId="32455" xr:uid="{00000000-0005-0000-0000-0000607F0000}"/>
    <cellStyle name="40% - Accent5 2 11 2 5" xfId="42180" xr:uid="{00000000-0005-0000-0000-0000617F0000}"/>
    <cellStyle name="40% - Accent5 2 11 2 6" xfId="13005" xr:uid="{00000000-0005-0000-0000-0000627F0000}"/>
    <cellStyle name="40% - Accent5 2 11 3" xfId="4899" xr:uid="{00000000-0005-0000-0000-0000637F0000}"/>
    <cellStyle name="40% - Accent5 2 11 3 2" xfId="9761" xr:uid="{00000000-0005-0000-0000-0000647F0000}"/>
    <cellStyle name="40% - Accent5 2 11 3 2 2" xfId="29212" xr:uid="{00000000-0005-0000-0000-0000657F0000}"/>
    <cellStyle name="40% - Accent5 2 11 3 2 3" xfId="38937" xr:uid="{00000000-0005-0000-0000-0000667F0000}"/>
    <cellStyle name="40% - Accent5 2 11 3 2 4" xfId="48662" xr:uid="{00000000-0005-0000-0000-0000677F0000}"/>
    <cellStyle name="40% - Accent5 2 11 3 2 5" xfId="19487" xr:uid="{00000000-0005-0000-0000-0000687F0000}"/>
    <cellStyle name="40% - Accent5 2 11 3 3" xfId="24350" xr:uid="{00000000-0005-0000-0000-0000697F0000}"/>
    <cellStyle name="40% - Accent5 2 11 3 4" xfId="34075" xr:uid="{00000000-0005-0000-0000-00006A7F0000}"/>
    <cellStyle name="40% - Accent5 2 11 3 5" xfId="43800" xr:uid="{00000000-0005-0000-0000-00006B7F0000}"/>
    <cellStyle name="40% - Accent5 2 11 3 6" xfId="14625" xr:uid="{00000000-0005-0000-0000-00006C7F0000}"/>
    <cellStyle name="40% - Accent5 2 11 4" xfId="6521" xr:uid="{00000000-0005-0000-0000-00006D7F0000}"/>
    <cellStyle name="40% - Accent5 2 11 4 2" xfId="25972" xr:uid="{00000000-0005-0000-0000-00006E7F0000}"/>
    <cellStyle name="40% - Accent5 2 11 4 3" xfId="35697" xr:uid="{00000000-0005-0000-0000-00006F7F0000}"/>
    <cellStyle name="40% - Accent5 2 11 4 4" xfId="45422" xr:uid="{00000000-0005-0000-0000-0000707F0000}"/>
    <cellStyle name="40% - Accent5 2 11 4 5" xfId="16247" xr:uid="{00000000-0005-0000-0000-0000717F0000}"/>
    <cellStyle name="40% - Accent5 2 11 5" xfId="21110" xr:uid="{00000000-0005-0000-0000-0000727F0000}"/>
    <cellStyle name="40% - Accent5 2 11 6" xfId="30835" xr:uid="{00000000-0005-0000-0000-0000737F0000}"/>
    <cellStyle name="40% - Accent5 2 11 7" xfId="40560" xr:uid="{00000000-0005-0000-0000-0000747F0000}"/>
    <cellStyle name="40% - Accent5 2 11 8" xfId="11385" xr:uid="{00000000-0005-0000-0000-0000757F0000}"/>
    <cellStyle name="40% - Accent5 2 12" xfId="1749" xr:uid="{00000000-0005-0000-0000-0000767F0000}"/>
    <cellStyle name="40% - Accent5 2 12 2" xfId="6611" xr:uid="{00000000-0005-0000-0000-0000777F0000}"/>
    <cellStyle name="40% - Accent5 2 12 2 2" xfId="26062" xr:uid="{00000000-0005-0000-0000-0000787F0000}"/>
    <cellStyle name="40% - Accent5 2 12 2 3" xfId="35787" xr:uid="{00000000-0005-0000-0000-0000797F0000}"/>
    <cellStyle name="40% - Accent5 2 12 2 4" xfId="45512" xr:uid="{00000000-0005-0000-0000-00007A7F0000}"/>
    <cellStyle name="40% - Accent5 2 12 2 5" xfId="16337" xr:uid="{00000000-0005-0000-0000-00007B7F0000}"/>
    <cellStyle name="40% - Accent5 2 12 3" xfId="21200" xr:uid="{00000000-0005-0000-0000-00007C7F0000}"/>
    <cellStyle name="40% - Accent5 2 12 4" xfId="30925" xr:uid="{00000000-0005-0000-0000-00007D7F0000}"/>
    <cellStyle name="40% - Accent5 2 12 5" xfId="40650" xr:uid="{00000000-0005-0000-0000-00007E7F0000}"/>
    <cellStyle name="40% - Accent5 2 12 6" xfId="11475" xr:uid="{00000000-0005-0000-0000-00007F7F0000}"/>
    <cellStyle name="40% - Accent5 2 13" xfId="3369" xr:uid="{00000000-0005-0000-0000-0000807F0000}"/>
    <cellStyle name="40% - Accent5 2 13 2" xfId="8231" xr:uid="{00000000-0005-0000-0000-0000817F0000}"/>
    <cellStyle name="40% - Accent5 2 13 2 2" xfId="27682" xr:uid="{00000000-0005-0000-0000-0000827F0000}"/>
    <cellStyle name="40% - Accent5 2 13 2 3" xfId="37407" xr:uid="{00000000-0005-0000-0000-0000837F0000}"/>
    <cellStyle name="40% - Accent5 2 13 2 4" xfId="47132" xr:uid="{00000000-0005-0000-0000-0000847F0000}"/>
    <cellStyle name="40% - Accent5 2 13 2 5" xfId="17957" xr:uid="{00000000-0005-0000-0000-0000857F0000}"/>
    <cellStyle name="40% - Accent5 2 13 3" xfId="22820" xr:uid="{00000000-0005-0000-0000-0000867F0000}"/>
    <cellStyle name="40% - Accent5 2 13 4" xfId="32545" xr:uid="{00000000-0005-0000-0000-0000877F0000}"/>
    <cellStyle name="40% - Accent5 2 13 5" xfId="42270" xr:uid="{00000000-0005-0000-0000-0000887F0000}"/>
    <cellStyle name="40% - Accent5 2 13 6" xfId="13095" xr:uid="{00000000-0005-0000-0000-0000897F0000}"/>
    <cellStyle name="40% - Accent5 2 14" xfId="4991" xr:uid="{00000000-0005-0000-0000-00008A7F0000}"/>
    <cellStyle name="40% - Accent5 2 14 2" xfId="24442" xr:uid="{00000000-0005-0000-0000-00008B7F0000}"/>
    <cellStyle name="40% - Accent5 2 14 3" xfId="34167" xr:uid="{00000000-0005-0000-0000-00008C7F0000}"/>
    <cellStyle name="40% - Accent5 2 14 4" xfId="43892" xr:uid="{00000000-0005-0000-0000-00008D7F0000}"/>
    <cellStyle name="40% - Accent5 2 14 5" xfId="14717" xr:uid="{00000000-0005-0000-0000-00008E7F0000}"/>
    <cellStyle name="40% - Accent5 2 15" xfId="19580" xr:uid="{00000000-0005-0000-0000-00008F7F0000}"/>
    <cellStyle name="40% - Accent5 2 16" xfId="29305" xr:uid="{00000000-0005-0000-0000-0000907F0000}"/>
    <cellStyle name="40% - Accent5 2 17" xfId="39030" xr:uid="{00000000-0005-0000-0000-0000917F0000}"/>
    <cellStyle name="40% - Accent5 2 18" xfId="9855" xr:uid="{00000000-0005-0000-0000-0000927F0000}"/>
    <cellStyle name="40% - Accent5 2 2" xfId="95" xr:uid="{00000000-0005-0000-0000-0000937F0000}"/>
    <cellStyle name="40% - Accent5 2 2 10" xfId="1779" xr:uid="{00000000-0005-0000-0000-0000947F0000}"/>
    <cellStyle name="40% - Accent5 2 2 10 2" xfId="6641" xr:uid="{00000000-0005-0000-0000-0000957F0000}"/>
    <cellStyle name="40% - Accent5 2 2 10 2 2" xfId="26092" xr:uid="{00000000-0005-0000-0000-0000967F0000}"/>
    <cellStyle name="40% - Accent5 2 2 10 2 3" xfId="35817" xr:uid="{00000000-0005-0000-0000-0000977F0000}"/>
    <cellStyle name="40% - Accent5 2 2 10 2 4" xfId="45542" xr:uid="{00000000-0005-0000-0000-0000987F0000}"/>
    <cellStyle name="40% - Accent5 2 2 10 2 5" xfId="16367" xr:uid="{00000000-0005-0000-0000-0000997F0000}"/>
    <cellStyle name="40% - Accent5 2 2 10 3" xfId="21230" xr:uid="{00000000-0005-0000-0000-00009A7F0000}"/>
    <cellStyle name="40% - Accent5 2 2 10 4" xfId="30955" xr:uid="{00000000-0005-0000-0000-00009B7F0000}"/>
    <cellStyle name="40% - Accent5 2 2 10 5" xfId="40680" xr:uid="{00000000-0005-0000-0000-00009C7F0000}"/>
    <cellStyle name="40% - Accent5 2 2 10 6" xfId="11505" xr:uid="{00000000-0005-0000-0000-00009D7F0000}"/>
    <cellStyle name="40% - Accent5 2 2 11" xfId="3399" xr:uid="{00000000-0005-0000-0000-00009E7F0000}"/>
    <cellStyle name="40% - Accent5 2 2 11 2" xfId="8261" xr:uid="{00000000-0005-0000-0000-00009F7F0000}"/>
    <cellStyle name="40% - Accent5 2 2 11 2 2" xfId="27712" xr:uid="{00000000-0005-0000-0000-0000A07F0000}"/>
    <cellStyle name="40% - Accent5 2 2 11 2 3" xfId="37437" xr:uid="{00000000-0005-0000-0000-0000A17F0000}"/>
    <cellStyle name="40% - Accent5 2 2 11 2 4" xfId="47162" xr:uid="{00000000-0005-0000-0000-0000A27F0000}"/>
    <cellStyle name="40% - Accent5 2 2 11 2 5" xfId="17987" xr:uid="{00000000-0005-0000-0000-0000A37F0000}"/>
    <cellStyle name="40% - Accent5 2 2 11 3" xfId="22850" xr:uid="{00000000-0005-0000-0000-0000A47F0000}"/>
    <cellStyle name="40% - Accent5 2 2 11 4" xfId="32575" xr:uid="{00000000-0005-0000-0000-0000A57F0000}"/>
    <cellStyle name="40% - Accent5 2 2 11 5" xfId="42300" xr:uid="{00000000-0005-0000-0000-0000A67F0000}"/>
    <cellStyle name="40% - Accent5 2 2 11 6" xfId="13125" xr:uid="{00000000-0005-0000-0000-0000A77F0000}"/>
    <cellStyle name="40% - Accent5 2 2 12" xfId="5021" xr:uid="{00000000-0005-0000-0000-0000A87F0000}"/>
    <cellStyle name="40% - Accent5 2 2 12 2" xfId="24472" xr:uid="{00000000-0005-0000-0000-0000A97F0000}"/>
    <cellStyle name="40% - Accent5 2 2 12 3" xfId="34197" xr:uid="{00000000-0005-0000-0000-0000AA7F0000}"/>
    <cellStyle name="40% - Accent5 2 2 12 4" xfId="43922" xr:uid="{00000000-0005-0000-0000-0000AB7F0000}"/>
    <cellStyle name="40% - Accent5 2 2 12 5" xfId="14747" xr:uid="{00000000-0005-0000-0000-0000AC7F0000}"/>
    <cellStyle name="40% - Accent5 2 2 13" xfId="19610" xr:uid="{00000000-0005-0000-0000-0000AD7F0000}"/>
    <cellStyle name="40% - Accent5 2 2 14" xfId="29335" xr:uid="{00000000-0005-0000-0000-0000AE7F0000}"/>
    <cellStyle name="40% - Accent5 2 2 15" xfId="39060" xr:uid="{00000000-0005-0000-0000-0000AF7F0000}"/>
    <cellStyle name="40% - Accent5 2 2 16" xfId="9885" xr:uid="{00000000-0005-0000-0000-0000B07F0000}"/>
    <cellStyle name="40% - Accent5 2 2 2" xfId="277" xr:uid="{00000000-0005-0000-0000-0000B17F0000}"/>
    <cellStyle name="40% - Accent5 2 2 2 10" xfId="39240" xr:uid="{00000000-0005-0000-0000-0000B27F0000}"/>
    <cellStyle name="40% - Accent5 2 2 2 11" xfId="10065" xr:uid="{00000000-0005-0000-0000-0000B37F0000}"/>
    <cellStyle name="40% - Accent5 2 2 2 2" xfId="1041" xr:uid="{00000000-0005-0000-0000-0000B47F0000}"/>
    <cellStyle name="40% - Accent5 2 2 2 2 2" xfId="2679" xr:uid="{00000000-0005-0000-0000-0000B57F0000}"/>
    <cellStyle name="40% - Accent5 2 2 2 2 2 2" xfId="7541" xr:uid="{00000000-0005-0000-0000-0000B67F0000}"/>
    <cellStyle name="40% - Accent5 2 2 2 2 2 2 2" xfId="26992" xr:uid="{00000000-0005-0000-0000-0000B77F0000}"/>
    <cellStyle name="40% - Accent5 2 2 2 2 2 2 3" xfId="36717" xr:uid="{00000000-0005-0000-0000-0000B87F0000}"/>
    <cellStyle name="40% - Accent5 2 2 2 2 2 2 4" xfId="46442" xr:uid="{00000000-0005-0000-0000-0000B97F0000}"/>
    <cellStyle name="40% - Accent5 2 2 2 2 2 2 5" xfId="17267" xr:uid="{00000000-0005-0000-0000-0000BA7F0000}"/>
    <cellStyle name="40% - Accent5 2 2 2 2 2 3" xfId="22130" xr:uid="{00000000-0005-0000-0000-0000BB7F0000}"/>
    <cellStyle name="40% - Accent5 2 2 2 2 2 4" xfId="31855" xr:uid="{00000000-0005-0000-0000-0000BC7F0000}"/>
    <cellStyle name="40% - Accent5 2 2 2 2 2 5" xfId="41580" xr:uid="{00000000-0005-0000-0000-0000BD7F0000}"/>
    <cellStyle name="40% - Accent5 2 2 2 2 2 6" xfId="12405" xr:uid="{00000000-0005-0000-0000-0000BE7F0000}"/>
    <cellStyle name="40% - Accent5 2 2 2 2 3" xfId="4299" xr:uid="{00000000-0005-0000-0000-0000BF7F0000}"/>
    <cellStyle name="40% - Accent5 2 2 2 2 3 2" xfId="9161" xr:uid="{00000000-0005-0000-0000-0000C07F0000}"/>
    <cellStyle name="40% - Accent5 2 2 2 2 3 2 2" xfId="28612" xr:uid="{00000000-0005-0000-0000-0000C17F0000}"/>
    <cellStyle name="40% - Accent5 2 2 2 2 3 2 3" xfId="38337" xr:uid="{00000000-0005-0000-0000-0000C27F0000}"/>
    <cellStyle name="40% - Accent5 2 2 2 2 3 2 4" xfId="48062" xr:uid="{00000000-0005-0000-0000-0000C37F0000}"/>
    <cellStyle name="40% - Accent5 2 2 2 2 3 2 5" xfId="18887" xr:uid="{00000000-0005-0000-0000-0000C47F0000}"/>
    <cellStyle name="40% - Accent5 2 2 2 2 3 3" xfId="23750" xr:uid="{00000000-0005-0000-0000-0000C57F0000}"/>
    <cellStyle name="40% - Accent5 2 2 2 2 3 4" xfId="33475" xr:uid="{00000000-0005-0000-0000-0000C67F0000}"/>
    <cellStyle name="40% - Accent5 2 2 2 2 3 5" xfId="43200" xr:uid="{00000000-0005-0000-0000-0000C77F0000}"/>
    <cellStyle name="40% - Accent5 2 2 2 2 3 6" xfId="14025" xr:uid="{00000000-0005-0000-0000-0000C87F0000}"/>
    <cellStyle name="40% - Accent5 2 2 2 2 4" xfId="5921" xr:uid="{00000000-0005-0000-0000-0000C97F0000}"/>
    <cellStyle name="40% - Accent5 2 2 2 2 4 2" xfId="25372" xr:uid="{00000000-0005-0000-0000-0000CA7F0000}"/>
    <cellStyle name="40% - Accent5 2 2 2 2 4 3" xfId="35097" xr:uid="{00000000-0005-0000-0000-0000CB7F0000}"/>
    <cellStyle name="40% - Accent5 2 2 2 2 4 4" xfId="44822" xr:uid="{00000000-0005-0000-0000-0000CC7F0000}"/>
    <cellStyle name="40% - Accent5 2 2 2 2 4 5" xfId="15647" xr:uid="{00000000-0005-0000-0000-0000CD7F0000}"/>
    <cellStyle name="40% - Accent5 2 2 2 2 5" xfId="20510" xr:uid="{00000000-0005-0000-0000-0000CE7F0000}"/>
    <cellStyle name="40% - Accent5 2 2 2 2 6" xfId="30235" xr:uid="{00000000-0005-0000-0000-0000CF7F0000}"/>
    <cellStyle name="40% - Accent5 2 2 2 2 7" xfId="39960" xr:uid="{00000000-0005-0000-0000-0000D07F0000}"/>
    <cellStyle name="40% - Accent5 2 2 2 2 8" xfId="10785" xr:uid="{00000000-0005-0000-0000-0000D17F0000}"/>
    <cellStyle name="40% - Accent5 2 2 2 3" xfId="1508" xr:uid="{00000000-0005-0000-0000-0000D27F0000}"/>
    <cellStyle name="40% - Accent5 2 2 2 3 2" xfId="3129" xr:uid="{00000000-0005-0000-0000-0000D37F0000}"/>
    <cellStyle name="40% - Accent5 2 2 2 3 2 2" xfId="7991" xr:uid="{00000000-0005-0000-0000-0000D47F0000}"/>
    <cellStyle name="40% - Accent5 2 2 2 3 2 2 2" xfId="27442" xr:uid="{00000000-0005-0000-0000-0000D57F0000}"/>
    <cellStyle name="40% - Accent5 2 2 2 3 2 2 3" xfId="37167" xr:uid="{00000000-0005-0000-0000-0000D67F0000}"/>
    <cellStyle name="40% - Accent5 2 2 2 3 2 2 4" xfId="46892" xr:uid="{00000000-0005-0000-0000-0000D77F0000}"/>
    <cellStyle name="40% - Accent5 2 2 2 3 2 2 5" xfId="17717" xr:uid="{00000000-0005-0000-0000-0000D87F0000}"/>
    <cellStyle name="40% - Accent5 2 2 2 3 2 3" xfId="22580" xr:uid="{00000000-0005-0000-0000-0000D97F0000}"/>
    <cellStyle name="40% - Accent5 2 2 2 3 2 4" xfId="32305" xr:uid="{00000000-0005-0000-0000-0000DA7F0000}"/>
    <cellStyle name="40% - Accent5 2 2 2 3 2 5" xfId="42030" xr:uid="{00000000-0005-0000-0000-0000DB7F0000}"/>
    <cellStyle name="40% - Accent5 2 2 2 3 2 6" xfId="12855" xr:uid="{00000000-0005-0000-0000-0000DC7F0000}"/>
    <cellStyle name="40% - Accent5 2 2 2 3 3" xfId="4749" xr:uid="{00000000-0005-0000-0000-0000DD7F0000}"/>
    <cellStyle name="40% - Accent5 2 2 2 3 3 2" xfId="9611" xr:uid="{00000000-0005-0000-0000-0000DE7F0000}"/>
    <cellStyle name="40% - Accent5 2 2 2 3 3 2 2" xfId="29062" xr:uid="{00000000-0005-0000-0000-0000DF7F0000}"/>
    <cellStyle name="40% - Accent5 2 2 2 3 3 2 3" xfId="38787" xr:uid="{00000000-0005-0000-0000-0000E07F0000}"/>
    <cellStyle name="40% - Accent5 2 2 2 3 3 2 4" xfId="48512" xr:uid="{00000000-0005-0000-0000-0000E17F0000}"/>
    <cellStyle name="40% - Accent5 2 2 2 3 3 2 5" xfId="19337" xr:uid="{00000000-0005-0000-0000-0000E27F0000}"/>
    <cellStyle name="40% - Accent5 2 2 2 3 3 3" xfId="24200" xr:uid="{00000000-0005-0000-0000-0000E37F0000}"/>
    <cellStyle name="40% - Accent5 2 2 2 3 3 4" xfId="33925" xr:uid="{00000000-0005-0000-0000-0000E47F0000}"/>
    <cellStyle name="40% - Accent5 2 2 2 3 3 5" xfId="43650" xr:uid="{00000000-0005-0000-0000-0000E57F0000}"/>
    <cellStyle name="40% - Accent5 2 2 2 3 3 6" xfId="14475" xr:uid="{00000000-0005-0000-0000-0000E67F0000}"/>
    <cellStyle name="40% - Accent5 2 2 2 3 4" xfId="6371" xr:uid="{00000000-0005-0000-0000-0000E77F0000}"/>
    <cellStyle name="40% - Accent5 2 2 2 3 4 2" xfId="25822" xr:uid="{00000000-0005-0000-0000-0000E87F0000}"/>
    <cellStyle name="40% - Accent5 2 2 2 3 4 3" xfId="35547" xr:uid="{00000000-0005-0000-0000-0000E97F0000}"/>
    <cellStyle name="40% - Accent5 2 2 2 3 4 4" xfId="45272" xr:uid="{00000000-0005-0000-0000-0000EA7F0000}"/>
    <cellStyle name="40% - Accent5 2 2 2 3 4 5" xfId="16097" xr:uid="{00000000-0005-0000-0000-0000EB7F0000}"/>
    <cellStyle name="40% - Accent5 2 2 2 3 5" xfId="20960" xr:uid="{00000000-0005-0000-0000-0000EC7F0000}"/>
    <cellStyle name="40% - Accent5 2 2 2 3 6" xfId="30685" xr:uid="{00000000-0005-0000-0000-0000ED7F0000}"/>
    <cellStyle name="40% - Accent5 2 2 2 3 7" xfId="40410" xr:uid="{00000000-0005-0000-0000-0000EE7F0000}"/>
    <cellStyle name="40% - Accent5 2 2 2 3 8" xfId="11235" xr:uid="{00000000-0005-0000-0000-0000EF7F0000}"/>
    <cellStyle name="40% - Accent5 2 2 2 4" xfId="679" xr:uid="{00000000-0005-0000-0000-0000F07F0000}"/>
    <cellStyle name="40% - Accent5 2 2 2 4 2" xfId="2319" xr:uid="{00000000-0005-0000-0000-0000F17F0000}"/>
    <cellStyle name="40% - Accent5 2 2 2 4 2 2" xfId="7181" xr:uid="{00000000-0005-0000-0000-0000F27F0000}"/>
    <cellStyle name="40% - Accent5 2 2 2 4 2 2 2" xfId="26632" xr:uid="{00000000-0005-0000-0000-0000F37F0000}"/>
    <cellStyle name="40% - Accent5 2 2 2 4 2 2 3" xfId="36357" xr:uid="{00000000-0005-0000-0000-0000F47F0000}"/>
    <cellStyle name="40% - Accent5 2 2 2 4 2 2 4" xfId="46082" xr:uid="{00000000-0005-0000-0000-0000F57F0000}"/>
    <cellStyle name="40% - Accent5 2 2 2 4 2 2 5" xfId="16907" xr:uid="{00000000-0005-0000-0000-0000F67F0000}"/>
    <cellStyle name="40% - Accent5 2 2 2 4 2 3" xfId="21770" xr:uid="{00000000-0005-0000-0000-0000F77F0000}"/>
    <cellStyle name="40% - Accent5 2 2 2 4 2 4" xfId="31495" xr:uid="{00000000-0005-0000-0000-0000F87F0000}"/>
    <cellStyle name="40% - Accent5 2 2 2 4 2 5" xfId="41220" xr:uid="{00000000-0005-0000-0000-0000F97F0000}"/>
    <cellStyle name="40% - Accent5 2 2 2 4 2 6" xfId="12045" xr:uid="{00000000-0005-0000-0000-0000FA7F0000}"/>
    <cellStyle name="40% - Accent5 2 2 2 4 3" xfId="3939" xr:uid="{00000000-0005-0000-0000-0000FB7F0000}"/>
    <cellStyle name="40% - Accent5 2 2 2 4 3 2" xfId="8801" xr:uid="{00000000-0005-0000-0000-0000FC7F0000}"/>
    <cellStyle name="40% - Accent5 2 2 2 4 3 2 2" xfId="28252" xr:uid="{00000000-0005-0000-0000-0000FD7F0000}"/>
    <cellStyle name="40% - Accent5 2 2 2 4 3 2 3" xfId="37977" xr:uid="{00000000-0005-0000-0000-0000FE7F0000}"/>
    <cellStyle name="40% - Accent5 2 2 2 4 3 2 4" xfId="47702" xr:uid="{00000000-0005-0000-0000-0000FF7F0000}"/>
    <cellStyle name="40% - Accent5 2 2 2 4 3 2 5" xfId="18527" xr:uid="{00000000-0005-0000-0000-000000800000}"/>
    <cellStyle name="40% - Accent5 2 2 2 4 3 3" xfId="23390" xr:uid="{00000000-0005-0000-0000-000001800000}"/>
    <cellStyle name="40% - Accent5 2 2 2 4 3 4" xfId="33115" xr:uid="{00000000-0005-0000-0000-000002800000}"/>
    <cellStyle name="40% - Accent5 2 2 2 4 3 5" xfId="42840" xr:uid="{00000000-0005-0000-0000-000003800000}"/>
    <cellStyle name="40% - Accent5 2 2 2 4 3 6" xfId="13665" xr:uid="{00000000-0005-0000-0000-000004800000}"/>
    <cellStyle name="40% - Accent5 2 2 2 4 4" xfId="5561" xr:uid="{00000000-0005-0000-0000-000005800000}"/>
    <cellStyle name="40% - Accent5 2 2 2 4 4 2" xfId="25012" xr:uid="{00000000-0005-0000-0000-000006800000}"/>
    <cellStyle name="40% - Accent5 2 2 2 4 4 3" xfId="34737" xr:uid="{00000000-0005-0000-0000-000007800000}"/>
    <cellStyle name="40% - Accent5 2 2 2 4 4 4" xfId="44462" xr:uid="{00000000-0005-0000-0000-000008800000}"/>
    <cellStyle name="40% - Accent5 2 2 2 4 4 5" xfId="15287" xr:uid="{00000000-0005-0000-0000-000009800000}"/>
    <cellStyle name="40% - Accent5 2 2 2 4 5" xfId="20150" xr:uid="{00000000-0005-0000-0000-00000A800000}"/>
    <cellStyle name="40% - Accent5 2 2 2 4 6" xfId="29875" xr:uid="{00000000-0005-0000-0000-00000B800000}"/>
    <cellStyle name="40% - Accent5 2 2 2 4 7" xfId="39600" xr:uid="{00000000-0005-0000-0000-00000C800000}"/>
    <cellStyle name="40% - Accent5 2 2 2 4 8" xfId="10425" xr:uid="{00000000-0005-0000-0000-00000D800000}"/>
    <cellStyle name="40% - Accent5 2 2 2 5" xfId="1959" xr:uid="{00000000-0005-0000-0000-00000E800000}"/>
    <cellStyle name="40% - Accent5 2 2 2 5 2" xfId="6821" xr:uid="{00000000-0005-0000-0000-00000F800000}"/>
    <cellStyle name="40% - Accent5 2 2 2 5 2 2" xfId="26272" xr:uid="{00000000-0005-0000-0000-000010800000}"/>
    <cellStyle name="40% - Accent5 2 2 2 5 2 3" xfId="35997" xr:uid="{00000000-0005-0000-0000-000011800000}"/>
    <cellStyle name="40% - Accent5 2 2 2 5 2 4" xfId="45722" xr:uid="{00000000-0005-0000-0000-000012800000}"/>
    <cellStyle name="40% - Accent5 2 2 2 5 2 5" xfId="16547" xr:uid="{00000000-0005-0000-0000-000013800000}"/>
    <cellStyle name="40% - Accent5 2 2 2 5 3" xfId="21410" xr:uid="{00000000-0005-0000-0000-000014800000}"/>
    <cellStyle name="40% - Accent5 2 2 2 5 4" xfId="31135" xr:uid="{00000000-0005-0000-0000-000015800000}"/>
    <cellStyle name="40% - Accent5 2 2 2 5 5" xfId="40860" xr:uid="{00000000-0005-0000-0000-000016800000}"/>
    <cellStyle name="40% - Accent5 2 2 2 5 6" xfId="11685" xr:uid="{00000000-0005-0000-0000-000017800000}"/>
    <cellStyle name="40% - Accent5 2 2 2 6" xfId="3579" xr:uid="{00000000-0005-0000-0000-000018800000}"/>
    <cellStyle name="40% - Accent5 2 2 2 6 2" xfId="8441" xr:uid="{00000000-0005-0000-0000-000019800000}"/>
    <cellStyle name="40% - Accent5 2 2 2 6 2 2" xfId="27892" xr:uid="{00000000-0005-0000-0000-00001A800000}"/>
    <cellStyle name="40% - Accent5 2 2 2 6 2 3" xfId="37617" xr:uid="{00000000-0005-0000-0000-00001B800000}"/>
    <cellStyle name="40% - Accent5 2 2 2 6 2 4" xfId="47342" xr:uid="{00000000-0005-0000-0000-00001C800000}"/>
    <cellStyle name="40% - Accent5 2 2 2 6 2 5" xfId="18167" xr:uid="{00000000-0005-0000-0000-00001D800000}"/>
    <cellStyle name="40% - Accent5 2 2 2 6 3" xfId="23030" xr:uid="{00000000-0005-0000-0000-00001E800000}"/>
    <cellStyle name="40% - Accent5 2 2 2 6 4" xfId="32755" xr:uid="{00000000-0005-0000-0000-00001F800000}"/>
    <cellStyle name="40% - Accent5 2 2 2 6 5" xfId="42480" xr:uid="{00000000-0005-0000-0000-000020800000}"/>
    <cellStyle name="40% - Accent5 2 2 2 6 6" xfId="13305" xr:uid="{00000000-0005-0000-0000-000021800000}"/>
    <cellStyle name="40% - Accent5 2 2 2 7" xfId="5201" xr:uid="{00000000-0005-0000-0000-000022800000}"/>
    <cellStyle name="40% - Accent5 2 2 2 7 2" xfId="24652" xr:uid="{00000000-0005-0000-0000-000023800000}"/>
    <cellStyle name="40% - Accent5 2 2 2 7 3" xfId="34377" xr:uid="{00000000-0005-0000-0000-000024800000}"/>
    <cellStyle name="40% - Accent5 2 2 2 7 4" xfId="44102" xr:uid="{00000000-0005-0000-0000-000025800000}"/>
    <cellStyle name="40% - Accent5 2 2 2 7 5" xfId="14927" xr:uid="{00000000-0005-0000-0000-000026800000}"/>
    <cellStyle name="40% - Accent5 2 2 2 8" xfId="19790" xr:uid="{00000000-0005-0000-0000-000027800000}"/>
    <cellStyle name="40% - Accent5 2 2 2 9" xfId="29515" xr:uid="{00000000-0005-0000-0000-000028800000}"/>
    <cellStyle name="40% - Accent5 2 2 3" xfId="368" xr:uid="{00000000-0005-0000-0000-000029800000}"/>
    <cellStyle name="40% - Accent5 2 2 3 10" xfId="39330" xr:uid="{00000000-0005-0000-0000-00002A800000}"/>
    <cellStyle name="40% - Accent5 2 2 3 11" xfId="10155" xr:uid="{00000000-0005-0000-0000-00002B800000}"/>
    <cellStyle name="40% - Accent5 2 2 3 2" xfId="1131" xr:uid="{00000000-0005-0000-0000-00002C800000}"/>
    <cellStyle name="40% - Accent5 2 2 3 2 2" xfId="2769" xr:uid="{00000000-0005-0000-0000-00002D800000}"/>
    <cellStyle name="40% - Accent5 2 2 3 2 2 2" xfId="7631" xr:uid="{00000000-0005-0000-0000-00002E800000}"/>
    <cellStyle name="40% - Accent5 2 2 3 2 2 2 2" xfId="27082" xr:uid="{00000000-0005-0000-0000-00002F800000}"/>
    <cellStyle name="40% - Accent5 2 2 3 2 2 2 3" xfId="36807" xr:uid="{00000000-0005-0000-0000-000030800000}"/>
    <cellStyle name="40% - Accent5 2 2 3 2 2 2 4" xfId="46532" xr:uid="{00000000-0005-0000-0000-000031800000}"/>
    <cellStyle name="40% - Accent5 2 2 3 2 2 2 5" xfId="17357" xr:uid="{00000000-0005-0000-0000-000032800000}"/>
    <cellStyle name="40% - Accent5 2 2 3 2 2 3" xfId="22220" xr:uid="{00000000-0005-0000-0000-000033800000}"/>
    <cellStyle name="40% - Accent5 2 2 3 2 2 4" xfId="31945" xr:uid="{00000000-0005-0000-0000-000034800000}"/>
    <cellStyle name="40% - Accent5 2 2 3 2 2 5" xfId="41670" xr:uid="{00000000-0005-0000-0000-000035800000}"/>
    <cellStyle name="40% - Accent5 2 2 3 2 2 6" xfId="12495" xr:uid="{00000000-0005-0000-0000-000036800000}"/>
    <cellStyle name="40% - Accent5 2 2 3 2 3" xfId="4389" xr:uid="{00000000-0005-0000-0000-000037800000}"/>
    <cellStyle name="40% - Accent5 2 2 3 2 3 2" xfId="9251" xr:uid="{00000000-0005-0000-0000-000038800000}"/>
    <cellStyle name="40% - Accent5 2 2 3 2 3 2 2" xfId="28702" xr:uid="{00000000-0005-0000-0000-000039800000}"/>
    <cellStyle name="40% - Accent5 2 2 3 2 3 2 3" xfId="38427" xr:uid="{00000000-0005-0000-0000-00003A800000}"/>
    <cellStyle name="40% - Accent5 2 2 3 2 3 2 4" xfId="48152" xr:uid="{00000000-0005-0000-0000-00003B800000}"/>
    <cellStyle name="40% - Accent5 2 2 3 2 3 2 5" xfId="18977" xr:uid="{00000000-0005-0000-0000-00003C800000}"/>
    <cellStyle name="40% - Accent5 2 2 3 2 3 3" xfId="23840" xr:uid="{00000000-0005-0000-0000-00003D800000}"/>
    <cellStyle name="40% - Accent5 2 2 3 2 3 4" xfId="33565" xr:uid="{00000000-0005-0000-0000-00003E800000}"/>
    <cellStyle name="40% - Accent5 2 2 3 2 3 5" xfId="43290" xr:uid="{00000000-0005-0000-0000-00003F800000}"/>
    <cellStyle name="40% - Accent5 2 2 3 2 3 6" xfId="14115" xr:uid="{00000000-0005-0000-0000-000040800000}"/>
    <cellStyle name="40% - Accent5 2 2 3 2 4" xfId="6011" xr:uid="{00000000-0005-0000-0000-000041800000}"/>
    <cellStyle name="40% - Accent5 2 2 3 2 4 2" xfId="25462" xr:uid="{00000000-0005-0000-0000-000042800000}"/>
    <cellStyle name="40% - Accent5 2 2 3 2 4 3" xfId="35187" xr:uid="{00000000-0005-0000-0000-000043800000}"/>
    <cellStyle name="40% - Accent5 2 2 3 2 4 4" xfId="44912" xr:uid="{00000000-0005-0000-0000-000044800000}"/>
    <cellStyle name="40% - Accent5 2 2 3 2 4 5" xfId="15737" xr:uid="{00000000-0005-0000-0000-000045800000}"/>
    <cellStyle name="40% - Accent5 2 2 3 2 5" xfId="20600" xr:uid="{00000000-0005-0000-0000-000046800000}"/>
    <cellStyle name="40% - Accent5 2 2 3 2 6" xfId="30325" xr:uid="{00000000-0005-0000-0000-000047800000}"/>
    <cellStyle name="40% - Accent5 2 2 3 2 7" xfId="40050" xr:uid="{00000000-0005-0000-0000-000048800000}"/>
    <cellStyle name="40% - Accent5 2 2 3 2 8" xfId="10875" xr:uid="{00000000-0005-0000-0000-000049800000}"/>
    <cellStyle name="40% - Accent5 2 2 3 3" xfId="1598" xr:uid="{00000000-0005-0000-0000-00004A800000}"/>
    <cellStyle name="40% - Accent5 2 2 3 3 2" xfId="3219" xr:uid="{00000000-0005-0000-0000-00004B800000}"/>
    <cellStyle name="40% - Accent5 2 2 3 3 2 2" xfId="8081" xr:uid="{00000000-0005-0000-0000-00004C800000}"/>
    <cellStyle name="40% - Accent5 2 2 3 3 2 2 2" xfId="27532" xr:uid="{00000000-0005-0000-0000-00004D800000}"/>
    <cellStyle name="40% - Accent5 2 2 3 3 2 2 3" xfId="37257" xr:uid="{00000000-0005-0000-0000-00004E800000}"/>
    <cellStyle name="40% - Accent5 2 2 3 3 2 2 4" xfId="46982" xr:uid="{00000000-0005-0000-0000-00004F800000}"/>
    <cellStyle name="40% - Accent5 2 2 3 3 2 2 5" xfId="17807" xr:uid="{00000000-0005-0000-0000-000050800000}"/>
    <cellStyle name="40% - Accent5 2 2 3 3 2 3" xfId="22670" xr:uid="{00000000-0005-0000-0000-000051800000}"/>
    <cellStyle name="40% - Accent5 2 2 3 3 2 4" xfId="32395" xr:uid="{00000000-0005-0000-0000-000052800000}"/>
    <cellStyle name="40% - Accent5 2 2 3 3 2 5" xfId="42120" xr:uid="{00000000-0005-0000-0000-000053800000}"/>
    <cellStyle name="40% - Accent5 2 2 3 3 2 6" xfId="12945" xr:uid="{00000000-0005-0000-0000-000054800000}"/>
    <cellStyle name="40% - Accent5 2 2 3 3 3" xfId="4839" xr:uid="{00000000-0005-0000-0000-000055800000}"/>
    <cellStyle name="40% - Accent5 2 2 3 3 3 2" xfId="9701" xr:uid="{00000000-0005-0000-0000-000056800000}"/>
    <cellStyle name="40% - Accent5 2 2 3 3 3 2 2" xfId="29152" xr:uid="{00000000-0005-0000-0000-000057800000}"/>
    <cellStyle name="40% - Accent5 2 2 3 3 3 2 3" xfId="38877" xr:uid="{00000000-0005-0000-0000-000058800000}"/>
    <cellStyle name="40% - Accent5 2 2 3 3 3 2 4" xfId="48602" xr:uid="{00000000-0005-0000-0000-000059800000}"/>
    <cellStyle name="40% - Accent5 2 2 3 3 3 2 5" xfId="19427" xr:uid="{00000000-0005-0000-0000-00005A800000}"/>
    <cellStyle name="40% - Accent5 2 2 3 3 3 3" xfId="24290" xr:uid="{00000000-0005-0000-0000-00005B800000}"/>
    <cellStyle name="40% - Accent5 2 2 3 3 3 4" xfId="34015" xr:uid="{00000000-0005-0000-0000-00005C800000}"/>
    <cellStyle name="40% - Accent5 2 2 3 3 3 5" xfId="43740" xr:uid="{00000000-0005-0000-0000-00005D800000}"/>
    <cellStyle name="40% - Accent5 2 2 3 3 3 6" xfId="14565" xr:uid="{00000000-0005-0000-0000-00005E800000}"/>
    <cellStyle name="40% - Accent5 2 2 3 3 4" xfId="6461" xr:uid="{00000000-0005-0000-0000-00005F800000}"/>
    <cellStyle name="40% - Accent5 2 2 3 3 4 2" xfId="25912" xr:uid="{00000000-0005-0000-0000-000060800000}"/>
    <cellStyle name="40% - Accent5 2 2 3 3 4 3" xfId="35637" xr:uid="{00000000-0005-0000-0000-000061800000}"/>
    <cellStyle name="40% - Accent5 2 2 3 3 4 4" xfId="45362" xr:uid="{00000000-0005-0000-0000-000062800000}"/>
    <cellStyle name="40% - Accent5 2 2 3 3 4 5" xfId="16187" xr:uid="{00000000-0005-0000-0000-000063800000}"/>
    <cellStyle name="40% - Accent5 2 2 3 3 5" xfId="21050" xr:uid="{00000000-0005-0000-0000-000064800000}"/>
    <cellStyle name="40% - Accent5 2 2 3 3 6" xfId="30775" xr:uid="{00000000-0005-0000-0000-000065800000}"/>
    <cellStyle name="40% - Accent5 2 2 3 3 7" xfId="40500" xr:uid="{00000000-0005-0000-0000-000066800000}"/>
    <cellStyle name="40% - Accent5 2 2 3 3 8" xfId="11325" xr:uid="{00000000-0005-0000-0000-000067800000}"/>
    <cellStyle name="40% - Accent5 2 2 3 4" xfId="769" xr:uid="{00000000-0005-0000-0000-000068800000}"/>
    <cellStyle name="40% - Accent5 2 2 3 4 2" xfId="2409" xr:uid="{00000000-0005-0000-0000-000069800000}"/>
    <cellStyle name="40% - Accent5 2 2 3 4 2 2" xfId="7271" xr:uid="{00000000-0005-0000-0000-00006A800000}"/>
    <cellStyle name="40% - Accent5 2 2 3 4 2 2 2" xfId="26722" xr:uid="{00000000-0005-0000-0000-00006B800000}"/>
    <cellStyle name="40% - Accent5 2 2 3 4 2 2 3" xfId="36447" xr:uid="{00000000-0005-0000-0000-00006C800000}"/>
    <cellStyle name="40% - Accent5 2 2 3 4 2 2 4" xfId="46172" xr:uid="{00000000-0005-0000-0000-00006D800000}"/>
    <cellStyle name="40% - Accent5 2 2 3 4 2 2 5" xfId="16997" xr:uid="{00000000-0005-0000-0000-00006E800000}"/>
    <cellStyle name="40% - Accent5 2 2 3 4 2 3" xfId="21860" xr:uid="{00000000-0005-0000-0000-00006F800000}"/>
    <cellStyle name="40% - Accent5 2 2 3 4 2 4" xfId="31585" xr:uid="{00000000-0005-0000-0000-000070800000}"/>
    <cellStyle name="40% - Accent5 2 2 3 4 2 5" xfId="41310" xr:uid="{00000000-0005-0000-0000-000071800000}"/>
    <cellStyle name="40% - Accent5 2 2 3 4 2 6" xfId="12135" xr:uid="{00000000-0005-0000-0000-000072800000}"/>
    <cellStyle name="40% - Accent5 2 2 3 4 3" xfId="4029" xr:uid="{00000000-0005-0000-0000-000073800000}"/>
    <cellStyle name="40% - Accent5 2 2 3 4 3 2" xfId="8891" xr:uid="{00000000-0005-0000-0000-000074800000}"/>
    <cellStyle name="40% - Accent5 2 2 3 4 3 2 2" xfId="28342" xr:uid="{00000000-0005-0000-0000-000075800000}"/>
    <cellStyle name="40% - Accent5 2 2 3 4 3 2 3" xfId="38067" xr:uid="{00000000-0005-0000-0000-000076800000}"/>
    <cellStyle name="40% - Accent5 2 2 3 4 3 2 4" xfId="47792" xr:uid="{00000000-0005-0000-0000-000077800000}"/>
    <cellStyle name="40% - Accent5 2 2 3 4 3 2 5" xfId="18617" xr:uid="{00000000-0005-0000-0000-000078800000}"/>
    <cellStyle name="40% - Accent5 2 2 3 4 3 3" xfId="23480" xr:uid="{00000000-0005-0000-0000-000079800000}"/>
    <cellStyle name="40% - Accent5 2 2 3 4 3 4" xfId="33205" xr:uid="{00000000-0005-0000-0000-00007A800000}"/>
    <cellStyle name="40% - Accent5 2 2 3 4 3 5" xfId="42930" xr:uid="{00000000-0005-0000-0000-00007B800000}"/>
    <cellStyle name="40% - Accent5 2 2 3 4 3 6" xfId="13755" xr:uid="{00000000-0005-0000-0000-00007C800000}"/>
    <cellStyle name="40% - Accent5 2 2 3 4 4" xfId="5651" xr:uid="{00000000-0005-0000-0000-00007D800000}"/>
    <cellStyle name="40% - Accent5 2 2 3 4 4 2" xfId="25102" xr:uid="{00000000-0005-0000-0000-00007E800000}"/>
    <cellStyle name="40% - Accent5 2 2 3 4 4 3" xfId="34827" xr:uid="{00000000-0005-0000-0000-00007F800000}"/>
    <cellStyle name="40% - Accent5 2 2 3 4 4 4" xfId="44552" xr:uid="{00000000-0005-0000-0000-000080800000}"/>
    <cellStyle name="40% - Accent5 2 2 3 4 4 5" xfId="15377" xr:uid="{00000000-0005-0000-0000-000081800000}"/>
    <cellStyle name="40% - Accent5 2 2 3 4 5" xfId="20240" xr:uid="{00000000-0005-0000-0000-000082800000}"/>
    <cellStyle name="40% - Accent5 2 2 3 4 6" xfId="29965" xr:uid="{00000000-0005-0000-0000-000083800000}"/>
    <cellStyle name="40% - Accent5 2 2 3 4 7" xfId="39690" xr:uid="{00000000-0005-0000-0000-000084800000}"/>
    <cellStyle name="40% - Accent5 2 2 3 4 8" xfId="10515" xr:uid="{00000000-0005-0000-0000-000085800000}"/>
    <cellStyle name="40% - Accent5 2 2 3 5" xfId="2049" xr:uid="{00000000-0005-0000-0000-000086800000}"/>
    <cellStyle name="40% - Accent5 2 2 3 5 2" xfId="6911" xr:uid="{00000000-0005-0000-0000-000087800000}"/>
    <cellStyle name="40% - Accent5 2 2 3 5 2 2" xfId="26362" xr:uid="{00000000-0005-0000-0000-000088800000}"/>
    <cellStyle name="40% - Accent5 2 2 3 5 2 3" xfId="36087" xr:uid="{00000000-0005-0000-0000-000089800000}"/>
    <cellStyle name="40% - Accent5 2 2 3 5 2 4" xfId="45812" xr:uid="{00000000-0005-0000-0000-00008A800000}"/>
    <cellStyle name="40% - Accent5 2 2 3 5 2 5" xfId="16637" xr:uid="{00000000-0005-0000-0000-00008B800000}"/>
    <cellStyle name="40% - Accent5 2 2 3 5 3" xfId="21500" xr:uid="{00000000-0005-0000-0000-00008C800000}"/>
    <cellStyle name="40% - Accent5 2 2 3 5 4" xfId="31225" xr:uid="{00000000-0005-0000-0000-00008D800000}"/>
    <cellStyle name="40% - Accent5 2 2 3 5 5" xfId="40950" xr:uid="{00000000-0005-0000-0000-00008E800000}"/>
    <cellStyle name="40% - Accent5 2 2 3 5 6" xfId="11775" xr:uid="{00000000-0005-0000-0000-00008F800000}"/>
    <cellStyle name="40% - Accent5 2 2 3 6" xfId="3669" xr:uid="{00000000-0005-0000-0000-000090800000}"/>
    <cellStyle name="40% - Accent5 2 2 3 6 2" xfId="8531" xr:uid="{00000000-0005-0000-0000-000091800000}"/>
    <cellStyle name="40% - Accent5 2 2 3 6 2 2" xfId="27982" xr:uid="{00000000-0005-0000-0000-000092800000}"/>
    <cellStyle name="40% - Accent5 2 2 3 6 2 3" xfId="37707" xr:uid="{00000000-0005-0000-0000-000093800000}"/>
    <cellStyle name="40% - Accent5 2 2 3 6 2 4" xfId="47432" xr:uid="{00000000-0005-0000-0000-000094800000}"/>
    <cellStyle name="40% - Accent5 2 2 3 6 2 5" xfId="18257" xr:uid="{00000000-0005-0000-0000-000095800000}"/>
    <cellStyle name="40% - Accent5 2 2 3 6 3" xfId="23120" xr:uid="{00000000-0005-0000-0000-000096800000}"/>
    <cellStyle name="40% - Accent5 2 2 3 6 4" xfId="32845" xr:uid="{00000000-0005-0000-0000-000097800000}"/>
    <cellStyle name="40% - Accent5 2 2 3 6 5" xfId="42570" xr:uid="{00000000-0005-0000-0000-000098800000}"/>
    <cellStyle name="40% - Accent5 2 2 3 6 6" xfId="13395" xr:uid="{00000000-0005-0000-0000-000099800000}"/>
    <cellStyle name="40% - Accent5 2 2 3 7" xfId="5291" xr:uid="{00000000-0005-0000-0000-00009A800000}"/>
    <cellStyle name="40% - Accent5 2 2 3 7 2" xfId="24742" xr:uid="{00000000-0005-0000-0000-00009B800000}"/>
    <cellStyle name="40% - Accent5 2 2 3 7 3" xfId="34467" xr:uid="{00000000-0005-0000-0000-00009C800000}"/>
    <cellStyle name="40% - Accent5 2 2 3 7 4" xfId="44192" xr:uid="{00000000-0005-0000-0000-00009D800000}"/>
    <cellStyle name="40% - Accent5 2 2 3 7 5" xfId="15017" xr:uid="{00000000-0005-0000-0000-00009E800000}"/>
    <cellStyle name="40% - Accent5 2 2 3 8" xfId="19880" xr:uid="{00000000-0005-0000-0000-00009F800000}"/>
    <cellStyle name="40% - Accent5 2 2 3 9" xfId="29605" xr:uid="{00000000-0005-0000-0000-0000A0800000}"/>
    <cellStyle name="40% - Accent5 2 2 4" xfId="186" xr:uid="{00000000-0005-0000-0000-0000A1800000}"/>
    <cellStyle name="40% - Accent5 2 2 4 10" xfId="39150" xr:uid="{00000000-0005-0000-0000-0000A2800000}"/>
    <cellStyle name="40% - Accent5 2 2 4 11" xfId="9975" xr:uid="{00000000-0005-0000-0000-0000A3800000}"/>
    <cellStyle name="40% - Accent5 2 2 4 2" xfId="950" xr:uid="{00000000-0005-0000-0000-0000A4800000}"/>
    <cellStyle name="40% - Accent5 2 2 4 2 2" xfId="2589" xr:uid="{00000000-0005-0000-0000-0000A5800000}"/>
    <cellStyle name="40% - Accent5 2 2 4 2 2 2" xfId="7451" xr:uid="{00000000-0005-0000-0000-0000A6800000}"/>
    <cellStyle name="40% - Accent5 2 2 4 2 2 2 2" xfId="26902" xr:uid="{00000000-0005-0000-0000-0000A7800000}"/>
    <cellStyle name="40% - Accent5 2 2 4 2 2 2 3" xfId="36627" xr:uid="{00000000-0005-0000-0000-0000A8800000}"/>
    <cellStyle name="40% - Accent5 2 2 4 2 2 2 4" xfId="46352" xr:uid="{00000000-0005-0000-0000-0000A9800000}"/>
    <cellStyle name="40% - Accent5 2 2 4 2 2 2 5" xfId="17177" xr:uid="{00000000-0005-0000-0000-0000AA800000}"/>
    <cellStyle name="40% - Accent5 2 2 4 2 2 3" xfId="22040" xr:uid="{00000000-0005-0000-0000-0000AB800000}"/>
    <cellStyle name="40% - Accent5 2 2 4 2 2 4" xfId="31765" xr:uid="{00000000-0005-0000-0000-0000AC800000}"/>
    <cellStyle name="40% - Accent5 2 2 4 2 2 5" xfId="41490" xr:uid="{00000000-0005-0000-0000-0000AD800000}"/>
    <cellStyle name="40% - Accent5 2 2 4 2 2 6" xfId="12315" xr:uid="{00000000-0005-0000-0000-0000AE800000}"/>
    <cellStyle name="40% - Accent5 2 2 4 2 3" xfId="4209" xr:uid="{00000000-0005-0000-0000-0000AF800000}"/>
    <cellStyle name="40% - Accent5 2 2 4 2 3 2" xfId="9071" xr:uid="{00000000-0005-0000-0000-0000B0800000}"/>
    <cellStyle name="40% - Accent5 2 2 4 2 3 2 2" xfId="28522" xr:uid="{00000000-0005-0000-0000-0000B1800000}"/>
    <cellStyle name="40% - Accent5 2 2 4 2 3 2 3" xfId="38247" xr:uid="{00000000-0005-0000-0000-0000B2800000}"/>
    <cellStyle name="40% - Accent5 2 2 4 2 3 2 4" xfId="47972" xr:uid="{00000000-0005-0000-0000-0000B3800000}"/>
    <cellStyle name="40% - Accent5 2 2 4 2 3 2 5" xfId="18797" xr:uid="{00000000-0005-0000-0000-0000B4800000}"/>
    <cellStyle name="40% - Accent5 2 2 4 2 3 3" xfId="23660" xr:uid="{00000000-0005-0000-0000-0000B5800000}"/>
    <cellStyle name="40% - Accent5 2 2 4 2 3 4" xfId="33385" xr:uid="{00000000-0005-0000-0000-0000B6800000}"/>
    <cellStyle name="40% - Accent5 2 2 4 2 3 5" xfId="43110" xr:uid="{00000000-0005-0000-0000-0000B7800000}"/>
    <cellStyle name="40% - Accent5 2 2 4 2 3 6" xfId="13935" xr:uid="{00000000-0005-0000-0000-0000B8800000}"/>
    <cellStyle name="40% - Accent5 2 2 4 2 4" xfId="5831" xr:uid="{00000000-0005-0000-0000-0000B9800000}"/>
    <cellStyle name="40% - Accent5 2 2 4 2 4 2" xfId="25282" xr:uid="{00000000-0005-0000-0000-0000BA800000}"/>
    <cellStyle name="40% - Accent5 2 2 4 2 4 3" xfId="35007" xr:uid="{00000000-0005-0000-0000-0000BB800000}"/>
    <cellStyle name="40% - Accent5 2 2 4 2 4 4" xfId="44732" xr:uid="{00000000-0005-0000-0000-0000BC800000}"/>
    <cellStyle name="40% - Accent5 2 2 4 2 4 5" xfId="15557" xr:uid="{00000000-0005-0000-0000-0000BD800000}"/>
    <cellStyle name="40% - Accent5 2 2 4 2 5" xfId="20420" xr:uid="{00000000-0005-0000-0000-0000BE800000}"/>
    <cellStyle name="40% - Accent5 2 2 4 2 6" xfId="30145" xr:uid="{00000000-0005-0000-0000-0000BF800000}"/>
    <cellStyle name="40% - Accent5 2 2 4 2 7" xfId="39870" xr:uid="{00000000-0005-0000-0000-0000C0800000}"/>
    <cellStyle name="40% - Accent5 2 2 4 2 8" xfId="10695" xr:uid="{00000000-0005-0000-0000-0000C1800000}"/>
    <cellStyle name="40% - Accent5 2 2 4 3" xfId="1418" xr:uid="{00000000-0005-0000-0000-0000C2800000}"/>
    <cellStyle name="40% - Accent5 2 2 4 3 2" xfId="3039" xr:uid="{00000000-0005-0000-0000-0000C3800000}"/>
    <cellStyle name="40% - Accent5 2 2 4 3 2 2" xfId="7901" xr:uid="{00000000-0005-0000-0000-0000C4800000}"/>
    <cellStyle name="40% - Accent5 2 2 4 3 2 2 2" xfId="27352" xr:uid="{00000000-0005-0000-0000-0000C5800000}"/>
    <cellStyle name="40% - Accent5 2 2 4 3 2 2 3" xfId="37077" xr:uid="{00000000-0005-0000-0000-0000C6800000}"/>
    <cellStyle name="40% - Accent5 2 2 4 3 2 2 4" xfId="46802" xr:uid="{00000000-0005-0000-0000-0000C7800000}"/>
    <cellStyle name="40% - Accent5 2 2 4 3 2 2 5" xfId="17627" xr:uid="{00000000-0005-0000-0000-0000C8800000}"/>
    <cellStyle name="40% - Accent5 2 2 4 3 2 3" xfId="22490" xr:uid="{00000000-0005-0000-0000-0000C9800000}"/>
    <cellStyle name="40% - Accent5 2 2 4 3 2 4" xfId="32215" xr:uid="{00000000-0005-0000-0000-0000CA800000}"/>
    <cellStyle name="40% - Accent5 2 2 4 3 2 5" xfId="41940" xr:uid="{00000000-0005-0000-0000-0000CB800000}"/>
    <cellStyle name="40% - Accent5 2 2 4 3 2 6" xfId="12765" xr:uid="{00000000-0005-0000-0000-0000CC800000}"/>
    <cellStyle name="40% - Accent5 2 2 4 3 3" xfId="4659" xr:uid="{00000000-0005-0000-0000-0000CD800000}"/>
    <cellStyle name="40% - Accent5 2 2 4 3 3 2" xfId="9521" xr:uid="{00000000-0005-0000-0000-0000CE800000}"/>
    <cellStyle name="40% - Accent5 2 2 4 3 3 2 2" xfId="28972" xr:uid="{00000000-0005-0000-0000-0000CF800000}"/>
    <cellStyle name="40% - Accent5 2 2 4 3 3 2 3" xfId="38697" xr:uid="{00000000-0005-0000-0000-0000D0800000}"/>
    <cellStyle name="40% - Accent5 2 2 4 3 3 2 4" xfId="48422" xr:uid="{00000000-0005-0000-0000-0000D1800000}"/>
    <cellStyle name="40% - Accent5 2 2 4 3 3 2 5" xfId="19247" xr:uid="{00000000-0005-0000-0000-0000D2800000}"/>
    <cellStyle name="40% - Accent5 2 2 4 3 3 3" xfId="24110" xr:uid="{00000000-0005-0000-0000-0000D3800000}"/>
    <cellStyle name="40% - Accent5 2 2 4 3 3 4" xfId="33835" xr:uid="{00000000-0005-0000-0000-0000D4800000}"/>
    <cellStyle name="40% - Accent5 2 2 4 3 3 5" xfId="43560" xr:uid="{00000000-0005-0000-0000-0000D5800000}"/>
    <cellStyle name="40% - Accent5 2 2 4 3 3 6" xfId="14385" xr:uid="{00000000-0005-0000-0000-0000D6800000}"/>
    <cellStyle name="40% - Accent5 2 2 4 3 4" xfId="6281" xr:uid="{00000000-0005-0000-0000-0000D7800000}"/>
    <cellStyle name="40% - Accent5 2 2 4 3 4 2" xfId="25732" xr:uid="{00000000-0005-0000-0000-0000D8800000}"/>
    <cellStyle name="40% - Accent5 2 2 4 3 4 3" xfId="35457" xr:uid="{00000000-0005-0000-0000-0000D9800000}"/>
    <cellStyle name="40% - Accent5 2 2 4 3 4 4" xfId="45182" xr:uid="{00000000-0005-0000-0000-0000DA800000}"/>
    <cellStyle name="40% - Accent5 2 2 4 3 4 5" xfId="16007" xr:uid="{00000000-0005-0000-0000-0000DB800000}"/>
    <cellStyle name="40% - Accent5 2 2 4 3 5" xfId="20870" xr:uid="{00000000-0005-0000-0000-0000DC800000}"/>
    <cellStyle name="40% - Accent5 2 2 4 3 6" xfId="30595" xr:uid="{00000000-0005-0000-0000-0000DD800000}"/>
    <cellStyle name="40% - Accent5 2 2 4 3 7" xfId="40320" xr:uid="{00000000-0005-0000-0000-0000DE800000}"/>
    <cellStyle name="40% - Accent5 2 2 4 3 8" xfId="11145" xr:uid="{00000000-0005-0000-0000-0000DF800000}"/>
    <cellStyle name="40% - Accent5 2 2 4 4" xfId="589" xr:uid="{00000000-0005-0000-0000-0000E0800000}"/>
    <cellStyle name="40% - Accent5 2 2 4 4 2" xfId="2229" xr:uid="{00000000-0005-0000-0000-0000E1800000}"/>
    <cellStyle name="40% - Accent5 2 2 4 4 2 2" xfId="7091" xr:uid="{00000000-0005-0000-0000-0000E2800000}"/>
    <cellStyle name="40% - Accent5 2 2 4 4 2 2 2" xfId="26542" xr:uid="{00000000-0005-0000-0000-0000E3800000}"/>
    <cellStyle name="40% - Accent5 2 2 4 4 2 2 3" xfId="36267" xr:uid="{00000000-0005-0000-0000-0000E4800000}"/>
    <cellStyle name="40% - Accent5 2 2 4 4 2 2 4" xfId="45992" xr:uid="{00000000-0005-0000-0000-0000E5800000}"/>
    <cellStyle name="40% - Accent5 2 2 4 4 2 2 5" xfId="16817" xr:uid="{00000000-0005-0000-0000-0000E6800000}"/>
    <cellStyle name="40% - Accent5 2 2 4 4 2 3" xfId="21680" xr:uid="{00000000-0005-0000-0000-0000E7800000}"/>
    <cellStyle name="40% - Accent5 2 2 4 4 2 4" xfId="31405" xr:uid="{00000000-0005-0000-0000-0000E8800000}"/>
    <cellStyle name="40% - Accent5 2 2 4 4 2 5" xfId="41130" xr:uid="{00000000-0005-0000-0000-0000E9800000}"/>
    <cellStyle name="40% - Accent5 2 2 4 4 2 6" xfId="11955" xr:uid="{00000000-0005-0000-0000-0000EA800000}"/>
    <cellStyle name="40% - Accent5 2 2 4 4 3" xfId="3849" xr:uid="{00000000-0005-0000-0000-0000EB800000}"/>
    <cellStyle name="40% - Accent5 2 2 4 4 3 2" xfId="8711" xr:uid="{00000000-0005-0000-0000-0000EC800000}"/>
    <cellStyle name="40% - Accent5 2 2 4 4 3 2 2" xfId="28162" xr:uid="{00000000-0005-0000-0000-0000ED800000}"/>
    <cellStyle name="40% - Accent5 2 2 4 4 3 2 3" xfId="37887" xr:uid="{00000000-0005-0000-0000-0000EE800000}"/>
    <cellStyle name="40% - Accent5 2 2 4 4 3 2 4" xfId="47612" xr:uid="{00000000-0005-0000-0000-0000EF800000}"/>
    <cellStyle name="40% - Accent5 2 2 4 4 3 2 5" xfId="18437" xr:uid="{00000000-0005-0000-0000-0000F0800000}"/>
    <cellStyle name="40% - Accent5 2 2 4 4 3 3" xfId="23300" xr:uid="{00000000-0005-0000-0000-0000F1800000}"/>
    <cellStyle name="40% - Accent5 2 2 4 4 3 4" xfId="33025" xr:uid="{00000000-0005-0000-0000-0000F2800000}"/>
    <cellStyle name="40% - Accent5 2 2 4 4 3 5" xfId="42750" xr:uid="{00000000-0005-0000-0000-0000F3800000}"/>
    <cellStyle name="40% - Accent5 2 2 4 4 3 6" xfId="13575" xr:uid="{00000000-0005-0000-0000-0000F4800000}"/>
    <cellStyle name="40% - Accent5 2 2 4 4 4" xfId="5471" xr:uid="{00000000-0005-0000-0000-0000F5800000}"/>
    <cellStyle name="40% - Accent5 2 2 4 4 4 2" xfId="24922" xr:uid="{00000000-0005-0000-0000-0000F6800000}"/>
    <cellStyle name="40% - Accent5 2 2 4 4 4 3" xfId="34647" xr:uid="{00000000-0005-0000-0000-0000F7800000}"/>
    <cellStyle name="40% - Accent5 2 2 4 4 4 4" xfId="44372" xr:uid="{00000000-0005-0000-0000-0000F8800000}"/>
    <cellStyle name="40% - Accent5 2 2 4 4 4 5" xfId="15197" xr:uid="{00000000-0005-0000-0000-0000F9800000}"/>
    <cellStyle name="40% - Accent5 2 2 4 4 5" xfId="20060" xr:uid="{00000000-0005-0000-0000-0000FA800000}"/>
    <cellStyle name="40% - Accent5 2 2 4 4 6" xfId="29785" xr:uid="{00000000-0005-0000-0000-0000FB800000}"/>
    <cellStyle name="40% - Accent5 2 2 4 4 7" xfId="39510" xr:uid="{00000000-0005-0000-0000-0000FC800000}"/>
    <cellStyle name="40% - Accent5 2 2 4 4 8" xfId="10335" xr:uid="{00000000-0005-0000-0000-0000FD800000}"/>
    <cellStyle name="40% - Accent5 2 2 4 5" xfId="1869" xr:uid="{00000000-0005-0000-0000-0000FE800000}"/>
    <cellStyle name="40% - Accent5 2 2 4 5 2" xfId="6731" xr:uid="{00000000-0005-0000-0000-0000FF800000}"/>
    <cellStyle name="40% - Accent5 2 2 4 5 2 2" xfId="26182" xr:uid="{00000000-0005-0000-0000-000000810000}"/>
    <cellStyle name="40% - Accent5 2 2 4 5 2 3" xfId="35907" xr:uid="{00000000-0005-0000-0000-000001810000}"/>
    <cellStyle name="40% - Accent5 2 2 4 5 2 4" xfId="45632" xr:uid="{00000000-0005-0000-0000-000002810000}"/>
    <cellStyle name="40% - Accent5 2 2 4 5 2 5" xfId="16457" xr:uid="{00000000-0005-0000-0000-000003810000}"/>
    <cellStyle name="40% - Accent5 2 2 4 5 3" xfId="21320" xr:uid="{00000000-0005-0000-0000-000004810000}"/>
    <cellStyle name="40% - Accent5 2 2 4 5 4" xfId="31045" xr:uid="{00000000-0005-0000-0000-000005810000}"/>
    <cellStyle name="40% - Accent5 2 2 4 5 5" xfId="40770" xr:uid="{00000000-0005-0000-0000-000006810000}"/>
    <cellStyle name="40% - Accent5 2 2 4 5 6" xfId="11595" xr:uid="{00000000-0005-0000-0000-000007810000}"/>
    <cellStyle name="40% - Accent5 2 2 4 6" xfId="3489" xr:uid="{00000000-0005-0000-0000-000008810000}"/>
    <cellStyle name="40% - Accent5 2 2 4 6 2" xfId="8351" xr:uid="{00000000-0005-0000-0000-000009810000}"/>
    <cellStyle name="40% - Accent5 2 2 4 6 2 2" xfId="27802" xr:uid="{00000000-0005-0000-0000-00000A810000}"/>
    <cellStyle name="40% - Accent5 2 2 4 6 2 3" xfId="37527" xr:uid="{00000000-0005-0000-0000-00000B810000}"/>
    <cellStyle name="40% - Accent5 2 2 4 6 2 4" xfId="47252" xr:uid="{00000000-0005-0000-0000-00000C810000}"/>
    <cellStyle name="40% - Accent5 2 2 4 6 2 5" xfId="18077" xr:uid="{00000000-0005-0000-0000-00000D810000}"/>
    <cellStyle name="40% - Accent5 2 2 4 6 3" xfId="22940" xr:uid="{00000000-0005-0000-0000-00000E810000}"/>
    <cellStyle name="40% - Accent5 2 2 4 6 4" xfId="32665" xr:uid="{00000000-0005-0000-0000-00000F810000}"/>
    <cellStyle name="40% - Accent5 2 2 4 6 5" xfId="42390" xr:uid="{00000000-0005-0000-0000-000010810000}"/>
    <cellStyle name="40% - Accent5 2 2 4 6 6" xfId="13215" xr:uid="{00000000-0005-0000-0000-000011810000}"/>
    <cellStyle name="40% - Accent5 2 2 4 7" xfId="5111" xr:uid="{00000000-0005-0000-0000-000012810000}"/>
    <cellStyle name="40% - Accent5 2 2 4 7 2" xfId="24562" xr:uid="{00000000-0005-0000-0000-000013810000}"/>
    <cellStyle name="40% - Accent5 2 2 4 7 3" xfId="34287" xr:uid="{00000000-0005-0000-0000-000014810000}"/>
    <cellStyle name="40% - Accent5 2 2 4 7 4" xfId="44012" xr:uid="{00000000-0005-0000-0000-000015810000}"/>
    <cellStyle name="40% - Accent5 2 2 4 7 5" xfId="14837" xr:uid="{00000000-0005-0000-0000-000016810000}"/>
    <cellStyle name="40% - Accent5 2 2 4 8" xfId="19700" xr:uid="{00000000-0005-0000-0000-000017810000}"/>
    <cellStyle name="40% - Accent5 2 2 4 9" xfId="29425" xr:uid="{00000000-0005-0000-0000-000018810000}"/>
    <cellStyle name="40% - Accent5 2 2 5" xfId="860" xr:uid="{00000000-0005-0000-0000-000019810000}"/>
    <cellStyle name="40% - Accent5 2 2 5 2" xfId="2499" xr:uid="{00000000-0005-0000-0000-00001A810000}"/>
    <cellStyle name="40% - Accent5 2 2 5 2 2" xfId="7361" xr:uid="{00000000-0005-0000-0000-00001B810000}"/>
    <cellStyle name="40% - Accent5 2 2 5 2 2 2" xfId="26812" xr:uid="{00000000-0005-0000-0000-00001C810000}"/>
    <cellStyle name="40% - Accent5 2 2 5 2 2 3" xfId="36537" xr:uid="{00000000-0005-0000-0000-00001D810000}"/>
    <cellStyle name="40% - Accent5 2 2 5 2 2 4" xfId="46262" xr:uid="{00000000-0005-0000-0000-00001E810000}"/>
    <cellStyle name="40% - Accent5 2 2 5 2 2 5" xfId="17087" xr:uid="{00000000-0005-0000-0000-00001F810000}"/>
    <cellStyle name="40% - Accent5 2 2 5 2 3" xfId="21950" xr:uid="{00000000-0005-0000-0000-000020810000}"/>
    <cellStyle name="40% - Accent5 2 2 5 2 4" xfId="31675" xr:uid="{00000000-0005-0000-0000-000021810000}"/>
    <cellStyle name="40% - Accent5 2 2 5 2 5" xfId="41400" xr:uid="{00000000-0005-0000-0000-000022810000}"/>
    <cellStyle name="40% - Accent5 2 2 5 2 6" xfId="12225" xr:uid="{00000000-0005-0000-0000-000023810000}"/>
    <cellStyle name="40% - Accent5 2 2 5 3" xfId="4119" xr:uid="{00000000-0005-0000-0000-000024810000}"/>
    <cellStyle name="40% - Accent5 2 2 5 3 2" xfId="8981" xr:uid="{00000000-0005-0000-0000-000025810000}"/>
    <cellStyle name="40% - Accent5 2 2 5 3 2 2" xfId="28432" xr:uid="{00000000-0005-0000-0000-000026810000}"/>
    <cellStyle name="40% - Accent5 2 2 5 3 2 3" xfId="38157" xr:uid="{00000000-0005-0000-0000-000027810000}"/>
    <cellStyle name="40% - Accent5 2 2 5 3 2 4" xfId="47882" xr:uid="{00000000-0005-0000-0000-000028810000}"/>
    <cellStyle name="40% - Accent5 2 2 5 3 2 5" xfId="18707" xr:uid="{00000000-0005-0000-0000-000029810000}"/>
    <cellStyle name="40% - Accent5 2 2 5 3 3" xfId="23570" xr:uid="{00000000-0005-0000-0000-00002A810000}"/>
    <cellStyle name="40% - Accent5 2 2 5 3 4" xfId="33295" xr:uid="{00000000-0005-0000-0000-00002B810000}"/>
    <cellStyle name="40% - Accent5 2 2 5 3 5" xfId="43020" xr:uid="{00000000-0005-0000-0000-00002C810000}"/>
    <cellStyle name="40% - Accent5 2 2 5 3 6" xfId="13845" xr:uid="{00000000-0005-0000-0000-00002D810000}"/>
    <cellStyle name="40% - Accent5 2 2 5 4" xfId="5741" xr:uid="{00000000-0005-0000-0000-00002E810000}"/>
    <cellStyle name="40% - Accent5 2 2 5 4 2" xfId="25192" xr:uid="{00000000-0005-0000-0000-00002F810000}"/>
    <cellStyle name="40% - Accent5 2 2 5 4 3" xfId="34917" xr:uid="{00000000-0005-0000-0000-000030810000}"/>
    <cellStyle name="40% - Accent5 2 2 5 4 4" xfId="44642" xr:uid="{00000000-0005-0000-0000-000031810000}"/>
    <cellStyle name="40% - Accent5 2 2 5 4 5" xfId="15467" xr:uid="{00000000-0005-0000-0000-000032810000}"/>
    <cellStyle name="40% - Accent5 2 2 5 5" xfId="20330" xr:uid="{00000000-0005-0000-0000-000033810000}"/>
    <cellStyle name="40% - Accent5 2 2 5 6" xfId="30055" xr:uid="{00000000-0005-0000-0000-000034810000}"/>
    <cellStyle name="40% - Accent5 2 2 5 7" xfId="39780" xr:uid="{00000000-0005-0000-0000-000035810000}"/>
    <cellStyle name="40% - Accent5 2 2 5 8" xfId="10605" xr:uid="{00000000-0005-0000-0000-000036810000}"/>
    <cellStyle name="40% - Accent5 2 2 6" xfId="1238" xr:uid="{00000000-0005-0000-0000-000037810000}"/>
    <cellStyle name="40% - Accent5 2 2 6 2" xfId="2859" xr:uid="{00000000-0005-0000-0000-000038810000}"/>
    <cellStyle name="40% - Accent5 2 2 6 2 2" xfId="7721" xr:uid="{00000000-0005-0000-0000-000039810000}"/>
    <cellStyle name="40% - Accent5 2 2 6 2 2 2" xfId="27172" xr:uid="{00000000-0005-0000-0000-00003A810000}"/>
    <cellStyle name="40% - Accent5 2 2 6 2 2 3" xfId="36897" xr:uid="{00000000-0005-0000-0000-00003B810000}"/>
    <cellStyle name="40% - Accent5 2 2 6 2 2 4" xfId="46622" xr:uid="{00000000-0005-0000-0000-00003C810000}"/>
    <cellStyle name="40% - Accent5 2 2 6 2 2 5" xfId="17447" xr:uid="{00000000-0005-0000-0000-00003D810000}"/>
    <cellStyle name="40% - Accent5 2 2 6 2 3" xfId="22310" xr:uid="{00000000-0005-0000-0000-00003E810000}"/>
    <cellStyle name="40% - Accent5 2 2 6 2 4" xfId="32035" xr:uid="{00000000-0005-0000-0000-00003F810000}"/>
    <cellStyle name="40% - Accent5 2 2 6 2 5" xfId="41760" xr:uid="{00000000-0005-0000-0000-000040810000}"/>
    <cellStyle name="40% - Accent5 2 2 6 2 6" xfId="12585" xr:uid="{00000000-0005-0000-0000-000041810000}"/>
    <cellStyle name="40% - Accent5 2 2 6 3" xfId="4479" xr:uid="{00000000-0005-0000-0000-000042810000}"/>
    <cellStyle name="40% - Accent5 2 2 6 3 2" xfId="9341" xr:uid="{00000000-0005-0000-0000-000043810000}"/>
    <cellStyle name="40% - Accent5 2 2 6 3 2 2" xfId="28792" xr:uid="{00000000-0005-0000-0000-000044810000}"/>
    <cellStyle name="40% - Accent5 2 2 6 3 2 3" xfId="38517" xr:uid="{00000000-0005-0000-0000-000045810000}"/>
    <cellStyle name="40% - Accent5 2 2 6 3 2 4" xfId="48242" xr:uid="{00000000-0005-0000-0000-000046810000}"/>
    <cellStyle name="40% - Accent5 2 2 6 3 2 5" xfId="19067" xr:uid="{00000000-0005-0000-0000-000047810000}"/>
    <cellStyle name="40% - Accent5 2 2 6 3 3" xfId="23930" xr:uid="{00000000-0005-0000-0000-000048810000}"/>
    <cellStyle name="40% - Accent5 2 2 6 3 4" xfId="33655" xr:uid="{00000000-0005-0000-0000-000049810000}"/>
    <cellStyle name="40% - Accent5 2 2 6 3 5" xfId="43380" xr:uid="{00000000-0005-0000-0000-00004A810000}"/>
    <cellStyle name="40% - Accent5 2 2 6 3 6" xfId="14205" xr:uid="{00000000-0005-0000-0000-00004B810000}"/>
    <cellStyle name="40% - Accent5 2 2 6 4" xfId="6101" xr:uid="{00000000-0005-0000-0000-00004C810000}"/>
    <cellStyle name="40% - Accent5 2 2 6 4 2" xfId="25552" xr:uid="{00000000-0005-0000-0000-00004D810000}"/>
    <cellStyle name="40% - Accent5 2 2 6 4 3" xfId="35277" xr:uid="{00000000-0005-0000-0000-00004E810000}"/>
    <cellStyle name="40% - Accent5 2 2 6 4 4" xfId="45002" xr:uid="{00000000-0005-0000-0000-00004F810000}"/>
    <cellStyle name="40% - Accent5 2 2 6 4 5" xfId="15827" xr:uid="{00000000-0005-0000-0000-000050810000}"/>
    <cellStyle name="40% - Accent5 2 2 6 5" xfId="20690" xr:uid="{00000000-0005-0000-0000-000051810000}"/>
    <cellStyle name="40% - Accent5 2 2 6 6" xfId="30415" xr:uid="{00000000-0005-0000-0000-000052810000}"/>
    <cellStyle name="40% - Accent5 2 2 6 7" xfId="40140" xr:uid="{00000000-0005-0000-0000-000053810000}"/>
    <cellStyle name="40% - Accent5 2 2 6 8" xfId="10965" xr:uid="{00000000-0005-0000-0000-000054810000}"/>
    <cellStyle name="40% - Accent5 2 2 7" xfId="1328" xr:uid="{00000000-0005-0000-0000-000055810000}"/>
    <cellStyle name="40% - Accent5 2 2 7 2" xfId="2949" xr:uid="{00000000-0005-0000-0000-000056810000}"/>
    <cellStyle name="40% - Accent5 2 2 7 2 2" xfId="7811" xr:uid="{00000000-0005-0000-0000-000057810000}"/>
    <cellStyle name="40% - Accent5 2 2 7 2 2 2" xfId="27262" xr:uid="{00000000-0005-0000-0000-000058810000}"/>
    <cellStyle name="40% - Accent5 2 2 7 2 2 3" xfId="36987" xr:uid="{00000000-0005-0000-0000-000059810000}"/>
    <cellStyle name="40% - Accent5 2 2 7 2 2 4" xfId="46712" xr:uid="{00000000-0005-0000-0000-00005A810000}"/>
    <cellStyle name="40% - Accent5 2 2 7 2 2 5" xfId="17537" xr:uid="{00000000-0005-0000-0000-00005B810000}"/>
    <cellStyle name="40% - Accent5 2 2 7 2 3" xfId="22400" xr:uid="{00000000-0005-0000-0000-00005C810000}"/>
    <cellStyle name="40% - Accent5 2 2 7 2 4" xfId="32125" xr:uid="{00000000-0005-0000-0000-00005D810000}"/>
    <cellStyle name="40% - Accent5 2 2 7 2 5" xfId="41850" xr:uid="{00000000-0005-0000-0000-00005E810000}"/>
    <cellStyle name="40% - Accent5 2 2 7 2 6" xfId="12675" xr:uid="{00000000-0005-0000-0000-00005F810000}"/>
    <cellStyle name="40% - Accent5 2 2 7 3" xfId="4569" xr:uid="{00000000-0005-0000-0000-000060810000}"/>
    <cellStyle name="40% - Accent5 2 2 7 3 2" xfId="9431" xr:uid="{00000000-0005-0000-0000-000061810000}"/>
    <cellStyle name="40% - Accent5 2 2 7 3 2 2" xfId="28882" xr:uid="{00000000-0005-0000-0000-000062810000}"/>
    <cellStyle name="40% - Accent5 2 2 7 3 2 3" xfId="38607" xr:uid="{00000000-0005-0000-0000-000063810000}"/>
    <cellStyle name="40% - Accent5 2 2 7 3 2 4" xfId="48332" xr:uid="{00000000-0005-0000-0000-000064810000}"/>
    <cellStyle name="40% - Accent5 2 2 7 3 2 5" xfId="19157" xr:uid="{00000000-0005-0000-0000-000065810000}"/>
    <cellStyle name="40% - Accent5 2 2 7 3 3" xfId="24020" xr:uid="{00000000-0005-0000-0000-000066810000}"/>
    <cellStyle name="40% - Accent5 2 2 7 3 4" xfId="33745" xr:uid="{00000000-0005-0000-0000-000067810000}"/>
    <cellStyle name="40% - Accent5 2 2 7 3 5" xfId="43470" xr:uid="{00000000-0005-0000-0000-000068810000}"/>
    <cellStyle name="40% - Accent5 2 2 7 3 6" xfId="14295" xr:uid="{00000000-0005-0000-0000-000069810000}"/>
    <cellStyle name="40% - Accent5 2 2 7 4" xfId="6191" xr:uid="{00000000-0005-0000-0000-00006A810000}"/>
    <cellStyle name="40% - Accent5 2 2 7 4 2" xfId="25642" xr:uid="{00000000-0005-0000-0000-00006B810000}"/>
    <cellStyle name="40% - Accent5 2 2 7 4 3" xfId="35367" xr:uid="{00000000-0005-0000-0000-00006C810000}"/>
    <cellStyle name="40% - Accent5 2 2 7 4 4" xfId="45092" xr:uid="{00000000-0005-0000-0000-00006D810000}"/>
    <cellStyle name="40% - Accent5 2 2 7 4 5" xfId="15917" xr:uid="{00000000-0005-0000-0000-00006E810000}"/>
    <cellStyle name="40% - Accent5 2 2 7 5" xfId="20780" xr:uid="{00000000-0005-0000-0000-00006F810000}"/>
    <cellStyle name="40% - Accent5 2 2 7 6" xfId="30505" xr:uid="{00000000-0005-0000-0000-000070810000}"/>
    <cellStyle name="40% - Accent5 2 2 7 7" xfId="40230" xr:uid="{00000000-0005-0000-0000-000071810000}"/>
    <cellStyle name="40% - Accent5 2 2 7 8" xfId="11055" xr:uid="{00000000-0005-0000-0000-000072810000}"/>
    <cellStyle name="40% - Accent5 2 2 8" xfId="499" xr:uid="{00000000-0005-0000-0000-000073810000}"/>
    <cellStyle name="40% - Accent5 2 2 8 2" xfId="2139" xr:uid="{00000000-0005-0000-0000-000074810000}"/>
    <cellStyle name="40% - Accent5 2 2 8 2 2" xfId="7001" xr:uid="{00000000-0005-0000-0000-000075810000}"/>
    <cellStyle name="40% - Accent5 2 2 8 2 2 2" xfId="26452" xr:uid="{00000000-0005-0000-0000-000076810000}"/>
    <cellStyle name="40% - Accent5 2 2 8 2 2 3" xfId="36177" xr:uid="{00000000-0005-0000-0000-000077810000}"/>
    <cellStyle name="40% - Accent5 2 2 8 2 2 4" xfId="45902" xr:uid="{00000000-0005-0000-0000-000078810000}"/>
    <cellStyle name="40% - Accent5 2 2 8 2 2 5" xfId="16727" xr:uid="{00000000-0005-0000-0000-000079810000}"/>
    <cellStyle name="40% - Accent5 2 2 8 2 3" xfId="21590" xr:uid="{00000000-0005-0000-0000-00007A810000}"/>
    <cellStyle name="40% - Accent5 2 2 8 2 4" xfId="31315" xr:uid="{00000000-0005-0000-0000-00007B810000}"/>
    <cellStyle name="40% - Accent5 2 2 8 2 5" xfId="41040" xr:uid="{00000000-0005-0000-0000-00007C810000}"/>
    <cellStyle name="40% - Accent5 2 2 8 2 6" xfId="11865" xr:uid="{00000000-0005-0000-0000-00007D810000}"/>
    <cellStyle name="40% - Accent5 2 2 8 3" xfId="3759" xr:uid="{00000000-0005-0000-0000-00007E810000}"/>
    <cellStyle name="40% - Accent5 2 2 8 3 2" xfId="8621" xr:uid="{00000000-0005-0000-0000-00007F810000}"/>
    <cellStyle name="40% - Accent5 2 2 8 3 2 2" xfId="28072" xr:uid="{00000000-0005-0000-0000-000080810000}"/>
    <cellStyle name="40% - Accent5 2 2 8 3 2 3" xfId="37797" xr:uid="{00000000-0005-0000-0000-000081810000}"/>
    <cellStyle name="40% - Accent5 2 2 8 3 2 4" xfId="47522" xr:uid="{00000000-0005-0000-0000-000082810000}"/>
    <cellStyle name="40% - Accent5 2 2 8 3 2 5" xfId="18347" xr:uid="{00000000-0005-0000-0000-000083810000}"/>
    <cellStyle name="40% - Accent5 2 2 8 3 3" xfId="23210" xr:uid="{00000000-0005-0000-0000-000084810000}"/>
    <cellStyle name="40% - Accent5 2 2 8 3 4" xfId="32935" xr:uid="{00000000-0005-0000-0000-000085810000}"/>
    <cellStyle name="40% - Accent5 2 2 8 3 5" xfId="42660" xr:uid="{00000000-0005-0000-0000-000086810000}"/>
    <cellStyle name="40% - Accent5 2 2 8 3 6" xfId="13485" xr:uid="{00000000-0005-0000-0000-000087810000}"/>
    <cellStyle name="40% - Accent5 2 2 8 4" xfId="5381" xr:uid="{00000000-0005-0000-0000-000088810000}"/>
    <cellStyle name="40% - Accent5 2 2 8 4 2" xfId="24832" xr:uid="{00000000-0005-0000-0000-000089810000}"/>
    <cellStyle name="40% - Accent5 2 2 8 4 3" xfId="34557" xr:uid="{00000000-0005-0000-0000-00008A810000}"/>
    <cellStyle name="40% - Accent5 2 2 8 4 4" xfId="44282" xr:uid="{00000000-0005-0000-0000-00008B810000}"/>
    <cellStyle name="40% - Accent5 2 2 8 4 5" xfId="15107" xr:uid="{00000000-0005-0000-0000-00008C810000}"/>
    <cellStyle name="40% - Accent5 2 2 8 5" xfId="19970" xr:uid="{00000000-0005-0000-0000-00008D810000}"/>
    <cellStyle name="40% - Accent5 2 2 8 6" xfId="29695" xr:uid="{00000000-0005-0000-0000-00008E810000}"/>
    <cellStyle name="40% - Accent5 2 2 8 7" xfId="39420" xr:uid="{00000000-0005-0000-0000-00008F810000}"/>
    <cellStyle name="40% - Accent5 2 2 8 8" xfId="10245" xr:uid="{00000000-0005-0000-0000-000090810000}"/>
    <cellStyle name="40% - Accent5 2 2 9" xfId="1688" xr:uid="{00000000-0005-0000-0000-000091810000}"/>
    <cellStyle name="40% - Accent5 2 2 9 2" xfId="3309" xr:uid="{00000000-0005-0000-0000-000092810000}"/>
    <cellStyle name="40% - Accent5 2 2 9 2 2" xfId="8171" xr:uid="{00000000-0005-0000-0000-000093810000}"/>
    <cellStyle name="40% - Accent5 2 2 9 2 2 2" xfId="27622" xr:uid="{00000000-0005-0000-0000-000094810000}"/>
    <cellStyle name="40% - Accent5 2 2 9 2 2 3" xfId="37347" xr:uid="{00000000-0005-0000-0000-000095810000}"/>
    <cellStyle name="40% - Accent5 2 2 9 2 2 4" xfId="47072" xr:uid="{00000000-0005-0000-0000-000096810000}"/>
    <cellStyle name="40% - Accent5 2 2 9 2 2 5" xfId="17897" xr:uid="{00000000-0005-0000-0000-000097810000}"/>
    <cellStyle name="40% - Accent5 2 2 9 2 3" xfId="22760" xr:uid="{00000000-0005-0000-0000-000098810000}"/>
    <cellStyle name="40% - Accent5 2 2 9 2 4" xfId="32485" xr:uid="{00000000-0005-0000-0000-000099810000}"/>
    <cellStyle name="40% - Accent5 2 2 9 2 5" xfId="42210" xr:uid="{00000000-0005-0000-0000-00009A810000}"/>
    <cellStyle name="40% - Accent5 2 2 9 2 6" xfId="13035" xr:uid="{00000000-0005-0000-0000-00009B810000}"/>
    <cellStyle name="40% - Accent5 2 2 9 3" xfId="4929" xr:uid="{00000000-0005-0000-0000-00009C810000}"/>
    <cellStyle name="40% - Accent5 2 2 9 3 2" xfId="9791" xr:uid="{00000000-0005-0000-0000-00009D810000}"/>
    <cellStyle name="40% - Accent5 2 2 9 3 2 2" xfId="29242" xr:uid="{00000000-0005-0000-0000-00009E810000}"/>
    <cellStyle name="40% - Accent5 2 2 9 3 2 3" xfId="38967" xr:uid="{00000000-0005-0000-0000-00009F810000}"/>
    <cellStyle name="40% - Accent5 2 2 9 3 2 4" xfId="48692" xr:uid="{00000000-0005-0000-0000-0000A0810000}"/>
    <cellStyle name="40% - Accent5 2 2 9 3 2 5" xfId="19517" xr:uid="{00000000-0005-0000-0000-0000A1810000}"/>
    <cellStyle name="40% - Accent5 2 2 9 3 3" xfId="24380" xr:uid="{00000000-0005-0000-0000-0000A2810000}"/>
    <cellStyle name="40% - Accent5 2 2 9 3 4" xfId="34105" xr:uid="{00000000-0005-0000-0000-0000A3810000}"/>
    <cellStyle name="40% - Accent5 2 2 9 3 5" xfId="43830" xr:uid="{00000000-0005-0000-0000-0000A4810000}"/>
    <cellStyle name="40% - Accent5 2 2 9 3 6" xfId="14655" xr:uid="{00000000-0005-0000-0000-0000A5810000}"/>
    <cellStyle name="40% - Accent5 2 2 9 4" xfId="6551" xr:uid="{00000000-0005-0000-0000-0000A6810000}"/>
    <cellStyle name="40% - Accent5 2 2 9 4 2" xfId="26002" xr:uid="{00000000-0005-0000-0000-0000A7810000}"/>
    <cellStyle name="40% - Accent5 2 2 9 4 3" xfId="35727" xr:uid="{00000000-0005-0000-0000-0000A8810000}"/>
    <cellStyle name="40% - Accent5 2 2 9 4 4" xfId="45452" xr:uid="{00000000-0005-0000-0000-0000A9810000}"/>
    <cellStyle name="40% - Accent5 2 2 9 4 5" xfId="16277" xr:uid="{00000000-0005-0000-0000-0000AA810000}"/>
    <cellStyle name="40% - Accent5 2 2 9 5" xfId="21140" xr:uid="{00000000-0005-0000-0000-0000AB810000}"/>
    <cellStyle name="40% - Accent5 2 2 9 6" xfId="30865" xr:uid="{00000000-0005-0000-0000-0000AC810000}"/>
    <cellStyle name="40% - Accent5 2 2 9 7" xfId="40590" xr:uid="{00000000-0005-0000-0000-0000AD810000}"/>
    <cellStyle name="40% - Accent5 2 2 9 8" xfId="11415" xr:uid="{00000000-0005-0000-0000-0000AE810000}"/>
    <cellStyle name="40% - Accent5 2 3" xfId="125" xr:uid="{00000000-0005-0000-0000-0000AF810000}"/>
    <cellStyle name="40% - Accent5 2 3 10" xfId="1809" xr:uid="{00000000-0005-0000-0000-0000B0810000}"/>
    <cellStyle name="40% - Accent5 2 3 10 2" xfId="6671" xr:uid="{00000000-0005-0000-0000-0000B1810000}"/>
    <cellStyle name="40% - Accent5 2 3 10 2 2" xfId="26122" xr:uid="{00000000-0005-0000-0000-0000B2810000}"/>
    <cellStyle name="40% - Accent5 2 3 10 2 3" xfId="35847" xr:uid="{00000000-0005-0000-0000-0000B3810000}"/>
    <cellStyle name="40% - Accent5 2 3 10 2 4" xfId="45572" xr:uid="{00000000-0005-0000-0000-0000B4810000}"/>
    <cellStyle name="40% - Accent5 2 3 10 2 5" xfId="16397" xr:uid="{00000000-0005-0000-0000-0000B5810000}"/>
    <cellStyle name="40% - Accent5 2 3 10 3" xfId="21260" xr:uid="{00000000-0005-0000-0000-0000B6810000}"/>
    <cellStyle name="40% - Accent5 2 3 10 4" xfId="30985" xr:uid="{00000000-0005-0000-0000-0000B7810000}"/>
    <cellStyle name="40% - Accent5 2 3 10 5" xfId="40710" xr:uid="{00000000-0005-0000-0000-0000B8810000}"/>
    <cellStyle name="40% - Accent5 2 3 10 6" xfId="11535" xr:uid="{00000000-0005-0000-0000-0000B9810000}"/>
    <cellStyle name="40% - Accent5 2 3 11" xfId="3429" xr:uid="{00000000-0005-0000-0000-0000BA810000}"/>
    <cellStyle name="40% - Accent5 2 3 11 2" xfId="8291" xr:uid="{00000000-0005-0000-0000-0000BB810000}"/>
    <cellStyle name="40% - Accent5 2 3 11 2 2" xfId="27742" xr:uid="{00000000-0005-0000-0000-0000BC810000}"/>
    <cellStyle name="40% - Accent5 2 3 11 2 3" xfId="37467" xr:uid="{00000000-0005-0000-0000-0000BD810000}"/>
    <cellStyle name="40% - Accent5 2 3 11 2 4" xfId="47192" xr:uid="{00000000-0005-0000-0000-0000BE810000}"/>
    <cellStyle name="40% - Accent5 2 3 11 2 5" xfId="18017" xr:uid="{00000000-0005-0000-0000-0000BF810000}"/>
    <cellStyle name="40% - Accent5 2 3 11 3" xfId="22880" xr:uid="{00000000-0005-0000-0000-0000C0810000}"/>
    <cellStyle name="40% - Accent5 2 3 11 4" xfId="32605" xr:uid="{00000000-0005-0000-0000-0000C1810000}"/>
    <cellStyle name="40% - Accent5 2 3 11 5" xfId="42330" xr:uid="{00000000-0005-0000-0000-0000C2810000}"/>
    <cellStyle name="40% - Accent5 2 3 11 6" xfId="13155" xr:uid="{00000000-0005-0000-0000-0000C3810000}"/>
    <cellStyle name="40% - Accent5 2 3 12" xfId="5051" xr:uid="{00000000-0005-0000-0000-0000C4810000}"/>
    <cellStyle name="40% - Accent5 2 3 12 2" xfId="24502" xr:uid="{00000000-0005-0000-0000-0000C5810000}"/>
    <cellStyle name="40% - Accent5 2 3 12 3" xfId="34227" xr:uid="{00000000-0005-0000-0000-0000C6810000}"/>
    <cellStyle name="40% - Accent5 2 3 12 4" xfId="43952" xr:uid="{00000000-0005-0000-0000-0000C7810000}"/>
    <cellStyle name="40% - Accent5 2 3 12 5" xfId="14777" xr:uid="{00000000-0005-0000-0000-0000C8810000}"/>
    <cellStyle name="40% - Accent5 2 3 13" xfId="19640" xr:uid="{00000000-0005-0000-0000-0000C9810000}"/>
    <cellStyle name="40% - Accent5 2 3 14" xfId="29365" xr:uid="{00000000-0005-0000-0000-0000CA810000}"/>
    <cellStyle name="40% - Accent5 2 3 15" xfId="39090" xr:uid="{00000000-0005-0000-0000-0000CB810000}"/>
    <cellStyle name="40% - Accent5 2 3 16" xfId="9915" xr:uid="{00000000-0005-0000-0000-0000CC810000}"/>
    <cellStyle name="40% - Accent5 2 3 2" xfId="307" xr:uid="{00000000-0005-0000-0000-0000CD810000}"/>
    <cellStyle name="40% - Accent5 2 3 2 10" xfId="39270" xr:uid="{00000000-0005-0000-0000-0000CE810000}"/>
    <cellStyle name="40% - Accent5 2 3 2 11" xfId="10095" xr:uid="{00000000-0005-0000-0000-0000CF810000}"/>
    <cellStyle name="40% - Accent5 2 3 2 2" xfId="1071" xr:uid="{00000000-0005-0000-0000-0000D0810000}"/>
    <cellStyle name="40% - Accent5 2 3 2 2 2" xfId="2709" xr:uid="{00000000-0005-0000-0000-0000D1810000}"/>
    <cellStyle name="40% - Accent5 2 3 2 2 2 2" xfId="7571" xr:uid="{00000000-0005-0000-0000-0000D2810000}"/>
    <cellStyle name="40% - Accent5 2 3 2 2 2 2 2" xfId="27022" xr:uid="{00000000-0005-0000-0000-0000D3810000}"/>
    <cellStyle name="40% - Accent5 2 3 2 2 2 2 3" xfId="36747" xr:uid="{00000000-0005-0000-0000-0000D4810000}"/>
    <cellStyle name="40% - Accent5 2 3 2 2 2 2 4" xfId="46472" xr:uid="{00000000-0005-0000-0000-0000D5810000}"/>
    <cellStyle name="40% - Accent5 2 3 2 2 2 2 5" xfId="17297" xr:uid="{00000000-0005-0000-0000-0000D6810000}"/>
    <cellStyle name="40% - Accent5 2 3 2 2 2 3" xfId="22160" xr:uid="{00000000-0005-0000-0000-0000D7810000}"/>
    <cellStyle name="40% - Accent5 2 3 2 2 2 4" xfId="31885" xr:uid="{00000000-0005-0000-0000-0000D8810000}"/>
    <cellStyle name="40% - Accent5 2 3 2 2 2 5" xfId="41610" xr:uid="{00000000-0005-0000-0000-0000D9810000}"/>
    <cellStyle name="40% - Accent5 2 3 2 2 2 6" xfId="12435" xr:uid="{00000000-0005-0000-0000-0000DA810000}"/>
    <cellStyle name="40% - Accent5 2 3 2 2 3" xfId="4329" xr:uid="{00000000-0005-0000-0000-0000DB810000}"/>
    <cellStyle name="40% - Accent5 2 3 2 2 3 2" xfId="9191" xr:uid="{00000000-0005-0000-0000-0000DC810000}"/>
    <cellStyle name="40% - Accent5 2 3 2 2 3 2 2" xfId="28642" xr:uid="{00000000-0005-0000-0000-0000DD810000}"/>
    <cellStyle name="40% - Accent5 2 3 2 2 3 2 3" xfId="38367" xr:uid="{00000000-0005-0000-0000-0000DE810000}"/>
    <cellStyle name="40% - Accent5 2 3 2 2 3 2 4" xfId="48092" xr:uid="{00000000-0005-0000-0000-0000DF810000}"/>
    <cellStyle name="40% - Accent5 2 3 2 2 3 2 5" xfId="18917" xr:uid="{00000000-0005-0000-0000-0000E0810000}"/>
    <cellStyle name="40% - Accent5 2 3 2 2 3 3" xfId="23780" xr:uid="{00000000-0005-0000-0000-0000E1810000}"/>
    <cellStyle name="40% - Accent5 2 3 2 2 3 4" xfId="33505" xr:uid="{00000000-0005-0000-0000-0000E2810000}"/>
    <cellStyle name="40% - Accent5 2 3 2 2 3 5" xfId="43230" xr:uid="{00000000-0005-0000-0000-0000E3810000}"/>
    <cellStyle name="40% - Accent5 2 3 2 2 3 6" xfId="14055" xr:uid="{00000000-0005-0000-0000-0000E4810000}"/>
    <cellStyle name="40% - Accent5 2 3 2 2 4" xfId="5951" xr:uid="{00000000-0005-0000-0000-0000E5810000}"/>
    <cellStyle name="40% - Accent5 2 3 2 2 4 2" xfId="25402" xr:uid="{00000000-0005-0000-0000-0000E6810000}"/>
    <cellStyle name="40% - Accent5 2 3 2 2 4 3" xfId="35127" xr:uid="{00000000-0005-0000-0000-0000E7810000}"/>
    <cellStyle name="40% - Accent5 2 3 2 2 4 4" xfId="44852" xr:uid="{00000000-0005-0000-0000-0000E8810000}"/>
    <cellStyle name="40% - Accent5 2 3 2 2 4 5" xfId="15677" xr:uid="{00000000-0005-0000-0000-0000E9810000}"/>
    <cellStyle name="40% - Accent5 2 3 2 2 5" xfId="20540" xr:uid="{00000000-0005-0000-0000-0000EA810000}"/>
    <cellStyle name="40% - Accent5 2 3 2 2 6" xfId="30265" xr:uid="{00000000-0005-0000-0000-0000EB810000}"/>
    <cellStyle name="40% - Accent5 2 3 2 2 7" xfId="39990" xr:uid="{00000000-0005-0000-0000-0000EC810000}"/>
    <cellStyle name="40% - Accent5 2 3 2 2 8" xfId="10815" xr:uid="{00000000-0005-0000-0000-0000ED810000}"/>
    <cellStyle name="40% - Accent5 2 3 2 3" xfId="1538" xr:uid="{00000000-0005-0000-0000-0000EE810000}"/>
    <cellStyle name="40% - Accent5 2 3 2 3 2" xfId="3159" xr:uid="{00000000-0005-0000-0000-0000EF810000}"/>
    <cellStyle name="40% - Accent5 2 3 2 3 2 2" xfId="8021" xr:uid="{00000000-0005-0000-0000-0000F0810000}"/>
    <cellStyle name="40% - Accent5 2 3 2 3 2 2 2" xfId="27472" xr:uid="{00000000-0005-0000-0000-0000F1810000}"/>
    <cellStyle name="40% - Accent5 2 3 2 3 2 2 3" xfId="37197" xr:uid="{00000000-0005-0000-0000-0000F2810000}"/>
    <cellStyle name="40% - Accent5 2 3 2 3 2 2 4" xfId="46922" xr:uid="{00000000-0005-0000-0000-0000F3810000}"/>
    <cellStyle name="40% - Accent5 2 3 2 3 2 2 5" xfId="17747" xr:uid="{00000000-0005-0000-0000-0000F4810000}"/>
    <cellStyle name="40% - Accent5 2 3 2 3 2 3" xfId="22610" xr:uid="{00000000-0005-0000-0000-0000F5810000}"/>
    <cellStyle name="40% - Accent5 2 3 2 3 2 4" xfId="32335" xr:uid="{00000000-0005-0000-0000-0000F6810000}"/>
    <cellStyle name="40% - Accent5 2 3 2 3 2 5" xfId="42060" xr:uid="{00000000-0005-0000-0000-0000F7810000}"/>
    <cellStyle name="40% - Accent5 2 3 2 3 2 6" xfId="12885" xr:uid="{00000000-0005-0000-0000-0000F8810000}"/>
    <cellStyle name="40% - Accent5 2 3 2 3 3" xfId="4779" xr:uid="{00000000-0005-0000-0000-0000F9810000}"/>
    <cellStyle name="40% - Accent5 2 3 2 3 3 2" xfId="9641" xr:uid="{00000000-0005-0000-0000-0000FA810000}"/>
    <cellStyle name="40% - Accent5 2 3 2 3 3 2 2" xfId="29092" xr:uid="{00000000-0005-0000-0000-0000FB810000}"/>
    <cellStyle name="40% - Accent5 2 3 2 3 3 2 3" xfId="38817" xr:uid="{00000000-0005-0000-0000-0000FC810000}"/>
    <cellStyle name="40% - Accent5 2 3 2 3 3 2 4" xfId="48542" xr:uid="{00000000-0005-0000-0000-0000FD810000}"/>
    <cellStyle name="40% - Accent5 2 3 2 3 3 2 5" xfId="19367" xr:uid="{00000000-0005-0000-0000-0000FE810000}"/>
    <cellStyle name="40% - Accent5 2 3 2 3 3 3" xfId="24230" xr:uid="{00000000-0005-0000-0000-0000FF810000}"/>
    <cellStyle name="40% - Accent5 2 3 2 3 3 4" xfId="33955" xr:uid="{00000000-0005-0000-0000-000000820000}"/>
    <cellStyle name="40% - Accent5 2 3 2 3 3 5" xfId="43680" xr:uid="{00000000-0005-0000-0000-000001820000}"/>
    <cellStyle name="40% - Accent5 2 3 2 3 3 6" xfId="14505" xr:uid="{00000000-0005-0000-0000-000002820000}"/>
    <cellStyle name="40% - Accent5 2 3 2 3 4" xfId="6401" xr:uid="{00000000-0005-0000-0000-000003820000}"/>
    <cellStyle name="40% - Accent5 2 3 2 3 4 2" xfId="25852" xr:uid="{00000000-0005-0000-0000-000004820000}"/>
    <cellStyle name="40% - Accent5 2 3 2 3 4 3" xfId="35577" xr:uid="{00000000-0005-0000-0000-000005820000}"/>
    <cellStyle name="40% - Accent5 2 3 2 3 4 4" xfId="45302" xr:uid="{00000000-0005-0000-0000-000006820000}"/>
    <cellStyle name="40% - Accent5 2 3 2 3 4 5" xfId="16127" xr:uid="{00000000-0005-0000-0000-000007820000}"/>
    <cellStyle name="40% - Accent5 2 3 2 3 5" xfId="20990" xr:uid="{00000000-0005-0000-0000-000008820000}"/>
    <cellStyle name="40% - Accent5 2 3 2 3 6" xfId="30715" xr:uid="{00000000-0005-0000-0000-000009820000}"/>
    <cellStyle name="40% - Accent5 2 3 2 3 7" xfId="40440" xr:uid="{00000000-0005-0000-0000-00000A820000}"/>
    <cellStyle name="40% - Accent5 2 3 2 3 8" xfId="11265" xr:uid="{00000000-0005-0000-0000-00000B820000}"/>
    <cellStyle name="40% - Accent5 2 3 2 4" xfId="709" xr:uid="{00000000-0005-0000-0000-00000C820000}"/>
    <cellStyle name="40% - Accent5 2 3 2 4 2" xfId="2349" xr:uid="{00000000-0005-0000-0000-00000D820000}"/>
    <cellStyle name="40% - Accent5 2 3 2 4 2 2" xfId="7211" xr:uid="{00000000-0005-0000-0000-00000E820000}"/>
    <cellStyle name="40% - Accent5 2 3 2 4 2 2 2" xfId="26662" xr:uid="{00000000-0005-0000-0000-00000F820000}"/>
    <cellStyle name="40% - Accent5 2 3 2 4 2 2 3" xfId="36387" xr:uid="{00000000-0005-0000-0000-000010820000}"/>
    <cellStyle name="40% - Accent5 2 3 2 4 2 2 4" xfId="46112" xr:uid="{00000000-0005-0000-0000-000011820000}"/>
    <cellStyle name="40% - Accent5 2 3 2 4 2 2 5" xfId="16937" xr:uid="{00000000-0005-0000-0000-000012820000}"/>
    <cellStyle name="40% - Accent5 2 3 2 4 2 3" xfId="21800" xr:uid="{00000000-0005-0000-0000-000013820000}"/>
    <cellStyle name="40% - Accent5 2 3 2 4 2 4" xfId="31525" xr:uid="{00000000-0005-0000-0000-000014820000}"/>
    <cellStyle name="40% - Accent5 2 3 2 4 2 5" xfId="41250" xr:uid="{00000000-0005-0000-0000-000015820000}"/>
    <cellStyle name="40% - Accent5 2 3 2 4 2 6" xfId="12075" xr:uid="{00000000-0005-0000-0000-000016820000}"/>
    <cellStyle name="40% - Accent5 2 3 2 4 3" xfId="3969" xr:uid="{00000000-0005-0000-0000-000017820000}"/>
    <cellStyle name="40% - Accent5 2 3 2 4 3 2" xfId="8831" xr:uid="{00000000-0005-0000-0000-000018820000}"/>
    <cellStyle name="40% - Accent5 2 3 2 4 3 2 2" xfId="28282" xr:uid="{00000000-0005-0000-0000-000019820000}"/>
    <cellStyle name="40% - Accent5 2 3 2 4 3 2 3" xfId="38007" xr:uid="{00000000-0005-0000-0000-00001A820000}"/>
    <cellStyle name="40% - Accent5 2 3 2 4 3 2 4" xfId="47732" xr:uid="{00000000-0005-0000-0000-00001B820000}"/>
    <cellStyle name="40% - Accent5 2 3 2 4 3 2 5" xfId="18557" xr:uid="{00000000-0005-0000-0000-00001C820000}"/>
    <cellStyle name="40% - Accent5 2 3 2 4 3 3" xfId="23420" xr:uid="{00000000-0005-0000-0000-00001D820000}"/>
    <cellStyle name="40% - Accent5 2 3 2 4 3 4" xfId="33145" xr:uid="{00000000-0005-0000-0000-00001E820000}"/>
    <cellStyle name="40% - Accent5 2 3 2 4 3 5" xfId="42870" xr:uid="{00000000-0005-0000-0000-00001F820000}"/>
    <cellStyle name="40% - Accent5 2 3 2 4 3 6" xfId="13695" xr:uid="{00000000-0005-0000-0000-000020820000}"/>
    <cellStyle name="40% - Accent5 2 3 2 4 4" xfId="5591" xr:uid="{00000000-0005-0000-0000-000021820000}"/>
    <cellStyle name="40% - Accent5 2 3 2 4 4 2" xfId="25042" xr:uid="{00000000-0005-0000-0000-000022820000}"/>
    <cellStyle name="40% - Accent5 2 3 2 4 4 3" xfId="34767" xr:uid="{00000000-0005-0000-0000-000023820000}"/>
    <cellStyle name="40% - Accent5 2 3 2 4 4 4" xfId="44492" xr:uid="{00000000-0005-0000-0000-000024820000}"/>
    <cellStyle name="40% - Accent5 2 3 2 4 4 5" xfId="15317" xr:uid="{00000000-0005-0000-0000-000025820000}"/>
    <cellStyle name="40% - Accent5 2 3 2 4 5" xfId="20180" xr:uid="{00000000-0005-0000-0000-000026820000}"/>
    <cellStyle name="40% - Accent5 2 3 2 4 6" xfId="29905" xr:uid="{00000000-0005-0000-0000-000027820000}"/>
    <cellStyle name="40% - Accent5 2 3 2 4 7" xfId="39630" xr:uid="{00000000-0005-0000-0000-000028820000}"/>
    <cellStyle name="40% - Accent5 2 3 2 4 8" xfId="10455" xr:uid="{00000000-0005-0000-0000-000029820000}"/>
    <cellStyle name="40% - Accent5 2 3 2 5" xfId="1989" xr:uid="{00000000-0005-0000-0000-00002A820000}"/>
    <cellStyle name="40% - Accent5 2 3 2 5 2" xfId="6851" xr:uid="{00000000-0005-0000-0000-00002B820000}"/>
    <cellStyle name="40% - Accent5 2 3 2 5 2 2" xfId="26302" xr:uid="{00000000-0005-0000-0000-00002C820000}"/>
    <cellStyle name="40% - Accent5 2 3 2 5 2 3" xfId="36027" xr:uid="{00000000-0005-0000-0000-00002D820000}"/>
    <cellStyle name="40% - Accent5 2 3 2 5 2 4" xfId="45752" xr:uid="{00000000-0005-0000-0000-00002E820000}"/>
    <cellStyle name="40% - Accent5 2 3 2 5 2 5" xfId="16577" xr:uid="{00000000-0005-0000-0000-00002F820000}"/>
    <cellStyle name="40% - Accent5 2 3 2 5 3" xfId="21440" xr:uid="{00000000-0005-0000-0000-000030820000}"/>
    <cellStyle name="40% - Accent5 2 3 2 5 4" xfId="31165" xr:uid="{00000000-0005-0000-0000-000031820000}"/>
    <cellStyle name="40% - Accent5 2 3 2 5 5" xfId="40890" xr:uid="{00000000-0005-0000-0000-000032820000}"/>
    <cellStyle name="40% - Accent5 2 3 2 5 6" xfId="11715" xr:uid="{00000000-0005-0000-0000-000033820000}"/>
    <cellStyle name="40% - Accent5 2 3 2 6" xfId="3609" xr:uid="{00000000-0005-0000-0000-000034820000}"/>
    <cellStyle name="40% - Accent5 2 3 2 6 2" xfId="8471" xr:uid="{00000000-0005-0000-0000-000035820000}"/>
    <cellStyle name="40% - Accent5 2 3 2 6 2 2" xfId="27922" xr:uid="{00000000-0005-0000-0000-000036820000}"/>
    <cellStyle name="40% - Accent5 2 3 2 6 2 3" xfId="37647" xr:uid="{00000000-0005-0000-0000-000037820000}"/>
    <cellStyle name="40% - Accent5 2 3 2 6 2 4" xfId="47372" xr:uid="{00000000-0005-0000-0000-000038820000}"/>
    <cellStyle name="40% - Accent5 2 3 2 6 2 5" xfId="18197" xr:uid="{00000000-0005-0000-0000-000039820000}"/>
    <cellStyle name="40% - Accent5 2 3 2 6 3" xfId="23060" xr:uid="{00000000-0005-0000-0000-00003A820000}"/>
    <cellStyle name="40% - Accent5 2 3 2 6 4" xfId="32785" xr:uid="{00000000-0005-0000-0000-00003B820000}"/>
    <cellStyle name="40% - Accent5 2 3 2 6 5" xfId="42510" xr:uid="{00000000-0005-0000-0000-00003C820000}"/>
    <cellStyle name="40% - Accent5 2 3 2 6 6" xfId="13335" xr:uid="{00000000-0005-0000-0000-00003D820000}"/>
    <cellStyle name="40% - Accent5 2 3 2 7" xfId="5231" xr:uid="{00000000-0005-0000-0000-00003E820000}"/>
    <cellStyle name="40% - Accent5 2 3 2 7 2" xfId="24682" xr:uid="{00000000-0005-0000-0000-00003F820000}"/>
    <cellStyle name="40% - Accent5 2 3 2 7 3" xfId="34407" xr:uid="{00000000-0005-0000-0000-000040820000}"/>
    <cellStyle name="40% - Accent5 2 3 2 7 4" xfId="44132" xr:uid="{00000000-0005-0000-0000-000041820000}"/>
    <cellStyle name="40% - Accent5 2 3 2 7 5" xfId="14957" xr:uid="{00000000-0005-0000-0000-000042820000}"/>
    <cellStyle name="40% - Accent5 2 3 2 8" xfId="19820" xr:uid="{00000000-0005-0000-0000-000043820000}"/>
    <cellStyle name="40% - Accent5 2 3 2 9" xfId="29545" xr:uid="{00000000-0005-0000-0000-000044820000}"/>
    <cellStyle name="40% - Accent5 2 3 3" xfId="398" xr:uid="{00000000-0005-0000-0000-000045820000}"/>
    <cellStyle name="40% - Accent5 2 3 3 10" xfId="39360" xr:uid="{00000000-0005-0000-0000-000046820000}"/>
    <cellStyle name="40% - Accent5 2 3 3 11" xfId="10185" xr:uid="{00000000-0005-0000-0000-000047820000}"/>
    <cellStyle name="40% - Accent5 2 3 3 2" xfId="1161" xr:uid="{00000000-0005-0000-0000-000048820000}"/>
    <cellStyle name="40% - Accent5 2 3 3 2 2" xfId="2799" xr:uid="{00000000-0005-0000-0000-000049820000}"/>
    <cellStyle name="40% - Accent5 2 3 3 2 2 2" xfId="7661" xr:uid="{00000000-0005-0000-0000-00004A820000}"/>
    <cellStyle name="40% - Accent5 2 3 3 2 2 2 2" xfId="27112" xr:uid="{00000000-0005-0000-0000-00004B820000}"/>
    <cellStyle name="40% - Accent5 2 3 3 2 2 2 3" xfId="36837" xr:uid="{00000000-0005-0000-0000-00004C820000}"/>
    <cellStyle name="40% - Accent5 2 3 3 2 2 2 4" xfId="46562" xr:uid="{00000000-0005-0000-0000-00004D820000}"/>
    <cellStyle name="40% - Accent5 2 3 3 2 2 2 5" xfId="17387" xr:uid="{00000000-0005-0000-0000-00004E820000}"/>
    <cellStyle name="40% - Accent5 2 3 3 2 2 3" xfId="22250" xr:uid="{00000000-0005-0000-0000-00004F820000}"/>
    <cellStyle name="40% - Accent5 2 3 3 2 2 4" xfId="31975" xr:uid="{00000000-0005-0000-0000-000050820000}"/>
    <cellStyle name="40% - Accent5 2 3 3 2 2 5" xfId="41700" xr:uid="{00000000-0005-0000-0000-000051820000}"/>
    <cellStyle name="40% - Accent5 2 3 3 2 2 6" xfId="12525" xr:uid="{00000000-0005-0000-0000-000052820000}"/>
    <cellStyle name="40% - Accent5 2 3 3 2 3" xfId="4419" xr:uid="{00000000-0005-0000-0000-000053820000}"/>
    <cellStyle name="40% - Accent5 2 3 3 2 3 2" xfId="9281" xr:uid="{00000000-0005-0000-0000-000054820000}"/>
    <cellStyle name="40% - Accent5 2 3 3 2 3 2 2" xfId="28732" xr:uid="{00000000-0005-0000-0000-000055820000}"/>
    <cellStyle name="40% - Accent5 2 3 3 2 3 2 3" xfId="38457" xr:uid="{00000000-0005-0000-0000-000056820000}"/>
    <cellStyle name="40% - Accent5 2 3 3 2 3 2 4" xfId="48182" xr:uid="{00000000-0005-0000-0000-000057820000}"/>
    <cellStyle name="40% - Accent5 2 3 3 2 3 2 5" xfId="19007" xr:uid="{00000000-0005-0000-0000-000058820000}"/>
    <cellStyle name="40% - Accent5 2 3 3 2 3 3" xfId="23870" xr:uid="{00000000-0005-0000-0000-000059820000}"/>
    <cellStyle name="40% - Accent5 2 3 3 2 3 4" xfId="33595" xr:uid="{00000000-0005-0000-0000-00005A820000}"/>
    <cellStyle name="40% - Accent5 2 3 3 2 3 5" xfId="43320" xr:uid="{00000000-0005-0000-0000-00005B820000}"/>
    <cellStyle name="40% - Accent5 2 3 3 2 3 6" xfId="14145" xr:uid="{00000000-0005-0000-0000-00005C820000}"/>
    <cellStyle name="40% - Accent5 2 3 3 2 4" xfId="6041" xr:uid="{00000000-0005-0000-0000-00005D820000}"/>
    <cellStyle name="40% - Accent5 2 3 3 2 4 2" xfId="25492" xr:uid="{00000000-0005-0000-0000-00005E820000}"/>
    <cellStyle name="40% - Accent5 2 3 3 2 4 3" xfId="35217" xr:uid="{00000000-0005-0000-0000-00005F820000}"/>
    <cellStyle name="40% - Accent5 2 3 3 2 4 4" xfId="44942" xr:uid="{00000000-0005-0000-0000-000060820000}"/>
    <cellStyle name="40% - Accent5 2 3 3 2 4 5" xfId="15767" xr:uid="{00000000-0005-0000-0000-000061820000}"/>
    <cellStyle name="40% - Accent5 2 3 3 2 5" xfId="20630" xr:uid="{00000000-0005-0000-0000-000062820000}"/>
    <cellStyle name="40% - Accent5 2 3 3 2 6" xfId="30355" xr:uid="{00000000-0005-0000-0000-000063820000}"/>
    <cellStyle name="40% - Accent5 2 3 3 2 7" xfId="40080" xr:uid="{00000000-0005-0000-0000-000064820000}"/>
    <cellStyle name="40% - Accent5 2 3 3 2 8" xfId="10905" xr:uid="{00000000-0005-0000-0000-000065820000}"/>
    <cellStyle name="40% - Accent5 2 3 3 3" xfId="1628" xr:uid="{00000000-0005-0000-0000-000066820000}"/>
    <cellStyle name="40% - Accent5 2 3 3 3 2" xfId="3249" xr:uid="{00000000-0005-0000-0000-000067820000}"/>
    <cellStyle name="40% - Accent5 2 3 3 3 2 2" xfId="8111" xr:uid="{00000000-0005-0000-0000-000068820000}"/>
    <cellStyle name="40% - Accent5 2 3 3 3 2 2 2" xfId="27562" xr:uid="{00000000-0005-0000-0000-000069820000}"/>
    <cellStyle name="40% - Accent5 2 3 3 3 2 2 3" xfId="37287" xr:uid="{00000000-0005-0000-0000-00006A820000}"/>
    <cellStyle name="40% - Accent5 2 3 3 3 2 2 4" xfId="47012" xr:uid="{00000000-0005-0000-0000-00006B820000}"/>
    <cellStyle name="40% - Accent5 2 3 3 3 2 2 5" xfId="17837" xr:uid="{00000000-0005-0000-0000-00006C820000}"/>
    <cellStyle name="40% - Accent5 2 3 3 3 2 3" xfId="22700" xr:uid="{00000000-0005-0000-0000-00006D820000}"/>
    <cellStyle name="40% - Accent5 2 3 3 3 2 4" xfId="32425" xr:uid="{00000000-0005-0000-0000-00006E820000}"/>
    <cellStyle name="40% - Accent5 2 3 3 3 2 5" xfId="42150" xr:uid="{00000000-0005-0000-0000-00006F820000}"/>
    <cellStyle name="40% - Accent5 2 3 3 3 2 6" xfId="12975" xr:uid="{00000000-0005-0000-0000-000070820000}"/>
    <cellStyle name="40% - Accent5 2 3 3 3 3" xfId="4869" xr:uid="{00000000-0005-0000-0000-000071820000}"/>
    <cellStyle name="40% - Accent5 2 3 3 3 3 2" xfId="9731" xr:uid="{00000000-0005-0000-0000-000072820000}"/>
    <cellStyle name="40% - Accent5 2 3 3 3 3 2 2" xfId="29182" xr:uid="{00000000-0005-0000-0000-000073820000}"/>
    <cellStyle name="40% - Accent5 2 3 3 3 3 2 3" xfId="38907" xr:uid="{00000000-0005-0000-0000-000074820000}"/>
    <cellStyle name="40% - Accent5 2 3 3 3 3 2 4" xfId="48632" xr:uid="{00000000-0005-0000-0000-000075820000}"/>
    <cellStyle name="40% - Accent5 2 3 3 3 3 2 5" xfId="19457" xr:uid="{00000000-0005-0000-0000-000076820000}"/>
    <cellStyle name="40% - Accent5 2 3 3 3 3 3" xfId="24320" xr:uid="{00000000-0005-0000-0000-000077820000}"/>
    <cellStyle name="40% - Accent5 2 3 3 3 3 4" xfId="34045" xr:uid="{00000000-0005-0000-0000-000078820000}"/>
    <cellStyle name="40% - Accent5 2 3 3 3 3 5" xfId="43770" xr:uid="{00000000-0005-0000-0000-000079820000}"/>
    <cellStyle name="40% - Accent5 2 3 3 3 3 6" xfId="14595" xr:uid="{00000000-0005-0000-0000-00007A820000}"/>
    <cellStyle name="40% - Accent5 2 3 3 3 4" xfId="6491" xr:uid="{00000000-0005-0000-0000-00007B820000}"/>
    <cellStyle name="40% - Accent5 2 3 3 3 4 2" xfId="25942" xr:uid="{00000000-0005-0000-0000-00007C820000}"/>
    <cellStyle name="40% - Accent5 2 3 3 3 4 3" xfId="35667" xr:uid="{00000000-0005-0000-0000-00007D820000}"/>
    <cellStyle name="40% - Accent5 2 3 3 3 4 4" xfId="45392" xr:uid="{00000000-0005-0000-0000-00007E820000}"/>
    <cellStyle name="40% - Accent5 2 3 3 3 4 5" xfId="16217" xr:uid="{00000000-0005-0000-0000-00007F820000}"/>
    <cellStyle name="40% - Accent5 2 3 3 3 5" xfId="21080" xr:uid="{00000000-0005-0000-0000-000080820000}"/>
    <cellStyle name="40% - Accent5 2 3 3 3 6" xfId="30805" xr:uid="{00000000-0005-0000-0000-000081820000}"/>
    <cellStyle name="40% - Accent5 2 3 3 3 7" xfId="40530" xr:uid="{00000000-0005-0000-0000-000082820000}"/>
    <cellStyle name="40% - Accent5 2 3 3 3 8" xfId="11355" xr:uid="{00000000-0005-0000-0000-000083820000}"/>
    <cellStyle name="40% - Accent5 2 3 3 4" xfId="799" xr:uid="{00000000-0005-0000-0000-000084820000}"/>
    <cellStyle name="40% - Accent5 2 3 3 4 2" xfId="2439" xr:uid="{00000000-0005-0000-0000-000085820000}"/>
    <cellStyle name="40% - Accent5 2 3 3 4 2 2" xfId="7301" xr:uid="{00000000-0005-0000-0000-000086820000}"/>
    <cellStyle name="40% - Accent5 2 3 3 4 2 2 2" xfId="26752" xr:uid="{00000000-0005-0000-0000-000087820000}"/>
    <cellStyle name="40% - Accent5 2 3 3 4 2 2 3" xfId="36477" xr:uid="{00000000-0005-0000-0000-000088820000}"/>
    <cellStyle name="40% - Accent5 2 3 3 4 2 2 4" xfId="46202" xr:uid="{00000000-0005-0000-0000-000089820000}"/>
    <cellStyle name="40% - Accent5 2 3 3 4 2 2 5" xfId="17027" xr:uid="{00000000-0005-0000-0000-00008A820000}"/>
    <cellStyle name="40% - Accent5 2 3 3 4 2 3" xfId="21890" xr:uid="{00000000-0005-0000-0000-00008B820000}"/>
    <cellStyle name="40% - Accent5 2 3 3 4 2 4" xfId="31615" xr:uid="{00000000-0005-0000-0000-00008C820000}"/>
    <cellStyle name="40% - Accent5 2 3 3 4 2 5" xfId="41340" xr:uid="{00000000-0005-0000-0000-00008D820000}"/>
    <cellStyle name="40% - Accent5 2 3 3 4 2 6" xfId="12165" xr:uid="{00000000-0005-0000-0000-00008E820000}"/>
    <cellStyle name="40% - Accent5 2 3 3 4 3" xfId="4059" xr:uid="{00000000-0005-0000-0000-00008F820000}"/>
    <cellStyle name="40% - Accent5 2 3 3 4 3 2" xfId="8921" xr:uid="{00000000-0005-0000-0000-000090820000}"/>
    <cellStyle name="40% - Accent5 2 3 3 4 3 2 2" xfId="28372" xr:uid="{00000000-0005-0000-0000-000091820000}"/>
    <cellStyle name="40% - Accent5 2 3 3 4 3 2 3" xfId="38097" xr:uid="{00000000-0005-0000-0000-000092820000}"/>
    <cellStyle name="40% - Accent5 2 3 3 4 3 2 4" xfId="47822" xr:uid="{00000000-0005-0000-0000-000093820000}"/>
    <cellStyle name="40% - Accent5 2 3 3 4 3 2 5" xfId="18647" xr:uid="{00000000-0005-0000-0000-000094820000}"/>
    <cellStyle name="40% - Accent5 2 3 3 4 3 3" xfId="23510" xr:uid="{00000000-0005-0000-0000-000095820000}"/>
    <cellStyle name="40% - Accent5 2 3 3 4 3 4" xfId="33235" xr:uid="{00000000-0005-0000-0000-000096820000}"/>
    <cellStyle name="40% - Accent5 2 3 3 4 3 5" xfId="42960" xr:uid="{00000000-0005-0000-0000-000097820000}"/>
    <cellStyle name="40% - Accent5 2 3 3 4 3 6" xfId="13785" xr:uid="{00000000-0005-0000-0000-000098820000}"/>
    <cellStyle name="40% - Accent5 2 3 3 4 4" xfId="5681" xr:uid="{00000000-0005-0000-0000-000099820000}"/>
    <cellStyle name="40% - Accent5 2 3 3 4 4 2" xfId="25132" xr:uid="{00000000-0005-0000-0000-00009A820000}"/>
    <cellStyle name="40% - Accent5 2 3 3 4 4 3" xfId="34857" xr:uid="{00000000-0005-0000-0000-00009B820000}"/>
    <cellStyle name="40% - Accent5 2 3 3 4 4 4" xfId="44582" xr:uid="{00000000-0005-0000-0000-00009C820000}"/>
    <cellStyle name="40% - Accent5 2 3 3 4 4 5" xfId="15407" xr:uid="{00000000-0005-0000-0000-00009D820000}"/>
    <cellStyle name="40% - Accent5 2 3 3 4 5" xfId="20270" xr:uid="{00000000-0005-0000-0000-00009E820000}"/>
    <cellStyle name="40% - Accent5 2 3 3 4 6" xfId="29995" xr:uid="{00000000-0005-0000-0000-00009F820000}"/>
    <cellStyle name="40% - Accent5 2 3 3 4 7" xfId="39720" xr:uid="{00000000-0005-0000-0000-0000A0820000}"/>
    <cellStyle name="40% - Accent5 2 3 3 4 8" xfId="10545" xr:uid="{00000000-0005-0000-0000-0000A1820000}"/>
    <cellStyle name="40% - Accent5 2 3 3 5" xfId="2079" xr:uid="{00000000-0005-0000-0000-0000A2820000}"/>
    <cellStyle name="40% - Accent5 2 3 3 5 2" xfId="6941" xr:uid="{00000000-0005-0000-0000-0000A3820000}"/>
    <cellStyle name="40% - Accent5 2 3 3 5 2 2" xfId="26392" xr:uid="{00000000-0005-0000-0000-0000A4820000}"/>
    <cellStyle name="40% - Accent5 2 3 3 5 2 3" xfId="36117" xr:uid="{00000000-0005-0000-0000-0000A5820000}"/>
    <cellStyle name="40% - Accent5 2 3 3 5 2 4" xfId="45842" xr:uid="{00000000-0005-0000-0000-0000A6820000}"/>
    <cellStyle name="40% - Accent5 2 3 3 5 2 5" xfId="16667" xr:uid="{00000000-0005-0000-0000-0000A7820000}"/>
    <cellStyle name="40% - Accent5 2 3 3 5 3" xfId="21530" xr:uid="{00000000-0005-0000-0000-0000A8820000}"/>
    <cellStyle name="40% - Accent5 2 3 3 5 4" xfId="31255" xr:uid="{00000000-0005-0000-0000-0000A9820000}"/>
    <cellStyle name="40% - Accent5 2 3 3 5 5" xfId="40980" xr:uid="{00000000-0005-0000-0000-0000AA820000}"/>
    <cellStyle name="40% - Accent5 2 3 3 5 6" xfId="11805" xr:uid="{00000000-0005-0000-0000-0000AB820000}"/>
    <cellStyle name="40% - Accent5 2 3 3 6" xfId="3699" xr:uid="{00000000-0005-0000-0000-0000AC820000}"/>
    <cellStyle name="40% - Accent5 2 3 3 6 2" xfId="8561" xr:uid="{00000000-0005-0000-0000-0000AD820000}"/>
    <cellStyle name="40% - Accent5 2 3 3 6 2 2" xfId="28012" xr:uid="{00000000-0005-0000-0000-0000AE820000}"/>
    <cellStyle name="40% - Accent5 2 3 3 6 2 3" xfId="37737" xr:uid="{00000000-0005-0000-0000-0000AF820000}"/>
    <cellStyle name="40% - Accent5 2 3 3 6 2 4" xfId="47462" xr:uid="{00000000-0005-0000-0000-0000B0820000}"/>
    <cellStyle name="40% - Accent5 2 3 3 6 2 5" xfId="18287" xr:uid="{00000000-0005-0000-0000-0000B1820000}"/>
    <cellStyle name="40% - Accent5 2 3 3 6 3" xfId="23150" xr:uid="{00000000-0005-0000-0000-0000B2820000}"/>
    <cellStyle name="40% - Accent5 2 3 3 6 4" xfId="32875" xr:uid="{00000000-0005-0000-0000-0000B3820000}"/>
    <cellStyle name="40% - Accent5 2 3 3 6 5" xfId="42600" xr:uid="{00000000-0005-0000-0000-0000B4820000}"/>
    <cellStyle name="40% - Accent5 2 3 3 6 6" xfId="13425" xr:uid="{00000000-0005-0000-0000-0000B5820000}"/>
    <cellStyle name="40% - Accent5 2 3 3 7" xfId="5321" xr:uid="{00000000-0005-0000-0000-0000B6820000}"/>
    <cellStyle name="40% - Accent5 2 3 3 7 2" xfId="24772" xr:uid="{00000000-0005-0000-0000-0000B7820000}"/>
    <cellStyle name="40% - Accent5 2 3 3 7 3" xfId="34497" xr:uid="{00000000-0005-0000-0000-0000B8820000}"/>
    <cellStyle name="40% - Accent5 2 3 3 7 4" xfId="44222" xr:uid="{00000000-0005-0000-0000-0000B9820000}"/>
    <cellStyle name="40% - Accent5 2 3 3 7 5" xfId="15047" xr:uid="{00000000-0005-0000-0000-0000BA820000}"/>
    <cellStyle name="40% - Accent5 2 3 3 8" xfId="19910" xr:uid="{00000000-0005-0000-0000-0000BB820000}"/>
    <cellStyle name="40% - Accent5 2 3 3 9" xfId="29635" xr:uid="{00000000-0005-0000-0000-0000BC820000}"/>
    <cellStyle name="40% - Accent5 2 3 4" xfId="216" xr:uid="{00000000-0005-0000-0000-0000BD820000}"/>
    <cellStyle name="40% - Accent5 2 3 4 10" xfId="39180" xr:uid="{00000000-0005-0000-0000-0000BE820000}"/>
    <cellStyle name="40% - Accent5 2 3 4 11" xfId="10005" xr:uid="{00000000-0005-0000-0000-0000BF820000}"/>
    <cellStyle name="40% - Accent5 2 3 4 2" xfId="980" xr:uid="{00000000-0005-0000-0000-0000C0820000}"/>
    <cellStyle name="40% - Accent5 2 3 4 2 2" xfId="2619" xr:uid="{00000000-0005-0000-0000-0000C1820000}"/>
    <cellStyle name="40% - Accent5 2 3 4 2 2 2" xfId="7481" xr:uid="{00000000-0005-0000-0000-0000C2820000}"/>
    <cellStyle name="40% - Accent5 2 3 4 2 2 2 2" xfId="26932" xr:uid="{00000000-0005-0000-0000-0000C3820000}"/>
    <cellStyle name="40% - Accent5 2 3 4 2 2 2 3" xfId="36657" xr:uid="{00000000-0005-0000-0000-0000C4820000}"/>
    <cellStyle name="40% - Accent5 2 3 4 2 2 2 4" xfId="46382" xr:uid="{00000000-0005-0000-0000-0000C5820000}"/>
    <cellStyle name="40% - Accent5 2 3 4 2 2 2 5" xfId="17207" xr:uid="{00000000-0005-0000-0000-0000C6820000}"/>
    <cellStyle name="40% - Accent5 2 3 4 2 2 3" xfId="22070" xr:uid="{00000000-0005-0000-0000-0000C7820000}"/>
    <cellStyle name="40% - Accent5 2 3 4 2 2 4" xfId="31795" xr:uid="{00000000-0005-0000-0000-0000C8820000}"/>
    <cellStyle name="40% - Accent5 2 3 4 2 2 5" xfId="41520" xr:uid="{00000000-0005-0000-0000-0000C9820000}"/>
    <cellStyle name="40% - Accent5 2 3 4 2 2 6" xfId="12345" xr:uid="{00000000-0005-0000-0000-0000CA820000}"/>
    <cellStyle name="40% - Accent5 2 3 4 2 3" xfId="4239" xr:uid="{00000000-0005-0000-0000-0000CB820000}"/>
    <cellStyle name="40% - Accent5 2 3 4 2 3 2" xfId="9101" xr:uid="{00000000-0005-0000-0000-0000CC820000}"/>
    <cellStyle name="40% - Accent5 2 3 4 2 3 2 2" xfId="28552" xr:uid="{00000000-0005-0000-0000-0000CD820000}"/>
    <cellStyle name="40% - Accent5 2 3 4 2 3 2 3" xfId="38277" xr:uid="{00000000-0005-0000-0000-0000CE820000}"/>
    <cellStyle name="40% - Accent5 2 3 4 2 3 2 4" xfId="48002" xr:uid="{00000000-0005-0000-0000-0000CF820000}"/>
    <cellStyle name="40% - Accent5 2 3 4 2 3 2 5" xfId="18827" xr:uid="{00000000-0005-0000-0000-0000D0820000}"/>
    <cellStyle name="40% - Accent5 2 3 4 2 3 3" xfId="23690" xr:uid="{00000000-0005-0000-0000-0000D1820000}"/>
    <cellStyle name="40% - Accent5 2 3 4 2 3 4" xfId="33415" xr:uid="{00000000-0005-0000-0000-0000D2820000}"/>
    <cellStyle name="40% - Accent5 2 3 4 2 3 5" xfId="43140" xr:uid="{00000000-0005-0000-0000-0000D3820000}"/>
    <cellStyle name="40% - Accent5 2 3 4 2 3 6" xfId="13965" xr:uid="{00000000-0005-0000-0000-0000D4820000}"/>
    <cellStyle name="40% - Accent5 2 3 4 2 4" xfId="5861" xr:uid="{00000000-0005-0000-0000-0000D5820000}"/>
    <cellStyle name="40% - Accent5 2 3 4 2 4 2" xfId="25312" xr:uid="{00000000-0005-0000-0000-0000D6820000}"/>
    <cellStyle name="40% - Accent5 2 3 4 2 4 3" xfId="35037" xr:uid="{00000000-0005-0000-0000-0000D7820000}"/>
    <cellStyle name="40% - Accent5 2 3 4 2 4 4" xfId="44762" xr:uid="{00000000-0005-0000-0000-0000D8820000}"/>
    <cellStyle name="40% - Accent5 2 3 4 2 4 5" xfId="15587" xr:uid="{00000000-0005-0000-0000-0000D9820000}"/>
    <cellStyle name="40% - Accent5 2 3 4 2 5" xfId="20450" xr:uid="{00000000-0005-0000-0000-0000DA820000}"/>
    <cellStyle name="40% - Accent5 2 3 4 2 6" xfId="30175" xr:uid="{00000000-0005-0000-0000-0000DB820000}"/>
    <cellStyle name="40% - Accent5 2 3 4 2 7" xfId="39900" xr:uid="{00000000-0005-0000-0000-0000DC820000}"/>
    <cellStyle name="40% - Accent5 2 3 4 2 8" xfId="10725" xr:uid="{00000000-0005-0000-0000-0000DD820000}"/>
    <cellStyle name="40% - Accent5 2 3 4 3" xfId="1448" xr:uid="{00000000-0005-0000-0000-0000DE820000}"/>
    <cellStyle name="40% - Accent5 2 3 4 3 2" xfId="3069" xr:uid="{00000000-0005-0000-0000-0000DF820000}"/>
    <cellStyle name="40% - Accent5 2 3 4 3 2 2" xfId="7931" xr:uid="{00000000-0005-0000-0000-0000E0820000}"/>
    <cellStyle name="40% - Accent5 2 3 4 3 2 2 2" xfId="27382" xr:uid="{00000000-0005-0000-0000-0000E1820000}"/>
    <cellStyle name="40% - Accent5 2 3 4 3 2 2 3" xfId="37107" xr:uid="{00000000-0005-0000-0000-0000E2820000}"/>
    <cellStyle name="40% - Accent5 2 3 4 3 2 2 4" xfId="46832" xr:uid="{00000000-0005-0000-0000-0000E3820000}"/>
    <cellStyle name="40% - Accent5 2 3 4 3 2 2 5" xfId="17657" xr:uid="{00000000-0005-0000-0000-0000E4820000}"/>
    <cellStyle name="40% - Accent5 2 3 4 3 2 3" xfId="22520" xr:uid="{00000000-0005-0000-0000-0000E5820000}"/>
    <cellStyle name="40% - Accent5 2 3 4 3 2 4" xfId="32245" xr:uid="{00000000-0005-0000-0000-0000E6820000}"/>
    <cellStyle name="40% - Accent5 2 3 4 3 2 5" xfId="41970" xr:uid="{00000000-0005-0000-0000-0000E7820000}"/>
    <cellStyle name="40% - Accent5 2 3 4 3 2 6" xfId="12795" xr:uid="{00000000-0005-0000-0000-0000E8820000}"/>
    <cellStyle name="40% - Accent5 2 3 4 3 3" xfId="4689" xr:uid="{00000000-0005-0000-0000-0000E9820000}"/>
    <cellStyle name="40% - Accent5 2 3 4 3 3 2" xfId="9551" xr:uid="{00000000-0005-0000-0000-0000EA820000}"/>
    <cellStyle name="40% - Accent5 2 3 4 3 3 2 2" xfId="29002" xr:uid="{00000000-0005-0000-0000-0000EB820000}"/>
    <cellStyle name="40% - Accent5 2 3 4 3 3 2 3" xfId="38727" xr:uid="{00000000-0005-0000-0000-0000EC820000}"/>
    <cellStyle name="40% - Accent5 2 3 4 3 3 2 4" xfId="48452" xr:uid="{00000000-0005-0000-0000-0000ED820000}"/>
    <cellStyle name="40% - Accent5 2 3 4 3 3 2 5" xfId="19277" xr:uid="{00000000-0005-0000-0000-0000EE820000}"/>
    <cellStyle name="40% - Accent5 2 3 4 3 3 3" xfId="24140" xr:uid="{00000000-0005-0000-0000-0000EF820000}"/>
    <cellStyle name="40% - Accent5 2 3 4 3 3 4" xfId="33865" xr:uid="{00000000-0005-0000-0000-0000F0820000}"/>
    <cellStyle name="40% - Accent5 2 3 4 3 3 5" xfId="43590" xr:uid="{00000000-0005-0000-0000-0000F1820000}"/>
    <cellStyle name="40% - Accent5 2 3 4 3 3 6" xfId="14415" xr:uid="{00000000-0005-0000-0000-0000F2820000}"/>
    <cellStyle name="40% - Accent5 2 3 4 3 4" xfId="6311" xr:uid="{00000000-0005-0000-0000-0000F3820000}"/>
    <cellStyle name="40% - Accent5 2 3 4 3 4 2" xfId="25762" xr:uid="{00000000-0005-0000-0000-0000F4820000}"/>
    <cellStyle name="40% - Accent5 2 3 4 3 4 3" xfId="35487" xr:uid="{00000000-0005-0000-0000-0000F5820000}"/>
    <cellStyle name="40% - Accent5 2 3 4 3 4 4" xfId="45212" xr:uid="{00000000-0005-0000-0000-0000F6820000}"/>
    <cellStyle name="40% - Accent5 2 3 4 3 4 5" xfId="16037" xr:uid="{00000000-0005-0000-0000-0000F7820000}"/>
    <cellStyle name="40% - Accent5 2 3 4 3 5" xfId="20900" xr:uid="{00000000-0005-0000-0000-0000F8820000}"/>
    <cellStyle name="40% - Accent5 2 3 4 3 6" xfId="30625" xr:uid="{00000000-0005-0000-0000-0000F9820000}"/>
    <cellStyle name="40% - Accent5 2 3 4 3 7" xfId="40350" xr:uid="{00000000-0005-0000-0000-0000FA820000}"/>
    <cellStyle name="40% - Accent5 2 3 4 3 8" xfId="11175" xr:uid="{00000000-0005-0000-0000-0000FB820000}"/>
    <cellStyle name="40% - Accent5 2 3 4 4" xfId="619" xr:uid="{00000000-0005-0000-0000-0000FC820000}"/>
    <cellStyle name="40% - Accent5 2 3 4 4 2" xfId="2259" xr:uid="{00000000-0005-0000-0000-0000FD820000}"/>
    <cellStyle name="40% - Accent5 2 3 4 4 2 2" xfId="7121" xr:uid="{00000000-0005-0000-0000-0000FE820000}"/>
    <cellStyle name="40% - Accent5 2 3 4 4 2 2 2" xfId="26572" xr:uid="{00000000-0005-0000-0000-0000FF820000}"/>
    <cellStyle name="40% - Accent5 2 3 4 4 2 2 3" xfId="36297" xr:uid="{00000000-0005-0000-0000-000000830000}"/>
    <cellStyle name="40% - Accent5 2 3 4 4 2 2 4" xfId="46022" xr:uid="{00000000-0005-0000-0000-000001830000}"/>
    <cellStyle name="40% - Accent5 2 3 4 4 2 2 5" xfId="16847" xr:uid="{00000000-0005-0000-0000-000002830000}"/>
    <cellStyle name="40% - Accent5 2 3 4 4 2 3" xfId="21710" xr:uid="{00000000-0005-0000-0000-000003830000}"/>
    <cellStyle name="40% - Accent5 2 3 4 4 2 4" xfId="31435" xr:uid="{00000000-0005-0000-0000-000004830000}"/>
    <cellStyle name="40% - Accent5 2 3 4 4 2 5" xfId="41160" xr:uid="{00000000-0005-0000-0000-000005830000}"/>
    <cellStyle name="40% - Accent5 2 3 4 4 2 6" xfId="11985" xr:uid="{00000000-0005-0000-0000-000006830000}"/>
    <cellStyle name="40% - Accent5 2 3 4 4 3" xfId="3879" xr:uid="{00000000-0005-0000-0000-000007830000}"/>
    <cellStyle name="40% - Accent5 2 3 4 4 3 2" xfId="8741" xr:uid="{00000000-0005-0000-0000-000008830000}"/>
    <cellStyle name="40% - Accent5 2 3 4 4 3 2 2" xfId="28192" xr:uid="{00000000-0005-0000-0000-000009830000}"/>
    <cellStyle name="40% - Accent5 2 3 4 4 3 2 3" xfId="37917" xr:uid="{00000000-0005-0000-0000-00000A830000}"/>
    <cellStyle name="40% - Accent5 2 3 4 4 3 2 4" xfId="47642" xr:uid="{00000000-0005-0000-0000-00000B830000}"/>
    <cellStyle name="40% - Accent5 2 3 4 4 3 2 5" xfId="18467" xr:uid="{00000000-0005-0000-0000-00000C830000}"/>
    <cellStyle name="40% - Accent5 2 3 4 4 3 3" xfId="23330" xr:uid="{00000000-0005-0000-0000-00000D830000}"/>
    <cellStyle name="40% - Accent5 2 3 4 4 3 4" xfId="33055" xr:uid="{00000000-0005-0000-0000-00000E830000}"/>
    <cellStyle name="40% - Accent5 2 3 4 4 3 5" xfId="42780" xr:uid="{00000000-0005-0000-0000-00000F830000}"/>
    <cellStyle name="40% - Accent5 2 3 4 4 3 6" xfId="13605" xr:uid="{00000000-0005-0000-0000-000010830000}"/>
    <cellStyle name="40% - Accent5 2 3 4 4 4" xfId="5501" xr:uid="{00000000-0005-0000-0000-000011830000}"/>
    <cellStyle name="40% - Accent5 2 3 4 4 4 2" xfId="24952" xr:uid="{00000000-0005-0000-0000-000012830000}"/>
    <cellStyle name="40% - Accent5 2 3 4 4 4 3" xfId="34677" xr:uid="{00000000-0005-0000-0000-000013830000}"/>
    <cellStyle name="40% - Accent5 2 3 4 4 4 4" xfId="44402" xr:uid="{00000000-0005-0000-0000-000014830000}"/>
    <cellStyle name="40% - Accent5 2 3 4 4 4 5" xfId="15227" xr:uid="{00000000-0005-0000-0000-000015830000}"/>
    <cellStyle name="40% - Accent5 2 3 4 4 5" xfId="20090" xr:uid="{00000000-0005-0000-0000-000016830000}"/>
    <cellStyle name="40% - Accent5 2 3 4 4 6" xfId="29815" xr:uid="{00000000-0005-0000-0000-000017830000}"/>
    <cellStyle name="40% - Accent5 2 3 4 4 7" xfId="39540" xr:uid="{00000000-0005-0000-0000-000018830000}"/>
    <cellStyle name="40% - Accent5 2 3 4 4 8" xfId="10365" xr:uid="{00000000-0005-0000-0000-000019830000}"/>
    <cellStyle name="40% - Accent5 2 3 4 5" xfId="1899" xr:uid="{00000000-0005-0000-0000-00001A830000}"/>
    <cellStyle name="40% - Accent5 2 3 4 5 2" xfId="6761" xr:uid="{00000000-0005-0000-0000-00001B830000}"/>
    <cellStyle name="40% - Accent5 2 3 4 5 2 2" xfId="26212" xr:uid="{00000000-0005-0000-0000-00001C830000}"/>
    <cellStyle name="40% - Accent5 2 3 4 5 2 3" xfId="35937" xr:uid="{00000000-0005-0000-0000-00001D830000}"/>
    <cellStyle name="40% - Accent5 2 3 4 5 2 4" xfId="45662" xr:uid="{00000000-0005-0000-0000-00001E830000}"/>
    <cellStyle name="40% - Accent5 2 3 4 5 2 5" xfId="16487" xr:uid="{00000000-0005-0000-0000-00001F830000}"/>
    <cellStyle name="40% - Accent5 2 3 4 5 3" xfId="21350" xr:uid="{00000000-0005-0000-0000-000020830000}"/>
    <cellStyle name="40% - Accent5 2 3 4 5 4" xfId="31075" xr:uid="{00000000-0005-0000-0000-000021830000}"/>
    <cellStyle name="40% - Accent5 2 3 4 5 5" xfId="40800" xr:uid="{00000000-0005-0000-0000-000022830000}"/>
    <cellStyle name="40% - Accent5 2 3 4 5 6" xfId="11625" xr:uid="{00000000-0005-0000-0000-000023830000}"/>
    <cellStyle name="40% - Accent5 2 3 4 6" xfId="3519" xr:uid="{00000000-0005-0000-0000-000024830000}"/>
    <cellStyle name="40% - Accent5 2 3 4 6 2" xfId="8381" xr:uid="{00000000-0005-0000-0000-000025830000}"/>
    <cellStyle name="40% - Accent5 2 3 4 6 2 2" xfId="27832" xr:uid="{00000000-0005-0000-0000-000026830000}"/>
    <cellStyle name="40% - Accent5 2 3 4 6 2 3" xfId="37557" xr:uid="{00000000-0005-0000-0000-000027830000}"/>
    <cellStyle name="40% - Accent5 2 3 4 6 2 4" xfId="47282" xr:uid="{00000000-0005-0000-0000-000028830000}"/>
    <cellStyle name="40% - Accent5 2 3 4 6 2 5" xfId="18107" xr:uid="{00000000-0005-0000-0000-000029830000}"/>
    <cellStyle name="40% - Accent5 2 3 4 6 3" xfId="22970" xr:uid="{00000000-0005-0000-0000-00002A830000}"/>
    <cellStyle name="40% - Accent5 2 3 4 6 4" xfId="32695" xr:uid="{00000000-0005-0000-0000-00002B830000}"/>
    <cellStyle name="40% - Accent5 2 3 4 6 5" xfId="42420" xr:uid="{00000000-0005-0000-0000-00002C830000}"/>
    <cellStyle name="40% - Accent5 2 3 4 6 6" xfId="13245" xr:uid="{00000000-0005-0000-0000-00002D830000}"/>
    <cellStyle name="40% - Accent5 2 3 4 7" xfId="5141" xr:uid="{00000000-0005-0000-0000-00002E830000}"/>
    <cellStyle name="40% - Accent5 2 3 4 7 2" xfId="24592" xr:uid="{00000000-0005-0000-0000-00002F830000}"/>
    <cellStyle name="40% - Accent5 2 3 4 7 3" xfId="34317" xr:uid="{00000000-0005-0000-0000-000030830000}"/>
    <cellStyle name="40% - Accent5 2 3 4 7 4" xfId="44042" xr:uid="{00000000-0005-0000-0000-000031830000}"/>
    <cellStyle name="40% - Accent5 2 3 4 7 5" xfId="14867" xr:uid="{00000000-0005-0000-0000-000032830000}"/>
    <cellStyle name="40% - Accent5 2 3 4 8" xfId="19730" xr:uid="{00000000-0005-0000-0000-000033830000}"/>
    <cellStyle name="40% - Accent5 2 3 4 9" xfId="29455" xr:uid="{00000000-0005-0000-0000-000034830000}"/>
    <cellStyle name="40% - Accent5 2 3 5" xfId="890" xr:uid="{00000000-0005-0000-0000-000035830000}"/>
    <cellStyle name="40% - Accent5 2 3 5 2" xfId="2529" xr:uid="{00000000-0005-0000-0000-000036830000}"/>
    <cellStyle name="40% - Accent5 2 3 5 2 2" xfId="7391" xr:uid="{00000000-0005-0000-0000-000037830000}"/>
    <cellStyle name="40% - Accent5 2 3 5 2 2 2" xfId="26842" xr:uid="{00000000-0005-0000-0000-000038830000}"/>
    <cellStyle name="40% - Accent5 2 3 5 2 2 3" xfId="36567" xr:uid="{00000000-0005-0000-0000-000039830000}"/>
    <cellStyle name="40% - Accent5 2 3 5 2 2 4" xfId="46292" xr:uid="{00000000-0005-0000-0000-00003A830000}"/>
    <cellStyle name="40% - Accent5 2 3 5 2 2 5" xfId="17117" xr:uid="{00000000-0005-0000-0000-00003B830000}"/>
    <cellStyle name="40% - Accent5 2 3 5 2 3" xfId="21980" xr:uid="{00000000-0005-0000-0000-00003C830000}"/>
    <cellStyle name="40% - Accent5 2 3 5 2 4" xfId="31705" xr:uid="{00000000-0005-0000-0000-00003D830000}"/>
    <cellStyle name="40% - Accent5 2 3 5 2 5" xfId="41430" xr:uid="{00000000-0005-0000-0000-00003E830000}"/>
    <cellStyle name="40% - Accent5 2 3 5 2 6" xfId="12255" xr:uid="{00000000-0005-0000-0000-00003F830000}"/>
    <cellStyle name="40% - Accent5 2 3 5 3" xfId="4149" xr:uid="{00000000-0005-0000-0000-000040830000}"/>
    <cellStyle name="40% - Accent5 2 3 5 3 2" xfId="9011" xr:uid="{00000000-0005-0000-0000-000041830000}"/>
    <cellStyle name="40% - Accent5 2 3 5 3 2 2" xfId="28462" xr:uid="{00000000-0005-0000-0000-000042830000}"/>
    <cellStyle name="40% - Accent5 2 3 5 3 2 3" xfId="38187" xr:uid="{00000000-0005-0000-0000-000043830000}"/>
    <cellStyle name="40% - Accent5 2 3 5 3 2 4" xfId="47912" xr:uid="{00000000-0005-0000-0000-000044830000}"/>
    <cellStyle name="40% - Accent5 2 3 5 3 2 5" xfId="18737" xr:uid="{00000000-0005-0000-0000-000045830000}"/>
    <cellStyle name="40% - Accent5 2 3 5 3 3" xfId="23600" xr:uid="{00000000-0005-0000-0000-000046830000}"/>
    <cellStyle name="40% - Accent5 2 3 5 3 4" xfId="33325" xr:uid="{00000000-0005-0000-0000-000047830000}"/>
    <cellStyle name="40% - Accent5 2 3 5 3 5" xfId="43050" xr:uid="{00000000-0005-0000-0000-000048830000}"/>
    <cellStyle name="40% - Accent5 2 3 5 3 6" xfId="13875" xr:uid="{00000000-0005-0000-0000-000049830000}"/>
    <cellStyle name="40% - Accent5 2 3 5 4" xfId="5771" xr:uid="{00000000-0005-0000-0000-00004A830000}"/>
    <cellStyle name="40% - Accent5 2 3 5 4 2" xfId="25222" xr:uid="{00000000-0005-0000-0000-00004B830000}"/>
    <cellStyle name="40% - Accent5 2 3 5 4 3" xfId="34947" xr:uid="{00000000-0005-0000-0000-00004C830000}"/>
    <cellStyle name="40% - Accent5 2 3 5 4 4" xfId="44672" xr:uid="{00000000-0005-0000-0000-00004D830000}"/>
    <cellStyle name="40% - Accent5 2 3 5 4 5" xfId="15497" xr:uid="{00000000-0005-0000-0000-00004E830000}"/>
    <cellStyle name="40% - Accent5 2 3 5 5" xfId="20360" xr:uid="{00000000-0005-0000-0000-00004F830000}"/>
    <cellStyle name="40% - Accent5 2 3 5 6" xfId="30085" xr:uid="{00000000-0005-0000-0000-000050830000}"/>
    <cellStyle name="40% - Accent5 2 3 5 7" xfId="39810" xr:uid="{00000000-0005-0000-0000-000051830000}"/>
    <cellStyle name="40% - Accent5 2 3 5 8" xfId="10635" xr:uid="{00000000-0005-0000-0000-000052830000}"/>
    <cellStyle name="40% - Accent5 2 3 6" xfId="1268" xr:uid="{00000000-0005-0000-0000-000053830000}"/>
    <cellStyle name="40% - Accent5 2 3 6 2" xfId="2889" xr:uid="{00000000-0005-0000-0000-000054830000}"/>
    <cellStyle name="40% - Accent5 2 3 6 2 2" xfId="7751" xr:uid="{00000000-0005-0000-0000-000055830000}"/>
    <cellStyle name="40% - Accent5 2 3 6 2 2 2" xfId="27202" xr:uid="{00000000-0005-0000-0000-000056830000}"/>
    <cellStyle name="40% - Accent5 2 3 6 2 2 3" xfId="36927" xr:uid="{00000000-0005-0000-0000-000057830000}"/>
    <cellStyle name="40% - Accent5 2 3 6 2 2 4" xfId="46652" xr:uid="{00000000-0005-0000-0000-000058830000}"/>
    <cellStyle name="40% - Accent5 2 3 6 2 2 5" xfId="17477" xr:uid="{00000000-0005-0000-0000-000059830000}"/>
    <cellStyle name="40% - Accent5 2 3 6 2 3" xfId="22340" xr:uid="{00000000-0005-0000-0000-00005A830000}"/>
    <cellStyle name="40% - Accent5 2 3 6 2 4" xfId="32065" xr:uid="{00000000-0005-0000-0000-00005B830000}"/>
    <cellStyle name="40% - Accent5 2 3 6 2 5" xfId="41790" xr:uid="{00000000-0005-0000-0000-00005C830000}"/>
    <cellStyle name="40% - Accent5 2 3 6 2 6" xfId="12615" xr:uid="{00000000-0005-0000-0000-00005D830000}"/>
    <cellStyle name="40% - Accent5 2 3 6 3" xfId="4509" xr:uid="{00000000-0005-0000-0000-00005E830000}"/>
    <cellStyle name="40% - Accent5 2 3 6 3 2" xfId="9371" xr:uid="{00000000-0005-0000-0000-00005F830000}"/>
    <cellStyle name="40% - Accent5 2 3 6 3 2 2" xfId="28822" xr:uid="{00000000-0005-0000-0000-000060830000}"/>
    <cellStyle name="40% - Accent5 2 3 6 3 2 3" xfId="38547" xr:uid="{00000000-0005-0000-0000-000061830000}"/>
    <cellStyle name="40% - Accent5 2 3 6 3 2 4" xfId="48272" xr:uid="{00000000-0005-0000-0000-000062830000}"/>
    <cellStyle name="40% - Accent5 2 3 6 3 2 5" xfId="19097" xr:uid="{00000000-0005-0000-0000-000063830000}"/>
    <cellStyle name="40% - Accent5 2 3 6 3 3" xfId="23960" xr:uid="{00000000-0005-0000-0000-000064830000}"/>
    <cellStyle name="40% - Accent5 2 3 6 3 4" xfId="33685" xr:uid="{00000000-0005-0000-0000-000065830000}"/>
    <cellStyle name="40% - Accent5 2 3 6 3 5" xfId="43410" xr:uid="{00000000-0005-0000-0000-000066830000}"/>
    <cellStyle name="40% - Accent5 2 3 6 3 6" xfId="14235" xr:uid="{00000000-0005-0000-0000-000067830000}"/>
    <cellStyle name="40% - Accent5 2 3 6 4" xfId="6131" xr:uid="{00000000-0005-0000-0000-000068830000}"/>
    <cellStyle name="40% - Accent5 2 3 6 4 2" xfId="25582" xr:uid="{00000000-0005-0000-0000-000069830000}"/>
    <cellStyle name="40% - Accent5 2 3 6 4 3" xfId="35307" xr:uid="{00000000-0005-0000-0000-00006A830000}"/>
    <cellStyle name="40% - Accent5 2 3 6 4 4" xfId="45032" xr:uid="{00000000-0005-0000-0000-00006B830000}"/>
    <cellStyle name="40% - Accent5 2 3 6 4 5" xfId="15857" xr:uid="{00000000-0005-0000-0000-00006C830000}"/>
    <cellStyle name="40% - Accent5 2 3 6 5" xfId="20720" xr:uid="{00000000-0005-0000-0000-00006D830000}"/>
    <cellStyle name="40% - Accent5 2 3 6 6" xfId="30445" xr:uid="{00000000-0005-0000-0000-00006E830000}"/>
    <cellStyle name="40% - Accent5 2 3 6 7" xfId="40170" xr:uid="{00000000-0005-0000-0000-00006F830000}"/>
    <cellStyle name="40% - Accent5 2 3 6 8" xfId="10995" xr:uid="{00000000-0005-0000-0000-000070830000}"/>
    <cellStyle name="40% - Accent5 2 3 7" xfId="1358" xr:uid="{00000000-0005-0000-0000-000071830000}"/>
    <cellStyle name="40% - Accent5 2 3 7 2" xfId="2979" xr:uid="{00000000-0005-0000-0000-000072830000}"/>
    <cellStyle name="40% - Accent5 2 3 7 2 2" xfId="7841" xr:uid="{00000000-0005-0000-0000-000073830000}"/>
    <cellStyle name="40% - Accent5 2 3 7 2 2 2" xfId="27292" xr:uid="{00000000-0005-0000-0000-000074830000}"/>
    <cellStyle name="40% - Accent5 2 3 7 2 2 3" xfId="37017" xr:uid="{00000000-0005-0000-0000-000075830000}"/>
    <cellStyle name="40% - Accent5 2 3 7 2 2 4" xfId="46742" xr:uid="{00000000-0005-0000-0000-000076830000}"/>
    <cellStyle name="40% - Accent5 2 3 7 2 2 5" xfId="17567" xr:uid="{00000000-0005-0000-0000-000077830000}"/>
    <cellStyle name="40% - Accent5 2 3 7 2 3" xfId="22430" xr:uid="{00000000-0005-0000-0000-000078830000}"/>
    <cellStyle name="40% - Accent5 2 3 7 2 4" xfId="32155" xr:uid="{00000000-0005-0000-0000-000079830000}"/>
    <cellStyle name="40% - Accent5 2 3 7 2 5" xfId="41880" xr:uid="{00000000-0005-0000-0000-00007A830000}"/>
    <cellStyle name="40% - Accent5 2 3 7 2 6" xfId="12705" xr:uid="{00000000-0005-0000-0000-00007B830000}"/>
    <cellStyle name="40% - Accent5 2 3 7 3" xfId="4599" xr:uid="{00000000-0005-0000-0000-00007C830000}"/>
    <cellStyle name="40% - Accent5 2 3 7 3 2" xfId="9461" xr:uid="{00000000-0005-0000-0000-00007D830000}"/>
    <cellStyle name="40% - Accent5 2 3 7 3 2 2" xfId="28912" xr:uid="{00000000-0005-0000-0000-00007E830000}"/>
    <cellStyle name="40% - Accent5 2 3 7 3 2 3" xfId="38637" xr:uid="{00000000-0005-0000-0000-00007F830000}"/>
    <cellStyle name="40% - Accent5 2 3 7 3 2 4" xfId="48362" xr:uid="{00000000-0005-0000-0000-000080830000}"/>
    <cellStyle name="40% - Accent5 2 3 7 3 2 5" xfId="19187" xr:uid="{00000000-0005-0000-0000-000081830000}"/>
    <cellStyle name="40% - Accent5 2 3 7 3 3" xfId="24050" xr:uid="{00000000-0005-0000-0000-000082830000}"/>
    <cellStyle name="40% - Accent5 2 3 7 3 4" xfId="33775" xr:uid="{00000000-0005-0000-0000-000083830000}"/>
    <cellStyle name="40% - Accent5 2 3 7 3 5" xfId="43500" xr:uid="{00000000-0005-0000-0000-000084830000}"/>
    <cellStyle name="40% - Accent5 2 3 7 3 6" xfId="14325" xr:uid="{00000000-0005-0000-0000-000085830000}"/>
    <cellStyle name="40% - Accent5 2 3 7 4" xfId="6221" xr:uid="{00000000-0005-0000-0000-000086830000}"/>
    <cellStyle name="40% - Accent5 2 3 7 4 2" xfId="25672" xr:uid="{00000000-0005-0000-0000-000087830000}"/>
    <cellStyle name="40% - Accent5 2 3 7 4 3" xfId="35397" xr:uid="{00000000-0005-0000-0000-000088830000}"/>
    <cellStyle name="40% - Accent5 2 3 7 4 4" xfId="45122" xr:uid="{00000000-0005-0000-0000-000089830000}"/>
    <cellStyle name="40% - Accent5 2 3 7 4 5" xfId="15947" xr:uid="{00000000-0005-0000-0000-00008A830000}"/>
    <cellStyle name="40% - Accent5 2 3 7 5" xfId="20810" xr:uid="{00000000-0005-0000-0000-00008B830000}"/>
    <cellStyle name="40% - Accent5 2 3 7 6" xfId="30535" xr:uid="{00000000-0005-0000-0000-00008C830000}"/>
    <cellStyle name="40% - Accent5 2 3 7 7" xfId="40260" xr:uid="{00000000-0005-0000-0000-00008D830000}"/>
    <cellStyle name="40% - Accent5 2 3 7 8" xfId="11085" xr:uid="{00000000-0005-0000-0000-00008E830000}"/>
    <cellStyle name="40% - Accent5 2 3 8" xfId="529" xr:uid="{00000000-0005-0000-0000-00008F830000}"/>
    <cellStyle name="40% - Accent5 2 3 8 2" xfId="2169" xr:uid="{00000000-0005-0000-0000-000090830000}"/>
    <cellStyle name="40% - Accent5 2 3 8 2 2" xfId="7031" xr:uid="{00000000-0005-0000-0000-000091830000}"/>
    <cellStyle name="40% - Accent5 2 3 8 2 2 2" xfId="26482" xr:uid="{00000000-0005-0000-0000-000092830000}"/>
    <cellStyle name="40% - Accent5 2 3 8 2 2 3" xfId="36207" xr:uid="{00000000-0005-0000-0000-000093830000}"/>
    <cellStyle name="40% - Accent5 2 3 8 2 2 4" xfId="45932" xr:uid="{00000000-0005-0000-0000-000094830000}"/>
    <cellStyle name="40% - Accent5 2 3 8 2 2 5" xfId="16757" xr:uid="{00000000-0005-0000-0000-000095830000}"/>
    <cellStyle name="40% - Accent5 2 3 8 2 3" xfId="21620" xr:uid="{00000000-0005-0000-0000-000096830000}"/>
    <cellStyle name="40% - Accent5 2 3 8 2 4" xfId="31345" xr:uid="{00000000-0005-0000-0000-000097830000}"/>
    <cellStyle name="40% - Accent5 2 3 8 2 5" xfId="41070" xr:uid="{00000000-0005-0000-0000-000098830000}"/>
    <cellStyle name="40% - Accent5 2 3 8 2 6" xfId="11895" xr:uid="{00000000-0005-0000-0000-000099830000}"/>
    <cellStyle name="40% - Accent5 2 3 8 3" xfId="3789" xr:uid="{00000000-0005-0000-0000-00009A830000}"/>
    <cellStyle name="40% - Accent5 2 3 8 3 2" xfId="8651" xr:uid="{00000000-0005-0000-0000-00009B830000}"/>
    <cellStyle name="40% - Accent5 2 3 8 3 2 2" xfId="28102" xr:uid="{00000000-0005-0000-0000-00009C830000}"/>
    <cellStyle name="40% - Accent5 2 3 8 3 2 3" xfId="37827" xr:uid="{00000000-0005-0000-0000-00009D830000}"/>
    <cellStyle name="40% - Accent5 2 3 8 3 2 4" xfId="47552" xr:uid="{00000000-0005-0000-0000-00009E830000}"/>
    <cellStyle name="40% - Accent5 2 3 8 3 2 5" xfId="18377" xr:uid="{00000000-0005-0000-0000-00009F830000}"/>
    <cellStyle name="40% - Accent5 2 3 8 3 3" xfId="23240" xr:uid="{00000000-0005-0000-0000-0000A0830000}"/>
    <cellStyle name="40% - Accent5 2 3 8 3 4" xfId="32965" xr:uid="{00000000-0005-0000-0000-0000A1830000}"/>
    <cellStyle name="40% - Accent5 2 3 8 3 5" xfId="42690" xr:uid="{00000000-0005-0000-0000-0000A2830000}"/>
    <cellStyle name="40% - Accent5 2 3 8 3 6" xfId="13515" xr:uid="{00000000-0005-0000-0000-0000A3830000}"/>
    <cellStyle name="40% - Accent5 2 3 8 4" xfId="5411" xr:uid="{00000000-0005-0000-0000-0000A4830000}"/>
    <cellStyle name="40% - Accent5 2 3 8 4 2" xfId="24862" xr:uid="{00000000-0005-0000-0000-0000A5830000}"/>
    <cellStyle name="40% - Accent5 2 3 8 4 3" xfId="34587" xr:uid="{00000000-0005-0000-0000-0000A6830000}"/>
    <cellStyle name="40% - Accent5 2 3 8 4 4" xfId="44312" xr:uid="{00000000-0005-0000-0000-0000A7830000}"/>
    <cellStyle name="40% - Accent5 2 3 8 4 5" xfId="15137" xr:uid="{00000000-0005-0000-0000-0000A8830000}"/>
    <cellStyle name="40% - Accent5 2 3 8 5" xfId="20000" xr:uid="{00000000-0005-0000-0000-0000A9830000}"/>
    <cellStyle name="40% - Accent5 2 3 8 6" xfId="29725" xr:uid="{00000000-0005-0000-0000-0000AA830000}"/>
    <cellStyle name="40% - Accent5 2 3 8 7" xfId="39450" xr:uid="{00000000-0005-0000-0000-0000AB830000}"/>
    <cellStyle name="40% - Accent5 2 3 8 8" xfId="10275" xr:uid="{00000000-0005-0000-0000-0000AC830000}"/>
    <cellStyle name="40% - Accent5 2 3 9" xfId="1718" xr:uid="{00000000-0005-0000-0000-0000AD830000}"/>
    <cellStyle name="40% - Accent5 2 3 9 2" xfId="3339" xr:uid="{00000000-0005-0000-0000-0000AE830000}"/>
    <cellStyle name="40% - Accent5 2 3 9 2 2" xfId="8201" xr:uid="{00000000-0005-0000-0000-0000AF830000}"/>
    <cellStyle name="40% - Accent5 2 3 9 2 2 2" xfId="27652" xr:uid="{00000000-0005-0000-0000-0000B0830000}"/>
    <cellStyle name="40% - Accent5 2 3 9 2 2 3" xfId="37377" xr:uid="{00000000-0005-0000-0000-0000B1830000}"/>
    <cellStyle name="40% - Accent5 2 3 9 2 2 4" xfId="47102" xr:uid="{00000000-0005-0000-0000-0000B2830000}"/>
    <cellStyle name="40% - Accent5 2 3 9 2 2 5" xfId="17927" xr:uid="{00000000-0005-0000-0000-0000B3830000}"/>
    <cellStyle name="40% - Accent5 2 3 9 2 3" xfId="22790" xr:uid="{00000000-0005-0000-0000-0000B4830000}"/>
    <cellStyle name="40% - Accent5 2 3 9 2 4" xfId="32515" xr:uid="{00000000-0005-0000-0000-0000B5830000}"/>
    <cellStyle name="40% - Accent5 2 3 9 2 5" xfId="42240" xr:uid="{00000000-0005-0000-0000-0000B6830000}"/>
    <cellStyle name="40% - Accent5 2 3 9 2 6" xfId="13065" xr:uid="{00000000-0005-0000-0000-0000B7830000}"/>
    <cellStyle name="40% - Accent5 2 3 9 3" xfId="4959" xr:uid="{00000000-0005-0000-0000-0000B8830000}"/>
    <cellStyle name="40% - Accent5 2 3 9 3 2" xfId="9821" xr:uid="{00000000-0005-0000-0000-0000B9830000}"/>
    <cellStyle name="40% - Accent5 2 3 9 3 2 2" xfId="29272" xr:uid="{00000000-0005-0000-0000-0000BA830000}"/>
    <cellStyle name="40% - Accent5 2 3 9 3 2 3" xfId="38997" xr:uid="{00000000-0005-0000-0000-0000BB830000}"/>
    <cellStyle name="40% - Accent5 2 3 9 3 2 4" xfId="48722" xr:uid="{00000000-0005-0000-0000-0000BC830000}"/>
    <cellStyle name="40% - Accent5 2 3 9 3 2 5" xfId="19547" xr:uid="{00000000-0005-0000-0000-0000BD830000}"/>
    <cellStyle name="40% - Accent5 2 3 9 3 3" xfId="24410" xr:uid="{00000000-0005-0000-0000-0000BE830000}"/>
    <cellStyle name="40% - Accent5 2 3 9 3 4" xfId="34135" xr:uid="{00000000-0005-0000-0000-0000BF830000}"/>
    <cellStyle name="40% - Accent5 2 3 9 3 5" xfId="43860" xr:uid="{00000000-0005-0000-0000-0000C0830000}"/>
    <cellStyle name="40% - Accent5 2 3 9 3 6" xfId="14685" xr:uid="{00000000-0005-0000-0000-0000C1830000}"/>
    <cellStyle name="40% - Accent5 2 3 9 4" xfId="6581" xr:uid="{00000000-0005-0000-0000-0000C2830000}"/>
    <cellStyle name="40% - Accent5 2 3 9 4 2" xfId="26032" xr:uid="{00000000-0005-0000-0000-0000C3830000}"/>
    <cellStyle name="40% - Accent5 2 3 9 4 3" xfId="35757" xr:uid="{00000000-0005-0000-0000-0000C4830000}"/>
    <cellStyle name="40% - Accent5 2 3 9 4 4" xfId="45482" xr:uid="{00000000-0005-0000-0000-0000C5830000}"/>
    <cellStyle name="40% - Accent5 2 3 9 4 5" xfId="16307" xr:uid="{00000000-0005-0000-0000-0000C6830000}"/>
    <cellStyle name="40% - Accent5 2 3 9 5" xfId="21170" xr:uid="{00000000-0005-0000-0000-0000C7830000}"/>
    <cellStyle name="40% - Accent5 2 3 9 6" xfId="30895" xr:uid="{00000000-0005-0000-0000-0000C8830000}"/>
    <cellStyle name="40% - Accent5 2 3 9 7" xfId="40620" xr:uid="{00000000-0005-0000-0000-0000C9830000}"/>
    <cellStyle name="40% - Accent5 2 3 9 8" xfId="11445" xr:uid="{00000000-0005-0000-0000-0000CA830000}"/>
    <cellStyle name="40% - Accent5 2 4" xfId="247" xr:uid="{00000000-0005-0000-0000-0000CB830000}"/>
    <cellStyle name="40% - Accent5 2 4 10" xfId="39210" xr:uid="{00000000-0005-0000-0000-0000CC830000}"/>
    <cellStyle name="40% - Accent5 2 4 11" xfId="10035" xr:uid="{00000000-0005-0000-0000-0000CD830000}"/>
    <cellStyle name="40% - Accent5 2 4 2" xfId="1011" xr:uid="{00000000-0005-0000-0000-0000CE830000}"/>
    <cellStyle name="40% - Accent5 2 4 2 2" xfId="2649" xr:uid="{00000000-0005-0000-0000-0000CF830000}"/>
    <cellStyle name="40% - Accent5 2 4 2 2 2" xfId="7511" xr:uid="{00000000-0005-0000-0000-0000D0830000}"/>
    <cellStyle name="40% - Accent5 2 4 2 2 2 2" xfId="26962" xr:uid="{00000000-0005-0000-0000-0000D1830000}"/>
    <cellStyle name="40% - Accent5 2 4 2 2 2 3" xfId="36687" xr:uid="{00000000-0005-0000-0000-0000D2830000}"/>
    <cellStyle name="40% - Accent5 2 4 2 2 2 4" xfId="46412" xr:uid="{00000000-0005-0000-0000-0000D3830000}"/>
    <cellStyle name="40% - Accent5 2 4 2 2 2 5" xfId="17237" xr:uid="{00000000-0005-0000-0000-0000D4830000}"/>
    <cellStyle name="40% - Accent5 2 4 2 2 3" xfId="22100" xr:uid="{00000000-0005-0000-0000-0000D5830000}"/>
    <cellStyle name="40% - Accent5 2 4 2 2 4" xfId="31825" xr:uid="{00000000-0005-0000-0000-0000D6830000}"/>
    <cellStyle name="40% - Accent5 2 4 2 2 5" xfId="41550" xr:uid="{00000000-0005-0000-0000-0000D7830000}"/>
    <cellStyle name="40% - Accent5 2 4 2 2 6" xfId="12375" xr:uid="{00000000-0005-0000-0000-0000D8830000}"/>
    <cellStyle name="40% - Accent5 2 4 2 3" xfId="4269" xr:uid="{00000000-0005-0000-0000-0000D9830000}"/>
    <cellStyle name="40% - Accent5 2 4 2 3 2" xfId="9131" xr:uid="{00000000-0005-0000-0000-0000DA830000}"/>
    <cellStyle name="40% - Accent5 2 4 2 3 2 2" xfId="28582" xr:uid="{00000000-0005-0000-0000-0000DB830000}"/>
    <cellStyle name="40% - Accent5 2 4 2 3 2 3" xfId="38307" xr:uid="{00000000-0005-0000-0000-0000DC830000}"/>
    <cellStyle name="40% - Accent5 2 4 2 3 2 4" xfId="48032" xr:uid="{00000000-0005-0000-0000-0000DD830000}"/>
    <cellStyle name="40% - Accent5 2 4 2 3 2 5" xfId="18857" xr:uid="{00000000-0005-0000-0000-0000DE830000}"/>
    <cellStyle name="40% - Accent5 2 4 2 3 3" xfId="23720" xr:uid="{00000000-0005-0000-0000-0000DF830000}"/>
    <cellStyle name="40% - Accent5 2 4 2 3 4" xfId="33445" xr:uid="{00000000-0005-0000-0000-0000E0830000}"/>
    <cellStyle name="40% - Accent5 2 4 2 3 5" xfId="43170" xr:uid="{00000000-0005-0000-0000-0000E1830000}"/>
    <cellStyle name="40% - Accent5 2 4 2 3 6" xfId="13995" xr:uid="{00000000-0005-0000-0000-0000E2830000}"/>
    <cellStyle name="40% - Accent5 2 4 2 4" xfId="5891" xr:uid="{00000000-0005-0000-0000-0000E3830000}"/>
    <cellStyle name="40% - Accent5 2 4 2 4 2" xfId="25342" xr:uid="{00000000-0005-0000-0000-0000E4830000}"/>
    <cellStyle name="40% - Accent5 2 4 2 4 3" xfId="35067" xr:uid="{00000000-0005-0000-0000-0000E5830000}"/>
    <cellStyle name="40% - Accent5 2 4 2 4 4" xfId="44792" xr:uid="{00000000-0005-0000-0000-0000E6830000}"/>
    <cellStyle name="40% - Accent5 2 4 2 4 5" xfId="15617" xr:uid="{00000000-0005-0000-0000-0000E7830000}"/>
    <cellStyle name="40% - Accent5 2 4 2 5" xfId="20480" xr:uid="{00000000-0005-0000-0000-0000E8830000}"/>
    <cellStyle name="40% - Accent5 2 4 2 6" xfId="30205" xr:uid="{00000000-0005-0000-0000-0000E9830000}"/>
    <cellStyle name="40% - Accent5 2 4 2 7" xfId="39930" xr:uid="{00000000-0005-0000-0000-0000EA830000}"/>
    <cellStyle name="40% - Accent5 2 4 2 8" xfId="10755" xr:uid="{00000000-0005-0000-0000-0000EB830000}"/>
    <cellStyle name="40% - Accent5 2 4 3" xfId="1478" xr:uid="{00000000-0005-0000-0000-0000EC830000}"/>
    <cellStyle name="40% - Accent5 2 4 3 2" xfId="3099" xr:uid="{00000000-0005-0000-0000-0000ED830000}"/>
    <cellStyle name="40% - Accent5 2 4 3 2 2" xfId="7961" xr:uid="{00000000-0005-0000-0000-0000EE830000}"/>
    <cellStyle name="40% - Accent5 2 4 3 2 2 2" xfId="27412" xr:uid="{00000000-0005-0000-0000-0000EF830000}"/>
    <cellStyle name="40% - Accent5 2 4 3 2 2 3" xfId="37137" xr:uid="{00000000-0005-0000-0000-0000F0830000}"/>
    <cellStyle name="40% - Accent5 2 4 3 2 2 4" xfId="46862" xr:uid="{00000000-0005-0000-0000-0000F1830000}"/>
    <cellStyle name="40% - Accent5 2 4 3 2 2 5" xfId="17687" xr:uid="{00000000-0005-0000-0000-0000F2830000}"/>
    <cellStyle name="40% - Accent5 2 4 3 2 3" xfId="22550" xr:uid="{00000000-0005-0000-0000-0000F3830000}"/>
    <cellStyle name="40% - Accent5 2 4 3 2 4" xfId="32275" xr:uid="{00000000-0005-0000-0000-0000F4830000}"/>
    <cellStyle name="40% - Accent5 2 4 3 2 5" xfId="42000" xr:uid="{00000000-0005-0000-0000-0000F5830000}"/>
    <cellStyle name="40% - Accent5 2 4 3 2 6" xfId="12825" xr:uid="{00000000-0005-0000-0000-0000F6830000}"/>
    <cellStyle name="40% - Accent5 2 4 3 3" xfId="4719" xr:uid="{00000000-0005-0000-0000-0000F7830000}"/>
    <cellStyle name="40% - Accent5 2 4 3 3 2" xfId="9581" xr:uid="{00000000-0005-0000-0000-0000F8830000}"/>
    <cellStyle name="40% - Accent5 2 4 3 3 2 2" xfId="29032" xr:uid="{00000000-0005-0000-0000-0000F9830000}"/>
    <cellStyle name="40% - Accent5 2 4 3 3 2 3" xfId="38757" xr:uid="{00000000-0005-0000-0000-0000FA830000}"/>
    <cellStyle name="40% - Accent5 2 4 3 3 2 4" xfId="48482" xr:uid="{00000000-0005-0000-0000-0000FB830000}"/>
    <cellStyle name="40% - Accent5 2 4 3 3 2 5" xfId="19307" xr:uid="{00000000-0005-0000-0000-0000FC830000}"/>
    <cellStyle name="40% - Accent5 2 4 3 3 3" xfId="24170" xr:uid="{00000000-0005-0000-0000-0000FD830000}"/>
    <cellStyle name="40% - Accent5 2 4 3 3 4" xfId="33895" xr:uid="{00000000-0005-0000-0000-0000FE830000}"/>
    <cellStyle name="40% - Accent5 2 4 3 3 5" xfId="43620" xr:uid="{00000000-0005-0000-0000-0000FF830000}"/>
    <cellStyle name="40% - Accent5 2 4 3 3 6" xfId="14445" xr:uid="{00000000-0005-0000-0000-000000840000}"/>
    <cellStyle name="40% - Accent5 2 4 3 4" xfId="6341" xr:uid="{00000000-0005-0000-0000-000001840000}"/>
    <cellStyle name="40% - Accent5 2 4 3 4 2" xfId="25792" xr:uid="{00000000-0005-0000-0000-000002840000}"/>
    <cellStyle name="40% - Accent5 2 4 3 4 3" xfId="35517" xr:uid="{00000000-0005-0000-0000-000003840000}"/>
    <cellStyle name="40% - Accent5 2 4 3 4 4" xfId="45242" xr:uid="{00000000-0005-0000-0000-000004840000}"/>
    <cellStyle name="40% - Accent5 2 4 3 4 5" xfId="16067" xr:uid="{00000000-0005-0000-0000-000005840000}"/>
    <cellStyle name="40% - Accent5 2 4 3 5" xfId="20930" xr:uid="{00000000-0005-0000-0000-000006840000}"/>
    <cellStyle name="40% - Accent5 2 4 3 6" xfId="30655" xr:uid="{00000000-0005-0000-0000-000007840000}"/>
    <cellStyle name="40% - Accent5 2 4 3 7" xfId="40380" xr:uid="{00000000-0005-0000-0000-000008840000}"/>
    <cellStyle name="40% - Accent5 2 4 3 8" xfId="11205" xr:uid="{00000000-0005-0000-0000-000009840000}"/>
    <cellStyle name="40% - Accent5 2 4 4" xfId="649" xr:uid="{00000000-0005-0000-0000-00000A840000}"/>
    <cellStyle name="40% - Accent5 2 4 4 2" xfId="2289" xr:uid="{00000000-0005-0000-0000-00000B840000}"/>
    <cellStyle name="40% - Accent5 2 4 4 2 2" xfId="7151" xr:uid="{00000000-0005-0000-0000-00000C840000}"/>
    <cellStyle name="40% - Accent5 2 4 4 2 2 2" xfId="26602" xr:uid="{00000000-0005-0000-0000-00000D840000}"/>
    <cellStyle name="40% - Accent5 2 4 4 2 2 3" xfId="36327" xr:uid="{00000000-0005-0000-0000-00000E840000}"/>
    <cellStyle name="40% - Accent5 2 4 4 2 2 4" xfId="46052" xr:uid="{00000000-0005-0000-0000-00000F840000}"/>
    <cellStyle name="40% - Accent5 2 4 4 2 2 5" xfId="16877" xr:uid="{00000000-0005-0000-0000-000010840000}"/>
    <cellStyle name="40% - Accent5 2 4 4 2 3" xfId="21740" xr:uid="{00000000-0005-0000-0000-000011840000}"/>
    <cellStyle name="40% - Accent5 2 4 4 2 4" xfId="31465" xr:uid="{00000000-0005-0000-0000-000012840000}"/>
    <cellStyle name="40% - Accent5 2 4 4 2 5" xfId="41190" xr:uid="{00000000-0005-0000-0000-000013840000}"/>
    <cellStyle name="40% - Accent5 2 4 4 2 6" xfId="12015" xr:uid="{00000000-0005-0000-0000-000014840000}"/>
    <cellStyle name="40% - Accent5 2 4 4 3" xfId="3909" xr:uid="{00000000-0005-0000-0000-000015840000}"/>
    <cellStyle name="40% - Accent5 2 4 4 3 2" xfId="8771" xr:uid="{00000000-0005-0000-0000-000016840000}"/>
    <cellStyle name="40% - Accent5 2 4 4 3 2 2" xfId="28222" xr:uid="{00000000-0005-0000-0000-000017840000}"/>
    <cellStyle name="40% - Accent5 2 4 4 3 2 3" xfId="37947" xr:uid="{00000000-0005-0000-0000-000018840000}"/>
    <cellStyle name="40% - Accent5 2 4 4 3 2 4" xfId="47672" xr:uid="{00000000-0005-0000-0000-000019840000}"/>
    <cellStyle name="40% - Accent5 2 4 4 3 2 5" xfId="18497" xr:uid="{00000000-0005-0000-0000-00001A840000}"/>
    <cellStyle name="40% - Accent5 2 4 4 3 3" xfId="23360" xr:uid="{00000000-0005-0000-0000-00001B840000}"/>
    <cellStyle name="40% - Accent5 2 4 4 3 4" xfId="33085" xr:uid="{00000000-0005-0000-0000-00001C840000}"/>
    <cellStyle name="40% - Accent5 2 4 4 3 5" xfId="42810" xr:uid="{00000000-0005-0000-0000-00001D840000}"/>
    <cellStyle name="40% - Accent5 2 4 4 3 6" xfId="13635" xr:uid="{00000000-0005-0000-0000-00001E840000}"/>
    <cellStyle name="40% - Accent5 2 4 4 4" xfId="5531" xr:uid="{00000000-0005-0000-0000-00001F840000}"/>
    <cellStyle name="40% - Accent5 2 4 4 4 2" xfId="24982" xr:uid="{00000000-0005-0000-0000-000020840000}"/>
    <cellStyle name="40% - Accent5 2 4 4 4 3" xfId="34707" xr:uid="{00000000-0005-0000-0000-000021840000}"/>
    <cellStyle name="40% - Accent5 2 4 4 4 4" xfId="44432" xr:uid="{00000000-0005-0000-0000-000022840000}"/>
    <cellStyle name="40% - Accent5 2 4 4 4 5" xfId="15257" xr:uid="{00000000-0005-0000-0000-000023840000}"/>
    <cellStyle name="40% - Accent5 2 4 4 5" xfId="20120" xr:uid="{00000000-0005-0000-0000-000024840000}"/>
    <cellStyle name="40% - Accent5 2 4 4 6" xfId="29845" xr:uid="{00000000-0005-0000-0000-000025840000}"/>
    <cellStyle name="40% - Accent5 2 4 4 7" xfId="39570" xr:uid="{00000000-0005-0000-0000-000026840000}"/>
    <cellStyle name="40% - Accent5 2 4 4 8" xfId="10395" xr:uid="{00000000-0005-0000-0000-000027840000}"/>
    <cellStyle name="40% - Accent5 2 4 5" xfId="1929" xr:uid="{00000000-0005-0000-0000-000028840000}"/>
    <cellStyle name="40% - Accent5 2 4 5 2" xfId="6791" xr:uid="{00000000-0005-0000-0000-000029840000}"/>
    <cellStyle name="40% - Accent5 2 4 5 2 2" xfId="26242" xr:uid="{00000000-0005-0000-0000-00002A840000}"/>
    <cellStyle name="40% - Accent5 2 4 5 2 3" xfId="35967" xr:uid="{00000000-0005-0000-0000-00002B840000}"/>
    <cellStyle name="40% - Accent5 2 4 5 2 4" xfId="45692" xr:uid="{00000000-0005-0000-0000-00002C840000}"/>
    <cellStyle name="40% - Accent5 2 4 5 2 5" xfId="16517" xr:uid="{00000000-0005-0000-0000-00002D840000}"/>
    <cellStyle name="40% - Accent5 2 4 5 3" xfId="21380" xr:uid="{00000000-0005-0000-0000-00002E840000}"/>
    <cellStyle name="40% - Accent5 2 4 5 4" xfId="31105" xr:uid="{00000000-0005-0000-0000-00002F840000}"/>
    <cellStyle name="40% - Accent5 2 4 5 5" xfId="40830" xr:uid="{00000000-0005-0000-0000-000030840000}"/>
    <cellStyle name="40% - Accent5 2 4 5 6" xfId="11655" xr:uid="{00000000-0005-0000-0000-000031840000}"/>
    <cellStyle name="40% - Accent5 2 4 6" xfId="3549" xr:uid="{00000000-0005-0000-0000-000032840000}"/>
    <cellStyle name="40% - Accent5 2 4 6 2" xfId="8411" xr:uid="{00000000-0005-0000-0000-000033840000}"/>
    <cellStyle name="40% - Accent5 2 4 6 2 2" xfId="27862" xr:uid="{00000000-0005-0000-0000-000034840000}"/>
    <cellStyle name="40% - Accent5 2 4 6 2 3" xfId="37587" xr:uid="{00000000-0005-0000-0000-000035840000}"/>
    <cellStyle name="40% - Accent5 2 4 6 2 4" xfId="47312" xr:uid="{00000000-0005-0000-0000-000036840000}"/>
    <cellStyle name="40% - Accent5 2 4 6 2 5" xfId="18137" xr:uid="{00000000-0005-0000-0000-000037840000}"/>
    <cellStyle name="40% - Accent5 2 4 6 3" xfId="23000" xr:uid="{00000000-0005-0000-0000-000038840000}"/>
    <cellStyle name="40% - Accent5 2 4 6 4" xfId="32725" xr:uid="{00000000-0005-0000-0000-000039840000}"/>
    <cellStyle name="40% - Accent5 2 4 6 5" xfId="42450" xr:uid="{00000000-0005-0000-0000-00003A840000}"/>
    <cellStyle name="40% - Accent5 2 4 6 6" xfId="13275" xr:uid="{00000000-0005-0000-0000-00003B840000}"/>
    <cellStyle name="40% - Accent5 2 4 7" xfId="5171" xr:uid="{00000000-0005-0000-0000-00003C840000}"/>
    <cellStyle name="40% - Accent5 2 4 7 2" xfId="24622" xr:uid="{00000000-0005-0000-0000-00003D840000}"/>
    <cellStyle name="40% - Accent5 2 4 7 3" xfId="34347" xr:uid="{00000000-0005-0000-0000-00003E840000}"/>
    <cellStyle name="40% - Accent5 2 4 7 4" xfId="44072" xr:uid="{00000000-0005-0000-0000-00003F840000}"/>
    <cellStyle name="40% - Accent5 2 4 7 5" xfId="14897" xr:uid="{00000000-0005-0000-0000-000040840000}"/>
    <cellStyle name="40% - Accent5 2 4 8" xfId="19760" xr:uid="{00000000-0005-0000-0000-000041840000}"/>
    <cellStyle name="40% - Accent5 2 4 9" xfId="29485" xr:uid="{00000000-0005-0000-0000-000042840000}"/>
    <cellStyle name="40% - Accent5 2 5" xfId="338" xr:uid="{00000000-0005-0000-0000-000043840000}"/>
    <cellStyle name="40% - Accent5 2 5 10" xfId="39300" xr:uid="{00000000-0005-0000-0000-000044840000}"/>
    <cellStyle name="40% - Accent5 2 5 11" xfId="10125" xr:uid="{00000000-0005-0000-0000-000045840000}"/>
    <cellStyle name="40% - Accent5 2 5 2" xfId="1101" xr:uid="{00000000-0005-0000-0000-000046840000}"/>
    <cellStyle name="40% - Accent5 2 5 2 2" xfId="2739" xr:uid="{00000000-0005-0000-0000-000047840000}"/>
    <cellStyle name="40% - Accent5 2 5 2 2 2" xfId="7601" xr:uid="{00000000-0005-0000-0000-000048840000}"/>
    <cellStyle name="40% - Accent5 2 5 2 2 2 2" xfId="27052" xr:uid="{00000000-0005-0000-0000-000049840000}"/>
    <cellStyle name="40% - Accent5 2 5 2 2 2 3" xfId="36777" xr:uid="{00000000-0005-0000-0000-00004A840000}"/>
    <cellStyle name="40% - Accent5 2 5 2 2 2 4" xfId="46502" xr:uid="{00000000-0005-0000-0000-00004B840000}"/>
    <cellStyle name="40% - Accent5 2 5 2 2 2 5" xfId="17327" xr:uid="{00000000-0005-0000-0000-00004C840000}"/>
    <cellStyle name="40% - Accent5 2 5 2 2 3" xfId="22190" xr:uid="{00000000-0005-0000-0000-00004D840000}"/>
    <cellStyle name="40% - Accent5 2 5 2 2 4" xfId="31915" xr:uid="{00000000-0005-0000-0000-00004E840000}"/>
    <cellStyle name="40% - Accent5 2 5 2 2 5" xfId="41640" xr:uid="{00000000-0005-0000-0000-00004F840000}"/>
    <cellStyle name="40% - Accent5 2 5 2 2 6" xfId="12465" xr:uid="{00000000-0005-0000-0000-000050840000}"/>
    <cellStyle name="40% - Accent5 2 5 2 3" xfId="4359" xr:uid="{00000000-0005-0000-0000-000051840000}"/>
    <cellStyle name="40% - Accent5 2 5 2 3 2" xfId="9221" xr:uid="{00000000-0005-0000-0000-000052840000}"/>
    <cellStyle name="40% - Accent5 2 5 2 3 2 2" xfId="28672" xr:uid="{00000000-0005-0000-0000-000053840000}"/>
    <cellStyle name="40% - Accent5 2 5 2 3 2 3" xfId="38397" xr:uid="{00000000-0005-0000-0000-000054840000}"/>
    <cellStyle name="40% - Accent5 2 5 2 3 2 4" xfId="48122" xr:uid="{00000000-0005-0000-0000-000055840000}"/>
    <cellStyle name="40% - Accent5 2 5 2 3 2 5" xfId="18947" xr:uid="{00000000-0005-0000-0000-000056840000}"/>
    <cellStyle name="40% - Accent5 2 5 2 3 3" xfId="23810" xr:uid="{00000000-0005-0000-0000-000057840000}"/>
    <cellStyle name="40% - Accent5 2 5 2 3 4" xfId="33535" xr:uid="{00000000-0005-0000-0000-000058840000}"/>
    <cellStyle name="40% - Accent5 2 5 2 3 5" xfId="43260" xr:uid="{00000000-0005-0000-0000-000059840000}"/>
    <cellStyle name="40% - Accent5 2 5 2 3 6" xfId="14085" xr:uid="{00000000-0005-0000-0000-00005A840000}"/>
    <cellStyle name="40% - Accent5 2 5 2 4" xfId="5981" xr:uid="{00000000-0005-0000-0000-00005B840000}"/>
    <cellStyle name="40% - Accent5 2 5 2 4 2" xfId="25432" xr:uid="{00000000-0005-0000-0000-00005C840000}"/>
    <cellStyle name="40% - Accent5 2 5 2 4 3" xfId="35157" xr:uid="{00000000-0005-0000-0000-00005D840000}"/>
    <cellStyle name="40% - Accent5 2 5 2 4 4" xfId="44882" xr:uid="{00000000-0005-0000-0000-00005E840000}"/>
    <cellStyle name="40% - Accent5 2 5 2 4 5" xfId="15707" xr:uid="{00000000-0005-0000-0000-00005F840000}"/>
    <cellStyle name="40% - Accent5 2 5 2 5" xfId="20570" xr:uid="{00000000-0005-0000-0000-000060840000}"/>
    <cellStyle name="40% - Accent5 2 5 2 6" xfId="30295" xr:uid="{00000000-0005-0000-0000-000061840000}"/>
    <cellStyle name="40% - Accent5 2 5 2 7" xfId="40020" xr:uid="{00000000-0005-0000-0000-000062840000}"/>
    <cellStyle name="40% - Accent5 2 5 2 8" xfId="10845" xr:uid="{00000000-0005-0000-0000-000063840000}"/>
    <cellStyle name="40% - Accent5 2 5 3" xfId="1568" xr:uid="{00000000-0005-0000-0000-000064840000}"/>
    <cellStyle name="40% - Accent5 2 5 3 2" xfId="3189" xr:uid="{00000000-0005-0000-0000-000065840000}"/>
    <cellStyle name="40% - Accent5 2 5 3 2 2" xfId="8051" xr:uid="{00000000-0005-0000-0000-000066840000}"/>
    <cellStyle name="40% - Accent5 2 5 3 2 2 2" xfId="27502" xr:uid="{00000000-0005-0000-0000-000067840000}"/>
    <cellStyle name="40% - Accent5 2 5 3 2 2 3" xfId="37227" xr:uid="{00000000-0005-0000-0000-000068840000}"/>
    <cellStyle name="40% - Accent5 2 5 3 2 2 4" xfId="46952" xr:uid="{00000000-0005-0000-0000-000069840000}"/>
    <cellStyle name="40% - Accent5 2 5 3 2 2 5" xfId="17777" xr:uid="{00000000-0005-0000-0000-00006A840000}"/>
    <cellStyle name="40% - Accent5 2 5 3 2 3" xfId="22640" xr:uid="{00000000-0005-0000-0000-00006B840000}"/>
    <cellStyle name="40% - Accent5 2 5 3 2 4" xfId="32365" xr:uid="{00000000-0005-0000-0000-00006C840000}"/>
    <cellStyle name="40% - Accent5 2 5 3 2 5" xfId="42090" xr:uid="{00000000-0005-0000-0000-00006D840000}"/>
    <cellStyle name="40% - Accent5 2 5 3 2 6" xfId="12915" xr:uid="{00000000-0005-0000-0000-00006E840000}"/>
    <cellStyle name="40% - Accent5 2 5 3 3" xfId="4809" xr:uid="{00000000-0005-0000-0000-00006F840000}"/>
    <cellStyle name="40% - Accent5 2 5 3 3 2" xfId="9671" xr:uid="{00000000-0005-0000-0000-000070840000}"/>
    <cellStyle name="40% - Accent5 2 5 3 3 2 2" xfId="29122" xr:uid="{00000000-0005-0000-0000-000071840000}"/>
    <cellStyle name="40% - Accent5 2 5 3 3 2 3" xfId="38847" xr:uid="{00000000-0005-0000-0000-000072840000}"/>
    <cellStyle name="40% - Accent5 2 5 3 3 2 4" xfId="48572" xr:uid="{00000000-0005-0000-0000-000073840000}"/>
    <cellStyle name="40% - Accent5 2 5 3 3 2 5" xfId="19397" xr:uid="{00000000-0005-0000-0000-000074840000}"/>
    <cellStyle name="40% - Accent5 2 5 3 3 3" xfId="24260" xr:uid="{00000000-0005-0000-0000-000075840000}"/>
    <cellStyle name="40% - Accent5 2 5 3 3 4" xfId="33985" xr:uid="{00000000-0005-0000-0000-000076840000}"/>
    <cellStyle name="40% - Accent5 2 5 3 3 5" xfId="43710" xr:uid="{00000000-0005-0000-0000-000077840000}"/>
    <cellStyle name="40% - Accent5 2 5 3 3 6" xfId="14535" xr:uid="{00000000-0005-0000-0000-000078840000}"/>
    <cellStyle name="40% - Accent5 2 5 3 4" xfId="6431" xr:uid="{00000000-0005-0000-0000-000079840000}"/>
    <cellStyle name="40% - Accent5 2 5 3 4 2" xfId="25882" xr:uid="{00000000-0005-0000-0000-00007A840000}"/>
    <cellStyle name="40% - Accent5 2 5 3 4 3" xfId="35607" xr:uid="{00000000-0005-0000-0000-00007B840000}"/>
    <cellStyle name="40% - Accent5 2 5 3 4 4" xfId="45332" xr:uid="{00000000-0005-0000-0000-00007C840000}"/>
    <cellStyle name="40% - Accent5 2 5 3 4 5" xfId="16157" xr:uid="{00000000-0005-0000-0000-00007D840000}"/>
    <cellStyle name="40% - Accent5 2 5 3 5" xfId="21020" xr:uid="{00000000-0005-0000-0000-00007E840000}"/>
    <cellStyle name="40% - Accent5 2 5 3 6" xfId="30745" xr:uid="{00000000-0005-0000-0000-00007F840000}"/>
    <cellStyle name="40% - Accent5 2 5 3 7" xfId="40470" xr:uid="{00000000-0005-0000-0000-000080840000}"/>
    <cellStyle name="40% - Accent5 2 5 3 8" xfId="11295" xr:uid="{00000000-0005-0000-0000-000081840000}"/>
    <cellStyle name="40% - Accent5 2 5 4" xfId="739" xr:uid="{00000000-0005-0000-0000-000082840000}"/>
    <cellStyle name="40% - Accent5 2 5 4 2" xfId="2379" xr:uid="{00000000-0005-0000-0000-000083840000}"/>
    <cellStyle name="40% - Accent5 2 5 4 2 2" xfId="7241" xr:uid="{00000000-0005-0000-0000-000084840000}"/>
    <cellStyle name="40% - Accent5 2 5 4 2 2 2" xfId="26692" xr:uid="{00000000-0005-0000-0000-000085840000}"/>
    <cellStyle name="40% - Accent5 2 5 4 2 2 3" xfId="36417" xr:uid="{00000000-0005-0000-0000-000086840000}"/>
    <cellStyle name="40% - Accent5 2 5 4 2 2 4" xfId="46142" xr:uid="{00000000-0005-0000-0000-000087840000}"/>
    <cellStyle name="40% - Accent5 2 5 4 2 2 5" xfId="16967" xr:uid="{00000000-0005-0000-0000-000088840000}"/>
    <cellStyle name="40% - Accent5 2 5 4 2 3" xfId="21830" xr:uid="{00000000-0005-0000-0000-000089840000}"/>
    <cellStyle name="40% - Accent5 2 5 4 2 4" xfId="31555" xr:uid="{00000000-0005-0000-0000-00008A840000}"/>
    <cellStyle name="40% - Accent5 2 5 4 2 5" xfId="41280" xr:uid="{00000000-0005-0000-0000-00008B840000}"/>
    <cellStyle name="40% - Accent5 2 5 4 2 6" xfId="12105" xr:uid="{00000000-0005-0000-0000-00008C840000}"/>
    <cellStyle name="40% - Accent5 2 5 4 3" xfId="3999" xr:uid="{00000000-0005-0000-0000-00008D840000}"/>
    <cellStyle name="40% - Accent5 2 5 4 3 2" xfId="8861" xr:uid="{00000000-0005-0000-0000-00008E840000}"/>
    <cellStyle name="40% - Accent5 2 5 4 3 2 2" xfId="28312" xr:uid="{00000000-0005-0000-0000-00008F840000}"/>
    <cellStyle name="40% - Accent5 2 5 4 3 2 3" xfId="38037" xr:uid="{00000000-0005-0000-0000-000090840000}"/>
    <cellStyle name="40% - Accent5 2 5 4 3 2 4" xfId="47762" xr:uid="{00000000-0005-0000-0000-000091840000}"/>
    <cellStyle name="40% - Accent5 2 5 4 3 2 5" xfId="18587" xr:uid="{00000000-0005-0000-0000-000092840000}"/>
    <cellStyle name="40% - Accent5 2 5 4 3 3" xfId="23450" xr:uid="{00000000-0005-0000-0000-000093840000}"/>
    <cellStyle name="40% - Accent5 2 5 4 3 4" xfId="33175" xr:uid="{00000000-0005-0000-0000-000094840000}"/>
    <cellStyle name="40% - Accent5 2 5 4 3 5" xfId="42900" xr:uid="{00000000-0005-0000-0000-000095840000}"/>
    <cellStyle name="40% - Accent5 2 5 4 3 6" xfId="13725" xr:uid="{00000000-0005-0000-0000-000096840000}"/>
    <cellStyle name="40% - Accent5 2 5 4 4" xfId="5621" xr:uid="{00000000-0005-0000-0000-000097840000}"/>
    <cellStyle name="40% - Accent5 2 5 4 4 2" xfId="25072" xr:uid="{00000000-0005-0000-0000-000098840000}"/>
    <cellStyle name="40% - Accent5 2 5 4 4 3" xfId="34797" xr:uid="{00000000-0005-0000-0000-000099840000}"/>
    <cellStyle name="40% - Accent5 2 5 4 4 4" xfId="44522" xr:uid="{00000000-0005-0000-0000-00009A840000}"/>
    <cellStyle name="40% - Accent5 2 5 4 4 5" xfId="15347" xr:uid="{00000000-0005-0000-0000-00009B840000}"/>
    <cellStyle name="40% - Accent5 2 5 4 5" xfId="20210" xr:uid="{00000000-0005-0000-0000-00009C840000}"/>
    <cellStyle name="40% - Accent5 2 5 4 6" xfId="29935" xr:uid="{00000000-0005-0000-0000-00009D840000}"/>
    <cellStyle name="40% - Accent5 2 5 4 7" xfId="39660" xr:uid="{00000000-0005-0000-0000-00009E840000}"/>
    <cellStyle name="40% - Accent5 2 5 4 8" xfId="10485" xr:uid="{00000000-0005-0000-0000-00009F840000}"/>
    <cellStyle name="40% - Accent5 2 5 5" xfId="2019" xr:uid="{00000000-0005-0000-0000-0000A0840000}"/>
    <cellStyle name="40% - Accent5 2 5 5 2" xfId="6881" xr:uid="{00000000-0005-0000-0000-0000A1840000}"/>
    <cellStyle name="40% - Accent5 2 5 5 2 2" xfId="26332" xr:uid="{00000000-0005-0000-0000-0000A2840000}"/>
    <cellStyle name="40% - Accent5 2 5 5 2 3" xfId="36057" xr:uid="{00000000-0005-0000-0000-0000A3840000}"/>
    <cellStyle name="40% - Accent5 2 5 5 2 4" xfId="45782" xr:uid="{00000000-0005-0000-0000-0000A4840000}"/>
    <cellStyle name="40% - Accent5 2 5 5 2 5" xfId="16607" xr:uid="{00000000-0005-0000-0000-0000A5840000}"/>
    <cellStyle name="40% - Accent5 2 5 5 3" xfId="21470" xr:uid="{00000000-0005-0000-0000-0000A6840000}"/>
    <cellStyle name="40% - Accent5 2 5 5 4" xfId="31195" xr:uid="{00000000-0005-0000-0000-0000A7840000}"/>
    <cellStyle name="40% - Accent5 2 5 5 5" xfId="40920" xr:uid="{00000000-0005-0000-0000-0000A8840000}"/>
    <cellStyle name="40% - Accent5 2 5 5 6" xfId="11745" xr:uid="{00000000-0005-0000-0000-0000A9840000}"/>
    <cellStyle name="40% - Accent5 2 5 6" xfId="3639" xr:uid="{00000000-0005-0000-0000-0000AA840000}"/>
    <cellStyle name="40% - Accent5 2 5 6 2" xfId="8501" xr:uid="{00000000-0005-0000-0000-0000AB840000}"/>
    <cellStyle name="40% - Accent5 2 5 6 2 2" xfId="27952" xr:uid="{00000000-0005-0000-0000-0000AC840000}"/>
    <cellStyle name="40% - Accent5 2 5 6 2 3" xfId="37677" xr:uid="{00000000-0005-0000-0000-0000AD840000}"/>
    <cellStyle name="40% - Accent5 2 5 6 2 4" xfId="47402" xr:uid="{00000000-0005-0000-0000-0000AE840000}"/>
    <cellStyle name="40% - Accent5 2 5 6 2 5" xfId="18227" xr:uid="{00000000-0005-0000-0000-0000AF840000}"/>
    <cellStyle name="40% - Accent5 2 5 6 3" xfId="23090" xr:uid="{00000000-0005-0000-0000-0000B0840000}"/>
    <cellStyle name="40% - Accent5 2 5 6 4" xfId="32815" xr:uid="{00000000-0005-0000-0000-0000B1840000}"/>
    <cellStyle name="40% - Accent5 2 5 6 5" xfId="42540" xr:uid="{00000000-0005-0000-0000-0000B2840000}"/>
    <cellStyle name="40% - Accent5 2 5 6 6" xfId="13365" xr:uid="{00000000-0005-0000-0000-0000B3840000}"/>
    <cellStyle name="40% - Accent5 2 5 7" xfId="5261" xr:uid="{00000000-0005-0000-0000-0000B4840000}"/>
    <cellStyle name="40% - Accent5 2 5 7 2" xfId="24712" xr:uid="{00000000-0005-0000-0000-0000B5840000}"/>
    <cellStyle name="40% - Accent5 2 5 7 3" xfId="34437" xr:uid="{00000000-0005-0000-0000-0000B6840000}"/>
    <cellStyle name="40% - Accent5 2 5 7 4" xfId="44162" xr:uid="{00000000-0005-0000-0000-0000B7840000}"/>
    <cellStyle name="40% - Accent5 2 5 7 5" xfId="14987" xr:uid="{00000000-0005-0000-0000-0000B8840000}"/>
    <cellStyle name="40% - Accent5 2 5 8" xfId="19850" xr:uid="{00000000-0005-0000-0000-0000B9840000}"/>
    <cellStyle name="40% - Accent5 2 5 9" xfId="29575" xr:uid="{00000000-0005-0000-0000-0000BA840000}"/>
    <cellStyle name="40% - Accent5 2 6" xfId="156" xr:uid="{00000000-0005-0000-0000-0000BB840000}"/>
    <cellStyle name="40% - Accent5 2 6 10" xfId="39120" xr:uid="{00000000-0005-0000-0000-0000BC840000}"/>
    <cellStyle name="40% - Accent5 2 6 11" xfId="9945" xr:uid="{00000000-0005-0000-0000-0000BD840000}"/>
    <cellStyle name="40% - Accent5 2 6 2" xfId="920" xr:uid="{00000000-0005-0000-0000-0000BE840000}"/>
    <cellStyle name="40% - Accent5 2 6 2 2" xfId="2559" xr:uid="{00000000-0005-0000-0000-0000BF840000}"/>
    <cellStyle name="40% - Accent5 2 6 2 2 2" xfId="7421" xr:uid="{00000000-0005-0000-0000-0000C0840000}"/>
    <cellStyle name="40% - Accent5 2 6 2 2 2 2" xfId="26872" xr:uid="{00000000-0005-0000-0000-0000C1840000}"/>
    <cellStyle name="40% - Accent5 2 6 2 2 2 3" xfId="36597" xr:uid="{00000000-0005-0000-0000-0000C2840000}"/>
    <cellStyle name="40% - Accent5 2 6 2 2 2 4" xfId="46322" xr:uid="{00000000-0005-0000-0000-0000C3840000}"/>
    <cellStyle name="40% - Accent5 2 6 2 2 2 5" xfId="17147" xr:uid="{00000000-0005-0000-0000-0000C4840000}"/>
    <cellStyle name="40% - Accent5 2 6 2 2 3" xfId="22010" xr:uid="{00000000-0005-0000-0000-0000C5840000}"/>
    <cellStyle name="40% - Accent5 2 6 2 2 4" xfId="31735" xr:uid="{00000000-0005-0000-0000-0000C6840000}"/>
    <cellStyle name="40% - Accent5 2 6 2 2 5" xfId="41460" xr:uid="{00000000-0005-0000-0000-0000C7840000}"/>
    <cellStyle name="40% - Accent5 2 6 2 2 6" xfId="12285" xr:uid="{00000000-0005-0000-0000-0000C8840000}"/>
    <cellStyle name="40% - Accent5 2 6 2 3" xfId="4179" xr:uid="{00000000-0005-0000-0000-0000C9840000}"/>
    <cellStyle name="40% - Accent5 2 6 2 3 2" xfId="9041" xr:uid="{00000000-0005-0000-0000-0000CA840000}"/>
    <cellStyle name="40% - Accent5 2 6 2 3 2 2" xfId="28492" xr:uid="{00000000-0005-0000-0000-0000CB840000}"/>
    <cellStyle name="40% - Accent5 2 6 2 3 2 3" xfId="38217" xr:uid="{00000000-0005-0000-0000-0000CC840000}"/>
    <cellStyle name="40% - Accent5 2 6 2 3 2 4" xfId="47942" xr:uid="{00000000-0005-0000-0000-0000CD840000}"/>
    <cellStyle name="40% - Accent5 2 6 2 3 2 5" xfId="18767" xr:uid="{00000000-0005-0000-0000-0000CE840000}"/>
    <cellStyle name="40% - Accent5 2 6 2 3 3" xfId="23630" xr:uid="{00000000-0005-0000-0000-0000CF840000}"/>
    <cellStyle name="40% - Accent5 2 6 2 3 4" xfId="33355" xr:uid="{00000000-0005-0000-0000-0000D0840000}"/>
    <cellStyle name="40% - Accent5 2 6 2 3 5" xfId="43080" xr:uid="{00000000-0005-0000-0000-0000D1840000}"/>
    <cellStyle name="40% - Accent5 2 6 2 3 6" xfId="13905" xr:uid="{00000000-0005-0000-0000-0000D2840000}"/>
    <cellStyle name="40% - Accent5 2 6 2 4" xfId="5801" xr:uid="{00000000-0005-0000-0000-0000D3840000}"/>
    <cellStyle name="40% - Accent5 2 6 2 4 2" xfId="25252" xr:uid="{00000000-0005-0000-0000-0000D4840000}"/>
    <cellStyle name="40% - Accent5 2 6 2 4 3" xfId="34977" xr:uid="{00000000-0005-0000-0000-0000D5840000}"/>
    <cellStyle name="40% - Accent5 2 6 2 4 4" xfId="44702" xr:uid="{00000000-0005-0000-0000-0000D6840000}"/>
    <cellStyle name="40% - Accent5 2 6 2 4 5" xfId="15527" xr:uid="{00000000-0005-0000-0000-0000D7840000}"/>
    <cellStyle name="40% - Accent5 2 6 2 5" xfId="20390" xr:uid="{00000000-0005-0000-0000-0000D8840000}"/>
    <cellStyle name="40% - Accent5 2 6 2 6" xfId="30115" xr:uid="{00000000-0005-0000-0000-0000D9840000}"/>
    <cellStyle name="40% - Accent5 2 6 2 7" xfId="39840" xr:uid="{00000000-0005-0000-0000-0000DA840000}"/>
    <cellStyle name="40% - Accent5 2 6 2 8" xfId="10665" xr:uid="{00000000-0005-0000-0000-0000DB840000}"/>
    <cellStyle name="40% - Accent5 2 6 3" xfId="1388" xr:uid="{00000000-0005-0000-0000-0000DC840000}"/>
    <cellStyle name="40% - Accent5 2 6 3 2" xfId="3009" xr:uid="{00000000-0005-0000-0000-0000DD840000}"/>
    <cellStyle name="40% - Accent5 2 6 3 2 2" xfId="7871" xr:uid="{00000000-0005-0000-0000-0000DE840000}"/>
    <cellStyle name="40% - Accent5 2 6 3 2 2 2" xfId="27322" xr:uid="{00000000-0005-0000-0000-0000DF840000}"/>
    <cellStyle name="40% - Accent5 2 6 3 2 2 3" xfId="37047" xr:uid="{00000000-0005-0000-0000-0000E0840000}"/>
    <cellStyle name="40% - Accent5 2 6 3 2 2 4" xfId="46772" xr:uid="{00000000-0005-0000-0000-0000E1840000}"/>
    <cellStyle name="40% - Accent5 2 6 3 2 2 5" xfId="17597" xr:uid="{00000000-0005-0000-0000-0000E2840000}"/>
    <cellStyle name="40% - Accent5 2 6 3 2 3" xfId="22460" xr:uid="{00000000-0005-0000-0000-0000E3840000}"/>
    <cellStyle name="40% - Accent5 2 6 3 2 4" xfId="32185" xr:uid="{00000000-0005-0000-0000-0000E4840000}"/>
    <cellStyle name="40% - Accent5 2 6 3 2 5" xfId="41910" xr:uid="{00000000-0005-0000-0000-0000E5840000}"/>
    <cellStyle name="40% - Accent5 2 6 3 2 6" xfId="12735" xr:uid="{00000000-0005-0000-0000-0000E6840000}"/>
    <cellStyle name="40% - Accent5 2 6 3 3" xfId="4629" xr:uid="{00000000-0005-0000-0000-0000E7840000}"/>
    <cellStyle name="40% - Accent5 2 6 3 3 2" xfId="9491" xr:uid="{00000000-0005-0000-0000-0000E8840000}"/>
    <cellStyle name="40% - Accent5 2 6 3 3 2 2" xfId="28942" xr:uid="{00000000-0005-0000-0000-0000E9840000}"/>
    <cellStyle name="40% - Accent5 2 6 3 3 2 3" xfId="38667" xr:uid="{00000000-0005-0000-0000-0000EA840000}"/>
    <cellStyle name="40% - Accent5 2 6 3 3 2 4" xfId="48392" xr:uid="{00000000-0005-0000-0000-0000EB840000}"/>
    <cellStyle name="40% - Accent5 2 6 3 3 2 5" xfId="19217" xr:uid="{00000000-0005-0000-0000-0000EC840000}"/>
    <cellStyle name="40% - Accent5 2 6 3 3 3" xfId="24080" xr:uid="{00000000-0005-0000-0000-0000ED840000}"/>
    <cellStyle name="40% - Accent5 2 6 3 3 4" xfId="33805" xr:uid="{00000000-0005-0000-0000-0000EE840000}"/>
    <cellStyle name="40% - Accent5 2 6 3 3 5" xfId="43530" xr:uid="{00000000-0005-0000-0000-0000EF840000}"/>
    <cellStyle name="40% - Accent5 2 6 3 3 6" xfId="14355" xr:uid="{00000000-0005-0000-0000-0000F0840000}"/>
    <cellStyle name="40% - Accent5 2 6 3 4" xfId="6251" xr:uid="{00000000-0005-0000-0000-0000F1840000}"/>
    <cellStyle name="40% - Accent5 2 6 3 4 2" xfId="25702" xr:uid="{00000000-0005-0000-0000-0000F2840000}"/>
    <cellStyle name="40% - Accent5 2 6 3 4 3" xfId="35427" xr:uid="{00000000-0005-0000-0000-0000F3840000}"/>
    <cellStyle name="40% - Accent5 2 6 3 4 4" xfId="45152" xr:uid="{00000000-0005-0000-0000-0000F4840000}"/>
    <cellStyle name="40% - Accent5 2 6 3 4 5" xfId="15977" xr:uid="{00000000-0005-0000-0000-0000F5840000}"/>
    <cellStyle name="40% - Accent5 2 6 3 5" xfId="20840" xr:uid="{00000000-0005-0000-0000-0000F6840000}"/>
    <cellStyle name="40% - Accent5 2 6 3 6" xfId="30565" xr:uid="{00000000-0005-0000-0000-0000F7840000}"/>
    <cellStyle name="40% - Accent5 2 6 3 7" xfId="40290" xr:uid="{00000000-0005-0000-0000-0000F8840000}"/>
    <cellStyle name="40% - Accent5 2 6 3 8" xfId="11115" xr:uid="{00000000-0005-0000-0000-0000F9840000}"/>
    <cellStyle name="40% - Accent5 2 6 4" xfId="559" xr:uid="{00000000-0005-0000-0000-0000FA840000}"/>
    <cellStyle name="40% - Accent5 2 6 4 2" xfId="2199" xr:uid="{00000000-0005-0000-0000-0000FB840000}"/>
    <cellStyle name="40% - Accent5 2 6 4 2 2" xfId="7061" xr:uid="{00000000-0005-0000-0000-0000FC840000}"/>
    <cellStyle name="40% - Accent5 2 6 4 2 2 2" xfId="26512" xr:uid="{00000000-0005-0000-0000-0000FD840000}"/>
    <cellStyle name="40% - Accent5 2 6 4 2 2 3" xfId="36237" xr:uid="{00000000-0005-0000-0000-0000FE840000}"/>
    <cellStyle name="40% - Accent5 2 6 4 2 2 4" xfId="45962" xr:uid="{00000000-0005-0000-0000-0000FF840000}"/>
    <cellStyle name="40% - Accent5 2 6 4 2 2 5" xfId="16787" xr:uid="{00000000-0005-0000-0000-000000850000}"/>
    <cellStyle name="40% - Accent5 2 6 4 2 3" xfId="21650" xr:uid="{00000000-0005-0000-0000-000001850000}"/>
    <cellStyle name="40% - Accent5 2 6 4 2 4" xfId="31375" xr:uid="{00000000-0005-0000-0000-000002850000}"/>
    <cellStyle name="40% - Accent5 2 6 4 2 5" xfId="41100" xr:uid="{00000000-0005-0000-0000-000003850000}"/>
    <cellStyle name="40% - Accent5 2 6 4 2 6" xfId="11925" xr:uid="{00000000-0005-0000-0000-000004850000}"/>
    <cellStyle name="40% - Accent5 2 6 4 3" xfId="3819" xr:uid="{00000000-0005-0000-0000-000005850000}"/>
    <cellStyle name="40% - Accent5 2 6 4 3 2" xfId="8681" xr:uid="{00000000-0005-0000-0000-000006850000}"/>
    <cellStyle name="40% - Accent5 2 6 4 3 2 2" xfId="28132" xr:uid="{00000000-0005-0000-0000-000007850000}"/>
    <cellStyle name="40% - Accent5 2 6 4 3 2 3" xfId="37857" xr:uid="{00000000-0005-0000-0000-000008850000}"/>
    <cellStyle name="40% - Accent5 2 6 4 3 2 4" xfId="47582" xr:uid="{00000000-0005-0000-0000-000009850000}"/>
    <cellStyle name="40% - Accent5 2 6 4 3 2 5" xfId="18407" xr:uid="{00000000-0005-0000-0000-00000A850000}"/>
    <cellStyle name="40% - Accent5 2 6 4 3 3" xfId="23270" xr:uid="{00000000-0005-0000-0000-00000B850000}"/>
    <cellStyle name="40% - Accent5 2 6 4 3 4" xfId="32995" xr:uid="{00000000-0005-0000-0000-00000C850000}"/>
    <cellStyle name="40% - Accent5 2 6 4 3 5" xfId="42720" xr:uid="{00000000-0005-0000-0000-00000D850000}"/>
    <cellStyle name="40% - Accent5 2 6 4 3 6" xfId="13545" xr:uid="{00000000-0005-0000-0000-00000E850000}"/>
    <cellStyle name="40% - Accent5 2 6 4 4" xfId="5441" xr:uid="{00000000-0005-0000-0000-00000F850000}"/>
    <cellStyle name="40% - Accent5 2 6 4 4 2" xfId="24892" xr:uid="{00000000-0005-0000-0000-000010850000}"/>
    <cellStyle name="40% - Accent5 2 6 4 4 3" xfId="34617" xr:uid="{00000000-0005-0000-0000-000011850000}"/>
    <cellStyle name="40% - Accent5 2 6 4 4 4" xfId="44342" xr:uid="{00000000-0005-0000-0000-000012850000}"/>
    <cellStyle name="40% - Accent5 2 6 4 4 5" xfId="15167" xr:uid="{00000000-0005-0000-0000-000013850000}"/>
    <cellStyle name="40% - Accent5 2 6 4 5" xfId="20030" xr:uid="{00000000-0005-0000-0000-000014850000}"/>
    <cellStyle name="40% - Accent5 2 6 4 6" xfId="29755" xr:uid="{00000000-0005-0000-0000-000015850000}"/>
    <cellStyle name="40% - Accent5 2 6 4 7" xfId="39480" xr:uid="{00000000-0005-0000-0000-000016850000}"/>
    <cellStyle name="40% - Accent5 2 6 4 8" xfId="10305" xr:uid="{00000000-0005-0000-0000-000017850000}"/>
    <cellStyle name="40% - Accent5 2 6 5" xfId="1839" xr:uid="{00000000-0005-0000-0000-000018850000}"/>
    <cellStyle name="40% - Accent5 2 6 5 2" xfId="6701" xr:uid="{00000000-0005-0000-0000-000019850000}"/>
    <cellStyle name="40% - Accent5 2 6 5 2 2" xfId="26152" xr:uid="{00000000-0005-0000-0000-00001A850000}"/>
    <cellStyle name="40% - Accent5 2 6 5 2 3" xfId="35877" xr:uid="{00000000-0005-0000-0000-00001B850000}"/>
    <cellStyle name="40% - Accent5 2 6 5 2 4" xfId="45602" xr:uid="{00000000-0005-0000-0000-00001C850000}"/>
    <cellStyle name="40% - Accent5 2 6 5 2 5" xfId="16427" xr:uid="{00000000-0005-0000-0000-00001D850000}"/>
    <cellStyle name="40% - Accent5 2 6 5 3" xfId="21290" xr:uid="{00000000-0005-0000-0000-00001E850000}"/>
    <cellStyle name="40% - Accent5 2 6 5 4" xfId="31015" xr:uid="{00000000-0005-0000-0000-00001F850000}"/>
    <cellStyle name="40% - Accent5 2 6 5 5" xfId="40740" xr:uid="{00000000-0005-0000-0000-000020850000}"/>
    <cellStyle name="40% - Accent5 2 6 5 6" xfId="11565" xr:uid="{00000000-0005-0000-0000-000021850000}"/>
    <cellStyle name="40% - Accent5 2 6 6" xfId="3459" xr:uid="{00000000-0005-0000-0000-000022850000}"/>
    <cellStyle name="40% - Accent5 2 6 6 2" xfId="8321" xr:uid="{00000000-0005-0000-0000-000023850000}"/>
    <cellStyle name="40% - Accent5 2 6 6 2 2" xfId="27772" xr:uid="{00000000-0005-0000-0000-000024850000}"/>
    <cellStyle name="40% - Accent5 2 6 6 2 3" xfId="37497" xr:uid="{00000000-0005-0000-0000-000025850000}"/>
    <cellStyle name="40% - Accent5 2 6 6 2 4" xfId="47222" xr:uid="{00000000-0005-0000-0000-000026850000}"/>
    <cellStyle name="40% - Accent5 2 6 6 2 5" xfId="18047" xr:uid="{00000000-0005-0000-0000-000027850000}"/>
    <cellStyle name="40% - Accent5 2 6 6 3" xfId="22910" xr:uid="{00000000-0005-0000-0000-000028850000}"/>
    <cellStyle name="40% - Accent5 2 6 6 4" xfId="32635" xr:uid="{00000000-0005-0000-0000-000029850000}"/>
    <cellStyle name="40% - Accent5 2 6 6 5" xfId="42360" xr:uid="{00000000-0005-0000-0000-00002A850000}"/>
    <cellStyle name="40% - Accent5 2 6 6 6" xfId="13185" xr:uid="{00000000-0005-0000-0000-00002B850000}"/>
    <cellStyle name="40% - Accent5 2 6 7" xfId="5081" xr:uid="{00000000-0005-0000-0000-00002C850000}"/>
    <cellStyle name="40% - Accent5 2 6 7 2" xfId="24532" xr:uid="{00000000-0005-0000-0000-00002D850000}"/>
    <cellStyle name="40% - Accent5 2 6 7 3" xfId="34257" xr:uid="{00000000-0005-0000-0000-00002E850000}"/>
    <cellStyle name="40% - Accent5 2 6 7 4" xfId="43982" xr:uid="{00000000-0005-0000-0000-00002F850000}"/>
    <cellStyle name="40% - Accent5 2 6 7 5" xfId="14807" xr:uid="{00000000-0005-0000-0000-000030850000}"/>
    <cellStyle name="40% - Accent5 2 6 8" xfId="19670" xr:uid="{00000000-0005-0000-0000-000031850000}"/>
    <cellStyle name="40% - Accent5 2 6 9" xfId="29395" xr:uid="{00000000-0005-0000-0000-000032850000}"/>
    <cellStyle name="40% - Accent5 2 7" xfId="830" xr:uid="{00000000-0005-0000-0000-000033850000}"/>
    <cellStyle name="40% - Accent5 2 7 2" xfId="2469" xr:uid="{00000000-0005-0000-0000-000034850000}"/>
    <cellStyle name="40% - Accent5 2 7 2 2" xfId="7331" xr:uid="{00000000-0005-0000-0000-000035850000}"/>
    <cellStyle name="40% - Accent5 2 7 2 2 2" xfId="26782" xr:uid="{00000000-0005-0000-0000-000036850000}"/>
    <cellStyle name="40% - Accent5 2 7 2 2 3" xfId="36507" xr:uid="{00000000-0005-0000-0000-000037850000}"/>
    <cellStyle name="40% - Accent5 2 7 2 2 4" xfId="46232" xr:uid="{00000000-0005-0000-0000-000038850000}"/>
    <cellStyle name="40% - Accent5 2 7 2 2 5" xfId="17057" xr:uid="{00000000-0005-0000-0000-000039850000}"/>
    <cellStyle name="40% - Accent5 2 7 2 3" xfId="21920" xr:uid="{00000000-0005-0000-0000-00003A850000}"/>
    <cellStyle name="40% - Accent5 2 7 2 4" xfId="31645" xr:uid="{00000000-0005-0000-0000-00003B850000}"/>
    <cellStyle name="40% - Accent5 2 7 2 5" xfId="41370" xr:uid="{00000000-0005-0000-0000-00003C850000}"/>
    <cellStyle name="40% - Accent5 2 7 2 6" xfId="12195" xr:uid="{00000000-0005-0000-0000-00003D850000}"/>
    <cellStyle name="40% - Accent5 2 7 3" xfId="4089" xr:uid="{00000000-0005-0000-0000-00003E850000}"/>
    <cellStyle name="40% - Accent5 2 7 3 2" xfId="8951" xr:uid="{00000000-0005-0000-0000-00003F850000}"/>
    <cellStyle name="40% - Accent5 2 7 3 2 2" xfId="28402" xr:uid="{00000000-0005-0000-0000-000040850000}"/>
    <cellStyle name="40% - Accent5 2 7 3 2 3" xfId="38127" xr:uid="{00000000-0005-0000-0000-000041850000}"/>
    <cellStyle name="40% - Accent5 2 7 3 2 4" xfId="47852" xr:uid="{00000000-0005-0000-0000-000042850000}"/>
    <cellStyle name="40% - Accent5 2 7 3 2 5" xfId="18677" xr:uid="{00000000-0005-0000-0000-000043850000}"/>
    <cellStyle name="40% - Accent5 2 7 3 3" xfId="23540" xr:uid="{00000000-0005-0000-0000-000044850000}"/>
    <cellStyle name="40% - Accent5 2 7 3 4" xfId="33265" xr:uid="{00000000-0005-0000-0000-000045850000}"/>
    <cellStyle name="40% - Accent5 2 7 3 5" xfId="42990" xr:uid="{00000000-0005-0000-0000-000046850000}"/>
    <cellStyle name="40% - Accent5 2 7 3 6" xfId="13815" xr:uid="{00000000-0005-0000-0000-000047850000}"/>
    <cellStyle name="40% - Accent5 2 7 4" xfId="5711" xr:uid="{00000000-0005-0000-0000-000048850000}"/>
    <cellStyle name="40% - Accent5 2 7 4 2" xfId="25162" xr:uid="{00000000-0005-0000-0000-000049850000}"/>
    <cellStyle name="40% - Accent5 2 7 4 3" xfId="34887" xr:uid="{00000000-0005-0000-0000-00004A850000}"/>
    <cellStyle name="40% - Accent5 2 7 4 4" xfId="44612" xr:uid="{00000000-0005-0000-0000-00004B850000}"/>
    <cellStyle name="40% - Accent5 2 7 4 5" xfId="15437" xr:uid="{00000000-0005-0000-0000-00004C850000}"/>
    <cellStyle name="40% - Accent5 2 7 5" xfId="20300" xr:uid="{00000000-0005-0000-0000-00004D850000}"/>
    <cellStyle name="40% - Accent5 2 7 6" xfId="30025" xr:uid="{00000000-0005-0000-0000-00004E850000}"/>
    <cellStyle name="40% - Accent5 2 7 7" xfId="39750" xr:uid="{00000000-0005-0000-0000-00004F850000}"/>
    <cellStyle name="40% - Accent5 2 7 8" xfId="10575" xr:uid="{00000000-0005-0000-0000-000050850000}"/>
    <cellStyle name="40% - Accent5 2 8" xfId="1208" xr:uid="{00000000-0005-0000-0000-000051850000}"/>
    <cellStyle name="40% - Accent5 2 8 2" xfId="2829" xr:uid="{00000000-0005-0000-0000-000052850000}"/>
    <cellStyle name="40% - Accent5 2 8 2 2" xfId="7691" xr:uid="{00000000-0005-0000-0000-000053850000}"/>
    <cellStyle name="40% - Accent5 2 8 2 2 2" xfId="27142" xr:uid="{00000000-0005-0000-0000-000054850000}"/>
    <cellStyle name="40% - Accent5 2 8 2 2 3" xfId="36867" xr:uid="{00000000-0005-0000-0000-000055850000}"/>
    <cellStyle name="40% - Accent5 2 8 2 2 4" xfId="46592" xr:uid="{00000000-0005-0000-0000-000056850000}"/>
    <cellStyle name="40% - Accent5 2 8 2 2 5" xfId="17417" xr:uid="{00000000-0005-0000-0000-000057850000}"/>
    <cellStyle name="40% - Accent5 2 8 2 3" xfId="22280" xr:uid="{00000000-0005-0000-0000-000058850000}"/>
    <cellStyle name="40% - Accent5 2 8 2 4" xfId="32005" xr:uid="{00000000-0005-0000-0000-000059850000}"/>
    <cellStyle name="40% - Accent5 2 8 2 5" xfId="41730" xr:uid="{00000000-0005-0000-0000-00005A850000}"/>
    <cellStyle name="40% - Accent5 2 8 2 6" xfId="12555" xr:uid="{00000000-0005-0000-0000-00005B850000}"/>
    <cellStyle name="40% - Accent5 2 8 3" xfId="4449" xr:uid="{00000000-0005-0000-0000-00005C850000}"/>
    <cellStyle name="40% - Accent5 2 8 3 2" xfId="9311" xr:uid="{00000000-0005-0000-0000-00005D850000}"/>
    <cellStyle name="40% - Accent5 2 8 3 2 2" xfId="28762" xr:uid="{00000000-0005-0000-0000-00005E850000}"/>
    <cellStyle name="40% - Accent5 2 8 3 2 3" xfId="38487" xr:uid="{00000000-0005-0000-0000-00005F850000}"/>
    <cellStyle name="40% - Accent5 2 8 3 2 4" xfId="48212" xr:uid="{00000000-0005-0000-0000-000060850000}"/>
    <cellStyle name="40% - Accent5 2 8 3 2 5" xfId="19037" xr:uid="{00000000-0005-0000-0000-000061850000}"/>
    <cellStyle name="40% - Accent5 2 8 3 3" xfId="23900" xr:uid="{00000000-0005-0000-0000-000062850000}"/>
    <cellStyle name="40% - Accent5 2 8 3 4" xfId="33625" xr:uid="{00000000-0005-0000-0000-000063850000}"/>
    <cellStyle name="40% - Accent5 2 8 3 5" xfId="43350" xr:uid="{00000000-0005-0000-0000-000064850000}"/>
    <cellStyle name="40% - Accent5 2 8 3 6" xfId="14175" xr:uid="{00000000-0005-0000-0000-000065850000}"/>
    <cellStyle name="40% - Accent5 2 8 4" xfId="6071" xr:uid="{00000000-0005-0000-0000-000066850000}"/>
    <cellStyle name="40% - Accent5 2 8 4 2" xfId="25522" xr:uid="{00000000-0005-0000-0000-000067850000}"/>
    <cellStyle name="40% - Accent5 2 8 4 3" xfId="35247" xr:uid="{00000000-0005-0000-0000-000068850000}"/>
    <cellStyle name="40% - Accent5 2 8 4 4" xfId="44972" xr:uid="{00000000-0005-0000-0000-000069850000}"/>
    <cellStyle name="40% - Accent5 2 8 4 5" xfId="15797" xr:uid="{00000000-0005-0000-0000-00006A850000}"/>
    <cellStyle name="40% - Accent5 2 8 5" xfId="20660" xr:uid="{00000000-0005-0000-0000-00006B850000}"/>
    <cellStyle name="40% - Accent5 2 8 6" xfId="30385" xr:uid="{00000000-0005-0000-0000-00006C850000}"/>
    <cellStyle name="40% - Accent5 2 8 7" xfId="40110" xr:uid="{00000000-0005-0000-0000-00006D850000}"/>
    <cellStyle name="40% - Accent5 2 8 8" xfId="10935" xr:uid="{00000000-0005-0000-0000-00006E850000}"/>
    <cellStyle name="40% - Accent5 2 9" xfId="1298" xr:uid="{00000000-0005-0000-0000-00006F850000}"/>
    <cellStyle name="40% - Accent5 2 9 2" xfId="2919" xr:uid="{00000000-0005-0000-0000-000070850000}"/>
    <cellStyle name="40% - Accent5 2 9 2 2" xfId="7781" xr:uid="{00000000-0005-0000-0000-000071850000}"/>
    <cellStyle name="40% - Accent5 2 9 2 2 2" xfId="27232" xr:uid="{00000000-0005-0000-0000-000072850000}"/>
    <cellStyle name="40% - Accent5 2 9 2 2 3" xfId="36957" xr:uid="{00000000-0005-0000-0000-000073850000}"/>
    <cellStyle name="40% - Accent5 2 9 2 2 4" xfId="46682" xr:uid="{00000000-0005-0000-0000-000074850000}"/>
    <cellStyle name="40% - Accent5 2 9 2 2 5" xfId="17507" xr:uid="{00000000-0005-0000-0000-000075850000}"/>
    <cellStyle name="40% - Accent5 2 9 2 3" xfId="22370" xr:uid="{00000000-0005-0000-0000-000076850000}"/>
    <cellStyle name="40% - Accent5 2 9 2 4" xfId="32095" xr:uid="{00000000-0005-0000-0000-000077850000}"/>
    <cellStyle name="40% - Accent5 2 9 2 5" xfId="41820" xr:uid="{00000000-0005-0000-0000-000078850000}"/>
    <cellStyle name="40% - Accent5 2 9 2 6" xfId="12645" xr:uid="{00000000-0005-0000-0000-000079850000}"/>
    <cellStyle name="40% - Accent5 2 9 3" xfId="4539" xr:uid="{00000000-0005-0000-0000-00007A850000}"/>
    <cellStyle name="40% - Accent5 2 9 3 2" xfId="9401" xr:uid="{00000000-0005-0000-0000-00007B850000}"/>
    <cellStyle name="40% - Accent5 2 9 3 2 2" xfId="28852" xr:uid="{00000000-0005-0000-0000-00007C850000}"/>
    <cellStyle name="40% - Accent5 2 9 3 2 3" xfId="38577" xr:uid="{00000000-0005-0000-0000-00007D850000}"/>
    <cellStyle name="40% - Accent5 2 9 3 2 4" xfId="48302" xr:uid="{00000000-0005-0000-0000-00007E850000}"/>
    <cellStyle name="40% - Accent5 2 9 3 2 5" xfId="19127" xr:uid="{00000000-0005-0000-0000-00007F850000}"/>
    <cellStyle name="40% - Accent5 2 9 3 3" xfId="23990" xr:uid="{00000000-0005-0000-0000-000080850000}"/>
    <cellStyle name="40% - Accent5 2 9 3 4" xfId="33715" xr:uid="{00000000-0005-0000-0000-000081850000}"/>
    <cellStyle name="40% - Accent5 2 9 3 5" xfId="43440" xr:uid="{00000000-0005-0000-0000-000082850000}"/>
    <cellStyle name="40% - Accent5 2 9 3 6" xfId="14265" xr:uid="{00000000-0005-0000-0000-000083850000}"/>
    <cellStyle name="40% - Accent5 2 9 4" xfId="6161" xr:uid="{00000000-0005-0000-0000-000084850000}"/>
    <cellStyle name="40% - Accent5 2 9 4 2" xfId="25612" xr:uid="{00000000-0005-0000-0000-000085850000}"/>
    <cellStyle name="40% - Accent5 2 9 4 3" xfId="35337" xr:uid="{00000000-0005-0000-0000-000086850000}"/>
    <cellStyle name="40% - Accent5 2 9 4 4" xfId="45062" xr:uid="{00000000-0005-0000-0000-000087850000}"/>
    <cellStyle name="40% - Accent5 2 9 4 5" xfId="15887" xr:uid="{00000000-0005-0000-0000-000088850000}"/>
    <cellStyle name="40% - Accent5 2 9 5" xfId="20750" xr:uid="{00000000-0005-0000-0000-000089850000}"/>
    <cellStyle name="40% - Accent5 2 9 6" xfId="30475" xr:uid="{00000000-0005-0000-0000-00008A850000}"/>
    <cellStyle name="40% - Accent5 2 9 7" xfId="40200" xr:uid="{00000000-0005-0000-0000-00008B850000}"/>
    <cellStyle name="40% - Accent5 2 9 8" xfId="11025" xr:uid="{00000000-0005-0000-0000-00008C850000}"/>
    <cellStyle name="40% - Accent5 2_Database (All)" xfId="1174" xr:uid="{00000000-0005-0000-0000-00008D850000}"/>
    <cellStyle name="40% - Accent5 20" xfId="9841" xr:uid="{00000000-0005-0000-0000-00008E850000}"/>
    <cellStyle name="40% - Accent5 3" xfId="81" xr:uid="{00000000-0005-0000-0000-00008F850000}"/>
    <cellStyle name="40% - Accent5 3 10" xfId="1765" xr:uid="{00000000-0005-0000-0000-000090850000}"/>
    <cellStyle name="40% - Accent5 3 10 2" xfId="6627" xr:uid="{00000000-0005-0000-0000-000091850000}"/>
    <cellStyle name="40% - Accent5 3 10 2 2" xfId="26078" xr:uid="{00000000-0005-0000-0000-000092850000}"/>
    <cellStyle name="40% - Accent5 3 10 2 3" xfId="35803" xr:uid="{00000000-0005-0000-0000-000093850000}"/>
    <cellStyle name="40% - Accent5 3 10 2 4" xfId="45528" xr:uid="{00000000-0005-0000-0000-000094850000}"/>
    <cellStyle name="40% - Accent5 3 10 2 5" xfId="16353" xr:uid="{00000000-0005-0000-0000-000095850000}"/>
    <cellStyle name="40% - Accent5 3 10 3" xfId="21216" xr:uid="{00000000-0005-0000-0000-000096850000}"/>
    <cellStyle name="40% - Accent5 3 10 4" xfId="30941" xr:uid="{00000000-0005-0000-0000-000097850000}"/>
    <cellStyle name="40% - Accent5 3 10 5" xfId="40666" xr:uid="{00000000-0005-0000-0000-000098850000}"/>
    <cellStyle name="40% - Accent5 3 10 6" xfId="11491" xr:uid="{00000000-0005-0000-0000-000099850000}"/>
    <cellStyle name="40% - Accent5 3 11" xfId="3385" xr:uid="{00000000-0005-0000-0000-00009A850000}"/>
    <cellStyle name="40% - Accent5 3 11 2" xfId="8247" xr:uid="{00000000-0005-0000-0000-00009B850000}"/>
    <cellStyle name="40% - Accent5 3 11 2 2" xfId="27698" xr:uid="{00000000-0005-0000-0000-00009C850000}"/>
    <cellStyle name="40% - Accent5 3 11 2 3" xfId="37423" xr:uid="{00000000-0005-0000-0000-00009D850000}"/>
    <cellStyle name="40% - Accent5 3 11 2 4" xfId="47148" xr:uid="{00000000-0005-0000-0000-00009E850000}"/>
    <cellStyle name="40% - Accent5 3 11 2 5" xfId="17973" xr:uid="{00000000-0005-0000-0000-00009F850000}"/>
    <cellStyle name="40% - Accent5 3 11 3" xfId="22836" xr:uid="{00000000-0005-0000-0000-0000A0850000}"/>
    <cellStyle name="40% - Accent5 3 11 4" xfId="32561" xr:uid="{00000000-0005-0000-0000-0000A1850000}"/>
    <cellStyle name="40% - Accent5 3 11 5" xfId="42286" xr:uid="{00000000-0005-0000-0000-0000A2850000}"/>
    <cellStyle name="40% - Accent5 3 11 6" xfId="13111" xr:uid="{00000000-0005-0000-0000-0000A3850000}"/>
    <cellStyle name="40% - Accent5 3 12" xfId="5007" xr:uid="{00000000-0005-0000-0000-0000A4850000}"/>
    <cellStyle name="40% - Accent5 3 12 2" xfId="24458" xr:uid="{00000000-0005-0000-0000-0000A5850000}"/>
    <cellStyle name="40% - Accent5 3 12 3" xfId="34183" xr:uid="{00000000-0005-0000-0000-0000A6850000}"/>
    <cellStyle name="40% - Accent5 3 12 4" xfId="43908" xr:uid="{00000000-0005-0000-0000-0000A7850000}"/>
    <cellStyle name="40% - Accent5 3 12 5" xfId="14733" xr:uid="{00000000-0005-0000-0000-0000A8850000}"/>
    <cellStyle name="40% - Accent5 3 13" xfId="19596" xr:uid="{00000000-0005-0000-0000-0000A9850000}"/>
    <cellStyle name="40% - Accent5 3 14" xfId="29321" xr:uid="{00000000-0005-0000-0000-0000AA850000}"/>
    <cellStyle name="40% - Accent5 3 15" xfId="39046" xr:uid="{00000000-0005-0000-0000-0000AB850000}"/>
    <cellStyle name="40% - Accent5 3 16" xfId="9871" xr:uid="{00000000-0005-0000-0000-0000AC850000}"/>
    <cellStyle name="40% - Accent5 3 2" xfId="263" xr:uid="{00000000-0005-0000-0000-0000AD850000}"/>
    <cellStyle name="40% - Accent5 3 2 10" xfId="39226" xr:uid="{00000000-0005-0000-0000-0000AE850000}"/>
    <cellStyle name="40% - Accent5 3 2 11" xfId="10051" xr:uid="{00000000-0005-0000-0000-0000AF850000}"/>
    <cellStyle name="40% - Accent5 3 2 2" xfId="1027" xr:uid="{00000000-0005-0000-0000-0000B0850000}"/>
    <cellStyle name="40% - Accent5 3 2 2 2" xfId="2665" xr:uid="{00000000-0005-0000-0000-0000B1850000}"/>
    <cellStyle name="40% - Accent5 3 2 2 2 2" xfId="7527" xr:uid="{00000000-0005-0000-0000-0000B2850000}"/>
    <cellStyle name="40% - Accent5 3 2 2 2 2 2" xfId="26978" xr:uid="{00000000-0005-0000-0000-0000B3850000}"/>
    <cellStyle name="40% - Accent5 3 2 2 2 2 3" xfId="36703" xr:uid="{00000000-0005-0000-0000-0000B4850000}"/>
    <cellStyle name="40% - Accent5 3 2 2 2 2 4" xfId="46428" xr:uid="{00000000-0005-0000-0000-0000B5850000}"/>
    <cellStyle name="40% - Accent5 3 2 2 2 2 5" xfId="17253" xr:uid="{00000000-0005-0000-0000-0000B6850000}"/>
    <cellStyle name="40% - Accent5 3 2 2 2 3" xfId="22116" xr:uid="{00000000-0005-0000-0000-0000B7850000}"/>
    <cellStyle name="40% - Accent5 3 2 2 2 4" xfId="31841" xr:uid="{00000000-0005-0000-0000-0000B8850000}"/>
    <cellStyle name="40% - Accent5 3 2 2 2 5" xfId="41566" xr:uid="{00000000-0005-0000-0000-0000B9850000}"/>
    <cellStyle name="40% - Accent5 3 2 2 2 6" xfId="12391" xr:uid="{00000000-0005-0000-0000-0000BA850000}"/>
    <cellStyle name="40% - Accent5 3 2 2 3" xfId="4285" xr:uid="{00000000-0005-0000-0000-0000BB850000}"/>
    <cellStyle name="40% - Accent5 3 2 2 3 2" xfId="9147" xr:uid="{00000000-0005-0000-0000-0000BC850000}"/>
    <cellStyle name="40% - Accent5 3 2 2 3 2 2" xfId="28598" xr:uid="{00000000-0005-0000-0000-0000BD850000}"/>
    <cellStyle name="40% - Accent5 3 2 2 3 2 3" xfId="38323" xr:uid="{00000000-0005-0000-0000-0000BE850000}"/>
    <cellStyle name="40% - Accent5 3 2 2 3 2 4" xfId="48048" xr:uid="{00000000-0005-0000-0000-0000BF850000}"/>
    <cellStyle name="40% - Accent5 3 2 2 3 2 5" xfId="18873" xr:uid="{00000000-0005-0000-0000-0000C0850000}"/>
    <cellStyle name="40% - Accent5 3 2 2 3 3" xfId="23736" xr:uid="{00000000-0005-0000-0000-0000C1850000}"/>
    <cellStyle name="40% - Accent5 3 2 2 3 4" xfId="33461" xr:uid="{00000000-0005-0000-0000-0000C2850000}"/>
    <cellStyle name="40% - Accent5 3 2 2 3 5" xfId="43186" xr:uid="{00000000-0005-0000-0000-0000C3850000}"/>
    <cellStyle name="40% - Accent5 3 2 2 3 6" xfId="14011" xr:uid="{00000000-0005-0000-0000-0000C4850000}"/>
    <cellStyle name="40% - Accent5 3 2 2 4" xfId="5907" xr:uid="{00000000-0005-0000-0000-0000C5850000}"/>
    <cellStyle name="40% - Accent5 3 2 2 4 2" xfId="25358" xr:uid="{00000000-0005-0000-0000-0000C6850000}"/>
    <cellStyle name="40% - Accent5 3 2 2 4 3" xfId="35083" xr:uid="{00000000-0005-0000-0000-0000C7850000}"/>
    <cellStyle name="40% - Accent5 3 2 2 4 4" xfId="44808" xr:uid="{00000000-0005-0000-0000-0000C8850000}"/>
    <cellStyle name="40% - Accent5 3 2 2 4 5" xfId="15633" xr:uid="{00000000-0005-0000-0000-0000C9850000}"/>
    <cellStyle name="40% - Accent5 3 2 2 5" xfId="20496" xr:uid="{00000000-0005-0000-0000-0000CA850000}"/>
    <cellStyle name="40% - Accent5 3 2 2 6" xfId="30221" xr:uid="{00000000-0005-0000-0000-0000CB850000}"/>
    <cellStyle name="40% - Accent5 3 2 2 7" xfId="39946" xr:uid="{00000000-0005-0000-0000-0000CC850000}"/>
    <cellStyle name="40% - Accent5 3 2 2 8" xfId="10771" xr:uid="{00000000-0005-0000-0000-0000CD850000}"/>
    <cellStyle name="40% - Accent5 3 2 3" xfId="1494" xr:uid="{00000000-0005-0000-0000-0000CE850000}"/>
    <cellStyle name="40% - Accent5 3 2 3 2" xfId="3115" xr:uid="{00000000-0005-0000-0000-0000CF850000}"/>
    <cellStyle name="40% - Accent5 3 2 3 2 2" xfId="7977" xr:uid="{00000000-0005-0000-0000-0000D0850000}"/>
    <cellStyle name="40% - Accent5 3 2 3 2 2 2" xfId="27428" xr:uid="{00000000-0005-0000-0000-0000D1850000}"/>
    <cellStyle name="40% - Accent5 3 2 3 2 2 3" xfId="37153" xr:uid="{00000000-0005-0000-0000-0000D2850000}"/>
    <cellStyle name="40% - Accent5 3 2 3 2 2 4" xfId="46878" xr:uid="{00000000-0005-0000-0000-0000D3850000}"/>
    <cellStyle name="40% - Accent5 3 2 3 2 2 5" xfId="17703" xr:uid="{00000000-0005-0000-0000-0000D4850000}"/>
    <cellStyle name="40% - Accent5 3 2 3 2 3" xfId="22566" xr:uid="{00000000-0005-0000-0000-0000D5850000}"/>
    <cellStyle name="40% - Accent5 3 2 3 2 4" xfId="32291" xr:uid="{00000000-0005-0000-0000-0000D6850000}"/>
    <cellStyle name="40% - Accent5 3 2 3 2 5" xfId="42016" xr:uid="{00000000-0005-0000-0000-0000D7850000}"/>
    <cellStyle name="40% - Accent5 3 2 3 2 6" xfId="12841" xr:uid="{00000000-0005-0000-0000-0000D8850000}"/>
    <cellStyle name="40% - Accent5 3 2 3 3" xfId="4735" xr:uid="{00000000-0005-0000-0000-0000D9850000}"/>
    <cellStyle name="40% - Accent5 3 2 3 3 2" xfId="9597" xr:uid="{00000000-0005-0000-0000-0000DA850000}"/>
    <cellStyle name="40% - Accent5 3 2 3 3 2 2" xfId="29048" xr:uid="{00000000-0005-0000-0000-0000DB850000}"/>
    <cellStyle name="40% - Accent5 3 2 3 3 2 3" xfId="38773" xr:uid="{00000000-0005-0000-0000-0000DC850000}"/>
    <cellStyle name="40% - Accent5 3 2 3 3 2 4" xfId="48498" xr:uid="{00000000-0005-0000-0000-0000DD850000}"/>
    <cellStyle name="40% - Accent5 3 2 3 3 2 5" xfId="19323" xr:uid="{00000000-0005-0000-0000-0000DE850000}"/>
    <cellStyle name="40% - Accent5 3 2 3 3 3" xfId="24186" xr:uid="{00000000-0005-0000-0000-0000DF850000}"/>
    <cellStyle name="40% - Accent5 3 2 3 3 4" xfId="33911" xr:uid="{00000000-0005-0000-0000-0000E0850000}"/>
    <cellStyle name="40% - Accent5 3 2 3 3 5" xfId="43636" xr:uid="{00000000-0005-0000-0000-0000E1850000}"/>
    <cellStyle name="40% - Accent5 3 2 3 3 6" xfId="14461" xr:uid="{00000000-0005-0000-0000-0000E2850000}"/>
    <cellStyle name="40% - Accent5 3 2 3 4" xfId="6357" xr:uid="{00000000-0005-0000-0000-0000E3850000}"/>
    <cellStyle name="40% - Accent5 3 2 3 4 2" xfId="25808" xr:uid="{00000000-0005-0000-0000-0000E4850000}"/>
    <cellStyle name="40% - Accent5 3 2 3 4 3" xfId="35533" xr:uid="{00000000-0005-0000-0000-0000E5850000}"/>
    <cellStyle name="40% - Accent5 3 2 3 4 4" xfId="45258" xr:uid="{00000000-0005-0000-0000-0000E6850000}"/>
    <cellStyle name="40% - Accent5 3 2 3 4 5" xfId="16083" xr:uid="{00000000-0005-0000-0000-0000E7850000}"/>
    <cellStyle name="40% - Accent5 3 2 3 5" xfId="20946" xr:uid="{00000000-0005-0000-0000-0000E8850000}"/>
    <cellStyle name="40% - Accent5 3 2 3 6" xfId="30671" xr:uid="{00000000-0005-0000-0000-0000E9850000}"/>
    <cellStyle name="40% - Accent5 3 2 3 7" xfId="40396" xr:uid="{00000000-0005-0000-0000-0000EA850000}"/>
    <cellStyle name="40% - Accent5 3 2 3 8" xfId="11221" xr:uid="{00000000-0005-0000-0000-0000EB850000}"/>
    <cellStyle name="40% - Accent5 3 2 4" xfId="665" xr:uid="{00000000-0005-0000-0000-0000EC850000}"/>
    <cellStyle name="40% - Accent5 3 2 4 2" xfId="2305" xr:uid="{00000000-0005-0000-0000-0000ED850000}"/>
    <cellStyle name="40% - Accent5 3 2 4 2 2" xfId="7167" xr:uid="{00000000-0005-0000-0000-0000EE850000}"/>
    <cellStyle name="40% - Accent5 3 2 4 2 2 2" xfId="26618" xr:uid="{00000000-0005-0000-0000-0000EF850000}"/>
    <cellStyle name="40% - Accent5 3 2 4 2 2 3" xfId="36343" xr:uid="{00000000-0005-0000-0000-0000F0850000}"/>
    <cellStyle name="40% - Accent5 3 2 4 2 2 4" xfId="46068" xr:uid="{00000000-0005-0000-0000-0000F1850000}"/>
    <cellStyle name="40% - Accent5 3 2 4 2 2 5" xfId="16893" xr:uid="{00000000-0005-0000-0000-0000F2850000}"/>
    <cellStyle name="40% - Accent5 3 2 4 2 3" xfId="21756" xr:uid="{00000000-0005-0000-0000-0000F3850000}"/>
    <cellStyle name="40% - Accent5 3 2 4 2 4" xfId="31481" xr:uid="{00000000-0005-0000-0000-0000F4850000}"/>
    <cellStyle name="40% - Accent5 3 2 4 2 5" xfId="41206" xr:uid="{00000000-0005-0000-0000-0000F5850000}"/>
    <cellStyle name="40% - Accent5 3 2 4 2 6" xfId="12031" xr:uid="{00000000-0005-0000-0000-0000F6850000}"/>
    <cellStyle name="40% - Accent5 3 2 4 3" xfId="3925" xr:uid="{00000000-0005-0000-0000-0000F7850000}"/>
    <cellStyle name="40% - Accent5 3 2 4 3 2" xfId="8787" xr:uid="{00000000-0005-0000-0000-0000F8850000}"/>
    <cellStyle name="40% - Accent5 3 2 4 3 2 2" xfId="28238" xr:uid="{00000000-0005-0000-0000-0000F9850000}"/>
    <cellStyle name="40% - Accent5 3 2 4 3 2 3" xfId="37963" xr:uid="{00000000-0005-0000-0000-0000FA850000}"/>
    <cellStyle name="40% - Accent5 3 2 4 3 2 4" xfId="47688" xr:uid="{00000000-0005-0000-0000-0000FB850000}"/>
    <cellStyle name="40% - Accent5 3 2 4 3 2 5" xfId="18513" xr:uid="{00000000-0005-0000-0000-0000FC850000}"/>
    <cellStyle name="40% - Accent5 3 2 4 3 3" xfId="23376" xr:uid="{00000000-0005-0000-0000-0000FD850000}"/>
    <cellStyle name="40% - Accent5 3 2 4 3 4" xfId="33101" xr:uid="{00000000-0005-0000-0000-0000FE850000}"/>
    <cellStyle name="40% - Accent5 3 2 4 3 5" xfId="42826" xr:uid="{00000000-0005-0000-0000-0000FF850000}"/>
    <cellStyle name="40% - Accent5 3 2 4 3 6" xfId="13651" xr:uid="{00000000-0005-0000-0000-000000860000}"/>
    <cellStyle name="40% - Accent5 3 2 4 4" xfId="5547" xr:uid="{00000000-0005-0000-0000-000001860000}"/>
    <cellStyle name="40% - Accent5 3 2 4 4 2" xfId="24998" xr:uid="{00000000-0005-0000-0000-000002860000}"/>
    <cellStyle name="40% - Accent5 3 2 4 4 3" xfId="34723" xr:uid="{00000000-0005-0000-0000-000003860000}"/>
    <cellStyle name="40% - Accent5 3 2 4 4 4" xfId="44448" xr:uid="{00000000-0005-0000-0000-000004860000}"/>
    <cellStyle name="40% - Accent5 3 2 4 4 5" xfId="15273" xr:uid="{00000000-0005-0000-0000-000005860000}"/>
    <cellStyle name="40% - Accent5 3 2 4 5" xfId="20136" xr:uid="{00000000-0005-0000-0000-000006860000}"/>
    <cellStyle name="40% - Accent5 3 2 4 6" xfId="29861" xr:uid="{00000000-0005-0000-0000-000007860000}"/>
    <cellStyle name="40% - Accent5 3 2 4 7" xfId="39586" xr:uid="{00000000-0005-0000-0000-000008860000}"/>
    <cellStyle name="40% - Accent5 3 2 4 8" xfId="10411" xr:uid="{00000000-0005-0000-0000-000009860000}"/>
    <cellStyle name="40% - Accent5 3 2 5" xfId="1945" xr:uid="{00000000-0005-0000-0000-00000A860000}"/>
    <cellStyle name="40% - Accent5 3 2 5 2" xfId="6807" xr:uid="{00000000-0005-0000-0000-00000B860000}"/>
    <cellStyle name="40% - Accent5 3 2 5 2 2" xfId="26258" xr:uid="{00000000-0005-0000-0000-00000C860000}"/>
    <cellStyle name="40% - Accent5 3 2 5 2 3" xfId="35983" xr:uid="{00000000-0005-0000-0000-00000D860000}"/>
    <cellStyle name="40% - Accent5 3 2 5 2 4" xfId="45708" xr:uid="{00000000-0005-0000-0000-00000E860000}"/>
    <cellStyle name="40% - Accent5 3 2 5 2 5" xfId="16533" xr:uid="{00000000-0005-0000-0000-00000F860000}"/>
    <cellStyle name="40% - Accent5 3 2 5 3" xfId="21396" xr:uid="{00000000-0005-0000-0000-000010860000}"/>
    <cellStyle name="40% - Accent5 3 2 5 4" xfId="31121" xr:uid="{00000000-0005-0000-0000-000011860000}"/>
    <cellStyle name="40% - Accent5 3 2 5 5" xfId="40846" xr:uid="{00000000-0005-0000-0000-000012860000}"/>
    <cellStyle name="40% - Accent5 3 2 5 6" xfId="11671" xr:uid="{00000000-0005-0000-0000-000013860000}"/>
    <cellStyle name="40% - Accent5 3 2 6" xfId="3565" xr:uid="{00000000-0005-0000-0000-000014860000}"/>
    <cellStyle name="40% - Accent5 3 2 6 2" xfId="8427" xr:uid="{00000000-0005-0000-0000-000015860000}"/>
    <cellStyle name="40% - Accent5 3 2 6 2 2" xfId="27878" xr:uid="{00000000-0005-0000-0000-000016860000}"/>
    <cellStyle name="40% - Accent5 3 2 6 2 3" xfId="37603" xr:uid="{00000000-0005-0000-0000-000017860000}"/>
    <cellStyle name="40% - Accent5 3 2 6 2 4" xfId="47328" xr:uid="{00000000-0005-0000-0000-000018860000}"/>
    <cellStyle name="40% - Accent5 3 2 6 2 5" xfId="18153" xr:uid="{00000000-0005-0000-0000-000019860000}"/>
    <cellStyle name="40% - Accent5 3 2 6 3" xfId="23016" xr:uid="{00000000-0005-0000-0000-00001A860000}"/>
    <cellStyle name="40% - Accent5 3 2 6 4" xfId="32741" xr:uid="{00000000-0005-0000-0000-00001B860000}"/>
    <cellStyle name="40% - Accent5 3 2 6 5" xfId="42466" xr:uid="{00000000-0005-0000-0000-00001C860000}"/>
    <cellStyle name="40% - Accent5 3 2 6 6" xfId="13291" xr:uid="{00000000-0005-0000-0000-00001D860000}"/>
    <cellStyle name="40% - Accent5 3 2 7" xfId="5187" xr:uid="{00000000-0005-0000-0000-00001E860000}"/>
    <cellStyle name="40% - Accent5 3 2 7 2" xfId="24638" xr:uid="{00000000-0005-0000-0000-00001F860000}"/>
    <cellStyle name="40% - Accent5 3 2 7 3" xfId="34363" xr:uid="{00000000-0005-0000-0000-000020860000}"/>
    <cellStyle name="40% - Accent5 3 2 7 4" xfId="44088" xr:uid="{00000000-0005-0000-0000-000021860000}"/>
    <cellStyle name="40% - Accent5 3 2 7 5" xfId="14913" xr:uid="{00000000-0005-0000-0000-000022860000}"/>
    <cellStyle name="40% - Accent5 3 2 8" xfId="19776" xr:uid="{00000000-0005-0000-0000-000023860000}"/>
    <cellStyle name="40% - Accent5 3 2 9" xfId="29501" xr:uid="{00000000-0005-0000-0000-000024860000}"/>
    <cellStyle name="40% - Accent5 3 3" xfId="354" xr:uid="{00000000-0005-0000-0000-000025860000}"/>
    <cellStyle name="40% - Accent5 3 3 10" xfId="39316" xr:uid="{00000000-0005-0000-0000-000026860000}"/>
    <cellStyle name="40% - Accent5 3 3 11" xfId="10141" xr:uid="{00000000-0005-0000-0000-000027860000}"/>
    <cellStyle name="40% - Accent5 3 3 2" xfId="1117" xr:uid="{00000000-0005-0000-0000-000028860000}"/>
    <cellStyle name="40% - Accent5 3 3 2 2" xfId="2755" xr:uid="{00000000-0005-0000-0000-000029860000}"/>
    <cellStyle name="40% - Accent5 3 3 2 2 2" xfId="7617" xr:uid="{00000000-0005-0000-0000-00002A860000}"/>
    <cellStyle name="40% - Accent5 3 3 2 2 2 2" xfId="27068" xr:uid="{00000000-0005-0000-0000-00002B860000}"/>
    <cellStyle name="40% - Accent5 3 3 2 2 2 3" xfId="36793" xr:uid="{00000000-0005-0000-0000-00002C860000}"/>
    <cellStyle name="40% - Accent5 3 3 2 2 2 4" xfId="46518" xr:uid="{00000000-0005-0000-0000-00002D860000}"/>
    <cellStyle name="40% - Accent5 3 3 2 2 2 5" xfId="17343" xr:uid="{00000000-0005-0000-0000-00002E860000}"/>
    <cellStyle name="40% - Accent5 3 3 2 2 3" xfId="22206" xr:uid="{00000000-0005-0000-0000-00002F860000}"/>
    <cellStyle name="40% - Accent5 3 3 2 2 4" xfId="31931" xr:uid="{00000000-0005-0000-0000-000030860000}"/>
    <cellStyle name="40% - Accent5 3 3 2 2 5" xfId="41656" xr:uid="{00000000-0005-0000-0000-000031860000}"/>
    <cellStyle name="40% - Accent5 3 3 2 2 6" xfId="12481" xr:uid="{00000000-0005-0000-0000-000032860000}"/>
    <cellStyle name="40% - Accent5 3 3 2 3" xfId="4375" xr:uid="{00000000-0005-0000-0000-000033860000}"/>
    <cellStyle name="40% - Accent5 3 3 2 3 2" xfId="9237" xr:uid="{00000000-0005-0000-0000-000034860000}"/>
    <cellStyle name="40% - Accent5 3 3 2 3 2 2" xfId="28688" xr:uid="{00000000-0005-0000-0000-000035860000}"/>
    <cellStyle name="40% - Accent5 3 3 2 3 2 3" xfId="38413" xr:uid="{00000000-0005-0000-0000-000036860000}"/>
    <cellStyle name="40% - Accent5 3 3 2 3 2 4" xfId="48138" xr:uid="{00000000-0005-0000-0000-000037860000}"/>
    <cellStyle name="40% - Accent5 3 3 2 3 2 5" xfId="18963" xr:uid="{00000000-0005-0000-0000-000038860000}"/>
    <cellStyle name="40% - Accent5 3 3 2 3 3" xfId="23826" xr:uid="{00000000-0005-0000-0000-000039860000}"/>
    <cellStyle name="40% - Accent5 3 3 2 3 4" xfId="33551" xr:uid="{00000000-0005-0000-0000-00003A860000}"/>
    <cellStyle name="40% - Accent5 3 3 2 3 5" xfId="43276" xr:uid="{00000000-0005-0000-0000-00003B860000}"/>
    <cellStyle name="40% - Accent5 3 3 2 3 6" xfId="14101" xr:uid="{00000000-0005-0000-0000-00003C860000}"/>
    <cellStyle name="40% - Accent5 3 3 2 4" xfId="5997" xr:uid="{00000000-0005-0000-0000-00003D860000}"/>
    <cellStyle name="40% - Accent5 3 3 2 4 2" xfId="25448" xr:uid="{00000000-0005-0000-0000-00003E860000}"/>
    <cellStyle name="40% - Accent5 3 3 2 4 3" xfId="35173" xr:uid="{00000000-0005-0000-0000-00003F860000}"/>
    <cellStyle name="40% - Accent5 3 3 2 4 4" xfId="44898" xr:uid="{00000000-0005-0000-0000-000040860000}"/>
    <cellStyle name="40% - Accent5 3 3 2 4 5" xfId="15723" xr:uid="{00000000-0005-0000-0000-000041860000}"/>
    <cellStyle name="40% - Accent5 3 3 2 5" xfId="20586" xr:uid="{00000000-0005-0000-0000-000042860000}"/>
    <cellStyle name="40% - Accent5 3 3 2 6" xfId="30311" xr:uid="{00000000-0005-0000-0000-000043860000}"/>
    <cellStyle name="40% - Accent5 3 3 2 7" xfId="40036" xr:uid="{00000000-0005-0000-0000-000044860000}"/>
    <cellStyle name="40% - Accent5 3 3 2 8" xfId="10861" xr:uid="{00000000-0005-0000-0000-000045860000}"/>
    <cellStyle name="40% - Accent5 3 3 3" xfId="1584" xr:uid="{00000000-0005-0000-0000-000046860000}"/>
    <cellStyle name="40% - Accent5 3 3 3 2" xfId="3205" xr:uid="{00000000-0005-0000-0000-000047860000}"/>
    <cellStyle name="40% - Accent5 3 3 3 2 2" xfId="8067" xr:uid="{00000000-0005-0000-0000-000048860000}"/>
    <cellStyle name="40% - Accent5 3 3 3 2 2 2" xfId="27518" xr:uid="{00000000-0005-0000-0000-000049860000}"/>
    <cellStyle name="40% - Accent5 3 3 3 2 2 3" xfId="37243" xr:uid="{00000000-0005-0000-0000-00004A860000}"/>
    <cellStyle name="40% - Accent5 3 3 3 2 2 4" xfId="46968" xr:uid="{00000000-0005-0000-0000-00004B860000}"/>
    <cellStyle name="40% - Accent5 3 3 3 2 2 5" xfId="17793" xr:uid="{00000000-0005-0000-0000-00004C860000}"/>
    <cellStyle name="40% - Accent5 3 3 3 2 3" xfId="22656" xr:uid="{00000000-0005-0000-0000-00004D860000}"/>
    <cellStyle name="40% - Accent5 3 3 3 2 4" xfId="32381" xr:uid="{00000000-0005-0000-0000-00004E860000}"/>
    <cellStyle name="40% - Accent5 3 3 3 2 5" xfId="42106" xr:uid="{00000000-0005-0000-0000-00004F860000}"/>
    <cellStyle name="40% - Accent5 3 3 3 2 6" xfId="12931" xr:uid="{00000000-0005-0000-0000-000050860000}"/>
    <cellStyle name="40% - Accent5 3 3 3 3" xfId="4825" xr:uid="{00000000-0005-0000-0000-000051860000}"/>
    <cellStyle name="40% - Accent5 3 3 3 3 2" xfId="9687" xr:uid="{00000000-0005-0000-0000-000052860000}"/>
    <cellStyle name="40% - Accent5 3 3 3 3 2 2" xfId="29138" xr:uid="{00000000-0005-0000-0000-000053860000}"/>
    <cellStyle name="40% - Accent5 3 3 3 3 2 3" xfId="38863" xr:uid="{00000000-0005-0000-0000-000054860000}"/>
    <cellStyle name="40% - Accent5 3 3 3 3 2 4" xfId="48588" xr:uid="{00000000-0005-0000-0000-000055860000}"/>
    <cellStyle name="40% - Accent5 3 3 3 3 2 5" xfId="19413" xr:uid="{00000000-0005-0000-0000-000056860000}"/>
    <cellStyle name="40% - Accent5 3 3 3 3 3" xfId="24276" xr:uid="{00000000-0005-0000-0000-000057860000}"/>
    <cellStyle name="40% - Accent5 3 3 3 3 4" xfId="34001" xr:uid="{00000000-0005-0000-0000-000058860000}"/>
    <cellStyle name="40% - Accent5 3 3 3 3 5" xfId="43726" xr:uid="{00000000-0005-0000-0000-000059860000}"/>
    <cellStyle name="40% - Accent5 3 3 3 3 6" xfId="14551" xr:uid="{00000000-0005-0000-0000-00005A860000}"/>
    <cellStyle name="40% - Accent5 3 3 3 4" xfId="6447" xr:uid="{00000000-0005-0000-0000-00005B860000}"/>
    <cellStyle name="40% - Accent5 3 3 3 4 2" xfId="25898" xr:uid="{00000000-0005-0000-0000-00005C860000}"/>
    <cellStyle name="40% - Accent5 3 3 3 4 3" xfId="35623" xr:uid="{00000000-0005-0000-0000-00005D860000}"/>
    <cellStyle name="40% - Accent5 3 3 3 4 4" xfId="45348" xr:uid="{00000000-0005-0000-0000-00005E860000}"/>
    <cellStyle name="40% - Accent5 3 3 3 4 5" xfId="16173" xr:uid="{00000000-0005-0000-0000-00005F860000}"/>
    <cellStyle name="40% - Accent5 3 3 3 5" xfId="21036" xr:uid="{00000000-0005-0000-0000-000060860000}"/>
    <cellStyle name="40% - Accent5 3 3 3 6" xfId="30761" xr:uid="{00000000-0005-0000-0000-000061860000}"/>
    <cellStyle name="40% - Accent5 3 3 3 7" xfId="40486" xr:uid="{00000000-0005-0000-0000-000062860000}"/>
    <cellStyle name="40% - Accent5 3 3 3 8" xfId="11311" xr:uid="{00000000-0005-0000-0000-000063860000}"/>
    <cellStyle name="40% - Accent5 3 3 4" xfId="755" xr:uid="{00000000-0005-0000-0000-000064860000}"/>
    <cellStyle name="40% - Accent5 3 3 4 2" xfId="2395" xr:uid="{00000000-0005-0000-0000-000065860000}"/>
    <cellStyle name="40% - Accent5 3 3 4 2 2" xfId="7257" xr:uid="{00000000-0005-0000-0000-000066860000}"/>
    <cellStyle name="40% - Accent5 3 3 4 2 2 2" xfId="26708" xr:uid="{00000000-0005-0000-0000-000067860000}"/>
    <cellStyle name="40% - Accent5 3 3 4 2 2 3" xfId="36433" xr:uid="{00000000-0005-0000-0000-000068860000}"/>
    <cellStyle name="40% - Accent5 3 3 4 2 2 4" xfId="46158" xr:uid="{00000000-0005-0000-0000-000069860000}"/>
    <cellStyle name="40% - Accent5 3 3 4 2 2 5" xfId="16983" xr:uid="{00000000-0005-0000-0000-00006A860000}"/>
    <cellStyle name="40% - Accent5 3 3 4 2 3" xfId="21846" xr:uid="{00000000-0005-0000-0000-00006B860000}"/>
    <cellStyle name="40% - Accent5 3 3 4 2 4" xfId="31571" xr:uid="{00000000-0005-0000-0000-00006C860000}"/>
    <cellStyle name="40% - Accent5 3 3 4 2 5" xfId="41296" xr:uid="{00000000-0005-0000-0000-00006D860000}"/>
    <cellStyle name="40% - Accent5 3 3 4 2 6" xfId="12121" xr:uid="{00000000-0005-0000-0000-00006E860000}"/>
    <cellStyle name="40% - Accent5 3 3 4 3" xfId="4015" xr:uid="{00000000-0005-0000-0000-00006F860000}"/>
    <cellStyle name="40% - Accent5 3 3 4 3 2" xfId="8877" xr:uid="{00000000-0005-0000-0000-000070860000}"/>
    <cellStyle name="40% - Accent5 3 3 4 3 2 2" xfId="28328" xr:uid="{00000000-0005-0000-0000-000071860000}"/>
    <cellStyle name="40% - Accent5 3 3 4 3 2 3" xfId="38053" xr:uid="{00000000-0005-0000-0000-000072860000}"/>
    <cellStyle name="40% - Accent5 3 3 4 3 2 4" xfId="47778" xr:uid="{00000000-0005-0000-0000-000073860000}"/>
    <cellStyle name="40% - Accent5 3 3 4 3 2 5" xfId="18603" xr:uid="{00000000-0005-0000-0000-000074860000}"/>
    <cellStyle name="40% - Accent5 3 3 4 3 3" xfId="23466" xr:uid="{00000000-0005-0000-0000-000075860000}"/>
    <cellStyle name="40% - Accent5 3 3 4 3 4" xfId="33191" xr:uid="{00000000-0005-0000-0000-000076860000}"/>
    <cellStyle name="40% - Accent5 3 3 4 3 5" xfId="42916" xr:uid="{00000000-0005-0000-0000-000077860000}"/>
    <cellStyle name="40% - Accent5 3 3 4 3 6" xfId="13741" xr:uid="{00000000-0005-0000-0000-000078860000}"/>
    <cellStyle name="40% - Accent5 3 3 4 4" xfId="5637" xr:uid="{00000000-0005-0000-0000-000079860000}"/>
    <cellStyle name="40% - Accent5 3 3 4 4 2" xfId="25088" xr:uid="{00000000-0005-0000-0000-00007A860000}"/>
    <cellStyle name="40% - Accent5 3 3 4 4 3" xfId="34813" xr:uid="{00000000-0005-0000-0000-00007B860000}"/>
    <cellStyle name="40% - Accent5 3 3 4 4 4" xfId="44538" xr:uid="{00000000-0005-0000-0000-00007C860000}"/>
    <cellStyle name="40% - Accent5 3 3 4 4 5" xfId="15363" xr:uid="{00000000-0005-0000-0000-00007D860000}"/>
    <cellStyle name="40% - Accent5 3 3 4 5" xfId="20226" xr:uid="{00000000-0005-0000-0000-00007E860000}"/>
    <cellStyle name="40% - Accent5 3 3 4 6" xfId="29951" xr:uid="{00000000-0005-0000-0000-00007F860000}"/>
    <cellStyle name="40% - Accent5 3 3 4 7" xfId="39676" xr:uid="{00000000-0005-0000-0000-000080860000}"/>
    <cellStyle name="40% - Accent5 3 3 4 8" xfId="10501" xr:uid="{00000000-0005-0000-0000-000081860000}"/>
    <cellStyle name="40% - Accent5 3 3 5" xfId="2035" xr:uid="{00000000-0005-0000-0000-000082860000}"/>
    <cellStyle name="40% - Accent5 3 3 5 2" xfId="6897" xr:uid="{00000000-0005-0000-0000-000083860000}"/>
    <cellStyle name="40% - Accent5 3 3 5 2 2" xfId="26348" xr:uid="{00000000-0005-0000-0000-000084860000}"/>
    <cellStyle name="40% - Accent5 3 3 5 2 3" xfId="36073" xr:uid="{00000000-0005-0000-0000-000085860000}"/>
    <cellStyle name="40% - Accent5 3 3 5 2 4" xfId="45798" xr:uid="{00000000-0005-0000-0000-000086860000}"/>
    <cellStyle name="40% - Accent5 3 3 5 2 5" xfId="16623" xr:uid="{00000000-0005-0000-0000-000087860000}"/>
    <cellStyle name="40% - Accent5 3 3 5 3" xfId="21486" xr:uid="{00000000-0005-0000-0000-000088860000}"/>
    <cellStyle name="40% - Accent5 3 3 5 4" xfId="31211" xr:uid="{00000000-0005-0000-0000-000089860000}"/>
    <cellStyle name="40% - Accent5 3 3 5 5" xfId="40936" xr:uid="{00000000-0005-0000-0000-00008A860000}"/>
    <cellStyle name="40% - Accent5 3 3 5 6" xfId="11761" xr:uid="{00000000-0005-0000-0000-00008B860000}"/>
    <cellStyle name="40% - Accent5 3 3 6" xfId="3655" xr:uid="{00000000-0005-0000-0000-00008C860000}"/>
    <cellStyle name="40% - Accent5 3 3 6 2" xfId="8517" xr:uid="{00000000-0005-0000-0000-00008D860000}"/>
    <cellStyle name="40% - Accent5 3 3 6 2 2" xfId="27968" xr:uid="{00000000-0005-0000-0000-00008E860000}"/>
    <cellStyle name="40% - Accent5 3 3 6 2 3" xfId="37693" xr:uid="{00000000-0005-0000-0000-00008F860000}"/>
    <cellStyle name="40% - Accent5 3 3 6 2 4" xfId="47418" xr:uid="{00000000-0005-0000-0000-000090860000}"/>
    <cellStyle name="40% - Accent5 3 3 6 2 5" xfId="18243" xr:uid="{00000000-0005-0000-0000-000091860000}"/>
    <cellStyle name="40% - Accent5 3 3 6 3" xfId="23106" xr:uid="{00000000-0005-0000-0000-000092860000}"/>
    <cellStyle name="40% - Accent5 3 3 6 4" xfId="32831" xr:uid="{00000000-0005-0000-0000-000093860000}"/>
    <cellStyle name="40% - Accent5 3 3 6 5" xfId="42556" xr:uid="{00000000-0005-0000-0000-000094860000}"/>
    <cellStyle name="40% - Accent5 3 3 6 6" xfId="13381" xr:uid="{00000000-0005-0000-0000-000095860000}"/>
    <cellStyle name="40% - Accent5 3 3 7" xfId="5277" xr:uid="{00000000-0005-0000-0000-000096860000}"/>
    <cellStyle name="40% - Accent5 3 3 7 2" xfId="24728" xr:uid="{00000000-0005-0000-0000-000097860000}"/>
    <cellStyle name="40% - Accent5 3 3 7 3" xfId="34453" xr:uid="{00000000-0005-0000-0000-000098860000}"/>
    <cellStyle name="40% - Accent5 3 3 7 4" xfId="44178" xr:uid="{00000000-0005-0000-0000-000099860000}"/>
    <cellStyle name="40% - Accent5 3 3 7 5" xfId="15003" xr:uid="{00000000-0005-0000-0000-00009A860000}"/>
    <cellStyle name="40% - Accent5 3 3 8" xfId="19866" xr:uid="{00000000-0005-0000-0000-00009B860000}"/>
    <cellStyle name="40% - Accent5 3 3 9" xfId="29591" xr:uid="{00000000-0005-0000-0000-00009C860000}"/>
    <cellStyle name="40% - Accent5 3 4" xfId="172" xr:uid="{00000000-0005-0000-0000-00009D860000}"/>
    <cellStyle name="40% - Accent5 3 4 10" xfId="39136" xr:uid="{00000000-0005-0000-0000-00009E860000}"/>
    <cellStyle name="40% - Accent5 3 4 11" xfId="9961" xr:uid="{00000000-0005-0000-0000-00009F860000}"/>
    <cellStyle name="40% - Accent5 3 4 2" xfId="936" xr:uid="{00000000-0005-0000-0000-0000A0860000}"/>
    <cellStyle name="40% - Accent5 3 4 2 2" xfId="2575" xr:uid="{00000000-0005-0000-0000-0000A1860000}"/>
    <cellStyle name="40% - Accent5 3 4 2 2 2" xfId="7437" xr:uid="{00000000-0005-0000-0000-0000A2860000}"/>
    <cellStyle name="40% - Accent5 3 4 2 2 2 2" xfId="26888" xr:uid="{00000000-0005-0000-0000-0000A3860000}"/>
    <cellStyle name="40% - Accent5 3 4 2 2 2 3" xfId="36613" xr:uid="{00000000-0005-0000-0000-0000A4860000}"/>
    <cellStyle name="40% - Accent5 3 4 2 2 2 4" xfId="46338" xr:uid="{00000000-0005-0000-0000-0000A5860000}"/>
    <cellStyle name="40% - Accent5 3 4 2 2 2 5" xfId="17163" xr:uid="{00000000-0005-0000-0000-0000A6860000}"/>
    <cellStyle name="40% - Accent5 3 4 2 2 3" xfId="22026" xr:uid="{00000000-0005-0000-0000-0000A7860000}"/>
    <cellStyle name="40% - Accent5 3 4 2 2 4" xfId="31751" xr:uid="{00000000-0005-0000-0000-0000A8860000}"/>
    <cellStyle name="40% - Accent5 3 4 2 2 5" xfId="41476" xr:uid="{00000000-0005-0000-0000-0000A9860000}"/>
    <cellStyle name="40% - Accent5 3 4 2 2 6" xfId="12301" xr:uid="{00000000-0005-0000-0000-0000AA860000}"/>
    <cellStyle name="40% - Accent5 3 4 2 3" xfId="4195" xr:uid="{00000000-0005-0000-0000-0000AB860000}"/>
    <cellStyle name="40% - Accent5 3 4 2 3 2" xfId="9057" xr:uid="{00000000-0005-0000-0000-0000AC860000}"/>
    <cellStyle name="40% - Accent5 3 4 2 3 2 2" xfId="28508" xr:uid="{00000000-0005-0000-0000-0000AD860000}"/>
    <cellStyle name="40% - Accent5 3 4 2 3 2 3" xfId="38233" xr:uid="{00000000-0005-0000-0000-0000AE860000}"/>
    <cellStyle name="40% - Accent5 3 4 2 3 2 4" xfId="47958" xr:uid="{00000000-0005-0000-0000-0000AF860000}"/>
    <cellStyle name="40% - Accent5 3 4 2 3 2 5" xfId="18783" xr:uid="{00000000-0005-0000-0000-0000B0860000}"/>
    <cellStyle name="40% - Accent5 3 4 2 3 3" xfId="23646" xr:uid="{00000000-0005-0000-0000-0000B1860000}"/>
    <cellStyle name="40% - Accent5 3 4 2 3 4" xfId="33371" xr:uid="{00000000-0005-0000-0000-0000B2860000}"/>
    <cellStyle name="40% - Accent5 3 4 2 3 5" xfId="43096" xr:uid="{00000000-0005-0000-0000-0000B3860000}"/>
    <cellStyle name="40% - Accent5 3 4 2 3 6" xfId="13921" xr:uid="{00000000-0005-0000-0000-0000B4860000}"/>
    <cellStyle name="40% - Accent5 3 4 2 4" xfId="5817" xr:uid="{00000000-0005-0000-0000-0000B5860000}"/>
    <cellStyle name="40% - Accent5 3 4 2 4 2" xfId="25268" xr:uid="{00000000-0005-0000-0000-0000B6860000}"/>
    <cellStyle name="40% - Accent5 3 4 2 4 3" xfId="34993" xr:uid="{00000000-0005-0000-0000-0000B7860000}"/>
    <cellStyle name="40% - Accent5 3 4 2 4 4" xfId="44718" xr:uid="{00000000-0005-0000-0000-0000B8860000}"/>
    <cellStyle name="40% - Accent5 3 4 2 4 5" xfId="15543" xr:uid="{00000000-0005-0000-0000-0000B9860000}"/>
    <cellStyle name="40% - Accent5 3 4 2 5" xfId="20406" xr:uid="{00000000-0005-0000-0000-0000BA860000}"/>
    <cellStyle name="40% - Accent5 3 4 2 6" xfId="30131" xr:uid="{00000000-0005-0000-0000-0000BB860000}"/>
    <cellStyle name="40% - Accent5 3 4 2 7" xfId="39856" xr:uid="{00000000-0005-0000-0000-0000BC860000}"/>
    <cellStyle name="40% - Accent5 3 4 2 8" xfId="10681" xr:uid="{00000000-0005-0000-0000-0000BD860000}"/>
    <cellStyle name="40% - Accent5 3 4 3" xfId="1404" xr:uid="{00000000-0005-0000-0000-0000BE860000}"/>
    <cellStyle name="40% - Accent5 3 4 3 2" xfId="3025" xr:uid="{00000000-0005-0000-0000-0000BF860000}"/>
    <cellStyle name="40% - Accent5 3 4 3 2 2" xfId="7887" xr:uid="{00000000-0005-0000-0000-0000C0860000}"/>
    <cellStyle name="40% - Accent5 3 4 3 2 2 2" xfId="27338" xr:uid="{00000000-0005-0000-0000-0000C1860000}"/>
    <cellStyle name="40% - Accent5 3 4 3 2 2 3" xfId="37063" xr:uid="{00000000-0005-0000-0000-0000C2860000}"/>
    <cellStyle name="40% - Accent5 3 4 3 2 2 4" xfId="46788" xr:uid="{00000000-0005-0000-0000-0000C3860000}"/>
    <cellStyle name="40% - Accent5 3 4 3 2 2 5" xfId="17613" xr:uid="{00000000-0005-0000-0000-0000C4860000}"/>
    <cellStyle name="40% - Accent5 3 4 3 2 3" xfId="22476" xr:uid="{00000000-0005-0000-0000-0000C5860000}"/>
    <cellStyle name="40% - Accent5 3 4 3 2 4" xfId="32201" xr:uid="{00000000-0005-0000-0000-0000C6860000}"/>
    <cellStyle name="40% - Accent5 3 4 3 2 5" xfId="41926" xr:uid="{00000000-0005-0000-0000-0000C7860000}"/>
    <cellStyle name="40% - Accent5 3 4 3 2 6" xfId="12751" xr:uid="{00000000-0005-0000-0000-0000C8860000}"/>
    <cellStyle name="40% - Accent5 3 4 3 3" xfId="4645" xr:uid="{00000000-0005-0000-0000-0000C9860000}"/>
    <cellStyle name="40% - Accent5 3 4 3 3 2" xfId="9507" xr:uid="{00000000-0005-0000-0000-0000CA860000}"/>
    <cellStyle name="40% - Accent5 3 4 3 3 2 2" xfId="28958" xr:uid="{00000000-0005-0000-0000-0000CB860000}"/>
    <cellStyle name="40% - Accent5 3 4 3 3 2 3" xfId="38683" xr:uid="{00000000-0005-0000-0000-0000CC860000}"/>
    <cellStyle name="40% - Accent5 3 4 3 3 2 4" xfId="48408" xr:uid="{00000000-0005-0000-0000-0000CD860000}"/>
    <cellStyle name="40% - Accent5 3 4 3 3 2 5" xfId="19233" xr:uid="{00000000-0005-0000-0000-0000CE860000}"/>
    <cellStyle name="40% - Accent5 3 4 3 3 3" xfId="24096" xr:uid="{00000000-0005-0000-0000-0000CF860000}"/>
    <cellStyle name="40% - Accent5 3 4 3 3 4" xfId="33821" xr:uid="{00000000-0005-0000-0000-0000D0860000}"/>
    <cellStyle name="40% - Accent5 3 4 3 3 5" xfId="43546" xr:uid="{00000000-0005-0000-0000-0000D1860000}"/>
    <cellStyle name="40% - Accent5 3 4 3 3 6" xfId="14371" xr:uid="{00000000-0005-0000-0000-0000D2860000}"/>
    <cellStyle name="40% - Accent5 3 4 3 4" xfId="6267" xr:uid="{00000000-0005-0000-0000-0000D3860000}"/>
    <cellStyle name="40% - Accent5 3 4 3 4 2" xfId="25718" xr:uid="{00000000-0005-0000-0000-0000D4860000}"/>
    <cellStyle name="40% - Accent5 3 4 3 4 3" xfId="35443" xr:uid="{00000000-0005-0000-0000-0000D5860000}"/>
    <cellStyle name="40% - Accent5 3 4 3 4 4" xfId="45168" xr:uid="{00000000-0005-0000-0000-0000D6860000}"/>
    <cellStyle name="40% - Accent5 3 4 3 4 5" xfId="15993" xr:uid="{00000000-0005-0000-0000-0000D7860000}"/>
    <cellStyle name="40% - Accent5 3 4 3 5" xfId="20856" xr:uid="{00000000-0005-0000-0000-0000D8860000}"/>
    <cellStyle name="40% - Accent5 3 4 3 6" xfId="30581" xr:uid="{00000000-0005-0000-0000-0000D9860000}"/>
    <cellStyle name="40% - Accent5 3 4 3 7" xfId="40306" xr:uid="{00000000-0005-0000-0000-0000DA860000}"/>
    <cellStyle name="40% - Accent5 3 4 3 8" xfId="11131" xr:uid="{00000000-0005-0000-0000-0000DB860000}"/>
    <cellStyle name="40% - Accent5 3 4 4" xfId="575" xr:uid="{00000000-0005-0000-0000-0000DC860000}"/>
    <cellStyle name="40% - Accent5 3 4 4 2" xfId="2215" xr:uid="{00000000-0005-0000-0000-0000DD860000}"/>
    <cellStyle name="40% - Accent5 3 4 4 2 2" xfId="7077" xr:uid="{00000000-0005-0000-0000-0000DE860000}"/>
    <cellStyle name="40% - Accent5 3 4 4 2 2 2" xfId="26528" xr:uid="{00000000-0005-0000-0000-0000DF860000}"/>
    <cellStyle name="40% - Accent5 3 4 4 2 2 3" xfId="36253" xr:uid="{00000000-0005-0000-0000-0000E0860000}"/>
    <cellStyle name="40% - Accent5 3 4 4 2 2 4" xfId="45978" xr:uid="{00000000-0005-0000-0000-0000E1860000}"/>
    <cellStyle name="40% - Accent5 3 4 4 2 2 5" xfId="16803" xr:uid="{00000000-0005-0000-0000-0000E2860000}"/>
    <cellStyle name="40% - Accent5 3 4 4 2 3" xfId="21666" xr:uid="{00000000-0005-0000-0000-0000E3860000}"/>
    <cellStyle name="40% - Accent5 3 4 4 2 4" xfId="31391" xr:uid="{00000000-0005-0000-0000-0000E4860000}"/>
    <cellStyle name="40% - Accent5 3 4 4 2 5" xfId="41116" xr:uid="{00000000-0005-0000-0000-0000E5860000}"/>
    <cellStyle name="40% - Accent5 3 4 4 2 6" xfId="11941" xr:uid="{00000000-0005-0000-0000-0000E6860000}"/>
    <cellStyle name="40% - Accent5 3 4 4 3" xfId="3835" xr:uid="{00000000-0005-0000-0000-0000E7860000}"/>
    <cellStyle name="40% - Accent5 3 4 4 3 2" xfId="8697" xr:uid="{00000000-0005-0000-0000-0000E8860000}"/>
    <cellStyle name="40% - Accent5 3 4 4 3 2 2" xfId="28148" xr:uid="{00000000-0005-0000-0000-0000E9860000}"/>
    <cellStyle name="40% - Accent5 3 4 4 3 2 3" xfId="37873" xr:uid="{00000000-0005-0000-0000-0000EA860000}"/>
    <cellStyle name="40% - Accent5 3 4 4 3 2 4" xfId="47598" xr:uid="{00000000-0005-0000-0000-0000EB860000}"/>
    <cellStyle name="40% - Accent5 3 4 4 3 2 5" xfId="18423" xr:uid="{00000000-0005-0000-0000-0000EC860000}"/>
    <cellStyle name="40% - Accent5 3 4 4 3 3" xfId="23286" xr:uid="{00000000-0005-0000-0000-0000ED860000}"/>
    <cellStyle name="40% - Accent5 3 4 4 3 4" xfId="33011" xr:uid="{00000000-0005-0000-0000-0000EE860000}"/>
    <cellStyle name="40% - Accent5 3 4 4 3 5" xfId="42736" xr:uid="{00000000-0005-0000-0000-0000EF860000}"/>
    <cellStyle name="40% - Accent5 3 4 4 3 6" xfId="13561" xr:uid="{00000000-0005-0000-0000-0000F0860000}"/>
    <cellStyle name="40% - Accent5 3 4 4 4" xfId="5457" xr:uid="{00000000-0005-0000-0000-0000F1860000}"/>
    <cellStyle name="40% - Accent5 3 4 4 4 2" xfId="24908" xr:uid="{00000000-0005-0000-0000-0000F2860000}"/>
    <cellStyle name="40% - Accent5 3 4 4 4 3" xfId="34633" xr:uid="{00000000-0005-0000-0000-0000F3860000}"/>
    <cellStyle name="40% - Accent5 3 4 4 4 4" xfId="44358" xr:uid="{00000000-0005-0000-0000-0000F4860000}"/>
    <cellStyle name="40% - Accent5 3 4 4 4 5" xfId="15183" xr:uid="{00000000-0005-0000-0000-0000F5860000}"/>
    <cellStyle name="40% - Accent5 3 4 4 5" xfId="20046" xr:uid="{00000000-0005-0000-0000-0000F6860000}"/>
    <cellStyle name="40% - Accent5 3 4 4 6" xfId="29771" xr:uid="{00000000-0005-0000-0000-0000F7860000}"/>
    <cellStyle name="40% - Accent5 3 4 4 7" xfId="39496" xr:uid="{00000000-0005-0000-0000-0000F8860000}"/>
    <cellStyle name="40% - Accent5 3 4 4 8" xfId="10321" xr:uid="{00000000-0005-0000-0000-0000F9860000}"/>
    <cellStyle name="40% - Accent5 3 4 5" xfId="1855" xr:uid="{00000000-0005-0000-0000-0000FA860000}"/>
    <cellStyle name="40% - Accent5 3 4 5 2" xfId="6717" xr:uid="{00000000-0005-0000-0000-0000FB860000}"/>
    <cellStyle name="40% - Accent5 3 4 5 2 2" xfId="26168" xr:uid="{00000000-0005-0000-0000-0000FC860000}"/>
    <cellStyle name="40% - Accent5 3 4 5 2 3" xfId="35893" xr:uid="{00000000-0005-0000-0000-0000FD860000}"/>
    <cellStyle name="40% - Accent5 3 4 5 2 4" xfId="45618" xr:uid="{00000000-0005-0000-0000-0000FE860000}"/>
    <cellStyle name="40% - Accent5 3 4 5 2 5" xfId="16443" xr:uid="{00000000-0005-0000-0000-0000FF860000}"/>
    <cellStyle name="40% - Accent5 3 4 5 3" xfId="21306" xr:uid="{00000000-0005-0000-0000-000000870000}"/>
    <cellStyle name="40% - Accent5 3 4 5 4" xfId="31031" xr:uid="{00000000-0005-0000-0000-000001870000}"/>
    <cellStyle name="40% - Accent5 3 4 5 5" xfId="40756" xr:uid="{00000000-0005-0000-0000-000002870000}"/>
    <cellStyle name="40% - Accent5 3 4 5 6" xfId="11581" xr:uid="{00000000-0005-0000-0000-000003870000}"/>
    <cellStyle name="40% - Accent5 3 4 6" xfId="3475" xr:uid="{00000000-0005-0000-0000-000004870000}"/>
    <cellStyle name="40% - Accent5 3 4 6 2" xfId="8337" xr:uid="{00000000-0005-0000-0000-000005870000}"/>
    <cellStyle name="40% - Accent5 3 4 6 2 2" xfId="27788" xr:uid="{00000000-0005-0000-0000-000006870000}"/>
    <cellStyle name="40% - Accent5 3 4 6 2 3" xfId="37513" xr:uid="{00000000-0005-0000-0000-000007870000}"/>
    <cellStyle name="40% - Accent5 3 4 6 2 4" xfId="47238" xr:uid="{00000000-0005-0000-0000-000008870000}"/>
    <cellStyle name="40% - Accent5 3 4 6 2 5" xfId="18063" xr:uid="{00000000-0005-0000-0000-000009870000}"/>
    <cellStyle name="40% - Accent5 3 4 6 3" xfId="22926" xr:uid="{00000000-0005-0000-0000-00000A870000}"/>
    <cellStyle name="40% - Accent5 3 4 6 4" xfId="32651" xr:uid="{00000000-0005-0000-0000-00000B870000}"/>
    <cellStyle name="40% - Accent5 3 4 6 5" xfId="42376" xr:uid="{00000000-0005-0000-0000-00000C870000}"/>
    <cellStyle name="40% - Accent5 3 4 6 6" xfId="13201" xr:uid="{00000000-0005-0000-0000-00000D870000}"/>
    <cellStyle name="40% - Accent5 3 4 7" xfId="5097" xr:uid="{00000000-0005-0000-0000-00000E870000}"/>
    <cellStyle name="40% - Accent5 3 4 7 2" xfId="24548" xr:uid="{00000000-0005-0000-0000-00000F870000}"/>
    <cellStyle name="40% - Accent5 3 4 7 3" xfId="34273" xr:uid="{00000000-0005-0000-0000-000010870000}"/>
    <cellStyle name="40% - Accent5 3 4 7 4" xfId="43998" xr:uid="{00000000-0005-0000-0000-000011870000}"/>
    <cellStyle name="40% - Accent5 3 4 7 5" xfId="14823" xr:uid="{00000000-0005-0000-0000-000012870000}"/>
    <cellStyle name="40% - Accent5 3 4 8" xfId="19686" xr:uid="{00000000-0005-0000-0000-000013870000}"/>
    <cellStyle name="40% - Accent5 3 4 9" xfId="29411" xr:uid="{00000000-0005-0000-0000-000014870000}"/>
    <cellStyle name="40% - Accent5 3 5" xfId="846" xr:uid="{00000000-0005-0000-0000-000015870000}"/>
    <cellStyle name="40% - Accent5 3 5 2" xfId="2485" xr:uid="{00000000-0005-0000-0000-000016870000}"/>
    <cellStyle name="40% - Accent5 3 5 2 2" xfId="7347" xr:uid="{00000000-0005-0000-0000-000017870000}"/>
    <cellStyle name="40% - Accent5 3 5 2 2 2" xfId="26798" xr:uid="{00000000-0005-0000-0000-000018870000}"/>
    <cellStyle name="40% - Accent5 3 5 2 2 3" xfId="36523" xr:uid="{00000000-0005-0000-0000-000019870000}"/>
    <cellStyle name="40% - Accent5 3 5 2 2 4" xfId="46248" xr:uid="{00000000-0005-0000-0000-00001A870000}"/>
    <cellStyle name="40% - Accent5 3 5 2 2 5" xfId="17073" xr:uid="{00000000-0005-0000-0000-00001B870000}"/>
    <cellStyle name="40% - Accent5 3 5 2 3" xfId="21936" xr:uid="{00000000-0005-0000-0000-00001C870000}"/>
    <cellStyle name="40% - Accent5 3 5 2 4" xfId="31661" xr:uid="{00000000-0005-0000-0000-00001D870000}"/>
    <cellStyle name="40% - Accent5 3 5 2 5" xfId="41386" xr:uid="{00000000-0005-0000-0000-00001E870000}"/>
    <cellStyle name="40% - Accent5 3 5 2 6" xfId="12211" xr:uid="{00000000-0005-0000-0000-00001F870000}"/>
    <cellStyle name="40% - Accent5 3 5 3" xfId="4105" xr:uid="{00000000-0005-0000-0000-000020870000}"/>
    <cellStyle name="40% - Accent5 3 5 3 2" xfId="8967" xr:uid="{00000000-0005-0000-0000-000021870000}"/>
    <cellStyle name="40% - Accent5 3 5 3 2 2" xfId="28418" xr:uid="{00000000-0005-0000-0000-000022870000}"/>
    <cellStyle name="40% - Accent5 3 5 3 2 3" xfId="38143" xr:uid="{00000000-0005-0000-0000-000023870000}"/>
    <cellStyle name="40% - Accent5 3 5 3 2 4" xfId="47868" xr:uid="{00000000-0005-0000-0000-000024870000}"/>
    <cellStyle name="40% - Accent5 3 5 3 2 5" xfId="18693" xr:uid="{00000000-0005-0000-0000-000025870000}"/>
    <cellStyle name="40% - Accent5 3 5 3 3" xfId="23556" xr:uid="{00000000-0005-0000-0000-000026870000}"/>
    <cellStyle name="40% - Accent5 3 5 3 4" xfId="33281" xr:uid="{00000000-0005-0000-0000-000027870000}"/>
    <cellStyle name="40% - Accent5 3 5 3 5" xfId="43006" xr:uid="{00000000-0005-0000-0000-000028870000}"/>
    <cellStyle name="40% - Accent5 3 5 3 6" xfId="13831" xr:uid="{00000000-0005-0000-0000-000029870000}"/>
    <cellStyle name="40% - Accent5 3 5 4" xfId="5727" xr:uid="{00000000-0005-0000-0000-00002A870000}"/>
    <cellStyle name="40% - Accent5 3 5 4 2" xfId="25178" xr:uid="{00000000-0005-0000-0000-00002B870000}"/>
    <cellStyle name="40% - Accent5 3 5 4 3" xfId="34903" xr:uid="{00000000-0005-0000-0000-00002C870000}"/>
    <cellStyle name="40% - Accent5 3 5 4 4" xfId="44628" xr:uid="{00000000-0005-0000-0000-00002D870000}"/>
    <cellStyle name="40% - Accent5 3 5 4 5" xfId="15453" xr:uid="{00000000-0005-0000-0000-00002E870000}"/>
    <cellStyle name="40% - Accent5 3 5 5" xfId="20316" xr:uid="{00000000-0005-0000-0000-00002F870000}"/>
    <cellStyle name="40% - Accent5 3 5 6" xfId="30041" xr:uid="{00000000-0005-0000-0000-000030870000}"/>
    <cellStyle name="40% - Accent5 3 5 7" xfId="39766" xr:uid="{00000000-0005-0000-0000-000031870000}"/>
    <cellStyle name="40% - Accent5 3 5 8" xfId="10591" xr:uid="{00000000-0005-0000-0000-000032870000}"/>
    <cellStyle name="40% - Accent5 3 6" xfId="1224" xr:uid="{00000000-0005-0000-0000-000033870000}"/>
    <cellStyle name="40% - Accent5 3 6 2" xfId="2845" xr:uid="{00000000-0005-0000-0000-000034870000}"/>
    <cellStyle name="40% - Accent5 3 6 2 2" xfId="7707" xr:uid="{00000000-0005-0000-0000-000035870000}"/>
    <cellStyle name="40% - Accent5 3 6 2 2 2" xfId="27158" xr:uid="{00000000-0005-0000-0000-000036870000}"/>
    <cellStyle name="40% - Accent5 3 6 2 2 3" xfId="36883" xr:uid="{00000000-0005-0000-0000-000037870000}"/>
    <cellStyle name="40% - Accent5 3 6 2 2 4" xfId="46608" xr:uid="{00000000-0005-0000-0000-000038870000}"/>
    <cellStyle name="40% - Accent5 3 6 2 2 5" xfId="17433" xr:uid="{00000000-0005-0000-0000-000039870000}"/>
    <cellStyle name="40% - Accent5 3 6 2 3" xfId="22296" xr:uid="{00000000-0005-0000-0000-00003A870000}"/>
    <cellStyle name="40% - Accent5 3 6 2 4" xfId="32021" xr:uid="{00000000-0005-0000-0000-00003B870000}"/>
    <cellStyle name="40% - Accent5 3 6 2 5" xfId="41746" xr:uid="{00000000-0005-0000-0000-00003C870000}"/>
    <cellStyle name="40% - Accent5 3 6 2 6" xfId="12571" xr:uid="{00000000-0005-0000-0000-00003D870000}"/>
    <cellStyle name="40% - Accent5 3 6 3" xfId="4465" xr:uid="{00000000-0005-0000-0000-00003E870000}"/>
    <cellStyle name="40% - Accent5 3 6 3 2" xfId="9327" xr:uid="{00000000-0005-0000-0000-00003F870000}"/>
    <cellStyle name="40% - Accent5 3 6 3 2 2" xfId="28778" xr:uid="{00000000-0005-0000-0000-000040870000}"/>
    <cellStyle name="40% - Accent5 3 6 3 2 3" xfId="38503" xr:uid="{00000000-0005-0000-0000-000041870000}"/>
    <cellStyle name="40% - Accent5 3 6 3 2 4" xfId="48228" xr:uid="{00000000-0005-0000-0000-000042870000}"/>
    <cellStyle name="40% - Accent5 3 6 3 2 5" xfId="19053" xr:uid="{00000000-0005-0000-0000-000043870000}"/>
    <cellStyle name="40% - Accent5 3 6 3 3" xfId="23916" xr:uid="{00000000-0005-0000-0000-000044870000}"/>
    <cellStyle name="40% - Accent5 3 6 3 4" xfId="33641" xr:uid="{00000000-0005-0000-0000-000045870000}"/>
    <cellStyle name="40% - Accent5 3 6 3 5" xfId="43366" xr:uid="{00000000-0005-0000-0000-000046870000}"/>
    <cellStyle name="40% - Accent5 3 6 3 6" xfId="14191" xr:uid="{00000000-0005-0000-0000-000047870000}"/>
    <cellStyle name="40% - Accent5 3 6 4" xfId="6087" xr:uid="{00000000-0005-0000-0000-000048870000}"/>
    <cellStyle name="40% - Accent5 3 6 4 2" xfId="25538" xr:uid="{00000000-0005-0000-0000-000049870000}"/>
    <cellStyle name="40% - Accent5 3 6 4 3" xfId="35263" xr:uid="{00000000-0005-0000-0000-00004A870000}"/>
    <cellStyle name="40% - Accent5 3 6 4 4" xfId="44988" xr:uid="{00000000-0005-0000-0000-00004B870000}"/>
    <cellStyle name="40% - Accent5 3 6 4 5" xfId="15813" xr:uid="{00000000-0005-0000-0000-00004C870000}"/>
    <cellStyle name="40% - Accent5 3 6 5" xfId="20676" xr:uid="{00000000-0005-0000-0000-00004D870000}"/>
    <cellStyle name="40% - Accent5 3 6 6" xfId="30401" xr:uid="{00000000-0005-0000-0000-00004E870000}"/>
    <cellStyle name="40% - Accent5 3 6 7" xfId="40126" xr:uid="{00000000-0005-0000-0000-00004F870000}"/>
    <cellStyle name="40% - Accent5 3 6 8" xfId="10951" xr:uid="{00000000-0005-0000-0000-000050870000}"/>
    <cellStyle name="40% - Accent5 3 7" xfId="1314" xr:uid="{00000000-0005-0000-0000-000051870000}"/>
    <cellStyle name="40% - Accent5 3 7 2" xfId="2935" xr:uid="{00000000-0005-0000-0000-000052870000}"/>
    <cellStyle name="40% - Accent5 3 7 2 2" xfId="7797" xr:uid="{00000000-0005-0000-0000-000053870000}"/>
    <cellStyle name="40% - Accent5 3 7 2 2 2" xfId="27248" xr:uid="{00000000-0005-0000-0000-000054870000}"/>
    <cellStyle name="40% - Accent5 3 7 2 2 3" xfId="36973" xr:uid="{00000000-0005-0000-0000-000055870000}"/>
    <cellStyle name="40% - Accent5 3 7 2 2 4" xfId="46698" xr:uid="{00000000-0005-0000-0000-000056870000}"/>
    <cellStyle name="40% - Accent5 3 7 2 2 5" xfId="17523" xr:uid="{00000000-0005-0000-0000-000057870000}"/>
    <cellStyle name="40% - Accent5 3 7 2 3" xfId="22386" xr:uid="{00000000-0005-0000-0000-000058870000}"/>
    <cellStyle name="40% - Accent5 3 7 2 4" xfId="32111" xr:uid="{00000000-0005-0000-0000-000059870000}"/>
    <cellStyle name="40% - Accent5 3 7 2 5" xfId="41836" xr:uid="{00000000-0005-0000-0000-00005A870000}"/>
    <cellStyle name="40% - Accent5 3 7 2 6" xfId="12661" xr:uid="{00000000-0005-0000-0000-00005B870000}"/>
    <cellStyle name="40% - Accent5 3 7 3" xfId="4555" xr:uid="{00000000-0005-0000-0000-00005C870000}"/>
    <cellStyle name="40% - Accent5 3 7 3 2" xfId="9417" xr:uid="{00000000-0005-0000-0000-00005D870000}"/>
    <cellStyle name="40% - Accent5 3 7 3 2 2" xfId="28868" xr:uid="{00000000-0005-0000-0000-00005E870000}"/>
    <cellStyle name="40% - Accent5 3 7 3 2 3" xfId="38593" xr:uid="{00000000-0005-0000-0000-00005F870000}"/>
    <cellStyle name="40% - Accent5 3 7 3 2 4" xfId="48318" xr:uid="{00000000-0005-0000-0000-000060870000}"/>
    <cellStyle name="40% - Accent5 3 7 3 2 5" xfId="19143" xr:uid="{00000000-0005-0000-0000-000061870000}"/>
    <cellStyle name="40% - Accent5 3 7 3 3" xfId="24006" xr:uid="{00000000-0005-0000-0000-000062870000}"/>
    <cellStyle name="40% - Accent5 3 7 3 4" xfId="33731" xr:uid="{00000000-0005-0000-0000-000063870000}"/>
    <cellStyle name="40% - Accent5 3 7 3 5" xfId="43456" xr:uid="{00000000-0005-0000-0000-000064870000}"/>
    <cellStyle name="40% - Accent5 3 7 3 6" xfId="14281" xr:uid="{00000000-0005-0000-0000-000065870000}"/>
    <cellStyle name="40% - Accent5 3 7 4" xfId="6177" xr:uid="{00000000-0005-0000-0000-000066870000}"/>
    <cellStyle name="40% - Accent5 3 7 4 2" xfId="25628" xr:uid="{00000000-0005-0000-0000-000067870000}"/>
    <cellStyle name="40% - Accent5 3 7 4 3" xfId="35353" xr:uid="{00000000-0005-0000-0000-000068870000}"/>
    <cellStyle name="40% - Accent5 3 7 4 4" xfId="45078" xr:uid="{00000000-0005-0000-0000-000069870000}"/>
    <cellStyle name="40% - Accent5 3 7 4 5" xfId="15903" xr:uid="{00000000-0005-0000-0000-00006A870000}"/>
    <cellStyle name="40% - Accent5 3 7 5" xfId="20766" xr:uid="{00000000-0005-0000-0000-00006B870000}"/>
    <cellStyle name="40% - Accent5 3 7 6" xfId="30491" xr:uid="{00000000-0005-0000-0000-00006C870000}"/>
    <cellStyle name="40% - Accent5 3 7 7" xfId="40216" xr:uid="{00000000-0005-0000-0000-00006D870000}"/>
    <cellStyle name="40% - Accent5 3 7 8" xfId="11041" xr:uid="{00000000-0005-0000-0000-00006E870000}"/>
    <cellStyle name="40% - Accent5 3 8" xfId="485" xr:uid="{00000000-0005-0000-0000-00006F870000}"/>
    <cellStyle name="40% - Accent5 3 8 2" xfId="2125" xr:uid="{00000000-0005-0000-0000-000070870000}"/>
    <cellStyle name="40% - Accent5 3 8 2 2" xfId="6987" xr:uid="{00000000-0005-0000-0000-000071870000}"/>
    <cellStyle name="40% - Accent5 3 8 2 2 2" xfId="26438" xr:uid="{00000000-0005-0000-0000-000072870000}"/>
    <cellStyle name="40% - Accent5 3 8 2 2 3" xfId="36163" xr:uid="{00000000-0005-0000-0000-000073870000}"/>
    <cellStyle name="40% - Accent5 3 8 2 2 4" xfId="45888" xr:uid="{00000000-0005-0000-0000-000074870000}"/>
    <cellStyle name="40% - Accent5 3 8 2 2 5" xfId="16713" xr:uid="{00000000-0005-0000-0000-000075870000}"/>
    <cellStyle name="40% - Accent5 3 8 2 3" xfId="21576" xr:uid="{00000000-0005-0000-0000-000076870000}"/>
    <cellStyle name="40% - Accent5 3 8 2 4" xfId="31301" xr:uid="{00000000-0005-0000-0000-000077870000}"/>
    <cellStyle name="40% - Accent5 3 8 2 5" xfId="41026" xr:uid="{00000000-0005-0000-0000-000078870000}"/>
    <cellStyle name="40% - Accent5 3 8 2 6" xfId="11851" xr:uid="{00000000-0005-0000-0000-000079870000}"/>
    <cellStyle name="40% - Accent5 3 8 3" xfId="3745" xr:uid="{00000000-0005-0000-0000-00007A870000}"/>
    <cellStyle name="40% - Accent5 3 8 3 2" xfId="8607" xr:uid="{00000000-0005-0000-0000-00007B870000}"/>
    <cellStyle name="40% - Accent5 3 8 3 2 2" xfId="28058" xr:uid="{00000000-0005-0000-0000-00007C870000}"/>
    <cellStyle name="40% - Accent5 3 8 3 2 3" xfId="37783" xr:uid="{00000000-0005-0000-0000-00007D870000}"/>
    <cellStyle name="40% - Accent5 3 8 3 2 4" xfId="47508" xr:uid="{00000000-0005-0000-0000-00007E870000}"/>
    <cellStyle name="40% - Accent5 3 8 3 2 5" xfId="18333" xr:uid="{00000000-0005-0000-0000-00007F870000}"/>
    <cellStyle name="40% - Accent5 3 8 3 3" xfId="23196" xr:uid="{00000000-0005-0000-0000-000080870000}"/>
    <cellStyle name="40% - Accent5 3 8 3 4" xfId="32921" xr:uid="{00000000-0005-0000-0000-000081870000}"/>
    <cellStyle name="40% - Accent5 3 8 3 5" xfId="42646" xr:uid="{00000000-0005-0000-0000-000082870000}"/>
    <cellStyle name="40% - Accent5 3 8 3 6" xfId="13471" xr:uid="{00000000-0005-0000-0000-000083870000}"/>
    <cellStyle name="40% - Accent5 3 8 4" xfId="5367" xr:uid="{00000000-0005-0000-0000-000084870000}"/>
    <cellStyle name="40% - Accent5 3 8 4 2" xfId="24818" xr:uid="{00000000-0005-0000-0000-000085870000}"/>
    <cellStyle name="40% - Accent5 3 8 4 3" xfId="34543" xr:uid="{00000000-0005-0000-0000-000086870000}"/>
    <cellStyle name="40% - Accent5 3 8 4 4" xfId="44268" xr:uid="{00000000-0005-0000-0000-000087870000}"/>
    <cellStyle name="40% - Accent5 3 8 4 5" xfId="15093" xr:uid="{00000000-0005-0000-0000-000088870000}"/>
    <cellStyle name="40% - Accent5 3 8 5" xfId="19956" xr:uid="{00000000-0005-0000-0000-000089870000}"/>
    <cellStyle name="40% - Accent5 3 8 6" xfId="29681" xr:uid="{00000000-0005-0000-0000-00008A870000}"/>
    <cellStyle name="40% - Accent5 3 8 7" xfId="39406" xr:uid="{00000000-0005-0000-0000-00008B870000}"/>
    <cellStyle name="40% - Accent5 3 8 8" xfId="10231" xr:uid="{00000000-0005-0000-0000-00008C870000}"/>
    <cellStyle name="40% - Accent5 3 9" xfId="1674" xr:uid="{00000000-0005-0000-0000-00008D870000}"/>
    <cellStyle name="40% - Accent5 3 9 2" xfId="3295" xr:uid="{00000000-0005-0000-0000-00008E870000}"/>
    <cellStyle name="40% - Accent5 3 9 2 2" xfId="8157" xr:uid="{00000000-0005-0000-0000-00008F870000}"/>
    <cellStyle name="40% - Accent5 3 9 2 2 2" xfId="27608" xr:uid="{00000000-0005-0000-0000-000090870000}"/>
    <cellStyle name="40% - Accent5 3 9 2 2 3" xfId="37333" xr:uid="{00000000-0005-0000-0000-000091870000}"/>
    <cellStyle name="40% - Accent5 3 9 2 2 4" xfId="47058" xr:uid="{00000000-0005-0000-0000-000092870000}"/>
    <cellStyle name="40% - Accent5 3 9 2 2 5" xfId="17883" xr:uid="{00000000-0005-0000-0000-000093870000}"/>
    <cellStyle name="40% - Accent5 3 9 2 3" xfId="22746" xr:uid="{00000000-0005-0000-0000-000094870000}"/>
    <cellStyle name="40% - Accent5 3 9 2 4" xfId="32471" xr:uid="{00000000-0005-0000-0000-000095870000}"/>
    <cellStyle name="40% - Accent5 3 9 2 5" xfId="42196" xr:uid="{00000000-0005-0000-0000-000096870000}"/>
    <cellStyle name="40% - Accent5 3 9 2 6" xfId="13021" xr:uid="{00000000-0005-0000-0000-000097870000}"/>
    <cellStyle name="40% - Accent5 3 9 3" xfId="4915" xr:uid="{00000000-0005-0000-0000-000098870000}"/>
    <cellStyle name="40% - Accent5 3 9 3 2" xfId="9777" xr:uid="{00000000-0005-0000-0000-000099870000}"/>
    <cellStyle name="40% - Accent5 3 9 3 2 2" xfId="29228" xr:uid="{00000000-0005-0000-0000-00009A870000}"/>
    <cellStyle name="40% - Accent5 3 9 3 2 3" xfId="38953" xr:uid="{00000000-0005-0000-0000-00009B870000}"/>
    <cellStyle name="40% - Accent5 3 9 3 2 4" xfId="48678" xr:uid="{00000000-0005-0000-0000-00009C870000}"/>
    <cellStyle name="40% - Accent5 3 9 3 2 5" xfId="19503" xr:uid="{00000000-0005-0000-0000-00009D870000}"/>
    <cellStyle name="40% - Accent5 3 9 3 3" xfId="24366" xr:uid="{00000000-0005-0000-0000-00009E870000}"/>
    <cellStyle name="40% - Accent5 3 9 3 4" xfId="34091" xr:uid="{00000000-0005-0000-0000-00009F870000}"/>
    <cellStyle name="40% - Accent5 3 9 3 5" xfId="43816" xr:uid="{00000000-0005-0000-0000-0000A0870000}"/>
    <cellStyle name="40% - Accent5 3 9 3 6" xfId="14641" xr:uid="{00000000-0005-0000-0000-0000A1870000}"/>
    <cellStyle name="40% - Accent5 3 9 4" xfId="6537" xr:uid="{00000000-0005-0000-0000-0000A2870000}"/>
    <cellStyle name="40% - Accent5 3 9 4 2" xfId="25988" xr:uid="{00000000-0005-0000-0000-0000A3870000}"/>
    <cellStyle name="40% - Accent5 3 9 4 3" xfId="35713" xr:uid="{00000000-0005-0000-0000-0000A4870000}"/>
    <cellStyle name="40% - Accent5 3 9 4 4" xfId="45438" xr:uid="{00000000-0005-0000-0000-0000A5870000}"/>
    <cellStyle name="40% - Accent5 3 9 4 5" xfId="16263" xr:uid="{00000000-0005-0000-0000-0000A6870000}"/>
    <cellStyle name="40% - Accent5 3 9 5" xfId="21126" xr:uid="{00000000-0005-0000-0000-0000A7870000}"/>
    <cellStyle name="40% - Accent5 3 9 6" xfId="30851" xr:uid="{00000000-0005-0000-0000-0000A8870000}"/>
    <cellStyle name="40% - Accent5 3 9 7" xfId="40576" xr:uid="{00000000-0005-0000-0000-0000A9870000}"/>
    <cellStyle name="40% - Accent5 3 9 8" xfId="11401" xr:uid="{00000000-0005-0000-0000-0000AA870000}"/>
    <cellStyle name="40% - Accent5 4" xfId="111" xr:uid="{00000000-0005-0000-0000-0000AB870000}"/>
    <cellStyle name="40% - Accent5 4 10" xfId="1795" xr:uid="{00000000-0005-0000-0000-0000AC870000}"/>
    <cellStyle name="40% - Accent5 4 10 2" xfId="6657" xr:uid="{00000000-0005-0000-0000-0000AD870000}"/>
    <cellStyle name="40% - Accent5 4 10 2 2" xfId="26108" xr:uid="{00000000-0005-0000-0000-0000AE870000}"/>
    <cellStyle name="40% - Accent5 4 10 2 3" xfId="35833" xr:uid="{00000000-0005-0000-0000-0000AF870000}"/>
    <cellStyle name="40% - Accent5 4 10 2 4" xfId="45558" xr:uid="{00000000-0005-0000-0000-0000B0870000}"/>
    <cellStyle name="40% - Accent5 4 10 2 5" xfId="16383" xr:uid="{00000000-0005-0000-0000-0000B1870000}"/>
    <cellStyle name="40% - Accent5 4 10 3" xfId="21246" xr:uid="{00000000-0005-0000-0000-0000B2870000}"/>
    <cellStyle name="40% - Accent5 4 10 4" xfId="30971" xr:uid="{00000000-0005-0000-0000-0000B3870000}"/>
    <cellStyle name="40% - Accent5 4 10 5" xfId="40696" xr:uid="{00000000-0005-0000-0000-0000B4870000}"/>
    <cellStyle name="40% - Accent5 4 10 6" xfId="11521" xr:uid="{00000000-0005-0000-0000-0000B5870000}"/>
    <cellStyle name="40% - Accent5 4 11" xfId="3415" xr:uid="{00000000-0005-0000-0000-0000B6870000}"/>
    <cellStyle name="40% - Accent5 4 11 2" xfId="8277" xr:uid="{00000000-0005-0000-0000-0000B7870000}"/>
    <cellStyle name="40% - Accent5 4 11 2 2" xfId="27728" xr:uid="{00000000-0005-0000-0000-0000B8870000}"/>
    <cellStyle name="40% - Accent5 4 11 2 3" xfId="37453" xr:uid="{00000000-0005-0000-0000-0000B9870000}"/>
    <cellStyle name="40% - Accent5 4 11 2 4" xfId="47178" xr:uid="{00000000-0005-0000-0000-0000BA870000}"/>
    <cellStyle name="40% - Accent5 4 11 2 5" xfId="18003" xr:uid="{00000000-0005-0000-0000-0000BB870000}"/>
    <cellStyle name="40% - Accent5 4 11 3" xfId="22866" xr:uid="{00000000-0005-0000-0000-0000BC870000}"/>
    <cellStyle name="40% - Accent5 4 11 4" xfId="32591" xr:uid="{00000000-0005-0000-0000-0000BD870000}"/>
    <cellStyle name="40% - Accent5 4 11 5" xfId="42316" xr:uid="{00000000-0005-0000-0000-0000BE870000}"/>
    <cellStyle name="40% - Accent5 4 11 6" xfId="13141" xr:uid="{00000000-0005-0000-0000-0000BF870000}"/>
    <cellStyle name="40% - Accent5 4 12" xfId="5037" xr:uid="{00000000-0005-0000-0000-0000C0870000}"/>
    <cellStyle name="40% - Accent5 4 12 2" xfId="24488" xr:uid="{00000000-0005-0000-0000-0000C1870000}"/>
    <cellStyle name="40% - Accent5 4 12 3" xfId="34213" xr:uid="{00000000-0005-0000-0000-0000C2870000}"/>
    <cellStyle name="40% - Accent5 4 12 4" xfId="43938" xr:uid="{00000000-0005-0000-0000-0000C3870000}"/>
    <cellStyle name="40% - Accent5 4 12 5" xfId="14763" xr:uid="{00000000-0005-0000-0000-0000C4870000}"/>
    <cellStyle name="40% - Accent5 4 13" xfId="19626" xr:uid="{00000000-0005-0000-0000-0000C5870000}"/>
    <cellStyle name="40% - Accent5 4 14" xfId="29351" xr:uid="{00000000-0005-0000-0000-0000C6870000}"/>
    <cellStyle name="40% - Accent5 4 15" xfId="39076" xr:uid="{00000000-0005-0000-0000-0000C7870000}"/>
    <cellStyle name="40% - Accent5 4 16" xfId="9901" xr:uid="{00000000-0005-0000-0000-0000C8870000}"/>
    <cellStyle name="40% - Accent5 4 2" xfId="293" xr:uid="{00000000-0005-0000-0000-0000C9870000}"/>
    <cellStyle name="40% - Accent5 4 2 10" xfId="39256" xr:uid="{00000000-0005-0000-0000-0000CA870000}"/>
    <cellStyle name="40% - Accent5 4 2 11" xfId="10081" xr:uid="{00000000-0005-0000-0000-0000CB870000}"/>
    <cellStyle name="40% - Accent5 4 2 2" xfId="1057" xr:uid="{00000000-0005-0000-0000-0000CC870000}"/>
    <cellStyle name="40% - Accent5 4 2 2 2" xfId="2695" xr:uid="{00000000-0005-0000-0000-0000CD870000}"/>
    <cellStyle name="40% - Accent5 4 2 2 2 2" xfId="7557" xr:uid="{00000000-0005-0000-0000-0000CE870000}"/>
    <cellStyle name="40% - Accent5 4 2 2 2 2 2" xfId="27008" xr:uid="{00000000-0005-0000-0000-0000CF870000}"/>
    <cellStyle name="40% - Accent5 4 2 2 2 2 3" xfId="36733" xr:uid="{00000000-0005-0000-0000-0000D0870000}"/>
    <cellStyle name="40% - Accent5 4 2 2 2 2 4" xfId="46458" xr:uid="{00000000-0005-0000-0000-0000D1870000}"/>
    <cellStyle name="40% - Accent5 4 2 2 2 2 5" xfId="17283" xr:uid="{00000000-0005-0000-0000-0000D2870000}"/>
    <cellStyle name="40% - Accent5 4 2 2 2 3" xfId="22146" xr:uid="{00000000-0005-0000-0000-0000D3870000}"/>
    <cellStyle name="40% - Accent5 4 2 2 2 4" xfId="31871" xr:uid="{00000000-0005-0000-0000-0000D4870000}"/>
    <cellStyle name="40% - Accent5 4 2 2 2 5" xfId="41596" xr:uid="{00000000-0005-0000-0000-0000D5870000}"/>
    <cellStyle name="40% - Accent5 4 2 2 2 6" xfId="12421" xr:uid="{00000000-0005-0000-0000-0000D6870000}"/>
    <cellStyle name="40% - Accent5 4 2 2 3" xfId="4315" xr:uid="{00000000-0005-0000-0000-0000D7870000}"/>
    <cellStyle name="40% - Accent5 4 2 2 3 2" xfId="9177" xr:uid="{00000000-0005-0000-0000-0000D8870000}"/>
    <cellStyle name="40% - Accent5 4 2 2 3 2 2" xfId="28628" xr:uid="{00000000-0005-0000-0000-0000D9870000}"/>
    <cellStyle name="40% - Accent5 4 2 2 3 2 3" xfId="38353" xr:uid="{00000000-0005-0000-0000-0000DA870000}"/>
    <cellStyle name="40% - Accent5 4 2 2 3 2 4" xfId="48078" xr:uid="{00000000-0005-0000-0000-0000DB870000}"/>
    <cellStyle name="40% - Accent5 4 2 2 3 2 5" xfId="18903" xr:uid="{00000000-0005-0000-0000-0000DC870000}"/>
    <cellStyle name="40% - Accent5 4 2 2 3 3" xfId="23766" xr:uid="{00000000-0005-0000-0000-0000DD870000}"/>
    <cellStyle name="40% - Accent5 4 2 2 3 4" xfId="33491" xr:uid="{00000000-0005-0000-0000-0000DE870000}"/>
    <cellStyle name="40% - Accent5 4 2 2 3 5" xfId="43216" xr:uid="{00000000-0005-0000-0000-0000DF870000}"/>
    <cellStyle name="40% - Accent5 4 2 2 3 6" xfId="14041" xr:uid="{00000000-0005-0000-0000-0000E0870000}"/>
    <cellStyle name="40% - Accent5 4 2 2 4" xfId="5937" xr:uid="{00000000-0005-0000-0000-0000E1870000}"/>
    <cellStyle name="40% - Accent5 4 2 2 4 2" xfId="25388" xr:uid="{00000000-0005-0000-0000-0000E2870000}"/>
    <cellStyle name="40% - Accent5 4 2 2 4 3" xfId="35113" xr:uid="{00000000-0005-0000-0000-0000E3870000}"/>
    <cellStyle name="40% - Accent5 4 2 2 4 4" xfId="44838" xr:uid="{00000000-0005-0000-0000-0000E4870000}"/>
    <cellStyle name="40% - Accent5 4 2 2 4 5" xfId="15663" xr:uid="{00000000-0005-0000-0000-0000E5870000}"/>
    <cellStyle name="40% - Accent5 4 2 2 5" xfId="20526" xr:uid="{00000000-0005-0000-0000-0000E6870000}"/>
    <cellStyle name="40% - Accent5 4 2 2 6" xfId="30251" xr:uid="{00000000-0005-0000-0000-0000E7870000}"/>
    <cellStyle name="40% - Accent5 4 2 2 7" xfId="39976" xr:uid="{00000000-0005-0000-0000-0000E8870000}"/>
    <cellStyle name="40% - Accent5 4 2 2 8" xfId="10801" xr:uid="{00000000-0005-0000-0000-0000E9870000}"/>
    <cellStyle name="40% - Accent5 4 2 3" xfId="1524" xr:uid="{00000000-0005-0000-0000-0000EA870000}"/>
    <cellStyle name="40% - Accent5 4 2 3 2" xfId="3145" xr:uid="{00000000-0005-0000-0000-0000EB870000}"/>
    <cellStyle name="40% - Accent5 4 2 3 2 2" xfId="8007" xr:uid="{00000000-0005-0000-0000-0000EC870000}"/>
    <cellStyle name="40% - Accent5 4 2 3 2 2 2" xfId="27458" xr:uid="{00000000-0005-0000-0000-0000ED870000}"/>
    <cellStyle name="40% - Accent5 4 2 3 2 2 3" xfId="37183" xr:uid="{00000000-0005-0000-0000-0000EE870000}"/>
    <cellStyle name="40% - Accent5 4 2 3 2 2 4" xfId="46908" xr:uid="{00000000-0005-0000-0000-0000EF870000}"/>
    <cellStyle name="40% - Accent5 4 2 3 2 2 5" xfId="17733" xr:uid="{00000000-0005-0000-0000-0000F0870000}"/>
    <cellStyle name="40% - Accent5 4 2 3 2 3" xfId="22596" xr:uid="{00000000-0005-0000-0000-0000F1870000}"/>
    <cellStyle name="40% - Accent5 4 2 3 2 4" xfId="32321" xr:uid="{00000000-0005-0000-0000-0000F2870000}"/>
    <cellStyle name="40% - Accent5 4 2 3 2 5" xfId="42046" xr:uid="{00000000-0005-0000-0000-0000F3870000}"/>
    <cellStyle name="40% - Accent5 4 2 3 2 6" xfId="12871" xr:uid="{00000000-0005-0000-0000-0000F4870000}"/>
    <cellStyle name="40% - Accent5 4 2 3 3" xfId="4765" xr:uid="{00000000-0005-0000-0000-0000F5870000}"/>
    <cellStyle name="40% - Accent5 4 2 3 3 2" xfId="9627" xr:uid="{00000000-0005-0000-0000-0000F6870000}"/>
    <cellStyle name="40% - Accent5 4 2 3 3 2 2" xfId="29078" xr:uid="{00000000-0005-0000-0000-0000F7870000}"/>
    <cellStyle name="40% - Accent5 4 2 3 3 2 3" xfId="38803" xr:uid="{00000000-0005-0000-0000-0000F8870000}"/>
    <cellStyle name="40% - Accent5 4 2 3 3 2 4" xfId="48528" xr:uid="{00000000-0005-0000-0000-0000F9870000}"/>
    <cellStyle name="40% - Accent5 4 2 3 3 2 5" xfId="19353" xr:uid="{00000000-0005-0000-0000-0000FA870000}"/>
    <cellStyle name="40% - Accent5 4 2 3 3 3" xfId="24216" xr:uid="{00000000-0005-0000-0000-0000FB870000}"/>
    <cellStyle name="40% - Accent5 4 2 3 3 4" xfId="33941" xr:uid="{00000000-0005-0000-0000-0000FC870000}"/>
    <cellStyle name="40% - Accent5 4 2 3 3 5" xfId="43666" xr:uid="{00000000-0005-0000-0000-0000FD870000}"/>
    <cellStyle name="40% - Accent5 4 2 3 3 6" xfId="14491" xr:uid="{00000000-0005-0000-0000-0000FE870000}"/>
    <cellStyle name="40% - Accent5 4 2 3 4" xfId="6387" xr:uid="{00000000-0005-0000-0000-0000FF870000}"/>
    <cellStyle name="40% - Accent5 4 2 3 4 2" xfId="25838" xr:uid="{00000000-0005-0000-0000-000000880000}"/>
    <cellStyle name="40% - Accent5 4 2 3 4 3" xfId="35563" xr:uid="{00000000-0005-0000-0000-000001880000}"/>
    <cellStyle name="40% - Accent5 4 2 3 4 4" xfId="45288" xr:uid="{00000000-0005-0000-0000-000002880000}"/>
    <cellStyle name="40% - Accent5 4 2 3 4 5" xfId="16113" xr:uid="{00000000-0005-0000-0000-000003880000}"/>
    <cellStyle name="40% - Accent5 4 2 3 5" xfId="20976" xr:uid="{00000000-0005-0000-0000-000004880000}"/>
    <cellStyle name="40% - Accent5 4 2 3 6" xfId="30701" xr:uid="{00000000-0005-0000-0000-000005880000}"/>
    <cellStyle name="40% - Accent5 4 2 3 7" xfId="40426" xr:uid="{00000000-0005-0000-0000-000006880000}"/>
    <cellStyle name="40% - Accent5 4 2 3 8" xfId="11251" xr:uid="{00000000-0005-0000-0000-000007880000}"/>
    <cellStyle name="40% - Accent5 4 2 4" xfId="695" xr:uid="{00000000-0005-0000-0000-000008880000}"/>
    <cellStyle name="40% - Accent5 4 2 4 2" xfId="2335" xr:uid="{00000000-0005-0000-0000-000009880000}"/>
    <cellStyle name="40% - Accent5 4 2 4 2 2" xfId="7197" xr:uid="{00000000-0005-0000-0000-00000A880000}"/>
    <cellStyle name="40% - Accent5 4 2 4 2 2 2" xfId="26648" xr:uid="{00000000-0005-0000-0000-00000B880000}"/>
    <cellStyle name="40% - Accent5 4 2 4 2 2 3" xfId="36373" xr:uid="{00000000-0005-0000-0000-00000C880000}"/>
    <cellStyle name="40% - Accent5 4 2 4 2 2 4" xfId="46098" xr:uid="{00000000-0005-0000-0000-00000D880000}"/>
    <cellStyle name="40% - Accent5 4 2 4 2 2 5" xfId="16923" xr:uid="{00000000-0005-0000-0000-00000E880000}"/>
    <cellStyle name="40% - Accent5 4 2 4 2 3" xfId="21786" xr:uid="{00000000-0005-0000-0000-00000F880000}"/>
    <cellStyle name="40% - Accent5 4 2 4 2 4" xfId="31511" xr:uid="{00000000-0005-0000-0000-000010880000}"/>
    <cellStyle name="40% - Accent5 4 2 4 2 5" xfId="41236" xr:uid="{00000000-0005-0000-0000-000011880000}"/>
    <cellStyle name="40% - Accent5 4 2 4 2 6" xfId="12061" xr:uid="{00000000-0005-0000-0000-000012880000}"/>
    <cellStyle name="40% - Accent5 4 2 4 3" xfId="3955" xr:uid="{00000000-0005-0000-0000-000013880000}"/>
    <cellStyle name="40% - Accent5 4 2 4 3 2" xfId="8817" xr:uid="{00000000-0005-0000-0000-000014880000}"/>
    <cellStyle name="40% - Accent5 4 2 4 3 2 2" xfId="28268" xr:uid="{00000000-0005-0000-0000-000015880000}"/>
    <cellStyle name="40% - Accent5 4 2 4 3 2 3" xfId="37993" xr:uid="{00000000-0005-0000-0000-000016880000}"/>
    <cellStyle name="40% - Accent5 4 2 4 3 2 4" xfId="47718" xr:uid="{00000000-0005-0000-0000-000017880000}"/>
    <cellStyle name="40% - Accent5 4 2 4 3 2 5" xfId="18543" xr:uid="{00000000-0005-0000-0000-000018880000}"/>
    <cellStyle name="40% - Accent5 4 2 4 3 3" xfId="23406" xr:uid="{00000000-0005-0000-0000-000019880000}"/>
    <cellStyle name="40% - Accent5 4 2 4 3 4" xfId="33131" xr:uid="{00000000-0005-0000-0000-00001A880000}"/>
    <cellStyle name="40% - Accent5 4 2 4 3 5" xfId="42856" xr:uid="{00000000-0005-0000-0000-00001B880000}"/>
    <cellStyle name="40% - Accent5 4 2 4 3 6" xfId="13681" xr:uid="{00000000-0005-0000-0000-00001C880000}"/>
    <cellStyle name="40% - Accent5 4 2 4 4" xfId="5577" xr:uid="{00000000-0005-0000-0000-00001D880000}"/>
    <cellStyle name="40% - Accent5 4 2 4 4 2" xfId="25028" xr:uid="{00000000-0005-0000-0000-00001E880000}"/>
    <cellStyle name="40% - Accent5 4 2 4 4 3" xfId="34753" xr:uid="{00000000-0005-0000-0000-00001F880000}"/>
    <cellStyle name="40% - Accent5 4 2 4 4 4" xfId="44478" xr:uid="{00000000-0005-0000-0000-000020880000}"/>
    <cellStyle name="40% - Accent5 4 2 4 4 5" xfId="15303" xr:uid="{00000000-0005-0000-0000-000021880000}"/>
    <cellStyle name="40% - Accent5 4 2 4 5" xfId="20166" xr:uid="{00000000-0005-0000-0000-000022880000}"/>
    <cellStyle name="40% - Accent5 4 2 4 6" xfId="29891" xr:uid="{00000000-0005-0000-0000-000023880000}"/>
    <cellStyle name="40% - Accent5 4 2 4 7" xfId="39616" xr:uid="{00000000-0005-0000-0000-000024880000}"/>
    <cellStyle name="40% - Accent5 4 2 4 8" xfId="10441" xr:uid="{00000000-0005-0000-0000-000025880000}"/>
    <cellStyle name="40% - Accent5 4 2 5" xfId="1975" xr:uid="{00000000-0005-0000-0000-000026880000}"/>
    <cellStyle name="40% - Accent5 4 2 5 2" xfId="6837" xr:uid="{00000000-0005-0000-0000-000027880000}"/>
    <cellStyle name="40% - Accent5 4 2 5 2 2" xfId="26288" xr:uid="{00000000-0005-0000-0000-000028880000}"/>
    <cellStyle name="40% - Accent5 4 2 5 2 3" xfId="36013" xr:uid="{00000000-0005-0000-0000-000029880000}"/>
    <cellStyle name="40% - Accent5 4 2 5 2 4" xfId="45738" xr:uid="{00000000-0005-0000-0000-00002A880000}"/>
    <cellStyle name="40% - Accent5 4 2 5 2 5" xfId="16563" xr:uid="{00000000-0005-0000-0000-00002B880000}"/>
    <cellStyle name="40% - Accent5 4 2 5 3" xfId="21426" xr:uid="{00000000-0005-0000-0000-00002C880000}"/>
    <cellStyle name="40% - Accent5 4 2 5 4" xfId="31151" xr:uid="{00000000-0005-0000-0000-00002D880000}"/>
    <cellStyle name="40% - Accent5 4 2 5 5" xfId="40876" xr:uid="{00000000-0005-0000-0000-00002E880000}"/>
    <cellStyle name="40% - Accent5 4 2 5 6" xfId="11701" xr:uid="{00000000-0005-0000-0000-00002F880000}"/>
    <cellStyle name="40% - Accent5 4 2 6" xfId="3595" xr:uid="{00000000-0005-0000-0000-000030880000}"/>
    <cellStyle name="40% - Accent5 4 2 6 2" xfId="8457" xr:uid="{00000000-0005-0000-0000-000031880000}"/>
    <cellStyle name="40% - Accent5 4 2 6 2 2" xfId="27908" xr:uid="{00000000-0005-0000-0000-000032880000}"/>
    <cellStyle name="40% - Accent5 4 2 6 2 3" xfId="37633" xr:uid="{00000000-0005-0000-0000-000033880000}"/>
    <cellStyle name="40% - Accent5 4 2 6 2 4" xfId="47358" xr:uid="{00000000-0005-0000-0000-000034880000}"/>
    <cellStyle name="40% - Accent5 4 2 6 2 5" xfId="18183" xr:uid="{00000000-0005-0000-0000-000035880000}"/>
    <cellStyle name="40% - Accent5 4 2 6 3" xfId="23046" xr:uid="{00000000-0005-0000-0000-000036880000}"/>
    <cellStyle name="40% - Accent5 4 2 6 4" xfId="32771" xr:uid="{00000000-0005-0000-0000-000037880000}"/>
    <cellStyle name="40% - Accent5 4 2 6 5" xfId="42496" xr:uid="{00000000-0005-0000-0000-000038880000}"/>
    <cellStyle name="40% - Accent5 4 2 6 6" xfId="13321" xr:uid="{00000000-0005-0000-0000-000039880000}"/>
    <cellStyle name="40% - Accent5 4 2 7" xfId="5217" xr:uid="{00000000-0005-0000-0000-00003A880000}"/>
    <cellStyle name="40% - Accent5 4 2 7 2" xfId="24668" xr:uid="{00000000-0005-0000-0000-00003B880000}"/>
    <cellStyle name="40% - Accent5 4 2 7 3" xfId="34393" xr:uid="{00000000-0005-0000-0000-00003C880000}"/>
    <cellStyle name="40% - Accent5 4 2 7 4" xfId="44118" xr:uid="{00000000-0005-0000-0000-00003D880000}"/>
    <cellStyle name="40% - Accent5 4 2 7 5" xfId="14943" xr:uid="{00000000-0005-0000-0000-00003E880000}"/>
    <cellStyle name="40% - Accent5 4 2 8" xfId="19806" xr:uid="{00000000-0005-0000-0000-00003F880000}"/>
    <cellStyle name="40% - Accent5 4 2 9" xfId="29531" xr:uid="{00000000-0005-0000-0000-000040880000}"/>
    <cellStyle name="40% - Accent5 4 3" xfId="384" xr:uid="{00000000-0005-0000-0000-000041880000}"/>
    <cellStyle name="40% - Accent5 4 3 10" xfId="39346" xr:uid="{00000000-0005-0000-0000-000042880000}"/>
    <cellStyle name="40% - Accent5 4 3 11" xfId="10171" xr:uid="{00000000-0005-0000-0000-000043880000}"/>
    <cellStyle name="40% - Accent5 4 3 2" xfId="1147" xr:uid="{00000000-0005-0000-0000-000044880000}"/>
    <cellStyle name="40% - Accent5 4 3 2 2" xfId="2785" xr:uid="{00000000-0005-0000-0000-000045880000}"/>
    <cellStyle name="40% - Accent5 4 3 2 2 2" xfId="7647" xr:uid="{00000000-0005-0000-0000-000046880000}"/>
    <cellStyle name="40% - Accent5 4 3 2 2 2 2" xfId="27098" xr:uid="{00000000-0005-0000-0000-000047880000}"/>
    <cellStyle name="40% - Accent5 4 3 2 2 2 3" xfId="36823" xr:uid="{00000000-0005-0000-0000-000048880000}"/>
    <cellStyle name="40% - Accent5 4 3 2 2 2 4" xfId="46548" xr:uid="{00000000-0005-0000-0000-000049880000}"/>
    <cellStyle name="40% - Accent5 4 3 2 2 2 5" xfId="17373" xr:uid="{00000000-0005-0000-0000-00004A880000}"/>
    <cellStyle name="40% - Accent5 4 3 2 2 3" xfId="22236" xr:uid="{00000000-0005-0000-0000-00004B880000}"/>
    <cellStyle name="40% - Accent5 4 3 2 2 4" xfId="31961" xr:uid="{00000000-0005-0000-0000-00004C880000}"/>
    <cellStyle name="40% - Accent5 4 3 2 2 5" xfId="41686" xr:uid="{00000000-0005-0000-0000-00004D880000}"/>
    <cellStyle name="40% - Accent5 4 3 2 2 6" xfId="12511" xr:uid="{00000000-0005-0000-0000-00004E880000}"/>
    <cellStyle name="40% - Accent5 4 3 2 3" xfId="4405" xr:uid="{00000000-0005-0000-0000-00004F880000}"/>
    <cellStyle name="40% - Accent5 4 3 2 3 2" xfId="9267" xr:uid="{00000000-0005-0000-0000-000050880000}"/>
    <cellStyle name="40% - Accent5 4 3 2 3 2 2" xfId="28718" xr:uid="{00000000-0005-0000-0000-000051880000}"/>
    <cellStyle name="40% - Accent5 4 3 2 3 2 3" xfId="38443" xr:uid="{00000000-0005-0000-0000-000052880000}"/>
    <cellStyle name="40% - Accent5 4 3 2 3 2 4" xfId="48168" xr:uid="{00000000-0005-0000-0000-000053880000}"/>
    <cellStyle name="40% - Accent5 4 3 2 3 2 5" xfId="18993" xr:uid="{00000000-0005-0000-0000-000054880000}"/>
    <cellStyle name="40% - Accent5 4 3 2 3 3" xfId="23856" xr:uid="{00000000-0005-0000-0000-000055880000}"/>
    <cellStyle name="40% - Accent5 4 3 2 3 4" xfId="33581" xr:uid="{00000000-0005-0000-0000-000056880000}"/>
    <cellStyle name="40% - Accent5 4 3 2 3 5" xfId="43306" xr:uid="{00000000-0005-0000-0000-000057880000}"/>
    <cellStyle name="40% - Accent5 4 3 2 3 6" xfId="14131" xr:uid="{00000000-0005-0000-0000-000058880000}"/>
    <cellStyle name="40% - Accent5 4 3 2 4" xfId="6027" xr:uid="{00000000-0005-0000-0000-000059880000}"/>
    <cellStyle name="40% - Accent5 4 3 2 4 2" xfId="25478" xr:uid="{00000000-0005-0000-0000-00005A880000}"/>
    <cellStyle name="40% - Accent5 4 3 2 4 3" xfId="35203" xr:uid="{00000000-0005-0000-0000-00005B880000}"/>
    <cellStyle name="40% - Accent5 4 3 2 4 4" xfId="44928" xr:uid="{00000000-0005-0000-0000-00005C880000}"/>
    <cellStyle name="40% - Accent5 4 3 2 4 5" xfId="15753" xr:uid="{00000000-0005-0000-0000-00005D880000}"/>
    <cellStyle name="40% - Accent5 4 3 2 5" xfId="20616" xr:uid="{00000000-0005-0000-0000-00005E880000}"/>
    <cellStyle name="40% - Accent5 4 3 2 6" xfId="30341" xr:uid="{00000000-0005-0000-0000-00005F880000}"/>
    <cellStyle name="40% - Accent5 4 3 2 7" xfId="40066" xr:uid="{00000000-0005-0000-0000-000060880000}"/>
    <cellStyle name="40% - Accent5 4 3 2 8" xfId="10891" xr:uid="{00000000-0005-0000-0000-000061880000}"/>
    <cellStyle name="40% - Accent5 4 3 3" xfId="1614" xr:uid="{00000000-0005-0000-0000-000062880000}"/>
    <cellStyle name="40% - Accent5 4 3 3 2" xfId="3235" xr:uid="{00000000-0005-0000-0000-000063880000}"/>
    <cellStyle name="40% - Accent5 4 3 3 2 2" xfId="8097" xr:uid="{00000000-0005-0000-0000-000064880000}"/>
    <cellStyle name="40% - Accent5 4 3 3 2 2 2" xfId="27548" xr:uid="{00000000-0005-0000-0000-000065880000}"/>
    <cellStyle name="40% - Accent5 4 3 3 2 2 3" xfId="37273" xr:uid="{00000000-0005-0000-0000-000066880000}"/>
    <cellStyle name="40% - Accent5 4 3 3 2 2 4" xfId="46998" xr:uid="{00000000-0005-0000-0000-000067880000}"/>
    <cellStyle name="40% - Accent5 4 3 3 2 2 5" xfId="17823" xr:uid="{00000000-0005-0000-0000-000068880000}"/>
    <cellStyle name="40% - Accent5 4 3 3 2 3" xfId="22686" xr:uid="{00000000-0005-0000-0000-000069880000}"/>
    <cellStyle name="40% - Accent5 4 3 3 2 4" xfId="32411" xr:uid="{00000000-0005-0000-0000-00006A880000}"/>
    <cellStyle name="40% - Accent5 4 3 3 2 5" xfId="42136" xr:uid="{00000000-0005-0000-0000-00006B880000}"/>
    <cellStyle name="40% - Accent5 4 3 3 2 6" xfId="12961" xr:uid="{00000000-0005-0000-0000-00006C880000}"/>
    <cellStyle name="40% - Accent5 4 3 3 3" xfId="4855" xr:uid="{00000000-0005-0000-0000-00006D880000}"/>
    <cellStyle name="40% - Accent5 4 3 3 3 2" xfId="9717" xr:uid="{00000000-0005-0000-0000-00006E880000}"/>
    <cellStyle name="40% - Accent5 4 3 3 3 2 2" xfId="29168" xr:uid="{00000000-0005-0000-0000-00006F880000}"/>
    <cellStyle name="40% - Accent5 4 3 3 3 2 3" xfId="38893" xr:uid="{00000000-0005-0000-0000-000070880000}"/>
    <cellStyle name="40% - Accent5 4 3 3 3 2 4" xfId="48618" xr:uid="{00000000-0005-0000-0000-000071880000}"/>
    <cellStyle name="40% - Accent5 4 3 3 3 2 5" xfId="19443" xr:uid="{00000000-0005-0000-0000-000072880000}"/>
    <cellStyle name="40% - Accent5 4 3 3 3 3" xfId="24306" xr:uid="{00000000-0005-0000-0000-000073880000}"/>
    <cellStyle name="40% - Accent5 4 3 3 3 4" xfId="34031" xr:uid="{00000000-0005-0000-0000-000074880000}"/>
    <cellStyle name="40% - Accent5 4 3 3 3 5" xfId="43756" xr:uid="{00000000-0005-0000-0000-000075880000}"/>
    <cellStyle name="40% - Accent5 4 3 3 3 6" xfId="14581" xr:uid="{00000000-0005-0000-0000-000076880000}"/>
    <cellStyle name="40% - Accent5 4 3 3 4" xfId="6477" xr:uid="{00000000-0005-0000-0000-000077880000}"/>
    <cellStyle name="40% - Accent5 4 3 3 4 2" xfId="25928" xr:uid="{00000000-0005-0000-0000-000078880000}"/>
    <cellStyle name="40% - Accent5 4 3 3 4 3" xfId="35653" xr:uid="{00000000-0005-0000-0000-000079880000}"/>
    <cellStyle name="40% - Accent5 4 3 3 4 4" xfId="45378" xr:uid="{00000000-0005-0000-0000-00007A880000}"/>
    <cellStyle name="40% - Accent5 4 3 3 4 5" xfId="16203" xr:uid="{00000000-0005-0000-0000-00007B880000}"/>
    <cellStyle name="40% - Accent5 4 3 3 5" xfId="21066" xr:uid="{00000000-0005-0000-0000-00007C880000}"/>
    <cellStyle name="40% - Accent5 4 3 3 6" xfId="30791" xr:uid="{00000000-0005-0000-0000-00007D880000}"/>
    <cellStyle name="40% - Accent5 4 3 3 7" xfId="40516" xr:uid="{00000000-0005-0000-0000-00007E880000}"/>
    <cellStyle name="40% - Accent5 4 3 3 8" xfId="11341" xr:uid="{00000000-0005-0000-0000-00007F880000}"/>
    <cellStyle name="40% - Accent5 4 3 4" xfId="785" xr:uid="{00000000-0005-0000-0000-000080880000}"/>
    <cellStyle name="40% - Accent5 4 3 4 2" xfId="2425" xr:uid="{00000000-0005-0000-0000-000081880000}"/>
    <cellStyle name="40% - Accent5 4 3 4 2 2" xfId="7287" xr:uid="{00000000-0005-0000-0000-000082880000}"/>
    <cellStyle name="40% - Accent5 4 3 4 2 2 2" xfId="26738" xr:uid="{00000000-0005-0000-0000-000083880000}"/>
    <cellStyle name="40% - Accent5 4 3 4 2 2 3" xfId="36463" xr:uid="{00000000-0005-0000-0000-000084880000}"/>
    <cellStyle name="40% - Accent5 4 3 4 2 2 4" xfId="46188" xr:uid="{00000000-0005-0000-0000-000085880000}"/>
    <cellStyle name="40% - Accent5 4 3 4 2 2 5" xfId="17013" xr:uid="{00000000-0005-0000-0000-000086880000}"/>
    <cellStyle name="40% - Accent5 4 3 4 2 3" xfId="21876" xr:uid="{00000000-0005-0000-0000-000087880000}"/>
    <cellStyle name="40% - Accent5 4 3 4 2 4" xfId="31601" xr:uid="{00000000-0005-0000-0000-000088880000}"/>
    <cellStyle name="40% - Accent5 4 3 4 2 5" xfId="41326" xr:uid="{00000000-0005-0000-0000-000089880000}"/>
    <cellStyle name="40% - Accent5 4 3 4 2 6" xfId="12151" xr:uid="{00000000-0005-0000-0000-00008A880000}"/>
    <cellStyle name="40% - Accent5 4 3 4 3" xfId="4045" xr:uid="{00000000-0005-0000-0000-00008B880000}"/>
    <cellStyle name="40% - Accent5 4 3 4 3 2" xfId="8907" xr:uid="{00000000-0005-0000-0000-00008C880000}"/>
    <cellStyle name="40% - Accent5 4 3 4 3 2 2" xfId="28358" xr:uid="{00000000-0005-0000-0000-00008D880000}"/>
    <cellStyle name="40% - Accent5 4 3 4 3 2 3" xfId="38083" xr:uid="{00000000-0005-0000-0000-00008E880000}"/>
    <cellStyle name="40% - Accent5 4 3 4 3 2 4" xfId="47808" xr:uid="{00000000-0005-0000-0000-00008F880000}"/>
    <cellStyle name="40% - Accent5 4 3 4 3 2 5" xfId="18633" xr:uid="{00000000-0005-0000-0000-000090880000}"/>
    <cellStyle name="40% - Accent5 4 3 4 3 3" xfId="23496" xr:uid="{00000000-0005-0000-0000-000091880000}"/>
    <cellStyle name="40% - Accent5 4 3 4 3 4" xfId="33221" xr:uid="{00000000-0005-0000-0000-000092880000}"/>
    <cellStyle name="40% - Accent5 4 3 4 3 5" xfId="42946" xr:uid="{00000000-0005-0000-0000-000093880000}"/>
    <cellStyle name="40% - Accent5 4 3 4 3 6" xfId="13771" xr:uid="{00000000-0005-0000-0000-000094880000}"/>
    <cellStyle name="40% - Accent5 4 3 4 4" xfId="5667" xr:uid="{00000000-0005-0000-0000-000095880000}"/>
    <cellStyle name="40% - Accent5 4 3 4 4 2" xfId="25118" xr:uid="{00000000-0005-0000-0000-000096880000}"/>
    <cellStyle name="40% - Accent5 4 3 4 4 3" xfId="34843" xr:uid="{00000000-0005-0000-0000-000097880000}"/>
    <cellStyle name="40% - Accent5 4 3 4 4 4" xfId="44568" xr:uid="{00000000-0005-0000-0000-000098880000}"/>
    <cellStyle name="40% - Accent5 4 3 4 4 5" xfId="15393" xr:uid="{00000000-0005-0000-0000-000099880000}"/>
    <cellStyle name="40% - Accent5 4 3 4 5" xfId="20256" xr:uid="{00000000-0005-0000-0000-00009A880000}"/>
    <cellStyle name="40% - Accent5 4 3 4 6" xfId="29981" xr:uid="{00000000-0005-0000-0000-00009B880000}"/>
    <cellStyle name="40% - Accent5 4 3 4 7" xfId="39706" xr:uid="{00000000-0005-0000-0000-00009C880000}"/>
    <cellStyle name="40% - Accent5 4 3 4 8" xfId="10531" xr:uid="{00000000-0005-0000-0000-00009D880000}"/>
    <cellStyle name="40% - Accent5 4 3 5" xfId="2065" xr:uid="{00000000-0005-0000-0000-00009E880000}"/>
    <cellStyle name="40% - Accent5 4 3 5 2" xfId="6927" xr:uid="{00000000-0005-0000-0000-00009F880000}"/>
    <cellStyle name="40% - Accent5 4 3 5 2 2" xfId="26378" xr:uid="{00000000-0005-0000-0000-0000A0880000}"/>
    <cellStyle name="40% - Accent5 4 3 5 2 3" xfId="36103" xr:uid="{00000000-0005-0000-0000-0000A1880000}"/>
    <cellStyle name="40% - Accent5 4 3 5 2 4" xfId="45828" xr:uid="{00000000-0005-0000-0000-0000A2880000}"/>
    <cellStyle name="40% - Accent5 4 3 5 2 5" xfId="16653" xr:uid="{00000000-0005-0000-0000-0000A3880000}"/>
    <cellStyle name="40% - Accent5 4 3 5 3" xfId="21516" xr:uid="{00000000-0005-0000-0000-0000A4880000}"/>
    <cellStyle name="40% - Accent5 4 3 5 4" xfId="31241" xr:uid="{00000000-0005-0000-0000-0000A5880000}"/>
    <cellStyle name="40% - Accent5 4 3 5 5" xfId="40966" xr:uid="{00000000-0005-0000-0000-0000A6880000}"/>
    <cellStyle name="40% - Accent5 4 3 5 6" xfId="11791" xr:uid="{00000000-0005-0000-0000-0000A7880000}"/>
    <cellStyle name="40% - Accent5 4 3 6" xfId="3685" xr:uid="{00000000-0005-0000-0000-0000A8880000}"/>
    <cellStyle name="40% - Accent5 4 3 6 2" xfId="8547" xr:uid="{00000000-0005-0000-0000-0000A9880000}"/>
    <cellStyle name="40% - Accent5 4 3 6 2 2" xfId="27998" xr:uid="{00000000-0005-0000-0000-0000AA880000}"/>
    <cellStyle name="40% - Accent5 4 3 6 2 3" xfId="37723" xr:uid="{00000000-0005-0000-0000-0000AB880000}"/>
    <cellStyle name="40% - Accent5 4 3 6 2 4" xfId="47448" xr:uid="{00000000-0005-0000-0000-0000AC880000}"/>
    <cellStyle name="40% - Accent5 4 3 6 2 5" xfId="18273" xr:uid="{00000000-0005-0000-0000-0000AD880000}"/>
    <cellStyle name="40% - Accent5 4 3 6 3" xfId="23136" xr:uid="{00000000-0005-0000-0000-0000AE880000}"/>
    <cellStyle name="40% - Accent5 4 3 6 4" xfId="32861" xr:uid="{00000000-0005-0000-0000-0000AF880000}"/>
    <cellStyle name="40% - Accent5 4 3 6 5" xfId="42586" xr:uid="{00000000-0005-0000-0000-0000B0880000}"/>
    <cellStyle name="40% - Accent5 4 3 6 6" xfId="13411" xr:uid="{00000000-0005-0000-0000-0000B1880000}"/>
    <cellStyle name="40% - Accent5 4 3 7" xfId="5307" xr:uid="{00000000-0005-0000-0000-0000B2880000}"/>
    <cellStyle name="40% - Accent5 4 3 7 2" xfId="24758" xr:uid="{00000000-0005-0000-0000-0000B3880000}"/>
    <cellStyle name="40% - Accent5 4 3 7 3" xfId="34483" xr:uid="{00000000-0005-0000-0000-0000B4880000}"/>
    <cellStyle name="40% - Accent5 4 3 7 4" xfId="44208" xr:uid="{00000000-0005-0000-0000-0000B5880000}"/>
    <cellStyle name="40% - Accent5 4 3 7 5" xfId="15033" xr:uid="{00000000-0005-0000-0000-0000B6880000}"/>
    <cellStyle name="40% - Accent5 4 3 8" xfId="19896" xr:uid="{00000000-0005-0000-0000-0000B7880000}"/>
    <cellStyle name="40% - Accent5 4 3 9" xfId="29621" xr:uid="{00000000-0005-0000-0000-0000B8880000}"/>
    <cellStyle name="40% - Accent5 4 4" xfId="202" xr:uid="{00000000-0005-0000-0000-0000B9880000}"/>
    <cellStyle name="40% - Accent5 4 4 10" xfId="39166" xr:uid="{00000000-0005-0000-0000-0000BA880000}"/>
    <cellStyle name="40% - Accent5 4 4 11" xfId="9991" xr:uid="{00000000-0005-0000-0000-0000BB880000}"/>
    <cellStyle name="40% - Accent5 4 4 2" xfId="966" xr:uid="{00000000-0005-0000-0000-0000BC880000}"/>
    <cellStyle name="40% - Accent5 4 4 2 2" xfId="2605" xr:uid="{00000000-0005-0000-0000-0000BD880000}"/>
    <cellStyle name="40% - Accent5 4 4 2 2 2" xfId="7467" xr:uid="{00000000-0005-0000-0000-0000BE880000}"/>
    <cellStyle name="40% - Accent5 4 4 2 2 2 2" xfId="26918" xr:uid="{00000000-0005-0000-0000-0000BF880000}"/>
    <cellStyle name="40% - Accent5 4 4 2 2 2 3" xfId="36643" xr:uid="{00000000-0005-0000-0000-0000C0880000}"/>
    <cellStyle name="40% - Accent5 4 4 2 2 2 4" xfId="46368" xr:uid="{00000000-0005-0000-0000-0000C1880000}"/>
    <cellStyle name="40% - Accent5 4 4 2 2 2 5" xfId="17193" xr:uid="{00000000-0005-0000-0000-0000C2880000}"/>
    <cellStyle name="40% - Accent5 4 4 2 2 3" xfId="22056" xr:uid="{00000000-0005-0000-0000-0000C3880000}"/>
    <cellStyle name="40% - Accent5 4 4 2 2 4" xfId="31781" xr:uid="{00000000-0005-0000-0000-0000C4880000}"/>
    <cellStyle name="40% - Accent5 4 4 2 2 5" xfId="41506" xr:uid="{00000000-0005-0000-0000-0000C5880000}"/>
    <cellStyle name="40% - Accent5 4 4 2 2 6" xfId="12331" xr:uid="{00000000-0005-0000-0000-0000C6880000}"/>
    <cellStyle name="40% - Accent5 4 4 2 3" xfId="4225" xr:uid="{00000000-0005-0000-0000-0000C7880000}"/>
    <cellStyle name="40% - Accent5 4 4 2 3 2" xfId="9087" xr:uid="{00000000-0005-0000-0000-0000C8880000}"/>
    <cellStyle name="40% - Accent5 4 4 2 3 2 2" xfId="28538" xr:uid="{00000000-0005-0000-0000-0000C9880000}"/>
    <cellStyle name="40% - Accent5 4 4 2 3 2 3" xfId="38263" xr:uid="{00000000-0005-0000-0000-0000CA880000}"/>
    <cellStyle name="40% - Accent5 4 4 2 3 2 4" xfId="47988" xr:uid="{00000000-0005-0000-0000-0000CB880000}"/>
    <cellStyle name="40% - Accent5 4 4 2 3 2 5" xfId="18813" xr:uid="{00000000-0005-0000-0000-0000CC880000}"/>
    <cellStyle name="40% - Accent5 4 4 2 3 3" xfId="23676" xr:uid="{00000000-0005-0000-0000-0000CD880000}"/>
    <cellStyle name="40% - Accent5 4 4 2 3 4" xfId="33401" xr:uid="{00000000-0005-0000-0000-0000CE880000}"/>
    <cellStyle name="40% - Accent5 4 4 2 3 5" xfId="43126" xr:uid="{00000000-0005-0000-0000-0000CF880000}"/>
    <cellStyle name="40% - Accent5 4 4 2 3 6" xfId="13951" xr:uid="{00000000-0005-0000-0000-0000D0880000}"/>
    <cellStyle name="40% - Accent5 4 4 2 4" xfId="5847" xr:uid="{00000000-0005-0000-0000-0000D1880000}"/>
    <cellStyle name="40% - Accent5 4 4 2 4 2" xfId="25298" xr:uid="{00000000-0005-0000-0000-0000D2880000}"/>
    <cellStyle name="40% - Accent5 4 4 2 4 3" xfId="35023" xr:uid="{00000000-0005-0000-0000-0000D3880000}"/>
    <cellStyle name="40% - Accent5 4 4 2 4 4" xfId="44748" xr:uid="{00000000-0005-0000-0000-0000D4880000}"/>
    <cellStyle name="40% - Accent5 4 4 2 4 5" xfId="15573" xr:uid="{00000000-0005-0000-0000-0000D5880000}"/>
    <cellStyle name="40% - Accent5 4 4 2 5" xfId="20436" xr:uid="{00000000-0005-0000-0000-0000D6880000}"/>
    <cellStyle name="40% - Accent5 4 4 2 6" xfId="30161" xr:uid="{00000000-0005-0000-0000-0000D7880000}"/>
    <cellStyle name="40% - Accent5 4 4 2 7" xfId="39886" xr:uid="{00000000-0005-0000-0000-0000D8880000}"/>
    <cellStyle name="40% - Accent5 4 4 2 8" xfId="10711" xr:uid="{00000000-0005-0000-0000-0000D9880000}"/>
    <cellStyle name="40% - Accent5 4 4 3" xfId="1434" xr:uid="{00000000-0005-0000-0000-0000DA880000}"/>
    <cellStyle name="40% - Accent5 4 4 3 2" xfId="3055" xr:uid="{00000000-0005-0000-0000-0000DB880000}"/>
    <cellStyle name="40% - Accent5 4 4 3 2 2" xfId="7917" xr:uid="{00000000-0005-0000-0000-0000DC880000}"/>
    <cellStyle name="40% - Accent5 4 4 3 2 2 2" xfId="27368" xr:uid="{00000000-0005-0000-0000-0000DD880000}"/>
    <cellStyle name="40% - Accent5 4 4 3 2 2 3" xfId="37093" xr:uid="{00000000-0005-0000-0000-0000DE880000}"/>
    <cellStyle name="40% - Accent5 4 4 3 2 2 4" xfId="46818" xr:uid="{00000000-0005-0000-0000-0000DF880000}"/>
    <cellStyle name="40% - Accent5 4 4 3 2 2 5" xfId="17643" xr:uid="{00000000-0005-0000-0000-0000E0880000}"/>
    <cellStyle name="40% - Accent5 4 4 3 2 3" xfId="22506" xr:uid="{00000000-0005-0000-0000-0000E1880000}"/>
    <cellStyle name="40% - Accent5 4 4 3 2 4" xfId="32231" xr:uid="{00000000-0005-0000-0000-0000E2880000}"/>
    <cellStyle name="40% - Accent5 4 4 3 2 5" xfId="41956" xr:uid="{00000000-0005-0000-0000-0000E3880000}"/>
    <cellStyle name="40% - Accent5 4 4 3 2 6" xfId="12781" xr:uid="{00000000-0005-0000-0000-0000E4880000}"/>
    <cellStyle name="40% - Accent5 4 4 3 3" xfId="4675" xr:uid="{00000000-0005-0000-0000-0000E5880000}"/>
    <cellStyle name="40% - Accent5 4 4 3 3 2" xfId="9537" xr:uid="{00000000-0005-0000-0000-0000E6880000}"/>
    <cellStyle name="40% - Accent5 4 4 3 3 2 2" xfId="28988" xr:uid="{00000000-0005-0000-0000-0000E7880000}"/>
    <cellStyle name="40% - Accent5 4 4 3 3 2 3" xfId="38713" xr:uid="{00000000-0005-0000-0000-0000E8880000}"/>
    <cellStyle name="40% - Accent5 4 4 3 3 2 4" xfId="48438" xr:uid="{00000000-0005-0000-0000-0000E9880000}"/>
    <cellStyle name="40% - Accent5 4 4 3 3 2 5" xfId="19263" xr:uid="{00000000-0005-0000-0000-0000EA880000}"/>
    <cellStyle name="40% - Accent5 4 4 3 3 3" xfId="24126" xr:uid="{00000000-0005-0000-0000-0000EB880000}"/>
    <cellStyle name="40% - Accent5 4 4 3 3 4" xfId="33851" xr:uid="{00000000-0005-0000-0000-0000EC880000}"/>
    <cellStyle name="40% - Accent5 4 4 3 3 5" xfId="43576" xr:uid="{00000000-0005-0000-0000-0000ED880000}"/>
    <cellStyle name="40% - Accent5 4 4 3 3 6" xfId="14401" xr:uid="{00000000-0005-0000-0000-0000EE880000}"/>
    <cellStyle name="40% - Accent5 4 4 3 4" xfId="6297" xr:uid="{00000000-0005-0000-0000-0000EF880000}"/>
    <cellStyle name="40% - Accent5 4 4 3 4 2" xfId="25748" xr:uid="{00000000-0005-0000-0000-0000F0880000}"/>
    <cellStyle name="40% - Accent5 4 4 3 4 3" xfId="35473" xr:uid="{00000000-0005-0000-0000-0000F1880000}"/>
    <cellStyle name="40% - Accent5 4 4 3 4 4" xfId="45198" xr:uid="{00000000-0005-0000-0000-0000F2880000}"/>
    <cellStyle name="40% - Accent5 4 4 3 4 5" xfId="16023" xr:uid="{00000000-0005-0000-0000-0000F3880000}"/>
    <cellStyle name="40% - Accent5 4 4 3 5" xfId="20886" xr:uid="{00000000-0005-0000-0000-0000F4880000}"/>
    <cellStyle name="40% - Accent5 4 4 3 6" xfId="30611" xr:uid="{00000000-0005-0000-0000-0000F5880000}"/>
    <cellStyle name="40% - Accent5 4 4 3 7" xfId="40336" xr:uid="{00000000-0005-0000-0000-0000F6880000}"/>
    <cellStyle name="40% - Accent5 4 4 3 8" xfId="11161" xr:uid="{00000000-0005-0000-0000-0000F7880000}"/>
    <cellStyle name="40% - Accent5 4 4 4" xfId="605" xr:uid="{00000000-0005-0000-0000-0000F8880000}"/>
    <cellStyle name="40% - Accent5 4 4 4 2" xfId="2245" xr:uid="{00000000-0005-0000-0000-0000F9880000}"/>
    <cellStyle name="40% - Accent5 4 4 4 2 2" xfId="7107" xr:uid="{00000000-0005-0000-0000-0000FA880000}"/>
    <cellStyle name="40% - Accent5 4 4 4 2 2 2" xfId="26558" xr:uid="{00000000-0005-0000-0000-0000FB880000}"/>
    <cellStyle name="40% - Accent5 4 4 4 2 2 3" xfId="36283" xr:uid="{00000000-0005-0000-0000-0000FC880000}"/>
    <cellStyle name="40% - Accent5 4 4 4 2 2 4" xfId="46008" xr:uid="{00000000-0005-0000-0000-0000FD880000}"/>
    <cellStyle name="40% - Accent5 4 4 4 2 2 5" xfId="16833" xr:uid="{00000000-0005-0000-0000-0000FE880000}"/>
    <cellStyle name="40% - Accent5 4 4 4 2 3" xfId="21696" xr:uid="{00000000-0005-0000-0000-0000FF880000}"/>
    <cellStyle name="40% - Accent5 4 4 4 2 4" xfId="31421" xr:uid="{00000000-0005-0000-0000-000000890000}"/>
    <cellStyle name="40% - Accent5 4 4 4 2 5" xfId="41146" xr:uid="{00000000-0005-0000-0000-000001890000}"/>
    <cellStyle name="40% - Accent5 4 4 4 2 6" xfId="11971" xr:uid="{00000000-0005-0000-0000-000002890000}"/>
    <cellStyle name="40% - Accent5 4 4 4 3" xfId="3865" xr:uid="{00000000-0005-0000-0000-000003890000}"/>
    <cellStyle name="40% - Accent5 4 4 4 3 2" xfId="8727" xr:uid="{00000000-0005-0000-0000-000004890000}"/>
    <cellStyle name="40% - Accent5 4 4 4 3 2 2" xfId="28178" xr:uid="{00000000-0005-0000-0000-000005890000}"/>
    <cellStyle name="40% - Accent5 4 4 4 3 2 3" xfId="37903" xr:uid="{00000000-0005-0000-0000-000006890000}"/>
    <cellStyle name="40% - Accent5 4 4 4 3 2 4" xfId="47628" xr:uid="{00000000-0005-0000-0000-000007890000}"/>
    <cellStyle name="40% - Accent5 4 4 4 3 2 5" xfId="18453" xr:uid="{00000000-0005-0000-0000-000008890000}"/>
    <cellStyle name="40% - Accent5 4 4 4 3 3" xfId="23316" xr:uid="{00000000-0005-0000-0000-000009890000}"/>
    <cellStyle name="40% - Accent5 4 4 4 3 4" xfId="33041" xr:uid="{00000000-0005-0000-0000-00000A890000}"/>
    <cellStyle name="40% - Accent5 4 4 4 3 5" xfId="42766" xr:uid="{00000000-0005-0000-0000-00000B890000}"/>
    <cellStyle name="40% - Accent5 4 4 4 3 6" xfId="13591" xr:uid="{00000000-0005-0000-0000-00000C890000}"/>
    <cellStyle name="40% - Accent5 4 4 4 4" xfId="5487" xr:uid="{00000000-0005-0000-0000-00000D890000}"/>
    <cellStyle name="40% - Accent5 4 4 4 4 2" xfId="24938" xr:uid="{00000000-0005-0000-0000-00000E890000}"/>
    <cellStyle name="40% - Accent5 4 4 4 4 3" xfId="34663" xr:uid="{00000000-0005-0000-0000-00000F890000}"/>
    <cellStyle name="40% - Accent5 4 4 4 4 4" xfId="44388" xr:uid="{00000000-0005-0000-0000-000010890000}"/>
    <cellStyle name="40% - Accent5 4 4 4 4 5" xfId="15213" xr:uid="{00000000-0005-0000-0000-000011890000}"/>
    <cellStyle name="40% - Accent5 4 4 4 5" xfId="20076" xr:uid="{00000000-0005-0000-0000-000012890000}"/>
    <cellStyle name="40% - Accent5 4 4 4 6" xfId="29801" xr:uid="{00000000-0005-0000-0000-000013890000}"/>
    <cellStyle name="40% - Accent5 4 4 4 7" xfId="39526" xr:uid="{00000000-0005-0000-0000-000014890000}"/>
    <cellStyle name="40% - Accent5 4 4 4 8" xfId="10351" xr:uid="{00000000-0005-0000-0000-000015890000}"/>
    <cellStyle name="40% - Accent5 4 4 5" xfId="1885" xr:uid="{00000000-0005-0000-0000-000016890000}"/>
    <cellStyle name="40% - Accent5 4 4 5 2" xfId="6747" xr:uid="{00000000-0005-0000-0000-000017890000}"/>
    <cellStyle name="40% - Accent5 4 4 5 2 2" xfId="26198" xr:uid="{00000000-0005-0000-0000-000018890000}"/>
    <cellStyle name="40% - Accent5 4 4 5 2 3" xfId="35923" xr:uid="{00000000-0005-0000-0000-000019890000}"/>
    <cellStyle name="40% - Accent5 4 4 5 2 4" xfId="45648" xr:uid="{00000000-0005-0000-0000-00001A890000}"/>
    <cellStyle name="40% - Accent5 4 4 5 2 5" xfId="16473" xr:uid="{00000000-0005-0000-0000-00001B890000}"/>
    <cellStyle name="40% - Accent5 4 4 5 3" xfId="21336" xr:uid="{00000000-0005-0000-0000-00001C890000}"/>
    <cellStyle name="40% - Accent5 4 4 5 4" xfId="31061" xr:uid="{00000000-0005-0000-0000-00001D890000}"/>
    <cellStyle name="40% - Accent5 4 4 5 5" xfId="40786" xr:uid="{00000000-0005-0000-0000-00001E890000}"/>
    <cellStyle name="40% - Accent5 4 4 5 6" xfId="11611" xr:uid="{00000000-0005-0000-0000-00001F890000}"/>
    <cellStyle name="40% - Accent5 4 4 6" xfId="3505" xr:uid="{00000000-0005-0000-0000-000020890000}"/>
    <cellStyle name="40% - Accent5 4 4 6 2" xfId="8367" xr:uid="{00000000-0005-0000-0000-000021890000}"/>
    <cellStyle name="40% - Accent5 4 4 6 2 2" xfId="27818" xr:uid="{00000000-0005-0000-0000-000022890000}"/>
    <cellStyle name="40% - Accent5 4 4 6 2 3" xfId="37543" xr:uid="{00000000-0005-0000-0000-000023890000}"/>
    <cellStyle name="40% - Accent5 4 4 6 2 4" xfId="47268" xr:uid="{00000000-0005-0000-0000-000024890000}"/>
    <cellStyle name="40% - Accent5 4 4 6 2 5" xfId="18093" xr:uid="{00000000-0005-0000-0000-000025890000}"/>
    <cellStyle name="40% - Accent5 4 4 6 3" xfId="22956" xr:uid="{00000000-0005-0000-0000-000026890000}"/>
    <cellStyle name="40% - Accent5 4 4 6 4" xfId="32681" xr:uid="{00000000-0005-0000-0000-000027890000}"/>
    <cellStyle name="40% - Accent5 4 4 6 5" xfId="42406" xr:uid="{00000000-0005-0000-0000-000028890000}"/>
    <cellStyle name="40% - Accent5 4 4 6 6" xfId="13231" xr:uid="{00000000-0005-0000-0000-000029890000}"/>
    <cellStyle name="40% - Accent5 4 4 7" xfId="5127" xr:uid="{00000000-0005-0000-0000-00002A890000}"/>
    <cellStyle name="40% - Accent5 4 4 7 2" xfId="24578" xr:uid="{00000000-0005-0000-0000-00002B890000}"/>
    <cellStyle name="40% - Accent5 4 4 7 3" xfId="34303" xr:uid="{00000000-0005-0000-0000-00002C890000}"/>
    <cellStyle name="40% - Accent5 4 4 7 4" xfId="44028" xr:uid="{00000000-0005-0000-0000-00002D890000}"/>
    <cellStyle name="40% - Accent5 4 4 7 5" xfId="14853" xr:uid="{00000000-0005-0000-0000-00002E890000}"/>
    <cellStyle name="40% - Accent5 4 4 8" xfId="19716" xr:uid="{00000000-0005-0000-0000-00002F890000}"/>
    <cellStyle name="40% - Accent5 4 4 9" xfId="29441" xr:uid="{00000000-0005-0000-0000-000030890000}"/>
    <cellStyle name="40% - Accent5 4 5" xfId="876" xr:uid="{00000000-0005-0000-0000-000031890000}"/>
    <cellStyle name="40% - Accent5 4 5 2" xfId="2515" xr:uid="{00000000-0005-0000-0000-000032890000}"/>
    <cellStyle name="40% - Accent5 4 5 2 2" xfId="7377" xr:uid="{00000000-0005-0000-0000-000033890000}"/>
    <cellStyle name="40% - Accent5 4 5 2 2 2" xfId="26828" xr:uid="{00000000-0005-0000-0000-000034890000}"/>
    <cellStyle name="40% - Accent5 4 5 2 2 3" xfId="36553" xr:uid="{00000000-0005-0000-0000-000035890000}"/>
    <cellStyle name="40% - Accent5 4 5 2 2 4" xfId="46278" xr:uid="{00000000-0005-0000-0000-000036890000}"/>
    <cellStyle name="40% - Accent5 4 5 2 2 5" xfId="17103" xr:uid="{00000000-0005-0000-0000-000037890000}"/>
    <cellStyle name="40% - Accent5 4 5 2 3" xfId="21966" xr:uid="{00000000-0005-0000-0000-000038890000}"/>
    <cellStyle name="40% - Accent5 4 5 2 4" xfId="31691" xr:uid="{00000000-0005-0000-0000-000039890000}"/>
    <cellStyle name="40% - Accent5 4 5 2 5" xfId="41416" xr:uid="{00000000-0005-0000-0000-00003A890000}"/>
    <cellStyle name="40% - Accent5 4 5 2 6" xfId="12241" xr:uid="{00000000-0005-0000-0000-00003B890000}"/>
    <cellStyle name="40% - Accent5 4 5 3" xfId="4135" xr:uid="{00000000-0005-0000-0000-00003C890000}"/>
    <cellStyle name="40% - Accent5 4 5 3 2" xfId="8997" xr:uid="{00000000-0005-0000-0000-00003D890000}"/>
    <cellStyle name="40% - Accent5 4 5 3 2 2" xfId="28448" xr:uid="{00000000-0005-0000-0000-00003E890000}"/>
    <cellStyle name="40% - Accent5 4 5 3 2 3" xfId="38173" xr:uid="{00000000-0005-0000-0000-00003F890000}"/>
    <cellStyle name="40% - Accent5 4 5 3 2 4" xfId="47898" xr:uid="{00000000-0005-0000-0000-000040890000}"/>
    <cellStyle name="40% - Accent5 4 5 3 2 5" xfId="18723" xr:uid="{00000000-0005-0000-0000-000041890000}"/>
    <cellStyle name="40% - Accent5 4 5 3 3" xfId="23586" xr:uid="{00000000-0005-0000-0000-000042890000}"/>
    <cellStyle name="40% - Accent5 4 5 3 4" xfId="33311" xr:uid="{00000000-0005-0000-0000-000043890000}"/>
    <cellStyle name="40% - Accent5 4 5 3 5" xfId="43036" xr:uid="{00000000-0005-0000-0000-000044890000}"/>
    <cellStyle name="40% - Accent5 4 5 3 6" xfId="13861" xr:uid="{00000000-0005-0000-0000-000045890000}"/>
    <cellStyle name="40% - Accent5 4 5 4" xfId="5757" xr:uid="{00000000-0005-0000-0000-000046890000}"/>
    <cellStyle name="40% - Accent5 4 5 4 2" xfId="25208" xr:uid="{00000000-0005-0000-0000-000047890000}"/>
    <cellStyle name="40% - Accent5 4 5 4 3" xfId="34933" xr:uid="{00000000-0005-0000-0000-000048890000}"/>
    <cellStyle name="40% - Accent5 4 5 4 4" xfId="44658" xr:uid="{00000000-0005-0000-0000-000049890000}"/>
    <cellStyle name="40% - Accent5 4 5 4 5" xfId="15483" xr:uid="{00000000-0005-0000-0000-00004A890000}"/>
    <cellStyle name="40% - Accent5 4 5 5" xfId="20346" xr:uid="{00000000-0005-0000-0000-00004B890000}"/>
    <cellStyle name="40% - Accent5 4 5 6" xfId="30071" xr:uid="{00000000-0005-0000-0000-00004C890000}"/>
    <cellStyle name="40% - Accent5 4 5 7" xfId="39796" xr:uid="{00000000-0005-0000-0000-00004D890000}"/>
    <cellStyle name="40% - Accent5 4 5 8" xfId="10621" xr:uid="{00000000-0005-0000-0000-00004E890000}"/>
    <cellStyle name="40% - Accent5 4 6" xfId="1254" xr:uid="{00000000-0005-0000-0000-00004F890000}"/>
    <cellStyle name="40% - Accent5 4 6 2" xfId="2875" xr:uid="{00000000-0005-0000-0000-000050890000}"/>
    <cellStyle name="40% - Accent5 4 6 2 2" xfId="7737" xr:uid="{00000000-0005-0000-0000-000051890000}"/>
    <cellStyle name="40% - Accent5 4 6 2 2 2" xfId="27188" xr:uid="{00000000-0005-0000-0000-000052890000}"/>
    <cellStyle name="40% - Accent5 4 6 2 2 3" xfId="36913" xr:uid="{00000000-0005-0000-0000-000053890000}"/>
    <cellStyle name="40% - Accent5 4 6 2 2 4" xfId="46638" xr:uid="{00000000-0005-0000-0000-000054890000}"/>
    <cellStyle name="40% - Accent5 4 6 2 2 5" xfId="17463" xr:uid="{00000000-0005-0000-0000-000055890000}"/>
    <cellStyle name="40% - Accent5 4 6 2 3" xfId="22326" xr:uid="{00000000-0005-0000-0000-000056890000}"/>
    <cellStyle name="40% - Accent5 4 6 2 4" xfId="32051" xr:uid="{00000000-0005-0000-0000-000057890000}"/>
    <cellStyle name="40% - Accent5 4 6 2 5" xfId="41776" xr:uid="{00000000-0005-0000-0000-000058890000}"/>
    <cellStyle name="40% - Accent5 4 6 2 6" xfId="12601" xr:uid="{00000000-0005-0000-0000-000059890000}"/>
    <cellStyle name="40% - Accent5 4 6 3" xfId="4495" xr:uid="{00000000-0005-0000-0000-00005A890000}"/>
    <cellStyle name="40% - Accent5 4 6 3 2" xfId="9357" xr:uid="{00000000-0005-0000-0000-00005B890000}"/>
    <cellStyle name="40% - Accent5 4 6 3 2 2" xfId="28808" xr:uid="{00000000-0005-0000-0000-00005C890000}"/>
    <cellStyle name="40% - Accent5 4 6 3 2 3" xfId="38533" xr:uid="{00000000-0005-0000-0000-00005D890000}"/>
    <cellStyle name="40% - Accent5 4 6 3 2 4" xfId="48258" xr:uid="{00000000-0005-0000-0000-00005E890000}"/>
    <cellStyle name="40% - Accent5 4 6 3 2 5" xfId="19083" xr:uid="{00000000-0005-0000-0000-00005F890000}"/>
    <cellStyle name="40% - Accent5 4 6 3 3" xfId="23946" xr:uid="{00000000-0005-0000-0000-000060890000}"/>
    <cellStyle name="40% - Accent5 4 6 3 4" xfId="33671" xr:uid="{00000000-0005-0000-0000-000061890000}"/>
    <cellStyle name="40% - Accent5 4 6 3 5" xfId="43396" xr:uid="{00000000-0005-0000-0000-000062890000}"/>
    <cellStyle name="40% - Accent5 4 6 3 6" xfId="14221" xr:uid="{00000000-0005-0000-0000-000063890000}"/>
    <cellStyle name="40% - Accent5 4 6 4" xfId="6117" xr:uid="{00000000-0005-0000-0000-000064890000}"/>
    <cellStyle name="40% - Accent5 4 6 4 2" xfId="25568" xr:uid="{00000000-0005-0000-0000-000065890000}"/>
    <cellStyle name="40% - Accent5 4 6 4 3" xfId="35293" xr:uid="{00000000-0005-0000-0000-000066890000}"/>
    <cellStyle name="40% - Accent5 4 6 4 4" xfId="45018" xr:uid="{00000000-0005-0000-0000-000067890000}"/>
    <cellStyle name="40% - Accent5 4 6 4 5" xfId="15843" xr:uid="{00000000-0005-0000-0000-000068890000}"/>
    <cellStyle name="40% - Accent5 4 6 5" xfId="20706" xr:uid="{00000000-0005-0000-0000-000069890000}"/>
    <cellStyle name="40% - Accent5 4 6 6" xfId="30431" xr:uid="{00000000-0005-0000-0000-00006A890000}"/>
    <cellStyle name="40% - Accent5 4 6 7" xfId="40156" xr:uid="{00000000-0005-0000-0000-00006B890000}"/>
    <cellStyle name="40% - Accent5 4 6 8" xfId="10981" xr:uid="{00000000-0005-0000-0000-00006C890000}"/>
    <cellStyle name="40% - Accent5 4 7" xfId="1344" xr:uid="{00000000-0005-0000-0000-00006D890000}"/>
    <cellStyle name="40% - Accent5 4 7 2" xfId="2965" xr:uid="{00000000-0005-0000-0000-00006E890000}"/>
    <cellStyle name="40% - Accent5 4 7 2 2" xfId="7827" xr:uid="{00000000-0005-0000-0000-00006F890000}"/>
    <cellStyle name="40% - Accent5 4 7 2 2 2" xfId="27278" xr:uid="{00000000-0005-0000-0000-000070890000}"/>
    <cellStyle name="40% - Accent5 4 7 2 2 3" xfId="37003" xr:uid="{00000000-0005-0000-0000-000071890000}"/>
    <cellStyle name="40% - Accent5 4 7 2 2 4" xfId="46728" xr:uid="{00000000-0005-0000-0000-000072890000}"/>
    <cellStyle name="40% - Accent5 4 7 2 2 5" xfId="17553" xr:uid="{00000000-0005-0000-0000-000073890000}"/>
    <cellStyle name="40% - Accent5 4 7 2 3" xfId="22416" xr:uid="{00000000-0005-0000-0000-000074890000}"/>
    <cellStyle name="40% - Accent5 4 7 2 4" xfId="32141" xr:uid="{00000000-0005-0000-0000-000075890000}"/>
    <cellStyle name="40% - Accent5 4 7 2 5" xfId="41866" xr:uid="{00000000-0005-0000-0000-000076890000}"/>
    <cellStyle name="40% - Accent5 4 7 2 6" xfId="12691" xr:uid="{00000000-0005-0000-0000-000077890000}"/>
    <cellStyle name="40% - Accent5 4 7 3" xfId="4585" xr:uid="{00000000-0005-0000-0000-000078890000}"/>
    <cellStyle name="40% - Accent5 4 7 3 2" xfId="9447" xr:uid="{00000000-0005-0000-0000-000079890000}"/>
    <cellStyle name="40% - Accent5 4 7 3 2 2" xfId="28898" xr:uid="{00000000-0005-0000-0000-00007A890000}"/>
    <cellStyle name="40% - Accent5 4 7 3 2 3" xfId="38623" xr:uid="{00000000-0005-0000-0000-00007B890000}"/>
    <cellStyle name="40% - Accent5 4 7 3 2 4" xfId="48348" xr:uid="{00000000-0005-0000-0000-00007C890000}"/>
    <cellStyle name="40% - Accent5 4 7 3 2 5" xfId="19173" xr:uid="{00000000-0005-0000-0000-00007D890000}"/>
    <cellStyle name="40% - Accent5 4 7 3 3" xfId="24036" xr:uid="{00000000-0005-0000-0000-00007E890000}"/>
    <cellStyle name="40% - Accent5 4 7 3 4" xfId="33761" xr:uid="{00000000-0005-0000-0000-00007F890000}"/>
    <cellStyle name="40% - Accent5 4 7 3 5" xfId="43486" xr:uid="{00000000-0005-0000-0000-000080890000}"/>
    <cellStyle name="40% - Accent5 4 7 3 6" xfId="14311" xr:uid="{00000000-0005-0000-0000-000081890000}"/>
    <cellStyle name="40% - Accent5 4 7 4" xfId="6207" xr:uid="{00000000-0005-0000-0000-000082890000}"/>
    <cellStyle name="40% - Accent5 4 7 4 2" xfId="25658" xr:uid="{00000000-0005-0000-0000-000083890000}"/>
    <cellStyle name="40% - Accent5 4 7 4 3" xfId="35383" xr:uid="{00000000-0005-0000-0000-000084890000}"/>
    <cellStyle name="40% - Accent5 4 7 4 4" xfId="45108" xr:uid="{00000000-0005-0000-0000-000085890000}"/>
    <cellStyle name="40% - Accent5 4 7 4 5" xfId="15933" xr:uid="{00000000-0005-0000-0000-000086890000}"/>
    <cellStyle name="40% - Accent5 4 7 5" xfId="20796" xr:uid="{00000000-0005-0000-0000-000087890000}"/>
    <cellStyle name="40% - Accent5 4 7 6" xfId="30521" xr:uid="{00000000-0005-0000-0000-000088890000}"/>
    <cellStyle name="40% - Accent5 4 7 7" xfId="40246" xr:uid="{00000000-0005-0000-0000-000089890000}"/>
    <cellStyle name="40% - Accent5 4 7 8" xfId="11071" xr:uid="{00000000-0005-0000-0000-00008A890000}"/>
    <cellStyle name="40% - Accent5 4 8" xfId="515" xr:uid="{00000000-0005-0000-0000-00008B890000}"/>
    <cellStyle name="40% - Accent5 4 8 2" xfId="2155" xr:uid="{00000000-0005-0000-0000-00008C890000}"/>
    <cellStyle name="40% - Accent5 4 8 2 2" xfId="7017" xr:uid="{00000000-0005-0000-0000-00008D890000}"/>
    <cellStyle name="40% - Accent5 4 8 2 2 2" xfId="26468" xr:uid="{00000000-0005-0000-0000-00008E890000}"/>
    <cellStyle name="40% - Accent5 4 8 2 2 3" xfId="36193" xr:uid="{00000000-0005-0000-0000-00008F890000}"/>
    <cellStyle name="40% - Accent5 4 8 2 2 4" xfId="45918" xr:uid="{00000000-0005-0000-0000-000090890000}"/>
    <cellStyle name="40% - Accent5 4 8 2 2 5" xfId="16743" xr:uid="{00000000-0005-0000-0000-000091890000}"/>
    <cellStyle name="40% - Accent5 4 8 2 3" xfId="21606" xr:uid="{00000000-0005-0000-0000-000092890000}"/>
    <cellStyle name="40% - Accent5 4 8 2 4" xfId="31331" xr:uid="{00000000-0005-0000-0000-000093890000}"/>
    <cellStyle name="40% - Accent5 4 8 2 5" xfId="41056" xr:uid="{00000000-0005-0000-0000-000094890000}"/>
    <cellStyle name="40% - Accent5 4 8 2 6" xfId="11881" xr:uid="{00000000-0005-0000-0000-000095890000}"/>
    <cellStyle name="40% - Accent5 4 8 3" xfId="3775" xr:uid="{00000000-0005-0000-0000-000096890000}"/>
    <cellStyle name="40% - Accent5 4 8 3 2" xfId="8637" xr:uid="{00000000-0005-0000-0000-000097890000}"/>
    <cellStyle name="40% - Accent5 4 8 3 2 2" xfId="28088" xr:uid="{00000000-0005-0000-0000-000098890000}"/>
    <cellStyle name="40% - Accent5 4 8 3 2 3" xfId="37813" xr:uid="{00000000-0005-0000-0000-000099890000}"/>
    <cellStyle name="40% - Accent5 4 8 3 2 4" xfId="47538" xr:uid="{00000000-0005-0000-0000-00009A890000}"/>
    <cellStyle name="40% - Accent5 4 8 3 2 5" xfId="18363" xr:uid="{00000000-0005-0000-0000-00009B890000}"/>
    <cellStyle name="40% - Accent5 4 8 3 3" xfId="23226" xr:uid="{00000000-0005-0000-0000-00009C890000}"/>
    <cellStyle name="40% - Accent5 4 8 3 4" xfId="32951" xr:uid="{00000000-0005-0000-0000-00009D890000}"/>
    <cellStyle name="40% - Accent5 4 8 3 5" xfId="42676" xr:uid="{00000000-0005-0000-0000-00009E890000}"/>
    <cellStyle name="40% - Accent5 4 8 3 6" xfId="13501" xr:uid="{00000000-0005-0000-0000-00009F890000}"/>
    <cellStyle name="40% - Accent5 4 8 4" xfId="5397" xr:uid="{00000000-0005-0000-0000-0000A0890000}"/>
    <cellStyle name="40% - Accent5 4 8 4 2" xfId="24848" xr:uid="{00000000-0005-0000-0000-0000A1890000}"/>
    <cellStyle name="40% - Accent5 4 8 4 3" xfId="34573" xr:uid="{00000000-0005-0000-0000-0000A2890000}"/>
    <cellStyle name="40% - Accent5 4 8 4 4" xfId="44298" xr:uid="{00000000-0005-0000-0000-0000A3890000}"/>
    <cellStyle name="40% - Accent5 4 8 4 5" xfId="15123" xr:uid="{00000000-0005-0000-0000-0000A4890000}"/>
    <cellStyle name="40% - Accent5 4 8 5" xfId="19986" xr:uid="{00000000-0005-0000-0000-0000A5890000}"/>
    <cellStyle name="40% - Accent5 4 8 6" xfId="29711" xr:uid="{00000000-0005-0000-0000-0000A6890000}"/>
    <cellStyle name="40% - Accent5 4 8 7" xfId="39436" xr:uid="{00000000-0005-0000-0000-0000A7890000}"/>
    <cellStyle name="40% - Accent5 4 8 8" xfId="10261" xr:uid="{00000000-0005-0000-0000-0000A8890000}"/>
    <cellStyle name="40% - Accent5 4 9" xfId="1704" xr:uid="{00000000-0005-0000-0000-0000A9890000}"/>
    <cellStyle name="40% - Accent5 4 9 2" xfId="3325" xr:uid="{00000000-0005-0000-0000-0000AA890000}"/>
    <cellStyle name="40% - Accent5 4 9 2 2" xfId="8187" xr:uid="{00000000-0005-0000-0000-0000AB890000}"/>
    <cellStyle name="40% - Accent5 4 9 2 2 2" xfId="27638" xr:uid="{00000000-0005-0000-0000-0000AC890000}"/>
    <cellStyle name="40% - Accent5 4 9 2 2 3" xfId="37363" xr:uid="{00000000-0005-0000-0000-0000AD890000}"/>
    <cellStyle name="40% - Accent5 4 9 2 2 4" xfId="47088" xr:uid="{00000000-0005-0000-0000-0000AE890000}"/>
    <cellStyle name="40% - Accent5 4 9 2 2 5" xfId="17913" xr:uid="{00000000-0005-0000-0000-0000AF890000}"/>
    <cellStyle name="40% - Accent5 4 9 2 3" xfId="22776" xr:uid="{00000000-0005-0000-0000-0000B0890000}"/>
    <cellStyle name="40% - Accent5 4 9 2 4" xfId="32501" xr:uid="{00000000-0005-0000-0000-0000B1890000}"/>
    <cellStyle name="40% - Accent5 4 9 2 5" xfId="42226" xr:uid="{00000000-0005-0000-0000-0000B2890000}"/>
    <cellStyle name="40% - Accent5 4 9 2 6" xfId="13051" xr:uid="{00000000-0005-0000-0000-0000B3890000}"/>
    <cellStyle name="40% - Accent5 4 9 3" xfId="4945" xr:uid="{00000000-0005-0000-0000-0000B4890000}"/>
    <cellStyle name="40% - Accent5 4 9 3 2" xfId="9807" xr:uid="{00000000-0005-0000-0000-0000B5890000}"/>
    <cellStyle name="40% - Accent5 4 9 3 2 2" xfId="29258" xr:uid="{00000000-0005-0000-0000-0000B6890000}"/>
    <cellStyle name="40% - Accent5 4 9 3 2 3" xfId="38983" xr:uid="{00000000-0005-0000-0000-0000B7890000}"/>
    <cellStyle name="40% - Accent5 4 9 3 2 4" xfId="48708" xr:uid="{00000000-0005-0000-0000-0000B8890000}"/>
    <cellStyle name="40% - Accent5 4 9 3 2 5" xfId="19533" xr:uid="{00000000-0005-0000-0000-0000B9890000}"/>
    <cellStyle name="40% - Accent5 4 9 3 3" xfId="24396" xr:uid="{00000000-0005-0000-0000-0000BA890000}"/>
    <cellStyle name="40% - Accent5 4 9 3 4" xfId="34121" xr:uid="{00000000-0005-0000-0000-0000BB890000}"/>
    <cellStyle name="40% - Accent5 4 9 3 5" xfId="43846" xr:uid="{00000000-0005-0000-0000-0000BC890000}"/>
    <cellStyle name="40% - Accent5 4 9 3 6" xfId="14671" xr:uid="{00000000-0005-0000-0000-0000BD890000}"/>
    <cellStyle name="40% - Accent5 4 9 4" xfId="6567" xr:uid="{00000000-0005-0000-0000-0000BE890000}"/>
    <cellStyle name="40% - Accent5 4 9 4 2" xfId="26018" xr:uid="{00000000-0005-0000-0000-0000BF890000}"/>
    <cellStyle name="40% - Accent5 4 9 4 3" xfId="35743" xr:uid="{00000000-0005-0000-0000-0000C0890000}"/>
    <cellStyle name="40% - Accent5 4 9 4 4" xfId="45468" xr:uid="{00000000-0005-0000-0000-0000C1890000}"/>
    <cellStyle name="40% - Accent5 4 9 4 5" xfId="16293" xr:uid="{00000000-0005-0000-0000-0000C2890000}"/>
    <cellStyle name="40% - Accent5 4 9 5" xfId="21156" xr:uid="{00000000-0005-0000-0000-0000C3890000}"/>
    <cellStyle name="40% - Accent5 4 9 6" xfId="30881" xr:uid="{00000000-0005-0000-0000-0000C4890000}"/>
    <cellStyle name="40% - Accent5 4 9 7" xfId="40606" xr:uid="{00000000-0005-0000-0000-0000C5890000}"/>
    <cellStyle name="40% - Accent5 4 9 8" xfId="11431" xr:uid="{00000000-0005-0000-0000-0000C6890000}"/>
    <cellStyle name="40% - Accent5 5" xfId="233" xr:uid="{00000000-0005-0000-0000-0000C7890000}"/>
    <cellStyle name="40% - Accent5 5 10" xfId="39196" xr:uid="{00000000-0005-0000-0000-0000C8890000}"/>
    <cellStyle name="40% - Accent5 5 11" xfId="10021" xr:uid="{00000000-0005-0000-0000-0000C9890000}"/>
    <cellStyle name="40% - Accent5 5 2" xfId="997" xr:uid="{00000000-0005-0000-0000-0000CA890000}"/>
    <cellStyle name="40% - Accent5 5 2 2" xfId="2635" xr:uid="{00000000-0005-0000-0000-0000CB890000}"/>
    <cellStyle name="40% - Accent5 5 2 2 2" xfId="7497" xr:uid="{00000000-0005-0000-0000-0000CC890000}"/>
    <cellStyle name="40% - Accent5 5 2 2 2 2" xfId="26948" xr:uid="{00000000-0005-0000-0000-0000CD890000}"/>
    <cellStyle name="40% - Accent5 5 2 2 2 3" xfId="36673" xr:uid="{00000000-0005-0000-0000-0000CE890000}"/>
    <cellStyle name="40% - Accent5 5 2 2 2 4" xfId="46398" xr:uid="{00000000-0005-0000-0000-0000CF890000}"/>
    <cellStyle name="40% - Accent5 5 2 2 2 5" xfId="17223" xr:uid="{00000000-0005-0000-0000-0000D0890000}"/>
    <cellStyle name="40% - Accent5 5 2 2 3" xfId="22086" xr:uid="{00000000-0005-0000-0000-0000D1890000}"/>
    <cellStyle name="40% - Accent5 5 2 2 4" xfId="31811" xr:uid="{00000000-0005-0000-0000-0000D2890000}"/>
    <cellStyle name="40% - Accent5 5 2 2 5" xfId="41536" xr:uid="{00000000-0005-0000-0000-0000D3890000}"/>
    <cellStyle name="40% - Accent5 5 2 2 6" xfId="12361" xr:uid="{00000000-0005-0000-0000-0000D4890000}"/>
    <cellStyle name="40% - Accent5 5 2 3" xfId="4255" xr:uid="{00000000-0005-0000-0000-0000D5890000}"/>
    <cellStyle name="40% - Accent5 5 2 3 2" xfId="9117" xr:uid="{00000000-0005-0000-0000-0000D6890000}"/>
    <cellStyle name="40% - Accent5 5 2 3 2 2" xfId="28568" xr:uid="{00000000-0005-0000-0000-0000D7890000}"/>
    <cellStyle name="40% - Accent5 5 2 3 2 3" xfId="38293" xr:uid="{00000000-0005-0000-0000-0000D8890000}"/>
    <cellStyle name="40% - Accent5 5 2 3 2 4" xfId="48018" xr:uid="{00000000-0005-0000-0000-0000D9890000}"/>
    <cellStyle name="40% - Accent5 5 2 3 2 5" xfId="18843" xr:uid="{00000000-0005-0000-0000-0000DA890000}"/>
    <cellStyle name="40% - Accent5 5 2 3 3" xfId="23706" xr:uid="{00000000-0005-0000-0000-0000DB890000}"/>
    <cellStyle name="40% - Accent5 5 2 3 4" xfId="33431" xr:uid="{00000000-0005-0000-0000-0000DC890000}"/>
    <cellStyle name="40% - Accent5 5 2 3 5" xfId="43156" xr:uid="{00000000-0005-0000-0000-0000DD890000}"/>
    <cellStyle name="40% - Accent5 5 2 3 6" xfId="13981" xr:uid="{00000000-0005-0000-0000-0000DE890000}"/>
    <cellStyle name="40% - Accent5 5 2 4" xfId="5877" xr:uid="{00000000-0005-0000-0000-0000DF890000}"/>
    <cellStyle name="40% - Accent5 5 2 4 2" xfId="25328" xr:uid="{00000000-0005-0000-0000-0000E0890000}"/>
    <cellStyle name="40% - Accent5 5 2 4 3" xfId="35053" xr:uid="{00000000-0005-0000-0000-0000E1890000}"/>
    <cellStyle name="40% - Accent5 5 2 4 4" xfId="44778" xr:uid="{00000000-0005-0000-0000-0000E2890000}"/>
    <cellStyle name="40% - Accent5 5 2 4 5" xfId="15603" xr:uid="{00000000-0005-0000-0000-0000E3890000}"/>
    <cellStyle name="40% - Accent5 5 2 5" xfId="20466" xr:uid="{00000000-0005-0000-0000-0000E4890000}"/>
    <cellStyle name="40% - Accent5 5 2 6" xfId="30191" xr:uid="{00000000-0005-0000-0000-0000E5890000}"/>
    <cellStyle name="40% - Accent5 5 2 7" xfId="39916" xr:uid="{00000000-0005-0000-0000-0000E6890000}"/>
    <cellStyle name="40% - Accent5 5 2 8" xfId="10741" xr:uid="{00000000-0005-0000-0000-0000E7890000}"/>
    <cellStyle name="40% - Accent5 5 3" xfId="1464" xr:uid="{00000000-0005-0000-0000-0000E8890000}"/>
    <cellStyle name="40% - Accent5 5 3 2" xfId="3085" xr:uid="{00000000-0005-0000-0000-0000E9890000}"/>
    <cellStyle name="40% - Accent5 5 3 2 2" xfId="7947" xr:uid="{00000000-0005-0000-0000-0000EA890000}"/>
    <cellStyle name="40% - Accent5 5 3 2 2 2" xfId="27398" xr:uid="{00000000-0005-0000-0000-0000EB890000}"/>
    <cellStyle name="40% - Accent5 5 3 2 2 3" xfId="37123" xr:uid="{00000000-0005-0000-0000-0000EC890000}"/>
    <cellStyle name="40% - Accent5 5 3 2 2 4" xfId="46848" xr:uid="{00000000-0005-0000-0000-0000ED890000}"/>
    <cellStyle name="40% - Accent5 5 3 2 2 5" xfId="17673" xr:uid="{00000000-0005-0000-0000-0000EE890000}"/>
    <cellStyle name="40% - Accent5 5 3 2 3" xfId="22536" xr:uid="{00000000-0005-0000-0000-0000EF890000}"/>
    <cellStyle name="40% - Accent5 5 3 2 4" xfId="32261" xr:uid="{00000000-0005-0000-0000-0000F0890000}"/>
    <cellStyle name="40% - Accent5 5 3 2 5" xfId="41986" xr:uid="{00000000-0005-0000-0000-0000F1890000}"/>
    <cellStyle name="40% - Accent5 5 3 2 6" xfId="12811" xr:uid="{00000000-0005-0000-0000-0000F2890000}"/>
    <cellStyle name="40% - Accent5 5 3 3" xfId="4705" xr:uid="{00000000-0005-0000-0000-0000F3890000}"/>
    <cellStyle name="40% - Accent5 5 3 3 2" xfId="9567" xr:uid="{00000000-0005-0000-0000-0000F4890000}"/>
    <cellStyle name="40% - Accent5 5 3 3 2 2" xfId="29018" xr:uid="{00000000-0005-0000-0000-0000F5890000}"/>
    <cellStyle name="40% - Accent5 5 3 3 2 3" xfId="38743" xr:uid="{00000000-0005-0000-0000-0000F6890000}"/>
    <cellStyle name="40% - Accent5 5 3 3 2 4" xfId="48468" xr:uid="{00000000-0005-0000-0000-0000F7890000}"/>
    <cellStyle name="40% - Accent5 5 3 3 2 5" xfId="19293" xr:uid="{00000000-0005-0000-0000-0000F8890000}"/>
    <cellStyle name="40% - Accent5 5 3 3 3" xfId="24156" xr:uid="{00000000-0005-0000-0000-0000F9890000}"/>
    <cellStyle name="40% - Accent5 5 3 3 4" xfId="33881" xr:uid="{00000000-0005-0000-0000-0000FA890000}"/>
    <cellStyle name="40% - Accent5 5 3 3 5" xfId="43606" xr:uid="{00000000-0005-0000-0000-0000FB890000}"/>
    <cellStyle name="40% - Accent5 5 3 3 6" xfId="14431" xr:uid="{00000000-0005-0000-0000-0000FC890000}"/>
    <cellStyle name="40% - Accent5 5 3 4" xfId="6327" xr:uid="{00000000-0005-0000-0000-0000FD890000}"/>
    <cellStyle name="40% - Accent5 5 3 4 2" xfId="25778" xr:uid="{00000000-0005-0000-0000-0000FE890000}"/>
    <cellStyle name="40% - Accent5 5 3 4 3" xfId="35503" xr:uid="{00000000-0005-0000-0000-0000FF890000}"/>
    <cellStyle name="40% - Accent5 5 3 4 4" xfId="45228" xr:uid="{00000000-0005-0000-0000-0000008A0000}"/>
    <cellStyle name="40% - Accent5 5 3 4 5" xfId="16053" xr:uid="{00000000-0005-0000-0000-0000018A0000}"/>
    <cellStyle name="40% - Accent5 5 3 5" xfId="20916" xr:uid="{00000000-0005-0000-0000-0000028A0000}"/>
    <cellStyle name="40% - Accent5 5 3 6" xfId="30641" xr:uid="{00000000-0005-0000-0000-0000038A0000}"/>
    <cellStyle name="40% - Accent5 5 3 7" xfId="40366" xr:uid="{00000000-0005-0000-0000-0000048A0000}"/>
    <cellStyle name="40% - Accent5 5 3 8" xfId="11191" xr:uid="{00000000-0005-0000-0000-0000058A0000}"/>
    <cellStyle name="40% - Accent5 5 4" xfId="635" xr:uid="{00000000-0005-0000-0000-0000068A0000}"/>
    <cellStyle name="40% - Accent5 5 4 2" xfId="2275" xr:uid="{00000000-0005-0000-0000-0000078A0000}"/>
    <cellStyle name="40% - Accent5 5 4 2 2" xfId="7137" xr:uid="{00000000-0005-0000-0000-0000088A0000}"/>
    <cellStyle name="40% - Accent5 5 4 2 2 2" xfId="26588" xr:uid="{00000000-0005-0000-0000-0000098A0000}"/>
    <cellStyle name="40% - Accent5 5 4 2 2 3" xfId="36313" xr:uid="{00000000-0005-0000-0000-00000A8A0000}"/>
    <cellStyle name="40% - Accent5 5 4 2 2 4" xfId="46038" xr:uid="{00000000-0005-0000-0000-00000B8A0000}"/>
    <cellStyle name="40% - Accent5 5 4 2 2 5" xfId="16863" xr:uid="{00000000-0005-0000-0000-00000C8A0000}"/>
    <cellStyle name="40% - Accent5 5 4 2 3" xfId="21726" xr:uid="{00000000-0005-0000-0000-00000D8A0000}"/>
    <cellStyle name="40% - Accent5 5 4 2 4" xfId="31451" xr:uid="{00000000-0005-0000-0000-00000E8A0000}"/>
    <cellStyle name="40% - Accent5 5 4 2 5" xfId="41176" xr:uid="{00000000-0005-0000-0000-00000F8A0000}"/>
    <cellStyle name="40% - Accent5 5 4 2 6" xfId="12001" xr:uid="{00000000-0005-0000-0000-0000108A0000}"/>
    <cellStyle name="40% - Accent5 5 4 3" xfId="3895" xr:uid="{00000000-0005-0000-0000-0000118A0000}"/>
    <cellStyle name="40% - Accent5 5 4 3 2" xfId="8757" xr:uid="{00000000-0005-0000-0000-0000128A0000}"/>
    <cellStyle name="40% - Accent5 5 4 3 2 2" xfId="28208" xr:uid="{00000000-0005-0000-0000-0000138A0000}"/>
    <cellStyle name="40% - Accent5 5 4 3 2 3" xfId="37933" xr:uid="{00000000-0005-0000-0000-0000148A0000}"/>
    <cellStyle name="40% - Accent5 5 4 3 2 4" xfId="47658" xr:uid="{00000000-0005-0000-0000-0000158A0000}"/>
    <cellStyle name="40% - Accent5 5 4 3 2 5" xfId="18483" xr:uid="{00000000-0005-0000-0000-0000168A0000}"/>
    <cellStyle name="40% - Accent5 5 4 3 3" xfId="23346" xr:uid="{00000000-0005-0000-0000-0000178A0000}"/>
    <cellStyle name="40% - Accent5 5 4 3 4" xfId="33071" xr:uid="{00000000-0005-0000-0000-0000188A0000}"/>
    <cellStyle name="40% - Accent5 5 4 3 5" xfId="42796" xr:uid="{00000000-0005-0000-0000-0000198A0000}"/>
    <cellStyle name="40% - Accent5 5 4 3 6" xfId="13621" xr:uid="{00000000-0005-0000-0000-00001A8A0000}"/>
    <cellStyle name="40% - Accent5 5 4 4" xfId="5517" xr:uid="{00000000-0005-0000-0000-00001B8A0000}"/>
    <cellStyle name="40% - Accent5 5 4 4 2" xfId="24968" xr:uid="{00000000-0005-0000-0000-00001C8A0000}"/>
    <cellStyle name="40% - Accent5 5 4 4 3" xfId="34693" xr:uid="{00000000-0005-0000-0000-00001D8A0000}"/>
    <cellStyle name="40% - Accent5 5 4 4 4" xfId="44418" xr:uid="{00000000-0005-0000-0000-00001E8A0000}"/>
    <cellStyle name="40% - Accent5 5 4 4 5" xfId="15243" xr:uid="{00000000-0005-0000-0000-00001F8A0000}"/>
    <cellStyle name="40% - Accent5 5 4 5" xfId="20106" xr:uid="{00000000-0005-0000-0000-0000208A0000}"/>
    <cellStyle name="40% - Accent5 5 4 6" xfId="29831" xr:uid="{00000000-0005-0000-0000-0000218A0000}"/>
    <cellStyle name="40% - Accent5 5 4 7" xfId="39556" xr:uid="{00000000-0005-0000-0000-0000228A0000}"/>
    <cellStyle name="40% - Accent5 5 4 8" xfId="10381" xr:uid="{00000000-0005-0000-0000-0000238A0000}"/>
    <cellStyle name="40% - Accent5 5 5" xfId="1915" xr:uid="{00000000-0005-0000-0000-0000248A0000}"/>
    <cellStyle name="40% - Accent5 5 5 2" xfId="6777" xr:uid="{00000000-0005-0000-0000-0000258A0000}"/>
    <cellStyle name="40% - Accent5 5 5 2 2" xfId="26228" xr:uid="{00000000-0005-0000-0000-0000268A0000}"/>
    <cellStyle name="40% - Accent5 5 5 2 3" xfId="35953" xr:uid="{00000000-0005-0000-0000-0000278A0000}"/>
    <cellStyle name="40% - Accent5 5 5 2 4" xfId="45678" xr:uid="{00000000-0005-0000-0000-0000288A0000}"/>
    <cellStyle name="40% - Accent5 5 5 2 5" xfId="16503" xr:uid="{00000000-0005-0000-0000-0000298A0000}"/>
    <cellStyle name="40% - Accent5 5 5 3" xfId="21366" xr:uid="{00000000-0005-0000-0000-00002A8A0000}"/>
    <cellStyle name="40% - Accent5 5 5 4" xfId="31091" xr:uid="{00000000-0005-0000-0000-00002B8A0000}"/>
    <cellStyle name="40% - Accent5 5 5 5" xfId="40816" xr:uid="{00000000-0005-0000-0000-00002C8A0000}"/>
    <cellStyle name="40% - Accent5 5 5 6" xfId="11641" xr:uid="{00000000-0005-0000-0000-00002D8A0000}"/>
    <cellStyle name="40% - Accent5 5 6" xfId="3535" xr:uid="{00000000-0005-0000-0000-00002E8A0000}"/>
    <cellStyle name="40% - Accent5 5 6 2" xfId="8397" xr:uid="{00000000-0005-0000-0000-00002F8A0000}"/>
    <cellStyle name="40% - Accent5 5 6 2 2" xfId="27848" xr:uid="{00000000-0005-0000-0000-0000308A0000}"/>
    <cellStyle name="40% - Accent5 5 6 2 3" xfId="37573" xr:uid="{00000000-0005-0000-0000-0000318A0000}"/>
    <cellStyle name="40% - Accent5 5 6 2 4" xfId="47298" xr:uid="{00000000-0005-0000-0000-0000328A0000}"/>
    <cellStyle name="40% - Accent5 5 6 2 5" xfId="18123" xr:uid="{00000000-0005-0000-0000-0000338A0000}"/>
    <cellStyle name="40% - Accent5 5 6 3" xfId="22986" xr:uid="{00000000-0005-0000-0000-0000348A0000}"/>
    <cellStyle name="40% - Accent5 5 6 4" xfId="32711" xr:uid="{00000000-0005-0000-0000-0000358A0000}"/>
    <cellStyle name="40% - Accent5 5 6 5" xfId="42436" xr:uid="{00000000-0005-0000-0000-0000368A0000}"/>
    <cellStyle name="40% - Accent5 5 6 6" xfId="13261" xr:uid="{00000000-0005-0000-0000-0000378A0000}"/>
    <cellStyle name="40% - Accent5 5 7" xfId="5157" xr:uid="{00000000-0005-0000-0000-0000388A0000}"/>
    <cellStyle name="40% - Accent5 5 7 2" xfId="24608" xr:uid="{00000000-0005-0000-0000-0000398A0000}"/>
    <cellStyle name="40% - Accent5 5 7 3" xfId="34333" xr:uid="{00000000-0005-0000-0000-00003A8A0000}"/>
    <cellStyle name="40% - Accent5 5 7 4" xfId="44058" xr:uid="{00000000-0005-0000-0000-00003B8A0000}"/>
    <cellStyle name="40% - Accent5 5 7 5" xfId="14883" xr:uid="{00000000-0005-0000-0000-00003C8A0000}"/>
    <cellStyle name="40% - Accent5 5 8" xfId="19746" xr:uid="{00000000-0005-0000-0000-00003D8A0000}"/>
    <cellStyle name="40% - Accent5 5 9" xfId="29471" xr:uid="{00000000-0005-0000-0000-00003E8A0000}"/>
    <cellStyle name="40% - Accent5 6" xfId="324" xr:uid="{00000000-0005-0000-0000-00003F8A0000}"/>
    <cellStyle name="40% - Accent5 6 10" xfId="39286" xr:uid="{00000000-0005-0000-0000-0000408A0000}"/>
    <cellStyle name="40% - Accent5 6 11" xfId="10111" xr:uid="{00000000-0005-0000-0000-0000418A0000}"/>
    <cellStyle name="40% - Accent5 6 2" xfId="1087" xr:uid="{00000000-0005-0000-0000-0000428A0000}"/>
    <cellStyle name="40% - Accent5 6 2 2" xfId="2725" xr:uid="{00000000-0005-0000-0000-0000438A0000}"/>
    <cellStyle name="40% - Accent5 6 2 2 2" xfId="7587" xr:uid="{00000000-0005-0000-0000-0000448A0000}"/>
    <cellStyle name="40% - Accent5 6 2 2 2 2" xfId="27038" xr:uid="{00000000-0005-0000-0000-0000458A0000}"/>
    <cellStyle name="40% - Accent5 6 2 2 2 3" xfId="36763" xr:uid="{00000000-0005-0000-0000-0000468A0000}"/>
    <cellStyle name="40% - Accent5 6 2 2 2 4" xfId="46488" xr:uid="{00000000-0005-0000-0000-0000478A0000}"/>
    <cellStyle name="40% - Accent5 6 2 2 2 5" xfId="17313" xr:uid="{00000000-0005-0000-0000-0000488A0000}"/>
    <cellStyle name="40% - Accent5 6 2 2 3" xfId="22176" xr:uid="{00000000-0005-0000-0000-0000498A0000}"/>
    <cellStyle name="40% - Accent5 6 2 2 4" xfId="31901" xr:uid="{00000000-0005-0000-0000-00004A8A0000}"/>
    <cellStyle name="40% - Accent5 6 2 2 5" xfId="41626" xr:uid="{00000000-0005-0000-0000-00004B8A0000}"/>
    <cellStyle name="40% - Accent5 6 2 2 6" xfId="12451" xr:uid="{00000000-0005-0000-0000-00004C8A0000}"/>
    <cellStyle name="40% - Accent5 6 2 3" xfId="4345" xr:uid="{00000000-0005-0000-0000-00004D8A0000}"/>
    <cellStyle name="40% - Accent5 6 2 3 2" xfId="9207" xr:uid="{00000000-0005-0000-0000-00004E8A0000}"/>
    <cellStyle name="40% - Accent5 6 2 3 2 2" xfId="28658" xr:uid="{00000000-0005-0000-0000-00004F8A0000}"/>
    <cellStyle name="40% - Accent5 6 2 3 2 3" xfId="38383" xr:uid="{00000000-0005-0000-0000-0000508A0000}"/>
    <cellStyle name="40% - Accent5 6 2 3 2 4" xfId="48108" xr:uid="{00000000-0005-0000-0000-0000518A0000}"/>
    <cellStyle name="40% - Accent5 6 2 3 2 5" xfId="18933" xr:uid="{00000000-0005-0000-0000-0000528A0000}"/>
    <cellStyle name="40% - Accent5 6 2 3 3" xfId="23796" xr:uid="{00000000-0005-0000-0000-0000538A0000}"/>
    <cellStyle name="40% - Accent5 6 2 3 4" xfId="33521" xr:uid="{00000000-0005-0000-0000-0000548A0000}"/>
    <cellStyle name="40% - Accent5 6 2 3 5" xfId="43246" xr:uid="{00000000-0005-0000-0000-0000558A0000}"/>
    <cellStyle name="40% - Accent5 6 2 3 6" xfId="14071" xr:uid="{00000000-0005-0000-0000-0000568A0000}"/>
    <cellStyle name="40% - Accent5 6 2 4" xfId="5967" xr:uid="{00000000-0005-0000-0000-0000578A0000}"/>
    <cellStyle name="40% - Accent5 6 2 4 2" xfId="25418" xr:uid="{00000000-0005-0000-0000-0000588A0000}"/>
    <cellStyle name="40% - Accent5 6 2 4 3" xfId="35143" xr:uid="{00000000-0005-0000-0000-0000598A0000}"/>
    <cellStyle name="40% - Accent5 6 2 4 4" xfId="44868" xr:uid="{00000000-0005-0000-0000-00005A8A0000}"/>
    <cellStyle name="40% - Accent5 6 2 4 5" xfId="15693" xr:uid="{00000000-0005-0000-0000-00005B8A0000}"/>
    <cellStyle name="40% - Accent5 6 2 5" xfId="20556" xr:uid="{00000000-0005-0000-0000-00005C8A0000}"/>
    <cellStyle name="40% - Accent5 6 2 6" xfId="30281" xr:uid="{00000000-0005-0000-0000-00005D8A0000}"/>
    <cellStyle name="40% - Accent5 6 2 7" xfId="40006" xr:uid="{00000000-0005-0000-0000-00005E8A0000}"/>
    <cellStyle name="40% - Accent5 6 2 8" xfId="10831" xr:uid="{00000000-0005-0000-0000-00005F8A0000}"/>
    <cellStyle name="40% - Accent5 6 3" xfId="1554" xr:uid="{00000000-0005-0000-0000-0000608A0000}"/>
    <cellStyle name="40% - Accent5 6 3 2" xfId="3175" xr:uid="{00000000-0005-0000-0000-0000618A0000}"/>
    <cellStyle name="40% - Accent5 6 3 2 2" xfId="8037" xr:uid="{00000000-0005-0000-0000-0000628A0000}"/>
    <cellStyle name="40% - Accent5 6 3 2 2 2" xfId="27488" xr:uid="{00000000-0005-0000-0000-0000638A0000}"/>
    <cellStyle name="40% - Accent5 6 3 2 2 3" xfId="37213" xr:uid="{00000000-0005-0000-0000-0000648A0000}"/>
    <cellStyle name="40% - Accent5 6 3 2 2 4" xfId="46938" xr:uid="{00000000-0005-0000-0000-0000658A0000}"/>
    <cellStyle name="40% - Accent5 6 3 2 2 5" xfId="17763" xr:uid="{00000000-0005-0000-0000-0000668A0000}"/>
    <cellStyle name="40% - Accent5 6 3 2 3" xfId="22626" xr:uid="{00000000-0005-0000-0000-0000678A0000}"/>
    <cellStyle name="40% - Accent5 6 3 2 4" xfId="32351" xr:uid="{00000000-0005-0000-0000-0000688A0000}"/>
    <cellStyle name="40% - Accent5 6 3 2 5" xfId="42076" xr:uid="{00000000-0005-0000-0000-0000698A0000}"/>
    <cellStyle name="40% - Accent5 6 3 2 6" xfId="12901" xr:uid="{00000000-0005-0000-0000-00006A8A0000}"/>
    <cellStyle name="40% - Accent5 6 3 3" xfId="4795" xr:uid="{00000000-0005-0000-0000-00006B8A0000}"/>
    <cellStyle name="40% - Accent5 6 3 3 2" xfId="9657" xr:uid="{00000000-0005-0000-0000-00006C8A0000}"/>
    <cellStyle name="40% - Accent5 6 3 3 2 2" xfId="29108" xr:uid="{00000000-0005-0000-0000-00006D8A0000}"/>
    <cellStyle name="40% - Accent5 6 3 3 2 3" xfId="38833" xr:uid="{00000000-0005-0000-0000-00006E8A0000}"/>
    <cellStyle name="40% - Accent5 6 3 3 2 4" xfId="48558" xr:uid="{00000000-0005-0000-0000-00006F8A0000}"/>
    <cellStyle name="40% - Accent5 6 3 3 2 5" xfId="19383" xr:uid="{00000000-0005-0000-0000-0000708A0000}"/>
    <cellStyle name="40% - Accent5 6 3 3 3" xfId="24246" xr:uid="{00000000-0005-0000-0000-0000718A0000}"/>
    <cellStyle name="40% - Accent5 6 3 3 4" xfId="33971" xr:uid="{00000000-0005-0000-0000-0000728A0000}"/>
    <cellStyle name="40% - Accent5 6 3 3 5" xfId="43696" xr:uid="{00000000-0005-0000-0000-0000738A0000}"/>
    <cellStyle name="40% - Accent5 6 3 3 6" xfId="14521" xr:uid="{00000000-0005-0000-0000-0000748A0000}"/>
    <cellStyle name="40% - Accent5 6 3 4" xfId="6417" xr:uid="{00000000-0005-0000-0000-0000758A0000}"/>
    <cellStyle name="40% - Accent5 6 3 4 2" xfId="25868" xr:uid="{00000000-0005-0000-0000-0000768A0000}"/>
    <cellStyle name="40% - Accent5 6 3 4 3" xfId="35593" xr:uid="{00000000-0005-0000-0000-0000778A0000}"/>
    <cellStyle name="40% - Accent5 6 3 4 4" xfId="45318" xr:uid="{00000000-0005-0000-0000-0000788A0000}"/>
    <cellStyle name="40% - Accent5 6 3 4 5" xfId="16143" xr:uid="{00000000-0005-0000-0000-0000798A0000}"/>
    <cellStyle name="40% - Accent5 6 3 5" xfId="21006" xr:uid="{00000000-0005-0000-0000-00007A8A0000}"/>
    <cellStyle name="40% - Accent5 6 3 6" xfId="30731" xr:uid="{00000000-0005-0000-0000-00007B8A0000}"/>
    <cellStyle name="40% - Accent5 6 3 7" xfId="40456" xr:uid="{00000000-0005-0000-0000-00007C8A0000}"/>
    <cellStyle name="40% - Accent5 6 3 8" xfId="11281" xr:uid="{00000000-0005-0000-0000-00007D8A0000}"/>
    <cellStyle name="40% - Accent5 6 4" xfId="725" xr:uid="{00000000-0005-0000-0000-00007E8A0000}"/>
    <cellStyle name="40% - Accent5 6 4 2" xfId="2365" xr:uid="{00000000-0005-0000-0000-00007F8A0000}"/>
    <cellStyle name="40% - Accent5 6 4 2 2" xfId="7227" xr:uid="{00000000-0005-0000-0000-0000808A0000}"/>
    <cellStyle name="40% - Accent5 6 4 2 2 2" xfId="26678" xr:uid="{00000000-0005-0000-0000-0000818A0000}"/>
    <cellStyle name="40% - Accent5 6 4 2 2 3" xfId="36403" xr:uid="{00000000-0005-0000-0000-0000828A0000}"/>
    <cellStyle name="40% - Accent5 6 4 2 2 4" xfId="46128" xr:uid="{00000000-0005-0000-0000-0000838A0000}"/>
    <cellStyle name="40% - Accent5 6 4 2 2 5" xfId="16953" xr:uid="{00000000-0005-0000-0000-0000848A0000}"/>
    <cellStyle name="40% - Accent5 6 4 2 3" xfId="21816" xr:uid="{00000000-0005-0000-0000-0000858A0000}"/>
    <cellStyle name="40% - Accent5 6 4 2 4" xfId="31541" xr:uid="{00000000-0005-0000-0000-0000868A0000}"/>
    <cellStyle name="40% - Accent5 6 4 2 5" xfId="41266" xr:uid="{00000000-0005-0000-0000-0000878A0000}"/>
    <cellStyle name="40% - Accent5 6 4 2 6" xfId="12091" xr:uid="{00000000-0005-0000-0000-0000888A0000}"/>
    <cellStyle name="40% - Accent5 6 4 3" xfId="3985" xr:uid="{00000000-0005-0000-0000-0000898A0000}"/>
    <cellStyle name="40% - Accent5 6 4 3 2" xfId="8847" xr:uid="{00000000-0005-0000-0000-00008A8A0000}"/>
    <cellStyle name="40% - Accent5 6 4 3 2 2" xfId="28298" xr:uid="{00000000-0005-0000-0000-00008B8A0000}"/>
    <cellStyle name="40% - Accent5 6 4 3 2 3" xfId="38023" xr:uid="{00000000-0005-0000-0000-00008C8A0000}"/>
    <cellStyle name="40% - Accent5 6 4 3 2 4" xfId="47748" xr:uid="{00000000-0005-0000-0000-00008D8A0000}"/>
    <cellStyle name="40% - Accent5 6 4 3 2 5" xfId="18573" xr:uid="{00000000-0005-0000-0000-00008E8A0000}"/>
    <cellStyle name="40% - Accent5 6 4 3 3" xfId="23436" xr:uid="{00000000-0005-0000-0000-00008F8A0000}"/>
    <cellStyle name="40% - Accent5 6 4 3 4" xfId="33161" xr:uid="{00000000-0005-0000-0000-0000908A0000}"/>
    <cellStyle name="40% - Accent5 6 4 3 5" xfId="42886" xr:uid="{00000000-0005-0000-0000-0000918A0000}"/>
    <cellStyle name="40% - Accent5 6 4 3 6" xfId="13711" xr:uid="{00000000-0005-0000-0000-0000928A0000}"/>
    <cellStyle name="40% - Accent5 6 4 4" xfId="5607" xr:uid="{00000000-0005-0000-0000-0000938A0000}"/>
    <cellStyle name="40% - Accent5 6 4 4 2" xfId="25058" xr:uid="{00000000-0005-0000-0000-0000948A0000}"/>
    <cellStyle name="40% - Accent5 6 4 4 3" xfId="34783" xr:uid="{00000000-0005-0000-0000-0000958A0000}"/>
    <cellStyle name="40% - Accent5 6 4 4 4" xfId="44508" xr:uid="{00000000-0005-0000-0000-0000968A0000}"/>
    <cellStyle name="40% - Accent5 6 4 4 5" xfId="15333" xr:uid="{00000000-0005-0000-0000-0000978A0000}"/>
    <cellStyle name="40% - Accent5 6 4 5" xfId="20196" xr:uid="{00000000-0005-0000-0000-0000988A0000}"/>
    <cellStyle name="40% - Accent5 6 4 6" xfId="29921" xr:uid="{00000000-0005-0000-0000-0000998A0000}"/>
    <cellStyle name="40% - Accent5 6 4 7" xfId="39646" xr:uid="{00000000-0005-0000-0000-00009A8A0000}"/>
    <cellStyle name="40% - Accent5 6 4 8" xfId="10471" xr:uid="{00000000-0005-0000-0000-00009B8A0000}"/>
    <cellStyle name="40% - Accent5 6 5" xfId="2005" xr:uid="{00000000-0005-0000-0000-00009C8A0000}"/>
    <cellStyle name="40% - Accent5 6 5 2" xfId="6867" xr:uid="{00000000-0005-0000-0000-00009D8A0000}"/>
    <cellStyle name="40% - Accent5 6 5 2 2" xfId="26318" xr:uid="{00000000-0005-0000-0000-00009E8A0000}"/>
    <cellStyle name="40% - Accent5 6 5 2 3" xfId="36043" xr:uid="{00000000-0005-0000-0000-00009F8A0000}"/>
    <cellStyle name="40% - Accent5 6 5 2 4" xfId="45768" xr:uid="{00000000-0005-0000-0000-0000A08A0000}"/>
    <cellStyle name="40% - Accent5 6 5 2 5" xfId="16593" xr:uid="{00000000-0005-0000-0000-0000A18A0000}"/>
    <cellStyle name="40% - Accent5 6 5 3" xfId="21456" xr:uid="{00000000-0005-0000-0000-0000A28A0000}"/>
    <cellStyle name="40% - Accent5 6 5 4" xfId="31181" xr:uid="{00000000-0005-0000-0000-0000A38A0000}"/>
    <cellStyle name="40% - Accent5 6 5 5" xfId="40906" xr:uid="{00000000-0005-0000-0000-0000A48A0000}"/>
    <cellStyle name="40% - Accent5 6 5 6" xfId="11731" xr:uid="{00000000-0005-0000-0000-0000A58A0000}"/>
    <cellStyle name="40% - Accent5 6 6" xfId="3625" xr:uid="{00000000-0005-0000-0000-0000A68A0000}"/>
    <cellStyle name="40% - Accent5 6 6 2" xfId="8487" xr:uid="{00000000-0005-0000-0000-0000A78A0000}"/>
    <cellStyle name="40% - Accent5 6 6 2 2" xfId="27938" xr:uid="{00000000-0005-0000-0000-0000A88A0000}"/>
    <cellStyle name="40% - Accent5 6 6 2 3" xfId="37663" xr:uid="{00000000-0005-0000-0000-0000A98A0000}"/>
    <cellStyle name="40% - Accent5 6 6 2 4" xfId="47388" xr:uid="{00000000-0005-0000-0000-0000AA8A0000}"/>
    <cellStyle name="40% - Accent5 6 6 2 5" xfId="18213" xr:uid="{00000000-0005-0000-0000-0000AB8A0000}"/>
    <cellStyle name="40% - Accent5 6 6 3" xfId="23076" xr:uid="{00000000-0005-0000-0000-0000AC8A0000}"/>
    <cellStyle name="40% - Accent5 6 6 4" xfId="32801" xr:uid="{00000000-0005-0000-0000-0000AD8A0000}"/>
    <cellStyle name="40% - Accent5 6 6 5" xfId="42526" xr:uid="{00000000-0005-0000-0000-0000AE8A0000}"/>
    <cellStyle name="40% - Accent5 6 6 6" xfId="13351" xr:uid="{00000000-0005-0000-0000-0000AF8A0000}"/>
    <cellStyle name="40% - Accent5 6 7" xfId="5247" xr:uid="{00000000-0005-0000-0000-0000B08A0000}"/>
    <cellStyle name="40% - Accent5 6 7 2" xfId="24698" xr:uid="{00000000-0005-0000-0000-0000B18A0000}"/>
    <cellStyle name="40% - Accent5 6 7 3" xfId="34423" xr:uid="{00000000-0005-0000-0000-0000B28A0000}"/>
    <cellStyle name="40% - Accent5 6 7 4" xfId="44148" xr:uid="{00000000-0005-0000-0000-0000B38A0000}"/>
    <cellStyle name="40% - Accent5 6 7 5" xfId="14973" xr:uid="{00000000-0005-0000-0000-0000B48A0000}"/>
    <cellStyle name="40% - Accent5 6 8" xfId="19836" xr:uid="{00000000-0005-0000-0000-0000B58A0000}"/>
    <cellStyle name="40% - Accent5 6 9" xfId="29561" xr:uid="{00000000-0005-0000-0000-0000B68A0000}"/>
    <cellStyle name="40% - Accent5 7" xfId="142" xr:uid="{00000000-0005-0000-0000-0000B78A0000}"/>
    <cellStyle name="40% - Accent5 7 10" xfId="39106" xr:uid="{00000000-0005-0000-0000-0000B88A0000}"/>
    <cellStyle name="40% - Accent5 7 11" xfId="9931" xr:uid="{00000000-0005-0000-0000-0000B98A0000}"/>
    <cellStyle name="40% - Accent5 7 2" xfId="906" xr:uid="{00000000-0005-0000-0000-0000BA8A0000}"/>
    <cellStyle name="40% - Accent5 7 2 2" xfId="2545" xr:uid="{00000000-0005-0000-0000-0000BB8A0000}"/>
    <cellStyle name="40% - Accent5 7 2 2 2" xfId="7407" xr:uid="{00000000-0005-0000-0000-0000BC8A0000}"/>
    <cellStyle name="40% - Accent5 7 2 2 2 2" xfId="26858" xr:uid="{00000000-0005-0000-0000-0000BD8A0000}"/>
    <cellStyle name="40% - Accent5 7 2 2 2 3" xfId="36583" xr:uid="{00000000-0005-0000-0000-0000BE8A0000}"/>
    <cellStyle name="40% - Accent5 7 2 2 2 4" xfId="46308" xr:uid="{00000000-0005-0000-0000-0000BF8A0000}"/>
    <cellStyle name="40% - Accent5 7 2 2 2 5" xfId="17133" xr:uid="{00000000-0005-0000-0000-0000C08A0000}"/>
    <cellStyle name="40% - Accent5 7 2 2 3" xfId="21996" xr:uid="{00000000-0005-0000-0000-0000C18A0000}"/>
    <cellStyle name="40% - Accent5 7 2 2 4" xfId="31721" xr:uid="{00000000-0005-0000-0000-0000C28A0000}"/>
    <cellStyle name="40% - Accent5 7 2 2 5" xfId="41446" xr:uid="{00000000-0005-0000-0000-0000C38A0000}"/>
    <cellStyle name="40% - Accent5 7 2 2 6" xfId="12271" xr:uid="{00000000-0005-0000-0000-0000C48A0000}"/>
    <cellStyle name="40% - Accent5 7 2 3" xfId="4165" xr:uid="{00000000-0005-0000-0000-0000C58A0000}"/>
    <cellStyle name="40% - Accent5 7 2 3 2" xfId="9027" xr:uid="{00000000-0005-0000-0000-0000C68A0000}"/>
    <cellStyle name="40% - Accent5 7 2 3 2 2" xfId="28478" xr:uid="{00000000-0005-0000-0000-0000C78A0000}"/>
    <cellStyle name="40% - Accent5 7 2 3 2 3" xfId="38203" xr:uid="{00000000-0005-0000-0000-0000C88A0000}"/>
    <cellStyle name="40% - Accent5 7 2 3 2 4" xfId="47928" xr:uid="{00000000-0005-0000-0000-0000C98A0000}"/>
    <cellStyle name="40% - Accent5 7 2 3 2 5" xfId="18753" xr:uid="{00000000-0005-0000-0000-0000CA8A0000}"/>
    <cellStyle name="40% - Accent5 7 2 3 3" xfId="23616" xr:uid="{00000000-0005-0000-0000-0000CB8A0000}"/>
    <cellStyle name="40% - Accent5 7 2 3 4" xfId="33341" xr:uid="{00000000-0005-0000-0000-0000CC8A0000}"/>
    <cellStyle name="40% - Accent5 7 2 3 5" xfId="43066" xr:uid="{00000000-0005-0000-0000-0000CD8A0000}"/>
    <cellStyle name="40% - Accent5 7 2 3 6" xfId="13891" xr:uid="{00000000-0005-0000-0000-0000CE8A0000}"/>
    <cellStyle name="40% - Accent5 7 2 4" xfId="5787" xr:uid="{00000000-0005-0000-0000-0000CF8A0000}"/>
    <cellStyle name="40% - Accent5 7 2 4 2" xfId="25238" xr:uid="{00000000-0005-0000-0000-0000D08A0000}"/>
    <cellStyle name="40% - Accent5 7 2 4 3" xfId="34963" xr:uid="{00000000-0005-0000-0000-0000D18A0000}"/>
    <cellStyle name="40% - Accent5 7 2 4 4" xfId="44688" xr:uid="{00000000-0005-0000-0000-0000D28A0000}"/>
    <cellStyle name="40% - Accent5 7 2 4 5" xfId="15513" xr:uid="{00000000-0005-0000-0000-0000D38A0000}"/>
    <cellStyle name="40% - Accent5 7 2 5" xfId="20376" xr:uid="{00000000-0005-0000-0000-0000D48A0000}"/>
    <cellStyle name="40% - Accent5 7 2 6" xfId="30101" xr:uid="{00000000-0005-0000-0000-0000D58A0000}"/>
    <cellStyle name="40% - Accent5 7 2 7" xfId="39826" xr:uid="{00000000-0005-0000-0000-0000D68A0000}"/>
    <cellStyle name="40% - Accent5 7 2 8" xfId="10651" xr:uid="{00000000-0005-0000-0000-0000D78A0000}"/>
    <cellStyle name="40% - Accent5 7 3" xfId="1374" xr:uid="{00000000-0005-0000-0000-0000D88A0000}"/>
    <cellStyle name="40% - Accent5 7 3 2" xfId="2995" xr:uid="{00000000-0005-0000-0000-0000D98A0000}"/>
    <cellStyle name="40% - Accent5 7 3 2 2" xfId="7857" xr:uid="{00000000-0005-0000-0000-0000DA8A0000}"/>
    <cellStyle name="40% - Accent5 7 3 2 2 2" xfId="27308" xr:uid="{00000000-0005-0000-0000-0000DB8A0000}"/>
    <cellStyle name="40% - Accent5 7 3 2 2 3" xfId="37033" xr:uid="{00000000-0005-0000-0000-0000DC8A0000}"/>
    <cellStyle name="40% - Accent5 7 3 2 2 4" xfId="46758" xr:uid="{00000000-0005-0000-0000-0000DD8A0000}"/>
    <cellStyle name="40% - Accent5 7 3 2 2 5" xfId="17583" xr:uid="{00000000-0005-0000-0000-0000DE8A0000}"/>
    <cellStyle name="40% - Accent5 7 3 2 3" xfId="22446" xr:uid="{00000000-0005-0000-0000-0000DF8A0000}"/>
    <cellStyle name="40% - Accent5 7 3 2 4" xfId="32171" xr:uid="{00000000-0005-0000-0000-0000E08A0000}"/>
    <cellStyle name="40% - Accent5 7 3 2 5" xfId="41896" xr:uid="{00000000-0005-0000-0000-0000E18A0000}"/>
    <cellStyle name="40% - Accent5 7 3 2 6" xfId="12721" xr:uid="{00000000-0005-0000-0000-0000E28A0000}"/>
    <cellStyle name="40% - Accent5 7 3 3" xfId="4615" xr:uid="{00000000-0005-0000-0000-0000E38A0000}"/>
    <cellStyle name="40% - Accent5 7 3 3 2" xfId="9477" xr:uid="{00000000-0005-0000-0000-0000E48A0000}"/>
    <cellStyle name="40% - Accent5 7 3 3 2 2" xfId="28928" xr:uid="{00000000-0005-0000-0000-0000E58A0000}"/>
    <cellStyle name="40% - Accent5 7 3 3 2 3" xfId="38653" xr:uid="{00000000-0005-0000-0000-0000E68A0000}"/>
    <cellStyle name="40% - Accent5 7 3 3 2 4" xfId="48378" xr:uid="{00000000-0005-0000-0000-0000E78A0000}"/>
    <cellStyle name="40% - Accent5 7 3 3 2 5" xfId="19203" xr:uid="{00000000-0005-0000-0000-0000E88A0000}"/>
    <cellStyle name="40% - Accent5 7 3 3 3" xfId="24066" xr:uid="{00000000-0005-0000-0000-0000E98A0000}"/>
    <cellStyle name="40% - Accent5 7 3 3 4" xfId="33791" xr:uid="{00000000-0005-0000-0000-0000EA8A0000}"/>
    <cellStyle name="40% - Accent5 7 3 3 5" xfId="43516" xr:uid="{00000000-0005-0000-0000-0000EB8A0000}"/>
    <cellStyle name="40% - Accent5 7 3 3 6" xfId="14341" xr:uid="{00000000-0005-0000-0000-0000EC8A0000}"/>
    <cellStyle name="40% - Accent5 7 3 4" xfId="6237" xr:uid="{00000000-0005-0000-0000-0000ED8A0000}"/>
    <cellStyle name="40% - Accent5 7 3 4 2" xfId="25688" xr:uid="{00000000-0005-0000-0000-0000EE8A0000}"/>
    <cellStyle name="40% - Accent5 7 3 4 3" xfId="35413" xr:uid="{00000000-0005-0000-0000-0000EF8A0000}"/>
    <cellStyle name="40% - Accent5 7 3 4 4" xfId="45138" xr:uid="{00000000-0005-0000-0000-0000F08A0000}"/>
    <cellStyle name="40% - Accent5 7 3 4 5" xfId="15963" xr:uid="{00000000-0005-0000-0000-0000F18A0000}"/>
    <cellStyle name="40% - Accent5 7 3 5" xfId="20826" xr:uid="{00000000-0005-0000-0000-0000F28A0000}"/>
    <cellStyle name="40% - Accent5 7 3 6" xfId="30551" xr:uid="{00000000-0005-0000-0000-0000F38A0000}"/>
    <cellStyle name="40% - Accent5 7 3 7" xfId="40276" xr:uid="{00000000-0005-0000-0000-0000F48A0000}"/>
    <cellStyle name="40% - Accent5 7 3 8" xfId="11101" xr:uid="{00000000-0005-0000-0000-0000F58A0000}"/>
    <cellStyle name="40% - Accent5 7 4" xfId="545" xr:uid="{00000000-0005-0000-0000-0000F68A0000}"/>
    <cellStyle name="40% - Accent5 7 4 2" xfId="2185" xr:uid="{00000000-0005-0000-0000-0000F78A0000}"/>
    <cellStyle name="40% - Accent5 7 4 2 2" xfId="7047" xr:uid="{00000000-0005-0000-0000-0000F88A0000}"/>
    <cellStyle name="40% - Accent5 7 4 2 2 2" xfId="26498" xr:uid="{00000000-0005-0000-0000-0000F98A0000}"/>
    <cellStyle name="40% - Accent5 7 4 2 2 3" xfId="36223" xr:uid="{00000000-0005-0000-0000-0000FA8A0000}"/>
    <cellStyle name="40% - Accent5 7 4 2 2 4" xfId="45948" xr:uid="{00000000-0005-0000-0000-0000FB8A0000}"/>
    <cellStyle name="40% - Accent5 7 4 2 2 5" xfId="16773" xr:uid="{00000000-0005-0000-0000-0000FC8A0000}"/>
    <cellStyle name="40% - Accent5 7 4 2 3" xfId="21636" xr:uid="{00000000-0005-0000-0000-0000FD8A0000}"/>
    <cellStyle name="40% - Accent5 7 4 2 4" xfId="31361" xr:uid="{00000000-0005-0000-0000-0000FE8A0000}"/>
    <cellStyle name="40% - Accent5 7 4 2 5" xfId="41086" xr:uid="{00000000-0005-0000-0000-0000FF8A0000}"/>
    <cellStyle name="40% - Accent5 7 4 2 6" xfId="11911" xr:uid="{00000000-0005-0000-0000-0000008B0000}"/>
    <cellStyle name="40% - Accent5 7 4 3" xfId="3805" xr:uid="{00000000-0005-0000-0000-0000018B0000}"/>
    <cellStyle name="40% - Accent5 7 4 3 2" xfId="8667" xr:uid="{00000000-0005-0000-0000-0000028B0000}"/>
    <cellStyle name="40% - Accent5 7 4 3 2 2" xfId="28118" xr:uid="{00000000-0005-0000-0000-0000038B0000}"/>
    <cellStyle name="40% - Accent5 7 4 3 2 3" xfId="37843" xr:uid="{00000000-0005-0000-0000-0000048B0000}"/>
    <cellStyle name="40% - Accent5 7 4 3 2 4" xfId="47568" xr:uid="{00000000-0005-0000-0000-0000058B0000}"/>
    <cellStyle name="40% - Accent5 7 4 3 2 5" xfId="18393" xr:uid="{00000000-0005-0000-0000-0000068B0000}"/>
    <cellStyle name="40% - Accent5 7 4 3 3" xfId="23256" xr:uid="{00000000-0005-0000-0000-0000078B0000}"/>
    <cellStyle name="40% - Accent5 7 4 3 4" xfId="32981" xr:uid="{00000000-0005-0000-0000-0000088B0000}"/>
    <cellStyle name="40% - Accent5 7 4 3 5" xfId="42706" xr:uid="{00000000-0005-0000-0000-0000098B0000}"/>
    <cellStyle name="40% - Accent5 7 4 3 6" xfId="13531" xr:uid="{00000000-0005-0000-0000-00000A8B0000}"/>
    <cellStyle name="40% - Accent5 7 4 4" xfId="5427" xr:uid="{00000000-0005-0000-0000-00000B8B0000}"/>
    <cellStyle name="40% - Accent5 7 4 4 2" xfId="24878" xr:uid="{00000000-0005-0000-0000-00000C8B0000}"/>
    <cellStyle name="40% - Accent5 7 4 4 3" xfId="34603" xr:uid="{00000000-0005-0000-0000-00000D8B0000}"/>
    <cellStyle name="40% - Accent5 7 4 4 4" xfId="44328" xr:uid="{00000000-0005-0000-0000-00000E8B0000}"/>
    <cellStyle name="40% - Accent5 7 4 4 5" xfId="15153" xr:uid="{00000000-0005-0000-0000-00000F8B0000}"/>
    <cellStyle name="40% - Accent5 7 4 5" xfId="20016" xr:uid="{00000000-0005-0000-0000-0000108B0000}"/>
    <cellStyle name="40% - Accent5 7 4 6" xfId="29741" xr:uid="{00000000-0005-0000-0000-0000118B0000}"/>
    <cellStyle name="40% - Accent5 7 4 7" xfId="39466" xr:uid="{00000000-0005-0000-0000-0000128B0000}"/>
    <cellStyle name="40% - Accent5 7 4 8" xfId="10291" xr:uid="{00000000-0005-0000-0000-0000138B0000}"/>
    <cellStyle name="40% - Accent5 7 5" xfId="1825" xr:uid="{00000000-0005-0000-0000-0000148B0000}"/>
    <cellStyle name="40% - Accent5 7 5 2" xfId="6687" xr:uid="{00000000-0005-0000-0000-0000158B0000}"/>
    <cellStyle name="40% - Accent5 7 5 2 2" xfId="26138" xr:uid="{00000000-0005-0000-0000-0000168B0000}"/>
    <cellStyle name="40% - Accent5 7 5 2 3" xfId="35863" xr:uid="{00000000-0005-0000-0000-0000178B0000}"/>
    <cellStyle name="40% - Accent5 7 5 2 4" xfId="45588" xr:uid="{00000000-0005-0000-0000-0000188B0000}"/>
    <cellStyle name="40% - Accent5 7 5 2 5" xfId="16413" xr:uid="{00000000-0005-0000-0000-0000198B0000}"/>
    <cellStyle name="40% - Accent5 7 5 3" xfId="21276" xr:uid="{00000000-0005-0000-0000-00001A8B0000}"/>
    <cellStyle name="40% - Accent5 7 5 4" xfId="31001" xr:uid="{00000000-0005-0000-0000-00001B8B0000}"/>
    <cellStyle name="40% - Accent5 7 5 5" xfId="40726" xr:uid="{00000000-0005-0000-0000-00001C8B0000}"/>
    <cellStyle name="40% - Accent5 7 5 6" xfId="11551" xr:uid="{00000000-0005-0000-0000-00001D8B0000}"/>
    <cellStyle name="40% - Accent5 7 6" xfId="3445" xr:uid="{00000000-0005-0000-0000-00001E8B0000}"/>
    <cellStyle name="40% - Accent5 7 6 2" xfId="8307" xr:uid="{00000000-0005-0000-0000-00001F8B0000}"/>
    <cellStyle name="40% - Accent5 7 6 2 2" xfId="27758" xr:uid="{00000000-0005-0000-0000-0000208B0000}"/>
    <cellStyle name="40% - Accent5 7 6 2 3" xfId="37483" xr:uid="{00000000-0005-0000-0000-0000218B0000}"/>
    <cellStyle name="40% - Accent5 7 6 2 4" xfId="47208" xr:uid="{00000000-0005-0000-0000-0000228B0000}"/>
    <cellStyle name="40% - Accent5 7 6 2 5" xfId="18033" xr:uid="{00000000-0005-0000-0000-0000238B0000}"/>
    <cellStyle name="40% - Accent5 7 6 3" xfId="22896" xr:uid="{00000000-0005-0000-0000-0000248B0000}"/>
    <cellStyle name="40% - Accent5 7 6 4" xfId="32621" xr:uid="{00000000-0005-0000-0000-0000258B0000}"/>
    <cellStyle name="40% - Accent5 7 6 5" xfId="42346" xr:uid="{00000000-0005-0000-0000-0000268B0000}"/>
    <cellStyle name="40% - Accent5 7 6 6" xfId="13171" xr:uid="{00000000-0005-0000-0000-0000278B0000}"/>
    <cellStyle name="40% - Accent5 7 7" xfId="5067" xr:uid="{00000000-0005-0000-0000-0000288B0000}"/>
    <cellStyle name="40% - Accent5 7 7 2" xfId="24518" xr:uid="{00000000-0005-0000-0000-0000298B0000}"/>
    <cellStyle name="40% - Accent5 7 7 3" xfId="34243" xr:uid="{00000000-0005-0000-0000-00002A8B0000}"/>
    <cellStyle name="40% - Accent5 7 7 4" xfId="43968" xr:uid="{00000000-0005-0000-0000-00002B8B0000}"/>
    <cellStyle name="40% - Accent5 7 7 5" xfId="14793" xr:uid="{00000000-0005-0000-0000-00002C8B0000}"/>
    <cellStyle name="40% - Accent5 7 8" xfId="19656" xr:uid="{00000000-0005-0000-0000-00002D8B0000}"/>
    <cellStyle name="40% - Accent5 7 9" xfId="29381" xr:uid="{00000000-0005-0000-0000-00002E8B0000}"/>
    <cellStyle name="40% - Accent5 8" xfId="415" xr:uid="{00000000-0005-0000-0000-00002F8B0000}"/>
    <cellStyle name="40% - Accent5 9" xfId="816" xr:uid="{00000000-0005-0000-0000-0000308B0000}"/>
    <cellStyle name="40% - Accent5 9 2" xfId="2455" xr:uid="{00000000-0005-0000-0000-0000318B0000}"/>
    <cellStyle name="40% - Accent5 9 2 2" xfId="7317" xr:uid="{00000000-0005-0000-0000-0000328B0000}"/>
    <cellStyle name="40% - Accent5 9 2 2 2" xfId="26768" xr:uid="{00000000-0005-0000-0000-0000338B0000}"/>
    <cellStyle name="40% - Accent5 9 2 2 3" xfId="36493" xr:uid="{00000000-0005-0000-0000-0000348B0000}"/>
    <cellStyle name="40% - Accent5 9 2 2 4" xfId="46218" xr:uid="{00000000-0005-0000-0000-0000358B0000}"/>
    <cellStyle name="40% - Accent5 9 2 2 5" xfId="17043" xr:uid="{00000000-0005-0000-0000-0000368B0000}"/>
    <cellStyle name="40% - Accent5 9 2 3" xfId="21906" xr:uid="{00000000-0005-0000-0000-0000378B0000}"/>
    <cellStyle name="40% - Accent5 9 2 4" xfId="31631" xr:uid="{00000000-0005-0000-0000-0000388B0000}"/>
    <cellStyle name="40% - Accent5 9 2 5" xfId="41356" xr:uid="{00000000-0005-0000-0000-0000398B0000}"/>
    <cellStyle name="40% - Accent5 9 2 6" xfId="12181" xr:uid="{00000000-0005-0000-0000-00003A8B0000}"/>
    <cellStyle name="40% - Accent5 9 3" xfId="4075" xr:uid="{00000000-0005-0000-0000-00003B8B0000}"/>
    <cellStyle name="40% - Accent5 9 3 2" xfId="8937" xr:uid="{00000000-0005-0000-0000-00003C8B0000}"/>
    <cellStyle name="40% - Accent5 9 3 2 2" xfId="28388" xr:uid="{00000000-0005-0000-0000-00003D8B0000}"/>
    <cellStyle name="40% - Accent5 9 3 2 3" xfId="38113" xr:uid="{00000000-0005-0000-0000-00003E8B0000}"/>
    <cellStyle name="40% - Accent5 9 3 2 4" xfId="47838" xr:uid="{00000000-0005-0000-0000-00003F8B0000}"/>
    <cellStyle name="40% - Accent5 9 3 2 5" xfId="18663" xr:uid="{00000000-0005-0000-0000-0000408B0000}"/>
    <cellStyle name="40% - Accent5 9 3 3" xfId="23526" xr:uid="{00000000-0005-0000-0000-0000418B0000}"/>
    <cellStyle name="40% - Accent5 9 3 4" xfId="33251" xr:uid="{00000000-0005-0000-0000-0000428B0000}"/>
    <cellStyle name="40% - Accent5 9 3 5" xfId="42976" xr:uid="{00000000-0005-0000-0000-0000438B0000}"/>
    <cellStyle name="40% - Accent5 9 3 6" xfId="13801" xr:uid="{00000000-0005-0000-0000-0000448B0000}"/>
    <cellStyle name="40% - Accent5 9 4" xfId="5697" xr:uid="{00000000-0005-0000-0000-0000458B0000}"/>
    <cellStyle name="40% - Accent5 9 4 2" xfId="25148" xr:uid="{00000000-0005-0000-0000-0000468B0000}"/>
    <cellStyle name="40% - Accent5 9 4 3" xfId="34873" xr:uid="{00000000-0005-0000-0000-0000478B0000}"/>
    <cellStyle name="40% - Accent5 9 4 4" xfId="44598" xr:uid="{00000000-0005-0000-0000-0000488B0000}"/>
    <cellStyle name="40% - Accent5 9 4 5" xfId="15423" xr:uid="{00000000-0005-0000-0000-0000498B0000}"/>
    <cellStyle name="40% - Accent5 9 5" xfId="20286" xr:uid="{00000000-0005-0000-0000-00004A8B0000}"/>
    <cellStyle name="40% - Accent5 9 6" xfId="30011" xr:uid="{00000000-0005-0000-0000-00004B8B0000}"/>
    <cellStyle name="40% - Accent5 9 7" xfId="39736" xr:uid="{00000000-0005-0000-0000-00004C8B0000}"/>
    <cellStyle name="40% - Accent5 9 8" xfId="10561" xr:uid="{00000000-0005-0000-0000-00004D8B0000}"/>
    <cellStyle name="40% - Accent6" xfId="51" builtinId="51" customBuiltin="1"/>
    <cellStyle name="40% - Accent6 10" xfId="1196" xr:uid="{00000000-0005-0000-0000-00004F8B0000}"/>
    <cellStyle name="40% - Accent6 10 2" xfId="2817" xr:uid="{00000000-0005-0000-0000-0000508B0000}"/>
    <cellStyle name="40% - Accent6 10 2 2" xfId="7679" xr:uid="{00000000-0005-0000-0000-0000518B0000}"/>
    <cellStyle name="40% - Accent6 10 2 2 2" xfId="27130" xr:uid="{00000000-0005-0000-0000-0000528B0000}"/>
    <cellStyle name="40% - Accent6 10 2 2 3" xfId="36855" xr:uid="{00000000-0005-0000-0000-0000538B0000}"/>
    <cellStyle name="40% - Accent6 10 2 2 4" xfId="46580" xr:uid="{00000000-0005-0000-0000-0000548B0000}"/>
    <cellStyle name="40% - Accent6 10 2 2 5" xfId="17405" xr:uid="{00000000-0005-0000-0000-0000558B0000}"/>
    <cellStyle name="40% - Accent6 10 2 3" xfId="22268" xr:uid="{00000000-0005-0000-0000-0000568B0000}"/>
    <cellStyle name="40% - Accent6 10 2 4" xfId="31993" xr:uid="{00000000-0005-0000-0000-0000578B0000}"/>
    <cellStyle name="40% - Accent6 10 2 5" xfId="41718" xr:uid="{00000000-0005-0000-0000-0000588B0000}"/>
    <cellStyle name="40% - Accent6 10 2 6" xfId="12543" xr:uid="{00000000-0005-0000-0000-0000598B0000}"/>
    <cellStyle name="40% - Accent6 10 3" xfId="4437" xr:uid="{00000000-0005-0000-0000-00005A8B0000}"/>
    <cellStyle name="40% - Accent6 10 3 2" xfId="9299" xr:uid="{00000000-0005-0000-0000-00005B8B0000}"/>
    <cellStyle name="40% - Accent6 10 3 2 2" xfId="28750" xr:uid="{00000000-0005-0000-0000-00005C8B0000}"/>
    <cellStyle name="40% - Accent6 10 3 2 3" xfId="38475" xr:uid="{00000000-0005-0000-0000-00005D8B0000}"/>
    <cellStyle name="40% - Accent6 10 3 2 4" xfId="48200" xr:uid="{00000000-0005-0000-0000-00005E8B0000}"/>
    <cellStyle name="40% - Accent6 10 3 2 5" xfId="19025" xr:uid="{00000000-0005-0000-0000-00005F8B0000}"/>
    <cellStyle name="40% - Accent6 10 3 3" xfId="23888" xr:uid="{00000000-0005-0000-0000-0000608B0000}"/>
    <cellStyle name="40% - Accent6 10 3 4" xfId="33613" xr:uid="{00000000-0005-0000-0000-0000618B0000}"/>
    <cellStyle name="40% - Accent6 10 3 5" xfId="43338" xr:uid="{00000000-0005-0000-0000-0000628B0000}"/>
    <cellStyle name="40% - Accent6 10 3 6" xfId="14163" xr:uid="{00000000-0005-0000-0000-0000638B0000}"/>
    <cellStyle name="40% - Accent6 10 4" xfId="6059" xr:uid="{00000000-0005-0000-0000-0000648B0000}"/>
    <cellStyle name="40% - Accent6 10 4 2" xfId="25510" xr:uid="{00000000-0005-0000-0000-0000658B0000}"/>
    <cellStyle name="40% - Accent6 10 4 3" xfId="35235" xr:uid="{00000000-0005-0000-0000-0000668B0000}"/>
    <cellStyle name="40% - Accent6 10 4 4" xfId="44960" xr:uid="{00000000-0005-0000-0000-0000678B0000}"/>
    <cellStyle name="40% - Accent6 10 4 5" xfId="15785" xr:uid="{00000000-0005-0000-0000-0000688B0000}"/>
    <cellStyle name="40% - Accent6 10 5" xfId="20648" xr:uid="{00000000-0005-0000-0000-0000698B0000}"/>
    <cellStyle name="40% - Accent6 10 6" xfId="30373" xr:uid="{00000000-0005-0000-0000-00006A8B0000}"/>
    <cellStyle name="40% - Accent6 10 7" xfId="40098" xr:uid="{00000000-0005-0000-0000-00006B8B0000}"/>
    <cellStyle name="40% - Accent6 10 8" xfId="10923" xr:uid="{00000000-0005-0000-0000-00006C8B0000}"/>
    <cellStyle name="40% - Accent6 11" xfId="1286" xr:uid="{00000000-0005-0000-0000-00006D8B0000}"/>
    <cellStyle name="40% - Accent6 11 2" xfId="2907" xr:uid="{00000000-0005-0000-0000-00006E8B0000}"/>
    <cellStyle name="40% - Accent6 11 2 2" xfId="7769" xr:uid="{00000000-0005-0000-0000-00006F8B0000}"/>
    <cellStyle name="40% - Accent6 11 2 2 2" xfId="27220" xr:uid="{00000000-0005-0000-0000-0000708B0000}"/>
    <cellStyle name="40% - Accent6 11 2 2 3" xfId="36945" xr:uid="{00000000-0005-0000-0000-0000718B0000}"/>
    <cellStyle name="40% - Accent6 11 2 2 4" xfId="46670" xr:uid="{00000000-0005-0000-0000-0000728B0000}"/>
    <cellStyle name="40% - Accent6 11 2 2 5" xfId="17495" xr:uid="{00000000-0005-0000-0000-0000738B0000}"/>
    <cellStyle name="40% - Accent6 11 2 3" xfId="22358" xr:uid="{00000000-0005-0000-0000-0000748B0000}"/>
    <cellStyle name="40% - Accent6 11 2 4" xfId="32083" xr:uid="{00000000-0005-0000-0000-0000758B0000}"/>
    <cellStyle name="40% - Accent6 11 2 5" xfId="41808" xr:uid="{00000000-0005-0000-0000-0000768B0000}"/>
    <cellStyle name="40% - Accent6 11 2 6" xfId="12633" xr:uid="{00000000-0005-0000-0000-0000778B0000}"/>
    <cellStyle name="40% - Accent6 11 3" xfId="4527" xr:uid="{00000000-0005-0000-0000-0000788B0000}"/>
    <cellStyle name="40% - Accent6 11 3 2" xfId="9389" xr:uid="{00000000-0005-0000-0000-0000798B0000}"/>
    <cellStyle name="40% - Accent6 11 3 2 2" xfId="28840" xr:uid="{00000000-0005-0000-0000-00007A8B0000}"/>
    <cellStyle name="40% - Accent6 11 3 2 3" xfId="38565" xr:uid="{00000000-0005-0000-0000-00007B8B0000}"/>
    <cellStyle name="40% - Accent6 11 3 2 4" xfId="48290" xr:uid="{00000000-0005-0000-0000-00007C8B0000}"/>
    <cellStyle name="40% - Accent6 11 3 2 5" xfId="19115" xr:uid="{00000000-0005-0000-0000-00007D8B0000}"/>
    <cellStyle name="40% - Accent6 11 3 3" xfId="23978" xr:uid="{00000000-0005-0000-0000-00007E8B0000}"/>
    <cellStyle name="40% - Accent6 11 3 4" xfId="33703" xr:uid="{00000000-0005-0000-0000-00007F8B0000}"/>
    <cellStyle name="40% - Accent6 11 3 5" xfId="43428" xr:uid="{00000000-0005-0000-0000-0000808B0000}"/>
    <cellStyle name="40% - Accent6 11 3 6" xfId="14253" xr:uid="{00000000-0005-0000-0000-0000818B0000}"/>
    <cellStyle name="40% - Accent6 11 4" xfId="6149" xr:uid="{00000000-0005-0000-0000-0000828B0000}"/>
    <cellStyle name="40% - Accent6 11 4 2" xfId="25600" xr:uid="{00000000-0005-0000-0000-0000838B0000}"/>
    <cellStyle name="40% - Accent6 11 4 3" xfId="35325" xr:uid="{00000000-0005-0000-0000-0000848B0000}"/>
    <cellStyle name="40% - Accent6 11 4 4" xfId="45050" xr:uid="{00000000-0005-0000-0000-0000858B0000}"/>
    <cellStyle name="40% - Accent6 11 4 5" xfId="15875" xr:uid="{00000000-0005-0000-0000-0000868B0000}"/>
    <cellStyle name="40% - Accent6 11 5" xfId="20738" xr:uid="{00000000-0005-0000-0000-0000878B0000}"/>
    <cellStyle name="40% - Accent6 11 6" xfId="30463" xr:uid="{00000000-0005-0000-0000-0000888B0000}"/>
    <cellStyle name="40% - Accent6 11 7" xfId="40188" xr:uid="{00000000-0005-0000-0000-0000898B0000}"/>
    <cellStyle name="40% - Accent6 11 8" xfId="11013" xr:uid="{00000000-0005-0000-0000-00008A8B0000}"/>
    <cellStyle name="40% - Accent6 12" xfId="457" xr:uid="{00000000-0005-0000-0000-00008B8B0000}"/>
    <cellStyle name="40% - Accent6 12 2" xfId="2097" xr:uid="{00000000-0005-0000-0000-00008C8B0000}"/>
    <cellStyle name="40% - Accent6 12 2 2" xfId="6959" xr:uid="{00000000-0005-0000-0000-00008D8B0000}"/>
    <cellStyle name="40% - Accent6 12 2 2 2" xfId="26410" xr:uid="{00000000-0005-0000-0000-00008E8B0000}"/>
    <cellStyle name="40% - Accent6 12 2 2 3" xfId="36135" xr:uid="{00000000-0005-0000-0000-00008F8B0000}"/>
    <cellStyle name="40% - Accent6 12 2 2 4" xfId="45860" xr:uid="{00000000-0005-0000-0000-0000908B0000}"/>
    <cellStyle name="40% - Accent6 12 2 2 5" xfId="16685" xr:uid="{00000000-0005-0000-0000-0000918B0000}"/>
    <cellStyle name="40% - Accent6 12 2 3" xfId="21548" xr:uid="{00000000-0005-0000-0000-0000928B0000}"/>
    <cellStyle name="40% - Accent6 12 2 4" xfId="31273" xr:uid="{00000000-0005-0000-0000-0000938B0000}"/>
    <cellStyle name="40% - Accent6 12 2 5" xfId="40998" xr:uid="{00000000-0005-0000-0000-0000948B0000}"/>
    <cellStyle name="40% - Accent6 12 2 6" xfId="11823" xr:uid="{00000000-0005-0000-0000-0000958B0000}"/>
    <cellStyle name="40% - Accent6 12 3" xfId="3717" xr:uid="{00000000-0005-0000-0000-0000968B0000}"/>
    <cellStyle name="40% - Accent6 12 3 2" xfId="8579" xr:uid="{00000000-0005-0000-0000-0000978B0000}"/>
    <cellStyle name="40% - Accent6 12 3 2 2" xfId="28030" xr:uid="{00000000-0005-0000-0000-0000988B0000}"/>
    <cellStyle name="40% - Accent6 12 3 2 3" xfId="37755" xr:uid="{00000000-0005-0000-0000-0000998B0000}"/>
    <cellStyle name="40% - Accent6 12 3 2 4" xfId="47480" xr:uid="{00000000-0005-0000-0000-00009A8B0000}"/>
    <cellStyle name="40% - Accent6 12 3 2 5" xfId="18305" xr:uid="{00000000-0005-0000-0000-00009B8B0000}"/>
    <cellStyle name="40% - Accent6 12 3 3" xfId="23168" xr:uid="{00000000-0005-0000-0000-00009C8B0000}"/>
    <cellStyle name="40% - Accent6 12 3 4" xfId="32893" xr:uid="{00000000-0005-0000-0000-00009D8B0000}"/>
    <cellStyle name="40% - Accent6 12 3 5" xfId="42618" xr:uid="{00000000-0005-0000-0000-00009E8B0000}"/>
    <cellStyle name="40% - Accent6 12 3 6" xfId="13443" xr:uid="{00000000-0005-0000-0000-00009F8B0000}"/>
    <cellStyle name="40% - Accent6 12 4" xfId="5339" xr:uid="{00000000-0005-0000-0000-0000A08B0000}"/>
    <cellStyle name="40% - Accent6 12 4 2" xfId="24790" xr:uid="{00000000-0005-0000-0000-0000A18B0000}"/>
    <cellStyle name="40% - Accent6 12 4 3" xfId="34515" xr:uid="{00000000-0005-0000-0000-0000A28B0000}"/>
    <cellStyle name="40% - Accent6 12 4 4" xfId="44240" xr:uid="{00000000-0005-0000-0000-0000A38B0000}"/>
    <cellStyle name="40% - Accent6 12 4 5" xfId="15065" xr:uid="{00000000-0005-0000-0000-0000A48B0000}"/>
    <cellStyle name="40% - Accent6 12 5" xfId="19928" xr:uid="{00000000-0005-0000-0000-0000A58B0000}"/>
    <cellStyle name="40% - Accent6 12 6" xfId="29653" xr:uid="{00000000-0005-0000-0000-0000A68B0000}"/>
    <cellStyle name="40% - Accent6 12 7" xfId="39378" xr:uid="{00000000-0005-0000-0000-0000A78B0000}"/>
    <cellStyle name="40% - Accent6 12 8" xfId="10203" xr:uid="{00000000-0005-0000-0000-0000A88B0000}"/>
    <cellStyle name="40% - Accent6 13" xfId="1646" xr:uid="{00000000-0005-0000-0000-0000A98B0000}"/>
    <cellStyle name="40% - Accent6 13 2" xfId="3267" xr:uid="{00000000-0005-0000-0000-0000AA8B0000}"/>
    <cellStyle name="40% - Accent6 13 2 2" xfId="8129" xr:uid="{00000000-0005-0000-0000-0000AB8B0000}"/>
    <cellStyle name="40% - Accent6 13 2 2 2" xfId="27580" xr:uid="{00000000-0005-0000-0000-0000AC8B0000}"/>
    <cellStyle name="40% - Accent6 13 2 2 3" xfId="37305" xr:uid="{00000000-0005-0000-0000-0000AD8B0000}"/>
    <cellStyle name="40% - Accent6 13 2 2 4" xfId="47030" xr:uid="{00000000-0005-0000-0000-0000AE8B0000}"/>
    <cellStyle name="40% - Accent6 13 2 2 5" xfId="17855" xr:uid="{00000000-0005-0000-0000-0000AF8B0000}"/>
    <cellStyle name="40% - Accent6 13 2 3" xfId="22718" xr:uid="{00000000-0005-0000-0000-0000B08B0000}"/>
    <cellStyle name="40% - Accent6 13 2 4" xfId="32443" xr:uid="{00000000-0005-0000-0000-0000B18B0000}"/>
    <cellStyle name="40% - Accent6 13 2 5" xfId="42168" xr:uid="{00000000-0005-0000-0000-0000B28B0000}"/>
    <cellStyle name="40% - Accent6 13 2 6" xfId="12993" xr:uid="{00000000-0005-0000-0000-0000B38B0000}"/>
    <cellStyle name="40% - Accent6 13 3" xfId="4887" xr:uid="{00000000-0005-0000-0000-0000B48B0000}"/>
    <cellStyle name="40% - Accent6 13 3 2" xfId="9749" xr:uid="{00000000-0005-0000-0000-0000B58B0000}"/>
    <cellStyle name="40% - Accent6 13 3 2 2" xfId="29200" xr:uid="{00000000-0005-0000-0000-0000B68B0000}"/>
    <cellStyle name="40% - Accent6 13 3 2 3" xfId="38925" xr:uid="{00000000-0005-0000-0000-0000B78B0000}"/>
    <cellStyle name="40% - Accent6 13 3 2 4" xfId="48650" xr:uid="{00000000-0005-0000-0000-0000B88B0000}"/>
    <cellStyle name="40% - Accent6 13 3 2 5" xfId="19475" xr:uid="{00000000-0005-0000-0000-0000B98B0000}"/>
    <cellStyle name="40% - Accent6 13 3 3" xfId="24338" xr:uid="{00000000-0005-0000-0000-0000BA8B0000}"/>
    <cellStyle name="40% - Accent6 13 3 4" xfId="34063" xr:uid="{00000000-0005-0000-0000-0000BB8B0000}"/>
    <cellStyle name="40% - Accent6 13 3 5" xfId="43788" xr:uid="{00000000-0005-0000-0000-0000BC8B0000}"/>
    <cellStyle name="40% - Accent6 13 3 6" xfId="14613" xr:uid="{00000000-0005-0000-0000-0000BD8B0000}"/>
    <cellStyle name="40% - Accent6 13 4" xfId="6509" xr:uid="{00000000-0005-0000-0000-0000BE8B0000}"/>
    <cellStyle name="40% - Accent6 13 4 2" xfId="25960" xr:uid="{00000000-0005-0000-0000-0000BF8B0000}"/>
    <cellStyle name="40% - Accent6 13 4 3" xfId="35685" xr:uid="{00000000-0005-0000-0000-0000C08B0000}"/>
    <cellStyle name="40% - Accent6 13 4 4" xfId="45410" xr:uid="{00000000-0005-0000-0000-0000C18B0000}"/>
    <cellStyle name="40% - Accent6 13 4 5" xfId="16235" xr:uid="{00000000-0005-0000-0000-0000C28B0000}"/>
    <cellStyle name="40% - Accent6 13 5" xfId="21098" xr:uid="{00000000-0005-0000-0000-0000C38B0000}"/>
    <cellStyle name="40% - Accent6 13 6" xfId="30823" xr:uid="{00000000-0005-0000-0000-0000C48B0000}"/>
    <cellStyle name="40% - Accent6 13 7" xfId="40548" xr:uid="{00000000-0005-0000-0000-0000C58B0000}"/>
    <cellStyle name="40% - Accent6 13 8" xfId="11373" xr:uid="{00000000-0005-0000-0000-0000C68B0000}"/>
    <cellStyle name="40% - Accent6 14" xfId="1737" xr:uid="{00000000-0005-0000-0000-0000C78B0000}"/>
    <cellStyle name="40% - Accent6 14 2" xfId="6599" xr:uid="{00000000-0005-0000-0000-0000C88B0000}"/>
    <cellStyle name="40% - Accent6 14 2 2" xfId="26050" xr:uid="{00000000-0005-0000-0000-0000C98B0000}"/>
    <cellStyle name="40% - Accent6 14 2 3" xfId="35775" xr:uid="{00000000-0005-0000-0000-0000CA8B0000}"/>
    <cellStyle name="40% - Accent6 14 2 4" xfId="45500" xr:uid="{00000000-0005-0000-0000-0000CB8B0000}"/>
    <cellStyle name="40% - Accent6 14 2 5" xfId="16325" xr:uid="{00000000-0005-0000-0000-0000CC8B0000}"/>
    <cellStyle name="40% - Accent6 14 3" xfId="21188" xr:uid="{00000000-0005-0000-0000-0000CD8B0000}"/>
    <cellStyle name="40% - Accent6 14 4" xfId="30913" xr:uid="{00000000-0005-0000-0000-0000CE8B0000}"/>
    <cellStyle name="40% - Accent6 14 5" xfId="40638" xr:uid="{00000000-0005-0000-0000-0000CF8B0000}"/>
    <cellStyle name="40% - Accent6 14 6" xfId="11463" xr:uid="{00000000-0005-0000-0000-0000D08B0000}"/>
    <cellStyle name="40% - Accent6 15" xfId="3357" xr:uid="{00000000-0005-0000-0000-0000D18B0000}"/>
    <cellStyle name="40% - Accent6 15 2" xfId="8219" xr:uid="{00000000-0005-0000-0000-0000D28B0000}"/>
    <cellStyle name="40% - Accent6 15 2 2" xfId="27670" xr:uid="{00000000-0005-0000-0000-0000D38B0000}"/>
    <cellStyle name="40% - Accent6 15 2 3" xfId="37395" xr:uid="{00000000-0005-0000-0000-0000D48B0000}"/>
    <cellStyle name="40% - Accent6 15 2 4" xfId="47120" xr:uid="{00000000-0005-0000-0000-0000D58B0000}"/>
    <cellStyle name="40% - Accent6 15 2 5" xfId="17945" xr:uid="{00000000-0005-0000-0000-0000D68B0000}"/>
    <cellStyle name="40% - Accent6 15 3" xfId="22808" xr:uid="{00000000-0005-0000-0000-0000D78B0000}"/>
    <cellStyle name="40% - Accent6 15 4" xfId="32533" xr:uid="{00000000-0005-0000-0000-0000D88B0000}"/>
    <cellStyle name="40% - Accent6 15 5" xfId="42258" xr:uid="{00000000-0005-0000-0000-0000D98B0000}"/>
    <cellStyle name="40% - Accent6 15 6" xfId="13083" xr:uid="{00000000-0005-0000-0000-0000DA8B0000}"/>
    <cellStyle name="40% - Accent6 16" xfId="4979" xr:uid="{00000000-0005-0000-0000-0000DB8B0000}"/>
    <cellStyle name="40% - Accent6 16 2" xfId="24430" xr:uid="{00000000-0005-0000-0000-0000DC8B0000}"/>
    <cellStyle name="40% - Accent6 16 3" xfId="34155" xr:uid="{00000000-0005-0000-0000-0000DD8B0000}"/>
    <cellStyle name="40% - Accent6 16 4" xfId="43880" xr:uid="{00000000-0005-0000-0000-0000DE8B0000}"/>
    <cellStyle name="40% - Accent6 16 5" xfId="14705" xr:uid="{00000000-0005-0000-0000-0000DF8B0000}"/>
    <cellStyle name="40% - Accent6 17" xfId="19568" xr:uid="{00000000-0005-0000-0000-0000E08B0000}"/>
    <cellStyle name="40% - Accent6 18" xfId="29293" xr:uid="{00000000-0005-0000-0000-0000E18B0000}"/>
    <cellStyle name="40% - Accent6 19" xfId="39018" xr:uid="{00000000-0005-0000-0000-0000E28B0000}"/>
    <cellStyle name="40% - Accent6 2" xfId="66" xr:uid="{00000000-0005-0000-0000-0000E38B0000}"/>
    <cellStyle name="40% - Accent6 2 10" xfId="471" xr:uid="{00000000-0005-0000-0000-0000E48B0000}"/>
    <cellStyle name="40% - Accent6 2 10 2" xfId="2111" xr:uid="{00000000-0005-0000-0000-0000E58B0000}"/>
    <cellStyle name="40% - Accent6 2 10 2 2" xfId="6973" xr:uid="{00000000-0005-0000-0000-0000E68B0000}"/>
    <cellStyle name="40% - Accent6 2 10 2 2 2" xfId="26424" xr:uid="{00000000-0005-0000-0000-0000E78B0000}"/>
    <cellStyle name="40% - Accent6 2 10 2 2 3" xfId="36149" xr:uid="{00000000-0005-0000-0000-0000E88B0000}"/>
    <cellStyle name="40% - Accent6 2 10 2 2 4" xfId="45874" xr:uid="{00000000-0005-0000-0000-0000E98B0000}"/>
    <cellStyle name="40% - Accent6 2 10 2 2 5" xfId="16699" xr:uid="{00000000-0005-0000-0000-0000EA8B0000}"/>
    <cellStyle name="40% - Accent6 2 10 2 3" xfId="21562" xr:uid="{00000000-0005-0000-0000-0000EB8B0000}"/>
    <cellStyle name="40% - Accent6 2 10 2 4" xfId="31287" xr:uid="{00000000-0005-0000-0000-0000EC8B0000}"/>
    <cellStyle name="40% - Accent6 2 10 2 5" xfId="41012" xr:uid="{00000000-0005-0000-0000-0000ED8B0000}"/>
    <cellStyle name="40% - Accent6 2 10 2 6" xfId="11837" xr:uid="{00000000-0005-0000-0000-0000EE8B0000}"/>
    <cellStyle name="40% - Accent6 2 10 3" xfId="3731" xr:uid="{00000000-0005-0000-0000-0000EF8B0000}"/>
    <cellStyle name="40% - Accent6 2 10 3 2" xfId="8593" xr:uid="{00000000-0005-0000-0000-0000F08B0000}"/>
    <cellStyle name="40% - Accent6 2 10 3 2 2" xfId="28044" xr:uid="{00000000-0005-0000-0000-0000F18B0000}"/>
    <cellStyle name="40% - Accent6 2 10 3 2 3" xfId="37769" xr:uid="{00000000-0005-0000-0000-0000F28B0000}"/>
    <cellStyle name="40% - Accent6 2 10 3 2 4" xfId="47494" xr:uid="{00000000-0005-0000-0000-0000F38B0000}"/>
    <cellStyle name="40% - Accent6 2 10 3 2 5" xfId="18319" xr:uid="{00000000-0005-0000-0000-0000F48B0000}"/>
    <cellStyle name="40% - Accent6 2 10 3 3" xfId="23182" xr:uid="{00000000-0005-0000-0000-0000F58B0000}"/>
    <cellStyle name="40% - Accent6 2 10 3 4" xfId="32907" xr:uid="{00000000-0005-0000-0000-0000F68B0000}"/>
    <cellStyle name="40% - Accent6 2 10 3 5" xfId="42632" xr:uid="{00000000-0005-0000-0000-0000F78B0000}"/>
    <cellStyle name="40% - Accent6 2 10 3 6" xfId="13457" xr:uid="{00000000-0005-0000-0000-0000F88B0000}"/>
    <cellStyle name="40% - Accent6 2 10 4" xfId="5353" xr:uid="{00000000-0005-0000-0000-0000F98B0000}"/>
    <cellStyle name="40% - Accent6 2 10 4 2" xfId="24804" xr:uid="{00000000-0005-0000-0000-0000FA8B0000}"/>
    <cellStyle name="40% - Accent6 2 10 4 3" xfId="34529" xr:uid="{00000000-0005-0000-0000-0000FB8B0000}"/>
    <cellStyle name="40% - Accent6 2 10 4 4" xfId="44254" xr:uid="{00000000-0005-0000-0000-0000FC8B0000}"/>
    <cellStyle name="40% - Accent6 2 10 4 5" xfId="15079" xr:uid="{00000000-0005-0000-0000-0000FD8B0000}"/>
    <cellStyle name="40% - Accent6 2 10 5" xfId="19942" xr:uid="{00000000-0005-0000-0000-0000FE8B0000}"/>
    <cellStyle name="40% - Accent6 2 10 6" xfId="29667" xr:uid="{00000000-0005-0000-0000-0000FF8B0000}"/>
    <cellStyle name="40% - Accent6 2 10 7" xfId="39392" xr:uid="{00000000-0005-0000-0000-0000008C0000}"/>
    <cellStyle name="40% - Accent6 2 10 8" xfId="10217" xr:uid="{00000000-0005-0000-0000-0000018C0000}"/>
    <cellStyle name="40% - Accent6 2 11" xfId="1660" xr:uid="{00000000-0005-0000-0000-0000028C0000}"/>
    <cellStyle name="40% - Accent6 2 11 2" xfId="3281" xr:uid="{00000000-0005-0000-0000-0000038C0000}"/>
    <cellStyle name="40% - Accent6 2 11 2 2" xfId="8143" xr:uid="{00000000-0005-0000-0000-0000048C0000}"/>
    <cellStyle name="40% - Accent6 2 11 2 2 2" xfId="27594" xr:uid="{00000000-0005-0000-0000-0000058C0000}"/>
    <cellStyle name="40% - Accent6 2 11 2 2 3" xfId="37319" xr:uid="{00000000-0005-0000-0000-0000068C0000}"/>
    <cellStyle name="40% - Accent6 2 11 2 2 4" xfId="47044" xr:uid="{00000000-0005-0000-0000-0000078C0000}"/>
    <cellStyle name="40% - Accent6 2 11 2 2 5" xfId="17869" xr:uid="{00000000-0005-0000-0000-0000088C0000}"/>
    <cellStyle name="40% - Accent6 2 11 2 3" xfId="22732" xr:uid="{00000000-0005-0000-0000-0000098C0000}"/>
    <cellStyle name="40% - Accent6 2 11 2 4" xfId="32457" xr:uid="{00000000-0005-0000-0000-00000A8C0000}"/>
    <cellStyle name="40% - Accent6 2 11 2 5" xfId="42182" xr:uid="{00000000-0005-0000-0000-00000B8C0000}"/>
    <cellStyle name="40% - Accent6 2 11 2 6" xfId="13007" xr:uid="{00000000-0005-0000-0000-00000C8C0000}"/>
    <cellStyle name="40% - Accent6 2 11 3" xfId="4901" xr:uid="{00000000-0005-0000-0000-00000D8C0000}"/>
    <cellStyle name="40% - Accent6 2 11 3 2" xfId="9763" xr:uid="{00000000-0005-0000-0000-00000E8C0000}"/>
    <cellStyle name="40% - Accent6 2 11 3 2 2" xfId="29214" xr:uid="{00000000-0005-0000-0000-00000F8C0000}"/>
    <cellStyle name="40% - Accent6 2 11 3 2 3" xfId="38939" xr:uid="{00000000-0005-0000-0000-0000108C0000}"/>
    <cellStyle name="40% - Accent6 2 11 3 2 4" xfId="48664" xr:uid="{00000000-0005-0000-0000-0000118C0000}"/>
    <cellStyle name="40% - Accent6 2 11 3 2 5" xfId="19489" xr:uid="{00000000-0005-0000-0000-0000128C0000}"/>
    <cellStyle name="40% - Accent6 2 11 3 3" xfId="24352" xr:uid="{00000000-0005-0000-0000-0000138C0000}"/>
    <cellStyle name="40% - Accent6 2 11 3 4" xfId="34077" xr:uid="{00000000-0005-0000-0000-0000148C0000}"/>
    <cellStyle name="40% - Accent6 2 11 3 5" xfId="43802" xr:uid="{00000000-0005-0000-0000-0000158C0000}"/>
    <cellStyle name="40% - Accent6 2 11 3 6" xfId="14627" xr:uid="{00000000-0005-0000-0000-0000168C0000}"/>
    <cellStyle name="40% - Accent6 2 11 4" xfId="6523" xr:uid="{00000000-0005-0000-0000-0000178C0000}"/>
    <cellStyle name="40% - Accent6 2 11 4 2" xfId="25974" xr:uid="{00000000-0005-0000-0000-0000188C0000}"/>
    <cellStyle name="40% - Accent6 2 11 4 3" xfId="35699" xr:uid="{00000000-0005-0000-0000-0000198C0000}"/>
    <cellStyle name="40% - Accent6 2 11 4 4" xfId="45424" xr:uid="{00000000-0005-0000-0000-00001A8C0000}"/>
    <cellStyle name="40% - Accent6 2 11 4 5" xfId="16249" xr:uid="{00000000-0005-0000-0000-00001B8C0000}"/>
    <cellStyle name="40% - Accent6 2 11 5" xfId="21112" xr:uid="{00000000-0005-0000-0000-00001C8C0000}"/>
    <cellStyle name="40% - Accent6 2 11 6" xfId="30837" xr:uid="{00000000-0005-0000-0000-00001D8C0000}"/>
    <cellStyle name="40% - Accent6 2 11 7" xfId="40562" xr:uid="{00000000-0005-0000-0000-00001E8C0000}"/>
    <cellStyle name="40% - Accent6 2 11 8" xfId="11387" xr:uid="{00000000-0005-0000-0000-00001F8C0000}"/>
    <cellStyle name="40% - Accent6 2 12" xfId="1751" xr:uid="{00000000-0005-0000-0000-0000208C0000}"/>
    <cellStyle name="40% - Accent6 2 12 2" xfId="6613" xr:uid="{00000000-0005-0000-0000-0000218C0000}"/>
    <cellStyle name="40% - Accent6 2 12 2 2" xfId="26064" xr:uid="{00000000-0005-0000-0000-0000228C0000}"/>
    <cellStyle name="40% - Accent6 2 12 2 3" xfId="35789" xr:uid="{00000000-0005-0000-0000-0000238C0000}"/>
    <cellStyle name="40% - Accent6 2 12 2 4" xfId="45514" xr:uid="{00000000-0005-0000-0000-0000248C0000}"/>
    <cellStyle name="40% - Accent6 2 12 2 5" xfId="16339" xr:uid="{00000000-0005-0000-0000-0000258C0000}"/>
    <cellStyle name="40% - Accent6 2 12 3" xfId="21202" xr:uid="{00000000-0005-0000-0000-0000268C0000}"/>
    <cellStyle name="40% - Accent6 2 12 4" xfId="30927" xr:uid="{00000000-0005-0000-0000-0000278C0000}"/>
    <cellStyle name="40% - Accent6 2 12 5" xfId="40652" xr:uid="{00000000-0005-0000-0000-0000288C0000}"/>
    <cellStyle name="40% - Accent6 2 12 6" xfId="11477" xr:uid="{00000000-0005-0000-0000-0000298C0000}"/>
    <cellStyle name="40% - Accent6 2 13" xfId="3371" xr:uid="{00000000-0005-0000-0000-00002A8C0000}"/>
    <cellStyle name="40% - Accent6 2 13 2" xfId="8233" xr:uid="{00000000-0005-0000-0000-00002B8C0000}"/>
    <cellStyle name="40% - Accent6 2 13 2 2" xfId="27684" xr:uid="{00000000-0005-0000-0000-00002C8C0000}"/>
    <cellStyle name="40% - Accent6 2 13 2 3" xfId="37409" xr:uid="{00000000-0005-0000-0000-00002D8C0000}"/>
    <cellStyle name="40% - Accent6 2 13 2 4" xfId="47134" xr:uid="{00000000-0005-0000-0000-00002E8C0000}"/>
    <cellStyle name="40% - Accent6 2 13 2 5" xfId="17959" xr:uid="{00000000-0005-0000-0000-00002F8C0000}"/>
    <cellStyle name="40% - Accent6 2 13 3" xfId="22822" xr:uid="{00000000-0005-0000-0000-0000308C0000}"/>
    <cellStyle name="40% - Accent6 2 13 4" xfId="32547" xr:uid="{00000000-0005-0000-0000-0000318C0000}"/>
    <cellStyle name="40% - Accent6 2 13 5" xfId="42272" xr:uid="{00000000-0005-0000-0000-0000328C0000}"/>
    <cellStyle name="40% - Accent6 2 13 6" xfId="13097" xr:uid="{00000000-0005-0000-0000-0000338C0000}"/>
    <cellStyle name="40% - Accent6 2 14" xfId="4993" xr:uid="{00000000-0005-0000-0000-0000348C0000}"/>
    <cellStyle name="40% - Accent6 2 14 2" xfId="24444" xr:uid="{00000000-0005-0000-0000-0000358C0000}"/>
    <cellStyle name="40% - Accent6 2 14 3" xfId="34169" xr:uid="{00000000-0005-0000-0000-0000368C0000}"/>
    <cellStyle name="40% - Accent6 2 14 4" xfId="43894" xr:uid="{00000000-0005-0000-0000-0000378C0000}"/>
    <cellStyle name="40% - Accent6 2 14 5" xfId="14719" xr:uid="{00000000-0005-0000-0000-0000388C0000}"/>
    <cellStyle name="40% - Accent6 2 15" xfId="19582" xr:uid="{00000000-0005-0000-0000-0000398C0000}"/>
    <cellStyle name="40% - Accent6 2 16" xfId="29307" xr:uid="{00000000-0005-0000-0000-00003A8C0000}"/>
    <cellStyle name="40% - Accent6 2 17" xfId="39032" xr:uid="{00000000-0005-0000-0000-00003B8C0000}"/>
    <cellStyle name="40% - Accent6 2 18" xfId="9857" xr:uid="{00000000-0005-0000-0000-00003C8C0000}"/>
    <cellStyle name="40% - Accent6 2 2" xfId="97" xr:uid="{00000000-0005-0000-0000-00003D8C0000}"/>
    <cellStyle name="40% - Accent6 2 2 10" xfId="1781" xr:uid="{00000000-0005-0000-0000-00003E8C0000}"/>
    <cellStyle name="40% - Accent6 2 2 10 2" xfId="6643" xr:uid="{00000000-0005-0000-0000-00003F8C0000}"/>
    <cellStyle name="40% - Accent6 2 2 10 2 2" xfId="26094" xr:uid="{00000000-0005-0000-0000-0000408C0000}"/>
    <cellStyle name="40% - Accent6 2 2 10 2 3" xfId="35819" xr:uid="{00000000-0005-0000-0000-0000418C0000}"/>
    <cellStyle name="40% - Accent6 2 2 10 2 4" xfId="45544" xr:uid="{00000000-0005-0000-0000-0000428C0000}"/>
    <cellStyle name="40% - Accent6 2 2 10 2 5" xfId="16369" xr:uid="{00000000-0005-0000-0000-0000438C0000}"/>
    <cellStyle name="40% - Accent6 2 2 10 3" xfId="21232" xr:uid="{00000000-0005-0000-0000-0000448C0000}"/>
    <cellStyle name="40% - Accent6 2 2 10 4" xfId="30957" xr:uid="{00000000-0005-0000-0000-0000458C0000}"/>
    <cellStyle name="40% - Accent6 2 2 10 5" xfId="40682" xr:uid="{00000000-0005-0000-0000-0000468C0000}"/>
    <cellStyle name="40% - Accent6 2 2 10 6" xfId="11507" xr:uid="{00000000-0005-0000-0000-0000478C0000}"/>
    <cellStyle name="40% - Accent6 2 2 11" xfId="3401" xr:uid="{00000000-0005-0000-0000-0000488C0000}"/>
    <cellStyle name="40% - Accent6 2 2 11 2" xfId="8263" xr:uid="{00000000-0005-0000-0000-0000498C0000}"/>
    <cellStyle name="40% - Accent6 2 2 11 2 2" xfId="27714" xr:uid="{00000000-0005-0000-0000-00004A8C0000}"/>
    <cellStyle name="40% - Accent6 2 2 11 2 3" xfId="37439" xr:uid="{00000000-0005-0000-0000-00004B8C0000}"/>
    <cellStyle name="40% - Accent6 2 2 11 2 4" xfId="47164" xr:uid="{00000000-0005-0000-0000-00004C8C0000}"/>
    <cellStyle name="40% - Accent6 2 2 11 2 5" xfId="17989" xr:uid="{00000000-0005-0000-0000-00004D8C0000}"/>
    <cellStyle name="40% - Accent6 2 2 11 3" xfId="22852" xr:uid="{00000000-0005-0000-0000-00004E8C0000}"/>
    <cellStyle name="40% - Accent6 2 2 11 4" xfId="32577" xr:uid="{00000000-0005-0000-0000-00004F8C0000}"/>
    <cellStyle name="40% - Accent6 2 2 11 5" xfId="42302" xr:uid="{00000000-0005-0000-0000-0000508C0000}"/>
    <cellStyle name="40% - Accent6 2 2 11 6" xfId="13127" xr:uid="{00000000-0005-0000-0000-0000518C0000}"/>
    <cellStyle name="40% - Accent6 2 2 12" xfId="5023" xr:uid="{00000000-0005-0000-0000-0000528C0000}"/>
    <cellStyle name="40% - Accent6 2 2 12 2" xfId="24474" xr:uid="{00000000-0005-0000-0000-0000538C0000}"/>
    <cellStyle name="40% - Accent6 2 2 12 3" xfId="34199" xr:uid="{00000000-0005-0000-0000-0000548C0000}"/>
    <cellStyle name="40% - Accent6 2 2 12 4" xfId="43924" xr:uid="{00000000-0005-0000-0000-0000558C0000}"/>
    <cellStyle name="40% - Accent6 2 2 12 5" xfId="14749" xr:uid="{00000000-0005-0000-0000-0000568C0000}"/>
    <cellStyle name="40% - Accent6 2 2 13" xfId="19612" xr:uid="{00000000-0005-0000-0000-0000578C0000}"/>
    <cellStyle name="40% - Accent6 2 2 14" xfId="29337" xr:uid="{00000000-0005-0000-0000-0000588C0000}"/>
    <cellStyle name="40% - Accent6 2 2 15" xfId="39062" xr:uid="{00000000-0005-0000-0000-0000598C0000}"/>
    <cellStyle name="40% - Accent6 2 2 16" xfId="9887" xr:uid="{00000000-0005-0000-0000-00005A8C0000}"/>
    <cellStyle name="40% - Accent6 2 2 2" xfId="279" xr:uid="{00000000-0005-0000-0000-00005B8C0000}"/>
    <cellStyle name="40% - Accent6 2 2 2 10" xfId="39242" xr:uid="{00000000-0005-0000-0000-00005C8C0000}"/>
    <cellStyle name="40% - Accent6 2 2 2 11" xfId="10067" xr:uid="{00000000-0005-0000-0000-00005D8C0000}"/>
    <cellStyle name="40% - Accent6 2 2 2 2" xfId="1043" xr:uid="{00000000-0005-0000-0000-00005E8C0000}"/>
    <cellStyle name="40% - Accent6 2 2 2 2 2" xfId="2681" xr:uid="{00000000-0005-0000-0000-00005F8C0000}"/>
    <cellStyle name="40% - Accent6 2 2 2 2 2 2" xfId="7543" xr:uid="{00000000-0005-0000-0000-0000608C0000}"/>
    <cellStyle name="40% - Accent6 2 2 2 2 2 2 2" xfId="26994" xr:uid="{00000000-0005-0000-0000-0000618C0000}"/>
    <cellStyle name="40% - Accent6 2 2 2 2 2 2 3" xfId="36719" xr:uid="{00000000-0005-0000-0000-0000628C0000}"/>
    <cellStyle name="40% - Accent6 2 2 2 2 2 2 4" xfId="46444" xr:uid="{00000000-0005-0000-0000-0000638C0000}"/>
    <cellStyle name="40% - Accent6 2 2 2 2 2 2 5" xfId="17269" xr:uid="{00000000-0005-0000-0000-0000648C0000}"/>
    <cellStyle name="40% - Accent6 2 2 2 2 2 3" xfId="22132" xr:uid="{00000000-0005-0000-0000-0000658C0000}"/>
    <cellStyle name="40% - Accent6 2 2 2 2 2 4" xfId="31857" xr:uid="{00000000-0005-0000-0000-0000668C0000}"/>
    <cellStyle name="40% - Accent6 2 2 2 2 2 5" xfId="41582" xr:uid="{00000000-0005-0000-0000-0000678C0000}"/>
    <cellStyle name="40% - Accent6 2 2 2 2 2 6" xfId="12407" xr:uid="{00000000-0005-0000-0000-0000688C0000}"/>
    <cellStyle name="40% - Accent6 2 2 2 2 3" xfId="4301" xr:uid="{00000000-0005-0000-0000-0000698C0000}"/>
    <cellStyle name="40% - Accent6 2 2 2 2 3 2" xfId="9163" xr:uid="{00000000-0005-0000-0000-00006A8C0000}"/>
    <cellStyle name="40% - Accent6 2 2 2 2 3 2 2" xfId="28614" xr:uid="{00000000-0005-0000-0000-00006B8C0000}"/>
    <cellStyle name="40% - Accent6 2 2 2 2 3 2 3" xfId="38339" xr:uid="{00000000-0005-0000-0000-00006C8C0000}"/>
    <cellStyle name="40% - Accent6 2 2 2 2 3 2 4" xfId="48064" xr:uid="{00000000-0005-0000-0000-00006D8C0000}"/>
    <cellStyle name="40% - Accent6 2 2 2 2 3 2 5" xfId="18889" xr:uid="{00000000-0005-0000-0000-00006E8C0000}"/>
    <cellStyle name="40% - Accent6 2 2 2 2 3 3" xfId="23752" xr:uid="{00000000-0005-0000-0000-00006F8C0000}"/>
    <cellStyle name="40% - Accent6 2 2 2 2 3 4" xfId="33477" xr:uid="{00000000-0005-0000-0000-0000708C0000}"/>
    <cellStyle name="40% - Accent6 2 2 2 2 3 5" xfId="43202" xr:uid="{00000000-0005-0000-0000-0000718C0000}"/>
    <cellStyle name="40% - Accent6 2 2 2 2 3 6" xfId="14027" xr:uid="{00000000-0005-0000-0000-0000728C0000}"/>
    <cellStyle name="40% - Accent6 2 2 2 2 4" xfId="5923" xr:uid="{00000000-0005-0000-0000-0000738C0000}"/>
    <cellStyle name="40% - Accent6 2 2 2 2 4 2" xfId="25374" xr:uid="{00000000-0005-0000-0000-0000748C0000}"/>
    <cellStyle name="40% - Accent6 2 2 2 2 4 3" xfId="35099" xr:uid="{00000000-0005-0000-0000-0000758C0000}"/>
    <cellStyle name="40% - Accent6 2 2 2 2 4 4" xfId="44824" xr:uid="{00000000-0005-0000-0000-0000768C0000}"/>
    <cellStyle name="40% - Accent6 2 2 2 2 4 5" xfId="15649" xr:uid="{00000000-0005-0000-0000-0000778C0000}"/>
    <cellStyle name="40% - Accent6 2 2 2 2 5" xfId="20512" xr:uid="{00000000-0005-0000-0000-0000788C0000}"/>
    <cellStyle name="40% - Accent6 2 2 2 2 6" xfId="30237" xr:uid="{00000000-0005-0000-0000-0000798C0000}"/>
    <cellStyle name="40% - Accent6 2 2 2 2 7" xfId="39962" xr:uid="{00000000-0005-0000-0000-00007A8C0000}"/>
    <cellStyle name="40% - Accent6 2 2 2 2 8" xfId="10787" xr:uid="{00000000-0005-0000-0000-00007B8C0000}"/>
    <cellStyle name="40% - Accent6 2 2 2 3" xfId="1510" xr:uid="{00000000-0005-0000-0000-00007C8C0000}"/>
    <cellStyle name="40% - Accent6 2 2 2 3 2" xfId="3131" xr:uid="{00000000-0005-0000-0000-00007D8C0000}"/>
    <cellStyle name="40% - Accent6 2 2 2 3 2 2" xfId="7993" xr:uid="{00000000-0005-0000-0000-00007E8C0000}"/>
    <cellStyle name="40% - Accent6 2 2 2 3 2 2 2" xfId="27444" xr:uid="{00000000-0005-0000-0000-00007F8C0000}"/>
    <cellStyle name="40% - Accent6 2 2 2 3 2 2 3" xfId="37169" xr:uid="{00000000-0005-0000-0000-0000808C0000}"/>
    <cellStyle name="40% - Accent6 2 2 2 3 2 2 4" xfId="46894" xr:uid="{00000000-0005-0000-0000-0000818C0000}"/>
    <cellStyle name="40% - Accent6 2 2 2 3 2 2 5" xfId="17719" xr:uid="{00000000-0005-0000-0000-0000828C0000}"/>
    <cellStyle name="40% - Accent6 2 2 2 3 2 3" xfId="22582" xr:uid="{00000000-0005-0000-0000-0000838C0000}"/>
    <cellStyle name="40% - Accent6 2 2 2 3 2 4" xfId="32307" xr:uid="{00000000-0005-0000-0000-0000848C0000}"/>
    <cellStyle name="40% - Accent6 2 2 2 3 2 5" xfId="42032" xr:uid="{00000000-0005-0000-0000-0000858C0000}"/>
    <cellStyle name="40% - Accent6 2 2 2 3 2 6" xfId="12857" xr:uid="{00000000-0005-0000-0000-0000868C0000}"/>
    <cellStyle name="40% - Accent6 2 2 2 3 3" xfId="4751" xr:uid="{00000000-0005-0000-0000-0000878C0000}"/>
    <cellStyle name="40% - Accent6 2 2 2 3 3 2" xfId="9613" xr:uid="{00000000-0005-0000-0000-0000888C0000}"/>
    <cellStyle name="40% - Accent6 2 2 2 3 3 2 2" xfId="29064" xr:uid="{00000000-0005-0000-0000-0000898C0000}"/>
    <cellStyle name="40% - Accent6 2 2 2 3 3 2 3" xfId="38789" xr:uid="{00000000-0005-0000-0000-00008A8C0000}"/>
    <cellStyle name="40% - Accent6 2 2 2 3 3 2 4" xfId="48514" xr:uid="{00000000-0005-0000-0000-00008B8C0000}"/>
    <cellStyle name="40% - Accent6 2 2 2 3 3 2 5" xfId="19339" xr:uid="{00000000-0005-0000-0000-00008C8C0000}"/>
    <cellStyle name="40% - Accent6 2 2 2 3 3 3" xfId="24202" xr:uid="{00000000-0005-0000-0000-00008D8C0000}"/>
    <cellStyle name="40% - Accent6 2 2 2 3 3 4" xfId="33927" xr:uid="{00000000-0005-0000-0000-00008E8C0000}"/>
    <cellStyle name="40% - Accent6 2 2 2 3 3 5" xfId="43652" xr:uid="{00000000-0005-0000-0000-00008F8C0000}"/>
    <cellStyle name="40% - Accent6 2 2 2 3 3 6" xfId="14477" xr:uid="{00000000-0005-0000-0000-0000908C0000}"/>
    <cellStyle name="40% - Accent6 2 2 2 3 4" xfId="6373" xr:uid="{00000000-0005-0000-0000-0000918C0000}"/>
    <cellStyle name="40% - Accent6 2 2 2 3 4 2" xfId="25824" xr:uid="{00000000-0005-0000-0000-0000928C0000}"/>
    <cellStyle name="40% - Accent6 2 2 2 3 4 3" xfId="35549" xr:uid="{00000000-0005-0000-0000-0000938C0000}"/>
    <cellStyle name="40% - Accent6 2 2 2 3 4 4" xfId="45274" xr:uid="{00000000-0005-0000-0000-0000948C0000}"/>
    <cellStyle name="40% - Accent6 2 2 2 3 4 5" xfId="16099" xr:uid="{00000000-0005-0000-0000-0000958C0000}"/>
    <cellStyle name="40% - Accent6 2 2 2 3 5" xfId="20962" xr:uid="{00000000-0005-0000-0000-0000968C0000}"/>
    <cellStyle name="40% - Accent6 2 2 2 3 6" xfId="30687" xr:uid="{00000000-0005-0000-0000-0000978C0000}"/>
    <cellStyle name="40% - Accent6 2 2 2 3 7" xfId="40412" xr:uid="{00000000-0005-0000-0000-0000988C0000}"/>
    <cellStyle name="40% - Accent6 2 2 2 3 8" xfId="11237" xr:uid="{00000000-0005-0000-0000-0000998C0000}"/>
    <cellStyle name="40% - Accent6 2 2 2 4" xfId="681" xr:uid="{00000000-0005-0000-0000-00009A8C0000}"/>
    <cellStyle name="40% - Accent6 2 2 2 4 2" xfId="2321" xr:uid="{00000000-0005-0000-0000-00009B8C0000}"/>
    <cellStyle name="40% - Accent6 2 2 2 4 2 2" xfId="7183" xr:uid="{00000000-0005-0000-0000-00009C8C0000}"/>
    <cellStyle name="40% - Accent6 2 2 2 4 2 2 2" xfId="26634" xr:uid="{00000000-0005-0000-0000-00009D8C0000}"/>
    <cellStyle name="40% - Accent6 2 2 2 4 2 2 3" xfId="36359" xr:uid="{00000000-0005-0000-0000-00009E8C0000}"/>
    <cellStyle name="40% - Accent6 2 2 2 4 2 2 4" xfId="46084" xr:uid="{00000000-0005-0000-0000-00009F8C0000}"/>
    <cellStyle name="40% - Accent6 2 2 2 4 2 2 5" xfId="16909" xr:uid="{00000000-0005-0000-0000-0000A08C0000}"/>
    <cellStyle name="40% - Accent6 2 2 2 4 2 3" xfId="21772" xr:uid="{00000000-0005-0000-0000-0000A18C0000}"/>
    <cellStyle name="40% - Accent6 2 2 2 4 2 4" xfId="31497" xr:uid="{00000000-0005-0000-0000-0000A28C0000}"/>
    <cellStyle name="40% - Accent6 2 2 2 4 2 5" xfId="41222" xr:uid="{00000000-0005-0000-0000-0000A38C0000}"/>
    <cellStyle name="40% - Accent6 2 2 2 4 2 6" xfId="12047" xr:uid="{00000000-0005-0000-0000-0000A48C0000}"/>
    <cellStyle name="40% - Accent6 2 2 2 4 3" xfId="3941" xr:uid="{00000000-0005-0000-0000-0000A58C0000}"/>
    <cellStyle name="40% - Accent6 2 2 2 4 3 2" xfId="8803" xr:uid="{00000000-0005-0000-0000-0000A68C0000}"/>
    <cellStyle name="40% - Accent6 2 2 2 4 3 2 2" xfId="28254" xr:uid="{00000000-0005-0000-0000-0000A78C0000}"/>
    <cellStyle name="40% - Accent6 2 2 2 4 3 2 3" xfId="37979" xr:uid="{00000000-0005-0000-0000-0000A88C0000}"/>
    <cellStyle name="40% - Accent6 2 2 2 4 3 2 4" xfId="47704" xr:uid="{00000000-0005-0000-0000-0000A98C0000}"/>
    <cellStyle name="40% - Accent6 2 2 2 4 3 2 5" xfId="18529" xr:uid="{00000000-0005-0000-0000-0000AA8C0000}"/>
    <cellStyle name="40% - Accent6 2 2 2 4 3 3" xfId="23392" xr:uid="{00000000-0005-0000-0000-0000AB8C0000}"/>
    <cellStyle name="40% - Accent6 2 2 2 4 3 4" xfId="33117" xr:uid="{00000000-0005-0000-0000-0000AC8C0000}"/>
    <cellStyle name="40% - Accent6 2 2 2 4 3 5" xfId="42842" xr:uid="{00000000-0005-0000-0000-0000AD8C0000}"/>
    <cellStyle name="40% - Accent6 2 2 2 4 3 6" xfId="13667" xr:uid="{00000000-0005-0000-0000-0000AE8C0000}"/>
    <cellStyle name="40% - Accent6 2 2 2 4 4" xfId="5563" xr:uid="{00000000-0005-0000-0000-0000AF8C0000}"/>
    <cellStyle name="40% - Accent6 2 2 2 4 4 2" xfId="25014" xr:uid="{00000000-0005-0000-0000-0000B08C0000}"/>
    <cellStyle name="40% - Accent6 2 2 2 4 4 3" xfId="34739" xr:uid="{00000000-0005-0000-0000-0000B18C0000}"/>
    <cellStyle name="40% - Accent6 2 2 2 4 4 4" xfId="44464" xr:uid="{00000000-0005-0000-0000-0000B28C0000}"/>
    <cellStyle name="40% - Accent6 2 2 2 4 4 5" xfId="15289" xr:uid="{00000000-0005-0000-0000-0000B38C0000}"/>
    <cellStyle name="40% - Accent6 2 2 2 4 5" xfId="20152" xr:uid="{00000000-0005-0000-0000-0000B48C0000}"/>
    <cellStyle name="40% - Accent6 2 2 2 4 6" xfId="29877" xr:uid="{00000000-0005-0000-0000-0000B58C0000}"/>
    <cellStyle name="40% - Accent6 2 2 2 4 7" xfId="39602" xr:uid="{00000000-0005-0000-0000-0000B68C0000}"/>
    <cellStyle name="40% - Accent6 2 2 2 4 8" xfId="10427" xr:uid="{00000000-0005-0000-0000-0000B78C0000}"/>
    <cellStyle name="40% - Accent6 2 2 2 5" xfId="1961" xr:uid="{00000000-0005-0000-0000-0000B88C0000}"/>
    <cellStyle name="40% - Accent6 2 2 2 5 2" xfId="6823" xr:uid="{00000000-0005-0000-0000-0000B98C0000}"/>
    <cellStyle name="40% - Accent6 2 2 2 5 2 2" xfId="26274" xr:uid="{00000000-0005-0000-0000-0000BA8C0000}"/>
    <cellStyle name="40% - Accent6 2 2 2 5 2 3" xfId="35999" xr:uid="{00000000-0005-0000-0000-0000BB8C0000}"/>
    <cellStyle name="40% - Accent6 2 2 2 5 2 4" xfId="45724" xr:uid="{00000000-0005-0000-0000-0000BC8C0000}"/>
    <cellStyle name="40% - Accent6 2 2 2 5 2 5" xfId="16549" xr:uid="{00000000-0005-0000-0000-0000BD8C0000}"/>
    <cellStyle name="40% - Accent6 2 2 2 5 3" xfId="21412" xr:uid="{00000000-0005-0000-0000-0000BE8C0000}"/>
    <cellStyle name="40% - Accent6 2 2 2 5 4" xfId="31137" xr:uid="{00000000-0005-0000-0000-0000BF8C0000}"/>
    <cellStyle name="40% - Accent6 2 2 2 5 5" xfId="40862" xr:uid="{00000000-0005-0000-0000-0000C08C0000}"/>
    <cellStyle name="40% - Accent6 2 2 2 5 6" xfId="11687" xr:uid="{00000000-0005-0000-0000-0000C18C0000}"/>
    <cellStyle name="40% - Accent6 2 2 2 6" xfId="3581" xr:uid="{00000000-0005-0000-0000-0000C28C0000}"/>
    <cellStyle name="40% - Accent6 2 2 2 6 2" xfId="8443" xr:uid="{00000000-0005-0000-0000-0000C38C0000}"/>
    <cellStyle name="40% - Accent6 2 2 2 6 2 2" xfId="27894" xr:uid="{00000000-0005-0000-0000-0000C48C0000}"/>
    <cellStyle name="40% - Accent6 2 2 2 6 2 3" xfId="37619" xr:uid="{00000000-0005-0000-0000-0000C58C0000}"/>
    <cellStyle name="40% - Accent6 2 2 2 6 2 4" xfId="47344" xr:uid="{00000000-0005-0000-0000-0000C68C0000}"/>
    <cellStyle name="40% - Accent6 2 2 2 6 2 5" xfId="18169" xr:uid="{00000000-0005-0000-0000-0000C78C0000}"/>
    <cellStyle name="40% - Accent6 2 2 2 6 3" xfId="23032" xr:uid="{00000000-0005-0000-0000-0000C88C0000}"/>
    <cellStyle name="40% - Accent6 2 2 2 6 4" xfId="32757" xr:uid="{00000000-0005-0000-0000-0000C98C0000}"/>
    <cellStyle name="40% - Accent6 2 2 2 6 5" xfId="42482" xr:uid="{00000000-0005-0000-0000-0000CA8C0000}"/>
    <cellStyle name="40% - Accent6 2 2 2 6 6" xfId="13307" xr:uid="{00000000-0005-0000-0000-0000CB8C0000}"/>
    <cellStyle name="40% - Accent6 2 2 2 7" xfId="5203" xr:uid="{00000000-0005-0000-0000-0000CC8C0000}"/>
    <cellStyle name="40% - Accent6 2 2 2 7 2" xfId="24654" xr:uid="{00000000-0005-0000-0000-0000CD8C0000}"/>
    <cellStyle name="40% - Accent6 2 2 2 7 3" xfId="34379" xr:uid="{00000000-0005-0000-0000-0000CE8C0000}"/>
    <cellStyle name="40% - Accent6 2 2 2 7 4" xfId="44104" xr:uid="{00000000-0005-0000-0000-0000CF8C0000}"/>
    <cellStyle name="40% - Accent6 2 2 2 7 5" xfId="14929" xr:uid="{00000000-0005-0000-0000-0000D08C0000}"/>
    <cellStyle name="40% - Accent6 2 2 2 8" xfId="19792" xr:uid="{00000000-0005-0000-0000-0000D18C0000}"/>
    <cellStyle name="40% - Accent6 2 2 2 9" xfId="29517" xr:uid="{00000000-0005-0000-0000-0000D28C0000}"/>
    <cellStyle name="40% - Accent6 2 2 3" xfId="370" xr:uid="{00000000-0005-0000-0000-0000D38C0000}"/>
    <cellStyle name="40% - Accent6 2 2 3 10" xfId="39332" xr:uid="{00000000-0005-0000-0000-0000D48C0000}"/>
    <cellStyle name="40% - Accent6 2 2 3 11" xfId="10157" xr:uid="{00000000-0005-0000-0000-0000D58C0000}"/>
    <cellStyle name="40% - Accent6 2 2 3 2" xfId="1133" xr:uid="{00000000-0005-0000-0000-0000D68C0000}"/>
    <cellStyle name="40% - Accent6 2 2 3 2 2" xfId="2771" xr:uid="{00000000-0005-0000-0000-0000D78C0000}"/>
    <cellStyle name="40% - Accent6 2 2 3 2 2 2" xfId="7633" xr:uid="{00000000-0005-0000-0000-0000D88C0000}"/>
    <cellStyle name="40% - Accent6 2 2 3 2 2 2 2" xfId="27084" xr:uid="{00000000-0005-0000-0000-0000D98C0000}"/>
    <cellStyle name="40% - Accent6 2 2 3 2 2 2 3" xfId="36809" xr:uid="{00000000-0005-0000-0000-0000DA8C0000}"/>
    <cellStyle name="40% - Accent6 2 2 3 2 2 2 4" xfId="46534" xr:uid="{00000000-0005-0000-0000-0000DB8C0000}"/>
    <cellStyle name="40% - Accent6 2 2 3 2 2 2 5" xfId="17359" xr:uid="{00000000-0005-0000-0000-0000DC8C0000}"/>
    <cellStyle name="40% - Accent6 2 2 3 2 2 3" xfId="22222" xr:uid="{00000000-0005-0000-0000-0000DD8C0000}"/>
    <cellStyle name="40% - Accent6 2 2 3 2 2 4" xfId="31947" xr:uid="{00000000-0005-0000-0000-0000DE8C0000}"/>
    <cellStyle name="40% - Accent6 2 2 3 2 2 5" xfId="41672" xr:uid="{00000000-0005-0000-0000-0000DF8C0000}"/>
    <cellStyle name="40% - Accent6 2 2 3 2 2 6" xfId="12497" xr:uid="{00000000-0005-0000-0000-0000E08C0000}"/>
    <cellStyle name="40% - Accent6 2 2 3 2 3" xfId="4391" xr:uid="{00000000-0005-0000-0000-0000E18C0000}"/>
    <cellStyle name="40% - Accent6 2 2 3 2 3 2" xfId="9253" xr:uid="{00000000-0005-0000-0000-0000E28C0000}"/>
    <cellStyle name="40% - Accent6 2 2 3 2 3 2 2" xfId="28704" xr:uid="{00000000-0005-0000-0000-0000E38C0000}"/>
    <cellStyle name="40% - Accent6 2 2 3 2 3 2 3" xfId="38429" xr:uid="{00000000-0005-0000-0000-0000E48C0000}"/>
    <cellStyle name="40% - Accent6 2 2 3 2 3 2 4" xfId="48154" xr:uid="{00000000-0005-0000-0000-0000E58C0000}"/>
    <cellStyle name="40% - Accent6 2 2 3 2 3 2 5" xfId="18979" xr:uid="{00000000-0005-0000-0000-0000E68C0000}"/>
    <cellStyle name="40% - Accent6 2 2 3 2 3 3" xfId="23842" xr:uid="{00000000-0005-0000-0000-0000E78C0000}"/>
    <cellStyle name="40% - Accent6 2 2 3 2 3 4" xfId="33567" xr:uid="{00000000-0005-0000-0000-0000E88C0000}"/>
    <cellStyle name="40% - Accent6 2 2 3 2 3 5" xfId="43292" xr:uid="{00000000-0005-0000-0000-0000E98C0000}"/>
    <cellStyle name="40% - Accent6 2 2 3 2 3 6" xfId="14117" xr:uid="{00000000-0005-0000-0000-0000EA8C0000}"/>
    <cellStyle name="40% - Accent6 2 2 3 2 4" xfId="6013" xr:uid="{00000000-0005-0000-0000-0000EB8C0000}"/>
    <cellStyle name="40% - Accent6 2 2 3 2 4 2" xfId="25464" xr:uid="{00000000-0005-0000-0000-0000EC8C0000}"/>
    <cellStyle name="40% - Accent6 2 2 3 2 4 3" xfId="35189" xr:uid="{00000000-0005-0000-0000-0000ED8C0000}"/>
    <cellStyle name="40% - Accent6 2 2 3 2 4 4" xfId="44914" xr:uid="{00000000-0005-0000-0000-0000EE8C0000}"/>
    <cellStyle name="40% - Accent6 2 2 3 2 4 5" xfId="15739" xr:uid="{00000000-0005-0000-0000-0000EF8C0000}"/>
    <cellStyle name="40% - Accent6 2 2 3 2 5" xfId="20602" xr:uid="{00000000-0005-0000-0000-0000F08C0000}"/>
    <cellStyle name="40% - Accent6 2 2 3 2 6" xfId="30327" xr:uid="{00000000-0005-0000-0000-0000F18C0000}"/>
    <cellStyle name="40% - Accent6 2 2 3 2 7" xfId="40052" xr:uid="{00000000-0005-0000-0000-0000F28C0000}"/>
    <cellStyle name="40% - Accent6 2 2 3 2 8" xfId="10877" xr:uid="{00000000-0005-0000-0000-0000F38C0000}"/>
    <cellStyle name="40% - Accent6 2 2 3 3" xfId="1600" xr:uid="{00000000-0005-0000-0000-0000F48C0000}"/>
    <cellStyle name="40% - Accent6 2 2 3 3 2" xfId="3221" xr:uid="{00000000-0005-0000-0000-0000F58C0000}"/>
    <cellStyle name="40% - Accent6 2 2 3 3 2 2" xfId="8083" xr:uid="{00000000-0005-0000-0000-0000F68C0000}"/>
    <cellStyle name="40% - Accent6 2 2 3 3 2 2 2" xfId="27534" xr:uid="{00000000-0005-0000-0000-0000F78C0000}"/>
    <cellStyle name="40% - Accent6 2 2 3 3 2 2 3" xfId="37259" xr:uid="{00000000-0005-0000-0000-0000F88C0000}"/>
    <cellStyle name="40% - Accent6 2 2 3 3 2 2 4" xfId="46984" xr:uid="{00000000-0005-0000-0000-0000F98C0000}"/>
    <cellStyle name="40% - Accent6 2 2 3 3 2 2 5" xfId="17809" xr:uid="{00000000-0005-0000-0000-0000FA8C0000}"/>
    <cellStyle name="40% - Accent6 2 2 3 3 2 3" xfId="22672" xr:uid="{00000000-0005-0000-0000-0000FB8C0000}"/>
    <cellStyle name="40% - Accent6 2 2 3 3 2 4" xfId="32397" xr:uid="{00000000-0005-0000-0000-0000FC8C0000}"/>
    <cellStyle name="40% - Accent6 2 2 3 3 2 5" xfId="42122" xr:uid="{00000000-0005-0000-0000-0000FD8C0000}"/>
    <cellStyle name="40% - Accent6 2 2 3 3 2 6" xfId="12947" xr:uid="{00000000-0005-0000-0000-0000FE8C0000}"/>
    <cellStyle name="40% - Accent6 2 2 3 3 3" xfId="4841" xr:uid="{00000000-0005-0000-0000-0000FF8C0000}"/>
    <cellStyle name="40% - Accent6 2 2 3 3 3 2" xfId="9703" xr:uid="{00000000-0005-0000-0000-0000008D0000}"/>
    <cellStyle name="40% - Accent6 2 2 3 3 3 2 2" xfId="29154" xr:uid="{00000000-0005-0000-0000-0000018D0000}"/>
    <cellStyle name="40% - Accent6 2 2 3 3 3 2 3" xfId="38879" xr:uid="{00000000-0005-0000-0000-0000028D0000}"/>
    <cellStyle name="40% - Accent6 2 2 3 3 3 2 4" xfId="48604" xr:uid="{00000000-0005-0000-0000-0000038D0000}"/>
    <cellStyle name="40% - Accent6 2 2 3 3 3 2 5" xfId="19429" xr:uid="{00000000-0005-0000-0000-0000048D0000}"/>
    <cellStyle name="40% - Accent6 2 2 3 3 3 3" xfId="24292" xr:uid="{00000000-0005-0000-0000-0000058D0000}"/>
    <cellStyle name="40% - Accent6 2 2 3 3 3 4" xfId="34017" xr:uid="{00000000-0005-0000-0000-0000068D0000}"/>
    <cellStyle name="40% - Accent6 2 2 3 3 3 5" xfId="43742" xr:uid="{00000000-0005-0000-0000-0000078D0000}"/>
    <cellStyle name="40% - Accent6 2 2 3 3 3 6" xfId="14567" xr:uid="{00000000-0005-0000-0000-0000088D0000}"/>
    <cellStyle name="40% - Accent6 2 2 3 3 4" xfId="6463" xr:uid="{00000000-0005-0000-0000-0000098D0000}"/>
    <cellStyle name="40% - Accent6 2 2 3 3 4 2" xfId="25914" xr:uid="{00000000-0005-0000-0000-00000A8D0000}"/>
    <cellStyle name="40% - Accent6 2 2 3 3 4 3" xfId="35639" xr:uid="{00000000-0005-0000-0000-00000B8D0000}"/>
    <cellStyle name="40% - Accent6 2 2 3 3 4 4" xfId="45364" xr:uid="{00000000-0005-0000-0000-00000C8D0000}"/>
    <cellStyle name="40% - Accent6 2 2 3 3 4 5" xfId="16189" xr:uid="{00000000-0005-0000-0000-00000D8D0000}"/>
    <cellStyle name="40% - Accent6 2 2 3 3 5" xfId="21052" xr:uid="{00000000-0005-0000-0000-00000E8D0000}"/>
    <cellStyle name="40% - Accent6 2 2 3 3 6" xfId="30777" xr:uid="{00000000-0005-0000-0000-00000F8D0000}"/>
    <cellStyle name="40% - Accent6 2 2 3 3 7" xfId="40502" xr:uid="{00000000-0005-0000-0000-0000108D0000}"/>
    <cellStyle name="40% - Accent6 2 2 3 3 8" xfId="11327" xr:uid="{00000000-0005-0000-0000-0000118D0000}"/>
    <cellStyle name="40% - Accent6 2 2 3 4" xfId="771" xr:uid="{00000000-0005-0000-0000-0000128D0000}"/>
    <cellStyle name="40% - Accent6 2 2 3 4 2" xfId="2411" xr:uid="{00000000-0005-0000-0000-0000138D0000}"/>
    <cellStyle name="40% - Accent6 2 2 3 4 2 2" xfId="7273" xr:uid="{00000000-0005-0000-0000-0000148D0000}"/>
    <cellStyle name="40% - Accent6 2 2 3 4 2 2 2" xfId="26724" xr:uid="{00000000-0005-0000-0000-0000158D0000}"/>
    <cellStyle name="40% - Accent6 2 2 3 4 2 2 3" xfId="36449" xr:uid="{00000000-0005-0000-0000-0000168D0000}"/>
    <cellStyle name="40% - Accent6 2 2 3 4 2 2 4" xfId="46174" xr:uid="{00000000-0005-0000-0000-0000178D0000}"/>
    <cellStyle name="40% - Accent6 2 2 3 4 2 2 5" xfId="16999" xr:uid="{00000000-0005-0000-0000-0000188D0000}"/>
    <cellStyle name="40% - Accent6 2 2 3 4 2 3" xfId="21862" xr:uid="{00000000-0005-0000-0000-0000198D0000}"/>
    <cellStyle name="40% - Accent6 2 2 3 4 2 4" xfId="31587" xr:uid="{00000000-0005-0000-0000-00001A8D0000}"/>
    <cellStyle name="40% - Accent6 2 2 3 4 2 5" xfId="41312" xr:uid="{00000000-0005-0000-0000-00001B8D0000}"/>
    <cellStyle name="40% - Accent6 2 2 3 4 2 6" xfId="12137" xr:uid="{00000000-0005-0000-0000-00001C8D0000}"/>
    <cellStyle name="40% - Accent6 2 2 3 4 3" xfId="4031" xr:uid="{00000000-0005-0000-0000-00001D8D0000}"/>
    <cellStyle name="40% - Accent6 2 2 3 4 3 2" xfId="8893" xr:uid="{00000000-0005-0000-0000-00001E8D0000}"/>
    <cellStyle name="40% - Accent6 2 2 3 4 3 2 2" xfId="28344" xr:uid="{00000000-0005-0000-0000-00001F8D0000}"/>
    <cellStyle name="40% - Accent6 2 2 3 4 3 2 3" xfId="38069" xr:uid="{00000000-0005-0000-0000-0000208D0000}"/>
    <cellStyle name="40% - Accent6 2 2 3 4 3 2 4" xfId="47794" xr:uid="{00000000-0005-0000-0000-0000218D0000}"/>
    <cellStyle name="40% - Accent6 2 2 3 4 3 2 5" xfId="18619" xr:uid="{00000000-0005-0000-0000-0000228D0000}"/>
    <cellStyle name="40% - Accent6 2 2 3 4 3 3" xfId="23482" xr:uid="{00000000-0005-0000-0000-0000238D0000}"/>
    <cellStyle name="40% - Accent6 2 2 3 4 3 4" xfId="33207" xr:uid="{00000000-0005-0000-0000-0000248D0000}"/>
    <cellStyle name="40% - Accent6 2 2 3 4 3 5" xfId="42932" xr:uid="{00000000-0005-0000-0000-0000258D0000}"/>
    <cellStyle name="40% - Accent6 2 2 3 4 3 6" xfId="13757" xr:uid="{00000000-0005-0000-0000-0000268D0000}"/>
    <cellStyle name="40% - Accent6 2 2 3 4 4" xfId="5653" xr:uid="{00000000-0005-0000-0000-0000278D0000}"/>
    <cellStyle name="40% - Accent6 2 2 3 4 4 2" xfId="25104" xr:uid="{00000000-0005-0000-0000-0000288D0000}"/>
    <cellStyle name="40% - Accent6 2 2 3 4 4 3" xfId="34829" xr:uid="{00000000-0005-0000-0000-0000298D0000}"/>
    <cellStyle name="40% - Accent6 2 2 3 4 4 4" xfId="44554" xr:uid="{00000000-0005-0000-0000-00002A8D0000}"/>
    <cellStyle name="40% - Accent6 2 2 3 4 4 5" xfId="15379" xr:uid="{00000000-0005-0000-0000-00002B8D0000}"/>
    <cellStyle name="40% - Accent6 2 2 3 4 5" xfId="20242" xr:uid="{00000000-0005-0000-0000-00002C8D0000}"/>
    <cellStyle name="40% - Accent6 2 2 3 4 6" xfId="29967" xr:uid="{00000000-0005-0000-0000-00002D8D0000}"/>
    <cellStyle name="40% - Accent6 2 2 3 4 7" xfId="39692" xr:uid="{00000000-0005-0000-0000-00002E8D0000}"/>
    <cellStyle name="40% - Accent6 2 2 3 4 8" xfId="10517" xr:uid="{00000000-0005-0000-0000-00002F8D0000}"/>
    <cellStyle name="40% - Accent6 2 2 3 5" xfId="2051" xr:uid="{00000000-0005-0000-0000-0000308D0000}"/>
    <cellStyle name="40% - Accent6 2 2 3 5 2" xfId="6913" xr:uid="{00000000-0005-0000-0000-0000318D0000}"/>
    <cellStyle name="40% - Accent6 2 2 3 5 2 2" xfId="26364" xr:uid="{00000000-0005-0000-0000-0000328D0000}"/>
    <cellStyle name="40% - Accent6 2 2 3 5 2 3" xfId="36089" xr:uid="{00000000-0005-0000-0000-0000338D0000}"/>
    <cellStyle name="40% - Accent6 2 2 3 5 2 4" xfId="45814" xr:uid="{00000000-0005-0000-0000-0000348D0000}"/>
    <cellStyle name="40% - Accent6 2 2 3 5 2 5" xfId="16639" xr:uid="{00000000-0005-0000-0000-0000358D0000}"/>
    <cellStyle name="40% - Accent6 2 2 3 5 3" xfId="21502" xr:uid="{00000000-0005-0000-0000-0000368D0000}"/>
    <cellStyle name="40% - Accent6 2 2 3 5 4" xfId="31227" xr:uid="{00000000-0005-0000-0000-0000378D0000}"/>
    <cellStyle name="40% - Accent6 2 2 3 5 5" xfId="40952" xr:uid="{00000000-0005-0000-0000-0000388D0000}"/>
    <cellStyle name="40% - Accent6 2 2 3 5 6" xfId="11777" xr:uid="{00000000-0005-0000-0000-0000398D0000}"/>
    <cellStyle name="40% - Accent6 2 2 3 6" xfId="3671" xr:uid="{00000000-0005-0000-0000-00003A8D0000}"/>
    <cellStyle name="40% - Accent6 2 2 3 6 2" xfId="8533" xr:uid="{00000000-0005-0000-0000-00003B8D0000}"/>
    <cellStyle name="40% - Accent6 2 2 3 6 2 2" xfId="27984" xr:uid="{00000000-0005-0000-0000-00003C8D0000}"/>
    <cellStyle name="40% - Accent6 2 2 3 6 2 3" xfId="37709" xr:uid="{00000000-0005-0000-0000-00003D8D0000}"/>
    <cellStyle name="40% - Accent6 2 2 3 6 2 4" xfId="47434" xr:uid="{00000000-0005-0000-0000-00003E8D0000}"/>
    <cellStyle name="40% - Accent6 2 2 3 6 2 5" xfId="18259" xr:uid="{00000000-0005-0000-0000-00003F8D0000}"/>
    <cellStyle name="40% - Accent6 2 2 3 6 3" xfId="23122" xr:uid="{00000000-0005-0000-0000-0000408D0000}"/>
    <cellStyle name="40% - Accent6 2 2 3 6 4" xfId="32847" xr:uid="{00000000-0005-0000-0000-0000418D0000}"/>
    <cellStyle name="40% - Accent6 2 2 3 6 5" xfId="42572" xr:uid="{00000000-0005-0000-0000-0000428D0000}"/>
    <cellStyle name="40% - Accent6 2 2 3 6 6" xfId="13397" xr:uid="{00000000-0005-0000-0000-0000438D0000}"/>
    <cellStyle name="40% - Accent6 2 2 3 7" xfId="5293" xr:uid="{00000000-0005-0000-0000-0000448D0000}"/>
    <cellStyle name="40% - Accent6 2 2 3 7 2" xfId="24744" xr:uid="{00000000-0005-0000-0000-0000458D0000}"/>
    <cellStyle name="40% - Accent6 2 2 3 7 3" xfId="34469" xr:uid="{00000000-0005-0000-0000-0000468D0000}"/>
    <cellStyle name="40% - Accent6 2 2 3 7 4" xfId="44194" xr:uid="{00000000-0005-0000-0000-0000478D0000}"/>
    <cellStyle name="40% - Accent6 2 2 3 7 5" xfId="15019" xr:uid="{00000000-0005-0000-0000-0000488D0000}"/>
    <cellStyle name="40% - Accent6 2 2 3 8" xfId="19882" xr:uid="{00000000-0005-0000-0000-0000498D0000}"/>
    <cellStyle name="40% - Accent6 2 2 3 9" xfId="29607" xr:uid="{00000000-0005-0000-0000-00004A8D0000}"/>
    <cellStyle name="40% - Accent6 2 2 4" xfId="188" xr:uid="{00000000-0005-0000-0000-00004B8D0000}"/>
    <cellStyle name="40% - Accent6 2 2 4 10" xfId="39152" xr:uid="{00000000-0005-0000-0000-00004C8D0000}"/>
    <cellStyle name="40% - Accent6 2 2 4 11" xfId="9977" xr:uid="{00000000-0005-0000-0000-00004D8D0000}"/>
    <cellStyle name="40% - Accent6 2 2 4 2" xfId="952" xr:uid="{00000000-0005-0000-0000-00004E8D0000}"/>
    <cellStyle name="40% - Accent6 2 2 4 2 2" xfId="2591" xr:uid="{00000000-0005-0000-0000-00004F8D0000}"/>
    <cellStyle name="40% - Accent6 2 2 4 2 2 2" xfId="7453" xr:uid="{00000000-0005-0000-0000-0000508D0000}"/>
    <cellStyle name="40% - Accent6 2 2 4 2 2 2 2" xfId="26904" xr:uid="{00000000-0005-0000-0000-0000518D0000}"/>
    <cellStyle name="40% - Accent6 2 2 4 2 2 2 3" xfId="36629" xr:uid="{00000000-0005-0000-0000-0000528D0000}"/>
    <cellStyle name="40% - Accent6 2 2 4 2 2 2 4" xfId="46354" xr:uid="{00000000-0005-0000-0000-0000538D0000}"/>
    <cellStyle name="40% - Accent6 2 2 4 2 2 2 5" xfId="17179" xr:uid="{00000000-0005-0000-0000-0000548D0000}"/>
    <cellStyle name="40% - Accent6 2 2 4 2 2 3" xfId="22042" xr:uid="{00000000-0005-0000-0000-0000558D0000}"/>
    <cellStyle name="40% - Accent6 2 2 4 2 2 4" xfId="31767" xr:uid="{00000000-0005-0000-0000-0000568D0000}"/>
    <cellStyle name="40% - Accent6 2 2 4 2 2 5" xfId="41492" xr:uid="{00000000-0005-0000-0000-0000578D0000}"/>
    <cellStyle name="40% - Accent6 2 2 4 2 2 6" xfId="12317" xr:uid="{00000000-0005-0000-0000-0000588D0000}"/>
    <cellStyle name="40% - Accent6 2 2 4 2 3" xfId="4211" xr:uid="{00000000-0005-0000-0000-0000598D0000}"/>
    <cellStyle name="40% - Accent6 2 2 4 2 3 2" xfId="9073" xr:uid="{00000000-0005-0000-0000-00005A8D0000}"/>
    <cellStyle name="40% - Accent6 2 2 4 2 3 2 2" xfId="28524" xr:uid="{00000000-0005-0000-0000-00005B8D0000}"/>
    <cellStyle name="40% - Accent6 2 2 4 2 3 2 3" xfId="38249" xr:uid="{00000000-0005-0000-0000-00005C8D0000}"/>
    <cellStyle name="40% - Accent6 2 2 4 2 3 2 4" xfId="47974" xr:uid="{00000000-0005-0000-0000-00005D8D0000}"/>
    <cellStyle name="40% - Accent6 2 2 4 2 3 2 5" xfId="18799" xr:uid="{00000000-0005-0000-0000-00005E8D0000}"/>
    <cellStyle name="40% - Accent6 2 2 4 2 3 3" xfId="23662" xr:uid="{00000000-0005-0000-0000-00005F8D0000}"/>
    <cellStyle name="40% - Accent6 2 2 4 2 3 4" xfId="33387" xr:uid="{00000000-0005-0000-0000-0000608D0000}"/>
    <cellStyle name="40% - Accent6 2 2 4 2 3 5" xfId="43112" xr:uid="{00000000-0005-0000-0000-0000618D0000}"/>
    <cellStyle name="40% - Accent6 2 2 4 2 3 6" xfId="13937" xr:uid="{00000000-0005-0000-0000-0000628D0000}"/>
    <cellStyle name="40% - Accent6 2 2 4 2 4" xfId="5833" xr:uid="{00000000-0005-0000-0000-0000638D0000}"/>
    <cellStyle name="40% - Accent6 2 2 4 2 4 2" xfId="25284" xr:uid="{00000000-0005-0000-0000-0000648D0000}"/>
    <cellStyle name="40% - Accent6 2 2 4 2 4 3" xfId="35009" xr:uid="{00000000-0005-0000-0000-0000658D0000}"/>
    <cellStyle name="40% - Accent6 2 2 4 2 4 4" xfId="44734" xr:uid="{00000000-0005-0000-0000-0000668D0000}"/>
    <cellStyle name="40% - Accent6 2 2 4 2 4 5" xfId="15559" xr:uid="{00000000-0005-0000-0000-0000678D0000}"/>
    <cellStyle name="40% - Accent6 2 2 4 2 5" xfId="20422" xr:uid="{00000000-0005-0000-0000-0000688D0000}"/>
    <cellStyle name="40% - Accent6 2 2 4 2 6" xfId="30147" xr:uid="{00000000-0005-0000-0000-0000698D0000}"/>
    <cellStyle name="40% - Accent6 2 2 4 2 7" xfId="39872" xr:uid="{00000000-0005-0000-0000-00006A8D0000}"/>
    <cellStyle name="40% - Accent6 2 2 4 2 8" xfId="10697" xr:uid="{00000000-0005-0000-0000-00006B8D0000}"/>
    <cellStyle name="40% - Accent6 2 2 4 3" xfId="1420" xr:uid="{00000000-0005-0000-0000-00006C8D0000}"/>
    <cellStyle name="40% - Accent6 2 2 4 3 2" xfId="3041" xr:uid="{00000000-0005-0000-0000-00006D8D0000}"/>
    <cellStyle name="40% - Accent6 2 2 4 3 2 2" xfId="7903" xr:uid="{00000000-0005-0000-0000-00006E8D0000}"/>
    <cellStyle name="40% - Accent6 2 2 4 3 2 2 2" xfId="27354" xr:uid="{00000000-0005-0000-0000-00006F8D0000}"/>
    <cellStyle name="40% - Accent6 2 2 4 3 2 2 3" xfId="37079" xr:uid="{00000000-0005-0000-0000-0000708D0000}"/>
    <cellStyle name="40% - Accent6 2 2 4 3 2 2 4" xfId="46804" xr:uid="{00000000-0005-0000-0000-0000718D0000}"/>
    <cellStyle name="40% - Accent6 2 2 4 3 2 2 5" xfId="17629" xr:uid="{00000000-0005-0000-0000-0000728D0000}"/>
    <cellStyle name="40% - Accent6 2 2 4 3 2 3" xfId="22492" xr:uid="{00000000-0005-0000-0000-0000738D0000}"/>
    <cellStyle name="40% - Accent6 2 2 4 3 2 4" xfId="32217" xr:uid="{00000000-0005-0000-0000-0000748D0000}"/>
    <cellStyle name="40% - Accent6 2 2 4 3 2 5" xfId="41942" xr:uid="{00000000-0005-0000-0000-0000758D0000}"/>
    <cellStyle name="40% - Accent6 2 2 4 3 2 6" xfId="12767" xr:uid="{00000000-0005-0000-0000-0000768D0000}"/>
    <cellStyle name="40% - Accent6 2 2 4 3 3" xfId="4661" xr:uid="{00000000-0005-0000-0000-0000778D0000}"/>
    <cellStyle name="40% - Accent6 2 2 4 3 3 2" xfId="9523" xr:uid="{00000000-0005-0000-0000-0000788D0000}"/>
    <cellStyle name="40% - Accent6 2 2 4 3 3 2 2" xfId="28974" xr:uid="{00000000-0005-0000-0000-0000798D0000}"/>
    <cellStyle name="40% - Accent6 2 2 4 3 3 2 3" xfId="38699" xr:uid="{00000000-0005-0000-0000-00007A8D0000}"/>
    <cellStyle name="40% - Accent6 2 2 4 3 3 2 4" xfId="48424" xr:uid="{00000000-0005-0000-0000-00007B8D0000}"/>
    <cellStyle name="40% - Accent6 2 2 4 3 3 2 5" xfId="19249" xr:uid="{00000000-0005-0000-0000-00007C8D0000}"/>
    <cellStyle name="40% - Accent6 2 2 4 3 3 3" xfId="24112" xr:uid="{00000000-0005-0000-0000-00007D8D0000}"/>
    <cellStyle name="40% - Accent6 2 2 4 3 3 4" xfId="33837" xr:uid="{00000000-0005-0000-0000-00007E8D0000}"/>
    <cellStyle name="40% - Accent6 2 2 4 3 3 5" xfId="43562" xr:uid="{00000000-0005-0000-0000-00007F8D0000}"/>
    <cellStyle name="40% - Accent6 2 2 4 3 3 6" xfId="14387" xr:uid="{00000000-0005-0000-0000-0000808D0000}"/>
    <cellStyle name="40% - Accent6 2 2 4 3 4" xfId="6283" xr:uid="{00000000-0005-0000-0000-0000818D0000}"/>
    <cellStyle name="40% - Accent6 2 2 4 3 4 2" xfId="25734" xr:uid="{00000000-0005-0000-0000-0000828D0000}"/>
    <cellStyle name="40% - Accent6 2 2 4 3 4 3" xfId="35459" xr:uid="{00000000-0005-0000-0000-0000838D0000}"/>
    <cellStyle name="40% - Accent6 2 2 4 3 4 4" xfId="45184" xr:uid="{00000000-0005-0000-0000-0000848D0000}"/>
    <cellStyle name="40% - Accent6 2 2 4 3 4 5" xfId="16009" xr:uid="{00000000-0005-0000-0000-0000858D0000}"/>
    <cellStyle name="40% - Accent6 2 2 4 3 5" xfId="20872" xr:uid="{00000000-0005-0000-0000-0000868D0000}"/>
    <cellStyle name="40% - Accent6 2 2 4 3 6" xfId="30597" xr:uid="{00000000-0005-0000-0000-0000878D0000}"/>
    <cellStyle name="40% - Accent6 2 2 4 3 7" xfId="40322" xr:uid="{00000000-0005-0000-0000-0000888D0000}"/>
    <cellStyle name="40% - Accent6 2 2 4 3 8" xfId="11147" xr:uid="{00000000-0005-0000-0000-0000898D0000}"/>
    <cellStyle name="40% - Accent6 2 2 4 4" xfId="591" xr:uid="{00000000-0005-0000-0000-00008A8D0000}"/>
    <cellStyle name="40% - Accent6 2 2 4 4 2" xfId="2231" xr:uid="{00000000-0005-0000-0000-00008B8D0000}"/>
    <cellStyle name="40% - Accent6 2 2 4 4 2 2" xfId="7093" xr:uid="{00000000-0005-0000-0000-00008C8D0000}"/>
    <cellStyle name="40% - Accent6 2 2 4 4 2 2 2" xfId="26544" xr:uid="{00000000-0005-0000-0000-00008D8D0000}"/>
    <cellStyle name="40% - Accent6 2 2 4 4 2 2 3" xfId="36269" xr:uid="{00000000-0005-0000-0000-00008E8D0000}"/>
    <cellStyle name="40% - Accent6 2 2 4 4 2 2 4" xfId="45994" xr:uid="{00000000-0005-0000-0000-00008F8D0000}"/>
    <cellStyle name="40% - Accent6 2 2 4 4 2 2 5" xfId="16819" xr:uid="{00000000-0005-0000-0000-0000908D0000}"/>
    <cellStyle name="40% - Accent6 2 2 4 4 2 3" xfId="21682" xr:uid="{00000000-0005-0000-0000-0000918D0000}"/>
    <cellStyle name="40% - Accent6 2 2 4 4 2 4" xfId="31407" xr:uid="{00000000-0005-0000-0000-0000928D0000}"/>
    <cellStyle name="40% - Accent6 2 2 4 4 2 5" xfId="41132" xr:uid="{00000000-0005-0000-0000-0000938D0000}"/>
    <cellStyle name="40% - Accent6 2 2 4 4 2 6" xfId="11957" xr:uid="{00000000-0005-0000-0000-0000948D0000}"/>
    <cellStyle name="40% - Accent6 2 2 4 4 3" xfId="3851" xr:uid="{00000000-0005-0000-0000-0000958D0000}"/>
    <cellStyle name="40% - Accent6 2 2 4 4 3 2" xfId="8713" xr:uid="{00000000-0005-0000-0000-0000968D0000}"/>
    <cellStyle name="40% - Accent6 2 2 4 4 3 2 2" xfId="28164" xr:uid="{00000000-0005-0000-0000-0000978D0000}"/>
    <cellStyle name="40% - Accent6 2 2 4 4 3 2 3" xfId="37889" xr:uid="{00000000-0005-0000-0000-0000988D0000}"/>
    <cellStyle name="40% - Accent6 2 2 4 4 3 2 4" xfId="47614" xr:uid="{00000000-0005-0000-0000-0000998D0000}"/>
    <cellStyle name="40% - Accent6 2 2 4 4 3 2 5" xfId="18439" xr:uid="{00000000-0005-0000-0000-00009A8D0000}"/>
    <cellStyle name="40% - Accent6 2 2 4 4 3 3" xfId="23302" xr:uid="{00000000-0005-0000-0000-00009B8D0000}"/>
    <cellStyle name="40% - Accent6 2 2 4 4 3 4" xfId="33027" xr:uid="{00000000-0005-0000-0000-00009C8D0000}"/>
    <cellStyle name="40% - Accent6 2 2 4 4 3 5" xfId="42752" xr:uid="{00000000-0005-0000-0000-00009D8D0000}"/>
    <cellStyle name="40% - Accent6 2 2 4 4 3 6" xfId="13577" xr:uid="{00000000-0005-0000-0000-00009E8D0000}"/>
    <cellStyle name="40% - Accent6 2 2 4 4 4" xfId="5473" xr:uid="{00000000-0005-0000-0000-00009F8D0000}"/>
    <cellStyle name="40% - Accent6 2 2 4 4 4 2" xfId="24924" xr:uid="{00000000-0005-0000-0000-0000A08D0000}"/>
    <cellStyle name="40% - Accent6 2 2 4 4 4 3" xfId="34649" xr:uid="{00000000-0005-0000-0000-0000A18D0000}"/>
    <cellStyle name="40% - Accent6 2 2 4 4 4 4" xfId="44374" xr:uid="{00000000-0005-0000-0000-0000A28D0000}"/>
    <cellStyle name="40% - Accent6 2 2 4 4 4 5" xfId="15199" xr:uid="{00000000-0005-0000-0000-0000A38D0000}"/>
    <cellStyle name="40% - Accent6 2 2 4 4 5" xfId="20062" xr:uid="{00000000-0005-0000-0000-0000A48D0000}"/>
    <cellStyle name="40% - Accent6 2 2 4 4 6" xfId="29787" xr:uid="{00000000-0005-0000-0000-0000A58D0000}"/>
    <cellStyle name="40% - Accent6 2 2 4 4 7" xfId="39512" xr:uid="{00000000-0005-0000-0000-0000A68D0000}"/>
    <cellStyle name="40% - Accent6 2 2 4 4 8" xfId="10337" xr:uid="{00000000-0005-0000-0000-0000A78D0000}"/>
    <cellStyle name="40% - Accent6 2 2 4 5" xfId="1871" xr:uid="{00000000-0005-0000-0000-0000A88D0000}"/>
    <cellStyle name="40% - Accent6 2 2 4 5 2" xfId="6733" xr:uid="{00000000-0005-0000-0000-0000A98D0000}"/>
    <cellStyle name="40% - Accent6 2 2 4 5 2 2" xfId="26184" xr:uid="{00000000-0005-0000-0000-0000AA8D0000}"/>
    <cellStyle name="40% - Accent6 2 2 4 5 2 3" xfId="35909" xr:uid="{00000000-0005-0000-0000-0000AB8D0000}"/>
    <cellStyle name="40% - Accent6 2 2 4 5 2 4" xfId="45634" xr:uid="{00000000-0005-0000-0000-0000AC8D0000}"/>
    <cellStyle name="40% - Accent6 2 2 4 5 2 5" xfId="16459" xr:uid="{00000000-0005-0000-0000-0000AD8D0000}"/>
    <cellStyle name="40% - Accent6 2 2 4 5 3" xfId="21322" xr:uid="{00000000-0005-0000-0000-0000AE8D0000}"/>
    <cellStyle name="40% - Accent6 2 2 4 5 4" xfId="31047" xr:uid="{00000000-0005-0000-0000-0000AF8D0000}"/>
    <cellStyle name="40% - Accent6 2 2 4 5 5" xfId="40772" xr:uid="{00000000-0005-0000-0000-0000B08D0000}"/>
    <cellStyle name="40% - Accent6 2 2 4 5 6" xfId="11597" xr:uid="{00000000-0005-0000-0000-0000B18D0000}"/>
    <cellStyle name="40% - Accent6 2 2 4 6" xfId="3491" xr:uid="{00000000-0005-0000-0000-0000B28D0000}"/>
    <cellStyle name="40% - Accent6 2 2 4 6 2" xfId="8353" xr:uid="{00000000-0005-0000-0000-0000B38D0000}"/>
    <cellStyle name="40% - Accent6 2 2 4 6 2 2" xfId="27804" xr:uid="{00000000-0005-0000-0000-0000B48D0000}"/>
    <cellStyle name="40% - Accent6 2 2 4 6 2 3" xfId="37529" xr:uid="{00000000-0005-0000-0000-0000B58D0000}"/>
    <cellStyle name="40% - Accent6 2 2 4 6 2 4" xfId="47254" xr:uid="{00000000-0005-0000-0000-0000B68D0000}"/>
    <cellStyle name="40% - Accent6 2 2 4 6 2 5" xfId="18079" xr:uid="{00000000-0005-0000-0000-0000B78D0000}"/>
    <cellStyle name="40% - Accent6 2 2 4 6 3" xfId="22942" xr:uid="{00000000-0005-0000-0000-0000B88D0000}"/>
    <cellStyle name="40% - Accent6 2 2 4 6 4" xfId="32667" xr:uid="{00000000-0005-0000-0000-0000B98D0000}"/>
    <cellStyle name="40% - Accent6 2 2 4 6 5" xfId="42392" xr:uid="{00000000-0005-0000-0000-0000BA8D0000}"/>
    <cellStyle name="40% - Accent6 2 2 4 6 6" xfId="13217" xr:uid="{00000000-0005-0000-0000-0000BB8D0000}"/>
    <cellStyle name="40% - Accent6 2 2 4 7" xfId="5113" xr:uid="{00000000-0005-0000-0000-0000BC8D0000}"/>
    <cellStyle name="40% - Accent6 2 2 4 7 2" xfId="24564" xr:uid="{00000000-0005-0000-0000-0000BD8D0000}"/>
    <cellStyle name="40% - Accent6 2 2 4 7 3" xfId="34289" xr:uid="{00000000-0005-0000-0000-0000BE8D0000}"/>
    <cellStyle name="40% - Accent6 2 2 4 7 4" xfId="44014" xr:uid="{00000000-0005-0000-0000-0000BF8D0000}"/>
    <cellStyle name="40% - Accent6 2 2 4 7 5" xfId="14839" xr:uid="{00000000-0005-0000-0000-0000C08D0000}"/>
    <cellStyle name="40% - Accent6 2 2 4 8" xfId="19702" xr:uid="{00000000-0005-0000-0000-0000C18D0000}"/>
    <cellStyle name="40% - Accent6 2 2 4 9" xfId="29427" xr:uid="{00000000-0005-0000-0000-0000C28D0000}"/>
    <cellStyle name="40% - Accent6 2 2 5" xfId="862" xr:uid="{00000000-0005-0000-0000-0000C38D0000}"/>
    <cellStyle name="40% - Accent6 2 2 5 2" xfId="2501" xr:uid="{00000000-0005-0000-0000-0000C48D0000}"/>
    <cellStyle name="40% - Accent6 2 2 5 2 2" xfId="7363" xr:uid="{00000000-0005-0000-0000-0000C58D0000}"/>
    <cellStyle name="40% - Accent6 2 2 5 2 2 2" xfId="26814" xr:uid="{00000000-0005-0000-0000-0000C68D0000}"/>
    <cellStyle name="40% - Accent6 2 2 5 2 2 3" xfId="36539" xr:uid="{00000000-0005-0000-0000-0000C78D0000}"/>
    <cellStyle name="40% - Accent6 2 2 5 2 2 4" xfId="46264" xr:uid="{00000000-0005-0000-0000-0000C88D0000}"/>
    <cellStyle name="40% - Accent6 2 2 5 2 2 5" xfId="17089" xr:uid="{00000000-0005-0000-0000-0000C98D0000}"/>
    <cellStyle name="40% - Accent6 2 2 5 2 3" xfId="21952" xr:uid="{00000000-0005-0000-0000-0000CA8D0000}"/>
    <cellStyle name="40% - Accent6 2 2 5 2 4" xfId="31677" xr:uid="{00000000-0005-0000-0000-0000CB8D0000}"/>
    <cellStyle name="40% - Accent6 2 2 5 2 5" xfId="41402" xr:uid="{00000000-0005-0000-0000-0000CC8D0000}"/>
    <cellStyle name="40% - Accent6 2 2 5 2 6" xfId="12227" xr:uid="{00000000-0005-0000-0000-0000CD8D0000}"/>
    <cellStyle name="40% - Accent6 2 2 5 3" xfId="4121" xr:uid="{00000000-0005-0000-0000-0000CE8D0000}"/>
    <cellStyle name="40% - Accent6 2 2 5 3 2" xfId="8983" xr:uid="{00000000-0005-0000-0000-0000CF8D0000}"/>
    <cellStyle name="40% - Accent6 2 2 5 3 2 2" xfId="28434" xr:uid="{00000000-0005-0000-0000-0000D08D0000}"/>
    <cellStyle name="40% - Accent6 2 2 5 3 2 3" xfId="38159" xr:uid="{00000000-0005-0000-0000-0000D18D0000}"/>
    <cellStyle name="40% - Accent6 2 2 5 3 2 4" xfId="47884" xr:uid="{00000000-0005-0000-0000-0000D28D0000}"/>
    <cellStyle name="40% - Accent6 2 2 5 3 2 5" xfId="18709" xr:uid="{00000000-0005-0000-0000-0000D38D0000}"/>
    <cellStyle name="40% - Accent6 2 2 5 3 3" xfId="23572" xr:uid="{00000000-0005-0000-0000-0000D48D0000}"/>
    <cellStyle name="40% - Accent6 2 2 5 3 4" xfId="33297" xr:uid="{00000000-0005-0000-0000-0000D58D0000}"/>
    <cellStyle name="40% - Accent6 2 2 5 3 5" xfId="43022" xr:uid="{00000000-0005-0000-0000-0000D68D0000}"/>
    <cellStyle name="40% - Accent6 2 2 5 3 6" xfId="13847" xr:uid="{00000000-0005-0000-0000-0000D78D0000}"/>
    <cellStyle name="40% - Accent6 2 2 5 4" xfId="5743" xr:uid="{00000000-0005-0000-0000-0000D88D0000}"/>
    <cellStyle name="40% - Accent6 2 2 5 4 2" xfId="25194" xr:uid="{00000000-0005-0000-0000-0000D98D0000}"/>
    <cellStyle name="40% - Accent6 2 2 5 4 3" xfId="34919" xr:uid="{00000000-0005-0000-0000-0000DA8D0000}"/>
    <cellStyle name="40% - Accent6 2 2 5 4 4" xfId="44644" xr:uid="{00000000-0005-0000-0000-0000DB8D0000}"/>
    <cellStyle name="40% - Accent6 2 2 5 4 5" xfId="15469" xr:uid="{00000000-0005-0000-0000-0000DC8D0000}"/>
    <cellStyle name="40% - Accent6 2 2 5 5" xfId="20332" xr:uid="{00000000-0005-0000-0000-0000DD8D0000}"/>
    <cellStyle name="40% - Accent6 2 2 5 6" xfId="30057" xr:uid="{00000000-0005-0000-0000-0000DE8D0000}"/>
    <cellStyle name="40% - Accent6 2 2 5 7" xfId="39782" xr:uid="{00000000-0005-0000-0000-0000DF8D0000}"/>
    <cellStyle name="40% - Accent6 2 2 5 8" xfId="10607" xr:uid="{00000000-0005-0000-0000-0000E08D0000}"/>
    <cellStyle name="40% - Accent6 2 2 6" xfId="1240" xr:uid="{00000000-0005-0000-0000-0000E18D0000}"/>
    <cellStyle name="40% - Accent6 2 2 6 2" xfId="2861" xr:uid="{00000000-0005-0000-0000-0000E28D0000}"/>
    <cellStyle name="40% - Accent6 2 2 6 2 2" xfId="7723" xr:uid="{00000000-0005-0000-0000-0000E38D0000}"/>
    <cellStyle name="40% - Accent6 2 2 6 2 2 2" xfId="27174" xr:uid="{00000000-0005-0000-0000-0000E48D0000}"/>
    <cellStyle name="40% - Accent6 2 2 6 2 2 3" xfId="36899" xr:uid="{00000000-0005-0000-0000-0000E58D0000}"/>
    <cellStyle name="40% - Accent6 2 2 6 2 2 4" xfId="46624" xr:uid="{00000000-0005-0000-0000-0000E68D0000}"/>
    <cellStyle name="40% - Accent6 2 2 6 2 2 5" xfId="17449" xr:uid="{00000000-0005-0000-0000-0000E78D0000}"/>
    <cellStyle name="40% - Accent6 2 2 6 2 3" xfId="22312" xr:uid="{00000000-0005-0000-0000-0000E88D0000}"/>
    <cellStyle name="40% - Accent6 2 2 6 2 4" xfId="32037" xr:uid="{00000000-0005-0000-0000-0000E98D0000}"/>
    <cellStyle name="40% - Accent6 2 2 6 2 5" xfId="41762" xr:uid="{00000000-0005-0000-0000-0000EA8D0000}"/>
    <cellStyle name="40% - Accent6 2 2 6 2 6" xfId="12587" xr:uid="{00000000-0005-0000-0000-0000EB8D0000}"/>
    <cellStyle name="40% - Accent6 2 2 6 3" xfId="4481" xr:uid="{00000000-0005-0000-0000-0000EC8D0000}"/>
    <cellStyle name="40% - Accent6 2 2 6 3 2" xfId="9343" xr:uid="{00000000-0005-0000-0000-0000ED8D0000}"/>
    <cellStyle name="40% - Accent6 2 2 6 3 2 2" xfId="28794" xr:uid="{00000000-0005-0000-0000-0000EE8D0000}"/>
    <cellStyle name="40% - Accent6 2 2 6 3 2 3" xfId="38519" xr:uid="{00000000-0005-0000-0000-0000EF8D0000}"/>
    <cellStyle name="40% - Accent6 2 2 6 3 2 4" xfId="48244" xr:uid="{00000000-0005-0000-0000-0000F08D0000}"/>
    <cellStyle name="40% - Accent6 2 2 6 3 2 5" xfId="19069" xr:uid="{00000000-0005-0000-0000-0000F18D0000}"/>
    <cellStyle name="40% - Accent6 2 2 6 3 3" xfId="23932" xr:uid="{00000000-0005-0000-0000-0000F28D0000}"/>
    <cellStyle name="40% - Accent6 2 2 6 3 4" xfId="33657" xr:uid="{00000000-0005-0000-0000-0000F38D0000}"/>
    <cellStyle name="40% - Accent6 2 2 6 3 5" xfId="43382" xr:uid="{00000000-0005-0000-0000-0000F48D0000}"/>
    <cellStyle name="40% - Accent6 2 2 6 3 6" xfId="14207" xr:uid="{00000000-0005-0000-0000-0000F58D0000}"/>
    <cellStyle name="40% - Accent6 2 2 6 4" xfId="6103" xr:uid="{00000000-0005-0000-0000-0000F68D0000}"/>
    <cellStyle name="40% - Accent6 2 2 6 4 2" xfId="25554" xr:uid="{00000000-0005-0000-0000-0000F78D0000}"/>
    <cellStyle name="40% - Accent6 2 2 6 4 3" xfId="35279" xr:uid="{00000000-0005-0000-0000-0000F88D0000}"/>
    <cellStyle name="40% - Accent6 2 2 6 4 4" xfId="45004" xr:uid="{00000000-0005-0000-0000-0000F98D0000}"/>
    <cellStyle name="40% - Accent6 2 2 6 4 5" xfId="15829" xr:uid="{00000000-0005-0000-0000-0000FA8D0000}"/>
    <cellStyle name="40% - Accent6 2 2 6 5" xfId="20692" xr:uid="{00000000-0005-0000-0000-0000FB8D0000}"/>
    <cellStyle name="40% - Accent6 2 2 6 6" xfId="30417" xr:uid="{00000000-0005-0000-0000-0000FC8D0000}"/>
    <cellStyle name="40% - Accent6 2 2 6 7" xfId="40142" xr:uid="{00000000-0005-0000-0000-0000FD8D0000}"/>
    <cellStyle name="40% - Accent6 2 2 6 8" xfId="10967" xr:uid="{00000000-0005-0000-0000-0000FE8D0000}"/>
    <cellStyle name="40% - Accent6 2 2 7" xfId="1330" xr:uid="{00000000-0005-0000-0000-0000FF8D0000}"/>
    <cellStyle name="40% - Accent6 2 2 7 2" xfId="2951" xr:uid="{00000000-0005-0000-0000-0000008E0000}"/>
    <cellStyle name="40% - Accent6 2 2 7 2 2" xfId="7813" xr:uid="{00000000-0005-0000-0000-0000018E0000}"/>
    <cellStyle name="40% - Accent6 2 2 7 2 2 2" xfId="27264" xr:uid="{00000000-0005-0000-0000-0000028E0000}"/>
    <cellStyle name="40% - Accent6 2 2 7 2 2 3" xfId="36989" xr:uid="{00000000-0005-0000-0000-0000038E0000}"/>
    <cellStyle name="40% - Accent6 2 2 7 2 2 4" xfId="46714" xr:uid="{00000000-0005-0000-0000-0000048E0000}"/>
    <cellStyle name="40% - Accent6 2 2 7 2 2 5" xfId="17539" xr:uid="{00000000-0005-0000-0000-0000058E0000}"/>
    <cellStyle name="40% - Accent6 2 2 7 2 3" xfId="22402" xr:uid="{00000000-0005-0000-0000-0000068E0000}"/>
    <cellStyle name="40% - Accent6 2 2 7 2 4" xfId="32127" xr:uid="{00000000-0005-0000-0000-0000078E0000}"/>
    <cellStyle name="40% - Accent6 2 2 7 2 5" xfId="41852" xr:uid="{00000000-0005-0000-0000-0000088E0000}"/>
    <cellStyle name="40% - Accent6 2 2 7 2 6" xfId="12677" xr:uid="{00000000-0005-0000-0000-0000098E0000}"/>
    <cellStyle name="40% - Accent6 2 2 7 3" xfId="4571" xr:uid="{00000000-0005-0000-0000-00000A8E0000}"/>
    <cellStyle name="40% - Accent6 2 2 7 3 2" xfId="9433" xr:uid="{00000000-0005-0000-0000-00000B8E0000}"/>
    <cellStyle name="40% - Accent6 2 2 7 3 2 2" xfId="28884" xr:uid="{00000000-0005-0000-0000-00000C8E0000}"/>
    <cellStyle name="40% - Accent6 2 2 7 3 2 3" xfId="38609" xr:uid="{00000000-0005-0000-0000-00000D8E0000}"/>
    <cellStyle name="40% - Accent6 2 2 7 3 2 4" xfId="48334" xr:uid="{00000000-0005-0000-0000-00000E8E0000}"/>
    <cellStyle name="40% - Accent6 2 2 7 3 2 5" xfId="19159" xr:uid="{00000000-0005-0000-0000-00000F8E0000}"/>
    <cellStyle name="40% - Accent6 2 2 7 3 3" xfId="24022" xr:uid="{00000000-0005-0000-0000-0000108E0000}"/>
    <cellStyle name="40% - Accent6 2 2 7 3 4" xfId="33747" xr:uid="{00000000-0005-0000-0000-0000118E0000}"/>
    <cellStyle name="40% - Accent6 2 2 7 3 5" xfId="43472" xr:uid="{00000000-0005-0000-0000-0000128E0000}"/>
    <cellStyle name="40% - Accent6 2 2 7 3 6" xfId="14297" xr:uid="{00000000-0005-0000-0000-0000138E0000}"/>
    <cellStyle name="40% - Accent6 2 2 7 4" xfId="6193" xr:uid="{00000000-0005-0000-0000-0000148E0000}"/>
    <cellStyle name="40% - Accent6 2 2 7 4 2" xfId="25644" xr:uid="{00000000-0005-0000-0000-0000158E0000}"/>
    <cellStyle name="40% - Accent6 2 2 7 4 3" xfId="35369" xr:uid="{00000000-0005-0000-0000-0000168E0000}"/>
    <cellStyle name="40% - Accent6 2 2 7 4 4" xfId="45094" xr:uid="{00000000-0005-0000-0000-0000178E0000}"/>
    <cellStyle name="40% - Accent6 2 2 7 4 5" xfId="15919" xr:uid="{00000000-0005-0000-0000-0000188E0000}"/>
    <cellStyle name="40% - Accent6 2 2 7 5" xfId="20782" xr:uid="{00000000-0005-0000-0000-0000198E0000}"/>
    <cellStyle name="40% - Accent6 2 2 7 6" xfId="30507" xr:uid="{00000000-0005-0000-0000-00001A8E0000}"/>
    <cellStyle name="40% - Accent6 2 2 7 7" xfId="40232" xr:uid="{00000000-0005-0000-0000-00001B8E0000}"/>
    <cellStyle name="40% - Accent6 2 2 7 8" xfId="11057" xr:uid="{00000000-0005-0000-0000-00001C8E0000}"/>
    <cellStyle name="40% - Accent6 2 2 8" xfId="501" xr:uid="{00000000-0005-0000-0000-00001D8E0000}"/>
    <cellStyle name="40% - Accent6 2 2 8 2" xfId="2141" xr:uid="{00000000-0005-0000-0000-00001E8E0000}"/>
    <cellStyle name="40% - Accent6 2 2 8 2 2" xfId="7003" xr:uid="{00000000-0005-0000-0000-00001F8E0000}"/>
    <cellStyle name="40% - Accent6 2 2 8 2 2 2" xfId="26454" xr:uid="{00000000-0005-0000-0000-0000208E0000}"/>
    <cellStyle name="40% - Accent6 2 2 8 2 2 3" xfId="36179" xr:uid="{00000000-0005-0000-0000-0000218E0000}"/>
    <cellStyle name="40% - Accent6 2 2 8 2 2 4" xfId="45904" xr:uid="{00000000-0005-0000-0000-0000228E0000}"/>
    <cellStyle name="40% - Accent6 2 2 8 2 2 5" xfId="16729" xr:uid="{00000000-0005-0000-0000-0000238E0000}"/>
    <cellStyle name="40% - Accent6 2 2 8 2 3" xfId="21592" xr:uid="{00000000-0005-0000-0000-0000248E0000}"/>
    <cellStyle name="40% - Accent6 2 2 8 2 4" xfId="31317" xr:uid="{00000000-0005-0000-0000-0000258E0000}"/>
    <cellStyle name="40% - Accent6 2 2 8 2 5" xfId="41042" xr:uid="{00000000-0005-0000-0000-0000268E0000}"/>
    <cellStyle name="40% - Accent6 2 2 8 2 6" xfId="11867" xr:uid="{00000000-0005-0000-0000-0000278E0000}"/>
    <cellStyle name="40% - Accent6 2 2 8 3" xfId="3761" xr:uid="{00000000-0005-0000-0000-0000288E0000}"/>
    <cellStyle name="40% - Accent6 2 2 8 3 2" xfId="8623" xr:uid="{00000000-0005-0000-0000-0000298E0000}"/>
    <cellStyle name="40% - Accent6 2 2 8 3 2 2" xfId="28074" xr:uid="{00000000-0005-0000-0000-00002A8E0000}"/>
    <cellStyle name="40% - Accent6 2 2 8 3 2 3" xfId="37799" xr:uid="{00000000-0005-0000-0000-00002B8E0000}"/>
    <cellStyle name="40% - Accent6 2 2 8 3 2 4" xfId="47524" xr:uid="{00000000-0005-0000-0000-00002C8E0000}"/>
    <cellStyle name="40% - Accent6 2 2 8 3 2 5" xfId="18349" xr:uid="{00000000-0005-0000-0000-00002D8E0000}"/>
    <cellStyle name="40% - Accent6 2 2 8 3 3" xfId="23212" xr:uid="{00000000-0005-0000-0000-00002E8E0000}"/>
    <cellStyle name="40% - Accent6 2 2 8 3 4" xfId="32937" xr:uid="{00000000-0005-0000-0000-00002F8E0000}"/>
    <cellStyle name="40% - Accent6 2 2 8 3 5" xfId="42662" xr:uid="{00000000-0005-0000-0000-0000308E0000}"/>
    <cellStyle name="40% - Accent6 2 2 8 3 6" xfId="13487" xr:uid="{00000000-0005-0000-0000-0000318E0000}"/>
    <cellStyle name="40% - Accent6 2 2 8 4" xfId="5383" xr:uid="{00000000-0005-0000-0000-0000328E0000}"/>
    <cellStyle name="40% - Accent6 2 2 8 4 2" xfId="24834" xr:uid="{00000000-0005-0000-0000-0000338E0000}"/>
    <cellStyle name="40% - Accent6 2 2 8 4 3" xfId="34559" xr:uid="{00000000-0005-0000-0000-0000348E0000}"/>
    <cellStyle name="40% - Accent6 2 2 8 4 4" xfId="44284" xr:uid="{00000000-0005-0000-0000-0000358E0000}"/>
    <cellStyle name="40% - Accent6 2 2 8 4 5" xfId="15109" xr:uid="{00000000-0005-0000-0000-0000368E0000}"/>
    <cellStyle name="40% - Accent6 2 2 8 5" xfId="19972" xr:uid="{00000000-0005-0000-0000-0000378E0000}"/>
    <cellStyle name="40% - Accent6 2 2 8 6" xfId="29697" xr:uid="{00000000-0005-0000-0000-0000388E0000}"/>
    <cellStyle name="40% - Accent6 2 2 8 7" xfId="39422" xr:uid="{00000000-0005-0000-0000-0000398E0000}"/>
    <cellStyle name="40% - Accent6 2 2 8 8" xfId="10247" xr:uid="{00000000-0005-0000-0000-00003A8E0000}"/>
    <cellStyle name="40% - Accent6 2 2 9" xfId="1690" xr:uid="{00000000-0005-0000-0000-00003B8E0000}"/>
    <cellStyle name="40% - Accent6 2 2 9 2" xfId="3311" xr:uid="{00000000-0005-0000-0000-00003C8E0000}"/>
    <cellStyle name="40% - Accent6 2 2 9 2 2" xfId="8173" xr:uid="{00000000-0005-0000-0000-00003D8E0000}"/>
    <cellStyle name="40% - Accent6 2 2 9 2 2 2" xfId="27624" xr:uid="{00000000-0005-0000-0000-00003E8E0000}"/>
    <cellStyle name="40% - Accent6 2 2 9 2 2 3" xfId="37349" xr:uid="{00000000-0005-0000-0000-00003F8E0000}"/>
    <cellStyle name="40% - Accent6 2 2 9 2 2 4" xfId="47074" xr:uid="{00000000-0005-0000-0000-0000408E0000}"/>
    <cellStyle name="40% - Accent6 2 2 9 2 2 5" xfId="17899" xr:uid="{00000000-0005-0000-0000-0000418E0000}"/>
    <cellStyle name="40% - Accent6 2 2 9 2 3" xfId="22762" xr:uid="{00000000-0005-0000-0000-0000428E0000}"/>
    <cellStyle name="40% - Accent6 2 2 9 2 4" xfId="32487" xr:uid="{00000000-0005-0000-0000-0000438E0000}"/>
    <cellStyle name="40% - Accent6 2 2 9 2 5" xfId="42212" xr:uid="{00000000-0005-0000-0000-0000448E0000}"/>
    <cellStyle name="40% - Accent6 2 2 9 2 6" xfId="13037" xr:uid="{00000000-0005-0000-0000-0000458E0000}"/>
    <cellStyle name="40% - Accent6 2 2 9 3" xfId="4931" xr:uid="{00000000-0005-0000-0000-0000468E0000}"/>
    <cellStyle name="40% - Accent6 2 2 9 3 2" xfId="9793" xr:uid="{00000000-0005-0000-0000-0000478E0000}"/>
    <cellStyle name="40% - Accent6 2 2 9 3 2 2" xfId="29244" xr:uid="{00000000-0005-0000-0000-0000488E0000}"/>
    <cellStyle name="40% - Accent6 2 2 9 3 2 3" xfId="38969" xr:uid="{00000000-0005-0000-0000-0000498E0000}"/>
    <cellStyle name="40% - Accent6 2 2 9 3 2 4" xfId="48694" xr:uid="{00000000-0005-0000-0000-00004A8E0000}"/>
    <cellStyle name="40% - Accent6 2 2 9 3 2 5" xfId="19519" xr:uid="{00000000-0005-0000-0000-00004B8E0000}"/>
    <cellStyle name="40% - Accent6 2 2 9 3 3" xfId="24382" xr:uid="{00000000-0005-0000-0000-00004C8E0000}"/>
    <cellStyle name="40% - Accent6 2 2 9 3 4" xfId="34107" xr:uid="{00000000-0005-0000-0000-00004D8E0000}"/>
    <cellStyle name="40% - Accent6 2 2 9 3 5" xfId="43832" xr:uid="{00000000-0005-0000-0000-00004E8E0000}"/>
    <cellStyle name="40% - Accent6 2 2 9 3 6" xfId="14657" xr:uid="{00000000-0005-0000-0000-00004F8E0000}"/>
    <cellStyle name="40% - Accent6 2 2 9 4" xfId="6553" xr:uid="{00000000-0005-0000-0000-0000508E0000}"/>
    <cellStyle name="40% - Accent6 2 2 9 4 2" xfId="26004" xr:uid="{00000000-0005-0000-0000-0000518E0000}"/>
    <cellStyle name="40% - Accent6 2 2 9 4 3" xfId="35729" xr:uid="{00000000-0005-0000-0000-0000528E0000}"/>
    <cellStyle name="40% - Accent6 2 2 9 4 4" xfId="45454" xr:uid="{00000000-0005-0000-0000-0000538E0000}"/>
    <cellStyle name="40% - Accent6 2 2 9 4 5" xfId="16279" xr:uid="{00000000-0005-0000-0000-0000548E0000}"/>
    <cellStyle name="40% - Accent6 2 2 9 5" xfId="21142" xr:uid="{00000000-0005-0000-0000-0000558E0000}"/>
    <cellStyle name="40% - Accent6 2 2 9 6" xfId="30867" xr:uid="{00000000-0005-0000-0000-0000568E0000}"/>
    <cellStyle name="40% - Accent6 2 2 9 7" xfId="40592" xr:uid="{00000000-0005-0000-0000-0000578E0000}"/>
    <cellStyle name="40% - Accent6 2 2 9 8" xfId="11417" xr:uid="{00000000-0005-0000-0000-0000588E0000}"/>
    <cellStyle name="40% - Accent6 2 3" xfId="127" xr:uid="{00000000-0005-0000-0000-0000598E0000}"/>
    <cellStyle name="40% - Accent6 2 3 10" xfId="1811" xr:uid="{00000000-0005-0000-0000-00005A8E0000}"/>
    <cellStyle name="40% - Accent6 2 3 10 2" xfId="6673" xr:uid="{00000000-0005-0000-0000-00005B8E0000}"/>
    <cellStyle name="40% - Accent6 2 3 10 2 2" xfId="26124" xr:uid="{00000000-0005-0000-0000-00005C8E0000}"/>
    <cellStyle name="40% - Accent6 2 3 10 2 3" xfId="35849" xr:uid="{00000000-0005-0000-0000-00005D8E0000}"/>
    <cellStyle name="40% - Accent6 2 3 10 2 4" xfId="45574" xr:uid="{00000000-0005-0000-0000-00005E8E0000}"/>
    <cellStyle name="40% - Accent6 2 3 10 2 5" xfId="16399" xr:uid="{00000000-0005-0000-0000-00005F8E0000}"/>
    <cellStyle name="40% - Accent6 2 3 10 3" xfId="21262" xr:uid="{00000000-0005-0000-0000-0000608E0000}"/>
    <cellStyle name="40% - Accent6 2 3 10 4" xfId="30987" xr:uid="{00000000-0005-0000-0000-0000618E0000}"/>
    <cellStyle name="40% - Accent6 2 3 10 5" xfId="40712" xr:uid="{00000000-0005-0000-0000-0000628E0000}"/>
    <cellStyle name="40% - Accent6 2 3 10 6" xfId="11537" xr:uid="{00000000-0005-0000-0000-0000638E0000}"/>
    <cellStyle name="40% - Accent6 2 3 11" xfId="3431" xr:uid="{00000000-0005-0000-0000-0000648E0000}"/>
    <cellStyle name="40% - Accent6 2 3 11 2" xfId="8293" xr:uid="{00000000-0005-0000-0000-0000658E0000}"/>
    <cellStyle name="40% - Accent6 2 3 11 2 2" xfId="27744" xr:uid="{00000000-0005-0000-0000-0000668E0000}"/>
    <cellStyle name="40% - Accent6 2 3 11 2 3" xfId="37469" xr:uid="{00000000-0005-0000-0000-0000678E0000}"/>
    <cellStyle name="40% - Accent6 2 3 11 2 4" xfId="47194" xr:uid="{00000000-0005-0000-0000-0000688E0000}"/>
    <cellStyle name="40% - Accent6 2 3 11 2 5" xfId="18019" xr:uid="{00000000-0005-0000-0000-0000698E0000}"/>
    <cellStyle name="40% - Accent6 2 3 11 3" xfId="22882" xr:uid="{00000000-0005-0000-0000-00006A8E0000}"/>
    <cellStyle name="40% - Accent6 2 3 11 4" xfId="32607" xr:uid="{00000000-0005-0000-0000-00006B8E0000}"/>
    <cellStyle name="40% - Accent6 2 3 11 5" xfId="42332" xr:uid="{00000000-0005-0000-0000-00006C8E0000}"/>
    <cellStyle name="40% - Accent6 2 3 11 6" xfId="13157" xr:uid="{00000000-0005-0000-0000-00006D8E0000}"/>
    <cellStyle name="40% - Accent6 2 3 12" xfId="5053" xr:uid="{00000000-0005-0000-0000-00006E8E0000}"/>
    <cellStyle name="40% - Accent6 2 3 12 2" xfId="24504" xr:uid="{00000000-0005-0000-0000-00006F8E0000}"/>
    <cellStyle name="40% - Accent6 2 3 12 3" xfId="34229" xr:uid="{00000000-0005-0000-0000-0000708E0000}"/>
    <cellStyle name="40% - Accent6 2 3 12 4" xfId="43954" xr:uid="{00000000-0005-0000-0000-0000718E0000}"/>
    <cellStyle name="40% - Accent6 2 3 12 5" xfId="14779" xr:uid="{00000000-0005-0000-0000-0000728E0000}"/>
    <cellStyle name="40% - Accent6 2 3 13" xfId="19642" xr:uid="{00000000-0005-0000-0000-0000738E0000}"/>
    <cellStyle name="40% - Accent6 2 3 14" xfId="29367" xr:uid="{00000000-0005-0000-0000-0000748E0000}"/>
    <cellStyle name="40% - Accent6 2 3 15" xfId="39092" xr:uid="{00000000-0005-0000-0000-0000758E0000}"/>
    <cellStyle name="40% - Accent6 2 3 16" xfId="9917" xr:uid="{00000000-0005-0000-0000-0000768E0000}"/>
    <cellStyle name="40% - Accent6 2 3 2" xfId="309" xr:uid="{00000000-0005-0000-0000-0000778E0000}"/>
    <cellStyle name="40% - Accent6 2 3 2 10" xfId="39272" xr:uid="{00000000-0005-0000-0000-0000788E0000}"/>
    <cellStyle name="40% - Accent6 2 3 2 11" xfId="10097" xr:uid="{00000000-0005-0000-0000-0000798E0000}"/>
    <cellStyle name="40% - Accent6 2 3 2 2" xfId="1073" xr:uid="{00000000-0005-0000-0000-00007A8E0000}"/>
    <cellStyle name="40% - Accent6 2 3 2 2 2" xfId="2711" xr:uid="{00000000-0005-0000-0000-00007B8E0000}"/>
    <cellStyle name="40% - Accent6 2 3 2 2 2 2" xfId="7573" xr:uid="{00000000-0005-0000-0000-00007C8E0000}"/>
    <cellStyle name="40% - Accent6 2 3 2 2 2 2 2" xfId="27024" xr:uid="{00000000-0005-0000-0000-00007D8E0000}"/>
    <cellStyle name="40% - Accent6 2 3 2 2 2 2 3" xfId="36749" xr:uid="{00000000-0005-0000-0000-00007E8E0000}"/>
    <cellStyle name="40% - Accent6 2 3 2 2 2 2 4" xfId="46474" xr:uid="{00000000-0005-0000-0000-00007F8E0000}"/>
    <cellStyle name="40% - Accent6 2 3 2 2 2 2 5" xfId="17299" xr:uid="{00000000-0005-0000-0000-0000808E0000}"/>
    <cellStyle name="40% - Accent6 2 3 2 2 2 3" xfId="22162" xr:uid="{00000000-0005-0000-0000-0000818E0000}"/>
    <cellStyle name="40% - Accent6 2 3 2 2 2 4" xfId="31887" xr:uid="{00000000-0005-0000-0000-0000828E0000}"/>
    <cellStyle name="40% - Accent6 2 3 2 2 2 5" xfId="41612" xr:uid="{00000000-0005-0000-0000-0000838E0000}"/>
    <cellStyle name="40% - Accent6 2 3 2 2 2 6" xfId="12437" xr:uid="{00000000-0005-0000-0000-0000848E0000}"/>
    <cellStyle name="40% - Accent6 2 3 2 2 3" xfId="4331" xr:uid="{00000000-0005-0000-0000-0000858E0000}"/>
    <cellStyle name="40% - Accent6 2 3 2 2 3 2" xfId="9193" xr:uid="{00000000-0005-0000-0000-0000868E0000}"/>
    <cellStyle name="40% - Accent6 2 3 2 2 3 2 2" xfId="28644" xr:uid="{00000000-0005-0000-0000-0000878E0000}"/>
    <cellStyle name="40% - Accent6 2 3 2 2 3 2 3" xfId="38369" xr:uid="{00000000-0005-0000-0000-0000888E0000}"/>
    <cellStyle name="40% - Accent6 2 3 2 2 3 2 4" xfId="48094" xr:uid="{00000000-0005-0000-0000-0000898E0000}"/>
    <cellStyle name="40% - Accent6 2 3 2 2 3 2 5" xfId="18919" xr:uid="{00000000-0005-0000-0000-00008A8E0000}"/>
    <cellStyle name="40% - Accent6 2 3 2 2 3 3" xfId="23782" xr:uid="{00000000-0005-0000-0000-00008B8E0000}"/>
    <cellStyle name="40% - Accent6 2 3 2 2 3 4" xfId="33507" xr:uid="{00000000-0005-0000-0000-00008C8E0000}"/>
    <cellStyle name="40% - Accent6 2 3 2 2 3 5" xfId="43232" xr:uid="{00000000-0005-0000-0000-00008D8E0000}"/>
    <cellStyle name="40% - Accent6 2 3 2 2 3 6" xfId="14057" xr:uid="{00000000-0005-0000-0000-00008E8E0000}"/>
    <cellStyle name="40% - Accent6 2 3 2 2 4" xfId="5953" xr:uid="{00000000-0005-0000-0000-00008F8E0000}"/>
    <cellStyle name="40% - Accent6 2 3 2 2 4 2" xfId="25404" xr:uid="{00000000-0005-0000-0000-0000908E0000}"/>
    <cellStyle name="40% - Accent6 2 3 2 2 4 3" xfId="35129" xr:uid="{00000000-0005-0000-0000-0000918E0000}"/>
    <cellStyle name="40% - Accent6 2 3 2 2 4 4" xfId="44854" xr:uid="{00000000-0005-0000-0000-0000928E0000}"/>
    <cellStyle name="40% - Accent6 2 3 2 2 4 5" xfId="15679" xr:uid="{00000000-0005-0000-0000-0000938E0000}"/>
    <cellStyle name="40% - Accent6 2 3 2 2 5" xfId="20542" xr:uid="{00000000-0005-0000-0000-0000948E0000}"/>
    <cellStyle name="40% - Accent6 2 3 2 2 6" xfId="30267" xr:uid="{00000000-0005-0000-0000-0000958E0000}"/>
    <cellStyle name="40% - Accent6 2 3 2 2 7" xfId="39992" xr:uid="{00000000-0005-0000-0000-0000968E0000}"/>
    <cellStyle name="40% - Accent6 2 3 2 2 8" xfId="10817" xr:uid="{00000000-0005-0000-0000-0000978E0000}"/>
    <cellStyle name="40% - Accent6 2 3 2 3" xfId="1540" xr:uid="{00000000-0005-0000-0000-0000988E0000}"/>
    <cellStyle name="40% - Accent6 2 3 2 3 2" xfId="3161" xr:uid="{00000000-0005-0000-0000-0000998E0000}"/>
    <cellStyle name="40% - Accent6 2 3 2 3 2 2" xfId="8023" xr:uid="{00000000-0005-0000-0000-00009A8E0000}"/>
    <cellStyle name="40% - Accent6 2 3 2 3 2 2 2" xfId="27474" xr:uid="{00000000-0005-0000-0000-00009B8E0000}"/>
    <cellStyle name="40% - Accent6 2 3 2 3 2 2 3" xfId="37199" xr:uid="{00000000-0005-0000-0000-00009C8E0000}"/>
    <cellStyle name="40% - Accent6 2 3 2 3 2 2 4" xfId="46924" xr:uid="{00000000-0005-0000-0000-00009D8E0000}"/>
    <cellStyle name="40% - Accent6 2 3 2 3 2 2 5" xfId="17749" xr:uid="{00000000-0005-0000-0000-00009E8E0000}"/>
    <cellStyle name="40% - Accent6 2 3 2 3 2 3" xfId="22612" xr:uid="{00000000-0005-0000-0000-00009F8E0000}"/>
    <cellStyle name="40% - Accent6 2 3 2 3 2 4" xfId="32337" xr:uid="{00000000-0005-0000-0000-0000A08E0000}"/>
    <cellStyle name="40% - Accent6 2 3 2 3 2 5" xfId="42062" xr:uid="{00000000-0005-0000-0000-0000A18E0000}"/>
    <cellStyle name="40% - Accent6 2 3 2 3 2 6" xfId="12887" xr:uid="{00000000-0005-0000-0000-0000A28E0000}"/>
    <cellStyle name="40% - Accent6 2 3 2 3 3" xfId="4781" xr:uid="{00000000-0005-0000-0000-0000A38E0000}"/>
    <cellStyle name="40% - Accent6 2 3 2 3 3 2" xfId="9643" xr:uid="{00000000-0005-0000-0000-0000A48E0000}"/>
    <cellStyle name="40% - Accent6 2 3 2 3 3 2 2" xfId="29094" xr:uid="{00000000-0005-0000-0000-0000A58E0000}"/>
    <cellStyle name="40% - Accent6 2 3 2 3 3 2 3" xfId="38819" xr:uid="{00000000-0005-0000-0000-0000A68E0000}"/>
    <cellStyle name="40% - Accent6 2 3 2 3 3 2 4" xfId="48544" xr:uid="{00000000-0005-0000-0000-0000A78E0000}"/>
    <cellStyle name="40% - Accent6 2 3 2 3 3 2 5" xfId="19369" xr:uid="{00000000-0005-0000-0000-0000A88E0000}"/>
    <cellStyle name="40% - Accent6 2 3 2 3 3 3" xfId="24232" xr:uid="{00000000-0005-0000-0000-0000A98E0000}"/>
    <cellStyle name="40% - Accent6 2 3 2 3 3 4" xfId="33957" xr:uid="{00000000-0005-0000-0000-0000AA8E0000}"/>
    <cellStyle name="40% - Accent6 2 3 2 3 3 5" xfId="43682" xr:uid="{00000000-0005-0000-0000-0000AB8E0000}"/>
    <cellStyle name="40% - Accent6 2 3 2 3 3 6" xfId="14507" xr:uid="{00000000-0005-0000-0000-0000AC8E0000}"/>
    <cellStyle name="40% - Accent6 2 3 2 3 4" xfId="6403" xr:uid="{00000000-0005-0000-0000-0000AD8E0000}"/>
    <cellStyle name="40% - Accent6 2 3 2 3 4 2" xfId="25854" xr:uid="{00000000-0005-0000-0000-0000AE8E0000}"/>
    <cellStyle name="40% - Accent6 2 3 2 3 4 3" xfId="35579" xr:uid="{00000000-0005-0000-0000-0000AF8E0000}"/>
    <cellStyle name="40% - Accent6 2 3 2 3 4 4" xfId="45304" xr:uid="{00000000-0005-0000-0000-0000B08E0000}"/>
    <cellStyle name="40% - Accent6 2 3 2 3 4 5" xfId="16129" xr:uid="{00000000-0005-0000-0000-0000B18E0000}"/>
    <cellStyle name="40% - Accent6 2 3 2 3 5" xfId="20992" xr:uid="{00000000-0005-0000-0000-0000B28E0000}"/>
    <cellStyle name="40% - Accent6 2 3 2 3 6" xfId="30717" xr:uid="{00000000-0005-0000-0000-0000B38E0000}"/>
    <cellStyle name="40% - Accent6 2 3 2 3 7" xfId="40442" xr:uid="{00000000-0005-0000-0000-0000B48E0000}"/>
    <cellStyle name="40% - Accent6 2 3 2 3 8" xfId="11267" xr:uid="{00000000-0005-0000-0000-0000B58E0000}"/>
    <cellStyle name="40% - Accent6 2 3 2 4" xfId="711" xr:uid="{00000000-0005-0000-0000-0000B68E0000}"/>
    <cellStyle name="40% - Accent6 2 3 2 4 2" xfId="2351" xr:uid="{00000000-0005-0000-0000-0000B78E0000}"/>
    <cellStyle name="40% - Accent6 2 3 2 4 2 2" xfId="7213" xr:uid="{00000000-0005-0000-0000-0000B88E0000}"/>
    <cellStyle name="40% - Accent6 2 3 2 4 2 2 2" xfId="26664" xr:uid="{00000000-0005-0000-0000-0000B98E0000}"/>
    <cellStyle name="40% - Accent6 2 3 2 4 2 2 3" xfId="36389" xr:uid="{00000000-0005-0000-0000-0000BA8E0000}"/>
    <cellStyle name="40% - Accent6 2 3 2 4 2 2 4" xfId="46114" xr:uid="{00000000-0005-0000-0000-0000BB8E0000}"/>
    <cellStyle name="40% - Accent6 2 3 2 4 2 2 5" xfId="16939" xr:uid="{00000000-0005-0000-0000-0000BC8E0000}"/>
    <cellStyle name="40% - Accent6 2 3 2 4 2 3" xfId="21802" xr:uid="{00000000-0005-0000-0000-0000BD8E0000}"/>
    <cellStyle name="40% - Accent6 2 3 2 4 2 4" xfId="31527" xr:uid="{00000000-0005-0000-0000-0000BE8E0000}"/>
    <cellStyle name="40% - Accent6 2 3 2 4 2 5" xfId="41252" xr:uid="{00000000-0005-0000-0000-0000BF8E0000}"/>
    <cellStyle name="40% - Accent6 2 3 2 4 2 6" xfId="12077" xr:uid="{00000000-0005-0000-0000-0000C08E0000}"/>
    <cellStyle name="40% - Accent6 2 3 2 4 3" xfId="3971" xr:uid="{00000000-0005-0000-0000-0000C18E0000}"/>
    <cellStyle name="40% - Accent6 2 3 2 4 3 2" xfId="8833" xr:uid="{00000000-0005-0000-0000-0000C28E0000}"/>
    <cellStyle name="40% - Accent6 2 3 2 4 3 2 2" xfId="28284" xr:uid="{00000000-0005-0000-0000-0000C38E0000}"/>
    <cellStyle name="40% - Accent6 2 3 2 4 3 2 3" xfId="38009" xr:uid="{00000000-0005-0000-0000-0000C48E0000}"/>
    <cellStyle name="40% - Accent6 2 3 2 4 3 2 4" xfId="47734" xr:uid="{00000000-0005-0000-0000-0000C58E0000}"/>
    <cellStyle name="40% - Accent6 2 3 2 4 3 2 5" xfId="18559" xr:uid="{00000000-0005-0000-0000-0000C68E0000}"/>
    <cellStyle name="40% - Accent6 2 3 2 4 3 3" xfId="23422" xr:uid="{00000000-0005-0000-0000-0000C78E0000}"/>
    <cellStyle name="40% - Accent6 2 3 2 4 3 4" xfId="33147" xr:uid="{00000000-0005-0000-0000-0000C88E0000}"/>
    <cellStyle name="40% - Accent6 2 3 2 4 3 5" xfId="42872" xr:uid="{00000000-0005-0000-0000-0000C98E0000}"/>
    <cellStyle name="40% - Accent6 2 3 2 4 3 6" xfId="13697" xr:uid="{00000000-0005-0000-0000-0000CA8E0000}"/>
    <cellStyle name="40% - Accent6 2 3 2 4 4" xfId="5593" xr:uid="{00000000-0005-0000-0000-0000CB8E0000}"/>
    <cellStyle name="40% - Accent6 2 3 2 4 4 2" xfId="25044" xr:uid="{00000000-0005-0000-0000-0000CC8E0000}"/>
    <cellStyle name="40% - Accent6 2 3 2 4 4 3" xfId="34769" xr:uid="{00000000-0005-0000-0000-0000CD8E0000}"/>
    <cellStyle name="40% - Accent6 2 3 2 4 4 4" xfId="44494" xr:uid="{00000000-0005-0000-0000-0000CE8E0000}"/>
    <cellStyle name="40% - Accent6 2 3 2 4 4 5" xfId="15319" xr:uid="{00000000-0005-0000-0000-0000CF8E0000}"/>
    <cellStyle name="40% - Accent6 2 3 2 4 5" xfId="20182" xr:uid="{00000000-0005-0000-0000-0000D08E0000}"/>
    <cellStyle name="40% - Accent6 2 3 2 4 6" xfId="29907" xr:uid="{00000000-0005-0000-0000-0000D18E0000}"/>
    <cellStyle name="40% - Accent6 2 3 2 4 7" xfId="39632" xr:uid="{00000000-0005-0000-0000-0000D28E0000}"/>
    <cellStyle name="40% - Accent6 2 3 2 4 8" xfId="10457" xr:uid="{00000000-0005-0000-0000-0000D38E0000}"/>
    <cellStyle name="40% - Accent6 2 3 2 5" xfId="1991" xr:uid="{00000000-0005-0000-0000-0000D48E0000}"/>
    <cellStyle name="40% - Accent6 2 3 2 5 2" xfId="6853" xr:uid="{00000000-0005-0000-0000-0000D58E0000}"/>
    <cellStyle name="40% - Accent6 2 3 2 5 2 2" xfId="26304" xr:uid="{00000000-0005-0000-0000-0000D68E0000}"/>
    <cellStyle name="40% - Accent6 2 3 2 5 2 3" xfId="36029" xr:uid="{00000000-0005-0000-0000-0000D78E0000}"/>
    <cellStyle name="40% - Accent6 2 3 2 5 2 4" xfId="45754" xr:uid="{00000000-0005-0000-0000-0000D88E0000}"/>
    <cellStyle name="40% - Accent6 2 3 2 5 2 5" xfId="16579" xr:uid="{00000000-0005-0000-0000-0000D98E0000}"/>
    <cellStyle name="40% - Accent6 2 3 2 5 3" xfId="21442" xr:uid="{00000000-0005-0000-0000-0000DA8E0000}"/>
    <cellStyle name="40% - Accent6 2 3 2 5 4" xfId="31167" xr:uid="{00000000-0005-0000-0000-0000DB8E0000}"/>
    <cellStyle name="40% - Accent6 2 3 2 5 5" xfId="40892" xr:uid="{00000000-0005-0000-0000-0000DC8E0000}"/>
    <cellStyle name="40% - Accent6 2 3 2 5 6" xfId="11717" xr:uid="{00000000-0005-0000-0000-0000DD8E0000}"/>
    <cellStyle name="40% - Accent6 2 3 2 6" xfId="3611" xr:uid="{00000000-0005-0000-0000-0000DE8E0000}"/>
    <cellStyle name="40% - Accent6 2 3 2 6 2" xfId="8473" xr:uid="{00000000-0005-0000-0000-0000DF8E0000}"/>
    <cellStyle name="40% - Accent6 2 3 2 6 2 2" xfId="27924" xr:uid="{00000000-0005-0000-0000-0000E08E0000}"/>
    <cellStyle name="40% - Accent6 2 3 2 6 2 3" xfId="37649" xr:uid="{00000000-0005-0000-0000-0000E18E0000}"/>
    <cellStyle name="40% - Accent6 2 3 2 6 2 4" xfId="47374" xr:uid="{00000000-0005-0000-0000-0000E28E0000}"/>
    <cellStyle name="40% - Accent6 2 3 2 6 2 5" xfId="18199" xr:uid="{00000000-0005-0000-0000-0000E38E0000}"/>
    <cellStyle name="40% - Accent6 2 3 2 6 3" xfId="23062" xr:uid="{00000000-0005-0000-0000-0000E48E0000}"/>
    <cellStyle name="40% - Accent6 2 3 2 6 4" xfId="32787" xr:uid="{00000000-0005-0000-0000-0000E58E0000}"/>
    <cellStyle name="40% - Accent6 2 3 2 6 5" xfId="42512" xr:uid="{00000000-0005-0000-0000-0000E68E0000}"/>
    <cellStyle name="40% - Accent6 2 3 2 6 6" xfId="13337" xr:uid="{00000000-0005-0000-0000-0000E78E0000}"/>
    <cellStyle name="40% - Accent6 2 3 2 7" xfId="5233" xr:uid="{00000000-0005-0000-0000-0000E88E0000}"/>
    <cellStyle name="40% - Accent6 2 3 2 7 2" xfId="24684" xr:uid="{00000000-0005-0000-0000-0000E98E0000}"/>
    <cellStyle name="40% - Accent6 2 3 2 7 3" xfId="34409" xr:uid="{00000000-0005-0000-0000-0000EA8E0000}"/>
    <cellStyle name="40% - Accent6 2 3 2 7 4" xfId="44134" xr:uid="{00000000-0005-0000-0000-0000EB8E0000}"/>
    <cellStyle name="40% - Accent6 2 3 2 7 5" xfId="14959" xr:uid="{00000000-0005-0000-0000-0000EC8E0000}"/>
    <cellStyle name="40% - Accent6 2 3 2 8" xfId="19822" xr:uid="{00000000-0005-0000-0000-0000ED8E0000}"/>
    <cellStyle name="40% - Accent6 2 3 2 9" xfId="29547" xr:uid="{00000000-0005-0000-0000-0000EE8E0000}"/>
    <cellStyle name="40% - Accent6 2 3 3" xfId="400" xr:uid="{00000000-0005-0000-0000-0000EF8E0000}"/>
    <cellStyle name="40% - Accent6 2 3 3 10" xfId="39362" xr:uid="{00000000-0005-0000-0000-0000F08E0000}"/>
    <cellStyle name="40% - Accent6 2 3 3 11" xfId="10187" xr:uid="{00000000-0005-0000-0000-0000F18E0000}"/>
    <cellStyle name="40% - Accent6 2 3 3 2" xfId="1163" xr:uid="{00000000-0005-0000-0000-0000F28E0000}"/>
    <cellStyle name="40% - Accent6 2 3 3 2 2" xfId="2801" xr:uid="{00000000-0005-0000-0000-0000F38E0000}"/>
    <cellStyle name="40% - Accent6 2 3 3 2 2 2" xfId="7663" xr:uid="{00000000-0005-0000-0000-0000F48E0000}"/>
    <cellStyle name="40% - Accent6 2 3 3 2 2 2 2" xfId="27114" xr:uid="{00000000-0005-0000-0000-0000F58E0000}"/>
    <cellStyle name="40% - Accent6 2 3 3 2 2 2 3" xfId="36839" xr:uid="{00000000-0005-0000-0000-0000F68E0000}"/>
    <cellStyle name="40% - Accent6 2 3 3 2 2 2 4" xfId="46564" xr:uid="{00000000-0005-0000-0000-0000F78E0000}"/>
    <cellStyle name="40% - Accent6 2 3 3 2 2 2 5" xfId="17389" xr:uid="{00000000-0005-0000-0000-0000F88E0000}"/>
    <cellStyle name="40% - Accent6 2 3 3 2 2 3" xfId="22252" xr:uid="{00000000-0005-0000-0000-0000F98E0000}"/>
    <cellStyle name="40% - Accent6 2 3 3 2 2 4" xfId="31977" xr:uid="{00000000-0005-0000-0000-0000FA8E0000}"/>
    <cellStyle name="40% - Accent6 2 3 3 2 2 5" xfId="41702" xr:uid="{00000000-0005-0000-0000-0000FB8E0000}"/>
    <cellStyle name="40% - Accent6 2 3 3 2 2 6" xfId="12527" xr:uid="{00000000-0005-0000-0000-0000FC8E0000}"/>
    <cellStyle name="40% - Accent6 2 3 3 2 3" xfId="4421" xr:uid="{00000000-0005-0000-0000-0000FD8E0000}"/>
    <cellStyle name="40% - Accent6 2 3 3 2 3 2" xfId="9283" xr:uid="{00000000-0005-0000-0000-0000FE8E0000}"/>
    <cellStyle name="40% - Accent6 2 3 3 2 3 2 2" xfId="28734" xr:uid="{00000000-0005-0000-0000-0000FF8E0000}"/>
    <cellStyle name="40% - Accent6 2 3 3 2 3 2 3" xfId="38459" xr:uid="{00000000-0005-0000-0000-0000008F0000}"/>
    <cellStyle name="40% - Accent6 2 3 3 2 3 2 4" xfId="48184" xr:uid="{00000000-0005-0000-0000-0000018F0000}"/>
    <cellStyle name="40% - Accent6 2 3 3 2 3 2 5" xfId="19009" xr:uid="{00000000-0005-0000-0000-0000028F0000}"/>
    <cellStyle name="40% - Accent6 2 3 3 2 3 3" xfId="23872" xr:uid="{00000000-0005-0000-0000-0000038F0000}"/>
    <cellStyle name="40% - Accent6 2 3 3 2 3 4" xfId="33597" xr:uid="{00000000-0005-0000-0000-0000048F0000}"/>
    <cellStyle name="40% - Accent6 2 3 3 2 3 5" xfId="43322" xr:uid="{00000000-0005-0000-0000-0000058F0000}"/>
    <cellStyle name="40% - Accent6 2 3 3 2 3 6" xfId="14147" xr:uid="{00000000-0005-0000-0000-0000068F0000}"/>
    <cellStyle name="40% - Accent6 2 3 3 2 4" xfId="6043" xr:uid="{00000000-0005-0000-0000-0000078F0000}"/>
    <cellStyle name="40% - Accent6 2 3 3 2 4 2" xfId="25494" xr:uid="{00000000-0005-0000-0000-0000088F0000}"/>
    <cellStyle name="40% - Accent6 2 3 3 2 4 3" xfId="35219" xr:uid="{00000000-0005-0000-0000-0000098F0000}"/>
    <cellStyle name="40% - Accent6 2 3 3 2 4 4" xfId="44944" xr:uid="{00000000-0005-0000-0000-00000A8F0000}"/>
    <cellStyle name="40% - Accent6 2 3 3 2 4 5" xfId="15769" xr:uid="{00000000-0005-0000-0000-00000B8F0000}"/>
    <cellStyle name="40% - Accent6 2 3 3 2 5" xfId="20632" xr:uid="{00000000-0005-0000-0000-00000C8F0000}"/>
    <cellStyle name="40% - Accent6 2 3 3 2 6" xfId="30357" xr:uid="{00000000-0005-0000-0000-00000D8F0000}"/>
    <cellStyle name="40% - Accent6 2 3 3 2 7" xfId="40082" xr:uid="{00000000-0005-0000-0000-00000E8F0000}"/>
    <cellStyle name="40% - Accent6 2 3 3 2 8" xfId="10907" xr:uid="{00000000-0005-0000-0000-00000F8F0000}"/>
    <cellStyle name="40% - Accent6 2 3 3 3" xfId="1630" xr:uid="{00000000-0005-0000-0000-0000108F0000}"/>
    <cellStyle name="40% - Accent6 2 3 3 3 2" xfId="3251" xr:uid="{00000000-0005-0000-0000-0000118F0000}"/>
    <cellStyle name="40% - Accent6 2 3 3 3 2 2" xfId="8113" xr:uid="{00000000-0005-0000-0000-0000128F0000}"/>
    <cellStyle name="40% - Accent6 2 3 3 3 2 2 2" xfId="27564" xr:uid="{00000000-0005-0000-0000-0000138F0000}"/>
    <cellStyle name="40% - Accent6 2 3 3 3 2 2 3" xfId="37289" xr:uid="{00000000-0005-0000-0000-0000148F0000}"/>
    <cellStyle name="40% - Accent6 2 3 3 3 2 2 4" xfId="47014" xr:uid="{00000000-0005-0000-0000-0000158F0000}"/>
    <cellStyle name="40% - Accent6 2 3 3 3 2 2 5" xfId="17839" xr:uid="{00000000-0005-0000-0000-0000168F0000}"/>
    <cellStyle name="40% - Accent6 2 3 3 3 2 3" xfId="22702" xr:uid="{00000000-0005-0000-0000-0000178F0000}"/>
    <cellStyle name="40% - Accent6 2 3 3 3 2 4" xfId="32427" xr:uid="{00000000-0005-0000-0000-0000188F0000}"/>
    <cellStyle name="40% - Accent6 2 3 3 3 2 5" xfId="42152" xr:uid="{00000000-0005-0000-0000-0000198F0000}"/>
    <cellStyle name="40% - Accent6 2 3 3 3 2 6" xfId="12977" xr:uid="{00000000-0005-0000-0000-00001A8F0000}"/>
    <cellStyle name="40% - Accent6 2 3 3 3 3" xfId="4871" xr:uid="{00000000-0005-0000-0000-00001B8F0000}"/>
    <cellStyle name="40% - Accent6 2 3 3 3 3 2" xfId="9733" xr:uid="{00000000-0005-0000-0000-00001C8F0000}"/>
    <cellStyle name="40% - Accent6 2 3 3 3 3 2 2" xfId="29184" xr:uid="{00000000-0005-0000-0000-00001D8F0000}"/>
    <cellStyle name="40% - Accent6 2 3 3 3 3 2 3" xfId="38909" xr:uid="{00000000-0005-0000-0000-00001E8F0000}"/>
    <cellStyle name="40% - Accent6 2 3 3 3 3 2 4" xfId="48634" xr:uid="{00000000-0005-0000-0000-00001F8F0000}"/>
    <cellStyle name="40% - Accent6 2 3 3 3 3 2 5" xfId="19459" xr:uid="{00000000-0005-0000-0000-0000208F0000}"/>
    <cellStyle name="40% - Accent6 2 3 3 3 3 3" xfId="24322" xr:uid="{00000000-0005-0000-0000-0000218F0000}"/>
    <cellStyle name="40% - Accent6 2 3 3 3 3 4" xfId="34047" xr:uid="{00000000-0005-0000-0000-0000228F0000}"/>
    <cellStyle name="40% - Accent6 2 3 3 3 3 5" xfId="43772" xr:uid="{00000000-0005-0000-0000-0000238F0000}"/>
    <cellStyle name="40% - Accent6 2 3 3 3 3 6" xfId="14597" xr:uid="{00000000-0005-0000-0000-0000248F0000}"/>
    <cellStyle name="40% - Accent6 2 3 3 3 4" xfId="6493" xr:uid="{00000000-0005-0000-0000-0000258F0000}"/>
    <cellStyle name="40% - Accent6 2 3 3 3 4 2" xfId="25944" xr:uid="{00000000-0005-0000-0000-0000268F0000}"/>
    <cellStyle name="40% - Accent6 2 3 3 3 4 3" xfId="35669" xr:uid="{00000000-0005-0000-0000-0000278F0000}"/>
    <cellStyle name="40% - Accent6 2 3 3 3 4 4" xfId="45394" xr:uid="{00000000-0005-0000-0000-0000288F0000}"/>
    <cellStyle name="40% - Accent6 2 3 3 3 4 5" xfId="16219" xr:uid="{00000000-0005-0000-0000-0000298F0000}"/>
    <cellStyle name="40% - Accent6 2 3 3 3 5" xfId="21082" xr:uid="{00000000-0005-0000-0000-00002A8F0000}"/>
    <cellStyle name="40% - Accent6 2 3 3 3 6" xfId="30807" xr:uid="{00000000-0005-0000-0000-00002B8F0000}"/>
    <cellStyle name="40% - Accent6 2 3 3 3 7" xfId="40532" xr:uid="{00000000-0005-0000-0000-00002C8F0000}"/>
    <cellStyle name="40% - Accent6 2 3 3 3 8" xfId="11357" xr:uid="{00000000-0005-0000-0000-00002D8F0000}"/>
    <cellStyle name="40% - Accent6 2 3 3 4" xfId="801" xr:uid="{00000000-0005-0000-0000-00002E8F0000}"/>
    <cellStyle name="40% - Accent6 2 3 3 4 2" xfId="2441" xr:uid="{00000000-0005-0000-0000-00002F8F0000}"/>
    <cellStyle name="40% - Accent6 2 3 3 4 2 2" xfId="7303" xr:uid="{00000000-0005-0000-0000-0000308F0000}"/>
    <cellStyle name="40% - Accent6 2 3 3 4 2 2 2" xfId="26754" xr:uid="{00000000-0005-0000-0000-0000318F0000}"/>
    <cellStyle name="40% - Accent6 2 3 3 4 2 2 3" xfId="36479" xr:uid="{00000000-0005-0000-0000-0000328F0000}"/>
    <cellStyle name="40% - Accent6 2 3 3 4 2 2 4" xfId="46204" xr:uid="{00000000-0005-0000-0000-0000338F0000}"/>
    <cellStyle name="40% - Accent6 2 3 3 4 2 2 5" xfId="17029" xr:uid="{00000000-0005-0000-0000-0000348F0000}"/>
    <cellStyle name="40% - Accent6 2 3 3 4 2 3" xfId="21892" xr:uid="{00000000-0005-0000-0000-0000358F0000}"/>
    <cellStyle name="40% - Accent6 2 3 3 4 2 4" xfId="31617" xr:uid="{00000000-0005-0000-0000-0000368F0000}"/>
    <cellStyle name="40% - Accent6 2 3 3 4 2 5" xfId="41342" xr:uid="{00000000-0005-0000-0000-0000378F0000}"/>
    <cellStyle name="40% - Accent6 2 3 3 4 2 6" xfId="12167" xr:uid="{00000000-0005-0000-0000-0000388F0000}"/>
    <cellStyle name="40% - Accent6 2 3 3 4 3" xfId="4061" xr:uid="{00000000-0005-0000-0000-0000398F0000}"/>
    <cellStyle name="40% - Accent6 2 3 3 4 3 2" xfId="8923" xr:uid="{00000000-0005-0000-0000-00003A8F0000}"/>
    <cellStyle name="40% - Accent6 2 3 3 4 3 2 2" xfId="28374" xr:uid="{00000000-0005-0000-0000-00003B8F0000}"/>
    <cellStyle name="40% - Accent6 2 3 3 4 3 2 3" xfId="38099" xr:uid="{00000000-0005-0000-0000-00003C8F0000}"/>
    <cellStyle name="40% - Accent6 2 3 3 4 3 2 4" xfId="47824" xr:uid="{00000000-0005-0000-0000-00003D8F0000}"/>
    <cellStyle name="40% - Accent6 2 3 3 4 3 2 5" xfId="18649" xr:uid="{00000000-0005-0000-0000-00003E8F0000}"/>
    <cellStyle name="40% - Accent6 2 3 3 4 3 3" xfId="23512" xr:uid="{00000000-0005-0000-0000-00003F8F0000}"/>
    <cellStyle name="40% - Accent6 2 3 3 4 3 4" xfId="33237" xr:uid="{00000000-0005-0000-0000-0000408F0000}"/>
    <cellStyle name="40% - Accent6 2 3 3 4 3 5" xfId="42962" xr:uid="{00000000-0005-0000-0000-0000418F0000}"/>
    <cellStyle name="40% - Accent6 2 3 3 4 3 6" xfId="13787" xr:uid="{00000000-0005-0000-0000-0000428F0000}"/>
    <cellStyle name="40% - Accent6 2 3 3 4 4" xfId="5683" xr:uid="{00000000-0005-0000-0000-0000438F0000}"/>
    <cellStyle name="40% - Accent6 2 3 3 4 4 2" xfId="25134" xr:uid="{00000000-0005-0000-0000-0000448F0000}"/>
    <cellStyle name="40% - Accent6 2 3 3 4 4 3" xfId="34859" xr:uid="{00000000-0005-0000-0000-0000458F0000}"/>
    <cellStyle name="40% - Accent6 2 3 3 4 4 4" xfId="44584" xr:uid="{00000000-0005-0000-0000-0000468F0000}"/>
    <cellStyle name="40% - Accent6 2 3 3 4 4 5" xfId="15409" xr:uid="{00000000-0005-0000-0000-0000478F0000}"/>
    <cellStyle name="40% - Accent6 2 3 3 4 5" xfId="20272" xr:uid="{00000000-0005-0000-0000-0000488F0000}"/>
    <cellStyle name="40% - Accent6 2 3 3 4 6" xfId="29997" xr:uid="{00000000-0005-0000-0000-0000498F0000}"/>
    <cellStyle name="40% - Accent6 2 3 3 4 7" xfId="39722" xr:uid="{00000000-0005-0000-0000-00004A8F0000}"/>
    <cellStyle name="40% - Accent6 2 3 3 4 8" xfId="10547" xr:uid="{00000000-0005-0000-0000-00004B8F0000}"/>
    <cellStyle name="40% - Accent6 2 3 3 5" xfId="2081" xr:uid="{00000000-0005-0000-0000-00004C8F0000}"/>
    <cellStyle name="40% - Accent6 2 3 3 5 2" xfId="6943" xr:uid="{00000000-0005-0000-0000-00004D8F0000}"/>
    <cellStyle name="40% - Accent6 2 3 3 5 2 2" xfId="26394" xr:uid="{00000000-0005-0000-0000-00004E8F0000}"/>
    <cellStyle name="40% - Accent6 2 3 3 5 2 3" xfId="36119" xr:uid="{00000000-0005-0000-0000-00004F8F0000}"/>
    <cellStyle name="40% - Accent6 2 3 3 5 2 4" xfId="45844" xr:uid="{00000000-0005-0000-0000-0000508F0000}"/>
    <cellStyle name="40% - Accent6 2 3 3 5 2 5" xfId="16669" xr:uid="{00000000-0005-0000-0000-0000518F0000}"/>
    <cellStyle name="40% - Accent6 2 3 3 5 3" xfId="21532" xr:uid="{00000000-0005-0000-0000-0000528F0000}"/>
    <cellStyle name="40% - Accent6 2 3 3 5 4" xfId="31257" xr:uid="{00000000-0005-0000-0000-0000538F0000}"/>
    <cellStyle name="40% - Accent6 2 3 3 5 5" xfId="40982" xr:uid="{00000000-0005-0000-0000-0000548F0000}"/>
    <cellStyle name="40% - Accent6 2 3 3 5 6" xfId="11807" xr:uid="{00000000-0005-0000-0000-0000558F0000}"/>
    <cellStyle name="40% - Accent6 2 3 3 6" xfId="3701" xr:uid="{00000000-0005-0000-0000-0000568F0000}"/>
    <cellStyle name="40% - Accent6 2 3 3 6 2" xfId="8563" xr:uid="{00000000-0005-0000-0000-0000578F0000}"/>
    <cellStyle name="40% - Accent6 2 3 3 6 2 2" xfId="28014" xr:uid="{00000000-0005-0000-0000-0000588F0000}"/>
    <cellStyle name="40% - Accent6 2 3 3 6 2 3" xfId="37739" xr:uid="{00000000-0005-0000-0000-0000598F0000}"/>
    <cellStyle name="40% - Accent6 2 3 3 6 2 4" xfId="47464" xr:uid="{00000000-0005-0000-0000-00005A8F0000}"/>
    <cellStyle name="40% - Accent6 2 3 3 6 2 5" xfId="18289" xr:uid="{00000000-0005-0000-0000-00005B8F0000}"/>
    <cellStyle name="40% - Accent6 2 3 3 6 3" xfId="23152" xr:uid="{00000000-0005-0000-0000-00005C8F0000}"/>
    <cellStyle name="40% - Accent6 2 3 3 6 4" xfId="32877" xr:uid="{00000000-0005-0000-0000-00005D8F0000}"/>
    <cellStyle name="40% - Accent6 2 3 3 6 5" xfId="42602" xr:uid="{00000000-0005-0000-0000-00005E8F0000}"/>
    <cellStyle name="40% - Accent6 2 3 3 6 6" xfId="13427" xr:uid="{00000000-0005-0000-0000-00005F8F0000}"/>
    <cellStyle name="40% - Accent6 2 3 3 7" xfId="5323" xr:uid="{00000000-0005-0000-0000-0000608F0000}"/>
    <cellStyle name="40% - Accent6 2 3 3 7 2" xfId="24774" xr:uid="{00000000-0005-0000-0000-0000618F0000}"/>
    <cellStyle name="40% - Accent6 2 3 3 7 3" xfId="34499" xr:uid="{00000000-0005-0000-0000-0000628F0000}"/>
    <cellStyle name="40% - Accent6 2 3 3 7 4" xfId="44224" xr:uid="{00000000-0005-0000-0000-0000638F0000}"/>
    <cellStyle name="40% - Accent6 2 3 3 7 5" xfId="15049" xr:uid="{00000000-0005-0000-0000-0000648F0000}"/>
    <cellStyle name="40% - Accent6 2 3 3 8" xfId="19912" xr:uid="{00000000-0005-0000-0000-0000658F0000}"/>
    <cellStyle name="40% - Accent6 2 3 3 9" xfId="29637" xr:uid="{00000000-0005-0000-0000-0000668F0000}"/>
    <cellStyle name="40% - Accent6 2 3 4" xfId="218" xr:uid="{00000000-0005-0000-0000-0000678F0000}"/>
    <cellStyle name="40% - Accent6 2 3 4 10" xfId="39182" xr:uid="{00000000-0005-0000-0000-0000688F0000}"/>
    <cellStyle name="40% - Accent6 2 3 4 11" xfId="10007" xr:uid="{00000000-0005-0000-0000-0000698F0000}"/>
    <cellStyle name="40% - Accent6 2 3 4 2" xfId="982" xr:uid="{00000000-0005-0000-0000-00006A8F0000}"/>
    <cellStyle name="40% - Accent6 2 3 4 2 2" xfId="2621" xr:uid="{00000000-0005-0000-0000-00006B8F0000}"/>
    <cellStyle name="40% - Accent6 2 3 4 2 2 2" xfId="7483" xr:uid="{00000000-0005-0000-0000-00006C8F0000}"/>
    <cellStyle name="40% - Accent6 2 3 4 2 2 2 2" xfId="26934" xr:uid="{00000000-0005-0000-0000-00006D8F0000}"/>
    <cellStyle name="40% - Accent6 2 3 4 2 2 2 3" xfId="36659" xr:uid="{00000000-0005-0000-0000-00006E8F0000}"/>
    <cellStyle name="40% - Accent6 2 3 4 2 2 2 4" xfId="46384" xr:uid="{00000000-0005-0000-0000-00006F8F0000}"/>
    <cellStyle name="40% - Accent6 2 3 4 2 2 2 5" xfId="17209" xr:uid="{00000000-0005-0000-0000-0000708F0000}"/>
    <cellStyle name="40% - Accent6 2 3 4 2 2 3" xfId="22072" xr:uid="{00000000-0005-0000-0000-0000718F0000}"/>
    <cellStyle name="40% - Accent6 2 3 4 2 2 4" xfId="31797" xr:uid="{00000000-0005-0000-0000-0000728F0000}"/>
    <cellStyle name="40% - Accent6 2 3 4 2 2 5" xfId="41522" xr:uid="{00000000-0005-0000-0000-0000738F0000}"/>
    <cellStyle name="40% - Accent6 2 3 4 2 2 6" xfId="12347" xr:uid="{00000000-0005-0000-0000-0000748F0000}"/>
    <cellStyle name="40% - Accent6 2 3 4 2 3" xfId="4241" xr:uid="{00000000-0005-0000-0000-0000758F0000}"/>
    <cellStyle name="40% - Accent6 2 3 4 2 3 2" xfId="9103" xr:uid="{00000000-0005-0000-0000-0000768F0000}"/>
    <cellStyle name="40% - Accent6 2 3 4 2 3 2 2" xfId="28554" xr:uid="{00000000-0005-0000-0000-0000778F0000}"/>
    <cellStyle name="40% - Accent6 2 3 4 2 3 2 3" xfId="38279" xr:uid="{00000000-0005-0000-0000-0000788F0000}"/>
    <cellStyle name="40% - Accent6 2 3 4 2 3 2 4" xfId="48004" xr:uid="{00000000-0005-0000-0000-0000798F0000}"/>
    <cellStyle name="40% - Accent6 2 3 4 2 3 2 5" xfId="18829" xr:uid="{00000000-0005-0000-0000-00007A8F0000}"/>
    <cellStyle name="40% - Accent6 2 3 4 2 3 3" xfId="23692" xr:uid="{00000000-0005-0000-0000-00007B8F0000}"/>
    <cellStyle name="40% - Accent6 2 3 4 2 3 4" xfId="33417" xr:uid="{00000000-0005-0000-0000-00007C8F0000}"/>
    <cellStyle name="40% - Accent6 2 3 4 2 3 5" xfId="43142" xr:uid="{00000000-0005-0000-0000-00007D8F0000}"/>
    <cellStyle name="40% - Accent6 2 3 4 2 3 6" xfId="13967" xr:uid="{00000000-0005-0000-0000-00007E8F0000}"/>
    <cellStyle name="40% - Accent6 2 3 4 2 4" xfId="5863" xr:uid="{00000000-0005-0000-0000-00007F8F0000}"/>
    <cellStyle name="40% - Accent6 2 3 4 2 4 2" xfId="25314" xr:uid="{00000000-0005-0000-0000-0000808F0000}"/>
    <cellStyle name="40% - Accent6 2 3 4 2 4 3" xfId="35039" xr:uid="{00000000-0005-0000-0000-0000818F0000}"/>
    <cellStyle name="40% - Accent6 2 3 4 2 4 4" xfId="44764" xr:uid="{00000000-0005-0000-0000-0000828F0000}"/>
    <cellStyle name="40% - Accent6 2 3 4 2 4 5" xfId="15589" xr:uid="{00000000-0005-0000-0000-0000838F0000}"/>
    <cellStyle name="40% - Accent6 2 3 4 2 5" xfId="20452" xr:uid="{00000000-0005-0000-0000-0000848F0000}"/>
    <cellStyle name="40% - Accent6 2 3 4 2 6" xfId="30177" xr:uid="{00000000-0005-0000-0000-0000858F0000}"/>
    <cellStyle name="40% - Accent6 2 3 4 2 7" xfId="39902" xr:uid="{00000000-0005-0000-0000-0000868F0000}"/>
    <cellStyle name="40% - Accent6 2 3 4 2 8" xfId="10727" xr:uid="{00000000-0005-0000-0000-0000878F0000}"/>
    <cellStyle name="40% - Accent6 2 3 4 3" xfId="1450" xr:uid="{00000000-0005-0000-0000-0000888F0000}"/>
    <cellStyle name="40% - Accent6 2 3 4 3 2" xfId="3071" xr:uid="{00000000-0005-0000-0000-0000898F0000}"/>
    <cellStyle name="40% - Accent6 2 3 4 3 2 2" xfId="7933" xr:uid="{00000000-0005-0000-0000-00008A8F0000}"/>
    <cellStyle name="40% - Accent6 2 3 4 3 2 2 2" xfId="27384" xr:uid="{00000000-0005-0000-0000-00008B8F0000}"/>
    <cellStyle name="40% - Accent6 2 3 4 3 2 2 3" xfId="37109" xr:uid="{00000000-0005-0000-0000-00008C8F0000}"/>
    <cellStyle name="40% - Accent6 2 3 4 3 2 2 4" xfId="46834" xr:uid="{00000000-0005-0000-0000-00008D8F0000}"/>
    <cellStyle name="40% - Accent6 2 3 4 3 2 2 5" xfId="17659" xr:uid="{00000000-0005-0000-0000-00008E8F0000}"/>
    <cellStyle name="40% - Accent6 2 3 4 3 2 3" xfId="22522" xr:uid="{00000000-0005-0000-0000-00008F8F0000}"/>
    <cellStyle name="40% - Accent6 2 3 4 3 2 4" xfId="32247" xr:uid="{00000000-0005-0000-0000-0000908F0000}"/>
    <cellStyle name="40% - Accent6 2 3 4 3 2 5" xfId="41972" xr:uid="{00000000-0005-0000-0000-0000918F0000}"/>
    <cellStyle name="40% - Accent6 2 3 4 3 2 6" xfId="12797" xr:uid="{00000000-0005-0000-0000-0000928F0000}"/>
    <cellStyle name="40% - Accent6 2 3 4 3 3" xfId="4691" xr:uid="{00000000-0005-0000-0000-0000938F0000}"/>
    <cellStyle name="40% - Accent6 2 3 4 3 3 2" xfId="9553" xr:uid="{00000000-0005-0000-0000-0000948F0000}"/>
    <cellStyle name="40% - Accent6 2 3 4 3 3 2 2" xfId="29004" xr:uid="{00000000-0005-0000-0000-0000958F0000}"/>
    <cellStyle name="40% - Accent6 2 3 4 3 3 2 3" xfId="38729" xr:uid="{00000000-0005-0000-0000-0000968F0000}"/>
    <cellStyle name="40% - Accent6 2 3 4 3 3 2 4" xfId="48454" xr:uid="{00000000-0005-0000-0000-0000978F0000}"/>
    <cellStyle name="40% - Accent6 2 3 4 3 3 2 5" xfId="19279" xr:uid="{00000000-0005-0000-0000-0000988F0000}"/>
    <cellStyle name="40% - Accent6 2 3 4 3 3 3" xfId="24142" xr:uid="{00000000-0005-0000-0000-0000998F0000}"/>
    <cellStyle name="40% - Accent6 2 3 4 3 3 4" xfId="33867" xr:uid="{00000000-0005-0000-0000-00009A8F0000}"/>
    <cellStyle name="40% - Accent6 2 3 4 3 3 5" xfId="43592" xr:uid="{00000000-0005-0000-0000-00009B8F0000}"/>
    <cellStyle name="40% - Accent6 2 3 4 3 3 6" xfId="14417" xr:uid="{00000000-0005-0000-0000-00009C8F0000}"/>
    <cellStyle name="40% - Accent6 2 3 4 3 4" xfId="6313" xr:uid="{00000000-0005-0000-0000-00009D8F0000}"/>
    <cellStyle name="40% - Accent6 2 3 4 3 4 2" xfId="25764" xr:uid="{00000000-0005-0000-0000-00009E8F0000}"/>
    <cellStyle name="40% - Accent6 2 3 4 3 4 3" xfId="35489" xr:uid="{00000000-0005-0000-0000-00009F8F0000}"/>
    <cellStyle name="40% - Accent6 2 3 4 3 4 4" xfId="45214" xr:uid="{00000000-0005-0000-0000-0000A08F0000}"/>
    <cellStyle name="40% - Accent6 2 3 4 3 4 5" xfId="16039" xr:uid="{00000000-0005-0000-0000-0000A18F0000}"/>
    <cellStyle name="40% - Accent6 2 3 4 3 5" xfId="20902" xr:uid="{00000000-0005-0000-0000-0000A28F0000}"/>
    <cellStyle name="40% - Accent6 2 3 4 3 6" xfId="30627" xr:uid="{00000000-0005-0000-0000-0000A38F0000}"/>
    <cellStyle name="40% - Accent6 2 3 4 3 7" xfId="40352" xr:uid="{00000000-0005-0000-0000-0000A48F0000}"/>
    <cellStyle name="40% - Accent6 2 3 4 3 8" xfId="11177" xr:uid="{00000000-0005-0000-0000-0000A58F0000}"/>
    <cellStyle name="40% - Accent6 2 3 4 4" xfId="621" xr:uid="{00000000-0005-0000-0000-0000A68F0000}"/>
    <cellStyle name="40% - Accent6 2 3 4 4 2" xfId="2261" xr:uid="{00000000-0005-0000-0000-0000A78F0000}"/>
    <cellStyle name="40% - Accent6 2 3 4 4 2 2" xfId="7123" xr:uid="{00000000-0005-0000-0000-0000A88F0000}"/>
    <cellStyle name="40% - Accent6 2 3 4 4 2 2 2" xfId="26574" xr:uid="{00000000-0005-0000-0000-0000A98F0000}"/>
    <cellStyle name="40% - Accent6 2 3 4 4 2 2 3" xfId="36299" xr:uid="{00000000-0005-0000-0000-0000AA8F0000}"/>
    <cellStyle name="40% - Accent6 2 3 4 4 2 2 4" xfId="46024" xr:uid="{00000000-0005-0000-0000-0000AB8F0000}"/>
    <cellStyle name="40% - Accent6 2 3 4 4 2 2 5" xfId="16849" xr:uid="{00000000-0005-0000-0000-0000AC8F0000}"/>
    <cellStyle name="40% - Accent6 2 3 4 4 2 3" xfId="21712" xr:uid="{00000000-0005-0000-0000-0000AD8F0000}"/>
    <cellStyle name="40% - Accent6 2 3 4 4 2 4" xfId="31437" xr:uid="{00000000-0005-0000-0000-0000AE8F0000}"/>
    <cellStyle name="40% - Accent6 2 3 4 4 2 5" xfId="41162" xr:uid="{00000000-0005-0000-0000-0000AF8F0000}"/>
    <cellStyle name="40% - Accent6 2 3 4 4 2 6" xfId="11987" xr:uid="{00000000-0005-0000-0000-0000B08F0000}"/>
    <cellStyle name="40% - Accent6 2 3 4 4 3" xfId="3881" xr:uid="{00000000-0005-0000-0000-0000B18F0000}"/>
    <cellStyle name="40% - Accent6 2 3 4 4 3 2" xfId="8743" xr:uid="{00000000-0005-0000-0000-0000B28F0000}"/>
    <cellStyle name="40% - Accent6 2 3 4 4 3 2 2" xfId="28194" xr:uid="{00000000-0005-0000-0000-0000B38F0000}"/>
    <cellStyle name="40% - Accent6 2 3 4 4 3 2 3" xfId="37919" xr:uid="{00000000-0005-0000-0000-0000B48F0000}"/>
    <cellStyle name="40% - Accent6 2 3 4 4 3 2 4" xfId="47644" xr:uid="{00000000-0005-0000-0000-0000B58F0000}"/>
    <cellStyle name="40% - Accent6 2 3 4 4 3 2 5" xfId="18469" xr:uid="{00000000-0005-0000-0000-0000B68F0000}"/>
    <cellStyle name="40% - Accent6 2 3 4 4 3 3" xfId="23332" xr:uid="{00000000-0005-0000-0000-0000B78F0000}"/>
    <cellStyle name="40% - Accent6 2 3 4 4 3 4" xfId="33057" xr:uid="{00000000-0005-0000-0000-0000B88F0000}"/>
    <cellStyle name="40% - Accent6 2 3 4 4 3 5" xfId="42782" xr:uid="{00000000-0005-0000-0000-0000B98F0000}"/>
    <cellStyle name="40% - Accent6 2 3 4 4 3 6" xfId="13607" xr:uid="{00000000-0005-0000-0000-0000BA8F0000}"/>
    <cellStyle name="40% - Accent6 2 3 4 4 4" xfId="5503" xr:uid="{00000000-0005-0000-0000-0000BB8F0000}"/>
    <cellStyle name="40% - Accent6 2 3 4 4 4 2" xfId="24954" xr:uid="{00000000-0005-0000-0000-0000BC8F0000}"/>
    <cellStyle name="40% - Accent6 2 3 4 4 4 3" xfId="34679" xr:uid="{00000000-0005-0000-0000-0000BD8F0000}"/>
    <cellStyle name="40% - Accent6 2 3 4 4 4 4" xfId="44404" xr:uid="{00000000-0005-0000-0000-0000BE8F0000}"/>
    <cellStyle name="40% - Accent6 2 3 4 4 4 5" xfId="15229" xr:uid="{00000000-0005-0000-0000-0000BF8F0000}"/>
    <cellStyle name="40% - Accent6 2 3 4 4 5" xfId="20092" xr:uid="{00000000-0005-0000-0000-0000C08F0000}"/>
    <cellStyle name="40% - Accent6 2 3 4 4 6" xfId="29817" xr:uid="{00000000-0005-0000-0000-0000C18F0000}"/>
    <cellStyle name="40% - Accent6 2 3 4 4 7" xfId="39542" xr:uid="{00000000-0005-0000-0000-0000C28F0000}"/>
    <cellStyle name="40% - Accent6 2 3 4 4 8" xfId="10367" xr:uid="{00000000-0005-0000-0000-0000C38F0000}"/>
    <cellStyle name="40% - Accent6 2 3 4 5" xfId="1901" xr:uid="{00000000-0005-0000-0000-0000C48F0000}"/>
    <cellStyle name="40% - Accent6 2 3 4 5 2" xfId="6763" xr:uid="{00000000-0005-0000-0000-0000C58F0000}"/>
    <cellStyle name="40% - Accent6 2 3 4 5 2 2" xfId="26214" xr:uid="{00000000-0005-0000-0000-0000C68F0000}"/>
    <cellStyle name="40% - Accent6 2 3 4 5 2 3" xfId="35939" xr:uid="{00000000-0005-0000-0000-0000C78F0000}"/>
    <cellStyle name="40% - Accent6 2 3 4 5 2 4" xfId="45664" xr:uid="{00000000-0005-0000-0000-0000C88F0000}"/>
    <cellStyle name="40% - Accent6 2 3 4 5 2 5" xfId="16489" xr:uid="{00000000-0005-0000-0000-0000C98F0000}"/>
    <cellStyle name="40% - Accent6 2 3 4 5 3" xfId="21352" xr:uid="{00000000-0005-0000-0000-0000CA8F0000}"/>
    <cellStyle name="40% - Accent6 2 3 4 5 4" xfId="31077" xr:uid="{00000000-0005-0000-0000-0000CB8F0000}"/>
    <cellStyle name="40% - Accent6 2 3 4 5 5" xfId="40802" xr:uid="{00000000-0005-0000-0000-0000CC8F0000}"/>
    <cellStyle name="40% - Accent6 2 3 4 5 6" xfId="11627" xr:uid="{00000000-0005-0000-0000-0000CD8F0000}"/>
    <cellStyle name="40% - Accent6 2 3 4 6" xfId="3521" xr:uid="{00000000-0005-0000-0000-0000CE8F0000}"/>
    <cellStyle name="40% - Accent6 2 3 4 6 2" xfId="8383" xr:uid="{00000000-0005-0000-0000-0000CF8F0000}"/>
    <cellStyle name="40% - Accent6 2 3 4 6 2 2" xfId="27834" xr:uid="{00000000-0005-0000-0000-0000D08F0000}"/>
    <cellStyle name="40% - Accent6 2 3 4 6 2 3" xfId="37559" xr:uid="{00000000-0005-0000-0000-0000D18F0000}"/>
    <cellStyle name="40% - Accent6 2 3 4 6 2 4" xfId="47284" xr:uid="{00000000-0005-0000-0000-0000D28F0000}"/>
    <cellStyle name="40% - Accent6 2 3 4 6 2 5" xfId="18109" xr:uid="{00000000-0005-0000-0000-0000D38F0000}"/>
    <cellStyle name="40% - Accent6 2 3 4 6 3" xfId="22972" xr:uid="{00000000-0005-0000-0000-0000D48F0000}"/>
    <cellStyle name="40% - Accent6 2 3 4 6 4" xfId="32697" xr:uid="{00000000-0005-0000-0000-0000D58F0000}"/>
    <cellStyle name="40% - Accent6 2 3 4 6 5" xfId="42422" xr:uid="{00000000-0005-0000-0000-0000D68F0000}"/>
    <cellStyle name="40% - Accent6 2 3 4 6 6" xfId="13247" xr:uid="{00000000-0005-0000-0000-0000D78F0000}"/>
    <cellStyle name="40% - Accent6 2 3 4 7" xfId="5143" xr:uid="{00000000-0005-0000-0000-0000D88F0000}"/>
    <cellStyle name="40% - Accent6 2 3 4 7 2" xfId="24594" xr:uid="{00000000-0005-0000-0000-0000D98F0000}"/>
    <cellStyle name="40% - Accent6 2 3 4 7 3" xfId="34319" xr:uid="{00000000-0005-0000-0000-0000DA8F0000}"/>
    <cellStyle name="40% - Accent6 2 3 4 7 4" xfId="44044" xr:uid="{00000000-0005-0000-0000-0000DB8F0000}"/>
    <cellStyle name="40% - Accent6 2 3 4 7 5" xfId="14869" xr:uid="{00000000-0005-0000-0000-0000DC8F0000}"/>
    <cellStyle name="40% - Accent6 2 3 4 8" xfId="19732" xr:uid="{00000000-0005-0000-0000-0000DD8F0000}"/>
    <cellStyle name="40% - Accent6 2 3 4 9" xfId="29457" xr:uid="{00000000-0005-0000-0000-0000DE8F0000}"/>
    <cellStyle name="40% - Accent6 2 3 5" xfId="892" xr:uid="{00000000-0005-0000-0000-0000DF8F0000}"/>
    <cellStyle name="40% - Accent6 2 3 5 2" xfId="2531" xr:uid="{00000000-0005-0000-0000-0000E08F0000}"/>
    <cellStyle name="40% - Accent6 2 3 5 2 2" xfId="7393" xr:uid="{00000000-0005-0000-0000-0000E18F0000}"/>
    <cellStyle name="40% - Accent6 2 3 5 2 2 2" xfId="26844" xr:uid="{00000000-0005-0000-0000-0000E28F0000}"/>
    <cellStyle name="40% - Accent6 2 3 5 2 2 3" xfId="36569" xr:uid="{00000000-0005-0000-0000-0000E38F0000}"/>
    <cellStyle name="40% - Accent6 2 3 5 2 2 4" xfId="46294" xr:uid="{00000000-0005-0000-0000-0000E48F0000}"/>
    <cellStyle name="40% - Accent6 2 3 5 2 2 5" xfId="17119" xr:uid="{00000000-0005-0000-0000-0000E58F0000}"/>
    <cellStyle name="40% - Accent6 2 3 5 2 3" xfId="21982" xr:uid="{00000000-0005-0000-0000-0000E68F0000}"/>
    <cellStyle name="40% - Accent6 2 3 5 2 4" xfId="31707" xr:uid="{00000000-0005-0000-0000-0000E78F0000}"/>
    <cellStyle name="40% - Accent6 2 3 5 2 5" xfId="41432" xr:uid="{00000000-0005-0000-0000-0000E88F0000}"/>
    <cellStyle name="40% - Accent6 2 3 5 2 6" xfId="12257" xr:uid="{00000000-0005-0000-0000-0000E98F0000}"/>
    <cellStyle name="40% - Accent6 2 3 5 3" xfId="4151" xr:uid="{00000000-0005-0000-0000-0000EA8F0000}"/>
    <cellStyle name="40% - Accent6 2 3 5 3 2" xfId="9013" xr:uid="{00000000-0005-0000-0000-0000EB8F0000}"/>
    <cellStyle name="40% - Accent6 2 3 5 3 2 2" xfId="28464" xr:uid="{00000000-0005-0000-0000-0000EC8F0000}"/>
    <cellStyle name="40% - Accent6 2 3 5 3 2 3" xfId="38189" xr:uid="{00000000-0005-0000-0000-0000ED8F0000}"/>
    <cellStyle name="40% - Accent6 2 3 5 3 2 4" xfId="47914" xr:uid="{00000000-0005-0000-0000-0000EE8F0000}"/>
    <cellStyle name="40% - Accent6 2 3 5 3 2 5" xfId="18739" xr:uid="{00000000-0005-0000-0000-0000EF8F0000}"/>
    <cellStyle name="40% - Accent6 2 3 5 3 3" xfId="23602" xr:uid="{00000000-0005-0000-0000-0000F08F0000}"/>
    <cellStyle name="40% - Accent6 2 3 5 3 4" xfId="33327" xr:uid="{00000000-0005-0000-0000-0000F18F0000}"/>
    <cellStyle name="40% - Accent6 2 3 5 3 5" xfId="43052" xr:uid="{00000000-0005-0000-0000-0000F28F0000}"/>
    <cellStyle name="40% - Accent6 2 3 5 3 6" xfId="13877" xr:uid="{00000000-0005-0000-0000-0000F38F0000}"/>
    <cellStyle name="40% - Accent6 2 3 5 4" xfId="5773" xr:uid="{00000000-0005-0000-0000-0000F48F0000}"/>
    <cellStyle name="40% - Accent6 2 3 5 4 2" xfId="25224" xr:uid="{00000000-0005-0000-0000-0000F58F0000}"/>
    <cellStyle name="40% - Accent6 2 3 5 4 3" xfId="34949" xr:uid="{00000000-0005-0000-0000-0000F68F0000}"/>
    <cellStyle name="40% - Accent6 2 3 5 4 4" xfId="44674" xr:uid="{00000000-0005-0000-0000-0000F78F0000}"/>
    <cellStyle name="40% - Accent6 2 3 5 4 5" xfId="15499" xr:uid="{00000000-0005-0000-0000-0000F88F0000}"/>
    <cellStyle name="40% - Accent6 2 3 5 5" xfId="20362" xr:uid="{00000000-0005-0000-0000-0000F98F0000}"/>
    <cellStyle name="40% - Accent6 2 3 5 6" xfId="30087" xr:uid="{00000000-0005-0000-0000-0000FA8F0000}"/>
    <cellStyle name="40% - Accent6 2 3 5 7" xfId="39812" xr:uid="{00000000-0005-0000-0000-0000FB8F0000}"/>
    <cellStyle name="40% - Accent6 2 3 5 8" xfId="10637" xr:uid="{00000000-0005-0000-0000-0000FC8F0000}"/>
    <cellStyle name="40% - Accent6 2 3 6" xfId="1270" xr:uid="{00000000-0005-0000-0000-0000FD8F0000}"/>
    <cellStyle name="40% - Accent6 2 3 6 2" xfId="2891" xr:uid="{00000000-0005-0000-0000-0000FE8F0000}"/>
    <cellStyle name="40% - Accent6 2 3 6 2 2" xfId="7753" xr:uid="{00000000-0005-0000-0000-0000FF8F0000}"/>
    <cellStyle name="40% - Accent6 2 3 6 2 2 2" xfId="27204" xr:uid="{00000000-0005-0000-0000-000000900000}"/>
    <cellStyle name="40% - Accent6 2 3 6 2 2 3" xfId="36929" xr:uid="{00000000-0005-0000-0000-000001900000}"/>
    <cellStyle name="40% - Accent6 2 3 6 2 2 4" xfId="46654" xr:uid="{00000000-0005-0000-0000-000002900000}"/>
    <cellStyle name="40% - Accent6 2 3 6 2 2 5" xfId="17479" xr:uid="{00000000-0005-0000-0000-000003900000}"/>
    <cellStyle name="40% - Accent6 2 3 6 2 3" xfId="22342" xr:uid="{00000000-0005-0000-0000-000004900000}"/>
    <cellStyle name="40% - Accent6 2 3 6 2 4" xfId="32067" xr:uid="{00000000-0005-0000-0000-000005900000}"/>
    <cellStyle name="40% - Accent6 2 3 6 2 5" xfId="41792" xr:uid="{00000000-0005-0000-0000-000006900000}"/>
    <cellStyle name="40% - Accent6 2 3 6 2 6" xfId="12617" xr:uid="{00000000-0005-0000-0000-000007900000}"/>
    <cellStyle name="40% - Accent6 2 3 6 3" xfId="4511" xr:uid="{00000000-0005-0000-0000-000008900000}"/>
    <cellStyle name="40% - Accent6 2 3 6 3 2" xfId="9373" xr:uid="{00000000-0005-0000-0000-000009900000}"/>
    <cellStyle name="40% - Accent6 2 3 6 3 2 2" xfId="28824" xr:uid="{00000000-0005-0000-0000-00000A900000}"/>
    <cellStyle name="40% - Accent6 2 3 6 3 2 3" xfId="38549" xr:uid="{00000000-0005-0000-0000-00000B900000}"/>
    <cellStyle name="40% - Accent6 2 3 6 3 2 4" xfId="48274" xr:uid="{00000000-0005-0000-0000-00000C900000}"/>
    <cellStyle name="40% - Accent6 2 3 6 3 2 5" xfId="19099" xr:uid="{00000000-0005-0000-0000-00000D900000}"/>
    <cellStyle name="40% - Accent6 2 3 6 3 3" xfId="23962" xr:uid="{00000000-0005-0000-0000-00000E900000}"/>
    <cellStyle name="40% - Accent6 2 3 6 3 4" xfId="33687" xr:uid="{00000000-0005-0000-0000-00000F900000}"/>
    <cellStyle name="40% - Accent6 2 3 6 3 5" xfId="43412" xr:uid="{00000000-0005-0000-0000-000010900000}"/>
    <cellStyle name="40% - Accent6 2 3 6 3 6" xfId="14237" xr:uid="{00000000-0005-0000-0000-000011900000}"/>
    <cellStyle name="40% - Accent6 2 3 6 4" xfId="6133" xr:uid="{00000000-0005-0000-0000-000012900000}"/>
    <cellStyle name="40% - Accent6 2 3 6 4 2" xfId="25584" xr:uid="{00000000-0005-0000-0000-000013900000}"/>
    <cellStyle name="40% - Accent6 2 3 6 4 3" xfId="35309" xr:uid="{00000000-0005-0000-0000-000014900000}"/>
    <cellStyle name="40% - Accent6 2 3 6 4 4" xfId="45034" xr:uid="{00000000-0005-0000-0000-000015900000}"/>
    <cellStyle name="40% - Accent6 2 3 6 4 5" xfId="15859" xr:uid="{00000000-0005-0000-0000-000016900000}"/>
    <cellStyle name="40% - Accent6 2 3 6 5" xfId="20722" xr:uid="{00000000-0005-0000-0000-000017900000}"/>
    <cellStyle name="40% - Accent6 2 3 6 6" xfId="30447" xr:uid="{00000000-0005-0000-0000-000018900000}"/>
    <cellStyle name="40% - Accent6 2 3 6 7" xfId="40172" xr:uid="{00000000-0005-0000-0000-000019900000}"/>
    <cellStyle name="40% - Accent6 2 3 6 8" xfId="10997" xr:uid="{00000000-0005-0000-0000-00001A900000}"/>
    <cellStyle name="40% - Accent6 2 3 7" xfId="1360" xr:uid="{00000000-0005-0000-0000-00001B900000}"/>
    <cellStyle name="40% - Accent6 2 3 7 2" xfId="2981" xr:uid="{00000000-0005-0000-0000-00001C900000}"/>
    <cellStyle name="40% - Accent6 2 3 7 2 2" xfId="7843" xr:uid="{00000000-0005-0000-0000-00001D900000}"/>
    <cellStyle name="40% - Accent6 2 3 7 2 2 2" xfId="27294" xr:uid="{00000000-0005-0000-0000-00001E900000}"/>
    <cellStyle name="40% - Accent6 2 3 7 2 2 3" xfId="37019" xr:uid="{00000000-0005-0000-0000-00001F900000}"/>
    <cellStyle name="40% - Accent6 2 3 7 2 2 4" xfId="46744" xr:uid="{00000000-0005-0000-0000-000020900000}"/>
    <cellStyle name="40% - Accent6 2 3 7 2 2 5" xfId="17569" xr:uid="{00000000-0005-0000-0000-000021900000}"/>
    <cellStyle name="40% - Accent6 2 3 7 2 3" xfId="22432" xr:uid="{00000000-0005-0000-0000-000022900000}"/>
    <cellStyle name="40% - Accent6 2 3 7 2 4" xfId="32157" xr:uid="{00000000-0005-0000-0000-000023900000}"/>
    <cellStyle name="40% - Accent6 2 3 7 2 5" xfId="41882" xr:uid="{00000000-0005-0000-0000-000024900000}"/>
    <cellStyle name="40% - Accent6 2 3 7 2 6" xfId="12707" xr:uid="{00000000-0005-0000-0000-000025900000}"/>
    <cellStyle name="40% - Accent6 2 3 7 3" xfId="4601" xr:uid="{00000000-0005-0000-0000-000026900000}"/>
    <cellStyle name="40% - Accent6 2 3 7 3 2" xfId="9463" xr:uid="{00000000-0005-0000-0000-000027900000}"/>
    <cellStyle name="40% - Accent6 2 3 7 3 2 2" xfId="28914" xr:uid="{00000000-0005-0000-0000-000028900000}"/>
    <cellStyle name="40% - Accent6 2 3 7 3 2 3" xfId="38639" xr:uid="{00000000-0005-0000-0000-000029900000}"/>
    <cellStyle name="40% - Accent6 2 3 7 3 2 4" xfId="48364" xr:uid="{00000000-0005-0000-0000-00002A900000}"/>
    <cellStyle name="40% - Accent6 2 3 7 3 2 5" xfId="19189" xr:uid="{00000000-0005-0000-0000-00002B900000}"/>
    <cellStyle name="40% - Accent6 2 3 7 3 3" xfId="24052" xr:uid="{00000000-0005-0000-0000-00002C900000}"/>
    <cellStyle name="40% - Accent6 2 3 7 3 4" xfId="33777" xr:uid="{00000000-0005-0000-0000-00002D900000}"/>
    <cellStyle name="40% - Accent6 2 3 7 3 5" xfId="43502" xr:uid="{00000000-0005-0000-0000-00002E900000}"/>
    <cellStyle name="40% - Accent6 2 3 7 3 6" xfId="14327" xr:uid="{00000000-0005-0000-0000-00002F900000}"/>
    <cellStyle name="40% - Accent6 2 3 7 4" xfId="6223" xr:uid="{00000000-0005-0000-0000-000030900000}"/>
    <cellStyle name="40% - Accent6 2 3 7 4 2" xfId="25674" xr:uid="{00000000-0005-0000-0000-000031900000}"/>
    <cellStyle name="40% - Accent6 2 3 7 4 3" xfId="35399" xr:uid="{00000000-0005-0000-0000-000032900000}"/>
    <cellStyle name="40% - Accent6 2 3 7 4 4" xfId="45124" xr:uid="{00000000-0005-0000-0000-000033900000}"/>
    <cellStyle name="40% - Accent6 2 3 7 4 5" xfId="15949" xr:uid="{00000000-0005-0000-0000-000034900000}"/>
    <cellStyle name="40% - Accent6 2 3 7 5" xfId="20812" xr:uid="{00000000-0005-0000-0000-000035900000}"/>
    <cellStyle name="40% - Accent6 2 3 7 6" xfId="30537" xr:uid="{00000000-0005-0000-0000-000036900000}"/>
    <cellStyle name="40% - Accent6 2 3 7 7" xfId="40262" xr:uid="{00000000-0005-0000-0000-000037900000}"/>
    <cellStyle name="40% - Accent6 2 3 7 8" xfId="11087" xr:uid="{00000000-0005-0000-0000-000038900000}"/>
    <cellStyle name="40% - Accent6 2 3 8" xfId="531" xr:uid="{00000000-0005-0000-0000-000039900000}"/>
    <cellStyle name="40% - Accent6 2 3 8 2" xfId="2171" xr:uid="{00000000-0005-0000-0000-00003A900000}"/>
    <cellStyle name="40% - Accent6 2 3 8 2 2" xfId="7033" xr:uid="{00000000-0005-0000-0000-00003B900000}"/>
    <cellStyle name="40% - Accent6 2 3 8 2 2 2" xfId="26484" xr:uid="{00000000-0005-0000-0000-00003C900000}"/>
    <cellStyle name="40% - Accent6 2 3 8 2 2 3" xfId="36209" xr:uid="{00000000-0005-0000-0000-00003D900000}"/>
    <cellStyle name="40% - Accent6 2 3 8 2 2 4" xfId="45934" xr:uid="{00000000-0005-0000-0000-00003E900000}"/>
    <cellStyle name="40% - Accent6 2 3 8 2 2 5" xfId="16759" xr:uid="{00000000-0005-0000-0000-00003F900000}"/>
    <cellStyle name="40% - Accent6 2 3 8 2 3" xfId="21622" xr:uid="{00000000-0005-0000-0000-000040900000}"/>
    <cellStyle name="40% - Accent6 2 3 8 2 4" xfId="31347" xr:uid="{00000000-0005-0000-0000-000041900000}"/>
    <cellStyle name="40% - Accent6 2 3 8 2 5" xfId="41072" xr:uid="{00000000-0005-0000-0000-000042900000}"/>
    <cellStyle name="40% - Accent6 2 3 8 2 6" xfId="11897" xr:uid="{00000000-0005-0000-0000-000043900000}"/>
    <cellStyle name="40% - Accent6 2 3 8 3" xfId="3791" xr:uid="{00000000-0005-0000-0000-000044900000}"/>
    <cellStyle name="40% - Accent6 2 3 8 3 2" xfId="8653" xr:uid="{00000000-0005-0000-0000-000045900000}"/>
    <cellStyle name="40% - Accent6 2 3 8 3 2 2" xfId="28104" xr:uid="{00000000-0005-0000-0000-000046900000}"/>
    <cellStyle name="40% - Accent6 2 3 8 3 2 3" xfId="37829" xr:uid="{00000000-0005-0000-0000-000047900000}"/>
    <cellStyle name="40% - Accent6 2 3 8 3 2 4" xfId="47554" xr:uid="{00000000-0005-0000-0000-000048900000}"/>
    <cellStyle name="40% - Accent6 2 3 8 3 2 5" xfId="18379" xr:uid="{00000000-0005-0000-0000-000049900000}"/>
    <cellStyle name="40% - Accent6 2 3 8 3 3" xfId="23242" xr:uid="{00000000-0005-0000-0000-00004A900000}"/>
    <cellStyle name="40% - Accent6 2 3 8 3 4" xfId="32967" xr:uid="{00000000-0005-0000-0000-00004B900000}"/>
    <cellStyle name="40% - Accent6 2 3 8 3 5" xfId="42692" xr:uid="{00000000-0005-0000-0000-00004C900000}"/>
    <cellStyle name="40% - Accent6 2 3 8 3 6" xfId="13517" xr:uid="{00000000-0005-0000-0000-00004D900000}"/>
    <cellStyle name="40% - Accent6 2 3 8 4" xfId="5413" xr:uid="{00000000-0005-0000-0000-00004E900000}"/>
    <cellStyle name="40% - Accent6 2 3 8 4 2" xfId="24864" xr:uid="{00000000-0005-0000-0000-00004F900000}"/>
    <cellStyle name="40% - Accent6 2 3 8 4 3" xfId="34589" xr:uid="{00000000-0005-0000-0000-000050900000}"/>
    <cellStyle name="40% - Accent6 2 3 8 4 4" xfId="44314" xr:uid="{00000000-0005-0000-0000-000051900000}"/>
    <cellStyle name="40% - Accent6 2 3 8 4 5" xfId="15139" xr:uid="{00000000-0005-0000-0000-000052900000}"/>
    <cellStyle name="40% - Accent6 2 3 8 5" xfId="20002" xr:uid="{00000000-0005-0000-0000-000053900000}"/>
    <cellStyle name="40% - Accent6 2 3 8 6" xfId="29727" xr:uid="{00000000-0005-0000-0000-000054900000}"/>
    <cellStyle name="40% - Accent6 2 3 8 7" xfId="39452" xr:uid="{00000000-0005-0000-0000-000055900000}"/>
    <cellStyle name="40% - Accent6 2 3 8 8" xfId="10277" xr:uid="{00000000-0005-0000-0000-000056900000}"/>
    <cellStyle name="40% - Accent6 2 3 9" xfId="1720" xr:uid="{00000000-0005-0000-0000-000057900000}"/>
    <cellStyle name="40% - Accent6 2 3 9 2" xfId="3341" xr:uid="{00000000-0005-0000-0000-000058900000}"/>
    <cellStyle name="40% - Accent6 2 3 9 2 2" xfId="8203" xr:uid="{00000000-0005-0000-0000-000059900000}"/>
    <cellStyle name="40% - Accent6 2 3 9 2 2 2" xfId="27654" xr:uid="{00000000-0005-0000-0000-00005A900000}"/>
    <cellStyle name="40% - Accent6 2 3 9 2 2 3" xfId="37379" xr:uid="{00000000-0005-0000-0000-00005B900000}"/>
    <cellStyle name="40% - Accent6 2 3 9 2 2 4" xfId="47104" xr:uid="{00000000-0005-0000-0000-00005C900000}"/>
    <cellStyle name="40% - Accent6 2 3 9 2 2 5" xfId="17929" xr:uid="{00000000-0005-0000-0000-00005D900000}"/>
    <cellStyle name="40% - Accent6 2 3 9 2 3" xfId="22792" xr:uid="{00000000-0005-0000-0000-00005E900000}"/>
    <cellStyle name="40% - Accent6 2 3 9 2 4" xfId="32517" xr:uid="{00000000-0005-0000-0000-00005F900000}"/>
    <cellStyle name="40% - Accent6 2 3 9 2 5" xfId="42242" xr:uid="{00000000-0005-0000-0000-000060900000}"/>
    <cellStyle name="40% - Accent6 2 3 9 2 6" xfId="13067" xr:uid="{00000000-0005-0000-0000-000061900000}"/>
    <cellStyle name="40% - Accent6 2 3 9 3" xfId="4961" xr:uid="{00000000-0005-0000-0000-000062900000}"/>
    <cellStyle name="40% - Accent6 2 3 9 3 2" xfId="9823" xr:uid="{00000000-0005-0000-0000-000063900000}"/>
    <cellStyle name="40% - Accent6 2 3 9 3 2 2" xfId="29274" xr:uid="{00000000-0005-0000-0000-000064900000}"/>
    <cellStyle name="40% - Accent6 2 3 9 3 2 3" xfId="38999" xr:uid="{00000000-0005-0000-0000-000065900000}"/>
    <cellStyle name="40% - Accent6 2 3 9 3 2 4" xfId="48724" xr:uid="{00000000-0005-0000-0000-000066900000}"/>
    <cellStyle name="40% - Accent6 2 3 9 3 2 5" xfId="19549" xr:uid="{00000000-0005-0000-0000-000067900000}"/>
    <cellStyle name="40% - Accent6 2 3 9 3 3" xfId="24412" xr:uid="{00000000-0005-0000-0000-000068900000}"/>
    <cellStyle name="40% - Accent6 2 3 9 3 4" xfId="34137" xr:uid="{00000000-0005-0000-0000-000069900000}"/>
    <cellStyle name="40% - Accent6 2 3 9 3 5" xfId="43862" xr:uid="{00000000-0005-0000-0000-00006A900000}"/>
    <cellStyle name="40% - Accent6 2 3 9 3 6" xfId="14687" xr:uid="{00000000-0005-0000-0000-00006B900000}"/>
    <cellStyle name="40% - Accent6 2 3 9 4" xfId="6583" xr:uid="{00000000-0005-0000-0000-00006C900000}"/>
    <cellStyle name="40% - Accent6 2 3 9 4 2" xfId="26034" xr:uid="{00000000-0005-0000-0000-00006D900000}"/>
    <cellStyle name="40% - Accent6 2 3 9 4 3" xfId="35759" xr:uid="{00000000-0005-0000-0000-00006E900000}"/>
    <cellStyle name="40% - Accent6 2 3 9 4 4" xfId="45484" xr:uid="{00000000-0005-0000-0000-00006F900000}"/>
    <cellStyle name="40% - Accent6 2 3 9 4 5" xfId="16309" xr:uid="{00000000-0005-0000-0000-000070900000}"/>
    <cellStyle name="40% - Accent6 2 3 9 5" xfId="21172" xr:uid="{00000000-0005-0000-0000-000071900000}"/>
    <cellStyle name="40% - Accent6 2 3 9 6" xfId="30897" xr:uid="{00000000-0005-0000-0000-000072900000}"/>
    <cellStyle name="40% - Accent6 2 3 9 7" xfId="40622" xr:uid="{00000000-0005-0000-0000-000073900000}"/>
    <cellStyle name="40% - Accent6 2 3 9 8" xfId="11447" xr:uid="{00000000-0005-0000-0000-000074900000}"/>
    <cellStyle name="40% - Accent6 2 4" xfId="249" xr:uid="{00000000-0005-0000-0000-000075900000}"/>
    <cellStyle name="40% - Accent6 2 4 10" xfId="39212" xr:uid="{00000000-0005-0000-0000-000076900000}"/>
    <cellStyle name="40% - Accent6 2 4 11" xfId="10037" xr:uid="{00000000-0005-0000-0000-000077900000}"/>
    <cellStyle name="40% - Accent6 2 4 2" xfId="1013" xr:uid="{00000000-0005-0000-0000-000078900000}"/>
    <cellStyle name="40% - Accent6 2 4 2 2" xfId="2651" xr:uid="{00000000-0005-0000-0000-000079900000}"/>
    <cellStyle name="40% - Accent6 2 4 2 2 2" xfId="7513" xr:uid="{00000000-0005-0000-0000-00007A900000}"/>
    <cellStyle name="40% - Accent6 2 4 2 2 2 2" xfId="26964" xr:uid="{00000000-0005-0000-0000-00007B900000}"/>
    <cellStyle name="40% - Accent6 2 4 2 2 2 3" xfId="36689" xr:uid="{00000000-0005-0000-0000-00007C900000}"/>
    <cellStyle name="40% - Accent6 2 4 2 2 2 4" xfId="46414" xr:uid="{00000000-0005-0000-0000-00007D900000}"/>
    <cellStyle name="40% - Accent6 2 4 2 2 2 5" xfId="17239" xr:uid="{00000000-0005-0000-0000-00007E900000}"/>
    <cellStyle name="40% - Accent6 2 4 2 2 3" xfId="22102" xr:uid="{00000000-0005-0000-0000-00007F900000}"/>
    <cellStyle name="40% - Accent6 2 4 2 2 4" xfId="31827" xr:uid="{00000000-0005-0000-0000-000080900000}"/>
    <cellStyle name="40% - Accent6 2 4 2 2 5" xfId="41552" xr:uid="{00000000-0005-0000-0000-000081900000}"/>
    <cellStyle name="40% - Accent6 2 4 2 2 6" xfId="12377" xr:uid="{00000000-0005-0000-0000-000082900000}"/>
    <cellStyle name="40% - Accent6 2 4 2 3" xfId="4271" xr:uid="{00000000-0005-0000-0000-000083900000}"/>
    <cellStyle name="40% - Accent6 2 4 2 3 2" xfId="9133" xr:uid="{00000000-0005-0000-0000-000084900000}"/>
    <cellStyle name="40% - Accent6 2 4 2 3 2 2" xfId="28584" xr:uid="{00000000-0005-0000-0000-000085900000}"/>
    <cellStyle name="40% - Accent6 2 4 2 3 2 3" xfId="38309" xr:uid="{00000000-0005-0000-0000-000086900000}"/>
    <cellStyle name="40% - Accent6 2 4 2 3 2 4" xfId="48034" xr:uid="{00000000-0005-0000-0000-000087900000}"/>
    <cellStyle name="40% - Accent6 2 4 2 3 2 5" xfId="18859" xr:uid="{00000000-0005-0000-0000-000088900000}"/>
    <cellStyle name="40% - Accent6 2 4 2 3 3" xfId="23722" xr:uid="{00000000-0005-0000-0000-000089900000}"/>
    <cellStyle name="40% - Accent6 2 4 2 3 4" xfId="33447" xr:uid="{00000000-0005-0000-0000-00008A900000}"/>
    <cellStyle name="40% - Accent6 2 4 2 3 5" xfId="43172" xr:uid="{00000000-0005-0000-0000-00008B900000}"/>
    <cellStyle name="40% - Accent6 2 4 2 3 6" xfId="13997" xr:uid="{00000000-0005-0000-0000-00008C900000}"/>
    <cellStyle name="40% - Accent6 2 4 2 4" xfId="5893" xr:uid="{00000000-0005-0000-0000-00008D900000}"/>
    <cellStyle name="40% - Accent6 2 4 2 4 2" xfId="25344" xr:uid="{00000000-0005-0000-0000-00008E900000}"/>
    <cellStyle name="40% - Accent6 2 4 2 4 3" xfId="35069" xr:uid="{00000000-0005-0000-0000-00008F900000}"/>
    <cellStyle name="40% - Accent6 2 4 2 4 4" xfId="44794" xr:uid="{00000000-0005-0000-0000-000090900000}"/>
    <cellStyle name="40% - Accent6 2 4 2 4 5" xfId="15619" xr:uid="{00000000-0005-0000-0000-000091900000}"/>
    <cellStyle name="40% - Accent6 2 4 2 5" xfId="20482" xr:uid="{00000000-0005-0000-0000-000092900000}"/>
    <cellStyle name="40% - Accent6 2 4 2 6" xfId="30207" xr:uid="{00000000-0005-0000-0000-000093900000}"/>
    <cellStyle name="40% - Accent6 2 4 2 7" xfId="39932" xr:uid="{00000000-0005-0000-0000-000094900000}"/>
    <cellStyle name="40% - Accent6 2 4 2 8" xfId="10757" xr:uid="{00000000-0005-0000-0000-000095900000}"/>
    <cellStyle name="40% - Accent6 2 4 3" xfId="1480" xr:uid="{00000000-0005-0000-0000-000096900000}"/>
    <cellStyle name="40% - Accent6 2 4 3 2" xfId="3101" xr:uid="{00000000-0005-0000-0000-000097900000}"/>
    <cellStyle name="40% - Accent6 2 4 3 2 2" xfId="7963" xr:uid="{00000000-0005-0000-0000-000098900000}"/>
    <cellStyle name="40% - Accent6 2 4 3 2 2 2" xfId="27414" xr:uid="{00000000-0005-0000-0000-000099900000}"/>
    <cellStyle name="40% - Accent6 2 4 3 2 2 3" xfId="37139" xr:uid="{00000000-0005-0000-0000-00009A900000}"/>
    <cellStyle name="40% - Accent6 2 4 3 2 2 4" xfId="46864" xr:uid="{00000000-0005-0000-0000-00009B900000}"/>
    <cellStyle name="40% - Accent6 2 4 3 2 2 5" xfId="17689" xr:uid="{00000000-0005-0000-0000-00009C900000}"/>
    <cellStyle name="40% - Accent6 2 4 3 2 3" xfId="22552" xr:uid="{00000000-0005-0000-0000-00009D900000}"/>
    <cellStyle name="40% - Accent6 2 4 3 2 4" xfId="32277" xr:uid="{00000000-0005-0000-0000-00009E900000}"/>
    <cellStyle name="40% - Accent6 2 4 3 2 5" xfId="42002" xr:uid="{00000000-0005-0000-0000-00009F900000}"/>
    <cellStyle name="40% - Accent6 2 4 3 2 6" xfId="12827" xr:uid="{00000000-0005-0000-0000-0000A0900000}"/>
    <cellStyle name="40% - Accent6 2 4 3 3" xfId="4721" xr:uid="{00000000-0005-0000-0000-0000A1900000}"/>
    <cellStyle name="40% - Accent6 2 4 3 3 2" xfId="9583" xr:uid="{00000000-0005-0000-0000-0000A2900000}"/>
    <cellStyle name="40% - Accent6 2 4 3 3 2 2" xfId="29034" xr:uid="{00000000-0005-0000-0000-0000A3900000}"/>
    <cellStyle name="40% - Accent6 2 4 3 3 2 3" xfId="38759" xr:uid="{00000000-0005-0000-0000-0000A4900000}"/>
    <cellStyle name="40% - Accent6 2 4 3 3 2 4" xfId="48484" xr:uid="{00000000-0005-0000-0000-0000A5900000}"/>
    <cellStyle name="40% - Accent6 2 4 3 3 2 5" xfId="19309" xr:uid="{00000000-0005-0000-0000-0000A6900000}"/>
    <cellStyle name="40% - Accent6 2 4 3 3 3" xfId="24172" xr:uid="{00000000-0005-0000-0000-0000A7900000}"/>
    <cellStyle name="40% - Accent6 2 4 3 3 4" xfId="33897" xr:uid="{00000000-0005-0000-0000-0000A8900000}"/>
    <cellStyle name="40% - Accent6 2 4 3 3 5" xfId="43622" xr:uid="{00000000-0005-0000-0000-0000A9900000}"/>
    <cellStyle name="40% - Accent6 2 4 3 3 6" xfId="14447" xr:uid="{00000000-0005-0000-0000-0000AA900000}"/>
    <cellStyle name="40% - Accent6 2 4 3 4" xfId="6343" xr:uid="{00000000-0005-0000-0000-0000AB900000}"/>
    <cellStyle name="40% - Accent6 2 4 3 4 2" xfId="25794" xr:uid="{00000000-0005-0000-0000-0000AC900000}"/>
    <cellStyle name="40% - Accent6 2 4 3 4 3" xfId="35519" xr:uid="{00000000-0005-0000-0000-0000AD900000}"/>
    <cellStyle name="40% - Accent6 2 4 3 4 4" xfId="45244" xr:uid="{00000000-0005-0000-0000-0000AE900000}"/>
    <cellStyle name="40% - Accent6 2 4 3 4 5" xfId="16069" xr:uid="{00000000-0005-0000-0000-0000AF900000}"/>
    <cellStyle name="40% - Accent6 2 4 3 5" xfId="20932" xr:uid="{00000000-0005-0000-0000-0000B0900000}"/>
    <cellStyle name="40% - Accent6 2 4 3 6" xfId="30657" xr:uid="{00000000-0005-0000-0000-0000B1900000}"/>
    <cellStyle name="40% - Accent6 2 4 3 7" xfId="40382" xr:uid="{00000000-0005-0000-0000-0000B2900000}"/>
    <cellStyle name="40% - Accent6 2 4 3 8" xfId="11207" xr:uid="{00000000-0005-0000-0000-0000B3900000}"/>
    <cellStyle name="40% - Accent6 2 4 4" xfId="651" xr:uid="{00000000-0005-0000-0000-0000B4900000}"/>
    <cellStyle name="40% - Accent6 2 4 4 2" xfId="2291" xr:uid="{00000000-0005-0000-0000-0000B5900000}"/>
    <cellStyle name="40% - Accent6 2 4 4 2 2" xfId="7153" xr:uid="{00000000-0005-0000-0000-0000B6900000}"/>
    <cellStyle name="40% - Accent6 2 4 4 2 2 2" xfId="26604" xr:uid="{00000000-0005-0000-0000-0000B7900000}"/>
    <cellStyle name="40% - Accent6 2 4 4 2 2 3" xfId="36329" xr:uid="{00000000-0005-0000-0000-0000B8900000}"/>
    <cellStyle name="40% - Accent6 2 4 4 2 2 4" xfId="46054" xr:uid="{00000000-0005-0000-0000-0000B9900000}"/>
    <cellStyle name="40% - Accent6 2 4 4 2 2 5" xfId="16879" xr:uid="{00000000-0005-0000-0000-0000BA900000}"/>
    <cellStyle name="40% - Accent6 2 4 4 2 3" xfId="21742" xr:uid="{00000000-0005-0000-0000-0000BB900000}"/>
    <cellStyle name="40% - Accent6 2 4 4 2 4" xfId="31467" xr:uid="{00000000-0005-0000-0000-0000BC900000}"/>
    <cellStyle name="40% - Accent6 2 4 4 2 5" xfId="41192" xr:uid="{00000000-0005-0000-0000-0000BD900000}"/>
    <cellStyle name="40% - Accent6 2 4 4 2 6" xfId="12017" xr:uid="{00000000-0005-0000-0000-0000BE900000}"/>
    <cellStyle name="40% - Accent6 2 4 4 3" xfId="3911" xr:uid="{00000000-0005-0000-0000-0000BF900000}"/>
    <cellStyle name="40% - Accent6 2 4 4 3 2" xfId="8773" xr:uid="{00000000-0005-0000-0000-0000C0900000}"/>
    <cellStyle name="40% - Accent6 2 4 4 3 2 2" xfId="28224" xr:uid="{00000000-0005-0000-0000-0000C1900000}"/>
    <cellStyle name="40% - Accent6 2 4 4 3 2 3" xfId="37949" xr:uid="{00000000-0005-0000-0000-0000C2900000}"/>
    <cellStyle name="40% - Accent6 2 4 4 3 2 4" xfId="47674" xr:uid="{00000000-0005-0000-0000-0000C3900000}"/>
    <cellStyle name="40% - Accent6 2 4 4 3 2 5" xfId="18499" xr:uid="{00000000-0005-0000-0000-0000C4900000}"/>
    <cellStyle name="40% - Accent6 2 4 4 3 3" xfId="23362" xr:uid="{00000000-0005-0000-0000-0000C5900000}"/>
    <cellStyle name="40% - Accent6 2 4 4 3 4" xfId="33087" xr:uid="{00000000-0005-0000-0000-0000C6900000}"/>
    <cellStyle name="40% - Accent6 2 4 4 3 5" xfId="42812" xr:uid="{00000000-0005-0000-0000-0000C7900000}"/>
    <cellStyle name="40% - Accent6 2 4 4 3 6" xfId="13637" xr:uid="{00000000-0005-0000-0000-0000C8900000}"/>
    <cellStyle name="40% - Accent6 2 4 4 4" xfId="5533" xr:uid="{00000000-0005-0000-0000-0000C9900000}"/>
    <cellStyle name="40% - Accent6 2 4 4 4 2" xfId="24984" xr:uid="{00000000-0005-0000-0000-0000CA900000}"/>
    <cellStyle name="40% - Accent6 2 4 4 4 3" xfId="34709" xr:uid="{00000000-0005-0000-0000-0000CB900000}"/>
    <cellStyle name="40% - Accent6 2 4 4 4 4" xfId="44434" xr:uid="{00000000-0005-0000-0000-0000CC900000}"/>
    <cellStyle name="40% - Accent6 2 4 4 4 5" xfId="15259" xr:uid="{00000000-0005-0000-0000-0000CD900000}"/>
    <cellStyle name="40% - Accent6 2 4 4 5" xfId="20122" xr:uid="{00000000-0005-0000-0000-0000CE900000}"/>
    <cellStyle name="40% - Accent6 2 4 4 6" xfId="29847" xr:uid="{00000000-0005-0000-0000-0000CF900000}"/>
    <cellStyle name="40% - Accent6 2 4 4 7" xfId="39572" xr:uid="{00000000-0005-0000-0000-0000D0900000}"/>
    <cellStyle name="40% - Accent6 2 4 4 8" xfId="10397" xr:uid="{00000000-0005-0000-0000-0000D1900000}"/>
    <cellStyle name="40% - Accent6 2 4 5" xfId="1931" xr:uid="{00000000-0005-0000-0000-0000D2900000}"/>
    <cellStyle name="40% - Accent6 2 4 5 2" xfId="6793" xr:uid="{00000000-0005-0000-0000-0000D3900000}"/>
    <cellStyle name="40% - Accent6 2 4 5 2 2" xfId="26244" xr:uid="{00000000-0005-0000-0000-0000D4900000}"/>
    <cellStyle name="40% - Accent6 2 4 5 2 3" xfId="35969" xr:uid="{00000000-0005-0000-0000-0000D5900000}"/>
    <cellStyle name="40% - Accent6 2 4 5 2 4" xfId="45694" xr:uid="{00000000-0005-0000-0000-0000D6900000}"/>
    <cellStyle name="40% - Accent6 2 4 5 2 5" xfId="16519" xr:uid="{00000000-0005-0000-0000-0000D7900000}"/>
    <cellStyle name="40% - Accent6 2 4 5 3" xfId="21382" xr:uid="{00000000-0005-0000-0000-0000D8900000}"/>
    <cellStyle name="40% - Accent6 2 4 5 4" xfId="31107" xr:uid="{00000000-0005-0000-0000-0000D9900000}"/>
    <cellStyle name="40% - Accent6 2 4 5 5" xfId="40832" xr:uid="{00000000-0005-0000-0000-0000DA900000}"/>
    <cellStyle name="40% - Accent6 2 4 5 6" xfId="11657" xr:uid="{00000000-0005-0000-0000-0000DB900000}"/>
    <cellStyle name="40% - Accent6 2 4 6" xfId="3551" xr:uid="{00000000-0005-0000-0000-0000DC900000}"/>
    <cellStyle name="40% - Accent6 2 4 6 2" xfId="8413" xr:uid="{00000000-0005-0000-0000-0000DD900000}"/>
    <cellStyle name="40% - Accent6 2 4 6 2 2" xfId="27864" xr:uid="{00000000-0005-0000-0000-0000DE900000}"/>
    <cellStyle name="40% - Accent6 2 4 6 2 3" xfId="37589" xr:uid="{00000000-0005-0000-0000-0000DF900000}"/>
    <cellStyle name="40% - Accent6 2 4 6 2 4" xfId="47314" xr:uid="{00000000-0005-0000-0000-0000E0900000}"/>
    <cellStyle name="40% - Accent6 2 4 6 2 5" xfId="18139" xr:uid="{00000000-0005-0000-0000-0000E1900000}"/>
    <cellStyle name="40% - Accent6 2 4 6 3" xfId="23002" xr:uid="{00000000-0005-0000-0000-0000E2900000}"/>
    <cellStyle name="40% - Accent6 2 4 6 4" xfId="32727" xr:uid="{00000000-0005-0000-0000-0000E3900000}"/>
    <cellStyle name="40% - Accent6 2 4 6 5" xfId="42452" xr:uid="{00000000-0005-0000-0000-0000E4900000}"/>
    <cellStyle name="40% - Accent6 2 4 6 6" xfId="13277" xr:uid="{00000000-0005-0000-0000-0000E5900000}"/>
    <cellStyle name="40% - Accent6 2 4 7" xfId="5173" xr:uid="{00000000-0005-0000-0000-0000E6900000}"/>
    <cellStyle name="40% - Accent6 2 4 7 2" xfId="24624" xr:uid="{00000000-0005-0000-0000-0000E7900000}"/>
    <cellStyle name="40% - Accent6 2 4 7 3" xfId="34349" xr:uid="{00000000-0005-0000-0000-0000E8900000}"/>
    <cellStyle name="40% - Accent6 2 4 7 4" xfId="44074" xr:uid="{00000000-0005-0000-0000-0000E9900000}"/>
    <cellStyle name="40% - Accent6 2 4 7 5" xfId="14899" xr:uid="{00000000-0005-0000-0000-0000EA900000}"/>
    <cellStyle name="40% - Accent6 2 4 8" xfId="19762" xr:uid="{00000000-0005-0000-0000-0000EB900000}"/>
    <cellStyle name="40% - Accent6 2 4 9" xfId="29487" xr:uid="{00000000-0005-0000-0000-0000EC900000}"/>
    <cellStyle name="40% - Accent6 2 5" xfId="340" xr:uid="{00000000-0005-0000-0000-0000ED900000}"/>
    <cellStyle name="40% - Accent6 2 5 10" xfId="39302" xr:uid="{00000000-0005-0000-0000-0000EE900000}"/>
    <cellStyle name="40% - Accent6 2 5 11" xfId="10127" xr:uid="{00000000-0005-0000-0000-0000EF900000}"/>
    <cellStyle name="40% - Accent6 2 5 2" xfId="1103" xr:uid="{00000000-0005-0000-0000-0000F0900000}"/>
    <cellStyle name="40% - Accent6 2 5 2 2" xfId="2741" xr:uid="{00000000-0005-0000-0000-0000F1900000}"/>
    <cellStyle name="40% - Accent6 2 5 2 2 2" xfId="7603" xr:uid="{00000000-0005-0000-0000-0000F2900000}"/>
    <cellStyle name="40% - Accent6 2 5 2 2 2 2" xfId="27054" xr:uid="{00000000-0005-0000-0000-0000F3900000}"/>
    <cellStyle name="40% - Accent6 2 5 2 2 2 3" xfId="36779" xr:uid="{00000000-0005-0000-0000-0000F4900000}"/>
    <cellStyle name="40% - Accent6 2 5 2 2 2 4" xfId="46504" xr:uid="{00000000-0005-0000-0000-0000F5900000}"/>
    <cellStyle name="40% - Accent6 2 5 2 2 2 5" xfId="17329" xr:uid="{00000000-0005-0000-0000-0000F6900000}"/>
    <cellStyle name="40% - Accent6 2 5 2 2 3" xfId="22192" xr:uid="{00000000-0005-0000-0000-0000F7900000}"/>
    <cellStyle name="40% - Accent6 2 5 2 2 4" xfId="31917" xr:uid="{00000000-0005-0000-0000-0000F8900000}"/>
    <cellStyle name="40% - Accent6 2 5 2 2 5" xfId="41642" xr:uid="{00000000-0005-0000-0000-0000F9900000}"/>
    <cellStyle name="40% - Accent6 2 5 2 2 6" xfId="12467" xr:uid="{00000000-0005-0000-0000-0000FA900000}"/>
    <cellStyle name="40% - Accent6 2 5 2 3" xfId="4361" xr:uid="{00000000-0005-0000-0000-0000FB900000}"/>
    <cellStyle name="40% - Accent6 2 5 2 3 2" xfId="9223" xr:uid="{00000000-0005-0000-0000-0000FC900000}"/>
    <cellStyle name="40% - Accent6 2 5 2 3 2 2" xfId="28674" xr:uid="{00000000-0005-0000-0000-0000FD900000}"/>
    <cellStyle name="40% - Accent6 2 5 2 3 2 3" xfId="38399" xr:uid="{00000000-0005-0000-0000-0000FE900000}"/>
    <cellStyle name="40% - Accent6 2 5 2 3 2 4" xfId="48124" xr:uid="{00000000-0005-0000-0000-0000FF900000}"/>
    <cellStyle name="40% - Accent6 2 5 2 3 2 5" xfId="18949" xr:uid="{00000000-0005-0000-0000-000000910000}"/>
    <cellStyle name="40% - Accent6 2 5 2 3 3" xfId="23812" xr:uid="{00000000-0005-0000-0000-000001910000}"/>
    <cellStyle name="40% - Accent6 2 5 2 3 4" xfId="33537" xr:uid="{00000000-0005-0000-0000-000002910000}"/>
    <cellStyle name="40% - Accent6 2 5 2 3 5" xfId="43262" xr:uid="{00000000-0005-0000-0000-000003910000}"/>
    <cellStyle name="40% - Accent6 2 5 2 3 6" xfId="14087" xr:uid="{00000000-0005-0000-0000-000004910000}"/>
    <cellStyle name="40% - Accent6 2 5 2 4" xfId="5983" xr:uid="{00000000-0005-0000-0000-000005910000}"/>
    <cellStyle name="40% - Accent6 2 5 2 4 2" xfId="25434" xr:uid="{00000000-0005-0000-0000-000006910000}"/>
    <cellStyle name="40% - Accent6 2 5 2 4 3" xfId="35159" xr:uid="{00000000-0005-0000-0000-000007910000}"/>
    <cellStyle name="40% - Accent6 2 5 2 4 4" xfId="44884" xr:uid="{00000000-0005-0000-0000-000008910000}"/>
    <cellStyle name="40% - Accent6 2 5 2 4 5" xfId="15709" xr:uid="{00000000-0005-0000-0000-000009910000}"/>
    <cellStyle name="40% - Accent6 2 5 2 5" xfId="20572" xr:uid="{00000000-0005-0000-0000-00000A910000}"/>
    <cellStyle name="40% - Accent6 2 5 2 6" xfId="30297" xr:uid="{00000000-0005-0000-0000-00000B910000}"/>
    <cellStyle name="40% - Accent6 2 5 2 7" xfId="40022" xr:uid="{00000000-0005-0000-0000-00000C910000}"/>
    <cellStyle name="40% - Accent6 2 5 2 8" xfId="10847" xr:uid="{00000000-0005-0000-0000-00000D910000}"/>
    <cellStyle name="40% - Accent6 2 5 3" xfId="1570" xr:uid="{00000000-0005-0000-0000-00000E910000}"/>
    <cellStyle name="40% - Accent6 2 5 3 2" xfId="3191" xr:uid="{00000000-0005-0000-0000-00000F910000}"/>
    <cellStyle name="40% - Accent6 2 5 3 2 2" xfId="8053" xr:uid="{00000000-0005-0000-0000-000010910000}"/>
    <cellStyle name="40% - Accent6 2 5 3 2 2 2" xfId="27504" xr:uid="{00000000-0005-0000-0000-000011910000}"/>
    <cellStyle name="40% - Accent6 2 5 3 2 2 3" xfId="37229" xr:uid="{00000000-0005-0000-0000-000012910000}"/>
    <cellStyle name="40% - Accent6 2 5 3 2 2 4" xfId="46954" xr:uid="{00000000-0005-0000-0000-000013910000}"/>
    <cellStyle name="40% - Accent6 2 5 3 2 2 5" xfId="17779" xr:uid="{00000000-0005-0000-0000-000014910000}"/>
    <cellStyle name="40% - Accent6 2 5 3 2 3" xfId="22642" xr:uid="{00000000-0005-0000-0000-000015910000}"/>
    <cellStyle name="40% - Accent6 2 5 3 2 4" xfId="32367" xr:uid="{00000000-0005-0000-0000-000016910000}"/>
    <cellStyle name="40% - Accent6 2 5 3 2 5" xfId="42092" xr:uid="{00000000-0005-0000-0000-000017910000}"/>
    <cellStyle name="40% - Accent6 2 5 3 2 6" xfId="12917" xr:uid="{00000000-0005-0000-0000-000018910000}"/>
    <cellStyle name="40% - Accent6 2 5 3 3" xfId="4811" xr:uid="{00000000-0005-0000-0000-000019910000}"/>
    <cellStyle name="40% - Accent6 2 5 3 3 2" xfId="9673" xr:uid="{00000000-0005-0000-0000-00001A910000}"/>
    <cellStyle name="40% - Accent6 2 5 3 3 2 2" xfId="29124" xr:uid="{00000000-0005-0000-0000-00001B910000}"/>
    <cellStyle name="40% - Accent6 2 5 3 3 2 3" xfId="38849" xr:uid="{00000000-0005-0000-0000-00001C910000}"/>
    <cellStyle name="40% - Accent6 2 5 3 3 2 4" xfId="48574" xr:uid="{00000000-0005-0000-0000-00001D910000}"/>
    <cellStyle name="40% - Accent6 2 5 3 3 2 5" xfId="19399" xr:uid="{00000000-0005-0000-0000-00001E910000}"/>
    <cellStyle name="40% - Accent6 2 5 3 3 3" xfId="24262" xr:uid="{00000000-0005-0000-0000-00001F910000}"/>
    <cellStyle name="40% - Accent6 2 5 3 3 4" xfId="33987" xr:uid="{00000000-0005-0000-0000-000020910000}"/>
    <cellStyle name="40% - Accent6 2 5 3 3 5" xfId="43712" xr:uid="{00000000-0005-0000-0000-000021910000}"/>
    <cellStyle name="40% - Accent6 2 5 3 3 6" xfId="14537" xr:uid="{00000000-0005-0000-0000-000022910000}"/>
    <cellStyle name="40% - Accent6 2 5 3 4" xfId="6433" xr:uid="{00000000-0005-0000-0000-000023910000}"/>
    <cellStyle name="40% - Accent6 2 5 3 4 2" xfId="25884" xr:uid="{00000000-0005-0000-0000-000024910000}"/>
    <cellStyle name="40% - Accent6 2 5 3 4 3" xfId="35609" xr:uid="{00000000-0005-0000-0000-000025910000}"/>
    <cellStyle name="40% - Accent6 2 5 3 4 4" xfId="45334" xr:uid="{00000000-0005-0000-0000-000026910000}"/>
    <cellStyle name="40% - Accent6 2 5 3 4 5" xfId="16159" xr:uid="{00000000-0005-0000-0000-000027910000}"/>
    <cellStyle name="40% - Accent6 2 5 3 5" xfId="21022" xr:uid="{00000000-0005-0000-0000-000028910000}"/>
    <cellStyle name="40% - Accent6 2 5 3 6" xfId="30747" xr:uid="{00000000-0005-0000-0000-000029910000}"/>
    <cellStyle name="40% - Accent6 2 5 3 7" xfId="40472" xr:uid="{00000000-0005-0000-0000-00002A910000}"/>
    <cellStyle name="40% - Accent6 2 5 3 8" xfId="11297" xr:uid="{00000000-0005-0000-0000-00002B910000}"/>
    <cellStyle name="40% - Accent6 2 5 4" xfId="741" xr:uid="{00000000-0005-0000-0000-00002C910000}"/>
    <cellStyle name="40% - Accent6 2 5 4 2" xfId="2381" xr:uid="{00000000-0005-0000-0000-00002D910000}"/>
    <cellStyle name="40% - Accent6 2 5 4 2 2" xfId="7243" xr:uid="{00000000-0005-0000-0000-00002E910000}"/>
    <cellStyle name="40% - Accent6 2 5 4 2 2 2" xfId="26694" xr:uid="{00000000-0005-0000-0000-00002F910000}"/>
    <cellStyle name="40% - Accent6 2 5 4 2 2 3" xfId="36419" xr:uid="{00000000-0005-0000-0000-000030910000}"/>
    <cellStyle name="40% - Accent6 2 5 4 2 2 4" xfId="46144" xr:uid="{00000000-0005-0000-0000-000031910000}"/>
    <cellStyle name="40% - Accent6 2 5 4 2 2 5" xfId="16969" xr:uid="{00000000-0005-0000-0000-000032910000}"/>
    <cellStyle name="40% - Accent6 2 5 4 2 3" xfId="21832" xr:uid="{00000000-0005-0000-0000-000033910000}"/>
    <cellStyle name="40% - Accent6 2 5 4 2 4" xfId="31557" xr:uid="{00000000-0005-0000-0000-000034910000}"/>
    <cellStyle name="40% - Accent6 2 5 4 2 5" xfId="41282" xr:uid="{00000000-0005-0000-0000-000035910000}"/>
    <cellStyle name="40% - Accent6 2 5 4 2 6" xfId="12107" xr:uid="{00000000-0005-0000-0000-000036910000}"/>
    <cellStyle name="40% - Accent6 2 5 4 3" xfId="4001" xr:uid="{00000000-0005-0000-0000-000037910000}"/>
    <cellStyle name="40% - Accent6 2 5 4 3 2" xfId="8863" xr:uid="{00000000-0005-0000-0000-000038910000}"/>
    <cellStyle name="40% - Accent6 2 5 4 3 2 2" xfId="28314" xr:uid="{00000000-0005-0000-0000-000039910000}"/>
    <cellStyle name="40% - Accent6 2 5 4 3 2 3" xfId="38039" xr:uid="{00000000-0005-0000-0000-00003A910000}"/>
    <cellStyle name="40% - Accent6 2 5 4 3 2 4" xfId="47764" xr:uid="{00000000-0005-0000-0000-00003B910000}"/>
    <cellStyle name="40% - Accent6 2 5 4 3 2 5" xfId="18589" xr:uid="{00000000-0005-0000-0000-00003C910000}"/>
    <cellStyle name="40% - Accent6 2 5 4 3 3" xfId="23452" xr:uid="{00000000-0005-0000-0000-00003D910000}"/>
    <cellStyle name="40% - Accent6 2 5 4 3 4" xfId="33177" xr:uid="{00000000-0005-0000-0000-00003E910000}"/>
    <cellStyle name="40% - Accent6 2 5 4 3 5" xfId="42902" xr:uid="{00000000-0005-0000-0000-00003F910000}"/>
    <cellStyle name="40% - Accent6 2 5 4 3 6" xfId="13727" xr:uid="{00000000-0005-0000-0000-000040910000}"/>
    <cellStyle name="40% - Accent6 2 5 4 4" xfId="5623" xr:uid="{00000000-0005-0000-0000-000041910000}"/>
    <cellStyle name="40% - Accent6 2 5 4 4 2" xfId="25074" xr:uid="{00000000-0005-0000-0000-000042910000}"/>
    <cellStyle name="40% - Accent6 2 5 4 4 3" xfId="34799" xr:uid="{00000000-0005-0000-0000-000043910000}"/>
    <cellStyle name="40% - Accent6 2 5 4 4 4" xfId="44524" xr:uid="{00000000-0005-0000-0000-000044910000}"/>
    <cellStyle name="40% - Accent6 2 5 4 4 5" xfId="15349" xr:uid="{00000000-0005-0000-0000-000045910000}"/>
    <cellStyle name="40% - Accent6 2 5 4 5" xfId="20212" xr:uid="{00000000-0005-0000-0000-000046910000}"/>
    <cellStyle name="40% - Accent6 2 5 4 6" xfId="29937" xr:uid="{00000000-0005-0000-0000-000047910000}"/>
    <cellStyle name="40% - Accent6 2 5 4 7" xfId="39662" xr:uid="{00000000-0005-0000-0000-000048910000}"/>
    <cellStyle name="40% - Accent6 2 5 4 8" xfId="10487" xr:uid="{00000000-0005-0000-0000-000049910000}"/>
    <cellStyle name="40% - Accent6 2 5 5" xfId="2021" xr:uid="{00000000-0005-0000-0000-00004A910000}"/>
    <cellStyle name="40% - Accent6 2 5 5 2" xfId="6883" xr:uid="{00000000-0005-0000-0000-00004B910000}"/>
    <cellStyle name="40% - Accent6 2 5 5 2 2" xfId="26334" xr:uid="{00000000-0005-0000-0000-00004C910000}"/>
    <cellStyle name="40% - Accent6 2 5 5 2 3" xfId="36059" xr:uid="{00000000-0005-0000-0000-00004D910000}"/>
    <cellStyle name="40% - Accent6 2 5 5 2 4" xfId="45784" xr:uid="{00000000-0005-0000-0000-00004E910000}"/>
    <cellStyle name="40% - Accent6 2 5 5 2 5" xfId="16609" xr:uid="{00000000-0005-0000-0000-00004F910000}"/>
    <cellStyle name="40% - Accent6 2 5 5 3" xfId="21472" xr:uid="{00000000-0005-0000-0000-000050910000}"/>
    <cellStyle name="40% - Accent6 2 5 5 4" xfId="31197" xr:uid="{00000000-0005-0000-0000-000051910000}"/>
    <cellStyle name="40% - Accent6 2 5 5 5" xfId="40922" xr:uid="{00000000-0005-0000-0000-000052910000}"/>
    <cellStyle name="40% - Accent6 2 5 5 6" xfId="11747" xr:uid="{00000000-0005-0000-0000-000053910000}"/>
    <cellStyle name="40% - Accent6 2 5 6" xfId="3641" xr:uid="{00000000-0005-0000-0000-000054910000}"/>
    <cellStyle name="40% - Accent6 2 5 6 2" xfId="8503" xr:uid="{00000000-0005-0000-0000-000055910000}"/>
    <cellStyle name="40% - Accent6 2 5 6 2 2" xfId="27954" xr:uid="{00000000-0005-0000-0000-000056910000}"/>
    <cellStyle name="40% - Accent6 2 5 6 2 3" xfId="37679" xr:uid="{00000000-0005-0000-0000-000057910000}"/>
    <cellStyle name="40% - Accent6 2 5 6 2 4" xfId="47404" xr:uid="{00000000-0005-0000-0000-000058910000}"/>
    <cellStyle name="40% - Accent6 2 5 6 2 5" xfId="18229" xr:uid="{00000000-0005-0000-0000-000059910000}"/>
    <cellStyle name="40% - Accent6 2 5 6 3" xfId="23092" xr:uid="{00000000-0005-0000-0000-00005A910000}"/>
    <cellStyle name="40% - Accent6 2 5 6 4" xfId="32817" xr:uid="{00000000-0005-0000-0000-00005B910000}"/>
    <cellStyle name="40% - Accent6 2 5 6 5" xfId="42542" xr:uid="{00000000-0005-0000-0000-00005C910000}"/>
    <cellStyle name="40% - Accent6 2 5 6 6" xfId="13367" xr:uid="{00000000-0005-0000-0000-00005D910000}"/>
    <cellStyle name="40% - Accent6 2 5 7" xfId="5263" xr:uid="{00000000-0005-0000-0000-00005E910000}"/>
    <cellStyle name="40% - Accent6 2 5 7 2" xfId="24714" xr:uid="{00000000-0005-0000-0000-00005F910000}"/>
    <cellStyle name="40% - Accent6 2 5 7 3" xfId="34439" xr:uid="{00000000-0005-0000-0000-000060910000}"/>
    <cellStyle name="40% - Accent6 2 5 7 4" xfId="44164" xr:uid="{00000000-0005-0000-0000-000061910000}"/>
    <cellStyle name="40% - Accent6 2 5 7 5" xfId="14989" xr:uid="{00000000-0005-0000-0000-000062910000}"/>
    <cellStyle name="40% - Accent6 2 5 8" xfId="19852" xr:uid="{00000000-0005-0000-0000-000063910000}"/>
    <cellStyle name="40% - Accent6 2 5 9" xfId="29577" xr:uid="{00000000-0005-0000-0000-000064910000}"/>
    <cellStyle name="40% - Accent6 2 6" xfId="158" xr:uid="{00000000-0005-0000-0000-000065910000}"/>
    <cellStyle name="40% - Accent6 2 6 10" xfId="39122" xr:uid="{00000000-0005-0000-0000-000066910000}"/>
    <cellStyle name="40% - Accent6 2 6 11" xfId="9947" xr:uid="{00000000-0005-0000-0000-000067910000}"/>
    <cellStyle name="40% - Accent6 2 6 2" xfId="922" xr:uid="{00000000-0005-0000-0000-000068910000}"/>
    <cellStyle name="40% - Accent6 2 6 2 2" xfId="2561" xr:uid="{00000000-0005-0000-0000-000069910000}"/>
    <cellStyle name="40% - Accent6 2 6 2 2 2" xfId="7423" xr:uid="{00000000-0005-0000-0000-00006A910000}"/>
    <cellStyle name="40% - Accent6 2 6 2 2 2 2" xfId="26874" xr:uid="{00000000-0005-0000-0000-00006B910000}"/>
    <cellStyle name="40% - Accent6 2 6 2 2 2 3" xfId="36599" xr:uid="{00000000-0005-0000-0000-00006C910000}"/>
    <cellStyle name="40% - Accent6 2 6 2 2 2 4" xfId="46324" xr:uid="{00000000-0005-0000-0000-00006D910000}"/>
    <cellStyle name="40% - Accent6 2 6 2 2 2 5" xfId="17149" xr:uid="{00000000-0005-0000-0000-00006E910000}"/>
    <cellStyle name="40% - Accent6 2 6 2 2 3" xfId="22012" xr:uid="{00000000-0005-0000-0000-00006F910000}"/>
    <cellStyle name="40% - Accent6 2 6 2 2 4" xfId="31737" xr:uid="{00000000-0005-0000-0000-000070910000}"/>
    <cellStyle name="40% - Accent6 2 6 2 2 5" xfId="41462" xr:uid="{00000000-0005-0000-0000-000071910000}"/>
    <cellStyle name="40% - Accent6 2 6 2 2 6" xfId="12287" xr:uid="{00000000-0005-0000-0000-000072910000}"/>
    <cellStyle name="40% - Accent6 2 6 2 3" xfId="4181" xr:uid="{00000000-0005-0000-0000-000073910000}"/>
    <cellStyle name="40% - Accent6 2 6 2 3 2" xfId="9043" xr:uid="{00000000-0005-0000-0000-000074910000}"/>
    <cellStyle name="40% - Accent6 2 6 2 3 2 2" xfId="28494" xr:uid="{00000000-0005-0000-0000-000075910000}"/>
    <cellStyle name="40% - Accent6 2 6 2 3 2 3" xfId="38219" xr:uid="{00000000-0005-0000-0000-000076910000}"/>
    <cellStyle name="40% - Accent6 2 6 2 3 2 4" xfId="47944" xr:uid="{00000000-0005-0000-0000-000077910000}"/>
    <cellStyle name="40% - Accent6 2 6 2 3 2 5" xfId="18769" xr:uid="{00000000-0005-0000-0000-000078910000}"/>
    <cellStyle name="40% - Accent6 2 6 2 3 3" xfId="23632" xr:uid="{00000000-0005-0000-0000-000079910000}"/>
    <cellStyle name="40% - Accent6 2 6 2 3 4" xfId="33357" xr:uid="{00000000-0005-0000-0000-00007A910000}"/>
    <cellStyle name="40% - Accent6 2 6 2 3 5" xfId="43082" xr:uid="{00000000-0005-0000-0000-00007B910000}"/>
    <cellStyle name="40% - Accent6 2 6 2 3 6" xfId="13907" xr:uid="{00000000-0005-0000-0000-00007C910000}"/>
    <cellStyle name="40% - Accent6 2 6 2 4" xfId="5803" xr:uid="{00000000-0005-0000-0000-00007D910000}"/>
    <cellStyle name="40% - Accent6 2 6 2 4 2" xfId="25254" xr:uid="{00000000-0005-0000-0000-00007E910000}"/>
    <cellStyle name="40% - Accent6 2 6 2 4 3" xfId="34979" xr:uid="{00000000-0005-0000-0000-00007F910000}"/>
    <cellStyle name="40% - Accent6 2 6 2 4 4" xfId="44704" xr:uid="{00000000-0005-0000-0000-000080910000}"/>
    <cellStyle name="40% - Accent6 2 6 2 4 5" xfId="15529" xr:uid="{00000000-0005-0000-0000-000081910000}"/>
    <cellStyle name="40% - Accent6 2 6 2 5" xfId="20392" xr:uid="{00000000-0005-0000-0000-000082910000}"/>
    <cellStyle name="40% - Accent6 2 6 2 6" xfId="30117" xr:uid="{00000000-0005-0000-0000-000083910000}"/>
    <cellStyle name="40% - Accent6 2 6 2 7" xfId="39842" xr:uid="{00000000-0005-0000-0000-000084910000}"/>
    <cellStyle name="40% - Accent6 2 6 2 8" xfId="10667" xr:uid="{00000000-0005-0000-0000-000085910000}"/>
    <cellStyle name="40% - Accent6 2 6 3" xfId="1390" xr:uid="{00000000-0005-0000-0000-000086910000}"/>
    <cellStyle name="40% - Accent6 2 6 3 2" xfId="3011" xr:uid="{00000000-0005-0000-0000-000087910000}"/>
    <cellStyle name="40% - Accent6 2 6 3 2 2" xfId="7873" xr:uid="{00000000-0005-0000-0000-000088910000}"/>
    <cellStyle name="40% - Accent6 2 6 3 2 2 2" xfId="27324" xr:uid="{00000000-0005-0000-0000-000089910000}"/>
    <cellStyle name="40% - Accent6 2 6 3 2 2 3" xfId="37049" xr:uid="{00000000-0005-0000-0000-00008A910000}"/>
    <cellStyle name="40% - Accent6 2 6 3 2 2 4" xfId="46774" xr:uid="{00000000-0005-0000-0000-00008B910000}"/>
    <cellStyle name="40% - Accent6 2 6 3 2 2 5" xfId="17599" xr:uid="{00000000-0005-0000-0000-00008C910000}"/>
    <cellStyle name="40% - Accent6 2 6 3 2 3" xfId="22462" xr:uid="{00000000-0005-0000-0000-00008D910000}"/>
    <cellStyle name="40% - Accent6 2 6 3 2 4" xfId="32187" xr:uid="{00000000-0005-0000-0000-00008E910000}"/>
    <cellStyle name="40% - Accent6 2 6 3 2 5" xfId="41912" xr:uid="{00000000-0005-0000-0000-00008F910000}"/>
    <cellStyle name="40% - Accent6 2 6 3 2 6" xfId="12737" xr:uid="{00000000-0005-0000-0000-000090910000}"/>
    <cellStyle name="40% - Accent6 2 6 3 3" xfId="4631" xr:uid="{00000000-0005-0000-0000-000091910000}"/>
    <cellStyle name="40% - Accent6 2 6 3 3 2" xfId="9493" xr:uid="{00000000-0005-0000-0000-000092910000}"/>
    <cellStyle name="40% - Accent6 2 6 3 3 2 2" xfId="28944" xr:uid="{00000000-0005-0000-0000-000093910000}"/>
    <cellStyle name="40% - Accent6 2 6 3 3 2 3" xfId="38669" xr:uid="{00000000-0005-0000-0000-000094910000}"/>
    <cellStyle name="40% - Accent6 2 6 3 3 2 4" xfId="48394" xr:uid="{00000000-0005-0000-0000-000095910000}"/>
    <cellStyle name="40% - Accent6 2 6 3 3 2 5" xfId="19219" xr:uid="{00000000-0005-0000-0000-000096910000}"/>
    <cellStyle name="40% - Accent6 2 6 3 3 3" xfId="24082" xr:uid="{00000000-0005-0000-0000-000097910000}"/>
    <cellStyle name="40% - Accent6 2 6 3 3 4" xfId="33807" xr:uid="{00000000-0005-0000-0000-000098910000}"/>
    <cellStyle name="40% - Accent6 2 6 3 3 5" xfId="43532" xr:uid="{00000000-0005-0000-0000-000099910000}"/>
    <cellStyle name="40% - Accent6 2 6 3 3 6" xfId="14357" xr:uid="{00000000-0005-0000-0000-00009A910000}"/>
    <cellStyle name="40% - Accent6 2 6 3 4" xfId="6253" xr:uid="{00000000-0005-0000-0000-00009B910000}"/>
    <cellStyle name="40% - Accent6 2 6 3 4 2" xfId="25704" xr:uid="{00000000-0005-0000-0000-00009C910000}"/>
    <cellStyle name="40% - Accent6 2 6 3 4 3" xfId="35429" xr:uid="{00000000-0005-0000-0000-00009D910000}"/>
    <cellStyle name="40% - Accent6 2 6 3 4 4" xfId="45154" xr:uid="{00000000-0005-0000-0000-00009E910000}"/>
    <cellStyle name="40% - Accent6 2 6 3 4 5" xfId="15979" xr:uid="{00000000-0005-0000-0000-00009F910000}"/>
    <cellStyle name="40% - Accent6 2 6 3 5" xfId="20842" xr:uid="{00000000-0005-0000-0000-0000A0910000}"/>
    <cellStyle name="40% - Accent6 2 6 3 6" xfId="30567" xr:uid="{00000000-0005-0000-0000-0000A1910000}"/>
    <cellStyle name="40% - Accent6 2 6 3 7" xfId="40292" xr:uid="{00000000-0005-0000-0000-0000A2910000}"/>
    <cellStyle name="40% - Accent6 2 6 3 8" xfId="11117" xr:uid="{00000000-0005-0000-0000-0000A3910000}"/>
    <cellStyle name="40% - Accent6 2 6 4" xfId="561" xr:uid="{00000000-0005-0000-0000-0000A4910000}"/>
    <cellStyle name="40% - Accent6 2 6 4 2" xfId="2201" xr:uid="{00000000-0005-0000-0000-0000A5910000}"/>
    <cellStyle name="40% - Accent6 2 6 4 2 2" xfId="7063" xr:uid="{00000000-0005-0000-0000-0000A6910000}"/>
    <cellStyle name="40% - Accent6 2 6 4 2 2 2" xfId="26514" xr:uid="{00000000-0005-0000-0000-0000A7910000}"/>
    <cellStyle name="40% - Accent6 2 6 4 2 2 3" xfId="36239" xr:uid="{00000000-0005-0000-0000-0000A8910000}"/>
    <cellStyle name="40% - Accent6 2 6 4 2 2 4" xfId="45964" xr:uid="{00000000-0005-0000-0000-0000A9910000}"/>
    <cellStyle name="40% - Accent6 2 6 4 2 2 5" xfId="16789" xr:uid="{00000000-0005-0000-0000-0000AA910000}"/>
    <cellStyle name="40% - Accent6 2 6 4 2 3" xfId="21652" xr:uid="{00000000-0005-0000-0000-0000AB910000}"/>
    <cellStyle name="40% - Accent6 2 6 4 2 4" xfId="31377" xr:uid="{00000000-0005-0000-0000-0000AC910000}"/>
    <cellStyle name="40% - Accent6 2 6 4 2 5" xfId="41102" xr:uid="{00000000-0005-0000-0000-0000AD910000}"/>
    <cellStyle name="40% - Accent6 2 6 4 2 6" xfId="11927" xr:uid="{00000000-0005-0000-0000-0000AE910000}"/>
    <cellStyle name="40% - Accent6 2 6 4 3" xfId="3821" xr:uid="{00000000-0005-0000-0000-0000AF910000}"/>
    <cellStyle name="40% - Accent6 2 6 4 3 2" xfId="8683" xr:uid="{00000000-0005-0000-0000-0000B0910000}"/>
    <cellStyle name="40% - Accent6 2 6 4 3 2 2" xfId="28134" xr:uid="{00000000-0005-0000-0000-0000B1910000}"/>
    <cellStyle name="40% - Accent6 2 6 4 3 2 3" xfId="37859" xr:uid="{00000000-0005-0000-0000-0000B2910000}"/>
    <cellStyle name="40% - Accent6 2 6 4 3 2 4" xfId="47584" xr:uid="{00000000-0005-0000-0000-0000B3910000}"/>
    <cellStyle name="40% - Accent6 2 6 4 3 2 5" xfId="18409" xr:uid="{00000000-0005-0000-0000-0000B4910000}"/>
    <cellStyle name="40% - Accent6 2 6 4 3 3" xfId="23272" xr:uid="{00000000-0005-0000-0000-0000B5910000}"/>
    <cellStyle name="40% - Accent6 2 6 4 3 4" xfId="32997" xr:uid="{00000000-0005-0000-0000-0000B6910000}"/>
    <cellStyle name="40% - Accent6 2 6 4 3 5" xfId="42722" xr:uid="{00000000-0005-0000-0000-0000B7910000}"/>
    <cellStyle name="40% - Accent6 2 6 4 3 6" xfId="13547" xr:uid="{00000000-0005-0000-0000-0000B8910000}"/>
    <cellStyle name="40% - Accent6 2 6 4 4" xfId="5443" xr:uid="{00000000-0005-0000-0000-0000B9910000}"/>
    <cellStyle name="40% - Accent6 2 6 4 4 2" xfId="24894" xr:uid="{00000000-0005-0000-0000-0000BA910000}"/>
    <cellStyle name="40% - Accent6 2 6 4 4 3" xfId="34619" xr:uid="{00000000-0005-0000-0000-0000BB910000}"/>
    <cellStyle name="40% - Accent6 2 6 4 4 4" xfId="44344" xr:uid="{00000000-0005-0000-0000-0000BC910000}"/>
    <cellStyle name="40% - Accent6 2 6 4 4 5" xfId="15169" xr:uid="{00000000-0005-0000-0000-0000BD910000}"/>
    <cellStyle name="40% - Accent6 2 6 4 5" xfId="20032" xr:uid="{00000000-0005-0000-0000-0000BE910000}"/>
    <cellStyle name="40% - Accent6 2 6 4 6" xfId="29757" xr:uid="{00000000-0005-0000-0000-0000BF910000}"/>
    <cellStyle name="40% - Accent6 2 6 4 7" xfId="39482" xr:uid="{00000000-0005-0000-0000-0000C0910000}"/>
    <cellStyle name="40% - Accent6 2 6 4 8" xfId="10307" xr:uid="{00000000-0005-0000-0000-0000C1910000}"/>
    <cellStyle name="40% - Accent6 2 6 5" xfId="1841" xr:uid="{00000000-0005-0000-0000-0000C2910000}"/>
    <cellStyle name="40% - Accent6 2 6 5 2" xfId="6703" xr:uid="{00000000-0005-0000-0000-0000C3910000}"/>
    <cellStyle name="40% - Accent6 2 6 5 2 2" xfId="26154" xr:uid="{00000000-0005-0000-0000-0000C4910000}"/>
    <cellStyle name="40% - Accent6 2 6 5 2 3" xfId="35879" xr:uid="{00000000-0005-0000-0000-0000C5910000}"/>
    <cellStyle name="40% - Accent6 2 6 5 2 4" xfId="45604" xr:uid="{00000000-0005-0000-0000-0000C6910000}"/>
    <cellStyle name="40% - Accent6 2 6 5 2 5" xfId="16429" xr:uid="{00000000-0005-0000-0000-0000C7910000}"/>
    <cellStyle name="40% - Accent6 2 6 5 3" xfId="21292" xr:uid="{00000000-0005-0000-0000-0000C8910000}"/>
    <cellStyle name="40% - Accent6 2 6 5 4" xfId="31017" xr:uid="{00000000-0005-0000-0000-0000C9910000}"/>
    <cellStyle name="40% - Accent6 2 6 5 5" xfId="40742" xr:uid="{00000000-0005-0000-0000-0000CA910000}"/>
    <cellStyle name="40% - Accent6 2 6 5 6" xfId="11567" xr:uid="{00000000-0005-0000-0000-0000CB910000}"/>
    <cellStyle name="40% - Accent6 2 6 6" xfId="3461" xr:uid="{00000000-0005-0000-0000-0000CC910000}"/>
    <cellStyle name="40% - Accent6 2 6 6 2" xfId="8323" xr:uid="{00000000-0005-0000-0000-0000CD910000}"/>
    <cellStyle name="40% - Accent6 2 6 6 2 2" xfId="27774" xr:uid="{00000000-0005-0000-0000-0000CE910000}"/>
    <cellStyle name="40% - Accent6 2 6 6 2 3" xfId="37499" xr:uid="{00000000-0005-0000-0000-0000CF910000}"/>
    <cellStyle name="40% - Accent6 2 6 6 2 4" xfId="47224" xr:uid="{00000000-0005-0000-0000-0000D0910000}"/>
    <cellStyle name="40% - Accent6 2 6 6 2 5" xfId="18049" xr:uid="{00000000-0005-0000-0000-0000D1910000}"/>
    <cellStyle name="40% - Accent6 2 6 6 3" xfId="22912" xr:uid="{00000000-0005-0000-0000-0000D2910000}"/>
    <cellStyle name="40% - Accent6 2 6 6 4" xfId="32637" xr:uid="{00000000-0005-0000-0000-0000D3910000}"/>
    <cellStyle name="40% - Accent6 2 6 6 5" xfId="42362" xr:uid="{00000000-0005-0000-0000-0000D4910000}"/>
    <cellStyle name="40% - Accent6 2 6 6 6" xfId="13187" xr:uid="{00000000-0005-0000-0000-0000D5910000}"/>
    <cellStyle name="40% - Accent6 2 6 7" xfId="5083" xr:uid="{00000000-0005-0000-0000-0000D6910000}"/>
    <cellStyle name="40% - Accent6 2 6 7 2" xfId="24534" xr:uid="{00000000-0005-0000-0000-0000D7910000}"/>
    <cellStyle name="40% - Accent6 2 6 7 3" xfId="34259" xr:uid="{00000000-0005-0000-0000-0000D8910000}"/>
    <cellStyle name="40% - Accent6 2 6 7 4" xfId="43984" xr:uid="{00000000-0005-0000-0000-0000D9910000}"/>
    <cellStyle name="40% - Accent6 2 6 7 5" xfId="14809" xr:uid="{00000000-0005-0000-0000-0000DA910000}"/>
    <cellStyle name="40% - Accent6 2 6 8" xfId="19672" xr:uid="{00000000-0005-0000-0000-0000DB910000}"/>
    <cellStyle name="40% - Accent6 2 6 9" xfId="29397" xr:uid="{00000000-0005-0000-0000-0000DC910000}"/>
    <cellStyle name="40% - Accent6 2 7" xfId="832" xr:uid="{00000000-0005-0000-0000-0000DD910000}"/>
    <cellStyle name="40% - Accent6 2 7 2" xfId="2471" xr:uid="{00000000-0005-0000-0000-0000DE910000}"/>
    <cellStyle name="40% - Accent6 2 7 2 2" xfId="7333" xr:uid="{00000000-0005-0000-0000-0000DF910000}"/>
    <cellStyle name="40% - Accent6 2 7 2 2 2" xfId="26784" xr:uid="{00000000-0005-0000-0000-0000E0910000}"/>
    <cellStyle name="40% - Accent6 2 7 2 2 3" xfId="36509" xr:uid="{00000000-0005-0000-0000-0000E1910000}"/>
    <cellStyle name="40% - Accent6 2 7 2 2 4" xfId="46234" xr:uid="{00000000-0005-0000-0000-0000E2910000}"/>
    <cellStyle name="40% - Accent6 2 7 2 2 5" xfId="17059" xr:uid="{00000000-0005-0000-0000-0000E3910000}"/>
    <cellStyle name="40% - Accent6 2 7 2 3" xfId="21922" xr:uid="{00000000-0005-0000-0000-0000E4910000}"/>
    <cellStyle name="40% - Accent6 2 7 2 4" xfId="31647" xr:uid="{00000000-0005-0000-0000-0000E5910000}"/>
    <cellStyle name="40% - Accent6 2 7 2 5" xfId="41372" xr:uid="{00000000-0005-0000-0000-0000E6910000}"/>
    <cellStyle name="40% - Accent6 2 7 2 6" xfId="12197" xr:uid="{00000000-0005-0000-0000-0000E7910000}"/>
    <cellStyle name="40% - Accent6 2 7 3" xfId="4091" xr:uid="{00000000-0005-0000-0000-0000E8910000}"/>
    <cellStyle name="40% - Accent6 2 7 3 2" xfId="8953" xr:uid="{00000000-0005-0000-0000-0000E9910000}"/>
    <cellStyle name="40% - Accent6 2 7 3 2 2" xfId="28404" xr:uid="{00000000-0005-0000-0000-0000EA910000}"/>
    <cellStyle name="40% - Accent6 2 7 3 2 3" xfId="38129" xr:uid="{00000000-0005-0000-0000-0000EB910000}"/>
    <cellStyle name="40% - Accent6 2 7 3 2 4" xfId="47854" xr:uid="{00000000-0005-0000-0000-0000EC910000}"/>
    <cellStyle name="40% - Accent6 2 7 3 2 5" xfId="18679" xr:uid="{00000000-0005-0000-0000-0000ED910000}"/>
    <cellStyle name="40% - Accent6 2 7 3 3" xfId="23542" xr:uid="{00000000-0005-0000-0000-0000EE910000}"/>
    <cellStyle name="40% - Accent6 2 7 3 4" xfId="33267" xr:uid="{00000000-0005-0000-0000-0000EF910000}"/>
    <cellStyle name="40% - Accent6 2 7 3 5" xfId="42992" xr:uid="{00000000-0005-0000-0000-0000F0910000}"/>
    <cellStyle name="40% - Accent6 2 7 3 6" xfId="13817" xr:uid="{00000000-0005-0000-0000-0000F1910000}"/>
    <cellStyle name="40% - Accent6 2 7 4" xfId="5713" xr:uid="{00000000-0005-0000-0000-0000F2910000}"/>
    <cellStyle name="40% - Accent6 2 7 4 2" xfId="25164" xr:uid="{00000000-0005-0000-0000-0000F3910000}"/>
    <cellStyle name="40% - Accent6 2 7 4 3" xfId="34889" xr:uid="{00000000-0005-0000-0000-0000F4910000}"/>
    <cellStyle name="40% - Accent6 2 7 4 4" xfId="44614" xr:uid="{00000000-0005-0000-0000-0000F5910000}"/>
    <cellStyle name="40% - Accent6 2 7 4 5" xfId="15439" xr:uid="{00000000-0005-0000-0000-0000F6910000}"/>
    <cellStyle name="40% - Accent6 2 7 5" xfId="20302" xr:uid="{00000000-0005-0000-0000-0000F7910000}"/>
    <cellStyle name="40% - Accent6 2 7 6" xfId="30027" xr:uid="{00000000-0005-0000-0000-0000F8910000}"/>
    <cellStyle name="40% - Accent6 2 7 7" xfId="39752" xr:uid="{00000000-0005-0000-0000-0000F9910000}"/>
    <cellStyle name="40% - Accent6 2 7 8" xfId="10577" xr:uid="{00000000-0005-0000-0000-0000FA910000}"/>
    <cellStyle name="40% - Accent6 2 8" xfId="1210" xr:uid="{00000000-0005-0000-0000-0000FB910000}"/>
    <cellStyle name="40% - Accent6 2 8 2" xfId="2831" xr:uid="{00000000-0005-0000-0000-0000FC910000}"/>
    <cellStyle name="40% - Accent6 2 8 2 2" xfId="7693" xr:uid="{00000000-0005-0000-0000-0000FD910000}"/>
    <cellStyle name="40% - Accent6 2 8 2 2 2" xfId="27144" xr:uid="{00000000-0005-0000-0000-0000FE910000}"/>
    <cellStyle name="40% - Accent6 2 8 2 2 3" xfId="36869" xr:uid="{00000000-0005-0000-0000-0000FF910000}"/>
    <cellStyle name="40% - Accent6 2 8 2 2 4" xfId="46594" xr:uid="{00000000-0005-0000-0000-000000920000}"/>
    <cellStyle name="40% - Accent6 2 8 2 2 5" xfId="17419" xr:uid="{00000000-0005-0000-0000-000001920000}"/>
    <cellStyle name="40% - Accent6 2 8 2 3" xfId="22282" xr:uid="{00000000-0005-0000-0000-000002920000}"/>
    <cellStyle name="40% - Accent6 2 8 2 4" xfId="32007" xr:uid="{00000000-0005-0000-0000-000003920000}"/>
    <cellStyle name="40% - Accent6 2 8 2 5" xfId="41732" xr:uid="{00000000-0005-0000-0000-000004920000}"/>
    <cellStyle name="40% - Accent6 2 8 2 6" xfId="12557" xr:uid="{00000000-0005-0000-0000-000005920000}"/>
    <cellStyle name="40% - Accent6 2 8 3" xfId="4451" xr:uid="{00000000-0005-0000-0000-000006920000}"/>
    <cellStyle name="40% - Accent6 2 8 3 2" xfId="9313" xr:uid="{00000000-0005-0000-0000-000007920000}"/>
    <cellStyle name="40% - Accent6 2 8 3 2 2" xfId="28764" xr:uid="{00000000-0005-0000-0000-000008920000}"/>
    <cellStyle name="40% - Accent6 2 8 3 2 3" xfId="38489" xr:uid="{00000000-0005-0000-0000-000009920000}"/>
    <cellStyle name="40% - Accent6 2 8 3 2 4" xfId="48214" xr:uid="{00000000-0005-0000-0000-00000A920000}"/>
    <cellStyle name="40% - Accent6 2 8 3 2 5" xfId="19039" xr:uid="{00000000-0005-0000-0000-00000B920000}"/>
    <cellStyle name="40% - Accent6 2 8 3 3" xfId="23902" xr:uid="{00000000-0005-0000-0000-00000C920000}"/>
    <cellStyle name="40% - Accent6 2 8 3 4" xfId="33627" xr:uid="{00000000-0005-0000-0000-00000D920000}"/>
    <cellStyle name="40% - Accent6 2 8 3 5" xfId="43352" xr:uid="{00000000-0005-0000-0000-00000E920000}"/>
    <cellStyle name="40% - Accent6 2 8 3 6" xfId="14177" xr:uid="{00000000-0005-0000-0000-00000F920000}"/>
    <cellStyle name="40% - Accent6 2 8 4" xfId="6073" xr:uid="{00000000-0005-0000-0000-000010920000}"/>
    <cellStyle name="40% - Accent6 2 8 4 2" xfId="25524" xr:uid="{00000000-0005-0000-0000-000011920000}"/>
    <cellStyle name="40% - Accent6 2 8 4 3" xfId="35249" xr:uid="{00000000-0005-0000-0000-000012920000}"/>
    <cellStyle name="40% - Accent6 2 8 4 4" xfId="44974" xr:uid="{00000000-0005-0000-0000-000013920000}"/>
    <cellStyle name="40% - Accent6 2 8 4 5" xfId="15799" xr:uid="{00000000-0005-0000-0000-000014920000}"/>
    <cellStyle name="40% - Accent6 2 8 5" xfId="20662" xr:uid="{00000000-0005-0000-0000-000015920000}"/>
    <cellStyle name="40% - Accent6 2 8 6" xfId="30387" xr:uid="{00000000-0005-0000-0000-000016920000}"/>
    <cellStyle name="40% - Accent6 2 8 7" xfId="40112" xr:uid="{00000000-0005-0000-0000-000017920000}"/>
    <cellStyle name="40% - Accent6 2 8 8" xfId="10937" xr:uid="{00000000-0005-0000-0000-000018920000}"/>
    <cellStyle name="40% - Accent6 2 9" xfId="1300" xr:uid="{00000000-0005-0000-0000-000019920000}"/>
    <cellStyle name="40% - Accent6 2 9 2" xfId="2921" xr:uid="{00000000-0005-0000-0000-00001A920000}"/>
    <cellStyle name="40% - Accent6 2 9 2 2" xfId="7783" xr:uid="{00000000-0005-0000-0000-00001B920000}"/>
    <cellStyle name="40% - Accent6 2 9 2 2 2" xfId="27234" xr:uid="{00000000-0005-0000-0000-00001C920000}"/>
    <cellStyle name="40% - Accent6 2 9 2 2 3" xfId="36959" xr:uid="{00000000-0005-0000-0000-00001D920000}"/>
    <cellStyle name="40% - Accent6 2 9 2 2 4" xfId="46684" xr:uid="{00000000-0005-0000-0000-00001E920000}"/>
    <cellStyle name="40% - Accent6 2 9 2 2 5" xfId="17509" xr:uid="{00000000-0005-0000-0000-00001F920000}"/>
    <cellStyle name="40% - Accent6 2 9 2 3" xfId="22372" xr:uid="{00000000-0005-0000-0000-000020920000}"/>
    <cellStyle name="40% - Accent6 2 9 2 4" xfId="32097" xr:uid="{00000000-0005-0000-0000-000021920000}"/>
    <cellStyle name="40% - Accent6 2 9 2 5" xfId="41822" xr:uid="{00000000-0005-0000-0000-000022920000}"/>
    <cellStyle name="40% - Accent6 2 9 2 6" xfId="12647" xr:uid="{00000000-0005-0000-0000-000023920000}"/>
    <cellStyle name="40% - Accent6 2 9 3" xfId="4541" xr:uid="{00000000-0005-0000-0000-000024920000}"/>
    <cellStyle name="40% - Accent6 2 9 3 2" xfId="9403" xr:uid="{00000000-0005-0000-0000-000025920000}"/>
    <cellStyle name="40% - Accent6 2 9 3 2 2" xfId="28854" xr:uid="{00000000-0005-0000-0000-000026920000}"/>
    <cellStyle name="40% - Accent6 2 9 3 2 3" xfId="38579" xr:uid="{00000000-0005-0000-0000-000027920000}"/>
    <cellStyle name="40% - Accent6 2 9 3 2 4" xfId="48304" xr:uid="{00000000-0005-0000-0000-000028920000}"/>
    <cellStyle name="40% - Accent6 2 9 3 2 5" xfId="19129" xr:uid="{00000000-0005-0000-0000-000029920000}"/>
    <cellStyle name="40% - Accent6 2 9 3 3" xfId="23992" xr:uid="{00000000-0005-0000-0000-00002A920000}"/>
    <cellStyle name="40% - Accent6 2 9 3 4" xfId="33717" xr:uid="{00000000-0005-0000-0000-00002B920000}"/>
    <cellStyle name="40% - Accent6 2 9 3 5" xfId="43442" xr:uid="{00000000-0005-0000-0000-00002C920000}"/>
    <cellStyle name="40% - Accent6 2 9 3 6" xfId="14267" xr:uid="{00000000-0005-0000-0000-00002D920000}"/>
    <cellStyle name="40% - Accent6 2 9 4" xfId="6163" xr:uid="{00000000-0005-0000-0000-00002E920000}"/>
    <cellStyle name="40% - Accent6 2 9 4 2" xfId="25614" xr:uid="{00000000-0005-0000-0000-00002F920000}"/>
    <cellStyle name="40% - Accent6 2 9 4 3" xfId="35339" xr:uid="{00000000-0005-0000-0000-000030920000}"/>
    <cellStyle name="40% - Accent6 2 9 4 4" xfId="45064" xr:uid="{00000000-0005-0000-0000-000031920000}"/>
    <cellStyle name="40% - Accent6 2 9 4 5" xfId="15889" xr:uid="{00000000-0005-0000-0000-000032920000}"/>
    <cellStyle name="40% - Accent6 2 9 5" xfId="20752" xr:uid="{00000000-0005-0000-0000-000033920000}"/>
    <cellStyle name="40% - Accent6 2 9 6" xfId="30477" xr:uid="{00000000-0005-0000-0000-000034920000}"/>
    <cellStyle name="40% - Accent6 2 9 7" xfId="40202" xr:uid="{00000000-0005-0000-0000-000035920000}"/>
    <cellStyle name="40% - Accent6 2 9 8" xfId="11027" xr:uid="{00000000-0005-0000-0000-000036920000}"/>
    <cellStyle name="40% - Accent6 2_Database (All)" xfId="1181" xr:uid="{00000000-0005-0000-0000-000037920000}"/>
    <cellStyle name="40% - Accent6 20" xfId="9843" xr:uid="{00000000-0005-0000-0000-000038920000}"/>
    <cellStyle name="40% - Accent6 3" xfId="83" xr:uid="{00000000-0005-0000-0000-000039920000}"/>
    <cellStyle name="40% - Accent6 3 10" xfId="1767" xr:uid="{00000000-0005-0000-0000-00003A920000}"/>
    <cellStyle name="40% - Accent6 3 10 2" xfId="6629" xr:uid="{00000000-0005-0000-0000-00003B920000}"/>
    <cellStyle name="40% - Accent6 3 10 2 2" xfId="26080" xr:uid="{00000000-0005-0000-0000-00003C920000}"/>
    <cellStyle name="40% - Accent6 3 10 2 3" xfId="35805" xr:uid="{00000000-0005-0000-0000-00003D920000}"/>
    <cellStyle name="40% - Accent6 3 10 2 4" xfId="45530" xr:uid="{00000000-0005-0000-0000-00003E920000}"/>
    <cellStyle name="40% - Accent6 3 10 2 5" xfId="16355" xr:uid="{00000000-0005-0000-0000-00003F920000}"/>
    <cellStyle name="40% - Accent6 3 10 3" xfId="21218" xr:uid="{00000000-0005-0000-0000-000040920000}"/>
    <cellStyle name="40% - Accent6 3 10 4" xfId="30943" xr:uid="{00000000-0005-0000-0000-000041920000}"/>
    <cellStyle name="40% - Accent6 3 10 5" xfId="40668" xr:uid="{00000000-0005-0000-0000-000042920000}"/>
    <cellStyle name="40% - Accent6 3 10 6" xfId="11493" xr:uid="{00000000-0005-0000-0000-000043920000}"/>
    <cellStyle name="40% - Accent6 3 11" xfId="3387" xr:uid="{00000000-0005-0000-0000-000044920000}"/>
    <cellStyle name="40% - Accent6 3 11 2" xfId="8249" xr:uid="{00000000-0005-0000-0000-000045920000}"/>
    <cellStyle name="40% - Accent6 3 11 2 2" xfId="27700" xr:uid="{00000000-0005-0000-0000-000046920000}"/>
    <cellStyle name="40% - Accent6 3 11 2 3" xfId="37425" xr:uid="{00000000-0005-0000-0000-000047920000}"/>
    <cellStyle name="40% - Accent6 3 11 2 4" xfId="47150" xr:uid="{00000000-0005-0000-0000-000048920000}"/>
    <cellStyle name="40% - Accent6 3 11 2 5" xfId="17975" xr:uid="{00000000-0005-0000-0000-000049920000}"/>
    <cellStyle name="40% - Accent6 3 11 3" xfId="22838" xr:uid="{00000000-0005-0000-0000-00004A920000}"/>
    <cellStyle name="40% - Accent6 3 11 4" xfId="32563" xr:uid="{00000000-0005-0000-0000-00004B920000}"/>
    <cellStyle name="40% - Accent6 3 11 5" xfId="42288" xr:uid="{00000000-0005-0000-0000-00004C920000}"/>
    <cellStyle name="40% - Accent6 3 11 6" xfId="13113" xr:uid="{00000000-0005-0000-0000-00004D920000}"/>
    <cellStyle name="40% - Accent6 3 12" xfId="5009" xr:uid="{00000000-0005-0000-0000-00004E920000}"/>
    <cellStyle name="40% - Accent6 3 12 2" xfId="24460" xr:uid="{00000000-0005-0000-0000-00004F920000}"/>
    <cellStyle name="40% - Accent6 3 12 3" xfId="34185" xr:uid="{00000000-0005-0000-0000-000050920000}"/>
    <cellStyle name="40% - Accent6 3 12 4" xfId="43910" xr:uid="{00000000-0005-0000-0000-000051920000}"/>
    <cellStyle name="40% - Accent6 3 12 5" xfId="14735" xr:uid="{00000000-0005-0000-0000-000052920000}"/>
    <cellStyle name="40% - Accent6 3 13" xfId="19598" xr:uid="{00000000-0005-0000-0000-000053920000}"/>
    <cellStyle name="40% - Accent6 3 14" xfId="29323" xr:uid="{00000000-0005-0000-0000-000054920000}"/>
    <cellStyle name="40% - Accent6 3 15" xfId="39048" xr:uid="{00000000-0005-0000-0000-000055920000}"/>
    <cellStyle name="40% - Accent6 3 16" xfId="9873" xr:uid="{00000000-0005-0000-0000-000056920000}"/>
    <cellStyle name="40% - Accent6 3 2" xfId="265" xr:uid="{00000000-0005-0000-0000-000057920000}"/>
    <cellStyle name="40% - Accent6 3 2 10" xfId="39228" xr:uid="{00000000-0005-0000-0000-000058920000}"/>
    <cellStyle name="40% - Accent6 3 2 11" xfId="10053" xr:uid="{00000000-0005-0000-0000-000059920000}"/>
    <cellStyle name="40% - Accent6 3 2 2" xfId="1029" xr:uid="{00000000-0005-0000-0000-00005A920000}"/>
    <cellStyle name="40% - Accent6 3 2 2 2" xfId="2667" xr:uid="{00000000-0005-0000-0000-00005B920000}"/>
    <cellStyle name="40% - Accent6 3 2 2 2 2" xfId="7529" xr:uid="{00000000-0005-0000-0000-00005C920000}"/>
    <cellStyle name="40% - Accent6 3 2 2 2 2 2" xfId="26980" xr:uid="{00000000-0005-0000-0000-00005D920000}"/>
    <cellStyle name="40% - Accent6 3 2 2 2 2 3" xfId="36705" xr:uid="{00000000-0005-0000-0000-00005E920000}"/>
    <cellStyle name="40% - Accent6 3 2 2 2 2 4" xfId="46430" xr:uid="{00000000-0005-0000-0000-00005F920000}"/>
    <cellStyle name="40% - Accent6 3 2 2 2 2 5" xfId="17255" xr:uid="{00000000-0005-0000-0000-000060920000}"/>
    <cellStyle name="40% - Accent6 3 2 2 2 3" xfId="22118" xr:uid="{00000000-0005-0000-0000-000061920000}"/>
    <cellStyle name="40% - Accent6 3 2 2 2 4" xfId="31843" xr:uid="{00000000-0005-0000-0000-000062920000}"/>
    <cellStyle name="40% - Accent6 3 2 2 2 5" xfId="41568" xr:uid="{00000000-0005-0000-0000-000063920000}"/>
    <cellStyle name="40% - Accent6 3 2 2 2 6" xfId="12393" xr:uid="{00000000-0005-0000-0000-000064920000}"/>
    <cellStyle name="40% - Accent6 3 2 2 3" xfId="4287" xr:uid="{00000000-0005-0000-0000-000065920000}"/>
    <cellStyle name="40% - Accent6 3 2 2 3 2" xfId="9149" xr:uid="{00000000-0005-0000-0000-000066920000}"/>
    <cellStyle name="40% - Accent6 3 2 2 3 2 2" xfId="28600" xr:uid="{00000000-0005-0000-0000-000067920000}"/>
    <cellStyle name="40% - Accent6 3 2 2 3 2 3" xfId="38325" xr:uid="{00000000-0005-0000-0000-000068920000}"/>
    <cellStyle name="40% - Accent6 3 2 2 3 2 4" xfId="48050" xr:uid="{00000000-0005-0000-0000-000069920000}"/>
    <cellStyle name="40% - Accent6 3 2 2 3 2 5" xfId="18875" xr:uid="{00000000-0005-0000-0000-00006A920000}"/>
    <cellStyle name="40% - Accent6 3 2 2 3 3" xfId="23738" xr:uid="{00000000-0005-0000-0000-00006B920000}"/>
    <cellStyle name="40% - Accent6 3 2 2 3 4" xfId="33463" xr:uid="{00000000-0005-0000-0000-00006C920000}"/>
    <cellStyle name="40% - Accent6 3 2 2 3 5" xfId="43188" xr:uid="{00000000-0005-0000-0000-00006D920000}"/>
    <cellStyle name="40% - Accent6 3 2 2 3 6" xfId="14013" xr:uid="{00000000-0005-0000-0000-00006E920000}"/>
    <cellStyle name="40% - Accent6 3 2 2 4" xfId="5909" xr:uid="{00000000-0005-0000-0000-00006F920000}"/>
    <cellStyle name="40% - Accent6 3 2 2 4 2" xfId="25360" xr:uid="{00000000-0005-0000-0000-000070920000}"/>
    <cellStyle name="40% - Accent6 3 2 2 4 3" xfId="35085" xr:uid="{00000000-0005-0000-0000-000071920000}"/>
    <cellStyle name="40% - Accent6 3 2 2 4 4" xfId="44810" xr:uid="{00000000-0005-0000-0000-000072920000}"/>
    <cellStyle name="40% - Accent6 3 2 2 4 5" xfId="15635" xr:uid="{00000000-0005-0000-0000-000073920000}"/>
    <cellStyle name="40% - Accent6 3 2 2 5" xfId="20498" xr:uid="{00000000-0005-0000-0000-000074920000}"/>
    <cellStyle name="40% - Accent6 3 2 2 6" xfId="30223" xr:uid="{00000000-0005-0000-0000-000075920000}"/>
    <cellStyle name="40% - Accent6 3 2 2 7" xfId="39948" xr:uid="{00000000-0005-0000-0000-000076920000}"/>
    <cellStyle name="40% - Accent6 3 2 2 8" xfId="10773" xr:uid="{00000000-0005-0000-0000-000077920000}"/>
    <cellStyle name="40% - Accent6 3 2 3" xfId="1496" xr:uid="{00000000-0005-0000-0000-000078920000}"/>
    <cellStyle name="40% - Accent6 3 2 3 2" xfId="3117" xr:uid="{00000000-0005-0000-0000-000079920000}"/>
    <cellStyle name="40% - Accent6 3 2 3 2 2" xfId="7979" xr:uid="{00000000-0005-0000-0000-00007A920000}"/>
    <cellStyle name="40% - Accent6 3 2 3 2 2 2" xfId="27430" xr:uid="{00000000-0005-0000-0000-00007B920000}"/>
    <cellStyle name="40% - Accent6 3 2 3 2 2 3" xfId="37155" xr:uid="{00000000-0005-0000-0000-00007C920000}"/>
    <cellStyle name="40% - Accent6 3 2 3 2 2 4" xfId="46880" xr:uid="{00000000-0005-0000-0000-00007D920000}"/>
    <cellStyle name="40% - Accent6 3 2 3 2 2 5" xfId="17705" xr:uid="{00000000-0005-0000-0000-00007E920000}"/>
    <cellStyle name="40% - Accent6 3 2 3 2 3" xfId="22568" xr:uid="{00000000-0005-0000-0000-00007F920000}"/>
    <cellStyle name="40% - Accent6 3 2 3 2 4" xfId="32293" xr:uid="{00000000-0005-0000-0000-000080920000}"/>
    <cellStyle name="40% - Accent6 3 2 3 2 5" xfId="42018" xr:uid="{00000000-0005-0000-0000-000081920000}"/>
    <cellStyle name="40% - Accent6 3 2 3 2 6" xfId="12843" xr:uid="{00000000-0005-0000-0000-000082920000}"/>
    <cellStyle name="40% - Accent6 3 2 3 3" xfId="4737" xr:uid="{00000000-0005-0000-0000-000083920000}"/>
    <cellStyle name="40% - Accent6 3 2 3 3 2" xfId="9599" xr:uid="{00000000-0005-0000-0000-000084920000}"/>
    <cellStyle name="40% - Accent6 3 2 3 3 2 2" xfId="29050" xr:uid="{00000000-0005-0000-0000-000085920000}"/>
    <cellStyle name="40% - Accent6 3 2 3 3 2 3" xfId="38775" xr:uid="{00000000-0005-0000-0000-000086920000}"/>
    <cellStyle name="40% - Accent6 3 2 3 3 2 4" xfId="48500" xr:uid="{00000000-0005-0000-0000-000087920000}"/>
    <cellStyle name="40% - Accent6 3 2 3 3 2 5" xfId="19325" xr:uid="{00000000-0005-0000-0000-000088920000}"/>
    <cellStyle name="40% - Accent6 3 2 3 3 3" xfId="24188" xr:uid="{00000000-0005-0000-0000-000089920000}"/>
    <cellStyle name="40% - Accent6 3 2 3 3 4" xfId="33913" xr:uid="{00000000-0005-0000-0000-00008A920000}"/>
    <cellStyle name="40% - Accent6 3 2 3 3 5" xfId="43638" xr:uid="{00000000-0005-0000-0000-00008B920000}"/>
    <cellStyle name="40% - Accent6 3 2 3 3 6" xfId="14463" xr:uid="{00000000-0005-0000-0000-00008C920000}"/>
    <cellStyle name="40% - Accent6 3 2 3 4" xfId="6359" xr:uid="{00000000-0005-0000-0000-00008D920000}"/>
    <cellStyle name="40% - Accent6 3 2 3 4 2" xfId="25810" xr:uid="{00000000-0005-0000-0000-00008E920000}"/>
    <cellStyle name="40% - Accent6 3 2 3 4 3" xfId="35535" xr:uid="{00000000-0005-0000-0000-00008F920000}"/>
    <cellStyle name="40% - Accent6 3 2 3 4 4" xfId="45260" xr:uid="{00000000-0005-0000-0000-000090920000}"/>
    <cellStyle name="40% - Accent6 3 2 3 4 5" xfId="16085" xr:uid="{00000000-0005-0000-0000-000091920000}"/>
    <cellStyle name="40% - Accent6 3 2 3 5" xfId="20948" xr:uid="{00000000-0005-0000-0000-000092920000}"/>
    <cellStyle name="40% - Accent6 3 2 3 6" xfId="30673" xr:uid="{00000000-0005-0000-0000-000093920000}"/>
    <cellStyle name="40% - Accent6 3 2 3 7" xfId="40398" xr:uid="{00000000-0005-0000-0000-000094920000}"/>
    <cellStyle name="40% - Accent6 3 2 3 8" xfId="11223" xr:uid="{00000000-0005-0000-0000-000095920000}"/>
    <cellStyle name="40% - Accent6 3 2 4" xfId="667" xr:uid="{00000000-0005-0000-0000-000096920000}"/>
    <cellStyle name="40% - Accent6 3 2 4 2" xfId="2307" xr:uid="{00000000-0005-0000-0000-000097920000}"/>
    <cellStyle name="40% - Accent6 3 2 4 2 2" xfId="7169" xr:uid="{00000000-0005-0000-0000-000098920000}"/>
    <cellStyle name="40% - Accent6 3 2 4 2 2 2" xfId="26620" xr:uid="{00000000-0005-0000-0000-000099920000}"/>
    <cellStyle name="40% - Accent6 3 2 4 2 2 3" xfId="36345" xr:uid="{00000000-0005-0000-0000-00009A920000}"/>
    <cellStyle name="40% - Accent6 3 2 4 2 2 4" xfId="46070" xr:uid="{00000000-0005-0000-0000-00009B920000}"/>
    <cellStyle name="40% - Accent6 3 2 4 2 2 5" xfId="16895" xr:uid="{00000000-0005-0000-0000-00009C920000}"/>
    <cellStyle name="40% - Accent6 3 2 4 2 3" xfId="21758" xr:uid="{00000000-0005-0000-0000-00009D920000}"/>
    <cellStyle name="40% - Accent6 3 2 4 2 4" xfId="31483" xr:uid="{00000000-0005-0000-0000-00009E920000}"/>
    <cellStyle name="40% - Accent6 3 2 4 2 5" xfId="41208" xr:uid="{00000000-0005-0000-0000-00009F920000}"/>
    <cellStyle name="40% - Accent6 3 2 4 2 6" xfId="12033" xr:uid="{00000000-0005-0000-0000-0000A0920000}"/>
    <cellStyle name="40% - Accent6 3 2 4 3" xfId="3927" xr:uid="{00000000-0005-0000-0000-0000A1920000}"/>
    <cellStyle name="40% - Accent6 3 2 4 3 2" xfId="8789" xr:uid="{00000000-0005-0000-0000-0000A2920000}"/>
    <cellStyle name="40% - Accent6 3 2 4 3 2 2" xfId="28240" xr:uid="{00000000-0005-0000-0000-0000A3920000}"/>
    <cellStyle name="40% - Accent6 3 2 4 3 2 3" xfId="37965" xr:uid="{00000000-0005-0000-0000-0000A4920000}"/>
    <cellStyle name="40% - Accent6 3 2 4 3 2 4" xfId="47690" xr:uid="{00000000-0005-0000-0000-0000A5920000}"/>
    <cellStyle name="40% - Accent6 3 2 4 3 2 5" xfId="18515" xr:uid="{00000000-0005-0000-0000-0000A6920000}"/>
    <cellStyle name="40% - Accent6 3 2 4 3 3" xfId="23378" xr:uid="{00000000-0005-0000-0000-0000A7920000}"/>
    <cellStyle name="40% - Accent6 3 2 4 3 4" xfId="33103" xr:uid="{00000000-0005-0000-0000-0000A8920000}"/>
    <cellStyle name="40% - Accent6 3 2 4 3 5" xfId="42828" xr:uid="{00000000-0005-0000-0000-0000A9920000}"/>
    <cellStyle name="40% - Accent6 3 2 4 3 6" xfId="13653" xr:uid="{00000000-0005-0000-0000-0000AA920000}"/>
    <cellStyle name="40% - Accent6 3 2 4 4" xfId="5549" xr:uid="{00000000-0005-0000-0000-0000AB920000}"/>
    <cellStyle name="40% - Accent6 3 2 4 4 2" xfId="25000" xr:uid="{00000000-0005-0000-0000-0000AC920000}"/>
    <cellStyle name="40% - Accent6 3 2 4 4 3" xfId="34725" xr:uid="{00000000-0005-0000-0000-0000AD920000}"/>
    <cellStyle name="40% - Accent6 3 2 4 4 4" xfId="44450" xr:uid="{00000000-0005-0000-0000-0000AE920000}"/>
    <cellStyle name="40% - Accent6 3 2 4 4 5" xfId="15275" xr:uid="{00000000-0005-0000-0000-0000AF920000}"/>
    <cellStyle name="40% - Accent6 3 2 4 5" xfId="20138" xr:uid="{00000000-0005-0000-0000-0000B0920000}"/>
    <cellStyle name="40% - Accent6 3 2 4 6" xfId="29863" xr:uid="{00000000-0005-0000-0000-0000B1920000}"/>
    <cellStyle name="40% - Accent6 3 2 4 7" xfId="39588" xr:uid="{00000000-0005-0000-0000-0000B2920000}"/>
    <cellStyle name="40% - Accent6 3 2 4 8" xfId="10413" xr:uid="{00000000-0005-0000-0000-0000B3920000}"/>
    <cellStyle name="40% - Accent6 3 2 5" xfId="1947" xr:uid="{00000000-0005-0000-0000-0000B4920000}"/>
    <cellStyle name="40% - Accent6 3 2 5 2" xfId="6809" xr:uid="{00000000-0005-0000-0000-0000B5920000}"/>
    <cellStyle name="40% - Accent6 3 2 5 2 2" xfId="26260" xr:uid="{00000000-0005-0000-0000-0000B6920000}"/>
    <cellStyle name="40% - Accent6 3 2 5 2 3" xfId="35985" xr:uid="{00000000-0005-0000-0000-0000B7920000}"/>
    <cellStyle name="40% - Accent6 3 2 5 2 4" xfId="45710" xr:uid="{00000000-0005-0000-0000-0000B8920000}"/>
    <cellStyle name="40% - Accent6 3 2 5 2 5" xfId="16535" xr:uid="{00000000-0005-0000-0000-0000B9920000}"/>
    <cellStyle name="40% - Accent6 3 2 5 3" xfId="21398" xr:uid="{00000000-0005-0000-0000-0000BA920000}"/>
    <cellStyle name="40% - Accent6 3 2 5 4" xfId="31123" xr:uid="{00000000-0005-0000-0000-0000BB920000}"/>
    <cellStyle name="40% - Accent6 3 2 5 5" xfId="40848" xr:uid="{00000000-0005-0000-0000-0000BC920000}"/>
    <cellStyle name="40% - Accent6 3 2 5 6" xfId="11673" xr:uid="{00000000-0005-0000-0000-0000BD920000}"/>
    <cellStyle name="40% - Accent6 3 2 6" xfId="3567" xr:uid="{00000000-0005-0000-0000-0000BE920000}"/>
    <cellStyle name="40% - Accent6 3 2 6 2" xfId="8429" xr:uid="{00000000-0005-0000-0000-0000BF920000}"/>
    <cellStyle name="40% - Accent6 3 2 6 2 2" xfId="27880" xr:uid="{00000000-0005-0000-0000-0000C0920000}"/>
    <cellStyle name="40% - Accent6 3 2 6 2 3" xfId="37605" xr:uid="{00000000-0005-0000-0000-0000C1920000}"/>
    <cellStyle name="40% - Accent6 3 2 6 2 4" xfId="47330" xr:uid="{00000000-0005-0000-0000-0000C2920000}"/>
    <cellStyle name="40% - Accent6 3 2 6 2 5" xfId="18155" xr:uid="{00000000-0005-0000-0000-0000C3920000}"/>
    <cellStyle name="40% - Accent6 3 2 6 3" xfId="23018" xr:uid="{00000000-0005-0000-0000-0000C4920000}"/>
    <cellStyle name="40% - Accent6 3 2 6 4" xfId="32743" xr:uid="{00000000-0005-0000-0000-0000C5920000}"/>
    <cellStyle name="40% - Accent6 3 2 6 5" xfId="42468" xr:uid="{00000000-0005-0000-0000-0000C6920000}"/>
    <cellStyle name="40% - Accent6 3 2 6 6" xfId="13293" xr:uid="{00000000-0005-0000-0000-0000C7920000}"/>
    <cellStyle name="40% - Accent6 3 2 7" xfId="5189" xr:uid="{00000000-0005-0000-0000-0000C8920000}"/>
    <cellStyle name="40% - Accent6 3 2 7 2" xfId="24640" xr:uid="{00000000-0005-0000-0000-0000C9920000}"/>
    <cellStyle name="40% - Accent6 3 2 7 3" xfId="34365" xr:uid="{00000000-0005-0000-0000-0000CA920000}"/>
    <cellStyle name="40% - Accent6 3 2 7 4" xfId="44090" xr:uid="{00000000-0005-0000-0000-0000CB920000}"/>
    <cellStyle name="40% - Accent6 3 2 7 5" xfId="14915" xr:uid="{00000000-0005-0000-0000-0000CC920000}"/>
    <cellStyle name="40% - Accent6 3 2 8" xfId="19778" xr:uid="{00000000-0005-0000-0000-0000CD920000}"/>
    <cellStyle name="40% - Accent6 3 2 9" xfId="29503" xr:uid="{00000000-0005-0000-0000-0000CE920000}"/>
    <cellStyle name="40% - Accent6 3 3" xfId="356" xr:uid="{00000000-0005-0000-0000-0000CF920000}"/>
    <cellStyle name="40% - Accent6 3 3 10" xfId="39318" xr:uid="{00000000-0005-0000-0000-0000D0920000}"/>
    <cellStyle name="40% - Accent6 3 3 11" xfId="10143" xr:uid="{00000000-0005-0000-0000-0000D1920000}"/>
    <cellStyle name="40% - Accent6 3 3 2" xfId="1119" xr:uid="{00000000-0005-0000-0000-0000D2920000}"/>
    <cellStyle name="40% - Accent6 3 3 2 2" xfId="2757" xr:uid="{00000000-0005-0000-0000-0000D3920000}"/>
    <cellStyle name="40% - Accent6 3 3 2 2 2" xfId="7619" xr:uid="{00000000-0005-0000-0000-0000D4920000}"/>
    <cellStyle name="40% - Accent6 3 3 2 2 2 2" xfId="27070" xr:uid="{00000000-0005-0000-0000-0000D5920000}"/>
    <cellStyle name="40% - Accent6 3 3 2 2 2 3" xfId="36795" xr:uid="{00000000-0005-0000-0000-0000D6920000}"/>
    <cellStyle name="40% - Accent6 3 3 2 2 2 4" xfId="46520" xr:uid="{00000000-0005-0000-0000-0000D7920000}"/>
    <cellStyle name="40% - Accent6 3 3 2 2 2 5" xfId="17345" xr:uid="{00000000-0005-0000-0000-0000D8920000}"/>
    <cellStyle name="40% - Accent6 3 3 2 2 3" xfId="22208" xr:uid="{00000000-0005-0000-0000-0000D9920000}"/>
    <cellStyle name="40% - Accent6 3 3 2 2 4" xfId="31933" xr:uid="{00000000-0005-0000-0000-0000DA920000}"/>
    <cellStyle name="40% - Accent6 3 3 2 2 5" xfId="41658" xr:uid="{00000000-0005-0000-0000-0000DB920000}"/>
    <cellStyle name="40% - Accent6 3 3 2 2 6" xfId="12483" xr:uid="{00000000-0005-0000-0000-0000DC920000}"/>
    <cellStyle name="40% - Accent6 3 3 2 3" xfId="4377" xr:uid="{00000000-0005-0000-0000-0000DD920000}"/>
    <cellStyle name="40% - Accent6 3 3 2 3 2" xfId="9239" xr:uid="{00000000-0005-0000-0000-0000DE920000}"/>
    <cellStyle name="40% - Accent6 3 3 2 3 2 2" xfId="28690" xr:uid="{00000000-0005-0000-0000-0000DF920000}"/>
    <cellStyle name="40% - Accent6 3 3 2 3 2 3" xfId="38415" xr:uid="{00000000-0005-0000-0000-0000E0920000}"/>
    <cellStyle name="40% - Accent6 3 3 2 3 2 4" xfId="48140" xr:uid="{00000000-0005-0000-0000-0000E1920000}"/>
    <cellStyle name="40% - Accent6 3 3 2 3 2 5" xfId="18965" xr:uid="{00000000-0005-0000-0000-0000E2920000}"/>
    <cellStyle name="40% - Accent6 3 3 2 3 3" xfId="23828" xr:uid="{00000000-0005-0000-0000-0000E3920000}"/>
    <cellStyle name="40% - Accent6 3 3 2 3 4" xfId="33553" xr:uid="{00000000-0005-0000-0000-0000E4920000}"/>
    <cellStyle name="40% - Accent6 3 3 2 3 5" xfId="43278" xr:uid="{00000000-0005-0000-0000-0000E5920000}"/>
    <cellStyle name="40% - Accent6 3 3 2 3 6" xfId="14103" xr:uid="{00000000-0005-0000-0000-0000E6920000}"/>
    <cellStyle name="40% - Accent6 3 3 2 4" xfId="5999" xr:uid="{00000000-0005-0000-0000-0000E7920000}"/>
    <cellStyle name="40% - Accent6 3 3 2 4 2" xfId="25450" xr:uid="{00000000-0005-0000-0000-0000E8920000}"/>
    <cellStyle name="40% - Accent6 3 3 2 4 3" xfId="35175" xr:uid="{00000000-0005-0000-0000-0000E9920000}"/>
    <cellStyle name="40% - Accent6 3 3 2 4 4" xfId="44900" xr:uid="{00000000-0005-0000-0000-0000EA920000}"/>
    <cellStyle name="40% - Accent6 3 3 2 4 5" xfId="15725" xr:uid="{00000000-0005-0000-0000-0000EB920000}"/>
    <cellStyle name="40% - Accent6 3 3 2 5" xfId="20588" xr:uid="{00000000-0005-0000-0000-0000EC920000}"/>
    <cellStyle name="40% - Accent6 3 3 2 6" xfId="30313" xr:uid="{00000000-0005-0000-0000-0000ED920000}"/>
    <cellStyle name="40% - Accent6 3 3 2 7" xfId="40038" xr:uid="{00000000-0005-0000-0000-0000EE920000}"/>
    <cellStyle name="40% - Accent6 3 3 2 8" xfId="10863" xr:uid="{00000000-0005-0000-0000-0000EF920000}"/>
    <cellStyle name="40% - Accent6 3 3 3" xfId="1586" xr:uid="{00000000-0005-0000-0000-0000F0920000}"/>
    <cellStyle name="40% - Accent6 3 3 3 2" xfId="3207" xr:uid="{00000000-0005-0000-0000-0000F1920000}"/>
    <cellStyle name="40% - Accent6 3 3 3 2 2" xfId="8069" xr:uid="{00000000-0005-0000-0000-0000F2920000}"/>
    <cellStyle name="40% - Accent6 3 3 3 2 2 2" xfId="27520" xr:uid="{00000000-0005-0000-0000-0000F3920000}"/>
    <cellStyle name="40% - Accent6 3 3 3 2 2 3" xfId="37245" xr:uid="{00000000-0005-0000-0000-0000F4920000}"/>
    <cellStyle name="40% - Accent6 3 3 3 2 2 4" xfId="46970" xr:uid="{00000000-0005-0000-0000-0000F5920000}"/>
    <cellStyle name="40% - Accent6 3 3 3 2 2 5" xfId="17795" xr:uid="{00000000-0005-0000-0000-0000F6920000}"/>
    <cellStyle name="40% - Accent6 3 3 3 2 3" xfId="22658" xr:uid="{00000000-0005-0000-0000-0000F7920000}"/>
    <cellStyle name="40% - Accent6 3 3 3 2 4" xfId="32383" xr:uid="{00000000-0005-0000-0000-0000F8920000}"/>
    <cellStyle name="40% - Accent6 3 3 3 2 5" xfId="42108" xr:uid="{00000000-0005-0000-0000-0000F9920000}"/>
    <cellStyle name="40% - Accent6 3 3 3 2 6" xfId="12933" xr:uid="{00000000-0005-0000-0000-0000FA920000}"/>
    <cellStyle name="40% - Accent6 3 3 3 3" xfId="4827" xr:uid="{00000000-0005-0000-0000-0000FB920000}"/>
    <cellStyle name="40% - Accent6 3 3 3 3 2" xfId="9689" xr:uid="{00000000-0005-0000-0000-0000FC920000}"/>
    <cellStyle name="40% - Accent6 3 3 3 3 2 2" xfId="29140" xr:uid="{00000000-0005-0000-0000-0000FD920000}"/>
    <cellStyle name="40% - Accent6 3 3 3 3 2 3" xfId="38865" xr:uid="{00000000-0005-0000-0000-0000FE920000}"/>
    <cellStyle name="40% - Accent6 3 3 3 3 2 4" xfId="48590" xr:uid="{00000000-0005-0000-0000-0000FF920000}"/>
    <cellStyle name="40% - Accent6 3 3 3 3 2 5" xfId="19415" xr:uid="{00000000-0005-0000-0000-000000930000}"/>
    <cellStyle name="40% - Accent6 3 3 3 3 3" xfId="24278" xr:uid="{00000000-0005-0000-0000-000001930000}"/>
    <cellStyle name="40% - Accent6 3 3 3 3 4" xfId="34003" xr:uid="{00000000-0005-0000-0000-000002930000}"/>
    <cellStyle name="40% - Accent6 3 3 3 3 5" xfId="43728" xr:uid="{00000000-0005-0000-0000-000003930000}"/>
    <cellStyle name="40% - Accent6 3 3 3 3 6" xfId="14553" xr:uid="{00000000-0005-0000-0000-000004930000}"/>
    <cellStyle name="40% - Accent6 3 3 3 4" xfId="6449" xr:uid="{00000000-0005-0000-0000-000005930000}"/>
    <cellStyle name="40% - Accent6 3 3 3 4 2" xfId="25900" xr:uid="{00000000-0005-0000-0000-000006930000}"/>
    <cellStyle name="40% - Accent6 3 3 3 4 3" xfId="35625" xr:uid="{00000000-0005-0000-0000-000007930000}"/>
    <cellStyle name="40% - Accent6 3 3 3 4 4" xfId="45350" xr:uid="{00000000-0005-0000-0000-000008930000}"/>
    <cellStyle name="40% - Accent6 3 3 3 4 5" xfId="16175" xr:uid="{00000000-0005-0000-0000-000009930000}"/>
    <cellStyle name="40% - Accent6 3 3 3 5" xfId="21038" xr:uid="{00000000-0005-0000-0000-00000A930000}"/>
    <cellStyle name="40% - Accent6 3 3 3 6" xfId="30763" xr:uid="{00000000-0005-0000-0000-00000B930000}"/>
    <cellStyle name="40% - Accent6 3 3 3 7" xfId="40488" xr:uid="{00000000-0005-0000-0000-00000C930000}"/>
    <cellStyle name="40% - Accent6 3 3 3 8" xfId="11313" xr:uid="{00000000-0005-0000-0000-00000D930000}"/>
    <cellStyle name="40% - Accent6 3 3 4" xfId="757" xr:uid="{00000000-0005-0000-0000-00000E930000}"/>
    <cellStyle name="40% - Accent6 3 3 4 2" xfId="2397" xr:uid="{00000000-0005-0000-0000-00000F930000}"/>
    <cellStyle name="40% - Accent6 3 3 4 2 2" xfId="7259" xr:uid="{00000000-0005-0000-0000-000010930000}"/>
    <cellStyle name="40% - Accent6 3 3 4 2 2 2" xfId="26710" xr:uid="{00000000-0005-0000-0000-000011930000}"/>
    <cellStyle name="40% - Accent6 3 3 4 2 2 3" xfId="36435" xr:uid="{00000000-0005-0000-0000-000012930000}"/>
    <cellStyle name="40% - Accent6 3 3 4 2 2 4" xfId="46160" xr:uid="{00000000-0005-0000-0000-000013930000}"/>
    <cellStyle name="40% - Accent6 3 3 4 2 2 5" xfId="16985" xr:uid="{00000000-0005-0000-0000-000014930000}"/>
    <cellStyle name="40% - Accent6 3 3 4 2 3" xfId="21848" xr:uid="{00000000-0005-0000-0000-000015930000}"/>
    <cellStyle name="40% - Accent6 3 3 4 2 4" xfId="31573" xr:uid="{00000000-0005-0000-0000-000016930000}"/>
    <cellStyle name="40% - Accent6 3 3 4 2 5" xfId="41298" xr:uid="{00000000-0005-0000-0000-000017930000}"/>
    <cellStyle name="40% - Accent6 3 3 4 2 6" xfId="12123" xr:uid="{00000000-0005-0000-0000-000018930000}"/>
    <cellStyle name="40% - Accent6 3 3 4 3" xfId="4017" xr:uid="{00000000-0005-0000-0000-000019930000}"/>
    <cellStyle name="40% - Accent6 3 3 4 3 2" xfId="8879" xr:uid="{00000000-0005-0000-0000-00001A930000}"/>
    <cellStyle name="40% - Accent6 3 3 4 3 2 2" xfId="28330" xr:uid="{00000000-0005-0000-0000-00001B930000}"/>
    <cellStyle name="40% - Accent6 3 3 4 3 2 3" xfId="38055" xr:uid="{00000000-0005-0000-0000-00001C930000}"/>
    <cellStyle name="40% - Accent6 3 3 4 3 2 4" xfId="47780" xr:uid="{00000000-0005-0000-0000-00001D930000}"/>
    <cellStyle name="40% - Accent6 3 3 4 3 2 5" xfId="18605" xr:uid="{00000000-0005-0000-0000-00001E930000}"/>
    <cellStyle name="40% - Accent6 3 3 4 3 3" xfId="23468" xr:uid="{00000000-0005-0000-0000-00001F930000}"/>
    <cellStyle name="40% - Accent6 3 3 4 3 4" xfId="33193" xr:uid="{00000000-0005-0000-0000-000020930000}"/>
    <cellStyle name="40% - Accent6 3 3 4 3 5" xfId="42918" xr:uid="{00000000-0005-0000-0000-000021930000}"/>
    <cellStyle name="40% - Accent6 3 3 4 3 6" xfId="13743" xr:uid="{00000000-0005-0000-0000-000022930000}"/>
    <cellStyle name="40% - Accent6 3 3 4 4" xfId="5639" xr:uid="{00000000-0005-0000-0000-000023930000}"/>
    <cellStyle name="40% - Accent6 3 3 4 4 2" xfId="25090" xr:uid="{00000000-0005-0000-0000-000024930000}"/>
    <cellStyle name="40% - Accent6 3 3 4 4 3" xfId="34815" xr:uid="{00000000-0005-0000-0000-000025930000}"/>
    <cellStyle name="40% - Accent6 3 3 4 4 4" xfId="44540" xr:uid="{00000000-0005-0000-0000-000026930000}"/>
    <cellStyle name="40% - Accent6 3 3 4 4 5" xfId="15365" xr:uid="{00000000-0005-0000-0000-000027930000}"/>
    <cellStyle name="40% - Accent6 3 3 4 5" xfId="20228" xr:uid="{00000000-0005-0000-0000-000028930000}"/>
    <cellStyle name="40% - Accent6 3 3 4 6" xfId="29953" xr:uid="{00000000-0005-0000-0000-000029930000}"/>
    <cellStyle name="40% - Accent6 3 3 4 7" xfId="39678" xr:uid="{00000000-0005-0000-0000-00002A930000}"/>
    <cellStyle name="40% - Accent6 3 3 4 8" xfId="10503" xr:uid="{00000000-0005-0000-0000-00002B930000}"/>
    <cellStyle name="40% - Accent6 3 3 5" xfId="2037" xr:uid="{00000000-0005-0000-0000-00002C930000}"/>
    <cellStyle name="40% - Accent6 3 3 5 2" xfId="6899" xr:uid="{00000000-0005-0000-0000-00002D930000}"/>
    <cellStyle name="40% - Accent6 3 3 5 2 2" xfId="26350" xr:uid="{00000000-0005-0000-0000-00002E930000}"/>
    <cellStyle name="40% - Accent6 3 3 5 2 3" xfId="36075" xr:uid="{00000000-0005-0000-0000-00002F930000}"/>
    <cellStyle name="40% - Accent6 3 3 5 2 4" xfId="45800" xr:uid="{00000000-0005-0000-0000-000030930000}"/>
    <cellStyle name="40% - Accent6 3 3 5 2 5" xfId="16625" xr:uid="{00000000-0005-0000-0000-000031930000}"/>
    <cellStyle name="40% - Accent6 3 3 5 3" xfId="21488" xr:uid="{00000000-0005-0000-0000-000032930000}"/>
    <cellStyle name="40% - Accent6 3 3 5 4" xfId="31213" xr:uid="{00000000-0005-0000-0000-000033930000}"/>
    <cellStyle name="40% - Accent6 3 3 5 5" xfId="40938" xr:uid="{00000000-0005-0000-0000-000034930000}"/>
    <cellStyle name="40% - Accent6 3 3 5 6" xfId="11763" xr:uid="{00000000-0005-0000-0000-000035930000}"/>
    <cellStyle name="40% - Accent6 3 3 6" xfId="3657" xr:uid="{00000000-0005-0000-0000-000036930000}"/>
    <cellStyle name="40% - Accent6 3 3 6 2" xfId="8519" xr:uid="{00000000-0005-0000-0000-000037930000}"/>
    <cellStyle name="40% - Accent6 3 3 6 2 2" xfId="27970" xr:uid="{00000000-0005-0000-0000-000038930000}"/>
    <cellStyle name="40% - Accent6 3 3 6 2 3" xfId="37695" xr:uid="{00000000-0005-0000-0000-000039930000}"/>
    <cellStyle name="40% - Accent6 3 3 6 2 4" xfId="47420" xr:uid="{00000000-0005-0000-0000-00003A930000}"/>
    <cellStyle name="40% - Accent6 3 3 6 2 5" xfId="18245" xr:uid="{00000000-0005-0000-0000-00003B930000}"/>
    <cellStyle name="40% - Accent6 3 3 6 3" xfId="23108" xr:uid="{00000000-0005-0000-0000-00003C930000}"/>
    <cellStyle name="40% - Accent6 3 3 6 4" xfId="32833" xr:uid="{00000000-0005-0000-0000-00003D930000}"/>
    <cellStyle name="40% - Accent6 3 3 6 5" xfId="42558" xr:uid="{00000000-0005-0000-0000-00003E930000}"/>
    <cellStyle name="40% - Accent6 3 3 6 6" xfId="13383" xr:uid="{00000000-0005-0000-0000-00003F930000}"/>
    <cellStyle name="40% - Accent6 3 3 7" xfId="5279" xr:uid="{00000000-0005-0000-0000-000040930000}"/>
    <cellStyle name="40% - Accent6 3 3 7 2" xfId="24730" xr:uid="{00000000-0005-0000-0000-000041930000}"/>
    <cellStyle name="40% - Accent6 3 3 7 3" xfId="34455" xr:uid="{00000000-0005-0000-0000-000042930000}"/>
    <cellStyle name="40% - Accent6 3 3 7 4" xfId="44180" xr:uid="{00000000-0005-0000-0000-000043930000}"/>
    <cellStyle name="40% - Accent6 3 3 7 5" xfId="15005" xr:uid="{00000000-0005-0000-0000-000044930000}"/>
    <cellStyle name="40% - Accent6 3 3 8" xfId="19868" xr:uid="{00000000-0005-0000-0000-000045930000}"/>
    <cellStyle name="40% - Accent6 3 3 9" xfId="29593" xr:uid="{00000000-0005-0000-0000-000046930000}"/>
    <cellStyle name="40% - Accent6 3 4" xfId="174" xr:uid="{00000000-0005-0000-0000-000047930000}"/>
    <cellStyle name="40% - Accent6 3 4 10" xfId="39138" xr:uid="{00000000-0005-0000-0000-000048930000}"/>
    <cellStyle name="40% - Accent6 3 4 11" xfId="9963" xr:uid="{00000000-0005-0000-0000-000049930000}"/>
    <cellStyle name="40% - Accent6 3 4 2" xfId="938" xr:uid="{00000000-0005-0000-0000-00004A930000}"/>
    <cellStyle name="40% - Accent6 3 4 2 2" xfId="2577" xr:uid="{00000000-0005-0000-0000-00004B930000}"/>
    <cellStyle name="40% - Accent6 3 4 2 2 2" xfId="7439" xr:uid="{00000000-0005-0000-0000-00004C930000}"/>
    <cellStyle name="40% - Accent6 3 4 2 2 2 2" xfId="26890" xr:uid="{00000000-0005-0000-0000-00004D930000}"/>
    <cellStyle name="40% - Accent6 3 4 2 2 2 3" xfId="36615" xr:uid="{00000000-0005-0000-0000-00004E930000}"/>
    <cellStyle name="40% - Accent6 3 4 2 2 2 4" xfId="46340" xr:uid="{00000000-0005-0000-0000-00004F930000}"/>
    <cellStyle name="40% - Accent6 3 4 2 2 2 5" xfId="17165" xr:uid="{00000000-0005-0000-0000-000050930000}"/>
    <cellStyle name="40% - Accent6 3 4 2 2 3" xfId="22028" xr:uid="{00000000-0005-0000-0000-000051930000}"/>
    <cellStyle name="40% - Accent6 3 4 2 2 4" xfId="31753" xr:uid="{00000000-0005-0000-0000-000052930000}"/>
    <cellStyle name="40% - Accent6 3 4 2 2 5" xfId="41478" xr:uid="{00000000-0005-0000-0000-000053930000}"/>
    <cellStyle name="40% - Accent6 3 4 2 2 6" xfId="12303" xr:uid="{00000000-0005-0000-0000-000054930000}"/>
    <cellStyle name="40% - Accent6 3 4 2 3" xfId="4197" xr:uid="{00000000-0005-0000-0000-000055930000}"/>
    <cellStyle name="40% - Accent6 3 4 2 3 2" xfId="9059" xr:uid="{00000000-0005-0000-0000-000056930000}"/>
    <cellStyle name="40% - Accent6 3 4 2 3 2 2" xfId="28510" xr:uid="{00000000-0005-0000-0000-000057930000}"/>
    <cellStyle name="40% - Accent6 3 4 2 3 2 3" xfId="38235" xr:uid="{00000000-0005-0000-0000-000058930000}"/>
    <cellStyle name="40% - Accent6 3 4 2 3 2 4" xfId="47960" xr:uid="{00000000-0005-0000-0000-000059930000}"/>
    <cellStyle name="40% - Accent6 3 4 2 3 2 5" xfId="18785" xr:uid="{00000000-0005-0000-0000-00005A930000}"/>
    <cellStyle name="40% - Accent6 3 4 2 3 3" xfId="23648" xr:uid="{00000000-0005-0000-0000-00005B930000}"/>
    <cellStyle name="40% - Accent6 3 4 2 3 4" xfId="33373" xr:uid="{00000000-0005-0000-0000-00005C930000}"/>
    <cellStyle name="40% - Accent6 3 4 2 3 5" xfId="43098" xr:uid="{00000000-0005-0000-0000-00005D930000}"/>
    <cellStyle name="40% - Accent6 3 4 2 3 6" xfId="13923" xr:uid="{00000000-0005-0000-0000-00005E930000}"/>
    <cellStyle name="40% - Accent6 3 4 2 4" xfId="5819" xr:uid="{00000000-0005-0000-0000-00005F930000}"/>
    <cellStyle name="40% - Accent6 3 4 2 4 2" xfId="25270" xr:uid="{00000000-0005-0000-0000-000060930000}"/>
    <cellStyle name="40% - Accent6 3 4 2 4 3" xfId="34995" xr:uid="{00000000-0005-0000-0000-000061930000}"/>
    <cellStyle name="40% - Accent6 3 4 2 4 4" xfId="44720" xr:uid="{00000000-0005-0000-0000-000062930000}"/>
    <cellStyle name="40% - Accent6 3 4 2 4 5" xfId="15545" xr:uid="{00000000-0005-0000-0000-000063930000}"/>
    <cellStyle name="40% - Accent6 3 4 2 5" xfId="20408" xr:uid="{00000000-0005-0000-0000-000064930000}"/>
    <cellStyle name="40% - Accent6 3 4 2 6" xfId="30133" xr:uid="{00000000-0005-0000-0000-000065930000}"/>
    <cellStyle name="40% - Accent6 3 4 2 7" xfId="39858" xr:uid="{00000000-0005-0000-0000-000066930000}"/>
    <cellStyle name="40% - Accent6 3 4 2 8" xfId="10683" xr:uid="{00000000-0005-0000-0000-000067930000}"/>
    <cellStyle name="40% - Accent6 3 4 3" xfId="1406" xr:uid="{00000000-0005-0000-0000-000068930000}"/>
    <cellStyle name="40% - Accent6 3 4 3 2" xfId="3027" xr:uid="{00000000-0005-0000-0000-000069930000}"/>
    <cellStyle name="40% - Accent6 3 4 3 2 2" xfId="7889" xr:uid="{00000000-0005-0000-0000-00006A930000}"/>
    <cellStyle name="40% - Accent6 3 4 3 2 2 2" xfId="27340" xr:uid="{00000000-0005-0000-0000-00006B930000}"/>
    <cellStyle name="40% - Accent6 3 4 3 2 2 3" xfId="37065" xr:uid="{00000000-0005-0000-0000-00006C930000}"/>
    <cellStyle name="40% - Accent6 3 4 3 2 2 4" xfId="46790" xr:uid="{00000000-0005-0000-0000-00006D930000}"/>
    <cellStyle name="40% - Accent6 3 4 3 2 2 5" xfId="17615" xr:uid="{00000000-0005-0000-0000-00006E930000}"/>
    <cellStyle name="40% - Accent6 3 4 3 2 3" xfId="22478" xr:uid="{00000000-0005-0000-0000-00006F930000}"/>
    <cellStyle name="40% - Accent6 3 4 3 2 4" xfId="32203" xr:uid="{00000000-0005-0000-0000-000070930000}"/>
    <cellStyle name="40% - Accent6 3 4 3 2 5" xfId="41928" xr:uid="{00000000-0005-0000-0000-000071930000}"/>
    <cellStyle name="40% - Accent6 3 4 3 2 6" xfId="12753" xr:uid="{00000000-0005-0000-0000-000072930000}"/>
    <cellStyle name="40% - Accent6 3 4 3 3" xfId="4647" xr:uid="{00000000-0005-0000-0000-000073930000}"/>
    <cellStyle name="40% - Accent6 3 4 3 3 2" xfId="9509" xr:uid="{00000000-0005-0000-0000-000074930000}"/>
    <cellStyle name="40% - Accent6 3 4 3 3 2 2" xfId="28960" xr:uid="{00000000-0005-0000-0000-000075930000}"/>
    <cellStyle name="40% - Accent6 3 4 3 3 2 3" xfId="38685" xr:uid="{00000000-0005-0000-0000-000076930000}"/>
    <cellStyle name="40% - Accent6 3 4 3 3 2 4" xfId="48410" xr:uid="{00000000-0005-0000-0000-000077930000}"/>
    <cellStyle name="40% - Accent6 3 4 3 3 2 5" xfId="19235" xr:uid="{00000000-0005-0000-0000-000078930000}"/>
    <cellStyle name="40% - Accent6 3 4 3 3 3" xfId="24098" xr:uid="{00000000-0005-0000-0000-000079930000}"/>
    <cellStyle name="40% - Accent6 3 4 3 3 4" xfId="33823" xr:uid="{00000000-0005-0000-0000-00007A930000}"/>
    <cellStyle name="40% - Accent6 3 4 3 3 5" xfId="43548" xr:uid="{00000000-0005-0000-0000-00007B930000}"/>
    <cellStyle name="40% - Accent6 3 4 3 3 6" xfId="14373" xr:uid="{00000000-0005-0000-0000-00007C930000}"/>
    <cellStyle name="40% - Accent6 3 4 3 4" xfId="6269" xr:uid="{00000000-0005-0000-0000-00007D930000}"/>
    <cellStyle name="40% - Accent6 3 4 3 4 2" xfId="25720" xr:uid="{00000000-0005-0000-0000-00007E930000}"/>
    <cellStyle name="40% - Accent6 3 4 3 4 3" xfId="35445" xr:uid="{00000000-0005-0000-0000-00007F930000}"/>
    <cellStyle name="40% - Accent6 3 4 3 4 4" xfId="45170" xr:uid="{00000000-0005-0000-0000-000080930000}"/>
    <cellStyle name="40% - Accent6 3 4 3 4 5" xfId="15995" xr:uid="{00000000-0005-0000-0000-000081930000}"/>
    <cellStyle name="40% - Accent6 3 4 3 5" xfId="20858" xr:uid="{00000000-0005-0000-0000-000082930000}"/>
    <cellStyle name="40% - Accent6 3 4 3 6" xfId="30583" xr:uid="{00000000-0005-0000-0000-000083930000}"/>
    <cellStyle name="40% - Accent6 3 4 3 7" xfId="40308" xr:uid="{00000000-0005-0000-0000-000084930000}"/>
    <cellStyle name="40% - Accent6 3 4 3 8" xfId="11133" xr:uid="{00000000-0005-0000-0000-000085930000}"/>
    <cellStyle name="40% - Accent6 3 4 4" xfId="577" xr:uid="{00000000-0005-0000-0000-000086930000}"/>
    <cellStyle name="40% - Accent6 3 4 4 2" xfId="2217" xr:uid="{00000000-0005-0000-0000-000087930000}"/>
    <cellStyle name="40% - Accent6 3 4 4 2 2" xfId="7079" xr:uid="{00000000-0005-0000-0000-000088930000}"/>
    <cellStyle name="40% - Accent6 3 4 4 2 2 2" xfId="26530" xr:uid="{00000000-0005-0000-0000-000089930000}"/>
    <cellStyle name="40% - Accent6 3 4 4 2 2 3" xfId="36255" xr:uid="{00000000-0005-0000-0000-00008A930000}"/>
    <cellStyle name="40% - Accent6 3 4 4 2 2 4" xfId="45980" xr:uid="{00000000-0005-0000-0000-00008B930000}"/>
    <cellStyle name="40% - Accent6 3 4 4 2 2 5" xfId="16805" xr:uid="{00000000-0005-0000-0000-00008C930000}"/>
    <cellStyle name="40% - Accent6 3 4 4 2 3" xfId="21668" xr:uid="{00000000-0005-0000-0000-00008D930000}"/>
    <cellStyle name="40% - Accent6 3 4 4 2 4" xfId="31393" xr:uid="{00000000-0005-0000-0000-00008E930000}"/>
    <cellStyle name="40% - Accent6 3 4 4 2 5" xfId="41118" xr:uid="{00000000-0005-0000-0000-00008F930000}"/>
    <cellStyle name="40% - Accent6 3 4 4 2 6" xfId="11943" xr:uid="{00000000-0005-0000-0000-000090930000}"/>
    <cellStyle name="40% - Accent6 3 4 4 3" xfId="3837" xr:uid="{00000000-0005-0000-0000-000091930000}"/>
    <cellStyle name="40% - Accent6 3 4 4 3 2" xfId="8699" xr:uid="{00000000-0005-0000-0000-000092930000}"/>
    <cellStyle name="40% - Accent6 3 4 4 3 2 2" xfId="28150" xr:uid="{00000000-0005-0000-0000-000093930000}"/>
    <cellStyle name="40% - Accent6 3 4 4 3 2 3" xfId="37875" xr:uid="{00000000-0005-0000-0000-000094930000}"/>
    <cellStyle name="40% - Accent6 3 4 4 3 2 4" xfId="47600" xr:uid="{00000000-0005-0000-0000-000095930000}"/>
    <cellStyle name="40% - Accent6 3 4 4 3 2 5" xfId="18425" xr:uid="{00000000-0005-0000-0000-000096930000}"/>
    <cellStyle name="40% - Accent6 3 4 4 3 3" xfId="23288" xr:uid="{00000000-0005-0000-0000-000097930000}"/>
    <cellStyle name="40% - Accent6 3 4 4 3 4" xfId="33013" xr:uid="{00000000-0005-0000-0000-000098930000}"/>
    <cellStyle name="40% - Accent6 3 4 4 3 5" xfId="42738" xr:uid="{00000000-0005-0000-0000-000099930000}"/>
    <cellStyle name="40% - Accent6 3 4 4 3 6" xfId="13563" xr:uid="{00000000-0005-0000-0000-00009A930000}"/>
    <cellStyle name="40% - Accent6 3 4 4 4" xfId="5459" xr:uid="{00000000-0005-0000-0000-00009B930000}"/>
    <cellStyle name="40% - Accent6 3 4 4 4 2" xfId="24910" xr:uid="{00000000-0005-0000-0000-00009C930000}"/>
    <cellStyle name="40% - Accent6 3 4 4 4 3" xfId="34635" xr:uid="{00000000-0005-0000-0000-00009D930000}"/>
    <cellStyle name="40% - Accent6 3 4 4 4 4" xfId="44360" xr:uid="{00000000-0005-0000-0000-00009E930000}"/>
    <cellStyle name="40% - Accent6 3 4 4 4 5" xfId="15185" xr:uid="{00000000-0005-0000-0000-00009F930000}"/>
    <cellStyle name="40% - Accent6 3 4 4 5" xfId="20048" xr:uid="{00000000-0005-0000-0000-0000A0930000}"/>
    <cellStyle name="40% - Accent6 3 4 4 6" xfId="29773" xr:uid="{00000000-0005-0000-0000-0000A1930000}"/>
    <cellStyle name="40% - Accent6 3 4 4 7" xfId="39498" xr:uid="{00000000-0005-0000-0000-0000A2930000}"/>
    <cellStyle name="40% - Accent6 3 4 4 8" xfId="10323" xr:uid="{00000000-0005-0000-0000-0000A3930000}"/>
    <cellStyle name="40% - Accent6 3 4 5" xfId="1857" xr:uid="{00000000-0005-0000-0000-0000A4930000}"/>
    <cellStyle name="40% - Accent6 3 4 5 2" xfId="6719" xr:uid="{00000000-0005-0000-0000-0000A5930000}"/>
    <cellStyle name="40% - Accent6 3 4 5 2 2" xfId="26170" xr:uid="{00000000-0005-0000-0000-0000A6930000}"/>
    <cellStyle name="40% - Accent6 3 4 5 2 3" xfId="35895" xr:uid="{00000000-0005-0000-0000-0000A7930000}"/>
    <cellStyle name="40% - Accent6 3 4 5 2 4" xfId="45620" xr:uid="{00000000-0005-0000-0000-0000A8930000}"/>
    <cellStyle name="40% - Accent6 3 4 5 2 5" xfId="16445" xr:uid="{00000000-0005-0000-0000-0000A9930000}"/>
    <cellStyle name="40% - Accent6 3 4 5 3" xfId="21308" xr:uid="{00000000-0005-0000-0000-0000AA930000}"/>
    <cellStyle name="40% - Accent6 3 4 5 4" xfId="31033" xr:uid="{00000000-0005-0000-0000-0000AB930000}"/>
    <cellStyle name="40% - Accent6 3 4 5 5" xfId="40758" xr:uid="{00000000-0005-0000-0000-0000AC930000}"/>
    <cellStyle name="40% - Accent6 3 4 5 6" xfId="11583" xr:uid="{00000000-0005-0000-0000-0000AD930000}"/>
    <cellStyle name="40% - Accent6 3 4 6" xfId="3477" xr:uid="{00000000-0005-0000-0000-0000AE930000}"/>
    <cellStyle name="40% - Accent6 3 4 6 2" xfId="8339" xr:uid="{00000000-0005-0000-0000-0000AF930000}"/>
    <cellStyle name="40% - Accent6 3 4 6 2 2" xfId="27790" xr:uid="{00000000-0005-0000-0000-0000B0930000}"/>
    <cellStyle name="40% - Accent6 3 4 6 2 3" xfId="37515" xr:uid="{00000000-0005-0000-0000-0000B1930000}"/>
    <cellStyle name="40% - Accent6 3 4 6 2 4" xfId="47240" xr:uid="{00000000-0005-0000-0000-0000B2930000}"/>
    <cellStyle name="40% - Accent6 3 4 6 2 5" xfId="18065" xr:uid="{00000000-0005-0000-0000-0000B3930000}"/>
    <cellStyle name="40% - Accent6 3 4 6 3" xfId="22928" xr:uid="{00000000-0005-0000-0000-0000B4930000}"/>
    <cellStyle name="40% - Accent6 3 4 6 4" xfId="32653" xr:uid="{00000000-0005-0000-0000-0000B5930000}"/>
    <cellStyle name="40% - Accent6 3 4 6 5" xfId="42378" xr:uid="{00000000-0005-0000-0000-0000B6930000}"/>
    <cellStyle name="40% - Accent6 3 4 6 6" xfId="13203" xr:uid="{00000000-0005-0000-0000-0000B7930000}"/>
    <cellStyle name="40% - Accent6 3 4 7" xfId="5099" xr:uid="{00000000-0005-0000-0000-0000B8930000}"/>
    <cellStyle name="40% - Accent6 3 4 7 2" xfId="24550" xr:uid="{00000000-0005-0000-0000-0000B9930000}"/>
    <cellStyle name="40% - Accent6 3 4 7 3" xfId="34275" xr:uid="{00000000-0005-0000-0000-0000BA930000}"/>
    <cellStyle name="40% - Accent6 3 4 7 4" xfId="44000" xr:uid="{00000000-0005-0000-0000-0000BB930000}"/>
    <cellStyle name="40% - Accent6 3 4 7 5" xfId="14825" xr:uid="{00000000-0005-0000-0000-0000BC930000}"/>
    <cellStyle name="40% - Accent6 3 4 8" xfId="19688" xr:uid="{00000000-0005-0000-0000-0000BD930000}"/>
    <cellStyle name="40% - Accent6 3 4 9" xfId="29413" xr:uid="{00000000-0005-0000-0000-0000BE930000}"/>
    <cellStyle name="40% - Accent6 3 5" xfId="848" xr:uid="{00000000-0005-0000-0000-0000BF930000}"/>
    <cellStyle name="40% - Accent6 3 5 2" xfId="2487" xr:uid="{00000000-0005-0000-0000-0000C0930000}"/>
    <cellStyle name="40% - Accent6 3 5 2 2" xfId="7349" xr:uid="{00000000-0005-0000-0000-0000C1930000}"/>
    <cellStyle name="40% - Accent6 3 5 2 2 2" xfId="26800" xr:uid="{00000000-0005-0000-0000-0000C2930000}"/>
    <cellStyle name="40% - Accent6 3 5 2 2 3" xfId="36525" xr:uid="{00000000-0005-0000-0000-0000C3930000}"/>
    <cellStyle name="40% - Accent6 3 5 2 2 4" xfId="46250" xr:uid="{00000000-0005-0000-0000-0000C4930000}"/>
    <cellStyle name="40% - Accent6 3 5 2 2 5" xfId="17075" xr:uid="{00000000-0005-0000-0000-0000C5930000}"/>
    <cellStyle name="40% - Accent6 3 5 2 3" xfId="21938" xr:uid="{00000000-0005-0000-0000-0000C6930000}"/>
    <cellStyle name="40% - Accent6 3 5 2 4" xfId="31663" xr:uid="{00000000-0005-0000-0000-0000C7930000}"/>
    <cellStyle name="40% - Accent6 3 5 2 5" xfId="41388" xr:uid="{00000000-0005-0000-0000-0000C8930000}"/>
    <cellStyle name="40% - Accent6 3 5 2 6" xfId="12213" xr:uid="{00000000-0005-0000-0000-0000C9930000}"/>
    <cellStyle name="40% - Accent6 3 5 3" xfId="4107" xr:uid="{00000000-0005-0000-0000-0000CA930000}"/>
    <cellStyle name="40% - Accent6 3 5 3 2" xfId="8969" xr:uid="{00000000-0005-0000-0000-0000CB930000}"/>
    <cellStyle name="40% - Accent6 3 5 3 2 2" xfId="28420" xr:uid="{00000000-0005-0000-0000-0000CC930000}"/>
    <cellStyle name="40% - Accent6 3 5 3 2 3" xfId="38145" xr:uid="{00000000-0005-0000-0000-0000CD930000}"/>
    <cellStyle name="40% - Accent6 3 5 3 2 4" xfId="47870" xr:uid="{00000000-0005-0000-0000-0000CE930000}"/>
    <cellStyle name="40% - Accent6 3 5 3 2 5" xfId="18695" xr:uid="{00000000-0005-0000-0000-0000CF930000}"/>
    <cellStyle name="40% - Accent6 3 5 3 3" xfId="23558" xr:uid="{00000000-0005-0000-0000-0000D0930000}"/>
    <cellStyle name="40% - Accent6 3 5 3 4" xfId="33283" xr:uid="{00000000-0005-0000-0000-0000D1930000}"/>
    <cellStyle name="40% - Accent6 3 5 3 5" xfId="43008" xr:uid="{00000000-0005-0000-0000-0000D2930000}"/>
    <cellStyle name="40% - Accent6 3 5 3 6" xfId="13833" xr:uid="{00000000-0005-0000-0000-0000D3930000}"/>
    <cellStyle name="40% - Accent6 3 5 4" xfId="5729" xr:uid="{00000000-0005-0000-0000-0000D4930000}"/>
    <cellStyle name="40% - Accent6 3 5 4 2" xfId="25180" xr:uid="{00000000-0005-0000-0000-0000D5930000}"/>
    <cellStyle name="40% - Accent6 3 5 4 3" xfId="34905" xr:uid="{00000000-0005-0000-0000-0000D6930000}"/>
    <cellStyle name="40% - Accent6 3 5 4 4" xfId="44630" xr:uid="{00000000-0005-0000-0000-0000D7930000}"/>
    <cellStyle name="40% - Accent6 3 5 4 5" xfId="15455" xr:uid="{00000000-0005-0000-0000-0000D8930000}"/>
    <cellStyle name="40% - Accent6 3 5 5" xfId="20318" xr:uid="{00000000-0005-0000-0000-0000D9930000}"/>
    <cellStyle name="40% - Accent6 3 5 6" xfId="30043" xr:uid="{00000000-0005-0000-0000-0000DA930000}"/>
    <cellStyle name="40% - Accent6 3 5 7" xfId="39768" xr:uid="{00000000-0005-0000-0000-0000DB930000}"/>
    <cellStyle name="40% - Accent6 3 5 8" xfId="10593" xr:uid="{00000000-0005-0000-0000-0000DC930000}"/>
    <cellStyle name="40% - Accent6 3 6" xfId="1226" xr:uid="{00000000-0005-0000-0000-0000DD930000}"/>
    <cellStyle name="40% - Accent6 3 6 2" xfId="2847" xr:uid="{00000000-0005-0000-0000-0000DE930000}"/>
    <cellStyle name="40% - Accent6 3 6 2 2" xfId="7709" xr:uid="{00000000-0005-0000-0000-0000DF930000}"/>
    <cellStyle name="40% - Accent6 3 6 2 2 2" xfId="27160" xr:uid="{00000000-0005-0000-0000-0000E0930000}"/>
    <cellStyle name="40% - Accent6 3 6 2 2 3" xfId="36885" xr:uid="{00000000-0005-0000-0000-0000E1930000}"/>
    <cellStyle name="40% - Accent6 3 6 2 2 4" xfId="46610" xr:uid="{00000000-0005-0000-0000-0000E2930000}"/>
    <cellStyle name="40% - Accent6 3 6 2 2 5" xfId="17435" xr:uid="{00000000-0005-0000-0000-0000E3930000}"/>
    <cellStyle name="40% - Accent6 3 6 2 3" xfId="22298" xr:uid="{00000000-0005-0000-0000-0000E4930000}"/>
    <cellStyle name="40% - Accent6 3 6 2 4" xfId="32023" xr:uid="{00000000-0005-0000-0000-0000E5930000}"/>
    <cellStyle name="40% - Accent6 3 6 2 5" xfId="41748" xr:uid="{00000000-0005-0000-0000-0000E6930000}"/>
    <cellStyle name="40% - Accent6 3 6 2 6" xfId="12573" xr:uid="{00000000-0005-0000-0000-0000E7930000}"/>
    <cellStyle name="40% - Accent6 3 6 3" xfId="4467" xr:uid="{00000000-0005-0000-0000-0000E8930000}"/>
    <cellStyle name="40% - Accent6 3 6 3 2" xfId="9329" xr:uid="{00000000-0005-0000-0000-0000E9930000}"/>
    <cellStyle name="40% - Accent6 3 6 3 2 2" xfId="28780" xr:uid="{00000000-0005-0000-0000-0000EA930000}"/>
    <cellStyle name="40% - Accent6 3 6 3 2 3" xfId="38505" xr:uid="{00000000-0005-0000-0000-0000EB930000}"/>
    <cellStyle name="40% - Accent6 3 6 3 2 4" xfId="48230" xr:uid="{00000000-0005-0000-0000-0000EC930000}"/>
    <cellStyle name="40% - Accent6 3 6 3 2 5" xfId="19055" xr:uid="{00000000-0005-0000-0000-0000ED930000}"/>
    <cellStyle name="40% - Accent6 3 6 3 3" xfId="23918" xr:uid="{00000000-0005-0000-0000-0000EE930000}"/>
    <cellStyle name="40% - Accent6 3 6 3 4" xfId="33643" xr:uid="{00000000-0005-0000-0000-0000EF930000}"/>
    <cellStyle name="40% - Accent6 3 6 3 5" xfId="43368" xr:uid="{00000000-0005-0000-0000-0000F0930000}"/>
    <cellStyle name="40% - Accent6 3 6 3 6" xfId="14193" xr:uid="{00000000-0005-0000-0000-0000F1930000}"/>
    <cellStyle name="40% - Accent6 3 6 4" xfId="6089" xr:uid="{00000000-0005-0000-0000-0000F2930000}"/>
    <cellStyle name="40% - Accent6 3 6 4 2" xfId="25540" xr:uid="{00000000-0005-0000-0000-0000F3930000}"/>
    <cellStyle name="40% - Accent6 3 6 4 3" xfId="35265" xr:uid="{00000000-0005-0000-0000-0000F4930000}"/>
    <cellStyle name="40% - Accent6 3 6 4 4" xfId="44990" xr:uid="{00000000-0005-0000-0000-0000F5930000}"/>
    <cellStyle name="40% - Accent6 3 6 4 5" xfId="15815" xr:uid="{00000000-0005-0000-0000-0000F6930000}"/>
    <cellStyle name="40% - Accent6 3 6 5" xfId="20678" xr:uid="{00000000-0005-0000-0000-0000F7930000}"/>
    <cellStyle name="40% - Accent6 3 6 6" xfId="30403" xr:uid="{00000000-0005-0000-0000-0000F8930000}"/>
    <cellStyle name="40% - Accent6 3 6 7" xfId="40128" xr:uid="{00000000-0005-0000-0000-0000F9930000}"/>
    <cellStyle name="40% - Accent6 3 6 8" xfId="10953" xr:uid="{00000000-0005-0000-0000-0000FA930000}"/>
    <cellStyle name="40% - Accent6 3 7" xfId="1316" xr:uid="{00000000-0005-0000-0000-0000FB930000}"/>
    <cellStyle name="40% - Accent6 3 7 2" xfId="2937" xr:uid="{00000000-0005-0000-0000-0000FC930000}"/>
    <cellStyle name="40% - Accent6 3 7 2 2" xfId="7799" xr:uid="{00000000-0005-0000-0000-0000FD930000}"/>
    <cellStyle name="40% - Accent6 3 7 2 2 2" xfId="27250" xr:uid="{00000000-0005-0000-0000-0000FE930000}"/>
    <cellStyle name="40% - Accent6 3 7 2 2 3" xfId="36975" xr:uid="{00000000-0005-0000-0000-0000FF930000}"/>
    <cellStyle name="40% - Accent6 3 7 2 2 4" xfId="46700" xr:uid="{00000000-0005-0000-0000-000000940000}"/>
    <cellStyle name="40% - Accent6 3 7 2 2 5" xfId="17525" xr:uid="{00000000-0005-0000-0000-000001940000}"/>
    <cellStyle name="40% - Accent6 3 7 2 3" xfId="22388" xr:uid="{00000000-0005-0000-0000-000002940000}"/>
    <cellStyle name="40% - Accent6 3 7 2 4" xfId="32113" xr:uid="{00000000-0005-0000-0000-000003940000}"/>
    <cellStyle name="40% - Accent6 3 7 2 5" xfId="41838" xr:uid="{00000000-0005-0000-0000-000004940000}"/>
    <cellStyle name="40% - Accent6 3 7 2 6" xfId="12663" xr:uid="{00000000-0005-0000-0000-000005940000}"/>
    <cellStyle name="40% - Accent6 3 7 3" xfId="4557" xr:uid="{00000000-0005-0000-0000-000006940000}"/>
    <cellStyle name="40% - Accent6 3 7 3 2" xfId="9419" xr:uid="{00000000-0005-0000-0000-000007940000}"/>
    <cellStyle name="40% - Accent6 3 7 3 2 2" xfId="28870" xr:uid="{00000000-0005-0000-0000-000008940000}"/>
    <cellStyle name="40% - Accent6 3 7 3 2 3" xfId="38595" xr:uid="{00000000-0005-0000-0000-000009940000}"/>
    <cellStyle name="40% - Accent6 3 7 3 2 4" xfId="48320" xr:uid="{00000000-0005-0000-0000-00000A940000}"/>
    <cellStyle name="40% - Accent6 3 7 3 2 5" xfId="19145" xr:uid="{00000000-0005-0000-0000-00000B940000}"/>
    <cellStyle name="40% - Accent6 3 7 3 3" xfId="24008" xr:uid="{00000000-0005-0000-0000-00000C940000}"/>
    <cellStyle name="40% - Accent6 3 7 3 4" xfId="33733" xr:uid="{00000000-0005-0000-0000-00000D940000}"/>
    <cellStyle name="40% - Accent6 3 7 3 5" xfId="43458" xr:uid="{00000000-0005-0000-0000-00000E940000}"/>
    <cellStyle name="40% - Accent6 3 7 3 6" xfId="14283" xr:uid="{00000000-0005-0000-0000-00000F940000}"/>
    <cellStyle name="40% - Accent6 3 7 4" xfId="6179" xr:uid="{00000000-0005-0000-0000-000010940000}"/>
    <cellStyle name="40% - Accent6 3 7 4 2" xfId="25630" xr:uid="{00000000-0005-0000-0000-000011940000}"/>
    <cellStyle name="40% - Accent6 3 7 4 3" xfId="35355" xr:uid="{00000000-0005-0000-0000-000012940000}"/>
    <cellStyle name="40% - Accent6 3 7 4 4" xfId="45080" xr:uid="{00000000-0005-0000-0000-000013940000}"/>
    <cellStyle name="40% - Accent6 3 7 4 5" xfId="15905" xr:uid="{00000000-0005-0000-0000-000014940000}"/>
    <cellStyle name="40% - Accent6 3 7 5" xfId="20768" xr:uid="{00000000-0005-0000-0000-000015940000}"/>
    <cellStyle name="40% - Accent6 3 7 6" xfId="30493" xr:uid="{00000000-0005-0000-0000-000016940000}"/>
    <cellStyle name="40% - Accent6 3 7 7" xfId="40218" xr:uid="{00000000-0005-0000-0000-000017940000}"/>
    <cellStyle name="40% - Accent6 3 7 8" xfId="11043" xr:uid="{00000000-0005-0000-0000-000018940000}"/>
    <cellStyle name="40% - Accent6 3 8" xfId="487" xr:uid="{00000000-0005-0000-0000-000019940000}"/>
    <cellStyle name="40% - Accent6 3 8 2" xfId="2127" xr:uid="{00000000-0005-0000-0000-00001A940000}"/>
    <cellStyle name="40% - Accent6 3 8 2 2" xfId="6989" xr:uid="{00000000-0005-0000-0000-00001B940000}"/>
    <cellStyle name="40% - Accent6 3 8 2 2 2" xfId="26440" xr:uid="{00000000-0005-0000-0000-00001C940000}"/>
    <cellStyle name="40% - Accent6 3 8 2 2 3" xfId="36165" xr:uid="{00000000-0005-0000-0000-00001D940000}"/>
    <cellStyle name="40% - Accent6 3 8 2 2 4" xfId="45890" xr:uid="{00000000-0005-0000-0000-00001E940000}"/>
    <cellStyle name="40% - Accent6 3 8 2 2 5" xfId="16715" xr:uid="{00000000-0005-0000-0000-00001F940000}"/>
    <cellStyle name="40% - Accent6 3 8 2 3" xfId="21578" xr:uid="{00000000-0005-0000-0000-000020940000}"/>
    <cellStyle name="40% - Accent6 3 8 2 4" xfId="31303" xr:uid="{00000000-0005-0000-0000-000021940000}"/>
    <cellStyle name="40% - Accent6 3 8 2 5" xfId="41028" xr:uid="{00000000-0005-0000-0000-000022940000}"/>
    <cellStyle name="40% - Accent6 3 8 2 6" xfId="11853" xr:uid="{00000000-0005-0000-0000-000023940000}"/>
    <cellStyle name="40% - Accent6 3 8 3" xfId="3747" xr:uid="{00000000-0005-0000-0000-000024940000}"/>
    <cellStyle name="40% - Accent6 3 8 3 2" xfId="8609" xr:uid="{00000000-0005-0000-0000-000025940000}"/>
    <cellStyle name="40% - Accent6 3 8 3 2 2" xfId="28060" xr:uid="{00000000-0005-0000-0000-000026940000}"/>
    <cellStyle name="40% - Accent6 3 8 3 2 3" xfId="37785" xr:uid="{00000000-0005-0000-0000-000027940000}"/>
    <cellStyle name="40% - Accent6 3 8 3 2 4" xfId="47510" xr:uid="{00000000-0005-0000-0000-000028940000}"/>
    <cellStyle name="40% - Accent6 3 8 3 2 5" xfId="18335" xr:uid="{00000000-0005-0000-0000-000029940000}"/>
    <cellStyle name="40% - Accent6 3 8 3 3" xfId="23198" xr:uid="{00000000-0005-0000-0000-00002A940000}"/>
    <cellStyle name="40% - Accent6 3 8 3 4" xfId="32923" xr:uid="{00000000-0005-0000-0000-00002B940000}"/>
    <cellStyle name="40% - Accent6 3 8 3 5" xfId="42648" xr:uid="{00000000-0005-0000-0000-00002C940000}"/>
    <cellStyle name="40% - Accent6 3 8 3 6" xfId="13473" xr:uid="{00000000-0005-0000-0000-00002D940000}"/>
    <cellStyle name="40% - Accent6 3 8 4" xfId="5369" xr:uid="{00000000-0005-0000-0000-00002E940000}"/>
    <cellStyle name="40% - Accent6 3 8 4 2" xfId="24820" xr:uid="{00000000-0005-0000-0000-00002F940000}"/>
    <cellStyle name="40% - Accent6 3 8 4 3" xfId="34545" xr:uid="{00000000-0005-0000-0000-000030940000}"/>
    <cellStyle name="40% - Accent6 3 8 4 4" xfId="44270" xr:uid="{00000000-0005-0000-0000-000031940000}"/>
    <cellStyle name="40% - Accent6 3 8 4 5" xfId="15095" xr:uid="{00000000-0005-0000-0000-000032940000}"/>
    <cellStyle name="40% - Accent6 3 8 5" xfId="19958" xr:uid="{00000000-0005-0000-0000-000033940000}"/>
    <cellStyle name="40% - Accent6 3 8 6" xfId="29683" xr:uid="{00000000-0005-0000-0000-000034940000}"/>
    <cellStyle name="40% - Accent6 3 8 7" xfId="39408" xr:uid="{00000000-0005-0000-0000-000035940000}"/>
    <cellStyle name="40% - Accent6 3 8 8" xfId="10233" xr:uid="{00000000-0005-0000-0000-000036940000}"/>
    <cellStyle name="40% - Accent6 3 9" xfId="1676" xr:uid="{00000000-0005-0000-0000-000037940000}"/>
    <cellStyle name="40% - Accent6 3 9 2" xfId="3297" xr:uid="{00000000-0005-0000-0000-000038940000}"/>
    <cellStyle name="40% - Accent6 3 9 2 2" xfId="8159" xr:uid="{00000000-0005-0000-0000-000039940000}"/>
    <cellStyle name="40% - Accent6 3 9 2 2 2" xfId="27610" xr:uid="{00000000-0005-0000-0000-00003A940000}"/>
    <cellStyle name="40% - Accent6 3 9 2 2 3" xfId="37335" xr:uid="{00000000-0005-0000-0000-00003B940000}"/>
    <cellStyle name="40% - Accent6 3 9 2 2 4" xfId="47060" xr:uid="{00000000-0005-0000-0000-00003C940000}"/>
    <cellStyle name="40% - Accent6 3 9 2 2 5" xfId="17885" xr:uid="{00000000-0005-0000-0000-00003D940000}"/>
    <cellStyle name="40% - Accent6 3 9 2 3" xfId="22748" xr:uid="{00000000-0005-0000-0000-00003E940000}"/>
    <cellStyle name="40% - Accent6 3 9 2 4" xfId="32473" xr:uid="{00000000-0005-0000-0000-00003F940000}"/>
    <cellStyle name="40% - Accent6 3 9 2 5" xfId="42198" xr:uid="{00000000-0005-0000-0000-000040940000}"/>
    <cellStyle name="40% - Accent6 3 9 2 6" xfId="13023" xr:uid="{00000000-0005-0000-0000-000041940000}"/>
    <cellStyle name="40% - Accent6 3 9 3" xfId="4917" xr:uid="{00000000-0005-0000-0000-000042940000}"/>
    <cellStyle name="40% - Accent6 3 9 3 2" xfId="9779" xr:uid="{00000000-0005-0000-0000-000043940000}"/>
    <cellStyle name="40% - Accent6 3 9 3 2 2" xfId="29230" xr:uid="{00000000-0005-0000-0000-000044940000}"/>
    <cellStyle name="40% - Accent6 3 9 3 2 3" xfId="38955" xr:uid="{00000000-0005-0000-0000-000045940000}"/>
    <cellStyle name="40% - Accent6 3 9 3 2 4" xfId="48680" xr:uid="{00000000-0005-0000-0000-000046940000}"/>
    <cellStyle name="40% - Accent6 3 9 3 2 5" xfId="19505" xr:uid="{00000000-0005-0000-0000-000047940000}"/>
    <cellStyle name="40% - Accent6 3 9 3 3" xfId="24368" xr:uid="{00000000-0005-0000-0000-000048940000}"/>
    <cellStyle name="40% - Accent6 3 9 3 4" xfId="34093" xr:uid="{00000000-0005-0000-0000-000049940000}"/>
    <cellStyle name="40% - Accent6 3 9 3 5" xfId="43818" xr:uid="{00000000-0005-0000-0000-00004A940000}"/>
    <cellStyle name="40% - Accent6 3 9 3 6" xfId="14643" xr:uid="{00000000-0005-0000-0000-00004B940000}"/>
    <cellStyle name="40% - Accent6 3 9 4" xfId="6539" xr:uid="{00000000-0005-0000-0000-00004C940000}"/>
    <cellStyle name="40% - Accent6 3 9 4 2" xfId="25990" xr:uid="{00000000-0005-0000-0000-00004D940000}"/>
    <cellStyle name="40% - Accent6 3 9 4 3" xfId="35715" xr:uid="{00000000-0005-0000-0000-00004E940000}"/>
    <cellStyle name="40% - Accent6 3 9 4 4" xfId="45440" xr:uid="{00000000-0005-0000-0000-00004F940000}"/>
    <cellStyle name="40% - Accent6 3 9 4 5" xfId="16265" xr:uid="{00000000-0005-0000-0000-000050940000}"/>
    <cellStyle name="40% - Accent6 3 9 5" xfId="21128" xr:uid="{00000000-0005-0000-0000-000051940000}"/>
    <cellStyle name="40% - Accent6 3 9 6" xfId="30853" xr:uid="{00000000-0005-0000-0000-000052940000}"/>
    <cellStyle name="40% - Accent6 3 9 7" xfId="40578" xr:uid="{00000000-0005-0000-0000-000053940000}"/>
    <cellStyle name="40% - Accent6 3 9 8" xfId="11403" xr:uid="{00000000-0005-0000-0000-000054940000}"/>
    <cellStyle name="40% - Accent6 4" xfId="113" xr:uid="{00000000-0005-0000-0000-000055940000}"/>
    <cellStyle name="40% - Accent6 4 10" xfId="1797" xr:uid="{00000000-0005-0000-0000-000056940000}"/>
    <cellStyle name="40% - Accent6 4 10 2" xfId="6659" xr:uid="{00000000-0005-0000-0000-000057940000}"/>
    <cellStyle name="40% - Accent6 4 10 2 2" xfId="26110" xr:uid="{00000000-0005-0000-0000-000058940000}"/>
    <cellStyle name="40% - Accent6 4 10 2 3" xfId="35835" xr:uid="{00000000-0005-0000-0000-000059940000}"/>
    <cellStyle name="40% - Accent6 4 10 2 4" xfId="45560" xr:uid="{00000000-0005-0000-0000-00005A940000}"/>
    <cellStyle name="40% - Accent6 4 10 2 5" xfId="16385" xr:uid="{00000000-0005-0000-0000-00005B940000}"/>
    <cellStyle name="40% - Accent6 4 10 3" xfId="21248" xr:uid="{00000000-0005-0000-0000-00005C940000}"/>
    <cellStyle name="40% - Accent6 4 10 4" xfId="30973" xr:uid="{00000000-0005-0000-0000-00005D940000}"/>
    <cellStyle name="40% - Accent6 4 10 5" xfId="40698" xr:uid="{00000000-0005-0000-0000-00005E940000}"/>
    <cellStyle name="40% - Accent6 4 10 6" xfId="11523" xr:uid="{00000000-0005-0000-0000-00005F940000}"/>
    <cellStyle name="40% - Accent6 4 11" xfId="3417" xr:uid="{00000000-0005-0000-0000-000060940000}"/>
    <cellStyle name="40% - Accent6 4 11 2" xfId="8279" xr:uid="{00000000-0005-0000-0000-000061940000}"/>
    <cellStyle name="40% - Accent6 4 11 2 2" xfId="27730" xr:uid="{00000000-0005-0000-0000-000062940000}"/>
    <cellStyle name="40% - Accent6 4 11 2 3" xfId="37455" xr:uid="{00000000-0005-0000-0000-000063940000}"/>
    <cellStyle name="40% - Accent6 4 11 2 4" xfId="47180" xr:uid="{00000000-0005-0000-0000-000064940000}"/>
    <cellStyle name="40% - Accent6 4 11 2 5" xfId="18005" xr:uid="{00000000-0005-0000-0000-000065940000}"/>
    <cellStyle name="40% - Accent6 4 11 3" xfId="22868" xr:uid="{00000000-0005-0000-0000-000066940000}"/>
    <cellStyle name="40% - Accent6 4 11 4" xfId="32593" xr:uid="{00000000-0005-0000-0000-000067940000}"/>
    <cellStyle name="40% - Accent6 4 11 5" xfId="42318" xr:uid="{00000000-0005-0000-0000-000068940000}"/>
    <cellStyle name="40% - Accent6 4 11 6" xfId="13143" xr:uid="{00000000-0005-0000-0000-000069940000}"/>
    <cellStyle name="40% - Accent6 4 12" xfId="5039" xr:uid="{00000000-0005-0000-0000-00006A940000}"/>
    <cellStyle name="40% - Accent6 4 12 2" xfId="24490" xr:uid="{00000000-0005-0000-0000-00006B940000}"/>
    <cellStyle name="40% - Accent6 4 12 3" xfId="34215" xr:uid="{00000000-0005-0000-0000-00006C940000}"/>
    <cellStyle name="40% - Accent6 4 12 4" xfId="43940" xr:uid="{00000000-0005-0000-0000-00006D940000}"/>
    <cellStyle name="40% - Accent6 4 12 5" xfId="14765" xr:uid="{00000000-0005-0000-0000-00006E940000}"/>
    <cellStyle name="40% - Accent6 4 13" xfId="19628" xr:uid="{00000000-0005-0000-0000-00006F940000}"/>
    <cellStyle name="40% - Accent6 4 14" xfId="29353" xr:uid="{00000000-0005-0000-0000-000070940000}"/>
    <cellStyle name="40% - Accent6 4 15" xfId="39078" xr:uid="{00000000-0005-0000-0000-000071940000}"/>
    <cellStyle name="40% - Accent6 4 16" xfId="9903" xr:uid="{00000000-0005-0000-0000-000072940000}"/>
    <cellStyle name="40% - Accent6 4 2" xfId="295" xr:uid="{00000000-0005-0000-0000-000073940000}"/>
    <cellStyle name="40% - Accent6 4 2 10" xfId="39258" xr:uid="{00000000-0005-0000-0000-000074940000}"/>
    <cellStyle name="40% - Accent6 4 2 11" xfId="10083" xr:uid="{00000000-0005-0000-0000-000075940000}"/>
    <cellStyle name="40% - Accent6 4 2 2" xfId="1059" xr:uid="{00000000-0005-0000-0000-000076940000}"/>
    <cellStyle name="40% - Accent6 4 2 2 2" xfId="2697" xr:uid="{00000000-0005-0000-0000-000077940000}"/>
    <cellStyle name="40% - Accent6 4 2 2 2 2" xfId="7559" xr:uid="{00000000-0005-0000-0000-000078940000}"/>
    <cellStyle name="40% - Accent6 4 2 2 2 2 2" xfId="27010" xr:uid="{00000000-0005-0000-0000-000079940000}"/>
    <cellStyle name="40% - Accent6 4 2 2 2 2 3" xfId="36735" xr:uid="{00000000-0005-0000-0000-00007A940000}"/>
    <cellStyle name="40% - Accent6 4 2 2 2 2 4" xfId="46460" xr:uid="{00000000-0005-0000-0000-00007B940000}"/>
    <cellStyle name="40% - Accent6 4 2 2 2 2 5" xfId="17285" xr:uid="{00000000-0005-0000-0000-00007C940000}"/>
    <cellStyle name="40% - Accent6 4 2 2 2 3" xfId="22148" xr:uid="{00000000-0005-0000-0000-00007D940000}"/>
    <cellStyle name="40% - Accent6 4 2 2 2 4" xfId="31873" xr:uid="{00000000-0005-0000-0000-00007E940000}"/>
    <cellStyle name="40% - Accent6 4 2 2 2 5" xfId="41598" xr:uid="{00000000-0005-0000-0000-00007F940000}"/>
    <cellStyle name="40% - Accent6 4 2 2 2 6" xfId="12423" xr:uid="{00000000-0005-0000-0000-000080940000}"/>
    <cellStyle name="40% - Accent6 4 2 2 3" xfId="4317" xr:uid="{00000000-0005-0000-0000-000081940000}"/>
    <cellStyle name="40% - Accent6 4 2 2 3 2" xfId="9179" xr:uid="{00000000-0005-0000-0000-000082940000}"/>
    <cellStyle name="40% - Accent6 4 2 2 3 2 2" xfId="28630" xr:uid="{00000000-0005-0000-0000-000083940000}"/>
    <cellStyle name="40% - Accent6 4 2 2 3 2 3" xfId="38355" xr:uid="{00000000-0005-0000-0000-000084940000}"/>
    <cellStyle name="40% - Accent6 4 2 2 3 2 4" xfId="48080" xr:uid="{00000000-0005-0000-0000-000085940000}"/>
    <cellStyle name="40% - Accent6 4 2 2 3 2 5" xfId="18905" xr:uid="{00000000-0005-0000-0000-000086940000}"/>
    <cellStyle name="40% - Accent6 4 2 2 3 3" xfId="23768" xr:uid="{00000000-0005-0000-0000-000087940000}"/>
    <cellStyle name="40% - Accent6 4 2 2 3 4" xfId="33493" xr:uid="{00000000-0005-0000-0000-000088940000}"/>
    <cellStyle name="40% - Accent6 4 2 2 3 5" xfId="43218" xr:uid="{00000000-0005-0000-0000-000089940000}"/>
    <cellStyle name="40% - Accent6 4 2 2 3 6" xfId="14043" xr:uid="{00000000-0005-0000-0000-00008A940000}"/>
    <cellStyle name="40% - Accent6 4 2 2 4" xfId="5939" xr:uid="{00000000-0005-0000-0000-00008B940000}"/>
    <cellStyle name="40% - Accent6 4 2 2 4 2" xfId="25390" xr:uid="{00000000-0005-0000-0000-00008C940000}"/>
    <cellStyle name="40% - Accent6 4 2 2 4 3" xfId="35115" xr:uid="{00000000-0005-0000-0000-00008D940000}"/>
    <cellStyle name="40% - Accent6 4 2 2 4 4" xfId="44840" xr:uid="{00000000-0005-0000-0000-00008E940000}"/>
    <cellStyle name="40% - Accent6 4 2 2 4 5" xfId="15665" xr:uid="{00000000-0005-0000-0000-00008F940000}"/>
    <cellStyle name="40% - Accent6 4 2 2 5" xfId="20528" xr:uid="{00000000-0005-0000-0000-000090940000}"/>
    <cellStyle name="40% - Accent6 4 2 2 6" xfId="30253" xr:uid="{00000000-0005-0000-0000-000091940000}"/>
    <cellStyle name="40% - Accent6 4 2 2 7" xfId="39978" xr:uid="{00000000-0005-0000-0000-000092940000}"/>
    <cellStyle name="40% - Accent6 4 2 2 8" xfId="10803" xr:uid="{00000000-0005-0000-0000-000093940000}"/>
    <cellStyle name="40% - Accent6 4 2 3" xfId="1526" xr:uid="{00000000-0005-0000-0000-000094940000}"/>
    <cellStyle name="40% - Accent6 4 2 3 2" xfId="3147" xr:uid="{00000000-0005-0000-0000-000095940000}"/>
    <cellStyle name="40% - Accent6 4 2 3 2 2" xfId="8009" xr:uid="{00000000-0005-0000-0000-000096940000}"/>
    <cellStyle name="40% - Accent6 4 2 3 2 2 2" xfId="27460" xr:uid="{00000000-0005-0000-0000-000097940000}"/>
    <cellStyle name="40% - Accent6 4 2 3 2 2 3" xfId="37185" xr:uid="{00000000-0005-0000-0000-000098940000}"/>
    <cellStyle name="40% - Accent6 4 2 3 2 2 4" xfId="46910" xr:uid="{00000000-0005-0000-0000-000099940000}"/>
    <cellStyle name="40% - Accent6 4 2 3 2 2 5" xfId="17735" xr:uid="{00000000-0005-0000-0000-00009A940000}"/>
    <cellStyle name="40% - Accent6 4 2 3 2 3" xfId="22598" xr:uid="{00000000-0005-0000-0000-00009B940000}"/>
    <cellStyle name="40% - Accent6 4 2 3 2 4" xfId="32323" xr:uid="{00000000-0005-0000-0000-00009C940000}"/>
    <cellStyle name="40% - Accent6 4 2 3 2 5" xfId="42048" xr:uid="{00000000-0005-0000-0000-00009D940000}"/>
    <cellStyle name="40% - Accent6 4 2 3 2 6" xfId="12873" xr:uid="{00000000-0005-0000-0000-00009E940000}"/>
    <cellStyle name="40% - Accent6 4 2 3 3" xfId="4767" xr:uid="{00000000-0005-0000-0000-00009F940000}"/>
    <cellStyle name="40% - Accent6 4 2 3 3 2" xfId="9629" xr:uid="{00000000-0005-0000-0000-0000A0940000}"/>
    <cellStyle name="40% - Accent6 4 2 3 3 2 2" xfId="29080" xr:uid="{00000000-0005-0000-0000-0000A1940000}"/>
    <cellStyle name="40% - Accent6 4 2 3 3 2 3" xfId="38805" xr:uid="{00000000-0005-0000-0000-0000A2940000}"/>
    <cellStyle name="40% - Accent6 4 2 3 3 2 4" xfId="48530" xr:uid="{00000000-0005-0000-0000-0000A3940000}"/>
    <cellStyle name="40% - Accent6 4 2 3 3 2 5" xfId="19355" xr:uid="{00000000-0005-0000-0000-0000A4940000}"/>
    <cellStyle name="40% - Accent6 4 2 3 3 3" xfId="24218" xr:uid="{00000000-0005-0000-0000-0000A5940000}"/>
    <cellStyle name="40% - Accent6 4 2 3 3 4" xfId="33943" xr:uid="{00000000-0005-0000-0000-0000A6940000}"/>
    <cellStyle name="40% - Accent6 4 2 3 3 5" xfId="43668" xr:uid="{00000000-0005-0000-0000-0000A7940000}"/>
    <cellStyle name="40% - Accent6 4 2 3 3 6" xfId="14493" xr:uid="{00000000-0005-0000-0000-0000A8940000}"/>
    <cellStyle name="40% - Accent6 4 2 3 4" xfId="6389" xr:uid="{00000000-0005-0000-0000-0000A9940000}"/>
    <cellStyle name="40% - Accent6 4 2 3 4 2" xfId="25840" xr:uid="{00000000-0005-0000-0000-0000AA940000}"/>
    <cellStyle name="40% - Accent6 4 2 3 4 3" xfId="35565" xr:uid="{00000000-0005-0000-0000-0000AB940000}"/>
    <cellStyle name="40% - Accent6 4 2 3 4 4" xfId="45290" xr:uid="{00000000-0005-0000-0000-0000AC940000}"/>
    <cellStyle name="40% - Accent6 4 2 3 4 5" xfId="16115" xr:uid="{00000000-0005-0000-0000-0000AD940000}"/>
    <cellStyle name="40% - Accent6 4 2 3 5" xfId="20978" xr:uid="{00000000-0005-0000-0000-0000AE940000}"/>
    <cellStyle name="40% - Accent6 4 2 3 6" xfId="30703" xr:uid="{00000000-0005-0000-0000-0000AF940000}"/>
    <cellStyle name="40% - Accent6 4 2 3 7" xfId="40428" xr:uid="{00000000-0005-0000-0000-0000B0940000}"/>
    <cellStyle name="40% - Accent6 4 2 3 8" xfId="11253" xr:uid="{00000000-0005-0000-0000-0000B1940000}"/>
    <cellStyle name="40% - Accent6 4 2 4" xfId="697" xr:uid="{00000000-0005-0000-0000-0000B2940000}"/>
    <cellStyle name="40% - Accent6 4 2 4 2" xfId="2337" xr:uid="{00000000-0005-0000-0000-0000B3940000}"/>
    <cellStyle name="40% - Accent6 4 2 4 2 2" xfId="7199" xr:uid="{00000000-0005-0000-0000-0000B4940000}"/>
    <cellStyle name="40% - Accent6 4 2 4 2 2 2" xfId="26650" xr:uid="{00000000-0005-0000-0000-0000B5940000}"/>
    <cellStyle name="40% - Accent6 4 2 4 2 2 3" xfId="36375" xr:uid="{00000000-0005-0000-0000-0000B6940000}"/>
    <cellStyle name="40% - Accent6 4 2 4 2 2 4" xfId="46100" xr:uid="{00000000-0005-0000-0000-0000B7940000}"/>
    <cellStyle name="40% - Accent6 4 2 4 2 2 5" xfId="16925" xr:uid="{00000000-0005-0000-0000-0000B8940000}"/>
    <cellStyle name="40% - Accent6 4 2 4 2 3" xfId="21788" xr:uid="{00000000-0005-0000-0000-0000B9940000}"/>
    <cellStyle name="40% - Accent6 4 2 4 2 4" xfId="31513" xr:uid="{00000000-0005-0000-0000-0000BA940000}"/>
    <cellStyle name="40% - Accent6 4 2 4 2 5" xfId="41238" xr:uid="{00000000-0005-0000-0000-0000BB940000}"/>
    <cellStyle name="40% - Accent6 4 2 4 2 6" xfId="12063" xr:uid="{00000000-0005-0000-0000-0000BC940000}"/>
    <cellStyle name="40% - Accent6 4 2 4 3" xfId="3957" xr:uid="{00000000-0005-0000-0000-0000BD940000}"/>
    <cellStyle name="40% - Accent6 4 2 4 3 2" xfId="8819" xr:uid="{00000000-0005-0000-0000-0000BE940000}"/>
    <cellStyle name="40% - Accent6 4 2 4 3 2 2" xfId="28270" xr:uid="{00000000-0005-0000-0000-0000BF940000}"/>
    <cellStyle name="40% - Accent6 4 2 4 3 2 3" xfId="37995" xr:uid="{00000000-0005-0000-0000-0000C0940000}"/>
    <cellStyle name="40% - Accent6 4 2 4 3 2 4" xfId="47720" xr:uid="{00000000-0005-0000-0000-0000C1940000}"/>
    <cellStyle name="40% - Accent6 4 2 4 3 2 5" xfId="18545" xr:uid="{00000000-0005-0000-0000-0000C2940000}"/>
    <cellStyle name="40% - Accent6 4 2 4 3 3" xfId="23408" xr:uid="{00000000-0005-0000-0000-0000C3940000}"/>
    <cellStyle name="40% - Accent6 4 2 4 3 4" xfId="33133" xr:uid="{00000000-0005-0000-0000-0000C4940000}"/>
    <cellStyle name="40% - Accent6 4 2 4 3 5" xfId="42858" xr:uid="{00000000-0005-0000-0000-0000C5940000}"/>
    <cellStyle name="40% - Accent6 4 2 4 3 6" xfId="13683" xr:uid="{00000000-0005-0000-0000-0000C6940000}"/>
    <cellStyle name="40% - Accent6 4 2 4 4" xfId="5579" xr:uid="{00000000-0005-0000-0000-0000C7940000}"/>
    <cellStyle name="40% - Accent6 4 2 4 4 2" xfId="25030" xr:uid="{00000000-0005-0000-0000-0000C8940000}"/>
    <cellStyle name="40% - Accent6 4 2 4 4 3" xfId="34755" xr:uid="{00000000-0005-0000-0000-0000C9940000}"/>
    <cellStyle name="40% - Accent6 4 2 4 4 4" xfId="44480" xr:uid="{00000000-0005-0000-0000-0000CA940000}"/>
    <cellStyle name="40% - Accent6 4 2 4 4 5" xfId="15305" xr:uid="{00000000-0005-0000-0000-0000CB940000}"/>
    <cellStyle name="40% - Accent6 4 2 4 5" xfId="20168" xr:uid="{00000000-0005-0000-0000-0000CC940000}"/>
    <cellStyle name="40% - Accent6 4 2 4 6" xfId="29893" xr:uid="{00000000-0005-0000-0000-0000CD940000}"/>
    <cellStyle name="40% - Accent6 4 2 4 7" xfId="39618" xr:uid="{00000000-0005-0000-0000-0000CE940000}"/>
    <cellStyle name="40% - Accent6 4 2 4 8" xfId="10443" xr:uid="{00000000-0005-0000-0000-0000CF940000}"/>
    <cellStyle name="40% - Accent6 4 2 5" xfId="1977" xr:uid="{00000000-0005-0000-0000-0000D0940000}"/>
    <cellStyle name="40% - Accent6 4 2 5 2" xfId="6839" xr:uid="{00000000-0005-0000-0000-0000D1940000}"/>
    <cellStyle name="40% - Accent6 4 2 5 2 2" xfId="26290" xr:uid="{00000000-0005-0000-0000-0000D2940000}"/>
    <cellStyle name="40% - Accent6 4 2 5 2 3" xfId="36015" xr:uid="{00000000-0005-0000-0000-0000D3940000}"/>
    <cellStyle name="40% - Accent6 4 2 5 2 4" xfId="45740" xr:uid="{00000000-0005-0000-0000-0000D4940000}"/>
    <cellStyle name="40% - Accent6 4 2 5 2 5" xfId="16565" xr:uid="{00000000-0005-0000-0000-0000D5940000}"/>
    <cellStyle name="40% - Accent6 4 2 5 3" xfId="21428" xr:uid="{00000000-0005-0000-0000-0000D6940000}"/>
    <cellStyle name="40% - Accent6 4 2 5 4" xfId="31153" xr:uid="{00000000-0005-0000-0000-0000D7940000}"/>
    <cellStyle name="40% - Accent6 4 2 5 5" xfId="40878" xr:uid="{00000000-0005-0000-0000-0000D8940000}"/>
    <cellStyle name="40% - Accent6 4 2 5 6" xfId="11703" xr:uid="{00000000-0005-0000-0000-0000D9940000}"/>
    <cellStyle name="40% - Accent6 4 2 6" xfId="3597" xr:uid="{00000000-0005-0000-0000-0000DA940000}"/>
    <cellStyle name="40% - Accent6 4 2 6 2" xfId="8459" xr:uid="{00000000-0005-0000-0000-0000DB940000}"/>
    <cellStyle name="40% - Accent6 4 2 6 2 2" xfId="27910" xr:uid="{00000000-0005-0000-0000-0000DC940000}"/>
    <cellStyle name="40% - Accent6 4 2 6 2 3" xfId="37635" xr:uid="{00000000-0005-0000-0000-0000DD940000}"/>
    <cellStyle name="40% - Accent6 4 2 6 2 4" xfId="47360" xr:uid="{00000000-0005-0000-0000-0000DE940000}"/>
    <cellStyle name="40% - Accent6 4 2 6 2 5" xfId="18185" xr:uid="{00000000-0005-0000-0000-0000DF940000}"/>
    <cellStyle name="40% - Accent6 4 2 6 3" xfId="23048" xr:uid="{00000000-0005-0000-0000-0000E0940000}"/>
    <cellStyle name="40% - Accent6 4 2 6 4" xfId="32773" xr:uid="{00000000-0005-0000-0000-0000E1940000}"/>
    <cellStyle name="40% - Accent6 4 2 6 5" xfId="42498" xr:uid="{00000000-0005-0000-0000-0000E2940000}"/>
    <cellStyle name="40% - Accent6 4 2 6 6" xfId="13323" xr:uid="{00000000-0005-0000-0000-0000E3940000}"/>
    <cellStyle name="40% - Accent6 4 2 7" xfId="5219" xr:uid="{00000000-0005-0000-0000-0000E4940000}"/>
    <cellStyle name="40% - Accent6 4 2 7 2" xfId="24670" xr:uid="{00000000-0005-0000-0000-0000E5940000}"/>
    <cellStyle name="40% - Accent6 4 2 7 3" xfId="34395" xr:uid="{00000000-0005-0000-0000-0000E6940000}"/>
    <cellStyle name="40% - Accent6 4 2 7 4" xfId="44120" xr:uid="{00000000-0005-0000-0000-0000E7940000}"/>
    <cellStyle name="40% - Accent6 4 2 7 5" xfId="14945" xr:uid="{00000000-0005-0000-0000-0000E8940000}"/>
    <cellStyle name="40% - Accent6 4 2 8" xfId="19808" xr:uid="{00000000-0005-0000-0000-0000E9940000}"/>
    <cellStyle name="40% - Accent6 4 2 9" xfId="29533" xr:uid="{00000000-0005-0000-0000-0000EA940000}"/>
    <cellStyle name="40% - Accent6 4 3" xfId="386" xr:uid="{00000000-0005-0000-0000-0000EB940000}"/>
    <cellStyle name="40% - Accent6 4 3 10" xfId="39348" xr:uid="{00000000-0005-0000-0000-0000EC940000}"/>
    <cellStyle name="40% - Accent6 4 3 11" xfId="10173" xr:uid="{00000000-0005-0000-0000-0000ED940000}"/>
    <cellStyle name="40% - Accent6 4 3 2" xfId="1149" xr:uid="{00000000-0005-0000-0000-0000EE940000}"/>
    <cellStyle name="40% - Accent6 4 3 2 2" xfId="2787" xr:uid="{00000000-0005-0000-0000-0000EF940000}"/>
    <cellStyle name="40% - Accent6 4 3 2 2 2" xfId="7649" xr:uid="{00000000-0005-0000-0000-0000F0940000}"/>
    <cellStyle name="40% - Accent6 4 3 2 2 2 2" xfId="27100" xr:uid="{00000000-0005-0000-0000-0000F1940000}"/>
    <cellStyle name="40% - Accent6 4 3 2 2 2 3" xfId="36825" xr:uid="{00000000-0005-0000-0000-0000F2940000}"/>
    <cellStyle name="40% - Accent6 4 3 2 2 2 4" xfId="46550" xr:uid="{00000000-0005-0000-0000-0000F3940000}"/>
    <cellStyle name="40% - Accent6 4 3 2 2 2 5" xfId="17375" xr:uid="{00000000-0005-0000-0000-0000F4940000}"/>
    <cellStyle name="40% - Accent6 4 3 2 2 3" xfId="22238" xr:uid="{00000000-0005-0000-0000-0000F5940000}"/>
    <cellStyle name="40% - Accent6 4 3 2 2 4" xfId="31963" xr:uid="{00000000-0005-0000-0000-0000F6940000}"/>
    <cellStyle name="40% - Accent6 4 3 2 2 5" xfId="41688" xr:uid="{00000000-0005-0000-0000-0000F7940000}"/>
    <cellStyle name="40% - Accent6 4 3 2 2 6" xfId="12513" xr:uid="{00000000-0005-0000-0000-0000F8940000}"/>
    <cellStyle name="40% - Accent6 4 3 2 3" xfId="4407" xr:uid="{00000000-0005-0000-0000-0000F9940000}"/>
    <cellStyle name="40% - Accent6 4 3 2 3 2" xfId="9269" xr:uid="{00000000-0005-0000-0000-0000FA940000}"/>
    <cellStyle name="40% - Accent6 4 3 2 3 2 2" xfId="28720" xr:uid="{00000000-0005-0000-0000-0000FB940000}"/>
    <cellStyle name="40% - Accent6 4 3 2 3 2 3" xfId="38445" xr:uid="{00000000-0005-0000-0000-0000FC940000}"/>
    <cellStyle name="40% - Accent6 4 3 2 3 2 4" xfId="48170" xr:uid="{00000000-0005-0000-0000-0000FD940000}"/>
    <cellStyle name="40% - Accent6 4 3 2 3 2 5" xfId="18995" xr:uid="{00000000-0005-0000-0000-0000FE940000}"/>
    <cellStyle name="40% - Accent6 4 3 2 3 3" xfId="23858" xr:uid="{00000000-0005-0000-0000-0000FF940000}"/>
    <cellStyle name="40% - Accent6 4 3 2 3 4" xfId="33583" xr:uid="{00000000-0005-0000-0000-000000950000}"/>
    <cellStyle name="40% - Accent6 4 3 2 3 5" xfId="43308" xr:uid="{00000000-0005-0000-0000-000001950000}"/>
    <cellStyle name="40% - Accent6 4 3 2 3 6" xfId="14133" xr:uid="{00000000-0005-0000-0000-000002950000}"/>
    <cellStyle name="40% - Accent6 4 3 2 4" xfId="6029" xr:uid="{00000000-0005-0000-0000-000003950000}"/>
    <cellStyle name="40% - Accent6 4 3 2 4 2" xfId="25480" xr:uid="{00000000-0005-0000-0000-000004950000}"/>
    <cellStyle name="40% - Accent6 4 3 2 4 3" xfId="35205" xr:uid="{00000000-0005-0000-0000-000005950000}"/>
    <cellStyle name="40% - Accent6 4 3 2 4 4" xfId="44930" xr:uid="{00000000-0005-0000-0000-000006950000}"/>
    <cellStyle name="40% - Accent6 4 3 2 4 5" xfId="15755" xr:uid="{00000000-0005-0000-0000-000007950000}"/>
    <cellStyle name="40% - Accent6 4 3 2 5" xfId="20618" xr:uid="{00000000-0005-0000-0000-000008950000}"/>
    <cellStyle name="40% - Accent6 4 3 2 6" xfId="30343" xr:uid="{00000000-0005-0000-0000-000009950000}"/>
    <cellStyle name="40% - Accent6 4 3 2 7" xfId="40068" xr:uid="{00000000-0005-0000-0000-00000A950000}"/>
    <cellStyle name="40% - Accent6 4 3 2 8" xfId="10893" xr:uid="{00000000-0005-0000-0000-00000B950000}"/>
    <cellStyle name="40% - Accent6 4 3 3" xfId="1616" xr:uid="{00000000-0005-0000-0000-00000C950000}"/>
    <cellStyle name="40% - Accent6 4 3 3 2" xfId="3237" xr:uid="{00000000-0005-0000-0000-00000D950000}"/>
    <cellStyle name="40% - Accent6 4 3 3 2 2" xfId="8099" xr:uid="{00000000-0005-0000-0000-00000E950000}"/>
    <cellStyle name="40% - Accent6 4 3 3 2 2 2" xfId="27550" xr:uid="{00000000-0005-0000-0000-00000F950000}"/>
    <cellStyle name="40% - Accent6 4 3 3 2 2 3" xfId="37275" xr:uid="{00000000-0005-0000-0000-000010950000}"/>
    <cellStyle name="40% - Accent6 4 3 3 2 2 4" xfId="47000" xr:uid="{00000000-0005-0000-0000-000011950000}"/>
    <cellStyle name="40% - Accent6 4 3 3 2 2 5" xfId="17825" xr:uid="{00000000-0005-0000-0000-000012950000}"/>
    <cellStyle name="40% - Accent6 4 3 3 2 3" xfId="22688" xr:uid="{00000000-0005-0000-0000-000013950000}"/>
    <cellStyle name="40% - Accent6 4 3 3 2 4" xfId="32413" xr:uid="{00000000-0005-0000-0000-000014950000}"/>
    <cellStyle name="40% - Accent6 4 3 3 2 5" xfId="42138" xr:uid="{00000000-0005-0000-0000-000015950000}"/>
    <cellStyle name="40% - Accent6 4 3 3 2 6" xfId="12963" xr:uid="{00000000-0005-0000-0000-000016950000}"/>
    <cellStyle name="40% - Accent6 4 3 3 3" xfId="4857" xr:uid="{00000000-0005-0000-0000-000017950000}"/>
    <cellStyle name="40% - Accent6 4 3 3 3 2" xfId="9719" xr:uid="{00000000-0005-0000-0000-000018950000}"/>
    <cellStyle name="40% - Accent6 4 3 3 3 2 2" xfId="29170" xr:uid="{00000000-0005-0000-0000-000019950000}"/>
    <cellStyle name="40% - Accent6 4 3 3 3 2 3" xfId="38895" xr:uid="{00000000-0005-0000-0000-00001A950000}"/>
    <cellStyle name="40% - Accent6 4 3 3 3 2 4" xfId="48620" xr:uid="{00000000-0005-0000-0000-00001B950000}"/>
    <cellStyle name="40% - Accent6 4 3 3 3 2 5" xfId="19445" xr:uid="{00000000-0005-0000-0000-00001C950000}"/>
    <cellStyle name="40% - Accent6 4 3 3 3 3" xfId="24308" xr:uid="{00000000-0005-0000-0000-00001D950000}"/>
    <cellStyle name="40% - Accent6 4 3 3 3 4" xfId="34033" xr:uid="{00000000-0005-0000-0000-00001E950000}"/>
    <cellStyle name="40% - Accent6 4 3 3 3 5" xfId="43758" xr:uid="{00000000-0005-0000-0000-00001F950000}"/>
    <cellStyle name="40% - Accent6 4 3 3 3 6" xfId="14583" xr:uid="{00000000-0005-0000-0000-000020950000}"/>
    <cellStyle name="40% - Accent6 4 3 3 4" xfId="6479" xr:uid="{00000000-0005-0000-0000-000021950000}"/>
    <cellStyle name="40% - Accent6 4 3 3 4 2" xfId="25930" xr:uid="{00000000-0005-0000-0000-000022950000}"/>
    <cellStyle name="40% - Accent6 4 3 3 4 3" xfId="35655" xr:uid="{00000000-0005-0000-0000-000023950000}"/>
    <cellStyle name="40% - Accent6 4 3 3 4 4" xfId="45380" xr:uid="{00000000-0005-0000-0000-000024950000}"/>
    <cellStyle name="40% - Accent6 4 3 3 4 5" xfId="16205" xr:uid="{00000000-0005-0000-0000-000025950000}"/>
    <cellStyle name="40% - Accent6 4 3 3 5" xfId="21068" xr:uid="{00000000-0005-0000-0000-000026950000}"/>
    <cellStyle name="40% - Accent6 4 3 3 6" xfId="30793" xr:uid="{00000000-0005-0000-0000-000027950000}"/>
    <cellStyle name="40% - Accent6 4 3 3 7" xfId="40518" xr:uid="{00000000-0005-0000-0000-000028950000}"/>
    <cellStyle name="40% - Accent6 4 3 3 8" xfId="11343" xr:uid="{00000000-0005-0000-0000-000029950000}"/>
    <cellStyle name="40% - Accent6 4 3 4" xfId="787" xr:uid="{00000000-0005-0000-0000-00002A950000}"/>
    <cellStyle name="40% - Accent6 4 3 4 2" xfId="2427" xr:uid="{00000000-0005-0000-0000-00002B950000}"/>
    <cellStyle name="40% - Accent6 4 3 4 2 2" xfId="7289" xr:uid="{00000000-0005-0000-0000-00002C950000}"/>
    <cellStyle name="40% - Accent6 4 3 4 2 2 2" xfId="26740" xr:uid="{00000000-0005-0000-0000-00002D950000}"/>
    <cellStyle name="40% - Accent6 4 3 4 2 2 3" xfId="36465" xr:uid="{00000000-0005-0000-0000-00002E950000}"/>
    <cellStyle name="40% - Accent6 4 3 4 2 2 4" xfId="46190" xr:uid="{00000000-0005-0000-0000-00002F950000}"/>
    <cellStyle name="40% - Accent6 4 3 4 2 2 5" xfId="17015" xr:uid="{00000000-0005-0000-0000-000030950000}"/>
    <cellStyle name="40% - Accent6 4 3 4 2 3" xfId="21878" xr:uid="{00000000-0005-0000-0000-000031950000}"/>
    <cellStyle name="40% - Accent6 4 3 4 2 4" xfId="31603" xr:uid="{00000000-0005-0000-0000-000032950000}"/>
    <cellStyle name="40% - Accent6 4 3 4 2 5" xfId="41328" xr:uid="{00000000-0005-0000-0000-000033950000}"/>
    <cellStyle name="40% - Accent6 4 3 4 2 6" xfId="12153" xr:uid="{00000000-0005-0000-0000-000034950000}"/>
    <cellStyle name="40% - Accent6 4 3 4 3" xfId="4047" xr:uid="{00000000-0005-0000-0000-000035950000}"/>
    <cellStyle name="40% - Accent6 4 3 4 3 2" xfId="8909" xr:uid="{00000000-0005-0000-0000-000036950000}"/>
    <cellStyle name="40% - Accent6 4 3 4 3 2 2" xfId="28360" xr:uid="{00000000-0005-0000-0000-000037950000}"/>
    <cellStyle name="40% - Accent6 4 3 4 3 2 3" xfId="38085" xr:uid="{00000000-0005-0000-0000-000038950000}"/>
    <cellStyle name="40% - Accent6 4 3 4 3 2 4" xfId="47810" xr:uid="{00000000-0005-0000-0000-000039950000}"/>
    <cellStyle name="40% - Accent6 4 3 4 3 2 5" xfId="18635" xr:uid="{00000000-0005-0000-0000-00003A950000}"/>
    <cellStyle name="40% - Accent6 4 3 4 3 3" xfId="23498" xr:uid="{00000000-0005-0000-0000-00003B950000}"/>
    <cellStyle name="40% - Accent6 4 3 4 3 4" xfId="33223" xr:uid="{00000000-0005-0000-0000-00003C950000}"/>
    <cellStyle name="40% - Accent6 4 3 4 3 5" xfId="42948" xr:uid="{00000000-0005-0000-0000-00003D950000}"/>
    <cellStyle name="40% - Accent6 4 3 4 3 6" xfId="13773" xr:uid="{00000000-0005-0000-0000-00003E950000}"/>
    <cellStyle name="40% - Accent6 4 3 4 4" xfId="5669" xr:uid="{00000000-0005-0000-0000-00003F950000}"/>
    <cellStyle name="40% - Accent6 4 3 4 4 2" xfId="25120" xr:uid="{00000000-0005-0000-0000-000040950000}"/>
    <cellStyle name="40% - Accent6 4 3 4 4 3" xfId="34845" xr:uid="{00000000-0005-0000-0000-000041950000}"/>
    <cellStyle name="40% - Accent6 4 3 4 4 4" xfId="44570" xr:uid="{00000000-0005-0000-0000-000042950000}"/>
    <cellStyle name="40% - Accent6 4 3 4 4 5" xfId="15395" xr:uid="{00000000-0005-0000-0000-000043950000}"/>
    <cellStyle name="40% - Accent6 4 3 4 5" xfId="20258" xr:uid="{00000000-0005-0000-0000-000044950000}"/>
    <cellStyle name="40% - Accent6 4 3 4 6" xfId="29983" xr:uid="{00000000-0005-0000-0000-000045950000}"/>
    <cellStyle name="40% - Accent6 4 3 4 7" xfId="39708" xr:uid="{00000000-0005-0000-0000-000046950000}"/>
    <cellStyle name="40% - Accent6 4 3 4 8" xfId="10533" xr:uid="{00000000-0005-0000-0000-000047950000}"/>
    <cellStyle name="40% - Accent6 4 3 5" xfId="2067" xr:uid="{00000000-0005-0000-0000-000048950000}"/>
    <cellStyle name="40% - Accent6 4 3 5 2" xfId="6929" xr:uid="{00000000-0005-0000-0000-000049950000}"/>
    <cellStyle name="40% - Accent6 4 3 5 2 2" xfId="26380" xr:uid="{00000000-0005-0000-0000-00004A950000}"/>
    <cellStyle name="40% - Accent6 4 3 5 2 3" xfId="36105" xr:uid="{00000000-0005-0000-0000-00004B950000}"/>
    <cellStyle name="40% - Accent6 4 3 5 2 4" xfId="45830" xr:uid="{00000000-0005-0000-0000-00004C950000}"/>
    <cellStyle name="40% - Accent6 4 3 5 2 5" xfId="16655" xr:uid="{00000000-0005-0000-0000-00004D950000}"/>
    <cellStyle name="40% - Accent6 4 3 5 3" xfId="21518" xr:uid="{00000000-0005-0000-0000-00004E950000}"/>
    <cellStyle name="40% - Accent6 4 3 5 4" xfId="31243" xr:uid="{00000000-0005-0000-0000-00004F950000}"/>
    <cellStyle name="40% - Accent6 4 3 5 5" xfId="40968" xr:uid="{00000000-0005-0000-0000-000050950000}"/>
    <cellStyle name="40% - Accent6 4 3 5 6" xfId="11793" xr:uid="{00000000-0005-0000-0000-000051950000}"/>
    <cellStyle name="40% - Accent6 4 3 6" xfId="3687" xr:uid="{00000000-0005-0000-0000-000052950000}"/>
    <cellStyle name="40% - Accent6 4 3 6 2" xfId="8549" xr:uid="{00000000-0005-0000-0000-000053950000}"/>
    <cellStyle name="40% - Accent6 4 3 6 2 2" xfId="28000" xr:uid="{00000000-0005-0000-0000-000054950000}"/>
    <cellStyle name="40% - Accent6 4 3 6 2 3" xfId="37725" xr:uid="{00000000-0005-0000-0000-000055950000}"/>
    <cellStyle name="40% - Accent6 4 3 6 2 4" xfId="47450" xr:uid="{00000000-0005-0000-0000-000056950000}"/>
    <cellStyle name="40% - Accent6 4 3 6 2 5" xfId="18275" xr:uid="{00000000-0005-0000-0000-000057950000}"/>
    <cellStyle name="40% - Accent6 4 3 6 3" xfId="23138" xr:uid="{00000000-0005-0000-0000-000058950000}"/>
    <cellStyle name="40% - Accent6 4 3 6 4" xfId="32863" xr:uid="{00000000-0005-0000-0000-000059950000}"/>
    <cellStyle name="40% - Accent6 4 3 6 5" xfId="42588" xr:uid="{00000000-0005-0000-0000-00005A950000}"/>
    <cellStyle name="40% - Accent6 4 3 6 6" xfId="13413" xr:uid="{00000000-0005-0000-0000-00005B950000}"/>
    <cellStyle name="40% - Accent6 4 3 7" xfId="5309" xr:uid="{00000000-0005-0000-0000-00005C950000}"/>
    <cellStyle name="40% - Accent6 4 3 7 2" xfId="24760" xr:uid="{00000000-0005-0000-0000-00005D950000}"/>
    <cellStyle name="40% - Accent6 4 3 7 3" xfId="34485" xr:uid="{00000000-0005-0000-0000-00005E950000}"/>
    <cellStyle name="40% - Accent6 4 3 7 4" xfId="44210" xr:uid="{00000000-0005-0000-0000-00005F950000}"/>
    <cellStyle name="40% - Accent6 4 3 7 5" xfId="15035" xr:uid="{00000000-0005-0000-0000-000060950000}"/>
    <cellStyle name="40% - Accent6 4 3 8" xfId="19898" xr:uid="{00000000-0005-0000-0000-000061950000}"/>
    <cellStyle name="40% - Accent6 4 3 9" xfId="29623" xr:uid="{00000000-0005-0000-0000-000062950000}"/>
    <cellStyle name="40% - Accent6 4 4" xfId="204" xr:uid="{00000000-0005-0000-0000-000063950000}"/>
    <cellStyle name="40% - Accent6 4 4 10" xfId="39168" xr:uid="{00000000-0005-0000-0000-000064950000}"/>
    <cellStyle name="40% - Accent6 4 4 11" xfId="9993" xr:uid="{00000000-0005-0000-0000-000065950000}"/>
    <cellStyle name="40% - Accent6 4 4 2" xfId="968" xr:uid="{00000000-0005-0000-0000-000066950000}"/>
    <cellStyle name="40% - Accent6 4 4 2 2" xfId="2607" xr:uid="{00000000-0005-0000-0000-000067950000}"/>
    <cellStyle name="40% - Accent6 4 4 2 2 2" xfId="7469" xr:uid="{00000000-0005-0000-0000-000068950000}"/>
    <cellStyle name="40% - Accent6 4 4 2 2 2 2" xfId="26920" xr:uid="{00000000-0005-0000-0000-000069950000}"/>
    <cellStyle name="40% - Accent6 4 4 2 2 2 3" xfId="36645" xr:uid="{00000000-0005-0000-0000-00006A950000}"/>
    <cellStyle name="40% - Accent6 4 4 2 2 2 4" xfId="46370" xr:uid="{00000000-0005-0000-0000-00006B950000}"/>
    <cellStyle name="40% - Accent6 4 4 2 2 2 5" xfId="17195" xr:uid="{00000000-0005-0000-0000-00006C950000}"/>
    <cellStyle name="40% - Accent6 4 4 2 2 3" xfId="22058" xr:uid="{00000000-0005-0000-0000-00006D950000}"/>
    <cellStyle name="40% - Accent6 4 4 2 2 4" xfId="31783" xr:uid="{00000000-0005-0000-0000-00006E950000}"/>
    <cellStyle name="40% - Accent6 4 4 2 2 5" xfId="41508" xr:uid="{00000000-0005-0000-0000-00006F950000}"/>
    <cellStyle name="40% - Accent6 4 4 2 2 6" xfId="12333" xr:uid="{00000000-0005-0000-0000-000070950000}"/>
    <cellStyle name="40% - Accent6 4 4 2 3" xfId="4227" xr:uid="{00000000-0005-0000-0000-000071950000}"/>
    <cellStyle name="40% - Accent6 4 4 2 3 2" xfId="9089" xr:uid="{00000000-0005-0000-0000-000072950000}"/>
    <cellStyle name="40% - Accent6 4 4 2 3 2 2" xfId="28540" xr:uid="{00000000-0005-0000-0000-000073950000}"/>
    <cellStyle name="40% - Accent6 4 4 2 3 2 3" xfId="38265" xr:uid="{00000000-0005-0000-0000-000074950000}"/>
    <cellStyle name="40% - Accent6 4 4 2 3 2 4" xfId="47990" xr:uid="{00000000-0005-0000-0000-000075950000}"/>
    <cellStyle name="40% - Accent6 4 4 2 3 2 5" xfId="18815" xr:uid="{00000000-0005-0000-0000-000076950000}"/>
    <cellStyle name="40% - Accent6 4 4 2 3 3" xfId="23678" xr:uid="{00000000-0005-0000-0000-000077950000}"/>
    <cellStyle name="40% - Accent6 4 4 2 3 4" xfId="33403" xr:uid="{00000000-0005-0000-0000-000078950000}"/>
    <cellStyle name="40% - Accent6 4 4 2 3 5" xfId="43128" xr:uid="{00000000-0005-0000-0000-000079950000}"/>
    <cellStyle name="40% - Accent6 4 4 2 3 6" xfId="13953" xr:uid="{00000000-0005-0000-0000-00007A950000}"/>
    <cellStyle name="40% - Accent6 4 4 2 4" xfId="5849" xr:uid="{00000000-0005-0000-0000-00007B950000}"/>
    <cellStyle name="40% - Accent6 4 4 2 4 2" xfId="25300" xr:uid="{00000000-0005-0000-0000-00007C950000}"/>
    <cellStyle name="40% - Accent6 4 4 2 4 3" xfId="35025" xr:uid="{00000000-0005-0000-0000-00007D950000}"/>
    <cellStyle name="40% - Accent6 4 4 2 4 4" xfId="44750" xr:uid="{00000000-0005-0000-0000-00007E950000}"/>
    <cellStyle name="40% - Accent6 4 4 2 4 5" xfId="15575" xr:uid="{00000000-0005-0000-0000-00007F950000}"/>
    <cellStyle name="40% - Accent6 4 4 2 5" xfId="20438" xr:uid="{00000000-0005-0000-0000-000080950000}"/>
    <cellStyle name="40% - Accent6 4 4 2 6" xfId="30163" xr:uid="{00000000-0005-0000-0000-000081950000}"/>
    <cellStyle name="40% - Accent6 4 4 2 7" xfId="39888" xr:uid="{00000000-0005-0000-0000-000082950000}"/>
    <cellStyle name="40% - Accent6 4 4 2 8" xfId="10713" xr:uid="{00000000-0005-0000-0000-000083950000}"/>
    <cellStyle name="40% - Accent6 4 4 3" xfId="1436" xr:uid="{00000000-0005-0000-0000-000084950000}"/>
    <cellStyle name="40% - Accent6 4 4 3 2" xfId="3057" xr:uid="{00000000-0005-0000-0000-000085950000}"/>
    <cellStyle name="40% - Accent6 4 4 3 2 2" xfId="7919" xr:uid="{00000000-0005-0000-0000-000086950000}"/>
    <cellStyle name="40% - Accent6 4 4 3 2 2 2" xfId="27370" xr:uid="{00000000-0005-0000-0000-000087950000}"/>
    <cellStyle name="40% - Accent6 4 4 3 2 2 3" xfId="37095" xr:uid="{00000000-0005-0000-0000-000088950000}"/>
    <cellStyle name="40% - Accent6 4 4 3 2 2 4" xfId="46820" xr:uid="{00000000-0005-0000-0000-000089950000}"/>
    <cellStyle name="40% - Accent6 4 4 3 2 2 5" xfId="17645" xr:uid="{00000000-0005-0000-0000-00008A950000}"/>
    <cellStyle name="40% - Accent6 4 4 3 2 3" xfId="22508" xr:uid="{00000000-0005-0000-0000-00008B950000}"/>
    <cellStyle name="40% - Accent6 4 4 3 2 4" xfId="32233" xr:uid="{00000000-0005-0000-0000-00008C950000}"/>
    <cellStyle name="40% - Accent6 4 4 3 2 5" xfId="41958" xr:uid="{00000000-0005-0000-0000-00008D950000}"/>
    <cellStyle name="40% - Accent6 4 4 3 2 6" xfId="12783" xr:uid="{00000000-0005-0000-0000-00008E950000}"/>
    <cellStyle name="40% - Accent6 4 4 3 3" xfId="4677" xr:uid="{00000000-0005-0000-0000-00008F950000}"/>
    <cellStyle name="40% - Accent6 4 4 3 3 2" xfId="9539" xr:uid="{00000000-0005-0000-0000-000090950000}"/>
    <cellStyle name="40% - Accent6 4 4 3 3 2 2" xfId="28990" xr:uid="{00000000-0005-0000-0000-000091950000}"/>
    <cellStyle name="40% - Accent6 4 4 3 3 2 3" xfId="38715" xr:uid="{00000000-0005-0000-0000-000092950000}"/>
    <cellStyle name="40% - Accent6 4 4 3 3 2 4" xfId="48440" xr:uid="{00000000-0005-0000-0000-000093950000}"/>
    <cellStyle name="40% - Accent6 4 4 3 3 2 5" xfId="19265" xr:uid="{00000000-0005-0000-0000-000094950000}"/>
    <cellStyle name="40% - Accent6 4 4 3 3 3" xfId="24128" xr:uid="{00000000-0005-0000-0000-000095950000}"/>
    <cellStyle name="40% - Accent6 4 4 3 3 4" xfId="33853" xr:uid="{00000000-0005-0000-0000-000096950000}"/>
    <cellStyle name="40% - Accent6 4 4 3 3 5" xfId="43578" xr:uid="{00000000-0005-0000-0000-000097950000}"/>
    <cellStyle name="40% - Accent6 4 4 3 3 6" xfId="14403" xr:uid="{00000000-0005-0000-0000-000098950000}"/>
    <cellStyle name="40% - Accent6 4 4 3 4" xfId="6299" xr:uid="{00000000-0005-0000-0000-000099950000}"/>
    <cellStyle name="40% - Accent6 4 4 3 4 2" xfId="25750" xr:uid="{00000000-0005-0000-0000-00009A950000}"/>
    <cellStyle name="40% - Accent6 4 4 3 4 3" xfId="35475" xr:uid="{00000000-0005-0000-0000-00009B950000}"/>
    <cellStyle name="40% - Accent6 4 4 3 4 4" xfId="45200" xr:uid="{00000000-0005-0000-0000-00009C950000}"/>
    <cellStyle name="40% - Accent6 4 4 3 4 5" xfId="16025" xr:uid="{00000000-0005-0000-0000-00009D950000}"/>
    <cellStyle name="40% - Accent6 4 4 3 5" xfId="20888" xr:uid="{00000000-0005-0000-0000-00009E950000}"/>
    <cellStyle name="40% - Accent6 4 4 3 6" xfId="30613" xr:uid="{00000000-0005-0000-0000-00009F950000}"/>
    <cellStyle name="40% - Accent6 4 4 3 7" xfId="40338" xr:uid="{00000000-0005-0000-0000-0000A0950000}"/>
    <cellStyle name="40% - Accent6 4 4 3 8" xfId="11163" xr:uid="{00000000-0005-0000-0000-0000A1950000}"/>
    <cellStyle name="40% - Accent6 4 4 4" xfId="607" xr:uid="{00000000-0005-0000-0000-0000A2950000}"/>
    <cellStyle name="40% - Accent6 4 4 4 2" xfId="2247" xr:uid="{00000000-0005-0000-0000-0000A3950000}"/>
    <cellStyle name="40% - Accent6 4 4 4 2 2" xfId="7109" xr:uid="{00000000-0005-0000-0000-0000A4950000}"/>
    <cellStyle name="40% - Accent6 4 4 4 2 2 2" xfId="26560" xr:uid="{00000000-0005-0000-0000-0000A5950000}"/>
    <cellStyle name="40% - Accent6 4 4 4 2 2 3" xfId="36285" xr:uid="{00000000-0005-0000-0000-0000A6950000}"/>
    <cellStyle name="40% - Accent6 4 4 4 2 2 4" xfId="46010" xr:uid="{00000000-0005-0000-0000-0000A7950000}"/>
    <cellStyle name="40% - Accent6 4 4 4 2 2 5" xfId="16835" xr:uid="{00000000-0005-0000-0000-0000A8950000}"/>
    <cellStyle name="40% - Accent6 4 4 4 2 3" xfId="21698" xr:uid="{00000000-0005-0000-0000-0000A9950000}"/>
    <cellStyle name="40% - Accent6 4 4 4 2 4" xfId="31423" xr:uid="{00000000-0005-0000-0000-0000AA950000}"/>
    <cellStyle name="40% - Accent6 4 4 4 2 5" xfId="41148" xr:uid="{00000000-0005-0000-0000-0000AB950000}"/>
    <cellStyle name="40% - Accent6 4 4 4 2 6" xfId="11973" xr:uid="{00000000-0005-0000-0000-0000AC950000}"/>
    <cellStyle name="40% - Accent6 4 4 4 3" xfId="3867" xr:uid="{00000000-0005-0000-0000-0000AD950000}"/>
    <cellStyle name="40% - Accent6 4 4 4 3 2" xfId="8729" xr:uid="{00000000-0005-0000-0000-0000AE950000}"/>
    <cellStyle name="40% - Accent6 4 4 4 3 2 2" xfId="28180" xr:uid="{00000000-0005-0000-0000-0000AF950000}"/>
    <cellStyle name="40% - Accent6 4 4 4 3 2 3" xfId="37905" xr:uid="{00000000-0005-0000-0000-0000B0950000}"/>
    <cellStyle name="40% - Accent6 4 4 4 3 2 4" xfId="47630" xr:uid="{00000000-0005-0000-0000-0000B1950000}"/>
    <cellStyle name="40% - Accent6 4 4 4 3 2 5" xfId="18455" xr:uid="{00000000-0005-0000-0000-0000B2950000}"/>
    <cellStyle name="40% - Accent6 4 4 4 3 3" xfId="23318" xr:uid="{00000000-0005-0000-0000-0000B3950000}"/>
    <cellStyle name="40% - Accent6 4 4 4 3 4" xfId="33043" xr:uid="{00000000-0005-0000-0000-0000B4950000}"/>
    <cellStyle name="40% - Accent6 4 4 4 3 5" xfId="42768" xr:uid="{00000000-0005-0000-0000-0000B5950000}"/>
    <cellStyle name="40% - Accent6 4 4 4 3 6" xfId="13593" xr:uid="{00000000-0005-0000-0000-0000B6950000}"/>
    <cellStyle name="40% - Accent6 4 4 4 4" xfId="5489" xr:uid="{00000000-0005-0000-0000-0000B7950000}"/>
    <cellStyle name="40% - Accent6 4 4 4 4 2" xfId="24940" xr:uid="{00000000-0005-0000-0000-0000B8950000}"/>
    <cellStyle name="40% - Accent6 4 4 4 4 3" xfId="34665" xr:uid="{00000000-0005-0000-0000-0000B9950000}"/>
    <cellStyle name="40% - Accent6 4 4 4 4 4" xfId="44390" xr:uid="{00000000-0005-0000-0000-0000BA950000}"/>
    <cellStyle name="40% - Accent6 4 4 4 4 5" xfId="15215" xr:uid="{00000000-0005-0000-0000-0000BB950000}"/>
    <cellStyle name="40% - Accent6 4 4 4 5" xfId="20078" xr:uid="{00000000-0005-0000-0000-0000BC950000}"/>
    <cellStyle name="40% - Accent6 4 4 4 6" xfId="29803" xr:uid="{00000000-0005-0000-0000-0000BD950000}"/>
    <cellStyle name="40% - Accent6 4 4 4 7" xfId="39528" xr:uid="{00000000-0005-0000-0000-0000BE950000}"/>
    <cellStyle name="40% - Accent6 4 4 4 8" xfId="10353" xr:uid="{00000000-0005-0000-0000-0000BF950000}"/>
    <cellStyle name="40% - Accent6 4 4 5" xfId="1887" xr:uid="{00000000-0005-0000-0000-0000C0950000}"/>
    <cellStyle name="40% - Accent6 4 4 5 2" xfId="6749" xr:uid="{00000000-0005-0000-0000-0000C1950000}"/>
    <cellStyle name="40% - Accent6 4 4 5 2 2" xfId="26200" xr:uid="{00000000-0005-0000-0000-0000C2950000}"/>
    <cellStyle name="40% - Accent6 4 4 5 2 3" xfId="35925" xr:uid="{00000000-0005-0000-0000-0000C3950000}"/>
    <cellStyle name="40% - Accent6 4 4 5 2 4" xfId="45650" xr:uid="{00000000-0005-0000-0000-0000C4950000}"/>
    <cellStyle name="40% - Accent6 4 4 5 2 5" xfId="16475" xr:uid="{00000000-0005-0000-0000-0000C5950000}"/>
    <cellStyle name="40% - Accent6 4 4 5 3" xfId="21338" xr:uid="{00000000-0005-0000-0000-0000C6950000}"/>
    <cellStyle name="40% - Accent6 4 4 5 4" xfId="31063" xr:uid="{00000000-0005-0000-0000-0000C7950000}"/>
    <cellStyle name="40% - Accent6 4 4 5 5" xfId="40788" xr:uid="{00000000-0005-0000-0000-0000C8950000}"/>
    <cellStyle name="40% - Accent6 4 4 5 6" xfId="11613" xr:uid="{00000000-0005-0000-0000-0000C9950000}"/>
    <cellStyle name="40% - Accent6 4 4 6" xfId="3507" xr:uid="{00000000-0005-0000-0000-0000CA950000}"/>
    <cellStyle name="40% - Accent6 4 4 6 2" xfId="8369" xr:uid="{00000000-0005-0000-0000-0000CB950000}"/>
    <cellStyle name="40% - Accent6 4 4 6 2 2" xfId="27820" xr:uid="{00000000-0005-0000-0000-0000CC950000}"/>
    <cellStyle name="40% - Accent6 4 4 6 2 3" xfId="37545" xr:uid="{00000000-0005-0000-0000-0000CD950000}"/>
    <cellStyle name="40% - Accent6 4 4 6 2 4" xfId="47270" xr:uid="{00000000-0005-0000-0000-0000CE950000}"/>
    <cellStyle name="40% - Accent6 4 4 6 2 5" xfId="18095" xr:uid="{00000000-0005-0000-0000-0000CF950000}"/>
    <cellStyle name="40% - Accent6 4 4 6 3" xfId="22958" xr:uid="{00000000-0005-0000-0000-0000D0950000}"/>
    <cellStyle name="40% - Accent6 4 4 6 4" xfId="32683" xr:uid="{00000000-0005-0000-0000-0000D1950000}"/>
    <cellStyle name="40% - Accent6 4 4 6 5" xfId="42408" xr:uid="{00000000-0005-0000-0000-0000D2950000}"/>
    <cellStyle name="40% - Accent6 4 4 6 6" xfId="13233" xr:uid="{00000000-0005-0000-0000-0000D3950000}"/>
    <cellStyle name="40% - Accent6 4 4 7" xfId="5129" xr:uid="{00000000-0005-0000-0000-0000D4950000}"/>
    <cellStyle name="40% - Accent6 4 4 7 2" xfId="24580" xr:uid="{00000000-0005-0000-0000-0000D5950000}"/>
    <cellStyle name="40% - Accent6 4 4 7 3" xfId="34305" xr:uid="{00000000-0005-0000-0000-0000D6950000}"/>
    <cellStyle name="40% - Accent6 4 4 7 4" xfId="44030" xr:uid="{00000000-0005-0000-0000-0000D7950000}"/>
    <cellStyle name="40% - Accent6 4 4 7 5" xfId="14855" xr:uid="{00000000-0005-0000-0000-0000D8950000}"/>
    <cellStyle name="40% - Accent6 4 4 8" xfId="19718" xr:uid="{00000000-0005-0000-0000-0000D9950000}"/>
    <cellStyle name="40% - Accent6 4 4 9" xfId="29443" xr:uid="{00000000-0005-0000-0000-0000DA950000}"/>
    <cellStyle name="40% - Accent6 4 5" xfId="878" xr:uid="{00000000-0005-0000-0000-0000DB950000}"/>
    <cellStyle name="40% - Accent6 4 5 2" xfId="2517" xr:uid="{00000000-0005-0000-0000-0000DC950000}"/>
    <cellStyle name="40% - Accent6 4 5 2 2" xfId="7379" xr:uid="{00000000-0005-0000-0000-0000DD950000}"/>
    <cellStyle name="40% - Accent6 4 5 2 2 2" xfId="26830" xr:uid="{00000000-0005-0000-0000-0000DE950000}"/>
    <cellStyle name="40% - Accent6 4 5 2 2 3" xfId="36555" xr:uid="{00000000-0005-0000-0000-0000DF950000}"/>
    <cellStyle name="40% - Accent6 4 5 2 2 4" xfId="46280" xr:uid="{00000000-0005-0000-0000-0000E0950000}"/>
    <cellStyle name="40% - Accent6 4 5 2 2 5" xfId="17105" xr:uid="{00000000-0005-0000-0000-0000E1950000}"/>
    <cellStyle name="40% - Accent6 4 5 2 3" xfId="21968" xr:uid="{00000000-0005-0000-0000-0000E2950000}"/>
    <cellStyle name="40% - Accent6 4 5 2 4" xfId="31693" xr:uid="{00000000-0005-0000-0000-0000E3950000}"/>
    <cellStyle name="40% - Accent6 4 5 2 5" xfId="41418" xr:uid="{00000000-0005-0000-0000-0000E4950000}"/>
    <cellStyle name="40% - Accent6 4 5 2 6" xfId="12243" xr:uid="{00000000-0005-0000-0000-0000E5950000}"/>
    <cellStyle name="40% - Accent6 4 5 3" xfId="4137" xr:uid="{00000000-0005-0000-0000-0000E6950000}"/>
    <cellStyle name="40% - Accent6 4 5 3 2" xfId="8999" xr:uid="{00000000-0005-0000-0000-0000E7950000}"/>
    <cellStyle name="40% - Accent6 4 5 3 2 2" xfId="28450" xr:uid="{00000000-0005-0000-0000-0000E8950000}"/>
    <cellStyle name="40% - Accent6 4 5 3 2 3" xfId="38175" xr:uid="{00000000-0005-0000-0000-0000E9950000}"/>
    <cellStyle name="40% - Accent6 4 5 3 2 4" xfId="47900" xr:uid="{00000000-0005-0000-0000-0000EA950000}"/>
    <cellStyle name="40% - Accent6 4 5 3 2 5" xfId="18725" xr:uid="{00000000-0005-0000-0000-0000EB950000}"/>
    <cellStyle name="40% - Accent6 4 5 3 3" xfId="23588" xr:uid="{00000000-0005-0000-0000-0000EC950000}"/>
    <cellStyle name="40% - Accent6 4 5 3 4" xfId="33313" xr:uid="{00000000-0005-0000-0000-0000ED950000}"/>
    <cellStyle name="40% - Accent6 4 5 3 5" xfId="43038" xr:uid="{00000000-0005-0000-0000-0000EE950000}"/>
    <cellStyle name="40% - Accent6 4 5 3 6" xfId="13863" xr:uid="{00000000-0005-0000-0000-0000EF950000}"/>
    <cellStyle name="40% - Accent6 4 5 4" xfId="5759" xr:uid="{00000000-0005-0000-0000-0000F0950000}"/>
    <cellStyle name="40% - Accent6 4 5 4 2" xfId="25210" xr:uid="{00000000-0005-0000-0000-0000F1950000}"/>
    <cellStyle name="40% - Accent6 4 5 4 3" xfId="34935" xr:uid="{00000000-0005-0000-0000-0000F2950000}"/>
    <cellStyle name="40% - Accent6 4 5 4 4" xfId="44660" xr:uid="{00000000-0005-0000-0000-0000F3950000}"/>
    <cellStyle name="40% - Accent6 4 5 4 5" xfId="15485" xr:uid="{00000000-0005-0000-0000-0000F4950000}"/>
    <cellStyle name="40% - Accent6 4 5 5" xfId="20348" xr:uid="{00000000-0005-0000-0000-0000F5950000}"/>
    <cellStyle name="40% - Accent6 4 5 6" xfId="30073" xr:uid="{00000000-0005-0000-0000-0000F6950000}"/>
    <cellStyle name="40% - Accent6 4 5 7" xfId="39798" xr:uid="{00000000-0005-0000-0000-0000F7950000}"/>
    <cellStyle name="40% - Accent6 4 5 8" xfId="10623" xr:uid="{00000000-0005-0000-0000-0000F8950000}"/>
    <cellStyle name="40% - Accent6 4 6" xfId="1256" xr:uid="{00000000-0005-0000-0000-0000F9950000}"/>
    <cellStyle name="40% - Accent6 4 6 2" xfId="2877" xr:uid="{00000000-0005-0000-0000-0000FA950000}"/>
    <cellStyle name="40% - Accent6 4 6 2 2" xfId="7739" xr:uid="{00000000-0005-0000-0000-0000FB950000}"/>
    <cellStyle name="40% - Accent6 4 6 2 2 2" xfId="27190" xr:uid="{00000000-0005-0000-0000-0000FC950000}"/>
    <cellStyle name="40% - Accent6 4 6 2 2 3" xfId="36915" xr:uid="{00000000-0005-0000-0000-0000FD950000}"/>
    <cellStyle name="40% - Accent6 4 6 2 2 4" xfId="46640" xr:uid="{00000000-0005-0000-0000-0000FE950000}"/>
    <cellStyle name="40% - Accent6 4 6 2 2 5" xfId="17465" xr:uid="{00000000-0005-0000-0000-0000FF950000}"/>
    <cellStyle name="40% - Accent6 4 6 2 3" xfId="22328" xr:uid="{00000000-0005-0000-0000-000000960000}"/>
    <cellStyle name="40% - Accent6 4 6 2 4" xfId="32053" xr:uid="{00000000-0005-0000-0000-000001960000}"/>
    <cellStyle name="40% - Accent6 4 6 2 5" xfId="41778" xr:uid="{00000000-0005-0000-0000-000002960000}"/>
    <cellStyle name="40% - Accent6 4 6 2 6" xfId="12603" xr:uid="{00000000-0005-0000-0000-000003960000}"/>
    <cellStyle name="40% - Accent6 4 6 3" xfId="4497" xr:uid="{00000000-0005-0000-0000-000004960000}"/>
    <cellStyle name="40% - Accent6 4 6 3 2" xfId="9359" xr:uid="{00000000-0005-0000-0000-000005960000}"/>
    <cellStyle name="40% - Accent6 4 6 3 2 2" xfId="28810" xr:uid="{00000000-0005-0000-0000-000006960000}"/>
    <cellStyle name="40% - Accent6 4 6 3 2 3" xfId="38535" xr:uid="{00000000-0005-0000-0000-000007960000}"/>
    <cellStyle name="40% - Accent6 4 6 3 2 4" xfId="48260" xr:uid="{00000000-0005-0000-0000-000008960000}"/>
    <cellStyle name="40% - Accent6 4 6 3 2 5" xfId="19085" xr:uid="{00000000-0005-0000-0000-000009960000}"/>
    <cellStyle name="40% - Accent6 4 6 3 3" xfId="23948" xr:uid="{00000000-0005-0000-0000-00000A960000}"/>
    <cellStyle name="40% - Accent6 4 6 3 4" xfId="33673" xr:uid="{00000000-0005-0000-0000-00000B960000}"/>
    <cellStyle name="40% - Accent6 4 6 3 5" xfId="43398" xr:uid="{00000000-0005-0000-0000-00000C960000}"/>
    <cellStyle name="40% - Accent6 4 6 3 6" xfId="14223" xr:uid="{00000000-0005-0000-0000-00000D960000}"/>
    <cellStyle name="40% - Accent6 4 6 4" xfId="6119" xr:uid="{00000000-0005-0000-0000-00000E960000}"/>
    <cellStyle name="40% - Accent6 4 6 4 2" xfId="25570" xr:uid="{00000000-0005-0000-0000-00000F960000}"/>
    <cellStyle name="40% - Accent6 4 6 4 3" xfId="35295" xr:uid="{00000000-0005-0000-0000-000010960000}"/>
    <cellStyle name="40% - Accent6 4 6 4 4" xfId="45020" xr:uid="{00000000-0005-0000-0000-000011960000}"/>
    <cellStyle name="40% - Accent6 4 6 4 5" xfId="15845" xr:uid="{00000000-0005-0000-0000-000012960000}"/>
    <cellStyle name="40% - Accent6 4 6 5" xfId="20708" xr:uid="{00000000-0005-0000-0000-000013960000}"/>
    <cellStyle name="40% - Accent6 4 6 6" xfId="30433" xr:uid="{00000000-0005-0000-0000-000014960000}"/>
    <cellStyle name="40% - Accent6 4 6 7" xfId="40158" xr:uid="{00000000-0005-0000-0000-000015960000}"/>
    <cellStyle name="40% - Accent6 4 6 8" xfId="10983" xr:uid="{00000000-0005-0000-0000-000016960000}"/>
    <cellStyle name="40% - Accent6 4 7" xfId="1346" xr:uid="{00000000-0005-0000-0000-000017960000}"/>
    <cellStyle name="40% - Accent6 4 7 2" xfId="2967" xr:uid="{00000000-0005-0000-0000-000018960000}"/>
    <cellStyle name="40% - Accent6 4 7 2 2" xfId="7829" xr:uid="{00000000-0005-0000-0000-000019960000}"/>
    <cellStyle name="40% - Accent6 4 7 2 2 2" xfId="27280" xr:uid="{00000000-0005-0000-0000-00001A960000}"/>
    <cellStyle name="40% - Accent6 4 7 2 2 3" xfId="37005" xr:uid="{00000000-0005-0000-0000-00001B960000}"/>
    <cellStyle name="40% - Accent6 4 7 2 2 4" xfId="46730" xr:uid="{00000000-0005-0000-0000-00001C960000}"/>
    <cellStyle name="40% - Accent6 4 7 2 2 5" xfId="17555" xr:uid="{00000000-0005-0000-0000-00001D960000}"/>
    <cellStyle name="40% - Accent6 4 7 2 3" xfId="22418" xr:uid="{00000000-0005-0000-0000-00001E960000}"/>
    <cellStyle name="40% - Accent6 4 7 2 4" xfId="32143" xr:uid="{00000000-0005-0000-0000-00001F960000}"/>
    <cellStyle name="40% - Accent6 4 7 2 5" xfId="41868" xr:uid="{00000000-0005-0000-0000-000020960000}"/>
    <cellStyle name="40% - Accent6 4 7 2 6" xfId="12693" xr:uid="{00000000-0005-0000-0000-000021960000}"/>
    <cellStyle name="40% - Accent6 4 7 3" xfId="4587" xr:uid="{00000000-0005-0000-0000-000022960000}"/>
    <cellStyle name="40% - Accent6 4 7 3 2" xfId="9449" xr:uid="{00000000-0005-0000-0000-000023960000}"/>
    <cellStyle name="40% - Accent6 4 7 3 2 2" xfId="28900" xr:uid="{00000000-0005-0000-0000-000024960000}"/>
    <cellStyle name="40% - Accent6 4 7 3 2 3" xfId="38625" xr:uid="{00000000-0005-0000-0000-000025960000}"/>
    <cellStyle name="40% - Accent6 4 7 3 2 4" xfId="48350" xr:uid="{00000000-0005-0000-0000-000026960000}"/>
    <cellStyle name="40% - Accent6 4 7 3 2 5" xfId="19175" xr:uid="{00000000-0005-0000-0000-000027960000}"/>
    <cellStyle name="40% - Accent6 4 7 3 3" xfId="24038" xr:uid="{00000000-0005-0000-0000-000028960000}"/>
    <cellStyle name="40% - Accent6 4 7 3 4" xfId="33763" xr:uid="{00000000-0005-0000-0000-000029960000}"/>
    <cellStyle name="40% - Accent6 4 7 3 5" xfId="43488" xr:uid="{00000000-0005-0000-0000-00002A960000}"/>
    <cellStyle name="40% - Accent6 4 7 3 6" xfId="14313" xr:uid="{00000000-0005-0000-0000-00002B960000}"/>
    <cellStyle name="40% - Accent6 4 7 4" xfId="6209" xr:uid="{00000000-0005-0000-0000-00002C960000}"/>
    <cellStyle name="40% - Accent6 4 7 4 2" xfId="25660" xr:uid="{00000000-0005-0000-0000-00002D960000}"/>
    <cellStyle name="40% - Accent6 4 7 4 3" xfId="35385" xr:uid="{00000000-0005-0000-0000-00002E960000}"/>
    <cellStyle name="40% - Accent6 4 7 4 4" xfId="45110" xr:uid="{00000000-0005-0000-0000-00002F960000}"/>
    <cellStyle name="40% - Accent6 4 7 4 5" xfId="15935" xr:uid="{00000000-0005-0000-0000-000030960000}"/>
    <cellStyle name="40% - Accent6 4 7 5" xfId="20798" xr:uid="{00000000-0005-0000-0000-000031960000}"/>
    <cellStyle name="40% - Accent6 4 7 6" xfId="30523" xr:uid="{00000000-0005-0000-0000-000032960000}"/>
    <cellStyle name="40% - Accent6 4 7 7" xfId="40248" xr:uid="{00000000-0005-0000-0000-000033960000}"/>
    <cellStyle name="40% - Accent6 4 7 8" xfId="11073" xr:uid="{00000000-0005-0000-0000-000034960000}"/>
    <cellStyle name="40% - Accent6 4 8" xfId="517" xr:uid="{00000000-0005-0000-0000-000035960000}"/>
    <cellStyle name="40% - Accent6 4 8 2" xfId="2157" xr:uid="{00000000-0005-0000-0000-000036960000}"/>
    <cellStyle name="40% - Accent6 4 8 2 2" xfId="7019" xr:uid="{00000000-0005-0000-0000-000037960000}"/>
    <cellStyle name="40% - Accent6 4 8 2 2 2" xfId="26470" xr:uid="{00000000-0005-0000-0000-000038960000}"/>
    <cellStyle name="40% - Accent6 4 8 2 2 3" xfId="36195" xr:uid="{00000000-0005-0000-0000-000039960000}"/>
    <cellStyle name="40% - Accent6 4 8 2 2 4" xfId="45920" xr:uid="{00000000-0005-0000-0000-00003A960000}"/>
    <cellStyle name="40% - Accent6 4 8 2 2 5" xfId="16745" xr:uid="{00000000-0005-0000-0000-00003B960000}"/>
    <cellStyle name="40% - Accent6 4 8 2 3" xfId="21608" xr:uid="{00000000-0005-0000-0000-00003C960000}"/>
    <cellStyle name="40% - Accent6 4 8 2 4" xfId="31333" xr:uid="{00000000-0005-0000-0000-00003D960000}"/>
    <cellStyle name="40% - Accent6 4 8 2 5" xfId="41058" xr:uid="{00000000-0005-0000-0000-00003E960000}"/>
    <cellStyle name="40% - Accent6 4 8 2 6" xfId="11883" xr:uid="{00000000-0005-0000-0000-00003F960000}"/>
    <cellStyle name="40% - Accent6 4 8 3" xfId="3777" xr:uid="{00000000-0005-0000-0000-000040960000}"/>
    <cellStyle name="40% - Accent6 4 8 3 2" xfId="8639" xr:uid="{00000000-0005-0000-0000-000041960000}"/>
    <cellStyle name="40% - Accent6 4 8 3 2 2" xfId="28090" xr:uid="{00000000-0005-0000-0000-000042960000}"/>
    <cellStyle name="40% - Accent6 4 8 3 2 3" xfId="37815" xr:uid="{00000000-0005-0000-0000-000043960000}"/>
    <cellStyle name="40% - Accent6 4 8 3 2 4" xfId="47540" xr:uid="{00000000-0005-0000-0000-000044960000}"/>
    <cellStyle name="40% - Accent6 4 8 3 2 5" xfId="18365" xr:uid="{00000000-0005-0000-0000-000045960000}"/>
    <cellStyle name="40% - Accent6 4 8 3 3" xfId="23228" xr:uid="{00000000-0005-0000-0000-000046960000}"/>
    <cellStyle name="40% - Accent6 4 8 3 4" xfId="32953" xr:uid="{00000000-0005-0000-0000-000047960000}"/>
    <cellStyle name="40% - Accent6 4 8 3 5" xfId="42678" xr:uid="{00000000-0005-0000-0000-000048960000}"/>
    <cellStyle name="40% - Accent6 4 8 3 6" xfId="13503" xr:uid="{00000000-0005-0000-0000-000049960000}"/>
    <cellStyle name="40% - Accent6 4 8 4" xfId="5399" xr:uid="{00000000-0005-0000-0000-00004A960000}"/>
    <cellStyle name="40% - Accent6 4 8 4 2" xfId="24850" xr:uid="{00000000-0005-0000-0000-00004B960000}"/>
    <cellStyle name="40% - Accent6 4 8 4 3" xfId="34575" xr:uid="{00000000-0005-0000-0000-00004C960000}"/>
    <cellStyle name="40% - Accent6 4 8 4 4" xfId="44300" xr:uid="{00000000-0005-0000-0000-00004D960000}"/>
    <cellStyle name="40% - Accent6 4 8 4 5" xfId="15125" xr:uid="{00000000-0005-0000-0000-00004E960000}"/>
    <cellStyle name="40% - Accent6 4 8 5" xfId="19988" xr:uid="{00000000-0005-0000-0000-00004F960000}"/>
    <cellStyle name="40% - Accent6 4 8 6" xfId="29713" xr:uid="{00000000-0005-0000-0000-000050960000}"/>
    <cellStyle name="40% - Accent6 4 8 7" xfId="39438" xr:uid="{00000000-0005-0000-0000-000051960000}"/>
    <cellStyle name="40% - Accent6 4 8 8" xfId="10263" xr:uid="{00000000-0005-0000-0000-000052960000}"/>
    <cellStyle name="40% - Accent6 4 9" xfId="1706" xr:uid="{00000000-0005-0000-0000-000053960000}"/>
    <cellStyle name="40% - Accent6 4 9 2" xfId="3327" xr:uid="{00000000-0005-0000-0000-000054960000}"/>
    <cellStyle name="40% - Accent6 4 9 2 2" xfId="8189" xr:uid="{00000000-0005-0000-0000-000055960000}"/>
    <cellStyle name="40% - Accent6 4 9 2 2 2" xfId="27640" xr:uid="{00000000-0005-0000-0000-000056960000}"/>
    <cellStyle name="40% - Accent6 4 9 2 2 3" xfId="37365" xr:uid="{00000000-0005-0000-0000-000057960000}"/>
    <cellStyle name="40% - Accent6 4 9 2 2 4" xfId="47090" xr:uid="{00000000-0005-0000-0000-000058960000}"/>
    <cellStyle name="40% - Accent6 4 9 2 2 5" xfId="17915" xr:uid="{00000000-0005-0000-0000-000059960000}"/>
    <cellStyle name="40% - Accent6 4 9 2 3" xfId="22778" xr:uid="{00000000-0005-0000-0000-00005A960000}"/>
    <cellStyle name="40% - Accent6 4 9 2 4" xfId="32503" xr:uid="{00000000-0005-0000-0000-00005B960000}"/>
    <cellStyle name="40% - Accent6 4 9 2 5" xfId="42228" xr:uid="{00000000-0005-0000-0000-00005C960000}"/>
    <cellStyle name="40% - Accent6 4 9 2 6" xfId="13053" xr:uid="{00000000-0005-0000-0000-00005D960000}"/>
    <cellStyle name="40% - Accent6 4 9 3" xfId="4947" xr:uid="{00000000-0005-0000-0000-00005E960000}"/>
    <cellStyle name="40% - Accent6 4 9 3 2" xfId="9809" xr:uid="{00000000-0005-0000-0000-00005F960000}"/>
    <cellStyle name="40% - Accent6 4 9 3 2 2" xfId="29260" xr:uid="{00000000-0005-0000-0000-000060960000}"/>
    <cellStyle name="40% - Accent6 4 9 3 2 3" xfId="38985" xr:uid="{00000000-0005-0000-0000-000061960000}"/>
    <cellStyle name="40% - Accent6 4 9 3 2 4" xfId="48710" xr:uid="{00000000-0005-0000-0000-000062960000}"/>
    <cellStyle name="40% - Accent6 4 9 3 2 5" xfId="19535" xr:uid="{00000000-0005-0000-0000-000063960000}"/>
    <cellStyle name="40% - Accent6 4 9 3 3" xfId="24398" xr:uid="{00000000-0005-0000-0000-000064960000}"/>
    <cellStyle name="40% - Accent6 4 9 3 4" xfId="34123" xr:uid="{00000000-0005-0000-0000-000065960000}"/>
    <cellStyle name="40% - Accent6 4 9 3 5" xfId="43848" xr:uid="{00000000-0005-0000-0000-000066960000}"/>
    <cellStyle name="40% - Accent6 4 9 3 6" xfId="14673" xr:uid="{00000000-0005-0000-0000-000067960000}"/>
    <cellStyle name="40% - Accent6 4 9 4" xfId="6569" xr:uid="{00000000-0005-0000-0000-000068960000}"/>
    <cellStyle name="40% - Accent6 4 9 4 2" xfId="26020" xr:uid="{00000000-0005-0000-0000-000069960000}"/>
    <cellStyle name="40% - Accent6 4 9 4 3" xfId="35745" xr:uid="{00000000-0005-0000-0000-00006A960000}"/>
    <cellStyle name="40% - Accent6 4 9 4 4" xfId="45470" xr:uid="{00000000-0005-0000-0000-00006B960000}"/>
    <cellStyle name="40% - Accent6 4 9 4 5" xfId="16295" xr:uid="{00000000-0005-0000-0000-00006C960000}"/>
    <cellStyle name="40% - Accent6 4 9 5" xfId="21158" xr:uid="{00000000-0005-0000-0000-00006D960000}"/>
    <cellStyle name="40% - Accent6 4 9 6" xfId="30883" xr:uid="{00000000-0005-0000-0000-00006E960000}"/>
    <cellStyle name="40% - Accent6 4 9 7" xfId="40608" xr:uid="{00000000-0005-0000-0000-00006F960000}"/>
    <cellStyle name="40% - Accent6 4 9 8" xfId="11433" xr:uid="{00000000-0005-0000-0000-000070960000}"/>
    <cellStyle name="40% - Accent6 5" xfId="235" xr:uid="{00000000-0005-0000-0000-000071960000}"/>
    <cellStyle name="40% - Accent6 5 10" xfId="39198" xr:uid="{00000000-0005-0000-0000-000072960000}"/>
    <cellStyle name="40% - Accent6 5 11" xfId="10023" xr:uid="{00000000-0005-0000-0000-000073960000}"/>
    <cellStyle name="40% - Accent6 5 2" xfId="999" xr:uid="{00000000-0005-0000-0000-000074960000}"/>
    <cellStyle name="40% - Accent6 5 2 2" xfId="2637" xr:uid="{00000000-0005-0000-0000-000075960000}"/>
    <cellStyle name="40% - Accent6 5 2 2 2" xfId="7499" xr:uid="{00000000-0005-0000-0000-000076960000}"/>
    <cellStyle name="40% - Accent6 5 2 2 2 2" xfId="26950" xr:uid="{00000000-0005-0000-0000-000077960000}"/>
    <cellStyle name="40% - Accent6 5 2 2 2 3" xfId="36675" xr:uid="{00000000-0005-0000-0000-000078960000}"/>
    <cellStyle name="40% - Accent6 5 2 2 2 4" xfId="46400" xr:uid="{00000000-0005-0000-0000-000079960000}"/>
    <cellStyle name="40% - Accent6 5 2 2 2 5" xfId="17225" xr:uid="{00000000-0005-0000-0000-00007A960000}"/>
    <cellStyle name="40% - Accent6 5 2 2 3" xfId="22088" xr:uid="{00000000-0005-0000-0000-00007B960000}"/>
    <cellStyle name="40% - Accent6 5 2 2 4" xfId="31813" xr:uid="{00000000-0005-0000-0000-00007C960000}"/>
    <cellStyle name="40% - Accent6 5 2 2 5" xfId="41538" xr:uid="{00000000-0005-0000-0000-00007D960000}"/>
    <cellStyle name="40% - Accent6 5 2 2 6" xfId="12363" xr:uid="{00000000-0005-0000-0000-00007E960000}"/>
    <cellStyle name="40% - Accent6 5 2 3" xfId="4257" xr:uid="{00000000-0005-0000-0000-00007F960000}"/>
    <cellStyle name="40% - Accent6 5 2 3 2" xfId="9119" xr:uid="{00000000-0005-0000-0000-000080960000}"/>
    <cellStyle name="40% - Accent6 5 2 3 2 2" xfId="28570" xr:uid="{00000000-0005-0000-0000-000081960000}"/>
    <cellStyle name="40% - Accent6 5 2 3 2 3" xfId="38295" xr:uid="{00000000-0005-0000-0000-000082960000}"/>
    <cellStyle name="40% - Accent6 5 2 3 2 4" xfId="48020" xr:uid="{00000000-0005-0000-0000-000083960000}"/>
    <cellStyle name="40% - Accent6 5 2 3 2 5" xfId="18845" xr:uid="{00000000-0005-0000-0000-000084960000}"/>
    <cellStyle name="40% - Accent6 5 2 3 3" xfId="23708" xr:uid="{00000000-0005-0000-0000-000085960000}"/>
    <cellStyle name="40% - Accent6 5 2 3 4" xfId="33433" xr:uid="{00000000-0005-0000-0000-000086960000}"/>
    <cellStyle name="40% - Accent6 5 2 3 5" xfId="43158" xr:uid="{00000000-0005-0000-0000-000087960000}"/>
    <cellStyle name="40% - Accent6 5 2 3 6" xfId="13983" xr:uid="{00000000-0005-0000-0000-000088960000}"/>
    <cellStyle name="40% - Accent6 5 2 4" xfId="5879" xr:uid="{00000000-0005-0000-0000-000089960000}"/>
    <cellStyle name="40% - Accent6 5 2 4 2" xfId="25330" xr:uid="{00000000-0005-0000-0000-00008A960000}"/>
    <cellStyle name="40% - Accent6 5 2 4 3" xfId="35055" xr:uid="{00000000-0005-0000-0000-00008B960000}"/>
    <cellStyle name="40% - Accent6 5 2 4 4" xfId="44780" xr:uid="{00000000-0005-0000-0000-00008C960000}"/>
    <cellStyle name="40% - Accent6 5 2 4 5" xfId="15605" xr:uid="{00000000-0005-0000-0000-00008D960000}"/>
    <cellStyle name="40% - Accent6 5 2 5" xfId="20468" xr:uid="{00000000-0005-0000-0000-00008E960000}"/>
    <cellStyle name="40% - Accent6 5 2 6" xfId="30193" xr:uid="{00000000-0005-0000-0000-00008F960000}"/>
    <cellStyle name="40% - Accent6 5 2 7" xfId="39918" xr:uid="{00000000-0005-0000-0000-000090960000}"/>
    <cellStyle name="40% - Accent6 5 2 8" xfId="10743" xr:uid="{00000000-0005-0000-0000-000091960000}"/>
    <cellStyle name="40% - Accent6 5 3" xfId="1466" xr:uid="{00000000-0005-0000-0000-000092960000}"/>
    <cellStyle name="40% - Accent6 5 3 2" xfId="3087" xr:uid="{00000000-0005-0000-0000-000093960000}"/>
    <cellStyle name="40% - Accent6 5 3 2 2" xfId="7949" xr:uid="{00000000-0005-0000-0000-000094960000}"/>
    <cellStyle name="40% - Accent6 5 3 2 2 2" xfId="27400" xr:uid="{00000000-0005-0000-0000-000095960000}"/>
    <cellStyle name="40% - Accent6 5 3 2 2 3" xfId="37125" xr:uid="{00000000-0005-0000-0000-000096960000}"/>
    <cellStyle name="40% - Accent6 5 3 2 2 4" xfId="46850" xr:uid="{00000000-0005-0000-0000-000097960000}"/>
    <cellStyle name="40% - Accent6 5 3 2 2 5" xfId="17675" xr:uid="{00000000-0005-0000-0000-000098960000}"/>
    <cellStyle name="40% - Accent6 5 3 2 3" xfId="22538" xr:uid="{00000000-0005-0000-0000-000099960000}"/>
    <cellStyle name="40% - Accent6 5 3 2 4" xfId="32263" xr:uid="{00000000-0005-0000-0000-00009A960000}"/>
    <cellStyle name="40% - Accent6 5 3 2 5" xfId="41988" xr:uid="{00000000-0005-0000-0000-00009B960000}"/>
    <cellStyle name="40% - Accent6 5 3 2 6" xfId="12813" xr:uid="{00000000-0005-0000-0000-00009C960000}"/>
    <cellStyle name="40% - Accent6 5 3 3" xfId="4707" xr:uid="{00000000-0005-0000-0000-00009D960000}"/>
    <cellStyle name="40% - Accent6 5 3 3 2" xfId="9569" xr:uid="{00000000-0005-0000-0000-00009E960000}"/>
    <cellStyle name="40% - Accent6 5 3 3 2 2" xfId="29020" xr:uid="{00000000-0005-0000-0000-00009F960000}"/>
    <cellStyle name="40% - Accent6 5 3 3 2 3" xfId="38745" xr:uid="{00000000-0005-0000-0000-0000A0960000}"/>
    <cellStyle name="40% - Accent6 5 3 3 2 4" xfId="48470" xr:uid="{00000000-0005-0000-0000-0000A1960000}"/>
    <cellStyle name="40% - Accent6 5 3 3 2 5" xfId="19295" xr:uid="{00000000-0005-0000-0000-0000A2960000}"/>
    <cellStyle name="40% - Accent6 5 3 3 3" xfId="24158" xr:uid="{00000000-0005-0000-0000-0000A3960000}"/>
    <cellStyle name="40% - Accent6 5 3 3 4" xfId="33883" xr:uid="{00000000-0005-0000-0000-0000A4960000}"/>
    <cellStyle name="40% - Accent6 5 3 3 5" xfId="43608" xr:uid="{00000000-0005-0000-0000-0000A5960000}"/>
    <cellStyle name="40% - Accent6 5 3 3 6" xfId="14433" xr:uid="{00000000-0005-0000-0000-0000A6960000}"/>
    <cellStyle name="40% - Accent6 5 3 4" xfId="6329" xr:uid="{00000000-0005-0000-0000-0000A7960000}"/>
    <cellStyle name="40% - Accent6 5 3 4 2" xfId="25780" xr:uid="{00000000-0005-0000-0000-0000A8960000}"/>
    <cellStyle name="40% - Accent6 5 3 4 3" xfId="35505" xr:uid="{00000000-0005-0000-0000-0000A9960000}"/>
    <cellStyle name="40% - Accent6 5 3 4 4" xfId="45230" xr:uid="{00000000-0005-0000-0000-0000AA960000}"/>
    <cellStyle name="40% - Accent6 5 3 4 5" xfId="16055" xr:uid="{00000000-0005-0000-0000-0000AB960000}"/>
    <cellStyle name="40% - Accent6 5 3 5" xfId="20918" xr:uid="{00000000-0005-0000-0000-0000AC960000}"/>
    <cellStyle name="40% - Accent6 5 3 6" xfId="30643" xr:uid="{00000000-0005-0000-0000-0000AD960000}"/>
    <cellStyle name="40% - Accent6 5 3 7" xfId="40368" xr:uid="{00000000-0005-0000-0000-0000AE960000}"/>
    <cellStyle name="40% - Accent6 5 3 8" xfId="11193" xr:uid="{00000000-0005-0000-0000-0000AF960000}"/>
    <cellStyle name="40% - Accent6 5 4" xfId="637" xr:uid="{00000000-0005-0000-0000-0000B0960000}"/>
    <cellStyle name="40% - Accent6 5 4 2" xfId="2277" xr:uid="{00000000-0005-0000-0000-0000B1960000}"/>
    <cellStyle name="40% - Accent6 5 4 2 2" xfId="7139" xr:uid="{00000000-0005-0000-0000-0000B2960000}"/>
    <cellStyle name="40% - Accent6 5 4 2 2 2" xfId="26590" xr:uid="{00000000-0005-0000-0000-0000B3960000}"/>
    <cellStyle name="40% - Accent6 5 4 2 2 3" xfId="36315" xr:uid="{00000000-0005-0000-0000-0000B4960000}"/>
    <cellStyle name="40% - Accent6 5 4 2 2 4" xfId="46040" xr:uid="{00000000-0005-0000-0000-0000B5960000}"/>
    <cellStyle name="40% - Accent6 5 4 2 2 5" xfId="16865" xr:uid="{00000000-0005-0000-0000-0000B6960000}"/>
    <cellStyle name="40% - Accent6 5 4 2 3" xfId="21728" xr:uid="{00000000-0005-0000-0000-0000B7960000}"/>
    <cellStyle name="40% - Accent6 5 4 2 4" xfId="31453" xr:uid="{00000000-0005-0000-0000-0000B8960000}"/>
    <cellStyle name="40% - Accent6 5 4 2 5" xfId="41178" xr:uid="{00000000-0005-0000-0000-0000B9960000}"/>
    <cellStyle name="40% - Accent6 5 4 2 6" xfId="12003" xr:uid="{00000000-0005-0000-0000-0000BA960000}"/>
    <cellStyle name="40% - Accent6 5 4 3" xfId="3897" xr:uid="{00000000-0005-0000-0000-0000BB960000}"/>
    <cellStyle name="40% - Accent6 5 4 3 2" xfId="8759" xr:uid="{00000000-0005-0000-0000-0000BC960000}"/>
    <cellStyle name="40% - Accent6 5 4 3 2 2" xfId="28210" xr:uid="{00000000-0005-0000-0000-0000BD960000}"/>
    <cellStyle name="40% - Accent6 5 4 3 2 3" xfId="37935" xr:uid="{00000000-0005-0000-0000-0000BE960000}"/>
    <cellStyle name="40% - Accent6 5 4 3 2 4" xfId="47660" xr:uid="{00000000-0005-0000-0000-0000BF960000}"/>
    <cellStyle name="40% - Accent6 5 4 3 2 5" xfId="18485" xr:uid="{00000000-0005-0000-0000-0000C0960000}"/>
    <cellStyle name="40% - Accent6 5 4 3 3" xfId="23348" xr:uid="{00000000-0005-0000-0000-0000C1960000}"/>
    <cellStyle name="40% - Accent6 5 4 3 4" xfId="33073" xr:uid="{00000000-0005-0000-0000-0000C2960000}"/>
    <cellStyle name="40% - Accent6 5 4 3 5" xfId="42798" xr:uid="{00000000-0005-0000-0000-0000C3960000}"/>
    <cellStyle name="40% - Accent6 5 4 3 6" xfId="13623" xr:uid="{00000000-0005-0000-0000-0000C4960000}"/>
    <cellStyle name="40% - Accent6 5 4 4" xfId="5519" xr:uid="{00000000-0005-0000-0000-0000C5960000}"/>
    <cellStyle name="40% - Accent6 5 4 4 2" xfId="24970" xr:uid="{00000000-0005-0000-0000-0000C6960000}"/>
    <cellStyle name="40% - Accent6 5 4 4 3" xfId="34695" xr:uid="{00000000-0005-0000-0000-0000C7960000}"/>
    <cellStyle name="40% - Accent6 5 4 4 4" xfId="44420" xr:uid="{00000000-0005-0000-0000-0000C8960000}"/>
    <cellStyle name="40% - Accent6 5 4 4 5" xfId="15245" xr:uid="{00000000-0005-0000-0000-0000C9960000}"/>
    <cellStyle name="40% - Accent6 5 4 5" xfId="20108" xr:uid="{00000000-0005-0000-0000-0000CA960000}"/>
    <cellStyle name="40% - Accent6 5 4 6" xfId="29833" xr:uid="{00000000-0005-0000-0000-0000CB960000}"/>
    <cellStyle name="40% - Accent6 5 4 7" xfId="39558" xr:uid="{00000000-0005-0000-0000-0000CC960000}"/>
    <cellStyle name="40% - Accent6 5 4 8" xfId="10383" xr:uid="{00000000-0005-0000-0000-0000CD960000}"/>
    <cellStyle name="40% - Accent6 5 5" xfId="1917" xr:uid="{00000000-0005-0000-0000-0000CE960000}"/>
    <cellStyle name="40% - Accent6 5 5 2" xfId="6779" xr:uid="{00000000-0005-0000-0000-0000CF960000}"/>
    <cellStyle name="40% - Accent6 5 5 2 2" xfId="26230" xr:uid="{00000000-0005-0000-0000-0000D0960000}"/>
    <cellStyle name="40% - Accent6 5 5 2 3" xfId="35955" xr:uid="{00000000-0005-0000-0000-0000D1960000}"/>
    <cellStyle name="40% - Accent6 5 5 2 4" xfId="45680" xr:uid="{00000000-0005-0000-0000-0000D2960000}"/>
    <cellStyle name="40% - Accent6 5 5 2 5" xfId="16505" xr:uid="{00000000-0005-0000-0000-0000D3960000}"/>
    <cellStyle name="40% - Accent6 5 5 3" xfId="21368" xr:uid="{00000000-0005-0000-0000-0000D4960000}"/>
    <cellStyle name="40% - Accent6 5 5 4" xfId="31093" xr:uid="{00000000-0005-0000-0000-0000D5960000}"/>
    <cellStyle name="40% - Accent6 5 5 5" xfId="40818" xr:uid="{00000000-0005-0000-0000-0000D6960000}"/>
    <cellStyle name="40% - Accent6 5 5 6" xfId="11643" xr:uid="{00000000-0005-0000-0000-0000D7960000}"/>
    <cellStyle name="40% - Accent6 5 6" xfId="3537" xr:uid="{00000000-0005-0000-0000-0000D8960000}"/>
    <cellStyle name="40% - Accent6 5 6 2" xfId="8399" xr:uid="{00000000-0005-0000-0000-0000D9960000}"/>
    <cellStyle name="40% - Accent6 5 6 2 2" xfId="27850" xr:uid="{00000000-0005-0000-0000-0000DA960000}"/>
    <cellStyle name="40% - Accent6 5 6 2 3" xfId="37575" xr:uid="{00000000-0005-0000-0000-0000DB960000}"/>
    <cellStyle name="40% - Accent6 5 6 2 4" xfId="47300" xr:uid="{00000000-0005-0000-0000-0000DC960000}"/>
    <cellStyle name="40% - Accent6 5 6 2 5" xfId="18125" xr:uid="{00000000-0005-0000-0000-0000DD960000}"/>
    <cellStyle name="40% - Accent6 5 6 3" xfId="22988" xr:uid="{00000000-0005-0000-0000-0000DE960000}"/>
    <cellStyle name="40% - Accent6 5 6 4" xfId="32713" xr:uid="{00000000-0005-0000-0000-0000DF960000}"/>
    <cellStyle name="40% - Accent6 5 6 5" xfId="42438" xr:uid="{00000000-0005-0000-0000-0000E0960000}"/>
    <cellStyle name="40% - Accent6 5 6 6" xfId="13263" xr:uid="{00000000-0005-0000-0000-0000E1960000}"/>
    <cellStyle name="40% - Accent6 5 7" xfId="5159" xr:uid="{00000000-0005-0000-0000-0000E2960000}"/>
    <cellStyle name="40% - Accent6 5 7 2" xfId="24610" xr:uid="{00000000-0005-0000-0000-0000E3960000}"/>
    <cellStyle name="40% - Accent6 5 7 3" xfId="34335" xr:uid="{00000000-0005-0000-0000-0000E4960000}"/>
    <cellStyle name="40% - Accent6 5 7 4" xfId="44060" xr:uid="{00000000-0005-0000-0000-0000E5960000}"/>
    <cellStyle name="40% - Accent6 5 7 5" xfId="14885" xr:uid="{00000000-0005-0000-0000-0000E6960000}"/>
    <cellStyle name="40% - Accent6 5 8" xfId="19748" xr:uid="{00000000-0005-0000-0000-0000E7960000}"/>
    <cellStyle name="40% - Accent6 5 9" xfId="29473" xr:uid="{00000000-0005-0000-0000-0000E8960000}"/>
    <cellStyle name="40% - Accent6 6" xfId="326" xr:uid="{00000000-0005-0000-0000-0000E9960000}"/>
    <cellStyle name="40% - Accent6 6 10" xfId="39288" xr:uid="{00000000-0005-0000-0000-0000EA960000}"/>
    <cellStyle name="40% - Accent6 6 11" xfId="10113" xr:uid="{00000000-0005-0000-0000-0000EB960000}"/>
    <cellStyle name="40% - Accent6 6 2" xfId="1089" xr:uid="{00000000-0005-0000-0000-0000EC960000}"/>
    <cellStyle name="40% - Accent6 6 2 2" xfId="2727" xr:uid="{00000000-0005-0000-0000-0000ED960000}"/>
    <cellStyle name="40% - Accent6 6 2 2 2" xfId="7589" xr:uid="{00000000-0005-0000-0000-0000EE960000}"/>
    <cellStyle name="40% - Accent6 6 2 2 2 2" xfId="27040" xr:uid="{00000000-0005-0000-0000-0000EF960000}"/>
    <cellStyle name="40% - Accent6 6 2 2 2 3" xfId="36765" xr:uid="{00000000-0005-0000-0000-0000F0960000}"/>
    <cellStyle name="40% - Accent6 6 2 2 2 4" xfId="46490" xr:uid="{00000000-0005-0000-0000-0000F1960000}"/>
    <cellStyle name="40% - Accent6 6 2 2 2 5" xfId="17315" xr:uid="{00000000-0005-0000-0000-0000F2960000}"/>
    <cellStyle name="40% - Accent6 6 2 2 3" xfId="22178" xr:uid="{00000000-0005-0000-0000-0000F3960000}"/>
    <cellStyle name="40% - Accent6 6 2 2 4" xfId="31903" xr:uid="{00000000-0005-0000-0000-0000F4960000}"/>
    <cellStyle name="40% - Accent6 6 2 2 5" xfId="41628" xr:uid="{00000000-0005-0000-0000-0000F5960000}"/>
    <cellStyle name="40% - Accent6 6 2 2 6" xfId="12453" xr:uid="{00000000-0005-0000-0000-0000F6960000}"/>
    <cellStyle name="40% - Accent6 6 2 3" xfId="4347" xr:uid="{00000000-0005-0000-0000-0000F7960000}"/>
    <cellStyle name="40% - Accent6 6 2 3 2" xfId="9209" xr:uid="{00000000-0005-0000-0000-0000F8960000}"/>
    <cellStyle name="40% - Accent6 6 2 3 2 2" xfId="28660" xr:uid="{00000000-0005-0000-0000-0000F9960000}"/>
    <cellStyle name="40% - Accent6 6 2 3 2 3" xfId="38385" xr:uid="{00000000-0005-0000-0000-0000FA960000}"/>
    <cellStyle name="40% - Accent6 6 2 3 2 4" xfId="48110" xr:uid="{00000000-0005-0000-0000-0000FB960000}"/>
    <cellStyle name="40% - Accent6 6 2 3 2 5" xfId="18935" xr:uid="{00000000-0005-0000-0000-0000FC960000}"/>
    <cellStyle name="40% - Accent6 6 2 3 3" xfId="23798" xr:uid="{00000000-0005-0000-0000-0000FD960000}"/>
    <cellStyle name="40% - Accent6 6 2 3 4" xfId="33523" xr:uid="{00000000-0005-0000-0000-0000FE960000}"/>
    <cellStyle name="40% - Accent6 6 2 3 5" xfId="43248" xr:uid="{00000000-0005-0000-0000-0000FF960000}"/>
    <cellStyle name="40% - Accent6 6 2 3 6" xfId="14073" xr:uid="{00000000-0005-0000-0000-000000970000}"/>
    <cellStyle name="40% - Accent6 6 2 4" xfId="5969" xr:uid="{00000000-0005-0000-0000-000001970000}"/>
    <cellStyle name="40% - Accent6 6 2 4 2" xfId="25420" xr:uid="{00000000-0005-0000-0000-000002970000}"/>
    <cellStyle name="40% - Accent6 6 2 4 3" xfId="35145" xr:uid="{00000000-0005-0000-0000-000003970000}"/>
    <cellStyle name="40% - Accent6 6 2 4 4" xfId="44870" xr:uid="{00000000-0005-0000-0000-000004970000}"/>
    <cellStyle name="40% - Accent6 6 2 4 5" xfId="15695" xr:uid="{00000000-0005-0000-0000-000005970000}"/>
    <cellStyle name="40% - Accent6 6 2 5" xfId="20558" xr:uid="{00000000-0005-0000-0000-000006970000}"/>
    <cellStyle name="40% - Accent6 6 2 6" xfId="30283" xr:uid="{00000000-0005-0000-0000-000007970000}"/>
    <cellStyle name="40% - Accent6 6 2 7" xfId="40008" xr:uid="{00000000-0005-0000-0000-000008970000}"/>
    <cellStyle name="40% - Accent6 6 2 8" xfId="10833" xr:uid="{00000000-0005-0000-0000-000009970000}"/>
    <cellStyle name="40% - Accent6 6 3" xfId="1556" xr:uid="{00000000-0005-0000-0000-00000A970000}"/>
    <cellStyle name="40% - Accent6 6 3 2" xfId="3177" xr:uid="{00000000-0005-0000-0000-00000B970000}"/>
    <cellStyle name="40% - Accent6 6 3 2 2" xfId="8039" xr:uid="{00000000-0005-0000-0000-00000C970000}"/>
    <cellStyle name="40% - Accent6 6 3 2 2 2" xfId="27490" xr:uid="{00000000-0005-0000-0000-00000D970000}"/>
    <cellStyle name="40% - Accent6 6 3 2 2 3" xfId="37215" xr:uid="{00000000-0005-0000-0000-00000E970000}"/>
    <cellStyle name="40% - Accent6 6 3 2 2 4" xfId="46940" xr:uid="{00000000-0005-0000-0000-00000F970000}"/>
    <cellStyle name="40% - Accent6 6 3 2 2 5" xfId="17765" xr:uid="{00000000-0005-0000-0000-000010970000}"/>
    <cellStyle name="40% - Accent6 6 3 2 3" xfId="22628" xr:uid="{00000000-0005-0000-0000-000011970000}"/>
    <cellStyle name="40% - Accent6 6 3 2 4" xfId="32353" xr:uid="{00000000-0005-0000-0000-000012970000}"/>
    <cellStyle name="40% - Accent6 6 3 2 5" xfId="42078" xr:uid="{00000000-0005-0000-0000-000013970000}"/>
    <cellStyle name="40% - Accent6 6 3 2 6" xfId="12903" xr:uid="{00000000-0005-0000-0000-000014970000}"/>
    <cellStyle name="40% - Accent6 6 3 3" xfId="4797" xr:uid="{00000000-0005-0000-0000-000015970000}"/>
    <cellStyle name="40% - Accent6 6 3 3 2" xfId="9659" xr:uid="{00000000-0005-0000-0000-000016970000}"/>
    <cellStyle name="40% - Accent6 6 3 3 2 2" xfId="29110" xr:uid="{00000000-0005-0000-0000-000017970000}"/>
    <cellStyle name="40% - Accent6 6 3 3 2 3" xfId="38835" xr:uid="{00000000-0005-0000-0000-000018970000}"/>
    <cellStyle name="40% - Accent6 6 3 3 2 4" xfId="48560" xr:uid="{00000000-0005-0000-0000-000019970000}"/>
    <cellStyle name="40% - Accent6 6 3 3 2 5" xfId="19385" xr:uid="{00000000-0005-0000-0000-00001A970000}"/>
    <cellStyle name="40% - Accent6 6 3 3 3" xfId="24248" xr:uid="{00000000-0005-0000-0000-00001B970000}"/>
    <cellStyle name="40% - Accent6 6 3 3 4" xfId="33973" xr:uid="{00000000-0005-0000-0000-00001C970000}"/>
    <cellStyle name="40% - Accent6 6 3 3 5" xfId="43698" xr:uid="{00000000-0005-0000-0000-00001D970000}"/>
    <cellStyle name="40% - Accent6 6 3 3 6" xfId="14523" xr:uid="{00000000-0005-0000-0000-00001E970000}"/>
    <cellStyle name="40% - Accent6 6 3 4" xfId="6419" xr:uid="{00000000-0005-0000-0000-00001F970000}"/>
    <cellStyle name="40% - Accent6 6 3 4 2" xfId="25870" xr:uid="{00000000-0005-0000-0000-000020970000}"/>
    <cellStyle name="40% - Accent6 6 3 4 3" xfId="35595" xr:uid="{00000000-0005-0000-0000-000021970000}"/>
    <cellStyle name="40% - Accent6 6 3 4 4" xfId="45320" xr:uid="{00000000-0005-0000-0000-000022970000}"/>
    <cellStyle name="40% - Accent6 6 3 4 5" xfId="16145" xr:uid="{00000000-0005-0000-0000-000023970000}"/>
    <cellStyle name="40% - Accent6 6 3 5" xfId="21008" xr:uid="{00000000-0005-0000-0000-000024970000}"/>
    <cellStyle name="40% - Accent6 6 3 6" xfId="30733" xr:uid="{00000000-0005-0000-0000-000025970000}"/>
    <cellStyle name="40% - Accent6 6 3 7" xfId="40458" xr:uid="{00000000-0005-0000-0000-000026970000}"/>
    <cellStyle name="40% - Accent6 6 3 8" xfId="11283" xr:uid="{00000000-0005-0000-0000-000027970000}"/>
    <cellStyle name="40% - Accent6 6 4" xfId="727" xr:uid="{00000000-0005-0000-0000-000028970000}"/>
    <cellStyle name="40% - Accent6 6 4 2" xfId="2367" xr:uid="{00000000-0005-0000-0000-000029970000}"/>
    <cellStyle name="40% - Accent6 6 4 2 2" xfId="7229" xr:uid="{00000000-0005-0000-0000-00002A970000}"/>
    <cellStyle name="40% - Accent6 6 4 2 2 2" xfId="26680" xr:uid="{00000000-0005-0000-0000-00002B970000}"/>
    <cellStyle name="40% - Accent6 6 4 2 2 3" xfId="36405" xr:uid="{00000000-0005-0000-0000-00002C970000}"/>
    <cellStyle name="40% - Accent6 6 4 2 2 4" xfId="46130" xr:uid="{00000000-0005-0000-0000-00002D970000}"/>
    <cellStyle name="40% - Accent6 6 4 2 2 5" xfId="16955" xr:uid="{00000000-0005-0000-0000-00002E970000}"/>
    <cellStyle name="40% - Accent6 6 4 2 3" xfId="21818" xr:uid="{00000000-0005-0000-0000-00002F970000}"/>
    <cellStyle name="40% - Accent6 6 4 2 4" xfId="31543" xr:uid="{00000000-0005-0000-0000-000030970000}"/>
    <cellStyle name="40% - Accent6 6 4 2 5" xfId="41268" xr:uid="{00000000-0005-0000-0000-000031970000}"/>
    <cellStyle name="40% - Accent6 6 4 2 6" xfId="12093" xr:uid="{00000000-0005-0000-0000-000032970000}"/>
    <cellStyle name="40% - Accent6 6 4 3" xfId="3987" xr:uid="{00000000-0005-0000-0000-000033970000}"/>
    <cellStyle name="40% - Accent6 6 4 3 2" xfId="8849" xr:uid="{00000000-0005-0000-0000-000034970000}"/>
    <cellStyle name="40% - Accent6 6 4 3 2 2" xfId="28300" xr:uid="{00000000-0005-0000-0000-000035970000}"/>
    <cellStyle name="40% - Accent6 6 4 3 2 3" xfId="38025" xr:uid="{00000000-0005-0000-0000-000036970000}"/>
    <cellStyle name="40% - Accent6 6 4 3 2 4" xfId="47750" xr:uid="{00000000-0005-0000-0000-000037970000}"/>
    <cellStyle name="40% - Accent6 6 4 3 2 5" xfId="18575" xr:uid="{00000000-0005-0000-0000-000038970000}"/>
    <cellStyle name="40% - Accent6 6 4 3 3" xfId="23438" xr:uid="{00000000-0005-0000-0000-000039970000}"/>
    <cellStyle name="40% - Accent6 6 4 3 4" xfId="33163" xr:uid="{00000000-0005-0000-0000-00003A970000}"/>
    <cellStyle name="40% - Accent6 6 4 3 5" xfId="42888" xr:uid="{00000000-0005-0000-0000-00003B970000}"/>
    <cellStyle name="40% - Accent6 6 4 3 6" xfId="13713" xr:uid="{00000000-0005-0000-0000-00003C970000}"/>
    <cellStyle name="40% - Accent6 6 4 4" xfId="5609" xr:uid="{00000000-0005-0000-0000-00003D970000}"/>
    <cellStyle name="40% - Accent6 6 4 4 2" xfId="25060" xr:uid="{00000000-0005-0000-0000-00003E970000}"/>
    <cellStyle name="40% - Accent6 6 4 4 3" xfId="34785" xr:uid="{00000000-0005-0000-0000-00003F970000}"/>
    <cellStyle name="40% - Accent6 6 4 4 4" xfId="44510" xr:uid="{00000000-0005-0000-0000-000040970000}"/>
    <cellStyle name="40% - Accent6 6 4 4 5" xfId="15335" xr:uid="{00000000-0005-0000-0000-000041970000}"/>
    <cellStyle name="40% - Accent6 6 4 5" xfId="20198" xr:uid="{00000000-0005-0000-0000-000042970000}"/>
    <cellStyle name="40% - Accent6 6 4 6" xfId="29923" xr:uid="{00000000-0005-0000-0000-000043970000}"/>
    <cellStyle name="40% - Accent6 6 4 7" xfId="39648" xr:uid="{00000000-0005-0000-0000-000044970000}"/>
    <cellStyle name="40% - Accent6 6 4 8" xfId="10473" xr:uid="{00000000-0005-0000-0000-000045970000}"/>
    <cellStyle name="40% - Accent6 6 5" xfId="2007" xr:uid="{00000000-0005-0000-0000-000046970000}"/>
    <cellStyle name="40% - Accent6 6 5 2" xfId="6869" xr:uid="{00000000-0005-0000-0000-000047970000}"/>
    <cellStyle name="40% - Accent6 6 5 2 2" xfId="26320" xr:uid="{00000000-0005-0000-0000-000048970000}"/>
    <cellStyle name="40% - Accent6 6 5 2 3" xfId="36045" xr:uid="{00000000-0005-0000-0000-000049970000}"/>
    <cellStyle name="40% - Accent6 6 5 2 4" xfId="45770" xr:uid="{00000000-0005-0000-0000-00004A970000}"/>
    <cellStyle name="40% - Accent6 6 5 2 5" xfId="16595" xr:uid="{00000000-0005-0000-0000-00004B970000}"/>
    <cellStyle name="40% - Accent6 6 5 3" xfId="21458" xr:uid="{00000000-0005-0000-0000-00004C970000}"/>
    <cellStyle name="40% - Accent6 6 5 4" xfId="31183" xr:uid="{00000000-0005-0000-0000-00004D970000}"/>
    <cellStyle name="40% - Accent6 6 5 5" xfId="40908" xr:uid="{00000000-0005-0000-0000-00004E970000}"/>
    <cellStyle name="40% - Accent6 6 5 6" xfId="11733" xr:uid="{00000000-0005-0000-0000-00004F970000}"/>
    <cellStyle name="40% - Accent6 6 6" xfId="3627" xr:uid="{00000000-0005-0000-0000-000050970000}"/>
    <cellStyle name="40% - Accent6 6 6 2" xfId="8489" xr:uid="{00000000-0005-0000-0000-000051970000}"/>
    <cellStyle name="40% - Accent6 6 6 2 2" xfId="27940" xr:uid="{00000000-0005-0000-0000-000052970000}"/>
    <cellStyle name="40% - Accent6 6 6 2 3" xfId="37665" xr:uid="{00000000-0005-0000-0000-000053970000}"/>
    <cellStyle name="40% - Accent6 6 6 2 4" xfId="47390" xr:uid="{00000000-0005-0000-0000-000054970000}"/>
    <cellStyle name="40% - Accent6 6 6 2 5" xfId="18215" xr:uid="{00000000-0005-0000-0000-000055970000}"/>
    <cellStyle name="40% - Accent6 6 6 3" xfId="23078" xr:uid="{00000000-0005-0000-0000-000056970000}"/>
    <cellStyle name="40% - Accent6 6 6 4" xfId="32803" xr:uid="{00000000-0005-0000-0000-000057970000}"/>
    <cellStyle name="40% - Accent6 6 6 5" xfId="42528" xr:uid="{00000000-0005-0000-0000-000058970000}"/>
    <cellStyle name="40% - Accent6 6 6 6" xfId="13353" xr:uid="{00000000-0005-0000-0000-000059970000}"/>
    <cellStyle name="40% - Accent6 6 7" xfId="5249" xr:uid="{00000000-0005-0000-0000-00005A970000}"/>
    <cellStyle name="40% - Accent6 6 7 2" xfId="24700" xr:uid="{00000000-0005-0000-0000-00005B970000}"/>
    <cellStyle name="40% - Accent6 6 7 3" xfId="34425" xr:uid="{00000000-0005-0000-0000-00005C970000}"/>
    <cellStyle name="40% - Accent6 6 7 4" xfId="44150" xr:uid="{00000000-0005-0000-0000-00005D970000}"/>
    <cellStyle name="40% - Accent6 6 7 5" xfId="14975" xr:uid="{00000000-0005-0000-0000-00005E970000}"/>
    <cellStyle name="40% - Accent6 6 8" xfId="19838" xr:uid="{00000000-0005-0000-0000-00005F970000}"/>
    <cellStyle name="40% - Accent6 6 9" xfId="29563" xr:uid="{00000000-0005-0000-0000-000060970000}"/>
    <cellStyle name="40% - Accent6 7" xfId="144" xr:uid="{00000000-0005-0000-0000-000061970000}"/>
    <cellStyle name="40% - Accent6 7 10" xfId="39108" xr:uid="{00000000-0005-0000-0000-000062970000}"/>
    <cellStyle name="40% - Accent6 7 11" xfId="9933" xr:uid="{00000000-0005-0000-0000-000063970000}"/>
    <cellStyle name="40% - Accent6 7 2" xfId="908" xr:uid="{00000000-0005-0000-0000-000064970000}"/>
    <cellStyle name="40% - Accent6 7 2 2" xfId="2547" xr:uid="{00000000-0005-0000-0000-000065970000}"/>
    <cellStyle name="40% - Accent6 7 2 2 2" xfId="7409" xr:uid="{00000000-0005-0000-0000-000066970000}"/>
    <cellStyle name="40% - Accent6 7 2 2 2 2" xfId="26860" xr:uid="{00000000-0005-0000-0000-000067970000}"/>
    <cellStyle name="40% - Accent6 7 2 2 2 3" xfId="36585" xr:uid="{00000000-0005-0000-0000-000068970000}"/>
    <cellStyle name="40% - Accent6 7 2 2 2 4" xfId="46310" xr:uid="{00000000-0005-0000-0000-000069970000}"/>
    <cellStyle name="40% - Accent6 7 2 2 2 5" xfId="17135" xr:uid="{00000000-0005-0000-0000-00006A970000}"/>
    <cellStyle name="40% - Accent6 7 2 2 3" xfId="21998" xr:uid="{00000000-0005-0000-0000-00006B970000}"/>
    <cellStyle name="40% - Accent6 7 2 2 4" xfId="31723" xr:uid="{00000000-0005-0000-0000-00006C970000}"/>
    <cellStyle name="40% - Accent6 7 2 2 5" xfId="41448" xr:uid="{00000000-0005-0000-0000-00006D970000}"/>
    <cellStyle name="40% - Accent6 7 2 2 6" xfId="12273" xr:uid="{00000000-0005-0000-0000-00006E970000}"/>
    <cellStyle name="40% - Accent6 7 2 3" xfId="4167" xr:uid="{00000000-0005-0000-0000-00006F970000}"/>
    <cellStyle name="40% - Accent6 7 2 3 2" xfId="9029" xr:uid="{00000000-0005-0000-0000-000070970000}"/>
    <cellStyle name="40% - Accent6 7 2 3 2 2" xfId="28480" xr:uid="{00000000-0005-0000-0000-000071970000}"/>
    <cellStyle name="40% - Accent6 7 2 3 2 3" xfId="38205" xr:uid="{00000000-0005-0000-0000-000072970000}"/>
    <cellStyle name="40% - Accent6 7 2 3 2 4" xfId="47930" xr:uid="{00000000-0005-0000-0000-000073970000}"/>
    <cellStyle name="40% - Accent6 7 2 3 2 5" xfId="18755" xr:uid="{00000000-0005-0000-0000-000074970000}"/>
    <cellStyle name="40% - Accent6 7 2 3 3" xfId="23618" xr:uid="{00000000-0005-0000-0000-000075970000}"/>
    <cellStyle name="40% - Accent6 7 2 3 4" xfId="33343" xr:uid="{00000000-0005-0000-0000-000076970000}"/>
    <cellStyle name="40% - Accent6 7 2 3 5" xfId="43068" xr:uid="{00000000-0005-0000-0000-000077970000}"/>
    <cellStyle name="40% - Accent6 7 2 3 6" xfId="13893" xr:uid="{00000000-0005-0000-0000-000078970000}"/>
    <cellStyle name="40% - Accent6 7 2 4" xfId="5789" xr:uid="{00000000-0005-0000-0000-000079970000}"/>
    <cellStyle name="40% - Accent6 7 2 4 2" xfId="25240" xr:uid="{00000000-0005-0000-0000-00007A970000}"/>
    <cellStyle name="40% - Accent6 7 2 4 3" xfId="34965" xr:uid="{00000000-0005-0000-0000-00007B970000}"/>
    <cellStyle name="40% - Accent6 7 2 4 4" xfId="44690" xr:uid="{00000000-0005-0000-0000-00007C970000}"/>
    <cellStyle name="40% - Accent6 7 2 4 5" xfId="15515" xr:uid="{00000000-0005-0000-0000-00007D970000}"/>
    <cellStyle name="40% - Accent6 7 2 5" xfId="20378" xr:uid="{00000000-0005-0000-0000-00007E970000}"/>
    <cellStyle name="40% - Accent6 7 2 6" xfId="30103" xr:uid="{00000000-0005-0000-0000-00007F970000}"/>
    <cellStyle name="40% - Accent6 7 2 7" xfId="39828" xr:uid="{00000000-0005-0000-0000-000080970000}"/>
    <cellStyle name="40% - Accent6 7 2 8" xfId="10653" xr:uid="{00000000-0005-0000-0000-000081970000}"/>
    <cellStyle name="40% - Accent6 7 3" xfId="1376" xr:uid="{00000000-0005-0000-0000-000082970000}"/>
    <cellStyle name="40% - Accent6 7 3 2" xfId="2997" xr:uid="{00000000-0005-0000-0000-000083970000}"/>
    <cellStyle name="40% - Accent6 7 3 2 2" xfId="7859" xr:uid="{00000000-0005-0000-0000-000084970000}"/>
    <cellStyle name="40% - Accent6 7 3 2 2 2" xfId="27310" xr:uid="{00000000-0005-0000-0000-000085970000}"/>
    <cellStyle name="40% - Accent6 7 3 2 2 3" xfId="37035" xr:uid="{00000000-0005-0000-0000-000086970000}"/>
    <cellStyle name="40% - Accent6 7 3 2 2 4" xfId="46760" xr:uid="{00000000-0005-0000-0000-000087970000}"/>
    <cellStyle name="40% - Accent6 7 3 2 2 5" xfId="17585" xr:uid="{00000000-0005-0000-0000-000088970000}"/>
    <cellStyle name="40% - Accent6 7 3 2 3" xfId="22448" xr:uid="{00000000-0005-0000-0000-000089970000}"/>
    <cellStyle name="40% - Accent6 7 3 2 4" xfId="32173" xr:uid="{00000000-0005-0000-0000-00008A970000}"/>
    <cellStyle name="40% - Accent6 7 3 2 5" xfId="41898" xr:uid="{00000000-0005-0000-0000-00008B970000}"/>
    <cellStyle name="40% - Accent6 7 3 2 6" xfId="12723" xr:uid="{00000000-0005-0000-0000-00008C970000}"/>
    <cellStyle name="40% - Accent6 7 3 3" xfId="4617" xr:uid="{00000000-0005-0000-0000-00008D970000}"/>
    <cellStyle name="40% - Accent6 7 3 3 2" xfId="9479" xr:uid="{00000000-0005-0000-0000-00008E970000}"/>
    <cellStyle name="40% - Accent6 7 3 3 2 2" xfId="28930" xr:uid="{00000000-0005-0000-0000-00008F970000}"/>
    <cellStyle name="40% - Accent6 7 3 3 2 3" xfId="38655" xr:uid="{00000000-0005-0000-0000-000090970000}"/>
    <cellStyle name="40% - Accent6 7 3 3 2 4" xfId="48380" xr:uid="{00000000-0005-0000-0000-000091970000}"/>
    <cellStyle name="40% - Accent6 7 3 3 2 5" xfId="19205" xr:uid="{00000000-0005-0000-0000-000092970000}"/>
    <cellStyle name="40% - Accent6 7 3 3 3" xfId="24068" xr:uid="{00000000-0005-0000-0000-000093970000}"/>
    <cellStyle name="40% - Accent6 7 3 3 4" xfId="33793" xr:uid="{00000000-0005-0000-0000-000094970000}"/>
    <cellStyle name="40% - Accent6 7 3 3 5" xfId="43518" xr:uid="{00000000-0005-0000-0000-000095970000}"/>
    <cellStyle name="40% - Accent6 7 3 3 6" xfId="14343" xr:uid="{00000000-0005-0000-0000-000096970000}"/>
    <cellStyle name="40% - Accent6 7 3 4" xfId="6239" xr:uid="{00000000-0005-0000-0000-000097970000}"/>
    <cellStyle name="40% - Accent6 7 3 4 2" xfId="25690" xr:uid="{00000000-0005-0000-0000-000098970000}"/>
    <cellStyle name="40% - Accent6 7 3 4 3" xfId="35415" xr:uid="{00000000-0005-0000-0000-000099970000}"/>
    <cellStyle name="40% - Accent6 7 3 4 4" xfId="45140" xr:uid="{00000000-0005-0000-0000-00009A970000}"/>
    <cellStyle name="40% - Accent6 7 3 4 5" xfId="15965" xr:uid="{00000000-0005-0000-0000-00009B970000}"/>
    <cellStyle name="40% - Accent6 7 3 5" xfId="20828" xr:uid="{00000000-0005-0000-0000-00009C970000}"/>
    <cellStyle name="40% - Accent6 7 3 6" xfId="30553" xr:uid="{00000000-0005-0000-0000-00009D970000}"/>
    <cellStyle name="40% - Accent6 7 3 7" xfId="40278" xr:uid="{00000000-0005-0000-0000-00009E970000}"/>
    <cellStyle name="40% - Accent6 7 3 8" xfId="11103" xr:uid="{00000000-0005-0000-0000-00009F970000}"/>
    <cellStyle name="40% - Accent6 7 4" xfId="547" xr:uid="{00000000-0005-0000-0000-0000A0970000}"/>
    <cellStyle name="40% - Accent6 7 4 2" xfId="2187" xr:uid="{00000000-0005-0000-0000-0000A1970000}"/>
    <cellStyle name="40% - Accent6 7 4 2 2" xfId="7049" xr:uid="{00000000-0005-0000-0000-0000A2970000}"/>
    <cellStyle name="40% - Accent6 7 4 2 2 2" xfId="26500" xr:uid="{00000000-0005-0000-0000-0000A3970000}"/>
    <cellStyle name="40% - Accent6 7 4 2 2 3" xfId="36225" xr:uid="{00000000-0005-0000-0000-0000A4970000}"/>
    <cellStyle name="40% - Accent6 7 4 2 2 4" xfId="45950" xr:uid="{00000000-0005-0000-0000-0000A5970000}"/>
    <cellStyle name="40% - Accent6 7 4 2 2 5" xfId="16775" xr:uid="{00000000-0005-0000-0000-0000A6970000}"/>
    <cellStyle name="40% - Accent6 7 4 2 3" xfId="21638" xr:uid="{00000000-0005-0000-0000-0000A7970000}"/>
    <cellStyle name="40% - Accent6 7 4 2 4" xfId="31363" xr:uid="{00000000-0005-0000-0000-0000A8970000}"/>
    <cellStyle name="40% - Accent6 7 4 2 5" xfId="41088" xr:uid="{00000000-0005-0000-0000-0000A9970000}"/>
    <cellStyle name="40% - Accent6 7 4 2 6" xfId="11913" xr:uid="{00000000-0005-0000-0000-0000AA970000}"/>
    <cellStyle name="40% - Accent6 7 4 3" xfId="3807" xr:uid="{00000000-0005-0000-0000-0000AB970000}"/>
    <cellStyle name="40% - Accent6 7 4 3 2" xfId="8669" xr:uid="{00000000-0005-0000-0000-0000AC970000}"/>
    <cellStyle name="40% - Accent6 7 4 3 2 2" xfId="28120" xr:uid="{00000000-0005-0000-0000-0000AD970000}"/>
    <cellStyle name="40% - Accent6 7 4 3 2 3" xfId="37845" xr:uid="{00000000-0005-0000-0000-0000AE970000}"/>
    <cellStyle name="40% - Accent6 7 4 3 2 4" xfId="47570" xr:uid="{00000000-0005-0000-0000-0000AF970000}"/>
    <cellStyle name="40% - Accent6 7 4 3 2 5" xfId="18395" xr:uid="{00000000-0005-0000-0000-0000B0970000}"/>
    <cellStyle name="40% - Accent6 7 4 3 3" xfId="23258" xr:uid="{00000000-0005-0000-0000-0000B1970000}"/>
    <cellStyle name="40% - Accent6 7 4 3 4" xfId="32983" xr:uid="{00000000-0005-0000-0000-0000B2970000}"/>
    <cellStyle name="40% - Accent6 7 4 3 5" xfId="42708" xr:uid="{00000000-0005-0000-0000-0000B3970000}"/>
    <cellStyle name="40% - Accent6 7 4 3 6" xfId="13533" xr:uid="{00000000-0005-0000-0000-0000B4970000}"/>
    <cellStyle name="40% - Accent6 7 4 4" xfId="5429" xr:uid="{00000000-0005-0000-0000-0000B5970000}"/>
    <cellStyle name="40% - Accent6 7 4 4 2" xfId="24880" xr:uid="{00000000-0005-0000-0000-0000B6970000}"/>
    <cellStyle name="40% - Accent6 7 4 4 3" xfId="34605" xr:uid="{00000000-0005-0000-0000-0000B7970000}"/>
    <cellStyle name="40% - Accent6 7 4 4 4" xfId="44330" xr:uid="{00000000-0005-0000-0000-0000B8970000}"/>
    <cellStyle name="40% - Accent6 7 4 4 5" xfId="15155" xr:uid="{00000000-0005-0000-0000-0000B9970000}"/>
    <cellStyle name="40% - Accent6 7 4 5" xfId="20018" xr:uid="{00000000-0005-0000-0000-0000BA970000}"/>
    <cellStyle name="40% - Accent6 7 4 6" xfId="29743" xr:uid="{00000000-0005-0000-0000-0000BB970000}"/>
    <cellStyle name="40% - Accent6 7 4 7" xfId="39468" xr:uid="{00000000-0005-0000-0000-0000BC970000}"/>
    <cellStyle name="40% - Accent6 7 4 8" xfId="10293" xr:uid="{00000000-0005-0000-0000-0000BD970000}"/>
    <cellStyle name="40% - Accent6 7 5" xfId="1827" xr:uid="{00000000-0005-0000-0000-0000BE970000}"/>
    <cellStyle name="40% - Accent6 7 5 2" xfId="6689" xr:uid="{00000000-0005-0000-0000-0000BF970000}"/>
    <cellStyle name="40% - Accent6 7 5 2 2" xfId="26140" xr:uid="{00000000-0005-0000-0000-0000C0970000}"/>
    <cellStyle name="40% - Accent6 7 5 2 3" xfId="35865" xr:uid="{00000000-0005-0000-0000-0000C1970000}"/>
    <cellStyle name="40% - Accent6 7 5 2 4" xfId="45590" xr:uid="{00000000-0005-0000-0000-0000C2970000}"/>
    <cellStyle name="40% - Accent6 7 5 2 5" xfId="16415" xr:uid="{00000000-0005-0000-0000-0000C3970000}"/>
    <cellStyle name="40% - Accent6 7 5 3" xfId="21278" xr:uid="{00000000-0005-0000-0000-0000C4970000}"/>
    <cellStyle name="40% - Accent6 7 5 4" xfId="31003" xr:uid="{00000000-0005-0000-0000-0000C5970000}"/>
    <cellStyle name="40% - Accent6 7 5 5" xfId="40728" xr:uid="{00000000-0005-0000-0000-0000C6970000}"/>
    <cellStyle name="40% - Accent6 7 5 6" xfId="11553" xr:uid="{00000000-0005-0000-0000-0000C7970000}"/>
    <cellStyle name="40% - Accent6 7 6" xfId="3447" xr:uid="{00000000-0005-0000-0000-0000C8970000}"/>
    <cellStyle name="40% - Accent6 7 6 2" xfId="8309" xr:uid="{00000000-0005-0000-0000-0000C9970000}"/>
    <cellStyle name="40% - Accent6 7 6 2 2" xfId="27760" xr:uid="{00000000-0005-0000-0000-0000CA970000}"/>
    <cellStyle name="40% - Accent6 7 6 2 3" xfId="37485" xr:uid="{00000000-0005-0000-0000-0000CB970000}"/>
    <cellStyle name="40% - Accent6 7 6 2 4" xfId="47210" xr:uid="{00000000-0005-0000-0000-0000CC970000}"/>
    <cellStyle name="40% - Accent6 7 6 2 5" xfId="18035" xr:uid="{00000000-0005-0000-0000-0000CD970000}"/>
    <cellStyle name="40% - Accent6 7 6 3" xfId="22898" xr:uid="{00000000-0005-0000-0000-0000CE970000}"/>
    <cellStyle name="40% - Accent6 7 6 4" xfId="32623" xr:uid="{00000000-0005-0000-0000-0000CF970000}"/>
    <cellStyle name="40% - Accent6 7 6 5" xfId="42348" xr:uid="{00000000-0005-0000-0000-0000D0970000}"/>
    <cellStyle name="40% - Accent6 7 6 6" xfId="13173" xr:uid="{00000000-0005-0000-0000-0000D1970000}"/>
    <cellStyle name="40% - Accent6 7 7" xfId="5069" xr:uid="{00000000-0005-0000-0000-0000D2970000}"/>
    <cellStyle name="40% - Accent6 7 7 2" xfId="24520" xr:uid="{00000000-0005-0000-0000-0000D3970000}"/>
    <cellStyle name="40% - Accent6 7 7 3" xfId="34245" xr:uid="{00000000-0005-0000-0000-0000D4970000}"/>
    <cellStyle name="40% - Accent6 7 7 4" xfId="43970" xr:uid="{00000000-0005-0000-0000-0000D5970000}"/>
    <cellStyle name="40% - Accent6 7 7 5" xfId="14795" xr:uid="{00000000-0005-0000-0000-0000D6970000}"/>
    <cellStyle name="40% - Accent6 7 8" xfId="19658" xr:uid="{00000000-0005-0000-0000-0000D7970000}"/>
    <cellStyle name="40% - Accent6 7 9" xfId="29383" xr:uid="{00000000-0005-0000-0000-0000D8970000}"/>
    <cellStyle name="40% - Accent6 8" xfId="416" xr:uid="{00000000-0005-0000-0000-0000D9970000}"/>
    <cellStyle name="40% - Accent6 9" xfId="818" xr:uid="{00000000-0005-0000-0000-0000DA970000}"/>
    <cellStyle name="40% - Accent6 9 2" xfId="2457" xr:uid="{00000000-0005-0000-0000-0000DB970000}"/>
    <cellStyle name="40% - Accent6 9 2 2" xfId="7319" xr:uid="{00000000-0005-0000-0000-0000DC970000}"/>
    <cellStyle name="40% - Accent6 9 2 2 2" xfId="26770" xr:uid="{00000000-0005-0000-0000-0000DD970000}"/>
    <cellStyle name="40% - Accent6 9 2 2 3" xfId="36495" xr:uid="{00000000-0005-0000-0000-0000DE970000}"/>
    <cellStyle name="40% - Accent6 9 2 2 4" xfId="46220" xr:uid="{00000000-0005-0000-0000-0000DF970000}"/>
    <cellStyle name="40% - Accent6 9 2 2 5" xfId="17045" xr:uid="{00000000-0005-0000-0000-0000E0970000}"/>
    <cellStyle name="40% - Accent6 9 2 3" xfId="21908" xr:uid="{00000000-0005-0000-0000-0000E1970000}"/>
    <cellStyle name="40% - Accent6 9 2 4" xfId="31633" xr:uid="{00000000-0005-0000-0000-0000E2970000}"/>
    <cellStyle name="40% - Accent6 9 2 5" xfId="41358" xr:uid="{00000000-0005-0000-0000-0000E3970000}"/>
    <cellStyle name="40% - Accent6 9 2 6" xfId="12183" xr:uid="{00000000-0005-0000-0000-0000E4970000}"/>
    <cellStyle name="40% - Accent6 9 3" xfId="4077" xr:uid="{00000000-0005-0000-0000-0000E5970000}"/>
    <cellStyle name="40% - Accent6 9 3 2" xfId="8939" xr:uid="{00000000-0005-0000-0000-0000E6970000}"/>
    <cellStyle name="40% - Accent6 9 3 2 2" xfId="28390" xr:uid="{00000000-0005-0000-0000-0000E7970000}"/>
    <cellStyle name="40% - Accent6 9 3 2 3" xfId="38115" xr:uid="{00000000-0005-0000-0000-0000E8970000}"/>
    <cellStyle name="40% - Accent6 9 3 2 4" xfId="47840" xr:uid="{00000000-0005-0000-0000-0000E9970000}"/>
    <cellStyle name="40% - Accent6 9 3 2 5" xfId="18665" xr:uid="{00000000-0005-0000-0000-0000EA970000}"/>
    <cellStyle name="40% - Accent6 9 3 3" xfId="23528" xr:uid="{00000000-0005-0000-0000-0000EB970000}"/>
    <cellStyle name="40% - Accent6 9 3 4" xfId="33253" xr:uid="{00000000-0005-0000-0000-0000EC970000}"/>
    <cellStyle name="40% - Accent6 9 3 5" xfId="42978" xr:uid="{00000000-0005-0000-0000-0000ED970000}"/>
    <cellStyle name="40% - Accent6 9 3 6" xfId="13803" xr:uid="{00000000-0005-0000-0000-0000EE970000}"/>
    <cellStyle name="40% - Accent6 9 4" xfId="5699" xr:uid="{00000000-0005-0000-0000-0000EF970000}"/>
    <cellStyle name="40% - Accent6 9 4 2" xfId="25150" xr:uid="{00000000-0005-0000-0000-0000F0970000}"/>
    <cellStyle name="40% - Accent6 9 4 3" xfId="34875" xr:uid="{00000000-0005-0000-0000-0000F1970000}"/>
    <cellStyle name="40% - Accent6 9 4 4" xfId="44600" xr:uid="{00000000-0005-0000-0000-0000F2970000}"/>
    <cellStyle name="40% - Accent6 9 4 5" xfId="15425" xr:uid="{00000000-0005-0000-0000-0000F3970000}"/>
    <cellStyle name="40% - Accent6 9 5" xfId="20288" xr:uid="{00000000-0005-0000-0000-0000F4970000}"/>
    <cellStyle name="40% - Accent6 9 6" xfId="30013" xr:uid="{00000000-0005-0000-0000-0000F5970000}"/>
    <cellStyle name="40% - Accent6 9 7" xfId="39738" xr:uid="{00000000-0005-0000-0000-0000F6970000}"/>
    <cellStyle name="40% - Accent6 9 8" xfId="10563" xr:uid="{00000000-0005-0000-0000-0000F7970000}"/>
    <cellStyle name="60% - Accent1" xfId="32" builtinId="32" customBuiltin="1"/>
    <cellStyle name="60% - Accent1 2" xfId="417" xr:uid="{00000000-0005-0000-0000-0000F9970000}"/>
    <cellStyle name="60% - Accent2" xfId="36" builtinId="36" customBuiltin="1"/>
    <cellStyle name="60% - Accent2 2" xfId="418" xr:uid="{00000000-0005-0000-0000-0000FB970000}"/>
    <cellStyle name="60% - Accent3" xfId="40" builtinId="40" customBuiltin="1"/>
    <cellStyle name="60% - Accent3 2" xfId="419" xr:uid="{00000000-0005-0000-0000-0000FD970000}"/>
    <cellStyle name="60% - Accent4" xfId="44" builtinId="44" customBuiltin="1"/>
    <cellStyle name="60% - Accent4 2" xfId="420" xr:uid="{00000000-0005-0000-0000-0000FF970000}"/>
    <cellStyle name="60% - Accent5" xfId="48" builtinId="48" customBuiltin="1"/>
    <cellStyle name="60% - Accent5 2" xfId="421" xr:uid="{00000000-0005-0000-0000-000001980000}"/>
    <cellStyle name="60% - Accent6" xfId="52" builtinId="52" customBuiltin="1"/>
    <cellStyle name="60% - Accent6 2" xfId="422" xr:uid="{00000000-0005-0000-0000-000003980000}"/>
    <cellStyle name="Accent1" xfId="29" builtinId="29" customBuiltin="1"/>
    <cellStyle name="Accent1 2" xfId="423" xr:uid="{00000000-0005-0000-0000-000005980000}"/>
    <cellStyle name="Accent2" xfId="33" builtinId="33" customBuiltin="1"/>
    <cellStyle name="Accent2 2" xfId="424" xr:uid="{00000000-0005-0000-0000-000007980000}"/>
    <cellStyle name="Accent3" xfId="37" builtinId="37" customBuiltin="1"/>
    <cellStyle name="Accent3 2" xfId="425" xr:uid="{00000000-0005-0000-0000-000009980000}"/>
    <cellStyle name="Accent4" xfId="41" builtinId="41" customBuiltin="1"/>
    <cellStyle name="Accent4 2" xfId="426" xr:uid="{00000000-0005-0000-0000-00000B980000}"/>
    <cellStyle name="Accent5" xfId="45" builtinId="45" customBuiltin="1"/>
    <cellStyle name="Accent5 2" xfId="427" xr:uid="{00000000-0005-0000-0000-00000D980000}"/>
    <cellStyle name="Accent6" xfId="49" builtinId="49" customBuiltin="1"/>
    <cellStyle name="Accent6 2" xfId="428" xr:uid="{00000000-0005-0000-0000-00000F980000}"/>
    <cellStyle name="Bad" xfId="19" builtinId="27" customBuiltin="1"/>
    <cellStyle name="Bad 2" xfId="429" xr:uid="{00000000-0005-0000-0000-000011980000}"/>
    <cellStyle name="Calculation" xfId="23" builtinId="22" customBuiltin="1"/>
    <cellStyle name="Calculation 2" xfId="430" xr:uid="{00000000-0005-0000-0000-000013980000}"/>
    <cellStyle name="Check Cell" xfId="25" builtinId="23" customBuiltin="1"/>
    <cellStyle name="Check Cell 2" xfId="431" xr:uid="{00000000-0005-0000-0000-000015980000}"/>
    <cellStyle name="Comma 2" xfId="67" xr:uid="{00000000-0005-0000-0000-000016980000}"/>
    <cellStyle name="Currency 2" xfId="1" xr:uid="{00000000-0005-0000-0000-000017980000}"/>
    <cellStyle name="Currency 2 2" xfId="10" xr:uid="{00000000-0005-0000-0000-000018980000}"/>
    <cellStyle name="Currency 2 3" xfId="7" xr:uid="{00000000-0005-0000-0000-000019980000}"/>
    <cellStyle name="Currency 3" xfId="2" xr:uid="{00000000-0005-0000-0000-00001A980000}"/>
    <cellStyle name="Currency 3 2" xfId="11" xr:uid="{00000000-0005-0000-0000-00001B980000}"/>
    <cellStyle name="Currency 3 3" xfId="8" xr:uid="{00000000-0005-0000-0000-00001C980000}"/>
    <cellStyle name="Explanatory Text" xfId="27" builtinId="53" customBuiltin="1"/>
    <cellStyle name="Explanatory Text 2" xfId="432" xr:uid="{00000000-0005-0000-0000-00001E980000}"/>
    <cellStyle name="Good" xfId="18" builtinId="26" customBuiltin="1"/>
    <cellStyle name="Good 2" xfId="433" xr:uid="{00000000-0005-0000-0000-000020980000}"/>
    <cellStyle name="Heading 1" xfId="14" builtinId="16" customBuiltin="1"/>
    <cellStyle name="Heading 1 2" xfId="434" xr:uid="{00000000-0005-0000-0000-000022980000}"/>
    <cellStyle name="Heading 2" xfId="15" builtinId="17" customBuiltin="1"/>
    <cellStyle name="Heading 2 2" xfId="435" xr:uid="{00000000-0005-0000-0000-000024980000}"/>
    <cellStyle name="Heading 3" xfId="16" builtinId="18" customBuiltin="1"/>
    <cellStyle name="Heading 3 2" xfId="436" xr:uid="{00000000-0005-0000-0000-000026980000}"/>
    <cellStyle name="Heading 4" xfId="17" builtinId="19" customBuiltin="1"/>
    <cellStyle name="Heading 4 2" xfId="437" xr:uid="{00000000-0005-0000-0000-000028980000}"/>
    <cellStyle name="Hyperlink" xfId="3" builtinId="8"/>
    <cellStyle name="Hyperlink 2" xfId="132" xr:uid="{00000000-0005-0000-0000-00002A980000}"/>
    <cellStyle name="Hyperlink 2 2" xfId="314" xr:uid="{00000000-0005-0000-0000-00002B980000}"/>
    <cellStyle name="Hyperlink 2 3" xfId="223" xr:uid="{00000000-0005-0000-0000-00002C980000}"/>
    <cellStyle name="Hyperlink 3" xfId="9831" xr:uid="{00000000-0005-0000-0000-00002D980000}"/>
    <cellStyle name="Input" xfId="21" builtinId="20" customBuiltin="1"/>
    <cellStyle name="Input 2" xfId="438" xr:uid="{00000000-0005-0000-0000-00002F980000}"/>
    <cellStyle name="Linked Cell" xfId="24" builtinId="24" customBuiltin="1"/>
    <cellStyle name="Linked Cell 2" xfId="439" xr:uid="{00000000-0005-0000-0000-000031980000}"/>
    <cellStyle name="Neutral" xfId="20" builtinId="28" customBuiltin="1"/>
    <cellStyle name="Neutral 2" xfId="440" xr:uid="{00000000-0005-0000-0000-000033980000}"/>
    <cellStyle name="Normal" xfId="0" builtinId="0"/>
    <cellStyle name="Normal 10" xfId="48732" xr:uid="{00000000-0005-0000-0000-000035980000}"/>
    <cellStyle name="Normal 11" xfId="48733" xr:uid="{00000000-0005-0000-0000-000036980000}"/>
    <cellStyle name="Normal 12" xfId="48736" xr:uid="{00000000-0005-0000-0000-000037980000}"/>
    <cellStyle name="Normal 2" xfId="4" xr:uid="{00000000-0005-0000-0000-000038980000}"/>
    <cellStyle name="Normal 2 2" xfId="12" xr:uid="{00000000-0005-0000-0000-000039980000}"/>
    <cellStyle name="Normal 2 3" xfId="9" xr:uid="{00000000-0005-0000-0000-00003A980000}"/>
    <cellStyle name="Normal 2_Database (All)" xfId="1171" xr:uid="{00000000-0005-0000-0000-00003B980000}"/>
    <cellStyle name="Normal 3" xfId="6" xr:uid="{00000000-0005-0000-0000-00003C980000}"/>
    <cellStyle name="Normal 4" xfId="53" xr:uid="{00000000-0005-0000-0000-00003D980000}"/>
    <cellStyle name="Normal 4 10" xfId="1287" xr:uid="{00000000-0005-0000-0000-00003E980000}"/>
    <cellStyle name="Normal 4 10 2" xfId="2908" xr:uid="{00000000-0005-0000-0000-00003F980000}"/>
    <cellStyle name="Normal 4 10 2 2" xfId="7770" xr:uid="{00000000-0005-0000-0000-000040980000}"/>
    <cellStyle name="Normal 4 10 2 2 2" xfId="27221" xr:uid="{00000000-0005-0000-0000-000041980000}"/>
    <cellStyle name="Normal 4 10 2 2 3" xfId="36946" xr:uid="{00000000-0005-0000-0000-000042980000}"/>
    <cellStyle name="Normal 4 10 2 2 4" xfId="46671" xr:uid="{00000000-0005-0000-0000-000043980000}"/>
    <cellStyle name="Normal 4 10 2 2 5" xfId="17496" xr:uid="{00000000-0005-0000-0000-000044980000}"/>
    <cellStyle name="Normal 4 10 2 3" xfId="22359" xr:uid="{00000000-0005-0000-0000-000045980000}"/>
    <cellStyle name="Normal 4 10 2 4" xfId="32084" xr:uid="{00000000-0005-0000-0000-000046980000}"/>
    <cellStyle name="Normal 4 10 2 5" xfId="41809" xr:uid="{00000000-0005-0000-0000-000047980000}"/>
    <cellStyle name="Normal 4 10 2 6" xfId="12634" xr:uid="{00000000-0005-0000-0000-000048980000}"/>
    <cellStyle name="Normal 4 10 3" xfId="4528" xr:uid="{00000000-0005-0000-0000-000049980000}"/>
    <cellStyle name="Normal 4 10 3 2" xfId="9390" xr:uid="{00000000-0005-0000-0000-00004A980000}"/>
    <cellStyle name="Normal 4 10 3 2 2" xfId="28841" xr:uid="{00000000-0005-0000-0000-00004B980000}"/>
    <cellStyle name="Normal 4 10 3 2 3" xfId="38566" xr:uid="{00000000-0005-0000-0000-00004C980000}"/>
    <cellStyle name="Normal 4 10 3 2 4" xfId="48291" xr:uid="{00000000-0005-0000-0000-00004D980000}"/>
    <cellStyle name="Normal 4 10 3 2 5" xfId="19116" xr:uid="{00000000-0005-0000-0000-00004E980000}"/>
    <cellStyle name="Normal 4 10 3 3" xfId="23979" xr:uid="{00000000-0005-0000-0000-00004F980000}"/>
    <cellStyle name="Normal 4 10 3 4" xfId="33704" xr:uid="{00000000-0005-0000-0000-000050980000}"/>
    <cellStyle name="Normal 4 10 3 5" xfId="43429" xr:uid="{00000000-0005-0000-0000-000051980000}"/>
    <cellStyle name="Normal 4 10 3 6" xfId="14254" xr:uid="{00000000-0005-0000-0000-000052980000}"/>
    <cellStyle name="Normal 4 10 4" xfId="6150" xr:uid="{00000000-0005-0000-0000-000053980000}"/>
    <cellStyle name="Normal 4 10 4 2" xfId="25601" xr:uid="{00000000-0005-0000-0000-000054980000}"/>
    <cellStyle name="Normal 4 10 4 3" xfId="35326" xr:uid="{00000000-0005-0000-0000-000055980000}"/>
    <cellStyle name="Normal 4 10 4 4" xfId="45051" xr:uid="{00000000-0005-0000-0000-000056980000}"/>
    <cellStyle name="Normal 4 10 4 5" xfId="15876" xr:uid="{00000000-0005-0000-0000-000057980000}"/>
    <cellStyle name="Normal 4 10 5" xfId="20739" xr:uid="{00000000-0005-0000-0000-000058980000}"/>
    <cellStyle name="Normal 4 10 6" xfId="30464" xr:uid="{00000000-0005-0000-0000-000059980000}"/>
    <cellStyle name="Normal 4 10 7" xfId="40189" xr:uid="{00000000-0005-0000-0000-00005A980000}"/>
    <cellStyle name="Normal 4 10 8" xfId="11014" xr:uid="{00000000-0005-0000-0000-00005B980000}"/>
    <cellStyle name="Normal 4 11" xfId="458" xr:uid="{00000000-0005-0000-0000-00005C980000}"/>
    <cellStyle name="Normal 4 11 2" xfId="2098" xr:uid="{00000000-0005-0000-0000-00005D980000}"/>
    <cellStyle name="Normal 4 11 2 2" xfId="6960" xr:uid="{00000000-0005-0000-0000-00005E980000}"/>
    <cellStyle name="Normal 4 11 2 2 2" xfId="26411" xr:uid="{00000000-0005-0000-0000-00005F980000}"/>
    <cellStyle name="Normal 4 11 2 2 3" xfId="36136" xr:uid="{00000000-0005-0000-0000-000060980000}"/>
    <cellStyle name="Normal 4 11 2 2 4" xfId="45861" xr:uid="{00000000-0005-0000-0000-000061980000}"/>
    <cellStyle name="Normal 4 11 2 2 5" xfId="16686" xr:uid="{00000000-0005-0000-0000-000062980000}"/>
    <cellStyle name="Normal 4 11 2 3" xfId="21549" xr:uid="{00000000-0005-0000-0000-000063980000}"/>
    <cellStyle name="Normal 4 11 2 4" xfId="31274" xr:uid="{00000000-0005-0000-0000-000064980000}"/>
    <cellStyle name="Normal 4 11 2 5" xfId="40999" xr:uid="{00000000-0005-0000-0000-000065980000}"/>
    <cellStyle name="Normal 4 11 2 6" xfId="11824" xr:uid="{00000000-0005-0000-0000-000066980000}"/>
    <cellStyle name="Normal 4 11 3" xfId="3718" xr:uid="{00000000-0005-0000-0000-000067980000}"/>
    <cellStyle name="Normal 4 11 3 2" xfId="8580" xr:uid="{00000000-0005-0000-0000-000068980000}"/>
    <cellStyle name="Normal 4 11 3 2 2" xfId="28031" xr:uid="{00000000-0005-0000-0000-000069980000}"/>
    <cellStyle name="Normal 4 11 3 2 3" xfId="37756" xr:uid="{00000000-0005-0000-0000-00006A980000}"/>
    <cellStyle name="Normal 4 11 3 2 4" xfId="47481" xr:uid="{00000000-0005-0000-0000-00006B980000}"/>
    <cellStyle name="Normal 4 11 3 2 5" xfId="18306" xr:uid="{00000000-0005-0000-0000-00006C980000}"/>
    <cellStyle name="Normal 4 11 3 3" xfId="23169" xr:uid="{00000000-0005-0000-0000-00006D980000}"/>
    <cellStyle name="Normal 4 11 3 4" xfId="32894" xr:uid="{00000000-0005-0000-0000-00006E980000}"/>
    <cellStyle name="Normal 4 11 3 5" xfId="42619" xr:uid="{00000000-0005-0000-0000-00006F980000}"/>
    <cellStyle name="Normal 4 11 3 6" xfId="13444" xr:uid="{00000000-0005-0000-0000-000070980000}"/>
    <cellStyle name="Normal 4 11 4" xfId="5340" xr:uid="{00000000-0005-0000-0000-000071980000}"/>
    <cellStyle name="Normal 4 11 4 2" xfId="24791" xr:uid="{00000000-0005-0000-0000-000072980000}"/>
    <cellStyle name="Normal 4 11 4 3" xfId="34516" xr:uid="{00000000-0005-0000-0000-000073980000}"/>
    <cellStyle name="Normal 4 11 4 4" xfId="44241" xr:uid="{00000000-0005-0000-0000-000074980000}"/>
    <cellStyle name="Normal 4 11 4 5" xfId="15066" xr:uid="{00000000-0005-0000-0000-000075980000}"/>
    <cellStyle name="Normal 4 11 5" xfId="19929" xr:uid="{00000000-0005-0000-0000-000076980000}"/>
    <cellStyle name="Normal 4 11 6" xfId="29654" xr:uid="{00000000-0005-0000-0000-000077980000}"/>
    <cellStyle name="Normal 4 11 7" xfId="39379" xr:uid="{00000000-0005-0000-0000-000078980000}"/>
    <cellStyle name="Normal 4 11 8" xfId="10204" xr:uid="{00000000-0005-0000-0000-000079980000}"/>
    <cellStyle name="Normal 4 12" xfId="1647" xr:uid="{00000000-0005-0000-0000-00007A980000}"/>
    <cellStyle name="Normal 4 12 2" xfId="3268" xr:uid="{00000000-0005-0000-0000-00007B980000}"/>
    <cellStyle name="Normal 4 12 2 2" xfId="8130" xr:uid="{00000000-0005-0000-0000-00007C980000}"/>
    <cellStyle name="Normal 4 12 2 2 2" xfId="27581" xr:uid="{00000000-0005-0000-0000-00007D980000}"/>
    <cellStyle name="Normal 4 12 2 2 3" xfId="37306" xr:uid="{00000000-0005-0000-0000-00007E980000}"/>
    <cellStyle name="Normal 4 12 2 2 4" xfId="47031" xr:uid="{00000000-0005-0000-0000-00007F980000}"/>
    <cellStyle name="Normal 4 12 2 2 5" xfId="17856" xr:uid="{00000000-0005-0000-0000-000080980000}"/>
    <cellStyle name="Normal 4 12 2 3" xfId="22719" xr:uid="{00000000-0005-0000-0000-000081980000}"/>
    <cellStyle name="Normal 4 12 2 4" xfId="32444" xr:uid="{00000000-0005-0000-0000-000082980000}"/>
    <cellStyle name="Normal 4 12 2 5" xfId="42169" xr:uid="{00000000-0005-0000-0000-000083980000}"/>
    <cellStyle name="Normal 4 12 2 6" xfId="12994" xr:uid="{00000000-0005-0000-0000-000084980000}"/>
    <cellStyle name="Normal 4 12 3" xfId="4888" xr:uid="{00000000-0005-0000-0000-000085980000}"/>
    <cellStyle name="Normal 4 12 3 2" xfId="9750" xr:uid="{00000000-0005-0000-0000-000086980000}"/>
    <cellStyle name="Normal 4 12 3 2 2" xfId="29201" xr:uid="{00000000-0005-0000-0000-000087980000}"/>
    <cellStyle name="Normal 4 12 3 2 3" xfId="38926" xr:uid="{00000000-0005-0000-0000-000088980000}"/>
    <cellStyle name="Normal 4 12 3 2 4" xfId="48651" xr:uid="{00000000-0005-0000-0000-000089980000}"/>
    <cellStyle name="Normal 4 12 3 2 5" xfId="19476" xr:uid="{00000000-0005-0000-0000-00008A980000}"/>
    <cellStyle name="Normal 4 12 3 3" xfId="24339" xr:uid="{00000000-0005-0000-0000-00008B980000}"/>
    <cellStyle name="Normal 4 12 3 4" xfId="34064" xr:uid="{00000000-0005-0000-0000-00008C980000}"/>
    <cellStyle name="Normal 4 12 3 5" xfId="43789" xr:uid="{00000000-0005-0000-0000-00008D980000}"/>
    <cellStyle name="Normal 4 12 3 6" xfId="14614" xr:uid="{00000000-0005-0000-0000-00008E980000}"/>
    <cellStyle name="Normal 4 12 4" xfId="6510" xr:uid="{00000000-0005-0000-0000-00008F980000}"/>
    <cellStyle name="Normal 4 12 4 2" xfId="25961" xr:uid="{00000000-0005-0000-0000-000090980000}"/>
    <cellStyle name="Normal 4 12 4 3" xfId="35686" xr:uid="{00000000-0005-0000-0000-000091980000}"/>
    <cellStyle name="Normal 4 12 4 4" xfId="45411" xr:uid="{00000000-0005-0000-0000-000092980000}"/>
    <cellStyle name="Normal 4 12 4 5" xfId="16236" xr:uid="{00000000-0005-0000-0000-000093980000}"/>
    <cellStyle name="Normal 4 12 5" xfId="21099" xr:uid="{00000000-0005-0000-0000-000094980000}"/>
    <cellStyle name="Normal 4 12 6" xfId="30824" xr:uid="{00000000-0005-0000-0000-000095980000}"/>
    <cellStyle name="Normal 4 12 7" xfId="40549" xr:uid="{00000000-0005-0000-0000-000096980000}"/>
    <cellStyle name="Normal 4 12 8" xfId="11374" xr:uid="{00000000-0005-0000-0000-000097980000}"/>
    <cellStyle name="Normal 4 13" xfId="1738" xr:uid="{00000000-0005-0000-0000-000098980000}"/>
    <cellStyle name="Normal 4 13 2" xfId="6600" xr:uid="{00000000-0005-0000-0000-000099980000}"/>
    <cellStyle name="Normal 4 13 2 2" xfId="26051" xr:uid="{00000000-0005-0000-0000-00009A980000}"/>
    <cellStyle name="Normal 4 13 2 3" xfId="35776" xr:uid="{00000000-0005-0000-0000-00009B980000}"/>
    <cellStyle name="Normal 4 13 2 4" xfId="45501" xr:uid="{00000000-0005-0000-0000-00009C980000}"/>
    <cellStyle name="Normal 4 13 2 5" xfId="16326" xr:uid="{00000000-0005-0000-0000-00009D980000}"/>
    <cellStyle name="Normal 4 13 3" xfId="21189" xr:uid="{00000000-0005-0000-0000-00009E980000}"/>
    <cellStyle name="Normal 4 13 4" xfId="30914" xr:uid="{00000000-0005-0000-0000-00009F980000}"/>
    <cellStyle name="Normal 4 13 5" xfId="40639" xr:uid="{00000000-0005-0000-0000-0000A0980000}"/>
    <cellStyle name="Normal 4 13 6" xfId="11464" xr:uid="{00000000-0005-0000-0000-0000A1980000}"/>
    <cellStyle name="Normal 4 14" xfId="3358" xr:uid="{00000000-0005-0000-0000-0000A2980000}"/>
    <cellStyle name="Normal 4 14 2" xfId="8220" xr:uid="{00000000-0005-0000-0000-0000A3980000}"/>
    <cellStyle name="Normal 4 14 2 2" xfId="27671" xr:uid="{00000000-0005-0000-0000-0000A4980000}"/>
    <cellStyle name="Normal 4 14 2 3" xfId="37396" xr:uid="{00000000-0005-0000-0000-0000A5980000}"/>
    <cellStyle name="Normal 4 14 2 4" xfId="47121" xr:uid="{00000000-0005-0000-0000-0000A6980000}"/>
    <cellStyle name="Normal 4 14 2 5" xfId="17946" xr:uid="{00000000-0005-0000-0000-0000A7980000}"/>
    <cellStyle name="Normal 4 14 3" xfId="22809" xr:uid="{00000000-0005-0000-0000-0000A8980000}"/>
    <cellStyle name="Normal 4 14 4" xfId="32534" xr:uid="{00000000-0005-0000-0000-0000A9980000}"/>
    <cellStyle name="Normal 4 14 5" xfId="42259" xr:uid="{00000000-0005-0000-0000-0000AA980000}"/>
    <cellStyle name="Normal 4 14 6" xfId="13084" xr:uid="{00000000-0005-0000-0000-0000AB980000}"/>
    <cellStyle name="Normal 4 15" xfId="4980" xr:uid="{00000000-0005-0000-0000-0000AC980000}"/>
    <cellStyle name="Normal 4 15 2" xfId="24431" xr:uid="{00000000-0005-0000-0000-0000AD980000}"/>
    <cellStyle name="Normal 4 15 3" xfId="34156" xr:uid="{00000000-0005-0000-0000-0000AE980000}"/>
    <cellStyle name="Normal 4 15 4" xfId="43881" xr:uid="{00000000-0005-0000-0000-0000AF980000}"/>
    <cellStyle name="Normal 4 15 5" xfId="14706" xr:uid="{00000000-0005-0000-0000-0000B0980000}"/>
    <cellStyle name="Normal 4 16" xfId="19569" xr:uid="{00000000-0005-0000-0000-0000B1980000}"/>
    <cellStyle name="Normal 4 17" xfId="29294" xr:uid="{00000000-0005-0000-0000-0000B2980000}"/>
    <cellStyle name="Normal 4 18" xfId="39019" xr:uid="{00000000-0005-0000-0000-0000B3980000}"/>
    <cellStyle name="Normal 4 19" xfId="9844" xr:uid="{00000000-0005-0000-0000-0000B4980000}"/>
    <cellStyle name="Normal 4 2" xfId="68" xr:uid="{00000000-0005-0000-0000-0000B5980000}"/>
    <cellStyle name="Normal 4 2 10" xfId="472" xr:uid="{00000000-0005-0000-0000-0000B6980000}"/>
    <cellStyle name="Normal 4 2 10 2" xfId="2112" xr:uid="{00000000-0005-0000-0000-0000B7980000}"/>
    <cellStyle name="Normal 4 2 10 2 2" xfId="6974" xr:uid="{00000000-0005-0000-0000-0000B8980000}"/>
    <cellStyle name="Normal 4 2 10 2 2 2" xfId="26425" xr:uid="{00000000-0005-0000-0000-0000B9980000}"/>
    <cellStyle name="Normal 4 2 10 2 2 3" xfId="36150" xr:uid="{00000000-0005-0000-0000-0000BA980000}"/>
    <cellStyle name="Normal 4 2 10 2 2 4" xfId="45875" xr:uid="{00000000-0005-0000-0000-0000BB980000}"/>
    <cellStyle name="Normal 4 2 10 2 2 5" xfId="16700" xr:uid="{00000000-0005-0000-0000-0000BC980000}"/>
    <cellStyle name="Normal 4 2 10 2 3" xfId="21563" xr:uid="{00000000-0005-0000-0000-0000BD980000}"/>
    <cellStyle name="Normal 4 2 10 2 4" xfId="31288" xr:uid="{00000000-0005-0000-0000-0000BE980000}"/>
    <cellStyle name="Normal 4 2 10 2 5" xfId="41013" xr:uid="{00000000-0005-0000-0000-0000BF980000}"/>
    <cellStyle name="Normal 4 2 10 2 6" xfId="11838" xr:uid="{00000000-0005-0000-0000-0000C0980000}"/>
    <cellStyle name="Normal 4 2 10 3" xfId="3732" xr:uid="{00000000-0005-0000-0000-0000C1980000}"/>
    <cellStyle name="Normal 4 2 10 3 2" xfId="8594" xr:uid="{00000000-0005-0000-0000-0000C2980000}"/>
    <cellStyle name="Normal 4 2 10 3 2 2" xfId="28045" xr:uid="{00000000-0005-0000-0000-0000C3980000}"/>
    <cellStyle name="Normal 4 2 10 3 2 3" xfId="37770" xr:uid="{00000000-0005-0000-0000-0000C4980000}"/>
    <cellStyle name="Normal 4 2 10 3 2 4" xfId="47495" xr:uid="{00000000-0005-0000-0000-0000C5980000}"/>
    <cellStyle name="Normal 4 2 10 3 2 5" xfId="18320" xr:uid="{00000000-0005-0000-0000-0000C6980000}"/>
    <cellStyle name="Normal 4 2 10 3 3" xfId="23183" xr:uid="{00000000-0005-0000-0000-0000C7980000}"/>
    <cellStyle name="Normal 4 2 10 3 4" xfId="32908" xr:uid="{00000000-0005-0000-0000-0000C8980000}"/>
    <cellStyle name="Normal 4 2 10 3 5" xfId="42633" xr:uid="{00000000-0005-0000-0000-0000C9980000}"/>
    <cellStyle name="Normal 4 2 10 3 6" xfId="13458" xr:uid="{00000000-0005-0000-0000-0000CA980000}"/>
    <cellStyle name="Normal 4 2 10 4" xfId="5354" xr:uid="{00000000-0005-0000-0000-0000CB980000}"/>
    <cellStyle name="Normal 4 2 10 4 2" xfId="24805" xr:uid="{00000000-0005-0000-0000-0000CC980000}"/>
    <cellStyle name="Normal 4 2 10 4 3" xfId="34530" xr:uid="{00000000-0005-0000-0000-0000CD980000}"/>
    <cellStyle name="Normal 4 2 10 4 4" xfId="44255" xr:uid="{00000000-0005-0000-0000-0000CE980000}"/>
    <cellStyle name="Normal 4 2 10 4 5" xfId="15080" xr:uid="{00000000-0005-0000-0000-0000CF980000}"/>
    <cellStyle name="Normal 4 2 10 5" xfId="19943" xr:uid="{00000000-0005-0000-0000-0000D0980000}"/>
    <cellStyle name="Normal 4 2 10 6" xfId="29668" xr:uid="{00000000-0005-0000-0000-0000D1980000}"/>
    <cellStyle name="Normal 4 2 10 7" xfId="39393" xr:uid="{00000000-0005-0000-0000-0000D2980000}"/>
    <cellStyle name="Normal 4 2 10 8" xfId="10218" xr:uid="{00000000-0005-0000-0000-0000D3980000}"/>
    <cellStyle name="Normal 4 2 11" xfId="1661" xr:uid="{00000000-0005-0000-0000-0000D4980000}"/>
    <cellStyle name="Normal 4 2 11 2" xfId="3282" xr:uid="{00000000-0005-0000-0000-0000D5980000}"/>
    <cellStyle name="Normal 4 2 11 2 2" xfId="8144" xr:uid="{00000000-0005-0000-0000-0000D6980000}"/>
    <cellStyle name="Normal 4 2 11 2 2 2" xfId="27595" xr:uid="{00000000-0005-0000-0000-0000D7980000}"/>
    <cellStyle name="Normal 4 2 11 2 2 3" xfId="37320" xr:uid="{00000000-0005-0000-0000-0000D8980000}"/>
    <cellStyle name="Normal 4 2 11 2 2 4" xfId="47045" xr:uid="{00000000-0005-0000-0000-0000D9980000}"/>
    <cellStyle name="Normal 4 2 11 2 2 5" xfId="17870" xr:uid="{00000000-0005-0000-0000-0000DA980000}"/>
    <cellStyle name="Normal 4 2 11 2 3" xfId="22733" xr:uid="{00000000-0005-0000-0000-0000DB980000}"/>
    <cellStyle name="Normal 4 2 11 2 4" xfId="32458" xr:uid="{00000000-0005-0000-0000-0000DC980000}"/>
    <cellStyle name="Normal 4 2 11 2 5" xfId="42183" xr:uid="{00000000-0005-0000-0000-0000DD980000}"/>
    <cellStyle name="Normal 4 2 11 2 6" xfId="13008" xr:uid="{00000000-0005-0000-0000-0000DE980000}"/>
    <cellStyle name="Normal 4 2 11 3" xfId="4902" xr:uid="{00000000-0005-0000-0000-0000DF980000}"/>
    <cellStyle name="Normal 4 2 11 3 2" xfId="9764" xr:uid="{00000000-0005-0000-0000-0000E0980000}"/>
    <cellStyle name="Normal 4 2 11 3 2 2" xfId="29215" xr:uid="{00000000-0005-0000-0000-0000E1980000}"/>
    <cellStyle name="Normal 4 2 11 3 2 3" xfId="38940" xr:uid="{00000000-0005-0000-0000-0000E2980000}"/>
    <cellStyle name="Normal 4 2 11 3 2 4" xfId="48665" xr:uid="{00000000-0005-0000-0000-0000E3980000}"/>
    <cellStyle name="Normal 4 2 11 3 2 5" xfId="19490" xr:uid="{00000000-0005-0000-0000-0000E4980000}"/>
    <cellStyle name="Normal 4 2 11 3 3" xfId="24353" xr:uid="{00000000-0005-0000-0000-0000E5980000}"/>
    <cellStyle name="Normal 4 2 11 3 4" xfId="34078" xr:uid="{00000000-0005-0000-0000-0000E6980000}"/>
    <cellStyle name="Normal 4 2 11 3 5" xfId="43803" xr:uid="{00000000-0005-0000-0000-0000E7980000}"/>
    <cellStyle name="Normal 4 2 11 3 6" xfId="14628" xr:uid="{00000000-0005-0000-0000-0000E8980000}"/>
    <cellStyle name="Normal 4 2 11 4" xfId="6524" xr:uid="{00000000-0005-0000-0000-0000E9980000}"/>
    <cellStyle name="Normal 4 2 11 4 2" xfId="25975" xr:uid="{00000000-0005-0000-0000-0000EA980000}"/>
    <cellStyle name="Normal 4 2 11 4 3" xfId="35700" xr:uid="{00000000-0005-0000-0000-0000EB980000}"/>
    <cellStyle name="Normal 4 2 11 4 4" xfId="45425" xr:uid="{00000000-0005-0000-0000-0000EC980000}"/>
    <cellStyle name="Normal 4 2 11 4 5" xfId="16250" xr:uid="{00000000-0005-0000-0000-0000ED980000}"/>
    <cellStyle name="Normal 4 2 11 5" xfId="21113" xr:uid="{00000000-0005-0000-0000-0000EE980000}"/>
    <cellStyle name="Normal 4 2 11 6" xfId="30838" xr:uid="{00000000-0005-0000-0000-0000EF980000}"/>
    <cellStyle name="Normal 4 2 11 7" xfId="40563" xr:uid="{00000000-0005-0000-0000-0000F0980000}"/>
    <cellStyle name="Normal 4 2 11 8" xfId="11388" xr:uid="{00000000-0005-0000-0000-0000F1980000}"/>
    <cellStyle name="Normal 4 2 12" xfId="1752" xr:uid="{00000000-0005-0000-0000-0000F2980000}"/>
    <cellStyle name="Normal 4 2 12 2" xfId="6614" xr:uid="{00000000-0005-0000-0000-0000F3980000}"/>
    <cellStyle name="Normal 4 2 12 2 2" xfId="26065" xr:uid="{00000000-0005-0000-0000-0000F4980000}"/>
    <cellStyle name="Normal 4 2 12 2 3" xfId="35790" xr:uid="{00000000-0005-0000-0000-0000F5980000}"/>
    <cellStyle name="Normal 4 2 12 2 4" xfId="45515" xr:uid="{00000000-0005-0000-0000-0000F6980000}"/>
    <cellStyle name="Normal 4 2 12 2 5" xfId="16340" xr:uid="{00000000-0005-0000-0000-0000F7980000}"/>
    <cellStyle name="Normal 4 2 12 3" xfId="21203" xr:uid="{00000000-0005-0000-0000-0000F8980000}"/>
    <cellStyle name="Normal 4 2 12 4" xfId="30928" xr:uid="{00000000-0005-0000-0000-0000F9980000}"/>
    <cellStyle name="Normal 4 2 12 5" xfId="40653" xr:uid="{00000000-0005-0000-0000-0000FA980000}"/>
    <cellStyle name="Normal 4 2 12 6" xfId="11478" xr:uid="{00000000-0005-0000-0000-0000FB980000}"/>
    <cellStyle name="Normal 4 2 13" xfId="3372" xr:uid="{00000000-0005-0000-0000-0000FC980000}"/>
    <cellStyle name="Normal 4 2 13 2" xfId="8234" xr:uid="{00000000-0005-0000-0000-0000FD980000}"/>
    <cellStyle name="Normal 4 2 13 2 2" xfId="27685" xr:uid="{00000000-0005-0000-0000-0000FE980000}"/>
    <cellStyle name="Normal 4 2 13 2 3" xfId="37410" xr:uid="{00000000-0005-0000-0000-0000FF980000}"/>
    <cellStyle name="Normal 4 2 13 2 4" xfId="47135" xr:uid="{00000000-0005-0000-0000-000000990000}"/>
    <cellStyle name="Normal 4 2 13 2 5" xfId="17960" xr:uid="{00000000-0005-0000-0000-000001990000}"/>
    <cellStyle name="Normal 4 2 13 3" xfId="22823" xr:uid="{00000000-0005-0000-0000-000002990000}"/>
    <cellStyle name="Normal 4 2 13 4" xfId="32548" xr:uid="{00000000-0005-0000-0000-000003990000}"/>
    <cellStyle name="Normal 4 2 13 5" xfId="42273" xr:uid="{00000000-0005-0000-0000-000004990000}"/>
    <cellStyle name="Normal 4 2 13 6" xfId="13098" xr:uid="{00000000-0005-0000-0000-000005990000}"/>
    <cellStyle name="Normal 4 2 14" xfId="4994" xr:uid="{00000000-0005-0000-0000-000006990000}"/>
    <cellStyle name="Normal 4 2 14 2" xfId="24445" xr:uid="{00000000-0005-0000-0000-000007990000}"/>
    <cellStyle name="Normal 4 2 14 3" xfId="34170" xr:uid="{00000000-0005-0000-0000-000008990000}"/>
    <cellStyle name="Normal 4 2 14 4" xfId="43895" xr:uid="{00000000-0005-0000-0000-000009990000}"/>
    <cellStyle name="Normal 4 2 14 5" xfId="14720" xr:uid="{00000000-0005-0000-0000-00000A990000}"/>
    <cellStyle name="Normal 4 2 15" xfId="19583" xr:uid="{00000000-0005-0000-0000-00000B990000}"/>
    <cellStyle name="Normal 4 2 16" xfId="29308" xr:uid="{00000000-0005-0000-0000-00000C990000}"/>
    <cellStyle name="Normal 4 2 17" xfId="39033" xr:uid="{00000000-0005-0000-0000-00000D990000}"/>
    <cellStyle name="Normal 4 2 18" xfId="9858" xr:uid="{00000000-0005-0000-0000-00000E990000}"/>
    <cellStyle name="Normal 4 2 2" xfId="98" xr:uid="{00000000-0005-0000-0000-00000F990000}"/>
    <cellStyle name="Normal 4 2 2 10" xfId="1782" xr:uid="{00000000-0005-0000-0000-000010990000}"/>
    <cellStyle name="Normal 4 2 2 10 2" xfId="6644" xr:uid="{00000000-0005-0000-0000-000011990000}"/>
    <cellStyle name="Normal 4 2 2 10 2 2" xfId="26095" xr:uid="{00000000-0005-0000-0000-000012990000}"/>
    <cellStyle name="Normal 4 2 2 10 2 3" xfId="35820" xr:uid="{00000000-0005-0000-0000-000013990000}"/>
    <cellStyle name="Normal 4 2 2 10 2 4" xfId="45545" xr:uid="{00000000-0005-0000-0000-000014990000}"/>
    <cellStyle name="Normal 4 2 2 10 2 5" xfId="16370" xr:uid="{00000000-0005-0000-0000-000015990000}"/>
    <cellStyle name="Normal 4 2 2 10 3" xfId="21233" xr:uid="{00000000-0005-0000-0000-000016990000}"/>
    <cellStyle name="Normal 4 2 2 10 4" xfId="30958" xr:uid="{00000000-0005-0000-0000-000017990000}"/>
    <cellStyle name="Normal 4 2 2 10 5" xfId="40683" xr:uid="{00000000-0005-0000-0000-000018990000}"/>
    <cellStyle name="Normal 4 2 2 10 6" xfId="11508" xr:uid="{00000000-0005-0000-0000-000019990000}"/>
    <cellStyle name="Normal 4 2 2 11" xfId="3402" xr:uid="{00000000-0005-0000-0000-00001A990000}"/>
    <cellStyle name="Normal 4 2 2 11 2" xfId="8264" xr:uid="{00000000-0005-0000-0000-00001B990000}"/>
    <cellStyle name="Normal 4 2 2 11 2 2" xfId="27715" xr:uid="{00000000-0005-0000-0000-00001C990000}"/>
    <cellStyle name="Normal 4 2 2 11 2 3" xfId="37440" xr:uid="{00000000-0005-0000-0000-00001D990000}"/>
    <cellStyle name="Normal 4 2 2 11 2 4" xfId="47165" xr:uid="{00000000-0005-0000-0000-00001E990000}"/>
    <cellStyle name="Normal 4 2 2 11 2 5" xfId="17990" xr:uid="{00000000-0005-0000-0000-00001F990000}"/>
    <cellStyle name="Normal 4 2 2 11 3" xfId="22853" xr:uid="{00000000-0005-0000-0000-000020990000}"/>
    <cellStyle name="Normal 4 2 2 11 4" xfId="32578" xr:uid="{00000000-0005-0000-0000-000021990000}"/>
    <cellStyle name="Normal 4 2 2 11 5" xfId="42303" xr:uid="{00000000-0005-0000-0000-000022990000}"/>
    <cellStyle name="Normal 4 2 2 11 6" xfId="13128" xr:uid="{00000000-0005-0000-0000-000023990000}"/>
    <cellStyle name="Normal 4 2 2 12" xfId="5024" xr:uid="{00000000-0005-0000-0000-000024990000}"/>
    <cellStyle name="Normal 4 2 2 12 2" xfId="24475" xr:uid="{00000000-0005-0000-0000-000025990000}"/>
    <cellStyle name="Normal 4 2 2 12 3" xfId="34200" xr:uid="{00000000-0005-0000-0000-000026990000}"/>
    <cellStyle name="Normal 4 2 2 12 4" xfId="43925" xr:uid="{00000000-0005-0000-0000-000027990000}"/>
    <cellStyle name="Normal 4 2 2 12 5" xfId="14750" xr:uid="{00000000-0005-0000-0000-000028990000}"/>
    <cellStyle name="Normal 4 2 2 13" xfId="19613" xr:uid="{00000000-0005-0000-0000-000029990000}"/>
    <cellStyle name="Normal 4 2 2 14" xfId="29338" xr:uid="{00000000-0005-0000-0000-00002A990000}"/>
    <cellStyle name="Normal 4 2 2 15" xfId="39063" xr:uid="{00000000-0005-0000-0000-00002B990000}"/>
    <cellStyle name="Normal 4 2 2 16" xfId="9888" xr:uid="{00000000-0005-0000-0000-00002C990000}"/>
    <cellStyle name="Normal 4 2 2 2" xfId="280" xr:uid="{00000000-0005-0000-0000-00002D990000}"/>
    <cellStyle name="Normal 4 2 2 2 10" xfId="39243" xr:uid="{00000000-0005-0000-0000-00002E990000}"/>
    <cellStyle name="Normal 4 2 2 2 11" xfId="10068" xr:uid="{00000000-0005-0000-0000-00002F990000}"/>
    <cellStyle name="Normal 4 2 2 2 2" xfId="1044" xr:uid="{00000000-0005-0000-0000-000030990000}"/>
    <cellStyle name="Normal 4 2 2 2 2 2" xfId="2682" xr:uid="{00000000-0005-0000-0000-000031990000}"/>
    <cellStyle name="Normal 4 2 2 2 2 2 2" xfId="7544" xr:uid="{00000000-0005-0000-0000-000032990000}"/>
    <cellStyle name="Normal 4 2 2 2 2 2 2 2" xfId="26995" xr:uid="{00000000-0005-0000-0000-000033990000}"/>
    <cellStyle name="Normal 4 2 2 2 2 2 2 3" xfId="36720" xr:uid="{00000000-0005-0000-0000-000034990000}"/>
    <cellStyle name="Normal 4 2 2 2 2 2 2 4" xfId="46445" xr:uid="{00000000-0005-0000-0000-000035990000}"/>
    <cellStyle name="Normal 4 2 2 2 2 2 2 5" xfId="17270" xr:uid="{00000000-0005-0000-0000-000036990000}"/>
    <cellStyle name="Normal 4 2 2 2 2 2 3" xfId="22133" xr:uid="{00000000-0005-0000-0000-000037990000}"/>
    <cellStyle name="Normal 4 2 2 2 2 2 4" xfId="31858" xr:uid="{00000000-0005-0000-0000-000038990000}"/>
    <cellStyle name="Normal 4 2 2 2 2 2 5" xfId="41583" xr:uid="{00000000-0005-0000-0000-000039990000}"/>
    <cellStyle name="Normal 4 2 2 2 2 2 6" xfId="12408" xr:uid="{00000000-0005-0000-0000-00003A990000}"/>
    <cellStyle name="Normal 4 2 2 2 2 3" xfId="4302" xr:uid="{00000000-0005-0000-0000-00003B990000}"/>
    <cellStyle name="Normal 4 2 2 2 2 3 2" xfId="9164" xr:uid="{00000000-0005-0000-0000-00003C990000}"/>
    <cellStyle name="Normal 4 2 2 2 2 3 2 2" xfId="28615" xr:uid="{00000000-0005-0000-0000-00003D990000}"/>
    <cellStyle name="Normal 4 2 2 2 2 3 2 3" xfId="38340" xr:uid="{00000000-0005-0000-0000-00003E990000}"/>
    <cellStyle name="Normal 4 2 2 2 2 3 2 4" xfId="48065" xr:uid="{00000000-0005-0000-0000-00003F990000}"/>
    <cellStyle name="Normal 4 2 2 2 2 3 2 5" xfId="18890" xr:uid="{00000000-0005-0000-0000-000040990000}"/>
    <cellStyle name="Normal 4 2 2 2 2 3 3" xfId="23753" xr:uid="{00000000-0005-0000-0000-000041990000}"/>
    <cellStyle name="Normal 4 2 2 2 2 3 4" xfId="33478" xr:uid="{00000000-0005-0000-0000-000042990000}"/>
    <cellStyle name="Normal 4 2 2 2 2 3 5" xfId="43203" xr:uid="{00000000-0005-0000-0000-000043990000}"/>
    <cellStyle name="Normal 4 2 2 2 2 3 6" xfId="14028" xr:uid="{00000000-0005-0000-0000-000044990000}"/>
    <cellStyle name="Normal 4 2 2 2 2 4" xfId="5924" xr:uid="{00000000-0005-0000-0000-000045990000}"/>
    <cellStyle name="Normal 4 2 2 2 2 4 2" xfId="25375" xr:uid="{00000000-0005-0000-0000-000046990000}"/>
    <cellStyle name="Normal 4 2 2 2 2 4 3" xfId="35100" xr:uid="{00000000-0005-0000-0000-000047990000}"/>
    <cellStyle name="Normal 4 2 2 2 2 4 4" xfId="44825" xr:uid="{00000000-0005-0000-0000-000048990000}"/>
    <cellStyle name="Normal 4 2 2 2 2 4 5" xfId="15650" xr:uid="{00000000-0005-0000-0000-000049990000}"/>
    <cellStyle name="Normal 4 2 2 2 2 5" xfId="20513" xr:uid="{00000000-0005-0000-0000-00004A990000}"/>
    <cellStyle name="Normal 4 2 2 2 2 6" xfId="30238" xr:uid="{00000000-0005-0000-0000-00004B990000}"/>
    <cellStyle name="Normal 4 2 2 2 2 7" xfId="39963" xr:uid="{00000000-0005-0000-0000-00004C990000}"/>
    <cellStyle name="Normal 4 2 2 2 2 8" xfId="10788" xr:uid="{00000000-0005-0000-0000-00004D990000}"/>
    <cellStyle name="Normal 4 2 2 2 3" xfId="1511" xr:uid="{00000000-0005-0000-0000-00004E990000}"/>
    <cellStyle name="Normal 4 2 2 2 3 2" xfId="3132" xr:uid="{00000000-0005-0000-0000-00004F990000}"/>
    <cellStyle name="Normal 4 2 2 2 3 2 2" xfId="7994" xr:uid="{00000000-0005-0000-0000-000050990000}"/>
    <cellStyle name="Normal 4 2 2 2 3 2 2 2" xfId="27445" xr:uid="{00000000-0005-0000-0000-000051990000}"/>
    <cellStyle name="Normal 4 2 2 2 3 2 2 3" xfId="37170" xr:uid="{00000000-0005-0000-0000-000052990000}"/>
    <cellStyle name="Normal 4 2 2 2 3 2 2 4" xfId="46895" xr:uid="{00000000-0005-0000-0000-000053990000}"/>
    <cellStyle name="Normal 4 2 2 2 3 2 2 5" xfId="17720" xr:uid="{00000000-0005-0000-0000-000054990000}"/>
    <cellStyle name="Normal 4 2 2 2 3 2 3" xfId="22583" xr:uid="{00000000-0005-0000-0000-000055990000}"/>
    <cellStyle name="Normal 4 2 2 2 3 2 4" xfId="32308" xr:uid="{00000000-0005-0000-0000-000056990000}"/>
    <cellStyle name="Normal 4 2 2 2 3 2 5" xfId="42033" xr:uid="{00000000-0005-0000-0000-000057990000}"/>
    <cellStyle name="Normal 4 2 2 2 3 2 6" xfId="12858" xr:uid="{00000000-0005-0000-0000-000058990000}"/>
    <cellStyle name="Normal 4 2 2 2 3 3" xfId="4752" xr:uid="{00000000-0005-0000-0000-000059990000}"/>
    <cellStyle name="Normal 4 2 2 2 3 3 2" xfId="9614" xr:uid="{00000000-0005-0000-0000-00005A990000}"/>
    <cellStyle name="Normal 4 2 2 2 3 3 2 2" xfId="29065" xr:uid="{00000000-0005-0000-0000-00005B990000}"/>
    <cellStyle name="Normal 4 2 2 2 3 3 2 3" xfId="38790" xr:uid="{00000000-0005-0000-0000-00005C990000}"/>
    <cellStyle name="Normal 4 2 2 2 3 3 2 4" xfId="48515" xr:uid="{00000000-0005-0000-0000-00005D990000}"/>
    <cellStyle name="Normal 4 2 2 2 3 3 2 5" xfId="19340" xr:uid="{00000000-0005-0000-0000-00005E990000}"/>
    <cellStyle name="Normal 4 2 2 2 3 3 3" xfId="24203" xr:uid="{00000000-0005-0000-0000-00005F990000}"/>
    <cellStyle name="Normal 4 2 2 2 3 3 4" xfId="33928" xr:uid="{00000000-0005-0000-0000-000060990000}"/>
    <cellStyle name="Normal 4 2 2 2 3 3 5" xfId="43653" xr:uid="{00000000-0005-0000-0000-000061990000}"/>
    <cellStyle name="Normal 4 2 2 2 3 3 6" xfId="14478" xr:uid="{00000000-0005-0000-0000-000062990000}"/>
    <cellStyle name="Normal 4 2 2 2 3 4" xfId="6374" xr:uid="{00000000-0005-0000-0000-000063990000}"/>
    <cellStyle name="Normal 4 2 2 2 3 4 2" xfId="25825" xr:uid="{00000000-0005-0000-0000-000064990000}"/>
    <cellStyle name="Normal 4 2 2 2 3 4 3" xfId="35550" xr:uid="{00000000-0005-0000-0000-000065990000}"/>
    <cellStyle name="Normal 4 2 2 2 3 4 4" xfId="45275" xr:uid="{00000000-0005-0000-0000-000066990000}"/>
    <cellStyle name="Normal 4 2 2 2 3 4 5" xfId="16100" xr:uid="{00000000-0005-0000-0000-000067990000}"/>
    <cellStyle name="Normal 4 2 2 2 3 5" xfId="20963" xr:uid="{00000000-0005-0000-0000-000068990000}"/>
    <cellStyle name="Normal 4 2 2 2 3 6" xfId="30688" xr:uid="{00000000-0005-0000-0000-000069990000}"/>
    <cellStyle name="Normal 4 2 2 2 3 7" xfId="40413" xr:uid="{00000000-0005-0000-0000-00006A990000}"/>
    <cellStyle name="Normal 4 2 2 2 3 8" xfId="11238" xr:uid="{00000000-0005-0000-0000-00006B990000}"/>
    <cellStyle name="Normal 4 2 2 2 4" xfId="682" xr:uid="{00000000-0005-0000-0000-00006C990000}"/>
    <cellStyle name="Normal 4 2 2 2 4 2" xfId="2322" xr:uid="{00000000-0005-0000-0000-00006D990000}"/>
    <cellStyle name="Normal 4 2 2 2 4 2 2" xfId="7184" xr:uid="{00000000-0005-0000-0000-00006E990000}"/>
    <cellStyle name="Normal 4 2 2 2 4 2 2 2" xfId="26635" xr:uid="{00000000-0005-0000-0000-00006F990000}"/>
    <cellStyle name="Normal 4 2 2 2 4 2 2 3" xfId="36360" xr:uid="{00000000-0005-0000-0000-000070990000}"/>
    <cellStyle name="Normal 4 2 2 2 4 2 2 4" xfId="46085" xr:uid="{00000000-0005-0000-0000-000071990000}"/>
    <cellStyle name="Normal 4 2 2 2 4 2 2 5" xfId="16910" xr:uid="{00000000-0005-0000-0000-000072990000}"/>
    <cellStyle name="Normal 4 2 2 2 4 2 3" xfId="21773" xr:uid="{00000000-0005-0000-0000-000073990000}"/>
    <cellStyle name="Normal 4 2 2 2 4 2 4" xfId="31498" xr:uid="{00000000-0005-0000-0000-000074990000}"/>
    <cellStyle name="Normal 4 2 2 2 4 2 5" xfId="41223" xr:uid="{00000000-0005-0000-0000-000075990000}"/>
    <cellStyle name="Normal 4 2 2 2 4 2 6" xfId="12048" xr:uid="{00000000-0005-0000-0000-000076990000}"/>
    <cellStyle name="Normal 4 2 2 2 4 3" xfId="3942" xr:uid="{00000000-0005-0000-0000-000077990000}"/>
    <cellStyle name="Normal 4 2 2 2 4 3 2" xfId="8804" xr:uid="{00000000-0005-0000-0000-000078990000}"/>
    <cellStyle name="Normal 4 2 2 2 4 3 2 2" xfId="28255" xr:uid="{00000000-0005-0000-0000-000079990000}"/>
    <cellStyle name="Normal 4 2 2 2 4 3 2 3" xfId="37980" xr:uid="{00000000-0005-0000-0000-00007A990000}"/>
    <cellStyle name="Normal 4 2 2 2 4 3 2 4" xfId="47705" xr:uid="{00000000-0005-0000-0000-00007B990000}"/>
    <cellStyle name="Normal 4 2 2 2 4 3 2 5" xfId="18530" xr:uid="{00000000-0005-0000-0000-00007C990000}"/>
    <cellStyle name="Normal 4 2 2 2 4 3 3" xfId="23393" xr:uid="{00000000-0005-0000-0000-00007D990000}"/>
    <cellStyle name="Normal 4 2 2 2 4 3 4" xfId="33118" xr:uid="{00000000-0005-0000-0000-00007E990000}"/>
    <cellStyle name="Normal 4 2 2 2 4 3 5" xfId="42843" xr:uid="{00000000-0005-0000-0000-00007F990000}"/>
    <cellStyle name="Normal 4 2 2 2 4 3 6" xfId="13668" xr:uid="{00000000-0005-0000-0000-000080990000}"/>
    <cellStyle name="Normal 4 2 2 2 4 4" xfId="5564" xr:uid="{00000000-0005-0000-0000-000081990000}"/>
    <cellStyle name="Normal 4 2 2 2 4 4 2" xfId="25015" xr:uid="{00000000-0005-0000-0000-000082990000}"/>
    <cellStyle name="Normal 4 2 2 2 4 4 3" xfId="34740" xr:uid="{00000000-0005-0000-0000-000083990000}"/>
    <cellStyle name="Normal 4 2 2 2 4 4 4" xfId="44465" xr:uid="{00000000-0005-0000-0000-000084990000}"/>
    <cellStyle name="Normal 4 2 2 2 4 4 5" xfId="15290" xr:uid="{00000000-0005-0000-0000-000085990000}"/>
    <cellStyle name="Normal 4 2 2 2 4 5" xfId="20153" xr:uid="{00000000-0005-0000-0000-000086990000}"/>
    <cellStyle name="Normal 4 2 2 2 4 6" xfId="29878" xr:uid="{00000000-0005-0000-0000-000087990000}"/>
    <cellStyle name="Normal 4 2 2 2 4 7" xfId="39603" xr:uid="{00000000-0005-0000-0000-000088990000}"/>
    <cellStyle name="Normal 4 2 2 2 4 8" xfId="10428" xr:uid="{00000000-0005-0000-0000-000089990000}"/>
    <cellStyle name="Normal 4 2 2 2 5" xfId="1962" xr:uid="{00000000-0005-0000-0000-00008A990000}"/>
    <cellStyle name="Normal 4 2 2 2 5 2" xfId="6824" xr:uid="{00000000-0005-0000-0000-00008B990000}"/>
    <cellStyle name="Normal 4 2 2 2 5 2 2" xfId="26275" xr:uid="{00000000-0005-0000-0000-00008C990000}"/>
    <cellStyle name="Normal 4 2 2 2 5 2 3" xfId="36000" xr:uid="{00000000-0005-0000-0000-00008D990000}"/>
    <cellStyle name="Normal 4 2 2 2 5 2 4" xfId="45725" xr:uid="{00000000-0005-0000-0000-00008E990000}"/>
    <cellStyle name="Normal 4 2 2 2 5 2 5" xfId="16550" xr:uid="{00000000-0005-0000-0000-00008F990000}"/>
    <cellStyle name="Normal 4 2 2 2 5 3" xfId="21413" xr:uid="{00000000-0005-0000-0000-000090990000}"/>
    <cellStyle name="Normal 4 2 2 2 5 4" xfId="31138" xr:uid="{00000000-0005-0000-0000-000091990000}"/>
    <cellStyle name="Normal 4 2 2 2 5 5" xfId="40863" xr:uid="{00000000-0005-0000-0000-000092990000}"/>
    <cellStyle name="Normal 4 2 2 2 5 6" xfId="11688" xr:uid="{00000000-0005-0000-0000-000093990000}"/>
    <cellStyle name="Normal 4 2 2 2 6" xfId="3582" xr:uid="{00000000-0005-0000-0000-000094990000}"/>
    <cellStyle name="Normal 4 2 2 2 6 2" xfId="8444" xr:uid="{00000000-0005-0000-0000-000095990000}"/>
    <cellStyle name="Normal 4 2 2 2 6 2 2" xfId="27895" xr:uid="{00000000-0005-0000-0000-000096990000}"/>
    <cellStyle name="Normal 4 2 2 2 6 2 3" xfId="37620" xr:uid="{00000000-0005-0000-0000-000097990000}"/>
    <cellStyle name="Normal 4 2 2 2 6 2 4" xfId="47345" xr:uid="{00000000-0005-0000-0000-000098990000}"/>
    <cellStyle name="Normal 4 2 2 2 6 2 5" xfId="18170" xr:uid="{00000000-0005-0000-0000-000099990000}"/>
    <cellStyle name="Normal 4 2 2 2 6 3" xfId="23033" xr:uid="{00000000-0005-0000-0000-00009A990000}"/>
    <cellStyle name="Normal 4 2 2 2 6 4" xfId="32758" xr:uid="{00000000-0005-0000-0000-00009B990000}"/>
    <cellStyle name="Normal 4 2 2 2 6 5" xfId="42483" xr:uid="{00000000-0005-0000-0000-00009C990000}"/>
    <cellStyle name="Normal 4 2 2 2 6 6" xfId="13308" xr:uid="{00000000-0005-0000-0000-00009D990000}"/>
    <cellStyle name="Normal 4 2 2 2 7" xfId="5204" xr:uid="{00000000-0005-0000-0000-00009E990000}"/>
    <cellStyle name="Normal 4 2 2 2 7 2" xfId="24655" xr:uid="{00000000-0005-0000-0000-00009F990000}"/>
    <cellStyle name="Normal 4 2 2 2 7 3" xfId="34380" xr:uid="{00000000-0005-0000-0000-0000A0990000}"/>
    <cellStyle name="Normal 4 2 2 2 7 4" xfId="44105" xr:uid="{00000000-0005-0000-0000-0000A1990000}"/>
    <cellStyle name="Normal 4 2 2 2 7 5" xfId="14930" xr:uid="{00000000-0005-0000-0000-0000A2990000}"/>
    <cellStyle name="Normal 4 2 2 2 8" xfId="19793" xr:uid="{00000000-0005-0000-0000-0000A3990000}"/>
    <cellStyle name="Normal 4 2 2 2 9" xfId="29518" xr:uid="{00000000-0005-0000-0000-0000A4990000}"/>
    <cellStyle name="Normal 4 2 2 3" xfId="371" xr:uid="{00000000-0005-0000-0000-0000A5990000}"/>
    <cellStyle name="Normal 4 2 2 3 10" xfId="39333" xr:uid="{00000000-0005-0000-0000-0000A6990000}"/>
    <cellStyle name="Normal 4 2 2 3 11" xfId="10158" xr:uid="{00000000-0005-0000-0000-0000A7990000}"/>
    <cellStyle name="Normal 4 2 2 3 2" xfId="1134" xr:uid="{00000000-0005-0000-0000-0000A8990000}"/>
    <cellStyle name="Normal 4 2 2 3 2 2" xfId="2772" xr:uid="{00000000-0005-0000-0000-0000A9990000}"/>
    <cellStyle name="Normal 4 2 2 3 2 2 2" xfId="7634" xr:uid="{00000000-0005-0000-0000-0000AA990000}"/>
    <cellStyle name="Normal 4 2 2 3 2 2 2 2" xfId="27085" xr:uid="{00000000-0005-0000-0000-0000AB990000}"/>
    <cellStyle name="Normal 4 2 2 3 2 2 2 3" xfId="36810" xr:uid="{00000000-0005-0000-0000-0000AC990000}"/>
    <cellStyle name="Normal 4 2 2 3 2 2 2 4" xfId="46535" xr:uid="{00000000-0005-0000-0000-0000AD990000}"/>
    <cellStyle name="Normal 4 2 2 3 2 2 2 5" xfId="17360" xr:uid="{00000000-0005-0000-0000-0000AE990000}"/>
    <cellStyle name="Normal 4 2 2 3 2 2 3" xfId="22223" xr:uid="{00000000-0005-0000-0000-0000AF990000}"/>
    <cellStyle name="Normal 4 2 2 3 2 2 4" xfId="31948" xr:uid="{00000000-0005-0000-0000-0000B0990000}"/>
    <cellStyle name="Normal 4 2 2 3 2 2 5" xfId="41673" xr:uid="{00000000-0005-0000-0000-0000B1990000}"/>
    <cellStyle name="Normal 4 2 2 3 2 2 6" xfId="12498" xr:uid="{00000000-0005-0000-0000-0000B2990000}"/>
    <cellStyle name="Normal 4 2 2 3 2 3" xfId="4392" xr:uid="{00000000-0005-0000-0000-0000B3990000}"/>
    <cellStyle name="Normal 4 2 2 3 2 3 2" xfId="9254" xr:uid="{00000000-0005-0000-0000-0000B4990000}"/>
    <cellStyle name="Normal 4 2 2 3 2 3 2 2" xfId="28705" xr:uid="{00000000-0005-0000-0000-0000B5990000}"/>
    <cellStyle name="Normal 4 2 2 3 2 3 2 3" xfId="38430" xr:uid="{00000000-0005-0000-0000-0000B6990000}"/>
    <cellStyle name="Normal 4 2 2 3 2 3 2 4" xfId="48155" xr:uid="{00000000-0005-0000-0000-0000B7990000}"/>
    <cellStyle name="Normal 4 2 2 3 2 3 2 5" xfId="18980" xr:uid="{00000000-0005-0000-0000-0000B8990000}"/>
    <cellStyle name="Normal 4 2 2 3 2 3 3" xfId="23843" xr:uid="{00000000-0005-0000-0000-0000B9990000}"/>
    <cellStyle name="Normal 4 2 2 3 2 3 4" xfId="33568" xr:uid="{00000000-0005-0000-0000-0000BA990000}"/>
    <cellStyle name="Normal 4 2 2 3 2 3 5" xfId="43293" xr:uid="{00000000-0005-0000-0000-0000BB990000}"/>
    <cellStyle name="Normal 4 2 2 3 2 3 6" xfId="14118" xr:uid="{00000000-0005-0000-0000-0000BC990000}"/>
    <cellStyle name="Normal 4 2 2 3 2 4" xfId="6014" xr:uid="{00000000-0005-0000-0000-0000BD990000}"/>
    <cellStyle name="Normal 4 2 2 3 2 4 2" xfId="25465" xr:uid="{00000000-0005-0000-0000-0000BE990000}"/>
    <cellStyle name="Normal 4 2 2 3 2 4 3" xfId="35190" xr:uid="{00000000-0005-0000-0000-0000BF990000}"/>
    <cellStyle name="Normal 4 2 2 3 2 4 4" xfId="44915" xr:uid="{00000000-0005-0000-0000-0000C0990000}"/>
    <cellStyle name="Normal 4 2 2 3 2 4 5" xfId="15740" xr:uid="{00000000-0005-0000-0000-0000C1990000}"/>
    <cellStyle name="Normal 4 2 2 3 2 5" xfId="20603" xr:uid="{00000000-0005-0000-0000-0000C2990000}"/>
    <cellStyle name="Normal 4 2 2 3 2 6" xfId="30328" xr:uid="{00000000-0005-0000-0000-0000C3990000}"/>
    <cellStyle name="Normal 4 2 2 3 2 7" xfId="40053" xr:uid="{00000000-0005-0000-0000-0000C4990000}"/>
    <cellStyle name="Normal 4 2 2 3 2 8" xfId="10878" xr:uid="{00000000-0005-0000-0000-0000C5990000}"/>
    <cellStyle name="Normal 4 2 2 3 3" xfId="1601" xr:uid="{00000000-0005-0000-0000-0000C6990000}"/>
    <cellStyle name="Normal 4 2 2 3 3 2" xfId="3222" xr:uid="{00000000-0005-0000-0000-0000C7990000}"/>
    <cellStyle name="Normal 4 2 2 3 3 2 2" xfId="8084" xr:uid="{00000000-0005-0000-0000-0000C8990000}"/>
    <cellStyle name="Normal 4 2 2 3 3 2 2 2" xfId="27535" xr:uid="{00000000-0005-0000-0000-0000C9990000}"/>
    <cellStyle name="Normal 4 2 2 3 3 2 2 3" xfId="37260" xr:uid="{00000000-0005-0000-0000-0000CA990000}"/>
    <cellStyle name="Normal 4 2 2 3 3 2 2 4" xfId="46985" xr:uid="{00000000-0005-0000-0000-0000CB990000}"/>
    <cellStyle name="Normal 4 2 2 3 3 2 2 5" xfId="17810" xr:uid="{00000000-0005-0000-0000-0000CC990000}"/>
    <cellStyle name="Normal 4 2 2 3 3 2 3" xfId="22673" xr:uid="{00000000-0005-0000-0000-0000CD990000}"/>
    <cellStyle name="Normal 4 2 2 3 3 2 4" xfId="32398" xr:uid="{00000000-0005-0000-0000-0000CE990000}"/>
    <cellStyle name="Normal 4 2 2 3 3 2 5" xfId="42123" xr:uid="{00000000-0005-0000-0000-0000CF990000}"/>
    <cellStyle name="Normal 4 2 2 3 3 2 6" xfId="12948" xr:uid="{00000000-0005-0000-0000-0000D0990000}"/>
    <cellStyle name="Normal 4 2 2 3 3 3" xfId="4842" xr:uid="{00000000-0005-0000-0000-0000D1990000}"/>
    <cellStyle name="Normal 4 2 2 3 3 3 2" xfId="9704" xr:uid="{00000000-0005-0000-0000-0000D2990000}"/>
    <cellStyle name="Normal 4 2 2 3 3 3 2 2" xfId="29155" xr:uid="{00000000-0005-0000-0000-0000D3990000}"/>
    <cellStyle name="Normal 4 2 2 3 3 3 2 3" xfId="38880" xr:uid="{00000000-0005-0000-0000-0000D4990000}"/>
    <cellStyle name="Normal 4 2 2 3 3 3 2 4" xfId="48605" xr:uid="{00000000-0005-0000-0000-0000D5990000}"/>
    <cellStyle name="Normal 4 2 2 3 3 3 2 5" xfId="19430" xr:uid="{00000000-0005-0000-0000-0000D6990000}"/>
    <cellStyle name="Normal 4 2 2 3 3 3 3" xfId="24293" xr:uid="{00000000-0005-0000-0000-0000D7990000}"/>
    <cellStyle name="Normal 4 2 2 3 3 3 4" xfId="34018" xr:uid="{00000000-0005-0000-0000-0000D8990000}"/>
    <cellStyle name="Normal 4 2 2 3 3 3 5" xfId="43743" xr:uid="{00000000-0005-0000-0000-0000D9990000}"/>
    <cellStyle name="Normal 4 2 2 3 3 3 6" xfId="14568" xr:uid="{00000000-0005-0000-0000-0000DA990000}"/>
    <cellStyle name="Normal 4 2 2 3 3 4" xfId="6464" xr:uid="{00000000-0005-0000-0000-0000DB990000}"/>
    <cellStyle name="Normal 4 2 2 3 3 4 2" xfId="25915" xr:uid="{00000000-0005-0000-0000-0000DC990000}"/>
    <cellStyle name="Normal 4 2 2 3 3 4 3" xfId="35640" xr:uid="{00000000-0005-0000-0000-0000DD990000}"/>
    <cellStyle name="Normal 4 2 2 3 3 4 4" xfId="45365" xr:uid="{00000000-0005-0000-0000-0000DE990000}"/>
    <cellStyle name="Normal 4 2 2 3 3 4 5" xfId="16190" xr:uid="{00000000-0005-0000-0000-0000DF990000}"/>
    <cellStyle name="Normal 4 2 2 3 3 5" xfId="21053" xr:uid="{00000000-0005-0000-0000-0000E0990000}"/>
    <cellStyle name="Normal 4 2 2 3 3 6" xfId="30778" xr:uid="{00000000-0005-0000-0000-0000E1990000}"/>
    <cellStyle name="Normal 4 2 2 3 3 7" xfId="40503" xr:uid="{00000000-0005-0000-0000-0000E2990000}"/>
    <cellStyle name="Normal 4 2 2 3 3 8" xfId="11328" xr:uid="{00000000-0005-0000-0000-0000E3990000}"/>
    <cellStyle name="Normal 4 2 2 3 4" xfId="772" xr:uid="{00000000-0005-0000-0000-0000E4990000}"/>
    <cellStyle name="Normal 4 2 2 3 4 2" xfId="2412" xr:uid="{00000000-0005-0000-0000-0000E5990000}"/>
    <cellStyle name="Normal 4 2 2 3 4 2 2" xfId="7274" xr:uid="{00000000-0005-0000-0000-0000E6990000}"/>
    <cellStyle name="Normal 4 2 2 3 4 2 2 2" xfId="26725" xr:uid="{00000000-0005-0000-0000-0000E7990000}"/>
    <cellStyle name="Normal 4 2 2 3 4 2 2 3" xfId="36450" xr:uid="{00000000-0005-0000-0000-0000E8990000}"/>
    <cellStyle name="Normal 4 2 2 3 4 2 2 4" xfId="46175" xr:uid="{00000000-0005-0000-0000-0000E9990000}"/>
    <cellStyle name="Normal 4 2 2 3 4 2 2 5" xfId="17000" xr:uid="{00000000-0005-0000-0000-0000EA990000}"/>
    <cellStyle name="Normal 4 2 2 3 4 2 3" xfId="21863" xr:uid="{00000000-0005-0000-0000-0000EB990000}"/>
    <cellStyle name="Normal 4 2 2 3 4 2 4" xfId="31588" xr:uid="{00000000-0005-0000-0000-0000EC990000}"/>
    <cellStyle name="Normal 4 2 2 3 4 2 5" xfId="41313" xr:uid="{00000000-0005-0000-0000-0000ED990000}"/>
    <cellStyle name="Normal 4 2 2 3 4 2 6" xfId="12138" xr:uid="{00000000-0005-0000-0000-0000EE990000}"/>
    <cellStyle name="Normal 4 2 2 3 4 3" xfId="4032" xr:uid="{00000000-0005-0000-0000-0000EF990000}"/>
    <cellStyle name="Normal 4 2 2 3 4 3 2" xfId="8894" xr:uid="{00000000-0005-0000-0000-0000F0990000}"/>
    <cellStyle name="Normal 4 2 2 3 4 3 2 2" xfId="28345" xr:uid="{00000000-0005-0000-0000-0000F1990000}"/>
    <cellStyle name="Normal 4 2 2 3 4 3 2 3" xfId="38070" xr:uid="{00000000-0005-0000-0000-0000F2990000}"/>
    <cellStyle name="Normal 4 2 2 3 4 3 2 4" xfId="47795" xr:uid="{00000000-0005-0000-0000-0000F3990000}"/>
    <cellStyle name="Normal 4 2 2 3 4 3 2 5" xfId="18620" xr:uid="{00000000-0005-0000-0000-0000F4990000}"/>
    <cellStyle name="Normal 4 2 2 3 4 3 3" xfId="23483" xr:uid="{00000000-0005-0000-0000-0000F5990000}"/>
    <cellStyle name="Normal 4 2 2 3 4 3 4" xfId="33208" xr:uid="{00000000-0005-0000-0000-0000F6990000}"/>
    <cellStyle name="Normal 4 2 2 3 4 3 5" xfId="42933" xr:uid="{00000000-0005-0000-0000-0000F7990000}"/>
    <cellStyle name="Normal 4 2 2 3 4 3 6" xfId="13758" xr:uid="{00000000-0005-0000-0000-0000F8990000}"/>
    <cellStyle name="Normal 4 2 2 3 4 4" xfId="5654" xr:uid="{00000000-0005-0000-0000-0000F9990000}"/>
    <cellStyle name="Normal 4 2 2 3 4 4 2" xfId="25105" xr:uid="{00000000-0005-0000-0000-0000FA990000}"/>
    <cellStyle name="Normal 4 2 2 3 4 4 3" xfId="34830" xr:uid="{00000000-0005-0000-0000-0000FB990000}"/>
    <cellStyle name="Normal 4 2 2 3 4 4 4" xfId="44555" xr:uid="{00000000-0005-0000-0000-0000FC990000}"/>
    <cellStyle name="Normal 4 2 2 3 4 4 5" xfId="15380" xr:uid="{00000000-0005-0000-0000-0000FD990000}"/>
    <cellStyle name="Normal 4 2 2 3 4 5" xfId="20243" xr:uid="{00000000-0005-0000-0000-0000FE990000}"/>
    <cellStyle name="Normal 4 2 2 3 4 6" xfId="29968" xr:uid="{00000000-0005-0000-0000-0000FF990000}"/>
    <cellStyle name="Normal 4 2 2 3 4 7" xfId="39693" xr:uid="{00000000-0005-0000-0000-0000009A0000}"/>
    <cellStyle name="Normal 4 2 2 3 4 8" xfId="10518" xr:uid="{00000000-0005-0000-0000-0000019A0000}"/>
    <cellStyle name="Normal 4 2 2 3 5" xfId="2052" xr:uid="{00000000-0005-0000-0000-0000029A0000}"/>
    <cellStyle name="Normal 4 2 2 3 5 2" xfId="6914" xr:uid="{00000000-0005-0000-0000-0000039A0000}"/>
    <cellStyle name="Normal 4 2 2 3 5 2 2" xfId="26365" xr:uid="{00000000-0005-0000-0000-0000049A0000}"/>
    <cellStyle name="Normal 4 2 2 3 5 2 3" xfId="36090" xr:uid="{00000000-0005-0000-0000-0000059A0000}"/>
    <cellStyle name="Normal 4 2 2 3 5 2 4" xfId="45815" xr:uid="{00000000-0005-0000-0000-0000069A0000}"/>
    <cellStyle name="Normal 4 2 2 3 5 2 5" xfId="16640" xr:uid="{00000000-0005-0000-0000-0000079A0000}"/>
    <cellStyle name="Normal 4 2 2 3 5 3" xfId="21503" xr:uid="{00000000-0005-0000-0000-0000089A0000}"/>
    <cellStyle name="Normal 4 2 2 3 5 4" xfId="31228" xr:uid="{00000000-0005-0000-0000-0000099A0000}"/>
    <cellStyle name="Normal 4 2 2 3 5 5" xfId="40953" xr:uid="{00000000-0005-0000-0000-00000A9A0000}"/>
    <cellStyle name="Normal 4 2 2 3 5 6" xfId="11778" xr:uid="{00000000-0005-0000-0000-00000B9A0000}"/>
    <cellStyle name="Normal 4 2 2 3 6" xfId="3672" xr:uid="{00000000-0005-0000-0000-00000C9A0000}"/>
    <cellStyle name="Normal 4 2 2 3 6 2" xfId="8534" xr:uid="{00000000-0005-0000-0000-00000D9A0000}"/>
    <cellStyle name="Normal 4 2 2 3 6 2 2" xfId="27985" xr:uid="{00000000-0005-0000-0000-00000E9A0000}"/>
    <cellStyle name="Normal 4 2 2 3 6 2 3" xfId="37710" xr:uid="{00000000-0005-0000-0000-00000F9A0000}"/>
    <cellStyle name="Normal 4 2 2 3 6 2 4" xfId="47435" xr:uid="{00000000-0005-0000-0000-0000109A0000}"/>
    <cellStyle name="Normal 4 2 2 3 6 2 5" xfId="18260" xr:uid="{00000000-0005-0000-0000-0000119A0000}"/>
    <cellStyle name="Normal 4 2 2 3 6 3" xfId="23123" xr:uid="{00000000-0005-0000-0000-0000129A0000}"/>
    <cellStyle name="Normal 4 2 2 3 6 4" xfId="32848" xr:uid="{00000000-0005-0000-0000-0000139A0000}"/>
    <cellStyle name="Normal 4 2 2 3 6 5" xfId="42573" xr:uid="{00000000-0005-0000-0000-0000149A0000}"/>
    <cellStyle name="Normal 4 2 2 3 6 6" xfId="13398" xr:uid="{00000000-0005-0000-0000-0000159A0000}"/>
    <cellStyle name="Normal 4 2 2 3 7" xfId="5294" xr:uid="{00000000-0005-0000-0000-0000169A0000}"/>
    <cellStyle name="Normal 4 2 2 3 7 2" xfId="24745" xr:uid="{00000000-0005-0000-0000-0000179A0000}"/>
    <cellStyle name="Normal 4 2 2 3 7 3" xfId="34470" xr:uid="{00000000-0005-0000-0000-0000189A0000}"/>
    <cellStyle name="Normal 4 2 2 3 7 4" xfId="44195" xr:uid="{00000000-0005-0000-0000-0000199A0000}"/>
    <cellStyle name="Normal 4 2 2 3 7 5" xfId="15020" xr:uid="{00000000-0005-0000-0000-00001A9A0000}"/>
    <cellStyle name="Normal 4 2 2 3 8" xfId="19883" xr:uid="{00000000-0005-0000-0000-00001B9A0000}"/>
    <cellStyle name="Normal 4 2 2 3 9" xfId="29608" xr:uid="{00000000-0005-0000-0000-00001C9A0000}"/>
    <cellStyle name="Normal 4 2 2 4" xfId="189" xr:uid="{00000000-0005-0000-0000-00001D9A0000}"/>
    <cellStyle name="Normal 4 2 2 4 10" xfId="39153" xr:uid="{00000000-0005-0000-0000-00001E9A0000}"/>
    <cellStyle name="Normal 4 2 2 4 11" xfId="9978" xr:uid="{00000000-0005-0000-0000-00001F9A0000}"/>
    <cellStyle name="Normal 4 2 2 4 2" xfId="953" xr:uid="{00000000-0005-0000-0000-0000209A0000}"/>
    <cellStyle name="Normal 4 2 2 4 2 2" xfId="2592" xr:uid="{00000000-0005-0000-0000-0000219A0000}"/>
    <cellStyle name="Normal 4 2 2 4 2 2 2" xfId="7454" xr:uid="{00000000-0005-0000-0000-0000229A0000}"/>
    <cellStyle name="Normal 4 2 2 4 2 2 2 2" xfId="26905" xr:uid="{00000000-0005-0000-0000-0000239A0000}"/>
    <cellStyle name="Normal 4 2 2 4 2 2 2 3" xfId="36630" xr:uid="{00000000-0005-0000-0000-0000249A0000}"/>
    <cellStyle name="Normal 4 2 2 4 2 2 2 4" xfId="46355" xr:uid="{00000000-0005-0000-0000-0000259A0000}"/>
    <cellStyle name="Normal 4 2 2 4 2 2 2 5" xfId="17180" xr:uid="{00000000-0005-0000-0000-0000269A0000}"/>
    <cellStyle name="Normal 4 2 2 4 2 2 3" xfId="22043" xr:uid="{00000000-0005-0000-0000-0000279A0000}"/>
    <cellStyle name="Normal 4 2 2 4 2 2 4" xfId="31768" xr:uid="{00000000-0005-0000-0000-0000289A0000}"/>
    <cellStyle name="Normal 4 2 2 4 2 2 5" xfId="41493" xr:uid="{00000000-0005-0000-0000-0000299A0000}"/>
    <cellStyle name="Normal 4 2 2 4 2 2 6" xfId="12318" xr:uid="{00000000-0005-0000-0000-00002A9A0000}"/>
    <cellStyle name="Normal 4 2 2 4 2 3" xfId="4212" xr:uid="{00000000-0005-0000-0000-00002B9A0000}"/>
    <cellStyle name="Normal 4 2 2 4 2 3 2" xfId="9074" xr:uid="{00000000-0005-0000-0000-00002C9A0000}"/>
    <cellStyle name="Normal 4 2 2 4 2 3 2 2" xfId="28525" xr:uid="{00000000-0005-0000-0000-00002D9A0000}"/>
    <cellStyle name="Normal 4 2 2 4 2 3 2 3" xfId="38250" xr:uid="{00000000-0005-0000-0000-00002E9A0000}"/>
    <cellStyle name="Normal 4 2 2 4 2 3 2 4" xfId="47975" xr:uid="{00000000-0005-0000-0000-00002F9A0000}"/>
    <cellStyle name="Normal 4 2 2 4 2 3 2 5" xfId="18800" xr:uid="{00000000-0005-0000-0000-0000309A0000}"/>
    <cellStyle name="Normal 4 2 2 4 2 3 3" xfId="23663" xr:uid="{00000000-0005-0000-0000-0000319A0000}"/>
    <cellStyle name="Normal 4 2 2 4 2 3 4" xfId="33388" xr:uid="{00000000-0005-0000-0000-0000329A0000}"/>
    <cellStyle name="Normal 4 2 2 4 2 3 5" xfId="43113" xr:uid="{00000000-0005-0000-0000-0000339A0000}"/>
    <cellStyle name="Normal 4 2 2 4 2 3 6" xfId="13938" xr:uid="{00000000-0005-0000-0000-0000349A0000}"/>
    <cellStyle name="Normal 4 2 2 4 2 4" xfId="5834" xr:uid="{00000000-0005-0000-0000-0000359A0000}"/>
    <cellStyle name="Normal 4 2 2 4 2 4 2" xfId="25285" xr:uid="{00000000-0005-0000-0000-0000369A0000}"/>
    <cellStyle name="Normal 4 2 2 4 2 4 3" xfId="35010" xr:uid="{00000000-0005-0000-0000-0000379A0000}"/>
    <cellStyle name="Normal 4 2 2 4 2 4 4" xfId="44735" xr:uid="{00000000-0005-0000-0000-0000389A0000}"/>
    <cellStyle name="Normal 4 2 2 4 2 4 5" xfId="15560" xr:uid="{00000000-0005-0000-0000-0000399A0000}"/>
    <cellStyle name="Normal 4 2 2 4 2 5" xfId="20423" xr:uid="{00000000-0005-0000-0000-00003A9A0000}"/>
    <cellStyle name="Normal 4 2 2 4 2 6" xfId="30148" xr:uid="{00000000-0005-0000-0000-00003B9A0000}"/>
    <cellStyle name="Normal 4 2 2 4 2 7" xfId="39873" xr:uid="{00000000-0005-0000-0000-00003C9A0000}"/>
    <cellStyle name="Normal 4 2 2 4 2 8" xfId="10698" xr:uid="{00000000-0005-0000-0000-00003D9A0000}"/>
    <cellStyle name="Normal 4 2 2 4 3" xfId="1421" xr:uid="{00000000-0005-0000-0000-00003E9A0000}"/>
    <cellStyle name="Normal 4 2 2 4 3 2" xfId="3042" xr:uid="{00000000-0005-0000-0000-00003F9A0000}"/>
    <cellStyle name="Normal 4 2 2 4 3 2 2" xfId="7904" xr:uid="{00000000-0005-0000-0000-0000409A0000}"/>
    <cellStyle name="Normal 4 2 2 4 3 2 2 2" xfId="27355" xr:uid="{00000000-0005-0000-0000-0000419A0000}"/>
    <cellStyle name="Normal 4 2 2 4 3 2 2 3" xfId="37080" xr:uid="{00000000-0005-0000-0000-0000429A0000}"/>
    <cellStyle name="Normal 4 2 2 4 3 2 2 4" xfId="46805" xr:uid="{00000000-0005-0000-0000-0000439A0000}"/>
    <cellStyle name="Normal 4 2 2 4 3 2 2 5" xfId="17630" xr:uid="{00000000-0005-0000-0000-0000449A0000}"/>
    <cellStyle name="Normal 4 2 2 4 3 2 3" xfId="22493" xr:uid="{00000000-0005-0000-0000-0000459A0000}"/>
    <cellStyle name="Normal 4 2 2 4 3 2 4" xfId="32218" xr:uid="{00000000-0005-0000-0000-0000469A0000}"/>
    <cellStyle name="Normal 4 2 2 4 3 2 5" xfId="41943" xr:uid="{00000000-0005-0000-0000-0000479A0000}"/>
    <cellStyle name="Normal 4 2 2 4 3 2 6" xfId="12768" xr:uid="{00000000-0005-0000-0000-0000489A0000}"/>
    <cellStyle name="Normal 4 2 2 4 3 3" xfId="4662" xr:uid="{00000000-0005-0000-0000-0000499A0000}"/>
    <cellStyle name="Normal 4 2 2 4 3 3 2" xfId="9524" xr:uid="{00000000-0005-0000-0000-00004A9A0000}"/>
    <cellStyle name="Normal 4 2 2 4 3 3 2 2" xfId="28975" xr:uid="{00000000-0005-0000-0000-00004B9A0000}"/>
    <cellStyle name="Normal 4 2 2 4 3 3 2 3" xfId="38700" xr:uid="{00000000-0005-0000-0000-00004C9A0000}"/>
    <cellStyle name="Normal 4 2 2 4 3 3 2 4" xfId="48425" xr:uid="{00000000-0005-0000-0000-00004D9A0000}"/>
    <cellStyle name="Normal 4 2 2 4 3 3 2 5" xfId="19250" xr:uid="{00000000-0005-0000-0000-00004E9A0000}"/>
    <cellStyle name="Normal 4 2 2 4 3 3 3" xfId="24113" xr:uid="{00000000-0005-0000-0000-00004F9A0000}"/>
    <cellStyle name="Normal 4 2 2 4 3 3 4" xfId="33838" xr:uid="{00000000-0005-0000-0000-0000509A0000}"/>
    <cellStyle name="Normal 4 2 2 4 3 3 5" xfId="43563" xr:uid="{00000000-0005-0000-0000-0000519A0000}"/>
    <cellStyle name="Normal 4 2 2 4 3 3 6" xfId="14388" xr:uid="{00000000-0005-0000-0000-0000529A0000}"/>
    <cellStyle name="Normal 4 2 2 4 3 4" xfId="6284" xr:uid="{00000000-0005-0000-0000-0000539A0000}"/>
    <cellStyle name="Normal 4 2 2 4 3 4 2" xfId="25735" xr:uid="{00000000-0005-0000-0000-0000549A0000}"/>
    <cellStyle name="Normal 4 2 2 4 3 4 3" xfId="35460" xr:uid="{00000000-0005-0000-0000-0000559A0000}"/>
    <cellStyle name="Normal 4 2 2 4 3 4 4" xfId="45185" xr:uid="{00000000-0005-0000-0000-0000569A0000}"/>
    <cellStyle name="Normal 4 2 2 4 3 4 5" xfId="16010" xr:uid="{00000000-0005-0000-0000-0000579A0000}"/>
    <cellStyle name="Normal 4 2 2 4 3 5" xfId="20873" xr:uid="{00000000-0005-0000-0000-0000589A0000}"/>
    <cellStyle name="Normal 4 2 2 4 3 6" xfId="30598" xr:uid="{00000000-0005-0000-0000-0000599A0000}"/>
    <cellStyle name="Normal 4 2 2 4 3 7" xfId="40323" xr:uid="{00000000-0005-0000-0000-00005A9A0000}"/>
    <cellStyle name="Normal 4 2 2 4 3 8" xfId="11148" xr:uid="{00000000-0005-0000-0000-00005B9A0000}"/>
    <cellStyle name="Normal 4 2 2 4 4" xfId="592" xr:uid="{00000000-0005-0000-0000-00005C9A0000}"/>
    <cellStyle name="Normal 4 2 2 4 4 2" xfId="2232" xr:uid="{00000000-0005-0000-0000-00005D9A0000}"/>
    <cellStyle name="Normal 4 2 2 4 4 2 2" xfId="7094" xr:uid="{00000000-0005-0000-0000-00005E9A0000}"/>
    <cellStyle name="Normal 4 2 2 4 4 2 2 2" xfId="26545" xr:uid="{00000000-0005-0000-0000-00005F9A0000}"/>
    <cellStyle name="Normal 4 2 2 4 4 2 2 3" xfId="36270" xr:uid="{00000000-0005-0000-0000-0000609A0000}"/>
    <cellStyle name="Normal 4 2 2 4 4 2 2 4" xfId="45995" xr:uid="{00000000-0005-0000-0000-0000619A0000}"/>
    <cellStyle name="Normal 4 2 2 4 4 2 2 5" xfId="16820" xr:uid="{00000000-0005-0000-0000-0000629A0000}"/>
    <cellStyle name="Normal 4 2 2 4 4 2 3" xfId="21683" xr:uid="{00000000-0005-0000-0000-0000639A0000}"/>
    <cellStyle name="Normal 4 2 2 4 4 2 4" xfId="31408" xr:uid="{00000000-0005-0000-0000-0000649A0000}"/>
    <cellStyle name="Normal 4 2 2 4 4 2 5" xfId="41133" xr:uid="{00000000-0005-0000-0000-0000659A0000}"/>
    <cellStyle name="Normal 4 2 2 4 4 2 6" xfId="11958" xr:uid="{00000000-0005-0000-0000-0000669A0000}"/>
    <cellStyle name="Normal 4 2 2 4 4 3" xfId="3852" xr:uid="{00000000-0005-0000-0000-0000679A0000}"/>
    <cellStyle name="Normal 4 2 2 4 4 3 2" xfId="8714" xr:uid="{00000000-0005-0000-0000-0000689A0000}"/>
    <cellStyle name="Normal 4 2 2 4 4 3 2 2" xfId="28165" xr:uid="{00000000-0005-0000-0000-0000699A0000}"/>
    <cellStyle name="Normal 4 2 2 4 4 3 2 3" xfId="37890" xr:uid="{00000000-0005-0000-0000-00006A9A0000}"/>
    <cellStyle name="Normal 4 2 2 4 4 3 2 4" xfId="47615" xr:uid="{00000000-0005-0000-0000-00006B9A0000}"/>
    <cellStyle name="Normal 4 2 2 4 4 3 2 5" xfId="18440" xr:uid="{00000000-0005-0000-0000-00006C9A0000}"/>
    <cellStyle name="Normal 4 2 2 4 4 3 3" xfId="23303" xr:uid="{00000000-0005-0000-0000-00006D9A0000}"/>
    <cellStyle name="Normal 4 2 2 4 4 3 4" xfId="33028" xr:uid="{00000000-0005-0000-0000-00006E9A0000}"/>
    <cellStyle name="Normal 4 2 2 4 4 3 5" xfId="42753" xr:uid="{00000000-0005-0000-0000-00006F9A0000}"/>
    <cellStyle name="Normal 4 2 2 4 4 3 6" xfId="13578" xr:uid="{00000000-0005-0000-0000-0000709A0000}"/>
    <cellStyle name="Normal 4 2 2 4 4 4" xfId="5474" xr:uid="{00000000-0005-0000-0000-0000719A0000}"/>
    <cellStyle name="Normal 4 2 2 4 4 4 2" xfId="24925" xr:uid="{00000000-0005-0000-0000-0000729A0000}"/>
    <cellStyle name="Normal 4 2 2 4 4 4 3" xfId="34650" xr:uid="{00000000-0005-0000-0000-0000739A0000}"/>
    <cellStyle name="Normal 4 2 2 4 4 4 4" xfId="44375" xr:uid="{00000000-0005-0000-0000-0000749A0000}"/>
    <cellStyle name="Normal 4 2 2 4 4 4 5" xfId="15200" xr:uid="{00000000-0005-0000-0000-0000759A0000}"/>
    <cellStyle name="Normal 4 2 2 4 4 5" xfId="20063" xr:uid="{00000000-0005-0000-0000-0000769A0000}"/>
    <cellStyle name="Normal 4 2 2 4 4 6" xfId="29788" xr:uid="{00000000-0005-0000-0000-0000779A0000}"/>
    <cellStyle name="Normal 4 2 2 4 4 7" xfId="39513" xr:uid="{00000000-0005-0000-0000-0000789A0000}"/>
    <cellStyle name="Normal 4 2 2 4 4 8" xfId="10338" xr:uid="{00000000-0005-0000-0000-0000799A0000}"/>
    <cellStyle name="Normal 4 2 2 4 5" xfId="1872" xr:uid="{00000000-0005-0000-0000-00007A9A0000}"/>
    <cellStyle name="Normal 4 2 2 4 5 2" xfId="6734" xr:uid="{00000000-0005-0000-0000-00007B9A0000}"/>
    <cellStyle name="Normal 4 2 2 4 5 2 2" xfId="26185" xr:uid="{00000000-0005-0000-0000-00007C9A0000}"/>
    <cellStyle name="Normal 4 2 2 4 5 2 3" xfId="35910" xr:uid="{00000000-0005-0000-0000-00007D9A0000}"/>
    <cellStyle name="Normal 4 2 2 4 5 2 4" xfId="45635" xr:uid="{00000000-0005-0000-0000-00007E9A0000}"/>
    <cellStyle name="Normal 4 2 2 4 5 2 5" xfId="16460" xr:uid="{00000000-0005-0000-0000-00007F9A0000}"/>
    <cellStyle name="Normal 4 2 2 4 5 3" xfId="21323" xr:uid="{00000000-0005-0000-0000-0000809A0000}"/>
    <cellStyle name="Normal 4 2 2 4 5 4" xfId="31048" xr:uid="{00000000-0005-0000-0000-0000819A0000}"/>
    <cellStyle name="Normal 4 2 2 4 5 5" xfId="40773" xr:uid="{00000000-0005-0000-0000-0000829A0000}"/>
    <cellStyle name="Normal 4 2 2 4 5 6" xfId="11598" xr:uid="{00000000-0005-0000-0000-0000839A0000}"/>
    <cellStyle name="Normal 4 2 2 4 6" xfId="3492" xr:uid="{00000000-0005-0000-0000-0000849A0000}"/>
    <cellStyle name="Normal 4 2 2 4 6 2" xfId="8354" xr:uid="{00000000-0005-0000-0000-0000859A0000}"/>
    <cellStyle name="Normal 4 2 2 4 6 2 2" xfId="27805" xr:uid="{00000000-0005-0000-0000-0000869A0000}"/>
    <cellStyle name="Normal 4 2 2 4 6 2 3" xfId="37530" xr:uid="{00000000-0005-0000-0000-0000879A0000}"/>
    <cellStyle name="Normal 4 2 2 4 6 2 4" xfId="47255" xr:uid="{00000000-0005-0000-0000-0000889A0000}"/>
    <cellStyle name="Normal 4 2 2 4 6 2 5" xfId="18080" xr:uid="{00000000-0005-0000-0000-0000899A0000}"/>
    <cellStyle name="Normal 4 2 2 4 6 3" xfId="22943" xr:uid="{00000000-0005-0000-0000-00008A9A0000}"/>
    <cellStyle name="Normal 4 2 2 4 6 4" xfId="32668" xr:uid="{00000000-0005-0000-0000-00008B9A0000}"/>
    <cellStyle name="Normal 4 2 2 4 6 5" xfId="42393" xr:uid="{00000000-0005-0000-0000-00008C9A0000}"/>
    <cellStyle name="Normal 4 2 2 4 6 6" xfId="13218" xr:uid="{00000000-0005-0000-0000-00008D9A0000}"/>
    <cellStyle name="Normal 4 2 2 4 7" xfId="5114" xr:uid="{00000000-0005-0000-0000-00008E9A0000}"/>
    <cellStyle name="Normal 4 2 2 4 7 2" xfId="24565" xr:uid="{00000000-0005-0000-0000-00008F9A0000}"/>
    <cellStyle name="Normal 4 2 2 4 7 3" xfId="34290" xr:uid="{00000000-0005-0000-0000-0000909A0000}"/>
    <cellStyle name="Normal 4 2 2 4 7 4" xfId="44015" xr:uid="{00000000-0005-0000-0000-0000919A0000}"/>
    <cellStyle name="Normal 4 2 2 4 7 5" xfId="14840" xr:uid="{00000000-0005-0000-0000-0000929A0000}"/>
    <cellStyle name="Normal 4 2 2 4 8" xfId="19703" xr:uid="{00000000-0005-0000-0000-0000939A0000}"/>
    <cellStyle name="Normal 4 2 2 4 9" xfId="29428" xr:uid="{00000000-0005-0000-0000-0000949A0000}"/>
    <cellStyle name="Normal 4 2 2 5" xfId="863" xr:uid="{00000000-0005-0000-0000-0000959A0000}"/>
    <cellStyle name="Normal 4 2 2 5 2" xfId="2502" xr:uid="{00000000-0005-0000-0000-0000969A0000}"/>
    <cellStyle name="Normal 4 2 2 5 2 2" xfId="7364" xr:uid="{00000000-0005-0000-0000-0000979A0000}"/>
    <cellStyle name="Normal 4 2 2 5 2 2 2" xfId="26815" xr:uid="{00000000-0005-0000-0000-0000989A0000}"/>
    <cellStyle name="Normal 4 2 2 5 2 2 3" xfId="36540" xr:uid="{00000000-0005-0000-0000-0000999A0000}"/>
    <cellStyle name="Normal 4 2 2 5 2 2 4" xfId="46265" xr:uid="{00000000-0005-0000-0000-00009A9A0000}"/>
    <cellStyle name="Normal 4 2 2 5 2 2 5" xfId="17090" xr:uid="{00000000-0005-0000-0000-00009B9A0000}"/>
    <cellStyle name="Normal 4 2 2 5 2 3" xfId="21953" xr:uid="{00000000-0005-0000-0000-00009C9A0000}"/>
    <cellStyle name="Normal 4 2 2 5 2 4" xfId="31678" xr:uid="{00000000-0005-0000-0000-00009D9A0000}"/>
    <cellStyle name="Normal 4 2 2 5 2 5" xfId="41403" xr:uid="{00000000-0005-0000-0000-00009E9A0000}"/>
    <cellStyle name="Normal 4 2 2 5 2 6" xfId="12228" xr:uid="{00000000-0005-0000-0000-00009F9A0000}"/>
    <cellStyle name="Normal 4 2 2 5 3" xfId="4122" xr:uid="{00000000-0005-0000-0000-0000A09A0000}"/>
    <cellStyle name="Normal 4 2 2 5 3 2" xfId="8984" xr:uid="{00000000-0005-0000-0000-0000A19A0000}"/>
    <cellStyle name="Normal 4 2 2 5 3 2 2" xfId="28435" xr:uid="{00000000-0005-0000-0000-0000A29A0000}"/>
    <cellStyle name="Normal 4 2 2 5 3 2 3" xfId="38160" xr:uid="{00000000-0005-0000-0000-0000A39A0000}"/>
    <cellStyle name="Normal 4 2 2 5 3 2 4" xfId="47885" xr:uid="{00000000-0005-0000-0000-0000A49A0000}"/>
    <cellStyle name="Normal 4 2 2 5 3 2 5" xfId="18710" xr:uid="{00000000-0005-0000-0000-0000A59A0000}"/>
    <cellStyle name="Normal 4 2 2 5 3 3" xfId="23573" xr:uid="{00000000-0005-0000-0000-0000A69A0000}"/>
    <cellStyle name="Normal 4 2 2 5 3 4" xfId="33298" xr:uid="{00000000-0005-0000-0000-0000A79A0000}"/>
    <cellStyle name="Normal 4 2 2 5 3 5" xfId="43023" xr:uid="{00000000-0005-0000-0000-0000A89A0000}"/>
    <cellStyle name="Normal 4 2 2 5 3 6" xfId="13848" xr:uid="{00000000-0005-0000-0000-0000A99A0000}"/>
    <cellStyle name="Normal 4 2 2 5 4" xfId="5744" xr:uid="{00000000-0005-0000-0000-0000AA9A0000}"/>
    <cellStyle name="Normal 4 2 2 5 4 2" xfId="25195" xr:uid="{00000000-0005-0000-0000-0000AB9A0000}"/>
    <cellStyle name="Normal 4 2 2 5 4 3" xfId="34920" xr:uid="{00000000-0005-0000-0000-0000AC9A0000}"/>
    <cellStyle name="Normal 4 2 2 5 4 4" xfId="44645" xr:uid="{00000000-0005-0000-0000-0000AD9A0000}"/>
    <cellStyle name="Normal 4 2 2 5 4 5" xfId="15470" xr:uid="{00000000-0005-0000-0000-0000AE9A0000}"/>
    <cellStyle name="Normal 4 2 2 5 5" xfId="20333" xr:uid="{00000000-0005-0000-0000-0000AF9A0000}"/>
    <cellStyle name="Normal 4 2 2 5 6" xfId="30058" xr:uid="{00000000-0005-0000-0000-0000B09A0000}"/>
    <cellStyle name="Normal 4 2 2 5 7" xfId="39783" xr:uid="{00000000-0005-0000-0000-0000B19A0000}"/>
    <cellStyle name="Normal 4 2 2 5 8" xfId="10608" xr:uid="{00000000-0005-0000-0000-0000B29A0000}"/>
    <cellStyle name="Normal 4 2 2 6" xfId="1241" xr:uid="{00000000-0005-0000-0000-0000B39A0000}"/>
    <cellStyle name="Normal 4 2 2 6 2" xfId="2862" xr:uid="{00000000-0005-0000-0000-0000B49A0000}"/>
    <cellStyle name="Normal 4 2 2 6 2 2" xfId="7724" xr:uid="{00000000-0005-0000-0000-0000B59A0000}"/>
    <cellStyle name="Normal 4 2 2 6 2 2 2" xfId="27175" xr:uid="{00000000-0005-0000-0000-0000B69A0000}"/>
    <cellStyle name="Normal 4 2 2 6 2 2 3" xfId="36900" xr:uid="{00000000-0005-0000-0000-0000B79A0000}"/>
    <cellStyle name="Normal 4 2 2 6 2 2 4" xfId="46625" xr:uid="{00000000-0005-0000-0000-0000B89A0000}"/>
    <cellStyle name="Normal 4 2 2 6 2 2 5" xfId="17450" xr:uid="{00000000-0005-0000-0000-0000B99A0000}"/>
    <cellStyle name="Normal 4 2 2 6 2 3" xfId="22313" xr:uid="{00000000-0005-0000-0000-0000BA9A0000}"/>
    <cellStyle name="Normal 4 2 2 6 2 4" xfId="32038" xr:uid="{00000000-0005-0000-0000-0000BB9A0000}"/>
    <cellStyle name="Normal 4 2 2 6 2 5" xfId="41763" xr:uid="{00000000-0005-0000-0000-0000BC9A0000}"/>
    <cellStyle name="Normal 4 2 2 6 2 6" xfId="12588" xr:uid="{00000000-0005-0000-0000-0000BD9A0000}"/>
    <cellStyle name="Normal 4 2 2 6 3" xfId="4482" xr:uid="{00000000-0005-0000-0000-0000BE9A0000}"/>
    <cellStyle name="Normal 4 2 2 6 3 2" xfId="9344" xr:uid="{00000000-0005-0000-0000-0000BF9A0000}"/>
    <cellStyle name="Normal 4 2 2 6 3 2 2" xfId="28795" xr:uid="{00000000-0005-0000-0000-0000C09A0000}"/>
    <cellStyle name="Normal 4 2 2 6 3 2 3" xfId="38520" xr:uid="{00000000-0005-0000-0000-0000C19A0000}"/>
    <cellStyle name="Normal 4 2 2 6 3 2 4" xfId="48245" xr:uid="{00000000-0005-0000-0000-0000C29A0000}"/>
    <cellStyle name="Normal 4 2 2 6 3 2 5" xfId="19070" xr:uid="{00000000-0005-0000-0000-0000C39A0000}"/>
    <cellStyle name="Normal 4 2 2 6 3 3" xfId="23933" xr:uid="{00000000-0005-0000-0000-0000C49A0000}"/>
    <cellStyle name="Normal 4 2 2 6 3 4" xfId="33658" xr:uid="{00000000-0005-0000-0000-0000C59A0000}"/>
    <cellStyle name="Normal 4 2 2 6 3 5" xfId="43383" xr:uid="{00000000-0005-0000-0000-0000C69A0000}"/>
    <cellStyle name="Normal 4 2 2 6 3 6" xfId="14208" xr:uid="{00000000-0005-0000-0000-0000C79A0000}"/>
    <cellStyle name="Normal 4 2 2 6 4" xfId="6104" xr:uid="{00000000-0005-0000-0000-0000C89A0000}"/>
    <cellStyle name="Normal 4 2 2 6 4 2" xfId="25555" xr:uid="{00000000-0005-0000-0000-0000C99A0000}"/>
    <cellStyle name="Normal 4 2 2 6 4 3" xfId="35280" xr:uid="{00000000-0005-0000-0000-0000CA9A0000}"/>
    <cellStyle name="Normal 4 2 2 6 4 4" xfId="45005" xr:uid="{00000000-0005-0000-0000-0000CB9A0000}"/>
    <cellStyle name="Normal 4 2 2 6 4 5" xfId="15830" xr:uid="{00000000-0005-0000-0000-0000CC9A0000}"/>
    <cellStyle name="Normal 4 2 2 6 5" xfId="20693" xr:uid="{00000000-0005-0000-0000-0000CD9A0000}"/>
    <cellStyle name="Normal 4 2 2 6 6" xfId="30418" xr:uid="{00000000-0005-0000-0000-0000CE9A0000}"/>
    <cellStyle name="Normal 4 2 2 6 7" xfId="40143" xr:uid="{00000000-0005-0000-0000-0000CF9A0000}"/>
    <cellStyle name="Normal 4 2 2 6 8" xfId="10968" xr:uid="{00000000-0005-0000-0000-0000D09A0000}"/>
    <cellStyle name="Normal 4 2 2 7" xfId="1331" xr:uid="{00000000-0005-0000-0000-0000D19A0000}"/>
    <cellStyle name="Normal 4 2 2 7 2" xfId="2952" xr:uid="{00000000-0005-0000-0000-0000D29A0000}"/>
    <cellStyle name="Normal 4 2 2 7 2 2" xfId="7814" xr:uid="{00000000-0005-0000-0000-0000D39A0000}"/>
    <cellStyle name="Normal 4 2 2 7 2 2 2" xfId="27265" xr:uid="{00000000-0005-0000-0000-0000D49A0000}"/>
    <cellStyle name="Normal 4 2 2 7 2 2 3" xfId="36990" xr:uid="{00000000-0005-0000-0000-0000D59A0000}"/>
    <cellStyle name="Normal 4 2 2 7 2 2 4" xfId="46715" xr:uid="{00000000-0005-0000-0000-0000D69A0000}"/>
    <cellStyle name="Normal 4 2 2 7 2 2 5" xfId="17540" xr:uid="{00000000-0005-0000-0000-0000D79A0000}"/>
    <cellStyle name="Normal 4 2 2 7 2 3" xfId="22403" xr:uid="{00000000-0005-0000-0000-0000D89A0000}"/>
    <cellStyle name="Normal 4 2 2 7 2 4" xfId="32128" xr:uid="{00000000-0005-0000-0000-0000D99A0000}"/>
    <cellStyle name="Normal 4 2 2 7 2 5" xfId="41853" xr:uid="{00000000-0005-0000-0000-0000DA9A0000}"/>
    <cellStyle name="Normal 4 2 2 7 2 6" xfId="12678" xr:uid="{00000000-0005-0000-0000-0000DB9A0000}"/>
    <cellStyle name="Normal 4 2 2 7 3" xfId="4572" xr:uid="{00000000-0005-0000-0000-0000DC9A0000}"/>
    <cellStyle name="Normal 4 2 2 7 3 2" xfId="9434" xr:uid="{00000000-0005-0000-0000-0000DD9A0000}"/>
    <cellStyle name="Normal 4 2 2 7 3 2 2" xfId="28885" xr:uid="{00000000-0005-0000-0000-0000DE9A0000}"/>
    <cellStyle name="Normal 4 2 2 7 3 2 3" xfId="38610" xr:uid="{00000000-0005-0000-0000-0000DF9A0000}"/>
    <cellStyle name="Normal 4 2 2 7 3 2 4" xfId="48335" xr:uid="{00000000-0005-0000-0000-0000E09A0000}"/>
    <cellStyle name="Normal 4 2 2 7 3 2 5" xfId="19160" xr:uid="{00000000-0005-0000-0000-0000E19A0000}"/>
    <cellStyle name="Normal 4 2 2 7 3 3" xfId="24023" xr:uid="{00000000-0005-0000-0000-0000E29A0000}"/>
    <cellStyle name="Normal 4 2 2 7 3 4" xfId="33748" xr:uid="{00000000-0005-0000-0000-0000E39A0000}"/>
    <cellStyle name="Normal 4 2 2 7 3 5" xfId="43473" xr:uid="{00000000-0005-0000-0000-0000E49A0000}"/>
    <cellStyle name="Normal 4 2 2 7 3 6" xfId="14298" xr:uid="{00000000-0005-0000-0000-0000E59A0000}"/>
    <cellStyle name="Normal 4 2 2 7 4" xfId="6194" xr:uid="{00000000-0005-0000-0000-0000E69A0000}"/>
    <cellStyle name="Normal 4 2 2 7 4 2" xfId="25645" xr:uid="{00000000-0005-0000-0000-0000E79A0000}"/>
    <cellStyle name="Normal 4 2 2 7 4 3" xfId="35370" xr:uid="{00000000-0005-0000-0000-0000E89A0000}"/>
    <cellStyle name="Normal 4 2 2 7 4 4" xfId="45095" xr:uid="{00000000-0005-0000-0000-0000E99A0000}"/>
    <cellStyle name="Normal 4 2 2 7 4 5" xfId="15920" xr:uid="{00000000-0005-0000-0000-0000EA9A0000}"/>
    <cellStyle name="Normal 4 2 2 7 5" xfId="20783" xr:uid="{00000000-0005-0000-0000-0000EB9A0000}"/>
    <cellStyle name="Normal 4 2 2 7 6" xfId="30508" xr:uid="{00000000-0005-0000-0000-0000EC9A0000}"/>
    <cellStyle name="Normal 4 2 2 7 7" xfId="40233" xr:uid="{00000000-0005-0000-0000-0000ED9A0000}"/>
    <cellStyle name="Normal 4 2 2 7 8" xfId="11058" xr:uid="{00000000-0005-0000-0000-0000EE9A0000}"/>
    <cellStyle name="Normal 4 2 2 8" xfId="502" xr:uid="{00000000-0005-0000-0000-0000EF9A0000}"/>
    <cellStyle name="Normal 4 2 2 8 2" xfId="2142" xr:uid="{00000000-0005-0000-0000-0000F09A0000}"/>
    <cellStyle name="Normal 4 2 2 8 2 2" xfId="7004" xr:uid="{00000000-0005-0000-0000-0000F19A0000}"/>
    <cellStyle name="Normal 4 2 2 8 2 2 2" xfId="26455" xr:uid="{00000000-0005-0000-0000-0000F29A0000}"/>
    <cellStyle name="Normal 4 2 2 8 2 2 3" xfId="36180" xr:uid="{00000000-0005-0000-0000-0000F39A0000}"/>
    <cellStyle name="Normal 4 2 2 8 2 2 4" xfId="45905" xr:uid="{00000000-0005-0000-0000-0000F49A0000}"/>
    <cellStyle name="Normal 4 2 2 8 2 2 5" xfId="16730" xr:uid="{00000000-0005-0000-0000-0000F59A0000}"/>
    <cellStyle name="Normal 4 2 2 8 2 3" xfId="21593" xr:uid="{00000000-0005-0000-0000-0000F69A0000}"/>
    <cellStyle name="Normal 4 2 2 8 2 4" xfId="31318" xr:uid="{00000000-0005-0000-0000-0000F79A0000}"/>
    <cellStyle name="Normal 4 2 2 8 2 5" xfId="41043" xr:uid="{00000000-0005-0000-0000-0000F89A0000}"/>
    <cellStyle name="Normal 4 2 2 8 2 6" xfId="11868" xr:uid="{00000000-0005-0000-0000-0000F99A0000}"/>
    <cellStyle name="Normal 4 2 2 8 3" xfId="3762" xr:uid="{00000000-0005-0000-0000-0000FA9A0000}"/>
    <cellStyle name="Normal 4 2 2 8 3 2" xfId="8624" xr:uid="{00000000-0005-0000-0000-0000FB9A0000}"/>
    <cellStyle name="Normal 4 2 2 8 3 2 2" xfId="28075" xr:uid="{00000000-0005-0000-0000-0000FC9A0000}"/>
    <cellStyle name="Normal 4 2 2 8 3 2 3" xfId="37800" xr:uid="{00000000-0005-0000-0000-0000FD9A0000}"/>
    <cellStyle name="Normal 4 2 2 8 3 2 4" xfId="47525" xr:uid="{00000000-0005-0000-0000-0000FE9A0000}"/>
    <cellStyle name="Normal 4 2 2 8 3 2 5" xfId="18350" xr:uid="{00000000-0005-0000-0000-0000FF9A0000}"/>
    <cellStyle name="Normal 4 2 2 8 3 3" xfId="23213" xr:uid="{00000000-0005-0000-0000-0000009B0000}"/>
    <cellStyle name="Normal 4 2 2 8 3 4" xfId="32938" xr:uid="{00000000-0005-0000-0000-0000019B0000}"/>
    <cellStyle name="Normal 4 2 2 8 3 5" xfId="42663" xr:uid="{00000000-0005-0000-0000-0000029B0000}"/>
    <cellStyle name="Normal 4 2 2 8 3 6" xfId="13488" xr:uid="{00000000-0005-0000-0000-0000039B0000}"/>
    <cellStyle name="Normal 4 2 2 8 4" xfId="5384" xr:uid="{00000000-0005-0000-0000-0000049B0000}"/>
    <cellStyle name="Normal 4 2 2 8 4 2" xfId="24835" xr:uid="{00000000-0005-0000-0000-0000059B0000}"/>
    <cellStyle name="Normal 4 2 2 8 4 3" xfId="34560" xr:uid="{00000000-0005-0000-0000-0000069B0000}"/>
    <cellStyle name="Normal 4 2 2 8 4 4" xfId="44285" xr:uid="{00000000-0005-0000-0000-0000079B0000}"/>
    <cellStyle name="Normal 4 2 2 8 4 5" xfId="15110" xr:uid="{00000000-0005-0000-0000-0000089B0000}"/>
    <cellStyle name="Normal 4 2 2 8 5" xfId="19973" xr:uid="{00000000-0005-0000-0000-0000099B0000}"/>
    <cellStyle name="Normal 4 2 2 8 6" xfId="29698" xr:uid="{00000000-0005-0000-0000-00000A9B0000}"/>
    <cellStyle name="Normal 4 2 2 8 7" xfId="39423" xr:uid="{00000000-0005-0000-0000-00000B9B0000}"/>
    <cellStyle name="Normal 4 2 2 8 8" xfId="10248" xr:uid="{00000000-0005-0000-0000-00000C9B0000}"/>
    <cellStyle name="Normal 4 2 2 9" xfId="1691" xr:uid="{00000000-0005-0000-0000-00000D9B0000}"/>
    <cellStyle name="Normal 4 2 2 9 2" xfId="3312" xr:uid="{00000000-0005-0000-0000-00000E9B0000}"/>
    <cellStyle name="Normal 4 2 2 9 2 2" xfId="8174" xr:uid="{00000000-0005-0000-0000-00000F9B0000}"/>
    <cellStyle name="Normal 4 2 2 9 2 2 2" xfId="27625" xr:uid="{00000000-0005-0000-0000-0000109B0000}"/>
    <cellStyle name="Normal 4 2 2 9 2 2 3" xfId="37350" xr:uid="{00000000-0005-0000-0000-0000119B0000}"/>
    <cellStyle name="Normal 4 2 2 9 2 2 4" xfId="47075" xr:uid="{00000000-0005-0000-0000-0000129B0000}"/>
    <cellStyle name="Normal 4 2 2 9 2 2 5" xfId="17900" xr:uid="{00000000-0005-0000-0000-0000139B0000}"/>
    <cellStyle name="Normal 4 2 2 9 2 3" xfId="22763" xr:uid="{00000000-0005-0000-0000-0000149B0000}"/>
    <cellStyle name="Normal 4 2 2 9 2 4" xfId="32488" xr:uid="{00000000-0005-0000-0000-0000159B0000}"/>
    <cellStyle name="Normal 4 2 2 9 2 5" xfId="42213" xr:uid="{00000000-0005-0000-0000-0000169B0000}"/>
    <cellStyle name="Normal 4 2 2 9 2 6" xfId="13038" xr:uid="{00000000-0005-0000-0000-0000179B0000}"/>
    <cellStyle name="Normal 4 2 2 9 3" xfId="4932" xr:uid="{00000000-0005-0000-0000-0000189B0000}"/>
    <cellStyle name="Normal 4 2 2 9 3 2" xfId="9794" xr:uid="{00000000-0005-0000-0000-0000199B0000}"/>
    <cellStyle name="Normal 4 2 2 9 3 2 2" xfId="29245" xr:uid="{00000000-0005-0000-0000-00001A9B0000}"/>
    <cellStyle name="Normal 4 2 2 9 3 2 3" xfId="38970" xr:uid="{00000000-0005-0000-0000-00001B9B0000}"/>
    <cellStyle name="Normal 4 2 2 9 3 2 4" xfId="48695" xr:uid="{00000000-0005-0000-0000-00001C9B0000}"/>
    <cellStyle name="Normal 4 2 2 9 3 2 5" xfId="19520" xr:uid="{00000000-0005-0000-0000-00001D9B0000}"/>
    <cellStyle name="Normal 4 2 2 9 3 3" xfId="24383" xr:uid="{00000000-0005-0000-0000-00001E9B0000}"/>
    <cellStyle name="Normal 4 2 2 9 3 4" xfId="34108" xr:uid="{00000000-0005-0000-0000-00001F9B0000}"/>
    <cellStyle name="Normal 4 2 2 9 3 5" xfId="43833" xr:uid="{00000000-0005-0000-0000-0000209B0000}"/>
    <cellStyle name="Normal 4 2 2 9 3 6" xfId="14658" xr:uid="{00000000-0005-0000-0000-0000219B0000}"/>
    <cellStyle name="Normal 4 2 2 9 4" xfId="6554" xr:uid="{00000000-0005-0000-0000-0000229B0000}"/>
    <cellStyle name="Normal 4 2 2 9 4 2" xfId="26005" xr:uid="{00000000-0005-0000-0000-0000239B0000}"/>
    <cellStyle name="Normal 4 2 2 9 4 3" xfId="35730" xr:uid="{00000000-0005-0000-0000-0000249B0000}"/>
    <cellStyle name="Normal 4 2 2 9 4 4" xfId="45455" xr:uid="{00000000-0005-0000-0000-0000259B0000}"/>
    <cellStyle name="Normal 4 2 2 9 4 5" xfId="16280" xr:uid="{00000000-0005-0000-0000-0000269B0000}"/>
    <cellStyle name="Normal 4 2 2 9 5" xfId="21143" xr:uid="{00000000-0005-0000-0000-0000279B0000}"/>
    <cellStyle name="Normal 4 2 2 9 6" xfId="30868" xr:uid="{00000000-0005-0000-0000-0000289B0000}"/>
    <cellStyle name="Normal 4 2 2 9 7" xfId="40593" xr:uid="{00000000-0005-0000-0000-0000299B0000}"/>
    <cellStyle name="Normal 4 2 2 9 8" xfId="11418" xr:uid="{00000000-0005-0000-0000-00002A9B0000}"/>
    <cellStyle name="Normal 4 2 3" xfId="128" xr:uid="{00000000-0005-0000-0000-00002B9B0000}"/>
    <cellStyle name="Normal 4 2 3 10" xfId="1812" xr:uid="{00000000-0005-0000-0000-00002C9B0000}"/>
    <cellStyle name="Normal 4 2 3 10 2" xfId="6674" xr:uid="{00000000-0005-0000-0000-00002D9B0000}"/>
    <cellStyle name="Normal 4 2 3 10 2 2" xfId="26125" xr:uid="{00000000-0005-0000-0000-00002E9B0000}"/>
    <cellStyle name="Normal 4 2 3 10 2 3" xfId="35850" xr:uid="{00000000-0005-0000-0000-00002F9B0000}"/>
    <cellStyle name="Normal 4 2 3 10 2 4" xfId="45575" xr:uid="{00000000-0005-0000-0000-0000309B0000}"/>
    <cellStyle name="Normal 4 2 3 10 2 5" xfId="16400" xr:uid="{00000000-0005-0000-0000-0000319B0000}"/>
    <cellStyle name="Normal 4 2 3 10 3" xfId="21263" xr:uid="{00000000-0005-0000-0000-0000329B0000}"/>
    <cellStyle name="Normal 4 2 3 10 4" xfId="30988" xr:uid="{00000000-0005-0000-0000-0000339B0000}"/>
    <cellStyle name="Normal 4 2 3 10 5" xfId="40713" xr:uid="{00000000-0005-0000-0000-0000349B0000}"/>
    <cellStyle name="Normal 4 2 3 10 6" xfId="11538" xr:uid="{00000000-0005-0000-0000-0000359B0000}"/>
    <cellStyle name="Normal 4 2 3 11" xfId="3432" xr:uid="{00000000-0005-0000-0000-0000369B0000}"/>
    <cellStyle name="Normal 4 2 3 11 2" xfId="8294" xr:uid="{00000000-0005-0000-0000-0000379B0000}"/>
    <cellStyle name="Normal 4 2 3 11 2 2" xfId="27745" xr:uid="{00000000-0005-0000-0000-0000389B0000}"/>
    <cellStyle name="Normal 4 2 3 11 2 3" xfId="37470" xr:uid="{00000000-0005-0000-0000-0000399B0000}"/>
    <cellStyle name="Normal 4 2 3 11 2 4" xfId="47195" xr:uid="{00000000-0005-0000-0000-00003A9B0000}"/>
    <cellStyle name="Normal 4 2 3 11 2 5" xfId="18020" xr:uid="{00000000-0005-0000-0000-00003B9B0000}"/>
    <cellStyle name="Normal 4 2 3 11 3" xfId="22883" xr:uid="{00000000-0005-0000-0000-00003C9B0000}"/>
    <cellStyle name="Normal 4 2 3 11 4" xfId="32608" xr:uid="{00000000-0005-0000-0000-00003D9B0000}"/>
    <cellStyle name="Normal 4 2 3 11 5" xfId="42333" xr:uid="{00000000-0005-0000-0000-00003E9B0000}"/>
    <cellStyle name="Normal 4 2 3 11 6" xfId="13158" xr:uid="{00000000-0005-0000-0000-00003F9B0000}"/>
    <cellStyle name="Normal 4 2 3 12" xfId="5054" xr:uid="{00000000-0005-0000-0000-0000409B0000}"/>
    <cellStyle name="Normal 4 2 3 12 2" xfId="24505" xr:uid="{00000000-0005-0000-0000-0000419B0000}"/>
    <cellStyle name="Normal 4 2 3 12 3" xfId="34230" xr:uid="{00000000-0005-0000-0000-0000429B0000}"/>
    <cellStyle name="Normal 4 2 3 12 4" xfId="43955" xr:uid="{00000000-0005-0000-0000-0000439B0000}"/>
    <cellStyle name="Normal 4 2 3 12 5" xfId="14780" xr:uid="{00000000-0005-0000-0000-0000449B0000}"/>
    <cellStyle name="Normal 4 2 3 13" xfId="19643" xr:uid="{00000000-0005-0000-0000-0000459B0000}"/>
    <cellStyle name="Normal 4 2 3 14" xfId="29368" xr:uid="{00000000-0005-0000-0000-0000469B0000}"/>
    <cellStyle name="Normal 4 2 3 15" xfId="39093" xr:uid="{00000000-0005-0000-0000-0000479B0000}"/>
    <cellStyle name="Normal 4 2 3 16" xfId="9918" xr:uid="{00000000-0005-0000-0000-0000489B0000}"/>
    <cellStyle name="Normal 4 2 3 2" xfId="310" xr:uid="{00000000-0005-0000-0000-0000499B0000}"/>
    <cellStyle name="Normal 4 2 3 2 10" xfId="39273" xr:uid="{00000000-0005-0000-0000-00004A9B0000}"/>
    <cellStyle name="Normal 4 2 3 2 11" xfId="10098" xr:uid="{00000000-0005-0000-0000-00004B9B0000}"/>
    <cellStyle name="Normal 4 2 3 2 2" xfId="1074" xr:uid="{00000000-0005-0000-0000-00004C9B0000}"/>
    <cellStyle name="Normal 4 2 3 2 2 2" xfId="2712" xr:uid="{00000000-0005-0000-0000-00004D9B0000}"/>
    <cellStyle name="Normal 4 2 3 2 2 2 2" xfId="7574" xr:uid="{00000000-0005-0000-0000-00004E9B0000}"/>
    <cellStyle name="Normal 4 2 3 2 2 2 2 2" xfId="27025" xr:uid="{00000000-0005-0000-0000-00004F9B0000}"/>
    <cellStyle name="Normal 4 2 3 2 2 2 2 3" xfId="36750" xr:uid="{00000000-0005-0000-0000-0000509B0000}"/>
    <cellStyle name="Normal 4 2 3 2 2 2 2 4" xfId="46475" xr:uid="{00000000-0005-0000-0000-0000519B0000}"/>
    <cellStyle name="Normal 4 2 3 2 2 2 2 5" xfId="17300" xr:uid="{00000000-0005-0000-0000-0000529B0000}"/>
    <cellStyle name="Normal 4 2 3 2 2 2 3" xfId="22163" xr:uid="{00000000-0005-0000-0000-0000539B0000}"/>
    <cellStyle name="Normal 4 2 3 2 2 2 4" xfId="31888" xr:uid="{00000000-0005-0000-0000-0000549B0000}"/>
    <cellStyle name="Normal 4 2 3 2 2 2 5" xfId="41613" xr:uid="{00000000-0005-0000-0000-0000559B0000}"/>
    <cellStyle name="Normal 4 2 3 2 2 2 6" xfId="12438" xr:uid="{00000000-0005-0000-0000-0000569B0000}"/>
    <cellStyle name="Normal 4 2 3 2 2 3" xfId="4332" xr:uid="{00000000-0005-0000-0000-0000579B0000}"/>
    <cellStyle name="Normal 4 2 3 2 2 3 2" xfId="9194" xr:uid="{00000000-0005-0000-0000-0000589B0000}"/>
    <cellStyle name="Normal 4 2 3 2 2 3 2 2" xfId="28645" xr:uid="{00000000-0005-0000-0000-0000599B0000}"/>
    <cellStyle name="Normal 4 2 3 2 2 3 2 3" xfId="38370" xr:uid="{00000000-0005-0000-0000-00005A9B0000}"/>
    <cellStyle name="Normal 4 2 3 2 2 3 2 4" xfId="48095" xr:uid="{00000000-0005-0000-0000-00005B9B0000}"/>
    <cellStyle name="Normal 4 2 3 2 2 3 2 5" xfId="18920" xr:uid="{00000000-0005-0000-0000-00005C9B0000}"/>
    <cellStyle name="Normal 4 2 3 2 2 3 3" xfId="23783" xr:uid="{00000000-0005-0000-0000-00005D9B0000}"/>
    <cellStyle name="Normal 4 2 3 2 2 3 4" xfId="33508" xr:uid="{00000000-0005-0000-0000-00005E9B0000}"/>
    <cellStyle name="Normal 4 2 3 2 2 3 5" xfId="43233" xr:uid="{00000000-0005-0000-0000-00005F9B0000}"/>
    <cellStyle name="Normal 4 2 3 2 2 3 6" xfId="14058" xr:uid="{00000000-0005-0000-0000-0000609B0000}"/>
    <cellStyle name="Normal 4 2 3 2 2 4" xfId="5954" xr:uid="{00000000-0005-0000-0000-0000619B0000}"/>
    <cellStyle name="Normal 4 2 3 2 2 4 2" xfId="25405" xr:uid="{00000000-0005-0000-0000-0000629B0000}"/>
    <cellStyle name="Normal 4 2 3 2 2 4 3" xfId="35130" xr:uid="{00000000-0005-0000-0000-0000639B0000}"/>
    <cellStyle name="Normal 4 2 3 2 2 4 4" xfId="44855" xr:uid="{00000000-0005-0000-0000-0000649B0000}"/>
    <cellStyle name="Normal 4 2 3 2 2 4 5" xfId="15680" xr:uid="{00000000-0005-0000-0000-0000659B0000}"/>
    <cellStyle name="Normal 4 2 3 2 2 5" xfId="20543" xr:uid="{00000000-0005-0000-0000-0000669B0000}"/>
    <cellStyle name="Normal 4 2 3 2 2 6" xfId="30268" xr:uid="{00000000-0005-0000-0000-0000679B0000}"/>
    <cellStyle name="Normal 4 2 3 2 2 7" xfId="39993" xr:uid="{00000000-0005-0000-0000-0000689B0000}"/>
    <cellStyle name="Normal 4 2 3 2 2 8" xfId="10818" xr:uid="{00000000-0005-0000-0000-0000699B0000}"/>
    <cellStyle name="Normal 4 2 3 2 3" xfId="1541" xr:uid="{00000000-0005-0000-0000-00006A9B0000}"/>
    <cellStyle name="Normal 4 2 3 2 3 2" xfId="3162" xr:uid="{00000000-0005-0000-0000-00006B9B0000}"/>
    <cellStyle name="Normal 4 2 3 2 3 2 2" xfId="8024" xr:uid="{00000000-0005-0000-0000-00006C9B0000}"/>
    <cellStyle name="Normal 4 2 3 2 3 2 2 2" xfId="27475" xr:uid="{00000000-0005-0000-0000-00006D9B0000}"/>
    <cellStyle name="Normal 4 2 3 2 3 2 2 3" xfId="37200" xr:uid="{00000000-0005-0000-0000-00006E9B0000}"/>
    <cellStyle name="Normal 4 2 3 2 3 2 2 4" xfId="46925" xr:uid="{00000000-0005-0000-0000-00006F9B0000}"/>
    <cellStyle name="Normal 4 2 3 2 3 2 2 5" xfId="17750" xr:uid="{00000000-0005-0000-0000-0000709B0000}"/>
    <cellStyle name="Normal 4 2 3 2 3 2 3" xfId="22613" xr:uid="{00000000-0005-0000-0000-0000719B0000}"/>
    <cellStyle name="Normal 4 2 3 2 3 2 4" xfId="32338" xr:uid="{00000000-0005-0000-0000-0000729B0000}"/>
    <cellStyle name="Normal 4 2 3 2 3 2 5" xfId="42063" xr:uid="{00000000-0005-0000-0000-0000739B0000}"/>
    <cellStyle name="Normal 4 2 3 2 3 2 6" xfId="12888" xr:uid="{00000000-0005-0000-0000-0000749B0000}"/>
    <cellStyle name="Normal 4 2 3 2 3 3" xfId="4782" xr:uid="{00000000-0005-0000-0000-0000759B0000}"/>
    <cellStyle name="Normal 4 2 3 2 3 3 2" xfId="9644" xr:uid="{00000000-0005-0000-0000-0000769B0000}"/>
    <cellStyle name="Normal 4 2 3 2 3 3 2 2" xfId="29095" xr:uid="{00000000-0005-0000-0000-0000779B0000}"/>
    <cellStyle name="Normal 4 2 3 2 3 3 2 3" xfId="38820" xr:uid="{00000000-0005-0000-0000-0000789B0000}"/>
    <cellStyle name="Normal 4 2 3 2 3 3 2 4" xfId="48545" xr:uid="{00000000-0005-0000-0000-0000799B0000}"/>
    <cellStyle name="Normal 4 2 3 2 3 3 2 5" xfId="19370" xr:uid="{00000000-0005-0000-0000-00007A9B0000}"/>
    <cellStyle name="Normal 4 2 3 2 3 3 3" xfId="24233" xr:uid="{00000000-0005-0000-0000-00007B9B0000}"/>
    <cellStyle name="Normal 4 2 3 2 3 3 4" xfId="33958" xr:uid="{00000000-0005-0000-0000-00007C9B0000}"/>
    <cellStyle name="Normal 4 2 3 2 3 3 5" xfId="43683" xr:uid="{00000000-0005-0000-0000-00007D9B0000}"/>
    <cellStyle name="Normal 4 2 3 2 3 3 6" xfId="14508" xr:uid="{00000000-0005-0000-0000-00007E9B0000}"/>
    <cellStyle name="Normal 4 2 3 2 3 4" xfId="6404" xr:uid="{00000000-0005-0000-0000-00007F9B0000}"/>
    <cellStyle name="Normal 4 2 3 2 3 4 2" xfId="25855" xr:uid="{00000000-0005-0000-0000-0000809B0000}"/>
    <cellStyle name="Normal 4 2 3 2 3 4 3" xfId="35580" xr:uid="{00000000-0005-0000-0000-0000819B0000}"/>
    <cellStyle name="Normal 4 2 3 2 3 4 4" xfId="45305" xr:uid="{00000000-0005-0000-0000-0000829B0000}"/>
    <cellStyle name="Normal 4 2 3 2 3 4 5" xfId="16130" xr:uid="{00000000-0005-0000-0000-0000839B0000}"/>
    <cellStyle name="Normal 4 2 3 2 3 5" xfId="20993" xr:uid="{00000000-0005-0000-0000-0000849B0000}"/>
    <cellStyle name="Normal 4 2 3 2 3 6" xfId="30718" xr:uid="{00000000-0005-0000-0000-0000859B0000}"/>
    <cellStyle name="Normal 4 2 3 2 3 7" xfId="40443" xr:uid="{00000000-0005-0000-0000-0000869B0000}"/>
    <cellStyle name="Normal 4 2 3 2 3 8" xfId="11268" xr:uid="{00000000-0005-0000-0000-0000879B0000}"/>
    <cellStyle name="Normal 4 2 3 2 4" xfId="712" xr:uid="{00000000-0005-0000-0000-0000889B0000}"/>
    <cellStyle name="Normal 4 2 3 2 4 2" xfId="2352" xr:uid="{00000000-0005-0000-0000-0000899B0000}"/>
    <cellStyle name="Normal 4 2 3 2 4 2 2" xfId="7214" xr:uid="{00000000-0005-0000-0000-00008A9B0000}"/>
    <cellStyle name="Normal 4 2 3 2 4 2 2 2" xfId="26665" xr:uid="{00000000-0005-0000-0000-00008B9B0000}"/>
    <cellStyle name="Normal 4 2 3 2 4 2 2 3" xfId="36390" xr:uid="{00000000-0005-0000-0000-00008C9B0000}"/>
    <cellStyle name="Normal 4 2 3 2 4 2 2 4" xfId="46115" xr:uid="{00000000-0005-0000-0000-00008D9B0000}"/>
    <cellStyle name="Normal 4 2 3 2 4 2 2 5" xfId="16940" xr:uid="{00000000-0005-0000-0000-00008E9B0000}"/>
    <cellStyle name="Normal 4 2 3 2 4 2 3" xfId="21803" xr:uid="{00000000-0005-0000-0000-00008F9B0000}"/>
    <cellStyle name="Normal 4 2 3 2 4 2 4" xfId="31528" xr:uid="{00000000-0005-0000-0000-0000909B0000}"/>
    <cellStyle name="Normal 4 2 3 2 4 2 5" xfId="41253" xr:uid="{00000000-0005-0000-0000-0000919B0000}"/>
    <cellStyle name="Normal 4 2 3 2 4 2 6" xfId="12078" xr:uid="{00000000-0005-0000-0000-0000929B0000}"/>
    <cellStyle name="Normal 4 2 3 2 4 3" xfId="3972" xr:uid="{00000000-0005-0000-0000-0000939B0000}"/>
    <cellStyle name="Normal 4 2 3 2 4 3 2" xfId="8834" xr:uid="{00000000-0005-0000-0000-0000949B0000}"/>
    <cellStyle name="Normal 4 2 3 2 4 3 2 2" xfId="28285" xr:uid="{00000000-0005-0000-0000-0000959B0000}"/>
    <cellStyle name="Normal 4 2 3 2 4 3 2 3" xfId="38010" xr:uid="{00000000-0005-0000-0000-0000969B0000}"/>
    <cellStyle name="Normal 4 2 3 2 4 3 2 4" xfId="47735" xr:uid="{00000000-0005-0000-0000-0000979B0000}"/>
    <cellStyle name="Normal 4 2 3 2 4 3 2 5" xfId="18560" xr:uid="{00000000-0005-0000-0000-0000989B0000}"/>
    <cellStyle name="Normal 4 2 3 2 4 3 3" xfId="23423" xr:uid="{00000000-0005-0000-0000-0000999B0000}"/>
    <cellStyle name="Normal 4 2 3 2 4 3 4" xfId="33148" xr:uid="{00000000-0005-0000-0000-00009A9B0000}"/>
    <cellStyle name="Normal 4 2 3 2 4 3 5" xfId="42873" xr:uid="{00000000-0005-0000-0000-00009B9B0000}"/>
    <cellStyle name="Normal 4 2 3 2 4 3 6" xfId="13698" xr:uid="{00000000-0005-0000-0000-00009C9B0000}"/>
    <cellStyle name="Normal 4 2 3 2 4 4" xfId="5594" xr:uid="{00000000-0005-0000-0000-00009D9B0000}"/>
    <cellStyle name="Normal 4 2 3 2 4 4 2" xfId="25045" xr:uid="{00000000-0005-0000-0000-00009E9B0000}"/>
    <cellStyle name="Normal 4 2 3 2 4 4 3" xfId="34770" xr:uid="{00000000-0005-0000-0000-00009F9B0000}"/>
    <cellStyle name="Normal 4 2 3 2 4 4 4" xfId="44495" xr:uid="{00000000-0005-0000-0000-0000A09B0000}"/>
    <cellStyle name="Normal 4 2 3 2 4 4 5" xfId="15320" xr:uid="{00000000-0005-0000-0000-0000A19B0000}"/>
    <cellStyle name="Normal 4 2 3 2 4 5" xfId="20183" xr:uid="{00000000-0005-0000-0000-0000A29B0000}"/>
    <cellStyle name="Normal 4 2 3 2 4 6" xfId="29908" xr:uid="{00000000-0005-0000-0000-0000A39B0000}"/>
    <cellStyle name="Normal 4 2 3 2 4 7" xfId="39633" xr:uid="{00000000-0005-0000-0000-0000A49B0000}"/>
    <cellStyle name="Normal 4 2 3 2 4 8" xfId="10458" xr:uid="{00000000-0005-0000-0000-0000A59B0000}"/>
    <cellStyle name="Normal 4 2 3 2 5" xfId="1992" xr:uid="{00000000-0005-0000-0000-0000A69B0000}"/>
    <cellStyle name="Normal 4 2 3 2 5 2" xfId="6854" xr:uid="{00000000-0005-0000-0000-0000A79B0000}"/>
    <cellStyle name="Normal 4 2 3 2 5 2 2" xfId="26305" xr:uid="{00000000-0005-0000-0000-0000A89B0000}"/>
    <cellStyle name="Normal 4 2 3 2 5 2 3" xfId="36030" xr:uid="{00000000-0005-0000-0000-0000A99B0000}"/>
    <cellStyle name="Normal 4 2 3 2 5 2 4" xfId="45755" xr:uid="{00000000-0005-0000-0000-0000AA9B0000}"/>
    <cellStyle name="Normal 4 2 3 2 5 2 5" xfId="16580" xr:uid="{00000000-0005-0000-0000-0000AB9B0000}"/>
    <cellStyle name="Normal 4 2 3 2 5 3" xfId="21443" xr:uid="{00000000-0005-0000-0000-0000AC9B0000}"/>
    <cellStyle name="Normal 4 2 3 2 5 4" xfId="31168" xr:uid="{00000000-0005-0000-0000-0000AD9B0000}"/>
    <cellStyle name="Normal 4 2 3 2 5 5" xfId="40893" xr:uid="{00000000-0005-0000-0000-0000AE9B0000}"/>
    <cellStyle name="Normal 4 2 3 2 5 6" xfId="11718" xr:uid="{00000000-0005-0000-0000-0000AF9B0000}"/>
    <cellStyle name="Normal 4 2 3 2 6" xfId="3612" xr:uid="{00000000-0005-0000-0000-0000B09B0000}"/>
    <cellStyle name="Normal 4 2 3 2 6 2" xfId="8474" xr:uid="{00000000-0005-0000-0000-0000B19B0000}"/>
    <cellStyle name="Normal 4 2 3 2 6 2 2" xfId="27925" xr:uid="{00000000-0005-0000-0000-0000B29B0000}"/>
    <cellStyle name="Normal 4 2 3 2 6 2 3" xfId="37650" xr:uid="{00000000-0005-0000-0000-0000B39B0000}"/>
    <cellStyle name="Normal 4 2 3 2 6 2 4" xfId="47375" xr:uid="{00000000-0005-0000-0000-0000B49B0000}"/>
    <cellStyle name="Normal 4 2 3 2 6 2 5" xfId="18200" xr:uid="{00000000-0005-0000-0000-0000B59B0000}"/>
    <cellStyle name="Normal 4 2 3 2 6 3" xfId="23063" xr:uid="{00000000-0005-0000-0000-0000B69B0000}"/>
    <cellStyle name="Normal 4 2 3 2 6 4" xfId="32788" xr:uid="{00000000-0005-0000-0000-0000B79B0000}"/>
    <cellStyle name="Normal 4 2 3 2 6 5" xfId="42513" xr:uid="{00000000-0005-0000-0000-0000B89B0000}"/>
    <cellStyle name="Normal 4 2 3 2 6 6" xfId="13338" xr:uid="{00000000-0005-0000-0000-0000B99B0000}"/>
    <cellStyle name="Normal 4 2 3 2 7" xfId="5234" xr:uid="{00000000-0005-0000-0000-0000BA9B0000}"/>
    <cellStyle name="Normal 4 2 3 2 7 2" xfId="24685" xr:uid="{00000000-0005-0000-0000-0000BB9B0000}"/>
    <cellStyle name="Normal 4 2 3 2 7 3" xfId="34410" xr:uid="{00000000-0005-0000-0000-0000BC9B0000}"/>
    <cellStyle name="Normal 4 2 3 2 7 4" xfId="44135" xr:uid="{00000000-0005-0000-0000-0000BD9B0000}"/>
    <cellStyle name="Normal 4 2 3 2 7 5" xfId="14960" xr:uid="{00000000-0005-0000-0000-0000BE9B0000}"/>
    <cellStyle name="Normal 4 2 3 2 8" xfId="19823" xr:uid="{00000000-0005-0000-0000-0000BF9B0000}"/>
    <cellStyle name="Normal 4 2 3 2 9" xfId="29548" xr:uid="{00000000-0005-0000-0000-0000C09B0000}"/>
    <cellStyle name="Normal 4 2 3 3" xfId="401" xr:uid="{00000000-0005-0000-0000-0000C19B0000}"/>
    <cellStyle name="Normal 4 2 3 3 10" xfId="39363" xr:uid="{00000000-0005-0000-0000-0000C29B0000}"/>
    <cellStyle name="Normal 4 2 3 3 11" xfId="10188" xr:uid="{00000000-0005-0000-0000-0000C39B0000}"/>
    <cellStyle name="Normal 4 2 3 3 2" xfId="1164" xr:uid="{00000000-0005-0000-0000-0000C49B0000}"/>
    <cellStyle name="Normal 4 2 3 3 2 2" xfId="2802" xr:uid="{00000000-0005-0000-0000-0000C59B0000}"/>
    <cellStyle name="Normal 4 2 3 3 2 2 2" xfId="7664" xr:uid="{00000000-0005-0000-0000-0000C69B0000}"/>
    <cellStyle name="Normal 4 2 3 3 2 2 2 2" xfId="27115" xr:uid="{00000000-0005-0000-0000-0000C79B0000}"/>
    <cellStyle name="Normal 4 2 3 3 2 2 2 3" xfId="36840" xr:uid="{00000000-0005-0000-0000-0000C89B0000}"/>
    <cellStyle name="Normal 4 2 3 3 2 2 2 4" xfId="46565" xr:uid="{00000000-0005-0000-0000-0000C99B0000}"/>
    <cellStyle name="Normal 4 2 3 3 2 2 2 5" xfId="17390" xr:uid="{00000000-0005-0000-0000-0000CA9B0000}"/>
    <cellStyle name="Normal 4 2 3 3 2 2 3" xfId="22253" xr:uid="{00000000-0005-0000-0000-0000CB9B0000}"/>
    <cellStyle name="Normal 4 2 3 3 2 2 4" xfId="31978" xr:uid="{00000000-0005-0000-0000-0000CC9B0000}"/>
    <cellStyle name="Normal 4 2 3 3 2 2 5" xfId="41703" xr:uid="{00000000-0005-0000-0000-0000CD9B0000}"/>
    <cellStyle name="Normal 4 2 3 3 2 2 6" xfId="12528" xr:uid="{00000000-0005-0000-0000-0000CE9B0000}"/>
    <cellStyle name="Normal 4 2 3 3 2 3" xfId="4422" xr:uid="{00000000-0005-0000-0000-0000CF9B0000}"/>
    <cellStyle name="Normal 4 2 3 3 2 3 2" xfId="9284" xr:uid="{00000000-0005-0000-0000-0000D09B0000}"/>
    <cellStyle name="Normal 4 2 3 3 2 3 2 2" xfId="28735" xr:uid="{00000000-0005-0000-0000-0000D19B0000}"/>
    <cellStyle name="Normal 4 2 3 3 2 3 2 3" xfId="38460" xr:uid="{00000000-0005-0000-0000-0000D29B0000}"/>
    <cellStyle name="Normal 4 2 3 3 2 3 2 4" xfId="48185" xr:uid="{00000000-0005-0000-0000-0000D39B0000}"/>
    <cellStyle name="Normal 4 2 3 3 2 3 2 5" xfId="19010" xr:uid="{00000000-0005-0000-0000-0000D49B0000}"/>
    <cellStyle name="Normal 4 2 3 3 2 3 3" xfId="23873" xr:uid="{00000000-0005-0000-0000-0000D59B0000}"/>
    <cellStyle name="Normal 4 2 3 3 2 3 4" xfId="33598" xr:uid="{00000000-0005-0000-0000-0000D69B0000}"/>
    <cellStyle name="Normal 4 2 3 3 2 3 5" xfId="43323" xr:uid="{00000000-0005-0000-0000-0000D79B0000}"/>
    <cellStyle name="Normal 4 2 3 3 2 3 6" xfId="14148" xr:uid="{00000000-0005-0000-0000-0000D89B0000}"/>
    <cellStyle name="Normal 4 2 3 3 2 4" xfId="6044" xr:uid="{00000000-0005-0000-0000-0000D99B0000}"/>
    <cellStyle name="Normal 4 2 3 3 2 4 2" xfId="25495" xr:uid="{00000000-0005-0000-0000-0000DA9B0000}"/>
    <cellStyle name="Normal 4 2 3 3 2 4 3" xfId="35220" xr:uid="{00000000-0005-0000-0000-0000DB9B0000}"/>
    <cellStyle name="Normal 4 2 3 3 2 4 4" xfId="44945" xr:uid="{00000000-0005-0000-0000-0000DC9B0000}"/>
    <cellStyle name="Normal 4 2 3 3 2 4 5" xfId="15770" xr:uid="{00000000-0005-0000-0000-0000DD9B0000}"/>
    <cellStyle name="Normal 4 2 3 3 2 5" xfId="20633" xr:uid="{00000000-0005-0000-0000-0000DE9B0000}"/>
    <cellStyle name="Normal 4 2 3 3 2 6" xfId="30358" xr:uid="{00000000-0005-0000-0000-0000DF9B0000}"/>
    <cellStyle name="Normal 4 2 3 3 2 7" xfId="40083" xr:uid="{00000000-0005-0000-0000-0000E09B0000}"/>
    <cellStyle name="Normal 4 2 3 3 2 8" xfId="10908" xr:uid="{00000000-0005-0000-0000-0000E19B0000}"/>
    <cellStyle name="Normal 4 2 3 3 3" xfId="1631" xr:uid="{00000000-0005-0000-0000-0000E29B0000}"/>
    <cellStyle name="Normal 4 2 3 3 3 2" xfId="3252" xr:uid="{00000000-0005-0000-0000-0000E39B0000}"/>
    <cellStyle name="Normal 4 2 3 3 3 2 2" xfId="8114" xr:uid="{00000000-0005-0000-0000-0000E49B0000}"/>
    <cellStyle name="Normal 4 2 3 3 3 2 2 2" xfId="27565" xr:uid="{00000000-0005-0000-0000-0000E59B0000}"/>
    <cellStyle name="Normal 4 2 3 3 3 2 2 3" xfId="37290" xr:uid="{00000000-0005-0000-0000-0000E69B0000}"/>
    <cellStyle name="Normal 4 2 3 3 3 2 2 4" xfId="47015" xr:uid="{00000000-0005-0000-0000-0000E79B0000}"/>
    <cellStyle name="Normal 4 2 3 3 3 2 2 5" xfId="17840" xr:uid="{00000000-0005-0000-0000-0000E89B0000}"/>
    <cellStyle name="Normal 4 2 3 3 3 2 3" xfId="22703" xr:uid="{00000000-0005-0000-0000-0000E99B0000}"/>
    <cellStyle name="Normal 4 2 3 3 3 2 4" xfId="32428" xr:uid="{00000000-0005-0000-0000-0000EA9B0000}"/>
    <cellStyle name="Normal 4 2 3 3 3 2 5" xfId="42153" xr:uid="{00000000-0005-0000-0000-0000EB9B0000}"/>
    <cellStyle name="Normal 4 2 3 3 3 2 6" xfId="12978" xr:uid="{00000000-0005-0000-0000-0000EC9B0000}"/>
    <cellStyle name="Normal 4 2 3 3 3 3" xfId="4872" xr:uid="{00000000-0005-0000-0000-0000ED9B0000}"/>
    <cellStyle name="Normal 4 2 3 3 3 3 2" xfId="9734" xr:uid="{00000000-0005-0000-0000-0000EE9B0000}"/>
    <cellStyle name="Normal 4 2 3 3 3 3 2 2" xfId="29185" xr:uid="{00000000-0005-0000-0000-0000EF9B0000}"/>
    <cellStyle name="Normal 4 2 3 3 3 3 2 3" xfId="38910" xr:uid="{00000000-0005-0000-0000-0000F09B0000}"/>
    <cellStyle name="Normal 4 2 3 3 3 3 2 4" xfId="48635" xr:uid="{00000000-0005-0000-0000-0000F19B0000}"/>
    <cellStyle name="Normal 4 2 3 3 3 3 2 5" xfId="19460" xr:uid="{00000000-0005-0000-0000-0000F29B0000}"/>
    <cellStyle name="Normal 4 2 3 3 3 3 3" xfId="24323" xr:uid="{00000000-0005-0000-0000-0000F39B0000}"/>
    <cellStyle name="Normal 4 2 3 3 3 3 4" xfId="34048" xr:uid="{00000000-0005-0000-0000-0000F49B0000}"/>
    <cellStyle name="Normal 4 2 3 3 3 3 5" xfId="43773" xr:uid="{00000000-0005-0000-0000-0000F59B0000}"/>
    <cellStyle name="Normal 4 2 3 3 3 3 6" xfId="14598" xr:uid="{00000000-0005-0000-0000-0000F69B0000}"/>
    <cellStyle name="Normal 4 2 3 3 3 4" xfId="6494" xr:uid="{00000000-0005-0000-0000-0000F79B0000}"/>
    <cellStyle name="Normal 4 2 3 3 3 4 2" xfId="25945" xr:uid="{00000000-0005-0000-0000-0000F89B0000}"/>
    <cellStyle name="Normal 4 2 3 3 3 4 3" xfId="35670" xr:uid="{00000000-0005-0000-0000-0000F99B0000}"/>
    <cellStyle name="Normal 4 2 3 3 3 4 4" xfId="45395" xr:uid="{00000000-0005-0000-0000-0000FA9B0000}"/>
    <cellStyle name="Normal 4 2 3 3 3 4 5" xfId="16220" xr:uid="{00000000-0005-0000-0000-0000FB9B0000}"/>
    <cellStyle name="Normal 4 2 3 3 3 5" xfId="21083" xr:uid="{00000000-0005-0000-0000-0000FC9B0000}"/>
    <cellStyle name="Normal 4 2 3 3 3 6" xfId="30808" xr:uid="{00000000-0005-0000-0000-0000FD9B0000}"/>
    <cellStyle name="Normal 4 2 3 3 3 7" xfId="40533" xr:uid="{00000000-0005-0000-0000-0000FE9B0000}"/>
    <cellStyle name="Normal 4 2 3 3 3 8" xfId="11358" xr:uid="{00000000-0005-0000-0000-0000FF9B0000}"/>
    <cellStyle name="Normal 4 2 3 3 4" xfId="802" xr:uid="{00000000-0005-0000-0000-0000009C0000}"/>
    <cellStyle name="Normal 4 2 3 3 4 2" xfId="2442" xr:uid="{00000000-0005-0000-0000-0000019C0000}"/>
    <cellStyle name="Normal 4 2 3 3 4 2 2" xfId="7304" xr:uid="{00000000-0005-0000-0000-0000029C0000}"/>
    <cellStyle name="Normal 4 2 3 3 4 2 2 2" xfId="26755" xr:uid="{00000000-0005-0000-0000-0000039C0000}"/>
    <cellStyle name="Normal 4 2 3 3 4 2 2 3" xfId="36480" xr:uid="{00000000-0005-0000-0000-0000049C0000}"/>
    <cellStyle name="Normal 4 2 3 3 4 2 2 4" xfId="46205" xr:uid="{00000000-0005-0000-0000-0000059C0000}"/>
    <cellStyle name="Normal 4 2 3 3 4 2 2 5" xfId="17030" xr:uid="{00000000-0005-0000-0000-0000069C0000}"/>
    <cellStyle name="Normal 4 2 3 3 4 2 3" xfId="21893" xr:uid="{00000000-0005-0000-0000-0000079C0000}"/>
    <cellStyle name="Normal 4 2 3 3 4 2 4" xfId="31618" xr:uid="{00000000-0005-0000-0000-0000089C0000}"/>
    <cellStyle name="Normal 4 2 3 3 4 2 5" xfId="41343" xr:uid="{00000000-0005-0000-0000-0000099C0000}"/>
    <cellStyle name="Normal 4 2 3 3 4 2 6" xfId="12168" xr:uid="{00000000-0005-0000-0000-00000A9C0000}"/>
    <cellStyle name="Normal 4 2 3 3 4 3" xfId="4062" xr:uid="{00000000-0005-0000-0000-00000B9C0000}"/>
    <cellStyle name="Normal 4 2 3 3 4 3 2" xfId="8924" xr:uid="{00000000-0005-0000-0000-00000C9C0000}"/>
    <cellStyle name="Normal 4 2 3 3 4 3 2 2" xfId="28375" xr:uid="{00000000-0005-0000-0000-00000D9C0000}"/>
    <cellStyle name="Normal 4 2 3 3 4 3 2 3" xfId="38100" xr:uid="{00000000-0005-0000-0000-00000E9C0000}"/>
    <cellStyle name="Normal 4 2 3 3 4 3 2 4" xfId="47825" xr:uid="{00000000-0005-0000-0000-00000F9C0000}"/>
    <cellStyle name="Normal 4 2 3 3 4 3 2 5" xfId="18650" xr:uid="{00000000-0005-0000-0000-0000109C0000}"/>
    <cellStyle name="Normal 4 2 3 3 4 3 3" xfId="23513" xr:uid="{00000000-0005-0000-0000-0000119C0000}"/>
    <cellStyle name="Normal 4 2 3 3 4 3 4" xfId="33238" xr:uid="{00000000-0005-0000-0000-0000129C0000}"/>
    <cellStyle name="Normal 4 2 3 3 4 3 5" xfId="42963" xr:uid="{00000000-0005-0000-0000-0000139C0000}"/>
    <cellStyle name="Normal 4 2 3 3 4 3 6" xfId="13788" xr:uid="{00000000-0005-0000-0000-0000149C0000}"/>
    <cellStyle name="Normal 4 2 3 3 4 4" xfId="5684" xr:uid="{00000000-0005-0000-0000-0000159C0000}"/>
    <cellStyle name="Normal 4 2 3 3 4 4 2" xfId="25135" xr:uid="{00000000-0005-0000-0000-0000169C0000}"/>
    <cellStyle name="Normal 4 2 3 3 4 4 3" xfId="34860" xr:uid="{00000000-0005-0000-0000-0000179C0000}"/>
    <cellStyle name="Normal 4 2 3 3 4 4 4" xfId="44585" xr:uid="{00000000-0005-0000-0000-0000189C0000}"/>
    <cellStyle name="Normal 4 2 3 3 4 4 5" xfId="15410" xr:uid="{00000000-0005-0000-0000-0000199C0000}"/>
    <cellStyle name="Normal 4 2 3 3 4 5" xfId="20273" xr:uid="{00000000-0005-0000-0000-00001A9C0000}"/>
    <cellStyle name="Normal 4 2 3 3 4 6" xfId="29998" xr:uid="{00000000-0005-0000-0000-00001B9C0000}"/>
    <cellStyle name="Normal 4 2 3 3 4 7" xfId="39723" xr:uid="{00000000-0005-0000-0000-00001C9C0000}"/>
    <cellStyle name="Normal 4 2 3 3 4 8" xfId="10548" xr:uid="{00000000-0005-0000-0000-00001D9C0000}"/>
    <cellStyle name="Normal 4 2 3 3 5" xfId="2082" xr:uid="{00000000-0005-0000-0000-00001E9C0000}"/>
    <cellStyle name="Normal 4 2 3 3 5 2" xfId="6944" xr:uid="{00000000-0005-0000-0000-00001F9C0000}"/>
    <cellStyle name="Normal 4 2 3 3 5 2 2" xfId="26395" xr:uid="{00000000-0005-0000-0000-0000209C0000}"/>
    <cellStyle name="Normal 4 2 3 3 5 2 3" xfId="36120" xr:uid="{00000000-0005-0000-0000-0000219C0000}"/>
    <cellStyle name="Normal 4 2 3 3 5 2 4" xfId="45845" xr:uid="{00000000-0005-0000-0000-0000229C0000}"/>
    <cellStyle name="Normal 4 2 3 3 5 2 5" xfId="16670" xr:uid="{00000000-0005-0000-0000-0000239C0000}"/>
    <cellStyle name="Normal 4 2 3 3 5 3" xfId="21533" xr:uid="{00000000-0005-0000-0000-0000249C0000}"/>
    <cellStyle name="Normal 4 2 3 3 5 4" xfId="31258" xr:uid="{00000000-0005-0000-0000-0000259C0000}"/>
    <cellStyle name="Normal 4 2 3 3 5 5" xfId="40983" xr:uid="{00000000-0005-0000-0000-0000269C0000}"/>
    <cellStyle name="Normal 4 2 3 3 5 6" xfId="11808" xr:uid="{00000000-0005-0000-0000-0000279C0000}"/>
    <cellStyle name="Normal 4 2 3 3 6" xfId="3702" xr:uid="{00000000-0005-0000-0000-0000289C0000}"/>
    <cellStyle name="Normal 4 2 3 3 6 2" xfId="8564" xr:uid="{00000000-0005-0000-0000-0000299C0000}"/>
    <cellStyle name="Normal 4 2 3 3 6 2 2" xfId="28015" xr:uid="{00000000-0005-0000-0000-00002A9C0000}"/>
    <cellStyle name="Normal 4 2 3 3 6 2 3" xfId="37740" xr:uid="{00000000-0005-0000-0000-00002B9C0000}"/>
    <cellStyle name="Normal 4 2 3 3 6 2 4" xfId="47465" xr:uid="{00000000-0005-0000-0000-00002C9C0000}"/>
    <cellStyle name="Normal 4 2 3 3 6 2 5" xfId="18290" xr:uid="{00000000-0005-0000-0000-00002D9C0000}"/>
    <cellStyle name="Normal 4 2 3 3 6 3" xfId="23153" xr:uid="{00000000-0005-0000-0000-00002E9C0000}"/>
    <cellStyle name="Normal 4 2 3 3 6 4" xfId="32878" xr:uid="{00000000-0005-0000-0000-00002F9C0000}"/>
    <cellStyle name="Normal 4 2 3 3 6 5" xfId="42603" xr:uid="{00000000-0005-0000-0000-0000309C0000}"/>
    <cellStyle name="Normal 4 2 3 3 6 6" xfId="13428" xr:uid="{00000000-0005-0000-0000-0000319C0000}"/>
    <cellStyle name="Normal 4 2 3 3 7" xfId="5324" xr:uid="{00000000-0005-0000-0000-0000329C0000}"/>
    <cellStyle name="Normal 4 2 3 3 7 2" xfId="24775" xr:uid="{00000000-0005-0000-0000-0000339C0000}"/>
    <cellStyle name="Normal 4 2 3 3 7 3" xfId="34500" xr:uid="{00000000-0005-0000-0000-0000349C0000}"/>
    <cellStyle name="Normal 4 2 3 3 7 4" xfId="44225" xr:uid="{00000000-0005-0000-0000-0000359C0000}"/>
    <cellStyle name="Normal 4 2 3 3 7 5" xfId="15050" xr:uid="{00000000-0005-0000-0000-0000369C0000}"/>
    <cellStyle name="Normal 4 2 3 3 8" xfId="19913" xr:uid="{00000000-0005-0000-0000-0000379C0000}"/>
    <cellStyle name="Normal 4 2 3 3 9" xfId="29638" xr:uid="{00000000-0005-0000-0000-0000389C0000}"/>
    <cellStyle name="Normal 4 2 3 4" xfId="219" xr:uid="{00000000-0005-0000-0000-0000399C0000}"/>
    <cellStyle name="Normal 4 2 3 4 10" xfId="39183" xr:uid="{00000000-0005-0000-0000-00003A9C0000}"/>
    <cellStyle name="Normal 4 2 3 4 11" xfId="10008" xr:uid="{00000000-0005-0000-0000-00003B9C0000}"/>
    <cellStyle name="Normal 4 2 3 4 2" xfId="983" xr:uid="{00000000-0005-0000-0000-00003C9C0000}"/>
    <cellStyle name="Normal 4 2 3 4 2 2" xfId="2622" xr:uid="{00000000-0005-0000-0000-00003D9C0000}"/>
    <cellStyle name="Normal 4 2 3 4 2 2 2" xfId="7484" xr:uid="{00000000-0005-0000-0000-00003E9C0000}"/>
    <cellStyle name="Normal 4 2 3 4 2 2 2 2" xfId="26935" xr:uid="{00000000-0005-0000-0000-00003F9C0000}"/>
    <cellStyle name="Normal 4 2 3 4 2 2 2 3" xfId="36660" xr:uid="{00000000-0005-0000-0000-0000409C0000}"/>
    <cellStyle name="Normal 4 2 3 4 2 2 2 4" xfId="46385" xr:uid="{00000000-0005-0000-0000-0000419C0000}"/>
    <cellStyle name="Normal 4 2 3 4 2 2 2 5" xfId="17210" xr:uid="{00000000-0005-0000-0000-0000429C0000}"/>
    <cellStyle name="Normal 4 2 3 4 2 2 3" xfId="22073" xr:uid="{00000000-0005-0000-0000-0000439C0000}"/>
    <cellStyle name="Normal 4 2 3 4 2 2 4" xfId="31798" xr:uid="{00000000-0005-0000-0000-0000449C0000}"/>
    <cellStyle name="Normal 4 2 3 4 2 2 5" xfId="41523" xr:uid="{00000000-0005-0000-0000-0000459C0000}"/>
    <cellStyle name="Normal 4 2 3 4 2 2 6" xfId="12348" xr:uid="{00000000-0005-0000-0000-0000469C0000}"/>
    <cellStyle name="Normal 4 2 3 4 2 3" xfId="4242" xr:uid="{00000000-0005-0000-0000-0000479C0000}"/>
    <cellStyle name="Normal 4 2 3 4 2 3 2" xfId="9104" xr:uid="{00000000-0005-0000-0000-0000489C0000}"/>
    <cellStyle name="Normal 4 2 3 4 2 3 2 2" xfId="28555" xr:uid="{00000000-0005-0000-0000-0000499C0000}"/>
    <cellStyle name="Normal 4 2 3 4 2 3 2 3" xfId="38280" xr:uid="{00000000-0005-0000-0000-00004A9C0000}"/>
    <cellStyle name="Normal 4 2 3 4 2 3 2 4" xfId="48005" xr:uid="{00000000-0005-0000-0000-00004B9C0000}"/>
    <cellStyle name="Normal 4 2 3 4 2 3 2 5" xfId="18830" xr:uid="{00000000-0005-0000-0000-00004C9C0000}"/>
    <cellStyle name="Normal 4 2 3 4 2 3 3" xfId="23693" xr:uid="{00000000-0005-0000-0000-00004D9C0000}"/>
    <cellStyle name="Normal 4 2 3 4 2 3 4" xfId="33418" xr:uid="{00000000-0005-0000-0000-00004E9C0000}"/>
    <cellStyle name="Normal 4 2 3 4 2 3 5" xfId="43143" xr:uid="{00000000-0005-0000-0000-00004F9C0000}"/>
    <cellStyle name="Normal 4 2 3 4 2 3 6" xfId="13968" xr:uid="{00000000-0005-0000-0000-0000509C0000}"/>
    <cellStyle name="Normal 4 2 3 4 2 4" xfId="5864" xr:uid="{00000000-0005-0000-0000-0000519C0000}"/>
    <cellStyle name="Normal 4 2 3 4 2 4 2" xfId="25315" xr:uid="{00000000-0005-0000-0000-0000529C0000}"/>
    <cellStyle name="Normal 4 2 3 4 2 4 3" xfId="35040" xr:uid="{00000000-0005-0000-0000-0000539C0000}"/>
    <cellStyle name="Normal 4 2 3 4 2 4 4" xfId="44765" xr:uid="{00000000-0005-0000-0000-0000549C0000}"/>
    <cellStyle name="Normal 4 2 3 4 2 4 5" xfId="15590" xr:uid="{00000000-0005-0000-0000-0000559C0000}"/>
    <cellStyle name="Normal 4 2 3 4 2 5" xfId="20453" xr:uid="{00000000-0005-0000-0000-0000569C0000}"/>
    <cellStyle name="Normal 4 2 3 4 2 6" xfId="30178" xr:uid="{00000000-0005-0000-0000-0000579C0000}"/>
    <cellStyle name="Normal 4 2 3 4 2 7" xfId="39903" xr:uid="{00000000-0005-0000-0000-0000589C0000}"/>
    <cellStyle name="Normal 4 2 3 4 2 8" xfId="10728" xr:uid="{00000000-0005-0000-0000-0000599C0000}"/>
    <cellStyle name="Normal 4 2 3 4 3" xfId="1451" xr:uid="{00000000-0005-0000-0000-00005A9C0000}"/>
    <cellStyle name="Normal 4 2 3 4 3 2" xfId="3072" xr:uid="{00000000-0005-0000-0000-00005B9C0000}"/>
    <cellStyle name="Normal 4 2 3 4 3 2 2" xfId="7934" xr:uid="{00000000-0005-0000-0000-00005C9C0000}"/>
    <cellStyle name="Normal 4 2 3 4 3 2 2 2" xfId="27385" xr:uid="{00000000-0005-0000-0000-00005D9C0000}"/>
    <cellStyle name="Normal 4 2 3 4 3 2 2 3" xfId="37110" xr:uid="{00000000-0005-0000-0000-00005E9C0000}"/>
    <cellStyle name="Normal 4 2 3 4 3 2 2 4" xfId="46835" xr:uid="{00000000-0005-0000-0000-00005F9C0000}"/>
    <cellStyle name="Normal 4 2 3 4 3 2 2 5" xfId="17660" xr:uid="{00000000-0005-0000-0000-0000609C0000}"/>
    <cellStyle name="Normal 4 2 3 4 3 2 3" xfId="22523" xr:uid="{00000000-0005-0000-0000-0000619C0000}"/>
    <cellStyle name="Normal 4 2 3 4 3 2 4" xfId="32248" xr:uid="{00000000-0005-0000-0000-0000629C0000}"/>
    <cellStyle name="Normal 4 2 3 4 3 2 5" xfId="41973" xr:uid="{00000000-0005-0000-0000-0000639C0000}"/>
    <cellStyle name="Normal 4 2 3 4 3 2 6" xfId="12798" xr:uid="{00000000-0005-0000-0000-0000649C0000}"/>
    <cellStyle name="Normal 4 2 3 4 3 3" xfId="4692" xr:uid="{00000000-0005-0000-0000-0000659C0000}"/>
    <cellStyle name="Normal 4 2 3 4 3 3 2" xfId="9554" xr:uid="{00000000-0005-0000-0000-0000669C0000}"/>
    <cellStyle name="Normal 4 2 3 4 3 3 2 2" xfId="29005" xr:uid="{00000000-0005-0000-0000-0000679C0000}"/>
    <cellStyle name="Normal 4 2 3 4 3 3 2 3" xfId="38730" xr:uid="{00000000-0005-0000-0000-0000689C0000}"/>
    <cellStyle name="Normal 4 2 3 4 3 3 2 4" xfId="48455" xr:uid="{00000000-0005-0000-0000-0000699C0000}"/>
    <cellStyle name="Normal 4 2 3 4 3 3 2 5" xfId="19280" xr:uid="{00000000-0005-0000-0000-00006A9C0000}"/>
    <cellStyle name="Normal 4 2 3 4 3 3 3" xfId="24143" xr:uid="{00000000-0005-0000-0000-00006B9C0000}"/>
    <cellStyle name="Normal 4 2 3 4 3 3 4" xfId="33868" xr:uid="{00000000-0005-0000-0000-00006C9C0000}"/>
    <cellStyle name="Normal 4 2 3 4 3 3 5" xfId="43593" xr:uid="{00000000-0005-0000-0000-00006D9C0000}"/>
    <cellStyle name="Normal 4 2 3 4 3 3 6" xfId="14418" xr:uid="{00000000-0005-0000-0000-00006E9C0000}"/>
    <cellStyle name="Normal 4 2 3 4 3 4" xfId="6314" xr:uid="{00000000-0005-0000-0000-00006F9C0000}"/>
    <cellStyle name="Normal 4 2 3 4 3 4 2" xfId="25765" xr:uid="{00000000-0005-0000-0000-0000709C0000}"/>
    <cellStyle name="Normal 4 2 3 4 3 4 3" xfId="35490" xr:uid="{00000000-0005-0000-0000-0000719C0000}"/>
    <cellStyle name="Normal 4 2 3 4 3 4 4" xfId="45215" xr:uid="{00000000-0005-0000-0000-0000729C0000}"/>
    <cellStyle name="Normal 4 2 3 4 3 4 5" xfId="16040" xr:uid="{00000000-0005-0000-0000-0000739C0000}"/>
    <cellStyle name="Normal 4 2 3 4 3 5" xfId="20903" xr:uid="{00000000-0005-0000-0000-0000749C0000}"/>
    <cellStyle name="Normal 4 2 3 4 3 6" xfId="30628" xr:uid="{00000000-0005-0000-0000-0000759C0000}"/>
    <cellStyle name="Normal 4 2 3 4 3 7" xfId="40353" xr:uid="{00000000-0005-0000-0000-0000769C0000}"/>
    <cellStyle name="Normal 4 2 3 4 3 8" xfId="11178" xr:uid="{00000000-0005-0000-0000-0000779C0000}"/>
    <cellStyle name="Normal 4 2 3 4 4" xfId="622" xr:uid="{00000000-0005-0000-0000-0000789C0000}"/>
    <cellStyle name="Normal 4 2 3 4 4 2" xfId="2262" xr:uid="{00000000-0005-0000-0000-0000799C0000}"/>
    <cellStyle name="Normal 4 2 3 4 4 2 2" xfId="7124" xr:uid="{00000000-0005-0000-0000-00007A9C0000}"/>
    <cellStyle name="Normal 4 2 3 4 4 2 2 2" xfId="26575" xr:uid="{00000000-0005-0000-0000-00007B9C0000}"/>
    <cellStyle name="Normal 4 2 3 4 4 2 2 3" xfId="36300" xr:uid="{00000000-0005-0000-0000-00007C9C0000}"/>
    <cellStyle name="Normal 4 2 3 4 4 2 2 4" xfId="46025" xr:uid="{00000000-0005-0000-0000-00007D9C0000}"/>
    <cellStyle name="Normal 4 2 3 4 4 2 2 5" xfId="16850" xr:uid="{00000000-0005-0000-0000-00007E9C0000}"/>
    <cellStyle name="Normal 4 2 3 4 4 2 3" xfId="21713" xr:uid="{00000000-0005-0000-0000-00007F9C0000}"/>
    <cellStyle name="Normal 4 2 3 4 4 2 4" xfId="31438" xr:uid="{00000000-0005-0000-0000-0000809C0000}"/>
    <cellStyle name="Normal 4 2 3 4 4 2 5" xfId="41163" xr:uid="{00000000-0005-0000-0000-0000819C0000}"/>
    <cellStyle name="Normal 4 2 3 4 4 2 6" xfId="11988" xr:uid="{00000000-0005-0000-0000-0000829C0000}"/>
    <cellStyle name="Normal 4 2 3 4 4 3" xfId="3882" xr:uid="{00000000-0005-0000-0000-0000839C0000}"/>
    <cellStyle name="Normal 4 2 3 4 4 3 2" xfId="8744" xr:uid="{00000000-0005-0000-0000-0000849C0000}"/>
    <cellStyle name="Normal 4 2 3 4 4 3 2 2" xfId="28195" xr:uid="{00000000-0005-0000-0000-0000859C0000}"/>
    <cellStyle name="Normal 4 2 3 4 4 3 2 3" xfId="37920" xr:uid="{00000000-0005-0000-0000-0000869C0000}"/>
    <cellStyle name="Normal 4 2 3 4 4 3 2 4" xfId="47645" xr:uid="{00000000-0005-0000-0000-0000879C0000}"/>
    <cellStyle name="Normal 4 2 3 4 4 3 2 5" xfId="18470" xr:uid="{00000000-0005-0000-0000-0000889C0000}"/>
    <cellStyle name="Normal 4 2 3 4 4 3 3" xfId="23333" xr:uid="{00000000-0005-0000-0000-0000899C0000}"/>
    <cellStyle name="Normal 4 2 3 4 4 3 4" xfId="33058" xr:uid="{00000000-0005-0000-0000-00008A9C0000}"/>
    <cellStyle name="Normal 4 2 3 4 4 3 5" xfId="42783" xr:uid="{00000000-0005-0000-0000-00008B9C0000}"/>
    <cellStyle name="Normal 4 2 3 4 4 3 6" xfId="13608" xr:uid="{00000000-0005-0000-0000-00008C9C0000}"/>
    <cellStyle name="Normal 4 2 3 4 4 4" xfId="5504" xr:uid="{00000000-0005-0000-0000-00008D9C0000}"/>
    <cellStyle name="Normal 4 2 3 4 4 4 2" xfId="24955" xr:uid="{00000000-0005-0000-0000-00008E9C0000}"/>
    <cellStyle name="Normal 4 2 3 4 4 4 3" xfId="34680" xr:uid="{00000000-0005-0000-0000-00008F9C0000}"/>
    <cellStyle name="Normal 4 2 3 4 4 4 4" xfId="44405" xr:uid="{00000000-0005-0000-0000-0000909C0000}"/>
    <cellStyle name="Normal 4 2 3 4 4 4 5" xfId="15230" xr:uid="{00000000-0005-0000-0000-0000919C0000}"/>
    <cellStyle name="Normal 4 2 3 4 4 5" xfId="20093" xr:uid="{00000000-0005-0000-0000-0000929C0000}"/>
    <cellStyle name="Normal 4 2 3 4 4 6" xfId="29818" xr:uid="{00000000-0005-0000-0000-0000939C0000}"/>
    <cellStyle name="Normal 4 2 3 4 4 7" xfId="39543" xr:uid="{00000000-0005-0000-0000-0000949C0000}"/>
    <cellStyle name="Normal 4 2 3 4 4 8" xfId="10368" xr:uid="{00000000-0005-0000-0000-0000959C0000}"/>
    <cellStyle name="Normal 4 2 3 4 5" xfId="1902" xr:uid="{00000000-0005-0000-0000-0000969C0000}"/>
    <cellStyle name="Normal 4 2 3 4 5 2" xfId="6764" xr:uid="{00000000-0005-0000-0000-0000979C0000}"/>
    <cellStyle name="Normal 4 2 3 4 5 2 2" xfId="26215" xr:uid="{00000000-0005-0000-0000-0000989C0000}"/>
    <cellStyle name="Normal 4 2 3 4 5 2 3" xfId="35940" xr:uid="{00000000-0005-0000-0000-0000999C0000}"/>
    <cellStyle name="Normal 4 2 3 4 5 2 4" xfId="45665" xr:uid="{00000000-0005-0000-0000-00009A9C0000}"/>
    <cellStyle name="Normal 4 2 3 4 5 2 5" xfId="16490" xr:uid="{00000000-0005-0000-0000-00009B9C0000}"/>
    <cellStyle name="Normal 4 2 3 4 5 3" xfId="21353" xr:uid="{00000000-0005-0000-0000-00009C9C0000}"/>
    <cellStyle name="Normal 4 2 3 4 5 4" xfId="31078" xr:uid="{00000000-0005-0000-0000-00009D9C0000}"/>
    <cellStyle name="Normal 4 2 3 4 5 5" xfId="40803" xr:uid="{00000000-0005-0000-0000-00009E9C0000}"/>
    <cellStyle name="Normal 4 2 3 4 5 6" xfId="11628" xr:uid="{00000000-0005-0000-0000-00009F9C0000}"/>
    <cellStyle name="Normal 4 2 3 4 6" xfId="3522" xr:uid="{00000000-0005-0000-0000-0000A09C0000}"/>
    <cellStyle name="Normal 4 2 3 4 6 2" xfId="8384" xr:uid="{00000000-0005-0000-0000-0000A19C0000}"/>
    <cellStyle name="Normal 4 2 3 4 6 2 2" xfId="27835" xr:uid="{00000000-0005-0000-0000-0000A29C0000}"/>
    <cellStyle name="Normal 4 2 3 4 6 2 3" xfId="37560" xr:uid="{00000000-0005-0000-0000-0000A39C0000}"/>
    <cellStyle name="Normal 4 2 3 4 6 2 4" xfId="47285" xr:uid="{00000000-0005-0000-0000-0000A49C0000}"/>
    <cellStyle name="Normal 4 2 3 4 6 2 5" xfId="18110" xr:uid="{00000000-0005-0000-0000-0000A59C0000}"/>
    <cellStyle name="Normal 4 2 3 4 6 3" xfId="22973" xr:uid="{00000000-0005-0000-0000-0000A69C0000}"/>
    <cellStyle name="Normal 4 2 3 4 6 4" xfId="32698" xr:uid="{00000000-0005-0000-0000-0000A79C0000}"/>
    <cellStyle name="Normal 4 2 3 4 6 5" xfId="42423" xr:uid="{00000000-0005-0000-0000-0000A89C0000}"/>
    <cellStyle name="Normal 4 2 3 4 6 6" xfId="13248" xr:uid="{00000000-0005-0000-0000-0000A99C0000}"/>
    <cellStyle name="Normal 4 2 3 4 7" xfId="5144" xr:uid="{00000000-0005-0000-0000-0000AA9C0000}"/>
    <cellStyle name="Normal 4 2 3 4 7 2" xfId="24595" xr:uid="{00000000-0005-0000-0000-0000AB9C0000}"/>
    <cellStyle name="Normal 4 2 3 4 7 3" xfId="34320" xr:uid="{00000000-0005-0000-0000-0000AC9C0000}"/>
    <cellStyle name="Normal 4 2 3 4 7 4" xfId="44045" xr:uid="{00000000-0005-0000-0000-0000AD9C0000}"/>
    <cellStyle name="Normal 4 2 3 4 7 5" xfId="14870" xr:uid="{00000000-0005-0000-0000-0000AE9C0000}"/>
    <cellStyle name="Normal 4 2 3 4 8" xfId="19733" xr:uid="{00000000-0005-0000-0000-0000AF9C0000}"/>
    <cellStyle name="Normal 4 2 3 4 9" xfId="29458" xr:uid="{00000000-0005-0000-0000-0000B09C0000}"/>
    <cellStyle name="Normal 4 2 3 5" xfId="893" xr:uid="{00000000-0005-0000-0000-0000B19C0000}"/>
    <cellStyle name="Normal 4 2 3 5 2" xfId="2532" xr:uid="{00000000-0005-0000-0000-0000B29C0000}"/>
    <cellStyle name="Normal 4 2 3 5 2 2" xfId="7394" xr:uid="{00000000-0005-0000-0000-0000B39C0000}"/>
    <cellStyle name="Normal 4 2 3 5 2 2 2" xfId="26845" xr:uid="{00000000-0005-0000-0000-0000B49C0000}"/>
    <cellStyle name="Normal 4 2 3 5 2 2 3" xfId="36570" xr:uid="{00000000-0005-0000-0000-0000B59C0000}"/>
    <cellStyle name="Normal 4 2 3 5 2 2 4" xfId="46295" xr:uid="{00000000-0005-0000-0000-0000B69C0000}"/>
    <cellStyle name="Normal 4 2 3 5 2 2 5" xfId="17120" xr:uid="{00000000-0005-0000-0000-0000B79C0000}"/>
    <cellStyle name="Normal 4 2 3 5 2 3" xfId="21983" xr:uid="{00000000-0005-0000-0000-0000B89C0000}"/>
    <cellStyle name="Normal 4 2 3 5 2 4" xfId="31708" xr:uid="{00000000-0005-0000-0000-0000B99C0000}"/>
    <cellStyle name="Normal 4 2 3 5 2 5" xfId="41433" xr:uid="{00000000-0005-0000-0000-0000BA9C0000}"/>
    <cellStyle name="Normal 4 2 3 5 2 6" xfId="12258" xr:uid="{00000000-0005-0000-0000-0000BB9C0000}"/>
    <cellStyle name="Normal 4 2 3 5 3" xfId="4152" xr:uid="{00000000-0005-0000-0000-0000BC9C0000}"/>
    <cellStyle name="Normal 4 2 3 5 3 2" xfId="9014" xr:uid="{00000000-0005-0000-0000-0000BD9C0000}"/>
    <cellStyle name="Normal 4 2 3 5 3 2 2" xfId="28465" xr:uid="{00000000-0005-0000-0000-0000BE9C0000}"/>
    <cellStyle name="Normal 4 2 3 5 3 2 3" xfId="38190" xr:uid="{00000000-0005-0000-0000-0000BF9C0000}"/>
    <cellStyle name="Normal 4 2 3 5 3 2 4" xfId="47915" xr:uid="{00000000-0005-0000-0000-0000C09C0000}"/>
    <cellStyle name="Normal 4 2 3 5 3 2 5" xfId="18740" xr:uid="{00000000-0005-0000-0000-0000C19C0000}"/>
    <cellStyle name="Normal 4 2 3 5 3 3" xfId="23603" xr:uid="{00000000-0005-0000-0000-0000C29C0000}"/>
    <cellStyle name="Normal 4 2 3 5 3 4" xfId="33328" xr:uid="{00000000-0005-0000-0000-0000C39C0000}"/>
    <cellStyle name="Normal 4 2 3 5 3 5" xfId="43053" xr:uid="{00000000-0005-0000-0000-0000C49C0000}"/>
    <cellStyle name="Normal 4 2 3 5 3 6" xfId="13878" xr:uid="{00000000-0005-0000-0000-0000C59C0000}"/>
    <cellStyle name="Normal 4 2 3 5 4" xfId="5774" xr:uid="{00000000-0005-0000-0000-0000C69C0000}"/>
    <cellStyle name="Normal 4 2 3 5 4 2" xfId="25225" xr:uid="{00000000-0005-0000-0000-0000C79C0000}"/>
    <cellStyle name="Normal 4 2 3 5 4 3" xfId="34950" xr:uid="{00000000-0005-0000-0000-0000C89C0000}"/>
    <cellStyle name="Normal 4 2 3 5 4 4" xfId="44675" xr:uid="{00000000-0005-0000-0000-0000C99C0000}"/>
    <cellStyle name="Normal 4 2 3 5 4 5" xfId="15500" xr:uid="{00000000-0005-0000-0000-0000CA9C0000}"/>
    <cellStyle name="Normal 4 2 3 5 5" xfId="20363" xr:uid="{00000000-0005-0000-0000-0000CB9C0000}"/>
    <cellStyle name="Normal 4 2 3 5 6" xfId="30088" xr:uid="{00000000-0005-0000-0000-0000CC9C0000}"/>
    <cellStyle name="Normal 4 2 3 5 7" xfId="39813" xr:uid="{00000000-0005-0000-0000-0000CD9C0000}"/>
    <cellStyle name="Normal 4 2 3 5 8" xfId="10638" xr:uid="{00000000-0005-0000-0000-0000CE9C0000}"/>
    <cellStyle name="Normal 4 2 3 6" xfId="1271" xr:uid="{00000000-0005-0000-0000-0000CF9C0000}"/>
    <cellStyle name="Normal 4 2 3 6 2" xfId="2892" xr:uid="{00000000-0005-0000-0000-0000D09C0000}"/>
    <cellStyle name="Normal 4 2 3 6 2 2" xfId="7754" xr:uid="{00000000-0005-0000-0000-0000D19C0000}"/>
    <cellStyle name="Normal 4 2 3 6 2 2 2" xfId="27205" xr:uid="{00000000-0005-0000-0000-0000D29C0000}"/>
    <cellStyle name="Normal 4 2 3 6 2 2 3" xfId="36930" xr:uid="{00000000-0005-0000-0000-0000D39C0000}"/>
    <cellStyle name="Normal 4 2 3 6 2 2 4" xfId="46655" xr:uid="{00000000-0005-0000-0000-0000D49C0000}"/>
    <cellStyle name="Normal 4 2 3 6 2 2 5" xfId="17480" xr:uid="{00000000-0005-0000-0000-0000D59C0000}"/>
    <cellStyle name="Normal 4 2 3 6 2 3" xfId="22343" xr:uid="{00000000-0005-0000-0000-0000D69C0000}"/>
    <cellStyle name="Normal 4 2 3 6 2 4" xfId="32068" xr:uid="{00000000-0005-0000-0000-0000D79C0000}"/>
    <cellStyle name="Normal 4 2 3 6 2 5" xfId="41793" xr:uid="{00000000-0005-0000-0000-0000D89C0000}"/>
    <cellStyle name="Normal 4 2 3 6 2 6" xfId="12618" xr:uid="{00000000-0005-0000-0000-0000D99C0000}"/>
    <cellStyle name="Normal 4 2 3 6 3" xfId="4512" xr:uid="{00000000-0005-0000-0000-0000DA9C0000}"/>
    <cellStyle name="Normal 4 2 3 6 3 2" xfId="9374" xr:uid="{00000000-0005-0000-0000-0000DB9C0000}"/>
    <cellStyle name="Normal 4 2 3 6 3 2 2" xfId="28825" xr:uid="{00000000-0005-0000-0000-0000DC9C0000}"/>
    <cellStyle name="Normal 4 2 3 6 3 2 3" xfId="38550" xr:uid="{00000000-0005-0000-0000-0000DD9C0000}"/>
    <cellStyle name="Normal 4 2 3 6 3 2 4" xfId="48275" xr:uid="{00000000-0005-0000-0000-0000DE9C0000}"/>
    <cellStyle name="Normal 4 2 3 6 3 2 5" xfId="19100" xr:uid="{00000000-0005-0000-0000-0000DF9C0000}"/>
    <cellStyle name="Normal 4 2 3 6 3 3" xfId="23963" xr:uid="{00000000-0005-0000-0000-0000E09C0000}"/>
    <cellStyle name="Normal 4 2 3 6 3 4" xfId="33688" xr:uid="{00000000-0005-0000-0000-0000E19C0000}"/>
    <cellStyle name="Normal 4 2 3 6 3 5" xfId="43413" xr:uid="{00000000-0005-0000-0000-0000E29C0000}"/>
    <cellStyle name="Normal 4 2 3 6 3 6" xfId="14238" xr:uid="{00000000-0005-0000-0000-0000E39C0000}"/>
    <cellStyle name="Normal 4 2 3 6 4" xfId="6134" xr:uid="{00000000-0005-0000-0000-0000E49C0000}"/>
    <cellStyle name="Normal 4 2 3 6 4 2" xfId="25585" xr:uid="{00000000-0005-0000-0000-0000E59C0000}"/>
    <cellStyle name="Normal 4 2 3 6 4 3" xfId="35310" xr:uid="{00000000-0005-0000-0000-0000E69C0000}"/>
    <cellStyle name="Normal 4 2 3 6 4 4" xfId="45035" xr:uid="{00000000-0005-0000-0000-0000E79C0000}"/>
    <cellStyle name="Normal 4 2 3 6 4 5" xfId="15860" xr:uid="{00000000-0005-0000-0000-0000E89C0000}"/>
    <cellStyle name="Normal 4 2 3 6 5" xfId="20723" xr:uid="{00000000-0005-0000-0000-0000E99C0000}"/>
    <cellStyle name="Normal 4 2 3 6 6" xfId="30448" xr:uid="{00000000-0005-0000-0000-0000EA9C0000}"/>
    <cellStyle name="Normal 4 2 3 6 7" xfId="40173" xr:uid="{00000000-0005-0000-0000-0000EB9C0000}"/>
    <cellStyle name="Normal 4 2 3 6 8" xfId="10998" xr:uid="{00000000-0005-0000-0000-0000EC9C0000}"/>
    <cellStyle name="Normal 4 2 3 7" xfId="1361" xr:uid="{00000000-0005-0000-0000-0000ED9C0000}"/>
    <cellStyle name="Normal 4 2 3 7 2" xfId="2982" xr:uid="{00000000-0005-0000-0000-0000EE9C0000}"/>
    <cellStyle name="Normal 4 2 3 7 2 2" xfId="7844" xr:uid="{00000000-0005-0000-0000-0000EF9C0000}"/>
    <cellStyle name="Normal 4 2 3 7 2 2 2" xfId="27295" xr:uid="{00000000-0005-0000-0000-0000F09C0000}"/>
    <cellStyle name="Normal 4 2 3 7 2 2 3" xfId="37020" xr:uid="{00000000-0005-0000-0000-0000F19C0000}"/>
    <cellStyle name="Normal 4 2 3 7 2 2 4" xfId="46745" xr:uid="{00000000-0005-0000-0000-0000F29C0000}"/>
    <cellStyle name="Normal 4 2 3 7 2 2 5" xfId="17570" xr:uid="{00000000-0005-0000-0000-0000F39C0000}"/>
    <cellStyle name="Normal 4 2 3 7 2 3" xfId="22433" xr:uid="{00000000-0005-0000-0000-0000F49C0000}"/>
    <cellStyle name="Normal 4 2 3 7 2 4" xfId="32158" xr:uid="{00000000-0005-0000-0000-0000F59C0000}"/>
    <cellStyle name="Normal 4 2 3 7 2 5" xfId="41883" xr:uid="{00000000-0005-0000-0000-0000F69C0000}"/>
    <cellStyle name="Normal 4 2 3 7 2 6" xfId="12708" xr:uid="{00000000-0005-0000-0000-0000F79C0000}"/>
    <cellStyle name="Normal 4 2 3 7 3" xfId="4602" xr:uid="{00000000-0005-0000-0000-0000F89C0000}"/>
    <cellStyle name="Normal 4 2 3 7 3 2" xfId="9464" xr:uid="{00000000-0005-0000-0000-0000F99C0000}"/>
    <cellStyle name="Normal 4 2 3 7 3 2 2" xfId="28915" xr:uid="{00000000-0005-0000-0000-0000FA9C0000}"/>
    <cellStyle name="Normal 4 2 3 7 3 2 3" xfId="38640" xr:uid="{00000000-0005-0000-0000-0000FB9C0000}"/>
    <cellStyle name="Normal 4 2 3 7 3 2 4" xfId="48365" xr:uid="{00000000-0005-0000-0000-0000FC9C0000}"/>
    <cellStyle name="Normal 4 2 3 7 3 2 5" xfId="19190" xr:uid="{00000000-0005-0000-0000-0000FD9C0000}"/>
    <cellStyle name="Normal 4 2 3 7 3 3" xfId="24053" xr:uid="{00000000-0005-0000-0000-0000FE9C0000}"/>
    <cellStyle name="Normal 4 2 3 7 3 4" xfId="33778" xr:uid="{00000000-0005-0000-0000-0000FF9C0000}"/>
    <cellStyle name="Normal 4 2 3 7 3 5" xfId="43503" xr:uid="{00000000-0005-0000-0000-0000009D0000}"/>
    <cellStyle name="Normal 4 2 3 7 3 6" xfId="14328" xr:uid="{00000000-0005-0000-0000-0000019D0000}"/>
    <cellStyle name="Normal 4 2 3 7 4" xfId="6224" xr:uid="{00000000-0005-0000-0000-0000029D0000}"/>
    <cellStyle name="Normal 4 2 3 7 4 2" xfId="25675" xr:uid="{00000000-0005-0000-0000-0000039D0000}"/>
    <cellStyle name="Normal 4 2 3 7 4 3" xfId="35400" xr:uid="{00000000-0005-0000-0000-0000049D0000}"/>
    <cellStyle name="Normal 4 2 3 7 4 4" xfId="45125" xr:uid="{00000000-0005-0000-0000-0000059D0000}"/>
    <cellStyle name="Normal 4 2 3 7 4 5" xfId="15950" xr:uid="{00000000-0005-0000-0000-0000069D0000}"/>
    <cellStyle name="Normal 4 2 3 7 5" xfId="20813" xr:uid="{00000000-0005-0000-0000-0000079D0000}"/>
    <cellStyle name="Normal 4 2 3 7 6" xfId="30538" xr:uid="{00000000-0005-0000-0000-0000089D0000}"/>
    <cellStyle name="Normal 4 2 3 7 7" xfId="40263" xr:uid="{00000000-0005-0000-0000-0000099D0000}"/>
    <cellStyle name="Normal 4 2 3 7 8" xfId="11088" xr:uid="{00000000-0005-0000-0000-00000A9D0000}"/>
    <cellStyle name="Normal 4 2 3 8" xfId="532" xr:uid="{00000000-0005-0000-0000-00000B9D0000}"/>
    <cellStyle name="Normal 4 2 3 8 2" xfId="2172" xr:uid="{00000000-0005-0000-0000-00000C9D0000}"/>
    <cellStyle name="Normal 4 2 3 8 2 2" xfId="7034" xr:uid="{00000000-0005-0000-0000-00000D9D0000}"/>
    <cellStyle name="Normal 4 2 3 8 2 2 2" xfId="26485" xr:uid="{00000000-0005-0000-0000-00000E9D0000}"/>
    <cellStyle name="Normal 4 2 3 8 2 2 3" xfId="36210" xr:uid="{00000000-0005-0000-0000-00000F9D0000}"/>
    <cellStyle name="Normal 4 2 3 8 2 2 4" xfId="45935" xr:uid="{00000000-0005-0000-0000-0000109D0000}"/>
    <cellStyle name="Normal 4 2 3 8 2 2 5" xfId="16760" xr:uid="{00000000-0005-0000-0000-0000119D0000}"/>
    <cellStyle name="Normal 4 2 3 8 2 3" xfId="21623" xr:uid="{00000000-0005-0000-0000-0000129D0000}"/>
    <cellStyle name="Normal 4 2 3 8 2 4" xfId="31348" xr:uid="{00000000-0005-0000-0000-0000139D0000}"/>
    <cellStyle name="Normal 4 2 3 8 2 5" xfId="41073" xr:uid="{00000000-0005-0000-0000-0000149D0000}"/>
    <cellStyle name="Normal 4 2 3 8 2 6" xfId="11898" xr:uid="{00000000-0005-0000-0000-0000159D0000}"/>
    <cellStyle name="Normal 4 2 3 8 3" xfId="3792" xr:uid="{00000000-0005-0000-0000-0000169D0000}"/>
    <cellStyle name="Normal 4 2 3 8 3 2" xfId="8654" xr:uid="{00000000-0005-0000-0000-0000179D0000}"/>
    <cellStyle name="Normal 4 2 3 8 3 2 2" xfId="28105" xr:uid="{00000000-0005-0000-0000-0000189D0000}"/>
    <cellStyle name="Normal 4 2 3 8 3 2 3" xfId="37830" xr:uid="{00000000-0005-0000-0000-0000199D0000}"/>
    <cellStyle name="Normal 4 2 3 8 3 2 4" xfId="47555" xr:uid="{00000000-0005-0000-0000-00001A9D0000}"/>
    <cellStyle name="Normal 4 2 3 8 3 2 5" xfId="18380" xr:uid="{00000000-0005-0000-0000-00001B9D0000}"/>
    <cellStyle name="Normal 4 2 3 8 3 3" xfId="23243" xr:uid="{00000000-0005-0000-0000-00001C9D0000}"/>
    <cellStyle name="Normal 4 2 3 8 3 4" xfId="32968" xr:uid="{00000000-0005-0000-0000-00001D9D0000}"/>
    <cellStyle name="Normal 4 2 3 8 3 5" xfId="42693" xr:uid="{00000000-0005-0000-0000-00001E9D0000}"/>
    <cellStyle name="Normal 4 2 3 8 3 6" xfId="13518" xr:uid="{00000000-0005-0000-0000-00001F9D0000}"/>
    <cellStyle name="Normal 4 2 3 8 4" xfId="5414" xr:uid="{00000000-0005-0000-0000-0000209D0000}"/>
    <cellStyle name="Normal 4 2 3 8 4 2" xfId="24865" xr:uid="{00000000-0005-0000-0000-0000219D0000}"/>
    <cellStyle name="Normal 4 2 3 8 4 3" xfId="34590" xr:uid="{00000000-0005-0000-0000-0000229D0000}"/>
    <cellStyle name="Normal 4 2 3 8 4 4" xfId="44315" xr:uid="{00000000-0005-0000-0000-0000239D0000}"/>
    <cellStyle name="Normal 4 2 3 8 4 5" xfId="15140" xr:uid="{00000000-0005-0000-0000-0000249D0000}"/>
    <cellStyle name="Normal 4 2 3 8 5" xfId="20003" xr:uid="{00000000-0005-0000-0000-0000259D0000}"/>
    <cellStyle name="Normal 4 2 3 8 6" xfId="29728" xr:uid="{00000000-0005-0000-0000-0000269D0000}"/>
    <cellStyle name="Normal 4 2 3 8 7" xfId="39453" xr:uid="{00000000-0005-0000-0000-0000279D0000}"/>
    <cellStyle name="Normal 4 2 3 8 8" xfId="10278" xr:uid="{00000000-0005-0000-0000-0000289D0000}"/>
    <cellStyle name="Normal 4 2 3 9" xfId="1721" xr:uid="{00000000-0005-0000-0000-0000299D0000}"/>
    <cellStyle name="Normal 4 2 3 9 2" xfId="3342" xr:uid="{00000000-0005-0000-0000-00002A9D0000}"/>
    <cellStyle name="Normal 4 2 3 9 2 2" xfId="8204" xr:uid="{00000000-0005-0000-0000-00002B9D0000}"/>
    <cellStyle name="Normal 4 2 3 9 2 2 2" xfId="27655" xr:uid="{00000000-0005-0000-0000-00002C9D0000}"/>
    <cellStyle name="Normal 4 2 3 9 2 2 3" xfId="37380" xr:uid="{00000000-0005-0000-0000-00002D9D0000}"/>
    <cellStyle name="Normal 4 2 3 9 2 2 4" xfId="47105" xr:uid="{00000000-0005-0000-0000-00002E9D0000}"/>
    <cellStyle name="Normal 4 2 3 9 2 2 5" xfId="17930" xr:uid="{00000000-0005-0000-0000-00002F9D0000}"/>
    <cellStyle name="Normal 4 2 3 9 2 3" xfId="22793" xr:uid="{00000000-0005-0000-0000-0000309D0000}"/>
    <cellStyle name="Normal 4 2 3 9 2 4" xfId="32518" xr:uid="{00000000-0005-0000-0000-0000319D0000}"/>
    <cellStyle name="Normal 4 2 3 9 2 5" xfId="42243" xr:uid="{00000000-0005-0000-0000-0000329D0000}"/>
    <cellStyle name="Normal 4 2 3 9 2 6" xfId="13068" xr:uid="{00000000-0005-0000-0000-0000339D0000}"/>
    <cellStyle name="Normal 4 2 3 9 3" xfId="4962" xr:uid="{00000000-0005-0000-0000-0000349D0000}"/>
    <cellStyle name="Normal 4 2 3 9 3 2" xfId="9824" xr:uid="{00000000-0005-0000-0000-0000359D0000}"/>
    <cellStyle name="Normal 4 2 3 9 3 2 2" xfId="29275" xr:uid="{00000000-0005-0000-0000-0000369D0000}"/>
    <cellStyle name="Normal 4 2 3 9 3 2 3" xfId="39000" xr:uid="{00000000-0005-0000-0000-0000379D0000}"/>
    <cellStyle name="Normal 4 2 3 9 3 2 4" xfId="48725" xr:uid="{00000000-0005-0000-0000-0000389D0000}"/>
    <cellStyle name="Normal 4 2 3 9 3 2 5" xfId="19550" xr:uid="{00000000-0005-0000-0000-0000399D0000}"/>
    <cellStyle name="Normal 4 2 3 9 3 3" xfId="24413" xr:uid="{00000000-0005-0000-0000-00003A9D0000}"/>
    <cellStyle name="Normal 4 2 3 9 3 4" xfId="34138" xr:uid="{00000000-0005-0000-0000-00003B9D0000}"/>
    <cellStyle name="Normal 4 2 3 9 3 5" xfId="43863" xr:uid="{00000000-0005-0000-0000-00003C9D0000}"/>
    <cellStyle name="Normal 4 2 3 9 3 6" xfId="14688" xr:uid="{00000000-0005-0000-0000-00003D9D0000}"/>
    <cellStyle name="Normal 4 2 3 9 4" xfId="6584" xr:uid="{00000000-0005-0000-0000-00003E9D0000}"/>
    <cellStyle name="Normal 4 2 3 9 4 2" xfId="26035" xr:uid="{00000000-0005-0000-0000-00003F9D0000}"/>
    <cellStyle name="Normal 4 2 3 9 4 3" xfId="35760" xr:uid="{00000000-0005-0000-0000-0000409D0000}"/>
    <cellStyle name="Normal 4 2 3 9 4 4" xfId="45485" xr:uid="{00000000-0005-0000-0000-0000419D0000}"/>
    <cellStyle name="Normal 4 2 3 9 4 5" xfId="16310" xr:uid="{00000000-0005-0000-0000-0000429D0000}"/>
    <cellStyle name="Normal 4 2 3 9 5" xfId="21173" xr:uid="{00000000-0005-0000-0000-0000439D0000}"/>
    <cellStyle name="Normal 4 2 3 9 6" xfId="30898" xr:uid="{00000000-0005-0000-0000-0000449D0000}"/>
    <cellStyle name="Normal 4 2 3 9 7" xfId="40623" xr:uid="{00000000-0005-0000-0000-0000459D0000}"/>
    <cellStyle name="Normal 4 2 3 9 8" xfId="11448" xr:uid="{00000000-0005-0000-0000-0000469D0000}"/>
    <cellStyle name="Normal 4 2 4" xfId="250" xr:uid="{00000000-0005-0000-0000-0000479D0000}"/>
    <cellStyle name="Normal 4 2 4 10" xfId="39213" xr:uid="{00000000-0005-0000-0000-0000489D0000}"/>
    <cellStyle name="Normal 4 2 4 11" xfId="10038" xr:uid="{00000000-0005-0000-0000-0000499D0000}"/>
    <cellStyle name="Normal 4 2 4 2" xfId="1014" xr:uid="{00000000-0005-0000-0000-00004A9D0000}"/>
    <cellStyle name="Normal 4 2 4 2 2" xfId="2652" xr:uid="{00000000-0005-0000-0000-00004B9D0000}"/>
    <cellStyle name="Normal 4 2 4 2 2 2" xfId="7514" xr:uid="{00000000-0005-0000-0000-00004C9D0000}"/>
    <cellStyle name="Normal 4 2 4 2 2 2 2" xfId="26965" xr:uid="{00000000-0005-0000-0000-00004D9D0000}"/>
    <cellStyle name="Normal 4 2 4 2 2 2 3" xfId="36690" xr:uid="{00000000-0005-0000-0000-00004E9D0000}"/>
    <cellStyle name="Normal 4 2 4 2 2 2 4" xfId="46415" xr:uid="{00000000-0005-0000-0000-00004F9D0000}"/>
    <cellStyle name="Normal 4 2 4 2 2 2 5" xfId="17240" xr:uid="{00000000-0005-0000-0000-0000509D0000}"/>
    <cellStyle name="Normal 4 2 4 2 2 3" xfId="22103" xr:uid="{00000000-0005-0000-0000-0000519D0000}"/>
    <cellStyle name="Normal 4 2 4 2 2 4" xfId="31828" xr:uid="{00000000-0005-0000-0000-0000529D0000}"/>
    <cellStyle name="Normal 4 2 4 2 2 5" xfId="41553" xr:uid="{00000000-0005-0000-0000-0000539D0000}"/>
    <cellStyle name="Normal 4 2 4 2 2 6" xfId="12378" xr:uid="{00000000-0005-0000-0000-0000549D0000}"/>
    <cellStyle name="Normal 4 2 4 2 3" xfId="4272" xr:uid="{00000000-0005-0000-0000-0000559D0000}"/>
    <cellStyle name="Normal 4 2 4 2 3 2" xfId="9134" xr:uid="{00000000-0005-0000-0000-0000569D0000}"/>
    <cellStyle name="Normal 4 2 4 2 3 2 2" xfId="28585" xr:uid="{00000000-0005-0000-0000-0000579D0000}"/>
    <cellStyle name="Normal 4 2 4 2 3 2 3" xfId="38310" xr:uid="{00000000-0005-0000-0000-0000589D0000}"/>
    <cellStyle name="Normal 4 2 4 2 3 2 4" xfId="48035" xr:uid="{00000000-0005-0000-0000-0000599D0000}"/>
    <cellStyle name="Normal 4 2 4 2 3 2 5" xfId="18860" xr:uid="{00000000-0005-0000-0000-00005A9D0000}"/>
    <cellStyle name="Normal 4 2 4 2 3 3" xfId="23723" xr:uid="{00000000-0005-0000-0000-00005B9D0000}"/>
    <cellStyle name="Normal 4 2 4 2 3 4" xfId="33448" xr:uid="{00000000-0005-0000-0000-00005C9D0000}"/>
    <cellStyle name="Normal 4 2 4 2 3 5" xfId="43173" xr:uid="{00000000-0005-0000-0000-00005D9D0000}"/>
    <cellStyle name="Normal 4 2 4 2 3 6" xfId="13998" xr:uid="{00000000-0005-0000-0000-00005E9D0000}"/>
    <cellStyle name="Normal 4 2 4 2 4" xfId="5894" xr:uid="{00000000-0005-0000-0000-00005F9D0000}"/>
    <cellStyle name="Normal 4 2 4 2 4 2" xfId="25345" xr:uid="{00000000-0005-0000-0000-0000609D0000}"/>
    <cellStyle name="Normal 4 2 4 2 4 3" xfId="35070" xr:uid="{00000000-0005-0000-0000-0000619D0000}"/>
    <cellStyle name="Normal 4 2 4 2 4 4" xfId="44795" xr:uid="{00000000-0005-0000-0000-0000629D0000}"/>
    <cellStyle name="Normal 4 2 4 2 4 5" xfId="15620" xr:uid="{00000000-0005-0000-0000-0000639D0000}"/>
    <cellStyle name="Normal 4 2 4 2 5" xfId="20483" xr:uid="{00000000-0005-0000-0000-0000649D0000}"/>
    <cellStyle name="Normal 4 2 4 2 6" xfId="30208" xr:uid="{00000000-0005-0000-0000-0000659D0000}"/>
    <cellStyle name="Normal 4 2 4 2 7" xfId="39933" xr:uid="{00000000-0005-0000-0000-0000669D0000}"/>
    <cellStyle name="Normal 4 2 4 2 8" xfId="10758" xr:uid="{00000000-0005-0000-0000-0000679D0000}"/>
    <cellStyle name="Normal 4 2 4 3" xfId="1481" xr:uid="{00000000-0005-0000-0000-0000689D0000}"/>
    <cellStyle name="Normal 4 2 4 3 2" xfId="3102" xr:uid="{00000000-0005-0000-0000-0000699D0000}"/>
    <cellStyle name="Normal 4 2 4 3 2 2" xfId="7964" xr:uid="{00000000-0005-0000-0000-00006A9D0000}"/>
    <cellStyle name="Normal 4 2 4 3 2 2 2" xfId="27415" xr:uid="{00000000-0005-0000-0000-00006B9D0000}"/>
    <cellStyle name="Normal 4 2 4 3 2 2 3" xfId="37140" xr:uid="{00000000-0005-0000-0000-00006C9D0000}"/>
    <cellStyle name="Normal 4 2 4 3 2 2 4" xfId="46865" xr:uid="{00000000-0005-0000-0000-00006D9D0000}"/>
    <cellStyle name="Normal 4 2 4 3 2 2 5" xfId="17690" xr:uid="{00000000-0005-0000-0000-00006E9D0000}"/>
    <cellStyle name="Normal 4 2 4 3 2 3" xfId="22553" xr:uid="{00000000-0005-0000-0000-00006F9D0000}"/>
    <cellStyle name="Normal 4 2 4 3 2 4" xfId="32278" xr:uid="{00000000-0005-0000-0000-0000709D0000}"/>
    <cellStyle name="Normal 4 2 4 3 2 5" xfId="42003" xr:uid="{00000000-0005-0000-0000-0000719D0000}"/>
    <cellStyle name="Normal 4 2 4 3 2 6" xfId="12828" xr:uid="{00000000-0005-0000-0000-0000729D0000}"/>
    <cellStyle name="Normal 4 2 4 3 3" xfId="4722" xr:uid="{00000000-0005-0000-0000-0000739D0000}"/>
    <cellStyle name="Normal 4 2 4 3 3 2" xfId="9584" xr:uid="{00000000-0005-0000-0000-0000749D0000}"/>
    <cellStyle name="Normal 4 2 4 3 3 2 2" xfId="29035" xr:uid="{00000000-0005-0000-0000-0000759D0000}"/>
    <cellStyle name="Normal 4 2 4 3 3 2 3" xfId="38760" xr:uid="{00000000-0005-0000-0000-0000769D0000}"/>
    <cellStyle name="Normal 4 2 4 3 3 2 4" xfId="48485" xr:uid="{00000000-0005-0000-0000-0000779D0000}"/>
    <cellStyle name="Normal 4 2 4 3 3 2 5" xfId="19310" xr:uid="{00000000-0005-0000-0000-0000789D0000}"/>
    <cellStyle name="Normal 4 2 4 3 3 3" xfId="24173" xr:uid="{00000000-0005-0000-0000-0000799D0000}"/>
    <cellStyle name="Normal 4 2 4 3 3 4" xfId="33898" xr:uid="{00000000-0005-0000-0000-00007A9D0000}"/>
    <cellStyle name="Normal 4 2 4 3 3 5" xfId="43623" xr:uid="{00000000-0005-0000-0000-00007B9D0000}"/>
    <cellStyle name="Normal 4 2 4 3 3 6" xfId="14448" xr:uid="{00000000-0005-0000-0000-00007C9D0000}"/>
    <cellStyle name="Normal 4 2 4 3 4" xfId="6344" xr:uid="{00000000-0005-0000-0000-00007D9D0000}"/>
    <cellStyle name="Normal 4 2 4 3 4 2" xfId="25795" xr:uid="{00000000-0005-0000-0000-00007E9D0000}"/>
    <cellStyle name="Normal 4 2 4 3 4 3" xfId="35520" xr:uid="{00000000-0005-0000-0000-00007F9D0000}"/>
    <cellStyle name="Normal 4 2 4 3 4 4" xfId="45245" xr:uid="{00000000-0005-0000-0000-0000809D0000}"/>
    <cellStyle name="Normal 4 2 4 3 4 5" xfId="16070" xr:uid="{00000000-0005-0000-0000-0000819D0000}"/>
    <cellStyle name="Normal 4 2 4 3 5" xfId="20933" xr:uid="{00000000-0005-0000-0000-0000829D0000}"/>
    <cellStyle name="Normal 4 2 4 3 6" xfId="30658" xr:uid="{00000000-0005-0000-0000-0000839D0000}"/>
    <cellStyle name="Normal 4 2 4 3 7" xfId="40383" xr:uid="{00000000-0005-0000-0000-0000849D0000}"/>
    <cellStyle name="Normal 4 2 4 3 8" xfId="11208" xr:uid="{00000000-0005-0000-0000-0000859D0000}"/>
    <cellStyle name="Normal 4 2 4 4" xfId="652" xr:uid="{00000000-0005-0000-0000-0000869D0000}"/>
    <cellStyle name="Normal 4 2 4 4 2" xfId="2292" xr:uid="{00000000-0005-0000-0000-0000879D0000}"/>
    <cellStyle name="Normal 4 2 4 4 2 2" xfId="7154" xr:uid="{00000000-0005-0000-0000-0000889D0000}"/>
    <cellStyle name="Normal 4 2 4 4 2 2 2" xfId="26605" xr:uid="{00000000-0005-0000-0000-0000899D0000}"/>
    <cellStyle name="Normal 4 2 4 4 2 2 3" xfId="36330" xr:uid="{00000000-0005-0000-0000-00008A9D0000}"/>
    <cellStyle name="Normal 4 2 4 4 2 2 4" xfId="46055" xr:uid="{00000000-0005-0000-0000-00008B9D0000}"/>
    <cellStyle name="Normal 4 2 4 4 2 2 5" xfId="16880" xr:uid="{00000000-0005-0000-0000-00008C9D0000}"/>
    <cellStyle name="Normal 4 2 4 4 2 3" xfId="21743" xr:uid="{00000000-0005-0000-0000-00008D9D0000}"/>
    <cellStyle name="Normal 4 2 4 4 2 4" xfId="31468" xr:uid="{00000000-0005-0000-0000-00008E9D0000}"/>
    <cellStyle name="Normal 4 2 4 4 2 5" xfId="41193" xr:uid="{00000000-0005-0000-0000-00008F9D0000}"/>
    <cellStyle name="Normal 4 2 4 4 2 6" xfId="12018" xr:uid="{00000000-0005-0000-0000-0000909D0000}"/>
    <cellStyle name="Normal 4 2 4 4 3" xfId="3912" xr:uid="{00000000-0005-0000-0000-0000919D0000}"/>
    <cellStyle name="Normal 4 2 4 4 3 2" xfId="8774" xr:uid="{00000000-0005-0000-0000-0000929D0000}"/>
    <cellStyle name="Normal 4 2 4 4 3 2 2" xfId="28225" xr:uid="{00000000-0005-0000-0000-0000939D0000}"/>
    <cellStyle name="Normal 4 2 4 4 3 2 3" xfId="37950" xr:uid="{00000000-0005-0000-0000-0000949D0000}"/>
    <cellStyle name="Normal 4 2 4 4 3 2 4" xfId="47675" xr:uid="{00000000-0005-0000-0000-0000959D0000}"/>
    <cellStyle name="Normal 4 2 4 4 3 2 5" xfId="18500" xr:uid="{00000000-0005-0000-0000-0000969D0000}"/>
    <cellStyle name="Normal 4 2 4 4 3 3" xfId="23363" xr:uid="{00000000-0005-0000-0000-0000979D0000}"/>
    <cellStyle name="Normal 4 2 4 4 3 4" xfId="33088" xr:uid="{00000000-0005-0000-0000-0000989D0000}"/>
    <cellStyle name="Normal 4 2 4 4 3 5" xfId="42813" xr:uid="{00000000-0005-0000-0000-0000999D0000}"/>
    <cellStyle name="Normal 4 2 4 4 3 6" xfId="13638" xr:uid="{00000000-0005-0000-0000-00009A9D0000}"/>
    <cellStyle name="Normal 4 2 4 4 4" xfId="5534" xr:uid="{00000000-0005-0000-0000-00009B9D0000}"/>
    <cellStyle name="Normal 4 2 4 4 4 2" xfId="24985" xr:uid="{00000000-0005-0000-0000-00009C9D0000}"/>
    <cellStyle name="Normal 4 2 4 4 4 3" xfId="34710" xr:uid="{00000000-0005-0000-0000-00009D9D0000}"/>
    <cellStyle name="Normal 4 2 4 4 4 4" xfId="44435" xr:uid="{00000000-0005-0000-0000-00009E9D0000}"/>
    <cellStyle name="Normal 4 2 4 4 4 5" xfId="15260" xr:uid="{00000000-0005-0000-0000-00009F9D0000}"/>
    <cellStyle name="Normal 4 2 4 4 5" xfId="20123" xr:uid="{00000000-0005-0000-0000-0000A09D0000}"/>
    <cellStyle name="Normal 4 2 4 4 6" xfId="29848" xr:uid="{00000000-0005-0000-0000-0000A19D0000}"/>
    <cellStyle name="Normal 4 2 4 4 7" xfId="39573" xr:uid="{00000000-0005-0000-0000-0000A29D0000}"/>
    <cellStyle name="Normal 4 2 4 4 8" xfId="10398" xr:uid="{00000000-0005-0000-0000-0000A39D0000}"/>
    <cellStyle name="Normal 4 2 4 5" xfId="1932" xr:uid="{00000000-0005-0000-0000-0000A49D0000}"/>
    <cellStyle name="Normal 4 2 4 5 2" xfId="6794" xr:uid="{00000000-0005-0000-0000-0000A59D0000}"/>
    <cellStyle name="Normal 4 2 4 5 2 2" xfId="26245" xr:uid="{00000000-0005-0000-0000-0000A69D0000}"/>
    <cellStyle name="Normal 4 2 4 5 2 3" xfId="35970" xr:uid="{00000000-0005-0000-0000-0000A79D0000}"/>
    <cellStyle name="Normal 4 2 4 5 2 4" xfId="45695" xr:uid="{00000000-0005-0000-0000-0000A89D0000}"/>
    <cellStyle name="Normal 4 2 4 5 2 5" xfId="16520" xr:uid="{00000000-0005-0000-0000-0000A99D0000}"/>
    <cellStyle name="Normal 4 2 4 5 3" xfId="21383" xr:uid="{00000000-0005-0000-0000-0000AA9D0000}"/>
    <cellStyle name="Normal 4 2 4 5 4" xfId="31108" xr:uid="{00000000-0005-0000-0000-0000AB9D0000}"/>
    <cellStyle name="Normal 4 2 4 5 5" xfId="40833" xr:uid="{00000000-0005-0000-0000-0000AC9D0000}"/>
    <cellStyle name="Normal 4 2 4 5 6" xfId="11658" xr:uid="{00000000-0005-0000-0000-0000AD9D0000}"/>
    <cellStyle name="Normal 4 2 4 6" xfId="3552" xr:uid="{00000000-0005-0000-0000-0000AE9D0000}"/>
    <cellStyle name="Normal 4 2 4 6 2" xfId="8414" xr:uid="{00000000-0005-0000-0000-0000AF9D0000}"/>
    <cellStyle name="Normal 4 2 4 6 2 2" xfId="27865" xr:uid="{00000000-0005-0000-0000-0000B09D0000}"/>
    <cellStyle name="Normal 4 2 4 6 2 3" xfId="37590" xr:uid="{00000000-0005-0000-0000-0000B19D0000}"/>
    <cellStyle name="Normal 4 2 4 6 2 4" xfId="47315" xr:uid="{00000000-0005-0000-0000-0000B29D0000}"/>
    <cellStyle name="Normal 4 2 4 6 2 5" xfId="18140" xr:uid="{00000000-0005-0000-0000-0000B39D0000}"/>
    <cellStyle name="Normal 4 2 4 6 3" xfId="23003" xr:uid="{00000000-0005-0000-0000-0000B49D0000}"/>
    <cellStyle name="Normal 4 2 4 6 4" xfId="32728" xr:uid="{00000000-0005-0000-0000-0000B59D0000}"/>
    <cellStyle name="Normal 4 2 4 6 5" xfId="42453" xr:uid="{00000000-0005-0000-0000-0000B69D0000}"/>
    <cellStyle name="Normal 4 2 4 6 6" xfId="13278" xr:uid="{00000000-0005-0000-0000-0000B79D0000}"/>
    <cellStyle name="Normal 4 2 4 7" xfId="5174" xr:uid="{00000000-0005-0000-0000-0000B89D0000}"/>
    <cellStyle name="Normal 4 2 4 7 2" xfId="24625" xr:uid="{00000000-0005-0000-0000-0000B99D0000}"/>
    <cellStyle name="Normal 4 2 4 7 3" xfId="34350" xr:uid="{00000000-0005-0000-0000-0000BA9D0000}"/>
    <cellStyle name="Normal 4 2 4 7 4" xfId="44075" xr:uid="{00000000-0005-0000-0000-0000BB9D0000}"/>
    <cellStyle name="Normal 4 2 4 7 5" xfId="14900" xr:uid="{00000000-0005-0000-0000-0000BC9D0000}"/>
    <cellStyle name="Normal 4 2 4 8" xfId="19763" xr:uid="{00000000-0005-0000-0000-0000BD9D0000}"/>
    <cellStyle name="Normal 4 2 4 9" xfId="29488" xr:uid="{00000000-0005-0000-0000-0000BE9D0000}"/>
    <cellStyle name="Normal 4 2 5" xfId="341" xr:uid="{00000000-0005-0000-0000-0000BF9D0000}"/>
    <cellStyle name="Normal 4 2 5 10" xfId="39303" xr:uid="{00000000-0005-0000-0000-0000C09D0000}"/>
    <cellStyle name="Normal 4 2 5 11" xfId="10128" xr:uid="{00000000-0005-0000-0000-0000C19D0000}"/>
    <cellStyle name="Normal 4 2 5 2" xfId="1104" xr:uid="{00000000-0005-0000-0000-0000C29D0000}"/>
    <cellStyle name="Normal 4 2 5 2 2" xfId="2742" xr:uid="{00000000-0005-0000-0000-0000C39D0000}"/>
    <cellStyle name="Normal 4 2 5 2 2 2" xfId="7604" xr:uid="{00000000-0005-0000-0000-0000C49D0000}"/>
    <cellStyle name="Normal 4 2 5 2 2 2 2" xfId="27055" xr:uid="{00000000-0005-0000-0000-0000C59D0000}"/>
    <cellStyle name="Normal 4 2 5 2 2 2 3" xfId="36780" xr:uid="{00000000-0005-0000-0000-0000C69D0000}"/>
    <cellStyle name="Normal 4 2 5 2 2 2 4" xfId="46505" xr:uid="{00000000-0005-0000-0000-0000C79D0000}"/>
    <cellStyle name="Normal 4 2 5 2 2 2 5" xfId="17330" xr:uid="{00000000-0005-0000-0000-0000C89D0000}"/>
    <cellStyle name="Normal 4 2 5 2 2 3" xfId="22193" xr:uid="{00000000-0005-0000-0000-0000C99D0000}"/>
    <cellStyle name="Normal 4 2 5 2 2 4" xfId="31918" xr:uid="{00000000-0005-0000-0000-0000CA9D0000}"/>
    <cellStyle name="Normal 4 2 5 2 2 5" xfId="41643" xr:uid="{00000000-0005-0000-0000-0000CB9D0000}"/>
    <cellStyle name="Normal 4 2 5 2 2 6" xfId="12468" xr:uid="{00000000-0005-0000-0000-0000CC9D0000}"/>
    <cellStyle name="Normal 4 2 5 2 3" xfId="4362" xr:uid="{00000000-0005-0000-0000-0000CD9D0000}"/>
    <cellStyle name="Normal 4 2 5 2 3 2" xfId="9224" xr:uid="{00000000-0005-0000-0000-0000CE9D0000}"/>
    <cellStyle name="Normal 4 2 5 2 3 2 2" xfId="28675" xr:uid="{00000000-0005-0000-0000-0000CF9D0000}"/>
    <cellStyle name="Normal 4 2 5 2 3 2 3" xfId="38400" xr:uid="{00000000-0005-0000-0000-0000D09D0000}"/>
    <cellStyle name="Normal 4 2 5 2 3 2 4" xfId="48125" xr:uid="{00000000-0005-0000-0000-0000D19D0000}"/>
    <cellStyle name="Normal 4 2 5 2 3 2 5" xfId="18950" xr:uid="{00000000-0005-0000-0000-0000D29D0000}"/>
    <cellStyle name="Normal 4 2 5 2 3 3" xfId="23813" xr:uid="{00000000-0005-0000-0000-0000D39D0000}"/>
    <cellStyle name="Normal 4 2 5 2 3 4" xfId="33538" xr:uid="{00000000-0005-0000-0000-0000D49D0000}"/>
    <cellStyle name="Normal 4 2 5 2 3 5" xfId="43263" xr:uid="{00000000-0005-0000-0000-0000D59D0000}"/>
    <cellStyle name="Normal 4 2 5 2 3 6" xfId="14088" xr:uid="{00000000-0005-0000-0000-0000D69D0000}"/>
    <cellStyle name="Normal 4 2 5 2 4" xfId="5984" xr:uid="{00000000-0005-0000-0000-0000D79D0000}"/>
    <cellStyle name="Normal 4 2 5 2 4 2" xfId="25435" xr:uid="{00000000-0005-0000-0000-0000D89D0000}"/>
    <cellStyle name="Normal 4 2 5 2 4 3" xfId="35160" xr:uid="{00000000-0005-0000-0000-0000D99D0000}"/>
    <cellStyle name="Normal 4 2 5 2 4 4" xfId="44885" xr:uid="{00000000-0005-0000-0000-0000DA9D0000}"/>
    <cellStyle name="Normal 4 2 5 2 4 5" xfId="15710" xr:uid="{00000000-0005-0000-0000-0000DB9D0000}"/>
    <cellStyle name="Normal 4 2 5 2 5" xfId="20573" xr:uid="{00000000-0005-0000-0000-0000DC9D0000}"/>
    <cellStyle name="Normal 4 2 5 2 6" xfId="30298" xr:uid="{00000000-0005-0000-0000-0000DD9D0000}"/>
    <cellStyle name="Normal 4 2 5 2 7" xfId="40023" xr:uid="{00000000-0005-0000-0000-0000DE9D0000}"/>
    <cellStyle name="Normal 4 2 5 2 8" xfId="10848" xr:uid="{00000000-0005-0000-0000-0000DF9D0000}"/>
    <cellStyle name="Normal 4 2 5 3" xfId="1571" xr:uid="{00000000-0005-0000-0000-0000E09D0000}"/>
    <cellStyle name="Normal 4 2 5 3 2" xfId="3192" xr:uid="{00000000-0005-0000-0000-0000E19D0000}"/>
    <cellStyle name="Normal 4 2 5 3 2 2" xfId="8054" xr:uid="{00000000-0005-0000-0000-0000E29D0000}"/>
    <cellStyle name="Normal 4 2 5 3 2 2 2" xfId="27505" xr:uid="{00000000-0005-0000-0000-0000E39D0000}"/>
    <cellStyle name="Normal 4 2 5 3 2 2 3" xfId="37230" xr:uid="{00000000-0005-0000-0000-0000E49D0000}"/>
    <cellStyle name="Normal 4 2 5 3 2 2 4" xfId="46955" xr:uid="{00000000-0005-0000-0000-0000E59D0000}"/>
    <cellStyle name="Normal 4 2 5 3 2 2 5" xfId="17780" xr:uid="{00000000-0005-0000-0000-0000E69D0000}"/>
    <cellStyle name="Normal 4 2 5 3 2 3" xfId="22643" xr:uid="{00000000-0005-0000-0000-0000E79D0000}"/>
    <cellStyle name="Normal 4 2 5 3 2 4" xfId="32368" xr:uid="{00000000-0005-0000-0000-0000E89D0000}"/>
    <cellStyle name="Normal 4 2 5 3 2 5" xfId="42093" xr:uid="{00000000-0005-0000-0000-0000E99D0000}"/>
    <cellStyle name="Normal 4 2 5 3 2 6" xfId="12918" xr:uid="{00000000-0005-0000-0000-0000EA9D0000}"/>
    <cellStyle name="Normal 4 2 5 3 3" xfId="4812" xr:uid="{00000000-0005-0000-0000-0000EB9D0000}"/>
    <cellStyle name="Normal 4 2 5 3 3 2" xfId="9674" xr:uid="{00000000-0005-0000-0000-0000EC9D0000}"/>
    <cellStyle name="Normal 4 2 5 3 3 2 2" xfId="29125" xr:uid="{00000000-0005-0000-0000-0000ED9D0000}"/>
    <cellStyle name="Normal 4 2 5 3 3 2 3" xfId="38850" xr:uid="{00000000-0005-0000-0000-0000EE9D0000}"/>
    <cellStyle name="Normal 4 2 5 3 3 2 4" xfId="48575" xr:uid="{00000000-0005-0000-0000-0000EF9D0000}"/>
    <cellStyle name="Normal 4 2 5 3 3 2 5" xfId="19400" xr:uid="{00000000-0005-0000-0000-0000F09D0000}"/>
    <cellStyle name="Normal 4 2 5 3 3 3" xfId="24263" xr:uid="{00000000-0005-0000-0000-0000F19D0000}"/>
    <cellStyle name="Normal 4 2 5 3 3 4" xfId="33988" xr:uid="{00000000-0005-0000-0000-0000F29D0000}"/>
    <cellStyle name="Normal 4 2 5 3 3 5" xfId="43713" xr:uid="{00000000-0005-0000-0000-0000F39D0000}"/>
    <cellStyle name="Normal 4 2 5 3 3 6" xfId="14538" xr:uid="{00000000-0005-0000-0000-0000F49D0000}"/>
    <cellStyle name="Normal 4 2 5 3 4" xfId="6434" xr:uid="{00000000-0005-0000-0000-0000F59D0000}"/>
    <cellStyle name="Normal 4 2 5 3 4 2" xfId="25885" xr:uid="{00000000-0005-0000-0000-0000F69D0000}"/>
    <cellStyle name="Normal 4 2 5 3 4 3" xfId="35610" xr:uid="{00000000-0005-0000-0000-0000F79D0000}"/>
    <cellStyle name="Normal 4 2 5 3 4 4" xfId="45335" xr:uid="{00000000-0005-0000-0000-0000F89D0000}"/>
    <cellStyle name="Normal 4 2 5 3 4 5" xfId="16160" xr:uid="{00000000-0005-0000-0000-0000F99D0000}"/>
    <cellStyle name="Normal 4 2 5 3 5" xfId="21023" xr:uid="{00000000-0005-0000-0000-0000FA9D0000}"/>
    <cellStyle name="Normal 4 2 5 3 6" xfId="30748" xr:uid="{00000000-0005-0000-0000-0000FB9D0000}"/>
    <cellStyle name="Normal 4 2 5 3 7" xfId="40473" xr:uid="{00000000-0005-0000-0000-0000FC9D0000}"/>
    <cellStyle name="Normal 4 2 5 3 8" xfId="11298" xr:uid="{00000000-0005-0000-0000-0000FD9D0000}"/>
    <cellStyle name="Normal 4 2 5 4" xfId="742" xr:uid="{00000000-0005-0000-0000-0000FE9D0000}"/>
    <cellStyle name="Normal 4 2 5 4 2" xfId="2382" xr:uid="{00000000-0005-0000-0000-0000FF9D0000}"/>
    <cellStyle name="Normal 4 2 5 4 2 2" xfId="7244" xr:uid="{00000000-0005-0000-0000-0000009E0000}"/>
    <cellStyle name="Normal 4 2 5 4 2 2 2" xfId="26695" xr:uid="{00000000-0005-0000-0000-0000019E0000}"/>
    <cellStyle name="Normal 4 2 5 4 2 2 3" xfId="36420" xr:uid="{00000000-0005-0000-0000-0000029E0000}"/>
    <cellStyle name="Normal 4 2 5 4 2 2 4" xfId="46145" xr:uid="{00000000-0005-0000-0000-0000039E0000}"/>
    <cellStyle name="Normal 4 2 5 4 2 2 5" xfId="16970" xr:uid="{00000000-0005-0000-0000-0000049E0000}"/>
    <cellStyle name="Normal 4 2 5 4 2 3" xfId="21833" xr:uid="{00000000-0005-0000-0000-0000059E0000}"/>
    <cellStyle name="Normal 4 2 5 4 2 4" xfId="31558" xr:uid="{00000000-0005-0000-0000-0000069E0000}"/>
    <cellStyle name="Normal 4 2 5 4 2 5" xfId="41283" xr:uid="{00000000-0005-0000-0000-0000079E0000}"/>
    <cellStyle name="Normal 4 2 5 4 2 6" xfId="12108" xr:uid="{00000000-0005-0000-0000-0000089E0000}"/>
    <cellStyle name="Normal 4 2 5 4 3" xfId="4002" xr:uid="{00000000-0005-0000-0000-0000099E0000}"/>
    <cellStyle name="Normal 4 2 5 4 3 2" xfId="8864" xr:uid="{00000000-0005-0000-0000-00000A9E0000}"/>
    <cellStyle name="Normal 4 2 5 4 3 2 2" xfId="28315" xr:uid="{00000000-0005-0000-0000-00000B9E0000}"/>
    <cellStyle name="Normal 4 2 5 4 3 2 3" xfId="38040" xr:uid="{00000000-0005-0000-0000-00000C9E0000}"/>
    <cellStyle name="Normal 4 2 5 4 3 2 4" xfId="47765" xr:uid="{00000000-0005-0000-0000-00000D9E0000}"/>
    <cellStyle name="Normal 4 2 5 4 3 2 5" xfId="18590" xr:uid="{00000000-0005-0000-0000-00000E9E0000}"/>
    <cellStyle name="Normal 4 2 5 4 3 3" xfId="23453" xr:uid="{00000000-0005-0000-0000-00000F9E0000}"/>
    <cellStyle name="Normal 4 2 5 4 3 4" xfId="33178" xr:uid="{00000000-0005-0000-0000-0000109E0000}"/>
    <cellStyle name="Normal 4 2 5 4 3 5" xfId="42903" xr:uid="{00000000-0005-0000-0000-0000119E0000}"/>
    <cellStyle name="Normal 4 2 5 4 3 6" xfId="13728" xr:uid="{00000000-0005-0000-0000-0000129E0000}"/>
    <cellStyle name="Normal 4 2 5 4 4" xfId="5624" xr:uid="{00000000-0005-0000-0000-0000139E0000}"/>
    <cellStyle name="Normal 4 2 5 4 4 2" xfId="25075" xr:uid="{00000000-0005-0000-0000-0000149E0000}"/>
    <cellStyle name="Normal 4 2 5 4 4 3" xfId="34800" xr:uid="{00000000-0005-0000-0000-0000159E0000}"/>
    <cellStyle name="Normal 4 2 5 4 4 4" xfId="44525" xr:uid="{00000000-0005-0000-0000-0000169E0000}"/>
    <cellStyle name="Normal 4 2 5 4 4 5" xfId="15350" xr:uid="{00000000-0005-0000-0000-0000179E0000}"/>
    <cellStyle name="Normal 4 2 5 4 5" xfId="20213" xr:uid="{00000000-0005-0000-0000-0000189E0000}"/>
    <cellStyle name="Normal 4 2 5 4 6" xfId="29938" xr:uid="{00000000-0005-0000-0000-0000199E0000}"/>
    <cellStyle name="Normal 4 2 5 4 7" xfId="39663" xr:uid="{00000000-0005-0000-0000-00001A9E0000}"/>
    <cellStyle name="Normal 4 2 5 4 8" xfId="10488" xr:uid="{00000000-0005-0000-0000-00001B9E0000}"/>
    <cellStyle name="Normal 4 2 5 5" xfId="2022" xr:uid="{00000000-0005-0000-0000-00001C9E0000}"/>
    <cellStyle name="Normal 4 2 5 5 2" xfId="6884" xr:uid="{00000000-0005-0000-0000-00001D9E0000}"/>
    <cellStyle name="Normal 4 2 5 5 2 2" xfId="26335" xr:uid="{00000000-0005-0000-0000-00001E9E0000}"/>
    <cellStyle name="Normal 4 2 5 5 2 3" xfId="36060" xr:uid="{00000000-0005-0000-0000-00001F9E0000}"/>
    <cellStyle name="Normal 4 2 5 5 2 4" xfId="45785" xr:uid="{00000000-0005-0000-0000-0000209E0000}"/>
    <cellStyle name="Normal 4 2 5 5 2 5" xfId="16610" xr:uid="{00000000-0005-0000-0000-0000219E0000}"/>
    <cellStyle name="Normal 4 2 5 5 3" xfId="21473" xr:uid="{00000000-0005-0000-0000-0000229E0000}"/>
    <cellStyle name="Normal 4 2 5 5 4" xfId="31198" xr:uid="{00000000-0005-0000-0000-0000239E0000}"/>
    <cellStyle name="Normal 4 2 5 5 5" xfId="40923" xr:uid="{00000000-0005-0000-0000-0000249E0000}"/>
    <cellStyle name="Normal 4 2 5 5 6" xfId="11748" xr:uid="{00000000-0005-0000-0000-0000259E0000}"/>
    <cellStyle name="Normal 4 2 5 6" xfId="3642" xr:uid="{00000000-0005-0000-0000-0000269E0000}"/>
    <cellStyle name="Normal 4 2 5 6 2" xfId="8504" xr:uid="{00000000-0005-0000-0000-0000279E0000}"/>
    <cellStyle name="Normal 4 2 5 6 2 2" xfId="27955" xr:uid="{00000000-0005-0000-0000-0000289E0000}"/>
    <cellStyle name="Normal 4 2 5 6 2 3" xfId="37680" xr:uid="{00000000-0005-0000-0000-0000299E0000}"/>
    <cellStyle name="Normal 4 2 5 6 2 4" xfId="47405" xr:uid="{00000000-0005-0000-0000-00002A9E0000}"/>
    <cellStyle name="Normal 4 2 5 6 2 5" xfId="18230" xr:uid="{00000000-0005-0000-0000-00002B9E0000}"/>
    <cellStyle name="Normal 4 2 5 6 3" xfId="23093" xr:uid="{00000000-0005-0000-0000-00002C9E0000}"/>
    <cellStyle name="Normal 4 2 5 6 4" xfId="32818" xr:uid="{00000000-0005-0000-0000-00002D9E0000}"/>
    <cellStyle name="Normal 4 2 5 6 5" xfId="42543" xr:uid="{00000000-0005-0000-0000-00002E9E0000}"/>
    <cellStyle name="Normal 4 2 5 6 6" xfId="13368" xr:uid="{00000000-0005-0000-0000-00002F9E0000}"/>
    <cellStyle name="Normal 4 2 5 7" xfId="5264" xr:uid="{00000000-0005-0000-0000-0000309E0000}"/>
    <cellStyle name="Normal 4 2 5 7 2" xfId="24715" xr:uid="{00000000-0005-0000-0000-0000319E0000}"/>
    <cellStyle name="Normal 4 2 5 7 3" xfId="34440" xr:uid="{00000000-0005-0000-0000-0000329E0000}"/>
    <cellStyle name="Normal 4 2 5 7 4" xfId="44165" xr:uid="{00000000-0005-0000-0000-0000339E0000}"/>
    <cellStyle name="Normal 4 2 5 7 5" xfId="14990" xr:uid="{00000000-0005-0000-0000-0000349E0000}"/>
    <cellStyle name="Normal 4 2 5 8" xfId="19853" xr:uid="{00000000-0005-0000-0000-0000359E0000}"/>
    <cellStyle name="Normal 4 2 5 9" xfId="29578" xr:uid="{00000000-0005-0000-0000-0000369E0000}"/>
    <cellStyle name="Normal 4 2 6" xfId="159" xr:uid="{00000000-0005-0000-0000-0000379E0000}"/>
    <cellStyle name="Normal 4 2 6 10" xfId="39123" xr:uid="{00000000-0005-0000-0000-0000389E0000}"/>
    <cellStyle name="Normal 4 2 6 11" xfId="9948" xr:uid="{00000000-0005-0000-0000-0000399E0000}"/>
    <cellStyle name="Normal 4 2 6 2" xfId="923" xr:uid="{00000000-0005-0000-0000-00003A9E0000}"/>
    <cellStyle name="Normal 4 2 6 2 2" xfId="2562" xr:uid="{00000000-0005-0000-0000-00003B9E0000}"/>
    <cellStyle name="Normal 4 2 6 2 2 2" xfId="7424" xr:uid="{00000000-0005-0000-0000-00003C9E0000}"/>
    <cellStyle name="Normal 4 2 6 2 2 2 2" xfId="26875" xr:uid="{00000000-0005-0000-0000-00003D9E0000}"/>
    <cellStyle name="Normal 4 2 6 2 2 2 3" xfId="36600" xr:uid="{00000000-0005-0000-0000-00003E9E0000}"/>
    <cellStyle name="Normal 4 2 6 2 2 2 4" xfId="46325" xr:uid="{00000000-0005-0000-0000-00003F9E0000}"/>
    <cellStyle name="Normal 4 2 6 2 2 2 5" xfId="17150" xr:uid="{00000000-0005-0000-0000-0000409E0000}"/>
    <cellStyle name="Normal 4 2 6 2 2 3" xfId="22013" xr:uid="{00000000-0005-0000-0000-0000419E0000}"/>
    <cellStyle name="Normal 4 2 6 2 2 4" xfId="31738" xr:uid="{00000000-0005-0000-0000-0000429E0000}"/>
    <cellStyle name="Normal 4 2 6 2 2 5" xfId="41463" xr:uid="{00000000-0005-0000-0000-0000439E0000}"/>
    <cellStyle name="Normal 4 2 6 2 2 6" xfId="12288" xr:uid="{00000000-0005-0000-0000-0000449E0000}"/>
    <cellStyle name="Normal 4 2 6 2 3" xfId="4182" xr:uid="{00000000-0005-0000-0000-0000459E0000}"/>
    <cellStyle name="Normal 4 2 6 2 3 2" xfId="9044" xr:uid="{00000000-0005-0000-0000-0000469E0000}"/>
    <cellStyle name="Normal 4 2 6 2 3 2 2" xfId="28495" xr:uid="{00000000-0005-0000-0000-0000479E0000}"/>
    <cellStyle name="Normal 4 2 6 2 3 2 3" xfId="38220" xr:uid="{00000000-0005-0000-0000-0000489E0000}"/>
    <cellStyle name="Normal 4 2 6 2 3 2 4" xfId="47945" xr:uid="{00000000-0005-0000-0000-0000499E0000}"/>
    <cellStyle name="Normal 4 2 6 2 3 2 5" xfId="18770" xr:uid="{00000000-0005-0000-0000-00004A9E0000}"/>
    <cellStyle name="Normal 4 2 6 2 3 3" xfId="23633" xr:uid="{00000000-0005-0000-0000-00004B9E0000}"/>
    <cellStyle name="Normal 4 2 6 2 3 4" xfId="33358" xr:uid="{00000000-0005-0000-0000-00004C9E0000}"/>
    <cellStyle name="Normal 4 2 6 2 3 5" xfId="43083" xr:uid="{00000000-0005-0000-0000-00004D9E0000}"/>
    <cellStyle name="Normal 4 2 6 2 3 6" xfId="13908" xr:uid="{00000000-0005-0000-0000-00004E9E0000}"/>
    <cellStyle name="Normal 4 2 6 2 4" xfId="5804" xr:uid="{00000000-0005-0000-0000-00004F9E0000}"/>
    <cellStyle name="Normal 4 2 6 2 4 2" xfId="25255" xr:uid="{00000000-0005-0000-0000-0000509E0000}"/>
    <cellStyle name="Normal 4 2 6 2 4 3" xfId="34980" xr:uid="{00000000-0005-0000-0000-0000519E0000}"/>
    <cellStyle name="Normal 4 2 6 2 4 4" xfId="44705" xr:uid="{00000000-0005-0000-0000-0000529E0000}"/>
    <cellStyle name="Normal 4 2 6 2 4 5" xfId="15530" xr:uid="{00000000-0005-0000-0000-0000539E0000}"/>
    <cellStyle name="Normal 4 2 6 2 5" xfId="20393" xr:uid="{00000000-0005-0000-0000-0000549E0000}"/>
    <cellStyle name="Normal 4 2 6 2 6" xfId="30118" xr:uid="{00000000-0005-0000-0000-0000559E0000}"/>
    <cellStyle name="Normal 4 2 6 2 7" xfId="39843" xr:uid="{00000000-0005-0000-0000-0000569E0000}"/>
    <cellStyle name="Normal 4 2 6 2 8" xfId="10668" xr:uid="{00000000-0005-0000-0000-0000579E0000}"/>
    <cellStyle name="Normal 4 2 6 3" xfId="1391" xr:uid="{00000000-0005-0000-0000-0000589E0000}"/>
    <cellStyle name="Normal 4 2 6 3 2" xfId="3012" xr:uid="{00000000-0005-0000-0000-0000599E0000}"/>
    <cellStyle name="Normal 4 2 6 3 2 2" xfId="7874" xr:uid="{00000000-0005-0000-0000-00005A9E0000}"/>
    <cellStyle name="Normal 4 2 6 3 2 2 2" xfId="27325" xr:uid="{00000000-0005-0000-0000-00005B9E0000}"/>
    <cellStyle name="Normal 4 2 6 3 2 2 3" xfId="37050" xr:uid="{00000000-0005-0000-0000-00005C9E0000}"/>
    <cellStyle name="Normal 4 2 6 3 2 2 4" xfId="46775" xr:uid="{00000000-0005-0000-0000-00005D9E0000}"/>
    <cellStyle name="Normal 4 2 6 3 2 2 5" xfId="17600" xr:uid="{00000000-0005-0000-0000-00005E9E0000}"/>
    <cellStyle name="Normal 4 2 6 3 2 3" xfId="22463" xr:uid="{00000000-0005-0000-0000-00005F9E0000}"/>
    <cellStyle name="Normal 4 2 6 3 2 4" xfId="32188" xr:uid="{00000000-0005-0000-0000-0000609E0000}"/>
    <cellStyle name="Normal 4 2 6 3 2 5" xfId="41913" xr:uid="{00000000-0005-0000-0000-0000619E0000}"/>
    <cellStyle name="Normal 4 2 6 3 2 6" xfId="12738" xr:uid="{00000000-0005-0000-0000-0000629E0000}"/>
    <cellStyle name="Normal 4 2 6 3 3" xfId="4632" xr:uid="{00000000-0005-0000-0000-0000639E0000}"/>
    <cellStyle name="Normal 4 2 6 3 3 2" xfId="9494" xr:uid="{00000000-0005-0000-0000-0000649E0000}"/>
    <cellStyle name="Normal 4 2 6 3 3 2 2" xfId="28945" xr:uid="{00000000-0005-0000-0000-0000659E0000}"/>
    <cellStyle name="Normal 4 2 6 3 3 2 3" xfId="38670" xr:uid="{00000000-0005-0000-0000-0000669E0000}"/>
    <cellStyle name="Normal 4 2 6 3 3 2 4" xfId="48395" xr:uid="{00000000-0005-0000-0000-0000679E0000}"/>
    <cellStyle name="Normal 4 2 6 3 3 2 5" xfId="19220" xr:uid="{00000000-0005-0000-0000-0000689E0000}"/>
    <cellStyle name="Normal 4 2 6 3 3 3" xfId="24083" xr:uid="{00000000-0005-0000-0000-0000699E0000}"/>
    <cellStyle name="Normal 4 2 6 3 3 4" xfId="33808" xr:uid="{00000000-0005-0000-0000-00006A9E0000}"/>
    <cellStyle name="Normal 4 2 6 3 3 5" xfId="43533" xr:uid="{00000000-0005-0000-0000-00006B9E0000}"/>
    <cellStyle name="Normal 4 2 6 3 3 6" xfId="14358" xr:uid="{00000000-0005-0000-0000-00006C9E0000}"/>
    <cellStyle name="Normal 4 2 6 3 4" xfId="6254" xr:uid="{00000000-0005-0000-0000-00006D9E0000}"/>
    <cellStyle name="Normal 4 2 6 3 4 2" xfId="25705" xr:uid="{00000000-0005-0000-0000-00006E9E0000}"/>
    <cellStyle name="Normal 4 2 6 3 4 3" xfId="35430" xr:uid="{00000000-0005-0000-0000-00006F9E0000}"/>
    <cellStyle name="Normal 4 2 6 3 4 4" xfId="45155" xr:uid="{00000000-0005-0000-0000-0000709E0000}"/>
    <cellStyle name="Normal 4 2 6 3 4 5" xfId="15980" xr:uid="{00000000-0005-0000-0000-0000719E0000}"/>
    <cellStyle name="Normal 4 2 6 3 5" xfId="20843" xr:uid="{00000000-0005-0000-0000-0000729E0000}"/>
    <cellStyle name="Normal 4 2 6 3 6" xfId="30568" xr:uid="{00000000-0005-0000-0000-0000739E0000}"/>
    <cellStyle name="Normal 4 2 6 3 7" xfId="40293" xr:uid="{00000000-0005-0000-0000-0000749E0000}"/>
    <cellStyle name="Normal 4 2 6 3 8" xfId="11118" xr:uid="{00000000-0005-0000-0000-0000759E0000}"/>
    <cellStyle name="Normal 4 2 6 4" xfId="562" xr:uid="{00000000-0005-0000-0000-0000769E0000}"/>
    <cellStyle name="Normal 4 2 6 4 2" xfId="2202" xr:uid="{00000000-0005-0000-0000-0000779E0000}"/>
    <cellStyle name="Normal 4 2 6 4 2 2" xfId="7064" xr:uid="{00000000-0005-0000-0000-0000789E0000}"/>
    <cellStyle name="Normal 4 2 6 4 2 2 2" xfId="26515" xr:uid="{00000000-0005-0000-0000-0000799E0000}"/>
    <cellStyle name="Normal 4 2 6 4 2 2 3" xfId="36240" xr:uid="{00000000-0005-0000-0000-00007A9E0000}"/>
    <cellStyle name="Normal 4 2 6 4 2 2 4" xfId="45965" xr:uid="{00000000-0005-0000-0000-00007B9E0000}"/>
    <cellStyle name="Normal 4 2 6 4 2 2 5" xfId="16790" xr:uid="{00000000-0005-0000-0000-00007C9E0000}"/>
    <cellStyle name="Normal 4 2 6 4 2 3" xfId="21653" xr:uid="{00000000-0005-0000-0000-00007D9E0000}"/>
    <cellStyle name="Normal 4 2 6 4 2 4" xfId="31378" xr:uid="{00000000-0005-0000-0000-00007E9E0000}"/>
    <cellStyle name="Normal 4 2 6 4 2 5" xfId="41103" xr:uid="{00000000-0005-0000-0000-00007F9E0000}"/>
    <cellStyle name="Normal 4 2 6 4 2 6" xfId="11928" xr:uid="{00000000-0005-0000-0000-0000809E0000}"/>
    <cellStyle name="Normal 4 2 6 4 3" xfId="3822" xr:uid="{00000000-0005-0000-0000-0000819E0000}"/>
    <cellStyle name="Normal 4 2 6 4 3 2" xfId="8684" xr:uid="{00000000-0005-0000-0000-0000829E0000}"/>
    <cellStyle name="Normal 4 2 6 4 3 2 2" xfId="28135" xr:uid="{00000000-0005-0000-0000-0000839E0000}"/>
    <cellStyle name="Normal 4 2 6 4 3 2 3" xfId="37860" xr:uid="{00000000-0005-0000-0000-0000849E0000}"/>
    <cellStyle name="Normal 4 2 6 4 3 2 4" xfId="47585" xr:uid="{00000000-0005-0000-0000-0000859E0000}"/>
    <cellStyle name="Normal 4 2 6 4 3 2 5" xfId="18410" xr:uid="{00000000-0005-0000-0000-0000869E0000}"/>
    <cellStyle name="Normal 4 2 6 4 3 3" xfId="23273" xr:uid="{00000000-0005-0000-0000-0000879E0000}"/>
    <cellStyle name="Normal 4 2 6 4 3 4" xfId="32998" xr:uid="{00000000-0005-0000-0000-0000889E0000}"/>
    <cellStyle name="Normal 4 2 6 4 3 5" xfId="42723" xr:uid="{00000000-0005-0000-0000-0000899E0000}"/>
    <cellStyle name="Normal 4 2 6 4 3 6" xfId="13548" xr:uid="{00000000-0005-0000-0000-00008A9E0000}"/>
    <cellStyle name="Normal 4 2 6 4 4" xfId="5444" xr:uid="{00000000-0005-0000-0000-00008B9E0000}"/>
    <cellStyle name="Normal 4 2 6 4 4 2" xfId="24895" xr:uid="{00000000-0005-0000-0000-00008C9E0000}"/>
    <cellStyle name="Normal 4 2 6 4 4 3" xfId="34620" xr:uid="{00000000-0005-0000-0000-00008D9E0000}"/>
    <cellStyle name="Normal 4 2 6 4 4 4" xfId="44345" xr:uid="{00000000-0005-0000-0000-00008E9E0000}"/>
    <cellStyle name="Normal 4 2 6 4 4 5" xfId="15170" xr:uid="{00000000-0005-0000-0000-00008F9E0000}"/>
    <cellStyle name="Normal 4 2 6 4 5" xfId="20033" xr:uid="{00000000-0005-0000-0000-0000909E0000}"/>
    <cellStyle name="Normal 4 2 6 4 6" xfId="29758" xr:uid="{00000000-0005-0000-0000-0000919E0000}"/>
    <cellStyle name="Normal 4 2 6 4 7" xfId="39483" xr:uid="{00000000-0005-0000-0000-0000929E0000}"/>
    <cellStyle name="Normal 4 2 6 4 8" xfId="10308" xr:uid="{00000000-0005-0000-0000-0000939E0000}"/>
    <cellStyle name="Normal 4 2 6 5" xfId="1842" xr:uid="{00000000-0005-0000-0000-0000949E0000}"/>
    <cellStyle name="Normal 4 2 6 5 2" xfId="6704" xr:uid="{00000000-0005-0000-0000-0000959E0000}"/>
    <cellStyle name="Normal 4 2 6 5 2 2" xfId="26155" xr:uid="{00000000-0005-0000-0000-0000969E0000}"/>
    <cellStyle name="Normal 4 2 6 5 2 3" xfId="35880" xr:uid="{00000000-0005-0000-0000-0000979E0000}"/>
    <cellStyle name="Normal 4 2 6 5 2 4" xfId="45605" xr:uid="{00000000-0005-0000-0000-0000989E0000}"/>
    <cellStyle name="Normal 4 2 6 5 2 5" xfId="16430" xr:uid="{00000000-0005-0000-0000-0000999E0000}"/>
    <cellStyle name="Normal 4 2 6 5 3" xfId="21293" xr:uid="{00000000-0005-0000-0000-00009A9E0000}"/>
    <cellStyle name="Normal 4 2 6 5 4" xfId="31018" xr:uid="{00000000-0005-0000-0000-00009B9E0000}"/>
    <cellStyle name="Normal 4 2 6 5 5" xfId="40743" xr:uid="{00000000-0005-0000-0000-00009C9E0000}"/>
    <cellStyle name="Normal 4 2 6 5 6" xfId="11568" xr:uid="{00000000-0005-0000-0000-00009D9E0000}"/>
    <cellStyle name="Normal 4 2 6 6" xfId="3462" xr:uid="{00000000-0005-0000-0000-00009E9E0000}"/>
    <cellStyle name="Normal 4 2 6 6 2" xfId="8324" xr:uid="{00000000-0005-0000-0000-00009F9E0000}"/>
    <cellStyle name="Normal 4 2 6 6 2 2" xfId="27775" xr:uid="{00000000-0005-0000-0000-0000A09E0000}"/>
    <cellStyle name="Normal 4 2 6 6 2 3" xfId="37500" xr:uid="{00000000-0005-0000-0000-0000A19E0000}"/>
    <cellStyle name="Normal 4 2 6 6 2 4" xfId="47225" xr:uid="{00000000-0005-0000-0000-0000A29E0000}"/>
    <cellStyle name="Normal 4 2 6 6 2 5" xfId="18050" xr:uid="{00000000-0005-0000-0000-0000A39E0000}"/>
    <cellStyle name="Normal 4 2 6 6 3" xfId="22913" xr:uid="{00000000-0005-0000-0000-0000A49E0000}"/>
    <cellStyle name="Normal 4 2 6 6 4" xfId="32638" xr:uid="{00000000-0005-0000-0000-0000A59E0000}"/>
    <cellStyle name="Normal 4 2 6 6 5" xfId="42363" xr:uid="{00000000-0005-0000-0000-0000A69E0000}"/>
    <cellStyle name="Normal 4 2 6 6 6" xfId="13188" xr:uid="{00000000-0005-0000-0000-0000A79E0000}"/>
    <cellStyle name="Normal 4 2 6 7" xfId="5084" xr:uid="{00000000-0005-0000-0000-0000A89E0000}"/>
    <cellStyle name="Normal 4 2 6 7 2" xfId="24535" xr:uid="{00000000-0005-0000-0000-0000A99E0000}"/>
    <cellStyle name="Normal 4 2 6 7 3" xfId="34260" xr:uid="{00000000-0005-0000-0000-0000AA9E0000}"/>
    <cellStyle name="Normal 4 2 6 7 4" xfId="43985" xr:uid="{00000000-0005-0000-0000-0000AB9E0000}"/>
    <cellStyle name="Normal 4 2 6 7 5" xfId="14810" xr:uid="{00000000-0005-0000-0000-0000AC9E0000}"/>
    <cellStyle name="Normal 4 2 6 8" xfId="19673" xr:uid="{00000000-0005-0000-0000-0000AD9E0000}"/>
    <cellStyle name="Normal 4 2 6 9" xfId="29398" xr:uid="{00000000-0005-0000-0000-0000AE9E0000}"/>
    <cellStyle name="Normal 4 2 7" xfId="833" xr:uid="{00000000-0005-0000-0000-0000AF9E0000}"/>
    <cellStyle name="Normal 4 2 7 2" xfId="2472" xr:uid="{00000000-0005-0000-0000-0000B09E0000}"/>
    <cellStyle name="Normal 4 2 7 2 2" xfId="7334" xr:uid="{00000000-0005-0000-0000-0000B19E0000}"/>
    <cellStyle name="Normal 4 2 7 2 2 2" xfId="26785" xr:uid="{00000000-0005-0000-0000-0000B29E0000}"/>
    <cellStyle name="Normal 4 2 7 2 2 3" xfId="36510" xr:uid="{00000000-0005-0000-0000-0000B39E0000}"/>
    <cellStyle name="Normal 4 2 7 2 2 4" xfId="46235" xr:uid="{00000000-0005-0000-0000-0000B49E0000}"/>
    <cellStyle name="Normal 4 2 7 2 2 5" xfId="17060" xr:uid="{00000000-0005-0000-0000-0000B59E0000}"/>
    <cellStyle name="Normal 4 2 7 2 3" xfId="21923" xr:uid="{00000000-0005-0000-0000-0000B69E0000}"/>
    <cellStyle name="Normal 4 2 7 2 4" xfId="31648" xr:uid="{00000000-0005-0000-0000-0000B79E0000}"/>
    <cellStyle name="Normal 4 2 7 2 5" xfId="41373" xr:uid="{00000000-0005-0000-0000-0000B89E0000}"/>
    <cellStyle name="Normal 4 2 7 2 6" xfId="12198" xr:uid="{00000000-0005-0000-0000-0000B99E0000}"/>
    <cellStyle name="Normal 4 2 7 3" xfId="4092" xr:uid="{00000000-0005-0000-0000-0000BA9E0000}"/>
    <cellStyle name="Normal 4 2 7 3 2" xfId="8954" xr:uid="{00000000-0005-0000-0000-0000BB9E0000}"/>
    <cellStyle name="Normal 4 2 7 3 2 2" xfId="28405" xr:uid="{00000000-0005-0000-0000-0000BC9E0000}"/>
    <cellStyle name="Normal 4 2 7 3 2 3" xfId="38130" xr:uid="{00000000-0005-0000-0000-0000BD9E0000}"/>
    <cellStyle name="Normal 4 2 7 3 2 4" xfId="47855" xr:uid="{00000000-0005-0000-0000-0000BE9E0000}"/>
    <cellStyle name="Normal 4 2 7 3 2 5" xfId="18680" xr:uid="{00000000-0005-0000-0000-0000BF9E0000}"/>
    <cellStyle name="Normal 4 2 7 3 3" xfId="23543" xr:uid="{00000000-0005-0000-0000-0000C09E0000}"/>
    <cellStyle name="Normal 4 2 7 3 4" xfId="33268" xr:uid="{00000000-0005-0000-0000-0000C19E0000}"/>
    <cellStyle name="Normal 4 2 7 3 5" xfId="42993" xr:uid="{00000000-0005-0000-0000-0000C29E0000}"/>
    <cellStyle name="Normal 4 2 7 3 6" xfId="13818" xr:uid="{00000000-0005-0000-0000-0000C39E0000}"/>
    <cellStyle name="Normal 4 2 7 4" xfId="5714" xr:uid="{00000000-0005-0000-0000-0000C49E0000}"/>
    <cellStyle name="Normal 4 2 7 4 2" xfId="25165" xr:uid="{00000000-0005-0000-0000-0000C59E0000}"/>
    <cellStyle name="Normal 4 2 7 4 3" xfId="34890" xr:uid="{00000000-0005-0000-0000-0000C69E0000}"/>
    <cellStyle name="Normal 4 2 7 4 4" xfId="44615" xr:uid="{00000000-0005-0000-0000-0000C79E0000}"/>
    <cellStyle name="Normal 4 2 7 4 5" xfId="15440" xr:uid="{00000000-0005-0000-0000-0000C89E0000}"/>
    <cellStyle name="Normal 4 2 7 5" xfId="20303" xr:uid="{00000000-0005-0000-0000-0000C99E0000}"/>
    <cellStyle name="Normal 4 2 7 6" xfId="30028" xr:uid="{00000000-0005-0000-0000-0000CA9E0000}"/>
    <cellStyle name="Normal 4 2 7 7" xfId="39753" xr:uid="{00000000-0005-0000-0000-0000CB9E0000}"/>
    <cellStyle name="Normal 4 2 7 8" xfId="10578" xr:uid="{00000000-0005-0000-0000-0000CC9E0000}"/>
    <cellStyle name="Normal 4 2 8" xfId="1211" xr:uid="{00000000-0005-0000-0000-0000CD9E0000}"/>
    <cellStyle name="Normal 4 2 8 2" xfId="2832" xr:uid="{00000000-0005-0000-0000-0000CE9E0000}"/>
    <cellStyle name="Normal 4 2 8 2 2" xfId="7694" xr:uid="{00000000-0005-0000-0000-0000CF9E0000}"/>
    <cellStyle name="Normal 4 2 8 2 2 2" xfId="27145" xr:uid="{00000000-0005-0000-0000-0000D09E0000}"/>
    <cellStyle name="Normal 4 2 8 2 2 3" xfId="36870" xr:uid="{00000000-0005-0000-0000-0000D19E0000}"/>
    <cellStyle name="Normal 4 2 8 2 2 4" xfId="46595" xr:uid="{00000000-0005-0000-0000-0000D29E0000}"/>
    <cellStyle name="Normal 4 2 8 2 2 5" xfId="17420" xr:uid="{00000000-0005-0000-0000-0000D39E0000}"/>
    <cellStyle name="Normal 4 2 8 2 3" xfId="22283" xr:uid="{00000000-0005-0000-0000-0000D49E0000}"/>
    <cellStyle name="Normal 4 2 8 2 4" xfId="32008" xr:uid="{00000000-0005-0000-0000-0000D59E0000}"/>
    <cellStyle name="Normal 4 2 8 2 5" xfId="41733" xr:uid="{00000000-0005-0000-0000-0000D69E0000}"/>
    <cellStyle name="Normal 4 2 8 2 6" xfId="12558" xr:uid="{00000000-0005-0000-0000-0000D79E0000}"/>
    <cellStyle name="Normal 4 2 8 3" xfId="4452" xr:uid="{00000000-0005-0000-0000-0000D89E0000}"/>
    <cellStyle name="Normal 4 2 8 3 2" xfId="9314" xr:uid="{00000000-0005-0000-0000-0000D99E0000}"/>
    <cellStyle name="Normal 4 2 8 3 2 2" xfId="28765" xr:uid="{00000000-0005-0000-0000-0000DA9E0000}"/>
    <cellStyle name="Normal 4 2 8 3 2 3" xfId="38490" xr:uid="{00000000-0005-0000-0000-0000DB9E0000}"/>
    <cellStyle name="Normal 4 2 8 3 2 4" xfId="48215" xr:uid="{00000000-0005-0000-0000-0000DC9E0000}"/>
    <cellStyle name="Normal 4 2 8 3 2 5" xfId="19040" xr:uid="{00000000-0005-0000-0000-0000DD9E0000}"/>
    <cellStyle name="Normal 4 2 8 3 3" xfId="23903" xr:uid="{00000000-0005-0000-0000-0000DE9E0000}"/>
    <cellStyle name="Normal 4 2 8 3 4" xfId="33628" xr:uid="{00000000-0005-0000-0000-0000DF9E0000}"/>
    <cellStyle name="Normal 4 2 8 3 5" xfId="43353" xr:uid="{00000000-0005-0000-0000-0000E09E0000}"/>
    <cellStyle name="Normal 4 2 8 3 6" xfId="14178" xr:uid="{00000000-0005-0000-0000-0000E19E0000}"/>
    <cellStyle name="Normal 4 2 8 4" xfId="6074" xr:uid="{00000000-0005-0000-0000-0000E29E0000}"/>
    <cellStyle name="Normal 4 2 8 4 2" xfId="25525" xr:uid="{00000000-0005-0000-0000-0000E39E0000}"/>
    <cellStyle name="Normal 4 2 8 4 3" xfId="35250" xr:uid="{00000000-0005-0000-0000-0000E49E0000}"/>
    <cellStyle name="Normal 4 2 8 4 4" xfId="44975" xr:uid="{00000000-0005-0000-0000-0000E59E0000}"/>
    <cellStyle name="Normal 4 2 8 4 5" xfId="15800" xr:uid="{00000000-0005-0000-0000-0000E69E0000}"/>
    <cellStyle name="Normal 4 2 8 5" xfId="20663" xr:uid="{00000000-0005-0000-0000-0000E79E0000}"/>
    <cellStyle name="Normal 4 2 8 6" xfId="30388" xr:uid="{00000000-0005-0000-0000-0000E89E0000}"/>
    <cellStyle name="Normal 4 2 8 7" xfId="40113" xr:uid="{00000000-0005-0000-0000-0000E99E0000}"/>
    <cellStyle name="Normal 4 2 8 8" xfId="10938" xr:uid="{00000000-0005-0000-0000-0000EA9E0000}"/>
    <cellStyle name="Normal 4 2 9" xfId="1301" xr:uid="{00000000-0005-0000-0000-0000EB9E0000}"/>
    <cellStyle name="Normal 4 2 9 2" xfId="2922" xr:uid="{00000000-0005-0000-0000-0000EC9E0000}"/>
    <cellStyle name="Normal 4 2 9 2 2" xfId="7784" xr:uid="{00000000-0005-0000-0000-0000ED9E0000}"/>
    <cellStyle name="Normal 4 2 9 2 2 2" xfId="27235" xr:uid="{00000000-0005-0000-0000-0000EE9E0000}"/>
    <cellStyle name="Normal 4 2 9 2 2 3" xfId="36960" xr:uid="{00000000-0005-0000-0000-0000EF9E0000}"/>
    <cellStyle name="Normal 4 2 9 2 2 4" xfId="46685" xr:uid="{00000000-0005-0000-0000-0000F09E0000}"/>
    <cellStyle name="Normal 4 2 9 2 2 5" xfId="17510" xr:uid="{00000000-0005-0000-0000-0000F19E0000}"/>
    <cellStyle name="Normal 4 2 9 2 3" xfId="22373" xr:uid="{00000000-0005-0000-0000-0000F29E0000}"/>
    <cellStyle name="Normal 4 2 9 2 4" xfId="32098" xr:uid="{00000000-0005-0000-0000-0000F39E0000}"/>
    <cellStyle name="Normal 4 2 9 2 5" xfId="41823" xr:uid="{00000000-0005-0000-0000-0000F49E0000}"/>
    <cellStyle name="Normal 4 2 9 2 6" xfId="12648" xr:uid="{00000000-0005-0000-0000-0000F59E0000}"/>
    <cellStyle name="Normal 4 2 9 3" xfId="4542" xr:uid="{00000000-0005-0000-0000-0000F69E0000}"/>
    <cellStyle name="Normal 4 2 9 3 2" xfId="9404" xr:uid="{00000000-0005-0000-0000-0000F79E0000}"/>
    <cellStyle name="Normal 4 2 9 3 2 2" xfId="28855" xr:uid="{00000000-0005-0000-0000-0000F89E0000}"/>
    <cellStyle name="Normal 4 2 9 3 2 3" xfId="38580" xr:uid="{00000000-0005-0000-0000-0000F99E0000}"/>
    <cellStyle name="Normal 4 2 9 3 2 4" xfId="48305" xr:uid="{00000000-0005-0000-0000-0000FA9E0000}"/>
    <cellStyle name="Normal 4 2 9 3 2 5" xfId="19130" xr:uid="{00000000-0005-0000-0000-0000FB9E0000}"/>
    <cellStyle name="Normal 4 2 9 3 3" xfId="23993" xr:uid="{00000000-0005-0000-0000-0000FC9E0000}"/>
    <cellStyle name="Normal 4 2 9 3 4" xfId="33718" xr:uid="{00000000-0005-0000-0000-0000FD9E0000}"/>
    <cellStyle name="Normal 4 2 9 3 5" xfId="43443" xr:uid="{00000000-0005-0000-0000-0000FE9E0000}"/>
    <cellStyle name="Normal 4 2 9 3 6" xfId="14268" xr:uid="{00000000-0005-0000-0000-0000FF9E0000}"/>
    <cellStyle name="Normal 4 2 9 4" xfId="6164" xr:uid="{00000000-0005-0000-0000-0000009F0000}"/>
    <cellStyle name="Normal 4 2 9 4 2" xfId="25615" xr:uid="{00000000-0005-0000-0000-0000019F0000}"/>
    <cellStyle name="Normal 4 2 9 4 3" xfId="35340" xr:uid="{00000000-0005-0000-0000-0000029F0000}"/>
    <cellStyle name="Normal 4 2 9 4 4" xfId="45065" xr:uid="{00000000-0005-0000-0000-0000039F0000}"/>
    <cellStyle name="Normal 4 2 9 4 5" xfId="15890" xr:uid="{00000000-0005-0000-0000-0000049F0000}"/>
    <cellStyle name="Normal 4 2 9 5" xfId="20753" xr:uid="{00000000-0005-0000-0000-0000059F0000}"/>
    <cellStyle name="Normal 4 2 9 6" xfId="30478" xr:uid="{00000000-0005-0000-0000-0000069F0000}"/>
    <cellStyle name="Normal 4 2 9 7" xfId="40203" xr:uid="{00000000-0005-0000-0000-0000079F0000}"/>
    <cellStyle name="Normal 4 2 9 8" xfId="11028" xr:uid="{00000000-0005-0000-0000-0000089F0000}"/>
    <cellStyle name="Normal 4 2_Database (All)" xfId="1182" xr:uid="{00000000-0005-0000-0000-0000099F0000}"/>
    <cellStyle name="Normal 4 3" xfId="84" xr:uid="{00000000-0005-0000-0000-00000A9F0000}"/>
    <cellStyle name="Normal 4 3 10" xfId="1768" xr:uid="{00000000-0005-0000-0000-00000B9F0000}"/>
    <cellStyle name="Normal 4 3 10 2" xfId="6630" xr:uid="{00000000-0005-0000-0000-00000C9F0000}"/>
    <cellStyle name="Normal 4 3 10 2 2" xfId="26081" xr:uid="{00000000-0005-0000-0000-00000D9F0000}"/>
    <cellStyle name="Normal 4 3 10 2 3" xfId="35806" xr:uid="{00000000-0005-0000-0000-00000E9F0000}"/>
    <cellStyle name="Normal 4 3 10 2 4" xfId="45531" xr:uid="{00000000-0005-0000-0000-00000F9F0000}"/>
    <cellStyle name="Normal 4 3 10 2 5" xfId="16356" xr:uid="{00000000-0005-0000-0000-0000109F0000}"/>
    <cellStyle name="Normal 4 3 10 3" xfId="21219" xr:uid="{00000000-0005-0000-0000-0000119F0000}"/>
    <cellStyle name="Normal 4 3 10 4" xfId="30944" xr:uid="{00000000-0005-0000-0000-0000129F0000}"/>
    <cellStyle name="Normal 4 3 10 5" xfId="40669" xr:uid="{00000000-0005-0000-0000-0000139F0000}"/>
    <cellStyle name="Normal 4 3 10 6" xfId="11494" xr:uid="{00000000-0005-0000-0000-0000149F0000}"/>
    <cellStyle name="Normal 4 3 11" xfId="3388" xr:uid="{00000000-0005-0000-0000-0000159F0000}"/>
    <cellStyle name="Normal 4 3 11 2" xfId="8250" xr:uid="{00000000-0005-0000-0000-0000169F0000}"/>
    <cellStyle name="Normal 4 3 11 2 2" xfId="27701" xr:uid="{00000000-0005-0000-0000-0000179F0000}"/>
    <cellStyle name="Normal 4 3 11 2 3" xfId="37426" xr:uid="{00000000-0005-0000-0000-0000189F0000}"/>
    <cellStyle name="Normal 4 3 11 2 4" xfId="47151" xr:uid="{00000000-0005-0000-0000-0000199F0000}"/>
    <cellStyle name="Normal 4 3 11 2 5" xfId="17976" xr:uid="{00000000-0005-0000-0000-00001A9F0000}"/>
    <cellStyle name="Normal 4 3 11 3" xfId="22839" xr:uid="{00000000-0005-0000-0000-00001B9F0000}"/>
    <cellStyle name="Normal 4 3 11 4" xfId="32564" xr:uid="{00000000-0005-0000-0000-00001C9F0000}"/>
    <cellStyle name="Normal 4 3 11 5" xfId="42289" xr:uid="{00000000-0005-0000-0000-00001D9F0000}"/>
    <cellStyle name="Normal 4 3 11 6" xfId="13114" xr:uid="{00000000-0005-0000-0000-00001E9F0000}"/>
    <cellStyle name="Normal 4 3 12" xfId="5010" xr:uid="{00000000-0005-0000-0000-00001F9F0000}"/>
    <cellStyle name="Normal 4 3 12 2" xfId="24461" xr:uid="{00000000-0005-0000-0000-0000209F0000}"/>
    <cellStyle name="Normal 4 3 12 3" xfId="34186" xr:uid="{00000000-0005-0000-0000-0000219F0000}"/>
    <cellStyle name="Normal 4 3 12 4" xfId="43911" xr:uid="{00000000-0005-0000-0000-0000229F0000}"/>
    <cellStyle name="Normal 4 3 12 5" xfId="14736" xr:uid="{00000000-0005-0000-0000-0000239F0000}"/>
    <cellStyle name="Normal 4 3 13" xfId="19599" xr:uid="{00000000-0005-0000-0000-0000249F0000}"/>
    <cellStyle name="Normal 4 3 14" xfId="29324" xr:uid="{00000000-0005-0000-0000-0000259F0000}"/>
    <cellStyle name="Normal 4 3 15" xfId="39049" xr:uid="{00000000-0005-0000-0000-0000269F0000}"/>
    <cellStyle name="Normal 4 3 16" xfId="9874" xr:uid="{00000000-0005-0000-0000-0000279F0000}"/>
    <cellStyle name="Normal 4 3 2" xfId="266" xr:uid="{00000000-0005-0000-0000-0000289F0000}"/>
    <cellStyle name="Normal 4 3 2 10" xfId="39229" xr:uid="{00000000-0005-0000-0000-0000299F0000}"/>
    <cellStyle name="Normal 4 3 2 11" xfId="10054" xr:uid="{00000000-0005-0000-0000-00002A9F0000}"/>
    <cellStyle name="Normal 4 3 2 2" xfId="1030" xr:uid="{00000000-0005-0000-0000-00002B9F0000}"/>
    <cellStyle name="Normal 4 3 2 2 2" xfId="2668" xr:uid="{00000000-0005-0000-0000-00002C9F0000}"/>
    <cellStyle name="Normal 4 3 2 2 2 2" xfId="7530" xr:uid="{00000000-0005-0000-0000-00002D9F0000}"/>
    <cellStyle name="Normal 4 3 2 2 2 2 2" xfId="26981" xr:uid="{00000000-0005-0000-0000-00002E9F0000}"/>
    <cellStyle name="Normal 4 3 2 2 2 2 3" xfId="36706" xr:uid="{00000000-0005-0000-0000-00002F9F0000}"/>
    <cellStyle name="Normal 4 3 2 2 2 2 4" xfId="46431" xr:uid="{00000000-0005-0000-0000-0000309F0000}"/>
    <cellStyle name="Normal 4 3 2 2 2 2 5" xfId="17256" xr:uid="{00000000-0005-0000-0000-0000319F0000}"/>
    <cellStyle name="Normal 4 3 2 2 2 3" xfId="22119" xr:uid="{00000000-0005-0000-0000-0000329F0000}"/>
    <cellStyle name="Normal 4 3 2 2 2 4" xfId="31844" xr:uid="{00000000-0005-0000-0000-0000339F0000}"/>
    <cellStyle name="Normal 4 3 2 2 2 5" xfId="41569" xr:uid="{00000000-0005-0000-0000-0000349F0000}"/>
    <cellStyle name="Normal 4 3 2 2 2 6" xfId="12394" xr:uid="{00000000-0005-0000-0000-0000359F0000}"/>
    <cellStyle name="Normal 4 3 2 2 3" xfId="4288" xr:uid="{00000000-0005-0000-0000-0000369F0000}"/>
    <cellStyle name="Normal 4 3 2 2 3 2" xfId="9150" xr:uid="{00000000-0005-0000-0000-0000379F0000}"/>
    <cellStyle name="Normal 4 3 2 2 3 2 2" xfId="28601" xr:uid="{00000000-0005-0000-0000-0000389F0000}"/>
    <cellStyle name="Normal 4 3 2 2 3 2 3" xfId="38326" xr:uid="{00000000-0005-0000-0000-0000399F0000}"/>
    <cellStyle name="Normal 4 3 2 2 3 2 4" xfId="48051" xr:uid="{00000000-0005-0000-0000-00003A9F0000}"/>
    <cellStyle name="Normal 4 3 2 2 3 2 5" xfId="18876" xr:uid="{00000000-0005-0000-0000-00003B9F0000}"/>
    <cellStyle name="Normal 4 3 2 2 3 3" xfId="23739" xr:uid="{00000000-0005-0000-0000-00003C9F0000}"/>
    <cellStyle name="Normal 4 3 2 2 3 4" xfId="33464" xr:uid="{00000000-0005-0000-0000-00003D9F0000}"/>
    <cellStyle name="Normal 4 3 2 2 3 5" xfId="43189" xr:uid="{00000000-0005-0000-0000-00003E9F0000}"/>
    <cellStyle name="Normal 4 3 2 2 3 6" xfId="14014" xr:uid="{00000000-0005-0000-0000-00003F9F0000}"/>
    <cellStyle name="Normal 4 3 2 2 4" xfId="5910" xr:uid="{00000000-0005-0000-0000-0000409F0000}"/>
    <cellStyle name="Normal 4 3 2 2 4 2" xfId="25361" xr:uid="{00000000-0005-0000-0000-0000419F0000}"/>
    <cellStyle name="Normal 4 3 2 2 4 3" xfId="35086" xr:uid="{00000000-0005-0000-0000-0000429F0000}"/>
    <cellStyle name="Normal 4 3 2 2 4 4" xfId="44811" xr:uid="{00000000-0005-0000-0000-0000439F0000}"/>
    <cellStyle name="Normal 4 3 2 2 4 5" xfId="15636" xr:uid="{00000000-0005-0000-0000-0000449F0000}"/>
    <cellStyle name="Normal 4 3 2 2 5" xfId="20499" xr:uid="{00000000-0005-0000-0000-0000459F0000}"/>
    <cellStyle name="Normal 4 3 2 2 6" xfId="30224" xr:uid="{00000000-0005-0000-0000-0000469F0000}"/>
    <cellStyle name="Normal 4 3 2 2 7" xfId="39949" xr:uid="{00000000-0005-0000-0000-0000479F0000}"/>
    <cellStyle name="Normal 4 3 2 2 8" xfId="10774" xr:uid="{00000000-0005-0000-0000-0000489F0000}"/>
    <cellStyle name="Normal 4 3 2 3" xfId="1497" xr:uid="{00000000-0005-0000-0000-0000499F0000}"/>
    <cellStyle name="Normal 4 3 2 3 2" xfId="3118" xr:uid="{00000000-0005-0000-0000-00004A9F0000}"/>
    <cellStyle name="Normal 4 3 2 3 2 2" xfId="7980" xr:uid="{00000000-0005-0000-0000-00004B9F0000}"/>
    <cellStyle name="Normal 4 3 2 3 2 2 2" xfId="27431" xr:uid="{00000000-0005-0000-0000-00004C9F0000}"/>
    <cellStyle name="Normal 4 3 2 3 2 2 3" xfId="37156" xr:uid="{00000000-0005-0000-0000-00004D9F0000}"/>
    <cellStyle name="Normal 4 3 2 3 2 2 4" xfId="46881" xr:uid="{00000000-0005-0000-0000-00004E9F0000}"/>
    <cellStyle name="Normal 4 3 2 3 2 2 5" xfId="17706" xr:uid="{00000000-0005-0000-0000-00004F9F0000}"/>
    <cellStyle name="Normal 4 3 2 3 2 3" xfId="22569" xr:uid="{00000000-0005-0000-0000-0000509F0000}"/>
    <cellStyle name="Normal 4 3 2 3 2 4" xfId="32294" xr:uid="{00000000-0005-0000-0000-0000519F0000}"/>
    <cellStyle name="Normal 4 3 2 3 2 5" xfId="42019" xr:uid="{00000000-0005-0000-0000-0000529F0000}"/>
    <cellStyle name="Normal 4 3 2 3 2 6" xfId="12844" xr:uid="{00000000-0005-0000-0000-0000539F0000}"/>
    <cellStyle name="Normal 4 3 2 3 3" xfId="4738" xr:uid="{00000000-0005-0000-0000-0000549F0000}"/>
    <cellStyle name="Normal 4 3 2 3 3 2" xfId="9600" xr:uid="{00000000-0005-0000-0000-0000559F0000}"/>
    <cellStyle name="Normal 4 3 2 3 3 2 2" xfId="29051" xr:uid="{00000000-0005-0000-0000-0000569F0000}"/>
    <cellStyle name="Normal 4 3 2 3 3 2 3" xfId="38776" xr:uid="{00000000-0005-0000-0000-0000579F0000}"/>
    <cellStyle name="Normal 4 3 2 3 3 2 4" xfId="48501" xr:uid="{00000000-0005-0000-0000-0000589F0000}"/>
    <cellStyle name="Normal 4 3 2 3 3 2 5" xfId="19326" xr:uid="{00000000-0005-0000-0000-0000599F0000}"/>
    <cellStyle name="Normal 4 3 2 3 3 3" xfId="24189" xr:uid="{00000000-0005-0000-0000-00005A9F0000}"/>
    <cellStyle name="Normal 4 3 2 3 3 4" xfId="33914" xr:uid="{00000000-0005-0000-0000-00005B9F0000}"/>
    <cellStyle name="Normal 4 3 2 3 3 5" xfId="43639" xr:uid="{00000000-0005-0000-0000-00005C9F0000}"/>
    <cellStyle name="Normal 4 3 2 3 3 6" xfId="14464" xr:uid="{00000000-0005-0000-0000-00005D9F0000}"/>
    <cellStyle name="Normal 4 3 2 3 4" xfId="6360" xr:uid="{00000000-0005-0000-0000-00005E9F0000}"/>
    <cellStyle name="Normal 4 3 2 3 4 2" xfId="25811" xr:uid="{00000000-0005-0000-0000-00005F9F0000}"/>
    <cellStyle name="Normal 4 3 2 3 4 3" xfId="35536" xr:uid="{00000000-0005-0000-0000-0000609F0000}"/>
    <cellStyle name="Normal 4 3 2 3 4 4" xfId="45261" xr:uid="{00000000-0005-0000-0000-0000619F0000}"/>
    <cellStyle name="Normal 4 3 2 3 4 5" xfId="16086" xr:uid="{00000000-0005-0000-0000-0000629F0000}"/>
    <cellStyle name="Normal 4 3 2 3 5" xfId="20949" xr:uid="{00000000-0005-0000-0000-0000639F0000}"/>
    <cellStyle name="Normal 4 3 2 3 6" xfId="30674" xr:uid="{00000000-0005-0000-0000-0000649F0000}"/>
    <cellStyle name="Normal 4 3 2 3 7" xfId="40399" xr:uid="{00000000-0005-0000-0000-0000659F0000}"/>
    <cellStyle name="Normal 4 3 2 3 8" xfId="11224" xr:uid="{00000000-0005-0000-0000-0000669F0000}"/>
    <cellStyle name="Normal 4 3 2 4" xfId="668" xr:uid="{00000000-0005-0000-0000-0000679F0000}"/>
    <cellStyle name="Normal 4 3 2 4 2" xfId="2308" xr:uid="{00000000-0005-0000-0000-0000689F0000}"/>
    <cellStyle name="Normal 4 3 2 4 2 2" xfId="7170" xr:uid="{00000000-0005-0000-0000-0000699F0000}"/>
    <cellStyle name="Normal 4 3 2 4 2 2 2" xfId="26621" xr:uid="{00000000-0005-0000-0000-00006A9F0000}"/>
    <cellStyle name="Normal 4 3 2 4 2 2 3" xfId="36346" xr:uid="{00000000-0005-0000-0000-00006B9F0000}"/>
    <cellStyle name="Normal 4 3 2 4 2 2 4" xfId="46071" xr:uid="{00000000-0005-0000-0000-00006C9F0000}"/>
    <cellStyle name="Normal 4 3 2 4 2 2 5" xfId="16896" xr:uid="{00000000-0005-0000-0000-00006D9F0000}"/>
    <cellStyle name="Normal 4 3 2 4 2 3" xfId="21759" xr:uid="{00000000-0005-0000-0000-00006E9F0000}"/>
    <cellStyle name="Normal 4 3 2 4 2 4" xfId="31484" xr:uid="{00000000-0005-0000-0000-00006F9F0000}"/>
    <cellStyle name="Normal 4 3 2 4 2 5" xfId="41209" xr:uid="{00000000-0005-0000-0000-0000709F0000}"/>
    <cellStyle name="Normal 4 3 2 4 2 6" xfId="12034" xr:uid="{00000000-0005-0000-0000-0000719F0000}"/>
    <cellStyle name="Normal 4 3 2 4 3" xfId="3928" xr:uid="{00000000-0005-0000-0000-0000729F0000}"/>
    <cellStyle name="Normal 4 3 2 4 3 2" xfId="8790" xr:uid="{00000000-0005-0000-0000-0000739F0000}"/>
    <cellStyle name="Normal 4 3 2 4 3 2 2" xfId="28241" xr:uid="{00000000-0005-0000-0000-0000749F0000}"/>
    <cellStyle name="Normal 4 3 2 4 3 2 3" xfId="37966" xr:uid="{00000000-0005-0000-0000-0000759F0000}"/>
    <cellStyle name="Normal 4 3 2 4 3 2 4" xfId="47691" xr:uid="{00000000-0005-0000-0000-0000769F0000}"/>
    <cellStyle name="Normal 4 3 2 4 3 2 5" xfId="18516" xr:uid="{00000000-0005-0000-0000-0000779F0000}"/>
    <cellStyle name="Normal 4 3 2 4 3 3" xfId="23379" xr:uid="{00000000-0005-0000-0000-0000789F0000}"/>
    <cellStyle name="Normal 4 3 2 4 3 4" xfId="33104" xr:uid="{00000000-0005-0000-0000-0000799F0000}"/>
    <cellStyle name="Normal 4 3 2 4 3 5" xfId="42829" xr:uid="{00000000-0005-0000-0000-00007A9F0000}"/>
    <cellStyle name="Normal 4 3 2 4 3 6" xfId="13654" xr:uid="{00000000-0005-0000-0000-00007B9F0000}"/>
    <cellStyle name="Normal 4 3 2 4 4" xfId="5550" xr:uid="{00000000-0005-0000-0000-00007C9F0000}"/>
    <cellStyle name="Normal 4 3 2 4 4 2" xfId="25001" xr:uid="{00000000-0005-0000-0000-00007D9F0000}"/>
    <cellStyle name="Normal 4 3 2 4 4 3" xfId="34726" xr:uid="{00000000-0005-0000-0000-00007E9F0000}"/>
    <cellStyle name="Normal 4 3 2 4 4 4" xfId="44451" xr:uid="{00000000-0005-0000-0000-00007F9F0000}"/>
    <cellStyle name="Normal 4 3 2 4 4 5" xfId="15276" xr:uid="{00000000-0005-0000-0000-0000809F0000}"/>
    <cellStyle name="Normal 4 3 2 4 5" xfId="20139" xr:uid="{00000000-0005-0000-0000-0000819F0000}"/>
    <cellStyle name="Normal 4 3 2 4 6" xfId="29864" xr:uid="{00000000-0005-0000-0000-0000829F0000}"/>
    <cellStyle name="Normal 4 3 2 4 7" xfId="39589" xr:uid="{00000000-0005-0000-0000-0000839F0000}"/>
    <cellStyle name="Normal 4 3 2 4 8" xfId="10414" xr:uid="{00000000-0005-0000-0000-0000849F0000}"/>
    <cellStyle name="Normal 4 3 2 5" xfId="1948" xr:uid="{00000000-0005-0000-0000-0000859F0000}"/>
    <cellStyle name="Normal 4 3 2 5 2" xfId="6810" xr:uid="{00000000-0005-0000-0000-0000869F0000}"/>
    <cellStyle name="Normal 4 3 2 5 2 2" xfId="26261" xr:uid="{00000000-0005-0000-0000-0000879F0000}"/>
    <cellStyle name="Normal 4 3 2 5 2 3" xfId="35986" xr:uid="{00000000-0005-0000-0000-0000889F0000}"/>
    <cellStyle name="Normal 4 3 2 5 2 4" xfId="45711" xr:uid="{00000000-0005-0000-0000-0000899F0000}"/>
    <cellStyle name="Normal 4 3 2 5 2 5" xfId="16536" xr:uid="{00000000-0005-0000-0000-00008A9F0000}"/>
    <cellStyle name="Normal 4 3 2 5 3" xfId="21399" xr:uid="{00000000-0005-0000-0000-00008B9F0000}"/>
    <cellStyle name="Normal 4 3 2 5 4" xfId="31124" xr:uid="{00000000-0005-0000-0000-00008C9F0000}"/>
    <cellStyle name="Normal 4 3 2 5 5" xfId="40849" xr:uid="{00000000-0005-0000-0000-00008D9F0000}"/>
    <cellStyle name="Normal 4 3 2 5 6" xfId="11674" xr:uid="{00000000-0005-0000-0000-00008E9F0000}"/>
    <cellStyle name="Normal 4 3 2 6" xfId="3568" xr:uid="{00000000-0005-0000-0000-00008F9F0000}"/>
    <cellStyle name="Normal 4 3 2 6 2" xfId="8430" xr:uid="{00000000-0005-0000-0000-0000909F0000}"/>
    <cellStyle name="Normal 4 3 2 6 2 2" xfId="27881" xr:uid="{00000000-0005-0000-0000-0000919F0000}"/>
    <cellStyle name="Normal 4 3 2 6 2 3" xfId="37606" xr:uid="{00000000-0005-0000-0000-0000929F0000}"/>
    <cellStyle name="Normal 4 3 2 6 2 4" xfId="47331" xr:uid="{00000000-0005-0000-0000-0000939F0000}"/>
    <cellStyle name="Normal 4 3 2 6 2 5" xfId="18156" xr:uid="{00000000-0005-0000-0000-0000949F0000}"/>
    <cellStyle name="Normal 4 3 2 6 3" xfId="23019" xr:uid="{00000000-0005-0000-0000-0000959F0000}"/>
    <cellStyle name="Normal 4 3 2 6 4" xfId="32744" xr:uid="{00000000-0005-0000-0000-0000969F0000}"/>
    <cellStyle name="Normal 4 3 2 6 5" xfId="42469" xr:uid="{00000000-0005-0000-0000-0000979F0000}"/>
    <cellStyle name="Normal 4 3 2 6 6" xfId="13294" xr:uid="{00000000-0005-0000-0000-0000989F0000}"/>
    <cellStyle name="Normal 4 3 2 7" xfId="5190" xr:uid="{00000000-0005-0000-0000-0000999F0000}"/>
    <cellStyle name="Normal 4 3 2 7 2" xfId="24641" xr:uid="{00000000-0005-0000-0000-00009A9F0000}"/>
    <cellStyle name="Normal 4 3 2 7 3" xfId="34366" xr:uid="{00000000-0005-0000-0000-00009B9F0000}"/>
    <cellStyle name="Normal 4 3 2 7 4" xfId="44091" xr:uid="{00000000-0005-0000-0000-00009C9F0000}"/>
    <cellStyle name="Normal 4 3 2 7 5" xfId="14916" xr:uid="{00000000-0005-0000-0000-00009D9F0000}"/>
    <cellStyle name="Normal 4 3 2 8" xfId="19779" xr:uid="{00000000-0005-0000-0000-00009E9F0000}"/>
    <cellStyle name="Normal 4 3 2 9" xfId="29504" xr:uid="{00000000-0005-0000-0000-00009F9F0000}"/>
    <cellStyle name="Normal 4 3 3" xfId="357" xr:uid="{00000000-0005-0000-0000-0000A09F0000}"/>
    <cellStyle name="Normal 4 3 3 10" xfId="39319" xr:uid="{00000000-0005-0000-0000-0000A19F0000}"/>
    <cellStyle name="Normal 4 3 3 11" xfId="10144" xr:uid="{00000000-0005-0000-0000-0000A29F0000}"/>
    <cellStyle name="Normal 4 3 3 2" xfId="1120" xr:uid="{00000000-0005-0000-0000-0000A39F0000}"/>
    <cellStyle name="Normal 4 3 3 2 2" xfId="2758" xr:uid="{00000000-0005-0000-0000-0000A49F0000}"/>
    <cellStyle name="Normal 4 3 3 2 2 2" xfId="7620" xr:uid="{00000000-0005-0000-0000-0000A59F0000}"/>
    <cellStyle name="Normal 4 3 3 2 2 2 2" xfId="27071" xr:uid="{00000000-0005-0000-0000-0000A69F0000}"/>
    <cellStyle name="Normal 4 3 3 2 2 2 3" xfId="36796" xr:uid="{00000000-0005-0000-0000-0000A79F0000}"/>
    <cellStyle name="Normal 4 3 3 2 2 2 4" xfId="46521" xr:uid="{00000000-0005-0000-0000-0000A89F0000}"/>
    <cellStyle name="Normal 4 3 3 2 2 2 5" xfId="17346" xr:uid="{00000000-0005-0000-0000-0000A99F0000}"/>
    <cellStyle name="Normal 4 3 3 2 2 3" xfId="22209" xr:uid="{00000000-0005-0000-0000-0000AA9F0000}"/>
    <cellStyle name="Normal 4 3 3 2 2 4" xfId="31934" xr:uid="{00000000-0005-0000-0000-0000AB9F0000}"/>
    <cellStyle name="Normal 4 3 3 2 2 5" xfId="41659" xr:uid="{00000000-0005-0000-0000-0000AC9F0000}"/>
    <cellStyle name="Normal 4 3 3 2 2 6" xfId="12484" xr:uid="{00000000-0005-0000-0000-0000AD9F0000}"/>
    <cellStyle name="Normal 4 3 3 2 3" xfId="4378" xr:uid="{00000000-0005-0000-0000-0000AE9F0000}"/>
    <cellStyle name="Normal 4 3 3 2 3 2" xfId="9240" xr:uid="{00000000-0005-0000-0000-0000AF9F0000}"/>
    <cellStyle name="Normal 4 3 3 2 3 2 2" xfId="28691" xr:uid="{00000000-0005-0000-0000-0000B09F0000}"/>
    <cellStyle name="Normal 4 3 3 2 3 2 3" xfId="38416" xr:uid="{00000000-0005-0000-0000-0000B19F0000}"/>
    <cellStyle name="Normal 4 3 3 2 3 2 4" xfId="48141" xr:uid="{00000000-0005-0000-0000-0000B29F0000}"/>
    <cellStyle name="Normal 4 3 3 2 3 2 5" xfId="18966" xr:uid="{00000000-0005-0000-0000-0000B39F0000}"/>
    <cellStyle name="Normal 4 3 3 2 3 3" xfId="23829" xr:uid="{00000000-0005-0000-0000-0000B49F0000}"/>
    <cellStyle name="Normal 4 3 3 2 3 4" xfId="33554" xr:uid="{00000000-0005-0000-0000-0000B59F0000}"/>
    <cellStyle name="Normal 4 3 3 2 3 5" xfId="43279" xr:uid="{00000000-0005-0000-0000-0000B69F0000}"/>
    <cellStyle name="Normal 4 3 3 2 3 6" xfId="14104" xr:uid="{00000000-0005-0000-0000-0000B79F0000}"/>
    <cellStyle name="Normal 4 3 3 2 4" xfId="6000" xr:uid="{00000000-0005-0000-0000-0000B89F0000}"/>
    <cellStyle name="Normal 4 3 3 2 4 2" xfId="25451" xr:uid="{00000000-0005-0000-0000-0000B99F0000}"/>
    <cellStyle name="Normal 4 3 3 2 4 3" xfId="35176" xr:uid="{00000000-0005-0000-0000-0000BA9F0000}"/>
    <cellStyle name="Normal 4 3 3 2 4 4" xfId="44901" xr:uid="{00000000-0005-0000-0000-0000BB9F0000}"/>
    <cellStyle name="Normal 4 3 3 2 4 5" xfId="15726" xr:uid="{00000000-0005-0000-0000-0000BC9F0000}"/>
    <cellStyle name="Normal 4 3 3 2 5" xfId="20589" xr:uid="{00000000-0005-0000-0000-0000BD9F0000}"/>
    <cellStyle name="Normal 4 3 3 2 6" xfId="30314" xr:uid="{00000000-0005-0000-0000-0000BE9F0000}"/>
    <cellStyle name="Normal 4 3 3 2 7" xfId="40039" xr:uid="{00000000-0005-0000-0000-0000BF9F0000}"/>
    <cellStyle name="Normal 4 3 3 2 8" xfId="10864" xr:uid="{00000000-0005-0000-0000-0000C09F0000}"/>
    <cellStyle name="Normal 4 3 3 3" xfId="1587" xr:uid="{00000000-0005-0000-0000-0000C19F0000}"/>
    <cellStyle name="Normal 4 3 3 3 2" xfId="3208" xr:uid="{00000000-0005-0000-0000-0000C29F0000}"/>
    <cellStyle name="Normal 4 3 3 3 2 2" xfId="8070" xr:uid="{00000000-0005-0000-0000-0000C39F0000}"/>
    <cellStyle name="Normal 4 3 3 3 2 2 2" xfId="27521" xr:uid="{00000000-0005-0000-0000-0000C49F0000}"/>
    <cellStyle name="Normal 4 3 3 3 2 2 3" xfId="37246" xr:uid="{00000000-0005-0000-0000-0000C59F0000}"/>
    <cellStyle name="Normal 4 3 3 3 2 2 4" xfId="46971" xr:uid="{00000000-0005-0000-0000-0000C69F0000}"/>
    <cellStyle name="Normal 4 3 3 3 2 2 5" xfId="17796" xr:uid="{00000000-0005-0000-0000-0000C79F0000}"/>
    <cellStyle name="Normal 4 3 3 3 2 3" xfId="22659" xr:uid="{00000000-0005-0000-0000-0000C89F0000}"/>
    <cellStyle name="Normal 4 3 3 3 2 4" xfId="32384" xr:uid="{00000000-0005-0000-0000-0000C99F0000}"/>
    <cellStyle name="Normal 4 3 3 3 2 5" xfId="42109" xr:uid="{00000000-0005-0000-0000-0000CA9F0000}"/>
    <cellStyle name="Normal 4 3 3 3 2 6" xfId="12934" xr:uid="{00000000-0005-0000-0000-0000CB9F0000}"/>
    <cellStyle name="Normal 4 3 3 3 3" xfId="4828" xr:uid="{00000000-0005-0000-0000-0000CC9F0000}"/>
    <cellStyle name="Normal 4 3 3 3 3 2" xfId="9690" xr:uid="{00000000-0005-0000-0000-0000CD9F0000}"/>
    <cellStyle name="Normal 4 3 3 3 3 2 2" xfId="29141" xr:uid="{00000000-0005-0000-0000-0000CE9F0000}"/>
    <cellStyle name="Normal 4 3 3 3 3 2 3" xfId="38866" xr:uid="{00000000-0005-0000-0000-0000CF9F0000}"/>
    <cellStyle name="Normal 4 3 3 3 3 2 4" xfId="48591" xr:uid="{00000000-0005-0000-0000-0000D09F0000}"/>
    <cellStyle name="Normal 4 3 3 3 3 2 5" xfId="19416" xr:uid="{00000000-0005-0000-0000-0000D19F0000}"/>
    <cellStyle name="Normal 4 3 3 3 3 3" xfId="24279" xr:uid="{00000000-0005-0000-0000-0000D29F0000}"/>
    <cellStyle name="Normal 4 3 3 3 3 4" xfId="34004" xr:uid="{00000000-0005-0000-0000-0000D39F0000}"/>
    <cellStyle name="Normal 4 3 3 3 3 5" xfId="43729" xr:uid="{00000000-0005-0000-0000-0000D49F0000}"/>
    <cellStyle name="Normal 4 3 3 3 3 6" xfId="14554" xr:uid="{00000000-0005-0000-0000-0000D59F0000}"/>
    <cellStyle name="Normal 4 3 3 3 4" xfId="6450" xr:uid="{00000000-0005-0000-0000-0000D69F0000}"/>
    <cellStyle name="Normal 4 3 3 3 4 2" xfId="25901" xr:uid="{00000000-0005-0000-0000-0000D79F0000}"/>
    <cellStyle name="Normal 4 3 3 3 4 3" xfId="35626" xr:uid="{00000000-0005-0000-0000-0000D89F0000}"/>
    <cellStyle name="Normal 4 3 3 3 4 4" xfId="45351" xr:uid="{00000000-0005-0000-0000-0000D99F0000}"/>
    <cellStyle name="Normal 4 3 3 3 4 5" xfId="16176" xr:uid="{00000000-0005-0000-0000-0000DA9F0000}"/>
    <cellStyle name="Normal 4 3 3 3 5" xfId="21039" xr:uid="{00000000-0005-0000-0000-0000DB9F0000}"/>
    <cellStyle name="Normal 4 3 3 3 6" xfId="30764" xr:uid="{00000000-0005-0000-0000-0000DC9F0000}"/>
    <cellStyle name="Normal 4 3 3 3 7" xfId="40489" xr:uid="{00000000-0005-0000-0000-0000DD9F0000}"/>
    <cellStyle name="Normal 4 3 3 3 8" xfId="11314" xr:uid="{00000000-0005-0000-0000-0000DE9F0000}"/>
    <cellStyle name="Normal 4 3 3 4" xfId="758" xr:uid="{00000000-0005-0000-0000-0000DF9F0000}"/>
    <cellStyle name="Normal 4 3 3 4 2" xfId="2398" xr:uid="{00000000-0005-0000-0000-0000E09F0000}"/>
    <cellStyle name="Normal 4 3 3 4 2 2" xfId="7260" xr:uid="{00000000-0005-0000-0000-0000E19F0000}"/>
    <cellStyle name="Normal 4 3 3 4 2 2 2" xfId="26711" xr:uid="{00000000-0005-0000-0000-0000E29F0000}"/>
    <cellStyle name="Normal 4 3 3 4 2 2 3" xfId="36436" xr:uid="{00000000-0005-0000-0000-0000E39F0000}"/>
    <cellStyle name="Normal 4 3 3 4 2 2 4" xfId="46161" xr:uid="{00000000-0005-0000-0000-0000E49F0000}"/>
    <cellStyle name="Normal 4 3 3 4 2 2 5" xfId="16986" xr:uid="{00000000-0005-0000-0000-0000E59F0000}"/>
    <cellStyle name="Normal 4 3 3 4 2 3" xfId="21849" xr:uid="{00000000-0005-0000-0000-0000E69F0000}"/>
    <cellStyle name="Normal 4 3 3 4 2 4" xfId="31574" xr:uid="{00000000-0005-0000-0000-0000E79F0000}"/>
    <cellStyle name="Normal 4 3 3 4 2 5" xfId="41299" xr:uid="{00000000-0005-0000-0000-0000E89F0000}"/>
    <cellStyle name="Normal 4 3 3 4 2 6" xfId="12124" xr:uid="{00000000-0005-0000-0000-0000E99F0000}"/>
    <cellStyle name="Normal 4 3 3 4 3" xfId="4018" xr:uid="{00000000-0005-0000-0000-0000EA9F0000}"/>
    <cellStyle name="Normal 4 3 3 4 3 2" xfId="8880" xr:uid="{00000000-0005-0000-0000-0000EB9F0000}"/>
    <cellStyle name="Normal 4 3 3 4 3 2 2" xfId="28331" xr:uid="{00000000-0005-0000-0000-0000EC9F0000}"/>
    <cellStyle name="Normal 4 3 3 4 3 2 3" xfId="38056" xr:uid="{00000000-0005-0000-0000-0000ED9F0000}"/>
    <cellStyle name="Normal 4 3 3 4 3 2 4" xfId="47781" xr:uid="{00000000-0005-0000-0000-0000EE9F0000}"/>
    <cellStyle name="Normal 4 3 3 4 3 2 5" xfId="18606" xr:uid="{00000000-0005-0000-0000-0000EF9F0000}"/>
    <cellStyle name="Normal 4 3 3 4 3 3" xfId="23469" xr:uid="{00000000-0005-0000-0000-0000F09F0000}"/>
    <cellStyle name="Normal 4 3 3 4 3 4" xfId="33194" xr:uid="{00000000-0005-0000-0000-0000F19F0000}"/>
    <cellStyle name="Normal 4 3 3 4 3 5" xfId="42919" xr:uid="{00000000-0005-0000-0000-0000F29F0000}"/>
    <cellStyle name="Normal 4 3 3 4 3 6" xfId="13744" xr:uid="{00000000-0005-0000-0000-0000F39F0000}"/>
    <cellStyle name="Normal 4 3 3 4 4" xfId="5640" xr:uid="{00000000-0005-0000-0000-0000F49F0000}"/>
    <cellStyle name="Normal 4 3 3 4 4 2" xfId="25091" xr:uid="{00000000-0005-0000-0000-0000F59F0000}"/>
    <cellStyle name="Normal 4 3 3 4 4 3" xfId="34816" xr:uid="{00000000-0005-0000-0000-0000F69F0000}"/>
    <cellStyle name="Normal 4 3 3 4 4 4" xfId="44541" xr:uid="{00000000-0005-0000-0000-0000F79F0000}"/>
    <cellStyle name="Normal 4 3 3 4 4 5" xfId="15366" xr:uid="{00000000-0005-0000-0000-0000F89F0000}"/>
    <cellStyle name="Normal 4 3 3 4 5" xfId="20229" xr:uid="{00000000-0005-0000-0000-0000F99F0000}"/>
    <cellStyle name="Normal 4 3 3 4 6" xfId="29954" xr:uid="{00000000-0005-0000-0000-0000FA9F0000}"/>
    <cellStyle name="Normal 4 3 3 4 7" xfId="39679" xr:uid="{00000000-0005-0000-0000-0000FB9F0000}"/>
    <cellStyle name="Normal 4 3 3 4 8" xfId="10504" xr:uid="{00000000-0005-0000-0000-0000FC9F0000}"/>
    <cellStyle name="Normal 4 3 3 5" xfId="2038" xr:uid="{00000000-0005-0000-0000-0000FD9F0000}"/>
    <cellStyle name="Normal 4 3 3 5 2" xfId="6900" xr:uid="{00000000-0005-0000-0000-0000FE9F0000}"/>
    <cellStyle name="Normal 4 3 3 5 2 2" xfId="26351" xr:uid="{00000000-0005-0000-0000-0000FF9F0000}"/>
    <cellStyle name="Normal 4 3 3 5 2 3" xfId="36076" xr:uid="{00000000-0005-0000-0000-000000A00000}"/>
    <cellStyle name="Normal 4 3 3 5 2 4" xfId="45801" xr:uid="{00000000-0005-0000-0000-000001A00000}"/>
    <cellStyle name="Normal 4 3 3 5 2 5" xfId="16626" xr:uid="{00000000-0005-0000-0000-000002A00000}"/>
    <cellStyle name="Normal 4 3 3 5 3" xfId="21489" xr:uid="{00000000-0005-0000-0000-000003A00000}"/>
    <cellStyle name="Normal 4 3 3 5 4" xfId="31214" xr:uid="{00000000-0005-0000-0000-000004A00000}"/>
    <cellStyle name="Normal 4 3 3 5 5" xfId="40939" xr:uid="{00000000-0005-0000-0000-000005A00000}"/>
    <cellStyle name="Normal 4 3 3 5 6" xfId="11764" xr:uid="{00000000-0005-0000-0000-000006A00000}"/>
    <cellStyle name="Normal 4 3 3 6" xfId="3658" xr:uid="{00000000-0005-0000-0000-000007A00000}"/>
    <cellStyle name="Normal 4 3 3 6 2" xfId="8520" xr:uid="{00000000-0005-0000-0000-000008A00000}"/>
    <cellStyle name="Normal 4 3 3 6 2 2" xfId="27971" xr:uid="{00000000-0005-0000-0000-000009A00000}"/>
    <cellStyle name="Normal 4 3 3 6 2 3" xfId="37696" xr:uid="{00000000-0005-0000-0000-00000AA00000}"/>
    <cellStyle name="Normal 4 3 3 6 2 4" xfId="47421" xr:uid="{00000000-0005-0000-0000-00000BA00000}"/>
    <cellStyle name="Normal 4 3 3 6 2 5" xfId="18246" xr:uid="{00000000-0005-0000-0000-00000CA00000}"/>
    <cellStyle name="Normal 4 3 3 6 3" xfId="23109" xr:uid="{00000000-0005-0000-0000-00000DA00000}"/>
    <cellStyle name="Normal 4 3 3 6 4" xfId="32834" xr:uid="{00000000-0005-0000-0000-00000EA00000}"/>
    <cellStyle name="Normal 4 3 3 6 5" xfId="42559" xr:uid="{00000000-0005-0000-0000-00000FA00000}"/>
    <cellStyle name="Normal 4 3 3 6 6" xfId="13384" xr:uid="{00000000-0005-0000-0000-000010A00000}"/>
    <cellStyle name="Normal 4 3 3 7" xfId="5280" xr:uid="{00000000-0005-0000-0000-000011A00000}"/>
    <cellStyle name="Normal 4 3 3 7 2" xfId="24731" xr:uid="{00000000-0005-0000-0000-000012A00000}"/>
    <cellStyle name="Normal 4 3 3 7 3" xfId="34456" xr:uid="{00000000-0005-0000-0000-000013A00000}"/>
    <cellStyle name="Normal 4 3 3 7 4" xfId="44181" xr:uid="{00000000-0005-0000-0000-000014A00000}"/>
    <cellStyle name="Normal 4 3 3 7 5" xfId="15006" xr:uid="{00000000-0005-0000-0000-000015A00000}"/>
    <cellStyle name="Normal 4 3 3 8" xfId="19869" xr:uid="{00000000-0005-0000-0000-000016A00000}"/>
    <cellStyle name="Normal 4 3 3 9" xfId="29594" xr:uid="{00000000-0005-0000-0000-000017A00000}"/>
    <cellStyle name="Normal 4 3 4" xfId="175" xr:uid="{00000000-0005-0000-0000-000018A00000}"/>
    <cellStyle name="Normal 4 3 4 10" xfId="39139" xr:uid="{00000000-0005-0000-0000-000019A00000}"/>
    <cellStyle name="Normal 4 3 4 11" xfId="9964" xr:uid="{00000000-0005-0000-0000-00001AA00000}"/>
    <cellStyle name="Normal 4 3 4 2" xfId="939" xr:uid="{00000000-0005-0000-0000-00001BA00000}"/>
    <cellStyle name="Normal 4 3 4 2 2" xfId="2578" xr:uid="{00000000-0005-0000-0000-00001CA00000}"/>
    <cellStyle name="Normal 4 3 4 2 2 2" xfId="7440" xr:uid="{00000000-0005-0000-0000-00001DA00000}"/>
    <cellStyle name="Normal 4 3 4 2 2 2 2" xfId="26891" xr:uid="{00000000-0005-0000-0000-00001EA00000}"/>
    <cellStyle name="Normal 4 3 4 2 2 2 3" xfId="36616" xr:uid="{00000000-0005-0000-0000-00001FA00000}"/>
    <cellStyle name="Normal 4 3 4 2 2 2 4" xfId="46341" xr:uid="{00000000-0005-0000-0000-000020A00000}"/>
    <cellStyle name="Normal 4 3 4 2 2 2 5" xfId="17166" xr:uid="{00000000-0005-0000-0000-000021A00000}"/>
    <cellStyle name="Normal 4 3 4 2 2 3" xfId="22029" xr:uid="{00000000-0005-0000-0000-000022A00000}"/>
    <cellStyle name="Normal 4 3 4 2 2 4" xfId="31754" xr:uid="{00000000-0005-0000-0000-000023A00000}"/>
    <cellStyle name="Normal 4 3 4 2 2 5" xfId="41479" xr:uid="{00000000-0005-0000-0000-000024A00000}"/>
    <cellStyle name="Normal 4 3 4 2 2 6" xfId="12304" xr:uid="{00000000-0005-0000-0000-000025A00000}"/>
    <cellStyle name="Normal 4 3 4 2 3" xfId="4198" xr:uid="{00000000-0005-0000-0000-000026A00000}"/>
    <cellStyle name="Normal 4 3 4 2 3 2" xfId="9060" xr:uid="{00000000-0005-0000-0000-000027A00000}"/>
    <cellStyle name="Normal 4 3 4 2 3 2 2" xfId="28511" xr:uid="{00000000-0005-0000-0000-000028A00000}"/>
    <cellStyle name="Normal 4 3 4 2 3 2 3" xfId="38236" xr:uid="{00000000-0005-0000-0000-000029A00000}"/>
    <cellStyle name="Normal 4 3 4 2 3 2 4" xfId="47961" xr:uid="{00000000-0005-0000-0000-00002AA00000}"/>
    <cellStyle name="Normal 4 3 4 2 3 2 5" xfId="18786" xr:uid="{00000000-0005-0000-0000-00002BA00000}"/>
    <cellStyle name="Normal 4 3 4 2 3 3" xfId="23649" xr:uid="{00000000-0005-0000-0000-00002CA00000}"/>
    <cellStyle name="Normal 4 3 4 2 3 4" xfId="33374" xr:uid="{00000000-0005-0000-0000-00002DA00000}"/>
    <cellStyle name="Normal 4 3 4 2 3 5" xfId="43099" xr:uid="{00000000-0005-0000-0000-00002EA00000}"/>
    <cellStyle name="Normal 4 3 4 2 3 6" xfId="13924" xr:uid="{00000000-0005-0000-0000-00002FA00000}"/>
    <cellStyle name="Normal 4 3 4 2 4" xfId="5820" xr:uid="{00000000-0005-0000-0000-000030A00000}"/>
    <cellStyle name="Normal 4 3 4 2 4 2" xfId="25271" xr:uid="{00000000-0005-0000-0000-000031A00000}"/>
    <cellStyle name="Normal 4 3 4 2 4 3" xfId="34996" xr:uid="{00000000-0005-0000-0000-000032A00000}"/>
    <cellStyle name="Normal 4 3 4 2 4 4" xfId="44721" xr:uid="{00000000-0005-0000-0000-000033A00000}"/>
    <cellStyle name="Normal 4 3 4 2 4 5" xfId="15546" xr:uid="{00000000-0005-0000-0000-000034A00000}"/>
    <cellStyle name="Normal 4 3 4 2 5" xfId="20409" xr:uid="{00000000-0005-0000-0000-000035A00000}"/>
    <cellStyle name="Normal 4 3 4 2 6" xfId="30134" xr:uid="{00000000-0005-0000-0000-000036A00000}"/>
    <cellStyle name="Normal 4 3 4 2 7" xfId="39859" xr:uid="{00000000-0005-0000-0000-000037A00000}"/>
    <cellStyle name="Normal 4 3 4 2 8" xfId="10684" xr:uid="{00000000-0005-0000-0000-000038A00000}"/>
    <cellStyle name="Normal 4 3 4 3" xfId="1407" xr:uid="{00000000-0005-0000-0000-000039A00000}"/>
    <cellStyle name="Normal 4 3 4 3 2" xfId="3028" xr:uid="{00000000-0005-0000-0000-00003AA00000}"/>
    <cellStyle name="Normal 4 3 4 3 2 2" xfId="7890" xr:uid="{00000000-0005-0000-0000-00003BA00000}"/>
    <cellStyle name="Normal 4 3 4 3 2 2 2" xfId="27341" xr:uid="{00000000-0005-0000-0000-00003CA00000}"/>
    <cellStyle name="Normal 4 3 4 3 2 2 3" xfId="37066" xr:uid="{00000000-0005-0000-0000-00003DA00000}"/>
    <cellStyle name="Normal 4 3 4 3 2 2 4" xfId="46791" xr:uid="{00000000-0005-0000-0000-00003EA00000}"/>
    <cellStyle name="Normal 4 3 4 3 2 2 5" xfId="17616" xr:uid="{00000000-0005-0000-0000-00003FA00000}"/>
    <cellStyle name="Normal 4 3 4 3 2 3" xfId="22479" xr:uid="{00000000-0005-0000-0000-000040A00000}"/>
    <cellStyle name="Normal 4 3 4 3 2 4" xfId="32204" xr:uid="{00000000-0005-0000-0000-000041A00000}"/>
    <cellStyle name="Normal 4 3 4 3 2 5" xfId="41929" xr:uid="{00000000-0005-0000-0000-000042A00000}"/>
    <cellStyle name="Normal 4 3 4 3 2 6" xfId="12754" xr:uid="{00000000-0005-0000-0000-000043A00000}"/>
    <cellStyle name="Normal 4 3 4 3 3" xfId="4648" xr:uid="{00000000-0005-0000-0000-000044A00000}"/>
    <cellStyle name="Normal 4 3 4 3 3 2" xfId="9510" xr:uid="{00000000-0005-0000-0000-000045A00000}"/>
    <cellStyle name="Normal 4 3 4 3 3 2 2" xfId="28961" xr:uid="{00000000-0005-0000-0000-000046A00000}"/>
    <cellStyle name="Normal 4 3 4 3 3 2 3" xfId="38686" xr:uid="{00000000-0005-0000-0000-000047A00000}"/>
    <cellStyle name="Normal 4 3 4 3 3 2 4" xfId="48411" xr:uid="{00000000-0005-0000-0000-000048A00000}"/>
    <cellStyle name="Normal 4 3 4 3 3 2 5" xfId="19236" xr:uid="{00000000-0005-0000-0000-000049A00000}"/>
    <cellStyle name="Normal 4 3 4 3 3 3" xfId="24099" xr:uid="{00000000-0005-0000-0000-00004AA00000}"/>
    <cellStyle name="Normal 4 3 4 3 3 4" xfId="33824" xr:uid="{00000000-0005-0000-0000-00004BA00000}"/>
    <cellStyle name="Normal 4 3 4 3 3 5" xfId="43549" xr:uid="{00000000-0005-0000-0000-00004CA00000}"/>
    <cellStyle name="Normal 4 3 4 3 3 6" xfId="14374" xr:uid="{00000000-0005-0000-0000-00004DA00000}"/>
    <cellStyle name="Normal 4 3 4 3 4" xfId="6270" xr:uid="{00000000-0005-0000-0000-00004EA00000}"/>
    <cellStyle name="Normal 4 3 4 3 4 2" xfId="25721" xr:uid="{00000000-0005-0000-0000-00004FA00000}"/>
    <cellStyle name="Normal 4 3 4 3 4 3" xfId="35446" xr:uid="{00000000-0005-0000-0000-000050A00000}"/>
    <cellStyle name="Normal 4 3 4 3 4 4" xfId="45171" xr:uid="{00000000-0005-0000-0000-000051A00000}"/>
    <cellStyle name="Normal 4 3 4 3 4 5" xfId="15996" xr:uid="{00000000-0005-0000-0000-000052A00000}"/>
    <cellStyle name="Normal 4 3 4 3 5" xfId="20859" xr:uid="{00000000-0005-0000-0000-000053A00000}"/>
    <cellStyle name="Normal 4 3 4 3 6" xfId="30584" xr:uid="{00000000-0005-0000-0000-000054A00000}"/>
    <cellStyle name="Normal 4 3 4 3 7" xfId="40309" xr:uid="{00000000-0005-0000-0000-000055A00000}"/>
    <cellStyle name="Normal 4 3 4 3 8" xfId="11134" xr:uid="{00000000-0005-0000-0000-000056A00000}"/>
    <cellStyle name="Normal 4 3 4 4" xfId="578" xr:uid="{00000000-0005-0000-0000-000057A00000}"/>
    <cellStyle name="Normal 4 3 4 4 2" xfId="2218" xr:uid="{00000000-0005-0000-0000-000058A00000}"/>
    <cellStyle name="Normal 4 3 4 4 2 2" xfId="7080" xr:uid="{00000000-0005-0000-0000-000059A00000}"/>
    <cellStyle name="Normal 4 3 4 4 2 2 2" xfId="26531" xr:uid="{00000000-0005-0000-0000-00005AA00000}"/>
    <cellStyle name="Normal 4 3 4 4 2 2 3" xfId="36256" xr:uid="{00000000-0005-0000-0000-00005BA00000}"/>
    <cellStyle name="Normal 4 3 4 4 2 2 4" xfId="45981" xr:uid="{00000000-0005-0000-0000-00005CA00000}"/>
    <cellStyle name="Normal 4 3 4 4 2 2 5" xfId="16806" xr:uid="{00000000-0005-0000-0000-00005DA00000}"/>
    <cellStyle name="Normal 4 3 4 4 2 3" xfId="21669" xr:uid="{00000000-0005-0000-0000-00005EA00000}"/>
    <cellStyle name="Normal 4 3 4 4 2 4" xfId="31394" xr:uid="{00000000-0005-0000-0000-00005FA00000}"/>
    <cellStyle name="Normal 4 3 4 4 2 5" xfId="41119" xr:uid="{00000000-0005-0000-0000-000060A00000}"/>
    <cellStyle name="Normal 4 3 4 4 2 6" xfId="11944" xr:uid="{00000000-0005-0000-0000-000061A00000}"/>
    <cellStyle name="Normal 4 3 4 4 3" xfId="3838" xr:uid="{00000000-0005-0000-0000-000062A00000}"/>
    <cellStyle name="Normal 4 3 4 4 3 2" xfId="8700" xr:uid="{00000000-0005-0000-0000-000063A00000}"/>
    <cellStyle name="Normal 4 3 4 4 3 2 2" xfId="28151" xr:uid="{00000000-0005-0000-0000-000064A00000}"/>
    <cellStyle name="Normal 4 3 4 4 3 2 3" xfId="37876" xr:uid="{00000000-0005-0000-0000-000065A00000}"/>
    <cellStyle name="Normal 4 3 4 4 3 2 4" xfId="47601" xr:uid="{00000000-0005-0000-0000-000066A00000}"/>
    <cellStyle name="Normal 4 3 4 4 3 2 5" xfId="18426" xr:uid="{00000000-0005-0000-0000-000067A00000}"/>
    <cellStyle name="Normal 4 3 4 4 3 3" xfId="23289" xr:uid="{00000000-0005-0000-0000-000068A00000}"/>
    <cellStyle name="Normal 4 3 4 4 3 4" xfId="33014" xr:uid="{00000000-0005-0000-0000-000069A00000}"/>
    <cellStyle name="Normal 4 3 4 4 3 5" xfId="42739" xr:uid="{00000000-0005-0000-0000-00006AA00000}"/>
    <cellStyle name="Normal 4 3 4 4 3 6" xfId="13564" xr:uid="{00000000-0005-0000-0000-00006BA00000}"/>
    <cellStyle name="Normal 4 3 4 4 4" xfId="5460" xr:uid="{00000000-0005-0000-0000-00006CA00000}"/>
    <cellStyle name="Normal 4 3 4 4 4 2" xfId="24911" xr:uid="{00000000-0005-0000-0000-00006DA00000}"/>
    <cellStyle name="Normal 4 3 4 4 4 3" xfId="34636" xr:uid="{00000000-0005-0000-0000-00006EA00000}"/>
    <cellStyle name="Normal 4 3 4 4 4 4" xfId="44361" xr:uid="{00000000-0005-0000-0000-00006FA00000}"/>
    <cellStyle name="Normal 4 3 4 4 4 5" xfId="15186" xr:uid="{00000000-0005-0000-0000-000070A00000}"/>
    <cellStyle name="Normal 4 3 4 4 5" xfId="20049" xr:uid="{00000000-0005-0000-0000-000071A00000}"/>
    <cellStyle name="Normal 4 3 4 4 6" xfId="29774" xr:uid="{00000000-0005-0000-0000-000072A00000}"/>
    <cellStyle name="Normal 4 3 4 4 7" xfId="39499" xr:uid="{00000000-0005-0000-0000-000073A00000}"/>
    <cellStyle name="Normal 4 3 4 4 8" xfId="10324" xr:uid="{00000000-0005-0000-0000-000074A00000}"/>
    <cellStyle name="Normal 4 3 4 5" xfId="1858" xr:uid="{00000000-0005-0000-0000-000075A00000}"/>
    <cellStyle name="Normal 4 3 4 5 2" xfId="6720" xr:uid="{00000000-0005-0000-0000-000076A00000}"/>
    <cellStyle name="Normal 4 3 4 5 2 2" xfId="26171" xr:uid="{00000000-0005-0000-0000-000077A00000}"/>
    <cellStyle name="Normal 4 3 4 5 2 3" xfId="35896" xr:uid="{00000000-0005-0000-0000-000078A00000}"/>
    <cellStyle name="Normal 4 3 4 5 2 4" xfId="45621" xr:uid="{00000000-0005-0000-0000-000079A00000}"/>
    <cellStyle name="Normal 4 3 4 5 2 5" xfId="16446" xr:uid="{00000000-0005-0000-0000-00007AA00000}"/>
    <cellStyle name="Normal 4 3 4 5 3" xfId="21309" xr:uid="{00000000-0005-0000-0000-00007BA00000}"/>
    <cellStyle name="Normal 4 3 4 5 4" xfId="31034" xr:uid="{00000000-0005-0000-0000-00007CA00000}"/>
    <cellStyle name="Normal 4 3 4 5 5" xfId="40759" xr:uid="{00000000-0005-0000-0000-00007DA00000}"/>
    <cellStyle name="Normal 4 3 4 5 6" xfId="11584" xr:uid="{00000000-0005-0000-0000-00007EA00000}"/>
    <cellStyle name="Normal 4 3 4 6" xfId="3478" xr:uid="{00000000-0005-0000-0000-00007FA00000}"/>
    <cellStyle name="Normal 4 3 4 6 2" xfId="8340" xr:uid="{00000000-0005-0000-0000-000080A00000}"/>
    <cellStyle name="Normal 4 3 4 6 2 2" xfId="27791" xr:uid="{00000000-0005-0000-0000-000081A00000}"/>
    <cellStyle name="Normal 4 3 4 6 2 3" xfId="37516" xr:uid="{00000000-0005-0000-0000-000082A00000}"/>
    <cellStyle name="Normal 4 3 4 6 2 4" xfId="47241" xr:uid="{00000000-0005-0000-0000-000083A00000}"/>
    <cellStyle name="Normal 4 3 4 6 2 5" xfId="18066" xr:uid="{00000000-0005-0000-0000-000084A00000}"/>
    <cellStyle name="Normal 4 3 4 6 3" xfId="22929" xr:uid="{00000000-0005-0000-0000-000085A00000}"/>
    <cellStyle name="Normal 4 3 4 6 4" xfId="32654" xr:uid="{00000000-0005-0000-0000-000086A00000}"/>
    <cellStyle name="Normal 4 3 4 6 5" xfId="42379" xr:uid="{00000000-0005-0000-0000-000087A00000}"/>
    <cellStyle name="Normal 4 3 4 6 6" xfId="13204" xr:uid="{00000000-0005-0000-0000-000088A00000}"/>
    <cellStyle name="Normal 4 3 4 7" xfId="5100" xr:uid="{00000000-0005-0000-0000-000089A00000}"/>
    <cellStyle name="Normal 4 3 4 7 2" xfId="24551" xr:uid="{00000000-0005-0000-0000-00008AA00000}"/>
    <cellStyle name="Normal 4 3 4 7 3" xfId="34276" xr:uid="{00000000-0005-0000-0000-00008BA00000}"/>
    <cellStyle name="Normal 4 3 4 7 4" xfId="44001" xr:uid="{00000000-0005-0000-0000-00008CA00000}"/>
    <cellStyle name="Normal 4 3 4 7 5" xfId="14826" xr:uid="{00000000-0005-0000-0000-00008DA00000}"/>
    <cellStyle name="Normal 4 3 4 8" xfId="19689" xr:uid="{00000000-0005-0000-0000-00008EA00000}"/>
    <cellStyle name="Normal 4 3 4 9" xfId="29414" xr:uid="{00000000-0005-0000-0000-00008FA00000}"/>
    <cellStyle name="Normal 4 3 5" xfId="849" xr:uid="{00000000-0005-0000-0000-000090A00000}"/>
    <cellStyle name="Normal 4 3 5 2" xfId="2488" xr:uid="{00000000-0005-0000-0000-000091A00000}"/>
    <cellStyle name="Normal 4 3 5 2 2" xfId="7350" xr:uid="{00000000-0005-0000-0000-000092A00000}"/>
    <cellStyle name="Normal 4 3 5 2 2 2" xfId="26801" xr:uid="{00000000-0005-0000-0000-000093A00000}"/>
    <cellStyle name="Normal 4 3 5 2 2 3" xfId="36526" xr:uid="{00000000-0005-0000-0000-000094A00000}"/>
    <cellStyle name="Normal 4 3 5 2 2 4" xfId="46251" xr:uid="{00000000-0005-0000-0000-000095A00000}"/>
    <cellStyle name="Normal 4 3 5 2 2 5" xfId="17076" xr:uid="{00000000-0005-0000-0000-000096A00000}"/>
    <cellStyle name="Normal 4 3 5 2 3" xfId="21939" xr:uid="{00000000-0005-0000-0000-000097A00000}"/>
    <cellStyle name="Normal 4 3 5 2 4" xfId="31664" xr:uid="{00000000-0005-0000-0000-000098A00000}"/>
    <cellStyle name="Normal 4 3 5 2 5" xfId="41389" xr:uid="{00000000-0005-0000-0000-000099A00000}"/>
    <cellStyle name="Normal 4 3 5 2 6" xfId="12214" xr:uid="{00000000-0005-0000-0000-00009AA00000}"/>
    <cellStyle name="Normal 4 3 5 3" xfId="4108" xr:uid="{00000000-0005-0000-0000-00009BA00000}"/>
    <cellStyle name="Normal 4 3 5 3 2" xfId="8970" xr:uid="{00000000-0005-0000-0000-00009CA00000}"/>
    <cellStyle name="Normal 4 3 5 3 2 2" xfId="28421" xr:uid="{00000000-0005-0000-0000-00009DA00000}"/>
    <cellStyle name="Normal 4 3 5 3 2 3" xfId="38146" xr:uid="{00000000-0005-0000-0000-00009EA00000}"/>
    <cellStyle name="Normal 4 3 5 3 2 4" xfId="47871" xr:uid="{00000000-0005-0000-0000-00009FA00000}"/>
    <cellStyle name="Normal 4 3 5 3 2 5" xfId="18696" xr:uid="{00000000-0005-0000-0000-0000A0A00000}"/>
    <cellStyle name="Normal 4 3 5 3 3" xfId="23559" xr:uid="{00000000-0005-0000-0000-0000A1A00000}"/>
    <cellStyle name="Normal 4 3 5 3 4" xfId="33284" xr:uid="{00000000-0005-0000-0000-0000A2A00000}"/>
    <cellStyle name="Normal 4 3 5 3 5" xfId="43009" xr:uid="{00000000-0005-0000-0000-0000A3A00000}"/>
    <cellStyle name="Normal 4 3 5 3 6" xfId="13834" xr:uid="{00000000-0005-0000-0000-0000A4A00000}"/>
    <cellStyle name="Normal 4 3 5 4" xfId="5730" xr:uid="{00000000-0005-0000-0000-0000A5A00000}"/>
    <cellStyle name="Normal 4 3 5 4 2" xfId="25181" xr:uid="{00000000-0005-0000-0000-0000A6A00000}"/>
    <cellStyle name="Normal 4 3 5 4 3" xfId="34906" xr:uid="{00000000-0005-0000-0000-0000A7A00000}"/>
    <cellStyle name="Normal 4 3 5 4 4" xfId="44631" xr:uid="{00000000-0005-0000-0000-0000A8A00000}"/>
    <cellStyle name="Normal 4 3 5 4 5" xfId="15456" xr:uid="{00000000-0005-0000-0000-0000A9A00000}"/>
    <cellStyle name="Normal 4 3 5 5" xfId="20319" xr:uid="{00000000-0005-0000-0000-0000AAA00000}"/>
    <cellStyle name="Normal 4 3 5 6" xfId="30044" xr:uid="{00000000-0005-0000-0000-0000ABA00000}"/>
    <cellStyle name="Normal 4 3 5 7" xfId="39769" xr:uid="{00000000-0005-0000-0000-0000ACA00000}"/>
    <cellStyle name="Normal 4 3 5 8" xfId="10594" xr:uid="{00000000-0005-0000-0000-0000ADA00000}"/>
    <cellStyle name="Normal 4 3 6" xfId="1227" xr:uid="{00000000-0005-0000-0000-0000AEA00000}"/>
    <cellStyle name="Normal 4 3 6 2" xfId="2848" xr:uid="{00000000-0005-0000-0000-0000AFA00000}"/>
    <cellStyle name="Normal 4 3 6 2 2" xfId="7710" xr:uid="{00000000-0005-0000-0000-0000B0A00000}"/>
    <cellStyle name="Normal 4 3 6 2 2 2" xfId="27161" xr:uid="{00000000-0005-0000-0000-0000B1A00000}"/>
    <cellStyle name="Normal 4 3 6 2 2 3" xfId="36886" xr:uid="{00000000-0005-0000-0000-0000B2A00000}"/>
    <cellStyle name="Normal 4 3 6 2 2 4" xfId="46611" xr:uid="{00000000-0005-0000-0000-0000B3A00000}"/>
    <cellStyle name="Normal 4 3 6 2 2 5" xfId="17436" xr:uid="{00000000-0005-0000-0000-0000B4A00000}"/>
    <cellStyle name="Normal 4 3 6 2 3" xfId="22299" xr:uid="{00000000-0005-0000-0000-0000B5A00000}"/>
    <cellStyle name="Normal 4 3 6 2 4" xfId="32024" xr:uid="{00000000-0005-0000-0000-0000B6A00000}"/>
    <cellStyle name="Normal 4 3 6 2 5" xfId="41749" xr:uid="{00000000-0005-0000-0000-0000B7A00000}"/>
    <cellStyle name="Normal 4 3 6 2 6" xfId="12574" xr:uid="{00000000-0005-0000-0000-0000B8A00000}"/>
    <cellStyle name="Normal 4 3 6 3" xfId="4468" xr:uid="{00000000-0005-0000-0000-0000B9A00000}"/>
    <cellStyle name="Normal 4 3 6 3 2" xfId="9330" xr:uid="{00000000-0005-0000-0000-0000BAA00000}"/>
    <cellStyle name="Normal 4 3 6 3 2 2" xfId="28781" xr:uid="{00000000-0005-0000-0000-0000BBA00000}"/>
    <cellStyle name="Normal 4 3 6 3 2 3" xfId="38506" xr:uid="{00000000-0005-0000-0000-0000BCA00000}"/>
    <cellStyle name="Normal 4 3 6 3 2 4" xfId="48231" xr:uid="{00000000-0005-0000-0000-0000BDA00000}"/>
    <cellStyle name="Normal 4 3 6 3 2 5" xfId="19056" xr:uid="{00000000-0005-0000-0000-0000BEA00000}"/>
    <cellStyle name="Normal 4 3 6 3 3" xfId="23919" xr:uid="{00000000-0005-0000-0000-0000BFA00000}"/>
    <cellStyle name="Normal 4 3 6 3 4" xfId="33644" xr:uid="{00000000-0005-0000-0000-0000C0A00000}"/>
    <cellStyle name="Normal 4 3 6 3 5" xfId="43369" xr:uid="{00000000-0005-0000-0000-0000C1A00000}"/>
    <cellStyle name="Normal 4 3 6 3 6" xfId="14194" xr:uid="{00000000-0005-0000-0000-0000C2A00000}"/>
    <cellStyle name="Normal 4 3 6 4" xfId="6090" xr:uid="{00000000-0005-0000-0000-0000C3A00000}"/>
    <cellStyle name="Normal 4 3 6 4 2" xfId="25541" xr:uid="{00000000-0005-0000-0000-0000C4A00000}"/>
    <cellStyle name="Normal 4 3 6 4 3" xfId="35266" xr:uid="{00000000-0005-0000-0000-0000C5A00000}"/>
    <cellStyle name="Normal 4 3 6 4 4" xfId="44991" xr:uid="{00000000-0005-0000-0000-0000C6A00000}"/>
    <cellStyle name="Normal 4 3 6 4 5" xfId="15816" xr:uid="{00000000-0005-0000-0000-0000C7A00000}"/>
    <cellStyle name="Normal 4 3 6 5" xfId="20679" xr:uid="{00000000-0005-0000-0000-0000C8A00000}"/>
    <cellStyle name="Normal 4 3 6 6" xfId="30404" xr:uid="{00000000-0005-0000-0000-0000C9A00000}"/>
    <cellStyle name="Normal 4 3 6 7" xfId="40129" xr:uid="{00000000-0005-0000-0000-0000CAA00000}"/>
    <cellStyle name="Normal 4 3 6 8" xfId="10954" xr:uid="{00000000-0005-0000-0000-0000CBA00000}"/>
    <cellStyle name="Normal 4 3 7" xfId="1317" xr:uid="{00000000-0005-0000-0000-0000CCA00000}"/>
    <cellStyle name="Normal 4 3 7 2" xfId="2938" xr:uid="{00000000-0005-0000-0000-0000CDA00000}"/>
    <cellStyle name="Normal 4 3 7 2 2" xfId="7800" xr:uid="{00000000-0005-0000-0000-0000CEA00000}"/>
    <cellStyle name="Normal 4 3 7 2 2 2" xfId="27251" xr:uid="{00000000-0005-0000-0000-0000CFA00000}"/>
    <cellStyle name="Normal 4 3 7 2 2 3" xfId="36976" xr:uid="{00000000-0005-0000-0000-0000D0A00000}"/>
    <cellStyle name="Normal 4 3 7 2 2 4" xfId="46701" xr:uid="{00000000-0005-0000-0000-0000D1A00000}"/>
    <cellStyle name="Normal 4 3 7 2 2 5" xfId="17526" xr:uid="{00000000-0005-0000-0000-0000D2A00000}"/>
    <cellStyle name="Normal 4 3 7 2 3" xfId="22389" xr:uid="{00000000-0005-0000-0000-0000D3A00000}"/>
    <cellStyle name="Normal 4 3 7 2 4" xfId="32114" xr:uid="{00000000-0005-0000-0000-0000D4A00000}"/>
    <cellStyle name="Normal 4 3 7 2 5" xfId="41839" xr:uid="{00000000-0005-0000-0000-0000D5A00000}"/>
    <cellStyle name="Normal 4 3 7 2 6" xfId="12664" xr:uid="{00000000-0005-0000-0000-0000D6A00000}"/>
    <cellStyle name="Normal 4 3 7 3" xfId="4558" xr:uid="{00000000-0005-0000-0000-0000D7A00000}"/>
    <cellStyle name="Normal 4 3 7 3 2" xfId="9420" xr:uid="{00000000-0005-0000-0000-0000D8A00000}"/>
    <cellStyle name="Normal 4 3 7 3 2 2" xfId="28871" xr:uid="{00000000-0005-0000-0000-0000D9A00000}"/>
    <cellStyle name="Normal 4 3 7 3 2 3" xfId="38596" xr:uid="{00000000-0005-0000-0000-0000DAA00000}"/>
    <cellStyle name="Normal 4 3 7 3 2 4" xfId="48321" xr:uid="{00000000-0005-0000-0000-0000DBA00000}"/>
    <cellStyle name="Normal 4 3 7 3 2 5" xfId="19146" xr:uid="{00000000-0005-0000-0000-0000DCA00000}"/>
    <cellStyle name="Normal 4 3 7 3 3" xfId="24009" xr:uid="{00000000-0005-0000-0000-0000DDA00000}"/>
    <cellStyle name="Normal 4 3 7 3 4" xfId="33734" xr:uid="{00000000-0005-0000-0000-0000DEA00000}"/>
    <cellStyle name="Normal 4 3 7 3 5" xfId="43459" xr:uid="{00000000-0005-0000-0000-0000DFA00000}"/>
    <cellStyle name="Normal 4 3 7 3 6" xfId="14284" xr:uid="{00000000-0005-0000-0000-0000E0A00000}"/>
    <cellStyle name="Normal 4 3 7 4" xfId="6180" xr:uid="{00000000-0005-0000-0000-0000E1A00000}"/>
    <cellStyle name="Normal 4 3 7 4 2" xfId="25631" xr:uid="{00000000-0005-0000-0000-0000E2A00000}"/>
    <cellStyle name="Normal 4 3 7 4 3" xfId="35356" xr:uid="{00000000-0005-0000-0000-0000E3A00000}"/>
    <cellStyle name="Normal 4 3 7 4 4" xfId="45081" xr:uid="{00000000-0005-0000-0000-0000E4A00000}"/>
    <cellStyle name="Normal 4 3 7 4 5" xfId="15906" xr:uid="{00000000-0005-0000-0000-0000E5A00000}"/>
    <cellStyle name="Normal 4 3 7 5" xfId="20769" xr:uid="{00000000-0005-0000-0000-0000E6A00000}"/>
    <cellStyle name="Normal 4 3 7 6" xfId="30494" xr:uid="{00000000-0005-0000-0000-0000E7A00000}"/>
    <cellStyle name="Normal 4 3 7 7" xfId="40219" xr:uid="{00000000-0005-0000-0000-0000E8A00000}"/>
    <cellStyle name="Normal 4 3 7 8" xfId="11044" xr:uid="{00000000-0005-0000-0000-0000E9A00000}"/>
    <cellStyle name="Normal 4 3 8" xfId="488" xr:uid="{00000000-0005-0000-0000-0000EAA00000}"/>
    <cellStyle name="Normal 4 3 8 2" xfId="2128" xr:uid="{00000000-0005-0000-0000-0000EBA00000}"/>
    <cellStyle name="Normal 4 3 8 2 2" xfId="6990" xr:uid="{00000000-0005-0000-0000-0000ECA00000}"/>
    <cellStyle name="Normal 4 3 8 2 2 2" xfId="26441" xr:uid="{00000000-0005-0000-0000-0000EDA00000}"/>
    <cellStyle name="Normal 4 3 8 2 2 3" xfId="36166" xr:uid="{00000000-0005-0000-0000-0000EEA00000}"/>
    <cellStyle name="Normal 4 3 8 2 2 4" xfId="45891" xr:uid="{00000000-0005-0000-0000-0000EFA00000}"/>
    <cellStyle name="Normal 4 3 8 2 2 5" xfId="16716" xr:uid="{00000000-0005-0000-0000-0000F0A00000}"/>
    <cellStyle name="Normal 4 3 8 2 3" xfId="21579" xr:uid="{00000000-0005-0000-0000-0000F1A00000}"/>
    <cellStyle name="Normal 4 3 8 2 4" xfId="31304" xr:uid="{00000000-0005-0000-0000-0000F2A00000}"/>
    <cellStyle name="Normal 4 3 8 2 5" xfId="41029" xr:uid="{00000000-0005-0000-0000-0000F3A00000}"/>
    <cellStyle name="Normal 4 3 8 2 6" xfId="11854" xr:uid="{00000000-0005-0000-0000-0000F4A00000}"/>
    <cellStyle name="Normal 4 3 8 3" xfId="3748" xr:uid="{00000000-0005-0000-0000-0000F5A00000}"/>
    <cellStyle name="Normal 4 3 8 3 2" xfId="8610" xr:uid="{00000000-0005-0000-0000-0000F6A00000}"/>
    <cellStyle name="Normal 4 3 8 3 2 2" xfId="28061" xr:uid="{00000000-0005-0000-0000-0000F7A00000}"/>
    <cellStyle name="Normal 4 3 8 3 2 3" xfId="37786" xr:uid="{00000000-0005-0000-0000-0000F8A00000}"/>
    <cellStyle name="Normal 4 3 8 3 2 4" xfId="47511" xr:uid="{00000000-0005-0000-0000-0000F9A00000}"/>
    <cellStyle name="Normal 4 3 8 3 2 5" xfId="18336" xr:uid="{00000000-0005-0000-0000-0000FAA00000}"/>
    <cellStyle name="Normal 4 3 8 3 3" xfId="23199" xr:uid="{00000000-0005-0000-0000-0000FBA00000}"/>
    <cellStyle name="Normal 4 3 8 3 4" xfId="32924" xr:uid="{00000000-0005-0000-0000-0000FCA00000}"/>
    <cellStyle name="Normal 4 3 8 3 5" xfId="42649" xr:uid="{00000000-0005-0000-0000-0000FDA00000}"/>
    <cellStyle name="Normal 4 3 8 3 6" xfId="13474" xr:uid="{00000000-0005-0000-0000-0000FEA00000}"/>
    <cellStyle name="Normal 4 3 8 4" xfId="5370" xr:uid="{00000000-0005-0000-0000-0000FFA00000}"/>
    <cellStyle name="Normal 4 3 8 4 2" xfId="24821" xr:uid="{00000000-0005-0000-0000-000000A10000}"/>
    <cellStyle name="Normal 4 3 8 4 3" xfId="34546" xr:uid="{00000000-0005-0000-0000-000001A10000}"/>
    <cellStyle name="Normal 4 3 8 4 4" xfId="44271" xr:uid="{00000000-0005-0000-0000-000002A10000}"/>
    <cellStyle name="Normal 4 3 8 4 5" xfId="15096" xr:uid="{00000000-0005-0000-0000-000003A10000}"/>
    <cellStyle name="Normal 4 3 8 5" xfId="19959" xr:uid="{00000000-0005-0000-0000-000004A10000}"/>
    <cellStyle name="Normal 4 3 8 6" xfId="29684" xr:uid="{00000000-0005-0000-0000-000005A10000}"/>
    <cellStyle name="Normal 4 3 8 7" xfId="39409" xr:uid="{00000000-0005-0000-0000-000006A10000}"/>
    <cellStyle name="Normal 4 3 8 8" xfId="10234" xr:uid="{00000000-0005-0000-0000-000007A10000}"/>
    <cellStyle name="Normal 4 3 9" xfId="1677" xr:uid="{00000000-0005-0000-0000-000008A10000}"/>
    <cellStyle name="Normal 4 3 9 2" xfId="3298" xr:uid="{00000000-0005-0000-0000-000009A10000}"/>
    <cellStyle name="Normal 4 3 9 2 2" xfId="8160" xr:uid="{00000000-0005-0000-0000-00000AA10000}"/>
    <cellStyle name="Normal 4 3 9 2 2 2" xfId="27611" xr:uid="{00000000-0005-0000-0000-00000BA10000}"/>
    <cellStyle name="Normal 4 3 9 2 2 3" xfId="37336" xr:uid="{00000000-0005-0000-0000-00000CA10000}"/>
    <cellStyle name="Normal 4 3 9 2 2 4" xfId="47061" xr:uid="{00000000-0005-0000-0000-00000DA10000}"/>
    <cellStyle name="Normal 4 3 9 2 2 5" xfId="17886" xr:uid="{00000000-0005-0000-0000-00000EA10000}"/>
    <cellStyle name="Normal 4 3 9 2 3" xfId="22749" xr:uid="{00000000-0005-0000-0000-00000FA10000}"/>
    <cellStyle name="Normal 4 3 9 2 4" xfId="32474" xr:uid="{00000000-0005-0000-0000-000010A10000}"/>
    <cellStyle name="Normal 4 3 9 2 5" xfId="42199" xr:uid="{00000000-0005-0000-0000-000011A10000}"/>
    <cellStyle name="Normal 4 3 9 2 6" xfId="13024" xr:uid="{00000000-0005-0000-0000-000012A10000}"/>
    <cellStyle name="Normal 4 3 9 3" xfId="4918" xr:uid="{00000000-0005-0000-0000-000013A10000}"/>
    <cellStyle name="Normal 4 3 9 3 2" xfId="9780" xr:uid="{00000000-0005-0000-0000-000014A10000}"/>
    <cellStyle name="Normal 4 3 9 3 2 2" xfId="29231" xr:uid="{00000000-0005-0000-0000-000015A10000}"/>
    <cellStyle name="Normal 4 3 9 3 2 3" xfId="38956" xr:uid="{00000000-0005-0000-0000-000016A10000}"/>
    <cellStyle name="Normal 4 3 9 3 2 4" xfId="48681" xr:uid="{00000000-0005-0000-0000-000017A10000}"/>
    <cellStyle name="Normal 4 3 9 3 2 5" xfId="19506" xr:uid="{00000000-0005-0000-0000-000018A10000}"/>
    <cellStyle name="Normal 4 3 9 3 3" xfId="24369" xr:uid="{00000000-0005-0000-0000-000019A10000}"/>
    <cellStyle name="Normal 4 3 9 3 4" xfId="34094" xr:uid="{00000000-0005-0000-0000-00001AA10000}"/>
    <cellStyle name="Normal 4 3 9 3 5" xfId="43819" xr:uid="{00000000-0005-0000-0000-00001BA10000}"/>
    <cellStyle name="Normal 4 3 9 3 6" xfId="14644" xr:uid="{00000000-0005-0000-0000-00001CA10000}"/>
    <cellStyle name="Normal 4 3 9 4" xfId="6540" xr:uid="{00000000-0005-0000-0000-00001DA10000}"/>
    <cellStyle name="Normal 4 3 9 4 2" xfId="25991" xr:uid="{00000000-0005-0000-0000-00001EA10000}"/>
    <cellStyle name="Normal 4 3 9 4 3" xfId="35716" xr:uid="{00000000-0005-0000-0000-00001FA10000}"/>
    <cellStyle name="Normal 4 3 9 4 4" xfId="45441" xr:uid="{00000000-0005-0000-0000-000020A10000}"/>
    <cellStyle name="Normal 4 3 9 4 5" xfId="16266" xr:uid="{00000000-0005-0000-0000-000021A10000}"/>
    <cellStyle name="Normal 4 3 9 5" xfId="21129" xr:uid="{00000000-0005-0000-0000-000022A10000}"/>
    <cellStyle name="Normal 4 3 9 6" xfId="30854" xr:uid="{00000000-0005-0000-0000-000023A10000}"/>
    <cellStyle name="Normal 4 3 9 7" xfId="40579" xr:uid="{00000000-0005-0000-0000-000024A10000}"/>
    <cellStyle name="Normal 4 3 9 8" xfId="11404" xr:uid="{00000000-0005-0000-0000-000025A10000}"/>
    <cellStyle name="Normal 4 4" xfId="114" xr:uid="{00000000-0005-0000-0000-000026A10000}"/>
    <cellStyle name="Normal 4 4 10" xfId="1798" xr:uid="{00000000-0005-0000-0000-000027A10000}"/>
    <cellStyle name="Normal 4 4 10 2" xfId="6660" xr:uid="{00000000-0005-0000-0000-000028A10000}"/>
    <cellStyle name="Normal 4 4 10 2 2" xfId="26111" xr:uid="{00000000-0005-0000-0000-000029A10000}"/>
    <cellStyle name="Normal 4 4 10 2 3" xfId="35836" xr:uid="{00000000-0005-0000-0000-00002AA10000}"/>
    <cellStyle name="Normal 4 4 10 2 4" xfId="45561" xr:uid="{00000000-0005-0000-0000-00002BA10000}"/>
    <cellStyle name="Normal 4 4 10 2 5" xfId="16386" xr:uid="{00000000-0005-0000-0000-00002CA10000}"/>
    <cellStyle name="Normal 4 4 10 3" xfId="21249" xr:uid="{00000000-0005-0000-0000-00002DA10000}"/>
    <cellStyle name="Normal 4 4 10 4" xfId="30974" xr:uid="{00000000-0005-0000-0000-00002EA10000}"/>
    <cellStyle name="Normal 4 4 10 5" xfId="40699" xr:uid="{00000000-0005-0000-0000-00002FA10000}"/>
    <cellStyle name="Normal 4 4 10 6" xfId="11524" xr:uid="{00000000-0005-0000-0000-000030A10000}"/>
    <cellStyle name="Normal 4 4 11" xfId="3418" xr:uid="{00000000-0005-0000-0000-000031A10000}"/>
    <cellStyle name="Normal 4 4 11 2" xfId="8280" xr:uid="{00000000-0005-0000-0000-000032A10000}"/>
    <cellStyle name="Normal 4 4 11 2 2" xfId="27731" xr:uid="{00000000-0005-0000-0000-000033A10000}"/>
    <cellStyle name="Normal 4 4 11 2 3" xfId="37456" xr:uid="{00000000-0005-0000-0000-000034A10000}"/>
    <cellStyle name="Normal 4 4 11 2 4" xfId="47181" xr:uid="{00000000-0005-0000-0000-000035A10000}"/>
    <cellStyle name="Normal 4 4 11 2 5" xfId="18006" xr:uid="{00000000-0005-0000-0000-000036A10000}"/>
    <cellStyle name="Normal 4 4 11 3" xfId="22869" xr:uid="{00000000-0005-0000-0000-000037A10000}"/>
    <cellStyle name="Normal 4 4 11 4" xfId="32594" xr:uid="{00000000-0005-0000-0000-000038A10000}"/>
    <cellStyle name="Normal 4 4 11 5" xfId="42319" xr:uid="{00000000-0005-0000-0000-000039A10000}"/>
    <cellStyle name="Normal 4 4 11 6" xfId="13144" xr:uid="{00000000-0005-0000-0000-00003AA10000}"/>
    <cellStyle name="Normal 4 4 12" xfId="5040" xr:uid="{00000000-0005-0000-0000-00003BA10000}"/>
    <cellStyle name="Normal 4 4 12 2" xfId="24491" xr:uid="{00000000-0005-0000-0000-00003CA10000}"/>
    <cellStyle name="Normal 4 4 12 3" xfId="34216" xr:uid="{00000000-0005-0000-0000-00003DA10000}"/>
    <cellStyle name="Normal 4 4 12 4" xfId="43941" xr:uid="{00000000-0005-0000-0000-00003EA10000}"/>
    <cellStyle name="Normal 4 4 12 5" xfId="14766" xr:uid="{00000000-0005-0000-0000-00003FA10000}"/>
    <cellStyle name="Normal 4 4 13" xfId="19629" xr:uid="{00000000-0005-0000-0000-000040A10000}"/>
    <cellStyle name="Normal 4 4 14" xfId="29354" xr:uid="{00000000-0005-0000-0000-000041A10000}"/>
    <cellStyle name="Normal 4 4 15" xfId="39079" xr:uid="{00000000-0005-0000-0000-000042A10000}"/>
    <cellStyle name="Normal 4 4 16" xfId="9904" xr:uid="{00000000-0005-0000-0000-000043A10000}"/>
    <cellStyle name="Normal 4 4 2" xfId="296" xr:uid="{00000000-0005-0000-0000-000044A10000}"/>
    <cellStyle name="Normal 4 4 2 10" xfId="39259" xr:uid="{00000000-0005-0000-0000-000045A10000}"/>
    <cellStyle name="Normal 4 4 2 11" xfId="10084" xr:uid="{00000000-0005-0000-0000-000046A10000}"/>
    <cellStyle name="Normal 4 4 2 2" xfId="1060" xr:uid="{00000000-0005-0000-0000-000047A10000}"/>
    <cellStyle name="Normal 4 4 2 2 2" xfId="2698" xr:uid="{00000000-0005-0000-0000-000048A10000}"/>
    <cellStyle name="Normal 4 4 2 2 2 2" xfId="7560" xr:uid="{00000000-0005-0000-0000-000049A10000}"/>
    <cellStyle name="Normal 4 4 2 2 2 2 2" xfId="27011" xr:uid="{00000000-0005-0000-0000-00004AA10000}"/>
    <cellStyle name="Normal 4 4 2 2 2 2 3" xfId="36736" xr:uid="{00000000-0005-0000-0000-00004BA10000}"/>
    <cellStyle name="Normal 4 4 2 2 2 2 4" xfId="46461" xr:uid="{00000000-0005-0000-0000-00004CA10000}"/>
    <cellStyle name="Normal 4 4 2 2 2 2 5" xfId="17286" xr:uid="{00000000-0005-0000-0000-00004DA10000}"/>
    <cellStyle name="Normal 4 4 2 2 2 3" xfId="22149" xr:uid="{00000000-0005-0000-0000-00004EA10000}"/>
    <cellStyle name="Normal 4 4 2 2 2 4" xfId="31874" xr:uid="{00000000-0005-0000-0000-00004FA10000}"/>
    <cellStyle name="Normal 4 4 2 2 2 5" xfId="41599" xr:uid="{00000000-0005-0000-0000-000050A10000}"/>
    <cellStyle name="Normal 4 4 2 2 2 6" xfId="12424" xr:uid="{00000000-0005-0000-0000-000051A10000}"/>
    <cellStyle name="Normal 4 4 2 2 3" xfId="4318" xr:uid="{00000000-0005-0000-0000-000052A10000}"/>
    <cellStyle name="Normal 4 4 2 2 3 2" xfId="9180" xr:uid="{00000000-0005-0000-0000-000053A10000}"/>
    <cellStyle name="Normal 4 4 2 2 3 2 2" xfId="28631" xr:uid="{00000000-0005-0000-0000-000054A10000}"/>
    <cellStyle name="Normal 4 4 2 2 3 2 3" xfId="38356" xr:uid="{00000000-0005-0000-0000-000055A10000}"/>
    <cellStyle name="Normal 4 4 2 2 3 2 4" xfId="48081" xr:uid="{00000000-0005-0000-0000-000056A10000}"/>
    <cellStyle name="Normal 4 4 2 2 3 2 5" xfId="18906" xr:uid="{00000000-0005-0000-0000-000057A10000}"/>
    <cellStyle name="Normal 4 4 2 2 3 3" xfId="23769" xr:uid="{00000000-0005-0000-0000-000058A10000}"/>
    <cellStyle name="Normal 4 4 2 2 3 4" xfId="33494" xr:uid="{00000000-0005-0000-0000-000059A10000}"/>
    <cellStyle name="Normal 4 4 2 2 3 5" xfId="43219" xr:uid="{00000000-0005-0000-0000-00005AA10000}"/>
    <cellStyle name="Normal 4 4 2 2 3 6" xfId="14044" xr:uid="{00000000-0005-0000-0000-00005BA10000}"/>
    <cellStyle name="Normal 4 4 2 2 4" xfId="5940" xr:uid="{00000000-0005-0000-0000-00005CA10000}"/>
    <cellStyle name="Normal 4 4 2 2 4 2" xfId="25391" xr:uid="{00000000-0005-0000-0000-00005DA10000}"/>
    <cellStyle name="Normal 4 4 2 2 4 3" xfId="35116" xr:uid="{00000000-0005-0000-0000-00005EA10000}"/>
    <cellStyle name="Normal 4 4 2 2 4 4" xfId="44841" xr:uid="{00000000-0005-0000-0000-00005FA10000}"/>
    <cellStyle name="Normal 4 4 2 2 4 5" xfId="15666" xr:uid="{00000000-0005-0000-0000-000060A10000}"/>
    <cellStyle name="Normal 4 4 2 2 5" xfId="20529" xr:uid="{00000000-0005-0000-0000-000061A10000}"/>
    <cellStyle name="Normal 4 4 2 2 6" xfId="30254" xr:uid="{00000000-0005-0000-0000-000062A10000}"/>
    <cellStyle name="Normal 4 4 2 2 7" xfId="39979" xr:uid="{00000000-0005-0000-0000-000063A10000}"/>
    <cellStyle name="Normal 4 4 2 2 8" xfId="10804" xr:uid="{00000000-0005-0000-0000-000064A10000}"/>
    <cellStyle name="Normal 4 4 2 3" xfId="1527" xr:uid="{00000000-0005-0000-0000-000065A10000}"/>
    <cellStyle name="Normal 4 4 2 3 2" xfId="3148" xr:uid="{00000000-0005-0000-0000-000066A10000}"/>
    <cellStyle name="Normal 4 4 2 3 2 2" xfId="8010" xr:uid="{00000000-0005-0000-0000-000067A10000}"/>
    <cellStyle name="Normal 4 4 2 3 2 2 2" xfId="27461" xr:uid="{00000000-0005-0000-0000-000068A10000}"/>
    <cellStyle name="Normal 4 4 2 3 2 2 3" xfId="37186" xr:uid="{00000000-0005-0000-0000-000069A10000}"/>
    <cellStyle name="Normal 4 4 2 3 2 2 4" xfId="46911" xr:uid="{00000000-0005-0000-0000-00006AA10000}"/>
    <cellStyle name="Normal 4 4 2 3 2 2 5" xfId="17736" xr:uid="{00000000-0005-0000-0000-00006BA10000}"/>
    <cellStyle name="Normal 4 4 2 3 2 3" xfId="22599" xr:uid="{00000000-0005-0000-0000-00006CA10000}"/>
    <cellStyle name="Normal 4 4 2 3 2 4" xfId="32324" xr:uid="{00000000-0005-0000-0000-00006DA10000}"/>
    <cellStyle name="Normal 4 4 2 3 2 5" xfId="42049" xr:uid="{00000000-0005-0000-0000-00006EA10000}"/>
    <cellStyle name="Normal 4 4 2 3 2 6" xfId="12874" xr:uid="{00000000-0005-0000-0000-00006FA10000}"/>
    <cellStyle name="Normal 4 4 2 3 3" xfId="4768" xr:uid="{00000000-0005-0000-0000-000070A10000}"/>
    <cellStyle name="Normal 4 4 2 3 3 2" xfId="9630" xr:uid="{00000000-0005-0000-0000-000071A10000}"/>
    <cellStyle name="Normal 4 4 2 3 3 2 2" xfId="29081" xr:uid="{00000000-0005-0000-0000-000072A10000}"/>
    <cellStyle name="Normal 4 4 2 3 3 2 3" xfId="38806" xr:uid="{00000000-0005-0000-0000-000073A10000}"/>
    <cellStyle name="Normal 4 4 2 3 3 2 4" xfId="48531" xr:uid="{00000000-0005-0000-0000-000074A10000}"/>
    <cellStyle name="Normal 4 4 2 3 3 2 5" xfId="19356" xr:uid="{00000000-0005-0000-0000-000075A10000}"/>
    <cellStyle name="Normal 4 4 2 3 3 3" xfId="24219" xr:uid="{00000000-0005-0000-0000-000076A10000}"/>
    <cellStyle name="Normal 4 4 2 3 3 4" xfId="33944" xr:uid="{00000000-0005-0000-0000-000077A10000}"/>
    <cellStyle name="Normal 4 4 2 3 3 5" xfId="43669" xr:uid="{00000000-0005-0000-0000-000078A10000}"/>
    <cellStyle name="Normal 4 4 2 3 3 6" xfId="14494" xr:uid="{00000000-0005-0000-0000-000079A10000}"/>
    <cellStyle name="Normal 4 4 2 3 4" xfId="6390" xr:uid="{00000000-0005-0000-0000-00007AA10000}"/>
    <cellStyle name="Normal 4 4 2 3 4 2" xfId="25841" xr:uid="{00000000-0005-0000-0000-00007BA10000}"/>
    <cellStyle name="Normal 4 4 2 3 4 3" xfId="35566" xr:uid="{00000000-0005-0000-0000-00007CA10000}"/>
    <cellStyle name="Normal 4 4 2 3 4 4" xfId="45291" xr:uid="{00000000-0005-0000-0000-00007DA10000}"/>
    <cellStyle name="Normal 4 4 2 3 4 5" xfId="16116" xr:uid="{00000000-0005-0000-0000-00007EA10000}"/>
    <cellStyle name="Normal 4 4 2 3 5" xfId="20979" xr:uid="{00000000-0005-0000-0000-00007FA10000}"/>
    <cellStyle name="Normal 4 4 2 3 6" xfId="30704" xr:uid="{00000000-0005-0000-0000-000080A10000}"/>
    <cellStyle name="Normal 4 4 2 3 7" xfId="40429" xr:uid="{00000000-0005-0000-0000-000081A10000}"/>
    <cellStyle name="Normal 4 4 2 3 8" xfId="11254" xr:uid="{00000000-0005-0000-0000-000082A10000}"/>
    <cellStyle name="Normal 4 4 2 4" xfId="698" xr:uid="{00000000-0005-0000-0000-000083A10000}"/>
    <cellStyle name="Normal 4 4 2 4 2" xfId="2338" xr:uid="{00000000-0005-0000-0000-000084A10000}"/>
    <cellStyle name="Normal 4 4 2 4 2 2" xfId="7200" xr:uid="{00000000-0005-0000-0000-000085A10000}"/>
    <cellStyle name="Normal 4 4 2 4 2 2 2" xfId="26651" xr:uid="{00000000-0005-0000-0000-000086A10000}"/>
    <cellStyle name="Normal 4 4 2 4 2 2 3" xfId="36376" xr:uid="{00000000-0005-0000-0000-000087A10000}"/>
    <cellStyle name="Normal 4 4 2 4 2 2 4" xfId="46101" xr:uid="{00000000-0005-0000-0000-000088A10000}"/>
    <cellStyle name="Normal 4 4 2 4 2 2 5" xfId="16926" xr:uid="{00000000-0005-0000-0000-000089A10000}"/>
    <cellStyle name="Normal 4 4 2 4 2 3" xfId="21789" xr:uid="{00000000-0005-0000-0000-00008AA10000}"/>
    <cellStyle name="Normal 4 4 2 4 2 4" xfId="31514" xr:uid="{00000000-0005-0000-0000-00008BA10000}"/>
    <cellStyle name="Normal 4 4 2 4 2 5" xfId="41239" xr:uid="{00000000-0005-0000-0000-00008CA10000}"/>
    <cellStyle name="Normal 4 4 2 4 2 6" xfId="12064" xr:uid="{00000000-0005-0000-0000-00008DA10000}"/>
    <cellStyle name="Normal 4 4 2 4 3" xfId="3958" xr:uid="{00000000-0005-0000-0000-00008EA10000}"/>
    <cellStyle name="Normal 4 4 2 4 3 2" xfId="8820" xr:uid="{00000000-0005-0000-0000-00008FA10000}"/>
    <cellStyle name="Normal 4 4 2 4 3 2 2" xfId="28271" xr:uid="{00000000-0005-0000-0000-000090A10000}"/>
    <cellStyle name="Normal 4 4 2 4 3 2 3" xfId="37996" xr:uid="{00000000-0005-0000-0000-000091A10000}"/>
    <cellStyle name="Normal 4 4 2 4 3 2 4" xfId="47721" xr:uid="{00000000-0005-0000-0000-000092A10000}"/>
    <cellStyle name="Normal 4 4 2 4 3 2 5" xfId="18546" xr:uid="{00000000-0005-0000-0000-000093A10000}"/>
    <cellStyle name="Normal 4 4 2 4 3 3" xfId="23409" xr:uid="{00000000-0005-0000-0000-000094A10000}"/>
    <cellStyle name="Normal 4 4 2 4 3 4" xfId="33134" xr:uid="{00000000-0005-0000-0000-000095A10000}"/>
    <cellStyle name="Normal 4 4 2 4 3 5" xfId="42859" xr:uid="{00000000-0005-0000-0000-000096A10000}"/>
    <cellStyle name="Normal 4 4 2 4 3 6" xfId="13684" xr:uid="{00000000-0005-0000-0000-000097A10000}"/>
    <cellStyle name="Normal 4 4 2 4 4" xfId="5580" xr:uid="{00000000-0005-0000-0000-000098A10000}"/>
    <cellStyle name="Normal 4 4 2 4 4 2" xfId="25031" xr:uid="{00000000-0005-0000-0000-000099A10000}"/>
    <cellStyle name="Normal 4 4 2 4 4 3" xfId="34756" xr:uid="{00000000-0005-0000-0000-00009AA10000}"/>
    <cellStyle name="Normal 4 4 2 4 4 4" xfId="44481" xr:uid="{00000000-0005-0000-0000-00009BA10000}"/>
    <cellStyle name="Normal 4 4 2 4 4 5" xfId="15306" xr:uid="{00000000-0005-0000-0000-00009CA10000}"/>
    <cellStyle name="Normal 4 4 2 4 5" xfId="20169" xr:uid="{00000000-0005-0000-0000-00009DA10000}"/>
    <cellStyle name="Normal 4 4 2 4 6" xfId="29894" xr:uid="{00000000-0005-0000-0000-00009EA10000}"/>
    <cellStyle name="Normal 4 4 2 4 7" xfId="39619" xr:uid="{00000000-0005-0000-0000-00009FA10000}"/>
    <cellStyle name="Normal 4 4 2 4 8" xfId="10444" xr:uid="{00000000-0005-0000-0000-0000A0A10000}"/>
    <cellStyle name="Normal 4 4 2 5" xfId="1978" xr:uid="{00000000-0005-0000-0000-0000A1A10000}"/>
    <cellStyle name="Normal 4 4 2 5 2" xfId="6840" xr:uid="{00000000-0005-0000-0000-0000A2A10000}"/>
    <cellStyle name="Normal 4 4 2 5 2 2" xfId="26291" xr:uid="{00000000-0005-0000-0000-0000A3A10000}"/>
    <cellStyle name="Normal 4 4 2 5 2 3" xfId="36016" xr:uid="{00000000-0005-0000-0000-0000A4A10000}"/>
    <cellStyle name="Normal 4 4 2 5 2 4" xfId="45741" xr:uid="{00000000-0005-0000-0000-0000A5A10000}"/>
    <cellStyle name="Normal 4 4 2 5 2 5" xfId="16566" xr:uid="{00000000-0005-0000-0000-0000A6A10000}"/>
    <cellStyle name="Normal 4 4 2 5 3" xfId="21429" xr:uid="{00000000-0005-0000-0000-0000A7A10000}"/>
    <cellStyle name="Normal 4 4 2 5 4" xfId="31154" xr:uid="{00000000-0005-0000-0000-0000A8A10000}"/>
    <cellStyle name="Normal 4 4 2 5 5" xfId="40879" xr:uid="{00000000-0005-0000-0000-0000A9A10000}"/>
    <cellStyle name="Normal 4 4 2 5 6" xfId="11704" xr:uid="{00000000-0005-0000-0000-0000AAA10000}"/>
    <cellStyle name="Normal 4 4 2 6" xfId="3598" xr:uid="{00000000-0005-0000-0000-0000ABA10000}"/>
    <cellStyle name="Normal 4 4 2 6 2" xfId="8460" xr:uid="{00000000-0005-0000-0000-0000ACA10000}"/>
    <cellStyle name="Normal 4 4 2 6 2 2" xfId="27911" xr:uid="{00000000-0005-0000-0000-0000ADA10000}"/>
    <cellStyle name="Normal 4 4 2 6 2 3" xfId="37636" xr:uid="{00000000-0005-0000-0000-0000AEA10000}"/>
    <cellStyle name="Normal 4 4 2 6 2 4" xfId="47361" xr:uid="{00000000-0005-0000-0000-0000AFA10000}"/>
    <cellStyle name="Normal 4 4 2 6 2 5" xfId="18186" xr:uid="{00000000-0005-0000-0000-0000B0A10000}"/>
    <cellStyle name="Normal 4 4 2 6 3" xfId="23049" xr:uid="{00000000-0005-0000-0000-0000B1A10000}"/>
    <cellStyle name="Normal 4 4 2 6 4" xfId="32774" xr:uid="{00000000-0005-0000-0000-0000B2A10000}"/>
    <cellStyle name="Normal 4 4 2 6 5" xfId="42499" xr:uid="{00000000-0005-0000-0000-0000B3A10000}"/>
    <cellStyle name="Normal 4 4 2 6 6" xfId="13324" xr:uid="{00000000-0005-0000-0000-0000B4A10000}"/>
    <cellStyle name="Normal 4 4 2 7" xfId="5220" xr:uid="{00000000-0005-0000-0000-0000B5A10000}"/>
    <cellStyle name="Normal 4 4 2 7 2" xfId="24671" xr:uid="{00000000-0005-0000-0000-0000B6A10000}"/>
    <cellStyle name="Normal 4 4 2 7 3" xfId="34396" xr:uid="{00000000-0005-0000-0000-0000B7A10000}"/>
    <cellStyle name="Normal 4 4 2 7 4" xfId="44121" xr:uid="{00000000-0005-0000-0000-0000B8A10000}"/>
    <cellStyle name="Normal 4 4 2 7 5" xfId="14946" xr:uid="{00000000-0005-0000-0000-0000B9A10000}"/>
    <cellStyle name="Normal 4 4 2 8" xfId="19809" xr:uid="{00000000-0005-0000-0000-0000BAA10000}"/>
    <cellStyle name="Normal 4 4 2 9" xfId="29534" xr:uid="{00000000-0005-0000-0000-0000BBA10000}"/>
    <cellStyle name="Normal 4 4 3" xfId="387" xr:uid="{00000000-0005-0000-0000-0000BCA10000}"/>
    <cellStyle name="Normal 4 4 3 10" xfId="39349" xr:uid="{00000000-0005-0000-0000-0000BDA10000}"/>
    <cellStyle name="Normal 4 4 3 11" xfId="10174" xr:uid="{00000000-0005-0000-0000-0000BEA10000}"/>
    <cellStyle name="Normal 4 4 3 2" xfId="1150" xr:uid="{00000000-0005-0000-0000-0000BFA10000}"/>
    <cellStyle name="Normal 4 4 3 2 2" xfId="2788" xr:uid="{00000000-0005-0000-0000-0000C0A10000}"/>
    <cellStyle name="Normal 4 4 3 2 2 2" xfId="7650" xr:uid="{00000000-0005-0000-0000-0000C1A10000}"/>
    <cellStyle name="Normal 4 4 3 2 2 2 2" xfId="27101" xr:uid="{00000000-0005-0000-0000-0000C2A10000}"/>
    <cellStyle name="Normal 4 4 3 2 2 2 3" xfId="36826" xr:uid="{00000000-0005-0000-0000-0000C3A10000}"/>
    <cellStyle name="Normal 4 4 3 2 2 2 4" xfId="46551" xr:uid="{00000000-0005-0000-0000-0000C4A10000}"/>
    <cellStyle name="Normal 4 4 3 2 2 2 5" xfId="17376" xr:uid="{00000000-0005-0000-0000-0000C5A10000}"/>
    <cellStyle name="Normal 4 4 3 2 2 3" xfId="22239" xr:uid="{00000000-0005-0000-0000-0000C6A10000}"/>
    <cellStyle name="Normal 4 4 3 2 2 4" xfId="31964" xr:uid="{00000000-0005-0000-0000-0000C7A10000}"/>
    <cellStyle name="Normal 4 4 3 2 2 5" xfId="41689" xr:uid="{00000000-0005-0000-0000-0000C8A10000}"/>
    <cellStyle name="Normal 4 4 3 2 2 6" xfId="12514" xr:uid="{00000000-0005-0000-0000-0000C9A10000}"/>
    <cellStyle name="Normal 4 4 3 2 3" xfId="4408" xr:uid="{00000000-0005-0000-0000-0000CAA10000}"/>
    <cellStyle name="Normal 4 4 3 2 3 2" xfId="9270" xr:uid="{00000000-0005-0000-0000-0000CBA10000}"/>
    <cellStyle name="Normal 4 4 3 2 3 2 2" xfId="28721" xr:uid="{00000000-0005-0000-0000-0000CCA10000}"/>
    <cellStyle name="Normal 4 4 3 2 3 2 3" xfId="38446" xr:uid="{00000000-0005-0000-0000-0000CDA10000}"/>
    <cellStyle name="Normal 4 4 3 2 3 2 4" xfId="48171" xr:uid="{00000000-0005-0000-0000-0000CEA10000}"/>
    <cellStyle name="Normal 4 4 3 2 3 2 5" xfId="18996" xr:uid="{00000000-0005-0000-0000-0000CFA10000}"/>
    <cellStyle name="Normal 4 4 3 2 3 3" xfId="23859" xr:uid="{00000000-0005-0000-0000-0000D0A10000}"/>
    <cellStyle name="Normal 4 4 3 2 3 4" xfId="33584" xr:uid="{00000000-0005-0000-0000-0000D1A10000}"/>
    <cellStyle name="Normal 4 4 3 2 3 5" xfId="43309" xr:uid="{00000000-0005-0000-0000-0000D2A10000}"/>
    <cellStyle name="Normal 4 4 3 2 3 6" xfId="14134" xr:uid="{00000000-0005-0000-0000-0000D3A10000}"/>
    <cellStyle name="Normal 4 4 3 2 4" xfId="6030" xr:uid="{00000000-0005-0000-0000-0000D4A10000}"/>
    <cellStyle name="Normal 4 4 3 2 4 2" xfId="25481" xr:uid="{00000000-0005-0000-0000-0000D5A10000}"/>
    <cellStyle name="Normal 4 4 3 2 4 3" xfId="35206" xr:uid="{00000000-0005-0000-0000-0000D6A10000}"/>
    <cellStyle name="Normal 4 4 3 2 4 4" xfId="44931" xr:uid="{00000000-0005-0000-0000-0000D7A10000}"/>
    <cellStyle name="Normal 4 4 3 2 4 5" xfId="15756" xr:uid="{00000000-0005-0000-0000-0000D8A10000}"/>
    <cellStyle name="Normal 4 4 3 2 5" xfId="20619" xr:uid="{00000000-0005-0000-0000-0000D9A10000}"/>
    <cellStyle name="Normal 4 4 3 2 6" xfId="30344" xr:uid="{00000000-0005-0000-0000-0000DAA10000}"/>
    <cellStyle name="Normal 4 4 3 2 7" xfId="40069" xr:uid="{00000000-0005-0000-0000-0000DBA10000}"/>
    <cellStyle name="Normal 4 4 3 2 8" xfId="10894" xr:uid="{00000000-0005-0000-0000-0000DCA10000}"/>
    <cellStyle name="Normal 4 4 3 3" xfId="1617" xr:uid="{00000000-0005-0000-0000-0000DDA10000}"/>
    <cellStyle name="Normal 4 4 3 3 2" xfId="3238" xr:uid="{00000000-0005-0000-0000-0000DEA10000}"/>
    <cellStyle name="Normal 4 4 3 3 2 2" xfId="8100" xr:uid="{00000000-0005-0000-0000-0000DFA10000}"/>
    <cellStyle name="Normal 4 4 3 3 2 2 2" xfId="27551" xr:uid="{00000000-0005-0000-0000-0000E0A10000}"/>
    <cellStyle name="Normal 4 4 3 3 2 2 3" xfId="37276" xr:uid="{00000000-0005-0000-0000-0000E1A10000}"/>
    <cellStyle name="Normal 4 4 3 3 2 2 4" xfId="47001" xr:uid="{00000000-0005-0000-0000-0000E2A10000}"/>
    <cellStyle name="Normal 4 4 3 3 2 2 5" xfId="17826" xr:uid="{00000000-0005-0000-0000-0000E3A10000}"/>
    <cellStyle name="Normal 4 4 3 3 2 3" xfId="22689" xr:uid="{00000000-0005-0000-0000-0000E4A10000}"/>
    <cellStyle name="Normal 4 4 3 3 2 4" xfId="32414" xr:uid="{00000000-0005-0000-0000-0000E5A10000}"/>
    <cellStyle name="Normal 4 4 3 3 2 5" xfId="42139" xr:uid="{00000000-0005-0000-0000-0000E6A10000}"/>
    <cellStyle name="Normal 4 4 3 3 2 6" xfId="12964" xr:uid="{00000000-0005-0000-0000-0000E7A10000}"/>
    <cellStyle name="Normal 4 4 3 3 3" xfId="4858" xr:uid="{00000000-0005-0000-0000-0000E8A10000}"/>
    <cellStyle name="Normal 4 4 3 3 3 2" xfId="9720" xr:uid="{00000000-0005-0000-0000-0000E9A10000}"/>
    <cellStyle name="Normal 4 4 3 3 3 2 2" xfId="29171" xr:uid="{00000000-0005-0000-0000-0000EAA10000}"/>
    <cellStyle name="Normal 4 4 3 3 3 2 3" xfId="38896" xr:uid="{00000000-0005-0000-0000-0000EBA10000}"/>
    <cellStyle name="Normal 4 4 3 3 3 2 4" xfId="48621" xr:uid="{00000000-0005-0000-0000-0000ECA10000}"/>
    <cellStyle name="Normal 4 4 3 3 3 2 5" xfId="19446" xr:uid="{00000000-0005-0000-0000-0000EDA10000}"/>
    <cellStyle name="Normal 4 4 3 3 3 3" xfId="24309" xr:uid="{00000000-0005-0000-0000-0000EEA10000}"/>
    <cellStyle name="Normal 4 4 3 3 3 4" xfId="34034" xr:uid="{00000000-0005-0000-0000-0000EFA10000}"/>
    <cellStyle name="Normal 4 4 3 3 3 5" xfId="43759" xr:uid="{00000000-0005-0000-0000-0000F0A10000}"/>
    <cellStyle name="Normal 4 4 3 3 3 6" xfId="14584" xr:uid="{00000000-0005-0000-0000-0000F1A10000}"/>
    <cellStyle name="Normal 4 4 3 3 4" xfId="6480" xr:uid="{00000000-0005-0000-0000-0000F2A10000}"/>
    <cellStyle name="Normal 4 4 3 3 4 2" xfId="25931" xr:uid="{00000000-0005-0000-0000-0000F3A10000}"/>
    <cellStyle name="Normal 4 4 3 3 4 3" xfId="35656" xr:uid="{00000000-0005-0000-0000-0000F4A10000}"/>
    <cellStyle name="Normal 4 4 3 3 4 4" xfId="45381" xr:uid="{00000000-0005-0000-0000-0000F5A10000}"/>
    <cellStyle name="Normal 4 4 3 3 4 5" xfId="16206" xr:uid="{00000000-0005-0000-0000-0000F6A10000}"/>
    <cellStyle name="Normal 4 4 3 3 5" xfId="21069" xr:uid="{00000000-0005-0000-0000-0000F7A10000}"/>
    <cellStyle name="Normal 4 4 3 3 6" xfId="30794" xr:uid="{00000000-0005-0000-0000-0000F8A10000}"/>
    <cellStyle name="Normal 4 4 3 3 7" xfId="40519" xr:uid="{00000000-0005-0000-0000-0000F9A10000}"/>
    <cellStyle name="Normal 4 4 3 3 8" xfId="11344" xr:uid="{00000000-0005-0000-0000-0000FAA10000}"/>
    <cellStyle name="Normal 4 4 3 4" xfId="788" xr:uid="{00000000-0005-0000-0000-0000FBA10000}"/>
    <cellStyle name="Normal 4 4 3 4 2" xfId="2428" xr:uid="{00000000-0005-0000-0000-0000FCA10000}"/>
    <cellStyle name="Normal 4 4 3 4 2 2" xfId="7290" xr:uid="{00000000-0005-0000-0000-0000FDA10000}"/>
    <cellStyle name="Normal 4 4 3 4 2 2 2" xfId="26741" xr:uid="{00000000-0005-0000-0000-0000FEA10000}"/>
    <cellStyle name="Normal 4 4 3 4 2 2 3" xfId="36466" xr:uid="{00000000-0005-0000-0000-0000FFA10000}"/>
    <cellStyle name="Normal 4 4 3 4 2 2 4" xfId="46191" xr:uid="{00000000-0005-0000-0000-000000A20000}"/>
    <cellStyle name="Normal 4 4 3 4 2 2 5" xfId="17016" xr:uid="{00000000-0005-0000-0000-000001A20000}"/>
    <cellStyle name="Normal 4 4 3 4 2 3" xfId="21879" xr:uid="{00000000-0005-0000-0000-000002A20000}"/>
    <cellStyle name="Normal 4 4 3 4 2 4" xfId="31604" xr:uid="{00000000-0005-0000-0000-000003A20000}"/>
    <cellStyle name="Normal 4 4 3 4 2 5" xfId="41329" xr:uid="{00000000-0005-0000-0000-000004A20000}"/>
    <cellStyle name="Normal 4 4 3 4 2 6" xfId="12154" xr:uid="{00000000-0005-0000-0000-000005A20000}"/>
    <cellStyle name="Normal 4 4 3 4 3" xfId="4048" xr:uid="{00000000-0005-0000-0000-000006A20000}"/>
    <cellStyle name="Normal 4 4 3 4 3 2" xfId="8910" xr:uid="{00000000-0005-0000-0000-000007A20000}"/>
    <cellStyle name="Normal 4 4 3 4 3 2 2" xfId="28361" xr:uid="{00000000-0005-0000-0000-000008A20000}"/>
    <cellStyle name="Normal 4 4 3 4 3 2 3" xfId="38086" xr:uid="{00000000-0005-0000-0000-000009A20000}"/>
    <cellStyle name="Normal 4 4 3 4 3 2 4" xfId="47811" xr:uid="{00000000-0005-0000-0000-00000AA20000}"/>
    <cellStyle name="Normal 4 4 3 4 3 2 5" xfId="18636" xr:uid="{00000000-0005-0000-0000-00000BA20000}"/>
    <cellStyle name="Normal 4 4 3 4 3 3" xfId="23499" xr:uid="{00000000-0005-0000-0000-00000CA20000}"/>
    <cellStyle name="Normal 4 4 3 4 3 4" xfId="33224" xr:uid="{00000000-0005-0000-0000-00000DA20000}"/>
    <cellStyle name="Normal 4 4 3 4 3 5" xfId="42949" xr:uid="{00000000-0005-0000-0000-00000EA20000}"/>
    <cellStyle name="Normal 4 4 3 4 3 6" xfId="13774" xr:uid="{00000000-0005-0000-0000-00000FA20000}"/>
    <cellStyle name="Normal 4 4 3 4 4" xfId="5670" xr:uid="{00000000-0005-0000-0000-000010A20000}"/>
    <cellStyle name="Normal 4 4 3 4 4 2" xfId="25121" xr:uid="{00000000-0005-0000-0000-000011A20000}"/>
    <cellStyle name="Normal 4 4 3 4 4 3" xfId="34846" xr:uid="{00000000-0005-0000-0000-000012A20000}"/>
    <cellStyle name="Normal 4 4 3 4 4 4" xfId="44571" xr:uid="{00000000-0005-0000-0000-000013A20000}"/>
    <cellStyle name="Normal 4 4 3 4 4 5" xfId="15396" xr:uid="{00000000-0005-0000-0000-000014A20000}"/>
    <cellStyle name="Normal 4 4 3 4 5" xfId="20259" xr:uid="{00000000-0005-0000-0000-000015A20000}"/>
    <cellStyle name="Normal 4 4 3 4 6" xfId="29984" xr:uid="{00000000-0005-0000-0000-000016A20000}"/>
    <cellStyle name="Normal 4 4 3 4 7" xfId="39709" xr:uid="{00000000-0005-0000-0000-000017A20000}"/>
    <cellStyle name="Normal 4 4 3 4 8" xfId="10534" xr:uid="{00000000-0005-0000-0000-000018A20000}"/>
    <cellStyle name="Normal 4 4 3 5" xfId="2068" xr:uid="{00000000-0005-0000-0000-000019A20000}"/>
    <cellStyle name="Normal 4 4 3 5 2" xfId="6930" xr:uid="{00000000-0005-0000-0000-00001AA20000}"/>
    <cellStyle name="Normal 4 4 3 5 2 2" xfId="26381" xr:uid="{00000000-0005-0000-0000-00001BA20000}"/>
    <cellStyle name="Normal 4 4 3 5 2 3" xfId="36106" xr:uid="{00000000-0005-0000-0000-00001CA20000}"/>
    <cellStyle name="Normal 4 4 3 5 2 4" xfId="45831" xr:uid="{00000000-0005-0000-0000-00001DA20000}"/>
    <cellStyle name="Normal 4 4 3 5 2 5" xfId="16656" xr:uid="{00000000-0005-0000-0000-00001EA20000}"/>
    <cellStyle name="Normal 4 4 3 5 3" xfId="21519" xr:uid="{00000000-0005-0000-0000-00001FA20000}"/>
    <cellStyle name="Normal 4 4 3 5 4" xfId="31244" xr:uid="{00000000-0005-0000-0000-000020A20000}"/>
    <cellStyle name="Normal 4 4 3 5 5" xfId="40969" xr:uid="{00000000-0005-0000-0000-000021A20000}"/>
    <cellStyle name="Normal 4 4 3 5 6" xfId="11794" xr:uid="{00000000-0005-0000-0000-000022A20000}"/>
    <cellStyle name="Normal 4 4 3 6" xfId="3688" xr:uid="{00000000-0005-0000-0000-000023A20000}"/>
    <cellStyle name="Normal 4 4 3 6 2" xfId="8550" xr:uid="{00000000-0005-0000-0000-000024A20000}"/>
    <cellStyle name="Normal 4 4 3 6 2 2" xfId="28001" xr:uid="{00000000-0005-0000-0000-000025A20000}"/>
    <cellStyle name="Normal 4 4 3 6 2 3" xfId="37726" xr:uid="{00000000-0005-0000-0000-000026A20000}"/>
    <cellStyle name="Normal 4 4 3 6 2 4" xfId="47451" xr:uid="{00000000-0005-0000-0000-000027A20000}"/>
    <cellStyle name="Normal 4 4 3 6 2 5" xfId="18276" xr:uid="{00000000-0005-0000-0000-000028A20000}"/>
    <cellStyle name="Normal 4 4 3 6 3" xfId="23139" xr:uid="{00000000-0005-0000-0000-000029A20000}"/>
    <cellStyle name="Normal 4 4 3 6 4" xfId="32864" xr:uid="{00000000-0005-0000-0000-00002AA20000}"/>
    <cellStyle name="Normal 4 4 3 6 5" xfId="42589" xr:uid="{00000000-0005-0000-0000-00002BA20000}"/>
    <cellStyle name="Normal 4 4 3 6 6" xfId="13414" xr:uid="{00000000-0005-0000-0000-00002CA20000}"/>
    <cellStyle name="Normal 4 4 3 7" xfId="5310" xr:uid="{00000000-0005-0000-0000-00002DA20000}"/>
    <cellStyle name="Normal 4 4 3 7 2" xfId="24761" xr:uid="{00000000-0005-0000-0000-00002EA20000}"/>
    <cellStyle name="Normal 4 4 3 7 3" xfId="34486" xr:uid="{00000000-0005-0000-0000-00002FA20000}"/>
    <cellStyle name="Normal 4 4 3 7 4" xfId="44211" xr:uid="{00000000-0005-0000-0000-000030A20000}"/>
    <cellStyle name="Normal 4 4 3 7 5" xfId="15036" xr:uid="{00000000-0005-0000-0000-000031A20000}"/>
    <cellStyle name="Normal 4 4 3 8" xfId="19899" xr:uid="{00000000-0005-0000-0000-000032A20000}"/>
    <cellStyle name="Normal 4 4 3 9" xfId="29624" xr:uid="{00000000-0005-0000-0000-000033A20000}"/>
    <cellStyle name="Normal 4 4 4" xfId="205" xr:uid="{00000000-0005-0000-0000-000034A20000}"/>
    <cellStyle name="Normal 4 4 4 10" xfId="39169" xr:uid="{00000000-0005-0000-0000-000035A20000}"/>
    <cellStyle name="Normal 4 4 4 11" xfId="9994" xr:uid="{00000000-0005-0000-0000-000036A20000}"/>
    <cellStyle name="Normal 4 4 4 2" xfId="969" xr:uid="{00000000-0005-0000-0000-000037A20000}"/>
    <cellStyle name="Normal 4 4 4 2 2" xfId="2608" xr:uid="{00000000-0005-0000-0000-000038A20000}"/>
    <cellStyle name="Normal 4 4 4 2 2 2" xfId="7470" xr:uid="{00000000-0005-0000-0000-000039A20000}"/>
    <cellStyle name="Normal 4 4 4 2 2 2 2" xfId="26921" xr:uid="{00000000-0005-0000-0000-00003AA20000}"/>
    <cellStyle name="Normal 4 4 4 2 2 2 3" xfId="36646" xr:uid="{00000000-0005-0000-0000-00003BA20000}"/>
    <cellStyle name="Normal 4 4 4 2 2 2 4" xfId="46371" xr:uid="{00000000-0005-0000-0000-00003CA20000}"/>
    <cellStyle name="Normal 4 4 4 2 2 2 5" xfId="17196" xr:uid="{00000000-0005-0000-0000-00003DA20000}"/>
    <cellStyle name="Normal 4 4 4 2 2 3" xfId="22059" xr:uid="{00000000-0005-0000-0000-00003EA20000}"/>
    <cellStyle name="Normal 4 4 4 2 2 4" xfId="31784" xr:uid="{00000000-0005-0000-0000-00003FA20000}"/>
    <cellStyle name="Normal 4 4 4 2 2 5" xfId="41509" xr:uid="{00000000-0005-0000-0000-000040A20000}"/>
    <cellStyle name="Normal 4 4 4 2 2 6" xfId="12334" xr:uid="{00000000-0005-0000-0000-000041A20000}"/>
    <cellStyle name="Normal 4 4 4 2 3" xfId="4228" xr:uid="{00000000-0005-0000-0000-000042A20000}"/>
    <cellStyle name="Normal 4 4 4 2 3 2" xfId="9090" xr:uid="{00000000-0005-0000-0000-000043A20000}"/>
    <cellStyle name="Normal 4 4 4 2 3 2 2" xfId="28541" xr:uid="{00000000-0005-0000-0000-000044A20000}"/>
    <cellStyle name="Normal 4 4 4 2 3 2 3" xfId="38266" xr:uid="{00000000-0005-0000-0000-000045A20000}"/>
    <cellStyle name="Normal 4 4 4 2 3 2 4" xfId="47991" xr:uid="{00000000-0005-0000-0000-000046A20000}"/>
    <cellStyle name="Normal 4 4 4 2 3 2 5" xfId="18816" xr:uid="{00000000-0005-0000-0000-000047A20000}"/>
    <cellStyle name="Normal 4 4 4 2 3 3" xfId="23679" xr:uid="{00000000-0005-0000-0000-000048A20000}"/>
    <cellStyle name="Normal 4 4 4 2 3 4" xfId="33404" xr:uid="{00000000-0005-0000-0000-000049A20000}"/>
    <cellStyle name="Normal 4 4 4 2 3 5" xfId="43129" xr:uid="{00000000-0005-0000-0000-00004AA20000}"/>
    <cellStyle name="Normal 4 4 4 2 3 6" xfId="13954" xr:uid="{00000000-0005-0000-0000-00004BA20000}"/>
    <cellStyle name="Normal 4 4 4 2 4" xfId="5850" xr:uid="{00000000-0005-0000-0000-00004CA20000}"/>
    <cellStyle name="Normal 4 4 4 2 4 2" xfId="25301" xr:uid="{00000000-0005-0000-0000-00004DA20000}"/>
    <cellStyle name="Normal 4 4 4 2 4 3" xfId="35026" xr:uid="{00000000-0005-0000-0000-00004EA20000}"/>
    <cellStyle name="Normal 4 4 4 2 4 4" xfId="44751" xr:uid="{00000000-0005-0000-0000-00004FA20000}"/>
    <cellStyle name="Normal 4 4 4 2 4 5" xfId="15576" xr:uid="{00000000-0005-0000-0000-000050A20000}"/>
    <cellStyle name="Normal 4 4 4 2 5" xfId="20439" xr:uid="{00000000-0005-0000-0000-000051A20000}"/>
    <cellStyle name="Normal 4 4 4 2 6" xfId="30164" xr:uid="{00000000-0005-0000-0000-000052A20000}"/>
    <cellStyle name="Normal 4 4 4 2 7" xfId="39889" xr:uid="{00000000-0005-0000-0000-000053A20000}"/>
    <cellStyle name="Normal 4 4 4 2 8" xfId="10714" xr:uid="{00000000-0005-0000-0000-000054A20000}"/>
    <cellStyle name="Normal 4 4 4 3" xfId="1437" xr:uid="{00000000-0005-0000-0000-000055A20000}"/>
    <cellStyle name="Normal 4 4 4 3 2" xfId="3058" xr:uid="{00000000-0005-0000-0000-000056A20000}"/>
    <cellStyle name="Normal 4 4 4 3 2 2" xfId="7920" xr:uid="{00000000-0005-0000-0000-000057A20000}"/>
    <cellStyle name="Normal 4 4 4 3 2 2 2" xfId="27371" xr:uid="{00000000-0005-0000-0000-000058A20000}"/>
    <cellStyle name="Normal 4 4 4 3 2 2 3" xfId="37096" xr:uid="{00000000-0005-0000-0000-000059A20000}"/>
    <cellStyle name="Normal 4 4 4 3 2 2 4" xfId="46821" xr:uid="{00000000-0005-0000-0000-00005AA20000}"/>
    <cellStyle name="Normal 4 4 4 3 2 2 5" xfId="17646" xr:uid="{00000000-0005-0000-0000-00005BA20000}"/>
    <cellStyle name="Normal 4 4 4 3 2 3" xfId="22509" xr:uid="{00000000-0005-0000-0000-00005CA20000}"/>
    <cellStyle name="Normal 4 4 4 3 2 4" xfId="32234" xr:uid="{00000000-0005-0000-0000-00005DA20000}"/>
    <cellStyle name="Normal 4 4 4 3 2 5" xfId="41959" xr:uid="{00000000-0005-0000-0000-00005EA20000}"/>
    <cellStyle name="Normal 4 4 4 3 2 6" xfId="12784" xr:uid="{00000000-0005-0000-0000-00005FA20000}"/>
    <cellStyle name="Normal 4 4 4 3 3" xfId="4678" xr:uid="{00000000-0005-0000-0000-000060A20000}"/>
    <cellStyle name="Normal 4 4 4 3 3 2" xfId="9540" xr:uid="{00000000-0005-0000-0000-000061A20000}"/>
    <cellStyle name="Normal 4 4 4 3 3 2 2" xfId="28991" xr:uid="{00000000-0005-0000-0000-000062A20000}"/>
    <cellStyle name="Normal 4 4 4 3 3 2 3" xfId="38716" xr:uid="{00000000-0005-0000-0000-000063A20000}"/>
    <cellStyle name="Normal 4 4 4 3 3 2 4" xfId="48441" xr:uid="{00000000-0005-0000-0000-000064A20000}"/>
    <cellStyle name="Normal 4 4 4 3 3 2 5" xfId="19266" xr:uid="{00000000-0005-0000-0000-000065A20000}"/>
    <cellStyle name="Normal 4 4 4 3 3 3" xfId="24129" xr:uid="{00000000-0005-0000-0000-000066A20000}"/>
    <cellStyle name="Normal 4 4 4 3 3 4" xfId="33854" xr:uid="{00000000-0005-0000-0000-000067A20000}"/>
    <cellStyle name="Normal 4 4 4 3 3 5" xfId="43579" xr:uid="{00000000-0005-0000-0000-000068A20000}"/>
    <cellStyle name="Normal 4 4 4 3 3 6" xfId="14404" xr:uid="{00000000-0005-0000-0000-000069A20000}"/>
    <cellStyle name="Normal 4 4 4 3 4" xfId="6300" xr:uid="{00000000-0005-0000-0000-00006AA20000}"/>
    <cellStyle name="Normal 4 4 4 3 4 2" xfId="25751" xr:uid="{00000000-0005-0000-0000-00006BA20000}"/>
    <cellStyle name="Normal 4 4 4 3 4 3" xfId="35476" xr:uid="{00000000-0005-0000-0000-00006CA20000}"/>
    <cellStyle name="Normal 4 4 4 3 4 4" xfId="45201" xr:uid="{00000000-0005-0000-0000-00006DA20000}"/>
    <cellStyle name="Normal 4 4 4 3 4 5" xfId="16026" xr:uid="{00000000-0005-0000-0000-00006EA20000}"/>
    <cellStyle name="Normal 4 4 4 3 5" xfId="20889" xr:uid="{00000000-0005-0000-0000-00006FA20000}"/>
    <cellStyle name="Normal 4 4 4 3 6" xfId="30614" xr:uid="{00000000-0005-0000-0000-000070A20000}"/>
    <cellStyle name="Normal 4 4 4 3 7" xfId="40339" xr:uid="{00000000-0005-0000-0000-000071A20000}"/>
    <cellStyle name="Normal 4 4 4 3 8" xfId="11164" xr:uid="{00000000-0005-0000-0000-000072A20000}"/>
    <cellStyle name="Normal 4 4 4 4" xfId="608" xr:uid="{00000000-0005-0000-0000-000073A20000}"/>
    <cellStyle name="Normal 4 4 4 4 2" xfId="2248" xr:uid="{00000000-0005-0000-0000-000074A20000}"/>
    <cellStyle name="Normal 4 4 4 4 2 2" xfId="7110" xr:uid="{00000000-0005-0000-0000-000075A20000}"/>
    <cellStyle name="Normal 4 4 4 4 2 2 2" xfId="26561" xr:uid="{00000000-0005-0000-0000-000076A20000}"/>
    <cellStyle name="Normal 4 4 4 4 2 2 3" xfId="36286" xr:uid="{00000000-0005-0000-0000-000077A20000}"/>
    <cellStyle name="Normal 4 4 4 4 2 2 4" xfId="46011" xr:uid="{00000000-0005-0000-0000-000078A20000}"/>
    <cellStyle name="Normal 4 4 4 4 2 2 5" xfId="16836" xr:uid="{00000000-0005-0000-0000-000079A20000}"/>
    <cellStyle name="Normal 4 4 4 4 2 3" xfId="21699" xr:uid="{00000000-0005-0000-0000-00007AA20000}"/>
    <cellStyle name="Normal 4 4 4 4 2 4" xfId="31424" xr:uid="{00000000-0005-0000-0000-00007BA20000}"/>
    <cellStyle name="Normal 4 4 4 4 2 5" xfId="41149" xr:uid="{00000000-0005-0000-0000-00007CA20000}"/>
    <cellStyle name="Normal 4 4 4 4 2 6" xfId="11974" xr:uid="{00000000-0005-0000-0000-00007DA20000}"/>
    <cellStyle name="Normal 4 4 4 4 3" xfId="3868" xr:uid="{00000000-0005-0000-0000-00007EA20000}"/>
    <cellStyle name="Normal 4 4 4 4 3 2" xfId="8730" xr:uid="{00000000-0005-0000-0000-00007FA20000}"/>
    <cellStyle name="Normal 4 4 4 4 3 2 2" xfId="28181" xr:uid="{00000000-0005-0000-0000-000080A20000}"/>
    <cellStyle name="Normal 4 4 4 4 3 2 3" xfId="37906" xr:uid="{00000000-0005-0000-0000-000081A20000}"/>
    <cellStyle name="Normal 4 4 4 4 3 2 4" xfId="47631" xr:uid="{00000000-0005-0000-0000-000082A20000}"/>
    <cellStyle name="Normal 4 4 4 4 3 2 5" xfId="18456" xr:uid="{00000000-0005-0000-0000-000083A20000}"/>
    <cellStyle name="Normal 4 4 4 4 3 3" xfId="23319" xr:uid="{00000000-0005-0000-0000-000084A20000}"/>
    <cellStyle name="Normal 4 4 4 4 3 4" xfId="33044" xr:uid="{00000000-0005-0000-0000-000085A20000}"/>
    <cellStyle name="Normal 4 4 4 4 3 5" xfId="42769" xr:uid="{00000000-0005-0000-0000-000086A20000}"/>
    <cellStyle name="Normal 4 4 4 4 3 6" xfId="13594" xr:uid="{00000000-0005-0000-0000-000087A20000}"/>
    <cellStyle name="Normal 4 4 4 4 4" xfId="5490" xr:uid="{00000000-0005-0000-0000-000088A20000}"/>
    <cellStyle name="Normal 4 4 4 4 4 2" xfId="24941" xr:uid="{00000000-0005-0000-0000-000089A20000}"/>
    <cellStyle name="Normal 4 4 4 4 4 3" xfId="34666" xr:uid="{00000000-0005-0000-0000-00008AA20000}"/>
    <cellStyle name="Normal 4 4 4 4 4 4" xfId="44391" xr:uid="{00000000-0005-0000-0000-00008BA20000}"/>
    <cellStyle name="Normal 4 4 4 4 4 5" xfId="15216" xr:uid="{00000000-0005-0000-0000-00008CA20000}"/>
    <cellStyle name="Normal 4 4 4 4 5" xfId="20079" xr:uid="{00000000-0005-0000-0000-00008DA20000}"/>
    <cellStyle name="Normal 4 4 4 4 6" xfId="29804" xr:uid="{00000000-0005-0000-0000-00008EA20000}"/>
    <cellStyle name="Normal 4 4 4 4 7" xfId="39529" xr:uid="{00000000-0005-0000-0000-00008FA20000}"/>
    <cellStyle name="Normal 4 4 4 4 8" xfId="10354" xr:uid="{00000000-0005-0000-0000-000090A20000}"/>
    <cellStyle name="Normal 4 4 4 5" xfId="1888" xr:uid="{00000000-0005-0000-0000-000091A20000}"/>
    <cellStyle name="Normal 4 4 4 5 2" xfId="6750" xr:uid="{00000000-0005-0000-0000-000092A20000}"/>
    <cellStyle name="Normal 4 4 4 5 2 2" xfId="26201" xr:uid="{00000000-0005-0000-0000-000093A20000}"/>
    <cellStyle name="Normal 4 4 4 5 2 3" xfId="35926" xr:uid="{00000000-0005-0000-0000-000094A20000}"/>
    <cellStyle name="Normal 4 4 4 5 2 4" xfId="45651" xr:uid="{00000000-0005-0000-0000-000095A20000}"/>
    <cellStyle name="Normal 4 4 4 5 2 5" xfId="16476" xr:uid="{00000000-0005-0000-0000-000096A20000}"/>
    <cellStyle name="Normal 4 4 4 5 3" xfId="21339" xr:uid="{00000000-0005-0000-0000-000097A20000}"/>
    <cellStyle name="Normal 4 4 4 5 4" xfId="31064" xr:uid="{00000000-0005-0000-0000-000098A20000}"/>
    <cellStyle name="Normal 4 4 4 5 5" xfId="40789" xr:uid="{00000000-0005-0000-0000-000099A20000}"/>
    <cellStyle name="Normal 4 4 4 5 6" xfId="11614" xr:uid="{00000000-0005-0000-0000-00009AA20000}"/>
    <cellStyle name="Normal 4 4 4 6" xfId="3508" xr:uid="{00000000-0005-0000-0000-00009BA20000}"/>
    <cellStyle name="Normal 4 4 4 6 2" xfId="8370" xr:uid="{00000000-0005-0000-0000-00009CA20000}"/>
    <cellStyle name="Normal 4 4 4 6 2 2" xfId="27821" xr:uid="{00000000-0005-0000-0000-00009DA20000}"/>
    <cellStyle name="Normal 4 4 4 6 2 3" xfId="37546" xr:uid="{00000000-0005-0000-0000-00009EA20000}"/>
    <cellStyle name="Normal 4 4 4 6 2 4" xfId="47271" xr:uid="{00000000-0005-0000-0000-00009FA20000}"/>
    <cellStyle name="Normal 4 4 4 6 2 5" xfId="18096" xr:uid="{00000000-0005-0000-0000-0000A0A20000}"/>
    <cellStyle name="Normal 4 4 4 6 3" xfId="22959" xr:uid="{00000000-0005-0000-0000-0000A1A20000}"/>
    <cellStyle name="Normal 4 4 4 6 4" xfId="32684" xr:uid="{00000000-0005-0000-0000-0000A2A20000}"/>
    <cellStyle name="Normal 4 4 4 6 5" xfId="42409" xr:uid="{00000000-0005-0000-0000-0000A3A20000}"/>
    <cellStyle name="Normal 4 4 4 6 6" xfId="13234" xr:uid="{00000000-0005-0000-0000-0000A4A20000}"/>
    <cellStyle name="Normal 4 4 4 7" xfId="5130" xr:uid="{00000000-0005-0000-0000-0000A5A20000}"/>
    <cellStyle name="Normal 4 4 4 7 2" xfId="24581" xr:uid="{00000000-0005-0000-0000-0000A6A20000}"/>
    <cellStyle name="Normal 4 4 4 7 3" xfId="34306" xr:uid="{00000000-0005-0000-0000-0000A7A20000}"/>
    <cellStyle name="Normal 4 4 4 7 4" xfId="44031" xr:uid="{00000000-0005-0000-0000-0000A8A20000}"/>
    <cellStyle name="Normal 4 4 4 7 5" xfId="14856" xr:uid="{00000000-0005-0000-0000-0000A9A20000}"/>
    <cellStyle name="Normal 4 4 4 8" xfId="19719" xr:uid="{00000000-0005-0000-0000-0000AAA20000}"/>
    <cellStyle name="Normal 4 4 4 9" xfId="29444" xr:uid="{00000000-0005-0000-0000-0000ABA20000}"/>
    <cellStyle name="Normal 4 4 5" xfId="879" xr:uid="{00000000-0005-0000-0000-0000ACA20000}"/>
    <cellStyle name="Normal 4 4 5 2" xfId="2518" xr:uid="{00000000-0005-0000-0000-0000ADA20000}"/>
    <cellStyle name="Normal 4 4 5 2 2" xfId="7380" xr:uid="{00000000-0005-0000-0000-0000AEA20000}"/>
    <cellStyle name="Normal 4 4 5 2 2 2" xfId="26831" xr:uid="{00000000-0005-0000-0000-0000AFA20000}"/>
    <cellStyle name="Normal 4 4 5 2 2 3" xfId="36556" xr:uid="{00000000-0005-0000-0000-0000B0A20000}"/>
    <cellStyle name="Normal 4 4 5 2 2 4" xfId="46281" xr:uid="{00000000-0005-0000-0000-0000B1A20000}"/>
    <cellStyle name="Normal 4 4 5 2 2 5" xfId="17106" xr:uid="{00000000-0005-0000-0000-0000B2A20000}"/>
    <cellStyle name="Normal 4 4 5 2 3" xfId="21969" xr:uid="{00000000-0005-0000-0000-0000B3A20000}"/>
    <cellStyle name="Normal 4 4 5 2 4" xfId="31694" xr:uid="{00000000-0005-0000-0000-0000B4A20000}"/>
    <cellStyle name="Normal 4 4 5 2 5" xfId="41419" xr:uid="{00000000-0005-0000-0000-0000B5A20000}"/>
    <cellStyle name="Normal 4 4 5 2 6" xfId="12244" xr:uid="{00000000-0005-0000-0000-0000B6A20000}"/>
    <cellStyle name="Normal 4 4 5 3" xfId="4138" xr:uid="{00000000-0005-0000-0000-0000B7A20000}"/>
    <cellStyle name="Normal 4 4 5 3 2" xfId="9000" xr:uid="{00000000-0005-0000-0000-0000B8A20000}"/>
    <cellStyle name="Normal 4 4 5 3 2 2" xfId="28451" xr:uid="{00000000-0005-0000-0000-0000B9A20000}"/>
    <cellStyle name="Normal 4 4 5 3 2 3" xfId="38176" xr:uid="{00000000-0005-0000-0000-0000BAA20000}"/>
    <cellStyle name="Normal 4 4 5 3 2 4" xfId="47901" xr:uid="{00000000-0005-0000-0000-0000BBA20000}"/>
    <cellStyle name="Normal 4 4 5 3 2 5" xfId="18726" xr:uid="{00000000-0005-0000-0000-0000BCA20000}"/>
    <cellStyle name="Normal 4 4 5 3 3" xfId="23589" xr:uid="{00000000-0005-0000-0000-0000BDA20000}"/>
    <cellStyle name="Normal 4 4 5 3 4" xfId="33314" xr:uid="{00000000-0005-0000-0000-0000BEA20000}"/>
    <cellStyle name="Normal 4 4 5 3 5" xfId="43039" xr:uid="{00000000-0005-0000-0000-0000BFA20000}"/>
    <cellStyle name="Normal 4 4 5 3 6" xfId="13864" xr:uid="{00000000-0005-0000-0000-0000C0A20000}"/>
    <cellStyle name="Normal 4 4 5 4" xfId="5760" xr:uid="{00000000-0005-0000-0000-0000C1A20000}"/>
    <cellStyle name="Normal 4 4 5 4 2" xfId="25211" xr:uid="{00000000-0005-0000-0000-0000C2A20000}"/>
    <cellStyle name="Normal 4 4 5 4 3" xfId="34936" xr:uid="{00000000-0005-0000-0000-0000C3A20000}"/>
    <cellStyle name="Normal 4 4 5 4 4" xfId="44661" xr:uid="{00000000-0005-0000-0000-0000C4A20000}"/>
    <cellStyle name="Normal 4 4 5 4 5" xfId="15486" xr:uid="{00000000-0005-0000-0000-0000C5A20000}"/>
    <cellStyle name="Normal 4 4 5 5" xfId="20349" xr:uid="{00000000-0005-0000-0000-0000C6A20000}"/>
    <cellStyle name="Normal 4 4 5 6" xfId="30074" xr:uid="{00000000-0005-0000-0000-0000C7A20000}"/>
    <cellStyle name="Normal 4 4 5 7" xfId="39799" xr:uid="{00000000-0005-0000-0000-0000C8A20000}"/>
    <cellStyle name="Normal 4 4 5 8" xfId="10624" xr:uid="{00000000-0005-0000-0000-0000C9A20000}"/>
    <cellStyle name="Normal 4 4 6" xfId="1257" xr:uid="{00000000-0005-0000-0000-0000CAA20000}"/>
    <cellStyle name="Normal 4 4 6 2" xfId="2878" xr:uid="{00000000-0005-0000-0000-0000CBA20000}"/>
    <cellStyle name="Normal 4 4 6 2 2" xfId="7740" xr:uid="{00000000-0005-0000-0000-0000CCA20000}"/>
    <cellStyle name="Normal 4 4 6 2 2 2" xfId="27191" xr:uid="{00000000-0005-0000-0000-0000CDA20000}"/>
    <cellStyle name="Normal 4 4 6 2 2 3" xfId="36916" xr:uid="{00000000-0005-0000-0000-0000CEA20000}"/>
    <cellStyle name="Normal 4 4 6 2 2 4" xfId="46641" xr:uid="{00000000-0005-0000-0000-0000CFA20000}"/>
    <cellStyle name="Normal 4 4 6 2 2 5" xfId="17466" xr:uid="{00000000-0005-0000-0000-0000D0A20000}"/>
    <cellStyle name="Normal 4 4 6 2 3" xfId="22329" xr:uid="{00000000-0005-0000-0000-0000D1A20000}"/>
    <cellStyle name="Normal 4 4 6 2 4" xfId="32054" xr:uid="{00000000-0005-0000-0000-0000D2A20000}"/>
    <cellStyle name="Normal 4 4 6 2 5" xfId="41779" xr:uid="{00000000-0005-0000-0000-0000D3A20000}"/>
    <cellStyle name="Normal 4 4 6 2 6" xfId="12604" xr:uid="{00000000-0005-0000-0000-0000D4A20000}"/>
    <cellStyle name="Normal 4 4 6 3" xfId="4498" xr:uid="{00000000-0005-0000-0000-0000D5A20000}"/>
    <cellStyle name="Normal 4 4 6 3 2" xfId="9360" xr:uid="{00000000-0005-0000-0000-0000D6A20000}"/>
    <cellStyle name="Normal 4 4 6 3 2 2" xfId="28811" xr:uid="{00000000-0005-0000-0000-0000D7A20000}"/>
    <cellStyle name="Normal 4 4 6 3 2 3" xfId="38536" xr:uid="{00000000-0005-0000-0000-0000D8A20000}"/>
    <cellStyle name="Normal 4 4 6 3 2 4" xfId="48261" xr:uid="{00000000-0005-0000-0000-0000D9A20000}"/>
    <cellStyle name="Normal 4 4 6 3 2 5" xfId="19086" xr:uid="{00000000-0005-0000-0000-0000DAA20000}"/>
    <cellStyle name="Normal 4 4 6 3 3" xfId="23949" xr:uid="{00000000-0005-0000-0000-0000DBA20000}"/>
    <cellStyle name="Normal 4 4 6 3 4" xfId="33674" xr:uid="{00000000-0005-0000-0000-0000DCA20000}"/>
    <cellStyle name="Normal 4 4 6 3 5" xfId="43399" xr:uid="{00000000-0005-0000-0000-0000DDA20000}"/>
    <cellStyle name="Normal 4 4 6 3 6" xfId="14224" xr:uid="{00000000-0005-0000-0000-0000DEA20000}"/>
    <cellStyle name="Normal 4 4 6 4" xfId="6120" xr:uid="{00000000-0005-0000-0000-0000DFA20000}"/>
    <cellStyle name="Normal 4 4 6 4 2" xfId="25571" xr:uid="{00000000-0005-0000-0000-0000E0A20000}"/>
    <cellStyle name="Normal 4 4 6 4 3" xfId="35296" xr:uid="{00000000-0005-0000-0000-0000E1A20000}"/>
    <cellStyle name="Normal 4 4 6 4 4" xfId="45021" xr:uid="{00000000-0005-0000-0000-0000E2A20000}"/>
    <cellStyle name="Normal 4 4 6 4 5" xfId="15846" xr:uid="{00000000-0005-0000-0000-0000E3A20000}"/>
    <cellStyle name="Normal 4 4 6 5" xfId="20709" xr:uid="{00000000-0005-0000-0000-0000E4A20000}"/>
    <cellStyle name="Normal 4 4 6 6" xfId="30434" xr:uid="{00000000-0005-0000-0000-0000E5A20000}"/>
    <cellStyle name="Normal 4 4 6 7" xfId="40159" xr:uid="{00000000-0005-0000-0000-0000E6A20000}"/>
    <cellStyle name="Normal 4 4 6 8" xfId="10984" xr:uid="{00000000-0005-0000-0000-0000E7A20000}"/>
    <cellStyle name="Normal 4 4 7" xfId="1347" xr:uid="{00000000-0005-0000-0000-0000E8A20000}"/>
    <cellStyle name="Normal 4 4 7 2" xfId="2968" xr:uid="{00000000-0005-0000-0000-0000E9A20000}"/>
    <cellStyle name="Normal 4 4 7 2 2" xfId="7830" xr:uid="{00000000-0005-0000-0000-0000EAA20000}"/>
    <cellStyle name="Normal 4 4 7 2 2 2" xfId="27281" xr:uid="{00000000-0005-0000-0000-0000EBA20000}"/>
    <cellStyle name="Normal 4 4 7 2 2 3" xfId="37006" xr:uid="{00000000-0005-0000-0000-0000ECA20000}"/>
    <cellStyle name="Normal 4 4 7 2 2 4" xfId="46731" xr:uid="{00000000-0005-0000-0000-0000EDA20000}"/>
    <cellStyle name="Normal 4 4 7 2 2 5" xfId="17556" xr:uid="{00000000-0005-0000-0000-0000EEA20000}"/>
    <cellStyle name="Normal 4 4 7 2 3" xfId="22419" xr:uid="{00000000-0005-0000-0000-0000EFA20000}"/>
    <cellStyle name="Normal 4 4 7 2 4" xfId="32144" xr:uid="{00000000-0005-0000-0000-0000F0A20000}"/>
    <cellStyle name="Normal 4 4 7 2 5" xfId="41869" xr:uid="{00000000-0005-0000-0000-0000F1A20000}"/>
    <cellStyle name="Normal 4 4 7 2 6" xfId="12694" xr:uid="{00000000-0005-0000-0000-0000F2A20000}"/>
    <cellStyle name="Normal 4 4 7 3" xfId="4588" xr:uid="{00000000-0005-0000-0000-0000F3A20000}"/>
    <cellStyle name="Normal 4 4 7 3 2" xfId="9450" xr:uid="{00000000-0005-0000-0000-0000F4A20000}"/>
    <cellStyle name="Normal 4 4 7 3 2 2" xfId="28901" xr:uid="{00000000-0005-0000-0000-0000F5A20000}"/>
    <cellStyle name="Normal 4 4 7 3 2 3" xfId="38626" xr:uid="{00000000-0005-0000-0000-0000F6A20000}"/>
    <cellStyle name="Normal 4 4 7 3 2 4" xfId="48351" xr:uid="{00000000-0005-0000-0000-0000F7A20000}"/>
    <cellStyle name="Normal 4 4 7 3 2 5" xfId="19176" xr:uid="{00000000-0005-0000-0000-0000F8A20000}"/>
    <cellStyle name="Normal 4 4 7 3 3" xfId="24039" xr:uid="{00000000-0005-0000-0000-0000F9A20000}"/>
    <cellStyle name="Normal 4 4 7 3 4" xfId="33764" xr:uid="{00000000-0005-0000-0000-0000FAA20000}"/>
    <cellStyle name="Normal 4 4 7 3 5" xfId="43489" xr:uid="{00000000-0005-0000-0000-0000FBA20000}"/>
    <cellStyle name="Normal 4 4 7 3 6" xfId="14314" xr:uid="{00000000-0005-0000-0000-0000FCA20000}"/>
    <cellStyle name="Normal 4 4 7 4" xfId="6210" xr:uid="{00000000-0005-0000-0000-0000FDA20000}"/>
    <cellStyle name="Normal 4 4 7 4 2" xfId="25661" xr:uid="{00000000-0005-0000-0000-0000FEA20000}"/>
    <cellStyle name="Normal 4 4 7 4 3" xfId="35386" xr:uid="{00000000-0005-0000-0000-0000FFA20000}"/>
    <cellStyle name="Normal 4 4 7 4 4" xfId="45111" xr:uid="{00000000-0005-0000-0000-000000A30000}"/>
    <cellStyle name="Normal 4 4 7 4 5" xfId="15936" xr:uid="{00000000-0005-0000-0000-000001A30000}"/>
    <cellStyle name="Normal 4 4 7 5" xfId="20799" xr:uid="{00000000-0005-0000-0000-000002A30000}"/>
    <cellStyle name="Normal 4 4 7 6" xfId="30524" xr:uid="{00000000-0005-0000-0000-000003A30000}"/>
    <cellStyle name="Normal 4 4 7 7" xfId="40249" xr:uid="{00000000-0005-0000-0000-000004A30000}"/>
    <cellStyle name="Normal 4 4 7 8" xfId="11074" xr:uid="{00000000-0005-0000-0000-000005A30000}"/>
    <cellStyle name="Normal 4 4 8" xfId="518" xr:uid="{00000000-0005-0000-0000-000006A30000}"/>
    <cellStyle name="Normal 4 4 8 2" xfId="2158" xr:uid="{00000000-0005-0000-0000-000007A30000}"/>
    <cellStyle name="Normal 4 4 8 2 2" xfId="7020" xr:uid="{00000000-0005-0000-0000-000008A30000}"/>
    <cellStyle name="Normal 4 4 8 2 2 2" xfId="26471" xr:uid="{00000000-0005-0000-0000-000009A30000}"/>
    <cellStyle name="Normal 4 4 8 2 2 3" xfId="36196" xr:uid="{00000000-0005-0000-0000-00000AA30000}"/>
    <cellStyle name="Normal 4 4 8 2 2 4" xfId="45921" xr:uid="{00000000-0005-0000-0000-00000BA30000}"/>
    <cellStyle name="Normal 4 4 8 2 2 5" xfId="16746" xr:uid="{00000000-0005-0000-0000-00000CA30000}"/>
    <cellStyle name="Normal 4 4 8 2 3" xfId="21609" xr:uid="{00000000-0005-0000-0000-00000DA30000}"/>
    <cellStyle name="Normal 4 4 8 2 4" xfId="31334" xr:uid="{00000000-0005-0000-0000-00000EA30000}"/>
    <cellStyle name="Normal 4 4 8 2 5" xfId="41059" xr:uid="{00000000-0005-0000-0000-00000FA30000}"/>
    <cellStyle name="Normal 4 4 8 2 6" xfId="11884" xr:uid="{00000000-0005-0000-0000-000010A30000}"/>
    <cellStyle name="Normal 4 4 8 3" xfId="3778" xr:uid="{00000000-0005-0000-0000-000011A30000}"/>
    <cellStyle name="Normal 4 4 8 3 2" xfId="8640" xr:uid="{00000000-0005-0000-0000-000012A30000}"/>
    <cellStyle name="Normal 4 4 8 3 2 2" xfId="28091" xr:uid="{00000000-0005-0000-0000-000013A30000}"/>
    <cellStyle name="Normal 4 4 8 3 2 3" xfId="37816" xr:uid="{00000000-0005-0000-0000-000014A30000}"/>
    <cellStyle name="Normal 4 4 8 3 2 4" xfId="47541" xr:uid="{00000000-0005-0000-0000-000015A30000}"/>
    <cellStyle name="Normal 4 4 8 3 2 5" xfId="18366" xr:uid="{00000000-0005-0000-0000-000016A30000}"/>
    <cellStyle name="Normal 4 4 8 3 3" xfId="23229" xr:uid="{00000000-0005-0000-0000-000017A30000}"/>
    <cellStyle name="Normal 4 4 8 3 4" xfId="32954" xr:uid="{00000000-0005-0000-0000-000018A30000}"/>
    <cellStyle name="Normal 4 4 8 3 5" xfId="42679" xr:uid="{00000000-0005-0000-0000-000019A30000}"/>
    <cellStyle name="Normal 4 4 8 3 6" xfId="13504" xr:uid="{00000000-0005-0000-0000-00001AA30000}"/>
    <cellStyle name="Normal 4 4 8 4" xfId="5400" xr:uid="{00000000-0005-0000-0000-00001BA30000}"/>
    <cellStyle name="Normal 4 4 8 4 2" xfId="24851" xr:uid="{00000000-0005-0000-0000-00001CA30000}"/>
    <cellStyle name="Normal 4 4 8 4 3" xfId="34576" xr:uid="{00000000-0005-0000-0000-00001DA30000}"/>
    <cellStyle name="Normal 4 4 8 4 4" xfId="44301" xr:uid="{00000000-0005-0000-0000-00001EA30000}"/>
    <cellStyle name="Normal 4 4 8 4 5" xfId="15126" xr:uid="{00000000-0005-0000-0000-00001FA30000}"/>
    <cellStyle name="Normal 4 4 8 5" xfId="19989" xr:uid="{00000000-0005-0000-0000-000020A30000}"/>
    <cellStyle name="Normal 4 4 8 6" xfId="29714" xr:uid="{00000000-0005-0000-0000-000021A30000}"/>
    <cellStyle name="Normal 4 4 8 7" xfId="39439" xr:uid="{00000000-0005-0000-0000-000022A30000}"/>
    <cellStyle name="Normal 4 4 8 8" xfId="10264" xr:uid="{00000000-0005-0000-0000-000023A30000}"/>
    <cellStyle name="Normal 4 4 9" xfId="1707" xr:uid="{00000000-0005-0000-0000-000024A30000}"/>
    <cellStyle name="Normal 4 4 9 2" xfId="3328" xr:uid="{00000000-0005-0000-0000-000025A30000}"/>
    <cellStyle name="Normal 4 4 9 2 2" xfId="8190" xr:uid="{00000000-0005-0000-0000-000026A30000}"/>
    <cellStyle name="Normal 4 4 9 2 2 2" xfId="27641" xr:uid="{00000000-0005-0000-0000-000027A30000}"/>
    <cellStyle name="Normal 4 4 9 2 2 3" xfId="37366" xr:uid="{00000000-0005-0000-0000-000028A30000}"/>
    <cellStyle name="Normal 4 4 9 2 2 4" xfId="47091" xr:uid="{00000000-0005-0000-0000-000029A30000}"/>
    <cellStyle name="Normal 4 4 9 2 2 5" xfId="17916" xr:uid="{00000000-0005-0000-0000-00002AA30000}"/>
    <cellStyle name="Normal 4 4 9 2 3" xfId="22779" xr:uid="{00000000-0005-0000-0000-00002BA30000}"/>
    <cellStyle name="Normal 4 4 9 2 4" xfId="32504" xr:uid="{00000000-0005-0000-0000-00002CA30000}"/>
    <cellStyle name="Normal 4 4 9 2 5" xfId="42229" xr:uid="{00000000-0005-0000-0000-00002DA30000}"/>
    <cellStyle name="Normal 4 4 9 2 6" xfId="13054" xr:uid="{00000000-0005-0000-0000-00002EA30000}"/>
    <cellStyle name="Normal 4 4 9 3" xfId="4948" xr:uid="{00000000-0005-0000-0000-00002FA30000}"/>
    <cellStyle name="Normal 4 4 9 3 2" xfId="9810" xr:uid="{00000000-0005-0000-0000-000030A30000}"/>
    <cellStyle name="Normal 4 4 9 3 2 2" xfId="29261" xr:uid="{00000000-0005-0000-0000-000031A30000}"/>
    <cellStyle name="Normal 4 4 9 3 2 3" xfId="38986" xr:uid="{00000000-0005-0000-0000-000032A30000}"/>
    <cellStyle name="Normal 4 4 9 3 2 4" xfId="48711" xr:uid="{00000000-0005-0000-0000-000033A30000}"/>
    <cellStyle name="Normal 4 4 9 3 2 5" xfId="19536" xr:uid="{00000000-0005-0000-0000-000034A30000}"/>
    <cellStyle name="Normal 4 4 9 3 3" xfId="24399" xr:uid="{00000000-0005-0000-0000-000035A30000}"/>
    <cellStyle name="Normal 4 4 9 3 4" xfId="34124" xr:uid="{00000000-0005-0000-0000-000036A30000}"/>
    <cellStyle name="Normal 4 4 9 3 5" xfId="43849" xr:uid="{00000000-0005-0000-0000-000037A30000}"/>
    <cellStyle name="Normal 4 4 9 3 6" xfId="14674" xr:uid="{00000000-0005-0000-0000-000038A30000}"/>
    <cellStyle name="Normal 4 4 9 4" xfId="6570" xr:uid="{00000000-0005-0000-0000-000039A30000}"/>
    <cellStyle name="Normal 4 4 9 4 2" xfId="26021" xr:uid="{00000000-0005-0000-0000-00003AA30000}"/>
    <cellStyle name="Normal 4 4 9 4 3" xfId="35746" xr:uid="{00000000-0005-0000-0000-00003BA30000}"/>
    <cellStyle name="Normal 4 4 9 4 4" xfId="45471" xr:uid="{00000000-0005-0000-0000-00003CA30000}"/>
    <cellStyle name="Normal 4 4 9 4 5" xfId="16296" xr:uid="{00000000-0005-0000-0000-00003DA30000}"/>
    <cellStyle name="Normal 4 4 9 5" xfId="21159" xr:uid="{00000000-0005-0000-0000-00003EA30000}"/>
    <cellStyle name="Normal 4 4 9 6" xfId="30884" xr:uid="{00000000-0005-0000-0000-00003FA30000}"/>
    <cellStyle name="Normal 4 4 9 7" xfId="40609" xr:uid="{00000000-0005-0000-0000-000040A30000}"/>
    <cellStyle name="Normal 4 4 9 8" xfId="11434" xr:uid="{00000000-0005-0000-0000-000041A30000}"/>
    <cellStyle name="Normal 4 5" xfId="236" xr:uid="{00000000-0005-0000-0000-000042A30000}"/>
    <cellStyle name="Normal 4 5 10" xfId="39199" xr:uid="{00000000-0005-0000-0000-000043A30000}"/>
    <cellStyle name="Normal 4 5 11" xfId="10024" xr:uid="{00000000-0005-0000-0000-000044A30000}"/>
    <cellStyle name="Normal 4 5 2" xfId="1000" xr:uid="{00000000-0005-0000-0000-000045A30000}"/>
    <cellStyle name="Normal 4 5 2 2" xfId="2638" xr:uid="{00000000-0005-0000-0000-000046A30000}"/>
    <cellStyle name="Normal 4 5 2 2 2" xfId="7500" xr:uid="{00000000-0005-0000-0000-000047A30000}"/>
    <cellStyle name="Normal 4 5 2 2 2 2" xfId="26951" xr:uid="{00000000-0005-0000-0000-000048A30000}"/>
    <cellStyle name="Normal 4 5 2 2 2 3" xfId="36676" xr:uid="{00000000-0005-0000-0000-000049A30000}"/>
    <cellStyle name="Normal 4 5 2 2 2 4" xfId="46401" xr:uid="{00000000-0005-0000-0000-00004AA30000}"/>
    <cellStyle name="Normal 4 5 2 2 2 5" xfId="17226" xr:uid="{00000000-0005-0000-0000-00004BA30000}"/>
    <cellStyle name="Normal 4 5 2 2 3" xfId="22089" xr:uid="{00000000-0005-0000-0000-00004CA30000}"/>
    <cellStyle name="Normal 4 5 2 2 4" xfId="31814" xr:uid="{00000000-0005-0000-0000-00004DA30000}"/>
    <cellStyle name="Normal 4 5 2 2 5" xfId="41539" xr:uid="{00000000-0005-0000-0000-00004EA30000}"/>
    <cellStyle name="Normal 4 5 2 2 6" xfId="12364" xr:uid="{00000000-0005-0000-0000-00004FA30000}"/>
    <cellStyle name="Normal 4 5 2 3" xfId="4258" xr:uid="{00000000-0005-0000-0000-000050A30000}"/>
    <cellStyle name="Normal 4 5 2 3 2" xfId="9120" xr:uid="{00000000-0005-0000-0000-000051A30000}"/>
    <cellStyle name="Normal 4 5 2 3 2 2" xfId="28571" xr:uid="{00000000-0005-0000-0000-000052A30000}"/>
    <cellStyle name="Normal 4 5 2 3 2 3" xfId="38296" xr:uid="{00000000-0005-0000-0000-000053A30000}"/>
    <cellStyle name="Normal 4 5 2 3 2 4" xfId="48021" xr:uid="{00000000-0005-0000-0000-000054A30000}"/>
    <cellStyle name="Normal 4 5 2 3 2 5" xfId="18846" xr:uid="{00000000-0005-0000-0000-000055A30000}"/>
    <cellStyle name="Normal 4 5 2 3 3" xfId="23709" xr:uid="{00000000-0005-0000-0000-000056A30000}"/>
    <cellStyle name="Normal 4 5 2 3 4" xfId="33434" xr:uid="{00000000-0005-0000-0000-000057A30000}"/>
    <cellStyle name="Normal 4 5 2 3 5" xfId="43159" xr:uid="{00000000-0005-0000-0000-000058A30000}"/>
    <cellStyle name="Normal 4 5 2 3 6" xfId="13984" xr:uid="{00000000-0005-0000-0000-000059A30000}"/>
    <cellStyle name="Normal 4 5 2 4" xfId="5880" xr:uid="{00000000-0005-0000-0000-00005AA30000}"/>
    <cellStyle name="Normal 4 5 2 4 2" xfId="25331" xr:uid="{00000000-0005-0000-0000-00005BA30000}"/>
    <cellStyle name="Normal 4 5 2 4 3" xfId="35056" xr:uid="{00000000-0005-0000-0000-00005CA30000}"/>
    <cellStyle name="Normal 4 5 2 4 4" xfId="44781" xr:uid="{00000000-0005-0000-0000-00005DA30000}"/>
    <cellStyle name="Normal 4 5 2 4 5" xfId="15606" xr:uid="{00000000-0005-0000-0000-00005EA30000}"/>
    <cellStyle name="Normal 4 5 2 5" xfId="20469" xr:uid="{00000000-0005-0000-0000-00005FA30000}"/>
    <cellStyle name="Normal 4 5 2 6" xfId="30194" xr:uid="{00000000-0005-0000-0000-000060A30000}"/>
    <cellStyle name="Normal 4 5 2 7" xfId="39919" xr:uid="{00000000-0005-0000-0000-000061A30000}"/>
    <cellStyle name="Normal 4 5 2 8" xfId="10744" xr:uid="{00000000-0005-0000-0000-000062A30000}"/>
    <cellStyle name="Normal 4 5 3" xfId="1467" xr:uid="{00000000-0005-0000-0000-000063A30000}"/>
    <cellStyle name="Normal 4 5 3 2" xfId="3088" xr:uid="{00000000-0005-0000-0000-000064A30000}"/>
    <cellStyle name="Normal 4 5 3 2 2" xfId="7950" xr:uid="{00000000-0005-0000-0000-000065A30000}"/>
    <cellStyle name="Normal 4 5 3 2 2 2" xfId="27401" xr:uid="{00000000-0005-0000-0000-000066A30000}"/>
    <cellStyle name="Normal 4 5 3 2 2 3" xfId="37126" xr:uid="{00000000-0005-0000-0000-000067A30000}"/>
    <cellStyle name="Normal 4 5 3 2 2 4" xfId="46851" xr:uid="{00000000-0005-0000-0000-000068A30000}"/>
    <cellStyle name="Normal 4 5 3 2 2 5" xfId="17676" xr:uid="{00000000-0005-0000-0000-000069A30000}"/>
    <cellStyle name="Normal 4 5 3 2 3" xfId="22539" xr:uid="{00000000-0005-0000-0000-00006AA30000}"/>
    <cellStyle name="Normal 4 5 3 2 4" xfId="32264" xr:uid="{00000000-0005-0000-0000-00006BA30000}"/>
    <cellStyle name="Normal 4 5 3 2 5" xfId="41989" xr:uid="{00000000-0005-0000-0000-00006CA30000}"/>
    <cellStyle name="Normal 4 5 3 2 6" xfId="12814" xr:uid="{00000000-0005-0000-0000-00006DA30000}"/>
    <cellStyle name="Normal 4 5 3 3" xfId="4708" xr:uid="{00000000-0005-0000-0000-00006EA30000}"/>
    <cellStyle name="Normal 4 5 3 3 2" xfId="9570" xr:uid="{00000000-0005-0000-0000-00006FA30000}"/>
    <cellStyle name="Normal 4 5 3 3 2 2" xfId="29021" xr:uid="{00000000-0005-0000-0000-000070A30000}"/>
    <cellStyle name="Normal 4 5 3 3 2 3" xfId="38746" xr:uid="{00000000-0005-0000-0000-000071A30000}"/>
    <cellStyle name="Normal 4 5 3 3 2 4" xfId="48471" xr:uid="{00000000-0005-0000-0000-000072A30000}"/>
    <cellStyle name="Normal 4 5 3 3 2 5" xfId="19296" xr:uid="{00000000-0005-0000-0000-000073A30000}"/>
    <cellStyle name="Normal 4 5 3 3 3" xfId="24159" xr:uid="{00000000-0005-0000-0000-000074A30000}"/>
    <cellStyle name="Normal 4 5 3 3 4" xfId="33884" xr:uid="{00000000-0005-0000-0000-000075A30000}"/>
    <cellStyle name="Normal 4 5 3 3 5" xfId="43609" xr:uid="{00000000-0005-0000-0000-000076A30000}"/>
    <cellStyle name="Normal 4 5 3 3 6" xfId="14434" xr:uid="{00000000-0005-0000-0000-000077A30000}"/>
    <cellStyle name="Normal 4 5 3 4" xfId="6330" xr:uid="{00000000-0005-0000-0000-000078A30000}"/>
    <cellStyle name="Normal 4 5 3 4 2" xfId="25781" xr:uid="{00000000-0005-0000-0000-000079A30000}"/>
    <cellStyle name="Normal 4 5 3 4 3" xfId="35506" xr:uid="{00000000-0005-0000-0000-00007AA30000}"/>
    <cellStyle name="Normal 4 5 3 4 4" xfId="45231" xr:uid="{00000000-0005-0000-0000-00007BA30000}"/>
    <cellStyle name="Normal 4 5 3 4 5" xfId="16056" xr:uid="{00000000-0005-0000-0000-00007CA30000}"/>
    <cellStyle name="Normal 4 5 3 5" xfId="20919" xr:uid="{00000000-0005-0000-0000-00007DA30000}"/>
    <cellStyle name="Normal 4 5 3 6" xfId="30644" xr:uid="{00000000-0005-0000-0000-00007EA30000}"/>
    <cellStyle name="Normal 4 5 3 7" xfId="40369" xr:uid="{00000000-0005-0000-0000-00007FA30000}"/>
    <cellStyle name="Normal 4 5 3 8" xfId="11194" xr:uid="{00000000-0005-0000-0000-000080A30000}"/>
    <cellStyle name="Normal 4 5 4" xfId="638" xr:uid="{00000000-0005-0000-0000-000081A30000}"/>
    <cellStyle name="Normal 4 5 4 2" xfId="2278" xr:uid="{00000000-0005-0000-0000-000082A30000}"/>
    <cellStyle name="Normal 4 5 4 2 2" xfId="7140" xr:uid="{00000000-0005-0000-0000-000083A30000}"/>
    <cellStyle name="Normal 4 5 4 2 2 2" xfId="26591" xr:uid="{00000000-0005-0000-0000-000084A30000}"/>
    <cellStyle name="Normal 4 5 4 2 2 3" xfId="36316" xr:uid="{00000000-0005-0000-0000-000085A30000}"/>
    <cellStyle name="Normal 4 5 4 2 2 4" xfId="46041" xr:uid="{00000000-0005-0000-0000-000086A30000}"/>
    <cellStyle name="Normal 4 5 4 2 2 5" xfId="16866" xr:uid="{00000000-0005-0000-0000-000087A30000}"/>
    <cellStyle name="Normal 4 5 4 2 3" xfId="21729" xr:uid="{00000000-0005-0000-0000-000088A30000}"/>
    <cellStyle name="Normal 4 5 4 2 4" xfId="31454" xr:uid="{00000000-0005-0000-0000-000089A30000}"/>
    <cellStyle name="Normal 4 5 4 2 5" xfId="41179" xr:uid="{00000000-0005-0000-0000-00008AA30000}"/>
    <cellStyle name="Normal 4 5 4 2 6" xfId="12004" xr:uid="{00000000-0005-0000-0000-00008BA30000}"/>
    <cellStyle name="Normal 4 5 4 3" xfId="3898" xr:uid="{00000000-0005-0000-0000-00008CA30000}"/>
    <cellStyle name="Normal 4 5 4 3 2" xfId="8760" xr:uid="{00000000-0005-0000-0000-00008DA30000}"/>
    <cellStyle name="Normal 4 5 4 3 2 2" xfId="28211" xr:uid="{00000000-0005-0000-0000-00008EA30000}"/>
    <cellStyle name="Normal 4 5 4 3 2 3" xfId="37936" xr:uid="{00000000-0005-0000-0000-00008FA30000}"/>
    <cellStyle name="Normal 4 5 4 3 2 4" xfId="47661" xr:uid="{00000000-0005-0000-0000-000090A30000}"/>
    <cellStyle name="Normal 4 5 4 3 2 5" xfId="18486" xr:uid="{00000000-0005-0000-0000-000091A30000}"/>
    <cellStyle name="Normal 4 5 4 3 3" xfId="23349" xr:uid="{00000000-0005-0000-0000-000092A30000}"/>
    <cellStyle name="Normal 4 5 4 3 4" xfId="33074" xr:uid="{00000000-0005-0000-0000-000093A30000}"/>
    <cellStyle name="Normal 4 5 4 3 5" xfId="42799" xr:uid="{00000000-0005-0000-0000-000094A30000}"/>
    <cellStyle name="Normal 4 5 4 3 6" xfId="13624" xr:uid="{00000000-0005-0000-0000-000095A30000}"/>
    <cellStyle name="Normal 4 5 4 4" xfId="5520" xr:uid="{00000000-0005-0000-0000-000096A30000}"/>
    <cellStyle name="Normal 4 5 4 4 2" xfId="24971" xr:uid="{00000000-0005-0000-0000-000097A30000}"/>
    <cellStyle name="Normal 4 5 4 4 3" xfId="34696" xr:uid="{00000000-0005-0000-0000-000098A30000}"/>
    <cellStyle name="Normal 4 5 4 4 4" xfId="44421" xr:uid="{00000000-0005-0000-0000-000099A30000}"/>
    <cellStyle name="Normal 4 5 4 4 5" xfId="15246" xr:uid="{00000000-0005-0000-0000-00009AA30000}"/>
    <cellStyle name="Normal 4 5 4 5" xfId="20109" xr:uid="{00000000-0005-0000-0000-00009BA30000}"/>
    <cellStyle name="Normal 4 5 4 6" xfId="29834" xr:uid="{00000000-0005-0000-0000-00009CA30000}"/>
    <cellStyle name="Normal 4 5 4 7" xfId="39559" xr:uid="{00000000-0005-0000-0000-00009DA30000}"/>
    <cellStyle name="Normal 4 5 4 8" xfId="10384" xr:uid="{00000000-0005-0000-0000-00009EA30000}"/>
    <cellStyle name="Normal 4 5 5" xfId="1918" xr:uid="{00000000-0005-0000-0000-00009FA30000}"/>
    <cellStyle name="Normal 4 5 5 2" xfId="6780" xr:uid="{00000000-0005-0000-0000-0000A0A30000}"/>
    <cellStyle name="Normal 4 5 5 2 2" xfId="26231" xr:uid="{00000000-0005-0000-0000-0000A1A30000}"/>
    <cellStyle name="Normal 4 5 5 2 3" xfId="35956" xr:uid="{00000000-0005-0000-0000-0000A2A30000}"/>
    <cellStyle name="Normal 4 5 5 2 4" xfId="45681" xr:uid="{00000000-0005-0000-0000-0000A3A30000}"/>
    <cellStyle name="Normal 4 5 5 2 5" xfId="16506" xr:uid="{00000000-0005-0000-0000-0000A4A30000}"/>
    <cellStyle name="Normal 4 5 5 3" xfId="21369" xr:uid="{00000000-0005-0000-0000-0000A5A30000}"/>
    <cellStyle name="Normal 4 5 5 4" xfId="31094" xr:uid="{00000000-0005-0000-0000-0000A6A30000}"/>
    <cellStyle name="Normal 4 5 5 5" xfId="40819" xr:uid="{00000000-0005-0000-0000-0000A7A30000}"/>
    <cellStyle name="Normal 4 5 5 6" xfId="11644" xr:uid="{00000000-0005-0000-0000-0000A8A30000}"/>
    <cellStyle name="Normal 4 5 6" xfId="3538" xr:uid="{00000000-0005-0000-0000-0000A9A30000}"/>
    <cellStyle name="Normal 4 5 6 2" xfId="8400" xr:uid="{00000000-0005-0000-0000-0000AAA30000}"/>
    <cellStyle name="Normal 4 5 6 2 2" xfId="27851" xr:uid="{00000000-0005-0000-0000-0000ABA30000}"/>
    <cellStyle name="Normal 4 5 6 2 3" xfId="37576" xr:uid="{00000000-0005-0000-0000-0000ACA30000}"/>
    <cellStyle name="Normal 4 5 6 2 4" xfId="47301" xr:uid="{00000000-0005-0000-0000-0000ADA30000}"/>
    <cellStyle name="Normal 4 5 6 2 5" xfId="18126" xr:uid="{00000000-0005-0000-0000-0000AEA30000}"/>
    <cellStyle name="Normal 4 5 6 3" xfId="22989" xr:uid="{00000000-0005-0000-0000-0000AFA30000}"/>
    <cellStyle name="Normal 4 5 6 4" xfId="32714" xr:uid="{00000000-0005-0000-0000-0000B0A30000}"/>
    <cellStyle name="Normal 4 5 6 5" xfId="42439" xr:uid="{00000000-0005-0000-0000-0000B1A30000}"/>
    <cellStyle name="Normal 4 5 6 6" xfId="13264" xr:uid="{00000000-0005-0000-0000-0000B2A30000}"/>
    <cellStyle name="Normal 4 5 7" xfId="5160" xr:uid="{00000000-0005-0000-0000-0000B3A30000}"/>
    <cellStyle name="Normal 4 5 7 2" xfId="24611" xr:uid="{00000000-0005-0000-0000-0000B4A30000}"/>
    <cellStyle name="Normal 4 5 7 3" xfId="34336" xr:uid="{00000000-0005-0000-0000-0000B5A30000}"/>
    <cellStyle name="Normal 4 5 7 4" xfId="44061" xr:uid="{00000000-0005-0000-0000-0000B6A30000}"/>
    <cellStyle name="Normal 4 5 7 5" xfId="14886" xr:uid="{00000000-0005-0000-0000-0000B7A30000}"/>
    <cellStyle name="Normal 4 5 8" xfId="19749" xr:uid="{00000000-0005-0000-0000-0000B8A30000}"/>
    <cellStyle name="Normal 4 5 9" xfId="29474" xr:uid="{00000000-0005-0000-0000-0000B9A30000}"/>
    <cellStyle name="Normal 4 6" xfId="327" xr:uid="{00000000-0005-0000-0000-0000BAA30000}"/>
    <cellStyle name="Normal 4 6 10" xfId="39289" xr:uid="{00000000-0005-0000-0000-0000BBA30000}"/>
    <cellStyle name="Normal 4 6 11" xfId="10114" xr:uid="{00000000-0005-0000-0000-0000BCA30000}"/>
    <cellStyle name="Normal 4 6 2" xfId="1090" xr:uid="{00000000-0005-0000-0000-0000BDA30000}"/>
    <cellStyle name="Normal 4 6 2 2" xfId="2728" xr:uid="{00000000-0005-0000-0000-0000BEA30000}"/>
    <cellStyle name="Normal 4 6 2 2 2" xfId="7590" xr:uid="{00000000-0005-0000-0000-0000BFA30000}"/>
    <cellStyle name="Normal 4 6 2 2 2 2" xfId="27041" xr:uid="{00000000-0005-0000-0000-0000C0A30000}"/>
    <cellStyle name="Normal 4 6 2 2 2 3" xfId="36766" xr:uid="{00000000-0005-0000-0000-0000C1A30000}"/>
    <cellStyle name="Normal 4 6 2 2 2 4" xfId="46491" xr:uid="{00000000-0005-0000-0000-0000C2A30000}"/>
    <cellStyle name="Normal 4 6 2 2 2 5" xfId="17316" xr:uid="{00000000-0005-0000-0000-0000C3A30000}"/>
    <cellStyle name="Normal 4 6 2 2 3" xfId="22179" xr:uid="{00000000-0005-0000-0000-0000C4A30000}"/>
    <cellStyle name="Normal 4 6 2 2 4" xfId="31904" xr:uid="{00000000-0005-0000-0000-0000C5A30000}"/>
    <cellStyle name="Normal 4 6 2 2 5" xfId="41629" xr:uid="{00000000-0005-0000-0000-0000C6A30000}"/>
    <cellStyle name="Normal 4 6 2 2 6" xfId="12454" xr:uid="{00000000-0005-0000-0000-0000C7A30000}"/>
    <cellStyle name="Normal 4 6 2 3" xfId="4348" xr:uid="{00000000-0005-0000-0000-0000C8A30000}"/>
    <cellStyle name="Normal 4 6 2 3 2" xfId="9210" xr:uid="{00000000-0005-0000-0000-0000C9A30000}"/>
    <cellStyle name="Normal 4 6 2 3 2 2" xfId="28661" xr:uid="{00000000-0005-0000-0000-0000CAA30000}"/>
    <cellStyle name="Normal 4 6 2 3 2 3" xfId="38386" xr:uid="{00000000-0005-0000-0000-0000CBA30000}"/>
    <cellStyle name="Normal 4 6 2 3 2 4" xfId="48111" xr:uid="{00000000-0005-0000-0000-0000CCA30000}"/>
    <cellStyle name="Normal 4 6 2 3 2 5" xfId="18936" xr:uid="{00000000-0005-0000-0000-0000CDA30000}"/>
    <cellStyle name="Normal 4 6 2 3 3" xfId="23799" xr:uid="{00000000-0005-0000-0000-0000CEA30000}"/>
    <cellStyle name="Normal 4 6 2 3 4" xfId="33524" xr:uid="{00000000-0005-0000-0000-0000CFA30000}"/>
    <cellStyle name="Normal 4 6 2 3 5" xfId="43249" xr:uid="{00000000-0005-0000-0000-0000D0A30000}"/>
    <cellStyle name="Normal 4 6 2 3 6" xfId="14074" xr:uid="{00000000-0005-0000-0000-0000D1A30000}"/>
    <cellStyle name="Normal 4 6 2 4" xfId="5970" xr:uid="{00000000-0005-0000-0000-0000D2A30000}"/>
    <cellStyle name="Normal 4 6 2 4 2" xfId="25421" xr:uid="{00000000-0005-0000-0000-0000D3A30000}"/>
    <cellStyle name="Normal 4 6 2 4 3" xfId="35146" xr:uid="{00000000-0005-0000-0000-0000D4A30000}"/>
    <cellStyle name="Normal 4 6 2 4 4" xfId="44871" xr:uid="{00000000-0005-0000-0000-0000D5A30000}"/>
    <cellStyle name="Normal 4 6 2 4 5" xfId="15696" xr:uid="{00000000-0005-0000-0000-0000D6A30000}"/>
    <cellStyle name="Normal 4 6 2 5" xfId="20559" xr:uid="{00000000-0005-0000-0000-0000D7A30000}"/>
    <cellStyle name="Normal 4 6 2 6" xfId="30284" xr:uid="{00000000-0005-0000-0000-0000D8A30000}"/>
    <cellStyle name="Normal 4 6 2 7" xfId="40009" xr:uid="{00000000-0005-0000-0000-0000D9A30000}"/>
    <cellStyle name="Normal 4 6 2 8" xfId="10834" xr:uid="{00000000-0005-0000-0000-0000DAA30000}"/>
    <cellStyle name="Normal 4 6 3" xfId="1557" xr:uid="{00000000-0005-0000-0000-0000DBA30000}"/>
    <cellStyle name="Normal 4 6 3 2" xfId="3178" xr:uid="{00000000-0005-0000-0000-0000DCA30000}"/>
    <cellStyle name="Normal 4 6 3 2 2" xfId="8040" xr:uid="{00000000-0005-0000-0000-0000DDA30000}"/>
    <cellStyle name="Normal 4 6 3 2 2 2" xfId="27491" xr:uid="{00000000-0005-0000-0000-0000DEA30000}"/>
    <cellStyle name="Normal 4 6 3 2 2 3" xfId="37216" xr:uid="{00000000-0005-0000-0000-0000DFA30000}"/>
    <cellStyle name="Normal 4 6 3 2 2 4" xfId="46941" xr:uid="{00000000-0005-0000-0000-0000E0A30000}"/>
    <cellStyle name="Normal 4 6 3 2 2 5" xfId="17766" xr:uid="{00000000-0005-0000-0000-0000E1A30000}"/>
    <cellStyle name="Normal 4 6 3 2 3" xfId="22629" xr:uid="{00000000-0005-0000-0000-0000E2A30000}"/>
    <cellStyle name="Normal 4 6 3 2 4" xfId="32354" xr:uid="{00000000-0005-0000-0000-0000E3A30000}"/>
    <cellStyle name="Normal 4 6 3 2 5" xfId="42079" xr:uid="{00000000-0005-0000-0000-0000E4A30000}"/>
    <cellStyle name="Normal 4 6 3 2 6" xfId="12904" xr:uid="{00000000-0005-0000-0000-0000E5A30000}"/>
    <cellStyle name="Normal 4 6 3 3" xfId="4798" xr:uid="{00000000-0005-0000-0000-0000E6A30000}"/>
    <cellStyle name="Normal 4 6 3 3 2" xfId="9660" xr:uid="{00000000-0005-0000-0000-0000E7A30000}"/>
    <cellStyle name="Normal 4 6 3 3 2 2" xfId="29111" xr:uid="{00000000-0005-0000-0000-0000E8A30000}"/>
    <cellStyle name="Normal 4 6 3 3 2 3" xfId="38836" xr:uid="{00000000-0005-0000-0000-0000E9A30000}"/>
    <cellStyle name="Normal 4 6 3 3 2 4" xfId="48561" xr:uid="{00000000-0005-0000-0000-0000EAA30000}"/>
    <cellStyle name="Normal 4 6 3 3 2 5" xfId="19386" xr:uid="{00000000-0005-0000-0000-0000EBA30000}"/>
    <cellStyle name="Normal 4 6 3 3 3" xfId="24249" xr:uid="{00000000-0005-0000-0000-0000ECA30000}"/>
    <cellStyle name="Normal 4 6 3 3 4" xfId="33974" xr:uid="{00000000-0005-0000-0000-0000EDA30000}"/>
    <cellStyle name="Normal 4 6 3 3 5" xfId="43699" xr:uid="{00000000-0005-0000-0000-0000EEA30000}"/>
    <cellStyle name="Normal 4 6 3 3 6" xfId="14524" xr:uid="{00000000-0005-0000-0000-0000EFA30000}"/>
    <cellStyle name="Normal 4 6 3 4" xfId="6420" xr:uid="{00000000-0005-0000-0000-0000F0A30000}"/>
    <cellStyle name="Normal 4 6 3 4 2" xfId="25871" xr:uid="{00000000-0005-0000-0000-0000F1A30000}"/>
    <cellStyle name="Normal 4 6 3 4 3" xfId="35596" xr:uid="{00000000-0005-0000-0000-0000F2A30000}"/>
    <cellStyle name="Normal 4 6 3 4 4" xfId="45321" xr:uid="{00000000-0005-0000-0000-0000F3A30000}"/>
    <cellStyle name="Normal 4 6 3 4 5" xfId="16146" xr:uid="{00000000-0005-0000-0000-0000F4A30000}"/>
    <cellStyle name="Normal 4 6 3 5" xfId="21009" xr:uid="{00000000-0005-0000-0000-0000F5A30000}"/>
    <cellStyle name="Normal 4 6 3 6" xfId="30734" xr:uid="{00000000-0005-0000-0000-0000F6A30000}"/>
    <cellStyle name="Normal 4 6 3 7" xfId="40459" xr:uid="{00000000-0005-0000-0000-0000F7A30000}"/>
    <cellStyle name="Normal 4 6 3 8" xfId="11284" xr:uid="{00000000-0005-0000-0000-0000F8A30000}"/>
    <cellStyle name="Normal 4 6 4" xfId="728" xr:uid="{00000000-0005-0000-0000-0000F9A30000}"/>
    <cellStyle name="Normal 4 6 4 2" xfId="2368" xr:uid="{00000000-0005-0000-0000-0000FAA30000}"/>
    <cellStyle name="Normal 4 6 4 2 2" xfId="7230" xr:uid="{00000000-0005-0000-0000-0000FBA30000}"/>
    <cellStyle name="Normal 4 6 4 2 2 2" xfId="26681" xr:uid="{00000000-0005-0000-0000-0000FCA30000}"/>
    <cellStyle name="Normal 4 6 4 2 2 3" xfId="36406" xr:uid="{00000000-0005-0000-0000-0000FDA30000}"/>
    <cellStyle name="Normal 4 6 4 2 2 4" xfId="46131" xr:uid="{00000000-0005-0000-0000-0000FEA30000}"/>
    <cellStyle name="Normal 4 6 4 2 2 5" xfId="16956" xr:uid="{00000000-0005-0000-0000-0000FFA30000}"/>
    <cellStyle name="Normal 4 6 4 2 3" xfId="21819" xr:uid="{00000000-0005-0000-0000-000000A40000}"/>
    <cellStyle name="Normal 4 6 4 2 4" xfId="31544" xr:uid="{00000000-0005-0000-0000-000001A40000}"/>
    <cellStyle name="Normal 4 6 4 2 5" xfId="41269" xr:uid="{00000000-0005-0000-0000-000002A40000}"/>
    <cellStyle name="Normal 4 6 4 2 6" xfId="12094" xr:uid="{00000000-0005-0000-0000-000003A40000}"/>
    <cellStyle name="Normal 4 6 4 3" xfId="3988" xr:uid="{00000000-0005-0000-0000-000004A40000}"/>
    <cellStyle name="Normal 4 6 4 3 2" xfId="8850" xr:uid="{00000000-0005-0000-0000-000005A40000}"/>
    <cellStyle name="Normal 4 6 4 3 2 2" xfId="28301" xr:uid="{00000000-0005-0000-0000-000006A40000}"/>
    <cellStyle name="Normal 4 6 4 3 2 3" xfId="38026" xr:uid="{00000000-0005-0000-0000-000007A40000}"/>
    <cellStyle name="Normal 4 6 4 3 2 4" xfId="47751" xr:uid="{00000000-0005-0000-0000-000008A40000}"/>
    <cellStyle name="Normal 4 6 4 3 2 5" xfId="18576" xr:uid="{00000000-0005-0000-0000-000009A40000}"/>
    <cellStyle name="Normal 4 6 4 3 3" xfId="23439" xr:uid="{00000000-0005-0000-0000-00000AA40000}"/>
    <cellStyle name="Normal 4 6 4 3 4" xfId="33164" xr:uid="{00000000-0005-0000-0000-00000BA40000}"/>
    <cellStyle name="Normal 4 6 4 3 5" xfId="42889" xr:uid="{00000000-0005-0000-0000-00000CA40000}"/>
    <cellStyle name="Normal 4 6 4 3 6" xfId="13714" xr:uid="{00000000-0005-0000-0000-00000DA40000}"/>
    <cellStyle name="Normal 4 6 4 4" xfId="5610" xr:uid="{00000000-0005-0000-0000-00000EA40000}"/>
    <cellStyle name="Normal 4 6 4 4 2" xfId="25061" xr:uid="{00000000-0005-0000-0000-00000FA40000}"/>
    <cellStyle name="Normal 4 6 4 4 3" xfId="34786" xr:uid="{00000000-0005-0000-0000-000010A40000}"/>
    <cellStyle name="Normal 4 6 4 4 4" xfId="44511" xr:uid="{00000000-0005-0000-0000-000011A40000}"/>
    <cellStyle name="Normal 4 6 4 4 5" xfId="15336" xr:uid="{00000000-0005-0000-0000-000012A40000}"/>
    <cellStyle name="Normal 4 6 4 5" xfId="20199" xr:uid="{00000000-0005-0000-0000-000013A40000}"/>
    <cellStyle name="Normal 4 6 4 6" xfId="29924" xr:uid="{00000000-0005-0000-0000-000014A40000}"/>
    <cellStyle name="Normal 4 6 4 7" xfId="39649" xr:uid="{00000000-0005-0000-0000-000015A40000}"/>
    <cellStyle name="Normal 4 6 4 8" xfId="10474" xr:uid="{00000000-0005-0000-0000-000016A40000}"/>
    <cellStyle name="Normal 4 6 5" xfId="2008" xr:uid="{00000000-0005-0000-0000-000017A40000}"/>
    <cellStyle name="Normal 4 6 5 2" xfId="6870" xr:uid="{00000000-0005-0000-0000-000018A40000}"/>
    <cellStyle name="Normal 4 6 5 2 2" xfId="26321" xr:uid="{00000000-0005-0000-0000-000019A40000}"/>
    <cellStyle name="Normal 4 6 5 2 3" xfId="36046" xr:uid="{00000000-0005-0000-0000-00001AA40000}"/>
    <cellStyle name="Normal 4 6 5 2 4" xfId="45771" xr:uid="{00000000-0005-0000-0000-00001BA40000}"/>
    <cellStyle name="Normal 4 6 5 2 5" xfId="16596" xr:uid="{00000000-0005-0000-0000-00001CA40000}"/>
    <cellStyle name="Normal 4 6 5 3" xfId="21459" xr:uid="{00000000-0005-0000-0000-00001DA40000}"/>
    <cellStyle name="Normal 4 6 5 4" xfId="31184" xr:uid="{00000000-0005-0000-0000-00001EA40000}"/>
    <cellStyle name="Normal 4 6 5 5" xfId="40909" xr:uid="{00000000-0005-0000-0000-00001FA40000}"/>
    <cellStyle name="Normal 4 6 5 6" xfId="11734" xr:uid="{00000000-0005-0000-0000-000020A40000}"/>
    <cellStyle name="Normal 4 6 6" xfId="3628" xr:uid="{00000000-0005-0000-0000-000021A40000}"/>
    <cellStyle name="Normal 4 6 6 2" xfId="8490" xr:uid="{00000000-0005-0000-0000-000022A40000}"/>
    <cellStyle name="Normal 4 6 6 2 2" xfId="27941" xr:uid="{00000000-0005-0000-0000-000023A40000}"/>
    <cellStyle name="Normal 4 6 6 2 3" xfId="37666" xr:uid="{00000000-0005-0000-0000-000024A40000}"/>
    <cellStyle name="Normal 4 6 6 2 4" xfId="47391" xr:uid="{00000000-0005-0000-0000-000025A40000}"/>
    <cellStyle name="Normal 4 6 6 2 5" xfId="18216" xr:uid="{00000000-0005-0000-0000-000026A40000}"/>
    <cellStyle name="Normal 4 6 6 3" xfId="23079" xr:uid="{00000000-0005-0000-0000-000027A40000}"/>
    <cellStyle name="Normal 4 6 6 4" xfId="32804" xr:uid="{00000000-0005-0000-0000-000028A40000}"/>
    <cellStyle name="Normal 4 6 6 5" xfId="42529" xr:uid="{00000000-0005-0000-0000-000029A40000}"/>
    <cellStyle name="Normal 4 6 6 6" xfId="13354" xr:uid="{00000000-0005-0000-0000-00002AA40000}"/>
    <cellStyle name="Normal 4 6 7" xfId="5250" xr:uid="{00000000-0005-0000-0000-00002BA40000}"/>
    <cellStyle name="Normal 4 6 7 2" xfId="24701" xr:uid="{00000000-0005-0000-0000-00002CA40000}"/>
    <cellStyle name="Normal 4 6 7 3" xfId="34426" xr:uid="{00000000-0005-0000-0000-00002DA40000}"/>
    <cellStyle name="Normal 4 6 7 4" xfId="44151" xr:uid="{00000000-0005-0000-0000-00002EA40000}"/>
    <cellStyle name="Normal 4 6 7 5" xfId="14976" xr:uid="{00000000-0005-0000-0000-00002FA40000}"/>
    <cellStyle name="Normal 4 6 8" xfId="19839" xr:uid="{00000000-0005-0000-0000-000030A40000}"/>
    <cellStyle name="Normal 4 6 9" xfId="29564" xr:uid="{00000000-0005-0000-0000-000031A40000}"/>
    <cellStyle name="Normal 4 7" xfId="145" xr:uid="{00000000-0005-0000-0000-000032A40000}"/>
    <cellStyle name="Normal 4 7 10" xfId="39109" xr:uid="{00000000-0005-0000-0000-000033A40000}"/>
    <cellStyle name="Normal 4 7 11" xfId="9934" xr:uid="{00000000-0005-0000-0000-000034A40000}"/>
    <cellStyle name="Normal 4 7 2" xfId="909" xr:uid="{00000000-0005-0000-0000-000035A40000}"/>
    <cellStyle name="Normal 4 7 2 2" xfId="2548" xr:uid="{00000000-0005-0000-0000-000036A40000}"/>
    <cellStyle name="Normal 4 7 2 2 2" xfId="7410" xr:uid="{00000000-0005-0000-0000-000037A40000}"/>
    <cellStyle name="Normal 4 7 2 2 2 2" xfId="26861" xr:uid="{00000000-0005-0000-0000-000038A40000}"/>
    <cellStyle name="Normal 4 7 2 2 2 3" xfId="36586" xr:uid="{00000000-0005-0000-0000-000039A40000}"/>
    <cellStyle name="Normal 4 7 2 2 2 4" xfId="46311" xr:uid="{00000000-0005-0000-0000-00003AA40000}"/>
    <cellStyle name="Normal 4 7 2 2 2 5" xfId="17136" xr:uid="{00000000-0005-0000-0000-00003BA40000}"/>
    <cellStyle name="Normal 4 7 2 2 3" xfId="21999" xr:uid="{00000000-0005-0000-0000-00003CA40000}"/>
    <cellStyle name="Normal 4 7 2 2 4" xfId="31724" xr:uid="{00000000-0005-0000-0000-00003DA40000}"/>
    <cellStyle name="Normal 4 7 2 2 5" xfId="41449" xr:uid="{00000000-0005-0000-0000-00003EA40000}"/>
    <cellStyle name="Normal 4 7 2 2 6" xfId="12274" xr:uid="{00000000-0005-0000-0000-00003FA40000}"/>
    <cellStyle name="Normal 4 7 2 3" xfId="4168" xr:uid="{00000000-0005-0000-0000-000040A40000}"/>
    <cellStyle name="Normal 4 7 2 3 2" xfId="9030" xr:uid="{00000000-0005-0000-0000-000041A40000}"/>
    <cellStyle name="Normal 4 7 2 3 2 2" xfId="28481" xr:uid="{00000000-0005-0000-0000-000042A40000}"/>
    <cellStyle name="Normal 4 7 2 3 2 3" xfId="38206" xr:uid="{00000000-0005-0000-0000-000043A40000}"/>
    <cellStyle name="Normal 4 7 2 3 2 4" xfId="47931" xr:uid="{00000000-0005-0000-0000-000044A40000}"/>
    <cellStyle name="Normal 4 7 2 3 2 5" xfId="18756" xr:uid="{00000000-0005-0000-0000-000045A40000}"/>
    <cellStyle name="Normal 4 7 2 3 3" xfId="23619" xr:uid="{00000000-0005-0000-0000-000046A40000}"/>
    <cellStyle name="Normal 4 7 2 3 4" xfId="33344" xr:uid="{00000000-0005-0000-0000-000047A40000}"/>
    <cellStyle name="Normal 4 7 2 3 5" xfId="43069" xr:uid="{00000000-0005-0000-0000-000048A40000}"/>
    <cellStyle name="Normal 4 7 2 3 6" xfId="13894" xr:uid="{00000000-0005-0000-0000-000049A40000}"/>
    <cellStyle name="Normal 4 7 2 4" xfId="5790" xr:uid="{00000000-0005-0000-0000-00004AA40000}"/>
    <cellStyle name="Normal 4 7 2 4 2" xfId="25241" xr:uid="{00000000-0005-0000-0000-00004BA40000}"/>
    <cellStyle name="Normal 4 7 2 4 3" xfId="34966" xr:uid="{00000000-0005-0000-0000-00004CA40000}"/>
    <cellStyle name="Normal 4 7 2 4 4" xfId="44691" xr:uid="{00000000-0005-0000-0000-00004DA40000}"/>
    <cellStyle name="Normal 4 7 2 4 5" xfId="15516" xr:uid="{00000000-0005-0000-0000-00004EA40000}"/>
    <cellStyle name="Normal 4 7 2 5" xfId="20379" xr:uid="{00000000-0005-0000-0000-00004FA40000}"/>
    <cellStyle name="Normal 4 7 2 6" xfId="30104" xr:uid="{00000000-0005-0000-0000-000050A40000}"/>
    <cellStyle name="Normal 4 7 2 7" xfId="39829" xr:uid="{00000000-0005-0000-0000-000051A40000}"/>
    <cellStyle name="Normal 4 7 2 8" xfId="10654" xr:uid="{00000000-0005-0000-0000-000052A40000}"/>
    <cellStyle name="Normal 4 7 3" xfId="1377" xr:uid="{00000000-0005-0000-0000-000053A40000}"/>
    <cellStyle name="Normal 4 7 3 2" xfId="2998" xr:uid="{00000000-0005-0000-0000-000054A40000}"/>
    <cellStyle name="Normal 4 7 3 2 2" xfId="7860" xr:uid="{00000000-0005-0000-0000-000055A40000}"/>
    <cellStyle name="Normal 4 7 3 2 2 2" xfId="27311" xr:uid="{00000000-0005-0000-0000-000056A40000}"/>
    <cellStyle name="Normal 4 7 3 2 2 3" xfId="37036" xr:uid="{00000000-0005-0000-0000-000057A40000}"/>
    <cellStyle name="Normal 4 7 3 2 2 4" xfId="46761" xr:uid="{00000000-0005-0000-0000-000058A40000}"/>
    <cellStyle name="Normal 4 7 3 2 2 5" xfId="17586" xr:uid="{00000000-0005-0000-0000-000059A40000}"/>
    <cellStyle name="Normal 4 7 3 2 3" xfId="22449" xr:uid="{00000000-0005-0000-0000-00005AA40000}"/>
    <cellStyle name="Normal 4 7 3 2 4" xfId="32174" xr:uid="{00000000-0005-0000-0000-00005BA40000}"/>
    <cellStyle name="Normal 4 7 3 2 5" xfId="41899" xr:uid="{00000000-0005-0000-0000-00005CA40000}"/>
    <cellStyle name="Normal 4 7 3 2 6" xfId="12724" xr:uid="{00000000-0005-0000-0000-00005DA40000}"/>
    <cellStyle name="Normal 4 7 3 3" xfId="4618" xr:uid="{00000000-0005-0000-0000-00005EA40000}"/>
    <cellStyle name="Normal 4 7 3 3 2" xfId="9480" xr:uid="{00000000-0005-0000-0000-00005FA40000}"/>
    <cellStyle name="Normal 4 7 3 3 2 2" xfId="28931" xr:uid="{00000000-0005-0000-0000-000060A40000}"/>
    <cellStyle name="Normal 4 7 3 3 2 3" xfId="38656" xr:uid="{00000000-0005-0000-0000-000061A40000}"/>
    <cellStyle name="Normal 4 7 3 3 2 4" xfId="48381" xr:uid="{00000000-0005-0000-0000-000062A40000}"/>
    <cellStyle name="Normal 4 7 3 3 2 5" xfId="19206" xr:uid="{00000000-0005-0000-0000-000063A40000}"/>
    <cellStyle name="Normal 4 7 3 3 3" xfId="24069" xr:uid="{00000000-0005-0000-0000-000064A40000}"/>
    <cellStyle name="Normal 4 7 3 3 4" xfId="33794" xr:uid="{00000000-0005-0000-0000-000065A40000}"/>
    <cellStyle name="Normal 4 7 3 3 5" xfId="43519" xr:uid="{00000000-0005-0000-0000-000066A40000}"/>
    <cellStyle name="Normal 4 7 3 3 6" xfId="14344" xr:uid="{00000000-0005-0000-0000-000067A40000}"/>
    <cellStyle name="Normal 4 7 3 4" xfId="6240" xr:uid="{00000000-0005-0000-0000-000068A40000}"/>
    <cellStyle name="Normal 4 7 3 4 2" xfId="25691" xr:uid="{00000000-0005-0000-0000-000069A40000}"/>
    <cellStyle name="Normal 4 7 3 4 3" xfId="35416" xr:uid="{00000000-0005-0000-0000-00006AA40000}"/>
    <cellStyle name="Normal 4 7 3 4 4" xfId="45141" xr:uid="{00000000-0005-0000-0000-00006BA40000}"/>
    <cellStyle name="Normal 4 7 3 4 5" xfId="15966" xr:uid="{00000000-0005-0000-0000-00006CA40000}"/>
    <cellStyle name="Normal 4 7 3 5" xfId="20829" xr:uid="{00000000-0005-0000-0000-00006DA40000}"/>
    <cellStyle name="Normal 4 7 3 6" xfId="30554" xr:uid="{00000000-0005-0000-0000-00006EA40000}"/>
    <cellStyle name="Normal 4 7 3 7" xfId="40279" xr:uid="{00000000-0005-0000-0000-00006FA40000}"/>
    <cellStyle name="Normal 4 7 3 8" xfId="11104" xr:uid="{00000000-0005-0000-0000-000070A40000}"/>
    <cellStyle name="Normal 4 7 4" xfId="548" xr:uid="{00000000-0005-0000-0000-000071A40000}"/>
    <cellStyle name="Normal 4 7 4 2" xfId="2188" xr:uid="{00000000-0005-0000-0000-000072A40000}"/>
    <cellStyle name="Normal 4 7 4 2 2" xfId="7050" xr:uid="{00000000-0005-0000-0000-000073A40000}"/>
    <cellStyle name="Normal 4 7 4 2 2 2" xfId="26501" xr:uid="{00000000-0005-0000-0000-000074A40000}"/>
    <cellStyle name="Normal 4 7 4 2 2 3" xfId="36226" xr:uid="{00000000-0005-0000-0000-000075A40000}"/>
    <cellStyle name="Normal 4 7 4 2 2 4" xfId="45951" xr:uid="{00000000-0005-0000-0000-000076A40000}"/>
    <cellStyle name="Normal 4 7 4 2 2 5" xfId="16776" xr:uid="{00000000-0005-0000-0000-000077A40000}"/>
    <cellStyle name="Normal 4 7 4 2 3" xfId="21639" xr:uid="{00000000-0005-0000-0000-000078A40000}"/>
    <cellStyle name="Normal 4 7 4 2 4" xfId="31364" xr:uid="{00000000-0005-0000-0000-000079A40000}"/>
    <cellStyle name="Normal 4 7 4 2 5" xfId="41089" xr:uid="{00000000-0005-0000-0000-00007AA40000}"/>
    <cellStyle name="Normal 4 7 4 2 6" xfId="11914" xr:uid="{00000000-0005-0000-0000-00007BA40000}"/>
    <cellStyle name="Normal 4 7 4 3" xfId="3808" xr:uid="{00000000-0005-0000-0000-00007CA40000}"/>
    <cellStyle name="Normal 4 7 4 3 2" xfId="8670" xr:uid="{00000000-0005-0000-0000-00007DA40000}"/>
    <cellStyle name="Normal 4 7 4 3 2 2" xfId="28121" xr:uid="{00000000-0005-0000-0000-00007EA40000}"/>
    <cellStyle name="Normal 4 7 4 3 2 3" xfId="37846" xr:uid="{00000000-0005-0000-0000-00007FA40000}"/>
    <cellStyle name="Normal 4 7 4 3 2 4" xfId="47571" xr:uid="{00000000-0005-0000-0000-000080A40000}"/>
    <cellStyle name="Normal 4 7 4 3 2 5" xfId="18396" xr:uid="{00000000-0005-0000-0000-000081A40000}"/>
    <cellStyle name="Normal 4 7 4 3 3" xfId="23259" xr:uid="{00000000-0005-0000-0000-000082A40000}"/>
    <cellStyle name="Normal 4 7 4 3 4" xfId="32984" xr:uid="{00000000-0005-0000-0000-000083A40000}"/>
    <cellStyle name="Normal 4 7 4 3 5" xfId="42709" xr:uid="{00000000-0005-0000-0000-000084A40000}"/>
    <cellStyle name="Normal 4 7 4 3 6" xfId="13534" xr:uid="{00000000-0005-0000-0000-000085A40000}"/>
    <cellStyle name="Normal 4 7 4 4" xfId="5430" xr:uid="{00000000-0005-0000-0000-000086A40000}"/>
    <cellStyle name="Normal 4 7 4 4 2" xfId="24881" xr:uid="{00000000-0005-0000-0000-000087A40000}"/>
    <cellStyle name="Normal 4 7 4 4 3" xfId="34606" xr:uid="{00000000-0005-0000-0000-000088A40000}"/>
    <cellStyle name="Normal 4 7 4 4 4" xfId="44331" xr:uid="{00000000-0005-0000-0000-000089A40000}"/>
    <cellStyle name="Normal 4 7 4 4 5" xfId="15156" xr:uid="{00000000-0005-0000-0000-00008AA40000}"/>
    <cellStyle name="Normal 4 7 4 5" xfId="20019" xr:uid="{00000000-0005-0000-0000-00008BA40000}"/>
    <cellStyle name="Normal 4 7 4 6" xfId="29744" xr:uid="{00000000-0005-0000-0000-00008CA40000}"/>
    <cellStyle name="Normal 4 7 4 7" xfId="39469" xr:uid="{00000000-0005-0000-0000-00008DA40000}"/>
    <cellStyle name="Normal 4 7 4 8" xfId="10294" xr:uid="{00000000-0005-0000-0000-00008EA40000}"/>
    <cellStyle name="Normal 4 7 5" xfId="1828" xr:uid="{00000000-0005-0000-0000-00008FA40000}"/>
    <cellStyle name="Normal 4 7 5 2" xfId="6690" xr:uid="{00000000-0005-0000-0000-000090A40000}"/>
    <cellStyle name="Normal 4 7 5 2 2" xfId="26141" xr:uid="{00000000-0005-0000-0000-000091A40000}"/>
    <cellStyle name="Normal 4 7 5 2 3" xfId="35866" xr:uid="{00000000-0005-0000-0000-000092A40000}"/>
    <cellStyle name="Normal 4 7 5 2 4" xfId="45591" xr:uid="{00000000-0005-0000-0000-000093A40000}"/>
    <cellStyle name="Normal 4 7 5 2 5" xfId="16416" xr:uid="{00000000-0005-0000-0000-000094A40000}"/>
    <cellStyle name="Normal 4 7 5 3" xfId="21279" xr:uid="{00000000-0005-0000-0000-000095A40000}"/>
    <cellStyle name="Normal 4 7 5 4" xfId="31004" xr:uid="{00000000-0005-0000-0000-000096A40000}"/>
    <cellStyle name="Normal 4 7 5 5" xfId="40729" xr:uid="{00000000-0005-0000-0000-000097A40000}"/>
    <cellStyle name="Normal 4 7 5 6" xfId="11554" xr:uid="{00000000-0005-0000-0000-000098A40000}"/>
    <cellStyle name="Normal 4 7 6" xfId="3448" xr:uid="{00000000-0005-0000-0000-000099A40000}"/>
    <cellStyle name="Normal 4 7 6 2" xfId="8310" xr:uid="{00000000-0005-0000-0000-00009AA40000}"/>
    <cellStyle name="Normal 4 7 6 2 2" xfId="27761" xr:uid="{00000000-0005-0000-0000-00009BA40000}"/>
    <cellStyle name="Normal 4 7 6 2 3" xfId="37486" xr:uid="{00000000-0005-0000-0000-00009CA40000}"/>
    <cellStyle name="Normal 4 7 6 2 4" xfId="47211" xr:uid="{00000000-0005-0000-0000-00009DA40000}"/>
    <cellStyle name="Normal 4 7 6 2 5" xfId="18036" xr:uid="{00000000-0005-0000-0000-00009EA40000}"/>
    <cellStyle name="Normal 4 7 6 3" xfId="22899" xr:uid="{00000000-0005-0000-0000-00009FA40000}"/>
    <cellStyle name="Normal 4 7 6 4" xfId="32624" xr:uid="{00000000-0005-0000-0000-0000A0A40000}"/>
    <cellStyle name="Normal 4 7 6 5" xfId="42349" xr:uid="{00000000-0005-0000-0000-0000A1A40000}"/>
    <cellStyle name="Normal 4 7 6 6" xfId="13174" xr:uid="{00000000-0005-0000-0000-0000A2A40000}"/>
    <cellStyle name="Normal 4 7 7" xfId="5070" xr:uid="{00000000-0005-0000-0000-0000A3A40000}"/>
    <cellStyle name="Normal 4 7 7 2" xfId="24521" xr:uid="{00000000-0005-0000-0000-0000A4A40000}"/>
    <cellStyle name="Normal 4 7 7 3" xfId="34246" xr:uid="{00000000-0005-0000-0000-0000A5A40000}"/>
    <cellStyle name="Normal 4 7 7 4" xfId="43971" xr:uid="{00000000-0005-0000-0000-0000A6A40000}"/>
    <cellStyle name="Normal 4 7 7 5" xfId="14796" xr:uid="{00000000-0005-0000-0000-0000A7A40000}"/>
    <cellStyle name="Normal 4 7 8" xfId="19659" xr:uid="{00000000-0005-0000-0000-0000A8A40000}"/>
    <cellStyle name="Normal 4 7 9" xfId="29384" xr:uid="{00000000-0005-0000-0000-0000A9A40000}"/>
    <cellStyle name="Normal 4 8" xfId="819" xr:uid="{00000000-0005-0000-0000-0000AAA40000}"/>
    <cellStyle name="Normal 4 8 2" xfId="2458" xr:uid="{00000000-0005-0000-0000-0000ABA40000}"/>
    <cellStyle name="Normal 4 8 2 2" xfId="7320" xr:uid="{00000000-0005-0000-0000-0000ACA40000}"/>
    <cellStyle name="Normal 4 8 2 2 2" xfId="26771" xr:uid="{00000000-0005-0000-0000-0000ADA40000}"/>
    <cellStyle name="Normal 4 8 2 2 3" xfId="36496" xr:uid="{00000000-0005-0000-0000-0000AEA40000}"/>
    <cellStyle name="Normal 4 8 2 2 4" xfId="46221" xr:uid="{00000000-0005-0000-0000-0000AFA40000}"/>
    <cellStyle name="Normal 4 8 2 2 5" xfId="17046" xr:uid="{00000000-0005-0000-0000-0000B0A40000}"/>
    <cellStyle name="Normal 4 8 2 3" xfId="21909" xr:uid="{00000000-0005-0000-0000-0000B1A40000}"/>
    <cellStyle name="Normal 4 8 2 4" xfId="31634" xr:uid="{00000000-0005-0000-0000-0000B2A40000}"/>
    <cellStyle name="Normal 4 8 2 5" xfId="41359" xr:uid="{00000000-0005-0000-0000-0000B3A40000}"/>
    <cellStyle name="Normal 4 8 2 6" xfId="12184" xr:uid="{00000000-0005-0000-0000-0000B4A40000}"/>
    <cellStyle name="Normal 4 8 3" xfId="4078" xr:uid="{00000000-0005-0000-0000-0000B5A40000}"/>
    <cellStyle name="Normal 4 8 3 2" xfId="8940" xr:uid="{00000000-0005-0000-0000-0000B6A40000}"/>
    <cellStyle name="Normal 4 8 3 2 2" xfId="28391" xr:uid="{00000000-0005-0000-0000-0000B7A40000}"/>
    <cellStyle name="Normal 4 8 3 2 3" xfId="38116" xr:uid="{00000000-0005-0000-0000-0000B8A40000}"/>
    <cellStyle name="Normal 4 8 3 2 4" xfId="47841" xr:uid="{00000000-0005-0000-0000-0000B9A40000}"/>
    <cellStyle name="Normal 4 8 3 2 5" xfId="18666" xr:uid="{00000000-0005-0000-0000-0000BAA40000}"/>
    <cellStyle name="Normal 4 8 3 3" xfId="23529" xr:uid="{00000000-0005-0000-0000-0000BBA40000}"/>
    <cellStyle name="Normal 4 8 3 4" xfId="33254" xr:uid="{00000000-0005-0000-0000-0000BCA40000}"/>
    <cellStyle name="Normal 4 8 3 5" xfId="42979" xr:uid="{00000000-0005-0000-0000-0000BDA40000}"/>
    <cellStyle name="Normal 4 8 3 6" xfId="13804" xr:uid="{00000000-0005-0000-0000-0000BEA40000}"/>
    <cellStyle name="Normal 4 8 4" xfId="5700" xr:uid="{00000000-0005-0000-0000-0000BFA40000}"/>
    <cellStyle name="Normal 4 8 4 2" xfId="25151" xr:uid="{00000000-0005-0000-0000-0000C0A40000}"/>
    <cellStyle name="Normal 4 8 4 3" xfId="34876" xr:uid="{00000000-0005-0000-0000-0000C1A40000}"/>
    <cellStyle name="Normal 4 8 4 4" xfId="44601" xr:uid="{00000000-0005-0000-0000-0000C2A40000}"/>
    <cellStyle name="Normal 4 8 4 5" xfId="15426" xr:uid="{00000000-0005-0000-0000-0000C3A40000}"/>
    <cellStyle name="Normal 4 8 5" xfId="20289" xr:uid="{00000000-0005-0000-0000-0000C4A40000}"/>
    <cellStyle name="Normal 4 8 6" xfId="30014" xr:uid="{00000000-0005-0000-0000-0000C5A40000}"/>
    <cellStyle name="Normal 4 8 7" xfId="39739" xr:uid="{00000000-0005-0000-0000-0000C6A40000}"/>
    <cellStyle name="Normal 4 8 8" xfId="10564" xr:uid="{00000000-0005-0000-0000-0000C7A40000}"/>
    <cellStyle name="Normal 4 9" xfId="1197" xr:uid="{00000000-0005-0000-0000-0000C8A40000}"/>
    <cellStyle name="Normal 4 9 2" xfId="2818" xr:uid="{00000000-0005-0000-0000-0000C9A40000}"/>
    <cellStyle name="Normal 4 9 2 2" xfId="7680" xr:uid="{00000000-0005-0000-0000-0000CAA40000}"/>
    <cellStyle name="Normal 4 9 2 2 2" xfId="27131" xr:uid="{00000000-0005-0000-0000-0000CBA40000}"/>
    <cellStyle name="Normal 4 9 2 2 3" xfId="36856" xr:uid="{00000000-0005-0000-0000-0000CCA40000}"/>
    <cellStyle name="Normal 4 9 2 2 4" xfId="46581" xr:uid="{00000000-0005-0000-0000-0000CDA40000}"/>
    <cellStyle name="Normal 4 9 2 2 5" xfId="17406" xr:uid="{00000000-0005-0000-0000-0000CEA40000}"/>
    <cellStyle name="Normal 4 9 2 3" xfId="22269" xr:uid="{00000000-0005-0000-0000-0000CFA40000}"/>
    <cellStyle name="Normal 4 9 2 4" xfId="31994" xr:uid="{00000000-0005-0000-0000-0000D0A40000}"/>
    <cellStyle name="Normal 4 9 2 5" xfId="41719" xr:uid="{00000000-0005-0000-0000-0000D1A40000}"/>
    <cellStyle name="Normal 4 9 2 6" xfId="12544" xr:uid="{00000000-0005-0000-0000-0000D2A40000}"/>
    <cellStyle name="Normal 4 9 3" xfId="4438" xr:uid="{00000000-0005-0000-0000-0000D3A40000}"/>
    <cellStyle name="Normal 4 9 3 2" xfId="9300" xr:uid="{00000000-0005-0000-0000-0000D4A40000}"/>
    <cellStyle name="Normal 4 9 3 2 2" xfId="28751" xr:uid="{00000000-0005-0000-0000-0000D5A40000}"/>
    <cellStyle name="Normal 4 9 3 2 3" xfId="38476" xr:uid="{00000000-0005-0000-0000-0000D6A40000}"/>
    <cellStyle name="Normal 4 9 3 2 4" xfId="48201" xr:uid="{00000000-0005-0000-0000-0000D7A40000}"/>
    <cellStyle name="Normal 4 9 3 2 5" xfId="19026" xr:uid="{00000000-0005-0000-0000-0000D8A40000}"/>
    <cellStyle name="Normal 4 9 3 3" xfId="23889" xr:uid="{00000000-0005-0000-0000-0000D9A40000}"/>
    <cellStyle name="Normal 4 9 3 4" xfId="33614" xr:uid="{00000000-0005-0000-0000-0000DAA40000}"/>
    <cellStyle name="Normal 4 9 3 5" xfId="43339" xr:uid="{00000000-0005-0000-0000-0000DBA40000}"/>
    <cellStyle name="Normal 4 9 3 6" xfId="14164" xr:uid="{00000000-0005-0000-0000-0000DCA40000}"/>
    <cellStyle name="Normal 4 9 4" xfId="6060" xr:uid="{00000000-0005-0000-0000-0000DDA40000}"/>
    <cellStyle name="Normal 4 9 4 2" xfId="25511" xr:uid="{00000000-0005-0000-0000-0000DEA40000}"/>
    <cellStyle name="Normal 4 9 4 3" xfId="35236" xr:uid="{00000000-0005-0000-0000-0000DFA40000}"/>
    <cellStyle name="Normal 4 9 4 4" xfId="44961" xr:uid="{00000000-0005-0000-0000-0000E0A40000}"/>
    <cellStyle name="Normal 4 9 4 5" xfId="15786" xr:uid="{00000000-0005-0000-0000-0000E1A40000}"/>
    <cellStyle name="Normal 4 9 5" xfId="20649" xr:uid="{00000000-0005-0000-0000-0000E2A40000}"/>
    <cellStyle name="Normal 4 9 6" xfId="30374" xr:uid="{00000000-0005-0000-0000-0000E3A40000}"/>
    <cellStyle name="Normal 4 9 7" xfId="40099" xr:uid="{00000000-0005-0000-0000-0000E4A40000}"/>
    <cellStyle name="Normal 4 9 8" xfId="10924" xr:uid="{00000000-0005-0000-0000-0000E5A40000}"/>
    <cellStyle name="Normal 4_Database (All)" xfId="987" xr:uid="{00000000-0005-0000-0000-0000E6A40000}"/>
    <cellStyle name="Normal 5" xfId="70" xr:uid="{00000000-0005-0000-0000-0000E7A40000}"/>
    <cellStyle name="Normal 5 10" xfId="474" xr:uid="{00000000-0005-0000-0000-0000E8A40000}"/>
    <cellStyle name="Normal 5 10 2" xfId="2114" xr:uid="{00000000-0005-0000-0000-0000E9A40000}"/>
    <cellStyle name="Normal 5 10 2 2" xfId="6976" xr:uid="{00000000-0005-0000-0000-0000EAA40000}"/>
    <cellStyle name="Normal 5 10 2 2 2" xfId="26427" xr:uid="{00000000-0005-0000-0000-0000EBA40000}"/>
    <cellStyle name="Normal 5 10 2 2 3" xfId="36152" xr:uid="{00000000-0005-0000-0000-0000ECA40000}"/>
    <cellStyle name="Normal 5 10 2 2 4" xfId="45877" xr:uid="{00000000-0005-0000-0000-0000EDA40000}"/>
    <cellStyle name="Normal 5 10 2 2 5" xfId="16702" xr:uid="{00000000-0005-0000-0000-0000EEA40000}"/>
    <cellStyle name="Normal 5 10 2 3" xfId="21565" xr:uid="{00000000-0005-0000-0000-0000EFA40000}"/>
    <cellStyle name="Normal 5 10 2 4" xfId="31290" xr:uid="{00000000-0005-0000-0000-0000F0A40000}"/>
    <cellStyle name="Normal 5 10 2 5" xfId="41015" xr:uid="{00000000-0005-0000-0000-0000F1A40000}"/>
    <cellStyle name="Normal 5 10 2 6" xfId="11840" xr:uid="{00000000-0005-0000-0000-0000F2A40000}"/>
    <cellStyle name="Normal 5 10 3" xfId="3734" xr:uid="{00000000-0005-0000-0000-0000F3A40000}"/>
    <cellStyle name="Normal 5 10 3 2" xfId="8596" xr:uid="{00000000-0005-0000-0000-0000F4A40000}"/>
    <cellStyle name="Normal 5 10 3 2 2" xfId="28047" xr:uid="{00000000-0005-0000-0000-0000F5A40000}"/>
    <cellStyle name="Normal 5 10 3 2 3" xfId="37772" xr:uid="{00000000-0005-0000-0000-0000F6A40000}"/>
    <cellStyle name="Normal 5 10 3 2 4" xfId="47497" xr:uid="{00000000-0005-0000-0000-0000F7A40000}"/>
    <cellStyle name="Normal 5 10 3 2 5" xfId="18322" xr:uid="{00000000-0005-0000-0000-0000F8A40000}"/>
    <cellStyle name="Normal 5 10 3 3" xfId="23185" xr:uid="{00000000-0005-0000-0000-0000F9A40000}"/>
    <cellStyle name="Normal 5 10 3 4" xfId="32910" xr:uid="{00000000-0005-0000-0000-0000FAA40000}"/>
    <cellStyle name="Normal 5 10 3 5" xfId="42635" xr:uid="{00000000-0005-0000-0000-0000FBA40000}"/>
    <cellStyle name="Normal 5 10 3 6" xfId="13460" xr:uid="{00000000-0005-0000-0000-0000FCA40000}"/>
    <cellStyle name="Normal 5 10 4" xfId="5356" xr:uid="{00000000-0005-0000-0000-0000FDA40000}"/>
    <cellStyle name="Normal 5 10 4 2" xfId="24807" xr:uid="{00000000-0005-0000-0000-0000FEA40000}"/>
    <cellStyle name="Normal 5 10 4 3" xfId="34532" xr:uid="{00000000-0005-0000-0000-0000FFA40000}"/>
    <cellStyle name="Normal 5 10 4 4" xfId="44257" xr:uid="{00000000-0005-0000-0000-000000A50000}"/>
    <cellStyle name="Normal 5 10 4 5" xfId="15082" xr:uid="{00000000-0005-0000-0000-000001A50000}"/>
    <cellStyle name="Normal 5 10 5" xfId="19945" xr:uid="{00000000-0005-0000-0000-000002A50000}"/>
    <cellStyle name="Normal 5 10 6" xfId="29670" xr:uid="{00000000-0005-0000-0000-000003A50000}"/>
    <cellStyle name="Normal 5 10 7" xfId="39395" xr:uid="{00000000-0005-0000-0000-000004A50000}"/>
    <cellStyle name="Normal 5 10 8" xfId="10220" xr:uid="{00000000-0005-0000-0000-000005A50000}"/>
    <cellStyle name="Normal 5 11" xfId="1663" xr:uid="{00000000-0005-0000-0000-000006A50000}"/>
    <cellStyle name="Normal 5 11 2" xfId="3284" xr:uid="{00000000-0005-0000-0000-000007A50000}"/>
    <cellStyle name="Normal 5 11 2 2" xfId="8146" xr:uid="{00000000-0005-0000-0000-000008A50000}"/>
    <cellStyle name="Normal 5 11 2 2 2" xfId="27597" xr:uid="{00000000-0005-0000-0000-000009A50000}"/>
    <cellStyle name="Normal 5 11 2 2 3" xfId="37322" xr:uid="{00000000-0005-0000-0000-00000AA50000}"/>
    <cellStyle name="Normal 5 11 2 2 4" xfId="47047" xr:uid="{00000000-0005-0000-0000-00000BA50000}"/>
    <cellStyle name="Normal 5 11 2 2 5" xfId="17872" xr:uid="{00000000-0005-0000-0000-00000CA50000}"/>
    <cellStyle name="Normal 5 11 2 3" xfId="22735" xr:uid="{00000000-0005-0000-0000-00000DA50000}"/>
    <cellStyle name="Normal 5 11 2 4" xfId="32460" xr:uid="{00000000-0005-0000-0000-00000EA50000}"/>
    <cellStyle name="Normal 5 11 2 5" xfId="42185" xr:uid="{00000000-0005-0000-0000-00000FA50000}"/>
    <cellStyle name="Normal 5 11 2 6" xfId="13010" xr:uid="{00000000-0005-0000-0000-000010A50000}"/>
    <cellStyle name="Normal 5 11 3" xfId="4904" xr:uid="{00000000-0005-0000-0000-000011A50000}"/>
    <cellStyle name="Normal 5 11 3 2" xfId="9766" xr:uid="{00000000-0005-0000-0000-000012A50000}"/>
    <cellStyle name="Normal 5 11 3 2 2" xfId="29217" xr:uid="{00000000-0005-0000-0000-000013A50000}"/>
    <cellStyle name="Normal 5 11 3 2 3" xfId="38942" xr:uid="{00000000-0005-0000-0000-000014A50000}"/>
    <cellStyle name="Normal 5 11 3 2 4" xfId="48667" xr:uid="{00000000-0005-0000-0000-000015A50000}"/>
    <cellStyle name="Normal 5 11 3 2 5" xfId="19492" xr:uid="{00000000-0005-0000-0000-000016A50000}"/>
    <cellStyle name="Normal 5 11 3 3" xfId="24355" xr:uid="{00000000-0005-0000-0000-000017A50000}"/>
    <cellStyle name="Normal 5 11 3 4" xfId="34080" xr:uid="{00000000-0005-0000-0000-000018A50000}"/>
    <cellStyle name="Normal 5 11 3 5" xfId="43805" xr:uid="{00000000-0005-0000-0000-000019A50000}"/>
    <cellStyle name="Normal 5 11 3 6" xfId="14630" xr:uid="{00000000-0005-0000-0000-00001AA50000}"/>
    <cellStyle name="Normal 5 11 4" xfId="6526" xr:uid="{00000000-0005-0000-0000-00001BA50000}"/>
    <cellStyle name="Normal 5 11 4 2" xfId="25977" xr:uid="{00000000-0005-0000-0000-00001CA50000}"/>
    <cellStyle name="Normal 5 11 4 3" xfId="35702" xr:uid="{00000000-0005-0000-0000-00001DA50000}"/>
    <cellStyle name="Normal 5 11 4 4" xfId="45427" xr:uid="{00000000-0005-0000-0000-00001EA50000}"/>
    <cellStyle name="Normal 5 11 4 5" xfId="16252" xr:uid="{00000000-0005-0000-0000-00001FA50000}"/>
    <cellStyle name="Normal 5 11 5" xfId="21115" xr:uid="{00000000-0005-0000-0000-000020A50000}"/>
    <cellStyle name="Normal 5 11 6" xfId="30840" xr:uid="{00000000-0005-0000-0000-000021A50000}"/>
    <cellStyle name="Normal 5 11 7" xfId="40565" xr:uid="{00000000-0005-0000-0000-000022A50000}"/>
    <cellStyle name="Normal 5 11 8" xfId="11390" xr:uid="{00000000-0005-0000-0000-000023A50000}"/>
    <cellStyle name="Normal 5 12" xfId="1754" xr:uid="{00000000-0005-0000-0000-000024A50000}"/>
    <cellStyle name="Normal 5 12 2" xfId="6616" xr:uid="{00000000-0005-0000-0000-000025A50000}"/>
    <cellStyle name="Normal 5 12 2 2" xfId="26067" xr:uid="{00000000-0005-0000-0000-000026A50000}"/>
    <cellStyle name="Normal 5 12 2 3" xfId="35792" xr:uid="{00000000-0005-0000-0000-000027A50000}"/>
    <cellStyle name="Normal 5 12 2 4" xfId="45517" xr:uid="{00000000-0005-0000-0000-000028A50000}"/>
    <cellStyle name="Normal 5 12 2 5" xfId="16342" xr:uid="{00000000-0005-0000-0000-000029A50000}"/>
    <cellStyle name="Normal 5 12 3" xfId="21205" xr:uid="{00000000-0005-0000-0000-00002AA50000}"/>
    <cellStyle name="Normal 5 12 4" xfId="30930" xr:uid="{00000000-0005-0000-0000-00002BA50000}"/>
    <cellStyle name="Normal 5 12 5" xfId="40655" xr:uid="{00000000-0005-0000-0000-00002CA50000}"/>
    <cellStyle name="Normal 5 12 6" xfId="11480" xr:uid="{00000000-0005-0000-0000-00002DA50000}"/>
    <cellStyle name="Normal 5 13" xfId="3374" xr:uid="{00000000-0005-0000-0000-00002EA50000}"/>
    <cellStyle name="Normal 5 13 2" xfId="8236" xr:uid="{00000000-0005-0000-0000-00002FA50000}"/>
    <cellStyle name="Normal 5 13 2 2" xfId="27687" xr:uid="{00000000-0005-0000-0000-000030A50000}"/>
    <cellStyle name="Normal 5 13 2 3" xfId="37412" xr:uid="{00000000-0005-0000-0000-000031A50000}"/>
    <cellStyle name="Normal 5 13 2 4" xfId="47137" xr:uid="{00000000-0005-0000-0000-000032A50000}"/>
    <cellStyle name="Normal 5 13 2 5" xfId="17962" xr:uid="{00000000-0005-0000-0000-000033A50000}"/>
    <cellStyle name="Normal 5 13 3" xfId="22825" xr:uid="{00000000-0005-0000-0000-000034A50000}"/>
    <cellStyle name="Normal 5 13 4" xfId="32550" xr:uid="{00000000-0005-0000-0000-000035A50000}"/>
    <cellStyle name="Normal 5 13 5" xfId="42275" xr:uid="{00000000-0005-0000-0000-000036A50000}"/>
    <cellStyle name="Normal 5 13 6" xfId="13100" xr:uid="{00000000-0005-0000-0000-000037A50000}"/>
    <cellStyle name="Normal 5 14" xfId="4996" xr:uid="{00000000-0005-0000-0000-000038A50000}"/>
    <cellStyle name="Normal 5 14 2" xfId="24447" xr:uid="{00000000-0005-0000-0000-000039A50000}"/>
    <cellStyle name="Normal 5 14 3" xfId="34172" xr:uid="{00000000-0005-0000-0000-00003AA50000}"/>
    <cellStyle name="Normal 5 14 4" xfId="43897" xr:uid="{00000000-0005-0000-0000-00003BA50000}"/>
    <cellStyle name="Normal 5 14 5" xfId="14722" xr:uid="{00000000-0005-0000-0000-00003CA50000}"/>
    <cellStyle name="Normal 5 15" xfId="19585" xr:uid="{00000000-0005-0000-0000-00003DA50000}"/>
    <cellStyle name="Normal 5 16" xfId="29310" xr:uid="{00000000-0005-0000-0000-00003EA50000}"/>
    <cellStyle name="Normal 5 17" xfId="39035" xr:uid="{00000000-0005-0000-0000-00003FA50000}"/>
    <cellStyle name="Normal 5 18" xfId="9860" xr:uid="{00000000-0005-0000-0000-000040A50000}"/>
    <cellStyle name="Normal 5 2" xfId="100" xr:uid="{00000000-0005-0000-0000-000041A50000}"/>
    <cellStyle name="Normal 5 2 10" xfId="1784" xr:uid="{00000000-0005-0000-0000-000042A50000}"/>
    <cellStyle name="Normal 5 2 10 2" xfId="6646" xr:uid="{00000000-0005-0000-0000-000043A50000}"/>
    <cellStyle name="Normal 5 2 10 2 2" xfId="26097" xr:uid="{00000000-0005-0000-0000-000044A50000}"/>
    <cellStyle name="Normal 5 2 10 2 3" xfId="35822" xr:uid="{00000000-0005-0000-0000-000045A50000}"/>
    <cellStyle name="Normal 5 2 10 2 4" xfId="45547" xr:uid="{00000000-0005-0000-0000-000046A50000}"/>
    <cellStyle name="Normal 5 2 10 2 5" xfId="16372" xr:uid="{00000000-0005-0000-0000-000047A50000}"/>
    <cellStyle name="Normal 5 2 10 3" xfId="21235" xr:uid="{00000000-0005-0000-0000-000048A50000}"/>
    <cellStyle name="Normal 5 2 10 4" xfId="30960" xr:uid="{00000000-0005-0000-0000-000049A50000}"/>
    <cellStyle name="Normal 5 2 10 5" xfId="40685" xr:uid="{00000000-0005-0000-0000-00004AA50000}"/>
    <cellStyle name="Normal 5 2 10 6" xfId="11510" xr:uid="{00000000-0005-0000-0000-00004BA50000}"/>
    <cellStyle name="Normal 5 2 11" xfId="3404" xr:uid="{00000000-0005-0000-0000-00004CA50000}"/>
    <cellStyle name="Normal 5 2 11 2" xfId="8266" xr:uid="{00000000-0005-0000-0000-00004DA50000}"/>
    <cellStyle name="Normal 5 2 11 2 2" xfId="27717" xr:uid="{00000000-0005-0000-0000-00004EA50000}"/>
    <cellStyle name="Normal 5 2 11 2 3" xfId="37442" xr:uid="{00000000-0005-0000-0000-00004FA50000}"/>
    <cellStyle name="Normal 5 2 11 2 4" xfId="47167" xr:uid="{00000000-0005-0000-0000-000050A50000}"/>
    <cellStyle name="Normal 5 2 11 2 5" xfId="17992" xr:uid="{00000000-0005-0000-0000-000051A50000}"/>
    <cellStyle name="Normal 5 2 11 3" xfId="22855" xr:uid="{00000000-0005-0000-0000-000052A50000}"/>
    <cellStyle name="Normal 5 2 11 4" xfId="32580" xr:uid="{00000000-0005-0000-0000-000053A50000}"/>
    <cellStyle name="Normal 5 2 11 5" xfId="42305" xr:uid="{00000000-0005-0000-0000-000054A50000}"/>
    <cellStyle name="Normal 5 2 11 6" xfId="13130" xr:uid="{00000000-0005-0000-0000-000055A50000}"/>
    <cellStyle name="Normal 5 2 12" xfId="5026" xr:uid="{00000000-0005-0000-0000-000056A50000}"/>
    <cellStyle name="Normal 5 2 12 2" xfId="24477" xr:uid="{00000000-0005-0000-0000-000057A50000}"/>
    <cellStyle name="Normal 5 2 12 3" xfId="34202" xr:uid="{00000000-0005-0000-0000-000058A50000}"/>
    <cellStyle name="Normal 5 2 12 4" xfId="43927" xr:uid="{00000000-0005-0000-0000-000059A50000}"/>
    <cellStyle name="Normal 5 2 12 5" xfId="14752" xr:uid="{00000000-0005-0000-0000-00005AA50000}"/>
    <cellStyle name="Normal 5 2 13" xfId="19615" xr:uid="{00000000-0005-0000-0000-00005BA50000}"/>
    <cellStyle name="Normal 5 2 14" xfId="29340" xr:uid="{00000000-0005-0000-0000-00005CA50000}"/>
    <cellStyle name="Normal 5 2 15" xfId="39065" xr:uid="{00000000-0005-0000-0000-00005DA50000}"/>
    <cellStyle name="Normal 5 2 16" xfId="9890" xr:uid="{00000000-0005-0000-0000-00005EA50000}"/>
    <cellStyle name="Normal 5 2 2" xfId="282" xr:uid="{00000000-0005-0000-0000-00005FA50000}"/>
    <cellStyle name="Normal 5 2 2 10" xfId="39245" xr:uid="{00000000-0005-0000-0000-000060A50000}"/>
    <cellStyle name="Normal 5 2 2 11" xfId="10070" xr:uid="{00000000-0005-0000-0000-000061A50000}"/>
    <cellStyle name="Normal 5 2 2 2" xfId="1046" xr:uid="{00000000-0005-0000-0000-000062A50000}"/>
    <cellStyle name="Normal 5 2 2 2 2" xfId="2684" xr:uid="{00000000-0005-0000-0000-000063A50000}"/>
    <cellStyle name="Normal 5 2 2 2 2 2" xfId="7546" xr:uid="{00000000-0005-0000-0000-000064A50000}"/>
    <cellStyle name="Normal 5 2 2 2 2 2 2" xfId="26997" xr:uid="{00000000-0005-0000-0000-000065A50000}"/>
    <cellStyle name="Normal 5 2 2 2 2 2 3" xfId="36722" xr:uid="{00000000-0005-0000-0000-000066A50000}"/>
    <cellStyle name="Normal 5 2 2 2 2 2 4" xfId="46447" xr:uid="{00000000-0005-0000-0000-000067A50000}"/>
    <cellStyle name="Normal 5 2 2 2 2 2 5" xfId="17272" xr:uid="{00000000-0005-0000-0000-000068A50000}"/>
    <cellStyle name="Normal 5 2 2 2 2 3" xfId="22135" xr:uid="{00000000-0005-0000-0000-000069A50000}"/>
    <cellStyle name="Normal 5 2 2 2 2 4" xfId="31860" xr:uid="{00000000-0005-0000-0000-00006AA50000}"/>
    <cellStyle name="Normal 5 2 2 2 2 5" xfId="41585" xr:uid="{00000000-0005-0000-0000-00006BA50000}"/>
    <cellStyle name="Normal 5 2 2 2 2 6" xfId="12410" xr:uid="{00000000-0005-0000-0000-00006CA50000}"/>
    <cellStyle name="Normal 5 2 2 2 3" xfId="4304" xr:uid="{00000000-0005-0000-0000-00006DA50000}"/>
    <cellStyle name="Normal 5 2 2 2 3 2" xfId="9166" xr:uid="{00000000-0005-0000-0000-00006EA50000}"/>
    <cellStyle name="Normal 5 2 2 2 3 2 2" xfId="28617" xr:uid="{00000000-0005-0000-0000-00006FA50000}"/>
    <cellStyle name="Normal 5 2 2 2 3 2 3" xfId="38342" xr:uid="{00000000-0005-0000-0000-000070A50000}"/>
    <cellStyle name="Normal 5 2 2 2 3 2 4" xfId="48067" xr:uid="{00000000-0005-0000-0000-000071A50000}"/>
    <cellStyle name="Normal 5 2 2 2 3 2 5" xfId="18892" xr:uid="{00000000-0005-0000-0000-000072A50000}"/>
    <cellStyle name="Normal 5 2 2 2 3 3" xfId="23755" xr:uid="{00000000-0005-0000-0000-000073A50000}"/>
    <cellStyle name="Normal 5 2 2 2 3 4" xfId="33480" xr:uid="{00000000-0005-0000-0000-000074A50000}"/>
    <cellStyle name="Normal 5 2 2 2 3 5" xfId="43205" xr:uid="{00000000-0005-0000-0000-000075A50000}"/>
    <cellStyle name="Normal 5 2 2 2 3 6" xfId="14030" xr:uid="{00000000-0005-0000-0000-000076A50000}"/>
    <cellStyle name="Normal 5 2 2 2 4" xfId="5926" xr:uid="{00000000-0005-0000-0000-000077A50000}"/>
    <cellStyle name="Normal 5 2 2 2 4 2" xfId="25377" xr:uid="{00000000-0005-0000-0000-000078A50000}"/>
    <cellStyle name="Normal 5 2 2 2 4 3" xfId="35102" xr:uid="{00000000-0005-0000-0000-000079A50000}"/>
    <cellStyle name="Normal 5 2 2 2 4 4" xfId="44827" xr:uid="{00000000-0005-0000-0000-00007AA50000}"/>
    <cellStyle name="Normal 5 2 2 2 4 5" xfId="15652" xr:uid="{00000000-0005-0000-0000-00007BA50000}"/>
    <cellStyle name="Normal 5 2 2 2 5" xfId="20515" xr:uid="{00000000-0005-0000-0000-00007CA50000}"/>
    <cellStyle name="Normal 5 2 2 2 6" xfId="30240" xr:uid="{00000000-0005-0000-0000-00007DA50000}"/>
    <cellStyle name="Normal 5 2 2 2 7" xfId="39965" xr:uid="{00000000-0005-0000-0000-00007EA50000}"/>
    <cellStyle name="Normal 5 2 2 2 8" xfId="10790" xr:uid="{00000000-0005-0000-0000-00007FA50000}"/>
    <cellStyle name="Normal 5 2 2 3" xfId="1513" xr:uid="{00000000-0005-0000-0000-000080A50000}"/>
    <cellStyle name="Normal 5 2 2 3 2" xfId="3134" xr:uid="{00000000-0005-0000-0000-000081A50000}"/>
    <cellStyle name="Normal 5 2 2 3 2 2" xfId="7996" xr:uid="{00000000-0005-0000-0000-000082A50000}"/>
    <cellStyle name="Normal 5 2 2 3 2 2 2" xfId="27447" xr:uid="{00000000-0005-0000-0000-000083A50000}"/>
    <cellStyle name="Normal 5 2 2 3 2 2 3" xfId="37172" xr:uid="{00000000-0005-0000-0000-000084A50000}"/>
    <cellStyle name="Normal 5 2 2 3 2 2 4" xfId="46897" xr:uid="{00000000-0005-0000-0000-000085A50000}"/>
    <cellStyle name="Normal 5 2 2 3 2 2 5" xfId="17722" xr:uid="{00000000-0005-0000-0000-000086A50000}"/>
    <cellStyle name="Normal 5 2 2 3 2 3" xfId="22585" xr:uid="{00000000-0005-0000-0000-000087A50000}"/>
    <cellStyle name="Normal 5 2 2 3 2 4" xfId="32310" xr:uid="{00000000-0005-0000-0000-000088A50000}"/>
    <cellStyle name="Normal 5 2 2 3 2 5" xfId="42035" xr:uid="{00000000-0005-0000-0000-000089A50000}"/>
    <cellStyle name="Normal 5 2 2 3 2 6" xfId="12860" xr:uid="{00000000-0005-0000-0000-00008AA50000}"/>
    <cellStyle name="Normal 5 2 2 3 3" xfId="4754" xr:uid="{00000000-0005-0000-0000-00008BA50000}"/>
    <cellStyle name="Normal 5 2 2 3 3 2" xfId="9616" xr:uid="{00000000-0005-0000-0000-00008CA50000}"/>
    <cellStyle name="Normal 5 2 2 3 3 2 2" xfId="29067" xr:uid="{00000000-0005-0000-0000-00008DA50000}"/>
    <cellStyle name="Normal 5 2 2 3 3 2 3" xfId="38792" xr:uid="{00000000-0005-0000-0000-00008EA50000}"/>
    <cellStyle name="Normal 5 2 2 3 3 2 4" xfId="48517" xr:uid="{00000000-0005-0000-0000-00008FA50000}"/>
    <cellStyle name="Normal 5 2 2 3 3 2 5" xfId="19342" xr:uid="{00000000-0005-0000-0000-000090A50000}"/>
    <cellStyle name="Normal 5 2 2 3 3 3" xfId="24205" xr:uid="{00000000-0005-0000-0000-000091A50000}"/>
    <cellStyle name="Normal 5 2 2 3 3 4" xfId="33930" xr:uid="{00000000-0005-0000-0000-000092A50000}"/>
    <cellStyle name="Normal 5 2 2 3 3 5" xfId="43655" xr:uid="{00000000-0005-0000-0000-000093A50000}"/>
    <cellStyle name="Normal 5 2 2 3 3 6" xfId="14480" xr:uid="{00000000-0005-0000-0000-000094A50000}"/>
    <cellStyle name="Normal 5 2 2 3 4" xfId="6376" xr:uid="{00000000-0005-0000-0000-000095A50000}"/>
    <cellStyle name="Normal 5 2 2 3 4 2" xfId="25827" xr:uid="{00000000-0005-0000-0000-000096A50000}"/>
    <cellStyle name="Normal 5 2 2 3 4 3" xfId="35552" xr:uid="{00000000-0005-0000-0000-000097A50000}"/>
    <cellStyle name="Normal 5 2 2 3 4 4" xfId="45277" xr:uid="{00000000-0005-0000-0000-000098A50000}"/>
    <cellStyle name="Normal 5 2 2 3 4 5" xfId="16102" xr:uid="{00000000-0005-0000-0000-000099A50000}"/>
    <cellStyle name="Normal 5 2 2 3 5" xfId="20965" xr:uid="{00000000-0005-0000-0000-00009AA50000}"/>
    <cellStyle name="Normal 5 2 2 3 6" xfId="30690" xr:uid="{00000000-0005-0000-0000-00009BA50000}"/>
    <cellStyle name="Normal 5 2 2 3 7" xfId="40415" xr:uid="{00000000-0005-0000-0000-00009CA50000}"/>
    <cellStyle name="Normal 5 2 2 3 8" xfId="11240" xr:uid="{00000000-0005-0000-0000-00009DA50000}"/>
    <cellStyle name="Normal 5 2 2 4" xfId="684" xr:uid="{00000000-0005-0000-0000-00009EA50000}"/>
    <cellStyle name="Normal 5 2 2 4 2" xfId="2324" xr:uid="{00000000-0005-0000-0000-00009FA50000}"/>
    <cellStyle name="Normal 5 2 2 4 2 2" xfId="7186" xr:uid="{00000000-0005-0000-0000-0000A0A50000}"/>
    <cellStyle name="Normal 5 2 2 4 2 2 2" xfId="26637" xr:uid="{00000000-0005-0000-0000-0000A1A50000}"/>
    <cellStyle name="Normal 5 2 2 4 2 2 3" xfId="36362" xr:uid="{00000000-0005-0000-0000-0000A2A50000}"/>
    <cellStyle name="Normal 5 2 2 4 2 2 4" xfId="46087" xr:uid="{00000000-0005-0000-0000-0000A3A50000}"/>
    <cellStyle name="Normal 5 2 2 4 2 2 5" xfId="16912" xr:uid="{00000000-0005-0000-0000-0000A4A50000}"/>
    <cellStyle name="Normal 5 2 2 4 2 3" xfId="21775" xr:uid="{00000000-0005-0000-0000-0000A5A50000}"/>
    <cellStyle name="Normal 5 2 2 4 2 4" xfId="31500" xr:uid="{00000000-0005-0000-0000-0000A6A50000}"/>
    <cellStyle name="Normal 5 2 2 4 2 5" xfId="41225" xr:uid="{00000000-0005-0000-0000-0000A7A50000}"/>
    <cellStyle name="Normal 5 2 2 4 2 6" xfId="12050" xr:uid="{00000000-0005-0000-0000-0000A8A50000}"/>
    <cellStyle name="Normal 5 2 2 4 3" xfId="3944" xr:uid="{00000000-0005-0000-0000-0000A9A50000}"/>
    <cellStyle name="Normal 5 2 2 4 3 2" xfId="8806" xr:uid="{00000000-0005-0000-0000-0000AAA50000}"/>
    <cellStyle name="Normal 5 2 2 4 3 2 2" xfId="28257" xr:uid="{00000000-0005-0000-0000-0000ABA50000}"/>
    <cellStyle name="Normal 5 2 2 4 3 2 3" xfId="37982" xr:uid="{00000000-0005-0000-0000-0000ACA50000}"/>
    <cellStyle name="Normal 5 2 2 4 3 2 4" xfId="47707" xr:uid="{00000000-0005-0000-0000-0000ADA50000}"/>
    <cellStyle name="Normal 5 2 2 4 3 2 5" xfId="18532" xr:uid="{00000000-0005-0000-0000-0000AEA50000}"/>
    <cellStyle name="Normal 5 2 2 4 3 3" xfId="23395" xr:uid="{00000000-0005-0000-0000-0000AFA50000}"/>
    <cellStyle name="Normal 5 2 2 4 3 4" xfId="33120" xr:uid="{00000000-0005-0000-0000-0000B0A50000}"/>
    <cellStyle name="Normal 5 2 2 4 3 5" xfId="42845" xr:uid="{00000000-0005-0000-0000-0000B1A50000}"/>
    <cellStyle name="Normal 5 2 2 4 3 6" xfId="13670" xr:uid="{00000000-0005-0000-0000-0000B2A50000}"/>
    <cellStyle name="Normal 5 2 2 4 4" xfId="5566" xr:uid="{00000000-0005-0000-0000-0000B3A50000}"/>
    <cellStyle name="Normal 5 2 2 4 4 2" xfId="25017" xr:uid="{00000000-0005-0000-0000-0000B4A50000}"/>
    <cellStyle name="Normal 5 2 2 4 4 3" xfId="34742" xr:uid="{00000000-0005-0000-0000-0000B5A50000}"/>
    <cellStyle name="Normal 5 2 2 4 4 4" xfId="44467" xr:uid="{00000000-0005-0000-0000-0000B6A50000}"/>
    <cellStyle name="Normal 5 2 2 4 4 5" xfId="15292" xr:uid="{00000000-0005-0000-0000-0000B7A50000}"/>
    <cellStyle name="Normal 5 2 2 4 5" xfId="20155" xr:uid="{00000000-0005-0000-0000-0000B8A50000}"/>
    <cellStyle name="Normal 5 2 2 4 6" xfId="29880" xr:uid="{00000000-0005-0000-0000-0000B9A50000}"/>
    <cellStyle name="Normal 5 2 2 4 7" xfId="39605" xr:uid="{00000000-0005-0000-0000-0000BAA50000}"/>
    <cellStyle name="Normal 5 2 2 4 8" xfId="10430" xr:uid="{00000000-0005-0000-0000-0000BBA50000}"/>
    <cellStyle name="Normal 5 2 2 5" xfId="1964" xr:uid="{00000000-0005-0000-0000-0000BCA50000}"/>
    <cellStyle name="Normal 5 2 2 5 2" xfId="6826" xr:uid="{00000000-0005-0000-0000-0000BDA50000}"/>
    <cellStyle name="Normal 5 2 2 5 2 2" xfId="26277" xr:uid="{00000000-0005-0000-0000-0000BEA50000}"/>
    <cellStyle name="Normal 5 2 2 5 2 3" xfId="36002" xr:uid="{00000000-0005-0000-0000-0000BFA50000}"/>
    <cellStyle name="Normal 5 2 2 5 2 4" xfId="45727" xr:uid="{00000000-0005-0000-0000-0000C0A50000}"/>
    <cellStyle name="Normal 5 2 2 5 2 5" xfId="16552" xr:uid="{00000000-0005-0000-0000-0000C1A50000}"/>
    <cellStyle name="Normal 5 2 2 5 3" xfId="21415" xr:uid="{00000000-0005-0000-0000-0000C2A50000}"/>
    <cellStyle name="Normal 5 2 2 5 4" xfId="31140" xr:uid="{00000000-0005-0000-0000-0000C3A50000}"/>
    <cellStyle name="Normal 5 2 2 5 5" xfId="40865" xr:uid="{00000000-0005-0000-0000-0000C4A50000}"/>
    <cellStyle name="Normal 5 2 2 5 6" xfId="11690" xr:uid="{00000000-0005-0000-0000-0000C5A50000}"/>
    <cellStyle name="Normal 5 2 2 6" xfId="3584" xr:uid="{00000000-0005-0000-0000-0000C6A50000}"/>
    <cellStyle name="Normal 5 2 2 6 2" xfId="8446" xr:uid="{00000000-0005-0000-0000-0000C7A50000}"/>
    <cellStyle name="Normal 5 2 2 6 2 2" xfId="27897" xr:uid="{00000000-0005-0000-0000-0000C8A50000}"/>
    <cellStyle name="Normal 5 2 2 6 2 3" xfId="37622" xr:uid="{00000000-0005-0000-0000-0000C9A50000}"/>
    <cellStyle name="Normal 5 2 2 6 2 4" xfId="47347" xr:uid="{00000000-0005-0000-0000-0000CAA50000}"/>
    <cellStyle name="Normal 5 2 2 6 2 5" xfId="18172" xr:uid="{00000000-0005-0000-0000-0000CBA50000}"/>
    <cellStyle name="Normal 5 2 2 6 3" xfId="23035" xr:uid="{00000000-0005-0000-0000-0000CCA50000}"/>
    <cellStyle name="Normal 5 2 2 6 4" xfId="32760" xr:uid="{00000000-0005-0000-0000-0000CDA50000}"/>
    <cellStyle name="Normal 5 2 2 6 5" xfId="42485" xr:uid="{00000000-0005-0000-0000-0000CEA50000}"/>
    <cellStyle name="Normal 5 2 2 6 6" xfId="13310" xr:uid="{00000000-0005-0000-0000-0000CFA50000}"/>
    <cellStyle name="Normal 5 2 2 7" xfId="5206" xr:uid="{00000000-0005-0000-0000-0000D0A50000}"/>
    <cellStyle name="Normal 5 2 2 7 2" xfId="24657" xr:uid="{00000000-0005-0000-0000-0000D1A50000}"/>
    <cellStyle name="Normal 5 2 2 7 3" xfId="34382" xr:uid="{00000000-0005-0000-0000-0000D2A50000}"/>
    <cellStyle name="Normal 5 2 2 7 4" xfId="44107" xr:uid="{00000000-0005-0000-0000-0000D3A50000}"/>
    <cellStyle name="Normal 5 2 2 7 5" xfId="14932" xr:uid="{00000000-0005-0000-0000-0000D4A50000}"/>
    <cellStyle name="Normal 5 2 2 8" xfId="19795" xr:uid="{00000000-0005-0000-0000-0000D5A50000}"/>
    <cellStyle name="Normal 5 2 2 9" xfId="29520" xr:uid="{00000000-0005-0000-0000-0000D6A50000}"/>
    <cellStyle name="Normal 5 2 3" xfId="373" xr:uid="{00000000-0005-0000-0000-0000D7A50000}"/>
    <cellStyle name="Normal 5 2 3 10" xfId="39335" xr:uid="{00000000-0005-0000-0000-0000D8A50000}"/>
    <cellStyle name="Normal 5 2 3 11" xfId="10160" xr:uid="{00000000-0005-0000-0000-0000D9A50000}"/>
    <cellStyle name="Normal 5 2 3 2" xfId="1136" xr:uid="{00000000-0005-0000-0000-0000DAA50000}"/>
    <cellStyle name="Normal 5 2 3 2 2" xfId="2774" xr:uid="{00000000-0005-0000-0000-0000DBA50000}"/>
    <cellStyle name="Normal 5 2 3 2 2 2" xfId="7636" xr:uid="{00000000-0005-0000-0000-0000DCA50000}"/>
    <cellStyle name="Normal 5 2 3 2 2 2 2" xfId="27087" xr:uid="{00000000-0005-0000-0000-0000DDA50000}"/>
    <cellStyle name="Normal 5 2 3 2 2 2 3" xfId="36812" xr:uid="{00000000-0005-0000-0000-0000DEA50000}"/>
    <cellStyle name="Normal 5 2 3 2 2 2 4" xfId="46537" xr:uid="{00000000-0005-0000-0000-0000DFA50000}"/>
    <cellStyle name="Normal 5 2 3 2 2 2 5" xfId="17362" xr:uid="{00000000-0005-0000-0000-0000E0A50000}"/>
    <cellStyle name="Normal 5 2 3 2 2 3" xfId="22225" xr:uid="{00000000-0005-0000-0000-0000E1A50000}"/>
    <cellStyle name="Normal 5 2 3 2 2 4" xfId="31950" xr:uid="{00000000-0005-0000-0000-0000E2A50000}"/>
    <cellStyle name="Normal 5 2 3 2 2 5" xfId="41675" xr:uid="{00000000-0005-0000-0000-0000E3A50000}"/>
    <cellStyle name="Normal 5 2 3 2 2 6" xfId="12500" xr:uid="{00000000-0005-0000-0000-0000E4A50000}"/>
    <cellStyle name="Normal 5 2 3 2 3" xfId="4394" xr:uid="{00000000-0005-0000-0000-0000E5A50000}"/>
    <cellStyle name="Normal 5 2 3 2 3 2" xfId="9256" xr:uid="{00000000-0005-0000-0000-0000E6A50000}"/>
    <cellStyle name="Normal 5 2 3 2 3 2 2" xfId="28707" xr:uid="{00000000-0005-0000-0000-0000E7A50000}"/>
    <cellStyle name="Normal 5 2 3 2 3 2 3" xfId="38432" xr:uid="{00000000-0005-0000-0000-0000E8A50000}"/>
    <cellStyle name="Normal 5 2 3 2 3 2 4" xfId="48157" xr:uid="{00000000-0005-0000-0000-0000E9A50000}"/>
    <cellStyle name="Normal 5 2 3 2 3 2 5" xfId="18982" xr:uid="{00000000-0005-0000-0000-0000EAA50000}"/>
    <cellStyle name="Normal 5 2 3 2 3 3" xfId="23845" xr:uid="{00000000-0005-0000-0000-0000EBA50000}"/>
    <cellStyle name="Normal 5 2 3 2 3 4" xfId="33570" xr:uid="{00000000-0005-0000-0000-0000ECA50000}"/>
    <cellStyle name="Normal 5 2 3 2 3 5" xfId="43295" xr:uid="{00000000-0005-0000-0000-0000EDA50000}"/>
    <cellStyle name="Normal 5 2 3 2 3 6" xfId="14120" xr:uid="{00000000-0005-0000-0000-0000EEA50000}"/>
    <cellStyle name="Normal 5 2 3 2 4" xfId="6016" xr:uid="{00000000-0005-0000-0000-0000EFA50000}"/>
    <cellStyle name="Normal 5 2 3 2 4 2" xfId="25467" xr:uid="{00000000-0005-0000-0000-0000F0A50000}"/>
    <cellStyle name="Normal 5 2 3 2 4 3" xfId="35192" xr:uid="{00000000-0005-0000-0000-0000F1A50000}"/>
    <cellStyle name="Normal 5 2 3 2 4 4" xfId="44917" xr:uid="{00000000-0005-0000-0000-0000F2A50000}"/>
    <cellStyle name="Normal 5 2 3 2 4 5" xfId="15742" xr:uid="{00000000-0005-0000-0000-0000F3A50000}"/>
    <cellStyle name="Normal 5 2 3 2 5" xfId="20605" xr:uid="{00000000-0005-0000-0000-0000F4A50000}"/>
    <cellStyle name="Normal 5 2 3 2 6" xfId="30330" xr:uid="{00000000-0005-0000-0000-0000F5A50000}"/>
    <cellStyle name="Normal 5 2 3 2 7" xfId="40055" xr:uid="{00000000-0005-0000-0000-0000F6A50000}"/>
    <cellStyle name="Normal 5 2 3 2 8" xfId="10880" xr:uid="{00000000-0005-0000-0000-0000F7A50000}"/>
    <cellStyle name="Normal 5 2 3 3" xfId="1603" xr:uid="{00000000-0005-0000-0000-0000F8A50000}"/>
    <cellStyle name="Normal 5 2 3 3 2" xfId="3224" xr:uid="{00000000-0005-0000-0000-0000F9A50000}"/>
    <cellStyle name="Normal 5 2 3 3 2 2" xfId="8086" xr:uid="{00000000-0005-0000-0000-0000FAA50000}"/>
    <cellStyle name="Normal 5 2 3 3 2 2 2" xfId="27537" xr:uid="{00000000-0005-0000-0000-0000FBA50000}"/>
    <cellStyle name="Normal 5 2 3 3 2 2 3" xfId="37262" xr:uid="{00000000-0005-0000-0000-0000FCA50000}"/>
    <cellStyle name="Normal 5 2 3 3 2 2 4" xfId="46987" xr:uid="{00000000-0005-0000-0000-0000FDA50000}"/>
    <cellStyle name="Normal 5 2 3 3 2 2 5" xfId="17812" xr:uid="{00000000-0005-0000-0000-0000FEA50000}"/>
    <cellStyle name="Normal 5 2 3 3 2 3" xfId="22675" xr:uid="{00000000-0005-0000-0000-0000FFA50000}"/>
    <cellStyle name="Normal 5 2 3 3 2 4" xfId="32400" xr:uid="{00000000-0005-0000-0000-000000A60000}"/>
    <cellStyle name="Normal 5 2 3 3 2 5" xfId="42125" xr:uid="{00000000-0005-0000-0000-000001A60000}"/>
    <cellStyle name="Normal 5 2 3 3 2 6" xfId="12950" xr:uid="{00000000-0005-0000-0000-000002A60000}"/>
    <cellStyle name="Normal 5 2 3 3 3" xfId="4844" xr:uid="{00000000-0005-0000-0000-000003A60000}"/>
    <cellStyle name="Normal 5 2 3 3 3 2" xfId="9706" xr:uid="{00000000-0005-0000-0000-000004A60000}"/>
    <cellStyle name="Normal 5 2 3 3 3 2 2" xfId="29157" xr:uid="{00000000-0005-0000-0000-000005A60000}"/>
    <cellStyle name="Normal 5 2 3 3 3 2 3" xfId="38882" xr:uid="{00000000-0005-0000-0000-000006A60000}"/>
    <cellStyle name="Normal 5 2 3 3 3 2 4" xfId="48607" xr:uid="{00000000-0005-0000-0000-000007A60000}"/>
    <cellStyle name="Normal 5 2 3 3 3 2 5" xfId="19432" xr:uid="{00000000-0005-0000-0000-000008A60000}"/>
    <cellStyle name="Normal 5 2 3 3 3 3" xfId="24295" xr:uid="{00000000-0005-0000-0000-000009A60000}"/>
    <cellStyle name="Normal 5 2 3 3 3 4" xfId="34020" xr:uid="{00000000-0005-0000-0000-00000AA60000}"/>
    <cellStyle name="Normal 5 2 3 3 3 5" xfId="43745" xr:uid="{00000000-0005-0000-0000-00000BA60000}"/>
    <cellStyle name="Normal 5 2 3 3 3 6" xfId="14570" xr:uid="{00000000-0005-0000-0000-00000CA60000}"/>
    <cellStyle name="Normal 5 2 3 3 4" xfId="6466" xr:uid="{00000000-0005-0000-0000-00000DA60000}"/>
    <cellStyle name="Normal 5 2 3 3 4 2" xfId="25917" xr:uid="{00000000-0005-0000-0000-00000EA60000}"/>
    <cellStyle name="Normal 5 2 3 3 4 3" xfId="35642" xr:uid="{00000000-0005-0000-0000-00000FA60000}"/>
    <cellStyle name="Normal 5 2 3 3 4 4" xfId="45367" xr:uid="{00000000-0005-0000-0000-000010A60000}"/>
    <cellStyle name="Normal 5 2 3 3 4 5" xfId="16192" xr:uid="{00000000-0005-0000-0000-000011A60000}"/>
    <cellStyle name="Normal 5 2 3 3 5" xfId="21055" xr:uid="{00000000-0005-0000-0000-000012A60000}"/>
    <cellStyle name="Normal 5 2 3 3 6" xfId="30780" xr:uid="{00000000-0005-0000-0000-000013A60000}"/>
    <cellStyle name="Normal 5 2 3 3 7" xfId="40505" xr:uid="{00000000-0005-0000-0000-000014A60000}"/>
    <cellStyle name="Normal 5 2 3 3 8" xfId="11330" xr:uid="{00000000-0005-0000-0000-000015A60000}"/>
    <cellStyle name="Normal 5 2 3 4" xfId="774" xr:uid="{00000000-0005-0000-0000-000016A60000}"/>
    <cellStyle name="Normal 5 2 3 4 2" xfId="2414" xr:uid="{00000000-0005-0000-0000-000017A60000}"/>
    <cellStyle name="Normal 5 2 3 4 2 2" xfId="7276" xr:uid="{00000000-0005-0000-0000-000018A60000}"/>
    <cellStyle name="Normal 5 2 3 4 2 2 2" xfId="26727" xr:uid="{00000000-0005-0000-0000-000019A60000}"/>
    <cellStyle name="Normal 5 2 3 4 2 2 3" xfId="36452" xr:uid="{00000000-0005-0000-0000-00001AA60000}"/>
    <cellStyle name="Normal 5 2 3 4 2 2 4" xfId="46177" xr:uid="{00000000-0005-0000-0000-00001BA60000}"/>
    <cellStyle name="Normal 5 2 3 4 2 2 5" xfId="17002" xr:uid="{00000000-0005-0000-0000-00001CA60000}"/>
    <cellStyle name="Normal 5 2 3 4 2 3" xfId="21865" xr:uid="{00000000-0005-0000-0000-00001DA60000}"/>
    <cellStyle name="Normal 5 2 3 4 2 4" xfId="31590" xr:uid="{00000000-0005-0000-0000-00001EA60000}"/>
    <cellStyle name="Normal 5 2 3 4 2 5" xfId="41315" xr:uid="{00000000-0005-0000-0000-00001FA60000}"/>
    <cellStyle name="Normal 5 2 3 4 2 6" xfId="12140" xr:uid="{00000000-0005-0000-0000-000020A60000}"/>
    <cellStyle name="Normal 5 2 3 4 3" xfId="4034" xr:uid="{00000000-0005-0000-0000-000021A60000}"/>
    <cellStyle name="Normal 5 2 3 4 3 2" xfId="8896" xr:uid="{00000000-0005-0000-0000-000022A60000}"/>
    <cellStyle name="Normal 5 2 3 4 3 2 2" xfId="28347" xr:uid="{00000000-0005-0000-0000-000023A60000}"/>
    <cellStyle name="Normal 5 2 3 4 3 2 3" xfId="38072" xr:uid="{00000000-0005-0000-0000-000024A60000}"/>
    <cellStyle name="Normal 5 2 3 4 3 2 4" xfId="47797" xr:uid="{00000000-0005-0000-0000-000025A60000}"/>
    <cellStyle name="Normal 5 2 3 4 3 2 5" xfId="18622" xr:uid="{00000000-0005-0000-0000-000026A60000}"/>
    <cellStyle name="Normal 5 2 3 4 3 3" xfId="23485" xr:uid="{00000000-0005-0000-0000-000027A60000}"/>
    <cellStyle name="Normal 5 2 3 4 3 4" xfId="33210" xr:uid="{00000000-0005-0000-0000-000028A60000}"/>
    <cellStyle name="Normal 5 2 3 4 3 5" xfId="42935" xr:uid="{00000000-0005-0000-0000-000029A60000}"/>
    <cellStyle name="Normal 5 2 3 4 3 6" xfId="13760" xr:uid="{00000000-0005-0000-0000-00002AA60000}"/>
    <cellStyle name="Normal 5 2 3 4 4" xfId="5656" xr:uid="{00000000-0005-0000-0000-00002BA60000}"/>
    <cellStyle name="Normal 5 2 3 4 4 2" xfId="25107" xr:uid="{00000000-0005-0000-0000-00002CA60000}"/>
    <cellStyle name="Normal 5 2 3 4 4 3" xfId="34832" xr:uid="{00000000-0005-0000-0000-00002DA60000}"/>
    <cellStyle name="Normal 5 2 3 4 4 4" xfId="44557" xr:uid="{00000000-0005-0000-0000-00002EA60000}"/>
    <cellStyle name="Normal 5 2 3 4 4 5" xfId="15382" xr:uid="{00000000-0005-0000-0000-00002FA60000}"/>
    <cellStyle name="Normal 5 2 3 4 5" xfId="20245" xr:uid="{00000000-0005-0000-0000-000030A60000}"/>
    <cellStyle name="Normal 5 2 3 4 6" xfId="29970" xr:uid="{00000000-0005-0000-0000-000031A60000}"/>
    <cellStyle name="Normal 5 2 3 4 7" xfId="39695" xr:uid="{00000000-0005-0000-0000-000032A60000}"/>
    <cellStyle name="Normal 5 2 3 4 8" xfId="10520" xr:uid="{00000000-0005-0000-0000-000033A60000}"/>
    <cellStyle name="Normal 5 2 3 5" xfId="2054" xr:uid="{00000000-0005-0000-0000-000034A60000}"/>
    <cellStyle name="Normal 5 2 3 5 2" xfId="6916" xr:uid="{00000000-0005-0000-0000-000035A60000}"/>
    <cellStyle name="Normal 5 2 3 5 2 2" xfId="26367" xr:uid="{00000000-0005-0000-0000-000036A60000}"/>
    <cellStyle name="Normal 5 2 3 5 2 3" xfId="36092" xr:uid="{00000000-0005-0000-0000-000037A60000}"/>
    <cellStyle name="Normal 5 2 3 5 2 4" xfId="45817" xr:uid="{00000000-0005-0000-0000-000038A60000}"/>
    <cellStyle name="Normal 5 2 3 5 2 5" xfId="16642" xr:uid="{00000000-0005-0000-0000-000039A60000}"/>
    <cellStyle name="Normal 5 2 3 5 3" xfId="21505" xr:uid="{00000000-0005-0000-0000-00003AA60000}"/>
    <cellStyle name="Normal 5 2 3 5 4" xfId="31230" xr:uid="{00000000-0005-0000-0000-00003BA60000}"/>
    <cellStyle name="Normal 5 2 3 5 5" xfId="40955" xr:uid="{00000000-0005-0000-0000-00003CA60000}"/>
    <cellStyle name="Normal 5 2 3 5 6" xfId="11780" xr:uid="{00000000-0005-0000-0000-00003DA60000}"/>
    <cellStyle name="Normal 5 2 3 6" xfId="3674" xr:uid="{00000000-0005-0000-0000-00003EA60000}"/>
    <cellStyle name="Normal 5 2 3 6 2" xfId="8536" xr:uid="{00000000-0005-0000-0000-00003FA60000}"/>
    <cellStyle name="Normal 5 2 3 6 2 2" xfId="27987" xr:uid="{00000000-0005-0000-0000-000040A60000}"/>
    <cellStyle name="Normal 5 2 3 6 2 3" xfId="37712" xr:uid="{00000000-0005-0000-0000-000041A60000}"/>
    <cellStyle name="Normal 5 2 3 6 2 4" xfId="47437" xr:uid="{00000000-0005-0000-0000-000042A60000}"/>
    <cellStyle name="Normal 5 2 3 6 2 5" xfId="18262" xr:uid="{00000000-0005-0000-0000-000043A60000}"/>
    <cellStyle name="Normal 5 2 3 6 3" xfId="23125" xr:uid="{00000000-0005-0000-0000-000044A60000}"/>
    <cellStyle name="Normal 5 2 3 6 4" xfId="32850" xr:uid="{00000000-0005-0000-0000-000045A60000}"/>
    <cellStyle name="Normal 5 2 3 6 5" xfId="42575" xr:uid="{00000000-0005-0000-0000-000046A60000}"/>
    <cellStyle name="Normal 5 2 3 6 6" xfId="13400" xr:uid="{00000000-0005-0000-0000-000047A60000}"/>
    <cellStyle name="Normal 5 2 3 7" xfId="5296" xr:uid="{00000000-0005-0000-0000-000048A60000}"/>
    <cellStyle name="Normal 5 2 3 7 2" xfId="24747" xr:uid="{00000000-0005-0000-0000-000049A60000}"/>
    <cellStyle name="Normal 5 2 3 7 3" xfId="34472" xr:uid="{00000000-0005-0000-0000-00004AA60000}"/>
    <cellStyle name="Normal 5 2 3 7 4" xfId="44197" xr:uid="{00000000-0005-0000-0000-00004BA60000}"/>
    <cellStyle name="Normal 5 2 3 7 5" xfId="15022" xr:uid="{00000000-0005-0000-0000-00004CA60000}"/>
    <cellStyle name="Normal 5 2 3 8" xfId="19885" xr:uid="{00000000-0005-0000-0000-00004DA60000}"/>
    <cellStyle name="Normal 5 2 3 9" xfId="29610" xr:uid="{00000000-0005-0000-0000-00004EA60000}"/>
    <cellStyle name="Normal 5 2 4" xfId="191" xr:uid="{00000000-0005-0000-0000-00004FA60000}"/>
    <cellStyle name="Normal 5 2 4 10" xfId="39155" xr:uid="{00000000-0005-0000-0000-000050A60000}"/>
    <cellStyle name="Normal 5 2 4 11" xfId="9980" xr:uid="{00000000-0005-0000-0000-000051A60000}"/>
    <cellStyle name="Normal 5 2 4 2" xfId="955" xr:uid="{00000000-0005-0000-0000-000052A60000}"/>
    <cellStyle name="Normal 5 2 4 2 2" xfId="2594" xr:uid="{00000000-0005-0000-0000-000053A60000}"/>
    <cellStyle name="Normal 5 2 4 2 2 2" xfId="7456" xr:uid="{00000000-0005-0000-0000-000054A60000}"/>
    <cellStyle name="Normal 5 2 4 2 2 2 2" xfId="26907" xr:uid="{00000000-0005-0000-0000-000055A60000}"/>
    <cellStyle name="Normal 5 2 4 2 2 2 3" xfId="36632" xr:uid="{00000000-0005-0000-0000-000056A60000}"/>
    <cellStyle name="Normal 5 2 4 2 2 2 4" xfId="46357" xr:uid="{00000000-0005-0000-0000-000057A60000}"/>
    <cellStyle name="Normal 5 2 4 2 2 2 5" xfId="17182" xr:uid="{00000000-0005-0000-0000-000058A60000}"/>
    <cellStyle name="Normal 5 2 4 2 2 3" xfId="22045" xr:uid="{00000000-0005-0000-0000-000059A60000}"/>
    <cellStyle name="Normal 5 2 4 2 2 4" xfId="31770" xr:uid="{00000000-0005-0000-0000-00005AA60000}"/>
    <cellStyle name="Normal 5 2 4 2 2 5" xfId="41495" xr:uid="{00000000-0005-0000-0000-00005BA60000}"/>
    <cellStyle name="Normal 5 2 4 2 2 6" xfId="12320" xr:uid="{00000000-0005-0000-0000-00005CA60000}"/>
    <cellStyle name="Normal 5 2 4 2 3" xfId="4214" xr:uid="{00000000-0005-0000-0000-00005DA60000}"/>
    <cellStyle name="Normal 5 2 4 2 3 2" xfId="9076" xr:uid="{00000000-0005-0000-0000-00005EA60000}"/>
    <cellStyle name="Normal 5 2 4 2 3 2 2" xfId="28527" xr:uid="{00000000-0005-0000-0000-00005FA60000}"/>
    <cellStyle name="Normal 5 2 4 2 3 2 3" xfId="38252" xr:uid="{00000000-0005-0000-0000-000060A60000}"/>
    <cellStyle name="Normal 5 2 4 2 3 2 4" xfId="47977" xr:uid="{00000000-0005-0000-0000-000061A60000}"/>
    <cellStyle name="Normal 5 2 4 2 3 2 5" xfId="18802" xr:uid="{00000000-0005-0000-0000-000062A60000}"/>
    <cellStyle name="Normal 5 2 4 2 3 3" xfId="23665" xr:uid="{00000000-0005-0000-0000-000063A60000}"/>
    <cellStyle name="Normal 5 2 4 2 3 4" xfId="33390" xr:uid="{00000000-0005-0000-0000-000064A60000}"/>
    <cellStyle name="Normal 5 2 4 2 3 5" xfId="43115" xr:uid="{00000000-0005-0000-0000-000065A60000}"/>
    <cellStyle name="Normal 5 2 4 2 3 6" xfId="13940" xr:uid="{00000000-0005-0000-0000-000066A60000}"/>
    <cellStyle name="Normal 5 2 4 2 4" xfId="5836" xr:uid="{00000000-0005-0000-0000-000067A60000}"/>
    <cellStyle name="Normal 5 2 4 2 4 2" xfId="25287" xr:uid="{00000000-0005-0000-0000-000068A60000}"/>
    <cellStyle name="Normal 5 2 4 2 4 3" xfId="35012" xr:uid="{00000000-0005-0000-0000-000069A60000}"/>
    <cellStyle name="Normal 5 2 4 2 4 4" xfId="44737" xr:uid="{00000000-0005-0000-0000-00006AA60000}"/>
    <cellStyle name="Normal 5 2 4 2 4 5" xfId="15562" xr:uid="{00000000-0005-0000-0000-00006BA60000}"/>
    <cellStyle name="Normal 5 2 4 2 5" xfId="20425" xr:uid="{00000000-0005-0000-0000-00006CA60000}"/>
    <cellStyle name="Normal 5 2 4 2 6" xfId="30150" xr:uid="{00000000-0005-0000-0000-00006DA60000}"/>
    <cellStyle name="Normal 5 2 4 2 7" xfId="39875" xr:uid="{00000000-0005-0000-0000-00006EA60000}"/>
    <cellStyle name="Normal 5 2 4 2 8" xfId="10700" xr:uid="{00000000-0005-0000-0000-00006FA60000}"/>
    <cellStyle name="Normal 5 2 4 3" xfId="1423" xr:uid="{00000000-0005-0000-0000-000070A60000}"/>
    <cellStyle name="Normal 5 2 4 3 2" xfId="3044" xr:uid="{00000000-0005-0000-0000-000071A60000}"/>
    <cellStyle name="Normal 5 2 4 3 2 2" xfId="7906" xr:uid="{00000000-0005-0000-0000-000072A60000}"/>
    <cellStyle name="Normal 5 2 4 3 2 2 2" xfId="27357" xr:uid="{00000000-0005-0000-0000-000073A60000}"/>
    <cellStyle name="Normal 5 2 4 3 2 2 3" xfId="37082" xr:uid="{00000000-0005-0000-0000-000074A60000}"/>
    <cellStyle name="Normal 5 2 4 3 2 2 4" xfId="46807" xr:uid="{00000000-0005-0000-0000-000075A60000}"/>
    <cellStyle name="Normal 5 2 4 3 2 2 5" xfId="17632" xr:uid="{00000000-0005-0000-0000-000076A60000}"/>
    <cellStyle name="Normal 5 2 4 3 2 3" xfId="22495" xr:uid="{00000000-0005-0000-0000-000077A60000}"/>
    <cellStyle name="Normal 5 2 4 3 2 4" xfId="32220" xr:uid="{00000000-0005-0000-0000-000078A60000}"/>
    <cellStyle name="Normal 5 2 4 3 2 5" xfId="41945" xr:uid="{00000000-0005-0000-0000-000079A60000}"/>
    <cellStyle name="Normal 5 2 4 3 2 6" xfId="12770" xr:uid="{00000000-0005-0000-0000-00007AA60000}"/>
    <cellStyle name="Normal 5 2 4 3 3" xfId="4664" xr:uid="{00000000-0005-0000-0000-00007BA60000}"/>
    <cellStyle name="Normal 5 2 4 3 3 2" xfId="9526" xr:uid="{00000000-0005-0000-0000-00007CA60000}"/>
    <cellStyle name="Normal 5 2 4 3 3 2 2" xfId="28977" xr:uid="{00000000-0005-0000-0000-00007DA60000}"/>
    <cellStyle name="Normal 5 2 4 3 3 2 3" xfId="38702" xr:uid="{00000000-0005-0000-0000-00007EA60000}"/>
    <cellStyle name="Normal 5 2 4 3 3 2 4" xfId="48427" xr:uid="{00000000-0005-0000-0000-00007FA60000}"/>
    <cellStyle name="Normal 5 2 4 3 3 2 5" xfId="19252" xr:uid="{00000000-0005-0000-0000-000080A60000}"/>
    <cellStyle name="Normal 5 2 4 3 3 3" xfId="24115" xr:uid="{00000000-0005-0000-0000-000081A60000}"/>
    <cellStyle name="Normal 5 2 4 3 3 4" xfId="33840" xr:uid="{00000000-0005-0000-0000-000082A60000}"/>
    <cellStyle name="Normal 5 2 4 3 3 5" xfId="43565" xr:uid="{00000000-0005-0000-0000-000083A60000}"/>
    <cellStyle name="Normal 5 2 4 3 3 6" xfId="14390" xr:uid="{00000000-0005-0000-0000-000084A60000}"/>
    <cellStyle name="Normal 5 2 4 3 4" xfId="6286" xr:uid="{00000000-0005-0000-0000-000085A60000}"/>
    <cellStyle name="Normal 5 2 4 3 4 2" xfId="25737" xr:uid="{00000000-0005-0000-0000-000086A60000}"/>
    <cellStyle name="Normal 5 2 4 3 4 3" xfId="35462" xr:uid="{00000000-0005-0000-0000-000087A60000}"/>
    <cellStyle name="Normal 5 2 4 3 4 4" xfId="45187" xr:uid="{00000000-0005-0000-0000-000088A60000}"/>
    <cellStyle name="Normal 5 2 4 3 4 5" xfId="16012" xr:uid="{00000000-0005-0000-0000-000089A60000}"/>
    <cellStyle name="Normal 5 2 4 3 5" xfId="20875" xr:uid="{00000000-0005-0000-0000-00008AA60000}"/>
    <cellStyle name="Normal 5 2 4 3 6" xfId="30600" xr:uid="{00000000-0005-0000-0000-00008BA60000}"/>
    <cellStyle name="Normal 5 2 4 3 7" xfId="40325" xr:uid="{00000000-0005-0000-0000-00008CA60000}"/>
    <cellStyle name="Normal 5 2 4 3 8" xfId="11150" xr:uid="{00000000-0005-0000-0000-00008DA60000}"/>
    <cellStyle name="Normal 5 2 4 4" xfId="594" xr:uid="{00000000-0005-0000-0000-00008EA60000}"/>
    <cellStyle name="Normal 5 2 4 4 2" xfId="2234" xr:uid="{00000000-0005-0000-0000-00008FA60000}"/>
    <cellStyle name="Normal 5 2 4 4 2 2" xfId="7096" xr:uid="{00000000-0005-0000-0000-000090A60000}"/>
    <cellStyle name="Normal 5 2 4 4 2 2 2" xfId="26547" xr:uid="{00000000-0005-0000-0000-000091A60000}"/>
    <cellStyle name="Normal 5 2 4 4 2 2 3" xfId="36272" xr:uid="{00000000-0005-0000-0000-000092A60000}"/>
    <cellStyle name="Normal 5 2 4 4 2 2 4" xfId="45997" xr:uid="{00000000-0005-0000-0000-000093A60000}"/>
    <cellStyle name="Normal 5 2 4 4 2 2 5" xfId="16822" xr:uid="{00000000-0005-0000-0000-000094A60000}"/>
    <cellStyle name="Normal 5 2 4 4 2 3" xfId="21685" xr:uid="{00000000-0005-0000-0000-000095A60000}"/>
    <cellStyle name="Normal 5 2 4 4 2 4" xfId="31410" xr:uid="{00000000-0005-0000-0000-000096A60000}"/>
    <cellStyle name="Normal 5 2 4 4 2 5" xfId="41135" xr:uid="{00000000-0005-0000-0000-000097A60000}"/>
    <cellStyle name="Normal 5 2 4 4 2 6" xfId="11960" xr:uid="{00000000-0005-0000-0000-000098A60000}"/>
    <cellStyle name="Normal 5 2 4 4 3" xfId="3854" xr:uid="{00000000-0005-0000-0000-000099A60000}"/>
    <cellStyle name="Normal 5 2 4 4 3 2" xfId="8716" xr:uid="{00000000-0005-0000-0000-00009AA60000}"/>
    <cellStyle name="Normal 5 2 4 4 3 2 2" xfId="28167" xr:uid="{00000000-0005-0000-0000-00009BA60000}"/>
    <cellStyle name="Normal 5 2 4 4 3 2 3" xfId="37892" xr:uid="{00000000-0005-0000-0000-00009CA60000}"/>
    <cellStyle name="Normal 5 2 4 4 3 2 4" xfId="47617" xr:uid="{00000000-0005-0000-0000-00009DA60000}"/>
    <cellStyle name="Normal 5 2 4 4 3 2 5" xfId="18442" xr:uid="{00000000-0005-0000-0000-00009EA60000}"/>
    <cellStyle name="Normal 5 2 4 4 3 3" xfId="23305" xr:uid="{00000000-0005-0000-0000-00009FA60000}"/>
    <cellStyle name="Normal 5 2 4 4 3 4" xfId="33030" xr:uid="{00000000-0005-0000-0000-0000A0A60000}"/>
    <cellStyle name="Normal 5 2 4 4 3 5" xfId="42755" xr:uid="{00000000-0005-0000-0000-0000A1A60000}"/>
    <cellStyle name="Normal 5 2 4 4 3 6" xfId="13580" xr:uid="{00000000-0005-0000-0000-0000A2A60000}"/>
    <cellStyle name="Normal 5 2 4 4 4" xfId="5476" xr:uid="{00000000-0005-0000-0000-0000A3A60000}"/>
    <cellStyle name="Normal 5 2 4 4 4 2" xfId="24927" xr:uid="{00000000-0005-0000-0000-0000A4A60000}"/>
    <cellStyle name="Normal 5 2 4 4 4 3" xfId="34652" xr:uid="{00000000-0005-0000-0000-0000A5A60000}"/>
    <cellStyle name="Normal 5 2 4 4 4 4" xfId="44377" xr:uid="{00000000-0005-0000-0000-0000A6A60000}"/>
    <cellStyle name="Normal 5 2 4 4 4 5" xfId="15202" xr:uid="{00000000-0005-0000-0000-0000A7A60000}"/>
    <cellStyle name="Normal 5 2 4 4 5" xfId="20065" xr:uid="{00000000-0005-0000-0000-0000A8A60000}"/>
    <cellStyle name="Normal 5 2 4 4 6" xfId="29790" xr:uid="{00000000-0005-0000-0000-0000A9A60000}"/>
    <cellStyle name="Normal 5 2 4 4 7" xfId="39515" xr:uid="{00000000-0005-0000-0000-0000AAA60000}"/>
    <cellStyle name="Normal 5 2 4 4 8" xfId="10340" xr:uid="{00000000-0005-0000-0000-0000ABA60000}"/>
    <cellStyle name="Normal 5 2 4 5" xfId="1874" xr:uid="{00000000-0005-0000-0000-0000ACA60000}"/>
    <cellStyle name="Normal 5 2 4 5 2" xfId="6736" xr:uid="{00000000-0005-0000-0000-0000ADA60000}"/>
    <cellStyle name="Normal 5 2 4 5 2 2" xfId="26187" xr:uid="{00000000-0005-0000-0000-0000AEA60000}"/>
    <cellStyle name="Normal 5 2 4 5 2 3" xfId="35912" xr:uid="{00000000-0005-0000-0000-0000AFA60000}"/>
    <cellStyle name="Normal 5 2 4 5 2 4" xfId="45637" xr:uid="{00000000-0005-0000-0000-0000B0A60000}"/>
    <cellStyle name="Normal 5 2 4 5 2 5" xfId="16462" xr:uid="{00000000-0005-0000-0000-0000B1A60000}"/>
    <cellStyle name="Normal 5 2 4 5 3" xfId="21325" xr:uid="{00000000-0005-0000-0000-0000B2A60000}"/>
    <cellStyle name="Normal 5 2 4 5 4" xfId="31050" xr:uid="{00000000-0005-0000-0000-0000B3A60000}"/>
    <cellStyle name="Normal 5 2 4 5 5" xfId="40775" xr:uid="{00000000-0005-0000-0000-0000B4A60000}"/>
    <cellStyle name="Normal 5 2 4 5 6" xfId="11600" xr:uid="{00000000-0005-0000-0000-0000B5A60000}"/>
    <cellStyle name="Normal 5 2 4 6" xfId="3494" xr:uid="{00000000-0005-0000-0000-0000B6A60000}"/>
    <cellStyle name="Normal 5 2 4 6 2" xfId="8356" xr:uid="{00000000-0005-0000-0000-0000B7A60000}"/>
    <cellStyle name="Normal 5 2 4 6 2 2" xfId="27807" xr:uid="{00000000-0005-0000-0000-0000B8A60000}"/>
    <cellStyle name="Normal 5 2 4 6 2 3" xfId="37532" xr:uid="{00000000-0005-0000-0000-0000B9A60000}"/>
    <cellStyle name="Normal 5 2 4 6 2 4" xfId="47257" xr:uid="{00000000-0005-0000-0000-0000BAA60000}"/>
    <cellStyle name="Normal 5 2 4 6 2 5" xfId="18082" xr:uid="{00000000-0005-0000-0000-0000BBA60000}"/>
    <cellStyle name="Normal 5 2 4 6 3" xfId="22945" xr:uid="{00000000-0005-0000-0000-0000BCA60000}"/>
    <cellStyle name="Normal 5 2 4 6 4" xfId="32670" xr:uid="{00000000-0005-0000-0000-0000BDA60000}"/>
    <cellStyle name="Normal 5 2 4 6 5" xfId="42395" xr:uid="{00000000-0005-0000-0000-0000BEA60000}"/>
    <cellStyle name="Normal 5 2 4 6 6" xfId="13220" xr:uid="{00000000-0005-0000-0000-0000BFA60000}"/>
    <cellStyle name="Normal 5 2 4 7" xfId="5116" xr:uid="{00000000-0005-0000-0000-0000C0A60000}"/>
    <cellStyle name="Normal 5 2 4 7 2" xfId="24567" xr:uid="{00000000-0005-0000-0000-0000C1A60000}"/>
    <cellStyle name="Normal 5 2 4 7 3" xfId="34292" xr:uid="{00000000-0005-0000-0000-0000C2A60000}"/>
    <cellStyle name="Normal 5 2 4 7 4" xfId="44017" xr:uid="{00000000-0005-0000-0000-0000C3A60000}"/>
    <cellStyle name="Normal 5 2 4 7 5" xfId="14842" xr:uid="{00000000-0005-0000-0000-0000C4A60000}"/>
    <cellStyle name="Normal 5 2 4 8" xfId="19705" xr:uid="{00000000-0005-0000-0000-0000C5A60000}"/>
    <cellStyle name="Normal 5 2 4 9" xfId="29430" xr:uid="{00000000-0005-0000-0000-0000C6A60000}"/>
    <cellStyle name="Normal 5 2 5" xfId="865" xr:uid="{00000000-0005-0000-0000-0000C7A60000}"/>
    <cellStyle name="Normal 5 2 5 2" xfId="2504" xr:uid="{00000000-0005-0000-0000-0000C8A60000}"/>
    <cellStyle name="Normal 5 2 5 2 2" xfId="7366" xr:uid="{00000000-0005-0000-0000-0000C9A60000}"/>
    <cellStyle name="Normal 5 2 5 2 2 2" xfId="26817" xr:uid="{00000000-0005-0000-0000-0000CAA60000}"/>
    <cellStyle name="Normal 5 2 5 2 2 3" xfId="36542" xr:uid="{00000000-0005-0000-0000-0000CBA60000}"/>
    <cellStyle name="Normal 5 2 5 2 2 4" xfId="46267" xr:uid="{00000000-0005-0000-0000-0000CCA60000}"/>
    <cellStyle name="Normal 5 2 5 2 2 5" xfId="17092" xr:uid="{00000000-0005-0000-0000-0000CDA60000}"/>
    <cellStyle name="Normal 5 2 5 2 3" xfId="21955" xr:uid="{00000000-0005-0000-0000-0000CEA60000}"/>
    <cellStyle name="Normal 5 2 5 2 4" xfId="31680" xr:uid="{00000000-0005-0000-0000-0000CFA60000}"/>
    <cellStyle name="Normal 5 2 5 2 5" xfId="41405" xr:uid="{00000000-0005-0000-0000-0000D0A60000}"/>
    <cellStyle name="Normal 5 2 5 2 6" xfId="12230" xr:uid="{00000000-0005-0000-0000-0000D1A60000}"/>
    <cellStyle name="Normal 5 2 5 3" xfId="4124" xr:uid="{00000000-0005-0000-0000-0000D2A60000}"/>
    <cellStyle name="Normal 5 2 5 3 2" xfId="8986" xr:uid="{00000000-0005-0000-0000-0000D3A60000}"/>
    <cellStyle name="Normal 5 2 5 3 2 2" xfId="28437" xr:uid="{00000000-0005-0000-0000-0000D4A60000}"/>
    <cellStyle name="Normal 5 2 5 3 2 3" xfId="38162" xr:uid="{00000000-0005-0000-0000-0000D5A60000}"/>
    <cellStyle name="Normal 5 2 5 3 2 4" xfId="47887" xr:uid="{00000000-0005-0000-0000-0000D6A60000}"/>
    <cellStyle name="Normal 5 2 5 3 2 5" xfId="18712" xr:uid="{00000000-0005-0000-0000-0000D7A60000}"/>
    <cellStyle name="Normal 5 2 5 3 3" xfId="23575" xr:uid="{00000000-0005-0000-0000-0000D8A60000}"/>
    <cellStyle name="Normal 5 2 5 3 4" xfId="33300" xr:uid="{00000000-0005-0000-0000-0000D9A60000}"/>
    <cellStyle name="Normal 5 2 5 3 5" xfId="43025" xr:uid="{00000000-0005-0000-0000-0000DAA60000}"/>
    <cellStyle name="Normal 5 2 5 3 6" xfId="13850" xr:uid="{00000000-0005-0000-0000-0000DBA60000}"/>
    <cellStyle name="Normal 5 2 5 4" xfId="5746" xr:uid="{00000000-0005-0000-0000-0000DCA60000}"/>
    <cellStyle name="Normal 5 2 5 4 2" xfId="25197" xr:uid="{00000000-0005-0000-0000-0000DDA60000}"/>
    <cellStyle name="Normal 5 2 5 4 3" xfId="34922" xr:uid="{00000000-0005-0000-0000-0000DEA60000}"/>
    <cellStyle name="Normal 5 2 5 4 4" xfId="44647" xr:uid="{00000000-0005-0000-0000-0000DFA60000}"/>
    <cellStyle name="Normal 5 2 5 4 5" xfId="15472" xr:uid="{00000000-0005-0000-0000-0000E0A60000}"/>
    <cellStyle name="Normal 5 2 5 5" xfId="20335" xr:uid="{00000000-0005-0000-0000-0000E1A60000}"/>
    <cellStyle name="Normal 5 2 5 6" xfId="30060" xr:uid="{00000000-0005-0000-0000-0000E2A60000}"/>
    <cellStyle name="Normal 5 2 5 7" xfId="39785" xr:uid="{00000000-0005-0000-0000-0000E3A60000}"/>
    <cellStyle name="Normal 5 2 5 8" xfId="10610" xr:uid="{00000000-0005-0000-0000-0000E4A60000}"/>
    <cellStyle name="Normal 5 2 6" xfId="1243" xr:uid="{00000000-0005-0000-0000-0000E5A60000}"/>
    <cellStyle name="Normal 5 2 6 2" xfId="2864" xr:uid="{00000000-0005-0000-0000-0000E6A60000}"/>
    <cellStyle name="Normal 5 2 6 2 2" xfId="7726" xr:uid="{00000000-0005-0000-0000-0000E7A60000}"/>
    <cellStyle name="Normal 5 2 6 2 2 2" xfId="27177" xr:uid="{00000000-0005-0000-0000-0000E8A60000}"/>
    <cellStyle name="Normal 5 2 6 2 2 3" xfId="36902" xr:uid="{00000000-0005-0000-0000-0000E9A60000}"/>
    <cellStyle name="Normal 5 2 6 2 2 4" xfId="46627" xr:uid="{00000000-0005-0000-0000-0000EAA60000}"/>
    <cellStyle name="Normal 5 2 6 2 2 5" xfId="17452" xr:uid="{00000000-0005-0000-0000-0000EBA60000}"/>
    <cellStyle name="Normal 5 2 6 2 3" xfId="22315" xr:uid="{00000000-0005-0000-0000-0000ECA60000}"/>
    <cellStyle name="Normal 5 2 6 2 4" xfId="32040" xr:uid="{00000000-0005-0000-0000-0000EDA60000}"/>
    <cellStyle name="Normal 5 2 6 2 5" xfId="41765" xr:uid="{00000000-0005-0000-0000-0000EEA60000}"/>
    <cellStyle name="Normal 5 2 6 2 6" xfId="12590" xr:uid="{00000000-0005-0000-0000-0000EFA60000}"/>
    <cellStyle name="Normal 5 2 6 3" xfId="4484" xr:uid="{00000000-0005-0000-0000-0000F0A60000}"/>
    <cellStyle name="Normal 5 2 6 3 2" xfId="9346" xr:uid="{00000000-0005-0000-0000-0000F1A60000}"/>
    <cellStyle name="Normal 5 2 6 3 2 2" xfId="28797" xr:uid="{00000000-0005-0000-0000-0000F2A60000}"/>
    <cellStyle name="Normal 5 2 6 3 2 3" xfId="38522" xr:uid="{00000000-0005-0000-0000-0000F3A60000}"/>
    <cellStyle name="Normal 5 2 6 3 2 4" xfId="48247" xr:uid="{00000000-0005-0000-0000-0000F4A60000}"/>
    <cellStyle name="Normal 5 2 6 3 2 5" xfId="19072" xr:uid="{00000000-0005-0000-0000-0000F5A60000}"/>
    <cellStyle name="Normal 5 2 6 3 3" xfId="23935" xr:uid="{00000000-0005-0000-0000-0000F6A60000}"/>
    <cellStyle name="Normal 5 2 6 3 4" xfId="33660" xr:uid="{00000000-0005-0000-0000-0000F7A60000}"/>
    <cellStyle name="Normal 5 2 6 3 5" xfId="43385" xr:uid="{00000000-0005-0000-0000-0000F8A60000}"/>
    <cellStyle name="Normal 5 2 6 3 6" xfId="14210" xr:uid="{00000000-0005-0000-0000-0000F9A60000}"/>
    <cellStyle name="Normal 5 2 6 4" xfId="6106" xr:uid="{00000000-0005-0000-0000-0000FAA60000}"/>
    <cellStyle name="Normal 5 2 6 4 2" xfId="25557" xr:uid="{00000000-0005-0000-0000-0000FBA60000}"/>
    <cellStyle name="Normal 5 2 6 4 3" xfId="35282" xr:uid="{00000000-0005-0000-0000-0000FCA60000}"/>
    <cellStyle name="Normal 5 2 6 4 4" xfId="45007" xr:uid="{00000000-0005-0000-0000-0000FDA60000}"/>
    <cellStyle name="Normal 5 2 6 4 5" xfId="15832" xr:uid="{00000000-0005-0000-0000-0000FEA60000}"/>
    <cellStyle name="Normal 5 2 6 5" xfId="20695" xr:uid="{00000000-0005-0000-0000-0000FFA60000}"/>
    <cellStyle name="Normal 5 2 6 6" xfId="30420" xr:uid="{00000000-0005-0000-0000-000000A70000}"/>
    <cellStyle name="Normal 5 2 6 7" xfId="40145" xr:uid="{00000000-0005-0000-0000-000001A70000}"/>
    <cellStyle name="Normal 5 2 6 8" xfId="10970" xr:uid="{00000000-0005-0000-0000-000002A70000}"/>
    <cellStyle name="Normal 5 2 7" xfId="1333" xr:uid="{00000000-0005-0000-0000-000003A70000}"/>
    <cellStyle name="Normal 5 2 7 2" xfId="2954" xr:uid="{00000000-0005-0000-0000-000004A70000}"/>
    <cellStyle name="Normal 5 2 7 2 2" xfId="7816" xr:uid="{00000000-0005-0000-0000-000005A70000}"/>
    <cellStyle name="Normal 5 2 7 2 2 2" xfId="27267" xr:uid="{00000000-0005-0000-0000-000006A70000}"/>
    <cellStyle name="Normal 5 2 7 2 2 3" xfId="36992" xr:uid="{00000000-0005-0000-0000-000007A70000}"/>
    <cellStyle name="Normal 5 2 7 2 2 4" xfId="46717" xr:uid="{00000000-0005-0000-0000-000008A70000}"/>
    <cellStyle name="Normal 5 2 7 2 2 5" xfId="17542" xr:uid="{00000000-0005-0000-0000-000009A70000}"/>
    <cellStyle name="Normal 5 2 7 2 3" xfId="22405" xr:uid="{00000000-0005-0000-0000-00000AA70000}"/>
    <cellStyle name="Normal 5 2 7 2 4" xfId="32130" xr:uid="{00000000-0005-0000-0000-00000BA70000}"/>
    <cellStyle name="Normal 5 2 7 2 5" xfId="41855" xr:uid="{00000000-0005-0000-0000-00000CA70000}"/>
    <cellStyle name="Normal 5 2 7 2 6" xfId="12680" xr:uid="{00000000-0005-0000-0000-00000DA70000}"/>
    <cellStyle name="Normal 5 2 7 3" xfId="4574" xr:uid="{00000000-0005-0000-0000-00000EA70000}"/>
    <cellStyle name="Normal 5 2 7 3 2" xfId="9436" xr:uid="{00000000-0005-0000-0000-00000FA70000}"/>
    <cellStyle name="Normal 5 2 7 3 2 2" xfId="28887" xr:uid="{00000000-0005-0000-0000-000010A70000}"/>
    <cellStyle name="Normal 5 2 7 3 2 3" xfId="38612" xr:uid="{00000000-0005-0000-0000-000011A70000}"/>
    <cellStyle name="Normal 5 2 7 3 2 4" xfId="48337" xr:uid="{00000000-0005-0000-0000-000012A70000}"/>
    <cellStyle name="Normal 5 2 7 3 2 5" xfId="19162" xr:uid="{00000000-0005-0000-0000-000013A70000}"/>
    <cellStyle name="Normal 5 2 7 3 3" xfId="24025" xr:uid="{00000000-0005-0000-0000-000014A70000}"/>
    <cellStyle name="Normal 5 2 7 3 4" xfId="33750" xr:uid="{00000000-0005-0000-0000-000015A70000}"/>
    <cellStyle name="Normal 5 2 7 3 5" xfId="43475" xr:uid="{00000000-0005-0000-0000-000016A70000}"/>
    <cellStyle name="Normal 5 2 7 3 6" xfId="14300" xr:uid="{00000000-0005-0000-0000-000017A70000}"/>
    <cellStyle name="Normal 5 2 7 4" xfId="6196" xr:uid="{00000000-0005-0000-0000-000018A70000}"/>
    <cellStyle name="Normal 5 2 7 4 2" xfId="25647" xr:uid="{00000000-0005-0000-0000-000019A70000}"/>
    <cellStyle name="Normal 5 2 7 4 3" xfId="35372" xr:uid="{00000000-0005-0000-0000-00001AA70000}"/>
    <cellStyle name="Normal 5 2 7 4 4" xfId="45097" xr:uid="{00000000-0005-0000-0000-00001BA70000}"/>
    <cellStyle name="Normal 5 2 7 4 5" xfId="15922" xr:uid="{00000000-0005-0000-0000-00001CA70000}"/>
    <cellStyle name="Normal 5 2 7 5" xfId="20785" xr:uid="{00000000-0005-0000-0000-00001DA70000}"/>
    <cellStyle name="Normal 5 2 7 6" xfId="30510" xr:uid="{00000000-0005-0000-0000-00001EA70000}"/>
    <cellStyle name="Normal 5 2 7 7" xfId="40235" xr:uid="{00000000-0005-0000-0000-00001FA70000}"/>
    <cellStyle name="Normal 5 2 7 8" xfId="11060" xr:uid="{00000000-0005-0000-0000-000020A70000}"/>
    <cellStyle name="Normal 5 2 8" xfId="504" xr:uid="{00000000-0005-0000-0000-000021A70000}"/>
    <cellStyle name="Normal 5 2 8 2" xfId="2144" xr:uid="{00000000-0005-0000-0000-000022A70000}"/>
    <cellStyle name="Normal 5 2 8 2 2" xfId="7006" xr:uid="{00000000-0005-0000-0000-000023A70000}"/>
    <cellStyle name="Normal 5 2 8 2 2 2" xfId="26457" xr:uid="{00000000-0005-0000-0000-000024A70000}"/>
    <cellStyle name="Normal 5 2 8 2 2 3" xfId="36182" xr:uid="{00000000-0005-0000-0000-000025A70000}"/>
    <cellStyle name="Normal 5 2 8 2 2 4" xfId="45907" xr:uid="{00000000-0005-0000-0000-000026A70000}"/>
    <cellStyle name="Normal 5 2 8 2 2 5" xfId="16732" xr:uid="{00000000-0005-0000-0000-000027A70000}"/>
    <cellStyle name="Normal 5 2 8 2 3" xfId="21595" xr:uid="{00000000-0005-0000-0000-000028A70000}"/>
    <cellStyle name="Normal 5 2 8 2 4" xfId="31320" xr:uid="{00000000-0005-0000-0000-000029A70000}"/>
    <cellStyle name="Normal 5 2 8 2 5" xfId="41045" xr:uid="{00000000-0005-0000-0000-00002AA70000}"/>
    <cellStyle name="Normal 5 2 8 2 6" xfId="11870" xr:uid="{00000000-0005-0000-0000-00002BA70000}"/>
    <cellStyle name="Normal 5 2 8 3" xfId="3764" xr:uid="{00000000-0005-0000-0000-00002CA70000}"/>
    <cellStyle name="Normal 5 2 8 3 2" xfId="8626" xr:uid="{00000000-0005-0000-0000-00002DA70000}"/>
    <cellStyle name="Normal 5 2 8 3 2 2" xfId="28077" xr:uid="{00000000-0005-0000-0000-00002EA70000}"/>
    <cellStyle name="Normal 5 2 8 3 2 3" xfId="37802" xr:uid="{00000000-0005-0000-0000-00002FA70000}"/>
    <cellStyle name="Normal 5 2 8 3 2 4" xfId="47527" xr:uid="{00000000-0005-0000-0000-000030A70000}"/>
    <cellStyle name="Normal 5 2 8 3 2 5" xfId="18352" xr:uid="{00000000-0005-0000-0000-000031A70000}"/>
    <cellStyle name="Normal 5 2 8 3 3" xfId="23215" xr:uid="{00000000-0005-0000-0000-000032A70000}"/>
    <cellStyle name="Normal 5 2 8 3 4" xfId="32940" xr:uid="{00000000-0005-0000-0000-000033A70000}"/>
    <cellStyle name="Normal 5 2 8 3 5" xfId="42665" xr:uid="{00000000-0005-0000-0000-000034A70000}"/>
    <cellStyle name="Normal 5 2 8 3 6" xfId="13490" xr:uid="{00000000-0005-0000-0000-000035A70000}"/>
    <cellStyle name="Normal 5 2 8 4" xfId="5386" xr:uid="{00000000-0005-0000-0000-000036A70000}"/>
    <cellStyle name="Normal 5 2 8 4 2" xfId="24837" xr:uid="{00000000-0005-0000-0000-000037A70000}"/>
    <cellStyle name="Normal 5 2 8 4 3" xfId="34562" xr:uid="{00000000-0005-0000-0000-000038A70000}"/>
    <cellStyle name="Normal 5 2 8 4 4" xfId="44287" xr:uid="{00000000-0005-0000-0000-000039A70000}"/>
    <cellStyle name="Normal 5 2 8 4 5" xfId="15112" xr:uid="{00000000-0005-0000-0000-00003AA70000}"/>
    <cellStyle name="Normal 5 2 8 5" xfId="19975" xr:uid="{00000000-0005-0000-0000-00003BA70000}"/>
    <cellStyle name="Normal 5 2 8 6" xfId="29700" xr:uid="{00000000-0005-0000-0000-00003CA70000}"/>
    <cellStyle name="Normal 5 2 8 7" xfId="39425" xr:uid="{00000000-0005-0000-0000-00003DA70000}"/>
    <cellStyle name="Normal 5 2 8 8" xfId="10250" xr:uid="{00000000-0005-0000-0000-00003EA70000}"/>
    <cellStyle name="Normal 5 2 9" xfId="1693" xr:uid="{00000000-0005-0000-0000-00003FA70000}"/>
    <cellStyle name="Normal 5 2 9 2" xfId="3314" xr:uid="{00000000-0005-0000-0000-000040A70000}"/>
    <cellStyle name="Normal 5 2 9 2 2" xfId="8176" xr:uid="{00000000-0005-0000-0000-000041A70000}"/>
    <cellStyle name="Normal 5 2 9 2 2 2" xfId="27627" xr:uid="{00000000-0005-0000-0000-000042A70000}"/>
    <cellStyle name="Normal 5 2 9 2 2 3" xfId="37352" xr:uid="{00000000-0005-0000-0000-000043A70000}"/>
    <cellStyle name="Normal 5 2 9 2 2 4" xfId="47077" xr:uid="{00000000-0005-0000-0000-000044A70000}"/>
    <cellStyle name="Normal 5 2 9 2 2 5" xfId="17902" xr:uid="{00000000-0005-0000-0000-000045A70000}"/>
    <cellStyle name="Normal 5 2 9 2 3" xfId="22765" xr:uid="{00000000-0005-0000-0000-000046A70000}"/>
    <cellStyle name="Normal 5 2 9 2 4" xfId="32490" xr:uid="{00000000-0005-0000-0000-000047A70000}"/>
    <cellStyle name="Normal 5 2 9 2 5" xfId="42215" xr:uid="{00000000-0005-0000-0000-000048A70000}"/>
    <cellStyle name="Normal 5 2 9 2 6" xfId="13040" xr:uid="{00000000-0005-0000-0000-000049A70000}"/>
    <cellStyle name="Normal 5 2 9 3" xfId="4934" xr:uid="{00000000-0005-0000-0000-00004AA70000}"/>
    <cellStyle name="Normal 5 2 9 3 2" xfId="9796" xr:uid="{00000000-0005-0000-0000-00004BA70000}"/>
    <cellStyle name="Normal 5 2 9 3 2 2" xfId="29247" xr:uid="{00000000-0005-0000-0000-00004CA70000}"/>
    <cellStyle name="Normal 5 2 9 3 2 3" xfId="38972" xr:uid="{00000000-0005-0000-0000-00004DA70000}"/>
    <cellStyle name="Normal 5 2 9 3 2 4" xfId="48697" xr:uid="{00000000-0005-0000-0000-00004EA70000}"/>
    <cellStyle name="Normal 5 2 9 3 2 5" xfId="19522" xr:uid="{00000000-0005-0000-0000-00004FA70000}"/>
    <cellStyle name="Normal 5 2 9 3 3" xfId="24385" xr:uid="{00000000-0005-0000-0000-000050A70000}"/>
    <cellStyle name="Normal 5 2 9 3 4" xfId="34110" xr:uid="{00000000-0005-0000-0000-000051A70000}"/>
    <cellStyle name="Normal 5 2 9 3 5" xfId="43835" xr:uid="{00000000-0005-0000-0000-000052A70000}"/>
    <cellStyle name="Normal 5 2 9 3 6" xfId="14660" xr:uid="{00000000-0005-0000-0000-000053A70000}"/>
    <cellStyle name="Normal 5 2 9 4" xfId="6556" xr:uid="{00000000-0005-0000-0000-000054A70000}"/>
    <cellStyle name="Normal 5 2 9 4 2" xfId="26007" xr:uid="{00000000-0005-0000-0000-000055A70000}"/>
    <cellStyle name="Normal 5 2 9 4 3" xfId="35732" xr:uid="{00000000-0005-0000-0000-000056A70000}"/>
    <cellStyle name="Normal 5 2 9 4 4" xfId="45457" xr:uid="{00000000-0005-0000-0000-000057A70000}"/>
    <cellStyle name="Normal 5 2 9 4 5" xfId="16282" xr:uid="{00000000-0005-0000-0000-000058A70000}"/>
    <cellStyle name="Normal 5 2 9 5" xfId="21145" xr:uid="{00000000-0005-0000-0000-000059A70000}"/>
    <cellStyle name="Normal 5 2 9 6" xfId="30870" xr:uid="{00000000-0005-0000-0000-00005AA70000}"/>
    <cellStyle name="Normal 5 2 9 7" xfId="40595" xr:uid="{00000000-0005-0000-0000-00005BA70000}"/>
    <cellStyle name="Normal 5 2 9 8" xfId="11420" xr:uid="{00000000-0005-0000-0000-00005CA70000}"/>
    <cellStyle name="Normal 5 3" xfId="130" xr:uid="{00000000-0005-0000-0000-00005DA70000}"/>
    <cellStyle name="Normal 5 3 10" xfId="1814" xr:uid="{00000000-0005-0000-0000-00005EA70000}"/>
    <cellStyle name="Normal 5 3 10 2" xfId="6676" xr:uid="{00000000-0005-0000-0000-00005FA70000}"/>
    <cellStyle name="Normal 5 3 10 2 2" xfId="26127" xr:uid="{00000000-0005-0000-0000-000060A70000}"/>
    <cellStyle name="Normal 5 3 10 2 3" xfId="35852" xr:uid="{00000000-0005-0000-0000-000061A70000}"/>
    <cellStyle name="Normal 5 3 10 2 4" xfId="45577" xr:uid="{00000000-0005-0000-0000-000062A70000}"/>
    <cellStyle name="Normal 5 3 10 2 5" xfId="16402" xr:uid="{00000000-0005-0000-0000-000063A70000}"/>
    <cellStyle name="Normal 5 3 10 3" xfId="21265" xr:uid="{00000000-0005-0000-0000-000064A70000}"/>
    <cellStyle name="Normal 5 3 10 4" xfId="30990" xr:uid="{00000000-0005-0000-0000-000065A70000}"/>
    <cellStyle name="Normal 5 3 10 5" xfId="40715" xr:uid="{00000000-0005-0000-0000-000066A70000}"/>
    <cellStyle name="Normal 5 3 10 6" xfId="11540" xr:uid="{00000000-0005-0000-0000-000067A70000}"/>
    <cellStyle name="Normal 5 3 11" xfId="3434" xr:uid="{00000000-0005-0000-0000-000068A70000}"/>
    <cellStyle name="Normal 5 3 11 2" xfId="8296" xr:uid="{00000000-0005-0000-0000-000069A70000}"/>
    <cellStyle name="Normal 5 3 11 2 2" xfId="27747" xr:uid="{00000000-0005-0000-0000-00006AA70000}"/>
    <cellStyle name="Normal 5 3 11 2 3" xfId="37472" xr:uid="{00000000-0005-0000-0000-00006BA70000}"/>
    <cellStyle name="Normal 5 3 11 2 4" xfId="47197" xr:uid="{00000000-0005-0000-0000-00006CA70000}"/>
    <cellStyle name="Normal 5 3 11 2 5" xfId="18022" xr:uid="{00000000-0005-0000-0000-00006DA70000}"/>
    <cellStyle name="Normal 5 3 11 3" xfId="22885" xr:uid="{00000000-0005-0000-0000-00006EA70000}"/>
    <cellStyle name="Normal 5 3 11 4" xfId="32610" xr:uid="{00000000-0005-0000-0000-00006FA70000}"/>
    <cellStyle name="Normal 5 3 11 5" xfId="42335" xr:uid="{00000000-0005-0000-0000-000070A70000}"/>
    <cellStyle name="Normal 5 3 11 6" xfId="13160" xr:uid="{00000000-0005-0000-0000-000071A70000}"/>
    <cellStyle name="Normal 5 3 12" xfId="5056" xr:uid="{00000000-0005-0000-0000-000072A70000}"/>
    <cellStyle name="Normal 5 3 12 2" xfId="24507" xr:uid="{00000000-0005-0000-0000-000073A70000}"/>
    <cellStyle name="Normal 5 3 12 3" xfId="34232" xr:uid="{00000000-0005-0000-0000-000074A70000}"/>
    <cellStyle name="Normal 5 3 12 4" xfId="43957" xr:uid="{00000000-0005-0000-0000-000075A70000}"/>
    <cellStyle name="Normal 5 3 12 5" xfId="14782" xr:uid="{00000000-0005-0000-0000-000076A70000}"/>
    <cellStyle name="Normal 5 3 13" xfId="19645" xr:uid="{00000000-0005-0000-0000-000077A70000}"/>
    <cellStyle name="Normal 5 3 14" xfId="29370" xr:uid="{00000000-0005-0000-0000-000078A70000}"/>
    <cellStyle name="Normal 5 3 15" xfId="39095" xr:uid="{00000000-0005-0000-0000-000079A70000}"/>
    <cellStyle name="Normal 5 3 16" xfId="9920" xr:uid="{00000000-0005-0000-0000-00007AA70000}"/>
    <cellStyle name="Normal 5 3 2" xfId="312" xr:uid="{00000000-0005-0000-0000-00007BA70000}"/>
    <cellStyle name="Normal 5 3 2 10" xfId="39275" xr:uid="{00000000-0005-0000-0000-00007CA70000}"/>
    <cellStyle name="Normal 5 3 2 11" xfId="10100" xr:uid="{00000000-0005-0000-0000-00007DA70000}"/>
    <cellStyle name="Normal 5 3 2 2" xfId="1076" xr:uid="{00000000-0005-0000-0000-00007EA70000}"/>
    <cellStyle name="Normal 5 3 2 2 2" xfId="2714" xr:uid="{00000000-0005-0000-0000-00007FA70000}"/>
    <cellStyle name="Normal 5 3 2 2 2 2" xfId="7576" xr:uid="{00000000-0005-0000-0000-000080A70000}"/>
    <cellStyle name="Normal 5 3 2 2 2 2 2" xfId="27027" xr:uid="{00000000-0005-0000-0000-000081A70000}"/>
    <cellStyle name="Normal 5 3 2 2 2 2 3" xfId="36752" xr:uid="{00000000-0005-0000-0000-000082A70000}"/>
    <cellStyle name="Normal 5 3 2 2 2 2 4" xfId="46477" xr:uid="{00000000-0005-0000-0000-000083A70000}"/>
    <cellStyle name="Normal 5 3 2 2 2 2 5" xfId="17302" xr:uid="{00000000-0005-0000-0000-000084A70000}"/>
    <cellStyle name="Normal 5 3 2 2 2 3" xfId="22165" xr:uid="{00000000-0005-0000-0000-000085A70000}"/>
    <cellStyle name="Normal 5 3 2 2 2 4" xfId="31890" xr:uid="{00000000-0005-0000-0000-000086A70000}"/>
    <cellStyle name="Normal 5 3 2 2 2 5" xfId="41615" xr:uid="{00000000-0005-0000-0000-000087A70000}"/>
    <cellStyle name="Normal 5 3 2 2 2 6" xfId="12440" xr:uid="{00000000-0005-0000-0000-000088A70000}"/>
    <cellStyle name="Normal 5 3 2 2 3" xfId="4334" xr:uid="{00000000-0005-0000-0000-000089A70000}"/>
    <cellStyle name="Normal 5 3 2 2 3 2" xfId="9196" xr:uid="{00000000-0005-0000-0000-00008AA70000}"/>
    <cellStyle name="Normal 5 3 2 2 3 2 2" xfId="28647" xr:uid="{00000000-0005-0000-0000-00008BA70000}"/>
    <cellStyle name="Normal 5 3 2 2 3 2 3" xfId="38372" xr:uid="{00000000-0005-0000-0000-00008CA70000}"/>
    <cellStyle name="Normal 5 3 2 2 3 2 4" xfId="48097" xr:uid="{00000000-0005-0000-0000-00008DA70000}"/>
    <cellStyle name="Normal 5 3 2 2 3 2 5" xfId="18922" xr:uid="{00000000-0005-0000-0000-00008EA70000}"/>
    <cellStyle name="Normal 5 3 2 2 3 3" xfId="23785" xr:uid="{00000000-0005-0000-0000-00008FA70000}"/>
    <cellStyle name="Normal 5 3 2 2 3 4" xfId="33510" xr:uid="{00000000-0005-0000-0000-000090A70000}"/>
    <cellStyle name="Normal 5 3 2 2 3 5" xfId="43235" xr:uid="{00000000-0005-0000-0000-000091A70000}"/>
    <cellStyle name="Normal 5 3 2 2 3 6" xfId="14060" xr:uid="{00000000-0005-0000-0000-000092A70000}"/>
    <cellStyle name="Normal 5 3 2 2 4" xfId="5956" xr:uid="{00000000-0005-0000-0000-000093A70000}"/>
    <cellStyle name="Normal 5 3 2 2 4 2" xfId="25407" xr:uid="{00000000-0005-0000-0000-000094A70000}"/>
    <cellStyle name="Normal 5 3 2 2 4 3" xfId="35132" xr:uid="{00000000-0005-0000-0000-000095A70000}"/>
    <cellStyle name="Normal 5 3 2 2 4 4" xfId="44857" xr:uid="{00000000-0005-0000-0000-000096A70000}"/>
    <cellStyle name="Normal 5 3 2 2 4 5" xfId="15682" xr:uid="{00000000-0005-0000-0000-000097A70000}"/>
    <cellStyle name="Normal 5 3 2 2 5" xfId="20545" xr:uid="{00000000-0005-0000-0000-000098A70000}"/>
    <cellStyle name="Normal 5 3 2 2 6" xfId="30270" xr:uid="{00000000-0005-0000-0000-000099A70000}"/>
    <cellStyle name="Normal 5 3 2 2 7" xfId="39995" xr:uid="{00000000-0005-0000-0000-00009AA70000}"/>
    <cellStyle name="Normal 5 3 2 2 8" xfId="10820" xr:uid="{00000000-0005-0000-0000-00009BA70000}"/>
    <cellStyle name="Normal 5 3 2 3" xfId="1543" xr:uid="{00000000-0005-0000-0000-00009CA70000}"/>
    <cellStyle name="Normal 5 3 2 3 2" xfId="3164" xr:uid="{00000000-0005-0000-0000-00009DA70000}"/>
    <cellStyle name="Normal 5 3 2 3 2 2" xfId="8026" xr:uid="{00000000-0005-0000-0000-00009EA70000}"/>
    <cellStyle name="Normal 5 3 2 3 2 2 2" xfId="27477" xr:uid="{00000000-0005-0000-0000-00009FA70000}"/>
    <cellStyle name="Normal 5 3 2 3 2 2 3" xfId="37202" xr:uid="{00000000-0005-0000-0000-0000A0A70000}"/>
    <cellStyle name="Normal 5 3 2 3 2 2 4" xfId="46927" xr:uid="{00000000-0005-0000-0000-0000A1A70000}"/>
    <cellStyle name="Normal 5 3 2 3 2 2 5" xfId="17752" xr:uid="{00000000-0005-0000-0000-0000A2A70000}"/>
    <cellStyle name="Normal 5 3 2 3 2 3" xfId="22615" xr:uid="{00000000-0005-0000-0000-0000A3A70000}"/>
    <cellStyle name="Normal 5 3 2 3 2 4" xfId="32340" xr:uid="{00000000-0005-0000-0000-0000A4A70000}"/>
    <cellStyle name="Normal 5 3 2 3 2 5" xfId="42065" xr:uid="{00000000-0005-0000-0000-0000A5A70000}"/>
    <cellStyle name="Normal 5 3 2 3 2 6" xfId="12890" xr:uid="{00000000-0005-0000-0000-0000A6A70000}"/>
    <cellStyle name="Normal 5 3 2 3 3" xfId="4784" xr:uid="{00000000-0005-0000-0000-0000A7A70000}"/>
    <cellStyle name="Normal 5 3 2 3 3 2" xfId="9646" xr:uid="{00000000-0005-0000-0000-0000A8A70000}"/>
    <cellStyle name="Normal 5 3 2 3 3 2 2" xfId="29097" xr:uid="{00000000-0005-0000-0000-0000A9A70000}"/>
    <cellStyle name="Normal 5 3 2 3 3 2 3" xfId="38822" xr:uid="{00000000-0005-0000-0000-0000AAA70000}"/>
    <cellStyle name="Normal 5 3 2 3 3 2 4" xfId="48547" xr:uid="{00000000-0005-0000-0000-0000ABA70000}"/>
    <cellStyle name="Normal 5 3 2 3 3 2 5" xfId="19372" xr:uid="{00000000-0005-0000-0000-0000ACA70000}"/>
    <cellStyle name="Normal 5 3 2 3 3 3" xfId="24235" xr:uid="{00000000-0005-0000-0000-0000ADA70000}"/>
    <cellStyle name="Normal 5 3 2 3 3 4" xfId="33960" xr:uid="{00000000-0005-0000-0000-0000AEA70000}"/>
    <cellStyle name="Normal 5 3 2 3 3 5" xfId="43685" xr:uid="{00000000-0005-0000-0000-0000AFA70000}"/>
    <cellStyle name="Normal 5 3 2 3 3 6" xfId="14510" xr:uid="{00000000-0005-0000-0000-0000B0A70000}"/>
    <cellStyle name="Normal 5 3 2 3 4" xfId="6406" xr:uid="{00000000-0005-0000-0000-0000B1A70000}"/>
    <cellStyle name="Normal 5 3 2 3 4 2" xfId="25857" xr:uid="{00000000-0005-0000-0000-0000B2A70000}"/>
    <cellStyle name="Normal 5 3 2 3 4 3" xfId="35582" xr:uid="{00000000-0005-0000-0000-0000B3A70000}"/>
    <cellStyle name="Normal 5 3 2 3 4 4" xfId="45307" xr:uid="{00000000-0005-0000-0000-0000B4A70000}"/>
    <cellStyle name="Normal 5 3 2 3 4 5" xfId="16132" xr:uid="{00000000-0005-0000-0000-0000B5A70000}"/>
    <cellStyle name="Normal 5 3 2 3 5" xfId="20995" xr:uid="{00000000-0005-0000-0000-0000B6A70000}"/>
    <cellStyle name="Normal 5 3 2 3 6" xfId="30720" xr:uid="{00000000-0005-0000-0000-0000B7A70000}"/>
    <cellStyle name="Normal 5 3 2 3 7" xfId="40445" xr:uid="{00000000-0005-0000-0000-0000B8A70000}"/>
    <cellStyle name="Normal 5 3 2 3 8" xfId="11270" xr:uid="{00000000-0005-0000-0000-0000B9A70000}"/>
    <cellStyle name="Normal 5 3 2 4" xfId="714" xr:uid="{00000000-0005-0000-0000-0000BAA70000}"/>
    <cellStyle name="Normal 5 3 2 4 2" xfId="2354" xr:uid="{00000000-0005-0000-0000-0000BBA70000}"/>
    <cellStyle name="Normal 5 3 2 4 2 2" xfId="7216" xr:uid="{00000000-0005-0000-0000-0000BCA70000}"/>
    <cellStyle name="Normal 5 3 2 4 2 2 2" xfId="26667" xr:uid="{00000000-0005-0000-0000-0000BDA70000}"/>
    <cellStyle name="Normal 5 3 2 4 2 2 3" xfId="36392" xr:uid="{00000000-0005-0000-0000-0000BEA70000}"/>
    <cellStyle name="Normal 5 3 2 4 2 2 4" xfId="46117" xr:uid="{00000000-0005-0000-0000-0000BFA70000}"/>
    <cellStyle name="Normal 5 3 2 4 2 2 5" xfId="16942" xr:uid="{00000000-0005-0000-0000-0000C0A70000}"/>
    <cellStyle name="Normal 5 3 2 4 2 3" xfId="21805" xr:uid="{00000000-0005-0000-0000-0000C1A70000}"/>
    <cellStyle name="Normal 5 3 2 4 2 4" xfId="31530" xr:uid="{00000000-0005-0000-0000-0000C2A70000}"/>
    <cellStyle name="Normal 5 3 2 4 2 5" xfId="41255" xr:uid="{00000000-0005-0000-0000-0000C3A70000}"/>
    <cellStyle name="Normal 5 3 2 4 2 6" xfId="12080" xr:uid="{00000000-0005-0000-0000-0000C4A70000}"/>
    <cellStyle name="Normal 5 3 2 4 3" xfId="3974" xr:uid="{00000000-0005-0000-0000-0000C5A70000}"/>
    <cellStyle name="Normal 5 3 2 4 3 2" xfId="8836" xr:uid="{00000000-0005-0000-0000-0000C6A70000}"/>
    <cellStyle name="Normal 5 3 2 4 3 2 2" xfId="28287" xr:uid="{00000000-0005-0000-0000-0000C7A70000}"/>
    <cellStyle name="Normal 5 3 2 4 3 2 3" xfId="38012" xr:uid="{00000000-0005-0000-0000-0000C8A70000}"/>
    <cellStyle name="Normal 5 3 2 4 3 2 4" xfId="47737" xr:uid="{00000000-0005-0000-0000-0000C9A70000}"/>
    <cellStyle name="Normal 5 3 2 4 3 2 5" xfId="18562" xr:uid="{00000000-0005-0000-0000-0000CAA70000}"/>
    <cellStyle name="Normal 5 3 2 4 3 3" xfId="23425" xr:uid="{00000000-0005-0000-0000-0000CBA70000}"/>
    <cellStyle name="Normal 5 3 2 4 3 4" xfId="33150" xr:uid="{00000000-0005-0000-0000-0000CCA70000}"/>
    <cellStyle name="Normal 5 3 2 4 3 5" xfId="42875" xr:uid="{00000000-0005-0000-0000-0000CDA70000}"/>
    <cellStyle name="Normal 5 3 2 4 3 6" xfId="13700" xr:uid="{00000000-0005-0000-0000-0000CEA70000}"/>
    <cellStyle name="Normal 5 3 2 4 4" xfId="5596" xr:uid="{00000000-0005-0000-0000-0000CFA70000}"/>
    <cellStyle name="Normal 5 3 2 4 4 2" xfId="25047" xr:uid="{00000000-0005-0000-0000-0000D0A70000}"/>
    <cellStyle name="Normal 5 3 2 4 4 3" xfId="34772" xr:uid="{00000000-0005-0000-0000-0000D1A70000}"/>
    <cellStyle name="Normal 5 3 2 4 4 4" xfId="44497" xr:uid="{00000000-0005-0000-0000-0000D2A70000}"/>
    <cellStyle name="Normal 5 3 2 4 4 5" xfId="15322" xr:uid="{00000000-0005-0000-0000-0000D3A70000}"/>
    <cellStyle name="Normal 5 3 2 4 5" xfId="20185" xr:uid="{00000000-0005-0000-0000-0000D4A70000}"/>
    <cellStyle name="Normal 5 3 2 4 6" xfId="29910" xr:uid="{00000000-0005-0000-0000-0000D5A70000}"/>
    <cellStyle name="Normal 5 3 2 4 7" xfId="39635" xr:uid="{00000000-0005-0000-0000-0000D6A70000}"/>
    <cellStyle name="Normal 5 3 2 4 8" xfId="10460" xr:uid="{00000000-0005-0000-0000-0000D7A70000}"/>
    <cellStyle name="Normal 5 3 2 5" xfId="1994" xr:uid="{00000000-0005-0000-0000-0000D8A70000}"/>
    <cellStyle name="Normal 5 3 2 5 2" xfId="6856" xr:uid="{00000000-0005-0000-0000-0000D9A70000}"/>
    <cellStyle name="Normal 5 3 2 5 2 2" xfId="26307" xr:uid="{00000000-0005-0000-0000-0000DAA70000}"/>
    <cellStyle name="Normal 5 3 2 5 2 3" xfId="36032" xr:uid="{00000000-0005-0000-0000-0000DBA70000}"/>
    <cellStyle name="Normal 5 3 2 5 2 4" xfId="45757" xr:uid="{00000000-0005-0000-0000-0000DCA70000}"/>
    <cellStyle name="Normal 5 3 2 5 2 5" xfId="16582" xr:uid="{00000000-0005-0000-0000-0000DDA70000}"/>
    <cellStyle name="Normal 5 3 2 5 3" xfId="21445" xr:uid="{00000000-0005-0000-0000-0000DEA70000}"/>
    <cellStyle name="Normal 5 3 2 5 4" xfId="31170" xr:uid="{00000000-0005-0000-0000-0000DFA70000}"/>
    <cellStyle name="Normal 5 3 2 5 5" xfId="40895" xr:uid="{00000000-0005-0000-0000-0000E0A70000}"/>
    <cellStyle name="Normal 5 3 2 5 6" xfId="11720" xr:uid="{00000000-0005-0000-0000-0000E1A70000}"/>
    <cellStyle name="Normal 5 3 2 6" xfId="3614" xr:uid="{00000000-0005-0000-0000-0000E2A70000}"/>
    <cellStyle name="Normal 5 3 2 6 2" xfId="8476" xr:uid="{00000000-0005-0000-0000-0000E3A70000}"/>
    <cellStyle name="Normal 5 3 2 6 2 2" xfId="27927" xr:uid="{00000000-0005-0000-0000-0000E4A70000}"/>
    <cellStyle name="Normal 5 3 2 6 2 3" xfId="37652" xr:uid="{00000000-0005-0000-0000-0000E5A70000}"/>
    <cellStyle name="Normal 5 3 2 6 2 4" xfId="47377" xr:uid="{00000000-0005-0000-0000-0000E6A70000}"/>
    <cellStyle name="Normal 5 3 2 6 2 5" xfId="18202" xr:uid="{00000000-0005-0000-0000-0000E7A70000}"/>
    <cellStyle name="Normal 5 3 2 6 3" xfId="23065" xr:uid="{00000000-0005-0000-0000-0000E8A70000}"/>
    <cellStyle name="Normal 5 3 2 6 4" xfId="32790" xr:uid="{00000000-0005-0000-0000-0000E9A70000}"/>
    <cellStyle name="Normal 5 3 2 6 5" xfId="42515" xr:uid="{00000000-0005-0000-0000-0000EAA70000}"/>
    <cellStyle name="Normal 5 3 2 6 6" xfId="13340" xr:uid="{00000000-0005-0000-0000-0000EBA70000}"/>
    <cellStyle name="Normal 5 3 2 7" xfId="5236" xr:uid="{00000000-0005-0000-0000-0000ECA70000}"/>
    <cellStyle name="Normal 5 3 2 7 2" xfId="24687" xr:uid="{00000000-0005-0000-0000-0000EDA70000}"/>
    <cellStyle name="Normal 5 3 2 7 3" xfId="34412" xr:uid="{00000000-0005-0000-0000-0000EEA70000}"/>
    <cellStyle name="Normal 5 3 2 7 4" xfId="44137" xr:uid="{00000000-0005-0000-0000-0000EFA70000}"/>
    <cellStyle name="Normal 5 3 2 7 5" xfId="14962" xr:uid="{00000000-0005-0000-0000-0000F0A70000}"/>
    <cellStyle name="Normal 5 3 2 8" xfId="19825" xr:uid="{00000000-0005-0000-0000-0000F1A70000}"/>
    <cellStyle name="Normal 5 3 2 9" xfId="29550" xr:uid="{00000000-0005-0000-0000-0000F2A70000}"/>
    <cellStyle name="Normal 5 3 3" xfId="403" xr:uid="{00000000-0005-0000-0000-0000F3A70000}"/>
    <cellStyle name="Normal 5 3 3 10" xfId="39365" xr:uid="{00000000-0005-0000-0000-0000F4A70000}"/>
    <cellStyle name="Normal 5 3 3 11" xfId="10190" xr:uid="{00000000-0005-0000-0000-0000F5A70000}"/>
    <cellStyle name="Normal 5 3 3 2" xfId="1166" xr:uid="{00000000-0005-0000-0000-0000F6A70000}"/>
    <cellStyle name="Normal 5 3 3 2 2" xfId="2804" xr:uid="{00000000-0005-0000-0000-0000F7A70000}"/>
    <cellStyle name="Normal 5 3 3 2 2 2" xfId="7666" xr:uid="{00000000-0005-0000-0000-0000F8A70000}"/>
    <cellStyle name="Normal 5 3 3 2 2 2 2" xfId="27117" xr:uid="{00000000-0005-0000-0000-0000F9A70000}"/>
    <cellStyle name="Normal 5 3 3 2 2 2 3" xfId="36842" xr:uid="{00000000-0005-0000-0000-0000FAA70000}"/>
    <cellStyle name="Normal 5 3 3 2 2 2 4" xfId="46567" xr:uid="{00000000-0005-0000-0000-0000FBA70000}"/>
    <cellStyle name="Normal 5 3 3 2 2 2 5" xfId="17392" xr:uid="{00000000-0005-0000-0000-0000FCA70000}"/>
    <cellStyle name="Normal 5 3 3 2 2 3" xfId="22255" xr:uid="{00000000-0005-0000-0000-0000FDA70000}"/>
    <cellStyle name="Normal 5 3 3 2 2 4" xfId="31980" xr:uid="{00000000-0005-0000-0000-0000FEA70000}"/>
    <cellStyle name="Normal 5 3 3 2 2 5" xfId="41705" xr:uid="{00000000-0005-0000-0000-0000FFA70000}"/>
    <cellStyle name="Normal 5 3 3 2 2 6" xfId="12530" xr:uid="{00000000-0005-0000-0000-000000A80000}"/>
    <cellStyle name="Normal 5 3 3 2 3" xfId="4424" xr:uid="{00000000-0005-0000-0000-000001A80000}"/>
    <cellStyle name="Normal 5 3 3 2 3 2" xfId="9286" xr:uid="{00000000-0005-0000-0000-000002A80000}"/>
    <cellStyle name="Normal 5 3 3 2 3 2 2" xfId="28737" xr:uid="{00000000-0005-0000-0000-000003A80000}"/>
    <cellStyle name="Normal 5 3 3 2 3 2 3" xfId="38462" xr:uid="{00000000-0005-0000-0000-000004A80000}"/>
    <cellStyle name="Normal 5 3 3 2 3 2 4" xfId="48187" xr:uid="{00000000-0005-0000-0000-000005A80000}"/>
    <cellStyle name="Normal 5 3 3 2 3 2 5" xfId="19012" xr:uid="{00000000-0005-0000-0000-000006A80000}"/>
    <cellStyle name="Normal 5 3 3 2 3 3" xfId="23875" xr:uid="{00000000-0005-0000-0000-000007A80000}"/>
    <cellStyle name="Normal 5 3 3 2 3 4" xfId="33600" xr:uid="{00000000-0005-0000-0000-000008A80000}"/>
    <cellStyle name="Normal 5 3 3 2 3 5" xfId="43325" xr:uid="{00000000-0005-0000-0000-000009A80000}"/>
    <cellStyle name="Normal 5 3 3 2 3 6" xfId="14150" xr:uid="{00000000-0005-0000-0000-00000AA80000}"/>
    <cellStyle name="Normal 5 3 3 2 4" xfId="6046" xr:uid="{00000000-0005-0000-0000-00000BA80000}"/>
    <cellStyle name="Normal 5 3 3 2 4 2" xfId="25497" xr:uid="{00000000-0005-0000-0000-00000CA80000}"/>
    <cellStyle name="Normal 5 3 3 2 4 3" xfId="35222" xr:uid="{00000000-0005-0000-0000-00000DA80000}"/>
    <cellStyle name="Normal 5 3 3 2 4 4" xfId="44947" xr:uid="{00000000-0005-0000-0000-00000EA80000}"/>
    <cellStyle name="Normal 5 3 3 2 4 5" xfId="15772" xr:uid="{00000000-0005-0000-0000-00000FA80000}"/>
    <cellStyle name="Normal 5 3 3 2 5" xfId="20635" xr:uid="{00000000-0005-0000-0000-000010A80000}"/>
    <cellStyle name="Normal 5 3 3 2 6" xfId="30360" xr:uid="{00000000-0005-0000-0000-000011A80000}"/>
    <cellStyle name="Normal 5 3 3 2 7" xfId="40085" xr:uid="{00000000-0005-0000-0000-000012A80000}"/>
    <cellStyle name="Normal 5 3 3 2 8" xfId="10910" xr:uid="{00000000-0005-0000-0000-000013A80000}"/>
    <cellStyle name="Normal 5 3 3 3" xfId="1633" xr:uid="{00000000-0005-0000-0000-000014A80000}"/>
    <cellStyle name="Normal 5 3 3 3 2" xfId="3254" xr:uid="{00000000-0005-0000-0000-000015A80000}"/>
    <cellStyle name="Normal 5 3 3 3 2 2" xfId="8116" xr:uid="{00000000-0005-0000-0000-000016A80000}"/>
    <cellStyle name="Normal 5 3 3 3 2 2 2" xfId="27567" xr:uid="{00000000-0005-0000-0000-000017A80000}"/>
    <cellStyle name="Normal 5 3 3 3 2 2 3" xfId="37292" xr:uid="{00000000-0005-0000-0000-000018A80000}"/>
    <cellStyle name="Normal 5 3 3 3 2 2 4" xfId="47017" xr:uid="{00000000-0005-0000-0000-000019A80000}"/>
    <cellStyle name="Normal 5 3 3 3 2 2 5" xfId="17842" xr:uid="{00000000-0005-0000-0000-00001AA80000}"/>
    <cellStyle name="Normal 5 3 3 3 2 3" xfId="22705" xr:uid="{00000000-0005-0000-0000-00001BA80000}"/>
    <cellStyle name="Normal 5 3 3 3 2 4" xfId="32430" xr:uid="{00000000-0005-0000-0000-00001CA80000}"/>
    <cellStyle name="Normal 5 3 3 3 2 5" xfId="42155" xr:uid="{00000000-0005-0000-0000-00001DA80000}"/>
    <cellStyle name="Normal 5 3 3 3 2 6" xfId="12980" xr:uid="{00000000-0005-0000-0000-00001EA80000}"/>
    <cellStyle name="Normal 5 3 3 3 3" xfId="4874" xr:uid="{00000000-0005-0000-0000-00001FA80000}"/>
    <cellStyle name="Normal 5 3 3 3 3 2" xfId="9736" xr:uid="{00000000-0005-0000-0000-000020A80000}"/>
    <cellStyle name="Normal 5 3 3 3 3 2 2" xfId="29187" xr:uid="{00000000-0005-0000-0000-000021A80000}"/>
    <cellStyle name="Normal 5 3 3 3 3 2 3" xfId="38912" xr:uid="{00000000-0005-0000-0000-000022A80000}"/>
    <cellStyle name="Normal 5 3 3 3 3 2 4" xfId="48637" xr:uid="{00000000-0005-0000-0000-000023A80000}"/>
    <cellStyle name="Normal 5 3 3 3 3 2 5" xfId="19462" xr:uid="{00000000-0005-0000-0000-000024A80000}"/>
    <cellStyle name="Normal 5 3 3 3 3 3" xfId="24325" xr:uid="{00000000-0005-0000-0000-000025A80000}"/>
    <cellStyle name="Normal 5 3 3 3 3 4" xfId="34050" xr:uid="{00000000-0005-0000-0000-000026A80000}"/>
    <cellStyle name="Normal 5 3 3 3 3 5" xfId="43775" xr:uid="{00000000-0005-0000-0000-000027A80000}"/>
    <cellStyle name="Normal 5 3 3 3 3 6" xfId="14600" xr:uid="{00000000-0005-0000-0000-000028A80000}"/>
    <cellStyle name="Normal 5 3 3 3 4" xfId="6496" xr:uid="{00000000-0005-0000-0000-000029A80000}"/>
    <cellStyle name="Normal 5 3 3 3 4 2" xfId="25947" xr:uid="{00000000-0005-0000-0000-00002AA80000}"/>
    <cellStyle name="Normal 5 3 3 3 4 3" xfId="35672" xr:uid="{00000000-0005-0000-0000-00002BA80000}"/>
    <cellStyle name="Normal 5 3 3 3 4 4" xfId="45397" xr:uid="{00000000-0005-0000-0000-00002CA80000}"/>
    <cellStyle name="Normal 5 3 3 3 4 5" xfId="16222" xr:uid="{00000000-0005-0000-0000-00002DA80000}"/>
    <cellStyle name="Normal 5 3 3 3 5" xfId="21085" xr:uid="{00000000-0005-0000-0000-00002EA80000}"/>
    <cellStyle name="Normal 5 3 3 3 6" xfId="30810" xr:uid="{00000000-0005-0000-0000-00002FA80000}"/>
    <cellStyle name="Normal 5 3 3 3 7" xfId="40535" xr:uid="{00000000-0005-0000-0000-000030A80000}"/>
    <cellStyle name="Normal 5 3 3 3 8" xfId="11360" xr:uid="{00000000-0005-0000-0000-000031A80000}"/>
    <cellStyle name="Normal 5 3 3 4" xfId="804" xr:uid="{00000000-0005-0000-0000-000032A80000}"/>
    <cellStyle name="Normal 5 3 3 4 2" xfId="2444" xr:uid="{00000000-0005-0000-0000-000033A80000}"/>
    <cellStyle name="Normal 5 3 3 4 2 2" xfId="7306" xr:uid="{00000000-0005-0000-0000-000034A80000}"/>
    <cellStyle name="Normal 5 3 3 4 2 2 2" xfId="26757" xr:uid="{00000000-0005-0000-0000-000035A80000}"/>
    <cellStyle name="Normal 5 3 3 4 2 2 3" xfId="36482" xr:uid="{00000000-0005-0000-0000-000036A80000}"/>
    <cellStyle name="Normal 5 3 3 4 2 2 4" xfId="46207" xr:uid="{00000000-0005-0000-0000-000037A80000}"/>
    <cellStyle name="Normal 5 3 3 4 2 2 5" xfId="17032" xr:uid="{00000000-0005-0000-0000-000038A80000}"/>
    <cellStyle name="Normal 5 3 3 4 2 3" xfId="21895" xr:uid="{00000000-0005-0000-0000-000039A80000}"/>
    <cellStyle name="Normal 5 3 3 4 2 4" xfId="31620" xr:uid="{00000000-0005-0000-0000-00003AA80000}"/>
    <cellStyle name="Normal 5 3 3 4 2 5" xfId="41345" xr:uid="{00000000-0005-0000-0000-00003BA80000}"/>
    <cellStyle name="Normal 5 3 3 4 2 6" xfId="12170" xr:uid="{00000000-0005-0000-0000-00003CA80000}"/>
    <cellStyle name="Normal 5 3 3 4 3" xfId="4064" xr:uid="{00000000-0005-0000-0000-00003DA80000}"/>
    <cellStyle name="Normal 5 3 3 4 3 2" xfId="8926" xr:uid="{00000000-0005-0000-0000-00003EA80000}"/>
    <cellStyle name="Normal 5 3 3 4 3 2 2" xfId="28377" xr:uid="{00000000-0005-0000-0000-00003FA80000}"/>
    <cellStyle name="Normal 5 3 3 4 3 2 3" xfId="38102" xr:uid="{00000000-0005-0000-0000-000040A80000}"/>
    <cellStyle name="Normal 5 3 3 4 3 2 4" xfId="47827" xr:uid="{00000000-0005-0000-0000-000041A80000}"/>
    <cellStyle name="Normal 5 3 3 4 3 2 5" xfId="18652" xr:uid="{00000000-0005-0000-0000-000042A80000}"/>
    <cellStyle name="Normal 5 3 3 4 3 3" xfId="23515" xr:uid="{00000000-0005-0000-0000-000043A80000}"/>
    <cellStyle name="Normal 5 3 3 4 3 4" xfId="33240" xr:uid="{00000000-0005-0000-0000-000044A80000}"/>
    <cellStyle name="Normal 5 3 3 4 3 5" xfId="42965" xr:uid="{00000000-0005-0000-0000-000045A80000}"/>
    <cellStyle name="Normal 5 3 3 4 3 6" xfId="13790" xr:uid="{00000000-0005-0000-0000-000046A80000}"/>
    <cellStyle name="Normal 5 3 3 4 4" xfId="5686" xr:uid="{00000000-0005-0000-0000-000047A80000}"/>
    <cellStyle name="Normal 5 3 3 4 4 2" xfId="25137" xr:uid="{00000000-0005-0000-0000-000048A80000}"/>
    <cellStyle name="Normal 5 3 3 4 4 3" xfId="34862" xr:uid="{00000000-0005-0000-0000-000049A80000}"/>
    <cellStyle name="Normal 5 3 3 4 4 4" xfId="44587" xr:uid="{00000000-0005-0000-0000-00004AA80000}"/>
    <cellStyle name="Normal 5 3 3 4 4 5" xfId="15412" xr:uid="{00000000-0005-0000-0000-00004BA80000}"/>
    <cellStyle name="Normal 5 3 3 4 5" xfId="20275" xr:uid="{00000000-0005-0000-0000-00004CA80000}"/>
    <cellStyle name="Normal 5 3 3 4 6" xfId="30000" xr:uid="{00000000-0005-0000-0000-00004DA80000}"/>
    <cellStyle name="Normal 5 3 3 4 7" xfId="39725" xr:uid="{00000000-0005-0000-0000-00004EA80000}"/>
    <cellStyle name="Normal 5 3 3 4 8" xfId="10550" xr:uid="{00000000-0005-0000-0000-00004FA80000}"/>
    <cellStyle name="Normal 5 3 3 5" xfId="2084" xr:uid="{00000000-0005-0000-0000-000050A80000}"/>
    <cellStyle name="Normal 5 3 3 5 2" xfId="6946" xr:uid="{00000000-0005-0000-0000-000051A80000}"/>
    <cellStyle name="Normal 5 3 3 5 2 2" xfId="26397" xr:uid="{00000000-0005-0000-0000-000052A80000}"/>
    <cellStyle name="Normal 5 3 3 5 2 3" xfId="36122" xr:uid="{00000000-0005-0000-0000-000053A80000}"/>
    <cellStyle name="Normal 5 3 3 5 2 4" xfId="45847" xr:uid="{00000000-0005-0000-0000-000054A80000}"/>
    <cellStyle name="Normal 5 3 3 5 2 5" xfId="16672" xr:uid="{00000000-0005-0000-0000-000055A80000}"/>
    <cellStyle name="Normal 5 3 3 5 3" xfId="21535" xr:uid="{00000000-0005-0000-0000-000056A80000}"/>
    <cellStyle name="Normal 5 3 3 5 4" xfId="31260" xr:uid="{00000000-0005-0000-0000-000057A80000}"/>
    <cellStyle name="Normal 5 3 3 5 5" xfId="40985" xr:uid="{00000000-0005-0000-0000-000058A80000}"/>
    <cellStyle name="Normal 5 3 3 5 6" xfId="11810" xr:uid="{00000000-0005-0000-0000-000059A80000}"/>
    <cellStyle name="Normal 5 3 3 6" xfId="3704" xr:uid="{00000000-0005-0000-0000-00005AA80000}"/>
    <cellStyle name="Normal 5 3 3 6 2" xfId="8566" xr:uid="{00000000-0005-0000-0000-00005BA80000}"/>
    <cellStyle name="Normal 5 3 3 6 2 2" xfId="28017" xr:uid="{00000000-0005-0000-0000-00005CA80000}"/>
    <cellStyle name="Normal 5 3 3 6 2 3" xfId="37742" xr:uid="{00000000-0005-0000-0000-00005DA80000}"/>
    <cellStyle name="Normal 5 3 3 6 2 4" xfId="47467" xr:uid="{00000000-0005-0000-0000-00005EA80000}"/>
    <cellStyle name="Normal 5 3 3 6 2 5" xfId="18292" xr:uid="{00000000-0005-0000-0000-00005FA80000}"/>
    <cellStyle name="Normal 5 3 3 6 3" xfId="23155" xr:uid="{00000000-0005-0000-0000-000060A80000}"/>
    <cellStyle name="Normal 5 3 3 6 4" xfId="32880" xr:uid="{00000000-0005-0000-0000-000061A80000}"/>
    <cellStyle name="Normal 5 3 3 6 5" xfId="42605" xr:uid="{00000000-0005-0000-0000-000062A80000}"/>
    <cellStyle name="Normal 5 3 3 6 6" xfId="13430" xr:uid="{00000000-0005-0000-0000-000063A80000}"/>
    <cellStyle name="Normal 5 3 3 7" xfId="5326" xr:uid="{00000000-0005-0000-0000-000064A80000}"/>
    <cellStyle name="Normal 5 3 3 7 2" xfId="24777" xr:uid="{00000000-0005-0000-0000-000065A80000}"/>
    <cellStyle name="Normal 5 3 3 7 3" xfId="34502" xr:uid="{00000000-0005-0000-0000-000066A80000}"/>
    <cellStyle name="Normal 5 3 3 7 4" xfId="44227" xr:uid="{00000000-0005-0000-0000-000067A80000}"/>
    <cellStyle name="Normal 5 3 3 7 5" xfId="15052" xr:uid="{00000000-0005-0000-0000-000068A80000}"/>
    <cellStyle name="Normal 5 3 3 8" xfId="19915" xr:uid="{00000000-0005-0000-0000-000069A80000}"/>
    <cellStyle name="Normal 5 3 3 9" xfId="29640" xr:uid="{00000000-0005-0000-0000-00006AA80000}"/>
    <cellStyle name="Normal 5 3 4" xfId="221" xr:uid="{00000000-0005-0000-0000-00006BA80000}"/>
    <cellStyle name="Normal 5 3 4 10" xfId="39185" xr:uid="{00000000-0005-0000-0000-00006CA80000}"/>
    <cellStyle name="Normal 5 3 4 11" xfId="10010" xr:uid="{00000000-0005-0000-0000-00006DA80000}"/>
    <cellStyle name="Normal 5 3 4 2" xfId="985" xr:uid="{00000000-0005-0000-0000-00006EA80000}"/>
    <cellStyle name="Normal 5 3 4 2 2" xfId="2624" xr:uid="{00000000-0005-0000-0000-00006FA80000}"/>
    <cellStyle name="Normal 5 3 4 2 2 2" xfId="7486" xr:uid="{00000000-0005-0000-0000-000070A80000}"/>
    <cellStyle name="Normal 5 3 4 2 2 2 2" xfId="26937" xr:uid="{00000000-0005-0000-0000-000071A80000}"/>
    <cellStyle name="Normal 5 3 4 2 2 2 3" xfId="36662" xr:uid="{00000000-0005-0000-0000-000072A80000}"/>
    <cellStyle name="Normal 5 3 4 2 2 2 4" xfId="46387" xr:uid="{00000000-0005-0000-0000-000073A80000}"/>
    <cellStyle name="Normal 5 3 4 2 2 2 5" xfId="17212" xr:uid="{00000000-0005-0000-0000-000074A80000}"/>
    <cellStyle name="Normal 5 3 4 2 2 3" xfId="22075" xr:uid="{00000000-0005-0000-0000-000075A80000}"/>
    <cellStyle name="Normal 5 3 4 2 2 4" xfId="31800" xr:uid="{00000000-0005-0000-0000-000076A80000}"/>
    <cellStyle name="Normal 5 3 4 2 2 5" xfId="41525" xr:uid="{00000000-0005-0000-0000-000077A80000}"/>
    <cellStyle name="Normal 5 3 4 2 2 6" xfId="12350" xr:uid="{00000000-0005-0000-0000-000078A80000}"/>
    <cellStyle name="Normal 5 3 4 2 3" xfId="4244" xr:uid="{00000000-0005-0000-0000-000079A80000}"/>
    <cellStyle name="Normal 5 3 4 2 3 2" xfId="9106" xr:uid="{00000000-0005-0000-0000-00007AA80000}"/>
    <cellStyle name="Normal 5 3 4 2 3 2 2" xfId="28557" xr:uid="{00000000-0005-0000-0000-00007BA80000}"/>
    <cellStyle name="Normal 5 3 4 2 3 2 3" xfId="38282" xr:uid="{00000000-0005-0000-0000-00007CA80000}"/>
    <cellStyle name="Normal 5 3 4 2 3 2 4" xfId="48007" xr:uid="{00000000-0005-0000-0000-00007DA80000}"/>
    <cellStyle name="Normal 5 3 4 2 3 2 5" xfId="18832" xr:uid="{00000000-0005-0000-0000-00007EA80000}"/>
    <cellStyle name="Normal 5 3 4 2 3 3" xfId="23695" xr:uid="{00000000-0005-0000-0000-00007FA80000}"/>
    <cellStyle name="Normal 5 3 4 2 3 4" xfId="33420" xr:uid="{00000000-0005-0000-0000-000080A80000}"/>
    <cellStyle name="Normal 5 3 4 2 3 5" xfId="43145" xr:uid="{00000000-0005-0000-0000-000081A80000}"/>
    <cellStyle name="Normal 5 3 4 2 3 6" xfId="13970" xr:uid="{00000000-0005-0000-0000-000082A80000}"/>
    <cellStyle name="Normal 5 3 4 2 4" xfId="5866" xr:uid="{00000000-0005-0000-0000-000083A80000}"/>
    <cellStyle name="Normal 5 3 4 2 4 2" xfId="25317" xr:uid="{00000000-0005-0000-0000-000084A80000}"/>
    <cellStyle name="Normal 5 3 4 2 4 3" xfId="35042" xr:uid="{00000000-0005-0000-0000-000085A80000}"/>
    <cellStyle name="Normal 5 3 4 2 4 4" xfId="44767" xr:uid="{00000000-0005-0000-0000-000086A80000}"/>
    <cellStyle name="Normal 5 3 4 2 4 5" xfId="15592" xr:uid="{00000000-0005-0000-0000-000087A80000}"/>
    <cellStyle name="Normal 5 3 4 2 5" xfId="20455" xr:uid="{00000000-0005-0000-0000-000088A80000}"/>
    <cellStyle name="Normal 5 3 4 2 6" xfId="30180" xr:uid="{00000000-0005-0000-0000-000089A80000}"/>
    <cellStyle name="Normal 5 3 4 2 7" xfId="39905" xr:uid="{00000000-0005-0000-0000-00008AA80000}"/>
    <cellStyle name="Normal 5 3 4 2 8" xfId="10730" xr:uid="{00000000-0005-0000-0000-00008BA80000}"/>
    <cellStyle name="Normal 5 3 4 3" xfId="1453" xr:uid="{00000000-0005-0000-0000-00008CA80000}"/>
    <cellStyle name="Normal 5 3 4 3 2" xfId="3074" xr:uid="{00000000-0005-0000-0000-00008DA80000}"/>
    <cellStyle name="Normal 5 3 4 3 2 2" xfId="7936" xr:uid="{00000000-0005-0000-0000-00008EA80000}"/>
    <cellStyle name="Normal 5 3 4 3 2 2 2" xfId="27387" xr:uid="{00000000-0005-0000-0000-00008FA80000}"/>
    <cellStyle name="Normal 5 3 4 3 2 2 3" xfId="37112" xr:uid="{00000000-0005-0000-0000-000090A80000}"/>
    <cellStyle name="Normal 5 3 4 3 2 2 4" xfId="46837" xr:uid="{00000000-0005-0000-0000-000091A80000}"/>
    <cellStyle name="Normal 5 3 4 3 2 2 5" xfId="17662" xr:uid="{00000000-0005-0000-0000-000092A80000}"/>
    <cellStyle name="Normal 5 3 4 3 2 3" xfId="22525" xr:uid="{00000000-0005-0000-0000-000093A80000}"/>
    <cellStyle name="Normal 5 3 4 3 2 4" xfId="32250" xr:uid="{00000000-0005-0000-0000-000094A80000}"/>
    <cellStyle name="Normal 5 3 4 3 2 5" xfId="41975" xr:uid="{00000000-0005-0000-0000-000095A80000}"/>
    <cellStyle name="Normal 5 3 4 3 2 6" xfId="12800" xr:uid="{00000000-0005-0000-0000-000096A80000}"/>
    <cellStyle name="Normal 5 3 4 3 3" xfId="4694" xr:uid="{00000000-0005-0000-0000-000097A80000}"/>
    <cellStyle name="Normal 5 3 4 3 3 2" xfId="9556" xr:uid="{00000000-0005-0000-0000-000098A80000}"/>
    <cellStyle name="Normal 5 3 4 3 3 2 2" xfId="29007" xr:uid="{00000000-0005-0000-0000-000099A80000}"/>
    <cellStyle name="Normal 5 3 4 3 3 2 3" xfId="38732" xr:uid="{00000000-0005-0000-0000-00009AA80000}"/>
    <cellStyle name="Normal 5 3 4 3 3 2 4" xfId="48457" xr:uid="{00000000-0005-0000-0000-00009BA80000}"/>
    <cellStyle name="Normal 5 3 4 3 3 2 5" xfId="19282" xr:uid="{00000000-0005-0000-0000-00009CA80000}"/>
    <cellStyle name="Normal 5 3 4 3 3 3" xfId="24145" xr:uid="{00000000-0005-0000-0000-00009DA80000}"/>
    <cellStyle name="Normal 5 3 4 3 3 4" xfId="33870" xr:uid="{00000000-0005-0000-0000-00009EA80000}"/>
    <cellStyle name="Normal 5 3 4 3 3 5" xfId="43595" xr:uid="{00000000-0005-0000-0000-00009FA80000}"/>
    <cellStyle name="Normal 5 3 4 3 3 6" xfId="14420" xr:uid="{00000000-0005-0000-0000-0000A0A80000}"/>
    <cellStyle name="Normal 5 3 4 3 4" xfId="6316" xr:uid="{00000000-0005-0000-0000-0000A1A80000}"/>
    <cellStyle name="Normal 5 3 4 3 4 2" xfId="25767" xr:uid="{00000000-0005-0000-0000-0000A2A80000}"/>
    <cellStyle name="Normal 5 3 4 3 4 3" xfId="35492" xr:uid="{00000000-0005-0000-0000-0000A3A80000}"/>
    <cellStyle name="Normal 5 3 4 3 4 4" xfId="45217" xr:uid="{00000000-0005-0000-0000-0000A4A80000}"/>
    <cellStyle name="Normal 5 3 4 3 4 5" xfId="16042" xr:uid="{00000000-0005-0000-0000-0000A5A80000}"/>
    <cellStyle name="Normal 5 3 4 3 5" xfId="20905" xr:uid="{00000000-0005-0000-0000-0000A6A80000}"/>
    <cellStyle name="Normal 5 3 4 3 6" xfId="30630" xr:uid="{00000000-0005-0000-0000-0000A7A80000}"/>
    <cellStyle name="Normal 5 3 4 3 7" xfId="40355" xr:uid="{00000000-0005-0000-0000-0000A8A80000}"/>
    <cellStyle name="Normal 5 3 4 3 8" xfId="11180" xr:uid="{00000000-0005-0000-0000-0000A9A80000}"/>
    <cellStyle name="Normal 5 3 4 4" xfId="624" xr:uid="{00000000-0005-0000-0000-0000AAA80000}"/>
    <cellStyle name="Normal 5 3 4 4 2" xfId="2264" xr:uid="{00000000-0005-0000-0000-0000ABA80000}"/>
    <cellStyle name="Normal 5 3 4 4 2 2" xfId="7126" xr:uid="{00000000-0005-0000-0000-0000ACA80000}"/>
    <cellStyle name="Normal 5 3 4 4 2 2 2" xfId="26577" xr:uid="{00000000-0005-0000-0000-0000ADA80000}"/>
    <cellStyle name="Normal 5 3 4 4 2 2 3" xfId="36302" xr:uid="{00000000-0005-0000-0000-0000AEA80000}"/>
    <cellStyle name="Normal 5 3 4 4 2 2 4" xfId="46027" xr:uid="{00000000-0005-0000-0000-0000AFA80000}"/>
    <cellStyle name="Normal 5 3 4 4 2 2 5" xfId="16852" xr:uid="{00000000-0005-0000-0000-0000B0A80000}"/>
    <cellStyle name="Normal 5 3 4 4 2 3" xfId="21715" xr:uid="{00000000-0005-0000-0000-0000B1A80000}"/>
    <cellStyle name="Normal 5 3 4 4 2 4" xfId="31440" xr:uid="{00000000-0005-0000-0000-0000B2A80000}"/>
    <cellStyle name="Normal 5 3 4 4 2 5" xfId="41165" xr:uid="{00000000-0005-0000-0000-0000B3A80000}"/>
    <cellStyle name="Normal 5 3 4 4 2 6" xfId="11990" xr:uid="{00000000-0005-0000-0000-0000B4A80000}"/>
    <cellStyle name="Normal 5 3 4 4 3" xfId="3884" xr:uid="{00000000-0005-0000-0000-0000B5A80000}"/>
    <cellStyle name="Normal 5 3 4 4 3 2" xfId="8746" xr:uid="{00000000-0005-0000-0000-0000B6A80000}"/>
    <cellStyle name="Normal 5 3 4 4 3 2 2" xfId="28197" xr:uid="{00000000-0005-0000-0000-0000B7A80000}"/>
    <cellStyle name="Normal 5 3 4 4 3 2 3" xfId="37922" xr:uid="{00000000-0005-0000-0000-0000B8A80000}"/>
    <cellStyle name="Normal 5 3 4 4 3 2 4" xfId="47647" xr:uid="{00000000-0005-0000-0000-0000B9A80000}"/>
    <cellStyle name="Normal 5 3 4 4 3 2 5" xfId="18472" xr:uid="{00000000-0005-0000-0000-0000BAA80000}"/>
    <cellStyle name="Normal 5 3 4 4 3 3" xfId="23335" xr:uid="{00000000-0005-0000-0000-0000BBA80000}"/>
    <cellStyle name="Normal 5 3 4 4 3 4" xfId="33060" xr:uid="{00000000-0005-0000-0000-0000BCA80000}"/>
    <cellStyle name="Normal 5 3 4 4 3 5" xfId="42785" xr:uid="{00000000-0005-0000-0000-0000BDA80000}"/>
    <cellStyle name="Normal 5 3 4 4 3 6" xfId="13610" xr:uid="{00000000-0005-0000-0000-0000BEA80000}"/>
    <cellStyle name="Normal 5 3 4 4 4" xfId="5506" xr:uid="{00000000-0005-0000-0000-0000BFA80000}"/>
    <cellStyle name="Normal 5 3 4 4 4 2" xfId="24957" xr:uid="{00000000-0005-0000-0000-0000C0A80000}"/>
    <cellStyle name="Normal 5 3 4 4 4 3" xfId="34682" xr:uid="{00000000-0005-0000-0000-0000C1A80000}"/>
    <cellStyle name="Normal 5 3 4 4 4 4" xfId="44407" xr:uid="{00000000-0005-0000-0000-0000C2A80000}"/>
    <cellStyle name="Normal 5 3 4 4 4 5" xfId="15232" xr:uid="{00000000-0005-0000-0000-0000C3A80000}"/>
    <cellStyle name="Normal 5 3 4 4 5" xfId="20095" xr:uid="{00000000-0005-0000-0000-0000C4A80000}"/>
    <cellStyle name="Normal 5 3 4 4 6" xfId="29820" xr:uid="{00000000-0005-0000-0000-0000C5A80000}"/>
    <cellStyle name="Normal 5 3 4 4 7" xfId="39545" xr:uid="{00000000-0005-0000-0000-0000C6A80000}"/>
    <cellStyle name="Normal 5 3 4 4 8" xfId="10370" xr:uid="{00000000-0005-0000-0000-0000C7A80000}"/>
    <cellStyle name="Normal 5 3 4 5" xfId="1904" xr:uid="{00000000-0005-0000-0000-0000C8A80000}"/>
    <cellStyle name="Normal 5 3 4 5 2" xfId="6766" xr:uid="{00000000-0005-0000-0000-0000C9A80000}"/>
    <cellStyle name="Normal 5 3 4 5 2 2" xfId="26217" xr:uid="{00000000-0005-0000-0000-0000CAA80000}"/>
    <cellStyle name="Normal 5 3 4 5 2 3" xfId="35942" xr:uid="{00000000-0005-0000-0000-0000CBA80000}"/>
    <cellStyle name="Normal 5 3 4 5 2 4" xfId="45667" xr:uid="{00000000-0005-0000-0000-0000CCA80000}"/>
    <cellStyle name="Normal 5 3 4 5 2 5" xfId="16492" xr:uid="{00000000-0005-0000-0000-0000CDA80000}"/>
    <cellStyle name="Normal 5 3 4 5 3" xfId="21355" xr:uid="{00000000-0005-0000-0000-0000CEA80000}"/>
    <cellStyle name="Normal 5 3 4 5 4" xfId="31080" xr:uid="{00000000-0005-0000-0000-0000CFA80000}"/>
    <cellStyle name="Normal 5 3 4 5 5" xfId="40805" xr:uid="{00000000-0005-0000-0000-0000D0A80000}"/>
    <cellStyle name="Normal 5 3 4 5 6" xfId="11630" xr:uid="{00000000-0005-0000-0000-0000D1A80000}"/>
    <cellStyle name="Normal 5 3 4 6" xfId="3524" xr:uid="{00000000-0005-0000-0000-0000D2A80000}"/>
    <cellStyle name="Normal 5 3 4 6 2" xfId="8386" xr:uid="{00000000-0005-0000-0000-0000D3A80000}"/>
    <cellStyle name="Normal 5 3 4 6 2 2" xfId="27837" xr:uid="{00000000-0005-0000-0000-0000D4A80000}"/>
    <cellStyle name="Normal 5 3 4 6 2 3" xfId="37562" xr:uid="{00000000-0005-0000-0000-0000D5A80000}"/>
    <cellStyle name="Normal 5 3 4 6 2 4" xfId="47287" xr:uid="{00000000-0005-0000-0000-0000D6A80000}"/>
    <cellStyle name="Normal 5 3 4 6 2 5" xfId="18112" xr:uid="{00000000-0005-0000-0000-0000D7A80000}"/>
    <cellStyle name="Normal 5 3 4 6 3" xfId="22975" xr:uid="{00000000-0005-0000-0000-0000D8A80000}"/>
    <cellStyle name="Normal 5 3 4 6 4" xfId="32700" xr:uid="{00000000-0005-0000-0000-0000D9A80000}"/>
    <cellStyle name="Normal 5 3 4 6 5" xfId="42425" xr:uid="{00000000-0005-0000-0000-0000DAA80000}"/>
    <cellStyle name="Normal 5 3 4 6 6" xfId="13250" xr:uid="{00000000-0005-0000-0000-0000DBA80000}"/>
    <cellStyle name="Normal 5 3 4 7" xfId="5146" xr:uid="{00000000-0005-0000-0000-0000DCA80000}"/>
    <cellStyle name="Normal 5 3 4 7 2" xfId="24597" xr:uid="{00000000-0005-0000-0000-0000DDA80000}"/>
    <cellStyle name="Normal 5 3 4 7 3" xfId="34322" xr:uid="{00000000-0005-0000-0000-0000DEA80000}"/>
    <cellStyle name="Normal 5 3 4 7 4" xfId="44047" xr:uid="{00000000-0005-0000-0000-0000DFA80000}"/>
    <cellStyle name="Normal 5 3 4 7 5" xfId="14872" xr:uid="{00000000-0005-0000-0000-0000E0A80000}"/>
    <cellStyle name="Normal 5 3 4 8" xfId="19735" xr:uid="{00000000-0005-0000-0000-0000E1A80000}"/>
    <cellStyle name="Normal 5 3 4 9" xfId="29460" xr:uid="{00000000-0005-0000-0000-0000E2A80000}"/>
    <cellStyle name="Normal 5 3 5" xfId="895" xr:uid="{00000000-0005-0000-0000-0000E3A80000}"/>
    <cellStyle name="Normal 5 3 5 2" xfId="2534" xr:uid="{00000000-0005-0000-0000-0000E4A80000}"/>
    <cellStyle name="Normal 5 3 5 2 2" xfId="7396" xr:uid="{00000000-0005-0000-0000-0000E5A80000}"/>
    <cellStyle name="Normal 5 3 5 2 2 2" xfId="26847" xr:uid="{00000000-0005-0000-0000-0000E6A80000}"/>
    <cellStyle name="Normal 5 3 5 2 2 3" xfId="36572" xr:uid="{00000000-0005-0000-0000-0000E7A80000}"/>
    <cellStyle name="Normal 5 3 5 2 2 4" xfId="46297" xr:uid="{00000000-0005-0000-0000-0000E8A80000}"/>
    <cellStyle name="Normal 5 3 5 2 2 5" xfId="17122" xr:uid="{00000000-0005-0000-0000-0000E9A80000}"/>
    <cellStyle name="Normal 5 3 5 2 3" xfId="21985" xr:uid="{00000000-0005-0000-0000-0000EAA80000}"/>
    <cellStyle name="Normal 5 3 5 2 4" xfId="31710" xr:uid="{00000000-0005-0000-0000-0000EBA80000}"/>
    <cellStyle name="Normal 5 3 5 2 5" xfId="41435" xr:uid="{00000000-0005-0000-0000-0000ECA80000}"/>
    <cellStyle name="Normal 5 3 5 2 6" xfId="12260" xr:uid="{00000000-0005-0000-0000-0000EDA80000}"/>
    <cellStyle name="Normal 5 3 5 3" xfId="4154" xr:uid="{00000000-0005-0000-0000-0000EEA80000}"/>
    <cellStyle name="Normal 5 3 5 3 2" xfId="9016" xr:uid="{00000000-0005-0000-0000-0000EFA80000}"/>
    <cellStyle name="Normal 5 3 5 3 2 2" xfId="28467" xr:uid="{00000000-0005-0000-0000-0000F0A80000}"/>
    <cellStyle name="Normal 5 3 5 3 2 3" xfId="38192" xr:uid="{00000000-0005-0000-0000-0000F1A80000}"/>
    <cellStyle name="Normal 5 3 5 3 2 4" xfId="47917" xr:uid="{00000000-0005-0000-0000-0000F2A80000}"/>
    <cellStyle name="Normal 5 3 5 3 2 5" xfId="18742" xr:uid="{00000000-0005-0000-0000-0000F3A80000}"/>
    <cellStyle name="Normal 5 3 5 3 3" xfId="23605" xr:uid="{00000000-0005-0000-0000-0000F4A80000}"/>
    <cellStyle name="Normal 5 3 5 3 4" xfId="33330" xr:uid="{00000000-0005-0000-0000-0000F5A80000}"/>
    <cellStyle name="Normal 5 3 5 3 5" xfId="43055" xr:uid="{00000000-0005-0000-0000-0000F6A80000}"/>
    <cellStyle name="Normal 5 3 5 3 6" xfId="13880" xr:uid="{00000000-0005-0000-0000-0000F7A80000}"/>
    <cellStyle name="Normal 5 3 5 4" xfId="5776" xr:uid="{00000000-0005-0000-0000-0000F8A80000}"/>
    <cellStyle name="Normal 5 3 5 4 2" xfId="25227" xr:uid="{00000000-0005-0000-0000-0000F9A80000}"/>
    <cellStyle name="Normal 5 3 5 4 3" xfId="34952" xr:uid="{00000000-0005-0000-0000-0000FAA80000}"/>
    <cellStyle name="Normal 5 3 5 4 4" xfId="44677" xr:uid="{00000000-0005-0000-0000-0000FBA80000}"/>
    <cellStyle name="Normal 5 3 5 4 5" xfId="15502" xr:uid="{00000000-0005-0000-0000-0000FCA80000}"/>
    <cellStyle name="Normal 5 3 5 5" xfId="20365" xr:uid="{00000000-0005-0000-0000-0000FDA80000}"/>
    <cellStyle name="Normal 5 3 5 6" xfId="30090" xr:uid="{00000000-0005-0000-0000-0000FEA80000}"/>
    <cellStyle name="Normal 5 3 5 7" xfId="39815" xr:uid="{00000000-0005-0000-0000-0000FFA80000}"/>
    <cellStyle name="Normal 5 3 5 8" xfId="10640" xr:uid="{00000000-0005-0000-0000-000000A90000}"/>
    <cellStyle name="Normal 5 3 6" xfId="1273" xr:uid="{00000000-0005-0000-0000-000001A90000}"/>
    <cellStyle name="Normal 5 3 6 2" xfId="2894" xr:uid="{00000000-0005-0000-0000-000002A90000}"/>
    <cellStyle name="Normal 5 3 6 2 2" xfId="7756" xr:uid="{00000000-0005-0000-0000-000003A90000}"/>
    <cellStyle name="Normal 5 3 6 2 2 2" xfId="27207" xr:uid="{00000000-0005-0000-0000-000004A90000}"/>
    <cellStyle name="Normal 5 3 6 2 2 3" xfId="36932" xr:uid="{00000000-0005-0000-0000-000005A90000}"/>
    <cellStyle name="Normal 5 3 6 2 2 4" xfId="46657" xr:uid="{00000000-0005-0000-0000-000006A90000}"/>
    <cellStyle name="Normal 5 3 6 2 2 5" xfId="17482" xr:uid="{00000000-0005-0000-0000-000007A90000}"/>
    <cellStyle name="Normal 5 3 6 2 3" xfId="22345" xr:uid="{00000000-0005-0000-0000-000008A90000}"/>
    <cellStyle name="Normal 5 3 6 2 4" xfId="32070" xr:uid="{00000000-0005-0000-0000-000009A90000}"/>
    <cellStyle name="Normal 5 3 6 2 5" xfId="41795" xr:uid="{00000000-0005-0000-0000-00000AA90000}"/>
    <cellStyle name="Normal 5 3 6 2 6" xfId="12620" xr:uid="{00000000-0005-0000-0000-00000BA90000}"/>
    <cellStyle name="Normal 5 3 6 3" xfId="4514" xr:uid="{00000000-0005-0000-0000-00000CA90000}"/>
    <cellStyle name="Normal 5 3 6 3 2" xfId="9376" xr:uid="{00000000-0005-0000-0000-00000DA90000}"/>
    <cellStyle name="Normal 5 3 6 3 2 2" xfId="28827" xr:uid="{00000000-0005-0000-0000-00000EA90000}"/>
    <cellStyle name="Normal 5 3 6 3 2 3" xfId="38552" xr:uid="{00000000-0005-0000-0000-00000FA90000}"/>
    <cellStyle name="Normal 5 3 6 3 2 4" xfId="48277" xr:uid="{00000000-0005-0000-0000-000010A90000}"/>
    <cellStyle name="Normal 5 3 6 3 2 5" xfId="19102" xr:uid="{00000000-0005-0000-0000-000011A90000}"/>
    <cellStyle name="Normal 5 3 6 3 3" xfId="23965" xr:uid="{00000000-0005-0000-0000-000012A90000}"/>
    <cellStyle name="Normal 5 3 6 3 4" xfId="33690" xr:uid="{00000000-0005-0000-0000-000013A90000}"/>
    <cellStyle name="Normal 5 3 6 3 5" xfId="43415" xr:uid="{00000000-0005-0000-0000-000014A90000}"/>
    <cellStyle name="Normal 5 3 6 3 6" xfId="14240" xr:uid="{00000000-0005-0000-0000-000015A90000}"/>
    <cellStyle name="Normal 5 3 6 4" xfId="6136" xr:uid="{00000000-0005-0000-0000-000016A90000}"/>
    <cellStyle name="Normal 5 3 6 4 2" xfId="25587" xr:uid="{00000000-0005-0000-0000-000017A90000}"/>
    <cellStyle name="Normal 5 3 6 4 3" xfId="35312" xr:uid="{00000000-0005-0000-0000-000018A90000}"/>
    <cellStyle name="Normal 5 3 6 4 4" xfId="45037" xr:uid="{00000000-0005-0000-0000-000019A90000}"/>
    <cellStyle name="Normal 5 3 6 4 5" xfId="15862" xr:uid="{00000000-0005-0000-0000-00001AA90000}"/>
    <cellStyle name="Normal 5 3 6 5" xfId="20725" xr:uid="{00000000-0005-0000-0000-00001BA90000}"/>
    <cellStyle name="Normal 5 3 6 6" xfId="30450" xr:uid="{00000000-0005-0000-0000-00001CA90000}"/>
    <cellStyle name="Normal 5 3 6 7" xfId="40175" xr:uid="{00000000-0005-0000-0000-00001DA90000}"/>
    <cellStyle name="Normal 5 3 6 8" xfId="11000" xr:uid="{00000000-0005-0000-0000-00001EA90000}"/>
    <cellStyle name="Normal 5 3 7" xfId="1363" xr:uid="{00000000-0005-0000-0000-00001FA90000}"/>
    <cellStyle name="Normal 5 3 7 2" xfId="2984" xr:uid="{00000000-0005-0000-0000-000020A90000}"/>
    <cellStyle name="Normal 5 3 7 2 2" xfId="7846" xr:uid="{00000000-0005-0000-0000-000021A90000}"/>
    <cellStyle name="Normal 5 3 7 2 2 2" xfId="27297" xr:uid="{00000000-0005-0000-0000-000022A90000}"/>
    <cellStyle name="Normal 5 3 7 2 2 3" xfId="37022" xr:uid="{00000000-0005-0000-0000-000023A90000}"/>
    <cellStyle name="Normal 5 3 7 2 2 4" xfId="46747" xr:uid="{00000000-0005-0000-0000-000024A90000}"/>
    <cellStyle name="Normal 5 3 7 2 2 5" xfId="17572" xr:uid="{00000000-0005-0000-0000-000025A90000}"/>
    <cellStyle name="Normal 5 3 7 2 3" xfId="22435" xr:uid="{00000000-0005-0000-0000-000026A90000}"/>
    <cellStyle name="Normal 5 3 7 2 4" xfId="32160" xr:uid="{00000000-0005-0000-0000-000027A90000}"/>
    <cellStyle name="Normal 5 3 7 2 5" xfId="41885" xr:uid="{00000000-0005-0000-0000-000028A90000}"/>
    <cellStyle name="Normal 5 3 7 2 6" xfId="12710" xr:uid="{00000000-0005-0000-0000-000029A90000}"/>
    <cellStyle name="Normal 5 3 7 3" xfId="4604" xr:uid="{00000000-0005-0000-0000-00002AA90000}"/>
    <cellStyle name="Normal 5 3 7 3 2" xfId="9466" xr:uid="{00000000-0005-0000-0000-00002BA90000}"/>
    <cellStyle name="Normal 5 3 7 3 2 2" xfId="28917" xr:uid="{00000000-0005-0000-0000-00002CA90000}"/>
    <cellStyle name="Normal 5 3 7 3 2 3" xfId="38642" xr:uid="{00000000-0005-0000-0000-00002DA90000}"/>
    <cellStyle name="Normal 5 3 7 3 2 4" xfId="48367" xr:uid="{00000000-0005-0000-0000-00002EA90000}"/>
    <cellStyle name="Normal 5 3 7 3 2 5" xfId="19192" xr:uid="{00000000-0005-0000-0000-00002FA90000}"/>
    <cellStyle name="Normal 5 3 7 3 3" xfId="24055" xr:uid="{00000000-0005-0000-0000-000030A90000}"/>
    <cellStyle name="Normal 5 3 7 3 4" xfId="33780" xr:uid="{00000000-0005-0000-0000-000031A90000}"/>
    <cellStyle name="Normal 5 3 7 3 5" xfId="43505" xr:uid="{00000000-0005-0000-0000-000032A90000}"/>
    <cellStyle name="Normal 5 3 7 3 6" xfId="14330" xr:uid="{00000000-0005-0000-0000-000033A90000}"/>
    <cellStyle name="Normal 5 3 7 4" xfId="6226" xr:uid="{00000000-0005-0000-0000-000034A90000}"/>
    <cellStyle name="Normal 5 3 7 4 2" xfId="25677" xr:uid="{00000000-0005-0000-0000-000035A90000}"/>
    <cellStyle name="Normal 5 3 7 4 3" xfId="35402" xr:uid="{00000000-0005-0000-0000-000036A90000}"/>
    <cellStyle name="Normal 5 3 7 4 4" xfId="45127" xr:uid="{00000000-0005-0000-0000-000037A90000}"/>
    <cellStyle name="Normal 5 3 7 4 5" xfId="15952" xr:uid="{00000000-0005-0000-0000-000038A90000}"/>
    <cellStyle name="Normal 5 3 7 5" xfId="20815" xr:uid="{00000000-0005-0000-0000-000039A90000}"/>
    <cellStyle name="Normal 5 3 7 6" xfId="30540" xr:uid="{00000000-0005-0000-0000-00003AA90000}"/>
    <cellStyle name="Normal 5 3 7 7" xfId="40265" xr:uid="{00000000-0005-0000-0000-00003BA90000}"/>
    <cellStyle name="Normal 5 3 7 8" xfId="11090" xr:uid="{00000000-0005-0000-0000-00003CA90000}"/>
    <cellStyle name="Normal 5 3 8" xfId="534" xr:uid="{00000000-0005-0000-0000-00003DA90000}"/>
    <cellStyle name="Normal 5 3 8 2" xfId="2174" xr:uid="{00000000-0005-0000-0000-00003EA90000}"/>
    <cellStyle name="Normal 5 3 8 2 2" xfId="7036" xr:uid="{00000000-0005-0000-0000-00003FA90000}"/>
    <cellStyle name="Normal 5 3 8 2 2 2" xfId="26487" xr:uid="{00000000-0005-0000-0000-000040A90000}"/>
    <cellStyle name="Normal 5 3 8 2 2 3" xfId="36212" xr:uid="{00000000-0005-0000-0000-000041A90000}"/>
    <cellStyle name="Normal 5 3 8 2 2 4" xfId="45937" xr:uid="{00000000-0005-0000-0000-000042A90000}"/>
    <cellStyle name="Normal 5 3 8 2 2 5" xfId="16762" xr:uid="{00000000-0005-0000-0000-000043A90000}"/>
    <cellStyle name="Normal 5 3 8 2 3" xfId="21625" xr:uid="{00000000-0005-0000-0000-000044A90000}"/>
    <cellStyle name="Normal 5 3 8 2 4" xfId="31350" xr:uid="{00000000-0005-0000-0000-000045A90000}"/>
    <cellStyle name="Normal 5 3 8 2 5" xfId="41075" xr:uid="{00000000-0005-0000-0000-000046A90000}"/>
    <cellStyle name="Normal 5 3 8 2 6" xfId="11900" xr:uid="{00000000-0005-0000-0000-000047A90000}"/>
    <cellStyle name="Normal 5 3 8 3" xfId="3794" xr:uid="{00000000-0005-0000-0000-000048A90000}"/>
    <cellStyle name="Normal 5 3 8 3 2" xfId="8656" xr:uid="{00000000-0005-0000-0000-000049A90000}"/>
    <cellStyle name="Normal 5 3 8 3 2 2" xfId="28107" xr:uid="{00000000-0005-0000-0000-00004AA90000}"/>
    <cellStyle name="Normal 5 3 8 3 2 3" xfId="37832" xr:uid="{00000000-0005-0000-0000-00004BA90000}"/>
    <cellStyle name="Normal 5 3 8 3 2 4" xfId="47557" xr:uid="{00000000-0005-0000-0000-00004CA90000}"/>
    <cellStyle name="Normal 5 3 8 3 2 5" xfId="18382" xr:uid="{00000000-0005-0000-0000-00004DA90000}"/>
    <cellStyle name="Normal 5 3 8 3 3" xfId="23245" xr:uid="{00000000-0005-0000-0000-00004EA90000}"/>
    <cellStyle name="Normal 5 3 8 3 4" xfId="32970" xr:uid="{00000000-0005-0000-0000-00004FA90000}"/>
    <cellStyle name="Normal 5 3 8 3 5" xfId="42695" xr:uid="{00000000-0005-0000-0000-000050A90000}"/>
    <cellStyle name="Normal 5 3 8 3 6" xfId="13520" xr:uid="{00000000-0005-0000-0000-000051A90000}"/>
    <cellStyle name="Normal 5 3 8 4" xfId="5416" xr:uid="{00000000-0005-0000-0000-000052A90000}"/>
    <cellStyle name="Normal 5 3 8 4 2" xfId="24867" xr:uid="{00000000-0005-0000-0000-000053A90000}"/>
    <cellStyle name="Normal 5 3 8 4 3" xfId="34592" xr:uid="{00000000-0005-0000-0000-000054A90000}"/>
    <cellStyle name="Normal 5 3 8 4 4" xfId="44317" xr:uid="{00000000-0005-0000-0000-000055A90000}"/>
    <cellStyle name="Normal 5 3 8 4 5" xfId="15142" xr:uid="{00000000-0005-0000-0000-000056A90000}"/>
    <cellStyle name="Normal 5 3 8 5" xfId="20005" xr:uid="{00000000-0005-0000-0000-000057A90000}"/>
    <cellStyle name="Normal 5 3 8 6" xfId="29730" xr:uid="{00000000-0005-0000-0000-000058A90000}"/>
    <cellStyle name="Normal 5 3 8 7" xfId="39455" xr:uid="{00000000-0005-0000-0000-000059A90000}"/>
    <cellStyle name="Normal 5 3 8 8" xfId="10280" xr:uid="{00000000-0005-0000-0000-00005AA90000}"/>
    <cellStyle name="Normal 5 3 9" xfId="1723" xr:uid="{00000000-0005-0000-0000-00005BA90000}"/>
    <cellStyle name="Normal 5 3 9 2" xfId="3344" xr:uid="{00000000-0005-0000-0000-00005CA90000}"/>
    <cellStyle name="Normal 5 3 9 2 2" xfId="8206" xr:uid="{00000000-0005-0000-0000-00005DA90000}"/>
    <cellStyle name="Normal 5 3 9 2 2 2" xfId="27657" xr:uid="{00000000-0005-0000-0000-00005EA90000}"/>
    <cellStyle name="Normal 5 3 9 2 2 3" xfId="37382" xr:uid="{00000000-0005-0000-0000-00005FA90000}"/>
    <cellStyle name="Normal 5 3 9 2 2 4" xfId="47107" xr:uid="{00000000-0005-0000-0000-000060A90000}"/>
    <cellStyle name="Normal 5 3 9 2 2 5" xfId="17932" xr:uid="{00000000-0005-0000-0000-000061A90000}"/>
    <cellStyle name="Normal 5 3 9 2 3" xfId="22795" xr:uid="{00000000-0005-0000-0000-000062A90000}"/>
    <cellStyle name="Normal 5 3 9 2 4" xfId="32520" xr:uid="{00000000-0005-0000-0000-000063A90000}"/>
    <cellStyle name="Normal 5 3 9 2 5" xfId="42245" xr:uid="{00000000-0005-0000-0000-000064A90000}"/>
    <cellStyle name="Normal 5 3 9 2 6" xfId="13070" xr:uid="{00000000-0005-0000-0000-000065A90000}"/>
    <cellStyle name="Normal 5 3 9 3" xfId="4964" xr:uid="{00000000-0005-0000-0000-000066A90000}"/>
    <cellStyle name="Normal 5 3 9 3 2" xfId="9826" xr:uid="{00000000-0005-0000-0000-000067A90000}"/>
    <cellStyle name="Normal 5 3 9 3 2 2" xfId="29277" xr:uid="{00000000-0005-0000-0000-000068A90000}"/>
    <cellStyle name="Normal 5 3 9 3 2 3" xfId="39002" xr:uid="{00000000-0005-0000-0000-000069A90000}"/>
    <cellStyle name="Normal 5 3 9 3 2 4" xfId="48727" xr:uid="{00000000-0005-0000-0000-00006AA90000}"/>
    <cellStyle name="Normal 5 3 9 3 2 5" xfId="19552" xr:uid="{00000000-0005-0000-0000-00006BA90000}"/>
    <cellStyle name="Normal 5 3 9 3 3" xfId="24415" xr:uid="{00000000-0005-0000-0000-00006CA90000}"/>
    <cellStyle name="Normal 5 3 9 3 4" xfId="34140" xr:uid="{00000000-0005-0000-0000-00006DA90000}"/>
    <cellStyle name="Normal 5 3 9 3 5" xfId="43865" xr:uid="{00000000-0005-0000-0000-00006EA90000}"/>
    <cellStyle name="Normal 5 3 9 3 6" xfId="14690" xr:uid="{00000000-0005-0000-0000-00006FA90000}"/>
    <cellStyle name="Normal 5 3 9 4" xfId="6586" xr:uid="{00000000-0005-0000-0000-000070A90000}"/>
    <cellStyle name="Normal 5 3 9 4 2" xfId="26037" xr:uid="{00000000-0005-0000-0000-000071A90000}"/>
    <cellStyle name="Normal 5 3 9 4 3" xfId="35762" xr:uid="{00000000-0005-0000-0000-000072A90000}"/>
    <cellStyle name="Normal 5 3 9 4 4" xfId="45487" xr:uid="{00000000-0005-0000-0000-000073A90000}"/>
    <cellStyle name="Normal 5 3 9 4 5" xfId="16312" xr:uid="{00000000-0005-0000-0000-000074A90000}"/>
    <cellStyle name="Normal 5 3 9 5" xfId="21175" xr:uid="{00000000-0005-0000-0000-000075A90000}"/>
    <cellStyle name="Normal 5 3 9 6" xfId="30900" xr:uid="{00000000-0005-0000-0000-000076A90000}"/>
    <cellStyle name="Normal 5 3 9 7" xfId="40625" xr:uid="{00000000-0005-0000-0000-000077A90000}"/>
    <cellStyle name="Normal 5 3 9 8" xfId="11450" xr:uid="{00000000-0005-0000-0000-000078A90000}"/>
    <cellStyle name="Normal 5 4" xfId="252" xr:uid="{00000000-0005-0000-0000-000079A90000}"/>
    <cellStyle name="Normal 5 4 10" xfId="39215" xr:uid="{00000000-0005-0000-0000-00007AA90000}"/>
    <cellStyle name="Normal 5 4 11" xfId="10040" xr:uid="{00000000-0005-0000-0000-00007BA90000}"/>
    <cellStyle name="Normal 5 4 2" xfId="1016" xr:uid="{00000000-0005-0000-0000-00007CA90000}"/>
    <cellStyle name="Normal 5 4 2 2" xfId="2654" xr:uid="{00000000-0005-0000-0000-00007DA90000}"/>
    <cellStyle name="Normal 5 4 2 2 2" xfId="7516" xr:uid="{00000000-0005-0000-0000-00007EA90000}"/>
    <cellStyle name="Normal 5 4 2 2 2 2" xfId="26967" xr:uid="{00000000-0005-0000-0000-00007FA90000}"/>
    <cellStyle name="Normal 5 4 2 2 2 3" xfId="36692" xr:uid="{00000000-0005-0000-0000-000080A90000}"/>
    <cellStyle name="Normal 5 4 2 2 2 4" xfId="46417" xr:uid="{00000000-0005-0000-0000-000081A90000}"/>
    <cellStyle name="Normal 5 4 2 2 2 5" xfId="17242" xr:uid="{00000000-0005-0000-0000-000082A90000}"/>
    <cellStyle name="Normal 5 4 2 2 3" xfId="22105" xr:uid="{00000000-0005-0000-0000-000083A90000}"/>
    <cellStyle name="Normal 5 4 2 2 4" xfId="31830" xr:uid="{00000000-0005-0000-0000-000084A90000}"/>
    <cellStyle name="Normal 5 4 2 2 5" xfId="41555" xr:uid="{00000000-0005-0000-0000-000085A90000}"/>
    <cellStyle name="Normal 5 4 2 2 6" xfId="12380" xr:uid="{00000000-0005-0000-0000-000086A90000}"/>
    <cellStyle name="Normal 5 4 2 3" xfId="4274" xr:uid="{00000000-0005-0000-0000-000087A90000}"/>
    <cellStyle name="Normal 5 4 2 3 2" xfId="9136" xr:uid="{00000000-0005-0000-0000-000088A90000}"/>
    <cellStyle name="Normal 5 4 2 3 2 2" xfId="28587" xr:uid="{00000000-0005-0000-0000-000089A90000}"/>
    <cellStyle name="Normal 5 4 2 3 2 3" xfId="38312" xr:uid="{00000000-0005-0000-0000-00008AA90000}"/>
    <cellStyle name="Normal 5 4 2 3 2 4" xfId="48037" xr:uid="{00000000-0005-0000-0000-00008BA90000}"/>
    <cellStyle name="Normal 5 4 2 3 2 5" xfId="18862" xr:uid="{00000000-0005-0000-0000-00008CA90000}"/>
    <cellStyle name="Normal 5 4 2 3 3" xfId="23725" xr:uid="{00000000-0005-0000-0000-00008DA90000}"/>
    <cellStyle name="Normal 5 4 2 3 4" xfId="33450" xr:uid="{00000000-0005-0000-0000-00008EA90000}"/>
    <cellStyle name="Normal 5 4 2 3 5" xfId="43175" xr:uid="{00000000-0005-0000-0000-00008FA90000}"/>
    <cellStyle name="Normal 5 4 2 3 6" xfId="14000" xr:uid="{00000000-0005-0000-0000-000090A90000}"/>
    <cellStyle name="Normal 5 4 2 4" xfId="5896" xr:uid="{00000000-0005-0000-0000-000091A90000}"/>
    <cellStyle name="Normal 5 4 2 4 2" xfId="25347" xr:uid="{00000000-0005-0000-0000-000092A90000}"/>
    <cellStyle name="Normal 5 4 2 4 3" xfId="35072" xr:uid="{00000000-0005-0000-0000-000093A90000}"/>
    <cellStyle name="Normal 5 4 2 4 4" xfId="44797" xr:uid="{00000000-0005-0000-0000-000094A90000}"/>
    <cellStyle name="Normal 5 4 2 4 5" xfId="15622" xr:uid="{00000000-0005-0000-0000-000095A90000}"/>
    <cellStyle name="Normal 5 4 2 5" xfId="20485" xr:uid="{00000000-0005-0000-0000-000096A90000}"/>
    <cellStyle name="Normal 5 4 2 6" xfId="30210" xr:uid="{00000000-0005-0000-0000-000097A90000}"/>
    <cellStyle name="Normal 5 4 2 7" xfId="39935" xr:uid="{00000000-0005-0000-0000-000098A90000}"/>
    <cellStyle name="Normal 5 4 2 8" xfId="10760" xr:uid="{00000000-0005-0000-0000-000099A90000}"/>
    <cellStyle name="Normal 5 4 3" xfId="1483" xr:uid="{00000000-0005-0000-0000-00009AA90000}"/>
    <cellStyle name="Normal 5 4 3 2" xfId="3104" xr:uid="{00000000-0005-0000-0000-00009BA90000}"/>
    <cellStyle name="Normal 5 4 3 2 2" xfId="7966" xr:uid="{00000000-0005-0000-0000-00009CA90000}"/>
    <cellStyle name="Normal 5 4 3 2 2 2" xfId="27417" xr:uid="{00000000-0005-0000-0000-00009DA90000}"/>
    <cellStyle name="Normal 5 4 3 2 2 3" xfId="37142" xr:uid="{00000000-0005-0000-0000-00009EA90000}"/>
    <cellStyle name="Normal 5 4 3 2 2 4" xfId="46867" xr:uid="{00000000-0005-0000-0000-00009FA90000}"/>
    <cellStyle name="Normal 5 4 3 2 2 5" xfId="17692" xr:uid="{00000000-0005-0000-0000-0000A0A90000}"/>
    <cellStyle name="Normal 5 4 3 2 3" xfId="22555" xr:uid="{00000000-0005-0000-0000-0000A1A90000}"/>
    <cellStyle name="Normal 5 4 3 2 4" xfId="32280" xr:uid="{00000000-0005-0000-0000-0000A2A90000}"/>
    <cellStyle name="Normal 5 4 3 2 5" xfId="42005" xr:uid="{00000000-0005-0000-0000-0000A3A90000}"/>
    <cellStyle name="Normal 5 4 3 2 6" xfId="12830" xr:uid="{00000000-0005-0000-0000-0000A4A90000}"/>
    <cellStyle name="Normal 5 4 3 3" xfId="4724" xr:uid="{00000000-0005-0000-0000-0000A5A90000}"/>
    <cellStyle name="Normal 5 4 3 3 2" xfId="9586" xr:uid="{00000000-0005-0000-0000-0000A6A90000}"/>
    <cellStyle name="Normal 5 4 3 3 2 2" xfId="29037" xr:uid="{00000000-0005-0000-0000-0000A7A90000}"/>
    <cellStyle name="Normal 5 4 3 3 2 3" xfId="38762" xr:uid="{00000000-0005-0000-0000-0000A8A90000}"/>
    <cellStyle name="Normal 5 4 3 3 2 4" xfId="48487" xr:uid="{00000000-0005-0000-0000-0000A9A90000}"/>
    <cellStyle name="Normal 5 4 3 3 2 5" xfId="19312" xr:uid="{00000000-0005-0000-0000-0000AAA90000}"/>
    <cellStyle name="Normal 5 4 3 3 3" xfId="24175" xr:uid="{00000000-0005-0000-0000-0000ABA90000}"/>
    <cellStyle name="Normal 5 4 3 3 4" xfId="33900" xr:uid="{00000000-0005-0000-0000-0000ACA90000}"/>
    <cellStyle name="Normal 5 4 3 3 5" xfId="43625" xr:uid="{00000000-0005-0000-0000-0000ADA90000}"/>
    <cellStyle name="Normal 5 4 3 3 6" xfId="14450" xr:uid="{00000000-0005-0000-0000-0000AEA90000}"/>
    <cellStyle name="Normal 5 4 3 4" xfId="6346" xr:uid="{00000000-0005-0000-0000-0000AFA90000}"/>
    <cellStyle name="Normal 5 4 3 4 2" xfId="25797" xr:uid="{00000000-0005-0000-0000-0000B0A90000}"/>
    <cellStyle name="Normal 5 4 3 4 3" xfId="35522" xr:uid="{00000000-0005-0000-0000-0000B1A90000}"/>
    <cellStyle name="Normal 5 4 3 4 4" xfId="45247" xr:uid="{00000000-0005-0000-0000-0000B2A90000}"/>
    <cellStyle name="Normal 5 4 3 4 5" xfId="16072" xr:uid="{00000000-0005-0000-0000-0000B3A90000}"/>
    <cellStyle name="Normal 5 4 3 5" xfId="20935" xr:uid="{00000000-0005-0000-0000-0000B4A90000}"/>
    <cellStyle name="Normal 5 4 3 6" xfId="30660" xr:uid="{00000000-0005-0000-0000-0000B5A90000}"/>
    <cellStyle name="Normal 5 4 3 7" xfId="40385" xr:uid="{00000000-0005-0000-0000-0000B6A90000}"/>
    <cellStyle name="Normal 5 4 3 8" xfId="11210" xr:uid="{00000000-0005-0000-0000-0000B7A90000}"/>
    <cellStyle name="Normal 5 4 4" xfId="654" xr:uid="{00000000-0005-0000-0000-0000B8A90000}"/>
    <cellStyle name="Normal 5 4 4 2" xfId="2294" xr:uid="{00000000-0005-0000-0000-0000B9A90000}"/>
    <cellStyle name="Normal 5 4 4 2 2" xfId="7156" xr:uid="{00000000-0005-0000-0000-0000BAA90000}"/>
    <cellStyle name="Normal 5 4 4 2 2 2" xfId="26607" xr:uid="{00000000-0005-0000-0000-0000BBA90000}"/>
    <cellStyle name="Normal 5 4 4 2 2 3" xfId="36332" xr:uid="{00000000-0005-0000-0000-0000BCA90000}"/>
    <cellStyle name="Normal 5 4 4 2 2 4" xfId="46057" xr:uid="{00000000-0005-0000-0000-0000BDA90000}"/>
    <cellStyle name="Normal 5 4 4 2 2 5" xfId="16882" xr:uid="{00000000-0005-0000-0000-0000BEA90000}"/>
    <cellStyle name="Normal 5 4 4 2 3" xfId="21745" xr:uid="{00000000-0005-0000-0000-0000BFA90000}"/>
    <cellStyle name="Normal 5 4 4 2 4" xfId="31470" xr:uid="{00000000-0005-0000-0000-0000C0A90000}"/>
    <cellStyle name="Normal 5 4 4 2 5" xfId="41195" xr:uid="{00000000-0005-0000-0000-0000C1A90000}"/>
    <cellStyle name="Normal 5 4 4 2 6" xfId="12020" xr:uid="{00000000-0005-0000-0000-0000C2A90000}"/>
    <cellStyle name="Normal 5 4 4 3" xfId="3914" xr:uid="{00000000-0005-0000-0000-0000C3A90000}"/>
    <cellStyle name="Normal 5 4 4 3 2" xfId="8776" xr:uid="{00000000-0005-0000-0000-0000C4A90000}"/>
    <cellStyle name="Normal 5 4 4 3 2 2" xfId="28227" xr:uid="{00000000-0005-0000-0000-0000C5A90000}"/>
    <cellStyle name="Normal 5 4 4 3 2 3" xfId="37952" xr:uid="{00000000-0005-0000-0000-0000C6A90000}"/>
    <cellStyle name="Normal 5 4 4 3 2 4" xfId="47677" xr:uid="{00000000-0005-0000-0000-0000C7A90000}"/>
    <cellStyle name="Normal 5 4 4 3 2 5" xfId="18502" xr:uid="{00000000-0005-0000-0000-0000C8A90000}"/>
    <cellStyle name="Normal 5 4 4 3 3" xfId="23365" xr:uid="{00000000-0005-0000-0000-0000C9A90000}"/>
    <cellStyle name="Normal 5 4 4 3 4" xfId="33090" xr:uid="{00000000-0005-0000-0000-0000CAA90000}"/>
    <cellStyle name="Normal 5 4 4 3 5" xfId="42815" xr:uid="{00000000-0005-0000-0000-0000CBA90000}"/>
    <cellStyle name="Normal 5 4 4 3 6" xfId="13640" xr:uid="{00000000-0005-0000-0000-0000CCA90000}"/>
    <cellStyle name="Normal 5 4 4 4" xfId="5536" xr:uid="{00000000-0005-0000-0000-0000CDA90000}"/>
    <cellStyle name="Normal 5 4 4 4 2" xfId="24987" xr:uid="{00000000-0005-0000-0000-0000CEA90000}"/>
    <cellStyle name="Normal 5 4 4 4 3" xfId="34712" xr:uid="{00000000-0005-0000-0000-0000CFA90000}"/>
    <cellStyle name="Normal 5 4 4 4 4" xfId="44437" xr:uid="{00000000-0005-0000-0000-0000D0A90000}"/>
    <cellStyle name="Normal 5 4 4 4 5" xfId="15262" xr:uid="{00000000-0005-0000-0000-0000D1A90000}"/>
    <cellStyle name="Normal 5 4 4 5" xfId="20125" xr:uid="{00000000-0005-0000-0000-0000D2A90000}"/>
    <cellStyle name="Normal 5 4 4 6" xfId="29850" xr:uid="{00000000-0005-0000-0000-0000D3A90000}"/>
    <cellStyle name="Normal 5 4 4 7" xfId="39575" xr:uid="{00000000-0005-0000-0000-0000D4A90000}"/>
    <cellStyle name="Normal 5 4 4 8" xfId="10400" xr:uid="{00000000-0005-0000-0000-0000D5A90000}"/>
    <cellStyle name="Normal 5 4 5" xfId="1934" xr:uid="{00000000-0005-0000-0000-0000D6A90000}"/>
    <cellStyle name="Normal 5 4 5 2" xfId="6796" xr:uid="{00000000-0005-0000-0000-0000D7A90000}"/>
    <cellStyle name="Normal 5 4 5 2 2" xfId="26247" xr:uid="{00000000-0005-0000-0000-0000D8A90000}"/>
    <cellStyle name="Normal 5 4 5 2 3" xfId="35972" xr:uid="{00000000-0005-0000-0000-0000D9A90000}"/>
    <cellStyle name="Normal 5 4 5 2 4" xfId="45697" xr:uid="{00000000-0005-0000-0000-0000DAA90000}"/>
    <cellStyle name="Normal 5 4 5 2 5" xfId="16522" xr:uid="{00000000-0005-0000-0000-0000DBA90000}"/>
    <cellStyle name="Normal 5 4 5 3" xfId="21385" xr:uid="{00000000-0005-0000-0000-0000DCA90000}"/>
    <cellStyle name="Normal 5 4 5 4" xfId="31110" xr:uid="{00000000-0005-0000-0000-0000DDA90000}"/>
    <cellStyle name="Normal 5 4 5 5" xfId="40835" xr:uid="{00000000-0005-0000-0000-0000DEA90000}"/>
    <cellStyle name="Normal 5 4 5 6" xfId="11660" xr:uid="{00000000-0005-0000-0000-0000DFA90000}"/>
    <cellStyle name="Normal 5 4 6" xfId="3554" xr:uid="{00000000-0005-0000-0000-0000E0A90000}"/>
    <cellStyle name="Normal 5 4 6 2" xfId="8416" xr:uid="{00000000-0005-0000-0000-0000E1A90000}"/>
    <cellStyle name="Normal 5 4 6 2 2" xfId="27867" xr:uid="{00000000-0005-0000-0000-0000E2A90000}"/>
    <cellStyle name="Normal 5 4 6 2 3" xfId="37592" xr:uid="{00000000-0005-0000-0000-0000E3A90000}"/>
    <cellStyle name="Normal 5 4 6 2 4" xfId="47317" xr:uid="{00000000-0005-0000-0000-0000E4A90000}"/>
    <cellStyle name="Normal 5 4 6 2 5" xfId="18142" xr:uid="{00000000-0005-0000-0000-0000E5A90000}"/>
    <cellStyle name="Normal 5 4 6 3" xfId="23005" xr:uid="{00000000-0005-0000-0000-0000E6A90000}"/>
    <cellStyle name="Normal 5 4 6 4" xfId="32730" xr:uid="{00000000-0005-0000-0000-0000E7A90000}"/>
    <cellStyle name="Normal 5 4 6 5" xfId="42455" xr:uid="{00000000-0005-0000-0000-0000E8A90000}"/>
    <cellStyle name="Normal 5 4 6 6" xfId="13280" xr:uid="{00000000-0005-0000-0000-0000E9A90000}"/>
    <cellStyle name="Normal 5 4 7" xfId="5176" xr:uid="{00000000-0005-0000-0000-0000EAA90000}"/>
    <cellStyle name="Normal 5 4 7 2" xfId="24627" xr:uid="{00000000-0005-0000-0000-0000EBA90000}"/>
    <cellStyle name="Normal 5 4 7 3" xfId="34352" xr:uid="{00000000-0005-0000-0000-0000ECA90000}"/>
    <cellStyle name="Normal 5 4 7 4" xfId="44077" xr:uid="{00000000-0005-0000-0000-0000EDA90000}"/>
    <cellStyle name="Normal 5 4 7 5" xfId="14902" xr:uid="{00000000-0005-0000-0000-0000EEA90000}"/>
    <cellStyle name="Normal 5 4 8" xfId="19765" xr:uid="{00000000-0005-0000-0000-0000EFA90000}"/>
    <cellStyle name="Normal 5 4 9" xfId="29490" xr:uid="{00000000-0005-0000-0000-0000F0A90000}"/>
    <cellStyle name="Normal 5 5" xfId="343" xr:uid="{00000000-0005-0000-0000-0000F1A90000}"/>
    <cellStyle name="Normal 5 5 10" xfId="39305" xr:uid="{00000000-0005-0000-0000-0000F2A90000}"/>
    <cellStyle name="Normal 5 5 11" xfId="10130" xr:uid="{00000000-0005-0000-0000-0000F3A90000}"/>
    <cellStyle name="Normal 5 5 2" xfId="1106" xr:uid="{00000000-0005-0000-0000-0000F4A90000}"/>
    <cellStyle name="Normal 5 5 2 2" xfId="2744" xr:uid="{00000000-0005-0000-0000-0000F5A90000}"/>
    <cellStyle name="Normal 5 5 2 2 2" xfId="7606" xr:uid="{00000000-0005-0000-0000-0000F6A90000}"/>
    <cellStyle name="Normal 5 5 2 2 2 2" xfId="27057" xr:uid="{00000000-0005-0000-0000-0000F7A90000}"/>
    <cellStyle name="Normal 5 5 2 2 2 3" xfId="36782" xr:uid="{00000000-0005-0000-0000-0000F8A90000}"/>
    <cellStyle name="Normal 5 5 2 2 2 4" xfId="46507" xr:uid="{00000000-0005-0000-0000-0000F9A90000}"/>
    <cellStyle name="Normal 5 5 2 2 2 5" xfId="17332" xr:uid="{00000000-0005-0000-0000-0000FAA90000}"/>
    <cellStyle name="Normal 5 5 2 2 3" xfId="22195" xr:uid="{00000000-0005-0000-0000-0000FBA90000}"/>
    <cellStyle name="Normal 5 5 2 2 4" xfId="31920" xr:uid="{00000000-0005-0000-0000-0000FCA90000}"/>
    <cellStyle name="Normal 5 5 2 2 5" xfId="41645" xr:uid="{00000000-0005-0000-0000-0000FDA90000}"/>
    <cellStyle name="Normal 5 5 2 2 6" xfId="12470" xr:uid="{00000000-0005-0000-0000-0000FEA90000}"/>
    <cellStyle name="Normal 5 5 2 3" xfId="4364" xr:uid="{00000000-0005-0000-0000-0000FFA90000}"/>
    <cellStyle name="Normal 5 5 2 3 2" xfId="9226" xr:uid="{00000000-0005-0000-0000-000000AA0000}"/>
    <cellStyle name="Normal 5 5 2 3 2 2" xfId="28677" xr:uid="{00000000-0005-0000-0000-000001AA0000}"/>
    <cellStyle name="Normal 5 5 2 3 2 3" xfId="38402" xr:uid="{00000000-0005-0000-0000-000002AA0000}"/>
    <cellStyle name="Normal 5 5 2 3 2 4" xfId="48127" xr:uid="{00000000-0005-0000-0000-000003AA0000}"/>
    <cellStyle name="Normal 5 5 2 3 2 5" xfId="18952" xr:uid="{00000000-0005-0000-0000-000004AA0000}"/>
    <cellStyle name="Normal 5 5 2 3 3" xfId="23815" xr:uid="{00000000-0005-0000-0000-000005AA0000}"/>
    <cellStyle name="Normal 5 5 2 3 4" xfId="33540" xr:uid="{00000000-0005-0000-0000-000006AA0000}"/>
    <cellStyle name="Normal 5 5 2 3 5" xfId="43265" xr:uid="{00000000-0005-0000-0000-000007AA0000}"/>
    <cellStyle name="Normal 5 5 2 3 6" xfId="14090" xr:uid="{00000000-0005-0000-0000-000008AA0000}"/>
    <cellStyle name="Normal 5 5 2 4" xfId="5986" xr:uid="{00000000-0005-0000-0000-000009AA0000}"/>
    <cellStyle name="Normal 5 5 2 4 2" xfId="25437" xr:uid="{00000000-0005-0000-0000-00000AAA0000}"/>
    <cellStyle name="Normal 5 5 2 4 3" xfId="35162" xr:uid="{00000000-0005-0000-0000-00000BAA0000}"/>
    <cellStyle name="Normal 5 5 2 4 4" xfId="44887" xr:uid="{00000000-0005-0000-0000-00000CAA0000}"/>
    <cellStyle name="Normal 5 5 2 4 5" xfId="15712" xr:uid="{00000000-0005-0000-0000-00000DAA0000}"/>
    <cellStyle name="Normal 5 5 2 5" xfId="20575" xr:uid="{00000000-0005-0000-0000-00000EAA0000}"/>
    <cellStyle name="Normal 5 5 2 6" xfId="30300" xr:uid="{00000000-0005-0000-0000-00000FAA0000}"/>
    <cellStyle name="Normal 5 5 2 7" xfId="40025" xr:uid="{00000000-0005-0000-0000-000010AA0000}"/>
    <cellStyle name="Normal 5 5 2 8" xfId="10850" xr:uid="{00000000-0005-0000-0000-000011AA0000}"/>
    <cellStyle name="Normal 5 5 3" xfId="1573" xr:uid="{00000000-0005-0000-0000-000012AA0000}"/>
    <cellStyle name="Normal 5 5 3 2" xfId="3194" xr:uid="{00000000-0005-0000-0000-000013AA0000}"/>
    <cellStyle name="Normal 5 5 3 2 2" xfId="8056" xr:uid="{00000000-0005-0000-0000-000014AA0000}"/>
    <cellStyle name="Normal 5 5 3 2 2 2" xfId="27507" xr:uid="{00000000-0005-0000-0000-000015AA0000}"/>
    <cellStyle name="Normal 5 5 3 2 2 3" xfId="37232" xr:uid="{00000000-0005-0000-0000-000016AA0000}"/>
    <cellStyle name="Normal 5 5 3 2 2 4" xfId="46957" xr:uid="{00000000-0005-0000-0000-000017AA0000}"/>
    <cellStyle name="Normal 5 5 3 2 2 5" xfId="17782" xr:uid="{00000000-0005-0000-0000-000018AA0000}"/>
    <cellStyle name="Normal 5 5 3 2 3" xfId="22645" xr:uid="{00000000-0005-0000-0000-000019AA0000}"/>
    <cellStyle name="Normal 5 5 3 2 4" xfId="32370" xr:uid="{00000000-0005-0000-0000-00001AAA0000}"/>
    <cellStyle name="Normal 5 5 3 2 5" xfId="42095" xr:uid="{00000000-0005-0000-0000-00001BAA0000}"/>
    <cellStyle name="Normal 5 5 3 2 6" xfId="12920" xr:uid="{00000000-0005-0000-0000-00001CAA0000}"/>
    <cellStyle name="Normal 5 5 3 3" xfId="4814" xr:uid="{00000000-0005-0000-0000-00001DAA0000}"/>
    <cellStyle name="Normal 5 5 3 3 2" xfId="9676" xr:uid="{00000000-0005-0000-0000-00001EAA0000}"/>
    <cellStyle name="Normal 5 5 3 3 2 2" xfId="29127" xr:uid="{00000000-0005-0000-0000-00001FAA0000}"/>
    <cellStyle name="Normal 5 5 3 3 2 3" xfId="38852" xr:uid="{00000000-0005-0000-0000-000020AA0000}"/>
    <cellStyle name="Normal 5 5 3 3 2 4" xfId="48577" xr:uid="{00000000-0005-0000-0000-000021AA0000}"/>
    <cellStyle name="Normal 5 5 3 3 2 5" xfId="19402" xr:uid="{00000000-0005-0000-0000-000022AA0000}"/>
    <cellStyle name="Normal 5 5 3 3 3" xfId="24265" xr:uid="{00000000-0005-0000-0000-000023AA0000}"/>
    <cellStyle name="Normal 5 5 3 3 4" xfId="33990" xr:uid="{00000000-0005-0000-0000-000024AA0000}"/>
    <cellStyle name="Normal 5 5 3 3 5" xfId="43715" xr:uid="{00000000-0005-0000-0000-000025AA0000}"/>
    <cellStyle name="Normal 5 5 3 3 6" xfId="14540" xr:uid="{00000000-0005-0000-0000-000026AA0000}"/>
    <cellStyle name="Normal 5 5 3 4" xfId="6436" xr:uid="{00000000-0005-0000-0000-000027AA0000}"/>
    <cellStyle name="Normal 5 5 3 4 2" xfId="25887" xr:uid="{00000000-0005-0000-0000-000028AA0000}"/>
    <cellStyle name="Normal 5 5 3 4 3" xfId="35612" xr:uid="{00000000-0005-0000-0000-000029AA0000}"/>
    <cellStyle name="Normal 5 5 3 4 4" xfId="45337" xr:uid="{00000000-0005-0000-0000-00002AAA0000}"/>
    <cellStyle name="Normal 5 5 3 4 5" xfId="16162" xr:uid="{00000000-0005-0000-0000-00002BAA0000}"/>
    <cellStyle name="Normal 5 5 3 5" xfId="21025" xr:uid="{00000000-0005-0000-0000-00002CAA0000}"/>
    <cellStyle name="Normal 5 5 3 6" xfId="30750" xr:uid="{00000000-0005-0000-0000-00002DAA0000}"/>
    <cellStyle name="Normal 5 5 3 7" xfId="40475" xr:uid="{00000000-0005-0000-0000-00002EAA0000}"/>
    <cellStyle name="Normal 5 5 3 8" xfId="11300" xr:uid="{00000000-0005-0000-0000-00002FAA0000}"/>
    <cellStyle name="Normal 5 5 4" xfId="744" xr:uid="{00000000-0005-0000-0000-000030AA0000}"/>
    <cellStyle name="Normal 5 5 4 2" xfId="2384" xr:uid="{00000000-0005-0000-0000-000031AA0000}"/>
    <cellStyle name="Normal 5 5 4 2 2" xfId="7246" xr:uid="{00000000-0005-0000-0000-000032AA0000}"/>
    <cellStyle name="Normal 5 5 4 2 2 2" xfId="26697" xr:uid="{00000000-0005-0000-0000-000033AA0000}"/>
    <cellStyle name="Normal 5 5 4 2 2 3" xfId="36422" xr:uid="{00000000-0005-0000-0000-000034AA0000}"/>
    <cellStyle name="Normal 5 5 4 2 2 4" xfId="46147" xr:uid="{00000000-0005-0000-0000-000035AA0000}"/>
    <cellStyle name="Normal 5 5 4 2 2 5" xfId="16972" xr:uid="{00000000-0005-0000-0000-000036AA0000}"/>
    <cellStyle name="Normal 5 5 4 2 3" xfId="21835" xr:uid="{00000000-0005-0000-0000-000037AA0000}"/>
    <cellStyle name="Normal 5 5 4 2 4" xfId="31560" xr:uid="{00000000-0005-0000-0000-000038AA0000}"/>
    <cellStyle name="Normal 5 5 4 2 5" xfId="41285" xr:uid="{00000000-0005-0000-0000-000039AA0000}"/>
    <cellStyle name="Normal 5 5 4 2 6" xfId="12110" xr:uid="{00000000-0005-0000-0000-00003AAA0000}"/>
    <cellStyle name="Normal 5 5 4 3" xfId="4004" xr:uid="{00000000-0005-0000-0000-00003BAA0000}"/>
    <cellStyle name="Normal 5 5 4 3 2" xfId="8866" xr:uid="{00000000-0005-0000-0000-00003CAA0000}"/>
    <cellStyle name="Normal 5 5 4 3 2 2" xfId="28317" xr:uid="{00000000-0005-0000-0000-00003DAA0000}"/>
    <cellStyle name="Normal 5 5 4 3 2 3" xfId="38042" xr:uid="{00000000-0005-0000-0000-00003EAA0000}"/>
    <cellStyle name="Normal 5 5 4 3 2 4" xfId="47767" xr:uid="{00000000-0005-0000-0000-00003FAA0000}"/>
    <cellStyle name="Normal 5 5 4 3 2 5" xfId="18592" xr:uid="{00000000-0005-0000-0000-000040AA0000}"/>
    <cellStyle name="Normal 5 5 4 3 3" xfId="23455" xr:uid="{00000000-0005-0000-0000-000041AA0000}"/>
    <cellStyle name="Normal 5 5 4 3 4" xfId="33180" xr:uid="{00000000-0005-0000-0000-000042AA0000}"/>
    <cellStyle name="Normal 5 5 4 3 5" xfId="42905" xr:uid="{00000000-0005-0000-0000-000043AA0000}"/>
    <cellStyle name="Normal 5 5 4 3 6" xfId="13730" xr:uid="{00000000-0005-0000-0000-000044AA0000}"/>
    <cellStyle name="Normal 5 5 4 4" xfId="5626" xr:uid="{00000000-0005-0000-0000-000045AA0000}"/>
    <cellStyle name="Normal 5 5 4 4 2" xfId="25077" xr:uid="{00000000-0005-0000-0000-000046AA0000}"/>
    <cellStyle name="Normal 5 5 4 4 3" xfId="34802" xr:uid="{00000000-0005-0000-0000-000047AA0000}"/>
    <cellStyle name="Normal 5 5 4 4 4" xfId="44527" xr:uid="{00000000-0005-0000-0000-000048AA0000}"/>
    <cellStyle name="Normal 5 5 4 4 5" xfId="15352" xr:uid="{00000000-0005-0000-0000-000049AA0000}"/>
    <cellStyle name="Normal 5 5 4 5" xfId="20215" xr:uid="{00000000-0005-0000-0000-00004AAA0000}"/>
    <cellStyle name="Normal 5 5 4 6" xfId="29940" xr:uid="{00000000-0005-0000-0000-00004BAA0000}"/>
    <cellStyle name="Normal 5 5 4 7" xfId="39665" xr:uid="{00000000-0005-0000-0000-00004CAA0000}"/>
    <cellStyle name="Normal 5 5 4 8" xfId="10490" xr:uid="{00000000-0005-0000-0000-00004DAA0000}"/>
    <cellStyle name="Normal 5 5 5" xfId="2024" xr:uid="{00000000-0005-0000-0000-00004EAA0000}"/>
    <cellStyle name="Normal 5 5 5 2" xfId="6886" xr:uid="{00000000-0005-0000-0000-00004FAA0000}"/>
    <cellStyle name="Normal 5 5 5 2 2" xfId="26337" xr:uid="{00000000-0005-0000-0000-000050AA0000}"/>
    <cellStyle name="Normal 5 5 5 2 3" xfId="36062" xr:uid="{00000000-0005-0000-0000-000051AA0000}"/>
    <cellStyle name="Normal 5 5 5 2 4" xfId="45787" xr:uid="{00000000-0005-0000-0000-000052AA0000}"/>
    <cellStyle name="Normal 5 5 5 2 5" xfId="16612" xr:uid="{00000000-0005-0000-0000-000053AA0000}"/>
    <cellStyle name="Normal 5 5 5 3" xfId="21475" xr:uid="{00000000-0005-0000-0000-000054AA0000}"/>
    <cellStyle name="Normal 5 5 5 4" xfId="31200" xr:uid="{00000000-0005-0000-0000-000055AA0000}"/>
    <cellStyle name="Normal 5 5 5 5" xfId="40925" xr:uid="{00000000-0005-0000-0000-000056AA0000}"/>
    <cellStyle name="Normal 5 5 5 6" xfId="11750" xr:uid="{00000000-0005-0000-0000-000057AA0000}"/>
    <cellStyle name="Normal 5 5 6" xfId="3644" xr:uid="{00000000-0005-0000-0000-000058AA0000}"/>
    <cellStyle name="Normal 5 5 6 2" xfId="8506" xr:uid="{00000000-0005-0000-0000-000059AA0000}"/>
    <cellStyle name="Normal 5 5 6 2 2" xfId="27957" xr:uid="{00000000-0005-0000-0000-00005AAA0000}"/>
    <cellStyle name="Normal 5 5 6 2 3" xfId="37682" xr:uid="{00000000-0005-0000-0000-00005BAA0000}"/>
    <cellStyle name="Normal 5 5 6 2 4" xfId="47407" xr:uid="{00000000-0005-0000-0000-00005CAA0000}"/>
    <cellStyle name="Normal 5 5 6 2 5" xfId="18232" xr:uid="{00000000-0005-0000-0000-00005DAA0000}"/>
    <cellStyle name="Normal 5 5 6 3" xfId="23095" xr:uid="{00000000-0005-0000-0000-00005EAA0000}"/>
    <cellStyle name="Normal 5 5 6 4" xfId="32820" xr:uid="{00000000-0005-0000-0000-00005FAA0000}"/>
    <cellStyle name="Normal 5 5 6 5" xfId="42545" xr:uid="{00000000-0005-0000-0000-000060AA0000}"/>
    <cellStyle name="Normal 5 5 6 6" xfId="13370" xr:uid="{00000000-0005-0000-0000-000061AA0000}"/>
    <cellStyle name="Normal 5 5 7" xfId="5266" xr:uid="{00000000-0005-0000-0000-000062AA0000}"/>
    <cellStyle name="Normal 5 5 7 2" xfId="24717" xr:uid="{00000000-0005-0000-0000-000063AA0000}"/>
    <cellStyle name="Normal 5 5 7 3" xfId="34442" xr:uid="{00000000-0005-0000-0000-000064AA0000}"/>
    <cellStyle name="Normal 5 5 7 4" xfId="44167" xr:uid="{00000000-0005-0000-0000-000065AA0000}"/>
    <cellStyle name="Normal 5 5 7 5" xfId="14992" xr:uid="{00000000-0005-0000-0000-000066AA0000}"/>
    <cellStyle name="Normal 5 5 8" xfId="19855" xr:uid="{00000000-0005-0000-0000-000067AA0000}"/>
    <cellStyle name="Normal 5 5 9" xfId="29580" xr:uid="{00000000-0005-0000-0000-000068AA0000}"/>
    <cellStyle name="Normal 5 6" xfId="161" xr:uid="{00000000-0005-0000-0000-000069AA0000}"/>
    <cellStyle name="Normal 5 6 10" xfId="39125" xr:uid="{00000000-0005-0000-0000-00006AAA0000}"/>
    <cellStyle name="Normal 5 6 11" xfId="9950" xr:uid="{00000000-0005-0000-0000-00006BAA0000}"/>
    <cellStyle name="Normal 5 6 2" xfId="925" xr:uid="{00000000-0005-0000-0000-00006CAA0000}"/>
    <cellStyle name="Normal 5 6 2 2" xfId="2564" xr:uid="{00000000-0005-0000-0000-00006DAA0000}"/>
    <cellStyle name="Normal 5 6 2 2 2" xfId="7426" xr:uid="{00000000-0005-0000-0000-00006EAA0000}"/>
    <cellStyle name="Normal 5 6 2 2 2 2" xfId="26877" xr:uid="{00000000-0005-0000-0000-00006FAA0000}"/>
    <cellStyle name="Normal 5 6 2 2 2 3" xfId="36602" xr:uid="{00000000-0005-0000-0000-000070AA0000}"/>
    <cellStyle name="Normal 5 6 2 2 2 4" xfId="46327" xr:uid="{00000000-0005-0000-0000-000071AA0000}"/>
    <cellStyle name="Normal 5 6 2 2 2 5" xfId="17152" xr:uid="{00000000-0005-0000-0000-000072AA0000}"/>
    <cellStyle name="Normal 5 6 2 2 3" xfId="22015" xr:uid="{00000000-0005-0000-0000-000073AA0000}"/>
    <cellStyle name="Normal 5 6 2 2 4" xfId="31740" xr:uid="{00000000-0005-0000-0000-000074AA0000}"/>
    <cellStyle name="Normal 5 6 2 2 5" xfId="41465" xr:uid="{00000000-0005-0000-0000-000075AA0000}"/>
    <cellStyle name="Normal 5 6 2 2 6" xfId="12290" xr:uid="{00000000-0005-0000-0000-000076AA0000}"/>
    <cellStyle name="Normal 5 6 2 3" xfId="4184" xr:uid="{00000000-0005-0000-0000-000077AA0000}"/>
    <cellStyle name="Normal 5 6 2 3 2" xfId="9046" xr:uid="{00000000-0005-0000-0000-000078AA0000}"/>
    <cellStyle name="Normal 5 6 2 3 2 2" xfId="28497" xr:uid="{00000000-0005-0000-0000-000079AA0000}"/>
    <cellStyle name="Normal 5 6 2 3 2 3" xfId="38222" xr:uid="{00000000-0005-0000-0000-00007AAA0000}"/>
    <cellStyle name="Normal 5 6 2 3 2 4" xfId="47947" xr:uid="{00000000-0005-0000-0000-00007BAA0000}"/>
    <cellStyle name="Normal 5 6 2 3 2 5" xfId="18772" xr:uid="{00000000-0005-0000-0000-00007CAA0000}"/>
    <cellStyle name="Normal 5 6 2 3 3" xfId="23635" xr:uid="{00000000-0005-0000-0000-00007DAA0000}"/>
    <cellStyle name="Normal 5 6 2 3 4" xfId="33360" xr:uid="{00000000-0005-0000-0000-00007EAA0000}"/>
    <cellStyle name="Normal 5 6 2 3 5" xfId="43085" xr:uid="{00000000-0005-0000-0000-00007FAA0000}"/>
    <cellStyle name="Normal 5 6 2 3 6" xfId="13910" xr:uid="{00000000-0005-0000-0000-000080AA0000}"/>
    <cellStyle name="Normal 5 6 2 4" xfId="5806" xr:uid="{00000000-0005-0000-0000-000081AA0000}"/>
    <cellStyle name="Normal 5 6 2 4 2" xfId="25257" xr:uid="{00000000-0005-0000-0000-000082AA0000}"/>
    <cellStyle name="Normal 5 6 2 4 3" xfId="34982" xr:uid="{00000000-0005-0000-0000-000083AA0000}"/>
    <cellStyle name="Normal 5 6 2 4 4" xfId="44707" xr:uid="{00000000-0005-0000-0000-000084AA0000}"/>
    <cellStyle name="Normal 5 6 2 4 5" xfId="15532" xr:uid="{00000000-0005-0000-0000-000085AA0000}"/>
    <cellStyle name="Normal 5 6 2 5" xfId="20395" xr:uid="{00000000-0005-0000-0000-000086AA0000}"/>
    <cellStyle name="Normal 5 6 2 6" xfId="30120" xr:uid="{00000000-0005-0000-0000-000087AA0000}"/>
    <cellStyle name="Normal 5 6 2 7" xfId="39845" xr:uid="{00000000-0005-0000-0000-000088AA0000}"/>
    <cellStyle name="Normal 5 6 2 8" xfId="10670" xr:uid="{00000000-0005-0000-0000-000089AA0000}"/>
    <cellStyle name="Normal 5 6 3" xfId="1393" xr:uid="{00000000-0005-0000-0000-00008AAA0000}"/>
    <cellStyle name="Normal 5 6 3 2" xfId="3014" xr:uid="{00000000-0005-0000-0000-00008BAA0000}"/>
    <cellStyle name="Normal 5 6 3 2 2" xfId="7876" xr:uid="{00000000-0005-0000-0000-00008CAA0000}"/>
    <cellStyle name="Normal 5 6 3 2 2 2" xfId="27327" xr:uid="{00000000-0005-0000-0000-00008DAA0000}"/>
    <cellStyle name="Normal 5 6 3 2 2 3" xfId="37052" xr:uid="{00000000-0005-0000-0000-00008EAA0000}"/>
    <cellStyle name="Normal 5 6 3 2 2 4" xfId="46777" xr:uid="{00000000-0005-0000-0000-00008FAA0000}"/>
    <cellStyle name="Normal 5 6 3 2 2 5" xfId="17602" xr:uid="{00000000-0005-0000-0000-000090AA0000}"/>
    <cellStyle name="Normal 5 6 3 2 3" xfId="22465" xr:uid="{00000000-0005-0000-0000-000091AA0000}"/>
    <cellStyle name="Normal 5 6 3 2 4" xfId="32190" xr:uid="{00000000-0005-0000-0000-000092AA0000}"/>
    <cellStyle name="Normal 5 6 3 2 5" xfId="41915" xr:uid="{00000000-0005-0000-0000-000093AA0000}"/>
    <cellStyle name="Normal 5 6 3 2 6" xfId="12740" xr:uid="{00000000-0005-0000-0000-000094AA0000}"/>
    <cellStyle name="Normal 5 6 3 3" xfId="4634" xr:uid="{00000000-0005-0000-0000-000095AA0000}"/>
    <cellStyle name="Normal 5 6 3 3 2" xfId="9496" xr:uid="{00000000-0005-0000-0000-000096AA0000}"/>
    <cellStyle name="Normal 5 6 3 3 2 2" xfId="28947" xr:uid="{00000000-0005-0000-0000-000097AA0000}"/>
    <cellStyle name="Normal 5 6 3 3 2 3" xfId="38672" xr:uid="{00000000-0005-0000-0000-000098AA0000}"/>
    <cellStyle name="Normal 5 6 3 3 2 4" xfId="48397" xr:uid="{00000000-0005-0000-0000-000099AA0000}"/>
    <cellStyle name="Normal 5 6 3 3 2 5" xfId="19222" xr:uid="{00000000-0005-0000-0000-00009AAA0000}"/>
    <cellStyle name="Normal 5 6 3 3 3" xfId="24085" xr:uid="{00000000-0005-0000-0000-00009BAA0000}"/>
    <cellStyle name="Normal 5 6 3 3 4" xfId="33810" xr:uid="{00000000-0005-0000-0000-00009CAA0000}"/>
    <cellStyle name="Normal 5 6 3 3 5" xfId="43535" xr:uid="{00000000-0005-0000-0000-00009DAA0000}"/>
    <cellStyle name="Normal 5 6 3 3 6" xfId="14360" xr:uid="{00000000-0005-0000-0000-00009EAA0000}"/>
    <cellStyle name="Normal 5 6 3 4" xfId="6256" xr:uid="{00000000-0005-0000-0000-00009FAA0000}"/>
    <cellStyle name="Normal 5 6 3 4 2" xfId="25707" xr:uid="{00000000-0005-0000-0000-0000A0AA0000}"/>
    <cellStyle name="Normal 5 6 3 4 3" xfId="35432" xr:uid="{00000000-0005-0000-0000-0000A1AA0000}"/>
    <cellStyle name="Normal 5 6 3 4 4" xfId="45157" xr:uid="{00000000-0005-0000-0000-0000A2AA0000}"/>
    <cellStyle name="Normal 5 6 3 4 5" xfId="15982" xr:uid="{00000000-0005-0000-0000-0000A3AA0000}"/>
    <cellStyle name="Normal 5 6 3 5" xfId="20845" xr:uid="{00000000-0005-0000-0000-0000A4AA0000}"/>
    <cellStyle name="Normal 5 6 3 6" xfId="30570" xr:uid="{00000000-0005-0000-0000-0000A5AA0000}"/>
    <cellStyle name="Normal 5 6 3 7" xfId="40295" xr:uid="{00000000-0005-0000-0000-0000A6AA0000}"/>
    <cellStyle name="Normal 5 6 3 8" xfId="11120" xr:uid="{00000000-0005-0000-0000-0000A7AA0000}"/>
    <cellStyle name="Normal 5 6 4" xfId="564" xr:uid="{00000000-0005-0000-0000-0000A8AA0000}"/>
    <cellStyle name="Normal 5 6 4 2" xfId="2204" xr:uid="{00000000-0005-0000-0000-0000A9AA0000}"/>
    <cellStyle name="Normal 5 6 4 2 2" xfId="7066" xr:uid="{00000000-0005-0000-0000-0000AAAA0000}"/>
    <cellStyle name="Normal 5 6 4 2 2 2" xfId="26517" xr:uid="{00000000-0005-0000-0000-0000ABAA0000}"/>
    <cellStyle name="Normal 5 6 4 2 2 3" xfId="36242" xr:uid="{00000000-0005-0000-0000-0000ACAA0000}"/>
    <cellStyle name="Normal 5 6 4 2 2 4" xfId="45967" xr:uid="{00000000-0005-0000-0000-0000ADAA0000}"/>
    <cellStyle name="Normal 5 6 4 2 2 5" xfId="16792" xr:uid="{00000000-0005-0000-0000-0000AEAA0000}"/>
    <cellStyle name="Normal 5 6 4 2 3" xfId="21655" xr:uid="{00000000-0005-0000-0000-0000AFAA0000}"/>
    <cellStyle name="Normal 5 6 4 2 4" xfId="31380" xr:uid="{00000000-0005-0000-0000-0000B0AA0000}"/>
    <cellStyle name="Normal 5 6 4 2 5" xfId="41105" xr:uid="{00000000-0005-0000-0000-0000B1AA0000}"/>
    <cellStyle name="Normal 5 6 4 2 6" xfId="11930" xr:uid="{00000000-0005-0000-0000-0000B2AA0000}"/>
    <cellStyle name="Normal 5 6 4 3" xfId="3824" xr:uid="{00000000-0005-0000-0000-0000B3AA0000}"/>
    <cellStyle name="Normal 5 6 4 3 2" xfId="8686" xr:uid="{00000000-0005-0000-0000-0000B4AA0000}"/>
    <cellStyle name="Normal 5 6 4 3 2 2" xfId="28137" xr:uid="{00000000-0005-0000-0000-0000B5AA0000}"/>
    <cellStyle name="Normal 5 6 4 3 2 3" xfId="37862" xr:uid="{00000000-0005-0000-0000-0000B6AA0000}"/>
    <cellStyle name="Normal 5 6 4 3 2 4" xfId="47587" xr:uid="{00000000-0005-0000-0000-0000B7AA0000}"/>
    <cellStyle name="Normal 5 6 4 3 2 5" xfId="18412" xr:uid="{00000000-0005-0000-0000-0000B8AA0000}"/>
    <cellStyle name="Normal 5 6 4 3 3" xfId="23275" xr:uid="{00000000-0005-0000-0000-0000B9AA0000}"/>
    <cellStyle name="Normal 5 6 4 3 4" xfId="33000" xr:uid="{00000000-0005-0000-0000-0000BAAA0000}"/>
    <cellStyle name="Normal 5 6 4 3 5" xfId="42725" xr:uid="{00000000-0005-0000-0000-0000BBAA0000}"/>
    <cellStyle name="Normal 5 6 4 3 6" xfId="13550" xr:uid="{00000000-0005-0000-0000-0000BCAA0000}"/>
    <cellStyle name="Normal 5 6 4 4" xfId="5446" xr:uid="{00000000-0005-0000-0000-0000BDAA0000}"/>
    <cellStyle name="Normal 5 6 4 4 2" xfId="24897" xr:uid="{00000000-0005-0000-0000-0000BEAA0000}"/>
    <cellStyle name="Normal 5 6 4 4 3" xfId="34622" xr:uid="{00000000-0005-0000-0000-0000BFAA0000}"/>
    <cellStyle name="Normal 5 6 4 4 4" xfId="44347" xr:uid="{00000000-0005-0000-0000-0000C0AA0000}"/>
    <cellStyle name="Normal 5 6 4 4 5" xfId="15172" xr:uid="{00000000-0005-0000-0000-0000C1AA0000}"/>
    <cellStyle name="Normal 5 6 4 5" xfId="20035" xr:uid="{00000000-0005-0000-0000-0000C2AA0000}"/>
    <cellStyle name="Normal 5 6 4 6" xfId="29760" xr:uid="{00000000-0005-0000-0000-0000C3AA0000}"/>
    <cellStyle name="Normal 5 6 4 7" xfId="39485" xr:uid="{00000000-0005-0000-0000-0000C4AA0000}"/>
    <cellStyle name="Normal 5 6 4 8" xfId="10310" xr:uid="{00000000-0005-0000-0000-0000C5AA0000}"/>
    <cellStyle name="Normal 5 6 5" xfId="1844" xr:uid="{00000000-0005-0000-0000-0000C6AA0000}"/>
    <cellStyle name="Normal 5 6 5 2" xfId="6706" xr:uid="{00000000-0005-0000-0000-0000C7AA0000}"/>
    <cellStyle name="Normal 5 6 5 2 2" xfId="26157" xr:uid="{00000000-0005-0000-0000-0000C8AA0000}"/>
    <cellStyle name="Normal 5 6 5 2 3" xfId="35882" xr:uid="{00000000-0005-0000-0000-0000C9AA0000}"/>
    <cellStyle name="Normal 5 6 5 2 4" xfId="45607" xr:uid="{00000000-0005-0000-0000-0000CAAA0000}"/>
    <cellStyle name="Normal 5 6 5 2 5" xfId="16432" xr:uid="{00000000-0005-0000-0000-0000CBAA0000}"/>
    <cellStyle name="Normal 5 6 5 3" xfId="21295" xr:uid="{00000000-0005-0000-0000-0000CCAA0000}"/>
    <cellStyle name="Normal 5 6 5 4" xfId="31020" xr:uid="{00000000-0005-0000-0000-0000CDAA0000}"/>
    <cellStyle name="Normal 5 6 5 5" xfId="40745" xr:uid="{00000000-0005-0000-0000-0000CEAA0000}"/>
    <cellStyle name="Normal 5 6 5 6" xfId="11570" xr:uid="{00000000-0005-0000-0000-0000CFAA0000}"/>
    <cellStyle name="Normal 5 6 6" xfId="3464" xr:uid="{00000000-0005-0000-0000-0000D0AA0000}"/>
    <cellStyle name="Normal 5 6 6 2" xfId="8326" xr:uid="{00000000-0005-0000-0000-0000D1AA0000}"/>
    <cellStyle name="Normal 5 6 6 2 2" xfId="27777" xr:uid="{00000000-0005-0000-0000-0000D2AA0000}"/>
    <cellStyle name="Normal 5 6 6 2 3" xfId="37502" xr:uid="{00000000-0005-0000-0000-0000D3AA0000}"/>
    <cellStyle name="Normal 5 6 6 2 4" xfId="47227" xr:uid="{00000000-0005-0000-0000-0000D4AA0000}"/>
    <cellStyle name="Normal 5 6 6 2 5" xfId="18052" xr:uid="{00000000-0005-0000-0000-0000D5AA0000}"/>
    <cellStyle name="Normal 5 6 6 3" xfId="22915" xr:uid="{00000000-0005-0000-0000-0000D6AA0000}"/>
    <cellStyle name="Normal 5 6 6 4" xfId="32640" xr:uid="{00000000-0005-0000-0000-0000D7AA0000}"/>
    <cellStyle name="Normal 5 6 6 5" xfId="42365" xr:uid="{00000000-0005-0000-0000-0000D8AA0000}"/>
    <cellStyle name="Normal 5 6 6 6" xfId="13190" xr:uid="{00000000-0005-0000-0000-0000D9AA0000}"/>
    <cellStyle name="Normal 5 6 7" xfId="5086" xr:uid="{00000000-0005-0000-0000-0000DAAA0000}"/>
    <cellStyle name="Normal 5 6 7 2" xfId="24537" xr:uid="{00000000-0005-0000-0000-0000DBAA0000}"/>
    <cellStyle name="Normal 5 6 7 3" xfId="34262" xr:uid="{00000000-0005-0000-0000-0000DCAA0000}"/>
    <cellStyle name="Normal 5 6 7 4" xfId="43987" xr:uid="{00000000-0005-0000-0000-0000DDAA0000}"/>
    <cellStyle name="Normal 5 6 7 5" xfId="14812" xr:uid="{00000000-0005-0000-0000-0000DEAA0000}"/>
    <cellStyle name="Normal 5 6 8" xfId="19675" xr:uid="{00000000-0005-0000-0000-0000DFAA0000}"/>
    <cellStyle name="Normal 5 6 9" xfId="29400" xr:uid="{00000000-0005-0000-0000-0000E0AA0000}"/>
    <cellStyle name="Normal 5 7" xfId="835" xr:uid="{00000000-0005-0000-0000-0000E1AA0000}"/>
    <cellStyle name="Normal 5 7 2" xfId="2474" xr:uid="{00000000-0005-0000-0000-0000E2AA0000}"/>
    <cellStyle name="Normal 5 7 2 2" xfId="7336" xr:uid="{00000000-0005-0000-0000-0000E3AA0000}"/>
    <cellStyle name="Normal 5 7 2 2 2" xfId="26787" xr:uid="{00000000-0005-0000-0000-0000E4AA0000}"/>
    <cellStyle name="Normal 5 7 2 2 3" xfId="36512" xr:uid="{00000000-0005-0000-0000-0000E5AA0000}"/>
    <cellStyle name="Normal 5 7 2 2 4" xfId="46237" xr:uid="{00000000-0005-0000-0000-0000E6AA0000}"/>
    <cellStyle name="Normal 5 7 2 2 5" xfId="17062" xr:uid="{00000000-0005-0000-0000-0000E7AA0000}"/>
    <cellStyle name="Normal 5 7 2 3" xfId="21925" xr:uid="{00000000-0005-0000-0000-0000E8AA0000}"/>
    <cellStyle name="Normal 5 7 2 4" xfId="31650" xr:uid="{00000000-0005-0000-0000-0000E9AA0000}"/>
    <cellStyle name="Normal 5 7 2 5" xfId="41375" xr:uid="{00000000-0005-0000-0000-0000EAAA0000}"/>
    <cellStyle name="Normal 5 7 2 6" xfId="12200" xr:uid="{00000000-0005-0000-0000-0000EBAA0000}"/>
    <cellStyle name="Normal 5 7 3" xfId="4094" xr:uid="{00000000-0005-0000-0000-0000ECAA0000}"/>
    <cellStyle name="Normal 5 7 3 2" xfId="8956" xr:uid="{00000000-0005-0000-0000-0000EDAA0000}"/>
    <cellStyle name="Normal 5 7 3 2 2" xfId="28407" xr:uid="{00000000-0005-0000-0000-0000EEAA0000}"/>
    <cellStyle name="Normal 5 7 3 2 3" xfId="38132" xr:uid="{00000000-0005-0000-0000-0000EFAA0000}"/>
    <cellStyle name="Normal 5 7 3 2 4" xfId="47857" xr:uid="{00000000-0005-0000-0000-0000F0AA0000}"/>
    <cellStyle name="Normal 5 7 3 2 5" xfId="18682" xr:uid="{00000000-0005-0000-0000-0000F1AA0000}"/>
    <cellStyle name="Normal 5 7 3 3" xfId="23545" xr:uid="{00000000-0005-0000-0000-0000F2AA0000}"/>
    <cellStyle name="Normal 5 7 3 4" xfId="33270" xr:uid="{00000000-0005-0000-0000-0000F3AA0000}"/>
    <cellStyle name="Normal 5 7 3 5" xfId="42995" xr:uid="{00000000-0005-0000-0000-0000F4AA0000}"/>
    <cellStyle name="Normal 5 7 3 6" xfId="13820" xr:uid="{00000000-0005-0000-0000-0000F5AA0000}"/>
    <cellStyle name="Normal 5 7 4" xfId="5716" xr:uid="{00000000-0005-0000-0000-0000F6AA0000}"/>
    <cellStyle name="Normal 5 7 4 2" xfId="25167" xr:uid="{00000000-0005-0000-0000-0000F7AA0000}"/>
    <cellStyle name="Normal 5 7 4 3" xfId="34892" xr:uid="{00000000-0005-0000-0000-0000F8AA0000}"/>
    <cellStyle name="Normal 5 7 4 4" xfId="44617" xr:uid="{00000000-0005-0000-0000-0000F9AA0000}"/>
    <cellStyle name="Normal 5 7 4 5" xfId="15442" xr:uid="{00000000-0005-0000-0000-0000FAAA0000}"/>
    <cellStyle name="Normal 5 7 5" xfId="20305" xr:uid="{00000000-0005-0000-0000-0000FBAA0000}"/>
    <cellStyle name="Normal 5 7 6" xfId="30030" xr:uid="{00000000-0005-0000-0000-0000FCAA0000}"/>
    <cellStyle name="Normal 5 7 7" xfId="39755" xr:uid="{00000000-0005-0000-0000-0000FDAA0000}"/>
    <cellStyle name="Normal 5 7 8" xfId="10580" xr:uid="{00000000-0005-0000-0000-0000FEAA0000}"/>
    <cellStyle name="Normal 5 8" xfId="1213" xr:uid="{00000000-0005-0000-0000-0000FFAA0000}"/>
    <cellStyle name="Normal 5 8 2" xfId="2834" xr:uid="{00000000-0005-0000-0000-000000AB0000}"/>
    <cellStyle name="Normal 5 8 2 2" xfId="7696" xr:uid="{00000000-0005-0000-0000-000001AB0000}"/>
    <cellStyle name="Normal 5 8 2 2 2" xfId="27147" xr:uid="{00000000-0005-0000-0000-000002AB0000}"/>
    <cellStyle name="Normal 5 8 2 2 3" xfId="36872" xr:uid="{00000000-0005-0000-0000-000003AB0000}"/>
    <cellStyle name="Normal 5 8 2 2 4" xfId="46597" xr:uid="{00000000-0005-0000-0000-000004AB0000}"/>
    <cellStyle name="Normal 5 8 2 2 5" xfId="17422" xr:uid="{00000000-0005-0000-0000-000005AB0000}"/>
    <cellStyle name="Normal 5 8 2 3" xfId="22285" xr:uid="{00000000-0005-0000-0000-000006AB0000}"/>
    <cellStyle name="Normal 5 8 2 4" xfId="32010" xr:uid="{00000000-0005-0000-0000-000007AB0000}"/>
    <cellStyle name="Normal 5 8 2 5" xfId="41735" xr:uid="{00000000-0005-0000-0000-000008AB0000}"/>
    <cellStyle name="Normal 5 8 2 6" xfId="12560" xr:uid="{00000000-0005-0000-0000-000009AB0000}"/>
    <cellStyle name="Normal 5 8 3" xfId="4454" xr:uid="{00000000-0005-0000-0000-00000AAB0000}"/>
    <cellStyle name="Normal 5 8 3 2" xfId="9316" xr:uid="{00000000-0005-0000-0000-00000BAB0000}"/>
    <cellStyle name="Normal 5 8 3 2 2" xfId="28767" xr:uid="{00000000-0005-0000-0000-00000CAB0000}"/>
    <cellStyle name="Normal 5 8 3 2 3" xfId="38492" xr:uid="{00000000-0005-0000-0000-00000DAB0000}"/>
    <cellStyle name="Normal 5 8 3 2 4" xfId="48217" xr:uid="{00000000-0005-0000-0000-00000EAB0000}"/>
    <cellStyle name="Normal 5 8 3 2 5" xfId="19042" xr:uid="{00000000-0005-0000-0000-00000FAB0000}"/>
    <cellStyle name="Normal 5 8 3 3" xfId="23905" xr:uid="{00000000-0005-0000-0000-000010AB0000}"/>
    <cellStyle name="Normal 5 8 3 4" xfId="33630" xr:uid="{00000000-0005-0000-0000-000011AB0000}"/>
    <cellStyle name="Normal 5 8 3 5" xfId="43355" xr:uid="{00000000-0005-0000-0000-000012AB0000}"/>
    <cellStyle name="Normal 5 8 3 6" xfId="14180" xr:uid="{00000000-0005-0000-0000-000013AB0000}"/>
    <cellStyle name="Normal 5 8 4" xfId="6076" xr:uid="{00000000-0005-0000-0000-000014AB0000}"/>
    <cellStyle name="Normal 5 8 4 2" xfId="25527" xr:uid="{00000000-0005-0000-0000-000015AB0000}"/>
    <cellStyle name="Normal 5 8 4 3" xfId="35252" xr:uid="{00000000-0005-0000-0000-000016AB0000}"/>
    <cellStyle name="Normal 5 8 4 4" xfId="44977" xr:uid="{00000000-0005-0000-0000-000017AB0000}"/>
    <cellStyle name="Normal 5 8 4 5" xfId="15802" xr:uid="{00000000-0005-0000-0000-000018AB0000}"/>
    <cellStyle name="Normal 5 8 5" xfId="20665" xr:uid="{00000000-0005-0000-0000-000019AB0000}"/>
    <cellStyle name="Normal 5 8 6" xfId="30390" xr:uid="{00000000-0005-0000-0000-00001AAB0000}"/>
    <cellStyle name="Normal 5 8 7" xfId="40115" xr:uid="{00000000-0005-0000-0000-00001BAB0000}"/>
    <cellStyle name="Normal 5 8 8" xfId="10940" xr:uid="{00000000-0005-0000-0000-00001CAB0000}"/>
    <cellStyle name="Normal 5 9" xfId="1303" xr:uid="{00000000-0005-0000-0000-00001DAB0000}"/>
    <cellStyle name="Normal 5 9 2" xfId="2924" xr:uid="{00000000-0005-0000-0000-00001EAB0000}"/>
    <cellStyle name="Normal 5 9 2 2" xfId="7786" xr:uid="{00000000-0005-0000-0000-00001FAB0000}"/>
    <cellStyle name="Normal 5 9 2 2 2" xfId="27237" xr:uid="{00000000-0005-0000-0000-000020AB0000}"/>
    <cellStyle name="Normal 5 9 2 2 3" xfId="36962" xr:uid="{00000000-0005-0000-0000-000021AB0000}"/>
    <cellStyle name="Normal 5 9 2 2 4" xfId="46687" xr:uid="{00000000-0005-0000-0000-000022AB0000}"/>
    <cellStyle name="Normal 5 9 2 2 5" xfId="17512" xr:uid="{00000000-0005-0000-0000-000023AB0000}"/>
    <cellStyle name="Normal 5 9 2 3" xfId="22375" xr:uid="{00000000-0005-0000-0000-000024AB0000}"/>
    <cellStyle name="Normal 5 9 2 4" xfId="32100" xr:uid="{00000000-0005-0000-0000-000025AB0000}"/>
    <cellStyle name="Normal 5 9 2 5" xfId="41825" xr:uid="{00000000-0005-0000-0000-000026AB0000}"/>
    <cellStyle name="Normal 5 9 2 6" xfId="12650" xr:uid="{00000000-0005-0000-0000-000027AB0000}"/>
    <cellStyle name="Normal 5 9 3" xfId="4544" xr:uid="{00000000-0005-0000-0000-000028AB0000}"/>
    <cellStyle name="Normal 5 9 3 2" xfId="9406" xr:uid="{00000000-0005-0000-0000-000029AB0000}"/>
    <cellStyle name="Normal 5 9 3 2 2" xfId="28857" xr:uid="{00000000-0005-0000-0000-00002AAB0000}"/>
    <cellStyle name="Normal 5 9 3 2 3" xfId="38582" xr:uid="{00000000-0005-0000-0000-00002BAB0000}"/>
    <cellStyle name="Normal 5 9 3 2 4" xfId="48307" xr:uid="{00000000-0005-0000-0000-00002CAB0000}"/>
    <cellStyle name="Normal 5 9 3 2 5" xfId="19132" xr:uid="{00000000-0005-0000-0000-00002DAB0000}"/>
    <cellStyle name="Normal 5 9 3 3" xfId="23995" xr:uid="{00000000-0005-0000-0000-00002EAB0000}"/>
    <cellStyle name="Normal 5 9 3 4" xfId="33720" xr:uid="{00000000-0005-0000-0000-00002FAB0000}"/>
    <cellStyle name="Normal 5 9 3 5" xfId="43445" xr:uid="{00000000-0005-0000-0000-000030AB0000}"/>
    <cellStyle name="Normal 5 9 3 6" xfId="14270" xr:uid="{00000000-0005-0000-0000-000031AB0000}"/>
    <cellStyle name="Normal 5 9 4" xfId="6166" xr:uid="{00000000-0005-0000-0000-000032AB0000}"/>
    <cellStyle name="Normal 5 9 4 2" xfId="25617" xr:uid="{00000000-0005-0000-0000-000033AB0000}"/>
    <cellStyle name="Normal 5 9 4 3" xfId="35342" xr:uid="{00000000-0005-0000-0000-000034AB0000}"/>
    <cellStyle name="Normal 5 9 4 4" xfId="45067" xr:uid="{00000000-0005-0000-0000-000035AB0000}"/>
    <cellStyle name="Normal 5 9 4 5" xfId="15892" xr:uid="{00000000-0005-0000-0000-000036AB0000}"/>
    <cellStyle name="Normal 5 9 5" xfId="20755" xr:uid="{00000000-0005-0000-0000-000037AB0000}"/>
    <cellStyle name="Normal 5 9 6" xfId="30480" xr:uid="{00000000-0005-0000-0000-000038AB0000}"/>
    <cellStyle name="Normal 5 9 7" xfId="40205" xr:uid="{00000000-0005-0000-0000-000039AB0000}"/>
    <cellStyle name="Normal 5 9 8" xfId="11030" xr:uid="{00000000-0005-0000-0000-00003AAB0000}"/>
    <cellStyle name="Normal 5_Database (All)" xfId="1176" xr:uid="{00000000-0005-0000-0000-00003BAB0000}"/>
    <cellStyle name="Normal 6" xfId="71" xr:uid="{00000000-0005-0000-0000-00003CAB0000}"/>
    <cellStyle name="Normal 6 10" xfId="475" xr:uid="{00000000-0005-0000-0000-00003DAB0000}"/>
    <cellStyle name="Normal 6 10 2" xfId="2115" xr:uid="{00000000-0005-0000-0000-00003EAB0000}"/>
    <cellStyle name="Normal 6 10 2 2" xfId="6977" xr:uid="{00000000-0005-0000-0000-00003FAB0000}"/>
    <cellStyle name="Normal 6 10 2 2 2" xfId="26428" xr:uid="{00000000-0005-0000-0000-000040AB0000}"/>
    <cellStyle name="Normal 6 10 2 2 3" xfId="36153" xr:uid="{00000000-0005-0000-0000-000041AB0000}"/>
    <cellStyle name="Normal 6 10 2 2 4" xfId="45878" xr:uid="{00000000-0005-0000-0000-000042AB0000}"/>
    <cellStyle name="Normal 6 10 2 2 5" xfId="16703" xr:uid="{00000000-0005-0000-0000-000043AB0000}"/>
    <cellStyle name="Normal 6 10 2 3" xfId="21566" xr:uid="{00000000-0005-0000-0000-000044AB0000}"/>
    <cellStyle name="Normal 6 10 2 4" xfId="31291" xr:uid="{00000000-0005-0000-0000-000045AB0000}"/>
    <cellStyle name="Normal 6 10 2 5" xfId="41016" xr:uid="{00000000-0005-0000-0000-000046AB0000}"/>
    <cellStyle name="Normal 6 10 2 6" xfId="11841" xr:uid="{00000000-0005-0000-0000-000047AB0000}"/>
    <cellStyle name="Normal 6 10 3" xfId="3735" xr:uid="{00000000-0005-0000-0000-000048AB0000}"/>
    <cellStyle name="Normal 6 10 3 2" xfId="8597" xr:uid="{00000000-0005-0000-0000-000049AB0000}"/>
    <cellStyle name="Normal 6 10 3 2 2" xfId="28048" xr:uid="{00000000-0005-0000-0000-00004AAB0000}"/>
    <cellStyle name="Normal 6 10 3 2 3" xfId="37773" xr:uid="{00000000-0005-0000-0000-00004BAB0000}"/>
    <cellStyle name="Normal 6 10 3 2 4" xfId="47498" xr:uid="{00000000-0005-0000-0000-00004CAB0000}"/>
    <cellStyle name="Normal 6 10 3 2 5" xfId="18323" xr:uid="{00000000-0005-0000-0000-00004DAB0000}"/>
    <cellStyle name="Normal 6 10 3 3" xfId="23186" xr:uid="{00000000-0005-0000-0000-00004EAB0000}"/>
    <cellStyle name="Normal 6 10 3 4" xfId="32911" xr:uid="{00000000-0005-0000-0000-00004FAB0000}"/>
    <cellStyle name="Normal 6 10 3 5" xfId="42636" xr:uid="{00000000-0005-0000-0000-000050AB0000}"/>
    <cellStyle name="Normal 6 10 3 6" xfId="13461" xr:uid="{00000000-0005-0000-0000-000051AB0000}"/>
    <cellStyle name="Normal 6 10 4" xfId="5357" xr:uid="{00000000-0005-0000-0000-000052AB0000}"/>
    <cellStyle name="Normal 6 10 4 2" xfId="24808" xr:uid="{00000000-0005-0000-0000-000053AB0000}"/>
    <cellStyle name="Normal 6 10 4 3" xfId="34533" xr:uid="{00000000-0005-0000-0000-000054AB0000}"/>
    <cellStyle name="Normal 6 10 4 4" xfId="44258" xr:uid="{00000000-0005-0000-0000-000055AB0000}"/>
    <cellStyle name="Normal 6 10 4 5" xfId="15083" xr:uid="{00000000-0005-0000-0000-000056AB0000}"/>
    <cellStyle name="Normal 6 10 5" xfId="19946" xr:uid="{00000000-0005-0000-0000-000057AB0000}"/>
    <cellStyle name="Normal 6 10 6" xfId="29671" xr:uid="{00000000-0005-0000-0000-000058AB0000}"/>
    <cellStyle name="Normal 6 10 7" xfId="39396" xr:uid="{00000000-0005-0000-0000-000059AB0000}"/>
    <cellStyle name="Normal 6 10 8" xfId="10221" xr:uid="{00000000-0005-0000-0000-00005AAB0000}"/>
    <cellStyle name="Normal 6 11" xfId="1664" xr:uid="{00000000-0005-0000-0000-00005BAB0000}"/>
    <cellStyle name="Normal 6 11 2" xfId="3285" xr:uid="{00000000-0005-0000-0000-00005CAB0000}"/>
    <cellStyle name="Normal 6 11 2 2" xfId="8147" xr:uid="{00000000-0005-0000-0000-00005DAB0000}"/>
    <cellStyle name="Normal 6 11 2 2 2" xfId="27598" xr:uid="{00000000-0005-0000-0000-00005EAB0000}"/>
    <cellStyle name="Normal 6 11 2 2 3" xfId="37323" xr:uid="{00000000-0005-0000-0000-00005FAB0000}"/>
    <cellStyle name="Normal 6 11 2 2 4" xfId="47048" xr:uid="{00000000-0005-0000-0000-000060AB0000}"/>
    <cellStyle name="Normal 6 11 2 2 5" xfId="17873" xr:uid="{00000000-0005-0000-0000-000061AB0000}"/>
    <cellStyle name="Normal 6 11 2 3" xfId="22736" xr:uid="{00000000-0005-0000-0000-000062AB0000}"/>
    <cellStyle name="Normal 6 11 2 4" xfId="32461" xr:uid="{00000000-0005-0000-0000-000063AB0000}"/>
    <cellStyle name="Normal 6 11 2 5" xfId="42186" xr:uid="{00000000-0005-0000-0000-000064AB0000}"/>
    <cellStyle name="Normal 6 11 2 6" xfId="13011" xr:uid="{00000000-0005-0000-0000-000065AB0000}"/>
    <cellStyle name="Normal 6 11 3" xfId="4905" xr:uid="{00000000-0005-0000-0000-000066AB0000}"/>
    <cellStyle name="Normal 6 11 3 2" xfId="9767" xr:uid="{00000000-0005-0000-0000-000067AB0000}"/>
    <cellStyle name="Normal 6 11 3 2 2" xfId="29218" xr:uid="{00000000-0005-0000-0000-000068AB0000}"/>
    <cellStyle name="Normal 6 11 3 2 3" xfId="38943" xr:uid="{00000000-0005-0000-0000-000069AB0000}"/>
    <cellStyle name="Normal 6 11 3 2 4" xfId="48668" xr:uid="{00000000-0005-0000-0000-00006AAB0000}"/>
    <cellStyle name="Normal 6 11 3 2 5" xfId="19493" xr:uid="{00000000-0005-0000-0000-00006BAB0000}"/>
    <cellStyle name="Normal 6 11 3 3" xfId="24356" xr:uid="{00000000-0005-0000-0000-00006CAB0000}"/>
    <cellStyle name="Normal 6 11 3 4" xfId="34081" xr:uid="{00000000-0005-0000-0000-00006DAB0000}"/>
    <cellStyle name="Normal 6 11 3 5" xfId="43806" xr:uid="{00000000-0005-0000-0000-00006EAB0000}"/>
    <cellStyle name="Normal 6 11 3 6" xfId="14631" xr:uid="{00000000-0005-0000-0000-00006FAB0000}"/>
    <cellStyle name="Normal 6 11 4" xfId="6527" xr:uid="{00000000-0005-0000-0000-000070AB0000}"/>
    <cellStyle name="Normal 6 11 4 2" xfId="25978" xr:uid="{00000000-0005-0000-0000-000071AB0000}"/>
    <cellStyle name="Normal 6 11 4 3" xfId="35703" xr:uid="{00000000-0005-0000-0000-000072AB0000}"/>
    <cellStyle name="Normal 6 11 4 4" xfId="45428" xr:uid="{00000000-0005-0000-0000-000073AB0000}"/>
    <cellStyle name="Normal 6 11 4 5" xfId="16253" xr:uid="{00000000-0005-0000-0000-000074AB0000}"/>
    <cellStyle name="Normal 6 11 5" xfId="21116" xr:uid="{00000000-0005-0000-0000-000075AB0000}"/>
    <cellStyle name="Normal 6 11 6" xfId="30841" xr:uid="{00000000-0005-0000-0000-000076AB0000}"/>
    <cellStyle name="Normal 6 11 7" xfId="40566" xr:uid="{00000000-0005-0000-0000-000077AB0000}"/>
    <cellStyle name="Normal 6 11 8" xfId="11391" xr:uid="{00000000-0005-0000-0000-000078AB0000}"/>
    <cellStyle name="Normal 6 12" xfId="1755" xr:uid="{00000000-0005-0000-0000-000079AB0000}"/>
    <cellStyle name="Normal 6 12 2" xfId="6617" xr:uid="{00000000-0005-0000-0000-00007AAB0000}"/>
    <cellStyle name="Normal 6 12 2 2" xfId="26068" xr:uid="{00000000-0005-0000-0000-00007BAB0000}"/>
    <cellStyle name="Normal 6 12 2 3" xfId="35793" xr:uid="{00000000-0005-0000-0000-00007CAB0000}"/>
    <cellStyle name="Normal 6 12 2 4" xfId="45518" xr:uid="{00000000-0005-0000-0000-00007DAB0000}"/>
    <cellStyle name="Normal 6 12 2 5" xfId="16343" xr:uid="{00000000-0005-0000-0000-00007EAB0000}"/>
    <cellStyle name="Normal 6 12 3" xfId="21206" xr:uid="{00000000-0005-0000-0000-00007FAB0000}"/>
    <cellStyle name="Normal 6 12 4" xfId="30931" xr:uid="{00000000-0005-0000-0000-000080AB0000}"/>
    <cellStyle name="Normal 6 12 5" xfId="40656" xr:uid="{00000000-0005-0000-0000-000081AB0000}"/>
    <cellStyle name="Normal 6 12 6" xfId="11481" xr:uid="{00000000-0005-0000-0000-000082AB0000}"/>
    <cellStyle name="Normal 6 13" xfId="3375" xr:uid="{00000000-0005-0000-0000-000083AB0000}"/>
    <cellStyle name="Normal 6 13 2" xfId="8237" xr:uid="{00000000-0005-0000-0000-000084AB0000}"/>
    <cellStyle name="Normal 6 13 2 2" xfId="27688" xr:uid="{00000000-0005-0000-0000-000085AB0000}"/>
    <cellStyle name="Normal 6 13 2 3" xfId="37413" xr:uid="{00000000-0005-0000-0000-000086AB0000}"/>
    <cellStyle name="Normal 6 13 2 4" xfId="47138" xr:uid="{00000000-0005-0000-0000-000087AB0000}"/>
    <cellStyle name="Normal 6 13 2 5" xfId="17963" xr:uid="{00000000-0005-0000-0000-000088AB0000}"/>
    <cellStyle name="Normal 6 13 3" xfId="22826" xr:uid="{00000000-0005-0000-0000-000089AB0000}"/>
    <cellStyle name="Normal 6 13 4" xfId="32551" xr:uid="{00000000-0005-0000-0000-00008AAB0000}"/>
    <cellStyle name="Normal 6 13 5" xfId="42276" xr:uid="{00000000-0005-0000-0000-00008BAB0000}"/>
    <cellStyle name="Normal 6 13 6" xfId="13101" xr:uid="{00000000-0005-0000-0000-00008CAB0000}"/>
    <cellStyle name="Normal 6 14" xfId="4997" xr:uid="{00000000-0005-0000-0000-00008DAB0000}"/>
    <cellStyle name="Normal 6 14 2" xfId="24448" xr:uid="{00000000-0005-0000-0000-00008EAB0000}"/>
    <cellStyle name="Normal 6 14 3" xfId="34173" xr:uid="{00000000-0005-0000-0000-00008FAB0000}"/>
    <cellStyle name="Normal 6 14 4" xfId="43898" xr:uid="{00000000-0005-0000-0000-000090AB0000}"/>
    <cellStyle name="Normal 6 14 5" xfId="14723" xr:uid="{00000000-0005-0000-0000-000091AB0000}"/>
    <cellStyle name="Normal 6 15" xfId="19586" xr:uid="{00000000-0005-0000-0000-000092AB0000}"/>
    <cellStyle name="Normal 6 16" xfId="29311" xr:uid="{00000000-0005-0000-0000-000093AB0000}"/>
    <cellStyle name="Normal 6 17" xfId="39036" xr:uid="{00000000-0005-0000-0000-000094AB0000}"/>
    <cellStyle name="Normal 6 18" xfId="9861" xr:uid="{00000000-0005-0000-0000-000095AB0000}"/>
    <cellStyle name="Normal 6 2" xfId="101" xr:uid="{00000000-0005-0000-0000-000096AB0000}"/>
    <cellStyle name="Normal 6 2 10" xfId="1785" xr:uid="{00000000-0005-0000-0000-000097AB0000}"/>
    <cellStyle name="Normal 6 2 10 2" xfId="6647" xr:uid="{00000000-0005-0000-0000-000098AB0000}"/>
    <cellStyle name="Normal 6 2 10 2 2" xfId="26098" xr:uid="{00000000-0005-0000-0000-000099AB0000}"/>
    <cellStyle name="Normal 6 2 10 2 3" xfId="35823" xr:uid="{00000000-0005-0000-0000-00009AAB0000}"/>
    <cellStyle name="Normal 6 2 10 2 4" xfId="45548" xr:uid="{00000000-0005-0000-0000-00009BAB0000}"/>
    <cellStyle name="Normal 6 2 10 2 5" xfId="16373" xr:uid="{00000000-0005-0000-0000-00009CAB0000}"/>
    <cellStyle name="Normal 6 2 10 3" xfId="21236" xr:uid="{00000000-0005-0000-0000-00009DAB0000}"/>
    <cellStyle name="Normal 6 2 10 4" xfId="30961" xr:uid="{00000000-0005-0000-0000-00009EAB0000}"/>
    <cellStyle name="Normal 6 2 10 5" xfId="40686" xr:uid="{00000000-0005-0000-0000-00009FAB0000}"/>
    <cellStyle name="Normal 6 2 10 6" xfId="11511" xr:uid="{00000000-0005-0000-0000-0000A0AB0000}"/>
    <cellStyle name="Normal 6 2 11" xfId="3405" xr:uid="{00000000-0005-0000-0000-0000A1AB0000}"/>
    <cellStyle name="Normal 6 2 11 2" xfId="8267" xr:uid="{00000000-0005-0000-0000-0000A2AB0000}"/>
    <cellStyle name="Normal 6 2 11 2 2" xfId="27718" xr:uid="{00000000-0005-0000-0000-0000A3AB0000}"/>
    <cellStyle name="Normal 6 2 11 2 3" xfId="37443" xr:uid="{00000000-0005-0000-0000-0000A4AB0000}"/>
    <cellStyle name="Normal 6 2 11 2 4" xfId="47168" xr:uid="{00000000-0005-0000-0000-0000A5AB0000}"/>
    <cellStyle name="Normal 6 2 11 2 5" xfId="17993" xr:uid="{00000000-0005-0000-0000-0000A6AB0000}"/>
    <cellStyle name="Normal 6 2 11 3" xfId="22856" xr:uid="{00000000-0005-0000-0000-0000A7AB0000}"/>
    <cellStyle name="Normal 6 2 11 4" xfId="32581" xr:uid="{00000000-0005-0000-0000-0000A8AB0000}"/>
    <cellStyle name="Normal 6 2 11 5" xfId="42306" xr:uid="{00000000-0005-0000-0000-0000A9AB0000}"/>
    <cellStyle name="Normal 6 2 11 6" xfId="13131" xr:uid="{00000000-0005-0000-0000-0000AAAB0000}"/>
    <cellStyle name="Normal 6 2 12" xfId="5027" xr:uid="{00000000-0005-0000-0000-0000ABAB0000}"/>
    <cellStyle name="Normal 6 2 12 2" xfId="24478" xr:uid="{00000000-0005-0000-0000-0000ACAB0000}"/>
    <cellStyle name="Normal 6 2 12 3" xfId="34203" xr:uid="{00000000-0005-0000-0000-0000ADAB0000}"/>
    <cellStyle name="Normal 6 2 12 4" xfId="43928" xr:uid="{00000000-0005-0000-0000-0000AEAB0000}"/>
    <cellStyle name="Normal 6 2 12 5" xfId="14753" xr:uid="{00000000-0005-0000-0000-0000AFAB0000}"/>
    <cellStyle name="Normal 6 2 13" xfId="19616" xr:uid="{00000000-0005-0000-0000-0000B0AB0000}"/>
    <cellStyle name="Normal 6 2 14" xfId="29341" xr:uid="{00000000-0005-0000-0000-0000B1AB0000}"/>
    <cellStyle name="Normal 6 2 15" xfId="39066" xr:uid="{00000000-0005-0000-0000-0000B2AB0000}"/>
    <cellStyle name="Normal 6 2 16" xfId="9891" xr:uid="{00000000-0005-0000-0000-0000B3AB0000}"/>
    <cellStyle name="Normal 6 2 2" xfId="283" xr:uid="{00000000-0005-0000-0000-0000B4AB0000}"/>
    <cellStyle name="Normal 6 2 2 10" xfId="39246" xr:uid="{00000000-0005-0000-0000-0000B5AB0000}"/>
    <cellStyle name="Normal 6 2 2 11" xfId="10071" xr:uid="{00000000-0005-0000-0000-0000B6AB0000}"/>
    <cellStyle name="Normal 6 2 2 2" xfId="1047" xr:uid="{00000000-0005-0000-0000-0000B7AB0000}"/>
    <cellStyle name="Normal 6 2 2 2 2" xfId="2685" xr:uid="{00000000-0005-0000-0000-0000B8AB0000}"/>
    <cellStyle name="Normal 6 2 2 2 2 2" xfId="7547" xr:uid="{00000000-0005-0000-0000-0000B9AB0000}"/>
    <cellStyle name="Normal 6 2 2 2 2 2 2" xfId="26998" xr:uid="{00000000-0005-0000-0000-0000BAAB0000}"/>
    <cellStyle name="Normal 6 2 2 2 2 2 3" xfId="36723" xr:uid="{00000000-0005-0000-0000-0000BBAB0000}"/>
    <cellStyle name="Normal 6 2 2 2 2 2 4" xfId="46448" xr:uid="{00000000-0005-0000-0000-0000BCAB0000}"/>
    <cellStyle name="Normal 6 2 2 2 2 2 5" xfId="17273" xr:uid="{00000000-0005-0000-0000-0000BDAB0000}"/>
    <cellStyle name="Normal 6 2 2 2 2 3" xfId="22136" xr:uid="{00000000-0005-0000-0000-0000BEAB0000}"/>
    <cellStyle name="Normal 6 2 2 2 2 4" xfId="31861" xr:uid="{00000000-0005-0000-0000-0000BFAB0000}"/>
    <cellStyle name="Normal 6 2 2 2 2 5" xfId="41586" xr:uid="{00000000-0005-0000-0000-0000C0AB0000}"/>
    <cellStyle name="Normal 6 2 2 2 2 6" xfId="12411" xr:uid="{00000000-0005-0000-0000-0000C1AB0000}"/>
    <cellStyle name="Normal 6 2 2 2 3" xfId="4305" xr:uid="{00000000-0005-0000-0000-0000C2AB0000}"/>
    <cellStyle name="Normal 6 2 2 2 3 2" xfId="9167" xr:uid="{00000000-0005-0000-0000-0000C3AB0000}"/>
    <cellStyle name="Normal 6 2 2 2 3 2 2" xfId="28618" xr:uid="{00000000-0005-0000-0000-0000C4AB0000}"/>
    <cellStyle name="Normal 6 2 2 2 3 2 3" xfId="38343" xr:uid="{00000000-0005-0000-0000-0000C5AB0000}"/>
    <cellStyle name="Normal 6 2 2 2 3 2 4" xfId="48068" xr:uid="{00000000-0005-0000-0000-0000C6AB0000}"/>
    <cellStyle name="Normal 6 2 2 2 3 2 5" xfId="18893" xr:uid="{00000000-0005-0000-0000-0000C7AB0000}"/>
    <cellStyle name="Normal 6 2 2 2 3 3" xfId="23756" xr:uid="{00000000-0005-0000-0000-0000C8AB0000}"/>
    <cellStyle name="Normal 6 2 2 2 3 4" xfId="33481" xr:uid="{00000000-0005-0000-0000-0000C9AB0000}"/>
    <cellStyle name="Normal 6 2 2 2 3 5" xfId="43206" xr:uid="{00000000-0005-0000-0000-0000CAAB0000}"/>
    <cellStyle name="Normal 6 2 2 2 3 6" xfId="14031" xr:uid="{00000000-0005-0000-0000-0000CBAB0000}"/>
    <cellStyle name="Normal 6 2 2 2 4" xfId="5927" xr:uid="{00000000-0005-0000-0000-0000CCAB0000}"/>
    <cellStyle name="Normal 6 2 2 2 4 2" xfId="25378" xr:uid="{00000000-0005-0000-0000-0000CDAB0000}"/>
    <cellStyle name="Normal 6 2 2 2 4 3" xfId="35103" xr:uid="{00000000-0005-0000-0000-0000CEAB0000}"/>
    <cellStyle name="Normal 6 2 2 2 4 4" xfId="44828" xr:uid="{00000000-0005-0000-0000-0000CFAB0000}"/>
    <cellStyle name="Normal 6 2 2 2 4 5" xfId="15653" xr:uid="{00000000-0005-0000-0000-0000D0AB0000}"/>
    <cellStyle name="Normal 6 2 2 2 5" xfId="20516" xr:uid="{00000000-0005-0000-0000-0000D1AB0000}"/>
    <cellStyle name="Normal 6 2 2 2 6" xfId="30241" xr:uid="{00000000-0005-0000-0000-0000D2AB0000}"/>
    <cellStyle name="Normal 6 2 2 2 7" xfId="39966" xr:uid="{00000000-0005-0000-0000-0000D3AB0000}"/>
    <cellStyle name="Normal 6 2 2 2 8" xfId="10791" xr:uid="{00000000-0005-0000-0000-0000D4AB0000}"/>
    <cellStyle name="Normal 6 2 2 3" xfId="1514" xr:uid="{00000000-0005-0000-0000-0000D5AB0000}"/>
    <cellStyle name="Normal 6 2 2 3 2" xfId="3135" xr:uid="{00000000-0005-0000-0000-0000D6AB0000}"/>
    <cellStyle name="Normal 6 2 2 3 2 2" xfId="7997" xr:uid="{00000000-0005-0000-0000-0000D7AB0000}"/>
    <cellStyle name="Normal 6 2 2 3 2 2 2" xfId="27448" xr:uid="{00000000-0005-0000-0000-0000D8AB0000}"/>
    <cellStyle name="Normal 6 2 2 3 2 2 3" xfId="37173" xr:uid="{00000000-0005-0000-0000-0000D9AB0000}"/>
    <cellStyle name="Normal 6 2 2 3 2 2 4" xfId="46898" xr:uid="{00000000-0005-0000-0000-0000DAAB0000}"/>
    <cellStyle name="Normal 6 2 2 3 2 2 5" xfId="17723" xr:uid="{00000000-0005-0000-0000-0000DBAB0000}"/>
    <cellStyle name="Normal 6 2 2 3 2 3" xfId="22586" xr:uid="{00000000-0005-0000-0000-0000DCAB0000}"/>
    <cellStyle name="Normal 6 2 2 3 2 4" xfId="32311" xr:uid="{00000000-0005-0000-0000-0000DDAB0000}"/>
    <cellStyle name="Normal 6 2 2 3 2 5" xfId="42036" xr:uid="{00000000-0005-0000-0000-0000DEAB0000}"/>
    <cellStyle name="Normal 6 2 2 3 2 6" xfId="12861" xr:uid="{00000000-0005-0000-0000-0000DFAB0000}"/>
    <cellStyle name="Normal 6 2 2 3 3" xfId="4755" xr:uid="{00000000-0005-0000-0000-0000E0AB0000}"/>
    <cellStyle name="Normal 6 2 2 3 3 2" xfId="9617" xr:uid="{00000000-0005-0000-0000-0000E1AB0000}"/>
    <cellStyle name="Normal 6 2 2 3 3 2 2" xfId="29068" xr:uid="{00000000-0005-0000-0000-0000E2AB0000}"/>
    <cellStyle name="Normal 6 2 2 3 3 2 3" xfId="38793" xr:uid="{00000000-0005-0000-0000-0000E3AB0000}"/>
    <cellStyle name="Normal 6 2 2 3 3 2 4" xfId="48518" xr:uid="{00000000-0005-0000-0000-0000E4AB0000}"/>
    <cellStyle name="Normal 6 2 2 3 3 2 5" xfId="19343" xr:uid="{00000000-0005-0000-0000-0000E5AB0000}"/>
    <cellStyle name="Normal 6 2 2 3 3 3" xfId="24206" xr:uid="{00000000-0005-0000-0000-0000E6AB0000}"/>
    <cellStyle name="Normal 6 2 2 3 3 4" xfId="33931" xr:uid="{00000000-0005-0000-0000-0000E7AB0000}"/>
    <cellStyle name="Normal 6 2 2 3 3 5" xfId="43656" xr:uid="{00000000-0005-0000-0000-0000E8AB0000}"/>
    <cellStyle name="Normal 6 2 2 3 3 6" xfId="14481" xr:uid="{00000000-0005-0000-0000-0000E9AB0000}"/>
    <cellStyle name="Normal 6 2 2 3 4" xfId="6377" xr:uid="{00000000-0005-0000-0000-0000EAAB0000}"/>
    <cellStyle name="Normal 6 2 2 3 4 2" xfId="25828" xr:uid="{00000000-0005-0000-0000-0000EBAB0000}"/>
    <cellStyle name="Normal 6 2 2 3 4 3" xfId="35553" xr:uid="{00000000-0005-0000-0000-0000ECAB0000}"/>
    <cellStyle name="Normal 6 2 2 3 4 4" xfId="45278" xr:uid="{00000000-0005-0000-0000-0000EDAB0000}"/>
    <cellStyle name="Normal 6 2 2 3 4 5" xfId="16103" xr:uid="{00000000-0005-0000-0000-0000EEAB0000}"/>
    <cellStyle name="Normal 6 2 2 3 5" xfId="20966" xr:uid="{00000000-0005-0000-0000-0000EFAB0000}"/>
    <cellStyle name="Normal 6 2 2 3 6" xfId="30691" xr:uid="{00000000-0005-0000-0000-0000F0AB0000}"/>
    <cellStyle name="Normal 6 2 2 3 7" xfId="40416" xr:uid="{00000000-0005-0000-0000-0000F1AB0000}"/>
    <cellStyle name="Normal 6 2 2 3 8" xfId="11241" xr:uid="{00000000-0005-0000-0000-0000F2AB0000}"/>
    <cellStyle name="Normal 6 2 2 4" xfId="685" xr:uid="{00000000-0005-0000-0000-0000F3AB0000}"/>
    <cellStyle name="Normal 6 2 2 4 2" xfId="2325" xr:uid="{00000000-0005-0000-0000-0000F4AB0000}"/>
    <cellStyle name="Normal 6 2 2 4 2 2" xfId="7187" xr:uid="{00000000-0005-0000-0000-0000F5AB0000}"/>
    <cellStyle name="Normal 6 2 2 4 2 2 2" xfId="26638" xr:uid="{00000000-0005-0000-0000-0000F6AB0000}"/>
    <cellStyle name="Normal 6 2 2 4 2 2 3" xfId="36363" xr:uid="{00000000-0005-0000-0000-0000F7AB0000}"/>
    <cellStyle name="Normal 6 2 2 4 2 2 4" xfId="46088" xr:uid="{00000000-0005-0000-0000-0000F8AB0000}"/>
    <cellStyle name="Normal 6 2 2 4 2 2 5" xfId="16913" xr:uid="{00000000-0005-0000-0000-0000F9AB0000}"/>
    <cellStyle name="Normal 6 2 2 4 2 3" xfId="21776" xr:uid="{00000000-0005-0000-0000-0000FAAB0000}"/>
    <cellStyle name="Normal 6 2 2 4 2 4" xfId="31501" xr:uid="{00000000-0005-0000-0000-0000FBAB0000}"/>
    <cellStyle name="Normal 6 2 2 4 2 5" xfId="41226" xr:uid="{00000000-0005-0000-0000-0000FCAB0000}"/>
    <cellStyle name="Normal 6 2 2 4 2 6" xfId="12051" xr:uid="{00000000-0005-0000-0000-0000FDAB0000}"/>
    <cellStyle name="Normal 6 2 2 4 3" xfId="3945" xr:uid="{00000000-0005-0000-0000-0000FEAB0000}"/>
    <cellStyle name="Normal 6 2 2 4 3 2" xfId="8807" xr:uid="{00000000-0005-0000-0000-0000FFAB0000}"/>
    <cellStyle name="Normal 6 2 2 4 3 2 2" xfId="28258" xr:uid="{00000000-0005-0000-0000-000000AC0000}"/>
    <cellStyle name="Normal 6 2 2 4 3 2 3" xfId="37983" xr:uid="{00000000-0005-0000-0000-000001AC0000}"/>
    <cellStyle name="Normal 6 2 2 4 3 2 4" xfId="47708" xr:uid="{00000000-0005-0000-0000-000002AC0000}"/>
    <cellStyle name="Normal 6 2 2 4 3 2 5" xfId="18533" xr:uid="{00000000-0005-0000-0000-000003AC0000}"/>
    <cellStyle name="Normal 6 2 2 4 3 3" xfId="23396" xr:uid="{00000000-0005-0000-0000-000004AC0000}"/>
    <cellStyle name="Normal 6 2 2 4 3 4" xfId="33121" xr:uid="{00000000-0005-0000-0000-000005AC0000}"/>
    <cellStyle name="Normal 6 2 2 4 3 5" xfId="42846" xr:uid="{00000000-0005-0000-0000-000006AC0000}"/>
    <cellStyle name="Normal 6 2 2 4 3 6" xfId="13671" xr:uid="{00000000-0005-0000-0000-000007AC0000}"/>
    <cellStyle name="Normal 6 2 2 4 4" xfId="5567" xr:uid="{00000000-0005-0000-0000-000008AC0000}"/>
    <cellStyle name="Normal 6 2 2 4 4 2" xfId="25018" xr:uid="{00000000-0005-0000-0000-000009AC0000}"/>
    <cellStyle name="Normal 6 2 2 4 4 3" xfId="34743" xr:uid="{00000000-0005-0000-0000-00000AAC0000}"/>
    <cellStyle name="Normal 6 2 2 4 4 4" xfId="44468" xr:uid="{00000000-0005-0000-0000-00000BAC0000}"/>
    <cellStyle name="Normal 6 2 2 4 4 5" xfId="15293" xr:uid="{00000000-0005-0000-0000-00000CAC0000}"/>
    <cellStyle name="Normal 6 2 2 4 5" xfId="20156" xr:uid="{00000000-0005-0000-0000-00000DAC0000}"/>
    <cellStyle name="Normal 6 2 2 4 6" xfId="29881" xr:uid="{00000000-0005-0000-0000-00000EAC0000}"/>
    <cellStyle name="Normal 6 2 2 4 7" xfId="39606" xr:uid="{00000000-0005-0000-0000-00000FAC0000}"/>
    <cellStyle name="Normal 6 2 2 4 8" xfId="10431" xr:uid="{00000000-0005-0000-0000-000010AC0000}"/>
    <cellStyle name="Normal 6 2 2 5" xfId="1965" xr:uid="{00000000-0005-0000-0000-000011AC0000}"/>
    <cellStyle name="Normal 6 2 2 5 2" xfId="6827" xr:uid="{00000000-0005-0000-0000-000012AC0000}"/>
    <cellStyle name="Normal 6 2 2 5 2 2" xfId="26278" xr:uid="{00000000-0005-0000-0000-000013AC0000}"/>
    <cellStyle name="Normal 6 2 2 5 2 3" xfId="36003" xr:uid="{00000000-0005-0000-0000-000014AC0000}"/>
    <cellStyle name="Normal 6 2 2 5 2 4" xfId="45728" xr:uid="{00000000-0005-0000-0000-000015AC0000}"/>
    <cellStyle name="Normal 6 2 2 5 2 5" xfId="16553" xr:uid="{00000000-0005-0000-0000-000016AC0000}"/>
    <cellStyle name="Normal 6 2 2 5 3" xfId="21416" xr:uid="{00000000-0005-0000-0000-000017AC0000}"/>
    <cellStyle name="Normal 6 2 2 5 4" xfId="31141" xr:uid="{00000000-0005-0000-0000-000018AC0000}"/>
    <cellStyle name="Normal 6 2 2 5 5" xfId="40866" xr:uid="{00000000-0005-0000-0000-000019AC0000}"/>
    <cellStyle name="Normal 6 2 2 5 6" xfId="11691" xr:uid="{00000000-0005-0000-0000-00001AAC0000}"/>
    <cellStyle name="Normal 6 2 2 6" xfId="3585" xr:uid="{00000000-0005-0000-0000-00001BAC0000}"/>
    <cellStyle name="Normal 6 2 2 6 2" xfId="8447" xr:uid="{00000000-0005-0000-0000-00001CAC0000}"/>
    <cellStyle name="Normal 6 2 2 6 2 2" xfId="27898" xr:uid="{00000000-0005-0000-0000-00001DAC0000}"/>
    <cellStyle name="Normal 6 2 2 6 2 3" xfId="37623" xr:uid="{00000000-0005-0000-0000-00001EAC0000}"/>
    <cellStyle name="Normal 6 2 2 6 2 4" xfId="47348" xr:uid="{00000000-0005-0000-0000-00001FAC0000}"/>
    <cellStyle name="Normal 6 2 2 6 2 5" xfId="18173" xr:uid="{00000000-0005-0000-0000-000020AC0000}"/>
    <cellStyle name="Normal 6 2 2 6 3" xfId="23036" xr:uid="{00000000-0005-0000-0000-000021AC0000}"/>
    <cellStyle name="Normal 6 2 2 6 4" xfId="32761" xr:uid="{00000000-0005-0000-0000-000022AC0000}"/>
    <cellStyle name="Normal 6 2 2 6 5" xfId="42486" xr:uid="{00000000-0005-0000-0000-000023AC0000}"/>
    <cellStyle name="Normal 6 2 2 6 6" xfId="13311" xr:uid="{00000000-0005-0000-0000-000024AC0000}"/>
    <cellStyle name="Normal 6 2 2 7" xfId="5207" xr:uid="{00000000-0005-0000-0000-000025AC0000}"/>
    <cellStyle name="Normal 6 2 2 7 2" xfId="24658" xr:uid="{00000000-0005-0000-0000-000026AC0000}"/>
    <cellStyle name="Normal 6 2 2 7 3" xfId="34383" xr:uid="{00000000-0005-0000-0000-000027AC0000}"/>
    <cellStyle name="Normal 6 2 2 7 4" xfId="44108" xr:uid="{00000000-0005-0000-0000-000028AC0000}"/>
    <cellStyle name="Normal 6 2 2 7 5" xfId="14933" xr:uid="{00000000-0005-0000-0000-000029AC0000}"/>
    <cellStyle name="Normal 6 2 2 8" xfId="19796" xr:uid="{00000000-0005-0000-0000-00002AAC0000}"/>
    <cellStyle name="Normal 6 2 2 9" xfId="29521" xr:uid="{00000000-0005-0000-0000-00002BAC0000}"/>
    <cellStyle name="Normal 6 2 3" xfId="374" xr:uid="{00000000-0005-0000-0000-00002CAC0000}"/>
    <cellStyle name="Normal 6 2 3 10" xfId="39336" xr:uid="{00000000-0005-0000-0000-00002DAC0000}"/>
    <cellStyle name="Normal 6 2 3 11" xfId="10161" xr:uid="{00000000-0005-0000-0000-00002EAC0000}"/>
    <cellStyle name="Normal 6 2 3 2" xfId="1137" xr:uid="{00000000-0005-0000-0000-00002FAC0000}"/>
    <cellStyle name="Normal 6 2 3 2 2" xfId="2775" xr:uid="{00000000-0005-0000-0000-000030AC0000}"/>
    <cellStyle name="Normal 6 2 3 2 2 2" xfId="7637" xr:uid="{00000000-0005-0000-0000-000031AC0000}"/>
    <cellStyle name="Normal 6 2 3 2 2 2 2" xfId="27088" xr:uid="{00000000-0005-0000-0000-000032AC0000}"/>
    <cellStyle name="Normal 6 2 3 2 2 2 3" xfId="36813" xr:uid="{00000000-0005-0000-0000-000033AC0000}"/>
    <cellStyle name="Normal 6 2 3 2 2 2 4" xfId="46538" xr:uid="{00000000-0005-0000-0000-000034AC0000}"/>
    <cellStyle name="Normal 6 2 3 2 2 2 5" xfId="17363" xr:uid="{00000000-0005-0000-0000-000035AC0000}"/>
    <cellStyle name="Normal 6 2 3 2 2 3" xfId="22226" xr:uid="{00000000-0005-0000-0000-000036AC0000}"/>
    <cellStyle name="Normal 6 2 3 2 2 4" xfId="31951" xr:uid="{00000000-0005-0000-0000-000037AC0000}"/>
    <cellStyle name="Normal 6 2 3 2 2 5" xfId="41676" xr:uid="{00000000-0005-0000-0000-000038AC0000}"/>
    <cellStyle name="Normal 6 2 3 2 2 6" xfId="12501" xr:uid="{00000000-0005-0000-0000-000039AC0000}"/>
    <cellStyle name="Normal 6 2 3 2 3" xfId="4395" xr:uid="{00000000-0005-0000-0000-00003AAC0000}"/>
    <cellStyle name="Normal 6 2 3 2 3 2" xfId="9257" xr:uid="{00000000-0005-0000-0000-00003BAC0000}"/>
    <cellStyle name="Normal 6 2 3 2 3 2 2" xfId="28708" xr:uid="{00000000-0005-0000-0000-00003CAC0000}"/>
    <cellStyle name="Normal 6 2 3 2 3 2 3" xfId="38433" xr:uid="{00000000-0005-0000-0000-00003DAC0000}"/>
    <cellStyle name="Normal 6 2 3 2 3 2 4" xfId="48158" xr:uid="{00000000-0005-0000-0000-00003EAC0000}"/>
    <cellStyle name="Normal 6 2 3 2 3 2 5" xfId="18983" xr:uid="{00000000-0005-0000-0000-00003FAC0000}"/>
    <cellStyle name="Normal 6 2 3 2 3 3" xfId="23846" xr:uid="{00000000-0005-0000-0000-000040AC0000}"/>
    <cellStyle name="Normal 6 2 3 2 3 4" xfId="33571" xr:uid="{00000000-0005-0000-0000-000041AC0000}"/>
    <cellStyle name="Normal 6 2 3 2 3 5" xfId="43296" xr:uid="{00000000-0005-0000-0000-000042AC0000}"/>
    <cellStyle name="Normal 6 2 3 2 3 6" xfId="14121" xr:uid="{00000000-0005-0000-0000-000043AC0000}"/>
    <cellStyle name="Normal 6 2 3 2 4" xfId="6017" xr:uid="{00000000-0005-0000-0000-000044AC0000}"/>
    <cellStyle name="Normal 6 2 3 2 4 2" xfId="25468" xr:uid="{00000000-0005-0000-0000-000045AC0000}"/>
    <cellStyle name="Normal 6 2 3 2 4 3" xfId="35193" xr:uid="{00000000-0005-0000-0000-000046AC0000}"/>
    <cellStyle name="Normal 6 2 3 2 4 4" xfId="44918" xr:uid="{00000000-0005-0000-0000-000047AC0000}"/>
    <cellStyle name="Normal 6 2 3 2 4 5" xfId="15743" xr:uid="{00000000-0005-0000-0000-000048AC0000}"/>
    <cellStyle name="Normal 6 2 3 2 5" xfId="20606" xr:uid="{00000000-0005-0000-0000-000049AC0000}"/>
    <cellStyle name="Normal 6 2 3 2 6" xfId="30331" xr:uid="{00000000-0005-0000-0000-00004AAC0000}"/>
    <cellStyle name="Normal 6 2 3 2 7" xfId="40056" xr:uid="{00000000-0005-0000-0000-00004BAC0000}"/>
    <cellStyle name="Normal 6 2 3 2 8" xfId="10881" xr:uid="{00000000-0005-0000-0000-00004CAC0000}"/>
    <cellStyle name="Normal 6 2 3 3" xfId="1604" xr:uid="{00000000-0005-0000-0000-00004DAC0000}"/>
    <cellStyle name="Normal 6 2 3 3 2" xfId="3225" xr:uid="{00000000-0005-0000-0000-00004EAC0000}"/>
    <cellStyle name="Normal 6 2 3 3 2 2" xfId="8087" xr:uid="{00000000-0005-0000-0000-00004FAC0000}"/>
    <cellStyle name="Normal 6 2 3 3 2 2 2" xfId="27538" xr:uid="{00000000-0005-0000-0000-000050AC0000}"/>
    <cellStyle name="Normal 6 2 3 3 2 2 3" xfId="37263" xr:uid="{00000000-0005-0000-0000-000051AC0000}"/>
    <cellStyle name="Normal 6 2 3 3 2 2 4" xfId="46988" xr:uid="{00000000-0005-0000-0000-000052AC0000}"/>
    <cellStyle name="Normal 6 2 3 3 2 2 5" xfId="17813" xr:uid="{00000000-0005-0000-0000-000053AC0000}"/>
    <cellStyle name="Normal 6 2 3 3 2 3" xfId="22676" xr:uid="{00000000-0005-0000-0000-000054AC0000}"/>
    <cellStyle name="Normal 6 2 3 3 2 4" xfId="32401" xr:uid="{00000000-0005-0000-0000-000055AC0000}"/>
    <cellStyle name="Normal 6 2 3 3 2 5" xfId="42126" xr:uid="{00000000-0005-0000-0000-000056AC0000}"/>
    <cellStyle name="Normal 6 2 3 3 2 6" xfId="12951" xr:uid="{00000000-0005-0000-0000-000057AC0000}"/>
    <cellStyle name="Normal 6 2 3 3 3" xfId="4845" xr:uid="{00000000-0005-0000-0000-000058AC0000}"/>
    <cellStyle name="Normal 6 2 3 3 3 2" xfId="9707" xr:uid="{00000000-0005-0000-0000-000059AC0000}"/>
    <cellStyle name="Normal 6 2 3 3 3 2 2" xfId="29158" xr:uid="{00000000-0005-0000-0000-00005AAC0000}"/>
    <cellStyle name="Normal 6 2 3 3 3 2 3" xfId="38883" xr:uid="{00000000-0005-0000-0000-00005BAC0000}"/>
    <cellStyle name="Normal 6 2 3 3 3 2 4" xfId="48608" xr:uid="{00000000-0005-0000-0000-00005CAC0000}"/>
    <cellStyle name="Normal 6 2 3 3 3 2 5" xfId="19433" xr:uid="{00000000-0005-0000-0000-00005DAC0000}"/>
    <cellStyle name="Normal 6 2 3 3 3 3" xfId="24296" xr:uid="{00000000-0005-0000-0000-00005EAC0000}"/>
    <cellStyle name="Normal 6 2 3 3 3 4" xfId="34021" xr:uid="{00000000-0005-0000-0000-00005FAC0000}"/>
    <cellStyle name="Normal 6 2 3 3 3 5" xfId="43746" xr:uid="{00000000-0005-0000-0000-000060AC0000}"/>
    <cellStyle name="Normal 6 2 3 3 3 6" xfId="14571" xr:uid="{00000000-0005-0000-0000-000061AC0000}"/>
    <cellStyle name="Normal 6 2 3 3 4" xfId="6467" xr:uid="{00000000-0005-0000-0000-000062AC0000}"/>
    <cellStyle name="Normal 6 2 3 3 4 2" xfId="25918" xr:uid="{00000000-0005-0000-0000-000063AC0000}"/>
    <cellStyle name="Normal 6 2 3 3 4 3" xfId="35643" xr:uid="{00000000-0005-0000-0000-000064AC0000}"/>
    <cellStyle name="Normal 6 2 3 3 4 4" xfId="45368" xr:uid="{00000000-0005-0000-0000-000065AC0000}"/>
    <cellStyle name="Normal 6 2 3 3 4 5" xfId="16193" xr:uid="{00000000-0005-0000-0000-000066AC0000}"/>
    <cellStyle name="Normal 6 2 3 3 5" xfId="21056" xr:uid="{00000000-0005-0000-0000-000067AC0000}"/>
    <cellStyle name="Normal 6 2 3 3 6" xfId="30781" xr:uid="{00000000-0005-0000-0000-000068AC0000}"/>
    <cellStyle name="Normal 6 2 3 3 7" xfId="40506" xr:uid="{00000000-0005-0000-0000-000069AC0000}"/>
    <cellStyle name="Normal 6 2 3 3 8" xfId="11331" xr:uid="{00000000-0005-0000-0000-00006AAC0000}"/>
    <cellStyle name="Normal 6 2 3 4" xfId="775" xr:uid="{00000000-0005-0000-0000-00006BAC0000}"/>
    <cellStyle name="Normal 6 2 3 4 2" xfId="2415" xr:uid="{00000000-0005-0000-0000-00006CAC0000}"/>
    <cellStyle name="Normal 6 2 3 4 2 2" xfId="7277" xr:uid="{00000000-0005-0000-0000-00006DAC0000}"/>
    <cellStyle name="Normal 6 2 3 4 2 2 2" xfId="26728" xr:uid="{00000000-0005-0000-0000-00006EAC0000}"/>
    <cellStyle name="Normal 6 2 3 4 2 2 3" xfId="36453" xr:uid="{00000000-0005-0000-0000-00006FAC0000}"/>
    <cellStyle name="Normal 6 2 3 4 2 2 4" xfId="46178" xr:uid="{00000000-0005-0000-0000-000070AC0000}"/>
    <cellStyle name="Normal 6 2 3 4 2 2 5" xfId="17003" xr:uid="{00000000-0005-0000-0000-000071AC0000}"/>
    <cellStyle name="Normal 6 2 3 4 2 3" xfId="21866" xr:uid="{00000000-0005-0000-0000-000072AC0000}"/>
    <cellStyle name="Normal 6 2 3 4 2 4" xfId="31591" xr:uid="{00000000-0005-0000-0000-000073AC0000}"/>
    <cellStyle name="Normal 6 2 3 4 2 5" xfId="41316" xr:uid="{00000000-0005-0000-0000-000074AC0000}"/>
    <cellStyle name="Normal 6 2 3 4 2 6" xfId="12141" xr:uid="{00000000-0005-0000-0000-000075AC0000}"/>
    <cellStyle name="Normal 6 2 3 4 3" xfId="4035" xr:uid="{00000000-0005-0000-0000-000076AC0000}"/>
    <cellStyle name="Normal 6 2 3 4 3 2" xfId="8897" xr:uid="{00000000-0005-0000-0000-000077AC0000}"/>
    <cellStyle name="Normal 6 2 3 4 3 2 2" xfId="28348" xr:uid="{00000000-0005-0000-0000-000078AC0000}"/>
    <cellStyle name="Normal 6 2 3 4 3 2 3" xfId="38073" xr:uid="{00000000-0005-0000-0000-000079AC0000}"/>
    <cellStyle name="Normal 6 2 3 4 3 2 4" xfId="47798" xr:uid="{00000000-0005-0000-0000-00007AAC0000}"/>
    <cellStyle name="Normal 6 2 3 4 3 2 5" xfId="18623" xr:uid="{00000000-0005-0000-0000-00007BAC0000}"/>
    <cellStyle name="Normal 6 2 3 4 3 3" xfId="23486" xr:uid="{00000000-0005-0000-0000-00007CAC0000}"/>
    <cellStyle name="Normal 6 2 3 4 3 4" xfId="33211" xr:uid="{00000000-0005-0000-0000-00007DAC0000}"/>
    <cellStyle name="Normal 6 2 3 4 3 5" xfId="42936" xr:uid="{00000000-0005-0000-0000-00007EAC0000}"/>
    <cellStyle name="Normal 6 2 3 4 3 6" xfId="13761" xr:uid="{00000000-0005-0000-0000-00007FAC0000}"/>
    <cellStyle name="Normal 6 2 3 4 4" xfId="5657" xr:uid="{00000000-0005-0000-0000-000080AC0000}"/>
    <cellStyle name="Normal 6 2 3 4 4 2" xfId="25108" xr:uid="{00000000-0005-0000-0000-000081AC0000}"/>
    <cellStyle name="Normal 6 2 3 4 4 3" xfId="34833" xr:uid="{00000000-0005-0000-0000-000082AC0000}"/>
    <cellStyle name="Normal 6 2 3 4 4 4" xfId="44558" xr:uid="{00000000-0005-0000-0000-000083AC0000}"/>
    <cellStyle name="Normal 6 2 3 4 4 5" xfId="15383" xr:uid="{00000000-0005-0000-0000-000084AC0000}"/>
    <cellStyle name="Normal 6 2 3 4 5" xfId="20246" xr:uid="{00000000-0005-0000-0000-000085AC0000}"/>
    <cellStyle name="Normal 6 2 3 4 6" xfId="29971" xr:uid="{00000000-0005-0000-0000-000086AC0000}"/>
    <cellStyle name="Normal 6 2 3 4 7" xfId="39696" xr:uid="{00000000-0005-0000-0000-000087AC0000}"/>
    <cellStyle name="Normal 6 2 3 4 8" xfId="10521" xr:uid="{00000000-0005-0000-0000-000088AC0000}"/>
    <cellStyle name="Normal 6 2 3 5" xfId="2055" xr:uid="{00000000-0005-0000-0000-000089AC0000}"/>
    <cellStyle name="Normal 6 2 3 5 2" xfId="6917" xr:uid="{00000000-0005-0000-0000-00008AAC0000}"/>
    <cellStyle name="Normal 6 2 3 5 2 2" xfId="26368" xr:uid="{00000000-0005-0000-0000-00008BAC0000}"/>
    <cellStyle name="Normal 6 2 3 5 2 3" xfId="36093" xr:uid="{00000000-0005-0000-0000-00008CAC0000}"/>
    <cellStyle name="Normal 6 2 3 5 2 4" xfId="45818" xr:uid="{00000000-0005-0000-0000-00008DAC0000}"/>
    <cellStyle name="Normal 6 2 3 5 2 5" xfId="16643" xr:uid="{00000000-0005-0000-0000-00008EAC0000}"/>
    <cellStyle name="Normal 6 2 3 5 3" xfId="21506" xr:uid="{00000000-0005-0000-0000-00008FAC0000}"/>
    <cellStyle name="Normal 6 2 3 5 4" xfId="31231" xr:uid="{00000000-0005-0000-0000-000090AC0000}"/>
    <cellStyle name="Normal 6 2 3 5 5" xfId="40956" xr:uid="{00000000-0005-0000-0000-000091AC0000}"/>
    <cellStyle name="Normal 6 2 3 5 6" xfId="11781" xr:uid="{00000000-0005-0000-0000-000092AC0000}"/>
    <cellStyle name="Normal 6 2 3 6" xfId="3675" xr:uid="{00000000-0005-0000-0000-000093AC0000}"/>
    <cellStyle name="Normal 6 2 3 6 2" xfId="8537" xr:uid="{00000000-0005-0000-0000-000094AC0000}"/>
    <cellStyle name="Normal 6 2 3 6 2 2" xfId="27988" xr:uid="{00000000-0005-0000-0000-000095AC0000}"/>
    <cellStyle name="Normal 6 2 3 6 2 3" xfId="37713" xr:uid="{00000000-0005-0000-0000-000096AC0000}"/>
    <cellStyle name="Normal 6 2 3 6 2 4" xfId="47438" xr:uid="{00000000-0005-0000-0000-000097AC0000}"/>
    <cellStyle name="Normal 6 2 3 6 2 5" xfId="18263" xr:uid="{00000000-0005-0000-0000-000098AC0000}"/>
    <cellStyle name="Normal 6 2 3 6 3" xfId="23126" xr:uid="{00000000-0005-0000-0000-000099AC0000}"/>
    <cellStyle name="Normal 6 2 3 6 4" xfId="32851" xr:uid="{00000000-0005-0000-0000-00009AAC0000}"/>
    <cellStyle name="Normal 6 2 3 6 5" xfId="42576" xr:uid="{00000000-0005-0000-0000-00009BAC0000}"/>
    <cellStyle name="Normal 6 2 3 6 6" xfId="13401" xr:uid="{00000000-0005-0000-0000-00009CAC0000}"/>
    <cellStyle name="Normal 6 2 3 7" xfId="5297" xr:uid="{00000000-0005-0000-0000-00009DAC0000}"/>
    <cellStyle name="Normal 6 2 3 7 2" xfId="24748" xr:uid="{00000000-0005-0000-0000-00009EAC0000}"/>
    <cellStyle name="Normal 6 2 3 7 3" xfId="34473" xr:uid="{00000000-0005-0000-0000-00009FAC0000}"/>
    <cellStyle name="Normal 6 2 3 7 4" xfId="44198" xr:uid="{00000000-0005-0000-0000-0000A0AC0000}"/>
    <cellStyle name="Normal 6 2 3 7 5" xfId="15023" xr:uid="{00000000-0005-0000-0000-0000A1AC0000}"/>
    <cellStyle name="Normal 6 2 3 8" xfId="19886" xr:uid="{00000000-0005-0000-0000-0000A2AC0000}"/>
    <cellStyle name="Normal 6 2 3 9" xfId="29611" xr:uid="{00000000-0005-0000-0000-0000A3AC0000}"/>
    <cellStyle name="Normal 6 2 4" xfId="192" xr:uid="{00000000-0005-0000-0000-0000A4AC0000}"/>
    <cellStyle name="Normal 6 2 4 10" xfId="39156" xr:uid="{00000000-0005-0000-0000-0000A5AC0000}"/>
    <cellStyle name="Normal 6 2 4 11" xfId="9981" xr:uid="{00000000-0005-0000-0000-0000A6AC0000}"/>
    <cellStyle name="Normal 6 2 4 2" xfId="956" xr:uid="{00000000-0005-0000-0000-0000A7AC0000}"/>
    <cellStyle name="Normal 6 2 4 2 2" xfId="2595" xr:uid="{00000000-0005-0000-0000-0000A8AC0000}"/>
    <cellStyle name="Normal 6 2 4 2 2 2" xfId="7457" xr:uid="{00000000-0005-0000-0000-0000A9AC0000}"/>
    <cellStyle name="Normal 6 2 4 2 2 2 2" xfId="26908" xr:uid="{00000000-0005-0000-0000-0000AAAC0000}"/>
    <cellStyle name="Normal 6 2 4 2 2 2 3" xfId="36633" xr:uid="{00000000-0005-0000-0000-0000ABAC0000}"/>
    <cellStyle name="Normal 6 2 4 2 2 2 4" xfId="46358" xr:uid="{00000000-0005-0000-0000-0000ACAC0000}"/>
    <cellStyle name="Normal 6 2 4 2 2 2 5" xfId="17183" xr:uid="{00000000-0005-0000-0000-0000ADAC0000}"/>
    <cellStyle name="Normal 6 2 4 2 2 3" xfId="22046" xr:uid="{00000000-0005-0000-0000-0000AEAC0000}"/>
    <cellStyle name="Normal 6 2 4 2 2 4" xfId="31771" xr:uid="{00000000-0005-0000-0000-0000AFAC0000}"/>
    <cellStyle name="Normal 6 2 4 2 2 5" xfId="41496" xr:uid="{00000000-0005-0000-0000-0000B0AC0000}"/>
    <cellStyle name="Normal 6 2 4 2 2 6" xfId="12321" xr:uid="{00000000-0005-0000-0000-0000B1AC0000}"/>
    <cellStyle name="Normal 6 2 4 2 3" xfId="4215" xr:uid="{00000000-0005-0000-0000-0000B2AC0000}"/>
    <cellStyle name="Normal 6 2 4 2 3 2" xfId="9077" xr:uid="{00000000-0005-0000-0000-0000B3AC0000}"/>
    <cellStyle name="Normal 6 2 4 2 3 2 2" xfId="28528" xr:uid="{00000000-0005-0000-0000-0000B4AC0000}"/>
    <cellStyle name="Normal 6 2 4 2 3 2 3" xfId="38253" xr:uid="{00000000-0005-0000-0000-0000B5AC0000}"/>
    <cellStyle name="Normal 6 2 4 2 3 2 4" xfId="47978" xr:uid="{00000000-0005-0000-0000-0000B6AC0000}"/>
    <cellStyle name="Normal 6 2 4 2 3 2 5" xfId="18803" xr:uid="{00000000-0005-0000-0000-0000B7AC0000}"/>
    <cellStyle name="Normal 6 2 4 2 3 3" xfId="23666" xr:uid="{00000000-0005-0000-0000-0000B8AC0000}"/>
    <cellStyle name="Normal 6 2 4 2 3 4" xfId="33391" xr:uid="{00000000-0005-0000-0000-0000B9AC0000}"/>
    <cellStyle name="Normal 6 2 4 2 3 5" xfId="43116" xr:uid="{00000000-0005-0000-0000-0000BAAC0000}"/>
    <cellStyle name="Normal 6 2 4 2 3 6" xfId="13941" xr:uid="{00000000-0005-0000-0000-0000BBAC0000}"/>
    <cellStyle name="Normal 6 2 4 2 4" xfId="5837" xr:uid="{00000000-0005-0000-0000-0000BCAC0000}"/>
    <cellStyle name="Normal 6 2 4 2 4 2" xfId="25288" xr:uid="{00000000-0005-0000-0000-0000BDAC0000}"/>
    <cellStyle name="Normal 6 2 4 2 4 3" xfId="35013" xr:uid="{00000000-0005-0000-0000-0000BEAC0000}"/>
    <cellStyle name="Normal 6 2 4 2 4 4" xfId="44738" xr:uid="{00000000-0005-0000-0000-0000BFAC0000}"/>
    <cellStyle name="Normal 6 2 4 2 4 5" xfId="15563" xr:uid="{00000000-0005-0000-0000-0000C0AC0000}"/>
    <cellStyle name="Normal 6 2 4 2 5" xfId="20426" xr:uid="{00000000-0005-0000-0000-0000C1AC0000}"/>
    <cellStyle name="Normal 6 2 4 2 6" xfId="30151" xr:uid="{00000000-0005-0000-0000-0000C2AC0000}"/>
    <cellStyle name="Normal 6 2 4 2 7" xfId="39876" xr:uid="{00000000-0005-0000-0000-0000C3AC0000}"/>
    <cellStyle name="Normal 6 2 4 2 8" xfId="10701" xr:uid="{00000000-0005-0000-0000-0000C4AC0000}"/>
    <cellStyle name="Normal 6 2 4 3" xfId="1424" xr:uid="{00000000-0005-0000-0000-0000C5AC0000}"/>
    <cellStyle name="Normal 6 2 4 3 2" xfId="3045" xr:uid="{00000000-0005-0000-0000-0000C6AC0000}"/>
    <cellStyle name="Normal 6 2 4 3 2 2" xfId="7907" xr:uid="{00000000-0005-0000-0000-0000C7AC0000}"/>
    <cellStyle name="Normal 6 2 4 3 2 2 2" xfId="27358" xr:uid="{00000000-0005-0000-0000-0000C8AC0000}"/>
    <cellStyle name="Normal 6 2 4 3 2 2 3" xfId="37083" xr:uid="{00000000-0005-0000-0000-0000C9AC0000}"/>
    <cellStyle name="Normal 6 2 4 3 2 2 4" xfId="46808" xr:uid="{00000000-0005-0000-0000-0000CAAC0000}"/>
    <cellStyle name="Normal 6 2 4 3 2 2 5" xfId="17633" xr:uid="{00000000-0005-0000-0000-0000CBAC0000}"/>
    <cellStyle name="Normal 6 2 4 3 2 3" xfId="22496" xr:uid="{00000000-0005-0000-0000-0000CCAC0000}"/>
    <cellStyle name="Normal 6 2 4 3 2 4" xfId="32221" xr:uid="{00000000-0005-0000-0000-0000CDAC0000}"/>
    <cellStyle name="Normal 6 2 4 3 2 5" xfId="41946" xr:uid="{00000000-0005-0000-0000-0000CEAC0000}"/>
    <cellStyle name="Normal 6 2 4 3 2 6" xfId="12771" xr:uid="{00000000-0005-0000-0000-0000CFAC0000}"/>
    <cellStyle name="Normal 6 2 4 3 3" xfId="4665" xr:uid="{00000000-0005-0000-0000-0000D0AC0000}"/>
    <cellStyle name="Normal 6 2 4 3 3 2" xfId="9527" xr:uid="{00000000-0005-0000-0000-0000D1AC0000}"/>
    <cellStyle name="Normal 6 2 4 3 3 2 2" xfId="28978" xr:uid="{00000000-0005-0000-0000-0000D2AC0000}"/>
    <cellStyle name="Normal 6 2 4 3 3 2 3" xfId="38703" xr:uid="{00000000-0005-0000-0000-0000D3AC0000}"/>
    <cellStyle name="Normal 6 2 4 3 3 2 4" xfId="48428" xr:uid="{00000000-0005-0000-0000-0000D4AC0000}"/>
    <cellStyle name="Normal 6 2 4 3 3 2 5" xfId="19253" xr:uid="{00000000-0005-0000-0000-0000D5AC0000}"/>
    <cellStyle name="Normal 6 2 4 3 3 3" xfId="24116" xr:uid="{00000000-0005-0000-0000-0000D6AC0000}"/>
    <cellStyle name="Normal 6 2 4 3 3 4" xfId="33841" xr:uid="{00000000-0005-0000-0000-0000D7AC0000}"/>
    <cellStyle name="Normal 6 2 4 3 3 5" xfId="43566" xr:uid="{00000000-0005-0000-0000-0000D8AC0000}"/>
    <cellStyle name="Normal 6 2 4 3 3 6" xfId="14391" xr:uid="{00000000-0005-0000-0000-0000D9AC0000}"/>
    <cellStyle name="Normal 6 2 4 3 4" xfId="6287" xr:uid="{00000000-0005-0000-0000-0000DAAC0000}"/>
    <cellStyle name="Normal 6 2 4 3 4 2" xfId="25738" xr:uid="{00000000-0005-0000-0000-0000DBAC0000}"/>
    <cellStyle name="Normal 6 2 4 3 4 3" xfId="35463" xr:uid="{00000000-0005-0000-0000-0000DCAC0000}"/>
    <cellStyle name="Normal 6 2 4 3 4 4" xfId="45188" xr:uid="{00000000-0005-0000-0000-0000DDAC0000}"/>
    <cellStyle name="Normal 6 2 4 3 4 5" xfId="16013" xr:uid="{00000000-0005-0000-0000-0000DEAC0000}"/>
    <cellStyle name="Normal 6 2 4 3 5" xfId="20876" xr:uid="{00000000-0005-0000-0000-0000DFAC0000}"/>
    <cellStyle name="Normal 6 2 4 3 6" xfId="30601" xr:uid="{00000000-0005-0000-0000-0000E0AC0000}"/>
    <cellStyle name="Normal 6 2 4 3 7" xfId="40326" xr:uid="{00000000-0005-0000-0000-0000E1AC0000}"/>
    <cellStyle name="Normal 6 2 4 3 8" xfId="11151" xr:uid="{00000000-0005-0000-0000-0000E2AC0000}"/>
    <cellStyle name="Normal 6 2 4 4" xfId="595" xr:uid="{00000000-0005-0000-0000-0000E3AC0000}"/>
    <cellStyle name="Normal 6 2 4 4 2" xfId="2235" xr:uid="{00000000-0005-0000-0000-0000E4AC0000}"/>
    <cellStyle name="Normal 6 2 4 4 2 2" xfId="7097" xr:uid="{00000000-0005-0000-0000-0000E5AC0000}"/>
    <cellStyle name="Normal 6 2 4 4 2 2 2" xfId="26548" xr:uid="{00000000-0005-0000-0000-0000E6AC0000}"/>
    <cellStyle name="Normal 6 2 4 4 2 2 3" xfId="36273" xr:uid="{00000000-0005-0000-0000-0000E7AC0000}"/>
    <cellStyle name="Normal 6 2 4 4 2 2 4" xfId="45998" xr:uid="{00000000-0005-0000-0000-0000E8AC0000}"/>
    <cellStyle name="Normal 6 2 4 4 2 2 5" xfId="16823" xr:uid="{00000000-0005-0000-0000-0000E9AC0000}"/>
    <cellStyle name="Normal 6 2 4 4 2 3" xfId="21686" xr:uid="{00000000-0005-0000-0000-0000EAAC0000}"/>
    <cellStyle name="Normal 6 2 4 4 2 4" xfId="31411" xr:uid="{00000000-0005-0000-0000-0000EBAC0000}"/>
    <cellStyle name="Normal 6 2 4 4 2 5" xfId="41136" xr:uid="{00000000-0005-0000-0000-0000ECAC0000}"/>
    <cellStyle name="Normal 6 2 4 4 2 6" xfId="11961" xr:uid="{00000000-0005-0000-0000-0000EDAC0000}"/>
    <cellStyle name="Normal 6 2 4 4 3" xfId="3855" xr:uid="{00000000-0005-0000-0000-0000EEAC0000}"/>
    <cellStyle name="Normal 6 2 4 4 3 2" xfId="8717" xr:uid="{00000000-0005-0000-0000-0000EFAC0000}"/>
    <cellStyle name="Normal 6 2 4 4 3 2 2" xfId="28168" xr:uid="{00000000-0005-0000-0000-0000F0AC0000}"/>
    <cellStyle name="Normal 6 2 4 4 3 2 3" xfId="37893" xr:uid="{00000000-0005-0000-0000-0000F1AC0000}"/>
    <cellStyle name="Normal 6 2 4 4 3 2 4" xfId="47618" xr:uid="{00000000-0005-0000-0000-0000F2AC0000}"/>
    <cellStyle name="Normal 6 2 4 4 3 2 5" xfId="18443" xr:uid="{00000000-0005-0000-0000-0000F3AC0000}"/>
    <cellStyle name="Normal 6 2 4 4 3 3" xfId="23306" xr:uid="{00000000-0005-0000-0000-0000F4AC0000}"/>
    <cellStyle name="Normal 6 2 4 4 3 4" xfId="33031" xr:uid="{00000000-0005-0000-0000-0000F5AC0000}"/>
    <cellStyle name="Normal 6 2 4 4 3 5" xfId="42756" xr:uid="{00000000-0005-0000-0000-0000F6AC0000}"/>
    <cellStyle name="Normal 6 2 4 4 3 6" xfId="13581" xr:uid="{00000000-0005-0000-0000-0000F7AC0000}"/>
    <cellStyle name="Normal 6 2 4 4 4" xfId="5477" xr:uid="{00000000-0005-0000-0000-0000F8AC0000}"/>
    <cellStyle name="Normal 6 2 4 4 4 2" xfId="24928" xr:uid="{00000000-0005-0000-0000-0000F9AC0000}"/>
    <cellStyle name="Normal 6 2 4 4 4 3" xfId="34653" xr:uid="{00000000-0005-0000-0000-0000FAAC0000}"/>
    <cellStyle name="Normal 6 2 4 4 4 4" xfId="44378" xr:uid="{00000000-0005-0000-0000-0000FBAC0000}"/>
    <cellStyle name="Normal 6 2 4 4 4 5" xfId="15203" xr:uid="{00000000-0005-0000-0000-0000FCAC0000}"/>
    <cellStyle name="Normal 6 2 4 4 5" xfId="20066" xr:uid="{00000000-0005-0000-0000-0000FDAC0000}"/>
    <cellStyle name="Normal 6 2 4 4 6" xfId="29791" xr:uid="{00000000-0005-0000-0000-0000FEAC0000}"/>
    <cellStyle name="Normal 6 2 4 4 7" xfId="39516" xr:uid="{00000000-0005-0000-0000-0000FFAC0000}"/>
    <cellStyle name="Normal 6 2 4 4 8" xfId="10341" xr:uid="{00000000-0005-0000-0000-000000AD0000}"/>
    <cellStyle name="Normal 6 2 4 5" xfId="1875" xr:uid="{00000000-0005-0000-0000-000001AD0000}"/>
    <cellStyle name="Normal 6 2 4 5 2" xfId="6737" xr:uid="{00000000-0005-0000-0000-000002AD0000}"/>
    <cellStyle name="Normal 6 2 4 5 2 2" xfId="26188" xr:uid="{00000000-0005-0000-0000-000003AD0000}"/>
    <cellStyle name="Normal 6 2 4 5 2 3" xfId="35913" xr:uid="{00000000-0005-0000-0000-000004AD0000}"/>
    <cellStyle name="Normal 6 2 4 5 2 4" xfId="45638" xr:uid="{00000000-0005-0000-0000-000005AD0000}"/>
    <cellStyle name="Normal 6 2 4 5 2 5" xfId="16463" xr:uid="{00000000-0005-0000-0000-000006AD0000}"/>
    <cellStyle name="Normal 6 2 4 5 3" xfId="21326" xr:uid="{00000000-0005-0000-0000-000007AD0000}"/>
    <cellStyle name="Normal 6 2 4 5 4" xfId="31051" xr:uid="{00000000-0005-0000-0000-000008AD0000}"/>
    <cellStyle name="Normal 6 2 4 5 5" xfId="40776" xr:uid="{00000000-0005-0000-0000-000009AD0000}"/>
    <cellStyle name="Normal 6 2 4 5 6" xfId="11601" xr:uid="{00000000-0005-0000-0000-00000AAD0000}"/>
    <cellStyle name="Normal 6 2 4 6" xfId="3495" xr:uid="{00000000-0005-0000-0000-00000BAD0000}"/>
    <cellStyle name="Normal 6 2 4 6 2" xfId="8357" xr:uid="{00000000-0005-0000-0000-00000CAD0000}"/>
    <cellStyle name="Normal 6 2 4 6 2 2" xfId="27808" xr:uid="{00000000-0005-0000-0000-00000DAD0000}"/>
    <cellStyle name="Normal 6 2 4 6 2 3" xfId="37533" xr:uid="{00000000-0005-0000-0000-00000EAD0000}"/>
    <cellStyle name="Normal 6 2 4 6 2 4" xfId="47258" xr:uid="{00000000-0005-0000-0000-00000FAD0000}"/>
    <cellStyle name="Normal 6 2 4 6 2 5" xfId="18083" xr:uid="{00000000-0005-0000-0000-000010AD0000}"/>
    <cellStyle name="Normal 6 2 4 6 3" xfId="22946" xr:uid="{00000000-0005-0000-0000-000011AD0000}"/>
    <cellStyle name="Normal 6 2 4 6 4" xfId="32671" xr:uid="{00000000-0005-0000-0000-000012AD0000}"/>
    <cellStyle name="Normal 6 2 4 6 5" xfId="42396" xr:uid="{00000000-0005-0000-0000-000013AD0000}"/>
    <cellStyle name="Normal 6 2 4 6 6" xfId="13221" xr:uid="{00000000-0005-0000-0000-000014AD0000}"/>
    <cellStyle name="Normal 6 2 4 7" xfId="5117" xr:uid="{00000000-0005-0000-0000-000015AD0000}"/>
    <cellStyle name="Normal 6 2 4 7 2" xfId="24568" xr:uid="{00000000-0005-0000-0000-000016AD0000}"/>
    <cellStyle name="Normal 6 2 4 7 3" xfId="34293" xr:uid="{00000000-0005-0000-0000-000017AD0000}"/>
    <cellStyle name="Normal 6 2 4 7 4" xfId="44018" xr:uid="{00000000-0005-0000-0000-000018AD0000}"/>
    <cellStyle name="Normal 6 2 4 7 5" xfId="14843" xr:uid="{00000000-0005-0000-0000-000019AD0000}"/>
    <cellStyle name="Normal 6 2 4 8" xfId="19706" xr:uid="{00000000-0005-0000-0000-00001AAD0000}"/>
    <cellStyle name="Normal 6 2 4 9" xfId="29431" xr:uid="{00000000-0005-0000-0000-00001BAD0000}"/>
    <cellStyle name="Normal 6 2 5" xfId="866" xr:uid="{00000000-0005-0000-0000-00001CAD0000}"/>
    <cellStyle name="Normal 6 2 5 2" xfId="2505" xr:uid="{00000000-0005-0000-0000-00001DAD0000}"/>
    <cellStyle name="Normal 6 2 5 2 2" xfId="7367" xr:uid="{00000000-0005-0000-0000-00001EAD0000}"/>
    <cellStyle name="Normal 6 2 5 2 2 2" xfId="26818" xr:uid="{00000000-0005-0000-0000-00001FAD0000}"/>
    <cellStyle name="Normal 6 2 5 2 2 3" xfId="36543" xr:uid="{00000000-0005-0000-0000-000020AD0000}"/>
    <cellStyle name="Normal 6 2 5 2 2 4" xfId="46268" xr:uid="{00000000-0005-0000-0000-000021AD0000}"/>
    <cellStyle name="Normal 6 2 5 2 2 5" xfId="17093" xr:uid="{00000000-0005-0000-0000-000022AD0000}"/>
    <cellStyle name="Normal 6 2 5 2 3" xfId="21956" xr:uid="{00000000-0005-0000-0000-000023AD0000}"/>
    <cellStyle name="Normal 6 2 5 2 4" xfId="31681" xr:uid="{00000000-0005-0000-0000-000024AD0000}"/>
    <cellStyle name="Normal 6 2 5 2 5" xfId="41406" xr:uid="{00000000-0005-0000-0000-000025AD0000}"/>
    <cellStyle name="Normal 6 2 5 2 6" xfId="12231" xr:uid="{00000000-0005-0000-0000-000026AD0000}"/>
    <cellStyle name="Normal 6 2 5 3" xfId="4125" xr:uid="{00000000-0005-0000-0000-000027AD0000}"/>
    <cellStyle name="Normal 6 2 5 3 2" xfId="8987" xr:uid="{00000000-0005-0000-0000-000028AD0000}"/>
    <cellStyle name="Normal 6 2 5 3 2 2" xfId="28438" xr:uid="{00000000-0005-0000-0000-000029AD0000}"/>
    <cellStyle name="Normal 6 2 5 3 2 3" xfId="38163" xr:uid="{00000000-0005-0000-0000-00002AAD0000}"/>
    <cellStyle name="Normal 6 2 5 3 2 4" xfId="47888" xr:uid="{00000000-0005-0000-0000-00002BAD0000}"/>
    <cellStyle name="Normal 6 2 5 3 2 5" xfId="18713" xr:uid="{00000000-0005-0000-0000-00002CAD0000}"/>
    <cellStyle name="Normal 6 2 5 3 3" xfId="23576" xr:uid="{00000000-0005-0000-0000-00002DAD0000}"/>
    <cellStyle name="Normal 6 2 5 3 4" xfId="33301" xr:uid="{00000000-0005-0000-0000-00002EAD0000}"/>
    <cellStyle name="Normal 6 2 5 3 5" xfId="43026" xr:uid="{00000000-0005-0000-0000-00002FAD0000}"/>
    <cellStyle name="Normal 6 2 5 3 6" xfId="13851" xr:uid="{00000000-0005-0000-0000-000030AD0000}"/>
    <cellStyle name="Normal 6 2 5 4" xfId="5747" xr:uid="{00000000-0005-0000-0000-000031AD0000}"/>
    <cellStyle name="Normal 6 2 5 4 2" xfId="25198" xr:uid="{00000000-0005-0000-0000-000032AD0000}"/>
    <cellStyle name="Normal 6 2 5 4 3" xfId="34923" xr:uid="{00000000-0005-0000-0000-000033AD0000}"/>
    <cellStyle name="Normal 6 2 5 4 4" xfId="44648" xr:uid="{00000000-0005-0000-0000-000034AD0000}"/>
    <cellStyle name="Normal 6 2 5 4 5" xfId="15473" xr:uid="{00000000-0005-0000-0000-000035AD0000}"/>
    <cellStyle name="Normal 6 2 5 5" xfId="20336" xr:uid="{00000000-0005-0000-0000-000036AD0000}"/>
    <cellStyle name="Normal 6 2 5 6" xfId="30061" xr:uid="{00000000-0005-0000-0000-000037AD0000}"/>
    <cellStyle name="Normal 6 2 5 7" xfId="39786" xr:uid="{00000000-0005-0000-0000-000038AD0000}"/>
    <cellStyle name="Normal 6 2 5 8" xfId="10611" xr:uid="{00000000-0005-0000-0000-000039AD0000}"/>
    <cellStyle name="Normal 6 2 6" xfId="1244" xr:uid="{00000000-0005-0000-0000-00003AAD0000}"/>
    <cellStyle name="Normal 6 2 6 2" xfId="2865" xr:uid="{00000000-0005-0000-0000-00003BAD0000}"/>
    <cellStyle name="Normal 6 2 6 2 2" xfId="7727" xr:uid="{00000000-0005-0000-0000-00003CAD0000}"/>
    <cellStyle name="Normal 6 2 6 2 2 2" xfId="27178" xr:uid="{00000000-0005-0000-0000-00003DAD0000}"/>
    <cellStyle name="Normal 6 2 6 2 2 3" xfId="36903" xr:uid="{00000000-0005-0000-0000-00003EAD0000}"/>
    <cellStyle name="Normal 6 2 6 2 2 4" xfId="46628" xr:uid="{00000000-0005-0000-0000-00003FAD0000}"/>
    <cellStyle name="Normal 6 2 6 2 2 5" xfId="17453" xr:uid="{00000000-0005-0000-0000-000040AD0000}"/>
    <cellStyle name="Normal 6 2 6 2 3" xfId="22316" xr:uid="{00000000-0005-0000-0000-000041AD0000}"/>
    <cellStyle name="Normal 6 2 6 2 4" xfId="32041" xr:uid="{00000000-0005-0000-0000-000042AD0000}"/>
    <cellStyle name="Normal 6 2 6 2 5" xfId="41766" xr:uid="{00000000-0005-0000-0000-000043AD0000}"/>
    <cellStyle name="Normal 6 2 6 2 6" xfId="12591" xr:uid="{00000000-0005-0000-0000-000044AD0000}"/>
    <cellStyle name="Normal 6 2 6 3" xfId="4485" xr:uid="{00000000-0005-0000-0000-000045AD0000}"/>
    <cellStyle name="Normal 6 2 6 3 2" xfId="9347" xr:uid="{00000000-0005-0000-0000-000046AD0000}"/>
    <cellStyle name="Normal 6 2 6 3 2 2" xfId="28798" xr:uid="{00000000-0005-0000-0000-000047AD0000}"/>
    <cellStyle name="Normal 6 2 6 3 2 3" xfId="38523" xr:uid="{00000000-0005-0000-0000-000048AD0000}"/>
    <cellStyle name="Normal 6 2 6 3 2 4" xfId="48248" xr:uid="{00000000-0005-0000-0000-000049AD0000}"/>
    <cellStyle name="Normal 6 2 6 3 2 5" xfId="19073" xr:uid="{00000000-0005-0000-0000-00004AAD0000}"/>
    <cellStyle name="Normal 6 2 6 3 3" xfId="23936" xr:uid="{00000000-0005-0000-0000-00004BAD0000}"/>
    <cellStyle name="Normal 6 2 6 3 4" xfId="33661" xr:uid="{00000000-0005-0000-0000-00004CAD0000}"/>
    <cellStyle name="Normal 6 2 6 3 5" xfId="43386" xr:uid="{00000000-0005-0000-0000-00004DAD0000}"/>
    <cellStyle name="Normal 6 2 6 3 6" xfId="14211" xr:uid="{00000000-0005-0000-0000-00004EAD0000}"/>
    <cellStyle name="Normal 6 2 6 4" xfId="6107" xr:uid="{00000000-0005-0000-0000-00004FAD0000}"/>
    <cellStyle name="Normal 6 2 6 4 2" xfId="25558" xr:uid="{00000000-0005-0000-0000-000050AD0000}"/>
    <cellStyle name="Normal 6 2 6 4 3" xfId="35283" xr:uid="{00000000-0005-0000-0000-000051AD0000}"/>
    <cellStyle name="Normal 6 2 6 4 4" xfId="45008" xr:uid="{00000000-0005-0000-0000-000052AD0000}"/>
    <cellStyle name="Normal 6 2 6 4 5" xfId="15833" xr:uid="{00000000-0005-0000-0000-000053AD0000}"/>
    <cellStyle name="Normal 6 2 6 5" xfId="20696" xr:uid="{00000000-0005-0000-0000-000054AD0000}"/>
    <cellStyle name="Normal 6 2 6 6" xfId="30421" xr:uid="{00000000-0005-0000-0000-000055AD0000}"/>
    <cellStyle name="Normal 6 2 6 7" xfId="40146" xr:uid="{00000000-0005-0000-0000-000056AD0000}"/>
    <cellStyle name="Normal 6 2 6 8" xfId="10971" xr:uid="{00000000-0005-0000-0000-000057AD0000}"/>
    <cellStyle name="Normal 6 2 7" xfId="1334" xr:uid="{00000000-0005-0000-0000-000058AD0000}"/>
    <cellStyle name="Normal 6 2 7 2" xfId="2955" xr:uid="{00000000-0005-0000-0000-000059AD0000}"/>
    <cellStyle name="Normal 6 2 7 2 2" xfId="7817" xr:uid="{00000000-0005-0000-0000-00005AAD0000}"/>
    <cellStyle name="Normal 6 2 7 2 2 2" xfId="27268" xr:uid="{00000000-0005-0000-0000-00005BAD0000}"/>
    <cellStyle name="Normal 6 2 7 2 2 3" xfId="36993" xr:uid="{00000000-0005-0000-0000-00005CAD0000}"/>
    <cellStyle name="Normal 6 2 7 2 2 4" xfId="46718" xr:uid="{00000000-0005-0000-0000-00005DAD0000}"/>
    <cellStyle name="Normal 6 2 7 2 2 5" xfId="17543" xr:uid="{00000000-0005-0000-0000-00005EAD0000}"/>
    <cellStyle name="Normal 6 2 7 2 3" xfId="22406" xr:uid="{00000000-0005-0000-0000-00005FAD0000}"/>
    <cellStyle name="Normal 6 2 7 2 4" xfId="32131" xr:uid="{00000000-0005-0000-0000-000060AD0000}"/>
    <cellStyle name="Normal 6 2 7 2 5" xfId="41856" xr:uid="{00000000-0005-0000-0000-000061AD0000}"/>
    <cellStyle name="Normal 6 2 7 2 6" xfId="12681" xr:uid="{00000000-0005-0000-0000-000062AD0000}"/>
    <cellStyle name="Normal 6 2 7 3" xfId="4575" xr:uid="{00000000-0005-0000-0000-000063AD0000}"/>
    <cellStyle name="Normal 6 2 7 3 2" xfId="9437" xr:uid="{00000000-0005-0000-0000-000064AD0000}"/>
    <cellStyle name="Normal 6 2 7 3 2 2" xfId="28888" xr:uid="{00000000-0005-0000-0000-000065AD0000}"/>
    <cellStyle name="Normal 6 2 7 3 2 3" xfId="38613" xr:uid="{00000000-0005-0000-0000-000066AD0000}"/>
    <cellStyle name="Normal 6 2 7 3 2 4" xfId="48338" xr:uid="{00000000-0005-0000-0000-000067AD0000}"/>
    <cellStyle name="Normal 6 2 7 3 2 5" xfId="19163" xr:uid="{00000000-0005-0000-0000-000068AD0000}"/>
    <cellStyle name="Normal 6 2 7 3 3" xfId="24026" xr:uid="{00000000-0005-0000-0000-000069AD0000}"/>
    <cellStyle name="Normal 6 2 7 3 4" xfId="33751" xr:uid="{00000000-0005-0000-0000-00006AAD0000}"/>
    <cellStyle name="Normal 6 2 7 3 5" xfId="43476" xr:uid="{00000000-0005-0000-0000-00006BAD0000}"/>
    <cellStyle name="Normal 6 2 7 3 6" xfId="14301" xr:uid="{00000000-0005-0000-0000-00006CAD0000}"/>
    <cellStyle name="Normal 6 2 7 4" xfId="6197" xr:uid="{00000000-0005-0000-0000-00006DAD0000}"/>
    <cellStyle name="Normal 6 2 7 4 2" xfId="25648" xr:uid="{00000000-0005-0000-0000-00006EAD0000}"/>
    <cellStyle name="Normal 6 2 7 4 3" xfId="35373" xr:uid="{00000000-0005-0000-0000-00006FAD0000}"/>
    <cellStyle name="Normal 6 2 7 4 4" xfId="45098" xr:uid="{00000000-0005-0000-0000-000070AD0000}"/>
    <cellStyle name="Normal 6 2 7 4 5" xfId="15923" xr:uid="{00000000-0005-0000-0000-000071AD0000}"/>
    <cellStyle name="Normal 6 2 7 5" xfId="20786" xr:uid="{00000000-0005-0000-0000-000072AD0000}"/>
    <cellStyle name="Normal 6 2 7 6" xfId="30511" xr:uid="{00000000-0005-0000-0000-000073AD0000}"/>
    <cellStyle name="Normal 6 2 7 7" xfId="40236" xr:uid="{00000000-0005-0000-0000-000074AD0000}"/>
    <cellStyle name="Normal 6 2 7 8" xfId="11061" xr:uid="{00000000-0005-0000-0000-000075AD0000}"/>
    <cellStyle name="Normal 6 2 8" xfId="505" xr:uid="{00000000-0005-0000-0000-000076AD0000}"/>
    <cellStyle name="Normal 6 2 8 2" xfId="2145" xr:uid="{00000000-0005-0000-0000-000077AD0000}"/>
    <cellStyle name="Normal 6 2 8 2 2" xfId="7007" xr:uid="{00000000-0005-0000-0000-000078AD0000}"/>
    <cellStyle name="Normal 6 2 8 2 2 2" xfId="26458" xr:uid="{00000000-0005-0000-0000-000079AD0000}"/>
    <cellStyle name="Normal 6 2 8 2 2 3" xfId="36183" xr:uid="{00000000-0005-0000-0000-00007AAD0000}"/>
    <cellStyle name="Normal 6 2 8 2 2 4" xfId="45908" xr:uid="{00000000-0005-0000-0000-00007BAD0000}"/>
    <cellStyle name="Normal 6 2 8 2 2 5" xfId="16733" xr:uid="{00000000-0005-0000-0000-00007CAD0000}"/>
    <cellStyle name="Normal 6 2 8 2 3" xfId="21596" xr:uid="{00000000-0005-0000-0000-00007DAD0000}"/>
    <cellStyle name="Normal 6 2 8 2 4" xfId="31321" xr:uid="{00000000-0005-0000-0000-00007EAD0000}"/>
    <cellStyle name="Normal 6 2 8 2 5" xfId="41046" xr:uid="{00000000-0005-0000-0000-00007FAD0000}"/>
    <cellStyle name="Normal 6 2 8 2 6" xfId="11871" xr:uid="{00000000-0005-0000-0000-000080AD0000}"/>
    <cellStyle name="Normal 6 2 8 3" xfId="3765" xr:uid="{00000000-0005-0000-0000-000081AD0000}"/>
    <cellStyle name="Normal 6 2 8 3 2" xfId="8627" xr:uid="{00000000-0005-0000-0000-000082AD0000}"/>
    <cellStyle name="Normal 6 2 8 3 2 2" xfId="28078" xr:uid="{00000000-0005-0000-0000-000083AD0000}"/>
    <cellStyle name="Normal 6 2 8 3 2 3" xfId="37803" xr:uid="{00000000-0005-0000-0000-000084AD0000}"/>
    <cellStyle name="Normal 6 2 8 3 2 4" xfId="47528" xr:uid="{00000000-0005-0000-0000-000085AD0000}"/>
    <cellStyle name="Normal 6 2 8 3 2 5" xfId="18353" xr:uid="{00000000-0005-0000-0000-000086AD0000}"/>
    <cellStyle name="Normal 6 2 8 3 3" xfId="23216" xr:uid="{00000000-0005-0000-0000-000087AD0000}"/>
    <cellStyle name="Normal 6 2 8 3 4" xfId="32941" xr:uid="{00000000-0005-0000-0000-000088AD0000}"/>
    <cellStyle name="Normal 6 2 8 3 5" xfId="42666" xr:uid="{00000000-0005-0000-0000-000089AD0000}"/>
    <cellStyle name="Normal 6 2 8 3 6" xfId="13491" xr:uid="{00000000-0005-0000-0000-00008AAD0000}"/>
    <cellStyle name="Normal 6 2 8 4" xfId="5387" xr:uid="{00000000-0005-0000-0000-00008BAD0000}"/>
    <cellStyle name="Normal 6 2 8 4 2" xfId="24838" xr:uid="{00000000-0005-0000-0000-00008CAD0000}"/>
    <cellStyle name="Normal 6 2 8 4 3" xfId="34563" xr:uid="{00000000-0005-0000-0000-00008DAD0000}"/>
    <cellStyle name="Normal 6 2 8 4 4" xfId="44288" xr:uid="{00000000-0005-0000-0000-00008EAD0000}"/>
    <cellStyle name="Normal 6 2 8 4 5" xfId="15113" xr:uid="{00000000-0005-0000-0000-00008FAD0000}"/>
    <cellStyle name="Normal 6 2 8 5" xfId="19976" xr:uid="{00000000-0005-0000-0000-000090AD0000}"/>
    <cellStyle name="Normal 6 2 8 6" xfId="29701" xr:uid="{00000000-0005-0000-0000-000091AD0000}"/>
    <cellStyle name="Normal 6 2 8 7" xfId="39426" xr:uid="{00000000-0005-0000-0000-000092AD0000}"/>
    <cellStyle name="Normal 6 2 8 8" xfId="10251" xr:uid="{00000000-0005-0000-0000-000093AD0000}"/>
    <cellStyle name="Normal 6 2 9" xfId="1694" xr:uid="{00000000-0005-0000-0000-000094AD0000}"/>
    <cellStyle name="Normal 6 2 9 2" xfId="3315" xr:uid="{00000000-0005-0000-0000-000095AD0000}"/>
    <cellStyle name="Normal 6 2 9 2 2" xfId="8177" xr:uid="{00000000-0005-0000-0000-000096AD0000}"/>
    <cellStyle name="Normal 6 2 9 2 2 2" xfId="27628" xr:uid="{00000000-0005-0000-0000-000097AD0000}"/>
    <cellStyle name="Normal 6 2 9 2 2 3" xfId="37353" xr:uid="{00000000-0005-0000-0000-000098AD0000}"/>
    <cellStyle name="Normal 6 2 9 2 2 4" xfId="47078" xr:uid="{00000000-0005-0000-0000-000099AD0000}"/>
    <cellStyle name="Normal 6 2 9 2 2 5" xfId="17903" xr:uid="{00000000-0005-0000-0000-00009AAD0000}"/>
    <cellStyle name="Normal 6 2 9 2 3" xfId="22766" xr:uid="{00000000-0005-0000-0000-00009BAD0000}"/>
    <cellStyle name="Normal 6 2 9 2 4" xfId="32491" xr:uid="{00000000-0005-0000-0000-00009CAD0000}"/>
    <cellStyle name="Normal 6 2 9 2 5" xfId="42216" xr:uid="{00000000-0005-0000-0000-00009DAD0000}"/>
    <cellStyle name="Normal 6 2 9 2 6" xfId="13041" xr:uid="{00000000-0005-0000-0000-00009EAD0000}"/>
    <cellStyle name="Normal 6 2 9 3" xfId="4935" xr:uid="{00000000-0005-0000-0000-00009FAD0000}"/>
    <cellStyle name="Normal 6 2 9 3 2" xfId="9797" xr:uid="{00000000-0005-0000-0000-0000A0AD0000}"/>
    <cellStyle name="Normal 6 2 9 3 2 2" xfId="29248" xr:uid="{00000000-0005-0000-0000-0000A1AD0000}"/>
    <cellStyle name="Normal 6 2 9 3 2 3" xfId="38973" xr:uid="{00000000-0005-0000-0000-0000A2AD0000}"/>
    <cellStyle name="Normal 6 2 9 3 2 4" xfId="48698" xr:uid="{00000000-0005-0000-0000-0000A3AD0000}"/>
    <cellStyle name="Normal 6 2 9 3 2 5" xfId="19523" xr:uid="{00000000-0005-0000-0000-0000A4AD0000}"/>
    <cellStyle name="Normal 6 2 9 3 3" xfId="24386" xr:uid="{00000000-0005-0000-0000-0000A5AD0000}"/>
    <cellStyle name="Normal 6 2 9 3 4" xfId="34111" xr:uid="{00000000-0005-0000-0000-0000A6AD0000}"/>
    <cellStyle name="Normal 6 2 9 3 5" xfId="43836" xr:uid="{00000000-0005-0000-0000-0000A7AD0000}"/>
    <cellStyle name="Normal 6 2 9 3 6" xfId="14661" xr:uid="{00000000-0005-0000-0000-0000A8AD0000}"/>
    <cellStyle name="Normal 6 2 9 4" xfId="6557" xr:uid="{00000000-0005-0000-0000-0000A9AD0000}"/>
    <cellStyle name="Normal 6 2 9 4 2" xfId="26008" xr:uid="{00000000-0005-0000-0000-0000AAAD0000}"/>
    <cellStyle name="Normal 6 2 9 4 3" xfId="35733" xr:uid="{00000000-0005-0000-0000-0000ABAD0000}"/>
    <cellStyle name="Normal 6 2 9 4 4" xfId="45458" xr:uid="{00000000-0005-0000-0000-0000ACAD0000}"/>
    <cellStyle name="Normal 6 2 9 4 5" xfId="16283" xr:uid="{00000000-0005-0000-0000-0000ADAD0000}"/>
    <cellStyle name="Normal 6 2 9 5" xfId="21146" xr:uid="{00000000-0005-0000-0000-0000AEAD0000}"/>
    <cellStyle name="Normal 6 2 9 6" xfId="30871" xr:uid="{00000000-0005-0000-0000-0000AFAD0000}"/>
    <cellStyle name="Normal 6 2 9 7" xfId="40596" xr:uid="{00000000-0005-0000-0000-0000B0AD0000}"/>
    <cellStyle name="Normal 6 2 9 8" xfId="11421" xr:uid="{00000000-0005-0000-0000-0000B1AD0000}"/>
    <cellStyle name="Normal 6 3" xfId="131" xr:uid="{00000000-0005-0000-0000-0000B2AD0000}"/>
    <cellStyle name="Normal 6 3 10" xfId="1815" xr:uid="{00000000-0005-0000-0000-0000B3AD0000}"/>
    <cellStyle name="Normal 6 3 10 2" xfId="6677" xr:uid="{00000000-0005-0000-0000-0000B4AD0000}"/>
    <cellStyle name="Normal 6 3 10 2 2" xfId="26128" xr:uid="{00000000-0005-0000-0000-0000B5AD0000}"/>
    <cellStyle name="Normal 6 3 10 2 3" xfId="35853" xr:uid="{00000000-0005-0000-0000-0000B6AD0000}"/>
    <cellStyle name="Normal 6 3 10 2 4" xfId="45578" xr:uid="{00000000-0005-0000-0000-0000B7AD0000}"/>
    <cellStyle name="Normal 6 3 10 2 5" xfId="16403" xr:uid="{00000000-0005-0000-0000-0000B8AD0000}"/>
    <cellStyle name="Normal 6 3 10 3" xfId="21266" xr:uid="{00000000-0005-0000-0000-0000B9AD0000}"/>
    <cellStyle name="Normal 6 3 10 4" xfId="30991" xr:uid="{00000000-0005-0000-0000-0000BAAD0000}"/>
    <cellStyle name="Normal 6 3 10 5" xfId="40716" xr:uid="{00000000-0005-0000-0000-0000BBAD0000}"/>
    <cellStyle name="Normal 6 3 10 6" xfId="11541" xr:uid="{00000000-0005-0000-0000-0000BCAD0000}"/>
    <cellStyle name="Normal 6 3 11" xfId="3435" xr:uid="{00000000-0005-0000-0000-0000BDAD0000}"/>
    <cellStyle name="Normal 6 3 11 2" xfId="8297" xr:uid="{00000000-0005-0000-0000-0000BEAD0000}"/>
    <cellStyle name="Normal 6 3 11 2 2" xfId="27748" xr:uid="{00000000-0005-0000-0000-0000BFAD0000}"/>
    <cellStyle name="Normal 6 3 11 2 3" xfId="37473" xr:uid="{00000000-0005-0000-0000-0000C0AD0000}"/>
    <cellStyle name="Normal 6 3 11 2 4" xfId="47198" xr:uid="{00000000-0005-0000-0000-0000C1AD0000}"/>
    <cellStyle name="Normal 6 3 11 2 5" xfId="18023" xr:uid="{00000000-0005-0000-0000-0000C2AD0000}"/>
    <cellStyle name="Normal 6 3 11 3" xfId="22886" xr:uid="{00000000-0005-0000-0000-0000C3AD0000}"/>
    <cellStyle name="Normal 6 3 11 4" xfId="32611" xr:uid="{00000000-0005-0000-0000-0000C4AD0000}"/>
    <cellStyle name="Normal 6 3 11 5" xfId="42336" xr:uid="{00000000-0005-0000-0000-0000C5AD0000}"/>
    <cellStyle name="Normal 6 3 11 6" xfId="13161" xr:uid="{00000000-0005-0000-0000-0000C6AD0000}"/>
    <cellStyle name="Normal 6 3 12" xfId="5057" xr:uid="{00000000-0005-0000-0000-0000C7AD0000}"/>
    <cellStyle name="Normal 6 3 12 2" xfId="24508" xr:uid="{00000000-0005-0000-0000-0000C8AD0000}"/>
    <cellStyle name="Normal 6 3 12 3" xfId="34233" xr:uid="{00000000-0005-0000-0000-0000C9AD0000}"/>
    <cellStyle name="Normal 6 3 12 4" xfId="43958" xr:uid="{00000000-0005-0000-0000-0000CAAD0000}"/>
    <cellStyle name="Normal 6 3 12 5" xfId="14783" xr:uid="{00000000-0005-0000-0000-0000CBAD0000}"/>
    <cellStyle name="Normal 6 3 13" xfId="19646" xr:uid="{00000000-0005-0000-0000-0000CCAD0000}"/>
    <cellStyle name="Normal 6 3 14" xfId="29371" xr:uid="{00000000-0005-0000-0000-0000CDAD0000}"/>
    <cellStyle name="Normal 6 3 15" xfId="39096" xr:uid="{00000000-0005-0000-0000-0000CEAD0000}"/>
    <cellStyle name="Normal 6 3 16" xfId="9921" xr:uid="{00000000-0005-0000-0000-0000CFAD0000}"/>
    <cellStyle name="Normal 6 3 2" xfId="313" xr:uid="{00000000-0005-0000-0000-0000D0AD0000}"/>
    <cellStyle name="Normal 6 3 2 10" xfId="39276" xr:uid="{00000000-0005-0000-0000-0000D1AD0000}"/>
    <cellStyle name="Normal 6 3 2 11" xfId="10101" xr:uid="{00000000-0005-0000-0000-0000D2AD0000}"/>
    <cellStyle name="Normal 6 3 2 2" xfId="1077" xr:uid="{00000000-0005-0000-0000-0000D3AD0000}"/>
    <cellStyle name="Normal 6 3 2 2 2" xfId="2715" xr:uid="{00000000-0005-0000-0000-0000D4AD0000}"/>
    <cellStyle name="Normal 6 3 2 2 2 2" xfId="7577" xr:uid="{00000000-0005-0000-0000-0000D5AD0000}"/>
    <cellStyle name="Normal 6 3 2 2 2 2 2" xfId="27028" xr:uid="{00000000-0005-0000-0000-0000D6AD0000}"/>
    <cellStyle name="Normal 6 3 2 2 2 2 3" xfId="36753" xr:uid="{00000000-0005-0000-0000-0000D7AD0000}"/>
    <cellStyle name="Normal 6 3 2 2 2 2 4" xfId="46478" xr:uid="{00000000-0005-0000-0000-0000D8AD0000}"/>
    <cellStyle name="Normal 6 3 2 2 2 2 5" xfId="17303" xr:uid="{00000000-0005-0000-0000-0000D9AD0000}"/>
    <cellStyle name="Normal 6 3 2 2 2 3" xfId="22166" xr:uid="{00000000-0005-0000-0000-0000DAAD0000}"/>
    <cellStyle name="Normal 6 3 2 2 2 4" xfId="31891" xr:uid="{00000000-0005-0000-0000-0000DBAD0000}"/>
    <cellStyle name="Normal 6 3 2 2 2 5" xfId="41616" xr:uid="{00000000-0005-0000-0000-0000DCAD0000}"/>
    <cellStyle name="Normal 6 3 2 2 2 6" xfId="12441" xr:uid="{00000000-0005-0000-0000-0000DDAD0000}"/>
    <cellStyle name="Normal 6 3 2 2 3" xfId="4335" xr:uid="{00000000-0005-0000-0000-0000DEAD0000}"/>
    <cellStyle name="Normal 6 3 2 2 3 2" xfId="9197" xr:uid="{00000000-0005-0000-0000-0000DFAD0000}"/>
    <cellStyle name="Normal 6 3 2 2 3 2 2" xfId="28648" xr:uid="{00000000-0005-0000-0000-0000E0AD0000}"/>
    <cellStyle name="Normal 6 3 2 2 3 2 3" xfId="38373" xr:uid="{00000000-0005-0000-0000-0000E1AD0000}"/>
    <cellStyle name="Normal 6 3 2 2 3 2 4" xfId="48098" xr:uid="{00000000-0005-0000-0000-0000E2AD0000}"/>
    <cellStyle name="Normal 6 3 2 2 3 2 5" xfId="18923" xr:uid="{00000000-0005-0000-0000-0000E3AD0000}"/>
    <cellStyle name="Normal 6 3 2 2 3 3" xfId="23786" xr:uid="{00000000-0005-0000-0000-0000E4AD0000}"/>
    <cellStyle name="Normal 6 3 2 2 3 4" xfId="33511" xr:uid="{00000000-0005-0000-0000-0000E5AD0000}"/>
    <cellStyle name="Normal 6 3 2 2 3 5" xfId="43236" xr:uid="{00000000-0005-0000-0000-0000E6AD0000}"/>
    <cellStyle name="Normal 6 3 2 2 3 6" xfId="14061" xr:uid="{00000000-0005-0000-0000-0000E7AD0000}"/>
    <cellStyle name="Normal 6 3 2 2 4" xfId="5957" xr:uid="{00000000-0005-0000-0000-0000E8AD0000}"/>
    <cellStyle name="Normal 6 3 2 2 4 2" xfId="25408" xr:uid="{00000000-0005-0000-0000-0000E9AD0000}"/>
    <cellStyle name="Normal 6 3 2 2 4 3" xfId="35133" xr:uid="{00000000-0005-0000-0000-0000EAAD0000}"/>
    <cellStyle name="Normal 6 3 2 2 4 4" xfId="44858" xr:uid="{00000000-0005-0000-0000-0000EBAD0000}"/>
    <cellStyle name="Normal 6 3 2 2 4 5" xfId="15683" xr:uid="{00000000-0005-0000-0000-0000ECAD0000}"/>
    <cellStyle name="Normal 6 3 2 2 5" xfId="20546" xr:uid="{00000000-0005-0000-0000-0000EDAD0000}"/>
    <cellStyle name="Normal 6 3 2 2 6" xfId="30271" xr:uid="{00000000-0005-0000-0000-0000EEAD0000}"/>
    <cellStyle name="Normal 6 3 2 2 7" xfId="39996" xr:uid="{00000000-0005-0000-0000-0000EFAD0000}"/>
    <cellStyle name="Normal 6 3 2 2 8" xfId="10821" xr:uid="{00000000-0005-0000-0000-0000F0AD0000}"/>
    <cellStyle name="Normal 6 3 2 3" xfId="1544" xr:uid="{00000000-0005-0000-0000-0000F1AD0000}"/>
    <cellStyle name="Normal 6 3 2 3 2" xfId="3165" xr:uid="{00000000-0005-0000-0000-0000F2AD0000}"/>
    <cellStyle name="Normal 6 3 2 3 2 2" xfId="8027" xr:uid="{00000000-0005-0000-0000-0000F3AD0000}"/>
    <cellStyle name="Normal 6 3 2 3 2 2 2" xfId="27478" xr:uid="{00000000-0005-0000-0000-0000F4AD0000}"/>
    <cellStyle name="Normal 6 3 2 3 2 2 3" xfId="37203" xr:uid="{00000000-0005-0000-0000-0000F5AD0000}"/>
    <cellStyle name="Normal 6 3 2 3 2 2 4" xfId="46928" xr:uid="{00000000-0005-0000-0000-0000F6AD0000}"/>
    <cellStyle name="Normal 6 3 2 3 2 2 5" xfId="17753" xr:uid="{00000000-0005-0000-0000-0000F7AD0000}"/>
    <cellStyle name="Normal 6 3 2 3 2 3" xfId="22616" xr:uid="{00000000-0005-0000-0000-0000F8AD0000}"/>
    <cellStyle name="Normal 6 3 2 3 2 4" xfId="32341" xr:uid="{00000000-0005-0000-0000-0000F9AD0000}"/>
    <cellStyle name="Normal 6 3 2 3 2 5" xfId="42066" xr:uid="{00000000-0005-0000-0000-0000FAAD0000}"/>
    <cellStyle name="Normal 6 3 2 3 2 6" xfId="12891" xr:uid="{00000000-0005-0000-0000-0000FBAD0000}"/>
    <cellStyle name="Normal 6 3 2 3 3" xfId="4785" xr:uid="{00000000-0005-0000-0000-0000FCAD0000}"/>
    <cellStyle name="Normal 6 3 2 3 3 2" xfId="9647" xr:uid="{00000000-0005-0000-0000-0000FDAD0000}"/>
    <cellStyle name="Normal 6 3 2 3 3 2 2" xfId="29098" xr:uid="{00000000-0005-0000-0000-0000FEAD0000}"/>
    <cellStyle name="Normal 6 3 2 3 3 2 3" xfId="38823" xr:uid="{00000000-0005-0000-0000-0000FFAD0000}"/>
    <cellStyle name="Normal 6 3 2 3 3 2 4" xfId="48548" xr:uid="{00000000-0005-0000-0000-000000AE0000}"/>
    <cellStyle name="Normal 6 3 2 3 3 2 5" xfId="19373" xr:uid="{00000000-0005-0000-0000-000001AE0000}"/>
    <cellStyle name="Normal 6 3 2 3 3 3" xfId="24236" xr:uid="{00000000-0005-0000-0000-000002AE0000}"/>
    <cellStyle name="Normal 6 3 2 3 3 4" xfId="33961" xr:uid="{00000000-0005-0000-0000-000003AE0000}"/>
    <cellStyle name="Normal 6 3 2 3 3 5" xfId="43686" xr:uid="{00000000-0005-0000-0000-000004AE0000}"/>
    <cellStyle name="Normal 6 3 2 3 3 6" xfId="14511" xr:uid="{00000000-0005-0000-0000-000005AE0000}"/>
    <cellStyle name="Normal 6 3 2 3 4" xfId="6407" xr:uid="{00000000-0005-0000-0000-000006AE0000}"/>
    <cellStyle name="Normal 6 3 2 3 4 2" xfId="25858" xr:uid="{00000000-0005-0000-0000-000007AE0000}"/>
    <cellStyle name="Normal 6 3 2 3 4 3" xfId="35583" xr:uid="{00000000-0005-0000-0000-000008AE0000}"/>
    <cellStyle name="Normal 6 3 2 3 4 4" xfId="45308" xr:uid="{00000000-0005-0000-0000-000009AE0000}"/>
    <cellStyle name="Normal 6 3 2 3 4 5" xfId="16133" xr:uid="{00000000-0005-0000-0000-00000AAE0000}"/>
    <cellStyle name="Normal 6 3 2 3 5" xfId="20996" xr:uid="{00000000-0005-0000-0000-00000BAE0000}"/>
    <cellStyle name="Normal 6 3 2 3 6" xfId="30721" xr:uid="{00000000-0005-0000-0000-00000CAE0000}"/>
    <cellStyle name="Normal 6 3 2 3 7" xfId="40446" xr:uid="{00000000-0005-0000-0000-00000DAE0000}"/>
    <cellStyle name="Normal 6 3 2 3 8" xfId="11271" xr:uid="{00000000-0005-0000-0000-00000EAE0000}"/>
    <cellStyle name="Normal 6 3 2 4" xfId="715" xr:uid="{00000000-0005-0000-0000-00000FAE0000}"/>
    <cellStyle name="Normal 6 3 2 4 2" xfId="2355" xr:uid="{00000000-0005-0000-0000-000010AE0000}"/>
    <cellStyle name="Normal 6 3 2 4 2 2" xfId="7217" xr:uid="{00000000-0005-0000-0000-000011AE0000}"/>
    <cellStyle name="Normal 6 3 2 4 2 2 2" xfId="26668" xr:uid="{00000000-0005-0000-0000-000012AE0000}"/>
    <cellStyle name="Normal 6 3 2 4 2 2 3" xfId="36393" xr:uid="{00000000-0005-0000-0000-000013AE0000}"/>
    <cellStyle name="Normal 6 3 2 4 2 2 4" xfId="46118" xr:uid="{00000000-0005-0000-0000-000014AE0000}"/>
    <cellStyle name="Normal 6 3 2 4 2 2 5" xfId="16943" xr:uid="{00000000-0005-0000-0000-000015AE0000}"/>
    <cellStyle name="Normal 6 3 2 4 2 3" xfId="21806" xr:uid="{00000000-0005-0000-0000-000016AE0000}"/>
    <cellStyle name="Normal 6 3 2 4 2 4" xfId="31531" xr:uid="{00000000-0005-0000-0000-000017AE0000}"/>
    <cellStyle name="Normal 6 3 2 4 2 5" xfId="41256" xr:uid="{00000000-0005-0000-0000-000018AE0000}"/>
    <cellStyle name="Normal 6 3 2 4 2 6" xfId="12081" xr:uid="{00000000-0005-0000-0000-000019AE0000}"/>
    <cellStyle name="Normal 6 3 2 4 3" xfId="3975" xr:uid="{00000000-0005-0000-0000-00001AAE0000}"/>
    <cellStyle name="Normal 6 3 2 4 3 2" xfId="8837" xr:uid="{00000000-0005-0000-0000-00001BAE0000}"/>
    <cellStyle name="Normal 6 3 2 4 3 2 2" xfId="28288" xr:uid="{00000000-0005-0000-0000-00001CAE0000}"/>
    <cellStyle name="Normal 6 3 2 4 3 2 3" xfId="38013" xr:uid="{00000000-0005-0000-0000-00001DAE0000}"/>
    <cellStyle name="Normal 6 3 2 4 3 2 4" xfId="47738" xr:uid="{00000000-0005-0000-0000-00001EAE0000}"/>
    <cellStyle name="Normal 6 3 2 4 3 2 5" xfId="18563" xr:uid="{00000000-0005-0000-0000-00001FAE0000}"/>
    <cellStyle name="Normal 6 3 2 4 3 3" xfId="23426" xr:uid="{00000000-0005-0000-0000-000020AE0000}"/>
    <cellStyle name="Normal 6 3 2 4 3 4" xfId="33151" xr:uid="{00000000-0005-0000-0000-000021AE0000}"/>
    <cellStyle name="Normal 6 3 2 4 3 5" xfId="42876" xr:uid="{00000000-0005-0000-0000-000022AE0000}"/>
    <cellStyle name="Normal 6 3 2 4 3 6" xfId="13701" xr:uid="{00000000-0005-0000-0000-000023AE0000}"/>
    <cellStyle name="Normal 6 3 2 4 4" xfId="5597" xr:uid="{00000000-0005-0000-0000-000024AE0000}"/>
    <cellStyle name="Normal 6 3 2 4 4 2" xfId="25048" xr:uid="{00000000-0005-0000-0000-000025AE0000}"/>
    <cellStyle name="Normal 6 3 2 4 4 3" xfId="34773" xr:uid="{00000000-0005-0000-0000-000026AE0000}"/>
    <cellStyle name="Normal 6 3 2 4 4 4" xfId="44498" xr:uid="{00000000-0005-0000-0000-000027AE0000}"/>
    <cellStyle name="Normal 6 3 2 4 4 5" xfId="15323" xr:uid="{00000000-0005-0000-0000-000028AE0000}"/>
    <cellStyle name="Normal 6 3 2 4 5" xfId="20186" xr:uid="{00000000-0005-0000-0000-000029AE0000}"/>
    <cellStyle name="Normal 6 3 2 4 6" xfId="29911" xr:uid="{00000000-0005-0000-0000-00002AAE0000}"/>
    <cellStyle name="Normal 6 3 2 4 7" xfId="39636" xr:uid="{00000000-0005-0000-0000-00002BAE0000}"/>
    <cellStyle name="Normal 6 3 2 4 8" xfId="10461" xr:uid="{00000000-0005-0000-0000-00002CAE0000}"/>
    <cellStyle name="Normal 6 3 2 5" xfId="1995" xr:uid="{00000000-0005-0000-0000-00002DAE0000}"/>
    <cellStyle name="Normal 6 3 2 5 2" xfId="6857" xr:uid="{00000000-0005-0000-0000-00002EAE0000}"/>
    <cellStyle name="Normal 6 3 2 5 2 2" xfId="26308" xr:uid="{00000000-0005-0000-0000-00002FAE0000}"/>
    <cellStyle name="Normal 6 3 2 5 2 3" xfId="36033" xr:uid="{00000000-0005-0000-0000-000030AE0000}"/>
    <cellStyle name="Normal 6 3 2 5 2 4" xfId="45758" xr:uid="{00000000-0005-0000-0000-000031AE0000}"/>
    <cellStyle name="Normal 6 3 2 5 2 5" xfId="16583" xr:uid="{00000000-0005-0000-0000-000032AE0000}"/>
    <cellStyle name="Normal 6 3 2 5 3" xfId="21446" xr:uid="{00000000-0005-0000-0000-000033AE0000}"/>
    <cellStyle name="Normal 6 3 2 5 4" xfId="31171" xr:uid="{00000000-0005-0000-0000-000034AE0000}"/>
    <cellStyle name="Normal 6 3 2 5 5" xfId="40896" xr:uid="{00000000-0005-0000-0000-000035AE0000}"/>
    <cellStyle name="Normal 6 3 2 5 6" xfId="11721" xr:uid="{00000000-0005-0000-0000-000036AE0000}"/>
    <cellStyle name="Normal 6 3 2 6" xfId="3615" xr:uid="{00000000-0005-0000-0000-000037AE0000}"/>
    <cellStyle name="Normal 6 3 2 6 2" xfId="8477" xr:uid="{00000000-0005-0000-0000-000038AE0000}"/>
    <cellStyle name="Normal 6 3 2 6 2 2" xfId="27928" xr:uid="{00000000-0005-0000-0000-000039AE0000}"/>
    <cellStyle name="Normal 6 3 2 6 2 3" xfId="37653" xr:uid="{00000000-0005-0000-0000-00003AAE0000}"/>
    <cellStyle name="Normal 6 3 2 6 2 4" xfId="47378" xr:uid="{00000000-0005-0000-0000-00003BAE0000}"/>
    <cellStyle name="Normal 6 3 2 6 2 5" xfId="18203" xr:uid="{00000000-0005-0000-0000-00003CAE0000}"/>
    <cellStyle name="Normal 6 3 2 6 3" xfId="23066" xr:uid="{00000000-0005-0000-0000-00003DAE0000}"/>
    <cellStyle name="Normal 6 3 2 6 4" xfId="32791" xr:uid="{00000000-0005-0000-0000-00003EAE0000}"/>
    <cellStyle name="Normal 6 3 2 6 5" xfId="42516" xr:uid="{00000000-0005-0000-0000-00003FAE0000}"/>
    <cellStyle name="Normal 6 3 2 6 6" xfId="13341" xr:uid="{00000000-0005-0000-0000-000040AE0000}"/>
    <cellStyle name="Normal 6 3 2 7" xfId="5237" xr:uid="{00000000-0005-0000-0000-000041AE0000}"/>
    <cellStyle name="Normal 6 3 2 7 2" xfId="24688" xr:uid="{00000000-0005-0000-0000-000042AE0000}"/>
    <cellStyle name="Normal 6 3 2 7 3" xfId="34413" xr:uid="{00000000-0005-0000-0000-000043AE0000}"/>
    <cellStyle name="Normal 6 3 2 7 4" xfId="44138" xr:uid="{00000000-0005-0000-0000-000044AE0000}"/>
    <cellStyle name="Normal 6 3 2 7 5" xfId="14963" xr:uid="{00000000-0005-0000-0000-000045AE0000}"/>
    <cellStyle name="Normal 6 3 2 8" xfId="19826" xr:uid="{00000000-0005-0000-0000-000046AE0000}"/>
    <cellStyle name="Normal 6 3 2 9" xfId="29551" xr:uid="{00000000-0005-0000-0000-000047AE0000}"/>
    <cellStyle name="Normal 6 3 3" xfId="404" xr:uid="{00000000-0005-0000-0000-000048AE0000}"/>
    <cellStyle name="Normal 6 3 3 10" xfId="39366" xr:uid="{00000000-0005-0000-0000-000049AE0000}"/>
    <cellStyle name="Normal 6 3 3 11" xfId="10191" xr:uid="{00000000-0005-0000-0000-00004AAE0000}"/>
    <cellStyle name="Normal 6 3 3 2" xfId="1167" xr:uid="{00000000-0005-0000-0000-00004BAE0000}"/>
    <cellStyle name="Normal 6 3 3 2 2" xfId="2805" xr:uid="{00000000-0005-0000-0000-00004CAE0000}"/>
    <cellStyle name="Normal 6 3 3 2 2 2" xfId="7667" xr:uid="{00000000-0005-0000-0000-00004DAE0000}"/>
    <cellStyle name="Normal 6 3 3 2 2 2 2" xfId="27118" xr:uid="{00000000-0005-0000-0000-00004EAE0000}"/>
    <cellStyle name="Normal 6 3 3 2 2 2 3" xfId="36843" xr:uid="{00000000-0005-0000-0000-00004FAE0000}"/>
    <cellStyle name="Normal 6 3 3 2 2 2 4" xfId="46568" xr:uid="{00000000-0005-0000-0000-000050AE0000}"/>
    <cellStyle name="Normal 6 3 3 2 2 2 5" xfId="17393" xr:uid="{00000000-0005-0000-0000-000051AE0000}"/>
    <cellStyle name="Normal 6 3 3 2 2 3" xfId="22256" xr:uid="{00000000-0005-0000-0000-000052AE0000}"/>
    <cellStyle name="Normal 6 3 3 2 2 4" xfId="31981" xr:uid="{00000000-0005-0000-0000-000053AE0000}"/>
    <cellStyle name="Normal 6 3 3 2 2 5" xfId="41706" xr:uid="{00000000-0005-0000-0000-000054AE0000}"/>
    <cellStyle name="Normal 6 3 3 2 2 6" xfId="12531" xr:uid="{00000000-0005-0000-0000-000055AE0000}"/>
    <cellStyle name="Normal 6 3 3 2 3" xfId="4425" xr:uid="{00000000-0005-0000-0000-000056AE0000}"/>
    <cellStyle name="Normal 6 3 3 2 3 2" xfId="9287" xr:uid="{00000000-0005-0000-0000-000057AE0000}"/>
    <cellStyle name="Normal 6 3 3 2 3 2 2" xfId="28738" xr:uid="{00000000-0005-0000-0000-000058AE0000}"/>
    <cellStyle name="Normal 6 3 3 2 3 2 3" xfId="38463" xr:uid="{00000000-0005-0000-0000-000059AE0000}"/>
    <cellStyle name="Normal 6 3 3 2 3 2 4" xfId="48188" xr:uid="{00000000-0005-0000-0000-00005AAE0000}"/>
    <cellStyle name="Normal 6 3 3 2 3 2 5" xfId="19013" xr:uid="{00000000-0005-0000-0000-00005BAE0000}"/>
    <cellStyle name="Normal 6 3 3 2 3 3" xfId="23876" xr:uid="{00000000-0005-0000-0000-00005CAE0000}"/>
    <cellStyle name="Normal 6 3 3 2 3 4" xfId="33601" xr:uid="{00000000-0005-0000-0000-00005DAE0000}"/>
    <cellStyle name="Normal 6 3 3 2 3 5" xfId="43326" xr:uid="{00000000-0005-0000-0000-00005EAE0000}"/>
    <cellStyle name="Normal 6 3 3 2 3 6" xfId="14151" xr:uid="{00000000-0005-0000-0000-00005FAE0000}"/>
    <cellStyle name="Normal 6 3 3 2 4" xfId="6047" xr:uid="{00000000-0005-0000-0000-000060AE0000}"/>
    <cellStyle name="Normal 6 3 3 2 4 2" xfId="25498" xr:uid="{00000000-0005-0000-0000-000061AE0000}"/>
    <cellStyle name="Normal 6 3 3 2 4 3" xfId="35223" xr:uid="{00000000-0005-0000-0000-000062AE0000}"/>
    <cellStyle name="Normal 6 3 3 2 4 4" xfId="44948" xr:uid="{00000000-0005-0000-0000-000063AE0000}"/>
    <cellStyle name="Normal 6 3 3 2 4 5" xfId="15773" xr:uid="{00000000-0005-0000-0000-000064AE0000}"/>
    <cellStyle name="Normal 6 3 3 2 5" xfId="20636" xr:uid="{00000000-0005-0000-0000-000065AE0000}"/>
    <cellStyle name="Normal 6 3 3 2 6" xfId="30361" xr:uid="{00000000-0005-0000-0000-000066AE0000}"/>
    <cellStyle name="Normal 6 3 3 2 7" xfId="40086" xr:uid="{00000000-0005-0000-0000-000067AE0000}"/>
    <cellStyle name="Normal 6 3 3 2 8" xfId="10911" xr:uid="{00000000-0005-0000-0000-000068AE0000}"/>
    <cellStyle name="Normal 6 3 3 3" xfId="1634" xr:uid="{00000000-0005-0000-0000-000069AE0000}"/>
    <cellStyle name="Normal 6 3 3 3 2" xfId="3255" xr:uid="{00000000-0005-0000-0000-00006AAE0000}"/>
    <cellStyle name="Normal 6 3 3 3 2 2" xfId="8117" xr:uid="{00000000-0005-0000-0000-00006BAE0000}"/>
    <cellStyle name="Normal 6 3 3 3 2 2 2" xfId="27568" xr:uid="{00000000-0005-0000-0000-00006CAE0000}"/>
    <cellStyle name="Normal 6 3 3 3 2 2 3" xfId="37293" xr:uid="{00000000-0005-0000-0000-00006DAE0000}"/>
    <cellStyle name="Normal 6 3 3 3 2 2 4" xfId="47018" xr:uid="{00000000-0005-0000-0000-00006EAE0000}"/>
    <cellStyle name="Normal 6 3 3 3 2 2 5" xfId="17843" xr:uid="{00000000-0005-0000-0000-00006FAE0000}"/>
    <cellStyle name="Normal 6 3 3 3 2 3" xfId="22706" xr:uid="{00000000-0005-0000-0000-000070AE0000}"/>
    <cellStyle name="Normal 6 3 3 3 2 4" xfId="32431" xr:uid="{00000000-0005-0000-0000-000071AE0000}"/>
    <cellStyle name="Normal 6 3 3 3 2 5" xfId="42156" xr:uid="{00000000-0005-0000-0000-000072AE0000}"/>
    <cellStyle name="Normal 6 3 3 3 2 6" xfId="12981" xr:uid="{00000000-0005-0000-0000-000073AE0000}"/>
    <cellStyle name="Normal 6 3 3 3 3" xfId="4875" xr:uid="{00000000-0005-0000-0000-000074AE0000}"/>
    <cellStyle name="Normal 6 3 3 3 3 2" xfId="9737" xr:uid="{00000000-0005-0000-0000-000075AE0000}"/>
    <cellStyle name="Normal 6 3 3 3 3 2 2" xfId="29188" xr:uid="{00000000-0005-0000-0000-000076AE0000}"/>
    <cellStyle name="Normal 6 3 3 3 3 2 3" xfId="38913" xr:uid="{00000000-0005-0000-0000-000077AE0000}"/>
    <cellStyle name="Normal 6 3 3 3 3 2 4" xfId="48638" xr:uid="{00000000-0005-0000-0000-000078AE0000}"/>
    <cellStyle name="Normal 6 3 3 3 3 2 5" xfId="19463" xr:uid="{00000000-0005-0000-0000-000079AE0000}"/>
    <cellStyle name="Normal 6 3 3 3 3 3" xfId="24326" xr:uid="{00000000-0005-0000-0000-00007AAE0000}"/>
    <cellStyle name="Normal 6 3 3 3 3 4" xfId="34051" xr:uid="{00000000-0005-0000-0000-00007BAE0000}"/>
    <cellStyle name="Normal 6 3 3 3 3 5" xfId="43776" xr:uid="{00000000-0005-0000-0000-00007CAE0000}"/>
    <cellStyle name="Normal 6 3 3 3 3 6" xfId="14601" xr:uid="{00000000-0005-0000-0000-00007DAE0000}"/>
    <cellStyle name="Normal 6 3 3 3 4" xfId="6497" xr:uid="{00000000-0005-0000-0000-00007EAE0000}"/>
    <cellStyle name="Normal 6 3 3 3 4 2" xfId="25948" xr:uid="{00000000-0005-0000-0000-00007FAE0000}"/>
    <cellStyle name="Normal 6 3 3 3 4 3" xfId="35673" xr:uid="{00000000-0005-0000-0000-000080AE0000}"/>
    <cellStyle name="Normal 6 3 3 3 4 4" xfId="45398" xr:uid="{00000000-0005-0000-0000-000081AE0000}"/>
    <cellStyle name="Normal 6 3 3 3 4 5" xfId="16223" xr:uid="{00000000-0005-0000-0000-000082AE0000}"/>
    <cellStyle name="Normal 6 3 3 3 5" xfId="21086" xr:uid="{00000000-0005-0000-0000-000083AE0000}"/>
    <cellStyle name="Normal 6 3 3 3 6" xfId="30811" xr:uid="{00000000-0005-0000-0000-000084AE0000}"/>
    <cellStyle name="Normal 6 3 3 3 7" xfId="40536" xr:uid="{00000000-0005-0000-0000-000085AE0000}"/>
    <cellStyle name="Normal 6 3 3 3 8" xfId="11361" xr:uid="{00000000-0005-0000-0000-000086AE0000}"/>
    <cellStyle name="Normal 6 3 3 4" xfId="805" xr:uid="{00000000-0005-0000-0000-000087AE0000}"/>
    <cellStyle name="Normal 6 3 3 4 2" xfId="2445" xr:uid="{00000000-0005-0000-0000-000088AE0000}"/>
    <cellStyle name="Normal 6 3 3 4 2 2" xfId="7307" xr:uid="{00000000-0005-0000-0000-000089AE0000}"/>
    <cellStyle name="Normal 6 3 3 4 2 2 2" xfId="26758" xr:uid="{00000000-0005-0000-0000-00008AAE0000}"/>
    <cellStyle name="Normal 6 3 3 4 2 2 3" xfId="36483" xr:uid="{00000000-0005-0000-0000-00008BAE0000}"/>
    <cellStyle name="Normal 6 3 3 4 2 2 4" xfId="46208" xr:uid="{00000000-0005-0000-0000-00008CAE0000}"/>
    <cellStyle name="Normal 6 3 3 4 2 2 5" xfId="17033" xr:uid="{00000000-0005-0000-0000-00008DAE0000}"/>
    <cellStyle name="Normal 6 3 3 4 2 3" xfId="21896" xr:uid="{00000000-0005-0000-0000-00008EAE0000}"/>
    <cellStyle name="Normal 6 3 3 4 2 4" xfId="31621" xr:uid="{00000000-0005-0000-0000-00008FAE0000}"/>
    <cellStyle name="Normal 6 3 3 4 2 5" xfId="41346" xr:uid="{00000000-0005-0000-0000-000090AE0000}"/>
    <cellStyle name="Normal 6 3 3 4 2 6" xfId="12171" xr:uid="{00000000-0005-0000-0000-000091AE0000}"/>
    <cellStyle name="Normal 6 3 3 4 3" xfId="4065" xr:uid="{00000000-0005-0000-0000-000092AE0000}"/>
    <cellStyle name="Normal 6 3 3 4 3 2" xfId="8927" xr:uid="{00000000-0005-0000-0000-000093AE0000}"/>
    <cellStyle name="Normal 6 3 3 4 3 2 2" xfId="28378" xr:uid="{00000000-0005-0000-0000-000094AE0000}"/>
    <cellStyle name="Normal 6 3 3 4 3 2 3" xfId="38103" xr:uid="{00000000-0005-0000-0000-000095AE0000}"/>
    <cellStyle name="Normal 6 3 3 4 3 2 4" xfId="47828" xr:uid="{00000000-0005-0000-0000-000096AE0000}"/>
    <cellStyle name="Normal 6 3 3 4 3 2 5" xfId="18653" xr:uid="{00000000-0005-0000-0000-000097AE0000}"/>
    <cellStyle name="Normal 6 3 3 4 3 3" xfId="23516" xr:uid="{00000000-0005-0000-0000-000098AE0000}"/>
    <cellStyle name="Normal 6 3 3 4 3 4" xfId="33241" xr:uid="{00000000-0005-0000-0000-000099AE0000}"/>
    <cellStyle name="Normal 6 3 3 4 3 5" xfId="42966" xr:uid="{00000000-0005-0000-0000-00009AAE0000}"/>
    <cellStyle name="Normal 6 3 3 4 3 6" xfId="13791" xr:uid="{00000000-0005-0000-0000-00009BAE0000}"/>
    <cellStyle name="Normal 6 3 3 4 4" xfId="5687" xr:uid="{00000000-0005-0000-0000-00009CAE0000}"/>
    <cellStyle name="Normal 6 3 3 4 4 2" xfId="25138" xr:uid="{00000000-0005-0000-0000-00009DAE0000}"/>
    <cellStyle name="Normal 6 3 3 4 4 3" xfId="34863" xr:uid="{00000000-0005-0000-0000-00009EAE0000}"/>
    <cellStyle name="Normal 6 3 3 4 4 4" xfId="44588" xr:uid="{00000000-0005-0000-0000-00009FAE0000}"/>
    <cellStyle name="Normal 6 3 3 4 4 5" xfId="15413" xr:uid="{00000000-0005-0000-0000-0000A0AE0000}"/>
    <cellStyle name="Normal 6 3 3 4 5" xfId="20276" xr:uid="{00000000-0005-0000-0000-0000A1AE0000}"/>
    <cellStyle name="Normal 6 3 3 4 6" xfId="30001" xr:uid="{00000000-0005-0000-0000-0000A2AE0000}"/>
    <cellStyle name="Normal 6 3 3 4 7" xfId="39726" xr:uid="{00000000-0005-0000-0000-0000A3AE0000}"/>
    <cellStyle name="Normal 6 3 3 4 8" xfId="10551" xr:uid="{00000000-0005-0000-0000-0000A4AE0000}"/>
    <cellStyle name="Normal 6 3 3 5" xfId="2085" xr:uid="{00000000-0005-0000-0000-0000A5AE0000}"/>
    <cellStyle name="Normal 6 3 3 5 2" xfId="6947" xr:uid="{00000000-0005-0000-0000-0000A6AE0000}"/>
    <cellStyle name="Normal 6 3 3 5 2 2" xfId="26398" xr:uid="{00000000-0005-0000-0000-0000A7AE0000}"/>
    <cellStyle name="Normal 6 3 3 5 2 3" xfId="36123" xr:uid="{00000000-0005-0000-0000-0000A8AE0000}"/>
    <cellStyle name="Normal 6 3 3 5 2 4" xfId="45848" xr:uid="{00000000-0005-0000-0000-0000A9AE0000}"/>
    <cellStyle name="Normal 6 3 3 5 2 5" xfId="16673" xr:uid="{00000000-0005-0000-0000-0000AAAE0000}"/>
    <cellStyle name="Normal 6 3 3 5 3" xfId="21536" xr:uid="{00000000-0005-0000-0000-0000ABAE0000}"/>
    <cellStyle name="Normal 6 3 3 5 4" xfId="31261" xr:uid="{00000000-0005-0000-0000-0000ACAE0000}"/>
    <cellStyle name="Normal 6 3 3 5 5" xfId="40986" xr:uid="{00000000-0005-0000-0000-0000ADAE0000}"/>
    <cellStyle name="Normal 6 3 3 5 6" xfId="11811" xr:uid="{00000000-0005-0000-0000-0000AEAE0000}"/>
    <cellStyle name="Normal 6 3 3 6" xfId="3705" xr:uid="{00000000-0005-0000-0000-0000AFAE0000}"/>
    <cellStyle name="Normal 6 3 3 6 2" xfId="8567" xr:uid="{00000000-0005-0000-0000-0000B0AE0000}"/>
    <cellStyle name="Normal 6 3 3 6 2 2" xfId="28018" xr:uid="{00000000-0005-0000-0000-0000B1AE0000}"/>
    <cellStyle name="Normal 6 3 3 6 2 3" xfId="37743" xr:uid="{00000000-0005-0000-0000-0000B2AE0000}"/>
    <cellStyle name="Normal 6 3 3 6 2 4" xfId="47468" xr:uid="{00000000-0005-0000-0000-0000B3AE0000}"/>
    <cellStyle name="Normal 6 3 3 6 2 5" xfId="18293" xr:uid="{00000000-0005-0000-0000-0000B4AE0000}"/>
    <cellStyle name="Normal 6 3 3 6 3" xfId="23156" xr:uid="{00000000-0005-0000-0000-0000B5AE0000}"/>
    <cellStyle name="Normal 6 3 3 6 4" xfId="32881" xr:uid="{00000000-0005-0000-0000-0000B6AE0000}"/>
    <cellStyle name="Normal 6 3 3 6 5" xfId="42606" xr:uid="{00000000-0005-0000-0000-0000B7AE0000}"/>
    <cellStyle name="Normal 6 3 3 6 6" xfId="13431" xr:uid="{00000000-0005-0000-0000-0000B8AE0000}"/>
    <cellStyle name="Normal 6 3 3 7" xfId="5327" xr:uid="{00000000-0005-0000-0000-0000B9AE0000}"/>
    <cellStyle name="Normal 6 3 3 7 2" xfId="24778" xr:uid="{00000000-0005-0000-0000-0000BAAE0000}"/>
    <cellStyle name="Normal 6 3 3 7 3" xfId="34503" xr:uid="{00000000-0005-0000-0000-0000BBAE0000}"/>
    <cellStyle name="Normal 6 3 3 7 4" xfId="44228" xr:uid="{00000000-0005-0000-0000-0000BCAE0000}"/>
    <cellStyle name="Normal 6 3 3 7 5" xfId="15053" xr:uid="{00000000-0005-0000-0000-0000BDAE0000}"/>
    <cellStyle name="Normal 6 3 3 8" xfId="19916" xr:uid="{00000000-0005-0000-0000-0000BEAE0000}"/>
    <cellStyle name="Normal 6 3 3 9" xfId="29641" xr:uid="{00000000-0005-0000-0000-0000BFAE0000}"/>
    <cellStyle name="Normal 6 3 4" xfId="222" xr:uid="{00000000-0005-0000-0000-0000C0AE0000}"/>
    <cellStyle name="Normal 6 3 4 10" xfId="39186" xr:uid="{00000000-0005-0000-0000-0000C1AE0000}"/>
    <cellStyle name="Normal 6 3 4 11" xfId="10011" xr:uid="{00000000-0005-0000-0000-0000C2AE0000}"/>
    <cellStyle name="Normal 6 3 4 2" xfId="986" xr:uid="{00000000-0005-0000-0000-0000C3AE0000}"/>
    <cellStyle name="Normal 6 3 4 2 2" xfId="2625" xr:uid="{00000000-0005-0000-0000-0000C4AE0000}"/>
    <cellStyle name="Normal 6 3 4 2 2 2" xfId="7487" xr:uid="{00000000-0005-0000-0000-0000C5AE0000}"/>
    <cellStyle name="Normal 6 3 4 2 2 2 2" xfId="26938" xr:uid="{00000000-0005-0000-0000-0000C6AE0000}"/>
    <cellStyle name="Normal 6 3 4 2 2 2 3" xfId="36663" xr:uid="{00000000-0005-0000-0000-0000C7AE0000}"/>
    <cellStyle name="Normal 6 3 4 2 2 2 4" xfId="46388" xr:uid="{00000000-0005-0000-0000-0000C8AE0000}"/>
    <cellStyle name="Normal 6 3 4 2 2 2 5" xfId="17213" xr:uid="{00000000-0005-0000-0000-0000C9AE0000}"/>
    <cellStyle name="Normal 6 3 4 2 2 3" xfId="22076" xr:uid="{00000000-0005-0000-0000-0000CAAE0000}"/>
    <cellStyle name="Normal 6 3 4 2 2 4" xfId="31801" xr:uid="{00000000-0005-0000-0000-0000CBAE0000}"/>
    <cellStyle name="Normal 6 3 4 2 2 5" xfId="41526" xr:uid="{00000000-0005-0000-0000-0000CCAE0000}"/>
    <cellStyle name="Normal 6 3 4 2 2 6" xfId="12351" xr:uid="{00000000-0005-0000-0000-0000CDAE0000}"/>
    <cellStyle name="Normal 6 3 4 2 3" xfId="4245" xr:uid="{00000000-0005-0000-0000-0000CEAE0000}"/>
    <cellStyle name="Normal 6 3 4 2 3 2" xfId="9107" xr:uid="{00000000-0005-0000-0000-0000CFAE0000}"/>
    <cellStyle name="Normal 6 3 4 2 3 2 2" xfId="28558" xr:uid="{00000000-0005-0000-0000-0000D0AE0000}"/>
    <cellStyle name="Normal 6 3 4 2 3 2 3" xfId="38283" xr:uid="{00000000-0005-0000-0000-0000D1AE0000}"/>
    <cellStyle name="Normal 6 3 4 2 3 2 4" xfId="48008" xr:uid="{00000000-0005-0000-0000-0000D2AE0000}"/>
    <cellStyle name="Normal 6 3 4 2 3 2 5" xfId="18833" xr:uid="{00000000-0005-0000-0000-0000D3AE0000}"/>
    <cellStyle name="Normal 6 3 4 2 3 3" xfId="23696" xr:uid="{00000000-0005-0000-0000-0000D4AE0000}"/>
    <cellStyle name="Normal 6 3 4 2 3 4" xfId="33421" xr:uid="{00000000-0005-0000-0000-0000D5AE0000}"/>
    <cellStyle name="Normal 6 3 4 2 3 5" xfId="43146" xr:uid="{00000000-0005-0000-0000-0000D6AE0000}"/>
    <cellStyle name="Normal 6 3 4 2 3 6" xfId="13971" xr:uid="{00000000-0005-0000-0000-0000D7AE0000}"/>
    <cellStyle name="Normal 6 3 4 2 4" xfId="5867" xr:uid="{00000000-0005-0000-0000-0000D8AE0000}"/>
    <cellStyle name="Normal 6 3 4 2 4 2" xfId="25318" xr:uid="{00000000-0005-0000-0000-0000D9AE0000}"/>
    <cellStyle name="Normal 6 3 4 2 4 3" xfId="35043" xr:uid="{00000000-0005-0000-0000-0000DAAE0000}"/>
    <cellStyle name="Normal 6 3 4 2 4 4" xfId="44768" xr:uid="{00000000-0005-0000-0000-0000DBAE0000}"/>
    <cellStyle name="Normal 6 3 4 2 4 5" xfId="15593" xr:uid="{00000000-0005-0000-0000-0000DCAE0000}"/>
    <cellStyle name="Normal 6 3 4 2 5" xfId="20456" xr:uid="{00000000-0005-0000-0000-0000DDAE0000}"/>
    <cellStyle name="Normal 6 3 4 2 6" xfId="30181" xr:uid="{00000000-0005-0000-0000-0000DEAE0000}"/>
    <cellStyle name="Normal 6 3 4 2 7" xfId="39906" xr:uid="{00000000-0005-0000-0000-0000DFAE0000}"/>
    <cellStyle name="Normal 6 3 4 2 8" xfId="10731" xr:uid="{00000000-0005-0000-0000-0000E0AE0000}"/>
    <cellStyle name="Normal 6 3 4 3" xfId="1454" xr:uid="{00000000-0005-0000-0000-0000E1AE0000}"/>
    <cellStyle name="Normal 6 3 4 3 2" xfId="3075" xr:uid="{00000000-0005-0000-0000-0000E2AE0000}"/>
    <cellStyle name="Normal 6 3 4 3 2 2" xfId="7937" xr:uid="{00000000-0005-0000-0000-0000E3AE0000}"/>
    <cellStyle name="Normal 6 3 4 3 2 2 2" xfId="27388" xr:uid="{00000000-0005-0000-0000-0000E4AE0000}"/>
    <cellStyle name="Normal 6 3 4 3 2 2 3" xfId="37113" xr:uid="{00000000-0005-0000-0000-0000E5AE0000}"/>
    <cellStyle name="Normal 6 3 4 3 2 2 4" xfId="46838" xr:uid="{00000000-0005-0000-0000-0000E6AE0000}"/>
    <cellStyle name="Normal 6 3 4 3 2 2 5" xfId="17663" xr:uid="{00000000-0005-0000-0000-0000E7AE0000}"/>
    <cellStyle name="Normal 6 3 4 3 2 3" xfId="22526" xr:uid="{00000000-0005-0000-0000-0000E8AE0000}"/>
    <cellStyle name="Normal 6 3 4 3 2 4" xfId="32251" xr:uid="{00000000-0005-0000-0000-0000E9AE0000}"/>
    <cellStyle name="Normal 6 3 4 3 2 5" xfId="41976" xr:uid="{00000000-0005-0000-0000-0000EAAE0000}"/>
    <cellStyle name="Normal 6 3 4 3 2 6" xfId="12801" xr:uid="{00000000-0005-0000-0000-0000EBAE0000}"/>
    <cellStyle name="Normal 6 3 4 3 3" xfId="4695" xr:uid="{00000000-0005-0000-0000-0000ECAE0000}"/>
    <cellStyle name="Normal 6 3 4 3 3 2" xfId="9557" xr:uid="{00000000-0005-0000-0000-0000EDAE0000}"/>
    <cellStyle name="Normal 6 3 4 3 3 2 2" xfId="29008" xr:uid="{00000000-0005-0000-0000-0000EEAE0000}"/>
    <cellStyle name="Normal 6 3 4 3 3 2 3" xfId="38733" xr:uid="{00000000-0005-0000-0000-0000EFAE0000}"/>
    <cellStyle name="Normal 6 3 4 3 3 2 4" xfId="48458" xr:uid="{00000000-0005-0000-0000-0000F0AE0000}"/>
    <cellStyle name="Normal 6 3 4 3 3 2 5" xfId="19283" xr:uid="{00000000-0005-0000-0000-0000F1AE0000}"/>
    <cellStyle name="Normal 6 3 4 3 3 3" xfId="24146" xr:uid="{00000000-0005-0000-0000-0000F2AE0000}"/>
    <cellStyle name="Normal 6 3 4 3 3 4" xfId="33871" xr:uid="{00000000-0005-0000-0000-0000F3AE0000}"/>
    <cellStyle name="Normal 6 3 4 3 3 5" xfId="43596" xr:uid="{00000000-0005-0000-0000-0000F4AE0000}"/>
    <cellStyle name="Normal 6 3 4 3 3 6" xfId="14421" xr:uid="{00000000-0005-0000-0000-0000F5AE0000}"/>
    <cellStyle name="Normal 6 3 4 3 4" xfId="6317" xr:uid="{00000000-0005-0000-0000-0000F6AE0000}"/>
    <cellStyle name="Normal 6 3 4 3 4 2" xfId="25768" xr:uid="{00000000-0005-0000-0000-0000F7AE0000}"/>
    <cellStyle name="Normal 6 3 4 3 4 3" xfId="35493" xr:uid="{00000000-0005-0000-0000-0000F8AE0000}"/>
    <cellStyle name="Normal 6 3 4 3 4 4" xfId="45218" xr:uid="{00000000-0005-0000-0000-0000F9AE0000}"/>
    <cellStyle name="Normal 6 3 4 3 4 5" xfId="16043" xr:uid="{00000000-0005-0000-0000-0000FAAE0000}"/>
    <cellStyle name="Normal 6 3 4 3 5" xfId="20906" xr:uid="{00000000-0005-0000-0000-0000FBAE0000}"/>
    <cellStyle name="Normal 6 3 4 3 6" xfId="30631" xr:uid="{00000000-0005-0000-0000-0000FCAE0000}"/>
    <cellStyle name="Normal 6 3 4 3 7" xfId="40356" xr:uid="{00000000-0005-0000-0000-0000FDAE0000}"/>
    <cellStyle name="Normal 6 3 4 3 8" xfId="11181" xr:uid="{00000000-0005-0000-0000-0000FEAE0000}"/>
    <cellStyle name="Normal 6 3 4 4" xfId="625" xr:uid="{00000000-0005-0000-0000-0000FFAE0000}"/>
    <cellStyle name="Normal 6 3 4 4 2" xfId="2265" xr:uid="{00000000-0005-0000-0000-000000AF0000}"/>
    <cellStyle name="Normal 6 3 4 4 2 2" xfId="7127" xr:uid="{00000000-0005-0000-0000-000001AF0000}"/>
    <cellStyle name="Normal 6 3 4 4 2 2 2" xfId="26578" xr:uid="{00000000-0005-0000-0000-000002AF0000}"/>
    <cellStyle name="Normal 6 3 4 4 2 2 3" xfId="36303" xr:uid="{00000000-0005-0000-0000-000003AF0000}"/>
    <cellStyle name="Normal 6 3 4 4 2 2 4" xfId="46028" xr:uid="{00000000-0005-0000-0000-000004AF0000}"/>
    <cellStyle name="Normal 6 3 4 4 2 2 5" xfId="16853" xr:uid="{00000000-0005-0000-0000-000005AF0000}"/>
    <cellStyle name="Normal 6 3 4 4 2 3" xfId="21716" xr:uid="{00000000-0005-0000-0000-000006AF0000}"/>
    <cellStyle name="Normal 6 3 4 4 2 4" xfId="31441" xr:uid="{00000000-0005-0000-0000-000007AF0000}"/>
    <cellStyle name="Normal 6 3 4 4 2 5" xfId="41166" xr:uid="{00000000-0005-0000-0000-000008AF0000}"/>
    <cellStyle name="Normal 6 3 4 4 2 6" xfId="11991" xr:uid="{00000000-0005-0000-0000-000009AF0000}"/>
    <cellStyle name="Normal 6 3 4 4 3" xfId="3885" xr:uid="{00000000-0005-0000-0000-00000AAF0000}"/>
    <cellStyle name="Normal 6 3 4 4 3 2" xfId="8747" xr:uid="{00000000-0005-0000-0000-00000BAF0000}"/>
    <cellStyle name="Normal 6 3 4 4 3 2 2" xfId="28198" xr:uid="{00000000-0005-0000-0000-00000CAF0000}"/>
    <cellStyle name="Normal 6 3 4 4 3 2 3" xfId="37923" xr:uid="{00000000-0005-0000-0000-00000DAF0000}"/>
    <cellStyle name="Normal 6 3 4 4 3 2 4" xfId="47648" xr:uid="{00000000-0005-0000-0000-00000EAF0000}"/>
    <cellStyle name="Normal 6 3 4 4 3 2 5" xfId="18473" xr:uid="{00000000-0005-0000-0000-00000FAF0000}"/>
    <cellStyle name="Normal 6 3 4 4 3 3" xfId="23336" xr:uid="{00000000-0005-0000-0000-000010AF0000}"/>
    <cellStyle name="Normal 6 3 4 4 3 4" xfId="33061" xr:uid="{00000000-0005-0000-0000-000011AF0000}"/>
    <cellStyle name="Normal 6 3 4 4 3 5" xfId="42786" xr:uid="{00000000-0005-0000-0000-000012AF0000}"/>
    <cellStyle name="Normal 6 3 4 4 3 6" xfId="13611" xr:uid="{00000000-0005-0000-0000-000013AF0000}"/>
    <cellStyle name="Normal 6 3 4 4 4" xfId="5507" xr:uid="{00000000-0005-0000-0000-000014AF0000}"/>
    <cellStyle name="Normal 6 3 4 4 4 2" xfId="24958" xr:uid="{00000000-0005-0000-0000-000015AF0000}"/>
    <cellStyle name="Normal 6 3 4 4 4 3" xfId="34683" xr:uid="{00000000-0005-0000-0000-000016AF0000}"/>
    <cellStyle name="Normal 6 3 4 4 4 4" xfId="44408" xr:uid="{00000000-0005-0000-0000-000017AF0000}"/>
    <cellStyle name="Normal 6 3 4 4 4 5" xfId="15233" xr:uid="{00000000-0005-0000-0000-000018AF0000}"/>
    <cellStyle name="Normal 6 3 4 4 5" xfId="20096" xr:uid="{00000000-0005-0000-0000-000019AF0000}"/>
    <cellStyle name="Normal 6 3 4 4 6" xfId="29821" xr:uid="{00000000-0005-0000-0000-00001AAF0000}"/>
    <cellStyle name="Normal 6 3 4 4 7" xfId="39546" xr:uid="{00000000-0005-0000-0000-00001BAF0000}"/>
    <cellStyle name="Normal 6 3 4 4 8" xfId="10371" xr:uid="{00000000-0005-0000-0000-00001CAF0000}"/>
    <cellStyle name="Normal 6 3 4 5" xfId="1905" xr:uid="{00000000-0005-0000-0000-00001DAF0000}"/>
    <cellStyle name="Normal 6 3 4 5 2" xfId="6767" xr:uid="{00000000-0005-0000-0000-00001EAF0000}"/>
    <cellStyle name="Normal 6 3 4 5 2 2" xfId="26218" xr:uid="{00000000-0005-0000-0000-00001FAF0000}"/>
    <cellStyle name="Normal 6 3 4 5 2 3" xfId="35943" xr:uid="{00000000-0005-0000-0000-000020AF0000}"/>
    <cellStyle name="Normal 6 3 4 5 2 4" xfId="45668" xr:uid="{00000000-0005-0000-0000-000021AF0000}"/>
    <cellStyle name="Normal 6 3 4 5 2 5" xfId="16493" xr:uid="{00000000-0005-0000-0000-000022AF0000}"/>
    <cellStyle name="Normal 6 3 4 5 3" xfId="21356" xr:uid="{00000000-0005-0000-0000-000023AF0000}"/>
    <cellStyle name="Normal 6 3 4 5 4" xfId="31081" xr:uid="{00000000-0005-0000-0000-000024AF0000}"/>
    <cellStyle name="Normal 6 3 4 5 5" xfId="40806" xr:uid="{00000000-0005-0000-0000-000025AF0000}"/>
    <cellStyle name="Normal 6 3 4 5 6" xfId="11631" xr:uid="{00000000-0005-0000-0000-000026AF0000}"/>
    <cellStyle name="Normal 6 3 4 6" xfId="3525" xr:uid="{00000000-0005-0000-0000-000027AF0000}"/>
    <cellStyle name="Normal 6 3 4 6 2" xfId="8387" xr:uid="{00000000-0005-0000-0000-000028AF0000}"/>
    <cellStyle name="Normal 6 3 4 6 2 2" xfId="27838" xr:uid="{00000000-0005-0000-0000-000029AF0000}"/>
    <cellStyle name="Normal 6 3 4 6 2 3" xfId="37563" xr:uid="{00000000-0005-0000-0000-00002AAF0000}"/>
    <cellStyle name="Normal 6 3 4 6 2 4" xfId="47288" xr:uid="{00000000-0005-0000-0000-00002BAF0000}"/>
    <cellStyle name="Normal 6 3 4 6 2 5" xfId="18113" xr:uid="{00000000-0005-0000-0000-00002CAF0000}"/>
    <cellStyle name="Normal 6 3 4 6 3" xfId="22976" xr:uid="{00000000-0005-0000-0000-00002DAF0000}"/>
    <cellStyle name="Normal 6 3 4 6 4" xfId="32701" xr:uid="{00000000-0005-0000-0000-00002EAF0000}"/>
    <cellStyle name="Normal 6 3 4 6 5" xfId="42426" xr:uid="{00000000-0005-0000-0000-00002FAF0000}"/>
    <cellStyle name="Normal 6 3 4 6 6" xfId="13251" xr:uid="{00000000-0005-0000-0000-000030AF0000}"/>
    <cellStyle name="Normal 6 3 4 7" xfId="5147" xr:uid="{00000000-0005-0000-0000-000031AF0000}"/>
    <cellStyle name="Normal 6 3 4 7 2" xfId="24598" xr:uid="{00000000-0005-0000-0000-000032AF0000}"/>
    <cellStyle name="Normal 6 3 4 7 3" xfId="34323" xr:uid="{00000000-0005-0000-0000-000033AF0000}"/>
    <cellStyle name="Normal 6 3 4 7 4" xfId="44048" xr:uid="{00000000-0005-0000-0000-000034AF0000}"/>
    <cellStyle name="Normal 6 3 4 7 5" xfId="14873" xr:uid="{00000000-0005-0000-0000-000035AF0000}"/>
    <cellStyle name="Normal 6 3 4 8" xfId="19736" xr:uid="{00000000-0005-0000-0000-000036AF0000}"/>
    <cellStyle name="Normal 6 3 4 9" xfId="29461" xr:uid="{00000000-0005-0000-0000-000037AF0000}"/>
    <cellStyle name="Normal 6 3 5" xfId="896" xr:uid="{00000000-0005-0000-0000-000038AF0000}"/>
    <cellStyle name="Normal 6 3 5 2" xfId="2535" xr:uid="{00000000-0005-0000-0000-000039AF0000}"/>
    <cellStyle name="Normal 6 3 5 2 2" xfId="7397" xr:uid="{00000000-0005-0000-0000-00003AAF0000}"/>
    <cellStyle name="Normal 6 3 5 2 2 2" xfId="26848" xr:uid="{00000000-0005-0000-0000-00003BAF0000}"/>
    <cellStyle name="Normal 6 3 5 2 2 3" xfId="36573" xr:uid="{00000000-0005-0000-0000-00003CAF0000}"/>
    <cellStyle name="Normal 6 3 5 2 2 4" xfId="46298" xr:uid="{00000000-0005-0000-0000-00003DAF0000}"/>
    <cellStyle name="Normal 6 3 5 2 2 5" xfId="17123" xr:uid="{00000000-0005-0000-0000-00003EAF0000}"/>
    <cellStyle name="Normal 6 3 5 2 3" xfId="21986" xr:uid="{00000000-0005-0000-0000-00003FAF0000}"/>
    <cellStyle name="Normal 6 3 5 2 4" xfId="31711" xr:uid="{00000000-0005-0000-0000-000040AF0000}"/>
    <cellStyle name="Normal 6 3 5 2 5" xfId="41436" xr:uid="{00000000-0005-0000-0000-000041AF0000}"/>
    <cellStyle name="Normal 6 3 5 2 6" xfId="12261" xr:uid="{00000000-0005-0000-0000-000042AF0000}"/>
    <cellStyle name="Normal 6 3 5 3" xfId="4155" xr:uid="{00000000-0005-0000-0000-000043AF0000}"/>
    <cellStyle name="Normal 6 3 5 3 2" xfId="9017" xr:uid="{00000000-0005-0000-0000-000044AF0000}"/>
    <cellStyle name="Normal 6 3 5 3 2 2" xfId="28468" xr:uid="{00000000-0005-0000-0000-000045AF0000}"/>
    <cellStyle name="Normal 6 3 5 3 2 3" xfId="38193" xr:uid="{00000000-0005-0000-0000-000046AF0000}"/>
    <cellStyle name="Normal 6 3 5 3 2 4" xfId="47918" xr:uid="{00000000-0005-0000-0000-000047AF0000}"/>
    <cellStyle name="Normal 6 3 5 3 2 5" xfId="18743" xr:uid="{00000000-0005-0000-0000-000048AF0000}"/>
    <cellStyle name="Normal 6 3 5 3 3" xfId="23606" xr:uid="{00000000-0005-0000-0000-000049AF0000}"/>
    <cellStyle name="Normal 6 3 5 3 4" xfId="33331" xr:uid="{00000000-0005-0000-0000-00004AAF0000}"/>
    <cellStyle name="Normal 6 3 5 3 5" xfId="43056" xr:uid="{00000000-0005-0000-0000-00004BAF0000}"/>
    <cellStyle name="Normal 6 3 5 3 6" xfId="13881" xr:uid="{00000000-0005-0000-0000-00004CAF0000}"/>
    <cellStyle name="Normal 6 3 5 4" xfId="5777" xr:uid="{00000000-0005-0000-0000-00004DAF0000}"/>
    <cellStyle name="Normal 6 3 5 4 2" xfId="25228" xr:uid="{00000000-0005-0000-0000-00004EAF0000}"/>
    <cellStyle name="Normal 6 3 5 4 3" xfId="34953" xr:uid="{00000000-0005-0000-0000-00004FAF0000}"/>
    <cellStyle name="Normal 6 3 5 4 4" xfId="44678" xr:uid="{00000000-0005-0000-0000-000050AF0000}"/>
    <cellStyle name="Normal 6 3 5 4 5" xfId="15503" xr:uid="{00000000-0005-0000-0000-000051AF0000}"/>
    <cellStyle name="Normal 6 3 5 5" xfId="20366" xr:uid="{00000000-0005-0000-0000-000052AF0000}"/>
    <cellStyle name="Normal 6 3 5 6" xfId="30091" xr:uid="{00000000-0005-0000-0000-000053AF0000}"/>
    <cellStyle name="Normal 6 3 5 7" xfId="39816" xr:uid="{00000000-0005-0000-0000-000054AF0000}"/>
    <cellStyle name="Normal 6 3 5 8" xfId="10641" xr:uid="{00000000-0005-0000-0000-000055AF0000}"/>
    <cellStyle name="Normal 6 3 6" xfId="1274" xr:uid="{00000000-0005-0000-0000-000056AF0000}"/>
    <cellStyle name="Normal 6 3 6 2" xfId="2895" xr:uid="{00000000-0005-0000-0000-000057AF0000}"/>
    <cellStyle name="Normal 6 3 6 2 2" xfId="7757" xr:uid="{00000000-0005-0000-0000-000058AF0000}"/>
    <cellStyle name="Normal 6 3 6 2 2 2" xfId="27208" xr:uid="{00000000-0005-0000-0000-000059AF0000}"/>
    <cellStyle name="Normal 6 3 6 2 2 3" xfId="36933" xr:uid="{00000000-0005-0000-0000-00005AAF0000}"/>
    <cellStyle name="Normal 6 3 6 2 2 4" xfId="46658" xr:uid="{00000000-0005-0000-0000-00005BAF0000}"/>
    <cellStyle name="Normal 6 3 6 2 2 5" xfId="17483" xr:uid="{00000000-0005-0000-0000-00005CAF0000}"/>
    <cellStyle name="Normal 6 3 6 2 3" xfId="22346" xr:uid="{00000000-0005-0000-0000-00005DAF0000}"/>
    <cellStyle name="Normal 6 3 6 2 4" xfId="32071" xr:uid="{00000000-0005-0000-0000-00005EAF0000}"/>
    <cellStyle name="Normal 6 3 6 2 5" xfId="41796" xr:uid="{00000000-0005-0000-0000-00005FAF0000}"/>
    <cellStyle name="Normal 6 3 6 2 6" xfId="12621" xr:uid="{00000000-0005-0000-0000-000060AF0000}"/>
    <cellStyle name="Normal 6 3 6 3" xfId="4515" xr:uid="{00000000-0005-0000-0000-000061AF0000}"/>
    <cellStyle name="Normal 6 3 6 3 2" xfId="9377" xr:uid="{00000000-0005-0000-0000-000062AF0000}"/>
    <cellStyle name="Normal 6 3 6 3 2 2" xfId="28828" xr:uid="{00000000-0005-0000-0000-000063AF0000}"/>
    <cellStyle name="Normal 6 3 6 3 2 3" xfId="38553" xr:uid="{00000000-0005-0000-0000-000064AF0000}"/>
    <cellStyle name="Normal 6 3 6 3 2 4" xfId="48278" xr:uid="{00000000-0005-0000-0000-000065AF0000}"/>
    <cellStyle name="Normal 6 3 6 3 2 5" xfId="19103" xr:uid="{00000000-0005-0000-0000-000066AF0000}"/>
    <cellStyle name="Normal 6 3 6 3 3" xfId="23966" xr:uid="{00000000-0005-0000-0000-000067AF0000}"/>
    <cellStyle name="Normal 6 3 6 3 4" xfId="33691" xr:uid="{00000000-0005-0000-0000-000068AF0000}"/>
    <cellStyle name="Normal 6 3 6 3 5" xfId="43416" xr:uid="{00000000-0005-0000-0000-000069AF0000}"/>
    <cellStyle name="Normal 6 3 6 3 6" xfId="14241" xr:uid="{00000000-0005-0000-0000-00006AAF0000}"/>
    <cellStyle name="Normal 6 3 6 4" xfId="6137" xr:uid="{00000000-0005-0000-0000-00006BAF0000}"/>
    <cellStyle name="Normal 6 3 6 4 2" xfId="25588" xr:uid="{00000000-0005-0000-0000-00006CAF0000}"/>
    <cellStyle name="Normal 6 3 6 4 3" xfId="35313" xr:uid="{00000000-0005-0000-0000-00006DAF0000}"/>
    <cellStyle name="Normal 6 3 6 4 4" xfId="45038" xr:uid="{00000000-0005-0000-0000-00006EAF0000}"/>
    <cellStyle name="Normal 6 3 6 4 5" xfId="15863" xr:uid="{00000000-0005-0000-0000-00006FAF0000}"/>
    <cellStyle name="Normal 6 3 6 5" xfId="20726" xr:uid="{00000000-0005-0000-0000-000070AF0000}"/>
    <cellStyle name="Normal 6 3 6 6" xfId="30451" xr:uid="{00000000-0005-0000-0000-000071AF0000}"/>
    <cellStyle name="Normal 6 3 6 7" xfId="40176" xr:uid="{00000000-0005-0000-0000-000072AF0000}"/>
    <cellStyle name="Normal 6 3 6 8" xfId="11001" xr:uid="{00000000-0005-0000-0000-000073AF0000}"/>
    <cellStyle name="Normal 6 3 7" xfId="1364" xr:uid="{00000000-0005-0000-0000-000074AF0000}"/>
    <cellStyle name="Normal 6 3 7 2" xfId="2985" xr:uid="{00000000-0005-0000-0000-000075AF0000}"/>
    <cellStyle name="Normal 6 3 7 2 2" xfId="7847" xr:uid="{00000000-0005-0000-0000-000076AF0000}"/>
    <cellStyle name="Normal 6 3 7 2 2 2" xfId="27298" xr:uid="{00000000-0005-0000-0000-000077AF0000}"/>
    <cellStyle name="Normal 6 3 7 2 2 3" xfId="37023" xr:uid="{00000000-0005-0000-0000-000078AF0000}"/>
    <cellStyle name="Normal 6 3 7 2 2 4" xfId="46748" xr:uid="{00000000-0005-0000-0000-000079AF0000}"/>
    <cellStyle name="Normal 6 3 7 2 2 5" xfId="17573" xr:uid="{00000000-0005-0000-0000-00007AAF0000}"/>
    <cellStyle name="Normal 6 3 7 2 3" xfId="22436" xr:uid="{00000000-0005-0000-0000-00007BAF0000}"/>
    <cellStyle name="Normal 6 3 7 2 4" xfId="32161" xr:uid="{00000000-0005-0000-0000-00007CAF0000}"/>
    <cellStyle name="Normal 6 3 7 2 5" xfId="41886" xr:uid="{00000000-0005-0000-0000-00007DAF0000}"/>
    <cellStyle name="Normal 6 3 7 2 6" xfId="12711" xr:uid="{00000000-0005-0000-0000-00007EAF0000}"/>
    <cellStyle name="Normal 6 3 7 3" xfId="4605" xr:uid="{00000000-0005-0000-0000-00007FAF0000}"/>
    <cellStyle name="Normal 6 3 7 3 2" xfId="9467" xr:uid="{00000000-0005-0000-0000-000080AF0000}"/>
    <cellStyle name="Normal 6 3 7 3 2 2" xfId="28918" xr:uid="{00000000-0005-0000-0000-000081AF0000}"/>
    <cellStyle name="Normal 6 3 7 3 2 3" xfId="38643" xr:uid="{00000000-0005-0000-0000-000082AF0000}"/>
    <cellStyle name="Normal 6 3 7 3 2 4" xfId="48368" xr:uid="{00000000-0005-0000-0000-000083AF0000}"/>
    <cellStyle name="Normal 6 3 7 3 2 5" xfId="19193" xr:uid="{00000000-0005-0000-0000-000084AF0000}"/>
    <cellStyle name="Normal 6 3 7 3 3" xfId="24056" xr:uid="{00000000-0005-0000-0000-000085AF0000}"/>
    <cellStyle name="Normal 6 3 7 3 4" xfId="33781" xr:uid="{00000000-0005-0000-0000-000086AF0000}"/>
    <cellStyle name="Normal 6 3 7 3 5" xfId="43506" xr:uid="{00000000-0005-0000-0000-000087AF0000}"/>
    <cellStyle name="Normal 6 3 7 3 6" xfId="14331" xr:uid="{00000000-0005-0000-0000-000088AF0000}"/>
    <cellStyle name="Normal 6 3 7 4" xfId="6227" xr:uid="{00000000-0005-0000-0000-000089AF0000}"/>
    <cellStyle name="Normal 6 3 7 4 2" xfId="25678" xr:uid="{00000000-0005-0000-0000-00008AAF0000}"/>
    <cellStyle name="Normal 6 3 7 4 3" xfId="35403" xr:uid="{00000000-0005-0000-0000-00008BAF0000}"/>
    <cellStyle name="Normal 6 3 7 4 4" xfId="45128" xr:uid="{00000000-0005-0000-0000-00008CAF0000}"/>
    <cellStyle name="Normal 6 3 7 4 5" xfId="15953" xr:uid="{00000000-0005-0000-0000-00008DAF0000}"/>
    <cellStyle name="Normal 6 3 7 5" xfId="20816" xr:uid="{00000000-0005-0000-0000-00008EAF0000}"/>
    <cellStyle name="Normal 6 3 7 6" xfId="30541" xr:uid="{00000000-0005-0000-0000-00008FAF0000}"/>
    <cellStyle name="Normal 6 3 7 7" xfId="40266" xr:uid="{00000000-0005-0000-0000-000090AF0000}"/>
    <cellStyle name="Normal 6 3 7 8" xfId="11091" xr:uid="{00000000-0005-0000-0000-000091AF0000}"/>
    <cellStyle name="Normal 6 3 8" xfId="535" xr:uid="{00000000-0005-0000-0000-000092AF0000}"/>
    <cellStyle name="Normal 6 3 8 2" xfId="2175" xr:uid="{00000000-0005-0000-0000-000093AF0000}"/>
    <cellStyle name="Normal 6 3 8 2 2" xfId="7037" xr:uid="{00000000-0005-0000-0000-000094AF0000}"/>
    <cellStyle name="Normal 6 3 8 2 2 2" xfId="26488" xr:uid="{00000000-0005-0000-0000-000095AF0000}"/>
    <cellStyle name="Normal 6 3 8 2 2 3" xfId="36213" xr:uid="{00000000-0005-0000-0000-000096AF0000}"/>
    <cellStyle name="Normal 6 3 8 2 2 4" xfId="45938" xr:uid="{00000000-0005-0000-0000-000097AF0000}"/>
    <cellStyle name="Normal 6 3 8 2 2 5" xfId="16763" xr:uid="{00000000-0005-0000-0000-000098AF0000}"/>
    <cellStyle name="Normal 6 3 8 2 3" xfId="21626" xr:uid="{00000000-0005-0000-0000-000099AF0000}"/>
    <cellStyle name="Normal 6 3 8 2 4" xfId="31351" xr:uid="{00000000-0005-0000-0000-00009AAF0000}"/>
    <cellStyle name="Normal 6 3 8 2 5" xfId="41076" xr:uid="{00000000-0005-0000-0000-00009BAF0000}"/>
    <cellStyle name="Normal 6 3 8 2 6" xfId="11901" xr:uid="{00000000-0005-0000-0000-00009CAF0000}"/>
    <cellStyle name="Normal 6 3 8 3" xfId="3795" xr:uid="{00000000-0005-0000-0000-00009DAF0000}"/>
    <cellStyle name="Normal 6 3 8 3 2" xfId="8657" xr:uid="{00000000-0005-0000-0000-00009EAF0000}"/>
    <cellStyle name="Normal 6 3 8 3 2 2" xfId="28108" xr:uid="{00000000-0005-0000-0000-00009FAF0000}"/>
    <cellStyle name="Normal 6 3 8 3 2 3" xfId="37833" xr:uid="{00000000-0005-0000-0000-0000A0AF0000}"/>
    <cellStyle name="Normal 6 3 8 3 2 4" xfId="47558" xr:uid="{00000000-0005-0000-0000-0000A1AF0000}"/>
    <cellStyle name="Normal 6 3 8 3 2 5" xfId="18383" xr:uid="{00000000-0005-0000-0000-0000A2AF0000}"/>
    <cellStyle name="Normal 6 3 8 3 3" xfId="23246" xr:uid="{00000000-0005-0000-0000-0000A3AF0000}"/>
    <cellStyle name="Normal 6 3 8 3 4" xfId="32971" xr:uid="{00000000-0005-0000-0000-0000A4AF0000}"/>
    <cellStyle name="Normal 6 3 8 3 5" xfId="42696" xr:uid="{00000000-0005-0000-0000-0000A5AF0000}"/>
    <cellStyle name="Normal 6 3 8 3 6" xfId="13521" xr:uid="{00000000-0005-0000-0000-0000A6AF0000}"/>
    <cellStyle name="Normal 6 3 8 4" xfId="5417" xr:uid="{00000000-0005-0000-0000-0000A7AF0000}"/>
    <cellStyle name="Normal 6 3 8 4 2" xfId="24868" xr:uid="{00000000-0005-0000-0000-0000A8AF0000}"/>
    <cellStyle name="Normal 6 3 8 4 3" xfId="34593" xr:uid="{00000000-0005-0000-0000-0000A9AF0000}"/>
    <cellStyle name="Normal 6 3 8 4 4" xfId="44318" xr:uid="{00000000-0005-0000-0000-0000AAAF0000}"/>
    <cellStyle name="Normal 6 3 8 4 5" xfId="15143" xr:uid="{00000000-0005-0000-0000-0000ABAF0000}"/>
    <cellStyle name="Normal 6 3 8 5" xfId="20006" xr:uid="{00000000-0005-0000-0000-0000ACAF0000}"/>
    <cellStyle name="Normal 6 3 8 6" xfId="29731" xr:uid="{00000000-0005-0000-0000-0000ADAF0000}"/>
    <cellStyle name="Normal 6 3 8 7" xfId="39456" xr:uid="{00000000-0005-0000-0000-0000AEAF0000}"/>
    <cellStyle name="Normal 6 3 8 8" xfId="10281" xr:uid="{00000000-0005-0000-0000-0000AFAF0000}"/>
    <cellStyle name="Normal 6 3 9" xfId="1724" xr:uid="{00000000-0005-0000-0000-0000B0AF0000}"/>
    <cellStyle name="Normal 6 3 9 2" xfId="3345" xr:uid="{00000000-0005-0000-0000-0000B1AF0000}"/>
    <cellStyle name="Normal 6 3 9 2 2" xfId="8207" xr:uid="{00000000-0005-0000-0000-0000B2AF0000}"/>
    <cellStyle name="Normal 6 3 9 2 2 2" xfId="27658" xr:uid="{00000000-0005-0000-0000-0000B3AF0000}"/>
    <cellStyle name="Normal 6 3 9 2 2 3" xfId="37383" xr:uid="{00000000-0005-0000-0000-0000B4AF0000}"/>
    <cellStyle name="Normal 6 3 9 2 2 4" xfId="47108" xr:uid="{00000000-0005-0000-0000-0000B5AF0000}"/>
    <cellStyle name="Normal 6 3 9 2 2 5" xfId="17933" xr:uid="{00000000-0005-0000-0000-0000B6AF0000}"/>
    <cellStyle name="Normal 6 3 9 2 3" xfId="22796" xr:uid="{00000000-0005-0000-0000-0000B7AF0000}"/>
    <cellStyle name="Normal 6 3 9 2 4" xfId="32521" xr:uid="{00000000-0005-0000-0000-0000B8AF0000}"/>
    <cellStyle name="Normal 6 3 9 2 5" xfId="42246" xr:uid="{00000000-0005-0000-0000-0000B9AF0000}"/>
    <cellStyle name="Normal 6 3 9 2 6" xfId="13071" xr:uid="{00000000-0005-0000-0000-0000BAAF0000}"/>
    <cellStyle name="Normal 6 3 9 3" xfId="4965" xr:uid="{00000000-0005-0000-0000-0000BBAF0000}"/>
    <cellStyle name="Normal 6 3 9 3 2" xfId="9827" xr:uid="{00000000-0005-0000-0000-0000BCAF0000}"/>
    <cellStyle name="Normal 6 3 9 3 2 2" xfId="29278" xr:uid="{00000000-0005-0000-0000-0000BDAF0000}"/>
    <cellStyle name="Normal 6 3 9 3 2 3" xfId="39003" xr:uid="{00000000-0005-0000-0000-0000BEAF0000}"/>
    <cellStyle name="Normal 6 3 9 3 2 4" xfId="48728" xr:uid="{00000000-0005-0000-0000-0000BFAF0000}"/>
    <cellStyle name="Normal 6 3 9 3 2 5" xfId="19553" xr:uid="{00000000-0005-0000-0000-0000C0AF0000}"/>
    <cellStyle name="Normal 6 3 9 3 3" xfId="24416" xr:uid="{00000000-0005-0000-0000-0000C1AF0000}"/>
    <cellStyle name="Normal 6 3 9 3 4" xfId="34141" xr:uid="{00000000-0005-0000-0000-0000C2AF0000}"/>
    <cellStyle name="Normal 6 3 9 3 5" xfId="43866" xr:uid="{00000000-0005-0000-0000-0000C3AF0000}"/>
    <cellStyle name="Normal 6 3 9 3 6" xfId="14691" xr:uid="{00000000-0005-0000-0000-0000C4AF0000}"/>
    <cellStyle name="Normal 6 3 9 4" xfId="6587" xr:uid="{00000000-0005-0000-0000-0000C5AF0000}"/>
    <cellStyle name="Normal 6 3 9 4 2" xfId="26038" xr:uid="{00000000-0005-0000-0000-0000C6AF0000}"/>
    <cellStyle name="Normal 6 3 9 4 3" xfId="35763" xr:uid="{00000000-0005-0000-0000-0000C7AF0000}"/>
    <cellStyle name="Normal 6 3 9 4 4" xfId="45488" xr:uid="{00000000-0005-0000-0000-0000C8AF0000}"/>
    <cellStyle name="Normal 6 3 9 4 5" xfId="16313" xr:uid="{00000000-0005-0000-0000-0000C9AF0000}"/>
    <cellStyle name="Normal 6 3 9 5" xfId="21176" xr:uid="{00000000-0005-0000-0000-0000CAAF0000}"/>
    <cellStyle name="Normal 6 3 9 6" xfId="30901" xr:uid="{00000000-0005-0000-0000-0000CBAF0000}"/>
    <cellStyle name="Normal 6 3 9 7" xfId="40626" xr:uid="{00000000-0005-0000-0000-0000CCAF0000}"/>
    <cellStyle name="Normal 6 3 9 8" xfId="11451" xr:uid="{00000000-0005-0000-0000-0000CDAF0000}"/>
    <cellStyle name="Normal 6 4" xfId="253" xr:uid="{00000000-0005-0000-0000-0000CEAF0000}"/>
    <cellStyle name="Normal 6 4 10" xfId="39216" xr:uid="{00000000-0005-0000-0000-0000CFAF0000}"/>
    <cellStyle name="Normal 6 4 11" xfId="10041" xr:uid="{00000000-0005-0000-0000-0000D0AF0000}"/>
    <cellStyle name="Normal 6 4 2" xfId="1017" xr:uid="{00000000-0005-0000-0000-0000D1AF0000}"/>
    <cellStyle name="Normal 6 4 2 2" xfId="2655" xr:uid="{00000000-0005-0000-0000-0000D2AF0000}"/>
    <cellStyle name="Normal 6 4 2 2 2" xfId="7517" xr:uid="{00000000-0005-0000-0000-0000D3AF0000}"/>
    <cellStyle name="Normal 6 4 2 2 2 2" xfId="26968" xr:uid="{00000000-0005-0000-0000-0000D4AF0000}"/>
    <cellStyle name="Normal 6 4 2 2 2 3" xfId="36693" xr:uid="{00000000-0005-0000-0000-0000D5AF0000}"/>
    <cellStyle name="Normal 6 4 2 2 2 4" xfId="46418" xr:uid="{00000000-0005-0000-0000-0000D6AF0000}"/>
    <cellStyle name="Normal 6 4 2 2 2 5" xfId="17243" xr:uid="{00000000-0005-0000-0000-0000D7AF0000}"/>
    <cellStyle name="Normal 6 4 2 2 3" xfId="22106" xr:uid="{00000000-0005-0000-0000-0000D8AF0000}"/>
    <cellStyle name="Normal 6 4 2 2 4" xfId="31831" xr:uid="{00000000-0005-0000-0000-0000D9AF0000}"/>
    <cellStyle name="Normal 6 4 2 2 5" xfId="41556" xr:uid="{00000000-0005-0000-0000-0000DAAF0000}"/>
    <cellStyle name="Normal 6 4 2 2 6" xfId="12381" xr:uid="{00000000-0005-0000-0000-0000DBAF0000}"/>
    <cellStyle name="Normal 6 4 2 3" xfId="4275" xr:uid="{00000000-0005-0000-0000-0000DCAF0000}"/>
    <cellStyle name="Normal 6 4 2 3 2" xfId="9137" xr:uid="{00000000-0005-0000-0000-0000DDAF0000}"/>
    <cellStyle name="Normal 6 4 2 3 2 2" xfId="28588" xr:uid="{00000000-0005-0000-0000-0000DEAF0000}"/>
    <cellStyle name="Normal 6 4 2 3 2 3" xfId="38313" xr:uid="{00000000-0005-0000-0000-0000DFAF0000}"/>
    <cellStyle name="Normal 6 4 2 3 2 4" xfId="48038" xr:uid="{00000000-0005-0000-0000-0000E0AF0000}"/>
    <cellStyle name="Normal 6 4 2 3 2 5" xfId="18863" xr:uid="{00000000-0005-0000-0000-0000E1AF0000}"/>
    <cellStyle name="Normal 6 4 2 3 3" xfId="23726" xr:uid="{00000000-0005-0000-0000-0000E2AF0000}"/>
    <cellStyle name="Normal 6 4 2 3 4" xfId="33451" xr:uid="{00000000-0005-0000-0000-0000E3AF0000}"/>
    <cellStyle name="Normal 6 4 2 3 5" xfId="43176" xr:uid="{00000000-0005-0000-0000-0000E4AF0000}"/>
    <cellStyle name="Normal 6 4 2 3 6" xfId="14001" xr:uid="{00000000-0005-0000-0000-0000E5AF0000}"/>
    <cellStyle name="Normal 6 4 2 4" xfId="5897" xr:uid="{00000000-0005-0000-0000-0000E6AF0000}"/>
    <cellStyle name="Normal 6 4 2 4 2" xfId="25348" xr:uid="{00000000-0005-0000-0000-0000E7AF0000}"/>
    <cellStyle name="Normal 6 4 2 4 3" xfId="35073" xr:uid="{00000000-0005-0000-0000-0000E8AF0000}"/>
    <cellStyle name="Normal 6 4 2 4 4" xfId="44798" xr:uid="{00000000-0005-0000-0000-0000E9AF0000}"/>
    <cellStyle name="Normal 6 4 2 4 5" xfId="15623" xr:uid="{00000000-0005-0000-0000-0000EAAF0000}"/>
    <cellStyle name="Normal 6 4 2 5" xfId="20486" xr:uid="{00000000-0005-0000-0000-0000EBAF0000}"/>
    <cellStyle name="Normal 6 4 2 6" xfId="30211" xr:uid="{00000000-0005-0000-0000-0000ECAF0000}"/>
    <cellStyle name="Normal 6 4 2 7" xfId="39936" xr:uid="{00000000-0005-0000-0000-0000EDAF0000}"/>
    <cellStyle name="Normal 6 4 2 8" xfId="10761" xr:uid="{00000000-0005-0000-0000-0000EEAF0000}"/>
    <cellStyle name="Normal 6 4 3" xfId="1484" xr:uid="{00000000-0005-0000-0000-0000EFAF0000}"/>
    <cellStyle name="Normal 6 4 3 2" xfId="3105" xr:uid="{00000000-0005-0000-0000-0000F0AF0000}"/>
    <cellStyle name="Normal 6 4 3 2 2" xfId="7967" xr:uid="{00000000-0005-0000-0000-0000F1AF0000}"/>
    <cellStyle name="Normal 6 4 3 2 2 2" xfId="27418" xr:uid="{00000000-0005-0000-0000-0000F2AF0000}"/>
    <cellStyle name="Normal 6 4 3 2 2 3" xfId="37143" xr:uid="{00000000-0005-0000-0000-0000F3AF0000}"/>
    <cellStyle name="Normal 6 4 3 2 2 4" xfId="46868" xr:uid="{00000000-0005-0000-0000-0000F4AF0000}"/>
    <cellStyle name="Normal 6 4 3 2 2 5" xfId="17693" xr:uid="{00000000-0005-0000-0000-0000F5AF0000}"/>
    <cellStyle name="Normal 6 4 3 2 3" xfId="22556" xr:uid="{00000000-0005-0000-0000-0000F6AF0000}"/>
    <cellStyle name="Normal 6 4 3 2 4" xfId="32281" xr:uid="{00000000-0005-0000-0000-0000F7AF0000}"/>
    <cellStyle name="Normal 6 4 3 2 5" xfId="42006" xr:uid="{00000000-0005-0000-0000-0000F8AF0000}"/>
    <cellStyle name="Normal 6 4 3 2 6" xfId="12831" xr:uid="{00000000-0005-0000-0000-0000F9AF0000}"/>
    <cellStyle name="Normal 6 4 3 3" xfId="4725" xr:uid="{00000000-0005-0000-0000-0000FAAF0000}"/>
    <cellStyle name="Normal 6 4 3 3 2" xfId="9587" xr:uid="{00000000-0005-0000-0000-0000FBAF0000}"/>
    <cellStyle name="Normal 6 4 3 3 2 2" xfId="29038" xr:uid="{00000000-0005-0000-0000-0000FCAF0000}"/>
    <cellStyle name="Normal 6 4 3 3 2 3" xfId="38763" xr:uid="{00000000-0005-0000-0000-0000FDAF0000}"/>
    <cellStyle name="Normal 6 4 3 3 2 4" xfId="48488" xr:uid="{00000000-0005-0000-0000-0000FEAF0000}"/>
    <cellStyle name="Normal 6 4 3 3 2 5" xfId="19313" xr:uid="{00000000-0005-0000-0000-0000FFAF0000}"/>
    <cellStyle name="Normal 6 4 3 3 3" xfId="24176" xr:uid="{00000000-0005-0000-0000-000000B00000}"/>
    <cellStyle name="Normal 6 4 3 3 4" xfId="33901" xr:uid="{00000000-0005-0000-0000-000001B00000}"/>
    <cellStyle name="Normal 6 4 3 3 5" xfId="43626" xr:uid="{00000000-0005-0000-0000-000002B00000}"/>
    <cellStyle name="Normal 6 4 3 3 6" xfId="14451" xr:uid="{00000000-0005-0000-0000-000003B00000}"/>
    <cellStyle name="Normal 6 4 3 4" xfId="6347" xr:uid="{00000000-0005-0000-0000-000004B00000}"/>
    <cellStyle name="Normal 6 4 3 4 2" xfId="25798" xr:uid="{00000000-0005-0000-0000-000005B00000}"/>
    <cellStyle name="Normal 6 4 3 4 3" xfId="35523" xr:uid="{00000000-0005-0000-0000-000006B00000}"/>
    <cellStyle name="Normal 6 4 3 4 4" xfId="45248" xr:uid="{00000000-0005-0000-0000-000007B00000}"/>
    <cellStyle name="Normal 6 4 3 4 5" xfId="16073" xr:uid="{00000000-0005-0000-0000-000008B00000}"/>
    <cellStyle name="Normal 6 4 3 5" xfId="20936" xr:uid="{00000000-0005-0000-0000-000009B00000}"/>
    <cellStyle name="Normal 6 4 3 6" xfId="30661" xr:uid="{00000000-0005-0000-0000-00000AB00000}"/>
    <cellStyle name="Normal 6 4 3 7" xfId="40386" xr:uid="{00000000-0005-0000-0000-00000BB00000}"/>
    <cellStyle name="Normal 6 4 3 8" xfId="11211" xr:uid="{00000000-0005-0000-0000-00000CB00000}"/>
    <cellStyle name="Normal 6 4 4" xfId="655" xr:uid="{00000000-0005-0000-0000-00000DB00000}"/>
    <cellStyle name="Normal 6 4 4 2" xfId="2295" xr:uid="{00000000-0005-0000-0000-00000EB00000}"/>
    <cellStyle name="Normal 6 4 4 2 2" xfId="7157" xr:uid="{00000000-0005-0000-0000-00000FB00000}"/>
    <cellStyle name="Normal 6 4 4 2 2 2" xfId="26608" xr:uid="{00000000-0005-0000-0000-000010B00000}"/>
    <cellStyle name="Normal 6 4 4 2 2 3" xfId="36333" xr:uid="{00000000-0005-0000-0000-000011B00000}"/>
    <cellStyle name="Normal 6 4 4 2 2 4" xfId="46058" xr:uid="{00000000-0005-0000-0000-000012B00000}"/>
    <cellStyle name="Normal 6 4 4 2 2 5" xfId="16883" xr:uid="{00000000-0005-0000-0000-000013B00000}"/>
    <cellStyle name="Normal 6 4 4 2 3" xfId="21746" xr:uid="{00000000-0005-0000-0000-000014B00000}"/>
    <cellStyle name="Normal 6 4 4 2 4" xfId="31471" xr:uid="{00000000-0005-0000-0000-000015B00000}"/>
    <cellStyle name="Normal 6 4 4 2 5" xfId="41196" xr:uid="{00000000-0005-0000-0000-000016B00000}"/>
    <cellStyle name="Normal 6 4 4 2 6" xfId="12021" xr:uid="{00000000-0005-0000-0000-000017B00000}"/>
    <cellStyle name="Normal 6 4 4 3" xfId="3915" xr:uid="{00000000-0005-0000-0000-000018B00000}"/>
    <cellStyle name="Normal 6 4 4 3 2" xfId="8777" xr:uid="{00000000-0005-0000-0000-000019B00000}"/>
    <cellStyle name="Normal 6 4 4 3 2 2" xfId="28228" xr:uid="{00000000-0005-0000-0000-00001AB00000}"/>
    <cellStyle name="Normal 6 4 4 3 2 3" xfId="37953" xr:uid="{00000000-0005-0000-0000-00001BB00000}"/>
    <cellStyle name="Normal 6 4 4 3 2 4" xfId="47678" xr:uid="{00000000-0005-0000-0000-00001CB00000}"/>
    <cellStyle name="Normal 6 4 4 3 2 5" xfId="18503" xr:uid="{00000000-0005-0000-0000-00001DB00000}"/>
    <cellStyle name="Normal 6 4 4 3 3" xfId="23366" xr:uid="{00000000-0005-0000-0000-00001EB00000}"/>
    <cellStyle name="Normal 6 4 4 3 4" xfId="33091" xr:uid="{00000000-0005-0000-0000-00001FB00000}"/>
    <cellStyle name="Normal 6 4 4 3 5" xfId="42816" xr:uid="{00000000-0005-0000-0000-000020B00000}"/>
    <cellStyle name="Normal 6 4 4 3 6" xfId="13641" xr:uid="{00000000-0005-0000-0000-000021B00000}"/>
    <cellStyle name="Normal 6 4 4 4" xfId="5537" xr:uid="{00000000-0005-0000-0000-000022B00000}"/>
    <cellStyle name="Normal 6 4 4 4 2" xfId="24988" xr:uid="{00000000-0005-0000-0000-000023B00000}"/>
    <cellStyle name="Normal 6 4 4 4 3" xfId="34713" xr:uid="{00000000-0005-0000-0000-000024B00000}"/>
    <cellStyle name="Normal 6 4 4 4 4" xfId="44438" xr:uid="{00000000-0005-0000-0000-000025B00000}"/>
    <cellStyle name="Normal 6 4 4 4 5" xfId="15263" xr:uid="{00000000-0005-0000-0000-000026B00000}"/>
    <cellStyle name="Normal 6 4 4 5" xfId="20126" xr:uid="{00000000-0005-0000-0000-000027B00000}"/>
    <cellStyle name="Normal 6 4 4 6" xfId="29851" xr:uid="{00000000-0005-0000-0000-000028B00000}"/>
    <cellStyle name="Normal 6 4 4 7" xfId="39576" xr:uid="{00000000-0005-0000-0000-000029B00000}"/>
    <cellStyle name="Normal 6 4 4 8" xfId="10401" xr:uid="{00000000-0005-0000-0000-00002AB00000}"/>
    <cellStyle name="Normal 6 4 5" xfId="1935" xr:uid="{00000000-0005-0000-0000-00002BB00000}"/>
    <cellStyle name="Normal 6 4 5 2" xfId="6797" xr:uid="{00000000-0005-0000-0000-00002CB00000}"/>
    <cellStyle name="Normal 6 4 5 2 2" xfId="26248" xr:uid="{00000000-0005-0000-0000-00002DB00000}"/>
    <cellStyle name="Normal 6 4 5 2 3" xfId="35973" xr:uid="{00000000-0005-0000-0000-00002EB00000}"/>
    <cellStyle name="Normal 6 4 5 2 4" xfId="45698" xr:uid="{00000000-0005-0000-0000-00002FB00000}"/>
    <cellStyle name="Normal 6 4 5 2 5" xfId="16523" xr:uid="{00000000-0005-0000-0000-000030B00000}"/>
    <cellStyle name="Normal 6 4 5 3" xfId="21386" xr:uid="{00000000-0005-0000-0000-000031B00000}"/>
    <cellStyle name="Normal 6 4 5 4" xfId="31111" xr:uid="{00000000-0005-0000-0000-000032B00000}"/>
    <cellStyle name="Normal 6 4 5 5" xfId="40836" xr:uid="{00000000-0005-0000-0000-000033B00000}"/>
    <cellStyle name="Normal 6 4 5 6" xfId="11661" xr:uid="{00000000-0005-0000-0000-000034B00000}"/>
    <cellStyle name="Normal 6 4 6" xfId="3555" xr:uid="{00000000-0005-0000-0000-000035B00000}"/>
    <cellStyle name="Normal 6 4 6 2" xfId="8417" xr:uid="{00000000-0005-0000-0000-000036B00000}"/>
    <cellStyle name="Normal 6 4 6 2 2" xfId="27868" xr:uid="{00000000-0005-0000-0000-000037B00000}"/>
    <cellStyle name="Normal 6 4 6 2 3" xfId="37593" xr:uid="{00000000-0005-0000-0000-000038B00000}"/>
    <cellStyle name="Normal 6 4 6 2 4" xfId="47318" xr:uid="{00000000-0005-0000-0000-000039B00000}"/>
    <cellStyle name="Normal 6 4 6 2 5" xfId="18143" xr:uid="{00000000-0005-0000-0000-00003AB00000}"/>
    <cellStyle name="Normal 6 4 6 3" xfId="23006" xr:uid="{00000000-0005-0000-0000-00003BB00000}"/>
    <cellStyle name="Normal 6 4 6 4" xfId="32731" xr:uid="{00000000-0005-0000-0000-00003CB00000}"/>
    <cellStyle name="Normal 6 4 6 5" xfId="42456" xr:uid="{00000000-0005-0000-0000-00003DB00000}"/>
    <cellStyle name="Normal 6 4 6 6" xfId="13281" xr:uid="{00000000-0005-0000-0000-00003EB00000}"/>
    <cellStyle name="Normal 6 4 7" xfId="5177" xr:uid="{00000000-0005-0000-0000-00003FB00000}"/>
    <cellStyle name="Normal 6 4 7 2" xfId="24628" xr:uid="{00000000-0005-0000-0000-000040B00000}"/>
    <cellStyle name="Normal 6 4 7 3" xfId="34353" xr:uid="{00000000-0005-0000-0000-000041B00000}"/>
    <cellStyle name="Normal 6 4 7 4" xfId="44078" xr:uid="{00000000-0005-0000-0000-000042B00000}"/>
    <cellStyle name="Normal 6 4 7 5" xfId="14903" xr:uid="{00000000-0005-0000-0000-000043B00000}"/>
    <cellStyle name="Normal 6 4 8" xfId="19766" xr:uid="{00000000-0005-0000-0000-000044B00000}"/>
    <cellStyle name="Normal 6 4 9" xfId="29491" xr:uid="{00000000-0005-0000-0000-000045B00000}"/>
    <cellStyle name="Normal 6 5" xfId="344" xr:uid="{00000000-0005-0000-0000-000046B00000}"/>
    <cellStyle name="Normal 6 5 10" xfId="39306" xr:uid="{00000000-0005-0000-0000-000047B00000}"/>
    <cellStyle name="Normal 6 5 11" xfId="10131" xr:uid="{00000000-0005-0000-0000-000048B00000}"/>
    <cellStyle name="Normal 6 5 2" xfId="1107" xr:uid="{00000000-0005-0000-0000-000049B00000}"/>
    <cellStyle name="Normal 6 5 2 2" xfId="2745" xr:uid="{00000000-0005-0000-0000-00004AB00000}"/>
    <cellStyle name="Normal 6 5 2 2 2" xfId="7607" xr:uid="{00000000-0005-0000-0000-00004BB00000}"/>
    <cellStyle name="Normal 6 5 2 2 2 2" xfId="27058" xr:uid="{00000000-0005-0000-0000-00004CB00000}"/>
    <cellStyle name="Normal 6 5 2 2 2 3" xfId="36783" xr:uid="{00000000-0005-0000-0000-00004DB00000}"/>
    <cellStyle name="Normal 6 5 2 2 2 4" xfId="46508" xr:uid="{00000000-0005-0000-0000-00004EB00000}"/>
    <cellStyle name="Normal 6 5 2 2 2 5" xfId="17333" xr:uid="{00000000-0005-0000-0000-00004FB00000}"/>
    <cellStyle name="Normal 6 5 2 2 3" xfId="22196" xr:uid="{00000000-0005-0000-0000-000050B00000}"/>
    <cellStyle name="Normal 6 5 2 2 4" xfId="31921" xr:uid="{00000000-0005-0000-0000-000051B00000}"/>
    <cellStyle name="Normal 6 5 2 2 5" xfId="41646" xr:uid="{00000000-0005-0000-0000-000052B00000}"/>
    <cellStyle name="Normal 6 5 2 2 6" xfId="12471" xr:uid="{00000000-0005-0000-0000-000053B00000}"/>
    <cellStyle name="Normal 6 5 2 3" xfId="4365" xr:uid="{00000000-0005-0000-0000-000054B00000}"/>
    <cellStyle name="Normal 6 5 2 3 2" xfId="9227" xr:uid="{00000000-0005-0000-0000-000055B00000}"/>
    <cellStyle name="Normal 6 5 2 3 2 2" xfId="28678" xr:uid="{00000000-0005-0000-0000-000056B00000}"/>
    <cellStyle name="Normal 6 5 2 3 2 3" xfId="38403" xr:uid="{00000000-0005-0000-0000-000057B00000}"/>
    <cellStyle name="Normal 6 5 2 3 2 4" xfId="48128" xr:uid="{00000000-0005-0000-0000-000058B00000}"/>
    <cellStyle name="Normal 6 5 2 3 2 5" xfId="18953" xr:uid="{00000000-0005-0000-0000-000059B00000}"/>
    <cellStyle name="Normal 6 5 2 3 3" xfId="23816" xr:uid="{00000000-0005-0000-0000-00005AB00000}"/>
    <cellStyle name="Normal 6 5 2 3 4" xfId="33541" xr:uid="{00000000-0005-0000-0000-00005BB00000}"/>
    <cellStyle name="Normal 6 5 2 3 5" xfId="43266" xr:uid="{00000000-0005-0000-0000-00005CB00000}"/>
    <cellStyle name="Normal 6 5 2 3 6" xfId="14091" xr:uid="{00000000-0005-0000-0000-00005DB00000}"/>
    <cellStyle name="Normal 6 5 2 4" xfId="5987" xr:uid="{00000000-0005-0000-0000-00005EB00000}"/>
    <cellStyle name="Normal 6 5 2 4 2" xfId="25438" xr:uid="{00000000-0005-0000-0000-00005FB00000}"/>
    <cellStyle name="Normal 6 5 2 4 3" xfId="35163" xr:uid="{00000000-0005-0000-0000-000060B00000}"/>
    <cellStyle name="Normal 6 5 2 4 4" xfId="44888" xr:uid="{00000000-0005-0000-0000-000061B00000}"/>
    <cellStyle name="Normal 6 5 2 4 5" xfId="15713" xr:uid="{00000000-0005-0000-0000-000062B00000}"/>
    <cellStyle name="Normal 6 5 2 5" xfId="20576" xr:uid="{00000000-0005-0000-0000-000063B00000}"/>
    <cellStyle name="Normal 6 5 2 6" xfId="30301" xr:uid="{00000000-0005-0000-0000-000064B00000}"/>
    <cellStyle name="Normal 6 5 2 7" xfId="40026" xr:uid="{00000000-0005-0000-0000-000065B00000}"/>
    <cellStyle name="Normal 6 5 2 8" xfId="10851" xr:uid="{00000000-0005-0000-0000-000066B00000}"/>
    <cellStyle name="Normal 6 5 3" xfId="1574" xr:uid="{00000000-0005-0000-0000-000067B00000}"/>
    <cellStyle name="Normal 6 5 3 2" xfId="3195" xr:uid="{00000000-0005-0000-0000-000068B00000}"/>
    <cellStyle name="Normal 6 5 3 2 2" xfId="8057" xr:uid="{00000000-0005-0000-0000-000069B00000}"/>
    <cellStyle name="Normal 6 5 3 2 2 2" xfId="27508" xr:uid="{00000000-0005-0000-0000-00006AB00000}"/>
    <cellStyle name="Normal 6 5 3 2 2 3" xfId="37233" xr:uid="{00000000-0005-0000-0000-00006BB00000}"/>
    <cellStyle name="Normal 6 5 3 2 2 4" xfId="46958" xr:uid="{00000000-0005-0000-0000-00006CB00000}"/>
    <cellStyle name="Normal 6 5 3 2 2 5" xfId="17783" xr:uid="{00000000-0005-0000-0000-00006DB00000}"/>
    <cellStyle name="Normal 6 5 3 2 3" xfId="22646" xr:uid="{00000000-0005-0000-0000-00006EB00000}"/>
    <cellStyle name="Normal 6 5 3 2 4" xfId="32371" xr:uid="{00000000-0005-0000-0000-00006FB00000}"/>
    <cellStyle name="Normal 6 5 3 2 5" xfId="42096" xr:uid="{00000000-0005-0000-0000-000070B00000}"/>
    <cellStyle name="Normal 6 5 3 2 6" xfId="12921" xr:uid="{00000000-0005-0000-0000-000071B00000}"/>
    <cellStyle name="Normal 6 5 3 3" xfId="4815" xr:uid="{00000000-0005-0000-0000-000072B00000}"/>
    <cellStyle name="Normal 6 5 3 3 2" xfId="9677" xr:uid="{00000000-0005-0000-0000-000073B00000}"/>
    <cellStyle name="Normal 6 5 3 3 2 2" xfId="29128" xr:uid="{00000000-0005-0000-0000-000074B00000}"/>
    <cellStyle name="Normal 6 5 3 3 2 3" xfId="38853" xr:uid="{00000000-0005-0000-0000-000075B00000}"/>
    <cellStyle name="Normal 6 5 3 3 2 4" xfId="48578" xr:uid="{00000000-0005-0000-0000-000076B00000}"/>
    <cellStyle name="Normal 6 5 3 3 2 5" xfId="19403" xr:uid="{00000000-0005-0000-0000-000077B00000}"/>
    <cellStyle name="Normal 6 5 3 3 3" xfId="24266" xr:uid="{00000000-0005-0000-0000-000078B00000}"/>
    <cellStyle name="Normal 6 5 3 3 4" xfId="33991" xr:uid="{00000000-0005-0000-0000-000079B00000}"/>
    <cellStyle name="Normal 6 5 3 3 5" xfId="43716" xr:uid="{00000000-0005-0000-0000-00007AB00000}"/>
    <cellStyle name="Normal 6 5 3 3 6" xfId="14541" xr:uid="{00000000-0005-0000-0000-00007BB00000}"/>
    <cellStyle name="Normal 6 5 3 4" xfId="6437" xr:uid="{00000000-0005-0000-0000-00007CB00000}"/>
    <cellStyle name="Normal 6 5 3 4 2" xfId="25888" xr:uid="{00000000-0005-0000-0000-00007DB00000}"/>
    <cellStyle name="Normal 6 5 3 4 3" xfId="35613" xr:uid="{00000000-0005-0000-0000-00007EB00000}"/>
    <cellStyle name="Normal 6 5 3 4 4" xfId="45338" xr:uid="{00000000-0005-0000-0000-00007FB00000}"/>
    <cellStyle name="Normal 6 5 3 4 5" xfId="16163" xr:uid="{00000000-0005-0000-0000-000080B00000}"/>
    <cellStyle name="Normal 6 5 3 5" xfId="21026" xr:uid="{00000000-0005-0000-0000-000081B00000}"/>
    <cellStyle name="Normal 6 5 3 6" xfId="30751" xr:uid="{00000000-0005-0000-0000-000082B00000}"/>
    <cellStyle name="Normal 6 5 3 7" xfId="40476" xr:uid="{00000000-0005-0000-0000-000083B00000}"/>
    <cellStyle name="Normal 6 5 3 8" xfId="11301" xr:uid="{00000000-0005-0000-0000-000084B00000}"/>
    <cellStyle name="Normal 6 5 4" xfId="745" xr:uid="{00000000-0005-0000-0000-000085B00000}"/>
    <cellStyle name="Normal 6 5 4 2" xfId="2385" xr:uid="{00000000-0005-0000-0000-000086B00000}"/>
    <cellStyle name="Normal 6 5 4 2 2" xfId="7247" xr:uid="{00000000-0005-0000-0000-000087B00000}"/>
    <cellStyle name="Normal 6 5 4 2 2 2" xfId="26698" xr:uid="{00000000-0005-0000-0000-000088B00000}"/>
    <cellStyle name="Normal 6 5 4 2 2 3" xfId="36423" xr:uid="{00000000-0005-0000-0000-000089B00000}"/>
    <cellStyle name="Normal 6 5 4 2 2 4" xfId="46148" xr:uid="{00000000-0005-0000-0000-00008AB00000}"/>
    <cellStyle name="Normal 6 5 4 2 2 5" xfId="16973" xr:uid="{00000000-0005-0000-0000-00008BB00000}"/>
    <cellStyle name="Normal 6 5 4 2 3" xfId="21836" xr:uid="{00000000-0005-0000-0000-00008CB00000}"/>
    <cellStyle name="Normal 6 5 4 2 4" xfId="31561" xr:uid="{00000000-0005-0000-0000-00008DB00000}"/>
    <cellStyle name="Normal 6 5 4 2 5" xfId="41286" xr:uid="{00000000-0005-0000-0000-00008EB00000}"/>
    <cellStyle name="Normal 6 5 4 2 6" xfId="12111" xr:uid="{00000000-0005-0000-0000-00008FB00000}"/>
    <cellStyle name="Normal 6 5 4 3" xfId="4005" xr:uid="{00000000-0005-0000-0000-000090B00000}"/>
    <cellStyle name="Normal 6 5 4 3 2" xfId="8867" xr:uid="{00000000-0005-0000-0000-000091B00000}"/>
    <cellStyle name="Normal 6 5 4 3 2 2" xfId="28318" xr:uid="{00000000-0005-0000-0000-000092B00000}"/>
    <cellStyle name="Normal 6 5 4 3 2 3" xfId="38043" xr:uid="{00000000-0005-0000-0000-000093B00000}"/>
    <cellStyle name="Normal 6 5 4 3 2 4" xfId="47768" xr:uid="{00000000-0005-0000-0000-000094B00000}"/>
    <cellStyle name="Normal 6 5 4 3 2 5" xfId="18593" xr:uid="{00000000-0005-0000-0000-000095B00000}"/>
    <cellStyle name="Normal 6 5 4 3 3" xfId="23456" xr:uid="{00000000-0005-0000-0000-000096B00000}"/>
    <cellStyle name="Normal 6 5 4 3 4" xfId="33181" xr:uid="{00000000-0005-0000-0000-000097B00000}"/>
    <cellStyle name="Normal 6 5 4 3 5" xfId="42906" xr:uid="{00000000-0005-0000-0000-000098B00000}"/>
    <cellStyle name="Normal 6 5 4 3 6" xfId="13731" xr:uid="{00000000-0005-0000-0000-000099B00000}"/>
    <cellStyle name="Normal 6 5 4 4" xfId="5627" xr:uid="{00000000-0005-0000-0000-00009AB00000}"/>
    <cellStyle name="Normal 6 5 4 4 2" xfId="25078" xr:uid="{00000000-0005-0000-0000-00009BB00000}"/>
    <cellStyle name="Normal 6 5 4 4 3" xfId="34803" xr:uid="{00000000-0005-0000-0000-00009CB00000}"/>
    <cellStyle name="Normal 6 5 4 4 4" xfId="44528" xr:uid="{00000000-0005-0000-0000-00009DB00000}"/>
    <cellStyle name="Normal 6 5 4 4 5" xfId="15353" xr:uid="{00000000-0005-0000-0000-00009EB00000}"/>
    <cellStyle name="Normal 6 5 4 5" xfId="20216" xr:uid="{00000000-0005-0000-0000-00009FB00000}"/>
    <cellStyle name="Normal 6 5 4 6" xfId="29941" xr:uid="{00000000-0005-0000-0000-0000A0B00000}"/>
    <cellStyle name="Normal 6 5 4 7" xfId="39666" xr:uid="{00000000-0005-0000-0000-0000A1B00000}"/>
    <cellStyle name="Normal 6 5 4 8" xfId="10491" xr:uid="{00000000-0005-0000-0000-0000A2B00000}"/>
    <cellStyle name="Normal 6 5 5" xfId="2025" xr:uid="{00000000-0005-0000-0000-0000A3B00000}"/>
    <cellStyle name="Normal 6 5 5 2" xfId="6887" xr:uid="{00000000-0005-0000-0000-0000A4B00000}"/>
    <cellStyle name="Normal 6 5 5 2 2" xfId="26338" xr:uid="{00000000-0005-0000-0000-0000A5B00000}"/>
    <cellStyle name="Normal 6 5 5 2 3" xfId="36063" xr:uid="{00000000-0005-0000-0000-0000A6B00000}"/>
    <cellStyle name="Normal 6 5 5 2 4" xfId="45788" xr:uid="{00000000-0005-0000-0000-0000A7B00000}"/>
    <cellStyle name="Normal 6 5 5 2 5" xfId="16613" xr:uid="{00000000-0005-0000-0000-0000A8B00000}"/>
    <cellStyle name="Normal 6 5 5 3" xfId="21476" xr:uid="{00000000-0005-0000-0000-0000A9B00000}"/>
    <cellStyle name="Normal 6 5 5 4" xfId="31201" xr:uid="{00000000-0005-0000-0000-0000AAB00000}"/>
    <cellStyle name="Normal 6 5 5 5" xfId="40926" xr:uid="{00000000-0005-0000-0000-0000ABB00000}"/>
    <cellStyle name="Normal 6 5 5 6" xfId="11751" xr:uid="{00000000-0005-0000-0000-0000ACB00000}"/>
    <cellStyle name="Normal 6 5 6" xfId="3645" xr:uid="{00000000-0005-0000-0000-0000ADB00000}"/>
    <cellStyle name="Normal 6 5 6 2" xfId="8507" xr:uid="{00000000-0005-0000-0000-0000AEB00000}"/>
    <cellStyle name="Normal 6 5 6 2 2" xfId="27958" xr:uid="{00000000-0005-0000-0000-0000AFB00000}"/>
    <cellStyle name="Normal 6 5 6 2 3" xfId="37683" xr:uid="{00000000-0005-0000-0000-0000B0B00000}"/>
    <cellStyle name="Normal 6 5 6 2 4" xfId="47408" xr:uid="{00000000-0005-0000-0000-0000B1B00000}"/>
    <cellStyle name="Normal 6 5 6 2 5" xfId="18233" xr:uid="{00000000-0005-0000-0000-0000B2B00000}"/>
    <cellStyle name="Normal 6 5 6 3" xfId="23096" xr:uid="{00000000-0005-0000-0000-0000B3B00000}"/>
    <cellStyle name="Normal 6 5 6 4" xfId="32821" xr:uid="{00000000-0005-0000-0000-0000B4B00000}"/>
    <cellStyle name="Normal 6 5 6 5" xfId="42546" xr:uid="{00000000-0005-0000-0000-0000B5B00000}"/>
    <cellStyle name="Normal 6 5 6 6" xfId="13371" xr:uid="{00000000-0005-0000-0000-0000B6B00000}"/>
    <cellStyle name="Normal 6 5 7" xfId="5267" xr:uid="{00000000-0005-0000-0000-0000B7B00000}"/>
    <cellStyle name="Normal 6 5 7 2" xfId="24718" xr:uid="{00000000-0005-0000-0000-0000B8B00000}"/>
    <cellStyle name="Normal 6 5 7 3" xfId="34443" xr:uid="{00000000-0005-0000-0000-0000B9B00000}"/>
    <cellStyle name="Normal 6 5 7 4" xfId="44168" xr:uid="{00000000-0005-0000-0000-0000BAB00000}"/>
    <cellStyle name="Normal 6 5 7 5" xfId="14993" xr:uid="{00000000-0005-0000-0000-0000BBB00000}"/>
    <cellStyle name="Normal 6 5 8" xfId="19856" xr:uid="{00000000-0005-0000-0000-0000BCB00000}"/>
    <cellStyle name="Normal 6 5 9" xfId="29581" xr:uid="{00000000-0005-0000-0000-0000BDB00000}"/>
    <cellStyle name="Normal 6 6" xfId="162" xr:uid="{00000000-0005-0000-0000-0000BEB00000}"/>
    <cellStyle name="Normal 6 6 10" xfId="39126" xr:uid="{00000000-0005-0000-0000-0000BFB00000}"/>
    <cellStyle name="Normal 6 6 11" xfId="9951" xr:uid="{00000000-0005-0000-0000-0000C0B00000}"/>
    <cellStyle name="Normal 6 6 2" xfId="926" xr:uid="{00000000-0005-0000-0000-0000C1B00000}"/>
    <cellStyle name="Normal 6 6 2 2" xfId="2565" xr:uid="{00000000-0005-0000-0000-0000C2B00000}"/>
    <cellStyle name="Normal 6 6 2 2 2" xfId="7427" xr:uid="{00000000-0005-0000-0000-0000C3B00000}"/>
    <cellStyle name="Normal 6 6 2 2 2 2" xfId="26878" xr:uid="{00000000-0005-0000-0000-0000C4B00000}"/>
    <cellStyle name="Normal 6 6 2 2 2 3" xfId="36603" xr:uid="{00000000-0005-0000-0000-0000C5B00000}"/>
    <cellStyle name="Normal 6 6 2 2 2 4" xfId="46328" xr:uid="{00000000-0005-0000-0000-0000C6B00000}"/>
    <cellStyle name="Normal 6 6 2 2 2 5" xfId="17153" xr:uid="{00000000-0005-0000-0000-0000C7B00000}"/>
    <cellStyle name="Normal 6 6 2 2 3" xfId="22016" xr:uid="{00000000-0005-0000-0000-0000C8B00000}"/>
    <cellStyle name="Normal 6 6 2 2 4" xfId="31741" xr:uid="{00000000-0005-0000-0000-0000C9B00000}"/>
    <cellStyle name="Normal 6 6 2 2 5" xfId="41466" xr:uid="{00000000-0005-0000-0000-0000CAB00000}"/>
    <cellStyle name="Normal 6 6 2 2 6" xfId="12291" xr:uid="{00000000-0005-0000-0000-0000CBB00000}"/>
    <cellStyle name="Normal 6 6 2 3" xfId="4185" xr:uid="{00000000-0005-0000-0000-0000CCB00000}"/>
    <cellStyle name="Normal 6 6 2 3 2" xfId="9047" xr:uid="{00000000-0005-0000-0000-0000CDB00000}"/>
    <cellStyle name="Normal 6 6 2 3 2 2" xfId="28498" xr:uid="{00000000-0005-0000-0000-0000CEB00000}"/>
    <cellStyle name="Normal 6 6 2 3 2 3" xfId="38223" xr:uid="{00000000-0005-0000-0000-0000CFB00000}"/>
    <cellStyle name="Normal 6 6 2 3 2 4" xfId="47948" xr:uid="{00000000-0005-0000-0000-0000D0B00000}"/>
    <cellStyle name="Normal 6 6 2 3 2 5" xfId="18773" xr:uid="{00000000-0005-0000-0000-0000D1B00000}"/>
    <cellStyle name="Normal 6 6 2 3 3" xfId="23636" xr:uid="{00000000-0005-0000-0000-0000D2B00000}"/>
    <cellStyle name="Normal 6 6 2 3 4" xfId="33361" xr:uid="{00000000-0005-0000-0000-0000D3B00000}"/>
    <cellStyle name="Normal 6 6 2 3 5" xfId="43086" xr:uid="{00000000-0005-0000-0000-0000D4B00000}"/>
    <cellStyle name="Normal 6 6 2 3 6" xfId="13911" xr:uid="{00000000-0005-0000-0000-0000D5B00000}"/>
    <cellStyle name="Normal 6 6 2 4" xfId="5807" xr:uid="{00000000-0005-0000-0000-0000D6B00000}"/>
    <cellStyle name="Normal 6 6 2 4 2" xfId="25258" xr:uid="{00000000-0005-0000-0000-0000D7B00000}"/>
    <cellStyle name="Normal 6 6 2 4 3" xfId="34983" xr:uid="{00000000-0005-0000-0000-0000D8B00000}"/>
    <cellStyle name="Normal 6 6 2 4 4" xfId="44708" xr:uid="{00000000-0005-0000-0000-0000D9B00000}"/>
    <cellStyle name="Normal 6 6 2 4 5" xfId="15533" xr:uid="{00000000-0005-0000-0000-0000DAB00000}"/>
    <cellStyle name="Normal 6 6 2 5" xfId="20396" xr:uid="{00000000-0005-0000-0000-0000DBB00000}"/>
    <cellStyle name="Normal 6 6 2 6" xfId="30121" xr:uid="{00000000-0005-0000-0000-0000DCB00000}"/>
    <cellStyle name="Normal 6 6 2 7" xfId="39846" xr:uid="{00000000-0005-0000-0000-0000DDB00000}"/>
    <cellStyle name="Normal 6 6 2 8" xfId="10671" xr:uid="{00000000-0005-0000-0000-0000DEB00000}"/>
    <cellStyle name="Normal 6 6 3" xfId="1394" xr:uid="{00000000-0005-0000-0000-0000DFB00000}"/>
    <cellStyle name="Normal 6 6 3 2" xfId="3015" xr:uid="{00000000-0005-0000-0000-0000E0B00000}"/>
    <cellStyle name="Normal 6 6 3 2 2" xfId="7877" xr:uid="{00000000-0005-0000-0000-0000E1B00000}"/>
    <cellStyle name="Normal 6 6 3 2 2 2" xfId="27328" xr:uid="{00000000-0005-0000-0000-0000E2B00000}"/>
    <cellStyle name="Normal 6 6 3 2 2 3" xfId="37053" xr:uid="{00000000-0005-0000-0000-0000E3B00000}"/>
    <cellStyle name="Normal 6 6 3 2 2 4" xfId="46778" xr:uid="{00000000-0005-0000-0000-0000E4B00000}"/>
    <cellStyle name="Normal 6 6 3 2 2 5" xfId="17603" xr:uid="{00000000-0005-0000-0000-0000E5B00000}"/>
    <cellStyle name="Normal 6 6 3 2 3" xfId="22466" xr:uid="{00000000-0005-0000-0000-0000E6B00000}"/>
    <cellStyle name="Normal 6 6 3 2 4" xfId="32191" xr:uid="{00000000-0005-0000-0000-0000E7B00000}"/>
    <cellStyle name="Normal 6 6 3 2 5" xfId="41916" xr:uid="{00000000-0005-0000-0000-0000E8B00000}"/>
    <cellStyle name="Normal 6 6 3 2 6" xfId="12741" xr:uid="{00000000-0005-0000-0000-0000E9B00000}"/>
    <cellStyle name="Normal 6 6 3 3" xfId="4635" xr:uid="{00000000-0005-0000-0000-0000EAB00000}"/>
    <cellStyle name="Normal 6 6 3 3 2" xfId="9497" xr:uid="{00000000-0005-0000-0000-0000EBB00000}"/>
    <cellStyle name="Normal 6 6 3 3 2 2" xfId="28948" xr:uid="{00000000-0005-0000-0000-0000ECB00000}"/>
    <cellStyle name="Normal 6 6 3 3 2 3" xfId="38673" xr:uid="{00000000-0005-0000-0000-0000EDB00000}"/>
    <cellStyle name="Normal 6 6 3 3 2 4" xfId="48398" xr:uid="{00000000-0005-0000-0000-0000EEB00000}"/>
    <cellStyle name="Normal 6 6 3 3 2 5" xfId="19223" xr:uid="{00000000-0005-0000-0000-0000EFB00000}"/>
    <cellStyle name="Normal 6 6 3 3 3" xfId="24086" xr:uid="{00000000-0005-0000-0000-0000F0B00000}"/>
    <cellStyle name="Normal 6 6 3 3 4" xfId="33811" xr:uid="{00000000-0005-0000-0000-0000F1B00000}"/>
    <cellStyle name="Normal 6 6 3 3 5" xfId="43536" xr:uid="{00000000-0005-0000-0000-0000F2B00000}"/>
    <cellStyle name="Normal 6 6 3 3 6" xfId="14361" xr:uid="{00000000-0005-0000-0000-0000F3B00000}"/>
    <cellStyle name="Normal 6 6 3 4" xfId="6257" xr:uid="{00000000-0005-0000-0000-0000F4B00000}"/>
    <cellStyle name="Normal 6 6 3 4 2" xfId="25708" xr:uid="{00000000-0005-0000-0000-0000F5B00000}"/>
    <cellStyle name="Normal 6 6 3 4 3" xfId="35433" xr:uid="{00000000-0005-0000-0000-0000F6B00000}"/>
    <cellStyle name="Normal 6 6 3 4 4" xfId="45158" xr:uid="{00000000-0005-0000-0000-0000F7B00000}"/>
    <cellStyle name="Normal 6 6 3 4 5" xfId="15983" xr:uid="{00000000-0005-0000-0000-0000F8B00000}"/>
    <cellStyle name="Normal 6 6 3 5" xfId="20846" xr:uid="{00000000-0005-0000-0000-0000F9B00000}"/>
    <cellStyle name="Normal 6 6 3 6" xfId="30571" xr:uid="{00000000-0005-0000-0000-0000FAB00000}"/>
    <cellStyle name="Normal 6 6 3 7" xfId="40296" xr:uid="{00000000-0005-0000-0000-0000FBB00000}"/>
    <cellStyle name="Normal 6 6 3 8" xfId="11121" xr:uid="{00000000-0005-0000-0000-0000FCB00000}"/>
    <cellStyle name="Normal 6 6 4" xfId="565" xr:uid="{00000000-0005-0000-0000-0000FDB00000}"/>
    <cellStyle name="Normal 6 6 4 2" xfId="2205" xr:uid="{00000000-0005-0000-0000-0000FEB00000}"/>
    <cellStyle name="Normal 6 6 4 2 2" xfId="7067" xr:uid="{00000000-0005-0000-0000-0000FFB00000}"/>
    <cellStyle name="Normal 6 6 4 2 2 2" xfId="26518" xr:uid="{00000000-0005-0000-0000-000000B10000}"/>
    <cellStyle name="Normal 6 6 4 2 2 3" xfId="36243" xr:uid="{00000000-0005-0000-0000-000001B10000}"/>
    <cellStyle name="Normal 6 6 4 2 2 4" xfId="45968" xr:uid="{00000000-0005-0000-0000-000002B10000}"/>
    <cellStyle name="Normal 6 6 4 2 2 5" xfId="16793" xr:uid="{00000000-0005-0000-0000-000003B10000}"/>
    <cellStyle name="Normal 6 6 4 2 3" xfId="21656" xr:uid="{00000000-0005-0000-0000-000004B10000}"/>
    <cellStyle name="Normal 6 6 4 2 4" xfId="31381" xr:uid="{00000000-0005-0000-0000-000005B10000}"/>
    <cellStyle name="Normal 6 6 4 2 5" xfId="41106" xr:uid="{00000000-0005-0000-0000-000006B10000}"/>
    <cellStyle name="Normal 6 6 4 2 6" xfId="11931" xr:uid="{00000000-0005-0000-0000-000007B10000}"/>
    <cellStyle name="Normal 6 6 4 3" xfId="3825" xr:uid="{00000000-0005-0000-0000-000008B10000}"/>
    <cellStyle name="Normal 6 6 4 3 2" xfId="8687" xr:uid="{00000000-0005-0000-0000-000009B10000}"/>
    <cellStyle name="Normal 6 6 4 3 2 2" xfId="28138" xr:uid="{00000000-0005-0000-0000-00000AB10000}"/>
    <cellStyle name="Normal 6 6 4 3 2 3" xfId="37863" xr:uid="{00000000-0005-0000-0000-00000BB10000}"/>
    <cellStyle name="Normal 6 6 4 3 2 4" xfId="47588" xr:uid="{00000000-0005-0000-0000-00000CB10000}"/>
    <cellStyle name="Normal 6 6 4 3 2 5" xfId="18413" xr:uid="{00000000-0005-0000-0000-00000DB10000}"/>
    <cellStyle name="Normal 6 6 4 3 3" xfId="23276" xr:uid="{00000000-0005-0000-0000-00000EB10000}"/>
    <cellStyle name="Normal 6 6 4 3 4" xfId="33001" xr:uid="{00000000-0005-0000-0000-00000FB10000}"/>
    <cellStyle name="Normal 6 6 4 3 5" xfId="42726" xr:uid="{00000000-0005-0000-0000-000010B10000}"/>
    <cellStyle name="Normal 6 6 4 3 6" xfId="13551" xr:uid="{00000000-0005-0000-0000-000011B10000}"/>
    <cellStyle name="Normal 6 6 4 4" xfId="5447" xr:uid="{00000000-0005-0000-0000-000012B10000}"/>
    <cellStyle name="Normal 6 6 4 4 2" xfId="24898" xr:uid="{00000000-0005-0000-0000-000013B10000}"/>
    <cellStyle name="Normal 6 6 4 4 3" xfId="34623" xr:uid="{00000000-0005-0000-0000-000014B10000}"/>
    <cellStyle name="Normal 6 6 4 4 4" xfId="44348" xr:uid="{00000000-0005-0000-0000-000015B10000}"/>
    <cellStyle name="Normal 6 6 4 4 5" xfId="15173" xr:uid="{00000000-0005-0000-0000-000016B10000}"/>
    <cellStyle name="Normal 6 6 4 5" xfId="20036" xr:uid="{00000000-0005-0000-0000-000017B10000}"/>
    <cellStyle name="Normal 6 6 4 6" xfId="29761" xr:uid="{00000000-0005-0000-0000-000018B10000}"/>
    <cellStyle name="Normal 6 6 4 7" xfId="39486" xr:uid="{00000000-0005-0000-0000-000019B10000}"/>
    <cellStyle name="Normal 6 6 4 8" xfId="10311" xr:uid="{00000000-0005-0000-0000-00001AB10000}"/>
    <cellStyle name="Normal 6 6 5" xfId="1845" xr:uid="{00000000-0005-0000-0000-00001BB10000}"/>
    <cellStyle name="Normal 6 6 5 2" xfId="6707" xr:uid="{00000000-0005-0000-0000-00001CB10000}"/>
    <cellStyle name="Normal 6 6 5 2 2" xfId="26158" xr:uid="{00000000-0005-0000-0000-00001DB10000}"/>
    <cellStyle name="Normal 6 6 5 2 3" xfId="35883" xr:uid="{00000000-0005-0000-0000-00001EB10000}"/>
    <cellStyle name="Normal 6 6 5 2 4" xfId="45608" xr:uid="{00000000-0005-0000-0000-00001FB10000}"/>
    <cellStyle name="Normal 6 6 5 2 5" xfId="16433" xr:uid="{00000000-0005-0000-0000-000020B10000}"/>
    <cellStyle name="Normal 6 6 5 3" xfId="21296" xr:uid="{00000000-0005-0000-0000-000021B10000}"/>
    <cellStyle name="Normal 6 6 5 4" xfId="31021" xr:uid="{00000000-0005-0000-0000-000022B10000}"/>
    <cellStyle name="Normal 6 6 5 5" xfId="40746" xr:uid="{00000000-0005-0000-0000-000023B10000}"/>
    <cellStyle name="Normal 6 6 5 6" xfId="11571" xr:uid="{00000000-0005-0000-0000-000024B10000}"/>
    <cellStyle name="Normal 6 6 6" xfId="3465" xr:uid="{00000000-0005-0000-0000-000025B10000}"/>
    <cellStyle name="Normal 6 6 6 2" xfId="8327" xr:uid="{00000000-0005-0000-0000-000026B10000}"/>
    <cellStyle name="Normal 6 6 6 2 2" xfId="27778" xr:uid="{00000000-0005-0000-0000-000027B10000}"/>
    <cellStyle name="Normal 6 6 6 2 3" xfId="37503" xr:uid="{00000000-0005-0000-0000-000028B10000}"/>
    <cellStyle name="Normal 6 6 6 2 4" xfId="47228" xr:uid="{00000000-0005-0000-0000-000029B10000}"/>
    <cellStyle name="Normal 6 6 6 2 5" xfId="18053" xr:uid="{00000000-0005-0000-0000-00002AB10000}"/>
    <cellStyle name="Normal 6 6 6 3" xfId="22916" xr:uid="{00000000-0005-0000-0000-00002BB10000}"/>
    <cellStyle name="Normal 6 6 6 4" xfId="32641" xr:uid="{00000000-0005-0000-0000-00002CB10000}"/>
    <cellStyle name="Normal 6 6 6 5" xfId="42366" xr:uid="{00000000-0005-0000-0000-00002DB10000}"/>
    <cellStyle name="Normal 6 6 6 6" xfId="13191" xr:uid="{00000000-0005-0000-0000-00002EB10000}"/>
    <cellStyle name="Normal 6 6 7" xfId="5087" xr:uid="{00000000-0005-0000-0000-00002FB10000}"/>
    <cellStyle name="Normal 6 6 7 2" xfId="24538" xr:uid="{00000000-0005-0000-0000-000030B10000}"/>
    <cellStyle name="Normal 6 6 7 3" xfId="34263" xr:uid="{00000000-0005-0000-0000-000031B10000}"/>
    <cellStyle name="Normal 6 6 7 4" xfId="43988" xr:uid="{00000000-0005-0000-0000-000032B10000}"/>
    <cellStyle name="Normal 6 6 7 5" xfId="14813" xr:uid="{00000000-0005-0000-0000-000033B10000}"/>
    <cellStyle name="Normal 6 6 8" xfId="19676" xr:uid="{00000000-0005-0000-0000-000034B10000}"/>
    <cellStyle name="Normal 6 6 9" xfId="29401" xr:uid="{00000000-0005-0000-0000-000035B10000}"/>
    <cellStyle name="Normal 6 7" xfId="836" xr:uid="{00000000-0005-0000-0000-000036B10000}"/>
    <cellStyle name="Normal 6 7 2" xfId="2475" xr:uid="{00000000-0005-0000-0000-000037B10000}"/>
    <cellStyle name="Normal 6 7 2 2" xfId="7337" xr:uid="{00000000-0005-0000-0000-000038B10000}"/>
    <cellStyle name="Normal 6 7 2 2 2" xfId="26788" xr:uid="{00000000-0005-0000-0000-000039B10000}"/>
    <cellStyle name="Normal 6 7 2 2 3" xfId="36513" xr:uid="{00000000-0005-0000-0000-00003AB10000}"/>
    <cellStyle name="Normal 6 7 2 2 4" xfId="46238" xr:uid="{00000000-0005-0000-0000-00003BB10000}"/>
    <cellStyle name="Normal 6 7 2 2 5" xfId="17063" xr:uid="{00000000-0005-0000-0000-00003CB10000}"/>
    <cellStyle name="Normal 6 7 2 3" xfId="21926" xr:uid="{00000000-0005-0000-0000-00003DB10000}"/>
    <cellStyle name="Normal 6 7 2 4" xfId="31651" xr:uid="{00000000-0005-0000-0000-00003EB10000}"/>
    <cellStyle name="Normal 6 7 2 5" xfId="41376" xr:uid="{00000000-0005-0000-0000-00003FB10000}"/>
    <cellStyle name="Normal 6 7 2 6" xfId="12201" xr:uid="{00000000-0005-0000-0000-000040B10000}"/>
    <cellStyle name="Normal 6 7 3" xfId="4095" xr:uid="{00000000-0005-0000-0000-000041B10000}"/>
    <cellStyle name="Normal 6 7 3 2" xfId="8957" xr:uid="{00000000-0005-0000-0000-000042B10000}"/>
    <cellStyle name="Normal 6 7 3 2 2" xfId="28408" xr:uid="{00000000-0005-0000-0000-000043B10000}"/>
    <cellStyle name="Normal 6 7 3 2 3" xfId="38133" xr:uid="{00000000-0005-0000-0000-000044B10000}"/>
    <cellStyle name="Normal 6 7 3 2 4" xfId="47858" xr:uid="{00000000-0005-0000-0000-000045B10000}"/>
    <cellStyle name="Normal 6 7 3 2 5" xfId="18683" xr:uid="{00000000-0005-0000-0000-000046B10000}"/>
    <cellStyle name="Normal 6 7 3 3" xfId="23546" xr:uid="{00000000-0005-0000-0000-000047B10000}"/>
    <cellStyle name="Normal 6 7 3 4" xfId="33271" xr:uid="{00000000-0005-0000-0000-000048B10000}"/>
    <cellStyle name="Normal 6 7 3 5" xfId="42996" xr:uid="{00000000-0005-0000-0000-000049B10000}"/>
    <cellStyle name="Normal 6 7 3 6" xfId="13821" xr:uid="{00000000-0005-0000-0000-00004AB10000}"/>
    <cellStyle name="Normal 6 7 4" xfId="5717" xr:uid="{00000000-0005-0000-0000-00004BB10000}"/>
    <cellStyle name="Normal 6 7 4 2" xfId="25168" xr:uid="{00000000-0005-0000-0000-00004CB10000}"/>
    <cellStyle name="Normal 6 7 4 3" xfId="34893" xr:uid="{00000000-0005-0000-0000-00004DB10000}"/>
    <cellStyle name="Normal 6 7 4 4" xfId="44618" xr:uid="{00000000-0005-0000-0000-00004EB10000}"/>
    <cellStyle name="Normal 6 7 4 5" xfId="15443" xr:uid="{00000000-0005-0000-0000-00004FB10000}"/>
    <cellStyle name="Normal 6 7 5" xfId="20306" xr:uid="{00000000-0005-0000-0000-000050B10000}"/>
    <cellStyle name="Normal 6 7 6" xfId="30031" xr:uid="{00000000-0005-0000-0000-000051B10000}"/>
    <cellStyle name="Normal 6 7 7" xfId="39756" xr:uid="{00000000-0005-0000-0000-000052B10000}"/>
    <cellStyle name="Normal 6 7 8" xfId="10581" xr:uid="{00000000-0005-0000-0000-000053B10000}"/>
    <cellStyle name="Normal 6 8" xfId="1214" xr:uid="{00000000-0005-0000-0000-000054B10000}"/>
    <cellStyle name="Normal 6 8 2" xfId="2835" xr:uid="{00000000-0005-0000-0000-000055B10000}"/>
    <cellStyle name="Normal 6 8 2 2" xfId="7697" xr:uid="{00000000-0005-0000-0000-000056B10000}"/>
    <cellStyle name="Normal 6 8 2 2 2" xfId="27148" xr:uid="{00000000-0005-0000-0000-000057B10000}"/>
    <cellStyle name="Normal 6 8 2 2 3" xfId="36873" xr:uid="{00000000-0005-0000-0000-000058B10000}"/>
    <cellStyle name="Normal 6 8 2 2 4" xfId="46598" xr:uid="{00000000-0005-0000-0000-000059B10000}"/>
    <cellStyle name="Normal 6 8 2 2 5" xfId="17423" xr:uid="{00000000-0005-0000-0000-00005AB10000}"/>
    <cellStyle name="Normal 6 8 2 3" xfId="22286" xr:uid="{00000000-0005-0000-0000-00005BB10000}"/>
    <cellStyle name="Normal 6 8 2 4" xfId="32011" xr:uid="{00000000-0005-0000-0000-00005CB10000}"/>
    <cellStyle name="Normal 6 8 2 5" xfId="41736" xr:uid="{00000000-0005-0000-0000-00005DB10000}"/>
    <cellStyle name="Normal 6 8 2 6" xfId="12561" xr:uid="{00000000-0005-0000-0000-00005EB10000}"/>
    <cellStyle name="Normal 6 8 3" xfId="4455" xr:uid="{00000000-0005-0000-0000-00005FB10000}"/>
    <cellStyle name="Normal 6 8 3 2" xfId="9317" xr:uid="{00000000-0005-0000-0000-000060B10000}"/>
    <cellStyle name="Normal 6 8 3 2 2" xfId="28768" xr:uid="{00000000-0005-0000-0000-000061B10000}"/>
    <cellStyle name="Normal 6 8 3 2 3" xfId="38493" xr:uid="{00000000-0005-0000-0000-000062B10000}"/>
    <cellStyle name="Normal 6 8 3 2 4" xfId="48218" xr:uid="{00000000-0005-0000-0000-000063B10000}"/>
    <cellStyle name="Normal 6 8 3 2 5" xfId="19043" xr:uid="{00000000-0005-0000-0000-000064B10000}"/>
    <cellStyle name="Normal 6 8 3 3" xfId="23906" xr:uid="{00000000-0005-0000-0000-000065B10000}"/>
    <cellStyle name="Normal 6 8 3 4" xfId="33631" xr:uid="{00000000-0005-0000-0000-000066B10000}"/>
    <cellStyle name="Normal 6 8 3 5" xfId="43356" xr:uid="{00000000-0005-0000-0000-000067B10000}"/>
    <cellStyle name="Normal 6 8 3 6" xfId="14181" xr:uid="{00000000-0005-0000-0000-000068B10000}"/>
    <cellStyle name="Normal 6 8 4" xfId="6077" xr:uid="{00000000-0005-0000-0000-000069B10000}"/>
    <cellStyle name="Normal 6 8 4 2" xfId="25528" xr:uid="{00000000-0005-0000-0000-00006AB10000}"/>
    <cellStyle name="Normal 6 8 4 3" xfId="35253" xr:uid="{00000000-0005-0000-0000-00006BB10000}"/>
    <cellStyle name="Normal 6 8 4 4" xfId="44978" xr:uid="{00000000-0005-0000-0000-00006CB10000}"/>
    <cellStyle name="Normal 6 8 4 5" xfId="15803" xr:uid="{00000000-0005-0000-0000-00006DB10000}"/>
    <cellStyle name="Normal 6 8 5" xfId="20666" xr:uid="{00000000-0005-0000-0000-00006EB10000}"/>
    <cellStyle name="Normal 6 8 6" xfId="30391" xr:uid="{00000000-0005-0000-0000-00006FB10000}"/>
    <cellStyle name="Normal 6 8 7" xfId="40116" xr:uid="{00000000-0005-0000-0000-000070B10000}"/>
    <cellStyle name="Normal 6 8 8" xfId="10941" xr:uid="{00000000-0005-0000-0000-000071B10000}"/>
    <cellStyle name="Normal 6 9" xfId="1304" xr:uid="{00000000-0005-0000-0000-000072B10000}"/>
    <cellStyle name="Normal 6 9 2" xfId="2925" xr:uid="{00000000-0005-0000-0000-000073B10000}"/>
    <cellStyle name="Normal 6 9 2 2" xfId="7787" xr:uid="{00000000-0005-0000-0000-000074B10000}"/>
    <cellStyle name="Normal 6 9 2 2 2" xfId="27238" xr:uid="{00000000-0005-0000-0000-000075B10000}"/>
    <cellStyle name="Normal 6 9 2 2 3" xfId="36963" xr:uid="{00000000-0005-0000-0000-000076B10000}"/>
    <cellStyle name="Normal 6 9 2 2 4" xfId="46688" xr:uid="{00000000-0005-0000-0000-000077B10000}"/>
    <cellStyle name="Normal 6 9 2 2 5" xfId="17513" xr:uid="{00000000-0005-0000-0000-000078B10000}"/>
    <cellStyle name="Normal 6 9 2 3" xfId="22376" xr:uid="{00000000-0005-0000-0000-000079B10000}"/>
    <cellStyle name="Normal 6 9 2 4" xfId="32101" xr:uid="{00000000-0005-0000-0000-00007AB10000}"/>
    <cellStyle name="Normal 6 9 2 5" xfId="41826" xr:uid="{00000000-0005-0000-0000-00007BB10000}"/>
    <cellStyle name="Normal 6 9 2 6" xfId="12651" xr:uid="{00000000-0005-0000-0000-00007CB10000}"/>
    <cellStyle name="Normal 6 9 3" xfId="4545" xr:uid="{00000000-0005-0000-0000-00007DB10000}"/>
    <cellStyle name="Normal 6 9 3 2" xfId="9407" xr:uid="{00000000-0005-0000-0000-00007EB10000}"/>
    <cellStyle name="Normal 6 9 3 2 2" xfId="28858" xr:uid="{00000000-0005-0000-0000-00007FB10000}"/>
    <cellStyle name="Normal 6 9 3 2 3" xfId="38583" xr:uid="{00000000-0005-0000-0000-000080B10000}"/>
    <cellStyle name="Normal 6 9 3 2 4" xfId="48308" xr:uid="{00000000-0005-0000-0000-000081B10000}"/>
    <cellStyle name="Normal 6 9 3 2 5" xfId="19133" xr:uid="{00000000-0005-0000-0000-000082B10000}"/>
    <cellStyle name="Normal 6 9 3 3" xfId="23996" xr:uid="{00000000-0005-0000-0000-000083B10000}"/>
    <cellStyle name="Normal 6 9 3 4" xfId="33721" xr:uid="{00000000-0005-0000-0000-000084B10000}"/>
    <cellStyle name="Normal 6 9 3 5" xfId="43446" xr:uid="{00000000-0005-0000-0000-000085B10000}"/>
    <cellStyle name="Normal 6 9 3 6" xfId="14271" xr:uid="{00000000-0005-0000-0000-000086B10000}"/>
    <cellStyle name="Normal 6 9 4" xfId="6167" xr:uid="{00000000-0005-0000-0000-000087B10000}"/>
    <cellStyle name="Normal 6 9 4 2" xfId="25618" xr:uid="{00000000-0005-0000-0000-000088B10000}"/>
    <cellStyle name="Normal 6 9 4 3" xfId="35343" xr:uid="{00000000-0005-0000-0000-000089B10000}"/>
    <cellStyle name="Normal 6 9 4 4" xfId="45068" xr:uid="{00000000-0005-0000-0000-00008AB10000}"/>
    <cellStyle name="Normal 6 9 4 5" xfId="15893" xr:uid="{00000000-0005-0000-0000-00008BB10000}"/>
    <cellStyle name="Normal 6 9 5" xfId="20756" xr:uid="{00000000-0005-0000-0000-00008CB10000}"/>
    <cellStyle name="Normal 6 9 6" xfId="30481" xr:uid="{00000000-0005-0000-0000-00008DB10000}"/>
    <cellStyle name="Normal 6 9 7" xfId="40206" xr:uid="{00000000-0005-0000-0000-00008EB10000}"/>
    <cellStyle name="Normal 6 9 8" xfId="11031" xr:uid="{00000000-0005-0000-0000-00008FB10000}"/>
    <cellStyle name="Normal 6_Database (All)" xfId="1168" xr:uid="{00000000-0005-0000-0000-000090B10000}"/>
    <cellStyle name="Normal 7" xfId="4966" xr:uid="{00000000-0005-0000-0000-000091B10000}"/>
    <cellStyle name="Normal 7 2" xfId="9828" xr:uid="{00000000-0005-0000-0000-000092B10000}"/>
    <cellStyle name="Normal 7 2 2" xfId="29279" xr:uid="{00000000-0005-0000-0000-000093B10000}"/>
    <cellStyle name="Normal 7 2 3" xfId="39004" xr:uid="{00000000-0005-0000-0000-000094B10000}"/>
    <cellStyle name="Normal 7 2 4" xfId="48729" xr:uid="{00000000-0005-0000-0000-000095B10000}"/>
    <cellStyle name="Normal 7 2 5" xfId="19554" xr:uid="{00000000-0005-0000-0000-000096B10000}"/>
    <cellStyle name="Normal 7 3" xfId="24417" xr:uid="{00000000-0005-0000-0000-000097B10000}"/>
    <cellStyle name="Normal 7 4" xfId="34142" xr:uid="{00000000-0005-0000-0000-000098B10000}"/>
    <cellStyle name="Normal 7 5" xfId="43867" xr:uid="{00000000-0005-0000-0000-000099B10000}"/>
    <cellStyle name="Normal 7 6" xfId="14692" xr:uid="{00000000-0005-0000-0000-00009AB10000}"/>
    <cellStyle name="Normal 8" xfId="4967" xr:uid="{00000000-0005-0000-0000-00009BB10000}"/>
    <cellStyle name="Normal 8 2" xfId="9829" xr:uid="{00000000-0005-0000-0000-00009CB10000}"/>
    <cellStyle name="Normal 8 2 2" xfId="29280" xr:uid="{00000000-0005-0000-0000-00009DB10000}"/>
    <cellStyle name="Normal 8 2 3" xfId="39005" xr:uid="{00000000-0005-0000-0000-00009EB10000}"/>
    <cellStyle name="Normal 8 2 4" xfId="48730" xr:uid="{00000000-0005-0000-0000-00009FB10000}"/>
    <cellStyle name="Normal 8 2 5" xfId="19555" xr:uid="{00000000-0005-0000-0000-0000A0B10000}"/>
    <cellStyle name="Normal 8 3" xfId="24418" xr:uid="{00000000-0005-0000-0000-0000A1B10000}"/>
    <cellStyle name="Normal 8 4" xfId="34143" xr:uid="{00000000-0005-0000-0000-0000A2B10000}"/>
    <cellStyle name="Normal 8 5" xfId="43868" xr:uid="{00000000-0005-0000-0000-0000A3B10000}"/>
    <cellStyle name="Normal 8 6" xfId="14693" xr:uid="{00000000-0005-0000-0000-0000A4B10000}"/>
    <cellStyle name="Normal 9" xfId="9830" xr:uid="{00000000-0005-0000-0000-0000A5B10000}"/>
    <cellStyle name="Normal 9 2" xfId="29281" xr:uid="{00000000-0005-0000-0000-0000A6B10000}"/>
    <cellStyle name="Normal 9 3" xfId="39006" xr:uid="{00000000-0005-0000-0000-0000A7B10000}"/>
    <cellStyle name="Normal 9 4" xfId="48731" xr:uid="{00000000-0005-0000-0000-0000A8B10000}"/>
    <cellStyle name="Normal 9 5" xfId="19556" xr:uid="{00000000-0005-0000-0000-0000A9B10000}"/>
    <cellStyle name="Normal_Database (All)" xfId="1725" xr:uid="{00000000-0005-0000-0000-0000AAB10000}"/>
    <cellStyle name="Normal_Quick Copy IPs" xfId="5" xr:uid="{00000000-0005-0000-0000-0000ABB10000}"/>
    <cellStyle name="Note 2" xfId="54" xr:uid="{00000000-0005-0000-0000-0000ACB10000}"/>
    <cellStyle name="Note 2 10" xfId="1288" xr:uid="{00000000-0005-0000-0000-0000ADB10000}"/>
    <cellStyle name="Note 2 10 2" xfId="2909" xr:uid="{00000000-0005-0000-0000-0000AEB10000}"/>
    <cellStyle name="Note 2 10 2 2" xfId="7771" xr:uid="{00000000-0005-0000-0000-0000AFB10000}"/>
    <cellStyle name="Note 2 10 2 2 2" xfId="27222" xr:uid="{00000000-0005-0000-0000-0000B0B10000}"/>
    <cellStyle name="Note 2 10 2 2 3" xfId="36947" xr:uid="{00000000-0005-0000-0000-0000B1B10000}"/>
    <cellStyle name="Note 2 10 2 2 4" xfId="46672" xr:uid="{00000000-0005-0000-0000-0000B2B10000}"/>
    <cellStyle name="Note 2 10 2 2 5" xfId="17497" xr:uid="{00000000-0005-0000-0000-0000B3B10000}"/>
    <cellStyle name="Note 2 10 2 3" xfId="22360" xr:uid="{00000000-0005-0000-0000-0000B4B10000}"/>
    <cellStyle name="Note 2 10 2 4" xfId="32085" xr:uid="{00000000-0005-0000-0000-0000B5B10000}"/>
    <cellStyle name="Note 2 10 2 5" xfId="41810" xr:uid="{00000000-0005-0000-0000-0000B6B10000}"/>
    <cellStyle name="Note 2 10 2 6" xfId="12635" xr:uid="{00000000-0005-0000-0000-0000B7B10000}"/>
    <cellStyle name="Note 2 10 3" xfId="4529" xr:uid="{00000000-0005-0000-0000-0000B8B10000}"/>
    <cellStyle name="Note 2 10 3 2" xfId="9391" xr:uid="{00000000-0005-0000-0000-0000B9B10000}"/>
    <cellStyle name="Note 2 10 3 2 2" xfId="28842" xr:uid="{00000000-0005-0000-0000-0000BAB10000}"/>
    <cellStyle name="Note 2 10 3 2 3" xfId="38567" xr:uid="{00000000-0005-0000-0000-0000BBB10000}"/>
    <cellStyle name="Note 2 10 3 2 4" xfId="48292" xr:uid="{00000000-0005-0000-0000-0000BCB10000}"/>
    <cellStyle name="Note 2 10 3 2 5" xfId="19117" xr:uid="{00000000-0005-0000-0000-0000BDB10000}"/>
    <cellStyle name="Note 2 10 3 3" xfId="23980" xr:uid="{00000000-0005-0000-0000-0000BEB10000}"/>
    <cellStyle name="Note 2 10 3 4" xfId="33705" xr:uid="{00000000-0005-0000-0000-0000BFB10000}"/>
    <cellStyle name="Note 2 10 3 5" xfId="43430" xr:uid="{00000000-0005-0000-0000-0000C0B10000}"/>
    <cellStyle name="Note 2 10 3 6" xfId="14255" xr:uid="{00000000-0005-0000-0000-0000C1B10000}"/>
    <cellStyle name="Note 2 10 4" xfId="6151" xr:uid="{00000000-0005-0000-0000-0000C2B10000}"/>
    <cellStyle name="Note 2 10 4 2" xfId="25602" xr:uid="{00000000-0005-0000-0000-0000C3B10000}"/>
    <cellStyle name="Note 2 10 4 3" xfId="35327" xr:uid="{00000000-0005-0000-0000-0000C4B10000}"/>
    <cellStyle name="Note 2 10 4 4" xfId="45052" xr:uid="{00000000-0005-0000-0000-0000C5B10000}"/>
    <cellStyle name="Note 2 10 4 5" xfId="15877" xr:uid="{00000000-0005-0000-0000-0000C6B10000}"/>
    <cellStyle name="Note 2 10 5" xfId="20740" xr:uid="{00000000-0005-0000-0000-0000C7B10000}"/>
    <cellStyle name="Note 2 10 6" xfId="30465" xr:uid="{00000000-0005-0000-0000-0000C8B10000}"/>
    <cellStyle name="Note 2 10 7" xfId="40190" xr:uid="{00000000-0005-0000-0000-0000C9B10000}"/>
    <cellStyle name="Note 2 10 8" xfId="11015" xr:uid="{00000000-0005-0000-0000-0000CAB10000}"/>
    <cellStyle name="Note 2 11" xfId="459" xr:uid="{00000000-0005-0000-0000-0000CBB10000}"/>
    <cellStyle name="Note 2 11 2" xfId="2099" xr:uid="{00000000-0005-0000-0000-0000CCB10000}"/>
    <cellStyle name="Note 2 11 2 2" xfId="6961" xr:uid="{00000000-0005-0000-0000-0000CDB10000}"/>
    <cellStyle name="Note 2 11 2 2 2" xfId="26412" xr:uid="{00000000-0005-0000-0000-0000CEB10000}"/>
    <cellStyle name="Note 2 11 2 2 3" xfId="36137" xr:uid="{00000000-0005-0000-0000-0000CFB10000}"/>
    <cellStyle name="Note 2 11 2 2 4" xfId="45862" xr:uid="{00000000-0005-0000-0000-0000D0B10000}"/>
    <cellStyle name="Note 2 11 2 2 5" xfId="16687" xr:uid="{00000000-0005-0000-0000-0000D1B10000}"/>
    <cellStyle name="Note 2 11 2 3" xfId="21550" xr:uid="{00000000-0005-0000-0000-0000D2B10000}"/>
    <cellStyle name="Note 2 11 2 4" xfId="31275" xr:uid="{00000000-0005-0000-0000-0000D3B10000}"/>
    <cellStyle name="Note 2 11 2 5" xfId="41000" xr:uid="{00000000-0005-0000-0000-0000D4B10000}"/>
    <cellStyle name="Note 2 11 2 6" xfId="11825" xr:uid="{00000000-0005-0000-0000-0000D5B10000}"/>
    <cellStyle name="Note 2 11 3" xfId="3719" xr:uid="{00000000-0005-0000-0000-0000D6B10000}"/>
    <cellStyle name="Note 2 11 3 2" xfId="8581" xr:uid="{00000000-0005-0000-0000-0000D7B10000}"/>
    <cellStyle name="Note 2 11 3 2 2" xfId="28032" xr:uid="{00000000-0005-0000-0000-0000D8B10000}"/>
    <cellStyle name="Note 2 11 3 2 3" xfId="37757" xr:uid="{00000000-0005-0000-0000-0000D9B10000}"/>
    <cellStyle name="Note 2 11 3 2 4" xfId="47482" xr:uid="{00000000-0005-0000-0000-0000DAB10000}"/>
    <cellStyle name="Note 2 11 3 2 5" xfId="18307" xr:uid="{00000000-0005-0000-0000-0000DBB10000}"/>
    <cellStyle name="Note 2 11 3 3" xfId="23170" xr:uid="{00000000-0005-0000-0000-0000DCB10000}"/>
    <cellStyle name="Note 2 11 3 4" xfId="32895" xr:uid="{00000000-0005-0000-0000-0000DDB10000}"/>
    <cellStyle name="Note 2 11 3 5" xfId="42620" xr:uid="{00000000-0005-0000-0000-0000DEB10000}"/>
    <cellStyle name="Note 2 11 3 6" xfId="13445" xr:uid="{00000000-0005-0000-0000-0000DFB10000}"/>
    <cellStyle name="Note 2 11 4" xfId="5341" xr:uid="{00000000-0005-0000-0000-0000E0B10000}"/>
    <cellStyle name="Note 2 11 4 2" xfId="24792" xr:uid="{00000000-0005-0000-0000-0000E1B10000}"/>
    <cellStyle name="Note 2 11 4 3" xfId="34517" xr:uid="{00000000-0005-0000-0000-0000E2B10000}"/>
    <cellStyle name="Note 2 11 4 4" xfId="44242" xr:uid="{00000000-0005-0000-0000-0000E3B10000}"/>
    <cellStyle name="Note 2 11 4 5" xfId="15067" xr:uid="{00000000-0005-0000-0000-0000E4B10000}"/>
    <cellStyle name="Note 2 11 5" xfId="19930" xr:uid="{00000000-0005-0000-0000-0000E5B10000}"/>
    <cellStyle name="Note 2 11 6" xfId="29655" xr:uid="{00000000-0005-0000-0000-0000E6B10000}"/>
    <cellStyle name="Note 2 11 7" xfId="39380" xr:uid="{00000000-0005-0000-0000-0000E7B10000}"/>
    <cellStyle name="Note 2 11 8" xfId="10205" xr:uid="{00000000-0005-0000-0000-0000E8B10000}"/>
    <cellStyle name="Note 2 12" xfId="1648" xr:uid="{00000000-0005-0000-0000-0000E9B10000}"/>
    <cellStyle name="Note 2 12 2" xfId="3269" xr:uid="{00000000-0005-0000-0000-0000EAB10000}"/>
    <cellStyle name="Note 2 12 2 2" xfId="8131" xr:uid="{00000000-0005-0000-0000-0000EBB10000}"/>
    <cellStyle name="Note 2 12 2 2 2" xfId="27582" xr:uid="{00000000-0005-0000-0000-0000ECB10000}"/>
    <cellStyle name="Note 2 12 2 2 3" xfId="37307" xr:uid="{00000000-0005-0000-0000-0000EDB10000}"/>
    <cellStyle name="Note 2 12 2 2 4" xfId="47032" xr:uid="{00000000-0005-0000-0000-0000EEB10000}"/>
    <cellStyle name="Note 2 12 2 2 5" xfId="17857" xr:uid="{00000000-0005-0000-0000-0000EFB10000}"/>
    <cellStyle name="Note 2 12 2 3" xfId="22720" xr:uid="{00000000-0005-0000-0000-0000F0B10000}"/>
    <cellStyle name="Note 2 12 2 4" xfId="32445" xr:uid="{00000000-0005-0000-0000-0000F1B10000}"/>
    <cellStyle name="Note 2 12 2 5" xfId="42170" xr:uid="{00000000-0005-0000-0000-0000F2B10000}"/>
    <cellStyle name="Note 2 12 2 6" xfId="12995" xr:uid="{00000000-0005-0000-0000-0000F3B10000}"/>
    <cellStyle name="Note 2 12 3" xfId="4889" xr:uid="{00000000-0005-0000-0000-0000F4B10000}"/>
    <cellStyle name="Note 2 12 3 2" xfId="9751" xr:uid="{00000000-0005-0000-0000-0000F5B10000}"/>
    <cellStyle name="Note 2 12 3 2 2" xfId="29202" xr:uid="{00000000-0005-0000-0000-0000F6B10000}"/>
    <cellStyle name="Note 2 12 3 2 3" xfId="38927" xr:uid="{00000000-0005-0000-0000-0000F7B10000}"/>
    <cellStyle name="Note 2 12 3 2 4" xfId="48652" xr:uid="{00000000-0005-0000-0000-0000F8B10000}"/>
    <cellStyle name="Note 2 12 3 2 5" xfId="19477" xr:uid="{00000000-0005-0000-0000-0000F9B10000}"/>
    <cellStyle name="Note 2 12 3 3" xfId="24340" xr:uid="{00000000-0005-0000-0000-0000FAB10000}"/>
    <cellStyle name="Note 2 12 3 4" xfId="34065" xr:uid="{00000000-0005-0000-0000-0000FBB10000}"/>
    <cellStyle name="Note 2 12 3 5" xfId="43790" xr:uid="{00000000-0005-0000-0000-0000FCB10000}"/>
    <cellStyle name="Note 2 12 3 6" xfId="14615" xr:uid="{00000000-0005-0000-0000-0000FDB10000}"/>
    <cellStyle name="Note 2 12 4" xfId="6511" xr:uid="{00000000-0005-0000-0000-0000FEB10000}"/>
    <cellStyle name="Note 2 12 4 2" xfId="25962" xr:uid="{00000000-0005-0000-0000-0000FFB10000}"/>
    <cellStyle name="Note 2 12 4 3" xfId="35687" xr:uid="{00000000-0005-0000-0000-000000B20000}"/>
    <cellStyle name="Note 2 12 4 4" xfId="45412" xr:uid="{00000000-0005-0000-0000-000001B20000}"/>
    <cellStyle name="Note 2 12 4 5" xfId="16237" xr:uid="{00000000-0005-0000-0000-000002B20000}"/>
    <cellStyle name="Note 2 12 5" xfId="21100" xr:uid="{00000000-0005-0000-0000-000003B20000}"/>
    <cellStyle name="Note 2 12 6" xfId="30825" xr:uid="{00000000-0005-0000-0000-000004B20000}"/>
    <cellStyle name="Note 2 12 7" xfId="40550" xr:uid="{00000000-0005-0000-0000-000005B20000}"/>
    <cellStyle name="Note 2 12 8" xfId="11375" xr:uid="{00000000-0005-0000-0000-000006B20000}"/>
    <cellStyle name="Note 2 13" xfId="1739" xr:uid="{00000000-0005-0000-0000-000007B20000}"/>
    <cellStyle name="Note 2 13 2" xfId="6601" xr:uid="{00000000-0005-0000-0000-000008B20000}"/>
    <cellStyle name="Note 2 13 2 2" xfId="26052" xr:uid="{00000000-0005-0000-0000-000009B20000}"/>
    <cellStyle name="Note 2 13 2 3" xfId="35777" xr:uid="{00000000-0005-0000-0000-00000AB20000}"/>
    <cellStyle name="Note 2 13 2 4" xfId="45502" xr:uid="{00000000-0005-0000-0000-00000BB20000}"/>
    <cellStyle name="Note 2 13 2 5" xfId="16327" xr:uid="{00000000-0005-0000-0000-00000CB20000}"/>
    <cellStyle name="Note 2 13 3" xfId="21190" xr:uid="{00000000-0005-0000-0000-00000DB20000}"/>
    <cellStyle name="Note 2 13 4" xfId="30915" xr:uid="{00000000-0005-0000-0000-00000EB20000}"/>
    <cellStyle name="Note 2 13 5" xfId="40640" xr:uid="{00000000-0005-0000-0000-00000FB20000}"/>
    <cellStyle name="Note 2 13 6" xfId="11465" xr:uid="{00000000-0005-0000-0000-000010B20000}"/>
    <cellStyle name="Note 2 14" xfId="3359" xr:uid="{00000000-0005-0000-0000-000011B20000}"/>
    <cellStyle name="Note 2 14 2" xfId="8221" xr:uid="{00000000-0005-0000-0000-000012B20000}"/>
    <cellStyle name="Note 2 14 2 2" xfId="27672" xr:uid="{00000000-0005-0000-0000-000013B20000}"/>
    <cellStyle name="Note 2 14 2 3" xfId="37397" xr:uid="{00000000-0005-0000-0000-000014B20000}"/>
    <cellStyle name="Note 2 14 2 4" xfId="47122" xr:uid="{00000000-0005-0000-0000-000015B20000}"/>
    <cellStyle name="Note 2 14 2 5" xfId="17947" xr:uid="{00000000-0005-0000-0000-000016B20000}"/>
    <cellStyle name="Note 2 14 3" xfId="22810" xr:uid="{00000000-0005-0000-0000-000017B20000}"/>
    <cellStyle name="Note 2 14 4" xfId="32535" xr:uid="{00000000-0005-0000-0000-000018B20000}"/>
    <cellStyle name="Note 2 14 5" xfId="42260" xr:uid="{00000000-0005-0000-0000-000019B20000}"/>
    <cellStyle name="Note 2 14 6" xfId="13085" xr:uid="{00000000-0005-0000-0000-00001AB20000}"/>
    <cellStyle name="Note 2 15" xfId="4981" xr:uid="{00000000-0005-0000-0000-00001BB20000}"/>
    <cellStyle name="Note 2 15 2" xfId="24432" xr:uid="{00000000-0005-0000-0000-00001CB20000}"/>
    <cellStyle name="Note 2 15 3" xfId="34157" xr:uid="{00000000-0005-0000-0000-00001DB20000}"/>
    <cellStyle name="Note 2 15 4" xfId="43882" xr:uid="{00000000-0005-0000-0000-00001EB20000}"/>
    <cellStyle name="Note 2 15 5" xfId="14707" xr:uid="{00000000-0005-0000-0000-00001FB20000}"/>
    <cellStyle name="Note 2 16" xfId="19570" xr:uid="{00000000-0005-0000-0000-000020B20000}"/>
    <cellStyle name="Note 2 17" xfId="29295" xr:uid="{00000000-0005-0000-0000-000021B20000}"/>
    <cellStyle name="Note 2 18" xfId="39020" xr:uid="{00000000-0005-0000-0000-000022B20000}"/>
    <cellStyle name="Note 2 19" xfId="9845" xr:uid="{00000000-0005-0000-0000-000023B20000}"/>
    <cellStyle name="Note 2 2" xfId="69" xr:uid="{00000000-0005-0000-0000-000024B20000}"/>
    <cellStyle name="Note 2 2 10" xfId="473" xr:uid="{00000000-0005-0000-0000-000025B20000}"/>
    <cellStyle name="Note 2 2 10 2" xfId="2113" xr:uid="{00000000-0005-0000-0000-000026B20000}"/>
    <cellStyle name="Note 2 2 10 2 2" xfId="6975" xr:uid="{00000000-0005-0000-0000-000027B20000}"/>
    <cellStyle name="Note 2 2 10 2 2 2" xfId="26426" xr:uid="{00000000-0005-0000-0000-000028B20000}"/>
    <cellStyle name="Note 2 2 10 2 2 3" xfId="36151" xr:uid="{00000000-0005-0000-0000-000029B20000}"/>
    <cellStyle name="Note 2 2 10 2 2 4" xfId="45876" xr:uid="{00000000-0005-0000-0000-00002AB20000}"/>
    <cellStyle name="Note 2 2 10 2 2 5" xfId="16701" xr:uid="{00000000-0005-0000-0000-00002BB20000}"/>
    <cellStyle name="Note 2 2 10 2 3" xfId="21564" xr:uid="{00000000-0005-0000-0000-00002CB20000}"/>
    <cellStyle name="Note 2 2 10 2 4" xfId="31289" xr:uid="{00000000-0005-0000-0000-00002DB20000}"/>
    <cellStyle name="Note 2 2 10 2 5" xfId="41014" xr:uid="{00000000-0005-0000-0000-00002EB20000}"/>
    <cellStyle name="Note 2 2 10 2 6" xfId="11839" xr:uid="{00000000-0005-0000-0000-00002FB20000}"/>
    <cellStyle name="Note 2 2 10 3" xfId="3733" xr:uid="{00000000-0005-0000-0000-000030B20000}"/>
    <cellStyle name="Note 2 2 10 3 2" xfId="8595" xr:uid="{00000000-0005-0000-0000-000031B20000}"/>
    <cellStyle name="Note 2 2 10 3 2 2" xfId="28046" xr:uid="{00000000-0005-0000-0000-000032B20000}"/>
    <cellStyle name="Note 2 2 10 3 2 3" xfId="37771" xr:uid="{00000000-0005-0000-0000-000033B20000}"/>
    <cellStyle name="Note 2 2 10 3 2 4" xfId="47496" xr:uid="{00000000-0005-0000-0000-000034B20000}"/>
    <cellStyle name="Note 2 2 10 3 2 5" xfId="18321" xr:uid="{00000000-0005-0000-0000-000035B20000}"/>
    <cellStyle name="Note 2 2 10 3 3" xfId="23184" xr:uid="{00000000-0005-0000-0000-000036B20000}"/>
    <cellStyle name="Note 2 2 10 3 4" xfId="32909" xr:uid="{00000000-0005-0000-0000-000037B20000}"/>
    <cellStyle name="Note 2 2 10 3 5" xfId="42634" xr:uid="{00000000-0005-0000-0000-000038B20000}"/>
    <cellStyle name="Note 2 2 10 3 6" xfId="13459" xr:uid="{00000000-0005-0000-0000-000039B20000}"/>
    <cellStyle name="Note 2 2 10 4" xfId="5355" xr:uid="{00000000-0005-0000-0000-00003AB20000}"/>
    <cellStyle name="Note 2 2 10 4 2" xfId="24806" xr:uid="{00000000-0005-0000-0000-00003BB20000}"/>
    <cellStyle name="Note 2 2 10 4 3" xfId="34531" xr:uid="{00000000-0005-0000-0000-00003CB20000}"/>
    <cellStyle name="Note 2 2 10 4 4" xfId="44256" xr:uid="{00000000-0005-0000-0000-00003DB20000}"/>
    <cellStyle name="Note 2 2 10 4 5" xfId="15081" xr:uid="{00000000-0005-0000-0000-00003EB20000}"/>
    <cellStyle name="Note 2 2 10 5" xfId="19944" xr:uid="{00000000-0005-0000-0000-00003FB20000}"/>
    <cellStyle name="Note 2 2 10 6" xfId="29669" xr:uid="{00000000-0005-0000-0000-000040B20000}"/>
    <cellStyle name="Note 2 2 10 7" xfId="39394" xr:uid="{00000000-0005-0000-0000-000041B20000}"/>
    <cellStyle name="Note 2 2 10 8" xfId="10219" xr:uid="{00000000-0005-0000-0000-000042B20000}"/>
    <cellStyle name="Note 2 2 11" xfId="1662" xr:uid="{00000000-0005-0000-0000-000043B20000}"/>
    <cellStyle name="Note 2 2 11 2" xfId="3283" xr:uid="{00000000-0005-0000-0000-000044B20000}"/>
    <cellStyle name="Note 2 2 11 2 2" xfId="8145" xr:uid="{00000000-0005-0000-0000-000045B20000}"/>
    <cellStyle name="Note 2 2 11 2 2 2" xfId="27596" xr:uid="{00000000-0005-0000-0000-000046B20000}"/>
    <cellStyle name="Note 2 2 11 2 2 3" xfId="37321" xr:uid="{00000000-0005-0000-0000-000047B20000}"/>
    <cellStyle name="Note 2 2 11 2 2 4" xfId="47046" xr:uid="{00000000-0005-0000-0000-000048B20000}"/>
    <cellStyle name="Note 2 2 11 2 2 5" xfId="17871" xr:uid="{00000000-0005-0000-0000-000049B20000}"/>
    <cellStyle name="Note 2 2 11 2 3" xfId="22734" xr:uid="{00000000-0005-0000-0000-00004AB20000}"/>
    <cellStyle name="Note 2 2 11 2 4" xfId="32459" xr:uid="{00000000-0005-0000-0000-00004BB20000}"/>
    <cellStyle name="Note 2 2 11 2 5" xfId="42184" xr:uid="{00000000-0005-0000-0000-00004CB20000}"/>
    <cellStyle name="Note 2 2 11 2 6" xfId="13009" xr:uid="{00000000-0005-0000-0000-00004DB20000}"/>
    <cellStyle name="Note 2 2 11 3" xfId="4903" xr:uid="{00000000-0005-0000-0000-00004EB20000}"/>
    <cellStyle name="Note 2 2 11 3 2" xfId="9765" xr:uid="{00000000-0005-0000-0000-00004FB20000}"/>
    <cellStyle name="Note 2 2 11 3 2 2" xfId="29216" xr:uid="{00000000-0005-0000-0000-000050B20000}"/>
    <cellStyle name="Note 2 2 11 3 2 3" xfId="38941" xr:uid="{00000000-0005-0000-0000-000051B20000}"/>
    <cellStyle name="Note 2 2 11 3 2 4" xfId="48666" xr:uid="{00000000-0005-0000-0000-000052B20000}"/>
    <cellStyle name="Note 2 2 11 3 2 5" xfId="19491" xr:uid="{00000000-0005-0000-0000-000053B20000}"/>
    <cellStyle name="Note 2 2 11 3 3" xfId="24354" xr:uid="{00000000-0005-0000-0000-000054B20000}"/>
    <cellStyle name="Note 2 2 11 3 4" xfId="34079" xr:uid="{00000000-0005-0000-0000-000055B20000}"/>
    <cellStyle name="Note 2 2 11 3 5" xfId="43804" xr:uid="{00000000-0005-0000-0000-000056B20000}"/>
    <cellStyle name="Note 2 2 11 3 6" xfId="14629" xr:uid="{00000000-0005-0000-0000-000057B20000}"/>
    <cellStyle name="Note 2 2 11 4" xfId="6525" xr:uid="{00000000-0005-0000-0000-000058B20000}"/>
    <cellStyle name="Note 2 2 11 4 2" xfId="25976" xr:uid="{00000000-0005-0000-0000-000059B20000}"/>
    <cellStyle name="Note 2 2 11 4 3" xfId="35701" xr:uid="{00000000-0005-0000-0000-00005AB20000}"/>
    <cellStyle name="Note 2 2 11 4 4" xfId="45426" xr:uid="{00000000-0005-0000-0000-00005BB20000}"/>
    <cellStyle name="Note 2 2 11 4 5" xfId="16251" xr:uid="{00000000-0005-0000-0000-00005CB20000}"/>
    <cellStyle name="Note 2 2 11 5" xfId="21114" xr:uid="{00000000-0005-0000-0000-00005DB20000}"/>
    <cellStyle name="Note 2 2 11 6" xfId="30839" xr:uid="{00000000-0005-0000-0000-00005EB20000}"/>
    <cellStyle name="Note 2 2 11 7" xfId="40564" xr:uid="{00000000-0005-0000-0000-00005FB20000}"/>
    <cellStyle name="Note 2 2 11 8" xfId="11389" xr:uid="{00000000-0005-0000-0000-000060B20000}"/>
    <cellStyle name="Note 2 2 12" xfId="1753" xr:uid="{00000000-0005-0000-0000-000061B20000}"/>
    <cellStyle name="Note 2 2 12 2" xfId="6615" xr:uid="{00000000-0005-0000-0000-000062B20000}"/>
    <cellStyle name="Note 2 2 12 2 2" xfId="26066" xr:uid="{00000000-0005-0000-0000-000063B20000}"/>
    <cellStyle name="Note 2 2 12 2 3" xfId="35791" xr:uid="{00000000-0005-0000-0000-000064B20000}"/>
    <cellStyle name="Note 2 2 12 2 4" xfId="45516" xr:uid="{00000000-0005-0000-0000-000065B20000}"/>
    <cellStyle name="Note 2 2 12 2 5" xfId="16341" xr:uid="{00000000-0005-0000-0000-000066B20000}"/>
    <cellStyle name="Note 2 2 12 3" xfId="21204" xr:uid="{00000000-0005-0000-0000-000067B20000}"/>
    <cellStyle name="Note 2 2 12 4" xfId="30929" xr:uid="{00000000-0005-0000-0000-000068B20000}"/>
    <cellStyle name="Note 2 2 12 5" xfId="40654" xr:uid="{00000000-0005-0000-0000-000069B20000}"/>
    <cellStyle name="Note 2 2 12 6" xfId="11479" xr:uid="{00000000-0005-0000-0000-00006AB20000}"/>
    <cellStyle name="Note 2 2 13" xfId="3373" xr:uid="{00000000-0005-0000-0000-00006BB20000}"/>
    <cellStyle name="Note 2 2 13 2" xfId="8235" xr:uid="{00000000-0005-0000-0000-00006CB20000}"/>
    <cellStyle name="Note 2 2 13 2 2" xfId="27686" xr:uid="{00000000-0005-0000-0000-00006DB20000}"/>
    <cellStyle name="Note 2 2 13 2 3" xfId="37411" xr:uid="{00000000-0005-0000-0000-00006EB20000}"/>
    <cellStyle name="Note 2 2 13 2 4" xfId="47136" xr:uid="{00000000-0005-0000-0000-00006FB20000}"/>
    <cellStyle name="Note 2 2 13 2 5" xfId="17961" xr:uid="{00000000-0005-0000-0000-000070B20000}"/>
    <cellStyle name="Note 2 2 13 3" xfId="22824" xr:uid="{00000000-0005-0000-0000-000071B20000}"/>
    <cellStyle name="Note 2 2 13 4" xfId="32549" xr:uid="{00000000-0005-0000-0000-000072B20000}"/>
    <cellStyle name="Note 2 2 13 5" xfId="42274" xr:uid="{00000000-0005-0000-0000-000073B20000}"/>
    <cellStyle name="Note 2 2 13 6" xfId="13099" xr:uid="{00000000-0005-0000-0000-000074B20000}"/>
    <cellStyle name="Note 2 2 14" xfId="4995" xr:uid="{00000000-0005-0000-0000-000075B20000}"/>
    <cellStyle name="Note 2 2 14 2" xfId="24446" xr:uid="{00000000-0005-0000-0000-000076B20000}"/>
    <cellStyle name="Note 2 2 14 3" xfId="34171" xr:uid="{00000000-0005-0000-0000-000077B20000}"/>
    <cellStyle name="Note 2 2 14 4" xfId="43896" xr:uid="{00000000-0005-0000-0000-000078B20000}"/>
    <cellStyle name="Note 2 2 14 5" xfId="14721" xr:uid="{00000000-0005-0000-0000-000079B20000}"/>
    <cellStyle name="Note 2 2 15" xfId="19584" xr:uid="{00000000-0005-0000-0000-00007AB20000}"/>
    <cellStyle name="Note 2 2 16" xfId="29309" xr:uid="{00000000-0005-0000-0000-00007BB20000}"/>
    <cellStyle name="Note 2 2 17" xfId="39034" xr:uid="{00000000-0005-0000-0000-00007CB20000}"/>
    <cellStyle name="Note 2 2 18" xfId="9859" xr:uid="{00000000-0005-0000-0000-00007DB20000}"/>
    <cellStyle name="Note 2 2 2" xfId="99" xr:uid="{00000000-0005-0000-0000-00007EB20000}"/>
    <cellStyle name="Note 2 2 2 10" xfId="1783" xr:uid="{00000000-0005-0000-0000-00007FB20000}"/>
    <cellStyle name="Note 2 2 2 10 2" xfId="6645" xr:uid="{00000000-0005-0000-0000-000080B20000}"/>
    <cellStyle name="Note 2 2 2 10 2 2" xfId="26096" xr:uid="{00000000-0005-0000-0000-000081B20000}"/>
    <cellStyle name="Note 2 2 2 10 2 3" xfId="35821" xr:uid="{00000000-0005-0000-0000-000082B20000}"/>
    <cellStyle name="Note 2 2 2 10 2 4" xfId="45546" xr:uid="{00000000-0005-0000-0000-000083B20000}"/>
    <cellStyle name="Note 2 2 2 10 2 5" xfId="16371" xr:uid="{00000000-0005-0000-0000-000084B20000}"/>
    <cellStyle name="Note 2 2 2 10 3" xfId="21234" xr:uid="{00000000-0005-0000-0000-000085B20000}"/>
    <cellStyle name="Note 2 2 2 10 4" xfId="30959" xr:uid="{00000000-0005-0000-0000-000086B20000}"/>
    <cellStyle name="Note 2 2 2 10 5" xfId="40684" xr:uid="{00000000-0005-0000-0000-000087B20000}"/>
    <cellStyle name="Note 2 2 2 10 6" xfId="11509" xr:uid="{00000000-0005-0000-0000-000088B20000}"/>
    <cellStyle name="Note 2 2 2 11" xfId="3403" xr:uid="{00000000-0005-0000-0000-000089B20000}"/>
    <cellStyle name="Note 2 2 2 11 2" xfId="8265" xr:uid="{00000000-0005-0000-0000-00008AB20000}"/>
    <cellStyle name="Note 2 2 2 11 2 2" xfId="27716" xr:uid="{00000000-0005-0000-0000-00008BB20000}"/>
    <cellStyle name="Note 2 2 2 11 2 3" xfId="37441" xr:uid="{00000000-0005-0000-0000-00008CB20000}"/>
    <cellStyle name="Note 2 2 2 11 2 4" xfId="47166" xr:uid="{00000000-0005-0000-0000-00008DB20000}"/>
    <cellStyle name="Note 2 2 2 11 2 5" xfId="17991" xr:uid="{00000000-0005-0000-0000-00008EB20000}"/>
    <cellStyle name="Note 2 2 2 11 3" xfId="22854" xr:uid="{00000000-0005-0000-0000-00008FB20000}"/>
    <cellStyle name="Note 2 2 2 11 4" xfId="32579" xr:uid="{00000000-0005-0000-0000-000090B20000}"/>
    <cellStyle name="Note 2 2 2 11 5" xfId="42304" xr:uid="{00000000-0005-0000-0000-000091B20000}"/>
    <cellStyle name="Note 2 2 2 11 6" xfId="13129" xr:uid="{00000000-0005-0000-0000-000092B20000}"/>
    <cellStyle name="Note 2 2 2 12" xfId="5025" xr:uid="{00000000-0005-0000-0000-000093B20000}"/>
    <cellStyle name="Note 2 2 2 12 2" xfId="24476" xr:uid="{00000000-0005-0000-0000-000094B20000}"/>
    <cellStyle name="Note 2 2 2 12 3" xfId="34201" xr:uid="{00000000-0005-0000-0000-000095B20000}"/>
    <cellStyle name="Note 2 2 2 12 4" xfId="43926" xr:uid="{00000000-0005-0000-0000-000096B20000}"/>
    <cellStyle name="Note 2 2 2 12 5" xfId="14751" xr:uid="{00000000-0005-0000-0000-000097B20000}"/>
    <cellStyle name="Note 2 2 2 13" xfId="19614" xr:uid="{00000000-0005-0000-0000-000098B20000}"/>
    <cellStyle name="Note 2 2 2 14" xfId="29339" xr:uid="{00000000-0005-0000-0000-000099B20000}"/>
    <cellStyle name="Note 2 2 2 15" xfId="39064" xr:uid="{00000000-0005-0000-0000-00009AB20000}"/>
    <cellStyle name="Note 2 2 2 16" xfId="9889" xr:uid="{00000000-0005-0000-0000-00009BB20000}"/>
    <cellStyle name="Note 2 2 2 2" xfId="281" xr:uid="{00000000-0005-0000-0000-00009CB20000}"/>
    <cellStyle name="Note 2 2 2 2 10" xfId="39244" xr:uid="{00000000-0005-0000-0000-00009DB20000}"/>
    <cellStyle name="Note 2 2 2 2 11" xfId="10069" xr:uid="{00000000-0005-0000-0000-00009EB20000}"/>
    <cellStyle name="Note 2 2 2 2 2" xfId="1045" xr:uid="{00000000-0005-0000-0000-00009FB20000}"/>
    <cellStyle name="Note 2 2 2 2 2 2" xfId="2683" xr:uid="{00000000-0005-0000-0000-0000A0B20000}"/>
    <cellStyle name="Note 2 2 2 2 2 2 2" xfId="7545" xr:uid="{00000000-0005-0000-0000-0000A1B20000}"/>
    <cellStyle name="Note 2 2 2 2 2 2 2 2" xfId="26996" xr:uid="{00000000-0005-0000-0000-0000A2B20000}"/>
    <cellStyle name="Note 2 2 2 2 2 2 2 3" xfId="36721" xr:uid="{00000000-0005-0000-0000-0000A3B20000}"/>
    <cellStyle name="Note 2 2 2 2 2 2 2 4" xfId="46446" xr:uid="{00000000-0005-0000-0000-0000A4B20000}"/>
    <cellStyle name="Note 2 2 2 2 2 2 2 5" xfId="17271" xr:uid="{00000000-0005-0000-0000-0000A5B20000}"/>
    <cellStyle name="Note 2 2 2 2 2 2 3" xfId="22134" xr:uid="{00000000-0005-0000-0000-0000A6B20000}"/>
    <cellStyle name="Note 2 2 2 2 2 2 4" xfId="31859" xr:uid="{00000000-0005-0000-0000-0000A7B20000}"/>
    <cellStyle name="Note 2 2 2 2 2 2 5" xfId="41584" xr:uid="{00000000-0005-0000-0000-0000A8B20000}"/>
    <cellStyle name="Note 2 2 2 2 2 2 6" xfId="12409" xr:uid="{00000000-0005-0000-0000-0000A9B20000}"/>
    <cellStyle name="Note 2 2 2 2 2 3" xfId="4303" xr:uid="{00000000-0005-0000-0000-0000AAB20000}"/>
    <cellStyle name="Note 2 2 2 2 2 3 2" xfId="9165" xr:uid="{00000000-0005-0000-0000-0000ABB20000}"/>
    <cellStyle name="Note 2 2 2 2 2 3 2 2" xfId="28616" xr:uid="{00000000-0005-0000-0000-0000ACB20000}"/>
    <cellStyle name="Note 2 2 2 2 2 3 2 3" xfId="38341" xr:uid="{00000000-0005-0000-0000-0000ADB20000}"/>
    <cellStyle name="Note 2 2 2 2 2 3 2 4" xfId="48066" xr:uid="{00000000-0005-0000-0000-0000AEB20000}"/>
    <cellStyle name="Note 2 2 2 2 2 3 2 5" xfId="18891" xr:uid="{00000000-0005-0000-0000-0000AFB20000}"/>
    <cellStyle name="Note 2 2 2 2 2 3 3" xfId="23754" xr:uid="{00000000-0005-0000-0000-0000B0B20000}"/>
    <cellStyle name="Note 2 2 2 2 2 3 4" xfId="33479" xr:uid="{00000000-0005-0000-0000-0000B1B20000}"/>
    <cellStyle name="Note 2 2 2 2 2 3 5" xfId="43204" xr:uid="{00000000-0005-0000-0000-0000B2B20000}"/>
    <cellStyle name="Note 2 2 2 2 2 3 6" xfId="14029" xr:uid="{00000000-0005-0000-0000-0000B3B20000}"/>
    <cellStyle name="Note 2 2 2 2 2 4" xfId="5925" xr:uid="{00000000-0005-0000-0000-0000B4B20000}"/>
    <cellStyle name="Note 2 2 2 2 2 4 2" xfId="25376" xr:uid="{00000000-0005-0000-0000-0000B5B20000}"/>
    <cellStyle name="Note 2 2 2 2 2 4 3" xfId="35101" xr:uid="{00000000-0005-0000-0000-0000B6B20000}"/>
    <cellStyle name="Note 2 2 2 2 2 4 4" xfId="44826" xr:uid="{00000000-0005-0000-0000-0000B7B20000}"/>
    <cellStyle name="Note 2 2 2 2 2 4 5" xfId="15651" xr:uid="{00000000-0005-0000-0000-0000B8B20000}"/>
    <cellStyle name="Note 2 2 2 2 2 5" xfId="20514" xr:uid="{00000000-0005-0000-0000-0000B9B20000}"/>
    <cellStyle name="Note 2 2 2 2 2 6" xfId="30239" xr:uid="{00000000-0005-0000-0000-0000BAB20000}"/>
    <cellStyle name="Note 2 2 2 2 2 7" xfId="39964" xr:uid="{00000000-0005-0000-0000-0000BBB20000}"/>
    <cellStyle name="Note 2 2 2 2 2 8" xfId="10789" xr:uid="{00000000-0005-0000-0000-0000BCB20000}"/>
    <cellStyle name="Note 2 2 2 2 3" xfId="1512" xr:uid="{00000000-0005-0000-0000-0000BDB20000}"/>
    <cellStyle name="Note 2 2 2 2 3 2" xfId="3133" xr:uid="{00000000-0005-0000-0000-0000BEB20000}"/>
    <cellStyle name="Note 2 2 2 2 3 2 2" xfId="7995" xr:uid="{00000000-0005-0000-0000-0000BFB20000}"/>
    <cellStyle name="Note 2 2 2 2 3 2 2 2" xfId="27446" xr:uid="{00000000-0005-0000-0000-0000C0B20000}"/>
    <cellStyle name="Note 2 2 2 2 3 2 2 3" xfId="37171" xr:uid="{00000000-0005-0000-0000-0000C1B20000}"/>
    <cellStyle name="Note 2 2 2 2 3 2 2 4" xfId="46896" xr:uid="{00000000-0005-0000-0000-0000C2B20000}"/>
    <cellStyle name="Note 2 2 2 2 3 2 2 5" xfId="17721" xr:uid="{00000000-0005-0000-0000-0000C3B20000}"/>
    <cellStyle name="Note 2 2 2 2 3 2 3" xfId="22584" xr:uid="{00000000-0005-0000-0000-0000C4B20000}"/>
    <cellStyle name="Note 2 2 2 2 3 2 4" xfId="32309" xr:uid="{00000000-0005-0000-0000-0000C5B20000}"/>
    <cellStyle name="Note 2 2 2 2 3 2 5" xfId="42034" xr:uid="{00000000-0005-0000-0000-0000C6B20000}"/>
    <cellStyle name="Note 2 2 2 2 3 2 6" xfId="12859" xr:uid="{00000000-0005-0000-0000-0000C7B20000}"/>
    <cellStyle name="Note 2 2 2 2 3 3" xfId="4753" xr:uid="{00000000-0005-0000-0000-0000C8B20000}"/>
    <cellStyle name="Note 2 2 2 2 3 3 2" xfId="9615" xr:uid="{00000000-0005-0000-0000-0000C9B20000}"/>
    <cellStyle name="Note 2 2 2 2 3 3 2 2" xfId="29066" xr:uid="{00000000-0005-0000-0000-0000CAB20000}"/>
    <cellStyle name="Note 2 2 2 2 3 3 2 3" xfId="38791" xr:uid="{00000000-0005-0000-0000-0000CBB20000}"/>
    <cellStyle name="Note 2 2 2 2 3 3 2 4" xfId="48516" xr:uid="{00000000-0005-0000-0000-0000CCB20000}"/>
    <cellStyle name="Note 2 2 2 2 3 3 2 5" xfId="19341" xr:uid="{00000000-0005-0000-0000-0000CDB20000}"/>
    <cellStyle name="Note 2 2 2 2 3 3 3" xfId="24204" xr:uid="{00000000-0005-0000-0000-0000CEB20000}"/>
    <cellStyle name="Note 2 2 2 2 3 3 4" xfId="33929" xr:uid="{00000000-0005-0000-0000-0000CFB20000}"/>
    <cellStyle name="Note 2 2 2 2 3 3 5" xfId="43654" xr:uid="{00000000-0005-0000-0000-0000D0B20000}"/>
    <cellStyle name="Note 2 2 2 2 3 3 6" xfId="14479" xr:uid="{00000000-0005-0000-0000-0000D1B20000}"/>
    <cellStyle name="Note 2 2 2 2 3 4" xfId="6375" xr:uid="{00000000-0005-0000-0000-0000D2B20000}"/>
    <cellStyle name="Note 2 2 2 2 3 4 2" xfId="25826" xr:uid="{00000000-0005-0000-0000-0000D3B20000}"/>
    <cellStyle name="Note 2 2 2 2 3 4 3" xfId="35551" xr:uid="{00000000-0005-0000-0000-0000D4B20000}"/>
    <cellStyle name="Note 2 2 2 2 3 4 4" xfId="45276" xr:uid="{00000000-0005-0000-0000-0000D5B20000}"/>
    <cellStyle name="Note 2 2 2 2 3 4 5" xfId="16101" xr:uid="{00000000-0005-0000-0000-0000D6B20000}"/>
    <cellStyle name="Note 2 2 2 2 3 5" xfId="20964" xr:uid="{00000000-0005-0000-0000-0000D7B20000}"/>
    <cellStyle name="Note 2 2 2 2 3 6" xfId="30689" xr:uid="{00000000-0005-0000-0000-0000D8B20000}"/>
    <cellStyle name="Note 2 2 2 2 3 7" xfId="40414" xr:uid="{00000000-0005-0000-0000-0000D9B20000}"/>
    <cellStyle name="Note 2 2 2 2 3 8" xfId="11239" xr:uid="{00000000-0005-0000-0000-0000DAB20000}"/>
    <cellStyle name="Note 2 2 2 2 4" xfId="683" xr:uid="{00000000-0005-0000-0000-0000DBB20000}"/>
    <cellStyle name="Note 2 2 2 2 4 2" xfId="2323" xr:uid="{00000000-0005-0000-0000-0000DCB20000}"/>
    <cellStyle name="Note 2 2 2 2 4 2 2" xfId="7185" xr:uid="{00000000-0005-0000-0000-0000DDB20000}"/>
    <cellStyle name="Note 2 2 2 2 4 2 2 2" xfId="26636" xr:uid="{00000000-0005-0000-0000-0000DEB20000}"/>
    <cellStyle name="Note 2 2 2 2 4 2 2 3" xfId="36361" xr:uid="{00000000-0005-0000-0000-0000DFB20000}"/>
    <cellStyle name="Note 2 2 2 2 4 2 2 4" xfId="46086" xr:uid="{00000000-0005-0000-0000-0000E0B20000}"/>
    <cellStyle name="Note 2 2 2 2 4 2 2 5" xfId="16911" xr:uid="{00000000-0005-0000-0000-0000E1B20000}"/>
    <cellStyle name="Note 2 2 2 2 4 2 3" xfId="21774" xr:uid="{00000000-0005-0000-0000-0000E2B20000}"/>
    <cellStyle name="Note 2 2 2 2 4 2 4" xfId="31499" xr:uid="{00000000-0005-0000-0000-0000E3B20000}"/>
    <cellStyle name="Note 2 2 2 2 4 2 5" xfId="41224" xr:uid="{00000000-0005-0000-0000-0000E4B20000}"/>
    <cellStyle name="Note 2 2 2 2 4 2 6" xfId="12049" xr:uid="{00000000-0005-0000-0000-0000E5B20000}"/>
    <cellStyle name="Note 2 2 2 2 4 3" xfId="3943" xr:uid="{00000000-0005-0000-0000-0000E6B20000}"/>
    <cellStyle name="Note 2 2 2 2 4 3 2" xfId="8805" xr:uid="{00000000-0005-0000-0000-0000E7B20000}"/>
    <cellStyle name="Note 2 2 2 2 4 3 2 2" xfId="28256" xr:uid="{00000000-0005-0000-0000-0000E8B20000}"/>
    <cellStyle name="Note 2 2 2 2 4 3 2 3" xfId="37981" xr:uid="{00000000-0005-0000-0000-0000E9B20000}"/>
    <cellStyle name="Note 2 2 2 2 4 3 2 4" xfId="47706" xr:uid="{00000000-0005-0000-0000-0000EAB20000}"/>
    <cellStyle name="Note 2 2 2 2 4 3 2 5" xfId="18531" xr:uid="{00000000-0005-0000-0000-0000EBB20000}"/>
    <cellStyle name="Note 2 2 2 2 4 3 3" xfId="23394" xr:uid="{00000000-0005-0000-0000-0000ECB20000}"/>
    <cellStyle name="Note 2 2 2 2 4 3 4" xfId="33119" xr:uid="{00000000-0005-0000-0000-0000EDB20000}"/>
    <cellStyle name="Note 2 2 2 2 4 3 5" xfId="42844" xr:uid="{00000000-0005-0000-0000-0000EEB20000}"/>
    <cellStyle name="Note 2 2 2 2 4 3 6" xfId="13669" xr:uid="{00000000-0005-0000-0000-0000EFB20000}"/>
    <cellStyle name="Note 2 2 2 2 4 4" xfId="5565" xr:uid="{00000000-0005-0000-0000-0000F0B20000}"/>
    <cellStyle name="Note 2 2 2 2 4 4 2" xfId="25016" xr:uid="{00000000-0005-0000-0000-0000F1B20000}"/>
    <cellStyle name="Note 2 2 2 2 4 4 3" xfId="34741" xr:uid="{00000000-0005-0000-0000-0000F2B20000}"/>
    <cellStyle name="Note 2 2 2 2 4 4 4" xfId="44466" xr:uid="{00000000-0005-0000-0000-0000F3B20000}"/>
    <cellStyle name="Note 2 2 2 2 4 4 5" xfId="15291" xr:uid="{00000000-0005-0000-0000-0000F4B20000}"/>
    <cellStyle name="Note 2 2 2 2 4 5" xfId="20154" xr:uid="{00000000-0005-0000-0000-0000F5B20000}"/>
    <cellStyle name="Note 2 2 2 2 4 6" xfId="29879" xr:uid="{00000000-0005-0000-0000-0000F6B20000}"/>
    <cellStyle name="Note 2 2 2 2 4 7" xfId="39604" xr:uid="{00000000-0005-0000-0000-0000F7B20000}"/>
    <cellStyle name="Note 2 2 2 2 4 8" xfId="10429" xr:uid="{00000000-0005-0000-0000-0000F8B20000}"/>
    <cellStyle name="Note 2 2 2 2 5" xfId="1963" xr:uid="{00000000-0005-0000-0000-0000F9B20000}"/>
    <cellStyle name="Note 2 2 2 2 5 2" xfId="6825" xr:uid="{00000000-0005-0000-0000-0000FAB20000}"/>
    <cellStyle name="Note 2 2 2 2 5 2 2" xfId="26276" xr:uid="{00000000-0005-0000-0000-0000FBB20000}"/>
    <cellStyle name="Note 2 2 2 2 5 2 3" xfId="36001" xr:uid="{00000000-0005-0000-0000-0000FCB20000}"/>
    <cellStyle name="Note 2 2 2 2 5 2 4" xfId="45726" xr:uid="{00000000-0005-0000-0000-0000FDB20000}"/>
    <cellStyle name="Note 2 2 2 2 5 2 5" xfId="16551" xr:uid="{00000000-0005-0000-0000-0000FEB20000}"/>
    <cellStyle name="Note 2 2 2 2 5 3" xfId="21414" xr:uid="{00000000-0005-0000-0000-0000FFB20000}"/>
    <cellStyle name="Note 2 2 2 2 5 4" xfId="31139" xr:uid="{00000000-0005-0000-0000-000000B30000}"/>
    <cellStyle name="Note 2 2 2 2 5 5" xfId="40864" xr:uid="{00000000-0005-0000-0000-000001B30000}"/>
    <cellStyle name="Note 2 2 2 2 5 6" xfId="11689" xr:uid="{00000000-0005-0000-0000-000002B30000}"/>
    <cellStyle name="Note 2 2 2 2 6" xfId="3583" xr:uid="{00000000-0005-0000-0000-000003B30000}"/>
    <cellStyle name="Note 2 2 2 2 6 2" xfId="8445" xr:uid="{00000000-0005-0000-0000-000004B30000}"/>
    <cellStyle name="Note 2 2 2 2 6 2 2" xfId="27896" xr:uid="{00000000-0005-0000-0000-000005B30000}"/>
    <cellStyle name="Note 2 2 2 2 6 2 3" xfId="37621" xr:uid="{00000000-0005-0000-0000-000006B30000}"/>
    <cellStyle name="Note 2 2 2 2 6 2 4" xfId="47346" xr:uid="{00000000-0005-0000-0000-000007B30000}"/>
    <cellStyle name="Note 2 2 2 2 6 2 5" xfId="18171" xr:uid="{00000000-0005-0000-0000-000008B30000}"/>
    <cellStyle name="Note 2 2 2 2 6 3" xfId="23034" xr:uid="{00000000-0005-0000-0000-000009B30000}"/>
    <cellStyle name="Note 2 2 2 2 6 4" xfId="32759" xr:uid="{00000000-0005-0000-0000-00000AB30000}"/>
    <cellStyle name="Note 2 2 2 2 6 5" xfId="42484" xr:uid="{00000000-0005-0000-0000-00000BB30000}"/>
    <cellStyle name="Note 2 2 2 2 6 6" xfId="13309" xr:uid="{00000000-0005-0000-0000-00000CB30000}"/>
    <cellStyle name="Note 2 2 2 2 7" xfId="5205" xr:uid="{00000000-0005-0000-0000-00000DB30000}"/>
    <cellStyle name="Note 2 2 2 2 7 2" xfId="24656" xr:uid="{00000000-0005-0000-0000-00000EB30000}"/>
    <cellStyle name="Note 2 2 2 2 7 3" xfId="34381" xr:uid="{00000000-0005-0000-0000-00000FB30000}"/>
    <cellStyle name="Note 2 2 2 2 7 4" xfId="44106" xr:uid="{00000000-0005-0000-0000-000010B30000}"/>
    <cellStyle name="Note 2 2 2 2 7 5" xfId="14931" xr:uid="{00000000-0005-0000-0000-000011B30000}"/>
    <cellStyle name="Note 2 2 2 2 8" xfId="19794" xr:uid="{00000000-0005-0000-0000-000012B30000}"/>
    <cellStyle name="Note 2 2 2 2 9" xfId="29519" xr:uid="{00000000-0005-0000-0000-000013B30000}"/>
    <cellStyle name="Note 2 2 2 3" xfId="372" xr:uid="{00000000-0005-0000-0000-000014B30000}"/>
    <cellStyle name="Note 2 2 2 3 10" xfId="39334" xr:uid="{00000000-0005-0000-0000-000015B30000}"/>
    <cellStyle name="Note 2 2 2 3 11" xfId="10159" xr:uid="{00000000-0005-0000-0000-000016B30000}"/>
    <cellStyle name="Note 2 2 2 3 2" xfId="1135" xr:uid="{00000000-0005-0000-0000-000017B30000}"/>
    <cellStyle name="Note 2 2 2 3 2 2" xfId="2773" xr:uid="{00000000-0005-0000-0000-000018B30000}"/>
    <cellStyle name="Note 2 2 2 3 2 2 2" xfId="7635" xr:uid="{00000000-0005-0000-0000-000019B30000}"/>
    <cellStyle name="Note 2 2 2 3 2 2 2 2" xfId="27086" xr:uid="{00000000-0005-0000-0000-00001AB30000}"/>
    <cellStyle name="Note 2 2 2 3 2 2 2 3" xfId="36811" xr:uid="{00000000-0005-0000-0000-00001BB30000}"/>
    <cellStyle name="Note 2 2 2 3 2 2 2 4" xfId="46536" xr:uid="{00000000-0005-0000-0000-00001CB30000}"/>
    <cellStyle name="Note 2 2 2 3 2 2 2 5" xfId="17361" xr:uid="{00000000-0005-0000-0000-00001DB30000}"/>
    <cellStyle name="Note 2 2 2 3 2 2 3" xfId="22224" xr:uid="{00000000-0005-0000-0000-00001EB30000}"/>
    <cellStyle name="Note 2 2 2 3 2 2 4" xfId="31949" xr:uid="{00000000-0005-0000-0000-00001FB30000}"/>
    <cellStyle name="Note 2 2 2 3 2 2 5" xfId="41674" xr:uid="{00000000-0005-0000-0000-000020B30000}"/>
    <cellStyle name="Note 2 2 2 3 2 2 6" xfId="12499" xr:uid="{00000000-0005-0000-0000-000021B30000}"/>
    <cellStyle name="Note 2 2 2 3 2 3" xfId="4393" xr:uid="{00000000-0005-0000-0000-000022B30000}"/>
    <cellStyle name="Note 2 2 2 3 2 3 2" xfId="9255" xr:uid="{00000000-0005-0000-0000-000023B30000}"/>
    <cellStyle name="Note 2 2 2 3 2 3 2 2" xfId="28706" xr:uid="{00000000-0005-0000-0000-000024B30000}"/>
    <cellStyle name="Note 2 2 2 3 2 3 2 3" xfId="38431" xr:uid="{00000000-0005-0000-0000-000025B30000}"/>
    <cellStyle name="Note 2 2 2 3 2 3 2 4" xfId="48156" xr:uid="{00000000-0005-0000-0000-000026B30000}"/>
    <cellStyle name="Note 2 2 2 3 2 3 2 5" xfId="18981" xr:uid="{00000000-0005-0000-0000-000027B30000}"/>
    <cellStyle name="Note 2 2 2 3 2 3 3" xfId="23844" xr:uid="{00000000-0005-0000-0000-000028B30000}"/>
    <cellStyle name="Note 2 2 2 3 2 3 4" xfId="33569" xr:uid="{00000000-0005-0000-0000-000029B30000}"/>
    <cellStyle name="Note 2 2 2 3 2 3 5" xfId="43294" xr:uid="{00000000-0005-0000-0000-00002AB30000}"/>
    <cellStyle name="Note 2 2 2 3 2 3 6" xfId="14119" xr:uid="{00000000-0005-0000-0000-00002BB30000}"/>
    <cellStyle name="Note 2 2 2 3 2 4" xfId="6015" xr:uid="{00000000-0005-0000-0000-00002CB30000}"/>
    <cellStyle name="Note 2 2 2 3 2 4 2" xfId="25466" xr:uid="{00000000-0005-0000-0000-00002DB30000}"/>
    <cellStyle name="Note 2 2 2 3 2 4 3" xfId="35191" xr:uid="{00000000-0005-0000-0000-00002EB30000}"/>
    <cellStyle name="Note 2 2 2 3 2 4 4" xfId="44916" xr:uid="{00000000-0005-0000-0000-00002FB30000}"/>
    <cellStyle name="Note 2 2 2 3 2 4 5" xfId="15741" xr:uid="{00000000-0005-0000-0000-000030B30000}"/>
    <cellStyle name="Note 2 2 2 3 2 5" xfId="20604" xr:uid="{00000000-0005-0000-0000-000031B30000}"/>
    <cellStyle name="Note 2 2 2 3 2 6" xfId="30329" xr:uid="{00000000-0005-0000-0000-000032B30000}"/>
    <cellStyle name="Note 2 2 2 3 2 7" xfId="40054" xr:uid="{00000000-0005-0000-0000-000033B30000}"/>
    <cellStyle name="Note 2 2 2 3 2 8" xfId="10879" xr:uid="{00000000-0005-0000-0000-000034B30000}"/>
    <cellStyle name="Note 2 2 2 3 3" xfId="1602" xr:uid="{00000000-0005-0000-0000-000035B30000}"/>
    <cellStyle name="Note 2 2 2 3 3 2" xfId="3223" xr:uid="{00000000-0005-0000-0000-000036B30000}"/>
    <cellStyle name="Note 2 2 2 3 3 2 2" xfId="8085" xr:uid="{00000000-0005-0000-0000-000037B30000}"/>
    <cellStyle name="Note 2 2 2 3 3 2 2 2" xfId="27536" xr:uid="{00000000-0005-0000-0000-000038B30000}"/>
    <cellStyle name="Note 2 2 2 3 3 2 2 3" xfId="37261" xr:uid="{00000000-0005-0000-0000-000039B30000}"/>
    <cellStyle name="Note 2 2 2 3 3 2 2 4" xfId="46986" xr:uid="{00000000-0005-0000-0000-00003AB30000}"/>
    <cellStyle name="Note 2 2 2 3 3 2 2 5" xfId="17811" xr:uid="{00000000-0005-0000-0000-00003BB30000}"/>
    <cellStyle name="Note 2 2 2 3 3 2 3" xfId="22674" xr:uid="{00000000-0005-0000-0000-00003CB30000}"/>
    <cellStyle name="Note 2 2 2 3 3 2 4" xfId="32399" xr:uid="{00000000-0005-0000-0000-00003DB30000}"/>
    <cellStyle name="Note 2 2 2 3 3 2 5" xfId="42124" xr:uid="{00000000-0005-0000-0000-00003EB30000}"/>
    <cellStyle name="Note 2 2 2 3 3 2 6" xfId="12949" xr:uid="{00000000-0005-0000-0000-00003FB30000}"/>
    <cellStyle name="Note 2 2 2 3 3 3" xfId="4843" xr:uid="{00000000-0005-0000-0000-000040B30000}"/>
    <cellStyle name="Note 2 2 2 3 3 3 2" xfId="9705" xr:uid="{00000000-0005-0000-0000-000041B30000}"/>
    <cellStyle name="Note 2 2 2 3 3 3 2 2" xfId="29156" xr:uid="{00000000-0005-0000-0000-000042B30000}"/>
    <cellStyle name="Note 2 2 2 3 3 3 2 3" xfId="38881" xr:uid="{00000000-0005-0000-0000-000043B30000}"/>
    <cellStyle name="Note 2 2 2 3 3 3 2 4" xfId="48606" xr:uid="{00000000-0005-0000-0000-000044B30000}"/>
    <cellStyle name="Note 2 2 2 3 3 3 2 5" xfId="19431" xr:uid="{00000000-0005-0000-0000-000045B30000}"/>
    <cellStyle name="Note 2 2 2 3 3 3 3" xfId="24294" xr:uid="{00000000-0005-0000-0000-000046B30000}"/>
    <cellStyle name="Note 2 2 2 3 3 3 4" xfId="34019" xr:uid="{00000000-0005-0000-0000-000047B30000}"/>
    <cellStyle name="Note 2 2 2 3 3 3 5" xfId="43744" xr:uid="{00000000-0005-0000-0000-000048B30000}"/>
    <cellStyle name="Note 2 2 2 3 3 3 6" xfId="14569" xr:uid="{00000000-0005-0000-0000-000049B30000}"/>
    <cellStyle name="Note 2 2 2 3 3 4" xfId="6465" xr:uid="{00000000-0005-0000-0000-00004AB30000}"/>
    <cellStyle name="Note 2 2 2 3 3 4 2" xfId="25916" xr:uid="{00000000-0005-0000-0000-00004BB30000}"/>
    <cellStyle name="Note 2 2 2 3 3 4 3" xfId="35641" xr:uid="{00000000-0005-0000-0000-00004CB30000}"/>
    <cellStyle name="Note 2 2 2 3 3 4 4" xfId="45366" xr:uid="{00000000-0005-0000-0000-00004DB30000}"/>
    <cellStyle name="Note 2 2 2 3 3 4 5" xfId="16191" xr:uid="{00000000-0005-0000-0000-00004EB30000}"/>
    <cellStyle name="Note 2 2 2 3 3 5" xfId="21054" xr:uid="{00000000-0005-0000-0000-00004FB30000}"/>
    <cellStyle name="Note 2 2 2 3 3 6" xfId="30779" xr:uid="{00000000-0005-0000-0000-000050B30000}"/>
    <cellStyle name="Note 2 2 2 3 3 7" xfId="40504" xr:uid="{00000000-0005-0000-0000-000051B30000}"/>
    <cellStyle name="Note 2 2 2 3 3 8" xfId="11329" xr:uid="{00000000-0005-0000-0000-000052B30000}"/>
    <cellStyle name="Note 2 2 2 3 4" xfId="773" xr:uid="{00000000-0005-0000-0000-000053B30000}"/>
    <cellStyle name="Note 2 2 2 3 4 2" xfId="2413" xr:uid="{00000000-0005-0000-0000-000054B30000}"/>
    <cellStyle name="Note 2 2 2 3 4 2 2" xfId="7275" xr:uid="{00000000-0005-0000-0000-000055B30000}"/>
    <cellStyle name="Note 2 2 2 3 4 2 2 2" xfId="26726" xr:uid="{00000000-0005-0000-0000-000056B30000}"/>
    <cellStyle name="Note 2 2 2 3 4 2 2 3" xfId="36451" xr:uid="{00000000-0005-0000-0000-000057B30000}"/>
    <cellStyle name="Note 2 2 2 3 4 2 2 4" xfId="46176" xr:uid="{00000000-0005-0000-0000-000058B30000}"/>
    <cellStyle name="Note 2 2 2 3 4 2 2 5" xfId="17001" xr:uid="{00000000-0005-0000-0000-000059B30000}"/>
    <cellStyle name="Note 2 2 2 3 4 2 3" xfId="21864" xr:uid="{00000000-0005-0000-0000-00005AB30000}"/>
    <cellStyle name="Note 2 2 2 3 4 2 4" xfId="31589" xr:uid="{00000000-0005-0000-0000-00005BB30000}"/>
    <cellStyle name="Note 2 2 2 3 4 2 5" xfId="41314" xr:uid="{00000000-0005-0000-0000-00005CB30000}"/>
    <cellStyle name="Note 2 2 2 3 4 2 6" xfId="12139" xr:uid="{00000000-0005-0000-0000-00005DB30000}"/>
    <cellStyle name="Note 2 2 2 3 4 3" xfId="4033" xr:uid="{00000000-0005-0000-0000-00005EB30000}"/>
    <cellStyle name="Note 2 2 2 3 4 3 2" xfId="8895" xr:uid="{00000000-0005-0000-0000-00005FB30000}"/>
    <cellStyle name="Note 2 2 2 3 4 3 2 2" xfId="28346" xr:uid="{00000000-0005-0000-0000-000060B30000}"/>
    <cellStyle name="Note 2 2 2 3 4 3 2 3" xfId="38071" xr:uid="{00000000-0005-0000-0000-000061B30000}"/>
    <cellStyle name="Note 2 2 2 3 4 3 2 4" xfId="47796" xr:uid="{00000000-0005-0000-0000-000062B30000}"/>
    <cellStyle name="Note 2 2 2 3 4 3 2 5" xfId="18621" xr:uid="{00000000-0005-0000-0000-000063B30000}"/>
    <cellStyle name="Note 2 2 2 3 4 3 3" xfId="23484" xr:uid="{00000000-0005-0000-0000-000064B30000}"/>
    <cellStyle name="Note 2 2 2 3 4 3 4" xfId="33209" xr:uid="{00000000-0005-0000-0000-000065B30000}"/>
    <cellStyle name="Note 2 2 2 3 4 3 5" xfId="42934" xr:uid="{00000000-0005-0000-0000-000066B30000}"/>
    <cellStyle name="Note 2 2 2 3 4 3 6" xfId="13759" xr:uid="{00000000-0005-0000-0000-000067B30000}"/>
    <cellStyle name="Note 2 2 2 3 4 4" xfId="5655" xr:uid="{00000000-0005-0000-0000-000068B30000}"/>
    <cellStyle name="Note 2 2 2 3 4 4 2" xfId="25106" xr:uid="{00000000-0005-0000-0000-000069B30000}"/>
    <cellStyle name="Note 2 2 2 3 4 4 3" xfId="34831" xr:uid="{00000000-0005-0000-0000-00006AB30000}"/>
    <cellStyle name="Note 2 2 2 3 4 4 4" xfId="44556" xr:uid="{00000000-0005-0000-0000-00006BB30000}"/>
    <cellStyle name="Note 2 2 2 3 4 4 5" xfId="15381" xr:uid="{00000000-0005-0000-0000-00006CB30000}"/>
    <cellStyle name="Note 2 2 2 3 4 5" xfId="20244" xr:uid="{00000000-0005-0000-0000-00006DB30000}"/>
    <cellStyle name="Note 2 2 2 3 4 6" xfId="29969" xr:uid="{00000000-0005-0000-0000-00006EB30000}"/>
    <cellStyle name="Note 2 2 2 3 4 7" xfId="39694" xr:uid="{00000000-0005-0000-0000-00006FB30000}"/>
    <cellStyle name="Note 2 2 2 3 4 8" xfId="10519" xr:uid="{00000000-0005-0000-0000-000070B30000}"/>
    <cellStyle name="Note 2 2 2 3 5" xfId="2053" xr:uid="{00000000-0005-0000-0000-000071B30000}"/>
    <cellStyle name="Note 2 2 2 3 5 2" xfId="6915" xr:uid="{00000000-0005-0000-0000-000072B30000}"/>
    <cellStyle name="Note 2 2 2 3 5 2 2" xfId="26366" xr:uid="{00000000-0005-0000-0000-000073B30000}"/>
    <cellStyle name="Note 2 2 2 3 5 2 3" xfId="36091" xr:uid="{00000000-0005-0000-0000-000074B30000}"/>
    <cellStyle name="Note 2 2 2 3 5 2 4" xfId="45816" xr:uid="{00000000-0005-0000-0000-000075B30000}"/>
    <cellStyle name="Note 2 2 2 3 5 2 5" xfId="16641" xr:uid="{00000000-0005-0000-0000-000076B30000}"/>
    <cellStyle name="Note 2 2 2 3 5 3" xfId="21504" xr:uid="{00000000-0005-0000-0000-000077B30000}"/>
    <cellStyle name="Note 2 2 2 3 5 4" xfId="31229" xr:uid="{00000000-0005-0000-0000-000078B30000}"/>
    <cellStyle name="Note 2 2 2 3 5 5" xfId="40954" xr:uid="{00000000-0005-0000-0000-000079B30000}"/>
    <cellStyle name="Note 2 2 2 3 5 6" xfId="11779" xr:uid="{00000000-0005-0000-0000-00007AB30000}"/>
    <cellStyle name="Note 2 2 2 3 6" xfId="3673" xr:uid="{00000000-0005-0000-0000-00007BB30000}"/>
    <cellStyle name="Note 2 2 2 3 6 2" xfId="8535" xr:uid="{00000000-0005-0000-0000-00007CB30000}"/>
    <cellStyle name="Note 2 2 2 3 6 2 2" xfId="27986" xr:uid="{00000000-0005-0000-0000-00007DB30000}"/>
    <cellStyle name="Note 2 2 2 3 6 2 3" xfId="37711" xr:uid="{00000000-0005-0000-0000-00007EB30000}"/>
    <cellStyle name="Note 2 2 2 3 6 2 4" xfId="47436" xr:uid="{00000000-0005-0000-0000-00007FB30000}"/>
    <cellStyle name="Note 2 2 2 3 6 2 5" xfId="18261" xr:uid="{00000000-0005-0000-0000-000080B30000}"/>
    <cellStyle name="Note 2 2 2 3 6 3" xfId="23124" xr:uid="{00000000-0005-0000-0000-000081B30000}"/>
    <cellStyle name="Note 2 2 2 3 6 4" xfId="32849" xr:uid="{00000000-0005-0000-0000-000082B30000}"/>
    <cellStyle name="Note 2 2 2 3 6 5" xfId="42574" xr:uid="{00000000-0005-0000-0000-000083B30000}"/>
    <cellStyle name="Note 2 2 2 3 6 6" xfId="13399" xr:uid="{00000000-0005-0000-0000-000084B30000}"/>
    <cellStyle name="Note 2 2 2 3 7" xfId="5295" xr:uid="{00000000-0005-0000-0000-000085B30000}"/>
    <cellStyle name="Note 2 2 2 3 7 2" xfId="24746" xr:uid="{00000000-0005-0000-0000-000086B30000}"/>
    <cellStyle name="Note 2 2 2 3 7 3" xfId="34471" xr:uid="{00000000-0005-0000-0000-000087B30000}"/>
    <cellStyle name="Note 2 2 2 3 7 4" xfId="44196" xr:uid="{00000000-0005-0000-0000-000088B30000}"/>
    <cellStyle name="Note 2 2 2 3 7 5" xfId="15021" xr:uid="{00000000-0005-0000-0000-000089B30000}"/>
    <cellStyle name="Note 2 2 2 3 8" xfId="19884" xr:uid="{00000000-0005-0000-0000-00008AB30000}"/>
    <cellStyle name="Note 2 2 2 3 9" xfId="29609" xr:uid="{00000000-0005-0000-0000-00008BB30000}"/>
    <cellStyle name="Note 2 2 2 4" xfId="190" xr:uid="{00000000-0005-0000-0000-00008CB30000}"/>
    <cellStyle name="Note 2 2 2 4 10" xfId="39154" xr:uid="{00000000-0005-0000-0000-00008DB30000}"/>
    <cellStyle name="Note 2 2 2 4 11" xfId="9979" xr:uid="{00000000-0005-0000-0000-00008EB30000}"/>
    <cellStyle name="Note 2 2 2 4 2" xfId="954" xr:uid="{00000000-0005-0000-0000-00008FB30000}"/>
    <cellStyle name="Note 2 2 2 4 2 2" xfId="2593" xr:uid="{00000000-0005-0000-0000-000090B30000}"/>
    <cellStyle name="Note 2 2 2 4 2 2 2" xfId="7455" xr:uid="{00000000-0005-0000-0000-000091B30000}"/>
    <cellStyle name="Note 2 2 2 4 2 2 2 2" xfId="26906" xr:uid="{00000000-0005-0000-0000-000092B30000}"/>
    <cellStyle name="Note 2 2 2 4 2 2 2 3" xfId="36631" xr:uid="{00000000-0005-0000-0000-000093B30000}"/>
    <cellStyle name="Note 2 2 2 4 2 2 2 4" xfId="46356" xr:uid="{00000000-0005-0000-0000-000094B30000}"/>
    <cellStyle name="Note 2 2 2 4 2 2 2 5" xfId="17181" xr:uid="{00000000-0005-0000-0000-000095B30000}"/>
    <cellStyle name="Note 2 2 2 4 2 2 3" xfId="22044" xr:uid="{00000000-0005-0000-0000-000096B30000}"/>
    <cellStyle name="Note 2 2 2 4 2 2 4" xfId="31769" xr:uid="{00000000-0005-0000-0000-000097B30000}"/>
    <cellStyle name="Note 2 2 2 4 2 2 5" xfId="41494" xr:uid="{00000000-0005-0000-0000-000098B30000}"/>
    <cellStyle name="Note 2 2 2 4 2 2 6" xfId="12319" xr:uid="{00000000-0005-0000-0000-000099B30000}"/>
    <cellStyle name="Note 2 2 2 4 2 3" xfId="4213" xr:uid="{00000000-0005-0000-0000-00009AB30000}"/>
    <cellStyle name="Note 2 2 2 4 2 3 2" xfId="9075" xr:uid="{00000000-0005-0000-0000-00009BB30000}"/>
    <cellStyle name="Note 2 2 2 4 2 3 2 2" xfId="28526" xr:uid="{00000000-0005-0000-0000-00009CB30000}"/>
    <cellStyle name="Note 2 2 2 4 2 3 2 3" xfId="38251" xr:uid="{00000000-0005-0000-0000-00009DB30000}"/>
    <cellStyle name="Note 2 2 2 4 2 3 2 4" xfId="47976" xr:uid="{00000000-0005-0000-0000-00009EB30000}"/>
    <cellStyle name="Note 2 2 2 4 2 3 2 5" xfId="18801" xr:uid="{00000000-0005-0000-0000-00009FB30000}"/>
    <cellStyle name="Note 2 2 2 4 2 3 3" xfId="23664" xr:uid="{00000000-0005-0000-0000-0000A0B30000}"/>
    <cellStyle name="Note 2 2 2 4 2 3 4" xfId="33389" xr:uid="{00000000-0005-0000-0000-0000A1B30000}"/>
    <cellStyle name="Note 2 2 2 4 2 3 5" xfId="43114" xr:uid="{00000000-0005-0000-0000-0000A2B30000}"/>
    <cellStyle name="Note 2 2 2 4 2 3 6" xfId="13939" xr:uid="{00000000-0005-0000-0000-0000A3B30000}"/>
    <cellStyle name="Note 2 2 2 4 2 4" xfId="5835" xr:uid="{00000000-0005-0000-0000-0000A4B30000}"/>
    <cellStyle name="Note 2 2 2 4 2 4 2" xfId="25286" xr:uid="{00000000-0005-0000-0000-0000A5B30000}"/>
    <cellStyle name="Note 2 2 2 4 2 4 3" xfId="35011" xr:uid="{00000000-0005-0000-0000-0000A6B30000}"/>
    <cellStyle name="Note 2 2 2 4 2 4 4" xfId="44736" xr:uid="{00000000-0005-0000-0000-0000A7B30000}"/>
    <cellStyle name="Note 2 2 2 4 2 4 5" xfId="15561" xr:uid="{00000000-0005-0000-0000-0000A8B30000}"/>
    <cellStyle name="Note 2 2 2 4 2 5" xfId="20424" xr:uid="{00000000-0005-0000-0000-0000A9B30000}"/>
    <cellStyle name="Note 2 2 2 4 2 6" xfId="30149" xr:uid="{00000000-0005-0000-0000-0000AAB30000}"/>
    <cellStyle name="Note 2 2 2 4 2 7" xfId="39874" xr:uid="{00000000-0005-0000-0000-0000ABB30000}"/>
    <cellStyle name="Note 2 2 2 4 2 8" xfId="10699" xr:uid="{00000000-0005-0000-0000-0000ACB30000}"/>
    <cellStyle name="Note 2 2 2 4 3" xfId="1422" xr:uid="{00000000-0005-0000-0000-0000ADB30000}"/>
    <cellStyle name="Note 2 2 2 4 3 2" xfId="3043" xr:uid="{00000000-0005-0000-0000-0000AEB30000}"/>
    <cellStyle name="Note 2 2 2 4 3 2 2" xfId="7905" xr:uid="{00000000-0005-0000-0000-0000AFB30000}"/>
    <cellStyle name="Note 2 2 2 4 3 2 2 2" xfId="27356" xr:uid="{00000000-0005-0000-0000-0000B0B30000}"/>
    <cellStyle name="Note 2 2 2 4 3 2 2 3" xfId="37081" xr:uid="{00000000-0005-0000-0000-0000B1B30000}"/>
    <cellStyle name="Note 2 2 2 4 3 2 2 4" xfId="46806" xr:uid="{00000000-0005-0000-0000-0000B2B30000}"/>
    <cellStyle name="Note 2 2 2 4 3 2 2 5" xfId="17631" xr:uid="{00000000-0005-0000-0000-0000B3B30000}"/>
    <cellStyle name="Note 2 2 2 4 3 2 3" xfId="22494" xr:uid="{00000000-0005-0000-0000-0000B4B30000}"/>
    <cellStyle name="Note 2 2 2 4 3 2 4" xfId="32219" xr:uid="{00000000-0005-0000-0000-0000B5B30000}"/>
    <cellStyle name="Note 2 2 2 4 3 2 5" xfId="41944" xr:uid="{00000000-0005-0000-0000-0000B6B30000}"/>
    <cellStyle name="Note 2 2 2 4 3 2 6" xfId="12769" xr:uid="{00000000-0005-0000-0000-0000B7B30000}"/>
    <cellStyle name="Note 2 2 2 4 3 3" xfId="4663" xr:uid="{00000000-0005-0000-0000-0000B8B30000}"/>
    <cellStyle name="Note 2 2 2 4 3 3 2" xfId="9525" xr:uid="{00000000-0005-0000-0000-0000B9B30000}"/>
    <cellStyle name="Note 2 2 2 4 3 3 2 2" xfId="28976" xr:uid="{00000000-0005-0000-0000-0000BAB30000}"/>
    <cellStyle name="Note 2 2 2 4 3 3 2 3" xfId="38701" xr:uid="{00000000-0005-0000-0000-0000BBB30000}"/>
    <cellStyle name="Note 2 2 2 4 3 3 2 4" xfId="48426" xr:uid="{00000000-0005-0000-0000-0000BCB30000}"/>
    <cellStyle name="Note 2 2 2 4 3 3 2 5" xfId="19251" xr:uid="{00000000-0005-0000-0000-0000BDB30000}"/>
    <cellStyle name="Note 2 2 2 4 3 3 3" xfId="24114" xr:uid="{00000000-0005-0000-0000-0000BEB30000}"/>
    <cellStyle name="Note 2 2 2 4 3 3 4" xfId="33839" xr:uid="{00000000-0005-0000-0000-0000BFB30000}"/>
    <cellStyle name="Note 2 2 2 4 3 3 5" xfId="43564" xr:uid="{00000000-0005-0000-0000-0000C0B30000}"/>
    <cellStyle name="Note 2 2 2 4 3 3 6" xfId="14389" xr:uid="{00000000-0005-0000-0000-0000C1B30000}"/>
    <cellStyle name="Note 2 2 2 4 3 4" xfId="6285" xr:uid="{00000000-0005-0000-0000-0000C2B30000}"/>
    <cellStyle name="Note 2 2 2 4 3 4 2" xfId="25736" xr:uid="{00000000-0005-0000-0000-0000C3B30000}"/>
    <cellStyle name="Note 2 2 2 4 3 4 3" xfId="35461" xr:uid="{00000000-0005-0000-0000-0000C4B30000}"/>
    <cellStyle name="Note 2 2 2 4 3 4 4" xfId="45186" xr:uid="{00000000-0005-0000-0000-0000C5B30000}"/>
    <cellStyle name="Note 2 2 2 4 3 4 5" xfId="16011" xr:uid="{00000000-0005-0000-0000-0000C6B30000}"/>
    <cellStyle name="Note 2 2 2 4 3 5" xfId="20874" xr:uid="{00000000-0005-0000-0000-0000C7B30000}"/>
    <cellStyle name="Note 2 2 2 4 3 6" xfId="30599" xr:uid="{00000000-0005-0000-0000-0000C8B30000}"/>
    <cellStyle name="Note 2 2 2 4 3 7" xfId="40324" xr:uid="{00000000-0005-0000-0000-0000C9B30000}"/>
    <cellStyle name="Note 2 2 2 4 3 8" xfId="11149" xr:uid="{00000000-0005-0000-0000-0000CAB30000}"/>
    <cellStyle name="Note 2 2 2 4 4" xfId="593" xr:uid="{00000000-0005-0000-0000-0000CBB30000}"/>
    <cellStyle name="Note 2 2 2 4 4 2" xfId="2233" xr:uid="{00000000-0005-0000-0000-0000CCB30000}"/>
    <cellStyle name="Note 2 2 2 4 4 2 2" xfId="7095" xr:uid="{00000000-0005-0000-0000-0000CDB30000}"/>
    <cellStyle name="Note 2 2 2 4 4 2 2 2" xfId="26546" xr:uid="{00000000-0005-0000-0000-0000CEB30000}"/>
    <cellStyle name="Note 2 2 2 4 4 2 2 3" xfId="36271" xr:uid="{00000000-0005-0000-0000-0000CFB30000}"/>
    <cellStyle name="Note 2 2 2 4 4 2 2 4" xfId="45996" xr:uid="{00000000-0005-0000-0000-0000D0B30000}"/>
    <cellStyle name="Note 2 2 2 4 4 2 2 5" xfId="16821" xr:uid="{00000000-0005-0000-0000-0000D1B30000}"/>
    <cellStyle name="Note 2 2 2 4 4 2 3" xfId="21684" xr:uid="{00000000-0005-0000-0000-0000D2B30000}"/>
    <cellStyle name="Note 2 2 2 4 4 2 4" xfId="31409" xr:uid="{00000000-0005-0000-0000-0000D3B30000}"/>
    <cellStyle name="Note 2 2 2 4 4 2 5" xfId="41134" xr:uid="{00000000-0005-0000-0000-0000D4B30000}"/>
    <cellStyle name="Note 2 2 2 4 4 2 6" xfId="11959" xr:uid="{00000000-0005-0000-0000-0000D5B30000}"/>
    <cellStyle name="Note 2 2 2 4 4 3" xfId="3853" xr:uid="{00000000-0005-0000-0000-0000D6B30000}"/>
    <cellStyle name="Note 2 2 2 4 4 3 2" xfId="8715" xr:uid="{00000000-0005-0000-0000-0000D7B30000}"/>
    <cellStyle name="Note 2 2 2 4 4 3 2 2" xfId="28166" xr:uid="{00000000-0005-0000-0000-0000D8B30000}"/>
    <cellStyle name="Note 2 2 2 4 4 3 2 3" xfId="37891" xr:uid="{00000000-0005-0000-0000-0000D9B30000}"/>
    <cellStyle name="Note 2 2 2 4 4 3 2 4" xfId="47616" xr:uid="{00000000-0005-0000-0000-0000DAB30000}"/>
    <cellStyle name="Note 2 2 2 4 4 3 2 5" xfId="18441" xr:uid="{00000000-0005-0000-0000-0000DBB30000}"/>
    <cellStyle name="Note 2 2 2 4 4 3 3" xfId="23304" xr:uid="{00000000-0005-0000-0000-0000DCB30000}"/>
    <cellStyle name="Note 2 2 2 4 4 3 4" xfId="33029" xr:uid="{00000000-0005-0000-0000-0000DDB30000}"/>
    <cellStyle name="Note 2 2 2 4 4 3 5" xfId="42754" xr:uid="{00000000-0005-0000-0000-0000DEB30000}"/>
    <cellStyle name="Note 2 2 2 4 4 3 6" xfId="13579" xr:uid="{00000000-0005-0000-0000-0000DFB30000}"/>
    <cellStyle name="Note 2 2 2 4 4 4" xfId="5475" xr:uid="{00000000-0005-0000-0000-0000E0B30000}"/>
    <cellStyle name="Note 2 2 2 4 4 4 2" xfId="24926" xr:uid="{00000000-0005-0000-0000-0000E1B30000}"/>
    <cellStyle name="Note 2 2 2 4 4 4 3" xfId="34651" xr:uid="{00000000-0005-0000-0000-0000E2B30000}"/>
    <cellStyle name="Note 2 2 2 4 4 4 4" xfId="44376" xr:uid="{00000000-0005-0000-0000-0000E3B30000}"/>
    <cellStyle name="Note 2 2 2 4 4 4 5" xfId="15201" xr:uid="{00000000-0005-0000-0000-0000E4B30000}"/>
    <cellStyle name="Note 2 2 2 4 4 5" xfId="20064" xr:uid="{00000000-0005-0000-0000-0000E5B30000}"/>
    <cellStyle name="Note 2 2 2 4 4 6" xfId="29789" xr:uid="{00000000-0005-0000-0000-0000E6B30000}"/>
    <cellStyle name="Note 2 2 2 4 4 7" xfId="39514" xr:uid="{00000000-0005-0000-0000-0000E7B30000}"/>
    <cellStyle name="Note 2 2 2 4 4 8" xfId="10339" xr:uid="{00000000-0005-0000-0000-0000E8B30000}"/>
    <cellStyle name="Note 2 2 2 4 5" xfId="1873" xr:uid="{00000000-0005-0000-0000-0000E9B30000}"/>
    <cellStyle name="Note 2 2 2 4 5 2" xfId="6735" xr:uid="{00000000-0005-0000-0000-0000EAB30000}"/>
    <cellStyle name="Note 2 2 2 4 5 2 2" xfId="26186" xr:uid="{00000000-0005-0000-0000-0000EBB30000}"/>
    <cellStyle name="Note 2 2 2 4 5 2 3" xfId="35911" xr:uid="{00000000-0005-0000-0000-0000ECB30000}"/>
    <cellStyle name="Note 2 2 2 4 5 2 4" xfId="45636" xr:uid="{00000000-0005-0000-0000-0000EDB30000}"/>
    <cellStyle name="Note 2 2 2 4 5 2 5" xfId="16461" xr:uid="{00000000-0005-0000-0000-0000EEB30000}"/>
    <cellStyle name="Note 2 2 2 4 5 3" xfId="21324" xr:uid="{00000000-0005-0000-0000-0000EFB30000}"/>
    <cellStyle name="Note 2 2 2 4 5 4" xfId="31049" xr:uid="{00000000-0005-0000-0000-0000F0B30000}"/>
    <cellStyle name="Note 2 2 2 4 5 5" xfId="40774" xr:uid="{00000000-0005-0000-0000-0000F1B30000}"/>
    <cellStyle name="Note 2 2 2 4 5 6" xfId="11599" xr:uid="{00000000-0005-0000-0000-0000F2B30000}"/>
    <cellStyle name="Note 2 2 2 4 6" xfId="3493" xr:uid="{00000000-0005-0000-0000-0000F3B30000}"/>
    <cellStyle name="Note 2 2 2 4 6 2" xfId="8355" xr:uid="{00000000-0005-0000-0000-0000F4B30000}"/>
    <cellStyle name="Note 2 2 2 4 6 2 2" xfId="27806" xr:uid="{00000000-0005-0000-0000-0000F5B30000}"/>
    <cellStyle name="Note 2 2 2 4 6 2 3" xfId="37531" xr:uid="{00000000-0005-0000-0000-0000F6B30000}"/>
    <cellStyle name="Note 2 2 2 4 6 2 4" xfId="47256" xr:uid="{00000000-0005-0000-0000-0000F7B30000}"/>
    <cellStyle name="Note 2 2 2 4 6 2 5" xfId="18081" xr:uid="{00000000-0005-0000-0000-0000F8B30000}"/>
    <cellStyle name="Note 2 2 2 4 6 3" xfId="22944" xr:uid="{00000000-0005-0000-0000-0000F9B30000}"/>
    <cellStyle name="Note 2 2 2 4 6 4" xfId="32669" xr:uid="{00000000-0005-0000-0000-0000FAB30000}"/>
    <cellStyle name="Note 2 2 2 4 6 5" xfId="42394" xr:uid="{00000000-0005-0000-0000-0000FBB30000}"/>
    <cellStyle name="Note 2 2 2 4 6 6" xfId="13219" xr:uid="{00000000-0005-0000-0000-0000FCB30000}"/>
    <cellStyle name="Note 2 2 2 4 7" xfId="5115" xr:uid="{00000000-0005-0000-0000-0000FDB30000}"/>
    <cellStyle name="Note 2 2 2 4 7 2" xfId="24566" xr:uid="{00000000-0005-0000-0000-0000FEB30000}"/>
    <cellStyle name="Note 2 2 2 4 7 3" xfId="34291" xr:uid="{00000000-0005-0000-0000-0000FFB30000}"/>
    <cellStyle name="Note 2 2 2 4 7 4" xfId="44016" xr:uid="{00000000-0005-0000-0000-000000B40000}"/>
    <cellStyle name="Note 2 2 2 4 7 5" xfId="14841" xr:uid="{00000000-0005-0000-0000-000001B40000}"/>
    <cellStyle name="Note 2 2 2 4 8" xfId="19704" xr:uid="{00000000-0005-0000-0000-000002B40000}"/>
    <cellStyle name="Note 2 2 2 4 9" xfId="29429" xr:uid="{00000000-0005-0000-0000-000003B40000}"/>
    <cellStyle name="Note 2 2 2 5" xfId="864" xr:uid="{00000000-0005-0000-0000-000004B40000}"/>
    <cellStyle name="Note 2 2 2 5 2" xfId="2503" xr:uid="{00000000-0005-0000-0000-000005B40000}"/>
    <cellStyle name="Note 2 2 2 5 2 2" xfId="7365" xr:uid="{00000000-0005-0000-0000-000006B40000}"/>
    <cellStyle name="Note 2 2 2 5 2 2 2" xfId="26816" xr:uid="{00000000-0005-0000-0000-000007B40000}"/>
    <cellStyle name="Note 2 2 2 5 2 2 3" xfId="36541" xr:uid="{00000000-0005-0000-0000-000008B40000}"/>
    <cellStyle name="Note 2 2 2 5 2 2 4" xfId="46266" xr:uid="{00000000-0005-0000-0000-000009B40000}"/>
    <cellStyle name="Note 2 2 2 5 2 2 5" xfId="17091" xr:uid="{00000000-0005-0000-0000-00000AB40000}"/>
    <cellStyle name="Note 2 2 2 5 2 3" xfId="21954" xr:uid="{00000000-0005-0000-0000-00000BB40000}"/>
    <cellStyle name="Note 2 2 2 5 2 4" xfId="31679" xr:uid="{00000000-0005-0000-0000-00000CB40000}"/>
    <cellStyle name="Note 2 2 2 5 2 5" xfId="41404" xr:uid="{00000000-0005-0000-0000-00000DB40000}"/>
    <cellStyle name="Note 2 2 2 5 2 6" xfId="12229" xr:uid="{00000000-0005-0000-0000-00000EB40000}"/>
    <cellStyle name="Note 2 2 2 5 3" xfId="4123" xr:uid="{00000000-0005-0000-0000-00000FB40000}"/>
    <cellStyle name="Note 2 2 2 5 3 2" xfId="8985" xr:uid="{00000000-0005-0000-0000-000010B40000}"/>
    <cellStyle name="Note 2 2 2 5 3 2 2" xfId="28436" xr:uid="{00000000-0005-0000-0000-000011B40000}"/>
    <cellStyle name="Note 2 2 2 5 3 2 3" xfId="38161" xr:uid="{00000000-0005-0000-0000-000012B40000}"/>
    <cellStyle name="Note 2 2 2 5 3 2 4" xfId="47886" xr:uid="{00000000-0005-0000-0000-000013B40000}"/>
    <cellStyle name="Note 2 2 2 5 3 2 5" xfId="18711" xr:uid="{00000000-0005-0000-0000-000014B40000}"/>
    <cellStyle name="Note 2 2 2 5 3 3" xfId="23574" xr:uid="{00000000-0005-0000-0000-000015B40000}"/>
    <cellStyle name="Note 2 2 2 5 3 4" xfId="33299" xr:uid="{00000000-0005-0000-0000-000016B40000}"/>
    <cellStyle name="Note 2 2 2 5 3 5" xfId="43024" xr:uid="{00000000-0005-0000-0000-000017B40000}"/>
    <cellStyle name="Note 2 2 2 5 3 6" xfId="13849" xr:uid="{00000000-0005-0000-0000-000018B40000}"/>
    <cellStyle name="Note 2 2 2 5 4" xfId="5745" xr:uid="{00000000-0005-0000-0000-000019B40000}"/>
    <cellStyle name="Note 2 2 2 5 4 2" xfId="25196" xr:uid="{00000000-0005-0000-0000-00001AB40000}"/>
    <cellStyle name="Note 2 2 2 5 4 3" xfId="34921" xr:uid="{00000000-0005-0000-0000-00001BB40000}"/>
    <cellStyle name="Note 2 2 2 5 4 4" xfId="44646" xr:uid="{00000000-0005-0000-0000-00001CB40000}"/>
    <cellStyle name="Note 2 2 2 5 4 5" xfId="15471" xr:uid="{00000000-0005-0000-0000-00001DB40000}"/>
    <cellStyle name="Note 2 2 2 5 5" xfId="20334" xr:uid="{00000000-0005-0000-0000-00001EB40000}"/>
    <cellStyle name="Note 2 2 2 5 6" xfId="30059" xr:uid="{00000000-0005-0000-0000-00001FB40000}"/>
    <cellStyle name="Note 2 2 2 5 7" xfId="39784" xr:uid="{00000000-0005-0000-0000-000020B40000}"/>
    <cellStyle name="Note 2 2 2 5 8" xfId="10609" xr:uid="{00000000-0005-0000-0000-000021B40000}"/>
    <cellStyle name="Note 2 2 2 6" xfId="1242" xr:uid="{00000000-0005-0000-0000-000022B40000}"/>
    <cellStyle name="Note 2 2 2 6 2" xfId="2863" xr:uid="{00000000-0005-0000-0000-000023B40000}"/>
    <cellStyle name="Note 2 2 2 6 2 2" xfId="7725" xr:uid="{00000000-0005-0000-0000-000024B40000}"/>
    <cellStyle name="Note 2 2 2 6 2 2 2" xfId="27176" xr:uid="{00000000-0005-0000-0000-000025B40000}"/>
    <cellStyle name="Note 2 2 2 6 2 2 3" xfId="36901" xr:uid="{00000000-0005-0000-0000-000026B40000}"/>
    <cellStyle name="Note 2 2 2 6 2 2 4" xfId="46626" xr:uid="{00000000-0005-0000-0000-000027B40000}"/>
    <cellStyle name="Note 2 2 2 6 2 2 5" xfId="17451" xr:uid="{00000000-0005-0000-0000-000028B40000}"/>
    <cellStyle name="Note 2 2 2 6 2 3" xfId="22314" xr:uid="{00000000-0005-0000-0000-000029B40000}"/>
    <cellStyle name="Note 2 2 2 6 2 4" xfId="32039" xr:uid="{00000000-0005-0000-0000-00002AB40000}"/>
    <cellStyle name="Note 2 2 2 6 2 5" xfId="41764" xr:uid="{00000000-0005-0000-0000-00002BB40000}"/>
    <cellStyle name="Note 2 2 2 6 2 6" xfId="12589" xr:uid="{00000000-0005-0000-0000-00002CB40000}"/>
    <cellStyle name="Note 2 2 2 6 3" xfId="4483" xr:uid="{00000000-0005-0000-0000-00002DB40000}"/>
    <cellStyle name="Note 2 2 2 6 3 2" xfId="9345" xr:uid="{00000000-0005-0000-0000-00002EB40000}"/>
    <cellStyle name="Note 2 2 2 6 3 2 2" xfId="28796" xr:uid="{00000000-0005-0000-0000-00002FB40000}"/>
    <cellStyle name="Note 2 2 2 6 3 2 3" xfId="38521" xr:uid="{00000000-0005-0000-0000-000030B40000}"/>
    <cellStyle name="Note 2 2 2 6 3 2 4" xfId="48246" xr:uid="{00000000-0005-0000-0000-000031B40000}"/>
    <cellStyle name="Note 2 2 2 6 3 2 5" xfId="19071" xr:uid="{00000000-0005-0000-0000-000032B40000}"/>
    <cellStyle name="Note 2 2 2 6 3 3" xfId="23934" xr:uid="{00000000-0005-0000-0000-000033B40000}"/>
    <cellStyle name="Note 2 2 2 6 3 4" xfId="33659" xr:uid="{00000000-0005-0000-0000-000034B40000}"/>
    <cellStyle name="Note 2 2 2 6 3 5" xfId="43384" xr:uid="{00000000-0005-0000-0000-000035B40000}"/>
    <cellStyle name="Note 2 2 2 6 3 6" xfId="14209" xr:uid="{00000000-0005-0000-0000-000036B40000}"/>
    <cellStyle name="Note 2 2 2 6 4" xfId="6105" xr:uid="{00000000-0005-0000-0000-000037B40000}"/>
    <cellStyle name="Note 2 2 2 6 4 2" xfId="25556" xr:uid="{00000000-0005-0000-0000-000038B40000}"/>
    <cellStyle name="Note 2 2 2 6 4 3" xfId="35281" xr:uid="{00000000-0005-0000-0000-000039B40000}"/>
    <cellStyle name="Note 2 2 2 6 4 4" xfId="45006" xr:uid="{00000000-0005-0000-0000-00003AB40000}"/>
    <cellStyle name="Note 2 2 2 6 4 5" xfId="15831" xr:uid="{00000000-0005-0000-0000-00003BB40000}"/>
    <cellStyle name="Note 2 2 2 6 5" xfId="20694" xr:uid="{00000000-0005-0000-0000-00003CB40000}"/>
    <cellStyle name="Note 2 2 2 6 6" xfId="30419" xr:uid="{00000000-0005-0000-0000-00003DB40000}"/>
    <cellStyle name="Note 2 2 2 6 7" xfId="40144" xr:uid="{00000000-0005-0000-0000-00003EB40000}"/>
    <cellStyle name="Note 2 2 2 6 8" xfId="10969" xr:uid="{00000000-0005-0000-0000-00003FB40000}"/>
    <cellStyle name="Note 2 2 2 7" xfId="1332" xr:uid="{00000000-0005-0000-0000-000040B40000}"/>
    <cellStyle name="Note 2 2 2 7 2" xfId="2953" xr:uid="{00000000-0005-0000-0000-000041B40000}"/>
    <cellStyle name="Note 2 2 2 7 2 2" xfId="7815" xr:uid="{00000000-0005-0000-0000-000042B40000}"/>
    <cellStyle name="Note 2 2 2 7 2 2 2" xfId="27266" xr:uid="{00000000-0005-0000-0000-000043B40000}"/>
    <cellStyle name="Note 2 2 2 7 2 2 3" xfId="36991" xr:uid="{00000000-0005-0000-0000-000044B40000}"/>
    <cellStyle name="Note 2 2 2 7 2 2 4" xfId="46716" xr:uid="{00000000-0005-0000-0000-000045B40000}"/>
    <cellStyle name="Note 2 2 2 7 2 2 5" xfId="17541" xr:uid="{00000000-0005-0000-0000-000046B40000}"/>
    <cellStyle name="Note 2 2 2 7 2 3" xfId="22404" xr:uid="{00000000-0005-0000-0000-000047B40000}"/>
    <cellStyle name="Note 2 2 2 7 2 4" xfId="32129" xr:uid="{00000000-0005-0000-0000-000048B40000}"/>
    <cellStyle name="Note 2 2 2 7 2 5" xfId="41854" xr:uid="{00000000-0005-0000-0000-000049B40000}"/>
    <cellStyle name="Note 2 2 2 7 2 6" xfId="12679" xr:uid="{00000000-0005-0000-0000-00004AB40000}"/>
    <cellStyle name="Note 2 2 2 7 3" xfId="4573" xr:uid="{00000000-0005-0000-0000-00004BB40000}"/>
    <cellStyle name="Note 2 2 2 7 3 2" xfId="9435" xr:uid="{00000000-0005-0000-0000-00004CB40000}"/>
    <cellStyle name="Note 2 2 2 7 3 2 2" xfId="28886" xr:uid="{00000000-0005-0000-0000-00004DB40000}"/>
    <cellStyle name="Note 2 2 2 7 3 2 3" xfId="38611" xr:uid="{00000000-0005-0000-0000-00004EB40000}"/>
    <cellStyle name="Note 2 2 2 7 3 2 4" xfId="48336" xr:uid="{00000000-0005-0000-0000-00004FB40000}"/>
    <cellStyle name="Note 2 2 2 7 3 2 5" xfId="19161" xr:uid="{00000000-0005-0000-0000-000050B40000}"/>
    <cellStyle name="Note 2 2 2 7 3 3" xfId="24024" xr:uid="{00000000-0005-0000-0000-000051B40000}"/>
    <cellStyle name="Note 2 2 2 7 3 4" xfId="33749" xr:uid="{00000000-0005-0000-0000-000052B40000}"/>
    <cellStyle name="Note 2 2 2 7 3 5" xfId="43474" xr:uid="{00000000-0005-0000-0000-000053B40000}"/>
    <cellStyle name="Note 2 2 2 7 3 6" xfId="14299" xr:uid="{00000000-0005-0000-0000-000054B40000}"/>
    <cellStyle name="Note 2 2 2 7 4" xfId="6195" xr:uid="{00000000-0005-0000-0000-000055B40000}"/>
    <cellStyle name="Note 2 2 2 7 4 2" xfId="25646" xr:uid="{00000000-0005-0000-0000-000056B40000}"/>
    <cellStyle name="Note 2 2 2 7 4 3" xfId="35371" xr:uid="{00000000-0005-0000-0000-000057B40000}"/>
    <cellStyle name="Note 2 2 2 7 4 4" xfId="45096" xr:uid="{00000000-0005-0000-0000-000058B40000}"/>
    <cellStyle name="Note 2 2 2 7 4 5" xfId="15921" xr:uid="{00000000-0005-0000-0000-000059B40000}"/>
    <cellStyle name="Note 2 2 2 7 5" xfId="20784" xr:uid="{00000000-0005-0000-0000-00005AB40000}"/>
    <cellStyle name="Note 2 2 2 7 6" xfId="30509" xr:uid="{00000000-0005-0000-0000-00005BB40000}"/>
    <cellStyle name="Note 2 2 2 7 7" xfId="40234" xr:uid="{00000000-0005-0000-0000-00005CB40000}"/>
    <cellStyle name="Note 2 2 2 7 8" xfId="11059" xr:uid="{00000000-0005-0000-0000-00005DB40000}"/>
    <cellStyle name="Note 2 2 2 8" xfId="503" xr:uid="{00000000-0005-0000-0000-00005EB40000}"/>
    <cellStyle name="Note 2 2 2 8 2" xfId="2143" xr:uid="{00000000-0005-0000-0000-00005FB40000}"/>
    <cellStyle name="Note 2 2 2 8 2 2" xfId="7005" xr:uid="{00000000-0005-0000-0000-000060B40000}"/>
    <cellStyle name="Note 2 2 2 8 2 2 2" xfId="26456" xr:uid="{00000000-0005-0000-0000-000061B40000}"/>
    <cellStyle name="Note 2 2 2 8 2 2 3" xfId="36181" xr:uid="{00000000-0005-0000-0000-000062B40000}"/>
    <cellStyle name="Note 2 2 2 8 2 2 4" xfId="45906" xr:uid="{00000000-0005-0000-0000-000063B40000}"/>
    <cellStyle name="Note 2 2 2 8 2 2 5" xfId="16731" xr:uid="{00000000-0005-0000-0000-000064B40000}"/>
    <cellStyle name="Note 2 2 2 8 2 3" xfId="21594" xr:uid="{00000000-0005-0000-0000-000065B40000}"/>
    <cellStyle name="Note 2 2 2 8 2 4" xfId="31319" xr:uid="{00000000-0005-0000-0000-000066B40000}"/>
    <cellStyle name="Note 2 2 2 8 2 5" xfId="41044" xr:uid="{00000000-0005-0000-0000-000067B40000}"/>
    <cellStyle name="Note 2 2 2 8 2 6" xfId="11869" xr:uid="{00000000-0005-0000-0000-000068B40000}"/>
    <cellStyle name="Note 2 2 2 8 3" xfId="3763" xr:uid="{00000000-0005-0000-0000-000069B40000}"/>
    <cellStyle name="Note 2 2 2 8 3 2" xfId="8625" xr:uid="{00000000-0005-0000-0000-00006AB40000}"/>
    <cellStyle name="Note 2 2 2 8 3 2 2" xfId="28076" xr:uid="{00000000-0005-0000-0000-00006BB40000}"/>
    <cellStyle name="Note 2 2 2 8 3 2 3" xfId="37801" xr:uid="{00000000-0005-0000-0000-00006CB40000}"/>
    <cellStyle name="Note 2 2 2 8 3 2 4" xfId="47526" xr:uid="{00000000-0005-0000-0000-00006DB40000}"/>
    <cellStyle name="Note 2 2 2 8 3 2 5" xfId="18351" xr:uid="{00000000-0005-0000-0000-00006EB40000}"/>
    <cellStyle name="Note 2 2 2 8 3 3" xfId="23214" xr:uid="{00000000-0005-0000-0000-00006FB40000}"/>
    <cellStyle name="Note 2 2 2 8 3 4" xfId="32939" xr:uid="{00000000-0005-0000-0000-000070B40000}"/>
    <cellStyle name="Note 2 2 2 8 3 5" xfId="42664" xr:uid="{00000000-0005-0000-0000-000071B40000}"/>
    <cellStyle name="Note 2 2 2 8 3 6" xfId="13489" xr:uid="{00000000-0005-0000-0000-000072B40000}"/>
    <cellStyle name="Note 2 2 2 8 4" xfId="5385" xr:uid="{00000000-0005-0000-0000-000073B40000}"/>
    <cellStyle name="Note 2 2 2 8 4 2" xfId="24836" xr:uid="{00000000-0005-0000-0000-000074B40000}"/>
    <cellStyle name="Note 2 2 2 8 4 3" xfId="34561" xr:uid="{00000000-0005-0000-0000-000075B40000}"/>
    <cellStyle name="Note 2 2 2 8 4 4" xfId="44286" xr:uid="{00000000-0005-0000-0000-000076B40000}"/>
    <cellStyle name="Note 2 2 2 8 4 5" xfId="15111" xr:uid="{00000000-0005-0000-0000-000077B40000}"/>
    <cellStyle name="Note 2 2 2 8 5" xfId="19974" xr:uid="{00000000-0005-0000-0000-000078B40000}"/>
    <cellStyle name="Note 2 2 2 8 6" xfId="29699" xr:uid="{00000000-0005-0000-0000-000079B40000}"/>
    <cellStyle name="Note 2 2 2 8 7" xfId="39424" xr:uid="{00000000-0005-0000-0000-00007AB40000}"/>
    <cellStyle name="Note 2 2 2 8 8" xfId="10249" xr:uid="{00000000-0005-0000-0000-00007BB40000}"/>
    <cellStyle name="Note 2 2 2 9" xfId="1692" xr:uid="{00000000-0005-0000-0000-00007CB40000}"/>
    <cellStyle name="Note 2 2 2 9 2" xfId="3313" xr:uid="{00000000-0005-0000-0000-00007DB40000}"/>
    <cellStyle name="Note 2 2 2 9 2 2" xfId="8175" xr:uid="{00000000-0005-0000-0000-00007EB40000}"/>
    <cellStyle name="Note 2 2 2 9 2 2 2" xfId="27626" xr:uid="{00000000-0005-0000-0000-00007FB40000}"/>
    <cellStyle name="Note 2 2 2 9 2 2 3" xfId="37351" xr:uid="{00000000-0005-0000-0000-000080B40000}"/>
    <cellStyle name="Note 2 2 2 9 2 2 4" xfId="47076" xr:uid="{00000000-0005-0000-0000-000081B40000}"/>
    <cellStyle name="Note 2 2 2 9 2 2 5" xfId="17901" xr:uid="{00000000-0005-0000-0000-000082B40000}"/>
    <cellStyle name="Note 2 2 2 9 2 3" xfId="22764" xr:uid="{00000000-0005-0000-0000-000083B40000}"/>
    <cellStyle name="Note 2 2 2 9 2 4" xfId="32489" xr:uid="{00000000-0005-0000-0000-000084B40000}"/>
    <cellStyle name="Note 2 2 2 9 2 5" xfId="42214" xr:uid="{00000000-0005-0000-0000-000085B40000}"/>
    <cellStyle name="Note 2 2 2 9 2 6" xfId="13039" xr:uid="{00000000-0005-0000-0000-000086B40000}"/>
    <cellStyle name="Note 2 2 2 9 3" xfId="4933" xr:uid="{00000000-0005-0000-0000-000087B40000}"/>
    <cellStyle name="Note 2 2 2 9 3 2" xfId="9795" xr:uid="{00000000-0005-0000-0000-000088B40000}"/>
    <cellStyle name="Note 2 2 2 9 3 2 2" xfId="29246" xr:uid="{00000000-0005-0000-0000-000089B40000}"/>
    <cellStyle name="Note 2 2 2 9 3 2 3" xfId="38971" xr:uid="{00000000-0005-0000-0000-00008AB40000}"/>
    <cellStyle name="Note 2 2 2 9 3 2 4" xfId="48696" xr:uid="{00000000-0005-0000-0000-00008BB40000}"/>
    <cellStyle name="Note 2 2 2 9 3 2 5" xfId="19521" xr:uid="{00000000-0005-0000-0000-00008CB40000}"/>
    <cellStyle name="Note 2 2 2 9 3 3" xfId="24384" xr:uid="{00000000-0005-0000-0000-00008DB40000}"/>
    <cellStyle name="Note 2 2 2 9 3 4" xfId="34109" xr:uid="{00000000-0005-0000-0000-00008EB40000}"/>
    <cellStyle name="Note 2 2 2 9 3 5" xfId="43834" xr:uid="{00000000-0005-0000-0000-00008FB40000}"/>
    <cellStyle name="Note 2 2 2 9 3 6" xfId="14659" xr:uid="{00000000-0005-0000-0000-000090B40000}"/>
    <cellStyle name="Note 2 2 2 9 4" xfId="6555" xr:uid="{00000000-0005-0000-0000-000091B40000}"/>
    <cellStyle name="Note 2 2 2 9 4 2" xfId="26006" xr:uid="{00000000-0005-0000-0000-000092B40000}"/>
    <cellStyle name="Note 2 2 2 9 4 3" xfId="35731" xr:uid="{00000000-0005-0000-0000-000093B40000}"/>
    <cellStyle name="Note 2 2 2 9 4 4" xfId="45456" xr:uid="{00000000-0005-0000-0000-000094B40000}"/>
    <cellStyle name="Note 2 2 2 9 4 5" xfId="16281" xr:uid="{00000000-0005-0000-0000-000095B40000}"/>
    <cellStyle name="Note 2 2 2 9 5" xfId="21144" xr:uid="{00000000-0005-0000-0000-000096B40000}"/>
    <cellStyle name="Note 2 2 2 9 6" xfId="30869" xr:uid="{00000000-0005-0000-0000-000097B40000}"/>
    <cellStyle name="Note 2 2 2 9 7" xfId="40594" xr:uid="{00000000-0005-0000-0000-000098B40000}"/>
    <cellStyle name="Note 2 2 2 9 8" xfId="11419" xr:uid="{00000000-0005-0000-0000-000099B40000}"/>
    <cellStyle name="Note 2 2 3" xfId="129" xr:uid="{00000000-0005-0000-0000-00009AB40000}"/>
    <cellStyle name="Note 2 2 3 10" xfId="1813" xr:uid="{00000000-0005-0000-0000-00009BB40000}"/>
    <cellStyle name="Note 2 2 3 10 2" xfId="6675" xr:uid="{00000000-0005-0000-0000-00009CB40000}"/>
    <cellStyle name="Note 2 2 3 10 2 2" xfId="26126" xr:uid="{00000000-0005-0000-0000-00009DB40000}"/>
    <cellStyle name="Note 2 2 3 10 2 3" xfId="35851" xr:uid="{00000000-0005-0000-0000-00009EB40000}"/>
    <cellStyle name="Note 2 2 3 10 2 4" xfId="45576" xr:uid="{00000000-0005-0000-0000-00009FB40000}"/>
    <cellStyle name="Note 2 2 3 10 2 5" xfId="16401" xr:uid="{00000000-0005-0000-0000-0000A0B40000}"/>
    <cellStyle name="Note 2 2 3 10 3" xfId="21264" xr:uid="{00000000-0005-0000-0000-0000A1B40000}"/>
    <cellStyle name="Note 2 2 3 10 4" xfId="30989" xr:uid="{00000000-0005-0000-0000-0000A2B40000}"/>
    <cellStyle name="Note 2 2 3 10 5" xfId="40714" xr:uid="{00000000-0005-0000-0000-0000A3B40000}"/>
    <cellStyle name="Note 2 2 3 10 6" xfId="11539" xr:uid="{00000000-0005-0000-0000-0000A4B40000}"/>
    <cellStyle name="Note 2 2 3 11" xfId="3433" xr:uid="{00000000-0005-0000-0000-0000A5B40000}"/>
    <cellStyle name="Note 2 2 3 11 2" xfId="8295" xr:uid="{00000000-0005-0000-0000-0000A6B40000}"/>
    <cellStyle name="Note 2 2 3 11 2 2" xfId="27746" xr:uid="{00000000-0005-0000-0000-0000A7B40000}"/>
    <cellStyle name="Note 2 2 3 11 2 3" xfId="37471" xr:uid="{00000000-0005-0000-0000-0000A8B40000}"/>
    <cellStyle name="Note 2 2 3 11 2 4" xfId="47196" xr:uid="{00000000-0005-0000-0000-0000A9B40000}"/>
    <cellStyle name="Note 2 2 3 11 2 5" xfId="18021" xr:uid="{00000000-0005-0000-0000-0000AAB40000}"/>
    <cellStyle name="Note 2 2 3 11 3" xfId="22884" xr:uid="{00000000-0005-0000-0000-0000ABB40000}"/>
    <cellStyle name="Note 2 2 3 11 4" xfId="32609" xr:uid="{00000000-0005-0000-0000-0000ACB40000}"/>
    <cellStyle name="Note 2 2 3 11 5" xfId="42334" xr:uid="{00000000-0005-0000-0000-0000ADB40000}"/>
    <cellStyle name="Note 2 2 3 11 6" xfId="13159" xr:uid="{00000000-0005-0000-0000-0000AEB40000}"/>
    <cellStyle name="Note 2 2 3 12" xfId="5055" xr:uid="{00000000-0005-0000-0000-0000AFB40000}"/>
    <cellStyle name="Note 2 2 3 12 2" xfId="24506" xr:uid="{00000000-0005-0000-0000-0000B0B40000}"/>
    <cellStyle name="Note 2 2 3 12 3" xfId="34231" xr:uid="{00000000-0005-0000-0000-0000B1B40000}"/>
    <cellStyle name="Note 2 2 3 12 4" xfId="43956" xr:uid="{00000000-0005-0000-0000-0000B2B40000}"/>
    <cellStyle name="Note 2 2 3 12 5" xfId="14781" xr:uid="{00000000-0005-0000-0000-0000B3B40000}"/>
    <cellStyle name="Note 2 2 3 13" xfId="19644" xr:uid="{00000000-0005-0000-0000-0000B4B40000}"/>
    <cellStyle name="Note 2 2 3 14" xfId="29369" xr:uid="{00000000-0005-0000-0000-0000B5B40000}"/>
    <cellStyle name="Note 2 2 3 15" xfId="39094" xr:uid="{00000000-0005-0000-0000-0000B6B40000}"/>
    <cellStyle name="Note 2 2 3 16" xfId="9919" xr:uid="{00000000-0005-0000-0000-0000B7B40000}"/>
    <cellStyle name="Note 2 2 3 2" xfId="311" xr:uid="{00000000-0005-0000-0000-0000B8B40000}"/>
    <cellStyle name="Note 2 2 3 2 10" xfId="39274" xr:uid="{00000000-0005-0000-0000-0000B9B40000}"/>
    <cellStyle name="Note 2 2 3 2 11" xfId="10099" xr:uid="{00000000-0005-0000-0000-0000BAB40000}"/>
    <cellStyle name="Note 2 2 3 2 2" xfId="1075" xr:uid="{00000000-0005-0000-0000-0000BBB40000}"/>
    <cellStyle name="Note 2 2 3 2 2 2" xfId="2713" xr:uid="{00000000-0005-0000-0000-0000BCB40000}"/>
    <cellStyle name="Note 2 2 3 2 2 2 2" xfId="7575" xr:uid="{00000000-0005-0000-0000-0000BDB40000}"/>
    <cellStyle name="Note 2 2 3 2 2 2 2 2" xfId="27026" xr:uid="{00000000-0005-0000-0000-0000BEB40000}"/>
    <cellStyle name="Note 2 2 3 2 2 2 2 3" xfId="36751" xr:uid="{00000000-0005-0000-0000-0000BFB40000}"/>
    <cellStyle name="Note 2 2 3 2 2 2 2 4" xfId="46476" xr:uid="{00000000-0005-0000-0000-0000C0B40000}"/>
    <cellStyle name="Note 2 2 3 2 2 2 2 5" xfId="17301" xr:uid="{00000000-0005-0000-0000-0000C1B40000}"/>
    <cellStyle name="Note 2 2 3 2 2 2 3" xfId="22164" xr:uid="{00000000-0005-0000-0000-0000C2B40000}"/>
    <cellStyle name="Note 2 2 3 2 2 2 4" xfId="31889" xr:uid="{00000000-0005-0000-0000-0000C3B40000}"/>
    <cellStyle name="Note 2 2 3 2 2 2 5" xfId="41614" xr:uid="{00000000-0005-0000-0000-0000C4B40000}"/>
    <cellStyle name="Note 2 2 3 2 2 2 6" xfId="12439" xr:uid="{00000000-0005-0000-0000-0000C5B40000}"/>
    <cellStyle name="Note 2 2 3 2 2 3" xfId="4333" xr:uid="{00000000-0005-0000-0000-0000C6B40000}"/>
    <cellStyle name="Note 2 2 3 2 2 3 2" xfId="9195" xr:uid="{00000000-0005-0000-0000-0000C7B40000}"/>
    <cellStyle name="Note 2 2 3 2 2 3 2 2" xfId="28646" xr:uid="{00000000-0005-0000-0000-0000C8B40000}"/>
    <cellStyle name="Note 2 2 3 2 2 3 2 3" xfId="38371" xr:uid="{00000000-0005-0000-0000-0000C9B40000}"/>
    <cellStyle name="Note 2 2 3 2 2 3 2 4" xfId="48096" xr:uid="{00000000-0005-0000-0000-0000CAB40000}"/>
    <cellStyle name="Note 2 2 3 2 2 3 2 5" xfId="18921" xr:uid="{00000000-0005-0000-0000-0000CBB40000}"/>
    <cellStyle name="Note 2 2 3 2 2 3 3" xfId="23784" xr:uid="{00000000-0005-0000-0000-0000CCB40000}"/>
    <cellStyle name="Note 2 2 3 2 2 3 4" xfId="33509" xr:uid="{00000000-0005-0000-0000-0000CDB40000}"/>
    <cellStyle name="Note 2 2 3 2 2 3 5" xfId="43234" xr:uid="{00000000-0005-0000-0000-0000CEB40000}"/>
    <cellStyle name="Note 2 2 3 2 2 3 6" xfId="14059" xr:uid="{00000000-0005-0000-0000-0000CFB40000}"/>
    <cellStyle name="Note 2 2 3 2 2 4" xfId="5955" xr:uid="{00000000-0005-0000-0000-0000D0B40000}"/>
    <cellStyle name="Note 2 2 3 2 2 4 2" xfId="25406" xr:uid="{00000000-0005-0000-0000-0000D1B40000}"/>
    <cellStyle name="Note 2 2 3 2 2 4 3" xfId="35131" xr:uid="{00000000-0005-0000-0000-0000D2B40000}"/>
    <cellStyle name="Note 2 2 3 2 2 4 4" xfId="44856" xr:uid="{00000000-0005-0000-0000-0000D3B40000}"/>
    <cellStyle name="Note 2 2 3 2 2 4 5" xfId="15681" xr:uid="{00000000-0005-0000-0000-0000D4B40000}"/>
    <cellStyle name="Note 2 2 3 2 2 5" xfId="20544" xr:uid="{00000000-0005-0000-0000-0000D5B40000}"/>
    <cellStyle name="Note 2 2 3 2 2 6" xfId="30269" xr:uid="{00000000-0005-0000-0000-0000D6B40000}"/>
    <cellStyle name="Note 2 2 3 2 2 7" xfId="39994" xr:uid="{00000000-0005-0000-0000-0000D7B40000}"/>
    <cellStyle name="Note 2 2 3 2 2 8" xfId="10819" xr:uid="{00000000-0005-0000-0000-0000D8B40000}"/>
    <cellStyle name="Note 2 2 3 2 3" xfId="1542" xr:uid="{00000000-0005-0000-0000-0000D9B40000}"/>
    <cellStyle name="Note 2 2 3 2 3 2" xfId="3163" xr:uid="{00000000-0005-0000-0000-0000DAB40000}"/>
    <cellStyle name="Note 2 2 3 2 3 2 2" xfId="8025" xr:uid="{00000000-0005-0000-0000-0000DBB40000}"/>
    <cellStyle name="Note 2 2 3 2 3 2 2 2" xfId="27476" xr:uid="{00000000-0005-0000-0000-0000DCB40000}"/>
    <cellStyle name="Note 2 2 3 2 3 2 2 3" xfId="37201" xr:uid="{00000000-0005-0000-0000-0000DDB40000}"/>
    <cellStyle name="Note 2 2 3 2 3 2 2 4" xfId="46926" xr:uid="{00000000-0005-0000-0000-0000DEB40000}"/>
    <cellStyle name="Note 2 2 3 2 3 2 2 5" xfId="17751" xr:uid="{00000000-0005-0000-0000-0000DFB40000}"/>
    <cellStyle name="Note 2 2 3 2 3 2 3" xfId="22614" xr:uid="{00000000-0005-0000-0000-0000E0B40000}"/>
    <cellStyle name="Note 2 2 3 2 3 2 4" xfId="32339" xr:uid="{00000000-0005-0000-0000-0000E1B40000}"/>
    <cellStyle name="Note 2 2 3 2 3 2 5" xfId="42064" xr:uid="{00000000-0005-0000-0000-0000E2B40000}"/>
    <cellStyle name="Note 2 2 3 2 3 2 6" xfId="12889" xr:uid="{00000000-0005-0000-0000-0000E3B40000}"/>
    <cellStyle name="Note 2 2 3 2 3 3" xfId="4783" xr:uid="{00000000-0005-0000-0000-0000E4B40000}"/>
    <cellStyle name="Note 2 2 3 2 3 3 2" xfId="9645" xr:uid="{00000000-0005-0000-0000-0000E5B40000}"/>
    <cellStyle name="Note 2 2 3 2 3 3 2 2" xfId="29096" xr:uid="{00000000-0005-0000-0000-0000E6B40000}"/>
    <cellStyle name="Note 2 2 3 2 3 3 2 3" xfId="38821" xr:uid="{00000000-0005-0000-0000-0000E7B40000}"/>
    <cellStyle name="Note 2 2 3 2 3 3 2 4" xfId="48546" xr:uid="{00000000-0005-0000-0000-0000E8B40000}"/>
    <cellStyle name="Note 2 2 3 2 3 3 2 5" xfId="19371" xr:uid="{00000000-0005-0000-0000-0000E9B40000}"/>
    <cellStyle name="Note 2 2 3 2 3 3 3" xfId="24234" xr:uid="{00000000-0005-0000-0000-0000EAB40000}"/>
    <cellStyle name="Note 2 2 3 2 3 3 4" xfId="33959" xr:uid="{00000000-0005-0000-0000-0000EBB40000}"/>
    <cellStyle name="Note 2 2 3 2 3 3 5" xfId="43684" xr:uid="{00000000-0005-0000-0000-0000ECB40000}"/>
    <cellStyle name="Note 2 2 3 2 3 3 6" xfId="14509" xr:uid="{00000000-0005-0000-0000-0000EDB40000}"/>
    <cellStyle name="Note 2 2 3 2 3 4" xfId="6405" xr:uid="{00000000-0005-0000-0000-0000EEB40000}"/>
    <cellStyle name="Note 2 2 3 2 3 4 2" xfId="25856" xr:uid="{00000000-0005-0000-0000-0000EFB40000}"/>
    <cellStyle name="Note 2 2 3 2 3 4 3" xfId="35581" xr:uid="{00000000-0005-0000-0000-0000F0B40000}"/>
    <cellStyle name="Note 2 2 3 2 3 4 4" xfId="45306" xr:uid="{00000000-0005-0000-0000-0000F1B40000}"/>
    <cellStyle name="Note 2 2 3 2 3 4 5" xfId="16131" xr:uid="{00000000-0005-0000-0000-0000F2B40000}"/>
    <cellStyle name="Note 2 2 3 2 3 5" xfId="20994" xr:uid="{00000000-0005-0000-0000-0000F3B40000}"/>
    <cellStyle name="Note 2 2 3 2 3 6" xfId="30719" xr:uid="{00000000-0005-0000-0000-0000F4B40000}"/>
    <cellStyle name="Note 2 2 3 2 3 7" xfId="40444" xr:uid="{00000000-0005-0000-0000-0000F5B40000}"/>
    <cellStyle name="Note 2 2 3 2 3 8" xfId="11269" xr:uid="{00000000-0005-0000-0000-0000F6B40000}"/>
    <cellStyle name="Note 2 2 3 2 4" xfId="713" xr:uid="{00000000-0005-0000-0000-0000F7B40000}"/>
    <cellStyle name="Note 2 2 3 2 4 2" xfId="2353" xr:uid="{00000000-0005-0000-0000-0000F8B40000}"/>
    <cellStyle name="Note 2 2 3 2 4 2 2" xfId="7215" xr:uid="{00000000-0005-0000-0000-0000F9B40000}"/>
    <cellStyle name="Note 2 2 3 2 4 2 2 2" xfId="26666" xr:uid="{00000000-0005-0000-0000-0000FAB40000}"/>
    <cellStyle name="Note 2 2 3 2 4 2 2 3" xfId="36391" xr:uid="{00000000-0005-0000-0000-0000FBB40000}"/>
    <cellStyle name="Note 2 2 3 2 4 2 2 4" xfId="46116" xr:uid="{00000000-0005-0000-0000-0000FCB40000}"/>
    <cellStyle name="Note 2 2 3 2 4 2 2 5" xfId="16941" xr:uid="{00000000-0005-0000-0000-0000FDB40000}"/>
    <cellStyle name="Note 2 2 3 2 4 2 3" xfId="21804" xr:uid="{00000000-0005-0000-0000-0000FEB40000}"/>
    <cellStyle name="Note 2 2 3 2 4 2 4" xfId="31529" xr:uid="{00000000-0005-0000-0000-0000FFB40000}"/>
    <cellStyle name="Note 2 2 3 2 4 2 5" xfId="41254" xr:uid="{00000000-0005-0000-0000-000000B50000}"/>
    <cellStyle name="Note 2 2 3 2 4 2 6" xfId="12079" xr:uid="{00000000-0005-0000-0000-000001B50000}"/>
    <cellStyle name="Note 2 2 3 2 4 3" xfId="3973" xr:uid="{00000000-0005-0000-0000-000002B50000}"/>
    <cellStyle name="Note 2 2 3 2 4 3 2" xfId="8835" xr:uid="{00000000-0005-0000-0000-000003B50000}"/>
    <cellStyle name="Note 2 2 3 2 4 3 2 2" xfId="28286" xr:uid="{00000000-0005-0000-0000-000004B50000}"/>
    <cellStyle name="Note 2 2 3 2 4 3 2 3" xfId="38011" xr:uid="{00000000-0005-0000-0000-000005B50000}"/>
    <cellStyle name="Note 2 2 3 2 4 3 2 4" xfId="47736" xr:uid="{00000000-0005-0000-0000-000006B50000}"/>
    <cellStyle name="Note 2 2 3 2 4 3 2 5" xfId="18561" xr:uid="{00000000-0005-0000-0000-000007B50000}"/>
    <cellStyle name="Note 2 2 3 2 4 3 3" xfId="23424" xr:uid="{00000000-0005-0000-0000-000008B50000}"/>
    <cellStyle name="Note 2 2 3 2 4 3 4" xfId="33149" xr:uid="{00000000-0005-0000-0000-000009B50000}"/>
    <cellStyle name="Note 2 2 3 2 4 3 5" xfId="42874" xr:uid="{00000000-0005-0000-0000-00000AB50000}"/>
    <cellStyle name="Note 2 2 3 2 4 3 6" xfId="13699" xr:uid="{00000000-0005-0000-0000-00000BB50000}"/>
    <cellStyle name="Note 2 2 3 2 4 4" xfId="5595" xr:uid="{00000000-0005-0000-0000-00000CB50000}"/>
    <cellStyle name="Note 2 2 3 2 4 4 2" xfId="25046" xr:uid="{00000000-0005-0000-0000-00000DB50000}"/>
    <cellStyle name="Note 2 2 3 2 4 4 3" xfId="34771" xr:uid="{00000000-0005-0000-0000-00000EB50000}"/>
    <cellStyle name="Note 2 2 3 2 4 4 4" xfId="44496" xr:uid="{00000000-0005-0000-0000-00000FB50000}"/>
    <cellStyle name="Note 2 2 3 2 4 4 5" xfId="15321" xr:uid="{00000000-0005-0000-0000-000010B50000}"/>
    <cellStyle name="Note 2 2 3 2 4 5" xfId="20184" xr:uid="{00000000-0005-0000-0000-000011B50000}"/>
    <cellStyle name="Note 2 2 3 2 4 6" xfId="29909" xr:uid="{00000000-0005-0000-0000-000012B50000}"/>
    <cellStyle name="Note 2 2 3 2 4 7" xfId="39634" xr:uid="{00000000-0005-0000-0000-000013B50000}"/>
    <cellStyle name="Note 2 2 3 2 4 8" xfId="10459" xr:uid="{00000000-0005-0000-0000-000014B50000}"/>
    <cellStyle name="Note 2 2 3 2 5" xfId="1993" xr:uid="{00000000-0005-0000-0000-000015B50000}"/>
    <cellStyle name="Note 2 2 3 2 5 2" xfId="6855" xr:uid="{00000000-0005-0000-0000-000016B50000}"/>
    <cellStyle name="Note 2 2 3 2 5 2 2" xfId="26306" xr:uid="{00000000-0005-0000-0000-000017B50000}"/>
    <cellStyle name="Note 2 2 3 2 5 2 3" xfId="36031" xr:uid="{00000000-0005-0000-0000-000018B50000}"/>
    <cellStyle name="Note 2 2 3 2 5 2 4" xfId="45756" xr:uid="{00000000-0005-0000-0000-000019B50000}"/>
    <cellStyle name="Note 2 2 3 2 5 2 5" xfId="16581" xr:uid="{00000000-0005-0000-0000-00001AB50000}"/>
    <cellStyle name="Note 2 2 3 2 5 3" xfId="21444" xr:uid="{00000000-0005-0000-0000-00001BB50000}"/>
    <cellStyle name="Note 2 2 3 2 5 4" xfId="31169" xr:uid="{00000000-0005-0000-0000-00001CB50000}"/>
    <cellStyle name="Note 2 2 3 2 5 5" xfId="40894" xr:uid="{00000000-0005-0000-0000-00001DB50000}"/>
    <cellStyle name="Note 2 2 3 2 5 6" xfId="11719" xr:uid="{00000000-0005-0000-0000-00001EB50000}"/>
    <cellStyle name="Note 2 2 3 2 6" xfId="3613" xr:uid="{00000000-0005-0000-0000-00001FB50000}"/>
    <cellStyle name="Note 2 2 3 2 6 2" xfId="8475" xr:uid="{00000000-0005-0000-0000-000020B50000}"/>
    <cellStyle name="Note 2 2 3 2 6 2 2" xfId="27926" xr:uid="{00000000-0005-0000-0000-000021B50000}"/>
    <cellStyle name="Note 2 2 3 2 6 2 3" xfId="37651" xr:uid="{00000000-0005-0000-0000-000022B50000}"/>
    <cellStyle name="Note 2 2 3 2 6 2 4" xfId="47376" xr:uid="{00000000-0005-0000-0000-000023B50000}"/>
    <cellStyle name="Note 2 2 3 2 6 2 5" xfId="18201" xr:uid="{00000000-0005-0000-0000-000024B50000}"/>
    <cellStyle name="Note 2 2 3 2 6 3" xfId="23064" xr:uid="{00000000-0005-0000-0000-000025B50000}"/>
    <cellStyle name="Note 2 2 3 2 6 4" xfId="32789" xr:uid="{00000000-0005-0000-0000-000026B50000}"/>
    <cellStyle name="Note 2 2 3 2 6 5" xfId="42514" xr:uid="{00000000-0005-0000-0000-000027B50000}"/>
    <cellStyle name="Note 2 2 3 2 6 6" xfId="13339" xr:uid="{00000000-0005-0000-0000-000028B50000}"/>
    <cellStyle name="Note 2 2 3 2 7" xfId="5235" xr:uid="{00000000-0005-0000-0000-000029B50000}"/>
    <cellStyle name="Note 2 2 3 2 7 2" xfId="24686" xr:uid="{00000000-0005-0000-0000-00002AB50000}"/>
    <cellStyle name="Note 2 2 3 2 7 3" xfId="34411" xr:uid="{00000000-0005-0000-0000-00002BB50000}"/>
    <cellStyle name="Note 2 2 3 2 7 4" xfId="44136" xr:uid="{00000000-0005-0000-0000-00002CB50000}"/>
    <cellStyle name="Note 2 2 3 2 7 5" xfId="14961" xr:uid="{00000000-0005-0000-0000-00002DB50000}"/>
    <cellStyle name="Note 2 2 3 2 8" xfId="19824" xr:uid="{00000000-0005-0000-0000-00002EB50000}"/>
    <cellStyle name="Note 2 2 3 2 9" xfId="29549" xr:uid="{00000000-0005-0000-0000-00002FB50000}"/>
    <cellStyle name="Note 2 2 3 3" xfId="402" xr:uid="{00000000-0005-0000-0000-000030B50000}"/>
    <cellStyle name="Note 2 2 3 3 10" xfId="39364" xr:uid="{00000000-0005-0000-0000-000031B50000}"/>
    <cellStyle name="Note 2 2 3 3 11" xfId="10189" xr:uid="{00000000-0005-0000-0000-000032B50000}"/>
    <cellStyle name="Note 2 2 3 3 2" xfId="1165" xr:uid="{00000000-0005-0000-0000-000033B50000}"/>
    <cellStyle name="Note 2 2 3 3 2 2" xfId="2803" xr:uid="{00000000-0005-0000-0000-000034B50000}"/>
    <cellStyle name="Note 2 2 3 3 2 2 2" xfId="7665" xr:uid="{00000000-0005-0000-0000-000035B50000}"/>
    <cellStyle name="Note 2 2 3 3 2 2 2 2" xfId="27116" xr:uid="{00000000-0005-0000-0000-000036B50000}"/>
    <cellStyle name="Note 2 2 3 3 2 2 2 3" xfId="36841" xr:uid="{00000000-0005-0000-0000-000037B50000}"/>
    <cellStyle name="Note 2 2 3 3 2 2 2 4" xfId="46566" xr:uid="{00000000-0005-0000-0000-000038B50000}"/>
    <cellStyle name="Note 2 2 3 3 2 2 2 5" xfId="17391" xr:uid="{00000000-0005-0000-0000-000039B50000}"/>
    <cellStyle name="Note 2 2 3 3 2 2 3" xfId="22254" xr:uid="{00000000-0005-0000-0000-00003AB50000}"/>
    <cellStyle name="Note 2 2 3 3 2 2 4" xfId="31979" xr:uid="{00000000-0005-0000-0000-00003BB50000}"/>
    <cellStyle name="Note 2 2 3 3 2 2 5" xfId="41704" xr:uid="{00000000-0005-0000-0000-00003CB50000}"/>
    <cellStyle name="Note 2 2 3 3 2 2 6" xfId="12529" xr:uid="{00000000-0005-0000-0000-00003DB50000}"/>
    <cellStyle name="Note 2 2 3 3 2 3" xfId="4423" xr:uid="{00000000-0005-0000-0000-00003EB50000}"/>
    <cellStyle name="Note 2 2 3 3 2 3 2" xfId="9285" xr:uid="{00000000-0005-0000-0000-00003FB50000}"/>
    <cellStyle name="Note 2 2 3 3 2 3 2 2" xfId="28736" xr:uid="{00000000-0005-0000-0000-000040B50000}"/>
    <cellStyle name="Note 2 2 3 3 2 3 2 3" xfId="38461" xr:uid="{00000000-0005-0000-0000-000041B50000}"/>
    <cellStyle name="Note 2 2 3 3 2 3 2 4" xfId="48186" xr:uid="{00000000-0005-0000-0000-000042B50000}"/>
    <cellStyle name="Note 2 2 3 3 2 3 2 5" xfId="19011" xr:uid="{00000000-0005-0000-0000-000043B50000}"/>
    <cellStyle name="Note 2 2 3 3 2 3 3" xfId="23874" xr:uid="{00000000-0005-0000-0000-000044B50000}"/>
    <cellStyle name="Note 2 2 3 3 2 3 4" xfId="33599" xr:uid="{00000000-0005-0000-0000-000045B50000}"/>
    <cellStyle name="Note 2 2 3 3 2 3 5" xfId="43324" xr:uid="{00000000-0005-0000-0000-000046B50000}"/>
    <cellStyle name="Note 2 2 3 3 2 3 6" xfId="14149" xr:uid="{00000000-0005-0000-0000-000047B50000}"/>
    <cellStyle name="Note 2 2 3 3 2 4" xfId="6045" xr:uid="{00000000-0005-0000-0000-000048B50000}"/>
    <cellStyle name="Note 2 2 3 3 2 4 2" xfId="25496" xr:uid="{00000000-0005-0000-0000-000049B50000}"/>
    <cellStyle name="Note 2 2 3 3 2 4 3" xfId="35221" xr:uid="{00000000-0005-0000-0000-00004AB50000}"/>
    <cellStyle name="Note 2 2 3 3 2 4 4" xfId="44946" xr:uid="{00000000-0005-0000-0000-00004BB50000}"/>
    <cellStyle name="Note 2 2 3 3 2 4 5" xfId="15771" xr:uid="{00000000-0005-0000-0000-00004CB50000}"/>
    <cellStyle name="Note 2 2 3 3 2 5" xfId="20634" xr:uid="{00000000-0005-0000-0000-00004DB50000}"/>
    <cellStyle name="Note 2 2 3 3 2 6" xfId="30359" xr:uid="{00000000-0005-0000-0000-00004EB50000}"/>
    <cellStyle name="Note 2 2 3 3 2 7" xfId="40084" xr:uid="{00000000-0005-0000-0000-00004FB50000}"/>
    <cellStyle name="Note 2 2 3 3 2 8" xfId="10909" xr:uid="{00000000-0005-0000-0000-000050B50000}"/>
    <cellStyle name="Note 2 2 3 3 3" xfId="1632" xr:uid="{00000000-0005-0000-0000-000051B50000}"/>
    <cellStyle name="Note 2 2 3 3 3 2" xfId="3253" xr:uid="{00000000-0005-0000-0000-000052B50000}"/>
    <cellStyle name="Note 2 2 3 3 3 2 2" xfId="8115" xr:uid="{00000000-0005-0000-0000-000053B50000}"/>
    <cellStyle name="Note 2 2 3 3 3 2 2 2" xfId="27566" xr:uid="{00000000-0005-0000-0000-000054B50000}"/>
    <cellStyle name="Note 2 2 3 3 3 2 2 3" xfId="37291" xr:uid="{00000000-0005-0000-0000-000055B50000}"/>
    <cellStyle name="Note 2 2 3 3 3 2 2 4" xfId="47016" xr:uid="{00000000-0005-0000-0000-000056B50000}"/>
    <cellStyle name="Note 2 2 3 3 3 2 2 5" xfId="17841" xr:uid="{00000000-0005-0000-0000-000057B50000}"/>
    <cellStyle name="Note 2 2 3 3 3 2 3" xfId="22704" xr:uid="{00000000-0005-0000-0000-000058B50000}"/>
    <cellStyle name="Note 2 2 3 3 3 2 4" xfId="32429" xr:uid="{00000000-0005-0000-0000-000059B50000}"/>
    <cellStyle name="Note 2 2 3 3 3 2 5" xfId="42154" xr:uid="{00000000-0005-0000-0000-00005AB50000}"/>
    <cellStyle name="Note 2 2 3 3 3 2 6" xfId="12979" xr:uid="{00000000-0005-0000-0000-00005BB50000}"/>
    <cellStyle name="Note 2 2 3 3 3 3" xfId="4873" xr:uid="{00000000-0005-0000-0000-00005CB50000}"/>
    <cellStyle name="Note 2 2 3 3 3 3 2" xfId="9735" xr:uid="{00000000-0005-0000-0000-00005DB50000}"/>
    <cellStyle name="Note 2 2 3 3 3 3 2 2" xfId="29186" xr:uid="{00000000-0005-0000-0000-00005EB50000}"/>
    <cellStyle name="Note 2 2 3 3 3 3 2 3" xfId="38911" xr:uid="{00000000-0005-0000-0000-00005FB50000}"/>
    <cellStyle name="Note 2 2 3 3 3 3 2 4" xfId="48636" xr:uid="{00000000-0005-0000-0000-000060B50000}"/>
    <cellStyle name="Note 2 2 3 3 3 3 2 5" xfId="19461" xr:uid="{00000000-0005-0000-0000-000061B50000}"/>
    <cellStyle name="Note 2 2 3 3 3 3 3" xfId="24324" xr:uid="{00000000-0005-0000-0000-000062B50000}"/>
    <cellStyle name="Note 2 2 3 3 3 3 4" xfId="34049" xr:uid="{00000000-0005-0000-0000-000063B50000}"/>
    <cellStyle name="Note 2 2 3 3 3 3 5" xfId="43774" xr:uid="{00000000-0005-0000-0000-000064B50000}"/>
    <cellStyle name="Note 2 2 3 3 3 3 6" xfId="14599" xr:uid="{00000000-0005-0000-0000-000065B50000}"/>
    <cellStyle name="Note 2 2 3 3 3 4" xfId="6495" xr:uid="{00000000-0005-0000-0000-000066B50000}"/>
    <cellStyle name="Note 2 2 3 3 3 4 2" xfId="25946" xr:uid="{00000000-0005-0000-0000-000067B50000}"/>
    <cellStyle name="Note 2 2 3 3 3 4 3" xfId="35671" xr:uid="{00000000-0005-0000-0000-000068B50000}"/>
    <cellStyle name="Note 2 2 3 3 3 4 4" xfId="45396" xr:uid="{00000000-0005-0000-0000-000069B50000}"/>
    <cellStyle name="Note 2 2 3 3 3 4 5" xfId="16221" xr:uid="{00000000-0005-0000-0000-00006AB50000}"/>
    <cellStyle name="Note 2 2 3 3 3 5" xfId="21084" xr:uid="{00000000-0005-0000-0000-00006BB50000}"/>
    <cellStyle name="Note 2 2 3 3 3 6" xfId="30809" xr:uid="{00000000-0005-0000-0000-00006CB50000}"/>
    <cellStyle name="Note 2 2 3 3 3 7" xfId="40534" xr:uid="{00000000-0005-0000-0000-00006DB50000}"/>
    <cellStyle name="Note 2 2 3 3 3 8" xfId="11359" xr:uid="{00000000-0005-0000-0000-00006EB50000}"/>
    <cellStyle name="Note 2 2 3 3 4" xfId="803" xr:uid="{00000000-0005-0000-0000-00006FB50000}"/>
    <cellStyle name="Note 2 2 3 3 4 2" xfId="2443" xr:uid="{00000000-0005-0000-0000-000070B50000}"/>
    <cellStyle name="Note 2 2 3 3 4 2 2" xfId="7305" xr:uid="{00000000-0005-0000-0000-000071B50000}"/>
    <cellStyle name="Note 2 2 3 3 4 2 2 2" xfId="26756" xr:uid="{00000000-0005-0000-0000-000072B50000}"/>
    <cellStyle name="Note 2 2 3 3 4 2 2 3" xfId="36481" xr:uid="{00000000-0005-0000-0000-000073B50000}"/>
    <cellStyle name="Note 2 2 3 3 4 2 2 4" xfId="46206" xr:uid="{00000000-0005-0000-0000-000074B50000}"/>
    <cellStyle name="Note 2 2 3 3 4 2 2 5" xfId="17031" xr:uid="{00000000-0005-0000-0000-000075B50000}"/>
    <cellStyle name="Note 2 2 3 3 4 2 3" xfId="21894" xr:uid="{00000000-0005-0000-0000-000076B50000}"/>
    <cellStyle name="Note 2 2 3 3 4 2 4" xfId="31619" xr:uid="{00000000-0005-0000-0000-000077B50000}"/>
    <cellStyle name="Note 2 2 3 3 4 2 5" xfId="41344" xr:uid="{00000000-0005-0000-0000-000078B50000}"/>
    <cellStyle name="Note 2 2 3 3 4 2 6" xfId="12169" xr:uid="{00000000-0005-0000-0000-000079B50000}"/>
    <cellStyle name="Note 2 2 3 3 4 3" xfId="4063" xr:uid="{00000000-0005-0000-0000-00007AB50000}"/>
    <cellStyle name="Note 2 2 3 3 4 3 2" xfId="8925" xr:uid="{00000000-0005-0000-0000-00007BB50000}"/>
    <cellStyle name="Note 2 2 3 3 4 3 2 2" xfId="28376" xr:uid="{00000000-0005-0000-0000-00007CB50000}"/>
    <cellStyle name="Note 2 2 3 3 4 3 2 3" xfId="38101" xr:uid="{00000000-0005-0000-0000-00007DB50000}"/>
    <cellStyle name="Note 2 2 3 3 4 3 2 4" xfId="47826" xr:uid="{00000000-0005-0000-0000-00007EB50000}"/>
    <cellStyle name="Note 2 2 3 3 4 3 2 5" xfId="18651" xr:uid="{00000000-0005-0000-0000-00007FB50000}"/>
    <cellStyle name="Note 2 2 3 3 4 3 3" xfId="23514" xr:uid="{00000000-0005-0000-0000-000080B50000}"/>
    <cellStyle name="Note 2 2 3 3 4 3 4" xfId="33239" xr:uid="{00000000-0005-0000-0000-000081B50000}"/>
    <cellStyle name="Note 2 2 3 3 4 3 5" xfId="42964" xr:uid="{00000000-0005-0000-0000-000082B50000}"/>
    <cellStyle name="Note 2 2 3 3 4 3 6" xfId="13789" xr:uid="{00000000-0005-0000-0000-000083B50000}"/>
    <cellStyle name="Note 2 2 3 3 4 4" xfId="5685" xr:uid="{00000000-0005-0000-0000-000084B50000}"/>
    <cellStyle name="Note 2 2 3 3 4 4 2" xfId="25136" xr:uid="{00000000-0005-0000-0000-000085B50000}"/>
    <cellStyle name="Note 2 2 3 3 4 4 3" xfId="34861" xr:uid="{00000000-0005-0000-0000-000086B50000}"/>
    <cellStyle name="Note 2 2 3 3 4 4 4" xfId="44586" xr:uid="{00000000-0005-0000-0000-000087B50000}"/>
    <cellStyle name="Note 2 2 3 3 4 4 5" xfId="15411" xr:uid="{00000000-0005-0000-0000-000088B50000}"/>
    <cellStyle name="Note 2 2 3 3 4 5" xfId="20274" xr:uid="{00000000-0005-0000-0000-000089B50000}"/>
    <cellStyle name="Note 2 2 3 3 4 6" xfId="29999" xr:uid="{00000000-0005-0000-0000-00008AB50000}"/>
    <cellStyle name="Note 2 2 3 3 4 7" xfId="39724" xr:uid="{00000000-0005-0000-0000-00008BB50000}"/>
    <cellStyle name="Note 2 2 3 3 4 8" xfId="10549" xr:uid="{00000000-0005-0000-0000-00008CB50000}"/>
    <cellStyle name="Note 2 2 3 3 5" xfId="2083" xr:uid="{00000000-0005-0000-0000-00008DB50000}"/>
    <cellStyle name="Note 2 2 3 3 5 2" xfId="6945" xr:uid="{00000000-0005-0000-0000-00008EB50000}"/>
    <cellStyle name="Note 2 2 3 3 5 2 2" xfId="26396" xr:uid="{00000000-0005-0000-0000-00008FB50000}"/>
    <cellStyle name="Note 2 2 3 3 5 2 3" xfId="36121" xr:uid="{00000000-0005-0000-0000-000090B50000}"/>
    <cellStyle name="Note 2 2 3 3 5 2 4" xfId="45846" xr:uid="{00000000-0005-0000-0000-000091B50000}"/>
    <cellStyle name="Note 2 2 3 3 5 2 5" xfId="16671" xr:uid="{00000000-0005-0000-0000-000092B50000}"/>
    <cellStyle name="Note 2 2 3 3 5 3" xfId="21534" xr:uid="{00000000-0005-0000-0000-000093B50000}"/>
    <cellStyle name="Note 2 2 3 3 5 4" xfId="31259" xr:uid="{00000000-0005-0000-0000-000094B50000}"/>
    <cellStyle name="Note 2 2 3 3 5 5" xfId="40984" xr:uid="{00000000-0005-0000-0000-000095B50000}"/>
    <cellStyle name="Note 2 2 3 3 5 6" xfId="11809" xr:uid="{00000000-0005-0000-0000-000096B50000}"/>
    <cellStyle name="Note 2 2 3 3 6" xfId="3703" xr:uid="{00000000-0005-0000-0000-000097B50000}"/>
    <cellStyle name="Note 2 2 3 3 6 2" xfId="8565" xr:uid="{00000000-0005-0000-0000-000098B50000}"/>
    <cellStyle name="Note 2 2 3 3 6 2 2" xfId="28016" xr:uid="{00000000-0005-0000-0000-000099B50000}"/>
    <cellStyle name="Note 2 2 3 3 6 2 3" xfId="37741" xr:uid="{00000000-0005-0000-0000-00009AB50000}"/>
    <cellStyle name="Note 2 2 3 3 6 2 4" xfId="47466" xr:uid="{00000000-0005-0000-0000-00009BB50000}"/>
    <cellStyle name="Note 2 2 3 3 6 2 5" xfId="18291" xr:uid="{00000000-0005-0000-0000-00009CB50000}"/>
    <cellStyle name="Note 2 2 3 3 6 3" xfId="23154" xr:uid="{00000000-0005-0000-0000-00009DB50000}"/>
    <cellStyle name="Note 2 2 3 3 6 4" xfId="32879" xr:uid="{00000000-0005-0000-0000-00009EB50000}"/>
    <cellStyle name="Note 2 2 3 3 6 5" xfId="42604" xr:uid="{00000000-0005-0000-0000-00009FB50000}"/>
    <cellStyle name="Note 2 2 3 3 6 6" xfId="13429" xr:uid="{00000000-0005-0000-0000-0000A0B50000}"/>
    <cellStyle name="Note 2 2 3 3 7" xfId="5325" xr:uid="{00000000-0005-0000-0000-0000A1B50000}"/>
    <cellStyle name="Note 2 2 3 3 7 2" xfId="24776" xr:uid="{00000000-0005-0000-0000-0000A2B50000}"/>
    <cellStyle name="Note 2 2 3 3 7 3" xfId="34501" xr:uid="{00000000-0005-0000-0000-0000A3B50000}"/>
    <cellStyle name="Note 2 2 3 3 7 4" xfId="44226" xr:uid="{00000000-0005-0000-0000-0000A4B50000}"/>
    <cellStyle name="Note 2 2 3 3 7 5" xfId="15051" xr:uid="{00000000-0005-0000-0000-0000A5B50000}"/>
    <cellStyle name="Note 2 2 3 3 8" xfId="19914" xr:uid="{00000000-0005-0000-0000-0000A6B50000}"/>
    <cellStyle name="Note 2 2 3 3 9" xfId="29639" xr:uid="{00000000-0005-0000-0000-0000A7B50000}"/>
    <cellStyle name="Note 2 2 3 4" xfId="220" xr:uid="{00000000-0005-0000-0000-0000A8B50000}"/>
    <cellStyle name="Note 2 2 3 4 10" xfId="39184" xr:uid="{00000000-0005-0000-0000-0000A9B50000}"/>
    <cellStyle name="Note 2 2 3 4 11" xfId="10009" xr:uid="{00000000-0005-0000-0000-0000AAB50000}"/>
    <cellStyle name="Note 2 2 3 4 2" xfId="984" xr:uid="{00000000-0005-0000-0000-0000ABB50000}"/>
    <cellStyle name="Note 2 2 3 4 2 2" xfId="2623" xr:uid="{00000000-0005-0000-0000-0000ACB50000}"/>
    <cellStyle name="Note 2 2 3 4 2 2 2" xfId="7485" xr:uid="{00000000-0005-0000-0000-0000ADB50000}"/>
    <cellStyle name="Note 2 2 3 4 2 2 2 2" xfId="26936" xr:uid="{00000000-0005-0000-0000-0000AEB50000}"/>
    <cellStyle name="Note 2 2 3 4 2 2 2 3" xfId="36661" xr:uid="{00000000-0005-0000-0000-0000AFB50000}"/>
    <cellStyle name="Note 2 2 3 4 2 2 2 4" xfId="46386" xr:uid="{00000000-0005-0000-0000-0000B0B50000}"/>
    <cellStyle name="Note 2 2 3 4 2 2 2 5" xfId="17211" xr:uid="{00000000-0005-0000-0000-0000B1B50000}"/>
    <cellStyle name="Note 2 2 3 4 2 2 3" xfId="22074" xr:uid="{00000000-0005-0000-0000-0000B2B50000}"/>
    <cellStyle name="Note 2 2 3 4 2 2 4" xfId="31799" xr:uid="{00000000-0005-0000-0000-0000B3B50000}"/>
    <cellStyle name="Note 2 2 3 4 2 2 5" xfId="41524" xr:uid="{00000000-0005-0000-0000-0000B4B50000}"/>
    <cellStyle name="Note 2 2 3 4 2 2 6" xfId="12349" xr:uid="{00000000-0005-0000-0000-0000B5B50000}"/>
    <cellStyle name="Note 2 2 3 4 2 3" xfId="4243" xr:uid="{00000000-0005-0000-0000-0000B6B50000}"/>
    <cellStyle name="Note 2 2 3 4 2 3 2" xfId="9105" xr:uid="{00000000-0005-0000-0000-0000B7B50000}"/>
    <cellStyle name="Note 2 2 3 4 2 3 2 2" xfId="28556" xr:uid="{00000000-0005-0000-0000-0000B8B50000}"/>
    <cellStyle name="Note 2 2 3 4 2 3 2 3" xfId="38281" xr:uid="{00000000-0005-0000-0000-0000B9B50000}"/>
    <cellStyle name="Note 2 2 3 4 2 3 2 4" xfId="48006" xr:uid="{00000000-0005-0000-0000-0000BAB50000}"/>
    <cellStyle name="Note 2 2 3 4 2 3 2 5" xfId="18831" xr:uid="{00000000-0005-0000-0000-0000BBB50000}"/>
    <cellStyle name="Note 2 2 3 4 2 3 3" xfId="23694" xr:uid="{00000000-0005-0000-0000-0000BCB50000}"/>
    <cellStyle name="Note 2 2 3 4 2 3 4" xfId="33419" xr:uid="{00000000-0005-0000-0000-0000BDB50000}"/>
    <cellStyle name="Note 2 2 3 4 2 3 5" xfId="43144" xr:uid="{00000000-0005-0000-0000-0000BEB50000}"/>
    <cellStyle name="Note 2 2 3 4 2 3 6" xfId="13969" xr:uid="{00000000-0005-0000-0000-0000BFB50000}"/>
    <cellStyle name="Note 2 2 3 4 2 4" xfId="5865" xr:uid="{00000000-0005-0000-0000-0000C0B50000}"/>
    <cellStyle name="Note 2 2 3 4 2 4 2" xfId="25316" xr:uid="{00000000-0005-0000-0000-0000C1B50000}"/>
    <cellStyle name="Note 2 2 3 4 2 4 3" xfId="35041" xr:uid="{00000000-0005-0000-0000-0000C2B50000}"/>
    <cellStyle name="Note 2 2 3 4 2 4 4" xfId="44766" xr:uid="{00000000-0005-0000-0000-0000C3B50000}"/>
    <cellStyle name="Note 2 2 3 4 2 4 5" xfId="15591" xr:uid="{00000000-0005-0000-0000-0000C4B50000}"/>
    <cellStyle name="Note 2 2 3 4 2 5" xfId="20454" xr:uid="{00000000-0005-0000-0000-0000C5B50000}"/>
    <cellStyle name="Note 2 2 3 4 2 6" xfId="30179" xr:uid="{00000000-0005-0000-0000-0000C6B50000}"/>
    <cellStyle name="Note 2 2 3 4 2 7" xfId="39904" xr:uid="{00000000-0005-0000-0000-0000C7B50000}"/>
    <cellStyle name="Note 2 2 3 4 2 8" xfId="10729" xr:uid="{00000000-0005-0000-0000-0000C8B50000}"/>
    <cellStyle name="Note 2 2 3 4 3" xfId="1452" xr:uid="{00000000-0005-0000-0000-0000C9B50000}"/>
    <cellStyle name="Note 2 2 3 4 3 2" xfId="3073" xr:uid="{00000000-0005-0000-0000-0000CAB50000}"/>
    <cellStyle name="Note 2 2 3 4 3 2 2" xfId="7935" xr:uid="{00000000-0005-0000-0000-0000CBB50000}"/>
    <cellStyle name="Note 2 2 3 4 3 2 2 2" xfId="27386" xr:uid="{00000000-0005-0000-0000-0000CCB50000}"/>
    <cellStyle name="Note 2 2 3 4 3 2 2 3" xfId="37111" xr:uid="{00000000-0005-0000-0000-0000CDB50000}"/>
    <cellStyle name="Note 2 2 3 4 3 2 2 4" xfId="46836" xr:uid="{00000000-0005-0000-0000-0000CEB50000}"/>
    <cellStyle name="Note 2 2 3 4 3 2 2 5" xfId="17661" xr:uid="{00000000-0005-0000-0000-0000CFB50000}"/>
    <cellStyle name="Note 2 2 3 4 3 2 3" xfId="22524" xr:uid="{00000000-0005-0000-0000-0000D0B50000}"/>
    <cellStyle name="Note 2 2 3 4 3 2 4" xfId="32249" xr:uid="{00000000-0005-0000-0000-0000D1B50000}"/>
    <cellStyle name="Note 2 2 3 4 3 2 5" xfId="41974" xr:uid="{00000000-0005-0000-0000-0000D2B50000}"/>
    <cellStyle name="Note 2 2 3 4 3 2 6" xfId="12799" xr:uid="{00000000-0005-0000-0000-0000D3B50000}"/>
    <cellStyle name="Note 2 2 3 4 3 3" xfId="4693" xr:uid="{00000000-0005-0000-0000-0000D4B50000}"/>
    <cellStyle name="Note 2 2 3 4 3 3 2" xfId="9555" xr:uid="{00000000-0005-0000-0000-0000D5B50000}"/>
    <cellStyle name="Note 2 2 3 4 3 3 2 2" xfId="29006" xr:uid="{00000000-0005-0000-0000-0000D6B50000}"/>
    <cellStyle name="Note 2 2 3 4 3 3 2 3" xfId="38731" xr:uid="{00000000-0005-0000-0000-0000D7B50000}"/>
    <cellStyle name="Note 2 2 3 4 3 3 2 4" xfId="48456" xr:uid="{00000000-0005-0000-0000-0000D8B50000}"/>
    <cellStyle name="Note 2 2 3 4 3 3 2 5" xfId="19281" xr:uid="{00000000-0005-0000-0000-0000D9B50000}"/>
    <cellStyle name="Note 2 2 3 4 3 3 3" xfId="24144" xr:uid="{00000000-0005-0000-0000-0000DAB50000}"/>
    <cellStyle name="Note 2 2 3 4 3 3 4" xfId="33869" xr:uid="{00000000-0005-0000-0000-0000DBB50000}"/>
    <cellStyle name="Note 2 2 3 4 3 3 5" xfId="43594" xr:uid="{00000000-0005-0000-0000-0000DCB50000}"/>
    <cellStyle name="Note 2 2 3 4 3 3 6" xfId="14419" xr:uid="{00000000-0005-0000-0000-0000DDB50000}"/>
    <cellStyle name="Note 2 2 3 4 3 4" xfId="6315" xr:uid="{00000000-0005-0000-0000-0000DEB50000}"/>
    <cellStyle name="Note 2 2 3 4 3 4 2" xfId="25766" xr:uid="{00000000-0005-0000-0000-0000DFB50000}"/>
    <cellStyle name="Note 2 2 3 4 3 4 3" xfId="35491" xr:uid="{00000000-0005-0000-0000-0000E0B50000}"/>
    <cellStyle name="Note 2 2 3 4 3 4 4" xfId="45216" xr:uid="{00000000-0005-0000-0000-0000E1B50000}"/>
    <cellStyle name="Note 2 2 3 4 3 4 5" xfId="16041" xr:uid="{00000000-0005-0000-0000-0000E2B50000}"/>
    <cellStyle name="Note 2 2 3 4 3 5" xfId="20904" xr:uid="{00000000-0005-0000-0000-0000E3B50000}"/>
    <cellStyle name="Note 2 2 3 4 3 6" xfId="30629" xr:uid="{00000000-0005-0000-0000-0000E4B50000}"/>
    <cellStyle name="Note 2 2 3 4 3 7" xfId="40354" xr:uid="{00000000-0005-0000-0000-0000E5B50000}"/>
    <cellStyle name="Note 2 2 3 4 3 8" xfId="11179" xr:uid="{00000000-0005-0000-0000-0000E6B50000}"/>
    <cellStyle name="Note 2 2 3 4 4" xfId="623" xr:uid="{00000000-0005-0000-0000-0000E7B50000}"/>
    <cellStyle name="Note 2 2 3 4 4 2" xfId="2263" xr:uid="{00000000-0005-0000-0000-0000E8B50000}"/>
    <cellStyle name="Note 2 2 3 4 4 2 2" xfId="7125" xr:uid="{00000000-0005-0000-0000-0000E9B50000}"/>
    <cellStyle name="Note 2 2 3 4 4 2 2 2" xfId="26576" xr:uid="{00000000-0005-0000-0000-0000EAB50000}"/>
    <cellStyle name="Note 2 2 3 4 4 2 2 3" xfId="36301" xr:uid="{00000000-0005-0000-0000-0000EBB50000}"/>
    <cellStyle name="Note 2 2 3 4 4 2 2 4" xfId="46026" xr:uid="{00000000-0005-0000-0000-0000ECB50000}"/>
    <cellStyle name="Note 2 2 3 4 4 2 2 5" xfId="16851" xr:uid="{00000000-0005-0000-0000-0000EDB50000}"/>
    <cellStyle name="Note 2 2 3 4 4 2 3" xfId="21714" xr:uid="{00000000-0005-0000-0000-0000EEB50000}"/>
    <cellStyle name="Note 2 2 3 4 4 2 4" xfId="31439" xr:uid="{00000000-0005-0000-0000-0000EFB50000}"/>
    <cellStyle name="Note 2 2 3 4 4 2 5" xfId="41164" xr:uid="{00000000-0005-0000-0000-0000F0B50000}"/>
    <cellStyle name="Note 2 2 3 4 4 2 6" xfId="11989" xr:uid="{00000000-0005-0000-0000-0000F1B50000}"/>
    <cellStyle name="Note 2 2 3 4 4 3" xfId="3883" xr:uid="{00000000-0005-0000-0000-0000F2B50000}"/>
    <cellStyle name="Note 2 2 3 4 4 3 2" xfId="8745" xr:uid="{00000000-0005-0000-0000-0000F3B50000}"/>
    <cellStyle name="Note 2 2 3 4 4 3 2 2" xfId="28196" xr:uid="{00000000-0005-0000-0000-0000F4B50000}"/>
    <cellStyle name="Note 2 2 3 4 4 3 2 3" xfId="37921" xr:uid="{00000000-0005-0000-0000-0000F5B50000}"/>
    <cellStyle name="Note 2 2 3 4 4 3 2 4" xfId="47646" xr:uid="{00000000-0005-0000-0000-0000F6B50000}"/>
    <cellStyle name="Note 2 2 3 4 4 3 2 5" xfId="18471" xr:uid="{00000000-0005-0000-0000-0000F7B50000}"/>
    <cellStyle name="Note 2 2 3 4 4 3 3" xfId="23334" xr:uid="{00000000-0005-0000-0000-0000F8B50000}"/>
    <cellStyle name="Note 2 2 3 4 4 3 4" xfId="33059" xr:uid="{00000000-0005-0000-0000-0000F9B50000}"/>
    <cellStyle name="Note 2 2 3 4 4 3 5" xfId="42784" xr:uid="{00000000-0005-0000-0000-0000FAB50000}"/>
    <cellStyle name="Note 2 2 3 4 4 3 6" xfId="13609" xr:uid="{00000000-0005-0000-0000-0000FBB50000}"/>
    <cellStyle name="Note 2 2 3 4 4 4" xfId="5505" xr:uid="{00000000-0005-0000-0000-0000FCB50000}"/>
    <cellStyle name="Note 2 2 3 4 4 4 2" xfId="24956" xr:uid="{00000000-0005-0000-0000-0000FDB50000}"/>
    <cellStyle name="Note 2 2 3 4 4 4 3" xfId="34681" xr:uid="{00000000-0005-0000-0000-0000FEB50000}"/>
    <cellStyle name="Note 2 2 3 4 4 4 4" xfId="44406" xr:uid="{00000000-0005-0000-0000-0000FFB50000}"/>
    <cellStyle name="Note 2 2 3 4 4 4 5" xfId="15231" xr:uid="{00000000-0005-0000-0000-000000B60000}"/>
    <cellStyle name="Note 2 2 3 4 4 5" xfId="20094" xr:uid="{00000000-0005-0000-0000-000001B60000}"/>
    <cellStyle name="Note 2 2 3 4 4 6" xfId="29819" xr:uid="{00000000-0005-0000-0000-000002B60000}"/>
    <cellStyle name="Note 2 2 3 4 4 7" xfId="39544" xr:uid="{00000000-0005-0000-0000-000003B60000}"/>
    <cellStyle name="Note 2 2 3 4 4 8" xfId="10369" xr:uid="{00000000-0005-0000-0000-000004B60000}"/>
    <cellStyle name="Note 2 2 3 4 5" xfId="1903" xr:uid="{00000000-0005-0000-0000-000005B60000}"/>
    <cellStyle name="Note 2 2 3 4 5 2" xfId="6765" xr:uid="{00000000-0005-0000-0000-000006B60000}"/>
    <cellStyle name="Note 2 2 3 4 5 2 2" xfId="26216" xr:uid="{00000000-0005-0000-0000-000007B60000}"/>
    <cellStyle name="Note 2 2 3 4 5 2 3" xfId="35941" xr:uid="{00000000-0005-0000-0000-000008B60000}"/>
    <cellStyle name="Note 2 2 3 4 5 2 4" xfId="45666" xr:uid="{00000000-0005-0000-0000-000009B60000}"/>
    <cellStyle name="Note 2 2 3 4 5 2 5" xfId="16491" xr:uid="{00000000-0005-0000-0000-00000AB60000}"/>
    <cellStyle name="Note 2 2 3 4 5 3" xfId="21354" xr:uid="{00000000-0005-0000-0000-00000BB60000}"/>
    <cellStyle name="Note 2 2 3 4 5 4" xfId="31079" xr:uid="{00000000-0005-0000-0000-00000CB60000}"/>
    <cellStyle name="Note 2 2 3 4 5 5" xfId="40804" xr:uid="{00000000-0005-0000-0000-00000DB60000}"/>
    <cellStyle name="Note 2 2 3 4 5 6" xfId="11629" xr:uid="{00000000-0005-0000-0000-00000EB60000}"/>
    <cellStyle name="Note 2 2 3 4 6" xfId="3523" xr:uid="{00000000-0005-0000-0000-00000FB60000}"/>
    <cellStyle name="Note 2 2 3 4 6 2" xfId="8385" xr:uid="{00000000-0005-0000-0000-000010B60000}"/>
    <cellStyle name="Note 2 2 3 4 6 2 2" xfId="27836" xr:uid="{00000000-0005-0000-0000-000011B60000}"/>
    <cellStyle name="Note 2 2 3 4 6 2 3" xfId="37561" xr:uid="{00000000-0005-0000-0000-000012B60000}"/>
    <cellStyle name="Note 2 2 3 4 6 2 4" xfId="47286" xr:uid="{00000000-0005-0000-0000-000013B60000}"/>
    <cellStyle name="Note 2 2 3 4 6 2 5" xfId="18111" xr:uid="{00000000-0005-0000-0000-000014B60000}"/>
    <cellStyle name="Note 2 2 3 4 6 3" xfId="22974" xr:uid="{00000000-0005-0000-0000-000015B60000}"/>
    <cellStyle name="Note 2 2 3 4 6 4" xfId="32699" xr:uid="{00000000-0005-0000-0000-000016B60000}"/>
    <cellStyle name="Note 2 2 3 4 6 5" xfId="42424" xr:uid="{00000000-0005-0000-0000-000017B60000}"/>
    <cellStyle name="Note 2 2 3 4 6 6" xfId="13249" xr:uid="{00000000-0005-0000-0000-000018B60000}"/>
    <cellStyle name="Note 2 2 3 4 7" xfId="5145" xr:uid="{00000000-0005-0000-0000-000019B60000}"/>
    <cellStyle name="Note 2 2 3 4 7 2" xfId="24596" xr:uid="{00000000-0005-0000-0000-00001AB60000}"/>
    <cellStyle name="Note 2 2 3 4 7 3" xfId="34321" xr:uid="{00000000-0005-0000-0000-00001BB60000}"/>
    <cellStyle name="Note 2 2 3 4 7 4" xfId="44046" xr:uid="{00000000-0005-0000-0000-00001CB60000}"/>
    <cellStyle name="Note 2 2 3 4 7 5" xfId="14871" xr:uid="{00000000-0005-0000-0000-00001DB60000}"/>
    <cellStyle name="Note 2 2 3 4 8" xfId="19734" xr:uid="{00000000-0005-0000-0000-00001EB60000}"/>
    <cellStyle name="Note 2 2 3 4 9" xfId="29459" xr:uid="{00000000-0005-0000-0000-00001FB60000}"/>
    <cellStyle name="Note 2 2 3 5" xfId="894" xr:uid="{00000000-0005-0000-0000-000020B60000}"/>
    <cellStyle name="Note 2 2 3 5 2" xfId="2533" xr:uid="{00000000-0005-0000-0000-000021B60000}"/>
    <cellStyle name="Note 2 2 3 5 2 2" xfId="7395" xr:uid="{00000000-0005-0000-0000-000022B60000}"/>
    <cellStyle name="Note 2 2 3 5 2 2 2" xfId="26846" xr:uid="{00000000-0005-0000-0000-000023B60000}"/>
    <cellStyle name="Note 2 2 3 5 2 2 3" xfId="36571" xr:uid="{00000000-0005-0000-0000-000024B60000}"/>
    <cellStyle name="Note 2 2 3 5 2 2 4" xfId="46296" xr:uid="{00000000-0005-0000-0000-000025B60000}"/>
    <cellStyle name="Note 2 2 3 5 2 2 5" xfId="17121" xr:uid="{00000000-0005-0000-0000-000026B60000}"/>
    <cellStyle name="Note 2 2 3 5 2 3" xfId="21984" xr:uid="{00000000-0005-0000-0000-000027B60000}"/>
    <cellStyle name="Note 2 2 3 5 2 4" xfId="31709" xr:uid="{00000000-0005-0000-0000-000028B60000}"/>
    <cellStyle name="Note 2 2 3 5 2 5" xfId="41434" xr:uid="{00000000-0005-0000-0000-000029B60000}"/>
    <cellStyle name="Note 2 2 3 5 2 6" xfId="12259" xr:uid="{00000000-0005-0000-0000-00002AB60000}"/>
    <cellStyle name="Note 2 2 3 5 3" xfId="4153" xr:uid="{00000000-0005-0000-0000-00002BB60000}"/>
    <cellStyle name="Note 2 2 3 5 3 2" xfId="9015" xr:uid="{00000000-0005-0000-0000-00002CB60000}"/>
    <cellStyle name="Note 2 2 3 5 3 2 2" xfId="28466" xr:uid="{00000000-0005-0000-0000-00002DB60000}"/>
    <cellStyle name="Note 2 2 3 5 3 2 3" xfId="38191" xr:uid="{00000000-0005-0000-0000-00002EB60000}"/>
    <cellStyle name="Note 2 2 3 5 3 2 4" xfId="47916" xr:uid="{00000000-0005-0000-0000-00002FB60000}"/>
    <cellStyle name="Note 2 2 3 5 3 2 5" xfId="18741" xr:uid="{00000000-0005-0000-0000-000030B60000}"/>
    <cellStyle name="Note 2 2 3 5 3 3" xfId="23604" xr:uid="{00000000-0005-0000-0000-000031B60000}"/>
    <cellStyle name="Note 2 2 3 5 3 4" xfId="33329" xr:uid="{00000000-0005-0000-0000-000032B60000}"/>
    <cellStyle name="Note 2 2 3 5 3 5" xfId="43054" xr:uid="{00000000-0005-0000-0000-000033B60000}"/>
    <cellStyle name="Note 2 2 3 5 3 6" xfId="13879" xr:uid="{00000000-0005-0000-0000-000034B60000}"/>
    <cellStyle name="Note 2 2 3 5 4" xfId="5775" xr:uid="{00000000-0005-0000-0000-000035B60000}"/>
    <cellStyle name="Note 2 2 3 5 4 2" xfId="25226" xr:uid="{00000000-0005-0000-0000-000036B60000}"/>
    <cellStyle name="Note 2 2 3 5 4 3" xfId="34951" xr:uid="{00000000-0005-0000-0000-000037B60000}"/>
    <cellStyle name="Note 2 2 3 5 4 4" xfId="44676" xr:uid="{00000000-0005-0000-0000-000038B60000}"/>
    <cellStyle name="Note 2 2 3 5 4 5" xfId="15501" xr:uid="{00000000-0005-0000-0000-000039B60000}"/>
    <cellStyle name="Note 2 2 3 5 5" xfId="20364" xr:uid="{00000000-0005-0000-0000-00003AB60000}"/>
    <cellStyle name="Note 2 2 3 5 6" xfId="30089" xr:uid="{00000000-0005-0000-0000-00003BB60000}"/>
    <cellStyle name="Note 2 2 3 5 7" xfId="39814" xr:uid="{00000000-0005-0000-0000-00003CB60000}"/>
    <cellStyle name="Note 2 2 3 5 8" xfId="10639" xr:uid="{00000000-0005-0000-0000-00003DB60000}"/>
    <cellStyle name="Note 2 2 3 6" xfId="1272" xr:uid="{00000000-0005-0000-0000-00003EB60000}"/>
    <cellStyle name="Note 2 2 3 6 2" xfId="2893" xr:uid="{00000000-0005-0000-0000-00003FB60000}"/>
    <cellStyle name="Note 2 2 3 6 2 2" xfId="7755" xr:uid="{00000000-0005-0000-0000-000040B60000}"/>
    <cellStyle name="Note 2 2 3 6 2 2 2" xfId="27206" xr:uid="{00000000-0005-0000-0000-000041B60000}"/>
    <cellStyle name="Note 2 2 3 6 2 2 3" xfId="36931" xr:uid="{00000000-0005-0000-0000-000042B60000}"/>
    <cellStyle name="Note 2 2 3 6 2 2 4" xfId="46656" xr:uid="{00000000-0005-0000-0000-000043B60000}"/>
    <cellStyle name="Note 2 2 3 6 2 2 5" xfId="17481" xr:uid="{00000000-0005-0000-0000-000044B60000}"/>
    <cellStyle name="Note 2 2 3 6 2 3" xfId="22344" xr:uid="{00000000-0005-0000-0000-000045B60000}"/>
    <cellStyle name="Note 2 2 3 6 2 4" xfId="32069" xr:uid="{00000000-0005-0000-0000-000046B60000}"/>
    <cellStyle name="Note 2 2 3 6 2 5" xfId="41794" xr:uid="{00000000-0005-0000-0000-000047B60000}"/>
    <cellStyle name="Note 2 2 3 6 2 6" xfId="12619" xr:uid="{00000000-0005-0000-0000-000048B60000}"/>
    <cellStyle name="Note 2 2 3 6 3" xfId="4513" xr:uid="{00000000-0005-0000-0000-000049B60000}"/>
    <cellStyle name="Note 2 2 3 6 3 2" xfId="9375" xr:uid="{00000000-0005-0000-0000-00004AB60000}"/>
    <cellStyle name="Note 2 2 3 6 3 2 2" xfId="28826" xr:uid="{00000000-0005-0000-0000-00004BB60000}"/>
    <cellStyle name="Note 2 2 3 6 3 2 3" xfId="38551" xr:uid="{00000000-0005-0000-0000-00004CB60000}"/>
    <cellStyle name="Note 2 2 3 6 3 2 4" xfId="48276" xr:uid="{00000000-0005-0000-0000-00004DB60000}"/>
    <cellStyle name="Note 2 2 3 6 3 2 5" xfId="19101" xr:uid="{00000000-0005-0000-0000-00004EB60000}"/>
    <cellStyle name="Note 2 2 3 6 3 3" xfId="23964" xr:uid="{00000000-0005-0000-0000-00004FB60000}"/>
    <cellStyle name="Note 2 2 3 6 3 4" xfId="33689" xr:uid="{00000000-0005-0000-0000-000050B60000}"/>
    <cellStyle name="Note 2 2 3 6 3 5" xfId="43414" xr:uid="{00000000-0005-0000-0000-000051B60000}"/>
    <cellStyle name="Note 2 2 3 6 3 6" xfId="14239" xr:uid="{00000000-0005-0000-0000-000052B60000}"/>
    <cellStyle name="Note 2 2 3 6 4" xfId="6135" xr:uid="{00000000-0005-0000-0000-000053B60000}"/>
    <cellStyle name="Note 2 2 3 6 4 2" xfId="25586" xr:uid="{00000000-0005-0000-0000-000054B60000}"/>
    <cellStyle name="Note 2 2 3 6 4 3" xfId="35311" xr:uid="{00000000-0005-0000-0000-000055B60000}"/>
    <cellStyle name="Note 2 2 3 6 4 4" xfId="45036" xr:uid="{00000000-0005-0000-0000-000056B60000}"/>
    <cellStyle name="Note 2 2 3 6 4 5" xfId="15861" xr:uid="{00000000-0005-0000-0000-000057B60000}"/>
    <cellStyle name="Note 2 2 3 6 5" xfId="20724" xr:uid="{00000000-0005-0000-0000-000058B60000}"/>
    <cellStyle name="Note 2 2 3 6 6" xfId="30449" xr:uid="{00000000-0005-0000-0000-000059B60000}"/>
    <cellStyle name="Note 2 2 3 6 7" xfId="40174" xr:uid="{00000000-0005-0000-0000-00005AB60000}"/>
    <cellStyle name="Note 2 2 3 6 8" xfId="10999" xr:uid="{00000000-0005-0000-0000-00005BB60000}"/>
    <cellStyle name="Note 2 2 3 7" xfId="1362" xr:uid="{00000000-0005-0000-0000-00005CB60000}"/>
    <cellStyle name="Note 2 2 3 7 2" xfId="2983" xr:uid="{00000000-0005-0000-0000-00005DB60000}"/>
    <cellStyle name="Note 2 2 3 7 2 2" xfId="7845" xr:uid="{00000000-0005-0000-0000-00005EB60000}"/>
    <cellStyle name="Note 2 2 3 7 2 2 2" xfId="27296" xr:uid="{00000000-0005-0000-0000-00005FB60000}"/>
    <cellStyle name="Note 2 2 3 7 2 2 3" xfId="37021" xr:uid="{00000000-0005-0000-0000-000060B60000}"/>
    <cellStyle name="Note 2 2 3 7 2 2 4" xfId="46746" xr:uid="{00000000-0005-0000-0000-000061B60000}"/>
    <cellStyle name="Note 2 2 3 7 2 2 5" xfId="17571" xr:uid="{00000000-0005-0000-0000-000062B60000}"/>
    <cellStyle name="Note 2 2 3 7 2 3" xfId="22434" xr:uid="{00000000-0005-0000-0000-000063B60000}"/>
    <cellStyle name="Note 2 2 3 7 2 4" xfId="32159" xr:uid="{00000000-0005-0000-0000-000064B60000}"/>
    <cellStyle name="Note 2 2 3 7 2 5" xfId="41884" xr:uid="{00000000-0005-0000-0000-000065B60000}"/>
    <cellStyle name="Note 2 2 3 7 2 6" xfId="12709" xr:uid="{00000000-0005-0000-0000-000066B60000}"/>
    <cellStyle name="Note 2 2 3 7 3" xfId="4603" xr:uid="{00000000-0005-0000-0000-000067B60000}"/>
    <cellStyle name="Note 2 2 3 7 3 2" xfId="9465" xr:uid="{00000000-0005-0000-0000-000068B60000}"/>
    <cellStyle name="Note 2 2 3 7 3 2 2" xfId="28916" xr:uid="{00000000-0005-0000-0000-000069B60000}"/>
    <cellStyle name="Note 2 2 3 7 3 2 3" xfId="38641" xr:uid="{00000000-0005-0000-0000-00006AB60000}"/>
    <cellStyle name="Note 2 2 3 7 3 2 4" xfId="48366" xr:uid="{00000000-0005-0000-0000-00006BB60000}"/>
    <cellStyle name="Note 2 2 3 7 3 2 5" xfId="19191" xr:uid="{00000000-0005-0000-0000-00006CB60000}"/>
    <cellStyle name="Note 2 2 3 7 3 3" xfId="24054" xr:uid="{00000000-0005-0000-0000-00006DB60000}"/>
    <cellStyle name="Note 2 2 3 7 3 4" xfId="33779" xr:uid="{00000000-0005-0000-0000-00006EB60000}"/>
    <cellStyle name="Note 2 2 3 7 3 5" xfId="43504" xr:uid="{00000000-0005-0000-0000-00006FB60000}"/>
    <cellStyle name="Note 2 2 3 7 3 6" xfId="14329" xr:uid="{00000000-0005-0000-0000-000070B60000}"/>
    <cellStyle name="Note 2 2 3 7 4" xfId="6225" xr:uid="{00000000-0005-0000-0000-000071B60000}"/>
    <cellStyle name="Note 2 2 3 7 4 2" xfId="25676" xr:uid="{00000000-0005-0000-0000-000072B60000}"/>
    <cellStyle name="Note 2 2 3 7 4 3" xfId="35401" xr:uid="{00000000-0005-0000-0000-000073B60000}"/>
    <cellStyle name="Note 2 2 3 7 4 4" xfId="45126" xr:uid="{00000000-0005-0000-0000-000074B60000}"/>
    <cellStyle name="Note 2 2 3 7 4 5" xfId="15951" xr:uid="{00000000-0005-0000-0000-000075B60000}"/>
    <cellStyle name="Note 2 2 3 7 5" xfId="20814" xr:uid="{00000000-0005-0000-0000-000076B60000}"/>
    <cellStyle name="Note 2 2 3 7 6" xfId="30539" xr:uid="{00000000-0005-0000-0000-000077B60000}"/>
    <cellStyle name="Note 2 2 3 7 7" xfId="40264" xr:uid="{00000000-0005-0000-0000-000078B60000}"/>
    <cellStyle name="Note 2 2 3 7 8" xfId="11089" xr:uid="{00000000-0005-0000-0000-000079B60000}"/>
    <cellStyle name="Note 2 2 3 8" xfId="533" xr:uid="{00000000-0005-0000-0000-00007AB60000}"/>
    <cellStyle name="Note 2 2 3 8 2" xfId="2173" xr:uid="{00000000-0005-0000-0000-00007BB60000}"/>
    <cellStyle name="Note 2 2 3 8 2 2" xfId="7035" xr:uid="{00000000-0005-0000-0000-00007CB60000}"/>
    <cellStyle name="Note 2 2 3 8 2 2 2" xfId="26486" xr:uid="{00000000-0005-0000-0000-00007DB60000}"/>
    <cellStyle name="Note 2 2 3 8 2 2 3" xfId="36211" xr:uid="{00000000-0005-0000-0000-00007EB60000}"/>
    <cellStyle name="Note 2 2 3 8 2 2 4" xfId="45936" xr:uid="{00000000-0005-0000-0000-00007FB60000}"/>
    <cellStyle name="Note 2 2 3 8 2 2 5" xfId="16761" xr:uid="{00000000-0005-0000-0000-000080B60000}"/>
    <cellStyle name="Note 2 2 3 8 2 3" xfId="21624" xr:uid="{00000000-0005-0000-0000-000081B60000}"/>
    <cellStyle name="Note 2 2 3 8 2 4" xfId="31349" xr:uid="{00000000-0005-0000-0000-000082B60000}"/>
    <cellStyle name="Note 2 2 3 8 2 5" xfId="41074" xr:uid="{00000000-0005-0000-0000-000083B60000}"/>
    <cellStyle name="Note 2 2 3 8 2 6" xfId="11899" xr:uid="{00000000-0005-0000-0000-000084B60000}"/>
    <cellStyle name="Note 2 2 3 8 3" xfId="3793" xr:uid="{00000000-0005-0000-0000-000085B60000}"/>
    <cellStyle name="Note 2 2 3 8 3 2" xfId="8655" xr:uid="{00000000-0005-0000-0000-000086B60000}"/>
    <cellStyle name="Note 2 2 3 8 3 2 2" xfId="28106" xr:uid="{00000000-0005-0000-0000-000087B60000}"/>
    <cellStyle name="Note 2 2 3 8 3 2 3" xfId="37831" xr:uid="{00000000-0005-0000-0000-000088B60000}"/>
    <cellStyle name="Note 2 2 3 8 3 2 4" xfId="47556" xr:uid="{00000000-0005-0000-0000-000089B60000}"/>
    <cellStyle name="Note 2 2 3 8 3 2 5" xfId="18381" xr:uid="{00000000-0005-0000-0000-00008AB60000}"/>
    <cellStyle name="Note 2 2 3 8 3 3" xfId="23244" xr:uid="{00000000-0005-0000-0000-00008BB60000}"/>
    <cellStyle name="Note 2 2 3 8 3 4" xfId="32969" xr:uid="{00000000-0005-0000-0000-00008CB60000}"/>
    <cellStyle name="Note 2 2 3 8 3 5" xfId="42694" xr:uid="{00000000-0005-0000-0000-00008DB60000}"/>
    <cellStyle name="Note 2 2 3 8 3 6" xfId="13519" xr:uid="{00000000-0005-0000-0000-00008EB60000}"/>
    <cellStyle name="Note 2 2 3 8 4" xfId="5415" xr:uid="{00000000-0005-0000-0000-00008FB60000}"/>
    <cellStyle name="Note 2 2 3 8 4 2" xfId="24866" xr:uid="{00000000-0005-0000-0000-000090B60000}"/>
    <cellStyle name="Note 2 2 3 8 4 3" xfId="34591" xr:uid="{00000000-0005-0000-0000-000091B60000}"/>
    <cellStyle name="Note 2 2 3 8 4 4" xfId="44316" xr:uid="{00000000-0005-0000-0000-000092B60000}"/>
    <cellStyle name="Note 2 2 3 8 4 5" xfId="15141" xr:uid="{00000000-0005-0000-0000-000093B60000}"/>
    <cellStyle name="Note 2 2 3 8 5" xfId="20004" xr:uid="{00000000-0005-0000-0000-000094B60000}"/>
    <cellStyle name="Note 2 2 3 8 6" xfId="29729" xr:uid="{00000000-0005-0000-0000-000095B60000}"/>
    <cellStyle name="Note 2 2 3 8 7" xfId="39454" xr:uid="{00000000-0005-0000-0000-000096B60000}"/>
    <cellStyle name="Note 2 2 3 8 8" xfId="10279" xr:uid="{00000000-0005-0000-0000-000097B60000}"/>
    <cellStyle name="Note 2 2 3 9" xfId="1722" xr:uid="{00000000-0005-0000-0000-000098B60000}"/>
    <cellStyle name="Note 2 2 3 9 2" xfId="3343" xr:uid="{00000000-0005-0000-0000-000099B60000}"/>
    <cellStyle name="Note 2 2 3 9 2 2" xfId="8205" xr:uid="{00000000-0005-0000-0000-00009AB60000}"/>
    <cellStyle name="Note 2 2 3 9 2 2 2" xfId="27656" xr:uid="{00000000-0005-0000-0000-00009BB60000}"/>
    <cellStyle name="Note 2 2 3 9 2 2 3" xfId="37381" xr:uid="{00000000-0005-0000-0000-00009CB60000}"/>
    <cellStyle name="Note 2 2 3 9 2 2 4" xfId="47106" xr:uid="{00000000-0005-0000-0000-00009DB60000}"/>
    <cellStyle name="Note 2 2 3 9 2 2 5" xfId="17931" xr:uid="{00000000-0005-0000-0000-00009EB60000}"/>
    <cellStyle name="Note 2 2 3 9 2 3" xfId="22794" xr:uid="{00000000-0005-0000-0000-00009FB60000}"/>
    <cellStyle name="Note 2 2 3 9 2 4" xfId="32519" xr:uid="{00000000-0005-0000-0000-0000A0B60000}"/>
    <cellStyle name="Note 2 2 3 9 2 5" xfId="42244" xr:uid="{00000000-0005-0000-0000-0000A1B60000}"/>
    <cellStyle name="Note 2 2 3 9 2 6" xfId="13069" xr:uid="{00000000-0005-0000-0000-0000A2B60000}"/>
    <cellStyle name="Note 2 2 3 9 3" xfId="4963" xr:uid="{00000000-0005-0000-0000-0000A3B60000}"/>
    <cellStyle name="Note 2 2 3 9 3 2" xfId="9825" xr:uid="{00000000-0005-0000-0000-0000A4B60000}"/>
    <cellStyle name="Note 2 2 3 9 3 2 2" xfId="29276" xr:uid="{00000000-0005-0000-0000-0000A5B60000}"/>
    <cellStyle name="Note 2 2 3 9 3 2 3" xfId="39001" xr:uid="{00000000-0005-0000-0000-0000A6B60000}"/>
    <cellStyle name="Note 2 2 3 9 3 2 4" xfId="48726" xr:uid="{00000000-0005-0000-0000-0000A7B60000}"/>
    <cellStyle name="Note 2 2 3 9 3 2 5" xfId="19551" xr:uid="{00000000-0005-0000-0000-0000A8B60000}"/>
    <cellStyle name="Note 2 2 3 9 3 3" xfId="24414" xr:uid="{00000000-0005-0000-0000-0000A9B60000}"/>
    <cellStyle name="Note 2 2 3 9 3 4" xfId="34139" xr:uid="{00000000-0005-0000-0000-0000AAB60000}"/>
    <cellStyle name="Note 2 2 3 9 3 5" xfId="43864" xr:uid="{00000000-0005-0000-0000-0000ABB60000}"/>
    <cellStyle name="Note 2 2 3 9 3 6" xfId="14689" xr:uid="{00000000-0005-0000-0000-0000ACB60000}"/>
    <cellStyle name="Note 2 2 3 9 4" xfId="6585" xr:uid="{00000000-0005-0000-0000-0000ADB60000}"/>
    <cellStyle name="Note 2 2 3 9 4 2" xfId="26036" xr:uid="{00000000-0005-0000-0000-0000AEB60000}"/>
    <cellStyle name="Note 2 2 3 9 4 3" xfId="35761" xr:uid="{00000000-0005-0000-0000-0000AFB60000}"/>
    <cellStyle name="Note 2 2 3 9 4 4" xfId="45486" xr:uid="{00000000-0005-0000-0000-0000B0B60000}"/>
    <cellStyle name="Note 2 2 3 9 4 5" xfId="16311" xr:uid="{00000000-0005-0000-0000-0000B1B60000}"/>
    <cellStyle name="Note 2 2 3 9 5" xfId="21174" xr:uid="{00000000-0005-0000-0000-0000B2B60000}"/>
    <cellStyle name="Note 2 2 3 9 6" xfId="30899" xr:uid="{00000000-0005-0000-0000-0000B3B60000}"/>
    <cellStyle name="Note 2 2 3 9 7" xfId="40624" xr:uid="{00000000-0005-0000-0000-0000B4B60000}"/>
    <cellStyle name="Note 2 2 3 9 8" xfId="11449" xr:uid="{00000000-0005-0000-0000-0000B5B60000}"/>
    <cellStyle name="Note 2 2 4" xfId="251" xr:uid="{00000000-0005-0000-0000-0000B6B60000}"/>
    <cellStyle name="Note 2 2 4 10" xfId="39214" xr:uid="{00000000-0005-0000-0000-0000B7B60000}"/>
    <cellStyle name="Note 2 2 4 11" xfId="10039" xr:uid="{00000000-0005-0000-0000-0000B8B60000}"/>
    <cellStyle name="Note 2 2 4 2" xfId="1015" xr:uid="{00000000-0005-0000-0000-0000B9B60000}"/>
    <cellStyle name="Note 2 2 4 2 2" xfId="2653" xr:uid="{00000000-0005-0000-0000-0000BAB60000}"/>
    <cellStyle name="Note 2 2 4 2 2 2" xfId="7515" xr:uid="{00000000-0005-0000-0000-0000BBB60000}"/>
    <cellStyle name="Note 2 2 4 2 2 2 2" xfId="26966" xr:uid="{00000000-0005-0000-0000-0000BCB60000}"/>
    <cellStyle name="Note 2 2 4 2 2 2 3" xfId="36691" xr:uid="{00000000-0005-0000-0000-0000BDB60000}"/>
    <cellStyle name="Note 2 2 4 2 2 2 4" xfId="46416" xr:uid="{00000000-0005-0000-0000-0000BEB60000}"/>
    <cellStyle name="Note 2 2 4 2 2 2 5" xfId="17241" xr:uid="{00000000-0005-0000-0000-0000BFB60000}"/>
    <cellStyle name="Note 2 2 4 2 2 3" xfId="22104" xr:uid="{00000000-0005-0000-0000-0000C0B60000}"/>
    <cellStyle name="Note 2 2 4 2 2 4" xfId="31829" xr:uid="{00000000-0005-0000-0000-0000C1B60000}"/>
    <cellStyle name="Note 2 2 4 2 2 5" xfId="41554" xr:uid="{00000000-0005-0000-0000-0000C2B60000}"/>
    <cellStyle name="Note 2 2 4 2 2 6" xfId="12379" xr:uid="{00000000-0005-0000-0000-0000C3B60000}"/>
    <cellStyle name="Note 2 2 4 2 3" xfId="4273" xr:uid="{00000000-0005-0000-0000-0000C4B60000}"/>
    <cellStyle name="Note 2 2 4 2 3 2" xfId="9135" xr:uid="{00000000-0005-0000-0000-0000C5B60000}"/>
    <cellStyle name="Note 2 2 4 2 3 2 2" xfId="28586" xr:uid="{00000000-0005-0000-0000-0000C6B60000}"/>
    <cellStyle name="Note 2 2 4 2 3 2 3" xfId="38311" xr:uid="{00000000-0005-0000-0000-0000C7B60000}"/>
    <cellStyle name="Note 2 2 4 2 3 2 4" xfId="48036" xr:uid="{00000000-0005-0000-0000-0000C8B60000}"/>
    <cellStyle name="Note 2 2 4 2 3 2 5" xfId="18861" xr:uid="{00000000-0005-0000-0000-0000C9B60000}"/>
    <cellStyle name="Note 2 2 4 2 3 3" xfId="23724" xr:uid="{00000000-0005-0000-0000-0000CAB60000}"/>
    <cellStyle name="Note 2 2 4 2 3 4" xfId="33449" xr:uid="{00000000-0005-0000-0000-0000CBB60000}"/>
    <cellStyle name="Note 2 2 4 2 3 5" xfId="43174" xr:uid="{00000000-0005-0000-0000-0000CCB60000}"/>
    <cellStyle name="Note 2 2 4 2 3 6" xfId="13999" xr:uid="{00000000-0005-0000-0000-0000CDB60000}"/>
    <cellStyle name="Note 2 2 4 2 4" xfId="5895" xr:uid="{00000000-0005-0000-0000-0000CEB60000}"/>
    <cellStyle name="Note 2 2 4 2 4 2" xfId="25346" xr:uid="{00000000-0005-0000-0000-0000CFB60000}"/>
    <cellStyle name="Note 2 2 4 2 4 3" xfId="35071" xr:uid="{00000000-0005-0000-0000-0000D0B60000}"/>
    <cellStyle name="Note 2 2 4 2 4 4" xfId="44796" xr:uid="{00000000-0005-0000-0000-0000D1B60000}"/>
    <cellStyle name="Note 2 2 4 2 4 5" xfId="15621" xr:uid="{00000000-0005-0000-0000-0000D2B60000}"/>
    <cellStyle name="Note 2 2 4 2 5" xfId="20484" xr:uid="{00000000-0005-0000-0000-0000D3B60000}"/>
    <cellStyle name="Note 2 2 4 2 6" xfId="30209" xr:uid="{00000000-0005-0000-0000-0000D4B60000}"/>
    <cellStyle name="Note 2 2 4 2 7" xfId="39934" xr:uid="{00000000-0005-0000-0000-0000D5B60000}"/>
    <cellStyle name="Note 2 2 4 2 8" xfId="10759" xr:uid="{00000000-0005-0000-0000-0000D6B60000}"/>
    <cellStyle name="Note 2 2 4 3" xfId="1482" xr:uid="{00000000-0005-0000-0000-0000D7B60000}"/>
    <cellStyle name="Note 2 2 4 3 2" xfId="3103" xr:uid="{00000000-0005-0000-0000-0000D8B60000}"/>
    <cellStyle name="Note 2 2 4 3 2 2" xfId="7965" xr:uid="{00000000-0005-0000-0000-0000D9B60000}"/>
    <cellStyle name="Note 2 2 4 3 2 2 2" xfId="27416" xr:uid="{00000000-0005-0000-0000-0000DAB60000}"/>
    <cellStyle name="Note 2 2 4 3 2 2 3" xfId="37141" xr:uid="{00000000-0005-0000-0000-0000DBB60000}"/>
    <cellStyle name="Note 2 2 4 3 2 2 4" xfId="46866" xr:uid="{00000000-0005-0000-0000-0000DCB60000}"/>
    <cellStyle name="Note 2 2 4 3 2 2 5" xfId="17691" xr:uid="{00000000-0005-0000-0000-0000DDB60000}"/>
    <cellStyle name="Note 2 2 4 3 2 3" xfId="22554" xr:uid="{00000000-0005-0000-0000-0000DEB60000}"/>
    <cellStyle name="Note 2 2 4 3 2 4" xfId="32279" xr:uid="{00000000-0005-0000-0000-0000DFB60000}"/>
    <cellStyle name="Note 2 2 4 3 2 5" xfId="42004" xr:uid="{00000000-0005-0000-0000-0000E0B60000}"/>
    <cellStyle name="Note 2 2 4 3 2 6" xfId="12829" xr:uid="{00000000-0005-0000-0000-0000E1B60000}"/>
    <cellStyle name="Note 2 2 4 3 3" xfId="4723" xr:uid="{00000000-0005-0000-0000-0000E2B60000}"/>
    <cellStyle name="Note 2 2 4 3 3 2" xfId="9585" xr:uid="{00000000-0005-0000-0000-0000E3B60000}"/>
    <cellStyle name="Note 2 2 4 3 3 2 2" xfId="29036" xr:uid="{00000000-0005-0000-0000-0000E4B60000}"/>
    <cellStyle name="Note 2 2 4 3 3 2 3" xfId="38761" xr:uid="{00000000-0005-0000-0000-0000E5B60000}"/>
    <cellStyle name="Note 2 2 4 3 3 2 4" xfId="48486" xr:uid="{00000000-0005-0000-0000-0000E6B60000}"/>
    <cellStyle name="Note 2 2 4 3 3 2 5" xfId="19311" xr:uid="{00000000-0005-0000-0000-0000E7B60000}"/>
    <cellStyle name="Note 2 2 4 3 3 3" xfId="24174" xr:uid="{00000000-0005-0000-0000-0000E8B60000}"/>
    <cellStyle name="Note 2 2 4 3 3 4" xfId="33899" xr:uid="{00000000-0005-0000-0000-0000E9B60000}"/>
    <cellStyle name="Note 2 2 4 3 3 5" xfId="43624" xr:uid="{00000000-0005-0000-0000-0000EAB60000}"/>
    <cellStyle name="Note 2 2 4 3 3 6" xfId="14449" xr:uid="{00000000-0005-0000-0000-0000EBB60000}"/>
    <cellStyle name="Note 2 2 4 3 4" xfId="6345" xr:uid="{00000000-0005-0000-0000-0000ECB60000}"/>
    <cellStyle name="Note 2 2 4 3 4 2" xfId="25796" xr:uid="{00000000-0005-0000-0000-0000EDB60000}"/>
    <cellStyle name="Note 2 2 4 3 4 3" xfId="35521" xr:uid="{00000000-0005-0000-0000-0000EEB60000}"/>
    <cellStyle name="Note 2 2 4 3 4 4" xfId="45246" xr:uid="{00000000-0005-0000-0000-0000EFB60000}"/>
    <cellStyle name="Note 2 2 4 3 4 5" xfId="16071" xr:uid="{00000000-0005-0000-0000-0000F0B60000}"/>
    <cellStyle name="Note 2 2 4 3 5" xfId="20934" xr:uid="{00000000-0005-0000-0000-0000F1B60000}"/>
    <cellStyle name="Note 2 2 4 3 6" xfId="30659" xr:uid="{00000000-0005-0000-0000-0000F2B60000}"/>
    <cellStyle name="Note 2 2 4 3 7" xfId="40384" xr:uid="{00000000-0005-0000-0000-0000F3B60000}"/>
    <cellStyle name="Note 2 2 4 3 8" xfId="11209" xr:uid="{00000000-0005-0000-0000-0000F4B60000}"/>
    <cellStyle name="Note 2 2 4 4" xfId="653" xr:uid="{00000000-0005-0000-0000-0000F5B60000}"/>
    <cellStyle name="Note 2 2 4 4 2" xfId="2293" xr:uid="{00000000-0005-0000-0000-0000F6B60000}"/>
    <cellStyle name="Note 2 2 4 4 2 2" xfId="7155" xr:uid="{00000000-0005-0000-0000-0000F7B60000}"/>
    <cellStyle name="Note 2 2 4 4 2 2 2" xfId="26606" xr:uid="{00000000-0005-0000-0000-0000F8B60000}"/>
    <cellStyle name="Note 2 2 4 4 2 2 3" xfId="36331" xr:uid="{00000000-0005-0000-0000-0000F9B60000}"/>
    <cellStyle name="Note 2 2 4 4 2 2 4" xfId="46056" xr:uid="{00000000-0005-0000-0000-0000FAB60000}"/>
    <cellStyle name="Note 2 2 4 4 2 2 5" xfId="16881" xr:uid="{00000000-0005-0000-0000-0000FBB60000}"/>
    <cellStyle name="Note 2 2 4 4 2 3" xfId="21744" xr:uid="{00000000-0005-0000-0000-0000FCB60000}"/>
    <cellStyle name="Note 2 2 4 4 2 4" xfId="31469" xr:uid="{00000000-0005-0000-0000-0000FDB60000}"/>
    <cellStyle name="Note 2 2 4 4 2 5" xfId="41194" xr:uid="{00000000-0005-0000-0000-0000FEB60000}"/>
    <cellStyle name="Note 2 2 4 4 2 6" xfId="12019" xr:uid="{00000000-0005-0000-0000-0000FFB60000}"/>
    <cellStyle name="Note 2 2 4 4 3" xfId="3913" xr:uid="{00000000-0005-0000-0000-000000B70000}"/>
    <cellStyle name="Note 2 2 4 4 3 2" xfId="8775" xr:uid="{00000000-0005-0000-0000-000001B70000}"/>
    <cellStyle name="Note 2 2 4 4 3 2 2" xfId="28226" xr:uid="{00000000-0005-0000-0000-000002B70000}"/>
    <cellStyle name="Note 2 2 4 4 3 2 3" xfId="37951" xr:uid="{00000000-0005-0000-0000-000003B70000}"/>
    <cellStyle name="Note 2 2 4 4 3 2 4" xfId="47676" xr:uid="{00000000-0005-0000-0000-000004B70000}"/>
    <cellStyle name="Note 2 2 4 4 3 2 5" xfId="18501" xr:uid="{00000000-0005-0000-0000-000005B70000}"/>
    <cellStyle name="Note 2 2 4 4 3 3" xfId="23364" xr:uid="{00000000-0005-0000-0000-000006B70000}"/>
    <cellStyle name="Note 2 2 4 4 3 4" xfId="33089" xr:uid="{00000000-0005-0000-0000-000007B70000}"/>
    <cellStyle name="Note 2 2 4 4 3 5" xfId="42814" xr:uid="{00000000-0005-0000-0000-000008B70000}"/>
    <cellStyle name="Note 2 2 4 4 3 6" xfId="13639" xr:uid="{00000000-0005-0000-0000-000009B70000}"/>
    <cellStyle name="Note 2 2 4 4 4" xfId="5535" xr:uid="{00000000-0005-0000-0000-00000AB70000}"/>
    <cellStyle name="Note 2 2 4 4 4 2" xfId="24986" xr:uid="{00000000-0005-0000-0000-00000BB70000}"/>
    <cellStyle name="Note 2 2 4 4 4 3" xfId="34711" xr:uid="{00000000-0005-0000-0000-00000CB70000}"/>
    <cellStyle name="Note 2 2 4 4 4 4" xfId="44436" xr:uid="{00000000-0005-0000-0000-00000DB70000}"/>
    <cellStyle name="Note 2 2 4 4 4 5" xfId="15261" xr:uid="{00000000-0005-0000-0000-00000EB70000}"/>
    <cellStyle name="Note 2 2 4 4 5" xfId="20124" xr:uid="{00000000-0005-0000-0000-00000FB70000}"/>
    <cellStyle name="Note 2 2 4 4 6" xfId="29849" xr:uid="{00000000-0005-0000-0000-000010B70000}"/>
    <cellStyle name="Note 2 2 4 4 7" xfId="39574" xr:uid="{00000000-0005-0000-0000-000011B70000}"/>
    <cellStyle name="Note 2 2 4 4 8" xfId="10399" xr:uid="{00000000-0005-0000-0000-000012B70000}"/>
    <cellStyle name="Note 2 2 4 5" xfId="1933" xr:uid="{00000000-0005-0000-0000-000013B70000}"/>
    <cellStyle name="Note 2 2 4 5 2" xfId="6795" xr:uid="{00000000-0005-0000-0000-000014B70000}"/>
    <cellStyle name="Note 2 2 4 5 2 2" xfId="26246" xr:uid="{00000000-0005-0000-0000-000015B70000}"/>
    <cellStyle name="Note 2 2 4 5 2 3" xfId="35971" xr:uid="{00000000-0005-0000-0000-000016B70000}"/>
    <cellStyle name="Note 2 2 4 5 2 4" xfId="45696" xr:uid="{00000000-0005-0000-0000-000017B70000}"/>
    <cellStyle name="Note 2 2 4 5 2 5" xfId="16521" xr:uid="{00000000-0005-0000-0000-000018B70000}"/>
    <cellStyle name="Note 2 2 4 5 3" xfId="21384" xr:uid="{00000000-0005-0000-0000-000019B70000}"/>
    <cellStyle name="Note 2 2 4 5 4" xfId="31109" xr:uid="{00000000-0005-0000-0000-00001AB70000}"/>
    <cellStyle name="Note 2 2 4 5 5" xfId="40834" xr:uid="{00000000-0005-0000-0000-00001BB70000}"/>
    <cellStyle name="Note 2 2 4 5 6" xfId="11659" xr:uid="{00000000-0005-0000-0000-00001CB70000}"/>
    <cellStyle name="Note 2 2 4 6" xfId="3553" xr:uid="{00000000-0005-0000-0000-00001DB70000}"/>
    <cellStyle name="Note 2 2 4 6 2" xfId="8415" xr:uid="{00000000-0005-0000-0000-00001EB70000}"/>
    <cellStyle name="Note 2 2 4 6 2 2" xfId="27866" xr:uid="{00000000-0005-0000-0000-00001FB70000}"/>
    <cellStyle name="Note 2 2 4 6 2 3" xfId="37591" xr:uid="{00000000-0005-0000-0000-000020B70000}"/>
    <cellStyle name="Note 2 2 4 6 2 4" xfId="47316" xr:uid="{00000000-0005-0000-0000-000021B70000}"/>
    <cellStyle name="Note 2 2 4 6 2 5" xfId="18141" xr:uid="{00000000-0005-0000-0000-000022B70000}"/>
    <cellStyle name="Note 2 2 4 6 3" xfId="23004" xr:uid="{00000000-0005-0000-0000-000023B70000}"/>
    <cellStyle name="Note 2 2 4 6 4" xfId="32729" xr:uid="{00000000-0005-0000-0000-000024B70000}"/>
    <cellStyle name="Note 2 2 4 6 5" xfId="42454" xr:uid="{00000000-0005-0000-0000-000025B70000}"/>
    <cellStyle name="Note 2 2 4 6 6" xfId="13279" xr:uid="{00000000-0005-0000-0000-000026B70000}"/>
    <cellStyle name="Note 2 2 4 7" xfId="5175" xr:uid="{00000000-0005-0000-0000-000027B70000}"/>
    <cellStyle name="Note 2 2 4 7 2" xfId="24626" xr:uid="{00000000-0005-0000-0000-000028B70000}"/>
    <cellStyle name="Note 2 2 4 7 3" xfId="34351" xr:uid="{00000000-0005-0000-0000-000029B70000}"/>
    <cellStyle name="Note 2 2 4 7 4" xfId="44076" xr:uid="{00000000-0005-0000-0000-00002AB70000}"/>
    <cellStyle name="Note 2 2 4 7 5" xfId="14901" xr:uid="{00000000-0005-0000-0000-00002BB70000}"/>
    <cellStyle name="Note 2 2 4 8" xfId="19764" xr:uid="{00000000-0005-0000-0000-00002CB70000}"/>
    <cellStyle name="Note 2 2 4 9" xfId="29489" xr:uid="{00000000-0005-0000-0000-00002DB70000}"/>
    <cellStyle name="Note 2 2 5" xfId="342" xr:uid="{00000000-0005-0000-0000-00002EB70000}"/>
    <cellStyle name="Note 2 2 5 10" xfId="39304" xr:uid="{00000000-0005-0000-0000-00002FB70000}"/>
    <cellStyle name="Note 2 2 5 11" xfId="10129" xr:uid="{00000000-0005-0000-0000-000030B70000}"/>
    <cellStyle name="Note 2 2 5 2" xfId="1105" xr:uid="{00000000-0005-0000-0000-000031B70000}"/>
    <cellStyle name="Note 2 2 5 2 2" xfId="2743" xr:uid="{00000000-0005-0000-0000-000032B70000}"/>
    <cellStyle name="Note 2 2 5 2 2 2" xfId="7605" xr:uid="{00000000-0005-0000-0000-000033B70000}"/>
    <cellStyle name="Note 2 2 5 2 2 2 2" xfId="27056" xr:uid="{00000000-0005-0000-0000-000034B70000}"/>
    <cellStyle name="Note 2 2 5 2 2 2 3" xfId="36781" xr:uid="{00000000-0005-0000-0000-000035B70000}"/>
    <cellStyle name="Note 2 2 5 2 2 2 4" xfId="46506" xr:uid="{00000000-0005-0000-0000-000036B70000}"/>
    <cellStyle name="Note 2 2 5 2 2 2 5" xfId="17331" xr:uid="{00000000-0005-0000-0000-000037B70000}"/>
    <cellStyle name="Note 2 2 5 2 2 3" xfId="22194" xr:uid="{00000000-0005-0000-0000-000038B70000}"/>
    <cellStyle name="Note 2 2 5 2 2 4" xfId="31919" xr:uid="{00000000-0005-0000-0000-000039B70000}"/>
    <cellStyle name="Note 2 2 5 2 2 5" xfId="41644" xr:uid="{00000000-0005-0000-0000-00003AB70000}"/>
    <cellStyle name="Note 2 2 5 2 2 6" xfId="12469" xr:uid="{00000000-0005-0000-0000-00003BB70000}"/>
    <cellStyle name="Note 2 2 5 2 3" xfId="4363" xr:uid="{00000000-0005-0000-0000-00003CB70000}"/>
    <cellStyle name="Note 2 2 5 2 3 2" xfId="9225" xr:uid="{00000000-0005-0000-0000-00003DB70000}"/>
    <cellStyle name="Note 2 2 5 2 3 2 2" xfId="28676" xr:uid="{00000000-0005-0000-0000-00003EB70000}"/>
    <cellStyle name="Note 2 2 5 2 3 2 3" xfId="38401" xr:uid="{00000000-0005-0000-0000-00003FB70000}"/>
    <cellStyle name="Note 2 2 5 2 3 2 4" xfId="48126" xr:uid="{00000000-0005-0000-0000-000040B70000}"/>
    <cellStyle name="Note 2 2 5 2 3 2 5" xfId="18951" xr:uid="{00000000-0005-0000-0000-000041B70000}"/>
    <cellStyle name="Note 2 2 5 2 3 3" xfId="23814" xr:uid="{00000000-0005-0000-0000-000042B70000}"/>
    <cellStyle name="Note 2 2 5 2 3 4" xfId="33539" xr:uid="{00000000-0005-0000-0000-000043B70000}"/>
    <cellStyle name="Note 2 2 5 2 3 5" xfId="43264" xr:uid="{00000000-0005-0000-0000-000044B70000}"/>
    <cellStyle name="Note 2 2 5 2 3 6" xfId="14089" xr:uid="{00000000-0005-0000-0000-000045B70000}"/>
    <cellStyle name="Note 2 2 5 2 4" xfId="5985" xr:uid="{00000000-0005-0000-0000-000046B70000}"/>
    <cellStyle name="Note 2 2 5 2 4 2" xfId="25436" xr:uid="{00000000-0005-0000-0000-000047B70000}"/>
    <cellStyle name="Note 2 2 5 2 4 3" xfId="35161" xr:uid="{00000000-0005-0000-0000-000048B70000}"/>
    <cellStyle name="Note 2 2 5 2 4 4" xfId="44886" xr:uid="{00000000-0005-0000-0000-000049B70000}"/>
    <cellStyle name="Note 2 2 5 2 4 5" xfId="15711" xr:uid="{00000000-0005-0000-0000-00004AB70000}"/>
    <cellStyle name="Note 2 2 5 2 5" xfId="20574" xr:uid="{00000000-0005-0000-0000-00004BB70000}"/>
    <cellStyle name="Note 2 2 5 2 6" xfId="30299" xr:uid="{00000000-0005-0000-0000-00004CB70000}"/>
    <cellStyle name="Note 2 2 5 2 7" xfId="40024" xr:uid="{00000000-0005-0000-0000-00004DB70000}"/>
    <cellStyle name="Note 2 2 5 2 8" xfId="10849" xr:uid="{00000000-0005-0000-0000-00004EB70000}"/>
    <cellStyle name="Note 2 2 5 3" xfId="1572" xr:uid="{00000000-0005-0000-0000-00004FB70000}"/>
    <cellStyle name="Note 2 2 5 3 2" xfId="3193" xr:uid="{00000000-0005-0000-0000-000050B70000}"/>
    <cellStyle name="Note 2 2 5 3 2 2" xfId="8055" xr:uid="{00000000-0005-0000-0000-000051B70000}"/>
    <cellStyle name="Note 2 2 5 3 2 2 2" xfId="27506" xr:uid="{00000000-0005-0000-0000-000052B70000}"/>
    <cellStyle name="Note 2 2 5 3 2 2 3" xfId="37231" xr:uid="{00000000-0005-0000-0000-000053B70000}"/>
    <cellStyle name="Note 2 2 5 3 2 2 4" xfId="46956" xr:uid="{00000000-0005-0000-0000-000054B70000}"/>
    <cellStyle name="Note 2 2 5 3 2 2 5" xfId="17781" xr:uid="{00000000-0005-0000-0000-000055B70000}"/>
    <cellStyle name="Note 2 2 5 3 2 3" xfId="22644" xr:uid="{00000000-0005-0000-0000-000056B70000}"/>
    <cellStyle name="Note 2 2 5 3 2 4" xfId="32369" xr:uid="{00000000-0005-0000-0000-000057B70000}"/>
    <cellStyle name="Note 2 2 5 3 2 5" xfId="42094" xr:uid="{00000000-0005-0000-0000-000058B70000}"/>
    <cellStyle name="Note 2 2 5 3 2 6" xfId="12919" xr:uid="{00000000-0005-0000-0000-000059B70000}"/>
    <cellStyle name="Note 2 2 5 3 3" xfId="4813" xr:uid="{00000000-0005-0000-0000-00005AB70000}"/>
    <cellStyle name="Note 2 2 5 3 3 2" xfId="9675" xr:uid="{00000000-0005-0000-0000-00005BB70000}"/>
    <cellStyle name="Note 2 2 5 3 3 2 2" xfId="29126" xr:uid="{00000000-0005-0000-0000-00005CB70000}"/>
    <cellStyle name="Note 2 2 5 3 3 2 3" xfId="38851" xr:uid="{00000000-0005-0000-0000-00005DB70000}"/>
    <cellStyle name="Note 2 2 5 3 3 2 4" xfId="48576" xr:uid="{00000000-0005-0000-0000-00005EB70000}"/>
    <cellStyle name="Note 2 2 5 3 3 2 5" xfId="19401" xr:uid="{00000000-0005-0000-0000-00005FB70000}"/>
    <cellStyle name="Note 2 2 5 3 3 3" xfId="24264" xr:uid="{00000000-0005-0000-0000-000060B70000}"/>
    <cellStyle name="Note 2 2 5 3 3 4" xfId="33989" xr:uid="{00000000-0005-0000-0000-000061B70000}"/>
    <cellStyle name="Note 2 2 5 3 3 5" xfId="43714" xr:uid="{00000000-0005-0000-0000-000062B70000}"/>
    <cellStyle name="Note 2 2 5 3 3 6" xfId="14539" xr:uid="{00000000-0005-0000-0000-000063B70000}"/>
    <cellStyle name="Note 2 2 5 3 4" xfId="6435" xr:uid="{00000000-0005-0000-0000-000064B70000}"/>
    <cellStyle name="Note 2 2 5 3 4 2" xfId="25886" xr:uid="{00000000-0005-0000-0000-000065B70000}"/>
    <cellStyle name="Note 2 2 5 3 4 3" xfId="35611" xr:uid="{00000000-0005-0000-0000-000066B70000}"/>
    <cellStyle name="Note 2 2 5 3 4 4" xfId="45336" xr:uid="{00000000-0005-0000-0000-000067B70000}"/>
    <cellStyle name="Note 2 2 5 3 4 5" xfId="16161" xr:uid="{00000000-0005-0000-0000-000068B70000}"/>
    <cellStyle name="Note 2 2 5 3 5" xfId="21024" xr:uid="{00000000-0005-0000-0000-000069B70000}"/>
    <cellStyle name="Note 2 2 5 3 6" xfId="30749" xr:uid="{00000000-0005-0000-0000-00006AB70000}"/>
    <cellStyle name="Note 2 2 5 3 7" xfId="40474" xr:uid="{00000000-0005-0000-0000-00006BB70000}"/>
    <cellStyle name="Note 2 2 5 3 8" xfId="11299" xr:uid="{00000000-0005-0000-0000-00006CB70000}"/>
    <cellStyle name="Note 2 2 5 4" xfId="743" xr:uid="{00000000-0005-0000-0000-00006DB70000}"/>
    <cellStyle name="Note 2 2 5 4 2" xfId="2383" xr:uid="{00000000-0005-0000-0000-00006EB70000}"/>
    <cellStyle name="Note 2 2 5 4 2 2" xfId="7245" xr:uid="{00000000-0005-0000-0000-00006FB70000}"/>
    <cellStyle name="Note 2 2 5 4 2 2 2" xfId="26696" xr:uid="{00000000-0005-0000-0000-000070B70000}"/>
    <cellStyle name="Note 2 2 5 4 2 2 3" xfId="36421" xr:uid="{00000000-0005-0000-0000-000071B70000}"/>
    <cellStyle name="Note 2 2 5 4 2 2 4" xfId="46146" xr:uid="{00000000-0005-0000-0000-000072B70000}"/>
    <cellStyle name="Note 2 2 5 4 2 2 5" xfId="16971" xr:uid="{00000000-0005-0000-0000-000073B70000}"/>
    <cellStyle name="Note 2 2 5 4 2 3" xfId="21834" xr:uid="{00000000-0005-0000-0000-000074B70000}"/>
    <cellStyle name="Note 2 2 5 4 2 4" xfId="31559" xr:uid="{00000000-0005-0000-0000-000075B70000}"/>
    <cellStyle name="Note 2 2 5 4 2 5" xfId="41284" xr:uid="{00000000-0005-0000-0000-000076B70000}"/>
    <cellStyle name="Note 2 2 5 4 2 6" xfId="12109" xr:uid="{00000000-0005-0000-0000-000077B70000}"/>
    <cellStyle name="Note 2 2 5 4 3" xfId="4003" xr:uid="{00000000-0005-0000-0000-000078B70000}"/>
    <cellStyle name="Note 2 2 5 4 3 2" xfId="8865" xr:uid="{00000000-0005-0000-0000-000079B70000}"/>
    <cellStyle name="Note 2 2 5 4 3 2 2" xfId="28316" xr:uid="{00000000-0005-0000-0000-00007AB70000}"/>
    <cellStyle name="Note 2 2 5 4 3 2 3" xfId="38041" xr:uid="{00000000-0005-0000-0000-00007BB70000}"/>
    <cellStyle name="Note 2 2 5 4 3 2 4" xfId="47766" xr:uid="{00000000-0005-0000-0000-00007CB70000}"/>
    <cellStyle name="Note 2 2 5 4 3 2 5" xfId="18591" xr:uid="{00000000-0005-0000-0000-00007DB70000}"/>
    <cellStyle name="Note 2 2 5 4 3 3" xfId="23454" xr:uid="{00000000-0005-0000-0000-00007EB70000}"/>
    <cellStyle name="Note 2 2 5 4 3 4" xfId="33179" xr:uid="{00000000-0005-0000-0000-00007FB70000}"/>
    <cellStyle name="Note 2 2 5 4 3 5" xfId="42904" xr:uid="{00000000-0005-0000-0000-000080B70000}"/>
    <cellStyle name="Note 2 2 5 4 3 6" xfId="13729" xr:uid="{00000000-0005-0000-0000-000081B70000}"/>
    <cellStyle name="Note 2 2 5 4 4" xfId="5625" xr:uid="{00000000-0005-0000-0000-000082B70000}"/>
    <cellStyle name="Note 2 2 5 4 4 2" xfId="25076" xr:uid="{00000000-0005-0000-0000-000083B70000}"/>
    <cellStyle name="Note 2 2 5 4 4 3" xfId="34801" xr:uid="{00000000-0005-0000-0000-000084B70000}"/>
    <cellStyle name="Note 2 2 5 4 4 4" xfId="44526" xr:uid="{00000000-0005-0000-0000-000085B70000}"/>
    <cellStyle name="Note 2 2 5 4 4 5" xfId="15351" xr:uid="{00000000-0005-0000-0000-000086B70000}"/>
    <cellStyle name="Note 2 2 5 4 5" xfId="20214" xr:uid="{00000000-0005-0000-0000-000087B70000}"/>
    <cellStyle name="Note 2 2 5 4 6" xfId="29939" xr:uid="{00000000-0005-0000-0000-000088B70000}"/>
    <cellStyle name="Note 2 2 5 4 7" xfId="39664" xr:uid="{00000000-0005-0000-0000-000089B70000}"/>
    <cellStyle name="Note 2 2 5 4 8" xfId="10489" xr:uid="{00000000-0005-0000-0000-00008AB70000}"/>
    <cellStyle name="Note 2 2 5 5" xfId="2023" xr:uid="{00000000-0005-0000-0000-00008BB70000}"/>
    <cellStyle name="Note 2 2 5 5 2" xfId="6885" xr:uid="{00000000-0005-0000-0000-00008CB70000}"/>
    <cellStyle name="Note 2 2 5 5 2 2" xfId="26336" xr:uid="{00000000-0005-0000-0000-00008DB70000}"/>
    <cellStyle name="Note 2 2 5 5 2 3" xfId="36061" xr:uid="{00000000-0005-0000-0000-00008EB70000}"/>
    <cellStyle name="Note 2 2 5 5 2 4" xfId="45786" xr:uid="{00000000-0005-0000-0000-00008FB70000}"/>
    <cellStyle name="Note 2 2 5 5 2 5" xfId="16611" xr:uid="{00000000-0005-0000-0000-000090B70000}"/>
    <cellStyle name="Note 2 2 5 5 3" xfId="21474" xr:uid="{00000000-0005-0000-0000-000091B70000}"/>
    <cellStyle name="Note 2 2 5 5 4" xfId="31199" xr:uid="{00000000-0005-0000-0000-000092B70000}"/>
    <cellStyle name="Note 2 2 5 5 5" xfId="40924" xr:uid="{00000000-0005-0000-0000-000093B70000}"/>
    <cellStyle name="Note 2 2 5 5 6" xfId="11749" xr:uid="{00000000-0005-0000-0000-000094B70000}"/>
    <cellStyle name="Note 2 2 5 6" xfId="3643" xr:uid="{00000000-0005-0000-0000-000095B70000}"/>
    <cellStyle name="Note 2 2 5 6 2" xfId="8505" xr:uid="{00000000-0005-0000-0000-000096B70000}"/>
    <cellStyle name="Note 2 2 5 6 2 2" xfId="27956" xr:uid="{00000000-0005-0000-0000-000097B70000}"/>
    <cellStyle name="Note 2 2 5 6 2 3" xfId="37681" xr:uid="{00000000-0005-0000-0000-000098B70000}"/>
    <cellStyle name="Note 2 2 5 6 2 4" xfId="47406" xr:uid="{00000000-0005-0000-0000-000099B70000}"/>
    <cellStyle name="Note 2 2 5 6 2 5" xfId="18231" xr:uid="{00000000-0005-0000-0000-00009AB70000}"/>
    <cellStyle name="Note 2 2 5 6 3" xfId="23094" xr:uid="{00000000-0005-0000-0000-00009BB70000}"/>
    <cellStyle name="Note 2 2 5 6 4" xfId="32819" xr:uid="{00000000-0005-0000-0000-00009CB70000}"/>
    <cellStyle name="Note 2 2 5 6 5" xfId="42544" xr:uid="{00000000-0005-0000-0000-00009DB70000}"/>
    <cellStyle name="Note 2 2 5 6 6" xfId="13369" xr:uid="{00000000-0005-0000-0000-00009EB70000}"/>
    <cellStyle name="Note 2 2 5 7" xfId="5265" xr:uid="{00000000-0005-0000-0000-00009FB70000}"/>
    <cellStyle name="Note 2 2 5 7 2" xfId="24716" xr:uid="{00000000-0005-0000-0000-0000A0B70000}"/>
    <cellStyle name="Note 2 2 5 7 3" xfId="34441" xr:uid="{00000000-0005-0000-0000-0000A1B70000}"/>
    <cellStyle name="Note 2 2 5 7 4" xfId="44166" xr:uid="{00000000-0005-0000-0000-0000A2B70000}"/>
    <cellStyle name="Note 2 2 5 7 5" xfId="14991" xr:uid="{00000000-0005-0000-0000-0000A3B70000}"/>
    <cellStyle name="Note 2 2 5 8" xfId="19854" xr:uid="{00000000-0005-0000-0000-0000A4B70000}"/>
    <cellStyle name="Note 2 2 5 9" xfId="29579" xr:uid="{00000000-0005-0000-0000-0000A5B70000}"/>
    <cellStyle name="Note 2 2 6" xfId="160" xr:uid="{00000000-0005-0000-0000-0000A6B70000}"/>
    <cellStyle name="Note 2 2 6 10" xfId="39124" xr:uid="{00000000-0005-0000-0000-0000A7B70000}"/>
    <cellStyle name="Note 2 2 6 11" xfId="9949" xr:uid="{00000000-0005-0000-0000-0000A8B70000}"/>
    <cellStyle name="Note 2 2 6 2" xfId="924" xr:uid="{00000000-0005-0000-0000-0000A9B70000}"/>
    <cellStyle name="Note 2 2 6 2 2" xfId="2563" xr:uid="{00000000-0005-0000-0000-0000AAB70000}"/>
    <cellStyle name="Note 2 2 6 2 2 2" xfId="7425" xr:uid="{00000000-0005-0000-0000-0000ABB70000}"/>
    <cellStyle name="Note 2 2 6 2 2 2 2" xfId="26876" xr:uid="{00000000-0005-0000-0000-0000ACB70000}"/>
    <cellStyle name="Note 2 2 6 2 2 2 3" xfId="36601" xr:uid="{00000000-0005-0000-0000-0000ADB70000}"/>
    <cellStyle name="Note 2 2 6 2 2 2 4" xfId="46326" xr:uid="{00000000-0005-0000-0000-0000AEB70000}"/>
    <cellStyle name="Note 2 2 6 2 2 2 5" xfId="17151" xr:uid="{00000000-0005-0000-0000-0000AFB70000}"/>
    <cellStyle name="Note 2 2 6 2 2 3" xfId="22014" xr:uid="{00000000-0005-0000-0000-0000B0B70000}"/>
    <cellStyle name="Note 2 2 6 2 2 4" xfId="31739" xr:uid="{00000000-0005-0000-0000-0000B1B70000}"/>
    <cellStyle name="Note 2 2 6 2 2 5" xfId="41464" xr:uid="{00000000-0005-0000-0000-0000B2B70000}"/>
    <cellStyle name="Note 2 2 6 2 2 6" xfId="12289" xr:uid="{00000000-0005-0000-0000-0000B3B70000}"/>
    <cellStyle name="Note 2 2 6 2 3" xfId="4183" xr:uid="{00000000-0005-0000-0000-0000B4B70000}"/>
    <cellStyle name="Note 2 2 6 2 3 2" xfId="9045" xr:uid="{00000000-0005-0000-0000-0000B5B70000}"/>
    <cellStyle name="Note 2 2 6 2 3 2 2" xfId="28496" xr:uid="{00000000-0005-0000-0000-0000B6B70000}"/>
    <cellStyle name="Note 2 2 6 2 3 2 3" xfId="38221" xr:uid="{00000000-0005-0000-0000-0000B7B70000}"/>
    <cellStyle name="Note 2 2 6 2 3 2 4" xfId="47946" xr:uid="{00000000-0005-0000-0000-0000B8B70000}"/>
    <cellStyle name="Note 2 2 6 2 3 2 5" xfId="18771" xr:uid="{00000000-0005-0000-0000-0000B9B70000}"/>
    <cellStyle name="Note 2 2 6 2 3 3" xfId="23634" xr:uid="{00000000-0005-0000-0000-0000BAB70000}"/>
    <cellStyle name="Note 2 2 6 2 3 4" xfId="33359" xr:uid="{00000000-0005-0000-0000-0000BBB70000}"/>
    <cellStyle name="Note 2 2 6 2 3 5" xfId="43084" xr:uid="{00000000-0005-0000-0000-0000BCB70000}"/>
    <cellStyle name="Note 2 2 6 2 3 6" xfId="13909" xr:uid="{00000000-0005-0000-0000-0000BDB70000}"/>
    <cellStyle name="Note 2 2 6 2 4" xfId="5805" xr:uid="{00000000-0005-0000-0000-0000BEB70000}"/>
    <cellStyle name="Note 2 2 6 2 4 2" xfId="25256" xr:uid="{00000000-0005-0000-0000-0000BFB70000}"/>
    <cellStyle name="Note 2 2 6 2 4 3" xfId="34981" xr:uid="{00000000-0005-0000-0000-0000C0B70000}"/>
    <cellStyle name="Note 2 2 6 2 4 4" xfId="44706" xr:uid="{00000000-0005-0000-0000-0000C1B70000}"/>
    <cellStyle name="Note 2 2 6 2 4 5" xfId="15531" xr:uid="{00000000-0005-0000-0000-0000C2B70000}"/>
    <cellStyle name="Note 2 2 6 2 5" xfId="20394" xr:uid="{00000000-0005-0000-0000-0000C3B70000}"/>
    <cellStyle name="Note 2 2 6 2 6" xfId="30119" xr:uid="{00000000-0005-0000-0000-0000C4B70000}"/>
    <cellStyle name="Note 2 2 6 2 7" xfId="39844" xr:uid="{00000000-0005-0000-0000-0000C5B70000}"/>
    <cellStyle name="Note 2 2 6 2 8" xfId="10669" xr:uid="{00000000-0005-0000-0000-0000C6B70000}"/>
    <cellStyle name="Note 2 2 6 3" xfId="1392" xr:uid="{00000000-0005-0000-0000-0000C7B70000}"/>
    <cellStyle name="Note 2 2 6 3 2" xfId="3013" xr:uid="{00000000-0005-0000-0000-0000C8B70000}"/>
    <cellStyle name="Note 2 2 6 3 2 2" xfId="7875" xr:uid="{00000000-0005-0000-0000-0000C9B70000}"/>
    <cellStyle name="Note 2 2 6 3 2 2 2" xfId="27326" xr:uid="{00000000-0005-0000-0000-0000CAB70000}"/>
    <cellStyle name="Note 2 2 6 3 2 2 3" xfId="37051" xr:uid="{00000000-0005-0000-0000-0000CBB70000}"/>
    <cellStyle name="Note 2 2 6 3 2 2 4" xfId="46776" xr:uid="{00000000-0005-0000-0000-0000CCB70000}"/>
    <cellStyle name="Note 2 2 6 3 2 2 5" xfId="17601" xr:uid="{00000000-0005-0000-0000-0000CDB70000}"/>
    <cellStyle name="Note 2 2 6 3 2 3" xfId="22464" xr:uid="{00000000-0005-0000-0000-0000CEB70000}"/>
    <cellStyle name="Note 2 2 6 3 2 4" xfId="32189" xr:uid="{00000000-0005-0000-0000-0000CFB70000}"/>
    <cellStyle name="Note 2 2 6 3 2 5" xfId="41914" xr:uid="{00000000-0005-0000-0000-0000D0B70000}"/>
    <cellStyle name="Note 2 2 6 3 2 6" xfId="12739" xr:uid="{00000000-0005-0000-0000-0000D1B70000}"/>
    <cellStyle name="Note 2 2 6 3 3" xfId="4633" xr:uid="{00000000-0005-0000-0000-0000D2B70000}"/>
    <cellStyle name="Note 2 2 6 3 3 2" xfId="9495" xr:uid="{00000000-0005-0000-0000-0000D3B70000}"/>
    <cellStyle name="Note 2 2 6 3 3 2 2" xfId="28946" xr:uid="{00000000-0005-0000-0000-0000D4B70000}"/>
    <cellStyle name="Note 2 2 6 3 3 2 3" xfId="38671" xr:uid="{00000000-0005-0000-0000-0000D5B70000}"/>
    <cellStyle name="Note 2 2 6 3 3 2 4" xfId="48396" xr:uid="{00000000-0005-0000-0000-0000D6B70000}"/>
    <cellStyle name="Note 2 2 6 3 3 2 5" xfId="19221" xr:uid="{00000000-0005-0000-0000-0000D7B70000}"/>
    <cellStyle name="Note 2 2 6 3 3 3" xfId="24084" xr:uid="{00000000-0005-0000-0000-0000D8B70000}"/>
    <cellStyle name="Note 2 2 6 3 3 4" xfId="33809" xr:uid="{00000000-0005-0000-0000-0000D9B70000}"/>
    <cellStyle name="Note 2 2 6 3 3 5" xfId="43534" xr:uid="{00000000-0005-0000-0000-0000DAB70000}"/>
    <cellStyle name="Note 2 2 6 3 3 6" xfId="14359" xr:uid="{00000000-0005-0000-0000-0000DBB70000}"/>
    <cellStyle name="Note 2 2 6 3 4" xfId="6255" xr:uid="{00000000-0005-0000-0000-0000DCB70000}"/>
    <cellStyle name="Note 2 2 6 3 4 2" xfId="25706" xr:uid="{00000000-0005-0000-0000-0000DDB70000}"/>
    <cellStyle name="Note 2 2 6 3 4 3" xfId="35431" xr:uid="{00000000-0005-0000-0000-0000DEB70000}"/>
    <cellStyle name="Note 2 2 6 3 4 4" xfId="45156" xr:uid="{00000000-0005-0000-0000-0000DFB70000}"/>
    <cellStyle name="Note 2 2 6 3 4 5" xfId="15981" xr:uid="{00000000-0005-0000-0000-0000E0B70000}"/>
    <cellStyle name="Note 2 2 6 3 5" xfId="20844" xr:uid="{00000000-0005-0000-0000-0000E1B70000}"/>
    <cellStyle name="Note 2 2 6 3 6" xfId="30569" xr:uid="{00000000-0005-0000-0000-0000E2B70000}"/>
    <cellStyle name="Note 2 2 6 3 7" xfId="40294" xr:uid="{00000000-0005-0000-0000-0000E3B70000}"/>
    <cellStyle name="Note 2 2 6 3 8" xfId="11119" xr:uid="{00000000-0005-0000-0000-0000E4B70000}"/>
    <cellStyle name="Note 2 2 6 4" xfId="563" xr:uid="{00000000-0005-0000-0000-0000E5B70000}"/>
    <cellStyle name="Note 2 2 6 4 2" xfId="2203" xr:uid="{00000000-0005-0000-0000-0000E6B70000}"/>
    <cellStyle name="Note 2 2 6 4 2 2" xfId="7065" xr:uid="{00000000-0005-0000-0000-0000E7B70000}"/>
    <cellStyle name="Note 2 2 6 4 2 2 2" xfId="26516" xr:uid="{00000000-0005-0000-0000-0000E8B70000}"/>
    <cellStyle name="Note 2 2 6 4 2 2 3" xfId="36241" xr:uid="{00000000-0005-0000-0000-0000E9B70000}"/>
    <cellStyle name="Note 2 2 6 4 2 2 4" xfId="45966" xr:uid="{00000000-0005-0000-0000-0000EAB70000}"/>
    <cellStyle name="Note 2 2 6 4 2 2 5" xfId="16791" xr:uid="{00000000-0005-0000-0000-0000EBB70000}"/>
    <cellStyle name="Note 2 2 6 4 2 3" xfId="21654" xr:uid="{00000000-0005-0000-0000-0000ECB70000}"/>
    <cellStyle name="Note 2 2 6 4 2 4" xfId="31379" xr:uid="{00000000-0005-0000-0000-0000EDB70000}"/>
    <cellStyle name="Note 2 2 6 4 2 5" xfId="41104" xr:uid="{00000000-0005-0000-0000-0000EEB70000}"/>
    <cellStyle name="Note 2 2 6 4 2 6" xfId="11929" xr:uid="{00000000-0005-0000-0000-0000EFB70000}"/>
    <cellStyle name="Note 2 2 6 4 3" xfId="3823" xr:uid="{00000000-0005-0000-0000-0000F0B70000}"/>
    <cellStyle name="Note 2 2 6 4 3 2" xfId="8685" xr:uid="{00000000-0005-0000-0000-0000F1B70000}"/>
    <cellStyle name="Note 2 2 6 4 3 2 2" xfId="28136" xr:uid="{00000000-0005-0000-0000-0000F2B70000}"/>
    <cellStyle name="Note 2 2 6 4 3 2 3" xfId="37861" xr:uid="{00000000-0005-0000-0000-0000F3B70000}"/>
    <cellStyle name="Note 2 2 6 4 3 2 4" xfId="47586" xr:uid="{00000000-0005-0000-0000-0000F4B70000}"/>
    <cellStyle name="Note 2 2 6 4 3 2 5" xfId="18411" xr:uid="{00000000-0005-0000-0000-0000F5B70000}"/>
    <cellStyle name="Note 2 2 6 4 3 3" xfId="23274" xr:uid="{00000000-0005-0000-0000-0000F6B70000}"/>
    <cellStyle name="Note 2 2 6 4 3 4" xfId="32999" xr:uid="{00000000-0005-0000-0000-0000F7B70000}"/>
    <cellStyle name="Note 2 2 6 4 3 5" xfId="42724" xr:uid="{00000000-0005-0000-0000-0000F8B70000}"/>
    <cellStyle name="Note 2 2 6 4 3 6" xfId="13549" xr:uid="{00000000-0005-0000-0000-0000F9B70000}"/>
    <cellStyle name="Note 2 2 6 4 4" xfId="5445" xr:uid="{00000000-0005-0000-0000-0000FAB70000}"/>
    <cellStyle name="Note 2 2 6 4 4 2" xfId="24896" xr:uid="{00000000-0005-0000-0000-0000FBB70000}"/>
    <cellStyle name="Note 2 2 6 4 4 3" xfId="34621" xr:uid="{00000000-0005-0000-0000-0000FCB70000}"/>
    <cellStyle name="Note 2 2 6 4 4 4" xfId="44346" xr:uid="{00000000-0005-0000-0000-0000FDB70000}"/>
    <cellStyle name="Note 2 2 6 4 4 5" xfId="15171" xr:uid="{00000000-0005-0000-0000-0000FEB70000}"/>
    <cellStyle name="Note 2 2 6 4 5" xfId="20034" xr:uid="{00000000-0005-0000-0000-0000FFB70000}"/>
    <cellStyle name="Note 2 2 6 4 6" xfId="29759" xr:uid="{00000000-0005-0000-0000-000000B80000}"/>
    <cellStyle name="Note 2 2 6 4 7" xfId="39484" xr:uid="{00000000-0005-0000-0000-000001B80000}"/>
    <cellStyle name="Note 2 2 6 4 8" xfId="10309" xr:uid="{00000000-0005-0000-0000-000002B80000}"/>
    <cellStyle name="Note 2 2 6 5" xfId="1843" xr:uid="{00000000-0005-0000-0000-000003B80000}"/>
    <cellStyle name="Note 2 2 6 5 2" xfId="6705" xr:uid="{00000000-0005-0000-0000-000004B80000}"/>
    <cellStyle name="Note 2 2 6 5 2 2" xfId="26156" xr:uid="{00000000-0005-0000-0000-000005B80000}"/>
    <cellStyle name="Note 2 2 6 5 2 3" xfId="35881" xr:uid="{00000000-0005-0000-0000-000006B80000}"/>
    <cellStyle name="Note 2 2 6 5 2 4" xfId="45606" xr:uid="{00000000-0005-0000-0000-000007B80000}"/>
    <cellStyle name="Note 2 2 6 5 2 5" xfId="16431" xr:uid="{00000000-0005-0000-0000-000008B80000}"/>
    <cellStyle name="Note 2 2 6 5 3" xfId="21294" xr:uid="{00000000-0005-0000-0000-000009B80000}"/>
    <cellStyle name="Note 2 2 6 5 4" xfId="31019" xr:uid="{00000000-0005-0000-0000-00000AB80000}"/>
    <cellStyle name="Note 2 2 6 5 5" xfId="40744" xr:uid="{00000000-0005-0000-0000-00000BB80000}"/>
    <cellStyle name="Note 2 2 6 5 6" xfId="11569" xr:uid="{00000000-0005-0000-0000-00000CB80000}"/>
    <cellStyle name="Note 2 2 6 6" xfId="3463" xr:uid="{00000000-0005-0000-0000-00000DB80000}"/>
    <cellStyle name="Note 2 2 6 6 2" xfId="8325" xr:uid="{00000000-0005-0000-0000-00000EB80000}"/>
    <cellStyle name="Note 2 2 6 6 2 2" xfId="27776" xr:uid="{00000000-0005-0000-0000-00000FB80000}"/>
    <cellStyle name="Note 2 2 6 6 2 3" xfId="37501" xr:uid="{00000000-0005-0000-0000-000010B80000}"/>
    <cellStyle name="Note 2 2 6 6 2 4" xfId="47226" xr:uid="{00000000-0005-0000-0000-000011B80000}"/>
    <cellStyle name="Note 2 2 6 6 2 5" xfId="18051" xr:uid="{00000000-0005-0000-0000-000012B80000}"/>
    <cellStyle name="Note 2 2 6 6 3" xfId="22914" xr:uid="{00000000-0005-0000-0000-000013B80000}"/>
    <cellStyle name="Note 2 2 6 6 4" xfId="32639" xr:uid="{00000000-0005-0000-0000-000014B80000}"/>
    <cellStyle name="Note 2 2 6 6 5" xfId="42364" xr:uid="{00000000-0005-0000-0000-000015B80000}"/>
    <cellStyle name="Note 2 2 6 6 6" xfId="13189" xr:uid="{00000000-0005-0000-0000-000016B80000}"/>
    <cellStyle name="Note 2 2 6 7" xfId="5085" xr:uid="{00000000-0005-0000-0000-000017B80000}"/>
    <cellStyle name="Note 2 2 6 7 2" xfId="24536" xr:uid="{00000000-0005-0000-0000-000018B80000}"/>
    <cellStyle name="Note 2 2 6 7 3" xfId="34261" xr:uid="{00000000-0005-0000-0000-000019B80000}"/>
    <cellStyle name="Note 2 2 6 7 4" xfId="43986" xr:uid="{00000000-0005-0000-0000-00001AB80000}"/>
    <cellStyle name="Note 2 2 6 7 5" xfId="14811" xr:uid="{00000000-0005-0000-0000-00001BB80000}"/>
    <cellStyle name="Note 2 2 6 8" xfId="19674" xr:uid="{00000000-0005-0000-0000-00001CB80000}"/>
    <cellStyle name="Note 2 2 6 9" xfId="29399" xr:uid="{00000000-0005-0000-0000-00001DB80000}"/>
    <cellStyle name="Note 2 2 7" xfId="834" xr:uid="{00000000-0005-0000-0000-00001EB80000}"/>
    <cellStyle name="Note 2 2 7 2" xfId="2473" xr:uid="{00000000-0005-0000-0000-00001FB80000}"/>
    <cellStyle name="Note 2 2 7 2 2" xfId="7335" xr:uid="{00000000-0005-0000-0000-000020B80000}"/>
    <cellStyle name="Note 2 2 7 2 2 2" xfId="26786" xr:uid="{00000000-0005-0000-0000-000021B80000}"/>
    <cellStyle name="Note 2 2 7 2 2 3" xfId="36511" xr:uid="{00000000-0005-0000-0000-000022B80000}"/>
    <cellStyle name="Note 2 2 7 2 2 4" xfId="46236" xr:uid="{00000000-0005-0000-0000-000023B80000}"/>
    <cellStyle name="Note 2 2 7 2 2 5" xfId="17061" xr:uid="{00000000-0005-0000-0000-000024B80000}"/>
    <cellStyle name="Note 2 2 7 2 3" xfId="21924" xr:uid="{00000000-0005-0000-0000-000025B80000}"/>
    <cellStyle name="Note 2 2 7 2 4" xfId="31649" xr:uid="{00000000-0005-0000-0000-000026B80000}"/>
    <cellStyle name="Note 2 2 7 2 5" xfId="41374" xr:uid="{00000000-0005-0000-0000-000027B80000}"/>
    <cellStyle name="Note 2 2 7 2 6" xfId="12199" xr:uid="{00000000-0005-0000-0000-000028B80000}"/>
    <cellStyle name="Note 2 2 7 3" xfId="4093" xr:uid="{00000000-0005-0000-0000-000029B80000}"/>
    <cellStyle name="Note 2 2 7 3 2" xfId="8955" xr:uid="{00000000-0005-0000-0000-00002AB80000}"/>
    <cellStyle name="Note 2 2 7 3 2 2" xfId="28406" xr:uid="{00000000-0005-0000-0000-00002BB80000}"/>
    <cellStyle name="Note 2 2 7 3 2 3" xfId="38131" xr:uid="{00000000-0005-0000-0000-00002CB80000}"/>
    <cellStyle name="Note 2 2 7 3 2 4" xfId="47856" xr:uid="{00000000-0005-0000-0000-00002DB80000}"/>
    <cellStyle name="Note 2 2 7 3 2 5" xfId="18681" xr:uid="{00000000-0005-0000-0000-00002EB80000}"/>
    <cellStyle name="Note 2 2 7 3 3" xfId="23544" xr:uid="{00000000-0005-0000-0000-00002FB80000}"/>
    <cellStyle name="Note 2 2 7 3 4" xfId="33269" xr:uid="{00000000-0005-0000-0000-000030B80000}"/>
    <cellStyle name="Note 2 2 7 3 5" xfId="42994" xr:uid="{00000000-0005-0000-0000-000031B80000}"/>
    <cellStyle name="Note 2 2 7 3 6" xfId="13819" xr:uid="{00000000-0005-0000-0000-000032B80000}"/>
    <cellStyle name="Note 2 2 7 4" xfId="5715" xr:uid="{00000000-0005-0000-0000-000033B80000}"/>
    <cellStyle name="Note 2 2 7 4 2" xfId="25166" xr:uid="{00000000-0005-0000-0000-000034B80000}"/>
    <cellStyle name="Note 2 2 7 4 3" xfId="34891" xr:uid="{00000000-0005-0000-0000-000035B80000}"/>
    <cellStyle name="Note 2 2 7 4 4" xfId="44616" xr:uid="{00000000-0005-0000-0000-000036B80000}"/>
    <cellStyle name="Note 2 2 7 4 5" xfId="15441" xr:uid="{00000000-0005-0000-0000-000037B80000}"/>
    <cellStyle name="Note 2 2 7 5" xfId="20304" xr:uid="{00000000-0005-0000-0000-000038B80000}"/>
    <cellStyle name="Note 2 2 7 6" xfId="30029" xr:uid="{00000000-0005-0000-0000-000039B80000}"/>
    <cellStyle name="Note 2 2 7 7" xfId="39754" xr:uid="{00000000-0005-0000-0000-00003AB80000}"/>
    <cellStyle name="Note 2 2 7 8" xfId="10579" xr:uid="{00000000-0005-0000-0000-00003BB80000}"/>
    <cellStyle name="Note 2 2 8" xfId="1212" xr:uid="{00000000-0005-0000-0000-00003CB80000}"/>
    <cellStyle name="Note 2 2 8 2" xfId="2833" xr:uid="{00000000-0005-0000-0000-00003DB80000}"/>
    <cellStyle name="Note 2 2 8 2 2" xfId="7695" xr:uid="{00000000-0005-0000-0000-00003EB80000}"/>
    <cellStyle name="Note 2 2 8 2 2 2" xfId="27146" xr:uid="{00000000-0005-0000-0000-00003FB80000}"/>
    <cellStyle name="Note 2 2 8 2 2 3" xfId="36871" xr:uid="{00000000-0005-0000-0000-000040B80000}"/>
    <cellStyle name="Note 2 2 8 2 2 4" xfId="46596" xr:uid="{00000000-0005-0000-0000-000041B80000}"/>
    <cellStyle name="Note 2 2 8 2 2 5" xfId="17421" xr:uid="{00000000-0005-0000-0000-000042B80000}"/>
    <cellStyle name="Note 2 2 8 2 3" xfId="22284" xr:uid="{00000000-0005-0000-0000-000043B80000}"/>
    <cellStyle name="Note 2 2 8 2 4" xfId="32009" xr:uid="{00000000-0005-0000-0000-000044B80000}"/>
    <cellStyle name="Note 2 2 8 2 5" xfId="41734" xr:uid="{00000000-0005-0000-0000-000045B80000}"/>
    <cellStyle name="Note 2 2 8 2 6" xfId="12559" xr:uid="{00000000-0005-0000-0000-000046B80000}"/>
    <cellStyle name="Note 2 2 8 3" xfId="4453" xr:uid="{00000000-0005-0000-0000-000047B80000}"/>
    <cellStyle name="Note 2 2 8 3 2" xfId="9315" xr:uid="{00000000-0005-0000-0000-000048B80000}"/>
    <cellStyle name="Note 2 2 8 3 2 2" xfId="28766" xr:uid="{00000000-0005-0000-0000-000049B80000}"/>
    <cellStyle name="Note 2 2 8 3 2 3" xfId="38491" xr:uid="{00000000-0005-0000-0000-00004AB80000}"/>
    <cellStyle name="Note 2 2 8 3 2 4" xfId="48216" xr:uid="{00000000-0005-0000-0000-00004BB80000}"/>
    <cellStyle name="Note 2 2 8 3 2 5" xfId="19041" xr:uid="{00000000-0005-0000-0000-00004CB80000}"/>
    <cellStyle name="Note 2 2 8 3 3" xfId="23904" xr:uid="{00000000-0005-0000-0000-00004DB80000}"/>
    <cellStyle name="Note 2 2 8 3 4" xfId="33629" xr:uid="{00000000-0005-0000-0000-00004EB80000}"/>
    <cellStyle name="Note 2 2 8 3 5" xfId="43354" xr:uid="{00000000-0005-0000-0000-00004FB80000}"/>
    <cellStyle name="Note 2 2 8 3 6" xfId="14179" xr:uid="{00000000-0005-0000-0000-000050B80000}"/>
    <cellStyle name="Note 2 2 8 4" xfId="6075" xr:uid="{00000000-0005-0000-0000-000051B80000}"/>
    <cellStyle name="Note 2 2 8 4 2" xfId="25526" xr:uid="{00000000-0005-0000-0000-000052B80000}"/>
    <cellStyle name="Note 2 2 8 4 3" xfId="35251" xr:uid="{00000000-0005-0000-0000-000053B80000}"/>
    <cellStyle name="Note 2 2 8 4 4" xfId="44976" xr:uid="{00000000-0005-0000-0000-000054B80000}"/>
    <cellStyle name="Note 2 2 8 4 5" xfId="15801" xr:uid="{00000000-0005-0000-0000-000055B80000}"/>
    <cellStyle name="Note 2 2 8 5" xfId="20664" xr:uid="{00000000-0005-0000-0000-000056B80000}"/>
    <cellStyle name="Note 2 2 8 6" xfId="30389" xr:uid="{00000000-0005-0000-0000-000057B80000}"/>
    <cellStyle name="Note 2 2 8 7" xfId="40114" xr:uid="{00000000-0005-0000-0000-000058B80000}"/>
    <cellStyle name="Note 2 2 8 8" xfId="10939" xr:uid="{00000000-0005-0000-0000-000059B80000}"/>
    <cellStyle name="Note 2 2 9" xfId="1302" xr:uid="{00000000-0005-0000-0000-00005AB80000}"/>
    <cellStyle name="Note 2 2 9 2" xfId="2923" xr:uid="{00000000-0005-0000-0000-00005BB80000}"/>
    <cellStyle name="Note 2 2 9 2 2" xfId="7785" xr:uid="{00000000-0005-0000-0000-00005CB80000}"/>
    <cellStyle name="Note 2 2 9 2 2 2" xfId="27236" xr:uid="{00000000-0005-0000-0000-00005DB80000}"/>
    <cellStyle name="Note 2 2 9 2 2 3" xfId="36961" xr:uid="{00000000-0005-0000-0000-00005EB80000}"/>
    <cellStyle name="Note 2 2 9 2 2 4" xfId="46686" xr:uid="{00000000-0005-0000-0000-00005FB80000}"/>
    <cellStyle name="Note 2 2 9 2 2 5" xfId="17511" xr:uid="{00000000-0005-0000-0000-000060B80000}"/>
    <cellStyle name="Note 2 2 9 2 3" xfId="22374" xr:uid="{00000000-0005-0000-0000-000061B80000}"/>
    <cellStyle name="Note 2 2 9 2 4" xfId="32099" xr:uid="{00000000-0005-0000-0000-000062B80000}"/>
    <cellStyle name="Note 2 2 9 2 5" xfId="41824" xr:uid="{00000000-0005-0000-0000-000063B80000}"/>
    <cellStyle name="Note 2 2 9 2 6" xfId="12649" xr:uid="{00000000-0005-0000-0000-000064B80000}"/>
    <cellStyle name="Note 2 2 9 3" xfId="4543" xr:uid="{00000000-0005-0000-0000-000065B80000}"/>
    <cellStyle name="Note 2 2 9 3 2" xfId="9405" xr:uid="{00000000-0005-0000-0000-000066B80000}"/>
    <cellStyle name="Note 2 2 9 3 2 2" xfId="28856" xr:uid="{00000000-0005-0000-0000-000067B80000}"/>
    <cellStyle name="Note 2 2 9 3 2 3" xfId="38581" xr:uid="{00000000-0005-0000-0000-000068B80000}"/>
    <cellStyle name="Note 2 2 9 3 2 4" xfId="48306" xr:uid="{00000000-0005-0000-0000-000069B80000}"/>
    <cellStyle name="Note 2 2 9 3 2 5" xfId="19131" xr:uid="{00000000-0005-0000-0000-00006AB80000}"/>
    <cellStyle name="Note 2 2 9 3 3" xfId="23994" xr:uid="{00000000-0005-0000-0000-00006BB80000}"/>
    <cellStyle name="Note 2 2 9 3 4" xfId="33719" xr:uid="{00000000-0005-0000-0000-00006CB80000}"/>
    <cellStyle name="Note 2 2 9 3 5" xfId="43444" xr:uid="{00000000-0005-0000-0000-00006DB80000}"/>
    <cellStyle name="Note 2 2 9 3 6" xfId="14269" xr:uid="{00000000-0005-0000-0000-00006EB80000}"/>
    <cellStyle name="Note 2 2 9 4" xfId="6165" xr:uid="{00000000-0005-0000-0000-00006FB80000}"/>
    <cellStyle name="Note 2 2 9 4 2" xfId="25616" xr:uid="{00000000-0005-0000-0000-000070B80000}"/>
    <cellStyle name="Note 2 2 9 4 3" xfId="35341" xr:uid="{00000000-0005-0000-0000-000071B80000}"/>
    <cellStyle name="Note 2 2 9 4 4" xfId="45066" xr:uid="{00000000-0005-0000-0000-000072B80000}"/>
    <cellStyle name="Note 2 2 9 4 5" xfId="15891" xr:uid="{00000000-0005-0000-0000-000073B80000}"/>
    <cellStyle name="Note 2 2 9 5" xfId="20754" xr:uid="{00000000-0005-0000-0000-000074B80000}"/>
    <cellStyle name="Note 2 2 9 6" xfId="30479" xr:uid="{00000000-0005-0000-0000-000075B80000}"/>
    <cellStyle name="Note 2 2 9 7" xfId="40204" xr:uid="{00000000-0005-0000-0000-000076B80000}"/>
    <cellStyle name="Note 2 2 9 8" xfId="11029" xr:uid="{00000000-0005-0000-0000-000077B80000}"/>
    <cellStyle name="Note 2 2_Database (All)" xfId="1175" xr:uid="{00000000-0005-0000-0000-000078B80000}"/>
    <cellStyle name="Note 2 3" xfId="85" xr:uid="{00000000-0005-0000-0000-000079B80000}"/>
    <cellStyle name="Note 2 3 10" xfId="1769" xr:uid="{00000000-0005-0000-0000-00007AB80000}"/>
    <cellStyle name="Note 2 3 10 2" xfId="6631" xr:uid="{00000000-0005-0000-0000-00007BB80000}"/>
    <cellStyle name="Note 2 3 10 2 2" xfId="26082" xr:uid="{00000000-0005-0000-0000-00007CB80000}"/>
    <cellStyle name="Note 2 3 10 2 3" xfId="35807" xr:uid="{00000000-0005-0000-0000-00007DB80000}"/>
    <cellStyle name="Note 2 3 10 2 4" xfId="45532" xr:uid="{00000000-0005-0000-0000-00007EB80000}"/>
    <cellStyle name="Note 2 3 10 2 5" xfId="16357" xr:uid="{00000000-0005-0000-0000-00007FB80000}"/>
    <cellStyle name="Note 2 3 10 3" xfId="21220" xr:uid="{00000000-0005-0000-0000-000080B80000}"/>
    <cellStyle name="Note 2 3 10 4" xfId="30945" xr:uid="{00000000-0005-0000-0000-000081B80000}"/>
    <cellStyle name="Note 2 3 10 5" xfId="40670" xr:uid="{00000000-0005-0000-0000-000082B80000}"/>
    <cellStyle name="Note 2 3 10 6" xfId="11495" xr:uid="{00000000-0005-0000-0000-000083B80000}"/>
    <cellStyle name="Note 2 3 11" xfId="3389" xr:uid="{00000000-0005-0000-0000-000084B80000}"/>
    <cellStyle name="Note 2 3 11 2" xfId="8251" xr:uid="{00000000-0005-0000-0000-000085B80000}"/>
    <cellStyle name="Note 2 3 11 2 2" xfId="27702" xr:uid="{00000000-0005-0000-0000-000086B80000}"/>
    <cellStyle name="Note 2 3 11 2 3" xfId="37427" xr:uid="{00000000-0005-0000-0000-000087B80000}"/>
    <cellStyle name="Note 2 3 11 2 4" xfId="47152" xr:uid="{00000000-0005-0000-0000-000088B80000}"/>
    <cellStyle name="Note 2 3 11 2 5" xfId="17977" xr:uid="{00000000-0005-0000-0000-000089B80000}"/>
    <cellStyle name="Note 2 3 11 3" xfId="22840" xr:uid="{00000000-0005-0000-0000-00008AB80000}"/>
    <cellStyle name="Note 2 3 11 4" xfId="32565" xr:uid="{00000000-0005-0000-0000-00008BB80000}"/>
    <cellStyle name="Note 2 3 11 5" xfId="42290" xr:uid="{00000000-0005-0000-0000-00008CB80000}"/>
    <cellStyle name="Note 2 3 11 6" xfId="13115" xr:uid="{00000000-0005-0000-0000-00008DB80000}"/>
    <cellStyle name="Note 2 3 12" xfId="5011" xr:uid="{00000000-0005-0000-0000-00008EB80000}"/>
    <cellStyle name="Note 2 3 12 2" xfId="24462" xr:uid="{00000000-0005-0000-0000-00008FB80000}"/>
    <cellStyle name="Note 2 3 12 3" xfId="34187" xr:uid="{00000000-0005-0000-0000-000090B80000}"/>
    <cellStyle name="Note 2 3 12 4" xfId="43912" xr:uid="{00000000-0005-0000-0000-000091B80000}"/>
    <cellStyle name="Note 2 3 12 5" xfId="14737" xr:uid="{00000000-0005-0000-0000-000092B80000}"/>
    <cellStyle name="Note 2 3 13" xfId="19600" xr:uid="{00000000-0005-0000-0000-000093B80000}"/>
    <cellStyle name="Note 2 3 14" xfId="29325" xr:uid="{00000000-0005-0000-0000-000094B80000}"/>
    <cellStyle name="Note 2 3 15" xfId="39050" xr:uid="{00000000-0005-0000-0000-000095B80000}"/>
    <cellStyle name="Note 2 3 16" xfId="9875" xr:uid="{00000000-0005-0000-0000-000096B80000}"/>
    <cellStyle name="Note 2 3 2" xfId="267" xr:uid="{00000000-0005-0000-0000-000097B80000}"/>
    <cellStyle name="Note 2 3 2 10" xfId="39230" xr:uid="{00000000-0005-0000-0000-000098B80000}"/>
    <cellStyle name="Note 2 3 2 11" xfId="10055" xr:uid="{00000000-0005-0000-0000-000099B80000}"/>
    <cellStyle name="Note 2 3 2 2" xfId="1031" xr:uid="{00000000-0005-0000-0000-00009AB80000}"/>
    <cellStyle name="Note 2 3 2 2 2" xfId="2669" xr:uid="{00000000-0005-0000-0000-00009BB80000}"/>
    <cellStyle name="Note 2 3 2 2 2 2" xfId="7531" xr:uid="{00000000-0005-0000-0000-00009CB80000}"/>
    <cellStyle name="Note 2 3 2 2 2 2 2" xfId="26982" xr:uid="{00000000-0005-0000-0000-00009DB80000}"/>
    <cellStyle name="Note 2 3 2 2 2 2 3" xfId="36707" xr:uid="{00000000-0005-0000-0000-00009EB80000}"/>
    <cellStyle name="Note 2 3 2 2 2 2 4" xfId="46432" xr:uid="{00000000-0005-0000-0000-00009FB80000}"/>
    <cellStyle name="Note 2 3 2 2 2 2 5" xfId="17257" xr:uid="{00000000-0005-0000-0000-0000A0B80000}"/>
    <cellStyle name="Note 2 3 2 2 2 3" xfId="22120" xr:uid="{00000000-0005-0000-0000-0000A1B80000}"/>
    <cellStyle name="Note 2 3 2 2 2 4" xfId="31845" xr:uid="{00000000-0005-0000-0000-0000A2B80000}"/>
    <cellStyle name="Note 2 3 2 2 2 5" xfId="41570" xr:uid="{00000000-0005-0000-0000-0000A3B80000}"/>
    <cellStyle name="Note 2 3 2 2 2 6" xfId="12395" xr:uid="{00000000-0005-0000-0000-0000A4B80000}"/>
    <cellStyle name="Note 2 3 2 2 3" xfId="4289" xr:uid="{00000000-0005-0000-0000-0000A5B80000}"/>
    <cellStyle name="Note 2 3 2 2 3 2" xfId="9151" xr:uid="{00000000-0005-0000-0000-0000A6B80000}"/>
    <cellStyle name="Note 2 3 2 2 3 2 2" xfId="28602" xr:uid="{00000000-0005-0000-0000-0000A7B80000}"/>
    <cellStyle name="Note 2 3 2 2 3 2 3" xfId="38327" xr:uid="{00000000-0005-0000-0000-0000A8B80000}"/>
    <cellStyle name="Note 2 3 2 2 3 2 4" xfId="48052" xr:uid="{00000000-0005-0000-0000-0000A9B80000}"/>
    <cellStyle name="Note 2 3 2 2 3 2 5" xfId="18877" xr:uid="{00000000-0005-0000-0000-0000AAB80000}"/>
    <cellStyle name="Note 2 3 2 2 3 3" xfId="23740" xr:uid="{00000000-0005-0000-0000-0000ABB80000}"/>
    <cellStyle name="Note 2 3 2 2 3 4" xfId="33465" xr:uid="{00000000-0005-0000-0000-0000ACB80000}"/>
    <cellStyle name="Note 2 3 2 2 3 5" xfId="43190" xr:uid="{00000000-0005-0000-0000-0000ADB80000}"/>
    <cellStyle name="Note 2 3 2 2 3 6" xfId="14015" xr:uid="{00000000-0005-0000-0000-0000AEB80000}"/>
    <cellStyle name="Note 2 3 2 2 4" xfId="5911" xr:uid="{00000000-0005-0000-0000-0000AFB80000}"/>
    <cellStyle name="Note 2 3 2 2 4 2" xfId="25362" xr:uid="{00000000-0005-0000-0000-0000B0B80000}"/>
    <cellStyle name="Note 2 3 2 2 4 3" xfId="35087" xr:uid="{00000000-0005-0000-0000-0000B1B80000}"/>
    <cellStyle name="Note 2 3 2 2 4 4" xfId="44812" xr:uid="{00000000-0005-0000-0000-0000B2B80000}"/>
    <cellStyle name="Note 2 3 2 2 4 5" xfId="15637" xr:uid="{00000000-0005-0000-0000-0000B3B80000}"/>
    <cellStyle name="Note 2 3 2 2 5" xfId="20500" xr:uid="{00000000-0005-0000-0000-0000B4B80000}"/>
    <cellStyle name="Note 2 3 2 2 6" xfId="30225" xr:uid="{00000000-0005-0000-0000-0000B5B80000}"/>
    <cellStyle name="Note 2 3 2 2 7" xfId="39950" xr:uid="{00000000-0005-0000-0000-0000B6B80000}"/>
    <cellStyle name="Note 2 3 2 2 8" xfId="10775" xr:uid="{00000000-0005-0000-0000-0000B7B80000}"/>
    <cellStyle name="Note 2 3 2 3" xfId="1498" xr:uid="{00000000-0005-0000-0000-0000B8B80000}"/>
    <cellStyle name="Note 2 3 2 3 2" xfId="3119" xr:uid="{00000000-0005-0000-0000-0000B9B80000}"/>
    <cellStyle name="Note 2 3 2 3 2 2" xfId="7981" xr:uid="{00000000-0005-0000-0000-0000BAB80000}"/>
    <cellStyle name="Note 2 3 2 3 2 2 2" xfId="27432" xr:uid="{00000000-0005-0000-0000-0000BBB80000}"/>
    <cellStyle name="Note 2 3 2 3 2 2 3" xfId="37157" xr:uid="{00000000-0005-0000-0000-0000BCB80000}"/>
    <cellStyle name="Note 2 3 2 3 2 2 4" xfId="46882" xr:uid="{00000000-0005-0000-0000-0000BDB80000}"/>
    <cellStyle name="Note 2 3 2 3 2 2 5" xfId="17707" xr:uid="{00000000-0005-0000-0000-0000BEB80000}"/>
    <cellStyle name="Note 2 3 2 3 2 3" xfId="22570" xr:uid="{00000000-0005-0000-0000-0000BFB80000}"/>
    <cellStyle name="Note 2 3 2 3 2 4" xfId="32295" xr:uid="{00000000-0005-0000-0000-0000C0B80000}"/>
    <cellStyle name="Note 2 3 2 3 2 5" xfId="42020" xr:uid="{00000000-0005-0000-0000-0000C1B80000}"/>
    <cellStyle name="Note 2 3 2 3 2 6" xfId="12845" xr:uid="{00000000-0005-0000-0000-0000C2B80000}"/>
    <cellStyle name="Note 2 3 2 3 3" xfId="4739" xr:uid="{00000000-0005-0000-0000-0000C3B80000}"/>
    <cellStyle name="Note 2 3 2 3 3 2" xfId="9601" xr:uid="{00000000-0005-0000-0000-0000C4B80000}"/>
    <cellStyle name="Note 2 3 2 3 3 2 2" xfId="29052" xr:uid="{00000000-0005-0000-0000-0000C5B80000}"/>
    <cellStyle name="Note 2 3 2 3 3 2 3" xfId="38777" xr:uid="{00000000-0005-0000-0000-0000C6B80000}"/>
    <cellStyle name="Note 2 3 2 3 3 2 4" xfId="48502" xr:uid="{00000000-0005-0000-0000-0000C7B80000}"/>
    <cellStyle name="Note 2 3 2 3 3 2 5" xfId="19327" xr:uid="{00000000-0005-0000-0000-0000C8B80000}"/>
    <cellStyle name="Note 2 3 2 3 3 3" xfId="24190" xr:uid="{00000000-0005-0000-0000-0000C9B80000}"/>
    <cellStyle name="Note 2 3 2 3 3 4" xfId="33915" xr:uid="{00000000-0005-0000-0000-0000CAB80000}"/>
    <cellStyle name="Note 2 3 2 3 3 5" xfId="43640" xr:uid="{00000000-0005-0000-0000-0000CBB80000}"/>
    <cellStyle name="Note 2 3 2 3 3 6" xfId="14465" xr:uid="{00000000-0005-0000-0000-0000CCB80000}"/>
    <cellStyle name="Note 2 3 2 3 4" xfId="6361" xr:uid="{00000000-0005-0000-0000-0000CDB80000}"/>
    <cellStyle name="Note 2 3 2 3 4 2" xfId="25812" xr:uid="{00000000-0005-0000-0000-0000CEB80000}"/>
    <cellStyle name="Note 2 3 2 3 4 3" xfId="35537" xr:uid="{00000000-0005-0000-0000-0000CFB80000}"/>
    <cellStyle name="Note 2 3 2 3 4 4" xfId="45262" xr:uid="{00000000-0005-0000-0000-0000D0B80000}"/>
    <cellStyle name="Note 2 3 2 3 4 5" xfId="16087" xr:uid="{00000000-0005-0000-0000-0000D1B80000}"/>
    <cellStyle name="Note 2 3 2 3 5" xfId="20950" xr:uid="{00000000-0005-0000-0000-0000D2B80000}"/>
    <cellStyle name="Note 2 3 2 3 6" xfId="30675" xr:uid="{00000000-0005-0000-0000-0000D3B80000}"/>
    <cellStyle name="Note 2 3 2 3 7" xfId="40400" xr:uid="{00000000-0005-0000-0000-0000D4B80000}"/>
    <cellStyle name="Note 2 3 2 3 8" xfId="11225" xr:uid="{00000000-0005-0000-0000-0000D5B80000}"/>
    <cellStyle name="Note 2 3 2 4" xfId="669" xr:uid="{00000000-0005-0000-0000-0000D6B80000}"/>
    <cellStyle name="Note 2 3 2 4 2" xfId="2309" xr:uid="{00000000-0005-0000-0000-0000D7B80000}"/>
    <cellStyle name="Note 2 3 2 4 2 2" xfId="7171" xr:uid="{00000000-0005-0000-0000-0000D8B80000}"/>
    <cellStyle name="Note 2 3 2 4 2 2 2" xfId="26622" xr:uid="{00000000-0005-0000-0000-0000D9B80000}"/>
    <cellStyle name="Note 2 3 2 4 2 2 3" xfId="36347" xr:uid="{00000000-0005-0000-0000-0000DAB80000}"/>
    <cellStyle name="Note 2 3 2 4 2 2 4" xfId="46072" xr:uid="{00000000-0005-0000-0000-0000DBB80000}"/>
    <cellStyle name="Note 2 3 2 4 2 2 5" xfId="16897" xr:uid="{00000000-0005-0000-0000-0000DCB80000}"/>
    <cellStyle name="Note 2 3 2 4 2 3" xfId="21760" xr:uid="{00000000-0005-0000-0000-0000DDB80000}"/>
    <cellStyle name="Note 2 3 2 4 2 4" xfId="31485" xr:uid="{00000000-0005-0000-0000-0000DEB80000}"/>
    <cellStyle name="Note 2 3 2 4 2 5" xfId="41210" xr:uid="{00000000-0005-0000-0000-0000DFB80000}"/>
    <cellStyle name="Note 2 3 2 4 2 6" xfId="12035" xr:uid="{00000000-0005-0000-0000-0000E0B80000}"/>
    <cellStyle name="Note 2 3 2 4 3" xfId="3929" xr:uid="{00000000-0005-0000-0000-0000E1B80000}"/>
    <cellStyle name="Note 2 3 2 4 3 2" xfId="8791" xr:uid="{00000000-0005-0000-0000-0000E2B80000}"/>
    <cellStyle name="Note 2 3 2 4 3 2 2" xfId="28242" xr:uid="{00000000-0005-0000-0000-0000E3B80000}"/>
    <cellStyle name="Note 2 3 2 4 3 2 3" xfId="37967" xr:uid="{00000000-0005-0000-0000-0000E4B80000}"/>
    <cellStyle name="Note 2 3 2 4 3 2 4" xfId="47692" xr:uid="{00000000-0005-0000-0000-0000E5B80000}"/>
    <cellStyle name="Note 2 3 2 4 3 2 5" xfId="18517" xr:uid="{00000000-0005-0000-0000-0000E6B80000}"/>
    <cellStyle name="Note 2 3 2 4 3 3" xfId="23380" xr:uid="{00000000-0005-0000-0000-0000E7B80000}"/>
    <cellStyle name="Note 2 3 2 4 3 4" xfId="33105" xr:uid="{00000000-0005-0000-0000-0000E8B80000}"/>
    <cellStyle name="Note 2 3 2 4 3 5" xfId="42830" xr:uid="{00000000-0005-0000-0000-0000E9B80000}"/>
    <cellStyle name="Note 2 3 2 4 3 6" xfId="13655" xr:uid="{00000000-0005-0000-0000-0000EAB80000}"/>
    <cellStyle name="Note 2 3 2 4 4" xfId="5551" xr:uid="{00000000-0005-0000-0000-0000EBB80000}"/>
    <cellStyle name="Note 2 3 2 4 4 2" xfId="25002" xr:uid="{00000000-0005-0000-0000-0000ECB80000}"/>
    <cellStyle name="Note 2 3 2 4 4 3" xfId="34727" xr:uid="{00000000-0005-0000-0000-0000EDB80000}"/>
    <cellStyle name="Note 2 3 2 4 4 4" xfId="44452" xr:uid="{00000000-0005-0000-0000-0000EEB80000}"/>
    <cellStyle name="Note 2 3 2 4 4 5" xfId="15277" xr:uid="{00000000-0005-0000-0000-0000EFB80000}"/>
    <cellStyle name="Note 2 3 2 4 5" xfId="20140" xr:uid="{00000000-0005-0000-0000-0000F0B80000}"/>
    <cellStyle name="Note 2 3 2 4 6" xfId="29865" xr:uid="{00000000-0005-0000-0000-0000F1B80000}"/>
    <cellStyle name="Note 2 3 2 4 7" xfId="39590" xr:uid="{00000000-0005-0000-0000-0000F2B80000}"/>
    <cellStyle name="Note 2 3 2 4 8" xfId="10415" xr:uid="{00000000-0005-0000-0000-0000F3B80000}"/>
    <cellStyle name="Note 2 3 2 5" xfId="1949" xr:uid="{00000000-0005-0000-0000-0000F4B80000}"/>
    <cellStyle name="Note 2 3 2 5 2" xfId="6811" xr:uid="{00000000-0005-0000-0000-0000F5B80000}"/>
    <cellStyle name="Note 2 3 2 5 2 2" xfId="26262" xr:uid="{00000000-0005-0000-0000-0000F6B80000}"/>
    <cellStyle name="Note 2 3 2 5 2 3" xfId="35987" xr:uid="{00000000-0005-0000-0000-0000F7B80000}"/>
    <cellStyle name="Note 2 3 2 5 2 4" xfId="45712" xr:uid="{00000000-0005-0000-0000-0000F8B80000}"/>
    <cellStyle name="Note 2 3 2 5 2 5" xfId="16537" xr:uid="{00000000-0005-0000-0000-0000F9B80000}"/>
    <cellStyle name="Note 2 3 2 5 3" xfId="21400" xr:uid="{00000000-0005-0000-0000-0000FAB80000}"/>
    <cellStyle name="Note 2 3 2 5 4" xfId="31125" xr:uid="{00000000-0005-0000-0000-0000FBB80000}"/>
    <cellStyle name="Note 2 3 2 5 5" xfId="40850" xr:uid="{00000000-0005-0000-0000-0000FCB80000}"/>
    <cellStyle name="Note 2 3 2 5 6" xfId="11675" xr:uid="{00000000-0005-0000-0000-0000FDB80000}"/>
    <cellStyle name="Note 2 3 2 6" xfId="3569" xr:uid="{00000000-0005-0000-0000-0000FEB80000}"/>
    <cellStyle name="Note 2 3 2 6 2" xfId="8431" xr:uid="{00000000-0005-0000-0000-0000FFB80000}"/>
    <cellStyle name="Note 2 3 2 6 2 2" xfId="27882" xr:uid="{00000000-0005-0000-0000-000000B90000}"/>
    <cellStyle name="Note 2 3 2 6 2 3" xfId="37607" xr:uid="{00000000-0005-0000-0000-000001B90000}"/>
    <cellStyle name="Note 2 3 2 6 2 4" xfId="47332" xr:uid="{00000000-0005-0000-0000-000002B90000}"/>
    <cellStyle name="Note 2 3 2 6 2 5" xfId="18157" xr:uid="{00000000-0005-0000-0000-000003B90000}"/>
    <cellStyle name="Note 2 3 2 6 3" xfId="23020" xr:uid="{00000000-0005-0000-0000-000004B90000}"/>
    <cellStyle name="Note 2 3 2 6 4" xfId="32745" xr:uid="{00000000-0005-0000-0000-000005B90000}"/>
    <cellStyle name="Note 2 3 2 6 5" xfId="42470" xr:uid="{00000000-0005-0000-0000-000006B90000}"/>
    <cellStyle name="Note 2 3 2 6 6" xfId="13295" xr:uid="{00000000-0005-0000-0000-000007B90000}"/>
    <cellStyle name="Note 2 3 2 7" xfId="5191" xr:uid="{00000000-0005-0000-0000-000008B90000}"/>
    <cellStyle name="Note 2 3 2 7 2" xfId="24642" xr:uid="{00000000-0005-0000-0000-000009B90000}"/>
    <cellStyle name="Note 2 3 2 7 3" xfId="34367" xr:uid="{00000000-0005-0000-0000-00000AB90000}"/>
    <cellStyle name="Note 2 3 2 7 4" xfId="44092" xr:uid="{00000000-0005-0000-0000-00000BB90000}"/>
    <cellStyle name="Note 2 3 2 7 5" xfId="14917" xr:uid="{00000000-0005-0000-0000-00000CB90000}"/>
    <cellStyle name="Note 2 3 2 8" xfId="19780" xr:uid="{00000000-0005-0000-0000-00000DB90000}"/>
    <cellStyle name="Note 2 3 2 9" xfId="29505" xr:uid="{00000000-0005-0000-0000-00000EB90000}"/>
    <cellStyle name="Note 2 3 3" xfId="358" xr:uid="{00000000-0005-0000-0000-00000FB90000}"/>
    <cellStyle name="Note 2 3 3 10" xfId="39320" xr:uid="{00000000-0005-0000-0000-000010B90000}"/>
    <cellStyle name="Note 2 3 3 11" xfId="10145" xr:uid="{00000000-0005-0000-0000-000011B90000}"/>
    <cellStyle name="Note 2 3 3 2" xfId="1121" xr:uid="{00000000-0005-0000-0000-000012B90000}"/>
    <cellStyle name="Note 2 3 3 2 2" xfId="2759" xr:uid="{00000000-0005-0000-0000-000013B90000}"/>
    <cellStyle name="Note 2 3 3 2 2 2" xfId="7621" xr:uid="{00000000-0005-0000-0000-000014B90000}"/>
    <cellStyle name="Note 2 3 3 2 2 2 2" xfId="27072" xr:uid="{00000000-0005-0000-0000-000015B90000}"/>
    <cellStyle name="Note 2 3 3 2 2 2 3" xfId="36797" xr:uid="{00000000-0005-0000-0000-000016B90000}"/>
    <cellStyle name="Note 2 3 3 2 2 2 4" xfId="46522" xr:uid="{00000000-0005-0000-0000-000017B90000}"/>
    <cellStyle name="Note 2 3 3 2 2 2 5" xfId="17347" xr:uid="{00000000-0005-0000-0000-000018B90000}"/>
    <cellStyle name="Note 2 3 3 2 2 3" xfId="22210" xr:uid="{00000000-0005-0000-0000-000019B90000}"/>
    <cellStyle name="Note 2 3 3 2 2 4" xfId="31935" xr:uid="{00000000-0005-0000-0000-00001AB90000}"/>
    <cellStyle name="Note 2 3 3 2 2 5" xfId="41660" xr:uid="{00000000-0005-0000-0000-00001BB90000}"/>
    <cellStyle name="Note 2 3 3 2 2 6" xfId="12485" xr:uid="{00000000-0005-0000-0000-00001CB90000}"/>
    <cellStyle name="Note 2 3 3 2 3" xfId="4379" xr:uid="{00000000-0005-0000-0000-00001DB90000}"/>
    <cellStyle name="Note 2 3 3 2 3 2" xfId="9241" xr:uid="{00000000-0005-0000-0000-00001EB90000}"/>
    <cellStyle name="Note 2 3 3 2 3 2 2" xfId="28692" xr:uid="{00000000-0005-0000-0000-00001FB90000}"/>
    <cellStyle name="Note 2 3 3 2 3 2 3" xfId="38417" xr:uid="{00000000-0005-0000-0000-000020B90000}"/>
    <cellStyle name="Note 2 3 3 2 3 2 4" xfId="48142" xr:uid="{00000000-0005-0000-0000-000021B90000}"/>
    <cellStyle name="Note 2 3 3 2 3 2 5" xfId="18967" xr:uid="{00000000-0005-0000-0000-000022B90000}"/>
    <cellStyle name="Note 2 3 3 2 3 3" xfId="23830" xr:uid="{00000000-0005-0000-0000-000023B90000}"/>
    <cellStyle name="Note 2 3 3 2 3 4" xfId="33555" xr:uid="{00000000-0005-0000-0000-000024B90000}"/>
    <cellStyle name="Note 2 3 3 2 3 5" xfId="43280" xr:uid="{00000000-0005-0000-0000-000025B90000}"/>
    <cellStyle name="Note 2 3 3 2 3 6" xfId="14105" xr:uid="{00000000-0005-0000-0000-000026B90000}"/>
    <cellStyle name="Note 2 3 3 2 4" xfId="6001" xr:uid="{00000000-0005-0000-0000-000027B90000}"/>
    <cellStyle name="Note 2 3 3 2 4 2" xfId="25452" xr:uid="{00000000-0005-0000-0000-000028B90000}"/>
    <cellStyle name="Note 2 3 3 2 4 3" xfId="35177" xr:uid="{00000000-0005-0000-0000-000029B90000}"/>
    <cellStyle name="Note 2 3 3 2 4 4" xfId="44902" xr:uid="{00000000-0005-0000-0000-00002AB90000}"/>
    <cellStyle name="Note 2 3 3 2 4 5" xfId="15727" xr:uid="{00000000-0005-0000-0000-00002BB90000}"/>
    <cellStyle name="Note 2 3 3 2 5" xfId="20590" xr:uid="{00000000-0005-0000-0000-00002CB90000}"/>
    <cellStyle name="Note 2 3 3 2 6" xfId="30315" xr:uid="{00000000-0005-0000-0000-00002DB90000}"/>
    <cellStyle name="Note 2 3 3 2 7" xfId="40040" xr:uid="{00000000-0005-0000-0000-00002EB90000}"/>
    <cellStyle name="Note 2 3 3 2 8" xfId="10865" xr:uid="{00000000-0005-0000-0000-00002FB90000}"/>
    <cellStyle name="Note 2 3 3 3" xfId="1588" xr:uid="{00000000-0005-0000-0000-000030B90000}"/>
    <cellStyle name="Note 2 3 3 3 2" xfId="3209" xr:uid="{00000000-0005-0000-0000-000031B90000}"/>
    <cellStyle name="Note 2 3 3 3 2 2" xfId="8071" xr:uid="{00000000-0005-0000-0000-000032B90000}"/>
    <cellStyle name="Note 2 3 3 3 2 2 2" xfId="27522" xr:uid="{00000000-0005-0000-0000-000033B90000}"/>
    <cellStyle name="Note 2 3 3 3 2 2 3" xfId="37247" xr:uid="{00000000-0005-0000-0000-000034B90000}"/>
    <cellStyle name="Note 2 3 3 3 2 2 4" xfId="46972" xr:uid="{00000000-0005-0000-0000-000035B90000}"/>
    <cellStyle name="Note 2 3 3 3 2 2 5" xfId="17797" xr:uid="{00000000-0005-0000-0000-000036B90000}"/>
    <cellStyle name="Note 2 3 3 3 2 3" xfId="22660" xr:uid="{00000000-0005-0000-0000-000037B90000}"/>
    <cellStyle name="Note 2 3 3 3 2 4" xfId="32385" xr:uid="{00000000-0005-0000-0000-000038B90000}"/>
    <cellStyle name="Note 2 3 3 3 2 5" xfId="42110" xr:uid="{00000000-0005-0000-0000-000039B90000}"/>
    <cellStyle name="Note 2 3 3 3 2 6" xfId="12935" xr:uid="{00000000-0005-0000-0000-00003AB90000}"/>
    <cellStyle name="Note 2 3 3 3 3" xfId="4829" xr:uid="{00000000-0005-0000-0000-00003BB90000}"/>
    <cellStyle name="Note 2 3 3 3 3 2" xfId="9691" xr:uid="{00000000-0005-0000-0000-00003CB90000}"/>
    <cellStyle name="Note 2 3 3 3 3 2 2" xfId="29142" xr:uid="{00000000-0005-0000-0000-00003DB90000}"/>
    <cellStyle name="Note 2 3 3 3 3 2 3" xfId="38867" xr:uid="{00000000-0005-0000-0000-00003EB90000}"/>
    <cellStyle name="Note 2 3 3 3 3 2 4" xfId="48592" xr:uid="{00000000-0005-0000-0000-00003FB90000}"/>
    <cellStyle name="Note 2 3 3 3 3 2 5" xfId="19417" xr:uid="{00000000-0005-0000-0000-000040B90000}"/>
    <cellStyle name="Note 2 3 3 3 3 3" xfId="24280" xr:uid="{00000000-0005-0000-0000-000041B90000}"/>
    <cellStyle name="Note 2 3 3 3 3 4" xfId="34005" xr:uid="{00000000-0005-0000-0000-000042B90000}"/>
    <cellStyle name="Note 2 3 3 3 3 5" xfId="43730" xr:uid="{00000000-0005-0000-0000-000043B90000}"/>
    <cellStyle name="Note 2 3 3 3 3 6" xfId="14555" xr:uid="{00000000-0005-0000-0000-000044B90000}"/>
    <cellStyle name="Note 2 3 3 3 4" xfId="6451" xr:uid="{00000000-0005-0000-0000-000045B90000}"/>
    <cellStyle name="Note 2 3 3 3 4 2" xfId="25902" xr:uid="{00000000-0005-0000-0000-000046B90000}"/>
    <cellStyle name="Note 2 3 3 3 4 3" xfId="35627" xr:uid="{00000000-0005-0000-0000-000047B90000}"/>
    <cellStyle name="Note 2 3 3 3 4 4" xfId="45352" xr:uid="{00000000-0005-0000-0000-000048B90000}"/>
    <cellStyle name="Note 2 3 3 3 4 5" xfId="16177" xr:uid="{00000000-0005-0000-0000-000049B90000}"/>
    <cellStyle name="Note 2 3 3 3 5" xfId="21040" xr:uid="{00000000-0005-0000-0000-00004AB90000}"/>
    <cellStyle name="Note 2 3 3 3 6" xfId="30765" xr:uid="{00000000-0005-0000-0000-00004BB90000}"/>
    <cellStyle name="Note 2 3 3 3 7" xfId="40490" xr:uid="{00000000-0005-0000-0000-00004CB90000}"/>
    <cellStyle name="Note 2 3 3 3 8" xfId="11315" xr:uid="{00000000-0005-0000-0000-00004DB90000}"/>
    <cellStyle name="Note 2 3 3 4" xfId="759" xr:uid="{00000000-0005-0000-0000-00004EB90000}"/>
    <cellStyle name="Note 2 3 3 4 2" xfId="2399" xr:uid="{00000000-0005-0000-0000-00004FB90000}"/>
    <cellStyle name="Note 2 3 3 4 2 2" xfId="7261" xr:uid="{00000000-0005-0000-0000-000050B90000}"/>
    <cellStyle name="Note 2 3 3 4 2 2 2" xfId="26712" xr:uid="{00000000-0005-0000-0000-000051B90000}"/>
    <cellStyle name="Note 2 3 3 4 2 2 3" xfId="36437" xr:uid="{00000000-0005-0000-0000-000052B90000}"/>
    <cellStyle name="Note 2 3 3 4 2 2 4" xfId="46162" xr:uid="{00000000-0005-0000-0000-000053B90000}"/>
    <cellStyle name="Note 2 3 3 4 2 2 5" xfId="16987" xr:uid="{00000000-0005-0000-0000-000054B90000}"/>
    <cellStyle name="Note 2 3 3 4 2 3" xfId="21850" xr:uid="{00000000-0005-0000-0000-000055B90000}"/>
    <cellStyle name="Note 2 3 3 4 2 4" xfId="31575" xr:uid="{00000000-0005-0000-0000-000056B90000}"/>
    <cellStyle name="Note 2 3 3 4 2 5" xfId="41300" xr:uid="{00000000-0005-0000-0000-000057B90000}"/>
    <cellStyle name="Note 2 3 3 4 2 6" xfId="12125" xr:uid="{00000000-0005-0000-0000-000058B90000}"/>
    <cellStyle name="Note 2 3 3 4 3" xfId="4019" xr:uid="{00000000-0005-0000-0000-000059B90000}"/>
    <cellStyle name="Note 2 3 3 4 3 2" xfId="8881" xr:uid="{00000000-0005-0000-0000-00005AB90000}"/>
    <cellStyle name="Note 2 3 3 4 3 2 2" xfId="28332" xr:uid="{00000000-0005-0000-0000-00005BB90000}"/>
    <cellStyle name="Note 2 3 3 4 3 2 3" xfId="38057" xr:uid="{00000000-0005-0000-0000-00005CB90000}"/>
    <cellStyle name="Note 2 3 3 4 3 2 4" xfId="47782" xr:uid="{00000000-0005-0000-0000-00005DB90000}"/>
    <cellStyle name="Note 2 3 3 4 3 2 5" xfId="18607" xr:uid="{00000000-0005-0000-0000-00005EB90000}"/>
    <cellStyle name="Note 2 3 3 4 3 3" xfId="23470" xr:uid="{00000000-0005-0000-0000-00005FB90000}"/>
    <cellStyle name="Note 2 3 3 4 3 4" xfId="33195" xr:uid="{00000000-0005-0000-0000-000060B90000}"/>
    <cellStyle name="Note 2 3 3 4 3 5" xfId="42920" xr:uid="{00000000-0005-0000-0000-000061B90000}"/>
    <cellStyle name="Note 2 3 3 4 3 6" xfId="13745" xr:uid="{00000000-0005-0000-0000-000062B90000}"/>
    <cellStyle name="Note 2 3 3 4 4" xfId="5641" xr:uid="{00000000-0005-0000-0000-000063B90000}"/>
    <cellStyle name="Note 2 3 3 4 4 2" xfId="25092" xr:uid="{00000000-0005-0000-0000-000064B90000}"/>
    <cellStyle name="Note 2 3 3 4 4 3" xfId="34817" xr:uid="{00000000-0005-0000-0000-000065B90000}"/>
    <cellStyle name="Note 2 3 3 4 4 4" xfId="44542" xr:uid="{00000000-0005-0000-0000-000066B90000}"/>
    <cellStyle name="Note 2 3 3 4 4 5" xfId="15367" xr:uid="{00000000-0005-0000-0000-000067B90000}"/>
    <cellStyle name="Note 2 3 3 4 5" xfId="20230" xr:uid="{00000000-0005-0000-0000-000068B90000}"/>
    <cellStyle name="Note 2 3 3 4 6" xfId="29955" xr:uid="{00000000-0005-0000-0000-000069B90000}"/>
    <cellStyle name="Note 2 3 3 4 7" xfId="39680" xr:uid="{00000000-0005-0000-0000-00006AB90000}"/>
    <cellStyle name="Note 2 3 3 4 8" xfId="10505" xr:uid="{00000000-0005-0000-0000-00006BB90000}"/>
    <cellStyle name="Note 2 3 3 5" xfId="2039" xr:uid="{00000000-0005-0000-0000-00006CB90000}"/>
    <cellStyle name="Note 2 3 3 5 2" xfId="6901" xr:uid="{00000000-0005-0000-0000-00006DB90000}"/>
    <cellStyle name="Note 2 3 3 5 2 2" xfId="26352" xr:uid="{00000000-0005-0000-0000-00006EB90000}"/>
    <cellStyle name="Note 2 3 3 5 2 3" xfId="36077" xr:uid="{00000000-0005-0000-0000-00006FB90000}"/>
    <cellStyle name="Note 2 3 3 5 2 4" xfId="45802" xr:uid="{00000000-0005-0000-0000-000070B90000}"/>
    <cellStyle name="Note 2 3 3 5 2 5" xfId="16627" xr:uid="{00000000-0005-0000-0000-000071B90000}"/>
    <cellStyle name="Note 2 3 3 5 3" xfId="21490" xr:uid="{00000000-0005-0000-0000-000072B90000}"/>
    <cellStyle name="Note 2 3 3 5 4" xfId="31215" xr:uid="{00000000-0005-0000-0000-000073B90000}"/>
    <cellStyle name="Note 2 3 3 5 5" xfId="40940" xr:uid="{00000000-0005-0000-0000-000074B90000}"/>
    <cellStyle name="Note 2 3 3 5 6" xfId="11765" xr:uid="{00000000-0005-0000-0000-000075B90000}"/>
    <cellStyle name="Note 2 3 3 6" xfId="3659" xr:uid="{00000000-0005-0000-0000-000076B90000}"/>
    <cellStyle name="Note 2 3 3 6 2" xfId="8521" xr:uid="{00000000-0005-0000-0000-000077B90000}"/>
    <cellStyle name="Note 2 3 3 6 2 2" xfId="27972" xr:uid="{00000000-0005-0000-0000-000078B90000}"/>
    <cellStyle name="Note 2 3 3 6 2 3" xfId="37697" xr:uid="{00000000-0005-0000-0000-000079B90000}"/>
    <cellStyle name="Note 2 3 3 6 2 4" xfId="47422" xr:uid="{00000000-0005-0000-0000-00007AB90000}"/>
    <cellStyle name="Note 2 3 3 6 2 5" xfId="18247" xr:uid="{00000000-0005-0000-0000-00007BB90000}"/>
    <cellStyle name="Note 2 3 3 6 3" xfId="23110" xr:uid="{00000000-0005-0000-0000-00007CB90000}"/>
    <cellStyle name="Note 2 3 3 6 4" xfId="32835" xr:uid="{00000000-0005-0000-0000-00007DB90000}"/>
    <cellStyle name="Note 2 3 3 6 5" xfId="42560" xr:uid="{00000000-0005-0000-0000-00007EB90000}"/>
    <cellStyle name="Note 2 3 3 6 6" xfId="13385" xr:uid="{00000000-0005-0000-0000-00007FB90000}"/>
    <cellStyle name="Note 2 3 3 7" xfId="5281" xr:uid="{00000000-0005-0000-0000-000080B90000}"/>
    <cellStyle name="Note 2 3 3 7 2" xfId="24732" xr:uid="{00000000-0005-0000-0000-000081B90000}"/>
    <cellStyle name="Note 2 3 3 7 3" xfId="34457" xr:uid="{00000000-0005-0000-0000-000082B90000}"/>
    <cellStyle name="Note 2 3 3 7 4" xfId="44182" xr:uid="{00000000-0005-0000-0000-000083B90000}"/>
    <cellStyle name="Note 2 3 3 7 5" xfId="15007" xr:uid="{00000000-0005-0000-0000-000084B90000}"/>
    <cellStyle name="Note 2 3 3 8" xfId="19870" xr:uid="{00000000-0005-0000-0000-000085B90000}"/>
    <cellStyle name="Note 2 3 3 9" xfId="29595" xr:uid="{00000000-0005-0000-0000-000086B90000}"/>
    <cellStyle name="Note 2 3 4" xfId="176" xr:uid="{00000000-0005-0000-0000-000087B90000}"/>
    <cellStyle name="Note 2 3 4 10" xfId="39140" xr:uid="{00000000-0005-0000-0000-000088B90000}"/>
    <cellStyle name="Note 2 3 4 11" xfId="9965" xr:uid="{00000000-0005-0000-0000-000089B90000}"/>
    <cellStyle name="Note 2 3 4 2" xfId="940" xr:uid="{00000000-0005-0000-0000-00008AB90000}"/>
    <cellStyle name="Note 2 3 4 2 2" xfId="2579" xr:uid="{00000000-0005-0000-0000-00008BB90000}"/>
    <cellStyle name="Note 2 3 4 2 2 2" xfId="7441" xr:uid="{00000000-0005-0000-0000-00008CB90000}"/>
    <cellStyle name="Note 2 3 4 2 2 2 2" xfId="26892" xr:uid="{00000000-0005-0000-0000-00008DB90000}"/>
    <cellStyle name="Note 2 3 4 2 2 2 3" xfId="36617" xr:uid="{00000000-0005-0000-0000-00008EB90000}"/>
    <cellStyle name="Note 2 3 4 2 2 2 4" xfId="46342" xr:uid="{00000000-0005-0000-0000-00008FB90000}"/>
    <cellStyle name="Note 2 3 4 2 2 2 5" xfId="17167" xr:uid="{00000000-0005-0000-0000-000090B90000}"/>
    <cellStyle name="Note 2 3 4 2 2 3" xfId="22030" xr:uid="{00000000-0005-0000-0000-000091B90000}"/>
    <cellStyle name="Note 2 3 4 2 2 4" xfId="31755" xr:uid="{00000000-0005-0000-0000-000092B90000}"/>
    <cellStyle name="Note 2 3 4 2 2 5" xfId="41480" xr:uid="{00000000-0005-0000-0000-000093B90000}"/>
    <cellStyle name="Note 2 3 4 2 2 6" xfId="12305" xr:uid="{00000000-0005-0000-0000-000094B90000}"/>
    <cellStyle name="Note 2 3 4 2 3" xfId="4199" xr:uid="{00000000-0005-0000-0000-000095B90000}"/>
    <cellStyle name="Note 2 3 4 2 3 2" xfId="9061" xr:uid="{00000000-0005-0000-0000-000096B90000}"/>
    <cellStyle name="Note 2 3 4 2 3 2 2" xfId="28512" xr:uid="{00000000-0005-0000-0000-000097B90000}"/>
    <cellStyle name="Note 2 3 4 2 3 2 3" xfId="38237" xr:uid="{00000000-0005-0000-0000-000098B90000}"/>
    <cellStyle name="Note 2 3 4 2 3 2 4" xfId="47962" xr:uid="{00000000-0005-0000-0000-000099B90000}"/>
    <cellStyle name="Note 2 3 4 2 3 2 5" xfId="18787" xr:uid="{00000000-0005-0000-0000-00009AB90000}"/>
    <cellStyle name="Note 2 3 4 2 3 3" xfId="23650" xr:uid="{00000000-0005-0000-0000-00009BB90000}"/>
    <cellStyle name="Note 2 3 4 2 3 4" xfId="33375" xr:uid="{00000000-0005-0000-0000-00009CB90000}"/>
    <cellStyle name="Note 2 3 4 2 3 5" xfId="43100" xr:uid="{00000000-0005-0000-0000-00009DB90000}"/>
    <cellStyle name="Note 2 3 4 2 3 6" xfId="13925" xr:uid="{00000000-0005-0000-0000-00009EB90000}"/>
    <cellStyle name="Note 2 3 4 2 4" xfId="5821" xr:uid="{00000000-0005-0000-0000-00009FB90000}"/>
    <cellStyle name="Note 2 3 4 2 4 2" xfId="25272" xr:uid="{00000000-0005-0000-0000-0000A0B90000}"/>
    <cellStyle name="Note 2 3 4 2 4 3" xfId="34997" xr:uid="{00000000-0005-0000-0000-0000A1B90000}"/>
    <cellStyle name="Note 2 3 4 2 4 4" xfId="44722" xr:uid="{00000000-0005-0000-0000-0000A2B90000}"/>
    <cellStyle name="Note 2 3 4 2 4 5" xfId="15547" xr:uid="{00000000-0005-0000-0000-0000A3B90000}"/>
    <cellStyle name="Note 2 3 4 2 5" xfId="20410" xr:uid="{00000000-0005-0000-0000-0000A4B90000}"/>
    <cellStyle name="Note 2 3 4 2 6" xfId="30135" xr:uid="{00000000-0005-0000-0000-0000A5B90000}"/>
    <cellStyle name="Note 2 3 4 2 7" xfId="39860" xr:uid="{00000000-0005-0000-0000-0000A6B90000}"/>
    <cellStyle name="Note 2 3 4 2 8" xfId="10685" xr:uid="{00000000-0005-0000-0000-0000A7B90000}"/>
    <cellStyle name="Note 2 3 4 3" xfId="1408" xr:uid="{00000000-0005-0000-0000-0000A8B90000}"/>
    <cellStyle name="Note 2 3 4 3 2" xfId="3029" xr:uid="{00000000-0005-0000-0000-0000A9B90000}"/>
    <cellStyle name="Note 2 3 4 3 2 2" xfId="7891" xr:uid="{00000000-0005-0000-0000-0000AAB90000}"/>
    <cellStyle name="Note 2 3 4 3 2 2 2" xfId="27342" xr:uid="{00000000-0005-0000-0000-0000ABB90000}"/>
    <cellStyle name="Note 2 3 4 3 2 2 3" xfId="37067" xr:uid="{00000000-0005-0000-0000-0000ACB90000}"/>
    <cellStyle name="Note 2 3 4 3 2 2 4" xfId="46792" xr:uid="{00000000-0005-0000-0000-0000ADB90000}"/>
    <cellStyle name="Note 2 3 4 3 2 2 5" xfId="17617" xr:uid="{00000000-0005-0000-0000-0000AEB90000}"/>
    <cellStyle name="Note 2 3 4 3 2 3" xfId="22480" xr:uid="{00000000-0005-0000-0000-0000AFB90000}"/>
    <cellStyle name="Note 2 3 4 3 2 4" xfId="32205" xr:uid="{00000000-0005-0000-0000-0000B0B90000}"/>
    <cellStyle name="Note 2 3 4 3 2 5" xfId="41930" xr:uid="{00000000-0005-0000-0000-0000B1B90000}"/>
    <cellStyle name="Note 2 3 4 3 2 6" xfId="12755" xr:uid="{00000000-0005-0000-0000-0000B2B90000}"/>
    <cellStyle name="Note 2 3 4 3 3" xfId="4649" xr:uid="{00000000-0005-0000-0000-0000B3B90000}"/>
    <cellStyle name="Note 2 3 4 3 3 2" xfId="9511" xr:uid="{00000000-0005-0000-0000-0000B4B90000}"/>
    <cellStyle name="Note 2 3 4 3 3 2 2" xfId="28962" xr:uid="{00000000-0005-0000-0000-0000B5B90000}"/>
    <cellStyle name="Note 2 3 4 3 3 2 3" xfId="38687" xr:uid="{00000000-0005-0000-0000-0000B6B90000}"/>
    <cellStyle name="Note 2 3 4 3 3 2 4" xfId="48412" xr:uid="{00000000-0005-0000-0000-0000B7B90000}"/>
    <cellStyle name="Note 2 3 4 3 3 2 5" xfId="19237" xr:uid="{00000000-0005-0000-0000-0000B8B90000}"/>
    <cellStyle name="Note 2 3 4 3 3 3" xfId="24100" xr:uid="{00000000-0005-0000-0000-0000B9B90000}"/>
    <cellStyle name="Note 2 3 4 3 3 4" xfId="33825" xr:uid="{00000000-0005-0000-0000-0000BAB90000}"/>
    <cellStyle name="Note 2 3 4 3 3 5" xfId="43550" xr:uid="{00000000-0005-0000-0000-0000BBB90000}"/>
    <cellStyle name="Note 2 3 4 3 3 6" xfId="14375" xr:uid="{00000000-0005-0000-0000-0000BCB90000}"/>
    <cellStyle name="Note 2 3 4 3 4" xfId="6271" xr:uid="{00000000-0005-0000-0000-0000BDB90000}"/>
    <cellStyle name="Note 2 3 4 3 4 2" xfId="25722" xr:uid="{00000000-0005-0000-0000-0000BEB90000}"/>
    <cellStyle name="Note 2 3 4 3 4 3" xfId="35447" xr:uid="{00000000-0005-0000-0000-0000BFB90000}"/>
    <cellStyle name="Note 2 3 4 3 4 4" xfId="45172" xr:uid="{00000000-0005-0000-0000-0000C0B90000}"/>
    <cellStyle name="Note 2 3 4 3 4 5" xfId="15997" xr:uid="{00000000-0005-0000-0000-0000C1B90000}"/>
    <cellStyle name="Note 2 3 4 3 5" xfId="20860" xr:uid="{00000000-0005-0000-0000-0000C2B90000}"/>
    <cellStyle name="Note 2 3 4 3 6" xfId="30585" xr:uid="{00000000-0005-0000-0000-0000C3B90000}"/>
    <cellStyle name="Note 2 3 4 3 7" xfId="40310" xr:uid="{00000000-0005-0000-0000-0000C4B90000}"/>
    <cellStyle name="Note 2 3 4 3 8" xfId="11135" xr:uid="{00000000-0005-0000-0000-0000C5B90000}"/>
    <cellStyle name="Note 2 3 4 4" xfId="579" xr:uid="{00000000-0005-0000-0000-0000C6B90000}"/>
    <cellStyle name="Note 2 3 4 4 2" xfId="2219" xr:uid="{00000000-0005-0000-0000-0000C7B90000}"/>
    <cellStyle name="Note 2 3 4 4 2 2" xfId="7081" xr:uid="{00000000-0005-0000-0000-0000C8B90000}"/>
    <cellStyle name="Note 2 3 4 4 2 2 2" xfId="26532" xr:uid="{00000000-0005-0000-0000-0000C9B90000}"/>
    <cellStyle name="Note 2 3 4 4 2 2 3" xfId="36257" xr:uid="{00000000-0005-0000-0000-0000CAB90000}"/>
    <cellStyle name="Note 2 3 4 4 2 2 4" xfId="45982" xr:uid="{00000000-0005-0000-0000-0000CBB90000}"/>
    <cellStyle name="Note 2 3 4 4 2 2 5" xfId="16807" xr:uid="{00000000-0005-0000-0000-0000CCB90000}"/>
    <cellStyle name="Note 2 3 4 4 2 3" xfId="21670" xr:uid="{00000000-0005-0000-0000-0000CDB90000}"/>
    <cellStyle name="Note 2 3 4 4 2 4" xfId="31395" xr:uid="{00000000-0005-0000-0000-0000CEB90000}"/>
    <cellStyle name="Note 2 3 4 4 2 5" xfId="41120" xr:uid="{00000000-0005-0000-0000-0000CFB90000}"/>
    <cellStyle name="Note 2 3 4 4 2 6" xfId="11945" xr:uid="{00000000-0005-0000-0000-0000D0B90000}"/>
    <cellStyle name="Note 2 3 4 4 3" xfId="3839" xr:uid="{00000000-0005-0000-0000-0000D1B90000}"/>
    <cellStyle name="Note 2 3 4 4 3 2" xfId="8701" xr:uid="{00000000-0005-0000-0000-0000D2B90000}"/>
    <cellStyle name="Note 2 3 4 4 3 2 2" xfId="28152" xr:uid="{00000000-0005-0000-0000-0000D3B90000}"/>
    <cellStyle name="Note 2 3 4 4 3 2 3" xfId="37877" xr:uid="{00000000-0005-0000-0000-0000D4B90000}"/>
    <cellStyle name="Note 2 3 4 4 3 2 4" xfId="47602" xr:uid="{00000000-0005-0000-0000-0000D5B90000}"/>
    <cellStyle name="Note 2 3 4 4 3 2 5" xfId="18427" xr:uid="{00000000-0005-0000-0000-0000D6B90000}"/>
    <cellStyle name="Note 2 3 4 4 3 3" xfId="23290" xr:uid="{00000000-0005-0000-0000-0000D7B90000}"/>
    <cellStyle name="Note 2 3 4 4 3 4" xfId="33015" xr:uid="{00000000-0005-0000-0000-0000D8B90000}"/>
    <cellStyle name="Note 2 3 4 4 3 5" xfId="42740" xr:uid="{00000000-0005-0000-0000-0000D9B90000}"/>
    <cellStyle name="Note 2 3 4 4 3 6" xfId="13565" xr:uid="{00000000-0005-0000-0000-0000DAB90000}"/>
    <cellStyle name="Note 2 3 4 4 4" xfId="5461" xr:uid="{00000000-0005-0000-0000-0000DBB90000}"/>
    <cellStyle name="Note 2 3 4 4 4 2" xfId="24912" xr:uid="{00000000-0005-0000-0000-0000DCB90000}"/>
    <cellStyle name="Note 2 3 4 4 4 3" xfId="34637" xr:uid="{00000000-0005-0000-0000-0000DDB90000}"/>
    <cellStyle name="Note 2 3 4 4 4 4" xfId="44362" xr:uid="{00000000-0005-0000-0000-0000DEB90000}"/>
    <cellStyle name="Note 2 3 4 4 4 5" xfId="15187" xr:uid="{00000000-0005-0000-0000-0000DFB90000}"/>
    <cellStyle name="Note 2 3 4 4 5" xfId="20050" xr:uid="{00000000-0005-0000-0000-0000E0B90000}"/>
    <cellStyle name="Note 2 3 4 4 6" xfId="29775" xr:uid="{00000000-0005-0000-0000-0000E1B90000}"/>
    <cellStyle name="Note 2 3 4 4 7" xfId="39500" xr:uid="{00000000-0005-0000-0000-0000E2B90000}"/>
    <cellStyle name="Note 2 3 4 4 8" xfId="10325" xr:uid="{00000000-0005-0000-0000-0000E3B90000}"/>
    <cellStyle name="Note 2 3 4 5" xfId="1859" xr:uid="{00000000-0005-0000-0000-0000E4B90000}"/>
    <cellStyle name="Note 2 3 4 5 2" xfId="6721" xr:uid="{00000000-0005-0000-0000-0000E5B90000}"/>
    <cellStyle name="Note 2 3 4 5 2 2" xfId="26172" xr:uid="{00000000-0005-0000-0000-0000E6B90000}"/>
    <cellStyle name="Note 2 3 4 5 2 3" xfId="35897" xr:uid="{00000000-0005-0000-0000-0000E7B90000}"/>
    <cellStyle name="Note 2 3 4 5 2 4" xfId="45622" xr:uid="{00000000-0005-0000-0000-0000E8B90000}"/>
    <cellStyle name="Note 2 3 4 5 2 5" xfId="16447" xr:uid="{00000000-0005-0000-0000-0000E9B90000}"/>
    <cellStyle name="Note 2 3 4 5 3" xfId="21310" xr:uid="{00000000-0005-0000-0000-0000EAB90000}"/>
    <cellStyle name="Note 2 3 4 5 4" xfId="31035" xr:uid="{00000000-0005-0000-0000-0000EBB90000}"/>
    <cellStyle name="Note 2 3 4 5 5" xfId="40760" xr:uid="{00000000-0005-0000-0000-0000ECB90000}"/>
    <cellStyle name="Note 2 3 4 5 6" xfId="11585" xr:uid="{00000000-0005-0000-0000-0000EDB90000}"/>
    <cellStyle name="Note 2 3 4 6" xfId="3479" xr:uid="{00000000-0005-0000-0000-0000EEB90000}"/>
    <cellStyle name="Note 2 3 4 6 2" xfId="8341" xr:uid="{00000000-0005-0000-0000-0000EFB90000}"/>
    <cellStyle name="Note 2 3 4 6 2 2" xfId="27792" xr:uid="{00000000-0005-0000-0000-0000F0B90000}"/>
    <cellStyle name="Note 2 3 4 6 2 3" xfId="37517" xr:uid="{00000000-0005-0000-0000-0000F1B90000}"/>
    <cellStyle name="Note 2 3 4 6 2 4" xfId="47242" xr:uid="{00000000-0005-0000-0000-0000F2B90000}"/>
    <cellStyle name="Note 2 3 4 6 2 5" xfId="18067" xr:uid="{00000000-0005-0000-0000-0000F3B90000}"/>
    <cellStyle name="Note 2 3 4 6 3" xfId="22930" xr:uid="{00000000-0005-0000-0000-0000F4B90000}"/>
    <cellStyle name="Note 2 3 4 6 4" xfId="32655" xr:uid="{00000000-0005-0000-0000-0000F5B90000}"/>
    <cellStyle name="Note 2 3 4 6 5" xfId="42380" xr:uid="{00000000-0005-0000-0000-0000F6B90000}"/>
    <cellStyle name="Note 2 3 4 6 6" xfId="13205" xr:uid="{00000000-0005-0000-0000-0000F7B90000}"/>
    <cellStyle name="Note 2 3 4 7" xfId="5101" xr:uid="{00000000-0005-0000-0000-0000F8B90000}"/>
    <cellStyle name="Note 2 3 4 7 2" xfId="24552" xr:uid="{00000000-0005-0000-0000-0000F9B90000}"/>
    <cellStyle name="Note 2 3 4 7 3" xfId="34277" xr:uid="{00000000-0005-0000-0000-0000FAB90000}"/>
    <cellStyle name="Note 2 3 4 7 4" xfId="44002" xr:uid="{00000000-0005-0000-0000-0000FBB90000}"/>
    <cellStyle name="Note 2 3 4 7 5" xfId="14827" xr:uid="{00000000-0005-0000-0000-0000FCB90000}"/>
    <cellStyle name="Note 2 3 4 8" xfId="19690" xr:uid="{00000000-0005-0000-0000-0000FDB90000}"/>
    <cellStyle name="Note 2 3 4 9" xfId="29415" xr:uid="{00000000-0005-0000-0000-0000FEB90000}"/>
    <cellStyle name="Note 2 3 5" xfId="850" xr:uid="{00000000-0005-0000-0000-0000FFB90000}"/>
    <cellStyle name="Note 2 3 5 2" xfId="2489" xr:uid="{00000000-0005-0000-0000-000000BA0000}"/>
    <cellStyle name="Note 2 3 5 2 2" xfId="7351" xr:uid="{00000000-0005-0000-0000-000001BA0000}"/>
    <cellStyle name="Note 2 3 5 2 2 2" xfId="26802" xr:uid="{00000000-0005-0000-0000-000002BA0000}"/>
    <cellStyle name="Note 2 3 5 2 2 3" xfId="36527" xr:uid="{00000000-0005-0000-0000-000003BA0000}"/>
    <cellStyle name="Note 2 3 5 2 2 4" xfId="46252" xr:uid="{00000000-0005-0000-0000-000004BA0000}"/>
    <cellStyle name="Note 2 3 5 2 2 5" xfId="17077" xr:uid="{00000000-0005-0000-0000-000005BA0000}"/>
    <cellStyle name="Note 2 3 5 2 3" xfId="21940" xr:uid="{00000000-0005-0000-0000-000006BA0000}"/>
    <cellStyle name="Note 2 3 5 2 4" xfId="31665" xr:uid="{00000000-0005-0000-0000-000007BA0000}"/>
    <cellStyle name="Note 2 3 5 2 5" xfId="41390" xr:uid="{00000000-0005-0000-0000-000008BA0000}"/>
    <cellStyle name="Note 2 3 5 2 6" xfId="12215" xr:uid="{00000000-0005-0000-0000-000009BA0000}"/>
    <cellStyle name="Note 2 3 5 3" xfId="4109" xr:uid="{00000000-0005-0000-0000-00000ABA0000}"/>
    <cellStyle name="Note 2 3 5 3 2" xfId="8971" xr:uid="{00000000-0005-0000-0000-00000BBA0000}"/>
    <cellStyle name="Note 2 3 5 3 2 2" xfId="28422" xr:uid="{00000000-0005-0000-0000-00000CBA0000}"/>
    <cellStyle name="Note 2 3 5 3 2 3" xfId="38147" xr:uid="{00000000-0005-0000-0000-00000DBA0000}"/>
    <cellStyle name="Note 2 3 5 3 2 4" xfId="47872" xr:uid="{00000000-0005-0000-0000-00000EBA0000}"/>
    <cellStyle name="Note 2 3 5 3 2 5" xfId="18697" xr:uid="{00000000-0005-0000-0000-00000FBA0000}"/>
    <cellStyle name="Note 2 3 5 3 3" xfId="23560" xr:uid="{00000000-0005-0000-0000-000010BA0000}"/>
    <cellStyle name="Note 2 3 5 3 4" xfId="33285" xr:uid="{00000000-0005-0000-0000-000011BA0000}"/>
    <cellStyle name="Note 2 3 5 3 5" xfId="43010" xr:uid="{00000000-0005-0000-0000-000012BA0000}"/>
    <cellStyle name="Note 2 3 5 3 6" xfId="13835" xr:uid="{00000000-0005-0000-0000-000013BA0000}"/>
    <cellStyle name="Note 2 3 5 4" xfId="5731" xr:uid="{00000000-0005-0000-0000-000014BA0000}"/>
    <cellStyle name="Note 2 3 5 4 2" xfId="25182" xr:uid="{00000000-0005-0000-0000-000015BA0000}"/>
    <cellStyle name="Note 2 3 5 4 3" xfId="34907" xr:uid="{00000000-0005-0000-0000-000016BA0000}"/>
    <cellStyle name="Note 2 3 5 4 4" xfId="44632" xr:uid="{00000000-0005-0000-0000-000017BA0000}"/>
    <cellStyle name="Note 2 3 5 4 5" xfId="15457" xr:uid="{00000000-0005-0000-0000-000018BA0000}"/>
    <cellStyle name="Note 2 3 5 5" xfId="20320" xr:uid="{00000000-0005-0000-0000-000019BA0000}"/>
    <cellStyle name="Note 2 3 5 6" xfId="30045" xr:uid="{00000000-0005-0000-0000-00001ABA0000}"/>
    <cellStyle name="Note 2 3 5 7" xfId="39770" xr:uid="{00000000-0005-0000-0000-00001BBA0000}"/>
    <cellStyle name="Note 2 3 5 8" xfId="10595" xr:uid="{00000000-0005-0000-0000-00001CBA0000}"/>
    <cellStyle name="Note 2 3 6" xfId="1228" xr:uid="{00000000-0005-0000-0000-00001DBA0000}"/>
    <cellStyle name="Note 2 3 6 2" xfId="2849" xr:uid="{00000000-0005-0000-0000-00001EBA0000}"/>
    <cellStyle name="Note 2 3 6 2 2" xfId="7711" xr:uid="{00000000-0005-0000-0000-00001FBA0000}"/>
    <cellStyle name="Note 2 3 6 2 2 2" xfId="27162" xr:uid="{00000000-0005-0000-0000-000020BA0000}"/>
    <cellStyle name="Note 2 3 6 2 2 3" xfId="36887" xr:uid="{00000000-0005-0000-0000-000021BA0000}"/>
    <cellStyle name="Note 2 3 6 2 2 4" xfId="46612" xr:uid="{00000000-0005-0000-0000-000022BA0000}"/>
    <cellStyle name="Note 2 3 6 2 2 5" xfId="17437" xr:uid="{00000000-0005-0000-0000-000023BA0000}"/>
    <cellStyle name="Note 2 3 6 2 3" xfId="22300" xr:uid="{00000000-0005-0000-0000-000024BA0000}"/>
    <cellStyle name="Note 2 3 6 2 4" xfId="32025" xr:uid="{00000000-0005-0000-0000-000025BA0000}"/>
    <cellStyle name="Note 2 3 6 2 5" xfId="41750" xr:uid="{00000000-0005-0000-0000-000026BA0000}"/>
    <cellStyle name="Note 2 3 6 2 6" xfId="12575" xr:uid="{00000000-0005-0000-0000-000027BA0000}"/>
    <cellStyle name="Note 2 3 6 3" xfId="4469" xr:uid="{00000000-0005-0000-0000-000028BA0000}"/>
    <cellStyle name="Note 2 3 6 3 2" xfId="9331" xr:uid="{00000000-0005-0000-0000-000029BA0000}"/>
    <cellStyle name="Note 2 3 6 3 2 2" xfId="28782" xr:uid="{00000000-0005-0000-0000-00002ABA0000}"/>
    <cellStyle name="Note 2 3 6 3 2 3" xfId="38507" xr:uid="{00000000-0005-0000-0000-00002BBA0000}"/>
    <cellStyle name="Note 2 3 6 3 2 4" xfId="48232" xr:uid="{00000000-0005-0000-0000-00002CBA0000}"/>
    <cellStyle name="Note 2 3 6 3 2 5" xfId="19057" xr:uid="{00000000-0005-0000-0000-00002DBA0000}"/>
    <cellStyle name="Note 2 3 6 3 3" xfId="23920" xr:uid="{00000000-0005-0000-0000-00002EBA0000}"/>
    <cellStyle name="Note 2 3 6 3 4" xfId="33645" xr:uid="{00000000-0005-0000-0000-00002FBA0000}"/>
    <cellStyle name="Note 2 3 6 3 5" xfId="43370" xr:uid="{00000000-0005-0000-0000-000030BA0000}"/>
    <cellStyle name="Note 2 3 6 3 6" xfId="14195" xr:uid="{00000000-0005-0000-0000-000031BA0000}"/>
    <cellStyle name="Note 2 3 6 4" xfId="6091" xr:uid="{00000000-0005-0000-0000-000032BA0000}"/>
    <cellStyle name="Note 2 3 6 4 2" xfId="25542" xr:uid="{00000000-0005-0000-0000-000033BA0000}"/>
    <cellStyle name="Note 2 3 6 4 3" xfId="35267" xr:uid="{00000000-0005-0000-0000-000034BA0000}"/>
    <cellStyle name="Note 2 3 6 4 4" xfId="44992" xr:uid="{00000000-0005-0000-0000-000035BA0000}"/>
    <cellStyle name="Note 2 3 6 4 5" xfId="15817" xr:uid="{00000000-0005-0000-0000-000036BA0000}"/>
    <cellStyle name="Note 2 3 6 5" xfId="20680" xr:uid="{00000000-0005-0000-0000-000037BA0000}"/>
    <cellStyle name="Note 2 3 6 6" xfId="30405" xr:uid="{00000000-0005-0000-0000-000038BA0000}"/>
    <cellStyle name="Note 2 3 6 7" xfId="40130" xr:uid="{00000000-0005-0000-0000-000039BA0000}"/>
    <cellStyle name="Note 2 3 6 8" xfId="10955" xr:uid="{00000000-0005-0000-0000-00003ABA0000}"/>
    <cellStyle name="Note 2 3 7" xfId="1318" xr:uid="{00000000-0005-0000-0000-00003BBA0000}"/>
    <cellStyle name="Note 2 3 7 2" xfId="2939" xr:uid="{00000000-0005-0000-0000-00003CBA0000}"/>
    <cellStyle name="Note 2 3 7 2 2" xfId="7801" xr:uid="{00000000-0005-0000-0000-00003DBA0000}"/>
    <cellStyle name="Note 2 3 7 2 2 2" xfId="27252" xr:uid="{00000000-0005-0000-0000-00003EBA0000}"/>
    <cellStyle name="Note 2 3 7 2 2 3" xfId="36977" xr:uid="{00000000-0005-0000-0000-00003FBA0000}"/>
    <cellStyle name="Note 2 3 7 2 2 4" xfId="46702" xr:uid="{00000000-0005-0000-0000-000040BA0000}"/>
    <cellStyle name="Note 2 3 7 2 2 5" xfId="17527" xr:uid="{00000000-0005-0000-0000-000041BA0000}"/>
    <cellStyle name="Note 2 3 7 2 3" xfId="22390" xr:uid="{00000000-0005-0000-0000-000042BA0000}"/>
    <cellStyle name="Note 2 3 7 2 4" xfId="32115" xr:uid="{00000000-0005-0000-0000-000043BA0000}"/>
    <cellStyle name="Note 2 3 7 2 5" xfId="41840" xr:uid="{00000000-0005-0000-0000-000044BA0000}"/>
    <cellStyle name="Note 2 3 7 2 6" xfId="12665" xr:uid="{00000000-0005-0000-0000-000045BA0000}"/>
    <cellStyle name="Note 2 3 7 3" xfId="4559" xr:uid="{00000000-0005-0000-0000-000046BA0000}"/>
    <cellStyle name="Note 2 3 7 3 2" xfId="9421" xr:uid="{00000000-0005-0000-0000-000047BA0000}"/>
    <cellStyle name="Note 2 3 7 3 2 2" xfId="28872" xr:uid="{00000000-0005-0000-0000-000048BA0000}"/>
    <cellStyle name="Note 2 3 7 3 2 3" xfId="38597" xr:uid="{00000000-0005-0000-0000-000049BA0000}"/>
    <cellStyle name="Note 2 3 7 3 2 4" xfId="48322" xr:uid="{00000000-0005-0000-0000-00004ABA0000}"/>
    <cellStyle name="Note 2 3 7 3 2 5" xfId="19147" xr:uid="{00000000-0005-0000-0000-00004BBA0000}"/>
    <cellStyle name="Note 2 3 7 3 3" xfId="24010" xr:uid="{00000000-0005-0000-0000-00004CBA0000}"/>
    <cellStyle name="Note 2 3 7 3 4" xfId="33735" xr:uid="{00000000-0005-0000-0000-00004DBA0000}"/>
    <cellStyle name="Note 2 3 7 3 5" xfId="43460" xr:uid="{00000000-0005-0000-0000-00004EBA0000}"/>
    <cellStyle name="Note 2 3 7 3 6" xfId="14285" xr:uid="{00000000-0005-0000-0000-00004FBA0000}"/>
    <cellStyle name="Note 2 3 7 4" xfId="6181" xr:uid="{00000000-0005-0000-0000-000050BA0000}"/>
    <cellStyle name="Note 2 3 7 4 2" xfId="25632" xr:uid="{00000000-0005-0000-0000-000051BA0000}"/>
    <cellStyle name="Note 2 3 7 4 3" xfId="35357" xr:uid="{00000000-0005-0000-0000-000052BA0000}"/>
    <cellStyle name="Note 2 3 7 4 4" xfId="45082" xr:uid="{00000000-0005-0000-0000-000053BA0000}"/>
    <cellStyle name="Note 2 3 7 4 5" xfId="15907" xr:uid="{00000000-0005-0000-0000-000054BA0000}"/>
    <cellStyle name="Note 2 3 7 5" xfId="20770" xr:uid="{00000000-0005-0000-0000-000055BA0000}"/>
    <cellStyle name="Note 2 3 7 6" xfId="30495" xr:uid="{00000000-0005-0000-0000-000056BA0000}"/>
    <cellStyle name="Note 2 3 7 7" xfId="40220" xr:uid="{00000000-0005-0000-0000-000057BA0000}"/>
    <cellStyle name="Note 2 3 7 8" xfId="11045" xr:uid="{00000000-0005-0000-0000-000058BA0000}"/>
    <cellStyle name="Note 2 3 8" xfId="489" xr:uid="{00000000-0005-0000-0000-000059BA0000}"/>
    <cellStyle name="Note 2 3 8 2" xfId="2129" xr:uid="{00000000-0005-0000-0000-00005ABA0000}"/>
    <cellStyle name="Note 2 3 8 2 2" xfId="6991" xr:uid="{00000000-0005-0000-0000-00005BBA0000}"/>
    <cellStyle name="Note 2 3 8 2 2 2" xfId="26442" xr:uid="{00000000-0005-0000-0000-00005CBA0000}"/>
    <cellStyle name="Note 2 3 8 2 2 3" xfId="36167" xr:uid="{00000000-0005-0000-0000-00005DBA0000}"/>
    <cellStyle name="Note 2 3 8 2 2 4" xfId="45892" xr:uid="{00000000-0005-0000-0000-00005EBA0000}"/>
    <cellStyle name="Note 2 3 8 2 2 5" xfId="16717" xr:uid="{00000000-0005-0000-0000-00005FBA0000}"/>
    <cellStyle name="Note 2 3 8 2 3" xfId="21580" xr:uid="{00000000-0005-0000-0000-000060BA0000}"/>
    <cellStyle name="Note 2 3 8 2 4" xfId="31305" xr:uid="{00000000-0005-0000-0000-000061BA0000}"/>
    <cellStyle name="Note 2 3 8 2 5" xfId="41030" xr:uid="{00000000-0005-0000-0000-000062BA0000}"/>
    <cellStyle name="Note 2 3 8 2 6" xfId="11855" xr:uid="{00000000-0005-0000-0000-000063BA0000}"/>
    <cellStyle name="Note 2 3 8 3" xfId="3749" xr:uid="{00000000-0005-0000-0000-000064BA0000}"/>
    <cellStyle name="Note 2 3 8 3 2" xfId="8611" xr:uid="{00000000-0005-0000-0000-000065BA0000}"/>
    <cellStyle name="Note 2 3 8 3 2 2" xfId="28062" xr:uid="{00000000-0005-0000-0000-000066BA0000}"/>
    <cellStyle name="Note 2 3 8 3 2 3" xfId="37787" xr:uid="{00000000-0005-0000-0000-000067BA0000}"/>
    <cellStyle name="Note 2 3 8 3 2 4" xfId="47512" xr:uid="{00000000-0005-0000-0000-000068BA0000}"/>
    <cellStyle name="Note 2 3 8 3 2 5" xfId="18337" xr:uid="{00000000-0005-0000-0000-000069BA0000}"/>
    <cellStyle name="Note 2 3 8 3 3" xfId="23200" xr:uid="{00000000-0005-0000-0000-00006ABA0000}"/>
    <cellStyle name="Note 2 3 8 3 4" xfId="32925" xr:uid="{00000000-0005-0000-0000-00006BBA0000}"/>
    <cellStyle name="Note 2 3 8 3 5" xfId="42650" xr:uid="{00000000-0005-0000-0000-00006CBA0000}"/>
    <cellStyle name="Note 2 3 8 3 6" xfId="13475" xr:uid="{00000000-0005-0000-0000-00006DBA0000}"/>
    <cellStyle name="Note 2 3 8 4" xfId="5371" xr:uid="{00000000-0005-0000-0000-00006EBA0000}"/>
    <cellStyle name="Note 2 3 8 4 2" xfId="24822" xr:uid="{00000000-0005-0000-0000-00006FBA0000}"/>
    <cellStyle name="Note 2 3 8 4 3" xfId="34547" xr:uid="{00000000-0005-0000-0000-000070BA0000}"/>
    <cellStyle name="Note 2 3 8 4 4" xfId="44272" xr:uid="{00000000-0005-0000-0000-000071BA0000}"/>
    <cellStyle name="Note 2 3 8 4 5" xfId="15097" xr:uid="{00000000-0005-0000-0000-000072BA0000}"/>
    <cellStyle name="Note 2 3 8 5" xfId="19960" xr:uid="{00000000-0005-0000-0000-000073BA0000}"/>
    <cellStyle name="Note 2 3 8 6" xfId="29685" xr:uid="{00000000-0005-0000-0000-000074BA0000}"/>
    <cellStyle name="Note 2 3 8 7" xfId="39410" xr:uid="{00000000-0005-0000-0000-000075BA0000}"/>
    <cellStyle name="Note 2 3 8 8" xfId="10235" xr:uid="{00000000-0005-0000-0000-000076BA0000}"/>
    <cellStyle name="Note 2 3 9" xfId="1678" xr:uid="{00000000-0005-0000-0000-000077BA0000}"/>
    <cellStyle name="Note 2 3 9 2" xfId="3299" xr:uid="{00000000-0005-0000-0000-000078BA0000}"/>
    <cellStyle name="Note 2 3 9 2 2" xfId="8161" xr:uid="{00000000-0005-0000-0000-000079BA0000}"/>
    <cellStyle name="Note 2 3 9 2 2 2" xfId="27612" xr:uid="{00000000-0005-0000-0000-00007ABA0000}"/>
    <cellStyle name="Note 2 3 9 2 2 3" xfId="37337" xr:uid="{00000000-0005-0000-0000-00007BBA0000}"/>
    <cellStyle name="Note 2 3 9 2 2 4" xfId="47062" xr:uid="{00000000-0005-0000-0000-00007CBA0000}"/>
    <cellStyle name="Note 2 3 9 2 2 5" xfId="17887" xr:uid="{00000000-0005-0000-0000-00007DBA0000}"/>
    <cellStyle name="Note 2 3 9 2 3" xfId="22750" xr:uid="{00000000-0005-0000-0000-00007EBA0000}"/>
    <cellStyle name="Note 2 3 9 2 4" xfId="32475" xr:uid="{00000000-0005-0000-0000-00007FBA0000}"/>
    <cellStyle name="Note 2 3 9 2 5" xfId="42200" xr:uid="{00000000-0005-0000-0000-000080BA0000}"/>
    <cellStyle name="Note 2 3 9 2 6" xfId="13025" xr:uid="{00000000-0005-0000-0000-000081BA0000}"/>
    <cellStyle name="Note 2 3 9 3" xfId="4919" xr:uid="{00000000-0005-0000-0000-000082BA0000}"/>
    <cellStyle name="Note 2 3 9 3 2" xfId="9781" xr:uid="{00000000-0005-0000-0000-000083BA0000}"/>
    <cellStyle name="Note 2 3 9 3 2 2" xfId="29232" xr:uid="{00000000-0005-0000-0000-000084BA0000}"/>
    <cellStyle name="Note 2 3 9 3 2 3" xfId="38957" xr:uid="{00000000-0005-0000-0000-000085BA0000}"/>
    <cellStyle name="Note 2 3 9 3 2 4" xfId="48682" xr:uid="{00000000-0005-0000-0000-000086BA0000}"/>
    <cellStyle name="Note 2 3 9 3 2 5" xfId="19507" xr:uid="{00000000-0005-0000-0000-000087BA0000}"/>
    <cellStyle name="Note 2 3 9 3 3" xfId="24370" xr:uid="{00000000-0005-0000-0000-000088BA0000}"/>
    <cellStyle name="Note 2 3 9 3 4" xfId="34095" xr:uid="{00000000-0005-0000-0000-000089BA0000}"/>
    <cellStyle name="Note 2 3 9 3 5" xfId="43820" xr:uid="{00000000-0005-0000-0000-00008ABA0000}"/>
    <cellStyle name="Note 2 3 9 3 6" xfId="14645" xr:uid="{00000000-0005-0000-0000-00008BBA0000}"/>
    <cellStyle name="Note 2 3 9 4" xfId="6541" xr:uid="{00000000-0005-0000-0000-00008CBA0000}"/>
    <cellStyle name="Note 2 3 9 4 2" xfId="25992" xr:uid="{00000000-0005-0000-0000-00008DBA0000}"/>
    <cellStyle name="Note 2 3 9 4 3" xfId="35717" xr:uid="{00000000-0005-0000-0000-00008EBA0000}"/>
    <cellStyle name="Note 2 3 9 4 4" xfId="45442" xr:uid="{00000000-0005-0000-0000-00008FBA0000}"/>
    <cellStyle name="Note 2 3 9 4 5" xfId="16267" xr:uid="{00000000-0005-0000-0000-000090BA0000}"/>
    <cellStyle name="Note 2 3 9 5" xfId="21130" xr:uid="{00000000-0005-0000-0000-000091BA0000}"/>
    <cellStyle name="Note 2 3 9 6" xfId="30855" xr:uid="{00000000-0005-0000-0000-000092BA0000}"/>
    <cellStyle name="Note 2 3 9 7" xfId="40580" xr:uid="{00000000-0005-0000-0000-000093BA0000}"/>
    <cellStyle name="Note 2 3 9 8" xfId="11405" xr:uid="{00000000-0005-0000-0000-000094BA0000}"/>
    <cellStyle name="Note 2 4" xfId="115" xr:uid="{00000000-0005-0000-0000-000095BA0000}"/>
    <cellStyle name="Note 2 4 10" xfId="1799" xr:uid="{00000000-0005-0000-0000-000096BA0000}"/>
    <cellStyle name="Note 2 4 10 2" xfId="6661" xr:uid="{00000000-0005-0000-0000-000097BA0000}"/>
    <cellStyle name="Note 2 4 10 2 2" xfId="26112" xr:uid="{00000000-0005-0000-0000-000098BA0000}"/>
    <cellStyle name="Note 2 4 10 2 3" xfId="35837" xr:uid="{00000000-0005-0000-0000-000099BA0000}"/>
    <cellStyle name="Note 2 4 10 2 4" xfId="45562" xr:uid="{00000000-0005-0000-0000-00009ABA0000}"/>
    <cellStyle name="Note 2 4 10 2 5" xfId="16387" xr:uid="{00000000-0005-0000-0000-00009BBA0000}"/>
    <cellStyle name="Note 2 4 10 3" xfId="21250" xr:uid="{00000000-0005-0000-0000-00009CBA0000}"/>
    <cellStyle name="Note 2 4 10 4" xfId="30975" xr:uid="{00000000-0005-0000-0000-00009DBA0000}"/>
    <cellStyle name="Note 2 4 10 5" xfId="40700" xr:uid="{00000000-0005-0000-0000-00009EBA0000}"/>
    <cellStyle name="Note 2 4 10 6" xfId="11525" xr:uid="{00000000-0005-0000-0000-00009FBA0000}"/>
    <cellStyle name="Note 2 4 11" xfId="3419" xr:uid="{00000000-0005-0000-0000-0000A0BA0000}"/>
    <cellStyle name="Note 2 4 11 2" xfId="8281" xr:uid="{00000000-0005-0000-0000-0000A1BA0000}"/>
    <cellStyle name="Note 2 4 11 2 2" xfId="27732" xr:uid="{00000000-0005-0000-0000-0000A2BA0000}"/>
    <cellStyle name="Note 2 4 11 2 3" xfId="37457" xr:uid="{00000000-0005-0000-0000-0000A3BA0000}"/>
    <cellStyle name="Note 2 4 11 2 4" xfId="47182" xr:uid="{00000000-0005-0000-0000-0000A4BA0000}"/>
    <cellStyle name="Note 2 4 11 2 5" xfId="18007" xr:uid="{00000000-0005-0000-0000-0000A5BA0000}"/>
    <cellStyle name="Note 2 4 11 3" xfId="22870" xr:uid="{00000000-0005-0000-0000-0000A6BA0000}"/>
    <cellStyle name="Note 2 4 11 4" xfId="32595" xr:uid="{00000000-0005-0000-0000-0000A7BA0000}"/>
    <cellStyle name="Note 2 4 11 5" xfId="42320" xr:uid="{00000000-0005-0000-0000-0000A8BA0000}"/>
    <cellStyle name="Note 2 4 11 6" xfId="13145" xr:uid="{00000000-0005-0000-0000-0000A9BA0000}"/>
    <cellStyle name="Note 2 4 12" xfId="5041" xr:uid="{00000000-0005-0000-0000-0000AABA0000}"/>
    <cellStyle name="Note 2 4 12 2" xfId="24492" xr:uid="{00000000-0005-0000-0000-0000ABBA0000}"/>
    <cellStyle name="Note 2 4 12 3" xfId="34217" xr:uid="{00000000-0005-0000-0000-0000ACBA0000}"/>
    <cellStyle name="Note 2 4 12 4" xfId="43942" xr:uid="{00000000-0005-0000-0000-0000ADBA0000}"/>
    <cellStyle name="Note 2 4 12 5" xfId="14767" xr:uid="{00000000-0005-0000-0000-0000AEBA0000}"/>
    <cellStyle name="Note 2 4 13" xfId="19630" xr:uid="{00000000-0005-0000-0000-0000AFBA0000}"/>
    <cellStyle name="Note 2 4 14" xfId="29355" xr:uid="{00000000-0005-0000-0000-0000B0BA0000}"/>
    <cellStyle name="Note 2 4 15" xfId="39080" xr:uid="{00000000-0005-0000-0000-0000B1BA0000}"/>
    <cellStyle name="Note 2 4 16" xfId="9905" xr:uid="{00000000-0005-0000-0000-0000B2BA0000}"/>
    <cellStyle name="Note 2 4 2" xfId="297" xr:uid="{00000000-0005-0000-0000-0000B3BA0000}"/>
    <cellStyle name="Note 2 4 2 10" xfId="39260" xr:uid="{00000000-0005-0000-0000-0000B4BA0000}"/>
    <cellStyle name="Note 2 4 2 11" xfId="10085" xr:uid="{00000000-0005-0000-0000-0000B5BA0000}"/>
    <cellStyle name="Note 2 4 2 2" xfId="1061" xr:uid="{00000000-0005-0000-0000-0000B6BA0000}"/>
    <cellStyle name="Note 2 4 2 2 2" xfId="2699" xr:uid="{00000000-0005-0000-0000-0000B7BA0000}"/>
    <cellStyle name="Note 2 4 2 2 2 2" xfId="7561" xr:uid="{00000000-0005-0000-0000-0000B8BA0000}"/>
    <cellStyle name="Note 2 4 2 2 2 2 2" xfId="27012" xr:uid="{00000000-0005-0000-0000-0000B9BA0000}"/>
    <cellStyle name="Note 2 4 2 2 2 2 3" xfId="36737" xr:uid="{00000000-0005-0000-0000-0000BABA0000}"/>
    <cellStyle name="Note 2 4 2 2 2 2 4" xfId="46462" xr:uid="{00000000-0005-0000-0000-0000BBBA0000}"/>
    <cellStyle name="Note 2 4 2 2 2 2 5" xfId="17287" xr:uid="{00000000-0005-0000-0000-0000BCBA0000}"/>
    <cellStyle name="Note 2 4 2 2 2 3" xfId="22150" xr:uid="{00000000-0005-0000-0000-0000BDBA0000}"/>
    <cellStyle name="Note 2 4 2 2 2 4" xfId="31875" xr:uid="{00000000-0005-0000-0000-0000BEBA0000}"/>
    <cellStyle name="Note 2 4 2 2 2 5" xfId="41600" xr:uid="{00000000-0005-0000-0000-0000BFBA0000}"/>
    <cellStyle name="Note 2 4 2 2 2 6" xfId="12425" xr:uid="{00000000-0005-0000-0000-0000C0BA0000}"/>
    <cellStyle name="Note 2 4 2 2 3" xfId="4319" xr:uid="{00000000-0005-0000-0000-0000C1BA0000}"/>
    <cellStyle name="Note 2 4 2 2 3 2" xfId="9181" xr:uid="{00000000-0005-0000-0000-0000C2BA0000}"/>
    <cellStyle name="Note 2 4 2 2 3 2 2" xfId="28632" xr:uid="{00000000-0005-0000-0000-0000C3BA0000}"/>
    <cellStyle name="Note 2 4 2 2 3 2 3" xfId="38357" xr:uid="{00000000-0005-0000-0000-0000C4BA0000}"/>
    <cellStyle name="Note 2 4 2 2 3 2 4" xfId="48082" xr:uid="{00000000-0005-0000-0000-0000C5BA0000}"/>
    <cellStyle name="Note 2 4 2 2 3 2 5" xfId="18907" xr:uid="{00000000-0005-0000-0000-0000C6BA0000}"/>
    <cellStyle name="Note 2 4 2 2 3 3" xfId="23770" xr:uid="{00000000-0005-0000-0000-0000C7BA0000}"/>
    <cellStyle name="Note 2 4 2 2 3 4" xfId="33495" xr:uid="{00000000-0005-0000-0000-0000C8BA0000}"/>
    <cellStyle name="Note 2 4 2 2 3 5" xfId="43220" xr:uid="{00000000-0005-0000-0000-0000C9BA0000}"/>
    <cellStyle name="Note 2 4 2 2 3 6" xfId="14045" xr:uid="{00000000-0005-0000-0000-0000CABA0000}"/>
    <cellStyle name="Note 2 4 2 2 4" xfId="5941" xr:uid="{00000000-0005-0000-0000-0000CBBA0000}"/>
    <cellStyle name="Note 2 4 2 2 4 2" xfId="25392" xr:uid="{00000000-0005-0000-0000-0000CCBA0000}"/>
    <cellStyle name="Note 2 4 2 2 4 3" xfId="35117" xr:uid="{00000000-0005-0000-0000-0000CDBA0000}"/>
    <cellStyle name="Note 2 4 2 2 4 4" xfId="44842" xr:uid="{00000000-0005-0000-0000-0000CEBA0000}"/>
    <cellStyle name="Note 2 4 2 2 4 5" xfId="15667" xr:uid="{00000000-0005-0000-0000-0000CFBA0000}"/>
    <cellStyle name="Note 2 4 2 2 5" xfId="20530" xr:uid="{00000000-0005-0000-0000-0000D0BA0000}"/>
    <cellStyle name="Note 2 4 2 2 6" xfId="30255" xr:uid="{00000000-0005-0000-0000-0000D1BA0000}"/>
    <cellStyle name="Note 2 4 2 2 7" xfId="39980" xr:uid="{00000000-0005-0000-0000-0000D2BA0000}"/>
    <cellStyle name="Note 2 4 2 2 8" xfId="10805" xr:uid="{00000000-0005-0000-0000-0000D3BA0000}"/>
    <cellStyle name="Note 2 4 2 3" xfId="1528" xr:uid="{00000000-0005-0000-0000-0000D4BA0000}"/>
    <cellStyle name="Note 2 4 2 3 2" xfId="3149" xr:uid="{00000000-0005-0000-0000-0000D5BA0000}"/>
    <cellStyle name="Note 2 4 2 3 2 2" xfId="8011" xr:uid="{00000000-0005-0000-0000-0000D6BA0000}"/>
    <cellStyle name="Note 2 4 2 3 2 2 2" xfId="27462" xr:uid="{00000000-0005-0000-0000-0000D7BA0000}"/>
    <cellStyle name="Note 2 4 2 3 2 2 3" xfId="37187" xr:uid="{00000000-0005-0000-0000-0000D8BA0000}"/>
    <cellStyle name="Note 2 4 2 3 2 2 4" xfId="46912" xr:uid="{00000000-0005-0000-0000-0000D9BA0000}"/>
    <cellStyle name="Note 2 4 2 3 2 2 5" xfId="17737" xr:uid="{00000000-0005-0000-0000-0000DABA0000}"/>
    <cellStyle name="Note 2 4 2 3 2 3" xfId="22600" xr:uid="{00000000-0005-0000-0000-0000DBBA0000}"/>
    <cellStyle name="Note 2 4 2 3 2 4" xfId="32325" xr:uid="{00000000-0005-0000-0000-0000DCBA0000}"/>
    <cellStyle name="Note 2 4 2 3 2 5" xfId="42050" xr:uid="{00000000-0005-0000-0000-0000DDBA0000}"/>
    <cellStyle name="Note 2 4 2 3 2 6" xfId="12875" xr:uid="{00000000-0005-0000-0000-0000DEBA0000}"/>
    <cellStyle name="Note 2 4 2 3 3" xfId="4769" xr:uid="{00000000-0005-0000-0000-0000DFBA0000}"/>
    <cellStyle name="Note 2 4 2 3 3 2" xfId="9631" xr:uid="{00000000-0005-0000-0000-0000E0BA0000}"/>
    <cellStyle name="Note 2 4 2 3 3 2 2" xfId="29082" xr:uid="{00000000-0005-0000-0000-0000E1BA0000}"/>
    <cellStyle name="Note 2 4 2 3 3 2 3" xfId="38807" xr:uid="{00000000-0005-0000-0000-0000E2BA0000}"/>
    <cellStyle name="Note 2 4 2 3 3 2 4" xfId="48532" xr:uid="{00000000-0005-0000-0000-0000E3BA0000}"/>
    <cellStyle name="Note 2 4 2 3 3 2 5" xfId="19357" xr:uid="{00000000-0005-0000-0000-0000E4BA0000}"/>
    <cellStyle name="Note 2 4 2 3 3 3" xfId="24220" xr:uid="{00000000-0005-0000-0000-0000E5BA0000}"/>
    <cellStyle name="Note 2 4 2 3 3 4" xfId="33945" xr:uid="{00000000-0005-0000-0000-0000E6BA0000}"/>
    <cellStyle name="Note 2 4 2 3 3 5" xfId="43670" xr:uid="{00000000-0005-0000-0000-0000E7BA0000}"/>
    <cellStyle name="Note 2 4 2 3 3 6" xfId="14495" xr:uid="{00000000-0005-0000-0000-0000E8BA0000}"/>
    <cellStyle name="Note 2 4 2 3 4" xfId="6391" xr:uid="{00000000-0005-0000-0000-0000E9BA0000}"/>
    <cellStyle name="Note 2 4 2 3 4 2" xfId="25842" xr:uid="{00000000-0005-0000-0000-0000EABA0000}"/>
    <cellStyle name="Note 2 4 2 3 4 3" xfId="35567" xr:uid="{00000000-0005-0000-0000-0000EBBA0000}"/>
    <cellStyle name="Note 2 4 2 3 4 4" xfId="45292" xr:uid="{00000000-0005-0000-0000-0000ECBA0000}"/>
    <cellStyle name="Note 2 4 2 3 4 5" xfId="16117" xr:uid="{00000000-0005-0000-0000-0000EDBA0000}"/>
    <cellStyle name="Note 2 4 2 3 5" xfId="20980" xr:uid="{00000000-0005-0000-0000-0000EEBA0000}"/>
    <cellStyle name="Note 2 4 2 3 6" xfId="30705" xr:uid="{00000000-0005-0000-0000-0000EFBA0000}"/>
    <cellStyle name="Note 2 4 2 3 7" xfId="40430" xr:uid="{00000000-0005-0000-0000-0000F0BA0000}"/>
    <cellStyle name="Note 2 4 2 3 8" xfId="11255" xr:uid="{00000000-0005-0000-0000-0000F1BA0000}"/>
    <cellStyle name="Note 2 4 2 4" xfId="699" xr:uid="{00000000-0005-0000-0000-0000F2BA0000}"/>
    <cellStyle name="Note 2 4 2 4 2" xfId="2339" xr:uid="{00000000-0005-0000-0000-0000F3BA0000}"/>
    <cellStyle name="Note 2 4 2 4 2 2" xfId="7201" xr:uid="{00000000-0005-0000-0000-0000F4BA0000}"/>
    <cellStyle name="Note 2 4 2 4 2 2 2" xfId="26652" xr:uid="{00000000-0005-0000-0000-0000F5BA0000}"/>
    <cellStyle name="Note 2 4 2 4 2 2 3" xfId="36377" xr:uid="{00000000-0005-0000-0000-0000F6BA0000}"/>
    <cellStyle name="Note 2 4 2 4 2 2 4" xfId="46102" xr:uid="{00000000-0005-0000-0000-0000F7BA0000}"/>
    <cellStyle name="Note 2 4 2 4 2 2 5" xfId="16927" xr:uid="{00000000-0005-0000-0000-0000F8BA0000}"/>
    <cellStyle name="Note 2 4 2 4 2 3" xfId="21790" xr:uid="{00000000-0005-0000-0000-0000F9BA0000}"/>
    <cellStyle name="Note 2 4 2 4 2 4" xfId="31515" xr:uid="{00000000-0005-0000-0000-0000FABA0000}"/>
    <cellStyle name="Note 2 4 2 4 2 5" xfId="41240" xr:uid="{00000000-0005-0000-0000-0000FBBA0000}"/>
    <cellStyle name="Note 2 4 2 4 2 6" xfId="12065" xr:uid="{00000000-0005-0000-0000-0000FCBA0000}"/>
    <cellStyle name="Note 2 4 2 4 3" xfId="3959" xr:uid="{00000000-0005-0000-0000-0000FDBA0000}"/>
    <cellStyle name="Note 2 4 2 4 3 2" xfId="8821" xr:uid="{00000000-0005-0000-0000-0000FEBA0000}"/>
    <cellStyle name="Note 2 4 2 4 3 2 2" xfId="28272" xr:uid="{00000000-0005-0000-0000-0000FFBA0000}"/>
    <cellStyle name="Note 2 4 2 4 3 2 3" xfId="37997" xr:uid="{00000000-0005-0000-0000-000000BB0000}"/>
    <cellStyle name="Note 2 4 2 4 3 2 4" xfId="47722" xr:uid="{00000000-0005-0000-0000-000001BB0000}"/>
    <cellStyle name="Note 2 4 2 4 3 2 5" xfId="18547" xr:uid="{00000000-0005-0000-0000-000002BB0000}"/>
    <cellStyle name="Note 2 4 2 4 3 3" xfId="23410" xr:uid="{00000000-0005-0000-0000-000003BB0000}"/>
    <cellStyle name="Note 2 4 2 4 3 4" xfId="33135" xr:uid="{00000000-0005-0000-0000-000004BB0000}"/>
    <cellStyle name="Note 2 4 2 4 3 5" xfId="42860" xr:uid="{00000000-0005-0000-0000-000005BB0000}"/>
    <cellStyle name="Note 2 4 2 4 3 6" xfId="13685" xr:uid="{00000000-0005-0000-0000-000006BB0000}"/>
    <cellStyle name="Note 2 4 2 4 4" xfId="5581" xr:uid="{00000000-0005-0000-0000-000007BB0000}"/>
    <cellStyle name="Note 2 4 2 4 4 2" xfId="25032" xr:uid="{00000000-0005-0000-0000-000008BB0000}"/>
    <cellStyle name="Note 2 4 2 4 4 3" xfId="34757" xr:uid="{00000000-0005-0000-0000-000009BB0000}"/>
    <cellStyle name="Note 2 4 2 4 4 4" xfId="44482" xr:uid="{00000000-0005-0000-0000-00000ABB0000}"/>
    <cellStyle name="Note 2 4 2 4 4 5" xfId="15307" xr:uid="{00000000-0005-0000-0000-00000BBB0000}"/>
    <cellStyle name="Note 2 4 2 4 5" xfId="20170" xr:uid="{00000000-0005-0000-0000-00000CBB0000}"/>
    <cellStyle name="Note 2 4 2 4 6" xfId="29895" xr:uid="{00000000-0005-0000-0000-00000DBB0000}"/>
    <cellStyle name="Note 2 4 2 4 7" xfId="39620" xr:uid="{00000000-0005-0000-0000-00000EBB0000}"/>
    <cellStyle name="Note 2 4 2 4 8" xfId="10445" xr:uid="{00000000-0005-0000-0000-00000FBB0000}"/>
    <cellStyle name="Note 2 4 2 5" xfId="1979" xr:uid="{00000000-0005-0000-0000-000010BB0000}"/>
    <cellStyle name="Note 2 4 2 5 2" xfId="6841" xr:uid="{00000000-0005-0000-0000-000011BB0000}"/>
    <cellStyle name="Note 2 4 2 5 2 2" xfId="26292" xr:uid="{00000000-0005-0000-0000-000012BB0000}"/>
    <cellStyle name="Note 2 4 2 5 2 3" xfId="36017" xr:uid="{00000000-0005-0000-0000-000013BB0000}"/>
    <cellStyle name="Note 2 4 2 5 2 4" xfId="45742" xr:uid="{00000000-0005-0000-0000-000014BB0000}"/>
    <cellStyle name="Note 2 4 2 5 2 5" xfId="16567" xr:uid="{00000000-0005-0000-0000-000015BB0000}"/>
    <cellStyle name="Note 2 4 2 5 3" xfId="21430" xr:uid="{00000000-0005-0000-0000-000016BB0000}"/>
    <cellStyle name="Note 2 4 2 5 4" xfId="31155" xr:uid="{00000000-0005-0000-0000-000017BB0000}"/>
    <cellStyle name="Note 2 4 2 5 5" xfId="40880" xr:uid="{00000000-0005-0000-0000-000018BB0000}"/>
    <cellStyle name="Note 2 4 2 5 6" xfId="11705" xr:uid="{00000000-0005-0000-0000-000019BB0000}"/>
    <cellStyle name="Note 2 4 2 6" xfId="3599" xr:uid="{00000000-0005-0000-0000-00001ABB0000}"/>
    <cellStyle name="Note 2 4 2 6 2" xfId="8461" xr:uid="{00000000-0005-0000-0000-00001BBB0000}"/>
    <cellStyle name="Note 2 4 2 6 2 2" xfId="27912" xr:uid="{00000000-0005-0000-0000-00001CBB0000}"/>
    <cellStyle name="Note 2 4 2 6 2 3" xfId="37637" xr:uid="{00000000-0005-0000-0000-00001DBB0000}"/>
    <cellStyle name="Note 2 4 2 6 2 4" xfId="47362" xr:uid="{00000000-0005-0000-0000-00001EBB0000}"/>
    <cellStyle name="Note 2 4 2 6 2 5" xfId="18187" xr:uid="{00000000-0005-0000-0000-00001FBB0000}"/>
    <cellStyle name="Note 2 4 2 6 3" xfId="23050" xr:uid="{00000000-0005-0000-0000-000020BB0000}"/>
    <cellStyle name="Note 2 4 2 6 4" xfId="32775" xr:uid="{00000000-0005-0000-0000-000021BB0000}"/>
    <cellStyle name="Note 2 4 2 6 5" xfId="42500" xr:uid="{00000000-0005-0000-0000-000022BB0000}"/>
    <cellStyle name="Note 2 4 2 6 6" xfId="13325" xr:uid="{00000000-0005-0000-0000-000023BB0000}"/>
    <cellStyle name="Note 2 4 2 7" xfId="5221" xr:uid="{00000000-0005-0000-0000-000024BB0000}"/>
    <cellStyle name="Note 2 4 2 7 2" xfId="24672" xr:uid="{00000000-0005-0000-0000-000025BB0000}"/>
    <cellStyle name="Note 2 4 2 7 3" xfId="34397" xr:uid="{00000000-0005-0000-0000-000026BB0000}"/>
    <cellStyle name="Note 2 4 2 7 4" xfId="44122" xr:uid="{00000000-0005-0000-0000-000027BB0000}"/>
    <cellStyle name="Note 2 4 2 7 5" xfId="14947" xr:uid="{00000000-0005-0000-0000-000028BB0000}"/>
    <cellStyle name="Note 2 4 2 8" xfId="19810" xr:uid="{00000000-0005-0000-0000-000029BB0000}"/>
    <cellStyle name="Note 2 4 2 9" xfId="29535" xr:uid="{00000000-0005-0000-0000-00002ABB0000}"/>
    <cellStyle name="Note 2 4 3" xfId="388" xr:uid="{00000000-0005-0000-0000-00002BBB0000}"/>
    <cellStyle name="Note 2 4 3 10" xfId="39350" xr:uid="{00000000-0005-0000-0000-00002CBB0000}"/>
    <cellStyle name="Note 2 4 3 11" xfId="10175" xr:uid="{00000000-0005-0000-0000-00002DBB0000}"/>
    <cellStyle name="Note 2 4 3 2" xfId="1151" xr:uid="{00000000-0005-0000-0000-00002EBB0000}"/>
    <cellStyle name="Note 2 4 3 2 2" xfId="2789" xr:uid="{00000000-0005-0000-0000-00002FBB0000}"/>
    <cellStyle name="Note 2 4 3 2 2 2" xfId="7651" xr:uid="{00000000-0005-0000-0000-000030BB0000}"/>
    <cellStyle name="Note 2 4 3 2 2 2 2" xfId="27102" xr:uid="{00000000-0005-0000-0000-000031BB0000}"/>
    <cellStyle name="Note 2 4 3 2 2 2 3" xfId="36827" xr:uid="{00000000-0005-0000-0000-000032BB0000}"/>
    <cellStyle name="Note 2 4 3 2 2 2 4" xfId="46552" xr:uid="{00000000-0005-0000-0000-000033BB0000}"/>
    <cellStyle name="Note 2 4 3 2 2 2 5" xfId="17377" xr:uid="{00000000-0005-0000-0000-000034BB0000}"/>
    <cellStyle name="Note 2 4 3 2 2 3" xfId="22240" xr:uid="{00000000-0005-0000-0000-000035BB0000}"/>
    <cellStyle name="Note 2 4 3 2 2 4" xfId="31965" xr:uid="{00000000-0005-0000-0000-000036BB0000}"/>
    <cellStyle name="Note 2 4 3 2 2 5" xfId="41690" xr:uid="{00000000-0005-0000-0000-000037BB0000}"/>
    <cellStyle name="Note 2 4 3 2 2 6" xfId="12515" xr:uid="{00000000-0005-0000-0000-000038BB0000}"/>
    <cellStyle name="Note 2 4 3 2 3" xfId="4409" xr:uid="{00000000-0005-0000-0000-000039BB0000}"/>
    <cellStyle name="Note 2 4 3 2 3 2" xfId="9271" xr:uid="{00000000-0005-0000-0000-00003ABB0000}"/>
    <cellStyle name="Note 2 4 3 2 3 2 2" xfId="28722" xr:uid="{00000000-0005-0000-0000-00003BBB0000}"/>
    <cellStyle name="Note 2 4 3 2 3 2 3" xfId="38447" xr:uid="{00000000-0005-0000-0000-00003CBB0000}"/>
    <cellStyle name="Note 2 4 3 2 3 2 4" xfId="48172" xr:uid="{00000000-0005-0000-0000-00003DBB0000}"/>
    <cellStyle name="Note 2 4 3 2 3 2 5" xfId="18997" xr:uid="{00000000-0005-0000-0000-00003EBB0000}"/>
    <cellStyle name="Note 2 4 3 2 3 3" xfId="23860" xr:uid="{00000000-0005-0000-0000-00003FBB0000}"/>
    <cellStyle name="Note 2 4 3 2 3 4" xfId="33585" xr:uid="{00000000-0005-0000-0000-000040BB0000}"/>
    <cellStyle name="Note 2 4 3 2 3 5" xfId="43310" xr:uid="{00000000-0005-0000-0000-000041BB0000}"/>
    <cellStyle name="Note 2 4 3 2 3 6" xfId="14135" xr:uid="{00000000-0005-0000-0000-000042BB0000}"/>
    <cellStyle name="Note 2 4 3 2 4" xfId="6031" xr:uid="{00000000-0005-0000-0000-000043BB0000}"/>
    <cellStyle name="Note 2 4 3 2 4 2" xfId="25482" xr:uid="{00000000-0005-0000-0000-000044BB0000}"/>
    <cellStyle name="Note 2 4 3 2 4 3" xfId="35207" xr:uid="{00000000-0005-0000-0000-000045BB0000}"/>
    <cellStyle name="Note 2 4 3 2 4 4" xfId="44932" xr:uid="{00000000-0005-0000-0000-000046BB0000}"/>
    <cellStyle name="Note 2 4 3 2 4 5" xfId="15757" xr:uid="{00000000-0005-0000-0000-000047BB0000}"/>
    <cellStyle name="Note 2 4 3 2 5" xfId="20620" xr:uid="{00000000-0005-0000-0000-000048BB0000}"/>
    <cellStyle name="Note 2 4 3 2 6" xfId="30345" xr:uid="{00000000-0005-0000-0000-000049BB0000}"/>
    <cellStyle name="Note 2 4 3 2 7" xfId="40070" xr:uid="{00000000-0005-0000-0000-00004ABB0000}"/>
    <cellStyle name="Note 2 4 3 2 8" xfId="10895" xr:uid="{00000000-0005-0000-0000-00004BBB0000}"/>
    <cellStyle name="Note 2 4 3 3" xfId="1618" xr:uid="{00000000-0005-0000-0000-00004CBB0000}"/>
    <cellStyle name="Note 2 4 3 3 2" xfId="3239" xr:uid="{00000000-0005-0000-0000-00004DBB0000}"/>
    <cellStyle name="Note 2 4 3 3 2 2" xfId="8101" xr:uid="{00000000-0005-0000-0000-00004EBB0000}"/>
    <cellStyle name="Note 2 4 3 3 2 2 2" xfId="27552" xr:uid="{00000000-0005-0000-0000-00004FBB0000}"/>
    <cellStyle name="Note 2 4 3 3 2 2 3" xfId="37277" xr:uid="{00000000-0005-0000-0000-000050BB0000}"/>
    <cellStyle name="Note 2 4 3 3 2 2 4" xfId="47002" xr:uid="{00000000-0005-0000-0000-000051BB0000}"/>
    <cellStyle name="Note 2 4 3 3 2 2 5" xfId="17827" xr:uid="{00000000-0005-0000-0000-000052BB0000}"/>
    <cellStyle name="Note 2 4 3 3 2 3" xfId="22690" xr:uid="{00000000-0005-0000-0000-000053BB0000}"/>
    <cellStyle name="Note 2 4 3 3 2 4" xfId="32415" xr:uid="{00000000-0005-0000-0000-000054BB0000}"/>
    <cellStyle name="Note 2 4 3 3 2 5" xfId="42140" xr:uid="{00000000-0005-0000-0000-000055BB0000}"/>
    <cellStyle name="Note 2 4 3 3 2 6" xfId="12965" xr:uid="{00000000-0005-0000-0000-000056BB0000}"/>
    <cellStyle name="Note 2 4 3 3 3" xfId="4859" xr:uid="{00000000-0005-0000-0000-000057BB0000}"/>
    <cellStyle name="Note 2 4 3 3 3 2" xfId="9721" xr:uid="{00000000-0005-0000-0000-000058BB0000}"/>
    <cellStyle name="Note 2 4 3 3 3 2 2" xfId="29172" xr:uid="{00000000-0005-0000-0000-000059BB0000}"/>
    <cellStyle name="Note 2 4 3 3 3 2 3" xfId="38897" xr:uid="{00000000-0005-0000-0000-00005ABB0000}"/>
    <cellStyle name="Note 2 4 3 3 3 2 4" xfId="48622" xr:uid="{00000000-0005-0000-0000-00005BBB0000}"/>
    <cellStyle name="Note 2 4 3 3 3 2 5" xfId="19447" xr:uid="{00000000-0005-0000-0000-00005CBB0000}"/>
    <cellStyle name="Note 2 4 3 3 3 3" xfId="24310" xr:uid="{00000000-0005-0000-0000-00005DBB0000}"/>
    <cellStyle name="Note 2 4 3 3 3 4" xfId="34035" xr:uid="{00000000-0005-0000-0000-00005EBB0000}"/>
    <cellStyle name="Note 2 4 3 3 3 5" xfId="43760" xr:uid="{00000000-0005-0000-0000-00005FBB0000}"/>
    <cellStyle name="Note 2 4 3 3 3 6" xfId="14585" xr:uid="{00000000-0005-0000-0000-000060BB0000}"/>
    <cellStyle name="Note 2 4 3 3 4" xfId="6481" xr:uid="{00000000-0005-0000-0000-000061BB0000}"/>
    <cellStyle name="Note 2 4 3 3 4 2" xfId="25932" xr:uid="{00000000-0005-0000-0000-000062BB0000}"/>
    <cellStyle name="Note 2 4 3 3 4 3" xfId="35657" xr:uid="{00000000-0005-0000-0000-000063BB0000}"/>
    <cellStyle name="Note 2 4 3 3 4 4" xfId="45382" xr:uid="{00000000-0005-0000-0000-000064BB0000}"/>
    <cellStyle name="Note 2 4 3 3 4 5" xfId="16207" xr:uid="{00000000-0005-0000-0000-000065BB0000}"/>
    <cellStyle name="Note 2 4 3 3 5" xfId="21070" xr:uid="{00000000-0005-0000-0000-000066BB0000}"/>
    <cellStyle name="Note 2 4 3 3 6" xfId="30795" xr:uid="{00000000-0005-0000-0000-000067BB0000}"/>
    <cellStyle name="Note 2 4 3 3 7" xfId="40520" xr:uid="{00000000-0005-0000-0000-000068BB0000}"/>
    <cellStyle name="Note 2 4 3 3 8" xfId="11345" xr:uid="{00000000-0005-0000-0000-000069BB0000}"/>
    <cellStyle name="Note 2 4 3 4" xfId="789" xr:uid="{00000000-0005-0000-0000-00006ABB0000}"/>
    <cellStyle name="Note 2 4 3 4 2" xfId="2429" xr:uid="{00000000-0005-0000-0000-00006BBB0000}"/>
    <cellStyle name="Note 2 4 3 4 2 2" xfId="7291" xr:uid="{00000000-0005-0000-0000-00006CBB0000}"/>
    <cellStyle name="Note 2 4 3 4 2 2 2" xfId="26742" xr:uid="{00000000-0005-0000-0000-00006DBB0000}"/>
    <cellStyle name="Note 2 4 3 4 2 2 3" xfId="36467" xr:uid="{00000000-0005-0000-0000-00006EBB0000}"/>
    <cellStyle name="Note 2 4 3 4 2 2 4" xfId="46192" xr:uid="{00000000-0005-0000-0000-00006FBB0000}"/>
    <cellStyle name="Note 2 4 3 4 2 2 5" xfId="17017" xr:uid="{00000000-0005-0000-0000-000070BB0000}"/>
    <cellStyle name="Note 2 4 3 4 2 3" xfId="21880" xr:uid="{00000000-0005-0000-0000-000071BB0000}"/>
    <cellStyle name="Note 2 4 3 4 2 4" xfId="31605" xr:uid="{00000000-0005-0000-0000-000072BB0000}"/>
    <cellStyle name="Note 2 4 3 4 2 5" xfId="41330" xr:uid="{00000000-0005-0000-0000-000073BB0000}"/>
    <cellStyle name="Note 2 4 3 4 2 6" xfId="12155" xr:uid="{00000000-0005-0000-0000-000074BB0000}"/>
    <cellStyle name="Note 2 4 3 4 3" xfId="4049" xr:uid="{00000000-0005-0000-0000-000075BB0000}"/>
    <cellStyle name="Note 2 4 3 4 3 2" xfId="8911" xr:uid="{00000000-0005-0000-0000-000076BB0000}"/>
    <cellStyle name="Note 2 4 3 4 3 2 2" xfId="28362" xr:uid="{00000000-0005-0000-0000-000077BB0000}"/>
    <cellStyle name="Note 2 4 3 4 3 2 3" xfId="38087" xr:uid="{00000000-0005-0000-0000-000078BB0000}"/>
    <cellStyle name="Note 2 4 3 4 3 2 4" xfId="47812" xr:uid="{00000000-0005-0000-0000-000079BB0000}"/>
    <cellStyle name="Note 2 4 3 4 3 2 5" xfId="18637" xr:uid="{00000000-0005-0000-0000-00007ABB0000}"/>
    <cellStyle name="Note 2 4 3 4 3 3" xfId="23500" xr:uid="{00000000-0005-0000-0000-00007BBB0000}"/>
    <cellStyle name="Note 2 4 3 4 3 4" xfId="33225" xr:uid="{00000000-0005-0000-0000-00007CBB0000}"/>
    <cellStyle name="Note 2 4 3 4 3 5" xfId="42950" xr:uid="{00000000-0005-0000-0000-00007DBB0000}"/>
    <cellStyle name="Note 2 4 3 4 3 6" xfId="13775" xr:uid="{00000000-0005-0000-0000-00007EBB0000}"/>
    <cellStyle name="Note 2 4 3 4 4" xfId="5671" xr:uid="{00000000-0005-0000-0000-00007FBB0000}"/>
    <cellStyle name="Note 2 4 3 4 4 2" xfId="25122" xr:uid="{00000000-0005-0000-0000-000080BB0000}"/>
    <cellStyle name="Note 2 4 3 4 4 3" xfId="34847" xr:uid="{00000000-0005-0000-0000-000081BB0000}"/>
    <cellStyle name="Note 2 4 3 4 4 4" xfId="44572" xr:uid="{00000000-0005-0000-0000-000082BB0000}"/>
    <cellStyle name="Note 2 4 3 4 4 5" xfId="15397" xr:uid="{00000000-0005-0000-0000-000083BB0000}"/>
    <cellStyle name="Note 2 4 3 4 5" xfId="20260" xr:uid="{00000000-0005-0000-0000-000084BB0000}"/>
    <cellStyle name="Note 2 4 3 4 6" xfId="29985" xr:uid="{00000000-0005-0000-0000-000085BB0000}"/>
    <cellStyle name="Note 2 4 3 4 7" xfId="39710" xr:uid="{00000000-0005-0000-0000-000086BB0000}"/>
    <cellStyle name="Note 2 4 3 4 8" xfId="10535" xr:uid="{00000000-0005-0000-0000-000087BB0000}"/>
    <cellStyle name="Note 2 4 3 5" xfId="2069" xr:uid="{00000000-0005-0000-0000-000088BB0000}"/>
    <cellStyle name="Note 2 4 3 5 2" xfId="6931" xr:uid="{00000000-0005-0000-0000-000089BB0000}"/>
    <cellStyle name="Note 2 4 3 5 2 2" xfId="26382" xr:uid="{00000000-0005-0000-0000-00008ABB0000}"/>
    <cellStyle name="Note 2 4 3 5 2 3" xfId="36107" xr:uid="{00000000-0005-0000-0000-00008BBB0000}"/>
    <cellStyle name="Note 2 4 3 5 2 4" xfId="45832" xr:uid="{00000000-0005-0000-0000-00008CBB0000}"/>
    <cellStyle name="Note 2 4 3 5 2 5" xfId="16657" xr:uid="{00000000-0005-0000-0000-00008DBB0000}"/>
    <cellStyle name="Note 2 4 3 5 3" xfId="21520" xr:uid="{00000000-0005-0000-0000-00008EBB0000}"/>
    <cellStyle name="Note 2 4 3 5 4" xfId="31245" xr:uid="{00000000-0005-0000-0000-00008FBB0000}"/>
    <cellStyle name="Note 2 4 3 5 5" xfId="40970" xr:uid="{00000000-0005-0000-0000-000090BB0000}"/>
    <cellStyle name="Note 2 4 3 5 6" xfId="11795" xr:uid="{00000000-0005-0000-0000-000091BB0000}"/>
    <cellStyle name="Note 2 4 3 6" xfId="3689" xr:uid="{00000000-0005-0000-0000-000092BB0000}"/>
    <cellStyle name="Note 2 4 3 6 2" xfId="8551" xr:uid="{00000000-0005-0000-0000-000093BB0000}"/>
    <cellStyle name="Note 2 4 3 6 2 2" xfId="28002" xr:uid="{00000000-0005-0000-0000-000094BB0000}"/>
    <cellStyle name="Note 2 4 3 6 2 3" xfId="37727" xr:uid="{00000000-0005-0000-0000-000095BB0000}"/>
    <cellStyle name="Note 2 4 3 6 2 4" xfId="47452" xr:uid="{00000000-0005-0000-0000-000096BB0000}"/>
    <cellStyle name="Note 2 4 3 6 2 5" xfId="18277" xr:uid="{00000000-0005-0000-0000-000097BB0000}"/>
    <cellStyle name="Note 2 4 3 6 3" xfId="23140" xr:uid="{00000000-0005-0000-0000-000098BB0000}"/>
    <cellStyle name="Note 2 4 3 6 4" xfId="32865" xr:uid="{00000000-0005-0000-0000-000099BB0000}"/>
    <cellStyle name="Note 2 4 3 6 5" xfId="42590" xr:uid="{00000000-0005-0000-0000-00009ABB0000}"/>
    <cellStyle name="Note 2 4 3 6 6" xfId="13415" xr:uid="{00000000-0005-0000-0000-00009BBB0000}"/>
    <cellStyle name="Note 2 4 3 7" xfId="5311" xr:uid="{00000000-0005-0000-0000-00009CBB0000}"/>
    <cellStyle name="Note 2 4 3 7 2" xfId="24762" xr:uid="{00000000-0005-0000-0000-00009DBB0000}"/>
    <cellStyle name="Note 2 4 3 7 3" xfId="34487" xr:uid="{00000000-0005-0000-0000-00009EBB0000}"/>
    <cellStyle name="Note 2 4 3 7 4" xfId="44212" xr:uid="{00000000-0005-0000-0000-00009FBB0000}"/>
    <cellStyle name="Note 2 4 3 7 5" xfId="15037" xr:uid="{00000000-0005-0000-0000-0000A0BB0000}"/>
    <cellStyle name="Note 2 4 3 8" xfId="19900" xr:uid="{00000000-0005-0000-0000-0000A1BB0000}"/>
    <cellStyle name="Note 2 4 3 9" xfId="29625" xr:uid="{00000000-0005-0000-0000-0000A2BB0000}"/>
    <cellStyle name="Note 2 4 4" xfId="206" xr:uid="{00000000-0005-0000-0000-0000A3BB0000}"/>
    <cellStyle name="Note 2 4 4 10" xfId="39170" xr:uid="{00000000-0005-0000-0000-0000A4BB0000}"/>
    <cellStyle name="Note 2 4 4 11" xfId="9995" xr:uid="{00000000-0005-0000-0000-0000A5BB0000}"/>
    <cellStyle name="Note 2 4 4 2" xfId="970" xr:uid="{00000000-0005-0000-0000-0000A6BB0000}"/>
    <cellStyle name="Note 2 4 4 2 2" xfId="2609" xr:uid="{00000000-0005-0000-0000-0000A7BB0000}"/>
    <cellStyle name="Note 2 4 4 2 2 2" xfId="7471" xr:uid="{00000000-0005-0000-0000-0000A8BB0000}"/>
    <cellStyle name="Note 2 4 4 2 2 2 2" xfId="26922" xr:uid="{00000000-0005-0000-0000-0000A9BB0000}"/>
    <cellStyle name="Note 2 4 4 2 2 2 3" xfId="36647" xr:uid="{00000000-0005-0000-0000-0000AABB0000}"/>
    <cellStyle name="Note 2 4 4 2 2 2 4" xfId="46372" xr:uid="{00000000-0005-0000-0000-0000ABBB0000}"/>
    <cellStyle name="Note 2 4 4 2 2 2 5" xfId="17197" xr:uid="{00000000-0005-0000-0000-0000ACBB0000}"/>
    <cellStyle name="Note 2 4 4 2 2 3" xfId="22060" xr:uid="{00000000-0005-0000-0000-0000ADBB0000}"/>
    <cellStyle name="Note 2 4 4 2 2 4" xfId="31785" xr:uid="{00000000-0005-0000-0000-0000AEBB0000}"/>
    <cellStyle name="Note 2 4 4 2 2 5" xfId="41510" xr:uid="{00000000-0005-0000-0000-0000AFBB0000}"/>
    <cellStyle name="Note 2 4 4 2 2 6" xfId="12335" xr:uid="{00000000-0005-0000-0000-0000B0BB0000}"/>
    <cellStyle name="Note 2 4 4 2 3" xfId="4229" xr:uid="{00000000-0005-0000-0000-0000B1BB0000}"/>
    <cellStyle name="Note 2 4 4 2 3 2" xfId="9091" xr:uid="{00000000-0005-0000-0000-0000B2BB0000}"/>
    <cellStyle name="Note 2 4 4 2 3 2 2" xfId="28542" xr:uid="{00000000-0005-0000-0000-0000B3BB0000}"/>
    <cellStyle name="Note 2 4 4 2 3 2 3" xfId="38267" xr:uid="{00000000-0005-0000-0000-0000B4BB0000}"/>
    <cellStyle name="Note 2 4 4 2 3 2 4" xfId="47992" xr:uid="{00000000-0005-0000-0000-0000B5BB0000}"/>
    <cellStyle name="Note 2 4 4 2 3 2 5" xfId="18817" xr:uid="{00000000-0005-0000-0000-0000B6BB0000}"/>
    <cellStyle name="Note 2 4 4 2 3 3" xfId="23680" xr:uid="{00000000-0005-0000-0000-0000B7BB0000}"/>
    <cellStyle name="Note 2 4 4 2 3 4" xfId="33405" xr:uid="{00000000-0005-0000-0000-0000B8BB0000}"/>
    <cellStyle name="Note 2 4 4 2 3 5" xfId="43130" xr:uid="{00000000-0005-0000-0000-0000B9BB0000}"/>
    <cellStyle name="Note 2 4 4 2 3 6" xfId="13955" xr:uid="{00000000-0005-0000-0000-0000BABB0000}"/>
    <cellStyle name="Note 2 4 4 2 4" xfId="5851" xr:uid="{00000000-0005-0000-0000-0000BBBB0000}"/>
    <cellStyle name="Note 2 4 4 2 4 2" xfId="25302" xr:uid="{00000000-0005-0000-0000-0000BCBB0000}"/>
    <cellStyle name="Note 2 4 4 2 4 3" xfId="35027" xr:uid="{00000000-0005-0000-0000-0000BDBB0000}"/>
    <cellStyle name="Note 2 4 4 2 4 4" xfId="44752" xr:uid="{00000000-0005-0000-0000-0000BEBB0000}"/>
    <cellStyle name="Note 2 4 4 2 4 5" xfId="15577" xr:uid="{00000000-0005-0000-0000-0000BFBB0000}"/>
    <cellStyle name="Note 2 4 4 2 5" xfId="20440" xr:uid="{00000000-0005-0000-0000-0000C0BB0000}"/>
    <cellStyle name="Note 2 4 4 2 6" xfId="30165" xr:uid="{00000000-0005-0000-0000-0000C1BB0000}"/>
    <cellStyle name="Note 2 4 4 2 7" xfId="39890" xr:uid="{00000000-0005-0000-0000-0000C2BB0000}"/>
    <cellStyle name="Note 2 4 4 2 8" xfId="10715" xr:uid="{00000000-0005-0000-0000-0000C3BB0000}"/>
    <cellStyle name="Note 2 4 4 3" xfId="1438" xr:uid="{00000000-0005-0000-0000-0000C4BB0000}"/>
    <cellStyle name="Note 2 4 4 3 2" xfId="3059" xr:uid="{00000000-0005-0000-0000-0000C5BB0000}"/>
    <cellStyle name="Note 2 4 4 3 2 2" xfId="7921" xr:uid="{00000000-0005-0000-0000-0000C6BB0000}"/>
    <cellStyle name="Note 2 4 4 3 2 2 2" xfId="27372" xr:uid="{00000000-0005-0000-0000-0000C7BB0000}"/>
    <cellStyle name="Note 2 4 4 3 2 2 3" xfId="37097" xr:uid="{00000000-0005-0000-0000-0000C8BB0000}"/>
    <cellStyle name="Note 2 4 4 3 2 2 4" xfId="46822" xr:uid="{00000000-0005-0000-0000-0000C9BB0000}"/>
    <cellStyle name="Note 2 4 4 3 2 2 5" xfId="17647" xr:uid="{00000000-0005-0000-0000-0000CABB0000}"/>
    <cellStyle name="Note 2 4 4 3 2 3" xfId="22510" xr:uid="{00000000-0005-0000-0000-0000CBBB0000}"/>
    <cellStyle name="Note 2 4 4 3 2 4" xfId="32235" xr:uid="{00000000-0005-0000-0000-0000CCBB0000}"/>
    <cellStyle name="Note 2 4 4 3 2 5" xfId="41960" xr:uid="{00000000-0005-0000-0000-0000CDBB0000}"/>
    <cellStyle name="Note 2 4 4 3 2 6" xfId="12785" xr:uid="{00000000-0005-0000-0000-0000CEBB0000}"/>
    <cellStyle name="Note 2 4 4 3 3" xfId="4679" xr:uid="{00000000-0005-0000-0000-0000CFBB0000}"/>
    <cellStyle name="Note 2 4 4 3 3 2" xfId="9541" xr:uid="{00000000-0005-0000-0000-0000D0BB0000}"/>
    <cellStyle name="Note 2 4 4 3 3 2 2" xfId="28992" xr:uid="{00000000-0005-0000-0000-0000D1BB0000}"/>
    <cellStyle name="Note 2 4 4 3 3 2 3" xfId="38717" xr:uid="{00000000-0005-0000-0000-0000D2BB0000}"/>
    <cellStyle name="Note 2 4 4 3 3 2 4" xfId="48442" xr:uid="{00000000-0005-0000-0000-0000D3BB0000}"/>
    <cellStyle name="Note 2 4 4 3 3 2 5" xfId="19267" xr:uid="{00000000-0005-0000-0000-0000D4BB0000}"/>
    <cellStyle name="Note 2 4 4 3 3 3" xfId="24130" xr:uid="{00000000-0005-0000-0000-0000D5BB0000}"/>
    <cellStyle name="Note 2 4 4 3 3 4" xfId="33855" xr:uid="{00000000-0005-0000-0000-0000D6BB0000}"/>
    <cellStyle name="Note 2 4 4 3 3 5" xfId="43580" xr:uid="{00000000-0005-0000-0000-0000D7BB0000}"/>
    <cellStyle name="Note 2 4 4 3 3 6" xfId="14405" xr:uid="{00000000-0005-0000-0000-0000D8BB0000}"/>
    <cellStyle name="Note 2 4 4 3 4" xfId="6301" xr:uid="{00000000-0005-0000-0000-0000D9BB0000}"/>
    <cellStyle name="Note 2 4 4 3 4 2" xfId="25752" xr:uid="{00000000-0005-0000-0000-0000DABB0000}"/>
    <cellStyle name="Note 2 4 4 3 4 3" xfId="35477" xr:uid="{00000000-0005-0000-0000-0000DBBB0000}"/>
    <cellStyle name="Note 2 4 4 3 4 4" xfId="45202" xr:uid="{00000000-0005-0000-0000-0000DCBB0000}"/>
    <cellStyle name="Note 2 4 4 3 4 5" xfId="16027" xr:uid="{00000000-0005-0000-0000-0000DDBB0000}"/>
    <cellStyle name="Note 2 4 4 3 5" xfId="20890" xr:uid="{00000000-0005-0000-0000-0000DEBB0000}"/>
    <cellStyle name="Note 2 4 4 3 6" xfId="30615" xr:uid="{00000000-0005-0000-0000-0000DFBB0000}"/>
    <cellStyle name="Note 2 4 4 3 7" xfId="40340" xr:uid="{00000000-0005-0000-0000-0000E0BB0000}"/>
    <cellStyle name="Note 2 4 4 3 8" xfId="11165" xr:uid="{00000000-0005-0000-0000-0000E1BB0000}"/>
    <cellStyle name="Note 2 4 4 4" xfId="609" xr:uid="{00000000-0005-0000-0000-0000E2BB0000}"/>
    <cellStyle name="Note 2 4 4 4 2" xfId="2249" xr:uid="{00000000-0005-0000-0000-0000E3BB0000}"/>
    <cellStyle name="Note 2 4 4 4 2 2" xfId="7111" xr:uid="{00000000-0005-0000-0000-0000E4BB0000}"/>
    <cellStyle name="Note 2 4 4 4 2 2 2" xfId="26562" xr:uid="{00000000-0005-0000-0000-0000E5BB0000}"/>
    <cellStyle name="Note 2 4 4 4 2 2 3" xfId="36287" xr:uid="{00000000-0005-0000-0000-0000E6BB0000}"/>
    <cellStyle name="Note 2 4 4 4 2 2 4" xfId="46012" xr:uid="{00000000-0005-0000-0000-0000E7BB0000}"/>
    <cellStyle name="Note 2 4 4 4 2 2 5" xfId="16837" xr:uid="{00000000-0005-0000-0000-0000E8BB0000}"/>
    <cellStyle name="Note 2 4 4 4 2 3" xfId="21700" xr:uid="{00000000-0005-0000-0000-0000E9BB0000}"/>
    <cellStyle name="Note 2 4 4 4 2 4" xfId="31425" xr:uid="{00000000-0005-0000-0000-0000EABB0000}"/>
    <cellStyle name="Note 2 4 4 4 2 5" xfId="41150" xr:uid="{00000000-0005-0000-0000-0000EBBB0000}"/>
    <cellStyle name="Note 2 4 4 4 2 6" xfId="11975" xr:uid="{00000000-0005-0000-0000-0000ECBB0000}"/>
    <cellStyle name="Note 2 4 4 4 3" xfId="3869" xr:uid="{00000000-0005-0000-0000-0000EDBB0000}"/>
    <cellStyle name="Note 2 4 4 4 3 2" xfId="8731" xr:uid="{00000000-0005-0000-0000-0000EEBB0000}"/>
    <cellStyle name="Note 2 4 4 4 3 2 2" xfId="28182" xr:uid="{00000000-0005-0000-0000-0000EFBB0000}"/>
    <cellStyle name="Note 2 4 4 4 3 2 3" xfId="37907" xr:uid="{00000000-0005-0000-0000-0000F0BB0000}"/>
    <cellStyle name="Note 2 4 4 4 3 2 4" xfId="47632" xr:uid="{00000000-0005-0000-0000-0000F1BB0000}"/>
    <cellStyle name="Note 2 4 4 4 3 2 5" xfId="18457" xr:uid="{00000000-0005-0000-0000-0000F2BB0000}"/>
    <cellStyle name="Note 2 4 4 4 3 3" xfId="23320" xr:uid="{00000000-0005-0000-0000-0000F3BB0000}"/>
    <cellStyle name="Note 2 4 4 4 3 4" xfId="33045" xr:uid="{00000000-0005-0000-0000-0000F4BB0000}"/>
    <cellStyle name="Note 2 4 4 4 3 5" xfId="42770" xr:uid="{00000000-0005-0000-0000-0000F5BB0000}"/>
    <cellStyle name="Note 2 4 4 4 3 6" xfId="13595" xr:uid="{00000000-0005-0000-0000-0000F6BB0000}"/>
    <cellStyle name="Note 2 4 4 4 4" xfId="5491" xr:uid="{00000000-0005-0000-0000-0000F7BB0000}"/>
    <cellStyle name="Note 2 4 4 4 4 2" xfId="24942" xr:uid="{00000000-0005-0000-0000-0000F8BB0000}"/>
    <cellStyle name="Note 2 4 4 4 4 3" xfId="34667" xr:uid="{00000000-0005-0000-0000-0000F9BB0000}"/>
    <cellStyle name="Note 2 4 4 4 4 4" xfId="44392" xr:uid="{00000000-0005-0000-0000-0000FABB0000}"/>
    <cellStyle name="Note 2 4 4 4 4 5" xfId="15217" xr:uid="{00000000-0005-0000-0000-0000FBBB0000}"/>
    <cellStyle name="Note 2 4 4 4 5" xfId="20080" xr:uid="{00000000-0005-0000-0000-0000FCBB0000}"/>
    <cellStyle name="Note 2 4 4 4 6" xfId="29805" xr:uid="{00000000-0005-0000-0000-0000FDBB0000}"/>
    <cellStyle name="Note 2 4 4 4 7" xfId="39530" xr:uid="{00000000-0005-0000-0000-0000FEBB0000}"/>
    <cellStyle name="Note 2 4 4 4 8" xfId="10355" xr:uid="{00000000-0005-0000-0000-0000FFBB0000}"/>
    <cellStyle name="Note 2 4 4 5" xfId="1889" xr:uid="{00000000-0005-0000-0000-000000BC0000}"/>
    <cellStyle name="Note 2 4 4 5 2" xfId="6751" xr:uid="{00000000-0005-0000-0000-000001BC0000}"/>
    <cellStyle name="Note 2 4 4 5 2 2" xfId="26202" xr:uid="{00000000-0005-0000-0000-000002BC0000}"/>
    <cellStyle name="Note 2 4 4 5 2 3" xfId="35927" xr:uid="{00000000-0005-0000-0000-000003BC0000}"/>
    <cellStyle name="Note 2 4 4 5 2 4" xfId="45652" xr:uid="{00000000-0005-0000-0000-000004BC0000}"/>
    <cellStyle name="Note 2 4 4 5 2 5" xfId="16477" xr:uid="{00000000-0005-0000-0000-000005BC0000}"/>
    <cellStyle name="Note 2 4 4 5 3" xfId="21340" xr:uid="{00000000-0005-0000-0000-000006BC0000}"/>
    <cellStyle name="Note 2 4 4 5 4" xfId="31065" xr:uid="{00000000-0005-0000-0000-000007BC0000}"/>
    <cellStyle name="Note 2 4 4 5 5" xfId="40790" xr:uid="{00000000-0005-0000-0000-000008BC0000}"/>
    <cellStyle name="Note 2 4 4 5 6" xfId="11615" xr:uid="{00000000-0005-0000-0000-000009BC0000}"/>
    <cellStyle name="Note 2 4 4 6" xfId="3509" xr:uid="{00000000-0005-0000-0000-00000ABC0000}"/>
    <cellStyle name="Note 2 4 4 6 2" xfId="8371" xr:uid="{00000000-0005-0000-0000-00000BBC0000}"/>
    <cellStyle name="Note 2 4 4 6 2 2" xfId="27822" xr:uid="{00000000-0005-0000-0000-00000CBC0000}"/>
    <cellStyle name="Note 2 4 4 6 2 3" xfId="37547" xr:uid="{00000000-0005-0000-0000-00000DBC0000}"/>
    <cellStyle name="Note 2 4 4 6 2 4" xfId="47272" xr:uid="{00000000-0005-0000-0000-00000EBC0000}"/>
    <cellStyle name="Note 2 4 4 6 2 5" xfId="18097" xr:uid="{00000000-0005-0000-0000-00000FBC0000}"/>
    <cellStyle name="Note 2 4 4 6 3" xfId="22960" xr:uid="{00000000-0005-0000-0000-000010BC0000}"/>
    <cellStyle name="Note 2 4 4 6 4" xfId="32685" xr:uid="{00000000-0005-0000-0000-000011BC0000}"/>
    <cellStyle name="Note 2 4 4 6 5" xfId="42410" xr:uid="{00000000-0005-0000-0000-000012BC0000}"/>
    <cellStyle name="Note 2 4 4 6 6" xfId="13235" xr:uid="{00000000-0005-0000-0000-000013BC0000}"/>
    <cellStyle name="Note 2 4 4 7" xfId="5131" xr:uid="{00000000-0005-0000-0000-000014BC0000}"/>
    <cellStyle name="Note 2 4 4 7 2" xfId="24582" xr:uid="{00000000-0005-0000-0000-000015BC0000}"/>
    <cellStyle name="Note 2 4 4 7 3" xfId="34307" xr:uid="{00000000-0005-0000-0000-000016BC0000}"/>
    <cellStyle name="Note 2 4 4 7 4" xfId="44032" xr:uid="{00000000-0005-0000-0000-000017BC0000}"/>
    <cellStyle name="Note 2 4 4 7 5" xfId="14857" xr:uid="{00000000-0005-0000-0000-000018BC0000}"/>
    <cellStyle name="Note 2 4 4 8" xfId="19720" xr:uid="{00000000-0005-0000-0000-000019BC0000}"/>
    <cellStyle name="Note 2 4 4 9" xfId="29445" xr:uid="{00000000-0005-0000-0000-00001ABC0000}"/>
    <cellStyle name="Note 2 4 5" xfId="880" xr:uid="{00000000-0005-0000-0000-00001BBC0000}"/>
    <cellStyle name="Note 2 4 5 2" xfId="2519" xr:uid="{00000000-0005-0000-0000-00001CBC0000}"/>
    <cellStyle name="Note 2 4 5 2 2" xfId="7381" xr:uid="{00000000-0005-0000-0000-00001DBC0000}"/>
    <cellStyle name="Note 2 4 5 2 2 2" xfId="26832" xr:uid="{00000000-0005-0000-0000-00001EBC0000}"/>
    <cellStyle name="Note 2 4 5 2 2 3" xfId="36557" xr:uid="{00000000-0005-0000-0000-00001FBC0000}"/>
    <cellStyle name="Note 2 4 5 2 2 4" xfId="46282" xr:uid="{00000000-0005-0000-0000-000020BC0000}"/>
    <cellStyle name="Note 2 4 5 2 2 5" xfId="17107" xr:uid="{00000000-0005-0000-0000-000021BC0000}"/>
    <cellStyle name="Note 2 4 5 2 3" xfId="21970" xr:uid="{00000000-0005-0000-0000-000022BC0000}"/>
    <cellStyle name="Note 2 4 5 2 4" xfId="31695" xr:uid="{00000000-0005-0000-0000-000023BC0000}"/>
    <cellStyle name="Note 2 4 5 2 5" xfId="41420" xr:uid="{00000000-0005-0000-0000-000024BC0000}"/>
    <cellStyle name="Note 2 4 5 2 6" xfId="12245" xr:uid="{00000000-0005-0000-0000-000025BC0000}"/>
    <cellStyle name="Note 2 4 5 3" xfId="4139" xr:uid="{00000000-0005-0000-0000-000026BC0000}"/>
    <cellStyle name="Note 2 4 5 3 2" xfId="9001" xr:uid="{00000000-0005-0000-0000-000027BC0000}"/>
    <cellStyle name="Note 2 4 5 3 2 2" xfId="28452" xr:uid="{00000000-0005-0000-0000-000028BC0000}"/>
    <cellStyle name="Note 2 4 5 3 2 3" xfId="38177" xr:uid="{00000000-0005-0000-0000-000029BC0000}"/>
    <cellStyle name="Note 2 4 5 3 2 4" xfId="47902" xr:uid="{00000000-0005-0000-0000-00002ABC0000}"/>
    <cellStyle name="Note 2 4 5 3 2 5" xfId="18727" xr:uid="{00000000-0005-0000-0000-00002BBC0000}"/>
    <cellStyle name="Note 2 4 5 3 3" xfId="23590" xr:uid="{00000000-0005-0000-0000-00002CBC0000}"/>
    <cellStyle name="Note 2 4 5 3 4" xfId="33315" xr:uid="{00000000-0005-0000-0000-00002DBC0000}"/>
    <cellStyle name="Note 2 4 5 3 5" xfId="43040" xr:uid="{00000000-0005-0000-0000-00002EBC0000}"/>
    <cellStyle name="Note 2 4 5 3 6" xfId="13865" xr:uid="{00000000-0005-0000-0000-00002FBC0000}"/>
    <cellStyle name="Note 2 4 5 4" xfId="5761" xr:uid="{00000000-0005-0000-0000-000030BC0000}"/>
    <cellStyle name="Note 2 4 5 4 2" xfId="25212" xr:uid="{00000000-0005-0000-0000-000031BC0000}"/>
    <cellStyle name="Note 2 4 5 4 3" xfId="34937" xr:uid="{00000000-0005-0000-0000-000032BC0000}"/>
    <cellStyle name="Note 2 4 5 4 4" xfId="44662" xr:uid="{00000000-0005-0000-0000-000033BC0000}"/>
    <cellStyle name="Note 2 4 5 4 5" xfId="15487" xr:uid="{00000000-0005-0000-0000-000034BC0000}"/>
    <cellStyle name="Note 2 4 5 5" xfId="20350" xr:uid="{00000000-0005-0000-0000-000035BC0000}"/>
    <cellStyle name="Note 2 4 5 6" xfId="30075" xr:uid="{00000000-0005-0000-0000-000036BC0000}"/>
    <cellStyle name="Note 2 4 5 7" xfId="39800" xr:uid="{00000000-0005-0000-0000-000037BC0000}"/>
    <cellStyle name="Note 2 4 5 8" xfId="10625" xr:uid="{00000000-0005-0000-0000-000038BC0000}"/>
    <cellStyle name="Note 2 4 6" xfId="1258" xr:uid="{00000000-0005-0000-0000-000039BC0000}"/>
    <cellStyle name="Note 2 4 6 2" xfId="2879" xr:uid="{00000000-0005-0000-0000-00003ABC0000}"/>
    <cellStyle name="Note 2 4 6 2 2" xfId="7741" xr:uid="{00000000-0005-0000-0000-00003BBC0000}"/>
    <cellStyle name="Note 2 4 6 2 2 2" xfId="27192" xr:uid="{00000000-0005-0000-0000-00003CBC0000}"/>
    <cellStyle name="Note 2 4 6 2 2 3" xfId="36917" xr:uid="{00000000-0005-0000-0000-00003DBC0000}"/>
    <cellStyle name="Note 2 4 6 2 2 4" xfId="46642" xr:uid="{00000000-0005-0000-0000-00003EBC0000}"/>
    <cellStyle name="Note 2 4 6 2 2 5" xfId="17467" xr:uid="{00000000-0005-0000-0000-00003FBC0000}"/>
    <cellStyle name="Note 2 4 6 2 3" xfId="22330" xr:uid="{00000000-0005-0000-0000-000040BC0000}"/>
    <cellStyle name="Note 2 4 6 2 4" xfId="32055" xr:uid="{00000000-0005-0000-0000-000041BC0000}"/>
    <cellStyle name="Note 2 4 6 2 5" xfId="41780" xr:uid="{00000000-0005-0000-0000-000042BC0000}"/>
    <cellStyle name="Note 2 4 6 2 6" xfId="12605" xr:uid="{00000000-0005-0000-0000-000043BC0000}"/>
    <cellStyle name="Note 2 4 6 3" xfId="4499" xr:uid="{00000000-0005-0000-0000-000044BC0000}"/>
    <cellStyle name="Note 2 4 6 3 2" xfId="9361" xr:uid="{00000000-0005-0000-0000-000045BC0000}"/>
    <cellStyle name="Note 2 4 6 3 2 2" xfId="28812" xr:uid="{00000000-0005-0000-0000-000046BC0000}"/>
    <cellStyle name="Note 2 4 6 3 2 3" xfId="38537" xr:uid="{00000000-0005-0000-0000-000047BC0000}"/>
    <cellStyle name="Note 2 4 6 3 2 4" xfId="48262" xr:uid="{00000000-0005-0000-0000-000048BC0000}"/>
    <cellStyle name="Note 2 4 6 3 2 5" xfId="19087" xr:uid="{00000000-0005-0000-0000-000049BC0000}"/>
    <cellStyle name="Note 2 4 6 3 3" xfId="23950" xr:uid="{00000000-0005-0000-0000-00004ABC0000}"/>
    <cellStyle name="Note 2 4 6 3 4" xfId="33675" xr:uid="{00000000-0005-0000-0000-00004BBC0000}"/>
    <cellStyle name="Note 2 4 6 3 5" xfId="43400" xr:uid="{00000000-0005-0000-0000-00004CBC0000}"/>
    <cellStyle name="Note 2 4 6 3 6" xfId="14225" xr:uid="{00000000-0005-0000-0000-00004DBC0000}"/>
    <cellStyle name="Note 2 4 6 4" xfId="6121" xr:uid="{00000000-0005-0000-0000-00004EBC0000}"/>
    <cellStyle name="Note 2 4 6 4 2" xfId="25572" xr:uid="{00000000-0005-0000-0000-00004FBC0000}"/>
    <cellStyle name="Note 2 4 6 4 3" xfId="35297" xr:uid="{00000000-0005-0000-0000-000050BC0000}"/>
    <cellStyle name="Note 2 4 6 4 4" xfId="45022" xr:uid="{00000000-0005-0000-0000-000051BC0000}"/>
    <cellStyle name="Note 2 4 6 4 5" xfId="15847" xr:uid="{00000000-0005-0000-0000-000052BC0000}"/>
    <cellStyle name="Note 2 4 6 5" xfId="20710" xr:uid="{00000000-0005-0000-0000-000053BC0000}"/>
    <cellStyle name="Note 2 4 6 6" xfId="30435" xr:uid="{00000000-0005-0000-0000-000054BC0000}"/>
    <cellStyle name="Note 2 4 6 7" xfId="40160" xr:uid="{00000000-0005-0000-0000-000055BC0000}"/>
    <cellStyle name="Note 2 4 6 8" xfId="10985" xr:uid="{00000000-0005-0000-0000-000056BC0000}"/>
    <cellStyle name="Note 2 4 7" xfId="1348" xr:uid="{00000000-0005-0000-0000-000057BC0000}"/>
    <cellStyle name="Note 2 4 7 2" xfId="2969" xr:uid="{00000000-0005-0000-0000-000058BC0000}"/>
    <cellStyle name="Note 2 4 7 2 2" xfId="7831" xr:uid="{00000000-0005-0000-0000-000059BC0000}"/>
    <cellStyle name="Note 2 4 7 2 2 2" xfId="27282" xr:uid="{00000000-0005-0000-0000-00005ABC0000}"/>
    <cellStyle name="Note 2 4 7 2 2 3" xfId="37007" xr:uid="{00000000-0005-0000-0000-00005BBC0000}"/>
    <cellStyle name="Note 2 4 7 2 2 4" xfId="46732" xr:uid="{00000000-0005-0000-0000-00005CBC0000}"/>
    <cellStyle name="Note 2 4 7 2 2 5" xfId="17557" xr:uid="{00000000-0005-0000-0000-00005DBC0000}"/>
    <cellStyle name="Note 2 4 7 2 3" xfId="22420" xr:uid="{00000000-0005-0000-0000-00005EBC0000}"/>
    <cellStyle name="Note 2 4 7 2 4" xfId="32145" xr:uid="{00000000-0005-0000-0000-00005FBC0000}"/>
    <cellStyle name="Note 2 4 7 2 5" xfId="41870" xr:uid="{00000000-0005-0000-0000-000060BC0000}"/>
    <cellStyle name="Note 2 4 7 2 6" xfId="12695" xr:uid="{00000000-0005-0000-0000-000061BC0000}"/>
    <cellStyle name="Note 2 4 7 3" xfId="4589" xr:uid="{00000000-0005-0000-0000-000062BC0000}"/>
    <cellStyle name="Note 2 4 7 3 2" xfId="9451" xr:uid="{00000000-0005-0000-0000-000063BC0000}"/>
    <cellStyle name="Note 2 4 7 3 2 2" xfId="28902" xr:uid="{00000000-0005-0000-0000-000064BC0000}"/>
    <cellStyle name="Note 2 4 7 3 2 3" xfId="38627" xr:uid="{00000000-0005-0000-0000-000065BC0000}"/>
    <cellStyle name="Note 2 4 7 3 2 4" xfId="48352" xr:uid="{00000000-0005-0000-0000-000066BC0000}"/>
    <cellStyle name="Note 2 4 7 3 2 5" xfId="19177" xr:uid="{00000000-0005-0000-0000-000067BC0000}"/>
    <cellStyle name="Note 2 4 7 3 3" xfId="24040" xr:uid="{00000000-0005-0000-0000-000068BC0000}"/>
    <cellStyle name="Note 2 4 7 3 4" xfId="33765" xr:uid="{00000000-0005-0000-0000-000069BC0000}"/>
    <cellStyle name="Note 2 4 7 3 5" xfId="43490" xr:uid="{00000000-0005-0000-0000-00006ABC0000}"/>
    <cellStyle name="Note 2 4 7 3 6" xfId="14315" xr:uid="{00000000-0005-0000-0000-00006BBC0000}"/>
    <cellStyle name="Note 2 4 7 4" xfId="6211" xr:uid="{00000000-0005-0000-0000-00006CBC0000}"/>
    <cellStyle name="Note 2 4 7 4 2" xfId="25662" xr:uid="{00000000-0005-0000-0000-00006DBC0000}"/>
    <cellStyle name="Note 2 4 7 4 3" xfId="35387" xr:uid="{00000000-0005-0000-0000-00006EBC0000}"/>
    <cellStyle name="Note 2 4 7 4 4" xfId="45112" xr:uid="{00000000-0005-0000-0000-00006FBC0000}"/>
    <cellStyle name="Note 2 4 7 4 5" xfId="15937" xr:uid="{00000000-0005-0000-0000-000070BC0000}"/>
    <cellStyle name="Note 2 4 7 5" xfId="20800" xr:uid="{00000000-0005-0000-0000-000071BC0000}"/>
    <cellStyle name="Note 2 4 7 6" xfId="30525" xr:uid="{00000000-0005-0000-0000-000072BC0000}"/>
    <cellStyle name="Note 2 4 7 7" xfId="40250" xr:uid="{00000000-0005-0000-0000-000073BC0000}"/>
    <cellStyle name="Note 2 4 7 8" xfId="11075" xr:uid="{00000000-0005-0000-0000-000074BC0000}"/>
    <cellStyle name="Note 2 4 8" xfId="519" xr:uid="{00000000-0005-0000-0000-000075BC0000}"/>
    <cellStyle name="Note 2 4 8 2" xfId="2159" xr:uid="{00000000-0005-0000-0000-000076BC0000}"/>
    <cellStyle name="Note 2 4 8 2 2" xfId="7021" xr:uid="{00000000-0005-0000-0000-000077BC0000}"/>
    <cellStyle name="Note 2 4 8 2 2 2" xfId="26472" xr:uid="{00000000-0005-0000-0000-000078BC0000}"/>
    <cellStyle name="Note 2 4 8 2 2 3" xfId="36197" xr:uid="{00000000-0005-0000-0000-000079BC0000}"/>
    <cellStyle name="Note 2 4 8 2 2 4" xfId="45922" xr:uid="{00000000-0005-0000-0000-00007ABC0000}"/>
    <cellStyle name="Note 2 4 8 2 2 5" xfId="16747" xr:uid="{00000000-0005-0000-0000-00007BBC0000}"/>
    <cellStyle name="Note 2 4 8 2 3" xfId="21610" xr:uid="{00000000-0005-0000-0000-00007CBC0000}"/>
    <cellStyle name="Note 2 4 8 2 4" xfId="31335" xr:uid="{00000000-0005-0000-0000-00007DBC0000}"/>
    <cellStyle name="Note 2 4 8 2 5" xfId="41060" xr:uid="{00000000-0005-0000-0000-00007EBC0000}"/>
    <cellStyle name="Note 2 4 8 2 6" xfId="11885" xr:uid="{00000000-0005-0000-0000-00007FBC0000}"/>
    <cellStyle name="Note 2 4 8 3" xfId="3779" xr:uid="{00000000-0005-0000-0000-000080BC0000}"/>
    <cellStyle name="Note 2 4 8 3 2" xfId="8641" xr:uid="{00000000-0005-0000-0000-000081BC0000}"/>
    <cellStyle name="Note 2 4 8 3 2 2" xfId="28092" xr:uid="{00000000-0005-0000-0000-000082BC0000}"/>
    <cellStyle name="Note 2 4 8 3 2 3" xfId="37817" xr:uid="{00000000-0005-0000-0000-000083BC0000}"/>
    <cellStyle name="Note 2 4 8 3 2 4" xfId="47542" xr:uid="{00000000-0005-0000-0000-000084BC0000}"/>
    <cellStyle name="Note 2 4 8 3 2 5" xfId="18367" xr:uid="{00000000-0005-0000-0000-000085BC0000}"/>
    <cellStyle name="Note 2 4 8 3 3" xfId="23230" xr:uid="{00000000-0005-0000-0000-000086BC0000}"/>
    <cellStyle name="Note 2 4 8 3 4" xfId="32955" xr:uid="{00000000-0005-0000-0000-000087BC0000}"/>
    <cellStyle name="Note 2 4 8 3 5" xfId="42680" xr:uid="{00000000-0005-0000-0000-000088BC0000}"/>
    <cellStyle name="Note 2 4 8 3 6" xfId="13505" xr:uid="{00000000-0005-0000-0000-000089BC0000}"/>
    <cellStyle name="Note 2 4 8 4" xfId="5401" xr:uid="{00000000-0005-0000-0000-00008ABC0000}"/>
    <cellStyle name="Note 2 4 8 4 2" xfId="24852" xr:uid="{00000000-0005-0000-0000-00008BBC0000}"/>
    <cellStyle name="Note 2 4 8 4 3" xfId="34577" xr:uid="{00000000-0005-0000-0000-00008CBC0000}"/>
    <cellStyle name="Note 2 4 8 4 4" xfId="44302" xr:uid="{00000000-0005-0000-0000-00008DBC0000}"/>
    <cellStyle name="Note 2 4 8 4 5" xfId="15127" xr:uid="{00000000-0005-0000-0000-00008EBC0000}"/>
    <cellStyle name="Note 2 4 8 5" xfId="19990" xr:uid="{00000000-0005-0000-0000-00008FBC0000}"/>
    <cellStyle name="Note 2 4 8 6" xfId="29715" xr:uid="{00000000-0005-0000-0000-000090BC0000}"/>
    <cellStyle name="Note 2 4 8 7" xfId="39440" xr:uid="{00000000-0005-0000-0000-000091BC0000}"/>
    <cellStyle name="Note 2 4 8 8" xfId="10265" xr:uid="{00000000-0005-0000-0000-000092BC0000}"/>
    <cellStyle name="Note 2 4 9" xfId="1708" xr:uid="{00000000-0005-0000-0000-000093BC0000}"/>
    <cellStyle name="Note 2 4 9 2" xfId="3329" xr:uid="{00000000-0005-0000-0000-000094BC0000}"/>
    <cellStyle name="Note 2 4 9 2 2" xfId="8191" xr:uid="{00000000-0005-0000-0000-000095BC0000}"/>
    <cellStyle name="Note 2 4 9 2 2 2" xfId="27642" xr:uid="{00000000-0005-0000-0000-000096BC0000}"/>
    <cellStyle name="Note 2 4 9 2 2 3" xfId="37367" xr:uid="{00000000-0005-0000-0000-000097BC0000}"/>
    <cellStyle name="Note 2 4 9 2 2 4" xfId="47092" xr:uid="{00000000-0005-0000-0000-000098BC0000}"/>
    <cellStyle name="Note 2 4 9 2 2 5" xfId="17917" xr:uid="{00000000-0005-0000-0000-000099BC0000}"/>
    <cellStyle name="Note 2 4 9 2 3" xfId="22780" xr:uid="{00000000-0005-0000-0000-00009ABC0000}"/>
    <cellStyle name="Note 2 4 9 2 4" xfId="32505" xr:uid="{00000000-0005-0000-0000-00009BBC0000}"/>
    <cellStyle name="Note 2 4 9 2 5" xfId="42230" xr:uid="{00000000-0005-0000-0000-00009CBC0000}"/>
    <cellStyle name="Note 2 4 9 2 6" xfId="13055" xr:uid="{00000000-0005-0000-0000-00009DBC0000}"/>
    <cellStyle name="Note 2 4 9 3" xfId="4949" xr:uid="{00000000-0005-0000-0000-00009EBC0000}"/>
    <cellStyle name="Note 2 4 9 3 2" xfId="9811" xr:uid="{00000000-0005-0000-0000-00009FBC0000}"/>
    <cellStyle name="Note 2 4 9 3 2 2" xfId="29262" xr:uid="{00000000-0005-0000-0000-0000A0BC0000}"/>
    <cellStyle name="Note 2 4 9 3 2 3" xfId="38987" xr:uid="{00000000-0005-0000-0000-0000A1BC0000}"/>
    <cellStyle name="Note 2 4 9 3 2 4" xfId="48712" xr:uid="{00000000-0005-0000-0000-0000A2BC0000}"/>
    <cellStyle name="Note 2 4 9 3 2 5" xfId="19537" xr:uid="{00000000-0005-0000-0000-0000A3BC0000}"/>
    <cellStyle name="Note 2 4 9 3 3" xfId="24400" xr:uid="{00000000-0005-0000-0000-0000A4BC0000}"/>
    <cellStyle name="Note 2 4 9 3 4" xfId="34125" xr:uid="{00000000-0005-0000-0000-0000A5BC0000}"/>
    <cellStyle name="Note 2 4 9 3 5" xfId="43850" xr:uid="{00000000-0005-0000-0000-0000A6BC0000}"/>
    <cellStyle name="Note 2 4 9 3 6" xfId="14675" xr:uid="{00000000-0005-0000-0000-0000A7BC0000}"/>
    <cellStyle name="Note 2 4 9 4" xfId="6571" xr:uid="{00000000-0005-0000-0000-0000A8BC0000}"/>
    <cellStyle name="Note 2 4 9 4 2" xfId="26022" xr:uid="{00000000-0005-0000-0000-0000A9BC0000}"/>
    <cellStyle name="Note 2 4 9 4 3" xfId="35747" xr:uid="{00000000-0005-0000-0000-0000AABC0000}"/>
    <cellStyle name="Note 2 4 9 4 4" xfId="45472" xr:uid="{00000000-0005-0000-0000-0000ABBC0000}"/>
    <cellStyle name="Note 2 4 9 4 5" xfId="16297" xr:uid="{00000000-0005-0000-0000-0000ACBC0000}"/>
    <cellStyle name="Note 2 4 9 5" xfId="21160" xr:uid="{00000000-0005-0000-0000-0000ADBC0000}"/>
    <cellStyle name="Note 2 4 9 6" xfId="30885" xr:uid="{00000000-0005-0000-0000-0000AEBC0000}"/>
    <cellStyle name="Note 2 4 9 7" xfId="40610" xr:uid="{00000000-0005-0000-0000-0000AFBC0000}"/>
    <cellStyle name="Note 2 4 9 8" xfId="11435" xr:uid="{00000000-0005-0000-0000-0000B0BC0000}"/>
    <cellStyle name="Note 2 5" xfId="237" xr:uid="{00000000-0005-0000-0000-0000B1BC0000}"/>
    <cellStyle name="Note 2 5 10" xfId="39200" xr:uid="{00000000-0005-0000-0000-0000B2BC0000}"/>
    <cellStyle name="Note 2 5 11" xfId="10025" xr:uid="{00000000-0005-0000-0000-0000B3BC0000}"/>
    <cellStyle name="Note 2 5 2" xfId="1001" xr:uid="{00000000-0005-0000-0000-0000B4BC0000}"/>
    <cellStyle name="Note 2 5 2 2" xfId="2639" xr:uid="{00000000-0005-0000-0000-0000B5BC0000}"/>
    <cellStyle name="Note 2 5 2 2 2" xfId="7501" xr:uid="{00000000-0005-0000-0000-0000B6BC0000}"/>
    <cellStyle name="Note 2 5 2 2 2 2" xfId="26952" xr:uid="{00000000-0005-0000-0000-0000B7BC0000}"/>
    <cellStyle name="Note 2 5 2 2 2 3" xfId="36677" xr:uid="{00000000-0005-0000-0000-0000B8BC0000}"/>
    <cellStyle name="Note 2 5 2 2 2 4" xfId="46402" xr:uid="{00000000-0005-0000-0000-0000B9BC0000}"/>
    <cellStyle name="Note 2 5 2 2 2 5" xfId="17227" xr:uid="{00000000-0005-0000-0000-0000BABC0000}"/>
    <cellStyle name="Note 2 5 2 2 3" xfId="22090" xr:uid="{00000000-0005-0000-0000-0000BBBC0000}"/>
    <cellStyle name="Note 2 5 2 2 4" xfId="31815" xr:uid="{00000000-0005-0000-0000-0000BCBC0000}"/>
    <cellStyle name="Note 2 5 2 2 5" xfId="41540" xr:uid="{00000000-0005-0000-0000-0000BDBC0000}"/>
    <cellStyle name="Note 2 5 2 2 6" xfId="12365" xr:uid="{00000000-0005-0000-0000-0000BEBC0000}"/>
    <cellStyle name="Note 2 5 2 3" xfId="4259" xr:uid="{00000000-0005-0000-0000-0000BFBC0000}"/>
    <cellStyle name="Note 2 5 2 3 2" xfId="9121" xr:uid="{00000000-0005-0000-0000-0000C0BC0000}"/>
    <cellStyle name="Note 2 5 2 3 2 2" xfId="28572" xr:uid="{00000000-0005-0000-0000-0000C1BC0000}"/>
    <cellStyle name="Note 2 5 2 3 2 3" xfId="38297" xr:uid="{00000000-0005-0000-0000-0000C2BC0000}"/>
    <cellStyle name="Note 2 5 2 3 2 4" xfId="48022" xr:uid="{00000000-0005-0000-0000-0000C3BC0000}"/>
    <cellStyle name="Note 2 5 2 3 2 5" xfId="18847" xr:uid="{00000000-0005-0000-0000-0000C4BC0000}"/>
    <cellStyle name="Note 2 5 2 3 3" xfId="23710" xr:uid="{00000000-0005-0000-0000-0000C5BC0000}"/>
    <cellStyle name="Note 2 5 2 3 4" xfId="33435" xr:uid="{00000000-0005-0000-0000-0000C6BC0000}"/>
    <cellStyle name="Note 2 5 2 3 5" xfId="43160" xr:uid="{00000000-0005-0000-0000-0000C7BC0000}"/>
    <cellStyle name="Note 2 5 2 3 6" xfId="13985" xr:uid="{00000000-0005-0000-0000-0000C8BC0000}"/>
    <cellStyle name="Note 2 5 2 4" xfId="5881" xr:uid="{00000000-0005-0000-0000-0000C9BC0000}"/>
    <cellStyle name="Note 2 5 2 4 2" xfId="25332" xr:uid="{00000000-0005-0000-0000-0000CABC0000}"/>
    <cellStyle name="Note 2 5 2 4 3" xfId="35057" xr:uid="{00000000-0005-0000-0000-0000CBBC0000}"/>
    <cellStyle name="Note 2 5 2 4 4" xfId="44782" xr:uid="{00000000-0005-0000-0000-0000CCBC0000}"/>
    <cellStyle name="Note 2 5 2 4 5" xfId="15607" xr:uid="{00000000-0005-0000-0000-0000CDBC0000}"/>
    <cellStyle name="Note 2 5 2 5" xfId="20470" xr:uid="{00000000-0005-0000-0000-0000CEBC0000}"/>
    <cellStyle name="Note 2 5 2 6" xfId="30195" xr:uid="{00000000-0005-0000-0000-0000CFBC0000}"/>
    <cellStyle name="Note 2 5 2 7" xfId="39920" xr:uid="{00000000-0005-0000-0000-0000D0BC0000}"/>
    <cellStyle name="Note 2 5 2 8" xfId="10745" xr:uid="{00000000-0005-0000-0000-0000D1BC0000}"/>
    <cellStyle name="Note 2 5 3" xfId="1468" xr:uid="{00000000-0005-0000-0000-0000D2BC0000}"/>
    <cellStyle name="Note 2 5 3 2" xfId="3089" xr:uid="{00000000-0005-0000-0000-0000D3BC0000}"/>
    <cellStyle name="Note 2 5 3 2 2" xfId="7951" xr:uid="{00000000-0005-0000-0000-0000D4BC0000}"/>
    <cellStyle name="Note 2 5 3 2 2 2" xfId="27402" xr:uid="{00000000-0005-0000-0000-0000D5BC0000}"/>
    <cellStyle name="Note 2 5 3 2 2 3" xfId="37127" xr:uid="{00000000-0005-0000-0000-0000D6BC0000}"/>
    <cellStyle name="Note 2 5 3 2 2 4" xfId="46852" xr:uid="{00000000-0005-0000-0000-0000D7BC0000}"/>
    <cellStyle name="Note 2 5 3 2 2 5" xfId="17677" xr:uid="{00000000-0005-0000-0000-0000D8BC0000}"/>
    <cellStyle name="Note 2 5 3 2 3" xfId="22540" xr:uid="{00000000-0005-0000-0000-0000D9BC0000}"/>
    <cellStyle name="Note 2 5 3 2 4" xfId="32265" xr:uid="{00000000-0005-0000-0000-0000DABC0000}"/>
    <cellStyle name="Note 2 5 3 2 5" xfId="41990" xr:uid="{00000000-0005-0000-0000-0000DBBC0000}"/>
    <cellStyle name="Note 2 5 3 2 6" xfId="12815" xr:uid="{00000000-0005-0000-0000-0000DCBC0000}"/>
    <cellStyle name="Note 2 5 3 3" xfId="4709" xr:uid="{00000000-0005-0000-0000-0000DDBC0000}"/>
    <cellStyle name="Note 2 5 3 3 2" xfId="9571" xr:uid="{00000000-0005-0000-0000-0000DEBC0000}"/>
    <cellStyle name="Note 2 5 3 3 2 2" xfId="29022" xr:uid="{00000000-0005-0000-0000-0000DFBC0000}"/>
    <cellStyle name="Note 2 5 3 3 2 3" xfId="38747" xr:uid="{00000000-0005-0000-0000-0000E0BC0000}"/>
    <cellStyle name="Note 2 5 3 3 2 4" xfId="48472" xr:uid="{00000000-0005-0000-0000-0000E1BC0000}"/>
    <cellStyle name="Note 2 5 3 3 2 5" xfId="19297" xr:uid="{00000000-0005-0000-0000-0000E2BC0000}"/>
    <cellStyle name="Note 2 5 3 3 3" xfId="24160" xr:uid="{00000000-0005-0000-0000-0000E3BC0000}"/>
    <cellStyle name="Note 2 5 3 3 4" xfId="33885" xr:uid="{00000000-0005-0000-0000-0000E4BC0000}"/>
    <cellStyle name="Note 2 5 3 3 5" xfId="43610" xr:uid="{00000000-0005-0000-0000-0000E5BC0000}"/>
    <cellStyle name="Note 2 5 3 3 6" xfId="14435" xr:uid="{00000000-0005-0000-0000-0000E6BC0000}"/>
    <cellStyle name="Note 2 5 3 4" xfId="6331" xr:uid="{00000000-0005-0000-0000-0000E7BC0000}"/>
    <cellStyle name="Note 2 5 3 4 2" xfId="25782" xr:uid="{00000000-0005-0000-0000-0000E8BC0000}"/>
    <cellStyle name="Note 2 5 3 4 3" xfId="35507" xr:uid="{00000000-0005-0000-0000-0000E9BC0000}"/>
    <cellStyle name="Note 2 5 3 4 4" xfId="45232" xr:uid="{00000000-0005-0000-0000-0000EABC0000}"/>
    <cellStyle name="Note 2 5 3 4 5" xfId="16057" xr:uid="{00000000-0005-0000-0000-0000EBBC0000}"/>
    <cellStyle name="Note 2 5 3 5" xfId="20920" xr:uid="{00000000-0005-0000-0000-0000ECBC0000}"/>
    <cellStyle name="Note 2 5 3 6" xfId="30645" xr:uid="{00000000-0005-0000-0000-0000EDBC0000}"/>
    <cellStyle name="Note 2 5 3 7" xfId="40370" xr:uid="{00000000-0005-0000-0000-0000EEBC0000}"/>
    <cellStyle name="Note 2 5 3 8" xfId="11195" xr:uid="{00000000-0005-0000-0000-0000EFBC0000}"/>
    <cellStyle name="Note 2 5 4" xfId="639" xr:uid="{00000000-0005-0000-0000-0000F0BC0000}"/>
    <cellStyle name="Note 2 5 4 2" xfId="2279" xr:uid="{00000000-0005-0000-0000-0000F1BC0000}"/>
    <cellStyle name="Note 2 5 4 2 2" xfId="7141" xr:uid="{00000000-0005-0000-0000-0000F2BC0000}"/>
    <cellStyle name="Note 2 5 4 2 2 2" xfId="26592" xr:uid="{00000000-0005-0000-0000-0000F3BC0000}"/>
    <cellStyle name="Note 2 5 4 2 2 3" xfId="36317" xr:uid="{00000000-0005-0000-0000-0000F4BC0000}"/>
    <cellStyle name="Note 2 5 4 2 2 4" xfId="46042" xr:uid="{00000000-0005-0000-0000-0000F5BC0000}"/>
    <cellStyle name="Note 2 5 4 2 2 5" xfId="16867" xr:uid="{00000000-0005-0000-0000-0000F6BC0000}"/>
    <cellStyle name="Note 2 5 4 2 3" xfId="21730" xr:uid="{00000000-0005-0000-0000-0000F7BC0000}"/>
    <cellStyle name="Note 2 5 4 2 4" xfId="31455" xr:uid="{00000000-0005-0000-0000-0000F8BC0000}"/>
    <cellStyle name="Note 2 5 4 2 5" xfId="41180" xr:uid="{00000000-0005-0000-0000-0000F9BC0000}"/>
    <cellStyle name="Note 2 5 4 2 6" xfId="12005" xr:uid="{00000000-0005-0000-0000-0000FABC0000}"/>
    <cellStyle name="Note 2 5 4 3" xfId="3899" xr:uid="{00000000-0005-0000-0000-0000FBBC0000}"/>
    <cellStyle name="Note 2 5 4 3 2" xfId="8761" xr:uid="{00000000-0005-0000-0000-0000FCBC0000}"/>
    <cellStyle name="Note 2 5 4 3 2 2" xfId="28212" xr:uid="{00000000-0005-0000-0000-0000FDBC0000}"/>
    <cellStyle name="Note 2 5 4 3 2 3" xfId="37937" xr:uid="{00000000-0005-0000-0000-0000FEBC0000}"/>
    <cellStyle name="Note 2 5 4 3 2 4" xfId="47662" xr:uid="{00000000-0005-0000-0000-0000FFBC0000}"/>
    <cellStyle name="Note 2 5 4 3 2 5" xfId="18487" xr:uid="{00000000-0005-0000-0000-000000BD0000}"/>
    <cellStyle name="Note 2 5 4 3 3" xfId="23350" xr:uid="{00000000-0005-0000-0000-000001BD0000}"/>
    <cellStyle name="Note 2 5 4 3 4" xfId="33075" xr:uid="{00000000-0005-0000-0000-000002BD0000}"/>
    <cellStyle name="Note 2 5 4 3 5" xfId="42800" xr:uid="{00000000-0005-0000-0000-000003BD0000}"/>
    <cellStyle name="Note 2 5 4 3 6" xfId="13625" xr:uid="{00000000-0005-0000-0000-000004BD0000}"/>
    <cellStyle name="Note 2 5 4 4" xfId="5521" xr:uid="{00000000-0005-0000-0000-000005BD0000}"/>
    <cellStyle name="Note 2 5 4 4 2" xfId="24972" xr:uid="{00000000-0005-0000-0000-000006BD0000}"/>
    <cellStyle name="Note 2 5 4 4 3" xfId="34697" xr:uid="{00000000-0005-0000-0000-000007BD0000}"/>
    <cellStyle name="Note 2 5 4 4 4" xfId="44422" xr:uid="{00000000-0005-0000-0000-000008BD0000}"/>
    <cellStyle name="Note 2 5 4 4 5" xfId="15247" xr:uid="{00000000-0005-0000-0000-000009BD0000}"/>
    <cellStyle name="Note 2 5 4 5" xfId="20110" xr:uid="{00000000-0005-0000-0000-00000ABD0000}"/>
    <cellStyle name="Note 2 5 4 6" xfId="29835" xr:uid="{00000000-0005-0000-0000-00000BBD0000}"/>
    <cellStyle name="Note 2 5 4 7" xfId="39560" xr:uid="{00000000-0005-0000-0000-00000CBD0000}"/>
    <cellStyle name="Note 2 5 4 8" xfId="10385" xr:uid="{00000000-0005-0000-0000-00000DBD0000}"/>
    <cellStyle name="Note 2 5 5" xfId="1919" xr:uid="{00000000-0005-0000-0000-00000EBD0000}"/>
    <cellStyle name="Note 2 5 5 2" xfId="6781" xr:uid="{00000000-0005-0000-0000-00000FBD0000}"/>
    <cellStyle name="Note 2 5 5 2 2" xfId="26232" xr:uid="{00000000-0005-0000-0000-000010BD0000}"/>
    <cellStyle name="Note 2 5 5 2 3" xfId="35957" xr:uid="{00000000-0005-0000-0000-000011BD0000}"/>
    <cellStyle name="Note 2 5 5 2 4" xfId="45682" xr:uid="{00000000-0005-0000-0000-000012BD0000}"/>
    <cellStyle name="Note 2 5 5 2 5" xfId="16507" xr:uid="{00000000-0005-0000-0000-000013BD0000}"/>
    <cellStyle name="Note 2 5 5 3" xfId="21370" xr:uid="{00000000-0005-0000-0000-000014BD0000}"/>
    <cellStyle name="Note 2 5 5 4" xfId="31095" xr:uid="{00000000-0005-0000-0000-000015BD0000}"/>
    <cellStyle name="Note 2 5 5 5" xfId="40820" xr:uid="{00000000-0005-0000-0000-000016BD0000}"/>
    <cellStyle name="Note 2 5 5 6" xfId="11645" xr:uid="{00000000-0005-0000-0000-000017BD0000}"/>
    <cellStyle name="Note 2 5 6" xfId="3539" xr:uid="{00000000-0005-0000-0000-000018BD0000}"/>
    <cellStyle name="Note 2 5 6 2" xfId="8401" xr:uid="{00000000-0005-0000-0000-000019BD0000}"/>
    <cellStyle name="Note 2 5 6 2 2" xfId="27852" xr:uid="{00000000-0005-0000-0000-00001ABD0000}"/>
    <cellStyle name="Note 2 5 6 2 3" xfId="37577" xr:uid="{00000000-0005-0000-0000-00001BBD0000}"/>
    <cellStyle name="Note 2 5 6 2 4" xfId="47302" xr:uid="{00000000-0005-0000-0000-00001CBD0000}"/>
    <cellStyle name="Note 2 5 6 2 5" xfId="18127" xr:uid="{00000000-0005-0000-0000-00001DBD0000}"/>
    <cellStyle name="Note 2 5 6 3" xfId="22990" xr:uid="{00000000-0005-0000-0000-00001EBD0000}"/>
    <cellStyle name="Note 2 5 6 4" xfId="32715" xr:uid="{00000000-0005-0000-0000-00001FBD0000}"/>
    <cellStyle name="Note 2 5 6 5" xfId="42440" xr:uid="{00000000-0005-0000-0000-000020BD0000}"/>
    <cellStyle name="Note 2 5 6 6" xfId="13265" xr:uid="{00000000-0005-0000-0000-000021BD0000}"/>
    <cellStyle name="Note 2 5 7" xfId="5161" xr:uid="{00000000-0005-0000-0000-000022BD0000}"/>
    <cellStyle name="Note 2 5 7 2" xfId="24612" xr:uid="{00000000-0005-0000-0000-000023BD0000}"/>
    <cellStyle name="Note 2 5 7 3" xfId="34337" xr:uid="{00000000-0005-0000-0000-000024BD0000}"/>
    <cellStyle name="Note 2 5 7 4" xfId="44062" xr:uid="{00000000-0005-0000-0000-000025BD0000}"/>
    <cellStyle name="Note 2 5 7 5" xfId="14887" xr:uid="{00000000-0005-0000-0000-000026BD0000}"/>
    <cellStyle name="Note 2 5 8" xfId="19750" xr:uid="{00000000-0005-0000-0000-000027BD0000}"/>
    <cellStyle name="Note 2 5 9" xfId="29475" xr:uid="{00000000-0005-0000-0000-000028BD0000}"/>
    <cellStyle name="Note 2 6" xfId="328" xr:uid="{00000000-0005-0000-0000-000029BD0000}"/>
    <cellStyle name="Note 2 6 10" xfId="39290" xr:uid="{00000000-0005-0000-0000-00002ABD0000}"/>
    <cellStyle name="Note 2 6 11" xfId="10115" xr:uid="{00000000-0005-0000-0000-00002BBD0000}"/>
    <cellStyle name="Note 2 6 2" xfId="1091" xr:uid="{00000000-0005-0000-0000-00002CBD0000}"/>
    <cellStyle name="Note 2 6 2 2" xfId="2729" xr:uid="{00000000-0005-0000-0000-00002DBD0000}"/>
    <cellStyle name="Note 2 6 2 2 2" xfId="7591" xr:uid="{00000000-0005-0000-0000-00002EBD0000}"/>
    <cellStyle name="Note 2 6 2 2 2 2" xfId="27042" xr:uid="{00000000-0005-0000-0000-00002FBD0000}"/>
    <cellStyle name="Note 2 6 2 2 2 3" xfId="36767" xr:uid="{00000000-0005-0000-0000-000030BD0000}"/>
    <cellStyle name="Note 2 6 2 2 2 4" xfId="46492" xr:uid="{00000000-0005-0000-0000-000031BD0000}"/>
    <cellStyle name="Note 2 6 2 2 2 5" xfId="17317" xr:uid="{00000000-0005-0000-0000-000032BD0000}"/>
    <cellStyle name="Note 2 6 2 2 3" xfId="22180" xr:uid="{00000000-0005-0000-0000-000033BD0000}"/>
    <cellStyle name="Note 2 6 2 2 4" xfId="31905" xr:uid="{00000000-0005-0000-0000-000034BD0000}"/>
    <cellStyle name="Note 2 6 2 2 5" xfId="41630" xr:uid="{00000000-0005-0000-0000-000035BD0000}"/>
    <cellStyle name="Note 2 6 2 2 6" xfId="12455" xr:uid="{00000000-0005-0000-0000-000036BD0000}"/>
    <cellStyle name="Note 2 6 2 3" xfId="4349" xr:uid="{00000000-0005-0000-0000-000037BD0000}"/>
    <cellStyle name="Note 2 6 2 3 2" xfId="9211" xr:uid="{00000000-0005-0000-0000-000038BD0000}"/>
    <cellStyle name="Note 2 6 2 3 2 2" xfId="28662" xr:uid="{00000000-0005-0000-0000-000039BD0000}"/>
    <cellStyle name="Note 2 6 2 3 2 3" xfId="38387" xr:uid="{00000000-0005-0000-0000-00003ABD0000}"/>
    <cellStyle name="Note 2 6 2 3 2 4" xfId="48112" xr:uid="{00000000-0005-0000-0000-00003BBD0000}"/>
    <cellStyle name="Note 2 6 2 3 2 5" xfId="18937" xr:uid="{00000000-0005-0000-0000-00003CBD0000}"/>
    <cellStyle name="Note 2 6 2 3 3" xfId="23800" xr:uid="{00000000-0005-0000-0000-00003DBD0000}"/>
    <cellStyle name="Note 2 6 2 3 4" xfId="33525" xr:uid="{00000000-0005-0000-0000-00003EBD0000}"/>
    <cellStyle name="Note 2 6 2 3 5" xfId="43250" xr:uid="{00000000-0005-0000-0000-00003FBD0000}"/>
    <cellStyle name="Note 2 6 2 3 6" xfId="14075" xr:uid="{00000000-0005-0000-0000-000040BD0000}"/>
    <cellStyle name="Note 2 6 2 4" xfId="5971" xr:uid="{00000000-0005-0000-0000-000041BD0000}"/>
    <cellStyle name="Note 2 6 2 4 2" xfId="25422" xr:uid="{00000000-0005-0000-0000-000042BD0000}"/>
    <cellStyle name="Note 2 6 2 4 3" xfId="35147" xr:uid="{00000000-0005-0000-0000-000043BD0000}"/>
    <cellStyle name="Note 2 6 2 4 4" xfId="44872" xr:uid="{00000000-0005-0000-0000-000044BD0000}"/>
    <cellStyle name="Note 2 6 2 4 5" xfId="15697" xr:uid="{00000000-0005-0000-0000-000045BD0000}"/>
    <cellStyle name="Note 2 6 2 5" xfId="20560" xr:uid="{00000000-0005-0000-0000-000046BD0000}"/>
    <cellStyle name="Note 2 6 2 6" xfId="30285" xr:uid="{00000000-0005-0000-0000-000047BD0000}"/>
    <cellStyle name="Note 2 6 2 7" xfId="40010" xr:uid="{00000000-0005-0000-0000-000048BD0000}"/>
    <cellStyle name="Note 2 6 2 8" xfId="10835" xr:uid="{00000000-0005-0000-0000-000049BD0000}"/>
    <cellStyle name="Note 2 6 3" xfId="1558" xr:uid="{00000000-0005-0000-0000-00004ABD0000}"/>
    <cellStyle name="Note 2 6 3 2" xfId="3179" xr:uid="{00000000-0005-0000-0000-00004BBD0000}"/>
    <cellStyle name="Note 2 6 3 2 2" xfId="8041" xr:uid="{00000000-0005-0000-0000-00004CBD0000}"/>
    <cellStyle name="Note 2 6 3 2 2 2" xfId="27492" xr:uid="{00000000-0005-0000-0000-00004DBD0000}"/>
    <cellStyle name="Note 2 6 3 2 2 3" xfId="37217" xr:uid="{00000000-0005-0000-0000-00004EBD0000}"/>
    <cellStyle name="Note 2 6 3 2 2 4" xfId="46942" xr:uid="{00000000-0005-0000-0000-00004FBD0000}"/>
    <cellStyle name="Note 2 6 3 2 2 5" xfId="17767" xr:uid="{00000000-0005-0000-0000-000050BD0000}"/>
    <cellStyle name="Note 2 6 3 2 3" xfId="22630" xr:uid="{00000000-0005-0000-0000-000051BD0000}"/>
    <cellStyle name="Note 2 6 3 2 4" xfId="32355" xr:uid="{00000000-0005-0000-0000-000052BD0000}"/>
    <cellStyle name="Note 2 6 3 2 5" xfId="42080" xr:uid="{00000000-0005-0000-0000-000053BD0000}"/>
    <cellStyle name="Note 2 6 3 2 6" xfId="12905" xr:uid="{00000000-0005-0000-0000-000054BD0000}"/>
    <cellStyle name="Note 2 6 3 3" xfId="4799" xr:uid="{00000000-0005-0000-0000-000055BD0000}"/>
    <cellStyle name="Note 2 6 3 3 2" xfId="9661" xr:uid="{00000000-0005-0000-0000-000056BD0000}"/>
    <cellStyle name="Note 2 6 3 3 2 2" xfId="29112" xr:uid="{00000000-0005-0000-0000-000057BD0000}"/>
    <cellStyle name="Note 2 6 3 3 2 3" xfId="38837" xr:uid="{00000000-0005-0000-0000-000058BD0000}"/>
    <cellStyle name="Note 2 6 3 3 2 4" xfId="48562" xr:uid="{00000000-0005-0000-0000-000059BD0000}"/>
    <cellStyle name="Note 2 6 3 3 2 5" xfId="19387" xr:uid="{00000000-0005-0000-0000-00005ABD0000}"/>
    <cellStyle name="Note 2 6 3 3 3" xfId="24250" xr:uid="{00000000-0005-0000-0000-00005BBD0000}"/>
    <cellStyle name="Note 2 6 3 3 4" xfId="33975" xr:uid="{00000000-0005-0000-0000-00005CBD0000}"/>
    <cellStyle name="Note 2 6 3 3 5" xfId="43700" xr:uid="{00000000-0005-0000-0000-00005DBD0000}"/>
    <cellStyle name="Note 2 6 3 3 6" xfId="14525" xr:uid="{00000000-0005-0000-0000-00005EBD0000}"/>
    <cellStyle name="Note 2 6 3 4" xfId="6421" xr:uid="{00000000-0005-0000-0000-00005FBD0000}"/>
    <cellStyle name="Note 2 6 3 4 2" xfId="25872" xr:uid="{00000000-0005-0000-0000-000060BD0000}"/>
    <cellStyle name="Note 2 6 3 4 3" xfId="35597" xr:uid="{00000000-0005-0000-0000-000061BD0000}"/>
    <cellStyle name="Note 2 6 3 4 4" xfId="45322" xr:uid="{00000000-0005-0000-0000-000062BD0000}"/>
    <cellStyle name="Note 2 6 3 4 5" xfId="16147" xr:uid="{00000000-0005-0000-0000-000063BD0000}"/>
    <cellStyle name="Note 2 6 3 5" xfId="21010" xr:uid="{00000000-0005-0000-0000-000064BD0000}"/>
    <cellStyle name="Note 2 6 3 6" xfId="30735" xr:uid="{00000000-0005-0000-0000-000065BD0000}"/>
    <cellStyle name="Note 2 6 3 7" xfId="40460" xr:uid="{00000000-0005-0000-0000-000066BD0000}"/>
    <cellStyle name="Note 2 6 3 8" xfId="11285" xr:uid="{00000000-0005-0000-0000-000067BD0000}"/>
    <cellStyle name="Note 2 6 4" xfId="729" xr:uid="{00000000-0005-0000-0000-000068BD0000}"/>
    <cellStyle name="Note 2 6 4 2" xfId="2369" xr:uid="{00000000-0005-0000-0000-000069BD0000}"/>
    <cellStyle name="Note 2 6 4 2 2" xfId="7231" xr:uid="{00000000-0005-0000-0000-00006ABD0000}"/>
    <cellStyle name="Note 2 6 4 2 2 2" xfId="26682" xr:uid="{00000000-0005-0000-0000-00006BBD0000}"/>
    <cellStyle name="Note 2 6 4 2 2 3" xfId="36407" xr:uid="{00000000-0005-0000-0000-00006CBD0000}"/>
    <cellStyle name="Note 2 6 4 2 2 4" xfId="46132" xr:uid="{00000000-0005-0000-0000-00006DBD0000}"/>
    <cellStyle name="Note 2 6 4 2 2 5" xfId="16957" xr:uid="{00000000-0005-0000-0000-00006EBD0000}"/>
    <cellStyle name="Note 2 6 4 2 3" xfId="21820" xr:uid="{00000000-0005-0000-0000-00006FBD0000}"/>
    <cellStyle name="Note 2 6 4 2 4" xfId="31545" xr:uid="{00000000-0005-0000-0000-000070BD0000}"/>
    <cellStyle name="Note 2 6 4 2 5" xfId="41270" xr:uid="{00000000-0005-0000-0000-000071BD0000}"/>
    <cellStyle name="Note 2 6 4 2 6" xfId="12095" xr:uid="{00000000-0005-0000-0000-000072BD0000}"/>
    <cellStyle name="Note 2 6 4 3" xfId="3989" xr:uid="{00000000-0005-0000-0000-000073BD0000}"/>
    <cellStyle name="Note 2 6 4 3 2" xfId="8851" xr:uid="{00000000-0005-0000-0000-000074BD0000}"/>
    <cellStyle name="Note 2 6 4 3 2 2" xfId="28302" xr:uid="{00000000-0005-0000-0000-000075BD0000}"/>
    <cellStyle name="Note 2 6 4 3 2 3" xfId="38027" xr:uid="{00000000-0005-0000-0000-000076BD0000}"/>
    <cellStyle name="Note 2 6 4 3 2 4" xfId="47752" xr:uid="{00000000-0005-0000-0000-000077BD0000}"/>
    <cellStyle name="Note 2 6 4 3 2 5" xfId="18577" xr:uid="{00000000-0005-0000-0000-000078BD0000}"/>
    <cellStyle name="Note 2 6 4 3 3" xfId="23440" xr:uid="{00000000-0005-0000-0000-000079BD0000}"/>
    <cellStyle name="Note 2 6 4 3 4" xfId="33165" xr:uid="{00000000-0005-0000-0000-00007ABD0000}"/>
    <cellStyle name="Note 2 6 4 3 5" xfId="42890" xr:uid="{00000000-0005-0000-0000-00007BBD0000}"/>
    <cellStyle name="Note 2 6 4 3 6" xfId="13715" xr:uid="{00000000-0005-0000-0000-00007CBD0000}"/>
    <cellStyle name="Note 2 6 4 4" xfId="5611" xr:uid="{00000000-0005-0000-0000-00007DBD0000}"/>
    <cellStyle name="Note 2 6 4 4 2" xfId="25062" xr:uid="{00000000-0005-0000-0000-00007EBD0000}"/>
    <cellStyle name="Note 2 6 4 4 3" xfId="34787" xr:uid="{00000000-0005-0000-0000-00007FBD0000}"/>
    <cellStyle name="Note 2 6 4 4 4" xfId="44512" xr:uid="{00000000-0005-0000-0000-000080BD0000}"/>
    <cellStyle name="Note 2 6 4 4 5" xfId="15337" xr:uid="{00000000-0005-0000-0000-000081BD0000}"/>
    <cellStyle name="Note 2 6 4 5" xfId="20200" xr:uid="{00000000-0005-0000-0000-000082BD0000}"/>
    <cellStyle name="Note 2 6 4 6" xfId="29925" xr:uid="{00000000-0005-0000-0000-000083BD0000}"/>
    <cellStyle name="Note 2 6 4 7" xfId="39650" xr:uid="{00000000-0005-0000-0000-000084BD0000}"/>
    <cellStyle name="Note 2 6 4 8" xfId="10475" xr:uid="{00000000-0005-0000-0000-000085BD0000}"/>
    <cellStyle name="Note 2 6 5" xfId="2009" xr:uid="{00000000-0005-0000-0000-000086BD0000}"/>
    <cellStyle name="Note 2 6 5 2" xfId="6871" xr:uid="{00000000-0005-0000-0000-000087BD0000}"/>
    <cellStyle name="Note 2 6 5 2 2" xfId="26322" xr:uid="{00000000-0005-0000-0000-000088BD0000}"/>
    <cellStyle name="Note 2 6 5 2 3" xfId="36047" xr:uid="{00000000-0005-0000-0000-000089BD0000}"/>
    <cellStyle name="Note 2 6 5 2 4" xfId="45772" xr:uid="{00000000-0005-0000-0000-00008ABD0000}"/>
    <cellStyle name="Note 2 6 5 2 5" xfId="16597" xr:uid="{00000000-0005-0000-0000-00008BBD0000}"/>
    <cellStyle name="Note 2 6 5 3" xfId="21460" xr:uid="{00000000-0005-0000-0000-00008CBD0000}"/>
    <cellStyle name="Note 2 6 5 4" xfId="31185" xr:uid="{00000000-0005-0000-0000-00008DBD0000}"/>
    <cellStyle name="Note 2 6 5 5" xfId="40910" xr:uid="{00000000-0005-0000-0000-00008EBD0000}"/>
    <cellStyle name="Note 2 6 5 6" xfId="11735" xr:uid="{00000000-0005-0000-0000-00008FBD0000}"/>
    <cellStyle name="Note 2 6 6" xfId="3629" xr:uid="{00000000-0005-0000-0000-000090BD0000}"/>
    <cellStyle name="Note 2 6 6 2" xfId="8491" xr:uid="{00000000-0005-0000-0000-000091BD0000}"/>
    <cellStyle name="Note 2 6 6 2 2" xfId="27942" xr:uid="{00000000-0005-0000-0000-000092BD0000}"/>
    <cellStyle name="Note 2 6 6 2 3" xfId="37667" xr:uid="{00000000-0005-0000-0000-000093BD0000}"/>
    <cellStyle name="Note 2 6 6 2 4" xfId="47392" xr:uid="{00000000-0005-0000-0000-000094BD0000}"/>
    <cellStyle name="Note 2 6 6 2 5" xfId="18217" xr:uid="{00000000-0005-0000-0000-000095BD0000}"/>
    <cellStyle name="Note 2 6 6 3" xfId="23080" xr:uid="{00000000-0005-0000-0000-000096BD0000}"/>
    <cellStyle name="Note 2 6 6 4" xfId="32805" xr:uid="{00000000-0005-0000-0000-000097BD0000}"/>
    <cellStyle name="Note 2 6 6 5" xfId="42530" xr:uid="{00000000-0005-0000-0000-000098BD0000}"/>
    <cellStyle name="Note 2 6 6 6" xfId="13355" xr:uid="{00000000-0005-0000-0000-000099BD0000}"/>
    <cellStyle name="Note 2 6 7" xfId="5251" xr:uid="{00000000-0005-0000-0000-00009ABD0000}"/>
    <cellStyle name="Note 2 6 7 2" xfId="24702" xr:uid="{00000000-0005-0000-0000-00009BBD0000}"/>
    <cellStyle name="Note 2 6 7 3" xfId="34427" xr:uid="{00000000-0005-0000-0000-00009CBD0000}"/>
    <cellStyle name="Note 2 6 7 4" xfId="44152" xr:uid="{00000000-0005-0000-0000-00009DBD0000}"/>
    <cellStyle name="Note 2 6 7 5" xfId="14977" xr:uid="{00000000-0005-0000-0000-00009EBD0000}"/>
    <cellStyle name="Note 2 6 8" xfId="19840" xr:uid="{00000000-0005-0000-0000-00009FBD0000}"/>
    <cellStyle name="Note 2 6 9" xfId="29565" xr:uid="{00000000-0005-0000-0000-0000A0BD0000}"/>
    <cellStyle name="Note 2 7" xfId="146" xr:uid="{00000000-0005-0000-0000-0000A1BD0000}"/>
    <cellStyle name="Note 2 7 10" xfId="39110" xr:uid="{00000000-0005-0000-0000-0000A2BD0000}"/>
    <cellStyle name="Note 2 7 11" xfId="9935" xr:uid="{00000000-0005-0000-0000-0000A3BD0000}"/>
    <cellStyle name="Note 2 7 2" xfId="910" xr:uid="{00000000-0005-0000-0000-0000A4BD0000}"/>
    <cellStyle name="Note 2 7 2 2" xfId="2549" xr:uid="{00000000-0005-0000-0000-0000A5BD0000}"/>
    <cellStyle name="Note 2 7 2 2 2" xfId="7411" xr:uid="{00000000-0005-0000-0000-0000A6BD0000}"/>
    <cellStyle name="Note 2 7 2 2 2 2" xfId="26862" xr:uid="{00000000-0005-0000-0000-0000A7BD0000}"/>
    <cellStyle name="Note 2 7 2 2 2 3" xfId="36587" xr:uid="{00000000-0005-0000-0000-0000A8BD0000}"/>
    <cellStyle name="Note 2 7 2 2 2 4" xfId="46312" xr:uid="{00000000-0005-0000-0000-0000A9BD0000}"/>
    <cellStyle name="Note 2 7 2 2 2 5" xfId="17137" xr:uid="{00000000-0005-0000-0000-0000AABD0000}"/>
    <cellStyle name="Note 2 7 2 2 3" xfId="22000" xr:uid="{00000000-0005-0000-0000-0000ABBD0000}"/>
    <cellStyle name="Note 2 7 2 2 4" xfId="31725" xr:uid="{00000000-0005-0000-0000-0000ACBD0000}"/>
    <cellStyle name="Note 2 7 2 2 5" xfId="41450" xr:uid="{00000000-0005-0000-0000-0000ADBD0000}"/>
    <cellStyle name="Note 2 7 2 2 6" xfId="12275" xr:uid="{00000000-0005-0000-0000-0000AEBD0000}"/>
    <cellStyle name="Note 2 7 2 3" xfId="4169" xr:uid="{00000000-0005-0000-0000-0000AFBD0000}"/>
    <cellStyle name="Note 2 7 2 3 2" xfId="9031" xr:uid="{00000000-0005-0000-0000-0000B0BD0000}"/>
    <cellStyle name="Note 2 7 2 3 2 2" xfId="28482" xr:uid="{00000000-0005-0000-0000-0000B1BD0000}"/>
    <cellStyle name="Note 2 7 2 3 2 3" xfId="38207" xr:uid="{00000000-0005-0000-0000-0000B2BD0000}"/>
    <cellStyle name="Note 2 7 2 3 2 4" xfId="47932" xr:uid="{00000000-0005-0000-0000-0000B3BD0000}"/>
    <cellStyle name="Note 2 7 2 3 2 5" xfId="18757" xr:uid="{00000000-0005-0000-0000-0000B4BD0000}"/>
    <cellStyle name="Note 2 7 2 3 3" xfId="23620" xr:uid="{00000000-0005-0000-0000-0000B5BD0000}"/>
    <cellStyle name="Note 2 7 2 3 4" xfId="33345" xr:uid="{00000000-0005-0000-0000-0000B6BD0000}"/>
    <cellStyle name="Note 2 7 2 3 5" xfId="43070" xr:uid="{00000000-0005-0000-0000-0000B7BD0000}"/>
    <cellStyle name="Note 2 7 2 3 6" xfId="13895" xr:uid="{00000000-0005-0000-0000-0000B8BD0000}"/>
    <cellStyle name="Note 2 7 2 4" xfId="5791" xr:uid="{00000000-0005-0000-0000-0000B9BD0000}"/>
    <cellStyle name="Note 2 7 2 4 2" xfId="25242" xr:uid="{00000000-0005-0000-0000-0000BABD0000}"/>
    <cellStyle name="Note 2 7 2 4 3" xfId="34967" xr:uid="{00000000-0005-0000-0000-0000BBBD0000}"/>
    <cellStyle name="Note 2 7 2 4 4" xfId="44692" xr:uid="{00000000-0005-0000-0000-0000BCBD0000}"/>
    <cellStyle name="Note 2 7 2 4 5" xfId="15517" xr:uid="{00000000-0005-0000-0000-0000BDBD0000}"/>
    <cellStyle name="Note 2 7 2 5" xfId="20380" xr:uid="{00000000-0005-0000-0000-0000BEBD0000}"/>
    <cellStyle name="Note 2 7 2 6" xfId="30105" xr:uid="{00000000-0005-0000-0000-0000BFBD0000}"/>
    <cellStyle name="Note 2 7 2 7" xfId="39830" xr:uid="{00000000-0005-0000-0000-0000C0BD0000}"/>
    <cellStyle name="Note 2 7 2 8" xfId="10655" xr:uid="{00000000-0005-0000-0000-0000C1BD0000}"/>
    <cellStyle name="Note 2 7 3" xfId="1378" xr:uid="{00000000-0005-0000-0000-0000C2BD0000}"/>
    <cellStyle name="Note 2 7 3 2" xfId="2999" xr:uid="{00000000-0005-0000-0000-0000C3BD0000}"/>
    <cellStyle name="Note 2 7 3 2 2" xfId="7861" xr:uid="{00000000-0005-0000-0000-0000C4BD0000}"/>
    <cellStyle name="Note 2 7 3 2 2 2" xfId="27312" xr:uid="{00000000-0005-0000-0000-0000C5BD0000}"/>
    <cellStyle name="Note 2 7 3 2 2 3" xfId="37037" xr:uid="{00000000-0005-0000-0000-0000C6BD0000}"/>
    <cellStyle name="Note 2 7 3 2 2 4" xfId="46762" xr:uid="{00000000-0005-0000-0000-0000C7BD0000}"/>
    <cellStyle name="Note 2 7 3 2 2 5" xfId="17587" xr:uid="{00000000-0005-0000-0000-0000C8BD0000}"/>
    <cellStyle name="Note 2 7 3 2 3" xfId="22450" xr:uid="{00000000-0005-0000-0000-0000C9BD0000}"/>
    <cellStyle name="Note 2 7 3 2 4" xfId="32175" xr:uid="{00000000-0005-0000-0000-0000CABD0000}"/>
    <cellStyle name="Note 2 7 3 2 5" xfId="41900" xr:uid="{00000000-0005-0000-0000-0000CBBD0000}"/>
    <cellStyle name="Note 2 7 3 2 6" xfId="12725" xr:uid="{00000000-0005-0000-0000-0000CCBD0000}"/>
    <cellStyle name="Note 2 7 3 3" xfId="4619" xr:uid="{00000000-0005-0000-0000-0000CDBD0000}"/>
    <cellStyle name="Note 2 7 3 3 2" xfId="9481" xr:uid="{00000000-0005-0000-0000-0000CEBD0000}"/>
    <cellStyle name="Note 2 7 3 3 2 2" xfId="28932" xr:uid="{00000000-0005-0000-0000-0000CFBD0000}"/>
    <cellStyle name="Note 2 7 3 3 2 3" xfId="38657" xr:uid="{00000000-0005-0000-0000-0000D0BD0000}"/>
    <cellStyle name="Note 2 7 3 3 2 4" xfId="48382" xr:uid="{00000000-0005-0000-0000-0000D1BD0000}"/>
    <cellStyle name="Note 2 7 3 3 2 5" xfId="19207" xr:uid="{00000000-0005-0000-0000-0000D2BD0000}"/>
    <cellStyle name="Note 2 7 3 3 3" xfId="24070" xr:uid="{00000000-0005-0000-0000-0000D3BD0000}"/>
    <cellStyle name="Note 2 7 3 3 4" xfId="33795" xr:uid="{00000000-0005-0000-0000-0000D4BD0000}"/>
    <cellStyle name="Note 2 7 3 3 5" xfId="43520" xr:uid="{00000000-0005-0000-0000-0000D5BD0000}"/>
    <cellStyle name="Note 2 7 3 3 6" xfId="14345" xr:uid="{00000000-0005-0000-0000-0000D6BD0000}"/>
    <cellStyle name="Note 2 7 3 4" xfId="6241" xr:uid="{00000000-0005-0000-0000-0000D7BD0000}"/>
    <cellStyle name="Note 2 7 3 4 2" xfId="25692" xr:uid="{00000000-0005-0000-0000-0000D8BD0000}"/>
    <cellStyle name="Note 2 7 3 4 3" xfId="35417" xr:uid="{00000000-0005-0000-0000-0000D9BD0000}"/>
    <cellStyle name="Note 2 7 3 4 4" xfId="45142" xr:uid="{00000000-0005-0000-0000-0000DABD0000}"/>
    <cellStyle name="Note 2 7 3 4 5" xfId="15967" xr:uid="{00000000-0005-0000-0000-0000DBBD0000}"/>
    <cellStyle name="Note 2 7 3 5" xfId="20830" xr:uid="{00000000-0005-0000-0000-0000DCBD0000}"/>
    <cellStyle name="Note 2 7 3 6" xfId="30555" xr:uid="{00000000-0005-0000-0000-0000DDBD0000}"/>
    <cellStyle name="Note 2 7 3 7" xfId="40280" xr:uid="{00000000-0005-0000-0000-0000DEBD0000}"/>
    <cellStyle name="Note 2 7 3 8" xfId="11105" xr:uid="{00000000-0005-0000-0000-0000DFBD0000}"/>
    <cellStyle name="Note 2 7 4" xfId="549" xr:uid="{00000000-0005-0000-0000-0000E0BD0000}"/>
    <cellStyle name="Note 2 7 4 2" xfId="2189" xr:uid="{00000000-0005-0000-0000-0000E1BD0000}"/>
    <cellStyle name="Note 2 7 4 2 2" xfId="7051" xr:uid="{00000000-0005-0000-0000-0000E2BD0000}"/>
    <cellStyle name="Note 2 7 4 2 2 2" xfId="26502" xr:uid="{00000000-0005-0000-0000-0000E3BD0000}"/>
    <cellStyle name="Note 2 7 4 2 2 3" xfId="36227" xr:uid="{00000000-0005-0000-0000-0000E4BD0000}"/>
    <cellStyle name="Note 2 7 4 2 2 4" xfId="45952" xr:uid="{00000000-0005-0000-0000-0000E5BD0000}"/>
    <cellStyle name="Note 2 7 4 2 2 5" xfId="16777" xr:uid="{00000000-0005-0000-0000-0000E6BD0000}"/>
    <cellStyle name="Note 2 7 4 2 3" xfId="21640" xr:uid="{00000000-0005-0000-0000-0000E7BD0000}"/>
    <cellStyle name="Note 2 7 4 2 4" xfId="31365" xr:uid="{00000000-0005-0000-0000-0000E8BD0000}"/>
    <cellStyle name="Note 2 7 4 2 5" xfId="41090" xr:uid="{00000000-0005-0000-0000-0000E9BD0000}"/>
    <cellStyle name="Note 2 7 4 2 6" xfId="11915" xr:uid="{00000000-0005-0000-0000-0000EABD0000}"/>
    <cellStyle name="Note 2 7 4 3" xfId="3809" xr:uid="{00000000-0005-0000-0000-0000EBBD0000}"/>
    <cellStyle name="Note 2 7 4 3 2" xfId="8671" xr:uid="{00000000-0005-0000-0000-0000ECBD0000}"/>
    <cellStyle name="Note 2 7 4 3 2 2" xfId="28122" xr:uid="{00000000-0005-0000-0000-0000EDBD0000}"/>
    <cellStyle name="Note 2 7 4 3 2 3" xfId="37847" xr:uid="{00000000-0005-0000-0000-0000EEBD0000}"/>
    <cellStyle name="Note 2 7 4 3 2 4" xfId="47572" xr:uid="{00000000-0005-0000-0000-0000EFBD0000}"/>
    <cellStyle name="Note 2 7 4 3 2 5" xfId="18397" xr:uid="{00000000-0005-0000-0000-0000F0BD0000}"/>
    <cellStyle name="Note 2 7 4 3 3" xfId="23260" xr:uid="{00000000-0005-0000-0000-0000F1BD0000}"/>
    <cellStyle name="Note 2 7 4 3 4" xfId="32985" xr:uid="{00000000-0005-0000-0000-0000F2BD0000}"/>
    <cellStyle name="Note 2 7 4 3 5" xfId="42710" xr:uid="{00000000-0005-0000-0000-0000F3BD0000}"/>
    <cellStyle name="Note 2 7 4 3 6" xfId="13535" xr:uid="{00000000-0005-0000-0000-0000F4BD0000}"/>
    <cellStyle name="Note 2 7 4 4" xfId="5431" xr:uid="{00000000-0005-0000-0000-0000F5BD0000}"/>
    <cellStyle name="Note 2 7 4 4 2" xfId="24882" xr:uid="{00000000-0005-0000-0000-0000F6BD0000}"/>
    <cellStyle name="Note 2 7 4 4 3" xfId="34607" xr:uid="{00000000-0005-0000-0000-0000F7BD0000}"/>
    <cellStyle name="Note 2 7 4 4 4" xfId="44332" xr:uid="{00000000-0005-0000-0000-0000F8BD0000}"/>
    <cellStyle name="Note 2 7 4 4 5" xfId="15157" xr:uid="{00000000-0005-0000-0000-0000F9BD0000}"/>
    <cellStyle name="Note 2 7 4 5" xfId="20020" xr:uid="{00000000-0005-0000-0000-0000FABD0000}"/>
    <cellStyle name="Note 2 7 4 6" xfId="29745" xr:uid="{00000000-0005-0000-0000-0000FBBD0000}"/>
    <cellStyle name="Note 2 7 4 7" xfId="39470" xr:uid="{00000000-0005-0000-0000-0000FCBD0000}"/>
    <cellStyle name="Note 2 7 4 8" xfId="10295" xr:uid="{00000000-0005-0000-0000-0000FDBD0000}"/>
    <cellStyle name="Note 2 7 5" xfId="1829" xr:uid="{00000000-0005-0000-0000-0000FEBD0000}"/>
    <cellStyle name="Note 2 7 5 2" xfId="6691" xr:uid="{00000000-0005-0000-0000-0000FFBD0000}"/>
    <cellStyle name="Note 2 7 5 2 2" xfId="26142" xr:uid="{00000000-0005-0000-0000-000000BE0000}"/>
    <cellStyle name="Note 2 7 5 2 3" xfId="35867" xr:uid="{00000000-0005-0000-0000-000001BE0000}"/>
    <cellStyle name="Note 2 7 5 2 4" xfId="45592" xr:uid="{00000000-0005-0000-0000-000002BE0000}"/>
    <cellStyle name="Note 2 7 5 2 5" xfId="16417" xr:uid="{00000000-0005-0000-0000-000003BE0000}"/>
    <cellStyle name="Note 2 7 5 3" xfId="21280" xr:uid="{00000000-0005-0000-0000-000004BE0000}"/>
    <cellStyle name="Note 2 7 5 4" xfId="31005" xr:uid="{00000000-0005-0000-0000-000005BE0000}"/>
    <cellStyle name="Note 2 7 5 5" xfId="40730" xr:uid="{00000000-0005-0000-0000-000006BE0000}"/>
    <cellStyle name="Note 2 7 5 6" xfId="11555" xr:uid="{00000000-0005-0000-0000-000007BE0000}"/>
    <cellStyle name="Note 2 7 6" xfId="3449" xr:uid="{00000000-0005-0000-0000-000008BE0000}"/>
    <cellStyle name="Note 2 7 6 2" xfId="8311" xr:uid="{00000000-0005-0000-0000-000009BE0000}"/>
    <cellStyle name="Note 2 7 6 2 2" xfId="27762" xr:uid="{00000000-0005-0000-0000-00000ABE0000}"/>
    <cellStyle name="Note 2 7 6 2 3" xfId="37487" xr:uid="{00000000-0005-0000-0000-00000BBE0000}"/>
    <cellStyle name="Note 2 7 6 2 4" xfId="47212" xr:uid="{00000000-0005-0000-0000-00000CBE0000}"/>
    <cellStyle name="Note 2 7 6 2 5" xfId="18037" xr:uid="{00000000-0005-0000-0000-00000DBE0000}"/>
    <cellStyle name="Note 2 7 6 3" xfId="22900" xr:uid="{00000000-0005-0000-0000-00000EBE0000}"/>
    <cellStyle name="Note 2 7 6 4" xfId="32625" xr:uid="{00000000-0005-0000-0000-00000FBE0000}"/>
    <cellStyle name="Note 2 7 6 5" xfId="42350" xr:uid="{00000000-0005-0000-0000-000010BE0000}"/>
    <cellStyle name="Note 2 7 6 6" xfId="13175" xr:uid="{00000000-0005-0000-0000-000011BE0000}"/>
    <cellStyle name="Note 2 7 7" xfId="5071" xr:uid="{00000000-0005-0000-0000-000012BE0000}"/>
    <cellStyle name="Note 2 7 7 2" xfId="24522" xr:uid="{00000000-0005-0000-0000-000013BE0000}"/>
    <cellStyle name="Note 2 7 7 3" xfId="34247" xr:uid="{00000000-0005-0000-0000-000014BE0000}"/>
    <cellStyle name="Note 2 7 7 4" xfId="43972" xr:uid="{00000000-0005-0000-0000-000015BE0000}"/>
    <cellStyle name="Note 2 7 7 5" xfId="14797" xr:uid="{00000000-0005-0000-0000-000016BE0000}"/>
    <cellStyle name="Note 2 7 8" xfId="19660" xr:uid="{00000000-0005-0000-0000-000017BE0000}"/>
    <cellStyle name="Note 2 7 9" xfId="29385" xr:uid="{00000000-0005-0000-0000-000018BE0000}"/>
    <cellStyle name="Note 2 8" xfId="820" xr:uid="{00000000-0005-0000-0000-000019BE0000}"/>
    <cellStyle name="Note 2 8 2" xfId="2459" xr:uid="{00000000-0005-0000-0000-00001ABE0000}"/>
    <cellStyle name="Note 2 8 2 2" xfId="7321" xr:uid="{00000000-0005-0000-0000-00001BBE0000}"/>
    <cellStyle name="Note 2 8 2 2 2" xfId="26772" xr:uid="{00000000-0005-0000-0000-00001CBE0000}"/>
    <cellStyle name="Note 2 8 2 2 3" xfId="36497" xr:uid="{00000000-0005-0000-0000-00001DBE0000}"/>
    <cellStyle name="Note 2 8 2 2 4" xfId="46222" xr:uid="{00000000-0005-0000-0000-00001EBE0000}"/>
    <cellStyle name="Note 2 8 2 2 5" xfId="17047" xr:uid="{00000000-0005-0000-0000-00001FBE0000}"/>
    <cellStyle name="Note 2 8 2 3" xfId="21910" xr:uid="{00000000-0005-0000-0000-000020BE0000}"/>
    <cellStyle name="Note 2 8 2 4" xfId="31635" xr:uid="{00000000-0005-0000-0000-000021BE0000}"/>
    <cellStyle name="Note 2 8 2 5" xfId="41360" xr:uid="{00000000-0005-0000-0000-000022BE0000}"/>
    <cellStyle name="Note 2 8 2 6" xfId="12185" xr:uid="{00000000-0005-0000-0000-000023BE0000}"/>
    <cellStyle name="Note 2 8 3" xfId="4079" xr:uid="{00000000-0005-0000-0000-000024BE0000}"/>
    <cellStyle name="Note 2 8 3 2" xfId="8941" xr:uid="{00000000-0005-0000-0000-000025BE0000}"/>
    <cellStyle name="Note 2 8 3 2 2" xfId="28392" xr:uid="{00000000-0005-0000-0000-000026BE0000}"/>
    <cellStyle name="Note 2 8 3 2 3" xfId="38117" xr:uid="{00000000-0005-0000-0000-000027BE0000}"/>
    <cellStyle name="Note 2 8 3 2 4" xfId="47842" xr:uid="{00000000-0005-0000-0000-000028BE0000}"/>
    <cellStyle name="Note 2 8 3 2 5" xfId="18667" xr:uid="{00000000-0005-0000-0000-000029BE0000}"/>
    <cellStyle name="Note 2 8 3 3" xfId="23530" xr:uid="{00000000-0005-0000-0000-00002ABE0000}"/>
    <cellStyle name="Note 2 8 3 4" xfId="33255" xr:uid="{00000000-0005-0000-0000-00002BBE0000}"/>
    <cellStyle name="Note 2 8 3 5" xfId="42980" xr:uid="{00000000-0005-0000-0000-00002CBE0000}"/>
    <cellStyle name="Note 2 8 3 6" xfId="13805" xr:uid="{00000000-0005-0000-0000-00002DBE0000}"/>
    <cellStyle name="Note 2 8 4" xfId="5701" xr:uid="{00000000-0005-0000-0000-00002EBE0000}"/>
    <cellStyle name="Note 2 8 4 2" xfId="25152" xr:uid="{00000000-0005-0000-0000-00002FBE0000}"/>
    <cellStyle name="Note 2 8 4 3" xfId="34877" xr:uid="{00000000-0005-0000-0000-000030BE0000}"/>
    <cellStyle name="Note 2 8 4 4" xfId="44602" xr:uid="{00000000-0005-0000-0000-000031BE0000}"/>
    <cellStyle name="Note 2 8 4 5" xfId="15427" xr:uid="{00000000-0005-0000-0000-000032BE0000}"/>
    <cellStyle name="Note 2 8 5" xfId="20290" xr:uid="{00000000-0005-0000-0000-000033BE0000}"/>
    <cellStyle name="Note 2 8 6" xfId="30015" xr:uid="{00000000-0005-0000-0000-000034BE0000}"/>
    <cellStyle name="Note 2 8 7" xfId="39740" xr:uid="{00000000-0005-0000-0000-000035BE0000}"/>
    <cellStyle name="Note 2 8 8" xfId="10565" xr:uid="{00000000-0005-0000-0000-000036BE0000}"/>
    <cellStyle name="Note 2 9" xfId="1198" xr:uid="{00000000-0005-0000-0000-000037BE0000}"/>
    <cellStyle name="Note 2 9 2" xfId="2819" xr:uid="{00000000-0005-0000-0000-000038BE0000}"/>
    <cellStyle name="Note 2 9 2 2" xfId="7681" xr:uid="{00000000-0005-0000-0000-000039BE0000}"/>
    <cellStyle name="Note 2 9 2 2 2" xfId="27132" xr:uid="{00000000-0005-0000-0000-00003ABE0000}"/>
    <cellStyle name="Note 2 9 2 2 3" xfId="36857" xr:uid="{00000000-0005-0000-0000-00003BBE0000}"/>
    <cellStyle name="Note 2 9 2 2 4" xfId="46582" xr:uid="{00000000-0005-0000-0000-00003CBE0000}"/>
    <cellStyle name="Note 2 9 2 2 5" xfId="17407" xr:uid="{00000000-0005-0000-0000-00003DBE0000}"/>
    <cellStyle name="Note 2 9 2 3" xfId="22270" xr:uid="{00000000-0005-0000-0000-00003EBE0000}"/>
    <cellStyle name="Note 2 9 2 4" xfId="31995" xr:uid="{00000000-0005-0000-0000-00003FBE0000}"/>
    <cellStyle name="Note 2 9 2 5" xfId="41720" xr:uid="{00000000-0005-0000-0000-000040BE0000}"/>
    <cellStyle name="Note 2 9 2 6" xfId="12545" xr:uid="{00000000-0005-0000-0000-000041BE0000}"/>
    <cellStyle name="Note 2 9 3" xfId="4439" xr:uid="{00000000-0005-0000-0000-000042BE0000}"/>
    <cellStyle name="Note 2 9 3 2" xfId="9301" xr:uid="{00000000-0005-0000-0000-000043BE0000}"/>
    <cellStyle name="Note 2 9 3 2 2" xfId="28752" xr:uid="{00000000-0005-0000-0000-000044BE0000}"/>
    <cellStyle name="Note 2 9 3 2 3" xfId="38477" xr:uid="{00000000-0005-0000-0000-000045BE0000}"/>
    <cellStyle name="Note 2 9 3 2 4" xfId="48202" xr:uid="{00000000-0005-0000-0000-000046BE0000}"/>
    <cellStyle name="Note 2 9 3 2 5" xfId="19027" xr:uid="{00000000-0005-0000-0000-000047BE0000}"/>
    <cellStyle name="Note 2 9 3 3" xfId="23890" xr:uid="{00000000-0005-0000-0000-000048BE0000}"/>
    <cellStyle name="Note 2 9 3 4" xfId="33615" xr:uid="{00000000-0005-0000-0000-000049BE0000}"/>
    <cellStyle name="Note 2 9 3 5" xfId="43340" xr:uid="{00000000-0005-0000-0000-00004ABE0000}"/>
    <cellStyle name="Note 2 9 3 6" xfId="14165" xr:uid="{00000000-0005-0000-0000-00004BBE0000}"/>
    <cellStyle name="Note 2 9 4" xfId="6061" xr:uid="{00000000-0005-0000-0000-00004CBE0000}"/>
    <cellStyle name="Note 2 9 4 2" xfId="25512" xr:uid="{00000000-0005-0000-0000-00004DBE0000}"/>
    <cellStyle name="Note 2 9 4 3" xfId="35237" xr:uid="{00000000-0005-0000-0000-00004EBE0000}"/>
    <cellStyle name="Note 2 9 4 4" xfId="44962" xr:uid="{00000000-0005-0000-0000-00004FBE0000}"/>
    <cellStyle name="Note 2 9 4 5" xfId="15787" xr:uid="{00000000-0005-0000-0000-000050BE0000}"/>
    <cellStyle name="Note 2 9 5" xfId="20650" xr:uid="{00000000-0005-0000-0000-000051BE0000}"/>
    <cellStyle name="Note 2 9 6" xfId="30375" xr:uid="{00000000-0005-0000-0000-000052BE0000}"/>
    <cellStyle name="Note 2 9 7" xfId="40100" xr:uid="{00000000-0005-0000-0000-000053BE0000}"/>
    <cellStyle name="Note 2 9 8" xfId="10925" xr:uid="{00000000-0005-0000-0000-000054BE0000}"/>
    <cellStyle name="Note 2_Database (All)" xfId="1179" xr:uid="{00000000-0005-0000-0000-000055BE0000}"/>
    <cellStyle name="Note 3" xfId="441" xr:uid="{00000000-0005-0000-0000-000056BE0000}"/>
    <cellStyle name="Output" xfId="22" builtinId="21" customBuiltin="1"/>
    <cellStyle name="Output 2" xfId="442" xr:uid="{00000000-0005-0000-0000-000058BE0000}"/>
    <cellStyle name="Percent 2" xfId="48735" xr:uid="{00000000-0005-0000-0000-000059BE0000}"/>
    <cellStyle name="Percent 3" xfId="48734" xr:uid="{00000000-0005-0000-0000-00005ABE0000}"/>
    <cellStyle name="Title" xfId="13" builtinId="15" customBuiltin="1"/>
    <cellStyle name="Title 2" xfId="443" xr:uid="{00000000-0005-0000-0000-00005CBE0000}"/>
    <cellStyle name="Total" xfId="28" builtinId="25" customBuiltin="1"/>
    <cellStyle name="Total 2" xfId="444" xr:uid="{00000000-0005-0000-0000-00005EBE0000}"/>
    <cellStyle name="Warning Text" xfId="26" builtinId="11" customBuiltin="1"/>
    <cellStyle name="Warning Text 2" xfId="445" xr:uid="{00000000-0005-0000-0000-000060BE0000}"/>
  </cellStyles>
  <dxfs count="508">
    <dxf>
      <font>
        <b/>
        <i val="0"/>
        <color theme="0"/>
      </font>
      <fill>
        <patternFill>
          <bgColor rgb="FF0070C0"/>
        </patternFill>
      </fill>
    </dxf>
    <dxf>
      <fill>
        <patternFill>
          <bgColor rgb="FFFFC000"/>
        </patternFill>
      </fill>
    </dxf>
    <dxf>
      <font>
        <color theme="1"/>
      </font>
      <fill>
        <patternFill>
          <bgColor rgb="FFFFC000"/>
        </patternFill>
      </fill>
    </dxf>
    <dxf>
      <font>
        <color theme="1"/>
      </font>
      <fill>
        <patternFill>
          <bgColor rgb="FFFFC000"/>
        </patternFill>
      </fill>
    </dxf>
    <dxf>
      <fill>
        <patternFill>
          <bgColor rgb="FFFFC000"/>
        </patternFill>
      </fill>
    </dxf>
    <dxf>
      <fill>
        <patternFill>
          <bgColor theme="5" tint="0.59996337778862885"/>
        </patternFill>
      </fill>
    </dxf>
    <dxf>
      <font>
        <color theme="0"/>
      </font>
      <fill>
        <patternFill>
          <bgColor rgb="FFFF0000"/>
        </patternFill>
      </fill>
    </dxf>
    <dxf>
      <fill>
        <patternFill>
          <bgColor rgb="FFFFC000"/>
        </patternFill>
      </fill>
    </dxf>
    <dxf>
      <font>
        <color theme="0"/>
      </font>
      <fill>
        <patternFill>
          <bgColor rgb="FFFF0000"/>
        </patternFill>
      </fill>
    </dxf>
    <dxf>
      <fill>
        <patternFill>
          <bgColor rgb="FFFFC000"/>
        </patternFill>
      </fill>
    </dxf>
    <dxf>
      <font>
        <color theme="0"/>
      </font>
      <fill>
        <patternFill>
          <bgColor rgb="FFFF0000"/>
        </patternFill>
      </fill>
    </dxf>
    <dxf>
      <fill>
        <patternFill>
          <bgColor rgb="FFFFC000"/>
        </patternFill>
      </fill>
    </dxf>
    <dxf>
      <font>
        <color theme="0"/>
      </font>
      <fill>
        <patternFill>
          <bgColor rgb="FFFF0000"/>
        </patternFill>
      </fill>
    </dxf>
    <dxf>
      <fill>
        <patternFill>
          <bgColor rgb="FFFFC000"/>
        </patternFill>
      </fill>
    </dxf>
    <dxf>
      <font>
        <color theme="0"/>
      </font>
      <fill>
        <patternFill>
          <bgColor rgb="FFFF0000"/>
        </patternFill>
      </fill>
    </dxf>
    <dxf>
      <fill>
        <patternFill>
          <bgColor rgb="FFFFC000"/>
        </patternFill>
      </fill>
    </dxf>
    <dxf>
      <font>
        <color theme="0"/>
      </font>
      <fill>
        <patternFill>
          <bgColor rgb="FFFF0000"/>
        </patternFill>
      </fill>
    </dxf>
    <dxf>
      <fill>
        <patternFill>
          <bgColor rgb="FFFFC000"/>
        </patternFill>
      </fill>
    </dxf>
    <dxf>
      <font>
        <color theme="0"/>
      </font>
      <fill>
        <patternFill>
          <bgColor rgb="FFFF0000"/>
        </patternFill>
      </fill>
    </dxf>
    <dxf>
      <fill>
        <patternFill>
          <bgColor rgb="FFFFC0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1"/>
        </patternFill>
      </fill>
    </dxf>
    <dxf>
      <fill>
        <patternFill>
          <bgColor rgb="FFFF0000"/>
        </patternFill>
      </fill>
    </dxf>
    <dxf>
      <fill>
        <patternFill>
          <bgColor theme="1"/>
        </patternFill>
      </fill>
    </dxf>
    <dxf>
      <fill>
        <patternFill>
          <bgColor rgb="FFFF0000"/>
        </patternFill>
      </fill>
    </dxf>
    <dxf>
      <fill>
        <patternFill>
          <bgColor theme="1"/>
        </patternFill>
      </fill>
    </dxf>
    <dxf>
      <fill>
        <patternFill>
          <bgColor theme="1"/>
        </patternFill>
      </fill>
    </dxf>
    <dxf>
      <fill>
        <patternFill>
          <bgColor theme="0"/>
        </patternFill>
      </fill>
    </dxf>
    <dxf>
      <fill>
        <patternFill>
          <bgColor theme="1"/>
        </patternFill>
      </fill>
    </dxf>
    <dxf>
      <font>
        <color theme="0"/>
      </font>
      <fill>
        <patternFill>
          <bgColor rgb="FFFF0000"/>
        </patternFill>
      </fill>
    </dxf>
    <dxf>
      <fill>
        <patternFill>
          <bgColor theme="1"/>
        </patternFill>
      </fill>
    </dxf>
    <dxf>
      <font>
        <b/>
        <i val="0"/>
        <color rgb="FFFF0000"/>
      </font>
    </dxf>
    <dxf>
      <font>
        <color theme="0"/>
      </font>
      <fill>
        <patternFill>
          <bgColor rgb="FFFF0000"/>
        </patternFill>
      </fill>
    </dxf>
    <dxf>
      <fill>
        <patternFill>
          <bgColor rgb="FFFF0000"/>
        </patternFill>
      </fill>
    </dxf>
    <dxf>
      <fill>
        <patternFill>
          <bgColor rgb="FFFF0000"/>
        </patternFill>
      </fill>
    </dxf>
    <dxf>
      <fill>
        <patternFill>
          <bgColor indexed="51"/>
        </patternFill>
      </fill>
    </dxf>
    <dxf>
      <fill>
        <patternFill>
          <bgColor rgb="FFFF0000"/>
        </patternFill>
      </fill>
    </dxf>
    <dxf>
      <fill>
        <patternFill>
          <bgColor rgb="FFFF0000"/>
        </patternFill>
      </fill>
    </dxf>
    <dxf>
      <fill>
        <patternFill>
          <bgColor indexed="51"/>
        </patternFill>
      </fill>
    </dxf>
    <dxf>
      <fill>
        <patternFill patternType="none">
          <bgColor indexed="65"/>
        </patternFill>
      </fill>
    </dxf>
    <dxf>
      <fill>
        <patternFill>
          <bgColor theme="9" tint="-0.24994659260841701"/>
        </patternFill>
      </fill>
    </dxf>
    <dxf>
      <font>
        <b val="0"/>
        <i/>
        <color theme="0" tint="-0.34998626667073579"/>
      </font>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1"/>
        </patternFill>
      </fill>
    </dxf>
    <dxf>
      <fill>
        <patternFill>
          <bgColor rgb="FFFF0000"/>
        </patternFill>
      </fill>
    </dxf>
    <dxf>
      <fill>
        <patternFill>
          <bgColor rgb="FFFFC000"/>
        </patternFill>
      </fill>
    </dxf>
    <dxf>
      <font>
        <b/>
        <i val="0"/>
        <color theme="0"/>
      </font>
      <fill>
        <patternFill>
          <bgColor rgb="FFC00000"/>
        </patternFill>
      </fill>
    </dxf>
    <dxf>
      <font>
        <b val="0"/>
        <i val="0"/>
        <color auto="1"/>
      </font>
      <fill>
        <patternFill patternType="solid">
          <bgColor theme="0" tint="-4.9989318521683403E-2"/>
        </patternFill>
      </fill>
    </dxf>
    <dxf>
      <font>
        <b/>
        <i val="0"/>
        <u val="none"/>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ill>
        <patternFill>
          <bgColor theme="1"/>
        </patternFill>
      </fill>
    </dxf>
    <dxf>
      <fill>
        <patternFill>
          <bgColor rgb="FFFFFF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theme="1"/>
        </patternFill>
      </fill>
    </dxf>
    <dxf>
      <font>
        <condense val="0"/>
        <extend val="0"/>
        <color auto="1"/>
      </font>
      <fill>
        <patternFill>
          <bgColor indexed="8"/>
        </patternFill>
      </fill>
    </dxf>
    <dxf>
      <font>
        <b/>
        <i val="0"/>
        <color theme="0"/>
      </font>
      <fill>
        <patternFill>
          <bgColor rgb="FFFF0000"/>
        </patternFill>
      </fill>
    </dxf>
    <dxf>
      <fill>
        <patternFill>
          <bgColor theme="1"/>
        </patternFill>
      </fill>
    </dxf>
    <dxf>
      <fill>
        <patternFill>
          <bgColor theme="1"/>
        </patternFill>
      </fill>
    </dxf>
    <dxf>
      <font>
        <b/>
        <i val="0"/>
        <color rgb="FFFF0000"/>
      </font>
    </dxf>
    <dxf>
      <fill>
        <patternFill>
          <bgColor rgb="FFFF0000"/>
        </patternFill>
      </fill>
    </dxf>
    <dxf>
      <fill>
        <patternFill>
          <bgColor rgb="FFFFC000"/>
        </patternFill>
      </fill>
    </dxf>
    <dxf>
      <font>
        <condense val="0"/>
        <extend val="0"/>
        <color auto="1"/>
      </font>
      <fill>
        <patternFill>
          <bgColor indexed="8"/>
        </patternFill>
      </fill>
    </dxf>
    <dxf>
      <font>
        <condense val="0"/>
        <extend val="0"/>
        <color auto="1"/>
      </font>
      <fill>
        <patternFill>
          <bgColor indexed="8"/>
        </patternFill>
      </fill>
    </dxf>
    <dxf>
      <fill>
        <patternFill>
          <bgColor indexed="22"/>
        </patternFill>
      </fill>
    </dxf>
    <dxf>
      <fill>
        <patternFill>
          <bgColor indexed="22"/>
        </patternFill>
      </fill>
    </dxf>
    <dxf>
      <fill>
        <patternFill patternType="solid"/>
      </fill>
    </dxf>
    <dxf>
      <fill>
        <patternFill patternType="solid"/>
      </fill>
    </dxf>
    <dxf>
      <fill>
        <patternFill>
          <bgColor rgb="FFFF0000"/>
        </patternFill>
      </fill>
    </dxf>
    <dxf>
      <fill>
        <patternFill>
          <bgColor rgb="FFFFC000"/>
        </patternFill>
      </fill>
    </dxf>
    <dxf>
      <fill>
        <patternFill patternType="none">
          <bgColor auto="1"/>
        </patternFill>
      </fill>
    </dxf>
    <dxf>
      <fill>
        <patternFill>
          <bgColor rgb="FFFF0000"/>
        </patternFill>
      </fill>
    </dxf>
    <dxf>
      <fill>
        <patternFill>
          <bgColor rgb="FFFFC000"/>
        </patternFill>
      </fill>
    </dxf>
    <dxf>
      <font>
        <b/>
        <i val="0"/>
        <color rgb="FF0000E3"/>
      </font>
      <fill>
        <patternFill>
          <bgColor rgb="FFFFFF00"/>
        </patternFill>
      </fill>
    </dxf>
    <dxf>
      <fill>
        <patternFill>
          <bgColor theme="0" tint="-0.24994659260841701"/>
        </patternFill>
      </fill>
    </dxf>
    <dxf>
      <fill>
        <patternFill>
          <bgColor theme="1"/>
        </patternFill>
      </fill>
    </dxf>
    <dxf>
      <fill>
        <patternFill>
          <bgColor theme="0" tint="-0.24994659260841701"/>
        </patternFill>
      </fill>
    </dxf>
    <dxf>
      <fill>
        <patternFill>
          <bgColor rgb="FFFF0000"/>
        </patternFill>
      </fill>
    </dxf>
    <dxf>
      <fill>
        <patternFill>
          <bgColor rgb="FFFFC000"/>
        </patternFill>
      </fill>
    </dxf>
    <dxf>
      <fill>
        <patternFill patternType="lightDown"/>
      </fill>
    </dxf>
    <dxf>
      <font>
        <color theme="0"/>
      </font>
      <fill>
        <patternFill>
          <bgColor rgb="FFFF0000"/>
        </patternFill>
      </fill>
    </dxf>
    <dxf>
      <font>
        <color theme="0"/>
      </font>
      <fill>
        <patternFill patternType="lightDown"/>
      </fill>
    </dxf>
    <dxf>
      <font>
        <color theme="0"/>
      </font>
      <fill>
        <patternFill patternType="lightDown"/>
      </fill>
    </dxf>
    <dxf>
      <fill>
        <patternFill>
          <bgColor rgb="FFFF0000"/>
        </patternFill>
      </fill>
    </dxf>
    <dxf>
      <fill>
        <patternFill>
          <bgColor rgb="FFFFC000"/>
        </patternFill>
      </fill>
    </dxf>
    <dxf>
      <font>
        <color theme="0"/>
      </font>
      <fill>
        <patternFill>
          <bgColor rgb="FFFF0000"/>
        </patternFill>
      </fill>
    </dxf>
    <dxf>
      <fill>
        <patternFill>
          <bgColor rgb="FFFF0000"/>
        </patternFill>
      </fill>
    </dxf>
    <dxf>
      <fill>
        <patternFill>
          <bgColor rgb="FFFFC000"/>
        </patternFill>
      </fill>
    </dxf>
    <dxf>
      <fill>
        <patternFill>
          <bgColor theme="1"/>
        </patternFill>
      </fill>
    </dxf>
    <dxf>
      <fill>
        <patternFill>
          <bgColor theme="1"/>
        </patternFill>
      </fill>
    </dxf>
    <dxf>
      <fill>
        <patternFill>
          <bgColor rgb="FFFF0000"/>
        </patternFill>
      </fill>
    </dxf>
    <dxf>
      <fill>
        <patternFill>
          <bgColor rgb="FFFFFF00"/>
        </patternFill>
      </fill>
    </dxf>
    <dxf>
      <fill>
        <patternFill>
          <bgColor rgb="FFFFFF00"/>
        </patternFill>
      </fill>
    </dxf>
    <dxf>
      <font>
        <color auto="1"/>
      </font>
      <fill>
        <patternFill>
          <bgColor rgb="FFFFC000"/>
        </patternFill>
      </fill>
    </dxf>
    <dxf>
      <font>
        <color auto="1"/>
      </font>
      <fill>
        <patternFill>
          <bgColor rgb="FFFFC000"/>
        </patternFill>
      </fill>
    </dxf>
    <dxf>
      <fill>
        <patternFill>
          <bgColor rgb="FFFF0000"/>
        </patternFill>
      </fill>
    </dxf>
    <dxf>
      <fill>
        <patternFill>
          <bgColor rgb="FFFFC000"/>
        </patternFill>
      </fill>
    </dxf>
    <dxf>
      <fill>
        <patternFill>
          <bgColor theme="1"/>
        </patternFill>
      </fill>
    </dxf>
    <dxf>
      <fill>
        <patternFill>
          <bgColor theme="1"/>
        </patternFill>
      </fill>
    </dxf>
    <dxf>
      <fill>
        <patternFill>
          <bgColor theme="1"/>
        </patternFill>
      </fill>
    </dxf>
    <dxf>
      <font>
        <b/>
        <i val="0"/>
        <color rgb="FFFF0000"/>
      </font>
      <fill>
        <patternFill>
          <bgColor theme="7" tint="0.39994506668294322"/>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theme="7" tint="0.59996337778862885"/>
        </patternFill>
      </fill>
    </dxf>
    <dxf>
      <fill>
        <patternFill>
          <bgColor rgb="FFFF0000"/>
        </patternFill>
      </fill>
    </dxf>
    <dxf>
      <fill>
        <patternFill>
          <bgColor rgb="FFFFC000"/>
        </patternFill>
      </fill>
    </dxf>
    <dxf>
      <fill>
        <patternFill>
          <bgColor theme="0" tint="-0.24994659260841701"/>
        </patternFill>
      </fill>
    </dxf>
    <dxf>
      <fill>
        <patternFill patternType="lightUp">
          <bgColor theme="1" tint="0.499984740745262"/>
        </patternFill>
      </fill>
    </dxf>
    <dxf>
      <fill>
        <patternFill patternType="lightUp">
          <bgColor theme="1" tint="0.499984740745262"/>
        </patternFill>
      </fill>
    </dxf>
    <dxf>
      <fill>
        <patternFill patternType="lightUp">
          <bgColor theme="1" tint="0.499984740745262"/>
        </patternFill>
      </fill>
    </dxf>
    <dxf>
      <fill>
        <patternFill patternType="lightUp">
          <bgColor theme="1" tint="0.499984740745262"/>
        </patternFill>
      </fill>
    </dxf>
    <dxf>
      <fill>
        <patternFill patternType="lightUp">
          <bgColor theme="1" tint="0.499984740745262"/>
        </patternFill>
      </fill>
    </dxf>
    <dxf>
      <fill>
        <patternFill patternType="lightUp">
          <bgColor theme="1" tint="0.499984740745262"/>
        </patternFill>
      </fill>
    </dxf>
    <dxf>
      <fill>
        <patternFill patternType="lightUp">
          <bgColor theme="1" tint="0.499984740745262"/>
        </patternFill>
      </fill>
    </dxf>
    <dxf>
      <fill>
        <patternFill patternType="lightUp">
          <bgColor theme="1" tint="0.499984740745262"/>
        </patternFill>
      </fill>
    </dxf>
    <dxf>
      <fill>
        <patternFill patternType="lightUp"/>
      </fill>
    </dxf>
    <dxf>
      <fill>
        <patternFill patternType="lightUp"/>
      </fill>
    </dxf>
    <dxf>
      <fill>
        <patternFill patternType="lightUp"/>
      </fill>
    </dxf>
    <dxf>
      <font>
        <color theme="1"/>
      </font>
      <fill>
        <patternFill>
          <bgColor theme="7" tint="0.39994506668294322"/>
        </patternFill>
      </fill>
    </dxf>
    <dxf>
      <font>
        <b/>
        <i val="0"/>
        <strike val="0"/>
        <color rgb="FF0000FF"/>
      </font>
    </dxf>
    <dxf>
      <fill>
        <patternFill patternType="lightUp"/>
      </fill>
    </dxf>
    <dxf>
      <fill>
        <patternFill patternType="solid">
          <bgColor theme="0"/>
        </patternFill>
      </fill>
    </dxf>
    <dxf>
      <font>
        <b/>
        <i val="0"/>
        <color rgb="FFFF0000"/>
      </font>
      <fill>
        <patternFill>
          <bgColor theme="7" tint="0.39994506668294322"/>
        </patternFill>
      </fill>
    </dxf>
    <dxf>
      <fill>
        <patternFill>
          <bgColor rgb="FFFFFF00"/>
        </patternFill>
      </fill>
    </dxf>
    <dxf>
      <fill>
        <patternFill>
          <bgColor rgb="FFFF0000"/>
        </patternFill>
      </fill>
    </dxf>
    <dxf>
      <fill>
        <patternFill>
          <bgColor rgb="FFFFC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rgb="FFFF0000"/>
        </patternFill>
      </fill>
    </dxf>
    <dxf>
      <font>
        <b/>
        <i val="0"/>
        <color rgb="FFFF0000"/>
      </font>
      <fill>
        <patternFill patternType="none">
          <bgColor auto="1"/>
        </patternFill>
      </fill>
    </dxf>
    <dxf>
      <fill>
        <patternFill>
          <bgColor rgb="FFFF0000"/>
        </patternFill>
      </fill>
    </dxf>
    <dxf>
      <font>
        <color theme="0" tint="-4.9989318521683403E-2"/>
      </font>
      <fill>
        <patternFill>
          <bgColor rgb="FFFF0000"/>
        </patternFill>
      </fill>
    </dxf>
    <dxf>
      <font>
        <b/>
        <i val="0"/>
        <color rgb="FF0000E3"/>
      </font>
    </dxf>
    <dxf>
      <fill>
        <patternFill>
          <bgColor theme="0" tint="-0.24994659260841701"/>
        </patternFill>
      </fill>
    </dxf>
    <dxf>
      <font>
        <b/>
        <i val="0"/>
        <color rgb="FFFF0000"/>
      </font>
    </dxf>
    <dxf>
      <font>
        <color theme="1"/>
      </font>
    </dxf>
    <dxf>
      <fill>
        <patternFill>
          <bgColor rgb="FFFF0000"/>
        </patternFill>
      </fill>
    </dxf>
    <dxf>
      <fill>
        <patternFill>
          <bgColor theme="0" tint="-0.24994659260841701"/>
        </patternFill>
      </fill>
    </dxf>
    <dxf>
      <fill>
        <patternFill>
          <bgColor theme="0" tint="-0.24994659260841701"/>
        </patternFill>
      </fill>
    </dxf>
    <dxf>
      <font>
        <color theme="0"/>
      </font>
      <fill>
        <patternFill>
          <bgColor rgb="FFFF0000"/>
        </patternFill>
      </fill>
    </dxf>
    <dxf>
      <font>
        <b val="0"/>
        <i val="0"/>
        <color theme="1"/>
      </font>
    </dxf>
    <dxf>
      <font>
        <b/>
        <i val="0"/>
        <color rgb="FFFF0000"/>
      </font>
    </dxf>
    <dxf>
      <font>
        <color theme="1"/>
      </font>
    </dxf>
    <dxf>
      <font>
        <b/>
        <i val="0"/>
        <color rgb="FFFF0000"/>
      </font>
    </dxf>
    <dxf>
      <font>
        <color theme="1"/>
      </font>
    </dxf>
    <dxf>
      <font>
        <b/>
        <i val="0"/>
        <color rgb="FFFF0000"/>
      </font>
    </dxf>
    <dxf>
      <fill>
        <patternFill>
          <bgColor theme="0"/>
        </patternFill>
      </fill>
    </dxf>
    <dxf>
      <fill>
        <patternFill>
          <bgColor rgb="FFFF0000"/>
        </patternFill>
      </fill>
    </dxf>
    <dxf>
      <fill>
        <patternFill>
          <bgColor rgb="FFFFC000"/>
        </patternFill>
      </fill>
    </dxf>
    <dxf>
      <font>
        <b/>
        <i val="0"/>
        <condense val="0"/>
        <extend val="0"/>
        <color indexed="9"/>
      </font>
      <fill>
        <patternFill>
          <bgColor indexed="16"/>
        </patternFill>
      </fill>
    </dxf>
    <dxf>
      <fill>
        <patternFill>
          <bgColor rgb="FFFFC000"/>
        </patternFill>
      </fill>
    </dxf>
    <dxf>
      <font>
        <color auto="1"/>
      </font>
      <fill>
        <patternFill>
          <bgColor theme="0"/>
        </patternFill>
      </fill>
    </dxf>
    <dxf>
      <font>
        <color auto="1"/>
      </font>
      <fill>
        <patternFill>
          <bgColor theme="0"/>
        </patternFill>
      </fill>
    </dxf>
    <dxf>
      <font>
        <color theme="0"/>
      </font>
      <fill>
        <patternFill>
          <bgColor rgb="FFFF0000"/>
        </patternFill>
      </fill>
    </dxf>
    <dxf>
      <fill>
        <patternFill>
          <bgColor theme="1"/>
        </patternFill>
      </fill>
    </dxf>
    <dxf>
      <fill>
        <patternFill patternType="solid">
          <bgColor theme="1"/>
        </patternFill>
      </fill>
    </dxf>
    <dxf>
      <fill>
        <patternFill>
          <bgColor theme="7" tint="0.59996337778862885"/>
        </patternFill>
      </fill>
    </dxf>
    <dxf>
      <font>
        <color theme="0"/>
      </font>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0" tint="-0.24994659260841701"/>
        </patternFill>
      </fill>
    </dxf>
    <dxf>
      <fill>
        <patternFill>
          <bgColor theme="1"/>
        </patternFill>
      </fill>
    </dxf>
    <dxf>
      <fill>
        <patternFill>
          <bgColor theme="1"/>
        </patternFill>
      </fill>
    </dxf>
    <dxf>
      <fill>
        <patternFill>
          <bgColor rgb="FFFF0000"/>
        </patternFill>
      </fill>
    </dxf>
    <dxf>
      <fill>
        <patternFill>
          <bgColor rgb="FFFFC000"/>
        </patternFill>
      </fill>
    </dxf>
    <dxf>
      <fill>
        <patternFill>
          <bgColor theme="1"/>
        </patternFill>
      </fill>
    </dxf>
    <dxf>
      <fill>
        <patternFill>
          <bgColor theme="1"/>
        </patternFill>
      </fill>
    </dxf>
    <dxf>
      <fill>
        <patternFill patternType="lightUp">
          <bgColor auto="1"/>
        </patternFill>
      </fill>
    </dxf>
    <dxf>
      <fill>
        <patternFill patternType="lightUp"/>
      </fill>
    </dxf>
    <dxf>
      <fill>
        <patternFill>
          <bgColor rgb="FFFF0000"/>
        </patternFill>
      </fill>
    </dxf>
    <dxf>
      <fill>
        <patternFill>
          <bgColor rgb="FFFFC000"/>
        </patternFill>
      </fill>
    </dxf>
    <dxf>
      <fill>
        <patternFill>
          <bgColor rgb="FFFFFF00"/>
        </patternFill>
      </fill>
    </dxf>
    <dxf>
      <fill>
        <patternFill patternType="none">
          <bgColor auto="1"/>
        </patternFill>
      </fill>
    </dxf>
    <dxf>
      <fill>
        <patternFill>
          <bgColor theme="1"/>
        </patternFill>
      </fill>
    </dxf>
    <dxf>
      <fill>
        <patternFill>
          <bgColor theme="0"/>
        </patternFill>
      </fill>
    </dxf>
    <dxf>
      <fill>
        <patternFill>
          <bgColor theme="1"/>
        </patternFill>
      </fill>
    </dxf>
    <dxf>
      <font>
        <b/>
        <i val="0"/>
        <color rgb="FFFF0000"/>
      </font>
      <fill>
        <patternFill>
          <bgColor theme="7" tint="0.39994506668294322"/>
        </patternFill>
      </fill>
    </dxf>
    <dxf>
      <fill>
        <patternFill>
          <bgColor theme="7" tint="0.59996337778862885"/>
        </patternFill>
      </fill>
    </dxf>
    <dxf>
      <fill>
        <patternFill>
          <bgColor rgb="FFFFFF00"/>
        </patternFill>
      </fill>
    </dxf>
    <dxf>
      <fill>
        <patternFill>
          <bgColor rgb="FFFF0000"/>
        </patternFill>
      </fill>
    </dxf>
    <dxf>
      <fill>
        <patternFill>
          <bgColor rgb="FFFFC000"/>
        </patternFill>
      </fill>
    </dxf>
    <dxf>
      <fill>
        <patternFill>
          <bgColor rgb="FFFF0000"/>
        </patternFill>
      </fill>
    </dxf>
    <dxf>
      <fill>
        <patternFill patternType="lightUp">
          <bgColor theme="0" tint="-0.499984740745262"/>
        </patternFill>
      </fill>
    </dxf>
    <dxf>
      <font>
        <b/>
        <i val="0"/>
        <color theme="0"/>
      </font>
      <fill>
        <patternFill>
          <bgColor rgb="FFFF0000"/>
        </patternFill>
      </fill>
    </dxf>
    <dxf>
      <font>
        <color theme="0"/>
      </font>
      <fill>
        <patternFill>
          <bgColor rgb="FFFF0000"/>
        </patternFill>
      </fill>
    </dxf>
    <dxf>
      <fill>
        <patternFill>
          <bgColor rgb="FFFFC000"/>
        </patternFill>
      </fill>
    </dxf>
    <dxf>
      <font>
        <color auto="1"/>
      </font>
      <fill>
        <patternFill>
          <bgColor rgb="FFFFFF00"/>
        </patternFill>
      </fill>
    </dxf>
    <dxf>
      <fill>
        <patternFill>
          <bgColor theme="0" tint="-0.14996795556505021"/>
        </patternFill>
      </fill>
    </dxf>
    <dxf>
      <fill>
        <patternFill>
          <bgColor rgb="FFFF0000"/>
        </patternFill>
      </fill>
    </dxf>
    <dxf>
      <font>
        <color auto="1"/>
      </font>
      <fill>
        <patternFill>
          <bgColor rgb="FFFF0000"/>
        </patternFill>
      </fill>
    </dxf>
    <dxf>
      <font>
        <color rgb="FFFF0000"/>
      </font>
    </dxf>
    <dxf>
      <fill>
        <patternFill>
          <bgColor rgb="FFFF0000"/>
        </patternFill>
      </fill>
    </dxf>
    <dxf>
      <font>
        <b/>
        <i val="0"/>
        <condense val="0"/>
        <extend val="0"/>
        <color indexed="9"/>
      </font>
      <fill>
        <patternFill>
          <bgColor indexed="16"/>
        </patternFill>
      </fill>
    </dxf>
    <dxf>
      <font>
        <b/>
        <i val="0"/>
        <condense val="0"/>
        <extend val="0"/>
        <color indexed="9"/>
      </font>
      <fill>
        <patternFill>
          <bgColor indexed="16"/>
        </patternFill>
      </fill>
    </dxf>
    <dxf>
      <fill>
        <patternFill>
          <bgColor rgb="FFFF0000"/>
        </patternFill>
      </fill>
    </dxf>
    <dxf>
      <fill>
        <patternFill>
          <bgColor rgb="FFFFC000"/>
        </patternFill>
      </fill>
    </dxf>
    <dxf>
      <fill>
        <patternFill>
          <bgColor theme="0"/>
        </patternFill>
      </fill>
    </dxf>
    <dxf>
      <font>
        <b/>
        <i val="0"/>
        <condense val="0"/>
        <extend val="0"/>
      </font>
      <fill>
        <patternFill>
          <bgColor indexed="42"/>
        </patternFill>
      </fill>
    </dxf>
    <dxf>
      <font>
        <color auto="1"/>
      </font>
      <fill>
        <patternFill>
          <bgColor rgb="FFFFC000"/>
        </patternFill>
      </fill>
    </dxf>
    <dxf>
      <fill>
        <patternFill patternType="lightUp"/>
      </fill>
    </dxf>
    <dxf>
      <fill>
        <patternFill patternType="none">
          <bgColor auto="1"/>
        </patternFill>
      </fill>
    </dxf>
    <dxf>
      <font>
        <b/>
        <i val="0"/>
        <color rgb="FF0000FF"/>
      </font>
      <fill>
        <patternFill patternType="none">
          <bgColor auto="1"/>
        </patternFill>
      </fill>
    </dxf>
    <dxf>
      <fill>
        <patternFill>
          <bgColor theme="1"/>
        </patternFill>
      </fill>
    </dxf>
    <dxf>
      <fill>
        <patternFill>
          <bgColor rgb="FFFFFF00"/>
        </patternFill>
      </fill>
    </dxf>
    <dxf>
      <fill>
        <patternFill patternType="none">
          <bgColor auto="1"/>
        </patternFill>
      </fill>
    </dxf>
    <dxf>
      <fill>
        <patternFill>
          <bgColor rgb="FFFF0000"/>
        </patternFill>
      </fill>
    </dxf>
    <dxf>
      <fill>
        <patternFill>
          <bgColor theme="7" tint="0.59996337778862885"/>
        </patternFill>
      </fill>
    </dxf>
    <dxf>
      <fill>
        <patternFill>
          <bgColor theme="1"/>
        </patternFill>
      </fill>
    </dxf>
    <dxf>
      <fill>
        <patternFill>
          <bgColor rgb="FFFF0000"/>
        </patternFill>
      </fill>
    </dxf>
    <dxf>
      <fill>
        <patternFill>
          <bgColor rgb="FFFFC000"/>
        </patternFill>
      </fill>
    </dxf>
    <dxf>
      <fill>
        <patternFill>
          <bgColor rgb="FFFFC000"/>
        </patternFill>
      </fill>
    </dxf>
    <dxf>
      <fill>
        <patternFill>
          <bgColor theme="2" tint="-0.24994659260841701"/>
        </patternFill>
      </fill>
    </dxf>
    <dxf>
      <font>
        <color theme="1"/>
      </font>
      <fill>
        <patternFill>
          <bgColor theme="5" tint="0.59996337778862885"/>
        </patternFill>
      </fill>
    </dxf>
    <dxf>
      <font>
        <color theme="1"/>
      </font>
      <fill>
        <patternFill>
          <bgColor theme="8" tint="0.59996337778862885"/>
        </patternFill>
      </fill>
    </dxf>
    <dxf>
      <font>
        <color theme="1"/>
      </font>
      <fill>
        <patternFill>
          <bgColor theme="6" tint="0.59996337778862885"/>
        </patternFill>
      </fill>
    </dxf>
    <dxf>
      <font>
        <color auto="1"/>
      </font>
      <fill>
        <patternFill>
          <bgColor theme="9" tint="0.59996337778862885"/>
        </patternFill>
      </fill>
    </dxf>
    <dxf>
      <fill>
        <patternFill>
          <bgColor theme="7" tint="0.59996337778862885"/>
        </patternFill>
      </fill>
    </dxf>
    <dxf>
      <fill>
        <patternFill>
          <bgColor theme="8"/>
        </patternFill>
      </fill>
    </dxf>
    <dxf>
      <font>
        <b/>
        <i val="0"/>
        <color theme="0"/>
      </font>
      <fill>
        <patternFill>
          <bgColor rgb="FF0070C0"/>
        </patternFill>
      </fill>
    </dxf>
    <dxf>
      <fill>
        <patternFill patternType="lightUp"/>
      </fill>
    </dxf>
    <dxf>
      <fill>
        <patternFill patternType="lightUp"/>
      </fill>
    </dxf>
    <dxf>
      <font>
        <b/>
        <i val="0"/>
        <color theme="0"/>
      </font>
      <fill>
        <patternFill>
          <bgColor rgb="FF0070C0"/>
        </patternFill>
      </fill>
    </dxf>
    <dxf>
      <fill>
        <patternFill patternType="lightUp"/>
      </fill>
    </dxf>
    <dxf>
      <font>
        <b/>
        <i val="0"/>
        <color theme="0"/>
      </font>
      <fill>
        <patternFill>
          <bgColor rgb="FF0070C0"/>
        </patternFill>
      </fill>
    </dxf>
    <dxf>
      <fill>
        <patternFill patternType="lightUp"/>
      </fill>
    </dxf>
    <dxf>
      <fill>
        <patternFill patternType="lightUp"/>
      </fill>
    </dxf>
    <dxf>
      <font>
        <b/>
        <i val="0"/>
        <color theme="0"/>
      </font>
      <fill>
        <patternFill>
          <bgColor rgb="FF0070C0"/>
        </patternFill>
      </fill>
    </dxf>
    <dxf>
      <fill>
        <patternFill patternType="lightUp"/>
      </fill>
    </dxf>
    <dxf>
      <font>
        <b/>
        <i val="0"/>
        <color theme="0"/>
      </font>
      <fill>
        <patternFill>
          <bgColor rgb="FF0070C0"/>
        </patternFill>
      </fill>
    </dxf>
    <dxf>
      <fill>
        <patternFill>
          <bgColor rgb="FFFF0000"/>
        </patternFill>
      </fill>
    </dxf>
    <dxf>
      <font>
        <color theme="1"/>
      </font>
      <fill>
        <patternFill>
          <bgColor rgb="FFFFFF00"/>
        </patternFill>
      </fill>
    </dxf>
    <dxf>
      <font>
        <color theme="0"/>
      </font>
      <fill>
        <patternFill>
          <bgColor rgb="FFFF0000"/>
        </patternFill>
      </fill>
    </dxf>
    <dxf>
      <font>
        <color theme="0"/>
      </font>
      <fill>
        <patternFill>
          <bgColor rgb="FFFF0000"/>
        </patternFill>
      </fill>
    </dxf>
    <dxf>
      <fill>
        <patternFill>
          <bgColor theme="1"/>
        </patternFill>
      </fill>
    </dxf>
    <dxf>
      <fill>
        <patternFill patternType="lightUp"/>
      </fill>
    </dxf>
    <dxf>
      <font>
        <b/>
        <i val="0"/>
        <color theme="0"/>
      </font>
      <fill>
        <patternFill>
          <bgColor rgb="FF0070C0"/>
        </patternFill>
      </fill>
    </dxf>
    <dxf>
      <fill>
        <patternFill patternType="lightUp"/>
      </fill>
    </dxf>
    <dxf>
      <font>
        <b/>
        <i val="0"/>
        <color theme="0"/>
      </font>
      <fill>
        <patternFill>
          <bgColor rgb="FF0070C0"/>
        </patternFill>
      </fill>
    </dxf>
    <dxf>
      <font>
        <b/>
        <i val="0"/>
        <color theme="0"/>
      </font>
      <fill>
        <patternFill>
          <bgColor rgb="FF0070C0"/>
        </patternFill>
      </fill>
    </dxf>
    <dxf>
      <fill>
        <patternFill>
          <bgColor rgb="FFFF0000"/>
        </patternFill>
      </fill>
    </dxf>
    <dxf>
      <fill>
        <patternFill patternType="solid"/>
      </fill>
    </dxf>
    <dxf>
      <fill>
        <patternFill>
          <bgColor rgb="FFFFFF00"/>
        </patternFill>
      </fill>
    </dxf>
    <dxf>
      <fill>
        <patternFill patternType="lightUp"/>
      </fill>
    </dxf>
    <dxf>
      <font>
        <b/>
        <i val="0"/>
        <color theme="0"/>
      </font>
      <fill>
        <patternFill>
          <bgColor rgb="FF0070C0"/>
        </patternFill>
      </fill>
    </dxf>
    <dxf>
      <fill>
        <patternFill patternType="solid">
          <bgColor theme="0"/>
        </patternFill>
      </fill>
    </dxf>
    <dxf>
      <fill>
        <patternFill>
          <bgColor theme="1"/>
        </patternFill>
      </fill>
    </dxf>
    <dxf>
      <fill>
        <patternFill patternType="lightUp"/>
      </fill>
    </dxf>
    <dxf>
      <fill>
        <patternFill>
          <bgColor theme="5" tint="0.59996337778862885"/>
        </patternFill>
      </fill>
    </dxf>
    <dxf>
      <fill>
        <patternFill>
          <bgColor theme="8" tint="0.59996337778862885"/>
        </patternFill>
      </fill>
    </dxf>
    <dxf>
      <fill>
        <patternFill>
          <bgColor theme="6" tint="0.59996337778862885"/>
        </patternFill>
      </fill>
    </dxf>
    <dxf>
      <fill>
        <patternFill>
          <bgColor theme="7" tint="0.59996337778862885"/>
        </patternFill>
      </fill>
    </dxf>
    <dxf>
      <fill>
        <patternFill>
          <bgColor theme="9" tint="0.59996337778862885"/>
        </patternFill>
      </fill>
    </dxf>
    <dxf>
      <fill>
        <patternFill>
          <bgColor theme="8"/>
        </patternFill>
      </fill>
    </dxf>
    <dxf>
      <fill>
        <patternFill>
          <bgColor rgb="FFFF0000"/>
        </patternFill>
      </fill>
    </dxf>
    <dxf>
      <fill>
        <patternFill>
          <bgColor rgb="FF00B050"/>
        </patternFill>
      </fill>
    </dxf>
    <dxf>
      <fill>
        <patternFill>
          <bgColor theme="0"/>
        </patternFill>
      </fill>
    </dxf>
    <dxf>
      <fill>
        <patternFill>
          <bgColor rgb="FFFFFF00"/>
        </patternFill>
      </fill>
    </dxf>
    <dxf>
      <fill>
        <patternFill>
          <bgColor theme="7" tint="0.59996337778862885"/>
        </patternFill>
      </fill>
    </dxf>
    <dxf>
      <fill>
        <patternFill>
          <bgColor theme="7" tint="0.59996337778862885"/>
        </patternFill>
      </fill>
    </dxf>
    <dxf>
      <fill>
        <patternFill>
          <bgColor rgb="FFFF0000"/>
        </patternFill>
      </fill>
    </dxf>
    <dxf>
      <fill>
        <patternFill>
          <bgColor rgb="FFFFC000"/>
        </patternFill>
      </fill>
    </dxf>
    <dxf>
      <font>
        <b/>
        <i val="0"/>
        <color rgb="FFFF0000"/>
      </font>
    </dxf>
    <dxf>
      <font>
        <b/>
        <i val="0"/>
        <color theme="0"/>
      </font>
      <fill>
        <patternFill>
          <bgColor rgb="FFC00000"/>
        </patternFill>
      </fill>
    </dxf>
    <dxf>
      <font>
        <b/>
        <i val="0"/>
        <color theme="0"/>
      </font>
      <fill>
        <patternFill>
          <bgColor rgb="FFFF0000"/>
        </patternFill>
      </fill>
    </dxf>
    <dxf>
      <font>
        <b/>
        <i val="0"/>
        <color theme="0"/>
      </font>
      <fill>
        <patternFill>
          <bgColor rgb="FFFF0000"/>
        </patternFill>
      </fill>
    </dxf>
    <dxf>
      <fill>
        <patternFill>
          <bgColor rgb="FFFF0000"/>
        </patternFill>
      </fill>
    </dxf>
    <dxf>
      <fill>
        <patternFill>
          <bgColor rgb="FFFFC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theme="1"/>
        </patternFill>
      </fill>
    </dxf>
    <dxf>
      <fill>
        <patternFill>
          <bgColor rgb="FFFF0000"/>
        </patternFill>
      </fill>
    </dxf>
    <dxf>
      <fill>
        <patternFill>
          <bgColor rgb="FFFFC000"/>
        </patternFill>
      </fill>
    </dxf>
    <dxf>
      <font>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auto="1"/>
        </patternFill>
      </fill>
    </dxf>
    <dxf>
      <fill>
        <patternFill>
          <bgColor rgb="FFFFC000"/>
        </patternFill>
      </fill>
    </dxf>
    <dxf>
      <fill>
        <patternFill patternType="solid">
          <bgColor rgb="FFFFFF00"/>
        </patternFill>
      </fill>
    </dxf>
    <dxf>
      <fill>
        <patternFill patternType="solid">
          <bgColor rgb="FFFFFF00"/>
        </patternFill>
      </fill>
    </dxf>
    <dxf>
      <fill>
        <patternFill patternType="none">
          <bgColor auto="1"/>
        </patternFill>
      </fill>
    </dxf>
    <dxf>
      <fill>
        <patternFill>
          <bgColor theme="1"/>
        </patternFill>
      </fill>
    </dxf>
    <dxf>
      <fill>
        <patternFill patternType="solid">
          <bgColor rgb="FFFFFF00"/>
        </patternFill>
      </fill>
    </dxf>
    <dxf>
      <fill>
        <patternFill patternType="solid">
          <bgColor rgb="FFFFFF00"/>
        </patternFill>
      </fill>
    </dxf>
    <dxf>
      <fill>
        <patternFill patternType="none">
          <bgColor auto="1"/>
        </patternFill>
      </fill>
    </dxf>
    <dxf>
      <fill>
        <patternFill patternType="solid">
          <bgColor rgb="FFFFFF00"/>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none">
          <bgColor auto="1"/>
        </patternFill>
      </fill>
    </dxf>
    <dxf>
      <fill>
        <patternFill patternType="solid">
          <bgColor theme="1"/>
        </patternFill>
      </fill>
    </dxf>
    <dxf>
      <fill>
        <patternFill>
          <bgColor theme="1"/>
        </patternFill>
      </fill>
    </dxf>
    <dxf>
      <fill>
        <patternFill patternType="solid">
          <bgColor rgb="FFFFFF00"/>
        </patternFill>
      </fill>
    </dxf>
    <dxf>
      <fill>
        <patternFill patternType="solid">
          <bgColor rgb="FFFFFF00"/>
        </patternFill>
      </fill>
    </dxf>
    <dxf>
      <fill>
        <patternFill>
          <bgColor theme="1"/>
        </patternFill>
      </fill>
    </dxf>
    <dxf>
      <fill>
        <patternFill>
          <bgColor theme="1"/>
        </patternFill>
      </fill>
    </dxf>
    <dxf>
      <fill>
        <patternFill>
          <bgColor theme="1"/>
        </patternFill>
      </fill>
    </dxf>
    <dxf>
      <fill>
        <patternFill patternType="none">
          <bgColor auto="1"/>
        </patternFill>
      </fill>
    </dxf>
    <dxf>
      <fill>
        <patternFill patternType="lightUp"/>
      </fill>
    </dxf>
    <dxf>
      <fill>
        <patternFill patternType="solid">
          <bgColor rgb="FF92D05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theme="4" tint="0.59996337778862885"/>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ont>
        <b/>
        <i val="0"/>
        <strike val="0"/>
        <color rgb="FFFF0000"/>
      </font>
      <fill>
        <patternFill>
          <bgColor theme="4" tint="0.79998168889431442"/>
        </patternFill>
      </fill>
    </dxf>
    <dxf>
      <fill>
        <patternFill>
          <bgColor theme="1"/>
        </patternFill>
      </fill>
    </dxf>
    <dxf>
      <fill>
        <patternFill>
          <bgColor rgb="FFFFFF00"/>
        </patternFill>
      </fill>
    </dxf>
    <dxf>
      <font>
        <color theme="0"/>
      </font>
      <fill>
        <patternFill>
          <bgColor rgb="FFFF00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ont>
        <color theme="0"/>
      </font>
      <fill>
        <patternFill>
          <bgColor rgb="FFFF0000"/>
        </patternFill>
      </fill>
    </dxf>
    <dxf>
      <font>
        <color theme="0"/>
      </font>
      <fill>
        <patternFill>
          <bgColor rgb="FFFF0000"/>
        </patternFill>
      </fill>
    </dxf>
    <dxf>
      <fill>
        <patternFill>
          <bgColor rgb="FFFFFF00"/>
        </patternFill>
      </fill>
    </dxf>
    <dxf>
      <fill>
        <patternFill>
          <bgColor theme="1"/>
        </patternFill>
      </fill>
    </dxf>
    <dxf>
      <fill>
        <patternFill>
          <bgColor rgb="FFFFC000"/>
        </patternFill>
      </fill>
    </dxf>
    <dxf>
      <fill>
        <patternFill>
          <bgColor rgb="FFFF0000"/>
        </patternFill>
      </fill>
    </dxf>
    <dxf>
      <fill>
        <patternFill>
          <bgColor rgb="FF00B050"/>
        </patternFill>
      </fill>
    </dxf>
    <dxf>
      <fill>
        <patternFill>
          <bgColor rgb="FF0066FF"/>
        </patternFill>
      </fill>
    </dxf>
    <dxf>
      <fill>
        <patternFill>
          <bgColor rgb="FFFF0000"/>
        </patternFill>
      </fill>
    </dxf>
    <dxf>
      <fill>
        <patternFill>
          <bgColor theme="1"/>
        </patternFill>
      </fill>
    </dxf>
    <dxf>
      <fill>
        <patternFill>
          <bgColor theme="1"/>
        </patternFill>
      </fill>
    </dxf>
    <dxf>
      <fill>
        <patternFill>
          <bgColor rgb="FFFFC000"/>
        </patternFill>
      </fill>
    </dxf>
    <dxf>
      <fill>
        <patternFill>
          <bgColor rgb="FFFF0000"/>
        </patternFill>
      </fill>
    </dxf>
    <dxf>
      <fill>
        <patternFill>
          <bgColor rgb="FF00B050"/>
        </patternFill>
      </fill>
    </dxf>
    <dxf>
      <fill>
        <patternFill>
          <bgColor rgb="FF0066FF"/>
        </patternFill>
      </fill>
    </dxf>
    <dxf>
      <fill>
        <patternFill>
          <bgColor rgb="FFFF0000"/>
        </patternFill>
      </fill>
    </dxf>
    <dxf>
      <fill>
        <patternFill>
          <bgColor rgb="FFFFFF00"/>
        </patternFill>
      </fill>
    </dxf>
    <dxf>
      <fill>
        <patternFill>
          <bgColor rgb="FF00B050"/>
        </patternFill>
      </fill>
    </dxf>
    <dxf>
      <fill>
        <patternFill>
          <bgColor theme="0" tint="-0.34998626667073579"/>
        </patternFill>
      </fill>
    </dxf>
    <dxf>
      <fill>
        <patternFill>
          <bgColor rgb="FFFFC000"/>
        </patternFill>
      </fill>
    </dxf>
    <dxf>
      <fill>
        <patternFill>
          <bgColor rgb="FFFF0000"/>
        </patternFill>
      </fill>
    </dxf>
    <dxf>
      <fill>
        <patternFill>
          <bgColor rgb="FFFFFF00"/>
        </patternFill>
      </fill>
    </dxf>
    <dxf>
      <fill>
        <patternFill>
          <bgColor rgb="FF00B050"/>
        </patternFill>
      </fill>
    </dxf>
    <dxf>
      <fill>
        <patternFill>
          <bgColor theme="0" tint="-0.34998626667073579"/>
        </patternFill>
      </fill>
    </dxf>
    <dxf>
      <fill>
        <patternFill>
          <bgColor rgb="FFFFC000"/>
        </patternFill>
      </fill>
    </dxf>
    <dxf>
      <fill>
        <patternFill>
          <bgColor theme="1"/>
        </patternFill>
      </fill>
    </dxf>
    <dxf>
      <fill>
        <patternFill>
          <bgColor rgb="FFFF0000"/>
        </patternFill>
      </fill>
    </dxf>
    <dxf>
      <fill>
        <patternFill>
          <bgColor rgb="FFFFFF00"/>
        </patternFill>
      </fill>
    </dxf>
    <dxf>
      <fill>
        <patternFill>
          <bgColor rgb="FF00B050"/>
        </patternFill>
      </fill>
    </dxf>
    <dxf>
      <fill>
        <patternFill>
          <bgColor theme="0" tint="-0.34998626667073579"/>
        </patternFill>
      </fill>
    </dxf>
    <dxf>
      <fill>
        <patternFill>
          <bgColor rgb="FFFFC000"/>
        </patternFill>
      </fill>
    </dxf>
    <dxf>
      <fill>
        <patternFill>
          <bgColor rgb="FFFF0000"/>
        </patternFill>
      </fill>
    </dxf>
    <dxf>
      <fill>
        <patternFill>
          <bgColor rgb="FFFFFF00"/>
        </patternFill>
      </fill>
    </dxf>
    <dxf>
      <fill>
        <patternFill>
          <bgColor rgb="FF00B050"/>
        </patternFill>
      </fill>
    </dxf>
    <dxf>
      <fill>
        <patternFill>
          <bgColor theme="0" tint="-0.34998626667073579"/>
        </patternFill>
      </fill>
    </dxf>
    <dxf>
      <fill>
        <patternFill>
          <bgColor rgb="FFFFC000"/>
        </patternFill>
      </fill>
    </dxf>
    <dxf>
      <font>
        <color auto="1"/>
      </font>
      <fill>
        <patternFill>
          <bgColor theme="1"/>
        </patternFill>
      </fill>
    </dxf>
    <dxf>
      <fill>
        <patternFill>
          <bgColor theme="1"/>
        </patternFill>
      </fill>
    </dxf>
    <dxf>
      <fill>
        <patternFill>
          <bgColor rgb="FFFFFF00"/>
        </patternFill>
      </fill>
    </dxf>
    <dxf>
      <fill>
        <patternFill>
          <bgColor theme="1"/>
        </patternFill>
      </fill>
    </dxf>
    <dxf>
      <fill>
        <patternFill>
          <bgColor rgb="FFFFC000"/>
        </patternFill>
      </fill>
    </dxf>
    <dxf>
      <fill>
        <patternFill>
          <bgColor rgb="FFFF0000"/>
        </patternFill>
      </fill>
    </dxf>
    <dxf>
      <fill>
        <patternFill>
          <bgColor rgb="FF00B050"/>
        </patternFill>
      </fill>
    </dxf>
    <dxf>
      <fill>
        <patternFill>
          <bgColor rgb="FF0066FF"/>
        </patternFill>
      </fill>
    </dxf>
    <dxf>
      <fill>
        <patternFill>
          <bgColor rgb="FFFF0000"/>
        </patternFill>
      </fill>
    </dxf>
    <dxf>
      <fill>
        <patternFill>
          <bgColor rgb="FFFFFF00"/>
        </patternFill>
      </fill>
    </dxf>
    <dxf>
      <fill>
        <patternFill>
          <bgColor rgb="FF00B050"/>
        </patternFill>
      </fill>
    </dxf>
    <dxf>
      <fill>
        <patternFill>
          <bgColor theme="0" tint="-0.34998626667073579"/>
        </patternFill>
      </fill>
    </dxf>
    <dxf>
      <fill>
        <patternFill>
          <bgColor rgb="FFFFC000"/>
        </patternFill>
      </fill>
    </dxf>
    <dxf>
      <fill>
        <patternFill>
          <bgColor theme="1"/>
        </patternFill>
      </fill>
    </dxf>
    <dxf>
      <fill>
        <patternFill>
          <bgColor rgb="FFFFFF00"/>
        </patternFill>
      </fill>
    </dxf>
    <dxf>
      <fill>
        <patternFill>
          <bgColor theme="1"/>
        </patternFill>
      </fill>
    </dxf>
    <dxf>
      <fill>
        <patternFill>
          <bgColor rgb="FFFFC000"/>
        </patternFill>
      </fill>
    </dxf>
    <dxf>
      <fill>
        <patternFill>
          <bgColor rgb="FFFF0000"/>
        </patternFill>
      </fill>
    </dxf>
    <dxf>
      <fill>
        <patternFill>
          <bgColor rgb="FF00B050"/>
        </patternFill>
      </fill>
    </dxf>
    <dxf>
      <fill>
        <patternFill>
          <bgColor rgb="FF0066FF"/>
        </patternFill>
      </fill>
    </dxf>
    <dxf>
      <fill>
        <patternFill>
          <bgColor rgb="FFFF0000"/>
        </patternFill>
      </fill>
    </dxf>
    <dxf>
      <fill>
        <patternFill>
          <bgColor rgb="FFFFFF00"/>
        </patternFill>
      </fill>
    </dxf>
    <dxf>
      <fill>
        <patternFill>
          <bgColor rgb="FF00B050"/>
        </patternFill>
      </fill>
    </dxf>
    <dxf>
      <fill>
        <patternFill>
          <bgColor theme="0" tint="-0.34998626667073579"/>
        </patternFill>
      </fill>
    </dxf>
    <dxf>
      <fill>
        <patternFill>
          <bgColor rgb="FFFFC000"/>
        </patternFill>
      </fill>
    </dxf>
    <dxf>
      <fill>
        <patternFill>
          <bgColor theme="1"/>
        </patternFill>
      </fill>
    </dxf>
    <dxf>
      <fill>
        <patternFill>
          <bgColor rgb="FFFF0000"/>
        </patternFill>
      </fill>
    </dxf>
    <dxf>
      <fill>
        <patternFill>
          <bgColor rgb="FFFFFF00"/>
        </patternFill>
      </fill>
    </dxf>
    <dxf>
      <fill>
        <patternFill>
          <bgColor rgb="FF00B050"/>
        </patternFill>
      </fill>
    </dxf>
    <dxf>
      <fill>
        <patternFill>
          <bgColor theme="0" tint="-0.34998626667073579"/>
        </patternFill>
      </fill>
    </dxf>
    <dxf>
      <fill>
        <patternFill>
          <bgColor rgb="FFFFC000"/>
        </patternFill>
      </fill>
    </dxf>
    <dxf>
      <fill>
        <patternFill>
          <bgColor theme="1"/>
        </patternFill>
      </fill>
    </dxf>
    <dxf>
      <fill>
        <patternFill>
          <bgColor rgb="FFFFC000"/>
        </patternFill>
      </fill>
    </dxf>
    <dxf>
      <fill>
        <patternFill>
          <bgColor rgb="FFFF0000"/>
        </patternFill>
      </fill>
    </dxf>
    <dxf>
      <fill>
        <patternFill>
          <bgColor rgb="FF00B050"/>
        </patternFill>
      </fill>
    </dxf>
    <dxf>
      <fill>
        <patternFill>
          <bgColor rgb="FF0066FF"/>
        </patternFill>
      </fill>
    </dxf>
    <dxf>
      <fill>
        <patternFill>
          <bgColor theme="1"/>
        </patternFill>
      </fill>
    </dxf>
    <dxf>
      <fill>
        <patternFill>
          <bgColor rgb="FFFFC000"/>
        </patternFill>
      </fill>
    </dxf>
    <dxf>
      <fill>
        <patternFill>
          <bgColor rgb="FFFF0000"/>
        </patternFill>
      </fill>
    </dxf>
    <dxf>
      <fill>
        <patternFill>
          <bgColor rgb="FF00B050"/>
        </patternFill>
      </fill>
    </dxf>
    <dxf>
      <fill>
        <patternFill>
          <bgColor rgb="FF0066FF"/>
        </patternFill>
      </fill>
    </dxf>
    <dxf>
      <fill>
        <patternFill>
          <bgColor rgb="FFFF0000"/>
        </patternFill>
      </fill>
    </dxf>
    <dxf>
      <fill>
        <patternFill>
          <bgColor rgb="FFFFFF00"/>
        </patternFill>
      </fill>
    </dxf>
    <dxf>
      <fill>
        <patternFill>
          <bgColor rgb="FF00B050"/>
        </patternFill>
      </fill>
    </dxf>
    <dxf>
      <fill>
        <patternFill>
          <bgColor theme="0" tint="-0.34998626667073579"/>
        </patternFill>
      </fill>
    </dxf>
    <dxf>
      <fill>
        <patternFill>
          <bgColor rgb="FFFFC000"/>
        </patternFill>
      </fill>
    </dxf>
    <dxf>
      <fill>
        <patternFill>
          <bgColor rgb="FFFFFF00"/>
        </patternFill>
      </fill>
    </dxf>
    <dxf>
      <fill>
        <patternFill>
          <bgColor theme="1"/>
        </patternFill>
      </fill>
    </dxf>
    <dxf>
      <fill>
        <patternFill>
          <bgColor rgb="FFFFC000"/>
        </patternFill>
      </fill>
    </dxf>
    <dxf>
      <fill>
        <patternFill>
          <bgColor rgb="FFFF0000"/>
        </patternFill>
      </fill>
    </dxf>
    <dxf>
      <fill>
        <patternFill>
          <bgColor rgb="FF00B050"/>
        </patternFill>
      </fill>
    </dxf>
    <dxf>
      <fill>
        <patternFill>
          <bgColor rgb="FF0066FF"/>
        </patternFill>
      </fill>
    </dxf>
    <dxf>
      <fill>
        <patternFill>
          <bgColor theme="7" tint="0.39994506668294322"/>
        </patternFill>
      </fill>
    </dxf>
    <dxf>
      <fill>
        <patternFill>
          <bgColor theme="1"/>
        </patternFill>
      </fill>
    </dxf>
    <dxf>
      <fill>
        <patternFill>
          <bgColor theme="1"/>
        </patternFill>
      </fill>
    </dxf>
    <dxf>
      <fill>
        <patternFill>
          <bgColor theme="7" tint="0.59996337778862885"/>
        </patternFill>
      </fill>
    </dxf>
    <dxf>
      <fill>
        <patternFill>
          <bgColor theme="1"/>
        </patternFill>
      </fill>
    </dxf>
    <dxf>
      <fill>
        <patternFill>
          <bgColor theme="7" tint="0.39994506668294322"/>
        </patternFill>
      </fill>
    </dxf>
    <dxf>
      <fill>
        <patternFill>
          <bgColor theme="1"/>
        </patternFill>
      </fill>
    </dxf>
    <dxf>
      <fill>
        <patternFill>
          <bgColor rgb="FFFFFF00"/>
        </patternFill>
      </fill>
    </dxf>
    <dxf>
      <fill>
        <patternFill>
          <bgColor theme="0" tint="-0.34998626667073579"/>
        </patternFill>
      </fill>
    </dxf>
    <dxf>
      <fill>
        <patternFill>
          <bgColor rgb="FFFFC000"/>
        </patternFill>
      </fill>
    </dxf>
    <dxf>
      <fill>
        <patternFill>
          <bgColor rgb="FFFF0000"/>
        </patternFill>
      </fill>
    </dxf>
    <dxf>
      <fill>
        <patternFill>
          <bgColor rgb="FFFFFF00"/>
        </patternFill>
      </fill>
    </dxf>
    <dxf>
      <fill>
        <patternFill>
          <bgColor rgb="FF00B050"/>
        </patternFill>
      </fill>
    </dxf>
    <dxf>
      <font>
        <color theme="0"/>
      </font>
      <fill>
        <patternFill>
          <bgColor rgb="FFFF0000"/>
        </patternFill>
      </fill>
    </dxf>
    <dxf>
      <font>
        <color theme="0"/>
      </font>
      <fill>
        <patternFill>
          <bgColor rgb="FF00B050"/>
        </patternFill>
      </fill>
    </dxf>
    <dxf>
      <fill>
        <patternFill>
          <bgColor theme="0" tint="-0.34998626667073579"/>
        </patternFill>
      </fill>
    </dxf>
    <dxf>
      <fill>
        <patternFill>
          <bgColor rgb="FFFFC000"/>
        </patternFill>
      </fill>
    </dxf>
    <dxf>
      <fill>
        <patternFill>
          <bgColor rgb="FFFF0000"/>
        </patternFill>
      </fill>
    </dxf>
    <dxf>
      <fill>
        <patternFill>
          <bgColor rgb="FFFFFF00"/>
        </patternFill>
      </fill>
    </dxf>
    <dxf>
      <fill>
        <patternFill>
          <bgColor rgb="FF00B050"/>
        </patternFill>
      </fill>
    </dxf>
    <dxf>
      <fill>
        <patternFill>
          <bgColor theme="1"/>
        </patternFill>
      </fill>
    </dxf>
    <dxf>
      <fill>
        <patternFill>
          <bgColor rgb="FFFFC000"/>
        </patternFill>
      </fill>
    </dxf>
    <dxf>
      <fill>
        <patternFill>
          <bgColor rgb="FFFF0000"/>
        </patternFill>
      </fill>
    </dxf>
    <dxf>
      <fill>
        <patternFill>
          <bgColor rgb="FF00B050"/>
        </patternFill>
      </fill>
    </dxf>
    <dxf>
      <fill>
        <patternFill>
          <bgColor rgb="FF0066FF"/>
        </patternFill>
      </fill>
    </dxf>
  </dxfs>
  <tableStyles count="0" defaultTableStyle="TableStyleMedium2" defaultPivotStyle="PivotStyleLight16"/>
  <colors>
    <mruColors>
      <color rgb="FF0000FF"/>
      <color rgb="FF669900"/>
      <color rgb="FFF6F9D3"/>
      <color rgb="FFF1EE6E"/>
      <color rgb="FFCC99FF"/>
      <color rgb="FFE6E480"/>
      <color rgb="FF0000E3"/>
      <color rgb="FFCAFEB0"/>
      <color rgb="FF00CC00"/>
      <color rgb="FF98F9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3.xml"/><Relationship Id="rId55" Type="http://schemas.openxmlformats.org/officeDocument/2006/relationships/externalLink" Target="externalLinks/externalLink8.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7.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6.xml"/><Relationship Id="rId58" Type="http://schemas.openxmlformats.org/officeDocument/2006/relationships/styles" Target="styles.xml"/><Relationship Id="rId66"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2.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5.xml"/><Relationship Id="rId60" Type="http://schemas.openxmlformats.org/officeDocument/2006/relationships/calcChain" Target="calcChain.xml"/><Relationship Id="rId65"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56" Type="http://schemas.openxmlformats.org/officeDocument/2006/relationships/externalLink" Target="externalLinks/externalLink9.xml"/><Relationship Id="rId64"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externalLink" Target="externalLinks/externalLink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Dev" lockText="1" noThreeD="1"/>
</file>

<file path=xl/ctrlProps/ctrlProp2.xml><?xml version="1.0" encoding="utf-8"?>
<formControlPr xmlns="http://schemas.microsoft.com/office/spreadsheetml/2009/9/main" objectType="CheckBox" checked="Checked" fmlaLink="Test" lockText="1" noThreeD="1"/>
</file>

<file path=xl/ctrlProps/ctrlProp3.xml><?xml version="1.0" encoding="utf-8"?>
<formControlPr xmlns="http://schemas.microsoft.com/office/spreadsheetml/2009/9/main" objectType="CheckBox" checked="Checked" fmlaLink="Prod" lockText="1" noThreeD="1"/>
</file>

<file path=xl/ctrlProps/ctrlProp4.xml><?xml version="1.0" encoding="utf-8"?>
<formControlPr xmlns="http://schemas.microsoft.com/office/spreadsheetml/2009/9/main" objectType="CheckBox" fmlaLink="DR" lockText="1" noThreeD="1"/>
</file>

<file path=xl/ctrlProps/ctrlProp5.xml><?xml version="1.0" encoding="utf-8"?>
<formControlPr xmlns="http://schemas.microsoft.com/office/spreadsheetml/2009/9/main" objectType="CheckBox" fmlaLink="prodftw"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fmlaLink="phi_used" lockText="1" noThreeD="1"/>
</file>

<file path=xl/ctrlProps/ctrlProp11.xml><?xml version="1.0" encoding="utf-8"?>
<formControlPr xmlns="http://schemas.microsoft.com/office/spreadsheetml/2009/9/main" objectType="CheckBox" fmlaLink="phi_access" lockText="1" noThreeD="1"/>
</file>

<file path=xl/ctrlProps/ctrlProp12.xml><?xml version="1.0" encoding="utf-8"?>
<formControlPr xmlns="http://schemas.microsoft.com/office/spreadsheetml/2009/9/main" objectType="CheckBox" fmlaLink="spi_used" lockText="1" noThreeD="1"/>
</file>

<file path=xl/ctrlProps/ctrlProp13.xml><?xml version="1.0" encoding="utf-8"?>
<formControlPr xmlns="http://schemas.microsoft.com/office/spreadsheetml/2009/9/main" objectType="CheckBox" fmlaLink="spi_access" lockText="1" noThreeD="1"/>
</file>

<file path=xl/ctrlProps/ctrlProp14.xml><?xml version="1.0" encoding="utf-8"?>
<formControlPr xmlns="http://schemas.microsoft.com/office/spreadsheetml/2009/9/main" objectType="CheckBox" fmlaLink="BCI" lockText="1" noThreeD="1"/>
</file>

<file path=xl/ctrlProps/ctrlProp15.xml><?xml version="1.0" encoding="utf-8"?>
<formControlPr xmlns="http://schemas.microsoft.com/office/spreadsheetml/2009/9/main" objectType="CheckBox" checked="Checked" fmlaLink="no_phi" lockText="1" noThreeD="1"/>
</file>

<file path=xl/ctrlProps/ctrlProp16.xml><?xml version="1.0" encoding="utf-8"?>
<formControlPr xmlns="http://schemas.microsoft.com/office/spreadsheetml/2009/9/main" objectType="CheckBox" fmlaLink="Group" lockText="1" noThreeD="1"/>
</file>

<file path=xl/ctrlProps/ctrlProp17.xml><?xml version="1.0" encoding="utf-8"?>
<formControlPr xmlns="http://schemas.microsoft.com/office/spreadsheetml/2009/9/main" objectType="CheckBox" fmlaLink="Government" lockText="1" noThreeD="1"/>
</file>

<file path=xl/ctrlProps/ctrlProp18.xml><?xml version="1.0" encoding="utf-8"?>
<formControlPr xmlns="http://schemas.microsoft.com/office/spreadsheetml/2009/9/main" objectType="CheckBox" fmlaLink="Retail" lockText="1" noThreeD="1"/>
</file>

<file path=xl/ctrlProps/ctrlProp19.xml><?xml version="1.0" encoding="utf-8"?>
<formControlPr xmlns="http://schemas.microsoft.com/office/spreadsheetml/2009/9/main" objectType="CheckBox" fmlaLink="Axway" lockText="1" noThreeD="1"/>
</file>

<file path=xl/ctrlProps/ctrlProp20.xml><?xml version="1.0" encoding="utf-8"?>
<formControlPr xmlns="http://schemas.microsoft.com/office/spreadsheetml/2009/9/main" objectType="CheckBox" fmlaLink="Datapower" lockText="1" noThreeD="1"/>
</file>

<file path=xl/ctrlProps/ctrlProp21.xml><?xml version="1.0" encoding="utf-8"?>
<formControlPr xmlns="http://schemas.microsoft.com/office/spreadsheetml/2009/9/main" objectType="CheckBox" fmlaLink="MQ" lockText="1" noThreeD="1"/>
</file>

<file path=xl/ctrlProps/ctrlProp22.xml><?xml version="1.0" encoding="utf-8"?>
<formControlPr xmlns="http://schemas.microsoft.com/office/spreadsheetml/2009/9/main" objectType="CheckBox" fmlaLink="FTP" lockText="1" noThreeD="1"/>
</file>

<file path=xl/ctrlProps/ctrlProp23.xml><?xml version="1.0" encoding="utf-8"?>
<formControlPr xmlns="http://schemas.microsoft.com/office/spreadsheetml/2009/9/main" objectType="CheckBox" checked="Checked" fmlaLink="Offshore" lockText="1" noThreeD="1"/>
</file>

<file path=xl/ctrlProps/ctrlProp24.xml><?xml version="1.0" encoding="utf-8"?>
<formControlPr xmlns="http://schemas.microsoft.com/office/spreadsheetml/2009/9/main" objectType="CheckBox" fmlaLink="egateway"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fmlaLink="PII" lockText="1" noThreeD="1"/>
</file>

<file path=xl/ctrlProps/ctrlProp28.xml><?xml version="1.0" encoding="utf-8"?>
<formControlPr xmlns="http://schemas.microsoft.com/office/spreadsheetml/2009/9/main" objectType="CheckBox" fmlaLink="AltPro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hyperlink" Target="#help_ProjDetails"/><Relationship Id="rId2" Type="http://schemas.openxmlformats.org/officeDocument/2006/relationships/hyperlink" Target="#'Project Details'!A1"/><Relationship Id="rId1" Type="http://schemas.openxmlformats.org/officeDocument/2006/relationships/hyperlink" Target="#'Table of Contents'!A1"/></Relationships>
</file>

<file path=xl/drawings/_rels/drawing3.xml.rels><?xml version="1.0" encoding="UTF-8" standalone="yes"?>
<Relationships xmlns="http://schemas.openxmlformats.org/package/2006/relationships"><Relationship Id="rId3" Type="http://schemas.openxmlformats.org/officeDocument/2006/relationships/hyperlink" Target="#help_OpenSystems"/><Relationship Id="rId2" Type="http://schemas.openxmlformats.org/officeDocument/2006/relationships/hyperlink" Target="#'Open Systems'!A1"/><Relationship Id="rId1" Type="http://schemas.openxmlformats.org/officeDocument/2006/relationships/hyperlink" Target="#'Table of Contents'!A1"/></Relationships>
</file>

<file path=xl/drawings/_rels/drawing4.xml.rels><?xml version="1.0" encoding="UTF-8" standalone="yes"?>
<Relationships xmlns="http://schemas.openxmlformats.org/package/2006/relationships"><Relationship Id="rId3" Type="http://schemas.openxmlformats.org/officeDocument/2006/relationships/hyperlink" Target="#help_NAS"/><Relationship Id="rId2" Type="http://schemas.openxmlformats.org/officeDocument/2006/relationships/hyperlink" Target="#NAS!A1"/><Relationship Id="rId1" Type="http://schemas.openxmlformats.org/officeDocument/2006/relationships/hyperlink" Target="#'Table of Contents'!A1"/><Relationship Id="rId4" Type="http://schemas.openxmlformats.org/officeDocument/2006/relationships/hyperlink" Target="#'NAS Details'!A1"/></Relationships>
</file>

<file path=xl/drawings/_rels/drawing5.xml.rels><?xml version="1.0" encoding="UTF-8" standalone="yes"?>
<Relationships xmlns="http://schemas.openxmlformats.org/package/2006/relationships"><Relationship Id="rId2" Type="http://schemas.openxmlformats.org/officeDocument/2006/relationships/hyperlink" Target="#help_websphere"/><Relationship Id="rId1" Type="http://schemas.openxmlformats.org/officeDocument/2006/relationships/hyperlink" Target="#'Table of Contents'!A1"/></Relationships>
</file>

<file path=xl/drawings/_rels/drawing6.xml.rels><?xml version="1.0" encoding="UTF-8" standalone="yes"?>
<Relationships xmlns="http://schemas.openxmlformats.org/package/2006/relationships"><Relationship Id="rId3" Type="http://schemas.openxmlformats.org/officeDocument/2006/relationships/hyperlink" Target="#'New DB Request'!A1"/><Relationship Id="rId2" Type="http://schemas.openxmlformats.org/officeDocument/2006/relationships/hyperlink" Target="#'Database (All)'!A1"/><Relationship Id="rId1" Type="http://schemas.openxmlformats.org/officeDocument/2006/relationships/hyperlink" Target="#'Table of Contents'!A1"/><Relationship Id="rId4" Type="http://schemas.openxmlformats.org/officeDocument/2006/relationships/hyperlink" Target="#help_newDBreq"/></Relationships>
</file>

<file path=xl/drawings/_rels/drawing7.xml.rels><?xml version="1.0" encoding="UTF-8" standalone="yes"?>
<Relationships xmlns="http://schemas.openxmlformats.org/package/2006/relationships"><Relationship Id="rId3" Type="http://schemas.openxmlformats.org/officeDocument/2006/relationships/hyperlink" Target="#help_SqlOptFile"/><Relationship Id="rId2" Type="http://schemas.openxmlformats.org/officeDocument/2006/relationships/hyperlink" Target="#'SQL OPT File Refresh'!A1"/><Relationship Id="rId1" Type="http://schemas.openxmlformats.org/officeDocument/2006/relationships/hyperlink" Target="#'Table of Contents'!A1"/></Relationships>
</file>

<file path=xl/drawings/_rels/drawing8.xml.rels><?xml version="1.0" encoding="UTF-8" standalone="yes"?>
<Relationships xmlns="http://schemas.openxmlformats.org/package/2006/relationships"><Relationship Id="rId3" Type="http://schemas.openxmlformats.org/officeDocument/2006/relationships/hyperlink" Target="#'EAA Siteminder'!A1"/><Relationship Id="rId2" Type="http://schemas.openxmlformats.org/officeDocument/2006/relationships/hyperlink" Target="#help_Siteminder"/><Relationship Id="rId1" Type="http://schemas.openxmlformats.org/officeDocument/2006/relationships/hyperlink" Target="#'Table of Contents'!A1"/></Relationships>
</file>

<file path=xl/drawings/_rels/drawing9.xml.rels><?xml version="1.0" encoding="UTF-8" standalone="yes"?>
<Relationships xmlns="http://schemas.openxmlformats.org/package/2006/relationships"><Relationship Id="rId3" Type="http://schemas.openxmlformats.org/officeDocument/2006/relationships/hyperlink" Target="#help_ICCProvNotes"/><Relationship Id="rId2" Type="http://schemas.openxmlformats.org/officeDocument/2006/relationships/hyperlink" Target="#'ICC Provisioning  Notes'!A1"/><Relationship Id="rId1" Type="http://schemas.openxmlformats.org/officeDocument/2006/relationships/hyperlink" Target="#'Table of Contents'!A1"/></Relationships>
</file>

<file path=xl/drawings/_rels/drawing10.xml.rels><?xml version="1.0" encoding="UTF-8" standalone="yes"?>
<Relationships xmlns="http://schemas.openxmlformats.org/package/2006/relationships"><Relationship Id="rId3" Type="http://schemas.openxmlformats.org/officeDocument/2006/relationships/hyperlink" Target="#help_distAssets"/><Relationship Id="rId2" Type="http://schemas.openxmlformats.org/officeDocument/2006/relationships/hyperlink" Target="#'Distributed Assets'!A1"/><Relationship Id="rId1" Type="http://schemas.openxmlformats.org/officeDocument/2006/relationships/hyperlink" Target="#'Table of Contents'!A1"/><Relationship Id="rId5" Type="http://schemas.openxmlformats.org/officeDocument/2006/relationships/hyperlink" Target="#'Pod Functions'!A1"/><Relationship Id="rId4" Type="http://schemas.openxmlformats.org/officeDocument/2006/relationships/hyperlink" Target="#'Network Lookup'!A1"/></Relationships>
</file>

<file path=xl/drawings/_rels/drawing11.xml.rels><?xml version="1.0" encoding="UTF-8" standalone="yes"?>
<Relationships xmlns="http://schemas.openxmlformats.org/package/2006/relationships"><Relationship Id="rId3" Type="http://schemas.openxmlformats.org/officeDocument/2006/relationships/hyperlink" Target="#IP!A156"/><Relationship Id="rId2" Type="http://schemas.openxmlformats.org/officeDocument/2006/relationships/hyperlink" Target="#IP!A1"/><Relationship Id="rId1" Type="http://schemas.openxmlformats.org/officeDocument/2006/relationships/hyperlink" Target="#'Table of Contents'!A1"/><Relationship Id="rId5" Type="http://schemas.openxmlformats.org/officeDocument/2006/relationships/hyperlink" Target="#help_IP"/><Relationship Id="rId4" Type="http://schemas.openxmlformats.org/officeDocument/2006/relationships/hyperlink" Target="#Network.Loadbalancer!A1"/></Relationships>
</file>

<file path=xl/drawings/_rels/drawing12.xml.rels><?xml version="1.0" encoding="UTF-8" standalone="yes"?>
<Relationships xmlns="http://schemas.openxmlformats.org/package/2006/relationships"><Relationship Id="rId3" Type="http://schemas.openxmlformats.org/officeDocument/2006/relationships/hyperlink" Target="#help_OpenSystems"/><Relationship Id="rId2" Type="http://schemas.openxmlformats.org/officeDocument/2006/relationships/hyperlink" Target="#'Open Systems'!A1"/><Relationship Id="rId1" Type="http://schemas.openxmlformats.org/officeDocument/2006/relationships/hyperlink" Target="#'Table of Contents'!A1"/><Relationship Id="rId4" Type="http://schemas.openxmlformats.org/officeDocument/2006/relationships/hyperlink" Target="#'NAS Details'!A1"/></Relationships>
</file>

<file path=xl/drawings/_rels/drawing13.xml.rels><?xml version="1.0" encoding="UTF-8" standalone="yes"?>
<Relationships xmlns="http://schemas.openxmlformats.org/package/2006/relationships"><Relationship Id="rId3" Type="http://schemas.openxmlformats.org/officeDocument/2006/relationships/hyperlink" Target="#help_WinHttpFtp"/><Relationship Id="rId2" Type="http://schemas.openxmlformats.org/officeDocument/2006/relationships/hyperlink" Target="#'Windows HTTP FTP'!A1"/><Relationship Id="rId1" Type="http://schemas.openxmlformats.org/officeDocument/2006/relationships/hyperlink" Target="#'Table of Contents'!A1"/></Relationships>
</file>

<file path=xl/drawings/_rels/drawing14.xml.rels><?xml version="1.0" encoding="UTF-8" standalone="yes"?>
<Relationships xmlns="http://schemas.openxmlformats.org/package/2006/relationships"><Relationship Id="rId3" Type="http://schemas.openxmlformats.org/officeDocument/2006/relationships/hyperlink" Target="#help_Windows"/><Relationship Id="rId2" Type="http://schemas.openxmlformats.org/officeDocument/2006/relationships/hyperlink" Target="#Windows!A1"/><Relationship Id="rId1" Type="http://schemas.openxmlformats.org/officeDocument/2006/relationships/hyperlink" Target="#'Table of Contents'!A1"/></Relationships>
</file>

<file path=xl/drawings/_rels/drawing15.xml.rels><?xml version="1.0" encoding="UTF-8" standalone="yes"?>
<Relationships xmlns="http://schemas.openxmlformats.org/package/2006/relationships"><Relationship Id="rId3" Type="http://schemas.openxmlformats.org/officeDocument/2006/relationships/hyperlink" Target="#help_Dns"/><Relationship Id="rId2" Type="http://schemas.openxmlformats.org/officeDocument/2006/relationships/hyperlink" Target="#DNS!A1"/><Relationship Id="rId1" Type="http://schemas.openxmlformats.org/officeDocument/2006/relationships/hyperlink" Target="#'Table of Contents'!A1"/></Relationships>
</file>

<file path=xl/drawings/_rels/drawing16.xml.rels><?xml version="1.0" encoding="UTF-8" standalone="yes"?>
<Relationships xmlns="http://schemas.openxmlformats.org/package/2006/relationships"><Relationship Id="rId3" Type="http://schemas.openxmlformats.org/officeDocument/2006/relationships/hyperlink" Target="#help_NasDetails"/><Relationship Id="rId2" Type="http://schemas.openxmlformats.org/officeDocument/2006/relationships/hyperlink" Target="#NAS!A1"/><Relationship Id="rId1" Type="http://schemas.openxmlformats.org/officeDocument/2006/relationships/hyperlink" Target="#'Table of Contents'!A1"/><Relationship Id="rId4" Type="http://schemas.openxmlformats.org/officeDocument/2006/relationships/hyperlink" Target="#'NAS Details'!A1"/></Relationships>
</file>

<file path=xl/drawings/_rels/drawing17.xml.rels><?xml version="1.0" encoding="UTF-8" standalone="yes"?>
<Relationships xmlns="http://schemas.openxmlformats.org/package/2006/relationships"><Relationship Id="rId3" Type="http://schemas.openxmlformats.org/officeDocument/2006/relationships/hyperlink" Target="#help_Storage"/><Relationship Id="rId2" Type="http://schemas.openxmlformats.org/officeDocument/2006/relationships/hyperlink" Target="#Storage!A1"/><Relationship Id="rId1" Type="http://schemas.openxmlformats.org/officeDocument/2006/relationships/hyperlink" Target="#'Table of Contents'!A1"/></Relationships>
</file>

<file path=xl/drawings/_rels/drawing18.xml.rels><?xml version="1.0" encoding="UTF-8" standalone="yes"?>
<Relationships xmlns="http://schemas.openxmlformats.org/package/2006/relationships"><Relationship Id="rId3" Type="http://schemas.openxmlformats.org/officeDocument/2006/relationships/hyperlink" Target="#'TSM - Backup'!A1"/><Relationship Id="rId2" Type="http://schemas.openxmlformats.org/officeDocument/2006/relationships/hyperlink" Target="#help_tsm"/><Relationship Id="rId1" Type="http://schemas.openxmlformats.org/officeDocument/2006/relationships/hyperlink" Target="#'Table of Contents'!A1"/></Relationships>
</file>

<file path=xl/drawings/_rels/drawing19.xml.rels><?xml version="1.0" encoding="UTF-8" standalone="yes"?>
<Relationships xmlns="http://schemas.openxmlformats.org/package/2006/relationships"><Relationship Id="rId3" Type="http://schemas.openxmlformats.org/officeDocument/2006/relationships/hyperlink" Target="#help_dbAll"/><Relationship Id="rId2" Type="http://schemas.openxmlformats.org/officeDocument/2006/relationships/hyperlink" Target="#'New DB Request'!A1"/><Relationship Id="rId1" Type="http://schemas.openxmlformats.org/officeDocument/2006/relationships/hyperlink" Target="#'Table of Contents'!A1"/><Relationship Id="rId4" Type="http://schemas.openxmlformats.org/officeDocument/2006/relationships/hyperlink" Target="#'Database (All)'!A1"/></Relationships>
</file>

<file path=xl/drawings/_rels/drawing20.xml.rels><?xml version="1.0" encoding="UTF-8" standalone="yes"?>
<Relationships xmlns="http://schemas.openxmlformats.org/package/2006/relationships"><Relationship Id="rId3" Type="http://schemas.openxmlformats.org/officeDocument/2006/relationships/hyperlink" Target="#Zena!A1"/><Relationship Id="rId2" Type="http://schemas.openxmlformats.org/officeDocument/2006/relationships/hyperlink" Target="#help_zena"/><Relationship Id="rId1" Type="http://schemas.openxmlformats.org/officeDocument/2006/relationships/hyperlink" Target="#'Table of Contents'!A1"/></Relationships>
</file>

<file path=xl/drawings/_rels/drawing21.xml.rels><?xml version="1.0" encoding="UTF-8" standalone="yes"?>
<Relationships xmlns="http://schemas.openxmlformats.org/package/2006/relationships"><Relationship Id="rId3" Type="http://schemas.openxmlformats.org/officeDocument/2006/relationships/hyperlink" Target="#help_ihs"/><Relationship Id="rId2" Type="http://schemas.openxmlformats.org/officeDocument/2006/relationships/hyperlink" Target="#'Host Reference'!A1"/><Relationship Id="rId1" Type="http://schemas.openxmlformats.org/officeDocument/2006/relationships/hyperlink" Target="#'Table of Contents'!A1"/><Relationship Id="rId5" Type="http://schemas.openxmlformats.org/officeDocument/2006/relationships/hyperlink" Target="https://myfyi.sharepoint.com/:x:/r/teams/DCCDocs/InfraInt/Shared%20Documents/II%20Tech%20Library/http%20port%20assignments%20v4.0.xlsm?d=wff813979fc034140b2408fad8e2c8f89&amp;csf=1" TargetMode="External"/><Relationship Id="rId4" Type="http://schemas.openxmlformats.org/officeDocument/2006/relationships/hyperlink" Target="#IHS!A1"/></Relationships>
</file>

<file path=xl/drawings/_rels/drawing22.xml.rels><?xml version="1.0" encoding="UTF-8" standalone="yes"?>
<Relationships xmlns="http://schemas.openxmlformats.org/package/2006/relationships"><Relationship Id="rId2" Type="http://schemas.openxmlformats.org/officeDocument/2006/relationships/hyperlink" Target="#'Host Reference'!A1"/><Relationship Id="rId1" Type="http://schemas.openxmlformats.org/officeDocument/2006/relationships/hyperlink" Target="#'Table of Contents'!A1"/></Relationships>
</file>

<file path=xl/drawings/_rels/drawing23.xml.rels><?xml version="1.0" encoding="UTF-8" standalone="yes"?>
<Relationships xmlns="http://schemas.openxmlformats.org/package/2006/relationships"><Relationship Id="rId3" Type="http://schemas.openxmlformats.org/officeDocument/2006/relationships/hyperlink" Target="#help_WinHttpFtp"/><Relationship Id="rId2" Type="http://schemas.openxmlformats.org/officeDocument/2006/relationships/hyperlink" Target="#'BlueCoat Proxy'!A1"/><Relationship Id="rId1" Type="http://schemas.openxmlformats.org/officeDocument/2006/relationships/hyperlink" Target="#'Table of Contents'!A1"/></Relationships>
</file>

<file path=xl/drawings/_rels/drawing24.xml.rels><?xml version="1.0" encoding="UTF-8" standalone="yes"?>
<Relationships xmlns="http://schemas.openxmlformats.org/package/2006/relationships"><Relationship Id="rId3" Type="http://schemas.openxmlformats.org/officeDocument/2006/relationships/hyperlink" Target="#help_firewall"/><Relationship Id="rId2" Type="http://schemas.openxmlformats.org/officeDocument/2006/relationships/hyperlink" Target="#'Host Reference'!A1"/><Relationship Id="rId1" Type="http://schemas.openxmlformats.org/officeDocument/2006/relationships/hyperlink" Target="#'Table of Contents'!A1"/><Relationship Id="rId4" Type="http://schemas.openxmlformats.org/officeDocument/2006/relationships/hyperlink" Target="#Network.Firewall!A1"/></Relationships>
</file>

<file path=xl/drawings/_rels/drawing25.xml.rels><?xml version="1.0" encoding="UTF-8" standalone="yes"?>
<Relationships xmlns="http://schemas.openxmlformats.org/package/2006/relationships"><Relationship Id="rId3" Type="http://schemas.openxmlformats.org/officeDocument/2006/relationships/hyperlink" Target="#'Host Reference'!A1"/><Relationship Id="rId2" Type="http://schemas.openxmlformats.org/officeDocument/2006/relationships/hyperlink" Target="#IP!A155"/><Relationship Id="rId1" Type="http://schemas.openxmlformats.org/officeDocument/2006/relationships/hyperlink" Target="#'Table of Contents'!A1"/><Relationship Id="rId5" Type="http://schemas.openxmlformats.org/officeDocument/2006/relationships/hyperlink" Target="#Network.Loadbalancer!A1"/><Relationship Id="rId4" Type="http://schemas.openxmlformats.org/officeDocument/2006/relationships/hyperlink" Target="#help_NetwLoadBal"/></Relationships>
</file>

<file path=xl/drawings/_rels/drawing26.xml.rels><?xml version="1.0" encoding="UTF-8" standalone="yes"?>
<Relationships xmlns="http://schemas.openxmlformats.org/package/2006/relationships"><Relationship Id="rId3" Type="http://schemas.openxmlformats.org/officeDocument/2006/relationships/hyperlink" Target="#'Host Reference'!A1"/><Relationship Id="rId2" Type="http://schemas.openxmlformats.org/officeDocument/2006/relationships/hyperlink" Target="#IP!A155"/><Relationship Id="rId1" Type="http://schemas.openxmlformats.org/officeDocument/2006/relationships/hyperlink" Target="#'Table of Contents'!A1"/><Relationship Id="rId5" Type="http://schemas.openxmlformats.org/officeDocument/2006/relationships/hyperlink" Target="#'Global Traffic Manager'!A1"/><Relationship Id="rId4" Type="http://schemas.openxmlformats.org/officeDocument/2006/relationships/hyperlink" Target="#help_GTM"/></Relationships>
</file>

<file path=xl/drawings/_rels/drawing27.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28.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29.xml.rels><?xml version="1.0" encoding="UTF-8" standalone="yes"?>
<Relationships xmlns="http://schemas.openxmlformats.org/package/2006/relationships"><Relationship Id="rId2" Type="http://schemas.openxmlformats.org/officeDocument/2006/relationships/hyperlink" Target="#'CA-PAM'!ZZ1"/><Relationship Id="rId1" Type="http://schemas.openxmlformats.org/officeDocument/2006/relationships/hyperlink" Target="#'Table of Contents'!A1"/></Relationships>
</file>

<file path=xl/drawings/_rels/drawing30.xml.rels><?xml version="1.0" encoding="UTF-8" standalone="yes"?>
<Relationships xmlns="http://schemas.openxmlformats.org/package/2006/relationships"><Relationship Id="rId3" Type="http://schemas.openxmlformats.org/officeDocument/2006/relationships/hyperlink" Target="#Monitoring!A1"/><Relationship Id="rId2" Type="http://schemas.openxmlformats.org/officeDocument/2006/relationships/hyperlink" Target="#help_Monitoring"/><Relationship Id="rId1" Type="http://schemas.openxmlformats.org/officeDocument/2006/relationships/hyperlink" Target="#'Table of Contents'!A1"/></Relationships>
</file>

<file path=xl/drawings/_rels/drawing31.xml.rels><?xml version="1.0" encoding="UTF-8" standalone="yes"?>
<Relationships xmlns="http://schemas.openxmlformats.org/package/2006/relationships"><Relationship Id="rId3" Type="http://schemas.openxmlformats.org/officeDocument/2006/relationships/hyperlink" Target="#Decommissioning!A1"/><Relationship Id="rId2" Type="http://schemas.openxmlformats.org/officeDocument/2006/relationships/hyperlink" Target="#help_DeComm"/><Relationship Id="rId1" Type="http://schemas.openxmlformats.org/officeDocument/2006/relationships/hyperlink" Target="#'Table of Contents'!A1"/></Relationships>
</file>

<file path=xl/drawings/_rels/drawing32.xml.rels><?xml version="1.0" encoding="UTF-8" standalone="yes"?>
<Relationships xmlns="http://schemas.openxmlformats.org/package/2006/relationships"><Relationship Id="rId3" Type="http://schemas.openxmlformats.org/officeDocument/2006/relationships/hyperlink" Target="#help_mainframeScope"/><Relationship Id="rId2" Type="http://schemas.openxmlformats.org/officeDocument/2006/relationships/hyperlink" Target="#'Mainframe Scope'!A1"/><Relationship Id="rId1" Type="http://schemas.openxmlformats.org/officeDocument/2006/relationships/hyperlink" Target="#'Table of Contents'!A1"/></Relationships>
</file>

<file path=xl/drawings/_rels/drawing33.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34.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35.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36.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37.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38.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39.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40.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41.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42.xml.rels><?xml version="1.0" encoding="UTF-8" standalone="yes"?>
<Relationships xmlns="http://schemas.openxmlformats.org/package/2006/relationships"><Relationship Id="rId3" Type="http://schemas.openxmlformats.org/officeDocument/2006/relationships/hyperlink" Target="#Network.Loadbalancer!A1"/><Relationship Id="rId2" Type="http://schemas.openxmlformats.org/officeDocument/2006/relationships/hyperlink" Target="#Network.Firewall!A1"/><Relationship Id="rId1" Type="http://schemas.openxmlformats.org/officeDocument/2006/relationships/hyperlink" Target="#'Table of Contents'!A1"/></Relationships>
</file>

<file path=xl/drawings/_rels/drawing43.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44.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45.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46.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47.xml.rels><?xml version="1.0" encoding="UTF-8" standalone="yes"?>
<Relationships xmlns="http://schemas.openxmlformats.org/package/2006/relationships"><Relationship Id="rId2" Type="http://schemas.openxmlformats.org/officeDocument/2006/relationships/hyperlink" Target="#'Distributed Assets'!A1"/><Relationship Id="rId1" Type="http://schemas.openxmlformats.org/officeDocument/2006/relationships/hyperlink" Target="#'Table of Contents'!A1"/></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xdr:from>
      <xdr:col>1</xdr:col>
      <xdr:colOff>66675</xdr:colOff>
      <xdr:row>58</xdr:row>
      <xdr:rowOff>28575</xdr:rowOff>
    </xdr:from>
    <xdr:to>
      <xdr:col>2</xdr:col>
      <xdr:colOff>638175</xdr:colOff>
      <xdr:row>58</xdr:row>
      <xdr:rowOff>171450</xdr:rowOff>
    </xdr:to>
    <xdr:sp macro="[0]!complete" textlink="">
      <xdr:nvSpPr>
        <xdr:cNvPr id="2" name="Rounded Rectangle 1">
          <a:extLst>
            <a:ext uri="{FF2B5EF4-FFF2-40B4-BE49-F238E27FC236}">
              <a16:creationId xmlns:a16="http://schemas.microsoft.com/office/drawing/2014/main" id="{00000000-0008-0000-0000-000002000000}"/>
            </a:ext>
          </a:extLst>
        </xdr:cNvPr>
        <xdr:cNvSpPr/>
      </xdr:nvSpPr>
      <xdr:spPr>
        <a:xfrm>
          <a:off x="3752850" y="11906250"/>
          <a:ext cx="1000125" cy="142875"/>
        </a:xfrm>
        <a:prstGeom prst="roundRect">
          <a:avLst/>
        </a:prstGeom>
        <a:solidFill>
          <a:schemeClr val="bg1">
            <a:lumMod val="6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extrusionH="76200" contourW="19050" prstMaterial="metal">
          <a:bevelT w="63500" h="63500" prst="artDeco"/>
          <a:extrusionClr>
            <a:schemeClr val="tx1"/>
          </a:extrusionClr>
          <a:contourClr>
            <a:schemeClr val="tx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Complete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0</xdr:row>
      <xdr:rowOff>76200</xdr:rowOff>
    </xdr:from>
    <xdr:to>
      <xdr:col>0</xdr:col>
      <xdr:colOff>542925</xdr:colOff>
      <xdr:row>0</xdr:row>
      <xdr:rowOff>438150</xdr:rowOff>
    </xdr:to>
    <xdr:sp macro="" textlink="">
      <xdr:nvSpPr>
        <xdr:cNvPr id="8" name="AutoShape 5">
          <a:hlinkClick xmlns:r="http://schemas.openxmlformats.org/officeDocument/2006/relationships" r:id="rId1"/>
          <a:extLst>
            <a:ext uri="{FF2B5EF4-FFF2-40B4-BE49-F238E27FC236}">
              <a16:creationId xmlns:a16="http://schemas.microsoft.com/office/drawing/2014/main" id="{00000000-0008-0000-0100-000008000000}"/>
            </a:ext>
          </a:extLst>
        </xdr:cNvPr>
        <xdr:cNvSpPr>
          <a:spLocks noChangeArrowheads="1"/>
        </xdr:cNvSpPr>
      </xdr:nvSpPr>
      <xdr:spPr bwMode="auto">
        <a:xfrm>
          <a:off x="57150" y="76200"/>
          <a:ext cx="485775" cy="36195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editAs="oneCell">
        <xdr:from>
          <xdr:col>2</xdr:col>
          <xdr:colOff>190500</xdr:colOff>
          <xdr:row>25</xdr:row>
          <xdr:rowOff>19050</xdr:rowOff>
        </xdr:from>
        <xdr:to>
          <xdr:col>2</xdr:col>
          <xdr:colOff>1228725</xdr:colOff>
          <xdr:row>26</xdr:row>
          <xdr:rowOff>9525</xdr:rowOff>
        </xdr:to>
        <xdr:sp macro="" textlink="">
          <xdr:nvSpPr>
            <xdr:cNvPr id="9294" name="Check Box 78" hidden="1">
              <a:extLst>
                <a:ext uri="{63B3BB69-23CF-44E3-9099-C40C66FF867C}">
                  <a14:compatExt spid="_x0000_s9294"/>
                </a:ext>
                <a:ext uri="{FF2B5EF4-FFF2-40B4-BE49-F238E27FC236}">
                  <a16:creationId xmlns:a16="http://schemas.microsoft.com/office/drawing/2014/main" id="{00000000-0008-0000-0100-00004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26</xdr:row>
          <xdr:rowOff>9525</xdr:rowOff>
        </xdr:from>
        <xdr:to>
          <xdr:col>2</xdr:col>
          <xdr:colOff>866775</xdr:colOff>
          <xdr:row>26</xdr:row>
          <xdr:rowOff>171450</xdr:rowOff>
        </xdr:to>
        <xdr:sp macro="" textlink="">
          <xdr:nvSpPr>
            <xdr:cNvPr id="9295" name="Check Box 79" hidden="1">
              <a:extLst>
                <a:ext uri="{63B3BB69-23CF-44E3-9099-C40C66FF867C}">
                  <a14:compatExt spid="_x0000_s9295"/>
                </a:ext>
                <a:ext uri="{FF2B5EF4-FFF2-40B4-BE49-F238E27FC236}">
                  <a16:creationId xmlns:a16="http://schemas.microsoft.com/office/drawing/2014/main" id="{00000000-0008-0000-0100-00004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Test 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28</xdr:row>
          <xdr:rowOff>0</xdr:rowOff>
        </xdr:from>
        <xdr:to>
          <xdr:col>2</xdr:col>
          <xdr:colOff>933450</xdr:colOff>
          <xdr:row>28</xdr:row>
          <xdr:rowOff>171450</xdr:rowOff>
        </xdr:to>
        <xdr:sp macro="" textlink="">
          <xdr:nvSpPr>
            <xdr:cNvPr id="9296" name="Check Box 80" hidden="1">
              <a:extLst>
                <a:ext uri="{63B3BB69-23CF-44E3-9099-C40C66FF867C}">
                  <a14:compatExt spid="_x0000_s9296"/>
                </a:ext>
                <a:ext uri="{FF2B5EF4-FFF2-40B4-BE49-F238E27FC236}">
                  <a16:creationId xmlns:a16="http://schemas.microsoft.com/office/drawing/2014/main" id="{00000000-0008-0000-0100-00005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Prod 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30</xdr:row>
          <xdr:rowOff>9525</xdr:rowOff>
        </xdr:from>
        <xdr:to>
          <xdr:col>2</xdr:col>
          <xdr:colOff>600075</xdr:colOff>
          <xdr:row>30</xdr:row>
          <xdr:rowOff>171450</xdr:rowOff>
        </xdr:to>
        <xdr:sp macro="" textlink="">
          <xdr:nvSpPr>
            <xdr:cNvPr id="9299" name="Check Box 83" hidden="1">
              <a:extLst>
                <a:ext uri="{63B3BB69-23CF-44E3-9099-C40C66FF867C}">
                  <a14:compatExt spid="_x0000_s9299"/>
                </a:ext>
                <a:ext uri="{FF2B5EF4-FFF2-40B4-BE49-F238E27FC236}">
                  <a16:creationId xmlns:a16="http://schemas.microsoft.com/office/drawing/2014/main" id="{00000000-0008-0000-0100-00005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29</xdr:row>
          <xdr:rowOff>0</xdr:rowOff>
        </xdr:from>
        <xdr:to>
          <xdr:col>2</xdr:col>
          <xdr:colOff>1438275</xdr:colOff>
          <xdr:row>29</xdr:row>
          <xdr:rowOff>171450</xdr:rowOff>
        </xdr:to>
        <xdr:sp macro="" textlink="">
          <xdr:nvSpPr>
            <xdr:cNvPr id="9300" name="Check Box 84" hidden="1">
              <a:extLst>
                <a:ext uri="{63B3BB69-23CF-44E3-9099-C40C66FF867C}">
                  <a14:compatExt spid="_x0000_s9300"/>
                </a:ext>
                <a:ext uri="{FF2B5EF4-FFF2-40B4-BE49-F238E27FC236}">
                  <a16:creationId xmlns:a16="http://schemas.microsoft.com/office/drawing/2014/main" id="{00000000-0008-0000-0100-00005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Ft. Worth - Prod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81</xdr:row>
          <xdr:rowOff>114300</xdr:rowOff>
        </xdr:from>
        <xdr:to>
          <xdr:col>3</xdr:col>
          <xdr:colOff>742950</xdr:colOff>
          <xdr:row>83</xdr:row>
          <xdr:rowOff>28575</xdr:rowOff>
        </xdr:to>
        <xdr:sp macro="" textlink="">
          <xdr:nvSpPr>
            <xdr:cNvPr id="9319" name="Check Box 103" hidden="1">
              <a:extLst>
                <a:ext uri="{63B3BB69-23CF-44E3-9099-C40C66FF867C}">
                  <a14:compatExt spid="_x0000_s9319"/>
                </a:ext>
                <a:ext uri="{FF2B5EF4-FFF2-40B4-BE49-F238E27FC236}">
                  <a16:creationId xmlns:a16="http://schemas.microsoft.com/office/drawing/2014/main" id="{00000000-0008-0000-0100-00006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257175</xdr:colOff>
          <xdr:row>81</xdr:row>
          <xdr:rowOff>104775</xdr:rowOff>
        </xdr:from>
        <xdr:to>
          <xdr:col>4</xdr:col>
          <xdr:colOff>657225</xdr:colOff>
          <xdr:row>83</xdr:row>
          <xdr:rowOff>38100</xdr:rowOff>
        </xdr:to>
        <xdr:sp macro="" textlink="">
          <xdr:nvSpPr>
            <xdr:cNvPr id="9320" name="Check Box 104" hidden="1">
              <a:extLst>
                <a:ext uri="{63B3BB69-23CF-44E3-9099-C40C66FF867C}">
                  <a14:compatExt spid="_x0000_s9320"/>
                </a:ext>
                <a:ext uri="{FF2B5EF4-FFF2-40B4-BE49-F238E27FC236}">
                  <a16:creationId xmlns:a16="http://schemas.microsoft.com/office/drawing/2014/main" id="{00000000-0008-0000-0100-00006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TEST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1019175</xdr:colOff>
          <xdr:row>81</xdr:row>
          <xdr:rowOff>104775</xdr:rowOff>
        </xdr:from>
        <xdr:to>
          <xdr:col>4</xdr:col>
          <xdr:colOff>1419225</xdr:colOff>
          <xdr:row>83</xdr:row>
          <xdr:rowOff>28575</xdr:rowOff>
        </xdr:to>
        <xdr:sp macro="" textlink="">
          <xdr:nvSpPr>
            <xdr:cNvPr id="9321" name="Check Box 105" hidden="1">
              <a:extLst>
                <a:ext uri="{63B3BB69-23CF-44E3-9099-C40C66FF867C}">
                  <a14:compatExt spid="_x0000_s9321"/>
                </a:ext>
                <a:ext uri="{FF2B5EF4-FFF2-40B4-BE49-F238E27FC236}">
                  <a16:creationId xmlns:a16="http://schemas.microsoft.com/office/drawing/2014/main" id="{00000000-0008-0000-0100-00006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Prod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1733550</xdr:colOff>
          <xdr:row>81</xdr:row>
          <xdr:rowOff>104775</xdr:rowOff>
        </xdr:from>
        <xdr:to>
          <xdr:col>4</xdr:col>
          <xdr:colOff>2419350</xdr:colOff>
          <xdr:row>83</xdr:row>
          <xdr:rowOff>38100</xdr:rowOff>
        </xdr:to>
        <xdr:sp macro="" textlink="">
          <xdr:nvSpPr>
            <xdr:cNvPr id="9322" name="Check Box 106" hidden="1">
              <a:extLst>
                <a:ext uri="{63B3BB69-23CF-44E3-9099-C40C66FF867C}">
                  <a14:compatExt spid="_x0000_s9322"/>
                </a:ext>
                <a:ext uri="{FF2B5EF4-FFF2-40B4-BE49-F238E27FC236}">
                  <a16:creationId xmlns:a16="http://schemas.microsoft.com/office/drawing/2014/main" id="{00000000-0008-0000-0100-00006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FW  Prod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73</xdr:row>
          <xdr:rowOff>152400</xdr:rowOff>
        </xdr:from>
        <xdr:to>
          <xdr:col>4</xdr:col>
          <xdr:colOff>904875</xdr:colOff>
          <xdr:row>73</xdr:row>
          <xdr:rowOff>323850</xdr:rowOff>
        </xdr:to>
        <xdr:sp macro="" textlink="">
          <xdr:nvSpPr>
            <xdr:cNvPr id="217213" name="Check Box 8317" hidden="1">
              <a:extLst>
                <a:ext uri="{63B3BB69-23CF-44E3-9099-C40C66FF867C}">
                  <a14:compatExt spid="_x0000_s217213"/>
                </a:ext>
                <a:ext uri="{FF2B5EF4-FFF2-40B4-BE49-F238E27FC236}">
                  <a16:creationId xmlns:a16="http://schemas.microsoft.com/office/drawing/2014/main" id="{00000000-0008-0000-0100-00007D500300}"/>
                </a:ext>
              </a:extLst>
            </xdr:cNvPr>
            <xdr:cNvSpPr/>
          </xdr:nvSpPr>
          <xdr:spPr bwMode="auto">
            <a:xfrm>
              <a:off x="0" y="0"/>
              <a:ext cx="0" cy="0"/>
            </a:xfrm>
            <a:prstGeom prst="rect">
              <a:avLst/>
            </a:prstGeom>
            <a:noFill/>
            <a:ln>
              <a:noFill/>
            </a:ln>
            <a:extLst>
              <a:ext uri="{909E8E84-426E-40DD-AFC4-6F175D3DCCD1}">
                <a14:hiddenFill>
                  <a:solidFill>
                    <a:srgbClr val="FF0000" mc:Ignorable="a14" a14:legacySpreadsheetColorIndex="1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PHI used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73</xdr:row>
          <xdr:rowOff>333375</xdr:rowOff>
        </xdr:from>
        <xdr:to>
          <xdr:col>4</xdr:col>
          <xdr:colOff>1266825</xdr:colOff>
          <xdr:row>73</xdr:row>
          <xdr:rowOff>504825</xdr:rowOff>
        </xdr:to>
        <xdr:sp macro="" textlink="">
          <xdr:nvSpPr>
            <xdr:cNvPr id="217216" name="Check Box 8320" hidden="1">
              <a:extLst>
                <a:ext uri="{63B3BB69-23CF-44E3-9099-C40C66FF867C}">
                  <a14:compatExt spid="_x0000_s217216"/>
                </a:ext>
                <a:ext uri="{FF2B5EF4-FFF2-40B4-BE49-F238E27FC236}">
                  <a16:creationId xmlns:a16="http://schemas.microsoft.com/office/drawing/2014/main" id="{00000000-0008-0000-0100-000080500300}"/>
                </a:ext>
              </a:extLst>
            </xdr:cNvPr>
            <xdr:cNvSpPr/>
          </xdr:nvSpPr>
          <xdr:spPr bwMode="auto">
            <a:xfrm>
              <a:off x="0" y="0"/>
              <a:ext cx="0" cy="0"/>
            </a:xfrm>
            <a:prstGeom prst="rect">
              <a:avLst/>
            </a:prstGeom>
            <a:noFill/>
            <a:ln>
              <a:noFill/>
            </a:ln>
            <a:extLst>
              <a:ext uri="{909E8E84-426E-40DD-AFC4-6F175D3DCCD1}">
                <a14:hiddenFill>
                  <a:solidFill>
                    <a:srgbClr val="FF0000" mc:Ignorable="a14" a14:legacySpreadsheetColorIndex="1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PHI access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1304925</xdr:colOff>
          <xdr:row>73</xdr:row>
          <xdr:rowOff>152400</xdr:rowOff>
        </xdr:from>
        <xdr:to>
          <xdr:col>4</xdr:col>
          <xdr:colOff>2171700</xdr:colOff>
          <xdr:row>73</xdr:row>
          <xdr:rowOff>323850</xdr:rowOff>
        </xdr:to>
        <xdr:sp macro="" textlink="">
          <xdr:nvSpPr>
            <xdr:cNvPr id="217217" name="Check Box 8321" hidden="1">
              <a:extLst>
                <a:ext uri="{63B3BB69-23CF-44E3-9099-C40C66FF867C}">
                  <a14:compatExt spid="_x0000_s217217"/>
                </a:ext>
                <a:ext uri="{FF2B5EF4-FFF2-40B4-BE49-F238E27FC236}">
                  <a16:creationId xmlns:a16="http://schemas.microsoft.com/office/drawing/2014/main" id="{00000000-0008-0000-0100-000081500300}"/>
                </a:ext>
              </a:extLst>
            </xdr:cNvPr>
            <xdr:cNvSpPr/>
          </xdr:nvSpPr>
          <xdr:spPr bwMode="auto">
            <a:xfrm>
              <a:off x="0" y="0"/>
              <a:ext cx="0" cy="0"/>
            </a:xfrm>
            <a:prstGeom prst="rect">
              <a:avLst/>
            </a:prstGeom>
            <a:noFill/>
            <a:ln>
              <a:noFill/>
            </a:ln>
            <a:extLst>
              <a:ext uri="{909E8E84-426E-40DD-AFC4-6F175D3DCCD1}">
                <a14:hiddenFill>
                  <a:solidFill>
                    <a:srgbClr val="FF0000" mc:Ignorable="a14" a14:legacySpreadsheetColorIndex="1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SPI used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1304925</xdr:colOff>
          <xdr:row>73</xdr:row>
          <xdr:rowOff>323850</xdr:rowOff>
        </xdr:from>
        <xdr:to>
          <xdr:col>4</xdr:col>
          <xdr:colOff>2524125</xdr:colOff>
          <xdr:row>73</xdr:row>
          <xdr:rowOff>495300</xdr:rowOff>
        </xdr:to>
        <xdr:sp macro="" textlink="">
          <xdr:nvSpPr>
            <xdr:cNvPr id="217218" name="Check Box 8322" hidden="1">
              <a:extLst>
                <a:ext uri="{63B3BB69-23CF-44E3-9099-C40C66FF867C}">
                  <a14:compatExt spid="_x0000_s217218"/>
                </a:ext>
                <a:ext uri="{FF2B5EF4-FFF2-40B4-BE49-F238E27FC236}">
                  <a16:creationId xmlns:a16="http://schemas.microsoft.com/office/drawing/2014/main" id="{00000000-0008-0000-0100-000082500300}"/>
                </a:ext>
              </a:extLst>
            </xdr:cNvPr>
            <xdr:cNvSpPr/>
          </xdr:nvSpPr>
          <xdr:spPr bwMode="auto">
            <a:xfrm>
              <a:off x="0" y="0"/>
              <a:ext cx="0" cy="0"/>
            </a:xfrm>
            <a:prstGeom prst="rect">
              <a:avLst/>
            </a:prstGeom>
            <a:noFill/>
            <a:ln>
              <a:noFill/>
            </a:ln>
            <a:extLst>
              <a:ext uri="{909E8E84-426E-40DD-AFC4-6F175D3DCCD1}">
                <a14:hiddenFill>
                  <a:solidFill>
                    <a:srgbClr val="FF0000" mc:Ignorable="a14" a14:legacySpreadsheetColorIndex="1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SPI access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2514600</xdr:colOff>
          <xdr:row>73</xdr:row>
          <xdr:rowOff>161925</xdr:rowOff>
        </xdr:from>
        <xdr:to>
          <xdr:col>4</xdr:col>
          <xdr:colOff>3038475</xdr:colOff>
          <xdr:row>73</xdr:row>
          <xdr:rowOff>323850</xdr:rowOff>
        </xdr:to>
        <xdr:sp macro="" textlink="">
          <xdr:nvSpPr>
            <xdr:cNvPr id="217219" name="Check Box 8323" hidden="1">
              <a:extLst>
                <a:ext uri="{63B3BB69-23CF-44E3-9099-C40C66FF867C}">
                  <a14:compatExt spid="_x0000_s217219"/>
                </a:ext>
                <a:ext uri="{FF2B5EF4-FFF2-40B4-BE49-F238E27FC236}">
                  <a16:creationId xmlns:a16="http://schemas.microsoft.com/office/drawing/2014/main" id="{00000000-0008-0000-0100-000083500300}"/>
                </a:ext>
              </a:extLst>
            </xdr:cNvPr>
            <xdr:cNvSpPr/>
          </xdr:nvSpPr>
          <xdr:spPr bwMode="auto">
            <a:xfrm>
              <a:off x="0" y="0"/>
              <a:ext cx="0" cy="0"/>
            </a:xfrm>
            <a:prstGeom prst="rect">
              <a:avLst/>
            </a:prstGeom>
            <a:noFill/>
            <a:ln>
              <a:noFill/>
            </a:ln>
            <a:extLst>
              <a:ext uri="{909E8E84-426E-40DD-AFC4-6F175D3DCCD1}">
                <a14:hiddenFill>
                  <a:solidFill>
                    <a:srgbClr val="FF0000" mc:Ignorable="a14" a14:legacySpreadsheetColorIndex="1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BCI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2524125</xdr:colOff>
          <xdr:row>73</xdr:row>
          <xdr:rowOff>333375</xdr:rowOff>
        </xdr:from>
        <xdr:to>
          <xdr:col>4</xdr:col>
          <xdr:colOff>3048000</xdr:colOff>
          <xdr:row>73</xdr:row>
          <xdr:rowOff>485775</xdr:rowOff>
        </xdr:to>
        <xdr:sp macro="" textlink="">
          <xdr:nvSpPr>
            <xdr:cNvPr id="217221" name="Check Box 8325" hidden="1">
              <a:extLst>
                <a:ext uri="{63B3BB69-23CF-44E3-9099-C40C66FF867C}">
                  <a14:compatExt spid="_x0000_s217221"/>
                </a:ext>
                <a:ext uri="{FF2B5EF4-FFF2-40B4-BE49-F238E27FC236}">
                  <a16:creationId xmlns:a16="http://schemas.microsoft.com/office/drawing/2014/main" id="{00000000-0008-0000-0100-000085500300}"/>
                </a:ext>
              </a:extLst>
            </xdr:cNvPr>
            <xdr:cNvSpPr/>
          </xdr:nvSpPr>
          <xdr:spPr bwMode="auto">
            <a:xfrm>
              <a:off x="0" y="0"/>
              <a:ext cx="0" cy="0"/>
            </a:xfrm>
            <a:prstGeom prst="rect">
              <a:avLst/>
            </a:prstGeom>
            <a:noFill/>
            <a:ln>
              <a:noFill/>
            </a:ln>
            <a:extLst>
              <a:ext uri="{909E8E84-426E-40DD-AFC4-6F175D3DCCD1}">
                <a14:hiddenFill>
                  <a:solidFill>
                    <a:srgbClr val="FF0000" mc:Ignorable="a14" a14:legacySpreadsheetColorIndex="1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None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42</xdr:row>
          <xdr:rowOff>9525</xdr:rowOff>
        </xdr:from>
        <xdr:to>
          <xdr:col>4</xdr:col>
          <xdr:colOff>733425</xdr:colOff>
          <xdr:row>42</xdr:row>
          <xdr:rowOff>171450</xdr:rowOff>
        </xdr:to>
        <xdr:sp macro="" textlink="">
          <xdr:nvSpPr>
            <xdr:cNvPr id="217222" name="Check Box 8326" hidden="1">
              <a:extLst>
                <a:ext uri="{63B3BB69-23CF-44E3-9099-C40C66FF867C}">
                  <a14:compatExt spid="_x0000_s217222"/>
                </a:ext>
                <a:ext uri="{FF2B5EF4-FFF2-40B4-BE49-F238E27FC236}">
                  <a16:creationId xmlns:a16="http://schemas.microsoft.com/office/drawing/2014/main" id="{00000000-0008-0000-0100-000086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1733550</xdr:colOff>
          <xdr:row>42</xdr:row>
          <xdr:rowOff>19050</xdr:rowOff>
        </xdr:from>
        <xdr:to>
          <xdr:col>4</xdr:col>
          <xdr:colOff>2638425</xdr:colOff>
          <xdr:row>42</xdr:row>
          <xdr:rowOff>171450</xdr:rowOff>
        </xdr:to>
        <xdr:sp macro="" textlink="">
          <xdr:nvSpPr>
            <xdr:cNvPr id="217223" name="Check Box 8327" hidden="1">
              <a:extLst>
                <a:ext uri="{63B3BB69-23CF-44E3-9099-C40C66FF867C}">
                  <a14:compatExt spid="_x0000_s217223"/>
                </a:ext>
                <a:ext uri="{FF2B5EF4-FFF2-40B4-BE49-F238E27FC236}">
                  <a16:creationId xmlns:a16="http://schemas.microsoft.com/office/drawing/2014/main" id="{00000000-0008-0000-0100-000087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Government Test 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1123950</xdr:colOff>
          <xdr:row>42</xdr:row>
          <xdr:rowOff>9525</xdr:rowOff>
        </xdr:from>
        <xdr:to>
          <xdr:col>4</xdr:col>
          <xdr:colOff>1857375</xdr:colOff>
          <xdr:row>42</xdr:row>
          <xdr:rowOff>180975</xdr:rowOff>
        </xdr:to>
        <xdr:sp macro="" textlink="">
          <xdr:nvSpPr>
            <xdr:cNvPr id="217224" name="Check Box 8328" hidden="1">
              <a:extLst>
                <a:ext uri="{63B3BB69-23CF-44E3-9099-C40C66FF867C}">
                  <a14:compatExt spid="_x0000_s217224"/>
                </a:ext>
                <a:ext uri="{FF2B5EF4-FFF2-40B4-BE49-F238E27FC236}">
                  <a16:creationId xmlns:a16="http://schemas.microsoft.com/office/drawing/2014/main" id="{00000000-0008-0000-0100-000088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106</xdr:col>
          <xdr:colOff>209550</xdr:colOff>
          <xdr:row>0</xdr:row>
          <xdr:rowOff>114300</xdr:rowOff>
        </xdr:from>
        <xdr:to>
          <xdr:col>123</xdr:col>
          <xdr:colOff>285750</xdr:colOff>
          <xdr:row>24</xdr:row>
          <xdr:rowOff>38100</xdr:rowOff>
        </xdr:to>
        <xdr:sp macro="" textlink="">
          <xdr:nvSpPr>
            <xdr:cNvPr id="217228" name="Object 8332" hidden="1">
              <a:extLst>
                <a:ext uri="{63B3BB69-23CF-44E3-9099-C40C66FF867C}">
                  <a14:compatExt spid="_x0000_s217228"/>
                </a:ext>
                <a:ext uri="{FF2B5EF4-FFF2-40B4-BE49-F238E27FC236}">
                  <a16:creationId xmlns:a16="http://schemas.microsoft.com/office/drawing/2014/main" id="{00000000-0008-0000-0100-00008C50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115</xdr:col>
      <xdr:colOff>296333</xdr:colOff>
      <xdr:row>0</xdr:row>
      <xdr:rowOff>148166</xdr:rowOff>
    </xdr:from>
    <xdr:to>
      <xdr:col>117</xdr:col>
      <xdr:colOff>316441</xdr:colOff>
      <xdr:row>1</xdr:row>
      <xdr:rowOff>166158</xdr:rowOff>
    </xdr:to>
    <xdr:sp macro="" textlink="">
      <xdr:nvSpPr>
        <xdr:cNvPr id="22" name="Right Arrow 21">
          <a:hlinkClick xmlns:r="http://schemas.openxmlformats.org/officeDocument/2006/relationships" r:id="rId2"/>
          <a:extLst>
            <a:ext uri="{FF2B5EF4-FFF2-40B4-BE49-F238E27FC236}">
              <a16:creationId xmlns:a16="http://schemas.microsoft.com/office/drawing/2014/main" id="{00000000-0008-0000-0100-000016000000}"/>
            </a:ext>
          </a:extLst>
        </xdr:cNvPr>
        <xdr:cNvSpPr/>
      </xdr:nvSpPr>
      <xdr:spPr>
        <a:xfrm>
          <a:off x="79618416" y="148166"/>
          <a:ext cx="1247775" cy="504825"/>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xdr:from>
      <xdr:col>0</xdr:col>
      <xdr:colOff>709086</xdr:colOff>
      <xdr:row>0</xdr:row>
      <xdr:rowOff>74084</xdr:rowOff>
    </xdr:from>
    <xdr:to>
      <xdr:col>1</xdr:col>
      <xdr:colOff>349255</xdr:colOff>
      <xdr:row>0</xdr:row>
      <xdr:rowOff>423334</xdr:rowOff>
    </xdr:to>
    <xdr:sp macro="" textlink="">
      <xdr:nvSpPr>
        <xdr:cNvPr id="25" name="Right Arrow 24">
          <a:hlinkClick xmlns:r="http://schemas.openxmlformats.org/officeDocument/2006/relationships" r:id="rId3"/>
          <a:extLst>
            <a:ext uri="{FF2B5EF4-FFF2-40B4-BE49-F238E27FC236}">
              <a16:creationId xmlns:a16="http://schemas.microsoft.com/office/drawing/2014/main" id="{00000000-0008-0000-0100-000019000000}"/>
            </a:ext>
          </a:extLst>
        </xdr:cNvPr>
        <xdr:cNvSpPr/>
      </xdr:nvSpPr>
      <xdr:spPr>
        <a:xfrm>
          <a:off x="709086" y="74084"/>
          <a:ext cx="984252" cy="3492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a:t>About</a:t>
          </a:r>
          <a:r>
            <a:rPr lang="en-US" sz="900" baseline="0"/>
            <a:t> this Tab</a:t>
          </a:r>
          <a:endParaRPr lang="en-US" sz="900"/>
        </a:p>
      </xdr:txBody>
    </xdr:sp>
    <xdr:clientData/>
  </xdr:twoCellAnchor>
  <mc:AlternateContent xmlns:mc="http://schemas.openxmlformats.org/markup-compatibility/2006">
    <mc:Choice xmlns:a14="http://schemas.microsoft.com/office/drawing/2010/main" Requires="a14">
      <xdr:twoCellAnchor editAs="oneCell">
        <xdr:from>
          <xdr:col>4</xdr:col>
          <xdr:colOff>1133475</xdr:colOff>
          <xdr:row>41</xdr:row>
          <xdr:rowOff>19050</xdr:rowOff>
        </xdr:from>
        <xdr:to>
          <xdr:col>4</xdr:col>
          <xdr:colOff>1866900</xdr:colOff>
          <xdr:row>41</xdr:row>
          <xdr:rowOff>190500</xdr:rowOff>
        </xdr:to>
        <xdr:sp macro="" textlink="">
          <xdr:nvSpPr>
            <xdr:cNvPr id="217286" name="Check Box 8390" descr="Axway" hidden="1">
              <a:extLst>
                <a:ext uri="{63B3BB69-23CF-44E3-9099-C40C66FF867C}">
                  <a14:compatExt spid="_x0000_s217286"/>
                </a:ext>
                <a:ext uri="{FF2B5EF4-FFF2-40B4-BE49-F238E27FC236}">
                  <a16:creationId xmlns:a16="http://schemas.microsoft.com/office/drawing/2014/main" id="{00000000-0008-0000-0100-0000C6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Axway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1752600</xdr:colOff>
          <xdr:row>41</xdr:row>
          <xdr:rowOff>28575</xdr:rowOff>
        </xdr:from>
        <xdr:to>
          <xdr:col>4</xdr:col>
          <xdr:colOff>2647950</xdr:colOff>
          <xdr:row>41</xdr:row>
          <xdr:rowOff>180975</xdr:rowOff>
        </xdr:to>
        <xdr:sp macro="" textlink="">
          <xdr:nvSpPr>
            <xdr:cNvPr id="217288" name="Check Box 8392" descr="Datapower" hidden="1">
              <a:extLst>
                <a:ext uri="{63B3BB69-23CF-44E3-9099-C40C66FF867C}">
                  <a14:compatExt spid="_x0000_s217288"/>
                </a:ext>
                <a:ext uri="{FF2B5EF4-FFF2-40B4-BE49-F238E27FC236}">
                  <a16:creationId xmlns:a16="http://schemas.microsoft.com/office/drawing/2014/main" id="{00000000-0008-0000-0100-0000C8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Datapower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2609850</xdr:colOff>
          <xdr:row>41</xdr:row>
          <xdr:rowOff>28575</xdr:rowOff>
        </xdr:from>
        <xdr:to>
          <xdr:col>4</xdr:col>
          <xdr:colOff>3505200</xdr:colOff>
          <xdr:row>41</xdr:row>
          <xdr:rowOff>180975</xdr:rowOff>
        </xdr:to>
        <xdr:sp macro="" textlink="">
          <xdr:nvSpPr>
            <xdr:cNvPr id="217289" name="Check Box 8393" descr="MQ" hidden="1">
              <a:extLst>
                <a:ext uri="{63B3BB69-23CF-44E3-9099-C40C66FF867C}">
                  <a14:compatExt spid="_x0000_s217289"/>
                </a:ext>
                <a:ext uri="{FF2B5EF4-FFF2-40B4-BE49-F238E27FC236}">
                  <a16:creationId xmlns:a16="http://schemas.microsoft.com/office/drawing/2014/main" id="{00000000-0008-0000-0100-0000C9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MQ</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3067050</xdr:colOff>
          <xdr:row>41</xdr:row>
          <xdr:rowOff>28575</xdr:rowOff>
        </xdr:from>
        <xdr:to>
          <xdr:col>4</xdr:col>
          <xdr:colOff>3962400</xdr:colOff>
          <xdr:row>41</xdr:row>
          <xdr:rowOff>180975</xdr:rowOff>
        </xdr:to>
        <xdr:sp macro="" textlink="">
          <xdr:nvSpPr>
            <xdr:cNvPr id="217290" name="Check Box 8394" descr="FTP" hidden="1">
              <a:extLst>
                <a:ext uri="{63B3BB69-23CF-44E3-9099-C40C66FF867C}">
                  <a14:compatExt spid="_x0000_s217290"/>
                </a:ext>
                <a:ext uri="{FF2B5EF4-FFF2-40B4-BE49-F238E27FC236}">
                  <a16:creationId xmlns:a16="http://schemas.microsoft.com/office/drawing/2014/main" id="{00000000-0008-0000-0100-0000CA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FTP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42</xdr:row>
          <xdr:rowOff>200025</xdr:rowOff>
        </xdr:from>
        <xdr:to>
          <xdr:col>4</xdr:col>
          <xdr:colOff>1895475</xdr:colOff>
          <xdr:row>44</xdr:row>
          <xdr:rowOff>9525</xdr:rowOff>
        </xdr:to>
        <xdr:sp macro="" textlink="">
          <xdr:nvSpPr>
            <xdr:cNvPr id="217296" name="Check Box 8400" descr="Onshore" hidden="1">
              <a:extLst>
                <a:ext uri="{63B3BB69-23CF-44E3-9099-C40C66FF867C}">
                  <a14:compatExt spid="_x0000_s217296"/>
                </a:ext>
                <a:ext uri="{FF2B5EF4-FFF2-40B4-BE49-F238E27FC236}">
                  <a16:creationId xmlns:a16="http://schemas.microsoft.com/office/drawing/2014/main" id="{00000000-0008-0000-0100-0000D0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Offshore not  allowed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41</xdr:row>
          <xdr:rowOff>0</xdr:rowOff>
        </xdr:from>
        <xdr:to>
          <xdr:col>4</xdr:col>
          <xdr:colOff>1171575</xdr:colOff>
          <xdr:row>42</xdr:row>
          <xdr:rowOff>9525</xdr:rowOff>
        </xdr:to>
        <xdr:sp macro="" textlink="">
          <xdr:nvSpPr>
            <xdr:cNvPr id="217305" name="Check Box 8388" descr="Egateway" hidden="1">
              <a:extLst>
                <a:ext uri="{63B3BB69-23CF-44E3-9099-C40C66FF867C}">
                  <a14:compatExt spid="_x0000_s217305"/>
                </a:ext>
                <a:ext uri="{FF2B5EF4-FFF2-40B4-BE49-F238E27FC236}">
                  <a16:creationId xmlns:a16="http://schemas.microsoft.com/office/drawing/2014/main" id="{00000000-0008-0000-0100-0000D9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Egateway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68</xdr:row>
          <xdr:rowOff>28575</xdr:rowOff>
        </xdr:from>
        <xdr:to>
          <xdr:col>4</xdr:col>
          <xdr:colOff>361950</xdr:colOff>
          <xdr:row>68</xdr:row>
          <xdr:rowOff>180975</xdr:rowOff>
        </xdr:to>
        <xdr:sp macro="" textlink="">
          <xdr:nvSpPr>
            <xdr:cNvPr id="217322" name="Button 8426" hidden="1">
              <a:extLst>
                <a:ext uri="{63B3BB69-23CF-44E3-9099-C40C66FF867C}">
                  <a14:compatExt spid="_x0000_s217322"/>
                </a:ext>
                <a:ext uri="{FF2B5EF4-FFF2-40B4-BE49-F238E27FC236}">
                  <a16:creationId xmlns:a16="http://schemas.microsoft.com/office/drawing/2014/main" id="{00000000-0008-0000-0100-0000EA5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339966"/>
                  </a:solidFill>
                  <a:latin typeface="Arial"/>
                  <a:cs typeface="Arial"/>
                </a:rPr>
                <a:t>Autofill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381000</xdr:colOff>
          <xdr:row>68</xdr:row>
          <xdr:rowOff>19050</xdr:rowOff>
        </xdr:from>
        <xdr:to>
          <xdr:col>4</xdr:col>
          <xdr:colOff>1228725</xdr:colOff>
          <xdr:row>68</xdr:row>
          <xdr:rowOff>190500</xdr:rowOff>
        </xdr:to>
        <xdr:sp macro="" textlink="">
          <xdr:nvSpPr>
            <xdr:cNvPr id="217324" name="Button 8428" hidden="1">
              <a:extLst>
                <a:ext uri="{63B3BB69-23CF-44E3-9099-C40C66FF867C}">
                  <a14:compatExt spid="_x0000_s217324"/>
                </a:ext>
                <a:ext uri="{FF2B5EF4-FFF2-40B4-BE49-F238E27FC236}">
                  <a16:creationId xmlns:a16="http://schemas.microsoft.com/office/drawing/2014/main" id="{00000000-0008-0000-0100-0000EC5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993300"/>
                  </a:solidFill>
                  <a:latin typeface="Arial"/>
                  <a:cs typeface="Arial"/>
                </a:rPr>
                <a:t>Clear LBOM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3143250</xdr:colOff>
          <xdr:row>73</xdr:row>
          <xdr:rowOff>161925</xdr:rowOff>
        </xdr:from>
        <xdr:to>
          <xdr:col>4</xdr:col>
          <xdr:colOff>3667125</xdr:colOff>
          <xdr:row>73</xdr:row>
          <xdr:rowOff>323850</xdr:rowOff>
        </xdr:to>
        <xdr:sp macro="" textlink="">
          <xdr:nvSpPr>
            <xdr:cNvPr id="217330" name="Check Box 8434" hidden="1">
              <a:extLst>
                <a:ext uri="{63B3BB69-23CF-44E3-9099-C40C66FF867C}">
                  <a14:compatExt spid="_x0000_s217330"/>
                </a:ext>
                <a:ext uri="{FF2B5EF4-FFF2-40B4-BE49-F238E27FC236}">
                  <a16:creationId xmlns:a16="http://schemas.microsoft.com/office/drawing/2014/main" id="{00000000-0008-0000-0100-0000F2500300}"/>
                </a:ext>
              </a:extLst>
            </xdr:cNvPr>
            <xdr:cNvSpPr/>
          </xdr:nvSpPr>
          <xdr:spPr bwMode="auto">
            <a:xfrm>
              <a:off x="0" y="0"/>
              <a:ext cx="0" cy="0"/>
            </a:xfrm>
            <a:prstGeom prst="rect">
              <a:avLst/>
            </a:prstGeom>
            <a:noFill/>
            <a:ln>
              <a:noFill/>
            </a:ln>
            <a:extLst>
              <a:ext uri="{909E8E84-426E-40DD-AFC4-6F175D3DCCD1}">
                <a14:hiddenFill>
                  <a:solidFill>
                    <a:srgbClr val="FF0000" mc:Ignorable="a14" a14:legacySpreadsheetColorIndex="1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PII</a:t>
              </a:r>
            </a:p>
          </xdr:txBody>
        </xdr:sp>
        <xdr:clientData/>
      </xdr:twoCellAnchor>
    </mc:Choice>
    <mc:Fallback/>
  </mc:AlternateContent>
  <xdr:oneCellAnchor>
    <xdr:from>
      <xdr:col>2</xdr:col>
      <xdr:colOff>495300</xdr:colOff>
      <xdr:row>27</xdr:row>
      <xdr:rowOff>142875</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676775" y="4829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2</xdr:col>
          <xdr:colOff>190500</xdr:colOff>
          <xdr:row>27</xdr:row>
          <xdr:rowOff>0</xdr:rowOff>
        </xdr:from>
        <xdr:to>
          <xdr:col>2</xdr:col>
          <xdr:colOff>876300</xdr:colOff>
          <xdr:row>27</xdr:row>
          <xdr:rowOff>161925</xdr:rowOff>
        </xdr:to>
        <xdr:sp macro="" textlink="">
          <xdr:nvSpPr>
            <xdr:cNvPr id="217336" name="Check Box 8437" hidden="1">
              <a:extLst>
                <a:ext uri="{63B3BB69-23CF-44E3-9099-C40C66FF867C}">
                  <a14:compatExt spid="_x0000_s217336"/>
                </a:ext>
                <a:ext uri="{FF2B5EF4-FFF2-40B4-BE49-F238E27FC236}">
                  <a16:creationId xmlns:a16="http://schemas.microsoft.com/office/drawing/2014/main" id="{00000000-0008-0000-0100-0000F8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Alt Prod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3581400</xdr:colOff>
          <xdr:row>40</xdr:row>
          <xdr:rowOff>152400</xdr:rowOff>
        </xdr:from>
        <xdr:to>
          <xdr:col>4</xdr:col>
          <xdr:colOff>4314825</xdr:colOff>
          <xdr:row>42</xdr:row>
          <xdr:rowOff>9525</xdr:rowOff>
        </xdr:to>
        <xdr:sp macro="" textlink="">
          <xdr:nvSpPr>
            <xdr:cNvPr id="217337" name="Check Box 8441" hidden="1">
              <a:extLst>
                <a:ext uri="{63B3BB69-23CF-44E3-9099-C40C66FF867C}">
                  <a14:compatExt spid="_x0000_s217337"/>
                </a:ext>
                <a:ext uri="{FF2B5EF4-FFF2-40B4-BE49-F238E27FC236}">
                  <a16:creationId xmlns:a16="http://schemas.microsoft.com/office/drawing/2014/main" id="{00000000-0008-0000-0100-0000F9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MuleSoft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4276725</xdr:colOff>
          <xdr:row>40</xdr:row>
          <xdr:rowOff>142875</xdr:rowOff>
        </xdr:from>
        <xdr:to>
          <xdr:col>4</xdr:col>
          <xdr:colOff>4895850</xdr:colOff>
          <xdr:row>42</xdr:row>
          <xdr:rowOff>19050</xdr:rowOff>
        </xdr:to>
        <xdr:sp macro="" textlink="">
          <xdr:nvSpPr>
            <xdr:cNvPr id="217339" name="Check Box 8443" hidden="1">
              <a:extLst>
                <a:ext uri="{63B3BB69-23CF-44E3-9099-C40C66FF867C}">
                  <a14:compatExt spid="_x0000_s217339"/>
                </a:ext>
                <a:ext uri="{FF2B5EF4-FFF2-40B4-BE49-F238E27FC236}">
                  <a16:creationId xmlns:a16="http://schemas.microsoft.com/office/drawing/2014/main" id="{00000000-0008-0000-0100-0000FB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Talend</a:t>
              </a:r>
            </a:p>
          </xdr:txBody>
        </xdr:sp>
        <xdr:clientData/>
      </xdr:twoCellAnchor>
    </mc:Choice>
    <mc:Fallback/>
  </mc:AlternateContent>
  <xdr:oneCellAnchor>
    <xdr:from>
      <xdr:col>7</xdr:col>
      <xdr:colOff>28575</xdr:colOff>
      <xdr:row>43</xdr:row>
      <xdr:rowOff>161925</xdr:rowOff>
    </xdr:from>
    <xdr:ext cx="184731" cy="26456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3754100" y="6210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161923</xdr:colOff>
      <xdr:row>0</xdr:row>
      <xdr:rowOff>28575</xdr:rowOff>
    </xdr:from>
    <xdr:to>
      <xdr:col>0</xdr:col>
      <xdr:colOff>647698</xdr:colOff>
      <xdr:row>0</xdr:row>
      <xdr:rowOff>428625</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0200-000002000000}"/>
            </a:ext>
          </a:extLst>
        </xdr:cNvPr>
        <xdr:cNvSpPr>
          <a:spLocks noChangeArrowheads="1"/>
        </xdr:cNvSpPr>
      </xdr:nvSpPr>
      <xdr:spPr bwMode="auto">
        <a:xfrm>
          <a:off x="161923" y="28575"/>
          <a:ext cx="485775" cy="400050"/>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oneCellAnchor>
    <xdr:from>
      <xdr:col>8</xdr:col>
      <xdr:colOff>0</xdr:colOff>
      <xdr:row>14</xdr:row>
      <xdr:rowOff>0</xdr:rowOff>
    </xdr:from>
    <xdr:ext cx="184731" cy="264560"/>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1714619" y="3962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92</xdr:col>
          <xdr:colOff>0</xdr:colOff>
          <xdr:row>0</xdr:row>
          <xdr:rowOff>0</xdr:rowOff>
        </xdr:from>
        <xdr:to>
          <xdr:col>109</xdr:col>
          <xdr:colOff>171450</xdr:colOff>
          <xdr:row>3</xdr:row>
          <xdr:rowOff>1295400</xdr:rowOff>
        </xdr:to>
        <xdr:sp macro="" textlink="">
          <xdr:nvSpPr>
            <xdr:cNvPr id="677889" name="Object 1" hidden="1">
              <a:extLst>
                <a:ext uri="{63B3BB69-23CF-44E3-9099-C40C66FF867C}">
                  <a14:compatExt spid="_x0000_s677889"/>
                </a:ext>
                <a:ext uri="{FF2B5EF4-FFF2-40B4-BE49-F238E27FC236}">
                  <a16:creationId xmlns:a16="http://schemas.microsoft.com/office/drawing/2014/main" id="{00000000-0008-0000-0200-000001580A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106</xdr:col>
      <xdr:colOff>140494</xdr:colOff>
      <xdr:row>2</xdr:row>
      <xdr:rowOff>0</xdr:rowOff>
    </xdr:from>
    <xdr:to>
      <xdr:col>108</xdr:col>
      <xdr:colOff>165365</xdr:colOff>
      <xdr:row>2</xdr:row>
      <xdr:rowOff>0</xdr:rowOff>
    </xdr:to>
    <xdr:sp macro="" textlink="">
      <xdr:nvSpPr>
        <xdr:cNvPr id="5" name="Right Arrow 4">
          <a:hlinkClick xmlns:r="http://schemas.openxmlformats.org/officeDocument/2006/relationships" r:id="rId2"/>
          <a:extLst>
            <a:ext uri="{FF2B5EF4-FFF2-40B4-BE49-F238E27FC236}">
              <a16:creationId xmlns:a16="http://schemas.microsoft.com/office/drawing/2014/main" id="{00000000-0008-0000-0200-000005000000}"/>
            </a:ext>
          </a:extLst>
        </xdr:cNvPr>
        <xdr:cNvSpPr/>
      </xdr:nvSpPr>
      <xdr:spPr>
        <a:xfrm>
          <a:off x="92523469" y="499529"/>
          <a:ext cx="1244071"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1</xdr:col>
      <xdr:colOff>190492</xdr:colOff>
      <xdr:row>0</xdr:row>
      <xdr:rowOff>59531</xdr:rowOff>
    </xdr:from>
    <xdr:to>
      <xdr:col>1</xdr:col>
      <xdr:colOff>1381118</xdr:colOff>
      <xdr:row>0</xdr:row>
      <xdr:rowOff>404814</xdr:rowOff>
    </xdr:to>
    <xdr:sp macro="" textlink="">
      <xdr:nvSpPr>
        <xdr:cNvPr id="6" name="Right Arrow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1238242" y="59531"/>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85724</xdr:colOff>
      <xdr:row>0</xdr:row>
      <xdr:rowOff>76200</xdr:rowOff>
    </xdr:from>
    <xdr:to>
      <xdr:col>0</xdr:col>
      <xdr:colOff>628649</xdr:colOff>
      <xdr:row>0</xdr:row>
      <xdr:rowOff>438150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85724" y="76200"/>
          <a:ext cx="542925" cy="36195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editAs="oneCell">
        <xdr:from>
          <xdr:col>106</xdr:col>
          <xdr:colOff>600075</xdr:colOff>
          <xdr:row>1</xdr:row>
          <xdr:rowOff>9525</xdr:rowOff>
        </xdr:from>
        <xdr:to>
          <xdr:col>124</xdr:col>
          <xdr:colOff>161925</xdr:colOff>
          <xdr:row>27</xdr:row>
          <xdr:rowOff>76200</xdr:rowOff>
        </xdr:to>
        <xdr:sp macro="" textlink="">
          <xdr:nvSpPr>
            <xdr:cNvPr id="458760" name="Object 8" hidden="1">
              <a:extLst>
                <a:ext uri="{63B3BB69-23CF-44E3-9099-C40C66FF867C}">
                  <a14:compatExt spid="_x0000_s458760"/>
                </a:ext>
                <a:ext uri="{FF2B5EF4-FFF2-40B4-BE49-F238E27FC236}">
                  <a16:creationId xmlns:a16="http://schemas.microsoft.com/office/drawing/2014/main" id="{00000000-0008-0000-0300-0000080007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115</xdr:col>
      <xdr:colOff>141817</xdr:colOff>
      <xdr:row>1</xdr:row>
      <xdr:rowOff>117474</xdr:rowOff>
    </xdr:from>
    <xdr:to>
      <xdr:col>117</xdr:col>
      <xdr:colOff>170392</xdr:colOff>
      <xdr:row>6</xdr:row>
      <xdr:rowOff>12699</xdr:rowOff>
    </xdr:to>
    <xdr:sp macro="" textlink="">
      <xdr:nvSpPr>
        <xdr:cNvPr id="6" name="Right Arrow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77856292" y="536574"/>
          <a:ext cx="1247775" cy="504825"/>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1704975</xdr:colOff>
      <xdr:row>0</xdr:row>
      <xdr:rowOff>38100</xdr:rowOff>
    </xdr:from>
    <xdr:to>
      <xdr:col>0</xdr:col>
      <xdr:colOff>2705100</xdr:colOff>
      <xdr:row>0</xdr:row>
      <xdr:rowOff>419101</xdr:rowOff>
    </xdr:to>
    <xdr:sp macro="" textlink="">
      <xdr:nvSpPr>
        <xdr:cNvPr id="8" name="Right Arrow 7">
          <a:hlinkClick xmlns:r="http://schemas.openxmlformats.org/officeDocument/2006/relationships" r:id="rId3"/>
          <a:extLst>
            <a:ext uri="{FF2B5EF4-FFF2-40B4-BE49-F238E27FC236}">
              <a16:creationId xmlns:a16="http://schemas.microsoft.com/office/drawing/2014/main" id="{00000000-0008-0000-0300-000008000000}"/>
            </a:ext>
          </a:extLst>
        </xdr:cNvPr>
        <xdr:cNvSpPr/>
      </xdr:nvSpPr>
      <xdr:spPr>
        <a:xfrm>
          <a:off x="1704975" y="38100"/>
          <a:ext cx="1000125" cy="38100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a:t>About</a:t>
          </a:r>
          <a:r>
            <a:rPr lang="en-US" sz="900" baseline="0"/>
            <a:t> this Tab</a:t>
          </a:r>
          <a:endParaRPr lang="en-US" sz="900"/>
        </a:p>
      </xdr:txBody>
    </xdr:sp>
    <xdr:clientData/>
  </xdr:twoCellAnchor>
  <xdr:twoCellAnchor editAs="oneCell">
    <xdr:from>
      <xdr:col>0</xdr:col>
      <xdr:colOff>685801</xdr:colOff>
      <xdr:row>0</xdr:row>
      <xdr:rowOff>66675</xdr:rowOff>
    </xdr:from>
    <xdr:to>
      <xdr:col>0</xdr:col>
      <xdr:colOff>1524001</xdr:colOff>
      <xdr:row>0</xdr:row>
      <xdr:rowOff>447676</xdr:rowOff>
    </xdr:to>
    <xdr:sp macro="" textlink="">
      <xdr:nvSpPr>
        <xdr:cNvPr id="7" name="Right Arrow 6">
          <a:hlinkClick xmlns:r="http://schemas.openxmlformats.org/officeDocument/2006/relationships" r:id="rId4"/>
          <a:extLst>
            <a:ext uri="{FF2B5EF4-FFF2-40B4-BE49-F238E27FC236}">
              <a16:creationId xmlns:a16="http://schemas.microsoft.com/office/drawing/2014/main" id="{00000000-0008-0000-0300-000007000000}"/>
            </a:ext>
          </a:extLst>
        </xdr:cNvPr>
        <xdr:cNvSpPr/>
      </xdr:nvSpPr>
      <xdr:spPr>
        <a:xfrm>
          <a:off x="685801" y="66675"/>
          <a:ext cx="838200" cy="381001"/>
        </a:xfrm>
        <a:prstGeom prst="rightArrow">
          <a:avLst/>
        </a:prstGeom>
        <a:solidFill>
          <a:schemeClr val="accent5">
            <a:lumMod val="60000"/>
            <a:lumOff val="40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a:solidFill>
                <a:schemeClr val="tx1"/>
              </a:solidFill>
            </a:rPr>
            <a:t>NAS</a:t>
          </a:r>
          <a:r>
            <a:rPr lang="en-US" sz="900" baseline="0">
              <a:solidFill>
                <a:schemeClr val="tx1"/>
              </a:solidFill>
            </a:rPr>
            <a:t> Details</a:t>
          </a:r>
          <a:endParaRPr lang="en-US" sz="9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85724</xdr:colOff>
      <xdr:row>0</xdr:row>
      <xdr:rowOff>19050</xdr:rowOff>
    </xdr:from>
    <xdr:to>
      <xdr:col>0</xdr:col>
      <xdr:colOff>628649</xdr:colOff>
      <xdr:row>0</xdr:row>
      <xdr:rowOff>381000</xdr:rowOff>
    </xdr:to>
    <xdr:sp macro="" textlink="">
      <xdr:nvSpPr>
        <xdr:cNvPr id="3" name="AutoShape 1">
          <a:hlinkClick xmlns:r="http://schemas.openxmlformats.org/officeDocument/2006/relationships" r:id="rId1"/>
          <a:extLst>
            <a:ext uri="{FF2B5EF4-FFF2-40B4-BE49-F238E27FC236}">
              <a16:creationId xmlns:a16="http://schemas.microsoft.com/office/drawing/2014/main" id="{00000000-0008-0000-0400-000003000000}"/>
            </a:ext>
          </a:extLst>
        </xdr:cNvPr>
        <xdr:cNvSpPr>
          <a:spLocks noChangeArrowheads="1"/>
        </xdr:cNvSpPr>
      </xdr:nvSpPr>
      <xdr:spPr bwMode="auto">
        <a:xfrm>
          <a:off x="85724" y="19050"/>
          <a:ext cx="542925" cy="36195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editAs="oneCell">
        <xdr:from>
          <xdr:col>105</xdr:col>
          <xdr:colOff>600075</xdr:colOff>
          <xdr:row>0</xdr:row>
          <xdr:rowOff>314325</xdr:rowOff>
        </xdr:from>
        <xdr:to>
          <xdr:col>122</xdr:col>
          <xdr:colOff>104775</xdr:colOff>
          <xdr:row>21</xdr:row>
          <xdr:rowOff>104775</xdr:rowOff>
        </xdr:to>
        <xdr:sp macro="" textlink="">
          <xdr:nvSpPr>
            <xdr:cNvPr id="47174" name="Object 70" hidden="1">
              <a:extLst>
                <a:ext uri="{63B3BB69-23CF-44E3-9099-C40C66FF867C}">
                  <a14:compatExt spid="_x0000_s47174"/>
                </a:ext>
                <a:ext uri="{FF2B5EF4-FFF2-40B4-BE49-F238E27FC236}">
                  <a16:creationId xmlns:a16="http://schemas.microsoft.com/office/drawing/2014/main" id="{00000000-0008-0000-0400-000046B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0</xdr:col>
      <xdr:colOff>845347</xdr:colOff>
      <xdr:row>0</xdr:row>
      <xdr:rowOff>35719</xdr:rowOff>
    </xdr:from>
    <xdr:to>
      <xdr:col>0</xdr:col>
      <xdr:colOff>2035973</xdr:colOff>
      <xdr:row>0</xdr:row>
      <xdr:rowOff>381002</xdr:rowOff>
    </xdr:to>
    <xdr:sp macro="" textlink="">
      <xdr:nvSpPr>
        <xdr:cNvPr id="9" name="Right Arrow 8">
          <a:hlinkClick xmlns:r="http://schemas.openxmlformats.org/officeDocument/2006/relationships" r:id="rId2"/>
          <a:extLst>
            <a:ext uri="{FF2B5EF4-FFF2-40B4-BE49-F238E27FC236}">
              <a16:creationId xmlns:a16="http://schemas.microsoft.com/office/drawing/2014/main" id="{00000000-0008-0000-0400-000009000000}"/>
            </a:ext>
          </a:extLst>
        </xdr:cNvPr>
        <xdr:cNvSpPr/>
      </xdr:nvSpPr>
      <xdr:spPr>
        <a:xfrm>
          <a:off x="845347" y="35719"/>
          <a:ext cx="1190626" cy="34528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a:t>About</a:t>
          </a:r>
          <a:r>
            <a:rPr lang="en-US" sz="900" baseline="0"/>
            <a:t> this Tab</a:t>
          </a:r>
          <a:endParaRPr lang="en-US" sz="9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85725</xdr:colOff>
      <xdr:row>0</xdr:row>
      <xdr:rowOff>19050</xdr:rowOff>
    </xdr:from>
    <xdr:to>
      <xdr:col>0</xdr:col>
      <xdr:colOff>571500</xdr:colOff>
      <xdr:row>0</xdr:row>
      <xdr:rowOff>400050</xdr:rowOff>
    </xdr:to>
    <xdr:sp macro="" textlink="">
      <xdr:nvSpPr>
        <xdr:cNvPr id="3" name="AutoShape 1">
          <a:hlinkClick xmlns:r="http://schemas.openxmlformats.org/officeDocument/2006/relationships" r:id="rId1"/>
          <a:extLst>
            <a:ext uri="{FF2B5EF4-FFF2-40B4-BE49-F238E27FC236}">
              <a16:creationId xmlns:a16="http://schemas.microsoft.com/office/drawing/2014/main" id="{00000000-0008-0000-0500-000003000000}"/>
            </a:ext>
          </a:extLst>
        </xdr:cNvPr>
        <xdr:cNvSpPr>
          <a:spLocks noChangeArrowheads="1"/>
        </xdr:cNvSpPr>
      </xdr:nvSpPr>
      <xdr:spPr bwMode="auto">
        <a:xfrm>
          <a:off x="85725" y="19050"/>
          <a:ext cx="485775" cy="3810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0</xdr:col>
      <xdr:colOff>2171699</xdr:colOff>
      <xdr:row>0</xdr:row>
      <xdr:rowOff>59532</xdr:rowOff>
    </xdr:from>
    <xdr:to>
      <xdr:col>0</xdr:col>
      <xdr:colOff>3181350</xdr:colOff>
      <xdr:row>0</xdr:row>
      <xdr:rowOff>345282</xdr:rowOff>
    </xdr:to>
    <xdr:sp macro="" textlink="">
      <xdr:nvSpPr>
        <xdr:cNvPr id="2" name="Pentagon 1">
          <a:hlinkClick xmlns:r="http://schemas.openxmlformats.org/officeDocument/2006/relationships" r:id="rId2"/>
          <a:extLst>
            <a:ext uri="{FF2B5EF4-FFF2-40B4-BE49-F238E27FC236}">
              <a16:creationId xmlns:a16="http://schemas.microsoft.com/office/drawing/2014/main" id="{00000000-0008-0000-0500-000002000000}"/>
            </a:ext>
          </a:extLst>
        </xdr:cNvPr>
        <xdr:cNvSpPr/>
      </xdr:nvSpPr>
      <xdr:spPr>
        <a:xfrm>
          <a:off x="2171699" y="59532"/>
          <a:ext cx="1009651" cy="285750"/>
        </a:xfrm>
        <a:prstGeom prst="homePlate">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Database_all</a:t>
          </a:r>
        </a:p>
      </xdr:txBody>
    </xdr:sp>
    <xdr:clientData/>
  </xdr:twoCellAnchor>
  <mc:AlternateContent xmlns:mc="http://schemas.openxmlformats.org/markup-compatibility/2006">
    <mc:Choice xmlns:a14="http://schemas.microsoft.com/office/drawing/2010/main" Requires="a14">
      <xdr:twoCellAnchor editAs="oneCell">
        <xdr:from>
          <xdr:col>107</xdr:col>
          <xdr:colOff>104775</xdr:colOff>
          <xdr:row>1</xdr:row>
          <xdr:rowOff>76200</xdr:rowOff>
        </xdr:from>
        <xdr:to>
          <xdr:col>124</xdr:col>
          <xdr:colOff>276225</xdr:colOff>
          <xdr:row>18</xdr:row>
          <xdr:rowOff>142875</xdr:rowOff>
        </xdr:to>
        <xdr:sp macro="" textlink="">
          <xdr:nvSpPr>
            <xdr:cNvPr id="221187" name="Object 3" hidden="1">
              <a:extLst>
                <a:ext uri="{63B3BB69-23CF-44E3-9099-C40C66FF867C}">
                  <a14:compatExt spid="_x0000_s221187"/>
                </a:ext>
                <a:ext uri="{FF2B5EF4-FFF2-40B4-BE49-F238E27FC236}">
                  <a16:creationId xmlns:a16="http://schemas.microsoft.com/office/drawing/2014/main" id="{00000000-0008-0000-0500-00000360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513292</xdr:colOff>
      <xdr:row>1</xdr:row>
      <xdr:rowOff>79375</xdr:rowOff>
    </xdr:from>
    <xdr:to>
      <xdr:col>122</xdr:col>
      <xdr:colOff>546630</xdr:colOff>
      <xdr:row>3</xdr:row>
      <xdr:rowOff>96044</xdr:rowOff>
    </xdr:to>
    <xdr:sp macro="" textlink="">
      <xdr:nvSpPr>
        <xdr:cNvPr id="5" name="Right Arrow 4">
          <a:hlinkClick xmlns:r="http://schemas.openxmlformats.org/officeDocument/2006/relationships" r:id="rId3"/>
          <a:extLst>
            <a:ext uri="{FF2B5EF4-FFF2-40B4-BE49-F238E27FC236}">
              <a16:creationId xmlns:a16="http://schemas.microsoft.com/office/drawing/2014/main" id="{00000000-0008-0000-0500-000005000000}"/>
            </a:ext>
          </a:extLst>
        </xdr:cNvPr>
        <xdr:cNvSpPr/>
      </xdr:nvSpPr>
      <xdr:spPr>
        <a:xfrm>
          <a:off x="81928230" y="484188"/>
          <a:ext cx="1247775" cy="504825"/>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773906</xdr:colOff>
      <xdr:row>0</xdr:row>
      <xdr:rowOff>35719</xdr:rowOff>
    </xdr:from>
    <xdr:to>
      <xdr:col>0</xdr:col>
      <xdr:colOff>1964532</xdr:colOff>
      <xdr:row>0</xdr:row>
      <xdr:rowOff>381002</xdr:rowOff>
    </xdr:to>
    <xdr:sp macro="" textlink="">
      <xdr:nvSpPr>
        <xdr:cNvPr id="9" name="Right Arrow 8">
          <a:hlinkClick xmlns:r="http://schemas.openxmlformats.org/officeDocument/2006/relationships" r:id="rId4"/>
          <a:extLst>
            <a:ext uri="{FF2B5EF4-FFF2-40B4-BE49-F238E27FC236}">
              <a16:creationId xmlns:a16="http://schemas.microsoft.com/office/drawing/2014/main" id="{00000000-0008-0000-0500-000009000000}"/>
            </a:ext>
          </a:extLst>
        </xdr:cNvPr>
        <xdr:cNvSpPr/>
      </xdr:nvSpPr>
      <xdr:spPr>
        <a:xfrm>
          <a:off x="773906" y="35719"/>
          <a:ext cx="1190626" cy="34528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a:t>About</a:t>
          </a:r>
          <a:r>
            <a:rPr lang="en-US" sz="900" baseline="0"/>
            <a:t> this Tab</a:t>
          </a:r>
          <a:endParaRPr lang="en-US" sz="9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85725</xdr:colOff>
      <xdr:row>0</xdr:row>
      <xdr:rowOff>19050</xdr:rowOff>
    </xdr:from>
    <xdr:to>
      <xdr:col>0</xdr:col>
      <xdr:colOff>571500</xdr:colOff>
      <xdr:row>0</xdr:row>
      <xdr:rowOff>400050</xdr:rowOff>
    </xdr:to>
    <xdr:sp macro="" textlink="">
      <xdr:nvSpPr>
        <xdr:cNvPr id="4" name="AutoShape 1">
          <a:hlinkClick xmlns:r="http://schemas.openxmlformats.org/officeDocument/2006/relationships" r:id="rId1"/>
          <a:extLst>
            <a:ext uri="{FF2B5EF4-FFF2-40B4-BE49-F238E27FC236}">
              <a16:creationId xmlns:a16="http://schemas.microsoft.com/office/drawing/2014/main" id="{00000000-0008-0000-0600-000004000000}"/>
            </a:ext>
          </a:extLst>
        </xdr:cNvPr>
        <xdr:cNvSpPr>
          <a:spLocks noChangeArrowheads="1"/>
        </xdr:cNvSpPr>
      </xdr:nvSpPr>
      <xdr:spPr bwMode="auto">
        <a:xfrm>
          <a:off x="85725" y="19050"/>
          <a:ext cx="485775" cy="3810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editAs="oneCell">
        <xdr:from>
          <xdr:col>107</xdr:col>
          <xdr:colOff>0</xdr:colOff>
          <xdr:row>0</xdr:row>
          <xdr:rowOff>0</xdr:rowOff>
        </xdr:from>
        <xdr:to>
          <xdr:col>124</xdr:col>
          <xdr:colOff>171450</xdr:colOff>
          <xdr:row>17</xdr:row>
          <xdr:rowOff>95250</xdr:rowOff>
        </xdr:to>
        <xdr:sp macro="" textlink="">
          <xdr:nvSpPr>
            <xdr:cNvPr id="222216" name="Object 8" hidden="1">
              <a:extLst>
                <a:ext uri="{63B3BB69-23CF-44E3-9099-C40C66FF867C}">
                  <a14:compatExt spid="_x0000_s222216"/>
                </a:ext>
                <a:ext uri="{FF2B5EF4-FFF2-40B4-BE49-F238E27FC236}">
                  <a16:creationId xmlns:a16="http://schemas.microsoft.com/office/drawing/2014/main" id="{00000000-0008-0000-0600-00000864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121</xdr:col>
      <xdr:colOff>456142</xdr:colOff>
      <xdr:row>1</xdr:row>
      <xdr:rowOff>253207</xdr:rowOff>
    </xdr:from>
    <xdr:to>
      <xdr:col>123</xdr:col>
      <xdr:colOff>489480</xdr:colOff>
      <xdr:row>3</xdr:row>
      <xdr:rowOff>103188</xdr:rowOff>
    </xdr:to>
    <xdr:sp macro="" textlink="">
      <xdr:nvSpPr>
        <xdr:cNvPr id="5" name="Right Arrow 4">
          <a:hlinkClick xmlns:r="http://schemas.openxmlformats.org/officeDocument/2006/relationships" r:id="rId2"/>
          <a:extLst>
            <a:ext uri="{FF2B5EF4-FFF2-40B4-BE49-F238E27FC236}">
              <a16:creationId xmlns:a16="http://schemas.microsoft.com/office/drawing/2014/main" id="{00000000-0008-0000-0600-000005000000}"/>
            </a:ext>
          </a:extLst>
        </xdr:cNvPr>
        <xdr:cNvSpPr/>
      </xdr:nvSpPr>
      <xdr:spPr>
        <a:xfrm>
          <a:off x="83073611" y="586582"/>
          <a:ext cx="1247775" cy="504825"/>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654844</xdr:colOff>
      <xdr:row>0</xdr:row>
      <xdr:rowOff>11906</xdr:rowOff>
    </xdr:from>
    <xdr:to>
      <xdr:col>0</xdr:col>
      <xdr:colOff>1845470</xdr:colOff>
      <xdr:row>1</xdr:row>
      <xdr:rowOff>23814</xdr:rowOff>
    </xdr:to>
    <xdr:sp macro="" textlink="">
      <xdr:nvSpPr>
        <xdr:cNvPr id="6" name="Right Arrow 5">
          <a:hlinkClick xmlns:r="http://schemas.openxmlformats.org/officeDocument/2006/relationships" r:id="rId3"/>
          <a:extLst>
            <a:ext uri="{FF2B5EF4-FFF2-40B4-BE49-F238E27FC236}">
              <a16:creationId xmlns:a16="http://schemas.microsoft.com/office/drawing/2014/main" id="{00000000-0008-0000-0600-000006000000}"/>
            </a:ext>
          </a:extLst>
        </xdr:cNvPr>
        <xdr:cNvSpPr/>
      </xdr:nvSpPr>
      <xdr:spPr>
        <a:xfrm>
          <a:off x="654844" y="11906"/>
          <a:ext cx="1190626" cy="34528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a:t>About</a:t>
          </a:r>
          <a:r>
            <a:rPr lang="en-US" sz="900" baseline="0"/>
            <a:t> this Tab</a:t>
          </a:r>
          <a:endParaRPr lang="en-US" sz="9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85725</xdr:colOff>
      <xdr:row>0</xdr:row>
      <xdr:rowOff>19050</xdr:rowOff>
    </xdr:from>
    <xdr:to>
      <xdr:col>0</xdr:col>
      <xdr:colOff>571500</xdr:colOff>
      <xdr:row>0</xdr:row>
      <xdr:rowOff>400050</xdr:rowOff>
    </xdr:to>
    <xdr:sp macro="" textlink="">
      <xdr:nvSpPr>
        <xdr:cNvPr id="3" name="AutoShape 1">
          <a:hlinkClick xmlns:r="http://schemas.openxmlformats.org/officeDocument/2006/relationships" r:id="rId1"/>
          <a:extLst>
            <a:ext uri="{FF2B5EF4-FFF2-40B4-BE49-F238E27FC236}">
              <a16:creationId xmlns:a16="http://schemas.microsoft.com/office/drawing/2014/main" id="{00000000-0008-0000-0700-000003000000}"/>
            </a:ext>
          </a:extLst>
        </xdr:cNvPr>
        <xdr:cNvSpPr>
          <a:spLocks noChangeArrowheads="1"/>
        </xdr:cNvSpPr>
      </xdr:nvSpPr>
      <xdr:spPr bwMode="auto">
        <a:xfrm>
          <a:off x="85725" y="19050"/>
          <a:ext cx="485775" cy="314325"/>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editAs="oneCell">
    <xdr:from>
      <xdr:col>0</xdr:col>
      <xdr:colOff>719668</xdr:colOff>
      <xdr:row>0</xdr:row>
      <xdr:rowOff>42334</xdr:rowOff>
    </xdr:from>
    <xdr:to>
      <xdr:col>0</xdr:col>
      <xdr:colOff>1910293</xdr:colOff>
      <xdr:row>0</xdr:row>
      <xdr:rowOff>402167</xdr:rowOff>
    </xdr:to>
    <xdr:sp macro="" textlink="">
      <xdr:nvSpPr>
        <xdr:cNvPr id="4" name="Right Arrow 3">
          <a:hlinkClick xmlns:r="http://schemas.openxmlformats.org/officeDocument/2006/relationships" r:id="rId2"/>
          <a:extLst>
            <a:ext uri="{FF2B5EF4-FFF2-40B4-BE49-F238E27FC236}">
              <a16:creationId xmlns:a16="http://schemas.microsoft.com/office/drawing/2014/main" id="{00000000-0008-0000-0700-000004000000}"/>
            </a:ext>
          </a:extLst>
        </xdr:cNvPr>
        <xdr:cNvSpPr>
          <a:spLocks noChangeAspect="1"/>
        </xdr:cNvSpPr>
      </xdr:nvSpPr>
      <xdr:spPr>
        <a:xfrm>
          <a:off x="719668" y="42334"/>
          <a:ext cx="1190625" cy="35983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a:t>About</a:t>
          </a:r>
          <a:r>
            <a:rPr lang="en-US" sz="900" baseline="0"/>
            <a:t> this Tab</a:t>
          </a:r>
          <a:endParaRPr lang="en-US" sz="900"/>
        </a:p>
      </xdr:txBody>
    </xdr:sp>
    <xdr:clientData/>
  </xdr:twoCellAnchor>
  <mc:AlternateContent xmlns:mc="http://schemas.openxmlformats.org/markup-compatibility/2006">
    <mc:Choice xmlns:a14="http://schemas.microsoft.com/office/drawing/2010/main" Requires="a14">
      <xdr:twoCellAnchor editAs="oneCell">
        <xdr:from>
          <xdr:col>106</xdr:col>
          <xdr:colOff>257175</xdr:colOff>
          <xdr:row>0</xdr:row>
          <xdr:rowOff>114300</xdr:rowOff>
        </xdr:from>
        <xdr:to>
          <xdr:col>123</xdr:col>
          <xdr:colOff>352425</xdr:colOff>
          <xdr:row>19</xdr:row>
          <xdr:rowOff>85725</xdr:rowOff>
        </xdr:to>
        <xdr:sp macro="" textlink="">
          <xdr:nvSpPr>
            <xdr:cNvPr id="252986" name="Object 58" hidden="1">
              <a:extLst>
                <a:ext uri="{63B3BB69-23CF-44E3-9099-C40C66FF867C}">
                  <a14:compatExt spid="_x0000_s252986"/>
                </a:ext>
                <a:ext uri="{FF2B5EF4-FFF2-40B4-BE49-F238E27FC236}">
                  <a16:creationId xmlns:a16="http://schemas.microsoft.com/office/drawing/2014/main" id="{00000000-0008-0000-0700-00003ADC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158742</xdr:colOff>
      <xdr:row>0</xdr:row>
      <xdr:rowOff>222249</xdr:rowOff>
    </xdr:from>
    <xdr:to>
      <xdr:col>122</xdr:col>
      <xdr:colOff>178850</xdr:colOff>
      <xdr:row>2</xdr:row>
      <xdr:rowOff>70907</xdr:rowOff>
    </xdr:to>
    <xdr:sp macro="" textlink="">
      <xdr:nvSpPr>
        <xdr:cNvPr id="5" name="Right Arrow 4">
          <a:hlinkClick xmlns:r="http://schemas.openxmlformats.org/officeDocument/2006/relationships" r:id="rId3"/>
          <a:extLst>
            <a:ext uri="{FF2B5EF4-FFF2-40B4-BE49-F238E27FC236}">
              <a16:creationId xmlns:a16="http://schemas.microsoft.com/office/drawing/2014/main" id="{00000000-0008-0000-0700-000005000000}"/>
            </a:ext>
          </a:extLst>
        </xdr:cNvPr>
        <xdr:cNvSpPr/>
      </xdr:nvSpPr>
      <xdr:spPr>
        <a:xfrm>
          <a:off x="81279992" y="222249"/>
          <a:ext cx="1247775" cy="504825"/>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66675</xdr:colOff>
      <xdr:row>0</xdr:row>
      <xdr:rowOff>28575</xdr:rowOff>
    </xdr:from>
    <xdr:to>
      <xdr:col>0</xdr:col>
      <xdr:colOff>561975</xdr:colOff>
      <xdr:row>0</xdr:row>
      <xdr:rowOff>381000</xdr:rowOff>
    </xdr:to>
    <xdr:sp macro="" textlink="">
      <xdr:nvSpPr>
        <xdr:cNvPr id="37889" name="AutoShape 1">
          <a:hlinkClick xmlns:r="http://schemas.openxmlformats.org/officeDocument/2006/relationships" r:id="rId1"/>
          <a:extLst>
            <a:ext uri="{FF2B5EF4-FFF2-40B4-BE49-F238E27FC236}">
              <a16:creationId xmlns:a16="http://schemas.microsoft.com/office/drawing/2014/main" id="{00000000-0008-0000-0800-000001940000}"/>
            </a:ext>
          </a:extLst>
        </xdr:cNvPr>
        <xdr:cNvSpPr>
          <a:spLocks noChangeArrowheads="1"/>
        </xdr:cNvSpPr>
      </xdr:nvSpPr>
      <xdr:spPr bwMode="auto">
        <a:xfrm>
          <a:off x="66675" y="28575"/>
          <a:ext cx="495300" cy="352425"/>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editAs="oneCell">
        <xdr:from>
          <xdr:col>106</xdr:col>
          <xdr:colOff>0</xdr:colOff>
          <xdr:row>0</xdr:row>
          <xdr:rowOff>85725</xdr:rowOff>
        </xdr:from>
        <xdr:to>
          <xdr:col>123</xdr:col>
          <xdr:colOff>38100</xdr:colOff>
          <xdr:row>13</xdr:row>
          <xdr:rowOff>523875</xdr:rowOff>
        </xdr:to>
        <xdr:sp macro="" textlink="">
          <xdr:nvSpPr>
            <xdr:cNvPr id="219159" name="Object 23" hidden="1">
              <a:extLst>
                <a:ext uri="{63B3BB69-23CF-44E3-9099-C40C66FF867C}">
                  <a14:compatExt spid="_x0000_s219159"/>
                </a:ext>
                <a:ext uri="{FF2B5EF4-FFF2-40B4-BE49-F238E27FC236}">
                  <a16:creationId xmlns:a16="http://schemas.microsoft.com/office/drawing/2014/main" id="{00000000-0008-0000-0800-00001758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121</xdr:col>
      <xdr:colOff>361421</xdr:colOff>
      <xdr:row>0</xdr:row>
      <xdr:rowOff>92335</xdr:rowOff>
    </xdr:from>
    <xdr:to>
      <xdr:col>123</xdr:col>
      <xdr:colOff>373064</xdr:colOff>
      <xdr:row>1</xdr:row>
      <xdr:rowOff>172768</xdr:rowOff>
    </xdr:to>
    <xdr:sp macro="" textlink="">
      <xdr:nvSpPr>
        <xdr:cNvPr id="4" name="Right Arrow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85123338" y="92335"/>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867834</xdr:colOff>
      <xdr:row>0</xdr:row>
      <xdr:rowOff>52916</xdr:rowOff>
    </xdr:from>
    <xdr:to>
      <xdr:col>0</xdr:col>
      <xdr:colOff>2058460</xdr:colOff>
      <xdr:row>0</xdr:row>
      <xdr:rowOff>398199</xdr:rowOff>
    </xdr:to>
    <xdr:sp macro="" textlink="">
      <xdr:nvSpPr>
        <xdr:cNvPr id="6" name="Right Arrow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867834" y="52916"/>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xdr:row>
      <xdr:rowOff>19050</xdr:rowOff>
    </xdr:from>
    <xdr:to>
      <xdr:col>0</xdr:col>
      <xdr:colOff>0</xdr:colOff>
      <xdr:row>1</xdr:row>
      <xdr:rowOff>304800</xdr:rowOff>
    </xdr:to>
    <xdr:sp macro="" textlink="">
      <xdr:nvSpPr>
        <xdr:cNvPr id="16386" name="AutoShape 2">
          <a:hlinkClick xmlns:r="http://schemas.openxmlformats.org/officeDocument/2006/relationships" r:id="rId1"/>
          <a:extLst>
            <a:ext uri="{FF2B5EF4-FFF2-40B4-BE49-F238E27FC236}">
              <a16:creationId xmlns:a16="http://schemas.microsoft.com/office/drawing/2014/main" id="{00000000-0008-0000-0900-000002400000}"/>
            </a:ext>
          </a:extLst>
        </xdr:cNvPr>
        <xdr:cNvSpPr>
          <a:spLocks noChangeArrowheads="1"/>
        </xdr:cNvSpPr>
      </xdr:nvSpPr>
      <xdr:spPr bwMode="auto">
        <a:xfrm>
          <a:off x="0" y="600075"/>
          <a:ext cx="0" cy="142875"/>
        </a:xfrm>
        <a:prstGeom prst="leftArrow">
          <a:avLst>
            <a:gd name="adj1" fmla="val 50000"/>
            <a:gd name="adj2" fmla="val -2147483648"/>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1</xdr:col>
      <xdr:colOff>0</xdr:colOff>
      <xdr:row>0</xdr:row>
      <xdr:rowOff>19050</xdr:rowOff>
    </xdr:from>
    <xdr:to>
      <xdr:col>1</xdr:col>
      <xdr:colOff>0</xdr:colOff>
      <xdr:row>0</xdr:row>
      <xdr:rowOff>304800</xdr:rowOff>
    </xdr:to>
    <xdr:sp macro="" textlink="">
      <xdr:nvSpPr>
        <xdr:cNvPr id="16387" name="AutoShape 3">
          <a:hlinkClick xmlns:r="http://schemas.openxmlformats.org/officeDocument/2006/relationships" r:id="rId1"/>
          <a:extLst>
            <a:ext uri="{FF2B5EF4-FFF2-40B4-BE49-F238E27FC236}">
              <a16:creationId xmlns:a16="http://schemas.microsoft.com/office/drawing/2014/main" id="{00000000-0008-0000-0900-000003400000}"/>
            </a:ext>
          </a:extLst>
        </xdr:cNvPr>
        <xdr:cNvSpPr>
          <a:spLocks noChangeArrowheads="1"/>
        </xdr:cNvSpPr>
      </xdr:nvSpPr>
      <xdr:spPr bwMode="auto">
        <a:xfrm>
          <a:off x="0" y="19050"/>
          <a:ext cx="0" cy="285750"/>
        </a:xfrm>
        <a:prstGeom prst="leftArrow">
          <a:avLst>
            <a:gd name="adj1" fmla="val 50000"/>
            <a:gd name="adj2" fmla="val -2147483648"/>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24</xdr:col>
      <xdr:colOff>0</xdr:colOff>
      <xdr:row>0</xdr:row>
      <xdr:rowOff>19050</xdr:rowOff>
    </xdr:from>
    <xdr:to>
      <xdr:col>24</xdr:col>
      <xdr:colOff>0</xdr:colOff>
      <xdr:row>0</xdr:row>
      <xdr:rowOff>304800</xdr:rowOff>
    </xdr:to>
    <xdr:sp macro="" textlink="">
      <xdr:nvSpPr>
        <xdr:cNvPr id="16388" name="AutoShape 4">
          <a:hlinkClick xmlns:r="http://schemas.openxmlformats.org/officeDocument/2006/relationships" r:id="rId1"/>
          <a:extLst>
            <a:ext uri="{FF2B5EF4-FFF2-40B4-BE49-F238E27FC236}">
              <a16:creationId xmlns:a16="http://schemas.microsoft.com/office/drawing/2014/main" id="{00000000-0008-0000-0900-000004400000}"/>
            </a:ext>
          </a:extLst>
        </xdr:cNvPr>
        <xdr:cNvSpPr>
          <a:spLocks noChangeArrowheads="1"/>
        </xdr:cNvSpPr>
      </xdr:nvSpPr>
      <xdr:spPr bwMode="auto">
        <a:xfrm>
          <a:off x="17764125" y="19050"/>
          <a:ext cx="0" cy="285750"/>
        </a:xfrm>
        <a:prstGeom prst="leftArrow">
          <a:avLst>
            <a:gd name="adj1" fmla="val 50000"/>
            <a:gd name="adj2" fmla="val -2147483648"/>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1</xdr:col>
      <xdr:colOff>95250</xdr:colOff>
      <xdr:row>0</xdr:row>
      <xdr:rowOff>47625</xdr:rowOff>
    </xdr:from>
    <xdr:to>
      <xdr:col>1</xdr:col>
      <xdr:colOff>581025</xdr:colOff>
      <xdr:row>0</xdr:row>
      <xdr:rowOff>409575</xdr:rowOff>
    </xdr:to>
    <xdr:sp macro="" textlink="">
      <xdr:nvSpPr>
        <xdr:cNvPr id="16389" name="AutoShape 5">
          <a:hlinkClick xmlns:r="http://schemas.openxmlformats.org/officeDocument/2006/relationships" r:id="rId1"/>
          <a:extLst>
            <a:ext uri="{FF2B5EF4-FFF2-40B4-BE49-F238E27FC236}">
              <a16:creationId xmlns:a16="http://schemas.microsoft.com/office/drawing/2014/main" id="{00000000-0008-0000-0900-000005400000}"/>
            </a:ext>
          </a:extLst>
        </xdr:cNvPr>
        <xdr:cNvSpPr>
          <a:spLocks noChangeArrowheads="1"/>
        </xdr:cNvSpPr>
      </xdr:nvSpPr>
      <xdr:spPr bwMode="auto">
        <a:xfrm>
          <a:off x="95250" y="47625"/>
          <a:ext cx="485775" cy="36195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24</xdr:col>
      <xdr:colOff>0</xdr:colOff>
      <xdr:row>0</xdr:row>
      <xdr:rowOff>19050</xdr:rowOff>
    </xdr:from>
    <xdr:to>
      <xdr:col>24</xdr:col>
      <xdr:colOff>0</xdr:colOff>
      <xdr:row>0</xdr:row>
      <xdr:rowOff>304800</xdr:rowOff>
    </xdr:to>
    <xdr:sp macro="" textlink="">
      <xdr:nvSpPr>
        <xdr:cNvPr id="16392" name="AutoShape 8">
          <a:hlinkClick xmlns:r="http://schemas.openxmlformats.org/officeDocument/2006/relationships" r:id="rId1"/>
          <a:extLst>
            <a:ext uri="{FF2B5EF4-FFF2-40B4-BE49-F238E27FC236}">
              <a16:creationId xmlns:a16="http://schemas.microsoft.com/office/drawing/2014/main" id="{00000000-0008-0000-0900-000008400000}"/>
            </a:ext>
          </a:extLst>
        </xdr:cNvPr>
        <xdr:cNvSpPr>
          <a:spLocks noChangeArrowheads="1"/>
        </xdr:cNvSpPr>
      </xdr:nvSpPr>
      <xdr:spPr bwMode="auto">
        <a:xfrm>
          <a:off x="17764125" y="19050"/>
          <a:ext cx="0" cy="285750"/>
        </a:xfrm>
        <a:prstGeom prst="leftArrow">
          <a:avLst>
            <a:gd name="adj1" fmla="val 50000"/>
            <a:gd name="adj2" fmla="val -2147483648"/>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8</xdr:col>
      <xdr:colOff>564089</xdr:colOff>
      <xdr:row>4</xdr:row>
      <xdr:rowOff>28577</xdr:rowOff>
    </xdr:from>
    <xdr:to>
      <xdr:col>13</xdr:col>
      <xdr:colOff>558797</xdr:colOff>
      <xdr:row>18</xdr:row>
      <xdr:rowOff>127000</xdr:rowOff>
    </xdr:to>
    <xdr:sp macro="" textlink="">
      <xdr:nvSpPr>
        <xdr:cNvPr id="2" name="Rounded Rectangle 1">
          <a:extLst>
            <a:ext uri="{FF2B5EF4-FFF2-40B4-BE49-F238E27FC236}">
              <a16:creationId xmlns:a16="http://schemas.microsoft.com/office/drawing/2014/main" id="{00000000-0008-0000-0900-000002000000}"/>
            </a:ext>
          </a:extLst>
        </xdr:cNvPr>
        <xdr:cNvSpPr/>
      </xdr:nvSpPr>
      <xdr:spPr>
        <a:xfrm>
          <a:off x="10650006" y="981077"/>
          <a:ext cx="5296958" cy="259609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US" sz="1600"/>
            <a:t>Suggested Color</a:t>
          </a:r>
          <a:r>
            <a:rPr lang="en-US" sz="1600" baseline="0"/>
            <a:t> Code for Text and Filled Cells:</a:t>
          </a:r>
        </a:p>
        <a:p>
          <a:pPr algn="l"/>
          <a:endParaRPr lang="en-US" sz="1100" baseline="0"/>
        </a:p>
        <a:p>
          <a:pPr algn="l"/>
          <a:r>
            <a:rPr lang="en-US" sz="1100" b="1" u="sng" baseline="0"/>
            <a:t>Text:</a:t>
          </a:r>
        </a:p>
        <a:p>
          <a:pPr algn="l"/>
          <a:r>
            <a:rPr lang="en-US" sz="1100" baseline="0"/>
            <a:t>Black  -   Standard entry</a:t>
          </a:r>
        </a:p>
        <a:p>
          <a:pPr marL="0" marR="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Red    -    SD &amp; D Provisioning editing changes  (used only by SD &amp; D Provisioning)</a:t>
          </a:r>
          <a:endParaRPr lang="en-US">
            <a:effectLst/>
          </a:endParaRPr>
        </a:p>
        <a:p>
          <a:pPr algn="l"/>
          <a:endParaRPr lang="en-US" sz="1100" baseline="0"/>
        </a:p>
        <a:p>
          <a:pPr algn="l"/>
          <a:r>
            <a:rPr lang="en-US" sz="1100" b="1" u="sng" baseline="0"/>
            <a:t>Cell  Fill:</a:t>
          </a:r>
        </a:p>
        <a:p>
          <a:pPr algn="l"/>
          <a:r>
            <a:rPr lang="en-US" sz="1100" baseline="0"/>
            <a:t>White   -   Standard entry</a:t>
          </a:r>
        </a:p>
        <a:p>
          <a:pPr algn="l"/>
          <a:r>
            <a:rPr lang="en-US" sz="1100" baseline="0"/>
            <a:t>Yellow  -   Needs to be verified or addessed</a:t>
          </a:r>
        </a:p>
        <a:p>
          <a:pPr algn="l"/>
          <a:r>
            <a:rPr lang="en-US" sz="1100" baseline="0"/>
            <a:t>Purple  -   Used to identify DR Assets</a:t>
          </a:r>
        </a:p>
        <a:p>
          <a:pPr marL="0" marR="0" indent="0" algn="l" defTabSz="914400" eaLnBrk="1" fontAlgn="auto" latinLnBrk="0" hangingPunct="1">
            <a:lnSpc>
              <a:spcPct val="100000"/>
            </a:lnSpc>
            <a:spcBef>
              <a:spcPts val="0"/>
            </a:spcBef>
            <a:spcAft>
              <a:spcPts val="0"/>
            </a:spcAft>
            <a:buClrTx/>
            <a:buSzTx/>
            <a:buFontTx/>
            <a:buNone/>
            <a:tabLst/>
            <a:defRPr/>
          </a:pPr>
          <a:r>
            <a:rPr lang="en-US" sz="1100"/>
            <a:t>Blue </a:t>
          </a:r>
          <a:r>
            <a:rPr lang="en-US" sz="1100" baseline="0"/>
            <a:t> -       </a:t>
          </a:r>
          <a:r>
            <a:rPr lang="en-US" sz="1100" baseline="0">
              <a:solidFill>
                <a:schemeClr val="dk1"/>
              </a:solidFill>
              <a:effectLst/>
              <a:latin typeface="+mn-lt"/>
              <a:ea typeface="+mn-ea"/>
              <a:cs typeface="+mn-cs"/>
            </a:rPr>
            <a:t>Changes to Existing systems only</a:t>
          </a:r>
          <a:endParaRPr lang="en-US">
            <a:effectLst/>
          </a:endParaRPr>
        </a:p>
        <a:p>
          <a:pPr algn="l"/>
          <a:r>
            <a:rPr lang="en-US" sz="1100"/>
            <a:t>Grey</a:t>
          </a:r>
          <a:r>
            <a:rPr lang="en-US" sz="1100" baseline="0"/>
            <a:t>  -      To identify Existing Asset which is listed only to be referenced later for other tab uses.</a:t>
          </a:r>
          <a:endParaRPr lang="en-US" sz="1100"/>
        </a:p>
      </xdr:txBody>
    </xdr:sp>
    <xdr:clientData/>
  </xdr:twoCellAnchor>
  <xdr:twoCellAnchor>
    <xdr:from>
      <xdr:col>8</xdr:col>
      <xdr:colOff>269344</xdr:colOff>
      <xdr:row>20</xdr:row>
      <xdr:rowOff>22491</xdr:rowOff>
    </xdr:from>
    <xdr:to>
      <xdr:col>13</xdr:col>
      <xdr:colOff>1090081</xdr:colOff>
      <xdr:row>22</xdr:row>
      <xdr:rowOff>163249</xdr:rowOff>
    </xdr:to>
    <xdr:sp macro="" textlink="">
      <xdr:nvSpPr>
        <xdr:cNvPr id="3" name="Rounded Rectangle 2">
          <a:extLst>
            <a:ext uri="{FF2B5EF4-FFF2-40B4-BE49-F238E27FC236}">
              <a16:creationId xmlns:a16="http://schemas.microsoft.com/office/drawing/2014/main" id="{00000000-0008-0000-0900-000003000000}"/>
            </a:ext>
          </a:extLst>
        </xdr:cNvPr>
        <xdr:cNvSpPr/>
      </xdr:nvSpPr>
      <xdr:spPr>
        <a:xfrm>
          <a:off x="10355261" y="3790158"/>
          <a:ext cx="6122987" cy="468841"/>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050">
              <a:solidFill>
                <a:schemeClr val="bg1"/>
              </a:solidFill>
              <a:effectLst/>
              <a:latin typeface="+mn-lt"/>
              <a:ea typeface="+mn-ea"/>
              <a:cs typeface="+mn-cs"/>
            </a:rPr>
            <a:t>Complete information  for each requested Asset </a:t>
          </a:r>
          <a:r>
            <a:rPr lang="en-US" sz="1050" baseline="0">
              <a:solidFill>
                <a:schemeClr val="bg1"/>
              </a:solidFill>
              <a:effectLst/>
              <a:latin typeface="+mn-lt"/>
              <a:ea typeface="+mn-ea"/>
              <a:cs typeface="+mn-cs"/>
            </a:rPr>
            <a:t>through column  AG (as appropriate)</a:t>
          </a:r>
          <a:endParaRPr lang="en-US" sz="1050">
            <a:solidFill>
              <a:schemeClr val="bg1"/>
            </a:solidFill>
            <a:effectLst/>
          </a:endParaRPr>
        </a:p>
        <a:p>
          <a:r>
            <a:rPr lang="en-US" sz="1050" baseline="0">
              <a:solidFill>
                <a:schemeClr val="bg1"/>
              </a:solidFill>
              <a:effectLst/>
              <a:latin typeface="+mn-lt"/>
              <a:ea typeface="+mn-ea"/>
              <a:cs typeface="+mn-cs"/>
            </a:rPr>
            <a:t>Servers should only be listed once, and the description updated for multiple Application Environments</a:t>
          </a:r>
          <a:endParaRPr lang="en-US" sz="1050">
            <a:solidFill>
              <a:schemeClr val="bg1"/>
            </a:solidFill>
            <a:effectLst/>
          </a:endParaRPr>
        </a:p>
        <a:p>
          <a:pPr algn="l"/>
          <a:endParaRPr lang="en-US" sz="105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111</xdr:col>
          <xdr:colOff>0</xdr:colOff>
          <xdr:row>0</xdr:row>
          <xdr:rowOff>66675</xdr:rowOff>
        </xdr:from>
        <xdr:to>
          <xdr:col>128</xdr:col>
          <xdr:colOff>104775</xdr:colOff>
          <xdr:row>21</xdr:row>
          <xdr:rowOff>104775</xdr:rowOff>
        </xdr:to>
        <xdr:sp macro="" textlink="">
          <xdr:nvSpPr>
            <xdr:cNvPr id="78035" name="Object 4307" hidden="1">
              <a:extLst>
                <a:ext uri="{63B3BB69-23CF-44E3-9099-C40C66FF867C}">
                  <a14:compatExt spid="_x0000_s78035"/>
                </a:ext>
                <a:ext uri="{FF2B5EF4-FFF2-40B4-BE49-F238E27FC236}">
                  <a16:creationId xmlns:a16="http://schemas.microsoft.com/office/drawing/2014/main" id="{00000000-0008-0000-0900-0000D33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124</xdr:col>
      <xdr:colOff>109538</xdr:colOff>
      <xdr:row>1</xdr:row>
      <xdr:rowOff>101860</xdr:rowOff>
    </xdr:from>
    <xdr:to>
      <xdr:col>126</xdr:col>
      <xdr:colOff>129647</xdr:colOff>
      <xdr:row>4</xdr:row>
      <xdr:rowOff>120910</xdr:rowOff>
    </xdr:to>
    <xdr:sp macro="" textlink="">
      <xdr:nvSpPr>
        <xdr:cNvPr id="10" name="Right Arrow 9">
          <a:hlinkClick xmlns:r="http://schemas.openxmlformats.org/officeDocument/2006/relationships" r:id="rId2"/>
          <a:extLst>
            <a:ext uri="{FF2B5EF4-FFF2-40B4-BE49-F238E27FC236}">
              <a16:creationId xmlns:a16="http://schemas.microsoft.com/office/drawing/2014/main" id="{00000000-0008-0000-0900-00000A000000}"/>
            </a:ext>
          </a:extLst>
        </xdr:cNvPr>
        <xdr:cNvSpPr/>
      </xdr:nvSpPr>
      <xdr:spPr>
        <a:xfrm>
          <a:off x="93121163" y="568585"/>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1</xdr:col>
      <xdr:colOff>866775</xdr:colOff>
      <xdr:row>0</xdr:row>
      <xdr:rowOff>57150</xdr:rowOff>
    </xdr:from>
    <xdr:to>
      <xdr:col>2</xdr:col>
      <xdr:colOff>771526</xdr:colOff>
      <xdr:row>0</xdr:row>
      <xdr:rowOff>402433</xdr:rowOff>
    </xdr:to>
    <xdr:sp macro="" textlink="">
      <xdr:nvSpPr>
        <xdr:cNvPr id="12" name="Right Arrow 11">
          <a:hlinkClick xmlns:r="http://schemas.openxmlformats.org/officeDocument/2006/relationships" r:id="rId3"/>
          <a:extLst>
            <a:ext uri="{FF2B5EF4-FFF2-40B4-BE49-F238E27FC236}">
              <a16:creationId xmlns:a16="http://schemas.microsoft.com/office/drawing/2014/main" id="{00000000-0008-0000-0900-00000C000000}"/>
            </a:ext>
          </a:extLst>
        </xdr:cNvPr>
        <xdr:cNvSpPr/>
      </xdr:nvSpPr>
      <xdr:spPr>
        <a:xfrm>
          <a:off x="866775" y="57150"/>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xdr:twoCellAnchor>
    <xdr:from>
      <xdr:col>8</xdr:col>
      <xdr:colOff>582084</xdr:colOff>
      <xdr:row>25</xdr:row>
      <xdr:rowOff>63501</xdr:rowOff>
    </xdr:from>
    <xdr:to>
      <xdr:col>8</xdr:col>
      <xdr:colOff>730251</xdr:colOff>
      <xdr:row>25</xdr:row>
      <xdr:rowOff>179917</xdr:rowOff>
    </xdr:to>
    <xdr:sp macro="" textlink="">
      <xdr:nvSpPr>
        <xdr:cNvPr id="4" name="Right Arrow 3">
          <a:hlinkClick xmlns:r="http://schemas.openxmlformats.org/officeDocument/2006/relationships" r:id="rId4"/>
          <a:extLst>
            <a:ext uri="{FF2B5EF4-FFF2-40B4-BE49-F238E27FC236}">
              <a16:creationId xmlns:a16="http://schemas.microsoft.com/office/drawing/2014/main" id="{00000000-0008-0000-0900-000004000000}"/>
            </a:ext>
          </a:extLst>
        </xdr:cNvPr>
        <xdr:cNvSpPr/>
      </xdr:nvSpPr>
      <xdr:spPr>
        <a:xfrm>
          <a:off x="9895417" y="5154084"/>
          <a:ext cx="148167" cy="116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1273968</xdr:colOff>
      <xdr:row>25</xdr:row>
      <xdr:rowOff>26459</xdr:rowOff>
    </xdr:from>
    <xdr:to>
      <xdr:col>4</xdr:col>
      <xdr:colOff>2711978</xdr:colOff>
      <xdr:row>26</xdr:row>
      <xdr:rowOff>15875</xdr:rowOff>
    </xdr:to>
    <xdr:sp macro="" textlink="">
      <xdr:nvSpPr>
        <xdr:cNvPr id="5" name="Chevron 4">
          <a:hlinkClick xmlns:r="http://schemas.openxmlformats.org/officeDocument/2006/relationships" r:id="rId5"/>
          <a:extLst>
            <a:ext uri="{FF2B5EF4-FFF2-40B4-BE49-F238E27FC236}">
              <a16:creationId xmlns:a16="http://schemas.microsoft.com/office/drawing/2014/main" id="{00000000-0008-0000-0900-000005000000}"/>
            </a:ext>
          </a:extLst>
        </xdr:cNvPr>
        <xdr:cNvSpPr/>
      </xdr:nvSpPr>
      <xdr:spPr>
        <a:xfrm>
          <a:off x="4583906" y="5253303"/>
          <a:ext cx="1438010" cy="298978"/>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1"/>
              </a:solidFill>
            </a:rPr>
            <a:t>POD BluePrints</a:t>
          </a:r>
        </a:p>
      </xdr:txBody>
    </xdr:sp>
    <xdr:clientData/>
  </xdr:twoCellAnchor>
  <mc:AlternateContent xmlns:mc="http://schemas.openxmlformats.org/markup-compatibility/2006">
    <mc:Choice xmlns:a14="http://schemas.microsoft.com/office/drawing/2010/main" Requires="a14">
      <xdr:twoCellAnchor>
        <xdr:from>
          <xdr:col>4</xdr:col>
          <xdr:colOff>428625</xdr:colOff>
          <xdr:row>26</xdr:row>
          <xdr:rowOff>171450</xdr:rowOff>
        </xdr:from>
        <xdr:to>
          <xdr:col>4</xdr:col>
          <xdr:colOff>3314700</xdr:colOff>
          <xdr:row>26</xdr:row>
          <xdr:rowOff>361950</xdr:rowOff>
        </xdr:to>
        <xdr:sp macro="" textlink="">
          <xdr:nvSpPr>
            <xdr:cNvPr id="78076" name="Button 4348" hidden="1">
              <a:extLst>
                <a:ext uri="{63B3BB69-23CF-44E3-9099-C40C66FF867C}">
                  <a14:compatExt spid="_x0000_s78076"/>
                </a:ext>
                <a:ext uri="{FF2B5EF4-FFF2-40B4-BE49-F238E27FC236}">
                  <a16:creationId xmlns:a16="http://schemas.microsoft.com/office/drawing/2014/main" id="{00000000-0008-0000-0900-0000FC3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Catalog Assets for Finance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66675</xdr:colOff>
      <xdr:row>0</xdr:row>
      <xdr:rowOff>28575</xdr:rowOff>
    </xdr:from>
    <xdr:to>
      <xdr:col>0</xdr:col>
      <xdr:colOff>561975</xdr:colOff>
      <xdr:row>0</xdr:row>
      <xdr:rowOff>381000</xdr:rowOff>
    </xdr:to>
    <xdr:sp macro="" textlink="">
      <xdr:nvSpPr>
        <xdr:cNvPr id="29697" name="AutoShape 1">
          <a:hlinkClick xmlns:r="http://schemas.openxmlformats.org/officeDocument/2006/relationships" r:id="rId1"/>
          <a:extLst>
            <a:ext uri="{FF2B5EF4-FFF2-40B4-BE49-F238E27FC236}">
              <a16:creationId xmlns:a16="http://schemas.microsoft.com/office/drawing/2014/main" id="{00000000-0008-0000-0A00-000001740000}"/>
            </a:ext>
          </a:extLst>
        </xdr:cNvPr>
        <xdr:cNvSpPr>
          <a:spLocks noChangeArrowheads="1"/>
        </xdr:cNvSpPr>
      </xdr:nvSpPr>
      <xdr:spPr bwMode="auto">
        <a:xfrm>
          <a:off x="66675" y="28575"/>
          <a:ext cx="495300" cy="352425"/>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0</xdr:col>
      <xdr:colOff>504824</xdr:colOff>
      <xdr:row>153</xdr:row>
      <xdr:rowOff>0</xdr:rowOff>
    </xdr:from>
    <xdr:to>
      <xdr:col>1</xdr:col>
      <xdr:colOff>733425</xdr:colOff>
      <xdr:row>153</xdr:row>
      <xdr:rowOff>504825</xdr:rowOff>
    </xdr:to>
    <xdr:sp macro="" textlink="">
      <xdr:nvSpPr>
        <xdr:cNvPr id="5" name="Up Arrow Callout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04824" y="25269825"/>
          <a:ext cx="1247776" cy="504825"/>
        </a:xfrm>
        <a:prstGeom prst="upArrowCallou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Back to Top  IPs</a:t>
          </a:r>
        </a:p>
      </xdr:txBody>
    </xdr:sp>
    <xdr:clientData/>
  </xdr:twoCellAnchor>
  <xdr:twoCellAnchor>
    <xdr:from>
      <xdr:col>1</xdr:col>
      <xdr:colOff>723899</xdr:colOff>
      <xdr:row>0</xdr:row>
      <xdr:rowOff>38100</xdr:rowOff>
    </xdr:from>
    <xdr:to>
      <xdr:col>2</xdr:col>
      <xdr:colOff>1057274</xdr:colOff>
      <xdr:row>0</xdr:row>
      <xdr:rowOff>428626</xdr:rowOff>
    </xdr:to>
    <xdr:sp macro="" textlink="">
      <xdr:nvSpPr>
        <xdr:cNvPr id="6" name="Down Arrow Callout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2066924" y="38100"/>
          <a:ext cx="1504950" cy="390526"/>
        </a:xfrm>
        <a:prstGeom prst="downArrowCallou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Jump to VIPs</a:t>
          </a:r>
        </a:p>
      </xdr:txBody>
    </xdr:sp>
    <xdr:clientData/>
  </xdr:twoCellAnchor>
  <xdr:twoCellAnchor>
    <xdr:from>
      <xdr:col>1</xdr:col>
      <xdr:colOff>828674</xdr:colOff>
      <xdr:row>153</xdr:row>
      <xdr:rowOff>85725</xdr:rowOff>
    </xdr:from>
    <xdr:to>
      <xdr:col>3</xdr:col>
      <xdr:colOff>200024</xdr:colOff>
      <xdr:row>153</xdr:row>
      <xdr:rowOff>514350</xdr:rowOff>
    </xdr:to>
    <xdr:sp macro="" textlink="">
      <xdr:nvSpPr>
        <xdr:cNvPr id="2" name="Right Arrow 1">
          <a:hlinkClick xmlns:r="http://schemas.openxmlformats.org/officeDocument/2006/relationships" r:id="rId4"/>
          <a:extLst>
            <a:ext uri="{FF2B5EF4-FFF2-40B4-BE49-F238E27FC236}">
              <a16:creationId xmlns:a16="http://schemas.microsoft.com/office/drawing/2014/main" id="{00000000-0008-0000-0A00-000002000000}"/>
            </a:ext>
          </a:extLst>
        </xdr:cNvPr>
        <xdr:cNvSpPr/>
      </xdr:nvSpPr>
      <xdr:spPr>
        <a:xfrm>
          <a:off x="1847849" y="25355550"/>
          <a:ext cx="962025" cy="4286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Load</a:t>
          </a:r>
          <a:r>
            <a:rPr lang="en-US" sz="1100" baseline="0"/>
            <a:t> </a:t>
          </a:r>
          <a:r>
            <a:rPr lang="en-US" sz="1100"/>
            <a:t>Bal.</a:t>
          </a:r>
          <a:r>
            <a:rPr lang="en-US" sz="1100" baseline="0"/>
            <a:t> </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13</xdr:col>
          <xdr:colOff>1085850</xdr:colOff>
          <xdr:row>0</xdr:row>
          <xdr:rowOff>57150</xdr:rowOff>
        </xdr:from>
        <xdr:to>
          <xdr:col>14</xdr:col>
          <xdr:colOff>1562100</xdr:colOff>
          <xdr:row>0</xdr:row>
          <xdr:rowOff>371475</xdr:rowOff>
        </xdr:to>
        <xdr:sp macro="" textlink="">
          <xdr:nvSpPr>
            <xdr:cNvPr id="63889" name="IP_Provisioner_CommandButton" descr="Click to display the IP Selector panel..." hidden="1">
              <a:extLst>
                <a:ext uri="{63B3BB69-23CF-44E3-9099-C40C66FF867C}">
                  <a14:compatExt spid="_x0000_s63889"/>
                </a:ext>
                <a:ext uri="{FF2B5EF4-FFF2-40B4-BE49-F238E27FC236}">
                  <a16:creationId xmlns:a16="http://schemas.microsoft.com/office/drawing/2014/main" id="{00000000-0008-0000-0A00-000091F9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106</xdr:col>
          <xdr:colOff>0</xdr:colOff>
          <xdr:row>0</xdr:row>
          <xdr:rowOff>0</xdr:rowOff>
        </xdr:from>
        <xdr:to>
          <xdr:col>123</xdr:col>
          <xdr:colOff>104775</xdr:colOff>
          <xdr:row>25</xdr:row>
          <xdr:rowOff>76200</xdr:rowOff>
        </xdr:to>
        <xdr:sp macro="" textlink="">
          <xdr:nvSpPr>
            <xdr:cNvPr id="63900" name="Object 1436" hidden="1">
              <a:extLst>
                <a:ext uri="{63B3BB69-23CF-44E3-9099-C40C66FF867C}">
                  <a14:compatExt spid="_x0000_s63900"/>
                </a:ext>
                <a:ext uri="{FF2B5EF4-FFF2-40B4-BE49-F238E27FC236}">
                  <a16:creationId xmlns:a16="http://schemas.microsoft.com/office/drawing/2014/main" id="{00000000-0008-0000-0A00-00009CF9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119</xdr:col>
      <xdr:colOff>109538</xdr:colOff>
      <xdr:row>1</xdr:row>
      <xdr:rowOff>54235</xdr:rowOff>
    </xdr:from>
    <xdr:to>
      <xdr:col>121</xdr:col>
      <xdr:colOff>129647</xdr:colOff>
      <xdr:row>2</xdr:row>
      <xdr:rowOff>397135</xdr:rowOff>
    </xdr:to>
    <xdr:sp macro="" textlink="">
      <xdr:nvSpPr>
        <xdr:cNvPr id="8" name="Right Arrow 7">
          <a:hlinkClick xmlns:r="http://schemas.openxmlformats.org/officeDocument/2006/relationships" r:id="rId2"/>
          <a:extLst>
            <a:ext uri="{FF2B5EF4-FFF2-40B4-BE49-F238E27FC236}">
              <a16:creationId xmlns:a16="http://schemas.microsoft.com/office/drawing/2014/main" id="{00000000-0008-0000-0A00-000008000000}"/>
            </a:ext>
          </a:extLst>
        </xdr:cNvPr>
        <xdr:cNvSpPr/>
      </xdr:nvSpPr>
      <xdr:spPr>
        <a:xfrm>
          <a:off x="95330963"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714375</xdr:colOff>
      <xdr:row>0</xdr:row>
      <xdr:rowOff>47625</xdr:rowOff>
    </xdr:from>
    <xdr:to>
      <xdr:col>1</xdr:col>
      <xdr:colOff>561976</xdr:colOff>
      <xdr:row>0</xdr:row>
      <xdr:rowOff>392908</xdr:rowOff>
    </xdr:to>
    <xdr:sp macro="" textlink="">
      <xdr:nvSpPr>
        <xdr:cNvPr id="9" name="Right Arrow 8">
          <a:hlinkClick xmlns:r="http://schemas.openxmlformats.org/officeDocument/2006/relationships" r:id="rId5"/>
          <a:extLst>
            <a:ext uri="{FF2B5EF4-FFF2-40B4-BE49-F238E27FC236}">
              <a16:creationId xmlns:a16="http://schemas.microsoft.com/office/drawing/2014/main" id="{00000000-0008-0000-0A00-000009000000}"/>
            </a:ext>
          </a:extLst>
        </xdr:cNvPr>
        <xdr:cNvSpPr/>
      </xdr:nvSpPr>
      <xdr:spPr>
        <a:xfrm>
          <a:off x="714375" y="47625"/>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161923</xdr:colOff>
      <xdr:row>0</xdr:row>
      <xdr:rowOff>28575</xdr:rowOff>
    </xdr:from>
    <xdr:to>
      <xdr:col>0</xdr:col>
      <xdr:colOff>647698</xdr:colOff>
      <xdr:row>0</xdr:row>
      <xdr:rowOff>428625</xdr:rowOff>
    </xdr:to>
    <xdr:sp macro="" textlink="">
      <xdr:nvSpPr>
        <xdr:cNvPr id="41985" name="AutoShape 1">
          <a:hlinkClick xmlns:r="http://schemas.openxmlformats.org/officeDocument/2006/relationships" r:id="rId1"/>
          <a:extLst>
            <a:ext uri="{FF2B5EF4-FFF2-40B4-BE49-F238E27FC236}">
              <a16:creationId xmlns:a16="http://schemas.microsoft.com/office/drawing/2014/main" id="{00000000-0008-0000-0B00-000001A40000}"/>
            </a:ext>
          </a:extLst>
        </xdr:cNvPr>
        <xdr:cNvSpPr>
          <a:spLocks noChangeArrowheads="1"/>
        </xdr:cNvSpPr>
      </xdr:nvSpPr>
      <xdr:spPr bwMode="auto">
        <a:xfrm>
          <a:off x="161923" y="28575"/>
          <a:ext cx="485775" cy="400050"/>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oneCellAnchor>
    <xdr:from>
      <xdr:col>16</xdr:col>
      <xdr:colOff>35719</xdr:colOff>
      <xdr:row>14</xdr:row>
      <xdr:rowOff>0</xdr:rowOff>
    </xdr:from>
    <xdr:ext cx="184731" cy="264560"/>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6073438" y="3833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109</xdr:col>
          <xdr:colOff>0</xdr:colOff>
          <xdr:row>0</xdr:row>
          <xdr:rowOff>0</xdr:rowOff>
        </xdr:from>
        <xdr:to>
          <xdr:col>126</xdr:col>
          <xdr:colOff>171450</xdr:colOff>
          <xdr:row>4</xdr:row>
          <xdr:rowOff>0</xdr:rowOff>
        </xdr:to>
        <xdr:sp macro="" textlink="">
          <xdr:nvSpPr>
            <xdr:cNvPr id="50030" name="Object 878" hidden="1">
              <a:extLst>
                <a:ext uri="{63B3BB69-23CF-44E3-9099-C40C66FF867C}">
                  <a14:compatExt spid="_x0000_s50030"/>
                </a:ext>
                <a:ext uri="{FF2B5EF4-FFF2-40B4-BE49-F238E27FC236}">
                  <a16:creationId xmlns:a16="http://schemas.microsoft.com/office/drawing/2014/main" id="{00000000-0008-0000-0B00-00006EC3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122</xdr:col>
      <xdr:colOff>140494</xdr:colOff>
      <xdr:row>1</xdr:row>
      <xdr:rowOff>61379</xdr:rowOff>
    </xdr:from>
    <xdr:to>
      <xdr:col>124</xdr:col>
      <xdr:colOff>165365</xdr:colOff>
      <xdr:row>1</xdr:row>
      <xdr:rowOff>575729</xdr:rowOff>
    </xdr:to>
    <xdr:sp macro="" textlink="">
      <xdr:nvSpPr>
        <xdr:cNvPr id="5" name="Right Arrow 4">
          <a:hlinkClick xmlns:r="http://schemas.openxmlformats.org/officeDocument/2006/relationships" r:id="rId2"/>
          <a:extLst>
            <a:ext uri="{FF2B5EF4-FFF2-40B4-BE49-F238E27FC236}">
              <a16:creationId xmlns:a16="http://schemas.microsoft.com/office/drawing/2014/main" id="{00000000-0008-0000-0B00-000005000000}"/>
            </a:ext>
          </a:extLst>
        </xdr:cNvPr>
        <xdr:cNvSpPr/>
      </xdr:nvSpPr>
      <xdr:spPr>
        <a:xfrm>
          <a:off x="85817869"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1</xdr:col>
      <xdr:colOff>190492</xdr:colOff>
      <xdr:row>0</xdr:row>
      <xdr:rowOff>59531</xdr:rowOff>
    </xdr:from>
    <xdr:to>
      <xdr:col>1</xdr:col>
      <xdr:colOff>1381118</xdr:colOff>
      <xdr:row>0</xdr:row>
      <xdr:rowOff>404814</xdr:rowOff>
    </xdr:to>
    <xdr:sp macro="" textlink="">
      <xdr:nvSpPr>
        <xdr:cNvPr id="6" name="Right Arrow 5">
          <a:hlinkClick xmlns:r="http://schemas.openxmlformats.org/officeDocument/2006/relationships" r:id="rId3"/>
          <a:extLst>
            <a:ext uri="{FF2B5EF4-FFF2-40B4-BE49-F238E27FC236}">
              <a16:creationId xmlns:a16="http://schemas.microsoft.com/office/drawing/2014/main" id="{00000000-0008-0000-0B00-000006000000}"/>
            </a:ext>
          </a:extLst>
        </xdr:cNvPr>
        <xdr:cNvSpPr/>
      </xdr:nvSpPr>
      <xdr:spPr>
        <a:xfrm>
          <a:off x="1238242" y="59531"/>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xdr:twoCellAnchor>
    <xdr:from>
      <xdr:col>11</xdr:col>
      <xdr:colOff>59531</xdr:colOff>
      <xdr:row>2</xdr:row>
      <xdr:rowOff>0</xdr:rowOff>
    </xdr:from>
    <xdr:to>
      <xdr:col>11</xdr:col>
      <xdr:colOff>897731</xdr:colOff>
      <xdr:row>2</xdr:row>
      <xdr:rowOff>352425</xdr:rowOff>
    </xdr:to>
    <xdr:sp macro="" textlink="">
      <xdr:nvSpPr>
        <xdr:cNvPr id="7" name="Left Arrow 6">
          <a:hlinkClick xmlns:r="http://schemas.openxmlformats.org/officeDocument/2006/relationships" r:id="rId4"/>
          <a:extLst>
            <a:ext uri="{FF2B5EF4-FFF2-40B4-BE49-F238E27FC236}">
              <a16:creationId xmlns:a16="http://schemas.microsoft.com/office/drawing/2014/main" id="{00000000-0008-0000-0B00-000007000000}"/>
            </a:ext>
          </a:extLst>
        </xdr:cNvPr>
        <xdr:cNvSpPr/>
      </xdr:nvSpPr>
      <xdr:spPr>
        <a:xfrm>
          <a:off x="13299281" y="1178719"/>
          <a:ext cx="838200" cy="3524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a:t>NAS</a:t>
          </a:r>
          <a:r>
            <a:rPr lang="en-US" sz="900" baseline="0"/>
            <a:t> Details</a:t>
          </a:r>
          <a:endParaRPr lang="en-US" sz="9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32808</xdr:colOff>
      <xdr:row>0</xdr:row>
      <xdr:rowOff>66675</xdr:rowOff>
    </xdr:from>
    <xdr:to>
      <xdr:col>0</xdr:col>
      <xdr:colOff>528108</xdr:colOff>
      <xdr:row>0</xdr:row>
      <xdr:rowOff>419100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0C00-000002000000}"/>
            </a:ext>
          </a:extLst>
        </xdr:cNvPr>
        <xdr:cNvSpPr>
          <a:spLocks noChangeArrowheads="1"/>
        </xdr:cNvSpPr>
      </xdr:nvSpPr>
      <xdr:spPr bwMode="auto">
        <a:xfrm>
          <a:off x="32808" y="66675"/>
          <a:ext cx="495300" cy="352425"/>
        </a:xfrm>
        <a:prstGeom prst="leftArrow">
          <a:avLst>
            <a:gd name="adj1" fmla="val 50000"/>
            <a:gd name="adj2" fmla="val 4062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editAs="oneCell">
        <xdr:from>
          <xdr:col>106</xdr:col>
          <xdr:colOff>0</xdr:colOff>
          <xdr:row>0</xdr:row>
          <xdr:rowOff>0</xdr:rowOff>
        </xdr:from>
        <xdr:to>
          <xdr:col>123</xdr:col>
          <xdr:colOff>66675</xdr:colOff>
          <xdr:row>21</xdr:row>
          <xdr:rowOff>95250</xdr:rowOff>
        </xdr:to>
        <xdr:sp macro="" textlink="">
          <xdr:nvSpPr>
            <xdr:cNvPr id="470019" name="Object 3" hidden="1">
              <a:extLst>
                <a:ext uri="{63B3BB69-23CF-44E3-9099-C40C66FF867C}">
                  <a14:compatExt spid="_x0000_s470019"/>
                </a:ext>
                <a:ext uri="{FF2B5EF4-FFF2-40B4-BE49-F238E27FC236}">
                  <a16:creationId xmlns:a16="http://schemas.microsoft.com/office/drawing/2014/main" id="{00000000-0008-0000-0C00-0000032C07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107421</xdr:colOff>
      <xdr:row>1</xdr:row>
      <xdr:rowOff>36243</xdr:rowOff>
    </xdr:from>
    <xdr:to>
      <xdr:col>122</xdr:col>
      <xdr:colOff>119063</xdr:colOff>
      <xdr:row>2</xdr:row>
      <xdr:rowOff>381260</xdr:rowOff>
    </xdr:to>
    <xdr:sp macro="" textlink="">
      <xdr:nvSpPr>
        <xdr:cNvPr id="4" name="Right Arrow 3">
          <a:hlinkClick xmlns:r="http://schemas.openxmlformats.org/officeDocument/2006/relationships" r:id="rId2"/>
          <a:extLst>
            <a:ext uri="{FF2B5EF4-FFF2-40B4-BE49-F238E27FC236}">
              <a16:creationId xmlns:a16="http://schemas.microsoft.com/office/drawing/2014/main" id="{00000000-0008-0000-0C00-000004000000}"/>
            </a:ext>
          </a:extLst>
        </xdr:cNvPr>
        <xdr:cNvSpPr/>
      </xdr:nvSpPr>
      <xdr:spPr>
        <a:xfrm>
          <a:off x="87388171"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656165</xdr:colOff>
      <xdr:row>0</xdr:row>
      <xdr:rowOff>2</xdr:rowOff>
    </xdr:from>
    <xdr:to>
      <xdr:col>0</xdr:col>
      <xdr:colOff>1756833</xdr:colOff>
      <xdr:row>0</xdr:row>
      <xdr:rowOff>477310</xdr:rowOff>
    </xdr:to>
    <xdr:sp macro="" textlink="">
      <xdr:nvSpPr>
        <xdr:cNvPr id="5" name="Right Arrow 4">
          <a:hlinkClick xmlns:r="http://schemas.openxmlformats.org/officeDocument/2006/relationships" r:id="rId3"/>
          <a:extLst>
            <a:ext uri="{FF2B5EF4-FFF2-40B4-BE49-F238E27FC236}">
              <a16:creationId xmlns:a16="http://schemas.microsoft.com/office/drawing/2014/main" id="{00000000-0008-0000-0C00-000005000000}"/>
            </a:ext>
          </a:extLst>
        </xdr:cNvPr>
        <xdr:cNvSpPr/>
      </xdr:nvSpPr>
      <xdr:spPr>
        <a:xfrm>
          <a:off x="656165" y="2"/>
          <a:ext cx="1100668" cy="476250"/>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180975</xdr:colOff>
      <xdr:row>0</xdr:row>
      <xdr:rowOff>66675</xdr:rowOff>
    </xdr:from>
    <xdr:to>
      <xdr:col>0</xdr:col>
      <xdr:colOff>676275</xdr:colOff>
      <xdr:row>0</xdr:row>
      <xdr:rowOff>419100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0D00-000002000000}"/>
            </a:ext>
          </a:extLst>
        </xdr:cNvPr>
        <xdr:cNvSpPr>
          <a:spLocks noChangeArrowheads="1"/>
        </xdr:cNvSpPr>
      </xdr:nvSpPr>
      <xdr:spPr bwMode="auto">
        <a:xfrm>
          <a:off x="180975" y="66675"/>
          <a:ext cx="495300" cy="352425"/>
        </a:xfrm>
        <a:prstGeom prst="leftArrow">
          <a:avLst>
            <a:gd name="adj1" fmla="val 50000"/>
            <a:gd name="adj2" fmla="val 4062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editAs="oneCell">
        <xdr:from>
          <xdr:col>105</xdr:col>
          <xdr:colOff>552450</xdr:colOff>
          <xdr:row>0</xdr:row>
          <xdr:rowOff>0</xdr:rowOff>
        </xdr:from>
        <xdr:to>
          <xdr:col>123</xdr:col>
          <xdr:colOff>104775</xdr:colOff>
          <xdr:row>20</xdr:row>
          <xdr:rowOff>85725</xdr:rowOff>
        </xdr:to>
        <xdr:sp macro="" textlink="">
          <xdr:nvSpPr>
            <xdr:cNvPr id="381999" name="Object 12335" hidden="1">
              <a:extLst>
                <a:ext uri="{63B3BB69-23CF-44E3-9099-C40C66FF867C}">
                  <a14:compatExt spid="_x0000_s381999"/>
                </a:ext>
                <a:ext uri="{FF2B5EF4-FFF2-40B4-BE49-F238E27FC236}">
                  <a16:creationId xmlns:a16="http://schemas.microsoft.com/office/drawing/2014/main" id="{00000000-0008-0000-0D00-00002FD4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140494</xdr:colOff>
      <xdr:row>1</xdr:row>
      <xdr:rowOff>37566</xdr:rowOff>
    </xdr:from>
    <xdr:to>
      <xdr:col>122</xdr:col>
      <xdr:colOff>165366</xdr:colOff>
      <xdr:row>3</xdr:row>
      <xdr:rowOff>99479</xdr:rowOff>
    </xdr:to>
    <xdr:sp macro="" textlink="">
      <xdr:nvSpPr>
        <xdr:cNvPr id="4" name="Right Arrow 3">
          <a:hlinkClick xmlns:r="http://schemas.openxmlformats.org/officeDocument/2006/relationships" r:id="rId2"/>
          <a:extLst>
            <a:ext uri="{FF2B5EF4-FFF2-40B4-BE49-F238E27FC236}">
              <a16:creationId xmlns:a16="http://schemas.microsoft.com/office/drawing/2014/main" id="{00000000-0008-0000-0D00-000004000000}"/>
            </a:ext>
          </a:extLst>
        </xdr:cNvPr>
        <xdr:cNvSpPr/>
      </xdr:nvSpPr>
      <xdr:spPr>
        <a:xfrm>
          <a:off x="92747307"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869157</xdr:colOff>
      <xdr:row>0</xdr:row>
      <xdr:rowOff>71438</xdr:rowOff>
    </xdr:from>
    <xdr:to>
      <xdr:col>1</xdr:col>
      <xdr:colOff>738189</xdr:colOff>
      <xdr:row>0</xdr:row>
      <xdr:rowOff>416721</xdr:rowOff>
    </xdr:to>
    <xdr:sp macro="" textlink="">
      <xdr:nvSpPr>
        <xdr:cNvPr id="5" name="Right Arrow 4">
          <a:hlinkClick xmlns:r="http://schemas.openxmlformats.org/officeDocument/2006/relationships" r:id="rId3"/>
          <a:extLst>
            <a:ext uri="{FF2B5EF4-FFF2-40B4-BE49-F238E27FC236}">
              <a16:creationId xmlns:a16="http://schemas.microsoft.com/office/drawing/2014/main" id="{00000000-0008-0000-0D00-000005000000}"/>
            </a:ext>
          </a:extLst>
        </xdr:cNvPr>
        <xdr:cNvSpPr/>
      </xdr:nvSpPr>
      <xdr:spPr>
        <a:xfrm>
          <a:off x="869157" y="71438"/>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66675</xdr:colOff>
      <xdr:row>0</xdr:row>
      <xdr:rowOff>28575</xdr:rowOff>
    </xdr:from>
    <xdr:to>
      <xdr:col>0</xdr:col>
      <xdr:colOff>561975</xdr:colOff>
      <xdr:row>0</xdr:row>
      <xdr:rowOff>381000</xdr:rowOff>
    </xdr:to>
    <xdr:sp macro="" textlink="">
      <xdr:nvSpPr>
        <xdr:cNvPr id="7173" name="AutoShape 5">
          <a:hlinkClick xmlns:r="http://schemas.openxmlformats.org/officeDocument/2006/relationships" r:id="rId1"/>
          <a:extLst>
            <a:ext uri="{FF2B5EF4-FFF2-40B4-BE49-F238E27FC236}">
              <a16:creationId xmlns:a16="http://schemas.microsoft.com/office/drawing/2014/main" id="{00000000-0008-0000-0E00-0000051C0000}"/>
            </a:ext>
          </a:extLst>
        </xdr:cNvPr>
        <xdr:cNvSpPr>
          <a:spLocks noChangeArrowheads="1"/>
        </xdr:cNvSpPr>
      </xdr:nvSpPr>
      <xdr:spPr bwMode="auto">
        <a:xfrm>
          <a:off x="66675" y="28575"/>
          <a:ext cx="495300" cy="352425"/>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xdr:from>
          <xdr:col>9</xdr:col>
          <xdr:colOff>47625</xdr:colOff>
          <xdr:row>2</xdr:row>
          <xdr:rowOff>38100</xdr:rowOff>
        </xdr:from>
        <xdr:to>
          <xdr:col>9</xdr:col>
          <xdr:colOff>1552575</xdr:colOff>
          <xdr:row>2</xdr:row>
          <xdr:rowOff>247650</xdr:rowOff>
        </xdr:to>
        <xdr:sp macro="" textlink="">
          <xdr:nvSpPr>
            <xdr:cNvPr id="99771" name="Button 2491" hidden="1">
              <a:extLst>
                <a:ext uri="{63B3BB69-23CF-44E3-9099-C40C66FF867C}">
                  <a14:compatExt spid="_x0000_s99771"/>
                </a:ext>
                <a:ext uri="{FF2B5EF4-FFF2-40B4-BE49-F238E27FC236}">
                  <a16:creationId xmlns:a16="http://schemas.microsoft.com/office/drawing/2014/main" id="{00000000-0008-0000-0E00-0000BB85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DNS Checker v2.2.1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600075</xdr:colOff>
          <xdr:row>0</xdr:row>
          <xdr:rowOff>0</xdr:rowOff>
        </xdr:from>
        <xdr:to>
          <xdr:col>122</xdr:col>
          <xdr:colOff>514350</xdr:colOff>
          <xdr:row>41</xdr:row>
          <xdr:rowOff>123825</xdr:rowOff>
        </xdr:to>
        <xdr:sp macro="" textlink="">
          <xdr:nvSpPr>
            <xdr:cNvPr id="99786" name="Object 2506" hidden="1">
              <a:extLst>
                <a:ext uri="{63B3BB69-23CF-44E3-9099-C40C66FF867C}">
                  <a14:compatExt spid="_x0000_s99786"/>
                </a:ext>
                <a:ext uri="{FF2B5EF4-FFF2-40B4-BE49-F238E27FC236}">
                  <a16:creationId xmlns:a16="http://schemas.microsoft.com/office/drawing/2014/main" id="{00000000-0008-0000-0E00-0000CA85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107421</xdr:colOff>
      <xdr:row>1</xdr:row>
      <xdr:rowOff>99743</xdr:rowOff>
    </xdr:from>
    <xdr:to>
      <xdr:col>122</xdr:col>
      <xdr:colOff>119064</xdr:colOff>
      <xdr:row>3</xdr:row>
      <xdr:rowOff>95510</xdr:rowOff>
    </xdr:to>
    <xdr:sp macro="" textlink="">
      <xdr:nvSpPr>
        <xdr:cNvPr id="5" name="Right Arrow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94330838"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656167</xdr:colOff>
      <xdr:row>0</xdr:row>
      <xdr:rowOff>42333</xdr:rowOff>
    </xdr:from>
    <xdr:to>
      <xdr:col>1</xdr:col>
      <xdr:colOff>549276</xdr:colOff>
      <xdr:row>0</xdr:row>
      <xdr:rowOff>387616</xdr:rowOff>
    </xdr:to>
    <xdr:sp macro="" textlink="">
      <xdr:nvSpPr>
        <xdr:cNvPr id="6" name="Right Arrow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656167" y="42333"/>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85724</xdr:colOff>
      <xdr:row>0</xdr:row>
      <xdr:rowOff>19050</xdr:rowOff>
    </xdr:from>
    <xdr:to>
      <xdr:col>0</xdr:col>
      <xdr:colOff>628649</xdr:colOff>
      <xdr:row>0</xdr:row>
      <xdr:rowOff>381000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0F00-000002000000}"/>
            </a:ext>
          </a:extLst>
        </xdr:cNvPr>
        <xdr:cNvSpPr>
          <a:spLocks noChangeArrowheads="1"/>
        </xdr:cNvSpPr>
      </xdr:nvSpPr>
      <xdr:spPr bwMode="auto">
        <a:xfrm>
          <a:off x="85724" y="19050"/>
          <a:ext cx="542925" cy="36195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0</xdr:col>
      <xdr:colOff>715473</xdr:colOff>
      <xdr:row>0</xdr:row>
      <xdr:rowOff>28575</xdr:rowOff>
    </xdr:from>
    <xdr:to>
      <xdr:col>1</xdr:col>
      <xdr:colOff>391623</xdr:colOff>
      <xdr:row>0</xdr:row>
      <xdr:rowOff>390525</xdr:rowOff>
    </xdr:to>
    <xdr:sp macro="" textlink="">
      <xdr:nvSpPr>
        <xdr:cNvPr id="5" name="AutoShape 1">
          <a:hlinkClick xmlns:r="http://schemas.openxmlformats.org/officeDocument/2006/relationships" r:id="rId2"/>
          <a:extLst>
            <a:ext uri="{FF2B5EF4-FFF2-40B4-BE49-F238E27FC236}">
              <a16:creationId xmlns:a16="http://schemas.microsoft.com/office/drawing/2014/main" id="{00000000-0008-0000-0F00-000005000000}"/>
            </a:ext>
          </a:extLst>
        </xdr:cNvPr>
        <xdr:cNvSpPr>
          <a:spLocks noChangeArrowheads="1"/>
        </xdr:cNvSpPr>
      </xdr:nvSpPr>
      <xdr:spPr bwMode="auto">
        <a:xfrm>
          <a:off x="715473" y="28575"/>
          <a:ext cx="755650" cy="36195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NAS Info</a:t>
          </a:r>
        </a:p>
      </xdr:txBody>
    </xdr:sp>
    <xdr:clientData/>
  </xdr:twoCellAnchor>
  <xdr:twoCellAnchor editAs="oneCell">
    <xdr:from>
      <xdr:col>1</xdr:col>
      <xdr:colOff>518578</xdr:colOff>
      <xdr:row>0</xdr:row>
      <xdr:rowOff>42332</xdr:rowOff>
    </xdr:from>
    <xdr:to>
      <xdr:col>3</xdr:col>
      <xdr:colOff>79371</xdr:colOff>
      <xdr:row>0</xdr:row>
      <xdr:rowOff>387615</xdr:rowOff>
    </xdr:to>
    <xdr:sp macro="" textlink="">
      <xdr:nvSpPr>
        <xdr:cNvPr id="4" name="Right Arrow 3">
          <a:hlinkClick xmlns:r="http://schemas.openxmlformats.org/officeDocument/2006/relationships" r:id="rId3"/>
          <a:extLst>
            <a:ext uri="{FF2B5EF4-FFF2-40B4-BE49-F238E27FC236}">
              <a16:creationId xmlns:a16="http://schemas.microsoft.com/office/drawing/2014/main" id="{00000000-0008-0000-0F00-000004000000}"/>
            </a:ext>
          </a:extLst>
        </xdr:cNvPr>
        <xdr:cNvSpPr/>
      </xdr:nvSpPr>
      <xdr:spPr>
        <a:xfrm>
          <a:off x="1598078" y="42332"/>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109</xdr:col>
          <xdr:colOff>28575</xdr:colOff>
          <xdr:row>0</xdr:row>
          <xdr:rowOff>400050</xdr:rowOff>
        </xdr:from>
        <xdr:to>
          <xdr:col>126</xdr:col>
          <xdr:colOff>171450</xdr:colOff>
          <xdr:row>18</xdr:row>
          <xdr:rowOff>19050</xdr:rowOff>
        </xdr:to>
        <xdr:sp macro="" textlink="">
          <xdr:nvSpPr>
            <xdr:cNvPr id="501775" name="Object 15" hidden="1">
              <a:extLst>
                <a:ext uri="{63B3BB69-23CF-44E3-9099-C40C66FF867C}">
                  <a14:compatExt spid="_x0000_s501775"/>
                </a:ext>
                <a:ext uri="{FF2B5EF4-FFF2-40B4-BE49-F238E27FC236}">
                  <a16:creationId xmlns:a16="http://schemas.microsoft.com/office/drawing/2014/main" id="{00000000-0008-0000-0F00-00000FA807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123</xdr:col>
      <xdr:colOff>107421</xdr:colOff>
      <xdr:row>1</xdr:row>
      <xdr:rowOff>78577</xdr:rowOff>
    </xdr:from>
    <xdr:to>
      <xdr:col>125</xdr:col>
      <xdr:colOff>119064</xdr:colOff>
      <xdr:row>5</xdr:row>
      <xdr:rowOff>190760</xdr:rowOff>
    </xdr:to>
    <xdr:sp macro="" textlink="">
      <xdr:nvSpPr>
        <xdr:cNvPr id="6" name="Right Arrow 5">
          <a:hlinkClick xmlns:r="http://schemas.openxmlformats.org/officeDocument/2006/relationships" r:id="rId4"/>
          <a:extLst>
            <a:ext uri="{FF2B5EF4-FFF2-40B4-BE49-F238E27FC236}">
              <a16:creationId xmlns:a16="http://schemas.microsoft.com/office/drawing/2014/main" id="{00000000-0008-0000-0F00-000006000000}"/>
            </a:ext>
          </a:extLst>
        </xdr:cNvPr>
        <xdr:cNvSpPr/>
      </xdr:nvSpPr>
      <xdr:spPr>
        <a:xfrm>
          <a:off x="87917338"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0</xdr:row>
      <xdr:rowOff>76199</xdr:rowOff>
    </xdr:from>
    <xdr:to>
      <xdr:col>0</xdr:col>
      <xdr:colOff>571500</xdr:colOff>
      <xdr:row>0</xdr:row>
      <xdr:rowOff>447674</xdr:rowOff>
    </xdr:to>
    <xdr:sp macro="" textlink="">
      <xdr:nvSpPr>
        <xdr:cNvPr id="14337" name="AutoShape 1">
          <a:hlinkClick xmlns:r="http://schemas.openxmlformats.org/officeDocument/2006/relationships" r:id="rId1"/>
          <a:extLst>
            <a:ext uri="{FF2B5EF4-FFF2-40B4-BE49-F238E27FC236}">
              <a16:creationId xmlns:a16="http://schemas.microsoft.com/office/drawing/2014/main" id="{00000000-0008-0000-1000-000001380000}"/>
            </a:ext>
          </a:extLst>
        </xdr:cNvPr>
        <xdr:cNvSpPr>
          <a:spLocks noChangeArrowheads="1"/>
        </xdr:cNvSpPr>
      </xdr:nvSpPr>
      <xdr:spPr bwMode="auto">
        <a:xfrm>
          <a:off x="57150" y="76199"/>
          <a:ext cx="514350" cy="371475"/>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xdr:from>
          <xdr:col>10</xdr:col>
          <xdr:colOff>28575</xdr:colOff>
          <xdr:row>1</xdr:row>
          <xdr:rowOff>104775</xdr:rowOff>
        </xdr:from>
        <xdr:to>
          <xdr:col>11</xdr:col>
          <xdr:colOff>19050</xdr:colOff>
          <xdr:row>1</xdr:row>
          <xdr:rowOff>447675</xdr:rowOff>
        </xdr:to>
        <xdr:sp macro="" textlink="">
          <xdr:nvSpPr>
            <xdr:cNvPr id="14437" name="Button 101" hidden="1">
              <a:extLst>
                <a:ext uri="{63B3BB69-23CF-44E3-9099-C40C66FF867C}">
                  <a14:compatExt spid="_x0000_s14437"/>
                </a:ext>
                <a:ext uri="{FF2B5EF4-FFF2-40B4-BE49-F238E27FC236}">
                  <a16:creationId xmlns:a16="http://schemas.microsoft.com/office/drawing/2014/main" id="{00000000-0008-0000-1000-000065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Split Vdisk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106</xdr:col>
          <xdr:colOff>0</xdr:colOff>
          <xdr:row>0</xdr:row>
          <xdr:rowOff>0</xdr:rowOff>
        </xdr:from>
        <xdr:to>
          <xdr:col>123</xdr:col>
          <xdr:colOff>66675</xdr:colOff>
          <xdr:row>4</xdr:row>
          <xdr:rowOff>0</xdr:rowOff>
        </xdr:to>
        <xdr:sp macro="" textlink="">
          <xdr:nvSpPr>
            <xdr:cNvPr id="14441" name="Object 105" hidden="1">
              <a:extLst>
                <a:ext uri="{63B3BB69-23CF-44E3-9099-C40C66FF867C}">
                  <a14:compatExt spid="_x0000_s14441"/>
                </a:ext>
                <a:ext uri="{FF2B5EF4-FFF2-40B4-BE49-F238E27FC236}">
                  <a16:creationId xmlns:a16="http://schemas.microsoft.com/office/drawing/2014/main" id="{00000000-0008-0000-1000-0000693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107421</xdr:colOff>
      <xdr:row>1</xdr:row>
      <xdr:rowOff>57410</xdr:rowOff>
    </xdr:from>
    <xdr:to>
      <xdr:col>122</xdr:col>
      <xdr:colOff>119063</xdr:colOff>
      <xdr:row>2</xdr:row>
      <xdr:rowOff>53177</xdr:rowOff>
    </xdr:to>
    <xdr:sp macro="" textlink="">
      <xdr:nvSpPr>
        <xdr:cNvPr id="5" name="Right Arrow 4">
          <a:hlinkClick xmlns:r="http://schemas.openxmlformats.org/officeDocument/2006/relationships" r:id="rId2"/>
          <a:extLst>
            <a:ext uri="{FF2B5EF4-FFF2-40B4-BE49-F238E27FC236}">
              <a16:creationId xmlns:a16="http://schemas.microsoft.com/office/drawing/2014/main" id="{00000000-0008-0000-1000-000005000000}"/>
            </a:ext>
          </a:extLst>
        </xdr:cNvPr>
        <xdr:cNvSpPr/>
      </xdr:nvSpPr>
      <xdr:spPr>
        <a:xfrm>
          <a:off x="99961171"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645583</xdr:colOff>
      <xdr:row>0</xdr:row>
      <xdr:rowOff>84666</xdr:rowOff>
    </xdr:from>
    <xdr:to>
      <xdr:col>0</xdr:col>
      <xdr:colOff>1836209</xdr:colOff>
      <xdr:row>0</xdr:row>
      <xdr:rowOff>429949</xdr:rowOff>
    </xdr:to>
    <xdr:sp macro="" textlink="">
      <xdr:nvSpPr>
        <xdr:cNvPr id="8" name="Right Arrow 7">
          <a:hlinkClick xmlns:r="http://schemas.openxmlformats.org/officeDocument/2006/relationships" r:id="rId3"/>
          <a:extLst>
            <a:ext uri="{FF2B5EF4-FFF2-40B4-BE49-F238E27FC236}">
              <a16:creationId xmlns:a16="http://schemas.microsoft.com/office/drawing/2014/main" id="{00000000-0008-0000-1000-000008000000}"/>
            </a:ext>
          </a:extLst>
        </xdr:cNvPr>
        <xdr:cNvSpPr/>
      </xdr:nvSpPr>
      <xdr:spPr>
        <a:xfrm>
          <a:off x="645583" y="84666"/>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0</xdr:row>
      <xdr:rowOff>104774</xdr:rowOff>
    </xdr:from>
    <xdr:to>
      <xdr:col>0</xdr:col>
      <xdr:colOff>590550</xdr:colOff>
      <xdr:row>0</xdr:row>
      <xdr:rowOff>476249</xdr:rowOff>
    </xdr:to>
    <xdr:sp macro="" textlink="">
      <xdr:nvSpPr>
        <xdr:cNvPr id="14337" name="AutoShape 1">
          <a:hlinkClick xmlns:r="http://schemas.openxmlformats.org/officeDocument/2006/relationships" r:id="rId1"/>
          <a:extLst>
            <a:ext uri="{FF2B5EF4-FFF2-40B4-BE49-F238E27FC236}">
              <a16:creationId xmlns:a16="http://schemas.microsoft.com/office/drawing/2014/main" id="{00000000-0008-0000-1100-000001380000}"/>
            </a:ext>
          </a:extLst>
        </xdr:cNvPr>
        <xdr:cNvSpPr>
          <a:spLocks noChangeArrowheads="1"/>
        </xdr:cNvSpPr>
      </xdr:nvSpPr>
      <xdr:spPr bwMode="auto">
        <a:xfrm>
          <a:off x="57150" y="104774"/>
          <a:ext cx="533400" cy="371475"/>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19</xdr:col>
      <xdr:colOff>9525</xdr:colOff>
      <xdr:row>1</xdr:row>
      <xdr:rowOff>152400</xdr:rowOff>
    </xdr:from>
    <xdr:to>
      <xdr:col>21</xdr:col>
      <xdr:colOff>781050</xdr:colOff>
      <xdr:row>1</xdr:row>
      <xdr:rowOff>485775</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21669375" y="723900"/>
          <a:ext cx="2352675"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SQL /  DB2 / Oracle Backup</a:t>
          </a:r>
          <a:r>
            <a:rPr lang="en-US" sz="1100" baseline="0"/>
            <a:t> Frequency</a:t>
          </a:r>
          <a:endParaRPr lang="en-US" sz="1100"/>
        </a:p>
      </xdr:txBody>
    </xdr:sp>
    <xdr:clientData/>
  </xdr:twoCellAnchor>
  <xdr:twoCellAnchor editAs="oneCell">
    <xdr:from>
      <xdr:col>0</xdr:col>
      <xdr:colOff>771525</xdr:colOff>
      <xdr:row>0</xdr:row>
      <xdr:rowOff>123825</xdr:rowOff>
    </xdr:from>
    <xdr:to>
      <xdr:col>1</xdr:col>
      <xdr:colOff>523876</xdr:colOff>
      <xdr:row>0</xdr:row>
      <xdr:rowOff>469108</xdr:rowOff>
    </xdr:to>
    <xdr:sp macro="" textlink="">
      <xdr:nvSpPr>
        <xdr:cNvPr id="4" name="Right Arrow 3">
          <a:hlinkClick xmlns:r="http://schemas.openxmlformats.org/officeDocument/2006/relationships" r:id="rId2"/>
          <a:extLst>
            <a:ext uri="{FF2B5EF4-FFF2-40B4-BE49-F238E27FC236}">
              <a16:creationId xmlns:a16="http://schemas.microsoft.com/office/drawing/2014/main" id="{00000000-0008-0000-1100-000004000000}"/>
            </a:ext>
          </a:extLst>
        </xdr:cNvPr>
        <xdr:cNvSpPr/>
      </xdr:nvSpPr>
      <xdr:spPr>
        <a:xfrm>
          <a:off x="771525" y="123825"/>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105</xdr:col>
          <xdr:colOff>590550</xdr:colOff>
          <xdr:row>0</xdr:row>
          <xdr:rowOff>419100</xdr:rowOff>
        </xdr:from>
        <xdr:to>
          <xdr:col>123</xdr:col>
          <xdr:colOff>142875</xdr:colOff>
          <xdr:row>19</xdr:row>
          <xdr:rowOff>9525</xdr:rowOff>
        </xdr:to>
        <xdr:sp macro="" textlink="">
          <xdr:nvSpPr>
            <xdr:cNvPr id="48147" name="Object 19" hidden="1">
              <a:extLst>
                <a:ext uri="{63B3BB69-23CF-44E3-9099-C40C66FF867C}">
                  <a14:compatExt spid="_x0000_s48147"/>
                </a:ext>
                <a:ext uri="{FF2B5EF4-FFF2-40B4-BE49-F238E27FC236}">
                  <a16:creationId xmlns:a16="http://schemas.microsoft.com/office/drawing/2014/main" id="{00000000-0008-0000-1100-000013B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166688</xdr:colOff>
      <xdr:row>0</xdr:row>
      <xdr:rowOff>501910</xdr:rowOff>
    </xdr:from>
    <xdr:to>
      <xdr:col>122</xdr:col>
      <xdr:colOff>186797</xdr:colOff>
      <xdr:row>1</xdr:row>
      <xdr:rowOff>444760</xdr:rowOff>
    </xdr:to>
    <xdr:sp macro="" textlink="">
      <xdr:nvSpPr>
        <xdr:cNvPr id="6" name="Right Arrow 5">
          <a:hlinkClick xmlns:r="http://schemas.openxmlformats.org/officeDocument/2006/relationships" r:id="rId3"/>
          <a:extLst>
            <a:ext uri="{FF2B5EF4-FFF2-40B4-BE49-F238E27FC236}">
              <a16:creationId xmlns:a16="http://schemas.microsoft.com/office/drawing/2014/main" id="{00000000-0008-0000-1100-000006000000}"/>
            </a:ext>
          </a:extLst>
        </xdr:cNvPr>
        <xdr:cNvSpPr/>
      </xdr:nvSpPr>
      <xdr:spPr>
        <a:xfrm>
          <a:off x="87710963"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159806</xdr:colOff>
      <xdr:row>0</xdr:row>
      <xdr:rowOff>29633</xdr:rowOff>
    </xdr:from>
    <xdr:to>
      <xdr:col>0</xdr:col>
      <xdr:colOff>645581</xdr:colOff>
      <xdr:row>0</xdr:row>
      <xdr:rowOff>410633</xdr:rowOff>
    </xdr:to>
    <xdr:sp macro="" textlink="">
      <xdr:nvSpPr>
        <xdr:cNvPr id="34817" name="AutoShape 1">
          <a:hlinkClick xmlns:r="http://schemas.openxmlformats.org/officeDocument/2006/relationships" r:id="rId1"/>
          <a:extLst>
            <a:ext uri="{FF2B5EF4-FFF2-40B4-BE49-F238E27FC236}">
              <a16:creationId xmlns:a16="http://schemas.microsoft.com/office/drawing/2014/main" id="{00000000-0008-0000-1200-000001880000}"/>
            </a:ext>
          </a:extLst>
        </xdr:cNvPr>
        <xdr:cNvSpPr>
          <a:spLocks noChangeArrowheads="1"/>
        </xdr:cNvSpPr>
      </xdr:nvSpPr>
      <xdr:spPr bwMode="auto">
        <a:xfrm>
          <a:off x="159806" y="29633"/>
          <a:ext cx="485775" cy="3810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2</xdr:col>
      <xdr:colOff>239450</xdr:colOff>
      <xdr:row>0</xdr:row>
      <xdr:rowOff>3971</xdr:rowOff>
    </xdr:from>
    <xdr:to>
      <xdr:col>2</xdr:col>
      <xdr:colOff>1346733</xdr:colOff>
      <xdr:row>0</xdr:row>
      <xdr:rowOff>465669</xdr:rowOff>
    </xdr:to>
    <xdr:sp macro="" textlink="">
      <xdr:nvSpPr>
        <xdr:cNvPr id="2" name="Left Arrow 1">
          <a:hlinkClick xmlns:r="http://schemas.openxmlformats.org/officeDocument/2006/relationships" r:id="rId2"/>
          <a:extLst>
            <a:ext uri="{FF2B5EF4-FFF2-40B4-BE49-F238E27FC236}">
              <a16:creationId xmlns:a16="http://schemas.microsoft.com/office/drawing/2014/main" id="{00000000-0008-0000-1200-000002000000}"/>
            </a:ext>
          </a:extLst>
        </xdr:cNvPr>
        <xdr:cNvSpPr/>
      </xdr:nvSpPr>
      <xdr:spPr>
        <a:xfrm>
          <a:off x="2430200" y="3971"/>
          <a:ext cx="1107283" cy="461698"/>
        </a:xfrm>
        <a:prstGeom prst="leftArrow">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800"/>
            <a:t>New Database Rqst</a:t>
          </a:r>
        </a:p>
      </xdr:txBody>
    </xdr:sp>
    <xdr:clientData/>
  </xdr:twoCellAnchor>
  <xdr:twoCellAnchor>
    <xdr:from>
      <xdr:col>21</xdr:col>
      <xdr:colOff>9525</xdr:colOff>
      <xdr:row>5</xdr:row>
      <xdr:rowOff>662517</xdr:rowOff>
    </xdr:from>
    <xdr:to>
      <xdr:col>24</xdr:col>
      <xdr:colOff>10584</xdr:colOff>
      <xdr:row>5</xdr:row>
      <xdr:rowOff>995892</xdr:rowOff>
    </xdr:to>
    <xdr:sp macro="" textlink="">
      <xdr:nvSpPr>
        <xdr:cNvPr id="5" name="Rectangle 4">
          <a:extLst>
            <a:ext uri="{FF2B5EF4-FFF2-40B4-BE49-F238E27FC236}">
              <a16:creationId xmlns:a16="http://schemas.microsoft.com/office/drawing/2014/main" id="{00000000-0008-0000-1200-000005000000}"/>
            </a:ext>
          </a:extLst>
        </xdr:cNvPr>
        <xdr:cNvSpPr/>
      </xdr:nvSpPr>
      <xdr:spPr>
        <a:xfrm>
          <a:off x="26436108" y="1932517"/>
          <a:ext cx="2953809"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SQL /  DB2 / Oracle Backup</a:t>
          </a:r>
          <a:r>
            <a:rPr lang="en-US" sz="1100" baseline="0"/>
            <a:t> Frequency</a:t>
          </a:r>
          <a:endParaRPr lang="en-US" sz="1100"/>
        </a:p>
      </xdr:txBody>
    </xdr:sp>
    <xdr:clientData/>
  </xdr:twoCellAnchor>
  <xdr:twoCellAnchor editAs="oneCell">
    <xdr:from>
      <xdr:col>0</xdr:col>
      <xdr:colOff>963083</xdr:colOff>
      <xdr:row>0</xdr:row>
      <xdr:rowOff>63501</xdr:rowOff>
    </xdr:from>
    <xdr:to>
      <xdr:col>1</xdr:col>
      <xdr:colOff>862542</xdr:colOff>
      <xdr:row>0</xdr:row>
      <xdr:rowOff>408784</xdr:rowOff>
    </xdr:to>
    <xdr:sp macro="" textlink="">
      <xdr:nvSpPr>
        <xdr:cNvPr id="6" name="Right Arrow 5">
          <a:hlinkClick xmlns:r="http://schemas.openxmlformats.org/officeDocument/2006/relationships" r:id="rId3"/>
          <a:extLst>
            <a:ext uri="{FF2B5EF4-FFF2-40B4-BE49-F238E27FC236}">
              <a16:creationId xmlns:a16="http://schemas.microsoft.com/office/drawing/2014/main" id="{00000000-0008-0000-1200-000006000000}"/>
            </a:ext>
          </a:extLst>
        </xdr:cNvPr>
        <xdr:cNvSpPr/>
      </xdr:nvSpPr>
      <xdr:spPr>
        <a:xfrm>
          <a:off x="963083" y="63501"/>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106</xdr:col>
          <xdr:colOff>38100</xdr:colOff>
          <xdr:row>0</xdr:row>
          <xdr:rowOff>438150</xdr:rowOff>
        </xdr:from>
        <xdr:to>
          <xdr:col>123</xdr:col>
          <xdr:colOff>104775</xdr:colOff>
          <xdr:row>9</xdr:row>
          <xdr:rowOff>0</xdr:rowOff>
        </xdr:to>
        <xdr:sp macro="" textlink="">
          <xdr:nvSpPr>
            <xdr:cNvPr id="34850" name="Object 34" hidden="1">
              <a:extLst>
                <a:ext uri="{63B3BB69-23CF-44E3-9099-C40C66FF867C}">
                  <a14:compatExt spid="_x0000_s34850"/>
                </a:ext>
                <a:ext uri="{FF2B5EF4-FFF2-40B4-BE49-F238E27FC236}">
                  <a16:creationId xmlns:a16="http://schemas.microsoft.com/office/drawing/2014/main" id="{00000000-0008-0000-1200-0000228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121</xdr:col>
      <xdr:colOff>107421</xdr:colOff>
      <xdr:row>1</xdr:row>
      <xdr:rowOff>4493</xdr:rowOff>
    </xdr:from>
    <xdr:to>
      <xdr:col>123</xdr:col>
      <xdr:colOff>119064</xdr:colOff>
      <xdr:row>2</xdr:row>
      <xdr:rowOff>211927</xdr:rowOff>
    </xdr:to>
    <xdr:sp macro="" textlink="">
      <xdr:nvSpPr>
        <xdr:cNvPr id="7" name="Right Arrow 6">
          <a:hlinkClick xmlns:r="http://schemas.openxmlformats.org/officeDocument/2006/relationships" r:id="rId4"/>
          <a:extLst>
            <a:ext uri="{FF2B5EF4-FFF2-40B4-BE49-F238E27FC236}">
              <a16:creationId xmlns:a16="http://schemas.microsoft.com/office/drawing/2014/main" id="{00000000-0008-0000-1200-000007000000}"/>
            </a:ext>
          </a:extLst>
        </xdr:cNvPr>
        <xdr:cNvSpPr/>
      </xdr:nvSpPr>
      <xdr:spPr>
        <a:xfrm>
          <a:off x="92362338"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0</xdr:row>
      <xdr:rowOff>9524</xdr:rowOff>
    </xdr:from>
    <xdr:to>
      <xdr:col>0</xdr:col>
      <xdr:colOff>590550</xdr:colOff>
      <xdr:row>0</xdr:row>
      <xdr:rowOff>380999</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1300-000002000000}"/>
            </a:ext>
          </a:extLst>
        </xdr:cNvPr>
        <xdr:cNvSpPr>
          <a:spLocks noChangeArrowheads="1"/>
        </xdr:cNvSpPr>
      </xdr:nvSpPr>
      <xdr:spPr bwMode="auto">
        <a:xfrm>
          <a:off x="57150" y="9524"/>
          <a:ext cx="533400" cy="371475"/>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editAs="oneCell">
    <xdr:from>
      <xdr:col>0</xdr:col>
      <xdr:colOff>888972</xdr:colOff>
      <xdr:row>0</xdr:row>
      <xdr:rowOff>10583</xdr:rowOff>
    </xdr:from>
    <xdr:to>
      <xdr:col>1</xdr:col>
      <xdr:colOff>714348</xdr:colOff>
      <xdr:row>0</xdr:row>
      <xdr:rowOff>355866</xdr:rowOff>
    </xdr:to>
    <xdr:sp macro="" textlink="">
      <xdr:nvSpPr>
        <xdr:cNvPr id="3" name="Right Arrow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888972" y="10583"/>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106</xdr:col>
          <xdr:colOff>0</xdr:colOff>
          <xdr:row>0</xdr:row>
          <xdr:rowOff>0</xdr:rowOff>
        </xdr:from>
        <xdr:to>
          <xdr:col>123</xdr:col>
          <xdr:colOff>66675</xdr:colOff>
          <xdr:row>18</xdr:row>
          <xdr:rowOff>123825</xdr:rowOff>
        </xdr:to>
        <xdr:sp macro="" textlink="">
          <xdr:nvSpPr>
            <xdr:cNvPr id="281614" name="Object 14" hidden="1">
              <a:extLst>
                <a:ext uri="{63B3BB69-23CF-44E3-9099-C40C66FF867C}">
                  <a14:compatExt spid="_x0000_s281614"/>
                </a:ext>
                <a:ext uri="{FF2B5EF4-FFF2-40B4-BE49-F238E27FC236}">
                  <a16:creationId xmlns:a16="http://schemas.microsoft.com/office/drawing/2014/main" id="{00000000-0008-0000-1300-00000E4C04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107421</xdr:colOff>
      <xdr:row>1</xdr:row>
      <xdr:rowOff>131493</xdr:rowOff>
    </xdr:from>
    <xdr:to>
      <xdr:col>122</xdr:col>
      <xdr:colOff>119064</xdr:colOff>
      <xdr:row>1</xdr:row>
      <xdr:rowOff>645843</xdr:rowOff>
    </xdr:to>
    <xdr:sp macro="" textlink="">
      <xdr:nvSpPr>
        <xdr:cNvPr id="5" name="Right Arrow 4">
          <a:hlinkClick xmlns:r="http://schemas.openxmlformats.org/officeDocument/2006/relationships" r:id="rId3"/>
          <a:extLst>
            <a:ext uri="{FF2B5EF4-FFF2-40B4-BE49-F238E27FC236}">
              <a16:creationId xmlns:a16="http://schemas.microsoft.com/office/drawing/2014/main" id="{00000000-0008-0000-1300-000005000000}"/>
            </a:ext>
          </a:extLst>
        </xdr:cNvPr>
        <xdr:cNvSpPr/>
      </xdr:nvSpPr>
      <xdr:spPr>
        <a:xfrm>
          <a:off x="82996088"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495300</xdr:colOff>
      <xdr:row>0</xdr:row>
      <xdr:rowOff>361950</xdr:rowOff>
    </xdr:to>
    <xdr:sp macro="" textlink="">
      <xdr:nvSpPr>
        <xdr:cNvPr id="4" name="AutoShape 1">
          <a:hlinkClick xmlns:r="http://schemas.openxmlformats.org/officeDocument/2006/relationships" r:id="rId1"/>
          <a:extLst>
            <a:ext uri="{FF2B5EF4-FFF2-40B4-BE49-F238E27FC236}">
              <a16:creationId xmlns:a16="http://schemas.microsoft.com/office/drawing/2014/main" id="{00000000-0008-0000-1400-000004000000}"/>
            </a:ext>
          </a:extLst>
        </xdr:cNvPr>
        <xdr:cNvSpPr>
          <a:spLocks noChangeArrowheads="1"/>
        </xdr:cNvSpPr>
      </xdr:nvSpPr>
      <xdr:spPr bwMode="auto">
        <a:xfrm>
          <a:off x="0" y="0"/>
          <a:ext cx="495300" cy="36195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0</xdr:col>
      <xdr:colOff>1005320</xdr:colOff>
      <xdr:row>18</xdr:row>
      <xdr:rowOff>38101</xdr:rowOff>
    </xdr:from>
    <xdr:to>
      <xdr:col>0</xdr:col>
      <xdr:colOff>2251364</xdr:colOff>
      <xdr:row>19</xdr:row>
      <xdr:rowOff>17318</xdr:rowOff>
    </xdr:to>
    <xdr:sp macro="" textlink="">
      <xdr:nvSpPr>
        <xdr:cNvPr id="5" name="Rounded Rectangle 4">
          <a:extLst>
            <a:ext uri="{FF2B5EF4-FFF2-40B4-BE49-F238E27FC236}">
              <a16:creationId xmlns:a16="http://schemas.microsoft.com/office/drawing/2014/main" id="{00000000-0008-0000-1400-000005000000}"/>
            </a:ext>
          </a:extLst>
        </xdr:cNvPr>
        <xdr:cNvSpPr/>
      </xdr:nvSpPr>
      <xdr:spPr>
        <a:xfrm>
          <a:off x="1005320" y="3458442"/>
          <a:ext cx="1246044" cy="169717"/>
        </a:xfrm>
        <a:prstGeom prst="roundRect">
          <a:avLst/>
        </a:prstGeom>
        <a:solidFill>
          <a:schemeClr val="accent1"/>
        </a:solidFill>
        <a:ln>
          <a:beve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900"/>
            <a:t>Copy to DNS Tab</a:t>
          </a:r>
        </a:p>
      </xdr:txBody>
    </xdr:sp>
    <xdr:clientData/>
  </xdr:twoCellAnchor>
  <xdr:twoCellAnchor>
    <xdr:from>
      <xdr:col>0</xdr:col>
      <xdr:colOff>984538</xdr:colOff>
      <xdr:row>20</xdr:row>
      <xdr:rowOff>17319</xdr:rowOff>
    </xdr:from>
    <xdr:to>
      <xdr:col>0</xdr:col>
      <xdr:colOff>2230582</xdr:colOff>
      <xdr:row>20</xdr:row>
      <xdr:rowOff>187036</xdr:rowOff>
    </xdr:to>
    <xdr:sp macro="" textlink="">
      <xdr:nvSpPr>
        <xdr:cNvPr id="6" name="Rounded Rectangle 5">
          <a:extLst>
            <a:ext uri="{FF2B5EF4-FFF2-40B4-BE49-F238E27FC236}">
              <a16:creationId xmlns:a16="http://schemas.microsoft.com/office/drawing/2014/main" id="{00000000-0008-0000-1400-000006000000}"/>
            </a:ext>
          </a:extLst>
        </xdr:cNvPr>
        <xdr:cNvSpPr/>
      </xdr:nvSpPr>
      <xdr:spPr>
        <a:xfrm>
          <a:off x="984538" y="3818660"/>
          <a:ext cx="1246044" cy="169717"/>
        </a:xfrm>
        <a:prstGeom prst="roundRect">
          <a:avLst/>
        </a:prstGeom>
        <a:solidFill>
          <a:schemeClr val="accent1"/>
        </a:solidFill>
        <a:ln>
          <a:beve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900"/>
            <a:t>Copy to DNS Tab</a:t>
          </a:r>
        </a:p>
      </xdr:txBody>
    </xdr:sp>
    <xdr:clientData/>
  </xdr:twoCellAnchor>
  <xdr:twoCellAnchor>
    <xdr:from>
      <xdr:col>0</xdr:col>
      <xdr:colOff>981074</xdr:colOff>
      <xdr:row>21</xdr:row>
      <xdr:rowOff>187037</xdr:rowOff>
    </xdr:from>
    <xdr:to>
      <xdr:col>0</xdr:col>
      <xdr:colOff>2227118</xdr:colOff>
      <xdr:row>22</xdr:row>
      <xdr:rowOff>166254</xdr:rowOff>
    </xdr:to>
    <xdr:sp macro="" textlink="">
      <xdr:nvSpPr>
        <xdr:cNvPr id="7" name="Rounded Rectangle 6">
          <a:extLst>
            <a:ext uri="{FF2B5EF4-FFF2-40B4-BE49-F238E27FC236}">
              <a16:creationId xmlns:a16="http://schemas.microsoft.com/office/drawing/2014/main" id="{00000000-0008-0000-1400-000007000000}"/>
            </a:ext>
          </a:extLst>
        </xdr:cNvPr>
        <xdr:cNvSpPr/>
      </xdr:nvSpPr>
      <xdr:spPr>
        <a:xfrm>
          <a:off x="981074" y="4178878"/>
          <a:ext cx="1246044" cy="169717"/>
        </a:xfrm>
        <a:prstGeom prst="roundRect">
          <a:avLst/>
        </a:prstGeom>
        <a:solidFill>
          <a:schemeClr val="accent1"/>
        </a:solidFill>
        <a:ln>
          <a:beve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900"/>
            <a:t>Copy to DNS Tab</a:t>
          </a:r>
        </a:p>
      </xdr:txBody>
    </xdr:sp>
    <xdr:clientData/>
  </xdr:twoCellAnchor>
  <xdr:twoCellAnchor>
    <xdr:from>
      <xdr:col>0</xdr:col>
      <xdr:colOff>977610</xdr:colOff>
      <xdr:row>23</xdr:row>
      <xdr:rowOff>166255</xdr:rowOff>
    </xdr:from>
    <xdr:to>
      <xdr:col>0</xdr:col>
      <xdr:colOff>2223654</xdr:colOff>
      <xdr:row>24</xdr:row>
      <xdr:rowOff>145472</xdr:rowOff>
    </xdr:to>
    <xdr:sp macro="" textlink="">
      <xdr:nvSpPr>
        <xdr:cNvPr id="8" name="Rounded Rectangle 7">
          <a:extLst>
            <a:ext uri="{FF2B5EF4-FFF2-40B4-BE49-F238E27FC236}">
              <a16:creationId xmlns:a16="http://schemas.microsoft.com/office/drawing/2014/main" id="{00000000-0008-0000-1400-000008000000}"/>
            </a:ext>
          </a:extLst>
        </xdr:cNvPr>
        <xdr:cNvSpPr/>
      </xdr:nvSpPr>
      <xdr:spPr>
        <a:xfrm>
          <a:off x="977610" y="4539096"/>
          <a:ext cx="1246044" cy="169717"/>
        </a:xfrm>
        <a:prstGeom prst="roundRect">
          <a:avLst/>
        </a:prstGeom>
        <a:solidFill>
          <a:schemeClr val="accent1"/>
        </a:solidFill>
        <a:ln>
          <a:beve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900"/>
            <a:t>Copy to DNS Tab</a:t>
          </a:r>
        </a:p>
      </xdr:txBody>
    </xdr:sp>
    <xdr:clientData/>
  </xdr:twoCellAnchor>
  <xdr:twoCellAnchor>
    <xdr:from>
      <xdr:col>0</xdr:col>
      <xdr:colOff>1153584</xdr:colOff>
      <xdr:row>19</xdr:row>
      <xdr:rowOff>21167</xdr:rowOff>
    </xdr:from>
    <xdr:to>
      <xdr:col>0</xdr:col>
      <xdr:colOff>2334684</xdr:colOff>
      <xdr:row>19</xdr:row>
      <xdr:rowOff>179917</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1400-000009000000}"/>
            </a:ext>
          </a:extLst>
        </xdr:cNvPr>
        <xdr:cNvSpPr/>
      </xdr:nvSpPr>
      <xdr:spPr>
        <a:xfrm>
          <a:off x="1153584" y="3608917"/>
          <a:ext cx="1181100" cy="15875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100"/>
            <a:t>Host References</a:t>
          </a:r>
        </a:p>
      </xdr:txBody>
    </xdr:sp>
    <xdr:clientData/>
  </xdr:twoCellAnchor>
  <xdr:twoCellAnchor>
    <xdr:from>
      <xdr:col>0</xdr:col>
      <xdr:colOff>1126067</xdr:colOff>
      <xdr:row>21</xdr:row>
      <xdr:rowOff>4234</xdr:rowOff>
    </xdr:from>
    <xdr:to>
      <xdr:col>0</xdr:col>
      <xdr:colOff>2307167</xdr:colOff>
      <xdr:row>21</xdr:row>
      <xdr:rowOff>162984</xdr:rowOff>
    </xdr:to>
    <xdr:sp macro="" textlink="">
      <xdr:nvSpPr>
        <xdr:cNvPr id="10" name="Rounded Rectangle 9">
          <a:hlinkClick xmlns:r="http://schemas.openxmlformats.org/officeDocument/2006/relationships" r:id="rId2"/>
          <a:extLst>
            <a:ext uri="{FF2B5EF4-FFF2-40B4-BE49-F238E27FC236}">
              <a16:creationId xmlns:a16="http://schemas.microsoft.com/office/drawing/2014/main" id="{00000000-0008-0000-1400-00000A000000}"/>
            </a:ext>
          </a:extLst>
        </xdr:cNvPr>
        <xdr:cNvSpPr/>
      </xdr:nvSpPr>
      <xdr:spPr>
        <a:xfrm>
          <a:off x="1126067" y="3972984"/>
          <a:ext cx="1181100" cy="15875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100"/>
            <a:t>Host References</a:t>
          </a:r>
        </a:p>
      </xdr:txBody>
    </xdr:sp>
    <xdr:clientData/>
  </xdr:twoCellAnchor>
  <xdr:twoCellAnchor editAs="oneCell">
    <xdr:from>
      <xdr:col>0</xdr:col>
      <xdr:colOff>761984</xdr:colOff>
      <xdr:row>0</xdr:row>
      <xdr:rowOff>11906</xdr:rowOff>
    </xdr:from>
    <xdr:to>
      <xdr:col>0</xdr:col>
      <xdr:colOff>1952610</xdr:colOff>
      <xdr:row>0</xdr:row>
      <xdr:rowOff>357189</xdr:rowOff>
    </xdr:to>
    <xdr:sp macro="" textlink="">
      <xdr:nvSpPr>
        <xdr:cNvPr id="11" name="Right Arrow 10">
          <a:hlinkClick xmlns:r="http://schemas.openxmlformats.org/officeDocument/2006/relationships" r:id="rId3"/>
          <a:extLst>
            <a:ext uri="{FF2B5EF4-FFF2-40B4-BE49-F238E27FC236}">
              <a16:creationId xmlns:a16="http://schemas.microsoft.com/office/drawing/2014/main" id="{00000000-0008-0000-1400-00000B000000}"/>
            </a:ext>
          </a:extLst>
        </xdr:cNvPr>
        <xdr:cNvSpPr/>
      </xdr:nvSpPr>
      <xdr:spPr>
        <a:xfrm>
          <a:off x="761984" y="11906"/>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106</xdr:col>
          <xdr:colOff>38100</xdr:colOff>
          <xdr:row>1</xdr:row>
          <xdr:rowOff>38100</xdr:rowOff>
        </xdr:from>
        <xdr:to>
          <xdr:col>123</xdr:col>
          <xdr:colOff>228600</xdr:colOff>
          <xdr:row>20</xdr:row>
          <xdr:rowOff>123825</xdr:rowOff>
        </xdr:to>
        <xdr:sp macro="" textlink="">
          <xdr:nvSpPr>
            <xdr:cNvPr id="304188" name="Object 60" hidden="1">
              <a:extLst>
                <a:ext uri="{63B3BB69-23CF-44E3-9099-C40C66FF867C}">
                  <a14:compatExt spid="_x0000_s304188"/>
                </a:ext>
                <a:ext uri="{FF2B5EF4-FFF2-40B4-BE49-F238E27FC236}">
                  <a16:creationId xmlns:a16="http://schemas.microsoft.com/office/drawing/2014/main" id="{00000000-0008-0000-1400-00003CA404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200025</xdr:colOff>
      <xdr:row>1</xdr:row>
      <xdr:rowOff>109004</xdr:rowOff>
    </xdr:from>
    <xdr:to>
      <xdr:col>122</xdr:col>
      <xdr:colOff>224897</xdr:colOff>
      <xdr:row>3</xdr:row>
      <xdr:rowOff>135197</xdr:rowOff>
    </xdr:to>
    <xdr:sp macro="" textlink="">
      <xdr:nvSpPr>
        <xdr:cNvPr id="12" name="Right Arrow 11">
          <a:hlinkClick xmlns:r="http://schemas.openxmlformats.org/officeDocument/2006/relationships" r:id="rId4"/>
          <a:extLst>
            <a:ext uri="{FF2B5EF4-FFF2-40B4-BE49-F238E27FC236}">
              <a16:creationId xmlns:a16="http://schemas.microsoft.com/office/drawing/2014/main" id="{00000000-0008-0000-1400-00000C000000}"/>
            </a:ext>
          </a:extLst>
        </xdr:cNvPr>
        <xdr:cNvSpPr/>
      </xdr:nvSpPr>
      <xdr:spPr>
        <a:xfrm>
          <a:off x="95295244"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xdr:from>
      <xdr:col>0</xdr:col>
      <xdr:colOff>1000125</xdr:colOff>
      <xdr:row>17</xdr:row>
      <xdr:rowOff>0</xdr:rowOff>
    </xdr:from>
    <xdr:to>
      <xdr:col>0</xdr:col>
      <xdr:colOff>2246169</xdr:colOff>
      <xdr:row>17</xdr:row>
      <xdr:rowOff>169717</xdr:rowOff>
    </xdr:to>
    <xdr:sp macro="" textlink="">
      <xdr:nvSpPr>
        <xdr:cNvPr id="17" name="Rounded Rectangle 16">
          <a:hlinkClick xmlns:r="http://schemas.openxmlformats.org/officeDocument/2006/relationships" r:id="rId5"/>
          <a:extLst>
            <a:ext uri="{FF2B5EF4-FFF2-40B4-BE49-F238E27FC236}">
              <a16:creationId xmlns:a16="http://schemas.microsoft.com/office/drawing/2014/main" id="{00000000-0008-0000-1400-000011000000}"/>
            </a:ext>
          </a:extLst>
        </xdr:cNvPr>
        <xdr:cNvSpPr/>
      </xdr:nvSpPr>
      <xdr:spPr>
        <a:xfrm>
          <a:off x="1000125" y="3219450"/>
          <a:ext cx="1246044" cy="169717"/>
        </a:xfrm>
        <a:prstGeom prst="roundRect">
          <a:avLst/>
        </a:prstGeom>
        <a:solidFill>
          <a:schemeClr val="accent1"/>
        </a:solidFill>
        <a:ln>
          <a:beve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900"/>
            <a:t>Port</a:t>
          </a:r>
          <a:r>
            <a:rPr lang="en-US" sz="900" baseline="0"/>
            <a:t> Assignment Doc</a:t>
          </a:r>
          <a:endParaRPr lang="en-US" sz="9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495300</xdr:colOff>
      <xdr:row>0</xdr:row>
      <xdr:rowOff>361950</xdr:rowOff>
    </xdr:to>
    <xdr:sp macro="" textlink="">
      <xdr:nvSpPr>
        <xdr:cNvPr id="9" name="AutoShape 1">
          <a:hlinkClick xmlns:r="http://schemas.openxmlformats.org/officeDocument/2006/relationships" r:id="rId1"/>
          <a:extLst>
            <a:ext uri="{FF2B5EF4-FFF2-40B4-BE49-F238E27FC236}">
              <a16:creationId xmlns:a16="http://schemas.microsoft.com/office/drawing/2014/main" id="{00000000-0008-0000-1500-000009000000}"/>
            </a:ext>
          </a:extLst>
        </xdr:cNvPr>
        <xdr:cNvSpPr>
          <a:spLocks noChangeArrowheads="1"/>
        </xdr:cNvSpPr>
      </xdr:nvSpPr>
      <xdr:spPr bwMode="auto">
        <a:xfrm>
          <a:off x="0" y="0"/>
          <a:ext cx="495300" cy="36195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0</xdr:col>
      <xdr:colOff>1185334</xdr:colOff>
      <xdr:row>20</xdr:row>
      <xdr:rowOff>27516</xdr:rowOff>
    </xdr:from>
    <xdr:to>
      <xdr:col>0</xdr:col>
      <xdr:colOff>2095501</xdr:colOff>
      <xdr:row>21</xdr:row>
      <xdr:rowOff>10584</xdr:rowOff>
    </xdr:to>
    <xdr:sp macro="" textlink="">
      <xdr:nvSpPr>
        <xdr:cNvPr id="4" name="Rounded Rectangle 3">
          <a:extLst>
            <a:ext uri="{FF2B5EF4-FFF2-40B4-BE49-F238E27FC236}">
              <a16:creationId xmlns:a16="http://schemas.microsoft.com/office/drawing/2014/main" id="{00000000-0008-0000-1500-000004000000}"/>
            </a:ext>
          </a:extLst>
        </xdr:cNvPr>
        <xdr:cNvSpPr/>
      </xdr:nvSpPr>
      <xdr:spPr>
        <a:xfrm>
          <a:off x="1185334" y="3784599"/>
          <a:ext cx="910167" cy="173568"/>
        </a:xfrm>
        <a:prstGeom prst="roundRect">
          <a:avLst/>
        </a:prstGeom>
        <a:solidFill>
          <a:schemeClr val="accent1"/>
        </a:solidFill>
        <a:ln>
          <a:beve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t>Copy  to DNS</a:t>
          </a:r>
        </a:p>
      </xdr:txBody>
    </xdr:sp>
    <xdr:clientData/>
  </xdr:twoCellAnchor>
  <xdr:twoCellAnchor>
    <xdr:from>
      <xdr:col>0</xdr:col>
      <xdr:colOff>1200150</xdr:colOff>
      <xdr:row>22</xdr:row>
      <xdr:rowOff>21166</xdr:rowOff>
    </xdr:from>
    <xdr:to>
      <xdr:col>0</xdr:col>
      <xdr:colOff>2110317</xdr:colOff>
      <xdr:row>23</xdr:row>
      <xdr:rowOff>4234</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1200150" y="4159249"/>
          <a:ext cx="910167" cy="173568"/>
        </a:xfrm>
        <a:prstGeom prst="roundRect">
          <a:avLst/>
        </a:prstGeom>
        <a:solidFill>
          <a:schemeClr val="accent1"/>
        </a:solidFill>
        <a:ln>
          <a:beve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t>Copy  to DNS</a:t>
          </a:r>
        </a:p>
      </xdr:txBody>
    </xdr:sp>
    <xdr:clientData/>
  </xdr:twoCellAnchor>
  <xdr:twoCellAnchor>
    <xdr:from>
      <xdr:col>0</xdr:col>
      <xdr:colOff>1143000</xdr:colOff>
      <xdr:row>21</xdr:row>
      <xdr:rowOff>21166</xdr:rowOff>
    </xdr:from>
    <xdr:to>
      <xdr:col>0</xdr:col>
      <xdr:colOff>2324100</xdr:colOff>
      <xdr:row>21</xdr:row>
      <xdr:rowOff>179916</xdr:rowOff>
    </xdr:to>
    <xdr:sp macro="" textlink="">
      <xdr:nvSpPr>
        <xdr:cNvPr id="7" name="Rounded Rectangle 6">
          <a:hlinkClick xmlns:r="http://schemas.openxmlformats.org/officeDocument/2006/relationships" r:id="rId2"/>
          <a:extLst>
            <a:ext uri="{FF2B5EF4-FFF2-40B4-BE49-F238E27FC236}">
              <a16:creationId xmlns:a16="http://schemas.microsoft.com/office/drawing/2014/main" id="{00000000-0008-0000-1500-000007000000}"/>
            </a:ext>
          </a:extLst>
        </xdr:cNvPr>
        <xdr:cNvSpPr/>
      </xdr:nvSpPr>
      <xdr:spPr>
        <a:xfrm>
          <a:off x="1143000" y="3968749"/>
          <a:ext cx="1181100" cy="15875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100"/>
            <a:t>Host References</a:t>
          </a:r>
        </a:p>
      </xdr:txBody>
    </xdr:sp>
    <xdr:clientData/>
  </xdr:twoCellAnchor>
  <xdr:twoCellAnchor>
    <xdr:from>
      <xdr:col>0</xdr:col>
      <xdr:colOff>1153583</xdr:colOff>
      <xdr:row>23</xdr:row>
      <xdr:rowOff>10583</xdr:rowOff>
    </xdr:from>
    <xdr:to>
      <xdr:col>0</xdr:col>
      <xdr:colOff>2334683</xdr:colOff>
      <xdr:row>23</xdr:row>
      <xdr:rowOff>169333</xdr:rowOff>
    </xdr:to>
    <xdr:sp macro="" textlink="">
      <xdr:nvSpPr>
        <xdr:cNvPr id="8" name="Rounded Rectangle 7">
          <a:hlinkClick xmlns:r="http://schemas.openxmlformats.org/officeDocument/2006/relationships" r:id="rId2"/>
          <a:extLst>
            <a:ext uri="{FF2B5EF4-FFF2-40B4-BE49-F238E27FC236}">
              <a16:creationId xmlns:a16="http://schemas.microsoft.com/office/drawing/2014/main" id="{00000000-0008-0000-1500-000008000000}"/>
            </a:ext>
          </a:extLst>
        </xdr:cNvPr>
        <xdr:cNvSpPr/>
      </xdr:nvSpPr>
      <xdr:spPr>
        <a:xfrm>
          <a:off x="1153583" y="4339166"/>
          <a:ext cx="1181100" cy="15875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100"/>
            <a:t>Host References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32808</xdr:colOff>
      <xdr:row>0</xdr:row>
      <xdr:rowOff>66675</xdr:rowOff>
    </xdr:from>
    <xdr:to>
      <xdr:col>0</xdr:col>
      <xdr:colOff>528108</xdr:colOff>
      <xdr:row>0</xdr:row>
      <xdr:rowOff>419100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1600-000002000000}"/>
            </a:ext>
          </a:extLst>
        </xdr:cNvPr>
        <xdr:cNvSpPr>
          <a:spLocks noChangeArrowheads="1"/>
        </xdr:cNvSpPr>
      </xdr:nvSpPr>
      <xdr:spPr bwMode="auto">
        <a:xfrm>
          <a:off x="32808" y="66675"/>
          <a:ext cx="495300" cy="352425"/>
        </a:xfrm>
        <a:prstGeom prst="leftArrow">
          <a:avLst>
            <a:gd name="adj1" fmla="val 50000"/>
            <a:gd name="adj2" fmla="val 4062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editAs="oneCell">
        <xdr:from>
          <xdr:col>97</xdr:col>
          <xdr:colOff>0</xdr:colOff>
          <xdr:row>0</xdr:row>
          <xdr:rowOff>0</xdr:rowOff>
        </xdr:from>
        <xdr:to>
          <xdr:col>113</xdr:col>
          <xdr:colOff>466725</xdr:colOff>
          <xdr:row>27</xdr:row>
          <xdr:rowOff>114300</xdr:rowOff>
        </xdr:to>
        <xdr:sp macro="" textlink="">
          <xdr:nvSpPr>
            <xdr:cNvPr id="642049" name="Object 1" hidden="1">
              <a:extLst>
                <a:ext uri="{63B3BB69-23CF-44E3-9099-C40C66FF867C}">
                  <a14:compatExt spid="_x0000_s642049"/>
                </a:ext>
                <a:ext uri="{FF2B5EF4-FFF2-40B4-BE49-F238E27FC236}">
                  <a16:creationId xmlns:a16="http://schemas.microsoft.com/office/drawing/2014/main" id="{00000000-0008-0000-1600-000001CC09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110</xdr:col>
      <xdr:colOff>107421</xdr:colOff>
      <xdr:row>1</xdr:row>
      <xdr:rowOff>36243</xdr:rowOff>
    </xdr:from>
    <xdr:to>
      <xdr:col>112</xdr:col>
      <xdr:colOff>119063</xdr:colOff>
      <xdr:row>2</xdr:row>
      <xdr:rowOff>381260</xdr:rowOff>
    </xdr:to>
    <xdr:sp macro="" textlink="">
      <xdr:nvSpPr>
        <xdr:cNvPr id="4" name="Right Arrow 3">
          <a:hlinkClick xmlns:r="http://schemas.openxmlformats.org/officeDocument/2006/relationships" r:id="rId2"/>
          <a:extLst>
            <a:ext uri="{FF2B5EF4-FFF2-40B4-BE49-F238E27FC236}">
              <a16:creationId xmlns:a16="http://schemas.microsoft.com/office/drawing/2014/main" id="{00000000-0008-0000-1600-000004000000}"/>
            </a:ext>
          </a:extLst>
        </xdr:cNvPr>
        <xdr:cNvSpPr/>
      </xdr:nvSpPr>
      <xdr:spPr>
        <a:xfrm>
          <a:off x="87727896" y="502968"/>
          <a:ext cx="1230842" cy="516467"/>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624417</xdr:colOff>
      <xdr:row>0</xdr:row>
      <xdr:rowOff>0</xdr:rowOff>
    </xdr:from>
    <xdr:to>
      <xdr:col>0</xdr:col>
      <xdr:colOff>1629833</xdr:colOff>
      <xdr:row>1</xdr:row>
      <xdr:rowOff>105833</xdr:rowOff>
    </xdr:to>
    <xdr:sp macro="" textlink="">
      <xdr:nvSpPr>
        <xdr:cNvPr id="5" name="Right Arrow 4">
          <a:hlinkClick xmlns:r="http://schemas.openxmlformats.org/officeDocument/2006/relationships" r:id="rId3"/>
          <a:extLst>
            <a:ext uri="{FF2B5EF4-FFF2-40B4-BE49-F238E27FC236}">
              <a16:creationId xmlns:a16="http://schemas.microsoft.com/office/drawing/2014/main" id="{00000000-0008-0000-1600-000005000000}"/>
            </a:ext>
          </a:extLst>
        </xdr:cNvPr>
        <xdr:cNvSpPr/>
      </xdr:nvSpPr>
      <xdr:spPr>
        <a:xfrm>
          <a:off x="624417" y="0"/>
          <a:ext cx="1005416" cy="571500"/>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85725</xdr:colOff>
      <xdr:row>0</xdr:row>
      <xdr:rowOff>19050</xdr:rowOff>
    </xdr:from>
    <xdr:to>
      <xdr:col>1</xdr:col>
      <xdr:colOff>581025</xdr:colOff>
      <xdr:row>0</xdr:row>
      <xdr:rowOff>381000</xdr:rowOff>
    </xdr:to>
    <xdr:sp macro="" textlink="">
      <xdr:nvSpPr>
        <xdr:cNvPr id="45057" name="AutoShape 1">
          <a:hlinkClick xmlns:r="http://schemas.openxmlformats.org/officeDocument/2006/relationships" r:id="rId1"/>
          <a:extLst>
            <a:ext uri="{FF2B5EF4-FFF2-40B4-BE49-F238E27FC236}">
              <a16:creationId xmlns:a16="http://schemas.microsoft.com/office/drawing/2014/main" id="{00000000-0008-0000-1700-000001B00000}"/>
            </a:ext>
          </a:extLst>
        </xdr:cNvPr>
        <xdr:cNvSpPr>
          <a:spLocks noChangeArrowheads="1"/>
        </xdr:cNvSpPr>
      </xdr:nvSpPr>
      <xdr:spPr bwMode="auto">
        <a:xfrm>
          <a:off x="85725" y="19050"/>
          <a:ext cx="495300" cy="36195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3</xdr:col>
      <xdr:colOff>209550</xdr:colOff>
      <xdr:row>1</xdr:row>
      <xdr:rowOff>57150</xdr:rowOff>
    </xdr:from>
    <xdr:to>
      <xdr:col>4</xdr:col>
      <xdr:colOff>647700</xdr:colOff>
      <xdr:row>1</xdr:row>
      <xdr:rowOff>323850</xdr:rowOff>
    </xdr:to>
    <xdr:sp macro="" textlink="">
      <xdr:nvSpPr>
        <xdr:cNvPr id="2" name="Rounded Rectangle 1">
          <a:hlinkClick xmlns:r="http://schemas.openxmlformats.org/officeDocument/2006/relationships" r:id="rId2"/>
          <a:extLst>
            <a:ext uri="{FF2B5EF4-FFF2-40B4-BE49-F238E27FC236}">
              <a16:creationId xmlns:a16="http://schemas.microsoft.com/office/drawing/2014/main" id="{00000000-0008-0000-1700-000002000000}"/>
            </a:ext>
          </a:extLst>
        </xdr:cNvPr>
        <xdr:cNvSpPr/>
      </xdr:nvSpPr>
      <xdr:spPr>
        <a:xfrm>
          <a:off x="1400175" y="457200"/>
          <a:ext cx="1181100" cy="2667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Host References</a:t>
          </a:r>
        </a:p>
      </xdr:txBody>
    </xdr:sp>
    <xdr:clientData/>
  </xdr:twoCellAnchor>
  <xdr:twoCellAnchor editAs="oneCell">
    <xdr:from>
      <xdr:col>1</xdr:col>
      <xdr:colOff>790575</xdr:colOff>
      <xdr:row>0</xdr:row>
      <xdr:rowOff>19050</xdr:rowOff>
    </xdr:from>
    <xdr:to>
      <xdr:col>2</xdr:col>
      <xdr:colOff>790576</xdr:colOff>
      <xdr:row>0</xdr:row>
      <xdr:rowOff>364333</xdr:rowOff>
    </xdr:to>
    <xdr:sp macro="" textlink="">
      <xdr:nvSpPr>
        <xdr:cNvPr id="4" name="Right Arrow 3">
          <a:hlinkClick xmlns:r="http://schemas.openxmlformats.org/officeDocument/2006/relationships" r:id="rId3"/>
          <a:extLst>
            <a:ext uri="{FF2B5EF4-FFF2-40B4-BE49-F238E27FC236}">
              <a16:creationId xmlns:a16="http://schemas.microsoft.com/office/drawing/2014/main" id="{00000000-0008-0000-1700-000004000000}"/>
            </a:ext>
          </a:extLst>
        </xdr:cNvPr>
        <xdr:cNvSpPr/>
      </xdr:nvSpPr>
      <xdr:spPr>
        <a:xfrm>
          <a:off x="790575" y="19050"/>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107</xdr:col>
          <xdr:colOff>0</xdr:colOff>
          <xdr:row>0</xdr:row>
          <xdr:rowOff>0</xdr:rowOff>
        </xdr:from>
        <xdr:to>
          <xdr:col>123</xdr:col>
          <xdr:colOff>295275</xdr:colOff>
          <xdr:row>14</xdr:row>
          <xdr:rowOff>47625</xdr:rowOff>
        </xdr:to>
        <xdr:sp macro="" textlink="">
          <xdr:nvSpPr>
            <xdr:cNvPr id="46028" name="Object 972" hidden="1">
              <a:extLst>
                <a:ext uri="{63B3BB69-23CF-44E3-9099-C40C66FF867C}">
                  <a14:compatExt spid="_x0000_s46028"/>
                </a:ext>
                <a:ext uri="{FF2B5EF4-FFF2-40B4-BE49-F238E27FC236}">
                  <a16:creationId xmlns:a16="http://schemas.microsoft.com/office/drawing/2014/main" id="{00000000-0008-0000-1700-0000CCB3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121</xdr:col>
      <xdr:colOff>166688</xdr:colOff>
      <xdr:row>1</xdr:row>
      <xdr:rowOff>101860</xdr:rowOff>
    </xdr:from>
    <xdr:to>
      <xdr:col>123</xdr:col>
      <xdr:colOff>186797</xdr:colOff>
      <xdr:row>2</xdr:row>
      <xdr:rowOff>197110</xdr:rowOff>
    </xdr:to>
    <xdr:sp macro="" textlink="">
      <xdr:nvSpPr>
        <xdr:cNvPr id="6" name="Right Arrow 5">
          <a:hlinkClick xmlns:r="http://schemas.openxmlformats.org/officeDocument/2006/relationships" r:id="rId4"/>
          <a:extLst>
            <a:ext uri="{FF2B5EF4-FFF2-40B4-BE49-F238E27FC236}">
              <a16:creationId xmlns:a16="http://schemas.microsoft.com/office/drawing/2014/main" id="{00000000-0008-0000-1700-000006000000}"/>
            </a:ext>
          </a:extLst>
        </xdr:cNvPr>
        <xdr:cNvSpPr/>
      </xdr:nvSpPr>
      <xdr:spPr>
        <a:xfrm>
          <a:off x="80824388"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47624</xdr:colOff>
      <xdr:row>0</xdr:row>
      <xdr:rowOff>38100</xdr:rowOff>
    </xdr:from>
    <xdr:to>
      <xdr:col>0</xdr:col>
      <xdr:colOff>609599</xdr:colOff>
      <xdr:row>0</xdr:row>
      <xdr:rowOff>419100</xdr:rowOff>
    </xdr:to>
    <xdr:sp macro="" textlink="">
      <xdr:nvSpPr>
        <xdr:cNvPr id="46081" name="AutoShape 1">
          <a:hlinkClick xmlns:r="http://schemas.openxmlformats.org/officeDocument/2006/relationships" r:id="rId1"/>
          <a:extLst>
            <a:ext uri="{FF2B5EF4-FFF2-40B4-BE49-F238E27FC236}">
              <a16:creationId xmlns:a16="http://schemas.microsoft.com/office/drawing/2014/main" id="{00000000-0008-0000-1800-000001B40000}"/>
            </a:ext>
          </a:extLst>
        </xdr:cNvPr>
        <xdr:cNvSpPr>
          <a:spLocks noChangeArrowheads="1"/>
        </xdr:cNvSpPr>
      </xdr:nvSpPr>
      <xdr:spPr bwMode="auto">
        <a:xfrm>
          <a:off x="47624" y="38100"/>
          <a:ext cx="561975" cy="3810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0</xdr:col>
      <xdr:colOff>723899</xdr:colOff>
      <xdr:row>0</xdr:row>
      <xdr:rowOff>47625</xdr:rowOff>
    </xdr:from>
    <xdr:to>
      <xdr:col>1</xdr:col>
      <xdr:colOff>476249</xdr:colOff>
      <xdr:row>0</xdr:row>
      <xdr:rowOff>428625</xdr:rowOff>
    </xdr:to>
    <xdr:sp macro="" textlink="">
      <xdr:nvSpPr>
        <xdr:cNvPr id="5" name="AutoShape 1">
          <a:hlinkClick xmlns:r="http://schemas.openxmlformats.org/officeDocument/2006/relationships" r:id="rId2"/>
          <a:extLst>
            <a:ext uri="{FF2B5EF4-FFF2-40B4-BE49-F238E27FC236}">
              <a16:creationId xmlns:a16="http://schemas.microsoft.com/office/drawing/2014/main" id="{00000000-0008-0000-1800-000005000000}"/>
            </a:ext>
          </a:extLst>
        </xdr:cNvPr>
        <xdr:cNvSpPr>
          <a:spLocks noChangeArrowheads="1"/>
        </xdr:cNvSpPr>
      </xdr:nvSpPr>
      <xdr:spPr bwMode="auto">
        <a:xfrm>
          <a:off x="723899" y="47625"/>
          <a:ext cx="561975" cy="3810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VIPs</a:t>
          </a:r>
        </a:p>
      </xdr:txBody>
    </xdr:sp>
    <xdr:clientData/>
  </xdr:twoCellAnchor>
  <xdr:twoCellAnchor>
    <xdr:from>
      <xdr:col>1</xdr:col>
      <xdr:colOff>542925</xdr:colOff>
      <xdr:row>0</xdr:row>
      <xdr:rowOff>104775</xdr:rowOff>
    </xdr:from>
    <xdr:to>
      <xdr:col>1</xdr:col>
      <xdr:colOff>1724025</xdr:colOff>
      <xdr:row>0</xdr:row>
      <xdr:rowOff>371475</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1352550" y="104775"/>
          <a:ext cx="1181100" cy="2667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Host References</a:t>
          </a:r>
        </a:p>
      </xdr:txBody>
    </xdr:sp>
    <xdr:clientData/>
  </xdr:twoCellAnchor>
  <xdr:twoCellAnchor editAs="oneCell">
    <xdr:from>
      <xdr:col>3</xdr:col>
      <xdr:colOff>83288</xdr:colOff>
      <xdr:row>0</xdr:row>
      <xdr:rowOff>83342</xdr:rowOff>
    </xdr:from>
    <xdr:to>
      <xdr:col>4</xdr:col>
      <xdr:colOff>107101</xdr:colOff>
      <xdr:row>0</xdr:row>
      <xdr:rowOff>428625</xdr:rowOff>
    </xdr:to>
    <xdr:sp macro="" textlink="">
      <xdr:nvSpPr>
        <xdr:cNvPr id="6" name="Right Arrow 5">
          <a:hlinkClick xmlns:r="http://schemas.openxmlformats.org/officeDocument/2006/relationships" r:id="rId4"/>
          <a:extLst>
            <a:ext uri="{FF2B5EF4-FFF2-40B4-BE49-F238E27FC236}">
              <a16:creationId xmlns:a16="http://schemas.microsoft.com/office/drawing/2014/main" id="{00000000-0008-0000-1800-000006000000}"/>
            </a:ext>
          </a:extLst>
        </xdr:cNvPr>
        <xdr:cNvSpPr/>
      </xdr:nvSpPr>
      <xdr:spPr>
        <a:xfrm>
          <a:off x="2631226" y="83342"/>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103</xdr:col>
          <xdr:colOff>0</xdr:colOff>
          <xdr:row>0</xdr:row>
          <xdr:rowOff>0</xdr:rowOff>
        </xdr:from>
        <xdr:to>
          <xdr:col>119</xdr:col>
          <xdr:colOff>581025</xdr:colOff>
          <xdr:row>11</xdr:row>
          <xdr:rowOff>123825</xdr:rowOff>
        </xdr:to>
        <xdr:sp macro="" textlink="">
          <xdr:nvSpPr>
            <xdr:cNvPr id="46119" name="Object 39" hidden="1">
              <a:extLst>
                <a:ext uri="{63B3BB69-23CF-44E3-9099-C40C66FF867C}">
                  <a14:compatExt spid="_x0000_s46119"/>
                </a:ext>
                <a:ext uri="{FF2B5EF4-FFF2-40B4-BE49-F238E27FC236}">
                  <a16:creationId xmlns:a16="http://schemas.microsoft.com/office/drawing/2014/main" id="{00000000-0008-0000-1800-000027B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117</xdr:col>
      <xdr:colOff>200026</xdr:colOff>
      <xdr:row>0</xdr:row>
      <xdr:rowOff>501910</xdr:rowOff>
    </xdr:from>
    <xdr:to>
      <xdr:col>119</xdr:col>
      <xdr:colOff>224897</xdr:colOff>
      <xdr:row>2</xdr:row>
      <xdr:rowOff>75666</xdr:rowOff>
    </xdr:to>
    <xdr:sp macro="" textlink="">
      <xdr:nvSpPr>
        <xdr:cNvPr id="7" name="Right Arrow 6">
          <a:hlinkClick xmlns:r="http://schemas.openxmlformats.org/officeDocument/2006/relationships" r:id="rId5"/>
          <a:extLst>
            <a:ext uri="{FF2B5EF4-FFF2-40B4-BE49-F238E27FC236}">
              <a16:creationId xmlns:a16="http://schemas.microsoft.com/office/drawing/2014/main" id="{00000000-0008-0000-1800-000007000000}"/>
            </a:ext>
          </a:extLst>
        </xdr:cNvPr>
        <xdr:cNvSpPr/>
      </xdr:nvSpPr>
      <xdr:spPr>
        <a:xfrm>
          <a:off x="85734526"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47624</xdr:colOff>
      <xdr:row>0</xdr:row>
      <xdr:rowOff>38100</xdr:rowOff>
    </xdr:from>
    <xdr:to>
      <xdr:col>0</xdr:col>
      <xdr:colOff>609599</xdr:colOff>
      <xdr:row>0</xdr:row>
      <xdr:rowOff>419100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1900-000002000000}"/>
            </a:ext>
          </a:extLst>
        </xdr:cNvPr>
        <xdr:cNvSpPr>
          <a:spLocks noChangeArrowheads="1"/>
        </xdr:cNvSpPr>
      </xdr:nvSpPr>
      <xdr:spPr bwMode="auto">
        <a:xfrm>
          <a:off x="47624" y="38100"/>
          <a:ext cx="561975" cy="3810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0</xdr:col>
      <xdr:colOff>723899</xdr:colOff>
      <xdr:row>0</xdr:row>
      <xdr:rowOff>47625</xdr:rowOff>
    </xdr:from>
    <xdr:to>
      <xdr:col>0</xdr:col>
      <xdr:colOff>1238250</xdr:colOff>
      <xdr:row>1</xdr:row>
      <xdr:rowOff>0</xdr:rowOff>
    </xdr:to>
    <xdr:sp macro="" textlink="">
      <xdr:nvSpPr>
        <xdr:cNvPr id="3" name="AutoShape 1">
          <a:hlinkClick xmlns:r="http://schemas.openxmlformats.org/officeDocument/2006/relationships" r:id="rId2"/>
          <a:extLst>
            <a:ext uri="{FF2B5EF4-FFF2-40B4-BE49-F238E27FC236}">
              <a16:creationId xmlns:a16="http://schemas.microsoft.com/office/drawing/2014/main" id="{00000000-0008-0000-1900-000003000000}"/>
            </a:ext>
          </a:extLst>
        </xdr:cNvPr>
        <xdr:cNvSpPr>
          <a:spLocks noChangeArrowheads="1"/>
        </xdr:cNvSpPr>
      </xdr:nvSpPr>
      <xdr:spPr bwMode="auto">
        <a:xfrm>
          <a:off x="723899" y="47625"/>
          <a:ext cx="514351" cy="3429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VIPs</a:t>
          </a:r>
        </a:p>
      </xdr:txBody>
    </xdr:sp>
    <xdr:clientData/>
  </xdr:twoCellAnchor>
  <xdr:twoCellAnchor>
    <xdr:from>
      <xdr:col>1</xdr:col>
      <xdr:colOff>152401</xdr:colOff>
      <xdr:row>0</xdr:row>
      <xdr:rowOff>96038</xdr:rowOff>
    </xdr:from>
    <xdr:to>
      <xdr:col>1</xdr:col>
      <xdr:colOff>685801</xdr:colOff>
      <xdr:row>0</xdr:row>
      <xdr:rowOff>295275</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1900-000004000000}"/>
            </a:ext>
          </a:extLst>
        </xdr:cNvPr>
        <xdr:cNvSpPr/>
      </xdr:nvSpPr>
      <xdr:spPr>
        <a:xfrm>
          <a:off x="1495426" y="96038"/>
          <a:ext cx="533400" cy="199237"/>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l"/>
          <a:r>
            <a:rPr lang="en-US" sz="1100"/>
            <a:t>Host References</a:t>
          </a:r>
        </a:p>
      </xdr:txBody>
    </xdr:sp>
    <xdr:clientData/>
  </xdr:twoCellAnchor>
  <xdr:twoCellAnchor editAs="oneCell">
    <xdr:from>
      <xdr:col>1</xdr:col>
      <xdr:colOff>869155</xdr:colOff>
      <xdr:row>0</xdr:row>
      <xdr:rowOff>35718</xdr:rowOff>
    </xdr:from>
    <xdr:to>
      <xdr:col>2</xdr:col>
      <xdr:colOff>714375</xdr:colOff>
      <xdr:row>0</xdr:row>
      <xdr:rowOff>381001</xdr:rowOff>
    </xdr:to>
    <xdr:sp macro="" textlink="">
      <xdr:nvSpPr>
        <xdr:cNvPr id="5" name="Right Arrow 4">
          <a:hlinkClick xmlns:r="http://schemas.openxmlformats.org/officeDocument/2006/relationships" r:id="rId4"/>
          <a:extLst>
            <a:ext uri="{FF2B5EF4-FFF2-40B4-BE49-F238E27FC236}">
              <a16:creationId xmlns:a16="http://schemas.microsoft.com/office/drawing/2014/main" id="{00000000-0008-0000-1900-000005000000}"/>
            </a:ext>
          </a:extLst>
        </xdr:cNvPr>
        <xdr:cNvSpPr/>
      </xdr:nvSpPr>
      <xdr:spPr>
        <a:xfrm>
          <a:off x="2190749" y="35718"/>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106</xdr:col>
          <xdr:colOff>0</xdr:colOff>
          <xdr:row>0</xdr:row>
          <xdr:rowOff>0</xdr:rowOff>
        </xdr:from>
        <xdr:to>
          <xdr:col>123</xdr:col>
          <xdr:colOff>95250</xdr:colOff>
          <xdr:row>26</xdr:row>
          <xdr:rowOff>76200</xdr:rowOff>
        </xdr:to>
        <xdr:sp macro="" textlink="">
          <xdr:nvSpPr>
            <xdr:cNvPr id="322568" name="Object 8" hidden="1">
              <a:extLst>
                <a:ext uri="{63B3BB69-23CF-44E3-9099-C40C66FF867C}">
                  <a14:compatExt spid="_x0000_s322568"/>
                </a:ext>
                <a:ext uri="{FF2B5EF4-FFF2-40B4-BE49-F238E27FC236}">
                  <a16:creationId xmlns:a16="http://schemas.microsoft.com/office/drawing/2014/main" id="{00000000-0008-0000-1900-000008EC04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200026</xdr:colOff>
      <xdr:row>0</xdr:row>
      <xdr:rowOff>287604</xdr:rowOff>
    </xdr:from>
    <xdr:to>
      <xdr:col>122</xdr:col>
      <xdr:colOff>224897</xdr:colOff>
      <xdr:row>3</xdr:row>
      <xdr:rowOff>4234</xdr:rowOff>
    </xdr:to>
    <xdr:sp macro="" textlink="">
      <xdr:nvSpPr>
        <xdr:cNvPr id="7" name="Right Arrow 6">
          <a:hlinkClick xmlns:r="http://schemas.openxmlformats.org/officeDocument/2006/relationships" r:id="rId5"/>
          <a:extLst>
            <a:ext uri="{FF2B5EF4-FFF2-40B4-BE49-F238E27FC236}">
              <a16:creationId xmlns:a16="http://schemas.microsoft.com/office/drawing/2014/main" id="{00000000-0008-0000-1900-000007000000}"/>
            </a:ext>
          </a:extLst>
        </xdr:cNvPr>
        <xdr:cNvSpPr/>
      </xdr:nvSpPr>
      <xdr:spPr>
        <a:xfrm>
          <a:off x="82460307" y="287604"/>
          <a:ext cx="1239309" cy="514349"/>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66675</xdr:colOff>
      <xdr:row>0</xdr:row>
      <xdr:rowOff>0</xdr:rowOff>
    </xdr:from>
    <xdr:to>
      <xdr:col>0</xdr:col>
      <xdr:colOff>561975</xdr:colOff>
      <xdr:row>0</xdr:row>
      <xdr:rowOff>333375</xdr:rowOff>
    </xdr:to>
    <xdr:sp macro="" textlink="">
      <xdr:nvSpPr>
        <xdr:cNvPr id="3" name="AutoShape 1">
          <a:hlinkClick xmlns:r="http://schemas.openxmlformats.org/officeDocument/2006/relationships" r:id="rId1"/>
          <a:extLst>
            <a:ext uri="{FF2B5EF4-FFF2-40B4-BE49-F238E27FC236}">
              <a16:creationId xmlns:a16="http://schemas.microsoft.com/office/drawing/2014/main" id="{00000000-0008-0000-1A00-000003000000}"/>
            </a:ext>
          </a:extLst>
        </xdr:cNvPr>
        <xdr:cNvSpPr>
          <a:spLocks noChangeArrowheads="1"/>
        </xdr:cNvSpPr>
      </xdr:nvSpPr>
      <xdr:spPr bwMode="auto">
        <a:xfrm>
          <a:off x="66675" y="0"/>
          <a:ext cx="495300" cy="333375"/>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66675</xdr:colOff>
      <xdr:row>0</xdr:row>
      <xdr:rowOff>0</xdr:rowOff>
    </xdr:from>
    <xdr:to>
      <xdr:col>0</xdr:col>
      <xdr:colOff>561975</xdr:colOff>
      <xdr:row>0</xdr:row>
      <xdr:rowOff>361951</xdr:rowOff>
    </xdr:to>
    <xdr:sp macro="" textlink="">
      <xdr:nvSpPr>
        <xdr:cNvPr id="22530" name="AutoShape 2">
          <a:hlinkClick xmlns:r="http://schemas.openxmlformats.org/officeDocument/2006/relationships" r:id="rId1"/>
          <a:extLst>
            <a:ext uri="{FF2B5EF4-FFF2-40B4-BE49-F238E27FC236}">
              <a16:creationId xmlns:a16="http://schemas.microsoft.com/office/drawing/2014/main" id="{00000000-0008-0000-1B00-000002580000}"/>
            </a:ext>
          </a:extLst>
        </xdr:cNvPr>
        <xdr:cNvSpPr>
          <a:spLocks noChangeArrowheads="1"/>
        </xdr:cNvSpPr>
      </xdr:nvSpPr>
      <xdr:spPr bwMode="auto">
        <a:xfrm>
          <a:off x="66675" y="0"/>
          <a:ext cx="495300" cy="361951"/>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85725</xdr:colOff>
      <xdr:row>0</xdr:row>
      <xdr:rowOff>19050</xdr:rowOff>
    </xdr:from>
    <xdr:to>
      <xdr:col>0</xdr:col>
      <xdr:colOff>561975</xdr:colOff>
      <xdr:row>0</xdr:row>
      <xdr:rowOff>390526</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C00-000002000000}"/>
            </a:ext>
          </a:extLst>
        </xdr:cNvPr>
        <xdr:cNvSpPr>
          <a:spLocks noChangeArrowheads="1"/>
        </xdr:cNvSpPr>
      </xdr:nvSpPr>
      <xdr:spPr bwMode="auto">
        <a:xfrm>
          <a:off x="85725" y="19050"/>
          <a:ext cx="476250" cy="304801"/>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editAs="oneCell">
    <xdr:from>
      <xdr:col>0</xdr:col>
      <xdr:colOff>766208</xdr:colOff>
      <xdr:row>0</xdr:row>
      <xdr:rowOff>0</xdr:rowOff>
    </xdr:from>
    <xdr:to>
      <xdr:col>1</xdr:col>
      <xdr:colOff>542925</xdr:colOff>
      <xdr:row>0</xdr:row>
      <xdr:rowOff>447675</xdr:rowOff>
    </xdr:to>
    <xdr:sp macro="" textlink="">
      <xdr:nvSpPr>
        <xdr:cNvPr id="3" name="Right Arrow 2">
          <a:hlinkClick xmlns:r="http://schemas.openxmlformats.org/officeDocument/2006/relationships" r:id="rId2"/>
          <a:extLst>
            <a:ext uri="{FF2B5EF4-FFF2-40B4-BE49-F238E27FC236}">
              <a16:creationId xmlns:a16="http://schemas.microsoft.com/office/drawing/2014/main" id="{00000000-0008-0000-1C00-000003000000}"/>
            </a:ext>
          </a:extLst>
        </xdr:cNvPr>
        <xdr:cNvSpPr/>
      </xdr:nvSpPr>
      <xdr:spPr>
        <a:xfrm>
          <a:off x="766208" y="0"/>
          <a:ext cx="1072117" cy="447675"/>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708</xdr:col>
          <xdr:colOff>171450</xdr:colOff>
          <xdr:row>0</xdr:row>
          <xdr:rowOff>0</xdr:rowOff>
        </xdr:from>
        <xdr:to>
          <xdr:col>725</xdr:col>
          <xdr:colOff>238125</xdr:colOff>
          <xdr:row>14</xdr:row>
          <xdr:rowOff>0</xdr:rowOff>
        </xdr:to>
        <xdr:sp macro="" textlink="">
          <xdr:nvSpPr>
            <xdr:cNvPr id="606209" name="Object 1" hidden="1">
              <a:extLst>
                <a:ext uri="{63B3BB69-23CF-44E3-9099-C40C66FF867C}">
                  <a14:compatExt spid="_x0000_s606209"/>
                </a:ext>
                <a:ext uri="{FF2B5EF4-FFF2-40B4-BE49-F238E27FC236}">
                  <a16:creationId xmlns:a16="http://schemas.microsoft.com/office/drawing/2014/main" id="{00000000-0008-0000-1C00-0000014009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0</xdr:col>
      <xdr:colOff>85725</xdr:colOff>
      <xdr:row>0</xdr:row>
      <xdr:rowOff>19050</xdr:rowOff>
    </xdr:from>
    <xdr:to>
      <xdr:col>0</xdr:col>
      <xdr:colOff>561975</xdr:colOff>
      <xdr:row>0</xdr:row>
      <xdr:rowOff>390526</xdr:rowOff>
    </xdr:to>
    <xdr:sp macro="" textlink="">
      <xdr:nvSpPr>
        <xdr:cNvPr id="20483" name="AutoShape 3">
          <a:hlinkClick xmlns:r="http://schemas.openxmlformats.org/officeDocument/2006/relationships" r:id="rId1"/>
          <a:extLst>
            <a:ext uri="{FF2B5EF4-FFF2-40B4-BE49-F238E27FC236}">
              <a16:creationId xmlns:a16="http://schemas.microsoft.com/office/drawing/2014/main" id="{00000000-0008-0000-1D00-000003500000}"/>
            </a:ext>
          </a:extLst>
        </xdr:cNvPr>
        <xdr:cNvSpPr>
          <a:spLocks noChangeArrowheads="1"/>
        </xdr:cNvSpPr>
      </xdr:nvSpPr>
      <xdr:spPr bwMode="auto">
        <a:xfrm>
          <a:off x="85725" y="19050"/>
          <a:ext cx="476250" cy="371476"/>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editAs="oneCell">
    <xdr:from>
      <xdr:col>0</xdr:col>
      <xdr:colOff>804308</xdr:colOff>
      <xdr:row>0</xdr:row>
      <xdr:rowOff>52915</xdr:rowOff>
    </xdr:from>
    <xdr:to>
      <xdr:col>1</xdr:col>
      <xdr:colOff>513267</xdr:colOff>
      <xdr:row>0</xdr:row>
      <xdr:rowOff>398198</xdr:rowOff>
    </xdr:to>
    <xdr:sp macro="" textlink="">
      <xdr:nvSpPr>
        <xdr:cNvPr id="3" name="Right Arrow 2">
          <a:hlinkClick xmlns:r="http://schemas.openxmlformats.org/officeDocument/2006/relationships" r:id="rId2"/>
          <a:extLst>
            <a:ext uri="{FF2B5EF4-FFF2-40B4-BE49-F238E27FC236}">
              <a16:creationId xmlns:a16="http://schemas.microsoft.com/office/drawing/2014/main" id="{00000000-0008-0000-1D00-000003000000}"/>
            </a:ext>
          </a:extLst>
        </xdr:cNvPr>
        <xdr:cNvSpPr/>
      </xdr:nvSpPr>
      <xdr:spPr>
        <a:xfrm>
          <a:off x="804308" y="52915"/>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106</xdr:col>
          <xdr:colOff>0</xdr:colOff>
          <xdr:row>0</xdr:row>
          <xdr:rowOff>0</xdr:rowOff>
        </xdr:from>
        <xdr:to>
          <xdr:col>123</xdr:col>
          <xdr:colOff>85725</xdr:colOff>
          <xdr:row>29</xdr:row>
          <xdr:rowOff>66675</xdr:rowOff>
        </xdr:to>
        <xdr:sp macro="" textlink="">
          <xdr:nvSpPr>
            <xdr:cNvPr id="110612" name="Object 20" hidden="1">
              <a:extLst>
                <a:ext uri="{63B3BB69-23CF-44E3-9099-C40C66FF867C}">
                  <a14:compatExt spid="_x0000_s110612"/>
                </a:ext>
                <a:ext uri="{FF2B5EF4-FFF2-40B4-BE49-F238E27FC236}">
                  <a16:creationId xmlns:a16="http://schemas.microsoft.com/office/drawing/2014/main" id="{00000000-0008-0000-1D00-000014B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120</xdr:col>
      <xdr:colOff>107422</xdr:colOff>
      <xdr:row>1</xdr:row>
      <xdr:rowOff>67993</xdr:rowOff>
    </xdr:from>
    <xdr:to>
      <xdr:col>122</xdr:col>
      <xdr:colOff>119064</xdr:colOff>
      <xdr:row>3</xdr:row>
      <xdr:rowOff>180177</xdr:rowOff>
    </xdr:to>
    <xdr:sp macro="" textlink="">
      <xdr:nvSpPr>
        <xdr:cNvPr id="5" name="Right Arrow 4">
          <a:hlinkClick xmlns:r="http://schemas.openxmlformats.org/officeDocument/2006/relationships" r:id="rId3"/>
          <a:extLst>
            <a:ext uri="{FF2B5EF4-FFF2-40B4-BE49-F238E27FC236}">
              <a16:creationId xmlns:a16="http://schemas.microsoft.com/office/drawing/2014/main" id="{00000000-0008-0000-1D00-000005000000}"/>
            </a:ext>
          </a:extLst>
        </xdr:cNvPr>
        <xdr:cNvSpPr/>
      </xdr:nvSpPr>
      <xdr:spPr>
        <a:xfrm>
          <a:off x="84541255"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66675</xdr:colOff>
      <xdr:row>1</xdr:row>
      <xdr:rowOff>28575</xdr:rowOff>
    </xdr:from>
    <xdr:to>
      <xdr:col>0</xdr:col>
      <xdr:colOff>561975</xdr:colOff>
      <xdr:row>1</xdr:row>
      <xdr:rowOff>381000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1E00-000002000000}"/>
            </a:ext>
          </a:extLst>
        </xdr:cNvPr>
        <xdr:cNvSpPr>
          <a:spLocks noChangeArrowheads="1"/>
        </xdr:cNvSpPr>
      </xdr:nvSpPr>
      <xdr:spPr bwMode="auto">
        <a:xfrm>
          <a:off x="66675" y="28575"/>
          <a:ext cx="495300" cy="342900"/>
        </a:xfrm>
        <a:prstGeom prst="leftArrow">
          <a:avLst>
            <a:gd name="adj1" fmla="val 50000"/>
            <a:gd name="adj2" fmla="val 4062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editAs="oneCell">
    <xdr:from>
      <xdr:col>0</xdr:col>
      <xdr:colOff>730227</xdr:colOff>
      <xdr:row>1</xdr:row>
      <xdr:rowOff>42332</xdr:rowOff>
    </xdr:from>
    <xdr:to>
      <xdr:col>1</xdr:col>
      <xdr:colOff>470936</xdr:colOff>
      <xdr:row>1</xdr:row>
      <xdr:rowOff>387615</xdr:rowOff>
    </xdr:to>
    <xdr:sp macro="" textlink="">
      <xdr:nvSpPr>
        <xdr:cNvPr id="3" name="Right Arrow 2">
          <a:hlinkClick xmlns:r="http://schemas.openxmlformats.org/officeDocument/2006/relationships" r:id="rId2"/>
          <a:extLst>
            <a:ext uri="{FF2B5EF4-FFF2-40B4-BE49-F238E27FC236}">
              <a16:creationId xmlns:a16="http://schemas.microsoft.com/office/drawing/2014/main" id="{00000000-0008-0000-1E00-000003000000}"/>
            </a:ext>
          </a:extLst>
        </xdr:cNvPr>
        <xdr:cNvSpPr/>
      </xdr:nvSpPr>
      <xdr:spPr>
        <a:xfrm>
          <a:off x="730227" y="42332"/>
          <a:ext cx="1190626" cy="345283"/>
        </a:xfrm>
        <a:prstGeom prst="rightArrow">
          <a:avLst/>
        </a:prstGeom>
        <a:solidFill>
          <a:srgbClr val="4F81BD"/>
        </a:solidFill>
        <a:ln w="25400" cap="flat" cmpd="sng" algn="ctr">
          <a:solidFill>
            <a:srgbClr val="4F81BD">
              <a:shade val="50000"/>
            </a:srgbClr>
          </a:solid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a:ea typeface="+mn-ea"/>
              <a:cs typeface="+mn-cs"/>
            </a:rPr>
            <a:t>About this Tab</a:t>
          </a:r>
        </a:p>
      </xdr:txBody>
    </xdr:sp>
    <xdr:clientData/>
  </xdr:twoCellAnchor>
  <mc:AlternateContent xmlns:mc="http://schemas.openxmlformats.org/markup-compatibility/2006">
    <mc:Choice xmlns:a14="http://schemas.microsoft.com/office/drawing/2010/main" Requires="a14">
      <xdr:twoCellAnchor editAs="oneCell">
        <xdr:from>
          <xdr:col>105</xdr:col>
          <xdr:colOff>0</xdr:colOff>
          <xdr:row>1</xdr:row>
          <xdr:rowOff>0</xdr:rowOff>
        </xdr:from>
        <xdr:to>
          <xdr:col>122</xdr:col>
          <xdr:colOff>85725</xdr:colOff>
          <xdr:row>131</xdr:row>
          <xdr:rowOff>38100</xdr:rowOff>
        </xdr:to>
        <xdr:sp macro="" textlink="">
          <xdr:nvSpPr>
            <xdr:cNvPr id="443405" name="Object 13" hidden="1">
              <a:extLst>
                <a:ext uri="{63B3BB69-23CF-44E3-9099-C40C66FF867C}">
                  <a14:compatExt spid="_x0000_s443405"/>
                </a:ext>
                <a:ext uri="{FF2B5EF4-FFF2-40B4-BE49-F238E27FC236}">
                  <a16:creationId xmlns:a16="http://schemas.microsoft.com/office/drawing/2014/main" id="{00000000-0008-0000-1E00-00000DC406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119</xdr:col>
      <xdr:colOff>107422</xdr:colOff>
      <xdr:row>2</xdr:row>
      <xdr:rowOff>99743</xdr:rowOff>
    </xdr:from>
    <xdr:to>
      <xdr:col>121</xdr:col>
      <xdr:colOff>119064</xdr:colOff>
      <xdr:row>4</xdr:row>
      <xdr:rowOff>190760</xdr:rowOff>
    </xdr:to>
    <xdr:sp macro="" textlink="">
      <xdr:nvSpPr>
        <xdr:cNvPr id="5" name="Right Arrow 4">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84763505" y="501910"/>
          <a:ext cx="1239309" cy="514350"/>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xdr:from>
      <xdr:col>2</xdr:col>
      <xdr:colOff>603250</xdr:colOff>
      <xdr:row>7</xdr:row>
      <xdr:rowOff>74084</xdr:rowOff>
    </xdr:from>
    <xdr:to>
      <xdr:col>2</xdr:col>
      <xdr:colOff>1566333</xdr:colOff>
      <xdr:row>8</xdr:row>
      <xdr:rowOff>137584</xdr:rowOff>
    </xdr:to>
    <xdr:sp macro="[0]!SplitC" textlink="">
      <xdr:nvSpPr>
        <xdr:cNvPr id="4" name="Rectangle 3">
          <a:extLst>
            <a:ext uri="{FF2B5EF4-FFF2-40B4-BE49-F238E27FC236}">
              <a16:creationId xmlns:a16="http://schemas.microsoft.com/office/drawing/2014/main" id="{00000000-0008-0000-1E00-000004000000}"/>
            </a:ext>
          </a:extLst>
        </xdr:cNvPr>
        <xdr:cNvSpPr/>
      </xdr:nvSpPr>
      <xdr:spPr>
        <a:xfrm>
          <a:off x="4243917" y="1545167"/>
          <a:ext cx="963083" cy="285750"/>
        </a:xfrm>
        <a:prstGeom prst="rect">
          <a:avLst/>
        </a:prstGeom>
        <a:solidFill>
          <a:schemeClr val="bg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SPLIT ROW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66675</xdr:colOff>
      <xdr:row>0</xdr:row>
      <xdr:rowOff>28575</xdr:rowOff>
    </xdr:from>
    <xdr:to>
      <xdr:col>0</xdr:col>
      <xdr:colOff>561975</xdr:colOff>
      <xdr:row>0</xdr:row>
      <xdr:rowOff>381000</xdr:rowOff>
    </xdr:to>
    <xdr:sp macro="" textlink="">
      <xdr:nvSpPr>
        <xdr:cNvPr id="6" name="AutoShape 1">
          <a:hlinkClick xmlns:r="http://schemas.openxmlformats.org/officeDocument/2006/relationships" r:id="rId1"/>
          <a:extLst>
            <a:ext uri="{FF2B5EF4-FFF2-40B4-BE49-F238E27FC236}">
              <a16:creationId xmlns:a16="http://schemas.microsoft.com/office/drawing/2014/main" id="{00000000-0008-0000-1F00-000006000000}"/>
            </a:ext>
          </a:extLst>
        </xdr:cNvPr>
        <xdr:cNvSpPr>
          <a:spLocks noChangeArrowheads="1"/>
        </xdr:cNvSpPr>
      </xdr:nvSpPr>
      <xdr:spPr bwMode="auto">
        <a:xfrm>
          <a:off x="66675" y="28575"/>
          <a:ext cx="495300" cy="323850"/>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0</xdr:col>
      <xdr:colOff>66675</xdr:colOff>
      <xdr:row>0</xdr:row>
      <xdr:rowOff>28575</xdr:rowOff>
    </xdr:from>
    <xdr:to>
      <xdr:col>0</xdr:col>
      <xdr:colOff>561975</xdr:colOff>
      <xdr:row>0</xdr:row>
      <xdr:rowOff>381000</xdr:rowOff>
    </xdr:to>
    <xdr:sp macro="" textlink="">
      <xdr:nvSpPr>
        <xdr:cNvPr id="4" name="AutoShape 1">
          <a:hlinkClick xmlns:r="http://schemas.openxmlformats.org/officeDocument/2006/relationships" r:id="rId1"/>
          <a:extLst>
            <a:ext uri="{FF2B5EF4-FFF2-40B4-BE49-F238E27FC236}">
              <a16:creationId xmlns:a16="http://schemas.microsoft.com/office/drawing/2014/main" id="{00000000-0008-0000-1F00-000004000000}"/>
            </a:ext>
          </a:extLst>
        </xdr:cNvPr>
        <xdr:cNvSpPr>
          <a:spLocks noChangeArrowheads="1"/>
        </xdr:cNvSpPr>
      </xdr:nvSpPr>
      <xdr:spPr bwMode="auto">
        <a:xfrm>
          <a:off x="66675" y="28575"/>
          <a:ext cx="495300" cy="323850"/>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mc:AlternateContent xmlns:mc="http://schemas.openxmlformats.org/markup-compatibility/2006">
    <mc:Choice xmlns:a14="http://schemas.microsoft.com/office/drawing/2010/main" Requires="a14">
      <xdr:twoCellAnchor editAs="oneCell">
        <xdr:from>
          <xdr:col>106</xdr:col>
          <xdr:colOff>0</xdr:colOff>
          <xdr:row>0</xdr:row>
          <xdr:rowOff>85725</xdr:rowOff>
        </xdr:from>
        <xdr:to>
          <xdr:col>123</xdr:col>
          <xdr:colOff>190500</xdr:colOff>
          <xdr:row>16</xdr:row>
          <xdr:rowOff>161925</xdr:rowOff>
        </xdr:to>
        <xdr:sp macro="" textlink="">
          <xdr:nvSpPr>
            <xdr:cNvPr id="414727" name="Object 7" hidden="1">
              <a:extLst>
                <a:ext uri="{63B3BB69-23CF-44E3-9099-C40C66FF867C}">
                  <a14:compatExt spid="_x0000_s414727"/>
                </a:ext>
                <a:ext uri="{FF2B5EF4-FFF2-40B4-BE49-F238E27FC236}">
                  <a16:creationId xmlns:a16="http://schemas.microsoft.com/office/drawing/2014/main" id="{00000000-0008-0000-1F00-0000075406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119</xdr:col>
      <xdr:colOff>164572</xdr:colOff>
      <xdr:row>2</xdr:row>
      <xdr:rowOff>197115</xdr:rowOff>
    </xdr:from>
    <xdr:to>
      <xdr:col>121</xdr:col>
      <xdr:colOff>193147</xdr:colOff>
      <xdr:row>5</xdr:row>
      <xdr:rowOff>120915</xdr:rowOff>
    </xdr:to>
    <xdr:sp macro="" textlink="">
      <xdr:nvSpPr>
        <xdr:cNvPr id="5" name="Right Arrow 4">
          <a:hlinkClick xmlns:r="http://schemas.openxmlformats.org/officeDocument/2006/relationships" r:id="rId2"/>
          <a:extLst>
            <a:ext uri="{FF2B5EF4-FFF2-40B4-BE49-F238E27FC236}">
              <a16:creationId xmlns:a16="http://schemas.microsoft.com/office/drawing/2014/main" id="{00000000-0008-0000-1F00-000005000000}"/>
            </a:ext>
          </a:extLst>
        </xdr:cNvPr>
        <xdr:cNvSpPr/>
      </xdr:nvSpPr>
      <xdr:spPr>
        <a:xfrm>
          <a:off x="75735922" y="882915"/>
          <a:ext cx="1247775" cy="504825"/>
        </a:xfrm>
        <a:prstGeom prst="rightArrow">
          <a:avLst/>
        </a:prstGeom>
        <a:scene3d>
          <a:camera prst="orthographicFront">
            <a:rot lat="0" lon="0" rev="10799999"/>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flatTx/>
        </a:bodyPr>
        <a:lstStyle/>
        <a:p>
          <a:pPr algn="ctr"/>
          <a:r>
            <a:rPr lang="en-US" sz="1800"/>
            <a:t>Back</a:t>
          </a:r>
        </a:p>
      </xdr:txBody>
    </xdr:sp>
    <xdr:clientData/>
  </xdr:twoCellAnchor>
  <xdr:twoCellAnchor editAs="oneCell">
    <xdr:from>
      <xdr:col>0</xdr:col>
      <xdr:colOff>771525</xdr:colOff>
      <xdr:row>0</xdr:row>
      <xdr:rowOff>47625</xdr:rowOff>
    </xdr:from>
    <xdr:to>
      <xdr:col>1</xdr:col>
      <xdr:colOff>781050</xdr:colOff>
      <xdr:row>0</xdr:row>
      <xdr:rowOff>373858</xdr:rowOff>
    </xdr:to>
    <xdr:sp macro="" textlink="">
      <xdr:nvSpPr>
        <xdr:cNvPr id="7" name="Right Arrow 6">
          <a:hlinkClick xmlns:r="http://schemas.openxmlformats.org/officeDocument/2006/relationships" r:id="rId3"/>
          <a:extLst>
            <a:ext uri="{FF2B5EF4-FFF2-40B4-BE49-F238E27FC236}">
              <a16:creationId xmlns:a16="http://schemas.microsoft.com/office/drawing/2014/main" id="{00000000-0008-0000-1F00-000007000000}"/>
            </a:ext>
          </a:extLst>
        </xdr:cNvPr>
        <xdr:cNvSpPr/>
      </xdr:nvSpPr>
      <xdr:spPr>
        <a:xfrm>
          <a:off x="771525" y="47625"/>
          <a:ext cx="990600" cy="32623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a:t>About</a:t>
          </a:r>
          <a:r>
            <a:rPr lang="en-US" sz="900" baseline="0"/>
            <a:t> this Tab</a:t>
          </a:r>
          <a:endParaRPr lang="en-US" sz="9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66675</xdr:colOff>
      <xdr:row>0</xdr:row>
      <xdr:rowOff>28575</xdr:rowOff>
    </xdr:from>
    <xdr:to>
      <xdr:col>0</xdr:col>
      <xdr:colOff>561975</xdr:colOff>
      <xdr:row>0</xdr:row>
      <xdr:rowOff>381000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2000-000002000000}"/>
            </a:ext>
          </a:extLst>
        </xdr:cNvPr>
        <xdr:cNvSpPr>
          <a:spLocks noChangeArrowheads="1"/>
        </xdr:cNvSpPr>
      </xdr:nvSpPr>
      <xdr:spPr bwMode="auto">
        <a:xfrm>
          <a:off x="66675" y="28575"/>
          <a:ext cx="495300" cy="323850"/>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85724</xdr:colOff>
      <xdr:row>0</xdr:row>
      <xdr:rowOff>0</xdr:rowOff>
    </xdr:from>
    <xdr:to>
      <xdr:col>0</xdr:col>
      <xdr:colOff>590549</xdr:colOff>
      <xdr:row>1</xdr:row>
      <xdr:rowOff>28575</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2100-000002000000}"/>
            </a:ext>
          </a:extLst>
        </xdr:cNvPr>
        <xdr:cNvSpPr>
          <a:spLocks noChangeArrowheads="1"/>
        </xdr:cNvSpPr>
      </xdr:nvSpPr>
      <xdr:spPr bwMode="auto">
        <a:xfrm>
          <a:off x="85724" y="0"/>
          <a:ext cx="504825" cy="314325"/>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ctr"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95250</xdr:colOff>
      <xdr:row>0</xdr:row>
      <xdr:rowOff>0</xdr:rowOff>
    </xdr:from>
    <xdr:to>
      <xdr:col>0</xdr:col>
      <xdr:colOff>628650</xdr:colOff>
      <xdr:row>1</xdr:row>
      <xdr:rowOff>28575</xdr:rowOff>
    </xdr:to>
    <xdr:sp macro="" textlink="">
      <xdr:nvSpPr>
        <xdr:cNvPr id="3" name="AutoShape 1">
          <a:hlinkClick xmlns:r="http://schemas.openxmlformats.org/officeDocument/2006/relationships" r:id="rId1"/>
          <a:extLst>
            <a:ext uri="{FF2B5EF4-FFF2-40B4-BE49-F238E27FC236}">
              <a16:creationId xmlns:a16="http://schemas.microsoft.com/office/drawing/2014/main" id="{00000000-0008-0000-2200-000003000000}"/>
            </a:ext>
          </a:extLst>
        </xdr:cNvPr>
        <xdr:cNvSpPr>
          <a:spLocks noChangeArrowheads="1"/>
        </xdr:cNvSpPr>
      </xdr:nvSpPr>
      <xdr:spPr bwMode="auto">
        <a:xfrm>
          <a:off x="95250" y="0"/>
          <a:ext cx="533400" cy="323850"/>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ctr" upright="1"/>
        <a:lstStyle/>
        <a:p>
          <a:pPr algn="ctr" rtl="0">
            <a:defRPr sz="1000"/>
          </a:pPr>
          <a:r>
            <a:rPr lang="en-US" sz="1000" b="0" i="0" u="none" strike="noStrike" baseline="0">
              <a:solidFill>
                <a:srgbClr val="000000"/>
              </a:solidFill>
              <a:latin typeface="Arial"/>
              <a:cs typeface="Arial"/>
            </a:rPr>
            <a:t>T.O.C.</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77257</xdr:colOff>
      <xdr:row>0</xdr:row>
      <xdr:rowOff>0</xdr:rowOff>
    </xdr:from>
    <xdr:to>
      <xdr:col>0</xdr:col>
      <xdr:colOff>620182</xdr:colOff>
      <xdr:row>1</xdr:row>
      <xdr:rowOff>38100</xdr:rowOff>
    </xdr:to>
    <xdr:sp macro="" textlink="">
      <xdr:nvSpPr>
        <xdr:cNvPr id="4" name="AutoShape 1">
          <a:hlinkClick xmlns:r="http://schemas.openxmlformats.org/officeDocument/2006/relationships" r:id="rId1"/>
          <a:extLst>
            <a:ext uri="{FF2B5EF4-FFF2-40B4-BE49-F238E27FC236}">
              <a16:creationId xmlns:a16="http://schemas.microsoft.com/office/drawing/2014/main" id="{00000000-0008-0000-2300-000004000000}"/>
            </a:ext>
          </a:extLst>
        </xdr:cNvPr>
        <xdr:cNvSpPr>
          <a:spLocks noChangeArrowheads="1"/>
        </xdr:cNvSpPr>
      </xdr:nvSpPr>
      <xdr:spPr bwMode="auto">
        <a:xfrm>
          <a:off x="77257" y="0"/>
          <a:ext cx="542925" cy="334433"/>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ctr" upright="1"/>
        <a:lstStyle/>
        <a:p>
          <a:pPr algn="ctr" rtl="0">
            <a:defRPr sz="1000"/>
          </a:pPr>
          <a:r>
            <a:rPr lang="en-US" sz="1000" b="0" i="0" u="none" strike="noStrike" baseline="0">
              <a:solidFill>
                <a:srgbClr val="000000"/>
              </a:solidFill>
              <a:latin typeface="Arial"/>
              <a:cs typeface="Arial"/>
            </a:rPr>
            <a:t>T.O.C.</a:t>
          </a:r>
        </a:p>
      </xdr:txBody>
    </xdr:sp>
    <xdr:clientData/>
  </xdr:twoCellAnchor>
  <xdr:oneCellAnchor>
    <xdr:from>
      <xdr:col>11</xdr:col>
      <xdr:colOff>264583</xdr:colOff>
      <xdr:row>6</xdr:row>
      <xdr:rowOff>201084</xdr:rowOff>
    </xdr:from>
    <xdr:ext cx="3619500" cy="1608666"/>
    <xdr:sp macro="" textlink="">
      <xdr:nvSpPr>
        <xdr:cNvPr id="5" name="TextBox 4">
          <a:extLst>
            <a:ext uri="{FF2B5EF4-FFF2-40B4-BE49-F238E27FC236}">
              <a16:creationId xmlns:a16="http://schemas.microsoft.com/office/drawing/2014/main" id="{00000000-0008-0000-2300-000005000000}"/>
            </a:ext>
          </a:extLst>
        </xdr:cNvPr>
        <xdr:cNvSpPr txBox="1"/>
      </xdr:nvSpPr>
      <xdr:spPr>
        <a:xfrm>
          <a:off x="10011833" y="1979084"/>
          <a:ext cx="3619500" cy="160866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Note to Steve...</a:t>
          </a:r>
        </a:p>
        <a:p>
          <a:endParaRPr lang="en-US" sz="1100"/>
        </a:p>
        <a:p>
          <a:r>
            <a:rPr lang="en-US" sz="1100"/>
            <a:t>Rows</a:t>
          </a:r>
          <a:r>
            <a:rPr lang="en-US" sz="1100" baseline="0"/>
            <a:t> 10-16 (except #13) autopopulate from other tabs. This is what the WLM folks need to set up their definition. The environment entered on the LBOM needs to be translated to the MF's Test/Cycle/L&amp;P or Prodequivalent </a:t>
          </a:r>
          <a:r>
            <a:rPr lang="en-US" sz="1100" b="1" baseline="0">
              <a:solidFill>
                <a:srgbClr val="FF0000"/>
              </a:solidFill>
            </a:rPr>
            <a:t>(L&amp;P is the same on both sides????)</a:t>
          </a:r>
        </a:p>
        <a:p>
          <a:r>
            <a:rPr lang="en-US" sz="1100" b="1" i="1" baseline="0">
              <a:solidFill>
                <a:srgbClr val="FF0000"/>
              </a:solidFill>
            </a:rPr>
            <a:t>L&amp;P = Cycle (higher capacity)  named L&amp;P</a:t>
          </a:r>
        </a:p>
      </xdr:txBody>
    </xdr:sp>
    <xdr:clientData/>
  </xdr:oneCellAnchor>
</xdr:wsDr>
</file>

<file path=xl/drawings/drawing37.xml><?xml version="1.0" encoding="utf-8"?>
<xdr:wsDr xmlns:xdr="http://schemas.openxmlformats.org/drawingml/2006/spreadsheetDrawing" xmlns:a="http://schemas.openxmlformats.org/drawingml/2006/main">
  <xdr:twoCellAnchor>
    <xdr:from>
      <xdr:col>0</xdr:col>
      <xdr:colOff>66675</xdr:colOff>
      <xdr:row>0</xdr:row>
      <xdr:rowOff>28575</xdr:rowOff>
    </xdr:from>
    <xdr:to>
      <xdr:col>0</xdr:col>
      <xdr:colOff>561975</xdr:colOff>
      <xdr:row>0</xdr:row>
      <xdr:rowOff>381000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2400-000002000000}"/>
            </a:ext>
          </a:extLst>
        </xdr:cNvPr>
        <xdr:cNvSpPr>
          <a:spLocks noChangeArrowheads="1"/>
        </xdr:cNvSpPr>
      </xdr:nvSpPr>
      <xdr:spPr bwMode="auto">
        <a:xfrm>
          <a:off x="66675" y="28575"/>
          <a:ext cx="495300" cy="323850"/>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66675</xdr:colOff>
      <xdr:row>0</xdr:row>
      <xdr:rowOff>0</xdr:rowOff>
    </xdr:from>
    <xdr:to>
      <xdr:col>0</xdr:col>
      <xdr:colOff>542925</xdr:colOff>
      <xdr:row>1</xdr:row>
      <xdr:rowOff>28575</xdr:rowOff>
    </xdr:to>
    <xdr:sp macro="" textlink="">
      <xdr:nvSpPr>
        <xdr:cNvPr id="3" name="AutoShape 1">
          <a:hlinkClick xmlns:r="http://schemas.openxmlformats.org/officeDocument/2006/relationships" r:id="rId1"/>
          <a:extLst>
            <a:ext uri="{FF2B5EF4-FFF2-40B4-BE49-F238E27FC236}">
              <a16:creationId xmlns:a16="http://schemas.microsoft.com/office/drawing/2014/main" id="{00000000-0008-0000-2500-000003000000}"/>
            </a:ext>
          </a:extLst>
        </xdr:cNvPr>
        <xdr:cNvSpPr>
          <a:spLocks noChangeArrowheads="1"/>
        </xdr:cNvSpPr>
      </xdr:nvSpPr>
      <xdr:spPr bwMode="auto">
        <a:xfrm>
          <a:off x="66675" y="0"/>
          <a:ext cx="476250" cy="323850"/>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66675</xdr:colOff>
      <xdr:row>0</xdr:row>
      <xdr:rowOff>28575</xdr:rowOff>
    </xdr:from>
    <xdr:to>
      <xdr:col>0</xdr:col>
      <xdr:colOff>561975</xdr:colOff>
      <xdr:row>0</xdr:row>
      <xdr:rowOff>381000</xdr:rowOff>
    </xdr:to>
    <xdr:sp macro="" textlink="">
      <xdr:nvSpPr>
        <xdr:cNvPr id="3" name="AutoShape 1">
          <a:hlinkClick xmlns:r="http://schemas.openxmlformats.org/officeDocument/2006/relationships" r:id="rId1"/>
          <a:extLst>
            <a:ext uri="{FF2B5EF4-FFF2-40B4-BE49-F238E27FC236}">
              <a16:creationId xmlns:a16="http://schemas.microsoft.com/office/drawing/2014/main" id="{00000000-0008-0000-2600-000003000000}"/>
            </a:ext>
          </a:extLst>
        </xdr:cNvPr>
        <xdr:cNvSpPr>
          <a:spLocks noChangeArrowheads="1"/>
        </xdr:cNvSpPr>
      </xdr:nvSpPr>
      <xdr:spPr bwMode="auto">
        <a:xfrm>
          <a:off x="66675" y="28575"/>
          <a:ext cx="495300" cy="352425"/>
        </a:xfrm>
        <a:prstGeom prst="leftArrow">
          <a:avLst>
            <a:gd name="adj1" fmla="val 50000"/>
            <a:gd name="adj2" fmla="val 35135"/>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85724</xdr:colOff>
      <xdr:row>0</xdr:row>
      <xdr:rowOff>19050</xdr:rowOff>
    </xdr:from>
    <xdr:to>
      <xdr:col>0</xdr:col>
      <xdr:colOff>590549</xdr:colOff>
      <xdr:row>0</xdr:row>
      <xdr:rowOff>361950</xdr:rowOff>
    </xdr:to>
    <xdr:sp macro="" textlink="">
      <xdr:nvSpPr>
        <xdr:cNvPr id="44033" name="AutoShape 1">
          <a:hlinkClick xmlns:r="http://schemas.openxmlformats.org/officeDocument/2006/relationships" r:id="rId1"/>
          <a:extLst>
            <a:ext uri="{FF2B5EF4-FFF2-40B4-BE49-F238E27FC236}">
              <a16:creationId xmlns:a16="http://schemas.microsoft.com/office/drawing/2014/main" id="{00000000-0008-0000-2700-000001AC0000}"/>
            </a:ext>
          </a:extLst>
        </xdr:cNvPr>
        <xdr:cNvSpPr>
          <a:spLocks noChangeArrowheads="1"/>
        </xdr:cNvSpPr>
      </xdr:nvSpPr>
      <xdr:spPr bwMode="auto">
        <a:xfrm>
          <a:off x="85724" y="19050"/>
          <a:ext cx="504825" cy="3429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495301</xdr:colOff>
      <xdr:row>0</xdr:row>
      <xdr:rowOff>381000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2800-000002000000}"/>
            </a:ext>
          </a:extLst>
        </xdr:cNvPr>
        <xdr:cNvSpPr>
          <a:spLocks noChangeArrowheads="1"/>
        </xdr:cNvSpPr>
      </xdr:nvSpPr>
      <xdr:spPr bwMode="auto">
        <a:xfrm>
          <a:off x="1" y="0"/>
          <a:ext cx="495300" cy="3810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495301</xdr:colOff>
      <xdr:row>0</xdr:row>
      <xdr:rowOff>381000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2900-000002000000}"/>
            </a:ext>
          </a:extLst>
        </xdr:cNvPr>
        <xdr:cNvSpPr>
          <a:spLocks noChangeArrowheads="1"/>
        </xdr:cNvSpPr>
      </xdr:nvSpPr>
      <xdr:spPr bwMode="auto">
        <a:xfrm>
          <a:off x="1" y="0"/>
          <a:ext cx="495300" cy="3810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0</xdr:col>
      <xdr:colOff>828674</xdr:colOff>
      <xdr:row>0</xdr:row>
      <xdr:rowOff>28575</xdr:rowOff>
    </xdr:from>
    <xdr:to>
      <xdr:col>1</xdr:col>
      <xdr:colOff>685800</xdr:colOff>
      <xdr:row>0</xdr:row>
      <xdr:rowOff>342900</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2900-000003000000}"/>
            </a:ext>
          </a:extLst>
        </xdr:cNvPr>
        <xdr:cNvSpPr/>
      </xdr:nvSpPr>
      <xdr:spPr>
        <a:xfrm>
          <a:off x="828674" y="28575"/>
          <a:ext cx="1028701" cy="31432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Firewall tab</a:t>
          </a:r>
        </a:p>
      </xdr:txBody>
    </xdr:sp>
    <xdr:clientData/>
  </xdr:twoCellAnchor>
  <xdr:twoCellAnchor>
    <xdr:from>
      <xdr:col>1</xdr:col>
      <xdr:colOff>771525</xdr:colOff>
      <xdr:row>0</xdr:row>
      <xdr:rowOff>38100</xdr:rowOff>
    </xdr:from>
    <xdr:to>
      <xdr:col>2</xdr:col>
      <xdr:colOff>657225</xdr:colOff>
      <xdr:row>0</xdr:row>
      <xdr:rowOff>352425</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2900-000004000000}"/>
            </a:ext>
          </a:extLst>
        </xdr:cNvPr>
        <xdr:cNvSpPr/>
      </xdr:nvSpPr>
      <xdr:spPr>
        <a:xfrm>
          <a:off x="1943100" y="38100"/>
          <a:ext cx="1257300" cy="31432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Load Balancer tab</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495301</xdr:colOff>
      <xdr:row>0</xdr:row>
      <xdr:rowOff>381000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2A00-000002000000}"/>
            </a:ext>
          </a:extLst>
        </xdr:cNvPr>
        <xdr:cNvSpPr>
          <a:spLocks noChangeArrowheads="1"/>
        </xdr:cNvSpPr>
      </xdr:nvSpPr>
      <xdr:spPr bwMode="auto">
        <a:xfrm>
          <a:off x="1" y="0"/>
          <a:ext cx="495300" cy="3810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495300</xdr:colOff>
      <xdr:row>1</xdr:row>
      <xdr:rowOff>19050</xdr:rowOff>
    </xdr:to>
    <xdr:sp macro="" textlink="">
      <xdr:nvSpPr>
        <xdr:cNvPr id="3" name="AutoShape 1">
          <a:hlinkClick xmlns:r="http://schemas.openxmlformats.org/officeDocument/2006/relationships" r:id="rId1"/>
          <a:extLst>
            <a:ext uri="{FF2B5EF4-FFF2-40B4-BE49-F238E27FC236}">
              <a16:creationId xmlns:a16="http://schemas.microsoft.com/office/drawing/2014/main" id="{00000000-0008-0000-2B00-000003000000}"/>
            </a:ext>
          </a:extLst>
        </xdr:cNvPr>
        <xdr:cNvSpPr>
          <a:spLocks noChangeArrowheads="1"/>
        </xdr:cNvSpPr>
      </xdr:nvSpPr>
      <xdr:spPr bwMode="auto">
        <a:xfrm>
          <a:off x="0" y="0"/>
          <a:ext cx="495300" cy="3429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495300</xdr:colOff>
      <xdr:row>1</xdr:row>
      <xdr:rowOff>25400</xdr:rowOff>
    </xdr:to>
    <xdr:sp macro="" textlink="">
      <xdr:nvSpPr>
        <xdr:cNvPr id="3" name="AutoShape 1">
          <a:hlinkClick xmlns:r="http://schemas.openxmlformats.org/officeDocument/2006/relationships" r:id="rId1"/>
          <a:extLst>
            <a:ext uri="{FF2B5EF4-FFF2-40B4-BE49-F238E27FC236}">
              <a16:creationId xmlns:a16="http://schemas.microsoft.com/office/drawing/2014/main" id="{00000000-0008-0000-2C00-000003000000}"/>
            </a:ext>
          </a:extLst>
        </xdr:cNvPr>
        <xdr:cNvSpPr>
          <a:spLocks noChangeArrowheads="1"/>
        </xdr:cNvSpPr>
      </xdr:nvSpPr>
      <xdr:spPr bwMode="auto">
        <a:xfrm>
          <a:off x="0" y="0"/>
          <a:ext cx="495300" cy="3429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495300</xdr:colOff>
      <xdr:row>0</xdr:row>
      <xdr:rowOff>342900</xdr:rowOff>
    </xdr:to>
    <xdr:sp macro="" textlink="">
      <xdr:nvSpPr>
        <xdr:cNvPr id="2" name="AutoShape 1">
          <a:hlinkClick xmlns:r="http://schemas.openxmlformats.org/officeDocument/2006/relationships" r:id="rId1"/>
          <a:extLst>
            <a:ext uri="{FF2B5EF4-FFF2-40B4-BE49-F238E27FC236}">
              <a16:creationId xmlns:a16="http://schemas.microsoft.com/office/drawing/2014/main" id="{00000000-0008-0000-2D00-000002000000}"/>
            </a:ext>
          </a:extLst>
        </xdr:cNvPr>
        <xdr:cNvSpPr>
          <a:spLocks noChangeArrowheads="1"/>
        </xdr:cNvSpPr>
      </xdr:nvSpPr>
      <xdr:spPr bwMode="auto">
        <a:xfrm>
          <a:off x="0" y="0"/>
          <a:ext cx="495300" cy="3429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228600</xdr:colOff>
          <xdr:row>5</xdr:row>
          <xdr:rowOff>0</xdr:rowOff>
        </xdr:from>
        <xdr:to>
          <xdr:col>9</xdr:col>
          <xdr:colOff>304800</xdr:colOff>
          <xdr:row>10</xdr:row>
          <xdr:rowOff>104775</xdr:rowOff>
        </xdr:to>
        <xdr:sp macro="" textlink="">
          <xdr:nvSpPr>
            <xdr:cNvPr id="575490" name="Object 2" hidden="1">
              <a:extLst>
                <a:ext uri="{63B3BB69-23CF-44E3-9099-C40C66FF867C}">
                  <a14:compatExt spid="_x0000_s575490"/>
                </a:ext>
                <a:ext uri="{FF2B5EF4-FFF2-40B4-BE49-F238E27FC236}">
                  <a16:creationId xmlns:a16="http://schemas.microsoft.com/office/drawing/2014/main" id="{00000000-0008-0000-2E00-000002C808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0</xdr:col>
      <xdr:colOff>0</xdr:colOff>
      <xdr:row>0</xdr:row>
      <xdr:rowOff>0</xdr:rowOff>
    </xdr:from>
    <xdr:to>
      <xdr:col>0</xdr:col>
      <xdr:colOff>495300</xdr:colOff>
      <xdr:row>0</xdr:row>
      <xdr:rowOff>342900</xdr:rowOff>
    </xdr:to>
    <xdr:sp macro="" textlink="">
      <xdr:nvSpPr>
        <xdr:cNvPr id="52" name="AutoShape 1">
          <a:hlinkClick xmlns:r="http://schemas.openxmlformats.org/officeDocument/2006/relationships" r:id="rId1"/>
          <a:extLst>
            <a:ext uri="{FF2B5EF4-FFF2-40B4-BE49-F238E27FC236}">
              <a16:creationId xmlns:a16="http://schemas.microsoft.com/office/drawing/2014/main" id="{00000000-0008-0000-2E00-000034000000}"/>
            </a:ext>
          </a:extLst>
        </xdr:cNvPr>
        <xdr:cNvSpPr>
          <a:spLocks noChangeArrowheads="1"/>
        </xdr:cNvSpPr>
      </xdr:nvSpPr>
      <xdr:spPr bwMode="auto">
        <a:xfrm>
          <a:off x="0" y="0"/>
          <a:ext cx="495300" cy="3429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T.O.C.</a:t>
          </a:r>
        </a:p>
      </xdr:txBody>
    </xdr:sp>
    <xdr:clientData/>
  </xdr:twoCellAnchor>
  <xdr:twoCellAnchor>
    <xdr:from>
      <xdr:col>0</xdr:col>
      <xdr:colOff>560615</xdr:colOff>
      <xdr:row>0</xdr:row>
      <xdr:rowOff>0</xdr:rowOff>
    </xdr:from>
    <xdr:to>
      <xdr:col>0</xdr:col>
      <xdr:colOff>1055915</xdr:colOff>
      <xdr:row>0</xdr:row>
      <xdr:rowOff>342900</xdr:rowOff>
    </xdr:to>
    <xdr:sp macro="" textlink="">
      <xdr:nvSpPr>
        <xdr:cNvPr id="54" name="AutoShape 1">
          <a:hlinkClick xmlns:r="http://schemas.openxmlformats.org/officeDocument/2006/relationships" r:id="rId2"/>
          <a:extLst>
            <a:ext uri="{FF2B5EF4-FFF2-40B4-BE49-F238E27FC236}">
              <a16:creationId xmlns:a16="http://schemas.microsoft.com/office/drawing/2014/main" id="{00000000-0008-0000-2E00-000036000000}"/>
            </a:ext>
          </a:extLst>
        </xdr:cNvPr>
        <xdr:cNvSpPr>
          <a:spLocks noChangeArrowheads="1"/>
        </xdr:cNvSpPr>
      </xdr:nvSpPr>
      <xdr:spPr bwMode="auto">
        <a:xfrm>
          <a:off x="560615" y="0"/>
          <a:ext cx="495300" cy="342900"/>
        </a:xfrm>
        <a:prstGeom prst="leftArrow">
          <a:avLst>
            <a:gd name="adj1" fmla="val 50000"/>
            <a:gd name="adj2" fmla="val 43333"/>
          </a:avLst>
        </a:prstGeom>
        <a:solidFill>
          <a:srgbClr val="99CC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  D/A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fyi-my.sharepoint.com/DOCUME~1/i268924/LOCALS~1/Temp/13/notes203883/Reverse%20Proxy%20Prototyp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fyi-my.sharepoint.com/DOCUME~1/i268924/LOCALS~1/Temp/13/notes203883/pseNetSecReques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community.fyiblue.com/DOCUME~1/ADM27283/LOCALS~1/Temp/notes3A4C4F/~666162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myfyi-my.sharepoint.com/DOCUME~1/A032083/LOCALS~1/Temp/notesD32431/pseNetSecRequest_2010120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myfyi-my.sharepoint.com/DOCUME~1/I268924/LOCALS~1/Temp/notes8FCCD6/2.0%20Server%20Registry%20v006_9March_Nichol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myfyi-my.sharepoint.com/DOCUME~1/I268924/LOCALS~1/Temp/notes8FCCD6/~6745273.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myfyi-my.sharepoint.com/personal/steve_cierniak_bcbsil_com/Documents/LBoM%20Template/Latest%20version%20-%20to%20deploy/LBoM%20Template%2015.0.5_notesupdated_cdg.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i268924\AppData\Local\Temp\notes7BB441\itg_network_security_request%201.52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DOCUME~1\I268924\LOCALS~1\Temp\notesB4FB23\~66278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3"/>
      <sheetName val="BOM FUNCTIONS"/>
    </sheetNames>
    <sheetDataSet>
      <sheetData sheetId="0">
        <row r="2">
          <cell r="X2" t="str">
            <v>Prod Internet</v>
          </cell>
        </row>
        <row r="3">
          <cell r="X3" t="str">
            <v>Prod Intranet</v>
          </cell>
        </row>
        <row r="4">
          <cell r="X4" t="str">
            <v>Test Internet</v>
          </cell>
        </row>
        <row r="5">
          <cell r="X5" t="str">
            <v>Test Intranet</v>
          </cell>
        </row>
      </sheetData>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FAQ"/>
      <sheetName val="REQUIRED.Customer.Information"/>
      <sheetName val="Firewall.Change.Request"/>
      <sheetName val="LoadBalancer.Change.Request"/>
      <sheetName val="ESB.Gateway.Change.Request"/>
      <sheetName val="Templates_Read_Only"/>
      <sheetName val="Form.Data.DO.NOT.USE"/>
    </sheetNames>
    <sheetDataSet>
      <sheetData sheetId="0"/>
      <sheetData sheetId="1"/>
      <sheetData sheetId="2"/>
      <sheetData sheetId="3"/>
      <sheetData sheetId="4"/>
      <sheetData sheetId="5"/>
      <sheetData sheetId="6"/>
      <sheetData sheetId="7">
        <row r="20">
          <cell r="O20" t="str">
            <v>Modify iRule uri-trusted-dp-inbound-request &amp; create pool</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Data"/>
      <sheetName val="Sheet1"/>
      <sheetName val="Resource Cost Calc"/>
    </sheetNames>
    <sheetDataSet>
      <sheetData sheetId="0">
        <row r="22">
          <cell r="B22">
            <v>3</v>
          </cell>
        </row>
      </sheetData>
      <sheetData sheetId="1"/>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FAQ"/>
      <sheetName val="REQUIRED.Customer.Information"/>
      <sheetName val="Firewall.Change.Request"/>
      <sheetName val="LoadBalancer.Change.Request"/>
      <sheetName val="ESB.Gateway.Change.Request"/>
      <sheetName val="Templates_Read_Only"/>
      <sheetName val="Form.Data.DO.NOT.USE"/>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TCP</v>
          </cell>
        </row>
        <row r="2">
          <cell r="A2" t="str">
            <v>UDP</v>
          </cell>
        </row>
        <row r="3">
          <cell r="A3" t="str">
            <v>TCP &amp; UDP</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VISIONED SERVERS"/>
      <sheetName val="PROVISIONED IPs"/>
      <sheetName val="STATISTICS"/>
      <sheetName val="FUNCTIONS"/>
    </sheetNames>
    <sheetDataSet>
      <sheetData sheetId="0"/>
      <sheetData sheetId="1" refreshError="1">
        <row r="4">
          <cell r="A4" t="str">
            <v>SERVER NAME</v>
          </cell>
        </row>
        <row r="5">
          <cell r="A5" t="str">
            <v>pwauslihsapp01</v>
          </cell>
        </row>
        <row r="6">
          <cell r="A6" t="str">
            <v>pwauslihsapp01</v>
          </cell>
        </row>
        <row r="7">
          <cell r="A7" t="str">
            <v>pwauslihsapp01</v>
          </cell>
        </row>
        <row r="8">
          <cell r="A8" t="str">
            <v>pwauslihsapp01</v>
          </cell>
        </row>
        <row r="9">
          <cell r="A9" t="str">
            <v>pwauslihsapp01</v>
          </cell>
        </row>
        <row r="10">
          <cell r="A10" t="str">
            <v>pwauslihsapp01</v>
          </cell>
        </row>
        <row r="11">
          <cell r="A11" t="str">
            <v>pwauslihsapp02</v>
          </cell>
        </row>
        <row r="12">
          <cell r="A12" t="str">
            <v>pwauslihsapp02</v>
          </cell>
        </row>
        <row r="13">
          <cell r="A13" t="str">
            <v>pwauslihsapp02</v>
          </cell>
        </row>
        <row r="14">
          <cell r="A14" t="str">
            <v>pwauslihsapp02</v>
          </cell>
        </row>
        <row r="15">
          <cell r="A15" t="str">
            <v>pwauslihsapp02</v>
          </cell>
        </row>
        <row r="16">
          <cell r="A16" t="str">
            <v>pwauslihsapp02</v>
          </cell>
        </row>
        <row r="17">
          <cell r="A17" t="str">
            <v>pwauslihsapp03</v>
          </cell>
        </row>
        <row r="18">
          <cell r="A18" t="str">
            <v>pwauslihsapp03</v>
          </cell>
        </row>
        <row r="19">
          <cell r="A19" t="str">
            <v>pwauslihsapp03</v>
          </cell>
        </row>
        <row r="20">
          <cell r="A20" t="str">
            <v>pwauslihsapp04</v>
          </cell>
        </row>
        <row r="21">
          <cell r="A21" t="str">
            <v>pwauslihsapp04</v>
          </cell>
        </row>
        <row r="22">
          <cell r="A22" t="str">
            <v>pwauslihsapp04</v>
          </cell>
        </row>
        <row r="23">
          <cell r="A23" t="str">
            <v>pwauslsasmgt02</v>
          </cell>
        </row>
        <row r="24">
          <cell r="A24" t="str">
            <v>pwauslwasapp01</v>
          </cell>
        </row>
        <row r="25">
          <cell r="A25" t="str">
            <v>pwauslwasapp01</v>
          </cell>
        </row>
        <row r="26">
          <cell r="A26" t="str">
            <v>pwauslwasapp03</v>
          </cell>
        </row>
        <row r="27">
          <cell r="A27" t="str">
            <v>pwauslwasapp03</v>
          </cell>
        </row>
        <row r="28">
          <cell r="A28" t="str">
            <v>pwauslwasapp04</v>
          </cell>
        </row>
        <row r="29">
          <cell r="A29" t="str">
            <v>pwauslwasapp04</v>
          </cell>
        </row>
        <row r="30">
          <cell r="A30" t="str">
            <v>pwauslwasapp05</v>
          </cell>
        </row>
        <row r="31">
          <cell r="A31" t="str">
            <v>pwauslwasapp05</v>
          </cell>
        </row>
        <row r="32">
          <cell r="A32" t="str">
            <v>pwauslwasapp06</v>
          </cell>
        </row>
        <row r="33">
          <cell r="A33" t="str">
            <v>pwauslwasapp06</v>
          </cell>
        </row>
        <row r="34">
          <cell r="A34" t="str">
            <v>pwauslwasapp11</v>
          </cell>
        </row>
        <row r="35">
          <cell r="A35" t="str">
            <v>pwauslwasapp11</v>
          </cell>
        </row>
        <row r="36">
          <cell r="A36" t="str">
            <v>pwauslwasapp12</v>
          </cell>
        </row>
        <row r="37">
          <cell r="A37" t="str">
            <v>pwauslwasapp12</v>
          </cell>
        </row>
        <row r="38">
          <cell r="A38" t="str">
            <v>pwauslwasapp13</v>
          </cell>
        </row>
        <row r="39">
          <cell r="A39" t="str">
            <v>pwauslwasapp13</v>
          </cell>
        </row>
        <row r="40">
          <cell r="A40" t="str">
            <v>pwauslwasapp14</v>
          </cell>
        </row>
        <row r="41">
          <cell r="A41" t="str">
            <v>pwauslwasapp14</v>
          </cell>
        </row>
        <row r="42">
          <cell r="A42" t="str">
            <v>pwauslwasapp15</v>
          </cell>
        </row>
        <row r="43">
          <cell r="A43" t="str">
            <v>pwauslwasapp15</v>
          </cell>
        </row>
        <row r="44">
          <cell r="A44" t="str">
            <v>pwauslwasapp16</v>
          </cell>
        </row>
        <row r="45">
          <cell r="A45" t="str">
            <v>pwauslwasapp16</v>
          </cell>
        </row>
        <row r="46">
          <cell r="A46" t="str">
            <v>pwauslwasapp17</v>
          </cell>
        </row>
        <row r="47">
          <cell r="A47" t="str">
            <v>pwauslwasapp17</v>
          </cell>
        </row>
        <row r="48">
          <cell r="A48" t="str">
            <v>pwauslwasapp18</v>
          </cell>
        </row>
        <row r="49">
          <cell r="A49" t="str">
            <v>pwauslwasapp18</v>
          </cell>
        </row>
        <row r="50">
          <cell r="A50" t="str">
            <v>pwauslwasapp19</v>
          </cell>
        </row>
        <row r="51">
          <cell r="A51" t="str">
            <v>pwauslwasapp19</v>
          </cell>
        </row>
        <row r="52">
          <cell r="A52" t="str">
            <v>pwauslwasapp20</v>
          </cell>
        </row>
        <row r="53">
          <cell r="A53" t="str">
            <v>pwauslwasapp20</v>
          </cell>
        </row>
        <row r="54">
          <cell r="A54" t="str">
            <v>pwauslwasapp21</v>
          </cell>
        </row>
        <row r="55">
          <cell r="A55" t="str">
            <v>pwauslwasapp21</v>
          </cell>
        </row>
        <row r="56">
          <cell r="A56" t="str">
            <v>pwauslwasapp22</v>
          </cell>
        </row>
        <row r="57">
          <cell r="A57" t="str">
            <v>pwauslwasapp22</v>
          </cell>
        </row>
        <row r="58">
          <cell r="A58" t="str">
            <v>pwauslwasmgt01</v>
          </cell>
        </row>
        <row r="59">
          <cell r="A59" t="str">
            <v>pwauslwasmgt01</v>
          </cell>
        </row>
        <row r="60">
          <cell r="A60" t="str">
            <v>pwauslwasmgt02</v>
          </cell>
        </row>
        <row r="61">
          <cell r="A61" t="str">
            <v>pwauslwasmgt02</v>
          </cell>
        </row>
        <row r="62">
          <cell r="A62" t="str">
            <v>pwauslwasmgt02</v>
          </cell>
        </row>
        <row r="63">
          <cell r="A63" t="str">
            <v>pwauslwasmgt02</v>
          </cell>
        </row>
        <row r="64">
          <cell r="A64" t="str">
            <v>pwauslwasmgt02</v>
          </cell>
        </row>
        <row r="65">
          <cell r="A65" t="str">
            <v>pwauslwasmgt04</v>
          </cell>
        </row>
        <row r="66">
          <cell r="A66" t="str">
            <v>pwauslwasmgt04</v>
          </cell>
        </row>
        <row r="67">
          <cell r="A67" t="str">
            <v>pwauslwasmgt05</v>
          </cell>
        </row>
        <row r="68">
          <cell r="A68" t="str">
            <v>pwauslwasmgt05</v>
          </cell>
        </row>
        <row r="69">
          <cell r="A69" t="str">
            <v>pwauswcsap10</v>
          </cell>
        </row>
        <row r="70">
          <cell r="A70" t="str">
            <v>pwauswcsap10</v>
          </cell>
        </row>
        <row r="71">
          <cell r="A71" t="str">
            <v>pwauswcsap11</v>
          </cell>
        </row>
        <row r="72">
          <cell r="A72" t="str">
            <v>pwauswcsap12</v>
          </cell>
        </row>
        <row r="73">
          <cell r="A73" t="str">
            <v>pwauswcsap13</v>
          </cell>
        </row>
        <row r="74">
          <cell r="A74" t="str">
            <v>pwauswcsap14</v>
          </cell>
        </row>
        <row r="75">
          <cell r="A75" t="str">
            <v>pwauswcsap15</v>
          </cell>
        </row>
        <row r="76">
          <cell r="A76" t="str">
            <v>pwauswcsap16</v>
          </cell>
        </row>
        <row r="77">
          <cell r="A77" t="str">
            <v>pwauswcsap17</v>
          </cell>
        </row>
        <row r="78">
          <cell r="A78" t="str">
            <v>pwauswcsap18</v>
          </cell>
        </row>
        <row r="79">
          <cell r="A79" t="str">
            <v>pwauswcsap19</v>
          </cell>
        </row>
        <row r="80">
          <cell r="A80" t="str">
            <v>pwauswcsap20</v>
          </cell>
        </row>
        <row r="81">
          <cell r="A81" t="str">
            <v>pwauswcsap21</v>
          </cell>
        </row>
        <row r="82">
          <cell r="A82" t="str">
            <v>pwauswcsap22</v>
          </cell>
        </row>
        <row r="83">
          <cell r="A83" t="str">
            <v>pwauswcsap23</v>
          </cell>
        </row>
        <row r="84">
          <cell r="A84" t="str">
            <v>pwauswcsap24</v>
          </cell>
        </row>
        <row r="85">
          <cell r="A85" t="str">
            <v>pwauswcsap25</v>
          </cell>
        </row>
        <row r="86">
          <cell r="A86" t="str">
            <v>pwauswcsap26</v>
          </cell>
        </row>
        <row r="87">
          <cell r="A87" t="str">
            <v>pwauswcsap27</v>
          </cell>
        </row>
        <row r="88">
          <cell r="A88" t="str">
            <v>pwauswcsap28</v>
          </cell>
        </row>
        <row r="89">
          <cell r="A89" t="str">
            <v>pwauswcsap29</v>
          </cell>
        </row>
        <row r="90">
          <cell r="A90" t="str">
            <v>pwauswcsap30</v>
          </cell>
        </row>
        <row r="91">
          <cell r="A91" t="str">
            <v>pwauswcsap31</v>
          </cell>
        </row>
        <row r="92">
          <cell r="A92" t="str">
            <v>pwauswcsap32</v>
          </cell>
        </row>
        <row r="93">
          <cell r="A93" t="str">
            <v>pwauswcsap33</v>
          </cell>
        </row>
        <row r="94">
          <cell r="A94" t="str">
            <v>pwauswcsap34</v>
          </cell>
        </row>
        <row r="95">
          <cell r="A95" t="str">
            <v>pwauswcsap35</v>
          </cell>
        </row>
        <row r="96">
          <cell r="A96" t="str">
            <v>pwauswcsap36</v>
          </cell>
        </row>
        <row r="97">
          <cell r="A97" t="str">
            <v>pwauswcsap37</v>
          </cell>
        </row>
        <row r="98">
          <cell r="A98" t="str">
            <v>pwauswcsap38</v>
          </cell>
        </row>
        <row r="99">
          <cell r="A99" t="str">
            <v>pwauswcsap38</v>
          </cell>
        </row>
        <row r="100">
          <cell r="A100" t="str">
            <v>pwauswcsgw10</v>
          </cell>
        </row>
        <row r="101">
          <cell r="A101" t="str">
            <v>pwauswcssq1001</v>
          </cell>
        </row>
        <row r="102">
          <cell r="A102" t="str">
            <v>pwauswcssq1001</v>
          </cell>
        </row>
        <row r="103">
          <cell r="A103" t="str">
            <v>pwauswcssq1002</v>
          </cell>
        </row>
        <row r="104">
          <cell r="A104" t="str">
            <v>pwauswcssq1002</v>
          </cell>
        </row>
        <row r="105">
          <cell r="A105" t="str">
            <v>pwauswcsgw10</v>
          </cell>
        </row>
        <row r="106">
          <cell r="A106" t="str">
            <v>pwauswcsgw10</v>
          </cell>
        </row>
        <row r="107">
          <cell r="A107" t="str">
            <v>pwauswcsgw10</v>
          </cell>
        </row>
        <row r="108">
          <cell r="A108" t="str">
            <v>pwauswcswb10</v>
          </cell>
        </row>
        <row r="109">
          <cell r="A109" t="str">
            <v>pwauswcswb10</v>
          </cell>
        </row>
        <row r="110">
          <cell r="A110" t="str">
            <v>pwauswcswb10</v>
          </cell>
        </row>
        <row r="111">
          <cell r="A111" t="str">
            <v>pwauswcswb11</v>
          </cell>
        </row>
        <row r="112">
          <cell r="A112" t="str">
            <v>pwauswcswb11</v>
          </cell>
        </row>
        <row r="113">
          <cell r="A113" t="str">
            <v>pwauswcswb12</v>
          </cell>
        </row>
        <row r="114">
          <cell r="A114" t="str">
            <v>pwauswcswb12</v>
          </cell>
        </row>
        <row r="115">
          <cell r="A115" t="str">
            <v>pwauswcswb13</v>
          </cell>
        </row>
        <row r="116">
          <cell r="A116" t="str">
            <v>pwauswcswb13</v>
          </cell>
        </row>
        <row r="117">
          <cell r="A117" t="str">
            <v>pwauswifsq0401</v>
          </cell>
        </row>
        <row r="118">
          <cell r="A118" t="str">
            <v>pwauswifsq0402</v>
          </cell>
        </row>
        <row r="119">
          <cell r="A119" t="str">
            <v>pwauswifsq04</v>
          </cell>
        </row>
        <row r="120">
          <cell r="A120" t="str">
            <v>pwauswpsap01</v>
          </cell>
        </row>
        <row r="121">
          <cell r="A121" t="str">
            <v>pwauswpsap02</v>
          </cell>
        </row>
        <row r="122">
          <cell r="A122" t="str">
            <v>pwauswshfs01</v>
          </cell>
        </row>
        <row r="123">
          <cell r="A123" t="str">
            <v>pwauswshsq03</v>
          </cell>
        </row>
        <row r="124">
          <cell r="A124" t="str">
            <v>pwauswshsq0601</v>
          </cell>
        </row>
        <row r="125">
          <cell r="A125" t="str">
            <v>pwauswshsq0602</v>
          </cell>
        </row>
        <row r="126">
          <cell r="A126" t="str">
            <v>pwauswshsq0601</v>
          </cell>
        </row>
        <row r="127">
          <cell r="A127" t="str">
            <v>pwauswshsq0601</v>
          </cell>
        </row>
        <row r="128">
          <cell r="A128" t="str">
            <v>pwauswshsq0601</v>
          </cell>
        </row>
        <row r="129">
          <cell r="A129" t="str">
            <v>pwauswshsq0601</v>
          </cell>
        </row>
        <row r="130">
          <cell r="A130" t="str">
            <v>pwausxfrmdb01</v>
          </cell>
        </row>
        <row r="131">
          <cell r="A131" t="str">
            <v>pwausxfrmdb01</v>
          </cell>
        </row>
        <row r="132">
          <cell r="A132" t="str">
            <v>pwausxfrmdb01</v>
          </cell>
        </row>
        <row r="133">
          <cell r="A133" t="str">
            <v>pwausxfrmdb02</v>
          </cell>
        </row>
        <row r="134">
          <cell r="A134" t="str">
            <v>pwausxfrmdb02</v>
          </cell>
        </row>
        <row r="135">
          <cell r="A135" t="str">
            <v>pwausxfrmdb02</v>
          </cell>
        </row>
        <row r="136">
          <cell r="A136" t="str">
            <v>pwausxmqmapp01</v>
          </cell>
        </row>
        <row r="137">
          <cell r="A137" t="str">
            <v>pwausxmqmapp02</v>
          </cell>
        </row>
        <row r="138">
          <cell r="A138" t="str">
            <v>pwausxmqmapp03</v>
          </cell>
        </row>
        <row r="139">
          <cell r="A139" t="str">
            <v>pwausxmqmapp04</v>
          </cell>
        </row>
        <row r="140">
          <cell r="A140" t="str">
            <v>pwausxmqmapp04</v>
          </cell>
        </row>
        <row r="141">
          <cell r="A141" t="str">
            <v>pwausxpstapp01</v>
          </cell>
        </row>
        <row r="142">
          <cell r="A142" t="str">
            <v>pwausxpstapp01</v>
          </cell>
        </row>
        <row r="143">
          <cell r="A143" t="str">
            <v>pwausxpstapp01</v>
          </cell>
        </row>
        <row r="144">
          <cell r="A144" t="str">
            <v>pwausxpstapp02</v>
          </cell>
        </row>
        <row r="145">
          <cell r="A145" t="str">
            <v>pwausxpstapp02</v>
          </cell>
        </row>
        <row r="146">
          <cell r="A146" t="str">
            <v>pwausxpstapp02</v>
          </cell>
        </row>
        <row r="147">
          <cell r="A147" t="str">
            <v>pwausxpstapp03</v>
          </cell>
        </row>
        <row r="148">
          <cell r="A148" t="str">
            <v>pwausxpstapp03</v>
          </cell>
        </row>
        <row r="149">
          <cell r="A149" t="str">
            <v>pwausxpstapp04</v>
          </cell>
        </row>
        <row r="150">
          <cell r="A150" t="str">
            <v>pwausxpstapp04</v>
          </cell>
        </row>
        <row r="151">
          <cell r="A151" t="str">
            <v>pwausxsblapp01</v>
          </cell>
        </row>
        <row r="152">
          <cell r="A152" t="str">
            <v>pwausxsblapp01</v>
          </cell>
        </row>
        <row r="153">
          <cell r="A153" t="str">
            <v>pwausxsblapp01</v>
          </cell>
        </row>
        <row r="154">
          <cell r="A154" t="str">
            <v>pwausxsblapp02</v>
          </cell>
        </row>
        <row r="155">
          <cell r="A155" t="str">
            <v>pwausxsblapp02</v>
          </cell>
        </row>
        <row r="156">
          <cell r="A156" t="str">
            <v>pwausxsblapp02</v>
          </cell>
        </row>
        <row r="157">
          <cell r="A157" t="str">
            <v>pwausxsblapp03</v>
          </cell>
        </row>
        <row r="158">
          <cell r="A158" t="str">
            <v>pwausxsblapp03</v>
          </cell>
        </row>
        <row r="159">
          <cell r="A159" t="str">
            <v>pwausxsblapp03</v>
          </cell>
        </row>
        <row r="160">
          <cell r="A160" t="str">
            <v>pwausxsblapp04</v>
          </cell>
        </row>
        <row r="161">
          <cell r="A161" t="str">
            <v>pwausxsblapp04</v>
          </cell>
        </row>
        <row r="162">
          <cell r="A162" t="str">
            <v>pwausxsblapp04</v>
          </cell>
        </row>
        <row r="163">
          <cell r="A163" t="str">
            <v>pwausxsbldb01</v>
          </cell>
        </row>
        <row r="164">
          <cell r="A164" t="str">
            <v>pwausxsbldb01</v>
          </cell>
        </row>
        <row r="165">
          <cell r="A165" t="str">
            <v>pwausxsbldb01</v>
          </cell>
        </row>
        <row r="166">
          <cell r="A166" t="str">
            <v>pwausxsbldb02</v>
          </cell>
        </row>
        <row r="167">
          <cell r="A167" t="str">
            <v>pwausxsbldb02</v>
          </cell>
        </row>
        <row r="168">
          <cell r="A168" t="str">
            <v>pwausxsbldb02</v>
          </cell>
        </row>
        <row r="169">
          <cell r="A169" t="str">
            <v>pwausxwasapp03</v>
          </cell>
        </row>
        <row r="170">
          <cell r="A170" t="str">
            <v>pwausxwasapp03</v>
          </cell>
        </row>
        <row r="171">
          <cell r="A171" t="str">
            <v>pwausxwasapp04</v>
          </cell>
        </row>
        <row r="172">
          <cell r="A172" t="str">
            <v>pwausxwasapp04</v>
          </cell>
        </row>
        <row r="173">
          <cell r="A173" t="str">
            <v>pwausxwasapp05</v>
          </cell>
        </row>
        <row r="174">
          <cell r="A174" t="str">
            <v>pwausxwasapp05</v>
          </cell>
        </row>
        <row r="175">
          <cell r="A175" t="str">
            <v>pwausxwasapp06</v>
          </cell>
        </row>
        <row r="176">
          <cell r="A176" t="str">
            <v>pwausxwasapp06</v>
          </cell>
        </row>
        <row r="177">
          <cell r="A177" t="str">
            <v>twauslihsapp01</v>
          </cell>
        </row>
        <row r="178">
          <cell r="A178" t="str">
            <v>twauslihsapp01</v>
          </cell>
        </row>
        <row r="179">
          <cell r="A179" t="str">
            <v>twauslihsapp01</v>
          </cell>
        </row>
        <row r="180">
          <cell r="A180" t="str">
            <v>twauslihsapp01</v>
          </cell>
        </row>
        <row r="181">
          <cell r="A181" t="str">
            <v>twauslihsapp01</v>
          </cell>
        </row>
        <row r="182">
          <cell r="A182" t="str">
            <v>twauslihsapp01</v>
          </cell>
        </row>
        <row r="183">
          <cell r="A183" t="str">
            <v>twauslihsapp01</v>
          </cell>
        </row>
        <row r="184">
          <cell r="A184" t="str">
            <v>twauslihsapp02</v>
          </cell>
        </row>
        <row r="185">
          <cell r="A185" t="str">
            <v>twauslihsapp02</v>
          </cell>
        </row>
        <row r="186">
          <cell r="A186" t="str">
            <v>twauslihsapp02</v>
          </cell>
        </row>
        <row r="187">
          <cell r="A187" t="str">
            <v>twauslihsapp02</v>
          </cell>
        </row>
        <row r="188">
          <cell r="A188" t="str">
            <v>twauslihsapp02</v>
          </cell>
        </row>
        <row r="189">
          <cell r="A189" t="str">
            <v>twauslihsapp02</v>
          </cell>
        </row>
        <row r="190">
          <cell r="A190" t="str">
            <v>twauslihsapp02</v>
          </cell>
        </row>
        <row r="191">
          <cell r="A191" t="str">
            <v>twauslihsapp03</v>
          </cell>
        </row>
        <row r="192">
          <cell r="A192" t="str">
            <v>twauslihsapp03</v>
          </cell>
        </row>
        <row r="193">
          <cell r="A193" t="str">
            <v>twauslihsapp03</v>
          </cell>
        </row>
        <row r="194">
          <cell r="A194" t="str">
            <v>twauslihsapp04</v>
          </cell>
        </row>
        <row r="195">
          <cell r="A195" t="str">
            <v>twauslihsapp04</v>
          </cell>
        </row>
        <row r="196">
          <cell r="A196" t="str">
            <v>twauslihsapp04</v>
          </cell>
        </row>
        <row r="197">
          <cell r="A197" t="str">
            <v>twauslwasapp03</v>
          </cell>
        </row>
        <row r="198">
          <cell r="A198" t="str">
            <v>twauslwasapp03</v>
          </cell>
        </row>
        <row r="199">
          <cell r="A199" t="str">
            <v>twauslwasapp04</v>
          </cell>
        </row>
        <row r="200">
          <cell r="A200" t="str">
            <v>twauslwasapp04</v>
          </cell>
        </row>
        <row r="201">
          <cell r="A201" t="str">
            <v>twauslwasapp05</v>
          </cell>
        </row>
        <row r="202">
          <cell r="A202" t="str">
            <v>twauslwasapp05</v>
          </cell>
        </row>
        <row r="203">
          <cell r="A203" t="str">
            <v>twauslwasapp06</v>
          </cell>
        </row>
        <row r="204">
          <cell r="A204" t="str">
            <v>twauslwasapp06</v>
          </cell>
        </row>
        <row r="205">
          <cell r="A205" t="str">
            <v>twauslwasapp07</v>
          </cell>
        </row>
        <row r="206">
          <cell r="A206" t="str">
            <v>twauslwasapp07</v>
          </cell>
        </row>
        <row r="207">
          <cell r="A207" t="str">
            <v>twauslwasapp11</v>
          </cell>
        </row>
        <row r="208">
          <cell r="A208" t="str">
            <v>twauslwasapp11</v>
          </cell>
        </row>
        <row r="209">
          <cell r="A209" t="str">
            <v>twauslwasapp12</v>
          </cell>
        </row>
        <row r="210">
          <cell r="A210" t="str">
            <v>twauslwasapp12</v>
          </cell>
        </row>
        <row r="211">
          <cell r="A211" t="str">
            <v>twauslwasapp13</v>
          </cell>
        </row>
        <row r="212">
          <cell r="A212" t="str">
            <v>twauslwasapp13</v>
          </cell>
        </row>
        <row r="213">
          <cell r="A213" t="str">
            <v>twauslwasapp14</v>
          </cell>
        </row>
        <row r="214">
          <cell r="A214" t="str">
            <v>twauslwasapp14</v>
          </cell>
        </row>
        <row r="215">
          <cell r="A215" t="str">
            <v>twauslwasapp15</v>
          </cell>
        </row>
        <row r="216">
          <cell r="A216" t="str">
            <v>twauslwasapp15</v>
          </cell>
        </row>
        <row r="217">
          <cell r="A217" t="str">
            <v>twauslwasapp16</v>
          </cell>
        </row>
        <row r="218">
          <cell r="A218" t="str">
            <v>twauslwasapp16</v>
          </cell>
        </row>
        <row r="219">
          <cell r="A219" t="str">
            <v>twauslwasapp17</v>
          </cell>
        </row>
        <row r="220">
          <cell r="A220" t="str">
            <v>twauslwasapp17</v>
          </cell>
        </row>
        <row r="221">
          <cell r="A221" t="str">
            <v>twauslwasapp18</v>
          </cell>
        </row>
        <row r="222">
          <cell r="A222" t="str">
            <v>twauslwasapp18</v>
          </cell>
        </row>
        <row r="223">
          <cell r="A223" t="str">
            <v>twauslwasapp19</v>
          </cell>
        </row>
        <row r="224">
          <cell r="A224" t="str">
            <v>twauslwasapp19</v>
          </cell>
        </row>
        <row r="225">
          <cell r="A225" t="str">
            <v>twauslwasapp20</v>
          </cell>
        </row>
        <row r="226">
          <cell r="A226" t="str">
            <v>twauslwasapp20</v>
          </cell>
        </row>
        <row r="227">
          <cell r="A227" t="str">
            <v>twauslwasapp21</v>
          </cell>
        </row>
        <row r="228">
          <cell r="A228" t="str">
            <v>twauslwasapp21</v>
          </cell>
        </row>
        <row r="229">
          <cell r="A229" t="str">
            <v>twauslwasapp22</v>
          </cell>
        </row>
        <row r="230">
          <cell r="A230" t="str">
            <v>twauslwasapp22</v>
          </cell>
        </row>
        <row r="231">
          <cell r="A231" t="str">
            <v>twauslwasmgt02</v>
          </cell>
        </row>
        <row r="232">
          <cell r="A232" t="str">
            <v>twauslwasmgt02</v>
          </cell>
        </row>
        <row r="233">
          <cell r="A233" t="str">
            <v>twauslwasmgt04</v>
          </cell>
        </row>
        <row r="234">
          <cell r="A234" t="str">
            <v>twauslwasmgt04</v>
          </cell>
        </row>
        <row r="235">
          <cell r="A235" t="str">
            <v>twauslwasmgt05</v>
          </cell>
        </row>
        <row r="236">
          <cell r="A236" t="str">
            <v>twauslwasmgt05</v>
          </cell>
        </row>
        <row r="237">
          <cell r="A237" t="str">
            <v>twauswcsap10</v>
          </cell>
        </row>
        <row r="238">
          <cell r="A238" t="str">
            <v>twauswcsap11</v>
          </cell>
        </row>
        <row r="239">
          <cell r="A239" t="str">
            <v>twauswcsap11</v>
          </cell>
        </row>
        <row r="240">
          <cell r="A240" t="str">
            <v>twauswcsap12</v>
          </cell>
        </row>
        <row r="241">
          <cell r="A241" t="str">
            <v>twauswcsap13</v>
          </cell>
        </row>
        <row r="242">
          <cell r="A242" t="str">
            <v>twauswcsap14</v>
          </cell>
        </row>
        <row r="243">
          <cell r="A243" t="str">
            <v>twauswcsap15</v>
          </cell>
        </row>
        <row r="244">
          <cell r="A244" t="str">
            <v>twauswcsap16</v>
          </cell>
        </row>
        <row r="245">
          <cell r="A245" t="str">
            <v>twauswcsap17</v>
          </cell>
        </row>
        <row r="246">
          <cell r="A246" t="str">
            <v>twauswcsap18</v>
          </cell>
        </row>
        <row r="247">
          <cell r="A247" t="str">
            <v>twauswcsap19</v>
          </cell>
        </row>
        <row r="248">
          <cell r="A248" t="str">
            <v>twauswcsap20</v>
          </cell>
        </row>
        <row r="249">
          <cell r="A249" t="str">
            <v>twauswcsap21</v>
          </cell>
        </row>
        <row r="250">
          <cell r="A250" t="str">
            <v>twauswcsgw10</v>
          </cell>
        </row>
        <row r="251">
          <cell r="A251" t="str">
            <v>twauswcsgw11</v>
          </cell>
        </row>
        <row r="252">
          <cell r="A252" t="str">
            <v>twauswcssq1001</v>
          </cell>
        </row>
        <row r="253">
          <cell r="A253" t="str">
            <v>twauswcssq1001</v>
          </cell>
        </row>
        <row r="254">
          <cell r="A254" t="str">
            <v>twauswcssq1002</v>
          </cell>
        </row>
        <row r="255">
          <cell r="A255" t="str">
            <v>twauswcssq1002</v>
          </cell>
        </row>
        <row r="256">
          <cell r="A256" t="str">
            <v>twauswcssq1001</v>
          </cell>
        </row>
        <row r="257">
          <cell r="A257" t="str">
            <v>twauswcssq1001</v>
          </cell>
        </row>
        <row r="258">
          <cell r="A258" t="str">
            <v>twauswcssq1001</v>
          </cell>
        </row>
        <row r="259">
          <cell r="A259" t="str">
            <v>twauswcswb10</v>
          </cell>
        </row>
        <row r="260">
          <cell r="A260" t="str">
            <v>twauswcswb10</v>
          </cell>
        </row>
        <row r="261">
          <cell r="A261" t="str">
            <v>twauswcswb11</v>
          </cell>
        </row>
        <row r="262">
          <cell r="A262" t="str">
            <v>twauswcswb11</v>
          </cell>
        </row>
        <row r="263">
          <cell r="A263" t="str">
            <v>twauswcswb11</v>
          </cell>
        </row>
        <row r="264">
          <cell r="A264" t="str">
            <v>twauswcswb12</v>
          </cell>
        </row>
        <row r="265">
          <cell r="A265" t="str">
            <v>twauswcswb12</v>
          </cell>
        </row>
        <row r="266">
          <cell r="A266" t="str">
            <v>twauswpsap01</v>
          </cell>
        </row>
        <row r="267">
          <cell r="A267" t="str">
            <v>twauswshfs01</v>
          </cell>
        </row>
        <row r="268">
          <cell r="A268" t="str">
            <v>twauswshsq03</v>
          </cell>
        </row>
        <row r="269">
          <cell r="A269" t="str">
            <v>twauswshsq0601</v>
          </cell>
        </row>
        <row r="270">
          <cell r="A270" t="str">
            <v>twauswshsq0602</v>
          </cell>
        </row>
        <row r="271">
          <cell r="A271" t="str">
            <v>twauswshsq0601</v>
          </cell>
        </row>
        <row r="272">
          <cell r="A272" t="str">
            <v>twauswshsq0601</v>
          </cell>
        </row>
        <row r="273">
          <cell r="A273" t="str">
            <v>twauswshsq0601</v>
          </cell>
        </row>
        <row r="274">
          <cell r="A274" t="str">
            <v>twauswshsq0601</v>
          </cell>
        </row>
        <row r="275">
          <cell r="A275" t="str">
            <v>twausxfrmdb01</v>
          </cell>
        </row>
        <row r="276">
          <cell r="A276" t="str">
            <v>twausxfrmdb02</v>
          </cell>
        </row>
        <row r="277">
          <cell r="A277" t="str">
            <v>twausxpstapp01</v>
          </cell>
        </row>
        <row r="278">
          <cell r="A278" t="str">
            <v>twausxpstapp01</v>
          </cell>
        </row>
        <row r="279">
          <cell r="A279" t="str">
            <v>twausxpstapp01</v>
          </cell>
        </row>
        <row r="280">
          <cell r="A280" t="str">
            <v>twausxpstapp02</v>
          </cell>
        </row>
        <row r="281">
          <cell r="A281" t="str">
            <v>twausxpstapp02</v>
          </cell>
        </row>
        <row r="282">
          <cell r="A282" t="str">
            <v>twausxpstapp02</v>
          </cell>
        </row>
        <row r="283">
          <cell r="A283" t="str">
            <v>twausxpstapp03</v>
          </cell>
        </row>
        <row r="284">
          <cell r="A284" t="str">
            <v>twausxpstapp03</v>
          </cell>
        </row>
        <row r="285">
          <cell r="A285" t="str">
            <v>twausxsblapp01</v>
          </cell>
        </row>
        <row r="286">
          <cell r="A286" t="str">
            <v>twausxsblapp01</v>
          </cell>
        </row>
        <row r="287">
          <cell r="A287" t="str">
            <v>twausxsblapp02</v>
          </cell>
        </row>
        <row r="288">
          <cell r="A288" t="str">
            <v>twausxsblapp02</v>
          </cell>
        </row>
        <row r="289">
          <cell r="A289" t="str">
            <v>twausxsblapp04</v>
          </cell>
        </row>
        <row r="290">
          <cell r="A290" t="str">
            <v>twausxsblapp04</v>
          </cell>
        </row>
        <row r="291">
          <cell r="A291" t="str">
            <v>twausxsblapp05</v>
          </cell>
        </row>
        <row r="292">
          <cell r="A292" t="str">
            <v>twausxsblapp05</v>
          </cell>
        </row>
        <row r="293">
          <cell r="A293" t="str">
            <v>twausxsbldb01</v>
          </cell>
        </row>
        <row r="294">
          <cell r="A294" t="str">
            <v>twausxsbldb01</v>
          </cell>
        </row>
        <row r="295">
          <cell r="A295" t="str">
            <v>twausxsbldb01</v>
          </cell>
        </row>
        <row r="296">
          <cell r="A296" t="str">
            <v>twausxsbldb02</v>
          </cell>
        </row>
        <row r="297">
          <cell r="A297" t="str">
            <v>twausxsbldb02</v>
          </cell>
        </row>
        <row r="298">
          <cell r="A298" t="str">
            <v>twausxsbldb02</v>
          </cell>
        </row>
        <row r="299">
          <cell r="A299" t="str">
            <v>twausxsbldb03</v>
          </cell>
        </row>
        <row r="300">
          <cell r="A300" t="str">
            <v>twausxsbldb03</v>
          </cell>
        </row>
        <row r="301">
          <cell r="A301" t="str">
            <v>twausxwasapp03</v>
          </cell>
        </row>
        <row r="302">
          <cell r="A302" t="str">
            <v>twausxwasapp03</v>
          </cell>
        </row>
        <row r="303">
          <cell r="A303" t="str">
            <v>twausxwasapp04</v>
          </cell>
        </row>
        <row r="304">
          <cell r="A304" t="str">
            <v>twausxwasapp04</v>
          </cell>
        </row>
        <row r="305">
          <cell r="A305" t="str">
            <v>twausxwasapp05</v>
          </cell>
        </row>
        <row r="306">
          <cell r="A306" t="str">
            <v>twausxwasapp05</v>
          </cell>
        </row>
        <row r="307">
          <cell r="A307" t="str">
            <v>twausxwasapp06</v>
          </cell>
        </row>
        <row r="308">
          <cell r="A308" t="str">
            <v>twausxwasapp06</v>
          </cell>
        </row>
        <row r="309">
          <cell r="A309" t="str">
            <v>twauslwasmgt03</v>
          </cell>
        </row>
        <row r="310">
          <cell r="A310" t="str">
            <v>twauslwasmgt03</v>
          </cell>
        </row>
        <row r="311">
          <cell r="A311" t="str">
            <v>twausxwasapp07</v>
          </cell>
        </row>
        <row r="312">
          <cell r="A312" t="str">
            <v>twausxwasapp07</v>
          </cell>
        </row>
        <row r="313">
          <cell r="A313" t="str">
            <v>twausxwasapp08</v>
          </cell>
        </row>
        <row r="314">
          <cell r="A314" t="str">
            <v>twausxwasapp08</v>
          </cell>
        </row>
        <row r="315">
          <cell r="A315" t="str">
            <v>twauswbasq0201</v>
          </cell>
        </row>
        <row r="316">
          <cell r="A316" t="str">
            <v>twauswbasq0201</v>
          </cell>
        </row>
        <row r="317">
          <cell r="A317" t="str">
            <v>twauswbasq0202</v>
          </cell>
        </row>
        <row r="318">
          <cell r="A318" t="str">
            <v>twauswbasq0202</v>
          </cell>
        </row>
        <row r="319">
          <cell r="A319" t="str">
            <v>twauswbasq0201</v>
          </cell>
        </row>
        <row r="320">
          <cell r="A320" t="str">
            <v>twauswbasq0201</v>
          </cell>
        </row>
        <row r="321">
          <cell r="A321" t="str">
            <v>twauswbasq0201</v>
          </cell>
        </row>
        <row r="322">
          <cell r="A322" t="str">
            <v>twauswbasq0201</v>
          </cell>
        </row>
        <row r="323">
          <cell r="A323" t="str">
            <v>twauswbasq0301</v>
          </cell>
        </row>
        <row r="324">
          <cell r="A324" t="str">
            <v>twauswbasq0301</v>
          </cell>
        </row>
        <row r="325">
          <cell r="A325" t="str">
            <v>twauswbasq0302</v>
          </cell>
        </row>
        <row r="326">
          <cell r="A326" t="str">
            <v>twauswbasq0302</v>
          </cell>
        </row>
        <row r="327">
          <cell r="A327" t="str">
            <v>twauswbasq0301</v>
          </cell>
        </row>
        <row r="328">
          <cell r="A328" t="str">
            <v>twauswbasq0301</v>
          </cell>
        </row>
        <row r="329">
          <cell r="A329" t="str">
            <v>twauswbasq0301</v>
          </cell>
        </row>
        <row r="330">
          <cell r="A330" t="str">
            <v>twauswbasq0301</v>
          </cell>
        </row>
        <row r="331">
          <cell r="A331" t="str">
            <v>twauswbasq01</v>
          </cell>
        </row>
        <row r="332">
          <cell r="A332" t="str">
            <v>twauswbasq01</v>
          </cell>
        </row>
        <row r="333">
          <cell r="A333" t="str">
            <v>twauswbasq02</v>
          </cell>
        </row>
        <row r="334">
          <cell r="A334" t="str">
            <v>twauswbasq02</v>
          </cell>
        </row>
        <row r="335">
          <cell r="A335" t="str">
            <v>twauswbasq03</v>
          </cell>
        </row>
        <row r="336">
          <cell r="A336" t="str">
            <v>twauswbasq03</v>
          </cell>
        </row>
        <row r="337">
          <cell r="A337" t="str">
            <v>twauswbasq04</v>
          </cell>
        </row>
        <row r="338">
          <cell r="A338" t="str">
            <v>twauswbasq04</v>
          </cell>
        </row>
        <row r="339">
          <cell r="A339" t="str">
            <v>twauswbasq05</v>
          </cell>
        </row>
        <row r="340">
          <cell r="A340" t="str">
            <v>twauswbasq05</v>
          </cell>
        </row>
        <row r="341">
          <cell r="A341" t="str">
            <v>twauswbasq08</v>
          </cell>
        </row>
        <row r="342">
          <cell r="A342" t="str">
            <v>pwauswbasq0101</v>
          </cell>
        </row>
        <row r="343">
          <cell r="A343" t="str">
            <v>pwauswbasq0101</v>
          </cell>
        </row>
        <row r="344">
          <cell r="A344" t="str">
            <v>pwauswbasq0102</v>
          </cell>
        </row>
        <row r="345">
          <cell r="A345" t="str">
            <v>pwauswbasq0102</v>
          </cell>
        </row>
        <row r="346">
          <cell r="A346" t="str">
            <v>pwauswbasq0101</v>
          </cell>
        </row>
        <row r="347">
          <cell r="A347" t="str">
            <v>pwauswbasq0101</v>
          </cell>
        </row>
        <row r="348">
          <cell r="A348" t="str">
            <v>pwauswbasq0101</v>
          </cell>
        </row>
        <row r="349">
          <cell r="A349" t="str">
            <v>pwauswbasq0101</v>
          </cell>
        </row>
        <row r="350">
          <cell r="A350" t="str">
            <v>pwauswbasq0201</v>
          </cell>
        </row>
        <row r="351">
          <cell r="A351" t="str">
            <v>pwauswbasq0201</v>
          </cell>
        </row>
        <row r="352">
          <cell r="A352" t="str">
            <v>pwauswbasq0202</v>
          </cell>
        </row>
        <row r="353">
          <cell r="A353" t="str">
            <v>pwauswbasq0202</v>
          </cell>
        </row>
        <row r="354">
          <cell r="A354" t="str">
            <v>pwauswbasq0201</v>
          </cell>
        </row>
        <row r="355">
          <cell r="A355" t="str">
            <v>pwauswbasq0201</v>
          </cell>
        </row>
        <row r="356">
          <cell r="A356" t="str">
            <v>pwauswbasq0201</v>
          </cell>
        </row>
        <row r="357">
          <cell r="A357" t="str">
            <v>pwauswbasq0201</v>
          </cell>
        </row>
        <row r="358">
          <cell r="A358" t="str">
            <v>pwauswbasq0301</v>
          </cell>
        </row>
        <row r="359">
          <cell r="A359" t="str">
            <v>pwauswbasq0301</v>
          </cell>
        </row>
        <row r="360">
          <cell r="A360" t="str">
            <v>pwauswbasq0302</v>
          </cell>
        </row>
        <row r="361">
          <cell r="A361" t="str">
            <v>pwauswbasq0302</v>
          </cell>
        </row>
        <row r="362">
          <cell r="A362" t="str">
            <v>pwauswbasq0301</v>
          </cell>
        </row>
        <row r="363">
          <cell r="A363" t="str">
            <v>pwauswbasq0301</v>
          </cell>
        </row>
        <row r="364">
          <cell r="A364" t="str">
            <v>pwauswbasq0301</v>
          </cell>
        </row>
        <row r="365">
          <cell r="A365" t="str">
            <v>pwauswbasq0301</v>
          </cell>
        </row>
        <row r="366">
          <cell r="A366" t="str">
            <v>pwauswbasq01</v>
          </cell>
        </row>
        <row r="367">
          <cell r="A367" t="str">
            <v>pwauswbasq01</v>
          </cell>
        </row>
        <row r="368">
          <cell r="A368" t="str">
            <v>pwauswbasq02</v>
          </cell>
        </row>
        <row r="369">
          <cell r="A369" t="str">
            <v>pwauswbasq02</v>
          </cell>
        </row>
        <row r="370">
          <cell r="A370" t="str">
            <v>pwauswbasq03</v>
          </cell>
        </row>
        <row r="371">
          <cell r="A371" t="str">
            <v>pwauswbasq03</v>
          </cell>
        </row>
        <row r="372">
          <cell r="A372" t="str">
            <v>pwauswbasq04</v>
          </cell>
        </row>
        <row r="373">
          <cell r="A373" t="str">
            <v>pwauswbasq04</v>
          </cell>
        </row>
        <row r="374">
          <cell r="A374" t="str">
            <v>pwauswbasq06</v>
          </cell>
        </row>
        <row r="375">
          <cell r="A375" t="str">
            <v>pwauswbasq06</v>
          </cell>
        </row>
        <row r="376">
          <cell r="A376" t="str">
            <v>pwauswbasq0401</v>
          </cell>
        </row>
        <row r="377">
          <cell r="A377" t="str">
            <v>pwauswbasq0401</v>
          </cell>
        </row>
        <row r="378">
          <cell r="A378" t="str">
            <v>pwauswbasq0402</v>
          </cell>
        </row>
        <row r="379">
          <cell r="A379" t="str">
            <v>pwauswbasq0402</v>
          </cell>
        </row>
        <row r="380">
          <cell r="A380" t="str">
            <v>pwauswbasq0401</v>
          </cell>
        </row>
        <row r="381">
          <cell r="A381" t="str">
            <v>pwauswbasq0401</v>
          </cell>
        </row>
        <row r="382">
          <cell r="A382" t="str">
            <v>pwauswbasq0401</v>
          </cell>
        </row>
        <row r="383">
          <cell r="A383" t="str">
            <v>pwauswbasq0401</v>
          </cell>
        </row>
        <row r="384">
          <cell r="A384" t="str">
            <v>twauswbasq0401</v>
          </cell>
        </row>
        <row r="385">
          <cell r="A385" t="str">
            <v>twauswbasq0401</v>
          </cell>
        </row>
        <row r="386">
          <cell r="A386" t="str">
            <v>twauswbasq0402</v>
          </cell>
        </row>
        <row r="387">
          <cell r="A387" t="str">
            <v>twauswbasq0402</v>
          </cell>
        </row>
        <row r="388">
          <cell r="A388" t="str">
            <v>twauswbasq0401</v>
          </cell>
        </row>
        <row r="389">
          <cell r="A389" t="str">
            <v>twauswbasq0401</v>
          </cell>
        </row>
        <row r="390">
          <cell r="A390" t="str">
            <v>twauswbasq0401</v>
          </cell>
        </row>
        <row r="391">
          <cell r="A391" t="str">
            <v>twauswbasq0401</v>
          </cell>
        </row>
        <row r="392">
          <cell r="A392" t="str">
            <v>twausxmqmwfl01</v>
          </cell>
        </row>
        <row r="393">
          <cell r="A393" t="str">
            <v>twausxmqmwfl01</v>
          </cell>
        </row>
        <row r="394">
          <cell r="A394" t="str">
            <v>twausxfrmdb03</v>
          </cell>
        </row>
        <row r="395">
          <cell r="A395" t="str">
            <v>twausxfrmdb03</v>
          </cell>
        </row>
        <row r="396">
          <cell r="A396" t="str">
            <v>twausxfrmdb03</v>
          </cell>
        </row>
        <row r="397">
          <cell r="A397" t="str">
            <v>pwauslwasmgt03</v>
          </cell>
        </row>
        <row r="398">
          <cell r="A398" t="str">
            <v>pwauslwasmgt03</v>
          </cell>
        </row>
        <row r="399">
          <cell r="A399" t="str">
            <v>pwausxwasapp07</v>
          </cell>
        </row>
        <row r="400">
          <cell r="A400" t="str">
            <v>pwausxwasapp07</v>
          </cell>
        </row>
        <row r="401">
          <cell r="A401" t="str">
            <v>pwausxwasapp08</v>
          </cell>
        </row>
        <row r="402">
          <cell r="A402" t="str">
            <v>pwausxwasapp08</v>
          </cell>
        </row>
        <row r="403">
          <cell r="A403" t="str">
            <v>pwausxwasapp09</v>
          </cell>
        </row>
        <row r="404">
          <cell r="A404" t="str">
            <v>pwausxwasapp09</v>
          </cell>
        </row>
        <row r="405">
          <cell r="A405" t="str">
            <v>pwausxwasapp10</v>
          </cell>
        </row>
        <row r="406">
          <cell r="A406" t="str">
            <v>pwausxwasapp10</v>
          </cell>
        </row>
        <row r="407">
          <cell r="A407" t="str">
            <v>pwausxmqmwfl01</v>
          </cell>
        </row>
        <row r="408">
          <cell r="A408" t="str">
            <v>pwausxmqmwfl01</v>
          </cell>
        </row>
        <row r="409">
          <cell r="A409" t="str">
            <v>twausxfrmdb04</v>
          </cell>
        </row>
        <row r="410">
          <cell r="A410" t="str">
            <v>twausxfrmdb04</v>
          </cell>
        </row>
        <row r="411">
          <cell r="A411" t="str">
            <v>twausxfrmdb04</v>
          </cell>
        </row>
        <row r="412">
          <cell r="A412" t="str">
            <v>pwausxfrmdb04</v>
          </cell>
        </row>
        <row r="413">
          <cell r="A413" t="str">
            <v>pwausxfrmdb04</v>
          </cell>
        </row>
        <row r="414">
          <cell r="A414" t="str">
            <v>pwausxfrmdb04</v>
          </cell>
        </row>
        <row r="415">
          <cell r="A415" t="str">
            <v>pwausxfrmdb03</v>
          </cell>
        </row>
        <row r="416">
          <cell r="A416" t="str">
            <v>pwausxfrmdb03</v>
          </cell>
        </row>
        <row r="417">
          <cell r="A417" t="str">
            <v>pwausxfrmdb03</v>
          </cell>
        </row>
        <row r="418">
          <cell r="A418" t="str">
            <v>pwauslwasapp02</v>
          </cell>
        </row>
        <row r="419">
          <cell r="A419" t="str">
            <v>pwauslwasapp02</v>
          </cell>
        </row>
        <row r="420">
          <cell r="A420" t="str">
            <v>pwauslwasapp07</v>
          </cell>
        </row>
        <row r="421">
          <cell r="A421" t="str">
            <v>pwauslwasapp07</v>
          </cell>
        </row>
        <row r="422">
          <cell r="A422" t="str">
            <v>pwauslwasapp08</v>
          </cell>
        </row>
        <row r="423">
          <cell r="A423" t="str">
            <v>pwauslwasapp08</v>
          </cell>
        </row>
        <row r="424">
          <cell r="A424" t="str">
            <v>twauslwasapp02</v>
          </cell>
        </row>
        <row r="425">
          <cell r="A425" t="str">
            <v>twauslwasapp02</v>
          </cell>
        </row>
        <row r="426">
          <cell r="A426" t="str">
            <v>pwausxwasapp15</v>
          </cell>
        </row>
        <row r="427">
          <cell r="A427" t="str">
            <v>pwausxwasapp15</v>
          </cell>
        </row>
        <row r="428">
          <cell r="A428" t="str">
            <v>pwausxwasapp15</v>
          </cell>
        </row>
        <row r="429">
          <cell r="A429" t="str">
            <v>pwausxwasapp15</v>
          </cell>
        </row>
        <row r="430">
          <cell r="A430" t="str">
            <v>pwausxwasapp15</v>
          </cell>
        </row>
        <row r="431">
          <cell r="A431" t="str">
            <v>pwausxwasapp16</v>
          </cell>
        </row>
        <row r="432">
          <cell r="A432" t="str">
            <v>pwausxwasapp16</v>
          </cell>
        </row>
        <row r="433">
          <cell r="A433" t="str">
            <v>pwausxwasmgt01</v>
          </cell>
        </row>
        <row r="434">
          <cell r="A434" t="str">
            <v>pwausxwasmgt01</v>
          </cell>
        </row>
        <row r="435">
          <cell r="A435" t="str">
            <v>pwausxwpsdb01</v>
          </cell>
        </row>
        <row r="436">
          <cell r="A436" t="str">
            <v>pwausxwpsdb01</v>
          </cell>
        </row>
        <row r="437">
          <cell r="A437" t="str">
            <v>pwausxwpsdb01</v>
          </cell>
        </row>
        <row r="438">
          <cell r="A438" t="str">
            <v>pwausxwpsdb02</v>
          </cell>
        </row>
        <row r="439">
          <cell r="A439" t="str">
            <v>pwausxwpsdb02</v>
          </cell>
        </row>
        <row r="440">
          <cell r="A440" t="str">
            <v>twausxwasapp17</v>
          </cell>
        </row>
        <row r="441">
          <cell r="A441" t="str">
            <v>twausxwasapp17</v>
          </cell>
        </row>
        <row r="442">
          <cell r="A442" t="str">
            <v>twausxwasapp17</v>
          </cell>
        </row>
        <row r="443">
          <cell r="A443" t="str">
            <v>twausxwasapp17</v>
          </cell>
        </row>
        <row r="444">
          <cell r="A444" t="str">
            <v>twausxwasapp17</v>
          </cell>
        </row>
        <row r="445">
          <cell r="A445" t="str">
            <v>twausxwasapp17</v>
          </cell>
        </row>
        <row r="446">
          <cell r="A446" t="str">
            <v>twausxwasapp17</v>
          </cell>
        </row>
        <row r="447">
          <cell r="A447" t="str">
            <v>twausxwasapp17</v>
          </cell>
        </row>
        <row r="448">
          <cell r="A448" t="str">
            <v>twausxwasapp18</v>
          </cell>
        </row>
        <row r="449">
          <cell r="A449" t="str">
            <v>twausxwasapp18</v>
          </cell>
        </row>
        <row r="450">
          <cell r="A450" t="str">
            <v>twausxwasapp19</v>
          </cell>
        </row>
        <row r="451">
          <cell r="A451" t="str">
            <v>twausxwasapp19</v>
          </cell>
        </row>
        <row r="452">
          <cell r="A452" t="str">
            <v>twausxwasapp19</v>
          </cell>
        </row>
        <row r="453">
          <cell r="A453" t="str">
            <v>twausxwasapp19</v>
          </cell>
        </row>
        <row r="454">
          <cell r="A454" t="str">
            <v>twausxwasapp19</v>
          </cell>
        </row>
        <row r="455">
          <cell r="A455" t="str">
            <v>twausxwasapp19</v>
          </cell>
        </row>
        <row r="456">
          <cell r="A456" t="str">
            <v>twausxwasapp20</v>
          </cell>
        </row>
        <row r="457">
          <cell r="A457" t="str">
            <v>twausxwasapp20</v>
          </cell>
        </row>
        <row r="458">
          <cell r="A458" t="str">
            <v>twausxwasmgt01</v>
          </cell>
        </row>
        <row r="459">
          <cell r="A459" t="str">
            <v>twausxwasmgt01</v>
          </cell>
        </row>
        <row r="460">
          <cell r="A460" t="str">
            <v>twausxwasmgt02</v>
          </cell>
        </row>
        <row r="461">
          <cell r="A461" t="str">
            <v>twausxwasmgt02</v>
          </cell>
        </row>
        <row r="462">
          <cell r="A462" t="str">
            <v>twausxwpsdb01</v>
          </cell>
        </row>
        <row r="463">
          <cell r="A463" t="str">
            <v>twausxwpsdb01</v>
          </cell>
        </row>
        <row r="464">
          <cell r="A464" t="str">
            <v>twausxwpsdb01</v>
          </cell>
        </row>
        <row r="465">
          <cell r="A465" t="str">
            <v>twausxwpsdb02</v>
          </cell>
        </row>
        <row r="466">
          <cell r="A466" t="str">
            <v>twausxwpsdb02</v>
          </cell>
        </row>
        <row r="467">
          <cell r="A467" t="str">
            <v>twausxwpsdb02</v>
          </cell>
        </row>
        <row r="468">
          <cell r="A468" t="str">
            <v>twausxwpsdb03</v>
          </cell>
        </row>
        <row r="469">
          <cell r="A469" t="str">
            <v>twausxwpsdb03</v>
          </cell>
        </row>
        <row r="470">
          <cell r="A470" t="str">
            <v>twausxwpsdb04</v>
          </cell>
        </row>
        <row r="471">
          <cell r="A471" t="str">
            <v>twausxwpsdb04</v>
          </cell>
        </row>
        <row r="472">
          <cell r="A472" t="str">
            <v>pwausxwpsdb02</v>
          </cell>
        </row>
        <row r="473">
          <cell r="A473" t="str">
            <v>twausxwasapp09</v>
          </cell>
        </row>
        <row r="474">
          <cell r="A474" t="str">
            <v>twausxwasapp09</v>
          </cell>
        </row>
        <row r="475">
          <cell r="A475" t="str">
            <v>twausxwasapp10</v>
          </cell>
        </row>
        <row r="476">
          <cell r="A476" t="str">
            <v>twausxwasapp10</v>
          </cell>
        </row>
        <row r="477">
          <cell r="A477" t="str">
            <v>pwausxwasapp11</v>
          </cell>
        </row>
        <row r="478">
          <cell r="A478" t="str">
            <v>pwausxwasapp11</v>
          </cell>
        </row>
        <row r="479">
          <cell r="A479" t="str">
            <v>pwausxwasapp12</v>
          </cell>
        </row>
        <row r="480">
          <cell r="A480" t="str">
            <v>pwausxwasapp12</v>
          </cell>
        </row>
        <row r="481">
          <cell r="A481" t="str">
            <v>twausxwasapp11</v>
          </cell>
        </row>
        <row r="482">
          <cell r="A482" t="str">
            <v>twausxwasapp11</v>
          </cell>
        </row>
        <row r="483">
          <cell r="A483" t="str">
            <v>twausxwasapp12</v>
          </cell>
        </row>
        <row r="484">
          <cell r="A484" t="str">
            <v>twausxwasapp12</v>
          </cell>
        </row>
        <row r="485">
          <cell r="A485" t="str">
            <v>twauswcswb13</v>
          </cell>
        </row>
        <row r="486">
          <cell r="A486" t="str">
            <v>twauswcswb13</v>
          </cell>
        </row>
        <row r="487">
          <cell r="A487" t="str">
            <v>twuaswcsap22</v>
          </cell>
        </row>
        <row r="488">
          <cell r="A488" t="str">
            <v>twauswcsap23</v>
          </cell>
        </row>
        <row r="489">
          <cell r="A489" t="str">
            <v>twauswcsap24</v>
          </cell>
        </row>
        <row r="490">
          <cell r="A490" t="str">
            <v>twauswcsgw12</v>
          </cell>
        </row>
        <row r="491">
          <cell r="A491" t="str">
            <v>twausxsbldb05</v>
          </cell>
        </row>
        <row r="492">
          <cell r="A492" t="str">
            <v>twausxsbldb05</v>
          </cell>
        </row>
        <row r="493">
          <cell r="A493" t="str">
            <v>twausxsbldb05</v>
          </cell>
        </row>
        <row r="494">
          <cell r="A494" t="str">
            <v>twausxsbldb04</v>
          </cell>
        </row>
        <row r="495">
          <cell r="A495" t="str">
            <v>twausxsbldb04</v>
          </cell>
        </row>
        <row r="496">
          <cell r="A496" t="str">
            <v>twausxsbldb04</v>
          </cell>
        </row>
        <row r="497">
          <cell r="A497" t="str">
            <v>pwauswcswb14</v>
          </cell>
        </row>
        <row r="498">
          <cell r="A498" t="str">
            <v>pwauswcswb14</v>
          </cell>
        </row>
        <row r="499">
          <cell r="A499" t="str">
            <v>pwauswcswb15</v>
          </cell>
        </row>
        <row r="500">
          <cell r="A500" t="str">
            <v>pwauswcswb15</v>
          </cell>
        </row>
        <row r="501">
          <cell r="A501" t="str">
            <v>pwauswcswb15</v>
          </cell>
        </row>
        <row r="502">
          <cell r="A502" t="str">
            <v>pwauswcsap40</v>
          </cell>
        </row>
        <row r="503">
          <cell r="A503" t="str">
            <v>pwauswcsap41</v>
          </cell>
        </row>
        <row r="504">
          <cell r="A504" t="str">
            <v>pwauswcsap41</v>
          </cell>
        </row>
        <row r="505">
          <cell r="A505" t="str">
            <v>pwauswcsap42</v>
          </cell>
        </row>
        <row r="506">
          <cell r="A506" t="str">
            <v>pwauswcsgw12</v>
          </cell>
        </row>
        <row r="507">
          <cell r="A507" t="str">
            <v>pwausxsbldb03</v>
          </cell>
        </row>
        <row r="508">
          <cell r="A508" t="str">
            <v>pwausxsbldb03</v>
          </cell>
        </row>
        <row r="509">
          <cell r="A509" t="str">
            <v>pwausxsbldb03</v>
          </cell>
        </row>
        <row r="510">
          <cell r="A510" t="str">
            <v>pwausxsbldb04</v>
          </cell>
        </row>
        <row r="511">
          <cell r="A511" t="str">
            <v>pwausxsbldb04</v>
          </cell>
        </row>
        <row r="512">
          <cell r="A512" t="str">
            <v>pwausxsbldb04</v>
          </cell>
        </row>
        <row r="513">
          <cell r="A513" t="str">
            <v>twauswfdsq0101</v>
          </cell>
        </row>
        <row r="514">
          <cell r="A514" t="str">
            <v>twauswfdsq0101</v>
          </cell>
        </row>
        <row r="515">
          <cell r="A515" t="str">
            <v>twauswfdsq0102</v>
          </cell>
        </row>
        <row r="516">
          <cell r="A516" t="str">
            <v>twauswfdsq0102</v>
          </cell>
        </row>
        <row r="517">
          <cell r="A517" t="str">
            <v>twauswfdsq0101</v>
          </cell>
        </row>
        <row r="518">
          <cell r="A518" t="str">
            <v>twauswfdsq0101</v>
          </cell>
        </row>
        <row r="519">
          <cell r="A519" t="str">
            <v>twauswfdsq0101</v>
          </cell>
        </row>
        <row r="520">
          <cell r="A520" t="str">
            <v>twauswfdsq0101</v>
          </cell>
        </row>
        <row r="521">
          <cell r="A521" t="str">
            <v>pwauswfdsq0201</v>
          </cell>
        </row>
        <row r="522">
          <cell r="A522" t="str">
            <v>pwauswfdsq0201</v>
          </cell>
        </row>
        <row r="523">
          <cell r="A523" t="str">
            <v>pwauswfdsq0202</v>
          </cell>
        </row>
        <row r="524">
          <cell r="A524" t="str">
            <v>pwauswfdsq0202</v>
          </cell>
        </row>
        <row r="525">
          <cell r="A525" t="str">
            <v>pwauswfdsq0201</v>
          </cell>
        </row>
        <row r="526">
          <cell r="A526" t="str">
            <v>pwauswfdsq0201</v>
          </cell>
        </row>
        <row r="527">
          <cell r="A527" t="str">
            <v>pwauswfdsq0201</v>
          </cell>
        </row>
        <row r="528">
          <cell r="A528" t="str">
            <v>pwauswfdsq0201</v>
          </cell>
        </row>
        <row r="529">
          <cell r="A529" t="str">
            <v>twausxmqmbrk01</v>
          </cell>
        </row>
        <row r="530">
          <cell r="A530" t="str">
            <v>twausxmqmbrk01</v>
          </cell>
        </row>
        <row r="531">
          <cell r="A531" t="str">
            <v>twausxmqmbrk02</v>
          </cell>
        </row>
        <row r="532">
          <cell r="A532" t="str">
            <v>twausxmqmbrk02</v>
          </cell>
        </row>
        <row r="533">
          <cell r="A533" t="str">
            <v>twausxmqmbrk02</v>
          </cell>
        </row>
        <row r="534">
          <cell r="A534" t="str">
            <v>twausxmqmbrk03</v>
          </cell>
        </row>
        <row r="535">
          <cell r="A535" t="str">
            <v>twausxmqmbrk03</v>
          </cell>
        </row>
        <row r="536">
          <cell r="A536" t="str">
            <v>twausxmqmbrk03</v>
          </cell>
        </row>
        <row r="537">
          <cell r="A537" t="str">
            <v>pwausxmqmbrk01</v>
          </cell>
        </row>
        <row r="538">
          <cell r="A538" t="str">
            <v>pwausxmqmbrk01</v>
          </cell>
        </row>
        <row r="539">
          <cell r="A539" t="str">
            <v>pwausxmqmbrk01</v>
          </cell>
        </row>
        <row r="540">
          <cell r="A540" t="str">
            <v>pwausxmqmbrk02</v>
          </cell>
        </row>
        <row r="541">
          <cell r="A541" t="str">
            <v>pwausxmqmbrk02</v>
          </cell>
        </row>
        <row r="542">
          <cell r="A542" t="str">
            <v>pwausxmqmbrk02</v>
          </cell>
        </row>
        <row r="543">
          <cell r="A543" t="str">
            <v>twauswcswb14</v>
          </cell>
        </row>
        <row r="544">
          <cell r="A544" t="str">
            <v>twauswcswb14</v>
          </cell>
        </row>
        <row r="545">
          <cell r="A545" t="str">
            <v>twauswcswb15</v>
          </cell>
        </row>
        <row r="546">
          <cell r="A546" t="str">
            <v>twauswcswb15</v>
          </cell>
        </row>
        <row r="547">
          <cell r="A547" t="str">
            <v>twauswcswb15</v>
          </cell>
        </row>
        <row r="548">
          <cell r="A548" t="str">
            <v>twauswcsap25</v>
          </cell>
        </row>
        <row r="549">
          <cell r="A549" t="str">
            <v>twauswcsap25</v>
          </cell>
        </row>
        <row r="550">
          <cell r="A550" t="str">
            <v>twauswcsap26</v>
          </cell>
        </row>
        <row r="551">
          <cell r="A551" t="str">
            <v>twauswcsap27</v>
          </cell>
        </row>
        <row r="552">
          <cell r="A552" t="str">
            <v>twauswcsap28</v>
          </cell>
        </row>
        <row r="553">
          <cell r="A553" t="str">
            <v>twauswcsrp01</v>
          </cell>
        </row>
        <row r="554">
          <cell r="A554" t="str">
            <v>twausxsblapp06</v>
          </cell>
        </row>
        <row r="555">
          <cell r="A555" t="str">
            <v>twausxsblapp06</v>
          </cell>
        </row>
        <row r="556">
          <cell r="A556" t="str">
            <v>twausxsblapp06</v>
          </cell>
        </row>
        <row r="557">
          <cell r="A557" t="str">
            <v>twausxsblapp07</v>
          </cell>
        </row>
        <row r="558">
          <cell r="A558" t="str">
            <v>twausxsblapp07</v>
          </cell>
        </row>
        <row r="559">
          <cell r="A559" t="str">
            <v>twausxsblapp07</v>
          </cell>
        </row>
        <row r="560">
          <cell r="A560" t="str">
            <v>twausxsbldb07</v>
          </cell>
        </row>
        <row r="561">
          <cell r="A561" t="str">
            <v>twausxsbldb07</v>
          </cell>
        </row>
        <row r="562">
          <cell r="A562" t="str">
            <v>twausxsbldb07</v>
          </cell>
        </row>
        <row r="563">
          <cell r="A563" t="str">
            <v>twausxsbldb06</v>
          </cell>
        </row>
        <row r="564">
          <cell r="A564" t="str">
            <v>twausxsbldb06</v>
          </cell>
        </row>
        <row r="565">
          <cell r="A565" t="str">
            <v>twausxsbldb06</v>
          </cell>
        </row>
        <row r="566">
          <cell r="A566" t="str">
            <v>pwauswcswb16</v>
          </cell>
        </row>
        <row r="567">
          <cell r="A567" t="str">
            <v>pwauswcswb16</v>
          </cell>
        </row>
        <row r="568">
          <cell r="A568" t="str">
            <v>pwauswcswb17</v>
          </cell>
        </row>
        <row r="569">
          <cell r="A569" t="str">
            <v>pwauswcswb17</v>
          </cell>
        </row>
        <row r="570">
          <cell r="A570" t="str">
            <v>pwauswcswb17</v>
          </cell>
        </row>
        <row r="571">
          <cell r="A571" t="str">
            <v>pwauswcsap43</v>
          </cell>
        </row>
        <row r="572">
          <cell r="A572" t="str">
            <v>pwauswcsap44</v>
          </cell>
        </row>
        <row r="573">
          <cell r="A573" t="str">
            <v>pwauswcsap45</v>
          </cell>
        </row>
        <row r="574">
          <cell r="A574" t="str">
            <v>pwauswcsap46</v>
          </cell>
        </row>
        <row r="575">
          <cell r="A575" t="str">
            <v>pwauswcsap46</v>
          </cell>
        </row>
        <row r="576">
          <cell r="A576" t="str">
            <v>pwauswcsgw13</v>
          </cell>
        </row>
        <row r="577">
          <cell r="A577" t="str">
            <v>pwauswcsrp01</v>
          </cell>
        </row>
        <row r="578">
          <cell r="A578" t="str">
            <v>pwausxsblapp06</v>
          </cell>
        </row>
        <row r="579">
          <cell r="A579" t="str">
            <v>pwausxsblapp06</v>
          </cell>
        </row>
        <row r="580">
          <cell r="A580" t="str">
            <v>pwausxsblapp06</v>
          </cell>
        </row>
        <row r="581">
          <cell r="A581" t="str">
            <v>pwausxsblapp07</v>
          </cell>
        </row>
        <row r="582">
          <cell r="A582" t="str">
            <v>pwausxsblapp07</v>
          </cell>
        </row>
        <row r="583">
          <cell r="A583" t="str">
            <v>pwausxsblapp07</v>
          </cell>
        </row>
        <row r="584">
          <cell r="A584" t="str">
            <v>pwausxsbldb05</v>
          </cell>
        </row>
        <row r="585">
          <cell r="A585" t="str">
            <v>pwausxsbldb05</v>
          </cell>
        </row>
        <row r="586">
          <cell r="A586" t="str">
            <v>pwausxsbldb05</v>
          </cell>
        </row>
        <row r="587">
          <cell r="A587" t="str">
            <v>pwausxsbldb06</v>
          </cell>
        </row>
        <row r="588">
          <cell r="A588" t="str">
            <v>pwausxsbldb06</v>
          </cell>
        </row>
        <row r="589">
          <cell r="A589" t="str">
            <v>pwausxsbldb06</v>
          </cell>
        </row>
        <row r="590">
          <cell r="A590" t="str">
            <v>twausxwasapp13</v>
          </cell>
        </row>
        <row r="591">
          <cell r="A591" t="str">
            <v>twausxwasapp13</v>
          </cell>
        </row>
        <row r="592">
          <cell r="A592" t="str">
            <v>twausxwasapp14</v>
          </cell>
        </row>
        <row r="593">
          <cell r="A593" t="str">
            <v>twausxwasapp14</v>
          </cell>
        </row>
        <row r="594">
          <cell r="A594" t="str">
            <v>pwausxwasapp13</v>
          </cell>
        </row>
        <row r="595">
          <cell r="A595" t="str">
            <v>pwausxwasapp13</v>
          </cell>
        </row>
        <row r="596">
          <cell r="A596" t="str">
            <v>pwausxwasapp14</v>
          </cell>
        </row>
        <row r="597">
          <cell r="A597" t="str">
            <v>pwausxwasapp14</v>
          </cell>
        </row>
        <row r="598">
          <cell r="A598">
            <v>0</v>
          </cell>
        </row>
        <row r="599">
          <cell r="A599">
            <v>0</v>
          </cell>
        </row>
        <row r="600">
          <cell r="A600">
            <v>0</v>
          </cell>
        </row>
        <row r="601">
          <cell r="A601">
            <v>0</v>
          </cell>
        </row>
        <row r="602">
          <cell r="A602">
            <v>0</v>
          </cell>
        </row>
        <row r="603">
          <cell r="A603">
            <v>0</v>
          </cell>
        </row>
        <row r="604">
          <cell r="A604">
            <v>0</v>
          </cell>
        </row>
        <row r="605">
          <cell r="A605">
            <v>0</v>
          </cell>
        </row>
        <row r="606">
          <cell r="A606">
            <v>0</v>
          </cell>
        </row>
        <row r="607">
          <cell r="A607">
            <v>0</v>
          </cell>
        </row>
        <row r="608">
          <cell r="A608">
            <v>0</v>
          </cell>
        </row>
        <row r="609">
          <cell r="A609">
            <v>0</v>
          </cell>
        </row>
        <row r="610">
          <cell r="A610">
            <v>0</v>
          </cell>
        </row>
        <row r="611">
          <cell r="A611">
            <v>0</v>
          </cell>
        </row>
        <row r="612">
          <cell r="A612">
            <v>0</v>
          </cell>
        </row>
        <row r="613">
          <cell r="A613">
            <v>0</v>
          </cell>
        </row>
        <row r="614">
          <cell r="A614">
            <v>0</v>
          </cell>
        </row>
        <row r="615">
          <cell r="A615">
            <v>0</v>
          </cell>
        </row>
        <row r="616">
          <cell r="A616">
            <v>0</v>
          </cell>
        </row>
        <row r="617">
          <cell r="A617">
            <v>0</v>
          </cell>
        </row>
        <row r="618">
          <cell r="A618">
            <v>0</v>
          </cell>
        </row>
        <row r="619">
          <cell r="A619">
            <v>0</v>
          </cell>
        </row>
        <row r="620">
          <cell r="A620">
            <v>0</v>
          </cell>
        </row>
        <row r="621">
          <cell r="A621">
            <v>0</v>
          </cell>
        </row>
        <row r="622">
          <cell r="A622">
            <v>0</v>
          </cell>
        </row>
        <row r="623">
          <cell r="A623">
            <v>0</v>
          </cell>
        </row>
        <row r="624">
          <cell r="A624">
            <v>0</v>
          </cell>
        </row>
        <row r="625">
          <cell r="A625">
            <v>0</v>
          </cell>
        </row>
        <row r="626">
          <cell r="A626">
            <v>0</v>
          </cell>
        </row>
        <row r="627">
          <cell r="A627">
            <v>0</v>
          </cell>
        </row>
        <row r="628">
          <cell r="A628">
            <v>0</v>
          </cell>
        </row>
        <row r="629">
          <cell r="A629">
            <v>0</v>
          </cell>
        </row>
        <row r="630">
          <cell r="A630">
            <v>0</v>
          </cell>
        </row>
        <row r="631">
          <cell r="A631">
            <v>0</v>
          </cell>
        </row>
        <row r="632">
          <cell r="A632">
            <v>0</v>
          </cell>
        </row>
        <row r="633">
          <cell r="A633">
            <v>0</v>
          </cell>
        </row>
        <row r="634">
          <cell r="A634">
            <v>0</v>
          </cell>
        </row>
        <row r="635">
          <cell r="A635">
            <v>0</v>
          </cell>
        </row>
        <row r="636">
          <cell r="A636">
            <v>0</v>
          </cell>
        </row>
        <row r="637">
          <cell r="A637">
            <v>0</v>
          </cell>
        </row>
        <row r="638">
          <cell r="A638">
            <v>0</v>
          </cell>
        </row>
        <row r="639">
          <cell r="A639">
            <v>0</v>
          </cell>
        </row>
        <row r="640">
          <cell r="A640">
            <v>0</v>
          </cell>
        </row>
        <row r="641">
          <cell r="A641">
            <v>0</v>
          </cell>
        </row>
        <row r="642">
          <cell r="A642">
            <v>0</v>
          </cell>
        </row>
        <row r="643">
          <cell r="A643">
            <v>0</v>
          </cell>
        </row>
        <row r="644">
          <cell r="A644">
            <v>0</v>
          </cell>
        </row>
        <row r="645">
          <cell r="A645">
            <v>0</v>
          </cell>
        </row>
        <row r="646">
          <cell r="A646">
            <v>0</v>
          </cell>
        </row>
        <row r="647">
          <cell r="A647">
            <v>0</v>
          </cell>
        </row>
        <row r="648">
          <cell r="A648">
            <v>0</v>
          </cell>
        </row>
        <row r="649">
          <cell r="A649">
            <v>0</v>
          </cell>
        </row>
        <row r="650">
          <cell r="A650">
            <v>0</v>
          </cell>
        </row>
        <row r="651">
          <cell r="A651">
            <v>0</v>
          </cell>
        </row>
        <row r="652">
          <cell r="A652">
            <v>0</v>
          </cell>
        </row>
        <row r="653">
          <cell r="A653">
            <v>0</v>
          </cell>
        </row>
        <row r="654">
          <cell r="A654">
            <v>0</v>
          </cell>
        </row>
        <row r="655">
          <cell r="A655">
            <v>0</v>
          </cell>
        </row>
        <row r="656">
          <cell r="A656">
            <v>0</v>
          </cell>
        </row>
        <row r="657">
          <cell r="A657">
            <v>0</v>
          </cell>
        </row>
        <row r="658">
          <cell r="A658">
            <v>0</v>
          </cell>
        </row>
        <row r="659">
          <cell r="A659">
            <v>0</v>
          </cell>
        </row>
        <row r="660">
          <cell r="A660">
            <v>0</v>
          </cell>
        </row>
        <row r="661">
          <cell r="A661">
            <v>0</v>
          </cell>
        </row>
        <row r="662">
          <cell r="A662">
            <v>0</v>
          </cell>
        </row>
        <row r="663">
          <cell r="A663">
            <v>0</v>
          </cell>
        </row>
        <row r="664">
          <cell r="A664">
            <v>0</v>
          </cell>
        </row>
        <row r="665">
          <cell r="A665">
            <v>0</v>
          </cell>
        </row>
        <row r="666">
          <cell r="A666">
            <v>0</v>
          </cell>
        </row>
        <row r="667">
          <cell r="A667">
            <v>0</v>
          </cell>
        </row>
        <row r="668">
          <cell r="A668">
            <v>0</v>
          </cell>
        </row>
        <row r="669">
          <cell r="A669">
            <v>0</v>
          </cell>
        </row>
        <row r="670">
          <cell r="A670">
            <v>0</v>
          </cell>
        </row>
        <row r="671">
          <cell r="A671">
            <v>0</v>
          </cell>
        </row>
        <row r="672">
          <cell r="A672">
            <v>0</v>
          </cell>
        </row>
        <row r="673">
          <cell r="A673">
            <v>0</v>
          </cell>
        </row>
        <row r="674">
          <cell r="A674">
            <v>0</v>
          </cell>
        </row>
        <row r="675">
          <cell r="A675">
            <v>0</v>
          </cell>
        </row>
        <row r="676">
          <cell r="A676">
            <v>0</v>
          </cell>
        </row>
        <row r="677">
          <cell r="A677">
            <v>0</v>
          </cell>
        </row>
        <row r="678">
          <cell r="A678">
            <v>0</v>
          </cell>
        </row>
        <row r="679">
          <cell r="A679">
            <v>0</v>
          </cell>
        </row>
        <row r="680">
          <cell r="A680">
            <v>0</v>
          </cell>
        </row>
        <row r="681">
          <cell r="A681">
            <v>0</v>
          </cell>
        </row>
        <row r="682">
          <cell r="A682">
            <v>0</v>
          </cell>
        </row>
        <row r="683">
          <cell r="A683">
            <v>0</v>
          </cell>
        </row>
        <row r="684">
          <cell r="A684">
            <v>0</v>
          </cell>
        </row>
        <row r="685">
          <cell r="A685">
            <v>0</v>
          </cell>
        </row>
        <row r="686">
          <cell r="A686">
            <v>0</v>
          </cell>
        </row>
        <row r="687">
          <cell r="A687">
            <v>0</v>
          </cell>
        </row>
        <row r="688">
          <cell r="A688">
            <v>0</v>
          </cell>
        </row>
        <row r="689">
          <cell r="A689">
            <v>0</v>
          </cell>
        </row>
        <row r="690">
          <cell r="A690">
            <v>0</v>
          </cell>
        </row>
        <row r="691">
          <cell r="A691">
            <v>0</v>
          </cell>
        </row>
        <row r="692">
          <cell r="A692">
            <v>0</v>
          </cell>
        </row>
        <row r="693">
          <cell r="A693">
            <v>0</v>
          </cell>
        </row>
        <row r="694">
          <cell r="A694">
            <v>0</v>
          </cell>
        </row>
        <row r="695">
          <cell r="A695">
            <v>0</v>
          </cell>
        </row>
        <row r="696">
          <cell r="A696">
            <v>0</v>
          </cell>
        </row>
        <row r="697">
          <cell r="A697">
            <v>0</v>
          </cell>
        </row>
        <row r="698">
          <cell r="A698">
            <v>0</v>
          </cell>
        </row>
        <row r="699">
          <cell r="A699">
            <v>0</v>
          </cell>
        </row>
        <row r="700">
          <cell r="A700">
            <v>0</v>
          </cell>
        </row>
        <row r="701">
          <cell r="A701">
            <v>0</v>
          </cell>
        </row>
        <row r="702">
          <cell r="A702">
            <v>0</v>
          </cell>
        </row>
        <row r="703">
          <cell r="A703">
            <v>0</v>
          </cell>
        </row>
        <row r="704">
          <cell r="A704">
            <v>0</v>
          </cell>
        </row>
        <row r="705">
          <cell r="A705">
            <v>0</v>
          </cell>
        </row>
        <row r="706">
          <cell r="A706">
            <v>0</v>
          </cell>
        </row>
        <row r="707">
          <cell r="A707">
            <v>0</v>
          </cell>
        </row>
        <row r="708">
          <cell r="A708">
            <v>0</v>
          </cell>
        </row>
        <row r="709">
          <cell r="A709">
            <v>0</v>
          </cell>
        </row>
        <row r="710">
          <cell r="A710">
            <v>0</v>
          </cell>
        </row>
        <row r="711">
          <cell r="A711">
            <v>0</v>
          </cell>
        </row>
        <row r="712">
          <cell r="A712">
            <v>0</v>
          </cell>
        </row>
        <row r="713">
          <cell r="A713">
            <v>0</v>
          </cell>
        </row>
        <row r="714">
          <cell r="A714">
            <v>0</v>
          </cell>
        </row>
        <row r="715">
          <cell r="A715">
            <v>0</v>
          </cell>
        </row>
        <row r="716">
          <cell r="A716">
            <v>0</v>
          </cell>
        </row>
        <row r="717">
          <cell r="A717">
            <v>0</v>
          </cell>
        </row>
        <row r="718">
          <cell r="A718">
            <v>0</v>
          </cell>
        </row>
        <row r="719">
          <cell r="A719">
            <v>0</v>
          </cell>
        </row>
        <row r="720">
          <cell r="A720">
            <v>0</v>
          </cell>
        </row>
        <row r="721">
          <cell r="A721">
            <v>0</v>
          </cell>
        </row>
        <row r="722">
          <cell r="A722">
            <v>0</v>
          </cell>
        </row>
        <row r="723">
          <cell r="A723">
            <v>0</v>
          </cell>
        </row>
        <row r="724">
          <cell r="A724">
            <v>0</v>
          </cell>
        </row>
        <row r="725">
          <cell r="A725">
            <v>0</v>
          </cell>
        </row>
        <row r="726">
          <cell r="A726">
            <v>0</v>
          </cell>
        </row>
        <row r="727">
          <cell r="A727">
            <v>0</v>
          </cell>
        </row>
        <row r="728">
          <cell r="A728">
            <v>0</v>
          </cell>
        </row>
        <row r="729">
          <cell r="A729">
            <v>0</v>
          </cell>
        </row>
        <row r="730">
          <cell r="A730">
            <v>0</v>
          </cell>
        </row>
        <row r="731">
          <cell r="A731">
            <v>0</v>
          </cell>
        </row>
        <row r="732">
          <cell r="A732">
            <v>0</v>
          </cell>
        </row>
        <row r="733">
          <cell r="A733">
            <v>0</v>
          </cell>
        </row>
        <row r="734">
          <cell r="A734">
            <v>0</v>
          </cell>
        </row>
        <row r="735">
          <cell r="A735">
            <v>0</v>
          </cell>
        </row>
        <row r="736">
          <cell r="A736">
            <v>0</v>
          </cell>
        </row>
        <row r="737">
          <cell r="A737">
            <v>0</v>
          </cell>
        </row>
        <row r="738">
          <cell r="A738">
            <v>0</v>
          </cell>
        </row>
        <row r="739">
          <cell r="A739">
            <v>0</v>
          </cell>
        </row>
        <row r="740">
          <cell r="A740">
            <v>0</v>
          </cell>
        </row>
        <row r="741">
          <cell r="A741">
            <v>0</v>
          </cell>
        </row>
        <row r="742">
          <cell r="A742">
            <v>0</v>
          </cell>
        </row>
        <row r="743">
          <cell r="A743">
            <v>0</v>
          </cell>
        </row>
        <row r="744">
          <cell r="A744">
            <v>0</v>
          </cell>
        </row>
        <row r="745">
          <cell r="A745">
            <v>0</v>
          </cell>
        </row>
        <row r="746">
          <cell r="A746">
            <v>0</v>
          </cell>
        </row>
        <row r="747">
          <cell r="A747">
            <v>0</v>
          </cell>
        </row>
        <row r="748">
          <cell r="A748">
            <v>0</v>
          </cell>
        </row>
        <row r="749">
          <cell r="A749">
            <v>0</v>
          </cell>
        </row>
        <row r="750">
          <cell r="A750">
            <v>0</v>
          </cell>
        </row>
        <row r="751">
          <cell r="A751">
            <v>0</v>
          </cell>
        </row>
        <row r="752">
          <cell r="A752">
            <v>0</v>
          </cell>
        </row>
        <row r="753">
          <cell r="A753">
            <v>0</v>
          </cell>
        </row>
        <row r="754">
          <cell r="A754">
            <v>0</v>
          </cell>
        </row>
        <row r="755">
          <cell r="A755">
            <v>0</v>
          </cell>
        </row>
        <row r="756">
          <cell r="A756">
            <v>0</v>
          </cell>
        </row>
        <row r="757">
          <cell r="A757">
            <v>0</v>
          </cell>
        </row>
        <row r="758">
          <cell r="A758">
            <v>0</v>
          </cell>
        </row>
        <row r="759">
          <cell r="A759">
            <v>0</v>
          </cell>
        </row>
        <row r="760">
          <cell r="A760">
            <v>0</v>
          </cell>
        </row>
        <row r="761">
          <cell r="A761">
            <v>0</v>
          </cell>
        </row>
        <row r="762">
          <cell r="A762">
            <v>0</v>
          </cell>
        </row>
        <row r="763">
          <cell r="A763">
            <v>0</v>
          </cell>
        </row>
        <row r="764">
          <cell r="A764">
            <v>0</v>
          </cell>
        </row>
        <row r="765">
          <cell r="A765">
            <v>0</v>
          </cell>
        </row>
        <row r="766">
          <cell r="A766">
            <v>0</v>
          </cell>
        </row>
        <row r="767">
          <cell r="A767">
            <v>0</v>
          </cell>
        </row>
        <row r="768">
          <cell r="A768">
            <v>0</v>
          </cell>
        </row>
        <row r="769">
          <cell r="A769">
            <v>0</v>
          </cell>
        </row>
        <row r="770">
          <cell r="A770">
            <v>0</v>
          </cell>
        </row>
        <row r="771">
          <cell r="A771">
            <v>0</v>
          </cell>
        </row>
        <row r="772">
          <cell r="A772">
            <v>0</v>
          </cell>
        </row>
        <row r="773">
          <cell r="A773">
            <v>0</v>
          </cell>
        </row>
        <row r="774">
          <cell r="A774">
            <v>0</v>
          </cell>
        </row>
        <row r="775">
          <cell r="A775">
            <v>0</v>
          </cell>
        </row>
        <row r="776">
          <cell r="A776">
            <v>0</v>
          </cell>
        </row>
        <row r="777">
          <cell r="A777">
            <v>0</v>
          </cell>
        </row>
        <row r="778">
          <cell r="A778">
            <v>0</v>
          </cell>
        </row>
        <row r="779">
          <cell r="A779">
            <v>0</v>
          </cell>
        </row>
        <row r="780">
          <cell r="A780">
            <v>0</v>
          </cell>
        </row>
        <row r="781">
          <cell r="A781">
            <v>0</v>
          </cell>
        </row>
        <row r="782">
          <cell r="A782">
            <v>0</v>
          </cell>
        </row>
        <row r="783">
          <cell r="A783">
            <v>0</v>
          </cell>
        </row>
        <row r="784">
          <cell r="A784">
            <v>0</v>
          </cell>
        </row>
        <row r="785">
          <cell r="A785">
            <v>0</v>
          </cell>
        </row>
        <row r="786">
          <cell r="A786">
            <v>0</v>
          </cell>
        </row>
        <row r="787">
          <cell r="A787">
            <v>0</v>
          </cell>
        </row>
        <row r="788">
          <cell r="A788">
            <v>0</v>
          </cell>
        </row>
        <row r="789">
          <cell r="A789">
            <v>0</v>
          </cell>
        </row>
        <row r="790">
          <cell r="A790">
            <v>0</v>
          </cell>
        </row>
        <row r="791">
          <cell r="A791">
            <v>0</v>
          </cell>
        </row>
        <row r="792">
          <cell r="A792">
            <v>0</v>
          </cell>
        </row>
        <row r="793">
          <cell r="A793">
            <v>0</v>
          </cell>
        </row>
        <row r="794">
          <cell r="A794">
            <v>0</v>
          </cell>
        </row>
        <row r="795">
          <cell r="A795">
            <v>0</v>
          </cell>
        </row>
        <row r="796">
          <cell r="A796">
            <v>0</v>
          </cell>
        </row>
        <row r="797">
          <cell r="A797">
            <v>0</v>
          </cell>
        </row>
        <row r="798">
          <cell r="A798">
            <v>0</v>
          </cell>
        </row>
        <row r="799">
          <cell r="A799">
            <v>0</v>
          </cell>
        </row>
        <row r="800">
          <cell r="A800">
            <v>0</v>
          </cell>
        </row>
        <row r="801">
          <cell r="A801">
            <v>0</v>
          </cell>
        </row>
        <row r="802">
          <cell r="A802">
            <v>0</v>
          </cell>
        </row>
        <row r="803">
          <cell r="A803">
            <v>0</v>
          </cell>
        </row>
        <row r="804">
          <cell r="A804">
            <v>0</v>
          </cell>
        </row>
        <row r="805">
          <cell r="A805">
            <v>0</v>
          </cell>
        </row>
        <row r="806">
          <cell r="A806">
            <v>0</v>
          </cell>
        </row>
        <row r="807">
          <cell r="A807">
            <v>0</v>
          </cell>
        </row>
        <row r="808">
          <cell r="A808">
            <v>0</v>
          </cell>
        </row>
        <row r="809">
          <cell r="A809">
            <v>0</v>
          </cell>
        </row>
        <row r="810">
          <cell r="A810">
            <v>0</v>
          </cell>
        </row>
        <row r="811">
          <cell r="A811">
            <v>0</v>
          </cell>
        </row>
        <row r="812">
          <cell r="A812">
            <v>0</v>
          </cell>
        </row>
        <row r="813">
          <cell r="A813">
            <v>0</v>
          </cell>
        </row>
        <row r="814">
          <cell r="A814">
            <v>0</v>
          </cell>
        </row>
        <row r="815">
          <cell r="A815">
            <v>0</v>
          </cell>
        </row>
        <row r="816">
          <cell r="A816">
            <v>0</v>
          </cell>
        </row>
        <row r="817">
          <cell r="A817">
            <v>0</v>
          </cell>
        </row>
        <row r="818">
          <cell r="A818">
            <v>0</v>
          </cell>
        </row>
        <row r="819">
          <cell r="A819">
            <v>0</v>
          </cell>
        </row>
        <row r="820">
          <cell r="A820">
            <v>0</v>
          </cell>
        </row>
        <row r="821">
          <cell r="A821">
            <v>0</v>
          </cell>
        </row>
        <row r="822">
          <cell r="A822">
            <v>0</v>
          </cell>
        </row>
        <row r="823">
          <cell r="A823">
            <v>0</v>
          </cell>
        </row>
        <row r="824">
          <cell r="A824">
            <v>0</v>
          </cell>
        </row>
        <row r="825">
          <cell r="A825">
            <v>0</v>
          </cell>
        </row>
        <row r="826">
          <cell r="A826">
            <v>0</v>
          </cell>
        </row>
        <row r="827">
          <cell r="A827">
            <v>0</v>
          </cell>
        </row>
        <row r="828">
          <cell r="A828">
            <v>0</v>
          </cell>
        </row>
        <row r="829">
          <cell r="A829">
            <v>0</v>
          </cell>
        </row>
        <row r="830">
          <cell r="A830">
            <v>0</v>
          </cell>
        </row>
        <row r="831">
          <cell r="A831">
            <v>0</v>
          </cell>
        </row>
        <row r="832">
          <cell r="A832">
            <v>0</v>
          </cell>
        </row>
        <row r="833">
          <cell r="A833">
            <v>0</v>
          </cell>
        </row>
        <row r="834">
          <cell r="A834">
            <v>0</v>
          </cell>
        </row>
        <row r="835">
          <cell r="A835">
            <v>0</v>
          </cell>
        </row>
        <row r="836">
          <cell r="A836">
            <v>0</v>
          </cell>
        </row>
        <row r="837">
          <cell r="A837">
            <v>0</v>
          </cell>
        </row>
        <row r="838">
          <cell r="A838">
            <v>0</v>
          </cell>
        </row>
        <row r="839">
          <cell r="A839">
            <v>0</v>
          </cell>
        </row>
        <row r="840">
          <cell r="A840">
            <v>0</v>
          </cell>
        </row>
        <row r="841">
          <cell r="A841">
            <v>0</v>
          </cell>
        </row>
        <row r="842">
          <cell r="A842">
            <v>0</v>
          </cell>
        </row>
        <row r="843">
          <cell r="A843">
            <v>0</v>
          </cell>
        </row>
        <row r="844">
          <cell r="A844">
            <v>0</v>
          </cell>
        </row>
        <row r="845">
          <cell r="A845">
            <v>0</v>
          </cell>
        </row>
        <row r="846">
          <cell r="A846">
            <v>0</v>
          </cell>
        </row>
        <row r="847">
          <cell r="A847">
            <v>0</v>
          </cell>
        </row>
        <row r="848">
          <cell r="A848">
            <v>0</v>
          </cell>
        </row>
        <row r="849">
          <cell r="A849">
            <v>0</v>
          </cell>
        </row>
        <row r="850">
          <cell r="A850">
            <v>0</v>
          </cell>
        </row>
        <row r="851">
          <cell r="A851">
            <v>0</v>
          </cell>
        </row>
        <row r="852">
          <cell r="A852">
            <v>0</v>
          </cell>
        </row>
        <row r="853">
          <cell r="A853">
            <v>0</v>
          </cell>
        </row>
        <row r="854">
          <cell r="A854">
            <v>0</v>
          </cell>
        </row>
        <row r="855">
          <cell r="A855">
            <v>0</v>
          </cell>
        </row>
        <row r="856">
          <cell r="A856">
            <v>0</v>
          </cell>
        </row>
        <row r="857">
          <cell r="A857">
            <v>0</v>
          </cell>
        </row>
        <row r="858">
          <cell r="A858">
            <v>0</v>
          </cell>
        </row>
        <row r="859">
          <cell r="A859">
            <v>0</v>
          </cell>
        </row>
        <row r="860">
          <cell r="A860">
            <v>0</v>
          </cell>
        </row>
        <row r="861">
          <cell r="A861">
            <v>0</v>
          </cell>
        </row>
        <row r="862">
          <cell r="A862">
            <v>0</v>
          </cell>
        </row>
        <row r="863">
          <cell r="A863">
            <v>0</v>
          </cell>
        </row>
        <row r="864">
          <cell r="A864">
            <v>0</v>
          </cell>
        </row>
        <row r="865">
          <cell r="A865">
            <v>0</v>
          </cell>
        </row>
        <row r="866">
          <cell r="A866">
            <v>0</v>
          </cell>
        </row>
        <row r="867">
          <cell r="A867">
            <v>0</v>
          </cell>
        </row>
        <row r="868">
          <cell r="A868">
            <v>0</v>
          </cell>
        </row>
        <row r="869">
          <cell r="A869">
            <v>0</v>
          </cell>
        </row>
        <row r="870">
          <cell r="A870">
            <v>0</v>
          </cell>
        </row>
        <row r="871">
          <cell r="A871">
            <v>0</v>
          </cell>
        </row>
        <row r="872">
          <cell r="A872">
            <v>0</v>
          </cell>
        </row>
        <row r="873">
          <cell r="A873">
            <v>0</v>
          </cell>
        </row>
        <row r="874">
          <cell r="A874">
            <v>0</v>
          </cell>
        </row>
        <row r="875">
          <cell r="A875">
            <v>0</v>
          </cell>
        </row>
        <row r="876">
          <cell r="A876">
            <v>0</v>
          </cell>
        </row>
        <row r="877">
          <cell r="A877">
            <v>0</v>
          </cell>
        </row>
        <row r="878">
          <cell r="A878">
            <v>0</v>
          </cell>
        </row>
        <row r="879">
          <cell r="A879">
            <v>0</v>
          </cell>
        </row>
        <row r="880">
          <cell r="A880">
            <v>0</v>
          </cell>
        </row>
        <row r="881">
          <cell r="A881">
            <v>0</v>
          </cell>
        </row>
        <row r="882">
          <cell r="A882">
            <v>0</v>
          </cell>
        </row>
        <row r="883">
          <cell r="A883">
            <v>0</v>
          </cell>
        </row>
        <row r="884">
          <cell r="A884">
            <v>0</v>
          </cell>
        </row>
        <row r="885">
          <cell r="A885">
            <v>0</v>
          </cell>
        </row>
        <row r="886">
          <cell r="A886">
            <v>0</v>
          </cell>
        </row>
        <row r="887">
          <cell r="A887">
            <v>0</v>
          </cell>
        </row>
        <row r="888">
          <cell r="A888">
            <v>0</v>
          </cell>
        </row>
        <row r="889">
          <cell r="A889">
            <v>0</v>
          </cell>
        </row>
        <row r="890">
          <cell r="A890">
            <v>0</v>
          </cell>
        </row>
        <row r="891">
          <cell r="A891">
            <v>0</v>
          </cell>
        </row>
        <row r="892">
          <cell r="A892">
            <v>0</v>
          </cell>
        </row>
        <row r="893">
          <cell r="A893">
            <v>0</v>
          </cell>
        </row>
        <row r="894">
          <cell r="A894">
            <v>0</v>
          </cell>
        </row>
        <row r="895">
          <cell r="A895">
            <v>0</v>
          </cell>
        </row>
        <row r="896">
          <cell r="A896">
            <v>0</v>
          </cell>
        </row>
        <row r="897">
          <cell r="A897">
            <v>0</v>
          </cell>
        </row>
        <row r="898">
          <cell r="A898">
            <v>0</v>
          </cell>
        </row>
        <row r="899">
          <cell r="A899">
            <v>0</v>
          </cell>
        </row>
        <row r="900">
          <cell r="A900">
            <v>0</v>
          </cell>
        </row>
        <row r="901">
          <cell r="A901">
            <v>0</v>
          </cell>
        </row>
        <row r="902">
          <cell r="A902">
            <v>0</v>
          </cell>
        </row>
        <row r="903">
          <cell r="A903">
            <v>0</v>
          </cell>
        </row>
        <row r="904">
          <cell r="A904">
            <v>0</v>
          </cell>
        </row>
        <row r="905">
          <cell r="A905">
            <v>0</v>
          </cell>
        </row>
        <row r="906">
          <cell r="A906">
            <v>0</v>
          </cell>
        </row>
        <row r="907">
          <cell r="A907">
            <v>0</v>
          </cell>
        </row>
        <row r="908">
          <cell r="A908">
            <v>0</v>
          </cell>
        </row>
        <row r="909">
          <cell r="A909">
            <v>0</v>
          </cell>
        </row>
        <row r="910">
          <cell r="A910">
            <v>0</v>
          </cell>
        </row>
        <row r="911">
          <cell r="A911">
            <v>0</v>
          </cell>
        </row>
        <row r="912">
          <cell r="A912">
            <v>0</v>
          </cell>
        </row>
        <row r="913">
          <cell r="A913">
            <v>0</v>
          </cell>
        </row>
        <row r="914">
          <cell r="A914">
            <v>0</v>
          </cell>
        </row>
        <row r="915">
          <cell r="A915">
            <v>0</v>
          </cell>
        </row>
        <row r="916">
          <cell r="A916">
            <v>0</v>
          </cell>
        </row>
        <row r="917">
          <cell r="A917">
            <v>0</v>
          </cell>
        </row>
        <row r="918">
          <cell r="A918">
            <v>0</v>
          </cell>
        </row>
        <row r="919">
          <cell r="A919">
            <v>0</v>
          </cell>
        </row>
        <row r="920">
          <cell r="A920">
            <v>0</v>
          </cell>
        </row>
        <row r="921">
          <cell r="A921">
            <v>0</v>
          </cell>
        </row>
        <row r="922">
          <cell r="A922">
            <v>0</v>
          </cell>
        </row>
        <row r="923">
          <cell r="A923">
            <v>0</v>
          </cell>
        </row>
        <row r="924">
          <cell r="A924">
            <v>0</v>
          </cell>
        </row>
        <row r="925">
          <cell r="A925">
            <v>0</v>
          </cell>
        </row>
        <row r="926">
          <cell r="A926">
            <v>0</v>
          </cell>
        </row>
        <row r="927">
          <cell r="A927">
            <v>0</v>
          </cell>
        </row>
        <row r="928">
          <cell r="A928">
            <v>0</v>
          </cell>
        </row>
        <row r="929">
          <cell r="A929">
            <v>0</v>
          </cell>
        </row>
        <row r="930">
          <cell r="A930">
            <v>0</v>
          </cell>
        </row>
        <row r="931">
          <cell r="A931">
            <v>0</v>
          </cell>
        </row>
        <row r="932">
          <cell r="A932">
            <v>0</v>
          </cell>
        </row>
        <row r="933">
          <cell r="A933">
            <v>0</v>
          </cell>
        </row>
        <row r="934">
          <cell r="A934">
            <v>0</v>
          </cell>
        </row>
        <row r="935">
          <cell r="A935">
            <v>0</v>
          </cell>
        </row>
        <row r="936">
          <cell r="A936">
            <v>0</v>
          </cell>
        </row>
        <row r="937">
          <cell r="A937">
            <v>0</v>
          </cell>
        </row>
        <row r="938">
          <cell r="A938">
            <v>0</v>
          </cell>
        </row>
        <row r="939">
          <cell r="A939">
            <v>0</v>
          </cell>
        </row>
        <row r="940">
          <cell r="A940">
            <v>0</v>
          </cell>
        </row>
        <row r="941">
          <cell r="A941">
            <v>0</v>
          </cell>
        </row>
        <row r="942">
          <cell r="A942">
            <v>0</v>
          </cell>
        </row>
        <row r="943">
          <cell r="A943">
            <v>0</v>
          </cell>
        </row>
        <row r="944">
          <cell r="A944">
            <v>0</v>
          </cell>
        </row>
        <row r="945">
          <cell r="A945">
            <v>0</v>
          </cell>
        </row>
        <row r="946">
          <cell r="A946">
            <v>0</v>
          </cell>
        </row>
        <row r="947">
          <cell r="A947">
            <v>0</v>
          </cell>
        </row>
        <row r="948">
          <cell r="A948">
            <v>0</v>
          </cell>
        </row>
        <row r="949">
          <cell r="A949">
            <v>0</v>
          </cell>
        </row>
        <row r="950">
          <cell r="A950">
            <v>0</v>
          </cell>
        </row>
        <row r="951">
          <cell r="A951">
            <v>0</v>
          </cell>
        </row>
        <row r="952">
          <cell r="A952">
            <v>0</v>
          </cell>
        </row>
        <row r="953">
          <cell r="A953">
            <v>0</v>
          </cell>
        </row>
        <row r="954">
          <cell r="A954">
            <v>0</v>
          </cell>
        </row>
        <row r="955">
          <cell r="A955">
            <v>0</v>
          </cell>
        </row>
        <row r="956">
          <cell r="A956">
            <v>0</v>
          </cell>
        </row>
        <row r="957">
          <cell r="A957">
            <v>0</v>
          </cell>
        </row>
        <row r="958">
          <cell r="A958">
            <v>0</v>
          </cell>
        </row>
        <row r="959">
          <cell r="A959">
            <v>0</v>
          </cell>
        </row>
        <row r="960">
          <cell r="A960">
            <v>0</v>
          </cell>
        </row>
        <row r="961">
          <cell r="A961">
            <v>0</v>
          </cell>
        </row>
        <row r="962">
          <cell r="A962">
            <v>0</v>
          </cell>
        </row>
        <row r="963">
          <cell r="A963">
            <v>0</v>
          </cell>
        </row>
        <row r="964">
          <cell r="A964">
            <v>0</v>
          </cell>
        </row>
        <row r="965">
          <cell r="A965">
            <v>0</v>
          </cell>
        </row>
        <row r="966">
          <cell r="A966">
            <v>0</v>
          </cell>
        </row>
        <row r="967">
          <cell r="A967">
            <v>0</v>
          </cell>
        </row>
        <row r="968">
          <cell r="A968">
            <v>0</v>
          </cell>
        </row>
        <row r="969">
          <cell r="A969">
            <v>0</v>
          </cell>
        </row>
        <row r="970">
          <cell r="A970">
            <v>0</v>
          </cell>
        </row>
        <row r="971">
          <cell r="A971">
            <v>0</v>
          </cell>
        </row>
        <row r="972">
          <cell r="A972">
            <v>0</v>
          </cell>
        </row>
        <row r="973">
          <cell r="A973">
            <v>0</v>
          </cell>
        </row>
        <row r="974">
          <cell r="A974">
            <v>0</v>
          </cell>
        </row>
        <row r="975">
          <cell r="A975">
            <v>0</v>
          </cell>
        </row>
        <row r="976">
          <cell r="A976">
            <v>0</v>
          </cell>
        </row>
        <row r="977">
          <cell r="A977">
            <v>0</v>
          </cell>
        </row>
        <row r="978">
          <cell r="A978">
            <v>0</v>
          </cell>
        </row>
        <row r="979">
          <cell r="A979">
            <v>0</v>
          </cell>
        </row>
        <row r="980">
          <cell r="A980">
            <v>0</v>
          </cell>
        </row>
        <row r="981">
          <cell r="A981">
            <v>0</v>
          </cell>
        </row>
        <row r="982">
          <cell r="A982">
            <v>0</v>
          </cell>
        </row>
        <row r="983">
          <cell r="A983">
            <v>0</v>
          </cell>
        </row>
        <row r="984">
          <cell r="A984">
            <v>0</v>
          </cell>
        </row>
        <row r="985">
          <cell r="A985">
            <v>0</v>
          </cell>
        </row>
        <row r="986">
          <cell r="A986">
            <v>0</v>
          </cell>
        </row>
        <row r="987">
          <cell r="A987">
            <v>0</v>
          </cell>
        </row>
        <row r="988">
          <cell r="A988">
            <v>0</v>
          </cell>
        </row>
        <row r="989">
          <cell r="A989">
            <v>0</v>
          </cell>
        </row>
        <row r="990">
          <cell r="A990">
            <v>0</v>
          </cell>
        </row>
        <row r="991">
          <cell r="A991">
            <v>0</v>
          </cell>
        </row>
        <row r="992">
          <cell r="A992">
            <v>0</v>
          </cell>
        </row>
        <row r="993">
          <cell r="A993">
            <v>0</v>
          </cell>
        </row>
        <row r="994">
          <cell r="A994">
            <v>0</v>
          </cell>
        </row>
        <row r="995">
          <cell r="A995">
            <v>0</v>
          </cell>
        </row>
        <row r="996">
          <cell r="A996">
            <v>0</v>
          </cell>
        </row>
        <row r="997">
          <cell r="A997">
            <v>0</v>
          </cell>
        </row>
        <row r="998">
          <cell r="A998">
            <v>0</v>
          </cell>
        </row>
        <row r="999">
          <cell r="A999">
            <v>0</v>
          </cell>
        </row>
        <row r="1000">
          <cell r="A1000">
            <v>0</v>
          </cell>
        </row>
        <row r="1001">
          <cell r="A1001">
            <v>0</v>
          </cell>
        </row>
        <row r="1002">
          <cell r="A1002">
            <v>0</v>
          </cell>
        </row>
        <row r="1003">
          <cell r="A1003">
            <v>0</v>
          </cell>
        </row>
        <row r="1004">
          <cell r="A1004">
            <v>0</v>
          </cell>
        </row>
        <row r="1005">
          <cell r="A1005">
            <v>0</v>
          </cell>
        </row>
        <row r="1006">
          <cell r="A1006">
            <v>0</v>
          </cell>
        </row>
        <row r="1007">
          <cell r="A1007">
            <v>0</v>
          </cell>
        </row>
        <row r="1008">
          <cell r="A1008">
            <v>0</v>
          </cell>
        </row>
        <row r="1009">
          <cell r="A1009">
            <v>0</v>
          </cell>
        </row>
        <row r="1010">
          <cell r="A1010">
            <v>0</v>
          </cell>
        </row>
        <row r="1011">
          <cell r="A1011">
            <v>0</v>
          </cell>
        </row>
        <row r="1012">
          <cell r="A1012">
            <v>0</v>
          </cell>
        </row>
        <row r="1013">
          <cell r="A1013">
            <v>0</v>
          </cell>
        </row>
        <row r="1014">
          <cell r="A1014">
            <v>0</v>
          </cell>
        </row>
        <row r="1015">
          <cell r="A1015">
            <v>0</v>
          </cell>
        </row>
        <row r="1016">
          <cell r="A1016">
            <v>0</v>
          </cell>
        </row>
        <row r="1017">
          <cell r="A1017">
            <v>0</v>
          </cell>
        </row>
        <row r="1018">
          <cell r="A1018">
            <v>0</v>
          </cell>
        </row>
        <row r="1019">
          <cell r="A1019">
            <v>0</v>
          </cell>
        </row>
        <row r="1020">
          <cell r="A1020">
            <v>0</v>
          </cell>
        </row>
        <row r="1021">
          <cell r="A1021">
            <v>0</v>
          </cell>
        </row>
        <row r="1022">
          <cell r="A1022">
            <v>0</v>
          </cell>
        </row>
        <row r="1023">
          <cell r="A1023">
            <v>0</v>
          </cell>
        </row>
        <row r="1024">
          <cell r="A1024">
            <v>0</v>
          </cell>
        </row>
        <row r="1025">
          <cell r="A1025">
            <v>0</v>
          </cell>
        </row>
        <row r="1026">
          <cell r="A1026">
            <v>0</v>
          </cell>
        </row>
        <row r="1027">
          <cell r="A1027">
            <v>0</v>
          </cell>
        </row>
        <row r="1028">
          <cell r="A1028">
            <v>0</v>
          </cell>
        </row>
        <row r="1029">
          <cell r="A1029">
            <v>0</v>
          </cell>
        </row>
        <row r="1030">
          <cell r="A1030">
            <v>0</v>
          </cell>
        </row>
        <row r="1031">
          <cell r="A1031">
            <v>0</v>
          </cell>
        </row>
        <row r="1032">
          <cell r="A1032">
            <v>0</v>
          </cell>
        </row>
        <row r="1033">
          <cell r="A1033">
            <v>0</v>
          </cell>
        </row>
        <row r="1034">
          <cell r="A1034">
            <v>0</v>
          </cell>
        </row>
        <row r="1035">
          <cell r="A1035">
            <v>0</v>
          </cell>
        </row>
        <row r="1036">
          <cell r="A1036">
            <v>0</v>
          </cell>
        </row>
        <row r="1037">
          <cell r="A1037">
            <v>0</v>
          </cell>
        </row>
        <row r="1038">
          <cell r="A1038">
            <v>0</v>
          </cell>
        </row>
        <row r="1039">
          <cell r="A1039">
            <v>0</v>
          </cell>
        </row>
        <row r="1040">
          <cell r="A1040">
            <v>0</v>
          </cell>
        </row>
        <row r="1041">
          <cell r="A1041">
            <v>0</v>
          </cell>
        </row>
        <row r="1042">
          <cell r="A1042">
            <v>0</v>
          </cell>
        </row>
        <row r="1043">
          <cell r="A1043">
            <v>0</v>
          </cell>
        </row>
        <row r="1044">
          <cell r="A1044">
            <v>0</v>
          </cell>
        </row>
        <row r="1045">
          <cell r="A1045">
            <v>0</v>
          </cell>
        </row>
        <row r="1046">
          <cell r="A1046">
            <v>0</v>
          </cell>
        </row>
        <row r="1047">
          <cell r="A1047">
            <v>0</v>
          </cell>
        </row>
        <row r="1048">
          <cell r="A1048">
            <v>0</v>
          </cell>
        </row>
        <row r="1049">
          <cell r="A1049">
            <v>0</v>
          </cell>
        </row>
        <row r="1050">
          <cell r="A1050">
            <v>0</v>
          </cell>
        </row>
        <row r="1051">
          <cell r="A1051">
            <v>0</v>
          </cell>
        </row>
        <row r="1052">
          <cell r="A1052">
            <v>0</v>
          </cell>
        </row>
        <row r="1053">
          <cell r="A1053">
            <v>0</v>
          </cell>
        </row>
        <row r="1054">
          <cell r="A1054">
            <v>0</v>
          </cell>
        </row>
        <row r="1055">
          <cell r="A1055">
            <v>0</v>
          </cell>
        </row>
        <row r="1056">
          <cell r="A1056">
            <v>0</v>
          </cell>
        </row>
        <row r="1057">
          <cell r="A1057">
            <v>0</v>
          </cell>
        </row>
        <row r="1058">
          <cell r="A1058">
            <v>0</v>
          </cell>
        </row>
        <row r="1059">
          <cell r="A1059">
            <v>0</v>
          </cell>
        </row>
        <row r="1060">
          <cell r="A1060">
            <v>0</v>
          </cell>
        </row>
        <row r="1061">
          <cell r="A1061">
            <v>0</v>
          </cell>
        </row>
        <row r="1062">
          <cell r="A1062">
            <v>0</v>
          </cell>
        </row>
        <row r="1063">
          <cell r="A1063">
            <v>0</v>
          </cell>
        </row>
        <row r="1064">
          <cell r="A1064">
            <v>0</v>
          </cell>
        </row>
        <row r="1065">
          <cell r="A1065">
            <v>0</v>
          </cell>
        </row>
        <row r="1066">
          <cell r="A1066">
            <v>0</v>
          </cell>
        </row>
        <row r="1067">
          <cell r="A1067">
            <v>0</v>
          </cell>
        </row>
        <row r="1068">
          <cell r="A1068">
            <v>0</v>
          </cell>
        </row>
        <row r="1069">
          <cell r="A1069">
            <v>0</v>
          </cell>
        </row>
        <row r="1070">
          <cell r="A1070">
            <v>0</v>
          </cell>
        </row>
        <row r="1071">
          <cell r="A1071">
            <v>0</v>
          </cell>
        </row>
        <row r="1072">
          <cell r="A1072">
            <v>0</v>
          </cell>
        </row>
        <row r="1073">
          <cell r="A1073">
            <v>0</v>
          </cell>
        </row>
        <row r="1074">
          <cell r="A1074">
            <v>0</v>
          </cell>
        </row>
        <row r="1075">
          <cell r="A1075">
            <v>0</v>
          </cell>
        </row>
        <row r="1076">
          <cell r="A1076">
            <v>0</v>
          </cell>
        </row>
        <row r="1077">
          <cell r="A1077">
            <v>0</v>
          </cell>
        </row>
        <row r="1078">
          <cell r="A1078">
            <v>0</v>
          </cell>
        </row>
        <row r="1079">
          <cell r="A1079">
            <v>0</v>
          </cell>
        </row>
        <row r="1080">
          <cell r="A1080">
            <v>0</v>
          </cell>
        </row>
        <row r="1081">
          <cell r="A1081">
            <v>0</v>
          </cell>
        </row>
        <row r="1082">
          <cell r="A1082">
            <v>0</v>
          </cell>
        </row>
        <row r="1083">
          <cell r="A1083">
            <v>0</v>
          </cell>
        </row>
        <row r="1084">
          <cell r="A1084">
            <v>0</v>
          </cell>
        </row>
        <row r="1085">
          <cell r="A1085">
            <v>0</v>
          </cell>
        </row>
        <row r="1086">
          <cell r="A1086">
            <v>0</v>
          </cell>
        </row>
        <row r="1087">
          <cell r="A1087">
            <v>0</v>
          </cell>
        </row>
        <row r="1088">
          <cell r="A1088">
            <v>0</v>
          </cell>
        </row>
        <row r="1089">
          <cell r="A1089">
            <v>0</v>
          </cell>
        </row>
        <row r="1090">
          <cell r="A1090">
            <v>0</v>
          </cell>
        </row>
        <row r="1091">
          <cell r="A1091">
            <v>0</v>
          </cell>
        </row>
        <row r="1092">
          <cell r="A1092">
            <v>0</v>
          </cell>
        </row>
        <row r="1093">
          <cell r="A1093">
            <v>0</v>
          </cell>
        </row>
        <row r="1094">
          <cell r="A1094">
            <v>0</v>
          </cell>
        </row>
        <row r="1095">
          <cell r="A1095">
            <v>0</v>
          </cell>
        </row>
        <row r="1096">
          <cell r="A1096">
            <v>0</v>
          </cell>
        </row>
        <row r="1097">
          <cell r="A1097">
            <v>0</v>
          </cell>
        </row>
        <row r="1098">
          <cell r="A1098">
            <v>0</v>
          </cell>
        </row>
        <row r="1099">
          <cell r="A1099">
            <v>0</v>
          </cell>
        </row>
        <row r="1100">
          <cell r="A1100">
            <v>0</v>
          </cell>
        </row>
        <row r="1101">
          <cell r="A1101">
            <v>0</v>
          </cell>
        </row>
        <row r="1102">
          <cell r="A1102">
            <v>0</v>
          </cell>
        </row>
        <row r="1103">
          <cell r="A1103">
            <v>0</v>
          </cell>
        </row>
        <row r="1104">
          <cell r="A1104">
            <v>0</v>
          </cell>
        </row>
        <row r="1105">
          <cell r="A1105">
            <v>0</v>
          </cell>
        </row>
        <row r="1106">
          <cell r="A1106">
            <v>0</v>
          </cell>
        </row>
        <row r="1107">
          <cell r="A1107">
            <v>0</v>
          </cell>
        </row>
        <row r="1108">
          <cell r="A1108">
            <v>0</v>
          </cell>
        </row>
        <row r="1109">
          <cell r="A1109">
            <v>0</v>
          </cell>
        </row>
        <row r="1110">
          <cell r="A1110">
            <v>0</v>
          </cell>
        </row>
        <row r="1111">
          <cell r="A1111">
            <v>0</v>
          </cell>
        </row>
        <row r="1112">
          <cell r="A1112">
            <v>0</v>
          </cell>
        </row>
        <row r="1113">
          <cell r="A1113">
            <v>0</v>
          </cell>
        </row>
        <row r="1114">
          <cell r="A1114">
            <v>0</v>
          </cell>
        </row>
        <row r="1115">
          <cell r="A1115">
            <v>0</v>
          </cell>
        </row>
        <row r="1116">
          <cell r="A1116">
            <v>0</v>
          </cell>
        </row>
        <row r="1117">
          <cell r="A1117">
            <v>0</v>
          </cell>
        </row>
        <row r="1118">
          <cell r="A1118">
            <v>0</v>
          </cell>
        </row>
        <row r="1119">
          <cell r="A1119">
            <v>0</v>
          </cell>
        </row>
        <row r="1120">
          <cell r="A1120">
            <v>0</v>
          </cell>
        </row>
        <row r="1121">
          <cell r="A1121">
            <v>0</v>
          </cell>
        </row>
        <row r="1122">
          <cell r="A1122">
            <v>0</v>
          </cell>
        </row>
        <row r="1123">
          <cell r="A1123">
            <v>0</v>
          </cell>
        </row>
        <row r="1124">
          <cell r="A1124">
            <v>0</v>
          </cell>
        </row>
        <row r="1125">
          <cell r="A1125">
            <v>0</v>
          </cell>
        </row>
        <row r="1126">
          <cell r="A1126">
            <v>0</v>
          </cell>
        </row>
        <row r="1127">
          <cell r="A1127">
            <v>0</v>
          </cell>
        </row>
        <row r="1128">
          <cell r="A1128">
            <v>0</v>
          </cell>
        </row>
        <row r="1129">
          <cell r="A1129">
            <v>0</v>
          </cell>
        </row>
        <row r="1130">
          <cell r="A1130">
            <v>0</v>
          </cell>
        </row>
        <row r="1131">
          <cell r="A1131">
            <v>0</v>
          </cell>
        </row>
        <row r="1132">
          <cell r="A1132">
            <v>0</v>
          </cell>
        </row>
        <row r="1133">
          <cell r="A1133">
            <v>0</v>
          </cell>
        </row>
        <row r="1134">
          <cell r="A1134">
            <v>0</v>
          </cell>
        </row>
        <row r="1135">
          <cell r="A1135">
            <v>0</v>
          </cell>
        </row>
        <row r="1136">
          <cell r="A1136">
            <v>0</v>
          </cell>
        </row>
        <row r="1137">
          <cell r="A1137">
            <v>0</v>
          </cell>
        </row>
        <row r="1138">
          <cell r="A1138">
            <v>0</v>
          </cell>
        </row>
        <row r="1139">
          <cell r="A1139">
            <v>0</v>
          </cell>
        </row>
        <row r="1140">
          <cell r="A1140">
            <v>0</v>
          </cell>
        </row>
        <row r="1141">
          <cell r="A1141">
            <v>0</v>
          </cell>
        </row>
        <row r="1142">
          <cell r="A1142">
            <v>0</v>
          </cell>
        </row>
        <row r="1143">
          <cell r="A1143">
            <v>0</v>
          </cell>
        </row>
        <row r="1144">
          <cell r="A1144">
            <v>0</v>
          </cell>
        </row>
        <row r="1145">
          <cell r="A1145">
            <v>0</v>
          </cell>
        </row>
        <row r="1146">
          <cell r="A1146">
            <v>0</v>
          </cell>
        </row>
        <row r="1147">
          <cell r="A1147">
            <v>0</v>
          </cell>
        </row>
        <row r="1148">
          <cell r="A1148">
            <v>0</v>
          </cell>
        </row>
        <row r="1149">
          <cell r="A1149">
            <v>0</v>
          </cell>
        </row>
        <row r="1150">
          <cell r="A1150">
            <v>0</v>
          </cell>
        </row>
        <row r="1151">
          <cell r="A1151">
            <v>0</v>
          </cell>
        </row>
        <row r="1152">
          <cell r="A1152">
            <v>0</v>
          </cell>
        </row>
        <row r="1153">
          <cell r="A1153">
            <v>0</v>
          </cell>
        </row>
        <row r="1154">
          <cell r="A1154">
            <v>0</v>
          </cell>
        </row>
        <row r="1155">
          <cell r="A1155">
            <v>0</v>
          </cell>
        </row>
        <row r="1156">
          <cell r="A1156">
            <v>0</v>
          </cell>
        </row>
        <row r="1157">
          <cell r="A1157">
            <v>0</v>
          </cell>
        </row>
        <row r="1158">
          <cell r="A1158">
            <v>0</v>
          </cell>
        </row>
        <row r="1159">
          <cell r="A1159">
            <v>0</v>
          </cell>
        </row>
        <row r="1160">
          <cell r="A1160">
            <v>0</v>
          </cell>
        </row>
        <row r="1161">
          <cell r="A1161">
            <v>0</v>
          </cell>
        </row>
        <row r="1162">
          <cell r="A1162">
            <v>0</v>
          </cell>
        </row>
        <row r="1163">
          <cell r="A1163">
            <v>0</v>
          </cell>
        </row>
        <row r="1164">
          <cell r="A1164">
            <v>0</v>
          </cell>
        </row>
        <row r="1165">
          <cell r="A1165">
            <v>0</v>
          </cell>
        </row>
        <row r="1166">
          <cell r="A1166">
            <v>0</v>
          </cell>
        </row>
        <row r="1167">
          <cell r="A1167">
            <v>0</v>
          </cell>
        </row>
        <row r="1168">
          <cell r="A1168">
            <v>0</v>
          </cell>
        </row>
        <row r="1169">
          <cell r="A1169">
            <v>0</v>
          </cell>
        </row>
        <row r="1170">
          <cell r="A1170">
            <v>0</v>
          </cell>
        </row>
        <row r="1171">
          <cell r="A1171">
            <v>0</v>
          </cell>
        </row>
        <row r="1172">
          <cell r="A1172">
            <v>0</v>
          </cell>
        </row>
        <row r="1173">
          <cell r="A1173">
            <v>0</v>
          </cell>
        </row>
        <row r="1174">
          <cell r="A1174">
            <v>0</v>
          </cell>
        </row>
        <row r="1175">
          <cell r="A1175">
            <v>0</v>
          </cell>
        </row>
        <row r="1176">
          <cell r="A1176">
            <v>0</v>
          </cell>
        </row>
        <row r="1177">
          <cell r="A1177">
            <v>0</v>
          </cell>
        </row>
        <row r="1178">
          <cell r="A1178">
            <v>0</v>
          </cell>
        </row>
        <row r="1179">
          <cell r="A1179">
            <v>0</v>
          </cell>
        </row>
        <row r="1180">
          <cell r="A1180">
            <v>0</v>
          </cell>
        </row>
        <row r="1181">
          <cell r="A1181">
            <v>0</v>
          </cell>
        </row>
        <row r="1182">
          <cell r="A1182">
            <v>0</v>
          </cell>
        </row>
        <row r="1183">
          <cell r="A1183">
            <v>0</v>
          </cell>
        </row>
        <row r="1184">
          <cell r="A1184">
            <v>0</v>
          </cell>
        </row>
        <row r="1185">
          <cell r="A1185">
            <v>0</v>
          </cell>
        </row>
        <row r="1186">
          <cell r="A1186">
            <v>0</v>
          </cell>
        </row>
        <row r="1187">
          <cell r="A1187">
            <v>0</v>
          </cell>
        </row>
        <row r="1188">
          <cell r="A1188">
            <v>0</v>
          </cell>
        </row>
        <row r="1189">
          <cell r="A1189">
            <v>0</v>
          </cell>
        </row>
        <row r="1190">
          <cell r="A1190">
            <v>0</v>
          </cell>
        </row>
        <row r="1191">
          <cell r="A1191">
            <v>0</v>
          </cell>
        </row>
        <row r="1192">
          <cell r="A1192">
            <v>0</v>
          </cell>
        </row>
        <row r="1193">
          <cell r="A1193">
            <v>0</v>
          </cell>
        </row>
        <row r="1194">
          <cell r="A1194">
            <v>0</v>
          </cell>
        </row>
        <row r="1195">
          <cell r="A1195">
            <v>0</v>
          </cell>
        </row>
        <row r="1196">
          <cell r="A1196">
            <v>0</v>
          </cell>
        </row>
        <row r="1197">
          <cell r="A1197">
            <v>0</v>
          </cell>
        </row>
        <row r="1198">
          <cell r="A1198">
            <v>0</v>
          </cell>
        </row>
        <row r="1199">
          <cell r="A1199">
            <v>0</v>
          </cell>
        </row>
        <row r="1200">
          <cell r="A1200">
            <v>0</v>
          </cell>
        </row>
        <row r="1201">
          <cell r="A1201">
            <v>0</v>
          </cell>
        </row>
        <row r="1202">
          <cell r="A1202">
            <v>0</v>
          </cell>
        </row>
        <row r="1203">
          <cell r="A1203">
            <v>0</v>
          </cell>
        </row>
        <row r="1204">
          <cell r="A1204">
            <v>0</v>
          </cell>
        </row>
        <row r="1205">
          <cell r="A1205">
            <v>0</v>
          </cell>
        </row>
        <row r="1206">
          <cell r="A1206">
            <v>0</v>
          </cell>
        </row>
        <row r="1207">
          <cell r="A1207">
            <v>0</v>
          </cell>
        </row>
        <row r="1208">
          <cell r="A1208">
            <v>0</v>
          </cell>
        </row>
        <row r="1209">
          <cell r="A1209">
            <v>0</v>
          </cell>
        </row>
        <row r="1210">
          <cell r="A1210">
            <v>0</v>
          </cell>
        </row>
        <row r="1211">
          <cell r="A1211">
            <v>0</v>
          </cell>
        </row>
        <row r="1212">
          <cell r="A1212">
            <v>0</v>
          </cell>
        </row>
        <row r="1213">
          <cell r="A1213">
            <v>0</v>
          </cell>
        </row>
        <row r="1214">
          <cell r="A1214">
            <v>0</v>
          </cell>
        </row>
        <row r="1215">
          <cell r="A1215">
            <v>0</v>
          </cell>
        </row>
        <row r="1216">
          <cell r="A1216">
            <v>0</v>
          </cell>
        </row>
        <row r="1217">
          <cell r="A1217">
            <v>0</v>
          </cell>
        </row>
        <row r="1218">
          <cell r="A1218">
            <v>0</v>
          </cell>
        </row>
        <row r="1219">
          <cell r="A1219">
            <v>0</v>
          </cell>
        </row>
        <row r="1220">
          <cell r="A1220">
            <v>0</v>
          </cell>
        </row>
        <row r="1221">
          <cell r="A1221">
            <v>0</v>
          </cell>
        </row>
        <row r="1222">
          <cell r="A1222">
            <v>0</v>
          </cell>
        </row>
        <row r="1223">
          <cell r="A1223">
            <v>0</v>
          </cell>
        </row>
        <row r="1224">
          <cell r="A1224">
            <v>0</v>
          </cell>
        </row>
        <row r="1225">
          <cell r="A1225">
            <v>0</v>
          </cell>
        </row>
        <row r="1226">
          <cell r="A1226">
            <v>0</v>
          </cell>
        </row>
        <row r="1227">
          <cell r="A1227">
            <v>0</v>
          </cell>
        </row>
        <row r="1228">
          <cell r="A1228">
            <v>0</v>
          </cell>
        </row>
        <row r="1229">
          <cell r="A1229">
            <v>0</v>
          </cell>
        </row>
        <row r="1230">
          <cell r="A1230">
            <v>0</v>
          </cell>
        </row>
        <row r="1231">
          <cell r="A1231">
            <v>0</v>
          </cell>
        </row>
        <row r="1232">
          <cell r="A1232">
            <v>0</v>
          </cell>
        </row>
        <row r="1233">
          <cell r="A1233">
            <v>0</v>
          </cell>
        </row>
        <row r="1234">
          <cell r="A1234">
            <v>0</v>
          </cell>
        </row>
        <row r="1235">
          <cell r="A1235">
            <v>0</v>
          </cell>
        </row>
        <row r="1236">
          <cell r="A1236">
            <v>0</v>
          </cell>
        </row>
        <row r="1237">
          <cell r="A1237">
            <v>0</v>
          </cell>
        </row>
        <row r="1238">
          <cell r="A1238">
            <v>0</v>
          </cell>
        </row>
        <row r="1239">
          <cell r="A1239">
            <v>0</v>
          </cell>
        </row>
        <row r="1240">
          <cell r="A1240">
            <v>0</v>
          </cell>
        </row>
        <row r="1241">
          <cell r="A1241">
            <v>0</v>
          </cell>
        </row>
        <row r="1242">
          <cell r="A1242">
            <v>0</v>
          </cell>
        </row>
        <row r="1243">
          <cell r="A1243">
            <v>0</v>
          </cell>
        </row>
        <row r="1244">
          <cell r="A1244">
            <v>0</v>
          </cell>
        </row>
        <row r="1245">
          <cell r="A1245">
            <v>0</v>
          </cell>
        </row>
        <row r="1246">
          <cell r="A1246">
            <v>0</v>
          </cell>
        </row>
        <row r="1247">
          <cell r="A1247">
            <v>0</v>
          </cell>
        </row>
        <row r="1248">
          <cell r="A1248">
            <v>0</v>
          </cell>
        </row>
        <row r="1249">
          <cell r="A1249">
            <v>0</v>
          </cell>
        </row>
        <row r="1250">
          <cell r="A1250">
            <v>0</v>
          </cell>
        </row>
        <row r="1251">
          <cell r="A1251">
            <v>0</v>
          </cell>
        </row>
        <row r="1252">
          <cell r="A1252">
            <v>0</v>
          </cell>
        </row>
        <row r="1253">
          <cell r="A1253">
            <v>0</v>
          </cell>
        </row>
        <row r="1254">
          <cell r="A1254">
            <v>0</v>
          </cell>
        </row>
        <row r="1255">
          <cell r="A1255">
            <v>0</v>
          </cell>
        </row>
        <row r="1256">
          <cell r="A1256">
            <v>0</v>
          </cell>
        </row>
        <row r="1257">
          <cell r="A1257">
            <v>0</v>
          </cell>
        </row>
        <row r="1258">
          <cell r="A1258">
            <v>0</v>
          </cell>
        </row>
        <row r="1259">
          <cell r="A1259">
            <v>0</v>
          </cell>
        </row>
        <row r="1260">
          <cell r="A1260">
            <v>0</v>
          </cell>
        </row>
        <row r="1261">
          <cell r="A1261">
            <v>0</v>
          </cell>
        </row>
        <row r="1262">
          <cell r="A1262">
            <v>0</v>
          </cell>
        </row>
        <row r="1263">
          <cell r="A1263">
            <v>0</v>
          </cell>
        </row>
        <row r="1264">
          <cell r="A1264">
            <v>0</v>
          </cell>
        </row>
        <row r="1265">
          <cell r="A1265">
            <v>0</v>
          </cell>
        </row>
        <row r="1266">
          <cell r="A1266">
            <v>0</v>
          </cell>
        </row>
        <row r="1267">
          <cell r="A1267">
            <v>0</v>
          </cell>
        </row>
        <row r="1268">
          <cell r="A1268">
            <v>0</v>
          </cell>
        </row>
        <row r="1269">
          <cell r="A1269">
            <v>0</v>
          </cell>
        </row>
        <row r="1270">
          <cell r="A1270">
            <v>0</v>
          </cell>
        </row>
        <row r="1271">
          <cell r="A1271">
            <v>0</v>
          </cell>
        </row>
        <row r="1272">
          <cell r="A1272">
            <v>0</v>
          </cell>
        </row>
        <row r="1273">
          <cell r="A1273">
            <v>0</v>
          </cell>
        </row>
        <row r="1274">
          <cell r="A1274">
            <v>0</v>
          </cell>
        </row>
        <row r="1275">
          <cell r="A1275">
            <v>0</v>
          </cell>
        </row>
        <row r="1276">
          <cell r="A1276">
            <v>0</v>
          </cell>
        </row>
        <row r="1277">
          <cell r="A1277">
            <v>0</v>
          </cell>
        </row>
        <row r="1278">
          <cell r="A1278">
            <v>0</v>
          </cell>
        </row>
        <row r="1279">
          <cell r="A1279">
            <v>0</v>
          </cell>
        </row>
        <row r="1280">
          <cell r="A1280">
            <v>0</v>
          </cell>
        </row>
        <row r="1281">
          <cell r="A1281">
            <v>0</v>
          </cell>
        </row>
        <row r="1282">
          <cell r="A1282">
            <v>0</v>
          </cell>
        </row>
        <row r="1283">
          <cell r="A1283">
            <v>0</v>
          </cell>
        </row>
        <row r="1284">
          <cell r="A1284">
            <v>0</v>
          </cell>
        </row>
        <row r="1285">
          <cell r="A1285">
            <v>0</v>
          </cell>
        </row>
        <row r="1286">
          <cell r="A1286">
            <v>0</v>
          </cell>
        </row>
        <row r="1287">
          <cell r="A1287">
            <v>0</v>
          </cell>
        </row>
        <row r="1288">
          <cell r="A1288">
            <v>0</v>
          </cell>
        </row>
        <row r="1289">
          <cell r="A1289">
            <v>0</v>
          </cell>
        </row>
        <row r="1290">
          <cell r="A1290">
            <v>0</v>
          </cell>
        </row>
        <row r="1291">
          <cell r="A1291">
            <v>0</v>
          </cell>
        </row>
        <row r="1292">
          <cell r="A1292">
            <v>0</v>
          </cell>
        </row>
        <row r="1293">
          <cell r="A1293">
            <v>0</v>
          </cell>
        </row>
        <row r="1294">
          <cell r="A1294">
            <v>0</v>
          </cell>
        </row>
        <row r="1295">
          <cell r="A1295">
            <v>0</v>
          </cell>
        </row>
        <row r="1296">
          <cell r="A1296">
            <v>0</v>
          </cell>
        </row>
        <row r="1297">
          <cell r="A1297">
            <v>0</v>
          </cell>
        </row>
        <row r="1298">
          <cell r="A1298">
            <v>0</v>
          </cell>
        </row>
        <row r="1299">
          <cell r="A1299">
            <v>0</v>
          </cell>
        </row>
        <row r="1300">
          <cell r="A1300">
            <v>0</v>
          </cell>
        </row>
        <row r="1301">
          <cell r="A1301">
            <v>0</v>
          </cell>
        </row>
        <row r="1302">
          <cell r="A1302">
            <v>0</v>
          </cell>
        </row>
        <row r="1303">
          <cell r="A1303">
            <v>0</v>
          </cell>
        </row>
        <row r="1304">
          <cell r="A1304">
            <v>0</v>
          </cell>
        </row>
        <row r="1305">
          <cell r="A1305">
            <v>0</v>
          </cell>
        </row>
        <row r="1306">
          <cell r="A1306">
            <v>0</v>
          </cell>
        </row>
        <row r="1307">
          <cell r="A1307">
            <v>0</v>
          </cell>
        </row>
        <row r="1308">
          <cell r="A1308">
            <v>0</v>
          </cell>
        </row>
        <row r="1309">
          <cell r="A1309">
            <v>0</v>
          </cell>
        </row>
        <row r="1310">
          <cell r="A1310">
            <v>0</v>
          </cell>
        </row>
        <row r="1311">
          <cell r="A1311">
            <v>0</v>
          </cell>
        </row>
        <row r="1312">
          <cell r="A1312">
            <v>0</v>
          </cell>
        </row>
        <row r="1313">
          <cell r="A1313">
            <v>0</v>
          </cell>
        </row>
        <row r="1314">
          <cell r="A1314">
            <v>0</v>
          </cell>
        </row>
        <row r="1315">
          <cell r="A1315">
            <v>0</v>
          </cell>
        </row>
        <row r="1316">
          <cell r="A1316">
            <v>0</v>
          </cell>
        </row>
        <row r="1317">
          <cell r="A1317">
            <v>0</v>
          </cell>
        </row>
        <row r="1318">
          <cell r="A1318">
            <v>0</v>
          </cell>
        </row>
        <row r="1319">
          <cell r="A1319">
            <v>0</v>
          </cell>
        </row>
        <row r="1320">
          <cell r="A1320">
            <v>0</v>
          </cell>
        </row>
        <row r="1321">
          <cell r="A1321">
            <v>0</v>
          </cell>
        </row>
        <row r="1322">
          <cell r="A1322">
            <v>0</v>
          </cell>
        </row>
        <row r="1323">
          <cell r="A1323">
            <v>0</v>
          </cell>
        </row>
        <row r="1324">
          <cell r="A1324">
            <v>0</v>
          </cell>
        </row>
        <row r="1325">
          <cell r="A1325">
            <v>0</v>
          </cell>
        </row>
        <row r="1326">
          <cell r="A1326">
            <v>0</v>
          </cell>
        </row>
        <row r="1327">
          <cell r="A1327">
            <v>0</v>
          </cell>
        </row>
        <row r="1328">
          <cell r="A1328">
            <v>0</v>
          </cell>
        </row>
        <row r="1329">
          <cell r="A1329">
            <v>0</v>
          </cell>
        </row>
        <row r="1330">
          <cell r="A1330">
            <v>0</v>
          </cell>
        </row>
        <row r="1331">
          <cell r="A1331">
            <v>0</v>
          </cell>
        </row>
        <row r="1332">
          <cell r="A1332">
            <v>0</v>
          </cell>
        </row>
        <row r="1333">
          <cell r="A1333">
            <v>0</v>
          </cell>
        </row>
        <row r="1334">
          <cell r="A1334">
            <v>0</v>
          </cell>
        </row>
        <row r="1335">
          <cell r="A1335">
            <v>0</v>
          </cell>
        </row>
        <row r="1336">
          <cell r="A1336">
            <v>0</v>
          </cell>
        </row>
        <row r="1337">
          <cell r="A1337">
            <v>0</v>
          </cell>
        </row>
        <row r="1338">
          <cell r="A1338">
            <v>0</v>
          </cell>
        </row>
        <row r="1339">
          <cell r="A1339">
            <v>0</v>
          </cell>
        </row>
        <row r="1340">
          <cell r="A1340">
            <v>0</v>
          </cell>
        </row>
        <row r="1341">
          <cell r="A1341">
            <v>0</v>
          </cell>
        </row>
        <row r="1342">
          <cell r="A1342">
            <v>0</v>
          </cell>
        </row>
        <row r="1343">
          <cell r="A1343">
            <v>0</v>
          </cell>
        </row>
        <row r="1344">
          <cell r="A1344">
            <v>0</v>
          </cell>
        </row>
        <row r="1345">
          <cell r="A1345">
            <v>0</v>
          </cell>
        </row>
        <row r="1346">
          <cell r="A1346">
            <v>0</v>
          </cell>
        </row>
        <row r="1347">
          <cell r="A1347">
            <v>0</v>
          </cell>
        </row>
        <row r="1348">
          <cell r="A1348">
            <v>0</v>
          </cell>
        </row>
        <row r="1349">
          <cell r="A1349">
            <v>0</v>
          </cell>
        </row>
        <row r="1350">
          <cell r="A1350">
            <v>0</v>
          </cell>
        </row>
        <row r="1351">
          <cell r="A1351">
            <v>0</v>
          </cell>
        </row>
        <row r="1352">
          <cell r="A1352">
            <v>0</v>
          </cell>
        </row>
        <row r="1353">
          <cell r="A1353">
            <v>0</v>
          </cell>
        </row>
        <row r="1354">
          <cell r="A1354">
            <v>0</v>
          </cell>
        </row>
        <row r="1355">
          <cell r="A1355">
            <v>0</v>
          </cell>
        </row>
        <row r="1356">
          <cell r="A1356">
            <v>0</v>
          </cell>
        </row>
        <row r="1357">
          <cell r="A1357">
            <v>0</v>
          </cell>
        </row>
        <row r="1358">
          <cell r="A1358">
            <v>0</v>
          </cell>
        </row>
        <row r="1359">
          <cell r="A1359">
            <v>0</v>
          </cell>
        </row>
        <row r="1360">
          <cell r="A1360">
            <v>0</v>
          </cell>
        </row>
        <row r="1361">
          <cell r="A1361">
            <v>0</v>
          </cell>
        </row>
        <row r="1362">
          <cell r="A1362">
            <v>0</v>
          </cell>
        </row>
        <row r="1363">
          <cell r="A1363">
            <v>0</v>
          </cell>
        </row>
        <row r="1364">
          <cell r="A1364">
            <v>0</v>
          </cell>
        </row>
        <row r="1365">
          <cell r="A1365">
            <v>0</v>
          </cell>
        </row>
        <row r="1366">
          <cell r="A1366">
            <v>0</v>
          </cell>
        </row>
        <row r="1367">
          <cell r="A1367">
            <v>0</v>
          </cell>
        </row>
        <row r="1368">
          <cell r="A1368">
            <v>0</v>
          </cell>
        </row>
        <row r="1369">
          <cell r="A1369">
            <v>0</v>
          </cell>
        </row>
        <row r="1370">
          <cell r="A1370">
            <v>0</v>
          </cell>
        </row>
        <row r="1371">
          <cell r="A1371">
            <v>0</v>
          </cell>
        </row>
        <row r="1372">
          <cell r="A1372">
            <v>0</v>
          </cell>
        </row>
        <row r="1373">
          <cell r="A1373">
            <v>0</v>
          </cell>
        </row>
        <row r="1374">
          <cell r="A1374">
            <v>0</v>
          </cell>
        </row>
        <row r="1375">
          <cell r="A1375">
            <v>0</v>
          </cell>
        </row>
        <row r="1376">
          <cell r="A1376">
            <v>0</v>
          </cell>
        </row>
        <row r="1377">
          <cell r="A1377">
            <v>0</v>
          </cell>
        </row>
        <row r="1378">
          <cell r="A1378">
            <v>0</v>
          </cell>
        </row>
        <row r="1379">
          <cell r="A1379">
            <v>0</v>
          </cell>
        </row>
        <row r="1380">
          <cell r="A1380">
            <v>0</v>
          </cell>
        </row>
        <row r="1381">
          <cell r="A1381">
            <v>0</v>
          </cell>
        </row>
        <row r="1382">
          <cell r="A1382">
            <v>0</v>
          </cell>
        </row>
        <row r="1383">
          <cell r="A1383">
            <v>0</v>
          </cell>
        </row>
        <row r="1384">
          <cell r="A1384">
            <v>0</v>
          </cell>
        </row>
        <row r="1385">
          <cell r="A1385">
            <v>0</v>
          </cell>
        </row>
        <row r="1386">
          <cell r="A1386">
            <v>0</v>
          </cell>
        </row>
        <row r="1387">
          <cell r="A1387">
            <v>0</v>
          </cell>
        </row>
        <row r="1388">
          <cell r="A1388">
            <v>0</v>
          </cell>
        </row>
        <row r="1389">
          <cell r="A1389">
            <v>0</v>
          </cell>
        </row>
        <row r="1390">
          <cell r="A1390">
            <v>0</v>
          </cell>
        </row>
        <row r="1391">
          <cell r="A1391">
            <v>0</v>
          </cell>
        </row>
        <row r="1392">
          <cell r="A1392">
            <v>0</v>
          </cell>
        </row>
        <row r="1393">
          <cell r="A1393">
            <v>0</v>
          </cell>
        </row>
        <row r="1394">
          <cell r="A1394">
            <v>0</v>
          </cell>
        </row>
        <row r="1395">
          <cell r="A1395">
            <v>0</v>
          </cell>
        </row>
        <row r="1396">
          <cell r="A1396">
            <v>0</v>
          </cell>
        </row>
        <row r="1397">
          <cell r="A1397">
            <v>0</v>
          </cell>
        </row>
        <row r="1398">
          <cell r="A1398">
            <v>0</v>
          </cell>
        </row>
        <row r="1399">
          <cell r="A1399">
            <v>0</v>
          </cell>
        </row>
        <row r="1400">
          <cell r="A1400">
            <v>0</v>
          </cell>
        </row>
        <row r="1401">
          <cell r="A1401">
            <v>0</v>
          </cell>
        </row>
        <row r="1402">
          <cell r="A1402">
            <v>0</v>
          </cell>
        </row>
        <row r="1403">
          <cell r="A1403">
            <v>0</v>
          </cell>
        </row>
        <row r="1404">
          <cell r="A1404">
            <v>0</v>
          </cell>
        </row>
        <row r="1405">
          <cell r="A1405">
            <v>0</v>
          </cell>
        </row>
        <row r="1406">
          <cell r="A1406">
            <v>0</v>
          </cell>
        </row>
        <row r="1407">
          <cell r="A1407">
            <v>0</v>
          </cell>
        </row>
        <row r="1408">
          <cell r="A1408">
            <v>0</v>
          </cell>
        </row>
        <row r="1409">
          <cell r="A1409">
            <v>0</v>
          </cell>
        </row>
        <row r="1410">
          <cell r="A1410">
            <v>0</v>
          </cell>
        </row>
        <row r="1411">
          <cell r="A1411">
            <v>0</v>
          </cell>
        </row>
        <row r="1412">
          <cell r="A1412">
            <v>0</v>
          </cell>
        </row>
        <row r="1413">
          <cell r="A1413">
            <v>0</v>
          </cell>
        </row>
        <row r="1414">
          <cell r="A1414">
            <v>0</v>
          </cell>
        </row>
        <row r="1415">
          <cell r="A1415">
            <v>0</v>
          </cell>
        </row>
        <row r="1416">
          <cell r="A1416">
            <v>0</v>
          </cell>
        </row>
        <row r="1417">
          <cell r="A1417">
            <v>0</v>
          </cell>
        </row>
        <row r="1418">
          <cell r="A1418">
            <v>0</v>
          </cell>
        </row>
        <row r="1419">
          <cell r="A1419">
            <v>0</v>
          </cell>
        </row>
        <row r="1420">
          <cell r="A1420">
            <v>0</v>
          </cell>
        </row>
        <row r="1421">
          <cell r="A1421">
            <v>0</v>
          </cell>
        </row>
        <row r="1422">
          <cell r="A1422">
            <v>0</v>
          </cell>
        </row>
        <row r="1423">
          <cell r="A1423">
            <v>0</v>
          </cell>
        </row>
        <row r="1424">
          <cell r="A1424">
            <v>0</v>
          </cell>
        </row>
        <row r="1425">
          <cell r="A1425">
            <v>0</v>
          </cell>
        </row>
        <row r="1426">
          <cell r="A1426">
            <v>0</v>
          </cell>
        </row>
        <row r="1427">
          <cell r="A1427">
            <v>0</v>
          </cell>
        </row>
        <row r="1428">
          <cell r="A1428">
            <v>0</v>
          </cell>
        </row>
        <row r="1429">
          <cell r="A1429">
            <v>0</v>
          </cell>
        </row>
        <row r="1430">
          <cell r="A1430">
            <v>0</v>
          </cell>
        </row>
        <row r="1431">
          <cell r="A1431">
            <v>0</v>
          </cell>
        </row>
        <row r="1432">
          <cell r="A1432">
            <v>0</v>
          </cell>
        </row>
        <row r="1433">
          <cell r="A1433">
            <v>0</v>
          </cell>
        </row>
        <row r="1434">
          <cell r="A1434">
            <v>0</v>
          </cell>
        </row>
        <row r="1435">
          <cell r="A1435">
            <v>0</v>
          </cell>
        </row>
        <row r="1436">
          <cell r="A1436">
            <v>0</v>
          </cell>
        </row>
        <row r="1437">
          <cell r="A1437">
            <v>0</v>
          </cell>
        </row>
        <row r="1438">
          <cell r="A1438">
            <v>0</v>
          </cell>
        </row>
        <row r="1439">
          <cell r="A1439">
            <v>0</v>
          </cell>
        </row>
        <row r="1440">
          <cell r="A1440">
            <v>0</v>
          </cell>
        </row>
        <row r="1441">
          <cell r="A1441">
            <v>0</v>
          </cell>
        </row>
        <row r="1442">
          <cell r="A1442">
            <v>0</v>
          </cell>
        </row>
        <row r="1443">
          <cell r="A1443">
            <v>0</v>
          </cell>
        </row>
        <row r="1444">
          <cell r="A1444">
            <v>0</v>
          </cell>
        </row>
        <row r="1445">
          <cell r="A1445">
            <v>0</v>
          </cell>
        </row>
        <row r="1446">
          <cell r="A1446">
            <v>0</v>
          </cell>
        </row>
        <row r="1447">
          <cell r="A1447">
            <v>0</v>
          </cell>
        </row>
        <row r="1448">
          <cell r="A1448">
            <v>0</v>
          </cell>
        </row>
        <row r="1449">
          <cell r="A1449">
            <v>0</v>
          </cell>
        </row>
        <row r="1450">
          <cell r="A1450">
            <v>0</v>
          </cell>
        </row>
        <row r="1451">
          <cell r="A1451">
            <v>0</v>
          </cell>
        </row>
        <row r="1452">
          <cell r="A1452">
            <v>0</v>
          </cell>
        </row>
        <row r="1453">
          <cell r="A1453">
            <v>0</v>
          </cell>
        </row>
        <row r="1454">
          <cell r="A1454">
            <v>0</v>
          </cell>
        </row>
        <row r="1455">
          <cell r="A1455">
            <v>0</v>
          </cell>
        </row>
        <row r="1456">
          <cell r="A1456">
            <v>0</v>
          </cell>
        </row>
        <row r="1457">
          <cell r="A1457">
            <v>0</v>
          </cell>
        </row>
        <row r="1458">
          <cell r="A1458">
            <v>0</v>
          </cell>
        </row>
        <row r="1459">
          <cell r="A1459">
            <v>0</v>
          </cell>
        </row>
        <row r="1460">
          <cell r="A1460">
            <v>0</v>
          </cell>
        </row>
        <row r="1461">
          <cell r="A1461">
            <v>0</v>
          </cell>
        </row>
        <row r="1462">
          <cell r="A1462">
            <v>0</v>
          </cell>
        </row>
        <row r="1463">
          <cell r="A1463">
            <v>0</v>
          </cell>
        </row>
        <row r="1464">
          <cell r="A1464">
            <v>0</v>
          </cell>
        </row>
        <row r="1465">
          <cell r="A1465">
            <v>0</v>
          </cell>
        </row>
        <row r="1466">
          <cell r="A1466">
            <v>0</v>
          </cell>
        </row>
        <row r="1467">
          <cell r="A1467">
            <v>0</v>
          </cell>
        </row>
        <row r="1468">
          <cell r="A1468">
            <v>0</v>
          </cell>
        </row>
        <row r="1469">
          <cell r="A1469">
            <v>0</v>
          </cell>
        </row>
        <row r="1470">
          <cell r="A1470">
            <v>0</v>
          </cell>
        </row>
        <row r="1471">
          <cell r="A1471">
            <v>0</v>
          </cell>
        </row>
        <row r="1472">
          <cell r="A1472">
            <v>0</v>
          </cell>
        </row>
        <row r="1473">
          <cell r="A1473">
            <v>0</v>
          </cell>
        </row>
        <row r="1474">
          <cell r="A1474">
            <v>0</v>
          </cell>
        </row>
        <row r="1475">
          <cell r="A1475">
            <v>0</v>
          </cell>
        </row>
        <row r="1476">
          <cell r="A1476">
            <v>0</v>
          </cell>
        </row>
        <row r="1477">
          <cell r="A1477">
            <v>0</v>
          </cell>
        </row>
        <row r="1478">
          <cell r="A1478">
            <v>0</v>
          </cell>
        </row>
        <row r="1479">
          <cell r="A1479">
            <v>0</v>
          </cell>
        </row>
        <row r="1480">
          <cell r="A1480">
            <v>0</v>
          </cell>
        </row>
        <row r="1481">
          <cell r="A1481">
            <v>0</v>
          </cell>
        </row>
        <row r="1482">
          <cell r="A1482">
            <v>0</v>
          </cell>
        </row>
        <row r="1483">
          <cell r="A1483">
            <v>0</v>
          </cell>
        </row>
        <row r="1484">
          <cell r="A1484">
            <v>0</v>
          </cell>
        </row>
        <row r="1485">
          <cell r="A1485">
            <v>0</v>
          </cell>
        </row>
        <row r="1486">
          <cell r="A1486">
            <v>0</v>
          </cell>
        </row>
        <row r="1487">
          <cell r="A1487">
            <v>0</v>
          </cell>
        </row>
        <row r="1488">
          <cell r="A1488">
            <v>0</v>
          </cell>
        </row>
        <row r="1489">
          <cell r="A1489">
            <v>0</v>
          </cell>
        </row>
        <row r="1490">
          <cell r="A1490">
            <v>0</v>
          </cell>
        </row>
        <row r="1491">
          <cell r="A1491">
            <v>0</v>
          </cell>
        </row>
        <row r="1492">
          <cell r="A1492">
            <v>0</v>
          </cell>
        </row>
        <row r="1493">
          <cell r="A1493">
            <v>0</v>
          </cell>
        </row>
        <row r="1494">
          <cell r="A1494">
            <v>0</v>
          </cell>
        </row>
        <row r="1495">
          <cell r="A1495">
            <v>0</v>
          </cell>
        </row>
        <row r="1496">
          <cell r="A1496">
            <v>0</v>
          </cell>
        </row>
        <row r="1497">
          <cell r="A1497">
            <v>0</v>
          </cell>
        </row>
        <row r="1498">
          <cell r="A1498">
            <v>0</v>
          </cell>
        </row>
        <row r="1499">
          <cell r="A1499">
            <v>0</v>
          </cell>
        </row>
        <row r="1500">
          <cell r="A1500">
            <v>0</v>
          </cell>
        </row>
        <row r="1501">
          <cell r="A1501">
            <v>0</v>
          </cell>
        </row>
        <row r="1502">
          <cell r="A1502">
            <v>0</v>
          </cell>
        </row>
        <row r="1503">
          <cell r="A1503">
            <v>0</v>
          </cell>
        </row>
        <row r="1504">
          <cell r="A1504">
            <v>0</v>
          </cell>
        </row>
        <row r="1505">
          <cell r="A1505">
            <v>0</v>
          </cell>
        </row>
        <row r="1506">
          <cell r="A1506">
            <v>0</v>
          </cell>
        </row>
        <row r="1507">
          <cell r="A1507">
            <v>0</v>
          </cell>
        </row>
        <row r="1508">
          <cell r="A1508">
            <v>0</v>
          </cell>
        </row>
        <row r="1509">
          <cell r="A1509">
            <v>0</v>
          </cell>
        </row>
        <row r="1510">
          <cell r="A1510">
            <v>0</v>
          </cell>
        </row>
        <row r="1511">
          <cell r="A1511">
            <v>0</v>
          </cell>
        </row>
        <row r="1512">
          <cell r="A1512">
            <v>0</v>
          </cell>
        </row>
        <row r="1513">
          <cell r="A1513">
            <v>0</v>
          </cell>
        </row>
        <row r="1514">
          <cell r="A1514">
            <v>0</v>
          </cell>
        </row>
        <row r="1515">
          <cell r="A1515">
            <v>0</v>
          </cell>
        </row>
        <row r="1516">
          <cell r="A1516">
            <v>0</v>
          </cell>
        </row>
        <row r="1517">
          <cell r="A1517">
            <v>0</v>
          </cell>
        </row>
        <row r="1518">
          <cell r="A1518">
            <v>0</v>
          </cell>
        </row>
        <row r="1519">
          <cell r="A1519">
            <v>0</v>
          </cell>
        </row>
        <row r="1520">
          <cell r="A1520">
            <v>0</v>
          </cell>
        </row>
        <row r="1521">
          <cell r="A1521">
            <v>0</v>
          </cell>
        </row>
        <row r="1522">
          <cell r="A1522">
            <v>0</v>
          </cell>
        </row>
        <row r="1523">
          <cell r="A1523">
            <v>0</v>
          </cell>
        </row>
        <row r="1524">
          <cell r="A1524">
            <v>0</v>
          </cell>
        </row>
        <row r="1525">
          <cell r="A1525">
            <v>0</v>
          </cell>
        </row>
        <row r="1526">
          <cell r="A1526">
            <v>0</v>
          </cell>
        </row>
        <row r="1527">
          <cell r="A1527">
            <v>0</v>
          </cell>
        </row>
        <row r="1528">
          <cell r="A1528">
            <v>0</v>
          </cell>
        </row>
        <row r="1529">
          <cell r="A1529">
            <v>0</v>
          </cell>
        </row>
        <row r="1530">
          <cell r="A1530">
            <v>0</v>
          </cell>
        </row>
        <row r="1531">
          <cell r="A1531">
            <v>0</v>
          </cell>
        </row>
        <row r="1532">
          <cell r="A1532">
            <v>0</v>
          </cell>
        </row>
        <row r="1533">
          <cell r="A1533">
            <v>0</v>
          </cell>
        </row>
        <row r="1534">
          <cell r="A1534">
            <v>0</v>
          </cell>
        </row>
        <row r="1535">
          <cell r="A1535">
            <v>0</v>
          </cell>
        </row>
        <row r="1536">
          <cell r="A1536">
            <v>0</v>
          </cell>
        </row>
        <row r="1537">
          <cell r="A1537">
            <v>0</v>
          </cell>
        </row>
        <row r="1538">
          <cell r="A1538">
            <v>0</v>
          </cell>
        </row>
        <row r="1539">
          <cell r="A1539">
            <v>0</v>
          </cell>
        </row>
        <row r="1540">
          <cell r="A1540">
            <v>0</v>
          </cell>
        </row>
        <row r="1541">
          <cell r="A1541">
            <v>0</v>
          </cell>
        </row>
        <row r="1542">
          <cell r="A1542">
            <v>0</v>
          </cell>
        </row>
        <row r="1543">
          <cell r="A1543">
            <v>0</v>
          </cell>
        </row>
        <row r="1544">
          <cell r="A1544">
            <v>0</v>
          </cell>
        </row>
        <row r="1545">
          <cell r="A1545">
            <v>0</v>
          </cell>
        </row>
        <row r="1546">
          <cell r="A1546">
            <v>0</v>
          </cell>
        </row>
        <row r="1547">
          <cell r="A1547">
            <v>0</v>
          </cell>
        </row>
        <row r="1548">
          <cell r="A1548">
            <v>0</v>
          </cell>
        </row>
        <row r="1549">
          <cell r="A1549">
            <v>0</v>
          </cell>
        </row>
        <row r="1550">
          <cell r="A1550">
            <v>0</v>
          </cell>
        </row>
        <row r="1551">
          <cell r="A1551">
            <v>0</v>
          </cell>
        </row>
        <row r="1552">
          <cell r="A1552">
            <v>0</v>
          </cell>
        </row>
        <row r="1553">
          <cell r="A1553">
            <v>0</v>
          </cell>
        </row>
        <row r="1554">
          <cell r="A1554">
            <v>0</v>
          </cell>
        </row>
        <row r="1555">
          <cell r="A1555">
            <v>0</v>
          </cell>
        </row>
        <row r="1556">
          <cell r="A1556">
            <v>0</v>
          </cell>
        </row>
        <row r="1557">
          <cell r="A1557">
            <v>0</v>
          </cell>
        </row>
        <row r="1558">
          <cell r="A1558">
            <v>0</v>
          </cell>
        </row>
        <row r="1559">
          <cell r="A1559">
            <v>0</v>
          </cell>
        </row>
        <row r="1560">
          <cell r="A1560">
            <v>0</v>
          </cell>
        </row>
        <row r="1561">
          <cell r="A1561">
            <v>0</v>
          </cell>
        </row>
        <row r="1562">
          <cell r="A1562">
            <v>0</v>
          </cell>
        </row>
        <row r="1563">
          <cell r="A1563">
            <v>0</v>
          </cell>
        </row>
        <row r="1564">
          <cell r="A1564">
            <v>0</v>
          </cell>
        </row>
        <row r="1565">
          <cell r="A1565">
            <v>0</v>
          </cell>
        </row>
        <row r="1566">
          <cell r="A1566">
            <v>0</v>
          </cell>
        </row>
        <row r="1567">
          <cell r="A1567">
            <v>0</v>
          </cell>
        </row>
        <row r="1568">
          <cell r="A1568">
            <v>0</v>
          </cell>
        </row>
        <row r="1569">
          <cell r="A1569">
            <v>0</v>
          </cell>
        </row>
        <row r="1570">
          <cell r="A1570">
            <v>0</v>
          </cell>
        </row>
        <row r="1571">
          <cell r="A1571">
            <v>0</v>
          </cell>
        </row>
        <row r="1572">
          <cell r="A1572">
            <v>0</v>
          </cell>
        </row>
        <row r="1573">
          <cell r="A1573">
            <v>0</v>
          </cell>
        </row>
        <row r="1574">
          <cell r="A1574">
            <v>0</v>
          </cell>
        </row>
        <row r="1575">
          <cell r="A1575">
            <v>0</v>
          </cell>
        </row>
        <row r="1576">
          <cell r="A1576">
            <v>0</v>
          </cell>
        </row>
        <row r="1577">
          <cell r="A1577">
            <v>0</v>
          </cell>
        </row>
        <row r="1578">
          <cell r="A1578">
            <v>0</v>
          </cell>
        </row>
        <row r="1579">
          <cell r="A1579">
            <v>0</v>
          </cell>
        </row>
        <row r="1580">
          <cell r="A1580">
            <v>0</v>
          </cell>
        </row>
        <row r="1581">
          <cell r="A1581">
            <v>0</v>
          </cell>
        </row>
        <row r="1582">
          <cell r="A1582">
            <v>0</v>
          </cell>
        </row>
        <row r="1583">
          <cell r="A1583">
            <v>0</v>
          </cell>
        </row>
        <row r="1584">
          <cell r="A1584">
            <v>0</v>
          </cell>
        </row>
        <row r="1585">
          <cell r="A1585">
            <v>0</v>
          </cell>
        </row>
        <row r="1586">
          <cell r="A1586">
            <v>0</v>
          </cell>
        </row>
        <row r="1587">
          <cell r="A1587">
            <v>0</v>
          </cell>
        </row>
        <row r="1588">
          <cell r="A1588">
            <v>0</v>
          </cell>
        </row>
        <row r="1589">
          <cell r="A1589">
            <v>0</v>
          </cell>
        </row>
        <row r="1590">
          <cell r="A1590">
            <v>0</v>
          </cell>
        </row>
        <row r="1591">
          <cell r="A1591">
            <v>0</v>
          </cell>
        </row>
        <row r="1592">
          <cell r="A1592">
            <v>0</v>
          </cell>
        </row>
        <row r="1593">
          <cell r="A1593">
            <v>0</v>
          </cell>
        </row>
        <row r="1594">
          <cell r="A1594">
            <v>0</v>
          </cell>
        </row>
        <row r="1595">
          <cell r="A1595">
            <v>0</v>
          </cell>
        </row>
        <row r="1596">
          <cell r="A1596">
            <v>0</v>
          </cell>
        </row>
        <row r="1597">
          <cell r="A1597">
            <v>0</v>
          </cell>
        </row>
        <row r="1598">
          <cell r="A1598">
            <v>0</v>
          </cell>
        </row>
        <row r="1599">
          <cell r="A1599">
            <v>0</v>
          </cell>
        </row>
        <row r="1600">
          <cell r="A1600">
            <v>0</v>
          </cell>
        </row>
        <row r="1601">
          <cell r="A1601">
            <v>0</v>
          </cell>
        </row>
        <row r="1602">
          <cell r="A1602">
            <v>0</v>
          </cell>
        </row>
        <row r="1603">
          <cell r="A1603">
            <v>0</v>
          </cell>
        </row>
        <row r="1604">
          <cell r="A1604">
            <v>0</v>
          </cell>
        </row>
        <row r="1605">
          <cell r="A1605">
            <v>0</v>
          </cell>
        </row>
        <row r="1606">
          <cell r="A1606">
            <v>0</v>
          </cell>
        </row>
        <row r="1607">
          <cell r="A1607">
            <v>0</v>
          </cell>
        </row>
        <row r="1608">
          <cell r="A1608">
            <v>0</v>
          </cell>
        </row>
        <row r="1609">
          <cell r="A1609">
            <v>0</v>
          </cell>
        </row>
        <row r="1610">
          <cell r="A1610">
            <v>0</v>
          </cell>
        </row>
        <row r="1611">
          <cell r="A1611">
            <v>0</v>
          </cell>
        </row>
        <row r="1612">
          <cell r="A1612">
            <v>0</v>
          </cell>
        </row>
        <row r="1613">
          <cell r="A1613">
            <v>0</v>
          </cell>
        </row>
        <row r="1614">
          <cell r="A1614">
            <v>0</v>
          </cell>
        </row>
        <row r="1615">
          <cell r="A1615">
            <v>0</v>
          </cell>
        </row>
        <row r="1616">
          <cell r="A1616">
            <v>0</v>
          </cell>
        </row>
        <row r="1617">
          <cell r="A1617">
            <v>0</v>
          </cell>
        </row>
        <row r="1618">
          <cell r="A1618">
            <v>0</v>
          </cell>
        </row>
        <row r="1619">
          <cell r="A1619">
            <v>0</v>
          </cell>
        </row>
        <row r="1620">
          <cell r="A1620">
            <v>0</v>
          </cell>
        </row>
        <row r="1621">
          <cell r="A1621">
            <v>0</v>
          </cell>
        </row>
        <row r="1622">
          <cell r="A1622">
            <v>0</v>
          </cell>
        </row>
        <row r="1623">
          <cell r="A1623">
            <v>0</v>
          </cell>
        </row>
        <row r="1624">
          <cell r="A1624">
            <v>0</v>
          </cell>
        </row>
        <row r="1625">
          <cell r="A1625">
            <v>0</v>
          </cell>
        </row>
        <row r="1626">
          <cell r="A1626">
            <v>0</v>
          </cell>
        </row>
        <row r="1627">
          <cell r="A1627">
            <v>0</v>
          </cell>
        </row>
        <row r="1628">
          <cell r="A1628">
            <v>0</v>
          </cell>
        </row>
        <row r="1629">
          <cell r="A1629">
            <v>0</v>
          </cell>
        </row>
        <row r="1630">
          <cell r="A1630">
            <v>0</v>
          </cell>
        </row>
        <row r="1631">
          <cell r="A1631">
            <v>0</v>
          </cell>
        </row>
        <row r="1632">
          <cell r="A1632">
            <v>0</v>
          </cell>
        </row>
        <row r="1633">
          <cell r="A1633">
            <v>0</v>
          </cell>
        </row>
        <row r="1634">
          <cell r="A1634">
            <v>0</v>
          </cell>
        </row>
        <row r="1635">
          <cell r="A1635">
            <v>0</v>
          </cell>
        </row>
        <row r="1636">
          <cell r="A1636">
            <v>0</v>
          </cell>
        </row>
        <row r="1637">
          <cell r="A1637">
            <v>0</v>
          </cell>
        </row>
        <row r="1638">
          <cell r="A1638">
            <v>0</v>
          </cell>
        </row>
        <row r="1639">
          <cell r="A1639">
            <v>0</v>
          </cell>
        </row>
        <row r="1640">
          <cell r="A1640">
            <v>0</v>
          </cell>
        </row>
        <row r="1641">
          <cell r="A1641">
            <v>0</v>
          </cell>
        </row>
        <row r="1642">
          <cell r="A1642">
            <v>0</v>
          </cell>
        </row>
        <row r="1643">
          <cell r="A1643">
            <v>0</v>
          </cell>
        </row>
        <row r="1644">
          <cell r="A1644">
            <v>0</v>
          </cell>
        </row>
        <row r="1645">
          <cell r="A1645">
            <v>0</v>
          </cell>
        </row>
        <row r="1646">
          <cell r="A1646">
            <v>0</v>
          </cell>
        </row>
        <row r="1647">
          <cell r="A1647">
            <v>0</v>
          </cell>
        </row>
        <row r="1648">
          <cell r="A1648">
            <v>0</v>
          </cell>
        </row>
        <row r="1649">
          <cell r="A1649">
            <v>0</v>
          </cell>
        </row>
        <row r="1650">
          <cell r="A1650">
            <v>0</v>
          </cell>
        </row>
        <row r="1651">
          <cell r="A1651">
            <v>0</v>
          </cell>
        </row>
        <row r="1652">
          <cell r="A1652">
            <v>0</v>
          </cell>
        </row>
        <row r="1653">
          <cell r="A1653">
            <v>0</v>
          </cell>
        </row>
        <row r="1654">
          <cell r="A1654">
            <v>0</v>
          </cell>
        </row>
        <row r="1655">
          <cell r="A1655">
            <v>0</v>
          </cell>
        </row>
        <row r="1656">
          <cell r="A1656">
            <v>0</v>
          </cell>
        </row>
        <row r="1657">
          <cell r="A1657">
            <v>0</v>
          </cell>
        </row>
        <row r="1658">
          <cell r="A1658">
            <v>0</v>
          </cell>
        </row>
        <row r="1659">
          <cell r="A1659">
            <v>0</v>
          </cell>
        </row>
        <row r="1660">
          <cell r="A1660">
            <v>0</v>
          </cell>
        </row>
        <row r="1661">
          <cell r="A1661">
            <v>0</v>
          </cell>
        </row>
        <row r="1662">
          <cell r="A1662">
            <v>0</v>
          </cell>
        </row>
        <row r="1663">
          <cell r="A1663">
            <v>0</v>
          </cell>
        </row>
        <row r="1664">
          <cell r="A1664">
            <v>0</v>
          </cell>
        </row>
        <row r="1665">
          <cell r="A1665">
            <v>0</v>
          </cell>
        </row>
        <row r="1666">
          <cell r="A1666">
            <v>0</v>
          </cell>
        </row>
        <row r="1667">
          <cell r="A1667">
            <v>0</v>
          </cell>
        </row>
        <row r="1668">
          <cell r="A1668">
            <v>0</v>
          </cell>
        </row>
        <row r="1669">
          <cell r="A1669">
            <v>0</v>
          </cell>
        </row>
        <row r="1670">
          <cell r="A1670">
            <v>0</v>
          </cell>
        </row>
        <row r="1671">
          <cell r="A1671">
            <v>0</v>
          </cell>
        </row>
        <row r="1672">
          <cell r="A1672">
            <v>0</v>
          </cell>
        </row>
        <row r="1673">
          <cell r="A1673">
            <v>0</v>
          </cell>
        </row>
        <row r="1674">
          <cell r="A1674">
            <v>0</v>
          </cell>
        </row>
        <row r="1675">
          <cell r="A1675">
            <v>0</v>
          </cell>
        </row>
        <row r="1676">
          <cell r="A1676">
            <v>0</v>
          </cell>
        </row>
        <row r="1677">
          <cell r="A1677">
            <v>0</v>
          </cell>
        </row>
        <row r="1678">
          <cell r="A1678">
            <v>0</v>
          </cell>
        </row>
        <row r="1679">
          <cell r="A1679">
            <v>0</v>
          </cell>
        </row>
        <row r="1680">
          <cell r="A1680">
            <v>0</v>
          </cell>
        </row>
        <row r="1681">
          <cell r="A1681">
            <v>0</v>
          </cell>
        </row>
        <row r="1682">
          <cell r="A1682">
            <v>0</v>
          </cell>
        </row>
        <row r="1683">
          <cell r="A1683">
            <v>0</v>
          </cell>
        </row>
        <row r="1684">
          <cell r="A1684">
            <v>0</v>
          </cell>
        </row>
        <row r="1685">
          <cell r="A1685">
            <v>0</v>
          </cell>
        </row>
        <row r="1686">
          <cell r="A1686">
            <v>0</v>
          </cell>
        </row>
        <row r="1687">
          <cell r="A1687">
            <v>0</v>
          </cell>
        </row>
        <row r="1688">
          <cell r="A1688">
            <v>0</v>
          </cell>
        </row>
        <row r="1689">
          <cell r="A1689">
            <v>0</v>
          </cell>
        </row>
        <row r="1690">
          <cell r="A1690">
            <v>0</v>
          </cell>
        </row>
        <row r="1691">
          <cell r="A1691">
            <v>0</v>
          </cell>
        </row>
        <row r="1692">
          <cell r="A1692">
            <v>0</v>
          </cell>
        </row>
        <row r="1693">
          <cell r="A1693">
            <v>0</v>
          </cell>
        </row>
        <row r="1694">
          <cell r="A1694">
            <v>0</v>
          </cell>
        </row>
        <row r="1695">
          <cell r="A1695">
            <v>0</v>
          </cell>
        </row>
        <row r="1696">
          <cell r="A1696">
            <v>0</v>
          </cell>
        </row>
        <row r="1697">
          <cell r="A1697">
            <v>0</v>
          </cell>
        </row>
        <row r="1698">
          <cell r="A1698">
            <v>0</v>
          </cell>
        </row>
        <row r="1699">
          <cell r="A1699">
            <v>0</v>
          </cell>
        </row>
        <row r="1700">
          <cell r="A1700">
            <v>0</v>
          </cell>
        </row>
        <row r="1701">
          <cell r="A1701">
            <v>0</v>
          </cell>
        </row>
        <row r="1702">
          <cell r="A1702">
            <v>0</v>
          </cell>
        </row>
        <row r="1703">
          <cell r="A1703">
            <v>0</v>
          </cell>
        </row>
        <row r="1704">
          <cell r="A1704">
            <v>0</v>
          </cell>
        </row>
        <row r="1705">
          <cell r="A1705">
            <v>0</v>
          </cell>
        </row>
        <row r="1706">
          <cell r="A1706">
            <v>0</v>
          </cell>
        </row>
        <row r="1707">
          <cell r="A1707">
            <v>0</v>
          </cell>
        </row>
        <row r="1708">
          <cell r="A1708">
            <v>0</v>
          </cell>
        </row>
        <row r="1709">
          <cell r="A1709">
            <v>0</v>
          </cell>
        </row>
        <row r="1710">
          <cell r="A1710">
            <v>0</v>
          </cell>
        </row>
        <row r="1711">
          <cell r="A1711">
            <v>0</v>
          </cell>
        </row>
        <row r="1712">
          <cell r="A1712">
            <v>0</v>
          </cell>
        </row>
        <row r="1713">
          <cell r="A1713">
            <v>0</v>
          </cell>
        </row>
        <row r="1714">
          <cell r="A1714">
            <v>0</v>
          </cell>
        </row>
        <row r="1715">
          <cell r="A1715">
            <v>0</v>
          </cell>
        </row>
        <row r="1716">
          <cell r="A1716">
            <v>0</v>
          </cell>
        </row>
        <row r="1717">
          <cell r="A1717">
            <v>0</v>
          </cell>
        </row>
        <row r="1718">
          <cell r="A1718">
            <v>0</v>
          </cell>
        </row>
        <row r="1719">
          <cell r="A1719">
            <v>0</v>
          </cell>
        </row>
        <row r="1720">
          <cell r="A1720">
            <v>0</v>
          </cell>
        </row>
        <row r="1721">
          <cell r="A1721">
            <v>0</v>
          </cell>
        </row>
        <row r="1722">
          <cell r="A1722">
            <v>0</v>
          </cell>
        </row>
        <row r="1723">
          <cell r="A1723">
            <v>0</v>
          </cell>
        </row>
        <row r="1724">
          <cell r="A1724">
            <v>0</v>
          </cell>
        </row>
        <row r="1725">
          <cell r="A1725">
            <v>0</v>
          </cell>
        </row>
        <row r="1726">
          <cell r="A1726">
            <v>0</v>
          </cell>
        </row>
        <row r="1727">
          <cell r="A1727">
            <v>0</v>
          </cell>
        </row>
        <row r="1728">
          <cell r="A1728">
            <v>0</v>
          </cell>
        </row>
        <row r="1729">
          <cell r="A1729">
            <v>0</v>
          </cell>
        </row>
        <row r="1730">
          <cell r="A1730">
            <v>0</v>
          </cell>
        </row>
        <row r="1731">
          <cell r="A1731">
            <v>0</v>
          </cell>
        </row>
        <row r="1732">
          <cell r="A1732">
            <v>0</v>
          </cell>
        </row>
        <row r="1733">
          <cell r="A1733">
            <v>0</v>
          </cell>
        </row>
        <row r="1734">
          <cell r="A1734">
            <v>0</v>
          </cell>
        </row>
        <row r="1735">
          <cell r="A1735">
            <v>0</v>
          </cell>
        </row>
        <row r="1736">
          <cell r="A1736">
            <v>0</v>
          </cell>
        </row>
        <row r="1737">
          <cell r="A1737">
            <v>0</v>
          </cell>
        </row>
        <row r="1738">
          <cell r="A1738">
            <v>0</v>
          </cell>
        </row>
        <row r="1739">
          <cell r="A1739">
            <v>0</v>
          </cell>
        </row>
        <row r="1740">
          <cell r="A1740">
            <v>0</v>
          </cell>
        </row>
        <row r="1741">
          <cell r="A1741">
            <v>0</v>
          </cell>
        </row>
        <row r="1742">
          <cell r="A1742">
            <v>0</v>
          </cell>
        </row>
        <row r="1743">
          <cell r="A1743">
            <v>0</v>
          </cell>
        </row>
        <row r="1744">
          <cell r="A1744">
            <v>0</v>
          </cell>
        </row>
        <row r="1745">
          <cell r="A1745">
            <v>0</v>
          </cell>
        </row>
        <row r="1746">
          <cell r="A1746">
            <v>0</v>
          </cell>
        </row>
        <row r="1747">
          <cell r="A1747">
            <v>0</v>
          </cell>
        </row>
        <row r="1748">
          <cell r="A1748">
            <v>0</v>
          </cell>
        </row>
        <row r="1749">
          <cell r="A1749">
            <v>0</v>
          </cell>
        </row>
        <row r="1750">
          <cell r="A1750">
            <v>0</v>
          </cell>
        </row>
        <row r="1751">
          <cell r="A1751">
            <v>0</v>
          </cell>
        </row>
        <row r="1752">
          <cell r="A1752">
            <v>0</v>
          </cell>
        </row>
        <row r="1753">
          <cell r="A1753">
            <v>0</v>
          </cell>
        </row>
        <row r="1754">
          <cell r="A1754">
            <v>0</v>
          </cell>
        </row>
        <row r="1755">
          <cell r="A1755">
            <v>0</v>
          </cell>
        </row>
        <row r="1756">
          <cell r="A1756">
            <v>0</v>
          </cell>
        </row>
        <row r="1757">
          <cell r="A1757">
            <v>0</v>
          </cell>
        </row>
        <row r="1758">
          <cell r="A1758">
            <v>0</v>
          </cell>
        </row>
        <row r="1759">
          <cell r="A1759">
            <v>0</v>
          </cell>
        </row>
        <row r="1760">
          <cell r="A1760">
            <v>0</v>
          </cell>
        </row>
        <row r="1761">
          <cell r="A1761">
            <v>0</v>
          </cell>
        </row>
        <row r="1762">
          <cell r="A1762">
            <v>0</v>
          </cell>
        </row>
        <row r="1763">
          <cell r="A1763">
            <v>0</v>
          </cell>
        </row>
        <row r="1764">
          <cell r="A1764">
            <v>0</v>
          </cell>
        </row>
        <row r="1765">
          <cell r="A1765">
            <v>0</v>
          </cell>
        </row>
        <row r="1766">
          <cell r="A1766">
            <v>0</v>
          </cell>
        </row>
        <row r="1767">
          <cell r="A1767">
            <v>0</v>
          </cell>
        </row>
        <row r="1768">
          <cell r="A1768">
            <v>0</v>
          </cell>
        </row>
        <row r="1769">
          <cell r="A1769">
            <v>0</v>
          </cell>
        </row>
        <row r="1770">
          <cell r="A1770">
            <v>0</v>
          </cell>
        </row>
        <row r="1771">
          <cell r="A1771">
            <v>0</v>
          </cell>
        </row>
        <row r="1772">
          <cell r="A1772">
            <v>0</v>
          </cell>
        </row>
        <row r="1773">
          <cell r="A1773">
            <v>0</v>
          </cell>
        </row>
        <row r="1774">
          <cell r="A1774">
            <v>0</v>
          </cell>
        </row>
        <row r="1775">
          <cell r="A1775">
            <v>0</v>
          </cell>
        </row>
        <row r="1776">
          <cell r="A1776">
            <v>0</v>
          </cell>
        </row>
        <row r="1777">
          <cell r="A1777">
            <v>0</v>
          </cell>
        </row>
        <row r="1778">
          <cell r="A1778">
            <v>0</v>
          </cell>
        </row>
        <row r="1779">
          <cell r="A1779">
            <v>0</v>
          </cell>
        </row>
        <row r="1780">
          <cell r="A1780">
            <v>0</v>
          </cell>
        </row>
        <row r="1781">
          <cell r="A1781">
            <v>0</v>
          </cell>
        </row>
        <row r="1782">
          <cell r="A1782">
            <v>0</v>
          </cell>
        </row>
        <row r="1783">
          <cell r="A1783">
            <v>0</v>
          </cell>
        </row>
        <row r="1784">
          <cell r="A1784">
            <v>0</v>
          </cell>
        </row>
        <row r="1785">
          <cell r="A1785">
            <v>0</v>
          </cell>
        </row>
        <row r="1786">
          <cell r="A1786">
            <v>0</v>
          </cell>
        </row>
        <row r="1787">
          <cell r="A1787">
            <v>0</v>
          </cell>
        </row>
        <row r="1788">
          <cell r="A1788">
            <v>0</v>
          </cell>
        </row>
        <row r="1789">
          <cell r="A1789">
            <v>0</v>
          </cell>
        </row>
        <row r="1790">
          <cell r="A1790">
            <v>0</v>
          </cell>
        </row>
        <row r="1791">
          <cell r="A1791">
            <v>0</v>
          </cell>
        </row>
        <row r="1792">
          <cell r="A1792">
            <v>0</v>
          </cell>
        </row>
        <row r="1793">
          <cell r="A1793">
            <v>0</v>
          </cell>
        </row>
        <row r="1794">
          <cell r="A1794">
            <v>0</v>
          </cell>
        </row>
        <row r="1795">
          <cell r="A1795">
            <v>0</v>
          </cell>
        </row>
        <row r="1796">
          <cell r="A1796">
            <v>0</v>
          </cell>
        </row>
        <row r="1797">
          <cell r="A1797">
            <v>0</v>
          </cell>
        </row>
        <row r="1798">
          <cell r="A1798">
            <v>0</v>
          </cell>
        </row>
        <row r="1799">
          <cell r="A1799">
            <v>0</v>
          </cell>
        </row>
        <row r="1800">
          <cell r="A1800">
            <v>0</v>
          </cell>
        </row>
        <row r="1801">
          <cell r="A1801">
            <v>0</v>
          </cell>
        </row>
        <row r="1802">
          <cell r="A1802">
            <v>0</v>
          </cell>
        </row>
        <row r="1803">
          <cell r="A1803">
            <v>0</v>
          </cell>
        </row>
        <row r="1804">
          <cell r="A1804">
            <v>0</v>
          </cell>
        </row>
        <row r="1805">
          <cell r="A1805">
            <v>0</v>
          </cell>
        </row>
        <row r="1806">
          <cell r="A1806">
            <v>0</v>
          </cell>
        </row>
        <row r="1807">
          <cell r="A1807">
            <v>0</v>
          </cell>
        </row>
        <row r="1808">
          <cell r="A1808">
            <v>0</v>
          </cell>
        </row>
        <row r="1809">
          <cell r="A1809">
            <v>0</v>
          </cell>
        </row>
        <row r="1810">
          <cell r="A1810">
            <v>0</v>
          </cell>
        </row>
        <row r="1811">
          <cell r="A1811">
            <v>0</v>
          </cell>
        </row>
        <row r="1812">
          <cell r="A1812">
            <v>0</v>
          </cell>
        </row>
        <row r="1813">
          <cell r="A1813">
            <v>0</v>
          </cell>
        </row>
        <row r="1814">
          <cell r="A1814">
            <v>0</v>
          </cell>
        </row>
        <row r="1815">
          <cell r="A1815">
            <v>0</v>
          </cell>
        </row>
        <row r="1816">
          <cell r="A1816">
            <v>0</v>
          </cell>
        </row>
        <row r="1817">
          <cell r="A1817">
            <v>0</v>
          </cell>
        </row>
        <row r="1818">
          <cell r="A1818">
            <v>0</v>
          </cell>
        </row>
        <row r="1819">
          <cell r="A1819">
            <v>0</v>
          </cell>
        </row>
        <row r="1820">
          <cell r="A1820">
            <v>0</v>
          </cell>
        </row>
        <row r="1821">
          <cell r="A1821">
            <v>0</v>
          </cell>
        </row>
        <row r="1822">
          <cell r="A1822">
            <v>0</v>
          </cell>
        </row>
        <row r="1823">
          <cell r="A1823">
            <v>0</v>
          </cell>
        </row>
        <row r="1824">
          <cell r="A1824">
            <v>0</v>
          </cell>
        </row>
        <row r="1825">
          <cell r="A1825">
            <v>0</v>
          </cell>
        </row>
        <row r="1826">
          <cell r="A1826">
            <v>0</v>
          </cell>
        </row>
        <row r="1827">
          <cell r="A1827">
            <v>0</v>
          </cell>
        </row>
        <row r="1828">
          <cell r="A1828">
            <v>0</v>
          </cell>
        </row>
        <row r="1829">
          <cell r="A1829">
            <v>0</v>
          </cell>
        </row>
        <row r="1830">
          <cell r="A1830">
            <v>0</v>
          </cell>
        </row>
        <row r="1831">
          <cell r="A1831">
            <v>0</v>
          </cell>
        </row>
        <row r="1832">
          <cell r="A1832">
            <v>0</v>
          </cell>
        </row>
        <row r="1833">
          <cell r="A1833">
            <v>0</v>
          </cell>
        </row>
        <row r="1834">
          <cell r="A1834">
            <v>0</v>
          </cell>
        </row>
        <row r="1835">
          <cell r="A1835">
            <v>0</v>
          </cell>
        </row>
        <row r="1836">
          <cell r="A1836">
            <v>0</v>
          </cell>
        </row>
        <row r="1837">
          <cell r="A1837">
            <v>0</v>
          </cell>
        </row>
        <row r="1838">
          <cell r="A1838">
            <v>0</v>
          </cell>
        </row>
        <row r="1839">
          <cell r="A1839">
            <v>0</v>
          </cell>
        </row>
        <row r="1840">
          <cell r="A1840">
            <v>0</v>
          </cell>
        </row>
        <row r="1841">
          <cell r="A1841">
            <v>0</v>
          </cell>
        </row>
        <row r="1842">
          <cell r="A1842">
            <v>0</v>
          </cell>
        </row>
        <row r="1843">
          <cell r="A1843">
            <v>0</v>
          </cell>
        </row>
        <row r="1844">
          <cell r="A1844">
            <v>0</v>
          </cell>
        </row>
        <row r="1845">
          <cell r="A1845">
            <v>0</v>
          </cell>
        </row>
        <row r="1846">
          <cell r="A1846">
            <v>0</v>
          </cell>
        </row>
        <row r="1847">
          <cell r="A1847">
            <v>0</v>
          </cell>
        </row>
        <row r="1848">
          <cell r="A1848">
            <v>0</v>
          </cell>
        </row>
        <row r="1849">
          <cell r="A1849">
            <v>0</v>
          </cell>
        </row>
        <row r="1850">
          <cell r="A1850">
            <v>0</v>
          </cell>
        </row>
        <row r="1851">
          <cell r="A1851">
            <v>0</v>
          </cell>
        </row>
        <row r="1852">
          <cell r="A1852">
            <v>0</v>
          </cell>
        </row>
        <row r="1853">
          <cell r="A1853">
            <v>0</v>
          </cell>
        </row>
        <row r="1854">
          <cell r="A1854">
            <v>0</v>
          </cell>
        </row>
        <row r="1855">
          <cell r="A1855">
            <v>0</v>
          </cell>
        </row>
        <row r="1856">
          <cell r="A1856">
            <v>0</v>
          </cell>
        </row>
        <row r="1857">
          <cell r="A1857">
            <v>0</v>
          </cell>
        </row>
        <row r="1858">
          <cell r="A1858">
            <v>0</v>
          </cell>
        </row>
        <row r="1859">
          <cell r="A1859">
            <v>0</v>
          </cell>
        </row>
        <row r="1860">
          <cell r="A1860">
            <v>0</v>
          </cell>
        </row>
        <row r="1861">
          <cell r="A1861">
            <v>0</v>
          </cell>
        </row>
        <row r="1862">
          <cell r="A1862">
            <v>0</v>
          </cell>
        </row>
        <row r="1863">
          <cell r="A1863">
            <v>0</v>
          </cell>
        </row>
        <row r="1864">
          <cell r="A1864">
            <v>0</v>
          </cell>
        </row>
        <row r="1865">
          <cell r="A1865">
            <v>0</v>
          </cell>
        </row>
        <row r="1866">
          <cell r="A1866">
            <v>0</v>
          </cell>
        </row>
        <row r="1867">
          <cell r="A1867">
            <v>0</v>
          </cell>
        </row>
        <row r="1868">
          <cell r="A1868">
            <v>0</v>
          </cell>
        </row>
        <row r="1869">
          <cell r="A1869">
            <v>0</v>
          </cell>
        </row>
        <row r="1870">
          <cell r="A1870">
            <v>0</v>
          </cell>
        </row>
        <row r="1871">
          <cell r="A1871">
            <v>0</v>
          </cell>
        </row>
        <row r="1872">
          <cell r="A1872">
            <v>0</v>
          </cell>
        </row>
        <row r="1873">
          <cell r="A1873">
            <v>0</v>
          </cell>
        </row>
        <row r="1874">
          <cell r="A1874">
            <v>0</v>
          </cell>
        </row>
        <row r="1875">
          <cell r="A1875">
            <v>0</v>
          </cell>
        </row>
        <row r="1876">
          <cell r="A1876">
            <v>0</v>
          </cell>
        </row>
        <row r="1877">
          <cell r="A1877">
            <v>0</v>
          </cell>
        </row>
        <row r="1878">
          <cell r="A1878">
            <v>0</v>
          </cell>
        </row>
        <row r="1879">
          <cell r="A1879">
            <v>0</v>
          </cell>
        </row>
        <row r="1880">
          <cell r="A1880">
            <v>0</v>
          </cell>
        </row>
        <row r="1881">
          <cell r="A1881">
            <v>0</v>
          </cell>
        </row>
        <row r="1882">
          <cell r="A1882">
            <v>0</v>
          </cell>
        </row>
        <row r="1883">
          <cell r="A1883">
            <v>0</v>
          </cell>
        </row>
        <row r="1884">
          <cell r="A1884">
            <v>0</v>
          </cell>
        </row>
        <row r="1885">
          <cell r="A1885">
            <v>0</v>
          </cell>
        </row>
        <row r="1886">
          <cell r="A1886">
            <v>0</v>
          </cell>
        </row>
        <row r="1887">
          <cell r="A1887">
            <v>0</v>
          </cell>
        </row>
        <row r="1888">
          <cell r="A1888">
            <v>0</v>
          </cell>
        </row>
        <row r="1889">
          <cell r="A1889">
            <v>0</v>
          </cell>
        </row>
        <row r="1890">
          <cell r="A1890">
            <v>0</v>
          </cell>
        </row>
        <row r="1891">
          <cell r="A1891">
            <v>0</v>
          </cell>
        </row>
        <row r="1892">
          <cell r="A1892">
            <v>0</v>
          </cell>
        </row>
        <row r="1893">
          <cell r="A1893">
            <v>0</v>
          </cell>
        </row>
        <row r="1894">
          <cell r="A1894">
            <v>0</v>
          </cell>
        </row>
        <row r="1895">
          <cell r="A1895">
            <v>0</v>
          </cell>
        </row>
        <row r="1896">
          <cell r="A1896">
            <v>0</v>
          </cell>
        </row>
        <row r="1897">
          <cell r="A1897">
            <v>0</v>
          </cell>
        </row>
        <row r="1898">
          <cell r="A1898">
            <v>0</v>
          </cell>
        </row>
        <row r="1899">
          <cell r="A1899">
            <v>0</v>
          </cell>
        </row>
        <row r="1900">
          <cell r="A1900">
            <v>0</v>
          </cell>
        </row>
        <row r="1901">
          <cell r="A1901">
            <v>0</v>
          </cell>
        </row>
        <row r="1902">
          <cell r="A1902">
            <v>0</v>
          </cell>
        </row>
        <row r="1903">
          <cell r="A1903">
            <v>0</v>
          </cell>
        </row>
        <row r="1904">
          <cell r="A1904">
            <v>0</v>
          </cell>
        </row>
        <row r="1905">
          <cell r="A1905">
            <v>0</v>
          </cell>
        </row>
        <row r="1906">
          <cell r="A1906">
            <v>0</v>
          </cell>
        </row>
        <row r="1907">
          <cell r="A1907">
            <v>0</v>
          </cell>
        </row>
        <row r="1908">
          <cell r="A1908">
            <v>0</v>
          </cell>
        </row>
        <row r="1909">
          <cell r="A1909">
            <v>0</v>
          </cell>
        </row>
        <row r="1910">
          <cell r="A1910">
            <v>0</v>
          </cell>
        </row>
        <row r="1911">
          <cell r="A1911">
            <v>0</v>
          </cell>
        </row>
        <row r="1912">
          <cell r="A1912">
            <v>0</v>
          </cell>
        </row>
        <row r="1913">
          <cell r="A1913">
            <v>0</v>
          </cell>
        </row>
        <row r="1914">
          <cell r="A1914">
            <v>0</v>
          </cell>
        </row>
        <row r="1915">
          <cell r="A1915">
            <v>0</v>
          </cell>
        </row>
        <row r="1916">
          <cell r="A1916">
            <v>0</v>
          </cell>
        </row>
        <row r="1917">
          <cell r="A1917">
            <v>0</v>
          </cell>
        </row>
        <row r="1918">
          <cell r="A1918">
            <v>0</v>
          </cell>
        </row>
        <row r="1919">
          <cell r="A1919">
            <v>0</v>
          </cell>
        </row>
        <row r="1920">
          <cell r="A1920">
            <v>0</v>
          </cell>
        </row>
        <row r="1921">
          <cell r="A1921">
            <v>0</v>
          </cell>
        </row>
        <row r="1922">
          <cell r="A1922">
            <v>0</v>
          </cell>
        </row>
        <row r="1923">
          <cell r="A1923">
            <v>0</v>
          </cell>
        </row>
        <row r="1924">
          <cell r="A1924">
            <v>0</v>
          </cell>
        </row>
        <row r="1925">
          <cell r="A1925">
            <v>0</v>
          </cell>
        </row>
        <row r="1926">
          <cell r="A1926">
            <v>0</v>
          </cell>
        </row>
        <row r="1927">
          <cell r="A1927">
            <v>0</v>
          </cell>
        </row>
        <row r="1928">
          <cell r="A1928">
            <v>0</v>
          </cell>
        </row>
        <row r="1929">
          <cell r="A1929">
            <v>0</v>
          </cell>
        </row>
        <row r="1930">
          <cell r="A1930">
            <v>0</v>
          </cell>
        </row>
        <row r="1931">
          <cell r="A1931">
            <v>0</v>
          </cell>
        </row>
        <row r="1932">
          <cell r="A1932">
            <v>0</v>
          </cell>
        </row>
        <row r="1933">
          <cell r="A1933">
            <v>0</v>
          </cell>
        </row>
        <row r="1934">
          <cell r="A1934">
            <v>0</v>
          </cell>
        </row>
        <row r="1935">
          <cell r="A1935">
            <v>0</v>
          </cell>
        </row>
        <row r="1936">
          <cell r="A1936">
            <v>0</v>
          </cell>
        </row>
        <row r="1937">
          <cell r="A1937">
            <v>0</v>
          </cell>
        </row>
        <row r="1938">
          <cell r="A1938">
            <v>0</v>
          </cell>
        </row>
        <row r="1939">
          <cell r="A1939">
            <v>0</v>
          </cell>
        </row>
        <row r="1940">
          <cell r="A1940">
            <v>0</v>
          </cell>
        </row>
        <row r="1941">
          <cell r="A1941">
            <v>0</v>
          </cell>
        </row>
        <row r="1942">
          <cell r="A1942">
            <v>0</v>
          </cell>
        </row>
        <row r="1943">
          <cell r="A1943">
            <v>0</v>
          </cell>
        </row>
        <row r="1944">
          <cell r="A1944">
            <v>0</v>
          </cell>
        </row>
        <row r="1945">
          <cell r="A1945">
            <v>0</v>
          </cell>
        </row>
        <row r="1946">
          <cell r="A1946">
            <v>0</v>
          </cell>
        </row>
        <row r="1947">
          <cell r="A1947">
            <v>0</v>
          </cell>
        </row>
        <row r="1948">
          <cell r="A1948">
            <v>0</v>
          </cell>
        </row>
        <row r="1949">
          <cell r="A1949">
            <v>0</v>
          </cell>
        </row>
        <row r="1950">
          <cell r="A1950">
            <v>0</v>
          </cell>
        </row>
        <row r="1951">
          <cell r="A1951">
            <v>0</v>
          </cell>
        </row>
        <row r="1952">
          <cell r="A1952">
            <v>0</v>
          </cell>
        </row>
        <row r="1953">
          <cell r="A1953">
            <v>0</v>
          </cell>
        </row>
        <row r="1954">
          <cell r="A1954">
            <v>0</v>
          </cell>
        </row>
        <row r="1955">
          <cell r="A1955">
            <v>0</v>
          </cell>
        </row>
        <row r="1956">
          <cell r="A1956">
            <v>0</v>
          </cell>
        </row>
        <row r="1957">
          <cell r="A1957">
            <v>0</v>
          </cell>
        </row>
        <row r="1958">
          <cell r="A1958">
            <v>0</v>
          </cell>
        </row>
        <row r="1959">
          <cell r="A1959">
            <v>0</v>
          </cell>
        </row>
        <row r="1960">
          <cell r="A1960">
            <v>0</v>
          </cell>
        </row>
        <row r="1961">
          <cell r="A1961">
            <v>0</v>
          </cell>
        </row>
        <row r="1962">
          <cell r="A1962">
            <v>0</v>
          </cell>
        </row>
        <row r="1963">
          <cell r="A1963">
            <v>0</v>
          </cell>
        </row>
        <row r="1964">
          <cell r="A1964">
            <v>0</v>
          </cell>
        </row>
        <row r="1965">
          <cell r="A1965">
            <v>0</v>
          </cell>
        </row>
        <row r="1966">
          <cell r="A1966">
            <v>0</v>
          </cell>
        </row>
        <row r="1967">
          <cell r="A1967">
            <v>0</v>
          </cell>
        </row>
        <row r="1968">
          <cell r="A1968">
            <v>0</v>
          </cell>
        </row>
        <row r="1969">
          <cell r="A1969">
            <v>0</v>
          </cell>
        </row>
        <row r="1970">
          <cell r="A1970">
            <v>0</v>
          </cell>
        </row>
        <row r="1971">
          <cell r="A1971">
            <v>0</v>
          </cell>
        </row>
        <row r="1972">
          <cell r="A1972">
            <v>0</v>
          </cell>
        </row>
        <row r="1973">
          <cell r="A1973">
            <v>0</v>
          </cell>
        </row>
        <row r="1974">
          <cell r="A1974">
            <v>0</v>
          </cell>
        </row>
        <row r="1975">
          <cell r="A1975">
            <v>0</v>
          </cell>
        </row>
        <row r="1976">
          <cell r="A1976">
            <v>0</v>
          </cell>
        </row>
        <row r="1977">
          <cell r="A1977">
            <v>0</v>
          </cell>
        </row>
        <row r="1978">
          <cell r="A1978">
            <v>0</v>
          </cell>
        </row>
        <row r="1979">
          <cell r="A1979">
            <v>0</v>
          </cell>
        </row>
        <row r="1980">
          <cell r="A1980">
            <v>0</v>
          </cell>
        </row>
        <row r="1981">
          <cell r="A1981">
            <v>0</v>
          </cell>
        </row>
        <row r="1982">
          <cell r="A1982">
            <v>0</v>
          </cell>
        </row>
        <row r="1983">
          <cell r="A1983">
            <v>0</v>
          </cell>
        </row>
        <row r="1984">
          <cell r="A1984">
            <v>0</v>
          </cell>
        </row>
        <row r="1985">
          <cell r="A1985">
            <v>0</v>
          </cell>
        </row>
        <row r="1986">
          <cell r="A1986">
            <v>0</v>
          </cell>
        </row>
        <row r="1987">
          <cell r="A1987">
            <v>0</v>
          </cell>
        </row>
        <row r="1988">
          <cell r="A1988">
            <v>0</v>
          </cell>
        </row>
        <row r="1989">
          <cell r="A1989">
            <v>0</v>
          </cell>
        </row>
        <row r="1990">
          <cell r="A1990">
            <v>0</v>
          </cell>
        </row>
        <row r="1991">
          <cell r="A1991">
            <v>0</v>
          </cell>
        </row>
        <row r="1992">
          <cell r="A1992">
            <v>0</v>
          </cell>
        </row>
        <row r="1993">
          <cell r="A1993">
            <v>0</v>
          </cell>
        </row>
        <row r="1994">
          <cell r="A1994">
            <v>0</v>
          </cell>
        </row>
        <row r="1995">
          <cell r="A1995">
            <v>0</v>
          </cell>
        </row>
        <row r="1996">
          <cell r="A1996">
            <v>0</v>
          </cell>
        </row>
        <row r="1997">
          <cell r="A1997">
            <v>0</v>
          </cell>
        </row>
        <row r="1998">
          <cell r="A1998">
            <v>0</v>
          </cell>
        </row>
        <row r="1999">
          <cell r="A1999">
            <v>0</v>
          </cell>
        </row>
        <row r="2000">
          <cell r="A2000">
            <v>0</v>
          </cell>
        </row>
        <row r="2001">
          <cell r="A2001">
            <v>0</v>
          </cell>
        </row>
        <row r="2002">
          <cell r="A2002">
            <v>0</v>
          </cell>
        </row>
        <row r="2003">
          <cell r="A2003">
            <v>0</v>
          </cell>
        </row>
        <row r="2004">
          <cell r="A2004">
            <v>0</v>
          </cell>
        </row>
        <row r="2005">
          <cell r="A2005">
            <v>0</v>
          </cell>
        </row>
        <row r="2006">
          <cell r="A2006">
            <v>0</v>
          </cell>
        </row>
        <row r="2007">
          <cell r="A2007">
            <v>0</v>
          </cell>
        </row>
        <row r="2008">
          <cell r="A2008">
            <v>0</v>
          </cell>
        </row>
        <row r="2009">
          <cell r="A2009">
            <v>0</v>
          </cell>
        </row>
        <row r="2010">
          <cell r="A2010">
            <v>0</v>
          </cell>
        </row>
        <row r="2011">
          <cell r="A2011">
            <v>0</v>
          </cell>
        </row>
        <row r="2012">
          <cell r="A2012">
            <v>0</v>
          </cell>
        </row>
        <row r="2013">
          <cell r="A2013">
            <v>0</v>
          </cell>
        </row>
        <row r="2014">
          <cell r="A2014">
            <v>0</v>
          </cell>
        </row>
        <row r="2015">
          <cell r="A2015">
            <v>0</v>
          </cell>
        </row>
        <row r="2016">
          <cell r="A2016">
            <v>0</v>
          </cell>
        </row>
        <row r="2017">
          <cell r="A2017">
            <v>0</v>
          </cell>
        </row>
        <row r="2018">
          <cell r="A2018">
            <v>0</v>
          </cell>
        </row>
        <row r="2019">
          <cell r="A2019">
            <v>0</v>
          </cell>
        </row>
        <row r="2020">
          <cell r="A2020">
            <v>0</v>
          </cell>
        </row>
        <row r="2021">
          <cell r="A2021">
            <v>0</v>
          </cell>
        </row>
        <row r="2022">
          <cell r="A2022">
            <v>0</v>
          </cell>
        </row>
        <row r="2023">
          <cell r="A2023">
            <v>0</v>
          </cell>
        </row>
        <row r="2024">
          <cell r="A2024">
            <v>0</v>
          </cell>
        </row>
        <row r="2025">
          <cell r="A2025">
            <v>0</v>
          </cell>
        </row>
        <row r="2026">
          <cell r="A2026">
            <v>0</v>
          </cell>
        </row>
        <row r="2027">
          <cell r="A2027">
            <v>0</v>
          </cell>
        </row>
        <row r="2028">
          <cell r="A2028">
            <v>0</v>
          </cell>
        </row>
        <row r="2029">
          <cell r="A2029">
            <v>0</v>
          </cell>
        </row>
        <row r="2030">
          <cell r="A2030">
            <v>0</v>
          </cell>
        </row>
        <row r="2031">
          <cell r="A2031">
            <v>0</v>
          </cell>
        </row>
        <row r="2032">
          <cell r="A2032">
            <v>0</v>
          </cell>
        </row>
        <row r="2033">
          <cell r="A2033">
            <v>0</v>
          </cell>
        </row>
        <row r="2034">
          <cell r="A2034">
            <v>0</v>
          </cell>
        </row>
        <row r="2035">
          <cell r="A2035">
            <v>0</v>
          </cell>
        </row>
        <row r="2036">
          <cell r="A2036">
            <v>0</v>
          </cell>
        </row>
        <row r="2037">
          <cell r="A2037">
            <v>0</v>
          </cell>
        </row>
        <row r="2038">
          <cell r="A2038">
            <v>0</v>
          </cell>
        </row>
        <row r="2039">
          <cell r="A2039">
            <v>0</v>
          </cell>
        </row>
        <row r="2040">
          <cell r="A2040">
            <v>0</v>
          </cell>
        </row>
        <row r="2041">
          <cell r="A2041">
            <v>0</v>
          </cell>
        </row>
        <row r="2042">
          <cell r="A2042">
            <v>0</v>
          </cell>
        </row>
        <row r="2043">
          <cell r="A2043">
            <v>0</v>
          </cell>
        </row>
        <row r="2044">
          <cell r="A2044">
            <v>0</v>
          </cell>
        </row>
        <row r="2045">
          <cell r="A2045">
            <v>0</v>
          </cell>
        </row>
        <row r="2046">
          <cell r="A2046">
            <v>0</v>
          </cell>
        </row>
        <row r="2047">
          <cell r="A2047">
            <v>0</v>
          </cell>
        </row>
        <row r="2048">
          <cell r="A2048">
            <v>0</v>
          </cell>
        </row>
        <row r="2049">
          <cell r="A2049">
            <v>0</v>
          </cell>
        </row>
        <row r="2050">
          <cell r="A2050">
            <v>0</v>
          </cell>
        </row>
        <row r="2051">
          <cell r="A2051">
            <v>0</v>
          </cell>
        </row>
        <row r="2052">
          <cell r="A2052">
            <v>0</v>
          </cell>
        </row>
        <row r="2053">
          <cell r="A2053">
            <v>0</v>
          </cell>
        </row>
        <row r="2054">
          <cell r="A2054">
            <v>0</v>
          </cell>
        </row>
        <row r="2055">
          <cell r="A2055">
            <v>0</v>
          </cell>
        </row>
        <row r="2056">
          <cell r="A2056">
            <v>0</v>
          </cell>
        </row>
        <row r="2057">
          <cell r="A2057">
            <v>0</v>
          </cell>
        </row>
        <row r="2058">
          <cell r="A2058">
            <v>0</v>
          </cell>
        </row>
        <row r="2059">
          <cell r="A2059">
            <v>0</v>
          </cell>
        </row>
        <row r="2060">
          <cell r="A2060">
            <v>0</v>
          </cell>
        </row>
        <row r="2061">
          <cell r="A2061">
            <v>0</v>
          </cell>
        </row>
        <row r="2062">
          <cell r="A2062">
            <v>0</v>
          </cell>
        </row>
        <row r="2063">
          <cell r="A2063">
            <v>0</v>
          </cell>
        </row>
        <row r="2064">
          <cell r="A2064">
            <v>0</v>
          </cell>
        </row>
        <row r="2065">
          <cell r="A2065">
            <v>0</v>
          </cell>
        </row>
        <row r="2066">
          <cell r="A2066">
            <v>0</v>
          </cell>
        </row>
        <row r="2067">
          <cell r="A2067">
            <v>0</v>
          </cell>
        </row>
        <row r="2068">
          <cell r="A2068">
            <v>0</v>
          </cell>
        </row>
        <row r="2069">
          <cell r="A2069">
            <v>0</v>
          </cell>
        </row>
        <row r="2070">
          <cell r="A2070">
            <v>0</v>
          </cell>
        </row>
        <row r="2071">
          <cell r="A2071">
            <v>0</v>
          </cell>
        </row>
        <row r="2072">
          <cell r="A2072">
            <v>0</v>
          </cell>
        </row>
        <row r="2073">
          <cell r="A2073">
            <v>0</v>
          </cell>
        </row>
        <row r="2074">
          <cell r="A2074">
            <v>0</v>
          </cell>
        </row>
        <row r="2075">
          <cell r="A2075">
            <v>0</v>
          </cell>
        </row>
        <row r="2076">
          <cell r="A2076">
            <v>0</v>
          </cell>
        </row>
        <row r="2077">
          <cell r="A2077">
            <v>0</v>
          </cell>
        </row>
        <row r="2078">
          <cell r="A2078">
            <v>0</v>
          </cell>
        </row>
        <row r="2079">
          <cell r="A2079">
            <v>0</v>
          </cell>
        </row>
        <row r="2080">
          <cell r="A2080">
            <v>0</v>
          </cell>
        </row>
        <row r="2081">
          <cell r="A2081">
            <v>0</v>
          </cell>
        </row>
        <row r="2082">
          <cell r="A2082">
            <v>0</v>
          </cell>
        </row>
        <row r="2083">
          <cell r="A2083">
            <v>0</v>
          </cell>
        </row>
        <row r="2084">
          <cell r="A2084">
            <v>0</v>
          </cell>
        </row>
        <row r="2085">
          <cell r="A2085">
            <v>0</v>
          </cell>
        </row>
        <row r="2086">
          <cell r="A2086">
            <v>0</v>
          </cell>
        </row>
        <row r="2087">
          <cell r="A2087">
            <v>0</v>
          </cell>
        </row>
        <row r="2088">
          <cell r="A2088">
            <v>0</v>
          </cell>
        </row>
        <row r="2089">
          <cell r="A2089">
            <v>0</v>
          </cell>
        </row>
        <row r="2090">
          <cell r="A2090">
            <v>0</v>
          </cell>
        </row>
        <row r="2091">
          <cell r="A2091">
            <v>0</v>
          </cell>
        </row>
        <row r="2092">
          <cell r="A2092">
            <v>0</v>
          </cell>
        </row>
        <row r="2093">
          <cell r="A2093">
            <v>0</v>
          </cell>
        </row>
        <row r="2094">
          <cell r="A2094">
            <v>0</v>
          </cell>
        </row>
        <row r="2095">
          <cell r="A2095">
            <v>0</v>
          </cell>
        </row>
        <row r="2096">
          <cell r="A2096">
            <v>0</v>
          </cell>
        </row>
        <row r="2097">
          <cell r="A2097">
            <v>0</v>
          </cell>
        </row>
        <row r="2098">
          <cell r="A2098">
            <v>0</v>
          </cell>
        </row>
        <row r="2099">
          <cell r="A2099">
            <v>0</v>
          </cell>
        </row>
        <row r="2100">
          <cell r="A2100">
            <v>0</v>
          </cell>
        </row>
        <row r="2101">
          <cell r="A2101">
            <v>0</v>
          </cell>
        </row>
        <row r="2102">
          <cell r="A2102">
            <v>0</v>
          </cell>
        </row>
        <row r="2103">
          <cell r="A2103">
            <v>0</v>
          </cell>
        </row>
        <row r="2104">
          <cell r="A2104">
            <v>0</v>
          </cell>
        </row>
        <row r="2105">
          <cell r="A2105">
            <v>0</v>
          </cell>
        </row>
        <row r="2106">
          <cell r="A2106">
            <v>0</v>
          </cell>
        </row>
        <row r="2107">
          <cell r="A2107">
            <v>0</v>
          </cell>
        </row>
        <row r="2108">
          <cell r="A2108">
            <v>0</v>
          </cell>
        </row>
        <row r="2109">
          <cell r="A2109">
            <v>0</v>
          </cell>
        </row>
        <row r="2110">
          <cell r="A2110">
            <v>0</v>
          </cell>
        </row>
        <row r="2111">
          <cell r="A2111">
            <v>0</v>
          </cell>
        </row>
        <row r="2112">
          <cell r="A2112">
            <v>0</v>
          </cell>
        </row>
        <row r="2113">
          <cell r="A2113">
            <v>0</v>
          </cell>
        </row>
        <row r="2114">
          <cell r="A2114">
            <v>0</v>
          </cell>
        </row>
        <row r="2115">
          <cell r="A2115">
            <v>0</v>
          </cell>
        </row>
        <row r="2116">
          <cell r="A2116">
            <v>0</v>
          </cell>
        </row>
        <row r="2117">
          <cell r="A2117">
            <v>0</v>
          </cell>
        </row>
        <row r="2118">
          <cell r="A2118">
            <v>0</v>
          </cell>
        </row>
        <row r="2119">
          <cell r="A2119">
            <v>0</v>
          </cell>
        </row>
        <row r="2120">
          <cell r="A2120">
            <v>0</v>
          </cell>
        </row>
        <row r="2121">
          <cell r="A2121">
            <v>0</v>
          </cell>
        </row>
        <row r="2122">
          <cell r="A2122">
            <v>0</v>
          </cell>
        </row>
        <row r="2123">
          <cell r="A2123">
            <v>0</v>
          </cell>
        </row>
        <row r="2124">
          <cell r="A2124">
            <v>0</v>
          </cell>
        </row>
        <row r="2125">
          <cell r="A2125">
            <v>0</v>
          </cell>
        </row>
        <row r="2126">
          <cell r="A2126">
            <v>0</v>
          </cell>
        </row>
        <row r="2127">
          <cell r="A2127">
            <v>0</v>
          </cell>
        </row>
        <row r="2128">
          <cell r="A2128">
            <v>0</v>
          </cell>
        </row>
        <row r="2129">
          <cell r="A2129">
            <v>0</v>
          </cell>
        </row>
        <row r="2130">
          <cell r="A2130">
            <v>0</v>
          </cell>
        </row>
        <row r="2131">
          <cell r="A2131">
            <v>0</v>
          </cell>
        </row>
        <row r="2132">
          <cell r="A2132">
            <v>0</v>
          </cell>
        </row>
        <row r="2133">
          <cell r="A2133">
            <v>0</v>
          </cell>
        </row>
        <row r="2134">
          <cell r="A2134">
            <v>0</v>
          </cell>
        </row>
        <row r="2135">
          <cell r="A2135">
            <v>0</v>
          </cell>
        </row>
        <row r="2136">
          <cell r="A2136">
            <v>0</v>
          </cell>
        </row>
        <row r="2137">
          <cell r="A2137">
            <v>0</v>
          </cell>
        </row>
        <row r="2138">
          <cell r="A2138">
            <v>0</v>
          </cell>
        </row>
        <row r="2139">
          <cell r="A2139">
            <v>0</v>
          </cell>
        </row>
        <row r="2140">
          <cell r="A2140">
            <v>0</v>
          </cell>
        </row>
        <row r="2141">
          <cell r="A2141">
            <v>0</v>
          </cell>
        </row>
        <row r="2142">
          <cell r="A2142">
            <v>0</v>
          </cell>
        </row>
        <row r="2143">
          <cell r="A2143">
            <v>0</v>
          </cell>
        </row>
        <row r="2144">
          <cell r="A2144">
            <v>0</v>
          </cell>
        </row>
        <row r="2145">
          <cell r="A2145">
            <v>0</v>
          </cell>
        </row>
        <row r="2146">
          <cell r="A2146">
            <v>0</v>
          </cell>
        </row>
        <row r="2147">
          <cell r="A2147">
            <v>0</v>
          </cell>
        </row>
        <row r="2148">
          <cell r="A2148">
            <v>0</v>
          </cell>
        </row>
        <row r="2149">
          <cell r="A2149">
            <v>0</v>
          </cell>
        </row>
        <row r="2150">
          <cell r="A2150">
            <v>0</v>
          </cell>
        </row>
        <row r="2151">
          <cell r="A2151">
            <v>0</v>
          </cell>
        </row>
        <row r="2152">
          <cell r="A2152">
            <v>0</v>
          </cell>
        </row>
        <row r="2153">
          <cell r="A2153">
            <v>0</v>
          </cell>
        </row>
        <row r="2154">
          <cell r="A2154">
            <v>0</v>
          </cell>
        </row>
        <row r="2155">
          <cell r="A2155">
            <v>0</v>
          </cell>
        </row>
        <row r="2156">
          <cell r="A2156">
            <v>0</v>
          </cell>
        </row>
        <row r="2157">
          <cell r="A2157">
            <v>0</v>
          </cell>
        </row>
        <row r="2158">
          <cell r="A2158">
            <v>0</v>
          </cell>
        </row>
        <row r="2159">
          <cell r="A2159">
            <v>0</v>
          </cell>
        </row>
        <row r="2160">
          <cell r="A2160">
            <v>0</v>
          </cell>
        </row>
        <row r="2161">
          <cell r="A2161">
            <v>0</v>
          </cell>
        </row>
        <row r="2162">
          <cell r="A2162">
            <v>0</v>
          </cell>
        </row>
        <row r="2163">
          <cell r="A2163">
            <v>0</v>
          </cell>
        </row>
        <row r="2164">
          <cell r="A2164">
            <v>0</v>
          </cell>
        </row>
        <row r="2165">
          <cell r="A2165">
            <v>0</v>
          </cell>
        </row>
        <row r="2166">
          <cell r="A2166">
            <v>0</v>
          </cell>
        </row>
        <row r="2167">
          <cell r="A2167">
            <v>0</v>
          </cell>
        </row>
        <row r="2168">
          <cell r="A2168">
            <v>0</v>
          </cell>
        </row>
        <row r="2169">
          <cell r="A2169">
            <v>0</v>
          </cell>
        </row>
        <row r="2170">
          <cell r="A2170">
            <v>0</v>
          </cell>
        </row>
        <row r="2171">
          <cell r="A2171">
            <v>0</v>
          </cell>
        </row>
        <row r="2172">
          <cell r="A2172">
            <v>0</v>
          </cell>
        </row>
        <row r="2173">
          <cell r="A2173">
            <v>0</v>
          </cell>
        </row>
        <row r="2174">
          <cell r="A2174">
            <v>0</v>
          </cell>
        </row>
        <row r="2175">
          <cell r="A2175">
            <v>0</v>
          </cell>
        </row>
        <row r="2176">
          <cell r="A2176">
            <v>0</v>
          </cell>
        </row>
        <row r="2177">
          <cell r="A2177">
            <v>0</v>
          </cell>
        </row>
        <row r="2178">
          <cell r="A2178">
            <v>0</v>
          </cell>
        </row>
        <row r="2179">
          <cell r="A2179">
            <v>0</v>
          </cell>
        </row>
        <row r="2180">
          <cell r="A2180">
            <v>0</v>
          </cell>
        </row>
        <row r="2181">
          <cell r="A2181">
            <v>0</v>
          </cell>
        </row>
        <row r="2182">
          <cell r="A2182">
            <v>0</v>
          </cell>
        </row>
        <row r="2183">
          <cell r="A2183">
            <v>0</v>
          </cell>
        </row>
        <row r="2184">
          <cell r="A2184">
            <v>0</v>
          </cell>
        </row>
        <row r="2185">
          <cell r="A2185">
            <v>0</v>
          </cell>
        </row>
        <row r="2186">
          <cell r="A2186">
            <v>0</v>
          </cell>
        </row>
        <row r="2187">
          <cell r="A2187">
            <v>0</v>
          </cell>
        </row>
        <row r="2188">
          <cell r="A2188">
            <v>0</v>
          </cell>
        </row>
        <row r="2189">
          <cell r="A2189">
            <v>0</v>
          </cell>
        </row>
        <row r="2190">
          <cell r="A2190">
            <v>0</v>
          </cell>
        </row>
        <row r="2191">
          <cell r="A2191">
            <v>0</v>
          </cell>
        </row>
        <row r="2192">
          <cell r="A2192">
            <v>0</v>
          </cell>
        </row>
        <row r="2193">
          <cell r="A2193">
            <v>0</v>
          </cell>
        </row>
        <row r="2194">
          <cell r="A2194">
            <v>0</v>
          </cell>
        </row>
        <row r="2195">
          <cell r="A2195">
            <v>0</v>
          </cell>
        </row>
        <row r="2196">
          <cell r="A2196">
            <v>0</v>
          </cell>
        </row>
        <row r="2197">
          <cell r="A2197">
            <v>0</v>
          </cell>
        </row>
        <row r="2198">
          <cell r="A2198">
            <v>0</v>
          </cell>
        </row>
        <row r="2199">
          <cell r="A2199">
            <v>0</v>
          </cell>
        </row>
        <row r="2200">
          <cell r="A2200">
            <v>0</v>
          </cell>
        </row>
        <row r="2201">
          <cell r="A2201">
            <v>0</v>
          </cell>
        </row>
        <row r="2202">
          <cell r="A2202">
            <v>0</v>
          </cell>
        </row>
        <row r="2203">
          <cell r="A2203">
            <v>0</v>
          </cell>
        </row>
        <row r="2204">
          <cell r="A2204">
            <v>0</v>
          </cell>
        </row>
        <row r="2205">
          <cell r="A2205">
            <v>0</v>
          </cell>
        </row>
        <row r="2206">
          <cell r="A2206">
            <v>0</v>
          </cell>
        </row>
        <row r="2207">
          <cell r="A2207">
            <v>0</v>
          </cell>
        </row>
        <row r="2208">
          <cell r="A2208">
            <v>0</v>
          </cell>
        </row>
        <row r="2209">
          <cell r="A2209">
            <v>0</v>
          </cell>
        </row>
        <row r="2210">
          <cell r="A2210">
            <v>0</v>
          </cell>
        </row>
        <row r="2211">
          <cell r="A2211">
            <v>0</v>
          </cell>
        </row>
        <row r="2212">
          <cell r="A2212">
            <v>0</v>
          </cell>
        </row>
        <row r="2213">
          <cell r="A2213">
            <v>0</v>
          </cell>
        </row>
        <row r="2214">
          <cell r="A2214">
            <v>0</v>
          </cell>
        </row>
        <row r="2215">
          <cell r="A2215">
            <v>0</v>
          </cell>
        </row>
        <row r="2216">
          <cell r="A2216">
            <v>0</v>
          </cell>
        </row>
        <row r="2217">
          <cell r="A2217">
            <v>0</v>
          </cell>
        </row>
        <row r="2218">
          <cell r="A2218">
            <v>0</v>
          </cell>
        </row>
        <row r="2219">
          <cell r="A2219">
            <v>0</v>
          </cell>
        </row>
        <row r="2220">
          <cell r="A2220">
            <v>0</v>
          </cell>
        </row>
        <row r="2221">
          <cell r="A2221">
            <v>0</v>
          </cell>
        </row>
        <row r="2222">
          <cell r="A2222">
            <v>0</v>
          </cell>
        </row>
        <row r="2223">
          <cell r="A2223">
            <v>0</v>
          </cell>
        </row>
        <row r="2224">
          <cell r="A2224">
            <v>0</v>
          </cell>
        </row>
        <row r="2225">
          <cell r="A2225">
            <v>0</v>
          </cell>
        </row>
        <row r="2226">
          <cell r="A2226">
            <v>0</v>
          </cell>
        </row>
        <row r="2227">
          <cell r="A2227">
            <v>0</v>
          </cell>
        </row>
        <row r="2228">
          <cell r="A2228">
            <v>0</v>
          </cell>
        </row>
        <row r="2229">
          <cell r="A2229">
            <v>0</v>
          </cell>
        </row>
        <row r="2230">
          <cell r="A2230">
            <v>0</v>
          </cell>
        </row>
        <row r="2231">
          <cell r="A2231">
            <v>0</v>
          </cell>
        </row>
        <row r="2232">
          <cell r="A2232">
            <v>0</v>
          </cell>
        </row>
        <row r="2233">
          <cell r="A2233">
            <v>0</v>
          </cell>
        </row>
        <row r="2234">
          <cell r="A2234">
            <v>0</v>
          </cell>
        </row>
        <row r="2235">
          <cell r="A2235">
            <v>0</v>
          </cell>
        </row>
        <row r="2236">
          <cell r="A2236">
            <v>0</v>
          </cell>
        </row>
        <row r="2237">
          <cell r="A2237">
            <v>0</v>
          </cell>
        </row>
        <row r="2238">
          <cell r="A2238">
            <v>0</v>
          </cell>
        </row>
        <row r="2239">
          <cell r="A2239">
            <v>0</v>
          </cell>
        </row>
        <row r="2240">
          <cell r="A2240">
            <v>0</v>
          </cell>
        </row>
        <row r="2241">
          <cell r="A2241">
            <v>0</v>
          </cell>
        </row>
        <row r="2242">
          <cell r="A2242">
            <v>0</v>
          </cell>
        </row>
        <row r="2243">
          <cell r="A2243">
            <v>0</v>
          </cell>
        </row>
        <row r="2244">
          <cell r="A2244">
            <v>0</v>
          </cell>
        </row>
        <row r="2245">
          <cell r="A2245">
            <v>0</v>
          </cell>
        </row>
        <row r="2246">
          <cell r="A2246">
            <v>0</v>
          </cell>
        </row>
        <row r="2247">
          <cell r="A2247">
            <v>0</v>
          </cell>
        </row>
        <row r="2248">
          <cell r="A2248">
            <v>0</v>
          </cell>
        </row>
        <row r="2249">
          <cell r="A2249">
            <v>0</v>
          </cell>
        </row>
        <row r="2250">
          <cell r="A2250">
            <v>0</v>
          </cell>
        </row>
        <row r="2251">
          <cell r="A2251">
            <v>0</v>
          </cell>
        </row>
        <row r="2252">
          <cell r="A2252">
            <v>0</v>
          </cell>
        </row>
        <row r="2253">
          <cell r="A2253">
            <v>0</v>
          </cell>
        </row>
        <row r="2254">
          <cell r="A2254">
            <v>0</v>
          </cell>
        </row>
        <row r="2255">
          <cell r="A2255">
            <v>0</v>
          </cell>
        </row>
        <row r="2256">
          <cell r="A2256">
            <v>0</v>
          </cell>
        </row>
        <row r="2257">
          <cell r="A2257">
            <v>0</v>
          </cell>
        </row>
        <row r="2258">
          <cell r="A2258">
            <v>0</v>
          </cell>
        </row>
        <row r="2259">
          <cell r="A2259">
            <v>0</v>
          </cell>
        </row>
        <row r="2260">
          <cell r="A2260">
            <v>0</v>
          </cell>
        </row>
        <row r="2261">
          <cell r="A2261">
            <v>0</v>
          </cell>
        </row>
        <row r="2262">
          <cell r="A2262">
            <v>0</v>
          </cell>
        </row>
        <row r="2263">
          <cell r="A2263">
            <v>0</v>
          </cell>
        </row>
        <row r="2264">
          <cell r="A2264">
            <v>0</v>
          </cell>
        </row>
        <row r="2265">
          <cell r="A2265">
            <v>0</v>
          </cell>
        </row>
        <row r="2266">
          <cell r="A2266">
            <v>0</v>
          </cell>
        </row>
        <row r="2267">
          <cell r="A2267">
            <v>0</v>
          </cell>
        </row>
        <row r="2268">
          <cell r="A2268">
            <v>0</v>
          </cell>
        </row>
        <row r="2269">
          <cell r="A2269">
            <v>0</v>
          </cell>
        </row>
        <row r="2270">
          <cell r="A2270">
            <v>0</v>
          </cell>
        </row>
        <row r="2271">
          <cell r="A2271">
            <v>0</v>
          </cell>
        </row>
        <row r="2272">
          <cell r="A2272">
            <v>0</v>
          </cell>
        </row>
        <row r="2273">
          <cell r="A2273">
            <v>0</v>
          </cell>
        </row>
        <row r="2274">
          <cell r="A2274">
            <v>0</v>
          </cell>
        </row>
        <row r="2275">
          <cell r="A2275">
            <v>0</v>
          </cell>
        </row>
        <row r="2276">
          <cell r="A2276">
            <v>0</v>
          </cell>
        </row>
        <row r="2277">
          <cell r="A2277">
            <v>0</v>
          </cell>
        </row>
        <row r="2278">
          <cell r="A2278">
            <v>0</v>
          </cell>
        </row>
        <row r="2279">
          <cell r="A2279">
            <v>0</v>
          </cell>
        </row>
        <row r="2280">
          <cell r="A2280">
            <v>0</v>
          </cell>
        </row>
        <row r="2281">
          <cell r="A2281">
            <v>0</v>
          </cell>
        </row>
        <row r="2282">
          <cell r="A2282">
            <v>0</v>
          </cell>
        </row>
        <row r="2283">
          <cell r="A2283">
            <v>0</v>
          </cell>
        </row>
        <row r="2284">
          <cell r="A2284">
            <v>0</v>
          </cell>
        </row>
        <row r="2285">
          <cell r="A2285">
            <v>0</v>
          </cell>
        </row>
        <row r="2286">
          <cell r="A2286">
            <v>0</v>
          </cell>
        </row>
        <row r="2287">
          <cell r="A2287">
            <v>0</v>
          </cell>
        </row>
        <row r="2288">
          <cell r="A2288">
            <v>0</v>
          </cell>
        </row>
        <row r="2289">
          <cell r="A2289">
            <v>0</v>
          </cell>
        </row>
        <row r="2290">
          <cell r="A2290">
            <v>0</v>
          </cell>
        </row>
        <row r="2291">
          <cell r="A2291">
            <v>0</v>
          </cell>
        </row>
        <row r="2292">
          <cell r="A2292">
            <v>0</v>
          </cell>
        </row>
        <row r="2293">
          <cell r="A2293">
            <v>0</v>
          </cell>
        </row>
        <row r="2294">
          <cell r="A2294">
            <v>0</v>
          </cell>
        </row>
        <row r="2295">
          <cell r="A2295">
            <v>0</v>
          </cell>
        </row>
        <row r="2296">
          <cell r="A2296">
            <v>0</v>
          </cell>
        </row>
        <row r="2297">
          <cell r="A2297">
            <v>0</v>
          </cell>
        </row>
        <row r="2298">
          <cell r="A2298">
            <v>0</v>
          </cell>
        </row>
        <row r="2299">
          <cell r="A2299">
            <v>0</v>
          </cell>
        </row>
        <row r="2300">
          <cell r="A2300">
            <v>0</v>
          </cell>
        </row>
        <row r="2301">
          <cell r="A2301">
            <v>0</v>
          </cell>
        </row>
        <row r="2302">
          <cell r="A2302">
            <v>0</v>
          </cell>
        </row>
        <row r="2303">
          <cell r="A2303">
            <v>0</v>
          </cell>
        </row>
        <row r="2304">
          <cell r="A2304">
            <v>0</v>
          </cell>
        </row>
        <row r="2305">
          <cell r="A2305">
            <v>0</v>
          </cell>
        </row>
        <row r="2306">
          <cell r="A2306">
            <v>0</v>
          </cell>
        </row>
        <row r="2307">
          <cell r="A2307">
            <v>0</v>
          </cell>
        </row>
        <row r="2308">
          <cell r="A2308">
            <v>0</v>
          </cell>
        </row>
        <row r="2309">
          <cell r="A2309">
            <v>0</v>
          </cell>
        </row>
        <row r="2310">
          <cell r="A2310">
            <v>0</v>
          </cell>
        </row>
        <row r="2311">
          <cell r="A2311">
            <v>0</v>
          </cell>
        </row>
        <row r="2312">
          <cell r="A2312">
            <v>0</v>
          </cell>
        </row>
        <row r="2313">
          <cell r="A2313">
            <v>0</v>
          </cell>
        </row>
        <row r="2314">
          <cell r="A2314">
            <v>0</v>
          </cell>
        </row>
        <row r="2315">
          <cell r="A2315">
            <v>0</v>
          </cell>
        </row>
        <row r="2316">
          <cell r="A2316">
            <v>0</v>
          </cell>
        </row>
        <row r="2317">
          <cell r="A2317">
            <v>0</v>
          </cell>
        </row>
        <row r="2318">
          <cell r="A2318">
            <v>0</v>
          </cell>
        </row>
        <row r="2319">
          <cell r="A2319">
            <v>0</v>
          </cell>
        </row>
        <row r="2320">
          <cell r="A2320">
            <v>0</v>
          </cell>
        </row>
        <row r="2321">
          <cell r="A2321">
            <v>0</v>
          </cell>
        </row>
        <row r="2322">
          <cell r="A2322">
            <v>0</v>
          </cell>
        </row>
        <row r="2323">
          <cell r="A2323">
            <v>0</v>
          </cell>
        </row>
        <row r="2324">
          <cell r="A2324">
            <v>0</v>
          </cell>
        </row>
        <row r="2325">
          <cell r="A2325">
            <v>0</v>
          </cell>
        </row>
        <row r="2326">
          <cell r="A2326">
            <v>0</v>
          </cell>
        </row>
        <row r="2327">
          <cell r="A2327">
            <v>0</v>
          </cell>
        </row>
        <row r="2328">
          <cell r="A2328">
            <v>0</v>
          </cell>
        </row>
        <row r="2329">
          <cell r="A2329">
            <v>0</v>
          </cell>
        </row>
        <row r="2330">
          <cell r="A2330">
            <v>0</v>
          </cell>
        </row>
        <row r="2331">
          <cell r="A2331">
            <v>0</v>
          </cell>
        </row>
        <row r="2332">
          <cell r="A2332">
            <v>0</v>
          </cell>
        </row>
        <row r="2333">
          <cell r="A2333">
            <v>0</v>
          </cell>
        </row>
        <row r="2334">
          <cell r="A2334">
            <v>0</v>
          </cell>
        </row>
        <row r="2335">
          <cell r="A2335">
            <v>0</v>
          </cell>
        </row>
        <row r="2336">
          <cell r="A2336">
            <v>0</v>
          </cell>
        </row>
        <row r="2337">
          <cell r="A2337">
            <v>0</v>
          </cell>
        </row>
        <row r="2338">
          <cell r="A2338">
            <v>0</v>
          </cell>
        </row>
        <row r="2339">
          <cell r="A2339">
            <v>0</v>
          </cell>
        </row>
        <row r="2340">
          <cell r="A2340">
            <v>0</v>
          </cell>
        </row>
        <row r="2341">
          <cell r="A2341">
            <v>0</v>
          </cell>
        </row>
        <row r="2342">
          <cell r="A2342">
            <v>0</v>
          </cell>
        </row>
        <row r="2343">
          <cell r="A2343">
            <v>0</v>
          </cell>
        </row>
        <row r="2344">
          <cell r="A2344">
            <v>0</v>
          </cell>
        </row>
        <row r="2345">
          <cell r="A2345">
            <v>0</v>
          </cell>
        </row>
        <row r="2346">
          <cell r="A2346">
            <v>0</v>
          </cell>
        </row>
        <row r="2347">
          <cell r="A2347">
            <v>0</v>
          </cell>
        </row>
        <row r="2348">
          <cell r="A2348">
            <v>0</v>
          </cell>
        </row>
        <row r="2349">
          <cell r="A2349">
            <v>0</v>
          </cell>
        </row>
        <row r="2350">
          <cell r="A2350">
            <v>0</v>
          </cell>
        </row>
        <row r="2351">
          <cell r="A2351">
            <v>0</v>
          </cell>
        </row>
        <row r="2352">
          <cell r="A2352">
            <v>0</v>
          </cell>
        </row>
        <row r="2353">
          <cell r="A2353">
            <v>0</v>
          </cell>
        </row>
        <row r="2354">
          <cell r="A2354">
            <v>0</v>
          </cell>
        </row>
        <row r="2355">
          <cell r="A2355">
            <v>0</v>
          </cell>
        </row>
        <row r="2356">
          <cell r="A2356">
            <v>0</v>
          </cell>
        </row>
        <row r="2357">
          <cell r="A2357">
            <v>0</v>
          </cell>
        </row>
        <row r="2358">
          <cell r="A2358">
            <v>0</v>
          </cell>
        </row>
        <row r="2359">
          <cell r="A2359">
            <v>0</v>
          </cell>
        </row>
        <row r="2360">
          <cell r="A2360">
            <v>0</v>
          </cell>
        </row>
        <row r="2361">
          <cell r="A2361">
            <v>0</v>
          </cell>
        </row>
        <row r="2362">
          <cell r="A2362">
            <v>0</v>
          </cell>
        </row>
        <row r="2363">
          <cell r="A2363">
            <v>0</v>
          </cell>
        </row>
        <row r="2364">
          <cell r="A2364">
            <v>0</v>
          </cell>
        </row>
        <row r="2365">
          <cell r="A2365">
            <v>0</v>
          </cell>
        </row>
        <row r="2366">
          <cell r="A2366">
            <v>0</v>
          </cell>
        </row>
        <row r="2367">
          <cell r="A2367">
            <v>0</v>
          </cell>
        </row>
        <row r="2368">
          <cell r="A2368">
            <v>0</v>
          </cell>
        </row>
        <row r="2369">
          <cell r="A2369">
            <v>0</v>
          </cell>
        </row>
        <row r="2370">
          <cell r="A2370">
            <v>0</v>
          </cell>
        </row>
        <row r="2371">
          <cell r="A2371">
            <v>0</v>
          </cell>
        </row>
        <row r="2372">
          <cell r="A2372">
            <v>0</v>
          </cell>
        </row>
        <row r="2373">
          <cell r="A2373">
            <v>0</v>
          </cell>
        </row>
        <row r="2374">
          <cell r="A2374">
            <v>0</v>
          </cell>
        </row>
        <row r="2375">
          <cell r="A2375">
            <v>0</v>
          </cell>
        </row>
        <row r="2376">
          <cell r="A2376">
            <v>0</v>
          </cell>
        </row>
        <row r="2377">
          <cell r="A2377">
            <v>0</v>
          </cell>
        </row>
        <row r="2378">
          <cell r="A2378">
            <v>0</v>
          </cell>
        </row>
        <row r="2379">
          <cell r="A2379">
            <v>0</v>
          </cell>
        </row>
        <row r="2380">
          <cell r="A2380">
            <v>0</v>
          </cell>
        </row>
        <row r="2381">
          <cell r="A2381">
            <v>0</v>
          </cell>
        </row>
        <row r="2382">
          <cell r="A2382">
            <v>0</v>
          </cell>
        </row>
        <row r="2383">
          <cell r="A2383">
            <v>0</v>
          </cell>
        </row>
        <row r="2384">
          <cell r="A2384">
            <v>0</v>
          </cell>
        </row>
        <row r="2385">
          <cell r="A2385">
            <v>0</v>
          </cell>
        </row>
        <row r="2386">
          <cell r="A2386">
            <v>0</v>
          </cell>
        </row>
        <row r="2387">
          <cell r="A2387">
            <v>0</v>
          </cell>
        </row>
        <row r="2388">
          <cell r="A2388">
            <v>0</v>
          </cell>
        </row>
        <row r="2389">
          <cell r="A2389">
            <v>0</v>
          </cell>
        </row>
        <row r="2390">
          <cell r="A2390">
            <v>0</v>
          </cell>
        </row>
        <row r="2391">
          <cell r="A2391">
            <v>0</v>
          </cell>
        </row>
        <row r="2392">
          <cell r="A2392">
            <v>0</v>
          </cell>
        </row>
        <row r="2393">
          <cell r="A2393">
            <v>0</v>
          </cell>
        </row>
        <row r="2394">
          <cell r="A2394">
            <v>0</v>
          </cell>
        </row>
        <row r="2395">
          <cell r="A2395">
            <v>0</v>
          </cell>
        </row>
        <row r="2396">
          <cell r="A2396">
            <v>0</v>
          </cell>
        </row>
        <row r="2397">
          <cell r="A2397">
            <v>0</v>
          </cell>
        </row>
        <row r="2398">
          <cell r="A2398">
            <v>0</v>
          </cell>
        </row>
        <row r="2399">
          <cell r="A2399">
            <v>0</v>
          </cell>
        </row>
        <row r="2400">
          <cell r="A2400">
            <v>0</v>
          </cell>
        </row>
        <row r="2401">
          <cell r="A2401">
            <v>0</v>
          </cell>
        </row>
        <row r="2402">
          <cell r="A2402">
            <v>0</v>
          </cell>
        </row>
        <row r="2403">
          <cell r="A2403">
            <v>0</v>
          </cell>
        </row>
        <row r="2404">
          <cell r="A2404">
            <v>0</v>
          </cell>
        </row>
        <row r="2405">
          <cell r="A2405">
            <v>0</v>
          </cell>
        </row>
        <row r="2406">
          <cell r="A2406">
            <v>0</v>
          </cell>
        </row>
        <row r="2407">
          <cell r="A2407">
            <v>0</v>
          </cell>
        </row>
        <row r="2408">
          <cell r="A2408">
            <v>0</v>
          </cell>
        </row>
        <row r="2409">
          <cell r="A2409">
            <v>0</v>
          </cell>
        </row>
        <row r="2410">
          <cell r="A2410">
            <v>0</v>
          </cell>
        </row>
        <row r="2411">
          <cell r="A2411">
            <v>0</v>
          </cell>
        </row>
        <row r="2412">
          <cell r="A2412">
            <v>0</v>
          </cell>
        </row>
        <row r="2413">
          <cell r="A2413">
            <v>0</v>
          </cell>
        </row>
        <row r="2414">
          <cell r="A2414">
            <v>0</v>
          </cell>
        </row>
        <row r="2415">
          <cell r="A2415">
            <v>0</v>
          </cell>
        </row>
        <row r="2416">
          <cell r="A2416">
            <v>0</v>
          </cell>
        </row>
        <row r="2417">
          <cell r="A2417">
            <v>0</v>
          </cell>
        </row>
        <row r="2418">
          <cell r="A2418">
            <v>0</v>
          </cell>
        </row>
        <row r="2419">
          <cell r="A2419">
            <v>0</v>
          </cell>
        </row>
        <row r="2420">
          <cell r="A2420">
            <v>0</v>
          </cell>
        </row>
        <row r="2421">
          <cell r="A2421">
            <v>0</v>
          </cell>
        </row>
        <row r="2422">
          <cell r="A2422">
            <v>0</v>
          </cell>
        </row>
        <row r="2423">
          <cell r="A2423">
            <v>0</v>
          </cell>
        </row>
        <row r="2424">
          <cell r="A2424">
            <v>0</v>
          </cell>
        </row>
        <row r="2425">
          <cell r="A2425">
            <v>0</v>
          </cell>
        </row>
        <row r="2426">
          <cell r="A2426">
            <v>0</v>
          </cell>
        </row>
        <row r="2427">
          <cell r="A2427">
            <v>0</v>
          </cell>
        </row>
        <row r="2428">
          <cell r="A2428">
            <v>0</v>
          </cell>
        </row>
        <row r="2429">
          <cell r="A2429">
            <v>0</v>
          </cell>
        </row>
        <row r="2430">
          <cell r="A2430">
            <v>0</v>
          </cell>
        </row>
        <row r="2431">
          <cell r="A2431">
            <v>0</v>
          </cell>
        </row>
        <row r="2432">
          <cell r="A2432">
            <v>0</v>
          </cell>
        </row>
        <row r="2433">
          <cell r="A2433">
            <v>0</v>
          </cell>
        </row>
        <row r="2434">
          <cell r="A2434">
            <v>0</v>
          </cell>
        </row>
        <row r="2435">
          <cell r="A2435">
            <v>0</v>
          </cell>
        </row>
        <row r="2436">
          <cell r="A2436">
            <v>0</v>
          </cell>
        </row>
        <row r="2437">
          <cell r="A2437">
            <v>0</v>
          </cell>
        </row>
        <row r="2438">
          <cell r="A2438">
            <v>0</v>
          </cell>
        </row>
        <row r="2439">
          <cell r="A2439">
            <v>0</v>
          </cell>
        </row>
        <row r="2440">
          <cell r="A2440">
            <v>0</v>
          </cell>
        </row>
        <row r="2441">
          <cell r="A2441">
            <v>0</v>
          </cell>
        </row>
        <row r="2442">
          <cell r="A2442">
            <v>0</v>
          </cell>
        </row>
        <row r="2443">
          <cell r="A2443">
            <v>0</v>
          </cell>
        </row>
        <row r="2444">
          <cell r="A2444">
            <v>0</v>
          </cell>
        </row>
        <row r="2445">
          <cell r="A2445">
            <v>0</v>
          </cell>
        </row>
        <row r="2446">
          <cell r="A2446">
            <v>0</v>
          </cell>
        </row>
        <row r="2447">
          <cell r="A2447">
            <v>0</v>
          </cell>
        </row>
        <row r="2448">
          <cell r="A2448">
            <v>0</v>
          </cell>
        </row>
        <row r="2449">
          <cell r="A2449">
            <v>0</v>
          </cell>
        </row>
        <row r="2450">
          <cell r="A2450">
            <v>0</v>
          </cell>
        </row>
        <row r="2451">
          <cell r="A2451">
            <v>0</v>
          </cell>
        </row>
        <row r="2452">
          <cell r="A2452">
            <v>0</v>
          </cell>
        </row>
        <row r="2453">
          <cell r="A2453">
            <v>0</v>
          </cell>
        </row>
        <row r="2454">
          <cell r="A2454">
            <v>0</v>
          </cell>
        </row>
        <row r="2455">
          <cell r="A2455">
            <v>0</v>
          </cell>
        </row>
        <row r="2456">
          <cell r="A2456">
            <v>0</v>
          </cell>
        </row>
        <row r="2457">
          <cell r="A2457">
            <v>0</v>
          </cell>
        </row>
        <row r="2458">
          <cell r="A2458">
            <v>0</v>
          </cell>
        </row>
        <row r="2459">
          <cell r="A2459">
            <v>0</v>
          </cell>
        </row>
        <row r="2460">
          <cell r="A2460">
            <v>0</v>
          </cell>
        </row>
        <row r="2461">
          <cell r="A2461">
            <v>0</v>
          </cell>
        </row>
        <row r="2462">
          <cell r="A2462">
            <v>0</v>
          </cell>
        </row>
        <row r="2463">
          <cell r="A2463">
            <v>0</v>
          </cell>
        </row>
        <row r="2464">
          <cell r="A2464">
            <v>0</v>
          </cell>
        </row>
        <row r="2465">
          <cell r="A2465">
            <v>0</v>
          </cell>
        </row>
        <row r="2466">
          <cell r="A2466">
            <v>0</v>
          </cell>
        </row>
        <row r="2467">
          <cell r="A2467">
            <v>0</v>
          </cell>
        </row>
        <row r="2468">
          <cell r="A2468">
            <v>0</v>
          </cell>
        </row>
        <row r="2469">
          <cell r="A2469">
            <v>0</v>
          </cell>
        </row>
        <row r="2470">
          <cell r="A2470">
            <v>0</v>
          </cell>
        </row>
        <row r="2471">
          <cell r="A2471">
            <v>0</v>
          </cell>
        </row>
        <row r="2472">
          <cell r="A2472">
            <v>0</v>
          </cell>
        </row>
        <row r="2473">
          <cell r="A2473">
            <v>0</v>
          </cell>
        </row>
        <row r="2474">
          <cell r="A2474">
            <v>0</v>
          </cell>
        </row>
        <row r="2475">
          <cell r="A2475">
            <v>0</v>
          </cell>
        </row>
        <row r="2476">
          <cell r="A2476">
            <v>0</v>
          </cell>
        </row>
        <row r="2477">
          <cell r="A2477">
            <v>0</v>
          </cell>
        </row>
        <row r="2478">
          <cell r="A2478">
            <v>0</v>
          </cell>
        </row>
        <row r="2479">
          <cell r="A2479">
            <v>0</v>
          </cell>
        </row>
        <row r="2480">
          <cell r="A2480">
            <v>0</v>
          </cell>
        </row>
        <row r="2481">
          <cell r="A2481">
            <v>0</v>
          </cell>
        </row>
        <row r="2482">
          <cell r="A2482">
            <v>0</v>
          </cell>
        </row>
        <row r="2483">
          <cell r="A2483">
            <v>0</v>
          </cell>
        </row>
        <row r="2484">
          <cell r="A2484">
            <v>0</v>
          </cell>
        </row>
        <row r="2485">
          <cell r="A2485">
            <v>0</v>
          </cell>
        </row>
        <row r="2486">
          <cell r="A2486">
            <v>0</v>
          </cell>
        </row>
        <row r="2487">
          <cell r="A2487">
            <v>0</v>
          </cell>
        </row>
        <row r="2488">
          <cell r="A2488">
            <v>0</v>
          </cell>
        </row>
        <row r="2489">
          <cell r="A2489">
            <v>0</v>
          </cell>
        </row>
        <row r="2490">
          <cell r="A2490">
            <v>0</v>
          </cell>
        </row>
        <row r="2491">
          <cell r="A2491">
            <v>0</v>
          </cell>
        </row>
        <row r="2492">
          <cell r="A2492">
            <v>0</v>
          </cell>
        </row>
        <row r="2493">
          <cell r="A2493">
            <v>0</v>
          </cell>
        </row>
        <row r="2494">
          <cell r="A2494">
            <v>0</v>
          </cell>
        </row>
        <row r="2495">
          <cell r="A2495">
            <v>0</v>
          </cell>
        </row>
        <row r="2496">
          <cell r="A2496">
            <v>0</v>
          </cell>
        </row>
        <row r="2497">
          <cell r="A2497">
            <v>0</v>
          </cell>
        </row>
        <row r="2498">
          <cell r="A2498">
            <v>0</v>
          </cell>
        </row>
        <row r="2499">
          <cell r="A2499">
            <v>0</v>
          </cell>
        </row>
        <row r="2500">
          <cell r="A2500">
            <v>0</v>
          </cell>
        </row>
        <row r="2501">
          <cell r="A2501">
            <v>0</v>
          </cell>
        </row>
        <row r="2502">
          <cell r="A2502">
            <v>0</v>
          </cell>
        </row>
        <row r="2503">
          <cell r="A2503">
            <v>0</v>
          </cell>
        </row>
        <row r="2504">
          <cell r="A2504">
            <v>0</v>
          </cell>
        </row>
        <row r="2505">
          <cell r="A2505">
            <v>0</v>
          </cell>
        </row>
        <row r="2506">
          <cell r="A2506">
            <v>0</v>
          </cell>
        </row>
        <row r="2507">
          <cell r="A2507">
            <v>0</v>
          </cell>
        </row>
        <row r="2508">
          <cell r="A2508">
            <v>0</v>
          </cell>
        </row>
        <row r="2509">
          <cell r="A2509">
            <v>0</v>
          </cell>
        </row>
        <row r="2510">
          <cell r="A2510">
            <v>0</v>
          </cell>
        </row>
        <row r="2511">
          <cell r="A2511">
            <v>0</v>
          </cell>
        </row>
        <row r="2512">
          <cell r="A2512">
            <v>0</v>
          </cell>
        </row>
        <row r="2513">
          <cell r="A2513">
            <v>0</v>
          </cell>
        </row>
        <row r="2514">
          <cell r="A2514">
            <v>0</v>
          </cell>
        </row>
        <row r="2515">
          <cell r="A2515">
            <v>0</v>
          </cell>
        </row>
        <row r="2516">
          <cell r="A2516">
            <v>0</v>
          </cell>
        </row>
        <row r="2517">
          <cell r="A2517">
            <v>0</v>
          </cell>
        </row>
        <row r="2518">
          <cell r="A2518">
            <v>0</v>
          </cell>
        </row>
        <row r="2519">
          <cell r="A2519">
            <v>0</v>
          </cell>
        </row>
        <row r="2520">
          <cell r="A2520">
            <v>0</v>
          </cell>
        </row>
        <row r="2521">
          <cell r="A2521">
            <v>0</v>
          </cell>
        </row>
        <row r="2522">
          <cell r="A2522">
            <v>0</v>
          </cell>
        </row>
        <row r="2523">
          <cell r="A2523">
            <v>0</v>
          </cell>
        </row>
        <row r="2524">
          <cell r="A2524">
            <v>0</v>
          </cell>
        </row>
        <row r="2525">
          <cell r="A2525">
            <v>0</v>
          </cell>
        </row>
        <row r="2526">
          <cell r="A2526">
            <v>0</v>
          </cell>
        </row>
        <row r="2527">
          <cell r="A2527">
            <v>0</v>
          </cell>
        </row>
        <row r="2528">
          <cell r="A2528">
            <v>0</v>
          </cell>
        </row>
        <row r="2529">
          <cell r="A2529">
            <v>0</v>
          </cell>
        </row>
        <row r="2530">
          <cell r="A2530">
            <v>0</v>
          </cell>
        </row>
        <row r="2531">
          <cell r="A2531">
            <v>0</v>
          </cell>
        </row>
        <row r="2532">
          <cell r="A2532">
            <v>0</v>
          </cell>
        </row>
        <row r="2533">
          <cell r="A2533">
            <v>0</v>
          </cell>
        </row>
        <row r="2534">
          <cell r="A2534">
            <v>0</v>
          </cell>
        </row>
        <row r="2535">
          <cell r="A2535">
            <v>0</v>
          </cell>
        </row>
        <row r="2536">
          <cell r="A2536">
            <v>0</v>
          </cell>
        </row>
        <row r="2537">
          <cell r="A2537">
            <v>0</v>
          </cell>
        </row>
        <row r="2538">
          <cell r="A2538">
            <v>0</v>
          </cell>
        </row>
        <row r="2539">
          <cell r="A2539">
            <v>0</v>
          </cell>
        </row>
        <row r="2540">
          <cell r="A2540">
            <v>0</v>
          </cell>
        </row>
        <row r="2541">
          <cell r="A2541">
            <v>0</v>
          </cell>
        </row>
        <row r="2542">
          <cell r="A2542">
            <v>0</v>
          </cell>
        </row>
        <row r="2543">
          <cell r="A2543">
            <v>0</v>
          </cell>
        </row>
        <row r="2544">
          <cell r="A2544">
            <v>0</v>
          </cell>
        </row>
        <row r="2545">
          <cell r="A2545">
            <v>0</v>
          </cell>
        </row>
        <row r="2546">
          <cell r="A2546">
            <v>0</v>
          </cell>
        </row>
        <row r="2547">
          <cell r="A2547">
            <v>0</v>
          </cell>
        </row>
        <row r="2548">
          <cell r="A2548">
            <v>0</v>
          </cell>
        </row>
        <row r="2549">
          <cell r="A2549">
            <v>0</v>
          </cell>
        </row>
        <row r="2550">
          <cell r="A2550">
            <v>0</v>
          </cell>
        </row>
        <row r="2551">
          <cell r="A2551">
            <v>0</v>
          </cell>
        </row>
        <row r="2552">
          <cell r="A2552">
            <v>0</v>
          </cell>
        </row>
        <row r="2553">
          <cell r="A2553">
            <v>0</v>
          </cell>
        </row>
        <row r="2554">
          <cell r="A2554">
            <v>0</v>
          </cell>
        </row>
        <row r="2555">
          <cell r="A2555">
            <v>0</v>
          </cell>
        </row>
        <row r="2556">
          <cell r="A2556">
            <v>0</v>
          </cell>
        </row>
        <row r="2557">
          <cell r="A2557">
            <v>0</v>
          </cell>
        </row>
        <row r="2558">
          <cell r="A2558">
            <v>0</v>
          </cell>
        </row>
        <row r="2559">
          <cell r="A2559">
            <v>0</v>
          </cell>
        </row>
        <row r="2560">
          <cell r="A2560">
            <v>0</v>
          </cell>
        </row>
        <row r="2561">
          <cell r="A2561">
            <v>0</v>
          </cell>
        </row>
        <row r="2562">
          <cell r="A2562">
            <v>0</v>
          </cell>
        </row>
        <row r="2563">
          <cell r="A2563">
            <v>0</v>
          </cell>
        </row>
        <row r="2564">
          <cell r="A2564">
            <v>0</v>
          </cell>
        </row>
        <row r="2565">
          <cell r="A2565">
            <v>0</v>
          </cell>
        </row>
        <row r="2566">
          <cell r="A2566">
            <v>0</v>
          </cell>
        </row>
        <row r="2567">
          <cell r="A2567">
            <v>0</v>
          </cell>
        </row>
        <row r="2568">
          <cell r="A2568">
            <v>0</v>
          </cell>
        </row>
        <row r="2569">
          <cell r="A2569">
            <v>0</v>
          </cell>
        </row>
        <row r="2570">
          <cell r="A2570">
            <v>0</v>
          </cell>
        </row>
        <row r="2571">
          <cell r="A2571">
            <v>0</v>
          </cell>
        </row>
        <row r="2572">
          <cell r="A2572">
            <v>0</v>
          </cell>
        </row>
        <row r="2573">
          <cell r="A2573">
            <v>0</v>
          </cell>
        </row>
        <row r="2574">
          <cell r="A2574">
            <v>0</v>
          </cell>
        </row>
        <row r="2575">
          <cell r="A2575">
            <v>0</v>
          </cell>
        </row>
        <row r="2576">
          <cell r="A2576">
            <v>0</v>
          </cell>
        </row>
        <row r="2577">
          <cell r="A2577">
            <v>0</v>
          </cell>
        </row>
        <row r="2578">
          <cell r="A2578">
            <v>0</v>
          </cell>
        </row>
        <row r="2579">
          <cell r="A2579">
            <v>0</v>
          </cell>
        </row>
        <row r="2580">
          <cell r="A2580">
            <v>0</v>
          </cell>
        </row>
        <row r="2581">
          <cell r="A2581">
            <v>0</v>
          </cell>
        </row>
        <row r="2582">
          <cell r="A2582">
            <v>0</v>
          </cell>
        </row>
        <row r="2583">
          <cell r="A2583">
            <v>0</v>
          </cell>
        </row>
        <row r="2584">
          <cell r="A2584">
            <v>0</v>
          </cell>
        </row>
        <row r="2585">
          <cell r="A2585">
            <v>0</v>
          </cell>
        </row>
        <row r="2586">
          <cell r="A2586">
            <v>0</v>
          </cell>
        </row>
        <row r="2587">
          <cell r="A2587">
            <v>0</v>
          </cell>
        </row>
        <row r="2588">
          <cell r="A2588">
            <v>0</v>
          </cell>
        </row>
        <row r="2589">
          <cell r="A2589">
            <v>0</v>
          </cell>
        </row>
        <row r="2590">
          <cell r="A2590">
            <v>0</v>
          </cell>
        </row>
        <row r="2591">
          <cell r="A2591">
            <v>0</v>
          </cell>
        </row>
        <row r="2592">
          <cell r="A2592">
            <v>0</v>
          </cell>
        </row>
        <row r="2593">
          <cell r="A2593">
            <v>0</v>
          </cell>
        </row>
        <row r="2594">
          <cell r="A2594">
            <v>0</v>
          </cell>
        </row>
        <row r="2595">
          <cell r="A2595">
            <v>0</v>
          </cell>
        </row>
        <row r="2596">
          <cell r="A2596">
            <v>0</v>
          </cell>
        </row>
        <row r="2597">
          <cell r="A2597">
            <v>0</v>
          </cell>
        </row>
        <row r="2598">
          <cell r="A2598">
            <v>0</v>
          </cell>
        </row>
        <row r="2599">
          <cell r="A2599">
            <v>0</v>
          </cell>
        </row>
        <row r="2600">
          <cell r="A2600">
            <v>0</v>
          </cell>
        </row>
        <row r="2601">
          <cell r="A2601">
            <v>0</v>
          </cell>
        </row>
        <row r="2602">
          <cell r="A2602">
            <v>0</v>
          </cell>
        </row>
        <row r="2603">
          <cell r="A2603">
            <v>0</v>
          </cell>
        </row>
        <row r="2604">
          <cell r="A2604">
            <v>0</v>
          </cell>
        </row>
        <row r="2605">
          <cell r="A2605">
            <v>0</v>
          </cell>
        </row>
        <row r="2606">
          <cell r="A2606">
            <v>0</v>
          </cell>
        </row>
        <row r="2607">
          <cell r="A2607">
            <v>0</v>
          </cell>
        </row>
        <row r="2608">
          <cell r="A2608">
            <v>0</v>
          </cell>
        </row>
        <row r="2609">
          <cell r="A2609">
            <v>0</v>
          </cell>
        </row>
        <row r="2610">
          <cell r="A2610">
            <v>0</v>
          </cell>
        </row>
        <row r="2611">
          <cell r="A2611">
            <v>0</v>
          </cell>
        </row>
        <row r="2612">
          <cell r="A2612">
            <v>0</v>
          </cell>
        </row>
        <row r="2613">
          <cell r="A2613">
            <v>0</v>
          </cell>
        </row>
        <row r="2614">
          <cell r="A2614">
            <v>0</v>
          </cell>
        </row>
        <row r="2615">
          <cell r="A2615">
            <v>0</v>
          </cell>
        </row>
        <row r="2616">
          <cell r="A2616">
            <v>0</v>
          </cell>
        </row>
        <row r="2617">
          <cell r="A2617">
            <v>0</v>
          </cell>
        </row>
        <row r="2618">
          <cell r="A2618">
            <v>0</v>
          </cell>
        </row>
        <row r="2619">
          <cell r="A2619">
            <v>0</v>
          </cell>
        </row>
        <row r="2620">
          <cell r="A2620">
            <v>0</v>
          </cell>
        </row>
        <row r="2621">
          <cell r="A2621">
            <v>0</v>
          </cell>
        </row>
        <row r="2622">
          <cell r="A2622">
            <v>0</v>
          </cell>
        </row>
        <row r="2623">
          <cell r="A2623">
            <v>0</v>
          </cell>
        </row>
        <row r="2624">
          <cell r="A2624">
            <v>0</v>
          </cell>
        </row>
        <row r="2625">
          <cell r="A2625">
            <v>0</v>
          </cell>
        </row>
        <row r="2626">
          <cell r="A2626">
            <v>0</v>
          </cell>
        </row>
        <row r="2627">
          <cell r="A2627">
            <v>0</v>
          </cell>
        </row>
        <row r="2628">
          <cell r="A2628">
            <v>0</v>
          </cell>
        </row>
        <row r="2629">
          <cell r="A2629">
            <v>0</v>
          </cell>
        </row>
        <row r="2630">
          <cell r="A2630">
            <v>0</v>
          </cell>
        </row>
        <row r="2631">
          <cell r="A2631">
            <v>0</v>
          </cell>
        </row>
        <row r="2632">
          <cell r="A2632">
            <v>0</v>
          </cell>
        </row>
        <row r="2633">
          <cell r="A2633">
            <v>0</v>
          </cell>
        </row>
        <row r="2634">
          <cell r="A2634">
            <v>0</v>
          </cell>
        </row>
        <row r="2635">
          <cell r="A2635">
            <v>0</v>
          </cell>
        </row>
        <row r="2636">
          <cell r="A2636">
            <v>0</v>
          </cell>
        </row>
        <row r="2637">
          <cell r="A2637">
            <v>0</v>
          </cell>
        </row>
        <row r="2638">
          <cell r="A2638">
            <v>0</v>
          </cell>
        </row>
        <row r="2639">
          <cell r="A2639">
            <v>0</v>
          </cell>
        </row>
        <row r="2640">
          <cell r="A2640">
            <v>0</v>
          </cell>
        </row>
        <row r="2641">
          <cell r="A2641">
            <v>0</v>
          </cell>
        </row>
        <row r="2642">
          <cell r="A2642">
            <v>0</v>
          </cell>
        </row>
        <row r="2643">
          <cell r="A2643">
            <v>0</v>
          </cell>
        </row>
        <row r="2644">
          <cell r="A2644">
            <v>0</v>
          </cell>
        </row>
        <row r="2645">
          <cell r="A2645">
            <v>0</v>
          </cell>
        </row>
        <row r="2646">
          <cell r="A2646">
            <v>0</v>
          </cell>
        </row>
        <row r="2647">
          <cell r="A2647">
            <v>0</v>
          </cell>
        </row>
        <row r="2648">
          <cell r="A2648">
            <v>0</v>
          </cell>
        </row>
        <row r="2649">
          <cell r="A2649">
            <v>0</v>
          </cell>
        </row>
        <row r="2650">
          <cell r="A2650">
            <v>0</v>
          </cell>
        </row>
        <row r="2651">
          <cell r="A2651">
            <v>0</v>
          </cell>
        </row>
        <row r="2652">
          <cell r="A2652">
            <v>0</v>
          </cell>
        </row>
        <row r="2653">
          <cell r="A2653">
            <v>0</v>
          </cell>
        </row>
        <row r="2654">
          <cell r="A2654">
            <v>0</v>
          </cell>
        </row>
        <row r="2655">
          <cell r="A2655">
            <v>0</v>
          </cell>
        </row>
        <row r="2656">
          <cell r="A2656">
            <v>0</v>
          </cell>
        </row>
        <row r="2657">
          <cell r="A2657">
            <v>0</v>
          </cell>
        </row>
        <row r="2658">
          <cell r="A2658">
            <v>0</v>
          </cell>
        </row>
        <row r="2659">
          <cell r="A2659">
            <v>0</v>
          </cell>
        </row>
        <row r="2660">
          <cell r="A2660">
            <v>0</v>
          </cell>
        </row>
        <row r="2661">
          <cell r="A2661">
            <v>0</v>
          </cell>
        </row>
        <row r="2662">
          <cell r="A2662">
            <v>0</v>
          </cell>
        </row>
        <row r="2663">
          <cell r="A2663">
            <v>0</v>
          </cell>
        </row>
        <row r="2664">
          <cell r="A2664">
            <v>0</v>
          </cell>
        </row>
        <row r="2665">
          <cell r="A2665">
            <v>0</v>
          </cell>
        </row>
        <row r="2666">
          <cell r="A2666">
            <v>0</v>
          </cell>
        </row>
        <row r="2667">
          <cell r="A2667">
            <v>0</v>
          </cell>
        </row>
        <row r="2668">
          <cell r="A2668">
            <v>0</v>
          </cell>
        </row>
        <row r="2669">
          <cell r="A2669">
            <v>0</v>
          </cell>
        </row>
        <row r="2670">
          <cell r="A2670">
            <v>0</v>
          </cell>
        </row>
        <row r="2671">
          <cell r="A2671">
            <v>0</v>
          </cell>
        </row>
        <row r="2672">
          <cell r="A2672">
            <v>0</v>
          </cell>
        </row>
        <row r="2673">
          <cell r="A2673">
            <v>0</v>
          </cell>
        </row>
        <row r="2674">
          <cell r="A2674">
            <v>0</v>
          </cell>
        </row>
        <row r="2675">
          <cell r="A2675">
            <v>0</v>
          </cell>
        </row>
        <row r="2676">
          <cell r="A2676">
            <v>0</v>
          </cell>
        </row>
        <row r="2677">
          <cell r="A2677">
            <v>0</v>
          </cell>
        </row>
        <row r="2678">
          <cell r="A2678">
            <v>0</v>
          </cell>
        </row>
        <row r="2679">
          <cell r="A2679">
            <v>0</v>
          </cell>
        </row>
        <row r="2680">
          <cell r="A2680">
            <v>0</v>
          </cell>
        </row>
        <row r="2681">
          <cell r="A2681">
            <v>0</v>
          </cell>
        </row>
        <row r="2682">
          <cell r="A2682">
            <v>0</v>
          </cell>
        </row>
        <row r="2683">
          <cell r="A2683">
            <v>0</v>
          </cell>
        </row>
        <row r="2684">
          <cell r="A2684">
            <v>0</v>
          </cell>
        </row>
        <row r="2685">
          <cell r="A2685">
            <v>0</v>
          </cell>
        </row>
        <row r="2686">
          <cell r="A2686">
            <v>0</v>
          </cell>
        </row>
        <row r="2687">
          <cell r="A2687">
            <v>0</v>
          </cell>
        </row>
        <row r="2688">
          <cell r="A2688">
            <v>0</v>
          </cell>
        </row>
        <row r="2689">
          <cell r="A2689">
            <v>0</v>
          </cell>
        </row>
        <row r="2690">
          <cell r="A2690">
            <v>0</v>
          </cell>
        </row>
        <row r="2691">
          <cell r="A2691">
            <v>0</v>
          </cell>
        </row>
        <row r="2692">
          <cell r="A2692">
            <v>0</v>
          </cell>
        </row>
        <row r="2693">
          <cell r="A2693">
            <v>0</v>
          </cell>
        </row>
        <row r="2694">
          <cell r="A2694">
            <v>0</v>
          </cell>
        </row>
        <row r="2695">
          <cell r="A2695">
            <v>0</v>
          </cell>
        </row>
        <row r="2696">
          <cell r="A2696">
            <v>0</v>
          </cell>
        </row>
        <row r="2697">
          <cell r="A2697">
            <v>0</v>
          </cell>
        </row>
        <row r="2698">
          <cell r="A2698">
            <v>0</v>
          </cell>
        </row>
        <row r="2699">
          <cell r="A2699">
            <v>0</v>
          </cell>
        </row>
        <row r="2700">
          <cell r="A2700">
            <v>0</v>
          </cell>
        </row>
        <row r="2701">
          <cell r="A2701">
            <v>0</v>
          </cell>
        </row>
        <row r="2702">
          <cell r="A2702">
            <v>0</v>
          </cell>
        </row>
        <row r="2703">
          <cell r="A2703">
            <v>0</v>
          </cell>
        </row>
        <row r="2704">
          <cell r="A2704">
            <v>0</v>
          </cell>
        </row>
        <row r="2705">
          <cell r="A2705">
            <v>0</v>
          </cell>
        </row>
        <row r="2706">
          <cell r="A2706">
            <v>0</v>
          </cell>
        </row>
        <row r="2707">
          <cell r="A2707">
            <v>0</v>
          </cell>
        </row>
        <row r="2708">
          <cell r="A2708">
            <v>0</v>
          </cell>
        </row>
        <row r="2709">
          <cell r="A2709">
            <v>0</v>
          </cell>
        </row>
        <row r="2710">
          <cell r="A2710">
            <v>0</v>
          </cell>
        </row>
        <row r="2711">
          <cell r="A2711">
            <v>0</v>
          </cell>
        </row>
        <row r="2712">
          <cell r="A2712">
            <v>0</v>
          </cell>
        </row>
        <row r="2713">
          <cell r="A2713">
            <v>0</v>
          </cell>
        </row>
        <row r="2714">
          <cell r="A2714">
            <v>0</v>
          </cell>
        </row>
        <row r="2715">
          <cell r="A2715">
            <v>0</v>
          </cell>
        </row>
        <row r="2716">
          <cell r="A2716">
            <v>0</v>
          </cell>
        </row>
        <row r="2717">
          <cell r="A2717">
            <v>0</v>
          </cell>
        </row>
        <row r="2718">
          <cell r="A2718">
            <v>0</v>
          </cell>
        </row>
        <row r="2719">
          <cell r="A2719">
            <v>0</v>
          </cell>
        </row>
        <row r="2720">
          <cell r="A2720">
            <v>0</v>
          </cell>
        </row>
        <row r="2721">
          <cell r="A2721">
            <v>0</v>
          </cell>
        </row>
        <row r="2722">
          <cell r="A2722">
            <v>0</v>
          </cell>
        </row>
        <row r="2723">
          <cell r="A2723">
            <v>0</v>
          </cell>
        </row>
        <row r="2724">
          <cell r="A2724">
            <v>0</v>
          </cell>
        </row>
        <row r="2725">
          <cell r="A2725">
            <v>0</v>
          </cell>
        </row>
        <row r="2726">
          <cell r="A2726">
            <v>0</v>
          </cell>
        </row>
        <row r="2727">
          <cell r="A2727">
            <v>0</v>
          </cell>
        </row>
        <row r="2728">
          <cell r="A2728">
            <v>0</v>
          </cell>
        </row>
        <row r="2729">
          <cell r="A2729">
            <v>0</v>
          </cell>
        </row>
        <row r="2730">
          <cell r="A2730">
            <v>0</v>
          </cell>
        </row>
        <row r="2731">
          <cell r="A2731">
            <v>0</v>
          </cell>
        </row>
        <row r="2732">
          <cell r="A2732">
            <v>0</v>
          </cell>
        </row>
        <row r="2733">
          <cell r="A2733">
            <v>0</v>
          </cell>
        </row>
        <row r="2734">
          <cell r="A2734">
            <v>0</v>
          </cell>
        </row>
        <row r="2735">
          <cell r="A2735">
            <v>0</v>
          </cell>
        </row>
        <row r="2736">
          <cell r="A2736">
            <v>0</v>
          </cell>
        </row>
        <row r="2737">
          <cell r="A2737">
            <v>0</v>
          </cell>
        </row>
        <row r="2738">
          <cell r="A2738">
            <v>0</v>
          </cell>
        </row>
        <row r="2739">
          <cell r="A2739">
            <v>0</v>
          </cell>
        </row>
        <row r="2740">
          <cell r="A2740">
            <v>0</v>
          </cell>
        </row>
        <row r="2741">
          <cell r="A2741">
            <v>0</v>
          </cell>
        </row>
        <row r="2742">
          <cell r="A2742">
            <v>0</v>
          </cell>
        </row>
        <row r="2743">
          <cell r="A2743">
            <v>0</v>
          </cell>
        </row>
        <row r="2744">
          <cell r="A2744">
            <v>0</v>
          </cell>
        </row>
        <row r="2745">
          <cell r="A2745">
            <v>0</v>
          </cell>
        </row>
        <row r="2746">
          <cell r="A2746">
            <v>0</v>
          </cell>
        </row>
        <row r="2747">
          <cell r="A2747">
            <v>0</v>
          </cell>
        </row>
        <row r="2748">
          <cell r="A2748">
            <v>0</v>
          </cell>
        </row>
        <row r="2749">
          <cell r="A2749">
            <v>0</v>
          </cell>
        </row>
        <row r="2750">
          <cell r="A2750">
            <v>0</v>
          </cell>
        </row>
        <row r="2751">
          <cell r="A2751">
            <v>0</v>
          </cell>
        </row>
        <row r="2752">
          <cell r="A2752">
            <v>0</v>
          </cell>
        </row>
        <row r="2753">
          <cell r="A2753">
            <v>0</v>
          </cell>
        </row>
        <row r="2754">
          <cell r="A2754">
            <v>0</v>
          </cell>
        </row>
        <row r="2755">
          <cell r="A2755">
            <v>0</v>
          </cell>
        </row>
        <row r="2756">
          <cell r="A2756">
            <v>0</v>
          </cell>
        </row>
        <row r="2757">
          <cell r="A2757">
            <v>0</v>
          </cell>
        </row>
        <row r="2758">
          <cell r="A2758">
            <v>0</v>
          </cell>
        </row>
        <row r="2759">
          <cell r="A2759">
            <v>0</v>
          </cell>
        </row>
        <row r="2760">
          <cell r="A2760">
            <v>0</v>
          </cell>
        </row>
        <row r="2761">
          <cell r="A2761">
            <v>0</v>
          </cell>
        </row>
        <row r="2762">
          <cell r="A2762">
            <v>0</v>
          </cell>
        </row>
        <row r="2763">
          <cell r="A2763">
            <v>0</v>
          </cell>
        </row>
        <row r="2764">
          <cell r="A2764">
            <v>0</v>
          </cell>
        </row>
        <row r="2765">
          <cell r="A2765">
            <v>0</v>
          </cell>
        </row>
        <row r="2766">
          <cell r="A2766">
            <v>0</v>
          </cell>
        </row>
        <row r="2767">
          <cell r="A2767">
            <v>0</v>
          </cell>
        </row>
        <row r="2768">
          <cell r="A2768">
            <v>0</v>
          </cell>
        </row>
        <row r="2769">
          <cell r="A2769">
            <v>0</v>
          </cell>
        </row>
        <row r="2770">
          <cell r="A2770">
            <v>0</v>
          </cell>
        </row>
        <row r="2771">
          <cell r="A2771">
            <v>0</v>
          </cell>
        </row>
        <row r="2772">
          <cell r="A2772">
            <v>0</v>
          </cell>
        </row>
        <row r="2773">
          <cell r="A2773">
            <v>0</v>
          </cell>
        </row>
        <row r="2774">
          <cell r="A2774">
            <v>0</v>
          </cell>
        </row>
        <row r="2775">
          <cell r="A2775">
            <v>0</v>
          </cell>
        </row>
        <row r="2776">
          <cell r="A2776">
            <v>0</v>
          </cell>
        </row>
        <row r="2777">
          <cell r="A2777">
            <v>0</v>
          </cell>
        </row>
        <row r="2778">
          <cell r="A2778">
            <v>0</v>
          </cell>
        </row>
        <row r="2779">
          <cell r="A2779">
            <v>0</v>
          </cell>
        </row>
        <row r="2780">
          <cell r="A2780">
            <v>0</v>
          </cell>
        </row>
        <row r="2781">
          <cell r="A2781">
            <v>0</v>
          </cell>
        </row>
        <row r="2782">
          <cell r="A2782">
            <v>0</v>
          </cell>
        </row>
        <row r="2783">
          <cell r="A2783">
            <v>0</v>
          </cell>
        </row>
        <row r="2784">
          <cell r="A2784">
            <v>0</v>
          </cell>
        </row>
        <row r="2785">
          <cell r="A2785">
            <v>0</v>
          </cell>
        </row>
        <row r="2786">
          <cell r="A2786">
            <v>0</v>
          </cell>
        </row>
        <row r="2787">
          <cell r="A2787">
            <v>0</v>
          </cell>
        </row>
        <row r="2788">
          <cell r="A2788">
            <v>0</v>
          </cell>
        </row>
        <row r="2789">
          <cell r="A2789">
            <v>0</v>
          </cell>
        </row>
        <row r="2790">
          <cell r="A2790">
            <v>0</v>
          </cell>
        </row>
        <row r="2791">
          <cell r="A2791">
            <v>0</v>
          </cell>
        </row>
        <row r="2792">
          <cell r="A2792">
            <v>0</v>
          </cell>
        </row>
        <row r="2793">
          <cell r="A2793">
            <v>0</v>
          </cell>
        </row>
        <row r="2794">
          <cell r="A2794">
            <v>0</v>
          </cell>
        </row>
        <row r="2795">
          <cell r="A2795">
            <v>0</v>
          </cell>
        </row>
        <row r="2796">
          <cell r="A2796">
            <v>0</v>
          </cell>
        </row>
        <row r="2797">
          <cell r="A2797">
            <v>0</v>
          </cell>
        </row>
        <row r="2798">
          <cell r="A2798">
            <v>0</v>
          </cell>
        </row>
        <row r="2799">
          <cell r="A2799">
            <v>0</v>
          </cell>
        </row>
        <row r="2800">
          <cell r="A2800">
            <v>0</v>
          </cell>
        </row>
        <row r="2801">
          <cell r="A2801">
            <v>0</v>
          </cell>
        </row>
        <row r="2802">
          <cell r="A2802">
            <v>0</v>
          </cell>
        </row>
        <row r="2803">
          <cell r="A2803">
            <v>0</v>
          </cell>
        </row>
        <row r="2804">
          <cell r="A2804">
            <v>0</v>
          </cell>
        </row>
        <row r="2805">
          <cell r="A2805">
            <v>0</v>
          </cell>
        </row>
        <row r="2806">
          <cell r="A2806">
            <v>0</v>
          </cell>
        </row>
        <row r="2807">
          <cell r="A2807">
            <v>0</v>
          </cell>
        </row>
        <row r="2808">
          <cell r="A2808">
            <v>0</v>
          </cell>
        </row>
        <row r="2809">
          <cell r="A2809">
            <v>0</v>
          </cell>
        </row>
        <row r="2810">
          <cell r="A2810">
            <v>0</v>
          </cell>
        </row>
        <row r="2811">
          <cell r="A2811">
            <v>0</v>
          </cell>
        </row>
        <row r="2812">
          <cell r="A2812">
            <v>0</v>
          </cell>
        </row>
        <row r="2813">
          <cell r="A2813">
            <v>0</v>
          </cell>
        </row>
        <row r="2814">
          <cell r="A2814">
            <v>0</v>
          </cell>
        </row>
        <row r="2815">
          <cell r="A2815">
            <v>0</v>
          </cell>
        </row>
        <row r="2816">
          <cell r="A2816">
            <v>0</v>
          </cell>
        </row>
        <row r="2817">
          <cell r="A2817">
            <v>0</v>
          </cell>
        </row>
        <row r="2818">
          <cell r="A2818">
            <v>0</v>
          </cell>
        </row>
        <row r="2819">
          <cell r="A2819">
            <v>0</v>
          </cell>
        </row>
        <row r="2820">
          <cell r="A2820">
            <v>0</v>
          </cell>
        </row>
        <row r="2821">
          <cell r="A2821">
            <v>0</v>
          </cell>
        </row>
        <row r="2822">
          <cell r="A2822">
            <v>0</v>
          </cell>
        </row>
        <row r="2823">
          <cell r="A2823">
            <v>0</v>
          </cell>
        </row>
        <row r="2824">
          <cell r="A2824">
            <v>0</v>
          </cell>
        </row>
        <row r="2825">
          <cell r="A2825">
            <v>0</v>
          </cell>
        </row>
        <row r="2826">
          <cell r="A2826">
            <v>0</v>
          </cell>
        </row>
        <row r="2827">
          <cell r="A2827">
            <v>0</v>
          </cell>
        </row>
        <row r="2828">
          <cell r="A2828">
            <v>0</v>
          </cell>
        </row>
        <row r="2829">
          <cell r="A2829">
            <v>0</v>
          </cell>
        </row>
        <row r="2830">
          <cell r="A2830">
            <v>0</v>
          </cell>
        </row>
        <row r="2831">
          <cell r="A2831">
            <v>0</v>
          </cell>
        </row>
        <row r="2832">
          <cell r="A2832">
            <v>0</v>
          </cell>
        </row>
        <row r="2833">
          <cell r="A2833">
            <v>0</v>
          </cell>
        </row>
        <row r="2834">
          <cell r="A2834">
            <v>0</v>
          </cell>
        </row>
        <row r="2835">
          <cell r="A2835">
            <v>0</v>
          </cell>
        </row>
        <row r="2836">
          <cell r="A2836">
            <v>0</v>
          </cell>
        </row>
        <row r="2837">
          <cell r="A2837">
            <v>0</v>
          </cell>
        </row>
        <row r="2838">
          <cell r="A2838">
            <v>0</v>
          </cell>
        </row>
        <row r="2839">
          <cell r="A2839">
            <v>0</v>
          </cell>
        </row>
        <row r="2840">
          <cell r="A2840">
            <v>0</v>
          </cell>
        </row>
        <row r="2841">
          <cell r="A2841">
            <v>0</v>
          </cell>
        </row>
        <row r="2842">
          <cell r="A2842">
            <v>0</v>
          </cell>
        </row>
        <row r="2843">
          <cell r="A2843">
            <v>0</v>
          </cell>
        </row>
        <row r="2844">
          <cell r="A2844">
            <v>0</v>
          </cell>
        </row>
        <row r="2845">
          <cell r="A2845">
            <v>0</v>
          </cell>
        </row>
        <row r="2846">
          <cell r="A2846">
            <v>0</v>
          </cell>
        </row>
        <row r="2847">
          <cell r="A2847">
            <v>0</v>
          </cell>
        </row>
        <row r="2848">
          <cell r="A2848">
            <v>0</v>
          </cell>
        </row>
        <row r="2849">
          <cell r="A2849">
            <v>0</v>
          </cell>
        </row>
        <row r="2850">
          <cell r="A2850">
            <v>0</v>
          </cell>
        </row>
        <row r="2851">
          <cell r="A2851">
            <v>0</v>
          </cell>
        </row>
        <row r="2852">
          <cell r="A2852">
            <v>0</v>
          </cell>
        </row>
        <row r="2853">
          <cell r="A2853">
            <v>0</v>
          </cell>
        </row>
        <row r="2854">
          <cell r="A2854">
            <v>0</v>
          </cell>
        </row>
        <row r="2855">
          <cell r="A2855">
            <v>0</v>
          </cell>
        </row>
        <row r="2856">
          <cell r="A2856">
            <v>0</v>
          </cell>
        </row>
        <row r="2857">
          <cell r="A2857">
            <v>0</v>
          </cell>
        </row>
        <row r="2858">
          <cell r="A2858">
            <v>0</v>
          </cell>
        </row>
        <row r="2859">
          <cell r="A2859">
            <v>0</v>
          </cell>
        </row>
        <row r="2860">
          <cell r="A2860">
            <v>0</v>
          </cell>
        </row>
        <row r="2861">
          <cell r="A2861">
            <v>0</v>
          </cell>
        </row>
        <row r="2862">
          <cell r="A2862">
            <v>0</v>
          </cell>
        </row>
        <row r="2863">
          <cell r="A2863">
            <v>0</v>
          </cell>
        </row>
        <row r="2864">
          <cell r="A2864">
            <v>0</v>
          </cell>
        </row>
        <row r="2865">
          <cell r="A2865">
            <v>0</v>
          </cell>
        </row>
        <row r="2866">
          <cell r="A2866">
            <v>0</v>
          </cell>
        </row>
        <row r="2867">
          <cell r="A2867">
            <v>0</v>
          </cell>
        </row>
        <row r="2868">
          <cell r="A2868">
            <v>0</v>
          </cell>
        </row>
        <row r="2869">
          <cell r="A2869">
            <v>0</v>
          </cell>
        </row>
        <row r="2870">
          <cell r="A2870">
            <v>0</v>
          </cell>
        </row>
        <row r="2871">
          <cell r="A2871">
            <v>0</v>
          </cell>
        </row>
        <row r="2872">
          <cell r="A2872">
            <v>0</v>
          </cell>
        </row>
        <row r="2873">
          <cell r="A2873">
            <v>0</v>
          </cell>
        </row>
        <row r="2874">
          <cell r="A2874">
            <v>0</v>
          </cell>
        </row>
        <row r="2875">
          <cell r="A2875">
            <v>0</v>
          </cell>
        </row>
        <row r="2876">
          <cell r="A2876">
            <v>0</v>
          </cell>
        </row>
        <row r="2877">
          <cell r="A2877">
            <v>0</v>
          </cell>
        </row>
        <row r="2878">
          <cell r="A2878">
            <v>0</v>
          </cell>
        </row>
        <row r="2879">
          <cell r="A2879">
            <v>0</v>
          </cell>
        </row>
        <row r="2880">
          <cell r="A2880">
            <v>0</v>
          </cell>
        </row>
        <row r="2881">
          <cell r="A2881">
            <v>0</v>
          </cell>
        </row>
        <row r="2882">
          <cell r="A2882">
            <v>0</v>
          </cell>
        </row>
        <row r="2883">
          <cell r="A2883">
            <v>0</v>
          </cell>
        </row>
        <row r="2884">
          <cell r="A2884">
            <v>0</v>
          </cell>
        </row>
        <row r="2885">
          <cell r="A2885">
            <v>0</v>
          </cell>
        </row>
        <row r="2886">
          <cell r="A2886">
            <v>0</v>
          </cell>
        </row>
        <row r="2887">
          <cell r="A2887">
            <v>0</v>
          </cell>
        </row>
        <row r="2888">
          <cell r="A2888">
            <v>0</v>
          </cell>
        </row>
        <row r="2889">
          <cell r="A2889">
            <v>0</v>
          </cell>
        </row>
        <row r="2890">
          <cell r="A2890">
            <v>0</v>
          </cell>
        </row>
        <row r="2891">
          <cell r="A2891">
            <v>0</v>
          </cell>
        </row>
        <row r="2892">
          <cell r="A2892">
            <v>0</v>
          </cell>
        </row>
        <row r="2893">
          <cell r="A2893">
            <v>0</v>
          </cell>
        </row>
        <row r="2894">
          <cell r="A2894">
            <v>0</v>
          </cell>
        </row>
        <row r="2895">
          <cell r="A2895">
            <v>0</v>
          </cell>
        </row>
        <row r="2896">
          <cell r="A2896">
            <v>0</v>
          </cell>
        </row>
        <row r="2897">
          <cell r="A2897">
            <v>0</v>
          </cell>
        </row>
        <row r="2898">
          <cell r="A2898">
            <v>0</v>
          </cell>
        </row>
        <row r="2899">
          <cell r="A2899">
            <v>0</v>
          </cell>
        </row>
        <row r="2900">
          <cell r="A2900">
            <v>0</v>
          </cell>
        </row>
        <row r="2901">
          <cell r="A2901">
            <v>0</v>
          </cell>
        </row>
        <row r="2902">
          <cell r="A2902">
            <v>0</v>
          </cell>
        </row>
        <row r="2903">
          <cell r="A2903">
            <v>0</v>
          </cell>
        </row>
        <row r="2904">
          <cell r="A2904">
            <v>0</v>
          </cell>
        </row>
        <row r="2905">
          <cell r="A2905">
            <v>0</v>
          </cell>
        </row>
        <row r="2906">
          <cell r="A2906">
            <v>0</v>
          </cell>
        </row>
        <row r="2907">
          <cell r="A2907">
            <v>0</v>
          </cell>
        </row>
        <row r="2908">
          <cell r="A2908">
            <v>0</v>
          </cell>
        </row>
        <row r="2909">
          <cell r="A2909">
            <v>0</v>
          </cell>
        </row>
        <row r="2910">
          <cell r="A2910">
            <v>0</v>
          </cell>
        </row>
        <row r="2911">
          <cell r="A2911">
            <v>0</v>
          </cell>
        </row>
        <row r="2912">
          <cell r="A2912">
            <v>0</v>
          </cell>
        </row>
        <row r="2913">
          <cell r="A2913">
            <v>0</v>
          </cell>
        </row>
        <row r="2914">
          <cell r="A2914">
            <v>0</v>
          </cell>
        </row>
        <row r="2915">
          <cell r="A2915">
            <v>0</v>
          </cell>
        </row>
        <row r="2916">
          <cell r="A2916">
            <v>0</v>
          </cell>
        </row>
        <row r="2917">
          <cell r="A2917">
            <v>0</v>
          </cell>
        </row>
        <row r="2918">
          <cell r="A2918">
            <v>0</v>
          </cell>
        </row>
        <row r="2919">
          <cell r="A2919">
            <v>0</v>
          </cell>
        </row>
        <row r="2920">
          <cell r="A2920">
            <v>0</v>
          </cell>
        </row>
        <row r="2921">
          <cell r="A2921">
            <v>0</v>
          </cell>
        </row>
        <row r="2922">
          <cell r="A2922">
            <v>0</v>
          </cell>
        </row>
        <row r="2923">
          <cell r="A2923">
            <v>0</v>
          </cell>
        </row>
        <row r="2924">
          <cell r="A2924">
            <v>0</v>
          </cell>
        </row>
        <row r="2925">
          <cell r="A2925">
            <v>0</v>
          </cell>
        </row>
        <row r="2926">
          <cell r="A2926">
            <v>0</v>
          </cell>
        </row>
        <row r="2927">
          <cell r="A2927">
            <v>0</v>
          </cell>
        </row>
        <row r="2928">
          <cell r="A2928">
            <v>0</v>
          </cell>
        </row>
        <row r="2929">
          <cell r="A2929">
            <v>0</v>
          </cell>
        </row>
        <row r="2930">
          <cell r="A2930">
            <v>0</v>
          </cell>
        </row>
        <row r="2931">
          <cell r="A2931">
            <v>0</v>
          </cell>
        </row>
        <row r="2932">
          <cell r="A2932">
            <v>0</v>
          </cell>
        </row>
        <row r="2933">
          <cell r="A2933">
            <v>0</v>
          </cell>
        </row>
        <row r="2934">
          <cell r="A2934">
            <v>0</v>
          </cell>
        </row>
        <row r="2935">
          <cell r="A2935">
            <v>0</v>
          </cell>
        </row>
        <row r="2936">
          <cell r="A2936">
            <v>0</v>
          </cell>
        </row>
        <row r="2937">
          <cell r="A2937">
            <v>0</v>
          </cell>
        </row>
        <row r="2938">
          <cell r="A2938">
            <v>0</v>
          </cell>
        </row>
        <row r="2939">
          <cell r="A2939">
            <v>0</v>
          </cell>
        </row>
        <row r="2940">
          <cell r="A2940">
            <v>0</v>
          </cell>
        </row>
        <row r="2941">
          <cell r="A2941">
            <v>0</v>
          </cell>
        </row>
        <row r="2942">
          <cell r="A2942">
            <v>0</v>
          </cell>
        </row>
        <row r="2943">
          <cell r="A2943">
            <v>0</v>
          </cell>
        </row>
        <row r="2944">
          <cell r="A2944">
            <v>0</v>
          </cell>
        </row>
        <row r="2945">
          <cell r="A2945">
            <v>0</v>
          </cell>
        </row>
        <row r="2946">
          <cell r="A2946">
            <v>0</v>
          </cell>
        </row>
        <row r="2947">
          <cell r="A2947">
            <v>0</v>
          </cell>
        </row>
        <row r="2948">
          <cell r="A2948">
            <v>0</v>
          </cell>
        </row>
        <row r="2949">
          <cell r="A2949">
            <v>0</v>
          </cell>
        </row>
        <row r="2950">
          <cell r="A2950">
            <v>0</v>
          </cell>
        </row>
        <row r="2951">
          <cell r="A2951">
            <v>0</v>
          </cell>
        </row>
        <row r="2952">
          <cell r="A2952">
            <v>0</v>
          </cell>
        </row>
        <row r="2953">
          <cell r="A2953">
            <v>0</v>
          </cell>
        </row>
        <row r="2954">
          <cell r="A2954">
            <v>0</v>
          </cell>
        </row>
        <row r="2955">
          <cell r="A2955">
            <v>0</v>
          </cell>
        </row>
        <row r="2956">
          <cell r="A2956">
            <v>0</v>
          </cell>
        </row>
        <row r="2957">
          <cell r="A2957">
            <v>0</v>
          </cell>
        </row>
        <row r="2958">
          <cell r="A2958">
            <v>0</v>
          </cell>
        </row>
        <row r="2959">
          <cell r="A2959">
            <v>0</v>
          </cell>
        </row>
        <row r="2960">
          <cell r="A2960">
            <v>0</v>
          </cell>
        </row>
        <row r="2961">
          <cell r="A2961">
            <v>0</v>
          </cell>
        </row>
        <row r="2962">
          <cell r="A2962">
            <v>0</v>
          </cell>
        </row>
        <row r="2963">
          <cell r="A2963">
            <v>0</v>
          </cell>
        </row>
        <row r="2964">
          <cell r="A2964">
            <v>0</v>
          </cell>
        </row>
        <row r="2965">
          <cell r="A2965">
            <v>0</v>
          </cell>
        </row>
        <row r="2966">
          <cell r="A2966">
            <v>0</v>
          </cell>
        </row>
        <row r="2967">
          <cell r="A2967">
            <v>0</v>
          </cell>
        </row>
        <row r="2968">
          <cell r="A2968">
            <v>0</v>
          </cell>
        </row>
        <row r="2969">
          <cell r="A2969">
            <v>0</v>
          </cell>
        </row>
        <row r="2970">
          <cell r="A2970">
            <v>0</v>
          </cell>
        </row>
        <row r="2971">
          <cell r="A2971">
            <v>0</v>
          </cell>
        </row>
        <row r="2972">
          <cell r="A2972">
            <v>0</v>
          </cell>
        </row>
        <row r="2973">
          <cell r="A2973">
            <v>0</v>
          </cell>
        </row>
        <row r="2974">
          <cell r="A2974">
            <v>0</v>
          </cell>
        </row>
        <row r="2975">
          <cell r="A2975">
            <v>0</v>
          </cell>
        </row>
        <row r="2976">
          <cell r="A2976">
            <v>0</v>
          </cell>
        </row>
        <row r="2977">
          <cell r="A2977">
            <v>0</v>
          </cell>
        </row>
        <row r="2978">
          <cell r="A2978">
            <v>0</v>
          </cell>
        </row>
        <row r="2979">
          <cell r="A2979">
            <v>0</v>
          </cell>
        </row>
        <row r="2980">
          <cell r="A2980">
            <v>0</v>
          </cell>
        </row>
        <row r="2981">
          <cell r="A2981">
            <v>0</v>
          </cell>
        </row>
        <row r="2982">
          <cell r="A2982">
            <v>0</v>
          </cell>
        </row>
        <row r="2983">
          <cell r="A2983">
            <v>0</v>
          </cell>
        </row>
        <row r="2984">
          <cell r="A2984">
            <v>0</v>
          </cell>
        </row>
        <row r="2985">
          <cell r="A2985">
            <v>0</v>
          </cell>
        </row>
        <row r="2986">
          <cell r="A2986">
            <v>0</v>
          </cell>
        </row>
        <row r="2987">
          <cell r="A2987">
            <v>0</v>
          </cell>
        </row>
        <row r="2988">
          <cell r="A2988">
            <v>0</v>
          </cell>
        </row>
        <row r="2989">
          <cell r="A2989">
            <v>0</v>
          </cell>
        </row>
        <row r="2990">
          <cell r="A2990">
            <v>0</v>
          </cell>
        </row>
        <row r="2991">
          <cell r="A2991">
            <v>0</v>
          </cell>
        </row>
        <row r="2992">
          <cell r="A2992">
            <v>0</v>
          </cell>
        </row>
        <row r="2993">
          <cell r="A2993">
            <v>0</v>
          </cell>
        </row>
        <row r="2994">
          <cell r="A2994">
            <v>0</v>
          </cell>
        </row>
        <row r="2995">
          <cell r="A2995">
            <v>0</v>
          </cell>
        </row>
        <row r="2996">
          <cell r="A2996">
            <v>0</v>
          </cell>
        </row>
        <row r="2997">
          <cell r="A2997">
            <v>0</v>
          </cell>
        </row>
        <row r="2998">
          <cell r="A2998">
            <v>0</v>
          </cell>
        </row>
        <row r="2999">
          <cell r="A2999">
            <v>0</v>
          </cell>
        </row>
        <row r="3000">
          <cell r="A3000">
            <v>0</v>
          </cell>
        </row>
        <row r="3001">
          <cell r="A3001">
            <v>0</v>
          </cell>
        </row>
        <row r="3002">
          <cell r="A3002">
            <v>0</v>
          </cell>
        </row>
        <row r="3003">
          <cell r="A3003">
            <v>0</v>
          </cell>
        </row>
        <row r="3004">
          <cell r="A3004">
            <v>0</v>
          </cell>
        </row>
        <row r="3005">
          <cell r="A3005">
            <v>0</v>
          </cell>
        </row>
        <row r="3006">
          <cell r="A3006">
            <v>0</v>
          </cell>
        </row>
        <row r="3007">
          <cell r="A3007">
            <v>0</v>
          </cell>
        </row>
        <row r="3008">
          <cell r="A3008">
            <v>0</v>
          </cell>
        </row>
        <row r="3009">
          <cell r="A3009">
            <v>0</v>
          </cell>
        </row>
        <row r="3010">
          <cell r="A3010">
            <v>0</v>
          </cell>
        </row>
        <row r="3011">
          <cell r="A3011">
            <v>0</v>
          </cell>
        </row>
        <row r="3012">
          <cell r="A3012">
            <v>0</v>
          </cell>
        </row>
        <row r="3013">
          <cell r="A3013">
            <v>0</v>
          </cell>
        </row>
        <row r="3014">
          <cell r="A3014">
            <v>0</v>
          </cell>
        </row>
        <row r="3015">
          <cell r="A3015">
            <v>0</v>
          </cell>
        </row>
        <row r="3016">
          <cell r="A3016">
            <v>0</v>
          </cell>
        </row>
        <row r="3017">
          <cell r="A3017">
            <v>0</v>
          </cell>
        </row>
        <row r="3018">
          <cell r="A3018">
            <v>0</v>
          </cell>
        </row>
        <row r="3019">
          <cell r="A3019">
            <v>0</v>
          </cell>
        </row>
        <row r="3020">
          <cell r="A3020">
            <v>0</v>
          </cell>
        </row>
        <row r="3021">
          <cell r="A3021">
            <v>0</v>
          </cell>
        </row>
        <row r="3022">
          <cell r="A3022">
            <v>0</v>
          </cell>
        </row>
        <row r="3023">
          <cell r="A3023">
            <v>0</v>
          </cell>
        </row>
        <row r="3024">
          <cell r="A3024">
            <v>0</v>
          </cell>
        </row>
        <row r="3025">
          <cell r="A3025">
            <v>0</v>
          </cell>
        </row>
        <row r="3026">
          <cell r="A3026">
            <v>0</v>
          </cell>
        </row>
        <row r="3027">
          <cell r="A3027">
            <v>0</v>
          </cell>
        </row>
        <row r="3028">
          <cell r="A3028">
            <v>0</v>
          </cell>
        </row>
        <row r="3029">
          <cell r="A3029">
            <v>0</v>
          </cell>
        </row>
        <row r="3030">
          <cell r="A3030">
            <v>0</v>
          </cell>
        </row>
        <row r="3031">
          <cell r="A3031">
            <v>0</v>
          </cell>
        </row>
        <row r="3032">
          <cell r="A3032">
            <v>0</v>
          </cell>
        </row>
        <row r="3033">
          <cell r="A3033">
            <v>0</v>
          </cell>
        </row>
        <row r="3034">
          <cell r="A3034">
            <v>0</v>
          </cell>
        </row>
        <row r="3035">
          <cell r="A3035">
            <v>0</v>
          </cell>
        </row>
        <row r="3036">
          <cell r="A3036">
            <v>0</v>
          </cell>
        </row>
        <row r="3037">
          <cell r="A3037">
            <v>0</v>
          </cell>
        </row>
        <row r="3038">
          <cell r="A3038">
            <v>0</v>
          </cell>
        </row>
        <row r="3039">
          <cell r="A3039">
            <v>0</v>
          </cell>
        </row>
        <row r="3040">
          <cell r="A3040">
            <v>0</v>
          </cell>
        </row>
        <row r="3041">
          <cell r="A3041">
            <v>0</v>
          </cell>
        </row>
        <row r="3042">
          <cell r="A3042">
            <v>0</v>
          </cell>
        </row>
        <row r="3043">
          <cell r="A3043">
            <v>0</v>
          </cell>
        </row>
        <row r="3044">
          <cell r="A3044">
            <v>0</v>
          </cell>
        </row>
        <row r="3045">
          <cell r="A3045">
            <v>0</v>
          </cell>
        </row>
        <row r="3046">
          <cell r="A3046">
            <v>0</v>
          </cell>
        </row>
        <row r="3047">
          <cell r="A3047">
            <v>0</v>
          </cell>
        </row>
        <row r="3048">
          <cell r="A3048">
            <v>0</v>
          </cell>
        </row>
        <row r="3049">
          <cell r="A3049">
            <v>0</v>
          </cell>
        </row>
        <row r="3050">
          <cell r="A3050">
            <v>0</v>
          </cell>
        </row>
        <row r="3051">
          <cell r="A3051">
            <v>0</v>
          </cell>
        </row>
        <row r="3052">
          <cell r="A3052">
            <v>0</v>
          </cell>
        </row>
        <row r="3053">
          <cell r="A3053">
            <v>0</v>
          </cell>
        </row>
        <row r="3054">
          <cell r="A3054">
            <v>0</v>
          </cell>
        </row>
        <row r="3055">
          <cell r="A3055">
            <v>0</v>
          </cell>
        </row>
        <row r="3056">
          <cell r="A3056">
            <v>0</v>
          </cell>
        </row>
        <row r="3057">
          <cell r="A3057">
            <v>0</v>
          </cell>
        </row>
        <row r="3058">
          <cell r="A3058">
            <v>0</v>
          </cell>
        </row>
        <row r="3059">
          <cell r="A3059">
            <v>0</v>
          </cell>
        </row>
        <row r="3060">
          <cell r="A3060">
            <v>0</v>
          </cell>
        </row>
        <row r="3061">
          <cell r="A3061">
            <v>0</v>
          </cell>
        </row>
        <row r="3062">
          <cell r="A3062">
            <v>0</v>
          </cell>
        </row>
        <row r="3063">
          <cell r="A3063">
            <v>0</v>
          </cell>
        </row>
        <row r="3064">
          <cell r="A3064">
            <v>0</v>
          </cell>
        </row>
        <row r="3065">
          <cell r="A3065">
            <v>0</v>
          </cell>
        </row>
        <row r="3066">
          <cell r="A3066">
            <v>0</v>
          </cell>
        </row>
        <row r="3067">
          <cell r="A3067">
            <v>0</v>
          </cell>
        </row>
        <row r="3068">
          <cell r="A3068">
            <v>0</v>
          </cell>
        </row>
        <row r="3069">
          <cell r="A3069">
            <v>0</v>
          </cell>
        </row>
        <row r="3070">
          <cell r="A3070">
            <v>0</v>
          </cell>
        </row>
        <row r="3071">
          <cell r="A3071">
            <v>0</v>
          </cell>
        </row>
        <row r="3072">
          <cell r="A3072">
            <v>0</v>
          </cell>
        </row>
        <row r="3073">
          <cell r="A3073">
            <v>0</v>
          </cell>
        </row>
        <row r="3074">
          <cell r="A3074">
            <v>0</v>
          </cell>
        </row>
        <row r="3075">
          <cell r="A3075">
            <v>0</v>
          </cell>
        </row>
        <row r="3076">
          <cell r="A3076">
            <v>0</v>
          </cell>
        </row>
        <row r="3077">
          <cell r="A3077">
            <v>0</v>
          </cell>
        </row>
        <row r="3078">
          <cell r="A3078">
            <v>0</v>
          </cell>
        </row>
        <row r="3079">
          <cell r="A3079">
            <v>0</v>
          </cell>
        </row>
        <row r="3080">
          <cell r="A3080">
            <v>0</v>
          </cell>
        </row>
        <row r="3081">
          <cell r="A3081">
            <v>0</v>
          </cell>
        </row>
        <row r="3082">
          <cell r="A3082">
            <v>0</v>
          </cell>
        </row>
        <row r="3083">
          <cell r="A3083">
            <v>0</v>
          </cell>
        </row>
        <row r="3084">
          <cell r="A3084">
            <v>0</v>
          </cell>
        </row>
        <row r="3085">
          <cell r="A3085">
            <v>0</v>
          </cell>
        </row>
        <row r="3086">
          <cell r="A3086">
            <v>0</v>
          </cell>
        </row>
        <row r="3087">
          <cell r="A3087">
            <v>0</v>
          </cell>
        </row>
        <row r="3088">
          <cell r="A3088">
            <v>0</v>
          </cell>
        </row>
        <row r="3089">
          <cell r="A3089">
            <v>0</v>
          </cell>
        </row>
        <row r="3090">
          <cell r="A3090">
            <v>0</v>
          </cell>
        </row>
        <row r="3091">
          <cell r="A3091">
            <v>0</v>
          </cell>
        </row>
        <row r="3092">
          <cell r="A3092">
            <v>0</v>
          </cell>
        </row>
        <row r="3093">
          <cell r="A3093">
            <v>0</v>
          </cell>
        </row>
        <row r="3094">
          <cell r="A3094">
            <v>0</v>
          </cell>
        </row>
        <row r="3095">
          <cell r="A3095">
            <v>0</v>
          </cell>
        </row>
        <row r="3096">
          <cell r="A3096">
            <v>0</v>
          </cell>
        </row>
        <row r="3097">
          <cell r="A3097">
            <v>0</v>
          </cell>
        </row>
        <row r="3098">
          <cell r="A3098">
            <v>0</v>
          </cell>
        </row>
        <row r="3099">
          <cell r="A3099">
            <v>0</v>
          </cell>
        </row>
        <row r="3100">
          <cell r="A3100">
            <v>0</v>
          </cell>
        </row>
        <row r="3101">
          <cell r="A3101">
            <v>0</v>
          </cell>
        </row>
        <row r="3102">
          <cell r="A3102">
            <v>0</v>
          </cell>
        </row>
        <row r="3103">
          <cell r="A3103">
            <v>0</v>
          </cell>
        </row>
        <row r="3104">
          <cell r="A3104">
            <v>0</v>
          </cell>
        </row>
        <row r="3105">
          <cell r="A3105">
            <v>0</v>
          </cell>
        </row>
        <row r="3106">
          <cell r="A3106">
            <v>0</v>
          </cell>
        </row>
        <row r="3107">
          <cell r="A3107">
            <v>0</v>
          </cell>
        </row>
        <row r="3108">
          <cell r="A3108">
            <v>0</v>
          </cell>
        </row>
        <row r="3109">
          <cell r="A3109">
            <v>0</v>
          </cell>
        </row>
        <row r="3110">
          <cell r="A3110">
            <v>0</v>
          </cell>
        </row>
        <row r="3111">
          <cell r="A3111">
            <v>0</v>
          </cell>
        </row>
        <row r="3112">
          <cell r="A3112">
            <v>0</v>
          </cell>
        </row>
        <row r="3113">
          <cell r="A3113">
            <v>0</v>
          </cell>
        </row>
        <row r="3114">
          <cell r="A3114">
            <v>0</v>
          </cell>
        </row>
        <row r="3115">
          <cell r="A3115">
            <v>0</v>
          </cell>
        </row>
        <row r="3116">
          <cell r="A3116">
            <v>0</v>
          </cell>
        </row>
        <row r="3117">
          <cell r="A3117">
            <v>0</v>
          </cell>
        </row>
        <row r="3118">
          <cell r="A3118">
            <v>0</v>
          </cell>
        </row>
        <row r="3119">
          <cell r="A3119">
            <v>0</v>
          </cell>
        </row>
        <row r="3120">
          <cell r="A3120">
            <v>0</v>
          </cell>
        </row>
        <row r="3121">
          <cell r="A3121">
            <v>0</v>
          </cell>
        </row>
        <row r="3122">
          <cell r="A3122">
            <v>0</v>
          </cell>
        </row>
        <row r="3123">
          <cell r="A3123">
            <v>0</v>
          </cell>
        </row>
        <row r="3124">
          <cell r="A3124">
            <v>0</v>
          </cell>
        </row>
        <row r="3125">
          <cell r="A3125">
            <v>0</v>
          </cell>
        </row>
        <row r="3126">
          <cell r="A3126">
            <v>0</v>
          </cell>
        </row>
        <row r="3127">
          <cell r="A3127">
            <v>0</v>
          </cell>
        </row>
        <row r="3128">
          <cell r="A3128">
            <v>0</v>
          </cell>
        </row>
        <row r="3129">
          <cell r="A3129">
            <v>0</v>
          </cell>
        </row>
        <row r="3130">
          <cell r="A3130">
            <v>0</v>
          </cell>
        </row>
        <row r="3131">
          <cell r="A3131">
            <v>0</v>
          </cell>
        </row>
        <row r="3132">
          <cell r="A3132">
            <v>0</v>
          </cell>
        </row>
        <row r="3133">
          <cell r="A3133">
            <v>0</v>
          </cell>
        </row>
        <row r="3134">
          <cell r="A3134">
            <v>0</v>
          </cell>
        </row>
        <row r="3135">
          <cell r="A3135">
            <v>0</v>
          </cell>
        </row>
        <row r="3136">
          <cell r="A3136">
            <v>0</v>
          </cell>
        </row>
        <row r="3137">
          <cell r="A3137">
            <v>0</v>
          </cell>
        </row>
        <row r="3138">
          <cell r="A3138">
            <v>0</v>
          </cell>
        </row>
        <row r="3139">
          <cell r="A3139">
            <v>0</v>
          </cell>
        </row>
        <row r="3140">
          <cell r="A3140">
            <v>0</v>
          </cell>
        </row>
        <row r="3141">
          <cell r="A3141">
            <v>0</v>
          </cell>
        </row>
        <row r="3142">
          <cell r="A3142">
            <v>0</v>
          </cell>
        </row>
        <row r="3143">
          <cell r="A3143">
            <v>0</v>
          </cell>
        </row>
        <row r="3144">
          <cell r="A3144">
            <v>0</v>
          </cell>
        </row>
        <row r="3145">
          <cell r="A3145">
            <v>0</v>
          </cell>
        </row>
        <row r="3146">
          <cell r="A3146">
            <v>0</v>
          </cell>
        </row>
        <row r="3147">
          <cell r="A3147">
            <v>0</v>
          </cell>
        </row>
        <row r="3148">
          <cell r="A3148">
            <v>0</v>
          </cell>
        </row>
        <row r="3149">
          <cell r="A3149">
            <v>0</v>
          </cell>
        </row>
        <row r="3150">
          <cell r="A3150">
            <v>0</v>
          </cell>
        </row>
        <row r="3151">
          <cell r="A3151">
            <v>0</v>
          </cell>
        </row>
        <row r="3152">
          <cell r="A3152">
            <v>0</v>
          </cell>
        </row>
        <row r="3153">
          <cell r="A3153">
            <v>0</v>
          </cell>
        </row>
        <row r="3154">
          <cell r="A3154">
            <v>0</v>
          </cell>
        </row>
        <row r="3155">
          <cell r="A3155">
            <v>0</v>
          </cell>
        </row>
        <row r="3156">
          <cell r="A3156">
            <v>0</v>
          </cell>
        </row>
        <row r="3157">
          <cell r="A3157">
            <v>0</v>
          </cell>
        </row>
        <row r="3158">
          <cell r="A3158">
            <v>0</v>
          </cell>
        </row>
        <row r="3159">
          <cell r="A3159">
            <v>0</v>
          </cell>
        </row>
        <row r="3160">
          <cell r="A3160">
            <v>0</v>
          </cell>
        </row>
        <row r="3161">
          <cell r="A3161">
            <v>0</v>
          </cell>
        </row>
        <row r="3162">
          <cell r="A3162">
            <v>0</v>
          </cell>
        </row>
        <row r="3163">
          <cell r="A3163">
            <v>0</v>
          </cell>
        </row>
        <row r="3164">
          <cell r="A3164">
            <v>0</v>
          </cell>
        </row>
        <row r="3165">
          <cell r="A3165">
            <v>0</v>
          </cell>
        </row>
        <row r="3166">
          <cell r="A3166">
            <v>0</v>
          </cell>
        </row>
        <row r="3167">
          <cell r="A3167">
            <v>0</v>
          </cell>
        </row>
        <row r="3168">
          <cell r="A3168">
            <v>0</v>
          </cell>
        </row>
        <row r="3169">
          <cell r="A3169">
            <v>0</v>
          </cell>
        </row>
        <row r="3170">
          <cell r="A3170">
            <v>0</v>
          </cell>
        </row>
        <row r="3171">
          <cell r="A3171">
            <v>0</v>
          </cell>
        </row>
        <row r="3172">
          <cell r="A3172">
            <v>0</v>
          </cell>
        </row>
        <row r="3173">
          <cell r="A3173">
            <v>0</v>
          </cell>
        </row>
        <row r="3174">
          <cell r="A3174">
            <v>0</v>
          </cell>
        </row>
        <row r="3175">
          <cell r="A3175">
            <v>0</v>
          </cell>
        </row>
        <row r="3176">
          <cell r="A3176">
            <v>0</v>
          </cell>
        </row>
        <row r="3177">
          <cell r="A3177">
            <v>0</v>
          </cell>
        </row>
        <row r="3178">
          <cell r="A3178">
            <v>0</v>
          </cell>
        </row>
        <row r="3179">
          <cell r="A3179">
            <v>0</v>
          </cell>
        </row>
        <row r="3180">
          <cell r="A3180">
            <v>0</v>
          </cell>
        </row>
        <row r="3181">
          <cell r="A3181">
            <v>0</v>
          </cell>
        </row>
        <row r="3182">
          <cell r="A3182">
            <v>0</v>
          </cell>
        </row>
        <row r="3183">
          <cell r="A3183">
            <v>0</v>
          </cell>
        </row>
        <row r="3184">
          <cell r="A3184">
            <v>0</v>
          </cell>
        </row>
        <row r="3185">
          <cell r="A3185">
            <v>0</v>
          </cell>
        </row>
        <row r="3186">
          <cell r="A3186">
            <v>0</v>
          </cell>
        </row>
        <row r="3187">
          <cell r="A3187">
            <v>0</v>
          </cell>
        </row>
        <row r="3188">
          <cell r="A3188">
            <v>0</v>
          </cell>
        </row>
        <row r="3189">
          <cell r="A3189">
            <v>0</v>
          </cell>
        </row>
        <row r="3190">
          <cell r="A3190">
            <v>0</v>
          </cell>
        </row>
        <row r="3191">
          <cell r="A3191">
            <v>0</v>
          </cell>
        </row>
        <row r="3192">
          <cell r="A3192">
            <v>0</v>
          </cell>
        </row>
        <row r="3193">
          <cell r="A3193">
            <v>0</v>
          </cell>
        </row>
        <row r="3194">
          <cell r="A3194">
            <v>0</v>
          </cell>
        </row>
        <row r="3195">
          <cell r="A3195">
            <v>0</v>
          </cell>
        </row>
        <row r="3196">
          <cell r="A3196">
            <v>0</v>
          </cell>
        </row>
        <row r="3197">
          <cell r="A3197">
            <v>0</v>
          </cell>
        </row>
        <row r="3198">
          <cell r="A3198">
            <v>0</v>
          </cell>
        </row>
        <row r="3199">
          <cell r="A3199">
            <v>0</v>
          </cell>
        </row>
        <row r="3200">
          <cell r="A3200">
            <v>0</v>
          </cell>
        </row>
        <row r="3201">
          <cell r="A3201">
            <v>0</v>
          </cell>
        </row>
        <row r="3202">
          <cell r="A3202">
            <v>0</v>
          </cell>
        </row>
        <row r="3203">
          <cell r="A3203">
            <v>0</v>
          </cell>
        </row>
        <row r="3204">
          <cell r="A3204">
            <v>0</v>
          </cell>
        </row>
        <row r="3205">
          <cell r="A3205">
            <v>0</v>
          </cell>
        </row>
        <row r="3206">
          <cell r="A3206">
            <v>0</v>
          </cell>
        </row>
        <row r="3207">
          <cell r="A3207">
            <v>0</v>
          </cell>
        </row>
        <row r="3208">
          <cell r="A3208">
            <v>0</v>
          </cell>
        </row>
        <row r="3209">
          <cell r="A3209">
            <v>0</v>
          </cell>
        </row>
        <row r="3210">
          <cell r="A3210">
            <v>0</v>
          </cell>
        </row>
        <row r="3211">
          <cell r="A3211">
            <v>0</v>
          </cell>
        </row>
        <row r="3212">
          <cell r="A3212">
            <v>0</v>
          </cell>
        </row>
        <row r="3213">
          <cell r="A3213">
            <v>0</v>
          </cell>
        </row>
        <row r="3214">
          <cell r="A3214">
            <v>0</v>
          </cell>
        </row>
        <row r="3215">
          <cell r="A3215">
            <v>0</v>
          </cell>
        </row>
        <row r="3216">
          <cell r="A3216">
            <v>0</v>
          </cell>
        </row>
        <row r="3217">
          <cell r="A3217">
            <v>0</v>
          </cell>
        </row>
        <row r="3218">
          <cell r="A3218">
            <v>0</v>
          </cell>
        </row>
        <row r="3219">
          <cell r="A3219">
            <v>0</v>
          </cell>
        </row>
        <row r="3220">
          <cell r="A3220">
            <v>0</v>
          </cell>
        </row>
        <row r="3221">
          <cell r="A3221">
            <v>0</v>
          </cell>
        </row>
        <row r="3222">
          <cell r="A3222">
            <v>0</v>
          </cell>
        </row>
        <row r="3223">
          <cell r="A3223">
            <v>0</v>
          </cell>
        </row>
        <row r="3224">
          <cell r="A3224">
            <v>0</v>
          </cell>
        </row>
        <row r="3225">
          <cell r="A3225">
            <v>0</v>
          </cell>
        </row>
        <row r="3226">
          <cell r="A3226">
            <v>0</v>
          </cell>
        </row>
        <row r="3227">
          <cell r="A3227">
            <v>0</v>
          </cell>
        </row>
        <row r="3228">
          <cell r="A3228">
            <v>0</v>
          </cell>
        </row>
        <row r="3229">
          <cell r="A3229">
            <v>0</v>
          </cell>
        </row>
        <row r="3230">
          <cell r="A3230">
            <v>0</v>
          </cell>
        </row>
        <row r="3231">
          <cell r="A3231">
            <v>0</v>
          </cell>
        </row>
        <row r="3232">
          <cell r="A3232">
            <v>0</v>
          </cell>
        </row>
        <row r="3233">
          <cell r="A3233">
            <v>0</v>
          </cell>
        </row>
        <row r="3234">
          <cell r="A3234">
            <v>0</v>
          </cell>
        </row>
        <row r="3235">
          <cell r="A3235">
            <v>0</v>
          </cell>
        </row>
        <row r="3236">
          <cell r="A3236">
            <v>0</v>
          </cell>
        </row>
        <row r="3237">
          <cell r="A3237">
            <v>0</v>
          </cell>
        </row>
        <row r="3238">
          <cell r="A3238">
            <v>0</v>
          </cell>
        </row>
        <row r="3239">
          <cell r="A3239">
            <v>0</v>
          </cell>
        </row>
        <row r="3240">
          <cell r="A3240">
            <v>0</v>
          </cell>
        </row>
        <row r="3241">
          <cell r="A3241">
            <v>0</v>
          </cell>
        </row>
        <row r="3242">
          <cell r="A3242">
            <v>0</v>
          </cell>
        </row>
        <row r="3243">
          <cell r="A3243">
            <v>0</v>
          </cell>
        </row>
        <row r="3244">
          <cell r="A3244">
            <v>0</v>
          </cell>
        </row>
        <row r="3245">
          <cell r="A3245">
            <v>0</v>
          </cell>
        </row>
        <row r="3246">
          <cell r="A3246">
            <v>0</v>
          </cell>
        </row>
        <row r="3247">
          <cell r="A3247">
            <v>0</v>
          </cell>
        </row>
        <row r="3248">
          <cell r="A3248">
            <v>0</v>
          </cell>
        </row>
        <row r="3249">
          <cell r="A3249">
            <v>0</v>
          </cell>
        </row>
        <row r="3250">
          <cell r="A3250">
            <v>0</v>
          </cell>
        </row>
        <row r="3251">
          <cell r="A3251">
            <v>0</v>
          </cell>
        </row>
        <row r="3252">
          <cell r="A3252">
            <v>0</v>
          </cell>
        </row>
        <row r="3253">
          <cell r="A3253">
            <v>0</v>
          </cell>
        </row>
        <row r="3254">
          <cell r="A3254">
            <v>0</v>
          </cell>
        </row>
        <row r="3255">
          <cell r="A3255">
            <v>0</v>
          </cell>
        </row>
        <row r="3256">
          <cell r="A3256">
            <v>0</v>
          </cell>
        </row>
        <row r="3257">
          <cell r="A3257">
            <v>0</v>
          </cell>
        </row>
        <row r="3258">
          <cell r="A3258">
            <v>0</v>
          </cell>
        </row>
        <row r="3259">
          <cell r="A3259">
            <v>0</v>
          </cell>
        </row>
        <row r="3260">
          <cell r="A3260">
            <v>0</v>
          </cell>
        </row>
        <row r="3261">
          <cell r="A3261">
            <v>0</v>
          </cell>
        </row>
        <row r="3262">
          <cell r="A3262">
            <v>0</v>
          </cell>
        </row>
        <row r="3263">
          <cell r="A3263">
            <v>0</v>
          </cell>
        </row>
        <row r="3264">
          <cell r="A3264">
            <v>0</v>
          </cell>
        </row>
        <row r="3265">
          <cell r="A3265">
            <v>0</v>
          </cell>
        </row>
        <row r="3266">
          <cell r="A3266">
            <v>0</v>
          </cell>
        </row>
        <row r="3267">
          <cell r="A3267">
            <v>0</v>
          </cell>
        </row>
        <row r="3268">
          <cell r="A3268">
            <v>0</v>
          </cell>
        </row>
        <row r="3269">
          <cell r="A3269">
            <v>0</v>
          </cell>
        </row>
        <row r="3270">
          <cell r="A3270">
            <v>0</v>
          </cell>
        </row>
        <row r="3271">
          <cell r="A3271">
            <v>0</v>
          </cell>
        </row>
        <row r="3272">
          <cell r="A3272">
            <v>0</v>
          </cell>
        </row>
        <row r="3273">
          <cell r="A3273">
            <v>0</v>
          </cell>
        </row>
        <row r="3274">
          <cell r="A3274">
            <v>0</v>
          </cell>
        </row>
        <row r="3275">
          <cell r="A3275">
            <v>0</v>
          </cell>
        </row>
        <row r="3276">
          <cell r="A3276">
            <v>0</v>
          </cell>
        </row>
        <row r="3277">
          <cell r="A3277">
            <v>0</v>
          </cell>
        </row>
        <row r="3278">
          <cell r="A3278">
            <v>0</v>
          </cell>
        </row>
        <row r="3279">
          <cell r="A3279">
            <v>0</v>
          </cell>
        </row>
        <row r="3280">
          <cell r="A3280">
            <v>0</v>
          </cell>
        </row>
        <row r="3281">
          <cell r="A3281">
            <v>0</v>
          </cell>
        </row>
        <row r="3282">
          <cell r="A3282">
            <v>0</v>
          </cell>
        </row>
        <row r="3283">
          <cell r="A3283">
            <v>0</v>
          </cell>
        </row>
        <row r="3284">
          <cell r="A3284">
            <v>0</v>
          </cell>
        </row>
        <row r="3285">
          <cell r="A3285">
            <v>0</v>
          </cell>
        </row>
        <row r="3286">
          <cell r="A3286">
            <v>0</v>
          </cell>
        </row>
        <row r="3287">
          <cell r="A3287">
            <v>0</v>
          </cell>
        </row>
        <row r="3288">
          <cell r="A3288">
            <v>0</v>
          </cell>
        </row>
        <row r="3289">
          <cell r="A3289">
            <v>0</v>
          </cell>
        </row>
        <row r="3290">
          <cell r="A3290">
            <v>0</v>
          </cell>
        </row>
        <row r="3291">
          <cell r="A3291">
            <v>0</v>
          </cell>
        </row>
        <row r="3292">
          <cell r="A3292">
            <v>0</v>
          </cell>
        </row>
        <row r="3293">
          <cell r="A3293">
            <v>0</v>
          </cell>
        </row>
        <row r="3294">
          <cell r="A3294">
            <v>0</v>
          </cell>
        </row>
        <row r="3295">
          <cell r="A3295">
            <v>0</v>
          </cell>
        </row>
        <row r="3296">
          <cell r="A3296">
            <v>0</v>
          </cell>
        </row>
        <row r="3297">
          <cell r="A3297">
            <v>0</v>
          </cell>
        </row>
        <row r="3298">
          <cell r="A3298">
            <v>0</v>
          </cell>
        </row>
        <row r="3299">
          <cell r="A3299">
            <v>0</v>
          </cell>
        </row>
        <row r="3300">
          <cell r="A3300">
            <v>0</v>
          </cell>
        </row>
        <row r="3301">
          <cell r="A3301">
            <v>0</v>
          </cell>
        </row>
        <row r="3302">
          <cell r="A3302">
            <v>0</v>
          </cell>
        </row>
        <row r="3303">
          <cell r="A3303">
            <v>0</v>
          </cell>
        </row>
        <row r="3304">
          <cell r="A3304">
            <v>0</v>
          </cell>
        </row>
        <row r="3305">
          <cell r="A3305">
            <v>0</v>
          </cell>
        </row>
        <row r="3306">
          <cell r="A3306">
            <v>0</v>
          </cell>
        </row>
        <row r="3307">
          <cell r="A3307">
            <v>0</v>
          </cell>
        </row>
        <row r="3308">
          <cell r="A3308">
            <v>0</v>
          </cell>
        </row>
        <row r="3309">
          <cell r="A3309">
            <v>0</v>
          </cell>
        </row>
        <row r="3310">
          <cell r="A3310">
            <v>0</v>
          </cell>
        </row>
        <row r="3311">
          <cell r="A3311">
            <v>0</v>
          </cell>
        </row>
        <row r="3312">
          <cell r="A3312">
            <v>0</v>
          </cell>
        </row>
        <row r="3313">
          <cell r="A3313">
            <v>0</v>
          </cell>
        </row>
        <row r="3314">
          <cell r="A3314">
            <v>0</v>
          </cell>
        </row>
        <row r="3315">
          <cell r="A3315">
            <v>0</v>
          </cell>
        </row>
        <row r="3316">
          <cell r="A3316">
            <v>0</v>
          </cell>
        </row>
        <row r="3317">
          <cell r="A3317">
            <v>0</v>
          </cell>
        </row>
        <row r="3318">
          <cell r="A3318">
            <v>0</v>
          </cell>
        </row>
        <row r="3319">
          <cell r="A3319">
            <v>0</v>
          </cell>
        </row>
        <row r="3320">
          <cell r="A3320">
            <v>0</v>
          </cell>
        </row>
        <row r="3321">
          <cell r="A3321">
            <v>0</v>
          </cell>
        </row>
        <row r="3322">
          <cell r="A3322">
            <v>0</v>
          </cell>
        </row>
        <row r="3323">
          <cell r="A3323">
            <v>0</v>
          </cell>
        </row>
        <row r="3324">
          <cell r="A3324">
            <v>0</v>
          </cell>
        </row>
        <row r="3325">
          <cell r="A3325">
            <v>0</v>
          </cell>
        </row>
        <row r="3326">
          <cell r="A3326">
            <v>0</v>
          </cell>
        </row>
        <row r="3327">
          <cell r="A3327">
            <v>0</v>
          </cell>
        </row>
        <row r="3328">
          <cell r="A3328">
            <v>0</v>
          </cell>
        </row>
        <row r="3329">
          <cell r="A3329">
            <v>0</v>
          </cell>
        </row>
        <row r="3330">
          <cell r="A3330">
            <v>0</v>
          </cell>
        </row>
        <row r="3331">
          <cell r="A3331">
            <v>0</v>
          </cell>
        </row>
        <row r="3332">
          <cell r="A3332">
            <v>0</v>
          </cell>
        </row>
        <row r="3333">
          <cell r="A3333">
            <v>0</v>
          </cell>
        </row>
        <row r="3334">
          <cell r="A3334">
            <v>0</v>
          </cell>
        </row>
        <row r="3335">
          <cell r="A3335">
            <v>0</v>
          </cell>
        </row>
        <row r="3336">
          <cell r="A3336">
            <v>0</v>
          </cell>
        </row>
        <row r="3337">
          <cell r="A3337">
            <v>0</v>
          </cell>
        </row>
        <row r="3338">
          <cell r="A3338">
            <v>0</v>
          </cell>
        </row>
        <row r="3339">
          <cell r="A3339">
            <v>0</v>
          </cell>
        </row>
        <row r="3340">
          <cell r="A3340">
            <v>0</v>
          </cell>
        </row>
        <row r="3341">
          <cell r="A3341">
            <v>0</v>
          </cell>
        </row>
        <row r="3342">
          <cell r="A3342">
            <v>0</v>
          </cell>
        </row>
        <row r="3343">
          <cell r="A3343">
            <v>0</v>
          </cell>
        </row>
        <row r="3344">
          <cell r="A3344">
            <v>0</v>
          </cell>
        </row>
        <row r="3345">
          <cell r="A3345">
            <v>0</v>
          </cell>
        </row>
        <row r="3346">
          <cell r="A3346">
            <v>0</v>
          </cell>
        </row>
        <row r="3347">
          <cell r="A3347">
            <v>0</v>
          </cell>
        </row>
        <row r="3348">
          <cell r="A3348">
            <v>0</v>
          </cell>
        </row>
        <row r="3349">
          <cell r="A3349">
            <v>0</v>
          </cell>
        </row>
        <row r="3350">
          <cell r="A3350">
            <v>0</v>
          </cell>
        </row>
        <row r="3351">
          <cell r="A3351">
            <v>0</v>
          </cell>
        </row>
        <row r="3352">
          <cell r="A3352">
            <v>0</v>
          </cell>
        </row>
        <row r="3353">
          <cell r="A3353">
            <v>0</v>
          </cell>
        </row>
        <row r="3354">
          <cell r="A3354">
            <v>0</v>
          </cell>
        </row>
        <row r="3355">
          <cell r="A3355">
            <v>0</v>
          </cell>
        </row>
        <row r="3356">
          <cell r="A3356">
            <v>0</v>
          </cell>
        </row>
        <row r="3357">
          <cell r="A3357">
            <v>0</v>
          </cell>
        </row>
        <row r="3358">
          <cell r="A3358">
            <v>0</v>
          </cell>
        </row>
        <row r="3359">
          <cell r="A3359">
            <v>0</v>
          </cell>
        </row>
        <row r="3360">
          <cell r="A3360">
            <v>0</v>
          </cell>
        </row>
        <row r="3361">
          <cell r="A3361">
            <v>0</v>
          </cell>
        </row>
        <row r="3362">
          <cell r="A3362">
            <v>0</v>
          </cell>
        </row>
        <row r="3363">
          <cell r="A3363">
            <v>0</v>
          </cell>
        </row>
        <row r="3364">
          <cell r="A3364">
            <v>0</v>
          </cell>
        </row>
        <row r="3365">
          <cell r="A3365">
            <v>0</v>
          </cell>
        </row>
        <row r="3366">
          <cell r="A3366">
            <v>0</v>
          </cell>
        </row>
        <row r="3367">
          <cell r="A3367">
            <v>0</v>
          </cell>
        </row>
        <row r="3368">
          <cell r="A3368">
            <v>0</v>
          </cell>
        </row>
        <row r="3369">
          <cell r="A3369">
            <v>0</v>
          </cell>
        </row>
        <row r="3370">
          <cell r="A3370">
            <v>0</v>
          </cell>
        </row>
        <row r="3371">
          <cell r="A3371">
            <v>0</v>
          </cell>
        </row>
        <row r="3372">
          <cell r="A3372">
            <v>0</v>
          </cell>
        </row>
        <row r="3373">
          <cell r="A3373">
            <v>0</v>
          </cell>
        </row>
        <row r="3374">
          <cell r="A3374">
            <v>0</v>
          </cell>
        </row>
        <row r="3375">
          <cell r="A3375">
            <v>0</v>
          </cell>
        </row>
        <row r="3376">
          <cell r="A3376">
            <v>0</v>
          </cell>
        </row>
        <row r="3377">
          <cell r="A3377">
            <v>0</v>
          </cell>
        </row>
        <row r="3378">
          <cell r="A3378">
            <v>0</v>
          </cell>
        </row>
        <row r="3379">
          <cell r="A3379">
            <v>0</v>
          </cell>
        </row>
        <row r="3380">
          <cell r="A3380">
            <v>0</v>
          </cell>
        </row>
        <row r="3381">
          <cell r="A3381">
            <v>0</v>
          </cell>
        </row>
        <row r="3382">
          <cell r="A3382">
            <v>0</v>
          </cell>
        </row>
        <row r="3383">
          <cell r="A3383">
            <v>0</v>
          </cell>
        </row>
        <row r="3384">
          <cell r="A3384">
            <v>0</v>
          </cell>
        </row>
        <row r="3385">
          <cell r="A3385">
            <v>0</v>
          </cell>
        </row>
        <row r="3386">
          <cell r="A3386">
            <v>0</v>
          </cell>
        </row>
        <row r="3387">
          <cell r="A3387">
            <v>0</v>
          </cell>
        </row>
        <row r="3388">
          <cell r="A3388">
            <v>0</v>
          </cell>
        </row>
        <row r="3389">
          <cell r="A3389">
            <v>0</v>
          </cell>
        </row>
        <row r="3390">
          <cell r="A3390">
            <v>0</v>
          </cell>
        </row>
        <row r="3391">
          <cell r="A3391">
            <v>0</v>
          </cell>
        </row>
        <row r="3392">
          <cell r="A3392">
            <v>0</v>
          </cell>
        </row>
        <row r="3393">
          <cell r="A3393">
            <v>0</v>
          </cell>
        </row>
        <row r="3394">
          <cell r="A3394">
            <v>0</v>
          </cell>
        </row>
        <row r="3395">
          <cell r="A3395">
            <v>0</v>
          </cell>
        </row>
        <row r="3396">
          <cell r="A3396">
            <v>0</v>
          </cell>
        </row>
        <row r="3397">
          <cell r="A3397">
            <v>0</v>
          </cell>
        </row>
        <row r="3398">
          <cell r="A3398">
            <v>0</v>
          </cell>
        </row>
        <row r="3399">
          <cell r="A3399">
            <v>0</v>
          </cell>
        </row>
        <row r="3400">
          <cell r="A3400">
            <v>0</v>
          </cell>
        </row>
        <row r="3401">
          <cell r="A3401">
            <v>0</v>
          </cell>
        </row>
        <row r="3402">
          <cell r="A3402">
            <v>0</v>
          </cell>
        </row>
        <row r="3403">
          <cell r="A3403">
            <v>0</v>
          </cell>
        </row>
        <row r="3404">
          <cell r="A3404">
            <v>0</v>
          </cell>
        </row>
        <row r="3405">
          <cell r="A3405">
            <v>0</v>
          </cell>
        </row>
        <row r="3406">
          <cell r="A3406">
            <v>0</v>
          </cell>
        </row>
        <row r="3407">
          <cell r="A3407">
            <v>0</v>
          </cell>
        </row>
        <row r="3408">
          <cell r="A3408">
            <v>0</v>
          </cell>
        </row>
        <row r="3409">
          <cell r="A3409">
            <v>0</v>
          </cell>
        </row>
        <row r="3410">
          <cell r="A3410">
            <v>0</v>
          </cell>
        </row>
        <row r="3411">
          <cell r="A3411">
            <v>0</v>
          </cell>
        </row>
        <row r="3412">
          <cell r="A3412">
            <v>0</v>
          </cell>
        </row>
        <row r="3413">
          <cell r="A3413">
            <v>0</v>
          </cell>
        </row>
        <row r="3414">
          <cell r="A3414">
            <v>0</v>
          </cell>
        </row>
        <row r="3415">
          <cell r="A3415">
            <v>0</v>
          </cell>
        </row>
        <row r="3416">
          <cell r="A3416">
            <v>0</v>
          </cell>
        </row>
        <row r="3417">
          <cell r="A3417">
            <v>0</v>
          </cell>
        </row>
        <row r="3418">
          <cell r="A3418">
            <v>0</v>
          </cell>
        </row>
        <row r="3419">
          <cell r="A3419">
            <v>0</v>
          </cell>
        </row>
        <row r="3420">
          <cell r="A3420">
            <v>0</v>
          </cell>
        </row>
        <row r="3421">
          <cell r="A3421">
            <v>0</v>
          </cell>
        </row>
        <row r="3422">
          <cell r="A3422">
            <v>0</v>
          </cell>
        </row>
        <row r="3423">
          <cell r="A3423">
            <v>0</v>
          </cell>
        </row>
        <row r="3424">
          <cell r="A3424">
            <v>0</v>
          </cell>
        </row>
        <row r="3425">
          <cell r="A3425">
            <v>0</v>
          </cell>
        </row>
        <row r="3426">
          <cell r="A3426">
            <v>0</v>
          </cell>
        </row>
        <row r="3427">
          <cell r="A3427">
            <v>0</v>
          </cell>
        </row>
        <row r="3428">
          <cell r="A3428">
            <v>0</v>
          </cell>
        </row>
        <row r="3429">
          <cell r="A3429">
            <v>0</v>
          </cell>
        </row>
        <row r="3430">
          <cell r="A3430">
            <v>0</v>
          </cell>
        </row>
        <row r="3431">
          <cell r="A3431">
            <v>0</v>
          </cell>
        </row>
        <row r="3432">
          <cell r="A3432">
            <v>0</v>
          </cell>
        </row>
        <row r="3433">
          <cell r="A3433">
            <v>0</v>
          </cell>
        </row>
        <row r="3434">
          <cell r="A3434">
            <v>0</v>
          </cell>
        </row>
        <row r="3435">
          <cell r="A3435">
            <v>0</v>
          </cell>
        </row>
        <row r="3436">
          <cell r="A3436">
            <v>0</v>
          </cell>
        </row>
        <row r="3437">
          <cell r="A3437">
            <v>0</v>
          </cell>
        </row>
        <row r="3438">
          <cell r="A3438">
            <v>0</v>
          </cell>
        </row>
        <row r="3439">
          <cell r="A3439">
            <v>0</v>
          </cell>
        </row>
        <row r="3440">
          <cell r="A3440">
            <v>0</v>
          </cell>
        </row>
        <row r="3441">
          <cell r="A3441">
            <v>0</v>
          </cell>
        </row>
        <row r="3442">
          <cell r="A3442">
            <v>0</v>
          </cell>
        </row>
        <row r="3443">
          <cell r="A3443">
            <v>0</v>
          </cell>
        </row>
        <row r="3444">
          <cell r="A3444">
            <v>0</v>
          </cell>
        </row>
        <row r="3445">
          <cell r="A3445">
            <v>0</v>
          </cell>
        </row>
        <row r="3446">
          <cell r="A3446">
            <v>0</v>
          </cell>
        </row>
        <row r="3447">
          <cell r="A3447">
            <v>0</v>
          </cell>
        </row>
        <row r="3448">
          <cell r="A3448">
            <v>0</v>
          </cell>
        </row>
        <row r="3449">
          <cell r="A3449">
            <v>0</v>
          </cell>
        </row>
        <row r="3450">
          <cell r="A3450">
            <v>0</v>
          </cell>
        </row>
        <row r="3451">
          <cell r="A3451">
            <v>0</v>
          </cell>
        </row>
        <row r="3452">
          <cell r="A3452">
            <v>0</v>
          </cell>
        </row>
        <row r="3453">
          <cell r="A3453">
            <v>0</v>
          </cell>
        </row>
        <row r="3454">
          <cell r="A3454">
            <v>0</v>
          </cell>
        </row>
        <row r="3455">
          <cell r="A3455">
            <v>0</v>
          </cell>
        </row>
        <row r="3456">
          <cell r="A3456">
            <v>0</v>
          </cell>
        </row>
        <row r="3457">
          <cell r="A3457">
            <v>0</v>
          </cell>
        </row>
        <row r="3458">
          <cell r="A3458">
            <v>0</v>
          </cell>
        </row>
        <row r="3459">
          <cell r="A3459">
            <v>0</v>
          </cell>
        </row>
        <row r="3460">
          <cell r="A3460">
            <v>0</v>
          </cell>
        </row>
        <row r="3461">
          <cell r="A3461">
            <v>0</v>
          </cell>
        </row>
        <row r="3462">
          <cell r="A3462">
            <v>0</v>
          </cell>
        </row>
        <row r="3463">
          <cell r="A3463">
            <v>0</v>
          </cell>
        </row>
        <row r="3464">
          <cell r="A3464">
            <v>0</v>
          </cell>
        </row>
        <row r="3465">
          <cell r="A3465">
            <v>0</v>
          </cell>
        </row>
        <row r="3466">
          <cell r="A3466">
            <v>0</v>
          </cell>
        </row>
        <row r="3467">
          <cell r="A3467">
            <v>0</v>
          </cell>
        </row>
        <row r="3468">
          <cell r="A3468">
            <v>0</v>
          </cell>
        </row>
        <row r="3469">
          <cell r="A3469">
            <v>0</v>
          </cell>
        </row>
        <row r="3470">
          <cell r="A3470">
            <v>0</v>
          </cell>
        </row>
        <row r="3471">
          <cell r="A3471">
            <v>0</v>
          </cell>
        </row>
        <row r="3472">
          <cell r="A3472">
            <v>0</v>
          </cell>
        </row>
        <row r="3473">
          <cell r="A3473">
            <v>0</v>
          </cell>
        </row>
        <row r="3474">
          <cell r="A3474">
            <v>0</v>
          </cell>
        </row>
        <row r="3475">
          <cell r="A3475">
            <v>0</v>
          </cell>
        </row>
        <row r="3476">
          <cell r="A3476">
            <v>0</v>
          </cell>
        </row>
        <row r="3477">
          <cell r="A3477">
            <v>0</v>
          </cell>
        </row>
        <row r="3478">
          <cell r="A3478">
            <v>0</v>
          </cell>
        </row>
        <row r="3479">
          <cell r="A3479">
            <v>0</v>
          </cell>
        </row>
        <row r="3480">
          <cell r="A3480">
            <v>0</v>
          </cell>
        </row>
        <row r="3481">
          <cell r="A3481">
            <v>0</v>
          </cell>
        </row>
        <row r="3482">
          <cell r="A3482">
            <v>0</v>
          </cell>
        </row>
        <row r="3483">
          <cell r="A3483">
            <v>0</v>
          </cell>
        </row>
        <row r="3484">
          <cell r="A3484">
            <v>0</v>
          </cell>
        </row>
        <row r="3485">
          <cell r="A3485">
            <v>0</v>
          </cell>
        </row>
        <row r="3486">
          <cell r="A3486">
            <v>0</v>
          </cell>
        </row>
        <row r="3487">
          <cell r="A3487">
            <v>0</v>
          </cell>
        </row>
        <row r="3488">
          <cell r="A3488">
            <v>0</v>
          </cell>
        </row>
        <row r="3489">
          <cell r="A3489">
            <v>0</v>
          </cell>
        </row>
        <row r="3490">
          <cell r="A3490">
            <v>0</v>
          </cell>
        </row>
        <row r="3491">
          <cell r="A3491">
            <v>0</v>
          </cell>
        </row>
        <row r="3492">
          <cell r="A3492">
            <v>0</v>
          </cell>
        </row>
        <row r="3493">
          <cell r="A3493">
            <v>0</v>
          </cell>
        </row>
        <row r="3494">
          <cell r="A3494">
            <v>0</v>
          </cell>
        </row>
        <row r="3495">
          <cell r="A3495">
            <v>0</v>
          </cell>
        </row>
        <row r="3496">
          <cell r="A3496">
            <v>0</v>
          </cell>
        </row>
        <row r="3497">
          <cell r="A3497">
            <v>0</v>
          </cell>
        </row>
        <row r="3498">
          <cell r="A3498">
            <v>0</v>
          </cell>
        </row>
        <row r="3499">
          <cell r="A3499">
            <v>0</v>
          </cell>
        </row>
        <row r="3500">
          <cell r="A3500">
            <v>0</v>
          </cell>
        </row>
        <row r="3501">
          <cell r="A3501">
            <v>0</v>
          </cell>
        </row>
        <row r="3502">
          <cell r="A3502">
            <v>0</v>
          </cell>
        </row>
        <row r="3503">
          <cell r="A3503">
            <v>0</v>
          </cell>
        </row>
        <row r="3504">
          <cell r="A3504">
            <v>0</v>
          </cell>
        </row>
        <row r="3505">
          <cell r="A3505">
            <v>0</v>
          </cell>
        </row>
        <row r="3506">
          <cell r="A3506">
            <v>0</v>
          </cell>
        </row>
        <row r="3507">
          <cell r="A3507">
            <v>0</v>
          </cell>
        </row>
        <row r="3508">
          <cell r="A3508">
            <v>0</v>
          </cell>
        </row>
        <row r="3509">
          <cell r="A3509">
            <v>0</v>
          </cell>
        </row>
        <row r="3510">
          <cell r="A3510">
            <v>0</v>
          </cell>
        </row>
        <row r="3511">
          <cell r="A3511">
            <v>0</v>
          </cell>
        </row>
        <row r="3512">
          <cell r="A3512">
            <v>0</v>
          </cell>
        </row>
        <row r="3513">
          <cell r="A3513">
            <v>0</v>
          </cell>
        </row>
        <row r="3514">
          <cell r="A3514">
            <v>0</v>
          </cell>
        </row>
        <row r="3515">
          <cell r="A3515">
            <v>0</v>
          </cell>
        </row>
        <row r="3516">
          <cell r="A3516">
            <v>0</v>
          </cell>
        </row>
        <row r="3517">
          <cell r="A3517">
            <v>0</v>
          </cell>
        </row>
        <row r="3518">
          <cell r="A3518">
            <v>0</v>
          </cell>
        </row>
        <row r="3519">
          <cell r="A3519">
            <v>0</v>
          </cell>
        </row>
        <row r="3520">
          <cell r="A3520">
            <v>0</v>
          </cell>
        </row>
        <row r="3521">
          <cell r="A3521">
            <v>0</v>
          </cell>
        </row>
        <row r="3522">
          <cell r="A3522">
            <v>0</v>
          </cell>
        </row>
        <row r="3523">
          <cell r="A3523">
            <v>0</v>
          </cell>
        </row>
        <row r="3524">
          <cell r="A3524">
            <v>0</v>
          </cell>
        </row>
        <row r="3525">
          <cell r="A3525">
            <v>0</v>
          </cell>
        </row>
        <row r="3526">
          <cell r="A3526">
            <v>0</v>
          </cell>
        </row>
        <row r="3527">
          <cell r="A3527">
            <v>0</v>
          </cell>
        </row>
        <row r="3528">
          <cell r="A3528">
            <v>0</v>
          </cell>
        </row>
        <row r="3529">
          <cell r="A3529">
            <v>0</v>
          </cell>
        </row>
        <row r="3530">
          <cell r="A3530">
            <v>0</v>
          </cell>
        </row>
        <row r="3531">
          <cell r="A3531">
            <v>0</v>
          </cell>
        </row>
        <row r="3532">
          <cell r="A3532">
            <v>0</v>
          </cell>
        </row>
        <row r="3533">
          <cell r="A3533">
            <v>0</v>
          </cell>
        </row>
        <row r="3534">
          <cell r="A3534">
            <v>0</v>
          </cell>
        </row>
        <row r="3535">
          <cell r="A3535">
            <v>0</v>
          </cell>
        </row>
        <row r="3536">
          <cell r="A3536">
            <v>0</v>
          </cell>
        </row>
        <row r="3537">
          <cell r="A3537">
            <v>0</v>
          </cell>
        </row>
        <row r="3538">
          <cell r="A3538">
            <v>0</v>
          </cell>
        </row>
        <row r="3539">
          <cell r="A3539">
            <v>0</v>
          </cell>
        </row>
        <row r="3540">
          <cell r="A3540">
            <v>0</v>
          </cell>
        </row>
        <row r="3541">
          <cell r="A3541">
            <v>0</v>
          </cell>
        </row>
        <row r="3542">
          <cell r="A3542">
            <v>0</v>
          </cell>
        </row>
        <row r="3543">
          <cell r="A3543">
            <v>0</v>
          </cell>
        </row>
        <row r="3544">
          <cell r="A3544">
            <v>0</v>
          </cell>
        </row>
        <row r="3545">
          <cell r="A3545">
            <v>0</v>
          </cell>
        </row>
        <row r="3546">
          <cell r="A3546">
            <v>0</v>
          </cell>
        </row>
        <row r="3547">
          <cell r="A3547">
            <v>0</v>
          </cell>
        </row>
        <row r="3548">
          <cell r="A3548">
            <v>0</v>
          </cell>
        </row>
        <row r="3549">
          <cell r="A3549">
            <v>0</v>
          </cell>
        </row>
        <row r="3550">
          <cell r="A3550">
            <v>0</v>
          </cell>
        </row>
        <row r="3551">
          <cell r="A3551">
            <v>0</v>
          </cell>
        </row>
        <row r="3552">
          <cell r="A3552">
            <v>0</v>
          </cell>
        </row>
        <row r="3553">
          <cell r="A3553">
            <v>0</v>
          </cell>
        </row>
        <row r="3554">
          <cell r="A3554">
            <v>0</v>
          </cell>
        </row>
        <row r="3555">
          <cell r="A3555">
            <v>0</v>
          </cell>
        </row>
        <row r="3556">
          <cell r="A3556">
            <v>0</v>
          </cell>
        </row>
        <row r="3557">
          <cell r="A3557">
            <v>0</v>
          </cell>
        </row>
        <row r="3558">
          <cell r="A3558">
            <v>0</v>
          </cell>
        </row>
        <row r="3559">
          <cell r="A3559">
            <v>0</v>
          </cell>
        </row>
        <row r="3560">
          <cell r="A3560">
            <v>0</v>
          </cell>
        </row>
        <row r="3561">
          <cell r="A3561">
            <v>0</v>
          </cell>
        </row>
        <row r="3562">
          <cell r="A3562">
            <v>0</v>
          </cell>
        </row>
        <row r="3563">
          <cell r="A3563">
            <v>0</v>
          </cell>
        </row>
        <row r="3564">
          <cell r="A3564">
            <v>0</v>
          </cell>
        </row>
        <row r="3565">
          <cell r="A3565">
            <v>0</v>
          </cell>
        </row>
        <row r="3566">
          <cell r="A3566">
            <v>0</v>
          </cell>
        </row>
        <row r="3567">
          <cell r="A3567">
            <v>0</v>
          </cell>
        </row>
        <row r="3568">
          <cell r="A3568">
            <v>0</v>
          </cell>
        </row>
        <row r="3569">
          <cell r="A3569">
            <v>0</v>
          </cell>
        </row>
        <row r="3570">
          <cell r="A3570">
            <v>0</v>
          </cell>
        </row>
        <row r="3571">
          <cell r="A3571">
            <v>0</v>
          </cell>
        </row>
        <row r="3572">
          <cell r="A3572">
            <v>0</v>
          </cell>
        </row>
        <row r="3573">
          <cell r="A3573">
            <v>0</v>
          </cell>
        </row>
        <row r="3574">
          <cell r="A3574">
            <v>0</v>
          </cell>
        </row>
        <row r="3575">
          <cell r="A3575">
            <v>0</v>
          </cell>
        </row>
        <row r="3576">
          <cell r="A3576">
            <v>0</v>
          </cell>
        </row>
        <row r="3577">
          <cell r="A3577">
            <v>0</v>
          </cell>
        </row>
        <row r="3578">
          <cell r="A3578">
            <v>0</v>
          </cell>
        </row>
        <row r="3579">
          <cell r="A3579">
            <v>0</v>
          </cell>
        </row>
        <row r="3580">
          <cell r="A3580">
            <v>0</v>
          </cell>
        </row>
        <row r="3581">
          <cell r="A3581">
            <v>0</v>
          </cell>
        </row>
        <row r="3582">
          <cell r="A3582">
            <v>0</v>
          </cell>
        </row>
        <row r="3583">
          <cell r="A3583">
            <v>0</v>
          </cell>
        </row>
        <row r="3584">
          <cell r="A3584">
            <v>0</v>
          </cell>
        </row>
        <row r="3585">
          <cell r="A3585">
            <v>0</v>
          </cell>
        </row>
        <row r="3586">
          <cell r="A3586">
            <v>0</v>
          </cell>
        </row>
        <row r="3587">
          <cell r="A3587">
            <v>0</v>
          </cell>
        </row>
        <row r="3588">
          <cell r="A3588">
            <v>0</v>
          </cell>
        </row>
        <row r="3589">
          <cell r="A3589">
            <v>0</v>
          </cell>
        </row>
        <row r="3590">
          <cell r="A3590">
            <v>0</v>
          </cell>
        </row>
        <row r="3591">
          <cell r="A3591">
            <v>0</v>
          </cell>
        </row>
        <row r="3592">
          <cell r="A3592">
            <v>0</v>
          </cell>
        </row>
        <row r="3593">
          <cell r="A3593">
            <v>0</v>
          </cell>
        </row>
        <row r="3594">
          <cell r="A3594">
            <v>0</v>
          </cell>
        </row>
        <row r="3595">
          <cell r="A3595">
            <v>0</v>
          </cell>
        </row>
        <row r="3596">
          <cell r="A3596">
            <v>0</v>
          </cell>
        </row>
        <row r="3597">
          <cell r="A3597">
            <v>0</v>
          </cell>
        </row>
        <row r="3598">
          <cell r="A3598">
            <v>0</v>
          </cell>
        </row>
        <row r="3599">
          <cell r="A3599">
            <v>0</v>
          </cell>
        </row>
        <row r="3600">
          <cell r="A3600">
            <v>0</v>
          </cell>
        </row>
        <row r="3601">
          <cell r="A3601">
            <v>0</v>
          </cell>
        </row>
        <row r="3602">
          <cell r="A3602">
            <v>0</v>
          </cell>
        </row>
        <row r="3603">
          <cell r="A3603">
            <v>0</v>
          </cell>
        </row>
        <row r="3604">
          <cell r="A3604">
            <v>0</v>
          </cell>
        </row>
        <row r="3605">
          <cell r="A3605">
            <v>0</v>
          </cell>
        </row>
        <row r="3606">
          <cell r="A3606">
            <v>0</v>
          </cell>
        </row>
        <row r="3607">
          <cell r="A3607">
            <v>0</v>
          </cell>
        </row>
        <row r="3608">
          <cell r="A3608">
            <v>0</v>
          </cell>
        </row>
        <row r="3609">
          <cell r="A3609">
            <v>0</v>
          </cell>
        </row>
        <row r="3610">
          <cell r="A3610">
            <v>0</v>
          </cell>
        </row>
        <row r="3611">
          <cell r="A3611">
            <v>0</v>
          </cell>
        </row>
        <row r="3612">
          <cell r="A3612">
            <v>0</v>
          </cell>
        </row>
        <row r="3613">
          <cell r="A3613">
            <v>0</v>
          </cell>
        </row>
        <row r="3614">
          <cell r="A3614">
            <v>0</v>
          </cell>
        </row>
        <row r="3615">
          <cell r="A3615">
            <v>0</v>
          </cell>
        </row>
        <row r="3616">
          <cell r="A3616">
            <v>0</v>
          </cell>
        </row>
        <row r="3617">
          <cell r="A3617">
            <v>0</v>
          </cell>
        </row>
        <row r="3618">
          <cell r="A3618">
            <v>0</v>
          </cell>
        </row>
        <row r="3619">
          <cell r="A3619">
            <v>0</v>
          </cell>
        </row>
        <row r="3620">
          <cell r="A3620">
            <v>0</v>
          </cell>
        </row>
        <row r="3621">
          <cell r="A3621">
            <v>0</v>
          </cell>
        </row>
        <row r="3622">
          <cell r="A3622">
            <v>0</v>
          </cell>
        </row>
        <row r="3623">
          <cell r="A3623">
            <v>0</v>
          </cell>
        </row>
        <row r="3624">
          <cell r="A3624">
            <v>0</v>
          </cell>
        </row>
        <row r="3625">
          <cell r="A3625">
            <v>0</v>
          </cell>
        </row>
        <row r="3626">
          <cell r="A3626">
            <v>0</v>
          </cell>
        </row>
        <row r="3627">
          <cell r="A3627">
            <v>0</v>
          </cell>
        </row>
        <row r="3628">
          <cell r="A3628">
            <v>0</v>
          </cell>
        </row>
        <row r="3629">
          <cell r="A3629">
            <v>0</v>
          </cell>
        </row>
        <row r="3630">
          <cell r="A3630">
            <v>0</v>
          </cell>
        </row>
        <row r="3631">
          <cell r="A3631">
            <v>0</v>
          </cell>
        </row>
        <row r="3632">
          <cell r="A3632">
            <v>0</v>
          </cell>
        </row>
        <row r="3633">
          <cell r="A3633">
            <v>0</v>
          </cell>
        </row>
        <row r="3634">
          <cell r="A3634">
            <v>0</v>
          </cell>
        </row>
        <row r="3635">
          <cell r="A3635">
            <v>0</v>
          </cell>
        </row>
        <row r="3636">
          <cell r="A3636">
            <v>0</v>
          </cell>
        </row>
        <row r="3637">
          <cell r="A3637">
            <v>0</v>
          </cell>
        </row>
        <row r="3638">
          <cell r="A3638">
            <v>0</v>
          </cell>
        </row>
        <row r="3639">
          <cell r="A3639">
            <v>0</v>
          </cell>
        </row>
        <row r="3640">
          <cell r="A3640">
            <v>0</v>
          </cell>
        </row>
        <row r="3641">
          <cell r="A3641">
            <v>0</v>
          </cell>
        </row>
        <row r="3642">
          <cell r="A3642">
            <v>0</v>
          </cell>
        </row>
        <row r="3643">
          <cell r="A3643">
            <v>0</v>
          </cell>
        </row>
        <row r="3644">
          <cell r="A3644">
            <v>0</v>
          </cell>
        </row>
        <row r="3645">
          <cell r="A3645">
            <v>0</v>
          </cell>
        </row>
        <row r="3646">
          <cell r="A3646">
            <v>0</v>
          </cell>
        </row>
        <row r="3647">
          <cell r="A3647">
            <v>0</v>
          </cell>
        </row>
        <row r="3648">
          <cell r="A3648">
            <v>0</v>
          </cell>
        </row>
        <row r="3649">
          <cell r="A3649">
            <v>0</v>
          </cell>
        </row>
        <row r="3650">
          <cell r="A3650">
            <v>0</v>
          </cell>
        </row>
        <row r="3651">
          <cell r="A3651">
            <v>0</v>
          </cell>
        </row>
        <row r="3652">
          <cell r="A3652">
            <v>0</v>
          </cell>
        </row>
        <row r="3653">
          <cell r="A3653">
            <v>0</v>
          </cell>
        </row>
        <row r="3654">
          <cell r="A3654">
            <v>0</v>
          </cell>
        </row>
        <row r="3655">
          <cell r="A3655">
            <v>0</v>
          </cell>
        </row>
        <row r="3656">
          <cell r="A3656">
            <v>0</v>
          </cell>
        </row>
        <row r="3657">
          <cell r="A3657">
            <v>0</v>
          </cell>
        </row>
        <row r="3658">
          <cell r="A3658">
            <v>0</v>
          </cell>
        </row>
        <row r="3659">
          <cell r="A3659">
            <v>0</v>
          </cell>
        </row>
        <row r="3660">
          <cell r="A3660">
            <v>0</v>
          </cell>
        </row>
        <row r="3661">
          <cell r="A3661">
            <v>0</v>
          </cell>
        </row>
        <row r="3662">
          <cell r="A3662">
            <v>0</v>
          </cell>
        </row>
        <row r="3663">
          <cell r="A3663">
            <v>0</v>
          </cell>
        </row>
        <row r="3664">
          <cell r="A3664">
            <v>0</v>
          </cell>
        </row>
        <row r="3665">
          <cell r="A3665">
            <v>0</v>
          </cell>
        </row>
        <row r="3666">
          <cell r="A3666">
            <v>0</v>
          </cell>
        </row>
        <row r="3667">
          <cell r="A3667">
            <v>0</v>
          </cell>
        </row>
        <row r="3668">
          <cell r="A3668">
            <v>0</v>
          </cell>
        </row>
        <row r="3669">
          <cell r="A3669">
            <v>0</v>
          </cell>
        </row>
        <row r="3670">
          <cell r="A3670">
            <v>0</v>
          </cell>
        </row>
        <row r="3671">
          <cell r="A3671">
            <v>0</v>
          </cell>
        </row>
        <row r="3672">
          <cell r="A3672">
            <v>0</v>
          </cell>
        </row>
        <row r="3673">
          <cell r="A3673">
            <v>0</v>
          </cell>
        </row>
        <row r="3674">
          <cell r="A3674">
            <v>0</v>
          </cell>
        </row>
        <row r="3675">
          <cell r="A3675">
            <v>0</v>
          </cell>
        </row>
        <row r="3676">
          <cell r="A3676">
            <v>0</v>
          </cell>
        </row>
        <row r="3677">
          <cell r="A3677">
            <v>0</v>
          </cell>
        </row>
        <row r="3678">
          <cell r="A3678">
            <v>0</v>
          </cell>
        </row>
        <row r="3679">
          <cell r="A3679">
            <v>0</v>
          </cell>
        </row>
        <row r="3680">
          <cell r="A3680">
            <v>0</v>
          </cell>
        </row>
        <row r="3681">
          <cell r="A3681">
            <v>0</v>
          </cell>
        </row>
        <row r="3682">
          <cell r="A3682">
            <v>0</v>
          </cell>
        </row>
        <row r="3683">
          <cell r="A3683">
            <v>0</v>
          </cell>
        </row>
        <row r="3684">
          <cell r="A3684">
            <v>0</v>
          </cell>
        </row>
        <row r="3685">
          <cell r="A3685">
            <v>0</v>
          </cell>
        </row>
        <row r="3686">
          <cell r="A3686">
            <v>0</v>
          </cell>
        </row>
        <row r="3687">
          <cell r="A3687">
            <v>0</v>
          </cell>
        </row>
        <row r="3688">
          <cell r="A3688">
            <v>0</v>
          </cell>
        </row>
        <row r="3689">
          <cell r="A3689">
            <v>0</v>
          </cell>
        </row>
        <row r="3690">
          <cell r="A3690">
            <v>0</v>
          </cell>
        </row>
        <row r="3691">
          <cell r="A3691">
            <v>0</v>
          </cell>
        </row>
        <row r="3692">
          <cell r="A3692">
            <v>0</v>
          </cell>
        </row>
        <row r="3693">
          <cell r="A3693">
            <v>0</v>
          </cell>
        </row>
        <row r="3694">
          <cell r="A3694">
            <v>0</v>
          </cell>
        </row>
        <row r="3695">
          <cell r="A3695">
            <v>0</v>
          </cell>
        </row>
        <row r="3696">
          <cell r="A3696">
            <v>0</v>
          </cell>
        </row>
        <row r="3697">
          <cell r="A3697">
            <v>0</v>
          </cell>
        </row>
        <row r="3698">
          <cell r="A3698">
            <v>0</v>
          </cell>
        </row>
        <row r="3699">
          <cell r="A3699">
            <v>0</v>
          </cell>
        </row>
        <row r="3700">
          <cell r="A3700">
            <v>0</v>
          </cell>
        </row>
        <row r="3701">
          <cell r="A3701">
            <v>0</v>
          </cell>
        </row>
        <row r="3702">
          <cell r="A3702">
            <v>0</v>
          </cell>
        </row>
        <row r="3703">
          <cell r="A3703">
            <v>0</v>
          </cell>
        </row>
        <row r="3704">
          <cell r="A3704">
            <v>0</v>
          </cell>
        </row>
        <row r="3705">
          <cell r="A3705">
            <v>0</v>
          </cell>
        </row>
        <row r="3706">
          <cell r="A3706">
            <v>0</v>
          </cell>
        </row>
        <row r="3707">
          <cell r="A3707">
            <v>0</v>
          </cell>
        </row>
        <row r="3708">
          <cell r="A3708">
            <v>0</v>
          </cell>
        </row>
        <row r="3709">
          <cell r="A3709">
            <v>0</v>
          </cell>
        </row>
        <row r="3710">
          <cell r="A3710">
            <v>0</v>
          </cell>
        </row>
        <row r="3711">
          <cell r="A3711">
            <v>0</v>
          </cell>
        </row>
        <row r="3712">
          <cell r="A3712">
            <v>0</v>
          </cell>
        </row>
        <row r="3713">
          <cell r="A3713">
            <v>0</v>
          </cell>
        </row>
        <row r="3714">
          <cell r="A3714">
            <v>0</v>
          </cell>
        </row>
        <row r="3715">
          <cell r="A3715">
            <v>0</v>
          </cell>
        </row>
        <row r="3716">
          <cell r="A3716">
            <v>0</v>
          </cell>
        </row>
        <row r="3717">
          <cell r="A3717">
            <v>0</v>
          </cell>
        </row>
        <row r="3718">
          <cell r="A3718">
            <v>0</v>
          </cell>
        </row>
        <row r="3719">
          <cell r="A3719">
            <v>0</v>
          </cell>
        </row>
        <row r="3720">
          <cell r="A3720">
            <v>0</v>
          </cell>
        </row>
        <row r="3721">
          <cell r="A3721">
            <v>0</v>
          </cell>
        </row>
        <row r="3722">
          <cell r="A3722">
            <v>0</v>
          </cell>
        </row>
        <row r="3723">
          <cell r="A3723">
            <v>0</v>
          </cell>
        </row>
        <row r="3724">
          <cell r="A3724">
            <v>0</v>
          </cell>
        </row>
        <row r="3725">
          <cell r="A3725">
            <v>0</v>
          </cell>
        </row>
        <row r="3726">
          <cell r="A3726">
            <v>0</v>
          </cell>
        </row>
        <row r="3727">
          <cell r="A3727">
            <v>0</v>
          </cell>
        </row>
        <row r="3728">
          <cell r="A3728">
            <v>0</v>
          </cell>
        </row>
        <row r="3729">
          <cell r="A3729">
            <v>0</v>
          </cell>
        </row>
        <row r="3730">
          <cell r="A3730">
            <v>0</v>
          </cell>
        </row>
        <row r="3731">
          <cell r="A3731">
            <v>0</v>
          </cell>
        </row>
        <row r="3732">
          <cell r="A3732">
            <v>0</v>
          </cell>
        </row>
        <row r="3733">
          <cell r="A3733">
            <v>0</v>
          </cell>
        </row>
        <row r="3734">
          <cell r="A3734">
            <v>0</v>
          </cell>
        </row>
        <row r="3735">
          <cell r="A3735">
            <v>0</v>
          </cell>
        </row>
        <row r="3736">
          <cell r="A3736">
            <v>0</v>
          </cell>
        </row>
        <row r="3737">
          <cell r="A3737">
            <v>0</v>
          </cell>
        </row>
        <row r="3738">
          <cell r="A3738">
            <v>0</v>
          </cell>
        </row>
        <row r="3739">
          <cell r="A3739">
            <v>0</v>
          </cell>
        </row>
        <row r="3740">
          <cell r="A3740">
            <v>0</v>
          </cell>
        </row>
        <row r="3741">
          <cell r="A3741">
            <v>0</v>
          </cell>
        </row>
        <row r="3742">
          <cell r="A3742">
            <v>0</v>
          </cell>
        </row>
        <row r="3743">
          <cell r="A3743">
            <v>0</v>
          </cell>
        </row>
        <row r="3744">
          <cell r="A3744">
            <v>0</v>
          </cell>
        </row>
        <row r="3745">
          <cell r="A3745">
            <v>0</v>
          </cell>
        </row>
        <row r="3746">
          <cell r="A3746">
            <v>0</v>
          </cell>
        </row>
        <row r="3747">
          <cell r="A3747">
            <v>0</v>
          </cell>
        </row>
        <row r="3748">
          <cell r="A3748">
            <v>0</v>
          </cell>
        </row>
        <row r="3749">
          <cell r="A3749">
            <v>0</v>
          </cell>
        </row>
        <row r="3750">
          <cell r="A3750">
            <v>0</v>
          </cell>
        </row>
        <row r="3751">
          <cell r="A3751">
            <v>0</v>
          </cell>
        </row>
        <row r="3752">
          <cell r="A3752">
            <v>0</v>
          </cell>
        </row>
        <row r="3753">
          <cell r="A3753">
            <v>0</v>
          </cell>
        </row>
        <row r="3754">
          <cell r="A3754">
            <v>0</v>
          </cell>
        </row>
        <row r="3755">
          <cell r="A3755">
            <v>0</v>
          </cell>
        </row>
        <row r="3756">
          <cell r="A3756">
            <v>0</v>
          </cell>
        </row>
        <row r="3757">
          <cell r="A3757">
            <v>0</v>
          </cell>
        </row>
        <row r="3758">
          <cell r="A3758">
            <v>0</v>
          </cell>
        </row>
        <row r="3759">
          <cell r="A3759">
            <v>0</v>
          </cell>
        </row>
        <row r="3760">
          <cell r="A3760">
            <v>0</v>
          </cell>
        </row>
        <row r="3761">
          <cell r="A3761">
            <v>0</v>
          </cell>
        </row>
        <row r="3762">
          <cell r="A3762">
            <v>0</v>
          </cell>
        </row>
        <row r="3763">
          <cell r="A3763">
            <v>0</v>
          </cell>
        </row>
        <row r="3764">
          <cell r="A3764">
            <v>0</v>
          </cell>
        </row>
        <row r="3765">
          <cell r="A3765">
            <v>0</v>
          </cell>
        </row>
        <row r="3766">
          <cell r="A3766">
            <v>0</v>
          </cell>
        </row>
        <row r="3767">
          <cell r="A3767">
            <v>0</v>
          </cell>
        </row>
        <row r="3768">
          <cell r="A3768">
            <v>0</v>
          </cell>
        </row>
        <row r="3769">
          <cell r="A3769">
            <v>0</v>
          </cell>
        </row>
        <row r="3770">
          <cell r="A3770">
            <v>0</v>
          </cell>
        </row>
        <row r="3771">
          <cell r="A3771">
            <v>0</v>
          </cell>
        </row>
        <row r="3772">
          <cell r="A3772">
            <v>0</v>
          </cell>
        </row>
        <row r="3773">
          <cell r="A3773">
            <v>0</v>
          </cell>
        </row>
        <row r="3774">
          <cell r="A3774">
            <v>0</v>
          </cell>
        </row>
        <row r="3775">
          <cell r="A3775">
            <v>0</v>
          </cell>
        </row>
        <row r="3776">
          <cell r="A3776">
            <v>0</v>
          </cell>
        </row>
        <row r="3777">
          <cell r="A3777">
            <v>0</v>
          </cell>
        </row>
        <row r="3778">
          <cell r="A3778">
            <v>0</v>
          </cell>
        </row>
        <row r="3779">
          <cell r="A3779">
            <v>0</v>
          </cell>
        </row>
        <row r="3780">
          <cell r="A3780">
            <v>0</v>
          </cell>
        </row>
        <row r="3781">
          <cell r="A3781">
            <v>0</v>
          </cell>
        </row>
        <row r="3782">
          <cell r="A3782">
            <v>0</v>
          </cell>
        </row>
        <row r="3783">
          <cell r="A3783">
            <v>0</v>
          </cell>
        </row>
        <row r="3784">
          <cell r="A3784">
            <v>0</v>
          </cell>
        </row>
        <row r="3785">
          <cell r="A3785">
            <v>0</v>
          </cell>
        </row>
        <row r="3786">
          <cell r="A3786">
            <v>0</v>
          </cell>
        </row>
        <row r="3787">
          <cell r="A3787">
            <v>0</v>
          </cell>
        </row>
        <row r="3788">
          <cell r="A3788">
            <v>0</v>
          </cell>
        </row>
        <row r="3789">
          <cell r="A3789">
            <v>0</v>
          </cell>
        </row>
        <row r="3790">
          <cell r="A3790">
            <v>0</v>
          </cell>
        </row>
        <row r="3791">
          <cell r="A3791">
            <v>0</v>
          </cell>
        </row>
        <row r="3792">
          <cell r="A3792">
            <v>0</v>
          </cell>
        </row>
        <row r="3793">
          <cell r="A3793">
            <v>0</v>
          </cell>
        </row>
        <row r="3794">
          <cell r="A3794">
            <v>0</v>
          </cell>
        </row>
        <row r="3795">
          <cell r="A3795">
            <v>0</v>
          </cell>
        </row>
        <row r="3796">
          <cell r="A3796">
            <v>0</v>
          </cell>
        </row>
        <row r="3797">
          <cell r="A3797">
            <v>0</v>
          </cell>
        </row>
        <row r="3798">
          <cell r="A3798">
            <v>0</v>
          </cell>
        </row>
        <row r="3799">
          <cell r="A3799">
            <v>0</v>
          </cell>
        </row>
        <row r="3800">
          <cell r="A3800">
            <v>0</v>
          </cell>
        </row>
        <row r="3801">
          <cell r="A3801">
            <v>0</v>
          </cell>
        </row>
        <row r="3802">
          <cell r="A3802">
            <v>0</v>
          </cell>
        </row>
        <row r="3803">
          <cell r="A3803">
            <v>0</v>
          </cell>
        </row>
        <row r="3804">
          <cell r="A3804">
            <v>0</v>
          </cell>
        </row>
        <row r="3805">
          <cell r="A3805">
            <v>0</v>
          </cell>
        </row>
        <row r="3806">
          <cell r="A3806">
            <v>0</v>
          </cell>
        </row>
        <row r="3807">
          <cell r="A3807">
            <v>0</v>
          </cell>
        </row>
        <row r="3808">
          <cell r="A3808">
            <v>0</v>
          </cell>
        </row>
        <row r="3809">
          <cell r="A3809">
            <v>0</v>
          </cell>
        </row>
        <row r="3810">
          <cell r="A3810">
            <v>0</v>
          </cell>
        </row>
        <row r="3811">
          <cell r="A3811">
            <v>0</v>
          </cell>
        </row>
        <row r="3812">
          <cell r="A3812">
            <v>0</v>
          </cell>
        </row>
        <row r="3813">
          <cell r="A3813">
            <v>0</v>
          </cell>
        </row>
        <row r="3814">
          <cell r="A3814">
            <v>0</v>
          </cell>
        </row>
        <row r="3815">
          <cell r="A3815">
            <v>0</v>
          </cell>
        </row>
        <row r="3816">
          <cell r="A3816">
            <v>0</v>
          </cell>
        </row>
        <row r="3817">
          <cell r="A3817">
            <v>0</v>
          </cell>
        </row>
        <row r="3818">
          <cell r="A3818">
            <v>0</v>
          </cell>
        </row>
        <row r="3819">
          <cell r="A3819">
            <v>0</v>
          </cell>
        </row>
        <row r="3820">
          <cell r="A3820">
            <v>0</v>
          </cell>
        </row>
        <row r="3821">
          <cell r="A3821">
            <v>0</v>
          </cell>
        </row>
        <row r="3822">
          <cell r="A3822">
            <v>0</v>
          </cell>
        </row>
        <row r="3823">
          <cell r="A3823">
            <v>0</v>
          </cell>
        </row>
        <row r="3824">
          <cell r="A3824">
            <v>0</v>
          </cell>
        </row>
        <row r="3825">
          <cell r="A3825">
            <v>0</v>
          </cell>
        </row>
        <row r="3826">
          <cell r="A3826">
            <v>0</v>
          </cell>
        </row>
        <row r="3827">
          <cell r="A3827">
            <v>0</v>
          </cell>
        </row>
        <row r="3828">
          <cell r="A3828">
            <v>0</v>
          </cell>
        </row>
        <row r="3829">
          <cell r="A3829">
            <v>0</v>
          </cell>
        </row>
        <row r="3830">
          <cell r="A3830">
            <v>0</v>
          </cell>
        </row>
        <row r="3831">
          <cell r="A3831">
            <v>0</v>
          </cell>
        </row>
        <row r="3832">
          <cell r="A3832">
            <v>0</v>
          </cell>
        </row>
        <row r="3833">
          <cell r="A3833">
            <v>0</v>
          </cell>
        </row>
        <row r="3834">
          <cell r="A3834">
            <v>0</v>
          </cell>
        </row>
        <row r="3835">
          <cell r="A3835">
            <v>0</v>
          </cell>
        </row>
        <row r="3836">
          <cell r="A3836">
            <v>0</v>
          </cell>
        </row>
        <row r="3837">
          <cell r="A3837">
            <v>0</v>
          </cell>
        </row>
        <row r="3838">
          <cell r="A3838">
            <v>0</v>
          </cell>
        </row>
        <row r="3839">
          <cell r="A3839">
            <v>0</v>
          </cell>
        </row>
        <row r="3840">
          <cell r="A3840">
            <v>0</v>
          </cell>
        </row>
        <row r="3841">
          <cell r="A3841">
            <v>0</v>
          </cell>
        </row>
        <row r="3842">
          <cell r="A3842">
            <v>0</v>
          </cell>
        </row>
        <row r="3843">
          <cell r="A3843">
            <v>0</v>
          </cell>
        </row>
        <row r="3844">
          <cell r="A3844">
            <v>0</v>
          </cell>
        </row>
        <row r="3845">
          <cell r="A3845">
            <v>0</v>
          </cell>
        </row>
        <row r="3846">
          <cell r="A3846">
            <v>0</v>
          </cell>
        </row>
        <row r="3847">
          <cell r="A3847">
            <v>0</v>
          </cell>
        </row>
        <row r="3848">
          <cell r="A3848">
            <v>0</v>
          </cell>
        </row>
        <row r="3849">
          <cell r="A3849">
            <v>0</v>
          </cell>
        </row>
        <row r="3850">
          <cell r="A3850">
            <v>0</v>
          </cell>
        </row>
        <row r="3851">
          <cell r="A3851">
            <v>0</v>
          </cell>
        </row>
        <row r="3852">
          <cell r="A3852">
            <v>0</v>
          </cell>
        </row>
        <row r="3853">
          <cell r="A3853">
            <v>0</v>
          </cell>
        </row>
        <row r="3854">
          <cell r="A3854">
            <v>0</v>
          </cell>
        </row>
        <row r="3855">
          <cell r="A3855">
            <v>0</v>
          </cell>
        </row>
        <row r="3856">
          <cell r="A3856">
            <v>0</v>
          </cell>
        </row>
        <row r="3857">
          <cell r="A3857">
            <v>0</v>
          </cell>
        </row>
        <row r="3858">
          <cell r="A3858">
            <v>0</v>
          </cell>
        </row>
        <row r="3859">
          <cell r="A3859">
            <v>0</v>
          </cell>
        </row>
        <row r="3860">
          <cell r="A3860">
            <v>0</v>
          </cell>
        </row>
        <row r="3861">
          <cell r="A3861">
            <v>0</v>
          </cell>
        </row>
        <row r="3862">
          <cell r="A3862">
            <v>0</v>
          </cell>
        </row>
        <row r="3863">
          <cell r="A3863">
            <v>0</v>
          </cell>
        </row>
        <row r="3864">
          <cell r="A3864">
            <v>0</v>
          </cell>
        </row>
        <row r="3865">
          <cell r="A3865">
            <v>0</v>
          </cell>
        </row>
        <row r="3866">
          <cell r="A3866">
            <v>0</v>
          </cell>
        </row>
        <row r="3867">
          <cell r="A3867">
            <v>0</v>
          </cell>
        </row>
        <row r="3868">
          <cell r="A3868">
            <v>0</v>
          </cell>
        </row>
        <row r="3869">
          <cell r="A3869">
            <v>0</v>
          </cell>
        </row>
        <row r="3870">
          <cell r="A3870">
            <v>0</v>
          </cell>
        </row>
        <row r="3871">
          <cell r="A3871">
            <v>0</v>
          </cell>
        </row>
        <row r="3872">
          <cell r="A3872">
            <v>0</v>
          </cell>
        </row>
        <row r="3873">
          <cell r="A3873">
            <v>0</v>
          </cell>
        </row>
        <row r="3874">
          <cell r="A3874">
            <v>0</v>
          </cell>
        </row>
        <row r="3875">
          <cell r="A3875">
            <v>0</v>
          </cell>
        </row>
        <row r="3876">
          <cell r="A3876">
            <v>0</v>
          </cell>
        </row>
        <row r="3877">
          <cell r="A3877">
            <v>0</v>
          </cell>
        </row>
        <row r="3878">
          <cell r="A3878">
            <v>0</v>
          </cell>
        </row>
        <row r="3879">
          <cell r="A3879">
            <v>0</v>
          </cell>
        </row>
        <row r="3880">
          <cell r="A3880">
            <v>0</v>
          </cell>
        </row>
        <row r="3881">
          <cell r="A3881">
            <v>0</v>
          </cell>
        </row>
        <row r="3882">
          <cell r="A3882">
            <v>0</v>
          </cell>
        </row>
        <row r="3883">
          <cell r="A3883">
            <v>0</v>
          </cell>
        </row>
        <row r="3884">
          <cell r="A3884">
            <v>0</v>
          </cell>
        </row>
        <row r="3885">
          <cell r="A3885">
            <v>0</v>
          </cell>
        </row>
        <row r="3886">
          <cell r="A3886">
            <v>0</v>
          </cell>
        </row>
        <row r="3887">
          <cell r="A3887">
            <v>0</v>
          </cell>
        </row>
        <row r="3888">
          <cell r="A3888">
            <v>0</v>
          </cell>
        </row>
        <row r="3889">
          <cell r="A3889">
            <v>0</v>
          </cell>
        </row>
        <row r="3890">
          <cell r="A3890">
            <v>0</v>
          </cell>
        </row>
        <row r="3891">
          <cell r="A3891">
            <v>0</v>
          </cell>
        </row>
        <row r="3892">
          <cell r="A3892">
            <v>0</v>
          </cell>
        </row>
        <row r="3893">
          <cell r="A3893">
            <v>0</v>
          </cell>
        </row>
        <row r="3894">
          <cell r="A3894">
            <v>0</v>
          </cell>
        </row>
        <row r="3895">
          <cell r="A3895">
            <v>0</v>
          </cell>
        </row>
        <row r="3896">
          <cell r="A3896">
            <v>0</v>
          </cell>
        </row>
        <row r="3897">
          <cell r="A3897">
            <v>0</v>
          </cell>
        </row>
        <row r="3898">
          <cell r="A3898">
            <v>0</v>
          </cell>
        </row>
        <row r="3899">
          <cell r="A3899">
            <v>0</v>
          </cell>
        </row>
        <row r="3900">
          <cell r="A3900">
            <v>0</v>
          </cell>
        </row>
        <row r="3901">
          <cell r="A3901">
            <v>0</v>
          </cell>
        </row>
        <row r="3902">
          <cell r="A3902">
            <v>0</v>
          </cell>
        </row>
        <row r="3903">
          <cell r="A3903">
            <v>0</v>
          </cell>
        </row>
        <row r="3904">
          <cell r="A3904">
            <v>0</v>
          </cell>
        </row>
        <row r="3905">
          <cell r="A3905">
            <v>0</v>
          </cell>
        </row>
        <row r="3906">
          <cell r="A3906">
            <v>0</v>
          </cell>
        </row>
        <row r="3907">
          <cell r="A3907">
            <v>0</v>
          </cell>
        </row>
        <row r="3908">
          <cell r="A3908">
            <v>0</v>
          </cell>
        </row>
        <row r="3909">
          <cell r="A3909">
            <v>0</v>
          </cell>
        </row>
        <row r="3910">
          <cell r="A3910">
            <v>0</v>
          </cell>
        </row>
        <row r="3911">
          <cell r="A3911">
            <v>0</v>
          </cell>
        </row>
        <row r="3912">
          <cell r="A3912">
            <v>0</v>
          </cell>
        </row>
        <row r="3913">
          <cell r="A3913">
            <v>0</v>
          </cell>
        </row>
        <row r="3914">
          <cell r="A3914">
            <v>0</v>
          </cell>
        </row>
        <row r="3915">
          <cell r="A3915">
            <v>0</v>
          </cell>
        </row>
        <row r="3916">
          <cell r="A3916">
            <v>0</v>
          </cell>
        </row>
        <row r="3917">
          <cell r="A3917">
            <v>0</v>
          </cell>
        </row>
        <row r="3918">
          <cell r="A3918">
            <v>0</v>
          </cell>
        </row>
        <row r="3919">
          <cell r="A3919">
            <v>0</v>
          </cell>
        </row>
        <row r="3920">
          <cell r="A3920">
            <v>0</v>
          </cell>
        </row>
        <row r="3921">
          <cell r="A3921">
            <v>0</v>
          </cell>
        </row>
        <row r="3922">
          <cell r="A3922">
            <v>0</v>
          </cell>
        </row>
        <row r="3923">
          <cell r="A3923">
            <v>0</v>
          </cell>
        </row>
        <row r="3924">
          <cell r="A3924">
            <v>0</v>
          </cell>
        </row>
        <row r="3925">
          <cell r="A3925">
            <v>0</v>
          </cell>
        </row>
        <row r="3926">
          <cell r="A3926">
            <v>0</v>
          </cell>
        </row>
        <row r="3927">
          <cell r="A3927">
            <v>0</v>
          </cell>
        </row>
        <row r="3928">
          <cell r="A3928">
            <v>0</v>
          </cell>
        </row>
        <row r="3929">
          <cell r="A3929">
            <v>0</v>
          </cell>
        </row>
        <row r="3930">
          <cell r="A3930">
            <v>0</v>
          </cell>
        </row>
        <row r="3931">
          <cell r="A3931">
            <v>0</v>
          </cell>
        </row>
        <row r="3932">
          <cell r="A3932">
            <v>0</v>
          </cell>
        </row>
        <row r="3933">
          <cell r="A3933">
            <v>0</v>
          </cell>
        </row>
        <row r="3934">
          <cell r="A3934">
            <v>0</v>
          </cell>
        </row>
        <row r="3935">
          <cell r="A3935">
            <v>0</v>
          </cell>
        </row>
        <row r="3936">
          <cell r="A3936">
            <v>0</v>
          </cell>
        </row>
        <row r="3937">
          <cell r="A3937">
            <v>0</v>
          </cell>
        </row>
        <row r="3938">
          <cell r="A3938">
            <v>0</v>
          </cell>
        </row>
        <row r="3939">
          <cell r="A3939">
            <v>0</v>
          </cell>
        </row>
        <row r="3940">
          <cell r="A3940">
            <v>0</v>
          </cell>
        </row>
        <row r="3941">
          <cell r="A3941">
            <v>0</v>
          </cell>
        </row>
        <row r="3942">
          <cell r="A3942">
            <v>0</v>
          </cell>
        </row>
        <row r="3943">
          <cell r="A3943">
            <v>0</v>
          </cell>
        </row>
        <row r="3944">
          <cell r="A3944">
            <v>0</v>
          </cell>
        </row>
        <row r="3945">
          <cell r="A3945">
            <v>0</v>
          </cell>
        </row>
        <row r="3946">
          <cell r="A3946">
            <v>0</v>
          </cell>
        </row>
        <row r="3947">
          <cell r="A3947">
            <v>0</v>
          </cell>
        </row>
        <row r="3948">
          <cell r="A3948">
            <v>0</v>
          </cell>
        </row>
        <row r="3949">
          <cell r="A3949">
            <v>0</v>
          </cell>
        </row>
        <row r="3950">
          <cell r="A3950">
            <v>0</v>
          </cell>
        </row>
        <row r="3951">
          <cell r="A3951">
            <v>0</v>
          </cell>
        </row>
        <row r="3952">
          <cell r="A3952">
            <v>0</v>
          </cell>
        </row>
        <row r="3953">
          <cell r="A3953">
            <v>0</v>
          </cell>
        </row>
        <row r="3954">
          <cell r="A3954">
            <v>0</v>
          </cell>
        </row>
        <row r="3955">
          <cell r="A3955">
            <v>0</v>
          </cell>
        </row>
        <row r="3956">
          <cell r="A3956">
            <v>0</v>
          </cell>
        </row>
        <row r="3957">
          <cell r="A3957">
            <v>0</v>
          </cell>
        </row>
        <row r="3958">
          <cell r="A3958">
            <v>0</v>
          </cell>
        </row>
        <row r="3959">
          <cell r="A3959">
            <v>0</v>
          </cell>
        </row>
        <row r="3960">
          <cell r="A3960">
            <v>0</v>
          </cell>
        </row>
        <row r="3961">
          <cell r="A3961">
            <v>0</v>
          </cell>
        </row>
        <row r="3962">
          <cell r="A3962">
            <v>0</v>
          </cell>
        </row>
        <row r="3963">
          <cell r="A3963">
            <v>0</v>
          </cell>
        </row>
        <row r="3964">
          <cell r="A3964">
            <v>0</v>
          </cell>
        </row>
        <row r="3965">
          <cell r="A3965">
            <v>0</v>
          </cell>
        </row>
        <row r="3966">
          <cell r="A3966">
            <v>0</v>
          </cell>
        </row>
        <row r="3967">
          <cell r="A3967">
            <v>0</v>
          </cell>
        </row>
        <row r="3968">
          <cell r="A3968">
            <v>0</v>
          </cell>
        </row>
        <row r="3969">
          <cell r="A3969">
            <v>0</v>
          </cell>
        </row>
        <row r="3970">
          <cell r="A3970">
            <v>0</v>
          </cell>
        </row>
        <row r="3971">
          <cell r="A3971">
            <v>0</v>
          </cell>
        </row>
        <row r="3972">
          <cell r="A3972">
            <v>0</v>
          </cell>
        </row>
        <row r="3973">
          <cell r="A3973">
            <v>0</v>
          </cell>
        </row>
        <row r="3974">
          <cell r="A3974">
            <v>0</v>
          </cell>
        </row>
        <row r="3975">
          <cell r="A3975">
            <v>0</v>
          </cell>
        </row>
        <row r="3976">
          <cell r="A3976">
            <v>0</v>
          </cell>
        </row>
        <row r="3977">
          <cell r="A3977">
            <v>0</v>
          </cell>
        </row>
        <row r="3978">
          <cell r="A3978">
            <v>0</v>
          </cell>
        </row>
        <row r="3979">
          <cell r="A3979">
            <v>0</v>
          </cell>
        </row>
        <row r="3980">
          <cell r="A3980">
            <v>0</v>
          </cell>
        </row>
        <row r="3981">
          <cell r="A3981">
            <v>0</v>
          </cell>
        </row>
        <row r="3982">
          <cell r="A3982">
            <v>0</v>
          </cell>
        </row>
        <row r="3983">
          <cell r="A3983">
            <v>0</v>
          </cell>
        </row>
        <row r="3984">
          <cell r="A3984">
            <v>0</v>
          </cell>
        </row>
        <row r="3985">
          <cell r="A3985">
            <v>0</v>
          </cell>
        </row>
        <row r="3986">
          <cell r="A3986">
            <v>0</v>
          </cell>
        </row>
        <row r="3987">
          <cell r="A3987">
            <v>0</v>
          </cell>
        </row>
        <row r="3988">
          <cell r="A3988">
            <v>0</v>
          </cell>
        </row>
        <row r="3989">
          <cell r="A3989">
            <v>0</v>
          </cell>
        </row>
        <row r="3990">
          <cell r="A3990">
            <v>0</v>
          </cell>
        </row>
        <row r="3991">
          <cell r="A3991">
            <v>0</v>
          </cell>
        </row>
        <row r="3992">
          <cell r="A3992">
            <v>0</v>
          </cell>
        </row>
        <row r="3993">
          <cell r="A3993">
            <v>0</v>
          </cell>
        </row>
        <row r="3994">
          <cell r="A3994">
            <v>0</v>
          </cell>
        </row>
        <row r="3995">
          <cell r="A3995">
            <v>0</v>
          </cell>
        </row>
        <row r="3996">
          <cell r="A3996">
            <v>0</v>
          </cell>
        </row>
        <row r="3997">
          <cell r="A3997">
            <v>0</v>
          </cell>
        </row>
        <row r="3998">
          <cell r="A3998">
            <v>0</v>
          </cell>
        </row>
        <row r="3999">
          <cell r="A3999">
            <v>0</v>
          </cell>
        </row>
      </sheetData>
      <sheetData sheetId="2"/>
      <sheetData sheetId="3" refreshError="1">
        <row r="1">
          <cell r="A1" t="str">
            <v>Functions &amp; Lookups</v>
          </cell>
        </row>
        <row r="2">
          <cell r="A2" t="str">
            <v>DO NOT EDIT</v>
          </cell>
        </row>
        <row r="4">
          <cell r="A4" t="str">
            <v>Applications</v>
          </cell>
        </row>
        <row r="5">
          <cell r="A5" t="str">
            <v>rng_applications</v>
          </cell>
        </row>
        <row r="6">
          <cell r="A6" t="str">
            <v>list_appid</v>
          </cell>
        </row>
        <row r="7">
          <cell r="A7" t="str">
            <v>Clarity ID</v>
          </cell>
        </row>
        <row r="8">
          <cell r="A8">
            <v>56</v>
          </cell>
        </row>
        <row r="9">
          <cell r="A9">
            <v>61</v>
          </cell>
        </row>
        <row r="10">
          <cell r="A10">
            <v>69</v>
          </cell>
        </row>
        <row r="11">
          <cell r="A11">
            <v>83</v>
          </cell>
        </row>
        <row r="12">
          <cell r="A12">
            <v>94</v>
          </cell>
        </row>
        <row r="13">
          <cell r="A13">
            <v>95</v>
          </cell>
        </row>
        <row r="14">
          <cell r="A14">
            <v>98</v>
          </cell>
        </row>
        <row r="15">
          <cell r="A15">
            <v>215</v>
          </cell>
        </row>
        <row r="16">
          <cell r="A16">
            <v>259</v>
          </cell>
        </row>
        <row r="17">
          <cell r="A17">
            <v>323</v>
          </cell>
        </row>
        <row r="18">
          <cell r="A18">
            <v>337</v>
          </cell>
        </row>
        <row r="19">
          <cell r="A19">
            <v>338</v>
          </cell>
        </row>
        <row r="20">
          <cell r="A20">
            <v>347</v>
          </cell>
        </row>
        <row r="21">
          <cell r="A21">
            <v>348</v>
          </cell>
        </row>
        <row r="22">
          <cell r="A22">
            <v>349</v>
          </cell>
        </row>
        <row r="23">
          <cell r="A23">
            <v>396</v>
          </cell>
        </row>
        <row r="24">
          <cell r="A24">
            <v>409</v>
          </cell>
        </row>
        <row r="25">
          <cell r="A25">
            <v>419</v>
          </cell>
        </row>
        <row r="26">
          <cell r="A26">
            <v>422</v>
          </cell>
        </row>
        <row r="27">
          <cell r="A27">
            <v>427</v>
          </cell>
        </row>
        <row r="28">
          <cell r="A28">
            <v>430</v>
          </cell>
        </row>
        <row r="29">
          <cell r="A29">
            <v>463</v>
          </cell>
        </row>
        <row r="30">
          <cell r="A30">
            <v>478</v>
          </cell>
        </row>
        <row r="31">
          <cell r="A31">
            <v>491</v>
          </cell>
        </row>
        <row r="32">
          <cell r="A32">
            <v>492</v>
          </cell>
        </row>
        <row r="33">
          <cell r="A33">
            <v>493</v>
          </cell>
        </row>
        <row r="34">
          <cell r="A34">
            <v>501</v>
          </cell>
        </row>
        <row r="35">
          <cell r="A35">
            <v>508</v>
          </cell>
        </row>
        <row r="36">
          <cell r="A36">
            <v>512</v>
          </cell>
        </row>
        <row r="37">
          <cell r="A37">
            <v>2025</v>
          </cell>
        </row>
        <row r="38">
          <cell r="A38">
            <v>2097</v>
          </cell>
        </row>
        <row r="39">
          <cell r="A39">
            <v>2146</v>
          </cell>
        </row>
        <row r="40">
          <cell r="A40">
            <v>2165</v>
          </cell>
        </row>
        <row r="41">
          <cell r="A41">
            <v>2264</v>
          </cell>
        </row>
        <row r="42">
          <cell r="A42">
            <v>2265</v>
          </cell>
        </row>
        <row r="43">
          <cell r="A43">
            <v>2355</v>
          </cell>
        </row>
        <row r="44">
          <cell r="A44">
            <v>2470</v>
          </cell>
        </row>
        <row r="45">
          <cell r="A45">
            <v>2694</v>
          </cell>
        </row>
        <row r="46">
          <cell r="A46">
            <v>2716</v>
          </cell>
        </row>
        <row r="47">
          <cell r="A47">
            <v>2734</v>
          </cell>
        </row>
        <row r="48">
          <cell r="A48">
            <v>2766</v>
          </cell>
        </row>
        <row r="49">
          <cell r="A49">
            <v>2767</v>
          </cell>
        </row>
        <row r="50">
          <cell r="A50">
            <v>2784</v>
          </cell>
        </row>
        <row r="51">
          <cell r="A51">
            <v>2786</v>
          </cell>
        </row>
        <row r="52">
          <cell r="A52">
            <v>2906</v>
          </cell>
        </row>
        <row r="53">
          <cell r="A53">
            <v>2981</v>
          </cell>
        </row>
        <row r="54">
          <cell r="A54">
            <v>2982</v>
          </cell>
        </row>
        <row r="55">
          <cell r="A55">
            <v>2983</v>
          </cell>
        </row>
        <row r="56">
          <cell r="A56">
            <v>2984</v>
          </cell>
        </row>
        <row r="57">
          <cell r="A57">
            <v>2986</v>
          </cell>
        </row>
        <row r="58">
          <cell r="A58">
            <v>2987</v>
          </cell>
        </row>
        <row r="59">
          <cell r="A59">
            <v>2988</v>
          </cell>
        </row>
        <row r="60">
          <cell r="A60">
            <v>3067</v>
          </cell>
        </row>
        <row r="61">
          <cell r="A61">
            <v>3068</v>
          </cell>
        </row>
        <row r="62">
          <cell r="A62">
            <v>3075</v>
          </cell>
        </row>
        <row r="63">
          <cell r="A63">
            <v>3253</v>
          </cell>
        </row>
        <row r="64">
          <cell r="A64">
            <v>3255</v>
          </cell>
        </row>
        <row r="65">
          <cell r="A65">
            <v>3271</v>
          </cell>
        </row>
        <row r="66">
          <cell r="A66">
            <v>4005</v>
          </cell>
        </row>
        <row r="67">
          <cell r="A67">
            <v>4007</v>
          </cell>
        </row>
        <row r="68">
          <cell r="A68">
            <v>4014</v>
          </cell>
        </row>
        <row r="69">
          <cell r="A69">
            <v>4022</v>
          </cell>
        </row>
        <row r="70">
          <cell r="A70">
            <v>4046</v>
          </cell>
        </row>
        <row r="71">
          <cell r="A71">
            <v>4052</v>
          </cell>
        </row>
        <row r="72">
          <cell r="A72">
            <v>4057</v>
          </cell>
        </row>
        <row r="73">
          <cell r="A73">
            <v>4077</v>
          </cell>
        </row>
        <row r="74">
          <cell r="A74">
            <v>4092</v>
          </cell>
        </row>
        <row r="75">
          <cell r="A75">
            <v>4114</v>
          </cell>
        </row>
        <row r="76">
          <cell r="A76">
            <v>4115</v>
          </cell>
        </row>
        <row r="77">
          <cell r="A77">
            <v>4118</v>
          </cell>
        </row>
        <row r="78">
          <cell r="A78">
            <v>4125</v>
          </cell>
        </row>
        <row r="79">
          <cell r="A79">
            <v>4151</v>
          </cell>
        </row>
        <row r="80">
          <cell r="A80">
            <v>4152</v>
          </cell>
        </row>
        <row r="81">
          <cell r="A81">
            <v>4154</v>
          </cell>
        </row>
        <row r="82">
          <cell r="A82">
            <v>4156</v>
          </cell>
        </row>
        <row r="83">
          <cell r="A83">
            <v>4157</v>
          </cell>
        </row>
        <row r="84">
          <cell r="A84">
            <v>4159</v>
          </cell>
        </row>
        <row r="85">
          <cell r="A85">
            <v>4167</v>
          </cell>
        </row>
        <row r="86">
          <cell r="A86">
            <v>4169</v>
          </cell>
        </row>
        <row r="87">
          <cell r="A87">
            <v>4174</v>
          </cell>
        </row>
        <row r="88">
          <cell r="A88">
            <v>4175</v>
          </cell>
        </row>
        <row r="89">
          <cell r="A89">
            <v>4176</v>
          </cell>
        </row>
        <row r="90">
          <cell r="A90">
            <v>4177</v>
          </cell>
        </row>
        <row r="91">
          <cell r="A91">
            <v>4182</v>
          </cell>
        </row>
        <row r="92">
          <cell r="A92">
            <v>4194</v>
          </cell>
        </row>
        <row r="93">
          <cell r="A93">
            <v>4218</v>
          </cell>
        </row>
        <row r="94">
          <cell r="A94">
            <v>4233</v>
          </cell>
        </row>
        <row r="95">
          <cell r="A95">
            <v>4245</v>
          </cell>
        </row>
        <row r="96">
          <cell r="A96">
            <v>4301</v>
          </cell>
        </row>
        <row r="97">
          <cell r="A97">
            <v>4302</v>
          </cell>
        </row>
        <row r="98">
          <cell r="A98">
            <v>5010</v>
          </cell>
        </row>
        <row r="99">
          <cell r="A99">
            <v>5015</v>
          </cell>
        </row>
        <row r="100">
          <cell r="A100">
            <v>5024</v>
          </cell>
        </row>
        <row r="101">
          <cell r="A101">
            <v>5029</v>
          </cell>
        </row>
        <row r="102">
          <cell r="A102">
            <v>5034</v>
          </cell>
        </row>
        <row r="103">
          <cell r="A103">
            <v>5043</v>
          </cell>
        </row>
        <row r="104">
          <cell r="A104">
            <v>5045</v>
          </cell>
        </row>
        <row r="105">
          <cell r="A105">
            <v>5046</v>
          </cell>
        </row>
        <row r="106">
          <cell r="A106">
            <v>5047</v>
          </cell>
        </row>
        <row r="107">
          <cell r="A107">
            <v>5048</v>
          </cell>
        </row>
        <row r="108">
          <cell r="A108">
            <v>5050</v>
          </cell>
        </row>
        <row r="109">
          <cell r="A109">
            <v>5062</v>
          </cell>
        </row>
        <row r="110">
          <cell r="A110">
            <v>5081</v>
          </cell>
        </row>
        <row r="111">
          <cell r="A111">
            <v>5102</v>
          </cell>
        </row>
        <row r="112">
          <cell r="A112">
            <v>5106</v>
          </cell>
        </row>
        <row r="113">
          <cell r="A113">
            <v>5124</v>
          </cell>
        </row>
        <row r="114">
          <cell r="A114">
            <v>5136</v>
          </cell>
        </row>
        <row r="115">
          <cell r="A115">
            <v>5163</v>
          </cell>
        </row>
        <row r="116">
          <cell r="A116">
            <v>5164</v>
          </cell>
        </row>
        <row r="117">
          <cell r="A117">
            <v>5165</v>
          </cell>
        </row>
        <row r="118">
          <cell r="A118">
            <v>5166</v>
          </cell>
        </row>
        <row r="119">
          <cell r="A119">
            <v>5181</v>
          </cell>
        </row>
        <row r="120">
          <cell r="A120">
            <v>5183</v>
          </cell>
        </row>
        <row r="121">
          <cell r="A121">
            <v>5190</v>
          </cell>
        </row>
        <row r="122">
          <cell r="A122">
            <v>5200</v>
          </cell>
        </row>
        <row r="123">
          <cell r="A123">
            <v>5203</v>
          </cell>
        </row>
        <row r="124">
          <cell r="A124">
            <v>5205</v>
          </cell>
        </row>
        <row r="125">
          <cell r="A125">
            <v>5206</v>
          </cell>
        </row>
        <row r="126">
          <cell r="A126">
            <v>5208</v>
          </cell>
        </row>
        <row r="127">
          <cell r="A127">
            <v>5211</v>
          </cell>
        </row>
        <row r="128">
          <cell r="A128">
            <v>5212</v>
          </cell>
        </row>
        <row r="129">
          <cell r="A129">
            <v>5221</v>
          </cell>
        </row>
        <row r="130">
          <cell r="A130">
            <v>5230</v>
          </cell>
        </row>
        <row r="131">
          <cell r="A131">
            <v>5251</v>
          </cell>
        </row>
        <row r="132">
          <cell r="A132">
            <v>5267</v>
          </cell>
        </row>
        <row r="133">
          <cell r="A133" t="str">
            <v>ET001</v>
          </cell>
        </row>
        <row r="134">
          <cell r="A134" t="str">
            <v>ET002</v>
          </cell>
        </row>
        <row r="135">
          <cell r="A135" t="str">
            <v>ET003</v>
          </cell>
        </row>
        <row r="136">
          <cell r="A136" t="str">
            <v>ET004</v>
          </cell>
        </row>
        <row r="137">
          <cell r="A137" t="str">
            <v>ET005</v>
          </cell>
        </row>
        <row r="138">
          <cell r="A138">
            <v>5302</v>
          </cell>
        </row>
        <row r="139">
          <cell r="A139" t="str">
            <v>ET007</v>
          </cell>
        </row>
        <row r="140">
          <cell r="A140" t="str">
            <v>ET008</v>
          </cell>
        </row>
        <row r="141">
          <cell r="A141" t="str">
            <v>ET009</v>
          </cell>
        </row>
        <row r="142">
          <cell r="A142" t="str">
            <v>ET010</v>
          </cell>
        </row>
        <row r="143">
          <cell r="A143" t="str">
            <v>ET011</v>
          </cell>
        </row>
        <row r="144">
          <cell r="A144" t="str">
            <v>ET012</v>
          </cell>
        </row>
        <row r="145">
          <cell r="A145" t="str">
            <v>ET013</v>
          </cell>
        </row>
        <row r="146">
          <cell r="A146" t="str">
            <v>ET014</v>
          </cell>
        </row>
        <row r="147">
          <cell r="A147" t="str">
            <v>ET015</v>
          </cell>
        </row>
        <row r="148">
          <cell r="A148" t="str">
            <v>ET016</v>
          </cell>
        </row>
        <row r="149">
          <cell r="A149" t="str">
            <v>ET017</v>
          </cell>
        </row>
        <row r="150">
          <cell r="A150" t="str">
            <v>WASTPS</v>
          </cell>
        </row>
        <row r="151">
          <cell r="A151" t="str">
            <v>ET102</v>
          </cell>
        </row>
        <row r="152">
          <cell r="A152" t="str">
            <v>BA_ALL</v>
          </cell>
        </row>
        <row r="153">
          <cell r="A153" t="str">
            <v>5010-27</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VISIONED SERVERS"/>
      <sheetName val="PROVISIONED IPs"/>
      <sheetName val="Sheet1"/>
      <sheetName val="STATISTICS"/>
      <sheetName val="FUNCTIONS"/>
    </sheetNames>
    <sheetDataSet>
      <sheetData sheetId="0">
        <row r="4">
          <cell r="A4" t="str">
            <v>SERVER NAME</v>
          </cell>
        </row>
        <row r="5">
          <cell r="A5" t="str">
            <v>pwauslihsapp01</v>
          </cell>
        </row>
        <row r="6">
          <cell r="A6" t="str">
            <v>pwauslihsapp02</v>
          </cell>
        </row>
        <row r="7">
          <cell r="A7" t="str">
            <v>pwauslwasapp01</v>
          </cell>
        </row>
        <row r="8">
          <cell r="A8" t="str">
            <v>pwauslwasmgt01</v>
          </cell>
        </row>
        <row r="9">
          <cell r="A9" t="str">
            <v>pwauswifsq0401</v>
          </cell>
        </row>
        <row r="10">
          <cell r="A10" t="str">
            <v>pwauswifsq0402</v>
          </cell>
        </row>
        <row r="11">
          <cell r="A11" t="str">
            <v>pwausxfrmdb01</v>
          </cell>
        </row>
        <row r="12">
          <cell r="A12" t="str">
            <v>pwausxfrmdb02</v>
          </cell>
        </row>
        <row r="13">
          <cell r="A13" t="str">
            <v>twauslihsapp01</v>
          </cell>
        </row>
        <row r="14">
          <cell r="A14" t="str">
            <v>twauslihsapp02</v>
          </cell>
        </row>
        <row r="15">
          <cell r="A15" t="str">
            <v>twauslwasmgt02</v>
          </cell>
        </row>
        <row r="16">
          <cell r="A16" t="str">
            <v>twausxwasapp03</v>
          </cell>
        </row>
        <row r="17">
          <cell r="A17" t="str">
            <v>twausxwasapp04</v>
          </cell>
        </row>
        <row r="18">
          <cell r="A18" t="str">
            <v>pwauslwasmgt02</v>
          </cell>
        </row>
        <row r="19">
          <cell r="A19" t="str">
            <v>pwausxwasapp03</v>
          </cell>
        </row>
        <row r="20">
          <cell r="A20" t="str">
            <v>pwausxwasapp04</v>
          </cell>
        </row>
        <row r="21">
          <cell r="A21" t="str">
            <v>twauswcswb10</v>
          </cell>
        </row>
        <row r="22">
          <cell r="A22" t="str">
            <v>twauswcswb11</v>
          </cell>
        </row>
        <row r="23">
          <cell r="A23" t="str">
            <v>twauswcsap10</v>
          </cell>
        </row>
        <row r="24">
          <cell r="A24" t="str">
            <v>twauswcsap11</v>
          </cell>
        </row>
        <row r="25">
          <cell r="A25" t="str">
            <v>twauswcsap12</v>
          </cell>
        </row>
        <row r="26">
          <cell r="A26" t="str">
            <v>twauswcsap13</v>
          </cell>
        </row>
        <row r="27">
          <cell r="A27" t="str">
            <v>twauswcsap14</v>
          </cell>
        </row>
        <row r="28">
          <cell r="A28" t="str">
            <v>twauswcsap15</v>
          </cell>
        </row>
        <row r="29">
          <cell r="A29" t="str">
            <v>twauswcsap16</v>
          </cell>
        </row>
        <row r="30">
          <cell r="A30" t="str">
            <v>twauswcsap17</v>
          </cell>
        </row>
        <row r="31">
          <cell r="A31" t="str">
            <v>twauswcsgw10</v>
          </cell>
        </row>
        <row r="32">
          <cell r="A32" t="str">
            <v>twausxsblapp01</v>
          </cell>
        </row>
        <row r="33">
          <cell r="A33" t="str">
            <v>twausxsblapp02</v>
          </cell>
        </row>
        <row r="34">
          <cell r="A34" t="str">
            <v>twausxsbldb01</v>
          </cell>
        </row>
        <row r="35">
          <cell r="A35" t="str">
            <v>twausxsbldb02</v>
          </cell>
        </row>
        <row r="36">
          <cell r="A36" t="str">
            <v>twauswcssq1001</v>
          </cell>
        </row>
        <row r="37">
          <cell r="A37" t="str">
            <v>twauswcssq1002</v>
          </cell>
        </row>
        <row r="38">
          <cell r="A38" t="str">
            <v>twauswcswb12</v>
          </cell>
        </row>
        <row r="39">
          <cell r="A39" t="str">
            <v>twauswcsap18</v>
          </cell>
        </row>
        <row r="40">
          <cell r="A40" t="str">
            <v>twauswcsap19</v>
          </cell>
        </row>
        <row r="41">
          <cell r="A41" t="str">
            <v>twauswcsgw11</v>
          </cell>
        </row>
        <row r="42">
          <cell r="A42" t="str">
            <v>twauswcsap20</v>
          </cell>
        </row>
        <row r="43">
          <cell r="A43" t="str">
            <v>twauswcsap21</v>
          </cell>
        </row>
        <row r="44">
          <cell r="A44" t="str">
            <v>twausxsblapp04</v>
          </cell>
        </row>
        <row r="45">
          <cell r="A45" t="str">
            <v>twausxsblapp05</v>
          </cell>
        </row>
        <row r="46">
          <cell r="A46" t="str">
            <v>twausxsbldb03</v>
          </cell>
        </row>
        <row r="47">
          <cell r="A47" t="str">
            <v>pwauswcswb10</v>
          </cell>
        </row>
        <row r="48">
          <cell r="A48" t="str">
            <v>pwauswcswb11</v>
          </cell>
        </row>
        <row r="49">
          <cell r="A49" t="str">
            <v>pwauswcswb12</v>
          </cell>
        </row>
        <row r="50">
          <cell r="A50" t="str">
            <v>pwauswcswb13</v>
          </cell>
        </row>
        <row r="51">
          <cell r="A51" t="str">
            <v>pwauswcsap10</v>
          </cell>
        </row>
        <row r="52">
          <cell r="A52" t="str">
            <v>pwauswcsap11</v>
          </cell>
        </row>
        <row r="53">
          <cell r="A53" t="str">
            <v>pwauswcsap12</v>
          </cell>
        </row>
        <row r="54">
          <cell r="A54" t="str">
            <v>pwauswcsap13</v>
          </cell>
        </row>
        <row r="55">
          <cell r="A55" t="str">
            <v>pwauswcsap14</v>
          </cell>
        </row>
        <row r="56">
          <cell r="A56" t="str">
            <v>pwauswcsap15</v>
          </cell>
        </row>
        <row r="57">
          <cell r="A57" t="str">
            <v>pwauswcsap16</v>
          </cell>
        </row>
        <row r="58">
          <cell r="A58" t="str">
            <v>pwauswcsap17</v>
          </cell>
        </row>
        <row r="59">
          <cell r="A59" t="str">
            <v>pwauswcsap18</v>
          </cell>
        </row>
        <row r="60">
          <cell r="A60" t="str">
            <v>pwauswcsap19</v>
          </cell>
        </row>
        <row r="61">
          <cell r="A61" t="str">
            <v>pwauswcsap20</v>
          </cell>
        </row>
        <row r="62">
          <cell r="A62" t="str">
            <v>pwauswcsap21</v>
          </cell>
        </row>
        <row r="63">
          <cell r="A63" t="str">
            <v>pwauswcsap22</v>
          </cell>
        </row>
        <row r="64">
          <cell r="A64" t="str">
            <v>pwauswcsap23</v>
          </cell>
        </row>
        <row r="65">
          <cell r="A65" t="str">
            <v>pwauswcsap24</v>
          </cell>
        </row>
        <row r="66">
          <cell r="A66" t="str">
            <v>pwauswcsap25</v>
          </cell>
        </row>
        <row r="67">
          <cell r="A67" t="str">
            <v>pwauswcsap26</v>
          </cell>
        </row>
        <row r="68">
          <cell r="A68" t="str">
            <v>pwauswcsap27</v>
          </cell>
        </row>
        <row r="69">
          <cell r="A69" t="str">
            <v>pwauswcsap28</v>
          </cell>
        </row>
        <row r="70">
          <cell r="A70" t="str">
            <v>pwauswcsap29</v>
          </cell>
        </row>
        <row r="71">
          <cell r="A71" t="str">
            <v>pwauswcsgw10</v>
          </cell>
        </row>
        <row r="72">
          <cell r="A72" t="str">
            <v>pwausxsblapp01</v>
          </cell>
        </row>
        <row r="73">
          <cell r="A73" t="str">
            <v>pwausxsblapp02</v>
          </cell>
        </row>
        <row r="74">
          <cell r="A74" t="str">
            <v>pwausxsblapp03</v>
          </cell>
        </row>
        <row r="75">
          <cell r="A75" t="str">
            <v>pwausxsblapp04</v>
          </cell>
        </row>
        <row r="76">
          <cell r="A76" t="str">
            <v>pwauswcsap30</v>
          </cell>
        </row>
        <row r="77">
          <cell r="A77" t="str">
            <v>pwauswcsap31</v>
          </cell>
        </row>
        <row r="78">
          <cell r="A78" t="str">
            <v>pwauswcsap32</v>
          </cell>
        </row>
        <row r="79">
          <cell r="A79" t="str">
            <v>pwauswcsap33</v>
          </cell>
        </row>
        <row r="80">
          <cell r="A80" t="str">
            <v>pwauswcsap34</v>
          </cell>
        </row>
        <row r="81">
          <cell r="A81" t="str">
            <v>pwauswcsap35</v>
          </cell>
        </row>
        <row r="82">
          <cell r="A82" t="str">
            <v>pwauswcsap36</v>
          </cell>
        </row>
        <row r="83">
          <cell r="A83" t="str">
            <v>pwauswcsap37</v>
          </cell>
        </row>
        <row r="84">
          <cell r="A84" t="str">
            <v>pwauswcsap38</v>
          </cell>
        </row>
        <row r="85">
          <cell r="A85" t="str">
            <v>pwausxsbldb01</v>
          </cell>
        </row>
        <row r="86">
          <cell r="A86" t="str">
            <v>pwausxsbldb02</v>
          </cell>
        </row>
        <row r="87">
          <cell r="A87" t="str">
            <v>pwauswcssq1001</v>
          </cell>
        </row>
        <row r="88">
          <cell r="A88" t="str">
            <v>pwauswcssq1002</v>
          </cell>
        </row>
        <row r="89">
          <cell r="A89" t="str">
            <v>twauswshsq0601</v>
          </cell>
        </row>
        <row r="90">
          <cell r="A90" t="str">
            <v>twauswshsq0602</v>
          </cell>
        </row>
        <row r="91">
          <cell r="A91" t="str">
            <v>pwauswshsq0601</v>
          </cell>
        </row>
        <row r="92">
          <cell r="A92" t="str">
            <v>pwauswshsq0602</v>
          </cell>
        </row>
        <row r="93">
          <cell r="A93" t="str">
            <v>twausxwasapp11</v>
          </cell>
        </row>
        <row r="94">
          <cell r="A94" t="str">
            <v>twausxwasapp12</v>
          </cell>
        </row>
        <row r="95">
          <cell r="A95" t="str">
            <v>twausxwasapp09</v>
          </cell>
        </row>
        <row r="96">
          <cell r="A96" t="str">
            <v>twausxwasapp10</v>
          </cell>
        </row>
        <row r="97">
          <cell r="A97" t="str">
            <v>pwausxwasapp11</v>
          </cell>
        </row>
        <row r="98">
          <cell r="A98" t="str">
            <v>pwausxwasapp12</v>
          </cell>
        </row>
        <row r="99">
          <cell r="A99" t="str">
            <v>twauslwasapp07</v>
          </cell>
        </row>
        <row r="100">
          <cell r="A100" t="str">
            <v>pwauslwasapp05</v>
          </cell>
        </row>
        <row r="101">
          <cell r="A101" t="str">
            <v>pwauslwasapp06</v>
          </cell>
        </row>
        <row r="102">
          <cell r="A102" t="str">
            <v>twauslwasapp05</v>
          </cell>
        </row>
        <row r="103">
          <cell r="A103" t="str">
            <v>twauslwasapp06</v>
          </cell>
        </row>
        <row r="104">
          <cell r="A104" t="str">
            <v>twauslwasapp11</v>
          </cell>
        </row>
        <row r="105">
          <cell r="A105" t="str">
            <v>twauslwasapp12</v>
          </cell>
        </row>
        <row r="106">
          <cell r="A106" t="str">
            <v>twauslwasapp15</v>
          </cell>
        </row>
        <row r="107">
          <cell r="A107" t="str">
            <v>twauslwasapp16</v>
          </cell>
        </row>
        <row r="108">
          <cell r="A108" t="str">
            <v>twauslwasapp19</v>
          </cell>
        </row>
        <row r="109">
          <cell r="A109" t="str">
            <v>twauslwasapp20</v>
          </cell>
        </row>
        <row r="110">
          <cell r="A110" t="str">
            <v>twauslwasapp13</v>
          </cell>
        </row>
        <row r="111">
          <cell r="A111" t="str">
            <v>twauslwasapp14</v>
          </cell>
        </row>
        <row r="112">
          <cell r="A112" t="str">
            <v>twauslwasapp17</v>
          </cell>
        </row>
        <row r="113">
          <cell r="A113" t="str">
            <v>twauslwasapp18</v>
          </cell>
        </row>
        <row r="114">
          <cell r="A114" t="str">
            <v>twauslwasapp21</v>
          </cell>
        </row>
        <row r="115">
          <cell r="A115" t="str">
            <v>twauslwasapp22</v>
          </cell>
        </row>
        <row r="116">
          <cell r="A116" t="str">
            <v>twauslwasmgt04</v>
          </cell>
        </row>
        <row r="117">
          <cell r="A117" t="str">
            <v>twauslwasmgt05</v>
          </cell>
        </row>
        <row r="118">
          <cell r="A118" t="str">
            <v>pwauslwasapp11</v>
          </cell>
        </row>
        <row r="119">
          <cell r="A119" t="str">
            <v>pwauslwasapp12</v>
          </cell>
        </row>
        <row r="120">
          <cell r="A120" t="str">
            <v>pwauslwasapp15</v>
          </cell>
        </row>
        <row r="121">
          <cell r="A121" t="str">
            <v>pwauslwasapp16</v>
          </cell>
        </row>
        <row r="122">
          <cell r="A122" t="str">
            <v>pwauslwasapp19</v>
          </cell>
        </row>
        <row r="123">
          <cell r="A123" t="str">
            <v>pwauslwasapp20</v>
          </cell>
        </row>
        <row r="124">
          <cell r="A124" t="str">
            <v>pwauslwasapp13</v>
          </cell>
        </row>
        <row r="125">
          <cell r="A125" t="str">
            <v>pwauslwasapp14</v>
          </cell>
        </row>
        <row r="126">
          <cell r="A126" t="str">
            <v>pwauslwasapp17</v>
          </cell>
        </row>
        <row r="127">
          <cell r="A127" t="str">
            <v>pwauslwasapp18</v>
          </cell>
        </row>
        <row r="128">
          <cell r="A128" t="str">
            <v>pwauslwasapp21</v>
          </cell>
        </row>
        <row r="129">
          <cell r="A129" t="str">
            <v>pwauslwasapp22</v>
          </cell>
        </row>
        <row r="130">
          <cell r="A130" t="str">
            <v>pwauslwasmgt04</v>
          </cell>
        </row>
        <row r="131">
          <cell r="A131" t="str">
            <v>pwauslwasmgt05</v>
          </cell>
        </row>
        <row r="132">
          <cell r="A132" t="str">
            <v>twausxpstapp01</v>
          </cell>
        </row>
        <row r="133">
          <cell r="A133" t="str">
            <v>twausxpstapp02</v>
          </cell>
        </row>
        <row r="134">
          <cell r="A134" t="str">
            <v>twauswpsap01</v>
          </cell>
        </row>
        <row r="135">
          <cell r="A135" t="str">
            <v>twausxpstapp03</v>
          </cell>
        </row>
        <row r="136">
          <cell r="A136" t="str">
            <v>pwausxpstapp01</v>
          </cell>
        </row>
        <row r="137">
          <cell r="A137" t="str">
            <v>pwausxpstapp02</v>
          </cell>
        </row>
        <row r="138">
          <cell r="A138" t="str">
            <v>pwauswpsap01</v>
          </cell>
        </row>
        <row r="139">
          <cell r="A139" t="str">
            <v>pwauswpsap02</v>
          </cell>
        </row>
        <row r="140">
          <cell r="A140" t="str">
            <v>pwausxpstapp03</v>
          </cell>
        </row>
        <row r="141">
          <cell r="A141" t="str">
            <v>pwausxpstapp04</v>
          </cell>
        </row>
        <row r="142">
          <cell r="A142" t="str">
            <v>pwauslihsapp03</v>
          </cell>
        </row>
        <row r="143">
          <cell r="A143" t="str">
            <v>pwauslihsapp04</v>
          </cell>
        </row>
        <row r="144">
          <cell r="A144" t="str">
            <v>pwauslwasapp03</v>
          </cell>
        </row>
        <row r="145">
          <cell r="A145" t="str">
            <v>pwauslwasapp04</v>
          </cell>
        </row>
        <row r="146">
          <cell r="A146" t="str">
            <v>twausxwasapp05</v>
          </cell>
        </row>
        <row r="147">
          <cell r="A147" t="str">
            <v>twausxwasapp06</v>
          </cell>
        </row>
        <row r="148">
          <cell r="A148" t="str">
            <v>pwausxwasapp05</v>
          </cell>
        </row>
        <row r="149">
          <cell r="A149" t="str">
            <v>pwausxwasapp06</v>
          </cell>
        </row>
        <row r="150">
          <cell r="A150" t="str">
            <v>twauswshsq03</v>
          </cell>
        </row>
        <row r="151">
          <cell r="A151" t="str">
            <v>twauswshfs01</v>
          </cell>
        </row>
        <row r="152">
          <cell r="A152" t="str">
            <v>pwauswshsq03</v>
          </cell>
        </row>
        <row r="153">
          <cell r="A153" t="str">
            <v>pwauswshfs01</v>
          </cell>
        </row>
        <row r="154">
          <cell r="A154" t="str">
            <v>twauslwasmgt03</v>
          </cell>
        </row>
        <row r="155">
          <cell r="A155" t="str">
            <v>twausxwasapp07</v>
          </cell>
        </row>
        <row r="156">
          <cell r="A156" t="str">
            <v>twausxwasapp08</v>
          </cell>
        </row>
        <row r="157">
          <cell r="A157" t="str">
            <v>twausxmqmwfl01</v>
          </cell>
        </row>
        <row r="158">
          <cell r="A158" t="str">
            <v>twauswbasq01</v>
          </cell>
        </row>
        <row r="159">
          <cell r="A159" t="str">
            <v>twauswbasq0201</v>
          </cell>
        </row>
        <row r="160">
          <cell r="A160" t="str">
            <v>twauswbasq0202</v>
          </cell>
        </row>
        <row r="161">
          <cell r="A161" t="str">
            <v>twauswbasq0301</v>
          </cell>
        </row>
        <row r="162">
          <cell r="A162" t="str">
            <v>twauswbasq0302</v>
          </cell>
        </row>
        <row r="163">
          <cell r="A163" t="str">
            <v>twauswbasq02</v>
          </cell>
        </row>
        <row r="164">
          <cell r="A164" t="str">
            <v>twauswbasq03</v>
          </cell>
        </row>
        <row r="165">
          <cell r="A165" t="str">
            <v>twauswbasq04</v>
          </cell>
        </row>
        <row r="166">
          <cell r="A166" t="str">
            <v>twauswbasq05</v>
          </cell>
        </row>
        <row r="167">
          <cell r="A167" t="str">
            <v>twausxfrmdb03</v>
          </cell>
        </row>
        <row r="168">
          <cell r="A168" t="str">
            <v>twauswbasq0401</v>
          </cell>
        </row>
        <row r="169">
          <cell r="A169" t="str">
            <v>twauswbasq0402</v>
          </cell>
        </row>
        <row r="170">
          <cell r="A170" t="str">
            <v>pwauslwasmgt03</v>
          </cell>
        </row>
        <row r="171">
          <cell r="A171" t="str">
            <v>pwausxwasapp07</v>
          </cell>
        </row>
        <row r="172">
          <cell r="A172" t="str">
            <v>pwausxwasapp08</v>
          </cell>
        </row>
        <row r="173">
          <cell r="A173" t="str">
            <v>pwausxwasapp09</v>
          </cell>
        </row>
        <row r="174">
          <cell r="A174" t="str">
            <v>pwausxwasapp10</v>
          </cell>
        </row>
        <row r="175">
          <cell r="A175" t="str">
            <v>pwausxmqmwfl01</v>
          </cell>
        </row>
        <row r="176">
          <cell r="A176" t="str">
            <v>pwauswbasq0201</v>
          </cell>
        </row>
        <row r="177">
          <cell r="A177" t="str">
            <v>pwauswbasq0202</v>
          </cell>
        </row>
        <row r="178">
          <cell r="A178" t="str">
            <v>pwauswbasq01</v>
          </cell>
        </row>
        <row r="179">
          <cell r="A179" t="str">
            <v>pwauswbasq0302</v>
          </cell>
        </row>
        <row r="180">
          <cell r="A180" t="str">
            <v>pwauswbasq0301</v>
          </cell>
        </row>
        <row r="181">
          <cell r="A181" t="str">
            <v>pwauswbasq0101</v>
          </cell>
        </row>
        <row r="182">
          <cell r="A182" t="str">
            <v>pwauswbasq0102</v>
          </cell>
        </row>
        <row r="183">
          <cell r="A183" t="str">
            <v>pwauswbasq02</v>
          </cell>
        </row>
        <row r="184">
          <cell r="A184" t="str">
            <v>pwauswbasq03</v>
          </cell>
        </row>
        <row r="185">
          <cell r="A185" t="str">
            <v>pwauswbasq04</v>
          </cell>
        </row>
        <row r="186">
          <cell r="A186" t="str">
            <v>pwausxfrmdb04</v>
          </cell>
        </row>
        <row r="187">
          <cell r="A187" t="str">
            <v>pwauswbasq0401</v>
          </cell>
        </row>
        <row r="188">
          <cell r="A188" t="str">
            <v>pwauswbasq0402</v>
          </cell>
        </row>
        <row r="189">
          <cell r="A189" t="str">
            <v>pwausxfrmdb03</v>
          </cell>
        </row>
        <row r="190">
          <cell r="A190" t="str">
            <v>twauswbasq08</v>
          </cell>
        </row>
        <row r="191">
          <cell r="A191" t="str">
            <v>pwauswbasq06</v>
          </cell>
        </row>
        <row r="192">
          <cell r="A192" t="str">
            <v>pwauslwasapp02</v>
          </cell>
        </row>
        <row r="193">
          <cell r="A193" t="str">
            <v>pwauslwasapp07</v>
          </cell>
        </row>
        <row r="194">
          <cell r="A194" t="str">
            <v>pwauslwasapp08</v>
          </cell>
        </row>
        <row r="195">
          <cell r="A195" t="str">
            <v>twauslwasapp02</v>
          </cell>
        </row>
        <row r="196">
          <cell r="A196" t="str">
            <v>twausxwasapp17</v>
          </cell>
        </row>
        <row r="197">
          <cell r="A197" t="str">
            <v>twausxwasapp18</v>
          </cell>
        </row>
        <row r="198">
          <cell r="A198" t="str">
            <v>twausxwasapp19</v>
          </cell>
        </row>
        <row r="199">
          <cell r="A199" t="str">
            <v>twausxwasapp20</v>
          </cell>
        </row>
        <row r="200">
          <cell r="A200" t="str">
            <v>twausxwasmgt01</v>
          </cell>
        </row>
        <row r="201">
          <cell r="A201" t="str">
            <v>twausxwasmgt02</v>
          </cell>
        </row>
        <row r="202">
          <cell r="A202" t="str">
            <v>twausxwpsdb01</v>
          </cell>
        </row>
        <row r="203">
          <cell r="A203" t="str">
            <v>twausxwpsdb02</v>
          </cell>
        </row>
        <row r="204">
          <cell r="A204" t="str">
            <v>twausxwpsdb03</v>
          </cell>
        </row>
        <row r="205">
          <cell r="A205" t="str">
            <v>twausxwpsdb04</v>
          </cell>
        </row>
        <row r="206">
          <cell r="A206" t="str">
            <v>pwausxwasapp15</v>
          </cell>
        </row>
        <row r="207">
          <cell r="A207" t="str">
            <v>pwausxwasapp16</v>
          </cell>
        </row>
        <row r="208">
          <cell r="A208" t="str">
            <v>pwausxwasmgt01</v>
          </cell>
        </row>
        <row r="209">
          <cell r="A209" t="str">
            <v>pwausxwpsdb01</v>
          </cell>
        </row>
        <row r="210">
          <cell r="A210" t="str">
            <v>pwausxwpsdb02</v>
          </cell>
        </row>
        <row r="211">
          <cell r="A211" t="str">
            <v>pwausxmqmapp01</v>
          </cell>
        </row>
        <row r="212">
          <cell r="A212" t="str">
            <v>pwausxmqmapp02</v>
          </cell>
        </row>
        <row r="213">
          <cell r="A213" t="str">
            <v>pwausxmqmapp03</v>
          </cell>
        </row>
        <row r="214">
          <cell r="A214" t="str">
            <v>pwausxmqmapp04</v>
          </cell>
        </row>
        <row r="215">
          <cell r="A215" t="str">
            <v>twausxfrmdb04</v>
          </cell>
        </row>
        <row r="216">
          <cell r="A216" t="str">
            <v>twausxfrmdb01</v>
          </cell>
        </row>
        <row r="217">
          <cell r="A217" t="str">
            <v>twausxfrmdb02</v>
          </cell>
        </row>
        <row r="218">
          <cell r="A218" t="str">
            <v>pwauslsasmgt02</v>
          </cell>
        </row>
        <row r="219">
          <cell r="A219" t="str">
            <v>twauslihsapp03</v>
          </cell>
        </row>
        <row r="220">
          <cell r="A220" t="str">
            <v>twauslihsapp04</v>
          </cell>
        </row>
        <row r="221">
          <cell r="A221" t="str">
            <v>twauslwasapp03</v>
          </cell>
        </row>
        <row r="222">
          <cell r="A222" t="str">
            <v>twauslwasapp04</v>
          </cell>
        </row>
        <row r="223">
          <cell r="A223" t="str">
            <v>pwauswifsq04</v>
          </cell>
        </row>
        <row r="224">
          <cell r="A224" t="str">
            <v>twauswcswb13</v>
          </cell>
        </row>
        <row r="225">
          <cell r="A225" t="str">
            <v>twauswcsap22</v>
          </cell>
        </row>
        <row r="226">
          <cell r="A226" t="str">
            <v>twauswcsap23</v>
          </cell>
        </row>
        <row r="227">
          <cell r="A227" t="str">
            <v>twauswcsap24</v>
          </cell>
        </row>
        <row r="228">
          <cell r="A228" t="str">
            <v>twauswcsgw12</v>
          </cell>
        </row>
        <row r="229">
          <cell r="A229" t="str">
            <v>twausxsbldb05</v>
          </cell>
        </row>
        <row r="230">
          <cell r="A230" t="str">
            <v>twausxsbldb04</v>
          </cell>
        </row>
        <row r="231">
          <cell r="A231" t="str">
            <v>pwauswcswb14</v>
          </cell>
        </row>
        <row r="232">
          <cell r="A232" t="str">
            <v>pwauswcswb15</v>
          </cell>
        </row>
        <row r="233">
          <cell r="A233" t="str">
            <v>pwauswcsap40</v>
          </cell>
        </row>
        <row r="234">
          <cell r="A234" t="str">
            <v>pwauswcsap41</v>
          </cell>
        </row>
        <row r="235">
          <cell r="A235" t="str">
            <v>pwauswcsap42</v>
          </cell>
        </row>
        <row r="236">
          <cell r="A236" t="str">
            <v>pwauswcsgw12</v>
          </cell>
        </row>
        <row r="237">
          <cell r="A237" t="str">
            <v>pwausxsbldb03</v>
          </cell>
        </row>
        <row r="238">
          <cell r="A238" t="str">
            <v>pwausxsbldb04</v>
          </cell>
        </row>
        <row r="239">
          <cell r="A239" t="str">
            <v>twauswfdsq0101</v>
          </cell>
        </row>
        <row r="240">
          <cell r="A240" t="str">
            <v>twauswfdsq0102</v>
          </cell>
        </row>
        <row r="241">
          <cell r="A241" t="str">
            <v>pwauswfdsq0201</v>
          </cell>
        </row>
        <row r="242">
          <cell r="A242" t="str">
            <v>pwauswfdsq0202</v>
          </cell>
        </row>
        <row r="243">
          <cell r="A243" t="str">
            <v>twausxmqmbrk01</v>
          </cell>
        </row>
        <row r="244">
          <cell r="A244" t="str">
            <v>twausxmqmbrk02</v>
          </cell>
        </row>
        <row r="245">
          <cell r="A245" t="str">
            <v>twausxmqmbrk03</v>
          </cell>
        </row>
        <row r="246">
          <cell r="A246" t="str">
            <v>pwausxmqmbrk01</v>
          </cell>
        </row>
        <row r="247">
          <cell r="A247" t="str">
            <v>pwausxmqmbrk02</v>
          </cell>
        </row>
        <row r="248">
          <cell r="A248" t="str">
            <v>twauswcswb14</v>
          </cell>
        </row>
        <row r="249">
          <cell r="A249" t="str">
            <v>twauswcswb15</v>
          </cell>
        </row>
        <row r="250">
          <cell r="A250" t="str">
            <v>twauswcsap25</v>
          </cell>
        </row>
        <row r="251">
          <cell r="A251" t="str">
            <v>twauswcsap26</v>
          </cell>
        </row>
        <row r="252">
          <cell r="A252" t="str">
            <v>twauswcsap27</v>
          </cell>
        </row>
        <row r="253">
          <cell r="A253" t="str">
            <v>twauswcsap28</v>
          </cell>
        </row>
        <row r="254">
          <cell r="A254" t="str">
            <v>twauswcsrp01</v>
          </cell>
        </row>
        <row r="255">
          <cell r="A255" t="str">
            <v>twausxsblapp06</v>
          </cell>
        </row>
        <row r="256">
          <cell r="A256" t="str">
            <v>twausxsblapp07</v>
          </cell>
        </row>
        <row r="257">
          <cell r="A257" t="str">
            <v>twausxsbldb07</v>
          </cell>
        </row>
        <row r="258">
          <cell r="A258" t="str">
            <v>twausxsbldb06</v>
          </cell>
        </row>
        <row r="259">
          <cell r="A259" t="str">
            <v>pwauswcswb16</v>
          </cell>
        </row>
        <row r="260">
          <cell r="A260" t="str">
            <v>pwauswcswb17</v>
          </cell>
        </row>
        <row r="261">
          <cell r="A261" t="str">
            <v>pwauswcsap43</v>
          </cell>
        </row>
        <row r="262">
          <cell r="A262" t="str">
            <v>pwauswcsap44</v>
          </cell>
        </row>
        <row r="263">
          <cell r="A263" t="str">
            <v>pwauswcsap45</v>
          </cell>
        </row>
        <row r="264">
          <cell r="A264" t="str">
            <v>pwauswcsap46</v>
          </cell>
        </row>
        <row r="265">
          <cell r="A265" t="str">
            <v>pwauswcsgw13</v>
          </cell>
        </row>
        <row r="266">
          <cell r="A266" t="str">
            <v>pwauswcsrp01</v>
          </cell>
        </row>
        <row r="267">
          <cell r="A267" t="str">
            <v>pwausxsblapp06</v>
          </cell>
        </row>
        <row r="268">
          <cell r="A268" t="str">
            <v>pwausxsblapp07</v>
          </cell>
        </row>
        <row r="269">
          <cell r="A269" t="str">
            <v>pwausxsbldb05</v>
          </cell>
        </row>
        <row r="270">
          <cell r="A270" t="str">
            <v>pwausxsbldb06</v>
          </cell>
        </row>
        <row r="271">
          <cell r="A271" t="str">
            <v>twausxwasapp13</v>
          </cell>
        </row>
        <row r="272">
          <cell r="A272" t="str">
            <v>twausxwasapp14</v>
          </cell>
        </row>
        <row r="273">
          <cell r="A273" t="str">
            <v>pwausxwasapp13</v>
          </cell>
        </row>
        <row r="274">
          <cell r="A274" t="str">
            <v>pwausxwasapp14</v>
          </cell>
        </row>
        <row r="275">
          <cell r="A275" t="str">
            <v>twausadnoapp01</v>
          </cell>
        </row>
        <row r="276">
          <cell r="A276" t="str">
            <v>twausadnoapp02</v>
          </cell>
        </row>
        <row r="277">
          <cell r="A277" t="str">
            <v>twausadnoapp03</v>
          </cell>
        </row>
        <row r="278">
          <cell r="A278" t="str">
            <v>pwausadnoapp03</v>
          </cell>
        </row>
        <row r="279">
          <cell r="A279" t="str">
            <v>pwausadnodb02</v>
          </cell>
        </row>
        <row r="280">
          <cell r="A280" t="str">
            <v>twauslihspxy01</v>
          </cell>
        </row>
        <row r="281">
          <cell r="A281" t="str">
            <v>twauslihspxy02</v>
          </cell>
        </row>
        <row r="282">
          <cell r="A282" t="str">
            <v>twauslihspxy03</v>
          </cell>
        </row>
        <row r="283">
          <cell r="A283" t="str">
            <v>twauslihspxy04</v>
          </cell>
        </row>
        <row r="284">
          <cell r="A284" t="str">
            <v>pwauslihspxy01</v>
          </cell>
        </row>
        <row r="285">
          <cell r="A285" t="str">
            <v>pwauslihspxy02</v>
          </cell>
        </row>
        <row r="286">
          <cell r="A286" t="str">
            <v>pwauslihspxy03</v>
          </cell>
        </row>
        <row r="287">
          <cell r="A287" t="str">
            <v>pwauslihspxy04</v>
          </cell>
        </row>
        <row r="288">
          <cell r="A288" t="str">
            <v>twauslwasapp09</v>
          </cell>
        </row>
        <row r="289">
          <cell r="A289" t="str">
            <v>twauslwasapp10</v>
          </cell>
        </row>
        <row r="290">
          <cell r="A290" t="str">
            <v>twauswivsq0201</v>
          </cell>
        </row>
        <row r="291">
          <cell r="A291" t="str">
            <v>twauswivsq0202</v>
          </cell>
        </row>
        <row r="292">
          <cell r="A292" t="str">
            <v>twauswivsq04</v>
          </cell>
        </row>
        <row r="293">
          <cell r="A293" t="str">
            <v>pwauslwasapp09</v>
          </cell>
        </row>
        <row r="294">
          <cell r="A294" t="str">
            <v>pwauslwasapp10</v>
          </cell>
        </row>
        <row r="295">
          <cell r="A295" t="str">
            <v>pwauswivsq0201</v>
          </cell>
        </row>
        <row r="296">
          <cell r="A296" t="str">
            <v>pwauswivsq0202</v>
          </cell>
        </row>
        <row r="297">
          <cell r="A297" t="str">
            <v>pwauswivsq04</v>
          </cell>
        </row>
        <row r="298">
          <cell r="A298" t="str">
            <v>twauswifwb02</v>
          </cell>
        </row>
        <row r="299">
          <cell r="A299" t="str">
            <v>pwauswifwb02</v>
          </cell>
        </row>
        <row r="300">
          <cell r="A300" t="str">
            <v>twauswifft01</v>
          </cell>
        </row>
        <row r="301">
          <cell r="A301" t="str">
            <v>pwauswifft01</v>
          </cell>
        </row>
        <row r="302">
          <cell r="A302" t="str">
            <v>twauslwasmgt04</v>
          </cell>
        </row>
        <row r="303">
          <cell r="A303" t="str">
            <v>twausxwasapp21</v>
          </cell>
        </row>
        <row r="304">
          <cell r="A304" t="str">
            <v>twausxptldb01</v>
          </cell>
        </row>
        <row r="305">
          <cell r="A305" t="str">
            <v>twausxwasapp15</v>
          </cell>
        </row>
        <row r="306">
          <cell r="A306" t="str">
            <v>twausxwasapp16</v>
          </cell>
        </row>
        <row r="307">
          <cell r="A307" t="str">
            <v>twausxptldb02</v>
          </cell>
        </row>
        <row r="308">
          <cell r="A308" t="str">
            <v>twausxptldb03</v>
          </cell>
        </row>
        <row r="309">
          <cell r="A309" t="str">
            <v>pwausxwasapp17</v>
          </cell>
        </row>
        <row r="310">
          <cell r="A310" t="str">
            <v>pwausxwasapp18</v>
          </cell>
        </row>
        <row r="311">
          <cell r="A311" t="str">
            <v>pwausxptldb01</v>
          </cell>
        </row>
        <row r="312">
          <cell r="A312" t="str">
            <v>pwausxptldb02</v>
          </cell>
        </row>
        <row r="313">
          <cell r="A313" t="str">
            <v>pwausxwasapp19</v>
          </cell>
        </row>
        <row r="314">
          <cell r="A314" t="str">
            <v>pwausxwasapp20</v>
          </cell>
        </row>
        <row r="315">
          <cell r="A315" t="str">
            <v>pwausxwasapp21</v>
          </cell>
        </row>
        <row r="316">
          <cell r="A316" t="str">
            <v>pwausxwasapp22</v>
          </cell>
        </row>
        <row r="317">
          <cell r="A317" t="str">
            <v>twausxwasapp22</v>
          </cell>
        </row>
        <row r="318">
          <cell r="A318" t="str">
            <v>twausxwasapp23</v>
          </cell>
        </row>
        <row r="319">
          <cell r="A319" t="str">
            <v>twausxwasapp24</v>
          </cell>
        </row>
        <row r="320">
          <cell r="A320" t="str">
            <v>twausxwasapp25</v>
          </cell>
        </row>
        <row r="321">
          <cell r="A321" t="str">
            <v>twauslwasapp01</v>
          </cell>
        </row>
        <row r="322">
          <cell r="A322" t="str">
            <v>twausxemcapp01</v>
          </cell>
        </row>
        <row r="323">
          <cell r="A323" t="str">
            <v>twausxemcapp02</v>
          </cell>
        </row>
        <row r="324">
          <cell r="A324" t="str">
            <v>twausxemcdb01</v>
          </cell>
        </row>
        <row r="325">
          <cell r="A325" t="str">
            <v>twausxemcdb02</v>
          </cell>
        </row>
        <row r="326">
          <cell r="A326" t="str">
            <v>pwausxemcapp01</v>
          </cell>
        </row>
        <row r="327">
          <cell r="A327" t="str">
            <v>pwausxemcapp02</v>
          </cell>
        </row>
        <row r="328">
          <cell r="A328" t="str">
            <v>pwausxemcdb01</v>
          </cell>
        </row>
        <row r="329">
          <cell r="A329" t="str">
            <v>pwausxemcdb02</v>
          </cell>
        </row>
        <row r="330">
          <cell r="A330" t="str">
            <v>pwausxwasapp23</v>
          </cell>
        </row>
        <row r="331">
          <cell r="A331" t="str">
            <v>pwausxwasapp24</v>
          </cell>
        </row>
        <row r="332">
          <cell r="A332" t="str">
            <v>twausxwasapp26</v>
          </cell>
        </row>
        <row r="333">
          <cell r="A333" t="str">
            <v>twausxwasapp27</v>
          </cell>
        </row>
        <row r="334">
          <cell r="A334" t="str">
            <v>twausxwasapp28</v>
          </cell>
        </row>
        <row r="335">
          <cell r="A335" t="str">
            <v>twausxwasapp29</v>
          </cell>
        </row>
        <row r="336">
          <cell r="A336" t="str">
            <v>twausxwasapp30</v>
          </cell>
        </row>
        <row r="337">
          <cell r="A337" t="str">
            <v>twausxwasapp31</v>
          </cell>
        </row>
        <row r="338">
          <cell r="A338" t="str">
            <v>twausxwasapp35</v>
          </cell>
        </row>
        <row r="339">
          <cell r="A339" t="str">
            <v>twausxwasapp36</v>
          </cell>
        </row>
        <row r="340">
          <cell r="A340" t="str">
            <v>twausxbamdb01</v>
          </cell>
        </row>
        <row r="341">
          <cell r="A341" t="str">
            <v>twausxbamdb05</v>
          </cell>
        </row>
        <row r="342">
          <cell r="A342" t="str">
            <v>twausxbamdb02</v>
          </cell>
        </row>
        <row r="343">
          <cell r="A343" t="str">
            <v>twausxwasapp32</v>
          </cell>
        </row>
        <row r="344">
          <cell r="A344" t="str">
            <v>twausxwasapp37</v>
          </cell>
        </row>
        <row r="345">
          <cell r="A345" t="str">
            <v>twausxbamdb06</v>
          </cell>
        </row>
        <row r="346">
          <cell r="A346" t="str">
            <v>twausxbamdb07</v>
          </cell>
        </row>
        <row r="347">
          <cell r="A347" t="str">
            <v>pwausxwasapp25</v>
          </cell>
        </row>
        <row r="348">
          <cell r="A348" t="str">
            <v>pwausxwasapp26</v>
          </cell>
        </row>
        <row r="349">
          <cell r="A349" t="str">
            <v>pwausxwasapp30</v>
          </cell>
        </row>
        <row r="350">
          <cell r="A350" t="str">
            <v>pwausxwasapp31</v>
          </cell>
        </row>
        <row r="351">
          <cell r="A351" t="str">
            <v>pwausxbamdb01</v>
          </cell>
        </row>
        <row r="352">
          <cell r="A352" t="str">
            <v>pwausxbamdb05</v>
          </cell>
        </row>
        <row r="353">
          <cell r="A353" t="str">
            <v>pwausxbamdb02</v>
          </cell>
        </row>
        <row r="354">
          <cell r="A354" t="str">
            <v>pwausxwasapp27</v>
          </cell>
        </row>
        <row r="355">
          <cell r="A355" t="str">
            <v>twausxwasapp38</v>
          </cell>
        </row>
        <row r="356">
          <cell r="A356" t="str">
            <v>twausxwasapp39</v>
          </cell>
        </row>
        <row r="357">
          <cell r="A357" t="str">
            <v>twausxcalapp01</v>
          </cell>
        </row>
        <row r="358">
          <cell r="A358" t="str">
            <v>twausxcalapp02</v>
          </cell>
        </row>
        <row r="359">
          <cell r="A359" t="str">
            <v>twausxcaldb01</v>
          </cell>
        </row>
        <row r="360">
          <cell r="A360" t="str">
            <v>pwausxwasapp32</v>
          </cell>
        </row>
        <row r="361">
          <cell r="A361" t="str">
            <v>pwausxwasapp33</v>
          </cell>
        </row>
        <row r="362">
          <cell r="A362" t="str">
            <v>pwausxcalapp01</v>
          </cell>
        </row>
        <row r="363">
          <cell r="A363" t="str">
            <v>pwausxcalapp02</v>
          </cell>
        </row>
        <row r="364">
          <cell r="A364" t="str">
            <v>pwausxcalapp03</v>
          </cell>
        </row>
        <row r="365">
          <cell r="A365" t="str">
            <v>pwausxcalapp04</v>
          </cell>
        </row>
        <row r="366">
          <cell r="A366" t="str">
            <v>pwausxcaldb01</v>
          </cell>
        </row>
        <row r="367">
          <cell r="A367" t="str">
            <v>pwausxcaldb02</v>
          </cell>
        </row>
        <row r="368">
          <cell r="A368" t="str">
            <v>twausxmqmbrk01</v>
          </cell>
        </row>
        <row r="369">
          <cell r="A369" t="str">
            <v>twausxmqmbrk02</v>
          </cell>
        </row>
        <row r="370">
          <cell r="A370" t="str">
            <v>twausxmqmbrk03</v>
          </cell>
        </row>
        <row r="371">
          <cell r="A371" t="str">
            <v>pwausxmqmbrk01</v>
          </cell>
        </row>
        <row r="372">
          <cell r="A372" t="str">
            <v>pwausxmqmbrk02</v>
          </cell>
        </row>
        <row r="373">
          <cell r="A373" t="str">
            <v>pwausxicsdb01</v>
          </cell>
        </row>
        <row r="374">
          <cell r="A374" t="str">
            <v>twauswcswb16</v>
          </cell>
        </row>
        <row r="375">
          <cell r="A375" t="str">
            <v>twauswcswb17</v>
          </cell>
        </row>
        <row r="376">
          <cell r="A376" t="str">
            <v>twausxprcapp04</v>
          </cell>
        </row>
        <row r="377">
          <cell r="A377" t="str">
            <v>twausxprcapp05</v>
          </cell>
        </row>
        <row r="378">
          <cell r="A378" t="str">
            <v>twausxprcapp06</v>
          </cell>
        </row>
        <row r="379">
          <cell r="A379" t="str">
            <v>twausxprcdb03</v>
          </cell>
        </row>
        <row r="380">
          <cell r="A380" t="str">
            <v>twausxprcdb04</v>
          </cell>
        </row>
        <row r="381">
          <cell r="A381" t="str">
            <v>twauswcssq06</v>
          </cell>
        </row>
        <row r="382">
          <cell r="A382" t="str">
            <v>pwauswcswb18</v>
          </cell>
        </row>
        <row r="383">
          <cell r="A383" t="str">
            <v>pwauswcswb19</v>
          </cell>
        </row>
        <row r="384">
          <cell r="A384" t="str">
            <v>pwausxprcapp01</v>
          </cell>
        </row>
        <row r="385">
          <cell r="A385" t="str">
            <v>pwausxprcapp02</v>
          </cell>
        </row>
        <row r="386">
          <cell r="A386" t="str">
            <v>pwausxprcapp03</v>
          </cell>
        </row>
        <row r="387">
          <cell r="A387" t="str">
            <v>pwausxprcapp04</v>
          </cell>
        </row>
        <row r="388">
          <cell r="A388" t="str">
            <v>pwausxprcapp05</v>
          </cell>
        </row>
        <row r="389">
          <cell r="A389" t="str">
            <v>pwausxprcapp06</v>
          </cell>
        </row>
        <row r="390">
          <cell r="A390" t="str">
            <v>pwausxprcdb01</v>
          </cell>
        </row>
        <row r="391">
          <cell r="A391" t="str">
            <v>pwausxprcdb02</v>
          </cell>
        </row>
        <row r="392">
          <cell r="A392" t="str">
            <v>pwausxprcdb03</v>
          </cell>
        </row>
        <row r="393">
          <cell r="A393" t="str">
            <v>pwausxprcdb04</v>
          </cell>
        </row>
        <row r="394">
          <cell r="A394" t="str">
            <v>pwauswcssq0401</v>
          </cell>
        </row>
        <row r="395">
          <cell r="A395" t="str">
            <v>pwauswcssq0402</v>
          </cell>
        </row>
        <row r="396">
          <cell r="A396" t="str">
            <v>pwausxtapdb01</v>
          </cell>
        </row>
        <row r="397">
          <cell r="A397" t="str">
            <v>pwausxtapdb02</v>
          </cell>
        </row>
      </sheetData>
      <sheetData sheetId="1" refreshError="1"/>
      <sheetData sheetId="2" refreshError="1"/>
      <sheetData sheetId="3" refreshError="1"/>
      <sheetData sheetId="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BoM Tracker Info "/>
      <sheetName val="Table of Contents"/>
      <sheetName val="Project Details"/>
      <sheetName val="PRE-DCC Checklist"/>
      <sheetName val="LDAP"/>
      <sheetName val="NAS"/>
      <sheetName val="Websphere"/>
      <sheetName val="New DB Request"/>
      <sheetName val="SQL OPT File Refresh"/>
      <sheetName val="ITAM Request"/>
      <sheetName val="Infrastructure Estimation"/>
      <sheetName val="Licensing Estimation"/>
      <sheetName val="EAA Siteminder"/>
      <sheetName val="ICC Provisioning  Notes"/>
      <sheetName val="Distributed Assets"/>
      <sheetName val="IP"/>
      <sheetName val="Open Systems"/>
      <sheetName val="Windows"/>
      <sheetName val="Windows HTTP FTP"/>
      <sheetName val="DNS"/>
      <sheetName val="NAS Details"/>
      <sheetName val="Storage"/>
      <sheetName val="TSM - Backup"/>
      <sheetName val="Database (All)"/>
      <sheetName val="Zena"/>
      <sheetName val="IHS"/>
      <sheetName val="Reverse Proxy"/>
      <sheetName val="Network.Firewall"/>
      <sheetName val="Network.Loadbalancer"/>
      <sheetName val="Global Traffic Manager"/>
      <sheetName val="Datapower "/>
      <sheetName val="MQ Messaging"/>
      <sheetName val="Monitoring"/>
      <sheetName val="Decommissioning"/>
      <sheetName val="LANMAC"/>
      <sheetName val="Mainframe Scope"/>
      <sheetName val="MF-CICS"/>
      <sheetName val="MF-DB2"/>
      <sheetName val="MF-DB1"/>
      <sheetName val="MF-WLM"/>
      <sheetName val="MF-Comm"/>
      <sheetName val="MF-OSSP"/>
      <sheetName val="Release Notes"/>
      <sheetName val="BOM FUNCTIONS"/>
      <sheetName val="HostNamingStandard"/>
      <sheetName val="Host Reference"/>
      <sheetName val="Admin Simp CIs"/>
      <sheetName val="Messages"/>
      <sheetName val="DB2 File Structures"/>
      <sheetName val="Est Assets"/>
      <sheetName val="Est Costing"/>
      <sheetName val="Est Referen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IRED.Customer.Information"/>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3" Type="http://schemas.openxmlformats.org/officeDocument/2006/relationships/hyperlink" Target="http://hcsc.fyiblue.com/computers/support/itps/disaster_recovery/dr_critical_application_list_07_15_11.xls" TargetMode="Externa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7" Type="http://schemas.openxmlformats.org/officeDocument/2006/relationships/hyperlink" Target="https://myfyi-my.sharepoint.com/:b:/r/teams/infrase/iseteam/Shared%20Documents/Templates%20%26%20Forms/infrastructure_diagram_checkout_form.pdf?csf=1&amp;e=ihBKHs" TargetMode="External"/><Relationship Id="rId12" Type="http://schemas.openxmlformats.org/officeDocument/2006/relationships/image" Target="../media/image1.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2" Type="http://schemas.openxmlformats.org/officeDocument/2006/relationships/hyperlink" Target="https://myfyi-my.sharepoint.com/sites/intranet/TAP-TLM/Pages/TAP.aspx" TargetMode="External"/><Relationship Id="rId16" Type="http://schemas.openxmlformats.org/officeDocument/2006/relationships/ctrlProp" Target="../ctrlProps/ctrlProp4.xml"/><Relationship Id="rId20" Type="http://schemas.openxmlformats.org/officeDocument/2006/relationships/ctrlProp" Target="../ctrlProps/ctrlProp8.xml"/><Relationship Id="rId29" Type="http://schemas.openxmlformats.org/officeDocument/2006/relationships/ctrlProp" Target="../ctrlProps/ctrlProp17.xml"/><Relationship Id="rId41" Type="http://schemas.openxmlformats.org/officeDocument/2006/relationships/ctrlProp" Target="../ctrlProps/ctrlProp29.xml"/><Relationship Id="rId1" Type="http://schemas.openxmlformats.org/officeDocument/2006/relationships/hyperlink" Target="https://fedsso.fyiblue.com/affwebservices/public/saml2sso?SPID=https://hcsc.eositpm.com/saml/metadata" TargetMode="External"/><Relationship Id="rId6" Type="http://schemas.openxmlformats.org/officeDocument/2006/relationships/hyperlink" Target="https://spark.hcsc.net/" TargetMode="External"/><Relationship Id="rId11" Type="http://schemas.openxmlformats.org/officeDocument/2006/relationships/package" Target="../embeddings/Microsoft_Word_Document.docx"/><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5" Type="http://schemas.openxmlformats.org/officeDocument/2006/relationships/hyperlink" Target="https://servicenow.fyiblue.com/nav_to.do?uri=%2Fcom.glideapp.servicecatalog_cat_item_view.do%3Fv%3D1%26sysparm_id%3De4ee4e0ddb586b007dbbf3051d9619ef" TargetMode="External"/><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10" Type="http://schemas.openxmlformats.org/officeDocument/2006/relationships/vmlDrawing" Target="../drawings/vmlDrawing2.vml"/><Relationship Id="rId19" Type="http://schemas.openxmlformats.org/officeDocument/2006/relationships/ctrlProp" Target="../ctrlProps/ctrlProp7.xml"/><Relationship Id="rId31" Type="http://schemas.openxmlformats.org/officeDocument/2006/relationships/ctrlProp" Target="../ctrlProps/ctrlProp19.xml"/><Relationship Id="rId4" Type="http://schemas.openxmlformats.org/officeDocument/2006/relationships/hyperlink" Target="http://hcsc.fyiblue.com/computers/support/itps/paper_request_forms/2008/general_forms/third_party_new_process.htm" TargetMode="External"/><Relationship Id="rId9" Type="http://schemas.openxmlformats.org/officeDocument/2006/relationships/drawing" Target="../drawings/drawing2.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package" Target="../embeddings/Microsoft_Word_Document1.docx"/></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package" Target="../embeddings/Microsoft_Word_Document2.docx"/></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package" Target="../embeddings/Microsoft_Word_Document3.docx"/></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package" Target="../embeddings/Microsoft_Word_Document4.docx"/></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package" Target="../embeddings/Microsoft_Word_Document5.docx"/></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image" Target="../media/image7.emf"/><Relationship Id="rId4" Type="http://schemas.openxmlformats.org/officeDocument/2006/relationships/package" Target="../embeddings/Microsoft_Word_Document6.docx"/></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package" Target="../embeddings/Microsoft_Word_Document7.docx"/></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1.xml"/><Relationship Id="rId5" Type="http://schemas.openxmlformats.org/officeDocument/2006/relationships/image" Target="../media/image9.emf"/><Relationship Id="rId4" Type="http://schemas.openxmlformats.org/officeDocument/2006/relationships/package" Target="../embeddings/Microsoft_Word_Document8.docx"/></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1.xml"/><Relationship Id="rId5" Type="http://schemas.openxmlformats.org/officeDocument/2006/relationships/image" Target="../media/image10.emf"/><Relationship Id="rId4" Type="http://schemas.openxmlformats.org/officeDocument/2006/relationships/package" Target="../embeddings/Microsoft_Word_Document9.docx"/></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image" Target="../media/image12.emf"/><Relationship Id="rId4" Type="http://schemas.openxmlformats.org/officeDocument/2006/relationships/package" Target="../embeddings/Microsoft_Word_Document10.docx"/></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image" Target="../media/image13.emf"/><Relationship Id="rId4" Type="http://schemas.openxmlformats.org/officeDocument/2006/relationships/package" Target="../embeddings/Microsoft_Word_Document11.docx"/></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image" Target="../media/image14.emf"/><Relationship Id="rId4" Type="http://schemas.openxmlformats.org/officeDocument/2006/relationships/package" Target="../embeddings/Microsoft_Word_Document12.docx"/></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14.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32.xml"/><Relationship Id="rId5" Type="http://schemas.openxmlformats.org/officeDocument/2006/relationships/image" Target="../media/image15.emf"/><Relationship Id="rId4" Type="http://schemas.openxmlformats.org/officeDocument/2006/relationships/package" Target="../embeddings/Microsoft_Word_Document13.docx"/></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image" Target="../media/image16.emf"/><Relationship Id="rId4" Type="http://schemas.openxmlformats.org/officeDocument/2006/relationships/package" Target="../embeddings/Microsoft_Word_Document14.docx"/></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16.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33.xml"/><Relationship Id="rId5" Type="http://schemas.openxmlformats.org/officeDocument/2006/relationships/image" Target="../media/image17.emf"/><Relationship Id="rId4" Type="http://schemas.openxmlformats.org/officeDocument/2006/relationships/package" Target="../embeddings/Microsoft_Word_Document15.docx"/></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mments" Target="../comments17.xml"/><Relationship Id="rId5" Type="http://schemas.openxmlformats.org/officeDocument/2006/relationships/image" Target="../media/image18.emf"/><Relationship Id="rId4" Type="http://schemas.openxmlformats.org/officeDocument/2006/relationships/package" Target="../embeddings/Microsoft_Word_Document16.docx"/></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mments" Target="../comments18.xml"/><Relationship Id="rId5" Type="http://schemas.openxmlformats.org/officeDocument/2006/relationships/image" Target="../media/image19.emf"/><Relationship Id="rId4" Type="http://schemas.openxmlformats.org/officeDocument/2006/relationships/package" Target="../embeddings/Microsoft_Word_Document17.docx"/></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mments" Target="../comments19.xml"/><Relationship Id="rId5" Type="http://schemas.openxmlformats.org/officeDocument/2006/relationships/image" Target="../media/image20.emf"/><Relationship Id="rId4" Type="http://schemas.openxmlformats.org/officeDocument/2006/relationships/package" Target="../embeddings/Microsoft_Word_Document18.docx"/></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mments" Target="../comments20.xml"/><Relationship Id="rId5" Type="http://schemas.openxmlformats.org/officeDocument/2006/relationships/image" Target="../media/image21.emf"/><Relationship Id="rId4" Type="http://schemas.openxmlformats.org/officeDocument/2006/relationships/package" Target="../embeddings/Microsoft_Word_Document19.docx"/></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omments" Target="../comments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mments" Target="../comments22.xml"/><Relationship Id="rId5" Type="http://schemas.openxmlformats.org/officeDocument/2006/relationships/image" Target="../media/image22.emf"/><Relationship Id="rId4" Type="http://schemas.openxmlformats.org/officeDocument/2006/relationships/package" Target="../embeddings/Microsoft_Word_Document20.docx"/></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mments" Target="../comments23.xml"/><Relationship Id="rId5" Type="http://schemas.openxmlformats.org/officeDocument/2006/relationships/image" Target="../media/image23.emf"/><Relationship Id="rId4" Type="http://schemas.openxmlformats.org/officeDocument/2006/relationships/package" Target="../embeddings/Microsoft_Word_Document21.docx"/></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mments" Target="../comments24.xml"/><Relationship Id="rId5" Type="http://schemas.openxmlformats.org/officeDocument/2006/relationships/image" Target="../media/image24.emf"/><Relationship Id="rId4" Type="http://schemas.openxmlformats.org/officeDocument/2006/relationships/package" Target="../embeddings/Microsoft_Word_Document22.docx"/></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mments" Target="../comments25.xml"/><Relationship Id="rId5" Type="http://schemas.openxmlformats.org/officeDocument/2006/relationships/image" Target="../media/image25.emf"/><Relationship Id="rId4" Type="http://schemas.openxmlformats.org/officeDocument/2006/relationships/package" Target="../embeddings/Microsoft_Word_Document23.docx"/></Relationships>
</file>

<file path=xl/worksheets/_rels/sheet2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4" Type="http://schemas.openxmlformats.org/officeDocument/2006/relationships/comments" Target="../comments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8.bin"/><Relationship Id="rId6" Type="http://schemas.openxmlformats.org/officeDocument/2006/relationships/comments" Target="../comments28.xml"/><Relationship Id="rId5" Type="http://schemas.openxmlformats.org/officeDocument/2006/relationships/image" Target="../media/image26.emf"/><Relationship Id="rId4" Type="http://schemas.openxmlformats.org/officeDocument/2006/relationships/package" Target="../embeddings/Microsoft_Word_Document24.docx"/></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9.bin"/><Relationship Id="rId6" Type="http://schemas.openxmlformats.org/officeDocument/2006/relationships/comments" Target="../comments29.xml"/><Relationship Id="rId5" Type="http://schemas.openxmlformats.org/officeDocument/2006/relationships/image" Target="../media/image27.emf"/><Relationship Id="rId4" Type="http://schemas.openxmlformats.org/officeDocument/2006/relationships/package" Target="../embeddings/Microsoft_Word_Document25.docx"/></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0.bin"/><Relationship Id="rId6" Type="http://schemas.openxmlformats.org/officeDocument/2006/relationships/comments" Target="../comments30.xml"/><Relationship Id="rId5" Type="http://schemas.openxmlformats.org/officeDocument/2006/relationships/image" Target="../media/image28.emf"/><Relationship Id="rId4" Type="http://schemas.openxmlformats.org/officeDocument/2006/relationships/package" Target="../embeddings/Microsoft_Word_Document26.docx"/></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1.bin"/><Relationship Id="rId6" Type="http://schemas.openxmlformats.org/officeDocument/2006/relationships/comments" Target="../comments31.xml"/><Relationship Id="rId5" Type="http://schemas.openxmlformats.org/officeDocument/2006/relationships/image" Target="../media/image29.emf"/><Relationship Id="rId4" Type="http://schemas.openxmlformats.org/officeDocument/2006/relationships/package" Target="../embeddings/Microsoft_Word_Document27.docx"/></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2.bin"/><Relationship Id="rId4" Type="http://schemas.openxmlformats.org/officeDocument/2006/relationships/comments" Target="../comments32.xml"/></Relationships>
</file>

<file path=xl/worksheets/_rels/sheet40.xml.rels><?xml version="1.0" encoding="UTF-8" standalone="yes"?>
<Relationships xmlns="http://schemas.openxmlformats.org/package/2006/relationships"><Relationship Id="rId8" Type="http://schemas.openxmlformats.org/officeDocument/2006/relationships/printerSettings" Target="../printerSettings/printerSettings33.bin"/><Relationship Id="rId3" Type="http://schemas.openxmlformats.org/officeDocument/2006/relationships/hyperlink" Target="https://pwauslifbh06.app.hcscint.net:8443/baocdp/ws/workflow" TargetMode="External"/><Relationship Id="rId7" Type="http://schemas.openxmlformats.org/officeDocument/2006/relationships/hyperlink" Target="https://pwauslifbh06.app.hcscint.net:8443/baocdp/ws/workflow" TargetMode="External"/><Relationship Id="rId2" Type="http://schemas.openxmlformats.org/officeDocument/2006/relationships/hyperlink" Target="https://dns.fyiblue.com/ui/" TargetMode="External"/><Relationship Id="rId1" Type="http://schemas.openxmlformats.org/officeDocument/2006/relationships/hyperlink" Target="https://dns.fyiblue.com/ui/" TargetMode="External"/><Relationship Id="rId6" Type="http://schemas.openxmlformats.org/officeDocument/2006/relationships/hyperlink" Target="https://twauslifbh06.app.test.hcscint.net:8443/baocdp/ws/workflow" TargetMode="External"/><Relationship Id="rId11" Type="http://schemas.openxmlformats.org/officeDocument/2006/relationships/comments" Target="../comments33.xml"/><Relationship Id="rId5" Type="http://schemas.openxmlformats.org/officeDocument/2006/relationships/hyperlink" Target="https://pwauslifbh06.app.hcscint.net:8443/baocdp/ws/workflow" TargetMode="External"/><Relationship Id="rId10" Type="http://schemas.openxmlformats.org/officeDocument/2006/relationships/vmlDrawing" Target="../drawings/vmlDrawing34.vml"/><Relationship Id="rId4" Type="http://schemas.openxmlformats.org/officeDocument/2006/relationships/hyperlink" Target="https://twauslifbh06.app.test.hcscint.net:8443/baocdp/ws/workflow" TargetMode="External"/><Relationship Id="rId9"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34.bin"/><Relationship Id="rId4" Type="http://schemas.openxmlformats.org/officeDocument/2006/relationships/comments" Target="../comments34.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35.bin"/><Relationship Id="rId4" Type="http://schemas.openxmlformats.org/officeDocument/2006/relationships/comments" Target="../comments35.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5.xml"/><Relationship Id="rId1" Type="http://schemas.openxmlformats.org/officeDocument/2006/relationships/printerSettings" Target="../printerSettings/printerSettings37.bin"/><Relationship Id="rId4" Type="http://schemas.openxmlformats.org/officeDocument/2006/relationships/comments" Target="../comments36.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7.xml"/><Relationship Id="rId1" Type="http://schemas.openxmlformats.org/officeDocument/2006/relationships/printerSettings" Target="../printerSettings/printerSettings38.bin"/><Relationship Id="rId5" Type="http://schemas.openxmlformats.org/officeDocument/2006/relationships/image" Target="../media/image30.emf"/><Relationship Id="rId4" Type="http://schemas.openxmlformats.org/officeDocument/2006/relationships/package" Target="../embeddings/Microsoft_PowerPoint_Presentation.pptx"/></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tint="-0.249977111117893"/>
    <pageSetUpPr fitToPage="1"/>
  </sheetPr>
  <dimension ref="A1:Q80"/>
  <sheetViews>
    <sheetView showGridLines="0" tabSelected="1" zoomScaleNormal="100" workbookViewId="0">
      <selection activeCell="J49" sqref="J49"/>
    </sheetView>
  </sheetViews>
  <sheetFormatPr defaultColWidth="9.140625" defaultRowHeight="12.75"/>
  <cols>
    <col min="1" max="1" width="55.28515625" style="22" customWidth="1"/>
    <col min="2" max="2" width="6.42578125" style="22" customWidth="1"/>
    <col min="3" max="3" width="17.7109375" style="22" customWidth="1"/>
    <col min="4" max="4" width="18.28515625" style="22" customWidth="1"/>
    <col min="5" max="5" width="6.85546875" style="22" customWidth="1"/>
    <col min="6" max="6" width="26" style="22" customWidth="1"/>
    <col min="7" max="7" width="31.42578125" style="22" customWidth="1"/>
    <col min="8" max="8" width="31.85546875" style="22" customWidth="1"/>
    <col min="9" max="9" width="17.28515625" style="22" customWidth="1"/>
    <col min="10" max="10" width="19.85546875" style="22" customWidth="1"/>
    <col min="11" max="16384" width="9.140625" style="22"/>
  </cols>
  <sheetData>
    <row r="1" spans="1:17" ht="33.75" customHeight="1" thickBot="1">
      <c r="A1" s="3428" t="str">
        <f>ProjDet_AppNameCol &amp;  "  -  Table of Contents"</f>
        <v>Linux Infrastructure Management  -  Table of Contents</v>
      </c>
      <c r="B1" s="3429"/>
      <c r="C1" s="3429"/>
      <c r="D1" s="3429"/>
      <c r="E1" s="3429"/>
      <c r="F1" s="3429"/>
      <c r="G1" s="3429"/>
      <c r="H1" s="3429"/>
      <c r="I1" s="3429"/>
      <c r="J1" s="3429"/>
      <c r="K1" s="1591"/>
      <c r="L1" s="1591"/>
      <c r="M1" s="3439" t="s">
        <v>3406</v>
      </c>
      <c r="N1" s="3439"/>
      <c r="O1" s="3439"/>
      <c r="P1" s="1591"/>
    </row>
    <row r="2" spans="1:17" ht="12.75" customHeight="1">
      <c r="A2" s="1362"/>
      <c r="B2" s="3440" t="str">
        <f>IF(Offshore=TRUE,"NO OFFSHORE","")</f>
        <v>NO OFFSHORE</v>
      </c>
      <c r="C2" s="3440"/>
      <c r="D2" s="1363"/>
      <c r="E2" s="1363"/>
      <c r="F2" s="1364" t="str">
        <f>"LBoM # :   "&amp;lbom_number</f>
        <v>LBoM # :   20213598</v>
      </c>
      <c r="G2" s="1363"/>
      <c r="H2" s="1363"/>
      <c r="I2" s="1363"/>
      <c r="J2" s="1365"/>
      <c r="K2" s="3430" t="s">
        <v>4224</v>
      </c>
      <c r="L2" s="3431"/>
      <c r="M2" s="3431"/>
      <c r="N2" s="3431"/>
      <c r="O2" s="3431"/>
      <c r="P2" s="3431"/>
      <c r="Q2" s="3432"/>
    </row>
    <row r="3" spans="1:17" ht="23.25" thickBot="1">
      <c r="A3" s="2599" t="str">
        <f>IF(ProjDet_AppNameCol&lt;&gt;"", IF(ProjDet_AppNameCol&lt;&gt;"",CONCATENATE(ProjDet_AppNameCol," (",app_id,") - ",IF(Dev&lt;&gt;FALSE,"Dev / ",""),IF(Test&lt;&gt;FALSE,"Test / ",""),IF(AltProd&lt;&gt;FALSE,"AltProd / ",""),IF(Prod&lt;&gt;FALSE,"Prod","")," ",clarity," - LBOM #: ",lbom_number)),"")</f>
        <v>Linux Infrastructure Management (APP00000000) - Dev / Test / Prod P00025443 - LBOM #: 20213598</v>
      </c>
      <c r="B3" s="1366"/>
      <c r="C3" s="1367" t="s">
        <v>3527</v>
      </c>
      <c r="D3" s="1368" t="str">
        <f>IF(dr_Level&lt;&gt;"",dr_Level,"")</f>
        <v>l</v>
      </c>
      <c r="E3" s="1366"/>
      <c r="F3" s="1369" t="str">
        <f>"Infrastruture Integrator :   "&amp;infrastructure_integrator</f>
        <v>Infrastruture Integrator :   Cara Gilmore</v>
      </c>
      <c r="G3" s="1370"/>
      <c r="H3" s="1370" t="str">
        <f ca="1">"LBoM Version: " &amp; version_number</f>
        <v>LBoM Version: R20.0.12</v>
      </c>
      <c r="I3" s="1371" t="s">
        <v>1746</v>
      </c>
      <c r="J3" s="1372">
        <f ca="1">last_modified</f>
        <v>0</v>
      </c>
      <c r="K3" s="3433"/>
      <c r="L3" s="3434"/>
      <c r="M3" s="3434"/>
      <c r="N3" s="3434"/>
      <c r="O3" s="3434"/>
      <c r="P3" s="3434"/>
      <c r="Q3" s="3435"/>
    </row>
    <row r="4" spans="1:17" ht="38.25" customHeight="1" thickBot="1">
      <c r="A4" s="1373" t="s">
        <v>2623</v>
      </c>
      <c r="B4" s="1374" t="s">
        <v>2954</v>
      </c>
      <c r="C4" s="1375" t="s">
        <v>3210</v>
      </c>
      <c r="D4" s="1375" t="s">
        <v>818</v>
      </c>
      <c r="E4" s="1375" t="s">
        <v>1453</v>
      </c>
      <c r="F4" s="1375" t="s">
        <v>4209</v>
      </c>
      <c r="G4" s="1375" t="s">
        <v>3211</v>
      </c>
      <c r="H4" s="1376" t="s">
        <v>958</v>
      </c>
      <c r="I4" s="1376" t="s">
        <v>4225</v>
      </c>
      <c r="J4" s="1376"/>
      <c r="K4" s="3433"/>
      <c r="L4" s="3434"/>
      <c r="M4" s="3434"/>
      <c r="N4" s="3434"/>
      <c r="O4" s="3434"/>
      <c r="P4" s="3434"/>
      <c r="Q4" s="3435"/>
    </row>
    <row r="5" spans="1:17" ht="14.25" customHeight="1" thickBot="1">
      <c r="A5" s="1377" t="s">
        <v>4211</v>
      </c>
      <c r="B5" s="1378"/>
      <c r="C5" s="1378"/>
      <c r="D5" s="1378"/>
      <c r="E5" s="1378"/>
      <c r="F5" s="1378"/>
      <c r="G5" s="1378"/>
      <c r="H5" s="1378"/>
      <c r="I5" s="1378"/>
      <c r="J5" s="2337"/>
      <c r="K5" s="3436"/>
      <c r="L5" s="3437"/>
      <c r="M5" s="3437"/>
      <c r="N5" s="3437"/>
      <c r="O5" s="3437"/>
      <c r="P5" s="3437"/>
      <c r="Q5" s="3438"/>
    </row>
    <row r="6" spans="1:17" ht="14.25" customHeight="1">
      <c r="A6" s="1805" t="s">
        <v>909</v>
      </c>
      <c r="B6" s="1380"/>
      <c r="C6" s="1788" t="s">
        <v>1055</v>
      </c>
      <c r="D6" s="2190" t="s">
        <v>5646</v>
      </c>
      <c r="E6" s="1381"/>
      <c r="F6" s="1789" t="s">
        <v>2962</v>
      </c>
      <c r="G6" s="1810"/>
      <c r="H6" s="1811" t="s">
        <v>5594</v>
      </c>
      <c r="I6" s="1811" t="s">
        <v>5594</v>
      </c>
      <c r="J6" s="1383"/>
    </row>
    <row r="7" spans="1:17" ht="24">
      <c r="A7" s="2711" t="s">
        <v>4292</v>
      </c>
      <c r="B7" s="1386"/>
      <c r="C7" s="1788" t="s">
        <v>1055</v>
      </c>
      <c r="D7" s="2191" t="s">
        <v>5646</v>
      </c>
      <c r="E7" s="1384"/>
      <c r="F7" s="2841" t="s">
        <v>4632</v>
      </c>
      <c r="G7" s="2709" t="s">
        <v>4293</v>
      </c>
      <c r="H7" s="2710" t="s">
        <v>4146</v>
      </c>
      <c r="I7" s="2710" t="s">
        <v>5647</v>
      </c>
      <c r="J7" s="1385"/>
    </row>
    <row r="8" spans="1:17" ht="28.5" hidden="1" customHeight="1">
      <c r="A8" s="2711"/>
      <c r="B8" s="2828"/>
      <c r="C8" s="2829"/>
      <c r="D8" s="2830"/>
      <c r="E8" s="2339"/>
      <c r="F8" s="2831"/>
      <c r="G8" s="2831"/>
      <c r="H8" s="2832"/>
      <c r="I8" s="2833"/>
      <c r="J8" s="2834"/>
    </row>
    <row r="9" spans="1:17" ht="14.25" customHeight="1">
      <c r="A9" s="1807" t="s">
        <v>3503</v>
      </c>
      <c r="B9" s="1387"/>
      <c r="C9" s="1790" t="s">
        <v>25</v>
      </c>
      <c r="D9" s="2191" t="str">
        <f t="shared" ref="D9:D15" si="0">IF($C9="No","Not Required","")</f>
        <v>Not Required</v>
      </c>
      <c r="E9" s="1384"/>
      <c r="F9" s="1790"/>
      <c r="G9" s="1812"/>
      <c r="H9" s="1813"/>
      <c r="I9" s="1813"/>
      <c r="J9" s="1385"/>
    </row>
    <row r="10" spans="1:17" ht="14.25" customHeight="1">
      <c r="A10" s="1807" t="s">
        <v>3428</v>
      </c>
      <c r="B10" s="1387"/>
      <c r="C10" s="1790" t="s">
        <v>25</v>
      </c>
      <c r="D10" s="2191" t="str">
        <f t="shared" si="0"/>
        <v>Not Required</v>
      </c>
      <c r="E10" s="1384"/>
      <c r="F10" s="1790"/>
      <c r="G10" s="1812"/>
      <c r="H10" s="1813"/>
      <c r="I10" s="1813"/>
      <c r="J10" s="1385"/>
    </row>
    <row r="11" spans="1:17" ht="14.25" customHeight="1">
      <c r="A11" s="1807" t="s">
        <v>4139</v>
      </c>
      <c r="B11" s="1387"/>
      <c r="C11" s="1790" t="s">
        <v>25</v>
      </c>
      <c r="D11" s="2192" t="str">
        <f t="shared" si="0"/>
        <v>Not Required</v>
      </c>
      <c r="E11" s="1384"/>
      <c r="F11" s="1790"/>
      <c r="G11" s="1812"/>
      <c r="H11" s="1813"/>
      <c r="I11" s="1813"/>
      <c r="J11" s="1385"/>
    </row>
    <row r="12" spans="1:17" ht="14.25" customHeight="1">
      <c r="A12" s="1806" t="s">
        <v>812</v>
      </c>
      <c r="B12" s="1386"/>
      <c r="C12" s="1790" t="s">
        <v>25</v>
      </c>
      <c r="D12" s="2191" t="str">
        <f t="shared" si="0"/>
        <v>Not Required</v>
      </c>
      <c r="E12" s="1384"/>
      <c r="F12" s="1790"/>
      <c r="G12" s="1812"/>
      <c r="H12" s="1813"/>
      <c r="I12" s="1813"/>
      <c r="J12" s="1385"/>
    </row>
    <row r="13" spans="1:17" ht="14.25" customHeight="1" thickBot="1">
      <c r="A13" s="1807" t="s">
        <v>2977</v>
      </c>
      <c r="B13" s="1386"/>
      <c r="C13" s="1790" t="s">
        <v>25</v>
      </c>
      <c r="D13" s="2191" t="str">
        <f t="shared" si="0"/>
        <v>Not Required</v>
      </c>
      <c r="E13" s="1384"/>
      <c r="F13" s="1788"/>
      <c r="G13" s="1812"/>
      <c r="H13" s="1813"/>
      <c r="I13" s="1813"/>
      <c r="J13" s="1385"/>
    </row>
    <row r="14" spans="1:17" ht="14.25" hidden="1" customHeight="1" thickBot="1">
      <c r="A14" s="1808"/>
      <c r="B14" s="1388"/>
      <c r="C14" s="1788"/>
      <c r="D14" s="2193" t="str">
        <f t="shared" si="0"/>
        <v/>
      </c>
      <c r="E14" s="1389"/>
      <c r="F14" s="1788"/>
      <c r="G14" s="1812"/>
      <c r="H14" s="1814"/>
      <c r="I14" s="1814"/>
      <c r="J14" s="1390"/>
    </row>
    <row r="15" spans="1:17" ht="14.25" hidden="1" customHeight="1" thickBot="1">
      <c r="A15" s="1809"/>
      <c r="B15" s="1430"/>
      <c r="C15" s="1788"/>
      <c r="D15" s="2193" t="str">
        <f t="shared" si="0"/>
        <v/>
      </c>
      <c r="E15" s="1402"/>
      <c r="F15" s="1788"/>
      <c r="G15" s="1812"/>
      <c r="H15" s="1814"/>
      <c r="I15" s="1814"/>
      <c r="J15" s="1385"/>
    </row>
    <row r="16" spans="1:17" ht="14.25" hidden="1" customHeight="1">
      <c r="A16" s="1960" t="s">
        <v>3057</v>
      </c>
      <c r="B16" s="1387"/>
      <c r="C16" s="1395"/>
      <c r="D16" s="1392" t="str">
        <f t="shared" ref="D16" si="1">IF($C16="No","Not Required","")</f>
        <v/>
      </c>
      <c r="E16" s="1384"/>
      <c r="F16" s="1395"/>
      <c r="G16" s="1393"/>
      <c r="H16" s="1394"/>
      <c r="I16" s="1394"/>
      <c r="J16" s="1385"/>
    </row>
    <row r="17" spans="1:17" ht="14.25" hidden="1" customHeight="1">
      <c r="A17" s="1391" t="s">
        <v>3058</v>
      </c>
      <c r="B17" s="1386"/>
      <c r="C17" s="1395" t="s">
        <v>25</v>
      </c>
      <c r="D17" s="1392" t="str">
        <f t="shared" ref="D17:D22" si="2">IF($C17="No","Not Required","")</f>
        <v>Not Required</v>
      </c>
      <c r="E17" s="1384"/>
      <c r="F17" s="1395"/>
      <c r="G17" s="1393" t="s">
        <v>3216</v>
      </c>
      <c r="H17" s="1394"/>
      <c r="I17" s="1394"/>
      <c r="J17" s="1385"/>
    </row>
    <row r="18" spans="1:17" ht="14.25" hidden="1" customHeight="1">
      <c r="A18" s="1391" t="s">
        <v>156</v>
      </c>
      <c r="B18" s="1386"/>
      <c r="C18" s="1395" t="s">
        <v>25</v>
      </c>
      <c r="D18" s="1392" t="str">
        <f t="shared" si="2"/>
        <v>Not Required</v>
      </c>
      <c r="E18" s="1384"/>
      <c r="F18" s="1395"/>
      <c r="G18" s="1393" t="s">
        <v>2146</v>
      </c>
      <c r="H18" s="1394"/>
      <c r="I18" s="1394"/>
      <c r="J18" s="1385"/>
    </row>
    <row r="19" spans="1:17" ht="14.25" hidden="1" customHeight="1">
      <c r="A19" s="1391" t="s">
        <v>3059</v>
      </c>
      <c r="B19" s="1386"/>
      <c r="C19" s="1395" t="s">
        <v>25</v>
      </c>
      <c r="D19" s="1392" t="str">
        <f t="shared" si="2"/>
        <v>Not Required</v>
      </c>
      <c r="E19" s="1384"/>
      <c r="F19" s="1395"/>
      <c r="G19" s="1393" t="s">
        <v>3217</v>
      </c>
      <c r="H19" s="1394"/>
      <c r="I19" s="1394"/>
      <c r="J19" s="1385"/>
    </row>
    <row r="20" spans="1:17" ht="14.25" hidden="1" customHeight="1">
      <c r="A20" s="1391" t="s">
        <v>3203</v>
      </c>
      <c r="B20" s="1386"/>
      <c r="C20" s="1395" t="s">
        <v>25</v>
      </c>
      <c r="D20" s="1392" t="str">
        <f t="shared" si="2"/>
        <v>Not Required</v>
      </c>
      <c r="E20" s="1384"/>
      <c r="F20" s="1395"/>
      <c r="G20" s="1393" t="s">
        <v>3218</v>
      </c>
      <c r="H20" s="1394"/>
      <c r="I20" s="1394"/>
      <c r="J20" s="1385"/>
      <c r="Q20" s="1396"/>
    </row>
    <row r="21" spans="1:17" ht="14.25" hidden="1" customHeight="1">
      <c r="A21" s="1391" t="s">
        <v>3060</v>
      </c>
      <c r="B21" s="1386"/>
      <c r="C21" s="1395" t="s">
        <v>25</v>
      </c>
      <c r="D21" s="1392" t="str">
        <f t="shared" si="2"/>
        <v>Not Required</v>
      </c>
      <c r="E21" s="1384"/>
      <c r="F21" s="1395"/>
      <c r="G21" s="1393" t="s">
        <v>3219</v>
      </c>
      <c r="H21" s="1394"/>
      <c r="I21" s="1394"/>
      <c r="J21" s="1385"/>
    </row>
    <row r="22" spans="1:17" ht="14.25" hidden="1" customHeight="1" thickBot="1">
      <c r="A22" s="1391" t="s">
        <v>3061</v>
      </c>
      <c r="B22" s="1386"/>
      <c r="C22" s="1395" t="s">
        <v>25</v>
      </c>
      <c r="D22" s="1392" t="str">
        <f t="shared" si="2"/>
        <v>Not Required</v>
      </c>
      <c r="E22" s="1384"/>
      <c r="F22" s="1395"/>
      <c r="G22" s="1393" t="s">
        <v>3174</v>
      </c>
      <c r="H22" s="1394"/>
      <c r="I22" s="1394"/>
      <c r="J22" s="1385"/>
    </row>
    <row r="23" spans="1:17" ht="19.5" customHeight="1" thickBot="1">
      <c r="A23" s="1377" t="s">
        <v>4210</v>
      </c>
      <c r="B23" s="1403"/>
      <c r="C23" s="1404"/>
      <c r="D23" s="1404"/>
      <c r="E23" s="1404"/>
      <c r="F23" s="1404"/>
      <c r="G23" s="1404"/>
      <c r="H23" s="1404"/>
      <c r="I23" s="1378"/>
      <c r="J23" s="1379"/>
    </row>
    <row r="24" spans="1:17" ht="39.75" hidden="1" thickBot="1">
      <c r="A24" s="1791" t="s">
        <v>3514</v>
      </c>
      <c r="B24" s="1792" t="s">
        <v>2954</v>
      </c>
      <c r="C24" s="1793" t="s">
        <v>3210</v>
      </c>
      <c r="D24" s="1793" t="s">
        <v>818</v>
      </c>
      <c r="E24" s="1793"/>
      <c r="F24" s="1793"/>
      <c r="G24" s="1793"/>
      <c r="H24" s="1794"/>
      <c r="I24" s="1376" t="s">
        <v>4208</v>
      </c>
      <c r="J24" s="1795" t="s">
        <v>4220</v>
      </c>
    </row>
    <row r="25" spans="1:17" ht="15" hidden="1" thickBot="1">
      <c r="A25" s="1800" t="s">
        <v>3513</v>
      </c>
      <c r="B25" s="1380"/>
      <c r="C25" s="1796"/>
      <c r="D25" s="1797" t="str">
        <f t="shared" ref="D25:D26" si="3">IF($C25="No","Not Required","")</f>
        <v/>
      </c>
      <c r="E25" s="1765"/>
      <c r="F25" s="1381" t="s">
        <v>2962</v>
      </c>
      <c r="G25" s="1661" t="s">
        <v>693</v>
      </c>
      <c r="H25" s="1768"/>
      <c r="I25" s="1802"/>
      <c r="J25" s="1415"/>
    </row>
    <row r="26" spans="1:17" ht="15" hidden="1" thickBot="1">
      <c r="A26" s="1801" t="s">
        <v>3528</v>
      </c>
      <c r="B26" s="1416"/>
      <c r="C26" s="1798"/>
      <c r="D26" s="1799" t="str">
        <f t="shared" si="3"/>
        <v/>
      </c>
      <c r="E26" s="1765"/>
      <c r="F26" s="1381" t="s">
        <v>2962</v>
      </c>
      <c r="G26" s="1661" t="s">
        <v>693</v>
      </c>
      <c r="H26" s="1768"/>
      <c r="I26" s="1803"/>
      <c r="J26" s="1804"/>
    </row>
    <row r="27" spans="1:17" ht="39" thickBot="1">
      <c r="A27" s="1762" t="s">
        <v>3526</v>
      </c>
      <c r="B27" s="1763" t="s">
        <v>2954</v>
      </c>
      <c r="C27" s="1764" t="s">
        <v>3210</v>
      </c>
      <c r="D27" s="1764" t="s">
        <v>818</v>
      </c>
      <c r="E27" s="1759" t="s">
        <v>1453</v>
      </c>
      <c r="F27" s="1759" t="s">
        <v>4222</v>
      </c>
      <c r="G27" s="1759" t="s">
        <v>3213</v>
      </c>
      <c r="H27" s="1760" t="s">
        <v>958</v>
      </c>
      <c r="I27" s="1769" t="s">
        <v>4221</v>
      </c>
      <c r="J27" s="1761" t="s">
        <v>4220</v>
      </c>
    </row>
    <row r="28" spans="1:17" ht="14.25">
      <c r="A28" s="1410" t="s">
        <v>4223</v>
      </c>
      <c r="B28" s="1380"/>
      <c r="C28" s="1411" t="s">
        <v>25</v>
      </c>
      <c r="D28" s="1766" t="str">
        <f t="shared" ref="D28" si="4">IF($C28="No","Not Required","")</f>
        <v>Not Required</v>
      </c>
      <c r="E28" s="1765"/>
      <c r="F28" s="1382" t="s">
        <v>2962</v>
      </c>
      <c r="G28" s="1412" t="s">
        <v>693</v>
      </c>
      <c r="H28" s="1413"/>
      <c r="I28" s="1414"/>
      <c r="J28" s="1415"/>
    </row>
    <row r="29" spans="1:17" ht="23.25" customHeight="1" thickBot="1">
      <c r="A29" s="1477" t="s">
        <v>44</v>
      </c>
      <c r="B29" s="1416"/>
      <c r="C29" s="1417" t="s">
        <v>1055</v>
      </c>
      <c r="D29" s="1767" t="s">
        <v>5646</v>
      </c>
      <c r="E29" s="1770" t="str">
        <f>IF(AND(dr_Level&gt;0,dr_Level&lt;5,$C$29="Yes",COUNTIF('Distributed Assets'!$C$7:$C$22,"Prod 2.0")),"Yes","No")</f>
        <v>No</v>
      </c>
      <c r="F29" s="1418" t="s">
        <v>2962</v>
      </c>
      <c r="G29" s="1419" t="s">
        <v>3306</v>
      </c>
      <c r="H29" s="1420" t="s">
        <v>5594</v>
      </c>
      <c r="I29" s="1421"/>
      <c r="J29" s="1422" t="s">
        <v>5594</v>
      </c>
    </row>
    <row r="30" spans="1:17" ht="21.75" customHeight="1" thickBot="1">
      <c r="A30" s="1377" t="s">
        <v>4212</v>
      </c>
      <c r="B30" s="1397"/>
      <c r="C30" s="1398"/>
      <c r="D30" s="1398"/>
      <c r="E30" s="1398"/>
      <c r="F30" s="1398"/>
      <c r="G30" s="1399"/>
      <c r="H30" s="1400"/>
      <c r="I30" s="1423"/>
      <c r="J30" s="1401"/>
    </row>
    <row r="31" spans="1:17" ht="26.25" thickBot="1">
      <c r="A31" s="1405" t="s">
        <v>2623</v>
      </c>
      <c r="B31" s="1406" t="s">
        <v>2954</v>
      </c>
      <c r="C31" s="1407" t="s">
        <v>3210</v>
      </c>
      <c r="D31" s="1407" t="s">
        <v>818</v>
      </c>
      <c r="E31" s="1408" t="s">
        <v>1453</v>
      </c>
      <c r="F31" s="1407" t="s">
        <v>4217</v>
      </c>
      <c r="G31" s="1407" t="s">
        <v>4218</v>
      </c>
      <c r="H31" s="1409" t="s">
        <v>4219</v>
      </c>
      <c r="I31" s="1409" t="s">
        <v>958</v>
      </c>
      <c r="J31" s="1409" t="s">
        <v>4220</v>
      </c>
    </row>
    <row r="32" spans="1:17" ht="14.25" customHeight="1">
      <c r="A32" s="1424" t="s">
        <v>19</v>
      </c>
      <c r="B32" s="1425"/>
      <c r="C32" s="1426" t="s">
        <v>1055</v>
      </c>
      <c r="D32" s="1427" t="s">
        <v>5665</v>
      </c>
      <c r="E32" s="1428"/>
      <c r="F32" s="1428"/>
      <c r="G32" s="1428"/>
      <c r="H32" s="2254"/>
      <c r="I32" s="2254"/>
      <c r="J32" s="2255"/>
    </row>
    <row r="33" spans="1:13" ht="14.25" customHeight="1">
      <c r="A33" s="1429" t="s">
        <v>241</v>
      </c>
      <c r="B33" s="1430"/>
      <c r="C33" s="1426" t="s">
        <v>1055</v>
      </c>
      <c r="D33" s="2378" t="s">
        <v>5646</v>
      </c>
      <c r="E33" s="1431" t="str">
        <f>IF(AND(dr_Level&gt;0,dr_Level&lt;5,$C$33="Yes",COUNTIF('Distributed Assets'!$C$7:$C$22,"Prod 2.0")),"Yes","No")</f>
        <v>No</v>
      </c>
      <c r="F33" s="3087" t="s">
        <v>4484</v>
      </c>
      <c r="G33" s="2822" t="s">
        <v>4481</v>
      </c>
      <c r="H33" s="2819" t="s">
        <v>3759</v>
      </c>
      <c r="I33" s="1432"/>
      <c r="J33" s="1433" t="s">
        <v>5594</v>
      </c>
    </row>
    <row r="34" spans="1:13" ht="14.25">
      <c r="A34" s="1429" t="s">
        <v>40</v>
      </c>
      <c r="B34" s="1430"/>
      <c r="C34" s="1426" t="s">
        <v>25</v>
      </c>
      <c r="D34" s="2188" t="str">
        <f t="shared" ref="D34:D56" si="5">IF($C34="No","Not Required","")</f>
        <v>Not Required</v>
      </c>
      <c r="E34" s="1384"/>
      <c r="F34" s="3087" t="s">
        <v>4145</v>
      </c>
      <c r="G34" s="2822" t="s">
        <v>4145</v>
      </c>
      <c r="H34" s="2820" t="s">
        <v>3846</v>
      </c>
      <c r="I34" s="1432"/>
      <c r="J34" s="1433"/>
    </row>
    <row r="35" spans="1:13" ht="14.25" customHeight="1">
      <c r="A35" s="1429" t="s">
        <v>1765</v>
      </c>
      <c r="B35" s="1430"/>
      <c r="C35" s="1426" t="s">
        <v>25</v>
      </c>
      <c r="D35" s="2188" t="str">
        <f>IF($C35="No","Not Required","")</f>
        <v>Not Required</v>
      </c>
      <c r="E35" s="1384"/>
      <c r="F35" s="3087" t="s">
        <v>4145</v>
      </c>
      <c r="G35" s="2822" t="s">
        <v>4145</v>
      </c>
      <c r="H35" s="2820" t="s">
        <v>3817</v>
      </c>
      <c r="I35" s="1432"/>
      <c r="J35" s="1433"/>
    </row>
    <row r="36" spans="1:13" ht="14.25" customHeight="1">
      <c r="A36" s="1585" t="s">
        <v>3831</v>
      </c>
      <c r="B36" s="1425"/>
      <c r="C36" s="1426" t="s">
        <v>25</v>
      </c>
      <c r="D36" s="2338" t="str">
        <f>IF($C36="No","Not Required","")</f>
        <v>Not Required</v>
      </c>
      <c r="E36" s="2339"/>
      <c r="F36" s="3088"/>
      <c r="G36" s="2824"/>
      <c r="H36" s="2821"/>
      <c r="I36" s="2340"/>
      <c r="J36" s="2341"/>
    </row>
    <row r="37" spans="1:13" ht="25.5" customHeight="1">
      <c r="A37" s="1429" t="s">
        <v>18</v>
      </c>
      <c r="B37" s="1425"/>
      <c r="C37" s="1426" t="s">
        <v>1055</v>
      </c>
      <c r="D37" s="1427" t="s">
        <v>5665</v>
      </c>
      <c r="E37" s="1384"/>
      <c r="F37" s="3087" t="s">
        <v>4099</v>
      </c>
      <c r="G37" s="2825" t="s">
        <v>5422</v>
      </c>
      <c r="H37" s="2818" t="s">
        <v>5423</v>
      </c>
      <c r="I37" s="2340"/>
      <c r="J37" s="1433" t="s">
        <v>5625</v>
      </c>
      <c r="M37" s="1434"/>
    </row>
    <row r="38" spans="1:13" ht="14.25" hidden="1" customHeight="1">
      <c r="A38" s="1435"/>
      <c r="B38" s="1430"/>
      <c r="C38" s="1426"/>
      <c r="D38" s="2188" t="str">
        <f t="shared" si="5"/>
        <v/>
      </c>
      <c r="E38" s="1431"/>
      <c r="F38" s="3087"/>
      <c r="G38" s="2822"/>
      <c r="H38" s="2822"/>
      <c r="I38" s="1432"/>
      <c r="J38" s="1433"/>
    </row>
    <row r="39" spans="1:13" ht="14.25" customHeight="1">
      <c r="A39" s="1429" t="s">
        <v>434</v>
      </c>
      <c r="B39" s="1430"/>
      <c r="C39" s="1426" t="s">
        <v>25</v>
      </c>
      <c r="D39" s="2188" t="str">
        <f t="shared" si="5"/>
        <v>Not Required</v>
      </c>
      <c r="E39" s="1431" t="str">
        <f>IF(AND(dr_Level&gt;0,dr_Level&lt;5,$C$39="Yes",COUNTIF('Distributed Assets'!$C$7:$C$22,"Prod 2.0")),"Yes","No")</f>
        <v>No</v>
      </c>
      <c r="F39" s="3087" t="s">
        <v>3818</v>
      </c>
      <c r="G39" s="2822" t="s">
        <v>5254</v>
      </c>
      <c r="H39" s="2820" t="s">
        <v>3820</v>
      </c>
      <c r="I39" s="1432"/>
      <c r="J39" s="1433"/>
    </row>
    <row r="40" spans="1:13" ht="14.25" customHeight="1">
      <c r="A40" s="1585" t="s">
        <v>3449</v>
      </c>
      <c r="B40" s="1430"/>
      <c r="C40" s="1426" t="s">
        <v>25</v>
      </c>
      <c r="D40" s="2188" t="str">
        <f t="shared" si="5"/>
        <v>Not Required</v>
      </c>
      <c r="E40" s="1431"/>
      <c r="F40" s="3087" t="s">
        <v>3818</v>
      </c>
      <c r="G40" s="2822" t="s">
        <v>3819</v>
      </c>
      <c r="H40" s="2820" t="s">
        <v>3820</v>
      </c>
      <c r="I40" s="1432"/>
      <c r="J40" s="1433"/>
    </row>
    <row r="41" spans="1:13" ht="14.25" customHeight="1">
      <c r="A41" s="1429" t="s">
        <v>47</v>
      </c>
      <c r="B41" s="1430"/>
      <c r="C41" s="1426" t="s">
        <v>25</v>
      </c>
      <c r="D41" s="2188" t="str">
        <f t="shared" si="5"/>
        <v>Not Required</v>
      </c>
      <c r="E41" s="1384"/>
      <c r="F41" s="3087" t="str">
        <f>IF(C41&lt;&gt;"",IF(C41="Yes","Yes","No"),"")</f>
        <v>No</v>
      </c>
      <c r="G41" s="2822"/>
      <c r="H41" s="2820"/>
      <c r="I41" s="1432"/>
      <c r="J41" s="1433"/>
    </row>
    <row r="42" spans="1:13" ht="14.25" customHeight="1">
      <c r="A42" s="1585" t="s">
        <v>824</v>
      </c>
      <c r="B42" s="1430"/>
      <c r="C42" s="1426" t="s">
        <v>1055</v>
      </c>
      <c r="D42" s="2188" t="s">
        <v>5646</v>
      </c>
      <c r="E42" s="1431" t="str">
        <f>IF(AND(dr_Level&gt;0,dr_Level&lt;5,$C$42="Yes",COUNTIF('Distributed Assets'!$C$7:$C$22,"Prod 2.0")),"Yes","No")</f>
        <v>No</v>
      </c>
      <c r="F42" s="3089" t="s">
        <v>5146</v>
      </c>
      <c r="G42" s="2823" t="s">
        <v>4482</v>
      </c>
      <c r="H42" s="2823" t="s">
        <v>3821</v>
      </c>
      <c r="I42" s="1432"/>
      <c r="J42" s="1433" t="s">
        <v>5668</v>
      </c>
    </row>
    <row r="43" spans="1:13" ht="14.25" hidden="1" customHeight="1">
      <c r="A43" s="1436" t="s">
        <v>3204</v>
      </c>
      <c r="B43" s="1437"/>
      <c r="C43" s="1426"/>
      <c r="D43" s="2188" t="str">
        <f t="shared" si="5"/>
        <v/>
      </c>
      <c r="E43" s="1438"/>
      <c r="F43" s="3090"/>
      <c r="G43" s="2822"/>
      <c r="H43" s="2820"/>
      <c r="I43" s="1432"/>
      <c r="J43" s="1433"/>
    </row>
    <row r="44" spans="1:13" ht="14.25" customHeight="1">
      <c r="A44" s="1436" t="s">
        <v>5288</v>
      </c>
      <c r="B44" s="1437"/>
      <c r="C44" s="1426" t="str">
        <f>IF(COUNTIF('New DB Request'!J26:J55,"Yes")&gt;0,"Yes","No")</f>
        <v>No</v>
      </c>
      <c r="D44" s="2188" t="str">
        <f>IF($C44="Yes","Complete","Not Required")</f>
        <v>Not Required</v>
      </c>
      <c r="E44" s="1438"/>
      <c r="F44" s="3091" t="str">
        <f>IF($C$44="Yes", "Tiasha Underwood","")</f>
        <v/>
      </c>
      <c r="G44" s="2822" t="s">
        <v>5289</v>
      </c>
      <c r="H44" s="2822" t="s">
        <v>5289</v>
      </c>
      <c r="I44" s="1432"/>
      <c r="J44" s="1433"/>
    </row>
    <row r="45" spans="1:13" ht="14.25">
      <c r="A45" s="3165" t="s">
        <v>5257</v>
      </c>
      <c r="B45" s="1437"/>
      <c r="C45" s="1426" t="s">
        <v>1055</v>
      </c>
      <c r="D45" s="2188" t="s">
        <v>5646</v>
      </c>
      <c r="E45" s="1438" t="str">
        <f>IF(AND(dr_Level&gt;0,dr_Level&lt;5,$C$45="Yes",COUNTIF('Distributed Assets'!$C$7:$C$22,"Prod 2.0")),"Yes","No")</f>
        <v>No</v>
      </c>
      <c r="F45" s="3091"/>
      <c r="G45" s="2822" t="s">
        <v>3212</v>
      </c>
      <c r="H45" s="2822" t="s">
        <v>4535</v>
      </c>
      <c r="I45" s="1432"/>
      <c r="J45" s="1433" t="s">
        <v>5667</v>
      </c>
    </row>
    <row r="46" spans="1:13" ht="14.25" customHeight="1">
      <c r="A46" s="1585" t="s">
        <v>3774</v>
      </c>
      <c r="B46" s="1439"/>
      <c r="C46" s="1426" t="s">
        <v>25</v>
      </c>
      <c r="D46" s="2189" t="s">
        <v>5666</v>
      </c>
      <c r="E46" s="1384"/>
      <c r="F46" s="3089" t="s">
        <v>5145</v>
      </c>
      <c r="G46" s="2822" t="s">
        <v>4485</v>
      </c>
      <c r="H46" s="2820" t="s">
        <v>3822</v>
      </c>
      <c r="I46" s="1432"/>
      <c r="J46" s="1433"/>
    </row>
    <row r="47" spans="1:13" ht="14.25" customHeight="1">
      <c r="A47" s="1585" t="s">
        <v>4140</v>
      </c>
      <c r="B47" s="1430"/>
      <c r="C47" s="1426" t="s">
        <v>25</v>
      </c>
      <c r="D47" s="2188" t="str">
        <f t="shared" si="5"/>
        <v>Not Required</v>
      </c>
      <c r="E47" s="1384"/>
      <c r="F47" s="3089" t="s">
        <v>4141</v>
      </c>
      <c r="G47" s="3207" t="s">
        <v>5424</v>
      </c>
      <c r="H47" s="3207" t="s">
        <v>5424</v>
      </c>
      <c r="I47" s="1432"/>
      <c r="J47" s="1433"/>
    </row>
    <row r="48" spans="1:13" ht="14.25">
      <c r="A48" s="1429" t="s">
        <v>604</v>
      </c>
      <c r="B48" s="1430"/>
      <c r="C48" s="1426" t="s">
        <v>1055</v>
      </c>
      <c r="D48" s="2188" t="s">
        <v>5646</v>
      </c>
      <c r="E48" s="1384"/>
      <c r="F48" s="3089" t="s">
        <v>4483</v>
      </c>
      <c r="G48" s="2952" t="s">
        <v>4633</v>
      </c>
      <c r="H48" s="2822" t="s">
        <v>4098</v>
      </c>
      <c r="I48" s="1432"/>
      <c r="J48" s="1433" t="s">
        <v>5675</v>
      </c>
    </row>
    <row r="49" spans="1:10" ht="14.25">
      <c r="A49" s="1429" t="s">
        <v>907</v>
      </c>
      <c r="B49" s="1430"/>
      <c r="C49" s="1426" t="s">
        <v>25</v>
      </c>
      <c r="D49" s="2188" t="str">
        <f t="shared" si="5"/>
        <v>Not Required</v>
      </c>
      <c r="E49" s="1384"/>
      <c r="F49" s="3089" t="s">
        <v>4142</v>
      </c>
      <c r="G49" s="2823" t="s">
        <v>5054</v>
      </c>
      <c r="H49" s="2818" t="s">
        <v>5423</v>
      </c>
      <c r="I49" s="1432"/>
      <c r="J49" s="1433"/>
    </row>
    <row r="50" spans="1:10" ht="14.25">
      <c r="A50" s="1585" t="s">
        <v>4119</v>
      </c>
      <c r="B50" s="1430"/>
      <c r="C50" s="1426" t="s">
        <v>25</v>
      </c>
      <c r="D50" s="2188" t="str">
        <f t="shared" si="5"/>
        <v>Not Required</v>
      </c>
      <c r="E50" s="1384"/>
      <c r="F50" s="3089" t="s">
        <v>4142</v>
      </c>
      <c r="G50" s="2823" t="s">
        <v>5054</v>
      </c>
      <c r="H50" s="2818" t="s">
        <v>5423</v>
      </c>
      <c r="I50" s="1432"/>
      <c r="J50" s="1433"/>
    </row>
    <row r="51" spans="1:10" ht="14.25" customHeight="1">
      <c r="A51" s="1585" t="s">
        <v>4476</v>
      </c>
      <c r="B51" s="1430"/>
      <c r="C51" s="1426" t="s">
        <v>1055</v>
      </c>
      <c r="D51" s="2188" t="s">
        <v>5646</v>
      </c>
      <c r="E51" s="1384"/>
      <c r="F51" s="3092" t="s">
        <v>4094</v>
      </c>
      <c r="G51" s="2820" t="s">
        <v>4094</v>
      </c>
      <c r="H51" s="2820" t="s">
        <v>4094</v>
      </c>
      <c r="I51" s="1432"/>
      <c r="J51" s="1433" t="s">
        <v>5669</v>
      </c>
    </row>
    <row r="52" spans="1:10" ht="18" hidden="1" customHeight="1">
      <c r="A52" s="1429" t="s">
        <v>34</v>
      </c>
      <c r="B52" s="1430"/>
      <c r="C52" s="1426"/>
      <c r="D52" s="2188" t="str">
        <f t="shared" si="5"/>
        <v/>
      </c>
      <c r="E52" s="1384"/>
      <c r="F52" s="3090"/>
      <c r="G52" s="2826"/>
      <c r="H52" s="2820"/>
      <c r="I52" s="1432"/>
      <c r="J52" s="1433"/>
    </row>
    <row r="53" spans="1:10" ht="14.25" customHeight="1">
      <c r="A53" s="1429" t="s">
        <v>17</v>
      </c>
      <c r="B53" s="1430"/>
      <c r="C53" s="1426" t="s">
        <v>1055</v>
      </c>
      <c r="D53" s="2188" t="s">
        <v>5621</v>
      </c>
      <c r="E53" s="1384"/>
      <c r="F53" s="3091"/>
      <c r="G53" s="2825" t="s">
        <v>4143</v>
      </c>
      <c r="H53" s="2820" t="s">
        <v>4143</v>
      </c>
      <c r="I53" s="1432"/>
      <c r="J53" s="1433"/>
    </row>
    <row r="54" spans="1:10" ht="27.75" customHeight="1" thickBot="1">
      <c r="A54" s="1440" t="s">
        <v>905</v>
      </c>
      <c r="B54" s="1441"/>
      <c r="C54" s="2363" t="s">
        <v>1055</v>
      </c>
      <c r="D54" s="2188" t="s">
        <v>5646</v>
      </c>
      <c r="E54" s="1442"/>
      <c r="F54" s="3093"/>
      <c r="G54" s="3094"/>
      <c r="H54" s="3095" t="s">
        <v>4144</v>
      </c>
      <c r="I54" s="2258"/>
      <c r="J54" s="1443"/>
    </row>
    <row r="55" spans="1:10" ht="14.25" customHeight="1" thickBot="1">
      <c r="A55" s="1444" t="s">
        <v>1058</v>
      </c>
      <c r="B55" s="1445"/>
      <c r="C55" s="1446" t="s">
        <v>1055</v>
      </c>
      <c r="D55" s="1447" t="s">
        <v>5646</v>
      </c>
      <c r="E55" s="1402"/>
      <c r="F55" s="1402"/>
      <c r="G55" s="2257" t="s">
        <v>894</v>
      </c>
      <c r="H55" s="3423" t="s">
        <v>5643</v>
      </c>
      <c r="I55" s="3424"/>
      <c r="J55" s="3425"/>
    </row>
    <row r="56" spans="1:10" ht="15" hidden="1" thickBot="1">
      <c r="A56" s="2611"/>
      <c r="B56" s="2612"/>
      <c r="C56" s="1446"/>
      <c r="D56" s="1447" t="str">
        <f t="shared" si="5"/>
        <v/>
      </c>
      <c r="E56" s="1448"/>
      <c r="F56" s="1448"/>
      <c r="G56" s="1448"/>
      <c r="H56" s="1448"/>
      <c r="I56" s="1448"/>
      <c r="J56" s="1448"/>
    </row>
    <row r="57" spans="1:10" ht="27.75" customHeight="1" thickBot="1">
      <c r="A57" s="2394" t="s">
        <v>4215</v>
      </c>
      <c r="B57" s="3443" t="s">
        <v>4216</v>
      </c>
      <c r="C57" s="3444"/>
      <c r="D57" s="3444"/>
      <c r="E57" s="3445"/>
      <c r="F57" s="2393" t="s">
        <v>3849</v>
      </c>
      <c r="G57" s="2397" t="str">
        <f>IF(ISE&lt;&gt;"",ISE,"")</f>
        <v>Hanh Tran</v>
      </c>
      <c r="H57" s="2393" t="s">
        <v>3851</v>
      </c>
      <c r="I57" s="3441"/>
      <c r="J57" s="3442"/>
    </row>
    <row r="58" spans="1:10" ht="14.25" customHeight="1" thickBot="1">
      <c r="A58" s="2390"/>
      <c r="B58" s="2392"/>
      <c r="C58" s="2392"/>
      <c r="D58" s="2392"/>
      <c r="E58" s="2392"/>
      <c r="F58" s="2387"/>
      <c r="G58" s="2386"/>
      <c r="H58" s="2387"/>
      <c r="I58" s="2388"/>
      <c r="J58" s="2389"/>
    </row>
    <row r="59" spans="1:10" ht="16.5" thickBot="1">
      <c r="A59" s="2524" t="s">
        <v>2684</v>
      </c>
      <c r="B59" s="1449"/>
      <c r="C59" s="1449"/>
      <c r="D59" s="1449"/>
      <c r="E59" s="1449"/>
      <c r="F59" s="1449"/>
      <c r="G59" s="1449"/>
      <c r="H59" s="1449"/>
      <c r="I59" s="1449"/>
      <c r="J59" s="2391"/>
    </row>
    <row r="60" spans="1:10" ht="15" thickBot="1">
      <c r="A60" s="2383" t="s">
        <v>941</v>
      </c>
      <c r="B60" s="1450" t="s">
        <v>1055</v>
      </c>
      <c r="C60" s="3420" t="s">
        <v>4216</v>
      </c>
      <c r="D60" s="3421"/>
      <c r="E60" s="3421"/>
      <c r="F60" s="3422"/>
      <c r="G60" s="2491"/>
      <c r="H60" s="2525" t="s">
        <v>1057</v>
      </c>
      <c r="I60" s="3426" t="s">
        <v>5594</v>
      </c>
      <c r="J60" s="3427"/>
    </row>
    <row r="61" spans="1:10" ht="14.25">
      <c r="A61" s="2526"/>
      <c r="B61" s="2388"/>
      <c r="C61" s="2372"/>
      <c r="D61" s="2372"/>
      <c r="E61" s="2372"/>
      <c r="F61" s="2372"/>
      <c r="G61" s="2527"/>
      <c r="H61" s="1454"/>
      <c r="I61" s="2527"/>
      <c r="J61" s="2527"/>
    </row>
    <row r="62" spans="1:10" ht="13.5" hidden="1" thickBot="1">
      <c r="A62" s="2528"/>
      <c r="B62" s="2529"/>
      <c r="C62" s="2529"/>
      <c r="D62" s="2529"/>
      <c r="E62" s="2529"/>
      <c r="F62" s="2529"/>
      <c r="G62" s="2530"/>
      <c r="H62" s="2382"/>
      <c r="I62" s="2530"/>
      <c r="J62" s="2492"/>
    </row>
    <row r="63" spans="1:10" ht="13.5" thickBot="1">
      <c r="A63" s="1451"/>
      <c r="B63" s="1452"/>
      <c r="C63" s="1452"/>
      <c r="D63" s="1452"/>
      <c r="E63" s="1452"/>
      <c r="F63" s="1452"/>
      <c r="G63" s="1453"/>
      <c r="H63" s="1454"/>
      <c r="I63" s="1453"/>
      <c r="J63" s="1453"/>
    </row>
    <row r="64" spans="1:10" ht="13.5" thickBot="1">
      <c r="A64" s="1455" t="s">
        <v>791</v>
      </c>
      <c r="B64" s="1456"/>
      <c r="C64" s="1457"/>
      <c r="D64" s="1457"/>
      <c r="E64" s="1457"/>
      <c r="F64" s="1457"/>
      <c r="G64" s="1457"/>
      <c r="H64" s="1458"/>
      <c r="I64" s="1458"/>
      <c r="J64" s="1458"/>
    </row>
    <row r="65" spans="1:10" ht="15" customHeight="1" thickBot="1">
      <c r="A65" s="1459" t="s">
        <v>2649</v>
      </c>
      <c r="B65" s="1460"/>
      <c r="C65" s="1461"/>
      <c r="D65" s="1462"/>
      <c r="E65" s="1462"/>
      <c r="F65" s="1462"/>
      <c r="G65" s="1462"/>
      <c r="H65" s="1462"/>
    </row>
    <row r="66" spans="1:10" ht="14.25">
      <c r="A66" s="2586" t="s">
        <v>2648</v>
      </c>
      <c r="B66" s="1380"/>
      <c r="C66" s="1463"/>
      <c r="D66" s="1463"/>
      <c r="E66" s="1463"/>
      <c r="F66" s="1463"/>
      <c r="G66" s="2587"/>
      <c r="H66" s="2588"/>
      <c r="I66" s="2588"/>
      <c r="J66" s="2589"/>
    </row>
    <row r="67" spans="1:10" ht="14.25">
      <c r="A67" s="2590" t="s">
        <v>4115</v>
      </c>
      <c r="B67" s="2581"/>
      <c r="C67" s="2582"/>
      <c r="D67" s="2582"/>
      <c r="E67" s="2582"/>
      <c r="F67" s="2582"/>
      <c r="G67" s="2583"/>
      <c r="H67" s="2584"/>
      <c r="I67" s="2584"/>
      <c r="J67" s="2591"/>
    </row>
    <row r="68" spans="1:10" ht="14.25">
      <c r="A68" s="2590" t="s">
        <v>4116</v>
      </c>
      <c r="B68" s="2581"/>
      <c r="C68" s="2582"/>
      <c r="D68" s="2582"/>
      <c r="E68" s="2582"/>
      <c r="F68" s="2582"/>
      <c r="G68" s="2583"/>
      <c r="H68" s="2584"/>
      <c r="I68" s="2584"/>
      <c r="J68" s="2591"/>
    </row>
    <row r="69" spans="1:10" ht="15">
      <c r="A69" s="2590" t="s">
        <v>1254</v>
      </c>
      <c r="B69" s="2581"/>
      <c r="C69" s="2582"/>
      <c r="D69" s="2582"/>
      <c r="E69" s="2582"/>
      <c r="F69" s="2582"/>
      <c r="G69" s="2585"/>
      <c r="H69" s="2585"/>
      <c r="I69" s="2585"/>
      <c r="J69" s="2592"/>
    </row>
    <row r="70" spans="1:10" ht="14.25">
      <c r="A70" s="2590" t="s">
        <v>2217</v>
      </c>
      <c r="B70" s="2581"/>
      <c r="C70" s="2582"/>
      <c r="D70" s="2582"/>
      <c r="E70" s="2582"/>
      <c r="F70" s="2582"/>
      <c r="G70" s="2583"/>
      <c r="H70" s="2584"/>
      <c r="I70" s="2584"/>
      <c r="J70" s="2591"/>
    </row>
    <row r="71" spans="1:10" ht="13.5" customHeight="1" thickBot="1">
      <c r="A71" s="1464" t="s">
        <v>2218</v>
      </c>
      <c r="B71" s="1416"/>
      <c r="C71" s="1465"/>
      <c r="D71" s="1465"/>
      <c r="E71" s="1465"/>
      <c r="F71" s="1465"/>
      <c r="G71" s="1466"/>
      <c r="H71" s="1467"/>
      <c r="I71" s="1467"/>
      <c r="J71" s="1468"/>
    </row>
    <row r="72" spans="1:10" ht="13.5" thickBot="1"/>
    <row r="73" spans="1:10">
      <c r="A73" s="3172" t="s">
        <v>5295</v>
      </c>
      <c r="B73" s="3173"/>
      <c r="C73" s="3173"/>
      <c r="D73" s="3173"/>
      <c r="E73" s="3174"/>
    </row>
    <row r="74" spans="1:10">
      <c r="A74" s="3175" t="s">
        <v>5290</v>
      </c>
      <c r="B74" s="3192"/>
      <c r="C74" s="3190" t="s">
        <v>5293</v>
      </c>
      <c r="D74" s="3190" t="s">
        <v>5294</v>
      </c>
      <c r="E74" s="3176"/>
    </row>
    <row r="75" spans="1:10">
      <c r="A75" s="3175" t="s">
        <v>5291</v>
      </c>
      <c r="B75" s="3192"/>
      <c r="C75" s="3190" t="s">
        <v>5293</v>
      </c>
      <c r="D75" s="3190" t="s">
        <v>5294</v>
      </c>
      <c r="E75" s="3176"/>
    </row>
    <row r="76" spans="1:10" ht="13.5" thickBot="1">
      <c r="A76" s="3177" t="s">
        <v>5292</v>
      </c>
      <c r="B76" s="3193"/>
      <c r="C76" s="3191" t="s">
        <v>5293</v>
      </c>
      <c r="D76" s="3191" t="s">
        <v>5294</v>
      </c>
      <c r="E76" s="3178"/>
    </row>
    <row r="77" spans="1:10">
      <c r="A77" s="3179" t="s">
        <v>5296</v>
      </c>
      <c r="B77" s="3185"/>
      <c r="C77" s="3186"/>
      <c r="D77" s="3189"/>
      <c r="E77" s="3180"/>
    </row>
    <row r="78" spans="1:10">
      <c r="A78" s="3181" t="s">
        <v>5290</v>
      </c>
      <c r="B78" s="3194"/>
      <c r="C78" s="3187" t="s">
        <v>5293</v>
      </c>
      <c r="D78" s="3187" t="s">
        <v>5294</v>
      </c>
      <c r="E78" s="3182"/>
    </row>
    <row r="79" spans="1:10">
      <c r="A79" s="3181" t="s">
        <v>5291</v>
      </c>
      <c r="B79" s="3194"/>
      <c r="C79" s="3187" t="s">
        <v>5293</v>
      </c>
      <c r="D79" s="3187" t="s">
        <v>5294</v>
      </c>
      <c r="E79" s="3182"/>
    </row>
    <row r="80" spans="1:10" ht="13.5" thickBot="1">
      <c r="A80" s="3183" t="s">
        <v>5292</v>
      </c>
      <c r="B80" s="3195"/>
      <c r="C80" s="3188" t="s">
        <v>5293</v>
      </c>
      <c r="D80" s="3188" t="s">
        <v>5294</v>
      </c>
      <c r="E80" s="3184"/>
    </row>
  </sheetData>
  <sheetProtection formatCells="0" formatColumns="0" formatRows="0" insertColumns="0" insertRows="0" insertHyperlinks="0" deleteColumns="0" deleteRows="0" selectLockedCells="1" sort="0" autoFilter="0" pivotTables="0"/>
  <mergeCells count="9">
    <mergeCell ref="C60:F60"/>
    <mergeCell ref="H55:J55"/>
    <mergeCell ref="I60:J60"/>
    <mergeCell ref="A1:J1"/>
    <mergeCell ref="K2:Q5"/>
    <mergeCell ref="M1:O1"/>
    <mergeCell ref="B2:C2"/>
    <mergeCell ref="I57:J57"/>
    <mergeCell ref="B57:E57"/>
  </mergeCells>
  <phoneticPr fontId="26" type="noConversion"/>
  <conditionalFormatting sqref="B6 B28:B30 B55 B46:B53 B32:B42 B71 B66 B69 B9:B22">
    <cfRule type="expression" dxfId="507" priority="263">
      <formula>AND(C6="Yes",D6="Complete")</formula>
    </cfRule>
    <cfRule type="expression" dxfId="506" priority="271" stopIfTrue="1">
      <formula>AND(C6="Yes",OR(D6="Reviewed",D6="Provisioned"))</formula>
    </cfRule>
    <cfRule type="expression" dxfId="505" priority="341" stopIfTrue="1">
      <formula>AND(C6="Yes", OR(D6="Not-Started",D6="Not Required"))</formula>
    </cfRule>
    <cfRule type="expression" dxfId="504" priority="342" stopIfTrue="1">
      <formula>C6="Undetermined"</formula>
    </cfRule>
    <cfRule type="expression" dxfId="503" priority="343" stopIfTrue="1">
      <formula>C6="No"</formula>
    </cfRule>
  </conditionalFormatting>
  <conditionalFormatting sqref="B54">
    <cfRule type="expression" dxfId="502" priority="289" stopIfTrue="1">
      <formula>AND(C54="Yes",OR(D54="Complete",D54="Reviewed"))</formula>
    </cfRule>
    <cfRule type="expression" dxfId="501" priority="290" stopIfTrue="1">
      <formula>AND(C54="Yes", D54="Started")</formula>
    </cfRule>
    <cfRule type="expression" dxfId="500" priority="291" stopIfTrue="1">
      <formula>AND(C54="Yes", OR(D54="Not-Started",D54="Not Required"))</formula>
    </cfRule>
    <cfRule type="expression" dxfId="499" priority="292" stopIfTrue="1">
      <formula>C54="Undetermined"</formula>
    </cfRule>
    <cfRule type="expression" dxfId="498" priority="293" stopIfTrue="1">
      <formula>C54="No"</formula>
    </cfRule>
  </conditionalFormatting>
  <conditionalFormatting sqref="B60">
    <cfRule type="expression" dxfId="497" priority="287" stopIfTrue="1">
      <formula>B60="Yes"</formula>
    </cfRule>
    <cfRule type="expression" dxfId="496" priority="288" stopIfTrue="1">
      <formula>B60 &lt;&gt; "Yes"</formula>
    </cfRule>
  </conditionalFormatting>
  <conditionalFormatting sqref="B7:B8">
    <cfRule type="expression" dxfId="495" priority="273" stopIfTrue="1">
      <formula>AND(C7="Yes",OR(D7="Complete",D7="Reviewed"))</formula>
    </cfRule>
    <cfRule type="expression" dxfId="494" priority="274" stopIfTrue="1">
      <formula>AND(C7="Yes", D7="Started")</formula>
    </cfRule>
    <cfRule type="expression" dxfId="493" priority="275" stopIfTrue="1">
      <formula>AND(C7="Yes", OR(D7="Not-Started",D7="Not Required"))</formula>
    </cfRule>
    <cfRule type="expression" dxfId="492" priority="276" stopIfTrue="1">
      <formula>C7="Undetermined"</formula>
    </cfRule>
    <cfRule type="expression" dxfId="491" priority="277" stopIfTrue="1">
      <formula>C7="No"</formula>
    </cfRule>
  </conditionalFormatting>
  <conditionalFormatting sqref="B28:B30 B46:B55 B32:B42 B6:B22">
    <cfRule type="expression" dxfId="490" priority="339" stopIfTrue="1">
      <formula>AND(C6="YES",D6="Started")</formula>
    </cfRule>
  </conditionalFormatting>
  <conditionalFormatting sqref="E33 E38:E40 E45 E42">
    <cfRule type="expression" dxfId="489" priority="260">
      <formula>$E33&lt;&gt;"Yes"</formula>
    </cfRule>
    <cfRule type="expression" dxfId="488" priority="261">
      <formula>$E33="Yes"</formula>
    </cfRule>
  </conditionalFormatting>
  <conditionalFormatting sqref="E29">
    <cfRule type="expression" dxfId="487" priority="256">
      <formula>$E29&lt;&gt;"Yes"</formula>
    </cfRule>
    <cfRule type="expression" dxfId="486" priority="257">
      <formula>$E29="Yes"</formula>
    </cfRule>
  </conditionalFormatting>
  <conditionalFormatting sqref="J32">
    <cfRule type="expression" dxfId="485" priority="255">
      <formula>OR($D$32="Complete",$D$32="Reviewed")</formula>
    </cfRule>
  </conditionalFormatting>
  <conditionalFormatting sqref="E43:E44">
    <cfRule type="expression" dxfId="484" priority="253">
      <formula>$E43&lt;&gt;"Yes"</formula>
    </cfRule>
    <cfRule type="expression" dxfId="483" priority="254">
      <formula>$E43="Yes"</formula>
    </cfRule>
  </conditionalFormatting>
  <conditionalFormatting sqref="B43:B45">
    <cfRule type="expression" dxfId="482" priority="241">
      <formula>AND(C43="Yes",D43="Complete")</formula>
    </cfRule>
    <cfRule type="expression" dxfId="481" priority="243" stopIfTrue="1">
      <formula>AND(C43="Yes",D43="Reviewed")</formula>
    </cfRule>
    <cfRule type="expression" dxfId="480" priority="245" stopIfTrue="1">
      <formula>AND(C43="Yes", OR(D43="Not-Started",D43="Not Required"))</formula>
    </cfRule>
    <cfRule type="expression" dxfId="479" priority="246" stopIfTrue="1">
      <formula>C43="Undetermined"</formula>
    </cfRule>
    <cfRule type="expression" dxfId="478" priority="247" stopIfTrue="1">
      <formula>C43="No"</formula>
    </cfRule>
  </conditionalFormatting>
  <conditionalFormatting sqref="B43:B45">
    <cfRule type="expression" dxfId="477" priority="244" stopIfTrue="1">
      <formula>AND(C43="YES",D43="Started")</formula>
    </cfRule>
  </conditionalFormatting>
  <conditionalFormatting sqref="F70">
    <cfRule type="expression" dxfId="476" priority="231" stopIfTrue="1">
      <formula>H70="undetermined"</formula>
    </cfRule>
    <cfRule type="expression" dxfId="475" priority="232" stopIfTrue="1">
      <formula>H70="No"</formula>
    </cfRule>
    <cfRule type="expression" dxfId="474" priority="233" stopIfTrue="1">
      <formula>AND(H70="Yes", I70="Complete")</formula>
    </cfRule>
    <cfRule type="expression" dxfId="473" priority="234" stopIfTrue="1">
      <formula>AND(H70="Yes", I70="Started")</formula>
    </cfRule>
    <cfRule type="expression" dxfId="472" priority="235" stopIfTrue="1">
      <formula>AND(H70="YES",I70="Not-Started")</formula>
    </cfRule>
  </conditionalFormatting>
  <conditionalFormatting sqref="B70">
    <cfRule type="expression" dxfId="471" priority="226">
      <formula>AND(C70="Yes",D70="Complete")</formula>
    </cfRule>
    <cfRule type="expression" dxfId="470" priority="227" stopIfTrue="1">
      <formula>AND(C70="Yes",D70="Reviewed")</formula>
    </cfRule>
    <cfRule type="expression" dxfId="469" priority="228" stopIfTrue="1">
      <formula>AND(C70="Yes", OR(D70="Not-Started",D70="Not Required"))</formula>
    </cfRule>
    <cfRule type="expression" dxfId="468" priority="229" stopIfTrue="1">
      <formula>C70="Undetermined"</formula>
    </cfRule>
    <cfRule type="expression" dxfId="467" priority="230" stopIfTrue="1">
      <formula>C70="No"</formula>
    </cfRule>
  </conditionalFormatting>
  <conditionalFormatting sqref="B54">
    <cfRule type="expression" dxfId="466" priority="209">
      <formula>AND(C54="Yes",D54="Complete")</formula>
    </cfRule>
    <cfRule type="expression" dxfId="465" priority="210" stopIfTrue="1">
      <formula>AND(C54="Yes",D54="Reviewed")</formula>
    </cfRule>
    <cfRule type="expression" dxfId="464" priority="211" stopIfTrue="1">
      <formula>AND(C54="Yes", OR(D54="Not-Started",D54="Not Required"))</formula>
    </cfRule>
    <cfRule type="expression" dxfId="463" priority="212" stopIfTrue="1">
      <formula>C54="Undetermined"</formula>
    </cfRule>
    <cfRule type="expression" dxfId="462" priority="213" stopIfTrue="1">
      <formula>C54="No"</formula>
    </cfRule>
  </conditionalFormatting>
  <conditionalFormatting sqref="F20">
    <cfRule type="expression" dxfId="461" priority="1237" stopIfTrue="1">
      <formula>H20="undetermined"</formula>
    </cfRule>
    <cfRule type="expression" dxfId="460" priority="1238" stopIfTrue="1">
      <formula>H20="No"</formula>
    </cfRule>
    <cfRule type="expression" dxfId="459" priority="1239" stopIfTrue="1">
      <formula>AND(H20="Yes", #REF!="Complete")</formula>
    </cfRule>
    <cfRule type="expression" dxfId="458" priority="1240" stopIfTrue="1">
      <formula>AND(H20="Yes", #REF!="Started")</formula>
    </cfRule>
    <cfRule type="expression" dxfId="457" priority="1241" stopIfTrue="1">
      <formula>AND(H20="YES",#REF!="Not-Started")</formula>
    </cfRule>
  </conditionalFormatting>
  <conditionalFormatting sqref="C17:D22">
    <cfRule type="expression" dxfId="456" priority="80">
      <formula>(MF="No")</formula>
    </cfRule>
  </conditionalFormatting>
  <conditionalFormatting sqref="F25">
    <cfRule type="expression" dxfId="455" priority="51" stopIfTrue="1">
      <formula>H25="undetermined"</formula>
    </cfRule>
    <cfRule type="expression" dxfId="454" priority="52" stopIfTrue="1">
      <formula>H25="No"</formula>
    </cfRule>
    <cfRule type="expression" dxfId="453" priority="53" stopIfTrue="1">
      <formula>AND(H25="Yes", I25="Complete")</formula>
    </cfRule>
    <cfRule type="expression" dxfId="452" priority="54" stopIfTrue="1">
      <formula>AND(H25="Yes", I25="Started")</formula>
    </cfRule>
    <cfRule type="expression" dxfId="451" priority="55" stopIfTrue="1">
      <formula>AND(H25="YES",I25="Not-Started")</formula>
    </cfRule>
  </conditionalFormatting>
  <conditionalFormatting sqref="B25">
    <cfRule type="expression" dxfId="450" priority="44">
      <formula>AND(C25="Yes",D25="Complete")</formula>
    </cfRule>
    <cfRule type="expression" dxfId="449" priority="46" stopIfTrue="1">
      <formula>AND(C25="Yes",D25="Reviewed")</formula>
    </cfRule>
    <cfRule type="expression" dxfId="448" priority="48" stopIfTrue="1">
      <formula>AND(C25="Yes", OR(D25="Not-Started",D25="Not Required"))</formula>
    </cfRule>
    <cfRule type="expression" dxfId="447" priority="49" stopIfTrue="1">
      <formula>C25="Undetermined"</formula>
    </cfRule>
    <cfRule type="expression" dxfId="446" priority="50" stopIfTrue="1">
      <formula>C25="No"</formula>
    </cfRule>
  </conditionalFormatting>
  <conditionalFormatting sqref="B25">
    <cfRule type="expression" dxfId="445" priority="47" stopIfTrue="1">
      <formula>AND(C25="YES",D25="Started")</formula>
    </cfRule>
  </conditionalFormatting>
  <conditionalFormatting sqref="F25:J25 F9:I15">
    <cfRule type="expression" dxfId="444" priority="45">
      <formula>$C9="No"</formula>
    </cfRule>
  </conditionalFormatting>
  <conditionalFormatting sqref="F26">
    <cfRule type="expression" dxfId="443" priority="39" stopIfTrue="1">
      <formula>H26="undetermined"</formula>
    </cfRule>
    <cfRule type="expression" dxfId="442" priority="40" stopIfTrue="1">
      <formula>H26="No"</formula>
    </cfRule>
    <cfRule type="expression" dxfId="441" priority="41" stopIfTrue="1">
      <formula>AND(H26="Yes", I26="Complete")</formula>
    </cfRule>
    <cfRule type="expression" dxfId="440" priority="42" stopIfTrue="1">
      <formula>AND(H26="Yes", I26="Started")</formula>
    </cfRule>
    <cfRule type="expression" dxfId="439" priority="43" stopIfTrue="1">
      <formula>AND(H26="YES",I26="Not-Started")</formula>
    </cfRule>
  </conditionalFormatting>
  <conditionalFormatting sqref="B26">
    <cfRule type="expression" dxfId="438" priority="32">
      <formula>AND(C26="Yes",D26="Complete")</formula>
    </cfRule>
    <cfRule type="expression" dxfId="437" priority="34" stopIfTrue="1">
      <formula>AND(C26="Yes",D26="Reviewed")</formula>
    </cfRule>
    <cfRule type="expression" dxfId="436" priority="36" stopIfTrue="1">
      <formula>AND(C26="Yes", OR(D26="Not-Started",D26="Not Required"))</formula>
    </cfRule>
    <cfRule type="expression" dxfId="435" priority="37" stopIfTrue="1">
      <formula>C26="Undetermined"</formula>
    </cfRule>
    <cfRule type="expression" dxfId="434" priority="38" stopIfTrue="1">
      <formula>C26="No"</formula>
    </cfRule>
  </conditionalFormatting>
  <conditionalFormatting sqref="B26">
    <cfRule type="expression" dxfId="433" priority="35" stopIfTrue="1">
      <formula>AND(C26="YES",D26="Started")</formula>
    </cfRule>
  </conditionalFormatting>
  <conditionalFormatting sqref="F26:J26">
    <cfRule type="expression" dxfId="432" priority="33">
      <formula>$C26="No"</formula>
    </cfRule>
  </conditionalFormatting>
  <conditionalFormatting sqref="A17:A22 C17:I22">
    <cfRule type="expression" dxfId="431" priority="31">
      <formula>OR(MF="",MF="NO")</formula>
    </cfRule>
  </conditionalFormatting>
  <conditionalFormatting sqref="F18">
    <cfRule type="expression" dxfId="430" priority="1834" stopIfTrue="1">
      <formula>H18="undetermined"</formula>
    </cfRule>
    <cfRule type="expression" dxfId="429" priority="1835" stopIfTrue="1">
      <formula>H18="No"</formula>
    </cfRule>
    <cfRule type="expression" dxfId="428" priority="1836" stopIfTrue="1">
      <formula>AND(H18="Yes", #REF!="Complete")</formula>
    </cfRule>
    <cfRule type="expression" dxfId="427" priority="1837" stopIfTrue="1">
      <formula>AND(H18="Yes", #REF!="Started")</formula>
    </cfRule>
    <cfRule type="expression" dxfId="426" priority="1838" stopIfTrue="1">
      <formula>AND(H18="YES",#REF!="Not-Started")</formula>
    </cfRule>
  </conditionalFormatting>
  <conditionalFormatting sqref="F19">
    <cfRule type="expression" dxfId="425" priority="1854" stopIfTrue="1">
      <formula>H19="undetermined"</formula>
    </cfRule>
    <cfRule type="expression" dxfId="424" priority="1855" stopIfTrue="1">
      <formula>H19="No"</formula>
    </cfRule>
    <cfRule type="expression" dxfId="423" priority="1856" stopIfTrue="1">
      <formula>AND(H19="Yes", I54="Complete")</formula>
    </cfRule>
    <cfRule type="expression" dxfId="422" priority="1857" stopIfTrue="1">
      <formula>AND(H19="Yes", I54="Started")</formula>
    </cfRule>
    <cfRule type="expression" dxfId="421" priority="1858" stopIfTrue="1">
      <formula>AND(H19="YES",I54="Not-Started")</formula>
    </cfRule>
  </conditionalFormatting>
  <conditionalFormatting sqref="F33:H54">
    <cfRule type="expression" dxfId="420" priority="15">
      <formula>$C33="No"</formula>
    </cfRule>
  </conditionalFormatting>
  <conditionalFormatting sqref="F16:F17">
    <cfRule type="expression" dxfId="419" priority="1879" stopIfTrue="1">
      <formula>H16="undetermined"</formula>
    </cfRule>
    <cfRule type="expression" dxfId="418" priority="1880" stopIfTrue="1">
      <formula>H16="No"</formula>
    </cfRule>
    <cfRule type="expression" dxfId="417" priority="1881" stopIfTrue="1">
      <formula>AND(H16="Yes", I52="Complete")</formula>
    </cfRule>
    <cfRule type="expression" dxfId="416" priority="1882" stopIfTrue="1">
      <formula>AND(H16="Yes", I52="Started")</formula>
    </cfRule>
    <cfRule type="expression" dxfId="415" priority="1883" stopIfTrue="1">
      <formula>AND(H16="YES",I52="Not-Started")</formula>
    </cfRule>
  </conditionalFormatting>
  <conditionalFormatting sqref="F21:F22">
    <cfRule type="expression" dxfId="414" priority="1884" stopIfTrue="1">
      <formula>H21="undetermined"</formula>
    </cfRule>
    <cfRule type="expression" dxfId="413" priority="1885" stopIfTrue="1">
      <formula>H21="No"</formula>
    </cfRule>
    <cfRule type="expression" dxfId="412" priority="1886" stopIfTrue="1">
      <formula>AND(H21="Yes", I55="Complete")</formula>
    </cfRule>
    <cfRule type="expression" dxfId="411" priority="1887" stopIfTrue="1">
      <formula>AND(H21="Yes", I55="Started")</formula>
    </cfRule>
    <cfRule type="expression" dxfId="410" priority="1888" stopIfTrue="1">
      <formula>AND(H21="YES",I55="Not-Started")</formula>
    </cfRule>
  </conditionalFormatting>
  <conditionalFormatting sqref="B67:B68">
    <cfRule type="expression" dxfId="409" priority="9">
      <formula>AND(C67="Yes",D67="Complete")</formula>
    </cfRule>
    <cfRule type="expression" dxfId="408" priority="10" stopIfTrue="1">
      <formula>AND(C67="Yes",OR(D67="Reviewed",D67="Provisioned"))</formula>
    </cfRule>
    <cfRule type="expression" dxfId="407" priority="11" stopIfTrue="1">
      <formula>AND(C67="Yes", OR(D67="Not-Started",D67="Not Required"))</formula>
    </cfRule>
    <cfRule type="expression" dxfId="406" priority="12" stopIfTrue="1">
      <formula>C67="Undetermined"</formula>
    </cfRule>
    <cfRule type="expression" dxfId="405" priority="13" stopIfTrue="1">
      <formula>C67="No"</formula>
    </cfRule>
  </conditionalFormatting>
  <conditionalFormatting sqref="H54">
    <cfRule type="expression" dxfId="404" priority="8">
      <formula>"IF $C$54=""No""+$H$54"</formula>
    </cfRule>
  </conditionalFormatting>
  <conditionalFormatting sqref="C56">
    <cfRule type="expression" dxfId="403" priority="7">
      <formula>"IF 'Distributed Assets'!$K$28:$K$102=""""Physical"""""""</formula>
    </cfRule>
  </conditionalFormatting>
  <conditionalFormatting sqref="B7:B8">
    <cfRule type="expression" dxfId="402" priority="2">
      <formula>AND(C7="Yes",D7="Complete")</formula>
    </cfRule>
    <cfRule type="expression" dxfId="401" priority="3" stopIfTrue="1">
      <formula>AND(C7="Yes",OR(D7="Reviewed",D7="Provisioned"))</formula>
    </cfRule>
    <cfRule type="expression" dxfId="400" priority="4" stopIfTrue="1">
      <formula>AND(C7="Yes", OR(D7="Not-Started",D7="Not Required"))</formula>
    </cfRule>
    <cfRule type="expression" dxfId="399" priority="5" stopIfTrue="1">
      <formula>C7="Undetermined"</formula>
    </cfRule>
    <cfRule type="expression" dxfId="398" priority="6" stopIfTrue="1">
      <formula>C7="No"</formula>
    </cfRule>
  </conditionalFormatting>
  <conditionalFormatting sqref="H55:J55">
    <cfRule type="notContainsText" dxfId="397" priority="1" operator="notContains" text=".vsd">
      <formula>ISERROR(SEARCH(".vsd",H55))</formula>
    </cfRule>
  </conditionalFormatting>
  <dataValidations xWindow="416" yWindow="270" count="10">
    <dataValidation type="list" allowBlank="1" showInputMessage="1" showErrorMessage="1" sqref="C28:C30 C6:C22 C25:C26 C55:C56 C66:C71 C32:C53" xr:uid="{00000000-0002-0000-0000-000000000000}">
      <formula1>"Yes, No, Undetermined"</formula1>
    </dataValidation>
    <dataValidation type="list" allowBlank="1" showInputMessage="1" showErrorMessage="1" sqref="B60" xr:uid="{00000000-0002-0000-0000-000001000000}">
      <formula1>"Yes, No"</formula1>
    </dataValidation>
    <dataValidation type="list" allowBlank="1" showInputMessage="1" showErrorMessage="1" sqref="D28:D30 D25:D26 D33:D36 D38:D56 D66:D71 D6:D22" xr:uid="{00000000-0002-0000-0000-000002000000}">
      <formula1>"Not Required, Not-Started, Started, Complete, Reviewed"</formula1>
    </dataValidation>
    <dataValidation type="list" allowBlank="1" showInputMessage="1" showErrorMessage="1" sqref="F14" xr:uid="{00000000-0002-0000-0000-000003000000}">
      <formula1>"Umeki Anthony, Peter Young, John Gray"</formula1>
    </dataValidation>
    <dataValidation type="list" allowBlank="1" showInputMessage="1" showErrorMessage="1" sqref="F10" xr:uid="{00000000-0002-0000-0000-000004000000}">
      <formula1>"Vlad Rosenbaum, Michael Wealther"</formula1>
    </dataValidation>
    <dataValidation type="list" allowBlank="1" showInputMessage="1" showErrorMessage="1" sqref="F13" xr:uid="{00000000-0002-0000-0000-000005000000}">
      <formula1>"Oscar Ramirez, Todd Blacet, Michael Wealther"</formula1>
    </dataValidation>
    <dataValidation type="list" allowBlank="1" showInputMessage="1" showErrorMessage="1" sqref="F9" xr:uid="{00000000-0002-0000-0000-000006000000}">
      <formula1>"Syed Khan, Syed Hassan"</formula1>
    </dataValidation>
    <dataValidation type="list" allowBlank="1" showInputMessage="1" showErrorMessage="1" sqref="D32 D37" xr:uid="{00000000-0002-0000-0000-000007000000}">
      <formula1>"Not Required, Not-Started, Started, Complete, Reviewed, Provisioned"</formula1>
    </dataValidation>
    <dataValidation type="list" allowBlank="1" showInputMessage="1" sqref="F41:H41" xr:uid="{00000000-0002-0000-0000-000008000000}">
      <formula1>HCL_DB_Groups</formula1>
    </dataValidation>
    <dataValidation type="list" allowBlank="1" showInputMessage="1" sqref="C54" xr:uid="{00000000-0002-0000-0000-000009000000}">
      <formula1>"Yes, No, Undetermined"</formula1>
    </dataValidation>
  </dataValidations>
  <hyperlinks>
    <hyperlink ref="A49" location="Network.Loadbalancer!A1" display="Network, Loadbalancer" xr:uid="{00000000-0004-0000-0000-000000000000}"/>
    <hyperlink ref="A39" location="Storage!A1" display="Storage" xr:uid="{00000000-0004-0000-0000-000001000000}"/>
    <hyperlink ref="A29" location="'Distributed Assets'!A1" display="Distributed Assets" xr:uid="{00000000-0004-0000-0000-000002000000}"/>
    <hyperlink ref="A11" location="'Middleware - Web'!A1" display="Middleware - Web" xr:uid="{00000000-0004-0000-0000-000003000000}"/>
    <hyperlink ref="A53" location="Monitoring!A1" display="Monitoring" xr:uid="{00000000-0004-0000-0000-000004000000}"/>
    <hyperlink ref="A48" location="Network.Firewall!A1" display="Network. Firewall" xr:uid="{00000000-0004-0000-0000-000005000000}"/>
    <hyperlink ref="A37" location="DNS!A1" display="DNS" xr:uid="{00000000-0004-0000-0000-000006000000}"/>
    <hyperlink ref="A6" location="'Project Details'!A1" display="Project Details" xr:uid="{00000000-0004-0000-0000-000007000000}"/>
    <hyperlink ref="A28" location="'SD &amp; D Provisioning  Notes'!A1" display="SD &amp; D Provisioning  Notes" xr:uid="{00000000-0004-0000-0000-000008000000}"/>
    <hyperlink ref="A66" location="'DB2 File Structures'!A1" display="DB2 File Structure Standards" xr:uid="{00000000-0004-0000-0000-000009000000}"/>
    <hyperlink ref="A32" location="IP!A1" display="IP" xr:uid="{00000000-0004-0000-0000-00000A000000}"/>
    <hyperlink ref="A41" location="'Database (All)'!A1" display="Database (All)" xr:uid="{00000000-0004-0000-0000-00000B000000}"/>
    <hyperlink ref="A52" location="'MQ Messaging'!A1" display="MQ Messaging" xr:uid="{00000000-0004-0000-0000-00000C000000}"/>
    <hyperlink ref="A70" location="'Host Reference'!A1" display="Host Reference" xr:uid="{00000000-0004-0000-0000-00000D000000}"/>
    <hyperlink ref="A42" location="Backup!A1" display="Backup" xr:uid="{00000000-0004-0000-0000-00000E000000}"/>
    <hyperlink ref="A35" location="'Windows HTTP FTP'!A1" display="Windows HTTP/FTP" xr:uid="{00000000-0004-0000-0000-00000F000000}"/>
    <hyperlink ref="A12" location="'New DB request'!A1" display="New Database Request Form" xr:uid="{00000000-0004-0000-0000-000010000000}"/>
    <hyperlink ref="A64" location="'Release Notes'!A1" display="Release Notes - Summary of version changes" xr:uid="{00000000-0004-0000-0000-000011000000}"/>
    <hyperlink ref="A16" location="'Mainframe Scope'!A1" display="Mainframe: Scope of Work" xr:uid="{00000000-0004-0000-0000-000012000000}"/>
    <hyperlink ref="A54" location="Decommissioning!A1" display="Decommissioning List - List of possible assets" xr:uid="{00000000-0004-0000-0000-000013000000}"/>
    <hyperlink ref="A69" location="HostNamingStandard!A1" display="Host Naming Standard" xr:uid="{00000000-0004-0000-0000-000014000000}"/>
    <hyperlink ref="A71" location="'Admin Simp CIs'!A1" display="Admin Simplification Configuration Items" xr:uid="{00000000-0004-0000-0000-000015000000}"/>
    <hyperlink ref="A45" location="Scheduler!A1" display="Scheduler" xr:uid="{00000000-0004-0000-0000-000016000000}"/>
    <hyperlink ref="A46" location="'Apache IHS'!A1" display="Apache - IHS Web Server - Websphere" xr:uid="{00000000-0004-0000-0000-000017000000}"/>
    <hyperlink ref="A50" location="'Traffic Manager'!A1" display="Traffic Manager" xr:uid="{00000000-0004-0000-0000-000018000000}"/>
    <hyperlink ref="A34" location="Windows!A1" display="Windows" xr:uid="{00000000-0004-0000-0000-000019000000}"/>
    <hyperlink ref="A13" location="'SQL OPT File Refresh'!A1" display="SQL - TSM OPT File Refresh" xr:uid="{00000000-0004-0000-0000-00001A000000}"/>
    <hyperlink ref="A33" location="'Open Systems'!A1" display="Open Systems" xr:uid="{00000000-0004-0000-0000-00001B000000}"/>
    <hyperlink ref="A17" location="'MF-DB2'!A1" display="Mainframe - DB2" xr:uid="{00000000-0004-0000-0000-00001C000000}"/>
    <hyperlink ref="A18" location="'MF-CICS'!A1" display="Mainframe - CICS" xr:uid="{00000000-0004-0000-0000-00001D000000}"/>
    <hyperlink ref="A19" location="'MF-DB1'!A1" display="Mainframe - DB1" xr:uid="{00000000-0004-0000-0000-00001E000000}"/>
    <hyperlink ref="A20" location="'MF-WLM'!A1" display="Mainframe -WLM" xr:uid="{00000000-0004-0000-0000-00001F000000}"/>
    <hyperlink ref="A21" location="'MF-Comm'!A1" display="Mainframe - Communucations" xr:uid="{00000000-0004-0000-0000-000020000000}"/>
    <hyperlink ref="A22" location="'MF-OSSP'!A1" display="Mainframe - OSSP" xr:uid="{00000000-0004-0000-0000-000021000000}"/>
    <hyperlink ref="A10" location="NAS!A1" display="NAS - Network Attached Storage Request" xr:uid="{00000000-0004-0000-0000-000022000000}"/>
    <hyperlink ref="A40" location="'NAS Details'!A1" display="Network Attached Storage Details" xr:uid="{00000000-0004-0000-0000-000023000000}"/>
    <hyperlink ref="A9" location="'EAA Siteminder'!A1" display="EAA Siteminder" xr:uid="{00000000-0004-0000-0000-000024000000}"/>
    <hyperlink ref="A25" location="'Infrastructure Estimation'!A1" display="Infrastructure Estimate Summary" xr:uid="{00000000-0004-0000-0000-000025000000}"/>
    <hyperlink ref="A26" location="'Licensing Estimation'!A1" display="Software Licensing Estimate Summary  " xr:uid="{00000000-0004-0000-0000-000026000000}"/>
    <hyperlink ref="A36" location="'SD &amp; D Provisioning  Notes'!A1" display="Middleware Software Installations" xr:uid="{00000000-0004-0000-0000-000027000000}"/>
    <hyperlink ref="A51" location="PAM!A1" display="PAM" xr:uid="{00000000-0004-0000-0000-000028000000}"/>
    <hyperlink ref="A67" location="'Oracle File Structures'!A1" display="Oracle File Structure Standards" xr:uid="{00000000-0004-0000-0000-000029000000}"/>
    <hyperlink ref="A68" location="'SQL Drive Space'!A1" display="SQL Drive Space Standards" xr:uid="{00000000-0004-0000-0000-00002A000000}"/>
    <hyperlink ref="A47" location="'BlueCoat Proxy'!A1" display="BlueCoat Proxy" xr:uid="{00000000-0004-0000-0000-00002B000000}"/>
    <hyperlink ref="A7" location="VMware!A1" display="VM -  ESX - Virtual Hosts  -     sign off only - no associated tab" xr:uid="{00000000-0004-0000-0000-00002C000000}"/>
  </hyperlinks>
  <pageMargins left="0.2" right="0.2" top="0.25" bottom="0.25" header="0.3" footer="0.3"/>
  <pageSetup scale="71" fitToHeight="0" orientation="landscape" r:id="rId1"/>
  <headerFooter alignWithMargins="0"/>
  <ignoredErrors>
    <ignoredError sqref="D18:D22" unlockedFormula="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3" tint="-0.249977111117893"/>
  </sheetPr>
  <dimension ref="A1:H91"/>
  <sheetViews>
    <sheetView showGridLines="0" zoomScaleNormal="100" workbookViewId="0">
      <selection sqref="A1:E1"/>
    </sheetView>
  </sheetViews>
  <sheetFormatPr defaultRowHeight="12.75"/>
  <cols>
    <col min="1" max="1" width="20.140625" style="1" customWidth="1"/>
    <col min="2" max="2" width="42.5703125" style="1" customWidth="1"/>
    <col min="3" max="3" width="22.7109375" customWidth="1"/>
    <col min="4" max="4" width="15" style="1" customWidth="1"/>
    <col min="5" max="5" width="88.7109375" customWidth="1"/>
    <col min="6" max="6" width="7.5703125" customWidth="1"/>
  </cols>
  <sheetData>
    <row r="1" spans="1:8" ht="38.25" customHeight="1" thickBot="1">
      <c r="A1" s="3522" t="str">
        <f>C8 &amp; " -Project Details"</f>
        <v>Linux Infrastructure Management -Project Details</v>
      </c>
      <c r="B1" s="3523"/>
      <c r="C1" s="3523"/>
      <c r="D1" s="3523"/>
      <c r="E1" s="3524"/>
      <c r="G1" s="354"/>
      <c r="H1" s="354"/>
    </row>
    <row r="2" spans="1:8" ht="15.75" customHeight="1">
      <c r="A2" s="3542" t="s">
        <v>4596</v>
      </c>
      <c r="B2" s="3543"/>
      <c r="C2" s="3544"/>
      <c r="D2" s="1554" t="str">
        <f ca="1">MID(CELL("filename"),SEARCH("[",CELL("filename"))+1, SEARCH("]",CELL("filename"))-SEARCH("[",CELL("filename"))-1)</f>
        <v>20213598 LBOM Linux Infrastructure Management APP00000000.xlsm</v>
      </c>
      <c r="E2" s="1555"/>
      <c r="G2" s="354"/>
      <c r="H2" s="354"/>
    </row>
    <row r="3" spans="1:8">
      <c r="A3" s="3545" t="s">
        <v>12</v>
      </c>
      <c r="B3" s="3546"/>
      <c r="C3" s="3547"/>
      <c r="D3" s="284" t="e">
        <f ca="1">MyStamp()</f>
        <v>#VALUE!</v>
      </c>
      <c r="E3" s="121"/>
      <c r="G3" s="354"/>
      <c r="H3" s="354"/>
    </row>
    <row r="4" spans="1:8">
      <c r="A4" s="338" t="s">
        <v>943</v>
      </c>
      <c r="B4" s="350" t="s">
        <v>1441</v>
      </c>
      <c r="C4" s="337">
        <f ca="1">last_modified</f>
        <v>0</v>
      </c>
      <c r="D4" s="336" t="str">
        <f ca="1">version_number</f>
        <v>R20.0.12</v>
      </c>
      <c r="E4" s="122"/>
      <c r="G4" s="354"/>
      <c r="H4" s="354"/>
    </row>
    <row r="5" spans="1:8" ht="12.75" customHeight="1">
      <c r="A5" s="3569" t="s">
        <v>15</v>
      </c>
      <c r="B5" s="3570"/>
      <c r="C5" s="3571"/>
      <c r="D5" s="3501" t="s">
        <v>944</v>
      </c>
      <c r="E5" s="3502"/>
      <c r="G5" s="354"/>
      <c r="H5" s="354"/>
    </row>
    <row r="6" spans="1:8" ht="13.5" customHeight="1" thickBot="1">
      <c r="A6" s="3507" t="s">
        <v>681</v>
      </c>
      <c r="B6" s="3508"/>
      <c r="C6" s="3509"/>
      <c r="D6" s="3572" t="s">
        <v>4606</v>
      </c>
      <c r="E6" s="3573"/>
      <c r="G6" s="354"/>
      <c r="H6" s="354"/>
    </row>
    <row r="7" spans="1:8" ht="4.5" customHeight="1" thickBot="1">
      <c r="A7" s="3452"/>
      <c r="B7" s="3453"/>
      <c r="C7" s="3453"/>
      <c r="D7" s="3453"/>
      <c r="E7" s="3454"/>
      <c r="G7" s="354"/>
      <c r="H7" s="354"/>
    </row>
    <row r="8" spans="1:8" ht="15" customHeight="1" thickBot="1">
      <c r="A8" s="3510" t="s">
        <v>754</v>
      </c>
      <c r="B8" s="3511"/>
      <c r="C8" s="3560" t="s">
        <v>5584</v>
      </c>
      <c r="D8" s="3561"/>
      <c r="E8" s="2249" t="s">
        <v>3529</v>
      </c>
      <c r="G8" s="354"/>
      <c r="H8" s="354"/>
    </row>
    <row r="9" spans="1:8" s="931" customFormat="1" ht="15" customHeight="1">
      <c r="A9" s="3505" t="s">
        <v>2329</v>
      </c>
      <c r="B9" s="3506"/>
      <c r="C9" s="1549"/>
      <c r="D9" s="3517"/>
      <c r="E9" s="3518"/>
      <c r="G9" s="354"/>
      <c r="H9" s="354"/>
    </row>
    <row r="10" spans="1:8" ht="15" customHeight="1">
      <c r="A10" s="3512" t="s">
        <v>4636</v>
      </c>
      <c r="B10" s="3513"/>
      <c r="C10" s="1476" t="s">
        <v>5585</v>
      </c>
      <c r="D10" s="3536" t="s">
        <v>3405</v>
      </c>
      <c r="E10" s="3537"/>
      <c r="G10" s="354"/>
      <c r="H10" s="354"/>
    </row>
    <row r="11" spans="1:8" ht="15" hidden="1">
      <c r="A11" s="3505"/>
      <c r="B11" s="3506"/>
      <c r="C11" s="124" t="s">
        <v>5588</v>
      </c>
      <c r="D11" s="125"/>
      <c r="E11" s="123"/>
      <c r="G11" s="354"/>
      <c r="H11" s="354"/>
    </row>
    <row r="12" spans="1:8" ht="15">
      <c r="A12" s="3505" t="s">
        <v>4635</v>
      </c>
      <c r="B12" s="3506"/>
      <c r="C12" s="3526" t="s">
        <v>5586</v>
      </c>
      <c r="D12" s="3527"/>
      <c r="E12" s="123" t="s">
        <v>4637</v>
      </c>
      <c r="G12" s="354"/>
      <c r="H12" s="354"/>
    </row>
    <row r="13" spans="1:8" ht="15" customHeight="1">
      <c r="A13" s="3505" t="s">
        <v>4634</v>
      </c>
      <c r="B13" s="3506"/>
      <c r="C13" s="3519" t="s">
        <v>5587</v>
      </c>
      <c r="D13" s="3520"/>
      <c r="E13" s="3521"/>
      <c r="G13" s="354"/>
      <c r="H13" s="354"/>
    </row>
    <row r="14" spans="1:8" s="931" customFormat="1" ht="15">
      <c r="A14" s="3505" t="s">
        <v>3813</v>
      </c>
      <c r="B14" s="3516"/>
      <c r="C14" s="3519" t="s">
        <v>5589</v>
      </c>
      <c r="D14" s="3520"/>
      <c r="E14" s="3521"/>
      <c r="G14" s="354"/>
    </row>
    <row r="15" spans="1:8" ht="51" customHeight="1" thickBot="1">
      <c r="A15" s="3514" t="s">
        <v>1557</v>
      </c>
      <c r="B15" s="3515"/>
      <c r="C15" s="3562" t="s">
        <v>5590</v>
      </c>
      <c r="D15" s="3563"/>
      <c r="E15" s="3564"/>
      <c r="G15" s="354"/>
    </row>
    <row r="16" spans="1:8" ht="4.5" customHeight="1" thickBot="1">
      <c r="A16" s="3452"/>
      <c r="B16" s="3453"/>
      <c r="C16" s="3453"/>
      <c r="D16" s="3453"/>
      <c r="E16" s="3454"/>
      <c r="G16" s="354"/>
    </row>
    <row r="17" spans="1:7" ht="15" customHeight="1">
      <c r="A17" s="2967" t="s">
        <v>3498</v>
      </c>
      <c r="B17" s="1650" t="s">
        <v>3010</v>
      </c>
      <c r="C17" s="1647" t="s">
        <v>5591</v>
      </c>
      <c r="D17" s="1649"/>
      <c r="E17" s="1651" t="s">
        <v>768</v>
      </c>
      <c r="G17" s="354"/>
    </row>
    <row r="18" spans="1:7" s="931" customFormat="1" ht="15" hidden="1" customHeight="1">
      <c r="A18" s="2968"/>
      <c r="B18" s="1659"/>
      <c r="C18" s="1660"/>
      <c r="D18" s="2466"/>
      <c r="E18" s="1652"/>
      <c r="G18" s="354"/>
    </row>
    <row r="19" spans="1:7" s="931" customFormat="1" ht="15" hidden="1" customHeight="1" thickBot="1">
      <c r="A19" s="2969"/>
      <c r="B19" s="1653"/>
      <c r="C19" s="1648"/>
      <c r="D19" s="2569"/>
      <c r="E19" s="2571"/>
      <c r="G19" s="354"/>
    </row>
    <row r="20" spans="1:7" ht="3.75" customHeight="1" thickBot="1">
      <c r="A20" s="3565"/>
      <c r="B20" s="3566"/>
      <c r="C20" s="3567"/>
      <c r="D20" s="3568"/>
      <c r="E20" s="1359"/>
      <c r="G20" s="354"/>
    </row>
    <row r="21" spans="1:7" ht="18.75" customHeight="1" thickBot="1">
      <c r="A21" s="3540" t="s">
        <v>1615</v>
      </c>
      <c r="B21" s="3541"/>
      <c r="C21" s="3503"/>
      <c r="D21" s="3504"/>
      <c r="E21" s="1501" t="s">
        <v>4638</v>
      </c>
      <c r="F21" s="931"/>
      <c r="G21" s="931"/>
    </row>
    <row r="22" spans="1:7" s="397" customFormat="1" ht="17.25" customHeight="1" thickBot="1">
      <c r="A22" s="3574" t="s">
        <v>3552</v>
      </c>
      <c r="B22" s="3575"/>
      <c r="C22" s="1836" t="s">
        <v>25</v>
      </c>
      <c r="D22" s="3576" t="str">
        <f>IF(dr_critical&lt;&gt;"",
        IF(dr_critical = "No", "Not a DR Recoverable Application",
             IF(dr_critical ="Yes", "Select the Application Critical Level",
                  IF(dr_critical ="TBD", "A Valid DR Determination is required prior to entry into SD &amp; D Integration / Provisioning",""))),"")</f>
        <v>Not a DR Recoverable Application</v>
      </c>
      <c r="E22" s="3577"/>
      <c r="F22" s="931"/>
      <c r="G22" s="354"/>
    </row>
    <row r="23" spans="1:7" ht="17.25" customHeight="1" thickBot="1">
      <c r="A23" s="3538" t="s">
        <v>1958</v>
      </c>
      <c r="B23" s="3539"/>
      <c r="C23" s="1815" t="s">
        <v>5592</v>
      </c>
      <c r="D23" s="1834" t="e">
        <f>IF(C23&lt;&gt;"",VLOOKUP(C23,dr_table,2,FALSE),"")</f>
        <v>#N/A</v>
      </c>
      <c r="E23" s="1835"/>
      <c r="F23" s="931"/>
    </row>
    <row r="24" spans="1:7" s="931" customFormat="1" ht="17.25" customHeight="1" thickBot="1">
      <c r="A24" s="3465" t="s">
        <v>3919</v>
      </c>
      <c r="B24" s="3465"/>
      <c r="C24" s="3466"/>
      <c r="D24" s="2465" t="s">
        <v>25</v>
      </c>
      <c r="E24" s="2454" t="s">
        <v>3918</v>
      </c>
    </row>
    <row r="25" spans="1:7" s="931" customFormat="1" ht="17.25" customHeight="1" thickBot="1">
      <c r="A25" s="1817"/>
      <c r="B25" s="1818"/>
      <c r="C25" s="1820" t="s">
        <v>3548</v>
      </c>
      <c r="D25" s="1819" t="s">
        <v>3549</v>
      </c>
      <c r="E25" s="1823" t="s">
        <v>4163</v>
      </c>
    </row>
    <row r="26" spans="1:7" s="931" customFormat="1" ht="15" customHeight="1">
      <c r="A26" s="3470" t="s">
        <v>4658</v>
      </c>
      <c r="B26" s="3471"/>
      <c r="C26" s="3472"/>
      <c r="D26" s="1824">
        <v>44239</v>
      </c>
      <c r="E26" s="1821"/>
    </row>
    <row r="27" spans="1:7" s="931" customFormat="1" ht="15" customHeight="1">
      <c r="A27" s="3473"/>
      <c r="B27" s="3474"/>
      <c r="C27" s="3475"/>
      <c r="D27" s="2570">
        <v>44239</v>
      </c>
      <c r="E27" s="1822"/>
    </row>
    <row r="28" spans="1:7" s="931" customFormat="1" ht="15" customHeight="1">
      <c r="A28" s="3473"/>
      <c r="B28" s="3474"/>
      <c r="C28" s="3475"/>
      <c r="D28" s="2459"/>
      <c r="E28" s="2457"/>
    </row>
    <row r="29" spans="1:7" s="931" customFormat="1" ht="15" customHeight="1">
      <c r="A29" s="3473"/>
      <c r="B29" s="3474"/>
      <c r="C29" s="3475"/>
      <c r="D29" s="1825">
        <v>44239</v>
      </c>
      <c r="E29" s="1822"/>
    </row>
    <row r="30" spans="1:7" s="931" customFormat="1" ht="15" customHeight="1">
      <c r="A30" s="3473"/>
      <c r="B30" s="3474"/>
      <c r="C30" s="3475"/>
      <c r="D30" s="1825"/>
      <c r="E30" s="1822"/>
    </row>
    <row r="31" spans="1:7" s="931" customFormat="1" ht="15" customHeight="1" thickBot="1">
      <c r="A31" s="3476"/>
      <c r="B31" s="3477"/>
      <c r="C31" s="3478"/>
      <c r="D31" s="2256"/>
      <c r="E31" s="2253"/>
    </row>
    <row r="32" spans="1:7" s="931" customFormat="1" ht="15" hidden="1" customHeight="1" thickBot="1">
      <c r="A32" s="2463"/>
      <c r="B32" s="2462"/>
      <c r="C32" s="2462"/>
      <c r="D32" s="2462"/>
      <c r="E32" s="2460"/>
    </row>
    <row r="33" spans="1:5" s="931" customFormat="1" ht="15" hidden="1" customHeight="1">
      <c r="A33" s="3131"/>
      <c r="B33" s="3132"/>
      <c r="C33" s="3133"/>
      <c r="D33" s="2458"/>
      <c r="E33" s="2455"/>
    </row>
    <row r="34" spans="1:5" s="931" customFormat="1" ht="15" hidden="1" customHeight="1">
      <c r="A34" s="3134"/>
      <c r="B34" s="3135"/>
      <c r="C34" s="3136"/>
      <c r="D34" s="2459"/>
      <c r="E34" s="2457"/>
    </row>
    <row r="35" spans="1:5" ht="15" hidden="1" customHeight="1" thickBot="1">
      <c r="A35" s="3137"/>
      <c r="B35" s="3138"/>
      <c r="C35" s="3139"/>
      <c r="D35" s="2459"/>
      <c r="E35" s="2456"/>
    </row>
    <row r="36" spans="1:5" s="931" customFormat="1" ht="15" hidden="1" customHeight="1" thickBot="1">
      <c r="A36" s="3140"/>
      <c r="B36" s="3141"/>
      <c r="C36" s="3141"/>
      <c r="D36" s="3142"/>
      <c r="E36" s="3143"/>
    </row>
    <row r="37" spans="1:5" ht="15" hidden="1" customHeight="1">
      <c r="A37" s="3131"/>
      <c r="B37" s="3132"/>
      <c r="C37" s="3133"/>
      <c r="D37" s="2458"/>
      <c r="E37" s="2455"/>
    </row>
    <row r="38" spans="1:5" ht="15" hidden="1" customHeight="1" thickBot="1">
      <c r="A38" s="3137"/>
      <c r="B38" s="3138"/>
      <c r="C38" s="3139"/>
      <c r="D38" s="2459"/>
      <c r="E38" s="2456"/>
    </row>
    <row r="39" spans="1:5" s="931" customFormat="1" ht="15" hidden="1" customHeight="1" thickBot="1">
      <c r="A39" s="3144"/>
      <c r="B39" s="3145"/>
      <c r="C39" s="3145"/>
      <c r="D39" s="3146"/>
      <c r="E39" s="2461"/>
    </row>
    <row r="40" spans="1:5" ht="15" hidden="1" customHeight="1">
      <c r="A40" s="3131"/>
      <c r="B40" s="3132"/>
      <c r="C40" s="3133"/>
      <c r="D40" s="2459"/>
      <c r="E40" s="2455"/>
    </row>
    <row r="41" spans="1:5" ht="15" customHeight="1" thickBot="1">
      <c r="A41" s="3485" t="s">
        <v>5427</v>
      </c>
      <c r="B41" s="3486"/>
      <c r="C41" s="3487"/>
      <c r="D41" s="3209" t="s">
        <v>25</v>
      </c>
      <c r="E41" s="2456"/>
    </row>
    <row r="42" spans="1:5" ht="15.75" customHeight="1" thickBot="1">
      <c r="A42" s="3548" t="s">
        <v>3692</v>
      </c>
      <c r="B42" s="3549"/>
      <c r="C42" s="3549"/>
      <c r="D42" s="3550"/>
      <c r="E42" s="1816"/>
    </row>
    <row r="43" spans="1:5" ht="16.5" customHeight="1" thickBot="1">
      <c r="A43" s="3467" t="s">
        <v>3454</v>
      </c>
      <c r="B43" s="3468"/>
      <c r="C43" s="3468"/>
      <c r="D43" s="3479"/>
      <c r="E43" s="1816"/>
    </row>
    <row r="44" spans="1:5" ht="15.75" customHeight="1" thickBot="1">
      <c r="A44" s="3467" t="s">
        <v>3814</v>
      </c>
      <c r="B44" s="3468"/>
      <c r="C44" s="3468"/>
      <c r="D44" s="3469"/>
      <c r="E44" s="1816"/>
    </row>
    <row r="45" spans="1:5" ht="15.75" customHeight="1" thickBot="1">
      <c r="A45" s="3480"/>
      <c r="B45" s="3481"/>
      <c r="C45" s="2960"/>
      <c r="D45" s="2793" t="s">
        <v>4467</v>
      </c>
      <c r="E45" s="2917">
        <v>1192021</v>
      </c>
    </row>
    <row r="46" spans="1:5" ht="15.75" customHeight="1" thickBot="1">
      <c r="A46" s="3467" t="s">
        <v>4315</v>
      </c>
      <c r="B46" s="3468"/>
      <c r="C46" s="463" t="s">
        <v>5598</v>
      </c>
      <c r="D46" s="3463" t="str">
        <f>IF($C$46&lt;&gt;"",
             IF(AND($C$46&lt;&gt;"Legacy",$C$46&lt;&gt;"Streamline"),"Enter Change # Here",""), "")</f>
        <v/>
      </c>
      <c r="E46" s="3464"/>
    </row>
    <row r="47" spans="1:5" ht="7.5" customHeight="1" thickBot="1">
      <c r="A47" s="3452"/>
      <c r="B47" s="3453"/>
      <c r="C47" s="3453"/>
      <c r="D47" s="3453"/>
      <c r="E47" s="3454"/>
    </row>
    <row r="48" spans="1:5" s="397" customFormat="1" ht="15" customHeight="1">
      <c r="A48" s="3510" t="s">
        <v>1053</v>
      </c>
      <c r="B48" s="3511"/>
      <c r="C48" s="464" t="s">
        <v>25</v>
      </c>
      <c r="D48" s="3495" t="s">
        <v>4639</v>
      </c>
      <c r="E48" s="3496"/>
    </row>
    <row r="49" spans="1:6" s="397" customFormat="1" ht="15" customHeight="1">
      <c r="A49" s="1939"/>
      <c r="B49" s="1943" t="s">
        <v>1252</v>
      </c>
      <c r="C49" s="3455" t="s">
        <v>5599</v>
      </c>
      <c r="D49" s="3456"/>
      <c r="E49" s="3457"/>
    </row>
    <row r="50" spans="1:6" s="433" customFormat="1" ht="15" customHeight="1" thickBot="1">
      <c r="A50" s="1944"/>
      <c r="B50" s="1945" t="s">
        <v>1253</v>
      </c>
      <c r="C50" s="3482"/>
      <c r="D50" s="3483"/>
      <c r="E50" s="3484"/>
    </row>
    <row r="51" spans="1:6" s="433" customFormat="1" ht="6.75" customHeight="1" thickBot="1">
      <c r="A51" s="3452"/>
      <c r="B51" s="3453"/>
      <c r="C51" s="3453"/>
      <c r="D51" s="3453"/>
      <c r="E51" s="3454"/>
    </row>
    <row r="52" spans="1:6" s="433" customFormat="1" ht="15" customHeight="1" thickBot="1">
      <c r="A52" s="3510" t="s">
        <v>906</v>
      </c>
      <c r="B52" s="3511"/>
      <c r="C52" s="462" t="s">
        <v>1055</v>
      </c>
      <c r="D52" s="3551"/>
      <c r="E52" s="3552"/>
    </row>
    <row r="53" spans="1:6" s="931" customFormat="1" ht="15" hidden="1" customHeight="1" thickBot="1">
      <c r="A53" s="3531"/>
      <c r="B53" s="3532"/>
      <c r="C53" s="459"/>
      <c r="D53" s="460"/>
      <c r="E53" s="461"/>
    </row>
    <row r="54" spans="1:6" s="433" customFormat="1" ht="6.75" customHeight="1" thickBot="1">
      <c r="A54" s="3452"/>
      <c r="B54" s="3453"/>
      <c r="C54" s="3453"/>
      <c r="D54" s="3453"/>
      <c r="E54" s="3454"/>
    </row>
    <row r="55" spans="1:6" ht="15" customHeight="1">
      <c r="A55" s="3555" t="s">
        <v>1612</v>
      </c>
      <c r="B55" s="3556"/>
      <c r="C55" s="3557" t="s">
        <v>5593</v>
      </c>
      <c r="D55" s="3558"/>
      <c r="E55" s="3559"/>
    </row>
    <row r="56" spans="1:6" s="931" customFormat="1" ht="15" hidden="1" customHeight="1">
      <c r="A56" s="3458" t="s">
        <v>1613</v>
      </c>
      <c r="B56" s="3459"/>
      <c r="C56" s="3460"/>
      <c r="D56" s="3461"/>
      <c r="E56" s="3462"/>
    </row>
    <row r="57" spans="1:6" ht="15" customHeight="1">
      <c r="A57" s="3458" t="s">
        <v>1614</v>
      </c>
      <c r="B57" s="3459"/>
      <c r="C57" s="3460" t="s">
        <v>5594</v>
      </c>
      <c r="D57" s="3461"/>
      <c r="E57" s="3462"/>
    </row>
    <row r="58" spans="1:6" ht="15" customHeight="1">
      <c r="A58" s="3458" t="s">
        <v>1701</v>
      </c>
      <c r="B58" s="3459"/>
      <c r="C58" s="3460" t="s">
        <v>5595</v>
      </c>
      <c r="D58" s="3461"/>
      <c r="E58" s="3462"/>
    </row>
    <row r="59" spans="1:6" ht="15" customHeight="1">
      <c r="A59" s="3458" t="s">
        <v>1702</v>
      </c>
      <c r="B59" s="3459"/>
      <c r="C59" s="3460" t="s">
        <v>5596</v>
      </c>
      <c r="D59" s="3461"/>
      <c r="E59" s="3462"/>
    </row>
    <row r="60" spans="1:6" s="931" customFormat="1" ht="15" customHeight="1">
      <c r="A60" s="3458" t="s">
        <v>3632</v>
      </c>
      <c r="B60" s="3459"/>
      <c r="C60" s="3460" t="s">
        <v>4493</v>
      </c>
      <c r="D60" s="3461"/>
      <c r="E60" s="3462"/>
    </row>
    <row r="61" spans="1:6" ht="15" customHeight="1">
      <c r="A61" s="3458" t="s">
        <v>1703</v>
      </c>
      <c r="B61" s="3459"/>
      <c r="C61" s="3460" t="s">
        <v>5597</v>
      </c>
      <c r="D61" s="3461"/>
      <c r="E61" s="3462"/>
    </row>
    <row r="62" spans="1:6" ht="15">
      <c r="A62" s="3458" t="s">
        <v>4213</v>
      </c>
      <c r="B62" s="3459"/>
      <c r="C62" s="3460"/>
      <c r="D62" s="3461"/>
      <c r="E62" s="3462"/>
    </row>
    <row r="63" spans="1:6" ht="15" customHeight="1">
      <c r="A63" s="3458" t="s">
        <v>3850</v>
      </c>
      <c r="B63" s="3459"/>
      <c r="C63" s="3460" t="s">
        <v>5624</v>
      </c>
      <c r="D63" s="3461"/>
      <c r="E63" s="3462"/>
      <c r="F63" s="276"/>
    </row>
    <row r="64" spans="1:6" ht="15" customHeight="1">
      <c r="A64" s="3458" t="s">
        <v>4214</v>
      </c>
      <c r="B64" s="3459"/>
      <c r="C64" s="3460"/>
      <c r="D64" s="3461"/>
      <c r="E64" s="3462"/>
    </row>
    <row r="65" spans="1:6" ht="15" customHeight="1">
      <c r="A65" s="3458" t="s">
        <v>4262</v>
      </c>
      <c r="B65" s="3459"/>
      <c r="C65" s="3460"/>
      <c r="D65" s="3461"/>
      <c r="E65" s="3462"/>
      <c r="F65" s="276"/>
    </row>
    <row r="66" spans="1:6" ht="15" customHeight="1">
      <c r="A66" s="3458" t="s">
        <v>4261</v>
      </c>
      <c r="B66" s="3459"/>
      <c r="C66" s="3460"/>
      <c r="D66" s="3461"/>
      <c r="E66" s="3462"/>
    </row>
    <row r="67" spans="1:6" ht="15" customHeight="1">
      <c r="A67" s="3458" t="s">
        <v>4659</v>
      </c>
      <c r="B67" s="3459"/>
      <c r="C67" s="3460"/>
      <c r="D67" s="3461"/>
      <c r="E67" s="3462"/>
    </row>
    <row r="68" spans="1:6" s="433" customFormat="1" ht="15" customHeight="1">
      <c r="A68" s="3458" t="s">
        <v>4660</v>
      </c>
      <c r="B68" s="3459"/>
      <c r="C68" s="3460" t="s">
        <v>5625</v>
      </c>
      <c r="D68" s="3461"/>
      <c r="E68" s="3462"/>
    </row>
    <row r="69" spans="1:6" ht="15" customHeight="1">
      <c r="A69" s="3590" t="s">
        <v>1704</v>
      </c>
      <c r="B69" s="3591"/>
      <c r="C69" s="855">
        <v>20213598</v>
      </c>
      <c r="D69" s="3450"/>
      <c r="E69" s="3451"/>
    </row>
    <row r="70" spans="1:6" ht="7.5" customHeight="1" thickBot="1">
      <c r="A70" s="3528"/>
      <c r="B70" s="3529"/>
      <c r="C70" s="3529"/>
      <c r="D70" s="3529"/>
      <c r="E70" s="3530"/>
    </row>
    <row r="71" spans="1:6" ht="15.75" customHeight="1" thickBot="1">
      <c r="A71" s="3533" t="s">
        <v>1121</v>
      </c>
      <c r="B71" s="3534"/>
      <c r="C71" s="3534"/>
      <c r="D71" s="3534"/>
      <c r="E71" s="3535"/>
    </row>
    <row r="72" spans="1:6" ht="12.75" customHeight="1" thickBot="1">
      <c r="A72" s="251" t="s">
        <v>24</v>
      </c>
      <c r="B72" s="3499" t="s">
        <v>23</v>
      </c>
      <c r="C72" s="3525"/>
      <c r="D72" s="3499" t="s">
        <v>908</v>
      </c>
      <c r="E72" s="3500"/>
    </row>
    <row r="73" spans="1:6" ht="12.75" customHeight="1">
      <c r="A73" s="407" t="s">
        <v>2736</v>
      </c>
      <c r="B73" s="408"/>
      <c r="C73" s="409"/>
      <c r="D73" s="410"/>
      <c r="E73" s="411"/>
    </row>
    <row r="74" spans="1:6" s="433" customFormat="1" ht="44.25" customHeight="1">
      <c r="A74" s="226" t="s">
        <v>1047</v>
      </c>
      <c r="B74" s="3492" t="s">
        <v>2735</v>
      </c>
      <c r="C74" s="3493"/>
      <c r="D74" s="3494"/>
      <c r="E74" s="1334" t="s">
        <v>3223</v>
      </c>
    </row>
    <row r="75" spans="1:6" s="1316" customFormat="1" ht="25.5" customHeight="1" thickBot="1">
      <c r="A75" s="226" t="s">
        <v>2739</v>
      </c>
      <c r="B75" s="3497" t="s">
        <v>2740</v>
      </c>
      <c r="C75" s="3498"/>
      <c r="D75" s="105" t="s">
        <v>25</v>
      </c>
      <c r="E75" s="3" t="str">
        <f>IF(SensitiveInfoAcrossEnvs="Yes", "Policy Extension Required", "")</f>
        <v/>
      </c>
    </row>
    <row r="76" spans="1:6" ht="12.75" hidden="1" customHeight="1">
      <c r="A76" s="3056"/>
      <c r="B76" s="3057"/>
      <c r="C76" s="3058"/>
      <c r="D76" s="3059"/>
      <c r="E76" s="3060"/>
    </row>
    <row r="77" spans="1:6" ht="13.5" hidden="1" customHeight="1">
      <c r="A77" s="396"/>
      <c r="B77" s="3582"/>
      <c r="C77" s="3583"/>
      <c r="D77" s="3055"/>
      <c r="E77" s="227"/>
    </row>
    <row r="78" spans="1:6" s="931" customFormat="1" ht="13.5" hidden="1" customHeight="1">
      <c r="A78" s="396"/>
      <c r="B78" s="3488"/>
      <c r="C78" s="3489"/>
      <c r="D78" s="3055"/>
      <c r="E78" s="227"/>
    </row>
    <row r="79" spans="1:6" ht="13.5" hidden="1" customHeight="1" thickBot="1">
      <c r="A79" s="506"/>
      <c r="B79" s="3580"/>
      <c r="C79" s="3581"/>
      <c r="D79" s="3490"/>
      <c r="E79" s="3491"/>
    </row>
    <row r="80" spans="1:6" ht="27.75" customHeight="1">
      <c r="A80" s="3584" t="s">
        <v>1755</v>
      </c>
      <c r="B80" s="3586" t="s">
        <v>916</v>
      </c>
      <c r="C80" s="3587"/>
      <c r="D80" s="3448" t="s">
        <v>3633</v>
      </c>
      <c r="E80" s="3449"/>
    </row>
    <row r="81" spans="1:5">
      <c r="A81" s="3585"/>
      <c r="B81" s="3588"/>
      <c r="C81" s="3589"/>
      <c r="D81" s="467" t="s">
        <v>110</v>
      </c>
      <c r="E81" s="466" t="s">
        <v>480</v>
      </c>
    </row>
    <row r="82" spans="1:5">
      <c r="A82" s="1471"/>
      <c r="B82" s="3553" t="s">
        <v>4263</v>
      </c>
      <c r="C82" s="3554"/>
      <c r="D82" s="465" t="s">
        <v>25</v>
      </c>
      <c r="E82" s="412"/>
    </row>
    <row r="83" spans="1:5" ht="13.5" thickBot="1">
      <c r="A83" s="1471"/>
      <c r="B83" s="3553" t="s">
        <v>1577</v>
      </c>
      <c r="C83" s="3554"/>
      <c r="D83" s="3446"/>
      <c r="E83" s="3447"/>
    </row>
    <row r="84" spans="1:5" ht="38.25" customHeight="1" thickBot="1">
      <c r="A84" s="1470" t="s">
        <v>1754</v>
      </c>
      <c r="B84" s="504"/>
      <c r="C84" s="504"/>
      <c r="D84" s="504"/>
      <c r="E84" s="505"/>
    </row>
    <row r="85" spans="1:5" ht="13.5" thickBot="1">
      <c r="A85" s="2635"/>
      <c r="B85" s="3578" t="s">
        <v>4264</v>
      </c>
      <c r="C85" s="3579"/>
      <c r="D85" s="2544"/>
      <c r="E85" s="3005"/>
    </row>
    <row r="86" spans="1:5">
      <c r="D86" s="353"/>
    </row>
    <row r="87" spans="1:5">
      <c r="D87" s="353"/>
    </row>
    <row r="91" spans="1:5">
      <c r="E91" s="3061"/>
    </row>
  </sheetData>
  <mergeCells count="97">
    <mergeCell ref="B83:C83"/>
    <mergeCell ref="B85:C85"/>
    <mergeCell ref="B79:C79"/>
    <mergeCell ref="C68:E68"/>
    <mergeCell ref="C57:E57"/>
    <mergeCell ref="A58:B58"/>
    <mergeCell ref="B77:C77"/>
    <mergeCell ref="A80:A81"/>
    <mergeCell ref="B80:C81"/>
    <mergeCell ref="A69:B69"/>
    <mergeCell ref="A68:B68"/>
    <mergeCell ref="C66:E66"/>
    <mergeCell ref="A63:B63"/>
    <mergeCell ref="C64:E64"/>
    <mergeCell ref="A66:B66"/>
    <mergeCell ref="A65:B65"/>
    <mergeCell ref="A2:C2"/>
    <mergeCell ref="A3:C3"/>
    <mergeCell ref="A42:D42"/>
    <mergeCell ref="D52:E52"/>
    <mergeCell ref="B82:C82"/>
    <mergeCell ref="A55:B55"/>
    <mergeCell ref="C55:E55"/>
    <mergeCell ref="C8:D8"/>
    <mergeCell ref="C15:E15"/>
    <mergeCell ref="A20:B20"/>
    <mergeCell ref="C20:D20"/>
    <mergeCell ref="A16:E16"/>
    <mergeCell ref="A5:C5"/>
    <mergeCell ref="D6:E6"/>
    <mergeCell ref="A22:B22"/>
    <mergeCell ref="D22:E22"/>
    <mergeCell ref="A1:E1"/>
    <mergeCell ref="A7:E7"/>
    <mergeCell ref="A51:E51"/>
    <mergeCell ref="B72:C72"/>
    <mergeCell ref="C13:E13"/>
    <mergeCell ref="C12:D12"/>
    <mergeCell ref="A11:B11"/>
    <mergeCell ref="A70:E70"/>
    <mergeCell ref="A53:B53"/>
    <mergeCell ref="A71:E71"/>
    <mergeCell ref="D10:E10"/>
    <mergeCell ref="A23:B23"/>
    <mergeCell ref="A52:B52"/>
    <mergeCell ref="A48:B48"/>
    <mergeCell ref="A46:B46"/>
    <mergeCell ref="A21:B21"/>
    <mergeCell ref="D5:E5"/>
    <mergeCell ref="C21:D21"/>
    <mergeCell ref="A12:B12"/>
    <mergeCell ref="A13:B13"/>
    <mergeCell ref="A6:C6"/>
    <mergeCell ref="A8:B8"/>
    <mergeCell ref="A10:B10"/>
    <mergeCell ref="A15:B15"/>
    <mergeCell ref="A14:B14"/>
    <mergeCell ref="A9:B9"/>
    <mergeCell ref="D9:E9"/>
    <mergeCell ref="C14:E14"/>
    <mergeCell ref="B78:C78"/>
    <mergeCell ref="D79:E79"/>
    <mergeCell ref="B74:D74"/>
    <mergeCell ref="D48:E48"/>
    <mergeCell ref="A47:E47"/>
    <mergeCell ref="A64:B64"/>
    <mergeCell ref="B75:C75"/>
    <mergeCell ref="C65:E65"/>
    <mergeCell ref="A67:B67"/>
    <mergeCell ref="C67:E67"/>
    <mergeCell ref="D72:E72"/>
    <mergeCell ref="D46:E46"/>
    <mergeCell ref="A24:C24"/>
    <mergeCell ref="A56:B56"/>
    <mergeCell ref="A44:D44"/>
    <mergeCell ref="A26:C31"/>
    <mergeCell ref="A43:D43"/>
    <mergeCell ref="A45:B45"/>
    <mergeCell ref="C50:E50"/>
    <mergeCell ref="C56:E56"/>
    <mergeCell ref="A41:C41"/>
    <mergeCell ref="D83:E83"/>
    <mergeCell ref="D80:E80"/>
    <mergeCell ref="D69:E69"/>
    <mergeCell ref="A54:E54"/>
    <mergeCell ref="C49:E49"/>
    <mergeCell ref="A59:B59"/>
    <mergeCell ref="C61:E61"/>
    <mergeCell ref="C62:E62"/>
    <mergeCell ref="C59:E59"/>
    <mergeCell ref="A60:B60"/>
    <mergeCell ref="A61:B61"/>
    <mergeCell ref="A62:B62"/>
    <mergeCell ref="C60:E60"/>
    <mergeCell ref="C58:E58"/>
    <mergeCell ref="A57:B57"/>
    <mergeCell ref="C63:E63"/>
  </mergeCells>
  <phoneticPr fontId="26" type="noConversion"/>
  <conditionalFormatting sqref="D75 D77:D78">
    <cfRule type="cellIs" dxfId="396" priority="65" operator="equal">
      <formula>"Yes"</formula>
    </cfRule>
  </conditionalFormatting>
  <conditionalFormatting sqref="A75 A77:A78">
    <cfRule type="expression" dxfId="395" priority="64">
      <formula>$D$75="Yes"</formula>
    </cfRule>
  </conditionalFormatting>
  <conditionalFormatting sqref="D26">
    <cfRule type="expression" dxfId="394" priority="45">
      <formula>Dev&lt;&gt;TRUE</formula>
    </cfRule>
    <cfRule type="expression" dxfId="393" priority="50">
      <formula>$D26=""</formula>
    </cfRule>
  </conditionalFormatting>
  <conditionalFormatting sqref="D29">
    <cfRule type="expression" dxfId="392" priority="27">
      <formula>Prod&lt;&gt;TRUE</formula>
    </cfRule>
    <cfRule type="expression" dxfId="391" priority="48">
      <formula>$D$29=""</formula>
    </cfRule>
  </conditionalFormatting>
  <conditionalFormatting sqref="D30">
    <cfRule type="expression" dxfId="390" priority="26">
      <formula>prodftw&lt;&gt;TRUE</formula>
    </cfRule>
    <cfRule type="expression" dxfId="389" priority="47">
      <formula>$D$30=""</formula>
    </cfRule>
  </conditionalFormatting>
  <conditionalFormatting sqref="D31">
    <cfRule type="expression" dxfId="388" priority="25">
      <formula>DR&lt;&gt;TRUE</formula>
    </cfRule>
    <cfRule type="expression" dxfId="387" priority="46">
      <formula>$D$31=""</formula>
    </cfRule>
  </conditionalFormatting>
  <conditionalFormatting sqref="A23:D23">
    <cfRule type="expression" dxfId="386" priority="44">
      <formula>dr_critical = "No"</formula>
    </cfRule>
  </conditionalFormatting>
  <conditionalFormatting sqref="C22">
    <cfRule type="expression" dxfId="385" priority="43">
      <formula>dr_critical="TBD"</formula>
    </cfRule>
  </conditionalFormatting>
  <conditionalFormatting sqref="C23">
    <cfRule type="expression" dxfId="384" priority="42">
      <formula>dr_critical="TBD"</formula>
    </cfRule>
  </conditionalFormatting>
  <conditionalFormatting sqref="A23:B23">
    <cfRule type="expression" dxfId="383" priority="41">
      <formula>dr_critical = "No"</formula>
    </cfRule>
  </conditionalFormatting>
  <conditionalFormatting sqref="E24">
    <cfRule type="expression" dxfId="382" priority="40">
      <formula>$D$24="Yes"</formula>
    </cfRule>
  </conditionalFormatting>
  <conditionalFormatting sqref="D33">
    <cfRule type="expression" dxfId="381" priority="23">
      <formula>azure_sandbox&lt;&gt;TRUE</formula>
    </cfRule>
    <cfRule type="expression" dxfId="380" priority="24">
      <formula>$D$33=""</formula>
    </cfRule>
  </conditionalFormatting>
  <conditionalFormatting sqref="D28">
    <cfRule type="expression" dxfId="379" priority="2">
      <formula>AltProd&lt;&gt;TRUE</formula>
    </cfRule>
    <cfRule type="expression" dxfId="378" priority="3">
      <formula>$D$28=""</formula>
    </cfRule>
  </conditionalFormatting>
  <conditionalFormatting sqref="D34">
    <cfRule type="expression" dxfId="377" priority="19">
      <formula>azure_test&lt;&gt;TRUE</formula>
    </cfRule>
    <cfRule type="expression" dxfId="376" priority="20">
      <formula>$D$34=""</formula>
    </cfRule>
  </conditionalFormatting>
  <conditionalFormatting sqref="D35">
    <cfRule type="expression" dxfId="375" priority="17">
      <formula>azure_prod&lt;&gt;TRUE</formula>
    </cfRule>
    <cfRule type="expression" dxfId="374" priority="18">
      <formula>$D$35=""</formula>
    </cfRule>
  </conditionalFormatting>
  <conditionalFormatting sqref="D37">
    <cfRule type="expression" dxfId="373" priority="15">
      <formula>+pcf_test&lt;&gt;TRUE</formula>
    </cfRule>
    <cfRule type="expression" dxfId="372" priority="16">
      <formula>$D$37=""</formula>
    </cfRule>
  </conditionalFormatting>
  <conditionalFormatting sqref="D38">
    <cfRule type="expression" dxfId="371" priority="13">
      <formula>pcf_prod&lt;&gt;TRUE</formula>
    </cfRule>
    <cfRule type="expression" dxfId="370" priority="14">
      <formula>$D$38=""</formula>
    </cfRule>
  </conditionalFormatting>
  <conditionalFormatting sqref="D40">
    <cfRule type="expression" dxfId="369" priority="11">
      <formula>paas_test&lt;&gt;TRUE</formula>
    </cfRule>
    <cfRule type="expression" dxfId="368" priority="12">
      <formula>$D$40=""</formula>
    </cfRule>
  </conditionalFormatting>
  <conditionalFormatting sqref="C55:E61">
    <cfRule type="containsBlanks" dxfId="367" priority="8">
      <formula>LEN(TRIM(C55))=0</formula>
    </cfRule>
  </conditionalFormatting>
  <conditionalFormatting sqref="E45">
    <cfRule type="notContainsBlanks" dxfId="366" priority="6">
      <formula>LEN(TRIM(E45))&gt;0</formula>
    </cfRule>
  </conditionalFormatting>
  <conditionalFormatting sqref="D45:E45">
    <cfRule type="expression" dxfId="365" priority="7">
      <formula>OR($C$46="HTC", $C$46="Azure")</formula>
    </cfRule>
  </conditionalFormatting>
  <conditionalFormatting sqref="E85">
    <cfRule type="expression" dxfId="364" priority="5">
      <formula>AND($D82&lt;&gt;"No", $D85="No")</formula>
    </cfRule>
  </conditionalFormatting>
  <conditionalFormatting sqref="D27">
    <cfRule type="expression" dxfId="363" priority="28">
      <formula>Test&lt;&gt;TRUE</formula>
    </cfRule>
    <cfRule type="expression" dxfId="362" priority="49">
      <formula>$D$27=""</formula>
    </cfRule>
  </conditionalFormatting>
  <dataValidations count="11">
    <dataValidation type="list" allowBlank="1" showInputMessage="1" showErrorMessage="1" sqref="D41 C48 D84 D24 C52" xr:uid="{00000000-0002-0000-0100-000000000000}">
      <formula1>"Yes, No"</formula1>
    </dataValidation>
    <dataValidation type="list" allowBlank="1" showInputMessage="1" showErrorMessage="1" sqref="C23" xr:uid="{00000000-0002-0000-0100-000001000000}">
      <formula1>dr_critical_tier</formula1>
    </dataValidation>
    <dataValidation type="list" allowBlank="1" showInputMessage="1" showErrorMessage="1" sqref="D85 D75" xr:uid="{00000000-0002-0000-0100-000002000000}">
      <formula1>yes_no</formula1>
    </dataValidation>
    <dataValidation allowBlank="1" showInputMessage="1" showErrorMessage="1" promptTitle="Tap Approval" prompt="If this is a new application, and has TAP approval, record the Tap Approval Number._x000a__x000a_If Tap approval wasn't required, please enter N/A_x000a_" sqref="C21:D21" xr:uid="{00000000-0002-0000-0100-000003000000}"/>
    <dataValidation allowBlank="1" showInputMessage="1" showErrorMessage="1" prompt="Describe what the LBoM is requesting to be built.  _x000a__x000a_Ex:  This Lbom is requesting 2 new Websphere servers with two new JVMs  in Test2.0 and Prod 2.0 and 1 new SQL db server in both environments." sqref="C15:E15" xr:uid="{00000000-0002-0000-0100-000004000000}"/>
    <dataValidation allowBlank="1" showInputMessage="1" showErrorMessage="1" promptTitle="Clarity Number" prompt="_x000a_List the Clarity number associated to this project.  If there are multiple Clarity numbers, please list them, using &lt;Alt Enter&gt; to create  each on a separate line._x000a_" sqref="C12:D12" xr:uid="{00000000-0002-0000-0100-000005000000}"/>
    <dataValidation type="textLength" operator="equal" allowBlank="1" showInputMessage="1" showErrorMessage="1" error="Application ID must follow the format: App########" promptTitle="Application ID" prompt="_x000a_List the Apllication ID._x000a__x000a_EX:_x000a_App00001234_x000a__x000a_ONLY one APP ID may be entered here - please enter any additional APP Ids to the right._x000a_" sqref="C10" xr:uid="{00000000-0002-0000-0100-000006000000}">
      <formula1>11</formula1>
    </dataValidation>
    <dataValidation type="whole" allowBlank="1" showInputMessage="1" showErrorMessage="1" error="LBoM Number is incorrect format:_x000a__x000a_EX: 2013123" sqref="C69" xr:uid="{00000000-0002-0000-0100-000007000000}">
      <formula1>20130000</formula1>
      <formula2>20219999</formula2>
    </dataValidation>
    <dataValidation type="list" allowBlank="1" showInputMessage="1" showErrorMessage="1" sqref="C22" xr:uid="{00000000-0002-0000-0100-000008000000}">
      <formula1>"Yes, No, TBD"</formula1>
    </dataValidation>
    <dataValidation type="list" allowBlank="1" showInputMessage="1" showErrorMessage="1" sqref="D82" xr:uid="{00000000-0002-0000-0100-000009000000}">
      <formula1>"No, Inbound, Outbound, Both"</formula1>
    </dataValidation>
    <dataValidation type="list" allowBlank="1" showInputMessage="1" showErrorMessage="1" sqref="C46" xr:uid="{00000000-0002-0000-0100-00000A000000}">
      <formula1>"Legacy, ITC, Azure, Streamline"</formula1>
    </dataValidation>
  </dataValidations>
  <hyperlinks>
    <hyperlink ref="E12" r:id="rId1" xr:uid="{00000000-0004-0000-0100-000000000000}"/>
    <hyperlink ref="E21" r:id="rId2" xr:uid="{00000000-0004-0000-0100-000001000000}"/>
    <hyperlink ref="E16" r:id="rId3" display="Dr Critical Application List DRTA Phase 2  &lt;-Click here" xr:uid="{00000000-0004-0000-0100-000002000000}"/>
    <hyperlink ref="B80" r:id="rId4" display="IS - 3rd Party Connectivty" xr:uid="{00000000-0004-0000-0100-000003000000}"/>
    <hyperlink ref="B80:C81" r:id="rId5" display="IS - 3rd Party Connectivity" xr:uid="{00000000-0004-0000-0100-000004000000}"/>
    <hyperlink ref="A10:B10" r:id="rId6" display="Application ID Number:          (link:)" xr:uid="{00000000-0004-0000-0100-000005000000}"/>
    <hyperlink ref="D48:E48" r:id="rId7" display="Link to check out diagram" xr:uid="{00000000-0004-0000-0100-000006000000}"/>
  </hyperlinks>
  <pageMargins left="0.75" right="0.75" top="1" bottom="1" header="0.5" footer="0.5"/>
  <pageSetup orientation="portrait" r:id="rId8"/>
  <headerFooter alignWithMargins="0"/>
  <drawing r:id="rId9"/>
  <legacyDrawing r:id="rId10"/>
  <oleObjects>
    <mc:AlternateContent xmlns:mc="http://schemas.openxmlformats.org/markup-compatibility/2006">
      <mc:Choice Requires="x14">
        <oleObject progId="Word.Document.12" shapeId="217228" r:id="rId11">
          <objectPr defaultSize="0" r:id="rId12">
            <anchor moveWithCells="1">
              <from>
                <xdr:col>106</xdr:col>
                <xdr:colOff>209550</xdr:colOff>
                <xdr:row>0</xdr:row>
                <xdr:rowOff>114300</xdr:rowOff>
              </from>
              <to>
                <xdr:col>123</xdr:col>
                <xdr:colOff>285750</xdr:colOff>
                <xdr:row>24</xdr:row>
                <xdr:rowOff>38100</xdr:rowOff>
              </to>
            </anchor>
          </objectPr>
        </oleObject>
      </mc:Choice>
      <mc:Fallback>
        <oleObject progId="Word.Document.12" shapeId="217228" r:id="rId11"/>
      </mc:Fallback>
    </mc:AlternateContent>
  </oleObjects>
  <mc:AlternateContent xmlns:mc="http://schemas.openxmlformats.org/markup-compatibility/2006">
    <mc:Choice Requires="x14">
      <controls>
        <mc:AlternateContent xmlns:mc="http://schemas.openxmlformats.org/markup-compatibility/2006">
          <mc:Choice Requires="x14">
            <control shapeId="9294" r:id="rId13" name="Check Box 78">
              <controlPr defaultSize="0" autoFill="0" autoLine="0" autoPict="0">
                <anchor moveWithCells="1">
                  <from>
                    <xdr:col>2</xdr:col>
                    <xdr:colOff>190500</xdr:colOff>
                    <xdr:row>25</xdr:row>
                    <xdr:rowOff>19050</xdr:rowOff>
                  </from>
                  <to>
                    <xdr:col>2</xdr:col>
                    <xdr:colOff>1228725</xdr:colOff>
                    <xdr:row>26</xdr:row>
                    <xdr:rowOff>9525</xdr:rowOff>
                  </to>
                </anchor>
              </controlPr>
            </control>
          </mc:Choice>
        </mc:AlternateContent>
        <mc:AlternateContent xmlns:mc="http://schemas.openxmlformats.org/markup-compatibility/2006">
          <mc:Choice Requires="x14">
            <control shapeId="9295" r:id="rId14" name="Check Box 79">
              <controlPr defaultSize="0" autoFill="0" autoLine="0" autoPict="0">
                <anchor moveWithCells="1">
                  <from>
                    <xdr:col>2</xdr:col>
                    <xdr:colOff>180975</xdr:colOff>
                    <xdr:row>26</xdr:row>
                    <xdr:rowOff>9525</xdr:rowOff>
                  </from>
                  <to>
                    <xdr:col>2</xdr:col>
                    <xdr:colOff>866775</xdr:colOff>
                    <xdr:row>26</xdr:row>
                    <xdr:rowOff>171450</xdr:rowOff>
                  </to>
                </anchor>
              </controlPr>
            </control>
          </mc:Choice>
        </mc:AlternateContent>
        <mc:AlternateContent xmlns:mc="http://schemas.openxmlformats.org/markup-compatibility/2006">
          <mc:Choice Requires="x14">
            <control shapeId="9296" r:id="rId15" name="Check Box 80">
              <controlPr defaultSize="0" autoFill="0" autoLine="0" autoPict="0">
                <anchor moveWithCells="1">
                  <from>
                    <xdr:col>2</xdr:col>
                    <xdr:colOff>190500</xdr:colOff>
                    <xdr:row>28</xdr:row>
                    <xdr:rowOff>0</xdr:rowOff>
                  </from>
                  <to>
                    <xdr:col>2</xdr:col>
                    <xdr:colOff>933450</xdr:colOff>
                    <xdr:row>28</xdr:row>
                    <xdr:rowOff>171450</xdr:rowOff>
                  </to>
                </anchor>
              </controlPr>
            </control>
          </mc:Choice>
        </mc:AlternateContent>
        <mc:AlternateContent xmlns:mc="http://schemas.openxmlformats.org/markup-compatibility/2006">
          <mc:Choice Requires="x14">
            <control shapeId="9299" r:id="rId16" name="Check Box 83">
              <controlPr defaultSize="0" autoFill="0" autoLine="0" autoPict="0">
                <anchor moveWithCells="1">
                  <from>
                    <xdr:col>2</xdr:col>
                    <xdr:colOff>200025</xdr:colOff>
                    <xdr:row>30</xdr:row>
                    <xdr:rowOff>9525</xdr:rowOff>
                  </from>
                  <to>
                    <xdr:col>2</xdr:col>
                    <xdr:colOff>600075</xdr:colOff>
                    <xdr:row>30</xdr:row>
                    <xdr:rowOff>171450</xdr:rowOff>
                  </to>
                </anchor>
              </controlPr>
            </control>
          </mc:Choice>
        </mc:AlternateContent>
        <mc:AlternateContent xmlns:mc="http://schemas.openxmlformats.org/markup-compatibility/2006">
          <mc:Choice Requires="x14">
            <control shapeId="9300" r:id="rId17" name="Check Box 84">
              <controlPr defaultSize="0" autoFill="0" autoLine="0" autoPict="0">
                <anchor moveWithCells="1">
                  <from>
                    <xdr:col>2</xdr:col>
                    <xdr:colOff>190500</xdr:colOff>
                    <xdr:row>29</xdr:row>
                    <xdr:rowOff>0</xdr:rowOff>
                  </from>
                  <to>
                    <xdr:col>2</xdr:col>
                    <xdr:colOff>1438275</xdr:colOff>
                    <xdr:row>29</xdr:row>
                    <xdr:rowOff>171450</xdr:rowOff>
                  </to>
                </anchor>
              </controlPr>
            </control>
          </mc:Choice>
        </mc:AlternateContent>
        <mc:AlternateContent xmlns:mc="http://schemas.openxmlformats.org/markup-compatibility/2006">
          <mc:Choice Requires="x14">
            <control shapeId="9319" r:id="rId18" name="Check Box 103">
              <controlPr defaultSize="0" autoFill="0" autoLine="0" autoPict="0" altText="">
                <anchor moveWithCells="1">
                  <from>
                    <xdr:col>3</xdr:col>
                    <xdr:colOff>200025</xdr:colOff>
                    <xdr:row>81</xdr:row>
                    <xdr:rowOff>114300</xdr:rowOff>
                  </from>
                  <to>
                    <xdr:col>3</xdr:col>
                    <xdr:colOff>742950</xdr:colOff>
                    <xdr:row>83</xdr:row>
                    <xdr:rowOff>28575</xdr:rowOff>
                  </to>
                </anchor>
              </controlPr>
            </control>
          </mc:Choice>
        </mc:AlternateContent>
        <mc:AlternateContent xmlns:mc="http://schemas.openxmlformats.org/markup-compatibility/2006">
          <mc:Choice Requires="x14">
            <control shapeId="9320" r:id="rId19" name="Check Box 104">
              <controlPr defaultSize="0" autoFill="0" autoLine="0" autoPict="0">
                <anchor moveWithCells="1">
                  <from>
                    <xdr:col>4</xdr:col>
                    <xdr:colOff>257175</xdr:colOff>
                    <xdr:row>81</xdr:row>
                    <xdr:rowOff>104775</xdr:rowOff>
                  </from>
                  <to>
                    <xdr:col>4</xdr:col>
                    <xdr:colOff>657225</xdr:colOff>
                    <xdr:row>83</xdr:row>
                    <xdr:rowOff>38100</xdr:rowOff>
                  </to>
                </anchor>
              </controlPr>
            </control>
          </mc:Choice>
        </mc:AlternateContent>
        <mc:AlternateContent xmlns:mc="http://schemas.openxmlformats.org/markup-compatibility/2006">
          <mc:Choice Requires="x14">
            <control shapeId="9321" r:id="rId20" name="Check Box 105">
              <controlPr defaultSize="0" autoFill="0" autoLine="0" autoPict="0">
                <anchor moveWithCells="1">
                  <from>
                    <xdr:col>4</xdr:col>
                    <xdr:colOff>1019175</xdr:colOff>
                    <xdr:row>81</xdr:row>
                    <xdr:rowOff>104775</xdr:rowOff>
                  </from>
                  <to>
                    <xdr:col>4</xdr:col>
                    <xdr:colOff>1419225</xdr:colOff>
                    <xdr:row>83</xdr:row>
                    <xdr:rowOff>28575</xdr:rowOff>
                  </to>
                </anchor>
              </controlPr>
            </control>
          </mc:Choice>
        </mc:AlternateContent>
        <mc:AlternateContent xmlns:mc="http://schemas.openxmlformats.org/markup-compatibility/2006">
          <mc:Choice Requires="x14">
            <control shapeId="9322" r:id="rId21" name="Check Box 106">
              <controlPr defaultSize="0" autoFill="0" autoLine="0" autoPict="0">
                <anchor moveWithCells="1">
                  <from>
                    <xdr:col>4</xdr:col>
                    <xdr:colOff>1733550</xdr:colOff>
                    <xdr:row>81</xdr:row>
                    <xdr:rowOff>104775</xdr:rowOff>
                  </from>
                  <to>
                    <xdr:col>4</xdr:col>
                    <xdr:colOff>2419350</xdr:colOff>
                    <xdr:row>83</xdr:row>
                    <xdr:rowOff>38100</xdr:rowOff>
                  </to>
                </anchor>
              </controlPr>
            </control>
          </mc:Choice>
        </mc:AlternateContent>
        <mc:AlternateContent xmlns:mc="http://schemas.openxmlformats.org/markup-compatibility/2006">
          <mc:Choice Requires="x14">
            <control shapeId="217213" r:id="rId22" name="Check Box 8317">
              <controlPr defaultSize="0" autoFill="0" autoLine="0" autoPict="0">
                <anchor moveWithCells="1">
                  <from>
                    <xdr:col>4</xdr:col>
                    <xdr:colOff>38100</xdr:colOff>
                    <xdr:row>73</xdr:row>
                    <xdr:rowOff>152400</xdr:rowOff>
                  </from>
                  <to>
                    <xdr:col>4</xdr:col>
                    <xdr:colOff>904875</xdr:colOff>
                    <xdr:row>73</xdr:row>
                    <xdr:rowOff>323850</xdr:rowOff>
                  </to>
                </anchor>
              </controlPr>
            </control>
          </mc:Choice>
        </mc:AlternateContent>
        <mc:AlternateContent xmlns:mc="http://schemas.openxmlformats.org/markup-compatibility/2006">
          <mc:Choice Requires="x14">
            <control shapeId="217216" r:id="rId23" name="Check Box 8320">
              <controlPr defaultSize="0" autoFill="0" autoLine="0" autoPict="0">
                <anchor moveWithCells="1">
                  <from>
                    <xdr:col>4</xdr:col>
                    <xdr:colOff>38100</xdr:colOff>
                    <xdr:row>73</xdr:row>
                    <xdr:rowOff>333375</xdr:rowOff>
                  </from>
                  <to>
                    <xdr:col>4</xdr:col>
                    <xdr:colOff>1266825</xdr:colOff>
                    <xdr:row>73</xdr:row>
                    <xdr:rowOff>504825</xdr:rowOff>
                  </to>
                </anchor>
              </controlPr>
            </control>
          </mc:Choice>
        </mc:AlternateContent>
        <mc:AlternateContent xmlns:mc="http://schemas.openxmlformats.org/markup-compatibility/2006">
          <mc:Choice Requires="x14">
            <control shapeId="217217" r:id="rId24" name="Check Box 8321">
              <controlPr defaultSize="0" autoFill="0" autoLine="0" autoPict="0">
                <anchor moveWithCells="1">
                  <from>
                    <xdr:col>4</xdr:col>
                    <xdr:colOff>1304925</xdr:colOff>
                    <xdr:row>73</xdr:row>
                    <xdr:rowOff>152400</xdr:rowOff>
                  </from>
                  <to>
                    <xdr:col>4</xdr:col>
                    <xdr:colOff>2171700</xdr:colOff>
                    <xdr:row>73</xdr:row>
                    <xdr:rowOff>323850</xdr:rowOff>
                  </to>
                </anchor>
              </controlPr>
            </control>
          </mc:Choice>
        </mc:AlternateContent>
        <mc:AlternateContent xmlns:mc="http://schemas.openxmlformats.org/markup-compatibility/2006">
          <mc:Choice Requires="x14">
            <control shapeId="217218" r:id="rId25" name="Check Box 8322">
              <controlPr defaultSize="0" autoFill="0" autoLine="0" autoPict="0">
                <anchor moveWithCells="1">
                  <from>
                    <xdr:col>4</xdr:col>
                    <xdr:colOff>1304925</xdr:colOff>
                    <xdr:row>73</xdr:row>
                    <xdr:rowOff>323850</xdr:rowOff>
                  </from>
                  <to>
                    <xdr:col>4</xdr:col>
                    <xdr:colOff>2524125</xdr:colOff>
                    <xdr:row>73</xdr:row>
                    <xdr:rowOff>495300</xdr:rowOff>
                  </to>
                </anchor>
              </controlPr>
            </control>
          </mc:Choice>
        </mc:AlternateContent>
        <mc:AlternateContent xmlns:mc="http://schemas.openxmlformats.org/markup-compatibility/2006">
          <mc:Choice Requires="x14">
            <control shapeId="217219" r:id="rId26" name="Check Box 8323">
              <controlPr defaultSize="0" autoFill="0" autoLine="0" autoPict="0">
                <anchor moveWithCells="1">
                  <from>
                    <xdr:col>4</xdr:col>
                    <xdr:colOff>2514600</xdr:colOff>
                    <xdr:row>73</xdr:row>
                    <xdr:rowOff>161925</xdr:rowOff>
                  </from>
                  <to>
                    <xdr:col>4</xdr:col>
                    <xdr:colOff>3038475</xdr:colOff>
                    <xdr:row>73</xdr:row>
                    <xdr:rowOff>323850</xdr:rowOff>
                  </to>
                </anchor>
              </controlPr>
            </control>
          </mc:Choice>
        </mc:AlternateContent>
        <mc:AlternateContent xmlns:mc="http://schemas.openxmlformats.org/markup-compatibility/2006">
          <mc:Choice Requires="x14">
            <control shapeId="217221" r:id="rId27" name="Check Box 8325">
              <controlPr defaultSize="0" autoFill="0" autoLine="0" autoPict="0">
                <anchor moveWithCells="1">
                  <from>
                    <xdr:col>4</xdr:col>
                    <xdr:colOff>2524125</xdr:colOff>
                    <xdr:row>73</xdr:row>
                    <xdr:rowOff>333375</xdr:rowOff>
                  </from>
                  <to>
                    <xdr:col>4</xdr:col>
                    <xdr:colOff>3048000</xdr:colOff>
                    <xdr:row>73</xdr:row>
                    <xdr:rowOff>485775</xdr:rowOff>
                  </to>
                </anchor>
              </controlPr>
            </control>
          </mc:Choice>
        </mc:AlternateContent>
        <mc:AlternateContent xmlns:mc="http://schemas.openxmlformats.org/markup-compatibility/2006">
          <mc:Choice Requires="x14">
            <control shapeId="217222" r:id="rId28" name="Check Box 8326">
              <controlPr defaultSize="0" autoFill="0" autoLine="0" autoPict="0">
                <anchor moveWithCells="1">
                  <from>
                    <xdr:col>4</xdr:col>
                    <xdr:colOff>333375</xdr:colOff>
                    <xdr:row>42</xdr:row>
                    <xdr:rowOff>9525</xdr:rowOff>
                  </from>
                  <to>
                    <xdr:col>4</xdr:col>
                    <xdr:colOff>733425</xdr:colOff>
                    <xdr:row>42</xdr:row>
                    <xdr:rowOff>171450</xdr:rowOff>
                  </to>
                </anchor>
              </controlPr>
            </control>
          </mc:Choice>
        </mc:AlternateContent>
        <mc:AlternateContent xmlns:mc="http://schemas.openxmlformats.org/markup-compatibility/2006">
          <mc:Choice Requires="x14">
            <control shapeId="217223" r:id="rId29" name="Check Box 8327">
              <controlPr defaultSize="0" autoFill="0" autoLine="0" autoPict="0">
                <anchor moveWithCells="1">
                  <from>
                    <xdr:col>4</xdr:col>
                    <xdr:colOff>1733550</xdr:colOff>
                    <xdr:row>42</xdr:row>
                    <xdr:rowOff>19050</xdr:rowOff>
                  </from>
                  <to>
                    <xdr:col>4</xdr:col>
                    <xdr:colOff>2638425</xdr:colOff>
                    <xdr:row>42</xdr:row>
                    <xdr:rowOff>171450</xdr:rowOff>
                  </to>
                </anchor>
              </controlPr>
            </control>
          </mc:Choice>
        </mc:AlternateContent>
        <mc:AlternateContent xmlns:mc="http://schemas.openxmlformats.org/markup-compatibility/2006">
          <mc:Choice Requires="x14">
            <control shapeId="217224" r:id="rId30" name="Check Box 8328">
              <controlPr defaultSize="0" autoFill="0" autoLine="0" autoPict="0">
                <anchor moveWithCells="1">
                  <from>
                    <xdr:col>4</xdr:col>
                    <xdr:colOff>1123950</xdr:colOff>
                    <xdr:row>42</xdr:row>
                    <xdr:rowOff>9525</xdr:rowOff>
                  </from>
                  <to>
                    <xdr:col>4</xdr:col>
                    <xdr:colOff>1857375</xdr:colOff>
                    <xdr:row>42</xdr:row>
                    <xdr:rowOff>180975</xdr:rowOff>
                  </to>
                </anchor>
              </controlPr>
            </control>
          </mc:Choice>
        </mc:AlternateContent>
        <mc:AlternateContent xmlns:mc="http://schemas.openxmlformats.org/markup-compatibility/2006">
          <mc:Choice Requires="x14">
            <control shapeId="217286" r:id="rId31" name="Check Box 8390">
              <controlPr defaultSize="0" autoFill="0" autoLine="0" autoPict="0" altText="Axway">
                <anchor moveWithCells="1">
                  <from>
                    <xdr:col>4</xdr:col>
                    <xdr:colOff>1133475</xdr:colOff>
                    <xdr:row>41</xdr:row>
                    <xdr:rowOff>19050</xdr:rowOff>
                  </from>
                  <to>
                    <xdr:col>4</xdr:col>
                    <xdr:colOff>1866900</xdr:colOff>
                    <xdr:row>41</xdr:row>
                    <xdr:rowOff>190500</xdr:rowOff>
                  </to>
                </anchor>
              </controlPr>
            </control>
          </mc:Choice>
        </mc:AlternateContent>
        <mc:AlternateContent xmlns:mc="http://schemas.openxmlformats.org/markup-compatibility/2006">
          <mc:Choice Requires="x14">
            <control shapeId="217288" r:id="rId32" name="Check Box 8392">
              <controlPr defaultSize="0" autoFill="0" autoLine="0" autoPict="0" altText="Datapower">
                <anchor moveWithCells="1">
                  <from>
                    <xdr:col>4</xdr:col>
                    <xdr:colOff>1752600</xdr:colOff>
                    <xdr:row>41</xdr:row>
                    <xdr:rowOff>28575</xdr:rowOff>
                  </from>
                  <to>
                    <xdr:col>4</xdr:col>
                    <xdr:colOff>2647950</xdr:colOff>
                    <xdr:row>41</xdr:row>
                    <xdr:rowOff>180975</xdr:rowOff>
                  </to>
                </anchor>
              </controlPr>
            </control>
          </mc:Choice>
        </mc:AlternateContent>
        <mc:AlternateContent xmlns:mc="http://schemas.openxmlformats.org/markup-compatibility/2006">
          <mc:Choice Requires="x14">
            <control shapeId="217289" r:id="rId33" name="Check Box 8393">
              <controlPr defaultSize="0" autoFill="0" autoLine="0" autoPict="0" altText="MQ">
                <anchor moveWithCells="1">
                  <from>
                    <xdr:col>4</xdr:col>
                    <xdr:colOff>2609850</xdr:colOff>
                    <xdr:row>41</xdr:row>
                    <xdr:rowOff>28575</xdr:rowOff>
                  </from>
                  <to>
                    <xdr:col>4</xdr:col>
                    <xdr:colOff>3505200</xdr:colOff>
                    <xdr:row>41</xdr:row>
                    <xdr:rowOff>180975</xdr:rowOff>
                  </to>
                </anchor>
              </controlPr>
            </control>
          </mc:Choice>
        </mc:AlternateContent>
        <mc:AlternateContent xmlns:mc="http://schemas.openxmlformats.org/markup-compatibility/2006">
          <mc:Choice Requires="x14">
            <control shapeId="217290" r:id="rId34" name="Check Box 8394">
              <controlPr defaultSize="0" autoFill="0" autoLine="0" autoPict="0" altText="FTP">
                <anchor moveWithCells="1">
                  <from>
                    <xdr:col>4</xdr:col>
                    <xdr:colOff>3067050</xdr:colOff>
                    <xdr:row>41</xdr:row>
                    <xdr:rowOff>28575</xdr:rowOff>
                  </from>
                  <to>
                    <xdr:col>4</xdr:col>
                    <xdr:colOff>3962400</xdr:colOff>
                    <xdr:row>41</xdr:row>
                    <xdr:rowOff>180975</xdr:rowOff>
                  </to>
                </anchor>
              </controlPr>
            </control>
          </mc:Choice>
        </mc:AlternateContent>
        <mc:AlternateContent xmlns:mc="http://schemas.openxmlformats.org/markup-compatibility/2006">
          <mc:Choice Requires="x14">
            <control shapeId="217296" r:id="rId35" name="Check Box 8400">
              <controlPr defaultSize="0" autoFill="0" autoLine="0" autoPict="0" altText="Onshore">
                <anchor moveWithCells="1">
                  <from>
                    <xdr:col>4</xdr:col>
                    <xdr:colOff>342900</xdr:colOff>
                    <xdr:row>42</xdr:row>
                    <xdr:rowOff>200025</xdr:rowOff>
                  </from>
                  <to>
                    <xdr:col>4</xdr:col>
                    <xdr:colOff>1895475</xdr:colOff>
                    <xdr:row>44</xdr:row>
                    <xdr:rowOff>9525</xdr:rowOff>
                  </to>
                </anchor>
              </controlPr>
            </control>
          </mc:Choice>
        </mc:AlternateContent>
        <mc:AlternateContent xmlns:mc="http://schemas.openxmlformats.org/markup-compatibility/2006">
          <mc:Choice Requires="x14">
            <control shapeId="217305" r:id="rId36" name="Check Box 8388">
              <controlPr defaultSize="0" autoFill="0" autoLine="0" autoPict="0" altText="Egateway">
                <anchor moveWithCells="1">
                  <from>
                    <xdr:col>4</xdr:col>
                    <xdr:colOff>323850</xdr:colOff>
                    <xdr:row>41</xdr:row>
                    <xdr:rowOff>0</xdr:rowOff>
                  </from>
                  <to>
                    <xdr:col>4</xdr:col>
                    <xdr:colOff>1171575</xdr:colOff>
                    <xdr:row>42</xdr:row>
                    <xdr:rowOff>9525</xdr:rowOff>
                  </to>
                </anchor>
              </controlPr>
            </control>
          </mc:Choice>
        </mc:AlternateContent>
        <mc:AlternateContent xmlns:mc="http://schemas.openxmlformats.org/markup-compatibility/2006">
          <mc:Choice Requires="x14">
            <control shapeId="217322" r:id="rId37" name="Button 8426">
              <controlPr defaultSize="0" print="0" autoFill="0" autoPict="0" macro="[0]!ISEDataPull">
                <anchor moveWithCells="1" sizeWithCells="1">
                  <from>
                    <xdr:col>3</xdr:col>
                    <xdr:colOff>9525</xdr:colOff>
                    <xdr:row>68</xdr:row>
                    <xdr:rowOff>28575</xdr:rowOff>
                  </from>
                  <to>
                    <xdr:col>4</xdr:col>
                    <xdr:colOff>361950</xdr:colOff>
                    <xdr:row>68</xdr:row>
                    <xdr:rowOff>180975</xdr:rowOff>
                  </to>
                </anchor>
              </controlPr>
            </control>
          </mc:Choice>
        </mc:AlternateContent>
        <mc:AlternateContent xmlns:mc="http://schemas.openxmlformats.org/markup-compatibility/2006">
          <mc:Choice Requires="x14">
            <control shapeId="217324" r:id="rId38" name="Button 8428">
              <controlPr defaultSize="0" print="0" autoFill="0" autoPict="0" macro="[0]!ClearLBOM">
                <anchor moveWithCells="1" sizeWithCells="1">
                  <from>
                    <xdr:col>4</xdr:col>
                    <xdr:colOff>381000</xdr:colOff>
                    <xdr:row>68</xdr:row>
                    <xdr:rowOff>19050</xdr:rowOff>
                  </from>
                  <to>
                    <xdr:col>4</xdr:col>
                    <xdr:colOff>1228725</xdr:colOff>
                    <xdr:row>68</xdr:row>
                    <xdr:rowOff>190500</xdr:rowOff>
                  </to>
                </anchor>
              </controlPr>
            </control>
          </mc:Choice>
        </mc:AlternateContent>
        <mc:AlternateContent xmlns:mc="http://schemas.openxmlformats.org/markup-compatibility/2006">
          <mc:Choice Requires="x14">
            <control shapeId="217330" r:id="rId39" name="Check Box 8434">
              <controlPr defaultSize="0" autoFill="0" autoLine="0" autoPict="0">
                <anchor moveWithCells="1">
                  <from>
                    <xdr:col>4</xdr:col>
                    <xdr:colOff>3143250</xdr:colOff>
                    <xdr:row>73</xdr:row>
                    <xdr:rowOff>161925</xdr:rowOff>
                  </from>
                  <to>
                    <xdr:col>4</xdr:col>
                    <xdr:colOff>3667125</xdr:colOff>
                    <xdr:row>73</xdr:row>
                    <xdr:rowOff>323850</xdr:rowOff>
                  </to>
                </anchor>
              </controlPr>
            </control>
          </mc:Choice>
        </mc:AlternateContent>
        <mc:AlternateContent xmlns:mc="http://schemas.openxmlformats.org/markup-compatibility/2006">
          <mc:Choice Requires="x14">
            <control shapeId="217336" r:id="rId40" name="Check Box 8437">
              <controlPr defaultSize="0" autoFill="0" autoLine="0" autoPict="0">
                <anchor moveWithCells="1">
                  <from>
                    <xdr:col>2</xdr:col>
                    <xdr:colOff>190500</xdr:colOff>
                    <xdr:row>27</xdr:row>
                    <xdr:rowOff>0</xdr:rowOff>
                  </from>
                  <to>
                    <xdr:col>2</xdr:col>
                    <xdr:colOff>876300</xdr:colOff>
                    <xdr:row>27</xdr:row>
                    <xdr:rowOff>161925</xdr:rowOff>
                  </to>
                </anchor>
              </controlPr>
            </control>
          </mc:Choice>
        </mc:AlternateContent>
        <mc:AlternateContent xmlns:mc="http://schemas.openxmlformats.org/markup-compatibility/2006">
          <mc:Choice Requires="x14">
            <control shapeId="217337" r:id="rId41" name="Check Box 8441">
              <controlPr defaultSize="0" autoFill="0" autoLine="0" autoPict="0">
                <anchor moveWithCells="1">
                  <from>
                    <xdr:col>4</xdr:col>
                    <xdr:colOff>3581400</xdr:colOff>
                    <xdr:row>40</xdr:row>
                    <xdr:rowOff>152400</xdr:rowOff>
                  </from>
                  <to>
                    <xdr:col>4</xdr:col>
                    <xdr:colOff>4314825</xdr:colOff>
                    <xdr:row>42</xdr:row>
                    <xdr:rowOff>9525</xdr:rowOff>
                  </to>
                </anchor>
              </controlPr>
            </control>
          </mc:Choice>
        </mc:AlternateContent>
        <mc:AlternateContent xmlns:mc="http://schemas.openxmlformats.org/markup-compatibility/2006">
          <mc:Choice Requires="x14">
            <control shapeId="217339" r:id="rId42" name="Check Box 8443">
              <controlPr defaultSize="0" autoFill="0" autoLine="0" autoPict="0">
                <anchor moveWithCells="1">
                  <from>
                    <xdr:col>4</xdr:col>
                    <xdr:colOff>4276725</xdr:colOff>
                    <xdr:row>40</xdr:row>
                    <xdr:rowOff>142875</xdr:rowOff>
                  </from>
                  <to>
                    <xdr:col>4</xdr:col>
                    <xdr:colOff>4895850</xdr:colOff>
                    <xdr:row>42</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87" id="{91E95F55-AC8A-47E3-8E40-16E343533F56}">
            <xm:f>AND('Table of Contents'!#REF!&lt;&gt;"",'Table of Contents'!#REF!="")</xm:f>
            <x14:dxf>
              <fill>
                <patternFill>
                  <bgColor rgb="FFFF0000"/>
                </patternFill>
              </fill>
            </x14:dxf>
          </x14:cfRule>
          <xm:sqref>C10 C12:C13 C15</xm:sqref>
        </x14:conditionalFormatting>
        <x14:conditionalFormatting xmlns:xm="http://schemas.microsoft.com/office/excel/2006/main">
          <x14:cfRule type="expression" priority="388" id="{E0F7EA41-D59C-49F2-BFAA-3FF8B45D00AF}">
            <xm:f>AND('Table of Contents'!#REF!&lt;&gt;"",'Table of Contents'!#REF!="")</xm:f>
            <x14:dxf>
              <fill>
                <patternFill>
                  <bgColor rgb="FFFF0000"/>
                </patternFill>
              </fill>
            </x14:dxf>
          </x14:cfRule>
          <xm:sqref>C11</xm:sqref>
        </x14:conditionalFormatting>
        <x14:conditionalFormatting xmlns:xm="http://schemas.microsoft.com/office/excel/2006/main">
          <x14:cfRule type="expression" priority="60" id="{DEB3D20F-75BF-4F04-ACF6-C65314B5CBCE}">
            <xm:f>AND('Table of Contents'!#REF!&lt;&gt;"",'Table of Contents'!#REF!="")</xm:f>
            <x14:dxf>
              <fill>
                <patternFill>
                  <bgColor rgb="FFFF0000"/>
                </patternFill>
              </fill>
            </x14:dxf>
          </x14:cfRule>
          <xm:sqref>D9:D10</xm:sqref>
        </x14:conditionalFormatting>
        <x14:conditionalFormatting xmlns:xm="http://schemas.microsoft.com/office/excel/2006/main">
          <x14:cfRule type="expression" priority="56" id="{AD46DE64-C1E2-4FED-AECC-4DF78F827DDF}">
            <xm:f>AND('Table of Contents'!#REF!&lt;&gt;"",'Table of Contents'!#REF!="")</xm:f>
            <x14:dxf>
              <fill>
                <patternFill>
                  <bgColor rgb="FFFF0000"/>
                </patternFill>
              </fill>
            </x14:dxf>
          </x14:cfRule>
          <xm:sqref>C14</xm:sqref>
        </x14:conditionalFormatting>
        <x14:conditionalFormatting xmlns:xm="http://schemas.microsoft.com/office/excel/2006/main">
          <x14:cfRule type="expression" priority="54" id="{E012F814-68C3-4EFB-98D3-0561CD43A00A}">
            <xm:f>AND('Table of Contents'!#REF!&lt;&gt;"",'Table of Contents'!#REF!="")</xm:f>
            <x14:dxf>
              <fill>
                <patternFill>
                  <bgColor rgb="FFFF0000"/>
                </patternFill>
              </fill>
            </x14:dxf>
          </x14:cfRule>
          <xm:sqref>C17:C20</xm:sqref>
        </x14:conditionalFormatting>
        <x14:conditionalFormatting xmlns:xm="http://schemas.microsoft.com/office/excel/2006/main">
          <x14:cfRule type="expression" priority="52" id="{B7D33A5E-A8FA-468D-8049-37CD896C0D72}">
            <xm:f>AND('Table of Contents'!#REF!&lt;&gt;"",'Table of Contents'!#REF!="")</xm:f>
            <x14:dxf>
              <fill>
                <patternFill>
                  <bgColor rgb="FFFF0000"/>
                </patternFill>
              </fill>
            </x14:dxf>
          </x14:cfRule>
          <xm:sqref>D19</xm:sqref>
        </x14:conditionalFormatting>
        <x14:conditionalFormatting xmlns:xm="http://schemas.microsoft.com/office/excel/2006/main">
          <x14:cfRule type="expression" priority="51" id="{B8174705-124C-4DDE-A009-263165508C00}">
            <xm:f>AND('Table of Contents'!#REF!&lt;&gt;"",'Table of Contents'!#REF!="")</xm:f>
            <x14:dxf>
              <fill>
                <patternFill>
                  <bgColor rgb="FFFF0000"/>
                </patternFill>
              </fill>
            </x14:dxf>
          </x14:cfRule>
          <xm:sqref>E19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9">
    <tabColor theme="6" tint="0.39997558519241921"/>
  </sheetPr>
  <dimension ref="A1:L42"/>
  <sheetViews>
    <sheetView showGridLines="0" zoomScaleNormal="100" workbookViewId="0"/>
  </sheetViews>
  <sheetFormatPr defaultRowHeight="12.75"/>
  <cols>
    <col min="1" max="1" width="19" style="931" customWidth="1"/>
    <col min="2" max="2" width="21.28515625" style="931" customWidth="1"/>
    <col min="3" max="3" width="31.7109375" style="931" bestFit="1" customWidth="1"/>
    <col min="4" max="4" width="20.5703125" style="931" customWidth="1"/>
    <col min="5" max="5" width="13.85546875" style="931" customWidth="1"/>
    <col min="6" max="6" width="17.42578125" style="931" bestFit="1" customWidth="1"/>
    <col min="7" max="7" width="13.140625" style="931" bestFit="1" customWidth="1"/>
    <col min="8" max="8" width="22.28515625" style="931" customWidth="1"/>
    <col min="9" max="9" width="9.140625" style="931"/>
    <col min="10" max="10" width="9.140625" style="931" customWidth="1"/>
    <col min="11" max="16384" width="9.140625" style="931"/>
  </cols>
  <sheetData>
    <row r="1" spans="1:12" ht="34.5" customHeight="1">
      <c r="A1" s="2714"/>
      <c r="B1" s="2715"/>
      <c r="C1" s="2716" t="str">
        <f>IF(VMware="YES","REQUIRED",IF(VMware="NO","This Tab is Not Required","Undetermined"))</f>
        <v>REQUIRED</v>
      </c>
      <c r="D1" s="3594" t="str">
        <f>'Project Details'!$C$8 &amp;" - VMware"</f>
        <v>Linux Infrastructure Management - VMware</v>
      </c>
      <c r="E1" s="3595"/>
      <c r="F1" s="3595"/>
      <c r="G1" s="3595"/>
      <c r="H1" s="3596"/>
    </row>
    <row r="2" spans="1:12" ht="18.75" thickBot="1">
      <c r="A2" s="3592" t="str">
        <f>IF(COUNTIF(IP!Q4:Q153,"Yes"),"This LBOM has a new VLAN","")</f>
        <v/>
      </c>
      <c r="B2" s="3593"/>
      <c r="C2" s="2722" t="str">
        <f>IF($A2&lt;&gt;"", "VLAN #", "")</f>
        <v/>
      </c>
      <c r="D2" s="2720"/>
      <c r="E2" s="2720"/>
      <c r="F2" s="2720"/>
      <c r="G2" s="3201"/>
      <c r="H2" s="2721"/>
      <c r="L2" s="2719"/>
    </row>
    <row r="3" spans="1:12" ht="79.5" customHeight="1" thickBot="1">
      <c r="A3" s="2727" t="s">
        <v>2555</v>
      </c>
      <c r="B3" s="2712" t="s">
        <v>4289</v>
      </c>
      <c r="C3" s="2713" t="s">
        <v>703</v>
      </c>
      <c r="D3" s="2467" t="s">
        <v>4288</v>
      </c>
      <c r="E3" s="137" t="s">
        <v>4290</v>
      </c>
      <c r="F3" s="137" t="s">
        <v>5324</v>
      </c>
      <c r="G3" s="3198" t="s">
        <v>5325</v>
      </c>
      <c r="H3" s="2723" t="s">
        <v>4291</v>
      </c>
    </row>
    <row r="4" spans="1:12" ht="144">
      <c r="A4" s="2732" t="str">
        <f t="shared" ref="A4:A14" si="0">IF(B4&lt;&gt;"",CONCATENATE(asset_ident &amp; "-VM"&amp; TEXT(ROW(B4)-3,"000")),"")</f>
        <v>20213598-VM001</v>
      </c>
      <c r="B4" s="2733" t="s">
        <v>4327</v>
      </c>
      <c r="C4" s="2731" t="s">
        <v>5492</v>
      </c>
      <c r="D4" s="2729" t="s">
        <v>5493</v>
      </c>
      <c r="E4" s="2790">
        <v>0</v>
      </c>
      <c r="F4" s="2788"/>
      <c r="G4" s="2791"/>
      <c r="H4" s="2731"/>
    </row>
    <row r="5" spans="1:12" ht="144">
      <c r="A5" s="2732" t="str">
        <f t="shared" si="0"/>
        <v>20213598-VM002</v>
      </c>
      <c r="B5" s="2733" t="s">
        <v>4440</v>
      </c>
      <c r="C5" s="2731" t="s">
        <v>5545</v>
      </c>
      <c r="D5" s="2729" t="s">
        <v>5546</v>
      </c>
      <c r="E5" s="2790">
        <v>0</v>
      </c>
      <c r="F5" s="2788"/>
      <c r="G5" s="2791"/>
      <c r="H5" s="2732"/>
    </row>
    <row r="6" spans="1:12" ht="108">
      <c r="A6" s="2732" t="str">
        <f t="shared" si="0"/>
        <v>20213598-VM003</v>
      </c>
      <c r="B6" s="2733" t="s">
        <v>4440</v>
      </c>
      <c r="C6" s="2731" t="s">
        <v>5644</v>
      </c>
      <c r="D6" s="2729" t="s">
        <v>5645</v>
      </c>
      <c r="E6" s="2790">
        <v>0</v>
      </c>
      <c r="F6" s="2788"/>
      <c r="G6" s="2791"/>
      <c r="H6" s="2732"/>
    </row>
    <row r="7" spans="1:12">
      <c r="A7" s="2732" t="str">
        <f t="shared" si="0"/>
        <v/>
      </c>
      <c r="B7" s="2733"/>
      <c r="C7" s="2731"/>
      <c r="D7" s="2729"/>
      <c r="E7" s="2790"/>
      <c r="F7" s="2788"/>
      <c r="G7" s="2791"/>
      <c r="H7" s="2732"/>
      <c r="K7" s="33"/>
    </row>
    <row r="8" spans="1:12">
      <c r="A8" s="2732" t="str">
        <f t="shared" si="0"/>
        <v/>
      </c>
      <c r="B8" s="2733"/>
      <c r="C8" s="2731"/>
      <c r="D8" s="2729"/>
      <c r="E8" s="2790"/>
      <c r="F8" s="2788"/>
      <c r="G8" s="2791"/>
      <c r="H8" s="2732"/>
    </row>
    <row r="9" spans="1:12">
      <c r="A9" s="2732" t="str">
        <f t="shared" si="0"/>
        <v/>
      </c>
      <c r="B9" s="2733"/>
      <c r="C9" s="2731"/>
      <c r="D9" s="2729"/>
      <c r="E9" s="2790"/>
      <c r="F9" s="2788"/>
      <c r="G9" s="2791"/>
      <c r="H9" s="2732"/>
    </row>
    <row r="10" spans="1:12">
      <c r="A10" s="2732" t="str">
        <f t="shared" si="0"/>
        <v/>
      </c>
      <c r="B10" s="2733"/>
      <c r="C10" s="2731"/>
      <c r="D10" s="2729"/>
      <c r="E10" s="2790"/>
      <c r="F10" s="2788"/>
      <c r="G10" s="2791"/>
      <c r="H10" s="2732"/>
    </row>
    <row r="11" spans="1:12">
      <c r="A11" s="2732" t="str">
        <f t="shared" si="0"/>
        <v/>
      </c>
      <c r="B11" s="2733"/>
      <c r="C11" s="2731"/>
      <c r="D11" s="2729"/>
      <c r="E11" s="2790"/>
      <c r="F11" s="2788"/>
      <c r="G11" s="2791"/>
      <c r="H11" s="2732"/>
    </row>
    <row r="12" spans="1:12">
      <c r="A12" s="2732" t="str">
        <f t="shared" si="0"/>
        <v/>
      </c>
      <c r="B12" s="2733"/>
      <c r="C12" s="2731"/>
      <c r="D12" s="2729"/>
      <c r="E12" s="2790"/>
      <c r="F12" s="2788"/>
      <c r="G12" s="2791"/>
      <c r="H12" s="2732"/>
    </row>
    <row r="13" spans="1:12">
      <c r="A13" s="2732" t="str">
        <f t="shared" si="0"/>
        <v/>
      </c>
      <c r="B13" s="2733"/>
      <c r="C13" s="2731"/>
      <c r="D13" s="2729"/>
      <c r="E13" s="2790"/>
      <c r="F13" s="2788"/>
      <c r="G13" s="2791"/>
      <c r="H13" s="2732"/>
    </row>
    <row r="14" spans="1:12">
      <c r="A14" s="2732" t="str">
        <f t="shared" si="0"/>
        <v/>
      </c>
      <c r="B14" s="2733"/>
      <c r="C14" s="2731"/>
      <c r="D14" s="2729"/>
      <c r="E14" s="2790"/>
      <c r="F14" s="2788"/>
      <c r="G14" s="2791"/>
      <c r="H14" s="2732"/>
    </row>
    <row r="15" spans="1:12">
      <c r="A15" s="2732" t="str">
        <f t="shared" ref="A15:A41" si="1">IF(B15&lt;&gt;"",CONCATENATE(asset_ident &amp; "-VM"&amp; TEXT(ROW(B15)-3,"000")),"")</f>
        <v/>
      </c>
      <c r="B15" s="2733"/>
      <c r="C15" s="2731"/>
      <c r="D15" s="2729"/>
      <c r="E15" s="2790"/>
      <c r="F15" s="2788"/>
      <c r="G15" s="2791"/>
      <c r="H15" s="2732"/>
    </row>
    <row r="16" spans="1:12">
      <c r="A16" s="2732" t="str">
        <f t="shared" si="1"/>
        <v/>
      </c>
      <c r="B16" s="2733"/>
      <c r="C16" s="2731"/>
      <c r="D16" s="2729"/>
      <c r="E16" s="2790"/>
      <c r="F16" s="2788"/>
      <c r="G16" s="2791"/>
      <c r="H16" s="2732"/>
    </row>
    <row r="17" spans="1:8">
      <c r="A17" s="2732" t="str">
        <f t="shared" si="1"/>
        <v/>
      </c>
      <c r="B17" s="2733"/>
      <c r="C17" s="2731"/>
      <c r="D17" s="2729"/>
      <c r="E17" s="2790"/>
      <c r="F17" s="2788"/>
      <c r="G17" s="2791"/>
      <c r="H17" s="2732"/>
    </row>
    <row r="18" spans="1:8">
      <c r="A18" s="2732" t="str">
        <f t="shared" si="1"/>
        <v/>
      </c>
      <c r="B18" s="2733"/>
      <c r="C18" s="2731"/>
      <c r="D18" s="2729"/>
      <c r="E18" s="2790"/>
      <c r="F18" s="2788"/>
      <c r="G18" s="2791"/>
      <c r="H18" s="2732"/>
    </row>
    <row r="19" spans="1:8">
      <c r="A19" s="2732" t="str">
        <f t="shared" si="1"/>
        <v/>
      </c>
      <c r="B19" s="2733"/>
      <c r="C19" s="2731"/>
      <c r="D19" s="2729"/>
      <c r="E19" s="2790"/>
      <c r="F19" s="2788"/>
      <c r="G19" s="2791"/>
      <c r="H19" s="2732"/>
    </row>
    <row r="20" spans="1:8">
      <c r="A20" s="2732" t="str">
        <f t="shared" si="1"/>
        <v/>
      </c>
      <c r="B20" s="2733"/>
      <c r="C20" s="2731"/>
      <c r="D20" s="2729"/>
      <c r="E20" s="2790"/>
      <c r="F20" s="2788"/>
      <c r="G20" s="2791"/>
      <c r="H20" s="2732"/>
    </row>
    <row r="21" spans="1:8">
      <c r="A21" s="2732" t="str">
        <f t="shared" si="1"/>
        <v/>
      </c>
      <c r="B21" s="2733"/>
      <c r="C21" s="2731"/>
      <c r="D21" s="2729"/>
      <c r="E21" s="2790"/>
      <c r="F21" s="2788"/>
      <c r="G21" s="2791"/>
      <c r="H21" s="2732"/>
    </row>
    <row r="22" spans="1:8">
      <c r="A22" s="2732" t="str">
        <f t="shared" si="1"/>
        <v/>
      </c>
      <c r="B22" s="2733"/>
      <c r="C22" s="2731"/>
      <c r="D22" s="2729"/>
      <c r="E22" s="2790"/>
      <c r="F22" s="2788"/>
      <c r="G22" s="2791"/>
      <c r="H22" s="2732"/>
    </row>
    <row r="23" spans="1:8">
      <c r="A23" s="2732" t="str">
        <f t="shared" si="1"/>
        <v/>
      </c>
      <c r="B23" s="2733"/>
      <c r="C23" s="2731"/>
      <c r="D23" s="2729"/>
      <c r="E23" s="2790"/>
      <c r="F23" s="2788"/>
      <c r="G23" s="2791"/>
      <c r="H23" s="2732"/>
    </row>
    <row r="24" spans="1:8">
      <c r="A24" s="2732" t="str">
        <f t="shared" si="1"/>
        <v/>
      </c>
      <c r="B24" s="2733"/>
      <c r="C24" s="2731"/>
      <c r="D24" s="2729"/>
      <c r="E24" s="2790"/>
      <c r="F24" s="2788"/>
      <c r="G24" s="2791"/>
      <c r="H24" s="2732"/>
    </row>
    <row r="25" spans="1:8">
      <c r="A25" s="2732" t="str">
        <f t="shared" si="1"/>
        <v/>
      </c>
      <c r="B25" s="2733"/>
      <c r="C25" s="2731"/>
      <c r="D25" s="2729"/>
      <c r="E25" s="2790"/>
      <c r="F25" s="2788"/>
      <c r="G25" s="2791"/>
      <c r="H25" s="2732"/>
    </row>
    <row r="26" spans="1:8">
      <c r="A26" s="2732" t="str">
        <f t="shared" si="1"/>
        <v/>
      </c>
      <c r="B26" s="2733"/>
      <c r="C26" s="2731"/>
      <c r="D26" s="2729"/>
      <c r="E26" s="2790"/>
      <c r="F26" s="2788"/>
      <c r="G26" s="2791"/>
      <c r="H26" s="2732"/>
    </row>
    <row r="27" spans="1:8">
      <c r="A27" s="2732" t="str">
        <f t="shared" si="1"/>
        <v/>
      </c>
      <c r="B27" s="2733"/>
      <c r="C27" s="2731"/>
      <c r="D27" s="2729"/>
      <c r="E27" s="2790"/>
      <c r="F27" s="2788"/>
      <c r="G27" s="2791"/>
      <c r="H27" s="2732"/>
    </row>
    <row r="28" spans="1:8">
      <c r="A28" s="2732" t="str">
        <f t="shared" si="1"/>
        <v/>
      </c>
      <c r="B28" s="2733"/>
      <c r="C28" s="2731"/>
      <c r="D28" s="2729"/>
      <c r="E28" s="2790"/>
      <c r="F28" s="2788"/>
      <c r="G28" s="2791"/>
      <c r="H28" s="2732"/>
    </row>
    <row r="29" spans="1:8">
      <c r="A29" s="2732" t="str">
        <f t="shared" si="1"/>
        <v/>
      </c>
      <c r="B29" s="2733"/>
      <c r="C29" s="2731"/>
      <c r="D29" s="2729"/>
      <c r="E29" s="2790"/>
      <c r="F29" s="2788"/>
      <c r="G29" s="2791"/>
      <c r="H29" s="2732"/>
    </row>
    <row r="30" spans="1:8">
      <c r="A30" s="2732" t="str">
        <f t="shared" si="1"/>
        <v/>
      </c>
      <c r="B30" s="2733"/>
      <c r="C30" s="2731"/>
      <c r="D30" s="2729"/>
      <c r="E30" s="2790"/>
      <c r="F30" s="2788"/>
      <c r="G30" s="2791"/>
      <c r="H30" s="2732"/>
    </row>
    <row r="31" spans="1:8">
      <c r="A31" s="2732" t="str">
        <f t="shared" si="1"/>
        <v/>
      </c>
      <c r="B31" s="2733"/>
      <c r="C31" s="2731"/>
      <c r="D31" s="2729"/>
      <c r="E31" s="2790"/>
      <c r="F31" s="2788"/>
      <c r="G31" s="2791"/>
      <c r="H31" s="2732"/>
    </row>
    <row r="32" spans="1:8">
      <c r="A32" s="2732" t="str">
        <f t="shared" si="1"/>
        <v/>
      </c>
      <c r="B32" s="2733"/>
      <c r="C32" s="2731"/>
      <c r="D32" s="2729"/>
      <c r="E32" s="2790"/>
      <c r="F32" s="2788"/>
      <c r="G32" s="2791"/>
      <c r="H32" s="2732"/>
    </row>
    <row r="33" spans="1:8">
      <c r="A33" s="2732" t="str">
        <f t="shared" si="1"/>
        <v/>
      </c>
      <c r="B33" s="2733"/>
      <c r="C33" s="2731"/>
      <c r="D33" s="2729"/>
      <c r="E33" s="2790"/>
      <c r="F33" s="2788"/>
      <c r="G33" s="2791"/>
      <c r="H33" s="2732"/>
    </row>
    <row r="34" spans="1:8">
      <c r="A34" s="2732" t="str">
        <f t="shared" si="1"/>
        <v/>
      </c>
      <c r="B34" s="2733"/>
      <c r="C34" s="2731"/>
      <c r="D34" s="2729"/>
      <c r="E34" s="2790"/>
      <c r="F34" s="2788"/>
      <c r="G34" s="2791"/>
      <c r="H34" s="2732"/>
    </row>
    <row r="35" spans="1:8">
      <c r="A35" s="2732" t="str">
        <f t="shared" si="1"/>
        <v/>
      </c>
      <c r="B35" s="2733"/>
      <c r="C35" s="2731"/>
      <c r="D35" s="2729"/>
      <c r="E35" s="2790"/>
      <c r="F35" s="2788"/>
      <c r="G35" s="2791"/>
      <c r="H35" s="2732"/>
    </row>
    <row r="36" spans="1:8">
      <c r="A36" s="2732" t="str">
        <f t="shared" si="1"/>
        <v/>
      </c>
      <c r="B36" s="2733"/>
      <c r="C36" s="2731"/>
      <c r="D36" s="2729"/>
      <c r="E36" s="2790"/>
      <c r="F36" s="2788"/>
      <c r="G36" s="2791"/>
      <c r="H36" s="2732"/>
    </row>
    <row r="37" spans="1:8">
      <c r="A37" s="2732" t="str">
        <f t="shared" si="1"/>
        <v/>
      </c>
      <c r="B37" s="2733"/>
      <c r="C37" s="2731"/>
      <c r="D37" s="2729"/>
      <c r="E37" s="2790"/>
      <c r="F37" s="2788"/>
      <c r="G37" s="2791"/>
      <c r="H37" s="2732"/>
    </row>
    <row r="38" spans="1:8">
      <c r="A38" s="2732" t="str">
        <f t="shared" si="1"/>
        <v/>
      </c>
      <c r="B38" s="2733"/>
      <c r="C38" s="2731"/>
      <c r="D38" s="2729"/>
      <c r="E38" s="2790"/>
      <c r="F38" s="2788"/>
      <c r="G38" s="2791"/>
      <c r="H38" s="2732"/>
    </row>
    <row r="39" spans="1:8">
      <c r="A39" s="2732" t="str">
        <f t="shared" si="1"/>
        <v/>
      </c>
      <c r="B39" s="2733"/>
      <c r="C39" s="2731"/>
      <c r="D39" s="2729"/>
      <c r="E39" s="2790"/>
      <c r="F39" s="2788"/>
      <c r="G39" s="2791"/>
      <c r="H39" s="2732"/>
    </row>
    <row r="40" spans="1:8">
      <c r="A40" s="2732" t="str">
        <f t="shared" si="1"/>
        <v/>
      </c>
      <c r="B40" s="2733"/>
      <c r="C40" s="2731"/>
      <c r="D40" s="2729"/>
      <c r="E40" s="2790"/>
      <c r="F40" s="2788"/>
      <c r="G40" s="2791"/>
      <c r="H40" s="2732"/>
    </row>
    <row r="41" spans="1:8" ht="13.5" thickBot="1">
      <c r="A41" s="2734" t="str">
        <f t="shared" si="1"/>
        <v/>
      </c>
      <c r="B41" s="2735"/>
      <c r="C41" s="2736"/>
      <c r="D41" s="2730"/>
      <c r="E41" s="2840"/>
      <c r="F41" s="2789"/>
      <c r="G41" s="2791"/>
      <c r="H41" s="2734"/>
    </row>
    <row r="42" spans="1:8">
      <c r="A42" s="1655"/>
      <c r="B42" s="1655"/>
      <c r="C42" s="1655"/>
      <c r="D42" s="1655"/>
      <c r="E42" s="1655"/>
      <c r="F42" s="1655"/>
      <c r="G42" s="1655"/>
      <c r="H42" s="1655"/>
    </row>
  </sheetData>
  <mergeCells count="2">
    <mergeCell ref="A2:B2"/>
    <mergeCell ref="D1:H1"/>
  </mergeCells>
  <conditionalFormatting sqref="C1">
    <cfRule type="cellIs" dxfId="354" priority="4" operator="equal">
      <formula>"Undetermined"</formula>
    </cfRule>
    <cfRule type="cellIs" dxfId="353" priority="5" operator="equal">
      <formula>"REQUIRED"</formula>
    </cfRule>
  </conditionalFormatting>
  <conditionalFormatting sqref="D2">
    <cfRule type="expression" dxfId="352" priority="6">
      <formula>$C$2="VLAN #"</formula>
    </cfRule>
  </conditionalFormatting>
  <conditionalFormatting sqref="F4:H41">
    <cfRule type="expression" dxfId="351" priority="1">
      <formula>$E4=0</formula>
    </cfRule>
  </conditionalFormatting>
  <dataValidations count="7">
    <dataValidation type="list" allowBlank="1" showInputMessage="1" showErrorMessage="1" sqref="H4:H41" xr:uid="{00000000-0002-0000-0200-000000000000}">
      <formula1>"Vlad Rosenbaum, Michael Wealther, Derrick Allen"</formula1>
    </dataValidation>
    <dataValidation type="list" allowBlank="1" showInputMessage="1" showErrorMessage="1" sqref="B4:B41" xr:uid="{00000000-0002-0000-0200-000001000000}">
      <formula1>VCenter</formula1>
    </dataValidation>
    <dataValidation type="list" allowBlank="1" showInputMessage="1" showErrorMessage="1" sqref="C4:C5 C7:C41" xr:uid="{00000000-0002-0000-0200-000002000000}">
      <formula1>INDIRECT($B4)</formula1>
    </dataValidation>
    <dataValidation type="list" allowBlank="1" showInputMessage="1" showErrorMessage="1" sqref="D4:D5 D7:D41" xr:uid="{00000000-0002-0000-0200-000003000000}">
      <formula1>INDIRECT($C4)</formula1>
    </dataValidation>
    <dataValidation type="whole" allowBlank="1" showInputMessage="1" showErrorMessage="1" sqref="F4:F41" xr:uid="{00000000-0002-0000-0200-000004000000}">
      <formula1>1</formula1>
      <formula2>10</formula2>
    </dataValidation>
    <dataValidation type="list" allowBlank="1" showInputMessage="1" showErrorMessage="1" sqref="E4:E41" xr:uid="{00000000-0002-0000-0200-000005000000}">
      <formula1>"0, 1, 2, 3, 4, 5, 6, 7, 8, 9, 10, 11, 12, 13, 14, 15, 16"</formula1>
    </dataValidation>
    <dataValidation type="list" allowBlank="1" showInputMessage="1" showErrorMessage="1" sqref="G4:G41" xr:uid="{00000000-0002-0000-0200-000006000000}">
      <formula1>"Yes, No"</formula1>
    </dataValidation>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677889" r:id="rId4">
          <objectPr defaultSize="0" autoPict="0" r:id="rId5">
            <anchor moveWithCells="1">
              <from>
                <xdr:col>92</xdr:col>
                <xdr:colOff>0</xdr:colOff>
                <xdr:row>0</xdr:row>
                <xdr:rowOff>0</xdr:rowOff>
              </from>
              <to>
                <xdr:col>109</xdr:col>
                <xdr:colOff>171450</xdr:colOff>
                <xdr:row>3</xdr:row>
                <xdr:rowOff>1295400</xdr:rowOff>
              </to>
            </anchor>
          </objectPr>
        </oleObject>
      </mc:Choice>
      <mc:Fallback>
        <oleObject progId="Word.Document.12" shapeId="677889"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6" tint="0.39997558519241921"/>
  </sheetPr>
  <dimension ref="A1:G37"/>
  <sheetViews>
    <sheetView showGridLines="0" zoomScale="90" zoomScaleNormal="90" workbookViewId="0">
      <selection activeCell="G13" sqref="G13"/>
    </sheetView>
  </sheetViews>
  <sheetFormatPr defaultRowHeight="12.75"/>
  <cols>
    <col min="1" max="1" width="64.42578125" bestFit="1" customWidth="1"/>
    <col min="2" max="2" width="33.7109375" customWidth="1"/>
    <col min="3" max="3" width="35" customWidth="1"/>
    <col min="4" max="4" width="34.140625" customWidth="1"/>
    <col min="5" max="5" width="31" customWidth="1"/>
    <col min="6" max="7" width="26.7109375" customWidth="1"/>
  </cols>
  <sheetData>
    <row r="1" spans="1:7" ht="38.25" customHeight="1" thickBot="1">
      <c r="A1" s="3598" t="s">
        <v>3419</v>
      </c>
      <c r="B1" s="3599"/>
      <c r="C1" s="3599"/>
      <c r="D1" s="3599"/>
      <c r="E1" s="3599"/>
      <c r="F1" s="3599"/>
      <c r="G1" s="3599"/>
    </row>
    <row r="2" spans="1:7" s="931" customFormat="1" ht="15.75">
      <c r="A2" s="1636" t="s">
        <v>1937</v>
      </c>
      <c r="B2" s="3600" t="str">
        <f>IF(ProjDet_AppNameCol&lt;&gt;"",ProjDet_AppNameCol,"")</f>
        <v>Linux Infrastructure Management</v>
      </c>
      <c r="C2" s="3601"/>
      <c r="D2" s="3601"/>
      <c r="E2" s="3601"/>
      <c r="F2" s="3601"/>
      <c r="G2" s="3602"/>
    </row>
    <row r="3" spans="1:7" s="931" customFormat="1" ht="15.75">
      <c r="A3" s="1637" t="s">
        <v>3473</v>
      </c>
      <c r="B3" s="3603" t="str">
        <f>IF(app_technical_contact&lt;&gt;"",app_technical_contact,"")</f>
        <v xml:space="preserve">Paul Schmidt , Bill Mesik , Richard Davis </v>
      </c>
      <c r="C3" s="3604"/>
      <c r="D3" s="3604"/>
      <c r="E3" s="3604"/>
      <c r="F3" s="3604"/>
      <c r="G3" s="3605"/>
    </row>
    <row r="4" spans="1:7" s="931" customFormat="1" ht="15.75">
      <c r="A4" s="2012" t="s">
        <v>3640</v>
      </c>
      <c r="B4" s="3603" t="str">
        <f>IF(app_support_team_email&lt;&gt;"",app_support_team_email,"")</f>
        <v>HCSC_Unix@bcbbsil.com</v>
      </c>
      <c r="C4" s="3604"/>
      <c r="D4" s="3604"/>
      <c r="E4" s="3604"/>
      <c r="F4" s="3604"/>
      <c r="G4" s="3605"/>
    </row>
    <row r="5" spans="1:7" s="931" customFormat="1" ht="16.5" thickBot="1">
      <c r="A5" s="1638" t="s">
        <v>3474</v>
      </c>
      <c r="B5" s="3606" t="str">
        <f>IF(app_support_team&lt;&gt;"",app_support_team,"")</f>
        <v>HCSC_Unix</v>
      </c>
      <c r="C5" s="3607"/>
      <c r="D5" s="3607"/>
      <c r="E5" s="3607"/>
      <c r="F5" s="3607"/>
      <c r="G5" s="3608"/>
    </row>
    <row r="6" spans="1:7" s="931" customFormat="1" ht="15.75">
      <c r="A6" s="2009" t="s">
        <v>3641</v>
      </c>
      <c r="B6" s="2223" t="str">
        <f>IF(app_shortname&lt;&gt;"",app_shortname,"")</f>
        <v/>
      </c>
      <c r="C6" s="2010"/>
      <c r="D6" s="2011"/>
      <c r="E6" s="2011"/>
      <c r="F6" s="2011"/>
      <c r="G6" s="2011"/>
    </row>
    <row r="7" spans="1:7" ht="15.75" hidden="1" thickBot="1">
      <c r="A7" s="1635" t="s">
        <v>3667</v>
      </c>
      <c r="B7" s="2794" t="s">
        <v>59</v>
      </c>
      <c r="C7" s="2796" t="s">
        <v>67</v>
      </c>
      <c r="D7" s="2799" t="s">
        <v>3420</v>
      </c>
      <c r="E7" s="2798" t="s">
        <v>4468</v>
      </c>
    </row>
    <row r="8" spans="1:7" s="931" customFormat="1" hidden="1">
      <c r="A8" s="2161" t="s">
        <v>3677</v>
      </c>
      <c r="B8" s="2121"/>
      <c r="C8" s="2121"/>
      <c r="D8" s="2121"/>
      <c r="E8" s="2121"/>
    </row>
    <row r="9" spans="1:7" s="931" customFormat="1" hidden="1">
      <c r="A9" s="2162" t="s">
        <v>3668</v>
      </c>
      <c r="B9" s="2122" t="str">
        <f>IF($B$8&lt;&gt;"","tomcat","")</f>
        <v/>
      </c>
      <c r="C9" s="2122" t="str">
        <f>IF($C$8&lt;&gt;"","tomcat","")</f>
        <v/>
      </c>
      <c r="D9" s="2122" t="str">
        <f>IF($D$8&lt;&gt;"","tomcat","")</f>
        <v/>
      </c>
      <c r="E9" s="2122" t="str">
        <f>IF($D$8&lt;&gt;"","tomcat","")</f>
        <v/>
      </c>
    </row>
    <row r="10" spans="1:7" s="931" customFormat="1" hidden="1">
      <c r="A10" s="2162" t="s">
        <v>3423</v>
      </c>
      <c r="B10" s="2122" t="str">
        <f>IF($B$8&lt;&gt;"","tomcat","")</f>
        <v/>
      </c>
      <c r="C10" s="2122" t="str">
        <f>IF($C$8&lt;&gt;"","tomcat","")</f>
        <v/>
      </c>
      <c r="D10" s="2122" t="str">
        <f>IF($D$8&lt;&gt;"","tomcat","")</f>
        <v/>
      </c>
      <c r="E10" s="2122" t="str">
        <f>IF($D$8&lt;&gt;"","tomcat","")</f>
        <v/>
      </c>
    </row>
    <row r="11" spans="1:7" s="931" customFormat="1" ht="12.75" hidden="1" customHeight="1">
      <c r="A11" s="2162" t="s">
        <v>3669</v>
      </c>
      <c r="B11" s="2123" t="str">
        <f>IF($B$8&lt;&gt;"","/ifs/twauesnas21/dev/nfs/dtomee/apps","")</f>
        <v/>
      </c>
      <c r="C11" s="2122" t="str">
        <f>IF($C$8&lt;&gt;"","/ifs/twauesnas21/testdev/nfs/ttomee/apps","")</f>
        <v/>
      </c>
      <c r="D11" s="2122" t="str">
        <f>IF($D$8&lt;&gt;"","/ifs/pwauesnas21/prod/nfs/ptomee/apps","")</f>
        <v/>
      </c>
      <c r="E11" s="2122" t="str">
        <f>IF($D$8&lt;&gt;"","/ifs/pwauesnas21/prod/nfs/ptomee/apps","")</f>
        <v/>
      </c>
    </row>
    <row r="12" spans="1:7" s="931" customFormat="1" ht="15" hidden="1" customHeight="1">
      <c r="A12" s="2162" t="s">
        <v>3670</v>
      </c>
      <c r="B12" s="2123" t="str">
        <f>IF($B$8&lt;&gt;"","/ifs/twauesnas21/dev/nfs/dtomee/logs","")</f>
        <v/>
      </c>
      <c r="C12" s="2122" t="str">
        <f>IF($C$8&lt;&gt;"","/ifs/twauesnas21/testdev/nfs/ttomee/logs","")</f>
        <v/>
      </c>
      <c r="D12" s="2122" t="str">
        <f>IF($D$8&lt;&gt;"","/ifs/pwauesnas21/prod/nfs/ptomee/logs","")</f>
        <v/>
      </c>
      <c r="E12" s="2122" t="str">
        <f>IF($D$8&lt;&gt;"","/ifs/pwauesnas21/prod/nfs/ptomee/logs","")</f>
        <v/>
      </c>
    </row>
    <row r="13" spans="1:7" ht="15.75" thickBot="1">
      <c r="A13" s="1635" t="s">
        <v>4480</v>
      </c>
      <c r="B13" s="2795" t="s">
        <v>59</v>
      </c>
      <c r="C13" s="2797" t="s">
        <v>67</v>
      </c>
      <c r="D13" s="2835" t="s">
        <v>5246</v>
      </c>
      <c r="E13" s="2836" t="s">
        <v>3420</v>
      </c>
      <c r="F13" s="2800" t="s">
        <v>4533</v>
      </c>
      <c r="G13" s="3149" t="s">
        <v>5364</v>
      </c>
    </row>
    <row r="14" spans="1:7" ht="12.75" customHeight="1">
      <c r="A14" s="2163" t="s">
        <v>3678</v>
      </c>
      <c r="B14" s="2025"/>
      <c r="C14" s="2025"/>
      <c r="D14" s="2026"/>
      <c r="E14" s="2026"/>
      <c r="F14" s="2026"/>
      <c r="G14" s="2026"/>
    </row>
    <row r="15" spans="1:7">
      <c r="A15" s="2164" t="s">
        <v>4532</v>
      </c>
      <c r="B15" s="2860"/>
      <c r="C15" s="2861"/>
      <c r="D15" s="2027"/>
      <c r="E15" s="2027"/>
      <c r="F15" s="2810"/>
      <c r="G15" s="2810"/>
    </row>
    <row r="16" spans="1:7" ht="13.5" thickBot="1">
      <c r="A16" s="2165" t="s">
        <v>3679</v>
      </c>
      <c r="B16" s="2859"/>
      <c r="C16" s="2028"/>
      <c r="D16" s="2029"/>
      <c r="E16" s="2029"/>
      <c r="F16" s="2029"/>
      <c r="G16" s="2029"/>
    </row>
    <row r="17" spans="1:7">
      <c r="A17" s="2166" t="s">
        <v>3680</v>
      </c>
      <c r="B17" s="2023"/>
      <c r="C17" s="2023"/>
      <c r="D17" s="2024"/>
      <c r="E17" s="2024"/>
      <c r="F17" s="2811"/>
      <c r="G17" s="2811"/>
    </row>
    <row r="18" spans="1:7">
      <c r="A18" s="2167" t="s">
        <v>3424</v>
      </c>
      <c r="B18" s="2030"/>
      <c r="C18" s="2030"/>
      <c r="D18" s="2031"/>
      <c r="E18" s="2031"/>
      <c r="F18" s="2812"/>
      <c r="G18" s="2812"/>
    </row>
    <row r="19" spans="1:7" ht="13.5" thickBot="1">
      <c r="A19" s="2168" t="s">
        <v>3035</v>
      </c>
      <c r="B19" s="2032"/>
      <c r="C19" s="2032"/>
      <c r="D19" s="2033"/>
      <c r="E19" s="2033"/>
      <c r="F19" s="2813"/>
      <c r="G19" s="2813"/>
    </row>
    <row r="20" spans="1:7" ht="15.75" thickBot="1">
      <c r="A20" s="1635" t="s">
        <v>5019</v>
      </c>
      <c r="B20" s="2020"/>
      <c r="C20" s="2021"/>
      <c r="D20" s="2022"/>
      <c r="E20" s="2022"/>
      <c r="F20" s="2022"/>
      <c r="G20" s="2022"/>
    </row>
    <row r="21" spans="1:7">
      <c r="A21" s="2169" t="s">
        <v>5021</v>
      </c>
      <c r="B21" s="3082"/>
      <c r="C21" s="1568"/>
      <c r="D21" s="2809"/>
      <c r="E21" s="2809"/>
      <c r="F21" s="2809"/>
      <c r="G21" s="2809"/>
    </row>
    <row r="22" spans="1:7">
      <c r="A22" s="2170" t="s">
        <v>5020</v>
      </c>
      <c r="B22" s="3083"/>
      <c r="C22" s="1567"/>
      <c r="D22" s="2019"/>
      <c r="E22" s="2019"/>
      <c r="F22" s="2019"/>
      <c r="G22" s="2019"/>
    </row>
    <row r="23" spans="1:7">
      <c r="A23" s="2170" t="s">
        <v>5022</v>
      </c>
      <c r="B23" s="3083"/>
      <c r="C23" s="1567"/>
      <c r="D23" s="2019"/>
      <c r="E23" s="2019"/>
      <c r="F23" s="2019"/>
      <c r="G23" s="2019"/>
    </row>
    <row r="24" spans="1:7" ht="13.5" thickBot="1">
      <c r="A24" s="2814" t="s">
        <v>5023</v>
      </c>
      <c r="B24" s="3084"/>
      <c r="C24" s="2815"/>
      <c r="D24" s="2816"/>
      <c r="E24" s="2816"/>
      <c r="F24" s="2816"/>
      <c r="G24" s="2816"/>
    </row>
    <row r="25" spans="1:7">
      <c r="A25" s="354"/>
      <c r="B25" s="931"/>
      <c r="C25" s="931"/>
      <c r="D25" s="354" t="s">
        <v>3425</v>
      </c>
    </row>
    <row r="26" spans="1:7" ht="15.75">
      <c r="A26" s="1103" t="s">
        <v>3036</v>
      </c>
      <c r="B26" s="931"/>
      <c r="C26" s="931"/>
      <c r="D26" s="931"/>
    </row>
    <row r="27" spans="1:7" ht="89.25" customHeight="1">
      <c r="A27" s="516" t="s">
        <v>3620</v>
      </c>
      <c r="B27" s="3597" t="s">
        <v>5116</v>
      </c>
      <c r="C27" s="3597"/>
      <c r="D27" s="3597"/>
      <c r="E27" s="3597"/>
      <c r="F27" s="3597"/>
    </row>
    <row r="28" spans="1:7">
      <c r="A28" s="516" t="s">
        <v>3634</v>
      </c>
      <c r="B28" s="931"/>
      <c r="C28" s="931"/>
      <c r="D28" s="931"/>
    </row>
    <row r="29" spans="1:7">
      <c r="A29" s="931"/>
      <c r="B29" s="931"/>
      <c r="C29" s="931"/>
      <c r="D29" s="931"/>
    </row>
    <row r="30" spans="1:7">
      <c r="A30" s="931"/>
      <c r="B30" s="931"/>
      <c r="C30" s="931"/>
      <c r="D30" s="931"/>
    </row>
    <row r="31" spans="1:7">
      <c r="A31" s="931"/>
      <c r="B31" s="931"/>
      <c r="C31" s="931"/>
      <c r="D31" s="931"/>
    </row>
    <row r="32" spans="1:7">
      <c r="A32" s="931"/>
      <c r="B32" s="931"/>
      <c r="C32" s="931"/>
      <c r="D32" s="931"/>
    </row>
    <row r="33" spans="1:1">
      <c r="A33" s="931"/>
    </row>
    <row r="34" spans="1:1">
      <c r="A34" s="931"/>
    </row>
    <row r="35" spans="1:1">
      <c r="A35" s="931"/>
    </row>
    <row r="36" spans="1:1">
      <c r="A36" s="931"/>
    </row>
    <row r="37" spans="1:1">
      <c r="A37" s="931"/>
    </row>
  </sheetData>
  <mergeCells count="6">
    <mergeCell ref="B27:F27"/>
    <mergeCell ref="A1:G1"/>
    <mergeCell ref="B2:G2"/>
    <mergeCell ref="B3:G3"/>
    <mergeCell ref="B4:G4"/>
    <mergeCell ref="B5:G5"/>
  </mergeCells>
  <conditionalFormatting sqref="B23:B24">
    <cfRule type="expression" dxfId="350" priority="6">
      <formula>$B$16="Unix"</formula>
    </cfRule>
  </conditionalFormatting>
  <conditionalFormatting sqref="B16:B19">
    <cfRule type="expression" dxfId="349" priority="5">
      <formula>OR($B$14="",$B$14="No")</formula>
    </cfRule>
  </conditionalFormatting>
  <conditionalFormatting sqref="C16:C19 C21:C24">
    <cfRule type="expression" dxfId="348" priority="9">
      <formula>OR($C$14="",$C$14="No")</formula>
    </cfRule>
  </conditionalFormatting>
  <conditionalFormatting sqref="E15:E19 E21:E24">
    <cfRule type="expression" dxfId="347" priority="15">
      <formula>OR($E$14="",$E$14="No")</formula>
    </cfRule>
  </conditionalFormatting>
  <conditionalFormatting sqref="B21:B22">
    <cfRule type="expression" dxfId="346" priority="7">
      <formula>$B$16="Windows"</formula>
    </cfRule>
  </conditionalFormatting>
  <conditionalFormatting sqref="B21:B24">
    <cfRule type="expression" dxfId="345" priority="8">
      <formula>$B$16="Both"</formula>
    </cfRule>
  </conditionalFormatting>
  <conditionalFormatting sqref="F15:F19 F21:F24">
    <cfRule type="expression" dxfId="344" priority="24">
      <formula>OR($F$14="",$F$14="No")</formula>
    </cfRule>
  </conditionalFormatting>
  <conditionalFormatting sqref="G15:G19 G21:G24">
    <cfRule type="expression" dxfId="343" priority="33">
      <formula>OR($G$14="",$G$14="No")</formula>
    </cfRule>
  </conditionalFormatting>
  <conditionalFormatting sqref="C23:C24">
    <cfRule type="expression" dxfId="342" priority="12">
      <formula>$C$16="Unix"</formula>
    </cfRule>
  </conditionalFormatting>
  <conditionalFormatting sqref="C21:C22">
    <cfRule type="expression" dxfId="341" priority="11">
      <formula>$C$16="Windows"</formula>
    </cfRule>
  </conditionalFormatting>
  <conditionalFormatting sqref="C21:C24">
    <cfRule type="expression" dxfId="340" priority="13">
      <formula>$C$16="Both"</formula>
    </cfRule>
  </conditionalFormatting>
  <conditionalFormatting sqref="E23:E24">
    <cfRule type="expression" dxfId="339" priority="17">
      <formula>$E$16="Unix"</formula>
    </cfRule>
  </conditionalFormatting>
  <conditionalFormatting sqref="E21:E22">
    <cfRule type="expression" dxfId="338" priority="18">
      <formula>$E$16="Windows"</formula>
    </cfRule>
  </conditionalFormatting>
  <conditionalFormatting sqref="E21:E24">
    <cfRule type="expression" dxfId="337" priority="19">
      <formula>$E$16="Both"</formula>
    </cfRule>
  </conditionalFormatting>
  <conditionalFormatting sqref="F21:F22">
    <cfRule type="expression" dxfId="336" priority="25">
      <formula>$F$16="Windows"</formula>
    </cfRule>
  </conditionalFormatting>
  <conditionalFormatting sqref="F23:F24">
    <cfRule type="expression" dxfId="335" priority="31">
      <formula>$F$16="Unix"</formula>
    </cfRule>
  </conditionalFormatting>
  <conditionalFormatting sqref="F21:F24">
    <cfRule type="expression" dxfId="334" priority="32">
      <formula>$F$16="Both"</formula>
    </cfRule>
  </conditionalFormatting>
  <conditionalFormatting sqref="G23:G24">
    <cfRule type="expression" dxfId="333" priority="34">
      <formula>$G$16="Unix"</formula>
    </cfRule>
  </conditionalFormatting>
  <conditionalFormatting sqref="G21:G22">
    <cfRule type="expression" dxfId="332" priority="36">
      <formula>$G$16="Windows"</formula>
    </cfRule>
  </conditionalFormatting>
  <conditionalFormatting sqref="G21:G24">
    <cfRule type="expression" dxfId="331" priority="37">
      <formula>$G$16="Both"</formula>
    </cfRule>
  </conditionalFormatting>
  <conditionalFormatting sqref="D15:D19 D21:D24">
    <cfRule type="expression" dxfId="330" priority="1">
      <formula>OR($D$14="",$D$14="No")</formula>
    </cfRule>
  </conditionalFormatting>
  <conditionalFormatting sqref="D23:D24">
    <cfRule type="expression" dxfId="329" priority="2">
      <formula>$D$16="Unix"</formula>
    </cfRule>
  </conditionalFormatting>
  <conditionalFormatting sqref="D21:D22">
    <cfRule type="expression" dxfId="328" priority="3">
      <formula>$D$16="Windows"</formula>
    </cfRule>
  </conditionalFormatting>
  <conditionalFormatting sqref="D21:D24">
    <cfRule type="expression" dxfId="327" priority="4">
      <formula>$D$16="Both"</formula>
    </cfRule>
  </conditionalFormatting>
  <dataValidations count="4">
    <dataValidation allowBlank="1" showErrorMessage="1" prompt="Do Not Enter Information here, This information is pulled from the Capacity Tab." sqref="C21:C24 B17:C19" xr:uid="{00000000-0002-0000-0300-000000000000}"/>
    <dataValidation type="list" allowBlank="1" showInputMessage="1" showErrorMessage="1" sqref="D15:G15" xr:uid="{00000000-0002-0000-0300-000001000000}">
      <formula1>"Data, DMZ, Process"</formula1>
    </dataValidation>
    <dataValidation type="list" allowBlank="1" showInputMessage="1" showErrorMessage="1" sqref="B16:G16" xr:uid="{00000000-0002-0000-0300-000002000000}">
      <formula1>"Windows, Unix, Both"</formula1>
    </dataValidation>
    <dataValidation type="list" allowBlank="1" showInputMessage="1" showErrorMessage="1" sqref="B14:G14" xr:uid="{00000000-0002-0000-0300-000003000000}">
      <formula1>"Yes, No"</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458760" r:id="rId4">
          <objectPr defaultSize="0" autoPict="0" r:id="rId5">
            <anchor moveWithCells="1">
              <from>
                <xdr:col>106</xdr:col>
                <xdr:colOff>600075</xdr:colOff>
                <xdr:row>1</xdr:row>
                <xdr:rowOff>9525</xdr:rowOff>
              </from>
              <to>
                <xdr:col>124</xdr:col>
                <xdr:colOff>161925</xdr:colOff>
                <xdr:row>27</xdr:row>
                <xdr:rowOff>76200</xdr:rowOff>
              </to>
            </anchor>
          </objectPr>
        </oleObject>
      </mc:Choice>
      <mc:Fallback>
        <oleObject progId="Word.Document.12" shapeId="458760"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4">
    <tabColor theme="6" tint="0.39997558519241921"/>
  </sheetPr>
  <dimension ref="A1:M57"/>
  <sheetViews>
    <sheetView showGridLines="0" zoomScaleNormal="100" workbookViewId="0">
      <selection activeCell="A8" sqref="A8"/>
    </sheetView>
  </sheetViews>
  <sheetFormatPr defaultRowHeight="12.75"/>
  <cols>
    <col min="1" max="1" width="75.7109375" bestFit="1" customWidth="1"/>
    <col min="2" max="2" width="23.7109375" customWidth="1"/>
    <col min="3" max="3" width="19.42578125" customWidth="1"/>
    <col min="4" max="5" width="14.7109375" customWidth="1"/>
    <col min="6" max="6" width="17.28515625" customWidth="1"/>
    <col min="7" max="12" width="14.7109375" customWidth="1"/>
    <col min="13" max="13" width="45.85546875" customWidth="1"/>
  </cols>
  <sheetData>
    <row r="1" spans="1:13" ht="33" customHeight="1" thickBot="1">
      <c r="A1" s="685"/>
      <c r="B1" s="130" t="str">
        <f>IF(MiddlewareWeb="YES","Required",IF(MiddlewareWeb="NO","This Tab is Not Required","Undetermined"))</f>
        <v>This Tab is Not Required</v>
      </c>
      <c r="C1" s="686"/>
      <c r="D1" s="686"/>
      <c r="E1" s="686"/>
      <c r="F1" s="1828" t="str">
        <f>'Project Details'!$C$8 &amp;" - Middleware (Web) Requests"</f>
        <v>Linux Infrastructure Management - Middleware (Web) Requests</v>
      </c>
      <c r="G1" s="686"/>
      <c r="H1" s="686"/>
      <c r="I1" s="686"/>
      <c r="J1" s="686"/>
      <c r="K1" s="686"/>
      <c r="L1" s="686"/>
      <c r="M1" s="687"/>
    </row>
    <row r="2" spans="1:13" ht="15.75">
      <c r="A2" s="2827" t="s">
        <v>4509</v>
      </c>
      <c r="B2" s="2852"/>
      <c r="C2" s="165" t="str">
        <f>IF($A$6&lt;&gt;"",$A$6,"")</f>
        <v/>
      </c>
      <c r="D2" s="165" t="str">
        <f>IF($A$7&lt;&gt;"",$A$7,"")</f>
        <v/>
      </c>
      <c r="E2" s="165" t="str">
        <f>IF($A$8&lt;&gt;"",$A$8,"")</f>
        <v/>
      </c>
      <c r="F2" s="165" t="str">
        <f>IF($A$9&lt;&gt;"",$A$9,"")</f>
        <v/>
      </c>
      <c r="G2" s="165" t="str">
        <f>IF($A$10&lt;&gt;"",$A$10,"")</f>
        <v/>
      </c>
      <c r="H2" s="165" t="str">
        <f>IF($A$11&lt;&gt;"",$A$11,"")</f>
        <v/>
      </c>
      <c r="I2" s="165" t="str">
        <f>IF($A$12&lt;&gt;"",$A$12,"")</f>
        <v/>
      </c>
      <c r="J2" s="165" t="str">
        <f>IF($A$13&lt;&gt;"",$A$13,"")</f>
        <v/>
      </c>
      <c r="K2" s="165" t="str">
        <f>IF($A$14&lt;&gt;"",$A$14,"")</f>
        <v/>
      </c>
      <c r="L2" s="165" t="str">
        <f>IF($A$15&lt;&gt;"",$A$15,"")</f>
        <v/>
      </c>
      <c r="M2" s="166" t="s">
        <v>176</v>
      </c>
    </row>
    <row r="3" spans="1:13" ht="16.5" thickBot="1">
      <c r="A3" s="3609" t="s">
        <v>4508</v>
      </c>
      <c r="B3" s="3610"/>
      <c r="C3" s="179"/>
      <c r="D3" s="179"/>
      <c r="E3" s="179"/>
      <c r="F3" s="179"/>
      <c r="G3" s="179"/>
      <c r="H3" s="179"/>
      <c r="I3" s="179"/>
      <c r="J3" s="179"/>
      <c r="K3" s="179"/>
      <c r="L3" s="179"/>
      <c r="M3" s="180"/>
    </row>
    <row r="4" spans="1:13" ht="15.75">
      <c r="A4" s="175" t="s">
        <v>177</v>
      </c>
      <c r="B4" s="176"/>
      <c r="C4" s="177"/>
      <c r="D4" s="177"/>
      <c r="E4" s="177"/>
      <c r="F4" s="177"/>
      <c r="G4" s="177"/>
      <c r="H4" s="177"/>
      <c r="I4" s="177"/>
      <c r="J4" s="177"/>
      <c r="K4" s="177"/>
      <c r="L4" s="177"/>
      <c r="M4" s="178"/>
    </row>
    <row r="5" spans="1:13" ht="24" customHeight="1" thickBot="1">
      <c r="A5" s="1941" t="s">
        <v>425</v>
      </c>
      <c r="B5" s="1942" t="s">
        <v>166</v>
      </c>
      <c r="C5" s="1942" t="s">
        <v>1633</v>
      </c>
      <c r="D5" s="1942" t="s">
        <v>1632</v>
      </c>
      <c r="E5" s="3611" t="s">
        <v>1634</v>
      </c>
      <c r="F5" s="3612"/>
      <c r="G5" s="3612"/>
      <c r="H5" s="3612"/>
      <c r="I5" s="3612"/>
      <c r="J5" s="3612"/>
      <c r="K5" s="3612"/>
      <c r="L5" s="3612"/>
      <c r="M5" s="3613"/>
    </row>
    <row r="6" spans="1:13" ht="12.75" customHeight="1">
      <c r="A6" s="681"/>
      <c r="B6" s="682"/>
      <c r="C6" s="683"/>
      <c r="D6" s="683"/>
      <c r="E6" s="3614"/>
      <c r="F6" s="3614"/>
      <c r="G6" s="3614"/>
      <c r="H6" s="3614"/>
      <c r="I6" s="3614"/>
      <c r="J6" s="3614"/>
      <c r="K6" s="3614"/>
      <c r="L6" s="3614"/>
      <c r="M6" s="3615"/>
    </row>
    <row r="7" spans="1:13" ht="12.75" customHeight="1">
      <c r="A7" s="168"/>
      <c r="B7" s="286"/>
      <c r="C7" s="440"/>
      <c r="D7" s="440"/>
      <c r="E7" s="3616"/>
      <c r="F7" s="3616"/>
      <c r="G7" s="3616"/>
      <c r="H7" s="3616"/>
      <c r="I7" s="3616"/>
      <c r="J7" s="3616"/>
      <c r="K7" s="3616"/>
      <c r="L7" s="3616"/>
      <c r="M7" s="3617"/>
    </row>
    <row r="8" spans="1:13" ht="12.75" customHeight="1">
      <c r="A8" s="168"/>
      <c r="B8" s="286"/>
      <c r="C8" s="440"/>
      <c r="D8" s="440"/>
      <c r="E8" s="3616"/>
      <c r="F8" s="3616"/>
      <c r="G8" s="3616"/>
      <c r="H8" s="3616"/>
      <c r="I8" s="3616"/>
      <c r="J8" s="3616"/>
      <c r="K8" s="3616"/>
      <c r="L8" s="3616"/>
      <c r="M8" s="3617"/>
    </row>
    <row r="9" spans="1:13">
      <c r="A9" s="168"/>
      <c r="B9" s="286"/>
      <c r="C9" s="440"/>
      <c r="D9" s="440"/>
      <c r="E9" s="3621"/>
      <c r="F9" s="3621"/>
      <c r="G9" s="3621"/>
      <c r="H9" s="3621"/>
      <c r="I9" s="3621"/>
      <c r="J9" s="3621"/>
      <c r="K9" s="3621"/>
      <c r="L9" s="3621"/>
      <c r="M9" s="3622"/>
    </row>
    <row r="10" spans="1:13">
      <c r="A10" s="168"/>
      <c r="B10" s="286"/>
      <c r="C10" s="440"/>
      <c r="D10" s="440"/>
      <c r="E10" s="3621"/>
      <c r="F10" s="3621"/>
      <c r="G10" s="3621"/>
      <c r="H10" s="3621"/>
      <c r="I10" s="3621"/>
      <c r="J10" s="3621"/>
      <c r="K10" s="3621"/>
      <c r="L10" s="3621"/>
      <c r="M10" s="3622"/>
    </row>
    <row r="11" spans="1:13">
      <c r="A11" s="168"/>
      <c r="B11" s="286"/>
      <c r="C11" s="440"/>
      <c r="D11" s="440"/>
      <c r="E11" s="3621"/>
      <c r="F11" s="3621"/>
      <c r="G11" s="3621"/>
      <c r="H11" s="3621"/>
      <c r="I11" s="3621"/>
      <c r="J11" s="3621"/>
      <c r="K11" s="3621"/>
      <c r="L11" s="3621"/>
      <c r="M11" s="3622"/>
    </row>
    <row r="12" spans="1:13">
      <c r="A12" s="168"/>
      <c r="B12" s="286"/>
      <c r="C12" s="440"/>
      <c r="D12" s="440"/>
      <c r="E12" s="3621"/>
      <c r="F12" s="3621"/>
      <c r="G12" s="3621"/>
      <c r="H12" s="3621"/>
      <c r="I12" s="3621"/>
      <c r="J12" s="3621"/>
      <c r="K12" s="3621"/>
      <c r="L12" s="3621"/>
      <c r="M12" s="3622"/>
    </row>
    <row r="13" spans="1:13">
      <c r="A13" s="168"/>
      <c r="B13" s="286"/>
      <c r="C13" s="440"/>
      <c r="D13" s="440"/>
      <c r="E13" s="3621"/>
      <c r="F13" s="3621"/>
      <c r="G13" s="3621"/>
      <c r="H13" s="3621"/>
      <c r="I13" s="3621"/>
      <c r="J13" s="3621"/>
      <c r="K13" s="3621"/>
      <c r="L13" s="3621"/>
      <c r="M13" s="3622"/>
    </row>
    <row r="14" spans="1:13">
      <c r="A14" s="168"/>
      <c r="B14" s="286"/>
      <c r="C14" s="440"/>
      <c r="D14" s="440"/>
      <c r="E14" s="3621"/>
      <c r="F14" s="3621"/>
      <c r="G14" s="3621"/>
      <c r="H14" s="3621"/>
      <c r="I14" s="3621"/>
      <c r="J14" s="3621"/>
      <c r="K14" s="3621"/>
      <c r="L14" s="3621"/>
      <c r="M14" s="3622"/>
    </row>
    <row r="15" spans="1:13" ht="13.5" thickBot="1">
      <c r="A15" s="168"/>
      <c r="B15" s="27"/>
      <c r="C15" s="1311"/>
      <c r="D15" s="1311"/>
      <c r="E15" s="3623"/>
      <c r="F15" s="3623"/>
      <c r="G15" s="3623"/>
      <c r="H15" s="3623"/>
      <c r="I15" s="3623"/>
      <c r="J15" s="3623"/>
      <c r="K15" s="3623"/>
      <c r="L15" s="3623"/>
      <c r="M15" s="3624"/>
    </row>
    <row r="16" spans="1:13" s="931" customFormat="1" ht="7.5" customHeight="1" thickBot="1">
      <c r="A16" s="1312"/>
      <c r="B16" s="1313"/>
      <c r="C16" s="1313"/>
      <c r="D16" s="1313"/>
      <c r="E16" s="1313"/>
      <c r="F16" s="1313"/>
      <c r="G16" s="1313"/>
      <c r="H16" s="1314"/>
      <c r="I16" s="1314"/>
      <c r="J16" s="1314"/>
      <c r="K16" s="1314"/>
      <c r="L16" s="1314"/>
      <c r="M16" s="1315"/>
    </row>
    <row r="17" spans="1:13" ht="13.5" thickBot="1">
      <c r="A17" s="2851" t="s">
        <v>4507</v>
      </c>
      <c r="B17" s="294"/>
      <c r="C17" s="296"/>
      <c r="D17" s="296"/>
      <c r="E17" s="296"/>
      <c r="F17" s="296"/>
      <c r="G17" s="296"/>
      <c r="H17" s="296"/>
      <c r="I17" s="296"/>
      <c r="J17" s="296"/>
      <c r="K17" s="296"/>
      <c r="L17" s="296"/>
      <c r="M17" s="295"/>
    </row>
    <row r="18" spans="1:13" ht="13.5" thickBot="1">
      <c r="A18" s="174" t="s">
        <v>4515</v>
      </c>
      <c r="B18" s="171"/>
      <c r="C18" s="613" t="str">
        <f>IF($A$6&lt;&gt;"",$A$6,"")</f>
        <v/>
      </c>
      <c r="D18" s="613" t="str">
        <f>IF($A$7&lt;&gt;"",$A$7,"")</f>
        <v/>
      </c>
      <c r="E18" s="613" t="str">
        <f>IF($A$8&lt;&gt;"",$A$8,"")</f>
        <v/>
      </c>
      <c r="F18" s="613" t="str">
        <f>IF($A$9&lt;&gt;"",$A$9,"")</f>
        <v/>
      </c>
      <c r="G18" s="613" t="str">
        <f>IF($A$10&lt;&gt;"",$A$10,"")</f>
        <v/>
      </c>
      <c r="H18" s="613" t="str">
        <f>IF($A$11&lt;&gt;"",$A$11,"")</f>
        <v/>
      </c>
      <c r="I18" s="613" t="str">
        <f>IF($A$12&lt;&gt;"",$A$12,"")</f>
        <v/>
      </c>
      <c r="J18" s="613" t="str">
        <f>IF($A$13&lt;&gt;"",$A$13,"")</f>
        <v/>
      </c>
      <c r="K18" s="613" t="str">
        <f>IF($A$14&lt;&gt;"",$A$14,"")</f>
        <v/>
      </c>
      <c r="L18" s="613" t="str">
        <f>IF($A$15&lt;&gt;"",$A$15,"")</f>
        <v/>
      </c>
      <c r="M18" s="289" t="s">
        <v>176</v>
      </c>
    </row>
    <row r="19" spans="1:13">
      <c r="A19" s="169" t="s">
        <v>157</v>
      </c>
      <c r="B19" s="34"/>
      <c r="C19" s="611"/>
      <c r="D19" s="611"/>
      <c r="E19" s="611"/>
      <c r="F19" s="611"/>
      <c r="G19" s="611"/>
      <c r="H19" s="611"/>
      <c r="I19" s="611"/>
      <c r="J19" s="611"/>
      <c r="K19" s="611"/>
      <c r="L19" s="611"/>
      <c r="M19" s="612"/>
    </row>
    <row r="20" spans="1:13">
      <c r="A20" s="169" t="s">
        <v>158</v>
      </c>
      <c r="B20" s="35"/>
      <c r="C20" s="42"/>
      <c r="D20" s="42"/>
      <c r="E20" s="42"/>
      <c r="F20" s="42"/>
      <c r="G20" s="42"/>
      <c r="H20" s="42"/>
      <c r="I20" s="42"/>
      <c r="J20" s="42"/>
      <c r="K20" s="42"/>
      <c r="L20" s="42"/>
      <c r="M20" s="49"/>
    </row>
    <row r="21" spans="1:13" ht="15.75" customHeight="1" thickBot="1">
      <c r="A21" s="2847" t="s">
        <v>4512</v>
      </c>
      <c r="B21" s="36"/>
      <c r="C21" s="43"/>
      <c r="D21" s="43"/>
      <c r="E21" s="43"/>
      <c r="F21" s="43"/>
      <c r="G21" s="43"/>
      <c r="H21" s="43"/>
      <c r="I21" s="43"/>
      <c r="J21" s="43"/>
      <c r="K21" s="43"/>
      <c r="L21" s="43"/>
      <c r="M21" s="49"/>
    </row>
    <row r="22" spans="1:13">
      <c r="A22" s="174" t="s">
        <v>4516</v>
      </c>
      <c r="B22" s="171"/>
      <c r="C22" s="172" t="str">
        <f>IF($A$6&lt;&gt;"",$A$6,"")</f>
        <v/>
      </c>
      <c r="D22" s="172" t="str">
        <f>IF($A$7&lt;&gt;"",$A$7,"")</f>
        <v/>
      </c>
      <c r="E22" s="172" t="str">
        <f>IF($A$8&lt;&gt;"",$A$8,"")</f>
        <v/>
      </c>
      <c r="F22" s="172" t="str">
        <f>IF($A$9&lt;&gt;"",$A$9,"")</f>
        <v/>
      </c>
      <c r="G22" s="172" t="str">
        <f>IF($A$10&lt;&gt;"",$A$10,"")</f>
        <v/>
      </c>
      <c r="H22" s="172" t="str">
        <f>IF($A$11&lt;&gt;"",$A$11,"")</f>
        <v/>
      </c>
      <c r="I22" s="172" t="str">
        <f>IF($A$12&lt;&gt;"",$A$12,"")</f>
        <v/>
      </c>
      <c r="J22" s="172" t="str">
        <f>IF($A$13&lt;&gt;"",$A$13,"")</f>
        <v/>
      </c>
      <c r="K22" s="172" t="str">
        <f>IF($A$14&lt;&gt;"",$A$14,"")</f>
        <v/>
      </c>
      <c r="L22" s="172" t="str">
        <f>IF($A$15&lt;&gt;"",$A$15,"")</f>
        <v/>
      </c>
      <c r="M22" s="170" t="s">
        <v>176</v>
      </c>
    </row>
    <row r="23" spans="1:13">
      <c r="A23" s="1024" t="s">
        <v>4501</v>
      </c>
      <c r="B23" s="37"/>
      <c r="C23" s="44"/>
      <c r="D23" s="44"/>
      <c r="E23" s="44"/>
      <c r="F23" s="44"/>
      <c r="G23" s="44"/>
      <c r="H23" s="44"/>
      <c r="I23" s="44"/>
      <c r="J23" s="44"/>
      <c r="K23" s="44"/>
      <c r="L23" s="44"/>
      <c r="M23" s="49"/>
    </row>
    <row r="24" spans="1:13" s="931" customFormat="1">
      <c r="A24" s="1024" t="s">
        <v>4502</v>
      </c>
      <c r="B24" s="37"/>
      <c r="C24" s="44"/>
      <c r="D24" s="44"/>
      <c r="E24" s="44"/>
      <c r="F24" s="44"/>
      <c r="G24" s="44"/>
      <c r="H24" s="44"/>
      <c r="I24" s="44"/>
      <c r="J24" s="44"/>
      <c r="K24" s="44"/>
      <c r="L24" s="44"/>
      <c r="M24" s="49"/>
    </row>
    <row r="25" spans="1:13">
      <c r="A25" s="1024" t="s">
        <v>159</v>
      </c>
      <c r="B25" s="38"/>
      <c r="C25" s="44"/>
      <c r="D25" s="44"/>
      <c r="E25" s="44"/>
      <c r="F25" s="44"/>
      <c r="G25" s="44"/>
      <c r="H25" s="44"/>
      <c r="I25" s="44"/>
      <c r="J25" s="44"/>
      <c r="K25" s="44"/>
      <c r="L25" s="44"/>
      <c r="M25" s="49"/>
    </row>
    <row r="26" spans="1:13" s="931" customFormat="1" ht="13.5" thickBot="1">
      <c r="A26" s="2999" t="s">
        <v>5025</v>
      </c>
      <c r="B26" s="1478"/>
      <c r="C26" s="1479"/>
      <c r="D26" s="1479"/>
      <c r="E26" s="1479"/>
      <c r="F26" s="1479"/>
      <c r="G26" s="1479"/>
      <c r="H26" s="1479"/>
      <c r="I26" s="1479"/>
      <c r="J26" s="1479"/>
      <c r="K26" s="1479"/>
      <c r="L26" s="1479"/>
      <c r="M26" s="49"/>
    </row>
    <row r="27" spans="1:13">
      <c r="A27" s="173" t="s">
        <v>4517</v>
      </c>
      <c r="B27" s="171"/>
      <c r="C27" s="172" t="str">
        <f>IF($A$6&lt;&gt;"",$A$6,"")</f>
        <v/>
      </c>
      <c r="D27" s="172" t="str">
        <f>IF($A$7&lt;&gt;"",$A$7,"")</f>
        <v/>
      </c>
      <c r="E27" s="172" t="str">
        <f>IF($A$8&lt;&gt;"",$A$8,"")</f>
        <v/>
      </c>
      <c r="F27" s="172" t="str">
        <f>IF($A$9&lt;&gt;"",$A$9,"")</f>
        <v/>
      </c>
      <c r="G27" s="172" t="str">
        <f>IF($A$10&lt;&gt;"",$A$10,"")</f>
        <v/>
      </c>
      <c r="H27" s="172" t="str">
        <f>IF($A$11&lt;&gt;"",$A$11,"")</f>
        <v/>
      </c>
      <c r="I27" s="172" t="str">
        <f>IF($A$12&lt;&gt;"",$A$12,"")</f>
        <v/>
      </c>
      <c r="J27" s="172" t="str">
        <f>IF($A$13&lt;&gt;"",$A$13,"")</f>
        <v/>
      </c>
      <c r="K27" s="172" t="str">
        <f>IF($A$14&lt;&gt;"",$A$14,"")</f>
        <v/>
      </c>
      <c r="L27" s="172" t="str">
        <f>IF($A$15&lt;&gt;"",$A$15,"")</f>
        <v/>
      </c>
      <c r="M27" s="170" t="s">
        <v>176</v>
      </c>
    </row>
    <row r="28" spans="1:13">
      <c r="A28" s="1024" t="s">
        <v>160</v>
      </c>
      <c r="B28" s="40"/>
      <c r="C28" s="46"/>
      <c r="D28" s="46"/>
      <c r="E28" s="46"/>
      <c r="F28" s="46"/>
      <c r="G28" s="46"/>
      <c r="H28" s="46"/>
      <c r="I28" s="46"/>
      <c r="J28" s="46"/>
      <c r="K28" s="46"/>
      <c r="L28" s="46"/>
      <c r="M28" s="49"/>
    </row>
    <row r="29" spans="1:13">
      <c r="A29" s="1024" t="s">
        <v>155</v>
      </c>
      <c r="B29" s="39"/>
      <c r="C29" s="45"/>
      <c r="D29" s="45"/>
      <c r="E29" s="45"/>
      <c r="F29" s="45"/>
      <c r="G29" s="45"/>
      <c r="H29" s="45"/>
      <c r="I29" s="45"/>
      <c r="J29" s="45"/>
      <c r="K29" s="45"/>
      <c r="L29" s="45"/>
      <c r="M29" s="48"/>
    </row>
    <row r="30" spans="1:13" s="931" customFormat="1">
      <c r="A30" s="941" t="s">
        <v>4513</v>
      </c>
      <c r="B30" s="108"/>
      <c r="C30" s="46"/>
      <c r="D30" s="46"/>
      <c r="E30" s="46"/>
      <c r="F30" s="46"/>
      <c r="G30" s="46"/>
      <c r="H30" s="46"/>
      <c r="I30" s="46"/>
      <c r="J30" s="46"/>
      <c r="K30" s="46"/>
      <c r="L30" s="46"/>
      <c r="M30" s="49"/>
    </row>
    <row r="31" spans="1:13" s="931" customFormat="1">
      <c r="A31" s="941" t="s">
        <v>4514</v>
      </c>
      <c r="B31" s="108"/>
      <c r="C31" s="46"/>
      <c r="D31" s="46"/>
      <c r="E31" s="46"/>
      <c r="F31" s="46"/>
      <c r="G31" s="46"/>
      <c r="H31" s="46"/>
      <c r="I31" s="46"/>
      <c r="J31" s="46"/>
      <c r="K31" s="46"/>
      <c r="L31" s="46"/>
      <c r="M31" s="49"/>
    </row>
    <row r="32" spans="1:13">
      <c r="A32" s="941" t="s">
        <v>4524</v>
      </c>
      <c r="B32" s="108"/>
      <c r="C32" s="109"/>
      <c r="D32" s="109"/>
      <c r="E32" s="109"/>
      <c r="F32" s="109"/>
      <c r="G32" s="109"/>
      <c r="H32" s="109"/>
      <c r="I32" s="109"/>
      <c r="J32" s="109"/>
      <c r="K32" s="109"/>
      <c r="L32" s="109"/>
      <c r="M32" s="49"/>
    </row>
    <row r="33" spans="1:13">
      <c r="A33" s="1024" t="s">
        <v>5323</v>
      </c>
      <c r="B33" s="39"/>
      <c r="C33" s="45"/>
      <c r="D33" s="45"/>
      <c r="E33" s="45"/>
      <c r="F33" s="45"/>
      <c r="G33" s="45"/>
      <c r="H33" s="45"/>
      <c r="I33" s="45"/>
      <c r="J33" s="45"/>
      <c r="K33" s="45"/>
      <c r="L33" s="45"/>
      <c r="M33" s="49"/>
    </row>
    <row r="34" spans="1:13">
      <c r="A34" s="1024" t="s">
        <v>4525</v>
      </c>
      <c r="B34" s="39"/>
      <c r="C34" s="45"/>
      <c r="D34" s="45"/>
      <c r="E34" s="45"/>
      <c r="F34" s="45"/>
      <c r="G34" s="45"/>
      <c r="H34" s="45"/>
      <c r="I34" s="45"/>
      <c r="J34" s="45"/>
      <c r="K34" s="45"/>
      <c r="L34" s="45"/>
      <c r="M34" s="49"/>
    </row>
    <row r="35" spans="1:13">
      <c r="A35" s="1024" t="s">
        <v>4503</v>
      </c>
      <c r="B35" s="39"/>
      <c r="C35" s="2853"/>
      <c r="D35" s="2853"/>
      <c r="E35" s="2853"/>
      <c r="F35" s="2853"/>
      <c r="G35" s="2853"/>
      <c r="H35" s="2853"/>
      <c r="I35" s="2853"/>
      <c r="J35" s="2853"/>
      <c r="K35" s="2853"/>
      <c r="L35" s="2853"/>
      <c r="M35" s="2854"/>
    </row>
    <row r="36" spans="1:13" ht="25.5">
      <c r="A36" s="2848" t="s">
        <v>4510</v>
      </c>
      <c r="B36" s="291"/>
      <c r="C36" s="107"/>
      <c r="D36" s="107"/>
      <c r="E36" s="107"/>
      <c r="F36" s="107"/>
      <c r="G36" s="107"/>
      <c r="H36" s="107"/>
      <c r="I36" s="107"/>
      <c r="J36" s="107"/>
      <c r="K36" s="107"/>
      <c r="L36" s="107"/>
      <c r="M36" s="113"/>
    </row>
    <row r="37" spans="1:13">
      <c r="A37" s="2849" t="s">
        <v>1334</v>
      </c>
      <c r="B37" s="291"/>
      <c r="C37" s="107"/>
      <c r="D37" s="107"/>
      <c r="E37" s="107"/>
      <c r="F37" s="107"/>
      <c r="G37" s="107"/>
      <c r="H37" s="107"/>
      <c r="I37" s="107"/>
      <c r="J37" s="107"/>
      <c r="K37" s="107"/>
      <c r="L37" s="107"/>
      <c r="M37" s="113"/>
    </row>
    <row r="38" spans="1:13">
      <c r="A38" s="2849" t="s">
        <v>1335</v>
      </c>
      <c r="B38" s="291"/>
      <c r="C38" s="107"/>
      <c r="D38" s="107"/>
      <c r="E38" s="107"/>
      <c r="F38" s="107"/>
      <c r="G38" s="107"/>
      <c r="H38" s="107"/>
      <c r="I38" s="107"/>
      <c r="J38" s="107"/>
      <c r="K38" s="107"/>
      <c r="L38" s="107"/>
      <c r="M38" s="113"/>
    </row>
    <row r="39" spans="1:13">
      <c r="A39" s="2849" t="s">
        <v>1336</v>
      </c>
      <c r="B39" s="291"/>
      <c r="C39" s="107"/>
      <c r="D39" s="107"/>
      <c r="E39" s="107"/>
      <c r="F39" s="107"/>
      <c r="G39" s="107"/>
      <c r="H39" s="107"/>
      <c r="I39" s="107"/>
      <c r="J39" s="107"/>
      <c r="K39" s="107"/>
      <c r="L39" s="107"/>
      <c r="M39" s="113"/>
    </row>
    <row r="40" spans="1:13" s="931" customFormat="1" ht="24" customHeight="1">
      <c r="A40" s="2856" t="s">
        <v>4526</v>
      </c>
      <c r="B40" s="291"/>
      <c r="C40" s="3618" t="s">
        <v>4522</v>
      </c>
      <c r="D40" s="3619"/>
      <c r="E40" s="3619"/>
      <c r="F40" s="3619"/>
      <c r="G40" s="3619"/>
      <c r="H40" s="3619"/>
      <c r="I40" s="3619"/>
      <c r="J40" s="3619"/>
      <c r="K40" s="3619"/>
      <c r="L40" s="3620"/>
      <c r="M40" s="2855"/>
    </row>
    <row r="41" spans="1:13" s="931" customFormat="1" hidden="1">
      <c r="A41" s="2845"/>
      <c r="B41" s="41"/>
      <c r="C41" s="47"/>
      <c r="D41" s="47"/>
      <c r="E41" s="47"/>
      <c r="F41" s="47"/>
      <c r="G41" s="47"/>
      <c r="H41" s="47"/>
      <c r="I41" s="47"/>
      <c r="J41" s="47"/>
      <c r="K41" s="47"/>
      <c r="L41" s="47"/>
      <c r="M41" s="49"/>
    </row>
    <row r="42" spans="1:13" s="931" customFormat="1" ht="13.5" thickBot="1">
      <c r="A42" s="2856" t="s">
        <v>4523</v>
      </c>
      <c r="B42" s="291"/>
      <c r="C42" s="2857" t="str">
        <f>IF($B2 &lt;&gt;"",
    IF(OR($B2="JBoss", $B2="Tomcat"),"8080, 8081",
         "9080"),"")</f>
        <v/>
      </c>
      <c r="D42" s="2857" t="str">
        <f t="shared" ref="D42:L42" si="0">IF($B2 &lt;&gt;"",
    IF(OR($B2="JBoss", $B2="Tomcat"),"8080, 8081",
         "9080"),"")</f>
        <v/>
      </c>
      <c r="E42" s="2857" t="str">
        <f t="shared" si="0"/>
        <v/>
      </c>
      <c r="F42" s="2857" t="str">
        <f t="shared" si="0"/>
        <v/>
      </c>
      <c r="G42" s="2857" t="str">
        <f t="shared" si="0"/>
        <v/>
      </c>
      <c r="H42" s="2857" t="str">
        <f t="shared" si="0"/>
        <v/>
      </c>
      <c r="I42" s="2857" t="str">
        <f t="shared" si="0"/>
        <v/>
      </c>
      <c r="J42" s="2857" t="str">
        <f t="shared" si="0"/>
        <v/>
      </c>
      <c r="K42" s="2857" t="str">
        <f t="shared" si="0"/>
        <v/>
      </c>
      <c r="L42" s="2857" t="str">
        <f t="shared" si="0"/>
        <v/>
      </c>
      <c r="M42" s="2855"/>
    </row>
    <row r="43" spans="1:13">
      <c r="A43" s="287" t="s">
        <v>4518</v>
      </c>
      <c r="B43" s="171"/>
      <c r="C43" s="172" t="str">
        <f>IF($A$6&lt;&gt;"",$A$6,"")</f>
        <v/>
      </c>
      <c r="D43" s="172" t="str">
        <f>IF($A$7&lt;&gt;"",$A$7,"")</f>
        <v/>
      </c>
      <c r="E43" s="172" t="str">
        <f>IF($A$8&lt;&gt;"",$A$8,"")</f>
        <v/>
      </c>
      <c r="F43" s="172" t="str">
        <f>IF($A$9&lt;&gt;"",$A$9,"")</f>
        <v/>
      </c>
      <c r="G43" s="172" t="str">
        <f>IF($A$10&lt;&gt;"",$A$10,"")</f>
        <v/>
      </c>
      <c r="H43" s="172" t="str">
        <f>IF($A$11&lt;&gt;"",$A$11,"")</f>
        <v/>
      </c>
      <c r="I43" s="172" t="str">
        <f>IF($A$12&lt;&gt;"",$A$12,"")</f>
        <v/>
      </c>
      <c r="J43" s="172" t="str">
        <f>IF($A$13&lt;&gt;"",$A$13,"")</f>
        <v/>
      </c>
      <c r="K43" s="172" t="str">
        <f>IF($A$14&lt;&gt;"",$A$14,"")</f>
        <v/>
      </c>
      <c r="L43" s="172" t="str">
        <f>IF($A$15&lt;&gt;"",$A$15,"")</f>
        <v/>
      </c>
      <c r="M43" s="170" t="s">
        <v>176</v>
      </c>
    </row>
    <row r="44" spans="1:13">
      <c r="A44" s="2845" t="s">
        <v>4504</v>
      </c>
      <c r="B44" s="41"/>
      <c r="C44" s="47"/>
      <c r="D44" s="47"/>
      <c r="E44" s="47"/>
      <c r="F44" s="47"/>
      <c r="G44" s="47"/>
      <c r="H44" s="47"/>
      <c r="I44" s="47"/>
      <c r="J44" s="47"/>
      <c r="K44" s="47"/>
      <c r="L44" s="47"/>
      <c r="M44" s="49"/>
    </row>
    <row r="45" spans="1:13" ht="13.5" thickBot="1">
      <c r="A45" s="169" t="s">
        <v>162</v>
      </c>
      <c r="B45" s="41"/>
      <c r="C45" s="47"/>
      <c r="D45" s="47"/>
      <c r="E45" s="47"/>
      <c r="F45" s="47"/>
      <c r="G45" s="47"/>
      <c r="H45" s="47"/>
      <c r="I45" s="47"/>
      <c r="J45" s="47"/>
      <c r="K45" s="47"/>
      <c r="L45" s="47"/>
      <c r="M45" s="47"/>
    </row>
    <row r="46" spans="1:13">
      <c r="A46" s="287" t="s">
        <v>4519</v>
      </c>
      <c r="B46" s="171"/>
      <c r="C46" s="172" t="str">
        <f>IF($A$6&lt;&gt;"",$A$6,"")</f>
        <v/>
      </c>
      <c r="D46" s="172" t="str">
        <f>IF($A$7&lt;&gt;"",$A$7,"")</f>
        <v/>
      </c>
      <c r="E46" s="172" t="str">
        <f>IF($A$8&lt;&gt;"",$A$8,"")</f>
        <v/>
      </c>
      <c r="F46" s="172" t="str">
        <f>IF($A$9&lt;&gt;"",$A$9,"")</f>
        <v/>
      </c>
      <c r="G46" s="172" t="str">
        <f>IF($A$10&lt;&gt;"",$A$10,"")</f>
        <v/>
      </c>
      <c r="H46" s="172" t="str">
        <f>IF($A$11&lt;&gt;"",$A$11,"")</f>
        <v/>
      </c>
      <c r="I46" s="172" t="str">
        <f>IF($A$12&lt;&gt;"",$A$12,"")</f>
        <v/>
      </c>
      <c r="J46" s="172" t="str">
        <f>IF($A$13&lt;&gt;"",$A$13,"")</f>
        <v/>
      </c>
      <c r="K46" s="172" t="str">
        <f>IF($A$14&lt;&gt;"",$A$14,"")</f>
        <v/>
      </c>
      <c r="L46" s="172" t="str">
        <f>IF($A$15&lt;&gt;"",$A$15,"")</f>
        <v/>
      </c>
      <c r="M46" s="170" t="s">
        <v>176</v>
      </c>
    </row>
    <row r="47" spans="1:13">
      <c r="A47" s="1024" t="s">
        <v>4505</v>
      </c>
      <c r="B47" s="39"/>
      <c r="C47" s="45"/>
      <c r="D47" s="45"/>
      <c r="E47" s="45"/>
      <c r="F47" s="45"/>
      <c r="G47" s="45"/>
      <c r="H47" s="45"/>
      <c r="I47" s="45"/>
      <c r="J47" s="45"/>
      <c r="K47" s="45"/>
      <c r="L47" s="45"/>
      <c r="M47" s="49"/>
    </row>
    <row r="48" spans="1:13">
      <c r="A48" s="2858" t="s">
        <v>4511</v>
      </c>
      <c r="B48" s="39"/>
      <c r="C48" s="45"/>
      <c r="D48" s="45"/>
      <c r="E48" s="45"/>
      <c r="F48" s="45"/>
      <c r="G48" s="45"/>
      <c r="H48" s="45"/>
      <c r="I48" s="45"/>
      <c r="J48" s="45"/>
      <c r="K48" s="45"/>
      <c r="L48" s="45"/>
      <c r="M48" s="49"/>
    </row>
    <row r="49" spans="1:13">
      <c r="A49" s="287" t="s">
        <v>4520</v>
      </c>
      <c r="B49" s="287"/>
      <c r="C49" s="172" t="str">
        <f>IF($A$6&lt;&gt;"",$A$6,"")</f>
        <v/>
      </c>
      <c r="D49" s="170" t="str">
        <f>IF($A$7&lt;&gt;"",$A$7,"")</f>
        <v/>
      </c>
      <c r="E49" s="170" t="str">
        <f>IF($A$8&lt;&gt;"",$A$8,"")</f>
        <v/>
      </c>
      <c r="F49" s="170" t="str">
        <f>IF($A$9&lt;&gt;"",$A$9,"")</f>
        <v/>
      </c>
      <c r="G49" s="170" t="str">
        <f>IF($A$10&lt;&gt;"",$A$10,"")</f>
        <v/>
      </c>
      <c r="H49" s="170" t="str">
        <f>IF($A$11&lt;&gt;"",$A$11,"")</f>
        <v/>
      </c>
      <c r="I49" s="170" t="str">
        <f>IF($A$12&lt;&gt;"",$A$12,"")</f>
        <v/>
      </c>
      <c r="J49" s="170" t="str">
        <f>IF($A$13&lt;&gt;"",$A$13,"")</f>
        <v/>
      </c>
      <c r="K49" s="170" t="str">
        <f>IF($A$14&lt;&gt;"",$A$14,"")</f>
        <v/>
      </c>
      <c r="L49" s="170" t="str">
        <f>IF($A$15&lt;&gt;"",$A$15,"")</f>
        <v/>
      </c>
      <c r="M49" s="170" t="s">
        <v>176</v>
      </c>
    </row>
    <row r="50" spans="1:13">
      <c r="A50" s="2417" t="s">
        <v>4506</v>
      </c>
      <c r="B50" s="39"/>
      <c r="C50" s="45"/>
      <c r="D50" s="45"/>
      <c r="E50" s="45"/>
      <c r="F50" s="45"/>
      <c r="G50" s="45"/>
      <c r="H50" s="45"/>
      <c r="I50" s="45"/>
      <c r="J50" s="45"/>
      <c r="K50" s="45"/>
      <c r="L50" s="45"/>
      <c r="M50" s="46"/>
    </row>
    <row r="51" spans="1:13" ht="13.5" thickBot="1">
      <c r="A51" s="2846" t="s">
        <v>4521</v>
      </c>
      <c r="B51" s="292"/>
      <c r="C51" s="1507" t="str">
        <f>IF(C50="Yes","14 days","")</f>
        <v/>
      </c>
      <c r="D51" s="1507" t="str">
        <f t="shared" ref="D51:L51" si="1">IF(D50="Yes","14 days","")</f>
        <v/>
      </c>
      <c r="E51" s="1507" t="str">
        <f t="shared" si="1"/>
        <v/>
      </c>
      <c r="F51" s="1507" t="str">
        <f t="shared" si="1"/>
        <v/>
      </c>
      <c r="G51" s="1507" t="str">
        <f t="shared" si="1"/>
        <v/>
      </c>
      <c r="H51" s="1507" t="str">
        <f t="shared" si="1"/>
        <v/>
      </c>
      <c r="I51" s="1507" t="str">
        <f t="shared" si="1"/>
        <v/>
      </c>
      <c r="J51" s="1507" t="str">
        <f t="shared" si="1"/>
        <v/>
      </c>
      <c r="K51" s="1507" t="str">
        <f t="shared" si="1"/>
        <v/>
      </c>
      <c r="L51" s="1507" t="str">
        <f t="shared" si="1"/>
        <v/>
      </c>
      <c r="M51" s="293"/>
    </row>
    <row r="52" spans="1:13" ht="8.25" customHeight="1" thickBot="1">
      <c r="A52" s="288"/>
      <c r="B52" s="1313"/>
      <c r="C52" s="1313"/>
      <c r="D52" s="1313"/>
      <c r="E52" s="1313"/>
      <c r="F52" s="1313"/>
      <c r="G52" s="1313"/>
      <c r="H52" s="1313"/>
      <c r="I52" s="1313"/>
      <c r="J52" s="1313"/>
      <c r="K52" s="1313"/>
      <c r="L52" s="1313"/>
      <c r="M52" s="2850"/>
    </row>
    <row r="57" spans="1:13">
      <c r="A57" s="354"/>
    </row>
  </sheetData>
  <mergeCells count="13">
    <mergeCell ref="A3:B3"/>
    <mergeCell ref="E5:M5"/>
    <mergeCell ref="E6:M6"/>
    <mergeCell ref="E7:M7"/>
    <mergeCell ref="C40:L40"/>
    <mergeCell ref="E13:M13"/>
    <mergeCell ref="E14:M14"/>
    <mergeCell ref="E15:M15"/>
    <mergeCell ref="E8:M8"/>
    <mergeCell ref="E9:M9"/>
    <mergeCell ref="E10:M10"/>
    <mergeCell ref="E11:M11"/>
    <mergeCell ref="E12:M12"/>
  </mergeCells>
  <phoneticPr fontId="26" type="noConversion"/>
  <conditionalFormatting sqref="B1">
    <cfRule type="cellIs" dxfId="326" priority="24" operator="equal">
      <formula>"Undetermined"</formula>
    </cfRule>
  </conditionalFormatting>
  <conditionalFormatting sqref="C35:M35">
    <cfRule type="expression" dxfId="325" priority="3">
      <formula>$B2="Websphere"</formula>
    </cfRule>
  </conditionalFormatting>
  <conditionalFormatting sqref="C48:L48">
    <cfRule type="cellIs" dxfId="324" priority="2" operator="equal">
      <formula>"No"</formula>
    </cfRule>
  </conditionalFormatting>
  <conditionalFormatting sqref="C26:L26">
    <cfRule type="cellIs" dxfId="323" priority="1" operator="equal">
      <formula>"No"</formula>
    </cfRule>
  </conditionalFormatting>
  <dataValidations count="17">
    <dataValidation type="list" allowBlank="1" showInputMessage="1" showErrorMessage="1" sqref="C47:L48 C19:L19 C44:L44 C26:L26 C17:L17 C50:M50 C34:L39" xr:uid="{00000000-0002-0000-0400-000000000000}">
      <formula1>"Yes, No"</formula1>
    </dataValidation>
    <dataValidation allowBlank="1" showErrorMessage="1" sqref="B19:B21 B50:B51 B47:B48 B44:B45 B23:B26 B28:B42" xr:uid="{00000000-0002-0000-0400-000001000000}"/>
    <dataValidation type="list" allowBlank="1" showInputMessage="1" showErrorMessage="1" promptTitle="REQUIRED RESPONSE:" prompt="Has the Vendor Requirements Documentation been attached to the Additional Docs Tab?" sqref="D21:L21" xr:uid="{00000000-0002-0000-0400-000002000000}">
      <formula1>"Yes, No"</formula1>
    </dataValidation>
    <dataValidation type="list" allowBlank="1" showInputMessage="1" showErrorMessage="1" promptTitle="REQUIRED RESPONSE:" prompt="Are Third Party Vendor requirements known?" sqref="C20:L20" xr:uid="{00000000-0002-0000-0400-000003000000}">
      <formula1>"Yes, No"</formula1>
    </dataValidation>
    <dataValidation type="list" allowBlank="1" showInputMessage="1" showErrorMessage="1" sqref="B6:B15" xr:uid="{00000000-0002-0000-0400-000004000000}">
      <formula1>"Existing Server, New Server"</formula1>
    </dataValidation>
    <dataValidation type="list" allowBlank="1" showInputMessage="1" showErrorMessage="1" sqref="A6:A15" xr:uid="{00000000-0002-0000-0400-000005000000}">
      <formula1>list_appenvs</formula1>
    </dataValidation>
    <dataValidation type="list" allowBlank="1" showInputMessage="1" showErrorMessage="1" sqref="C24:L24" xr:uid="{00000000-0002-0000-0400-000006000000}">
      <formula1>list_sdkver</formula1>
    </dataValidation>
    <dataValidation type="list" allowBlank="1" showInputMessage="1" showErrorMessage="1" sqref="C25:L25" xr:uid="{00000000-0002-0000-0400-000007000000}">
      <formula1>"AIX, Linux, Windows"</formula1>
    </dataValidation>
    <dataValidation type="list" allowBlank="1" showInputMessage="1" showErrorMessage="1" sqref="C28:L28" xr:uid="{00000000-0002-0000-0400-000008000000}">
      <formula1>"HCSC Internal, Third Party"</formula1>
    </dataValidation>
    <dataValidation type="list" allowBlank="1" showInputMessage="1" showErrorMessage="1" promptTitle="REQUIRED RESPONSE:" prompt="Has the Vendor Requirements Documentation been supplied to the Middleware team?" sqref="C21" xr:uid="{00000000-0002-0000-0400-000009000000}">
      <formula1>"Yes, No"</formula1>
    </dataValidation>
    <dataValidation type="list" allowBlank="1" showInputMessage="1" showErrorMessage="1" sqref="C29:L29" xr:uid="{00000000-0002-0000-0400-00000A000000}">
      <formula1>"Intranet, Internet, Both"</formula1>
    </dataValidation>
    <dataValidation type="list" allowBlank="1" showInputMessage="1" showErrorMessage="1" sqref="B2" xr:uid="{00000000-0002-0000-0400-00000B000000}">
      <formula1>"JBoss, Tomcat, Websphere"</formula1>
    </dataValidation>
    <dataValidation type="list" allowBlank="1" showInputMessage="1" showErrorMessage="1" sqref="C30:L30" xr:uid="{00000000-0002-0000-0400-00000C000000}">
      <formula1>"DMZ - Apache, DMZ - IHS"</formula1>
    </dataValidation>
    <dataValidation type="list" allowBlank="1" showInputMessage="1" showErrorMessage="1" sqref="C31:L31" xr:uid="{00000000-0002-0000-0400-00000D000000}">
      <formula1>"Apache, IHS"</formula1>
    </dataValidation>
    <dataValidation type="list" allowBlank="1" showInputMessage="1" showErrorMessage="1" sqref="C45:L45" xr:uid="{00000000-0002-0000-0400-00000E000000}">
      <formula1>"DB2, SQL Server, Oracle, TeraData"</formula1>
    </dataValidation>
    <dataValidation type="list" allowBlank="1" showInputMessage="1" showErrorMessage="1" sqref="C23:L23" xr:uid="{00000000-0002-0000-0400-00000F000000}">
      <formula1>"Websphere 9.0.5, Websphere 9.0.x, WebSphere 8.5.5.x, JBOSS, Tomcat"</formula1>
    </dataValidation>
    <dataValidation type="list" allowBlank="1" showInputMessage="1" showErrorMessage="1" sqref="C33:L33" xr:uid="{00000000-0002-0000-0400-000010000000}">
      <formula1>"F5, IHS, Application "</formula1>
    </dataValidation>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47174" r:id="rId4">
          <objectPr defaultSize="0" autoPict="0" r:id="rId5">
            <anchor moveWithCells="1">
              <from>
                <xdr:col>105</xdr:col>
                <xdr:colOff>600075</xdr:colOff>
                <xdr:row>0</xdr:row>
                <xdr:rowOff>314325</xdr:rowOff>
              </from>
              <to>
                <xdr:col>122</xdr:col>
                <xdr:colOff>104775</xdr:colOff>
                <xdr:row>21</xdr:row>
                <xdr:rowOff>104775</xdr:rowOff>
              </to>
            </anchor>
          </objectPr>
        </oleObject>
      </mc:Choice>
      <mc:Fallback>
        <oleObject progId="Word.Document.12" shapeId="47174" r:id="rId4"/>
      </mc:Fallback>
    </mc:AlternateContent>
  </oleObjects>
  <extLst>
    <ext xmlns:x14="http://schemas.microsoft.com/office/spreadsheetml/2009/9/main" uri="{78C0D931-6437-407d-A8EE-F0AAD7539E65}">
      <x14:conditionalFormattings>
        <x14:conditionalFormatting xmlns:xm="http://schemas.microsoft.com/office/excel/2006/main">
          <x14:cfRule type="containsText" priority="25" operator="containsText" id="{10129CEF-05DA-4F3F-9941-B2B0D112D159}">
            <xm:f>NOT(ISERROR(SEARCH("REQUIRED",B1)))</xm:f>
            <xm:f>"REQUIRED"</xm:f>
            <x14:dxf>
              <font>
                <color theme="0"/>
              </font>
              <fill>
                <patternFill>
                  <bgColor rgb="FFFF0000"/>
                </patternFill>
              </fill>
            </x14:dxf>
          </x14:cfRule>
          <xm:sqref>B1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7">
    <tabColor theme="6" tint="0.39997558519241921"/>
  </sheetPr>
  <dimension ref="A1:W55"/>
  <sheetViews>
    <sheetView showGridLines="0" topLeftCell="A10" zoomScale="110" zoomScaleNormal="110" workbookViewId="0">
      <selection activeCell="J26" sqref="J26"/>
    </sheetView>
  </sheetViews>
  <sheetFormatPr defaultRowHeight="12.75"/>
  <cols>
    <col min="1" max="1" width="42.140625" customWidth="1"/>
    <col min="2" max="2" width="30.7109375" customWidth="1"/>
    <col min="3" max="3" width="19.140625" customWidth="1"/>
    <col min="4" max="4" width="19.5703125" customWidth="1"/>
    <col min="5" max="5" width="16" customWidth="1"/>
    <col min="6" max="6" width="22.85546875" bestFit="1" customWidth="1"/>
    <col min="7" max="7" width="22.85546875" customWidth="1"/>
    <col min="8" max="8" width="24.140625" customWidth="1"/>
    <col min="9" max="9" width="16.5703125" customWidth="1"/>
    <col min="10" max="10" width="15.5703125" customWidth="1"/>
    <col min="11" max="11" width="12.28515625" customWidth="1"/>
    <col min="12" max="12" width="14.7109375" customWidth="1"/>
    <col min="13" max="13" width="12.28515625" customWidth="1"/>
    <col min="14" max="14" width="6.140625" customWidth="1"/>
    <col min="15" max="15" width="16.42578125" customWidth="1"/>
    <col min="16" max="16" width="14.28515625" customWidth="1"/>
    <col min="17" max="17" width="15.28515625" customWidth="1"/>
    <col min="19" max="19" width="17.42578125" customWidth="1"/>
  </cols>
  <sheetData>
    <row r="1" spans="1:23" ht="31.5" customHeight="1" thickBot="1">
      <c r="A1" s="1044"/>
      <c r="B1" s="3282" t="str">
        <f>IF(new_db="YES","REQUIRED",IF(new_db="NO","This Tab is Not Required","Undetermined"))</f>
        <v>This Tab is Not Required</v>
      </c>
      <c r="C1" s="3627" t="str">
        <f>'Project Details'!$C$8 &amp;" - New Database Request Form"</f>
        <v>Linux Infrastructure Management - New Database Request Form</v>
      </c>
      <c r="D1" s="3628"/>
      <c r="E1" s="3628"/>
      <c r="F1" s="3628"/>
      <c r="G1" s="3628"/>
      <c r="H1" s="3628"/>
      <c r="I1" s="3628"/>
      <c r="J1" s="3628"/>
      <c r="K1" s="3628"/>
      <c r="L1" s="3628"/>
      <c r="M1" s="3629"/>
      <c r="N1" s="74"/>
      <c r="O1" s="74"/>
      <c r="P1" s="74"/>
      <c r="Q1" s="74"/>
      <c r="R1" s="74"/>
      <c r="S1" s="74"/>
      <c r="T1" s="74"/>
      <c r="U1" s="74"/>
      <c r="V1" s="54" t="s">
        <v>362</v>
      </c>
      <c r="W1" s="308" t="str">
        <f>'Project Details'!C11</f>
        <v>Choose One</v>
      </c>
    </row>
    <row r="2" spans="1:23" ht="25.5" customHeight="1" thickBot="1">
      <c r="A2" s="3630" t="s">
        <v>648</v>
      </c>
      <c r="B2" s="3631"/>
      <c r="C2" s="3631"/>
      <c r="D2" s="3631"/>
      <c r="E2" s="3631"/>
      <c r="F2" s="3631"/>
      <c r="G2" s="3631"/>
      <c r="H2" s="3631"/>
      <c r="I2" s="3631"/>
      <c r="J2" s="3631"/>
      <c r="K2" s="3631"/>
      <c r="L2" s="3631"/>
      <c r="M2" s="3632"/>
    </row>
    <row r="3" spans="1:23" ht="15.75" thickBot="1">
      <c r="A3" s="3283" t="s">
        <v>649</v>
      </c>
      <c r="B3" s="3284" t="str">
        <f>IF(Offshore=TRUE,"NO OFFSHORE","")</f>
        <v>NO OFFSHORE</v>
      </c>
      <c r="C3" s="3643" t="s">
        <v>4422</v>
      </c>
      <c r="D3" s="3644"/>
      <c r="E3" s="3644"/>
      <c r="F3" s="3281" t="str">
        <f>IF($B$1 = "REQUIRED", ITAM_number,"")</f>
        <v/>
      </c>
      <c r="G3" s="3278"/>
      <c r="H3" s="3278"/>
      <c r="I3" s="3278"/>
      <c r="J3" s="3278"/>
      <c r="K3" s="3278"/>
      <c r="L3" s="3278"/>
      <c r="M3" s="3278"/>
    </row>
    <row r="4" spans="1:23" s="31" customFormat="1" ht="13.5" thickBot="1">
      <c r="A4" s="219" t="s">
        <v>1501</v>
      </c>
      <c r="B4" s="2329" t="str">
        <f>IF($B$1 = "REQUIRED",ProjDet_AppNameCol,"")</f>
        <v/>
      </c>
      <c r="C4" s="3285"/>
      <c r="D4" s="3286"/>
      <c r="E4" s="3286"/>
      <c r="F4" s="3287"/>
      <c r="G4" s="3285"/>
      <c r="H4" s="3286"/>
      <c r="I4" s="3286"/>
      <c r="J4" s="3287"/>
      <c r="K4" s="3285"/>
      <c r="L4" s="3285"/>
      <c r="M4" s="3285"/>
    </row>
    <row r="5" spans="1:23" s="31" customFormat="1">
      <c r="A5" s="219" t="s">
        <v>1500</v>
      </c>
      <c r="B5" s="1949" t="str">
        <f>IF($B$1 = "REQUIRED",clarity_proj_name,"")</f>
        <v/>
      </c>
      <c r="C5" s="3285"/>
      <c r="D5" s="3286"/>
      <c r="E5" s="3286"/>
      <c r="F5" s="3287"/>
      <c r="G5" s="3287"/>
      <c r="H5" s="3287"/>
      <c r="I5" s="3287"/>
      <c r="J5" s="3287"/>
      <c r="K5" s="3287"/>
      <c r="L5" s="3287"/>
      <c r="M5" s="3287"/>
    </row>
    <row r="6" spans="1:23" s="31" customFormat="1" ht="114.75">
      <c r="A6" s="220" t="s">
        <v>1499</v>
      </c>
      <c r="B6" s="3147" t="str">
        <f>IF('Project Details'!C15&lt;&gt;"",lbom_description,"")</f>
        <v xml:space="preserve">Four vms to allow the Operating System Compute and Infrastructure Services team to consolidate applications and services that are currently spread out acroos multiple diverse and outdated (SUSE) server onto a centralized set of boxes.
</v>
      </c>
      <c r="C6" s="3645"/>
      <c r="D6" s="3645"/>
      <c r="E6" s="3645"/>
      <c r="F6" s="3646"/>
      <c r="G6" s="3301"/>
      <c r="H6" s="3301"/>
      <c r="I6" s="3301"/>
      <c r="J6" s="3301"/>
      <c r="K6" s="3301"/>
      <c r="L6" s="3301"/>
      <c r="M6" s="3301"/>
    </row>
    <row r="7" spans="1:23" s="31" customFormat="1">
      <c r="A7" s="220" t="s">
        <v>1498</v>
      </c>
      <c r="B7" s="1950" t="str">
        <f>IF($B$1 = "REQUIRED",'Project Details'!C12,"")</f>
        <v/>
      </c>
      <c r="C7" s="3288"/>
      <c r="D7" s="3289"/>
      <c r="E7" s="3289"/>
      <c r="F7" s="3290"/>
      <c r="G7" s="3290"/>
      <c r="H7" s="3290"/>
      <c r="I7" s="3290"/>
      <c r="J7" s="3290"/>
      <c r="K7" s="3290"/>
      <c r="L7" s="3290"/>
      <c r="M7" s="3290"/>
    </row>
    <row r="8" spans="1:23" s="31" customFormat="1">
      <c r="A8" s="220" t="s">
        <v>1497</v>
      </c>
      <c r="B8" s="1951" t="str">
        <f>IF($B$1 = "REQUIRED",budget_number,"")</f>
        <v/>
      </c>
      <c r="C8" s="3288"/>
      <c r="D8" s="3289"/>
      <c r="E8" s="3289"/>
      <c r="F8" s="3290"/>
      <c r="G8" s="3290"/>
      <c r="H8" s="3290"/>
      <c r="I8" s="3290"/>
      <c r="J8" s="3290"/>
      <c r="K8" s="3290"/>
      <c r="L8" s="3290"/>
      <c r="M8" s="3290"/>
    </row>
    <row r="9" spans="1:23" s="31" customFormat="1">
      <c r="A9" s="220" t="s">
        <v>1496</v>
      </c>
      <c r="B9" s="1951" t="str">
        <f>IF($B$1 = "REQUIRED",app_technical_contact,"")</f>
        <v/>
      </c>
      <c r="C9" s="3288"/>
      <c r="D9" s="3289"/>
      <c r="E9" s="3289"/>
      <c r="F9" s="3290"/>
      <c r="G9" s="3290"/>
      <c r="H9" s="3290"/>
      <c r="I9" s="3290"/>
      <c r="J9" s="3290"/>
      <c r="K9" s="3290"/>
      <c r="L9" s="3290"/>
      <c r="M9" s="3290"/>
    </row>
    <row r="10" spans="1:23" s="31" customFormat="1">
      <c r="A10" s="220" t="s">
        <v>1495</v>
      </c>
      <c r="B10" s="73"/>
      <c r="C10" s="3291"/>
      <c r="D10" s="3292"/>
      <c r="E10" s="3292"/>
      <c r="F10" s="3293"/>
      <c r="G10" s="3293"/>
      <c r="H10" s="3293"/>
      <c r="I10" s="3293"/>
      <c r="J10" s="3293"/>
      <c r="K10" s="3293"/>
      <c r="L10" s="3293"/>
      <c r="M10" s="3293"/>
    </row>
    <row r="11" spans="1:23" s="31" customFormat="1">
      <c r="A11" s="221" t="s">
        <v>1494</v>
      </c>
      <c r="B11" s="127"/>
      <c r="C11" s="3291"/>
      <c r="D11" s="3292"/>
      <c r="E11" s="3292"/>
      <c r="F11" s="3293"/>
      <c r="G11" s="3293"/>
      <c r="H11" s="3293"/>
      <c r="I11" s="3293"/>
      <c r="J11" s="3293"/>
      <c r="K11" s="3293"/>
      <c r="L11" s="3293"/>
      <c r="M11" s="3293"/>
    </row>
    <row r="12" spans="1:23" s="31" customFormat="1" ht="28.5" customHeight="1">
      <c r="A12" s="222" t="s">
        <v>1493</v>
      </c>
      <c r="B12" s="127"/>
      <c r="C12" s="3291"/>
      <c r="D12" s="3292"/>
      <c r="E12" s="3292"/>
      <c r="F12" s="3293"/>
      <c r="G12" s="3293"/>
      <c r="H12" s="3293"/>
      <c r="I12" s="3293"/>
      <c r="J12" s="3293"/>
      <c r="K12" s="3293"/>
      <c r="L12" s="3293"/>
      <c r="M12" s="3293"/>
    </row>
    <row r="13" spans="1:23" s="31" customFormat="1">
      <c r="A13" s="3302" t="s">
        <v>650</v>
      </c>
      <c r="B13" s="3280" t="str">
        <f>IF($B$1 = "REQUIRED",app_owner,"")</f>
        <v/>
      </c>
      <c r="C13" s="3291"/>
      <c r="D13" s="3292"/>
      <c r="E13" s="3292"/>
      <c r="F13" s="3293"/>
      <c r="G13" s="3293"/>
      <c r="H13" s="3293"/>
      <c r="I13" s="3293"/>
      <c r="J13" s="3293"/>
      <c r="K13" s="3293"/>
      <c r="L13" s="3293"/>
      <c r="M13" s="3293"/>
    </row>
    <row r="14" spans="1:23" ht="26.25" thickBot="1">
      <c r="A14" s="223" t="s">
        <v>2663</v>
      </c>
      <c r="B14" s="3303"/>
      <c r="C14" s="3304" t="s">
        <v>5565</v>
      </c>
      <c r="D14" s="3647"/>
      <c r="E14" s="3647"/>
      <c r="F14" s="3648"/>
      <c r="G14" s="3294"/>
      <c r="H14" s="3294"/>
      <c r="I14" s="3294"/>
      <c r="J14" s="3294"/>
      <c r="K14" s="3294"/>
      <c r="L14" s="3294"/>
      <c r="M14" s="3294"/>
    </row>
    <row r="15" spans="1:23" ht="13.5" thickBot="1">
      <c r="A15" s="224" t="s">
        <v>651</v>
      </c>
      <c r="B15" s="3639"/>
      <c r="C15" s="3640"/>
      <c r="D15" s="3295"/>
      <c r="E15" s="3296"/>
      <c r="F15" s="3297"/>
      <c r="G15" s="3297"/>
      <c r="H15" s="3297"/>
      <c r="I15" s="3297"/>
      <c r="J15" s="3297"/>
      <c r="K15" s="3297"/>
      <c r="L15" s="3297"/>
      <c r="M15" s="3297"/>
    </row>
    <row r="16" spans="1:23" ht="13.5" thickBot="1">
      <c r="A16" s="224" t="s">
        <v>652</v>
      </c>
      <c r="B16" s="3639"/>
      <c r="C16" s="3640"/>
      <c r="D16" s="3295"/>
      <c r="E16" s="3296"/>
      <c r="F16" s="3297"/>
      <c r="G16" s="3297"/>
      <c r="H16" s="3297"/>
      <c r="I16" s="3297"/>
      <c r="J16" s="3297"/>
      <c r="K16" s="3297"/>
      <c r="L16" s="3297"/>
      <c r="M16" s="3297"/>
    </row>
    <row r="17" spans="1:19" s="931" customFormat="1">
      <c r="A17" s="3279" t="s">
        <v>3349</v>
      </c>
      <c r="B17" s="3641"/>
      <c r="C17" s="3642"/>
      <c r="D17" s="3298"/>
      <c r="E17" s="3299"/>
      <c r="F17" s="3300"/>
      <c r="G17" s="3300"/>
      <c r="H17" s="3300"/>
      <c r="I17" s="3300"/>
      <c r="J17" s="3300"/>
      <c r="K17" s="3300"/>
      <c r="L17" s="3300"/>
      <c r="M17" s="3300"/>
    </row>
    <row r="18" spans="1:19" ht="13.5" customHeight="1">
      <c r="A18" s="3635" t="s">
        <v>653</v>
      </c>
      <c r="B18" s="3636"/>
      <c r="C18" s="3309"/>
      <c r="D18" s="3309"/>
      <c r="E18" s="3309"/>
      <c r="F18" s="3309"/>
      <c r="G18" s="3309"/>
      <c r="H18" s="3309"/>
      <c r="I18" s="3309"/>
      <c r="J18" s="3309"/>
      <c r="K18" s="3309"/>
      <c r="L18" s="3309"/>
      <c r="M18" s="3310"/>
    </row>
    <row r="19" spans="1:19" ht="33.75">
      <c r="A19" s="3308" t="s">
        <v>1489</v>
      </c>
      <c r="B19" s="3637"/>
      <c r="C19" s="3638"/>
      <c r="D19" s="3305"/>
      <c r="E19" s="3306"/>
      <c r="F19" s="3307"/>
      <c r="G19" s="3307"/>
      <c r="H19" s="3307"/>
      <c r="I19" s="3307"/>
      <c r="J19" s="3307"/>
      <c r="K19" s="3307"/>
      <c r="L19" s="3307"/>
      <c r="M19" s="3307"/>
    </row>
    <row r="20" spans="1:19" ht="57.75" customHeight="1">
      <c r="A20" s="398" t="s">
        <v>1488</v>
      </c>
      <c r="B20" s="3625"/>
      <c r="C20" s="3626"/>
      <c r="D20" s="3305"/>
      <c r="E20" s="3306"/>
      <c r="F20" s="3307"/>
      <c r="G20" s="3307"/>
      <c r="H20" s="3307"/>
      <c r="I20" s="3307"/>
      <c r="J20" s="3307"/>
      <c r="K20" s="3307"/>
      <c r="L20" s="3307"/>
      <c r="M20" s="3307"/>
    </row>
    <row r="21" spans="1:19" ht="22.5" customHeight="1">
      <c r="A21" s="398" t="s">
        <v>1490</v>
      </c>
      <c r="B21" s="3625"/>
      <c r="C21" s="3626"/>
      <c r="D21" s="3305"/>
      <c r="E21" s="3306"/>
      <c r="F21" s="3307"/>
      <c r="G21" s="3307"/>
      <c r="H21" s="3307"/>
      <c r="I21" s="3307"/>
      <c r="J21" s="3307"/>
      <c r="K21" s="3307"/>
      <c r="L21" s="3307"/>
      <c r="M21" s="3307"/>
    </row>
    <row r="22" spans="1:19" ht="22.5">
      <c r="A22" s="398" t="s">
        <v>1491</v>
      </c>
      <c r="B22" s="3625"/>
      <c r="C22" s="3626"/>
      <c r="D22" s="3305"/>
      <c r="E22" s="3306"/>
      <c r="F22" s="3307"/>
      <c r="G22" s="3307"/>
      <c r="H22" s="3307"/>
      <c r="I22" s="3307"/>
      <c r="J22" s="3307"/>
      <c r="K22" s="3307"/>
      <c r="L22" s="3307"/>
      <c r="M22" s="3307"/>
    </row>
    <row r="23" spans="1:19" ht="23.25" thickBot="1">
      <c r="A23" s="398" t="s">
        <v>1492</v>
      </c>
      <c r="B23" s="3625"/>
      <c r="C23" s="3626"/>
      <c r="D23" s="3305"/>
      <c r="E23" s="3306"/>
      <c r="F23" s="3307"/>
      <c r="G23" s="3307"/>
      <c r="H23" s="3307"/>
      <c r="I23" s="3307"/>
      <c r="J23" s="3307"/>
      <c r="K23" s="3307"/>
      <c r="L23" s="3307"/>
      <c r="M23" s="3307"/>
      <c r="P23" s="931"/>
    </row>
    <row r="24" spans="1:19" ht="13.5" thickBot="1">
      <c r="A24" s="3633" t="s">
        <v>5566</v>
      </c>
      <c r="B24" s="3634"/>
      <c r="C24" s="3634"/>
      <c r="D24" s="3311"/>
      <c r="E24" s="3311"/>
      <c r="F24" s="3311"/>
      <c r="G24" s="3311"/>
      <c r="H24" s="3311"/>
      <c r="I24" s="3311"/>
      <c r="J24" s="3311"/>
      <c r="K24" s="3311"/>
      <c r="L24" s="3312"/>
      <c r="M24" s="3312"/>
    </row>
    <row r="25" spans="1:19" s="931" customFormat="1" ht="56.25">
      <c r="A25" s="3318" t="s">
        <v>5567</v>
      </c>
      <c r="B25" s="3315" t="s">
        <v>5563</v>
      </c>
      <c r="C25" s="3315" t="s">
        <v>11</v>
      </c>
      <c r="D25" s="3316" t="s">
        <v>305</v>
      </c>
      <c r="E25" s="3317" t="s">
        <v>308</v>
      </c>
      <c r="F25" s="3313" t="s">
        <v>5562</v>
      </c>
      <c r="G25" s="3313" t="s">
        <v>5561</v>
      </c>
      <c r="H25" s="3314" t="s">
        <v>309</v>
      </c>
      <c r="I25" s="3313" t="s">
        <v>5559</v>
      </c>
      <c r="J25" s="3314" t="s">
        <v>5557</v>
      </c>
      <c r="K25" s="3313" t="s">
        <v>5564</v>
      </c>
      <c r="L25" s="3313" t="s">
        <v>5560</v>
      </c>
      <c r="M25" s="3319" t="s">
        <v>5558</v>
      </c>
    </row>
    <row r="26" spans="1:19" s="931" customFormat="1">
      <c r="A26" s="3335"/>
      <c r="B26" s="3320"/>
      <c r="C26" s="3321"/>
      <c r="D26" s="3322"/>
      <c r="E26" s="3329" t="str">
        <f t="shared" ref="E26:E55" si="0">IF($B26&lt;&gt;"",
       IF(LEFT($B26,2)="MS","1433",
             IF(LEFT($B26,2)="Or","1521",
IF(LEFT($B26,3)="DB2","500xx",""))),"")</f>
        <v/>
      </c>
      <c r="F26" s="3323"/>
      <c r="G26" s="3323"/>
      <c r="H26" s="3323"/>
      <c r="I26" s="3323"/>
      <c r="J26" s="3323"/>
      <c r="K26" s="3323"/>
      <c r="L26" s="3323"/>
      <c r="M26" s="3324"/>
      <c r="Q26" s="2424"/>
      <c r="S26" s="3337"/>
    </row>
    <row r="27" spans="1:19" s="931" customFormat="1">
      <c r="A27" s="3335"/>
      <c r="B27" s="3320"/>
      <c r="C27" s="3321"/>
      <c r="D27" s="3322"/>
      <c r="E27" s="3329" t="str">
        <f t="shared" si="0"/>
        <v/>
      </c>
      <c r="F27" s="3323"/>
      <c r="G27" s="3323"/>
      <c r="H27" s="3323"/>
      <c r="I27" s="3323"/>
      <c r="J27" s="3323"/>
      <c r="K27" s="3323"/>
      <c r="L27" s="3323"/>
      <c r="M27" s="3324"/>
      <c r="Q27" s="2424"/>
      <c r="S27" s="3337"/>
    </row>
    <row r="28" spans="1:19" s="931" customFormat="1">
      <c r="A28" s="3335"/>
      <c r="B28" s="3320"/>
      <c r="C28" s="3321"/>
      <c r="D28" s="3322"/>
      <c r="E28" s="3329" t="str">
        <f t="shared" si="0"/>
        <v/>
      </c>
      <c r="F28" s="3323"/>
      <c r="G28" s="3323"/>
      <c r="H28" s="3323"/>
      <c r="I28" s="3323"/>
      <c r="J28" s="3323"/>
      <c r="K28" s="3323"/>
      <c r="L28" s="3323"/>
      <c r="M28" s="3324"/>
      <c r="Q28" s="2424"/>
      <c r="S28" s="3337"/>
    </row>
    <row r="29" spans="1:19" s="931" customFormat="1">
      <c r="A29" s="3335"/>
      <c r="B29" s="3320"/>
      <c r="C29" s="3321"/>
      <c r="D29" s="3322"/>
      <c r="E29" s="3329" t="str">
        <f t="shared" si="0"/>
        <v/>
      </c>
      <c r="F29" s="3323"/>
      <c r="G29" s="3323"/>
      <c r="H29" s="3323"/>
      <c r="I29" s="3323"/>
      <c r="J29" s="3323"/>
      <c r="K29" s="3323"/>
      <c r="L29" s="3323"/>
      <c r="M29" s="3324"/>
      <c r="Q29" s="2424"/>
      <c r="S29" s="3337"/>
    </row>
    <row r="30" spans="1:19" s="931" customFormat="1">
      <c r="A30" s="3335"/>
      <c r="B30" s="3320"/>
      <c r="C30" s="3321"/>
      <c r="D30" s="3322"/>
      <c r="E30" s="3329" t="str">
        <f t="shared" si="0"/>
        <v/>
      </c>
      <c r="F30" s="3323"/>
      <c r="G30" s="3323"/>
      <c r="H30" s="3323"/>
      <c r="I30" s="3323"/>
      <c r="J30" s="3323"/>
      <c r="K30" s="3323"/>
      <c r="L30" s="3323"/>
      <c r="M30" s="3324"/>
      <c r="Q30" s="2424"/>
      <c r="S30" s="3337"/>
    </row>
    <row r="31" spans="1:19" s="931" customFormat="1">
      <c r="A31" s="3335"/>
      <c r="B31" s="3320"/>
      <c r="C31" s="3321"/>
      <c r="D31" s="3322"/>
      <c r="E31" s="3329" t="str">
        <f t="shared" si="0"/>
        <v/>
      </c>
      <c r="F31" s="3323"/>
      <c r="G31" s="3323"/>
      <c r="H31" s="3323"/>
      <c r="I31" s="3323"/>
      <c r="J31" s="3323"/>
      <c r="K31" s="3323"/>
      <c r="L31" s="3323"/>
      <c r="M31" s="3324"/>
      <c r="Q31" s="2424"/>
      <c r="S31" s="3337"/>
    </row>
    <row r="32" spans="1:19" s="931" customFormat="1">
      <c r="A32" s="3335"/>
      <c r="B32" s="3320"/>
      <c r="C32" s="3321"/>
      <c r="D32" s="3322"/>
      <c r="E32" s="3329" t="str">
        <f t="shared" si="0"/>
        <v/>
      </c>
      <c r="F32" s="3323"/>
      <c r="G32" s="3323"/>
      <c r="H32" s="3323"/>
      <c r="I32" s="3323"/>
      <c r="J32" s="3323"/>
      <c r="K32" s="3323"/>
      <c r="L32" s="3323"/>
      <c r="M32" s="3324"/>
      <c r="Q32" s="2424"/>
      <c r="S32" s="3337"/>
    </row>
    <row r="33" spans="1:19" s="931" customFormat="1">
      <c r="A33" s="3335"/>
      <c r="B33" s="3320"/>
      <c r="C33" s="3321"/>
      <c r="D33" s="3322"/>
      <c r="E33" s="3329" t="str">
        <f t="shared" si="0"/>
        <v/>
      </c>
      <c r="F33" s="3323"/>
      <c r="G33" s="3323"/>
      <c r="H33" s="3323"/>
      <c r="I33" s="3323"/>
      <c r="J33" s="3323"/>
      <c r="K33" s="3323"/>
      <c r="L33" s="3323"/>
      <c r="M33" s="3324"/>
      <c r="Q33" s="2424"/>
      <c r="S33" s="3337"/>
    </row>
    <row r="34" spans="1:19" s="931" customFormat="1">
      <c r="A34" s="3335"/>
      <c r="B34" s="3320"/>
      <c r="C34" s="3321"/>
      <c r="D34" s="3322"/>
      <c r="E34" s="3329" t="str">
        <f t="shared" si="0"/>
        <v/>
      </c>
      <c r="F34" s="3323"/>
      <c r="G34" s="3323"/>
      <c r="H34" s="3323"/>
      <c r="I34" s="3323"/>
      <c r="J34" s="3323"/>
      <c r="K34" s="3323"/>
      <c r="L34" s="3323"/>
      <c r="M34" s="3324"/>
      <c r="Q34" s="2424"/>
      <c r="S34" s="3337"/>
    </row>
    <row r="35" spans="1:19" s="931" customFormat="1">
      <c r="A35" s="3335"/>
      <c r="B35" s="3320"/>
      <c r="C35" s="3321"/>
      <c r="D35" s="3322"/>
      <c r="E35" s="3329" t="str">
        <f t="shared" si="0"/>
        <v/>
      </c>
      <c r="F35" s="3323"/>
      <c r="G35" s="3323"/>
      <c r="H35" s="3323"/>
      <c r="I35" s="3323"/>
      <c r="J35" s="3323"/>
      <c r="K35" s="3323"/>
      <c r="L35" s="3323"/>
      <c r="M35" s="3324"/>
      <c r="Q35" s="2424"/>
      <c r="S35" s="3337"/>
    </row>
    <row r="36" spans="1:19">
      <c r="A36" s="3335"/>
      <c r="B36" s="3320"/>
      <c r="C36" s="3321"/>
      <c r="D36" s="3322"/>
      <c r="E36" s="3329" t="str">
        <f t="shared" si="0"/>
        <v/>
      </c>
      <c r="F36" s="3323"/>
      <c r="G36" s="3323"/>
      <c r="H36" s="3323"/>
      <c r="I36" s="3323"/>
      <c r="J36" s="3323"/>
      <c r="K36" s="3323"/>
      <c r="L36" s="3323"/>
      <c r="M36" s="3324"/>
      <c r="N36" s="931"/>
      <c r="O36" s="931"/>
      <c r="P36" s="931"/>
      <c r="Q36" s="931"/>
      <c r="S36" s="3337"/>
    </row>
    <row r="37" spans="1:19">
      <c r="A37" s="3335"/>
      <c r="B37" s="3320"/>
      <c r="C37" s="3321"/>
      <c r="D37" s="3322"/>
      <c r="E37" s="3329" t="str">
        <f t="shared" si="0"/>
        <v/>
      </c>
      <c r="F37" s="3323"/>
      <c r="G37" s="3323"/>
      <c r="H37" s="3323"/>
      <c r="I37" s="3323"/>
      <c r="J37" s="3323"/>
      <c r="K37" s="3323"/>
      <c r="L37" s="3323"/>
      <c r="M37" s="3324"/>
      <c r="N37" s="931"/>
      <c r="O37" s="931"/>
      <c r="P37" s="931"/>
      <c r="Q37" s="931"/>
      <c r="S37" s="3337"/>
    </row>
    <row r="38" spans="1:19">
      <c r="A38" s="3335"/>
      <c r="B38" s="3320"/>
      <c r="C38" s="3321"/>
      <c r="D38" s="3322"/>
      <c r="E38" s="3329" t="str">
        <f t="shared" si="0"/>
        <v/>
      </c>
      <c r="F38" s="3323"/>
      <c r="G38" s="3323"/>
      <c r="H38" s="3323"/>
      <c r="I38" s="3323"/>
      <c r="J38" s="3323"/>
      <c r="K38" s="3323"/>
      <c r="L38" s="3323"/>
      <c r="M38" s="3324"/>
      <c r="N38" s="931"/>
      <c r="O38" s="931"/>
      <c r="P38" s="931"/>
      <c r="Q38" s="931"/>
      <c r="S38" s="3337"/>
    </row>
    <row r="39" spans="1:19">
      <c r="A39" s="3335"/>
      <c r="B39" s="3320"/>
      <c r="C39" s="3321"/>
      <c r="D39" s="3322"/>
      <c r="E39" s="3329" t="str">
        <f t="shared" si="0"/>
        <v/>
      </c>
      <c r="F39" s="3323"/>
      <c r="G39" s="3323"/>
      <c r="H39" s="3323"/>
      <c r="I39" s="3323"/>
      <c r="J39" s="3323"/>
      <c r="K39" s="3323"/>
      <c r="L39" s="3323"/>
      <c r="M39" s="3324"/>
      <c r="N39" s="931"/>
      <c r="O39" s="931"/>
      <c r="P39" s="931"/>
      <c r="Q39" s="931"/>
      <c r="S39" s="3337"/>
    </row>
    <row r="40" spans="1:19">
      <c r="A40" s="3335"/>
      <c r="B40" s="3320"/>
      <c r="C40" s="3321"/>
      <c r="D40" s="3322"/>
      <c r="E40" s="3329" t="str">
        <f t="shared" si="0"/>
        <v/>
      </c>
      <c r="F40" s="3323"/>
      <c r="G40" s="3323"/>
      <c r="H40" s="3323"/>
      <c r="I40" s="3323"/>
      <c r="J40" s="3323"/>
      <c r="K40" s="3323"/>
      <c r="L40" s="3323"/>
      <c r="M40" s="3324"/>
      <c r="N40" s="931"/>
      <c r="O40" s="931"/>
      <c r="P40" s="931"/>
      <c r="Q40" s="931"/>
      <c r="S40" s="3337"/>
    </row>
    <row r="41" spans="1:19">
      <c r="A41" s="3335"/>
      <c r="B41" s="3320"/>
      <c r="C41" s="3321"/>
      <c r="D41" s="3322"/>
      <c r="E41" s="3329" t="str">
        <f t="shared" si="0"/>
        <v/>
      </c>
      <c r="F41" s="3323"/>
      <c r="G41" s="3323"/>
      <c r="H41" s="3323"/>
      <c r="I41" s="3323"/>
      <c r="J41" s="3323"/>
      <c r="K41" s="3323"/>
      <c r="L41" s="3323"/>
      <c r="M41" s="3324"/>
      <c r="N41" s="931"/>
      <c r="O41" s="931"/>
      <c r="P41" s="931"/>
      <c r="Q41" s="931"/>
      <c r="S41" s="3337"/>
    </row>
    <row r="42" spans="1:19">
      <c r="A42" s="3335"/>
      <c r="B42" s="3320"/>
      <c r="C42" s="3321"/>
      <c r="D42" s="3322"/>
      <c r="E42" s="3329" t="str">
        <f t="shared" si="0"/>
        <v/>
      </c>
      <c r="F42" s="3323"/>
      <c r="G42" s="3323"/>
      <c r="H42" s="3323"/>
      <c r="I42" s="3323"/>
      <c r="J42" s="3323"/>
      <c r="K42" s="3323"/>
      <c r="L42" s="3323"/>
      <c r="M42" s="3324"/>
      <c r="N42" s="931"/>
      <c r="O42" s="931"/>
      <c r="P42" s="931"/>
      <c r="Q42" s="931"/>
      <c r="S42" s="3337"/>
    </row>
    <row r="43" spans="1:19">
      <c r="A43" s="3335"/>
      <c r="B43" s="3320"/>
      <c r="C43" s="3321"/>
      <c r="D43" s="3322"/>
      <c r="E43" s="3329" t="str">
        <f t="shared" si="0"/>
        <v/>
      </c>
      <c r="F43" s="3323"/>
      <c r="G43" s="3323"/>
      <c r="H43" s="3323"/>
      <c r="I43" s="3323"/>
      <c r="J43" s="3323"/>
      <c r="K43" s="3323"/>
      <c r="L43" s="3323"/>
      <c r="M43" s="3324"/>
      <c r="N43" s="931"/>
      <c r="O43" s="931"/>
      <c r="P43" s="931"/>
      <c r="Q43" s="931"/>
      <c r="S43" s="3337"/>
    </row>
    <row r="44" spans="1:19">
      <c r="A44" s="3335"/>
      <c r="B44" s="3320"/>
      <c r="C44" s="3321"/>
      <c r="D44" s="3322"/>
      <c r="E44" s="3329" t="str">
        <f t="shared" si="0"/>
        <v/>
      </c>
      <c r="F44" s="3323"/>
      <c r="G44" s="3323"/>
      <c r="H44" s="3323"/>
      <c r="I44" s="3323"/>
      <c r="J44" s="3323"/>
      <c r="K44" s="3323"/>
      <c r="L44" s="3323"/>
      <c r="M44" s="3324"/>
      <c r="N44" s="931"/>
      <c r="O44" s="931"/>
      <c r="P44" s="931"/>
      <c r="Q44" s="931"/>
      <c r="S44" s="3337"/>
    </row>
    <row r="45" spans="1:19">
      <c r="A45" s="3335"/>
      <c r="B45" s="3320"/>
      <c r="C45" s="3321"/>
      <c r="D45" s="3322"/>
      <c r="E45" s="3329" t="str">
        <f t="shared" si="0"/>
        <v/>
      </c>
      <c r="F45" s="3323"/>
      <c r="G45" s="3323"/>
      <c r="H45" s="3323"/>
      <c r="I45" s="3323"/>
      <c r="J45" s="3323"/>
      <c r="K45" s="3323"/>
      <c r="L45" s="3323"/>
      <c r="M45" s="3324"/>
      <c r="N45" s="931"/>
      <c r="O45" s="931"/>
      <c r="P45" s="931"/>
      <c r="Q45" s="931"/>
      <c r="S45" s="3337"/>
    </row>
    <row r="46" spans="1:19" s="931" customFormat="1">
      <c r="A46" s="3335"/>
      <c r="B46" s="3320"/>
      <c r="C46" s="3321"/>
      <c r="D46" s="3322"/>
      <c r="E46" s="3329" t="str">
        <f t="shared" si="0"/>
        <v/>
      </c>
      <c r="F46" s="3323"/>
      <c r="G46" s="3323"/>
      <c r="H46" s="3323"/>
      <c r="I46" s="3323"/>
      <c r="J46" s="3323"/>
      <c r="K46" s="3323"/>
      <c r="L46" s="3323"/>
      <c r="M46" s="3324"/>
      <c r="S46" s="3337"/>
    </row>
    <row r="47" spans="1:19" s="931" customFormat="1">
      <c r="A47" s="3335"/>
      <c r="B47" s="3320"/>
      <c r="C47" s="3321"/>
      <c r="D47" s="3322"/>
      <c r="E47" s="3329" t="str">
        <f t="shared" si="0"/>
        <v/>
      </c>
      <c r="F47" s="3323"/>
      <c r="G47" s="3323"/>
      <c r="H47" s="3323"/>
      <c r="I47" s="3323"/>
      <c r="J47" s="3323"/>
      <c r="K47" s="3323"/>
      <c r="L47" s="3323"/>
      <c r="M47" s="3324"/>
      <c r="S47" s="3337"/>
    </row>
    <row r="48" spans="1:19" s="931" customFormat="1">
      <c r="A48" s="3335"/>
      <c r="B48" s="3320"/>
      <c r="C48" s="3321"/>
      <c r="D48" s="3322"/>
      <c r="E48" s="3329" t="str">
        <f t="shared" si="0"/>
        <v/>
      </c>
      <c r="F48" s="3323"/>
      <c r="G48" s="3323"/>
      <c r="H48" s="3323"/>
      <c r="I48" s="3323"/>
      <c r="J48" s="3323"/>
      <c r="K48" s="3323"/>
      <c r="L48" s="3323"/>
      <c r="M48" s="3324"/>
      <c r="S48" s="3337"/>
    </row>
    <row r="49" spans="1:19" s="931" customFormat="1">
      <c r="A49" s="3335"/>
      <c r="B49" s="3320"/>
      <c r="C49" s="3321"/>
      <c r="D49" s="3322"/>
      <c r="E49" s="3329" t="str">
        <f t="shared" si="0"/>
        <v/>
      </c>
      <c r="F49" s="3323"/>
      <c r="G49" s="3323"/>
      <c r="H49" s="3323"/>
      <c r="I49" s="3323"/>
      <c r="J49" s="3323"/>
      <c r="K49" s="3323"/>
      <c r="L49" s="3323"/>
      <c r="M49" s="3324"/>
      <c r="S49" s="3337"/>
    </row>
    <row r="50" spans="1:19" s="931" customFormat="1">
      <c r="A50" s="3335"/>
      <c r="B50" s="3320"/>
      <c r="C50" s="3321"/>
      <c r="D50" s="3322"/>
      <c r="E50" s="3329" t="str">
        <f t="shared" si="0"/>
        <v/>
      </c>
      <c r="F50" s="3323"/>
      <c r="G50" s="3323"/>
      <c r="H50" s="3323"/>
      <c r="I50" s="3323"/>
      <c r="J50" s="3323"/>
      <c r="K50" s="3323"/>
      <c r="L50" s="3323"/>
      <c r="M50" s="3324"/>
      <c r="S50" s="3337"/>
    </row>
    <row r="51" spans="1:19" s="931" customFormat="1">
      <c r="A51" s="3335"/>
      <c r="B51" s="3320"/>
      <c r="C51" s="3321"/>
      <c r="D51" s="3322"/>
      <c r="E51" s="3329" t="str">
        <f t="shared" si="0"/>
        <v/>
      </c>
      <c r="F51" s="3323"/>
      <c r="G51" s="3323"/>
      <c r="H51" s="3323"/>
      <c r="I51" s="3323"/>
      <c r="J51" s="3323"/>
      <c r="K51" s="3323"/>
      <c r="L51" s="3323"/>
      <c r="M51" s="3324"/>
      <c r="S51" s="3337"/>
    </row>
    <row r="52" spans="1:19" s="931" customFormat="1">
      <c r="A52" s="3335"/>
      <c r="B52" s="3320"/>
      <c r="C52" s="3321"/>
      <c r="D52" s="3322"/>
      <c r="E52" s="3329" t="str">
        <f t="shared" si="0"/>
        <v/>
      </c>
      <c r="F52" s="3323"/>
      <c r="G52" s="3323"/>
      <c r="H52" s="3323"/>
      <c r="I52" s="3323"/>
      <c r="J52" s="3323"/>
      <c r="K52" s="3323"/>
      <c r="L52" s="3323"/>
      <c r="M52" s="3324"/>
      <c r="S52" s="3337"/>
    </row>
    <row r="53" spans="1:19" s="931" customFormat="1">
      <c r="A53" s="3335"/>
      <c r="B53" s="3320"/>
      <c r="C53" s="3321"/>
      <c r="D53" s="3322"/>
      <c r="E53" s="3329" t="str">
        <f t="shared" si="0"/>
        <v/>
      </c>
      <c r="F53" s="3323"/>
      <c r="G53" s="3323"/>
      <c r="H53" s="3323"/>
      <c r="I53" s="3323"/>
      <c r="J53" s="3323"/>
      <c r="K53" s="3323"/>
      <c r="L53" s="3323"/>
      <c r="M53" s="3324"/>
      <c r="S53" s="3337"/>
    </row>
    <row r="54" spans="1:19" s="931" customFormat="1">
      <c r="A54" s="3335"/>
      <c r="B54" s="3320"/>
      <c r="C54" s="3321"/>
      <c r="D54" s="3322"/>
      <c r="E54" s="3329" t="str">
        <f t="shared" si="0"/>
        <v/>
      </c>
      <c r="F54" s="3323"/>
      <c r="G54" s="3323"/>
      <c r="H54" s="3323"/>
      <c r="I54" s="3323"/>
      <c r="J54" s="3323"/>
      <c r="K54" s="3323"/>
      <c r="L54" s="3323"/>
      <c r="M54" s="3324"/>
      <c r="S54" s="3337"/>
    </row>
    <row r="55" spans="1:19" s="931" customFormat="1" ht="13.5" thickBot="1">
      <c r="A55" s="3336"/>
      <c r="B55" s="3325"/>
      <c r="C55" s="3325"/>
      <c r="D55" s="3326"/>
      <c r="E55" s="3330" t="str">
        <f t="shared" si="0"/>
        <v/>
      </c>
      <c r="F55" s="3327"/>
      <c r="G55" s="3327"/>
      <c r="H55" s="3327"/>
      <c r="I55" s="3327"/>
      <c r="J55" s="3327"/>
      <c r="K55" s="3327"/>
      <c r="L55" s="3327"/>
      <c r="M55" s="3328"/>
      <c r="S55" s="3337"/>
    </row>
  </sheetData>
  <mergeCells count="15">
    <mergeCell ref="B22:C22"/>
    <mergeCell ref="C1:M1"/>
    <mergeCell ref="A2:M2"/>
    <mergeCell ref="A24:C24"/>
    <mergeCell ref="A18:B18"/>
    <mergeCell ref="B19:C19"/>
    <mergeCell ref="B20:C20"/>
    <mergeCell ref="B21:C21"/>
    <mergeCell ref="B15:C15"/>
    <mergeCell ref="B17:C17"/>
    <mergeCell ref="B16:C16"/>
    <mergeCell ref="C3:E3"/>
    <mergeCell ref="C6:F6"/>
    <mergeCell ref="D14:F14"/>
    <mergeCell ref="B23:C23"/>
  </mergeCells>
  <phoneticPr fontId="25" type="noConversion"/>
  <conditionalFormatting sqref="A1:B1">
    <cfRule type="cellIs" dxfId="321" priority="4" stopIfTrue="1" operator="equal">
      <formula>"Undetermined"</formula>
    </cfRule>
    <cfRule type="cellIs" dxfId="320" priority="5" stopIfTrue="1" operator="equal">
      <formula>"REQUIRED"</formula>
    </cfRule>
  </conditionalFormatting>
  <conditionalFormatting sqref="C14:D14">
    <cfRule type="expression" dxfId="319" priority="3">
      <formula>$B$14&lt;&gt;"No"</formula>
    </cfRule>
  </conditionalFormatting>
  <conditionalFormatting sqref="J26:J55">
    <cfRule type="expression" dxfId="318" priority="2">
      <formula>$J26="Yes"</formula>
    </cfRule>
  </conditionalFormatting>
  <conditionalFormatting sqref="G26:G55">
    <cfRule type="expression" dxfId="317" priority="1">
      <formula>AND($B26="MS SQL Server", $G26 &gt;($F26*0.4))</formula>
    </cfRule>
  </conditionalFormatting>
  <dataValidations count="5">
    <dataValidation type="list" allowBlank="1" showInputMessage="1" showErrorMessage="1" sqref="B11" xr:uid="{00000000-0002-0000-0500-000000000000}">
      <formula1>"HCSC, 3rd Party"</formula1>
    </dataValidation>
    <dataValidation type="list" allowBlank="1" showInputMessage="1" showErrorMessage="1" sqref="B14 J26:K55" xr:uid="{00000000-0002-0000-0500-000001000000}">
      <formula1>"Yes, No"</formula1>
    </dataValidation>
    <dataValidation type="list" allowBlank="1" showInputMessage="1" showErrorMessage="1" sqref="B26:B55" xr:uid="{00000000-0002-0000-0500-000002000000}">
      <formula1>"DB2 AIX, DB2 Linux, DB2 Mainframe, DB2 Windows, Oracle, MS SQL Server"</formula1>
    </dataValidation>
    <dataValidation type="list" allowBlank="1" showInputMessage="1" showErrorMessage="1" error="DO NOT FILL IN" sqref="A26:A55" xr:uid="{00000000-0002-0000-0500-000003000000}">
      <formula1>Assetlist</formula1>
    </dataValidation>
    <dataValidation type="list" allowBlank="1" showInputMessage="1" showErrorMessage="1" sqref="C26:C55" xr:uid="{00000000-0002-0000-0500-000004000000}">
      <formula1>list_envname</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221187" r:id="rId4">
          <objectPr defaultSize="0" r:id="rId5">
            <anchor moveWithCells="1">
              <from>
                <xdr:col>107</xdr:col>
                <xdr:colOff>104775</xdr:colOff>
                <xdr:row>1</xdr:row>
                <xdr:rowOff>76200</xdr:rowOff>
              </from>
              <to>
                <xdr:col>124</xdr:col>
                <xdr:colOff>276225</xdr:colOff>
                <xdr:row>18</xdr:row>
                <xdr:rowOff>142875</xdr:rowOff>
              </to>
            </anchor>
          </objectPr>
        </oleObject>
      </mc:Choice>
      <mc:Fallback>
        <oleObject progId="Word.Document.12" shapeId="221187"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theme="6" tint="0.39997558519241921"/>
  </sheetPr>
  <dimension ref="A1:L31"/>
  <sheetViews>
    <sheetView showGridLines="0" zoomScale="98" zoomScaleNormal="98" workbookViewId="0">
      <selection activeCell="A4" sqref="A4"/>
    </sheetView>
  </sheetViews>
  <sheetFormatPr defaultRowHeight="12.75"/>
  <cols>
    <col min="1" max="1" width="28.42578125" customWidth="1"/>
    <col min="2" max="2" width="20.28515625" customWidth="1"/>
    <col min="3" max="3" width="27.42578125" customWidth="1"/>
    <col min="4" max="4" width="44.42578125" customWidth="1"/>
    <col min="5" max="5" width="27.28515625" customWidth="1"/>
    <col min="6" max="6" width="22.42578125" style="931" customWidth="1"/>
    <col min="7" max="7" width="25.7109375" customWidth="1"/>
    <col min="8" max="8" width="14.85546875" style="931" customWidth="1"/>
    <col min="9" max="9" width="26.140625" customWidth="1"/>
    <col min="10" max="10" width="26" customWidth="1"/>
  </cols>
  <sheetData>
    <row r="1" spans="1:12" ht="26.25" customHeight="1">
      <c r="A1" s="1044"/>
      <c r="B1" s="148" t="str">
        <f>IF(OPT_file="YES","REQUIRED",IF(OPT_file="NO","This Tab is Not Required","Undetermined"))</f>
        <v>This Tab is Not Required</v>
      </c>
      <c r="C1" s="3649" t="str">
        <f>'Project Details'!$C$8 &amp;" - SQL - TSM OPT File Refresh"</f>
        <v>Linux Infrastructure Management - SQL - TSM OPT File Refresh</v>
      </c>
      <c r="D1" s="3650"/>
      <c r="E1" s="3650"/>
      <c r="F1" s="3650"/>
      <c r="G1" s="3650"/>
      <c r="H1" s="3650"/>
      <c r="I1" s="3650"/>
      <c r="J1" s="354"/>
    </row>
    <row r="2" spans="1:12" s="931" customFormat="1" ht="26.25" customHeight="1" thickBot="1">
      <c r="A2" s="3651" t="s">
        <v>2983</v>
      </c>
      <c r="B2" s="3652"/>
      <c r="C2" s="3652"/>
      <c r="D2" s="3652"/>
      <c r="E2" s="3652"/>
      <c r="F2" s="3652"/>
      <c r="G2" s="3652"/>
      <c r="H2" s="3652"/>
      <c r="I2" s="3652"/>
    </row>
    <row r="3" spans="1:12" ht="25.5" customHeight="1" thickBot="1">
      <c r="A3" s="136" t="s">
        <v>2555</v>
      </c>
      <c r="B3" s="2872" t="s">
        <v>2981</v>
      </c>
      <c r="C3" s="2873" t="s">
        <v>2982</v>
      </c>
      <c r="D3" s="1075" t="s">
        <v>2980</v>
      </c>
      <c r="E3" s="1075" t="s">
        <v>2979</v>
      </c>
      <c r="F3" s="136" t="s">
        <v>2988</v>
      </c>
      <c r="G3" s="2199" t="s">
        <v>2984</v>
      </c>
      <c r="H3" s="613" t="s">
        <v>3687</v>
      </c>
      <c r="I3" s="613" t="s">
        <v>2985</v>
      </c>
      <c r="J3" s="931"/>
      <c r="K3" s="931"/>
    </row>
    <row r="4" spans="1:12">
      <c r="A4" s="1713"/>
      <c r="B4" s="2871" t="str">
        <f t="shared" ref="B4:B26" si="0">IF($A4&lt;&gt;"",VLOOKUP($A4,dist_assets,21,FALSE),"")</f>
        <v/>
      </c>
      <c r="C4" s="1533"/>
      <c r="D4" s="875"/>
      <c r="E4" s="1045"/>
      <c r="F4" s="1080"/>
      <c r="G4" s="3150" t="str">
        <f t="shared" ref="G4:G26" si="1">IF($A4&lt;&gt;"",
        IF(AND(LEFT($B4,1)="D",LEFT($C4,1)="T"),"Dev =&gt; Test",
        IF(AND(LEFT($B4,1)="D",LEFT($C4,1)="P"),"Dev =&gt; Prod",
        IF(AND(LEFT($B4,1)="T",LEFT($C4,1)="D"),"Test =&gt; Dev",
        IF(AND(LEFT($B4,1)="T",LEFT($C4,1)="P"),"Test =&gt; Prod",
        IF(AND(LEFT($B4,1)="P",LEFT($C4,1)="D"),"Prod =&gt; Dev",
        IF(AND(LEFT($B4,1)="P",LEFT($C4,1)="T"),"Prod =&gt; Test","None")))))),"")</f>
        <v/>
      </c>
      <c r="H4" s="2200" t="str">
        <f t="shared" ref="H4:H26" si="2">IF($A4&lt;&gt;"",
   IF(OR($G4="",$G4="None"),"No","Yes"),"")</f>
        <v/>
      </c>
      <c r="I4" s="3006" t="str">
        <f>IF($G4&lt;&gt;"",IF(OR($G4="Test =&gt; Prod",$G4="Dev=&gt; Prod",$G4="Prod =&gt; Dev", $G4="Prod =&gt; AltProd"),"IS Approval Required","N/A"),"")</f>
        <v/>
      </c>
      <c r="J4" s="931"/>
      <c r="K4" s="931"/>
    </row>
    <row r="5" spans="1:12">
      <c r="A5" s="1524"/>
      <c r="B5" s="1969" t="str">
        <f t="shared" si="0"/>
        <v/>
      </c>
      <c r="C5" s="1071"/>
      <c r="D5" s="1072"/>
      <c r="E5" s="1073"/>
      <c r="F5" s="1078"/>
      <c r="G5" s="3151" t="str">
        <f t="shared" si="1"/>
        <v/>
      </c>
      <c r="H5" s="2200" t="str">
        <f t="shared" si="2"/>
        <v/>
      </c>
      <c r="I5" s="3006" t="str">
        <f t="shared" ref="I5:I26" si="3">IF($G5&lt;&gt;"",IF(OR($G5="Test =&gt; Prod",$G5="Dev=&gt; Prod",$G5="Prod =&gt; Dev", $G5="Prod =&gt; AltProd"),"IS Approval Required","N/A"),"")</f>
        <v/>
      </c>
      <c r="J5" s="931"/>
      <c r="K5" s="931"/>
    </row>
    <row r="6" spans="1:12">
      <c r="A6" s="1524"/>
      <c r="B6" s="1969" t="str">
        <f t="shared" si="0"/>
        <v/>
      </c>
      <c r="C6" s="1071"/>
      <c r="D6" s="1072"/>
      <c r="E6" s="1073"/>
      <c r="F6" s="1078"/>
      <c r="G6" s="3151" t="str">
        <f t="shared" si="1"/>
        <v/>
      </c>
      <c r="H6" s="2200" t="str">
        <f t="shared" si="2"/>
        <v/>
      </c>
      <c r="I6" s="3006" t="str">
        <f t="shared" si="3"/>
        <v/>
      </c>
      <c r="J6" s="931"/>
      <c r="K6" s="931"/>
      <c r="L6" s="931"/>
    </row>
    <row r="7" spans="1:12">
      <c r="A7" s="1524"/>
      <c r="B7" s="1969" t="str">
        <f t="shared" si="0"/>
        <v/>
      </c>
      <c r="C7" s="1071"/>
      <c r="D7" s="1072"/>
      <c r="E7" s="1073"/>
      <c r="F7" s="1078"/>
      <c r="G7" s="3151" t="str">
        <f t="shared" si="1"/>
        <v/>
      </c>
      <c r="H7" s="2200" t="str">
        <f t="shared" si="2"/>
        <v/>
      </c>
      <c r="I7" s="3006" t="str">
        <f t="shared" si="3"/>
        <v/>
      </c>
      <c r="K7" s="931"/>
      <c r="L7" s="931"/>
    </row>
    <row r="8" spans="1:12">
      <c r="A8" s="1524"/>
      <c r="B8" s="1969" t="str">
        <f t="shared" si="0"/>
        <v/>
      </c>
      <c r="C8" s="1071"/>
      <c r="D8" s="1072"/>
      <c r="E8" s="1073"/>
      <c r="F8" s="1078"/>
      <c r="G8" s="3151" t="str">
        <f t="shared" si="1"/>
        <v/>
      </c>
      <c r="H8" s="2200" t="str">
        <f t="shared" si="2"/>
        <v/>
      </c>
      <c r="I8" s="3006" t="str">
        <f t="shared" si="3"/>
        <v/>
      </c>
      <c r="J8" s="354"/>
      <c r="L8" s="931"/>
    </row>
    <row r="9" spans="1:12">
      <c r="A9" s="1524"/>
      <c r="B9" s="1969" t="str">
        <f t="shared" si="0"/>
        <v/>
      </c>
      <c r="C9" s="1071"/>
      <c r="D9" s="1072"/>
      <c r="E9" s="1073"/>
      <c r="F9" s="1078"/>
      <c r="G9" s="3151" t="str">
        <f t="shared" si="1"/>
        <v/>
      </c>
      <c r="H9" s="2200" t="str">
        <f t="shared" si="2"/>
        <v/>
      </c>
      <c r="I9" s="3006" t="str">
        <f t="shared" si="3"/>
        <v/>
      </c>
      <c r="L9" s="931"/>
    </row>
    <row r="10" spans="1:12">
      <c r="A10" s="1524"/>
      <c r="B10" s="1969" t="str">
        <f t="shared" si="0"/>
        <v/>
      </c>
      <c r="C10" s="1071"/>
      <c r="D10" s="1072"/>
      <c r="E10" s="1073"/>
      <c r="F10" s="1078"/>
      <c r="G10" s="3151" t="str">
        <f t="shared" si="1"/>
        <v/>
      </c>
      <c r="H10" s="2200" t="str">
        <f t="shared" si="2"/>
        <v/>
      </c>
      <c r="I10" s="3006" t="str">
        <f t="shared" si="3"/>
        <v/>
      </c>
      <c r="L10" s="931"/>
    </row>
    <row r="11" spans="1:12">
      <c r="A11" s="1524"/>
      <c r="B11" s="1969" t="str">
        <f t="shared" si="0"/>
        <v/>
      </c>
      <c r="C11" s="1071"/>
      <c r="D11" s="1072"/>
      <c r="E11" s="1073"/>
      <c r="F11" s="1078"/>
      <c r="G11" s="3151" t="str">
        <f t="shared" si="1"/>
        <v/>
      </c>
      <c r="H11" s="2200" t="str">
        <f t="shared" si="2"/>
        <v/>
      </c>
      <c r="I11" s="3006" t="str">
        <f t="shared" si="3"/>
        <v/>
      </c>
      <c r="L11" s="931"/>
    </row>
    <row r="12" spans="1:12">
      <c r="A12" s="1524"/>
      <c r="B12" s="1969" t="str">
        <f t="shared" si="0"/>
        <v/>
      </c>
      <c r="C12" s="1071"/>
      <c r="D12" s="1072"/>
      <c r="E12" s="1073"/>
      <c r="F12" s="1078"/>
      <c r="G12" s="3151" t="str">
        <f t="shared" si="1"/>
        <v/>
      </c>
      <c r="H12" s="2200" t="str">
        <f t="shared" si="2"/>
        <v/>
      </c>
      <c r="I12" s="3006" t="str">
        <f t="shared" si="3"/>
        <v/>
      </c>
      <c r="L12" s="931"/>
    </row>
    <row r="13" spans="1:12">
      <c r="A13" s="1524"/>
      <c r="B13" s="1969" t="str">
        <f t="shared" si="0"/>
        <v/>
      </c>
      <c r="C13" s="1071"/>
      <c r="D13" s="1072"/>
      <c r="E13" s="1073"/>
      <c r="F13" s="1078"/>
      <c r="G13" s="3151" t="str">
        <f t="shared" si="1"/>
        <v/>
      </c>
      <c r="H13" s="2200" t="str">
        <f t="shared" si="2"/>
        <v/>
      </c>
      <c r="I13" s="3006" t="str">
        <f t="shared" si="3"/>
        <v/>
      </c>
      <c r="L13" s="931"/>
    </row>
    <row r="14" spans="1:12">
      <c r="A14" s="1041"/>
      <c r="B14" s="1969" t="str">
        <f t="shared" si="0"/>
        <v/>
      </c>
      <c r="C14" s="1071"/>
      <c r="D14" s="1072"/>
      <c r="E14" s="1073"/>
      <c r="F14" s="1078"/>
      <c r="G14" s="3151" t="str">
        <f t="shared" si="1"/>
        <v/>
      </c>
      <c r="H14" s="2200" t="str">
        <f t="shared" si="2"/>
        <v/>
      </c>
      <c r="I14" s="3006" t="str">
        <f t="shared" si="3"/>
        <v/>
      </c>
    </row>
    <row r="15" spans="1:12">
      <c r="A15" s="1041"/>
      <c r="B15" s="1969" t="str">
        <f t="shared" si="0"/>
        <v/>
      </c>
      <c r="C15" s="1071"/>
      <c r="D15" s="1072"/>
      <c r="E15" s="1073"/>
      <c r="F15" s="1078"/>
      <c r="G15" s="3151" t="str">
        <f t="shared" si="1"/>
        <v/>
      </c>
      <c r="H15" s="2200" t="str">
        <f t="shared" si="2"/>
        <v/>
      </c>
      <c r="I15" s="3006" t="str">
        <f t="shared" si="3"/>
        <v/>
      </c>
    </row>
    <row r="16" spans="1:12">
      <c r="A16" s="1041"/>
      <c r="B16" s="1969" t="str">
        <f t="shared" si="0"/>
        <v/>
      </c>
      <c r="C16" s="1071"/>
      <c r="D16" s="1072"/>
      <c r="E16" s="1073"/>
      <c r="F16" s="1078"/>
      <c r="G16" s="3151" t="str">
        <f t="shared" si="1"/>
        <v/>
      </c>
      <c r="H16" s="2200" t="str">
        <f t="shared" si="2"/>
        <v/>
      </c>
      <c r="I16" s="3006" t="str">
        <f t="shared" si="3"/>
        <v/>
      </c>
    </row>
    <row r="17" spans="1:9">
      <c r="A17" s="1041"/>
      <c r="B17" s="1969" t="str">
        <f t="shared" si="0"/>
        <v/>
      </c>
      <c r="C17" s="1071"/>
      <c r="D17" s="1072"/>
      <c r="E17" s="1073"/>
      <c r="F17" s="1078"/>
      <c r="G17" s="3151" t="str">
        <f t="shared" si="1"/>
        <v/>
      </c>
      <c r="H17" s="2200" t="str">
        <f t="shared" si="2"/>
        <v/>
      </c>
      <c r="I17" s="3006" t="str">
        <f t="shared" si="3"/>
        <v/>
      </c>
    </row>
    <row r="18" spans="1:9">
      <c r="A18" s="1041"/>
      <c r="B18" s="1969" t="str">
        <f t="shared" si="0"/>
        <v/>
      </c>
      <c r="C18" s="1071"/>
      <c r="D18" s="1072"/>
      <c r="E18" s="1073"/>
      <c r="F18" s="1078"/>
      <c r="G18" s="3151" t="str">
        <f t="shared" si="1"/>
        <v/>
      </c>
      <c r="H18" s="2200" t="str">
        <f t="shared" si="2"/>
        <v/>
      </c>
      <c r="I18" s="3006" t="str">
        <f t="shared" si="3"/>
        <v/>
      </c>
    </row>
    <row r="19" spans="1:9">
      <c r="A19" s="1041"/>
      <c r="B19" s="1969" t="str">
        <f t="shared" si="0"/>
        <v/>
      </c>
      <c r="C19" s="1071"/>
      <c r="D19" s="1072"/>
      <c r="E19" s="1073"/>
      <c r="F19" s="1078"/>
      <c r="G19" s="3151" t="str">
        <f t="shared" si="1"/>
        <v/>
      </c>
      <c r="H19" s="2200" t="str">
        <f t="shared" si="2"/>
        <v/>
      </c>
      <c r="I19" s="3006" t="str">
        <f t="shared" si="3"/>
        <v/>
      </c>
    </row>
    <row r="20" spans="1:9">
      <c r="A20" s="1041"/>
      <c r="B20" s="1969" t="str">
        <f t="shared" si="0"/>
        <v/>
      </c>
      <c r="C20" s="1071"/>
      <c r="D20" s="1072"/>
      <c r="E20" s="1073"/>
      <c r="F20" s="1078"/>
      <c r="G20" s="3151" t="str">
        <f t="shared" si="1"/>
        <v/>
      </c>
      <c r="H20" s="2200" t="str">
        <f t="shared" si="2"/>
        <v/>
      </c>
      <c r="I20" s="3006" t="str">
        <f t="shared" si="3"/>
        <v/>
      </c>
    </row>
    <row r="21" spans="1:9">
      <c r="A21" s="1041"/>
      <c r="B21" s="1969" t="str">
        <f t="shared" si="0"/>
        <v/>
      </c>
      <c r="C21" s="1071"/>
      <c r="D21" s="1072"/>
      <c r="E21" s="1073"/>
      <c r="F21" s="1078"/>
      <c r="G21" s="3151" t="str">
        <f t="shared" si="1"/>
        <v/>
      </c>
      <c r="H21" s="2200" t="str">
        <f t="shared" si="2"/>
        <v/>
      </c>
      <c r="I21" s="3006" t="str">
        <f t="shared" si="3"/>
        <v/>
      </c>
    </row>
    <row r="22" spans="1:9">
      <c r="A22" s="1041"/>
      <c r="B22" s="1969" t="str">
        <f t="shared" si="0"/>
        <v/>
      </c>
      <c r="C22" s="1071"/>
      <c r="D22" s="1072"/>
      <c r="E22" s="1073"/>
      <c r="F22" s="1078"/>
      <c r="G22" s="3151" t="str">
        <f t="shared" si="1"/>
        <v/>
      </c>
      <c r="H22" s="2200" t="str">
        <f t="shared" si="2"/>
        <v/>
      </c>
      <c r="I22" s="3006" t="str">
        <f t="shared" si="3"/>
        <v/>
      </c>
    </row>
    <row r="23" spans="1:9">
      <c r="A23" s="1041"/>
      <c r="B23" s="1969" t="str">
        <f t="shared" si="0"/>
        <v/>
      </c>
      <c r="C23" s="1071"/>
      <c r="D23" s="1072"/>
      <c r="E23" s="1073"/>
      <c r="F23" s="1078"/>
      <c r="G23" s="3151" t="str">
        <f t="shared" si="1"/>
        <v/>
      </c>
      <c r="H23" s="2200" t="str">
        <f t="shared" si="2"/>
        <v/>
      </c>
      <c r="I23" s="3006" t="str">
        <f t="shared" si="3"/>
        <v/>
      </c>
    </row>
    <row r="24" spans="1:9">
      <c r="A24" s="1041"/>
      <c r="B24" s="1969" t="str">
        <f t="shared" si="0"/>
        <v/>
      </c>
      <c r="C24" s="1071"/>
      <c r="D24" s="1072"/>
      <c r="E24" s="1073"/>
      <c r="F24" s="1078"/>
      <c r="G24" s="3151" t="str">
        <f t="shared" si="1"/>
        <v/>
      </c>
      <c r="H24" s="2200" t="str">
        <f t="shared" si="2"/>
        <v/>
      </c>
      <c r="I24" s="3006" t="str">
        <f t="shared" si="3"/>
        <v/>
      </c>
    </row>
    <row r="25" spans="1:9">
      <c r="A25" s="1041"/>
      <c r="B25" s="1969" t="str">
        <f t="shared" si="0"/>
        <v/>
      </c>
      <c r="C25" s="1071"/>
      <c r="D25" s="1072"/>
      <c r="E25" s="1073"/>
      <c r="F25" s="1078"/>
      <c r="G25" s="3151" t="str">
        <f t="shared" si="1"/>
        <v/>
      </c>
      <c r="H25" s="2200" t="str">
        <f t="shared" si="2"/>
        <v/>
      </c>
      <c r="I25" s="3006" t="str">
        <f t="shared" si="3"/>
        <v/>
      </c>
    </row>
    <row r="26" spans="1:9" ht="13.5" thickBot="1">
      <c r="A26" s="1040"/>
      <c r="B26" s="1970" t="str">
        <f t="shared" si="0"/>
        <v/>
      </c>
      <c r="C26" s="1069"/>
      <c r="D26" s="1070"/>
      <c r="E26" s="351"/>
      <c r="F26" s="351"/>
      <c r="G26" s="2198" t="str">
        <f t="shared" si="1"/>
        <v/>
      </c>
      <c r="H26" s="2198" t="str">
        <f t="shared" si="2"/>
        <v/>
      </c>
      <c r="I26" s="2197" t="str">
        <f t="shared" si="3"/>
        <v/>
      </c>
    </row>
    <row r="28" spans="1:9">
      <c r="A28" s="3653" t="s">
        <v>3688</v>
      </c>
      <c r="B28" s="3654"/>
      <c r="C28" s="3654"/>
      <c r="D28" s="3654"/>
      <c r="E28" s="3654"/>
      <c r="F28" s="1077"/>
    </row>
    <row r="29" spans="1:9">
      <c r="A29" s="3654"/>
      <c r="B29" s="3654"/>
      <c r="C29" s="3654"/>
      <c r="D29" s="3654"/>
      <c r="E29" s="3654"/>
      <c r="F29" s="1077"/>
    </row>
    <row r="30" spans="1:9">
      <c r="A30" s="3654"/>
      <c r="B30" s="3654"/>
      <c r="C30" s="3654"/>
      <c r="D30" s="3654"/>
      <c r="E30" s="3654"/>
      <c r="F30" s="1077"/>
    </row>
    <row r="31" spans="1:9" ht="30" customHeight="1">
      <c r="A31" s="3654"/>
      <c r="B31" s="3654"/>
      <c r="C31" s="3654"/>
      <c r="D31" s="3654"/>
      <c r="E31" s="3654"/>
      <c r="F31" s="1077"/>
    </row>
  </sheetData>
  <mergeCells count="3">
    <mergeCell ref="C1:I1"/>
    <mergeCell ref="A2:I2"/>
    <mergeCell ref="A28:E31"/>
  </mergeCells>
  <conditionalFormatting sqref="A1:B1 A2">
    <cfRule type="cellIs" dxfId="316" priority="2" stopIfTrue="1" operator="equal">
      <formula>"Undetermined"</formula>
    </cfRule>
    <cfRule type="cellIs" dxfId="315" priority="3" stopIfTrue="1" operator="equal">
      <formula>"REQUIRED"</formula>
    </cfRule>
  </conditionalFormatting>
  <conditionalFormatting sqref="I4:I26">
    <cfRule type="expression" dxfId="314" priority="1">
      <formula>$I4="IS Approval Required"</formula>
    </cfRule>
  </conditionalFormatting>
  <dataValidations count="4">
    <dataValidation type="list" allowBlank="1" showInputMessage="1" showErrorMessage="1" sqref="A4:A26" xr:uid="{00000000-0002-0000-0600-000000000000}">
      <formula1>Assetlist</formula1>
    </dataValidation>
    <dataValidation type="list" allowBlank="1" showInputMessage="1" showErrorMessage="1" sqref="F4:F26" xr:uid="{00000000-0002-0000-0600-000001000000}">
      <formula1>"Single time use (move), Periodic DB  Refresh "</formula1>
    </dataValidation>
    <dataValidation type="list" allowBlank="1" showInputMessage="1" showErrorMessage="1" sqref="H4:H26" xr:uid="{00000000-0002-0000-0600-000002000000}">
      <formula1>"Yes, No"</formula1>
    </dataValidation>
    <dataValidation type="list" allowBlank="1" showInputMessage="1" showErrorMessage="1" sqref="G4:G26" xr:uid="{00000000-0002-0000-0600-000003000000}">
      <formula1>"None,DEV =&gt; Test, Dev =&gt; Prod, Test=&gt; Dev, Test =&gt; Prod, Prod =&gt; Dev, Prod =&gt; Test, Prod =&gt;Alt Prod"</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222216" r:id="rId4">
          <objectPr defaultSize="0" r:id="rId5">
            <anchor moveWithCells="1">
              <from>
                <xdr:col>107</xdr:col>
                <xdr:colOff>0</xdr:colOff>
                <xdr:row>0</xdr:row>
                <xdr:rowOff>0</xdr:rowOff>
              </from>
              <to>
                <xdr:col>124</xdr:col>
                <xdr:colOff>171450</xdr:colOff>
                <xdr:row>17</xdr:row>
                <xdr:rowOff>95250</xdr:rowOff>
              </to>
            </anchor>
          </objectPr>
        </oleObject>
      </mc:Choice>
      <mc:Fallback>
        <oleObject progId="Word.Document.12" shapeId="222216"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theme="6" tint="0.39997558519241921"/>
  </sheetPr>
  <dimension ref="A1:L46"/>
  <sheetViews>
    <sheetView showGridLines="0" zoomScaleNormal="100" workbookViewId="0"/>
  </sheetViews>
  <sheetFormatPr defaultRowHeight="12.75"/>
  <cols>
    <col min="1" max="1" width="30.85546875" customWidth="1"/>
    <col min="2" max="2" width="25.7109375" customWidth="1"/>
    <col min="3" max="3" width="27.140625" customWidth="1"/>
    <col min="4" max="4" width="26.42578125" style="931" customWidth="1"/>
    <col min="5" max="5" width="28.7109375" customWidth="1"/>
    <col min="6" max="6" width="28.28515625" customWidth="1"/>
  </cols>
  <sheetData>
    <row r="1" spans="1:5" ht="35.25" customHeight="1" thickBot="1">
      <c r="A1" s="603"/>
      <c r="B1" s="604" t="str">
        <f>IF(IS="YES","REQUIRED",IF(IS="NO","This Tab is Not Required","Undetermined"))</f>
        <v>Undetermined</v>
      </c>
      <c r="C1" s="3691" t="str">
        <f>'[7]Project Details'!$C$8 &amp;" - EAA / Siteminder"</f>
        <v xml:space="preserve"> - EAA / Siteminder</v>
      </c>
      <c r="D1" s="3692"/>
      <c r="E1" s="3693"/>
    </row>
    <row r="2" spans="1:5" ht="16.5" thickBot="1">
      <c r="A2" s="3694" t="s">
        <v>1936</v>
      </c>
      <c r="B2" s="3695"/>
      <c r="C2" s="3695"/>
      <c r="D2" s="3695"/>
      <c r="E2" s="3696"/>
    </row>
    <row r="3" spans="1:5">
      <c r="A3" s="605" t="s">
        <v>1937</v>
      </c>
      <c r="B3" s="3697" t="str">
        <f>IF(ProjDet_AppNameCol&lt;&gt;"",ProjDet_AppNameCol,"")</f>
        <v>Linux Infrastructure Management</v>
      </c>
      <c r="C3" s="3698"/>
      <c r="D3" s="3698"/>
      <c r="E3" s="3699"/>
    </row>
    <row r="4" spans="1:5" s="931" customFormat="1">
      <c r="A4" s="949" t="s">
        <v>2731</v>
      </c>
      <c r="B4" s="951" t="str">
        <f>IF(app_shortname&lt;&gt;"",app_shortname,"")</f>
        <v/>
      </c>
      <c r="C4" s="953"/>
      <c r="D4" s="1502"/>
      <c r="E4" s="607"/>
    </row>
    <row r="5" spans="1:5">
      <c r="A5" s="811" t="s">
        <v>1938</v>
      </c>
      <c r="B5" s="951" t="str">
        <f>IF(app_id&lt;&gt;"",app_id,"")</f>
        <v>APP00000000</v>
      </c>
      <c r="C5" s="954"/>
      <c r="D5" s="1502"/>
      <c r="E5" s="607"/>
    </row>
    <row r="6" spans="1:5">
      <c r="A6" s="606" t="s">
        <v>1939</v>
      </c>
      <c r="B6" s="952" t="str">
        <f>IF(clarity&lt;&gt;"",clarity,"")</f>
        <v>P00025443</v>
      </c>
      <c r="C6" s="954"/>
      <c r="D6" s="1502"/>
      <c r="E6" s="607"/>
    </row>
    <row r="7" spans="1:5">
      <c r="A7" s="606" t="s">
        <v>1940</v>
      </c>
      <c r="B7" s="952">
        <f>IF(lbom_number&lt;&gt;"",lbom_number,"")</f>
        <v>20213598</v>
      </c>
      <c r="C7" s="955"/>
      <c r="D7" s="1502"/>
      <c r="E7" s="607"/>
    </row>
    <row r="8" spans="1:5">
      <c r="A8" s="406" t="s">
        <v>1256</v>
      </c>
      <c r="B8" s="3690" t="str">
        <f>IF(pm&lt;&gt;"",pm,"")</f>
        <v>Javier Gomez</v>
      </c>
      <c r="C8" s="3690"/>
      <c r="D8" s="954"/>
      <c r="E8" s="607"/>
    </row>
    <row r="9" spans="1:5">
      <c r="A9" s="406" t="s">
        <v>1941</v>
      </c>
      <c r="B9" s="3690" t="str">
        <f>IF(app_owner&lt;&gt;"",app_owner,"")</f>
        <v>Paul Schmidt</v>
      </c>
      <c r="C9" s="3690"/>
      <c r="D9" s="954"/>
      <c r="E9" s="607"/>
    </row>
    <row r="10" spans="1:5" ht="13.5" thickBot="1">
      <c r="A10" s="469" t="s">
        <v>1942</v>
      </c>
      <c r="B10" s="3683" t="str">
        <f>IF(app_technical_contact&lt;&gt;"",app_technical_contact,"")</f>
        <v xml:space="preserve">Paul Schmidt , Bill Mesik , Richard Davis </v>
      </c>
      <c r="C10" s="3683"/>
      <c r="D10" s="2868"/>
      <c r="E10" s="607"/>
    </row>
    <row r="11" spans="1:5" s="931" customFormat="1" ht="15.75">
      <c r="A11" s="3673" t="s">
        <v>3466</v>
      </c>
      <c r="B11" s="3674"/>
      <c r="C11" s="3674"/>
      <c r="D11" s="3675"/>
      <c r="E11" s="3676"/>
    </row>
    <row r="12" spans="1:5" s="931" customFormat="1" ht="15.75">
      <c r="A12" s="1610"/>
      <c r="B12" s="1611" t="s">
        <v>3194</v>
      </c>
      <c r="C12" s="1611" t="s">
        <v>3195</v>
      </c>
      <c r="D12" s="1612"/>
      <c r="E12" s="1613"/>
    </row>
    <row r="13" spans="1:5" s="931" customFormat="1">
      <c r="A13" s="1634" t="s">
        <v>3471</v>
      </c>
      <c r="B13" s="1553" t="s">
        <v>2401</v>
      </c>
      <c r="C13" s="1553" t="s">
        <v>1473</v>
      </c>
      <c r="D13" s="1614"/>
      <c r="E13" s="1615"/>
    </row>
    <row r="14" spans="1:5" s="931" customFormat="1" ht="13.5" thickBot="1">
      <c r="A14" s="1634" t="s">
        <v>3472</v>
      </c>
      <c r="B14" s="1600"/>
      <c r="C14" s="1588"/>
      <c r="D14" s="1614"/>
      <c r="E14" s="1615"/>
    </row>
    <row r="15" spans="1:5" s="931" customFormat="1" ht="16.5" customHeight="1" thickBot="1">
      <c r="A15" s="3667" t="s">
        <v>2730</v>
      </c>
      <c r="B15" s="3668"/>
      <c r="C15" s="3668"/>
      <c r="D15" s="3669"/>
      <c r="E15" s="3670"/>
    </row>
    <row r="16" spans="1:5" s="931" customFormat="1">
      <c r="A16" s="1616" t="s">
        <v>3298</v>
      </c>
      <c r="B16" s="1603" t="str">
        <f>IF(Siteminder="Yes",app_shortname &amp;"_agent","")</f>
        <v/>
      </c>
      <c r="C16" s="1621"/>
      <c r="D16" s="1622"/>
      <c r="E16" s="1623"/>
    </row>
    <row r="17" spans="1:12" s="931" customFormat="1">
      <c r="A17" s="1616" t="s">
        <v>3299</v>
      </c>
      <c r="B17" s="1603" t="str">
        <f>IF(Siteminder="Yes","ACO_" &amp;app_shortname,"")</f>
        <v/>
      </c>
      <c r="C17" s="290"/>
      <c r="D17" s="1614"/>
      <c r="E17" s="1615"/>
    </row>
    <row r="18" spans="1:12" s="931" customFormat="1" ht="13.5" thickBot="1">
      <c r="A18" s="1616" t="s">
        <v>3300</v>
      </c>
      <c r="B18" s="1596" t="s">
        <v>3303</v>
      </c>
      <c r="C18" s="290"/>
      <c r="D18" s="1614"/>
      <c r="E18" s="1615"/>
    </row>
    <row r="19" spans="1:12" s="931" customFormat="1" ht="15">
      <c r="A19" s="1617" t="s">
        <v>3301</v>
      </c>
      <c r="B19" s="1604" t="str">
        <f>IF(AND(Siteminder="Yes",(IHS="Yes")), app_shortname&amp;"_tai-agent","")</f>
        <v/>
      </c>
      <c r="C19" s="290"/>
      <c r="D19" s="1614"/>
      <c r="E19" s="1615"/>
      <c r="L19" s="353"/>
    </row>
    <row r="20" spans="1:12" s="931" customFormat="1" ht="15">
      <c r="A20" s="1618" t="s">
        <v>2734</v>
      </c>
      <c r="B20" s="1605" t="str">
        <f>IF(AND(Siteminder="Yes",(IHS="Yes")),app_shortname &amp;"_AG","")</f>
        <v/>
      </c>
      <c r="C20" s="290"/>
      <c r="D20" s="1614"/>
      <c r="E20" s="1615"/>
    </row>
    <row r="21" spans="1:12" s="931" customFormat="1" ht="15">
      <c r="A21" s="1619" t="s">
        <v>3302</v>
      </c>
      <c r="B21" s="1596" t="str">
        <f>IF(AND(Siteminder="Yes",(IHS="Yes")),"ACO-TAI_" &amp;app_shortname,"")</f>
        <v/>
      </c>
      <c r="C21" s="290"/>
      <c r="D21" s="1614"/>
      <c r="E21" s="1615"/>
    </row>
    <row r="22" spans="1:12" s="931" customFormat="1" ht="15.75" thickBot="1">
      <c r="A22" s="1620" t="s">
        <v>3304</v>
      </c>
      <c r="B22" s="1596" t="s">
        <v>3341</v>
      </c>
      <c r="C22" s="1624"/>
      <c r="D22" s="1625"/>
      <c r="E22" s="1626"/>
    </row>
    <row r="23" spans="1:12" s="931" customFormat="1" ht="16.5" thickBot="1">
      <c r="A23" s="3677" t="s">
        <v>3456</v>
      </c>
      <c r="B23" s="3678"/>
      <c r="C23" s="3678"/>
      <c r="D23" s="3678"/>
      <c r="E23" s="3678"/>
      <c r="F23" s="3679"/>
    </row>
    <row r="24" spans="1:12" s="931" customFormat="1" ht="13.5" thickBot="1">
      <c r="A24" s="1627" t="s">
        <v>3457</v>
      </c>
      <c r="B24" s="1628" t="s">
        <v>3462</v>
      </c>
      <c r="C24" s="1629" t="s">
        <v>2732</v>
      </c>
      <c r="D24" s="1630" t="s">
        <v>3465</v>
      </c>
      <c r="E24" s="1632" t="s">
        <v>3467</v>
      </c>
      <c r="F24" s="1632" t="s">
        <v>3468</v>
      </c>
    </row>
    <row r="25" spans="1:12" s="931" customFormat="1" ht="13.5" thickBot="1">
      <c r="A25" s="1597" t="s">
        <v>3458</v>
      </c>
      <c r="B25" s="1599" t="s">
        <v>3461</v>
      </c>
      <c r="C25" s="1607" t="s">
        <v>3463</v>
      </c>
      <c r="D25" s="1606"/>
      <c r="E25" s="1631"/>
      <c r="F25" s="50"/>
    </row>
    <row r="26" spans="1:12" s="931" customFormat="1" ht="13.5" thickBot="1">
      <c r="A26" s="1598" t="s">
        <v>3459</v>
      </c>
      <c r="B26" s="1599" t="s">
        <v>3461</v>
      </c>
      <c r="C26" s="1607" t="s">
        <v>3463</v>
      </c>
      <c r="D26" s="1606"/>
      <c r="E26" s="1595"/>
      <c r="F26" s="50"/>
    </row>
    <row r="27" spans="1:12" s="931" customFormat="1" ht="13.5" thickBot="1">
      <c r="A27" s="1500"/>
      <c r="B27" s="1599" t="s">
        <v>3460</v>
      </c>
      <c r="C27" s="1607" t="s">
        <v>3464</v>
      </c>
      <c r="D27" s="1606"/>
      <c r="E27" s="1595"/>
      <c r="F27" s="50"/>
    </row>
    <row r="28" spans="1:12" s="931" customFormat="1" ht="13.5" thickBot="1">
      <c r="A28" s="1500"/>
      <c r="B28" s="1503"/>
      <c r="C28" s="1608"/>
      <c r="D28" s="1606"/>
      <c r="E28" s="1595"/>
      <c r="F28" s="50"/>
    </row>
    <row r="29" spans="1:12" s="931" customFormat="1" ht="13.5" thickBot="1">
      <c r="A29" s="1500"/>
      <c r="B29" s="1503"/>
      <c r="C29" s="1608"/>
      <c r="D29" s="1606"/>
      <c r="E29" s="1595"/>
      <c r="F29" s="50"/>
    </row>
    <row r="30" spans="1:12" s="931" customFormat="1" ht="13.5" thickBot="1">
      <c r="A30" s="1601"/>
      <c r="B30" s="1602"/>
      <c r="C30" s="1609"/>
      <c r="D30" s="1606"/>
      <c r="E30" s="1595"/>
      <c r="F30" s="50"/>
    </row>
    <row r="31" spans="1:12" s="931" customFormat="1" ht="16.5" thickBot="1">
      <c r="A31" s="3684" t="s">
        <v>3469</v>
      </c>
      <c r="B31" s="3685"/>
      <c r="C31" s="3685"/>
      <c r="D31" s="3686"/>
      <c r="E31" s="3685"/>
      <c r="F31" s="3687"/>
    </row>
    <row r="32" spans="1:12" s="931" customFormat="1" ht="13.5" thickBot="1">
      <c r="A32" s="1633" t="s">
        <v>80</v>
      </c>
      <c r="B32" s="3688" t="s">
        <v>705</v>
      </c>
      <c r="C32" s="3688"/>
      <c r="D32" s="3688"/>
      <c r="E32" s="3688" t="s">
        <v>3470</v>
      </c>
      <c r="F32" s="3689"/>
    </row>
    <row r="33" spans="1:6" s="931" customFormat="1" ht="13.5" customHeight="1">
      <c r="A33" s="1533"/>
      <c r="B33" s="3664"/>
      <c r="C33" s="3664"/>
      <c r="D33" s="3664"/>
      <c r="E33" s="3664"/>
      <c r="F33" s="3665"/>
    </row>
    <row r="34" spans="1:6" s="931" customFormat="1" ht="13.5" customHeight="1">
      <c r="A34" s="1071"/>
      <c r="B34" s="3658"/>
      <c r="C34" s="3658"/>
      <c r="D34" s="3658"/>
      <c r="E34" s="3658"/>
      <c r="F34" s="3666"/>
    </row>
    <row r="35" spans="1:6" s="931" customFormat="1" ht="13.5" customHeight="1">
      <c r="A35" s="1071"/>
      <c r="B35" s="3658"/>
      <c r="C35" s="3658"/>
      <c r="D35" s="3658"/>
      <c r="E35" s="3658"/>
      <c r="F35" s="3666"/>
    </row>
    <row r="36" spans="1:6" s="931" customFormat="1" ht="13.5" customHeight="1">
      <c r="A36" s="1071"/>
      <c r="B36" s="3658"/>
      <c r="C36" s="3658"/>
      <c r="D36" s="3658"/>
      <c r="E36" s="3658"/>
      <c r="F36" s="3666"/>
    </row>
    <row r="37" spans="1:6" s="931" customFormat="1" ht="13.5" customHeight="1">
      <c r="A37" s="1071"/>
      <c r="B37" s="3658"/>
      <c r="C37" s="3658"/>
      <c r="D37" s="3658"/>
      <c r="E37" s="3658"/>
      <c r="F37" s="3666"/>
    </row>
    <row r="38" spans="1:6" s="931" customFormat="1" ht="13.5" customHeight="1">
      <c r="A38" s="1071"/>
      <c r="B38" s="3658"/>
      <c r="C38" s="3658"/>
      <c r="D38" s="3658"/>
      <c r="E38" s="3658"/>
      <c r="F38" s="3666"/>
    </row>
    <row r="39" spans="1:6" s="931" customFormat="1" ht="13.5" customHeight="1">
      <c r="A39" s="1071"/>
      <c r="B39" s="3658"/>
      <c r="C39" s="3658"/>
      <c r="D39" s="3658"/>
      <c r="E39" s="3658"/>
      <c r="F39" s="3666"/>
    </row>
    <row r="40" spans="1:6" s="931" customFormat="1" ht="13.5" customHeight="1">
      <c r="A40" s="1071"/>
      <c r="B40" s="3658"/>
      <c r="C40" s="3658"/>
      <c r="D40" s="3658"/>
      <c r="E40" s="3658"/>
      <c r="F40" s="3666"/>
    </row>
    <row r="41" spans="1:6" s="931" customFormat="1" ht="13.5" customHeight="1">
      <c r="A41" s="1071"/>
      <c r="B41" s="3658"/>
      <c r="C41" s="3658"/>
      <c r="D41" s="3658"/>
      <c r="E41" s="3658"/>
      <c r="F41" s="3666"/>
    </row>
    <row r="42" spans="1:6" s="931" customFormat="1" ht="13.5" customHeight="1" thickBot="1">
      <c r="A42" s="1071"/>
      <c r="B42" s="3658"/>
      <c r="C42" s="3658"/>
      <c r="D42" s="3658"/>
      <c r="E42" s="3658"/>
      <c r="F42" s="3666"/>
    </row>
    <row r="43" spans="1:6" ht="13.5" thickBot="1">
      <c r="A43" s="3680"/>
      <c r="B43" s="3681"/>
      <c r="C43" s="3681"/>
      <c r="D43" s="3681"/>
      <c r="E43" s="3681"/>
      <c r="F43" s="3682"/>
    </row>
    <row r="44" spans="1:6">
      <c r="A44" s="3671" t="s">
        <v>3455</v>
      </c>
      <c r="B44" s="3672"/>
      <c r="C44" s="3672"/>
      <c r="D44" s="3672"/>
      <c r="E44" s="3662"/>
      <c r="F44" s="3663"/>
    </row>
    <row r="45" spans="1:6" ht="52.5" customHeight="1">
      <c r="A45" s="3655"/>
      <c r="B45" s="3656"/>
      <c r="C45" s="3656"/>
      <c r="D45" s="3656"/>
      <c r="E45" s="3656"/>
      <c r="F45" s="3657"/>
    </row>
    <row r="46" spans="1:6" ht="13.5" thickBot="1">
      <c r="A46" s="3659" t="s">
        <v>1943</v>
      </c>
      <c r="B46" s="3660"/>
      <c r="C46" s="3660"/>
      <c r="D46" s="3660"/>
      <c r="E46" s="3660"/>
      <c r="F46" s="3661"/>
    </row>
  </sheetData>
  <mergeCells count="37">
    <mergeCell ref="B9:C9"/>
    <mergeCell ref="C1:E1"/>
    <mergeCell ref="A2:E2"/>
    <mergeCell ref="B3:E3"/>
    <mergeCell ref="B8:C8"/>
    <mergeCell ref="B10:C10"/>
    <mergeCell ref="A31:F31"/>
    <mergeCell ref="E32:F32"/>
    <mergeCell ref="B32:D32"/>
    <mergeCell ref="B33:D33"/>
    <mergeCell ref="B40:D40"/>
    <mergeCell ref="E40:F40"/>
    <mergeCell ref="A15:E15"/>
    <mergeCell ref="A44:D44"/>
    <mergeCell ref="A11:E11"/>
    <mergeCell ref="A23:F23"/>
    <mergeCell ref="B34:D34"/>
    <mergeCell ref="E41:F41"/>
    <mergeCell ref="B42:D42"/>
    <mergeCell ref="E42:F42"/>
    <mergeCell ref="A43:F43"/>
    <mergeCell ref="A45:F45"/>
    <mergeCell ref="B41:D41"/>
    <mergeCell ref="A46:F46"/>
    <mergeCell ref="E44:F44"/>
    <mergeCell ref="E33:F33"/>
    <mergeCell ref="E34:F34"/>
    <mergeCell ref="E35:F35"/>
    <mergeCell ref="E36:F36"/>
    <mergeCell ref="E37:F37"/>
    <mergeCell ref="E38:F38"/>
    <mergeCell ref="E39:F39"/>
    <mergeCell ref="B35:D35"/>
    <mergeCell ref="B36:D36"/>
    <mergeCell ref="B37:D37"/>
    <mergeCell ref="B38:D38"/>
    <mergeCell ref="B39:D39"/>
  </mergeCells>
  <conditionalFormatting sqref="E25:F30">
    <cfRule type="expression" dxfId="313" priority="9">
      <formula>Siteminder&lt;&gt;"Yes"</formula>
    </cfRule>
  </conditionalFormatting>
  <conditionalFormatting sqref="A32">
    <cfRule type="expression" dxfId="312" priority="8">
      <formula>Siteminder&lt;&gt;"Yes"</formula>
    </cfRule>
  </conditionalFormatting>
  <conditionalFormatting sqref="A33:A39">
    <cfRule type="expression" dxfId="311" priority="7">
      <formula>Siteminder&lt;&gt;"Yes"</formula>
    </cfRule>
  </conditionalFormatting>
  <conditionalFormatting sqref="B13:C14">
    <cfRule type="expression" dxfId="310" priority="6">
      <formula>Siteminder&lt;&gt;"Yes"</formula>
    </cfRule>
  </conditionalFormatting>
  <conditionalFormatting sqref="D25:D30">
    <cfRule type="expression" dxfId="309" priority="3">
      <formula>$C25&lt;&gt;"Custom"</formula>
    </cfRule>
  </conditionalFormatting>
  <conditionalFormatting sqref="F25:F30">
    <cfRule type="expression" dxfId="308" priority="2">
      <formula>$E25&lt;&gt;"Yes"</formula>
    </cfRule>
  </conditionalFormatting>
  <conditionalFormatting sqref="A40:A42">
    <cfRule type="expression" dxfId="307" priority="1">
      <formula>Siteminder&lt;&gt;"Yes"</formula>
    </cfRule>
  </conditionalFormatting>
  <dataValidations count="6">
    <dataValidation type="list" allowBlank="1" showInputMessage="1" showErrorMessage="1" sqref="E25:E30" xr:uid="{00000000-0002-0000-0700-000000000000}">
      <formula1>"Yes, No"</formula1>
    </dataValidation>
    <dataValidation type="list" allowBlank="1" showInputMessage="1" showErrorMessage="1" sqref="B25:B30" xr:uid="{00000000-0002-0000-0700-000001000000}">
      <formula1>"Protected, Unprotected"</formula1>
    </dataValidation>
    <dataValidation type="list" allowBlank="1" showInputMessage="1" showErrorMessage="1" sqref="C25:C30" xr:uid="{00000000-0002-0000-0700-000002000000}">
      <formula1>"Basic, AS_Common, Custom"</formula1>
    </dataValidation>
    <dataValidation type="list" allowBlank="1" showInputMessage="1" showErrorMessage="1" sqref="A33:A42" xr:uid="{00000000-0002-0000-0700-000003000000}">
      <formula1>"http://, https://"</formula1>
    </dataValidation>
    <dataValidation type="list" allowBlank="1" showInputMessage="1" showErrorMessage="1" sqref="B13:B14" xr:uid="{00000000-0002-0000-0700-000004000000}">
      <formula1>"Active Directory, eDirectory, VDS"</formula1>
    </dataValidation>
    <dataValidation type="list" allowBlank="1" showInputMessage="1" showErrorMessage="1" sqref="C13:C14" xr:uid="{00000000-0002-0000-0700-000005000000}">
      <formula1>"Active Directory, eDirectory, VDS, None"</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252986" r:id="rId4">
          <objectPr defaultSize="0" r:id="rId5">
            <anchor moveWithCells="1">
              <from>
                <xdr:col>106</xdr:col>
                <xdr:colOff>257175</xdr:colOff>
                <xdr:row>0</xdr:row>
                <xdr:rowOff>114300</xdr:rowOff>
              </from>
              <to>
                <xdr:col>123</xdr:col>
                <xdr:colOff>352425</xdr:colOff>
                <xdr:row>19</xdr:row>
                <xdr:rowOff>85725</xdr:rowOff>
              </to>
            </anchor>
          </objectPr>
        </oleObject>
      </mc:Choice>
      <mc:Fallback>
        <oleObject progId="Word.Document.12" shapeId="252986"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2" tint="-0.249977111117893"/>
  </sheetPr>
  <dimension ref="A1:E65"/>
  <sheetViews>
    <sheetView showGridLines="0" zoomScaleNormal="100" workbookViewId="0">
      <selection activeCell="B20" sqref="B20:C20"/>
    </sheetView>
  </sheetViews>
  <sheetFormatPr defaultColWidth="9.140625" defaultRowHeight="12.75"/>
  <cols>
    <col min="1" max="1" width="40.42578125" style="719" customWidth="1"/>
    <col min="2" max="2" width="18.28515625" style="719" customWidth="1"/>
    <col min="3" max="3" width="43.28515625" style="22" customWidth="1"/>
    <col min="4" max="4" width="38" style="719" customWidth="1"/>
    <col min="5" max="5" width="23" style="22" customWidth="1"/>
    <col min="6" max="16384" width="9.140625" style="22"/>
  </cols>
  <sheetData>
    <row r="1" spans="1:5" ht="33.75" customHeight="1" thickBot="1">
      <c r="A1" s="768"/>
      <c r="B1" s="769" t="str">
        <f>IF('Table of Contents'!C28="YES","REQUIRED",IF('Table of Contents'!C28="NO","This Tab is Not Required","Undetermined"))</f>
        <v>This Tab is Not Required</v>
      </c>
      <c r="C1" s="2344" t="str">
        <f>'Project Details'!$C$8:E8 &amp;" -SD &amp;D Provisioning Notes"</f>
        <v>Linux Infrastructure Management -SD &amp;D Provisioning Notes</v>
      </c>
      <c r="D1" s="2625"/>
      <c r="E1" s="2345"/>
    </row>
    <row r="2" spans="1:5" ht="27" customHeight="1">
      <c r="A2" s="770" t="s">
        <v>24</v>
      </c>
      <c r="B2" s="3708" t="s">
        <v>915</v>
      </c>
      <c r="C2" s="3709"/>
      <c r="D2" s="3716" t="s">
        <v>2398</v>
      </c>
      <c r="E2" s="3717"/>
    </row>
    <row r="3" spans="1:5">
      <c r="A3" s="1042" t="s">
        <v>667</v>
      </c>
      <c r="B3" s="3714"/>
      <c r="C3" s="3715"/>
      <c r="D3" s="3700"/>
      <c r="E3" s="3701"/>
    </row>
    <row r="4" spans="1:5">
      <c r="A4" s="1962" t="str">
        <f>IF(OR('Distributed Assets'!$AJ28&gt;2000, 'Distributed Assets'!$AK23&gt;4000000),"Additional Design work required to accommodate backup capability for the amount of storage","")</f>
        <v/>
      </c>
      <c r="B4" s="3710"/>
      <c r="C4" s="3711"/>
      <c r="D4" s="3702"/>
      <c r="E4" s="3703"/>
    </row>
    <row r="5" spans="1:5" ht="24" customHeight="1">
      <c r="A5" s="1962" t="str">
        <f>IF(COUNTIF('Distributed Assets'!$K$28:$K$102,"Blade")&gt;0,"DNS Note:  Windows Blade ilo interface requires an alias hostname.oob.domain","")</f>
        <v/>
      </c>
      <c r="B5" s="3710"/>
      <c r="C5" s="3711"/>
      <c r="D5" s="3704" t="str">
        <f>IF('BlueCoat Proxy'!$B$1="Required","Need CTask for HCSC_SecOps_PKI due to BlueCoat connections","")</f>
        <v/>
      </c>
      <c r="E5" s="3705"/>
    </row>
    <row r="6" spans="1:5">
      <c r="A6" s="2737" t="str">
        <f>IF('Project Details'!$C$46="Azure","Application Team and Cloud Team responsible for supporting this Application","")</f>
        <v/>
      </c>
      <c r="B6" s="3718"/>
      <c r="C6" s="3719"/>
      <c r="D6" s="3720" t="str">
        <f>IF('Project Details'!$C$46="Azure","Need CTask for HCL_Network to add host records to Infoblox","")</f>
        <v/>
      </c>
      <c r="E6" s="3721"/>
    </row>
    <row r="7" spans="1:5" ht="22.5" customHeight="1">
      <c r="A7" s="1074"/>
      <c r="B7" s="3712"/>
      <c r="C7" s="3713"/>
      <c r="D7" s="3706" t="str">
        <f>IF('Project Details'!C46="ITC",
     IF(COUNTIF('Distributed Assets'!$I$28:$I$102, "*DMZ")&gt;0,"Create CTask for Middleware Team to configure Proxy/IHS server",""), "")</f>
        <v/>
      </c>
      <c r="E7" s="3707"/>
    </row>
    <row r="8" spans="1:5">
      <c r="A8" s="1042"/>
      <c r="B8" s="3714"/>
      <c r="C8" s="3715"/>
      <c r="D8" s="3700"/>
      <c r="E8" s="3701"/>
    </row>
    <row r="9" spans="1:5">
      <c r="A9" s="771"/>
      <c r="B9" s="3722"/>
      <c r="C9" s="3723"/>
      <c r="D9" s="3731"/>
      <c r="E9" s="3737"/>
    </row>
    <row r="10" spans="1:5">
      <c r="A10" s="771"/>
      <c r="B10" s="3722"/>
      <c r="C10" s="3723"/>
      <c r="D10" s="3731"/>
      <c r="E10" s="3737"/>
    </row>
    <row r="11" spans="1:5">
      <c r="A11" s="771"/>
      <c r="B11" s="3722"/>
      <c r="C11" s="3723"/>
      <c r="D11" s="3731"/>
      <c r="E11" s="3737"/>
    </row>
    <row r="12" spans="1:5">
      <c r="A12" s="1042" t="s">
        <v>2624</v>
      </c>
      <c r="B12" s="3714"/>
      <c r="C12" s="3715"/>
      <c r="D12" s="3700"/>
      <c r="E12" s="3701"/>
    </row>
    <row r="13" spans="1:5" ht="60" customHeight="1">
      <c r="A13" s="1961" t="str">
        <f>IF(OR(COUNTIF(DNS!$B$5:$B$54,"cutover")&lt;&gt;0,COUNTIF(Network.Loadbalancer!$D3:$D30,"cutover")&lt;&gt;0),"There are Cutover Tasks","No Cutover Tasks")</f>
        <v>No Cutover Tasks</v>
      </c>
      <c r="B13" s="3710"/>
      <c r="C13" s="3711"/>
      <c r="D13" s="3738" t="str">
        <f>IF($A$13="There are Cutover Tasks","Please refer to the DNS Tab and/or the Network Load Balancer Tab for cutover items. The Application Team is resposnsible for creating the required Change Order (CO) when DNS names and Load Balanced VIPs need to be moved for an Application","")</f>
        <v/>
      </c>
      <c r="E13" s="3739"/>
    </row>
    <row r="14" spans="1:5" ht="56.25" customHeight="1">
      <c r="A14" s="771"/>
      <c r="B14" s="3722"/>
      <c r="C14" s="3723"/>
      <c r="D14" s="3746" t="str">
        <f>IF('Table of Contents'!C13="Yes", "This LBOM involves a database migration, the application team is required to submit their own CO in order to move the database data over to the new server(s).   The Provisioning CO only creates the database server(s) and database shells.","")</f>
        <v/>
      </c>
      <c r="E14" s="3747"/>
    </row>
    <row r="15" spans="1:5" ht="27.75" customHeight="1">
      <c r="A15" s="771"/>
      <c r="B15" s="3722"/>
      <c r="C15" s="3723"/>
      <c r="D15" s="3740"/>
      <c r="E15" s="3741"/>
    </row>
    <row r="16" spans="1:5" hidden="1">
      <c r="A16" s="1042" t="s">
        <v>3701</v>
      </c>
      <c r="B16" s="3714"/>
      <c r="C16" s="3715"/>
      <c r="D16" s="3700"/>
      <c r="E16" s="3701"/>
    </row>
    <row r="17" spans="1:5" hidden="1">
      <c r="A17" s="839" t="s">
        <v>2693</v>
      </c>
      <c r="B17" s="2347" t="e">
        <f>IF(COUNTIF('Middleware - Web'!#REF!,"Yes")&gt;0,"Yes","No")</f>
        <v>#REF!</v>
      </c>
      <c r="C17" s="2348"/>
      <c r="D17" s="3742"/>
      <c r="E17" s="3743"/>
    </row>
    <row r="18" spans="1:5">
      <c r="A18" s="2792"/>
      <c r="B18" s="3724"/>
      <c r="C18" s="3725"/>
      <c r="D18" s="3744"/>
      <c r="E18" s="3737"/>
    </row>
    <row r="19" spans="1:5">
      <c r="A19" s="1042" t="s">
        <v>36</v>
      </c>
      <c r="B19" s="3728"/>
      <c r="C19" s="3729"/>
      <c r="D19" s="3729"/>
      <c r="E19" s="3730"/>
    </row>
    <row r="20" spans="1:5" ht="29.25" customHeight="1">
      <c r="A20" s="3171"/>
      <c r="B20" s="3726" t="str">
        <f>IF('Table of Contents'!C12="Yes", "Invite Tiashia Underwood to SD &amp; D Integration Final Review - Provisioning Kickoff","")</f>
        <v/>
      </c>
      <c r="C20" s="3727"/>
      <c r="D20" s="3726" t="str">
        <f>IF('Table of Contents'!C12="Yes", "Ctask required for HCSC_TVM_Guardium","")</f>
        <v/>
      </c>
      <c r="E20" s="3745"/>
    </row>
    <row r="21" spans="1:5">
      <c r="A21" s="1042" t="s">
        <v>5574</v>
      </c>
      <c r="B21" s="3714"/>
      <c r="C21" s="3715"/>
      <c r="D21" s="3700"/>
      <c r="E21" s="3701"/>
    </row>
    <row r="22" spans="1:5" ht="51.75" customHeight="1">
      <c r="A22" s="771"/>
      <c r="B22" s="3722"/>
      <c r="C22" s="3723"/>
      <c r="D22" s="3750" t="str">
        <f>IF(COUNTIF('Distributed Assets'!X28:X102, "*"&amp;"WAS"&amp;"*")&gt;0, "Install package name, 'psmisc' which includes killall library/command in Redhat OS Build for WebSphere Application Server (check with Middleware team, ref dwauslwsapp053).  Also add reboot scripts.", "")</f>
        <v/>
      </c>
      <c r="E22" s="3751"/>
    </row>
    <row r="23" spans="1:5">
      <c r="A23" s="771"/>
      <c r="B23" s="3735"/>
      <c r="C23" s="3736"/>
      <c r="D23" s="3731"/>
      <c r="E23" s="3737"/>
    </row>
    <row r="24" spans="1:5">
      <c r="A24" s="1042" t="s">
        <v>224</v>
      </c>
      <c r="B24" s="3714"/>
      <c r="C24" s="3715"/>
      <c r="D24" s="3700"/>
      <c r="E24" s="3701"/>
    </row>
    <row r="25" spans="1:5">
      <c r="A25" s="1047" t="str">
        <f>IF('Table of Contents'!$C$13="Yes","OPT File Copy Required, See Opt File Tab","")</f>
        <v/>
      </c>
      <c r="B25" s="3710"/>
      <c r="C25" s="3711"/>
      <c r="D25" s="3702"/>
      <c r="E25" s="3703"/>
    </row>
    <row r="26" spans="1:5">
      <c r="A26" s="771"/>
      <c r="B26" s="3722"/>
      <c r="C26" s="3723"/>
      <c r="D26" s="3731"/>
      <c r="E26" s="3737"/>
    </row>
    <row r="27" spans="1:5">
      <c r="A27" s="771"/>
      <c r="B27" s="3722"/>
      <c r="C27" s="3723"/>
      <c r="D27" s="3731"/>
      <c r="E27" s="3737"/>
    </row>
    <row r="28" spans="1:5">
      <c r="A28" s="1079" t="s">
        <v>2966</v>
      </c>
      <c r="B28" s="3714"/>
      <c r="C28" s="3715"/>
      <c r="D28" s="3700"/>
      <c r="E28" s="3701"/>
    </row>
    <row r="29" spans="1:5">
      <c r="A29" s="1046" t="str">
        <f>IF(COUNTIF('SQL OPT File Refresh'!$G$4:$G$26,"Prod -&gt; Test") &gt; 0,"Port 1500 required between Source and Destination SQL Servers for opt file","")</f>
        <v/>
      </c>
      <c r="B29" s="3733" t="str">
        <f>IF($A$29&lt;&gt;"",IF(COUNTIF('SQL OPT File Refresh'!$F$4:$F$26,"Single time use (move)")&gt;0,"A second WFT is required to removed single time use FW Rules from opt file tab",""),"")</f>
        <v/>
      </c>
      <c r="C29" s="3734"/>
      <c r="D29" s="3702"/>
      <c r="E29" s="3703"/>
    </row>
    <row r="30" spans="1:5">
      <c r="A30" s="771"/>
      <c r="B30" s="3731"/>
      <c r="C30" s="3732"/>
      <c r="D30" s="3731"/>
      <c r="E30" s="3737"/>
    </row>
    <row r="31" spans="1:5">
      <c r="A31" s="771"/>
      <c r="B31" s="3722"/>
      <c r="C31" s="3723"/>
      <c r="D31" s="3731"/>
      <c r="E31" s="3737"/>
    </row>
    <row r="32" spans="1:5">
      <c r="A32" s="1042" t="s">
        <v>1259</v>
      </c>
      <c r="B32" s="3714"/>
      <c r="C32" s="3715"/>
      <c r="D32" s="3700"/>
      <c r="E32" s="3701"/>
    </row>
    <row r="33" spans="1:5" ht="29.25" customHeight="1">
      <c r="A33" s="771"/>
      <c r="B33" s="3722"/>
      <c r="C33" s="3723"/>
      <c r="D33" s="3748" t="str">
        <f>IF(AND(dr_critical="Yes",'Table of Contents'!C38="Yes"), "Add CTask for the SRM setup only - asssign to VMware Engineer &amp; Verification Task for Gina Barnes","")</f>
        <v/>
      </c>
      <c r="E33" s="3749"/>
    </row>
    <row r="34" spans="1:5">
      <c r="A34" s="771"/>
      <c r="B34" s="3722"/>
      <c r="C34" s="3723"/>
      <c r="D34" s="3731"/>
      <c r="E34" s="3737"/>
    </row>
    <row r="35" spans="1:5">
      <c r="A35" s="771"/>
      <c r="B35" s="3722"/>
      <c r="C35" s="3723"/>
      <c r="D35" s="3731"/>
      <c r="E35" s="3737"/>
    </row>
    <row r="36" spans="1:5">
      <c r="A36" s="2349" t="s">
        <v>3832</v>
      </c>
      <c r="B36" s="2350"/>
      <c r="C36" s="2351"/>
      <c r="D36" s="2350"/>
      <c r="E36" s="2352"/>
    </row>
    <row r="37" spans="1:5">
      <c r="A37" s="2357" t="s">
        <v>428</v>
      </c>
      <c r="B37" s="2358" t="s">
        <v>3833</v>
      </c>
      <c r="C37" s="2358" t="s">
        <v>3835</v>
      </c>
      <c r="D37" s="2358" t="s">
        <v>3834</v>
      </c>
      <c r="E37" s="2359" t="s">
        <v>480</v>
      </c>
    </row>
    <row r="38" spans="1:5">
      <c r="A38" s="2353" t="str">
        <f>IF($B38&lt;&gt;"",
VLOOKUP($B38,IP!$A$4:$N$153,11,FALSE),
"")</f>
        <v/>
      </c>
      <c r="B38" s="2342"/>
      <c r="C38" s="2343"/>
      <c r="D38" s="2342"/>
      <c r="E38" s="2354"/>
    </row>
    <row r="39" spans="1:5">
      <c r="A39" s="2353" t="str">
        <f>IF($B39&lt;&gt;"",
VLOOKUP($B39,IP!$A$4:$N$153,11,FALSE),
"")</f>
        <v/>
      </c>
      <c r="B39" s="2342"/>
      <c r="C39" s="2343"/>
      <c r="D39" s="2346"/>
      <c r="E39" s="2354"/>
    </row>
    <row r="40" spans="1:5">
      <c r="A40" s="2353" t="str">
        <f>IF($B40&lt;&gt;"",
VLOOKUP($B40,IP!$A$4:$N$153,11,FALSE),
"")</f>
        <v/>
      </c>
      <c r="B40" s="2342"/>
      <c r="C40" s="2343"/>
      <c r="D40" s="2346"/>
      <c r="E40" s="2354"/>
    </row>
    <row r="41" spans="1:5">
      <c r="A41" s="2353" t="str">
        <f>IF($B41&lt;&gt;"",
VLOOKUP($B41,IP!$A$4:$N$153,11,FALSE),
"")</f>
        <v/>
      </c>
      <c r="B41" s="2342"/>
      <c r="C41" s="2343"/>
      <c r="D41" s="2346"/>
      <c r="E41" s="2354"/>
    </row>
    <row r="42" spans="1:5">
      <c r="A42" s="2353" t="str">
        <f>IF($B42&lt;&gt;"",
VLOOKUP($B42,IP!$A$4:$N$153,11,FALSE),
"")</f>
        <v/>
      </c>
      <c r="B42" s="2342"/>
      <c r="C42" s="2343"/>
      <c r="D42" s="2346"/>
      <c r="E42" s="2354"/>
    </row>
    <row r="43" spans="1:5">
      <c r="A43" s="2353" t="str">
        <f>IF($B43&lt;&gt;"",
VLOOKUP($B43,IP!$A$4:$N$153,11,FALSE),
"")</f>
        <v/>
      </c>
      <c r="B43" s="2342"/>
      <c r="C43" s="2343"/>
      <c r="D43" s="2346"/>
      <c r="E43" s="2354"/>
    </row>
    <row r="44" spans="1:5">
      <c r="A44" s="2353" t="str">
        <f>IF($B44&lt;&gt;"",
VLOOKUP($B44,IP!$A$4:$N$153,11,FALSE),
"")</f>
        <v/>
      </c>
      <c r="B44" s="2342"/>
      <c r="C44" s="2343"/>
      <c r="D44" s="2346"/>
      <c r="E44" s="2354"/>
    </row>
    <row r="45" spans="1:5">
      <c r="A45" s="2353" t="str">
        <f>IF($B45&lt;&gt;"",
VLOOKUP($B45,IP!$A$4:$N$153,11,FALSE),
"")</f>
        <v/>
      </c>
      <c r="B45" s="2342"/>
      <c r="C45" s="2343"/>
      <c r="D45" s="2346"/>
      <c r="E45" s="2354"/>
    </row>
    <row r="46" spans="1:5">
      <c r="A46" s="2353" t="str">
        <f>IF($B46&lt;&gt;"",
VLOOKUP($B46,IP!$A$4:$N$153,11,FALSE),
"")</f>
        <v/>
      </c>
      <c r="B46" s="2342"/>
      <c r="C46" s="2343"/>
      <c r="D46" s="2346"/>
      <c r="E46" s="2354"/>
    </row>
    <row r="47" spans="1:5">
      <c r="A47" s="2353" t="str">
        <f>IF($B47&lt;&gt;"",
VLOOKUP($B47,IP!$A$4:$N$153,11,FALSE),
"")</f>
        <v/>
      </c>
      <c r="B47" s="2342"/>
      <c r="C47" s="2343"/>
      <c r="D47" s="2346"/>
      <c r="E47" s="2354"/>
    </row>
    <row r="48" spans="1:5">
      <c r="A48" s="2353" t="str">
        <f>IF($B48&lt;&gt;"",
VLOOKUP($B48,IP!$A$4:$N$153,11,FALSE),
"")</f>
        <v/>
      </c>
      <c r="B48" s="2342"/>
      <c r="C48" s="2343"/>
      <c r="D48" s="2346"/>
      <c r="E48" s="2354"/>
    </row>
    <row r="49" spans="1:5">
      <c r="A49" s="2353" t="str">
        <f>IF($B49&lt;&gt;"",
VLOOKUP($B49,IP!$A$4:$N$153,11,FALSE),
"")</f>
        <v/>
      </c>
      <c r="B49" s="2342"/>
      <c r="C49" s="2343"/>
      <c r="D49" s="2346"/>
      <c r="E49" s="2354"/>
    </row>
    <row r="50" spans="1:5">
      <c r="A50" s="2353" t="str">
        <f>IF($B50&lt;&gt;"",
VLOOKUP($B50,IP!$A$4:$N$153,11,FALSE),
"")</f>
        <v/>
      </c>
      <c r="B50" s="2342"/>
      <c r="C50" s="2343"/>
      <c r="D50" s="2346"/>
      <c r="E50" s="2354"/>
    </row>
    <row r="51" spans="1:5">
      <c r="A51" s="2353" t="str">
        <f>IF($B51&lt;&gt;"",
VLOOKUP($B51,IP!$A$4:$N$153,11,FALSE),
"")</f>
        <v/>
      </c>
      <c r="B51" s="2342"/>
      <c r="C51" s="2343"/>
      <c r="D51" s="2346"/>
      <c r="E51" s="2354"/>
    </row>
    <row r="52" spans="1:5">
      <c r="A52" s="2353" t="str">
        <f>IF($B52&lt;&gt;"",
VLOOKUP($B52,IP!$A$4:$N$153,11,FALSE),
"")</f>
        <v/>
      </c>
      <c r="B52" s="2342"/>
      <c r="C52" s="2343"/>
      <c r="D52" s="2346"/>
      <c r="E52" s="2354"/>
    </row>
    <row r="53" spans="1:5">
      <c r="A53" s="2353" t="str">
        <f>IF($B53&lt;&gt;"",
VLOOKUP($B53,IP!$A$4:$N$153,11,FALSE),
"")</f>
        <v/>
      </c>
      <c r="B53" s="2342"/>
      <c r="C53" s="2343"/>
      <c r="D53" s="2346"/>
      <c r="E53" s="2354"/>
    </row>
    <row r="54" spans="1:5">
      <c r="A54" s="2353" t="str">
        <f>IF($B54&lt;&gt;"",
VLOOKUP($B54,IP!$A$4:$N$153,11,FALSE),
"")</f>
        <v/>
      </c>
      <c r="B54" s="2342"/>
      <c r="C54" s="2343"/>
      <c r="D54" s="2346"/>
      <c r="E54" s="2354"/>
    </row>
    <row r="55" spans="1:5">
      <c r="A55" s="2353" t="str">
        <f>IF($B55&lt;&gt;"",
VLOOKUP($B55,IP!$A$4:$N$153,11,FALSE),
"")</f>
        <v/>
      </c>
      <c r="B55" s="2342"/>
      <c r="C55" s="2343"/>
      <c r="D55" s="2346"/>
      <c r="E55" s="2354"/>
    </row>
    <row r="56" spans="1:5">
      <c r="A56" s="2353" t="str">
        <f>IF($B56&lt;&gt;"",
VLOOKUP($B56,IP!$A$4:$N$153,11,FALSE),
"")</f>
        <v/>
      </c>
      <c r="B56" s="2342"/>
      <c r="C56" s="2343"/>
      <c r="D56" s="2346"/>
      <c r="E56" s="2354"/>
    </row>
    <row r="57" spans="1:5">
      <c r="A57" s="2353" t="str">
        <f>IF($B57&lt;&gt;"",
VLOOKUP($B57,IP!$A$4:$N$153,11,FALSE),
"")</f>
        <v/>
      </c>
      <c r="B57" s="2342"/>
      <c r="C57" s="2343"/>
      <c r="D57" s="2346"/>
      <c r="E57" s="2354"/>
    </row>
    <row r="58" spans="1:5">
      <c r="A58" s="2353" t="str">
        <f>IF($B58&lt;&gt;"",
VLOOKUP($B58,IP!$A$4:$N$153,11,FALSE),
"")</f>
        <v/>
      </c>
      <c r="B58" s="2342"/>
      <c r="C58" s="2343"/>
      <c r="D58" s="2346"/>
      <c r="E58" s="2354"/>
    </row>
    <row r="59" spans="1:5">
      <c r="A59" s="2353" t="str">
        <f>IF($B59&lt;&gt;"",
VLOOKUP($B59,IP!$A$4:$N$153,11,FALSE),
"")</f>
        <v/>
      </c>
      <c r="B59" s="2342"/>
      <c r="C59" s="2343"/>
      <c r="D59" s="2346"/>
      <c r="E59" s="2354"/>
    </row>
    <row r="60" spans="1:5">
      <c r="A60" s="2353" t="str">
        <f>IF($B60&lt;&gt;"",
VLOOKUP($B60,IP!$A$4:$N$153,11,FALSE),
"")</f>
        <v/>
      </c>
      <c r="B60" s="2342"/>
      <c r="C60" s="2343"/>
      <c r="D60" s="2346"/>
      <c r="E60" s="2354"/>
    </row>
    <row r="61" spans="1:5">
      <c r="A61" s="2353" t="str">
        <f>IF($B61&lt;&gt;"",
VLOOKUP($B61,IP!$A$4:$N$153,11,FALSE),
"")</f>
        <v/>
      </c>
      <c r="B61" s="2342"/>
      <c r="C61" s="2343"/>
      <c r="D61" s="2346"/>
      <c r="E61" s="2354"/>
    </row>
    <row r="62" spans="1:5">
      <c r="A62" s="2353" t="str">
        <f>IF($B62&lt;&gt;"",
VLOOKUP($B62,IP!$A$4:$N$153,11,FALSE),
"")</f>
        <v/>
      </c>
      <c r="B62" s="2342"/>
      <c r="C62" s="2343"/>
      <c r="D62" s="2346"/>
      <c r="E62" s="2354"/>
    </row>
    <row r="63" spans="1:5">
      <c r="A63" s="2353" t="str">
        <f>IF($B63&lt;&gt;"",
VLOOKUP($B63,IP!$A$4:$N$153,11,FALSE),
"")</f>
        <v/>
      </c>
      <c r="B63" s="2342"/>
      <c r="C63" s="2343"/>
      <c r="D63" s="2346"/>
      <c r="E63" s="2354"/>
    </row>
    <row r="64" spans="1:5">
      <c r="A64" s="2353" t="str">
        <f>IF($B64&lt;&gt;"",
VLOOKUP($B64,IP!$A$4:$N$153,11,FALSE),
"")</f>
        <v/>
      </c>
      <c r="B64" s="2342"/>
      <c r="C64" s="2343"/>
      <c r="D64" s="2346"/>
      <c r="E64" s="2354"/>
    </row>
    <row r="65" spans="1:5" ht="13.5" thickBot="1">
      <c r="A65" s="2355" t="str">
        <f>IF($B65&lt;&gt;"",
VLOOKUP($B65,IP!$A$4:$N$153,11,FALSE),
"")</f>
        <v/>
      </c>
      <c r="B65" s="2356"/>
      <c r="C65" s="281"/>
      <c r="D65" s="2844"/>
      <c r="E65" s="282"/>
    </row>
  </sheetData>
  <sheetProtection formatRows="0" selectLockedCells="1" sort="0" autoFilter="0" pivotTables="0" selectUnlockedCells="1"/>
  <mergeCells count="66">
    <mergeCell ref="D21:E21"/>
    <mergeCell ref="D27:E27"/>
    <mergeCell ref="D28:E28"/>
    <mergeCell ref="D34:E34"/>
    <mergeCell ref="D35:E35"/>
    <mergeCell ref="D29:E29"/>
    <mergeCell ref="D30:E30"/>
    <mergeCell ref="D31:E31"/>
    <mergeCell ref="D32:E32"/>
    <mergeCell ref="D33:E33"/>
    <mergeCell ref="D22:E22"/>
    <mergeCell ref="D23:E23"/>
    <mergeCell ref="D24:E24"/>
    <mergeCell ref="D25:E25"/>
    <mergeCell ref="D26:E26"/>
    <mergeCell ref="B32:C32"/>
    <mergeCell ref="B33:C33"/>
    <mergeCell ref="B23:C23"/>
    <mergeCell ref="D8:E8"/>
    <mergeCell ref="D9:E9"/>
    <mergeCell ref="D10:E10"/>
    <mergeCell ref="D11:E11"/>
    <mergeCell ref="D12:E12"/>
    <mergeCell ref="D13:E13"/>
    <mergeCell ref="D15:E15"/>
    <mergeCell ref="D16:E16"/>
    <mergeCell ref="D17:E17"/>
    <mergeCell ref="D18:E18"/>
    <mergeCell ref="D20:E20"/>
    <mergeCell ref="D14:E14"/>
    <mergeCell ref="B16:C16"/>
    <mergeCell ref="B30:C30"/>
    <mergeCell ref="B21:C21"/>
    <mergeCell ref="B22:C22"/>
    <mergeCell ref="B29:C29"/>
    <mergeCell ref="B25:C25"/>
    <mergeCell ref="B26:C26"/>
    <mergeCell ref="B27:C27"/>
    <mergeCell ref="B34:C34"/>
    <mergeCell ref="B35:C35"/>
    <mergeCell ref="B8:C8"/>
    <mergeCell ref="B24:C24"/>
    <mergeCell ref="B9:C9"/>
    <mergeCell ref="B12:C12"/>
    <mergeCell ref="B13:C13"/>
    <mergeCell ref="B14:C14"/>
    <mergeCell ref="B15:C15"/>
    <mergeCell ref="B10:C10"/>
    <mergeCell ref="B11:C11"/>
    <mergeCell ref="B18:C18"/>
    <mergeCell ref="B20:C20"/>
    <mergeCell ref="B28:C28"/>
    <mergeCell ref="B19:E19"/>
    <mergeCell ref="B31:C31"/>
    <mergeCell ref="D3:E3"/>
    <mergeCell ref="D4:E4"/>
    <mergeCell ref="D5:E5"/>
    <mergeCell ref="D7:E7"/>
    <mergeCell ref="B2:C2"/>
    <mergeCell ref="B4:C4"/>
    <mergeCell ref="B5:C5"/>
    <mergeCell ref="B7:C7"/>
    <mergeCell ref="B3:C3"/>
    <mergeCell ref="D2:E2"/>
    <mergeCell ref="B6:C6"/>
    <mergeCell ref="D6:E6"/>
  </mergeCells>
  <phoneticPr fontId="26" type="noConversion"/>
  <conditionalFormatting sqref="B1">
    <cfRule type="cellIs" dxfId="306" priority="6" operator="equal">
      <formula>"Undetermined"</formula>
    </cfRule>
    <cfRule type="cellIs" dxfId="305" priority="7" operator="equal">
      <formula>"REQUIRED"</formula>
    </cfRule>
  </conditionalFormatting>
  <conditionalFormatting sqref="A25">
    <cfRule type="notContainsBlanks" dxfId="304" priority="3">
      <formula>LEN(TRIM(A25))&gt;0</formula>
    </cfRule>
  </conditionalFormatting>
  <conditionalFormatting sqref="A20">
    <cfRule type="notContainsBlanks" dxfId="303" priority="2">
      <formula>LEN(TRIM(A20))&gt;0</formula>
    </cfRule>
  </conditionalFormatting>
  <conditionalFormatting sqref="A13">
    <cfRule type="containsText" dxfId="302" priority="1" operator="containsText" text="There are Cutover Tasks">
      <formula>NOT(ISERROR(SEARCH("There are Cutover Tasks",A13)))</formula>
    </cfRule>
  </conditionalFormatting>
  <dataValidations disablePrompts="1" count="4">
    <dataValidation type="list" allowBlank="1" showInputMessage="1" showErrorMessage="1" sqref="B17" xr:uid="{00000000-0002-0000-0800-000000000000}">
      <formula1>"No, Yes"</formula1>
    </dataValidation>
    <dataValidation type="list" allowBlank="1" showInputMessage="1" showErrorMessage="1" sqref="B38:B65" xr:uid="{00000000-0002-0000-0800-000001000000}">
      <formula1>list_AllIPs</formula1>
    </dataValidation>
    <dataValidation type="list" allowBlank="1" showInputMessage="1" sqref="A8" xr:uid="{00000000-0002-0000-0800-000002000000}">
      <formula1>tab_names</formula1>
    </dataValidation>
    <dataValidation type="list" allowBlank="1" showInputMessage="1" showErrorMessage="1" sqref="D38:D65" xr:uid="{00000000-0002-0000-0800-000003000000}">
      <formula1>list_snowgroups</formula1>
    </dataValidation>
  </dataValidations>
  <pageMargins left="0.75" right="0.75" top="1" bottom="1" header="0.5" footer="0.5"/>
  <pageSetup orientation="portrait" r:id="rId1"/>
  <headerFooter alignWithMargins="0"/>
  <ignoredErrors>
    <ignoredError sqref="D6" unlockedFormula="1"/>
  </ignoredErrors>
  <drawing r:id="rId2"/>
  <legacyDrawing r:id="rId3"/>
  <oleObjects>
    <mc:AlternateContent xmlns:mc="http://schemas.openxmlformats.org/markup-compatibility/2006">
      <mc:Choice Requires="x14">
        <oleObject progId="Word.Document.12" shapeId="219159" r:id="rId4">
          <objectPr defaultSize="0" r:id="rId5">
            <anchor moveWithCells="1">
              <from>
                <xdr:col>106</xdr:col>
                <xdr:colOff>0</xdr:colOff>
                <xdr:row>0</xdr:row>
                <xdr:rowOff>85725</xdr:rowOff>
              </from>
              <to>
                <xdr:col>123</xdr:col>
                <xdr:colOff>38100</xdr:colOff>
                <xdr:row>13</xdr:row>
                <xdr:rowOff>523875</xdr:rowOff>
              </to>
            </anchor>
          </objectPr>
        </oleObject>
      </mc:Choice>
      <mc:Fallback>
        <oleObject progId="Word.Document.12" shapeId="219159" r:id="rId4"/>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theme="2" tint="-0.249977111117893"/>
  </sheetPr>
  <dimension ref="A1:BO104"/>
  <sheetViews>
    <sheetView showGridLines="0" topLeftCell="Z4" zoomScaleNormal="100" workbookViewId="0">
      <selection activeCell="AJ32" sqref="AJ32"/>
    </sheetView>
  </sheetViews>
  <sheetFormatPr defaultColWidth="9.140625" defaultRowHeight="12.75"/>
  <cols>
    <col min="1" max="1" width="15.28515625" style="524" hidden="1" customWidth="1"/>
    <col min="2" max="2" width="19.28515625" style="522" customWidth="1"/>
    <col min="3" max="3" width="16.5703125" style="522" customWidth="1"/>
    <col min="4" max="4" width="15" style="522" customWidth="1"/>
    <col min="5" max="5" width="56.42578125" style="522" customWidth="1"/>
    <col min="6" max="6" width="24.5703125" style="1081" customWidth="1"/>
    <col min="7" max="7" width="19.140625" style="522" customWidth="1"/>
    <col min="8" max="8" width="61.140625" style="1081" hidden="1" customWidth="1"/>
    <col min="9" max="9" width="17.42578125" style="522" customWidth="1"/>
    <col min="10" max="10" width="24.28515625" style="1081" customWidth="1"/>
    <col min="11" max="11" width="9.140625" style="522" customWidth="1"/>
    <col min="12" max="12" width="17.140625" style="522" customWidth="1"/>
    <col min="13" max="13" width="12.85546875" style="522" customWidth="1"/>
    <col min="14" max="14" width="22.5703125" style="522" customWidth="1"/>
    <col min="15" max="15" width="14.7109375" style="522" customWidth="1"/>
    <col min="16" max="16" width="16.140625" style="522" customWidth="1"/>
    <col min="17" max="17" width="14.28515625" style="522" customWidth="1"/>
    <col min="18" max="18" width="18" style="522" customWidth="1"/>
    <col min="19" max="19" width="21.140625" style="522" customWidth="1"/>
    <col min="20" max="20" width="23.7109375" style="522" customWidth="1"/>
    <col min="21" max="21" width="14.85546875" style="522" customWidth="1"/>
    <col min="22" max="22" width="25.85546875" style="522" customWidth="1"/>
    <col min="23" max="23" width="32.5703125" style="522" customWidth="1"/>
    <col min="24" max="24" width="35.140625" style="522" customWidth="1"/>
    <col min="25" max="25" width="35.28515625" style="522" customWidth="1"/>
    <col min="26" max="26" width="16.28515625" style="522" customWidth="1"/>
    <col min="27" max="27" width="14.85546875" style="522" customWidth="1"/>
    <col min="28" max="28" width="15.5703125" style="523" customWidth="1"/>
    <col min="29" max="30" width="18.28515625" style="522" customWidth="1"/>
    <col min="31" max="31" width="18.28515625" style="523" hidden="1" customWidth="1"/>
    <col min="32" max="32" width="15.85546875" style="522" customWidth="1"/>
    <col min="33" max="33" width="15.140625" style="522" hidden="1" customWidth="1"/>
    <col min="34" max="34" width="14" style="522" hidden="1" customWidth="1"/>
    <col min="35" max="35" width="24.5703125" style="522" customWidth="1"/>
    <col min="36" max="36" width="12" style="522" customWidth="1"/>
    <col min="37" max="37" width="17.5703125" style="522" hidden="1" customWidth="1"/>
    <col min="38" max="38" width="22.140625" style="522" customWidth="1"/>
    <col min="39" max="39" width="18.7109375" style="522" bestFit="1" customWidth="1"/>
    <col min="40" max="40" width="17.42578125" style="522" customWidth="1"/>
    <col min="41" max="41" width="12.5703125" style="522" customWidth="1"/>
    <col min="42" max="42" width="10.85546875" style="522" hidden="1" customWidth="1"/>
    <col min="43" max="43" width="15.140625" style="522" customWidth="1"/>
    <col min="44" max="44" width="49.42578125" style="522" customWidth="1"/>
    <col min="45" max="45" width="17.7109375" style="522" customWidth="1"/>
    <col min="46" max="46" width="15" style="522" hidden="1" customWidth="1"/>
    <col min="47" max="48" width="15" style="522" customWidth="1"/>
    <col min="49" max="49" width="15.7109375" style="522" customWidth="1"/>
    <col min="50" max="50" width="16" style="522" hidden="1" customWidth="1"/>
    <col min="51" max="51" width="15.7109375" style="522" hidden="1" customWidth="1"/>
    <col min="52" max="52" width="16.7109375" style="522" customWidth="1"/>
    <col min="53" max="53" width="0" style="522" hidden="1" customWidth="1"/>
    <col min="54" max="56" width="9.140625" style="522"/>
    <col min="57" max="16384" width="9.140625" style="524"/>
  </cols>
  <sheetData>
    <row r="1" spans="1:57" ht="36.75" customHeight="1" thickBot="1">
      <c r="A1" s="524" t="s">
        <v>3639</v>
      </c>
      <c r="B1" s="1833"/>
      <c r="C1" s="2911"/>
      <c r="D1" s="920" t="str">
        <f>IF('Table of Contents'!C29="YES","REQUIRED",IF('Table of Contents'!C29="NO","This Tab is Not Required","Undetermined"))</f>
        <v>REQUIRED</v>
      </c>
      <c r="E1" s="3755" t="str">
        <f>app_id &amp; ",    " &amp; ProjDet_AppNameCol</f>
        <v>APP00000000,    Linux Infrastructure Management</v>
      </c>
      <c r="F1" s="3756"/>
      <c r="G1" s="3756"/>
      <c r="H1" s="3756"/>
      <c r="I1" s="520"/>
      <c r="J1" s="2515"/>
      <c r="K1" s="520"/>
      <c r="L1" s="521"/>
      <c r="M1" s="521"/>
      <c r="N1" s="521"/>
      <c r="O1" s="521"/>
      <c r="P1" s="521"/>
      <c r="Q1" s="521"/>
      <c r="R1" s="521"/>
      <c r="S1" s="521"/>
      <c r="T1" s="521"/>
      <c r="U1" s="521"/>
      <c r="V1" s="521"/>
      <c r="W1" s="521"/>
      <c r="X1" s="1097"/>
    </row>
    <row r="2" spans="1:57" ht="12.75" customHeight="1">
      <c r="D2" s="1081"/>
      <c r="F2" s="561" t="b">
        <f>IF(COUNTIF($F$7:$F$22,"Dev")&gt;0,TRUE,FALSE)</f>
        <v>1</v>
      </c>
      <c r="I2" s="561">
        <f>env_date_1</f>
        <v>44239</v>
      </c>
    </row>
    <row r="3" spans="1:57">
      <c r="F3" s="561" t="b">
        <f>IF(COUNTIF($F$7:$F$22,"Test 2.0")&gt;0,TRUE,FALSE)</f>
        <v>1</v>
      </c>
      <c r="N3" s="1081"/>
      <c r="O3" s="2874"/>
      <c r="P3" s="2874"/>
      <c r="Q3" s="2874"/>
      <c r="R3" s="2874"/>
      <c r="S3" s="2874"/>
      <c r="T3" s="2874"/>
      <c r="U3" s="2874"/>
      <c r="V3" s="2874"/>
      <c r="W3" s="2874"/>
      <c r="X3" s="2874"/>
      <c r="Y3" s="2874"/>
    </row>
    <row r="4" spans="1:57" ht="13.5" thickBot="1">
      <c r="A4" s="524" t="s">
        <v>4080</v>
      </c>
      <c r="F4" s="561" t="b">
        <f>IF(COUNTIF($F$7:$F$22,"Prod 2.0")&gt;0,TRUE,FALSE)</f>
        <v>1</v>
      </c>
      <c r="P4" s="525">
        <v>8</v>
      </c>
      <c r="S4" s="525"/>
      <c r="T4" s="525"/>
      <c r="U4" s="525"/>
      <c r="V4" s="525"/>
      <c r="W4" s="525"/>
      <c r="AB4" s="522"/>
      <c r="AC4" s="523"/>
      <c r="AE4" s="522"/>
      <c r="AF4" s="523"/>
      <c r="BE4" s="522"/>
    </row>
    <row r="5" spans="1:57" ht="20.25" customHeight="1" thickBot="1">
      <c r="B5" s="3761" t="s">
        <v>2989</v>
      </c>
      <c r="C5" s="3762"/>
      <c r="D5" s="3762"/>
      <c r="E5" s="3763"/>
      <c r="F5" s="526" t="s">
        <v>1706</v>
      </c>
      <c r="G5" s="527">
        <f ca="1">TODAY()</f>
        <v>44218</v>
      </c>
      <c r="S5" s="2874"/>
      <c r="T5" s="2874"/>
      <c r="U5" s="2874"/>
      <c r="V5" s="2874"/>
      <c r="W5" s="2874"/>
      <c r="AB5" s="522"/>
      <c r="AC5" s="523"/>
      <c r="AE5" s="522"/>
      <c r="AF5" s="523"/>
      <c r="AG5" s="523"/>
      <c r="AH5" s="523"/>
      <c r="BE5" s="522"/>
    </row>
    <row r="6" spans="1:57" ht="26.25" thickBot="1">
      <c r="B6" s="830" t="s">
        <v>1758</v>
      </c>
      <c r="C6" s="828" t="s">
        <v>880</v>
      </c>
      <c r="D6" s="831" t="s">
        <v>13</v>
      </c>
      <c r="E6" s="832" t="s">
        <v>2482</v>
      </c>
      <c r="F6" s="2519" t="s">
        <v>881</v>
      </c>
      <c r="G6" s="1826" t="s">
        <v>1039</v>
      </c>
      <c r="S6" s="525"/>
      <c r="T6" s="525"/>
      <c r="U6" s="525"/>
      <c r="V6" s="525"/>
      <c r="W6" s="525"/>
      <c r="AF6" s="523"/>
      <c r="AG6" s="523"/>
    </row>
    <row r="7" spans="1:57">
      <c r="B7" s="528">
        <v>1</v>
      </c>
      <c r="C7" s="529" t="s">
        <v>452</v>
      </c>
      <c r="D7" s="1027"/>
      <c r="E7" s="829" t="str">
        <f>IF(AND($C7&lt;&gt;"",MF="Yes"),VLOOKUP($C7,'BOM FUNCTIONS'!$BL$7:$BO$46,4,FALSE),"")</f>
        <v/>
      </c>
      <c r="F7" s="3127" t="str">
        <f>IF(C7&lt;&gt;"",IFERROR(VLOOKUP(C7,'BOM FUNCTIONS'!$BL$6:$BN$46,3,FALSE),""),"")</f>
        <v>DEV</v>
      </c>
      <c r="G7" s="2743">
        <f t="shared" ref="G7:G22" si="0">IF($F7&lt;&gt;"",
       IF($F7="DEV",dev_date,
         IF(AND($F7="Non-Prod (ITC)", $C7="Dev - ITC"), dev_date,
            IF($F7="Test 2.0",Test_date,
              IF(AND($F7="Non-Prod (ITC)", $C7="Test - ITC"), Test_date,
                IF($F7="Prod 2.0",prod_date,
                      IF($F7="Prod (ITC)",prod_date,
                    IF($F7="Prod F.W.",ftw_date,
                        IF($F7="DR",dr_date,
                           )))))))),"")</f>
        <v>44239</v>
      </c>
      <c r="S7" s="2874"/>
      <c r="T7" s="2874"/>
      <c r="U7" s="2874"/>
      <c r="V7" s="2874"/>
      <c r="W7" s="2874"/>
      <c r="AF7" s="523"/>
      <c r="AG7" s="523"/>
    </row>
    <row r="8" spans="1:57">
      <c r="B8" s="530">
        <f>IF(C8&gt;"",B7+1,"")</f>
        <v>2</v>
      </c>
      <c r="C8" s="529" t="s">
        <v>723</v>
      </c>
      <c r="D8" s="1027"/>
      <c r="E8" s="829" t="str">
        <f>IF(AND($C8&lt;&gt;"",MF="Yes"),VLOOKUP($C8,'BOM FUNCTIONS'!$BL$7:$BO$46,4,FALSE),"")</f>
        <v/>
      </c>
      <c r="F8" s="3128" t="str">
        <f>IF(C8&lt;&gt;"",IFERROR(VLOOKUP(C8,'BOM FUNCTIONS'!$BL$6:$BN$46,3,FALSE),""),"")</f>
        <v>Test 2.0</v>
      </c>
      <c r="G8" s="2743">
        <f t="shared" si="0"/>
        <v>44239</v>
      </c>
      <c r="S8" s="525"/>
      <c r="T8" s="525"/>
      <c r="U8" s="525"/>
      <c r="V8" s="525"/>
      <c r="W8" s="525"/>
      <c r="AF8" s="523"/>
      <c r="AG8" s="523"/>
    </row>
    <row r="9" spans="1:57">
      <c r="B9" s="530">
        <f t="shared" ref="B9:B22" si="1">IF(C9&gt;"",B8+1,"")</f>
        <v>3</v>
      </c>
      <c r="C9" s="529" t="s">
        <v>5246</v>
      </c>
      <c r="D9" s="531"/>
      <c r="E9" s="829" t="str">
        <f>IF(AND($C9&lt;&gt;"",MF="Yes"),VLOOKUP($C9,'BOM FUNCTIONS'!$BL$7:$BO$46,4,FALSE),"")</f>
        <v/>
      </c>
      <c r="F9" s="3128" t="str">
        <f>IF(C9&lt;&gt;"",IFERROR(VLOOKUP(C9,'BOM FUNCTIONS'!$BL$6:$BN$46,3,FALSE),""),"")</f>
        <v>ALT Prod</v>
      </c>
      <c r="G9" s="2743">
        <f t="shared" si="0"/>
        <v>0</v>
      </c>
      <c r="S9" s="2874"/>
      <c r="T9" s="2874"/>
      <c r="U9" s="2874"/>
      <c r="V9" s="2874"/>
      <c r="W9" s="2874"/>
      <c r="AF9" s="523"/>
      <c r="AG9" s="523"/>
    </row>
    <row r="10" spans="1:57">
      <c r="B10" s="530">
        <f t="shared" si="1"/>
        <v>4</v>
      </c>
      <c r="C10" s="529" t="s">
        <v>66</v>
      </c>
      <c r="D10" s="531"/>
      <c r="E10" s="829" t="str">
        <f>IF(AND($C10&lt;&gt;"",MF="Yes"),VLOOKUP($C10,'BOM FUNCTIONS'!$BL$7:$BO$46,4,FALSE),"")</f>
        <v/>
      </c>
      <c r="F10" s="3128" t="str">
        <f>IF(C10&lt;&gt;"",IFERROR(VLOOKUP(C10,'BOM FUNCTIONS'!$BL$6:$BN$46,3,FALSE),""),"")</f>
        <v>Prod 2.0</v>
      </c>
      <c r="G10" s="2743">
        <f t="shared" si="0"/>
        <v>44239</v>
      </c>
      <c r="S10" s="525"/>
      <c r="T10" s="2874"/>
      <c r="U10" s="525"/>
      <c r="V10" s="525"/>
      <c r="W10" s="525"/>
      <c r="AF10" s="523"/>
      <c r="AG10" s="523"/>
    </row>
    <row r="11" spans="1:57">
      <c r="B11" s="530" t="str">
        <f t="shared" si="1"/>
        <v/>
      </c>
      <c r="C11" s="529"/>
      <c r="D11" s="1027"/>
      <c r="E11" s="829" t="str">
        <f>IF(AND($C11&lt;&gt;"",MF="Yes"),VLOOKUP($C11,'BOM FUNCTIONS'!$BL$7:$BO$46,4,FALSE),"")</f>
        <v/>
      </c>
      <c r="F11" s="3128" t="str">
        <f>IF(C11&lt;&gt;"",IFERROR(VLOOKUP(C11,'BOM FUNCTIONS'!$BL$6:$BN$46,3,FALSE),""),"")</f>
        <v/>
      </c>
      <c r="G11" s="2743" t="str">
        <f t="shared" si="0"/>
        <v/>
      </c>
      <c r="S11" s="2874"/>
      <c r="T11" s="2874"/>
      <c r="U11" s="2874"/>
      <c r="V11" s="2874"/>
      <c r="W11" s="2874"/>
      <c r="AF11" s="523"/>
      <c r="AG11" s="523"/>
    </row>
    <row r="12" spans="1:57">
      <c r="B12" s="530" t="str">
        <f t="shared" si="1"/>
        <v/>
      </c>
      <c r="C12" s="529"/>
      <c r="D12" s="1027"/>
      <c r="E12" s="829" t="str">
        <f>IF(AND($C12&lt;&gt;"",MF="Yes"),VLOOKUP($C12,'BOM FUNCTIONS'!$BL$7:$BO$46,4,FALSE),"")</f>
        <v/>
      </c>
      <c r="F12" s="3128" t="str">
        <f>IF(C12&lt;&gt;"",IFERROR(VLOOKUP(C12,'BOM FUNCTIONS'!$BL$6:$BN$46,3,FALSE),""),"")</f>
        <v/>
      </c>
      <c r="G12" s="2743" t="str">
        <f t="shared" si="0"/>
        <v/>
      </c>
      <c r="S12" s="525"/>
      <c r="T12" s="2874"/>
      <c r="U12" s="525"/>
      <c r="V12" s="525"/>
      <c r="W12" s="525"/>
      <c r="AF12" s="523"/>
      <c r="AG12" s="523"/>
    </row>
    <row r="13" spans="1:57">
      <c r="B13" s="530" t="str">
        <f t="shared" si="1"/>
        <v/>
      </c>
      <c r="C13" s="529"/>
      <c r="D13" s="1027"/>
      <c r="E13" s="829" t="str">
        <f>IF(AND($C13&lt;&gt;"",MF="Yes"),VLOOKUP($C13,'BOM FUNCTIONS'!$BL$7:$BO$46,4,FALSE),"")</f>
        <v/>
      </c>
      <c r="F13" s="3128" t="str">
        <f>IF(C13&lt;&gt;"",IFERROR(VLOOKUP(C13,'BOM FUNCTIONS'!$BL$6:$BN$46,3,FALSE),""),"")</f>
        <v/>
      </c>
      <c r="G13" s="2743" t="str">
        <f t="shared" si="0"/>
        <v/>
      </c>
      <c r="S13" s="2874"/>
      <c r="T13" s="2874"/>
      <c r="U13" s="2874"/>
      <c r="V13" s="2874"/>
      <c r="W13" s="2874"/>
      <c r="AF13" s="523"/>
      <c r="AG13" s="523"/>
    </row>
    <row r="14" spans="1:57">
      <c r="B14" s="530" t="str">
        <f t="shared" si="1"/>
        <v/>
      </c>
      <c r="C14" s="529"/>
      <c r="D14" s="1027"/>
      <c r="E14" s="829" t="str">
        <f>IF(AND($C14&lt;&gt;"",MF="Yes"),VLOOKUP($C14,'BOM FUNCTIONS'!$BL$7:$BO$46,4,FALSE),"")</f>
        <v/>
      </c>
      <c r="F14" s="3128" t="str">
        <f>IF(C14&lt;&gt;"",IFERROR(VLOOKUP(C14,'BOM FUNCTIONS'!$BL$6:$BN$46,3,FALSE),""),"")</f>
        <v/>
      </c>
      <c r="G14" s="2743" t="str">
        <f t="shared" si="0"/>
        <v/>
      </c>
      <c r="S14" s="525"/>
      <c r="T14" s="2874"/>
      <c r="U14" s="525"/>
      <c r="V14" s="525"/>
      <c r="W14" s="525"/>
      <c r="AF14" s="523"/>
      <c r="AG14" s="523"/>
    </row>
    <row r="15" spans="1:57">
      <c r="B15" s="530" t="str">
        <f t="shared" si="1"/>
        <v/>
      </c>
      <c r="C15" s="529"/>
      <c r="D15" s="1027"/>
      <c r="E15" s="829" t="str">
        <f>IF(AND($C15&lt;&gt;"",MF="Yes"),VLOOKUP($C15,'BOM FUNCTIONS'!$BL$7:$BO$46,4,FALSE),"")</f>
        <v/>
      </c>
      <c r="F15" s="3128" t="str">
        <f>IF(C15&lt;&gt;"",IFERROR(VLOOKUP(C15,'BOM FUNCTIONS'!$BL$6:$BN$46,3,FALSE),""),"")</f>
        <v/>
      </c>
      <c r="G15" s="2743" t="str">
        <f t="shared" si="0"/>
        <v/>
      </c>
      <c r="S15" s="2874"/>
      <c r="T15" s="2874"/>
      <c r="U15" s="2874"/>
      <c r="V15" s="2874"/>
      <c r="W15" s="2874"/>
      <c r="AF15" s="523"/>
      <c r="AG15" s="523"/>
    </row>
    <row r="16" spans="1:57">
      <c r="B16" s="530" t="str">
        <f t="shared" si="1"/>
        <v/>
      </c>
      <c r="C16" s="529"/>
      <c r="D16" s="1027"/>
      <c r="E16" s="829" t="str">
        <f>IF(AND($C16&lt;&gt;"",MF="Yes"),VLOOKUP($C16,'BOM FUNCTIONS'!$BL$7:$BO$46,4,FALSE),"")</f>
        <v/>
      </c>
      <c r="F16" s="3128" t="str">
        <f>IF(C16&lt;&gt;"",IFERROR(VLOOKUP(C16,'BOM FUNCTIONS'!$BL$6:$BN$46,3,FALSE),""),"")</f>
        <v/>
      </c>
      <c r="G16" s="2743" t="str">
        <f t="shared" si="0"/>
        <v/>
      </c>
      <c r="S16" s="525"/>
      <c r="T16" s="2874"/>
      <c r="U16" s="525"/>
      <c r="V16" s="525"/>
      <c r="W16" s="525"/>
      <c r="AF16" s="523"/>
      <c r="AG16" s="523"/>
    </row>
    <row r="17" spans="1:67">
      <c r="B17" s="530" t="str">
        <f t="shared" si="1"/>
        <v/>
      </c>
      <c r="C17" s="529"/>
      <c r="D17" s="1027"/>
      <c r="E17" s="829" t="str">
        <f>IF(AND($C17&lt;&gt;"",MF="Yes"),VLOOKUP($C17,'BOM FUNCTIONS'!$BL$7:$BO$46,4,FALSE),"")</f>
        <v/>
      </c>
      <c r="F17" s="3128" t="str">
        <f>IF(C17&lt;&gt;"",IFERROR(VLOOKUP(C17,'BOM FUNCTIONS'!$BL$6:$BN$46,3,FALSE),""),"")</f>
        <v/>
      </c>
      <c r="G17" s="2743" t="str">
        <f t="shared" si="0"/>
        <v/>
      </c>
      <c r="S17" s="2874"/>
      <c r="T17" s="2874"/>
      <c r="U17" s="2874"/>
      <c r="V17" s="2874"/>
      <c r="W17" s="2874"/>
      <c r="AF17" s="523"/>
      <c r="AG17" s="523"/>
    </row>
    <row r="18" spans="1:67">
      <c r="B18" s="530" t="str">
        <f t="shared" si="1"/>
        <v/>
      </c>
      <c r="C18" s="529"/>
      <c r="D18" s="1027"/>
      <c r="E18" s="829" t="str">
        <f>IF(AND($C18&lt;&gt;"",MF="Yes"),VLOOKUP($C18,'BOM FUNCTIONS'!$BL$7:$BO$46,4,FALSE),"")</f>
        <v/>
      </c>
      <c r="F18" s="3128" t="str">
        <f>IF(C18&lt;&gt;"",IFERROR(VLOOKUP(C18,'BOM FUNCTIONS'!$BL$6:$BN$46,3,FALSE),""),"")</f>
        <v/>
      </c>
      <c r="G18" s="2743" t="str">
        <f t="shared" si="0"/>
        <v/>
      </c>
      <c r="S18" s="525"/>
      <c r="T18" s="525"/>
      <c r="U18" s="525"/>
      <c r="V18" s="525"/>
      <c r="W18" s="525"/>
      <c r="AF18" s="523"/>
      <c r="AG18" s="523"/>
    </row>
    <row r="19" spans="1:67">
      <c r="B19" s="530" t="str">
        <f t="shared" si="1"/>
        <v/>
      </c>
      <c r="C19" s="529"/>
      <c r="D19" s="531"/>
      <c r="E19" s="829" t="str">
        <f>IF(AND($C19&lt;&gt;"",MF="Yes"),VLOOKUP($C19,'BOM FUNCTIONS'!$BL$7:$BO$46,4,FALSE),"")</f>
        <v/>
      </c>
      <c r="F19" s="3128" t="str">
        <f>IF(C19&lt;&gt;"",IFERROR(VLOOKUP(C19,'BOM FUNCTIONS'!$BL$6:$BN$46,3,FALSE),""),"")</f>
        <v/>
      </c>
      <c r="G19" s="2743" t="str">
        <f t="shared" si="0"/>
        <v/>
      </c>
      <c r="S19" s="2874"/>
      <c r="T19" s="2874"/>
      <c r="U19" s="2874"/>
      <c r="V19" s="2874"/>
      <c r="W19" s="2874"/>
      <c r="AF19" s="523"/>
      <c r="AG19" s="523"/>
    </row>
    <row r="20" spans="1:67">
      <c r="B20" s="530" t="str">
        <f t="shared" si="1"/>
        <v/>
      </c>
      <c r="C20" s="529"/>
      <c r="D20" s="531"/>
      <c r="E20" s="829" t="str">
        <f>IF(AND($C20&lt;&gt;"",MF="Yes"),VLOOKUP($C20,'BOM FUNCTIONS'!$BL$7:$BO$46,4,FALSE),"")</f>
        <v/>
      </c>
      <c r="F20" s="3128" t="str">
        <f>IF(C20&lt;&gt;"",IFERROR(VLOOKUP(C20,'BOM FUNCTIONS'!$BL$6:$BN$46,3,FALSE),""),"")</f>
        <v/>
      </c>
      <c r="G20" s="2743" t="str">
        <f t="shared" si="0"/>
        <v/>
      </c>
      <c r="J20" s="548"/>
      <c r="S20" s="525"/>
      <c r="T20" s="525"/>
      <c r="U20" s="525"/>
      <c r="V20" s="525"/>
      <c r="W20" s="525"/>
      <c r="AF20" s="523"/>
      <c r="AG20" s="523"/>
    </row>
    <row r="21" spans="1:67">
      <c r="B21" s="530" t="str">
        <f t="shared" si="1"/>
        <v/>
      </c>
      <c r="C21" s="529"/>
      <c r="D21" s="531"/>
      <c r="E21" s="829" t="str">
        <f>IF(AND($C21&lt;&gt;"",MF="Yes"),VLOOKUP($C21,'BOM FUNCTIONS'!$BL$7:$BO$46,4,FALSE),"")</f>
        <v/>
      </c>
      <c r="F21" s="3128" t="str">
        <f>IF(C21&lt;&gt;"",IFERROR(VLOOKUP(C21,'BOM FUNCTIONS'!$BL$6:$BN$46,3,FALSE),""),"")</f>
        <v/>
      </c>
      <c r="G21" s="2743" t="str">
        <f t="shared" si="0"/>
        <v/>
      </c>
      <c r="S21" s="2874"/>
      <c r="T21" s="2874"/>
      <c r="U21" s="2874"/>
      <c r="V21" s="2874"/>
      <c r="W21" s="2874"/>
      <c r="AF21" s="523"/>
      <c r="AG21" s="523"/>
    </row>
    <row r="22" spans="1:67" ht="13.5" thickBot="1">
      <c r="B22" s="532" t="str">
        <f t="shared" si="1"/>
        <v/>
      </c>
      <c r="C22" s="533"/>
      <c r="D22" s="534"/>
      <c r="E22" s="1361" t="str">
        <f>IF(AND($C22&lt;&gt;"",MF="Yes"),VLOOKUP($C22,'BOM FUNCTIONS'!$BL$7:$BO$46,4,FALSE),"")</f>
        <v/>
      </c>
      <c r="F22" s="3129" t="str">
        <f>IF(C22&lt;&gt;"",IFERROR(VLOOKUP(C22,'BOM FUNCTIONS'!$BL$6:$BN$46,3,FALSE),""),"")</f>
        <v/>
      </c>
      <c r="G22" s="2742" t="str">
        <f t="shared" si="0"/>
        <v/>
      </c>
      <c r="J22" s="825"/>
      <c r="S22" s="525"/>
      <c r="T22" s="525"/>
      <c r="U22" s="525"/>
      <c r="V22" s="525"/>
      <c r="W22" s="525"/>
      <c r="AF22" s="523"/>
      <c r="AG22" s="523"/>
    </row>
    <row r="23" spans="1:67" ht="13.5" thickBot="1"/>
    <row r="24" spans="1:67" ht="13.5" thickBot="1">
      <c r="B24" s="833" t="s">
        <v>1050</v>
      </c>
      <c r="C24" s="2328">
        <f>IF(lbom_number&lt;&gt;"",lbom_number,"")</f>
        <v>20213598</v>
      </c>
      <c r="D24" s="3764" t="s">
        <v>1327</v>
      </c>
      <c r="E24" s="3765"/>
      <c r="F24" s="535">
        <v>5</v>
      </c>
      <c r="G24" s="535">
        <v>6</v>
      </c>
      <c r="H24" s="535">
        <v>7</v>
      </c>
      <c r="I24" s="535">
        <v>8</v>
      </c>
      <c r="J24" s="535">
        <v>9</v>
      </c>
      <c r="K24" s="535">
        <v>10</v>
      </c>
      <c r="L24" s="535">
        <v>11</v>
      </c>
      <c r="M24" s="535">
        <v>12</v>
      </c>
      <c r="N24" s="535">
        <v>13</v>
      </c>
      <c r="O24" s="535">
        <v>14</v>
      </c>
      <c r="P24" s="535">
        <v>15</v>
      </c>
      <c r="Q24" s="535">
        <v>16</v>
      </c>
      <c r="R24" s="535">
        <v>17</v>
      </c>
      <c r="S24" s="535">
        <v>18</v>
      </c>
      <c r="T24" s="535">
        <v>19</v>
      </c>
      <c r="U24" s="535">
        <v>20</v>
      </c>
      <c r="V24" s="535">
        <v>21</v>
      </c>
      <c r="W24" s="535">
        <v>22</v>
      </c>
      <c r="X24" s="535">
        <v>23</v>
      </c>
      <c r="Y24" s="535">
        <v>24</v>
      </c>
      <c r="Z24" s="535">
        <v>25</v>
      </c>
      <c r="AA24" s="535">
        <v>26</v>
      </c>
      <c r="AB24" s="535">
        <v>27</v>
      </c>
      <c r="AC24" s="535">
        <v>28</v>
      </c>
      <c r="AD24" s="535">
        <v>29</v>
      </c>
      <c r="AE24" s="535">
        <v>30</v>
      </c>
      <c r="AF24" s="535">
        <v>31</v>
      </c>
      <c r="AG24" s="535">
        <v>32</v>
      </c>
      <c r="AH24" s="535">
        <v>33</v>
      </c>
      <c r="AI24" s="535">
        <v>34</v>
      </c>
      <c r="AJ24" s="535">
        <v>35</v>
      </c>
      <c r="AK24" s="535">
        <v>36</v>
      </c>
      <c r="AL24" s="535">
        <v>37</v>
      </c>
      <c r="AM24" s="535">
        <v>38</v>
      </c>
      <c r="AN24" s="535">
        <v>39</v>
      </c>
      <c r="AO24" s="535">
        <v>40</v>
      </c>
      <c r="AP24" s="535">
        <v>41</v>
      </c>
      <c r="AQ24" s="535">
        <v>42</v>
      </c>
      <c r="AR24" s="535">
        <v>43</v>
      </c>
      <c r="AS24" s="535">
        <v>44</v>
      </c>
      <c r="AT24" s="535">
        <v>45</v>
      </c>
      <c r="AU24" s="535">
        <v>46</v>
      </c>
      <c r="AV24" s="535">
        <v>47</v>
      </c>
      <c r="AW24" s="535">
        <v>48</v>
      </c>
      <c r="AX24" s="535">
        <v>49</v>
      </c>
      <c r="AY24" s="535">
        <v>50</v>
      </c>
      <c r="AZ24" s="535">
        <v>51</v>
      </c>
      <c r="BA24" s="535">
        <v>52</v>
      </c>
    </row>
    <row r="25" spans="1:67" s="544" customFormat="1" ht="13.5" thickBot="1">
      <c r="A25" s="536"/>
      <c r="B25" s="939" t="s">
        <v>41</v>
      </c>
      <c r="C25" s="938"/>
      <c r="D25" s="940" t="s">
        <v>1742</v>
      </c>
      <c r="E25" s="940"/>
      <c r="F25" s="2516"/>
      <c r="G25" s="537"/>
      <c r="H25" s="2516"/>
      <c r="I25" s="537"/>
      <c r="J25" s="2516"/>
      <c r="K25" s="537"/>
      <c r="L25" s="537"/>
      <c r="M25" s="537"/>
      <c r="N25" s="537"/>
      <c r="O25" s="537"/>
      <c r="P25" s="537"/>
      <c r="Q25" s="537"/>
      <c r="R25" s="538"/>
      <c r="S25" s="539"/>
      <c r="T25" s="540"/>
      <c r="U25" s="540"/>
      <c r="V25" s="540"/>
      <c r="W25" s="541"/>
      <c r="X25" s="541"/>
      <c r="Y25" s="541"/>
      <c r="Z25" s="541"/>
      <c r="AA25" s="3757" t="str">
        <f xml:space="preserve"> "DR LEVEL = "&amp; dr_Level</f>
        <v>DR LEVEL = l</v>
      </c>
      <c r="AB25" s="3758"/>
      <c r="AC25" s="541"/>
      <c r="AD25" s="542"/>
      <c r="AE25" s="541"/>
      <c r="AF25" s="803"/>
      <c r="AG25" s="804"/>
      <c r="AH25" s="804"/>
      <c r="AI25" s="803"/>
      <c r="AJ25" s="803"/>
      <c r="AK25" s="541"/>
      <c r="AL25" s="541"/>
      <c r="AM25" s="541"/>
      <c r="AN25" s="541"/>
      <c r="AO25" s="541"/>
      <c r="AP25" s="541"/>
      <c r="AQ25" s="541"/>
      <c r="AR25" s="543"/>
      <c r="AS25" s="543"/>
      <c r="AT25" s="543"/>
      <c r="AU25" s="543"/>
      <c r="AV25" s="543"/>
      <c r="AW25" s="543"/>
      <c r="AX25" s="543"/>
      <c r="AY25" s="543"/>
      <c r="AZ25" s="543"/>
      <c r="BA25" s="543"/>
    </row>
    <row r="26" spans="1:67" ht="24" customHeight="1" thickBot="1">
      <c r="B26" s="2155"/>
      <c r="C26" s="2156"/>
      <c r="D26" s="2206"/>
      <c r="E26" s="2156"/>
      <c r="F26" s="2520"/>
      <c r="G26" s="2881"/>
      <c r="H26" s="2881"/>
      <c r="I26" s="2450"/>
      <c r="J26" s="2517"/>
      <c r="K26" s="545"/>
      <c r="L26" s="2156"/>
      <c r="M26" s="2156"/>
      <c r="N26" s="2156"/>
      <c r="O26" s="2156"/>
      <c r="P26" s="545"/>
      <c r="Q26" s="545"/>
      <c r="R26" s="545"/>
      <c r="S26" s="2206"/>
      <c r="T26" s="545"/>
      <c r="U26" s="2157"/>
      <c r="V26" s="2208"/>
      <c r="W26" s="545"/>
      <c r="X26" s="2206"/>
      <c r="Y26" s="545"/>
      <c r="Z26" s="545"/>
      <c r="AA26" s="546"/>
      <c r="AB26" s="2210"/>
      <c r="AC26" s="2211"/>
      <c r="AD26" s="2211"/>
      <c r="AE26" s="2211" t="s">
        <v>3682</v>
      </c>
      <c r="AF26" s="2211"/>
      <c r="AG26" s="2214"/>
      <c r="AH26" s="2137"/>
      <c r="AI26" s="2213"/>
      <c r="AJ26" s="2215"/>
      <c r="AK26" s="2509"/>
      <c r="AL26" s="3766" t="s">
        <v>3333</v>
      </c>
      <c r="AM26" s="3767"/>
      <c r="AN26" s="3767"/>
      <c r="AO26" s="3767"/>
      <c r="AP26" s="1529"/>
      <c r="AQ26" s="1529"/>
      <c r="AR26" s="1645"/>
      <c r="AS26" s="2552" t="s">
        <v>4087</v>
      </c>
      <c r="AT26" s="3759" t="s">
        <v>3497</v>
      </c>
      <c r="AU26" s="3759" t="s">
        <v>3878</v>
      </c>
      <c r="AV26" s="3759" t="s">
        <v>3879</v>
      </c>
      <c r="AW26" s="3759" t="s">
        <v>3880</v>
      </c>
      <c r="AX26" s="2217"/>
      <c r="AY26" s="2221"/>
      <c r="AZ26" s="2219"/>
      <c r="BA26" s="2219"/>
      <c r="BE26" s="522"/>
      <c r="BF26" s="522"/>
      <c r="BG26" s="522"/>
      <c r="BH26" s="522"/>
      <c r="BI26" s="522"/>
      <c r="BJ26" s="522"/>
      <c r="BK26" s="522"/>
      <c r="BL26" s="522"/>
      <c r="BM26" s="522"/>
      <c r="BN26" s="522"/>
      <c r="BO26" s="522"/>
    </row>
    <row r="27" spans="1:67" s="547" customFormat="1" ht="47.25" customHeight="1" thickBot="1">
      <c r="B27" s="2158" t="s">
        <v>42</v>
      </c>
      <c r="C27" s="2203" t="s">
        <v>875</v>
      </c>
      <c r="D27" s="2203" t="s">
        <v>1719</v>
      </c>
      <c r="E27" s="831" t="s">
        <v>4101</v>
      </c>
      <c r="F27" s="2203" t="s">
        <v>1720</v>
      </c>
      <c r="G27" s="2879"/>
      <c r="H27" s="2880"/>
      <c r="I27" s="831" t="s">
        <v>62</v>
      </c>
      <c r="J27" s="2518" t="s">
        <v>43</v>
      </c>
      <c r="K27" s="2136" t="s">
        <v>3482</v>
      </c>
      <c r="L27" s="2159" t="s">
        <v>1759</v>
      </c>
      <c r="M27" s="2160" t="s">
        <v>4082</v>
      </c>
      <c r="N27" s="2160" t="s">
        <v>1760</v>
      </c>
      <c r="O27" s="831" t="s">
        <v>48</v>
      </c>
      <c r="P27" s="2805" t="s">
        <v>4477</v>
      </c>
      <c r="Q27" s="2136" t="s">
        <v>876</v>
      </c>
      <c r="R27" s="2135" t="s">
        <v>877</v>
      </c>
      <c r="S27" s="2207" t="s">
        <v>1718</v>
      </c>
      <c r="T27" s="2136" t="s">
        <v>4536</v>
      </c>
      <c r="U27" s="832" t="s">
        <v>4117</v>
      </c>
      <c r="V27" s="2209" t="s">
        <v>244</v>
      </c>
      <c r="W27" s="2135" t="s">
        <v>878</v>
      </c>
      <c r="X27" s="2203" t="s">
        <v>1711</v>
      </c>
      <c r="Y27" s="2136" t="s">
        <v>879</v>
      </c>
      <c r="Z27" s="2136" t="s">
        <v>4478</v>
      </c>
      <c r="AA27" s="2202" t="s">
        <v>1054</v>
      </c>
      <c r="AB27" s="2202" t="s">
        <v>1374</v>
      </c>
      <c r="AC27" s="2201" t="s">
        <v>359</v>
      </c>
      <c r="AD27" s="2201" t="s">
        <v>390</v>
      </c>
      <c r="AE27" s="2212"/>
      <c r="AF27" s="2201" t="s">
        <v>917</v>
      </c>
      <c r="AG27" s="2204"/>
      <c r="AH27" s="2138" t="s">
        <v>3902</v>
      </c>
      <c r="AI27" s="2954" t="s">
        <v>2446</v>
      </c>
      <c r="AJ27" s="2205" t="s">
        <v>2485</v>
      </c>
      <c r="AK27" s="2565"/>
      <c r="AL27" s="1526" t="s">
        <v>3329</v>
      </c>
      <c r="AM27" s="1526" t="s">
        <v>3348</v>
      </c>
      <c r="AN27" s="2140" t="s">
        <v>3337</v>
      </c>
      <c r="AO27" s="2139" t="s">
        <v>3334</v>
      </c>
      <c r="AP27" s="2549" t="s">
        <v>4436</v>
      </c>
      <c r="AQ27" s="1546" t="s">
        <v>1468</v>
      </c>
      <c r="AR27" s="1646" t="s">
        <v>594</v>
      </c>
      <c r="AS27" s="2216" t="s">
        <v>2215</v>
      </c>
      <c r="AT27" s="3760"/>
      <c r="AU27" s="3760"/>
      <c r="AV27" s="3760"/>
      <c r="AW27" s="3760"/>
      <c r="AX27" s="2218" t="s">
        <v>2605</v>
      </c>
      <c r="AY27" s="2222"/>
      <c r="AZ27" s="2220" t="s">
        <v>246</v>
      </c>
      <c r="BA27" s="2567" t="s">
        <v>4096</v>
      </c>
      <c r="BB27" s="548"/>
      <c r="BC27" s="548"/>
      <c r="BD27" s="548"/>
      <c r="BE27" s="548"/>
      <c r="BF27" s="548"/>
      <c r="BG27" s="548"/>
      <c r="BH27" s="548"/>
      <c r="BI27" s="548"/>
      <c r="BJ27" s="548"/>
      <c r="BK27" s="548"/>
      <c r="BL27" s="548"/>
      <c r="BM27" s="548"/>
      <c r="BN27" s="548"/>
      <c r="BO27" s="548"/>
    </row>
    <row r="28" spans="1:67">
      <c r="B28" s="1068" t="str">
        <f t="shared" ref="B28:B48" si="2">IF(D28&lt;&gt;"",CONCATENATE(asset_ident &amp; "-"&amp; TEXT(ROW(B28)-27,"000")),"")</f>
        <v>20213598-001</v>
      </c>
      <c r="C28" s="549" t="s">
        <v>452</v>
      </c>
      <c r="D28" s="552" t="s">
        <v>5600</v>
      </c>
      <c r="E28" s="2143" t="s">
        <v>5584</v>
      </c>
      <c r="F28" s="2724" t="s">
        <v>1246</v>
      </c>
      <c r="G28" s="2882"/>
      <c r="H28" s="2878"/>
      <c r="I28" s="2541" t="s">
        <v>2392</v>
      </c>
      <c r="J28" s="2541" t="s">
        <v>38</v>
      </c>
      <c r="K28" s="2117" t="s">
        <v>5601</v>
      </c>
      <c r="L28" s="2539">
        <v>4</v>
      </c>
      <c r="M28" s="531"/>
      <c r="N28" s="2536">
        <v>32</v>
      </c>
      <c r="O28" s="2150" t="s">
        <v>101</v>
      </c>
      <c r="P28" s="2885" t="str">
        <f>IF($B28&lt;&gt;"",
IF(AND(LEFT($W28,7)="Windows", AND(LEFT($Y28,5)&lt;&gt;"MSSQL", LEFT($Y28,3)&lt;&gt;"EDH")),CONCATENATE("C:",CHAR(10),"D:",CHAR(10)),
     IF(AND(LEFT($W28,4)="RHEL", $K28="Physical"), CONCATENATE("OS:",CHAR(10),"Data:",CHAR(10)),
                   IF(AND(LEFT($Y28,5)="MSSQL",$L28&lt;&gt;"",$AS28&lt;&gt;""),SQL_FS($AS28,$L28),
                         IF(AND(LEFT($Y28,3)="EDH",$AS28&lt;&gt;""),PaaS_SQL_FS($AS28),
                           IF(AND(LEFT($Y28,5)="MSSQL",OR($L28="",$AS28="")),"Please enter CPUs and Initial DB Size (Column AS)",""))))),"")</f>
        <v/>
      </c>
      <c r="Q28" s="531" t="s">
        <v>101</v>
      </c>
      <c r="R28" s="549"/>
      <c r="S28" s="2151" t="s">
        <v>5602</v>
      </c>
      <c r="T28" s="2890" t="str">
        <f t="shared" ref="T28:T33" si="3">IF($B28&lt;&gt;"",
IF(AND($D28="New", LEFT(W28,4)="RHEL",K28="Virtual"),"2",
 IF(AND($D28="New", LEFT(W28,3)="AIX",K28="Virtual"),"2",
   IF(AND($D28="New", LEFT(W28,7)="Windows",K28="Virtual"),"1",
      IF(AND($D28="New", K28="Physical"),"3",
        IF(AND(D28="Existing"),"0",""))))),"")</f>
        <v>2</v>
      </c>
      <c r="U28" s="550">
        <f>IF(B28&lt;&gt;"",IF($D28="Existing","0",COUNTIF(IP!B:B,'Distributed Assets'!B28)),"")</f>
        <v>2</v>
      </c>
      <c r="V28" s="551" t="s">
        <v>5608</v>
      </c>
      <c r="W28" s="2152" t="s">
        <v>5528</v>
      </c>
      <c r="X28" s="2534" t="str">
        <f t="shared" ref="X28:X39" si="4">IF($B28&lt;&gt;"",
      IF(AND(LEFT($F28,3)="POD",$E28 &lt;&gt;"",$I28&lt;&gt;"DB"),$H28,""),"")</f>
        <v/>
      </c>
      <c r="Y28" s="2152"/>
      <c r="Z28" s="549"/>
      <c r="AA28" s="2996"/>
      <c r="AB28" s="2806" t="str">
        <f t="shared" ref="AB28:AB59" si="5">IF(AND($AA28="Yes", $J28="Windows",$K28="Physical"),"Win-DR","")</f>
        <v/>
      </c>
      <c r="AC28" s="3414" t="s">
        <v>5603</v>
      </c>
      <c r="AD28" s="2184" t="s">
        <v>5604</v>
      </c>
      <c r="AE28" s="2183"/>
      <c r="AF28" s="2153" t="s">
        <v>5607</v>
      </c>
      <c r="AG28" s="834"/>
      <c r="AH28" s="834" t="b">
        <f>IF($B28&lt;&gt;"",
 IF($G28&lt;&gt;"",
IF(OR($G28="Standard", $G28="HA"),
IF($G28="Standard",VLOOKUP($E28,Pod_standard_mod,6,FALSE),
IF($G28="HA",VLOOKUP($E28,Pod_ha_mod,6,FALSE))))),"")</f>
        <v>0</v>
      </c>
      <c r="AI28" s="2956" t="str">
        <f>IF(AND(LEFT($W28,7)="Windows",$B28&lt;&gt;"", $D28="New"),
 IF(AND($W28="Windows Server 2016 Standard", $Y28=""),"W2K16STD_CL",
   IF(AND($W28="Windows Server 2016 Standard", $Y28="MSSQL 2016 SP2"),"SQL16SP2W2K16_CL",
  IF(AND($W28="Windows Server 2016 Standard", $Y28="MSSQL 2016"),"SQL16W2K16_CL",
   IF(AND($W28="Windows Server 2012 R2 Standard", $Y28=""),"W2k12R2STD",
   IF(AND($W28="Windows Server 2012 R2 Standard",$Y28="MSSQL 2014 SP2"),"SQL14W2K12R2",
    IF(AND($W28="Windows Server 2012 R2 Standard", $Y28="MSSQL 2012 SP3"),"SQL12W2K12R2-SP3",
     IF(AND($W28="Windows Server 2012 R2 Standard", $Y28="MSSQL 2012 SP2"),"SQL12W2K12R2",
      IF(AND($W28="Windows Server 2012 R2 Standard",$Y28&lt;&gt;"", $Y28&lt;&gt;"MSSQL 2014"),"SQL12W2K12R2-NO SQL",
        IF(AND($W28&lt;&gt;"",$Y28&lt;&gt;""),"Custom Template",""))))))))),"")</f>
        <v/>
      </c>
      <c r="AJ28" s="834">
        <v>600</v>
      </c>
      <c r="AK28" s="2562"/>
      <c r="AL28" s="2958" t="str">
        <f t="shared" ref="AL28:AL92" si="6">IF(AND($J28="Windows",$K28="Virtual",LEFT($Y28,5)="MSSQL"),
       IF(VLOOKUP($C28,$C$7:$F$22,4,FALSE)="Prod 2.0", "PWAUVAVMVC01",
        IF(VLOOKUP($C28,$C$7:$F$22,4,FALSE)="Prod F.W.", "PFTWVAVMVC01",
           IF(VLOOKUP($C28,$C$7:$F$22,4,FALSE)="Test 2.0","TWAUVAVMVC01",
                IF(VLOOKUP($C28,$C$7:$F$22,4,FALSE)="DEV","DWAUVAVMVC01","N/A")))),"")</f>
        <v/>
      </c>
      <c r="AM28" s="2235"/>
      <c r="AN28" s="2236"/>
      <c r="AO28" s="2235"/>
      <c r="AP28" s="2237" t="str">
        <f>IF($B28&lt;&gt;"", "No",  "")</f>
        <v>No</v>
      </c>
      <c r="AQ28" s="2237" t="str">
        <f t="shared" ref="AQ28:AQ59" si="7">IF($B28&lt;&gt;"",VLOOKUP(VLOOKUP($B28,$B$28:$V$102,2,FALSE),$C$6:$F$22,4,FALSE),"")</f>
        <v>DEV</v>
      </c>
      <c r="AR28" s="2803" t="str">
        <f>IF(J28="Appliance", "This appliance uses SNMP", "")</f>
        <v/>
      </c>
      <c r="AS28" s="2241"/>
      <c r="AT28" s="2154" t="b">
        <f>IF($B28&lt;&gt;"",
      IF($J28="Windows","N/A",
        IF($J28="AIX",
               IF($Y28="Oracle Standalone 11.2",Oracle_Standalone_fs($AS28),
               IF($Y28="Oracle HACMP 11.2 - Node 1", Oracle_HACMP_Node_1($AS28),
               IF($Y28="Oracle HACMP 11.2 - Node 2", Oracle_HACMP_Node_2($AS28),
               IF($Y28="Oracle-RAC","Oracle RAC requires special config
work with Open Systems",
               IF($Y28="db2_fs",DB2_FS($AS28),
               IF($Y28="","N/A","")))))))),"")</f>
        <v>0</v>
      </c>
      <c r="AU28" s="2421"/>
      <c r="AV28" s="2421"/>
      <c r="AW28" s="2421"/>
      <c r="AX28" s="2238"/>
      <c r="AY28" s="2239"/>
      <c r="AZ28" s="2603" t="str">
        <f t="shared" ref="AZ28:AZ59" si="8">B28</f>
        <v>20213598-001</v>
      </c>
      <c r="BA28" s="2602" t="e">
        <f>IF($E28&lt;&gt;"",
IF(MID($E28,SEARCH("-",$E28),4)="-sma","Small",
IF(MID($E28,SEARCH("-",$E28),4)="-med","Medium",
IF(MID($E28,SEARCH("-",$E28),4)="-lar","Large",
IF(MID($E28,SEARCH("-",$E28),4)="-XLa","X-Large",
IF(MID($E28,SEARCH("-",$E28),4)="-XXL","XX-Large",
IF(MID($E28,SEARCH("-",$E28),4)="-XXX ","XXX-Large","")))))),"")</f>
        <v>#VALUE!</v>
      </c>
      <c r="BB28" s="548"/>
      <c r="BC28" s="548"/>
      <c r="BE28" s="522"/>
      <c r="BF28" s="522"/>
      <c r="BG28" s="522"/>
      <c r="BH28" s="522"/>
      <c r="BI28" s="522"/>
      <c r="BJ28" s="522"/>
      <c r="BK28" s="522"/>
      <c r="BL28" s="522"/>
      <c r="BM28" s="522"/>
      <c r="BN28" s="522"/>
      <c r="BO28" s="522"/>
    </row>
    <row r="29" spans="1:67">
      <c r="B29" s="1068" t="str">
        <f t="shared" si="2"/>
        <v>20213598-002</v>
      </c>
      <c r="C29" s="549" t="s">
        <v>723</v>
      </c>
      <c r="D29" s="552" t="s">
        <v>5600</v>
      </c>
      <c r="E29" s="2143" t="s">
        <v>5584</v>
      </c>
      <c r="F29" s="2724" t="s">
        <v>1246</v>
      </c>
      <c r="G29" s="2883"/>
      <c r="H29" s="2876"/>
      <c r="I29" s="2541" t="s">
        <v>2392</v>
      </c>
      <c r="J29" s="2541" t="s">
        <v>38</v>
      </c>
      <c r="K29" s="2117" t="s">
        <v>5601</v>
      </c>
      <c r="L29" s="2539">
        <v>4</v>
      </c>
      <c r="M29" s="531"/>
      <c r="N29" s="2536">
        <v>32</v>
      </c>
      <c r="O29" s="2150" t="s">
        <v>101</v>
      </c>
      <c r="P29" s="2885" t="str">
        <f>IF($B29&lt;&gt;"",
IF(AND(LEFT($W29,7)="Windows", AND(LEFT($Y29,5)&lt;&gt;"MSSQL", LEFT($Y29,3)&lt;&gt;"EDH")),CONCATENATE("C:",CHAR(10),"D:",CHAR(10)),
     IF(AND(LEFT($W29,4)="RHEL", $K29="Physical"), CONCATENATE("OS:",CHAR(10),"Data:",CHAR(10)),
                   IF(AND(LEFT($Y29,5)="MSSQL",$L29&lt;&gt;"",$AS29&lt;&gt;""),SQL_FS($AS29,$L29),
                         IF(AND(LEFT($Y29,3)="EDH",$AS29&lt;&gt;""),PaaS_SQL_FS($AS29),
                           IF(AND(LEFT($Y29,5)="MSSQL",OR($L29="",$AS29="")),"Please enter CPUs and Initial DB Size (Column AS)",""))))),"")</f>
        <v/>
      </c>
      <c r="Q29" s="531" t="s">
        <v>101</v>
      </c>
      <c r="R29" s="549"/>
      <c r="S29" s="2151" t="s">
        <v>5602</v>
      </c>
      <c r="T29" s="2890" t="str">
        <f t="shared" si="3"/>
        <v>2</v>
      </c>
      <c r="U29" s="550">
        <f>IF(B29&lt;&gt;"",IF($D29="Existing","0",COUNTIF(IP!B:B,'Distributed Assets'!B29)),"")</f>
        <v>2</v>
      </c>
      <c r="V29" s="551" t="s">
        <v>5609</v>
      </c>
      <c r="W29" s="2152" t="s">
        <v>5528</v>
      </c>
      <c r="X29" s="2534" t="str">
        <f t="shared" si="4"/>
        <v/>
      </c>
      <c r="Y29" s="2152"/>
      <c r="Z29" s="549"/>
      <c r="AA29" s="2997"/>
      <c r="AB29" s="2807" t="str">
        <f t="shared" si="5"/>
        <v/>
      </c>
      <c r="AC29" s="2134"/>
      <c r="AD29" s="2187"/>
      <c r="AE29" s="554"/>
      <c r="AF29" s="2153"/>
      <c r="AG29" s="805"/>
      <c r="AH29" s="834" t="b">
        <f>IF($B29&lt;&gt;"",
IF(OR($G29="Standard", $G29="HA"),
IF($G29="Standard",VLOOKUP($E29,Pod_standard_mod,6,FALSE),
IF($G29="HA",VLOOKUP($E29,Pod_ha_mod,6,FALSE)))),"")</f>
        <v>0</v>
      </c>
      <c r="AI29" s="2953" t="str">
        <f t="shared" ref="AI29:AI92" si="9">IF(AND(LEFT($W29,7)="Windows",$B29&lt;&gt;"", $D29="New"),
 IF(AND($W29="Windows Server 2016 Standard", $Y29=""),"W2K16STD_CL",
   IF(AND($W29="Windows Server 2016 Standard", $Y29="MSSQL 2016 SP2"),"SQL16SP2W2K16_CL",
  IF(AND($W29="Windows Server 2016 Standard", $Y29="MSSQL 2016"),"SQL16W2K16_CL",
   IF(AND($W29="Windows Server 2012 R2 Standard", $Y29=""),"W2k12R2STD",
   IF(AND($W29="Windows Server 2012 R2 Standard",$Y29="MSSQL 2014 SP2"),"SQL14W2K12R2",
    IF(AND($W29="Windows Server 2012 R2 Standard", $Y29="MSSQL 2012 SP3"),"SQL12W2K12R2-SP3",
     IF(AND($W29="Windows Server 2012 R2 Standard", $Y29="MSSQL 2012 SP2"),"SQL12W2K12R2",
      IF(AND($W29="Windows Server 2012 R2 Standard",$Y29&lt;&gt;"", $Y29&lt;&gt;"MSSQL 2014"),"SQL12W2K12R2-NO SQL",
        IF(AND($W29&lt;&gt;"",$Y29&lt;&gt;""),"Custom Template",""))))))))),"")</f>
        <v/>
      </c>
      <c r="AJ29" s="834">
        <v>600</v>
      </c>
      <c r="AK29" s="2562"/>
      <c r="AL29" s="2958" t="str">
        <f t="shared" si="6"/>
        <v/>
      </c>
      <c r="AM29" s="2235"/>
      <c r="AN29" s="2236"/>
      <c r="AO29" s="2235"/>
      <c r="AP29" s="2237" t="str">
        <f t="shared" ref="AP29:AP35" si="10">IF($B29&lt;&gt;"", "No",  "")</f>
        <v>No</v>
      </c>
      <c r="AQ29" s="2240" t="str">
        <f t="shared" si="7"/>
        <v>Test 2.0</v>
      </c>
      <c r="AR29" s="2804" t="str">
        <f t="shared" ref="AR29:AR92" si="11">IF(J29="Appliance", "This appliance uses SNMP", "")</f>
        <v/>
      </c>
      <c r="AS29" s="2241"/>
      <c r="AT29" s="2087" t="b">
        <f>IF($B29&lt;&gt;"",
      IF($J29="Windows","N/A",
        IF($J29="AIX",
               IF($Y29="Oracle Standalone 11.2",Oracle_Standalone_fs($AS29),
               IF($Y29="Oracle HACMP 11.2 - Node 1", Oracle_HACMP_Node_1($AS29),
               IF($Y29="Oracle HACMP 11.2 - Node 2", Oracle_HACMP_Node_2($AS29),
               IF($Y29="Oracle-RAC","Oracle RAC requires special config
work with Open Systems",
               IF($Y29="db2_fs",DB2_FS($AS29),
               IF($Y29="","N/A","")))))))),"")</f>
        <v>0</v>
      </c>
      <c r="AU29" s="2421"/>
      <c r="AV29" s="2421"/>
      <c r="AW29" s="2421"/>
      <c r="AX29" s="2238"/>
      <c r="AY29" s="2242"/>
      <c r="AZ29" s="2086" t="str">
        <f t="shared" si="8"/>
        <v>20213598-002</v>
      </c>
      <c r="BA29" s="2568" t="e">
        <f t="shared" ref="BA29:BA92" si="12">IF($E29&lt;&gt;"",
IF(MID($E29,SEARCH("-",$E29),4)="-sma","Small",
IF(MID($E29,SEARCH("-",$E29),4)="-med","Medium",
IF(MID($E29,SEARCH("-",$E29),4)="-lar","Large",
IF(MID($E29,SEARCH("-",$E29),4)="-XLa","X-Large",
IF(MID($E29,SEARCH("-",$E29),4)="-XXL","XX-Large",
IF(MID($E29,SEARCH("-",$E29),4)="-XXX ","XXX-Large","")))))),"")</f>
        <v>#VALUE!</v>
      </c>
      <c r="BE29" s="522"/>
      <c r="BF29" s="522"/>
      <c r="BG29" s="522"/>
      <c r="BH29" s="522"/>
      <c r="BI29" s="522"/>
      <c r="BJ29" s="522"/>
      <c r="BK29" s="522"/>
    </row>
    <row r="30" spans="1:67">
      <c r="B30" s="1068" t="str">
        <f t="shared" si="2"/>
        <v>20213598-003</v>
      </c>
      <c r="C30" s="549" t="s">
        <v>5246</v>
      </c>
      <c r="D30" s="552" t="s">
        <v>5600</v>
      </c>
      <c r="E30" s="2143" t="s">
        <v>5584</v>
      </c>
      <c r="F30" s="2724" t="s">
        <v>1246</v>
      </c>
      <c r="G30" s="2883"/>
      <c r="H30" s="2876"/>
      <c r="I30" s="2541" t="s">
        <v>2392</v>
      </c>
      <c r="J30" s="2541" t="s">
        <v>38</v>
      </c>
      <c r="K30" s="2117" t="s">
        <v>5601</v>
      </c>
      <c r="L30" s="2539">
        <v>4</v>
      </c>
      <c r="M30" s="531"/>
      <c r="N30" s="2536">
        <v>32</v>
      </c>
      <c r="O30" s="2150" t="s">
        <v>101</v>
      </c>
      <c r="P30" s="2885" t="str">
        <f>IF($B30&lt;&gt;"",
IF(AND(LEFT($W30,7)="Windows", AND(LEFT($Y30,5)&lt;&gt;"MSSQL", LEFT($Y30,3)&lt;&gt;"EDH")),CONCATENATE("C:",CHAR(10),"D:",CHAR(10)),
     IF(AND(LEFT($W30,4)="RHEL", $K30="Physical"), CONCATENATE("OS:",CHAR(10),"Data:",CHAR(10)),
                   IF(AND(LEFT($Y30,5)="MSSQL",$L30&lt;&gt;"",$AS30&lt;&gt;""),SQL_FS($AS30,$L30),
                         IF(AND(LEFT($Y30,3)="EDH",$AS30&lt;&gt;""),PaaS_SQL_FS($AS30),
                           IF(AND(LEFT($Y30,5)="MSSQL",OR($L30="",$AS30="")),"Please enter CPUs and Initial DB Size (Column AS)",""))))),"")</f>
        <v/>
      </c>
      <c r="Q30" s="531" t="s">
        <v>101</v>
      </c>
      <c r="R30" s="549"/>
      <c r="S30" s="2151" t="s">
        <v>5602</v>
      </c>
      <c r="T30" s="2890" t="str">
        <f t="shared" si="3"/>
        <v>2</v>
      </c>
      <c r="U30" s="550">
        <f>IF(B30&lt;&gt;"",IF($D30="Existing","0",COUNTIF(IP!B:B,'Distributed Assets'!B30)),"")</f>
        <v>2</v>
      </c>
      <c r="V30" s="551" t="s">
        <v>5610</v>
      </c>
      <c r="W30" s="2152" t="s">
        <v>5528</v>
      </c>
      <c r="X30" s="2534" t="str">
        <f t="shared" si="4"/>
        <v/>
      </c>
      <c r="Y30" s="2152"/>
      <c r="Z30" s="549"/>
      <c r="AA30" s="2997"/>
      <c r="AB30" s="2807" t="str">
        <f t="shared" si="5"/>
        <v/>
      </c>
      <c r="AC30" s="2134"/>
      <c r="AD30" s="553"/>
      <c r="AE30" s="554"/>
      <c r="AF30" s="2153"/>
      <c r="AG30" s="805"/>
      <c r="AH30" s="834" t="b">
        <f>IF($B30&lt;&gt;"",
IF(OR($G30="Standard", $G30="HA"),
IF($G30="Standard",VLOOKUP($E30,Pod_standard_mod,6,FALSE),
IF($G30="HA",VLOOKUP($E30,Pod_ha_mod,6,FALSE)))),"")</f>
        <v>0</v>
      </c>
      <c r="AI30" s="2953" t="str">
        <f t="shared" si="9"/>
        <v/>
      </c>
      <c r="AJ30" s="834">
        <v>600</v>
      </c>
      <c r="AK30" s="2562"/>
      <c r="AL30" s="2958" t="str">
        <f t="shared" si="6"/>
        <v/>
      </c>
      <c r="AM30" s="2235"/>
      <c r="AN30" s="2236"/>
      <c r="AO30" s="2235"/>
      <c r="AP30" s="2237" t="str">
        <f t="shared" si="10"/>
        <v>No</v>
      </c>
      <c r="AQ30" s="2240" t="str">
        <f t="shared" si="7"/>
        <v>ALT Prod</v>
      </c>
      <c r="AR30" s="2804" t="str">
        <f t="shared" si="11"/>
        <v/>
      </c>
      <c r="AS30" s="2241"/>
      <c r="AT30" s="2087" t="b">
        <f>IF($B30&lt;&gt;"",
      IF($J30="Windows","N/A",
        IF($J30="AIX",
               IF($Y30="Oracle Standalone 11.2",Oracle_Standalone_fs($AS30),
               IF($Y30="Oracle HACMP 11.2 - Node 1", Oracle_HACMP_Node_1($AS30),
               IF($Y30="Oracle HACMP 11.2 - Node 2", Oracle_HACMP_Node_2($AS30),
               IF($Y30="Oracle-RAC","Oracle RAC requires special config
work with Open Systems",
               IF($Y30="db2_fs",DB2_FS($AS30),
               IF($Y30="","N/A","")))))))),"")</f>
        <v>0</v>
      </c>
      <c r="AU30" s="2421"/>
      <c r="AV30" s="2421"/>
      <c r="AW30" s="2421"/>
      <c r="AX30" s="2238"/>
      <c r="AY30" s="2242"/>
      <c r="AZ30" s="2086" t="str">
        <f t="shared" si="8"/>
        <v>20213598-003</v>
      </c>
      <c r="BA30" s="2568" t="e">
        <f t="shared" si="12"/>
        <v>#VALUE!</v>
      </c>
      <c r="BE30" s="522"/>
      <c r="BF30" s="522"/>
      <c r="BG30" s="522"/>
      <c r="BH30" s="522"/>
      <c r="BI30" s="522"/>
      <c r="BJ30" s="522"/>
      <c r="BK30" s="522"/>
    </row>
    <row r="31" spans="1:67" ht="25.5">
      <c r="B31" s="1068" t="str">
        <f t="shared" si="2"/>
        <v>20213598-004</v>
      </c>
      <c r="C31" s="549" t="s">
        <v>66</v>
      </c>
      <c r="D31" s="552" t="s">
        <v>5600</v>
      </c>
      <c r="E31" s="2143" t="s">
        <v>5584</v>
      </c>
      <c r="F31" s="2724" t="s">
        <v>1246</v>
      </c>
      <c r="G31" s="2883"/>
      <c r="H31" s="2876"/>
      <c r="I31" s="2541" t="s">
        <v>3686</v>
      </c>
      <c r="J31" s="2541" t="s">
        <v>38</v>
      </c>
      <c r="K31" s="2117" t="s">
        <v>5601</v>
      </c>
      <c r="L31" s="2539">
        <v>4</v>
      </c>
      <c r="M31" s="531"/>
      <c r="N31" s="2536">
        <v>32</v>
      </c>
      <c r="O31" s="2150" t="s">
        <v>101</v>
      </c>
      <c r="P31" s="2885" t="str">
        <f>IF($B31&lt;&gt;"",
IF(AND(LEFT($W31,7)="Windows", AND(LEFT($Y31,5)&lt;&gt;"MSSQL", LEFT($Y31,3)&lt;&gt;"EDH")),CONCATENATE("C:",CHAR(10),"D:",CHAR(10)),
     IF(AND(LEFT($W31,4)="RHEL", $K31="Physical"), CONCATENATE("OS:",CHAR(10),"Data:",CHAR(10)),
                   IF(AND(LEFT($Y31,5)="MSSQL",$L31&lt;&gt;"",$AS31&lt;&gt;""),SQL_FS($AS31,$L31),
                         IF(AND(LEFT($Y31,3)="EDH",$AS31&lt;&gt;""),PaaS_SQL_FS($AS31),
                           IF(AND(LEFT($Y31,5)="MSSQL",OR($L31="",$AS31="")),"Please enter CPUs and Initial DB Size (Column AS)",""))))),"")</f>
        <v/>
      </c>
      <c r="Q31" s="531" t="s">
        <v>101</v>
      </c>
      <c r="R31" s="549"/>
      <c r="S31" s="2151" t="s">
        <v>5602</v>
      </c>
      <c r="T31" s="2890" t="str">
        <f t="shared" si="3"/>
        <v>2</v>
      </c>
      <c r="U31" s="550">
        <f>IF(B31&lt;&gt;"",IF($D31="Existing","0",COUNTIF(IP!B:B,'Distributed Assets'!B31)),"")</f>
        <v>2</v>
      </c>
      <c r="V31" s="551" t="s">
        <v>5611</v>
      </c>
      <c r="W31" s="2152" t="s">
        <v>5528</v>
      </c>
      <c r="X31" s="2534" t="str">
        <f t="shared" si="4"/>
        <v/>
      </c>
      <c r="Y31" s="2152"/>
      <c r="Z31" s="549"/>
      <c r="AA31" s="2997" t="s">
        <v>25</v>
      </c>
      <c r="AB31" s="2807" t="str">
        <f t="shared" si="5"/>
        <v/>
      </c>
      <c r="AC31" s="3415" t="s">
        <v>5605</v>
      </c>
      <c r="AD31" s="3416" t="s">
        <v>5606</v>
      </c>
      <c r="AE31" s="554"/>
      <c r="AF31" s="2153" t="s">
        <v>5607</v>
      </c>
      <c r="AG31" s="805"/>
      <c r="AH31" s="834" t="b">
        <f>IF($B31&lt;&gt;"",
IF(OR($G31="Standard", $G31="HA"),
IF($G31="Standard",VLOOKUP($E31,Pod_standard_mod,6,FALSE),
IF($G31="HA",VLOOKUP($E31,Pod_ha_mod,6,FALSE)))),"")</f>
        <v>0</v>
      </c>
      <c r="AI31" s="2953" t="str">
        <f t="shared" si="9"/>
        <v/>
      </c>
      <c r="AJ31" s="834">
        <v>600</v>
      </c>
      <c r="AK31" s="2562"/>
      <c r="AL31" s="2958" t="str">
        <f t="shared" si="6"/>
        <v/>
      </c>
      <c r="AM31" s="2235"/>
      <c r="AN31" s="2236"/>
      <c r="AO31" s="2235"/>
      <c r="AP31" s="2237" t="str">
        <f t="shared" si="10"/>
        <v>No</v>
      </c>
      <c r="AQ31" s="2240" t="str">
        <f t="shared" si="7"/>
        <v>Prod 2.0</v>
      </c>
      <c r="AR31" s="2804" t="str">
        <f t="shared" si="11"/>
        <v/>
      </c>
      <c r="AS31" s="2241"/>
      <c r="AT31" s="2087" t="b">
        <f>IF($B31&lt;&gt;"",
      IF($J31="Windows","N/A",
        IF($J31="AIX",
               IF($Y31="Oracle Standalone 11.2",Oracle_Standalone_fs($AS31),
               IF($Y31="Oracle HACMP 11.2 - Node 1", Oracle_HACMP_Node_1($AS31),
               IF($Y31="Oracle HACMP 11.2 - Node 2", Oracle_HACMP_Node_2($AS31),
               IF($Y31="Oracle-RAC","Oracle RAC requires special config
work with Open Systems",
               IF($Y31="db2_fs",DB2_FS($AS31),
               IF($Y31="","N/A","")))))))),"")</f>
        <v>0</v>
      </c>
      <c r="AU31" s="2421"/>
      <c r="AV31" s="2421"/>
      <c r="AW31" s="2421"/>
      <c r="AX31" s="2238"/>
      <c r="AY31" s="2242"/>
      <c r="AZ31" s="2086" t="str">
        <f t="shared" si="8"/>
        <v>20213598-004</v>
      </c>
      <c r="BA31" s="2568" t="e">
        <f t="shared" si="12"/>
        <v>#VALUE!</v>
      </c>
      <c r="BE31" s="522"/>
      <c r="BF31" s="522"/>
      <c r="BG31" s="522"/>
      <c r="BH31" s="522"/>
      <c r="BI31" s="522"/>
      <c r="BJ31" s="522"/>
      <c r="BK31" s="522"/>
    </row>
    <row r="32" spans="1:67">
      <c r="B32" s="1068" t="str">
        <f t="shared" si="2"/>
        <v/>
      </c>
      <c r="C32" s="549"/>
      <c r="D32" s="552"/>
      <c r="E32" s="2143"/>
      <c r="F32" s="2724"/>
      <c r="G32" s="2883"/>
      <c r="H32" s="2876"/>
      <c r="I32" s="2541"/>
      <c r="J32" s="2541" t="str">
        <f>IF(AND($B32&lt;&gt;"",$D32="New"),
IF(LEFT($F32,3)="POD",
     IF($G32="Standard",VLOOKUP($E32,Pod_standard_mod,4,FALSE),
          IF($G32="HA",VLOOKUP($E32,Pod_ha_mod,4,FALSE))),""),"")</f>
        <v/>
      </c>
      <c r="K32" s="2117" t="str">
        <f t="shared" ref="K32:K38" si="13">IF(AND($B32&lt;&gt;"",$D32="New"),
IF(LEFT($E32,5)="TomEE","Virtual",
       IF(LEFT($E32,5)="MSSQL","Virtual",
                   IF(LEFT($E32,4)=".net","Virtual",
                        IF(LEFT($E32,9)="Websphere","Virtual",
                             IF(LEFT($F32,3)="POD","Virtual",""))))),"")</f>
        <v/>
      </c>
      <c r="L32" s="2539" t="str">
        <f>IF($B32&lt;&gt;"",
    IF(AND(LEFT($F32,3)="POD",LEFT($G32,3)="Sta"),VLOOKUP($E32,Pod_standard_mod,7,FALSE),
    IF(AND(LEFT($F32,3)="POD",LEFT($G32,2)="HA"),VLOOKUP($E32,Pod_ha_mod,7,FALSE),"")),"")</f>
        <v/>
      </c>
      <c r="M32" s="531"/>
      <c r="N32" s="2536" t="str">
        <f>IF($B32&lt;&gt;"",
       IF(AND(LEFT($F32,3)="POD",LEFT($G32,3)="Sta"),VLOOKUP($E32,Pod_standard_mod,8,FALSE),
            IF(AND(LEFT($F32,3)="POD",LEFT($G32,2)="HA"),VLOOKUP($E32,Pod_ha_mod,8,FALSE),"")),"")</f>
        <v/>
      </c>
      <c r="O32" s="2150"/>
      <c r="P32" s="2885" t="str">
        <f>IF($B32&lt;&gt;"",
IF(AND(LEFT($W32,7)="Windows", AND(LEFT($Y32,5)&lt;&gt;"MSSQL", LEFT($Y32,3)&lt;&gt;"EDH")),CONCATENATE("C:",CHAR(10),"D:",CHAR(10)),
     IF(AND(LEFT($W32,4)="RHEL", $K32="Physical"), CONCATENATE("OS:",CHAR(10),"Data:",CHAR(10)),
                   IF(AND(LEFT($Y32,5)="MSSQL",$L32&lt;&gt;"",$AS32&lt;&gt;""),SQL_FS($AS32,$L32),
                         IF(AND(LEFT($Y32,3)="EDH",$AS32&lt;&gt;""),PaaS_SQL_FS($AS32),
                           IF(AND(LEFT($Y32,5)="MSSQL",OR($L32="",$AS32="")),"Please enter CPUs and Initial DB Size (Column AS)",""))))),"")</f>
        <v/>
      </c>
      <c r="Q32" s="531"/>
      <c r="R32" s="549"/>
      <c r="S32" s="2151" t="str">
        <f t="shared" ref="S32" si="14">IF(AND(B32&lt;&gt;"",D32="Existing"),"Reference Only","")</f>
        <v/>
      </c>
      <c r="T32" s="2890" t="str">
        <f t="shared" si="3"/>
        <v/>
      </c>
      <c r="U32" s="550" t="str">
        <f>IF(B32&lt;&gt;"",IF($D32="Existing","0",COUNTIF(IP!B:B,'Distributed Assets'!B32)),"")</f>
        <v/>
      </c>
      <c r="V32" s="551"/>
      <c r="W32" s="2152" t="str">
        <f t="shared" ref="W32:W40" si="15">IF($B32&lt;&gt;"",
      IF(AND(LEFT($F32,3)="POD",$E32 &lt;&gt;""),$J32,""),"")</f>
        <v/>
      </c>
      <c r="X32" s="2534" t="str">
        <f t="shared" si="4"/>
        <v/>
      </c>
      <c r="Y32" s="2152"/>
      <c r="Z32" s="549"/>
      <c r="AA32" s="2997"/>
      <c r="AB32" s="2807" t="str">
        <f t="shared" si="5"/>
        <v/>
      </c>
      <c r="AC32" s="2134"/>
      <c r="AD32" s="553"/>
      <c r="AE32" s="554"/>
      <c r="AF32" s="2153"/>
      <c r="AG32" s="805"/>
      <c r="AH32" s="834" t="str">
        <f>IF($B32&lt;&gt;"",
IF(OR($G32="Standard", $G32="HA"),
IF($G32="Standard",VLOOKUP($E32,Pod_standard_mod,6,FALSE),
IF($G32="HA",VLOOKUP($E32,Pod_ha_mod,6,FALSE)))),"")</f>
        <v/>
      </c>
      <c r="AI32" s="2953" t="str">
        <f t="shared" si="9"/>
        <v/>
      </c>
      <c r="AJ32" s="834"/>
      <c r="AK32" s="2562"/>
      <c r="AL32" s="2958" t="str">
        <f t="shared" si="6"/>
        <v/>
      </c>
      <c r="AM32" s="2235"/>
      <c r="AN32" s="2236"/>
      <c r="AO32" s="2235"/>
      <c r="AP32" s="2237" t="str">
        <f t="shared" si="10"/>
        <v/>
      </c>
      <c r="AQ32" s="2240" t="str">
        <f t="shared" si="7"/>
        <v/>
      </c>
      <c r="AR32" s="2804" t="str">
        <f t="shared" si="11"/>
        <v/>
      </c>
      <c r="AS32" s="2241"/>
      <c r="AT32" s="2087" t="str">
        <f>IF($B32&lt;&gt;"",
      IF($J32="Windows","N/A",
        IF($J32="AIX",
               IF($Y32="Oracle Standalone 11.2",Oracle_Standalone_fs($AS32),
               IF($Y32="Oracle HACMP 11.2 - Node 1", Oracle_HACMP_Node_1($AS32),
               IF($Y32="Oracle HACMP 11.2 - Node 2", Oracle_HACMP_Node_2($AS32),
               IF($Y32="Oracle-RAC","Oracle RAC requires special config
work with Open Systems",
               IF($Y32="db2_fs",DB2_FS($AS32),
               IF($Y32="","N/A","")))))))),"")</f>
        <v/>
      </c>
      <c r="AU32" s="2421"/>
      <c r="AV32" s="2421"/>
      <c r="AW32" s="2421"/>
      <c r="AX32" s="2238"/>
      <c r="AY32" s="2242"/>
      <c r="AZ32" s="2086" t="str">
        <f t="shared" si="8"/>
        <v/>
      </c>
      <c r="BA32" s="2568" t="str">
        <f t="shared" si="12"/>
        <v/>
      </c>
      <c r="BE32" s="522"/>
      <c r="BF32" s="522"/>
      <c r="BG32" s="522"/>
      <c r="BH32" s="522"/>
      <c r="BI32" s="522"/>
      <c r="BJ32" s="522"/>
      <c r="BK32" s="522"/>
    </row>
    <row r="33" spans="2:63">
      <c r="B33" s="1068" t="str">
        <f t="shared" si="2"/>
        <v/>
      </c>
      <c r="C33" s="549"/>
      <c r="D33" s="552"/>
      <c r="E33" s="2143"/>
      <c r="F33" s="2724"/>
      <c r="G33" s="2883"/>
      <c r="H33" s="2876"/>
      <c r="I33" s="2541"/>
      <c r="J33" s="2541" t="str">
        <f>IF(AND($B33&lt;&gt;"",$D33="New"),
IF(LEFT($F33,3)="POD",
     IF($G33="Standard",VLOOKUP($E33,Pod_standard_mod,4,FALSE),
          IF($G33="HA",VLOOKUP($E33,Pod_ha_mod,4,FALSE))),""),"")</f>
        <v/>
      </c>
      <c r="K33" s="2117" t="str">
        <f t="shared" si="13"/>
        <v/>
      </c>
      <c r="L33" s="2539" t="str">
        <f>IF($B33&lt;&gt;"",
    IF(AND(LEFT($F33,3)="POD",LEFT($G33,3)="Sta"),VLOOKUP($E33,Pod_standard_mod,7,FALSE),
    IF(AND(LEFT($F33,3)="POD",LEFT($G33,2)="HA"),VLOOKUP($E33,Pod_ha_mod,7,FALSE),"")),"")</f>
        <v/>
      </c>
      <c r="M33" s="531"/>
      <c r="N33" s="2536" t="str">
        <f>IF($B33&lt;&gt;"",
       IF(AND(LEFT($F33,3)="POD",LEFT($G33,3)="Sta"),VLOOKUP($E33,Pod_standard_mod,8,FALSE),
            IF(AND(LEFT($F33,3)="POD",LEFT($G33,2)="HA"),VLOOKUP($E33,Pod_ha_mod,8,FALSE),"")),"")</f>
        <v/>
      </c>
      <c r="O33" s="2150"/>
      <c r="P33" s="2885" t="str">
        <f>IF($B33&lt;&gt;"",
IF(AND(LEFT($W33,7)="Windows", AND(LEFT($Y33,5)&lt;&gt;"MSSQL", LEFT($Y33,3)&lt;&gt;"EDH")),CONCATENATE("C:",CHAR(10),"D:",CHAR(10)),
     IF(AND(LEFT($W33,4)="RHEL", $K33="Physical"), CONCATENATE("OS:",CHAR(10),"Data:",CHAR(10)),
                   IF(AND(LEFT($Y33,5)="MSSQL",$L33&lt;&gt;"",$AS33&lt;&gt;""),SQL_FS($AS33,$L33),
                         IF(AND(LEFT($Y33,3)="EDH",$AS33&lt;&gt;""),PaaS_SQL_FS($AS33),
                           IF(AND(LEFT($Y33,5)="MSSQL",OR($L33="",$AS33="")),"Please enter CPUs and Initial DB Size (Column AS)",""))))),"")</f>
        <v/>
      </c>
      <c r="Q33" s="531"/>
      <c r="R33" s="549"/>
      <c r="S33" s="2151" t="str">
        <f t="shared" ref="S33" si="16">IF(AND(B33&lt;&gt;"",D33="Existing"),"Reference Only","")</f>
        <v/>
      </c>
      <c r="T33" s="2890" t="str">
        <f t="shared" si="3"/>
        <v/>
      </c>
      <c r="U33" s="550" t="str">
        <f>IF(B33&lt;&gt;"",IF($D33="Existing","0",COUNTIF(IP!B:B,'Distributed Assets'!B33)),"")</f>
        <v/>
      </c>
      <c r="V33" s="551"/>
      <c r="W33" s="2152" t="str">
        <f t="shared" si="15"/>
        <v/>
      </c>
      <c r="X33" s="2534" t="str">
        <f t="shared" si="4"/>
        <v/>
      </c>
      <c r="Y33" s="2152"/>
      <c r="Z33" s="549"/>
      <c r="AA33" s="2997"/>
      <c r="AB33" s="2807" t="str">
        <f t="shared" si="5"/>
        <v/>
      </c>
      <c r="AC33" s="2134"/>
      <c r="AD33" s="553"/>
      <c r="AE33" s="554"/>
      <c r="AF33" s="2153"/>
      <c r="AG33" s="805"/>
      <c r="AH33" s="834" t="str">
        <f>IF($B33&lt;&gt;"",
IF(OR($G33="Standard", $G33="HA"),
IF($G33="Standard",VLOOKUP($E33,Pod_standard_mod,6,FALSE),
IF($G33="HA",VLOOKUP($E33,Pod_ha_mod,6,FALSE)))),"")</f>
        <v/>
      </c>
      <c r="AI33" s="2953" t="str">
        <f t="shared" si="9"/>
        <v/>
      </c>
      <c r="AJ33" s="834"/>
      <c r="AK33" s="2562"/>
      <c r="AL33" s="2958" t="str">
        <f t="shared" si="6"/>
        <v/>
      </c>
      <c r="AM33" s="2235"/>
      <c r="AN33" s="2236"/>
      <c r="AO33" s="2235"/>
      <c r="AP33" s="2237" t="str">
        <f t="shared" si="10"/>
        <v/>
      </c>
      <c r="AQ33" s="2240" t="str">
        <f t="shared" si="7"/>
        <v/>
      </c>
      <c r="AR33" s="2804"/>
      <c r="AS33" s="2241"/>
      <c r="AT33" s="2087" t="str">
        <f>IF($B33&lt;&gt;"",
      IF($J33="Windows","N/A",
        IF($J33="AIX",
               IF($Y33="Oracle Standalone 11.2",Oracle_Standalone_fs($AS33),
               IF($Y33="Oracle HACMP 11.2 - Node 1", Oracle_HACMP_Node_1($AS33),
               IF($Y33="Oracle HACMP 11.2 - Node 2", Oracle_HACMP_Node_2($AS33),
               IF($Y33="Oracle-RAC","Oracle RAC requires special config
work with Open Systems",
               IF($Y33="db2_fs",DB2_FS($AS33),
               IF($Y33="","N/A","")))))))),"")</f>
        <v/>
      </c>
      <c r="AU33" s="2421"/>
      <c r="AV33" s="2421"/>
      <c r="AW33" s="2421"/>
      <c r="AX33" s="2238"/>
      <c r="AY33" s="2242"/>
      <c r="AZ33" s="2086" t="str">
        <f t="shared" si="8"/>
        <v/>
      </c>
      <c r="BA33" s="2568" t="str">
        <f t="shared" si="12"/>
        <v/>
      </c>
      <c r="BE33" s="522"/>
      <c r="BF33" s="522"/>
      <c r="BG33" s="522"/>
      <c r="BH33" s="522"/>
      <c r="BI33" s="522"/>
      <c r="BJ33" s="522"/>
      <c r="BK33" s="522"/>
    </row>
    <row r="34" spans="2:63">
      <c r="B34" s="1068" t="str">
        <f t="shared" si="2"/>
        <v/>
      </c>
      <c r="C34" s="549"/>
      <c r="D34" s="552"/>
      <c r="E34" s="2143"/>
      <c r="F34" s="2724"/>
      <c r="G34" s="2883"/>
      <c r="H34" s="2876"/>
      <c r="I34" s="2541"/>
      <c r="J34" s="2541" t="str">
        <f>IF(AND($B34&lt;&gt;"",$D34="New"),
IF(LEFT($F34,3)="POD",
     IF($G34="Standard",VLOOKUP($E34,Pod_standard_mod,4,FALSE),
          IF($G34="HA",VLOOKUP($E34,Pod_ha_mod,4,FALSE))),""),"")</f>
        <v/>
      </c>
      <c r="K34" s="2117" t="str">
        <f t="shared" si="13"/>
        <v/>
      </c>
      <c r="L34" s="2539" t="str">
        <f>IF($B34&lt;&gt;"",
    IF(AND(LEFT($F34,3)="POD",LEFT($G34,3)="Sta"),VLOOKUP($E34,Pod_standard_mod,7,FALSE),
    IF(AND(LEFT($F34,3)="POD",LEFT($G34,2)="HA"),VLOOKUP($E34,Pod_ha_mod,7,FALSE),"")),"")</f>
        <v/>
      </c>
      <c r="M34" s="531"/>
      <c r="N34" s="2536" t="str">
        <f>IF($B34&lt;&gt;"",
       IF(AND(LEFT($F34,3)="POD",LEFT($G34,3)="Sta"),VLOOKUP($E34,Pod_standard_mod,8,FALSE),
            IF(AND(LEFT($F34,3)="POD",LEFT($G34,2)="HA"),VLOOKUP($E34,Pod_ha_mod,8,FALSE),"")),"")</f>
        <v/>
      </c>
      <c r="O34" s="549"/>
      <c r="P34" s="2885" t="str">
        <f>IF($B34&lt;&gt;"",
IF(AND(LEFT($W34,7)="Windows", AND(LEFT($Y34,5)&lt;&gt;"MSSQL", LEFT($Y34,3)&lt;&gt;"EDH")),CONCATENATE("C:",CHAR(10),"D:",CHAR(10)),
     IF(AND(LEFT($W34,4)="RHEL", $K34="Physical"), CONCATENATE("OS:",CHAR(10),"Data:",CHAR(10)),
                   IF(AND(LEFT($Y34,5)="MSSQL",$L34&lt;&gt;"",$AS34&lt;&gt;""),SQL_FS($AS34,$L34),
                         IF(AND(LEFT($Y34,3)="EDH",$AS34&lt;&gt;""),PaaS_SQL_FS($AS34),
                           IF(AND(LEFT($Y34,5)="MSSQL",OR($L34="",$AS34="")),"Please enter CPUs and Initial DB Size (Column AS)",""))))),"")</f>
        <v/>
      </c>
      <c r="Q34" s="531"/>
      <c r="R34" s="549"/>
      <c r="S34" s="2151" t="str">
        <f t="shared" ref="S34:S92" si="17">IF(AND(B34&lt;&gt;"",D34="Existing"),"Reference Only","")</f>
        <v/>
      </c>
      <c r="T34" s="2890" t="str">
        <f t="shared" ref="T34:T92" si="18">IF($B34&lt;&gt;"",
IF(AND($D34="New", LEFT(W34,4)="RHEL",K34="Virtual"),"2",
 IF(AND($D34="New", LEFT(W34,3)="AIX",K34="Virtual"),"2",
   IF(AND($D34="New", LEFT(W34,7)="Windows",K34="Virtual"),"1",
      IF(AND($D34="New", K34="Physical"),"3",
        IF(AND(D34="Existing"),"0",""))))),"")</f>
        <v/>
      </c>
      <c r="U34" s="550" t="str">
        <f>IF(B34&lt;&gt;"",IF($D34="Existing","0",COUNTIF(IP!B:B,'Distributed Assets'!B34)),"")</f>
        <v/>
      </c>
      <c r="V34" s="551"/>
      <c r="W34" s="2152" t="str">
        <f t="shared" si="15"/>
        <v/>
      </c>
      <c r="X34" s="2534" t="str">
        <f t="shared" si="4"/>
        <v/>
      </c>
      <c r="Y34" s="2152"/>
      <c r="Z34" s="549"/>
      <c r="AA34" s="2997"/>
      <c r="AB34" s="2807" t="str">
        <f t="shared" si="5"/>
        <v/>
      </c>
      <c r="AC34" s="2134"/>
      <c r="AD34" s="553"/>
      <c r="AE34" s="554"/>
      <c r="AF34" s="2153"/>
      <c r="AG34" s="805"/>
      <c r="AH34" s="834" t="str">
        <f>IF($B34&lt;&gt;"",
IF(OR($G34="Standard", $G34="HA"),
IF($G34="Standard",VLOOKUP($E34,Pod_standard_mod,6,FALSE),
IF($G34="HA",VLOOKUP($E34,Pod_ha_mod,6,FALSE)))),"")</f>
        <v/>
      </c>
      <c r="AI34" s="2953" t="str">
        <f t="shared" si="9"/>
        <v/>
      </c>
      <c r="AJ34" s="834"/>
      <c r="AK34" s="2562"/>
      <c r="AL34" s="2958" t="str">
        <f t="shared" si="6"/>
        <v/>
      </c>
      <c r="AM34" s="2235"/>
      <c r="AN34" s="2236"/>
      <c r="AO34" s="2235"/>
      <c r="AP34" s="2237" t="str">
        <f t="shared" si="10"/>
        <v/>
      </c>
      <c r="AQ34" s="2240" t="str">
        <f t="shared" si="7"/>
        <v/>
      </c>
      <c r="AR34" s="2804" t="str">
        <f t="shared" si="11"/>
        <v/>
      </c>
      <c r="AS34" s="2241"/>
      <c r="AT34" s="2087" t="str">
        <f>IF($B34&lt;&gt;"",
      IF($J34="Windows","N/A",
        IF($J34="AIX",
               IF($Y34="Oracle Standalone 11.2",Oracle_Standalone_fs($AS34),
               IF($Y34="Oracle HACMP 11.2 - Node 1", Oracle_HACMP_Node_1($AS34),
               IF($Y34="Oracle HACMP 11.2 - Node 2", Oracle_HACMP_Node_2($AS34),
               IF($Y34="Oracle-RAC","Oracle RAC requires special config
work with Open Systems",
               IF($Y34="db2_fs",DB2_FS($AS34),
               IF($Y34="","N/A","")))))))),"")</f>
        <v/>
      </c>
      <c r="AU34" s="2421"/>
      <c r="AV34" s="2421"/>
      <c r="AW34" s="2421"/>
      <c r="AX34" s="2238"/>
      <c r="AY34" s="2242"/>
      <c r="AZ34" s="2086" t="str">
        <f t="shared" si="8"/>
        <v/>
      </c>
      <c r="BA34" s="2568" t="str">
        <f t="shared" si="12"/>
        <v/>
      </c>
      <c r="BE34" s="522"/>
      <c r="BF34" s="522"/>
      <c r="BG34" s="522"/>
      <c r="BH34" s="522"/>
      <c r="BI34" s="522"/>
      <c r="BJ34" s="522"/>
      <c r="BK34" s="522"/>
    </row>
    <row r="35" spans="2:63">
      <c r="B35" s="1068" t="str">
        <f t="shared" si="2"/>
        <v/>
      </c>
      <c r="C35" s="549"/>
      <c r="D35" s="552"/>
      <c r="E35" s="2143"/>
      <c r="F35" s="2724"/>
      <c r="G35" s="2883"/>
      <c r="H35" s="2876"/>
      <c r="I35" s="2541"/>
      <c r="J35" s="2541" t="str">
        <f>IF(AND($B35&lt;&gt;"",$D35="New"),
IF(LEFT($F35,3)="POD",
     IF($G35="Standard",VLOOKUP($E35,Pod_standard_mod,4,FALSE),
          IF($G35="HA",VLOOKUP($E35,Pod_ha_mod,4,FALSE))),""),"")</f>
        <v/>
      </c>
      <c r="K35" s="2117" t="str">
        <f t="shared" si="13"/>
        <v/>
      </c>
      <c r="L35" s="2539" t="str">
        <f>IF($B35&lt;&gt;"",
    IF(AND(LEFT($F35,3)="POD",LEFT($G35,3)="Sta"),VLOOKUP($E35,Pod_standard_mod,7,FALSE),
    IF(AND(LEFT($F35,3)="POD",LEFT($G35,2)="HA"),VLOOKUP($E35,Pod_ha_mod,7,FALSE),"")),"")</f>
        <v/>
      </c>
      <c r="M35" s="531"/>
      <c r="N35" s="2536" t="str">
        <f>IF($B35&lt;&gt;"",
       IF(AND(LEFT($F35,3)="POD",LEFT($G35,3)="Sta"),VLOOKUP($E35,Pod_standard_mod,8,FALSE),
            IF(AND(LEFT($F35,3)="POD",LEFT($G35,2)="HA"),VLOOKUP($E35,Pod_ha_mod,8,FALSE),"")),"")</f>
        <v/>
      </c>
      <c r="O35" s="549"/>
      <c r="P35" s="2885" t="str">
        <f>IF($B35&lt;&gt;"",
IF(AND(LEFT($W35,7)="Windows", AND(LEFT($Y35,5)&lt;&gt;"MSSQL", LEFT($Y35,3)&lt;&gt;"EDH")),CONCATENATE("C:",CHAR(10),"D:",CHAR(10)),
     IF(AND(LEFT($W35,4)="RHEL", $K35="Physical"), CONCATENATE("OS:",CHAR(10),"Data:",CHAR(10)),
                   IF(AND(LEFT($Y35,5)="MSSQL",$L35&lt;&gt;"",$AS35&lt;&gt;""),SQL_FS($AS35,$L35),
                         IF(AND(LEFT($Y35,3)="EDH",$AS35&lt;&gt;""),PaaS_SQL_FS($AS35),
                           IF(AND(LEFT($Y35,5)="MSSQL",OR($L35="",$AS35="")),"Please enter CPUs and Initial DB Size (Column AS)",""))))),"")</f>
        <v/>
      </c>
      <c r="Q35" s="531"/>
      <c r="R35" s="549"/>
      <c r="S35" s="2151" t="str">
        <f t="shared" si="17"/>
        <v/>
      </c>
      <c r="T35" s="2890" t="str">
        <f t="shared" si="18"/>
        <v/>
      </c>
      <c r="U35" s="550" t="str">
        <f>IF(B35&lt;&gt;"",IF($D35="Existing","0",COUNTIF(IP!B:B,'Distributed Assets'!B35)),"")</f>
        <v/>
      </c>
      <c r="V35" s="551"/>
      <c r="W35" s="2152" t="str">
        <f t="shared" si="15"/>
        <v/>
      </c>
      <c r="X35" s="2534" t="str">
        <f t="shared" si="4"/>
        <v/>
      </c>
      <c r="Y35" s="2152"/>
      <c r="Z35" s="549"/>
      <c r="AA35" s="2997"/>
      <c r="AB35" s="2807" t="str">
        <f t="shared" si="5"/>
        <v/>
      </c>
      <c r="AC35" s="2134"/>
      <c r="AD35" s="553"/>
      <c r="AE35" s="554"/>
      <c r="AF35" s="2153"/>
      <c r="AG35" s="805"/>
      <c r="AH35" s="834" t="str">
        <f>IF($B35&lt;&gt;"",
IF(OR($G35="Standard", $G35="HA"),
IF($G35="Standard",VLOOKUP($E35,Pod_standard_mod,6,FALSE),
IF($G35="HA",VLOOKUP($E35,Pod_ha_mod,6,FALSE)))),"")</f>
        <v/>
      </c>
      <c r="AI35" s="2953" t="str">
        <f t="shared" si="9"/>
        <v/>
      </c>
      <c r="AJ35" s="834"/>
      <c r="AK35" s="2562"/>
      <c r="AL35" s="2958" t="str">
        <f t="shared" si="6"/>
        <v/>
      </c>
      <c r="AM35" s="2235"/>
      <c r="AN35" s="2236"/>
      <c r="AO35" s="2235"/>
      <c r="AP35" s="2237" t="str">
        <f t="shared" si="10"/>
        <v/>
      </c>
      <c r="AQ35" s="2240" t="str">
        <f t="shared" si="7"/>
        <v/>
      </c>
      <c r="AR35" s="2804" t="str">
        <f t="shared" si="11"/>
        <v/>
      </c>
      <c r="AS35" s="2241"/>
      <c r="AT35" s="2087" t="str">
        <f>IF($B35&lt;&gt;"",
      IF($J35="Windows","N/A",
        IF($J35="AIX",
               IF($Y35="Oracle Standalone 11.2",Oracle_Standalone_fs($AS35),
               IF($Y35="Oracle HACMP 11.2 - Node 1", Oracle_HACMP_Node_1($AS35),
               IF($Y35="Oracle HACMP 11.2 - Node 2", Oracle_HACMP_Node_2($AS35),
               IF($Y35="Oracle-RAC","Oracle RAC requires special config
work with Open Systems",
               IF($Y35="db2_fs",DB2_FS($AS35),
               IF($Y35="","N/A","")))))))),"")</f>
        <v/>
      </c>
      <c r="AU35" s="2421"/>
      <c r="AV35" s="2421"/>
      <c r="AW35" s="2421"/>
      <c r="AX35" s="2238"/>
      <c r="AY35" s="2242"/>
      <c r="AZ35" s="2086" t="str">
        <f t="shared" si="8"/>
        <v/>
      </c>
      <c r="BA35" s="2568" t="str">
        <f t="shared" si="12"/>
        <v/>
      </c>
      <c r="BE35" s="522"/>
      <c r="BF35" s="522"/>
      <c r="BG35" s="522"/>
      <c r="BH35" s="522"/>
      <c r="BI35" s="522"/>
      <c r="BJ35" s="522"/>
      <c r="BK35" s="522"/>
    </row>
    <row r="36" spans="2:63">
      <c r="B36" s="1068" t="str">
        <f t="shared" si="2"/>
        <v/>
      </c>
      <c r="C36" s="549"/>
      <c r="D36" s="552"/>
      <c r="E36" s="2143"/>
      <c r="F36" s="2724"/>
      <c r="G36" s="2883"/>
      <c r="H36" s="2876"/>
      <c r="I36" s="2541"/>
      <c r="J36" s="2541" t="str">
        <f>IF(AND($B36&lt;&gt;"",$D36="New"),
IF(LEFT($F36,3)="POD",
     IF($G36="Standard",VLOOKUP($E36,Pod_standard_mod,4,FALSE),
          IF($G36="HA",VLOOKUP($E36,Pod_ha_mod,4,FALSE))),""),"")</f>
        <v/>
      </c>
      <c r="K36" s="2117" t="str">
        <f t="shared" si="13"/>
        <v/>
      </c>
      <c r="L36" s="2539" t="str">
        <f>IF($B36&lt;&gt;"",
    IF(AND(LEFT($F36,3)="POD",LEFT($G36,3)="Sta"),VLOOKUP($E36,Pod_standard_mod,7,FALSE),
    IF(AND(LEFT($F36,3)="POD",LEFT($G36,2)="HA"),VLOOKUP($E36,Pod_ha_mod,7,FALSE),"")),"")</f>
        <v/>
      </c>
      <c r="M36" s="531"/>
      <c r="N36" s="2536" t="str">
        <f>IF($B36&lt;&gt;"",
       IF(AND(LEFT($F36,3)="POD",LEFT($G36,3)="Sta"),VLOOKUP($E36,Pod_standard_mod,8,FALSE),
            IF(AND(LEFT($F36,3)="POD",LEFT($G36,2)="HA"),VLOOKUP($E36,Pod_ha_mod,8,FALSE),"")),"")</f>
        <v/>
      </c>
      <c r="O36" s="549"/>
      <c r="P36" s="2885" t="str">
        <f>IF($B36&lt;&gt;"",
IF(AND(LEFT($W36,7)="Windows", AND(LEFT($Y36,5)&lt;&gt;"MSSQL", LEFT($Y36,3)&lt;&gt;"EDH")),CONCATENATE("C:",CHAR(10),"D:",CHAR(10)),
     IF(AND(LEFT($W36,4)="RHEL", $K36="Physical"), CONCATENATE("OS:",CHAR(10),"Data:",CHAR(10)),
                   IF(AND(LEFT($Y36,5)="MSSQL",$L36&lt;&gt;"",$AS36&lt;&gt;""),SQL_FS($AS36,$L36),
                         IF(AND(LEFT($Y36,3)="EDH",$AS36&lt;&gt;""),PaaS_SQL_FS($AS36),
                           IF(AND(LEFT($Y36,5)="MSSQL",OR($L36="",$AS36="")),"Please enter CPUs and Initial DB Size (Column AS)",""))))),"")</f>
        <v/>
      </c>
      <c r="Q36" s="531"/>
      <c r="R36" s="549"/>
      <c r="S36" s="2151" t="str">
        <f t="shared" si="17"/>
        <v/>
      </c>
      <c r="T36" s="2890" t="str">
        <f t="shared" si="18"/>
        <v/>
      </c>
      <c r="U36" s="550" t="str">
        <f>IF(B36&lt;&gt;"",IF($D36="Existing","0",COUNTIF(IP!B:B,'Distributed Assets'!B36)),"")</f>
        <v/>
      </c>
      <c r="V36" s="551"/>
      <c r="W36" s="2152" t="str">
        <f t="shared" si="15"/>
        <v/>
      </c>
      <c r="X36" s="2534" t="str">
        <f t="shared" si="4"/>
        <v/>
      </c>
      <c r="Y36" s="2152"/>
      <c r="Z36" s="549"/>
      <c r="AA36" s="2997"/>
      <c r="AB36" s="2807" t="str">
        <f t="shared" si="5"/>
        <v/>
      </c>
      <c r="AC36" s="2134"/>
      <c r="AD36" s="553"/>
      <c r="AE36" s="554"/>
      <c r="AF36" s="2153"/>
      <c r="AG36" s="805"/>
      <c r="AH36" s="834" t="str">
        <f>IF($B36&lt;&gt;"",
IF(OR($G36="Standard", $G36="HA"),
IF($G36="Standard",VLOOKUP($E36,Pod_standard_mod,6,FALSE),
IF($G36="HA",VLOOKUP($E36,Pod_ha_mod,6,FALSE)))),"")</f>
        <v/>
      </c>
      <c r="AI36" s="2953" t="str">
        <f t="shared" si="9"/>
        <v/>
      </c>
      <c r="AJ36" s="834"/>
      <c r="AK36" s="2562"/>
      <c r="AL36" s="2958" t="str">
        <f t="shared" si="6"/>
        <v/>
      </c>
      <c r="AM36" s="2235"/>
      <c r="AN36" s="2236"/>
      <c r="AO36" s="2235"/>
      <c r="AP36" s="2237"/>
      <c r="AQ36" s="2240" t="str">
        <f t="shared" si="7"/>
        <v/>
      </c>
      <c r="AR36" s="2804" t="str">
        <f t="shared" si="11"/>
        <v/>
      </c>
      <c r="AS36" s="2241"/>
      <c r="AT36" s="2087" t="str">
        <f>IF($B36&lt;&gt;"",
      IF($J36="Windows","N/A",
        IF($J36="AIX",
               IF($Y36="Oracle Standalone 11.2",Oracle_Standalone_fs($AS36),
               IF($Y36="Oracle HACMP 11.2 - Node 1", Oracle_HACMP_Node_1($AS36),
               IF($Y36="Oracle HACMP 11.2 - Node 2", Oracle_HACMP_Node_2($AS36),
               IF($Y36="Oracle-RAC","Oracle RAC requires special config
work with Open Systems",
               IF($Y36="db2_fs",DB2_FS($AS36),
               IF($Y36="","N/A","")))))))),"")</f>
        <v/>
      </c>
      <c r="AU36" s="2421"/>
      <c r="AV36" s="2421"/>
      <c r="AW36" s="2421"/>
      <c r="AX36" s="2238"/>
      <c r="AY36" s="2242"/>
      <c r="AZ36" s="2086" t="str">
        <f t="shared" si="8"/>
        <v/>
      </c>
      <c r="BA36" s="2568" t="str">
        <f t="shared" si="12"/>
        <v/>
      </c>
      <c r="BE36" s="522"/>
      <c r="BF36" s="522"/>
      <c r="BG36" s="522"/>
      <c r="BH36" s="522"/>
      <c r="BI36" s="522"/>
      <c r="BJ36" s="522"/>
      <c r="BK36" s="522"/>
    </row>
    <row r="37" spans="2:63">
      <c r="B37" s="1068" t="str">
        <f t="shared" si="2"/>
        <v/>
      </c>
      <c r="C37" s="549"/>
      <c r="D37" s="552"/>
      <c r="E37" s="2143"/>
      <c r="F37" s="2724"/>
      <c r="G37" s="2883"/>
      <c r="H37" s="2876"/>
      <c r="I37" s="2541"/>
      <c r="J37" s="2541" t="str">
        <f>IF(AND($B37&lt;&gt;"",$D37="New"),
IF(LEFT($F37,3)="POD",
     IF($G37="Standard",VLOOKUP($E37,Pod_standard_mod,4,FALSE),
          IF($G37="HA",VLOOKUP($E37,Pod_ha_mod,4,FALSE))),""),"")</f>
        <v/>
      </c>
      <c r="K37" s="2117" t="str">
        <f t="shared" si="13"/>
        <v/>
      </c>
      <c r="L37" s="2539" t="str">
        <f>IF($B37&lt;&gt;"",
    IF(AND(LEFT($F37,3)="POD",LEFT($G37,3)="Sta"),VLOOKUP($E37,Pod_standard_mod,7,FALSE),
    IF(AND(LEFT($F37,3)="POD",LEFT($G37,2)="HA"),VLOOKUP($E37,Pod_ha_mod,7,FALSE),"")),"")</f>
        <v/>
      </c>
      <c r="M37" s="531"/>
      <c r="N37" s="2536" t="str">
        <f>IF($B37&lt;&gt;"",
       IF(AND(LEFT($F37,3)="POD",LEFT($G37,3)="Sta"),VLOOKUP($E37,Pod_standard_mod,8,FALSE),
            IF(AND(LEFT($F37,3)="POD",LEFT($G37,2)="HA"),VLOOKUP($E37,Pod_ha_mod,8,FALSE),"")),"")</f>
        <v/>
      </c>
      <c r="O37" s="549"/>
      <c r="P37" s="2885" t="str">
        <f>IF($B37&lt;&gt;"",
IF(AND(LEFT($W37,7)="Windows", AND(LEFT($Y37,5)&lt;&gt;"MSSQL", LEFT($Y37,3)&lt;&gt;"EDH")),CONCATENATE("C:",CHAR(10),"D:",CHAR(10)),
     IF(AND(LEFT($W37,4)="RHEL", $K37="Physical"), CONCATENATE("OS:",CHAR(10),"Data:",CHAR(10)),
                   IF(AND(LEFT($Y37,5)="MSSQL",$L37&lt;&gt;"",$AS37&lt;&gt;""),SQL_FS($AS37,$L37),
                         IF(AND(LEFT($Y37,3)="EDH",$AS37&lt;&gt;""),PaaS_SQL_FS($AS37),
                           IF(AND(LEFT($Y37,5)="MSSQL",OR($L37="",$AS37="")),"Please enter CPUs and Initial DB Size (Column AS)",""))))),"")</f>
        <v/>
      </c>
      <c r="Q37" s="531"/>
      <c r="R37" s="549"/>
      <c r="S37" s="2151" t="str">
        <f t="shared" si="17"/>
        <v/>
      </c>
      <c r="T37" s="2890" t="str">
        <f t="shared" si="18"/>
        <v/>
      </c>
      <c r="U37" s="550" t="str">
        <f>IF(B37&lt;&gt;"",IF($D37="Existing","0",COUNTIF(IP!B:B,'Distributed Assets'!B37)),"")</f>
        <v/>
      </c>
      <c r="V37" s="551"/>
      <c r="W37" s="2152" t="str">
        <f t="shared" si="15"/>
        <v/>
      </c>
      <c r="X37" s="2534" t="str">
        <f t="shared" si="4"/>
        <v/>
      </c>
      <c r="Y37" s="2152"/>
      <c r="Z37" s="549"/>
      <c r="AA37" s="2997"/>
      <c r="AB37" s="2807" t="str">
        <f t="shared" si="5"/>
        <v/>
      </c>
      <c r="AC37" s="2134"/>
      <c r="AD37" s="553"/>
      <c r="AE37" s="554"/>
      <c r="AF37" s="2153"/>
      <c r="AG37" s="805"/>
      <c r="AH37" s="834" t="str">
        <f>IF($B37&lt;&gt;"",
IF(OR($G37="Standard", $G37="HA"),
IF($G37="Standard",VLOOKUP($E37,Pod_standard_mod,6,FALSE),
IF($G37="HA",VLOOKUP($E37,Pod_ha_mod,6,FALSE)))),"")</f>
        <v/>
      </c>
      <c r="AI37" s="2953" t="str">
        <f t="shared" si="9"/>
        <v/>
      </c>
      <c r="AJ37" s="834"/>
      <c r="AK37" s="2562"/>
      <c r="AL37" s="2958" t="str">
        <f t="shared" si="6"/>
        <v/>
      </c>
      <c r="AM37" s="2235"/>
      <c r="AN37" s="2236"/>
      <c r="AO37" s="2235"/>
      <c r="AP37" s="2237"/>
      <c r="AQ37" s="2240" t="str">
        <f t="shared" si="7"/>
        <v/>
      </c>
      <c r="AR37" s="2804" t="str">
        <f t="shared" si="11"/>
        <v/>
      </c>
      <c r="AS37" s="2241"/>
      <c r="AT37" s="2087" t="str">
        <f>IF($B37&lt;&gt;"",
      IF($J37="Windows","N/A",
        IF($J37="AIX",
               IF($Y37="Oracle Standalone 11.2",Oracle_Standalone_fs($AS37),
               IF($Y37="Oracle HACMP 11.2 - Node 1", Oracle_HACMP_Node_1($AS37),
               IF($Y37="Oracle HACMP 11.2 - Node 2", Oracle_HACMP_Node_2($AS37),
               IF($Y37="Oracle-RAC","Oracle RAC requires special config
work with Open Systems",
               IF($Y37="db2_fs",DB2_FS($AS37),
               IF($Y37="","N/A","")))))))),"")</f>
        <v/>
      </c>
      <c r="AU37" s="2421"/>
      <c r="AV37" s="2421"/>
      <c r="AW37" s="2421"/>
      <c r="AX37" s="2238"/>
      <c r="AY37" s="2242"/>
      <c r="AZ37" s="2086" t="str">
        <f t="shared" si="8"/>
        <v/>
      </c>
      <c r="BA37" s="2568" t="str">
        <f t="shared" si="12"/>
        <v/>
      </c>
      <c r="BE37" s="522"/>
      <c r="BF37" s="522"/>
      <c r="BG37" s="522"/>
      <c r="BH37" s="522"/>
      <c r="BI37" s="522"/>
      <c r="BJ37" s="522"/>
      <c r="BK37" s="522"/>
    </row>
    <row r="38" spans="2:63">
      <c r="B38" s="1068" t="str">
        <f t="shared" si="2"/>
        <v/>
      </c>
      <c r="C38" s="549"/>
      <c r="D38" s="552"/>
      <c r="E38" s="2143"/>
      <c r="F38" s="2724"/>
      <c r="G38" s="2883"/>
      <c r="H38" s="2876"/>
      <c r="I38" s="2541"/>
      <c r="J38" s="2541" t="str">
        <f>IF(AND($B38&lt;&gt;"",$D38="New"),
IF(LEFT($F38,3)="POD",
     IF($G38="Standard",VLOOKUP($E38,Pod_standard_mod,4,FALSE),
          IF($G38="HA",VLOOKUP($E38,Pod_ha_mod,4,FALSE))),""),"")</f>
        <v/>
      </c>
      <c r="K38" s="2117" t="str">
        <f t="shared" si="13"/>
        <v/>
      </c>
      <c r="L38" s="2539" t="str">
        <f>IF($B38&lt;&gt;"",
    IF(AND(LEFT($F38,3)="POD",LEFT($G38,3)="Sta"),VLOOKUP($E38,Pod_standard_mod,7,FALSE),
    IF(AND(LEFT($F38,3)="POD",LEFT($G38,2)="HA"),VLOOKUP($E38,Pod_ha_mod,7,FALSE),"")),"")</f>
        <v/>
      </c>
      <c r="M38" s="531"/>
      <c r="N38" s="2536" t="str">
        <f>IF($B38&lt;&gt;"",
       IF(AND(LEFT($F38,3)="POD",LEFT($G38,3)="Sta"),VLOOKUP($E38,Pod_standard_mod,8,FALSE),
            IF(AND(LEFT($F38,3)="POD",LEFT($G38,2)="HA"),VLOOKUP($E38,Pod_ha_mod,8,FALSE),"")),"")</f>
        <v/>
      </c>
      <c r="O38" s="549"/>
      <c r="P38" s="2885" t="str">
        <f>IF($B38&lt;&gt;"",
IF(AND(LEFT($W38,7)="Windows", AND(LEFT($Y38,5)&lt;&gt;"MSSQL", LEFT($Y38,3)&lt;&gt;"EDH")),CONCATENATE("C:",CHAR(10),"D:",CHAR(10)),
     IF(AND(LEFT($W38,4)="RHEL", $K38="Physical"), CONCATENATE("OS:",CHAR(10),"Data:",CHAR(10)),
                   IF(AND(LEFT($Y38,5)="MSSQL",$L38&lt;&gt;"",$AS38&lt;&gt;""),SQL_FS($AS38,$L38),
                         IF(AND(LEFT($Y38,3)="EDH",$AS38&lt;&gt;""),PaaS_SQL_FS($AS38),
                           IF(AND(LEFT($Y38,5)="MSSQL",OR($L38="",$AS38="")),"Please enter CPUs and Initial DB Size (Column AS)",""))))),"")</f>
        <v/>
      </c>
      <c r="Q38" s="531"/>
      <c r="R38" s="549"/>
      <c r="S38" s="2151" t="str">
        <f t="shared" si="17"/>
        <v/>
      </c>
      <c r="T38" s="2890" t="str">
        <f t="shared" si="18"/>
        <v/>
      </c>
      <c r="U38" s="550" t="str">
        <f>IF(B38&lt;&gt;"",IF($D38="Existing","0",COUNTIF(IP!B:B,'Distributed Assets'!B38)),"")</f>
        <v/>
      </c>
      <c r="V38" s="551"/>
      <c r="W38" s="2152" t="str">
        <f t="shared" si="15"/>
        <v/>
      </c>
      <c r="X38" s="2534" t="str">
        <f t="shared" si="4"/>
        <v/>
      </c>
      <c r="Y38" s="2152"/>
      <c r="Z38" s="549"/>
      <c r="AA38" s="2997"/>
      <c r="AB38" s="2807" t="str">
        <f t="shared" si="5"/>
        <v/>
      </c>
      <c r="AC38" s="2134"/>
      <c r="AD38" s="553"/>
      <c r="AE38" s="554"/>
      <c r="AF38" s="2153"/>
      <c r="AG38" s="805"/>
      <c r="AH38" s="834" t="str">
        <f>IF($B38&lt;&gt;"",
IF(OR($G38="Standard", $G38="HA"),
IF($G38="Standard",VLOOKUP($E38,Pod_standard_mod,6,FALSE),
IF($G38="HA",VLOOKUP($E38,Pod_ha_mod,6,FALSE)))),"")</f>
        <v/>
      </c>
      <c r="AI38" s="2953" t="str">
        <f t="shared" si="9"/>
        <v/>
      </c>
      <c r="AJ38" s="834"/>
      <c r="AK38" s="2562"/>
      <c r="AL38" s="2958" t="str">
        <f t="shared" si="6"/>
        <v/>
      </c>
      <c r="AM38" s="2235"/>
      <c r="AN38" s="2236"/>
      <c r="AO38" s="2235"/>
      <c r="AP38" s="2237"/>
      <c r="AQ38" s="2240" t="str">
        <f t="shared" si="7"/>
        <v/>
      </c>
      <c r="AR38" s="2804" t="str">
        <f t="shared" si="11"/>
        <v/>
      </c>
      <c r="AS38" s="2241"/>
      <c r="AT38" s="2087" t="str">
        <f>IF($B38&lt;&gt;"",
      IF($J38="Windows","N/A",
        IF($J38="AIX",
               IF($Y38="Oracle Standalone 11.2",Oracle_Standalone_fs($AS38),
               IF($Y38="Oracle HACMP 11.2 - Node 1", Oracle_HACMP_Node_1($AS38),
               IF($Y38="Oracle HACMP 11.2 - Node 2", Oracle_HACMP_Node_2($AS38),
               IF($Y38="Oracle-RAC","Oracle RAC requires special config
work with Open Systems",
               IF($Y38="db2_fs",DB2_FS($AS38),
               IF($Y38="","N/A","")))))))),"")</f>
        <v/>
      </c>
      <c r="AU38" s="2421"/>
      <c r="AV38" s="2421"/>
      <c r="AW38" s="2421"/>
      <c r="AX38" s="2238"/>
      <c r="AY38" s="2242"/>
      <c r="AZ38" s="2086" t="str">
        <f t="shared" si="8"/>
        <v/>
      </c>
      <c r="BA38" s="2568" t="str">
        <f t="shared" si="12"/>
        <v/>
      </c>
      <c r="BE38" s="522"/>
      <c r="BF38" s="522"/>
      <c r="BG38" s="522"/>
      <c r="BH38" s="522"/>
      <c r="BI38" s="522"/>
      <c r="BJ38" s="522"/>
      <c r="BK38" s="522"/>
    </row>
    <row r="39" spans="2:63">
      <c r="B39" s="1068" t="str">
        <f t="shared" si="2"/>
        <v/>
      </c>
      <c r="C39" s="549"/>
      <c r="D39" s="552"/>
      <c r="E39" s="2143"/>
      <c r="F39" s="2724"/>
      <c r="G39" s="2883"/>
      <c r="H39" s="2876"/>
      <c r="I39" s="2541"/>
      <c r="J39" s="2541" t="str">
        <f>IF(AND($B39&lt;&gt;"",$D39="New"),
IF(LEFT($F39,3)="POD",
     IF($G39="Standard",VLOOKUP($E39,Pod_standard_mod,4,FALSE),
          IF($G39="HA",VLOOKUP($E39,Pod_ha_mod,4,FALSE))),""),"")</f>
        <v/>
      </c>
      <c r="K39" s="2117" t="str">
        <f t="shared" ref="K39" si="19">IF(AND($B39&lt;&gt;"",$D39="New"),
IF(LEFT($E39,5)="TomEE","Virtual",
       IF(LEFT($E39,5)="MSSQL","Virtual",
                   IF(LEFT($E39,4)=".net","Virtual",
                        IF(LEFT($E39,9)="Websphere","Virtual",
                             IF(LEFT($F39,3)="POD","Virtual",""))))),"")</f>
        <v/>
      </c>
      <c r="L39" s="2539" t="str">
        <f>IF($B39&lt;&gt;"",
    IF(AND(LEFT($F39,3)="POD",LEFT($G39,3)="Sta"),VLOOKUP($E39,Pod_standard_mod,7,FALSE),
    IF(AND(LEFT($F39,3)="POD",LEFT($G39,2)="HA"),VLOOKUP($E39,Pod_ha_mod,7,FALSE),"")),"")</f>
        <v/>
      </c>
      <c r="M39" s="531"/>
      <c r="N39" s="2536" t="str">
        <f>IF($B39&lt;&gt;"",
       IF(AND(LEFT($F39,3)="POD",LEFT($G39,3)="Sta"),VLOOKUP($E39,Pod_standard_mod,8,FALSE),
            IF(AND(LEFT($F39,3)="POD",LEFT($G39,2)="HA"),VLOOKUP($E39,Pod_ha_mod,8,FALSE),"")),"")</f>
        <v/>
      </c>
      <c r="O39" s="549"/>
      <c r="P39" s="2885" t="str">
        <f>IF($B39&lt;&gt;"",
IF(AND(LEFT($W39,7)="Windows", AND(LEFT($Y39,5)&lt;&gt;"MSSQL", LEFT($Y39,3)&lt;&gt;"EDH")),CONCATENATE("C:",CHAR(10),"D:",CHAR(10)),
     IF(AND(LEFT($W39,4)="RHEL", $K39="Physical"), CONCATENATE("OS:",CHAR(10),"Data:",CHAR(10)),
                   IF(AND(LEFT($Y39,5)="MSSQL",$L39&lt;&gt;"",$AS39&lt;&gt;""),SQL_FS($AS39,$L39),
                         IF(AND(LEFT($Y39,3)="EDH",$AS39&lt;&gt;""),PaaS_SQL_FS($AS39),
                           IF(AND(LEFT($Y39,5)="MSSQL",OR($L39="",$AS39="")),"Please enter CPUs and Initial DB Size (Column AS)",""))))),"")</f>
        <v/>
      </c>
      <c r="Q39" s="531"/>
      <c r="R39" s="549"/>
      <c r="S39" s="2151" t="str">
        <f t="shared" si="17"/>
        <v/>
      </c>
      <c r="T39" s="2890" t="str">
        <f t="shared" si="18"/>
        <v/>
      </c>
      <c r="U39" s="550" t="str">
        <f>IF(B39&lt;&gt;"",IF($D39="Existing","0",COUNTIF(IP!B:B,'Distributed Assets'!B39)),"")</f>
        <v/>
      </c>
      <c r="V39" s="551"/>
      <c r="W39" s="2152" t="str">
        <f t="shared" si="15"/>
        <v/>
      </c>
      <c r="X39" s="2534" t="str">
        <f t="shared" si="4"/>
        <v/>
      </c>
      <c r="Y39" s="2152"/>
      <c r="Z39" s="549"/>
      <c r="AA39" s="2997"/>
      <c r="AB39" s="2807" t="str">
        <f t="shared" si="5"/>
        <v/>
      </c>
      <c r="AC39" s="2134"/>
      <c r="AD39" s="553"/>
      <c r="AE39" s="554"/>
      <c r="AF39" s="2153"/>
      <c r="AG39" s="805"/>
      <c r="AH39" s="834" t="str">
        <f>IF($B39&lt;&gt;"",
IF(OR($G39="Standard", $G39="HA"),
IF($G39="Standard",VLOOKUP($E39,Pod_standard_mod,6,FALSE),
IF($G39="HA",VLOOKUP($E39,Pod_ha_mod,6,FALSE)))),"")</f>
        <v/>
      </c>
      <c r="AI39" s="2953" t="str">
        <f t="shared" si="9"/>
        <v/>
      </c>
      <c r="AJ39" s="834"/>
      <c r="AK39" s="2562"/>
      <c r="AL39" s="2958" t="str">
        <f t="shared" si="6"/>
        <v/>
      </c>
      <c r="AM39" s="2235"/>
      <c r="AN39" s="2236"/>
      <c r="AO39" s="2235"/>
      <c r="AP39" s="2237"/>
      <c r="AQ39" s="2240" t="str">
        <f t="shared" si="7"/>
        <v/>
      </c>
      <c r="AR39" s="2804" t="str">
        <f t="shared" si="11"/>
        <v/>
      </c>
      <c r="AS39" s="2241"/>
      <c r="AT39" s="2087" t="str">
        <f>IF($B39&lt;&gt;"",
      IF($J39="Windows","N/A",
        IF($J39="AIX",
               IF($Y39="Oracle Standalone 11.2",Oracle_Standalone_fs($AS39),
               IF($Y39="Oracle HACMP 11.2 - Node 1", Oracle_HACMP_Node_1($AS39),
               IF($Y39="Oracle HACMP 11.2 - Node 2", Oracle_HACMP_Node_2($AS39),
               IF($Y39="Oracle-RAC","Oracle RAC requires special config
work with Open Systems",
               IF($Y39="db2_fs",DB2_FS($AS39),
               IF($Y39="","N/A","")))))))),"")</f>
        <v/>
      </c>
      <c r="AU39" s="2421"/>
      <c r="AV39" s="2421"/>
      <c r="AW39" s="2421"/>
      <c r="AX39" s="2238"/>
      <c r="AY39" s="2242"/>
      <c r="AZ39" s="2086" t="str">
        <f t="shared" si="8"/>
        <v/>
      </c>
      <c r="BA39" s="2568" t="str">
        <f t="shared" si="12"/>
        <v/>
      </c>
      <c r="BE39" s="522"/>
      <c r="BF39" s="522"/>
      <c r="BG39" s="522"/>
      <c r="BH39" s="522"/>
      <c r="BI39" s="522"/>
      <c r="BJ39" s="522"/>
      <c r="BK39" s="522"/>
    </row>
    <row r="40" spans="2:63">
      <c r="B40" s="1068" t="str">
        <f t="shared" si="2"/>
        <v/>
      </c>
      <c r="C40" s="549"/>
      <c r="D40" s="552"/>
      <c r="E40" s="2143"/>
      <c r="F40" s="2724"/>
      <c r="G40" s="2883"/>
      <c r="H40" s="2876"/>
      <c r="I40" s="2541"/>
      <c r="J40" s="2541" t="str">
        <f>IF(AND($B40&lt;&gt;"",$D40="New"),
IF(LEFT($F40,3)="POD",
     IF($G40="Standard",VLOOKUP($E40,Pod_standard_mod,4,FALSE),
          IF($G40="HA",VLOOKUP($E40,Pod_ha_mod,4,FALSE))),""),"")</f>
        <v/>
      </c>
      <c r="K40" s="2117" t="str">
        <f t="shared" ref="K40:K102" si="20">IF(AND($B40&lt;&gt;"",$D40="New"),
IF(LEFT($E40,5)="TomEE","Virtual",
       IF(LEFT($E40,5)="MSSQL","Virtual",
                   IF(LEFT($E40,4)=".net","Virtual",
                        IF(LEFT($E40,9)="Websphere","Virtual",
                             IF(LEFT($F40,3)="POD","Virtual",""))))),"")</f>
        <v/>
      </c>
      <c r="L40" s="2539" t="str">
        <f>IF($B40&lt;&gt;"",
    IF(AND(LEFT($F40,3)="POD",LEFT($G40,3)="Sta"),VLOOKUP($E40,Pod_standard_mod,7,FALSE),
    IF(AND(LEFT($F40,3)="POD",LEFT($G40,2)="HA"),VLOOKUP($E40,Pod_ha_mod,7,FALSE),"")),"")</f>
        <v/>
      </c>
      <c r="M40" s="531"/>
      <c r="N40" s="2536" t="str">
        <f>IF($B40&lt;&gt;"",
       IF(AND(LEFT($F40,3)="POD",LEFT($G40,3)="Sta"),VLOOKUP($E40,Pod_standard_mod,8,FALSE),
            IF(AND(LEFT($F40,3)="POD",LEFT($G40,2)="HA"),VLOOKUP($E40,Pod_ha_mod,8,FALSE),"")),"")</f>
        <v/>
      </c>
      <c r="O40" s="549"/>
      <c r="P40" s="2885" t="str">
        <f>IF($B40&lt;&gt;"",
IF(AND(LEFT($W40,7)="Windows", AND(LEFT($Y40,5)&lt;&gt;"MSSQL", LEFT($Y40,3)&lt;&gt;"EDH")),CONCATENATE("C:",CHAR(10),"D:",CHAR(10)),
     IF(AND(LEFT($W40,4)="RHEL", $K40="Physical"), CONCATENATE("OS:",CHAR(10),"Data:",CHAR(10)),
                   IF(AND(LEFT($Y40,5)="MSSQL",$L40&lt;&gt;"",$AS40&lt;&gt;""),SQL_FS($AS40,$L40),
                         IF(AND(LEFT($Y40,3)="EDH",$AS40&lt;&gt;""),PaaS_SQL_FS($AS40),
                           IF(AND(LEFT($Y40,5)="MSSQL",OR($L40="",$AS40="")),"Please enter CPUs and Initial DB Size (Column AS)",""))))),"")</f>
        <v/>
      </c>
      <c r="Q40" s="531"/>
      <c r="R40" s="549"/>
      <c r="S40" s="2151" t="str">
        <f t="shared" si="17"/>
        <v/>
      </c>
      <c r="T40" s="2890" t="str">
        <f t="shared" si="18"/>
        <v/>
      </c>
      <c r="U40" s="550" t="str">
        <f>IF(B40&lt;&gt;"",IF($D40="Existing","0",COUNTIF(IP!B:B,'Distributed Assets'!B40)),"")</f>
        <v/>
      </c>
      <c r="V40" s="551"/>
      <c r="W40" s="2152" t="str">
        <f t="shared" si="15"/>
        <v/>
      </c>
      <c r="X40" s="2534" t="str">
        <f t="shared" ref="X40:X53" si="21">IF($B40&lt;&gt;"",
      IF(AND(LEFT($F40,3)="POD",$E40 &lt;&gt;"",$I40&lt;&gt;"DB"),$H40,""),"")</f>
        <v/>
      </c>
      <c r="Y40" s="2152"/>
      <c r="Z40" s="549"/>
      <c r="AA40" s="2997"/>
      <c r="AB40" s="2807" t="str">
        <f t="shared" si="5"/>
        <v/>
      </c>
      <c r="AC40" s="2134"/>
      <c r="AD40" s="553"/>
      <c r="AE40" s="554"/>
      <c r="AF40" s="2153"/>
      <c r="AG40" s="805"/>
      <c r="AH40" s="834" t="str">
        <f>IF($B40&lt;&gt;"",
IF(OR($G40="Standard", $G40="HA"),
IF($G40="Standard",VLOOKUP($E40,Pod_standard_mod,6,FALSE),
IF($G40="HA",VLOOKUP($E40,Pod_ha_mod,6,FALSE)))),"")</f>
        <v/>
      </c>
      <c r="AI40" s="2953" t="str">
        <f t="shared" si="9"/>
        <v/>
      </c>
      <c r="AJ40" s="834"/>
      <c r="AK40" s="2562"/>
      <c r="AL40" s="2958" t="str">
        <f t="shared" si="6"/>
        <v/>
      </c>
      <c r="AM40" s="2235"/>
      <c r="AN40" s="2236"/>
      <c r="AO40" s="2235"/>
      <c r="AP40" s="2237"/>
      <c r="AQ40" s="2240" t="str">
        <f t="shared" si="7"/>
        <v/>
      </c>
      <c r="AR40" s="2804" t="str">
        <f t="shared" si="11"/>
        <v/>
      </c>
      <c r="AS40" s="2241"/>
      <c r="AT40" s="2087" t="str">
        <f>IF($B40&lt;&gt;"",
      IF($J40="Windows","N/A",
        IF($J40="AIX",
               IF($Y40="Oracle Standalone 11.2",Oracle_Standalone_fs($AS40),
               IF($Y40="Oracle HACMP 11.2 - Node 1", Oracle_HACMP_Node_1($AS40),
               IF($Y40="Oracle HACMP 11.2 - Node 2", Oracle_HACMP_Node_2($AS40),
               IF($Y40="Oracle-RAC","Oracle RAC requires special config
work with Open Systems",
               IF($Y40="db2_fs",DB2_FS($AS40),
               IF($Y40="","N/A","")))))))),"")</f>
        <v/>
      </c>
      <c r="AU40" s="2421"/>
      <c r="AV40" s="2421"/>
      <c r="AW40" s="2421"/>
      <c r="AX40" s="2238"/>
      <c r="AY40" s="2242"/>
      <c r="AZ40" s="2086" t="str">
        <f t="shared" si="8"/>
        <v/>
      </c>
      <c r="BA40" s="2568" t="str">
        <f t="shared" si="12"/>
        <v/>
      </c>
      <c r="BE40" s="522"/>
      <c r="BF40" s="522"/>
      <c r="BG40" s="522"/>
      <c r="BH40" s="522"/>
      <c r="BI40" s="522"/>
      <c r="BJ40" s="522"/>
      <c r="BK40" s="522"/>
    </row>
    <row r="41" spans="2:63">
      <c r="B41" s="1068" t="str">
        <f t="shared" si="2"/>
        <v/>
      </c>
      <c r="C41" s="549"/>
      <c r="D41" s="552"/>
      <c r="E41" s="2143"/>
      <c r="F41" s="2724"/>
      <c r="G41" s="2883"/>
      <c r="H41" s="2876"/>
      <c r="I41" s="2541"/>
      <c r="J41" s="2541" t="str">
        <f>IF(AND($B41&lt;&gt;"",$D41="New"),
IF(LEFT($F41,3)="POD",
     IF($G41="Standard",VLOOKUP($E41,Pod_standard_mod,4,FALSE),
          IF($G41="HA",VLOOKUP($E41,Pod_ha_mod,4,FALSE))),""),"")</f>
        <v/>
      </c>
      <c r="K41" s="2117" t="str">
        <f t="shared" si="20"/>
        <v/>
      </c>
      <c r="L41" s="2539" t="str">
        <f>IF($B41&lt;&gt;"",
    IF(AND(LEFT($F41,3)="POD",LEFT($G41,3)="Sta"),VLOOKUP($E41,Pod_standard_mod,7,FALSE),
    IF(AND(LEFT($F41,3)="POD",LEFT($G41,2)="HA"),VLOOKUP($E41,Pod_ha_mod,7,FALSE),"")),"")</f>
        <v/>
      </c>
      <c r="M41" s="531"/>
      <c r="N41" s="2536" t="str">
        <f>IF($B41&lt;&gt;"",
       IF(AND(LEFT($F41,3)="POD",LEFT($G41,3)="Sta"),VLOOKUP($E41,Pod_standard_mod,8,FALSE),
            IF(AND(LEFT($F41,3)="POD",LEFT($G41,2)="HA"),VLOOKUP($E41,Pod_ha_mod,8,FALSE),"")),"")</f>
        <v/>
      </c>
      <c r="O41" s="549"/>
      <c r="P41" s="2885" t="str">
        <f>IF($B41&lt;&gt;"",
IF(AND(LEFT($W41,7)="Windows", AND(LEFT($Y41,5)&lt;&gt;"MSSQL", LEFT($Y41,3)&lt;&gt;"EDH")),CONCATENATE("C:",CHAR(10),"D:",CHAR(10)),
     IF(AND(LEFT($W41,4)="RHEL", $K41="Physical"), CONCATENATE("OS:",CHAR(10),"Data:",CHAR(10)),
                   IF(AND(LEFT($Y41,5)="MSSQL",$L41&lt;&gt;"",$AS41&lt;&gt;""),SQL_FS($AS41,$L41),
                         IF(AND(LEFT($Y41,3)="EDH",$AS41&lt;&gt;""),PaaS_SQL_FS($AS41),
                           IF(AND(LEFT($Y41,5)="MSSQL",OR($L41="",$AS41="")),"Please enter CPUs and Initial DB Size (Column AS)",""))))),"")</f>
        <v/>
      </c>
      <c r="Q41" s="531"/>
      <c r="R41" s="549"/>
      <c r="S41" s="2151" t="str">
        <f t="shared" si="17"/>
        <v/>
      </c>
      <c r="T41" s="2890" t="str">
        <f t="shared" si="18"/>
        <v/>
      </c>
      <c r="U41" s="550" t="str">
        <f>IF(B41&lt;&gt;"",IF($D41="Existing","0",COUNTIF(IP!B:B,'Distributed Assets'!B41)),"")</f>
        <v/>
      </c>
      <c r="V41" s="551"/>
      <c r="W41" s="2152" t="str">
        <f t="shared" ref="W41:W53" si="22">IF($B41&lt;&gt;"",
      IF(AND(LEFT($F41,3)="POD",$E41 &lt;&gt;""),$J41,""),"")</f>
        <v/>
      </c>
      <c r="X41" s="2534" t="str">
        <f t="shared" si="21"/>
        <v/>
      </c>
      <c r="Y41" s="2152"/>
      <c r="Z41" s="549"/>
      <c r="AA41" s="2997"/>
      <c r="AB41" s="2807" t="str">
        <f t="shared" si="5"/>
        <v/>
      </c>
      <c r="AC41" s="2134"/>
      <c r="AD41" s="553"/>
      <c r="AE41" s="554"/>
      <c r="AF41" s="2153"/>
      <c r="AG41" s="805"/>
      <c r="AH41" s="834" t="str">
        <f>IF($B41&lt;&gt;"",
IF(OR($G41="Standard", $G41="HA"),
IF($G41="Standard",VLOOKUP($E41,Pod_standard_mod,6,FALSE),
IF($G41="HA",VLOOKUP($E41,Pod_ha_mod,6,FALSE)))),"")</f>
        <v/>
      </c>
      <c r="AI41" s="2953" t="str">
        <f t="shared" si="9"/>
        <v/>
      </c>
      <c r="AJ41" s="834"/>
      <c r="AK41" s="2562"/>
      <c r="AL41" s="2958" t="str">
        <f t="shared" si="6"/>
        <v/>
      </c>
      <c r="AM41" s="2235"/>
      <c r="AN41" s="2236"/>
      <c r="AO41" s="2235"/>
      <c r="AP41" s="2237"/>
      <c r="AQ41" s="2240" t="str">
        <f t="shared" si="7"/>
        <v/>
      </c>
      <c r="AR41" s="2804" t="str">
        <f t="shared" si="11"/>
        <v/>
      </c>
      <c r="AS41" s="2241"/>
      <c r="AT41" s="2087" t="str">
        <f>IF($B41&lt;&gt;"",
      IF($J41="Windows","N/A",
        IF($J41="AIX",
               IF($Y41="Oracle Standalone 11.2",Oracle_Standalone_fs($AS41),
               IF($Y41="Oracle HACMP 11.2 - Node 1", Oracle_HACMP_Node_1($AS41),
               IF($Y41="Oracle HACMP 11.2 - Node 2", Oracle_HACMP_Node_2($AS41),
               IF($Y41="Oracle-RAC","Oracle RAC requires special config
work with Open Systems",
               IF($Y41="db2_fs",DB2_FS($AS41),
               IF($Y41="","N/A","")))))))),"")</f>
        <v/>
      </c>
      <c r="AU41" s="2421"/>
      <c r="AV41" s="2421"/>
      <c r="AW41" s="2421"/>
      <c r="AX41" s="2238"/>
      <c r="AY41" s="2242"/>
      <c r="AZ41" s="2086" t="str">
        <f t="shared" si="8"/>
        <v/>
      </c>
      <c r="BA41" s="2568" t="str">
        <f t="shared" si="12"/>
        <v/>
      </c>
      <c r="BE41" s="522"/>
      <c r="BF41" s="522"/>
      <c r="BG41" s="522"/>
      <c r="BH41" s="522"/>
      <c r="BI41" s="522"/>
      <c r="BJ41" s="522"/>
      <c r="BK41" s="522"/>
    </row>
    <row r="42" spans="2:63">
      <c r="B42" s="1068" t="str">
        <f t="shared" si="2"/>
        <v/>
      </c>
      <c r="C42" s="549"/>
      <c r="D42" s="552"/>
      <c r="E42" s="2143"/>
      <c r="F42" s="2724"/>
      <c r="G42" s="2883"/>
      <c r="H42" s="2876"/>
      <c r="I42" s="2541"/>
      <c r="J42" s="2541" t="str">
        <f>IF(AND($B42&lt;&gt;"",$D42="New"),
IF(LEFT($F42,3)="POD",
     IF($G42="Standard",VLOOKUP($E42,Pod_standard_mod,4,FALSE),
          IF($G42="HA",VLOOKUP($E42,Pod_ha_mod,4,FALSE))),""),"")</f>
        <v/>
      </c>
      <c r="K42" s="2117" t="str">
        <f t="shared" si="20"/>
        <v/>
      </c>
      <c r="L42" s="2539" t="str">
        <f>IF($B42&lt;&gt;"",
    IF(AND(LEFT($F42,3)="POD",LEFT($G42,3)="Sta"),VLOOKUP($E42,Pod_standard_mod,7,FALSE),
    IF(AND(LEFT($F42,3)="POD",LEFT($G42,2)="HA"),VLOOKUP($E42,Pod_ha_mod,7,FALSE),"")),"")</f>
        <v/>
      </c>
      <c r="M42" s="531"/>
      <c r="N42" s="2536" t="str">
        <f>IF($B42&lt;&gt;"",
       IF(AND(LEFT($F42,3)="POD",LEFT($G42,3)="Sta"),VLOOKUP($E42,Pod_standard_mod,8,FALSE),
            IF(AND(LEFT($F42,3)="POD",LEFT($G42,2)="HA"),VLOOKUP($E42,Pod_ha_mod,8,FALSE),"")),"")</f>
        <v/>
      </c>
      <c r="O42" s="549"/>
      <c r="P42" s="2885" t="str">
        <f>IF($B42&lt;&gt;"",
IF(AND(LEFT($W42,7)="Windows", AND(LEFT($Y42,5)&lt;&gt;"MSSQL", LEFT($Y42,3)&lt;&gt;"EDH")),CONCATENATE("C:",CHAR(10),"D:",CHAR(10)),
     IF(AND(LEFT($W42,4)="RHEL", $K42="Physical"), CONCATENATE("OS:",CHAR(10),"Data:",CHAR(10)),
                   IF(AND(LEFT($Y42,5)="MSSQL",$L42&lt;&gt;"",$AS42&lt;&gt;""),SQL_FS($AS42,$L42),
                         IF(AND(LEFT($Y42,3)="EDH",$AS42&lt;&gt;""),PaaS_SQL_FS($AS42),
                           IF(AND(LEFT($Y42,5)="MSSQL",OR($L42="",$AS42="")),"Please enter CPUs and Initial DB Size (Column AS)",""))))),"")</f>
        <v/>
      </c>
      <c r="Q42" s="531"/>
      <c r="R42" s="549"/>
      <c r="S42" s="2151" t="str">
        <f t="shared" si="17"/>
        <v/>
      </c>
      <c r="T42" s="2890" t="str">
        <f t="shared" si="18"/>
        <v/>
      </c>
      <c r="U42" s="550" t="str">
        <f>IF(B42&lt;&gt;"",IF($D42="Existing","0",COUNTIF(IP!B:B,'Distributed Assets'!B42)),"")</f>
        <v/>
      </c>
      <c r="V42" s="551"/>
      <c r="W42" s="2152" t="str">
        <f t="shared" si="22"/>
        <v/>
      </c>
      <c r="X42" s="2534" t="str">
        <f t="shared" si="21"/>
        <v/>
      </c>
      <c r="Y42" s="2152"/>
      <c r="Z42" s="549"/>
      <c r="AA42" s="2997"/>
      <c r="AB42" s="2807" t="str">
        <f t="shared" si="5"/>
        <v/>
      </c>
      <c r="AC42" s="2134"/>
      <c r="AD42" s="553"/>
      <c r="AE42" s="554"/>
      <c r="AF42" s="2153"/>
      <c r="AG42" s="805"/>
      <c r="AH42" s="834" t="str">
        <f>IF($B42&lt;&gt;"",
IF(OR($G42="Standard", $G42="HA"),
IF($G42="Standard",VLOOKUP($E42,Pod_standard_mod,6,FALSE),
IF($G42="HA",VLOOKUP($E42,Pod_ha_mod,6,FALSE)))),"")</f>
        <v/>
      </c>
      <c r="AI42" s="2953" t="str">
        <f t="shared" si="9"/>
        <v/>
      </c>
      <c r="AJ42" s="834"/>
      <c r="AK42" s="2562"/>
      <c r="AL42" s="2958" t="str">
        <f t="shared" si="6"/>
        <v/>
      </c>
      <c r="AM42" s="2235"/>
      <c r="AN42" s="2236"/>
      <c r="AO42" s="2235"/>
      <c r="AP42" s="2237"/>
      <c r="AQ42" s="2240" t="str">
        <f t="shared" si="7"/>
        <v/>
      </c>
      <c r="AR42" s="2804" t="str">
        <f t="shared" si="11"/>
        <v/>
      </c>
      <c r="AS42" s="2241"/>
      <c r="AT42" s="2087" t="str">
        <f>IF($B42&lt;&gt;"",
      IF($J42="Windows","N/A",
        IF($J42="AIX",
               IF($Y42="Oracle Standalone 11.2",Oracle_Standalone_fs($AS42),
               IF($Y42="Oracle HACMP 11.2 - Node 1", Oracle_HACMP_Node_1($AS42),
               IF($Y42="Oracle HACMP 11.2 - Node 2", Oracle_HACMP_Node_2($AS42),
               IF($Y42="Oracle-RAC","Oracle RAC requires special config
work with Open Systems",
               IF($Y42="db2_fs",DB2_FS($AS42),
               IF($Y42="","N/A","")))))))),"")</f>
        <v/>
      </c>
      <c r="AU42" s="2421"/>
      <c r="AV42" s="2421"/>
      <c r="AW42" s="2421"/>
      <c r="AX42" s="2238"/>
      <c r="AY42" s="2242"/>
      <c r="AZ42" s="2086" t="str">
        <f t="shared" si="8"/>
        <v/>
      </c>
      <c r="BA42" s="2568" t="str">
        <f t="shared" si="12"/>
        <v/>
      </c>
      <c r="BE42" s="522"/>
      <c r="BF42" s="522"/>
      <c r="BG42" s="522"/>
      <c r="BH42" s="522"/>
      <c r="BI42" s="522"/>
      <c r="BJ42" s="522"/>
      <c r="BK42" s="522"/>
    </row>
    <row r="43" spans="2:63">
      <c r="B43" s="1068" t="str">
        <f t="shared" si="2"/>
        <v/>
      </c>
      <c r="C43" s="549"/>
      <c r="D43" s="552"/>
      <c r="E43" s="2143"/>
      <c r="F43" s="2724"/>
      <c r="G43" s="2883"/>
      <c r="H43" s="2876"/>
      <c r="I43" s="2541"/>
      <c r="J43" s="2541" t="str">
        <f>IF(AND($B43&lt;&gt;"",$D43="New"),
IF(LEFT($F43,3)="POD",
     IF($G43="Standard",VLOOKUP($E43,Pod_standard_mod,4,FALSE),
          IF($G43="HA",VLOOKUP($E43,Pod_ha_mod,4,FALSE))),""),"")</f>
        <v/>
      </c>
      <c r="K43" s="2117" t="str">
        <f t="shared" si="20"/>
        <v/>
      </c>
      <c r="L43" s="2539" t="str">
        <f>IF($B43&lt;&gt;"",
    IF(AND(LEFT($F43,3)="POD",LEFT($G43,3)="Sta"),VLOOKUP($E43,Pod_standard_mod,7,FALSE),
    IF(AND(LEFT($F43,3)="POD",LEFT($G43,2)="HA"),VLOOKUP($E43,Pod_ha_mod,7,FALSE),"")),"")</f>
        <v/>
      </c>
      <c r="M43" s="531"/>
      <c r="N43" s="2536" t="str">
        <f>IF($B43&lt;&gt;"",
       IF(AND(LEFT($F43,3)="POD",LEFT($G43,3)="Sta"),VLOOKUP($E43,Pod_standard_mod,8,FALSE),
            IF(AND(LEFT($F43,3)="POD",LEFT($G43,2)="HA"),VLOOKUP($E43,Pod_ha_mod,8,FALSE),"")),"")</f>
        <v/>
      </c>
      <c r="O43" s="549"/>
      <c r="P43" s="2885" t="str">
        <f>IF($B43&lt;&gt;"",
IF(AND(LEFT($W43,7)="Windows", AND(LEFT($Y43,5)&lt;&gt;"MSSQL", LEFT($Y43,3)&lt;&gt;"EDH")),CONCATENATE("C:",CHAR(10),"D:",CHAR(10)),
     IF(AND(LEFT($W43,4)="RHEL", $K43="Physical"), CONCATENATE("OS:",CHAR(10),"Data:",CHAR(10)),
                   IF(AND(LEFT($Y43,5)="MSSQL",$L43&lt;&gt;"",$AS43&lt;&gt;""),SQL_FS($AS43,$L43),
                         IF(AND(LEFT($Y43,3)="EDH",$AS43&lt;&gt;""),PaaS_SQL_FS($AS43),
                           IF(AND(LEFT($Y43,5)="MSSQL",OR($L43="",$AS43="")),"Please enter CPUs and Initial DB Size (Column AS)",""))))),"")</f>
        <v/>
      </c>
      <c r="Q43" s="531"/>
      <c r="R43" s="549"/>
      <c r="S43" s="2151" t="str">
        <f t="shared" si="17"/>
        <v/>
      </c>
      <c r="T43" s="2890" t="str">
        <f t="shared" si="18"/>
        <v/>
      </c>
      <c r="U43" s="550" t="str">
        <f>IF(B43&lt;&gt;"",IF($D43="Existing","0",COUNTIF(IP!B:B,'Distributed Assets'!B43)),"")</f>
        <v/>
      </c>
      <c r="V43" s="551"/>
      <c r="W43" s="2152" t="str">
        <f t="shared" si="22"/>
        <v/>
      </c>
      <c r="X43" s="2534" t="str">
        <f t="shared" si="21"/>
        <v/>
      </c>
      <c r="Y43" s="2152"/>
      <c r="Z43" s="549"/>
      <c r="AA43" s="2997"/>
      <c r="AB43" s="2807" t="str">
        <f t="shared" si="5"/>
        <v/>
      </c>
      <c r="AC43" s="2134"/>
      <c r="AD43" s="553"/>
      <c r="AE43" s="554"/>
      <c r="AF43" s="2153"/>
      <c r="AG43" s="805"/>
      <c r="AH43" s="834" t="str">
        <f>IF($B43&lt;&gt;"",
IF(OR($G43="Standard", $G43="HA"),
IF($G43="Standard",VLOOKUP($E43,Pod_standard_mod,6,FALSE),
IF($G43="HA",VLOOKUP($E43,Pod_ha_mod,6,FALSE)))),"")</f>
        <v/>
      </c>
      <c r="AI43" s="2953" t="str">
        <f t="shared" si="9"/>
        <v/>
      </c>
      <c r="AJ43" s="834"/>
      <c r="AK43" s="2562"/>
      <c r="AL43" s="2958" t="str">
        <f t="shared" si="6"/>
        <v/>
      </c>
      <c r="AM43" s="2235"/>
      <c r="AN43" s="2236"/>
      <c r="AO43" s="2235"/>
      <c r="AP43" s="2237"/>
      <c r="AQ43" s="2240" t="str">
        <f t="shared" si="7"/>
        <v/>
      </c>
      <c r="AR43" s="2804" t="str">
        <f t="shared" si="11"/>
        <v/>
      </c>
      <c r="AS43" s="2241"/>
      <c r="AT43" s="2087" t="str">
        <f>IF($B43&lt;&gt;"",
      IF($J43="Windows","N/A",
        IF($J43="AIX",
               IF($Y43="Oracle Standalone 11.2",Oracle_Standalone_fs($AS43),
               IF($Y43="Oracle HACMP 11.2 - Node 1", Oracle_HACMP_Node_1($AS43),
               IF($Y43="Oracle HACMP 11.2 - Node 2", Oracle_HACMP_Node_2($AS43),
               IF($Y43="Oracle-RAC","Oracle RAC requires special config
work with Open Systems",
               IF($Y43="db2_fs",DB2_FS($AS43),
               IF($Y43="","N/A","")))))))),"")</f>
        <v/>
      </c>
      <c r="AU43" s="2421"/>
      <c r="AV43" s="2421"/>
      <c r="AW43" s="2421"/>
      <c r="AX43" s="2238"/>
      <c r="AY43" s="2242"/>
      <c r="AZ43" s="2086" t="str">
        <f t="shared" si="8"/>
        <v/>
      </c>
      <c r="BA43" s="2568" t="str">
        <f t="shared" si="12"/>
        <v/>
      </c>
      <c r="BE43" s="522"/>
      <c r="BF43" s="522"/>
      <c r="BG43" s="522"/>
      <c r="BH43" s="522"/>
      <c r="BI43" s="522"/>
      <c r="BJ43" s="522"/>
      <c r="BK43" s="522"/>
    </row>
    <row r="44" spans="2:63">
      <c r="B44" s="1068" t="str">
        <f t="shared" si="2"/>
        <v/>
      </c>
      <c r="C44" s="549"/>
      <c r="D44" s="552"/>
      <c r="E44" s="2143"/>
      <c r="F44" s="2724"/>
      <c r="G44" s="2883"/>
      <c r="H44" s="2876"/>
      <c r="I44" s="2541"/>
      <c r="J44" s="2541" t="str">
        <f>IF(AND($B44&lt;&gt;"",$D44="New"),
IF(LEFT($F44,3)="POD",
     IF($G44="Standard",VLOOKUP($E44,Pod_standard_mod,4,FALSE),
          IF($G44="HA",VLOOKUP($E44,Pod_ha_mod,4,FALSE))),""),"")</f>
        <v/>
      </c>
      <c r="K44" s="2117" t="str">
        <f t="shared" si="20"/>
        <v/>
      </c>
      <c r="L44" s="2555" t="str">
        <f>IF($B44&lt;&gt;"",
    IF(AND(LEFT($F44,3)="POD",LEFT($G44,3)="Sta"),VLOOKUP($E44,Pod_standard_mod,7,FALSE),
    IF(AND(LEFT($F44,3)="POD",LEFT($G44,2)="HA"),VLOOKUP($E44,Pod_ha_mod,7,FALSE),"")),"")</f>
        <v/>
      </c>
      <c r="M44" s="531"/>
      <c r="N44" s="2554" t="str">
        <f>IF($B44&lt;&gt;"",
       IF(AND(LEFT($F44,3)="POD",LEFT($G44,3)="Sta"),VLOOKUP($E44,Pod_standard_mod,8,FALSE),
            IF(AND(LEFT($F44,3)="POD",LEFT($G44,2)="HA"),VLOOKUP($E44,Pod_ha_mod,8,FALSE),"")),"")</f>
        <v/>
      </c>
      <c r="O44" s="549"/>
      <c r="P44" s="2885" t="str">
        <f>IF($B44&lt;&gt;"",
IF(AND(LEFT($W44,7)="Windows", AND(LEFT($Y44,5)&lt;&gt;"MSSQL", LEFT($Y44,3)&lt;&gt;"EDH")),CONCATENATE("C:",CHAR(10),"D:",CHAR(10)),
     IF(AND(LEFT($W44,4)="RHEL", $K44="Physical"), CONCATENATE("OS:",CHAR(10),"Data:",CHAR(10)),
                   IF(AND(LEFT($Y44,5)="MSSQL",$L44&lt;&gt;"",$AS44&lt;&gt;""),SQL_FS($AS44,$L44),
                         IF(AND(LEFT($Y44,3)="EDH",$AS44&lt;&gt;""),PaaS_SQL_FS($AS44),
                           IF(AND(LEFT($Y44,5)="MSSQL",OR($L44="",$AS44="")),"Please enter CPUs and Initial DB Size (Column AS)",""))))),"")</f>
        <v/>
      </c>
      <c r="Q44" s="531"/>
      <c r="R44" s="549"/>
      <c r="S44" s="2151" t="str">
        <f t="shared" si="17"/>
        <v/>
      </c>
      <c r="T44" s="2890" t="str">
        <f t="shared" si="18"/>
        <v/>
      </c>
      <c r="U44" s="550" t="str">
        <f>IF(B44&lt;&gt;"",IF($D44="Existing","0",COUNTIF(IP!B:B,'Distributed Assets'!B44)),"")</f>
        <v/>
      </c>
      <c r="V44" s="551"/>
      <c r="W44" s="2152" t="str">
        <f t="shared" si="22"/>
        <v/>
      </c>
      <c r="X44" s="2534" t="str">
        <f t="shared" si="21"/>
        <v/>
      </c>
      <c r="Y44" s="2152"/>
      <c r="Z44" s="549"/>
      <c r="AA44" s="2997"/>
      <c r="AB44" s="2807" t="str">
        <f t="shared" si="5"/>
        <v/>
      </c>
      <c r="AC44" s="2134"/>
      <c r="AD44" s="553"/>
      <c r="AE44" s="554"/>
      <c r="AF44" s="2153"/>
      <c r="AG44" s="805"/>
      <c r="AH44" s="834" t="str">
        <f>IF($B44&lt;&gt;"",
IF(OR($G44="Standard", $G44="HA"),
IF($G44="Standard",VLOOKUP($E44,Pod_standard_mod,6,FALSE),
IF($G44="HA",VLOOKUP($E44,Pod_ha_mod,6,FALSE)))),"")</f>
        <v/>
      </c>
      <c r="AI44" s="2953" t="str">
        <f t="shared" si="9"/>
        <v/>
      </c>
      <c r="AJ44" s="834"/>
      <c r="AK44" s="2562"/>
      <c r="AL44" s="2958" t="str">
        <f t="shared" si="6"/>
        <v/>
      </c>
      <c r="AM44" s="2235"/>
      <c r="AN44" s="2236"/>
      <c r="AO44" s="2235"/>
      <c r="AP44" s="2237"/>
      <c r="AQ44" s="2240" t="str">
        <f t="shared" si="7"/>
        <v/>
      </c>
      <c r="AR44" s="2804" t="str">
        <f t="shared" si="11"/>
        <v/>
      </c>
      <c r="AS44" s="2241"/>
      <c r="AT44" s="2087" t="str">
        <f>IF($B44&lt;&gt;"",
      IF($J44="Windows","N/A",
        IF($J44="AIX",
               IF($Y44="Oracle Standalone 11.2",Oracle_Standalone_fs($AS44),
               IF($Y44="Oracle HACMP 11.2 - Node 1", Oracle_HACMP_Node_1($AS44),
               IF($Y44="Oracle HACMP 11.2 - Node 2", Oracle_HACMP_Node_2($AS44),
               IF($Y44="Oracle-RAC","Oracle RAC requires special config
work with Open Systems",
               IF($Y44="db2_fs",DB2_FS($AS44),
               IF($Y44="","N/A","")))))))),"")</f>
        <v/>
      </c>
      <c r="AU44" s="2421"/>
      <c r="AV44" s="2421"/>
      <c r="AW44" s="2421"/>
      <c r="AX44" s="2238"/>
      <c r="AY44" s="2242"/>
      <c r="AZ44" s="2086" t="str">
        <f t="shared" si="8"/>
        <v/>
      </c>
      <c r="BA44" s="2568" t="str">
        <f t="shared" si="12"/>
        <v/>
      </c>
      <c r="BE44" s="522"/>
      <c r="BF44" s="522"/>
      <c r="BG44" s="522"/>
      <c r="BH44" s="522"/>
      <c r="BI44" s="522"/>
      <c r="BJ44" s="522"/>
      <c r="BK44" s="522"/>
    </row>
    <row r="45" spans="2:63">
      <c r="B45" s="1068" t="str">
        <f t="shared" si="2"/>
        <v/>
      </c>
      <c r="C45" s="549"/>
      <c r="D45" s="552"/>
      <c r="E45" s="2143"/>
      <c r="F45" s="2724"/>
      <c r="G45" s="2883"/>
      <c r="H45" s="2876"/>
      <c r="I45" s="2541"/>
      <c r="J45" s="2194" t="str">
        <f>IF(AND($B45&lt;&gt;"",$D45="New"),
IF(LEFT($F45,3)="POD",
     IF($G45="Standard",VLOOKUP($E45,Pod_standard_mod,4,FALSE),
          IF($G45="HA",VLOOKUP($E45,Pod_ha_mod,4,FALSE))),""),"")</f>
        <v/>
      </c>
      <c r="K45" s="2117" t="str">
        <f t="shared" si="20"/>
        <v/>
      </c>
      <c r="L45" s="2540" t="str">
        <f>IF($B45&lt;&gt;"",
    IF(AND(LEFT($F45,3)="POD",LEFT($G45,3)="Sta"),VLOOKUP($E45,Pod_standard_mod,7,FALSE),
    IF(AND(LEFT($F45,3)="POD",LEFT($G45,2)="HA"),VLOOKUP($E45,Pod_ha_mod,7,FALSE),"")),"")</f>
        <v/>
      </c>
      <c r="M45" s="531"/>
      <c r="N45" s="2538" t="str">
        <f>IF($B45&lt;&gt;"",
       IF(AND(LEFT($F45,3)="POD",LEFT($G45,3)="Sta"),VLOOKUP($E45,Pod_standard_mod,8,FALSE),
            IF(AND(LEFT($F45,3)="POD",LEFT($G45,2)="HA"),VLOOKUP($E45,Pod_ha_mod,8,FALSE),"")),"")</f>
        <v/>
      </c>
      <c r="O45" s="549"/>
      <c r="P45" s="2885" t="str">
        <f>IF($B45&lt;&gt;"",
IF(AND(LEFT($W45,7)="Windows", AND(LEFT($Y45,5)&lt;&gt;"MSSQL", LEFT($Y45,3)&lt;&gt;"EDH")),CONCATENATE("C:",CHAR(10),"D:",CHAR(10)),
     IF(AND(LEFT($W45,4)="RHEL", $K45="Physical"), CONCATENATE("OS:",CHAR(10),"Data:",CHAR(10)),
                   IF(AND(LEFT($Y45,5)="MSSQL",$L45&lt;&gt;"",$AS45&lt;&gt;""),SQL_FS($AS45,$L45),
                         IF(AND(LEFT($Y45,3)="EDH",$AS45&lt;&gt;""),PaaS_SQL_FS($AS45),
                           IF(AND(LEFT($Y45,5)="MSSQL",OR($L45="",$AS45="")),"Please enter CPUs and Initial DB Size (Column AS)",""))))),"")</f>
        <v/>
      </c>
      <c r="Q45" s="531"/>
      <c r="R45" s="549"/>
      <c r="S45" s="2151" t="str">
        <f t="shared" si="17"/>
        <v/>
      </c>
      <c r="T45" s="2890" t="str">
        <f t="shared" si="18"/>
        <v/>
      </c>
      <c r="U45" s="550" t="str">
        <f>IF(B45&lt;&gt;"",IF($D45="Existing","0",COUNTIF(IP!B:B,'Distributed Assets'!B45)),"")</f>
        <v/>
      </c>
      <c r="V45" s="551"/>
      <c r="W45" s="2152" t="str">
        <f t="shared" si="22"/>
        <v/>
      </c>
      <c r="X45" s="2534" t="str">
        <f t="shared" si="21"/>
        <v/>
      </c>
      <c r="Y45" s="2152"/>
      <c r="Z45" s="549"/>
      <c r="AA45" s="2997"/>
      <c r="AB45" s="2807" t="str">
        <f t="shared" si="5"/>
        <v/>
      </c>
      <c r="AC45" s="2134"/>
      <c r="AD45" s="553"/>
      <c r="AE45" s="554"/>
      <c r="AF45" s="2153"/>
      <c r="AG45" s="805"/>
      <c r="AH45" s="834" t="str">
        <f>IF($B45&lt;&gt;"",
IF(OR($G45="Standard", $G45="HA"),
IF($G45="Standard",VLOOKUP($E45,Pod_standard_mod,6,FALSE),
IF($G45="HA",VLOOKUP($E45,Pod_ha_mod,6,FALSE)))),"")</f>
        <v/>
      </c>
      <c r="AI45" s="2953" t="str">
        <f t="shared" si="9"/>
        <v/>
      </c>
      <c r="AJ45" s="834"/>
      <c r="AK45" s="2562"/>
      <c r="AL45" s="2958" t="str">
        <f t="shared" si="6"/>
        <v/>
      </c>
      <c r="AM45" s="2235"/>
      <c r="AN45" s="2236"/>
      <c r="AO45" s="2235"/>
      <c r="AP45" s="2237"/>
      <c r="AQ45" s="2240" t="str">
        <f t="shared" si="7"/>
        <v/>
      </c>
      <c r="AR45" s="2804" t="str">
        <f t="shared" si="11"/>
        <v/>
      </c>
      <c r="AS45" s="2241"/>
      <c r="AT45" s="2087" t="str">
        <f>IF($B45&lt;&gt;"",
      IF($J45="Windows","N/A",
        IF($J45="AIX",
               IF($Y45="Oracle Standalone 11.2",Oracle_Standalone_fs($AS45),
               IF($Y45="Oracle HACMP 11.2 - Node 1", Oracle_HACMP_Node_1($AS45),
               IF($Y45="Oracle HACMP 11.2 - Node 2", Oracle_HACMP_Node_2($AS45),
               IF($Y45="Oracle-RAC","Oracle RAC requires special config
work with Open Systems",
               IF($Y45="db2_fs",DB2_FS($AS45),
               IF($Y45="","N/A","")))))))),"")</f>
        <v/>
      </c>
      <c r="AU45" s="2421"/>
      <c r="AV45" s="2421"/>
      <c r="AW45" s="2421"/>
      <c r="AX45" s="2238"/>
      <c r="AY45" s="2242"/>
      <c r="AZ45" s="2086" t="str">
        <f t="shared" si="8"/>
        <v/>
      </c>
      <c r="BA45" s="2568" t="str">
        <f t="shared" si="12"/>
        <v/>
      </c>
      <c r="BE45" s="522"/>
      <c r="BF45" s="522"/>
      <c r="BG45" s="522"/>
      <c r="BH45" s="522"/>
      <c r="BI45" s="522"/>
      <c r="BJ45" s="522"/>
      <c r="BK45" s="522"/>
    </row>
    <row r="46" spans="2:63">
      <c r="B46" s="1068" t="str">
        <f t="shared" si="2"/>
        <v/>
      </c>
      <c r="C46" s="549"/>
      <c r="D46" s="552"/>
      <c r="E46" s="2143"/>
      <c r="F46" s="2724"/>
      <c r="G46" s="2883"/>
      <c r="H46" s="2876"/>
      <c r="I46" s="2541"/>
      <c r="J46" s="2541" t="str">
        <f>IF(AND($B46&lt;&gt;"",$D46="New"),
IF(LEFT($F46,3)="POD",
     IF($G46="Standard",VLOOKUP($E46,Pod_standard_mod,4,FALSE),
          IF($G46="HA",VLOOKUP($E46,Pod_ha_mod,4,FALSE))),""),"")</f>
        <v/>
      </c>
      <c r="K46" s="2117" t="str">
        <f t="shared" si="20"/>
        <v/>
      </c>
      <c r="L46" s="2539" t="str">
        <f>IF($B46&lt;&gt;"",
    IF(AND(LEFT($F46,3)="POD",LEFT($G46,3)="Sta"),VLOOKUP($E46,Pod_standard_mod,7,FALSE),
    IF(AND(LEFT($F46,3)="POD",LEFT($G46,2)="HA"),VLOOKUP($E46,Pod_ha_mod,7,FALSE),"")),"")</f>
        <v/>
      </c>
      <c r="M46" s="531"/>
      <c r="N46" s="2536" t="str">
        <f>IF($B46&lt;&gt;"",
       IF(AND(LEFT($F46,3)="POD",LEFT($G46,3)="Sta"),VLOOKUP($E46,Pod_standard_mod,8,FALSE),
            IF(AND(LEFT($F46,3)="POD",LEFT($G46,2)="HA"),VLOOKUP($E46,Pod_ha_mod,8,FALSE),"")),"")</f>
        <v/>
      </c>
      <c r="O46" s="549"/>
      <c r="P46" s="2885" t="str">
        <f>IF($B46&lt;&gt;"",
IF(AND(LEFT($W46,7)="Windows", AND(LEFT($Y46,5)&lt;&gt;"MSSQL", LEFT($Y46,3)&lt;&gt;"EDH")),CONCATENATE("C:",CHAR(10),"D:",CHAR(10)),
     IF(AND(LEFT($W46,4)="RHEL", $K46="Physical"), CONCATENATE("OS:",CHAR(10),"Data:",CHAR(10)),
                   IF(AND(LEFT($Y46,5)="MSSQL",$L46&lt;&gt;"",$AS46&lt;&gt;""),SQL_FS($AS46,$L46),
                         IF(AND(LEFT($Y46,3)="EDH",$AS46&lt;&gt;""),PaaS_SQL_FS($AS46),
                           IF(AND(LEFT($Y46,5)="MSSQL",OR($L46="",$AS46="")),"Please enter CPUs and Initial DB Size (Column AS)",""))))),"")</f>
        <v/>
      </c>
      <c r="Q46" s="531"/>
      <c r="R46" s="549"/>
      <c r="S46" s="2151" t="str">
        <f t="shared" si="17"/>
        <v/>
      </c>
      <c r="T46" s="2890" t="str">
        <f t="shared" si="18"/>
        <v/>
      </c>
      <c r="U46" s="550" t="str">
        <f>IF(B46&lt;&gt;"",IF($D46="Existing","0",COUNTIF(IP!B:B,'Distributed Assets'!B46)),"")</f>
        <v/>
      </c>
      <c r="V46" s="551"/>
      <c r="W46" s="2152" t="str">
        <f t="shared" si="22"/>
        <v/>
      </c>
      <c r="X46" s="2534" t="str">
        <f t="shared" si="21"/>
        <v/>
      </c>
      <c r="Y46" s="2152"/>
      <c r="Z46" s="549"/>
      <c r="AA46" s="2997"/>
      <c r="AB46" s="2807" t="str">
        <f t="shared" si="5"/>
        <v/>
      </c>
      <c r="AC46" s="2134"/>
      <c r="AD46" s="553"/>
      <c r="AE46" s="554"/>
      <c r="AF46" s="2153"/>
      <c r="AG46" s="805"/>
      <c r="AH46" s="834" t="str">
        <f>IF($B46&lt;&gt;"",
IF(OR($G46="Standard", $G46="HA"),
IF($G46="Standard",VLOOKUP($E46,Pod_standard_mod,6,FALSE),
IF($G46="HA",VLOOKUP($E46,Pod_ha_mod,6,FALSE)))),"")</f>
        <v/>
      </c>
      <c r="AI46" s="2953" t="str">
        <f t="shared" si="9"/>
        <v/>
      </c>
      <c r="AJ46" s="834"/>
      <c r="AK46" s="2562"/>
      <c r="AL46" s="2958" t="str">
        <f t="shared" si="6"/>
        <v/>
      </c>
      <c r="AM46" s="2235"/>
      <c r="AN46" s="2236"/>
      <c r="AO46" s="2235"/>
      <c r="AP46" s="2237"/>
      <c r="AQ46" s="2240" t="str">
        <f t="shared" si="7"/>
        <v/>
      </c>
      <c r="AR46" s="2804" t="str">
        <f t="shared" si="11"/>
        <v/>
      </c>
      <c r="AS46" s="2241"/>
      <c r="AT46" s="2087" t="str">
        <f>IF($B46&lt;&gt;"",
      IF($J46="Windows","N/A",
        IF($J46="AIX",
               IF($Y46="Oracle Standalone 11.2",Oracle_Standalone_fs($AS46),
               IF($Y46="Oracle HACMP 11.2 - Node 1", Oracle_HACMP_Node_1($AS46),
               IF($Y46="Oracle HACMP 11.2 - Node 2", Oracle_HACMP_Node_2($AS46),
               IF($Y46="Oracle-RAC","Oracle RAC requires special config
work with Open Systems",
               IF($Y46="db2_fs",DB2_FS($AS46),
               IF($Y46="","N/A","")))))))),"")</f>
        <v/>
      </c>
      <c r="AU46" s="2421"/>
      <c r="AV46" s="2421"/>
      <c r="AW46" s="2421"/>
      <c r="AX46" s="2238"/>
      <c r="AY46" s="2242"/>
      <c r="AZ46" s="2086" t="str">
        <f t="shared" si="8"/>
        <v/>
      </c>
      <c r="BA46" s="2568" t="str">
        <f t="shared" si="12"/>
        <v/>
      </c>
      <c r="BE46" s="522"/>
      <c r="BF46" s="522"/>
      <c r="BG46" s="522"/>
      <c r="BH46" s="522"/>
      <c r="BI46" s="522"/>
      <c r="BJ46" s="522"/>
      <c r="BK46" s="522"/>
    </row>
    <row r="47" spans="2:63">
      <c r="B47" s="1068" t="str">
        <f t="shared" si="2"/>
        <v/>
      </c>
      <c r="C47" s="549"/>
      <c r="D47" s="552"/>
      <c r="E47" s="2143"/>
      <c r="F47" s="2724"/>
      <c r="G47" s="2883"/>
      <c r="H47" s="2876"/>
      <c r="I47" s="2541"/>
      <c r="J47" s="2541" t="str">
        <f>IF(AND($B47&lt;&gt;"",$D47="New"),
IF(LEFT($F47,3)="POD",
     IF($G47="Standard",VLOOKUP($E47,Pod_standard_mod,4,FALSE),
          IF($G47="HA",VLOOKUP($E47,Pod_ha_mod,4,FALSE))),""),"")</f>
        <v/>
      </c>
      <c r="K47" s="2117" t="str">
        <f t="shared" si="20"/>
        <v/>
      </c>
      <c r="L47" s="2539" t="str">
        <f>IF($B47&lt;&gt;"",
    IF(AND(LEFT($F47,3)="POD",LEFT($G47,3)="Sta"),VLOOKUP($E47,Pod_standard_mod,7,FALSE),
    IF(AND(LEFT($F47,3)="POD",LEFT($G47,2)="HA"),VLOOKUP($E47,Pod_ha_mod,7,FALSE),"")),"")</f>
        <v/>
      </c>
      <c r="M47" s="531"/>
      <c r="N47" s="2536" t="str">
        <f>IF($B47&lt;&gt;"",
       IF(AND(LEFT($F47,3)="POD",LEFT($G47,3)="Sta"),VLOOKUP($E47,Pod_standard_mod,8,FALSE),
            IF(AND(LEFT($F47,3)="POD",LEFT($G47,2)="HA"),VLOOKUP($E47,Pod_ha_mod,8,FALSE),"")),"")</f>
        <v/>
      </c>
      <c r="O47" s="549"/>
      <c r="P47" s="2885" t="str">
        <f>IF($B47&lt;&gt;"",
IF(AND(LEFT($W47,7)="Windows", AND(LEFT($Y47,5)&lt;&gt;"MSSQL", LEFT($Y47,3)&lt;&gt;"EDH")),CONCATENATE("C:",CHAR(10),"D:",CHAR(10)),
     IF(AND(LEFT($W47,4)="RHEL", $K47="Physical"), CONCATENATE("OS:",CHAR(10),"Data:",CHAR(10)),
                   IF(AND(LEFT($Y47,5)="MSSQL",$L47&lt;&gt;"",$AS47&lt;&gt;""),SQL_FS($AS47,$L47),
                         IF(AND(LEFT($Y47,3)="EDH",$AS47&lt;&gt;""),PaaS_SQL_FS($AS47),
                           IF(AND(LEFT($Y47,5)="MSSQL",OR($L47="",$AS47="")),"Please enter CPUs and Initial DB Size (Column AS)",""))))),"")</f>
        <v/>
      </c>
      <c r="Q47" s="531"/>
      <c r="R47" s="549"/>
      <c r="S47" s="2151" t="str">
        <f t="shared" si="17"/>
        <v/>
      </c>
      <c r="T47" s="2890" t="str">
        <f t="shared" si="18"/>
        <v/>
      </c>
      <c r="U47" s="550" t="str">
        <f>IF(B47&lt;&gt;"",IF($D47="Existing","0",COUNTIF(IP!B:B,'Distributed Assets'!B47)),"")</f>
        <v/>
      </c>
      <c r="V47" s="551"/>
      <c r="W47" s="2152" t="str">
        <f t="shared" si="22"/>
        <v/>
      </c>
      <c r="X47" s="2534" t="str">
        <f t="shared" si="21"/>
        <v/>
      </c>
      <c r="Y47" s="2152"/>
      <c r="Z47" s="549"/>
      <c r="AA47" s="2997"/>
      <c r="AB47" s="2807" t="str">
        <f t="shared" si="5"/>
        <v/>
      </c>
      <c r="AC47" s="2134"/>
      <c r="AD47" s="553"/>
      <c r="AE47" s="554"/>
      <c r="AF47" s="2153"/>
      <c r="AG47" s="805"/>
      <c r="AH47" s="834" t="str">
        <f>IF($B47&lt;&gt;"",
IF(OR($G47="Standard", $G47="HA"),
IF($G47="Standard",VLOOKUP($E47,Pod_standard_mod,6,FALSE),
IF($G47="HA",VLOOKUP($E47,Pod_ha_mod,6,FALSE)))),"")</f>
        <v/>
      </c>
      <c r="AI47" s="2953" t="str">
        <f t="shared" si="9"/>
        <v/>
      </c>
      <c r="AJ47" s="834"/>
      <c r="AK47" s="2562"/>
      <c r="AL47" s="2958" t="str">
        <f t="shared" si="6"/>
        <v/>
      </c>
      <c r="AM47" s="2235"/>
      <c r="AN47" s="2236"/>
      <c r="AO47" s="2235"/>
      <c r="AP47" s="2237"/>
      <c r="AQ47" s="2240" t="str">
        <f t="shared" si="7"/>
        <v/>
      </c>
      <c r="AR47" s="2804" t="str">
        <f t="shared" si="11"/>
        <v/>
      </c>
      <c r="AS47" s="2241"/>
      <c r="AT47" s="2087" t="str">
        <f>IF($B47&lt;&gt;"",
      IF($J47="Windows","N/A",
        IF($J47="AIX",
               IF($Y47="Oracle Standalone 11.2",Oracle_Standalone_fs($AS47),
               IF($Y47="Oracle HACMP 11.2 - Node 1", Oracle_HACMP_Node_1($AS47),
               IF($Y47="Oracle HACMP 11.2 - Node 2", Oracle_HACMP_Node_2($AS47),
               IF($Y47="Oracle-RAC","Oracle RAC requires special config
work with Open Systems",
               IF($Y47="db2_fs",DB2_FS($AS47),
               IF($Y47="","N/A","")))))))),"")</f>
        <v/>
      </c>
      <c r="AU47" s="2421"/>
      <c r="AV47" s="2421"/>
      <c r="AW47" s="2421"/>
      <c r="AX47" s="2238"/>
      <c r="AY47" s="2242"/>
      <c r="AZ47" s="2086" t="str">
        <f t="shared" si="8"/>
        <v/>
      </c>
      <c r="BA47" s="2568" t="str">
        <f t="shared" si="12"/>
        <v/>
      </c>
      <c r="BE47" s="522"/>
      <c r="BF47" s="522"/>
      <c r="BG47" s="522"/>
      <c r="BH47" s="522"/>
      <c r="BI47" s="522"/>
      <c r="BJ47" s="522"/>
      <c r="BK47" s="522"/>
    </row>
    <row r="48" spans="2:63">
      <c r="B48" s="1068" t="str">
        <f t="shared" si="2"/>
        <v/>
      </c>
      <c r="C48" s="549"/>
      <c r="D48" s="552"/>
      <c r="E48" s="2143"/>
      <c r="F48" s="2724"/>
      <c r="G48" s="2883"/>
      <c r="H48" s="2876"/>
      <c r="I48" s="2541"/>
      <c r="J48" s="2541" t="str">
        <f>IF(AND($B48&lt;&gt;"",$D48="New"),
IF(LEFT($F48,3)="POD",
     IF($G48="Standard",VLOOKUP($E48,Pod_standard_mod,4,FALSE),
          IF($G48="HA",VLOOKUP($E48,Pod_ha_mod,4,FALSE))),""),"")</f>
        <v/>
      </c>
      <c r="K48" s="2117" t="str">
        <f t="shared" si="20"/>
        <v/>
      </c>
      <c r="L48" s="2539" t="str">
        <f>IF($B48&lt;&gt;"",
    IF(AND(LEFT($F48,3)="POD",LEFT($G48,3)="Sta"),VLOOKUP($E48,Pod_standard_mod,7,FALSE),
    IF(AND(LEFT($F48,3)="POD",LEFT($G48,2)="HA"),VLOOKUP($E48,Pod_ha_mod,7,FALSE),"")),"")</f>
        <v/>
      </c>
      <c r="M48" s="531"/>
      <c r="N48" s="2536" t="str">
        <f>IF($B48&lt;&gt;"",
       IF(AND(LEFT($F48,3)="POD",LEFT($G48,3)="Sta"),VLOOKUP($E48,Pod_standard_mod,8,FALSE),
            IF(AND(LEFT($F48,3)="POD",LEFT($G48,2)="HA"),VLOOKUP($E48,Pod_ha_mod,8,FALSE),"")),"")</f>
        <v/>
      </c>
      <c r="O48" s="549"/>
      <c r="P48" s="2885" t="str">
        <f>IF($B48&lt;&gt;"",
IF(AND(LEFT($W48,7)="Windows", AND(LEFT($Y48,5)&lt;&gt;"MSSQL", LEFT($Y48,3)&lt;&gt;"EDH")),CONCATENATE("C:",CHAR(10),"D:",CHAR(10)),
     IF(AND(LEFT($W48,4)="RHEL", $K48="Physical"), CONCATENATE("OS:",CHAR(10),"Data:",CHAR(10)),
                   IF(AND(LEFT($Y48,5)="MSSQL",$L48&lt;&gt;"",$AS48&lt;&gt;""),SQL_FS($AS48,$L48),
                         IF(AND(LEFT($Y48,3)="EDH",$AS48&lt;&gt;""),PaaS_SQL_FS($AS48),
                           IF(AND(LEFT($Y48,5)="MSSQL",OR($L48="",$AS48="")),"Please enter CPUs and Initial DB Size (Column AS)",""))))),"")</f>
        <v/>
      </c>
      <c r="Q48" s="531"/>
      <c r="R48" s="549"/>
      <c r="S48" s="2151" t="str">
        <f t="shared" si="17"/>
        <v/>
      </c>
      <c r="T48" s="2890" t="str">
        <f t="shared" si="18"/>
        <v/>
      </c>
      <c r="U48" s="550" t="str">
        <f>IF(B48&lt;&gt;"",IF($D48="Existing","0",COUNTIF(IP!B:B,'Distributed Assets'!B48)),"")</f>
        <v/>
      </c>
      <c r="V48" s="551"/>
      <c r="W48" s="2152" t="str">
        <f t="shared" si="22"/>
        <v/>
      </c>
      <c r="X48" s="2534" t="str">
        <f t="shared" si="21"/>
        <v/>
      </c>
      <c r="Y48" s="2152"/>
      <c r="Z48" s="549"/>
      <c r="AA48" s="2997"/>
      <c r="AB48" s="2807" t="str">
        <f t="shared" si="5"/>
        <v/>
      </c>
      <c r="AC48" s="2134"/>
      <c r="AD48" s="553"/>
      <c r="AE48" s="554"/>
      <c r="AF48" s="2153"/>
      <c r="AG48" s="805"/>
      <c r="AH48" s="834" t="str">
        <f>IF($B48&lt;&gt;"",
IF(OR($G48="Standard", $G48="HA"),
IF($G48="Standard",VLOOKUP($E48,Pod_standard_mod,6,FALSE),
IF($G48="HA",VLOOKUP($E48,Pod_ha_mod,6,FALSE)))),"")</f>
        <v/>
      </c>
      <c r="AI48" s="2953" t="str">
        <f t="shared" si="9"/>
        <v/>
      </c>
      <c r="AJ48" s="834"/>
      <c r="AK48" s="2562"/>
      <c r="AL48" s="2958" t="str">
        <f t="shared" si="6"/>
        <v/>
      </c>
      <c r="AM48" s="2235"/>
      <c r="AN48" s="2236"/>
      <c r="AO48" s="2235"/>
      <c r="AP48" s="2237"/>
      <c r="AQ48" s="2240" t="str">
        <f t="shared" si="7"/>
        <v/>
      </c>
      <c r="AR48" s="2804" t="str">
        <f t="shared" si="11"/>
        <v/>
      </c>
      <c r="AS48" s="2241"/>
      <c r="AT48" s="2087" t="str">
        <f>IF($B48&lt;&gt;"",
      IF($J48="Windows","N/A",
        IF($J48="AIX",
               IF($Y48="Oracle Standalone 11.2",Oracle_Standalone_fs($AS48),
               IF($Y48="Oracle HACMP 11.2 - Node 1", Oracle_HACMP_Node_1($AS48),
               IF($Y48="Oracle HACMP 11.2 - Node 2", Oracle_HACMP_Node_2($AS48),
               IF($Y48="Oracle-RAC","Oracle RAC requires special config
work with Open Systems",
               IF($Y48="db2_fs",DB2_FS($AS48),
               IF($Y48="","N/A","")))))))),"")</f>
        <v/>
      </c>
      <c r="AU48" s="2421"/>
      <c r="AV48" s="2421"/>
      <c r="AW48" s="2421"/>
      <c r="AX48" s="2238"/>
      <c r="AY48" s="2242"/>
      <c r="AZ48" s="2086" t="str">
        <f t="shared" si="8"/>
        <v/>
      </c>
      <c r="BA48" s="2568" t="str">
        <f t="shared" si="12"/>
        <v/>
      </c>
      <c r="BE48" s="522"/>
      <c r="BF48" s="522"/>
      <c r="BG48" s="522"/>
      <c r="BH48" s="522"/>
      <c r="BI48" s="522"/>
      <c r="BJ48" s="522"/>
      <c r="BK48" s="522"/>
    </row>
    <row r="49" spans="2:63">
      <c r="B49" s="2775" t="str">
        <f t="shared" ref="B49:B102" si="23">IF(E49&lt;&gt;"",CONCATENATE(asset_ident &amp; "-"&amp; TEXT(ROW(B49)-27,"000")),"")</f>
        <v/>
      </c>
      <c r="C49" s="549"/>
      <c r="D49" s="552"/>
      <c r="E49" s="2143"/>
      <c r="F49" s="2724"/>
      <c r="G49" s="2883"/>
      <c r="H49" s="2876"/>
      <c r="I49" s="2541"/>
      <c r="J49" s="2541" t="str">
        <f>IF(AND($B49&lt;&gt;"",$D49="New"),
IF(LEFT($F49,3)="POD",
     IF($G49="Standard",VLOOKUP($E49,Pod_standard_mod,4,FALSE),
          IF($G49="HA",VLOOKUP($E49,Pod_ha_mod,4,FALSE))),""),"")</f>
        <v/>
      </c>
      <c r="K49" s="2117" t="str">
        <f t="shared" si="20"/>
        <v/>
      </c>
      <c r="L49" s="2539" t="str">
        <f>IF($B49&lt;&gt;"",
    IF(AND(LEFT($F49,3)="POD",LEFT($G49,3)="Sta"),VLOOKUP($E49,Pod_standard_mod,7,FALSE),
    IF(AND(LEFT($F49,3)="POD",LEFT($G49,2)="HA"),VLOOKUP($E49,Pod_ha_mod,7,FALSE),"")),"")</f>
        <v/>
      </c>
      <c r="M49" s="531"/>
      <c r="N49" s="2536" t="str">
        <f>IF($B49&lt;&gt;"",
       IF(AND(LEFT($F49,3)="POD",LEFT($G49,3)="Sta"),VLOOKUP($E49,Pod_standard_mod,8,FALSE),
            IF(AND(LEFT($F49,3)="POD",LEFT($G49,2)="HA"),VLOOKUP($E49,Pod_ha_mod,8,FALSE),"")),"")</f>
        <v/>
      </c>
      <c r="O49" s="549"/>
      <c r="P49" s="2885" t="str">
        <f>IF($B49&lt;&gt;"",
IF(AND(LEFT($W49,7)="Windows", AND(LEFT($Y49,5)&lt;&gt;"MSSQL", LEFT($Y49,3)&lt;&gt;"EDH")),CONCATENATE("C:",CHAR(10),"D:",CHAR(10)),
     IF(AND(LEFT($W49,4)="RHEL", $K49="Physical"), CONCATENATE("OS:",CHAR(10),"Data:",CHAR(10)),
                   IF(AND(LEFT($Y49,5)="MSSQL",$L49&lt;&gt;"",$AS49&lt;&gt;""),SQL_FS($AS49,$L49),
                         IF(AND(LEFT($Y49,3)="EDH",$AS49&lt;&gt;""),PaaS_SQL_FS($AS49),
                           IF(AND(LEFT($Y49,5)="MSSQL",OR($L49="",$AS49="")),"Please enter CPUs and Initial DB Size (Column AS)",""))))),"")</f>
        <v/>
      </c>
      <c r="Q49" s="531"/>
      <c r="R49" s="549"/>
      <c r="S49" s="2151" t="str">
        <f t="shared" si="17"/>
        <v/>
      </c>
      <c r="T49" s="2890" t="str">
        <f t="shared" si="18"/>
        <v/>
      </c>
      <c r="U49" s="550" t="str">
        <f>IF(B49&lt;&gt;"",IF($D49="Existing","0",COUNTIF(IP!B:B,'Distributed Assets'!B49)),"")</f>
        <v/>
      </c>
      <c r="V49" s="551"/>
      <c r="W49" s="2152" t="str">
        <f t="shared" si="22"/>
        <v/>
      </c>
      <c r="X49" s="2534" t="str">
        <f t="shared" si="21"/>
        <v/>
      </c>
      <c r="Y49" s="2152"/>
      <c r="Z49" s="549"/>
      <c r="AA49" s="2997"/>
      <c r="AB49" s="2807" t="str">
        <f t="shared" si="5"/>
        <v/>
      </c>
      <c r="AC49" s="2134"/>
      <c r="AD49" s="553"/>
      <c r="AE49" s="554"/>
      <c r="AF49" s="2153"/>
      <c r="AG49" s="805"/>
      <c r="AH49" s="834" t="str">
        <f>IF($B49&lt;&gt;"",
IF(OR($G49="Standard", $G49="HA"),
IF($G49="Standard",VLOOKUP($E49,Pod_standard_mod,6,FALSE),
IF($G49="HA",VLOOKUP($E49,Pod_ha_mod,6,FALSE)))),"")</f>
        <v/>
      </c>
      <c r="AI49" s="2953" t="str">
        <f t="shared" si="9"/>
        <v/>
      </c>
      <c r="AJ49" s="834"/>
      <c r="AK49" s="2563"/>
      <c r="AL49" s="2958" t="str">
        <f t="shared" si="6"/>
        <v/>
      </c>
      <c r="AM49" s="2235"/>
      <c r="AN49" s="2236"/>
      <c r="AO49" s="2235"/>
      <c r="AP49" s="2237"/>
      <c r="AQ49" s="2240" t="str">
        <f t="shared" si="7"/>
        <v/>
      </c>
      <c r="AR49" s="2804" t="str">
        <f t="shared" si="11"/>
        <v/>
      </c>
      <c r="AS49" s="2241"/>
      <c r="AT49" s="2087" t="str">
        <f>IF($B49&lt;&gt;"",
      IF($J49="Windows","N/A",
        IF($J49="AIX",
               IF($Y49="Oracle Standalone 11.2",Oracle_Standalone_fs($AS49),
               IF($Y49="Oracle HACMP 11.2 - Node 1", Oracle_HACMP_Node_1($AS49),
               IF($Y49="Oracle HACMP 11.2 - Node 2", Oracle_HACMP_Node_2($AS49),
               IF($Y49="Oracle-RAC","Oracle RAC requires special config
work with Open Systems",
               IF($Y49="db2_fs",DB2_FS($AS49),
               IF($Y49="","N/A","")))))))),"")</f>
        <v/>
      </c>
      <c r="AU49" s="2421"/>
      <c r="AV49" s="2421"/>
      <c r="AW49" s="2421"/>
      <c r="AX49" s="2238"/>
      <c r="AY49" s="2242"/>
      <c r="AZ49" s="2086" t="str">
        <f t="shared" si="8"/>
        <v/>
      </c>
      <c r="BA49" s="2568" t="str">
        <f t="shared" si="12"/>
        <v/>
      </c>
      <c r="BE49" s="522"/>
      <c r="BF49" s="522"/>
      <c r="BG49" s="522"/>
      <c r="BH49" s="522"/>
      <c r="BI49" s="522"/>
      <c r="BJ49" s="522"/>
      <c r="BK49" s="522"/>
    </row>
    <row r="50" spans="2:63">
      <c r="B50" s="2775" t="str">
        <f t="shared" si="23"/>
        <v/>
      </c>
      <c r="C50" s="549"/>
      <c r="D50" s="552"/>
      <c r="E50" s="2143"/>
      <c r="F50" s="2724"/>
      <c r="G50" s="2883"/>
      <c r="H50" s="2876"/>
      <c r="I50" s="2541"/>
      <c r="J50" s="2541" t="str">
        <f>IF(AND($B50&lt;&gt;"",$D50="New"),
IF(LEFT($F50,3)="POD",
     IF($G50="Standard",VLOOKUP($E50,Pod_standard_mod,4,FALSE),
          IF($G50="HA",VLOOKUP($E50,Pod_ha_mod,4,FALSE))),""),"")</f>
        <v/>
      </c>
      <c r="K50" s="2117" t="str">
        <f t="shared" si="20"/>
        <v/>
      </c>
      <c r="L50" s="2539" t="str">
        <f>IF($B50&lt;&gt;"",
    IF(AND(LEFT($F50,3)="POD",LEFT($G50,3)="Sta"),VLOOKUP($E50,Pod_standard_mod,7,FALSE),
    IF(AND(LEFT($F50,3)="POD",LEFT($G50,2)="HA"),VLOOKUP($E50,Pod_ha_mod,7,FALSE),"")),"")</f>
        <v/>
      </c>
      <c r="M50" s="531"/>
      <c r="N50" s="2536" t="str">
        <f>IF($B50&lt;&gt;"",
       IF(AND(LEFT($F50,3)="POD",LEFT($G50,3)="Sta"),VLOOKUP($E50,Pod_standard_mod,8,FALSE),
            IF(AND(LEFT($F50,3)="POD",LEFT($G50,2)="HA"),VLOOKUP($E50,Pod_ha_mod,8,FALSE),"")),"")</f>
        <v/>
      </c>
      <c r="O50" s="549"/>
      <c r="P50" s="2885" t="str">
        <f>IF($B50&lt;&gt;"",
IF(AND(LEFT($W50,7)="Windows", AND(LEFT($Y50,5)&lt;&gt;"MSSQL", LEFT($Y50,3)&lt;&gt;"EDH")),CONCATENATE("C:",CHAR(10),"D:",CHAR(10)),
     IF(AND(LEFT($W50,4)="RHEL", $K50="Physical"), CONCATENATE("OS:",CHAR(10),"Data:",CHAR(10)),
                   IF(AND(LEFT($Y50,5)="MSSQL",$L50&lt;&gt;"",$AS50&lt;&gt;""),SQL_FS($AS50,$L50),
                         IF(AND(LEFT($Y50,3)="EDH",$AS50&lt;&gt;""),PaaS_SQL_FS($AS50),
                           IF(AND(LEFT($Y50,5)="MSSQL",OR($L50="",$AS50="")),"Please enter CPUs and Initial DB Size (Column AS)",""))))),"")</f>
        <v/>
      </c>
      <c r="Q50" s="2561"/>
      <c r="R50" s="549"/>
      <c r="S50" s="2151" t="str">
        <f t="shared" si="17"/>
        <v/>
      </c>
      <c r="T50" s="2890" t="str">
        <f t="shared" si="18"/>
        <v/>
      </c>
      <c r="U50" s="550" t="str">
        <f>IF(B50&lt;&gt;"",IF($D50="Existing","0",COUNTIF(IP!B:B,'Distributed Assets'!B50)),"")</f>
        <v/>
      </c>
      <c r="V50" s="551"/>
      <c r="W50" s="2152" t="str">
        <f t="shared" si="22"/>
        <v/>
      </c>
      <c r="X50" s="2534" t="str">
        <f t="shared" si="21"/>
        <v/>
      </c>
      <c r="Y50" s="2152"/>
      <c r="Z50" s="549"/>
      <c r="AA50" s="2997"/>
      <c r="AB50" s="2807" t="str">
        <f t="shared" si="5"/>
        <v/>
      </c>
      <c r="AC50" s="2134"/>
      <c r="AD50" s="553"/>
      <c r="AE50" s="554"/>
      <c r="AF50" s="2153"/>
      <c r="AG50" s="805"/>
      <c r="AH50" s="834" t="str">
        <f>IF($B50&lt;&gt;"",
IF(OR($G50="Standard", $G50="HA"),
IF($G50="Standard",VLOOKUP($E50,Pod_standard_mod,6,FALSE),
IF($G50="HA",VLOOKUP($E50,Pod_ha_mod,6,FALSE)))),"")</f>
        <v/>
      </c>
      <c r="AI50" s="2953" t="str">
        <f t="shared" si="9"/>
        <v/>
      </c>
      <c r="AJ50" s="834"/>
      <c r="AK50" s="2563"/>
      <c r="AL50" s="2958" t="str">
        <f t="shared" si="6"/>
        <v/>
      </c>
      <c r="AM50" s="2235"/>
      <c r="AN50" s="2236"/>
      <c r="AO50" s="2235"/>
      <c r="AP50" s="2237"/>
      <c r="AQ50" s="2240" t="str">
        <f t="shared" si="7"/>
        <v/>
      </c>
      <c r="AR50" s="2804" t="str">
        <f t="shared" si="11"/>
        <v/>
      </c>
      <c r="AS50" s="2241"/>
      <c r="AT50" s="2087" t="str">
        <f>IF($B50&lt;&gt;"",
      IF($J50="Windows","N/A",
        IF($J50="AIX",
               IF($Y50="Oracle Standalone 11.2",Oracle_Standalone_fs($AS50),
               IF($Y50="Oracle HACMP 11.2 - Node 1", Oracle_HACMP_Node_1($AS50),
               IF($Y50="Oracle HACMP 11.2 - Node 2", Oracle_HACMP_Node_2($AS50),
               IF($Y50="Oracle-RAC","Oracle RAC requires special config
work with Open Systems",
               IF($Y50="db2_fs",DB2_FS($AS50),
               IF($Y50="","N/A","")))))))),"")</f>
        <v/>
      </c>
      <c r="AU50" s="2421"/>
      <c r="AV50" s="2421"/>
      <c r="AW50" s="2421"/>
      <c r="AX50" s="2238"/>
      <c r="AY50" s="2242"/>
      <c r="AZ50" s="2086" t="str">
        <f t="shared" si="8"/>
        <v/>
      </c>
      <c r="BA50" s="2568" t="str">
        <f t="shared" si="12"/>
        <v/>
      </c>
      <c r="BE50" s="522"/>
      <c r="BF50" s="522"/>
      <c r="BG50" s="522"/>
      <c r="BH50" s="522"/>
      <c r="BI50" s="522"/>
      <c r="BJ50" s="522"/>
      <c r="BK50" s="522"/>
    </row>
    <row r="51" spans="2:63">
      <c r="B51" s="2775" t="str">
        <f t="shared" si="23"/>
        <v/>
      </c>
      <c r="C51" s="549"/>
      <c r="D51" s="552"/>
      <c r="E51" s="2143"/>
      <c r="F51" s="2724"/>
      <c r="G51" s="2883"/>
      <c r="H51" s="2876"/>
      <c r="I51" s="2541"/>
      <c r="J51" s="2541" t="str">
        <f>IF(AND($B51&lt;&gt;"",$D51="New"),
IF(LEFT($F51,3)="POD",
     IF($G51="Standard",VLOOKUP($E51,Pod_standard_mod,4,FALSE),
          IF($G51="HA",VLOOKUP($E51,Pod_ha_mod,4,FALSE))),""),"")</f>
        <v/>
      </c>
      <c r="K51" s="2117" t="str">
        <f t="shared" si="20"/>
        <v/>
      </c>
      <c r="L51" s="2539" t="str">
        <f>IF($B51&lt;&gt;"",
    IF(AND(LEFT($F51,3)="POD",LEFT($G51,3)="Sta"),VLOOKUP($E51,Pod_standard_mod,7,FALSE),
    IF(AND(LEFT($F51,3)="POD",LEFT($G51,2)="HA"),VLOOKUP($E51,Pod_ha_mod,7,FALSE),"")),"")</f>
        <v/>
      </c>
      <c r="M51" s="531"/>
      <c r="N51" s="2536" t="str">
        <f>IF($B51&lt;&gt;"",
       IF(AND(LEFT($F51,3)="POD",LEFT($G51,3)="Sta"),VLOOKUP($E51,Pod_standard_mod,8,FALSE),
            IF(AND(LEFT($F51,3)="POD",LEFT($G51,2)="HA"),VLOOKUP($E51,Pod_ha_mod,8,FALSE),"")),"")</f>
        <v/>
      </c>
      <c r="O51" s="549"/>
      <c r="P51" s="2885" t="str">
        <f>IF($B51&lt;&gt;"",
IF(AND(LEFT($W51,7)="Windows", AND(LEFT($Y51,5)&lt;&gt;"MSSQL", LEFT($Y51,3)&lt;&gt;"EDH")),CONCATENATE("C:",CHAR(10),"D:",CHAR(10)),
     IF(AND(LEFT($W51,4)="RHEL", $K51="Physical"), CONCATENATE("OS:",CHAR(10),"Data:",CHAR(10)),
                   IF(AND(LEFT($Y51,5)="MSSQL",$L51&lt;&gt;"",$AS51&lt;&gt;""),SQL_FS($AS51,$L51),
                         IF(AND(LEFT($Y51,3)="EDH",$AS51&lt;&gt;""),PaaS_SQL_FS($AS51),
                           IF(AND(LEFT($Y51,5)="MSSQL",OR($L51="",$AS51="")),"Please enter CPUs and Initial DB Size (Column AS)",""))))),"")</f>
        <v/>
      </c>
      <c r="Q51" s="531"/>
      <c r="R51" s="549"/>
      <c r="S51" s="2151" t="str">
        <f t="shared" si="17"/>
        <v/>
      </c>
      <c r="T51" s="2890" t="str">
        <f t="shared" si="18"/>
        <v/>
      </c>
      <c r="U51" s="550" t="str">
        <f>IF(B51&lt;&gt;"",IF($D51="Existing","0",COUNTIF(IP!B:B,'Distributed Assets'!B51)),"")</f>
        <v/>
      </c>
      <c r="V51" s="551"/>
      <c r="W51" s="2152" t="str">
        <f t="shared" si="22"/>
        <v/>
      </c>
      <c r="X51" s="2534" t="str">
        <f t="shared" si="21"/>
        <v/>
      </c>
      <c r="Y51" s="2152"/>
      <c r="Z51" s="549"/>
      <c r="AA51" s="2997"/>
      <c r="AB51" s="2807" t="str">
        <f t="shared" si="5"/>
        <v/>
      </c>
      <c r="AC51" s="2134"/>
      <c r="AD51" s="553"/>
      <c r="AE51" s="554"/>
      <c r="AF51" s="2153"/>
      <c r="AG51" s="805"/>
      <c r="AH51" s="834" t="str">
        <f>IF($B51&lt;&gt;"",
IF(OR($G51="Standard", $G51="HA"),
IF($G51="Standard",VLOOKUP($E51,Pod_standard_mod,6,FALSE),
IF($G51="HA",VLOOKUP($E51,Pod_ha_mod,6,FALSE)))),"")</f>
        <v/>
      </c>
      <c r="AI51" s="2953" t="str">
        <f t="shared" si="9"/>
        <v/>
      </c>
      <c r="AJ51" s="834"/>
      <c r="AK51" s="2563"/>
      <c r="AL51" s="2958" t="str">
        <f t="shared" si="6"/>
        <v/>
      </c>
      <c r="AM51" s="2235"/>
      <c r="AN51" s="2236"/>
      <c r="AO51" s="2235"/>
      <c r="AP51" s="2237"/>
      <c r="AQ51" s="2240" t="str">
        <f t="shared" si="7"/>
        <v/>
      </c>
      <c r="AR51" s="2804" t="str">
        <f t="shared" si="11"/>
        <v/>
      </c>
      <c r="AS51" s="2241"/>
      <c r="AT51" s="2087" t="str">
        <f>IF($B51&lt;&gt;"",
      IF($J51="Windows","N/A",
        IF($J51="AIX",
               IF($Y51="Oracle Standalone 11.2",Oracle_Standalone_fs($AS51),
               IF($Y51="Oracle HACMP 11.2 - Node 1", Oracle_HACMP_Node_1($AS51),
               IF($Y51="Oracle HACMP 11.2 - Node 2", Oracle_HACMP_Node_2($AS51),
               IF($Y51="Oracle-RAC","Oracle RAC requires special config
work with Open Systems",
               IF($Y51="db2_fs",DB2_FS($AS51),
               IF($Y51="","N/A","")))))))),"")</f>
        <v/>
      </c>
      <c r="AU51" s="2421"/>
      <c r="AV51" s="2421"/>
      <c r="AW51" s="2421"/>
      <c r="AX51" s="2238"/>
      <c r="AY51" s="2242"/>
      <c r="AZ51" s="2086" t="str">
        <f t="shared" si="8"/>
        <v/>
      </c>
      <c r="BA51" s="2568" t="str">
        <f t="shared" si="12"/>
        <v/>
      </c>
      <c r="BE51" s="522"/>
      <c r="BF51" s="522"/>
      <c r="BG51" s="522"/>
      <c r="BH51" s="522"/>
      <c r="BI51" s="522"/>
      <c r="BJ51" s="522"/>
      <c r="BK51" s="522"/>
    </row>
    <row r="52" spans="2:63">
      <c r="B52" s="2775" t="str">
        <f t="shared" si="23"/>
        <v/>
      </c>
      <c r="C52" s="549"/>
      <c r="D52" s="552"/>
      <c r="E52" s="2143"/>
      <c r="F52" s="2724"/>
      <c r="G52" s="2883"/>
      <c r="H52" s="2876"/>
      <c r="I52" s="2541"/>
      <c r="J52" s="2541" t="str">
        <f>IF(AND($B52&lt;&gt;"",$D52="New"),
IF(LEFT($F52,3)="POD",
     IF($G52="Standard",VLOOKUP($E52,Pod_standard_mod,4,FALSE),
          IF($G52="HA",VLOOKUP($E52,Pod_ha_mod,4,FALSE))),""),"")</f>
        <v/>
      </c>
      <c r="K52" s="2117" t="str">
        <f t="shared" si="20"/>
        <v/>
      </c>
      <c r="L52" s="2539" t="str">
        <f>IF($B52&lt;&gt;"",
    IF(AND(LEFT($F52,3)="POD",LEFT($G52,3)="Sta"),VLOOKUP($E52,Pod_standard_mod,7,FALSE),
    IF(AND(LEFT($F52,3)="POD",LEFT($G52,2)="HA"),VLOOKUP($E52,Pod_ha_mod,7,FALSE),"")),"")</f>
        <v/>
      </c>
      <c r="M52" s="531"/>
      <c r="N52" s="2536" t="str">
        <f>IF($B52&lt;&gt;"",
       IF(AND(LEFT($F52,3)="POD",LEFT($G52,3)="Sta"),VLOOKUP($E52,Pod_standard_mod,8,FALSE),
            IF(AND(LEFT($F52,3)="POD",LEFT($G52,2)="HA"),VLOOKUP($E52,Pod_ha_mod,8,FALSE),"")),"")</f>
        <v/>
      </c>
      <c r="O52" s="549"/>
      <c r="P52" s="2885" t="str">
        <f>IF($B52&lt;&gt;"",
IF(AND(LEFT($W52,7)="Windows", AND(LEFT($Y52,5)&lt;&gt;"MSSQL", LEFT($Y52,3)&lt;&gt;"EDH")),CONCATENATE("C:",CHAR(10),"D:",CHAR(10)),
     IF(AND(LEFT($W52,4)="RHEL", $K52="Physical"), CONCATENATE("OS:",CHAR(10),"Data:",CHAR(10)),
                   IF(AND(LEFT($Y52,5)="MSSQL",$L52&lt;&gt;"",$AS52&lt;&gt;""),SQL_FS($AS52,$L52),
                         IF(AND(LEFT($Y52,3)="EDH",$AS52&lt;&gt;""),PaaS_SQL_FS($AS52),
                           IF(AND(LEFT($Y52,5)="MSSQL",OR($L52="",$AS52="")),"Please enter CPUs and Initial DB Size (Column AS)",""))))),"")</f>
        <v/>
      </c>
      <c r="Q52" s="531"/>
      <c r="R52" s="549"/>
      <c r="S52" s="2151" t="str">
        <f t="shared" si="17"/>
        <v/>
      </c>
      <c r="T52" s="2890" t="str">
        <f t="shared" si="18"/>
        <v/>
      </c>
      <c r="U52" s="550" t="str">
        <f>IF(B52&lt;&gt;"",IF($D52="Existing","0",COUNTIF(IP!B:B,'Distributed Assets'!B52)),"")</f>
        <v/>
      </c>
      <c r="V52" s="551"/>
      <c r="W52" s="2152" t="str">
        <f t="shared" si="22"/>
        <v/>
      </c>
      <c r="X52" s="2534" t="str">
        <f t="shared" si="21"/>
        <v/>
      </c>
      <c r="Y52" s="2152"/>
      <c r="Z52" s="549"/>
      <c r="AA52" s="2997"/>
      <c r="AB52" s="2807" t="str">
        <f t="shared" si="5"/>
        <v/>
      </c>
      <c r="AC52" s="2134"/>
      <c r="AD52" s="553"/>
      <c r="AE52" s="554"/>
      <c r="AF52" s="2153"/>
      <c r="AG52" s="805"/>
      <c r="AH52" s="834" t="str">
        <f>IF($B52&lt;&gt;"",
IF(OR($G52="Standard", $G52="HA"),
IF($G52="Standard",VLOOKUP($E52,Pod_standard_mod,6,FALSE),
IF($G52="HA",VLOOKUP($E52,Pod_ha_mod,6,FALSE)))),"")</f>
        <v/>
      </c>
      <c r="AI52" s="2953" t="str">
        <f t="shared" si="9"/>
        <v/>
      </c>
      <c r="AJ52" s="834"/>
      <c r="AK52" s="2563"/>
      <c r="AL52" s="2958" t="str">
        <f t="shared" si="6"/>
        <v/>
      </c>
      <c r="AM52" s="2235"/>
      <c r="AN52" s="2236"/>
      <c r="AO52" s="2235"/>
      <c r="AP52" s="2237"/>
      <c r="AQ52" s="2240" t="str">
        <f t="shared" si="7"/>
        <v/>
      </c>
      <c r="AR52" s="2804" t="str">
        <f t="shared" si="11"/>
        <v/>
      </c>
      <c r="AS52" s="2241"/>
      <c r="AT52" s="2087" t="str">
        <f>IF($B52&lt;&gt;"",
      IF($J52="Windows","N/A",
        IF($J52="AIX",
               IF($Y52="Oracle Standalone 11.2",Oracle_Standalone_fs($AS52),
               IF($Y52="Oracle HACMP 11.2 - Node 1", Oracle_HACMP_Node_1($AS52),
               IF($Y52="Oracle HACMP 11.2 - Node 2", Oracle_HACMP_Node_2($AS52),
               IF($Y52="Oracle-RAC","Oracle RAC requires special config
work with Open Systems",
               IF($Y52="db2_fs",DB2_FS($AS52),
               IF($Y52="","N/A","")))))))),"")</f>
        <v/>
      </c>
      <c r="AU52" s="2421"/>
      <c r="AV52" s="2421"/>
      <c r="AW52" s="2421"/>
      <c r="AX52" s="2238"/>
      <c r="AY52" s="2242"/>
      <c r="AZ52" s="2086" t="str">
        <f t="shared" si="8"/>
        <v/>
      </c>
      <c r="BA52" s="2568" t="str">
        <f t="shared" si="12"/>
        <v/>
      </c>
      <c r="BE52" s="522"/>
      <c r="BF52" s="522"/>
      <c r="BG52" s="522"/>
      <c r="BH52" s="522"/>
      <c r="BI52" s="522"/>
      <c r="BJ52" s="522"/>
      <c r="BK52" s="522"/>
    </row>
    <row r="53" spans="2:63">
      <c r="B53" s="2775" t="str">
        <f t="shared" si="23"/>
        <v/>
      </c>
      <c r="C53" s="549"/>
      <c r="D53" s="552"/>
      <c r="E53" s="2143"/>
      <c r="F53" s="2724"/>
      <c r="G53" s="2883"/>
      <c r="H53" s="2876"/>
      <c r="I53" s="2541"/>
      <c r="J53" s="2541" t="str">
        <f>IF(AND($B53&lt;&gt;"",$D53="New"),
IF(LEFT($F53,3)="POD",
     IF($G53="Standard",VLOOKUP($E53,Pod_standard_mod,4,FALSE),
          IF($G53="HA",VLOOKUP($E53,Pod_ha_mod,4,FALSE))),""),"")</f>
        <v/>
      </c>
      <c r="K53" s="2117" t="str">
        <f t="shared" si="20"/>
        <v/>
      </c>
      <c r="L53" s="2539" t="str">
        <f>IF($B53&lt;&gt;"",
    IF(AND(LEFT($F53,3)="POD",LEFT($G53,3)="Sta"),VLOOKUP($E53,Pod_standard_mod,7,FALSE),
    IF(AND(LEFT($F53,3)="POD",LEFT($G53,2)="HA"),VLOOKUP($E53,Pod_ha_mod,7,FALSE),"")),"")</f>
        <v/>
      </c>
      <c r="M53" s="531"/>
      <c r="N53" s="2536" t="str">
        <f>IF($B53&lt;&gt;"",
       IF(AND(LEFT($F53,3)="POD",LEFT($G53,3)="Sta"),VLOOKUP($E53,Pod_standard_mod,8,FALSE),
            IF(AND(LEFT($F53,3)="POD",LEFT($G53,2)="HA"),VLOOKUP($E53,Pod_ha_mod,8,FALSE),"")),"")</f>
        <v/>
      </c>
      <c r="O53" s="549"/>
      <c r="P53" s="2885" t="str">
        <f>IF($B53&lt;&gt;"",
IF(AND(LEFT($W53,7)="Windows", AND(LEFT($Y53,5)&lt;&gt;"MSSQL", LEFT($Y53,3)&lt;&gt;"EDH")),CONCATENATE("C:",CHAR(10),"D:",CHAR(10)),
     IF(AND(LEFT($W53,4)="RHEL", $K53="Physical"), CONCATENATE("OS:",CHAR(10),"Data:",CHAR(10)),
                   IF(AND(LEFT($Y53,5)="MSSQL",$L53&lt;&gt;"",$AS53&lt;&gt;""),SQL_FS($AS53,$L53),
                         IF(AND(LEFT($Y53,3)="EDH",$AS53&lt;&gt;""),PaaS_SQL_FS($AS53),
                           IF(AND(LEFT($Y53,5)="MSSQL",OR($L53="",$AS53="")),"Please enter CPUs and Initial DB Size (Column AS)",""))))),"")</f>
        <v/>
      </c>
      <c r="Q53" s="531"/>
      <c r="R53" s="549"/>
      <c r="S53" s="2151" t="str">
        <f t="shared" si="17"/>
        <v/>
      </c>
      <c r="T53" s="2890" t="str">
        <f t="shared" si="18"/>
        <v/>
      </c>
      <c r="U53" s="550" t="str">
        <f>IF(B53&lt;&gt;"",IF($D53="Existing","0",COUNTIF(IP!B:B,'Distributed Assets'!B53)),"")</f>
        <v/>
      </c>
      <c r="V53" s="551"/>
      <c r="W53" s="2152" t="str">
        <f t="shared" si="22"/>
        <v/>
      </c>
      <c r="X53" s="2534" t="str">
        <f t="shared" si="21"/>
        <v/>
      </c>
      <c r="Y53" s="2152"/>
      <c r="Z53" s="549"/>
      <c r="AA53" s="2997"/>
      <c r="AB53" s="2807" t="str">
        <f t="shared" si="5"/>
        <v/>
      </c>
      <c r="AC53" s="2134"/>
      <c r="AD53" s="553"/>
      <c r="AE53" s="554"/>
      <c r="AF53" s="2153"/>
      <c r="AG53" s="805"/>
      <c r="AH53" s="834" t="str">
        <f>IF($B53&lt;&gt;"",
IF(OR($G53="Standard", $G53="HA"),
IF($G53="Standard",VLOOKUP($E53,Pod_standard_mod,6,FALSE),
IF($G53="HA",VLOOKUP($E53,Pod_ha_mod,6,FALSE)))),"")</f>
        <v/>
      </c>
      <c r="AI53" s="2953" t="str">
        <f t="shared" si="9"/>
        <v/>
      </c>
      <c r="AJ53" s="834"/>
      <c r="AK53" s="2563"/>
      <c r="AL53" s="2958" t="str">
        <f t="shared" si="6"/>
        <v/>
      </c>
      <c r="AM53" s="2235"/>
      <c r="AN53" s="2236"/>
      <c r="AO53" s="2235"/>
      <c r="AP53" s="2237"/>
      <c r="AQ53" s="2240" t="str">
        <f t="shared" si="7"/>
        <v/>
      </c>
      <c r="AR53" s="2804" t="str">
        <f t="shared" si="11"/>
        <v/>
      </c>
      <c r="AS53" s="2241"/>
      <c r="AT53" s="2087" t="str">
        <f>IF($B53&lt;&gt;"",
      IF($J53="Windows","N/A",
        IF($J53="AIX",
               IF($Y53="Oracle Standalone 11.2",Oracle_Standalone_fs($AS53),
               IF($Y53="Oracle HACMP 11.2 - Node 1", Oracle_HACMP_Node_1($AS53),
               IF($Y53="Oracle HACMP 11.2 - Node 2", Oracle_HACMP_Node_2($AS53),
               IF($Y53="Oracle-RAC","Oracle RAC requires special config
work with Open Systems",
               IF($Y53="db2_fs",DB2_FS($AS53),
               IF($Y53="","N/A","")))))))),"")</f>
        <v/>
      </c>
      <c r="AU53" s="2421"/>
      <c r="AV53" s="2421"/>
      <c r="AW53" s="2421"/>
      <c r="AX53" s="2238"/>
      <c r="AY53" s="2242"/>
      <c r="AZ53" s="2086" t="str">
        <f t="shared" si="8"/>
        <v/>
      </c>
      <c r="BA53" s="2568" t="str">
        <f t="shared" si="12"/>
        <v/>
      </c>
      <c r="BE53" s="522"/>
      <c r="BF53" s="522"/>
      <c r="BG53" s="522"/>
      <c r="BH53" s="522"/>
      <c r="BI53" s="522"/>
      <c r="BJ53" s="522"/>
      <c r="BK53" s="522"/>
    </row>
    <row r="54" spans="2:63">
      <c r="B54" s="2775" t="str">
        <f t="shared" si="23"/>
        <v/>
      </c>
      <c r="C54" s="549"/>
      <c r="D54" s="552"/>
      <c r="E54" s="2143"/>
      <c r="F54" s="2724"/>
      <c r="G54" s="2883"/>
      <c r="H54" s="2876"/>
      <c r="I54" s="2541"/>
      <c r="J54" s="2541" t="str">
        <f>IF(AND($B54&lt;&gt;"",$D54="New"),
IF(LEFT($F54,3)="POD",
     IF($G54="Standard",VLOOKUP($E54,Pod_standard_mod,4,FALSE),
          IF($G54="HA",VLOOKUP($E54,Pod_ha_mod,4,FALSE))),""),"")</f>
        <v/>
      </c>
      <c r="K54" s="2117" t="str">
        <f t="shared" si="20"/>
        <v/>
      </c>
      <c r="L54" s="2539" t="str">
        <f>IF($B54&lt;&gt;"",
    IF(AND(LEFT($F54,3)="POD",LEFT($G54,3)="Sta"),VLOOKUP($E54,Pod_standard_mod,7,FALSE),
    IF(AND(LEFT($F54,3)="POD",LEFT($G54,2)="HA"),VLOOKUP($E54,Pod_ha_mod,7,FALSE),"")),"")</f>
        <v/>
      </c>
      <c r="M54" s="531"/>
      <c r="N54" s="2536" t="str">
        <f>IF($B54&lt;&gt;"",
       IF(AND(LEFT($F54,3)="POD",LEFT($G54,3)="Sta"),VLOOKUP($E54,Pod_standard_mod,8,FALSE),
            IF(AND(LEFT($F54,3)="POD",LEFT($G54,2)="HA"),VLOOKUP($E54,Pod_ha_mod,8,FALSE),"")),"")</f>
        <v/>
      </c>
      <c r="O54" s="549"/>
      <c r="P54" s="2885" t="str">
        <f>IF($B54&lt;&gt;"",
IF(AND(LEFT($W54,7)="Windows", AND(LEFT($Y54,5)&lt;&gt;"MSSQL", LEFT($Y54,3)&lt;&gt;"EDH")),CONCATENATE("C:",CHAR(10),"D:",CHAR(10)),
     IF(AND(LEFT($W54,4)="RHEL", $K54="Physical"), CONCATENATE("OS:",CHAR(10),"Data:",CHAR(10)),
                   IF(AND(LEFT($Y54,5)="MSSQL",$L54&lt;&gt;"",$AS54&lt;&gt;""),SQL_FS($AS54,$L54),
                         IF(AND(LEFT($Y54,3)="EDH",$AS54&lt;&gt;""),PaaS_SQL_FS($AS54),
                           IF(AND(LEFT($Y54,5)="MSSQL",OR($L54="",$AS54="")),"Please enter CPUs and Initial DB Size (Column AS)",""))))),"")</f>
        <v/>
      </c>
      <c r="Q54" s="531"/>
      <c r="R54" s="549"/>
      <c r="S54" s="2151" t="str">
        <f t="shared" si="17"/>
        <v/>
      </c>
      <c r="T54" s="2890" t="str">
        <f t="shared" si="18"/>
        <v/>
      </c>
      <c r="U54" s="550" t="str">
        <f>IF(B54&lt;&gt;"",IF($D54="Existing","0",COUNTIF(IP!B:B,'Distributed Assets'!B54)),"")</f>
        <v/>
      </c>
      <c r="V54" s="551"/>
      <c r="W54" s="2152" t="str">
        <f t="shared" ref="W54:W102" si="24">IF($B54&lt;&gt;"",
      IF(AND(LEFT($F54,3)="POD",$E54 &lt;&gt;""),$J54,""),"")</f>
        <v/>
      </c>
      <c r="X54" s="2534" t="str">
        <f t="shared" ref="X54:X102" si="25">IF($B54&lt;&gt;"",
      IF(AND(LEFT($F54,3)="POD",$E54 &lt;&gt;"",$I54&lt;&gt;"DB"),$H54,""),"")</f>
        <v/>
      </c>
      <c r="Y54" s="3206"/>
      <c r="Z54" s="549"/>
      <c r="AA54" s="2997"/>
      <c r="AB54" s="2807" t="str">
        <f t="shared" si="5"/>
        <v/>
      </c>
      <c r="AC54" s="2134"/>
      <c r="AD54" s="553"/>
      <c r="AE54" s="554"/>
      <c r="AF54" s="2153"/>
      <c r="AG54" s="805"/>
      <c r="AH54" s="834" t="str">
        <f>IF($B54&lt;&gt;"",
IF(OR($G54="Standard", $G54="HA"),
IF($G54="Standard",VLOOKUP($E54,Pod_standard_mod,6,FALSE),
IF($G54="HA",VLOOKUP($E54,Pod_ha_mod,6,FALSE)))),"")</f>
        <v/>
      </c>
      <c r="AI54" s="2953" t="str">
        <f t="shared" si="9"/>
        <v/>
      </c>
      <c r="AJ54" s="834"/>
      <c r="AK54" s="2563"/>
      <c r="AL54" s="2958" t="str">
        <f t="shared" si="6"/>
        <v/>
      </c>
      <c r="AM54" s="2235"/>
      <c r="AN54" s="2236"/>
      <c r="AO54" s="2235"/>
      <c r="AP54" s="2237"/>
      <c r="AQ54" s="2240" t="str">
        <f t="shared" si="7"/>
        <v/>
      </c>
      <c r="AR54" s="2804" t="str">
        <f t="shared" si="11"/>
        <v/>
      </c>
      <c r="AS54" s="2241"/>
      <c r="AT54" s="2087" t="str">
        <f>IF($B54&lt;&gt;"",
      IF($J54="Windows","N/A",
        IF($J54="AIX",
               IF($Y54="Oracle Standalone 11.2",Oracle_Standalone_fs($AS54),
               IF($Y54="Oracle HACMP 11.2 - Node 1", Oracle_HACMP_Node_1($AS54),
               IF($Y54="Oracle HACMP 11.2 - Node 2", Oracle_HACMP_Node_2($AS54),
               IF($Y54="Oracle-RAC","Oracle RAC requires special config
work with Open Systems",
               IF($Y54="db2_fs",DB2_FS($AS54),
               IF($Y54="","N/A","")))))))),"")</f>
        <v/>
      </c>
      <c r="AU54" s="2421"/>
      <c r="AV54" s="2421"/>
      <c r="AW54" s="2421"/>
      <c r="AX54" s="2238"/>
      <c r="AY54" s="2242"/>
      <c r="AZ54" s="2086" t="str">
        <f t="shared" si="8"/>
        <v/>
      </c>
      <c r="BA54" s="2568" t="str">
        <f t="shared" si="12"/>
        <v/>
      </c>
      <c r="BE54" s="522"/>
      <c r="BF54" s="522"/>
      <c r="BG54" s="522"/>
      <c r="BH54" s="522"/>
      <c r="BI54" s="522"/>
      <c r="BJ54" s="522"/>
      <c r="BK54" s="522"/>
    </row>
    <row r="55" spans="2:63">
      <c r="B55" s="2775" t="str">
        <f t="shared" si="23"/>
        <v/>
      </c>
      <c r="C55" s="549"/>
      <c r="D55" s="552"/>
      <c r="E55" s="2143"/>
      <c r="F55" s="2724"/>
      <c r="G55" s="2883"/>
      <c r="H55" s="2876"/>
      <c r="I55" s="2541"/>
      <c r="J55" s="2541" t="str">
        <f>IF(AND($B55&lt;&gt;"",$D55="New"),
IF(LEFT($F55,3)="POD",
     IF($G55="Standard",VLOOKUP($E55,Pod_standard_mod,4,FALSE),
          IF($G55="HA",VLOOKUP($E55,Pod_ha_mod,4,FALSE))),""),"")</f>
        <v/>
      </c>
      <c r="K55" s="2117" t="str">
        <f t="shared" si="20"/>
        <v/>
      </c>
      <c r="L55" s="2539" t="str">
        <f>IF($B55&lt;&gt;"",
    IF(AND(LEFT($F55,3)="POD",LEFT($G55,3)="Sta"),VLOOKUP($E55,Pod_standard_mod,7,FALSE),
    IF(AND(LEFT($F55,3)="POD",LEFT($G55,2)="HA"),VLOOKUP($E55,Pod_ha_mod,7,FALSE),"")),"")</f>
        <v/>
      </c>
      <c r="M55" s="531"/>
      <c r="N55" s="2536" t="str">
        <f>IF($B55&lt;&gt;"",
       IF(AND(LEFT($F55,3)="POD",LEFT($G55,3)="Sta"),VLOOKUP($E55,Pod_standard_mod,8,FALSE),
            IF(AND(LEFT($F55,3)="POD",LEFT($G55,2)="HA"),VLOOKUP($E55,Pod_ha_mod,8,FALSE),"")),"")</f>
        <v/>
      </c>
      <c r="O55" s="549"/>
      <c r="P55" s="2885" t="str">
        <f>IF($B55&lt;&gt;"",
IF(AND(LEFT($W55,7)="Windows", AND(LEFT($Y55,5)&lt;&gt;"MSSQL", LEFT($Y55,3)&lt;&gt;"EDH")),CONCATENATE("C:",CHAR(10),"D:",CHAR(10)),
     IF(AND(LEFT($W55,4)="RHEL", $K55="Physical"), CONCATENATE("OS:",CHAR(10),"Data:",CHAR(10)),
                   IF(AND(LEFT($Y55,5)="MSSQL",$L55&lt;&gt;"",$AS55&lt;&gt;""),SQL_FS($AS55,$L55),
                         IF(AND(LEFT($Y55,3)="EDH",$AS55&lt;&gt;""),PaaS_SQL_FS($AS55),
                           IF(AND(LEFT($Y55,5)="MSSQL",OR($L55="",$AS55="")),"Please enter CPUs and Initial DB Size (Column AS)",""))))),"")</f>
        <v/>
      </c>
      <c r="Q55" s="531"/>
      <c r="R55" s="549"/>
      <c r="S55" s="2151" t="str">
        <f t="shared" si="17"/>
        <v/>
      </c>
      <c r="T55" s="2890" t="str">
        <f t="shared" si="18"/>
        <v/>
      </c>
      <c r="U55" s="550" t="str">
        <f>IF(B55&lt;&gt;"",IF($D55="Existing","0",COUNTIF(IP!B:B,'Distributed Assets'!B55)),"")</f>
        <v/>
      </c>
      <c r="V55" s="551"/>
      <c r="W55" s="2152" t="str">
        <f t="shared" si="24"/>
        <v/>
      </c>
      <c r="X55" s="2534" t="str">
        <f t="shared" si="25"/>
        <v/>
      </c>
      <c r="Y55" s="2152"/>
      <c r="Z55" s="549"/>
      <c r="AA55" s="2997"/>
      <c r="AB55" s="2807" t="str">
        <f t="shared" si="5"/>
        <v/>
      </c>
      <c r="AC55" s="2134"/>
      <c r="AD55" s="553"/>
      <c r="AE55" s="554"/>
      <c r="AF55" s="2153"/>
      <c r="AG55" s="805"/>
      <c r="AH55" s="834" t="str">
        <f>IF($B55&lt;&gt;"",
IF(OR($G55="Standard", $G55="HA"),
IF($G55="Standard",VLOOKUP($E55,Pod_standard_mod,6,FALSE),
IF($G55="HA",VLOOKUP($E55,Pod_ha_mod,6,FALSE)))),"")</f>
        <v/>
      </c>
      <c r="AI55" s="2953" t="str">
        <f t="shared" si="9"/>
        <v/>
      </c>
      <c r="AJ55" s="834"/>
      <c r="AK55" s="2563"/>
      <c r="AL55" s="2958" t="str">
        <f t="shared" si="6"/>
        <v/>
      </c>
      <c r="AM55" s="2235"/>
      <c r="AN55" s="2236"/>
      <c r="AO55" s="2235"/>
      <c r="AP55" s="2237"/>
      <c r="AQ55" s="2240" t="str">
        <f t="shared" si="7"/>
        <v/>
      </c>
      <c r="AR55" s="2804" t="str">
        <f t="shared" si="11"/>
        <v/>
      </c>
      <c r="AS55" s="2241"/>
      <c r="AT55" s="2087" t="str">
        <f>IF($B55&lt;&gt;"",
      IF($J55="Windows","N/A",
        IF($J55="AIX",
               IF($Y55="Oracle Standalone 11.2",Oracle_Standalone_fs($AS55),
               IF($Y55="Oracle HACMP 11.2 - Node 1", Oracle_HACMP_Node_1($AS55),
               IF($Y55="Oracle HACMP 11.2 - Node 2", Oracle_HACMP_Node_2($AS55),
               IF($Y55="Oracle-RAC","Oracle RAC requires special config
work with Open Systems",
               IF($Y55="db2_fs",DB2_FS($AS55),
               IF($Y55="","N/A","")))))))),"")</f>
        <v/>
      </c>
      <c r="AU55" s="2421"/>
      <c r="AV55" s="2421"/>
      <c r="AW55" s="2421"/>
      <c r="AX55" s="2238"/>
      <c r="AY55" s="2242"/>
      <c r="AZ55" s="2086" t="str">
        <f t="shared" si="8"/>
        <v/>
      </c>
      <c r="BA55" s="2568" t="str">
        <f t="shared" si="12"/>
        <v/>
      </c>
      <c r="BE55" s="522"/>
      <c r="BF55" s="522"/>
      <c r="BG55" s="522"/>
      <c r="BH55" s="522"/>
      <c r="BI55" s="522"/>
      <c r="BJ55" s="522"/>
      <c r="BK55" s="522"/>
    </row>
    <row r="56" spans="2:63">
      <c r="B56" s="2775" t="str">
        <f t="shared" si="23"/>
        <v/>
      </c>
      <c r="C56" s="549"/>
      <c r="D56" s="552"/>
      <c r="E56" s="2143"/>
      <c r="F56" s="2724"/>
      <c r="G56" s="2883"/>
      <c r="H56" s="2876"/>
      <c r="I56" s="2541"/>
      <c r="J56" s="2541" t="str">
        <f>IF(AND($B56&lt;&gt;"",$D56="New"),
IF(LEFT($F56,3)="POD",
     IF($G56="Standard",VLOOKUP($E56,Pod_standard_mod,4,FALSE),
          IF($G56="HA",VLOOKUP($E56,Pod_ha_mod,4,FALSE))),""),"")</f>
        <v/>
      </c>
      <c r="K56" s="2117" t="str">
        <f t="shared" si="20"/>
        <v/>
      </c>
      <c r="L56" s="2539" t="str">
        <f>IF($B56&lt;&gt;"",
    IF(AND(LEFT($F56,3)="POD",LEFT($G56,3)="Sta"),VLOOKUP($E56,Pod_standard_mod,7,FALSE),
    IF(AND(LEFT($F56,3)="POD",LEFT($G56,2)="HA"),VLOOKUP($E56,Pod_ha_mod,7,FALSE),"")),"")</f>
        <v/>
      </c>
      <c r="M56" s="531"/>
      <c r="N56" s="2536" t="str">
        <f>IF($B56&lt;&gt;"",
       IF(AND(LEFT($F56,3)="POD",LEFT($G56,3)="Sta"),VLOOKUP($E56,Pod_standard_mod,8,FALSE),
            IF(AND(LEFT($F56,3)="POD",LEFT($G56,2)="HA"),VLOOKUP($E56,Pod_ha_mod,8,FALSE),"")),"")</f>
        <v/>
      </c>
      <c r="O56" s="549"/>
      <c r="P56" s="2885" t="str">
        <f>IF($B56&lt;&gt;"",
IF(AND(LEFT($W56,7)="Windows", AND(LEFT($Y56,5)&lt;&gt;"MSSQL", LEFT($Y56,3)&lt;&gt;"EDH")),CONCATENATE("C:",CHAR(10),"D:",CHAR(10)),
     IF(AND(LEFT($W56,4)="RHEL", $K56="Physical"), CONCATENATE("OS:",CHAR(10),"Data:",CHAR(10)),
                   IF(AND(LEFT($Y56,5)="MSSQL",$L56&lt;&gt;"",$AS56&lt;&gt;""),SQL_FS($AS56,$L56),
                         IF(AND(LEFT($Y56,3)="EDH",$AS56&lt;&gt;""),PaaS_SQL_FS($AS56),
                           IF(AND(LEFT($Y56,5)="MSSQL",OR($L56="",$AS56="")),"Please enter CPUs and Initial DB Size (Column AS)",""))))),"")</f>
        <v/>
      </c>
      <c r="Q56" s="531"/>
      <c r="R56" s="549"/>
      <c r="S56" s="2151" t="str">
        <f t="shared" si="17"/>
        <v/>
      </c>
      <c r="T56" s="2890" t="str">
        <f t="shared" si="18"/>
        <v/>
      </c>
      <c r="U56" s="550" t="str">
        <f>IF(B56&lt;&gt;"",IF($D56="Existing","0",COUNTIF(IP!B:B,'Distributed Assets'!B56)),"")</f>
        <v/>
      </c>
      <c r="V56" s="551"/>
      <c r="W56" s="2152" t="str">
        <f t="shared" si="24"/>
        <v/>
      </c>
      <c r="X56" s="2534" t="str">
        <f t="shared" si="25"/>
        <v/>
      </c>
      <c r="Y56" s="2152"/>
      <c r="Z56" s="549"/>
      <c r="AA56" s="2997"/>
      <c r="AB56" s="2807" t="str">
        <f t="shared" si="5"/>
        <v/>
      </c>
      <c r="AC56" s="2134"/>
      <c r="AD56" s="553"/>
      <c r="AE56" s="554"/>
      <c r="AF56" s="2153"/>
      <c r="AG56" s="805"/>
      <c r="AH56" s="834" t="str">
        <f>IF($B56&lt;&gt;"",
IF(OR($G56="Standard", $G56="HA"),
IF($G56="Standard",VLOOKUP($E56,Pod_standard_mod,6,FALSE),
IF($G56="HA",VLOOKUP($E56,Pod_ha_mod,6,FALSE)))),"")</f>
        <v/>
      </c>
      <c r="AI56" s="2953" t="str">
        <f t="shared" si="9"/>
        <v/>
      </c>
      <c r="AJ56" s="834"/>
      <c r="AK56" s="2563"/>
      <c r="AL56" s="2958" t="str">
        <f t="shared" si="6"/>
        <v/>
      </c>
      <c r="AM56" s="2235"/>
      <c r="AN56" s="2236"/>
      <c r="AO56" s="2235"/>
      <c r="AP56" s="2237"/>
      <c r="AQ56" s="2240" t="str">
        <f t="shared" si="7"/>
        <v/>
      </c>
      <c r="AR56" s="2804" t="str">
        <f t="shared" si="11"/>
        <v/>
      </c>
      <c r="AS56" s="2241"/>
      <c r="AT56" s="2087" t="str">
        <f>IF($B56&lt;&gt;"",
      IF($J56="Windows","N/A",
        IF($J56="AIX",
               IF($Y56="Oracle Standalone 11.2",Oracle_Standalone_fs($AS56),
               IF($Y56="Oracle HACMP 11.2 - Node 1", Oracle_HACMP_Node_1($AS56),
               IF($Y56="Oracle HACMP 11.2 - Node 2", Oracle_HACMP_Node_2($AS56),
               IF($Y56="Oracle-RAC","Oracle RAC requires special config
work with Open Systems",
               IF($Y56="db2_fs",DB2_FS($AS56),
               IF($Y56="","N/A","")))))))),"")</f>
        <v/>
      </c>
      <c r="AU56" s="2421"/>
      <c r="AV56" s="2421"/>
      <c r="AW56" s="2421"/>
      <c r="AX56" s="2238"/>
      <c r="AY56" s="2242"/>
      <c r="AZ56" s="2086" t="str">
        <f t="shared" si="8"/>
        <v/>
      </c>
      <c r="BA56" s="2568" t="str">
        <f t="shared" si="12"/>
        <v/>
      </c>
      <c r="BE56" s="522"/>
      <c r="BF56" s="522"/>
      <c r="BG56" s="522"/>
      <c r="BH56" s="522"/>
      <c r="BI56" s="522"/>
      <c r="BJ56" s="522"/>
      <c r="BK56" s="522"/>
    </row>
    <row r="57" spans="2:63">
      <c r="B57" s="2775" t="str">
        <f t="shared" si="23"/>
        <v/>
      </c>
      <c r="C57" s="549"/>
      <c r="D57" s="552"/>
      <c r="E57" s="2143"/>
      <c r="F57" s="2724"/>
      <c r="G57" s="2883"/>
      <c r="H57" s="2876"/>
      <c r="I57" s="2541"/>
      <c r="J57" s="2541" t="str">
        <f>IF(AND($B57&lt;&gt;"",$D57="New"),
IF(LEFT($F57,3)="POD",
     IF($G57="Standard",VLOOKUP($E57,Pod_standard_mod,4,FALSE),
          IF($G57="HA",VLOOKUP($E57,Pod_ha_mod,4,FALSE))),""),"")</f>
        <v/>
      </c>
      <c r="K57" s="2117" t="str">
        <f t="shared" si="20"/>
        <v/>
      </c>
      <c r="L57" s="2539" t="str">
        <f>IF($B57&lt;&gt;"",
    IF(AND(LEFT($F57,3)="POD",LEFT($G57,3)="Sta"),VLOOKUP($E57,Pod_standard_mod,7,FALSE),
    IF(AND(LEFT($F57,3)="POD",LEFT($G57,2)="HA"),VLOOKUP($E57,Pod_ha_mod,7,FALSE),"")),"")</f>
        <v/>
      </c>
      <c r="M57" s="531"/>
      <c r="N57" s="2536" t="str">
        <f>IF($B57&lt;&gt;"",
       IF(AND(LEFT($F57,3)="POD",LEFT($G57,3)="Sta"),VLOOKUP($E57,Pod_standard_mod,8,FALSE),
            IF(AND(LEFT($F57,3)="POD",LEFT($G57,2)="HA"),VLOOKUP($E57,Pod_ha_mod,8,FALSE),"")),"")</f>
        <v/>
      </c>
      <c r="O57" s="549"/>
      <c r="P57" s="2885" t="str">
        <f>IF($B57&lt;&gt;"",
IF(AND(LEFT($W57,7)="Windows", AND(LEFT($Y57,5)&lt;&gt;"MSSQL", LEFT($Y57,3)&lt;&gt;"EDH")),CONCATENATE("C:",CHAR(10),"D:",CHAR(10)),
     IF(AND(LEFT($W57,4)="RHEL", $K57="Physical"), CONCATENATE("OS:",CHAR(10),"Data:",CHAR(10)),
                   IF(AND(LEFT($Y57,5)="MSSQL",$L57&lt;&gt;"",$AS57&lt;&gt;""),SQL_FS($AS57,$L57),
                         IF(AND(LEFT($Y57,3)="EDH",$AS57&lt;&gt;""),PaaS_SQL_FS($AS57),
                           IF(AND(LEFT($Y57,5)="MSSQL",OR($L57="",$AS57="")),"Please enter CPUs and Initial DB Size (Column AS)",""))))),"")</f>
        <v/>
      </c>
      <c r="Q57" s="531"/>
      <c r="R57" s="549"/>
      <c r="S57" s="2151" t="str">
        <f t="shared" si="17"/>
        <v/>
      </c>
      <c r="T57" s="2890" t="str">
        <f t="shared" si="18"/>
        <v/>
      </c>
      <c r="U57" s="550" t="str">
        <f>IF(B57&lt;&gt;"",IF($D57="Existing","0",COUNTIF(IP!B:B,'Distributed Assets'!B57)),"")</f>
        <v/>
      </c>
      <c r="V57" s="551"/>
      <c r="W57" s="2152" t="str">
        <f t="shared" si="24"/>
        <v/>
      </c>
      <c r="X57" s="2534" t="str">
        <f t="shared" si="25"/>
        <v/>
      </c>
      <c r="Y57" s="2152"/>
      <c r="Z57" s="549"/>
      <c r="AA57" s="2997"/>
      <c r="AB57" s="2807" t="str">
        <f t="shared" si="5"/>
        <v/>
      </c>
      <c r="AC57" s="2134"/>
      <c r="AD57" s="553"/>
      <c r="AE57" s="554"/>
      <c r="AF57" s="2153"/>
      <c r="AG57" s="805"/>
      <c r="AH57" s="834" t="str">
        <f>IF($B57&lt;&gt;"",
IF(OR($G57="Standard", $G57="HA"),
IF($G57="Standard",VLOOKUP($E57,Pod_standard_mod,6,FALSE),
IF($G57="HA",VLOOKUP($E57,Pod_ha_mod,6,FALSE)))),"")</f>
        <v/>
      </c>
      <c r="AI57" s="2953" t="str">
        <f t="shared" si="9"/>
        <v/>
      </c>
      <c r="AJ57" s="834"/>
      <c r="AK57" s="2563"/>
      <c r="AL57" s="2958" t="str">
        <f t="shared" si="6"/>
        <v/>
      </c>
      <c r="AM57" s="2235"/>
      <c r="AN57" s="2236"/>
      <c r="AO57" s="2235"/>
      <c r="AP57" s="2237"/>
      <c r="AQ57" s="2240" t="str">
        <f t="shared" si="7"/>
        <v/>
      </c>
      <c r="AR57" s="2804" t="str">
        <f t="shared" si="11"/>
        <v/>
      </c>
      <c r="AS57" s="2241"/>
      <c r="AT57" s="2087" t="str">
        <f>IF($B57&lt;&gt;"",
      IF($J57="Windows","N/A",
        IF($J57="AIX",
               IF($Y57="Oracle Standalone 11.2",Oracle_Standalone_fs($AS57),
               IF($Y57="Oracle HACMP 11.2 - Node 1", Oracle_HACMP_Node_1($AS57),
               IF($Y57="Oracle HACMP 11.2 - Node 2", Oracle_HACMP_Node_2($AS57),
               IF($Y57="Oracle-RAC","Oracle RAC requires special config
work with Open Systems",
               IF($Y57="db2_fs",DB2_FS($AS57),
               IF($Y57="","N/A","")))))))),"")</f>
        <v/>
      </c>
      <c r="AU57" s="2421"/>
      <c r="AV57" s="2421"/>
      <c r="AW57" s="2421"/>
      <c r="AX57" s="2238"/>
      <c r="AY57" s="2242"/>
      <c r="AZ57" s="2086" t="str">
        <f t="shared" si="8"/>
        <v/>
      </c>
      <c r="BA57" s="2568" t="str">
        <f t="shared" si="12"/>
        <v/>
      </c>
      <c r="BE57" s="522"/>
      <c r="BF57" s="522"/>
      <c r="BG57" s="522"/>
      <c r="BH57" s="522"/>
      <c r="BI57" s="522"/>
      <c r="BJ57" s="522"/>
      <c r="BK57" s="522"/>
    </row>
    <row r="58" spans="2:63">
      <c r="B58" s="2775" t="str">
        <f t="shared" si="23"/>
        <v/>
      </c>
      <c r="C58" s="549"/>
      <c r="D58" s="552"/>
      <c r="E58" s="2143"/>
      <c r="F58" s="2724"/>
      <c r="G58" s="2883"/>
      <c r="H58" s="2876"/>
      <c r="I58" s="2541"/>
      <c r="J58" s="2541" t="str">
        <f>IF(AND($B58&lt;&gt;"",$D58="New"),
IF(LEFT($F58,3)="POD",
     IF($G58="Standard",VLOOKUP($E58,Pod_standard_mod,4,FALSE),
          IF($G58="HA",VLOOKUP($E58,Pod_ha_mod,4,FALSE))),""),"")</f>
        <v/>
      </c>
      <c r="K58" s="2117" t="str">
        <f t="shared" si="20"/>
        <v/>
      </c>
      <c r="L58" s="2539" t="str">
        <f>IF($B58&lt;&gt;"",
    IF(AND(LEFT($F58,3)="POD",LEFT($G58,3)="Sta"),VLOOKUP($E58,Pod_standard_mod,7,FALSE),
    IF(AND(LEFT($F58,3)="POD",LEFT($G58,2)="HA"),VLOOKUP($E58,Pod_ha_mod,7,FALSE),"")),"")</f>
        <v/>
      </c>
      <c r="M58" s="531"/>
      <c r="N58" s="2536" t="str">
        <f>IF($B58&lt;&gt;"",
       IF(AND(LEFT($F58,3)="POD",LEFT($G58,3)="Sta"),VLOOKUP($E58,Pod_standard_mod,8,FALSE),
            IF(AND(LEFT($F58,3)="POD",LEFT($G58,2)="HA"),VLOOKUP($E58,Pod_ha_mod,8,FALSE),"")),"")</f>
        <v/>
      </c>
      <c r="O58" s="549"/>
      <c r="P58" s="2885" t="str">
        <f>IF($B58&lt;&gt;"",
IF(AND(LEFT($W58,7)="Windows", AND(LEFT($Y58,5)&lt;&gt;"MSSQL", LEFT($Y58,3)&lt;&gt;"EDH")),CONCATENATE("C:",CHAR(10),"D:",CHAR(10)),
     IF(AND(LEFT($W58,4)="RHEL", $K58="Physical"), CONCATENATE("OS:",CHAR(10),"Data:",CHAR(10)),
                   IF(AND(LEFT($Y58,5)="MSSQL",$L58&lt;&gt;"",$AS58&lt;&gt;""),SQL_FS($AS58,$L58),
                         IF(AND(LEFT($Y58,3)="EDH",$AS58&lt;&gt;""),PaaS_SQL_FS($AS58),
                           IF(AND(LEFT($Y58,5)="MSSQL",OR($L58="",$AS58="")),"Please enter CPUs and Initial DB Size (Column AS)",""))))),"")</f>
        <v/>
      </c>
      <c r="Q58" s="531"/>
      <c r="R58" s="549"/>
      <c r="S58" s="2151" t="str">
        <f t="shared" si="17"/>
        <v/>
      </c>
      <c r="T58" s="2890" t="str">
        <f t="shared" si="18"/>
        <v/>
      </c>
      <c r="U58" s="550" t="str">
        <f>IF(B58&lt;&gt;"",IF($D58="Existing","0",COUNTIF(IP!B:B,'Distributed Assets'!B58)),"")</f>
        <v/>
      </c>
      <c r="V58" s="551"/>
      <c r="W58" s="2152" t="str">
        <f t="shared" si="24"/>
        <v/>
      </c>
      <c r="X58" s="2534" t="str">
        <f t="shared" si="25"/>
        <v/>
      </c>
      <c r="Y58" s="2152"/>
      <c r="Z58" s="549"/>
      <c r="AA58" s="2997"/>
      <c r="AB58" s="2807" t="str">
        <f t="shared" si="5"/>
        <v/>
      </c>
      <c r="AC58" s="2134"/>
      <c r="AD58" s="553"/>
      <c r="AE58" s="554"/>
      <c r="AF58" s="2153"/>
      <c r="AG58" s="805"/>
      <c r="AH58" s="834" t="str">
        <f>IF($B58&lt;&gt;"",
IF(OR($G58="Standard", $G58="HA"),
IF($G58="Standard",VLOOKUP($E58,Pod_standard_mod,6,FALSE),
IF($G58="HA",VLOOKUP($E58,Pod_ha_mod,6,FALSE)))),"")</f>
        <v/>
      </c>
      <c r="AI58" s="2953" t="str">
        <f t="shared" si="9"/>
        <v/>
      </c>
      <c r="AJ58" s="834"/>
      <c r="AK58" s="2563"/>
      <c r="AL58" s="2958" t="str">
        <f t="shared" si="6"/>
        <v/>
      </c>
      <c r="AM58" s="2235"/>
      <c r="AN58" s="2236"/>
      <c r="AO58" s="2235"/>
      <c r="AP58" s="2237"/>
      <c r="AQ58" s="2240" t="str">
        <f t="shared" si="7"/>
        <v/>
      </c>
      <c r="AR58" s="2804" t="str">
        <f t="shared" si="11"/>
        <v/>
      </c>
      <c r="AS58" s="2241"/>
      <c r="AT58" s="2087" t="str">
        <f>IF($B58&lt;&gt;"",
      IF($J58="Windows","N/A",
        IF($J58="AIX",
               IF($Y58="Oracle Standalone 11.2",Oracle_Standalone_fs($AS58),
               IF($Y58="Oracle HACMP 11.2 - Node 1", Oracle_HACMP_Node_1($AS58),
               IF($Y58="Oracle HACMP 11.2 - Node 2", Oracle_HACMP_Node_2($AS58),
               IF($Y58="Oracle-RAC","Oracle RAC requires special config
work with Open Systems",
               IF($Y58="db2_fs",DB2_FS($AS58),
               IF($Y58="","N/A","")))))))),"")</f>
        <v/>
      </c>
      <c r="AU58" s="2421"/>
      <c r="AV58" s="2421"/>
      <c r="AW58" s="2421"/>
      <c r="AX58" s="2238"/>
      <c r="AY58" s="2242"/>
      <c r="AZ58" s="2086" t="str">
        <f t="shared" si="8"/>
        <v/>
      </c>
      <c r="BA58" s="2568" t="str">
        <f t="shared" si="12"/>
        <v/>
      </c>
      <c r="BE58" s="522"/>
      <c r="BF58" s="522"/>
      <c r="BG58" s="522"/>
      <c r="BH58" s="522"/>
      <c r="BI58" s="522"/>
      <c r="BJ58" s="522"/>
      <c r="BK58" s="522"/>
    </row>
    <row r="59" spans="2:63">
      <c r="B59" s="2775" t="str">
        <f t="shared" si="23"/>
        <v/>
      </c>
      <c r="C59" s="549"/>
      <c r="D59" s="552"/>
      <c r="E59" s="2143"/>
      <c r="F59" s="2724"/>
      <c r="G59" s="2883"/>
      <c r="H59" s="2876"/>
      <c r="I59" s="2541"/>
      <c r="J59" s="2541" t="str">
        <f>IF(AND($B59&lt;&gt;"",$D59="New"),
IF(LEFT($F59,3)="POD",
     IF($G59="Standard",VLOOKUP($E59,Pod_standard_mod,4,FALSE),
          IF($G59="HA",VLOOKUP($E59,Pod_ha_mod,4,FALSE))),""),"")</f>
        <v/>
      </c>
      <c r="K59" s="2117" t="str">
        <f t="shared" si="20"/>
        <v/>
      </c>
      <c r="L59" s="2539" t="str">
        <f>IF($B59&lt;&gt;"",
    IF(AND(LEFT($F59,3)="POD",LEFT($G59,3)="Sta"),VLOOKUP($E59,Pod_standard_mod,7,FALSE),
    IF(AND(LEFT($F59,3)="POD",LEFT($G59,2)="HA"),VLOOKUP($E59,Pod_ha_mod,7,FALSE),"")),"")</f>
        <v/>
      </c>
      <c r="M59" s="531"/>
      <c r="N59" s="2536" t="str">
        <f>IF($B59&lt;&gt;"",
       IF(AND(LEFT($F59,3)="POD",LEFT($G59,3)="Sta"),VLOOKUP($E59,Pod_standard_mod,8,FALSE),
            IF(AND(LEFT($F59,3)="POD",LEFT($G59,2)="HA"),VLOOKUP($E59,Pod_ha_mod,8,FALSE),"")),"")</f>
        <v/>
      </c>
      <c r="O59" s="549"/>
      <c r="P59" s="2885" t="str">
        <f>IF($B59&lt;&gt;"",
IF(AND(LEFT($W59,7)="Windows", AND(LEFT($Y59,5)&lt;&gt;"MSSQL", LEFT($Y59,3)&lt;&gt;"EDH")),CONCATENATE("C:",CHAR(10),"D:",CHAR(10)),
     IF(AND(LEFT($W59,4)="RHEL", $K59="Physical"), CONCATENATE("OS:",CHAR(10),"Data:",CHAR(10)),
                   IF(AND(LEFT($Y59,5)="MSSQL",$L59&lt;&gt;"",$AS59&lt;&gt;""),SQL_FS($AS59,$L59),
                         IF(AND(LEFT($Y59,3)="EDH",$AS59&lt;&gt;""),PaaS_SQL_FS($AS59),
                           IF(AND(LEFT($Y59,5)="MSSQL",OR($L59="",$AS59="")),"Please enter CPUs and Initial DB Size (Column AS)",""))))),"")</f>
        <v/>
      </c>
      <c r="Q59" s="531"/>
      <c r="R59" s="549"/>
      <c r="S59" s="2151" t="str">
        <f t="shared" si="17"/>
        <v/>
      </c>
      <c r="T59" s="2890" t="str">
        <f t="shared" si="18"/>
        <v/>
      </c>
      <c r="U59" s="550" t="str">
        <f>IF(B59&lt;&gt;"",IF($D59="Existing","0",COUNTIF(IP!B:B,'Distributed Assets'!B59)),"")</f>
        <v/>
      </c>
      <c r="V59" s="551"/>
      <c r="W59" s="2152" t="str">
        <f t="shared" si="24"/>
        <v/>
      </c>
      <c r="X59" s="2534" t="str">
        <f t="shared" si="25"/>
        <v/>
      </c>
      <c r="Y59" s="2152"/>
      <c r="Z59" s="549"/>
      <c r="AA59" s="2997"/>
      <c r="AB59" s="2807" t="str">
        <f t="shared" si="5"/>
        <v/>
      </c>
      <c r="AC59" s="2134"/>
      <c r="AD59" s="553"/>
      <c r="AE59" s="554"/>
      <c r="AF59" s="2153"/>
      <c r="AG59" s="805"/>
      <c r="AH59" s="834" t="str">
        <f>IF($B59&lt;&gt;"",
IF(OR($G59="Standard", $G59="HA"),
IF($G59="Standard",VLOOKUP($E59,Pod_standard_mod,6,FALSE),
IF($G59="HA",VLOOKUP($E59,Pod_ha_mod,6,FALSE)))),"")</f>
        <v/>
      </c>
      <c r="AI59" s="2953" t="str">
        <f t="shared" si="9"/>
        <v/>
      </c>
      <c r="AJ59" s="834"/>
      <c r="AK59" s="2563"/>
      <c r="AL59" s="2958" t="str">
        <f t="shared" si="6"/>
        <v/>
      </c>
      <c r="AM59" s="2235"/>
      <c r="AN59" s="2236"/>
      <c r="AO59" s="2235"/>
      <c r="AP59" s="2237"/>
      <c r="AQ59" s="2240" t="str">
        <f t="shared" si="7"/>
        <v/>
      </c>
      <c r="AR59" s="2804" t="str">
        <f t="shared" si="11"/>
        <v/>
      </c>
      <c r="AS59" s="2241"/>
      <c r="AT59" s="2087" t="str">
        <f>IF($B59&lt;&gt;"",
      IF($J59="Windows","N/A",
        IF($J59="AIX",
               IF($Y59="Oracle Standalone 11.2",Oracle_Standalone_fs($AS59),
               IF($Y59="Oracle HACMP 11.2 - Node 1", Oracle_HACMP_Node_1($AS59),
               IF($Y59="Oracle HACMP 11.2 - Node 2", Oracle_HACMP_Node_2($AS59),
               IF($Y59="Oracle-RAC","Oracle RAC requires special config
work with Open Systems",
               IF($Y59="db2_fs",DB2_FS($AS59),
               IF($Y59="","N/A","")))))))),"")</f>
        <v/>
      </c>
      <c r="AU59" s="2421"/>
      <c r="AV59" s="2421"/>
      <c r="AW59" s="2421"/>
      <c r="AX59" s="2238"/>
      <c r="AY59" s="2242"/>
      <c r="AZ59" s="2086" t="str">
        <f t="shared" si="8"/>
        <v/>
      </c>
      <c r="BA59" s="2568" t="str">
        <f t="shared" si="12"/>
        <v/>
      </c>
      <c r="BE59" s="522"/>
      <c r="BF59" s="522"/>
      <c r="BG59" s="522"/>
      <c r="BH59" s="522"/>
      <c r="BI59" s="522"/>
      <c r="BJ59" s="522"/>
      <c r="BK59" s="522"/>
    </row>
    <row r="60" spans="2:63">
      <c r="B60" s="2775" t="str">
        <f t="shared" si="23"/>
        <v/>
      </c>
      <c r="C60" s="549"/>
      <c r="D60" s="552"/>
      <c r="E60" s="2143"/>
      <c r="F60" s="2724"/>
      <c r="G60" s="2883"/>
      <c r="H60" s="2876"/>
      <c r="I60" s="2541"/>
      <c r="J60" s="2541" t="str">
        <f>IF(AND($B60&lt;&gt;"",$D60="New"),
IF(LEFT($F60,3)="POD",
     IF($G60="Standard",VLOOKUP($E60,Pod_standard_mod,4,FALSE),
          IF($G60="HA",VLOOKUP($E60,Pod_ha_mod,4,FALSE))),""),"")</f>
        <v/>
      </c>
      <c r="K60" s="2117" t="str">
        <f t="shared" si="20"/>
        <v/>
      </c>
      <c r="L60" s="2539" t="str">
        <f>IF($B60&lt;&gt;"",
    IF(AND(LEFT($F60,3)="POD",LEFT($G60,3)="Sta"),VLOOKUP($E60,Pod_standard_mod,7,FALSE),
    IF(AND(LEFT($F60,3)="POD",LEFT($G60,2)="HA"),VLOOKUP($E60,Pod_ha_mod,7,FALSE),"")),"")</f>
        <v/>
      </c>
      <c r="M60" s="531"/>
      <c r="N60" s="2536" t="str">
        <f>IF($B60&lt;&gt;"",
       IF(AND(LEFT($F60,3)="POD",LEFT($G60,3)="Sta"),VLOOKUP($E60,Pod_standard_mod,8,FALSE),
            IF(AND(LEFT($F60,3)="POD",LEFT($G60,2)="HA"),VLOOKUP($E60,Pod_ha_mod,8,FALSE),"")),"")</f>
        <v/>
      </c>
      <c r="O60" s="549"/>
      <c r="P60" s="2885" t="str">
        <f>IF($B60&lt;&gt;"",
IF(AND(LEFT($W60,7)="Windows", AND(LEFT($Y60,5)&lt;&gt;"MSSQL", LEFT($Y60,3)&lt;&gt;"EDH")),CONCATENATE("C:",CHAR(10),"D:",CHAR(10)),
     IF(AND(LEFT($W60,4)="RHEL", $K60="Physical"), CONCATENATE("OS:",CHAR(10),"Data:",CHAR(10)),
                   IF(AND(LEFT($Y60,5)="MSSQL",$L60&lt;&gt;"",$AS60&lt;&gt;""),SQL_FS($AS60,$L60),
                         IF(AND(LEFT($Y60,3)="EDH",$AS60&lt;&gt;""),PaaS_SQL_FS($AS60),
                           IF(AND(LEFT($Y60,5)="MSSQL",OR($L60="",$AS60="")),"Please enter CPUs and Initial DB Size (Column AS)",""))))),"")</f>
        <v/>
      </c>
      <c r="Q60" s="531"/>
      <c r="R60" s="549"/>
      <c r="S60" s="2151" t="str">
        <f t="shared" si="17"/>
        <v/>
      </c>
      <c r="T60" s="2890" t="str">
        <f t="shared" si="18"/>
        <v/>
      </c>
      <c r="U60" s="550" t="str">
        <f>IF(B60&lt;&gt;"",IF($D60="Existing","0",COUNTIF(IP!B:B,'Distributed Assets'!B60)),"")</f>
        <v/>
      </c>
      <c r="V60" s="551"/>
      <c r="W60" s="2152" t="str">
        <f t="shared" si="24"/>
        <v/>
      </c>
      <c r="X60" s="2534" t="str">
        <f t="shared" si="25"/>
        <v/>
      </c>
      <c r="Y60" s="2152"/>
      <c r="Z60" s="549"/>
      <c r="AA60" s="2997"/>
      <c r="AB60" s="2807" t="str">
        <f t="shared" ref="AB60:AB91" si="26">IF(AND($AA60="Yes", $J60="Windows",$K60="Physical"),"Win-DR","")</f>
        <v/>
      </c>
      <c r="AC60" s="2134"/>
      <c r="AD60" s="553"/>
      <c r="AE60" s="554"/>
      <c r="AF60" s="2153"/>
      <c r="AG60" s="805"/>
      <c r="AH60" s="834" t="str">
        <f>IF($B60&lt;&gt;"",
IF(OR($G60="Standard", $G60="HA"),
IF($G60="Standard",VLOOKUP($E60,Pod_standard_mod,6,FALSE),
IF($G60="HA",VLOOKUP($E60,Pod_ha_mod,6,FALSE)))),"")</f>
        <v/>
      </c>
      <c r="AI60" s="2953" t="str">
        <f t="shared" si="9"/>
        <v/>
      </c>
      <c r="AJ60" s="834"/>
      <c r="AK60" s="2563"/>
      <c r="AL60" s="2958" t="str">
        <f t="shared" si="6"/>
        <v/>
      </c>
      <c r="AM60" s="2235"/>
      <c r="AN60" s="2236"/>
      <c r="AO60" s="2235"/>
      <c r="AP60" s="2237"/>
      <c r="AQ60" s="2240" t="str">
        <f t="shared" ref="AQ60:AQ91" si="27">IF($B60&lt;&gt;"",VLOOKUP(VLOOKUP($B60,$B$28:$V$102,2,FALSE),$C$6:$F$22,4,FALSE),"")</f>
        <v/>
      </c>
      <c r="AR60" s="2804" t="str">
        <f t="shared" si="11"/>
        <v/>
      </c>
      <c r="AS60" s="2241"/>
      <c r="AT60" s="2087" t="str">
        <f>IF($B60&lt;&gt;"",
      IF($J60="Windows","N/A",
        IF($J60="AIX",
               IF($Y60="Oracle Standalone 11.2",Oracle_Standalone_fs($AS60),
               IF($Y60="Oracle HACMP 11.2 - Node 1", Oracle_HACMP_Node_1($AS60),
               IF($Y60="Oracle HACMP 11.2 - Node 2", Oracle_HACMP_Node_2($AS60),
               IF($Y60="Oracle-RAC","Oracle RAC requires special config
work with Open Systems",
               IF($Y60="db2_fs",DB2_FS($AS60),
               IF($Y60="","N/A","")))))))),"")</f>
        <v/>
      </c>
      <c r="AU60" s="2421"/>
      <c r="AV60" s="2421"/>
      <c r="AW60" s="2421"/>
      <c r="AX60" s="2238"/>
      <c r="AY60" s="2242"/>
      <c r="AZ60" s="2086" t="str">
        <f t="shared" ref="AZ60:AZ92" si="28">B60</f>
        <v/>
      </c>
      <c r="BA60" s="2568" t="str">
        <f t="shared" si="12"/>
        <v/>
      </c>
      <c r="BE60" s="522"/>
      <c r="BF60" s="522"/>
      <c r="BG60" s="522"/>
      <c r="BH60" s="522"/>
      <c r="BI60" s="522"/>
      <c r="BJ60" s="522"/>
      <c r="BK60" s="522"/>
    </row>
    <row r="61" spans="2:63">
      <c r="B61" s="2775" t="str">
        <f t="shared" si="23"/>
        <v/>
      </c>
      <c r="C61" s="549"/>
      <c r="D61" s="552"/>
      <c r="E61" s="2143"/>
      <c r="F61" s="2724"/>
      <c r="G61" s="2883"/>
      <c r="H61" s="2876"/>
      <c r="I61" s="2541"/>
      <c r="J61" s="2541" t="str">
        <f>IF(AND($B61&lt;&gt;"",$D61="New"),
IF(LEFT($F61,3)="POD",
     IF($G61="Standard",VLOOKUP($E61,Pod_standard_mod,4,FALSE),
          IF($G61="HA",VLOOKUP($E61,Pod_ha_mod,4,FALSE))),""),"")</f>
        <v/>
      </c>
      <c r="K61" s="2117" t="str">
        <f t="shared" si="20"/>
        <v/>
      </c>
      <c r="L61" s="2539" t="str">
        <f>IF($B61&lt;&gt;"",
    IF(AND(LEFT($F61,3)="POD",LEFT($G61,3)="Sta"),VLOOKUP($E61,Pod_standard_mod,7,FALSE),
    IF(AND(LEFT($F61,3)="POD",LEFT($G61,2)="HA"),VLOOKUP($E61,Pod_ha_mod,7,FALSE),"")),"")</f>
        <v/>
      </c>
      <c r="M61" s="531"/>
      <c r="N61" s="2536" t="str">
        <f>IF($B61&lt;&gt;"",
       IF(AND(LEFT($F61,3)="POD",LEFT($G61,3)="Sta"),VLOOKUP($E61,Pod_standard_mod,8,FALSE),
            IF(AND(LEFT($F61,3)="POD",LEFT($G61,2)="HA"),VLOOKUP($E61,Pod_ha_mod,8,FALSE),"")),"")</f>
        <v/>
      </c>
      <c r="O61" s="549"/>
      <c r="P61" s="2885" t="str">
        <f>IF($B61&lt;&gt;"",
IF(AND(LEFT($W61,7)="Windows", AND(LEFT($Y61,5)&lt;&gt;"MSSQL", LEFT($Y61,3)&lt;&gt;"EDH")),CONCATENATE("C:",CHAR(10),"D:",CHAR(10)),
     IF(AND(LEFT($W61,4)="RHEL", $K61="Physical"), CONCATENATE("OS:",CHAR(10),"Data:",CHAR(10)),
                   IF(AND(LEFT($Y61,5)="MSSQL",$L61&lt;&gt;"",$AS61&lt;&gt;""),SQL_FS($AS61,$L61),
                         IF(AND(LEFT($Y61,3)="EDH",$AS61&lt;&gt;""),PaaS_SQL_FS($AS61),
                           IF(AND(LEFT($Y61,5)="MSSQL",OR($L61="",$AS61="")),"Please enter CPUs and Initial DB Size (Column AS)",""))))),"")</f>
        <v/>
      </c>
      <c r="Q61" s="531"/>
      <c r="R61" s="549"/>
      <c r="S61" s="2151" t="str">
        <f t="shared" si="17"/>
        <v/>
      </c>
      <c r="T61" s="2890" t="str">
        <f t="shared" si="18"/>
        <v/>
      </c>
      <c r="U61" s="550" t="str">
        <f>IF(B61&lt;&gt;"",IF($D61="Existing","0",COUNTIF(IP!B:B,'Distributed Assets'!B61)),"")</f>
        <v/>
      </c>
      <c r="V61" s="551"/>
      <c r="W61" s="2152" t="str">
        <f t="shared" si="24"/>
        <v/>
      </c>
      <c r="X61" s="2534" t="str">
        <f t="shared" si="25"/>
        <v/>
      </c>
      <c r="Y61" s="2152"/>
      <c r="Z61" s="549"/>
      <c r="AA61" s="2997"/>
      <c r="AB61" s="2807" t="str">
        <f t="shared" si="26"/>
        <v/>
      </c>
      <c r="AC61" s="2134"/>
      <c r="AD61" s="553"/>
      <c r="AE61" s="554"/>
      <c r="AF61" s="2153"/>
      <c r="AG61" s="805"/>
      <c r="AH61" s="834" t="str">
        <f>IF($B61&lt;&gt;"",
IF(OR($G61="Standard", $G61="HA"),
IF($G61="Standard",VLOOKUP($E61,Pod_standard_mod,6,FALSE),
IF($G61="HA",VLOOKUP($E61,Pod_ha_mod,6,FALSE)))),"")</f>
        <v/>
      </c>
      <c r="AI61" s="2953" t="str">
        <f t="shared" si="9"/>
        <v/>
      </c>
      <c r="AJ61" s="834"/>
      <c r="AK61" s="2563"/>
      <c r="AL61" s="2958" t="str">
        <f t="shared" si="6"/>
        <v/>
      </c>
      <c r="AM61" s="2235"/>
      <c r="AN61" s="2236"/>
      <c r="AO61" s="2235"/>
      <c r="AP61" s="2237"/>
      <c r="AQ61" s="2240" t="str">
        <f t="shared" si="27"/>
        <v/>
      </c>
      <c r="AR61" s="2804" t="str">
        <f t="shared" si="11"/>
        <v/>
      </c>
      <c r="AS61" s="2241"/>
      <c r="AT61" s="2087" t="str">
        <f>IF($B61&lt;&gt;"",
      IF($J61="Windows","N/A",
        IF($J61="AIX",
               IF($Y61="Oracle Standalone 11.2",Oracle_Standalone_fs($AS61),
               IF($Y61="Oracle HACMP 11.2 - Node 1", Oracle_HACMP_Node_1($AS61),
               IF($Y61="Oracle HACMP 11.2 - Node 2", Oracle_HACMP_Node_2($AS61),
               IF($Y61="Oracle-RAC","Oracle RAC requires special config
work with Open Systems",
               IF($Y61="db2_fs",DB2_FS($AS61),
               IF($Y61="","N/A","")))))))),"")</f>
        <v/>
      </c>
      <c r="AU61" s="2421"/>
      <c r="AV61" s="2421"/>
      <c r="AW61" s="2421"/>
      <c r="AX61" s="2238"/>
      <c r="AY61" s="2242"/>
      <c r="AZ61" s="2086" t="str">
        <f t="shared" si="28"/>
        <v/>
      </c>
      <c r="BA61" s="2568" t="str">
        <f t="shared" si="12"/>
        <v/>
      </c>
      <c r="BE61" s="522"/>
      <c r="BF61" s="522"/>
      <c r="BG61" s="522"/>
      <c r="BH61" s="522"/>
      <c r="BI61" s="522"/>
      <c r="BJ61" s="522"/>
      <c r="BK61" s="522"/>
    </row>
    <row r="62" spans="2:63">
      <c r="B62" s="2775" t="str">
        <f t="shared" si="23"/>
        <v/>
      </c>
      <c r="C62" s="549"/>
      <c r="D62" s="552"/>
      <c r="E62" s="2143"/>
      <c r="F62" s="2724"/>
      <c r="G62" s="2883"/>
      <c r="H62" s="2876"/>
      <c r="I62" s="2541"/>
      <c r="J62" s="2541" t="str">
        <f>IF(AND($B62&lt;&gt;"",$D62="New"),
IF(LEFT($F62,3)="POD",
     IF($G62="Standard",VLOOKUP($E62,Pod_standard_mod,4,FALSE),
          IF($G62="HA",VLOOKUP($E62,Pod_ha_mod,4,FALSE))),""),"")</f>
        <v/>
      </c>
      <c r="K62" s="2117" t="str">
        <f t="shared" si="20"/>
        <v/>
      </c>
      <c r="L62" s="2539" t="str">
        <f>IF($B62&lt;&gt;"",
    IF(AND(LEFT($F62,3)="POD",LEFT($G62,3)="Sta"),VLOOKUP($E62,Pod_standard_mod,7,FALSE),
    IF(AND(LEFT($F62,3)="POD",LEFT($G62,2)="HA"),VLOOKUP($E62,Pod_ha_mod,7,FALSE),"")),"")</f>
        <v/>
      </c>
      <c r="M62" s="531"/>
      <c r="N62" s="2536" t="str">
        <f>IF($B62&lt;&gt;"",
       IF(AND(LEFT($F62,3)="POD",LEFT($G62,3)="Sta"),VLOOKUP($E62,Pod_standard_mod,8,FALSE),
            IF(AND(LEFT($F62,3)="POD",LEFT($G62,2)="HA"),VLOOKUP($E62,Pod_ha_mod,8,FALSE),"")),"")</f>
        <v/>
      </c>
      <c r="O62" s="549"/>
      <c r="P62" s="2885" t="str">
        <f>IF($B62&lt;&gt;"",
IF(AND(LEFT($W62,7)="Windows", AND(LEFT($Y62,5)&lt;&gt;"MSSQL", LEFT($Y62,3)&lt;&gt;"EDH")),CONCATENATE("C:",CHAR(10),"D:",CHAR(10)),
     IF(AND(LEFT($W62,4)="RHEL", $K62="Physical"), CONCATENATE("OS:",CHAR(10),"Data:",CHAR(10)),
                   IF(AND(LEFT($Y62,5)="MSSQL",$L62&lt;&gt;"",$AS62&lt;&gt;""),SQL_FS($AS62,$L62),
                         IF(AND(LEFT($Y62,3)="EDH",$AS62&lt;&gt;""),PaaS_SQL_FS($AS62),
                           IF(AND(LEFT($Y62,5)="MSSQL",OR($L62="",$AS62="")),"Please enter CPUs and Initial DB Size (Column AS)",""))))),"")</f>
        <v/>
      </c>
      <c r="Q62" s="531"/>
      <c r="R62" s="549"/>
      <c r="S62" s="2151" t="str">
        <f t="shared" si="17"/>
        <v/>
      </c>
      <c r="T62" s="2890" t="str">
        <f t="shared" si="18"/>
        <v/>
      </c>
      <c r="U62" s="550" t="str">
        <f>IF(B62&lt;&gt;"",IF($D62="Existing","0",COUNTIF(IP!B:B,'Distributed Assets'!B62)),"")</f>
        <v/>
      </c>
      <c r="V62" s="551"/>
      <c r="W62" s="2152" t="str">
        <f t="shared" si="24"/>
        <v/>
      </c>
      <c r="X62" s="2534" t="str">
        <f t="shared" si="25"/>
        <v/>
      </c>
      <c r="Y62" s="2152"/>
      <c r="Z62" s="549"/>
      <c r="AA62" s="2997"/>
      <c r="AB62" s="2807" t="str">
        <f t="shared" si="26"/>
        <v/>
      </c>
      <c r="AC62" s="2134"/>
      <c r="AD62" s="553"/>
      <c r="AE62" s="554"/>
      <c r="AF62" s="2153"/>
      <c r="AG62" s="805"/>
      <c r="AH62" s="834" t="str">
        <f>IF($B62&lt;&gt;"",
IF(OR($G62="Standard", $G62="HA"),
IF($G62="Standard",VLOOKUP($E62,Pod_standard_mod,6,FALSE),
IF($G62="HA",VLOOKUP($E62,Pod_ha_mod,6,FALSE)))),"")</f>
        <v/>
      </c>
      <c r="AI62" s="2953" t="str">
        <f t="shared" si="9"/>
        <v/>
      </c>
      <c r="AJ62" s="834"/>
      <c r="AK62" s="2563"/>
      <c r="AL62" s="2958" t="str">
        <f t="shared" si="6"/>
        <v/>
      </c>
      <c r="AM62" s="2235"/>
      <c r="AN62" s="2236"/>
      <c r="AO62" s="2235"/>
      <c r="AP62" s="2237"/>
      <c r="AQ62" s="2240" t="str">
        <f t="shared" si="27"/>
        <v/>
      </c>
      <c r="AR62" s="2804" t="str">
        <f t="shared" si="11"/>
        <v/>
      </c>
      <c r="AS62" s="2241"/>
      <c r="AT62" s="2087" t="str">
        <f>IF($B62&lt;&gt;"",
      IF($J62="Windows","N/A",
        IF($J62="AIX",
               IF($Y62="Oracle Standalone 11.2",Oracle_Standalone_fs($AS62),
               IF($Y62="Oracle HACMP 11.2 - Node 1", Oracle_HACMP_Node_1($AS62),
               IF($Y62="Oracle HACMP 11.2 - Node 2", Oracle_HACMP_Node_2($AS62),
               IF($Y62="Oracle-RAC","Oracle RAC requires special config
work with Open Systems",
               IF($Y62="db2_fs",DB2_FS($AS62),
               IF($Y62="","N/A","")))))))),"")</f>
        <v/>
      </c>
      <c r="AU62" s="2421"/>
      <c r="AV62" s="2421"/>
      <c r="AW62" s="2421"/>
      <c r="AX62" s="2238"/>
      <c r="AY62" s="2242"/>
      <c r="AZ62" s="2086" t="str">
        <f t="shared" si="28"/>
        <v/>
      </c>
      <c r="BA62" s="2568" t="str">
        <f t="shared" si="12"/>
        <v/>
      </c>
      <c r="BE62" s="522"/>
      <c r="BF62" s="522"/>
      <c r="BG62" s="522"/>
      <c r="BH62" s="522"/>
      <c r="BI62" s="522"/>
      <c r="BJ62" s="522"/>
      <c r="BK62" s="522"/>
    </row>
    <row r="63" spans="2:63">
      <c r="B63" s="2775" t="str">
        <f t="shared" si="23"/>
        <v/>
      </c>
      <c r="C63" s="549"/>
      <c r="D63" s="552"/>
      <c r="E63" s="2143"/>
      <c r="F63" s="2724"/>
      <c r="G63" s="2883"/>
      <c r="H63" s="2876"/>
      <c r="I63" s="2541"/>
      <c r="J63" s="2541" t="str">
        <f>IF(AND($B63&lt;&gt;"",$D63="New"),
IF(LEFT($F63,3)="POD",
     IF($G63="Standard",VLOOKUP($E63,Pod_standard_mod,4,FALSE),
          IF($G63="HA",VLOOKUP($E63,Pod_ha_mod,4,FALSE))),""),"")</f>
        <v/>
      </c>
      <c r="K63" s="2117" t="str">
        <f t="shared" si="20"/>
        <v/>
      </c>
      <c r="L63" s="2539" t="str">
        <f>IF($B63&lt;&gt;"",
    IF(AND(LEFT($F63,3)="POD",LEFT($G63,3)="Sta"),VLOOKUP($E63,Pod_standard_mod,7,FALSE),
    IF(AND(LEFT($F63,3)="POD",LEFT($G63,2)="HA"),VLOOKUP($E63,Pod_ha_mod,7,FALSE),"")),"")</f>
        <v/>
      </c>
      <c r="M63" s="531"/>
      <c r="N63" s="2536" t="str">
        <f>IF($B63&lt;&gt;"",
       IF(AND(LEFT($F63,3)="POD",LEFT($G63,3)="Sta"),VLOOKUP($E63,Pod_standard_mod,8,FALSE),
            IF(AND(LEFT($F63,3)="POD",LEFT($G63,2)="HA"),VLOOKUP($E63,Pod_ha_mod,8,FALSE),"")),"")</f>
        <v/>
      </c>
      <c r="O63" s="549"/>
      <c r="P63" s="2885" t="str">
        <f>IF($B63&lt;&gt;"",
IF(AND(LEFT($W63,7)="Windows", AND(LEFT($Y63,5)&lt;&gt;"MSSQL", LEFT($Y63,3)&lt;&gt;"EDH")),CONCATENATE("C:",CHAR(10),"D:",CHAR(10)),
     IF(AND(LEFT($W63,4)="RHEL", $K63="Physical"), CONCATENATE("OS:",CHAR(10),"Data:",CHAR(10)),
                   IF(AND(LEFT($Y63,5)="MSSQL",$L63&lt;&gt;"",$AS63&lt;&gt;""),SQL_FS($AS63,$L63),
                         IF(AND(LEFT($Y63,3)="EDH",$AS63&lt;&gt;""),PaaS_SQL_FS($AS63),
                           IF(AND(LEFT($Y63,5)="MSSQL",OR($L63="",$AS63="")),"Please enter CPUs and Initial DB Size (Column AS)",""))))),"")</f>
        <v/>
      </c>
      <c r="Q63" s="531"/>
      <c r="R63" s="549"/>
      <c r="S63" s="2151" t="str">
        <f t="shared" si="17"/>
        <v/>
      </c>
      <c r="T63" s="2890" t="str">
        <f t="shared" si="18"/>
        <v/>
      </c>
      <c r="U63" s="550" t="str">
        <f>IF(B63&lt;&gt;"",IF($D63="Existing","0",COUNTIF(IP!B:B,'Distributed Assets'!B63)),"")</f>
        <v/>
      </c>
      <c r="V63" s="551"/>
      <c r="W63" s="2152" t="str">
        <f t="shared" si="24"/>
        <v/>
      </c>
      <c r="X63" s="2534" t="str">
        <f t="shared" si="25"/>
        <v/>
      </c>
      <c r="Y63" s="2152"/>
      <c r="Z63" s="549"/>
      <c r="AA63" s="2997"/>
      <c r="AB63" s="2807" t="str">
        <f t="shared" si="26"/>
        <v/>
      </c>
      <c r="AC63" s="2134"/>
      <c r="AD63" s="553"/>
      <c r="AE63" s="554"/>
      <c r="AF63" s="2153"/>
      <c r="AG63" s="805"/>
      <c r="AH63" s="834" t="str">
        <f>IF($B63&lt;&gt;"",
IF(OR($G63="Standard", $G63="HA"),
IF($G63="Standard",VLOOKUP($E63,Pod_standard_mod,6,FALSE),
IF($G63="HA",VLOOKUP($E63,Pod_ha_mod,6,FALSE)))),"")</f>
        <v/>
      </c>
      <c r="AI63" s="2953" t="str">
        <f t="shared" si="9"/>
        <v/>
      </c>
      <c r="AJ63" s="834"/>
      <c r="AK63" s="2563"/>
      <c r="AL63" s="2958" t="str">
        <f t="shared" si="6"/>
        <v/>
      </c>
      <c r="AM63" s="2235"/>
      <c r="AN63" s="2236"/>
      <c r="AO63" s="2235"/>
      <c r="AP63" s="2237"/>
      <c r="AQ63" s="2240" t="str">
        <f t="shared" si="27"/>
        <v/>
      </c>
      <c r="AR63" s="2804" t="str">
        <f t="shared" si="11"/>
        <v/>
      </c>
      <c r="AS63" s="2241"/>
      <c r="AT63" s="2087" t="str">
        <f>IF($B63&lt;&gt;"",
      IF($J63="Windows","N/A",
        IF($J63="AIX",
               IF($Y63="Oracle Standalone 11.2",Oracle_Standalone_fs($AS63),
               IF($Y63="Oracle HACMP 11.2 - Node 1", Oracle_HACMP_Node_1($AS63),
               IF($Y63="Oracle HACMP 11.2 - Node 2", Oracle_HACMP_Node_2($AS63),
               IF($Y63="Oracle-RAC","Oracle RAC requires special config
work with Open Systems",
               IF($Y63="db2_fs",DB2_FS($AS63),
               IF($Y63="","N/A","")))))))),"")</f>
        <v/>
      </c>
      <c r="AU63" s="2421"/>
      <c r="AV63" s="2421"/>
      <c r="AW63" s="2421"/>
      <c r="AX63" s="2238"/>
      <c r="AY63" s="2242"/>
      <c r="AZ63" s="2086" t="str">
        <f t="shared" si="28"/>
        <v/>
      </c>
      <c r="BA63" s="2568" t="str">
        <f t="shared" si="12"/>
        <v/>
      </c>
      <c r="BE63" s="522"/>
      <c r="BF63" s="522"/>
      <c r="BG63" s="522"/>
      <c r="BH63" s="522"/>
      <c r="BI63" s="522"/>
      <c r="BJ63" s="522"/>
      <c r="BK63" s="522"/>
    </row>
    <row r="64" spans="2:63">
      <c r="B64" s="2775" t="str">
        <f t="shared" si="23"/>
        <v/>
      </c>
      <c r="C64" s="549"/>
      <c r="D64" s="552"/>
      <c r="E64" s="2143"/>
      <c r="F64" s="2724"/>
      <c r="G64" s="2883"/>
      <c r="H64" s="2876"/>
      <c r="I64" s="2541"/>
      <c r="J64" s="2541" t="str">
        <f>IF(AND($B64&lt;&gt;"",$D64="New"),
IF(LEFT($F64,3)="POD",
     IF($G64="Standard",VLOOKUP($E64,Pod_standard_mod,4,FALSE),
          IF($G64="HA",VLOOKUP($E64,Pod_ha_mod,4,FALSE))),""),"")</f>
        <v/>
      </c>
      <c r="K64" s="2117" t="str">
        <f t="shared" si="20"/>
        <v/>
      </c>
      <c r="L64" s="2539" t="str">
        <f>IF($B64&lt;&gt;"",
    IF(AND(LEFT($F64,3)="POD",LEFT($G64,3)="Sta"),VLOOKUP($E64,Pod_standard_mod,7,FALSE),
    IF(AND(LEFT($F64,3)="POD",LEFT($G64,2)="HA"),VLOOKUP($E64,Pod_ha_mod,7,FALSE),"")),"")</f>
        <v/>
      </c>
      <c r="M64" s="531"/>
      <c r="N64" s="2536" t="str">
        <f>IF($B64&lt;&gt;"",
       IF(AND(LEFT($F64,3)="POD",LEFT($G64,3)="Sta"),VLOOKUP($E64,Pod_standard_mod,8,FALSE),
            IF(AND(LEFT($F64,3)="POD",LEFT($G64,2)="HA"),VLOOKUP($E64,Pod_ha_mod,8,FALSE),"")),"")</f>
        <v/>
      </c>
      <c r="O64" s="549"/>
      <c r="P64" s="2885" t="str">
        <f>IF($B64&lt;&gt;"",
IF(AND(LEFT($W64,7)="Windows", AND(LEFT($Y64,5)&lt;&gt;"MSSQL", LEFT($Y64,3)&lt;&gt;"EDH")),CONCATENATE("C:",CHAR(10),"D:",CHAR(10)),
     IF(AND(LEFT($W64,4)="RHEL", $K64="Physical"), CONCATENATE("OS:",CHAR(10),"Data:",CHAR(10)),
                   IF(AND(LEFT($Y64,5)="MSSQL",$L64&lt;&gt;"",$AS64&lt;&gt;""),SQL_FS($AS64,$L64),
                         IF(AND(LEFT($Y64,3)="EDH",$AS64&lt;&gt;""),PaaS_SQL_FS($AS64),
                           IF(AND(LEFT($Y64,5)="MSSQL",OR($L64="",$AS64="")),"Please enter CPUs and Initial DB Size (Column AS)",""))))),"")</f>
        <v/>
      </c>
      <c r="Q64" s="531"/>
      <c r="R64" s="549"/>
      <c r="S64" s="2151" t="str">
        <f t="shared" si="17"/>
        <v/>
      </c>
      <c r="T64" s="2890" t="str">
        <f t="shared" si="18"/>
        <v/>
      </c>
      <c r="U64" s="550" t="str">
        <f>IF(B64&lt;&gt;"",IF($D64="Existing","0",COUNTIF(IP!B:B,'Distributed Assets'!B64)),"")</f>
        <v/>
      </c>
      <c r="V64" s="551"/>
      <c r="W64" s="2152" t="str">
        <f t="shared" si="24"/>
        <v/>
      </c>
      <c r="X64" s="2534" t="str">
        <f t="shared" si="25"/>
        <v/>
      </c>
      <c r="Y64" s="2152"/>
      <c r="Z64" s="549"/>
      <c r="AA64" s="2997"/>
      <c r="AB64" s="2807" t="str">
        <f t="shared" si="26"/>
        <v/>
      </c>
      <c r="AC64" s="2134"/>
      <c r="AD64" s="553"/>
      <c r="AE64" s="554"/>
      <c r="AF64" s="2153"/>
      <c r="AG64" s="805"/>
      <c r="AH64" s="834" t="str">
        <f>IF($B64&lt;&gt;"",
IF(OR($G64="Standard", $G64="HA"),
IF($G64="Standard",VLOOKUP($E64,Pod_standard_mod,6,FALSE),
IF($G64="HA",VLOOKUP($E64,Pod_ha_mod,6,FALSE)))),"")</f>
        <v/>
      </c>
      <c r="AI64" s="2953" t="str">
        <f t="shared" si="9"/>
        <v/>
      </c>
      <c r="AJ64" s="834"/>
      <c r="AK64" s="2563"/>
      <c r="AL64" s="2958" t="str">
        <f t="shared" si="6"/>
        <v/>
      </c>
      <c r="AM64" s="2235"/>
      <c r="AN64" s="2236"/>
      <c r="AO64" s="2235"/>
      <c r="AP64" s="2237"/>
      <c r="AQ64" s="2240" t="str">
        <f t="shared" si="27"/>
        <v/>
      </c>
      <c r="AR64" s="2804" t="str">
        <f t="shared" si="11"/>
        <v/>
      </c>
      <c r="AS64" s="2241"/>
      <c r="AT64" s="2087" t="str">
        <f>IF($B64&lt;&gt;"",
      IF($J64="Windows","N/A",
        IF($J64="AIX",
               IF($Y64="Oracle Standalone 11.2",Oracle_Standalone_fs($AS64),
               IF($Y64="Oracle HACMP 11.2 - Node 1", Oracle_HACMP_Node_1($AS64),
               IF($Y64="Oracle HACMP 11.2 - Node 2", Oracle_HACMP_Node_2($AS64),
               IF($Y64="Oracle-RAC","Oracle RAC requires special config
work with Open Systems",
               IF($Y64="db2_fs",DB2_FS($AS64),
               IF($Y64="","N/A","")))))))),"")</f>
        <v/>
      </c>
      <c r="AU64" s="2421"/>
      <c r="AV64" s="2421"/>
      <c r="AW64" s="2421"/>
      <c r="AX64" s="2238"/>
      <c r="AY64" s="2242"/>
      <c r="AZ64" s="2086" t="str">
        <f t="shared" si="28"/>
        <v/>
      </c>
      <c r="BA64" s="2568" t="str">
        <f t="shared" si="12"/>
        <v/>
      </c>
      <c r="BE64" s="522"/>
      <c r="BF64" s="522"/>
      <c r="BG64" s="522"/>
      <c r="BH64" s="522"/>
      <c r="BI64" s="522"/>
      <c r="BJ64" s="522"/>
      <c r="BK64" s="522"/>
    </row>
    <row r="65" spans="2:63">
      <c r="B65" s="2775" t="str">
        <f t="shared" si="23"/>
        <v/>
      </c>
      <c r="C65" s="549"/>
      <c r="D65" s="552"/>
      <c r="E65" s="2143"/>
      <c r="F65" s="2724"/>
      <c r="G65" s="2883"/>
      <c r="H65" s="2876"/>
      <c r="I65" s="2541"/>
      <c r="J65" s="2541" t="str">
        <f>IF(AND($B65&lt;&gt;"",$D65="New"),
IF(LEFT($F65,3)="POD",
     IF($G65="Standard",VLOOKUP($E65,Pod_standard_mod,4,FALSE),
          IF($G65="HA",VLOOKUP($E65,Pod_ha_mod,4,FALSE))),""),"")</f>
        <v/>
      </c>
      <c r="K65" s="2117" t="str">
        <f t="shared" si="20"/>
        <v/>
      </c>
      <c r="L65" s="2539" t="str">
        <f>IF($B65&lt;&gt;"",
    IF(AND(LEFT($F65,3)="POD",LEFT($G65,3)="Sta"),VLOOKUP($E65,Pod_standard_mod,7,FALSE),
    IF(AND(LEFT($F65,3)="POD",LEFT($G65,2)="HA"),VLOOKUP($E65,Pod_ha_mod,7,FALSE),"")),"")</f>
        <v/>
      </c>
      <c r="M65" s="531"/>
      <c r="N65" s="2536" t="str">
        <f>IF($B65&lt;&gt;"",
       IF(AND(LEFT($F65,3)="POD",LEFT($G65,3)="Sta"),VLOOKUP($E65,Pod_standard_mod,8,FALSE),
            IF(AND(LEFT($F65,3)="POD",LEFT($G65,2)="HA"),VLOOKUP($E65,Pod_ha_mod,8,FALSE),"")),"")</f>
        <v/>
      </c>
      <c r="O65" s="549"/>
      <c r="P65" s="2885" t="str">
        <f>IF($B65&lt;&gt;"",
IF(AND(LEFT($W65,7)="Windows", AND(LEFT($Y65,5)&lt;&gt;"MSSQL", LEFT($Y65,3)&lt;&gt;"EDH")),CONCATENATE("C:",CHAR(10),"D:",CHAR(10)),
     IF(AND(LEFT($W65,4)="RHEL", $K65="Physical"), CONCATENATE("OS:",CHAR(10),"Data:",CHAR(10)),
                   IF(AND(LEFT($Y65,5)="MSSQL",$L65&lt;&gt;"",$AS65&lt;&gt;""),SQL_FS($AS65,$L65),
                         IF(AND(LEFT($Y65,3)="EDH",$AS65&lt;&gt;""),PaaS_SQL_FS($AS65),
                           IF(AND(LEFT($Y65,5)="MSSQL",OR($L65="",$AS65="")),"Please enter CPUs and Initial DB Size (Column AS)",""))))),"")</f>
        <v/>
      </c>
      <c r="Q65" s="531"/>
      <c r="R65" s="549"/>
      <c r="S65" s="2151" t="str">
        <f t="shared" si="17"/>
        <v/>
      </c>
      <c r="T65" s="2890" t="str">
        <f t="shared" si="18"/>
        <v/>
      </c>
      <c r="U65" s="550" t="str">
        <f>IF(B65&lt;&gt;"",IF($D65="Existing","0",COUNTIF(IP!B:B,'Distributed Assets'!B65)),"")</f>
        <v/>
      </c>
      <c r="V65" s="551"/>
      <c r="W65" s="2152" t="str">
        <f t="shared" si="24"/>
        <v/>
      </c>
      <c r="X65" s="2534" t="str">
        <f t="shared" si="25"/>
        <v/>
      </c>
      <c r="Y65" s="2152"/>
      <c r="Z65" s="549"/>
      <c r="AA65" s="2997"/>
      <c r="AB65" s="2807" t="str">
        <f t="shared" si="26"/>
        <v/>
      </c>
      <c r="AC65" s="2134"/>
      <c r="AD65" s="553"/>
      <c r="AE65" s="554"/>
      <c r="AF65" s="2153"/>
      <c r="AG65" s="805"/>
      <c r="AH65" s="834" t="str">
        <f>IF($B65&lt;&gt;"",
IF(OR($G65="Standard", $G65="HA"),
IF($G65="Standard",VLOOKUP($E65,Pod_standard_mod,6,FALSE),
IF($G65="HA",VLOOKUP($E65,Pod_ha_mod,6,FALSE)))),"")</f>
        <v/>
      </c>
      <c r="AI65" s="2953" t="str">
        <f t="shared" si="9"/>
        <v/>
      </c>
      <c r="AJ65" s="834"/>
      <c r="AK65" s="2563"/>
      <c r="AL65" s="2958" t="str">
        <f t="shared" si="6"/>
        <v/>
      </c>
      <c r="AM65" s="2235"/>
      <c r="AN65" s="2236"/>
      <c r="AO65" s="2235"/>
      <c r="AP65" s="2237"/>
      <c r="AQ65" s="2240" t="str">
        <f t="shared" si="27"/>
        <v/>
      </c>
      <c r="AR65" s="2804" t="str">
        <f t="shared" si="11"/>
        <v/>
      </c>
      <c r="AS65" s="2241"/>
      <c r="AT65" s="2087" t="str">
        <f>IF($B65&lt;&gt;"",
      IF($J65="Windows","N/A",
        IF($J65="AIX",
               IF($Y65="Oracle Standalone 11.2",Oracle_Standalone_fs($AS65),
               IF($Y65="Oracle HACMP 11.2 - Node 1", Oracle_HACMP_Node_1($AS65),
               IF($Y65="Oracle HACMP 11.2 - Node 2", Oracle_HACMP_Node_2($AS65),
               IF($Y65="Oracle-RAC","Oracle RAC requires special config
work with Open Systems",
               IF($Y65="db2_fs",DB2_FS($AS65),
               IF($Y65="","N/A","")))))))),"")</f>
        <v/>
      </c>
      <c r="AU65" s="2421"/>
      <c r="AV65" s="2421"/>
      <c r="AW65" s="2421"/>
      <c r="AX65" s="2238"/>
      <c r="AY65" s="2242"/>
      <c r="AZ65" s="2086" t="str">
        <f t="shared" si="28"/>
        <v/>
      </c>
      <c r="BA65" s="2568" t="str">
        <f t="shared" si="12"/>
        <v/>
      </c>
      <c r="BE65" s="522"/>
      <c r="BF65" s="522"/>
      <c r="BG65" s="522"/>
      <c r="BH65" s="522"/>
      <c r="BI65" s="522"/>
      <c r="BJ65" s="522"/>
      <c r="BK65" s="522"/>
    </row>
    <row r="66" spans="2:63">
      <c r="B66" s="2775" t="str">
        <f t="shared" si="23"/>
        <v/>
      </c>
      <c r="C66" s="549"/>
      <c r="D66" s="552"/>
      <c r="E66" s="2143"/>
      <c r="F66" s="2724"/>
      <c r="G66" s="2883"/>
      <c r="H66" s="2876"/>
      <c r="I66" s="2541"/>
      <c r="J66" s="2541" t="str">
        <f>IF(AND($B66&lt;&gt;"",$D66="New"),
IF(LEFT($F66,3)="POD",
     IF($G66="Standard",VLOOKUP($E66,Pod_standard_mod,4,FALSE),
          IF($G66="HA",VLOOKUP($E66,Pod_ha_mod,4,FALSE))),""),"")</f>
        <v/>
      </c>
      <c r="K66" s="2117" t="str">
        <f t="shared" si="20"/>
        <v/>
      </c>
      <c r="L66" s="2539" t="str">
        <f>IF($B66&lt;&gt;"",
    IF(AND(LEFT($F66,3)="POD",LEFT($G66,3)="Sta"),VLOOKUP($E66,Pod_standard_mod,7,FALSE),
    IF(AND(LEFT($F66,3)="POD",LEFT($G66,2)="HA"),VLOOKUP($E66,Pod_ha_mod,7,FALSE),"")),"")</f>
        <v/>
      </c>
      <c r="M66" s="531"/>
      <c r="N66" s="2536" t="str">
        <f>IF($B66&lt;&gt;"",
       IF(AND(LEFT($F66,3)="POD",LEFT($G66,3)="Sta"),VLOOKUP($E66,Pod_standard_mod,8,FALSE),
            IF(AND(LEFT($F66,3)="POD",LEFT($G66,2)="HA"),VLOOKUP($E66,Pod_ha_mod,8,FALSE),"")),"")</f>
        <v/>
      </c>
      <c r="O66" s="549"/>
      <c r="P66" s="2885" t="str">
        <f>IF($B66&lt;&gt;"",
IF(AND(LEFT($W66,7)="Windows", AND(LEFT($Y66,5)&lt;&gt;"MSSQL", LEFT($Y66,3)&lt;&gt;"EDH")),CONCATENATE("C:",CHAR(10),"D:",CHAR(10)),
     IF(AND(LEFT($W66,4)="RHEL", $K66="Physical"), CONCATENATE("OS:",CHAR(10),"Data:",CHAR(10)),
                   IF(AND(LEFT($Y66,5)="MSSQL",$L66&lt;&gt;"",$AS66&lt;&gt;""),SQL_FS($AS66,$L66),
                         IF(AND(LEFT($Y66,3)="EDH",$AS66&lt;&gt;""),PaaS_SQL_FS($AS66),
                           IF(AND(LEFT($Y66,5)="MSSQL",OR($L66="",$AS66="")),"Please enter CPUs and Initial DB Size (Column AS)",""))))),"")</f>
        <v/>
      </c>
      <c r="Q66" s="531"/>
      <c r="R66" s="549"/>
      <c r="S66" s="2151" t="str">
        <f t="shared" si="17"/>
        <v/>
      </c>
      <c r="T66" s="2890" t="str">
        <f t="shared" si="18"/>
        <v/>
      </c>
      <c r="U66" s="550" t="str">
        <f>IF(B66&lt;&gt;"",IF($D66="Existing","0",COUNTIF(IP!B:B,'Distributed Assets'!B66)),"")</f>
        <v/>
      </c>
      <c r="V66" s="551"/>
      <c r="W66" s="2152" t="str">
        <f t="shared" si="24"/>
        <v/>
      </c>
      <c r="X66" s="2534" t="str">
        <f t="shared" si="25"/>
        <v/>
      </c>
      <c r="Y66" s="2152"/>
      <c r="Z66" s="549"/>
      <c r="AA66" s="2997"/>
      <c r="AB66" s="2807" t="str">
        <f t="shared" si="26"/>
        <v/>
      </c>
      <c r="AC66" s="2134"/>
      <c r="AD66" s="553"/>
      <c r="AE66" s="554"/>
      <c r="AF66" s="2153"/>
      <c r="AG66" s="805"/>
      <c r="AH66" s="834" t="str">
        <f>IF($B66&lt;&gt;"",
IF(OR($G66="Standard", $G66="HA"),
IF($G66="Standard",VLOOKUP($E66,Pod_standard_mod,6,FALSE),
IF($G66="HA",VLOOKUP($E66,Pod_ha_mod,6,FALSE)))),"")</f>
        <v/>
      </c>
      <c r="AI66" s="2953" t="str">
        <f t="shared" si="9"/>
        <v/>
      </c>
      <c r="AJ66" s="834"/>
      <c r="AK66" s="2563"/>
      <c r="AL66" s="2958" t="str">
        <f t="shared" si="6"/>
        <v/>
      </c>
      <c r="AM66" s="2235"/>
      <c r="AN66" s="2236"/>
      <c r="AO66" s="2235"/>
      <c r="AP66" s="2237"/>
      <c r="AQ66" s="2240" t="str">
        <f t="shared" si="27"/>
        <v/>
      </c>
      <c r="AR66" s="2804" t="str">
        <f t="shared" si="11"/>
        <v/>
      </c>
      <c r="AS66" s="2241"/>
      <c r="AT66" s="2087" t="str">
        <f>IF($B66&lt;&gt;"",
      IF($J66="Windows","N/A",
        IF($J66="AIX",
               IF($Y66="Oracle Standalone 11.2",Oracle_Standalone_fs($AS66),
               IF($Y66="Oracle HACMP 11.2 - Node 1", Oracle_HACMP_Node_1($AS66),
               IF($Y66="Oracle HACMP 11.2 - Node 2", Oracle_HACMP_Node_2($AS66),
               IF($Y66="Oracle-RAC","Oracle RAC requires special config
work with Open Systems",
               IF($Y66="db2_fs",DB2_FS($AS66),
               IF($Y66="","N/A","")))))))),"")</f>
        <v/>
      </c>
      <c r="AU66" s="2421"/>
      <c r="AV66" s="2421"/>
      <c r="AW66" s="2421"/>
      <c r="AX66" s="2238"/>
      <c r="AY66" s="2242"/>
      <c r="AZ66" s="2086" t="str">
        <f t="shared" si="28"/>
        <v/>
      </c>
      <c r="BA66" s="2568" t="str">
        <f t="shared" si="12"/>
        <v/>
      </c>
      <c r="BE66" s="522"/>
      <c r="BF66" s="522"/>
      <c r="BG66" s="522"/>
      <c r="BH66" s="522"/>
      <c r="BI66" s="522"/>
      <c r="BJ66" s="522"/>
      <c r="BK66" s="522"/>
    </row>
    <row r="67" spans="2:63">
      <c r="B67" s="2775" t="str">
        <f t="shared" si="23"/>
        <v/>
      </c>
      <c r="C67" s="549"/>
      <c r="D67" s="552"/>
      <c r="E67" s="2143"/>
      <c r="F67" s="2724"/>
      <c r="G67" s="2883"/>
      <c r="H67" s="2876"/>
      <c r="I67" s="2541"/>
      <c r="J67" s="2541" t="str">
        <f>IF(AND($B67&lt;&gt;"",$D67="New"),
IF(LEFT($F67,3)="POD",
     IF($G67="Standard",VLOOKUP($E67,Pod_standard_mod,4,FALSE),
          IF($G67="HA",VLOOKUP($E67,Pod_ha_mod,4,FALSE))),""),"")</f>
        <v/>
      </c>
      <c r="K67" s="2117" t="str">
        <f t="shared" si="20"/>
        <v/>
      </c>
      <c r="L67" s="2539" t="str">
        <f>IF($B67&lt;&gt;"",
    IF(AND(LEFT($F67,3)="POD",LEFT($G67,3)="Sta"),VLOOKUP($E67,Pod_standard_mod,7,FALSE),
    IF(AND(LEFT($F67,3)="POD",LEFT($G67,2)="HA"),VLOOKUP($E67,Pod_ha_mod,7,FALSE),"")),"")</f>
        <v/>
      </c>
      <c r="M67" s="531"/>
      <c r="N67" s="2536" t="str">
        <f>IF($B67&lt;&gt;"",
       IF(AND(LEFT($F67,3)="POD",LEFT($G67,3)="Sta"),VLOOKUP($E67,Pod_standard_mod,8,FALSE),
            IF(AND(LEFT($F67,3)="POD",LEFT($G67,2)="HA"),VLOOKUP($E67,Pod_ha_mod,8,FALSE),"")),"")</f>
        <v/>
      </c>
      <c r="O67" s="549"/>
      <c r="P67" s="2885" t="str">
        <f>IF($B67&lt;&gt;"",
IF(AND(LEFT($W67,7)="Windows", AND(LEFT($Y67,5)&lt;&gt;"MSSQL", LEFT($Y67,3)&lt;&gt;"EDH")),CONCATENATE("C:",CHAR(10),"D:",CHAR(10)),
     IF(AND(LEFT($W67,4)="RHEL", $K67="Physical"), CONCATENATE("OS:",CHAR(10),"Data:",CHAR(10)),
                   IF(AND(LEFT($Y67,5)="MSSQL",$L67&lt;&gt;"",$AS67&lt;&gt;""),SQL_FS($AS67,$L67),
                         IF(AND(LEFT($Y67,3)="EDH",$AS67&lt;&gt;""),PaaS_SQL_FS($AS67),
                           IF(AND(LEFT($Y67,5)="MSSQL",OR($L67="",$AS67="")),"Please enter CPUs and Initial DB Size (Column AS)",""))))),"")</f>
        <v/>
      </c>
      <c r="Q67" s="531"/>
      <c r="R67" s="549"/>
      <c r="S67" s="2151" t="str">
        <f t="shared" si="17"/>
        <v/>
      </c>
      <c r="T67" s="2890" t="str">
        <f t="shared" si="18"/>
        <v/>
      </c>
      <c r="U67" s="550" t="str">
        <f>IF(B67&lt;&gt;"",IF($D67="Existing","0",COUNTIF(IP!B:B,'Distributed Assets'!B67)),"")</f>
        <v/>
      </c>
      <c r="V67" s="551"/>
      <c r="W67" s="2152" t="str">
        <f t="shared" si="24"/>
        <v/>
      </c>
      <c r="X67" s="2534" t="str">
        <f t="shared" si="25"/>
        <v/>
      </c>
      <c r="Y67" s="2152"/>
      <c r="Z67" s="549"/>
      <c r="AA67" s="2997"/>
      <c r="AB67" s="2807" t="str">
        <f t="shared" si="26"/>
        <v/>
      </c>
      <c r="AC67" s="2134"/>
      <c r="AD67" s="553"/>
      <c r="AE67" s="554"/>
      <c r="AF67" s="2153"/>
      <c r="AG67" s="805"/>
      <c r="AH67" s="834" t="str">
        <f>IF($B67&lt;&gt;"",
IF(OR($G67="Standard", $G67="HA"),
IF($G67="Standard",VLOOKUP($E67,Pod_standard_mod,6,FALSE),
IF($G67="HA",VLOOKUP($E67,Pod_ha_mod,6,FALSE)))),"")</f>
        <v/>
      </c>
      <c r="AI67" s="2953" t="str">
        <f t="shared" si="9"/>
        <v/>
      </c>
      <c r="AJ67" s="834"/>
      <c r="AK67" s="2563"/>
      <c r="AL67" s="2958" t="str">
        <f t="shared" si="6"/>
        <v/>
      </c>
      <c r="AM67" s="2235"/>
      <c r="AN67" s="2236"/>
      <c r="AO67" s="2235"/>
      <c r="AP67" s="2237"/>
      <c r="AQ67" s="2240" t="str">
        <f t="shared" si="27"/>
        <v/>
      </c>
      <c r="AR67" s="2804" t="str">
        <f t="shared" si="11"/>
        <v/>
      </c>
      <c r="AS67" s="2241"/>
      <c r="AT67" s="2087" t="str">
        <f>IF($B67&lt;&gt;"",
      IF($J67="Windows","N/A",
        IF($J67="AIX",
               IF($Y67="Oracle Standalone 11.2",Oracle_Standalone_fs($AS67),
               IF($Y67="Oracle HACMP 11.2 - Node 1", Oracle_HACMP_Node_1($AS67),
               IF($Y67="Oracle HACMP 11.2 - Node 2", Oracle_HACMP_Node_2($AS67),
               IF($Y67="Oracle-RAC","Oracle RAC requires special config
work with Open Systems",
               IF($Y67="db2_fs",DB2_FS($AS67),
               IF($Y67="","N/A","")))))))),"")</f>
        <v/>
      </c>
      <c r="AU67" s="2421"/>
      <c r="AV67" s="2421"/>
      <c r="AW67" s="2421"/>
      <c r="AX67" s="2238"/>
      <c r="AY67" s="2242"/>
      <c r="AZ67" s="2086" t="str">
        <f t="shared" si="28"/>
        <v/>
      </c>
      <c r="BA67" s="2568" t="str">
        <f t="shared" si="12"/>
        <v/>
      </c>
      <c r="BE67" s="522"/>
      <c r="BF67" s="522"/>
      <c r="BG67" s="522"/>
      <c r="BH67" s="522"/>
      <c r="BI67" s="522"/>
      <c r="BJ67" s="522"/>
      <c r="BK67" s="522"/>
    </row>
    <row r="68" spans="2:63">
      <c r="B68" s="2775" t="str">
        <f t="shared" si="23"/>
        <v/>
      </c>
      <c r="C68" s="549"/>
      <c r="D68" s="552"/>
      <c r="E68" s="2143"/>
      <c r="F68" s="2724"/>
      <c r="G68" s="2883"/>
      <c r="H68" s="2876"/>
      <c r="I68" s="2541"/>
      <c r="J68" s="2541" t="str">
        <f>IF(AND($B68&lt;&gt;"",$D68="New"),
IF(LEFT($F68,3)="POD",
     IF($G68="Standard",VLOOKUP($E68,Pod_standard_mod,4,FALSE),
          IF($G68="HA",VLOOKUP($E68,Pod_ha_mod,4,FALSE))),""),"")</f>
        <v/>
      </c>
      <c r="K68" s="2117" t="str">
        <f t="shared" si="20"/>
        <v/>
      </c>
      <c r="L68" s="2539" t="str">
        <f>IF($B68&lt;&gt;"",
    IF(AND(LEFT($F68,3)="POD",LEFT($G68,3)="Sta"),VLOOKUP($E68,Pod_standard_mod,7,FALSE),
    IF(AND(LEFT($F68,3)="POD",LEFT($G68,2)="HA"),VLOOKUP($E68,Pod_ha_mod,7,FALSE),"")),"")</f>
        <v/>
      </c>
      <c r="M68" s="531"/>
      <c r="N68" s="2536" t="str">
        <f>IF($B68&lt;&gt;"",
       IF(AND(LEFT($F68,3)="POD",LEFT($G68,3)="Sta"),VLOOKUP($E68,Pod_standard_mod,8,FALSE),
            IF(AND(LEFT($F68,3)="POD",LEFT($G68,2)="HA"),VLOOKUP($E68,Pod_ha_mod,8,FALSE),"")),"")</f>
        <v/>
      </c>
      <c r="O68" s="549"/>
      <c r="P68" s="2885" t="str">
        <f>IF($B68&lt;&gt;"",
IF(AND(LEFT($W68,7)="Windows", AND(LEFT($Y68,5)&lt;&gt;"MSSQL", LEFT($Y68,3)&lt;&gt;"EDH")),CONCATENATE("C:",CHAR(10),"D:",CHAR(10)),
     IF(AND(LEFT($W68,4)="RHEL", $K68="Physical"), CONCATENATE("OS:",CHAR(10),"Data:",CHAR(10)),
                   IF(AND(LEFT($Y68,5)="MSSQL",$L68&lt;&gt;"",$AS68&lt;&gt;""),SQL_FS($AS68,$L68),
                         IF(AND(LEFT($Y68,3)="EDH",$AS68&lt;&gt;""),PaaS_SQL_FS($AS68),
                           IF(AND(LEFT($Y68,5)="MSSQL",OR($L68="",$AS68="")),"Please enter CPUs and Initial DB Size (Column AS)",""))))),"")</f>
        <v/>
      </c>
      <c r="Q68" s="531"/>
      <c r="R68" s="549"/>
      <c r="S68" s="2151" t="str">
        <f t="shared" si="17"/>
        <v/>
      </c>
      <c r="T68" s="2890" t="str">
        <f t="shared" si="18"/>
        <v/>
      </c>
      <c r="U68" s="550" t="str">
        <f>IF(B68&lt;&gt;"",IF($D68="Existing","0",COUNTIF(IP!B:B,'Distributed Assets'!B68)),"")</f>
        <v/>
      </c>
      <c r="V68" s="551"/>
      <c r="W68" s="2152" t="str">
        <f t="shared" si="24"/>
        <v/>
      </c>
      <c r="X68" s="2534" t="str">
        <f t="shared" si="25"/>
        <v/>
      </c>
      <c r="Y68" s="2152"/>
      <c r="Z68" s="549"/>
      <c r="AA68" s="2997"/>
      <c r="AB68" s="2807" t="str">
        <f t="shared" si="26"/>
        <v/>
      </c>
      <c r="AC68" s="2134"/>
      <c r="AD68" s="553"/>
      <c r="AE68" s="554"/>
      <c r="AF68" s="2153"/>
      <c r="AG68" s="805"/>
      <c r="AH68" s="834" t="str">
        <f>IF($B68&lt;&gt;"",
IF(OR($G68="Standard", $G68="HA"),
IF($G68="Standard",VLOOKUP($E68,Pod_standard_mod,6,FALSE),
IF($G68="HA",VLOOKUP($E68,Pod_ha_mod,6,FALSE)))),"")</f>
        <v/>
      </c>
      <c r="AI68" s="2953" t="str">
        <f t="shared" si="9"/>
        <v/>
      </c>
      <c r="AJ68" s="834"/>
      <c r="AK68" s="2563"/>
      <c r="AL68" s="2958" t="str">
        <f t="shared" si="6"/>
        <v/>
      </c>
      <c r="AM68" s="2235"/>
      <c r="AN68" s="2236"/>
      <c r="AO68" s="2235"/>
      <c r="AP68" s="2237"/>
      <c r="AQ68" s="2240" t="str">
        <f t="shared" si="27"/>
        <v/>
      </c>
      <c r="AR68" s="2804" t="str">
        <f t="shared" si="11"/>
        <v/>
      </c>
      <c r="AS68" s="2241"/>
      <c r="AT68" s="2087" t="str">
        <f>IF($B68&lt;&gt;"",
      IF($J68="Windows","N/A",
        IF($J68="AIX",
               IF($Y68="Oracle Standalone 11.2",Oracle_Standalone_fs($AS68),
               IF($Y68="Oracle HACMP 11.2 - Node 1", Oracle_HACMP_Node_1($AS68),
               IF($Y68="Oracle HACMP 11.2 - Node 2", Oracle_HACMP_Node_2($AS68),
               IF($Y68="Oracle-RAC","Oracle RAC requires special config
work with Open Systems",
               IF($Y68="db2_fs",DB2_FS($AS68),
               IF($Y68="","N/A","")))))))),"")</f>
        <v/>
      </c>
      <c r="AU68" s="2421"/>
      <c r="AV68" s="2421"/>
      <c r="AW68" s="2421"/>
      <c r="AX68" s="2238"/>
      <c r="AY68" s="2242"/>
      <c r="AZ68" s="2086" t="str">
        <f t="shared" si="28"/>
        <v/>
      </c>
      <c r="BA68" s="2568" t="str">
        <f t="shared" si="12"/>
        <v/>
      </c>
      <c r="BE68" s="522"/>
      <c r="BF68" s="522"/>
      <c r="BG68" s="522"/>
      <c r="BH68" s="522"/>
      <c r="BI68" s="522"/>
      <c r="BJ68" s="522"/>
      <c r="BK68" s="522"/>
    </row>
    <row r="69" spans="2:63">
      <c r="B69" s="2775" t="str">
        <f t="shared" si="23"/>
        <v/>
      </c>
      <c r="C69" s="549"/>
      <c r="D69" s="552"/>
      <c r="E69" s="2143"/>
      <c r="F69" s="2724"/>
      <c r="G69" s="2883"/>
      <c r="H69" s="2876"/>
      <c r="I69" s="2541"/>
      <c r="J69" s="2541" t="str">
        <f>IF(AND($B69&lt;&gt;"",$D69="New"),
IF(LEFT($F69,3)="POD",
     IF($G69="Standard",VLOOKUP($E69,Pod_standard_mod,4,FALSE),
          IF($G69="HA",VLOOKUP($E69,Pod_ha_mod,4,FALSE))),""),"")</f>
        <v/>
      </c>
      <c r="K69" s="2117" t="str">
        <f t="shared" si="20"/>
        <v/>
      </c>
      <c r="L69" s="2539" t="str">
        <f>IF($B69&lt;&gt;"",
    IF(AND(LEFT($F69,3)="POD",LEFT($G69,3)="Sta"),VLOOKUP($E69,Pod_standard_mod,7,FALSE),
    IF(AND(LEFT($F69,3)="POD",LEFT($G69,2)="HA"),VLOOKUP($E69,Pod_ha_mod,7,FALSE),"")),"")</f>
        <v/>
      </c>
      <c r="M69" s="531"/>
      <c r="N69" s="2536" t="str">
        <f>IF($B69&lt;&gt;"",
       IF(AND(LEFT($F69,3)="POD",LEFT($G69,3)="Sta"),VLOOKUP($E69,Pod_standard_mod,8,FALSE),
            IF(AND(LEFT($F69,3)="POD",LEFT($G69,2)="HA"),VLOOKUP($E69,Pod_ha_mod,8,FALSE),"")),"")</f>
        <v/>
      </c>
      <c r="O69" s="549"/>
      <c r="P69" s="2885" t="str">
        <f>IF($B69&lt;&gt;"",
IF(AND(LEFT($W69,7)="Windows", AND(LEFT($Y69,5)&lt;&gt;"MSSQL", LEFT($Y69,3)&lt;&gt;"EDH")),CONCATENATE("C:",CHAR(10),"D:",CHAR(10)),
     IF(AND(LEFT($W69,4)="RHEL", $K69="Physical"), CONCATENATE("OS:",CHAR(10),"Data:",CHAR(10)),
                   IF(AND(LEFT($Y69,5)="MSSQL",$L69&lt;&gt;"",$AS69&lt;&gt;""),SQL_FS($AS69,$L69),
                         IF(AND(LEFT($Y69,3)="EDH",$AS69&lt;&gt;""),PaaS_SQL_FS($AS69),
                           IF(AND(LEFT($Y69,5)="MSSQL",OR($L69="",$AS69="")),"Please enter CPUs and Initial DB Size (Column AS)",""))))),"")</f>
        <v/>
      </c>
      <c r="Q69" s="531"/>
      <c r="R69" s="549"/>
      <c r="S69" s="2151" t="str">
        <f t="shared" si="17"/>
        <v/>
      </c>
      <c r="T69" s="2890" t="str">
        <f t="shared" si="18"/>
        <v/>
      </c>
      <c r="U69" s="550" t="str">
        <f>IF(B69&lt;&gt;"",IF($D69="Existing","0",COUNTIF(IP!B:B,'Distributed Assets'!B69)),"")</f>
        <v/>
      </c>
      <c r="V69" s="551"/>
      <c r="W69" s="2152" t="str">
        <f t="shared" si="24"/>
        <v/>
      </c>
      <c r="X69" s="2534" t="str">
        <f t="shared" si="25"/>
        <v/>
      </c>
      <c r="Y69" s="2152"/>
      <c r="Z69" s="549"/>
      <c r="AA69" s="2997"/>
      <c r="AB69" s="2807" t="str">
        <f t="shared" si="26"/>
        <v/>
      </c>
      <c r="AC69" s="2134"/>
      <c r="AD69" s="553"/>
      <c r="AE69" s="554"/>
      <c r="AF69" s="2153"/>
      <c r="AG69" s="805"/>
      <c r="AH69" s="834" t="str">
        <f>IF($B69&lt;&gt;"",
IF(OR($G69="Standard", $G69="HA"),
IF($G69="Standard",VLOOKUP($E69,Pod_standard_mod,6,FALSE),
IF($G69="HA",VLOOKUP($E69,Pod_ha_mod,6,FALSE)))),"")</f>
        <v/>
      </c>
      <c r="AI69" s="2953" t="str">
        <f t="shared" si="9"/>
        <v/>
      </c>
      <c r="AJ69" s="834"/>
      <c r="AK69" s="2563"/>
      <c r="AL69" s="2958" t="str">
        <f t="shared" si="6"/>
        <v/>
      </c>
      <c r="AM69" s="2235"/>
      <c r="AN69" s="2236"/>
      <c r="AO69" s="2235"/>
      <c r="AP69" s="2237"/>
      <c r="AQ69" s="2240" t="str">
        <f t="shared" si="27"/>
        <v/>
      </c>
      <c r="AR69" s="2804" t="str">
        <f t="shared" si="11"/>
        <v/>
      </c>
      <c r="AS69" s="2241"/>
      <c r="AT69" s="2087" t="str">
        <f>IF($B69&lt;&gt;"",
      IF($J69="Windows","N/A",
        IF($J69="AIX",
               IF($Y69="Oracle Standalone 11.2",Oracle_Standalone_fs($AS69),
               IF($Y69="Oracle HACMP 11.2 - Node 1", Oracle_HACMP_Node_1($AS69),
               IF($Y69="Oracle HACMP 11.2 - Node 2", Oracle_HACMP_Node_2($AS69),
               IF($Y69="Oracle-RAC","Oracle RAC requires special config
work with Open Systems",
               IF($Y69="db2_fs",DB2_FS($AS69),
               IF($Y69="","N/A","")))))))),"")</f>
        <v/>
      </c>
      <c r="AU69" s="2421"/>
      <c r="AV69" s="2421"/>
      <c r="AW69" s="2421"/>
      <c r="AX69" s="2238"/>
      <c r="AY69" s="2242"/>
      <c r="AZ69" s="2086" t="str">
        <f t="shared" si="28"/>
        <v/>
      </c>
      <c r="BA69" s="2568" t="str">
        <f t="shared" si="12"/>
        <v/>
      </c>
      <c r="BE69" s="522"/>
      <c r="BF69" s="522"/>
      <c r="BG69" s="522"/>
      <c r="BH69" s="522"/>
      <c r="BI69" s="522"/>
      <c r="BJ69" s="522"/>
      <c r="BK69" s="522"/>
    </row>
    <row r="70" spans="2:63">
      <c r="B70" s="2775" t="str">
        <f t="shared" si="23"/>
        <v/>
      </c>
      <c r="C70" s="549"/>
      <c r="D70" s="552"/>
      <c r="E70" s="2143"/>
      <c r="F70" s="2724"/>
      <c r="G70" s="2883"/>
      <c r="H70" s="2876"/>
      <c r="I70" s="2541"/>
      <c r="J70" s="2541" t="str">
        <f>IF(AND($B70&lt;&gt;"",$D70="New"),
IF(LEFT($F70,3)="POD",
     IF($G70="Standard",VLOOKUP($E70,Pod_standard_mod,4,FALSE),
          IF($G70="HA",VLOOKUP($E70,Pod_ha_mod,4,FALSE))),""),"")</f>
        <v/>
      </c>
      <c r="K70" s="2117" t="str">
        <f t="shared" si="20"/>
        <v/>
      </c>
      <c r="L70" s="2539" t="str">
        <f>IF($B70&lt;&gt;"",
    IF(AND(LEFT($F70,3)="POD",LEFT($G70,3)="Sta"),VLOOKUP($E70,Pod_standard_mod,7,FALSE),
    IF(AND(LEFT($F70,3)="POD",LEFT($G70,2)="HA"),VLOOKUP($E70,Pod_ha_mod,7,FALSE),"")),"")</f>
        <v/>
      </c>
      <c r="M70" s="531"/>
      <c r="N70" s="2536" t="str">
        <f>IF($B70&lt;&gt;"",
       IF(AND(LEFT($F70,3)="POD",LEFT($G70,3)="Sta"),VLOOKUP($E70,Pod_standard_mod,8,FALSE),
            IF(AND(LEFT($F70,3)="POD",LEFT($G70,2)="HA"),VLOOKUP($E70,Pod_ha_mod,8,FALSE),"")),"")</f>
        <v/>
      </c>
      <c r="O70" s="549"/>
      <c r="P70" s="2885" t="str">
        <f>IF($B70&lt;&gt;"",
IF(AND(LEFT($W70,7)="Windows", AND(LEFT($Y70,5)&lt;&gt;"MSSQL", LEFT($Y70,3)&lt;&gt;"EDH")),CONCATENATE("C:",CHAR(10),"D:",CHAR(10)),
     IF(AND(LEFT($W70,4)="RHEL", $K70="Physical"), CONCATENATE("OS:",CHAR(10),"Data:",CHAR(10)),
                   IF(AND(LEFT($Y70,5)="MSSQL",$L70&lt;&gt;"",$AS70&lt;&gt;""),SQL_FS($AS70,$L70),
                         IF(AND(LEFT($Y70,3)="EDH",$AS70&lt;&gt;""),PaaS_SQL_FS($AS70),
                           IF(AND(LEFT($Y70,5)="MSSQL",OR($L70="",$AS70="")),"Please enter CPUs and Initial DB Size (Column AS)",""))))),"")</f>
        <v/>
      </c>
      <c r="Q70" s="531"/>
      <c r="R70" s="549"/>
      <c r="S70" s="2151" t="str">
        <f t="shared" si="17"/>
        <v/>
      </c>
      <c r="T70" s="2890" t="str">
        <f t="shared" si="18"/>
        <v/>
      </c>
      <c r="U70" s="550" t="str">
        <f>IF(B70&lt;&gt;"",IF($D70="Existing","0",COUNTIF(IP!B:B,'Distributed Assets'!B70)),"")</f>
        <v/>
      </c>
      <c r="V70" s="551"/>
      <c r="W70" s="2152" t="str">
        <f t="shared" si="24"/>
        <v/>
      </c>
      <c r="X70" s="2534" t="str">
        <f t="shared" si="25"/>
        <v/>
      </c>
      <c r="Y70" s="2152"/>
      <c r="Z70" s="549"/>
      <c r="AA70" s="2997"/>
      <c r="AB70" s="2807" t="str">
        <f t="shared" si="26"/>
        <v/>
      </c>
      <c r="AC70" s="2134"/>
      <c r="AD70" s="553"/>
      <c r="AE70" s="554"/>
      <c r="AF70" s="2153"/>
      <c r="AG70" s="805"/>
      <c r="AH70" s="834" t="str">
        <f>IF($B70&lt;&gt;"",
IF(OR($G70="Standard", $G70="HA"),
IF($G70="Standard",VLOOKUP($E70,Pod_standard_mod,6,FALSE),
IF($G70="HA",VLOOKUP($E70,Pod_ha_mod,6,FALSE)))),"")</f>
        <v/>
      </c>
      <c r="AI70" s="2953" t="str">
        <f t="shared" si="9"/>
        <v/>
      </c>
      <c r="AJ70" s="834"/>
      <c r="AK70" s="2563"/>
      <c r="AL70" s="2958" t="str">
        <f t="shared" si="6"/>
        <v/>
      </c>
      <c r="AM70" s="2235"/>
      <c r="AN70" s="2236"/>
      <c r="AO70" s="2235"/>
      <c r="AP70" s="2237"/>
      <c r="AQ70" s="2240" t="str">
        <f t="shared" si="27"/>
        <v/>
      </c>
      <c r="AR70" s="2804" t="str">
        <f t="shared" si="11"/>
        <v/>
      </c>
      <c r="AS70" s="2241"/>
      <c r="AT70" s="2087" t="str">
        <f>IF($B70&lt;&gt;"",
      IF($J70="Windows","N/A",
        IF($J70="AIX",
               IF($Y70="Oracle Standalone 11.2",Oracle_Standalone_fs($AS70),
               IF($Y70="Oracle HACMP 11.2 - Node 1", Oracle_HACMP_Node_1($AS70),
               IF($Y70="Oracle HACMP 11.2 - Node 2", Oracle_HACMP_Node_2($AS70),
               IF($Y70="Oracle-RAC","Oracle RAC requires special config
work with Open Systems",
               IF($Y70="db2_fs",DB2_FS($AS70),
               IF($Y70="","N/A","")))))))),"")</f>
        <v/>
      </c>
      <c r="AU70" s="2421"/>
      <c r="AV70" s="2421"/>
      <c r="AW70" s="2421"/>
      <c r="AX70" s="2238"/>
      <c r="AY70" s="2242"/>
      <c r="AZ70" s="2086" t="str">
        <f t="shared" si="28"/>
        <v/>
      </c>
      <c r="BA70" s="2568" t="str">
        <f t="shared" si="12"/>
        <v/>
      </c>
      <c r="BE70" s="522"/>
      <c r="BF70" s="522"/>
      <c r="BG70" s="522"/>
      <c r="BH70" s="522"/>
      <c r="BI70" s="522"/>
      <c r="BJ70" s="522"/>
      <c r="BK70" s="522"/>
    </row>
    <row r="71" spans="2:63">
      <c r="B71" s="2775" t="str">
        <f t="shared" si="23"/>
        <v/>
      </c>
      <c r="C71" s="549"/>
      <c r="D71" s="552"/>
      <c r="E71" s="2143"/>
      <c r="F71" s="2724"/>
      <c r="G71" s="2883"/>
      <c r="H71" s="2876"/>
      <c r="I71" s="2541"/>
      <c r="J71" s="2541" t="str">
        <f>IF(AND($B71&lt;&gt;"",$D71="New"),
IF(LEFT($F71,3)="POD",
     IF($G71="Standard",VLOOKUP($E71,Pod_standard_mod,4,FALSE),
          IF($G71="HA",VLOOKUP($E71,Pod_ha_mod,4,FALSE))),""),"")</f>
        <v/>
      </c>
      <c r="K71" s="2117" t="str">
        <f t="shared" si="20"/>
        <v/>
      </c>
      <c r="L71" s="2539" t="str">
        <f>IF($B71&lt;&gt;"",
    IF(AND(LEFT($F71,3)="POD",LEFT($G71,3)="Sta"),VLOOKUP($E71,Pod_standard_mod,7,FALSE),
    IF(AND(LEFT($F71,3)="POD",LEFT($G71,2)="HA"),VLOOKUP($E71,Pod_ha_mod,7,FALSE),"")),"")</f>
        <v/>
      </c>
      <c r="M71" s="531"/>
      <c r="N71" s="2536" t="str">
        <f>IF($B71&lt;&gt;"",
       IF(AND(LEFT($F71,3)="POD",LEFT($G71,3)="Sta"),VLOOKUP($E71,Pod_standard_mod,8,FALSE),
            IF(AND(LEFT($F71,3)="POD",LEFT($G71,2)="HA"),VLOOKUP($E71,Pod_ha_mod,8,FALSE),"")),"")</f>
        <v/>
      </c>
      <c r="O71" s="549"/>
      <c r="P71" s="2885" t="str">
        <f>IF($B71&lt;&gt;"",
IF(AND(LEFT($W71,7)="Windows", AND(LEFT($Y71,5)&lt;&gt;"MSSQL", LEFT($Y71,3)&lt;&gt;"EDH")),CONCATENATE("C:",CHAR(10),"D:",CHAR(10)),
     IF(AND(LEFT($W71,4)="RHEL", $K71="Physical"), CONCATENATE("OS:",CHAR(10),"Data:",CHAR(10)),
                   IF(AND(LEFT($Y71,5)="MSSQL",$L71&lt;&gt;"",$AS71&lt;&gt;""),SQL_FS($AS71,$L71),
                         IF(AND(LEFT($Y71,3)="EDH",$AS71&lt;&gt;""),PaaS_SQL_FS($AS71),
                           IF(AND(LEFT($Y71,5)="MSSQL",OR($L71="",$AS71="")),"Please enter CPUs and Initial DB Size (Column AS)",""))))),"")</f>
        <v/>
      </c>
      <c r="Q71" s="531"/>
      <c r="R71" s="549"/>
      <c r="S71" s="2151" t="str">
        <f t="shared" si="17"/>
        <v/>
      </c>
      <c r="T71" s="2890" t="str">
        <f t="shared" si="18"/>
        <v/>
      </c>
      <c r="U71" s="550" t="str">
        <f>IF(B71&lt;&gt;"",IF($D71="Existing","0",COUNTIF(IP!B:B,'Distributed Assets'!B71)),"")</f>
        <v/>
      </c>
      <c r="V71" s="551"/>
      <c r="W71" s="2152" t="str">
        <f t="shared" si="24"/>
        <v/>
      </c>
      <c r="X71" s="2534" t="str">
        <f t="shared" si="25"/>
        <v/>
      </c>
      <c r="Y71" s="2152"/>
      <c r="Z71" s="549"/>
      <c r="AA71" s="2997"/>
      <c r="AB71" s="2807" t="str">
        <f t="shared" si="26"/>
        <v/>
      </c>
      <c r="AC71" s="2134"/>
      <c r="AD71" s="553"/>
      <c r="AE71" s="554"/>
      <c r="AF71" s="2153"/>
      <c r="AG71" s="805"/>
      <c r="AH71" s="834" t="str">
        <f>IF($B71&lt;&gt;"",
IF(OR($G71="Standard", $G71="HA"),
IF($G71="Standard",VLOOKUP($E71,Pod_standard_mod,6,FALSE),
IF($G71="HA",VLOOKUP($E71,Pod_ha_mod,6,FALSE)))),"")</f>
        <v/>
      </c>
      <c r="AI71" s="2953" t="str">
        <f t="shared" si="9"/>
        <v/>
      </c>
      <c r="AJ71" s="834"/>
      <c r="AK71" s="2563"/>
      <c r="AL71" s="2958" t="str">
        <f t="shared" si="6"/>
        <v/>
      </c>
      <c r="AM71" s="2235"/>
      <c r="AN71" s="2236"/>
      <c r="AO71" s="2235"/>
      <c r="AP71" s="2237"/>
      <c r="AQ71" s="2240" t="str">
        <f t="shared" si="27"/>
        <v/>
      </c>
      <c r="AR71" s="2804" t="str">
        <f t="shared" si="11"/>
        <v/>
      </c>
      <c r="AS71" s="2241"/>
      <c r="AT71" s="2087" t="str">
        <f>IF($B71&lt;&gt;"",
      IF($J71="Windows","N/A",
        IF($J71="AIX",
               IF($Y71="Oracle Standalone 11.2",Oracle_Standalone_fs($AS71),
               IF($Y71="Oracle HACMP 11.2 - Node 1", Oracle_HACMP_Node_1($AS71),
               IF($Y71="Oracle HACMP 11.2 - Node 2", Oracle_HACMP_Node_2($AS71),
               IF($Y71="Oracle-RAC","Oracle RAC requires special config
work with Open Systems",
               IF($Y71="db2_fs",DB2_FS($AS71),
               IF($Y71="","N/A","")))))))),"")</f>
        <v/>
      </c>
      <c r="AU71" s="2421"/>
      <c r="AV71" s="2421"/>
      <c r="AW71" s="2421"/>
      <c r="AX71" s="2238"/>
      <c r="AY71" s="2242"/>
      <c r="AZ71" s="2086" t="str">
        <f t="shared" si="28"/>
        <v/>
      </c>
      <c r="BA71" s="2568" t="str">
        <f t="shared" si="12"/>
        <v/>
      </c>
      <c r="BE71" s="522"/>
      <c r="BF71" s="522"/>
      <c r="BG71" s="522"/>
      <c r="BH71" s="522"/>
      <c r="BI71" s="522"/>
      <c r="BJ71" s="522"/>
      <c r="BK71" s="522"/>
    </row>
    <row r="72" spans="2:63">
      <c r="B72" s="2775" t="str">
        <f t="shared" si="23"/>
        <v/>
      </c>
      <c r="C72" s="549"/>
      <c r="D72" s="552"/>
      <c r="E72" s="2143"/>
      <c r="F72" s="2724"/>
      <c r="G72" s="2883"/>
      <c r="H72" s="2876"/>
      <c r="I72" s="2541"/>
      <c r="J72" s="2541" t="str">
        <f>IF(AND($B72&lt;&gt;"",$D72="New"),
IF(LEFT($F72,3)="POD",
     IF($G72="Standard",VLOOKUP($E72,Pod_standard_mod,4,FALSE),
          IF($G72="HA",VLOOKUP($E72,Pod_ha_mod,4,FALSE))),""),"")</f>
        <v/>
      </c>
      <c r="K72" s="2117" t="str">
        <f t="shared" si="20"/>
        <v/>
      </c>
      <c r="L72" s="2539" t="str">
        <f>IF($B72&lt;&gt;"",
    IF(AND(LEFT($F72,3)="POD",LEFT($G72,3)="Sta"),VLOOKUP($E72,Pod_standard_mod,7,FALSE),
    IF(AND(LEFT($F72,3)="POD",LEFT($G72,2)="HA"),VLOOKUP($E72,Pod_ha_mod,7,FALSE),"")),"")</f>
        <v/>
      </c>
      <c r="M72" s="531"/>
      <c r="N72" s="2536" t="str">
        <f>IF($B72&lt;&gt;"",
       IF(AND(LEFT($F72,3)="POD",LEFT($G72,3)="Sta"),VLOOKUP($E72,Pod_standard_mod,8,FALSE),
            IF(AND(LEFT($F72,3)="POD",LEFT($G72,2)="HA"),VLOOKUP($E72,Pod_ha_mod,8,FALSE),"")),"")</f>
        <v/>
      </c>
      <c r="O72" s="549"/>
      <c r="P72" s="2885" t="str">
        <f>IF($B72&lt;&gt;"",
IF(AND(LEFT($W72,7)="Windows", AND(LEFT($Y72,5)&lt;&gt;"MSSQL", LEFT($Y72,3)&lt;&gt;"EDH")),CONCATENATE("C:",CHAR(10),"D:",CHAR(10)),
     IF(AND(LEFT($W72,4)="RHEL", $K72="Physical"), CONCATENATE("OS:",CHAR(10),"Data:",CHAR(10)),
                   IF(AND(LEFT($Y72,5)="MSSQL",$L72&lt;&gt;"",$AS72&lt;&gt;""),SQL_FS($AS72,$L72),
                         IF(AND(LEFT($Y72,3)="EDH",$AS72&lt;&gt;""),PaaS_SQL_FS($AS72),
                           IF(AND(LEFT($Y72,5)="MSSQL",OR($L72="",$AS72="")),"Please enter CPUs and Initial DB Size (Column AS)",""))))),"")</f>
        <v/>
      </c>
      <c r="Q72" s="531"/>
      <c r="R72" s="549"/>
      <c r="S72" s="2151" t="str">
        <f t="shared" si="17"/>
        <v/>
      </c>
      <c r="T72" s="2890" t="str">
        <f t="shared" si="18"/>
        <v/>
      </c>
      <c r="U72" s="550" t="str">
        <f>IF(B72&lt;&gt;"",IF($D72="Existing","0",COUNTIF(IP!B:B,'Distributed Assets'!B72)),"")</f>
        <v/>
      </c>
      <c r="V72" s="551"/>
      <c r="W72" s="2152" t="str">
        <f t="shared" si="24"/>
        <v/>
      </c>
      <c r="X72" s="2534" t="str">
        <f t="shared" si="25"/>
        <v/>
      </c>
      <c r="Y72" s="2152"/>
      <c r="Z72" s="549"/>
      <c r="AA72" s="2997"/>
      <c r="AB72" s="2807" t="str">
        <f t="shared" si="26"/>
        <v/>
      </c>
      <c r="AC72" s="2134"/>
      <c r="AD72" s="553"/>
      <c r="AE72" s="554"/>
      <c r="AF72" s="2153"/>
      <c r="AG72" s="805"/>
      <c r="AH72" s="834" t="str">
        <f>IF($B72&lt;&gt;"",
IF(OR($G72="Standard", $G72="HA"),
IF($G72="Standard",VLOOKUP($E72,Pod_standard_mod,6,FALSE),
IF($G72="HA",VLOOKUP($E72,Pod_ha_mod,6,FALSE)))),"")</f>
        <v/>
      </c>
      <c r="AI72" s="2953" t="str">
        <f t="shared" si="9"/>
        <v/>
      </c>
      <c r="AJ72" s="834"/>
      <c r="AK72" s="2563"/>
      <c r="AL72" s="2958" t="str">
        <f t="shared" si="6"/>
        <v/>
      </c>
      <c r="AM72" s="2235"/>
      <c r="AN72" s="2236"/>
      <c r="AO72" s="2235"/>
      <c r="AP72" s="2237"/>
      <c r="AQ72" s="2240" t="str">
        <f t="shared" si="27"/>
        <v/>
      </c>
      <c r="AR72" s="2804" t="str">
        <f t="shared" si="11"/>
        <v/>
      </c>
      <c r="AS72" s="2241"/>
      <c r="AT72" s="2087" t="str">
        <f>IF($B72&lt;&gt;"",
      IF($J72="Windows","N/A",
        IF($J72="AIX",
               IF($Y72="Oracle Standalone 11.2",Oracle_Standalone_fs($AS72),
               IF($Y72="Oracle HACMP 11.2 - Node 1", Oracle_HACMP_Node_1($AS72),
               IF($Y72="Oracle HACMP 11.2 - Node 2", Oracle_HACMP_Node_2($AS72),
               IF($Y72="Oracle-RAC","Oracle RAC requires special config
work with Open Systems",
               IF($Y72="db2_fs",DB2_FS($AS72),
               IF($Y72="","N/A","")))))))),"")</f>
        <v/>
      </c>
      <c r="AU72" s="2421"/>
      <c r="AV72" s="2421"/>
      <c r="AW72" s="2421"/>
      <c r="AX72" s="2238"/>
      <c r="AY72" s="2242"/>
      <c r="AZ72" s="2086" t="str">
        <f t="shared" si="28"/>
        <v/>
      </c>
      <c r="BA72" s="2568" t="str">
        <f t="shared" si="12"/>
        <v/>
      </c>
      <c r="BE72" s="522"/>
      <c r="BF72" s="522"/>
      <c r="BG72" s="522"/>
      <c r="BH72" s="522"/>
      <c r="BI72" s="522"/>
      <c r="BJ72" s="522"/>
      <c r="BK72" s="522"/>
    </row>
    <row r="73" spans="2:63">
      <c r="B73" s="2775" t="str">
        <f t="shared" si="23"/>
        <v/>
      </c>
      <c r="C73" s="549"/>
      <c r="D73" s="552"/>
      <c r="E73" s="2143"/>
      <c r="F73" s="2724"/>
      <c r="G73" s="2883"/>
      <c r="H73" s="2876"/>
      <c r="I73" s="2541"/>
      <c r="J73" s="2541" t="str">
        <f>IF(AND($B73&lt;&gt;"",$D73="New"),
IF(LEFT($F73,3)="POD",
     IF($G73="Standard",VLOOKUP($E73,Pod_standard_mod,4,FALSE),
          IF($G73="HA",VLOOKUP($E73,Pod_ha_mod,4,FALSE))),""),"")</f>
        <v/>
      </c>
      <c r="K73" s="2117" t="str">
        <f t="shared" si="20"/>
        <v/>
      </c>
      <c r="L73" s="2539" t="str">
        <f>IF($B73&lt;&gt;"",
    IF(AND(LEFT($F73,3)="POD",LEFT($G73,3)="Sta"),VLOOKUP($E73,Pod_standard_mod,7,FALSE),
    IF(AND(LEFT($F73,3)="POD",LEFT($G73,2)="HA"),VLOOKUP($E73,Pod_ha_mod,7,FALSE),"")),"")</f>
        <v/>
      </c>
      <c r="M73" s="531"/>
      <c r="N73" s="2536" t="str">
        <f>IF($B73&lt;&gt;"",
       IF(AND(LEFT($F73,3)="POD",LEFT($G73,3)="Sta"),VLOOKUP($E73,Pod_standard_mod,8,FALSE),
            IF(AND(LEFT($F73,3)="POD",LEFT($G73,2)="HA"),VLOOKUP($E73,Pod_ha_mod,8,FALSE),"")),"")</f>
        <v/>
      </c>
      <c r="O73" s="549"/>
      <c r="P73" s="2885" t="str">
        <f>IF($B73&lt;&gt;"",
IF(AND(LEFT($W73,7)="Windows", AND(LEFT($Y73,5)&lt;&gt;"MSSQL", LEFT($Y73,3)&lt;&gt;"EDH")),CONCATENATE("C:",CHAR(10),"D:",CHAR(10)),
     IF(AND(LEFT($W73,4)="RHEL", $K73="Physical"), CONCATENATE("OS:",CHAR(10),"Data:",CHAR(10)),
                   IF(AND(LEFT($Y73,5)="MSSQL",$L73&lt;&gt;"",$AS73&lt;&gt;""),SQL_FS($AS73,$L73),
                         IF(AND(LEFT($Y73,3)="EDH",$AS73&lt;&gt;""),PaaS_SQL_FS($AS73),
                           IF(AND(LEFT($Y73,5)="MSSQL",OR($L73="",$AS73="")),"Please enter CPUs and Initial DB Size (Column AS)",""))))),"")</f>
        <v/>
      </c>
      <c r="Q73" s="531"/>
      <c r="R73" s="549"/>
      <c r="S73" s="2151" t="str">
        <f t="shared" si="17"/>
        <v/>
      </c>
      <c r="T73" s="2890" t="str">
        <f t="shared" si="18"/>
        <v/>
      </c>
      <c r="U73" s="550" t="str">
        <f>IF(B73&lt;&gt;"",IF($D73="Existing","0",COUNTIF(IP!B:B,'Distributed Assets'!B73)),"")</f>
        <v/>
      </c>
      <c r="V73" s="551"/>
      <c r="W73" s="2152" t="str">
        <f t="shared" si="24"/>
        <v/>
      </c>
      <c r="X73" s="2534" t="str">
        <f t="shared" si="25"/>
        <v/>
      </c>
      <c r="Y73" s="2152"/>
      <c r="Z73" s="549"/>
      <c r="AA73" s="2997"/>
      <c r="AB73" s="2807" t="str">
        <f t="shared" si="26"/>
        <v/>
      </c>
      <c r="AC73" s="2134"/>
      <c r="AD73" s="553"/>
      <c r="AE73" s="554"/>
      <c r="AF73" s="2153"/>
      <c r="AG73" s="805"/>
      <c r="AH73" s="834" t="str">
        <f>IF($B73&lt;&gt;"",
IF(OR($G73="Standard", $G73="HA"),
IF($G73="Standard",VLOOKUP($E73,Pod_standard_mod,6,FALSE),
IF($G73="HA",VLOOKUP($E73,Pod_ha_mod,6,FALSE)))),"")</f>
        <v/>
      </c>
      <c r="AI73" s="2953" t="str">
        <f t="shared" si="9"/>
        <v/>
      </c>
      <c r="AJ73" s="834"/>
      <c r="AK73" s="2563"/>
      <c r="AL73" s="2958" t="str">
        <f t="shared" si="6"/>
        <v/>
      </c>
      <c r="AM73" s="2235"/>
      <c r="AN73" s="2236"/>
      <c r="AO73" s="2235"/>
      <c r="AP73" s="2237"/>
      <c r="AQ73" s="2240" t="str">
        <f t="shared" si="27"/>
        <v/>
      </c>
      <c r="AR73" s="2804" t="str">
        <f t="shared" si="11"/>
        <v/>
      </c>
      <c r="AS73" s="2241"/>
      <c r="AT73" s="2087" t="str">
        <f>IF($B73&lt;&gt;"",
      IF($J73="Windows","N/A",
        IF($J73="AIX",
               IF($Y73="Oracle Standalone 11.2",Oracle_Standalone_fs($AS73),
               IF($Y73="Oracle HACMP 11.2 - Node 1", Oracle_HACMP_Node_1($AS73),
               IF($Y73="Oracle HACMP 11.2 - Node 2", Oracle_HACMP_Node_2($AS73),
               IF($Y73="Oracle-RAC","Oracle RAC requires special config
work with Open Systems",
               IF($Y73="db2_fs",DB2_FS($AS73),
               IF($Y73="","N/A","")))))))),"")</f>
        <v/>
      </c>
      <c r="AU73" s="2421"/>
      <c r="AV73" s="2421"/>
      <c r="AW73" s="2421"/>
      <c r="AX73" s="2238"/>
      <c r="AY73" s="2242"/>
      <c r="AZ73" s="2086" t="str">
        <f t="shared" si="28"/>
        <v/>
      </c>
      <c r="BA73" s="2568" t="str">
        <f t="shared" si="12"/>
        <v/>
      </c>
      <c r="BE73" s="522"/>
      <c r="BF73" s="522"/>
      <c r="BG73" s="522"/>
      <c r="BH73" s="522"/>
      <c r="BI73" s="522"/>
      <c r="BJ73" s="522"/>
      <c r="BK73" s="522"/>
    </row>
    <row r="74" spans="2:63">
      <c r="B74" s="2775" t="str">
        <f t="shared" si="23"/>
        <v/>
      </c>
      <c r="C74" s="549"/>
      <c r="D74" s="552"/>
      <c r="E74" s="2143"/>
      <c r="F74" s="2724"/>
      <c r="G74" s="2883"/>
      <c r="H74" s="2876"/>
      <c r="I74" s="2541"/>
      <c r="J74" s="2541" t="str">
        <f>IF(AND($B74&lt;&gt;"",$D74="New"),
IF(LEFT($F74,3)="POD",
     IF($G74="Standard",VLOOKUP($E74,Pod_standard_mod,4,FALSE),
          IF($G74="HA",VLOOKUP($E74,Pod_ha_mod,4,FALSE))),""),"")</f>
        <v/>
      </c>
      <c r="K74" s="2117" t="str">
        <f t="shared" si="20"/>
        <v/>
      </c>
      <c r="L74" s="2539" t="str">
        <f>IF($B74&lt;&gt;"",
    IF(AND(LEFT($F74,3)="POD",LEFT($G74,3)="Sta"),VLOOKUP($E74,Pod_standard_mod,7,FALSE),
    IF(AND(LEFT($F74,3)="POD",LEFT($G74,2)="HA"),VLOOKUP($E74,Pod_ha_mod,7,FALSE),"")),"")</f>
        <v/>
      </c>
      <c r="M74" s="531"/>
      <c r="N74" s="2536" t="str">
        <f>IF($B74&lt;&gt;"",
       IF(AND(LEFT($F74,3)="POD",LEFT($G74,3)="Sta"),VLOOKUP($E74,Pod_standard_mod,8,FALSE),
            IF(AND(LEFT($F74,3)="POD",LEFT($G74,2)="HA"),VLOOKUP($E74,Pod_ha_mod,8,FALSE),"")),"")</f>
        <v/>
      </c>
      <c r="O74" s="549"/>
      <c r="P74" s="2885" t="str">
        <f>IF($B74&lt;&gt;"",
IF(AND(LEFT($W74,7)="Windows", AND(LEFT($Y74,5)&lt;&gt;"MSSQL", LEFT($Y74,3)&lt;&gt;"EDH")),CONCATENATE("C:",CHAR(10),"D:",CHAR(10)),
     IF(AND(LEFT($W74,4)="RHEL", $K74="Physical"), CONCATENATE("OS:",CHAR(10),"Data:",CHAR(10)),
                   IF(AND(LEFT($Y74,5)="MSSQL",$L74&lt;&gt;"",$AS74&lt;&gt;""),SQL_FS($AS74,$L74),
                         IF(AND(LEFT($Y74,3)="EDH",$AS74&lt;&gt;""),PaaS_SQL_FS($AS74),
                           IF(AND(LEFT($Y74,5)="MSSQL",OR($L74="",$AS74="")),"Please enter CPUs and Initial DB Size (Column AS)",""))))),"")</f>
        <v/>
      </c>
      <c r="Q74" s="531"/>
      <c r="R74" s="549"/>
      <c r="S74" s="2151" t="str">
        <f t="shared" si="17"/>
        <v/>
      </c>
      <c r="T74" s="2890" t="str">
        <f t="shared" si="18"/>
        <v/>
      </c>
      <c r="U74" s="550" t="str">
        <f>IF(B74&lt;&gt;"",IF($D74="Existing","0",COUNTIF(IP!B:B,'Distributed Assets'!B74)),"")</f>
        <v/>
      </c>
      <c r="V74" s="551"/>
      <c r="W74" s="2152" t="str">
        <f t="shared" si="24"/>
        <v/>
      </c>
      <c r="X74" s="2534" t="str">
        <f t="shared" si="25"/>
        <v/>
      </c>
      <c r="Y74" s="2152"/>
      <c r="Z74" s="549"/>
      <c r="AA74" s="2997"/>
      <c r="AB74" s="2807" t="str">
        <f t="shared" si="26"/>
        <v/>
      </c>
      <c r="AC74" s="2134"/>
      <c r="AD74" s="553"/>
      <c r="AE74" s="554"/>
      <c r="AF74" s="2153"/>
      <c r="AG74" s="805"/>
      <c r="AH74" s="834" t="str">
        <f>IF($B74&lt;&gt;"",
IF(OR($G74="Standard", $G74="HA"),
IF($G74="Standard",VLOOKUP($E74,Pod_standard_mod,6,FALSE),
IF($G74="HA",VLOOKUP($E74,Pod_ha_mod,6,FALSE)))),"")</f>
        <v/>
      </c>
      <c r="AI74" s="2953" t="str">
        <f t="shared" si="9"/>
        <v/>
      </c>
      <c r="AJ74" s="834"/>
      <c r="AK74" s="2563"/>
      <c r="AL74" s="2958" t="str">
        <f t="shared" si="6"/>
        <v/>
      </c>
      <c r="AM74" s="2235"/>
      <c r="AN74" s="2236"/>
      <c r="AO74" s="2235"/>
      <c r="AP74" s="2237"/>
      <c r="AQ74" s="2240" t="str">
        <f t="shared" si="27"/>
        <v/>
      </c>
      <c r="AR74" s="2804" t="str">
        <f t="shared" si="11"/>
        <v/>
      </c>
      <c r="AS74" s="2241"/>
      <c r="AT74" s="2087" t="str">
        <f>IF($B74&lt;&gt;"",
      IF($J74="Windows","N/A",
        IF($J74="AIX",
               IF($Y74="Oracle Standalone 11.2",Oracle_Standalone_fs($AS74),
               IF($Y74="Oracle HACMP 11.2 - Node 1", Oracle_HACMP_Node_1($AS74),
               IF($Y74="Oracle HACMP 11.2 - Node 2", Oracle_HACMP_Node_2($AS74),
               IF($Y74="Oracle-RAC","Oracle RAC requires special config
work with Open Systems",
               IF($Y74="db2_fs",DB2_FS($AS74),
               IF($Y74="","N/A","")))))))),"")</f>
        <v/>
      </c>
      <c r="AU74" s="2421"/>
      <c r="AV74" s="2421"/>
      <c r="AW74" s="2421"/>
      <c r="AX74" s="2238"/>
      <c r="AY74" s="2242"/>
      <c r="AZ74" s="2086" t="str">
        <f t="shared" si="28"/>
        <v/>
      </c>
      <c r="BA74" s="2568" t="str">
        <f t="shared" si="12"/>
        <v/>
      </c>
      <c r="BE74" s="522"/>
      <c r="BF74" s="522"/>
      <c r="BG74" s="522"/>
      <c r="BH74" s="522"/>
      <c r="BI74" s="522"/>
      <c r="BJ74" s="522"/>
      <c r="BK74" s="522"/>
    </row>
    <row r="75" spans="2:63">
      <c r="B75" s="2775" t="str">
        <f t="shared" si="23"/>
        <v/>
      </c>
      <c r="C75" s="549"/>
      <c r="D75" s="552"/>
      <c r="E75" s="2143"/>
      <c r="F75" s="2724"/>
      <c r="G75" s="2883"/>
      <c r="H75" s="2876"/>
      <c r="I75" s="2541"/>
      <c r="J75" s="2541" t="str">
        <f>IF(AND($B75&lt;&gt;"",$D75="New"),
IF(LEFT($F75,3)="POD",
     IF($G75="Standard",VLOOKUP($E75,Pod_standard_mod,4,FALSE),
          IF($G75="HA",VLOOKUP($E75,Pod_ha_mod,4,FALSE))),""),"")</f>
        <v/>
      </c>
      <c r="K75" s="2117" t="str">
        <f t="shared" si="20"/>
        <v/>
      </c>
      <c r="L75" s="2539" t="str">
        <f>IF($B75&lt;&gt;"",
    IF(AND(LEFT($F75,3)="POD",LEFT($G75,3)="Sta"),VLOOKUP($E75,Pod_standard_mod,7,FALSE),
    IF(AND(LEFT($F75,3)="POD",LEFT($G75,2)="HA"),VLOOKUP($E75,Pod_ha_mod,7,FALSE),"")),"")</f>
        <v/>
      </c>
      <c r="M75" s="531"/>
      <c r="N75" s="2536" t="str">
        <f>IF($B75&lt;&gt;"",
       IF(AND(LEFT($F75,3)="POD",LEFT($G75,3)="Sta"),VLOOKUP($E75,Pod_standard_mod,8,FALSE),
            IF(AND(LEFT($F75,3)="POD",LEFT($G75,2)="HA"),VLOOKUP($E75,Pod_ha_mod,8,FALSE),"")),"")</f>
        <v/>
      </c>
      <c r="O75" s="549"/>
      <c r="P75" s="2885" t="str">
        <f>IF($B75&lt;&gt;"",
IF(AND(LEFT($W75,7)="Windows", AND(LEFT($Y75,5)&lt;&gt;"MSSQL", LEFT($Y75,3)&lt;&gt;"EDH")),CONCATENATE("C:",CHAR(10),"D:",CHAR(10)),
     IF(AND(LEFT($W75,4)="RHEL", $K75="Physical"), CONCATENATE("OS:",CHAR(10),"Data:",CHAR(10)),
                   IF(AND(LEFT($Y75,5)="MSSQL",$L75&lt;&gt;"",$AS75&lt;&gt;""),SQL_FS($AS75,$L75),
                         IF(AND(LEFT($Y75,3)="EDH",$AS75&lt;&gt;""),PaaS_SQL_FS($AS75),
                           IF(AND(LEFT($Y75,5)="MSSQL",OR($L75="",$AS75="")),"Please enter CPUs and Initial DB Size (Column AS)",""))))),"")</f>
        <v/>
      </c>
      <c r="Q75" s="531"/>
      <c r="R75" s="549"/>
      <c r="S75" s="2151" t="str">
        <f t="shared" si="17"/>
        <v/>
      </c>
      <c r="T75" s="2890" t="str">
        <f t="shared" si="18"/>
        <v/>
      </c>
      <c r="U75" s="550" t="str">
        <f>IF(B75&lt;&gt;"",IF($D75="Existing","0",COUNTIF(IP!B:B,'Distributed Assets'!B75)),"")</f>
        <v/>
      </c>
      <c r="V75" s="551"/>
      <c r="W75" s="2152" t="str">
        <f t="shared" si="24"/>
        <v/>
      </c>
      <c r="X75" s="2534" t="str">
        <f t="shared" si="25"/>
        <v/>
      </c>
      <c r="Y75" s="2152"/>
      <c r="Z75" s="549"/>
      <c r="AA75" s="2997"/>
      <c r="AB75" s="2807" t="str">
        <f t="shared" si="26"/>
        <v/>
      </c>
      <c r="AC75" s="2134"/>
      <c r="AD75" s="553"/>
      <c r="AE75" s="554"/>
      <c r="AF75" s="2153"/>
      <c r="AG75" s="805"/>
      <c r="AH75" s="834" t="str">
        <f>IF($B75&lt;&gt;"",
IF(OR($G75="Standard", $G75="HA"),
IF($G75="Standard",VLOOKUP($E75,Pod_standard_mod,6,FALSE),
IF($G75="HA",VLOOKUP($E75,Pod_ha_mod,6,FALSE)))),"")</f>
        <v/>
      </c>
      <c r="AI75" s="2953" t="str">
        <f t="shared" si="9"/>
        <v/>
      </c>
      <c r="AJ75" s="834"/>
      <c r="AK75" s="2563"/>
      <c r="AL75" s="2958" t="str">
        <f t="shared" si="6"/>
        <v/>
      </c>
      <c r="AM75" s="2235"/>
      <c r="AN75" s="2236"/>
      <c r="AO75" s="2235"/>
      <c r="AP75" s="2237"/>
      <c r="AQ75" s="2240" t="str">
        <f t="shared" si="27"/>
        <v/>
      </c>
      <c r="AR75" s="2804" t="str">
        <f t="shared" si="11"/>
        <v/>
      </c>
      <c r="AS75" s="2241"/>
      <c r="AT75" s="2087" t="str">
        <f>IF($B75&lt;&gt;"",
      IF($J75="Windows","N/A",
        IF($J75="AIX",
               IF($Y75="Oracle Standalone 11.2",Oracle_Standalone_fs($AS75),
               IF($Y75="Oracle HACMP 11.2 - Node 1", Oracle_HACMP_Node_1($AS75),
               IF($Y75="Oracle HACMP 11.2 - Node 2", Oracle_HACMP_Node_2($AS75),
               IF($Y75="Oracle-RAC","Oracle RAC requires special config
work with Open Systems",
               IF($Y75="db2_fs",DB2_FS($AS75),
               IF($Y75="","N/A","")))))))),"")</f>
        <v/>
      </c>
      <c r="AU75" s="2421"/>
      <c r="AV75" s="2421"/>
      <c r="AW75" s="2421"/>
      <c r="AX75" s="2238"/>
      <c r="AY75" s="2242"/>
      <c r="AZ75" s="2086" t="str">
        <f t="shared" si="28"/>
        <v/>
      </c>
      <c r="BA75" s="2568" t="str">
        <f t="shared" si="12"/>
        <v/>
      </c>
      <c r="BE75" s="522"/>
      <c r="BF75" s="522"/>
      <c r="BG75" s="522"/>
      <c r="BH75" s="522"/>
      <c r="BI75" s="522"/>
      <c r="BJ75" s="522"/>
      <c r="BK75" s="522"/>
    </row>
    <row r="76" spans="2:63">
      <c r="B76" s="2775" t="str">
        <f t="shared" si="23"/>
        <v/>
      </c>
      <c r="C76" s="549"/>
      <c r="D76" s="552"/>
      <c r="E76" s="2143"/>
      <c r="F76" s="2724"/>
      <c r="G76" s="2883"/>
      <c r="H76" s="2876"/>
      <c r="I76" s="2541"/>
      <c r="J76" s="2541" t="str">
        <f>IF(AND($B76&lt;&gt;"",$D76="New"),
IF(LEFT($F76,3)="POD",
     IF($G76="Standard",VLOOKUP($E76,Pod_standard_mod,4,FALSE),
          IF($G76="HA",VLOOKUP($E76,Pod_ha_mod,4,FALSE))),""),"")</f>
        <v/>
      </c>
      <c r="K76" s="2117" t="str">
        <f t="shared" si="20"/>
        <v/>
      </c>
      <c r="L76" s="2539" t="str">
        <f>IF($B76&lt;&gt;"",
    IF(AND(LEFT($F76,3)="POD",LEFT($G76,3)="Sta"),VLOOKUP($E76,Pod_standard_mod,7,FALSE),
    IF(AND(LEFT($F76,3)="POD",LEFT($G76,2)="HA"),VLOOKUP($E76,Pod_ha_mod,7,FALSE),"")),"")</f>
        <v/>
      </c>
      <c r="M76" s="531"/>
      <c r="N76" s="2536" t="str">
        <f>IF($B76&lt;&gt;"",
       IF(AND(LEFT($F76,3)="POD",LEFT($G76,3)="Sta"),VLOOKUP($E76,Pod_standard_mod,8,FALSE),
            IF(AND(LEFT($F76,3)="POD",LEFT($G76,2)="HA"),VLOOKUP($E76,Pod_ha_mod,8,FALSE),"")),"")</f>
        <v/>
      </c>
      <c r="O76" s="549"/>
      <c r="P76" s="2885" t="str">
        <f>IF($B76&lt;&gt;"",
IF(AND(LEFT($W76,7)="Windows", AND(LEFT($Y76,5)&lt;&gt;"MSSQL", LEFT($Y76,3)&lt;&gt;"EDH")),CONCATENATE("C:",CHAR(10),"D:",CHAR(10)),
     IF(AND(LEFT($W76,4)="RHEL", $K76="Physical"), CONCATENATE("OS:",CHAR(10),"Data:",CHAR(10)),
                   IF(AND(LEFT($Y76,5)="MSSQL",$L76&lt;&gt;"",$AS76&lt;&gt;""),SQL_FS($AS76,$L76),
                         IF(AND(LEFT($Y76,3)="EDH",$AS76&lt;&gt;""),PaaS_SQL_FS($AS76),
                           IF(AND(LEFT($Y76,5)="MSSQL",OR($L76="",$AS76="")),"Please enter CPUs and Initial DB Size (Column AS)",""))))),"")</f>
        <v/>
      </c>
      <c r="Q76" s="531"/>
      <c r="R76" s="549"/>
      <c r="S76" s="2151" t="str">
        <f t="shared" si="17"/>
        <v/>
      </c>
      <c r="T76" s="2890" t="str">
        <f t="shared" si="18"/>
        <v/>
      </c>
      <c r="U76" s="550" t="str">
        <f>IF(B76&lt;&gt;"",IF($D76="Existing","0",COUNTIF(IP!B:B,'Distributed Assets'!B76)),"")</f>
        <v/>
      </c>
      <c r="V76" s="551"/>
      <c r="W76" s="2152" t="str">
        <f t="shared" si="24"/>
        <v/>
      </c>
      <c r="X76" s="2534" t="str">
        <f t="shared" si="25"/>
        <v/>
      </c>
      <c r="Y76" s="2152"/>
      <c r="Z76" s="549"/>
      <c r="AA76" s="2997"/>
      <c r="AB76" s="2807" t="str">
        <f t="shared" si="26"/>
        <v/>
      </c>
      <c r="AC76" s="2134"/>
      <c r="AD76" s="553"/>
      <c r="AE76" s="554"/>
      <c r="AF76" s="2153"/>
      <c r="AG76" s="805"/>
      <c r="AH76" s="834" t="str">
        <f>IF($B76&lt;&gt;"",
IF(OR($G76="Standard", $G76="HA"),
IF($G76="Standard",VLOOKUP($E76,Pod_standard_mod,6,FALSE),
IF($G76="HA",VLOOKUP($E76,Pod_ha_mod,6,FALSE)))),"")</f>
        <v/>
      </c>
      <c r="AI76" s="2953" t="str">
        <f t="shared" si="9"/>
        <v/>
      </c>
      <c r="AJ76" s="834"/>
      <c r="AK76" s="2563"/>
      <c r="AL76" s="2958" t="str">
        <f t="shared" si="6"/>
        <v/>
      </c>
      <c r="AM76" s="2235"/>
      <c r="AN76" s="2236"/>
      <c r="AO76" s="2235"/>
      <c r="AP76" s="2237"/>
      <c r="AQ76" s="2240" t="str">
        <f t="shared" si="27"/>
        <v/>
      </c>
      <c r="AR76" s="2804" t="str">
        <f t="shared" si="11"/>
        <v/>
      </c>
      <c r="AS76" s="2241"/>
      <c r="AT76" s="2087" t="str">
        <f>IF($B76&lt;&gt;"",
      IF($J76="Windows","N/A",
        IF($J76="AIX",
               IF($Y76="Oracle Standalone 11.2",Oracle_Standalone_fs($AS76),
               IF($Y76="Oracle HACMP 11.2 - Node 1", Oracle_HACMP_Node_1($AS76),
               IF($Y76="Oracle HACMP 11.2 - Node 2", Oracle_HACMP_Node_2($AS76),
               IF($Y76="Oracle-RAC","Oracle RAC requires special config
work with Open Systems",
               IF($Y76="db2_fs",DB2_FS($AS76),
               IF($Y76="","N/A","")))))))),"")</f>
        <v/>
      </c>
      <c r="AU76" s="2421"/>
      <c r="AV76" s="2421"/>
      <c r="AW76" s="2421"/>
      <c r="AX76" s="2238"/>
      <c r="AY76" s="2242"/>
      <c r="AZ76" s="2086" t="str">
        <f t="shared" si="28"/>
        <v/>
      </c>
      <c r="BA76" s="2568" t="str">
        <f t="shared" si="12"/>
        <v/>
      </c>
      <c r="BE76" s="522"/>
      <c r="BF76" s="522"/>
      <c r="BG76" s="522"/>
      <c r="BH76" s="522"/>
      <c r="BI76" s="522"/>
      <c r="BJ76" s="522"/>
      <c r="BK76" s="522"/>
    </row>
    <row r="77" spans="2:63">
      <c r="B77" s="2775" t="str">
        <f t="shared" si="23"/>
        <v/>
      </c>
      <c r="C77" s="549"/>
      <c r="D77" s="552"/>
      <c r="E77" s="2143"/>
      <c r="F77" s="2724"/>
      <c r="G77" s="2883"/>
      <c r="H77" s="2876"/>
      <c r="I77" s="2541"/>
      <c r="J77" s="2541" t="str">
        <f>IF(AND($B77&lt;&gt;"",$D77="New"),
IF(LEFT($F77,3)="POD",
     IF($G77="Standard",VLOOKUP($E77,Pod_standard_mod,4,FALSE),
          IF($G77="HA",VLOOKUP($E77,Pod_ha_mod,4,FALSE))),""),"")</f>
        <v/>
      </c>
      <c r="K77" s="2117" t="str">
        <f t="shared" si="20"/>
        <v/>
      </c>
      <c r="L77" s="2539" t="str">
        <f>IF($B77&lt;&gt;"",
    IF(AND(LEFT($F77,3)="POD",LEFT($G77,3)="Sta"),VLOOKUP($E77,Pod_standard_mod,7,FALSE),
    IF(AND(LEFT($F77,3)="POD",LEFT($G77,2)="HA"),VLOOKUP($E77,Pod_ha_mod,7,FALSE),"")),"")</f>
        <v/>
      </c>
      <c r="M77" s="531"/>
      <c r="N77" s="2536" t="str">
        <f>IF($B77&lt;&gt;"",
       IF(AND(LEFT($F77,3)="POD",LEFT($G77,3)="Sta"),VLOOKUP($E77,Pod_standard_mod,8,FALSE),
            IF(AND(LEFT($F77,3)="POD",LEFT($G77,2)="HA"),VLOOKUP($E77,Pod_ha_mod,8,FALSE),"")),"")</f>
        <v/>
      </c>
      <c r="O77" s="549"/>
      <c r="P77" s="2885" t="str">
        <f>IF($B77&lt;&gt;"",
IF(AND(LEFT($W77,7)="Windows", AND(LEFT($Y77,5)&lt;&gt;"MSSQL", LEFT($Y77,3)&lt;&gt;"EDH")),CONCATENATE("C:",CHAR(10),"D:",CHAR(10)),
     IF(AND(LEFT($W77,4)="RHEL", $K77="Physical"), CONCATENATE("OS:",CHAR(10),"Data:",CHAR(10)),
                   IF(AND(LEFT($Y77,5)="MSSQL",$L77&lt;&gt;"",$AS77&lt;&gt;""),SQL_FS($AS77,$L77),
                         IF(AND(LEFT($Y77,3)="EDH",$AS77&lt;&gt;""),PaaS_SQL_FS($AS77),
                           IF(AND(LEFT($Y77,5)="MSSQL",OR($L77="",$AS77="")),"Please enter CPUs and Initial DB Size (Column AS)",""))))),"")</f>
        <v/>
      </c>
      <c r="Q77" s="531"/>
      <c r="R77" s="549"/>
      <c r="S77" s="2151" t="str">
        <f t="shared" si="17"/>
        <v/>
      </c>
      <c r="T77" s="2890" t="str">
        <f t="shared" si="18"/>
        <v/>
      </c>
      <c r="U77" s="550" t="str">
        <f>IF(B77&lt;&gt;"",IF($D77="Existing","0",COUNTIF(IP!B:B,'Distributed Assets'!B77)),"")</f>
        <v/>
      </c>
      <c r="V77" s="551"/>
      <c r="W77" s="2152" t="str">
        <f t="shared" si="24"/>
        <v/>
      </c>
      <c r="X77" s="2534" t="str">
        <f t="shared" si="25"/>
        <v/>
      </c>
      <c r="Y77" s="2152"/>
      <c r="Z77" s="549"/>
      <c r="AA77" s="2997"/>
      <c r="AB77" s="2807" t="str">
        <f t="shared" si="26"/>
        <v/>
      </c>
      <c r="AC77" s="2134"/>
      <c r="AD77" s="553"/>
      <c r="AE77" s="554"/>
      <c r="AF77" s="2153"/>
      <c r="AG77" s="805"/>
      <c r="AH77" s="834" t="str">
        <f>IF($B77&lt;&gt;"",
IF(OR($G77="Standard", $G77="HA"),
IF($G77="Standard",VLOOKUP($E77,Pod_standard_mod,6,FALSE),
IF($G77="HA",VLOOKUP($E77,Pod_ha_mod,6,FALSE)))),"")</f>
        <v/>
      </c>
      <c r="AI77" s="2953" t="str">
        <f t="shared" si="9"/>
        <v/>
      </c>
      <c r="AJ77" s="834"/>
      <c r="AK77" s="2563"/>
      <c r="AL77" s="2958" t="str">
        <f t="shared" si="6"/>
        <v/>
      </c>
      <c r="AM77" s="2235"/>
      <c r="AN77" s="2236"/>
      <c r="AO77" s="2235"/>
      <c r="AP77" s="2237"/>
      <c r="AQ77" s="2240" t="str">
        <f t="shared" si="27"/>
        <v/>
      </c>
      <c r="AR77" s="2804" t="str">
        <f t="shared" si="11"/>
        <v/>
      </c>
      <c r="AS77" s="2241"/>
      <c r="AT77" s="2087" t="str">
        <f>IF($B77&lt;&gt;"",
      IF($J77="Windows","N/A",
        IF($J77="AIX",
               IF($Y77="Oracle Standalone 11.2",Oracle_Standalone_fs($AS77),
               IF($Y77="Oracle HACMP 11.2 - Node 1", Oracle_HACMP_Node_1($AS77),
               IF($Y77="Oracle HACMP 11.2 - Node 2", Oracle_HACMP_Node_2($AS77),
               IF($Y77="Oracle-RAC","Oracle RAC requires special config
work with Open Systems",
               IF($Y77="db2_fs",DB2_FS($AS77),
               IF($Y77="","N/A","")))))))),"")</f>
        <v/>
      </c>
      <c r="AU77" s="2421"/>
      <c r="AV77" s="2421"/>
      <c r="AW77" s="2421"/>
      <c r="AX77" s="2238"/>
      <c r="AY77" s="2242"/>
      <c r="AZ77" s="2086" t="str">
        <f t="shared" si="28"/>
        <v/>
      </c>
      <c r="BA77" s="2568" t="str">
        <f t="shared" si="12"/>
        <v/>
      </c>
      <c r="BE77" s="522"/>
      <c r="BF77" s="522"/>
      <c r="BG77" s="522"/>
      <c r="BH77" s="522"/>
      <c r="BI77" s="522"/>
      <c r="BJ77" s="522"/>
      <c r="BK77" s="522"/>
    </row>
    <row r="78" spans="2:63">
      <c r="B78" s="2775" t="str">
        <f t="shared" si="23"/>
        <v/>
      </c>
      <c r="C78" s="549"/>
      <c r="D78" s="552"/>
      <c r="E78" s="2143"/>
      <c r="F78" s="2724"/>
      <c r="G78" s="2883"/>
      <c r="H78" s="2876"/>
      <c r="I78" s="2541"/>
      <c r="J78" s="2541" t="str">
        <f>IF(AND($B78&lt;&gt;"",$D78="New"),
IF(LEFT($F78,3)="POD",
     IF($G78="Standard",VLOOKUP($E78,Pod_standard_mod,4,FALSE),
          IF($G78="HA",VLOOKUP($E78,Pod_ha_mod,4,FALSE))),""),"")</f>
        <v/>
      </c>
      <c r="K78" s="2117" t="str">
        <f t="shared" si="20"/>
        <v/>
      </c>
      <c r="L78" s="2539" t="str">
        <f>IF($B78&lt;&gt;"",
    IF(AND(LEFT($F78,3)="POD",LEFT($G78,3)="Sta"),VLOOKUP($E78,Pod_standard_mod,7,FALSE),
    IF(AND(LEFT($F78,3)="POD",LEFT($G78,2)="HA"),VLOOKUP($E78,Pod_ha_mod,7,FALSE),"")),"")</f>
        <v/>
      </c>
      <c r="M78" s="531"/>
      <c r="N78" s="2536" t="str">
        <f>IF($B78&lt;&gt;"",
       IF(AND(LEFT($F78,3)="POD",LEFT($G78,3)="Sta"),VLOOKUP($E78,Pod_standard_mod,8,FALSE),
            IF(AND(LEFT($F78,3)="POD",LEFT($G78,2)="HA"),VLOOKUP($E78,Pod_ha_mod,8,FALSE),"")),"")</f>
        <v/>
      </c>
      <c r="O78" s="549"/>
      <c r="P78" s="2885" t="str">
        <f>IF($B78&lt;&gt;"",
IF(AND(LEFT($W78,7)="Windows", AND(LEFT($Y78,5)&lt;&gt;"MSSQL", LEFT($Y78,3)&lt;&gt;"EDH")),CONCATENATE("C:",CHAR(10),"D:",CHAR(10)),
     IF(AND(LEFT($W78,4)="RHEL", $K78="Physical"), CONCATENATE("OS:",CHAR(10),"Data:",CHAR(10)),
                   IF(AND(LEFT($Y78,5)="MSSQL",$L78&lt;&gt;"",$AS78&lt;&gt;""),SQL_FS($AS78,$L78),
                         IF(AND(LEFT($Y78,3)="EDH",$AS78&lt;&gt;""),PaaS_SQL_FS($AS78),
                           IF(AND(LEFT($Y78,5)="MSSQL",OR($L78="",$AS78="")),"Please enter CPUs and Initial DB Size (Column AS)",""))))),"")</f>
        <v/>
      </c>
      <c r="Q78" s="531"/>
      <c r="R78" s="549"/>
      <c r="S78" s="2151" t="str">
        <f t="shared" si="17"/>
        <v/>
      </c>
      <c r="T78" s="2890" t="str">
        <f t="shared" si="18"/>
        <v/>
      </c>
      <c r="U78" s="550" t="str">
        <f>IF(B78&lt;&gt;"",IF($D78="Existing","0",COUNTIF(IP!B:B,'Distributed Assets'!B78)),"")</f>
        <v/>
      </c>
      <c r="V78" s="551"/>
      <c r="W78" s="2152" t="str">
        <f t="shared" si="24"/>
        <v/>
      </c>
      <c r="X78" s="2534" t="str">
        <f t="shared" si="25"/>
        <v/>
      </c>
      <c r="Y78" s="2152"/>
      <c r="Z78" s="549"/>
      <c r="AA78" s="2997"/>
      <c r="AB78" s="2807" t="str">
        <f t="shared" si="26"/>
        <v/>
      </c>
      <c r="AC78" s="2134"/>
      <c r="AD78" s="553"/>
      <c r="AE78" s="554"/>
      <c r="AF78" s="2153"/>
      <c r="AG78" s="805"/>
      <c r="AH78" s="834" t="str">
        <f>IF($B78&lt;&gt;"",
IF(OR($G78="Standard", $G78="HA"),
IF($G78="Standard",VLOOKUP($E78,Pod_standard_mod,6,FALSE),
IF($G78="HA",VLOOKUP($E78,Pod_ha_mod,6,FALSE)))),"")</f>
        <v/>
      </c>
      <c r="AI78" s="2953" t="str">
        <f t="shared" si="9"/>
        <v/>
      </c>
      <c r="AJ78" s="834"/>
      <c r="AK78" s="2563"/>
      <c r="AL78" s="2958" t="str">
        <f t="shared" si="6"/>
        <v/>
      </c>
      <c r="AM78" s="2235"/>
      <c r="AN78" s="2236"/>
      <c r="AO78" s="2235"/>
      <c r="AP78" s="2237"/>
      <c r="AQ78" s="2240" t="str">
        <f t="shared" si="27"/>
        <v/>
      </c>
      <c r="AR78" s="2804" t="str">
        <f t="shared" si="11"/>
        <v/>
      </c>
      <c r="AS78" s="2241"/>
      <c r="AT78" s="2087" t="str">
        <f>IF($B78&lt;&gt;"",
      IF($J78="Windows","N/A",
        IF($J78="AIX",
               IF($Y78="Oracle Standalone 11.2",Oracle_Standalone_fs($AS78),
               IF($Y78="Oracle HACMP 11.2 - Node 1", Oracle_HACMP_Node_1($AS78),
               IF($Y78="Oracle HACMP 11.2 - Node 2", Oracle_HACMP_Node_2($AS78),
               IF($Y78="Oracle-RAC","Oracle RAC requires special config
work with Open Systems",
               IF($Y78="db2_fs",DB2_FS($AS78),
               IF($Y78="","N/A","")))))))),"")</f>
        <v/>
      </c>
      <c r="AU78" s="2421"/>
      <c r="AV78" s="2421"/>
      <c r="AW78" s="2421"/>
      <c r="AX78" s="2238"/>
      <c r="AY78" s="2242"/>
      <c r="AZ78" s="2086" t="str">
        <f t="shared" si="28"/>
        <v/>
      </c>
      <c r="BA78" s="2568" t="str">
        <f t="shared" si="12"/>
        <v/>
      </c>
      <c r="BE78" s="522"/>
      <c r="BF78" s="522"/>
      <c r="BG78" s="522"/>
      <c r="BH78" s="522"/>
      <c r="BI78" s="522"/>
      <c r="BJ78" s="522"/>
      <c r="BK78" s="522"/>
    </row>
    <row r="79" spans="2:63">
      <c r="B79" s="2775" t="str">
        <f t="shared" si="23"/>
        <v/>
      </c>
      <c r="C79" s="549"/>
      <c r="D79" s="552"/>
      <c r="E79" s="2143"/>
      <c r="F79" s="2724"/>
      <c r="G79" s="2883"/>
      <c r="H79" s="2876"/>
      <c r="I79" s="2541"/>
      <c r="J79" s="2541" t="str">
        <f>IF(AND($B79&lt;&gt;"",$D79="New"),
IF(LEFT($F79,3)="POD",
     IF($G79="Standard",VLOOKUP($E79,Pod_standard_mod,4,FALSE),
          IF($G79="HA",VLOOKUP($E79,Pod_ha_mod,4,FALSE))),""),"")</f>
        <v/>
      </c>
      <c r="K79" s="2117" t="str">
        <f t="shared" si="20"/>
        <v/>
      </c>
      <c r="L79" s="2539" t="str">
        <f>IF($B79&lt;&gt;"",
    IF(AND(LEFT($F79,3)="POD",LEFT($G79,3)="Sta"),VLOOKUP($E79,Pod_standard_mod,7,FALSE),
    IF(AND(LEFT($F79,3)="POD",LEFT($G79,2)="HA"),VLOOKUP($E79,Pod_ha_mod,7,FALSE),"")),"")</f>
        <v/>
      </c>
      <c r="M79" s="531"/>
      <c r="N79" s="2536" t="str">
        <f>IF($B79&lt;&gt;"",
       IF(AND(LEFT($F79,3)="POD",LEFT($G79,3)="Sta"),VLOOKUP($E79,Pod_standard_mod,8,FALSE),
            IF(AND(LEFT($F79,3)="POD",LEFT($G79,2)="HA"),VLOOKUP($E79,Pod_ha_mod,8,FALSE),"")),"")</f>
        <v/>
      </c>
      <c r="O79" s="549"/>
      <c r="P79" s="2885" t="str">
        <f>IF($B79&lt;&gt;"",
IF(AND(LEFT($W79,7)="Windows", AND(LEFT($Y79,5)&lt;&gt;"MSSQL", LEFT($Y79,3)&lt;&gt;"EDH")),CONCATENATE("C:",CHAR(10),"D:",CHAR(10)),
     IF(AND(LEFT($W79,4)="RHEL", $K79="Physical"), CONCATENATE("OS:",CHAR(10),"Data:",CHAR(10)),
                   IF(AND(LEFT($Y79,5)="MSSQL",$L79&lt;&gt;"",$AS79&lt;&gt;""),SQL_FS($AS79,$L79),
                         IF(AND(LEFT($Y79,3)="EDH",$AS79&lt;&gt;""),PaaS_SQL_FS($AS79),
                           IF(AND(LEFT($Y79,5)="MSSQL",OR($L79="",$AS79="")),"Please enter CPUs and Initial DB Size (Column AS)",""))))),"")</f>
        <v/>
      </c>
      <c r="Q79" s="531"/>
      <c r="R79" s="549"/>
      <c r="S79" s="2151" t="str">
        <f t="shared" si="17"/>
        <v/>
      </c>
      <c r="T79" s="2890" t="str">
        <f t="shared" si="18"/>
        <v/>
      </c>
      <c r="U79" s="550" t="str">
        <f>IF(B79&lt;&gt;"",IF($D79="Existing","0",COUNTIF(IP!B:B,'Distributed Assets'!B79)),"")</f>
        <v/>
      </c>
      <c r="V79" s="551"/>
      <c r="W79" s="2152" t="str">
        <f t="shared" si="24"/>
        <v/>
      </c>
      <c r="X79" s="2534" t="str">
        <f t="shared" si="25"/>
        <v/>
      </c>
      <c r="Y79" s="2152"/>
      <c r="Z79" s="549"/>
      <c r="AA79" s="2997"/>
      <c r="AB79" s="2807" t="str">
        <f t="shared" si="26"/>
        <v/>
      </c>
      <c r="AC79" s="2134"/>
      <c r="AD79" s="553"/>
      <c r="AE79" s="554"/>
      <c r="AF79" s="2153"/>
      <c r="AG79" s="805"/>
      <c r="AH79" s="834" t="str">
        <f>IF($B79&lt;&gt;"",
IF(OR($G79="Standard", $G79="HA"),
IF($G79="Standard",VLOOKUP($E79,Pod_standard_mod,6,FALSE),
IF($G79="HA",VLOOKUP($E79,Pod_ha_mod,6,FALSE)))),"")</f>
        <v/>
      </c>
      <c r="AI79" s="2953" t="str">
        <f t="shared" si="9"/>
        <v/>
      </c>
      <c r="AJ79" s="834"/>
      <c r="AK79" s="2563"/>
      <c r="AL79" s="2958" t="str">
        <f t="shared" si="6"/>
        <v/>
      </c>
      <c r="AM79" s="2235"/>
      <c r="AN79" s="2236"/>
      <c r="AO79" s="2235"/>
      <c r="AP79" s="2237"/>
      <c r="AQ79" s="2240" t="str">
        <f t="shared" si="27"/>
        <v/>
      </c>
      <c r="AR79" s="2804" t="str">
        <f t="shared" si="11"/>
        <v/>
      </c>
      <c r="AS79" s="2241"/>
      <c r="AT79" s="2087" t="str">
        <f>IF($B79&lt;&gt;"",
      IF($J79="Windows","N/A",
        IF($J79="AIX",
               IF($Y79="Oracle Standalone 11.2",Oracle_Standalone_fs($AS79),
               IF($Y79="Oracle HACMP 11.2 - Node 1", Oracle_HACMP_Node_1($AS79),
               IF($Y79="Oracle HACMP 11.2 - Node 2", Oracle_HACMP_Node_2($AS79),
               IF($Y79="Oracle-RAC","Oracle RAC requires special config
work with Open Systems",
               IF($Y79="db2_fs",DB2_FS($AS79),
               IF($Y79="","N/A","")))))))),"")</f>
        <v/>
      </c>
      <c r="AU79" s="2421"/>
      <c r="AV79" s="2421"/>
      <c r="AW79" s="2421"/>
      <c r="AX79" s="2238"/>
      <c r="AY79" s="2242"/>
      <c r="AZ79" s="2086" t="str">
        <f t="shared" si="28"/>
        <v/>
      </c>
      <c r="BA79" s="2568" t="str">
        <f t="shared" si="12"/>
        <v/>
      </c>
      <c r="BE79" s="522"/>
      <c r="BF79" s="522"/>
      <c r="BG79" s="522"/>
      <c r="BH79" s="522"/>
      <c r="BI79" s="522"/>
      <c r="BJ79" s="522"/>
      <c r="BK79" s="522"/>
    </row>
    <row r="80" spans="2:63">
      <c r="B80" s="2775" t="str">
        <f t="shared" si="23"/>
        <v/>
      </c>
      <c r="C80" s="549"/>
      <c r="D80" s="552"/>
      <c r="E80" s="2143"/>
      <c r="F80" s="2724"/>
      <c r="G80" s="2883"/>
      <c r="H80" s="2876"/>
      <c r="I80" s="2541"/>
      <c r="J80" s="2541" t="str">
        <f>IF(AND($B80&lt;&gt;"",$D80="New"),
IF(LEFT($F80,3)="POD",
     IF($G80="Standard",VLOOKUP($E80,Pod_standard_mod,4,FALSE),
          IF($G80="HA",VLOOKUP($E80,Pod_ha_mod,4,FALSE))),""),"")</f>
        <v/>
      </c>
      <c r="K80" s="2117" t="str">
        <f t="shared" si="20"/>
        <v/>
      </c>
      <c r="L80" s="2539" t="str">
        <f>IF($B80&lt;&gt;"",
    IF(AND(LEFT($F80,3)="POD",LEFT($G80,3)="Sta"),VLOOKUP($E80,Pod_standard_mod,7,FALSE),
    IF(AND(LEFT($F80,3)="POD",LEFT($G80,2)="HA"),VLOOKUP($E80,Pod_ha_mod,7,FALSE),"")),"")</f>
        <v/>
      </c>
      <c r="M80" s="531"/>
      <c r="N80" s="2536" t="str">
        <f>IF($B80&lt;&gt;"",
       IF(AND(LEFT($F80,3)="POD",LEFT($G80,3)="Sta"),VLOOKUP($E80,Pod_standard_mod,8,FALSE),
            IF(AND(LEFT($F80,3)="POD",LEFT($G80,2)="HA"),VLOOKUP($E80,Pod_ha_mod,8,FALSE),"")),"")</f>
        <v/>
      </c>
      <c r="O80" s="549"/>
      <c r="P80" s="2885" t="str">
        <f>IF($B80&lt;&gt;"",
IF(AND(LEFT($W80,7)="Windows", AND(LEFT($Y80,5)&lt;&gt;"MSSQL", LEFT($Y80,3)&lt;&gt;"EDH")),CONCATENATE("C:",CHAR(10),"D:",CHAR(10)),
     IF(AND(LEFT($W80,4)="RHEL", $K80="Physical"), CONCATENATE("OS:",CHAR(10),"Data:",CHAR(10)),
                   IF(AND(LEFT($Y80,5)="MSSQL",$L80&lt;&gt;"",$AS80&lt;&gt;""),SQL_FS($AS80,$L80),
                         IF(AND(LEFT($Y80,3)="EDH",$AS80&lt;&gt;""),PaaS_SQL_FS($AS80),
                           IF(AND(LEFT($Y80,5)="MSSQL",OR($L80="",$AS80="")),"Please enter CPUs and Initial DB Size (Column AS)",""))))),"")</f>
        <v/>
      </c>
      <c r="Q80" s="531"/>
      <c r="R80" s="549"/>
      <c r="S80" s="2151" t="str">
        <f t="shared" si="17"/>
        <v/>
      </c>
      <c r="T80" s="2890" t="str">
        <f t="shared" si="18"/>
        <v/>
      </c>
      <c r="U80" s="550" t="str">
        <f>IF(B80&lt;&gt;"",IF($D80="Existing","0",COUNTIF(IP!B:B,'Distributed Assets'!B80)),"")</f>
        <v/>
      </c>
      <c r="V80" s="551"/>
      <c r="W80" s="2152" t="str">
        <f t="shared" si="24"/>
        <v/>
      </c>
      <c r="X80" s="2534" t="str">
        <f t="shared" si="25"/>
        <v/>
      </c>
      <c r="Y80" s="2152"/>
      <c r="Z80" s="549"/>
      <c r="AA80" s="2997"/>
      <c r="AB80" s="2807" t="str">
        <f t="shared" si="26"/>
        <v/>
      </c>
      <c r="AC80" s="2134"/>
      <c r="AD80" s="553"/>
      <c r="AE80" s="554"/>
      <c r="AF80" s="2153"/>
      <c r="AG80" s="805"/>
      <c r="AH80" s="834" t="str">
        <f>IF($B80&lt;&gt;"",
IF(OR($G80="Standard", $G80="HA"),
IF($G80="Standard",VLOOKUP($E80,Pod_standard_mod,6,FALSE),
IF($G80="HA",VLOOKUP($E80,Pod_ha_mod,6,FALSE)))),"")</f>
        <v/>
      </c>
      <c r="AI80" s="2953" t="str">
        <f t="shared" si="9"/>
        <v/>
      </c>
      <c r="AJ80" s="834"/>
      <c r="AK80" s="2563"/>
      <c r="AL80" s="2958" t="str">
        <f t="shared" si="6"/>
        <v/>
      </c>
      <c r="AM80" s="2235"/>
      <c r="AN80" s="2236"/>
      <c r="AO80" s="2235"/>
      <c r="AP80" s="2237"/>
      <c r="AQ80" s="2240" t="str">
        <f t="shared" si="27"/>
        <v/>
      </c>
      <c r="AR80" s="2804" t="str">
        <f t="shared" si="11"/>
        <v/>
      </c>
      <c r="AS80" s="2241"/>
      <c r="AT80" s="2087" t="str">
        <f>IF($B80&lt;&gt;"",
      IF($J80="Windows","N/A",
        IF($J80="AIX",
               IF($Y80="Oracle Standalone 11.2",Oracle_Standalone_fs($AS80),
               IF($Y80="Oracle HACMP 11.2 - Node 1", Oracle_HACMP_Node_1($AS80),
               IF($Y80="Oracle HACMP 11.2 - Node 2", Oracle_HACMP_Node_2($AS80),
               IF($Y80="Oracle-RAC","Oracle RAC requires special config
work with Open Systems",
               IF($Y80="db2_fs",DB2_FS($AS80),
               IF($Y80="","N/A","")))))))),"")</f>
        <v/>
      </c>
      <c r="AU80" s="2421"/>
      <c r="AV80" s="2421"/>
      <c r="AW80" s="2421"/>
      <c r="AX80" s="2238"/>
      <c r="AY80" s="2242"/>
      <c r="AZ80" s="2086" t="str">
        <f t="shared" si="28"/>
        <v/>
      </c>
      <c r="BA80" s="2568" t="str">
        <f t="shared" si="12"/>
        <v/>
      </c>
      <c r="BE80" s="522"/>
      <c r="BF80" s="522"/>
      <c r="BG80" s="522"/>
      <c r="BH80" s="522"/>
      <c r="BI80" s="522"/>
      <c r="BJ80" s="522"/>
      <c r="BK80" s="522"/>
    </row>
    <row r="81" spans="2:63">
      <c r="B81" s="2775" t="str">
        <f t="shared" si="23"/>
        <v/>
      </c>
      <c r="C81" s="549"/>
      <c r="D81" s="552"/>
      <c r="E81" s="2143"/>
      <c r="F81" s="2724"/>
      <c r="G81" s="2883"/>
      <c r="H81" s="2876"/>
      <c r="I81" s="2541"/>
      <c r="J81" s="2541" t="str">
        <f>IF(AND($B81&lt;&gt;"",$D81="New"),
IF(LEFT($F81,3)="POD",
     IF($G81="Standard",VLOOKUP($E81,Pod_standard_mod,4,FALSE),
          IF($G81="HA",VLOOKUP($E81,Pod_ha_mod,4,FALSE))),""),"")</f>
        <v/>
      </c>
      <c r="K81" s="2117" t="str">
        <f t="shared" si="20"/>
        <v/>
      </c>
      <c r="L81" s="2539" t="str">
        <f>IF($B81&lt;&gt;"",
    IF(AND(LEFT($F81,3)="POD",LEFT($G81,3)="Sta"),VLOOKUP($E81,Pod_standard_mod,7,FALSE),
    IF(AND(LEFT($F81,3)="POD",LEFT($G81,2)="HA"),VLOOKUP($E81,Pod_ha_mod,7,FALSE),"")),"")</f>
        <v/>
      </c>
      <c r="M81" s="531"/>
      <c r="N81" s="2536" t="str">
        <f>IF($B81&lt;&gt;"",
       IF(AND(LEFT($F81,3)="POD",LEFT($G81,3)="Sta"),VLOOKUP($E81,Pod_standard_mod,8,FALSE),
            IF(AND(LEFT($F81,3)="POD",LEFT($G81,2)="HA"),VLOOKUP($E81,Pod_ha_mod,8,FALSE),"")),"")</f>
        <v/>
      </c>
      <c r="O81" s="549"/>
      <c r="P81" s="2885" t="str">
        <f>IF($B81&lt;&gt;"",
IF(AND(LEFT($W81,7)="Windows", AND(LEFT($Y81,5)&lt;&gt;"MSSQL", LEFT($Y81,3)&lt;&gt;"EDH")),CONCATENATE("C:",CHAR(10),"D:",CHAR(10)),
     IF(AND(LEFT($W81,4)="RHEL", $K81="Physical"), CONCATENATE("OS:",CHAR(10),"Data:",CHAR(10)),
                   IF(AND(LEFT($Y81,5)="MSSQL",$L81&lt;&gt;"",$AS81&lt;&gt;""),SQL_FS($AS81,$L81),
                         IF(AND(LEFT($Y81,3)="EDH",$AS81&lt;&gt;""),PaaS_SQL_FS($AS81),
                           IF(AND(LEFT($Y81,5)="MSSQL",OR($L81="",$AS81="")),"Please enter CPUs and Initial DB Size (Column AS)",""))))),"")</f>
        <v/>
      </c>
      <c r="Q81" s="531"/>
      <c r="R81" s="549"/>
      <c r="S81" s="2151" t="str">
        <f t="shared" si="17"/>
        <v/>
      </c>
      <c r="T81" s="2890" t="str">
        <f t="shared" si="18"/>
        <v/>
      </c>
      <c r="U81" s="550" t="str">
        <f>IF(B81&lt;&gt;"",IF($D81="Existing","0",COUNTIF(IP!B:B,'Distributed Assets'!B81)),"")</f>
        <v/>
      </c>
      <c r="V81" s="551"/>
      <c r="W81" s="2152" t="str">
        <f t="shared" si="24"/>
        <v/>
      </c>
      <c r="X81" s="2534" t="str">
        <f t="shared" si="25"/>
        <v/>
      </c>
      <c r="Y81" s="2152"/>
      <c r="Z81" s="549"/>
      <c r="AA81" s="2997"/>
      <c r="AB81" s="2807" t="str">
        <f t="shared" si="26"/>
        <v/>
      </c>
      <c r="AC81" s="2134"/>
      <c r="AD81" s="553"/>
      <c r="AE81" s="554"/>
      <c r="AF81" s="2153"/>
      <c r="AG81" s="805"/>
      <c r="AH81" s="834" t="str">
        <f>IF($B81&lt;&gt;"",
IF(OR($G81="Standard", $G81="HA"),
IF($G81="Standard",VLOOKUP($E81,Pod_standard_mod,6,FALSE),
IF($G81="HA",VLOOKUP($E81,Pod_ha_mod,6,FALSE)))),"")</f>
        <v/>
      </c>
      <c r="AI81" s="2953" t="str">
        <f t="shared" si="9"/>
        <v/>
      </c>
      <c r="AJ81" s="834"/>
      <c r="AK81" s="2563"/>
      <c r="AL81" s="2958" t="str">
        <f t="shared" si="6"/>
        <v/>
      </c>
      <c r="AM81" s="2235"/>
      <c r="AN81" s="2236"/>
      <c r="AO81" s="2235"/>
      <c r="AP81" s="2237"/>
      <c r="AQ81" s="2240" t="str">
        <f t="shared" si="27"/>
        <v/>
      </c>
      <c r="AR81" s="2804" t="str">
        <f t="shared" si="11"/>
        <v/>
      </c>
      <c r="AS81" s="2241"/>
      <c r="AT81" s="2087" t="str">
        <f>IF($B81&lt;&gt;"",
      IF($J81="Windows","N/A",
        IF($J81="AIX",
               IF($Y81="Oracle Standalone 11.2",Oracle_Standalone_fs($AS81),
               IF($Y81="Oracle HACMP 11.2 - Node 1", Oracle_HACMP_Node_1($AS81),
               IF($Y81="Oracle HACMP 11.2 - Node 2", Oracle_HACMP_Node_2($AS81),
               IF($Y81="Oracle-RAC","Oracle RAC requires special config
work with Open Systems",
               IF($Y81="db2_fs",DB2_FS($AS81),
               IF($Y81="","N/A","")))))))),"")</f>
        <v/>
      </c>
      <c r="AU81" s="2421"/>
      <c r="AV81" s="2421"/>
      <c r="AW81" s="2421"/>
      <c r="AX81" s="2238"/>
      <c r="AY81" s="2242"/>
      <c r="AZ81" s="2086" t="str">
        <f t="shared" si="28"/>
        <v/>
      </c>
      <c r="BA81" s="2568" t="str">
        <f t="shared" si="12"/>
        <v/>
      </c>
      <c r="BE81" s="522"/>
      <c r="BF81" s="522"/>
      <c r="BG81" s="522"/>
      <c r="BH81" s="522"/>
      <c r="BI81" s="522"/>
      <c r="BJ81" s="522"/>
      <c r="BK81" s="522"/>
    </row>
    <row r="82" spans="2:63">
      <c r="B82" s="2775" t="str">
        <f t="shared" si="23"/>
        <v/>
      </c>
      <c r="C82" s="549"/>
      <c r="D82" s="552"/>
      <c r="E82" s="2143"/>
      <c r="F82" s="2724"/>
      <c r="G82" s="2883"/>
      <c r="H82" s="2876"/>
      <c r="I82" s="2541"/>
      <c r="J82" s="2541" t="str">
        <f>IF(AND($B82&lt;&gt;"",$D82="New"),
IF(LEFT($F82,3)="POD",
     IF($G82="Standard",VLOOKUP($E82,Pod_standard_mod,4,FALSE),
          IF($G82="HA",VLOOKUP($E82,Pod_ha_mod,4,FALSE))),""),"")</f>
        <v/>
      </c>
      <c r="K82" s="2117" t="str">
        <f t="shared" si="20"/>
        <v/>
      </c>
      <c r="L82" s="2539" t="str">
        <f>IF($B82&lt;&gt;"",
    IF(AND(LEFT($F82,3)="POD",LEFT($G82,3)="Sta"),VLOOKUP($E82,Pod_standard_mod,7,FALSE),
    IF(AND(LEFT($F82,3)="POD",LEFT($G82,2)="HA"),VLOOKUP($E82,Pod_ha_mod,7,FALSE),"")),"")</f>
        <v/>
      </c>
      <c r="M82" s="531"/>
      <c r="N82" s="2536" t="str">
        <f>IF($B82&lt;&gt;"",
       IF(AND(LEFT($F82,3)="POD",LEFT($G82,3)="Sta"),VLOOKUP($E82,Pod_standard_mod,8,FALSE),
            IF(AND(LEFT($F82,3)="POD",LEFT($G82,2)="HA"),VLOOKUP($E82,Pod_ha_mod,8,FALSE),"")),"")</f>
        <v/>
      </c>
      <c r="O82" s="549"/>
      <c r="P82" s="2885" t="str">
        <f>IF($B82&lt;&gt;"",
IF(AND(LEFT($W82,7)="Windows", AND(LEFT($Y82,5)&lt;&gt;"MSSQL", LEFT($Y82,3)&lt;&gt;"EDH")),CONCATENATE("C:",CHAR(10),"D:",CHAR(10)),
     IF(AND(LEFT($W82,4)="RHEL", $K82="Physical"), CONCATENATE("OS:",CHAR(10),"Data:",CHAR(10)),
                   IF(AND(LEFT($Y82,5)="MSSQL",$L82&lt;&gt;"",$AS82&lt;&gt;""),SQL_FS($AS82,$L82),
                         IF(AND(LEFT($Y82,3)="EDH",$AS82&lt;&gt;""),PaaS_SQL_FS($AS82),
                           IF(AND(LEFT($Y82,5)="MSSQL",OR($L82="",$AS82="")),"Please enter CPUs and Initial DB Size (Column AS)",""))))),"")</f>
        <v/>
      </c>
      <c r="Q82" s="531"/>
      <c r="R82" s="549"/>
      <c r="S82" s="2151" t="str">
        <f t="shared" si="17"/>
        <v/>
      </c>
      <c r="T82" s="2890" t="str">
        <f t="shared" si="18"/>
        <v/>
      </c>
      <c r="U82" s="550" t="str">
        <f>IF(B82&lt;&gt;"",IF($D82="Existing","0",COUNTIF(IP!B:B,'Distributed Assets'!B82)),"")</f>
        <v/>
      </c>
      <c r="V82" s="551"/>
      <c r="W82" s="2152" t="str">
        <f t="shared" si="24"/>
        <v/>
      </c>
      <c r="X82" s="2534" t="str">
        <f t="shared" si="25"/>
        <v/>
      </c>
      <c r="Y82" s="2152"/>
      <c r="Z82" s="549"/>
      <c r="AA82" s="2997"/>
      <c r="AB82" s="2807" t="str">
        <f t="shared" si="26"/>
        <v/>
      </c>
      <c r="AC82" s="2134"/>
      <c r="AD82" s="553"/>
      <c r="AE82" s="554"/>
      <c r="AF82" s="2153"/>
      <c r="AG82" s="805"/>
      <c r="AH82" s="834" t="str">
        <f>IF($B82&lt;&gt;"",
IF(OR($G82="Standard", $G82="HA"),
IF($G82="Standard",VLOOKUP($E82,Pod_standard_mod,6,FALSE),
IF($G82="HA",VLOOKUP($E82,Pod_ha_mod,6,FALSE)))),"")</f>
        <v/>
      </c>
      <c r="AI82" s="2953" t="str">
        <f t="shared" si="9"/>
        <v/>
      </c>
      <c r="AJ82" s="834"/>
      <c r="AK82" s="2563"/>
      <c r="AL82" s="2958" t="str">
        <f t="shared" si="6"/>
        <v/>
      </c>
      <c r="AM82" s="2235"/>
      <c r="AN82" s="2236"/>
      <c r="AO82" s="2235"/>
      <c r="AP82" s="2237"/>
      <c r="AQ82" s="2240" t="str">
        <f t="shared" si="27"/>
        <v/>
      </c>
      <c r="AR82" s="2804" t="str">
        <f t="shared" si="11"/>
        <v/>
      </c>
      <c r="AS82" s="2241"/>
      <c r="AT82" s="2087" t="str">
        <f>IF($B82&lt;&gt;"",
      IF($J82="Windows","N/A",
        IF($J82="AIX",
               IF($Y82="Oracle Standalone 11.2",Oracle_Standalone_fs($AS82),
               IF($Y82="Oracle HACMP 11.2 - Node 1", Oracle_HACMP_Node_1($AS82),
               IF($Y82="Oracle HACMP 11.2 - Node 2", Oracle_HACMP_Node_2($AS82),
               IF($Y82="Oracle-RAC","Oracle RAC requires special config
work with Open Systems",
               IF($Y82="db2_fs",DB2_FS($AS82),
               IF($Y82="","N/A","")))))))),"")</f>
        <v/>
      </c>
      <c r="AU82" s="2421"/>
      <c r="AV82" s="2421"/>
      <c r="AW82" s="2421"/>
      <c r="AX82" s="2238"/>
      <c r="AY82" s="2242"/>
      <c r="AZ82" s="2086" t="str">
        <f t="shared" si="28"/>
        <v/>
      </c>
      <c r="BA82" s="2568" t="str">
        <f t="shared" si="12"/>
        <v/>
      </c>
      <c r="BE82" s="522"/>
      <c r="BF82" s="522"/>
      <c r="BG82" s="522"/>
      <c r="BH82" s="522"/>
      <c r="BI82" s="522"/>
      <c r="BJ82" s="522"/>
      <c r="BK82" s="522"/>
    </row>
    <row r="83" spans="2:63">
      <c r="B83" s="2775" t="str">
        <f t="shared" si="23"/>
        <v/>
      </c>
      <c r="C83" s="549"/>
      <c r="D83" s="552"/>
      <c r="E83" s="2143"/>
      <c r="F83" s="2724"/>
      <c r="G83" s="2883"/>
      <c r="H83" s="2876"/>
      <c r="I83" s="2541"/>
      <c r="J83" s="2541" t="str">
        <f>IF(AND($B83&lt;&gt;"",$D83="New"),
IF(LEFT($F83,3)="POD",
     IF($G83="Standard",VLOOKUP($E83,Pod_standard_mod,4,FALSE),
          IF($G83="HA",VLOOKUP($E83,Pod_ha_mod,4,FALSE))),""),"")</f>
        <v/>
      </c>
      <c r="K83" s="2117" t="str">
        <f t="shared" si="20"/>
        <v/>
      </c>
      <c r="L83" s="2539" t="str">
        <f>IF($B83&lt;&gt;"",
    IF(AND(LEFT($F83,3)="POD",LEFT($G83,3)="Sta"),VLOOKUP($E83,Pod_standard_mod,7,FALSE),
    IF(AND(LEFT($F83,3)="POD",LEFT($G83,2)="HA"),VLOOKUP($E83,Pod_ha_mod,7,FALSE),"")),"")</f>
        <v/>
      </c>
      <c r="M83" s="531"/>
      <c r="N83" s="2536" t="str">
        <f>IF($B83&lt;&gt;"",
       IF(AND(LEFT($F83,3)="POD",LEFT($G83,3)="Sta"),VLOOKUP($E83,Pod_standard_mod,8,FALSE),
            IF(AND(LEFT($F83,3)="POD",LEFT($G83,2)="HA"),VLOOKUP($E83,Pod_ha_mod,8,FALSE),"")),"")</f>
        <v/>
      </c>
      <c r="O83" s="549"/>
      <c r="P83" s="2885" t="str">
        <f>IF($B83&lt;&gt;"",
IF(AND(LEFT($W83,7)="Windows", AND(LEFT($Y83,5)&lt;&gt;"MSSQL", LEFT($Y83,3)&lt;&gt;"EDH")),CONCATENATE("C:",CHAR(10),"D:",CHAR(10)),
     IF(AND(LEFT($W83,4)="RHEL", $K83="Physical"), CONCATENATE("OS:",CHAR(10),"Data:",CHAR(10)),
                   IF(AND(LEFT($Y83,5)="MSSQL",$L83&lt;&gt;"",$AS83&lt;&gt;""),SQL_FS($AS83,$L83),
                         IF(AND(LEFT($Y83,3)="EDH",$AS83&lt;&gt;""),PaaS_SQL_FS($AS83),
                           IF(AND(LEFT($Y83,5)="MSSQL",OR($L83="",$AS83="")),"Please enter CPUs and Initial DB Size (Column AS)",""))))),"")</f>
        <v/>
      </c>
      <c r="Q83" s="531"/>
      <c r="R83" s="549"/>
      <c r="S83" s="2151" t="str">
        <f t="shared" si="17"/>
        <v/>
      </c>
      <c r="T83" s="2890" t="str">
        <f t="shared" si="18"/>
        <v/>
      </c>
      <c r="U83" s="550" t="str">
        <f>IF(B83&lt;&gt;"",IF($D83="Existing","0",COUNTIF(IP!B:B,'Distributed Assets'!B83)),"")</f>
        <v/>
      </c>
      <c r="V83" s="551"/>
      <c r="W83" s="2152" t="str">
        <f t="shared" si="24"/>
        <v/>
      </c>
      <c r="X83" s="2534" t="str">
        <f t="shared" si="25"/>
        <v/>
      </c>
      <c r="Y83" s="2152"/>
      <c r="Z83" s="549"/>
      <c r="AA83" s="2997"/>
      <c r="AB83" s="2807" t="str">
        <f t="shared" si="26"/>
        <v/>
      </c>
      <c r="AC83" s="2134"/>
      <c r="AD83" s="553"/>
      <c r="AE83" s="554"/>
      <c r="AF83" s="2153"/>
      <c r="AG83" s="805"/>
      <c r="AH83" s="834" t="str">
        <f>IF($B83&lt;&gt;"",
IF(OR($G83="Standard", $G83="HA"),
IF($G83="Standard",VLOOKUP($E83,Pod_standard_mod,6,FALSE),
IF($G83="HA",VLOOKUP($E83,Pod_ha_mod,6,FALSE)))),"")</f>
        <v/>
      </c>
      <c r="AI83" s="2953" t="str">
        <f t="shared" si="9"/>
        <v/>
      </c>
      <c r="AJ83" s="834"/>
      <c r="AK83" s="2563"/>
      <c r="AL83" s="2958" t="str">
        <f t="shared" si="6"/>
        <v/>
      </c>
      <c r="AM83" s="2235"/>
      <c r="AN83" s="2236"/>
      <c r="AO83" s="2235"/>
      <c r="AP83" s="2237"/>
      <c r="AQ83" s="2240" t="str">
        <f t="shared" si="27"/>
        <v/>
      </c>
      <c r="AR83" s="2804" t="str">
        <f t="shared" si="11"/>
        <v/>
      </c>
      <c r="AS83" s="2241"/>
      <c r="AT83" s="2087" t="str">
        <f>IF($B83&lt;&gt;"",
      IF($J83="Windows","N/A",
        IF($J83="AIX",
               IF($Y83="Oracle Standalone 11.2",Oracle_Standalone_fs($AS83),
               IF($Y83="Oracle HACMP 11.2 - Node 1", Oracle_HACMP_Node_1($AS83),
               IF($Y83="Oracle HACMP 11.2 - Node 2", Oracle_HACMP_Node_2($AS83),
               IF($Y83="Oracle-RAC","Oracle RAC requires special config
work with Open Systems",
               IF($Y83="db2_fs",DB2_FS($AS83),
               IF($Y83="","N/A","")))))))),"")</f>
        <v/>
      </c>
      <c r="AU83" s="2421"/>
      <c r="AV83" s="2421"/>
      <c r="AW83" s="2421"/>
      <c r="AX83" s="2238"/>
      <c r="AY83" s="2242"/>
      <c r="AZ83" s="2086" t="str">
        <f t="shared" si="28"/>
        <v/>
      </c>
      <c r="BA83" s="2568" t="str">
        <f t="shared" si="12"/>
        <v/>
      </c>
      <c r="BE83" s="522"/>
      <c r="BF83" s="522"/>
      <c r="BG83" s="522"/>
      <c r="BH83" s="522"/>
      <c r="BI83" s="522"/>
      <c r="BJ83" s="522"/>
      <c r="BK83" s="522"/>
    </row>
    <row r="84" spans="2:63">
      <c r="B84" s="2775" t="str">
        <f t="shared" si="23"/>
        <v/>
      </c>
      <c r="C84" s="549"/>
      <c r="D84" s="552"/>
      <c r="E84" s="2143"/>
      <c r="F84" s="2724"/>
      <c r="G84" s="2883"/>
      <c r="H84" s="2876"/>
      <c r="I84" s="2541"/>
      <c r="J84" s="2541" t="str">
        <f>IF(AND($B84&lt;&gt;"",$D84="New"),
IF(LEFT($F84,3)="POD",
     IF($G84="Standard",VLOOKUP($E84,Pod_standard_mod,4,FALSE),
          IF($G84="HA",VLOOKUP($E84,Pod_ha_mod,4,FALSE))),""),"")</f>
        <v/>
      </c>
      <c r="K84" s="2117" t="str">
        <f t="shared" si="20"/>
        <v/>
      </c>
      <c r="L84" s="2539" t="str">
        <f>IF($B84&lt;&gt;"",
    IF(AND(LEFT($F84,3)="POD",LEFT($G84,3)="Sta"),VLOOKUP($E84,Pod_standard_mod,7,FALSE),
    IF(AND(LEFT($F84,3)="POD",LEFT($G84,2)="HA"),VLOOKUP($E84,Pod_ha_mod,7,FALSE),"")),"")</f>
        <v/>
      </c>
      <c r="M84" s="531"/>
      <c r="N84" s="2536" t="str">
        <f>IF($B84&lt;&gt;"",
       IF(AND(LEFT($F84,3)="POD",LEFT($G84,3)="Sta"),VLOOKUP($E84,Pod_standard_mod,8,FALSE),
            IF(AND(LEFT($F84,3)="POD",LEFT($G84,2)="HA"),VLOOKUP($E84,Pod_ha_mod,8,FALSE),"")),"")</f>
        <v/>
      </c>
      <c r="O84" s="549"/>
      <c r="P84" s="2885" t="str">
        <f>IF($B84&lt;&gt;"",
IF(AND(LEFT($W84,7)="Windows", AND(LEFT($Y84,5)&lt;&gt;"MSSQL", LEFT($Y84,3)&lt;&gt;"EDH")),CONCATENATE("C:",CHAR(10),"D:",CHAR(10)),
     IF(AND(LEFT($W84,4)="RHEL", $K84="Physical"), CONCATENATE("OS:",CHAR(10),"Data:",CHAR(10)),
                   IF(AND(LEFT($Y84,5)="MSSQL",$L84&lt;&gt;"",$AS84&lt;&gt;""),SQL_FS($AS84,$L84),
                         IF(AND(LEFT($Y84,3)="EDH",$AS84&lt;&gt;""),PaaS_SQL_FS($AS84),
                           IF(AND(LEFT($Y84,5)="MSSQL",OR($L84="",$AS84="")),"Please enter CPUs and Initial DB Size (Column AS)",""))))),"")</f>
        <v/>
      </c>
      <c r="Q84" s="531"/>
      <c r="R84" s="549"/>
      <c r="S84" s="2151" t="str">
        <f t="shared" si="17"/>
        <v/>
      </c>
      <c r="T84" s="2890" t="str">
        <f t="shared" si="18"/>
        <v/>
      </c>
      <c r="U84" s="550" t="str">
        <f>IF(B84&lt;&gt;"",IF($D84="Existing","0",COUNTIF(IP!B:B,'Distributed Assets'!B84)),"")</f>
        <v/>
      </c>
      <c r="V84" s="551"/>
      <c r="W84" s="2152" t="str">
        <f t="shared" si="24"/>
        <v/>
      </c>
      <c r="X84" s="2534" t="str">
        <f t="shared" si="25"/>
        <v/>
      </c>
      <c r="Y84" s="2152"/>
      <c r="Z84" s="549"/>
      <c r="AA84" s="2997"/>
      <c r="AB84" s="2807" t="str">
        <f t="shared" si="26"/>
        <v/>
      </c>
      <c r="AC84" s="2134"/>
      <c r="AD84" s="553"/>
      <c r="AE84" s="554"/>
      <c r="AF84" s="2153"/>
      <c r="AG84" s="805"/>
      <c r="AH84" s="834" t="str">
        <f>IF($B84&lt;&gt;"",
IF(OR($G84="Standard", $G84="HA"),
IF($G84="Standard",VLOOKUP($E84,Pod_standard_mod,6,FALSE),
IF($G84="HA",VLOOKUP($E84,Pod_ha_mod,6,FALSE)))),"")</f>
        <v/>
      </c>
      <c r="AI84" s="2953" t="str">
        <f t="shared" si="9"/>
        <v/>
      </c>
      <c r="AJ84" s="834"/>
      <c r="AK84" s="2563"/>
      <c r="AL84" s="2958" t="str">
        <f t="shared" si="6"/>
        <v/>
      </c>
      <c r="AM84" s="2235"/>
      <c r="AN84" s="2236"/>
      <c r="AO84" s="2235"/>
      <c r="AP84" s="2237"/>
      <c r="AQ84" s="2240" t="str">
        <f t="shared" si="27"/>
        <v/>
      </c>
      <c r="AR84" s="2804" t="str">
        <f t="shared" si="11"/>
        <v/>
      </c>
      <c r="AS84" s="2241"/>
      <c r="AT84" s="2087" t="str">
        <f>IF($B84&lt;&gt;"",
      IF($J84="Windows","N/A",
        IF($J84="AIX",
               IF($Y84="Oracle Standalone 11.2",Oracle_Standalone_fs($AS84),
               IF($Y84="Oracle HACMP 11.2 - Node 1", Oracle_HACMP_Node_1($AS84),
               IF($Y84="Oracle HACMP 11.2 - Node 2", Oracle_HACMP_Node_2($AS84),
               IF($Y84="Oracle-RAC","Oracle RAC requires special config
work with Open Systems",
               IF($Y84="db2_fs",DB2_FS($AS84),
               IF($Y84="","N/A","")))))))),"")</f>
        <v/>
      </c>
      <c r="AU84" s="2421"/>
      <c r="AV84" s="2421"/>
      <c r="AW84" s="2421"/>
      <c r="AX84" s="2238"/>
      <c r="AY84" s="2242"/>
      <c r="AZ84" s="2086" t="str">
        <f t="shared" si="28"/>
        <v/>
      </c>
      <c r="BA84" s="2568" t="str">
        <f t="shared" si="12"/>
        <v/>
      </c>
      <c r="BE84" s="522"/>
      <c r="BF84" s="522"/>
      <c r="BG84" s="522"/>
      <c r="BH84" s="522"/>
      <c r="BI84" s="522"/>
      <c r="BJ84" s="522"/>
      <c r="BK84" s="522"/>
    </row>
    <row r="85" spans="2:63">
      <c r="B85" s="2775" t="str">
        <f t="shared" si="23"/>
        <v/>
      </c>
      <c r="C85" s="549"/>
      <c r="D85" s="552"/>
      <c r="E85" s="2143"/>
      <c r="F85" s="2724"/>
      <c r="G85" s="2883"/>
      <c r="H85" s="2876"/>
      <c r="I85" s="2541"/>
      <c r="J85" s="2541" t="str">
        <f>IF(AND($B85&lt;&gt;"",$D85="New"),
IF(LEFT($F85,3)="POD",
     IF($G85="Standard",VLOOKUP($E85,Pod_standard_mod,4,FALSE),
          IF($G85="HA",VLOOKUP($E85,Pod_ha_mod,4,FALSE))),""),"")</f>
        <v/>
      </c>
      <c r="K85" s="2117" t="str">
        <f t="shared" si="20"/>
        <v/>
      </c>
      <c r="L85" s="2539" t="str">
        <f>IF($B85&lt;&gt;"",
    IF(AND(LEFT($F85,3)="POD",LEFT($G85,3)="Sta"),VLOOKUP($E85,Pod_standard_mod,7,FALSE),
    IF(AND(LEFT($F85,3)="POD",LEFT($G85,2)="HA"),VLOOKUP($E85,Pod_ha_mod,7,FALSE),"")),"")</f>
        <v/>
      </c>
      <c r="M85" s="531"/>
      <c r="N85" s="2536" t="str">
        <f>IF($B85&lt;&gt;"",
       IF(AND(LEFT($F85,3)="POD",LEFT($G85,3)="Sta"),VLOOKUP($E85,Pod_standard_mod,8,FALSE),
            IF(AND(LEFT($F85,3)="POD",LEFT($G85,2)="HA"),VLOOKUP($E85,Pod_ha_mod,8,FALSE),"")),"")</f>
        <v/>
      </c>
      <c r="O85" s="549"/>
      <c r="P85" s="2885" t="str">
        <f>IF($B85&lt;&gt;"",
IF(AND(LEFT($W85,7)="Windows", AND(LEFT($Y85,5)&lt;&gt;"MSSQL", LEFT($Y85,3)&lt;&gt;"EDH")),CONCATENATE("C:",CHAR(10),"D:",CHAR(10)),
     IF(AND(LEFT($W85,4)="RHEL", $K85="Physical"), CONCATENATE("OS:",CHAR(10),"Data:",CHAR(10)),
                   IF(AND(LEFT($Y85,5)="MSSQL",$L85&lt;&gt;"",$AS85&lt;&gt;""),SQL_FS($AS85,$L85),
                         IF(AND(LEFT($Y85,3)="EDH",$AS85&lt;&gt;""),PaaS_SQL_FS($AS85),
                           IF(AND(LEFT($Y85,5)="MSSQL",OR($L85="",$AS85="")),"Please enter CPUs and Initial DB Size (Column AS)",""))))),"")</f>
        <v/>
      </c>
      <c r="Q85" s="531"/>
      <c r="R85" s="549"/>
      <c r="S85" s="2151" t="str">
        <f t="shared" si="17"/>
        <v/>
      </c>
      <c r="T85" s="2890" t="str">
        <f t="shared" si="18"/>
        <v/>
      </c>
      <c r="U85" s="550" t="str">
        <f>IF(B85&lt;&gt;"",IF($D85="Existing","0",COUNTIF(IP!B:B,'Distributed Assets'!B85)),"")</f>
        <v/>
      </c>
      <c r="V85" s="551"/>
      <c r="W85" s="2152" t="str">
        <f t="shared" si="24"/>
        <v/>
      </c>
      <c r="X85" s="2534" t="str">
        <f t="shared" si="25"/>
        <v/>
      </c>
      <c r="Y85" s="2152"/>
      <c r="Z85" s="549"/>
      <c r="AA85" s="2997"/>
      <c r="AB85" s="2807" t="str">
        <f t="shared" si="26"/>
        <v/>
      </c>
      <c r="AC85" s="2134"/>
      <c r="AD85" s="553"/>
      <c r="AE85" s="554"/>
      <c r="AF85" s="2153"/>
      <c r="AG85" s="805"/>
      <c r="AH85" s="834" t="str">
        <f>IF($B85&lt;&gt;"",
IF(OR($G85="Standard", $G85="HA"),
IF($G85="Standard",VLOOKUP($E85,Pod_standard_mod,6,FALSE),
IF($G85="HA",VLOOKUP($E85,Pod_ha_mod,6,FALSE)))),"")</f>
        <v/>
      </c>
      <c r="AI85" s="2953" t="str">
        <f t="shared" si="9"/>
        <v/>
      </c>
      <c r="AJ85" s="834"/>
      <c r="AK85" s="2563"/>
      <c r="AL85" s="2958" t="str">
        <f t="shared" si="6"/>
        <v/>
      </c>
      <c r="AM85" s="2235"/>
      <c r="AN85" s="2236"/>
      <c r="AO85" s="2235"/>
      <c r="AP85" s="2237"/>
      <c r="AQ85" s="2240" t="str">
        <f t="shared" si="27"/>
        <v/>
      </c>
      <c r="AR85" s="2804" t="str">
        <f t="shared" si="11"/>
        <v/>
      </c>
      <c r="AS85" s="2241"/>
      <c r="AT85" s="2087" t="str">
        <f>IF($B85&lt;&gt;"",
      IF($J85="Windows","N/A",
        IF($J85="AIX",
               IF($Y85="Oracle Standalone 11.2",Oracle_Standalone_fs($AS85),
               IF($Y85="Oracle HACMP 11.2 - Node 1", Oracle_HACMP_Node_1($AS85),
               IF($Y85="Oracle HACMP 11.2 - Node 2", Oracle_HACMP_Node_2($AS85),
               IF($Y85="Oracle-RAC","Oracle RAC requires special config
work with Open Systems",
               IF($Y85="db2_fs",DB2_FS($AS85),
               IF($Y85="","N/A","")))))))),"")</f>
        <v/>
      </c>
      <c r="AU85" s="2421"/>
      <c r="AV85" s="2421"/>
      <c r="AW85" s="2421"/>
      <c r="AX85" s="2238"/>
      <c r="AY85" s="2242"/>
      <c r="AZ85" s="2086" t="str">
        <f t="shared" si="28"/>
        <v/>
      </c>
      <c r="BA85" s="2568" t="str">
        <f t="shared" si="12"/>
        <v/>
      </c>
      <c r="BE85" s="522"/>
      <c r="BF85" s="522"/>
      <c r="BG85" s="522"/>
      <c r="BH85" s="522"/>
      <c r="BI85" s="522"/>
      <c r="BJ85" s="522"/>
      <c r="BK85" s="522"/>
    </row>
    <row r="86" spans="2:63">
      <c r="B86" s="2775" t="str">
        <f t="shared" si="23"/>
        <v/>
      </c>
      <c r="C86" s="549"/>
      <c r="D86" s="552"/>
      <c r="E86" s="2143"/>
      <c r="F86" s="2724"/>
      <c r="G86" s="2883"/>
      <c r="H86" s="2876"/>
      <c r="I86" s="2541"/>
      <c r="J86" s="2541" t="str">
        <f>IF(AND($B86&lt;&gt;"",$D86="New"),
IF(LEFT($F86,3)="POD",
     IF($G86="Standard",VLOOKUP($E86,Pod_standard_mod,4,FALSE),
          IF($G86="HA",VLOOKUP($E86,Pod_ha_mod,4,FALSE))),""),"")</f>
        <v/>
      </c>
      <c r="K86" s="2117" t="str">
        <f t="shared" si="20"/>
        <v/>
      </c>
      <c r="L86" s="2539" t="str">
        <f>IF($B86&lt;&gt;"",
    IF(AND(LEFT($F86,3)="POD",LEFT($G86,3)="Sta"),VLOOKUP($E86,Pod_standard_mod,7,FALSE),
    IF(AND(LEFT($F86,3)="POD",LEFT($G86,2)="HA"),VLOOKUP($E86,Pod_ha_mod,7,FALSE),"")),"")</f>
        <v/>
      </c>
      <c r="M86" s="531"/>
      <c r="N86" s="2536" t="str">
        <f>IF($B86&lt;&gt;"",
       IF(AND(LEFT($F86,3)="POD",LEFT($G86,3)="Sta"),VLOOKUP($E86,Pod_standard_mod,8,FALSE),
            IF(AND(LEFT($F86,3)="POD",LEFT($G86,2)="HA"),VLOOKUP($E86,Pod_ha_mod,8,FALSE),"")),"")</f>
        <v/>
      </c>
      <c r="O86" s="549"/>
      <c r="P86" s="2885" t="str">
        <f>IF($B86&lt;&gt;"",
IF(AND(LEFT($W86,7)="Windows", AND(LEFT($Y86,5)&lt;&gt;"MSSQL", LEFT($Y86,3)&lt;&gt;"EDH")),CONCATENATE("C:",CHAR(10),"D:",CHAR(10)),
     IF(AND(LEFT($W86,4)="RHEL", $K86="Physical"), CONCATENATE("OS:",CHAR(10),"Data:",CHAR(10)),
                   IF(AND(LEFT($Y86,5)="MSSQL",$L86&lt;&gt;"",$AS86&lt;&gt;""),SQL_FS($AS86,$L86),
                         IF(AND(LEFT($Y86,3)="EDH",$AS86&lt;&gt;""),PaaS_SQL_FS($AS86),
                           IF(AND(LEFT($Y86,5)="MSSQL",OR($L86="",$AS86="")),"Please enter CPUs and Initial DB Size (Column AS)",""))))),"")</f>
        <v/>
      </c>
      <c r="Q86" s="531"/>
      <c r="R86" s="549"/>
      <c r="S86" s="2151" t="str">
        <f t="shared" si="17"/>
        <v/>
      </c>
      <c r="T86" s="2890" t="str">
        <f t="shared" si="18"/>
        <v/>
      </c>
      <c r="U86" s="550" t="str">
        <f>IF(B86&lt;&gt;"",IF($D86="Existing","0",COUNTIF(IP!B:B,'Distributed Assets'!B86)),"")</f>
        <v/>
      </c>
      <c r="V86" s="551"/>
      <c r="W86" s="2152" t="str">
        <f t="shared" si="24"/>
        <v/>
      </c>
      <c r="X86" s="2534" t="str">
        <f t="shared" si="25"/>
        <v/>
      </c>
      <c r="Y86" s="2152"/>
      <c r="Z86" s="549"/>
      <c r="AA86" s="2997"/>
      <c r="AB86" s="2807" t="str">
        <f t="shared" si="26"/>
        <v/>
      </c>
      <c r="AC86" s="2134"/>
      <c r="AD86" s="553"/>
      <c r="AE86" s="554"/>
      <c r="AF86" s="2153"/>
      <c r="AG86" s="805"/>
      <c r="AH86" s="834" t="str">
        <f>IF($B86&lt;&gt;"",
IF(OR($G86="Standard", $G86="HA"),
IF($G86="Standard",VLOOKUP($E86,Pod_standard_mod,6,FALSE),
IF($G86="HA",VLOOKUP($E86,Pod_ha_mod,6,FALSE)))),"")</f>
        <v/>
      </c>
      <c r="AI86" s="2953" t="str">
        <f t="shared" si="9"/>
        <v/>
      </c>
      <c r="AJ86" s="834"/>
      <c r="AK86" s="2563"/>
      <c r="AL86" s="2958" t="str">
        <f t="shared" si="6"/>
        <v/>
      </c>
      <c r="AM86" s="2235"/>
      <c r="AN86" s="2236"/>
      <c r="AO86" s="2235"/>
      <c r="AP86" s="2237"/>
      <c r="AQ86" s="2240" t="str">
        <f t="shared" si="27"/>
        <v/>
      </c>
      <c r="AR86" s="2804" t="str">
        <f t="shared" si="11"/>
        <v/>
      </c>
      <c r="AS86" s="2241"/>
      <c r="AT86" s="2087" t="str">
        <f>IF($B86&lt;&gt;"",
      IF($J86="Windows","N/A",
        IF($J86="AIX",
               IF($Y86="Oracle Standalone 11.2",Oracle_Standalone_fs($AS86),
               IF($Y86="Oracle HACMP 11.2 - Node 1", Oracle_HACMP_Node_1($AS86),
               IF($Y86="Oracle HACMP 11.2 - Node 2", Oracle_HACMP_Node_2($AS86),
               IF($Y86="Oracle-RAC","Oracle RAC requires special config
work with Open Systems",
               IF($Y86="db2_fs",DB2_FS($AS86),
               IF($Y86="","N/A","")))))))),"")</f>
        <v/>
      </c>
      <c r="AU86" s="2421"/>
      <c r="AV86" s="2421"/>
      <c r="AW86" s="2421"/>
      <c r="AX86" s="2238"/>
      <c r="AY86" s="2242"/>
      <c r="AZ86" s="2086" t="str">
        <f t="shared" si="28"/>
        <v/>
      </c>
      <c r="BA86" s="2568" t="str">
        <f t="shared" si="12"/>
        <v/>
      </c>
      <c r="BE86" s="522"/>
      <c r="BF86" s="522"/>
      <c r="BG86" s="522"/>
      <c r="BH86" s="522"/>
      <c r="BI86" s="522"/>
      <c r="BJ86" s="522"/>
      <c r="BK86" s="522"/>
    </row>
    <row r="87" spans="2:63">
      <c r="B87" s="2775" t="str">
        <f t="shared" si="23"/>
        <v/>
      </c>
      <c r="C87" s="549"/>
      <c r="D87" s="552"/>
      <c r="E87" s="2143"/>
      <c r="F87" s="2724"/>
      <c r="G87" s="2883"/>
      <c r="H87" s="2876"/>
      <c r="I87" s="2541"/>
      <c r="J87" s="2541" t="str">
        <f>IF(AND($B87&lt;&gt;"",$D87="New"),
IF(LEFT($F87,3)="POD",
     IF($G87="Standard",VLOOKUP($E87,Pod_standard_mod,4,FALSE),
          IF($G87="HA",VLOOKUP($E87,Pod_ha_mod,4,FALSE))),""),"")</f>
        <v/>
      </c>
      <c r="K87" s="2117" t="str">
        <f t="shared" si="20"/>
        <v/>
      </c>
      <c r="L87" s="2539" t="str">
        <f>IF($B87&lt;&gt;"",
    IF(AND(LEFT($F87,3)="POD",LEFT($G87,3)="Sta"),VLOOKUP($E87,Pod_standard_mod,7,FALSE),
    IF(AND(LEFT($F87,3)="POD",LEFT($G87,2)="HA"),VLOOKUP($E87,Pod_ha_mod,7,FALSE),"")),"")</f>
        <v/>
      </c>
      <c r="M87" s="531"/>
      <c r="N87" s="2536" t="str">
        <f>IF($B87&lt;&gt;"",
       IF(AND(LEFT($F87,3)="POD",LEFT($G87,3)="Sta"),VLOOKUP($E87,Pod_standard_mod,8,FALSE),
            IF(AND(LEFT($F87,3)="POD",LEFT($G87,2)="HA"),VLOOKUP($E87,Pod_ha_mod,8,FALSE),"")),"")</f>
        <v/>
      </c>
      <c r="O87" s="549"/>
      <c r="P87" s="2885" t="str">
        <f>IF($B87&lt;&gt;"",
IF(AND(LEFT($W87,7)="Windows", AND(LEFT($Y87,5)&lt;&gt;"MSSQL", LEFT($Y87,3)&lt;&gt;"EDH")),CONCATENATE("C:",CHAR(10),"D:",CHAR(10)),
     IF(AND(LEFT($W87,4)="RHEL", $K87="Physical"), CONCATENATE("OS:",CHAR(10),"Data:",CHAR(10)),
                   IF(AND(LEFT($Y87,5)="MSSQL",$L87&lt;&gt;"",$AS87&lt;&gt;""),SQL_FS($AS87,$L87),
                         IF(AND(LEFT($Y87,3)="EDH",$AS87&lt;&gt;""),PaaS_SQL_FS($AS87),
                           IF(AND(LEFT($Y87,5)="MSSQL",OR($L87="",$AS87="")),"Please enter CPUs and Initial DB Size (Column AS)",""))))),"")</f>
        <v/>
      </c>
      <c r="Q87" s="531"/>
      <c r="R87" s="549"/>
      <c r="S87" s="2151" t="str">
        <f t="shared" si="17"/>
        <v/>
      </c>
      <c r="T87" s="2890" t="str">
        <f t="shared" si="18"/>
        <v/>
      </c>
      <c r="U87" s="550" t="str">
        <f>IF(B87&lt;&gt;"",IF($D87="Existing","0",COUNTIF(IP!B:B,'Distributed Assets'!B87)),"")</f>
        <v/>
      </c>
      <c r="V87" s="551"/>
      <c r="W87" s="2152" t="str">
        <f t="shared" si="24"/>
        <v/>
      </c>
      <c r="X87" s="2534" t="str">
        <f t="shared" si="25"/>
        <v/>
      </c>
      <c r="Y87" s="2152"/>
      <c r="Z87" s="549"/>
      <c r="AA87" s="2997"/>
      <c r="AB87" s="2807" t="str">
        <f t="shared" si="26"/>
        <v/>
      </c>
      <c r="AC87" s="2134"/>
      <c r="AD87" s="553"/>
      <c r="AE87" s="554"/>
      <c r="AF87" s="2153"/>
      <c r="AG87" s="805"/>
      <c r="AH87" s="834" t="str">
        <f>IF($B87&lt;&gt;"",
IF(OR($G87="Standard", $G87="HA"),
IF($G87="Standard",VLOOKUP($E87,Pod_standard_mod,6,FALSE),
IF($G87="HA",VLOOKUP($E87,Pod_ha_mod,6,FALSE)))),"")</f>
        <v/>
      </c>
      <c r="AI87" s="2953" t="str">
        <f t="shared" si="9"/>
        <v/>
      </c>
      <c r="AJ87" s="834"/>
      <c r="AK87" s="2563"/>
      <c r="AL87" s="2958" t="str">
        <f t="shared" si="6"/>
        <v/>
      </c>
      <c r="AM87" s="2235"/>
      <c r="AN87" s="2236"/>
      <c r="AO87" s="2235"/>
      <c r="AP87" s="2237"/>
      <c r="AQ87" s="2240" t="str">
        <f t="shared" si="27"/>
        <v/>
      </c>
      <c r="AR87" s="2804" t="str">
        <f t="shared" si="11"/>
        <v/>
      </c>
      <c r="AS87" s="2241"/>
      <c r="AT87" s="2087" t="str">
        <f>IF($B87&lt;&gt;"",
      IF($J87="Windows","N/A",
        IF($J87="AIX",
               IF($Y87="Oracle Standalone 11.2",Oracle_Standalone_fs($AS87),
               IF($Y87="Oracle HACMP 11.2 - Node 1", Oracle_HACMP_Node_1($AS87),
               IF($Y87="Oracle HACMP 11.2 - Node 2", Oracle_HACMP_Node_2($AS87),
               IF($Y87="Oracle-RAC","Oracle RAC requires special config
work with Open Systems",
               IF($Y87="db2_fs",DB2_FS($AS87),
               IF($Y87="","N/A","")))))))),"")</f>
        <v/>
      </c>
      <c r="AU87" s="2421"/>
      <c r="AV87" s="2421"/>
      <c r="AW87" s="2421"/>
      <c r="AX87" s="2238"/>
      <c r="AY87" s="2242"/>
      <c r="AZ87" s="2086" t="str">
        <f t="shared" si="28"/>
        <v/>
      </c>
      <c r="BA87" s="2568" t="str">
        <f t="shared" si="12"/>
        <v/>
      </c>
      <c r="BE87" s="522"/>
      <c r="BF87" s="522"/>
      <c r="BG87" s="522"/>
      <c r="BH87" s="522"/>
      <c r="BI87" s="522"/>
      <c r="BJ87" s="522"/>
      <c r="BK87" s="522"/>
    </row>
    <row r="88" spans="2:63">
      <c r="B88" s="2775" t="str">
        <f t="shared" si="23"/>
        <v/>
      </c>
      <c r="C88" s="549"/>
      <c r="D88" s="552"/>
      <c r="E88" s="2143"/>
      <c r="F88" s="2724"/>
      <c r="G88" s="2883"/>
      <c r="H88" s="2876"/>
      <c r="I88" s="2541"/>
      <c r="J88" s="2541" t="str">
        <f>IF(AND($B88&lt;&gt;"",$D88="New"),
IF(LEFT($F88,3)="POD",
     IF($G88="Standard",VLOOKUP($E88,Pod_standard_mod,4,FALSE),
          IF($G88="HA",VLOOKUP($E88,Pod_ha_mod,4,FALSE))),""),"")</f>
        <v/>
      </c>
      <c r="K88" s="2117" t="str">
        <f t="shared" si="20"/>
        <v/>
      </c>
      <c r="L88" s="2539" t="str">
        <f>IF($B88&lt;&gt;"",
    IF(AND(LEFT($F88,3)="POD",LEFT($G88,3)="Sta"),VLOOKUP($E88,Pod_standard_mod,7,FALSE),
    IF(AND(LEFT($F88,3)="POD",LEFT($G88,2)="HA"),VLOOKUP($E88,Pod_ha_mod,7,FALSE),"")),"")</f>
        <v/>
      </c>
      <c r="M88" s="531"/>
      <c r="N88" s="2536" t="str">
        <f>IF($B88&lt;&gt;"",
       IF(AND(LEFT($F88,3)="POD",LEFT($G88,3)="Sta"),VLOOKUP($E88,Pod_standard_mod,8,FALSE),
            IF(AND(LEFT($F88,3)="POD",LEFT($G88,2)="HA"),VLOOKUP($E88,Pod_ha_mod,8,FALSE),"")),"")</f>
        <v/>
      </c>
      <c r="O88" s="549"/>
      <c r="P88" s="2885" t="str">
        <f>IF($B88&lt;&gt;"",
IF(AND(LEFT($W88,7)="Windows", AND(LEFT($Y88,5)&lt;&gt;"MSSQL", LEFT($Y88,3)&lt;&gt;"EDH")),CONCATENATE("C:",CHAR(10),"D:",CHAR(10)),
     IF(AND(LEFT($W88,4)="RHEL", $K88="Physical"), CONCATENATE("OS:",CHAR(10),"Data:",CHAR(10)),
                   IF(AND(LEFT($Y88,5)="MSSQL",$L88&lt;&gt;"",$AS88&lt;&gt;""),SQL_FS($AS88,$L88),
                         IF(AND(LEFT($Y88,3)="EDH",$AS88&lt;&gt;""),PaaS_SQL_FS($AS88),
                           IF(AND(LEFT($Y88,5)="MSSQL",OR($L88="",$AS88="")),"Please enter CPUs and Initial DB Size (Column AS)",""))))),"")</f>
        <v/>
      </c>
      <c r="Q88" s="531"/>
      <c r="R88" s="549"/>
      <c r="S88" s="2151" t="str">
        <f t="shared" si="17"/>
        <v/>
      </c>
      <c r="T88" s="2890" t="str">
        <f t="shared" si="18"/>
        <v/>
      </c>
      <c r="U88" s="550" t="str">
        <f>IF(B88&lt;&gt;"",IF($D88="Existing","0",COUNTIF(IP!B:B,'Distributed Assets'!B88)),"")</f>
        <v/>
      </c>
      <c r="V88" s="551"/>
      <c r="W88" s="2152" t="str">
        <f t="shared" si="24"/>
        <v/>
      </c>
      <c r="X88" s="2534" t="str">
        <f t="shared" si="25"/>
        <v/>
      </c>
      <c r="Y88" s="2152"/>
      <c r="Z88" s="549"/>
      <c r="AA88" s="2997"/>
      <c r="AB88" s="2807" t="str">
        <f t="shared" si="26"/>
        <v/>
      </c>
      <c r="AC88" s="2134"/>
      <c r="AD88" s="553"/>
      <c r="AE88" s="554"/>
      <c r="AF88" s="2153"/>
      <c r="AG88" s="805"/>
      <c r="AH88" s="834" t="str">
        <f>IF($B88&lt;&gt;"",
IF(OR($G88="Standard", $G88="HA"),
IF($G88="Standard",VLOOKUP($E88,Pod_standard_mod,6,FALSE),
IF($G88="HA",VLOOKUP($E88,Pod_ha_mod,6,FALSE)))),"")</f>
        <v/>
      </c>
      <c r="AI88" s="2953" t="str">
        <f t="shared" si="9"/>
        <v/>
      </c>
      <c r="AJ88" s="834"/>
      <c r="AK88" s="2563"/>
      <c r="AL88" s="2958" t="str">
        <f t="shared" si="6"/>
        <v/>
      </c>
      <c r="AM88" s="2235"/>
      <c r="AN88" s="2236"/>
      <c r="AO88" s="2235"/>
      <c r="AP88" s="2237"/>
      <c r="AQ88" s="2240" t="str">
        <f t="shared" si="27"/>
        <v/>
      </c>
      <c r="AR88" s="2804" t="str">
        <f t="shared" si="11"/>
        <v/>
      </c>
      <c r="AS88" s="2241"/>
      <c r="AT88" s="2087" t="str">
        <f>IF($B88&lt;&gt;"",
      IF($J88="Windows","N/A",
        IF($J88="AIX",
               IF($Y88="Oracle Standalone 11.2",Oracle_Standalone_fs($AS88),
               IF($Y88="Oracle HACMP 11.2 - Node 1", Oracle_HACMP_Node_1($AS88),
               IF($Y88="Oracle HACMP 11.2 - Node 2", Oracle_HACMP_Node_2($AS88),
               IF($Y88="Oracle-RAC","Oracle RAC requires special config
work with Open Systems",
               IF($Y88="db2_fs",DB2_FS($AS88),
               IF($Y88="","N/A","")))))))),"")</f>
        <v/>
      </c>
      <c r="AU88" s="2421"/>
      <c r="AV88" s="2421"/>
      <c r="AW88" s="2421"/>
      <c r="AX88" s="2238"/>
      <c r="AY88" s="2242"/>
      <c r="AZ88" s="2086" t="str">
        <f t="shared" si="28"/>
        <v/>
      </c>
      <c r="BA88" s="2568" t="str">
        <f t="shared" si="12"/>
        <v/>
      </c>
      <c r="BE88" s="522"/>
      <c r="BF88" s="522"/>
      <c r="BG88" s="522"/>
      <c r="BH88" s="522"/>
      <c r="BI88" s="522"/>
      <c r="BJ88" s="522"/>
      <c r="BK88" s="522"/>
    </row>
    <row r="89" spans="2:63">
      <c r="B89" s="2775" t="str">
        <f t="shared" si="23"/>
        <v/>
      </c>
      <c r="C89" s="549"/>
      <c r="D89" s="552"/>
      <c r="E89" s="2143"/>
      <c r="F89" s="2724"/>
      <c r="G89" s="2883"/>
      <c r="H89" s="2876"/>
      <c r="I89" s="2541"/>
      <c r="J89" s="2541" t="str">
        <f>IF(AND($B89&lt;&gt;"",$D89="New"),
IF(LEFT($F89,3)="POD",
     IF($G89="Standard",VLOOKUP($E89,Pod_standard_mod,4,FALSE),
          IF($G89="HA",VLOOKUP($E89,Pod_ha_mod,4,FALSE))),""),"")</f>
        <v/>
      </c>
      <c r="K89" s="2117" t="str">
        <f t="shared" si="20"/>
        <v/>
      </c>
      <c r="L89" s="2539" t="str">
        <f>IF($B89&lt;&gt;"",
    IF(AND(LEFT($F89,3)="POD",LEFT($G89,3)="Sta"),VLOOKUP($E89,Pod_standard_mod,7,FALSE),
    IF(AND(LEFT($F89,3)="POD",LEFT($G89,2)="HA"),VLOOKUP($E89,Pod_ha_mod,7,FALSE),"")),"")</f>
        <v/>
      </c>
      <c r="M89" s="531"/>
      <c r="N89" s="2536" t="str">
        <f>IF($B89&lt;&gt;"",
       IF(AND(LEFT($F89,3)="POD",LEFT($G89,3)="Sta"),VLOOKUP($E89,Pod_standard_mod,8,FALSE),
            IF(AND(LEFT($F89,3)="POD",LEFT($G89,2)="HA"),VLOOKUP($E89,Pod_ha_mod,8,FALSE),"")),"")</f>
        <v/>
      </c>
      <c r="O89" s="549"/>
      <c r="P89" s="2885" t="str">
        <f>IF($B89&lt;&gt;"",
IF(AND(LEFT($W89,7)="Windows", AND(LEFT($Y89,5)&lt;&gt;"MSSQL", LEFT($Y89,3)&lt;&gt;"EDH")),CONCATENATE("C:",CHAR(10),"D:",CHAR(10)),
     IF(AND(LEFT($W89,4)="RHEL", $K89="Physical"), CONCATENATE("OS:",CHAR(10),"Data:",CHAR(10)),
                   IF(AND(LEFT($Y89,5)="MSSQL",$L89&lt;&gt;"",$AS89&lt;&gt;""),SQL_FS($AS89,$L89),
                         IF(AND(LEFT($Y89,3)="EDH",$AS89&lt;&gt;""),PaaS_SQL_FS($AS89),
                           IF(AND(LEFT($Y89,5)="MSSQL",OR($L89="",$AS89="")),"Please enter CPUs and Initial DB Size (Column AS)",""))))),"")</f>
        <v/>
      </c>
      <c r="Q89" s="531"/>
      <c r="R89" s="549"/>
      <c r="S89" s="2151" t="str">
        <f t="shared" si="17"/>
        <v/>
      </c>
      <c r="T89" s="2890" t="str">
        <f t="shared" si="18"/>
        <v/>
      </c>
      <c r="U89" s="550" t="str">
        <f>IF(B89&lt;&gt;"",IF($D89="Existing","0",COUNTIF(IP!B:B,'Distributed Assets'!B89)),"")</f>
        <v/>
      </c>
      <c r="V89" s="551"/>
      <c r="W89" s="2152" t="str">
        <f t="shared" si="24"/>
        <v/>
      </c>
      <c r="X89" s="2534" t="str">
        <f t="shared" si="25"/>
        <v/>
      </c>
      <c r="Y89" s="2152"/>
      <c r="Z89" s="549"/>
      <c r="AA89" s="2997"/>
      <c r="AB89" s="2807" t="str">
        <f t="shared" si="26"/>
        <v/>
      </c>
      <c r="AC89" s="2134"/>
      <c r="AD89" s="553"/>
      <c r="AE89" s="554"/>
      <c r="AF89" s="2153"/>
      <c r="AG89" s="805"/>
      <c r="AH89" s="834" t="str">
        <f>IF($B89&lt;&gt;"",
IF(OR($G89="Standard", $G89="HA"),
IF($G89="Standard",VLOOKUP($E89,Pod_standard_mod,6,FALSE),
IF($G89="HA",VLOOKUP($E89,Pod_ha_mod,6,FALSE)))),"")</f>
        <v/>
      </c>
      <c r="AI89" s="2953" t="str">
        <f t="shared" si="9"/>
        <v/>
      </c>
      <c r="AJ89" s="834"/>
      <c r="AK89" s="2563"/>
      <c r="AL89" s="2958" t="str">
        <f t="shared" si="6"/>
        <v/>
      </c>
      <c r="AM89" s="2235"/>
      <c r="AN89" s="2236"/>
      <c r="AO89" s="2235"/>
      <c r="AP89" s="2237"/>
      <c r="AQ89" s="2240" t="str">
        <f t="shared" si="27"/>
        <v/>
      </c>
      <c r="AR89" s="2804" t="str">
        <f t="shared" si="11"/>
        <v/>
      </c>
      <c r="AS89" s="2241"/>
      <c r="AT89" s="2087" t="str">
        <f>IF($B89&lt;&gt;"",
      IF($J89="Windows","N/A",
        IF($J89="AIX",
               IF($Y89="Oracle Standalone 11.2",Oracle_Standalone_fs($AS89),
               IF($Y89="Oracle HACMP 11.2 - Node 1", Oracle_HACMP_Node_1($AS89),
               IF($Y89="Oracle HACMP 11.2 - Node 2", Oracle_HACMP_Node_2($AS89),
               IF($Y89="Oracle-RAC","Oracle RAC requires special config
work with Open Systems",
               IF($Y89="db2_fs",DB2_FS($AS89),
               IF($Y89="","N/A","")))))))),"")</f>
        <v/>
      </c>
      <c r="AU89" s="2421"/>
      <c r="AV89" s="2421"/>
      <c r="AW89" s="2421"/>
      <c r="AX89" s="2238"/>
      <c r="AY89" s="2242"/>
      <c r="AZ89" s="2086" t="str">
        <f t="shared" si="28"/>
        <v/>
      </c>
      <c r="BA89" s="2568" t="str">
        <f t="shared" si="12"/>
        <v/>
      </c>
      <c r="BE89" s="522"/>
      <c r="BF89" s="522"/>
      <c r="BG89" s="522"/>
      <c r="BH89" s="522"/>
      <c r="BI89" s="522"/>
      <c r="BJ89" s="522"/>
      <c r="BK89" s="522"/>
    </row>
    <row r="90" spans="2:63">
      <c r="B90" s="2775" t="str">
        <f t="shared" si="23"/>
        <v/>
      </c>
      <c r="C90" s="549"/>
      <c r="D90" s="552"/>
      <c r="E90" s="2143"/>
      <c r="F90" s="2724"/>
      <c r="G90" s="2883"/>
      <c r="H90" s="2876"/>
      <c r="I90" s="2541"/>
      <c r="J90" s="2541" t="str">
        <f>IF(AND($B90&lt;&gt;"",$D90="New"),
IF(LEFT($F90,3)="POD",
     IF($G90="Standard",VLOOKUP($E90,Pod_standard_mod,4,FALSE),
          IF($G90="HA",VLOOKUP($E90,Pod_ha_mod,4,FALSE))),""),"")</f>
        <v/>
      </c>
      <c r="K90" s="2117" t="str">
        <f t="shared" si="20"/>
        <v/>
      </c>
      <c r="L90" s="2539" t="str">
        <f>IF($B90&lt;&gt;"",
    IF(AND(LEFT($F90,3)="POD",LEFT($G90,3)="Sta"),VLOOKUP($E90,Pod_standard_mod,7,FALSE),
    IF(AND(LEFT($F90,3)="POD",LEFT($G90,2)="HA"),VLOOKUP($E90,Pod_ha_mod,7,FALSE),"")),"")</f>
        <v/>
      </c>
      <c r="M90" s="531"/>
      <c r="N90" s="2536" t="str">
        <f>IF($B90&lt;&gt;"",
       IF(AND(LEFT($F90,3)="POD",LEFT($G90,3)="Sta"),VLOOKUP($E90,Pod_standard_mod,8,FALSE),
            IF(AND(LEFT($F90,3)="POD",LEFT($G90,2)="HA"),VLOOKUP($E90,Pod_ha_mod,8,FALSE),"")),"")</f>
        <v/>
      </c>
      <c r="O90" s="549"/>
      <c r="P90" s="2885" t="str">
        <f>IF($B90&lt;&gt;"",
IF(AND(LEFT($W90,7)="Windows", AND(LEFT($Y90,5)&lt;&gt;"MSSQL", LEFT($Y90,3)&lt;&gt;"EDH")),CONCATENATE("C:",CHAR(10),"D:",CHAR(10)),
     IF(AND(LEFT($W90,4)="RHEL", $K90="Physical"), CONCATENATE("OS:",CHAR(10),"Data:",CHAR(10)),
                   IF(AND(LEFT($Y90,5)="MSSQL",$L90&lt;&gt;"",$AS90&lt;&gt;""),SQL_FS($AS90,$L90),
                         IF(AND(LEFT($Y90,3)="EDH",$AS90&lt;&gt;""),PaaS_SQL_FS($AS90),
                           IF(AND(LEFT($Y90,5)="MSSQL",OR($L90="",$AS90="")),"Please enter CPUs and Initial DB Size (Column AS)",""))))),"")</f>
        <v/>
      </c>
      <c r="Q90" s="531"/>
      <c r="R90" s="549"/>
      <c r="S90" s="2151" t="str">
        <f t="shared" si="17"/>
        <v/>
      </c>
      <c r="T90" s="2890" t="str">
        <f t="shared" si="18"/>
        <v/>
      </c>
      <c r="U90" s="550" t="str">
        <f>IF(B90&lt;&gt;"",IF($D90="Existing","0",COUNTIF(IP!B:B,'Distributed Assets'!B90)),"")</f>
        <v/>
      </c>
      <c r="V90" s="551"/>
      <c r="W90" s="2152" t="str">
        <f t="shared" si="24"/>
        <v/>
      </c>
      <c r="X90" s="2534" t="str">
        <f t="shared" si="25"/>
        <v/>
      </c>
      <c r="Y90" s="2152"/>
      <c r="Z90" s="549"/>
      <c r="AA90" s="2997"/>
      <c r="AB90" s="2807" t="str">
        <f t="shared" si="26"/>
        <v/>
      </c>
      <c r="AC90" s="2134"/>
      <c r="AD90" s="553"/>
      <c r="AE90" s="554"/>
      <c r="AF90" s="2153"/>
      <c r="AG90" s="805"/>
      <c r="AH90" s="834" t="str">
        <f>IF($B90&lt;&gt;"",
IF(OR($G90="Standard", $G90="HA"),
IF($G90="Standard",VLOOKUP($E90,Pod_standard_mod,6,FALSE),
IF($G90="HA",VLOOKUP($E90,Pod_ha_mod,6,FALSE)))),"")</f>
        <v/>
      </c>
      <c r="AI90" s="2953" t="str">
        <f t="shared" si="9"/>
        <v/>
      </c>
      <c r="AJ90" s="834"/>
      <c r="AK90" s="2563"/>
      <c r="AL90" s="2958" t="str">
        <f t="shared" si="6"/>
        <v/>
      </c>
      <c r="AM90" s="2235"/>
      <c r="AN90" s="2236"/>
      <c r="AO90" s="2235"/>
      <c r="AP90" s="2237"/>
      <c r="AQ90" s="2240" t="str">
        <f t="shared" si="27"/>
        <v/>
      </c>
      <c r="AR90" s="2804" t="str">
        <f t="shared" si="11"/>
        <v/>
      </c>
      <c r="AS90" s="2241"/>
      <c r="AT90" s="2087" t="str">
        <f>IF($B90&lt;&gt;"",
      IF($J90="Windows","N/A",
        IF($J90="AIX",
               IF($Y90="Oracle Standalone 11.2",Oracle_Standalone_fs($AS90),
               IF($Y90="Oracle HACMP 11.2 - Node 1", Oracle_HACMP_Node_1($AS90),
               IF($Y90="Oracle HACMP 11.2 - Node 2", Oracle_HACMP_Node_2($AS90),
               IF($Y90="Oracle-RAC","Oracle RAC requires special config
work with Open Systems",
               IF($Y90="db2_fs",DB2_FS($AS90),
               IF($Y90="","N/A","")))))))),"")</f>
        <v/>
      </c>
      <c r="AU90" s="2421"/>
      <c r="AV90" s="2421"/>
      <c r="AW90" s="2421"/>
      <c r="AX90" s="2238"/>
      <c r="AY90" s="2242"/>
      <c r="AZ90" s="2086" t="str">
        <f t="shared" si="28"/>
        <v/>
      </c>
      <c r="BA90" s="2568" t="str">
        <f t="shared" si="12"/>
        <v/>
      </c>
      <c r="BE90" s="522"/>
      <c r="BF90" s="522"/>
      <c r="BG90" s="522"/>
      <c r="BH90" s="522"/>
      <c r="BI90" s="522"/>
      <c r="BJ90" s="522"/>
      <c r="BK90" s="522"/>
    </row>
    <row r="91" spans="2:63">
      <c r="B91" s="2775" t="str">
        <f t="shared" si="23"/>
        <v/>
      </c>
      <c r="C91" s="549"/>
      <c r="D91" s="552"/>
      <c r="E91" s="2143"/>
      <c r="F91" s="2724"/>
      <c r="G91" s="2883"/>
      <c r="H91" s="2876"/>
      <c r="I91" s="2541"/>
      <c r="J91" s="2541" t="str">
        <f>IF(AND($B91&lt;&gt;"",$D91="New"),
IF(LEFT($F91,3)="POD",
     IF($G91="Standard",VLOOKUP($E91,Pod_standard_mod,4,FALSE),
          IF($G91="HA",VLOOKUP($E91,Pod_ha_mod,4,FALSE))),""),"")</f>
        <v/>
      </c>
      <c r="K91" s="2117" t="str">
        <f t="shared" si="20"/>
        <v/>
      </c>
      <c r="L91" s="2539" t="str">
        <f>IF($B91&lt;&gt;"",
    IF(AND(LEFT($F91,3)="POD",LEFT($G91,3)="Sta"),VLOOKUP($E91,Pod_standard_mod,7,FALSE),
    IF(AND(LEFT($F91,3)="POD",LEFT($G91,2)="HA"),VLOOKUP($E91,Pod_ha_mod,7,FALSE),"")),"")</f>
        <v/>
      </c>
      <c r="M91" s="531"/>
      <c r="N91" s="2536" t="str">
        <f>IF($B91&lt;&gt;"",
       IF(AND(LEFT($F91,3)="POD",LEFT($G91,3)="Sta"),VLOOKUP($E91,Pod_standard_mod,8,FALSE),
            IF(AND(LEFT($F91,3)="POD",LEFT($G91,2)="HA"),VLOOKUP($E91,Pod_ha_mod,8,FALSE),"")),"")</f>
        <v/>
      </c>
      <c r="O91" s="549"/>
      <c r="P91" s="2885" t="str">
        <f>IF($B91&lt;&gt;"",
IF(AND(LEFT($W91,7)="Windows", AND(LEFT($Y91,5)&lt;&gt;"MSSQL", LEFT($Y91,3)&lt;&gt;"EDH")),CONCATENATE("C:",CHAR(10),"D:",CHAR(10)),
     IF(AND(LEFT($W91,4)="RHEL", $K91="Physical"), CONCATENATE("OS:",CHAR(10),"Data:",CHAR(10)),
                   IF(AND(LEFT($Y91,5)="MSSQL",$L91&lt;&gt;"",$AS91&lt;&gt;""),SQL_FS($AS91,$L91),
                         IF(AND(LEFT($Y91,3)="EDH",$AS91&lt;&gt;""),PaaS_SQL_FS($AS91),
                           IF(AND(LEFT($Y91,5)="MSSQL",OR($L91="",$AS91="")),"Please enter CPUs and Initial DB Size (Column AS)",""))))),"")</f>
        <v/>
      </c>
      <c r="Q91" s="531"/>
      <c r="R91" s="549"/>
      <c r="S91" s="2151" t="str">
        <f t="shared" si="17"/>
        <v/>
      </c>
      <c r="T91" s="2890" t="str">
        <f t="shared" si="18"/>
        <v/>
      </c>
      <c r="U91" s="550" t="str">
        <f>IF(B91&lt;&gt;"",IF($D91="Existing","0",COUNTIF(IP!B:B,'Distributed Assets'!B91)),"")</f>
        <v/>
      </c>
      <c r="V91" s="551"/>
      <c r="W91" s="2152" t="str">
        <f t="shared" si="24"/>
        <v/>
      </c>
      <c r="X91" s="2534" t="str">
        <f t="shared" si="25"/>
        <v/>
      </c>
      <c r="Y91" s="2152"/>
      <c r="Z91" s="549"/>
      <c r="AA91" s="2997"/>
      <c r="AB91" s="2807" t="str">
        <f t="shared" si="26"/>
        <v/>
      </c>
      <c r="AC91" s="2134"/>
      <c r="AD91" s="553"/>
      <c r="AE91" s="554"/>
      <c r="AF91" s="2153"/>
      <c r="AG91" s="805"/>
      <c r="AH91" s="834" t="str">
        <f>IF($B91&lt;&gt;"",
IF(OR($G91="Standard", $G91="HA"),
IF($G91="Standard",VLOOKUP($E91,Pod_standard_mod,6,FALSE),
IF($G91="HA",VLOOKUP($E91,Pod_ha_mod,6,FALSE)))),"")</f>
        <v/>
      </c>
      <c r="AI91" s="2953" t="str">
        <f t="shared" si="9"/>
        <v/>
      </c>
      <c r="AJ91" s="834"/>
      <c r="AK91" s="2563"/>
      <c r="AL91" s="2958" t="str">
        <f t="shared" si="6"/>
        <v/>
      </c>
      <c r="AM91" s="2235"/>
      <c r="AN91" s="2236"/>
      <c r="AO91" s="2235"/>
      <c r="AP91" s="2237"/>
      <c r="AQ91" s="2240" t="str">
        <f t="shared" si="27"/>
        <v/>
      </c>
      <c r="AR91" s="2804" t="str">
        <f t="shared" si="11"/>
        <v/>
      </c>
      <c r="AS91" s="2241"/>
      <c r="AT91" s="2087" t="str">
        <f>IF($B91&lt;&gt;"",
      IF($J91="Windows","N/A",
        IF($J91="AIX",
               IF($Y91="Oracle Standalone 11.2",Oracle_Standalone_fs($AS91),
               IF($Y91="Oracle HACMP 11.2 - Node 1", Oracle_HACMP_Node_1($AS91),
               IF($Y91="Oracle HACMP 11.2 - Node 2", Oracle_HACMP_Node_2($AS91),
               IF($Y91="Oracle-RAC","Oracle RAC requires special config
work with Open Systems",
               IF($Y91="db2_fs",DB2_FS($AS91),
               IF($Y91="","N/A","")))))))),"")</f>
        <v/>
      </c>
      <c r="AU91" s="2421"/>
      <c r="AV91" s="2421"/>
      <c r="AW91" s="2421"/>
      <c r="AX91" s="2238"/>
      <c r="AY91" s="2242"/>
      <c r="AZ91" s="2086" t="str">
        <f t="shared" si="28"/>
        <v/>
      </c>
      <c r="BA91" s="2568" t="str">
        <f t="shared" si="12"/>
        <v/>
      </c>
      <c r="BE91" s="522"/>
      <c r="BF91" s="522"/>
      <c r="BG91" s="522"/>
      <c r="BH91" s="522"/>
      <c r="BI91" s="522"/>
      <c r="BJ91" s="522"/>
      <c r="BK91" s="522"/>
    </row>
    <row r="92" spans="2:63">
      <c r="B92" s="2775" t="str">
        <f t="shared" si="23"/>
        <v/>
      </c>
      <c r="C92" s="549"/>
      <c r="D92" s="552"/>
      <c r="E92" s="2143"/>
      <c r="F92" s="2724"/>
      <c r="G92" s="2883"/>
      <c r="H92" s="2876"/>
      <c r="I92" s="2541"/>
      <c r="J92" s="2541" t="str">
        <f>IF(AND($B92&lt;&gt;"",$D92="New"),
IF(LEFT($F92,3)="POD",
     IF($G92="Standard",VLOOKUP($E92,Pod_standard_mod,4,FALSE),
          IF($G92="HA",VLOOKUP($E92,Pod_ha_mod,4,FALSE))),""),"")</f>
        <v/>
      </c>
      <c r="K92" s="2117" t="str">
        <f t="shared" si="20"/>
        <v/>
      </c>
      <c r="L92" s="2539" t="str">
        <f>IF($B92&lt;&gt;"",
    IF(AND(LEFT($F92,3)="POD",LEFT($G92,3)="Sta"),VLOOKUP($E92,Pod_standard_mod,7,FALSE),
    IF(AND(LEFT($F92,3)="POD",LEFT($G92,2)="HA"),VLOOKUP($E92,Pod_ha_mod,7,FALSE),"")),"")</f>
        <v/>
      </c>
      <c r="M92" s="531"/>
      <c r="N92" s="2536" t="str">
        <f>IF($B92&lt;&gt;"",
       IF(AND(LEFT($F92,3)="POD",LEFT($G92,3)="Sta"),VLOOKUP($E92,Pod_standard_mod,8,FALSE),
            IF(AND(LEFT($F92,3)="POD",LEFT($G92,2)="HA"),VLOOKUP($E92,Pod_ha_mod,8,FALSE),"")),"")</f>
        <v/>
      </c>
      <c r="O92" s="549"/>
      <c r="P92" s="2885" t="str">
        <f>IF($B92&lt;&gt;"",
IF(AND(LEFT($W92,7)="Windows", AND(LEFT($Y92,5)&lt;&gt;"MSSQL", LEFT($Y92,3)&lt;&gt;"EDH")),CONCATENATE("C:",CHAR(10),"D:",CHAR(10)),
     IF(AND(LEFT($W92,4)="RHEL", $K92="Physical"), CONCATENATE("OS:",CHAR(10),"Data:",CHAR(10)),
                   IF(AND(LEFT($Y92,5)="MSSQL",$L92&lt;&gt;"",$AS92&lt;&gt;""),SQL_FS($AS92,$L92),
                         IF(AND(LEFT($Y92,3)="EDH",$AS92&lt;&gt;""),PaaS_SQL_FS($AS92),
                           IF(AND(LEFT($Y92,5)="MSSQL",OR($L92="",$AS92="")),"Please enter CPUs and Initial DB Size (Column AS)",""))))),"")</f>
        <v/>
      </c>
      <c r="Q92" s="531"/>
      <c r="R92" s="549"/>
      <c r="S92" s="2151" t="str">
        <f t="shared" si="17"/>
        <v/>
      </c>
      <c r="T92" s="2890" t="str">
        <f t="shared" si="18"/>
        <v/>
      </c>
      <c r="U92" s="550" t="str">
        <f>IF(B92&lt;&gt;"",IF($D92="Existing","0",COUNTIF(IP!B:B,'Distributed Assets'!B92)),"")</f>
        <v/>
      </c>
      <c r="V92" s="551"/>
      <c r="W92" s="2152" t="str">
        <f t="shared" si="24"/>
        <v/>
      </c>
      <c r="X92" s="2534" t="str">
        <f t="shared" si="25"/>
        <v/>
      </c>
      <c r="Y92" s="2152"/>
      <c r="Z92" s="549"/>
      <c r="AA92" s="2997"/>
      <c r="AB92" s="2807" t="str">
        <f t="shared" ref="AB92:AB102" si="29">IF(AND($AA92="Yes", $J92="Windows",$K92="Physical"),"Win-DR","")</f>
        <v/>
      </c>
      <c r="AC92" s="2134"/>
      <c r="AD92" s="553"/>
      <c r="AE92" s="554"/>
      <c r="AF92" s="2153"/>
      <c r="AG92" s="805"/>
      <c r="AH92" s="834" t="str">
        <f>IF($B92&lt;&gt;"",
IF(OR($G92="Standard", $G92="HA"),
IF($G92="Standard",VLOOKUP($E92,Pod_standard_mod,6,FALSE),
IF($G92="HA",VLOOKUP($E92,Pod_ha_mod,6,FALSE)))),"")</f>
        <v/>
      </c>
      <c r="AI92" s="2953" t="str">
        <f t="shared" si="9"/>
        <v/>
      </c>
      <c r="AJ92" s="834"/>
      <c r="AK92" s="2563"/>
      <c r="AL92" s="2958" t="str">
        <f t="shared" si="6"/>
        <v/>
      </c>
      <c r="AM92" s="2235"/>
      <c r="AN92" s="2236"/>
      <c r="AO92" s="2235"/>
      <c r="AP92" s="2237"/>
      <c r="AQ92" s="2240" t="str">
        <f t="shared" ref="AQ92:AQ102" si="30">IF($B92&lt;&gt;"",VLOOKUP(VLOOKUP($B92,$B$28:$V$102,2,FALSE),$C$6:$F$22,4,FALSE),"")</f>
        <v/>
      </c>
      <c r="AR92" s="2804" t="str">
        <f t="shared" si="11"/>
        <v/>
      </c>
      <c r="AS92" s="2241"/>
      <c r="AT92" s="2087" t="str">
        <f>IF($B92&lt;&gt;"",
      IF($J92="Windows","N/A",
        IF($J92="AIX",
               IF($Y92="Oracle Standalone 11.2",Oracle_Standalone_fs($AS92),
               IF($Y92="Oracle HACMP 11.2 - Node 1", Oracle_HACMP_Node_1($AS92),
               IF($Y92="Oracle HACMP 11.2 - Node 2", Oracle_HACMP_Node_2($AS92),
               IF($Y92="Oracle-RAC","Oracle RAC requires special config
work with Open Systems",
               IF($Y92="db2_fs",DB2_FS($AS92),
               IF($Y92="","N/A","")))))))),"")</f>
        <v/>
      </c>
      <c r="AU92" s="2421"/>
      <c r="AV92" s="2421"/>
      <c r="AW92" s="2421"/>
      <c r="AX92" s="2238"/>
      <c r="AY92" s="2242"/>
      <c r="AZ92" s="2086" t="str">
        <f t="shared" si="28"/>
        <v/>
      </c>
      <c r="BA92" s="2568" t="str">
        <f t="shared" si="12"/>
        <v/>
      </c>
      <c r="BE92" s="522"/>
      <c r="BF92" s="522"/>
      <c r="BG92" s="522"/>
      <c r="BH92" s="522"/>
      <c r="BI92" s="522"/>
      <c r="BJ92" s="522"/>
      <c r="BK92" s="522"/>
    </row>
    <row r="93" spans="2:63">
      <c r="B93" s="2775" t="str">
        <f t="shared" si="23"/>
        <v/>
      </c>
      <c r="C93" s="549"/>
      <c r="D93" s="552"/>
      <c r="E93" s="2143"/>
      <c r="F93" s="2724"/>
      <c r="G93" s="2883"/>
      <c r="H93" s="2876"/>
      <c r="I93" s="2541"/>
      <c r="J93" s="2541" t="str">
        <f>IF(AND($B93&lt;&gt;"",$D93="New"),
IF(LEFT($F93,3)="POD",
     IF($G93="Standard",VLOOKUP($E93,Pod_standard_mod,4,FALSE),
          IF($G93="HA",VLOOKUP($E93,Pod_ha_mod,4,FALSE))),""),"")</f>
        <v/>
      </c>
      <c r="K93" s="2117" t="str">
        <f t="shared" si="20"/>
        <v/>
      </c>
      <c r="L93" s="2539" t="str">
        <f>IF($B93&lt;&gt;"",
    IF(AND(LEFT($F93,3)="POD",LEFT($G93,3)="Sta"),VLOOKUP($E93,Pod_standard_mod,7,FALSE),
    IF(AND(LEFT($F93,3)="POD",LEFT($G93,2)="HA"),VLOOKUP($E93,Pod_ha_mod,7,FALSE),"")),"")</f>
        <v/>
      </c>
      <c r="M93" s="531"/>
      <c r="N93" s="2536" t="str">
        <f>IF($B93&lt;&gt;"",
       IF(AND(LEFT($F93,3)="POD",LEFT($G93,3)="Sta"),VLOOKUP($E93,Pod_standard_mod,8,FALSE),
            IF(AND(LEFT($F93,3)="POD",LEFT($G93,2)="HA"),VLOOKUP($E93,Pod_ha_mod,8,FALSE),"")),"")</f>
        <v/>
      </c>
      <c r="O93" s="549"/>
      <c r="P93" s="2885" t="str">
        <f>IF($B93&lt;&gt;"",
IF(AND(LEFT($W93,7)="Windows", AND(LEFT($Y93,5)&lt;&gt;"MSSQL", LEFT($Y93,3)&lt;&gt;"EDH")),CONCATENATE("C:",CHAR(10),"D:",CHAR(10)),
     IF(AND(LEFT($W93,4)="RHEL", $K93="Physical"), CONCATENATE("OS:",CHAR(10),"Data:",CHAR(10)),
                   IF(AND(LEFT($Y93,5)="MSSQL",$L93&lt;&gt;"",$AS93&lt;&gt;""),SQL_FS($AS93,$L93),
                         IF(AND(LEFT($Y93,3)="EDH",$AS93&lt;&gt;""),PaaS_SQL_FS($AS93),
                           IF(AND(LEFT($Y93,5)="MSSQL",OR($L93="",$AS93="")),"Please enter CPUs and Initial DB Size (Column AS)",""))))),"")</f>
        <v/>
      </c>
      <c r="Q93" s="531"/>
      <c r="R93" s="549"/>
      <c r="S93" s="2151" t="str">
        <f t="shared" ref="S93:S102" si="31">IF(AND(B93&lt;&gt;"",D93="Existing"),"Reference Only","")</f>
        <v/>
      </c>
      <c r="T93" s="2890" t="str">
        <f t="shared" ref="T93:T102" si="32">IF($B93&lt;&gt;"",
IF(AND($D93="New", LEFT(W93,4)="RHEL",K93="Virtual"),"2",
 IF(AND($D93="New", LEFT(W93,3)="AIX",K93="Virtual"),"2",
   IF(AND($D93="New", LEFT(W93,7)="Windows",K93="Virtual"),"1",
      IF(AND($D93="New", K93="Physical"),"3",
        IF(AND(D93="Existing"),"0",""))))),"")</f>
        <v/>
      </c>
      <c r="U93" s="550" t="str">
        <f>IF(B93&lt;&gt;"",IF($D93="Existing","0",COUNTIF(IP!B:B,'Distributed Assets'!B93)),"")</f>
        <v/>
      </c>
      <c r="V93" s="551"/>
      <c r="W93" s="2152" t="str">
        <f t="shared" si="24"/>
        <v/>
      </c>
      <c r="X93" s="2534" t="str">
        <f t="shared" si="25"/>
        <v/>
      </c>
      <c r="Y93" s="2152"/>
      <c r="Z93" s="549"/>
      <c r="AA93" s="2997"/>
      <c r="AB93" s="2807" t="str">
        <f t="shared" si="29"/>
        <v/>
      </c>
      <c r="AC93" s="2134"/>
      <c r="AD93" s="553"/>
      <c r="AE93" s="554"/>
      <c r="AF93" s="2153"/>
      <c r="AG93" s="805"/>
      <c r="AH93" s="834" t="str">
        <f>IF($B93&lt;&gt;"",
IF(OR($G93="Standard", $G93="HA"),
IF($G93="Standard",VLOOKUP($E93,Pod_standard_mod,6,FALSE),
IF($G93="HA",VLOOKUP($E93,Pod_ha_mod,6,FALSE)))),"")</f>
        <v/>
      </c>
      <c r="AI93" s="2953" t="str">
        <f t="shared" ref="AI93:AI102" si="33">IF(AND(LEFT($W93,7)="Windows",$B93&lt;&gt;"", $D93="New"),
 IF(AND($W93="Windows Server 2016 Standard", $Y93=""),"W2K16STD_CL",
   IF(AND($W93="Windows Server 2016 Standard", $Y93="MSSQL 2016 SP2"),"SQL16SP2W2K16_CL",
  IF(AND($W93="Windows Server 2016 Standard", $Y93="MSSQL 2016"),"SQL16W2K16_CL",
   IF(AND($W93="Windows Server 2012 R2 Standard", $Y93=""),"W2k12R2STD",
   IF(AND($W93="Windows Server 2012 R2 Standard",$Y93="MSSQL 2014 SP2"),"SQL14W2K12R2",
    IF(AND($W93="Windows Server 2012 R2 Standard", $Y93="MSSQL 2012 SP3"),"SQL12W2K12R2-SP3",
     IF(AND($W93="Windows Server 2012 R2 Standard", $Y93="MSSQL 2012 SP2"),"SQL12W2K12R2",
      IF(AND($W93="Windows Server 2012 R2 Standard",$Y93&lt;&gt;"", $Y93&lt;&gt;"MSSQL 2014"),"SQL12W2K12R2-NO SQL",
        IF(AND($W93&lt;&gt;"",$Y93&lt;&gt;""),"Custom Template",""))))))))),"")</f>
        <v/>
      </c>
      <c r="AJ93" s="834"/>
      <c r="AK93" s="2563"/>
      <c r="AL93" s="2958" t="str">
        <f t="shared" ref="AL93:AL102" si="34">IF(AND($J93="Windows",$K93="Virtual",LEFT($Y93,5)="MSSQL"),
       IF(VLOOKUP($C93,$C$7:$F$22,4,FALSE)="Prod 2.0", "PWAUVAVMVC01",
        IF(VLOOKUP($C93,$C$7:$F$22,4,FALSE)="Prod F.W.", "PFTWVAVMVC01",
           IF(VLOOKUP($C93,$C$7:$F$22,4,FALSE)="Test 2.0","TWAUVAVMVC01",
                IF(VLOOKUP($C93,$C$7:$F$22,4,FALSE)="DEV","DWAUVAVMVC01","N/A")))),"")</f>
        <v/>
      </c>
      <c r="AM93" s="2235"/>
      <c r="AN93" s="2236"/>
      <c r="AO93" s="2235"/>
      <c r="AP93" s="2237"/>
      <c r="AQ93" s="2240" t="str">
        <f t="shared" si="30"/>
        <v/>
      </c>
      <c r="AR93" s="2804" t="str">
        <f t="shared" ref="AR93:AR102" si="35">IF(J93="Appliance", "This appliance uses SNMP", "")</f>
        <v/>
      </c>
      <c r="AS93" s="2241"/>
      <c r="AT93" s="2087" t="str">
        <f>IF($B93&lt;&gt;"",
      IF($J93="Windows","N/A",
        IF($J93="AIX",
               IF($Y93="Oracle Standalone 11.2",Oracle_Standalone_fs($AS93),
               IF($Y93="Oracle HACMP 11.2 - Node 1", Oracle_HACMP_Node_1($AS93),
               IF($Y93="Oracle HACMP 11.2 - Node 2", Oracle_HACMP_Node_2($AS93),
               IF($Y93="Oracle-RAC","Oracle RAC requires special config
work with Open Systems",
               IF($Y93="db2_fs",DB2_FS($AS93),
               IF($Y93="","N/A","")))))))),"")</f>
        <v/>
      </c>
      <c r="AU93" s="2421"/>
      <c r="AV93" s="2421"/>
      <c r="AW93" s="2421"/>
      <c r="AX93" s="2238"/>
      <c r="AY93" s="2242"/>
      <c r="AZ93" s="2086" t="str">
        <f t="shared" ref="AZ93:AZ102" si="36">B93</f>
        <v/>
      </c>
      <c r="BA93" s="2568" t="str">
        <f t="shared" ref="BA93:BA102" si="37">IF($E93&lt;&gt;"",
IF(MID($E93,SEARCH("-",$E93),4)="-sma","Small",
IF(MID($E93,SEARCH("-",$E93),4)="-med","Medium",
IF(MID($E93,SEARCH("-",$E93),4)="-lar","Large",
IF(MID($E93,SEARCH("-",$E93),4)="-XLa","X-Large",
IF(MID($E93,SEARCH("-",$E93),4)="-XXL","XX-Large",
IF(MID($E93,SEARCH("-",$E93),4)="-XXX ","XXX-Large","")))))),"")</f>
        <v/>
      </c>
      <c r="BE93" s="522"/>
      <c r="BF93" s="522"/>
      <c r="BG93" s="522"/>
      <c r="BH93" s="522"/>
      <c r="BI93" s="522"/>
      <c r="BJ93" s="522"/>
      <c r="BK93" s="522"/>
    </row>
    <row r="94" spans="2:63">
      <c r="B94" s="2775" t="str">
        <f t="shared" si="23"/>
        <v/>
      </c>
      <c r="C94" s="549"/>
      <c r="D94" s="552"/>
      <c r="E94" s="2143"/>
      <c r="F94" s="2724"/>
      <c r="G94" s="2883"/>
      <c r="H94" s="2876"/>
      <c r="I94" s="2541"/>
      <c r="J94" s="2541" t="str">
        <f>IF(AND($B94&lt;&gt;"",$D94="New"),
IF(LEFT($F94,3)="POD",
     IF($G94="Standard",VLOOKUP($E94,Pod_standard_mod,4,FALSE),
          IF($G94="HA",VLOOKUP($E94,Pod_ha_mod,4,FALSE))),""),"")</f>
        <v/>
      </c>
      <c r="K94" s="2117" t="str">
        <f t="shared" si="20"/>
        <v/>
      </c>
      <c r="L94" s="2539" t="str">
        <f>IF($B94&lt;&gt;"",
    IF(AND(LEFT($F94,3)="POD",LEFT($G94,3)="Sta"),VLOOKUP($E94,Pod_standard_mod,7,FALSE),
    IF(AND(LEFT($F94,3)="POD",LEFT($G94,2)="HA"),VLOOKUP($E94,Pod_ha_mod,7,FALSE),"")),"")</f>
        <v/>
      </c>
      <c r="M94" s="531"/>
      <c r="N94" s="2536" t="str">
        <f>IF($B94&lt;&gt;"",
       IF(AND(LEFT($F94,3)="POD",LEFT($G94,3)="Sta"),VLOOKUP($E94,Pod_standard_mod,8,FALSE),
            IF(AND(LEFT($F94,3)="POD",LEFT($G94,2)="HA"),VLOOKUP($E94,Pod_ha_mod,8,FALSE),"")),"")</f>
        <v/>
      </c>
      <c r="O94" s="549"/>
      <c r="P94" s="2885" t="str">
        <f>IF($B94&lt;&gt;"",
IF(AND(LEFT($W94,7)="Windows", AND(LEFT($Y94,5)&lt;&gt;"MSSQL", LEFT($Y94,3)&lt;&gt;"EDH")),CONCATENATE("C:",CHAR(10),"D:",CHAR(10)),
     IF(AND(LEFT($W94,4)="RHEL", $K94="Physical"), CONCATENATE("OS:",CHAR(10),"Data:",CHAR(10)),
                   IF(AND(LEFT($Y94,5)="MSSQL",$L94&lt;&gt;"",$AS94&lt;&gt;""),SQL_FS($AS94,$L94),
                         IF(AND(LEFT($Y94,3)="EDH",$AS94&lt;&gt;""),PaaS_SQL_FS($AS94),
                           IF(AND(LEFT($Y94,5)="MSSQL",OR($L94="",$AS94="")),"Please enter CPUs and Initial DB Size (Column AS)",""))))),"")</f>
        <v/>
      </c>
      <c r="Q94" s="531"/>
      <c r="R94" s="549"/>
      <c r="S94" s="2151" t="str">
        <f t="shared" si="31"/>
        <v/>
      </c>
      <c r="T94" s="2890" t="str">
        <f t="shared" si="32"/>
        <v/>
      </c>
      <c r="U94" s="550" t="str">
        <f>IF(B94&lt;&gt;"",IF($D94="Existing","0",COUNTIF(IP!B:B,'Distributed Assets'!B94)),"")</f>
        <v/>
      </c>
      <c r="V94" s="551"/>
      <c r="W94" s="2152" t="str">
        <f t="shared" si="24"/>
        <v/>
      </c>
      <c r="X94" s="2534" t="str">
        <f t="shared" si="25"/>
        <v/>
      </c>
      <c r="Y94" s="2152"/>
      <c r="Z94" s="549"/>
      <c r="AA94" s="2997"/>
      <c r="AB94" s="2807" t="str">
        <f t="shared" si="29"/>
        <v/>
      </c>
      <c r="AC94" s="2134"/>
      <c r="AD94" s="553"/>
      <c r="AE94" s="554"/>
      <c r="AF94" s="2153"/>
      <c r="AG94" s="805"/>
      <c r="AH94" s="834" t="str">
        <f>IF($B94&lt;&gt;"",
IF(OR($G94="Standard", $G94="HA"),
IF($G94="Standard",VLOOKUP($E94,Pod_standard_mod,6,FALSE),
IF($G94="HA",VLOOKUP($E94,Pod_ha_mod,6,FALSE)))),"")</f>
        <v/>
      </c>
      <c r="AI94" s="2953" t="str">
        <f t="shared" si="33"/>
        <v/>
      </c>
      <c r="AJ94" s="834"/>
      <c r="AK94" s="2563"/>
      <c r="AL94" s="2958" t="str">
        <f t="shared" si="34"/>
        <v/>
      </c>
      <c r="AM94" s="2235"/>
      <c r="AN94" s="2236"/>
      <c r="AO94" s="2235"/>
      <c r="AP94" s="2237"/>
      <c r="AQ94" s="2240" t="str">
        <f t="shared" si="30"/>
        <v/>
      </c>
      <c r="AR94" s="2804" t="str">
        <f t="shared" si="35"/>
        <v/>
      </c>
      <c r="AS94" s="2241"/>
      <c r="AT94" s="2087" t="str">
        <f>IF($B94&lt;&gt;"",
      IF($J94="Windows","N/A",
        IF($J94="AIX",
               IF($Y94="Oracle Standalone 11.2",Oracle_Standalone_fs($AS94),
               IF($Y94="Oracle HACMP 11.2 - Node 1", Oracle_HACMP_Node_1($AS94),
               IF($Y94="Oracle HACMP 11.2 - Node 2", Oracle_HACMP_Node_2($AS94),
               IF($Y94="Oracle-RAC","Oracle RAC requires special config
work with Open Systems",
               IF($Y94="db2_fs",DB2_FS($AS94),
               IF($Y94="","N/A","")))))))),"")</f>
        <v/>
      </c>
      <c r="AU94" s="2421"/>
      <c r="AV94" s="2421"/>
      <c r="AW94" s="2421"/>
      <c r="AX94" s="2238"/>
      <c r="AY94" s="2242"/>
      <c r="AZ94" s="2086" t="str">
        <f t="shared" si="36"/>
        <v/>
      </c>
      <c r="BA94" s="2568" t="str">
        <f t="shared" si="37"/>
        <v/>
      </c>
      <c r="BE94" s="522"/>
      <c r="BF94" s="522"/>
      <c r="BG94" s="522"/>
      <c r="BH94" s="522"/>
      <c r="BI94" s="522"/>
      <c r="BJ94" s="522"/>
      <c r="BK94" s="522"/>
    </row>
    <row r="95" spans="2:63">
      <c r="B95" s="2775" t="str">
        <f t="shared" si="23"/>
        <v/>
      </c>
      <c r="C95" s="549"/>
      <c r="D95" s="552"/>
      <c r="E95" s="2143"/>
      <c r="F95" s="2724"/>
      <c r="G95" s="2883"/>
      <c r="H95" s="2876"/>
      <c r="I95" s="2541"/>
      <c r="J95" s="2541" t="str">
        <f>IF(AND($B95&lt;&gt;"",$D95="New"),
IF(LEFT($F95,3)="POD",
     IF($G95="Standard",VLOOKUP($E95,Pod_standard_mod,4,FALSE),
          IF($G95="HA",VLOOKUP($E95,Pod_ha_mod,4,FALSE))),""),"")</f>
        <v/>
      </c>
      <c r="K95" s="2117" t="str">
        <f t="shared" si="20"/>
        <v/>
      </c>
      <c r="L95" s="2539" t="str">
        <f>IF($B95&lt;&gt;"",
    IF(AND(LEFT($F95,3)="POD",LEFT($G95,3)="Sta"),VLOOKUP($E95,Pod_standard_mod,7,FALSE),
    IF(AND(LEFT($F95,3)="POD",LEFT($G95,2)="HA"),VLOOKUP($E95,Pod_ha_mod,7,FALSE),"")),"")</f>
        <v/>
      </c>
      <c r="M95" s="531"/>
      <c r="N95" s="2536" t="str">
        <f>IF($B95&lt;&gt;"",
       IF(AND(LEFT($F95,3)="POD",LEFT($G95,3)="Sta"),VLOOKUP($E95,Pod_standard_mod,8,FALSE),
            IF(AND(LEFT($F95,3)="POD",LEFT($G95,2)="HA"),VLOOKUP($E95,Pod_ha_mod,8,FALSE),"")),"")</f>
        <v/>
      </c>
      <c r="O95" s="549"/>
      <c r="P95" s="2885" t="str">
        <f>IF($B95&lt;&gt;"",
IF(AND(LEFT($W95,7)="Windows", AND(LEFT($Y95,5)&lt;&gt;"MSSQL", LEFT($Y95,3)&lt;&gt;"EDH")),CONCATENATE("C:",CHAR(10),"D:",CHAR(10)),
     IF(AND(LEFT($W95,4)="RHEL", $K95="Physical"), CONCATENATE("OS:",CHAR(10),"Data:",CHAR(10)),
                   IF(AND(LEFT($Y95,5)="MSSQL",$L95&lt;&gt;"",$AS95&lt;&gt;""),SQL_FS($AS95,$L95),
                         IF(AND(LEFT($Y95,3)="EDH",$AS95&lt;&gt;""),PaaS_SQL_FS($AS95),
                           IF(AND(LEFT($Y95,5)="MSSQL",OR($L95="",$AS95="")),"Please enter CPUs and Initial DB Size (Column AS)",""))))),"")</f>
        <v/>
      </c>
      <c r="Q95" s="531"/>
      <c r="R95" s="549"/>
      <c r="S95" s="2151" t="str">
        <f t="shared" si="31"/>
        <v/>
      </c>
      <c r="T95" s="2890" t="str">
        <f t="shared" si="32"/>
        <v/>
      </c>
      <c r="U95" s="550" t="str">
        <f>IF(B95&lt;&gt;"",IF($D95="Existing","0",COUNTIF(IP!B:B,'Distributed Assets'!B95)),"")</f>
        <v/>
      </c>
      <c r="V95" s="551"/>
      <c r="W95" s="2152" t="str">
        <f t="shared" si="24"/>
        <v/>
      </c>
      <c r="X95" s="2534" t="str">
        <f t="shared" si="25"/>
        <v/>
      </c>
      <c r="Y95" s="2152"/>
      <c r="Z95" s="549"/>
      <c r="AA95" s="2997"/>
      <c r="AB95" s="2807" t="str">
        <f t="shared" si="29"/>
        <v/>
      </c>
      <c r="AC95" s="2134"/>
      <c r="AD95" s="553"/>
      <c r="AE95" s="554"/>
      <c r="AF95" s="2153"/>
      <c r="AG95" s="805"/>
      <c r="AH95" s="834" t="str">
        <f>IF($B95&lt;&gt;"",
IF(OR($G95="Standard", $G95="HA"),
IF($G95="Standard",VLOOKUP($E95,Pod_standard_mod,6,FALSE),
IF($G95="HA",VLOOKUP($E95,Pod_ha_mod,6,FALSE)))),"")</f>
        <v/>
      </c>
      <c r="AI95" s="2953" t="str">
        <f t="shared" si="33"/>
        <v/>
      </c>
      <c r="AJ95" s="834"/>
      <c r="AK95" s="2563"/>
      <c r="AL95" s="2958" t="str">
        <f t="shared" si="34"/>
        <v/>
      </c>
      <c r="AM95" s="2235"/>
      <c r="AN95" s="2236"/>
      <c r="AO95" s="2235"/>
      <c r="AP95" s="2237"/>
      <c r="AQ95" s="2240" t="str">
        <f t="shared" si="30"/>
        <v/>
      </c>
      <c r="AR95" s="2804" t="str">
        <f t="shared" si="35"/>
        <v/>
      </c>
      <c r="AS95" s="2241"/>
      <c r="AT95" s="2087" t="str">
        <f>IF($B95&lt;&gt;"",
      IF($J95="Windows","N/A",
        IF($J95="AIX",
               IF($Y95="Oracle Standalone 11.2",Oracle_Standalone_fs($AS95),
               IF($Y95="Oracle HACMP 11.2 - Node 1", Oracle_HACMP_Node_1($AS95),
               IF($Y95="Oracle HACMP 11.2 - Node 2", Oracle_HACMP_Node_2($AS95),
               IF($Y95="Oracle-RAC","Oracle RAC requires special config
work with Open Systems",
               IF($Y95="db2_fs",DB2_FS($AS95),
               IF($Y95="","N/A","")))))))),"")</f>
        <v/>
      </c>
      <c r="AU95" s="2421"/>
      <c r="AV95" s="2421"/>
      <c r="AW95" s="2421"/>
      <c r="AX95" s="2238"/>
      <c r="AY95" s="2242"/>
      <c r="AZ95" s="2086" t="str">
        <f t="shared" si="36"/>
        <v/>
      </c>
      <c r="BA95" s="2568" t="str">
        <f t="shared" si="37"/>
        <v/>
      </c>
      <c r="BE95" s="522"/>
      <c r="BF95" s="522"/>
      <c r="BG95" s="522"/>
      <c r="BH95" s="522"/>
      <c r="BI95" s="522"/>
      <c r="BJ95" s="522"/>
      <c r="BK95" s="522"/>
    </row>
    <row r="96" spans="2:63">
      <c r="B96" s="2775" t="str">
        <f t="shared" si="23"/>
        <v/>
      </c>
      <c r="C96" s="549"/>
      <c r="D96" s="552"/>
      <c r="E96" s="2143"/>
      <c r="F96" s="2724"/>
      <c r="G96" s="2883"/>
      <c r="H96" s="2876"/>
      <c r="I96" s="2541"/>
      <c r="J96" s="2541" t="str">
        <f>IF(AND($B96&lt;&gt;"",$D96="New"),
IF(LEFT($F96,3)="POD",
     IF($G96="Standard",VLOOKUP($E96,Pod_standard_mod,4,FALSE),
          IF($G96="HA",VLOOKUP($E96,Pod_ha_mod,4,FALSE))),""),"")</f>
        <v/>
      </c>
      <c r="K96" s="2117" t="str">
        <f t="shared" si="20"/>
        <v/>
      </c>
      <c r="L96" s="2539" t="str">
        <f>IF($B96&lt;&gt;"",
    IF(AND(LEFT($F96,3)="POD",LEFT($G96,3)="Sta"),VLOOKUP($E96,Pod_standard_mod,7,FALSE),
    IF(AND(LEFT($F96,3)="POD",LEFT($G96,2)="HA"),VLOOKUP($E96,Pod_ha_mod,7,FALSE),"")),"")</f>
        <v/>
      </c>
      <c r="M96" s="531"/>
      <c r="N96" s="2536" t="str">
        <f>IF($B96&lt;&gt;"",
       IF(AND(LEFT($F96,3)="POD",LEFT($G96,3)="Sta"),VLOOKUP($E96,Pod_standard_mod,8,FALSE),
            IF(AND(LEFT($F96,3)="POD",LEFT($G96,2)="HA"),VLOOKUP($E96,Pod_ha_mod,8,FALSE),"")),"")</f>
        <v/>
      </c>
      <c r="O96" s="549"/>
      <c r="P96" s="2885" t="str">
        <f>IF($B96&lt;&gt;"",
IF(AND(LEFT($W96,7)="Windows", AND(LEFT($Y96,5)&lt;&gt;"MSSQL", LEFT($Y96,3)&lt;&gt;"EDH")),CONCATENATE("C:",CHAR(10),"D:",CHAR(10)),
     IF(AND(LEFT($W96,4)="RHEL", $K96="Physical"), CONCATENATE("OS:",CHAR(10),"Data:",CHAR(10)),
                   IF(AND(LEFT($Y96,5)="MSSQL",$L96&lt;&gt;"",$AS96&lt;&gt;""),SQL_FS($AS96,$L96),
                         IF(AND(LEFT($Y96,3)="EDH",$AS96&lt;&gt;""),PaaS_SQL_FS($AS96),
                           IF(AND(LEFT($Y96,5)="MSSQL",OR($L96="",$AS96="")),"Please enter CPUs and Initial DB Size (Column AS)",""))))),"")</f>
        <v/>
      </c>
      <c r="Q96" s="531"/>
      <c r="R96" s="549"/>
      <c r="S96" s="2151" t="str">
        <f t="shared" si="31"/>
        <v/>
      </c>
      <c r="T96" s="2890" t="str">
        <f t="shared" si="32"/>
        <v/>
      </c>
      <c r="U96" s="550" t="str">
        <f>IF(B96&lt;&gt;"",IF($D96="Existing","0",COUNTIF(IP!B:B,'Distributed Assets'!B96)),"")</f>
        <v/>
      </c>
      <c r="V96" s="551"/>
      <c r="W96" s="2152" t="str">
        <f t="shared" si="24"/>
        <v/>
      </c>
      <c r="X96" s="2534" t="str">
        <f t="shared" si="25"/>
        <v/>
      </c>
      <c r="Y96" s="2152"/>
      <c r="Z96" s="549"/>
      <c r="AA96" s="2997"/>
      <c r="AB96" s="2807" t="str">
        <f t="shared" si="29"/>
        <v/>
      </c>
      <c r="AC96" s="2134"/>
      <c r="AD96" s="553"/>
      <c r="AE96" s="554"/>
      <c r="AF96" s="2153"/>
      <c r="AG96" s="805"/>
      <c r="AH96" s="834" t="str">
        <f>IF($B96&lt;&gt;"",
IF(OR($G96="Standard", $G96="HA"),
IF($G96="Standard",VLOOKUP($E96,Pod_standard_mod,6,FALSE),
IF($G96="HA",VLOOKUP($E96,Pod_ha_mod,6,FALSE)))),"")</f>
        <v/>
      </c>
      <c r="AI96" s="2953" t="str">
        <f t="shared" si="33"/>
        <v/>
      </c>
      <c r="AJ96" s="834"/>
      <c r="AK96" s="2563"/>
      <c r="AL96" s="2958" t="str">
        <f t="shared" si="34"/>
        <v/>
      </c>
      <c r="AM96" s="2235"/>
      <c r="AN96" s="2236"/>
      <c r="AO96" s="2235"/>
      <c r="AP96" s="2237"/>
      <c r="AQ96" s="2240" t="str">
        <f t="shared" si="30"/>
        <v/>
      </c>
      <c r="AR96" s="2804" t="str">
        <f t="shared" si="35"/>
        <v/>
      </c>
      <c r="AS96" s="2241"/>
      <c r="AT96" s="2087" t="str">
        <f>IF($B96&lt;&gt;"",
      IF($J96="Windows","N/A",
        IF($J96="AIX",
               IF($Y96="Oracle Standalone 11.2",Oracle_Standalone_fs($AS96),
               IF($Y96="Oracle HACMP 11.2 - Node 1", Oracle_HACMP_Node_1($AS96),
               IF($Y96="Oracle HACMP 11.2 - Node 2", Oracle_HACMP_Node_2($AS96),
               IF($Y96="Oracle-RAC","Oracle RAC requires special config
work with Open Systems",
               IF($Y96="db2_fs",DB2_FS($AS96),
               IF($Y96="","N/A","")))))))),"")</f>
        <v/>
      </c>
      <c r="AU96" s="2421"/>
      <c r="AV96" s="2421"/>
      <c r="AW96" s="2421"/>
      <c r="AX96" s="2238"/>
      <c r="AY96" s="2242"/>
      <c r="AZ96" s="2086" t="str">
        <f t="shared" si="36"/>
        <v/>
      </c>
      <c r="BA96" s="2568" t="str">
        <f t="shared" si="37"/>
        <v/>
      </c>
      <c r="BE96" s="522"/>
      <c r="BF96" s="522"/>
      <c r="BG96" s="522"/>
      <c r="BH96" s="522"/>
      <c r="BI96" s="522"/>
      <c r="BJ96" s="522"/>
      <c r="BK96" s="522"/>
    </row>
    <row r="97" spans="2:63">
      <c r="B97" s="2775" t="str">
        <f t="shared" si="23"/>
        <v/>
      </c>
      <c r="C97" s="549"/>
      <c r="D97" s="552"/>
      <c r="E97" s="2143"/>
      <c r="F97" s="2724"/>
      <c r="G97" s="2883"/>
      <c r="H97" s="2876"/>
      <c r="I97" s="2541"/>
      <c r="J97" s="2541" t="str">
        <f>IF(AND($B97&lt;&gt;"",$D97="New"),
IF(LEFT($F97,3)="POD",
     IF($G97="Standard",VLOOKUP($E97,Pod_standard_mod,4,FALSE),
          IF($G97="HA",VLOOKUP($E97,Pod_ha_mod,4,FALSE))),""),"")</f>
        <v/>
      </c>
      <c r="K97" s="2117" t="str">
        <f t="shared" si="20"/>
        <v/>
      </c>
      <c r="L97" s="2539" t="str">
        <f>IF($B97&lt;&gt;"",
    IF(AND(LEFT($F97,3)="POD",LEFT($G97,3)="Sta"),VLOOKUP($E97,Pod_standard_mod,7,FALSE),
    IF(AND(LEFT($F97,3)="POD",LEFT($G97,2)="HA"),VLOOKUP($E97,Pod_ha_mod,7,FALSE),"")),"")</f>
        <v/>
      </c>
      <c r="M97" s="531"/>
      <c r="N97" s="2536" t="str">
        <f>IF($B97&lt;&gt;"",
       IF(AND(LEFT($F97,3)="POD",LEFT($G97,3)="Sta"),VLOOKUP($E97,Pod_standard_mod,8,FALSE),
            IF(AND(LEFT($F97,3)="POD",LEFT($G97,2)="HA"),VLOOKUP($E97,Pod_ha_mod,8,FALSE),"")),"")</f>
        <v/>
      </c>
      <c r="O97" s="549"/>
      <c r="P97" s="2885" t="str">
        <f>IF($B97&lt;&gt;"",
IF(AND(LEFT($W97,7)="Windows", AND(LEFT($Y97,5)&lt;&gt;"MSSQL", LEFT($Y97,3)&lt;&gt;"EDH")),CONCATENATE("C:",CHAR(10),"D:",CHAR(10)),
     IF(AND(LEFT($W97,4)="RHEL", $K97="Physical"), CONCATENATE("OS:",CHAR(10),"Data:",CHAR(10)),
                   IF(AND(LEFT($Y97,5)="MSSQL",$L97&lt;&gt;"",$AS97&lt;&gt;""),SQL_FS($AS97,$L97),
                         IF(AND(LEFT($Y97,3)="EDH",$AS97&lt;&gt;""),PaaS_SQL_FS($AS97),
                           IF(AND(LEFT($Y97,5)="MSSQL",OR($L97="",$AS97="")),"Please enter CPUs and Initial DB Size (Column AS)",""))))),"")</f>
        <v/>
      </c>
      <c r="Q97" s="531"/>
      <c r="R97" s="549"/>
      <c r="S97" s="2151" t="str">
        <f t="shared" si="31"/>
        <v/>
      </c>
      <c r="T97" s="2890" t="str">
        <f t="shared" si="32"/>
        <v/>
      </c>
      <c r="U97" s="550" t="str">
        <f>IF(B97&lt;&gt;"",IF($D97="Existing","0",COUNTIF(IP!B:B,'Distributed Assets'!B97)),"")</f>
        <v/>
      </c>
      <c r="V97" s="551"/>
      <c r="W97" s="2152" t="str">
        <f t="shared" si="24"/>
        <v/>
      </c>
      <c r="X97" s="2534" t="str">
        <f t="shared" si="25"/>
        <v/>
      </c>
      <c r="Y97" s="2152"/>
      <c r="Z97" s="549"/>
      <c r="AA97" s="2997"/>
      <c r="AB97" s="2807" t="str">
        <f t="shared" si="29"/>
        <v/>
      </c>
      <c r="AC97" s="2134"/>
      <c r="AD97" s="553"/>
      <c r="AE97" s="554"/>
      <c r="AF97" s="2153"/>
      <c r="AG97" s="805"/>
      <c r="AH97" s="834" t="str">
        <f>IF($B97&lt;&gt;"",
IF(OR($G97="Standard", $G97="HA"),
IF($G97="Standard",VLOOKUP($E97,Pod_standard_mod,6,FALSE),
IF($G97="HA",VLOOKUP($E97,Pod_ha_mod,6,FALSE)))),"")</f>
        <v/>
      </c>
      <c r="AI97" s="2953" t="str">
        <f t="shared" si="33"/>
        <v/>
      </c>
      <c r="AJ97" s="834"/>
      <c r="AK97" s="2563"/>
      <c r="AL97" s="2958" t="str">
        <f t="shared" si="34"/>
        <v/>
      </c>
      <c r="AM97" s="2235"/>
      <c r="AN97" s="2236"/>
      <c r="AO97" s="2235"/>
      <c r="AP97" s="2237"/>
      <c r="AQ97" s="2240" t="str">
        <f t="shared" si="30"/>
        <v/>
      </c>
      <c r="AR97" s="2804" t="str">
        <f t="shared" si="35"/>
        <v/>
      </c>
      <c r="AS97" s="2241"/>
      <c r="AT97" s="2087" t="str">
        <f>IF($B97&lt;&gt;"",
      IF($J97="Windows","N/A",
        IF($J97="AIX",
               IF($Y97="Oracle Standalone 11.2",Oracle_Standalone_fs($AS97),
               IF($Y97="Oracle HACMP 11.2 - Node 1", Oracle_HACMP_Node_1($AS97),
               IF($Y97="Oracle HACMP 11.2 - Node 2", Oracle_HACMP_Node_2($AS97),
               IF($Y97="Oracle-RAC","Oracle RAC requires special config
work with Open Systems",
               IF($Y97="db2_fs",DB2_FS($AS97),
               IF($Y97="","N/A","")))))))),"")</f>
        <v/>
      </c>
      <c r="AU97" s="2421"/>
      <c r="AV97" s="2421"/>
      <c r="AW97" s="2421"/>
      <c r="AX97" s="2238"/>
      <c r="AY97" s="2242"/>
      <c r="AZ97" s="2086" t="str">
        <f t="shared" si="36"/>
        <v/>
      </c>
      <c r="BA97" s="2568" t="str">
        <f t="shared" si="37"/>
        <v/>
      </c>
      <c r="BE97" s="522"/>
      <c r="BF97" s="522"/>
      <c r="BG97" s="522"/>
      <c r="BH97" s="522"/>
      <c r="BI97" s="522"/>
      <c r="BJ97" s="522"/>
      <c r="BK97" s="522"/>
    </row>
    <row r="98" spans="2:63">
      <c r="B98" s="2775" t="str">
        <f t="shared" si="23"/>
        <v/>
      </c>
      <c r="C98" s="549"/>
      <c r="D98" s="552"/>
      <c r="E98" s="2143"/>
      <c r="F98" s="2724"/>
      <c r="G98" s="2883"/>
      <c r="H98" s="2876"/>
      <c r="I98" s="2541"/>
      <c r="J98" s="2541" t="str">
        <f>IF(AND($B98&lt;&gt;"",$D98="New"),
IF(LEFT($F98,3)="POD",
     IF($G98="Standard",VLOOKUP($E98,Pod_standard_mod,4,FALSE),
          IF($G98="HA",VLOOKUP($E98,Pod_ha_mod,4,FALSE))),""),"")</f>
        <v/>
      </c>
      <c r="K98" s="2117" t="str">
        <f t="shared" si="20"/>
        <v/>
      </c>
      <c r="L98" s="2539" t="str">
        <f>IF($B98&lt;&gt;"",
    IF(AND(LEFT($F98,3)="POD",LEFT($G98,3)="Sta"),VLOOKUP($E98,Pod_standard_mod,7,FALSE),
    IF(AND(LEFT($F98,3)="POD",LEFT($G98,2)="HA"),VLOOKUP($E98,Pod_ha_mod,7,FALSE),"")),"")</f>
        <v/>
      </c>
      <c r="M98" s="531"/>
      <c r="N98" s="2536" t="str">
        <f>IF($B98&lt;&gt;"",
       IF(AND(LEFT($F98,3)="POD",LEFT($G98,3)="Sta"),VLOOKUP($E98,Pod_standard_mod,8,FALSE),
            IF(AND(LEFT($F98,3)="POD",LEFT($G98,2)="HA"),VLOOKUP($E98,Pod_ha_mod,8,FALSE),"")),"")</f>
        <v/>
      </c>
      <c r="O98" s="549"/>
      <c r="P98" s="2885" t="str">
        <f>IF($B98&lt;&gt;"",
IF(AND(LEFT($W98,7)="Windows", AND(LEFT($Y98,5)&lt;&gt;"MSSQL", LEFT($Y98,3)&lt;&gt;"EDH")),CONCATENATE("C:",CHAR(10),"D:",CHAR(10)),
     IF(AND(LEFT($W98,4)="RHEL", $K98="Physical"), CONCATENATE("OS:",CHAR(10),"Data:",CHAR(10)),
                   IF(AND(LEFT($Y98,5)="MSSQL",$L98&lt;&gt;"",$AS98&lt;&gt;""),SQL_FS($AS98,$L98),
                         IF(AND(LEFT($Y98,3)="EDH",$AS98&lt;&gt;""),PaaS_SQL_FS($AS98),
                           IF(AND(LEFT($Y98,5)="MSSQL",OR($L98="",$AS98="")),"Please enter CPUs and Initial DB Size (Column AS)",""))))),"")</f>
        <v/>
      </c>
      <c r="Q98" s="531"/>
      <c r="R98" s="549"/>
      <c r="S98" s="2151" t="str">
        <f t="shared" si="31"/>
        <v/>
      </c>
      <c r="T98" s="2890" t="str">
        <f t="shared" si="32"/>
        <v/>
      </c>
      <c r="U98" s="550" t="str">
        <f>IF(B98&lt;&gt;"",IF($D98="Existing","0",COUNTIF(IP!B:B,'Distributed Assets'!B98)),"")</f>
        <v/>
      </c>
      <c r="V98" s="551"/>
      <c r="W98" s="2152" t="str">
        <f t="shared" si="24"/>
        <v/>
      </c>
      <c r="X98" s="2534" t="str">
        <f t="shared" si="25"/>
        <v/>
      </c>
      <c r="Y98" s="2152"/>
      <c r="Z98" s="549"/>
      <c r="AA98" s="2997"/>
      <c r="AB98" s="2807" t="str">
        <f t="shared" si="29"/>
        <v/>
      </c>
      <c r="AC98" s="2134"/>
      <c r="AD98" s="553"/>
      <c r="AE98" s="554"/>
      <c r="AF98" s="2153"/>
      <c r="AG98" s="805"/>
      <c r="AH98" s="834" t="str">
        <f>IF($B98&lt;&gt;"",
IF(OR($G98="Standard", $G98="HA"),
IF($G98="Standard",VLOOKUP($E98,Pod_standard_mod,6,FALSE),
IF($G98="HA",VLOOKUP($E98,Pod_ha_mod,6,FALSE)))),"")</f>
        <v/>
      </c>
      <c r="AI98" s="2953" t="str">
        <f t="shared" si="33"/>
        <v/>
      </c>
      <c r="AJ98" s="834"/>
      <c r="AK98" s="2563"/>
      <c r="AL98" s="2958" t="str">
        <f t="shared" si="34"/>
        <v/>
      </c>
      <c r="AM98" s="2235"/>
      <c r="AN98" s="2236"/>
      <c r="AO98" s="2235"/>
      <c r="AP98" s="2237"/>
      <c r="AQ98" s="2240" t="str">
        <f t="shared" si="30"/>
        <v/>
      </c>
      <c r="AR98" s="2804" t="str">
        <f t="shared" si="35"/>
        <v/>
      </c>
      <c r="AS98" s="2241"/>
      <c r="AT98" s="2087" t="str">
        <f>IF($B98&lt;&gt;"",
      IF($J98="Windows","N/A",
        IF($J98="AIX",
               IF($Y98="Oracle Standalone 11.2",Oracle_Standalone_fs($AS98),
               IF($Y98="Oracle HACMP 11.2 - Node 1", Oracle_HACMP_Node_1($AS98),
               IF($Y98="Oracle HACMP 11.2 - Node 2", Oracle_HACMP_Node_2($AS98),
               IF($Y98="Oracle-RAC","Oracle RAC requires special config
work with Open Systems",
               IF($Y98="db2_fs",DB2_FS($AS98),
               IF($Y98="","N/A","")))))))),"")</f>
        <v/>
      </c>
      <c r="AU98" s="2421"/>
      <c r="AV98" s="2421"/>
      <c r="AW98" s="2421"/>
      <c r="AX98" s="2238"/>
      <c r="AY98" s="2242"/>
      <c r="AZ98" s="2086" t="str">
        <f t="shared" si="36"/>
        <v/>
      </c>
      <c r="BA98" s="2568" t="str">
        <f t="shared" si="37"/>
        <v/>
      </c>
      <c r="BE98" s="522"/>
      <c r="BF98" s="522"/>
      <c r="BG98" s="522"/>
      <c r="BH98" s="522"/>
      <c r="BI98" s="522"/>
      <c r="BJ98" s="522"/>
      <c r="BK98" s="522"/>
    </row>
    <row r="99" spans="2:63">
      <c r="B99" s="2775" t="str">
        <f t="shared" si="23"/>
        <v/>
      </c>
      <c r="C99" s="549"/>
      <c r="D99" s="552"/>
      <c r="E99" s="2143"/>
      <c r="F99" s="2724"/>
      <c r="G99" s="2883"/>
      <c r="H99" s="2876"/>
      <c r="I99" s="2541"/>
      <c r="J99" s="2541" t="str">
        <f>IF(AND($B99&lt;&gt;"",$D99="New"),
IF(LEFT($F99,3)="POD",
     IF($G99="Standard",VLOOKUP($E99,Pod_standard_mod,4,FALSE),
          IF($G99="HA",VLOOKUP($E99,Pod_ha_mod,4,FALSE))),""),"")</f>
        <v/>
      </c>
      <c r="K99" s="2117" t="str">
        <f t="shared" si="20"/>
        <v/>
      </c>
      <c r="L99" s="2539" t="str">
        <f>IF($B99&lt;&gt;"",
    IF(AND(LEFT($F99,3)="POD",LEFT($G99,3)="Sta"),VLOOKUP($E99,Pod_standard_mod,7,FALSE),
    IF(AND(LEFT($F99,3)="POD",LEFT($G99,2)="HA"),VLOOKUP($E99,Pod_ha_mod,7,FALSE),"")),"")</f>
        <v/>
      </c>
      <c r="M99" s="531"/>
      <c r="N99" s="2536" t="str">
        <f>IF($B99&lt;&gt;"",
       IF(AND(LEFT($F99,3)="POD",LEFT($G99,3)="Sta"),VLOOKUP($E99,Pod_standard_mod,8,FALSE),
            IF(AND(LEFT($F99,3)="POD",LEFT($G99,2)="HA"),VLOOKUP($E99,Pod_ha_mod,8,FALSE),"")),"")</f>
        <v/>
      </c>
      <c r="O99" s="549"/>
      <c r="P99" s="2885" t="str">
        <f>IF($B99&lt;&gt;"",
IF(AND(LEFT($W99,7)="Windows", AND(LEFT($Y99,5)&lt;&gt;"MSSQL", LEFT($Y99,3)&lt;&gt;"EDH")),CONCATENATE("C:",CHAR(10),"D:",CHAR(10)),
     IF(AND(LEFT($W99,4)="RHEL", $K99="Physical"), CONCATENATE("OS:",CHAR(10),"Data:",CHAR(10)),
                   IF(AND(LEFT($Y99,5)="MSSQL",$L99&lt;&gt;"",$AS99&lt;&gt;""),SQL_FS($AS99,$L99),
                         IF(AND(LEFT($Y99,3)="EDH",$AS99&lt;&gt;""),PaaS_SQL_FS($AS99),
                           IF(AND(LEFT($Y99,5)="MSSQL",OR($L99="",$AS99="")),"Please enter CPUs and Initial DB Size (Column AS)",""))))),"")</f>
        <v/>
      </c>
      <c r="Q99" s="531"/>
      <c r="R99" s="549"/>
      <c r="S99" s="2151" t="str">
        <f t="shared" si="31"/>
        <v/>
      </c>
      <c r="T99" s="2890" t="str">
        <f t="shared" si="32"/>
        <v/>
      </c>
      <c r="U99" s="550" t="str">
        <f>IF(B99&lt;&gt;"",IF($D99="Existing","0",COUNTIF(IP!B:B,'Distributed Assets'!B99)),"")</f>
        <v/>
      </c>
      <c r="V99" s="551"/>
      <c r="W99" s="2152" t="str">
        <f t="shared" si="24"/>
        <v/>
      </c>
      <c r="X99" s="2534" t="str">
        <f t="shared" si="25"/>
        <v/>
      </c>
      <c r="Y99" s="2152"/>
      <c r="Z99" s="549"/>
      <c r="AA99" s="2997"/>
      <c r="AB99" s="2807" t="str">
        <f t="shared" si="29"/>
        <v/>
      </c>
      <c r="AC99" s="2134"/>
      <c r="AD99" s="553"/>
      <c r="AE99" s="554"/>
      <c r="AF99" s="2153"/>
      <c r="AG99" s="805"/>
      <c r="AH99" s="834" t="str">
        <f>IF($B99&lt;&gt;"",
IF(OR($G99="Standard", $G99="HA"),
IF($G99="Standard",VLOOKUP($E99,Pod_standard_mod,6,FALSE),
IF($G99="HA",VLOOKUP($E99,Pod_ha_mod,6,FALSE)))),"")</f>
        <v/>
      </c>
      <c r="AI99" s="2953" t="str">
        <f t="shared" si="33"/>
        <v/>
      </c>
      <c r="AJ99" s="834"/>
      <c r="AK99" s="2563"/>
      <c r="AL99" s="2958" t="str">
        <f t="shared" si="34"/>
        <v/>
      </c>
      <c r="AM99" s="2235"/>
      <c r="AN99" s="2236"/>
      <c r="AO99" s="2235"/>
      <c r="AP99" s="2237"/>
      <c r="AQ99" s="2240" t="str">
        <f t="shared" si="30"/>
        <v/>
      </c>
      <c r="AR99" s="2804" t="str">
        <f t="shared" si="35"/>
        <v/>
      </c>
      <c r="AS99" s="2241"/>
      <c r="AT99" s="2087" t="str">
        <f>IF($B99&lt;&gt;"",
      IF($J99="Windows","N/A",
        IF($J99="AIX",
               IF($Y99="Oracle Standalone 11.2",Oracle_Standalone_fs($AS99),
               IF($Y99="Oracle HACMP 11.2 - Node 1", Oracle_HACMP_Node_1($AS99),
               IF($Y99="Oracle HACMP 11.2 - Node 2", Oracle_HACMP_Node_2($AS99),
               IF($Y99="Oracle-RAC","Oracle RAC requires special config
work with Open Systems",
               IF($Y99="db2_fs",DB2_FS($AS99),
               IF($Y99="","N/A","")))))))),"")</f>
        <v/>
      </c>
      <c r="AU99" s="2421"/>
      <c r="AV99" s="2421"/>
      <c r="AW99" s="2421"/>
      <c r="AX99" s="2238"/>
      <c r="AY99" s="2242"/>
      <c r="AZ99" s="2086" t="str">
        <f t="shared" si="36"/>
        <v/>
      </c>
      <c r="BA99" s="2568" t="str">
        <f t="shared" si="37"/>
        <v/>
      </c>
      <c r="BE99" s="522"/>
      <c r="BF99" s="522"/>
      <c r="BG99" s="522"/>
      <c r="BH99" s="522"/>
      <c r="BI99" s="522"/>
      <c r="BJ99" s="522"/>
      <c r="BK99" s="522"/>
    </row>
    <row r="100" spans="2:63">
      <c r="B100" s="2775" t="str">
        <f t="shared" si="23"/>
        <v/>
      </c>
      <c r="C100" s="549"/>
      <c r="D100" s="552"/>
      <c r="E100" s="2143"/>
      <c r="F100" s="2724"/>
      <c r="G100" s="2883"/>
      <c r="H100" s="2876"/>
      <c r="I100" s="2541"/>
      <c r="J100" s="2541" t="str">
        <f>IF(AND($B100&lt;&gt;"",$D100="New"),
IF(LEFT($F100,3)="POD",
     IF($G100="Standard",VLOOKUP($E100,Pod_standard_mod,4,FALSE),
          IF($G100="HA",VLOOKUP($E100,Pod_ha_mod,4,FALSE))),""),"")</f>
        <v/>
      </c>
      <c r="K100" s="2117" t="str">
        <f t="shared" si="20"/>
        <v/>
      </c>
      <c r="L100" s="2539" t="str">
        <f>IF($B100&lt;&gt;"",
    IF(AND(LEFT($F100,3)="POD",LEFT($G100,3)="Sta"),VLOOKUP($E100,Pod_standard_mod,7,FALSE),
    IF(AND(LEFT($F100,3)="POD",LEFT($G100,2)="HA"),VLOOKUP($E100,Pod_ha_mod,7,FALSE),"")),"")</f>
        <v/>
      </c>
      <c r="M100" s="531"/>
      <c r="N100" s="2536" t="str">
        <f>IF($B100&lt;&gt;"",
       IF(AND(LEFT($F100,3)="POD",LEFT($G100,3)="Sta"),VLOOKUP($E100,Pod_standard_mod,8,FALSE),
            IF(AND(LEFT($F100,3)="POD",LEFT($G100,2)="HA"),VLOOKUP($E100,Pod_ha_mod,8,FALSE),"")),"")</f>
        <v/>
      </c>
      <c r="O100" s="549"/>
      <c r="P100" s="2885" t="str">
        <f>IF($B100&lt;&gt;"",
IF(AND(LEFT($W100,7)="Windows", AND(LEFT($Y100,5)&lt;&gt;"MSSQL", LEFT($Y100,3)&lt;&gt;"EDH")),CONCATENATE("C:",CHAR(10),"D:",CHAR(10)),
     IF(AND(LEFT($W100,4)="RHEL", $K100="Physical"), CONCATENATE("OS:",CHAR(10),"Data:",CHAR(10)),
                   IF(AND(LEFT($Y100,5)="MSSQL",$L100&lt;&gt;"",$AS100&lt;&gt;""),SQL_FS($AS100,$L100),
                         IF(AND(LEFT($Y100,3)="EDH",$AS100&lt;&gt;""),PaaS_SQL_FS($AS100),
                           IF(AND(LEFT($Y100,5)="MSSQL",OR($L100="",$AS100="")),"Please enter CPUs and Initial DB Size (Column AS)",""))))),"")</f>
        <v/>
      </c>
      <c r="Q100" s="531"/>
      <c r="R100" s="549"/>
      <c r="S100" s="2151" t="str">
        <f t="shared" si="31"/>
        <v/>
      </c>
      <c r="T100" s="2890" t="str">
        <f t="shared" si="32"/>
        <v/>
      </c>
      <c r="U100" s="550" t="str">
        <f>IF(B100&lt;&gt;"",IF($D100="Existing","0",COUNTIF(IP!B:B,'Distributed Assets'!B100)),"")</f>
        <v/>
      </c>
      <c r="V100" s="551"/>
      <c r="W100" s="2152" t="str">
        <f t="shared" si="24"/>
        <v/>
      </c>
      <c r="X100" s="2534" t="str">
        <f t="shared" si="25"/>
        <v/>
      </c>
      <c r="Y100" s="2152"/>
      <c r="Z100" s="549"/>
      <c r="AA100" s="2997"/>
      <c r="AB100" s="2807" t="str">
        <f t="shared" si="29"/>
        <v/>
      </c>
      <c r="AC100" s="2134"/>
      <c r="AD100" s="553"/>
      <c r="AE100" s="554"/>
      <c r="AF100" s="2153"/>
      <c r="AG100" s="805"/>
      <c r="AH100" s="834" t="str">
        <f>IF($B100&lt;&gt;"",
IF(OR($G100="Standard", $G100="HA"),
IF($G100="Standard",VLOOKUP($E100,Pod_standard_mod,6,FALSE),
IF($G100="HA",VLOOKUP($E100,Pod_ha_mod,6,FALSE)))),"")</f>
        <v/>
      </c>
      <c r="AI100" s="2953" t="str">
        <f t="shared" si="33"/>
        <v/>
      </c>
      <c r="AJ100" s="834"/>
      <c r="AK100" s="2563"/>
      <c r="AL100" s="2958" t="str">
        <f t="shared" si="34"/>
        <v/>
      </c>
      <c r="AM100" s="2235"/>
      <c r="AN100" s="2236"/>
      <c r="AO100" s="2235"/>
      <c r="AP100" s="2237"/>
      <c r="AQ100" s="2240" t="str">
        <f t="shared" si="30"/>
        <v/>
      </c>
      <c r="AR100" s="2804" t="str">
        <f t="shared" si="35"/>
        <v/>
      </c>
      <c r="AS100" s="2241"/>
      <c r="AT100" s="2087" t="str">
        <f>IF($B100&lt;&gt;"",
      IF($J100="Windows","N/A",
        IF($J100="AIX",
               IF($Y100="Oracle Standalone 11.2",Oracle_Standalone_fs($AS100),
               IF($Y100="Oracle HACMP 11.2 - Node 1", Oracle_HACMP_Node_1($AS100),
               IF($Y100="Oracle HACMP 11.2 - Node 2", Oracle_HACMP_Node_2($AS100),
               IF($Y100="Oracle-RAC","Oracle RAC requires special config
work with Open Systems",
               IF($Y100="db2_fs",DB2_FS($AS100),
               IF($Y100="","N/A","")))))))),"")</f>
        <v/>
      </c>
      <c r="AU100" s="2421"/>
      <c r="AV100" s="2421"/>
      <c r="AW100" s="2421"/>
      <c r="AX100" s="2238"/>
      <c r="AY100" s="2242"/>
      <c r="AZ100" s="2086" t="str">
        <f t="shared" si="36"/>
        <v/>
      </c>
      <c r="BA100" s="2568" t="str">
        <f t="shared" si="37"/>
        <v/>
      </c>
      <c r="BE100" s="522"/>
      <c r="BF100" s="522"/>
      <c r="BG100" s="522"/>
      <c r="BH100" s="522"/>
      <c r="BI100" s="522"/>
      <c r="BJ100" s="522"/>
      <c r="BK100" s="522"/>
    </row>
    <row r="101" spans="2:63">
      <c r="B101" s="2775" t="str">
        <f t="shared" si="23"/>
        <v/>
      </c>
      <c r="C101" s="549"/>
      <c r="D101" s="552"/>
      <c r="E101" s="2143"/>
      <c r="F101" s="2724"/>
      <c r="G101" s="2883"/>
      <c r="H101" s="2876"/>
      <c r="I101" s="2541"/>
      <c r="J101" s="2541" t="str">
        <f>IF(AND($B101&lt;&gt;"",$D101="New"),
IF(LEFT($F101,3)="POD",
     IF($G101="Standard",VLOOKUP($E101,Pod_standard_mod,4,FALSE),
          IF($G101="HA",VLOOKUP($E101,Pod_ha_mod,4,FALSE))),""),"")</f>
        <v/>
      </c>
      <c r="K101" s="2117" t="str">
        <f t="shared" si="20"/>
        <v/>
      </c>
      <c r="L101" s="2539" t="str">
        <f>IF($B101&lt;&gt;"",
    IF(AND(LEFT($F101,3)="POD",LEFT($G101,3)="Sta"),VLOOKUP($E101,Pod_standard_mod,7,FALSE),
    IF(AND(LEFT($F101,3)="POD",LEFT($G101,2)="HA"),VLOOKUP($E101,Pod_ha_mod,7,FALSE),"")),"")</f>
        <v/>
      </c>
      <c r="M101" s="531"/>
      <c r="N101" s="2536" t="str">
        <f>IF($B101&lt;&gt;"",
       IF(AND(LEFT($F101,3)="POD",LEFT($G101,3)="Sta"),VLOOKUP($E101,Pod_standard_mod,8,FALSE),
            IF(AND(LEFT($F101,3)="POD",LEFT($G101,2)="HA"),VLOOKUP($E101,Pod_ha_mod,8,FALSE),"")),"")</f>
        <v/>
      </c>
      <c r="O101" s="549"/>
      <c r="P101" s="2885" t="str">
        <f>IF($B101&lt;&gt;"",
IF(AND(LEFT($W101,7)="Windows", AND(LEFT($Y101,5)&lt;&gt;"MSSQL", LEFT($Y101,3)&lt;&gt;"EDH")),CONCATENATE("C:",CHAR(10),"D:",CHAR(10)),
     IF(AND(LEFT($W101,4)="RHEL", $K101="Physical"), CONCATENATE("OS:",CHAR(10),"Data:",CHAR(10)),
                   IF(AND(LEFT($Y101,5)="MSSQL",$L101&lt;&gt;"",$AS101&lt;&gt;""),SQL_FS($AS101,$L101),
                         IF(AND(LEFT($Y101,3)="EDH",$AS101&lt;&gt;""),PaaS_SQL_FS($AS101),
                           IF(AND(LEFT($Y101,5)="MSSQL",OR($L101="",$AS101="")),"Please enter CPUs and Initial DB Size (Column AS)",""))))),"")</f>
        <v/>
      </c>
      <c r="Q101" s="531"/>
      <c r="R101" s="549"/>
      <c r="S101" s="2151" t="str">
        <f t="shared" si="31"/>
        <v/>
      </c>
      <c r="T101" s="2890" t="str">
        <f t="shared" si="32"/>
        <v/>
      </c>
      <c r="U101" s="550" t="str">
        <f>IF(B101&lt;&gt;"",IF($D101="Existing","0",COUNTIF(IP!B:B,'Distributed Assets'!B101)),"")</f>
        <v/>
      </c>
      <c r="V101" s="551"/>
      <c r="W101" s="2152" t="str">
        <f t="shared" si="24"/>
        <v/>
      </c>
      <c r="X101" s="2534" t="str">
        <f t="shared" si="25"/>
        <v/>
      </c>
      <c r="Y101" s="2152"/>
      <c r="Z101" s="549"/>
      <c r="AA101" s="2997"/>
      <c r="AB101" s="2807" t="str">
        <f t="shared" si="29"/>
        <v/>
      </c>
      <c r="AC101" s="2134"/>
      <c r="AD101" s="553"/>
      <c r="AE101" s="554"/>
      <c r="AF101" s="2153"/>
      <c r="AG101" s="805"/>
      <c r="AH101" s="834" t="str">
        <f>IF($B101&lt;&gt;"",
IF(OR($G101="Standard", $G101="HA"),
IF($G101="Standard",VLOOKUP($E101,Pod_standard_mod,6,FALSE),
IF($G101="HA",VLOOKUP($E101,Pod_ha_mod,6,FALSE)))),"")</f>
        <v/>
      </c>
      <c r="AI101" s="2953" t="str">
        <f t="shared" si="33"/>
        <v/>
      </c>
      <c r="AJ101" s="834"/>
      <c r="AK101" s="2563"/>
      <c r="AL101" s="2958" t="str">
        <f t="shared" si="34"/>
        <v/>
      </c>
      <c r="AM101" s="2235"/>
      <c r="AN101" s="2236"/>
      <c r="AO101" s="2235"/>
      <c r="AP101" s="2237"/>
      <c r="AQ101" s="2240" t="str">
        <f t="shared" si="30"/>
        <v/>
      </c>
      <c r="AR101" s="2804" t="str">
        <f t="shared" si="35"/>
        <v/>
      </c>
      <c r="AS101" s="2241"/>
      <c r="AT101" s="2087" t="str">
        <f>IF($B101&lt;&gt;"",
      IF($J101="Windows","N/A",
        IF($J101="AIX",
               IF($Y101="Oracle Standalone 11.2",Oracle_Standalone_fs($AS101),
               IF($Y101="Oracle HACMP 11.2 - Node 1", Oracle_HACMP_Node_1($AS101),
               IF($Y101="Oracle HACMP 11.2 - Node 2", Oracle_HACMP_Node_2($AS101),
               IF($Y101="Oracle-RAC","Oracle RAC requires special config
work with Open Systems",
               IF($Y101="db2_fs",DB2_FS($AS101),
               IF($Y101="","N/A","")))))))),"")</f>
        <v/>
      </c>
      <c r="AU101" s="2421"/>
      <c r="AV101" s="2421"/>
      <c r="AW101" s="2421"/>
      <c r="AX101" s="2238"/>
      <c r="AY101" s="2242"/>
      <c r="AZ101" s="2086" t="str">
        <f t="shared" si="36"/>
        <v/>
      </c>
      <c r="BA101" s="2568" t="str">
        <f t="shared" si="37"/>
        <v/>
      </c>
      <c r="BE101" s="522"/>
      <c r="BF101" s="522"/>
      <c r="BG101" s="522"/>
      <c r="BH101" s="522"/>
      <c r="BI101" s="522"/>
      <c r="BJ101" s="522"/>
      <c r="BK101" s="522"/>
    </row>
    <row r="102" spans="2:63" ht="13.5" thickBot="1">
      <c r="B102" s="1499" t="str">
        <f t="shared" si="23"/>
        <v/>
      </c>
      <c r="C102" s="555"/>
      <c r="D102" s="2145"/>
      <c r="E102" s="2144"/>
      <c r="F102" s="2888"/>
      <c r="G102" s="2884"/>
      <c r="H102" s="2877"/>
      <c r="I102" s="3004"/>
      <c r="J102" s="2144" t="str">
        <f>IF(AND($B102&lt;&gt;"",$D102="New"),
IF(LEFT($F102,3)="POD",
     IF($G102="Standard",VLOOKUP($E102,Pod_standard_mod,4,FALSE),
          IF($G102="HA",VLOOKUP($E102,Pod_ha_mod,4,FALSE))),""),"")</f>
        <v/>
      </c>
      <c r="K102" s="2542" t="str">
        <f t="shared" si="20"/>
        <v/>
      </c>
      <c r="L102" s="2537" t="str">
        <f>IF($B102&lt;&gt;"",
    IF(AND(LEFT($F102,3)="POD",LEFT($G102,3)="Sta"),VLOOKUP($E102,Pod_standard_mod,7,FALSE),
    IF(AND(LEFT($F102,3)="POD",LEFT($G102,2)="HA"),VLOOKUP($E102,Pod_ha_mod,7,FALSE),"")),"")</f>
        <v/>
      </c>
      <c r="M102" s="534"/>
      <c r="N102" s="2537" t="str">
        <f>IF($B102&lt;&gt;"",
       IF(AND(LEFT($F102,3)="POD",LEFT($G102,3)="Sta"),VLOOKUP($E102,Pod_standard_mod,8,FALSE),
            IF(AND(LEFT($F102,3)="POD",LEFT($G102,2)="HA"),VLOOKUP($E102,Pod_ha_mod,8,FALSE),"")),"")</f>
        <v/>
      </c>
      <c r="O102" s="555"/>
      <c r="P102" s="2886" t="str">
        <f>IF($B102&lt;&gt;"",
IF(AND(LEFT($W102,7)="Windows", AND(LEFT($Y102,5)&lt;&gt;"MSSQL", LEFT($Y102,3)&lt;&gt;"EDH")),CONCATENATE("C:",CHAR(10),"D:",CHAR(10)),
     IF(AND(LEFT($W102,4)="RHEL", $K102="Physical"), CONCATENATE("OS:",CHAR(10),"Data:",CHAR(10)),
                   IF(AND(LEFT($Y102,5)="MSSQL",$L102&lt;&gt;"",$AS102&lt;&gt;""),SQL_FS($AS102,$L102),
                         IF(AND(LEFT($Y102,3)="EDH",$AS102&lt;&gt;""),PaaS_SQL_FS($AS102),
                           IF(AND(LEFT($Y102,5)="MSSQL",OR($L102="",$AS102="")),"Please enter CPUs and Initial DB Size (Column AS)",""))))),"")</f>
        <v/>
      </c>
      <c r="Q102" s="534"/>
      <c r="R102" s="555"/>
      <c r="S102" s="2887" t="str">
        <f t="shared" si="31"/>
        <v/>
      </c>
      <c r="T102" s="2962" t="str">
        <f t="shared" si="32"/>
        <v/>
      </c>
      <c r="U102" s="556" t="str">
        <f>IF(B102&lt;&gt;"",IF($D102="Existing","0",COUNTIF(IP!B:B,'Distributed Assets'!B102)),"")</f>
        <v/>
      </c>
      <c r="V102" s="557"/>
      <c r="W102" s="2264" t="str">
        <f t="shared" si="24"/>
        <v/>
      </c>
      <c r="X102" s="2535" t="str">
        <f t="shared" si="25"/>
        <v/>
      </c>
      <c r="Y102" s="2264"/>
      <c r="Z102" s="555"/>
      <c r="AA102" s="2998"/>
      <c r="AB102" s="2808" t="str">
        <f t="shared" si="29"/>
        <v/>
      </c>
      <c r="AC102" s="2146"/>
      <c r="AD102" s="2147"/>
      <c r="AE102" s="558"/>
      <c r="AF102" s="2153"/>
      <c r="AG102" s="822"/>
      <c r="AH102" s="822" t="str">
        <f>IF($B102&lt;&gt;"",
IF(OR($G102="Standard", $G102="HA"),
IF($G102="Standard",VLOOKUP($E102,Pod_standard_mod,6,FALSE),
IF($G102="HA",VLOOKUP($E102,Pod_ha_mod,6,FALSE)))),"")</f>
        <v/>
      </c>
      <c r="AI102" s="2957" t="str">
        <f t="shared" si="33"/>
        <v/>
      </c>
      <c r="AJ102" s="2148"/>
      <c r="AK102" s="2564"/>
      <c r="AL102" s="2959" t="str">
        <f t="shared" si="34"/>
        <v/>
      </c>
      <c r="AM102" s="2244"/>
      <c r="AN102" s="2243"/>
      <c r="AO102" s="2244"/>
      <c r="AP102" s="2245"/>
      <c r="AQ102" s="2245" t="str">
        <f t="shared" si="30"/>
        <v/>
      </c>
      <c r="AR102" s="555" t="str">
        <f t="shared" si="35"/>
        <v/>
      </c>
      <c r="AS102" s="2246"/>
      <c r="AT102" s="2088" t="str">
        <f>IF($B102&lt;&gt;"",
      IF($J102="Windows","N/A",
        IF($J102="AIX",
               IF($Y102="Oracle Standalone 11.2",Oracle_Standalone_fs($AS102),
               IF($Y102="Oracle HACMP 11.2 - Node 1", Oracle_HACMP_Node_1($AS102),
               IF($Y102="Oracle HACMP 11.2 - Node 2", Oracle_HACMP_Node_2($AS102),
               IF($Y102="Oracle-RAC","Oracle RAC requires special config
work with Open Systems",
               IF($Y102="db2_fs",DB2_FS($AS102),
               IF($Y102="","N/A","")))))))),"")</f>
        <v/>
      </c>
      <c r="AU102" s="2422"/>
      <c r="AV102" s="2422"/>
      <c r="AW102" s="2422"/>
      <c r="AX102" s="2247"/>
      <c r="AY102" s="2248"/>
      <c r="AZ102" s="2149" t="str">
        <f t="shared" si="36"/>
        <v/>
      </c>
      <c r="BA102" s="2568" t="str">
        <f t="shared" si="37"/>
        <v/>
      </c>
      <c r="BE102" s="522"/>
      <c r="BF102" s="522"/>
      <c r="BG102" s="522"/>
      <c r="BH102" s="522"/>
      <c r="BI102" s="522"/>
      <c r="BJ102" s="522"/>
      <c r="BK102" s="522"/>
    </row>
    <row r="103" spans="2:63" ht="13.5" thickBot="1">
      <c r="B103" s="3752" t="s">
        <v>5318</v>
      </c>
      <c r="C103" s="3753"/>
      <c r="D103" s="3753"/>
      <c r="E103" s="3753"/>
      <c r="F103" s="3753"/>
      <c r="G103" s="3753"/>
      <c r="H103" s="3753"/>
      <c r="I103" s="3753"/>
      <c r="J103" s="3753"/>
      <c r="K103" s="3753"/>
      <c r="L103" s="3753"/>
      <c r="M103" s="3753"/>
      <c r="N103" s="3753"/>
      <c r="O103" s="3753"/>
      <c r="P103" s="3753"/>
      <c r="Q103" s="3753"/>
      <c r="R103" s="3753"/>
      <c r="S103" s="3753"/>
      <c r="T103" s="3753"/>
      <c r="U103" s="3753"/>
      <c r="V103" s="3753"/>
      <c r="W103" s="3753"/>
      <c r="X103" s="3753"/>
      <c r="Y103" s="3753"/>
      <c r="Z103" s="3753"/>
      <c r="AA103" s="3753"/>
      <c r="AB103" s="3753"/>
      <c r="AC103" s="3753"/>
      <c r="AD103" s="3753"/>
      <c r="AE103" s="3753"/>
      <c r="AF103" s="3753"/>
      <c r="AG103" s="3753"/>
      <c r="AH103" s="3753"/>
      <c r="AI103" s="3753"/>
      <c r="AJ103" s="3753"/>
      <c r="AK103" s="3753"/>
      <c r="AL103" s="3753"/>
      <c r="AM103" s="3753"/>
      <c r="AN103" s="3753"/>
      <c r="AO103" s="3753"/>
      <c r="AP103" s="3753"/>
      <c r="AQ103" s="3753"/>
      <c r="AR103" s="3753"/>
      <c r="AS103" s="3753"/>
      <c r="AT103" s="3753"/>
      <c r="AU103" s="3753"/>
      <c r="AV103" s="3753"/>
      <c r="AW103" s="3753"/>
      <c r="AX103" s="3753"/>
      <c r="AY103" s="3753"/>
      <c r="AZ103" s="3754"/>
    </row>
    <row r="104" spans="2:63">
      <c r="AC104" s="559"/>
    </row>
  </sheetData>
  <sheetProtection formatColumns="0" formatRows="0"/>
  <mergeCells count="10">
    <mergeCell ref="B103:AZ103"/>
    <mergeCell ref="E1:H1"/>
    <mergeCell ref="AA25:AB25"/>
    <mergeCell ref="AU26:AU27"/>
    <mergeCell ref="AW26:AW27"/>
    <mergeCell ref="AV26:AV27"/>
    <mergeCell ref="B5:E5"/>
    <mergeCell ref="D24:E24"/>
    <mergeCell ref="AL26:AO26"/>
    <mergeCell ref="AT26:AT27"/>
  </mergeCells>
  <phoneticPr fontId="26" type="noConversion"/>
  <conditionalFormatting sqref="U28:U102">
    <cfRule type="expression" dxfId="301" priority="197" stopIfTrue="1">
      <formula>$U28&lt;&gt;$T28</formula>
    </cfRule>
  </conditionalFormatting>
  <conditionalFormatting sqref="D1">
    <cfRule type="cellIs" dxfId="300" priority="177" operator="equal">
      <formula>"Undetermined"</formula>
    </cfRule>
    <cfRule type="cellIs" dxfId="299" priority="196" operator="equal">
      <formula>"REQUIRED"</formula>
    </cfRule>
  </conditionalFormatting>
  <conditionalFormatting sqref="AA28:AA102">
    <cfRule type="expression" dxfId="298" priority="176">
      <formula>$AA28="YES"</formula>
    </cfRule>
  </conditionalFormatting>
  <conditionalFormatting sqref="AB28:AB102">
    <cfRule type="expression" dxfId="297" priority="139">
      <formula>$AB28="Win-DR"</formula>
    </cfRule>
  </conditionalFormatting>
  <conditionalFormatting sqref="G7:G22">
    <cfRule type="expression" dxfId="296" priority="213">
      <formula>$T7=today</formula>
    </cfRule>
    <cfRule type="expression" dxfId="295" priority="556">
      <formula>$T7=""</formula>
    </cfRule>
    <cfRule type="expression" dxfId="294" priority="557">
      <formula>$T7&gt;today</formula>
    </cfRule>
    <cfRule type="expression" dxfId="293" priority="558">
      <formula>$T7&lt;today</formula>
    </cfRule>
  </conditionalFormatting>
  <conditionalFormatting sqref="C7:C22">
    <cfRule type="expression" dxfId="292" priority="2">
      <formula>$C7="Alt Prod"</formula>
    </cfRule>
    <cfRule type="expression" dxfId="291" priority="75">
      <formula>$F7="Prod F.W."</formula>
    </cfRule>
    <cfRule type="expression" dxfId="290" priority="82">
      <formula>$F7="DR"</formula>
    </cfRule>
    <cfRule type="expression" dxfId="289" priority="83">
      <formula>$F7="DEV"</formula>
    </cfRule>
    <cfRule type="expression" dxfId="288" priority="84">
      <formula>OR($F7="Test 2.0", $F7="Non-Prod (HTC)")</formula>
    </cfRule>
    <cfRule type="expression" dxfId="287" priority="85">
      <formula>OR($C7="Prod 2.0", $C7="Prod (HTC)", $C7="Pre-Prod")</formula>
    </cfRule>
  </conditionalFormatting>
  <conditionalFormatting sqref="M28:M102">
    <cfRule type="expression" dxfId="286" priority="47">
      <formula>$J28&lt;&gt;"AIX"</formula>
    </cfRule>
  </conditionalFormatting>
  <conditionalFormatting sqref="AI28:AI102">
    <cfRule type="expression" dxfId="285" priority="34">
      <formula>LEFT($W28,7)&lt;&gt;"Windows"</formula>
    </cfRule>
  </conditionalFormatting>
  <conditionalFormatting sqref="AL28:AO102">
    <cfRule type="expression" dxfId="284" priority="559">
      <formula>AND($J28="windows",$K28="Virtual",LEFT($Y28,5)="MSSQL")</formula>
    </cfRule>
  </conditionalFormatting>
  <conditionalFormatting sqref="O28:O102">
    <cfRule type="expression" dxfId="283" priority="1664">
      <formula>AND($B28&lt;&gt;"",$D28="existing",$O28&lt;&gt;"")</formula>
    </cfRule>
    <cfRule type="expression" dxfId="282" priority="1750">
      <formula>AND($B28&lt;&gt;"",$D28="existing",$O28="")</formula>
    </cfRule>
  </conditionalFormatting>
  <conditionalFormatting sqref="P28:P102">
    <cfRule type="containsText" dxfId="281" priority="4" operator="containsText" text="Please">
      <formula>NOT(ISERROR(SEARCH("Please",P28)))</formula>
    </cfRule>
    <cfRule type="expression" dxfId="280" priority="16">
      <formula>OR($J28="Windows", $K28="Physical")</formula>
    </cfRule>
    <cfRule type="expression" dxfId="279" priority="18">
      <formula>AND($B28&lt;&gt;"",$AS28="", LEFT($Y28,5)="MSSQL")</formula>
    </cfRule>
    <cfRule type="expression" dxfId="278" priority="1751">
      <formula>AND($B28&lt;&gt;"",$D28="existing",$P28&lt;&gt;"")</formula>
    </cfRule>
  </conditionalFormatting>
  <conditionalFormatting sqref="Q28:Q102">
    <cfRule type="expression" dxfId="277" priority="1752">
      <formula>AND($B28&lt;&gt;"",$D28="existing",$Q28&lt;&gt;"")</formula>
    </cfRule>
    <cfRule type="expression" dxfId="276" priority="1754">
      <formula>AND($B28&lt;&gt;"",$D28="existing",$Q28="")</formula>
    </cfRule>
  </conditionalFormatting>
  <conditionalFormatting sqref="T28:T102">
    <cfRule type="expression" dxfId="275" priority="1755">
      <formula>AND($B28&lt;&gt;"",$D28="existing",$T28&lt;&gt;"")</formula>
    </cfRule>
    <cfRule type="expression" dxfId="274" priority="1761">
      <formula>AND($B28&lt;&gt;"",$D28="existing",$T28="")</formula>
    </cfRule>
  </conditionalFormatting>
  <conditionalFormatting sqref="AT28:AT102 AX28:AY102">
    <cfRule type="expression" dxfId="273" priority="1773">
      <formula>AND($B28&lt;&gt;"",$J28&lt;&gt;"AIX")</formula>
    </cfRule>
  </conditionalFormatting>
  <conditionalFormatting sqref="I28 I32:I102 I30">
    <cfRule type="expression" dxfId="272" priority="3" stopIfTrue="1">
      <formula>AND($AQ28="Test 2.0",OR($I28="Process - 1",$I28="Process - 2", $I28="Data - 1"))</formula>
    </cfRule>
    <cfRule type="expression" dxfId="271" priority="6">
      <formula>AND($AQ28="Prod 2.0",OR($I28="Process - 1",$I28="Data - 1"))</formula>
    </cfRule>
  </conditionalFormatting>
  <conditionalFormatting sqref="AJ28:AJ102">
    <cfRule type="expression" dxfId="270" priority="1793">
      <formula>AND($B28&lt;&gt;"",$AJ28="")</formula>
    </cfRule>
    <cfRule type="expression" dxfId="269" priority="1796">
      <formula>$AJ28&gt;2000</formula>
    </cfRule>
  </conditionalFormatting>
  <conditionalFormatting sqref="L28:N102">
    <cfRule type="expression" dxfId="268" priority="1797">
      <formula>AND($B28&lt;&gt;"",$D28="existing",$L28&lt;&gt;"")</formula>
    </cfRule>
    <cfRule type="expression" dxfId="267" priority="1798">
      <formula>AND($B28&lt;&gt;"",$D28="existing",$L28="")</formula>
    </cfRule>
  </conditionalFormatting>
  <conditionalFormatting sqref="N28:N102">
    <cfRule type="expression" dxfId="266" priority="1799">
      <formula>AND($B28&lt;&gt;"",$D28="existing",$N28&lt;&gt;"")</formula>
    </cfRule>
    <cfRule type="expression" dxfId="265" priority="1800">
      <formula>AND($B28&lt;&gt;"",$D28="existing",$N28="")</formula>
    </cfRule>
  </conditionalFormatting>
  <conditionalFormatting sqref="R28:R102">
    <cfRule type="expression" dxfId="264" priority="1801">
      <formula>$Q28="NO"</formula>
    </cfRule>
    <cfRule type="expression" dxfId="263" priority="1808">
      <formula>AND($B28&lt;&gt;"",$D28="existing",$R28&lt;&gt;"")</formula>
    </cfRule>
    <cfRule type="expression" dxfId="262" priority="1809">
      <formula>AND($B28&lt;&gt;"",$D28="existing",$R28="")</formula>
    </cfRule>
  </conditionalFormatting>
  <conditionalFormatting sqref="S28:S102">
    <cfRule type="expression" dxfId="261" priority="1810">
      <formula>AND($B28&lt;&gt;"",$D28="existing",$S28&lt;&gt;"")</formula>
    </cfRule>
    <cfRule type="expression" dxfId="260" priority="1811">
      <formula>AND($B28&lt;&gt;"",$D28="existing",$S28="")</formula>
    </cfRule>
  </conditionalFormatting>
  <conditionalFormatting sqref="K28:K102">
    <cfRule type="expression" dxfId="259" priority="1812">
      <formula>AND($B28&lt;&gt;"",$D28="existing",$K28="")</formula>
    </cfRule>
    <cfRule type="expression" dxfId="258" priority="1815">
      <formula>AND($B28&lt;&gt;"",$D28="existing",$K28&lt;&gt;"")</formula>
    </cfRule>
  </conditionalFormatting>
  <conditionalFormatting sqref="C28:F102">
    <cfRule type="expression" dxfId="257" priority="1">
      <formula>VLOOKUP($C28,$C$7:$F$22,4,FALSE)="Alt Prod"</formula>
    </cfRule>
    <cfRule type="expression" dxfId="256" priority="1762">
      <formula>$C28="DR"</formula>
    </cfRule>
    <cfRule type="expression" dxfId="255" priority="1768">
      <formula>VLOOKUP($C28,$C$7:$F$22,4,FALSE)="Prod F.W."</formula>
    </cfRule>
    <cfRule type="expression" dxfId="254" priority="1769">
      <formula>VLOOKUP($C28,$C$7:$F$22,4,FALSE)="Dev"</formula>
    </cfRule>
    <cfRule type="expression" dxfId="253" priority="1770">
      <formula>OR(VLOOKUP($C28,$C$7:$F$22,4,FALSE)="Test 2.0", VLOOKUP($C28,$C$7:$F$22,4,FALSE)="Non-Prod (HTC)")</formula>
    </cfRule>
    <cfRule type="expression" dxfId="252" priority="1771">
      <formula>OR(VLOOKUP($C28,$C$7:$F$22,4,FALSE)="Prod 2.0", VLOOKUP($C28,$C$7:$F$22,4,FALSE)="Prod (HTC)", VLOOKUP($C28,$C$7:$F$22,4,FALSE)="Pre-Prod")</formula>
    </cfRule>
    <cfRule type="expression" dxfId="251" priority="1772">
      <formula>$S28="Existing - Reference Only"</formula>
    </cfRule>
  </conditionalFormatting>
  <conditionalFormatting sqref="Y28:Y102">
    <cfRule type="expression" dxfId="250" priority="32">
      <formula>$Y28="MySQL 5.6*"</formula>
    </cfRule>
  </conditionalFormatting>
  <conditionalFormatting sqref="Y28:Y102">
    <cfRule type="expression" dxfId="249" priority="29">
      <formula>$Y$28="MySQL 5.6*"</formula>
    </cfRule>
  </conditionalFormatting>
  <conditionalFormatting sqref="F7:F22">
    <cfRule type="expression" dxfId="248" priority="28">
      <formula>AND($C7&lt;&gt;"",$F7="")</formula>
    </cfRule>
  </conditionalFormatting>
  <conditionalFormatting sqref="AV28:AW102">
    <cfRule type="expression" dxfId="247" priority="25">
      <formula>$K28&lt;&gt;"Physical"</formula>
    </cfRule>
  </conditionalFormatting>
  <conditionalFormatting sqref="V28:V102">
    <cfRule type="expression" dxfId="246" priority="1820" stopIfTrue="1">
      <formula>$C28="DR"</formula>
    </cfRule>
    <cfRule type="duplicateValues" dxfId="245" priority="1903"/>
  </conditionalFormatting>
  <conditionalFormatting sqref="AS28:AS102">
    <cfRule type="notContainsBlanks" dxfId="244" priority="5">
      <formula>LEN(TRIM(AS28))&gt;0</formula>
    </cfRule>
    <cfRule type="expression" dxfId="243" priority="19">
      <formula>OR($I28="DB",LEFT($I28,4)="DATA")</formula>
    </cfRule>
    <cfRule type="expression" dxfId="242" priority="22">
      <formula>OR($I28&lt;&gt;"DB",LEFT($I28,4)&lt;&gt;"DATA")</formula>
    </cfRule>
  </conditionalFormatting>
  <conditionalFormatting sqref="AR28:AR102">
    <cfRule type="endsWith" dxfId="241" priority="1904" operator="endsWith" text="SNMP">
      <formula>RIGHT(AR28,LEN("SNMP"))="SNMP"</formula>
    </cfRule>
  </conditionalFormatting>
  <conditionalFormatting sqref="AA28:AB102">
    <cfRule type="expression" dxfId="240" priority="9">
      <formula>AND(LEFT($C28,8)="Prod 2.0",dr_Level&lt;&gt;"")</formula>
    </cfRule>
  </conditionalFormatting>
  <conditionalFormatting sqref="I28:U28 W28:AJ102 I32:U102 J31:U31 I30:U30 J29:U29">
    <cfRule type="expression" dxfId="239" priority="1786">
      <formula>$C28="DR"</formula>
    </cfRule>
  </conditionalFormatting>
  <dataValidations xWindow="198" yWindow="500" count="32">
    <dataValidation type="list" allowBlank="1" showInputMessage="1" showErrorMessage="1" sqref="X28:X102" xr:uid="{00000000-0002-0000-0900-000000000000}">
      <formula1>list_wasver</formula1>
    </dataValidation>
    <dataValidation type="list" allowBlank="1" showInputMessage="1" showErrorMessage="1" sqref="R28:R102" xr:uid="{00000000-0002-0000-0900-000001000000}">
      <formula1>Assetlist</formula1>
    </dataValidation>
    <dataValidation type="list" showInputMessage="1" showErrorMessage="1" sqref="Q28:Q102" xr:uid="{00000000-0002-0000-0900-000002000000}">
      <formula1>list_clusters</formula1>
    </dataValidation>
    <dataValidation type="list" allowBlank="1" showInputMessage="1" showErrorMessage="1" sqref="O28:O102" xr:uid="{00000000-0002-0000-0900-000003000000}">
      <formula1>"NO, YES"</formula1>
    </dataValidation>
    <dataValidation type="list" allowBlank="1" showInputMessage="1" prompt="Enter Environments by priority of provisioning needs." sqref="C7:C22" xr:uid="{00000000-0002-0000-0900-000004000000}">
      <formula1>list_envname</formula1>
    </dataValidation>
    <dataValidation type="textLength" errorStyle="warning" allowBlank="1" showInputMessage="1" showErrorMessage="1" error="Host Names are typically limited to 14 characters!_x000a__x000a_" sqref="V28:V102" xr:uid="{00000000-0002-0000-0900-000005000000}">
      <formula1>0</formula1>
      <formula2>14</formula2>
    </dataValidation>
    <dataValidation type="list" allowBlank="1" showInputMessage="1" showErrorMessage="1" sqref="F28:F102" xr:uid="{00000000-0002-0000-0900-000006000000}">
      <formula1>Locations</formula1>
    </dataValidation>
    <dataValidation type="list" allowBlank="1" showInputMessage="1" showErrorMessage="1" sqref="D28:D102" xr:uid="{00000000-0002-0000-0900-000007000000}">
      <formula1>"New, Existing"</formula1>
    </dataValidation>
    <dataValidation type="list" allowBlank="1" showInputMessage="1" showErrorMessage="1" sqref="AG28:AG102 AA28:AA102 AU28:AU102" xr:uid="{00000000-0002-0000-0900-000008000000}">
      <formula1>"Yes, No"</formula1>
    </dataValidation>
    <dataValidation type="whole" allowBlank="1" showInputMessage="1" showErrorMessage="1" sqref="AJ28:AJ102" xr:uid="{00000000-0002-0000-0900-000009000000}">
      <formula1>-20000</formula1>
      <formula2>20000</formula2>
    </dataValidation>
    <dataValidation type="list" allowBlank="1" showInputMessage="1" showErrorMessage="1" sqref="E7:E22" xr:uid="{00000000-0002-0000-0900-00000A000000}">
      <formula1>"Test, Cycle, Prod"</formula1>
    </dataValidation>
    <dataValidation type="whole" allowBlank="1" showInputMessage="1" showErrorMessage="1" sqref="AK49:AK102" xr:uid="{00000000-0002-0000-0900-00000B000000}">
      <formula1>0</formula1>
      <formula2>50000000</formula2>
    </dataValidation>
    <dataValidation type="list" allowBlank="1" showInputMessage="1" showErrorMessage="1" sqref="M28:M102" xr:uid="{00000000-0002-0000-0900-00000C000000}">
      <formula1>Default_Procesor_Pool</formula1>
    </dataValidation>
    <dataValidation type="list" allowBlank="1" showInputMessage="1" showErrorMessage="1" sqref="AM28:AM102" xr:uid="{00000000-0002-0000-0900-00000D000000}">
      <formula1>INDIRECT($AL28)</formula1>
    </dataValidation>
    <dataValidation type="list" allowBlank="1" showInputMessage="1" showErrorMessage="1" sqref="W28:W102" xr:uid="{00000000-0002-0000-0900-00000E000000}">
      <formula1>INDIRECT($J28)</formula1>
    </dataValidation>
    <dataValidation type="list" allowBlank="1" showInputMessage="1" sqref="Z28:Z102" xr:uid="{00000000-0002-0000-0900-00000F000000}">
      <formula1>list_sdkver</formula1>
    </dataValidation>
    <dataValidation type="list" allowBlank="1" showInputMessage="1" showErrorMessage="1" sqref="C28:C102" xr:uid="{00000000-0002-0000-0900-000010000000}">
      <formula1>list_appenvs</formula1>
    </dataValidation>
    <dataValidation type="list" allowBlank="1" showInputMessage="1" showErrorMessage="1" sqref="J43 J45:J102" xr:uid="{00000000-0002-0000-0900-000011000000}">
      <formula1>list_OS</formula1>
    </dataValidation>
    <dataValidation type="list" errorStyle="information" allowBlank="1" showInputMessage="1" sqref="Y28:Y102" xr:uid="{00000000-0002-0000-0900-000012000000}">
      <formula1>db_version</formula1>
    </dataValidation>
    <dataValidation type="list" allowBlank="1" showInputMessage="1" showErrorMessage="1" sqref="K28:K102" xr:uid="{00000000-0002-0000-0900-000013000000}">
      <formula1>"Physical, Blade, Virtual"</formula1>
    </dataValidation>
    <dataValidation type="list" allowBlank="1" showInputMessage="1" sqref="AW28:AW102" xr:uid="{00000000-0002-0000-0900-000014000000}">
      <formula1>"Standard, Bonded - Active / Passive, Bonded - Active / Active"</formula1>
    </dataValidation>
    <dataValidation type="list" allowBlank="1" showInputMessage="1" showErrorMessage="1" sqref="I28:I102" xr:uid="{00000000-0002-0000-0900-000015000000}">
      <formula1>IF($C28="Prod (Pod)",list_pod_layers, IF(LEFT($C28,2)="NP",list_Pod_np_Layers,list_fsalayers))</formula1>
    </dataValidation>
    <dataValidation type="list" allowBlank="1" showInputMessage="1" sqref="J44 J28:J42" xr:uid="{00000000-0002-0000-0900-000016000000}">
      <formula1>list_OS</formula1>
    </dataValidation>
    <dataValidation type="whole" allowBlank="1" showInputMessage="1" sqref="AK28:AK48" xr:uid="{00000000-0002-0000-0900-000017000000}">
      <formula1>0</formula1>
      <formula2>50000000</formula2>
    </dataValidation>
    <dataValidation type="list" allowBlank="1" showInputMessage="1" sqref="E28:E102" xr:uid="{00000000-0002-0000-0900-000018000000}">
      <formula1>IF(AND(RIGHT($C28,5)="(POD)", $G28="Standard"), list_pod_standard_mod,IF(AND(RIGHT($C28,5)="(POD)", $G28="HA"), pod_ha_template, standard_server_types))</formula1>
    </dataValidation>
    <dataValidation type="list" allowBlank="1" showErrorMessage="1" promptTitle="Infrasructure Environment" prompt="It is possible to overwrite Infrastructure Environment values for applications using non-standard Application environments._x000a_Valid Overwrite values:_x000a__x000a_Test 2.0_x000a_Prod 2.0_x000a_DEV_x000a_" sqref="F8:F22" xr:uid="{00000000-0002-0000-0900-000019000000}">
      <formula1>"DEV, Test 2.0, Prod 2.0, Non-Prod (HTC), Prod (HTC), Non-Prod (Azure), Prod (Azure)"</formula1>
    </dataValidation>
    <dataValidation type="list" allowBlank="1" showInputMessage="1" showErrorMessage="1" sqref="AP28:AP102" xr:uid="{00000000-0002-0000-0900-00001A000000}">
      <formula1>"No, Yes"</formula1>
    </dataValidation>
    <dataValidation type="list" allowBlank="1" showInputMessage="1" showErrorMessage="1" sqref="S28:S102" xr:uid="{00000000-0002-0000-0900-00001B000000}">
      <formula1>"Dedicated, Shared, Reference Only"</formula1>
    </dataValidation>
    <dataValidation type="list" allowBlank="1" showInputMessage="1" showErrorMessage="1" sqref="AN28:AN102" xr:uid="{00000000-0002-0000-0900-00001C000000}">
      <formula1>INDIRECT($AM28)</formula1>
    </dataValidation>
    <dataValidation type="list" allowBlank="1" showInputMessage="1" showErrorMessage="1" sqref="AI28:AI102" xr:uid="{00000000-0002-0000-0900-00001D000000}">
      <formula1>vm_template</formula1>
    </dataValidation>
    <dataValidation type="list" allowBlank="1" showErrorMessage="1" promptTitle="Infrasructure Environment" prompt="It is possible to overwrite Infrastructure Environment values for applications using non-standard Application environments._x000a_Valid Overwrite values:_x000a__x000a_Test 2.0_x000a_Prod 2.0_x000a_DEV_x000a_" sqref="F7" xr:uid="{00000000-0002-0000-0900-00001E000000}">
      <formula1>"DEV, Test 2.0, ALT Prod, Prod 2.0, Non-Prod (HTC), Prod (HTC), Non-Prod (Azure), Prod (Azure)"</formula1>
    </dataValidation>
    <dataValidation type="list" allowBlank="1" showInputMessage="1" showErrorMessage="1" sqref="AF28:AF102" xr:uid="{00000000-0002-0000-0900-00001F000000}">
      <formula1>"No, Full Decom, Partial Decom"</formula1>
    </dataValidation>
  </dataValidations>
  <hyperlinks>
    <hyperlink ref="D25" location="'Host Reference'!A1" display="Link to Host References" xr:uid="{00000000-0004-0000-0900-000000000000}"/>
  </hyperlink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78035" r:id="rId4">
          <objectPr defaultSize="0" r:id="rId5">
            <anchor moveWithCells="1">
              <from>
                <xdr:col>111</xdr:col>
                <xdr:colOff>0</xdr:colOff>
                <xdr:row>0</xdr:row>
                <xdr:rowOff>66675</xdr:rowOff>
              </from>
              <to>
                <xdr:col>128</xdr:col>
                <xdr:colOff>104775</xdr:colOff>
                <xdr:row>21</xdr:row>
                <xdr:rowOff>104775</xdr:rowOff>
              </to>
            </anchor>
          </objectPr>
        </oleObject>
      </mc:Choice>
      <mc:Fallback>
        <oleObject progId="Word.Document.12" shapeId="78035" r:id="rId4"/>
      </mc:Fallback>
    </mc:AlternateContent>
  </oleObjects>
  <mc:AlternateContent xmlns:mc="http://schemas.openxmlformats.org/markup-compatibility/2006">
    <mc:Choice Requires="x14">
      <controls>
        <mc:AlternateContent xmlns:mc="http://schemas.openxmlformats.org/markup-compatibility/2006">
          <mc:Choice Requires="x14">
            <control shapeId="78076" r:id="rId6" name="Button 4348">
              <controlPr defaultSize="0" print="0" autoFill="0" autoPict="0" macro="[0]!AssetDocumentation">
                <anchor moveWithCells="1" sizeWithCells="1">
                  <from>
                    <xdr:col>4</xdr:col>
                    <xdr:colOff>428625</xdr:colOff>
                    <xdr:row>26</xdr:row>
                    <xdr:rowOff>171450</xdr:rowOff>
                  </from>
                  <to>
                    <xdr:col>4</xdr:col>
                    <xdr:colOff>3314700</xdr:colOff>
                    <xdr:row>26</xdr:row>
                    <xdr:rowOff>361950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1" id="{A51FD814-2CDC-448A-9FDA-73952A781401}">
            <xm:f>'Database (All)'!$AC29="Oracle RAC"</xm:f>
            <x14:dxf>
              <font>
                <color auto="1"/>
              </font>
              <fill>
                <patternFill>
                  <bgColor rgb="FFFFC000"/>
                </patternFill>
              </fill>
            </x14:dxf>
          </x14:cfRule>
          <xm:sqref>AX28:AX102 AT28:AT102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3" tint="0.79998168889431442"/>
  </sheetPr>
  <dimension ref="A1:V205"/>
  <sheetViews>
    <sheetView showGridLines="0" zoomScaleNormal="100" workbookViewId="0"/>
  </sheetViews>
  <sheetFormatPr defaultRowHeight="12.75"/>
  <cols>
    <col min="1" max="1" width="20.140625" style="6" customWidth="1"/>
    <col min="2" max="2" width="17.5703125" style="7" customWidth="1"/>
    <col min="3" max="3" width="17.42578125" customWidth="1"/>
    <col min="4" max="4" width="35.42578125" customWidth="1"/>
    <col min="5" max="5" width="24.5703125" customWidth="1"/>
    <col min="6" max="6" width="16.28515625" style="9" customWidth="1"/>
    <col min="7" max="7" width="21" style="7" customWidth="1"/>
    <col min="8" max="8" width="21.85546875" customWidth="1"/>
    <col min="9" max="9" width="17" customWidth="1"/>
    <col min="10" max="10" width="14.85546875" customWidth="1"/>
    <col min="11" max="11" width="35.85546875" style="1" customWidth="1"/>
    <col min="12" max="12" width="20.42578125" bestFit="1" customWidth="1"/>
    <col min="13" max="13" width="22.7109375" customWidth="1"/>
    <col min="14" max="14" width="28.42578125" style="1" customWidth="1"/>
    <col min="15" max="15" width="39.85546875" customWidth="1"/>
    <col min="16" max="16" width="9" style="26" customWidth="1"/>
    <col min="17" max="17" width="11.85546875" style="26" customWidth="1"/>
    <col min="18" max="18" width="10.7109375" style="26" hidden="1" customWidth="1"/>
    <col min="19" max="19" width="26.5703125" customWidth="1"/>
    <col min="20" max="20" width="67.85546875" customWidth="1"/>
    <col min="21" max="21" width="65.7109375" customWidth="1"/>
    <col min="22" max="22" width="26.85546875" customWidth="1"/>
  </cols>
  <sheetData>
    <row r="1" spans="1:22" ht="35.25" customHeight="1" thickBot="1">
      <c r="A1" s="765"/>
      <c r="B1" s="766"/>
      <c r="C1" s="766"/>
      <c r="D1" s="784" t="str">
        <f>IF(IP="YES","REQUIRED",IF(IP="NO","This Tab is Not Required","Undetermined"))</f>
        <v>REQUIRED</v>
      </c>
      <c r="E1" s="766"/>
      <c r="F1" s="3769" t="str">
        <f>'Project Details'!$C$8 &amp; " - IP &amp; Host Record Requests"</f>
        <v>Linux Infrastructure Management - IP &amp; Host Record Requests</v>
      </c>
      <c r="G1" s="3770"/>
      <c r="H1" s="3770"/>
      <c r="I1" s="3770"/>
      <c r="J1" s="3771"/>
      <c r="K1" s="766"/>
      <c r="L1" s="766"/>
      <c r="M1" s="766" t="str">
        <f>F1</f>
        <v>Linux Infrastructure Management - IP &amp; Host Record Requests</v>
      </c>
      <c r="N1" s="766"/>
      <c r="O1" s="767"/>
      <c r="P1" s="256"/>
      <c r="Q1" s="256"/>
      <c r="R1" s="256"/>
      <c r="S1" s="257"/>
      <c r="T1" s="258"/>
      <c r="U1" s="258"/>
      <c r="V1" s="258"/>
    </row>
    <row r="2" spans="1:22" ht="13.5" customHeight="1" thickBot="1">
      <c r="A2" s="785" t="s">
        <v>49</v>
      </c>
      <c r="B2" s="478"/>
      <c r="C2" s="478"/>
      <c r="D2" s="786" t="s">
        <v>656</v>
      </c>
      <c r="E2" s="787">
        <v>5</v>
      </c>
      <c r="F2" s="788">
        <v>6</v>
      </c>
      <c r="G2" s="787">
        <v>7</v>
      </c>
      <c r="H2" s="788">
        <v>8</v>
      </c>
      <c r="I2" s="787">
        <v>9</v>
      </c>
      <c r="J2" s="788">
        <v>10</v>
      </c>
      <c r="K2" s="786" t="s">
        <v>655</v>
      </c>
      <c r="L2" s="788">
        <v>12</v>
      </c>
      <c r="M2" s="789">
        <v>13</v>
      </c>
      <c r="N2" s="788">
        <v>14</v>
      </c>
      <c r="O2" s="790">
        <v>15</v>
      </c>
      <c r="P2" s="790">
        <v>16</v>
      </c>
      <c r="Q2" s="790">
        <v>17</v>
      </c>
      <c r="R2" s="790">
        <v>18</v>
      </c>
      <c r="S2" s="790">
        <v>19</v>
      </c>
      <c r="T2" s="790">
        <v>20</v>
      </c>
      <c r="U2" s="791">
        <v>21</v>
      </c>
      <c r="V2" s="790">
        <v>22</v>
      </c>
    </row>
    <row r="3" spans="1:22" s="11" customFormat="1" ht="36.75" customHeight="1" thickBot="1">
      <c r="A3" s="1483" t="s">
        <v>120</v>
      </c>
      <c r="B3" s="1484" t="s">
        <v>51</v>
      </c>
      <c r="C3" s="1485" t="s">
        <v>119</v>
      </c>
      <c r="D3" s="1485" t="s">
        <v>751</v>
      </c>
      <c r="E3" s="1484" t="s">
        <v>1608</v>
      </c>
      <c r="F3" s="1484" t="s">
        <v>11</v>
      </c>
      <c r="G3" s="1484" t="s">
        <v>62</v>
      </c>
      <c r="H3" s="1641" t="s">
        <v>430</v>
      </c>
      <c r="I3" s="1484" t="s">
        <v>132</v>
      </c>
      <c r="J3" s="1484" t="s">
        <v>429</v>
      </c>
      <c r="K3" s="1774" t="s">
        <v>3479</v>
      </c>
      <c r="L3" s="1484" t="s">
        <v>310</v>
      </c>
      <c r="M3" s="1485" t="s">
        <v>1721</v>
      </c>
      <c r="N3" s="1485" t="s">
        <v>644</v>
      </c>
      <c r="O3" s="1484" t="s">
        <v>140</v>
      </c>
      <c r="P3" s="1484" t="s">
        <v>131</v>
      </c>
      <c r="Q3" s="1486" t="s">
        <v>4294</v>
      </c>
      <c r="R3" s="1485" t="s">
        <v>423</v>
      </c>
      <c r="S3" s="1485" t="s">
        <v>594</v>
      </c>
      <c r="T3" s="138" t="s">
        <v>2223</v>
      </c>
      <c r="U3" s="138" t="s">
        <v>2222</v>
      </c>
      <c r="V3" s="138" t="s">
        <v>2711</v>
      </c>
    </row>
    <row r="4" spans="1:22">
      <c r="A4" s="259" t="str">
        <f t="shared" ref="A4:A94" si="0">IF($B4&lt;&gt;"",$B4&amp;"  (IP"&amp;TEXT($C4,"00")&amp;")","")</f>
        <v>20213598-001  (IP01)</v>
      </c>
      <c r="B4" s="21" t="s">
        <v>5612</v>
      </c>
      <c r="C4" s="24">
        <f t="shared" ref="C4:C69" si="1">IF(B4&lt;&gt;"",IF(B4=B3,C3+1,1),"")</f>
        <v>1</v>
      </c>
      <c r="D4" s="2464" t="str">
        <f t="shared" ref="D4:D35" si="2">IF($B4&lt;&gt;"", IF(AND(LEFT(VLOOKUP($B4,dist_assets,5,FALSE),3)="POD",VLOOKUP($B4,dist_assets,7,FALSE)="IBM DB2 Data Drives"),"Data Drive INFO",
        VLOOKUP($B4,dist_assets,21,FALSE)),"")</f>
        <v>dwauslmgt01</v>
      </c>
      <c r="E4" s="434" t="str">
        <f t="shared" ref="E4:E67" si="3">IF(B4&lt;&gt;"",VLOOKUP(B4,dist_assets,9,FALSE),"")</f>
        <v>Linux</v>
      </c>
      <c r="F4" s="434" t="str">
        <f>IF(B4&lt;&gt;"",VLOOKUP(VLOOKUP(B4,dist_assets,2,FALSE),'Distributed Assets'!$C$7:$F$22,4,FALSE),"")</f>
        <v>DEV</v>
      </c>
      <c r="G4" s="434" t="str">
        <f t="shared" ref="G4:G35" si="4">IF(B4&lt;&gt;"",VLOOKUP(B4,dist_assets,8,FALSE),"")</f>
        <v>Process - 1</v>
      </c>
      <c r="H4" s="25" t="s">
        <v>126</v>
      </c>
      <c r="I4" s="1054" t="str">
        <f t="array" ref="I4">IF($H4&lt;&gt;"",
         INDEX('BOM FUNCTIONS'!$Y$6:$AC$669,MATCH(IP!$M4&amp;IP!$O4,'BOM FUNCTIONS'!$Y$6:$Y$669&amp;'BOM FUNCTIONS'!$Z$6:$Z$669,0),5),"")</f>
        <v>10.130.0.0/22</v>
      </c>
      <c r="J4" s="818" t="str">
        <f t="array" ref="J4">IF($H4&lt;&gt;"",
         INDEX('BOM FUNCTIONS'!$Y$6:$AD$669,MATCH(IP!$M4&amp;IP!$O4,'BOM FUNCTIONS'!$Y$6:$Y$669&amp;'BOM FUNCTIONS'!$Z$6:$Z$669,0),6),"")</f>
        <v>10.130.0.1</v>
      </c>
      <c r="K4" s="2632" t="str">
        <f t="shared" ref="K4:K35" si="5">IF($B4&lt;&gt;"",
             IF(AND($F4="Dev",$E4="Windows",$H4="Application Interface"),CONCATENATE($D4,".adhcscdev.net"),
               IF(AND($F4="Test 2.0",$E4="Windows",$H4="Application Interface"),CONCATENATE($D4,".adhcsctst.net"),
                IF(AND($F4="Non-Prod (ITC)",$E4="Windows",$H4="Application Interface"),CONCATENATE($D4,".adhcsctst.net"),
                 IF(AND($F4="ALT Prod",$E4="Windows",$H4="Application Interface"),CONCATENATE($D4,".adhcscalt.net"),
                 IF(AND($F4="Prod 2.0",$E4="Windows",$H4="Application Interface"),CONCATENATE($D4,".adhcscint.net"),
                  IF(AND($F4="Prod (ITC)",$E4="Windows",$H4="Application Interface"),CONCATENATE($D4,".adhcscint.net"),
                     IF(AND($F4="Prod F.W.",$E4="Windows",$H4="Application Interface"),CONCATENATE($D4,".adhcscint.net"),
                        IF(AND($F4="Test 2.0",$E4="Windows",$H4="DMZ backup"),CONCATENATE($D4,".dmzbkp.test.hcscint.net"),
                            IF(AND($F4="Prod 2.0",$E4="Windows",$H4="DMZ backup"),CONCATENATE($D4,".dmzbkp.hcscint.net"),
                                 IF(AND($F4="Prod F.W.",$E4="Windows",$H4="DMZ backup"),CONCATENATE($D4,".dmzbkp.hcscint.net"),
             IF(AND($F4="Dev",$E4&lt;&gt;"Windows",$C4=1,$H4="Application Interface"),CONCATENATE($D4,".app.dev.hcscint.net"),
                IF(AND($F4="Test 2.0",$E4&lt;&gt;"Windows",$C4=1,$H4="Application Interface"),CONCATENATE($D4,".app.test.hcscint.net"),
             IF(AND($F4="Non-Prod (ITC)",$E4&lt;&gt;"Windows",$C4=1,$H4="Application Interface"),CONCATENATE($D4,".app.test.hcscint.net"),
             IF(AND($F4="ALT Prod",$E4&lt;&gt;"Windows",$C4=1,$H4="Application Interface"),CONCATENATE($D4,".app.alt.hcscint.net"),
                    IF(AND($F4="Prod 2.0",$E4&lt;&gt;"Windows",$C4=1,$H4="Application Interface"),$D4 &amp;".app.hcscint.net",
                      IF(AND($F4="Prod (ITC)",$E4&lt;&gt;"Windows",$C4=1,$H4="Application Interface"),$D4 &amp;".app.hcscint.net",
                        IF(AND($F4="Prod F.W.",$E4&lt;&gt;"Windows",$C4=1,$H4="Application Interface"),$D4 &amp;".app.hcscint.net",
           IF(AND($F4="Dev",$E4&lt;&gt;"Windows",$C4=1,$H4="Persistent Interface"),$D4 &amp;".app.dev.hcscint.net",
                IF(AND($F4="Test 2.0",$E4&lt;&gt;"Windows",$C4=1,$H4="Persistent Interface"),$D4 &amp;".app.test.hcscint.net",
                    IF(AND($F4="Prod 2.0",$E4&lt;&gt;"Windows",$C4=1,$H4="Persistent Interface"),$D4 &amp;".app.hcscint.net",
                            IF(AND($F4="Prod F.W.",$E4&lt;&gt;"Windows",$C4=1,$H4="Persistent Interface"),$D4 &amp;".app.hcscint.net",
              IF(AND($F4="Dev",$E4&lt;&gt;"Windows",$C4=1,$H4="Application Interface"),SUBSTITUTE(CONCATENATE($D4,".app.dev.hcscint.net"),"p.",".",1),
                IF(AND($F4="Test 2.0",$E4&lt;&gt;"Windows",$C4=2,$H4="Application Interface"),SUBSTITUTE(CONCATENATE($D4,".app.test.hcscint.net"),"p.",".",1),
                    IF(AND($F4="Prod 2.0",$E4&lt;&gt;"Windows",$C4=2,$H4="Application Interface"),SUBSTITUTE(CONCATENATE($D4,".app.hcscint.net"),"p.",".",1),
                        IF(AND($F4="Prod F.W.",$E4&lt;&gt;"Windows",$C4=2,$H4="Application Interface"),SUBSTITUTE(CONCATENATE($D4,".app.hcscint.net"),"p.",".",1),
              IF(AND($F4="Dev",$E4&lt;&gt;"Windows",OR($H4="OOB Interface",$H4="OOB-2 Interface",$H4="OOB-3 Interface")),CONCATENATE($D4,".oob.dev.hcscint.net"),
                IF(AND($F4="Test 2.0",$E4&lt;&gt;"Windows",OR($H4="OOB Interface",$H4="OOB-2 Interface",$H4="OOB-3 Interface")),CONCATENATE($D4,".oob.test.hcscint.net"),
                  IF(AND($F4="Alt Prod",$E4&lt;&gt;"Windows",OR($H4="OOB Interface",$H4="OOB-2 Interface",$H4="OOB-3 Interface")),CONCATENATE($D4,".oob.test.hcscint.net"),
                    IF(AND($F4="Prod 2.0",$E4&lt;&gt;"Windows",OR($H4="OOB Interface",$H4="OOB-2 Interface",$H4="OOB-3 Interface")),CONCATENATE($D4,".oob.hcscint.net"),
                          IF(AND($F4="Prod F.W.",$E4&lt;&gt;"Windows",OR($H4="OOB Interface",$H4="OOB-2 Interface",$H4="OOB-3 Interface")),CONCATENATE($D4,".oob.hcscint.net"),
              IF(AND($F4="Dev",$E4&lt;&gt;"Windows",OR($H4="iLO Interface",$H4="iLO-2 Interface",$H4="iLO-3 Interface", $H4="iLO-4 Interface")),CONCATENATE($D4,"-ilo.oob.dev.hcscint.net"),
                IF(AND($F4="Test 2.0",$E4&lt;&gt;"Windows",OR($H4="iLO Interface",$H4="iLO-2 Interface",$H4="iLO-3 Interface", $H4="iLO-4 Interface")),CONCATENATE($D4,"-ilo.oob.test.hcscint.net"),
                    IF(AND($F4="Prod 2.0",$E4&lt;&gt;"Windows",OR($H4="iLO Interface",$H4="iLO-2 Interface",$H4="iLO-3 Interface", $H4="iLO-4 Interface")),CONCATENATE($D4,"-ilo.oob.hcscint.net"),
                          IF(AND($F4="Prod F.W.",$E4&lt;&gt;"Windows",OR($H4="iLO Interface",$H4="iLO-2 Interface",$H4="iLO-3 Interface", $H4="iLO-4 Interface")),CONCATENATE($D4,"-ilo.oob.hcscint.net"),
                IF(AND($F4="Test 2.0",$E4&lt;&gt;"Windows",$H4="DMZ Backup"),CONCATENATE($D4,".dmzbkp.test.hcscint.net"),
                    IF(AND($F4="Prod 2.0",$E4&lt;&gt;"Windows",$H4="DMZ Backup"),CONCATENATE($D4,".dmzbkp.hcscint.net"),
                           IF(AND($F4="Prod F.W.",$E4&lt;&gt;"Windows",$H4="DMZ Backup"),CONCATENATE($D4,".dmzbkp.hcscint.net"),
 IF(AND($F4="Non-Prod (ITC)",$E4&lt;&gt;"Windows",$H4="ITC Backup"),CONCATENATE($D4,"-1"),
 IF(AND($F4="Prod (ITC)",$E4&lt;&gt;"Windows",$H4="ITC Backup"),CONCATENATE($D4,"-1"),
))))))))))))))))))))))))))))))))))))))),"")</f>
        <v>dwauslmgt01.app.dev.hcscint.net</v>
      </c>
      <c r="L4" s="2008" t="str">
        <f t="shared" ref="L4:L68" si="6">IF(E4&lt;&gt;"",
IF(E4="Windows","Windows Admins",
IF(OR(LEFT(E4,5)="Linux",E4="AIX",E4="Solaris"),"ECS-Open Systems",
IF(E4="Appliance","ITG Network Services",
""))),"")</f>
        <v>ECS-Open Systems</v>
      </c>
      <c r="M4" s="817" t="str">
        <f t="shared" ref="M4:M35" si="7">IF($B4&lt;&gt;"",VLOOKUP(VLOOKUP($B4,dist_assets,5,FALSE),location_table,2,FALSE),"")</f>
        <v>wau</v>
      </c>
      <c r="N4" s="479" t="s">
        <v>5648</v>
      </c>
      <c r="O4" s="1480" t="str">
        <f>IF(H4&lt;&gt;"",F4&amp;"-"&amp;H4&amp;"-"&amp;G4,"")</f>
        <v>DEV-Application Interface-Process - 1</v>
      </c>
      <c r="P4" s="1481">
        <f t="array" ref="P4">IF($H4&lt;&gt;"",
         INDEX('BOM FUNCTIONS'!$Y$6:$AA$669,MATCH(IP!$M4&amp;IP!$O4,'BOM FUNCTIONS'!$Y$6:$Y$669&amp;'BOM FUNCTIONS'!$Z$6:$Z$669,0),3),"")</f>
        <v>2401</v>
      </c>
      <c r="Q4" s="3417" t="s">
        <v>25</v>
      </c>
      <c r="R4" s="1482"/>
      <c r="S4" s="2" t="str">
        <f t="shared" ref="S4:S68" si="8">IF(B4&lt;&gt;"",
        IF(OR($P4=1717,$P4=1719,$P4=1785,$P4=2717,$P4=2719,$P4=2785,$P4=3017,$P4=30197,$P4=3085), "Need DMZ Backup Interface",""),"")</f>
        <v/>
      </c>
      <c r="T4" s="1963" t="s">
        <v>5649</v>
      </c>
      <c r="U4" s="1964" t="s">
        <v>5650</v>
      </c>
      <c r="V4" s="1965">
        <v>44218.365381944444</v>
      </c>
    </row>
    <row r="5" spans="1:22">
      <c r="A5" s="259" t="str">
        <f t="shared" si="0"/>
        <v>20213598-001  (IP02)</v>
      </c>
      <c r="B5" s="21" t="s">
        <v>5612</v>
      </c>
      <c r="C5" s="24">
        <f t="shared" si="1"/>
        <v>2</v>
      </c>
      <c r="D5" s="2464" t="str">
        <f t="shared" si="2"/>
        <v>dwauslmgt01</v>
      </c>
      <c r="E5" s="434" t="str">
        <f t="shared" si="3"/>
        <v>Linux</v>
      </c>
      <c r="F5" s="434" t="str">
        <f>IF(B5&lt;&gt;"",VLOOKUP(VLOOKUP(B5,dist_assets,2,FALSE),'Distributed Assets'!$C$7:$F$22,4,FALSE),"")</f>
        <v>DEV</v>
      </c>
      <c r="G5" s="434" t="str">
        <f t="shared" si="4"/>
        <v>Process - 1</v>
      </c>
      <c r="H5" s="25" t="s">
        <v>128</v>
      </c>
      <c r="I5" s="3047" t="str">
        <f t="array" ref="I5">IF($H5&lt;&gt;"",
         INDEX('BOM FUNCTIONS'!$Y$6:$AC$669,MATCH(IP!$M5&amp;IP!$O5,'BOM FUNCTIONS'!$Y$6:$Y$669&amp;'BOM FUNCTIONS'!$Z$6:$Z$669,0),5),"")</f>
        <v>192.168.180.0/22</v>
      </c>
      <c r="J5" s="2047" t="str">
        <f t="array" ref="J5">IF($H5&lt;&gt;"",
         INDEX('BOM FUNCTIONS'!$Y$6:$AD$669,MATCH(IP!$M5&amp;IP!$O5,'BOM FUNCTIONS'!$Y$6:$Y$669&amp;'BOM FUNCTIONS'!$Z$6:$Z$669,0),6),"")</f>
        <v>192.168.180.1</v>
      </c>
      <c r="K5" s="2632" t="str">
        <f t="shared" si="5"/>
        <v>dwauslmgt01.oob.dev.hcscint.net</v>
      </c>
      <c r="L5" s="2008" t="str">
        <f t="shared" si="6"/>
        <v>ECS-Open Systems</v>
      </c>
      <c r="M5" s="817" t="str">
        <f t="shared" si="7"/>
        <v>wau</v>
      </c>
      <c r="N5" s="479" t="s">
        <v>5651</v>
      </c>
      <c r="O5" s="436" t="str">
        <f t="shared" ref="O5:O68" si="9">IF(H5&lt;&gt;"",F5&amp;"-"&amp;H5&amp;"-"&amp;G5,"")</f>
        <v>DEV-OOB Interface-Process - 1</v>
      </c>
      <c r="P5" s="3049">
        <f t="array" ref="P5">IF($H5&lt;&gt;"",
         INDEX('BOM FUNCTIONS'!$Y$6:$AA$669,MATCH(IP!$M5&amp;IP!$O5,'BOM FUNCTIONS'!$Y$6:$Y$669&amp;'BOM FUNCTIONS'!$Z$6:$Z$669,0),3),"")</f>
        <v>2422</v>
      </c>
      <c r="Q5" s="3418" t="s">
        <v>25</v>
      </c>
      <c r="R5" s="849" t="e">
        <f>IF(B5&lt;&gt;"",
               IF(VLOOKUP($K5,DNS!$C$5:$I$54,6,FALSE)="No","No",
                    IF(AND($F5 = "Test 2.0", P5 &gt; 1715,$P5 &lt;1728),"Yes",
                     IF(AND($F5 ="Prod 2.0", P5 &gt; 2715, $P5 &lt; 2728), "Yes",
                          IF(OR(AND($F5 ="Prod F.W.", $P5 &gt; 3015, $P5&lt;3020,),AND($F5 ="Prod F.W.", $P5=3036)), "Yes","No")))),"")</f>
        <v>#N/A</v>
      </c>
      <c r="S5" s="2" t="str">
        <f t="shared" si="8"/>
        <v/>
      </c>
      <c r="T5" s="1966" t="s">
        <v>5649</v>
      </c>
      <c r="U5" s="876" t="s">
        <v>5652</v>
      </c>
      <c r="V5" s="1967">
        <v>44218.365740740737</v>
      </c>
    </row>
    <row r="6" spans="1:22">
      <c r="A6" s="259" t="str">
        <f t="shared" si="0"/>
        <v>20213598-002  (IP01)</v>
      </c>
      <c r="B6" s="21" t="s">
        <v>5613</v>
      </c>
      <c r="C6" s="24">
        <f t="shared" si="1"/>
        <v>1</v>
      </c>
      <c r="D6" s="2464" t="str">
        <f t="shared" si="2"/>
        <v>twauslmgt01</v>
      </c>
      <c r="E6" s="434" t="str">
        <f t="shared" si="3"/>
        <v>Linux</v>
      </c>
      <c r="F6" s="434" t="str">
        <f>IF(B6&lt;&gt;"",VLOOKUP(VLOOKUP(B6,dist_assets,2,FALSE),'Distributed Assets'!$C$7:$F$22,4,FALSE),"")</f>
        <v>Test 2.0</v>
      </c>
      <c r="G6" s="434" t="str">
        <f t="shared" si="4"/>
        <v>Process - 1</v>
      </c>
      <c r="H6" s="25" t="s">
        <v>126</v>
      </c>
      <c r="I6" s="3047" t="str">
        <f t="array" ref="I6">IF($H6&lt;&gt;"",
         INDEX('BOM FUNCTIONS'!$Y$6:$AC$669,MATCH(IP!$M6&amp;IP!$O6,'BOM FUNCTIONS'!$Y$6:$Y$669&amp;'BOM FUNCTIONS'!$Z$6:$Z$669,0),5),"")</f>
        <v>10.134.128.0/22</v>
      </c>
      <c r="J6" s="2047" t="str">
        <f t="array" ref="J6">IF($H6&lt;&gt;"",
         INDEX('BOM FUNCTIONS'!$Y$6:$AD$669,MATCH(IP!$M6&amp;IP!$O6,'BOM FUNCTIONS'!$Y$6:$Y$669&amp;'BOM FUNCTIONS'!$Z$6:$Z$669,0),6),"")</f>
        <v>10.134.128.1</v>
      </c>
      <c r="K6" s="2632" t="str">
        <f t="shared" si="5"/>
        <v>twauslmgt01.app.test.hcscint.net</v>
      </c>
      <c r="L6" s="2008" t="str">
        <f t="shared" si="6"/>
        <v>ECS-Open Systems</v>
      </c>
      <c r="M6" s="817" t="str">
        <f t="shared" si="7"/>
        <v>wau</v>
      </c>
      <c r="N6" s="479" t="s">
        <v>5653</v>
      </c>
      <c r="O6" s="436" t="str">
        <f t="shared" si="9"/>
        <v>Test 2.0-Application Interface-Process - 1</v>
      </c>
      <c r="P6" s="3049">
        <f t="array" ref="P6">IF($H6&lt;&gt;"",
         INDEX('BOM FUNCTIONS'!$Y$6:$AA$669,MATCH(IP!$M6&amp;IP!$O6,'BOM FUNCTIONS'!$Y$6:$Y$669&amp;'BOM FUNCTIONS'!$Z$6:$Z$669,0),3),"")</f>
        <v>1720</v>
      </c>
      <c r="Q6" s="3418" t="s">
        <v>25</v>
      </c>
      <c r="R6" s="849" t="str">
        <f>IF(B6&lt;&gt;"",
               IF(VLOOKUP($K6,DNS!$C$5:$I$54,6,FALSE)="No","No",
                    IF(AND($F6 = "Test 2.0", P6 &gt; 1715,$P6 &lt;1728),"Yes",
                     IF(AND($F6 ="Prod 2.0", P6 &gt; 2715, $P6 &lt; 2728), "Yes",
                          IF(OR(AND($F6 ="Prod F.W.", $P6 &gt; 3015, $P6&lt;3020,),AND($F6 ="Prod F.W.", $P6=3036)), "Yes","No")))),"")</f>
        <v>Yes</v>
      </c>
      <c r="S6" s="2" t="str">
        <f t="shared" si="8"/>
        <v/>
      </c>
      <c r="T6" s="1968" t="s">
        <v>5649</v>
      </c>
      <c r="U6" s="876" t="s">
        <v>5654</v>
      </c>
      <c r="V6" s="1967">
        <v>44218.366041666668</v>
      </c>
    </row>
    <row r="7" spans="1:22">
      <c r="A7" s="259" t="str">
        <f t="shared" si="0"/>
        <v>20213598-002  (IP02)</v>
      </c>
      <c r="B7" s="21" t="s">
        <v>5613</v>
      </c>
      <c r="C7" s="24">
        <f t="shared" si="1"/>
        <v>2</v>
      </c>
      <c r="D7" s="2464" t="str">
        <f t="shared" si="2"/>
        <v>twauslmgt01</v>
      </c>
      <c r="E7" s="434" t="str">
        <f t="shared" si="3"/>
        <v>Linux</v>
      </c>
      <c r="F7" s="434" t="str">
        <f>IF(B7&lt;&gt;"",VLOOKUP(VLOOKUP(B7,dist_assets,2,FALSE),'Distributed Assets'!$C$7:$F$22,4,FALSE),"")</f>
        <v>Test 2.0</v>
      </c>
      <c r="G7" s="434" t="str">
        <f t="shared" si="4"/>
        <v>Process - 1</v>
      </c>
      <c r="H7" s="25" t="s">
        <v>4364</v>
      </c>
      <c r="I7" s="3047" t="str">
        <f t="array" ref="I7">IF($H7&lt;&gt;"",
         INDEX('BOM FUNCTIONS'!$Y$6:$AC$669,MATCH(IP!$M7&amp;IP!$O7,'BOM FUNCTIONS'!$Y$6:$Y$669&amp;'BOM FUNCTIONS'!$Z$6:$Z$669,0),5),"")</f>
        <v>192.168.16.0/22</v>
      </c>
      <c r="J7" s="2047" t="str">
        <f t="array" ref="J7">IF($H7&lt;&gt;"",
         INDEX('BOM FUNCTIONS'!$Y$6:$AD$669,MATCH(IP!$M7&amp;IP!$O7,'BOM FUNCTIONS'!$Y$6:$Y$669&amp;'BOM FUNCTIONS'!$Z$6:$Z$669,0),6),"")</f>
        <v>192.168.16.1</v>
      </c>
      <c r="K7" s="2632" t="str">
        <f t="shared" si="5"/>
        <v>twauslmgt01.oob.test.hcscint.net</v>
      </c>
      <c r="L7" s="2008" t="str">
        <f t="shared" si="6"/>
        <v>ECS-Open Systems</v>
      </c>
      <c r="M7" s="817" t="str">
        <f t="shared" si="7"/>
        <v>wau</v>
      </c>
      <c r="N7" s="479" t="s">
        <v>5655</v>
      </c>
      <c r="O7" s="436" t="str">
        <f t="shared" si="9"/>
        <v>Test 2.0-OOB-3 Interface-Process - 1</v>
      </c>
      <c r="P7" s="3049">
        <f t="array" ref="P7">IF($H7&lt;&gt;"",
         INDEX('BOM FUNCTIONS'!$Y$6:$AA$669,MATCH(IP!$M7&amp;IP!$O7,'BOM FUNCTIONS'!$Y$6:$Y$669&amp;'BOM FUNCTIONS'!$Z$6:$Z$669,0),3),"")</f>
        <v>1800</v>
      </c>
      <c r="Q7" s="3418" t="s">
        <v>25</v>
      </c>
      <c r="R7" s="849" t="e">
        <f>IF(B7&lt;&gt;"",
               IF(VLOOKUP($K7,DNS!$C$5:$I$54,6,FALSE)="No","No",
                    IF(AND($F7 = "Test 2.0", P7 &gt; 1715,$P7 &lt;1728),"Yes",
                     IF(AND($F7 ="Prod 2.0", P7 &gt; 2715, $P7 &lt; 2728), "Yes",
                          IF(OR(AND($F7 ="Prod F.W.", $P7 &gt; 3015, $P7&lt;3020,),AND($F7 ="Prod F.W.", $P7=3036)), "Yes","No")))),"")</f>
        <v>#N/A</v>
      </c>
      <c r="S7" s="2" t="str">
        <f t="shared" si="8"/>
        <v/>
      </c>
      <c r="T7" s="1966" t="s">
        <v>5649</v>
      </c>
      <c r="U7" s="876" t="s">
        <v>5656</v>
      </c>
      <c r="V7" s="1967">
        <v>44218.366342592592</v>
      </c>
    </row>
    <row r="8" spans="1:22">
      <c r="A8" s="259" t="str">
        <f t="shared" si="0"/>
        <v>20213598-003  (IP01)</v>
      </c>
      <c r="B8" s="21" t="s">
        <v>5614</v>
      </c>
      <c r="C8" s="24">
        <f t="shared" si="1"/>
        <v>1</v>
      </c>
      <c r="D8" s="2464" t="str">
        <f t="shared" si="2"/>
        <v>awauslmgt01</v>
      </c>
      <c r="E8" s="434" t="str">
        <f t="shared" si="3"/>
        <v>Linux</v>
      </c>
      <c r="F8" s="434" t="str">
        <f>IF(B8&lt;&gt;"",VLOOKUP(VLOOKUP(B8,dist_assets,2,FALSE),'Distributed Assets'!$C$7:$F$22,4,FALSE),"")</f>
        <v>ALT Prod</v>
      </c>
      <c r="G8" s="434" t="str">
        <f t="shared" si="4"/>
        <v>Process - 1</v>
      </c>
      <c r="H8" s="25" t="s">
        <v>126</v>
      </c>
      <c r="I8" s="3047" t="str">
        <f t="array" ref="I8">IF($H8&lt;&gt;"",
         INDEX('BOM FUNCTIONS'!$Y$6:$AC$669,MATCH(IP!$M8&amp;IP!$O8,'BOM FUNCTIONS'!$Y$6:$Y$669&amp;'BOM FUNCTIONS'!$Z$6:$Z$669,0),5),"")</f>
        <v>10.137.52.0/22</v>
      </c>
      <c r="J8" s="2047" t="str">
        <f t="array" ref="J8">IF($H8&lt;&gt;"",
         INDEX('BOM FUNCTIONS'!$Y$6:$AD$669,MATCH(IP!$M8&amp;IP!$O8,'BOM FUNCTIONS'!$Y$6:$Y$669&amp;'BOM FUNCTIONS'!$Z$6:$Z$669,0),6),"")</f>
        <v>10.137.52.1</v>
      </c>
      <c r="K8" s="2632" t="str">
        <f t="shared" si="5"/>
        <v>awauslmgt01.app.alt.hcscint.net</v>
      </c>
      <c r="L8" s="2008" t="str">
        <f t="shared" si="6"/>
        <v>ECS-Open Systems</v>
      </c>
      <c r="M8" s="817" t="str">
        <f t="shared" si="7"/>
        <v>wau</v>
      </c>
      <c r="N8" s="479" t="s">
        <v>5657</v>
      </c>
      <c r="O8" s="436" t="str">
        <f t="shared" si="9"/>
        <v>ALT Prod-Application Interface-Process - 1</v>
      </c>
      <c r="P8" s="3049">
        <f t="array" ref="P8">IF($H8&lt;&gt;"",
         INDEX('BOM FUNCTIONS'!$Y$6:$AA$669,MATCH(IP!$M8&amp;IP!$O8,'BOM FUNCTIONS'!$Y$6:$Y$669&amp;'BOM FUNCTIONS'!$Z$6:$Z$669,0),3),"")</f>
        <v>2856</v>
      </c>
      <c r="Q8" s="3418" t="s">
        <v>25</v>
      </c>
      <c r="R8" s="849" t="str">
        <f>IF(B8&lt;&gt;"",
               IF(VLOOKUP($K8,DNS!$C$5:$I$54,6,FALSE)="No","No",
                    IF(AND($F8 = "Test 2.0", P8 &gt; 1715,$P8 &lt;1728),"Yes",
                     IF(AND($F8 ="Prod 2.0", P8 &gt; 2715, $P8 &lt; 2728), "Yes",
                          IF(OR(AND($F8 ="Prod F.W.", $P8 &gt; 3015, $P8&lt;3020,),AND($F8 ="Prod F.W.", $P8=3036)), "Yes","No")))),"")</f>
        <v>No</v>
      </c>
      <c r="S8" s="2" t="str">
        <f t="shared" si="8"/>
        <v/>
      </c>
      <c r="T8" s="1968" t="s">
        <v>5649</v>
      </c>
      <c r="U8" s="876" t="s">
        <v>5658</v>
      </c>
      <c r="V8" s="1967">
        <v>44218.366666666669</v>
      </c>
    </row>
    <row r="9" spans="1:22">
      <c r="A9" s="259" t="str">
        <f t="shared" si="0"/>
        <v>20213598-003  (IP02)</v>
      </c>
      <c r="B9" s="21" t="s">
        <v>5614</v>
      </c>
      <c r="C9" s="24">
        <f t="shared" si="1"/>
        <v>2</v>
      </c>
      <c r="D9" s="2464" t="str">
        <f t="shared" si="2"/>
        <v>awauslmgt01</v>
      </c>
      <c r="E9" s="434" t="str">
        <f t="shared" si="3"/>
        <v>Linux</v>
      </c>
      <c r="F9" s="434" t="str">
        <f>IF(B9&lt;&gt;"",VLOOKUP(VLOOKUP(B9,dist_assets,2,FALSE),'Distributed Assets'!$C$7:$F$22,4,FALSE),"")</f>
        <v>ALT Prod</v>
      </c>
      <c r="G9" s="434" t="str">
        <f t="shared" si="4"/>
        <v>Process - 1</v>
      </c>
      <c r="H9" s="25" t="s">
        <v>128</v>
      </c>
      <c r="I9" s="3047" t="str">
        <f t="array" ref="I9">IF($H9&lt;&gt;"",
         INDEX('BOM FUNCTIONS'!$Y$6:$AC$669,MATCH(IP!$M9&amp;IP!$O9,'BOM FUNCTIONS'!$Y$6:$Y$669&amp;'BOM FUNCTIONS'!$Z$6:$Z$669,0),5),"")</f>
        <v>192.168.40.0/22</v>
      </c>
      <c r="J9" s="2047" t="str">
        <f t="array" ref="J9">IF($H9&lt;&gt;"",
         INDEX('BOM FUNCTIONS'!$Y$6:$AD$669,MATCH(IP!$M9&amp;IP!$O9,'BOM FUNCTIONS'!$Y$6:$Y$669&amp;'BOM FUNCTIONS'!$Z$6:$Z$669,0),6),"")</f>
        <v>192.168.40.1</v>
      </c>
      <c r="K9" s="2632" t="str">
        <f t="shared" si="5"/>
        <v>awauslmgt01.oob.test.hcscint.net</v>
      </c>
      <c r="L9" s="2008" t="str">
        <f t="shared" si="6"/>
        <v>ECS-Open Systems</v>
      </c>
      <c r="M9" s="817" t="str">
        <f t="shared" si="7"/>
        <v>wau</v>
      </c>
      <c r="N9" s="479" t="s">
        <v>5659</v>
      </c>
      <c r="O9" s="436" t="str">
        <f t="shared" si="9"/>
        <v>ALT Prod-OOB Interface-Process - 1</v>
      </c>
      <c r="P9" s="3049">
        <f t="array" ref="P9">IF($H9&lt;&gt;"",
         INDEX('BOM FUNCTIONS'!$Y$6:$AA$669,MATCH(IP!$M9&amp;IP!$O9,'BOM FUNCTIONS'!$Y$6:$Y$669&amp;'BOM FUNCTIONS'!$Z$6:$Z$669,0),3),"")</f>
        <v>2845</v>
      </c>
      <c r="Q9" s="3418" t="s">
        <v>25</v>
      </c>
      <c r="R9" s="849" t="e">
        <f>IF(B9&lt;&gt;"",
               IF(VLOOKUP($K9,DNS!$C$5:$I$54,6,FALSE)="No","No",
                    IF(AND($F9 = "Test 2.0", P9 &gt; 1715,$P9 &lt;1728),"Yes",
                     IF(AND($F9 ="Prod 2.0", P9 &gt; 2715, $P9 &lt; 2728), "Yes",
                          IF(OR(AND($F9 ="Prod F.W.", $P9 &gt; 3015, $P9&lt;3020,),AND($F9 ="Prod F.W.", $P9=3036)), "Yes","No")))),"")</f>
        <v>#N/A</v>
      </c>
      <c r="S9" s="2" t="str">
        <f t="shared" si="8"/>
        <v/>
      </c>
      <c r="T9" s="1966" t="s">
        <v>5649</v>
      </c>
      <c r="U9" s="876" t="s">
        <v>5660</v>
      </c>
      <c r="V9" s="1967">
        <v>44218.366932870369</v>
      </c>
    </row>
    <row r="10" spans="1:22">
      <c r="A10" s="259" t="str">
        <f t="shared" si="0"/>
        <v>20213598-004  (IP01)</v>
      </c>
      <c r="B10" s="21" t="s">
        <v>5615</v>
      </c>
      <c r="C10" s="24">
        <f t="shared" si="1"/>
        <v>1</v>
      </c>
      <c r="D10" s="2464" t="str">
        <f t="shared" si="2"/>
        <v>pwauslmgt01</v>
      </c>
      <c r="E10" s="434" t="str">
        <f t="shared" si="3"/>
        <v>Linux</v>
      </c>
      <c r="F10" s="434" t="str">
        <f>IF(B10&lt;&gt;"",VLOOKUP(VLOOKUP(B10,dist_assets,2,FALSE),'Distributed Assets'!$C$7:$F$22,4,FALSE),"")</f>
        <v>Prod 2.0</v>
      </c>
      <c r="G10" s="434" t="str">
        <f t="shared" si="4"/>
        <v>Process - 3</v>
      </c>
      <c r="H10" s="25" t="s">
        <v>126</v>
      </c>
      <c r="I10" s="3047" t="str">
        <f t="array" ref="I10">IF($H10&lt;&gt;"",
         INDEX('BOM FUNCTIONS'!$Y$6:$AC$669,MATCH(IP!$M10&amp;IP!$O10,'BOM FUNCTIONS'!$Y$6:$Y$669&amp;'BOM FUNCTIONS'!$Z$6:$Z$669,0),5),"")</f>
        <v>10.136.136.0/22</v>
      </c>
      <c r="J10" s="2047" t="str">
        <f t="array" ref="J10">IF($H10&lt;&gt;"",
         INDEX('BOM FUNCTIONS'!$Y$6:$AD$669,MATCH(IP!$M10&amp;IP!$O10,'BOM FUNCTIONS'!$Y$6:$Y$669&amp;'BOM FUNCTIONS'!$Z$6:$Z$669,0),6),"")</f>
        <v>10.136.136.1</v>
      </c>
      <c r="K10" s="2632" t="str">
        <f t="shared" si="5"/>
        <v>pwauslmgt01.app.hcscint.net</v>
      </c>
      <c r="L10" s="2008" t="str">
        <f t="shared" si="6"/>
        <v>ECS-Open Systems</v>
      </c>
      <c r="M10" s="446" t="str">
        <f t="shared" si="7"/>
        <v>wau</v>
      </c>
      <c r="N10" s="479" t="s">
        <v>5661</v>
      </c>
      <c r="O10" s="436" t="str">
        <f t="shared" si="9"/>
        <v>Prod 2.0-Application Interface-Process - 3</v>
      </c>
      <c r="P10" s="3049">
        <f t="array" ref="P10">IF($H10&lt;&gt;"",
         INDEX('BOM FUNCTIONS'!$Y$6:$AA$669,MATCH(IP!$M10&amp;IP!$O10,'BOM FUNCTIONS'!$Y$6:$Y$669&amp;'BOM FUNCTIONS'!$Z$6:$Z$669,0),3),"")</f>
        <v>2722</v>
      </c>
      <c r="Q10" s="3418" t="s">
        <v>25</v>
      </c>
      <c r="R10" s="849" t="str">
        <f>IF(B10&lt;&gt;"",
               IF(VLOOKUP($K10,DNS!$C$5:$I$54,6,FALSE)="No","No",
                    IF(AND($F10 = "Test 2.0", P10 &gt; 1715,$P10 &lt;1728),"Yes",
                     IF(AND($F10 ="Prod 2.0", P10 &gt; 2715, $P10 &lt; 2728), "Yes",
                          IF(OR(AND($F10 ="Prod F.W.", $P10 &gt; 3015, $P10&lt;3020,),AND($F10 ="Prod F.W.", $P10=3036)), "Yes","No")))),"")</f>
        <v>Yes</v>
      </c>
      <c r="S10" s="2" t="str">
        <f t="shared" si="8"/>
        <v/>
      </c>
      <c r="T10" s="1968" t="s">
        <v>5649</v>
      </c>
      <c r="U10" s="876" t="s">
        <v>5662</v>
      </c>
      <c r="V10" s="1967">
        <v>44218.3672337963</v>
      </c>
    </row>
    <row r="11" spans="1:22">
      <c r="A11" s="259" t="str">
        <f t="shared" si="0"/>
        <v>20213598-004  (IP02)</v>
      </c>
      <c r="B11" s="21" t="s">
        <v>5615</v>
      </c>
      <c r="C11" s="24">
        <f t="shared" si="1"/>
        <v>2</v>
      </c>
      <c r="D11" s="2464" t="str">
        <f t="shared" si="2"/>
        <v>pwauslmgt01</v>
      </c>
      <c r="E11" s="434" t="str">
        <f t="shared" si="3"/>
        <v>Linux</v>
      </c>
      <c r="F11" s="434" t="str">
        <f>IF(B11&lt;&gt;"",VLOOKUP(VLOOKUP(B11,dist_assets,2,FALSE),'Distributed Assets'!$C$7:$F$22,4,FALSE),"")</f>
        <v>Prod 2.0</v>
      </c>
      <c r="G11" s="434" t="str">
        <f t="shared" si="4"/>
        <v>Process - 3</v>
      </c>
      <c r="H11" s="25" t="s">
        <v>3523</v>
      </c>
      <c r="I11" s="3047" t="str">
        <f t="array" ref="I11">IF($H11&lt;&gt;"",
         INDEX('BOM FUNCTIONS'!$Y$6:$AC$669,MATCH(IP!$M11&amp;IP!$O11,'BOM FUNCTIONS'!$Y$6:$Y$669&amp;'BOM FUNCTIONS'!$Z$6:$Z$669,0),5),"")</f>
        <v>192.168.40.0/22</v>
      </c>
      <c r="J11" s="2047" t="str">
        <f t="array" ref="J11">IF($H11&lt;&gt;"",
         INDEX('BOM FUNCTIONS'!$Y$6:$AD$669,MATCH(IP!$M11&amp;IP!$O11,'BOM FUNCTIONS'!$Y$6:$Y$669&amp;'BOM FUNCTIONS'!$Z$6:$Z$669,0),6),"")</f>
        <v>192.168.40.1</v>
      </c>
      <c r="K11" s="2632" t="str">
        <f t="shared" si="5"/>
        <v>pwauslmgt01.oob.hcscint.net</v>
      </c>
      <c r="L11" s="2008" t="str">
        <f t="shared" si="6"/>
        <v>ECS-Open Systems</v>
      </c>
      <c r="M11" s="446" t="str">
        <f t="shared" si="7"/>
        <v>wau</v>
      </c>
      <c r="N11" s="479" t="s">
        <v>5663</v>
      </c>
      <c r="O11" s="436" t="str">
        <f t="shared" si="9"/>
        <v>Prod 2.0-OOB-2 Interface-Process - 3</v>
      </c>
      <c r="P11" s="3049">
        <f t="array" ref="P11">IF($H11&lt;&gt;"",
         INDEX('BOM FUNCTIONS'!$Y$6:$AA$669,MATCH(IP!$M11&amp;IP!$O11,'BOM FUNCTIONS'!$Y$6:$Y$669&amp;'BOM FUNCTIONS'!$Z$6:$Z$669,0),3),"")</f>
        <v>2845</v>
      </c>
      <c r="Q11" s="3418" t="s">
        <v>25</v>
      </c>
      <c r="R11" s="849" t="e">
        <f>IF(B11&lt;&gt;"",
               IF(VLOOKUP($K11,DNS!$C$5:$I$54,6,FALSE)="No","No",
                    IF(AND($F11 = "Test 2.0", P11 &gt; 1715,$P11 &lt;1728),"Yes",
                     IF(AND($F11 ="Prod 2.0", P11 &gt; 2715, $P11 &lt; 2728), "Yes",
                          IF(OR(AND($F11 ="Prod F.W.", $P11 &gt; 3015, $P11&lt;3020,),AND($F11 ="Prod F.W.", $P11=3036)), "Yes","No")))),"")</f>
        <v>#N/A</v>
      </c>
      <c r="S11" s="2" t="str">
        <f t="shared" si="8"/>
        <v/>
      </c>
      <c r="T11" s="1968" t="s">
        <v>5649</v>
      </c>
      <c r="U11" s="876" t="s">
        <v>5664</v>
      </c>
      <c r="V11" s="1967">
        <v>44218.367523148147</v>
      </c>
    </row>
    <row r="12" spans="1:22">
      <c r="A12" s="259" t="str">
        <f t="shared" si="0"/>
        <v/>
      </c>
      <c r="B12" s="21"/>
      <c r="C12" s="24" t="str">
        <f t="shared" si="1"/>
        <v/>
      </c>
      <c r="D12" s="2464" t="str">
        <f t="shared" si="2"/>
        <v/>
      </c>
      <c r="E12" s="434" t="str">
        <f t="shared" si="3"/>
        <v/>
      </c>
      <c r="F12" s="434" t="str">
        <f>IF(B12&lt;&gt;"",VLOOKUP(VLOOKUP(B12,dist_assets,2,FALSE),'Distributed Assets'!$C$7:$F$22,4,FALSE),"")</f>
        <v/>
      </c>
      <c r="G12" s="434" t="str">
        <f t="shared" si="4"/>
        <v/>
      </c>
      <c r="H12" s="25"/>
      <c r="I12" s="3047" t="str">
        <f t="array" ref="I12">IF($H12&lt;&gt;"",
         INDEX('BOM FUNCTIONS'!$Y$6:$AC$669,MATCH(IP!$M12&amp;IP!$O12,'BOM FUNCTIONS'!$Y$6:$Y$669&amp;'BOM FUNCTIONS'!$Z$6:$Z$669,0),5),"")</f>
        <v/>
      </c>
      <c r="J12" s="2047" t="str">
        <f t="array" ref="J12">IF($H12&lt;&gt;"",
         INDEX('BOM FUNCTIONS'!$Y$6:$AD$669,MATCH(IP!$M12&amp;IP!$O12,'BOM FUNCTIONS'!$Y$6:$Y$669&amp;'BOM FUNCTIONS'!$Z$6:$Z$669,0),6),"")</f>
        <v/>
      </c>
      <c r="K12" s="2632" t="str">
        <f t="shared" si="5"/>
        <v/>
      </c>
      <c r="L12" s="2008" t="str">
        <f t="shared" si="6"/>
        <v/>
      </c>
      <c r="M12" s="446" t="str">
        <f t="shared" si="7"/>
        <v/>
      </c>
      <c r="N12" s="479"/>
      <c r="O12" s="436" t="str">
        <f t="shared" si="9"/>
        <v/>
      </c>
      <c r="P12" s="3049" t="str">
        <f t="array" ref="P12">IF($H12&lt;&gt;"",
         INDEX('BOM FUNCTIONS'!$Y$6:$AA$669,MATCH(IP!$M12&amp;IP!$O12,'BOM FUNCTIONS'!$Y$6:$Y$669&amp;'BOM FUNCTIONS'!$Z$6:$Z$669,0),3),"")</f>
        <v/>
      </c>
      <c r="Q12" s="2717"/>
      <c r="R12" s="849" t="str">
        <f>IF(B12&lt;&gt;"",
               IF(VLOOKUP($K12,DNS!$C$5:$I$54,6,FALSE)="No","No",
                    IF(AND($F12 = "Test 2.0", P12 &gt; 1715,$P12 &lt;1728),"Yes",
                     IF(AND($F12 ="Prod 2.0", P12 &gt; 2715, $P12 &lt; 2728), "Yes",
                          IF(OR(AND($F12 ="Prod F.W.", $P12 &gt; 3015, $P12&lt;3020,),AND($F12 ="Prod F.W.", $P12=3036)), "Yes","No")))),"")</f>
        <v/>
      </c>
      <c r="S12" s="2" t="str">
        <f t="shared" si="8"/>
        <v/>
      </c>
      <c r="T12" s="1966"/>
      <c r="U12" s="876"/>
      <c r="V12" s="1967"/>
    </row>
    <row r="13" spans="1:22">
      <c r="A13" s="259" t="str">
        <f t="shared" si="0"/>
        <v/>
      </c>
      <c r="B13" s="21"/>
      <c r="C13" s="24" t="str">
        <f t="shared" si="1"/>
        <v/>
      </c>
      <c r="D13" s="2464" t="str">
        <f t="shared" si="2"/>
        <v/>
      </c>
      <c r="E13" s="434" t="str">
        <f t="shared" si="3"/>
        <v/>
      </c>
      <c r="F13" s="434" t="str">
        <f>IF(B13&lt;&gt;"",VLOOKUP(VLOOKUP(B13,dist_assets,2,FALSE),'Distributed Assets'!$C$7:$F$22,4,FALSE),"")</f>
        <v/>
      </c>
      <c r="G13" s="434" t="str">
        <f t="shared" si="4"/>
        <v/>
      </c>
      <c r="H13" s="25"/>
      <c r="I13" s="3047" t="str">
        <f t="array" ref="I13">IF($H13&lt;&gt;"",
         INDEX('BOM FUNCTIONS'!$Y$6:$AC$669,MATCH(IP!$M13&amp;IP!$O13,'BOM FUNCTIONS'!$Y$6:$Y$669&amp;'BOM FUNCTIONS'!$Z$6:$Z$669,0),5),"")</f>
        <v/>
      </c>
      <c r="J13" s="2047" t="str">
        <f t="array" ref="J13">IF($H13&lt;&gt;"",
         INDEX('BOM FUNCTIONS'!$Y$6:$AD$669,MATCH(IP!$M13&amp;IP!$O13,'BOM FUNCTIONS'!$Y$6:$Y$669&amp;'BOM FUNCTIONS'!$Z$6:$Z$669,0),6),"")</f>
        <v/>
      </c>
      <c r="K13" s="2632" t="str">
        <f t="shared" si="5"/>
        <v/>
      </c>
      <c r="L13" s="2008" t="str">
        <f t="shared" si="6"/>
        <v/>
      </c>
      <c r="M13" s="446" t="str">
        <f t="shared" si="7"/>
        <v/>
      </c>
      <c r="N13" s="479"/>
      <c r="O13" s="436" t="str">
        <f t="shared" si="9"/>
        <v/>
      </c>
      <c r="P13" s="3049" t="str">
        <f t="array" ref="P13">IF($H13&lt;&gt;"",
         INDEX('BOM FUNCTIONS'!$Y$6:$AA$669,MATCH(IP!$M13&amp;IP!$O13,'BOM FUNCTIONS'!$Y$6:$Y$669&amp;'BOM FUNCTIONS'!$Z$6:$Z$669,0),3),"")</f>
        <v/>
      </c>
      <c r="Q13" s="2717"/>
      <c r="R13" s="849" t="str">
        <f>IF(B13&lt;&gt;"",
               IF(VLOOKUP($K13,DNS!$C$5:$I$54,6,FALSE)="No","No",
                    IF(AND($F13 = "Test 2.0", P13 &gt; 1715,$P13 &lt;1728),"Yes",
                     IF(AND($F13 ="Prod 2.0", P13 &gt; 2715, $P13 &lt; 2728), "Yes",
                          IF(OR(AND($F13 ="Prod F.W.", $P13 &gt; 3015, $P13&lt;3020,),AND($F13 ="Prod F.W.", $P13=3036)), "Yes","No")))),"")</f>
        <v/>
      </c>
      <c r="S13" s="2" t="str">
        <f t="shared" si="8"/>
        <v/>
      </c>
      <c r="T13" s="1966"/>
      <c r="U13" s="876"/>
      <c r="V13" s="1967"/>
    </row>
    <row r="14" spans="1:22">
      <c r="A14" s="259" t="str">
        <f t="shared" si="0"/>
        <v/>
      </c>
      <c r="B14" s="21"/>
      <c r="C14" s="24" t="str">
        <f t="shared" si="1"/>
        <v/>
      </c>
      <c r="D14" s="2464" t="str">
        <f t="shared" si="2"/>
        <v/>
      </c>
      <c r="E14" s="434" t="str">
        <f t="shared" si="3"/>
        <v/>
      </c>
      <c r="F14" s="434" t="str">
        <f>IF(B14&lt;&gt;"",VLOOKUP(VLOOKUP(B14,dist_assets,2,FALSE),'Distributed Assets'!$C$7:$F$22,4,FALSE),"")</f>
        <v/>
      </c>
      <c r="G14" s="434" t="str">
        <f t="shared" si="4"/>
        <v/>
      </c>
      <c r="H14" s="25"/>
      <c r="I14" s="3047" t="str">
        <f t="array" ref="I14">IF($H14&lt;&gt;"",
         INDEX('BOM FUNCTIONS'!$Y$6:$AC$669,MATCH(IP!$M14&amp;IP!$O14,'BOM FUNCTIONS'!$Y$6:$Y$669&amp;'BOM FUNCTIONS'!$Z$6:$Z$669,0),5),"")</f>
        <v/>
      </c>
      <c r="J14" s="2047" t="str">
        <f t="array" ref="J14">IF($H14&lt;&gt;"",
         INDEX('BOM FUNCTIONS'!$Y$6:$AD$669,MATCH(IP!$M14&amp;IP!$O14,'BOM FUNCTIONS'!$Y$6:$Y$669&amp;'BOM FUNCTIONS'!$Z$6:$Z$669,0),6),"")</f>
        <v/>
      </c>
      <c r="K14" s="2632" t="str">
        <f t="shared" si="5"/>
        <v/>
      </c>
      <c r="L14" s="2008" t="str">
        <f t="shared" si="6"/>
        <v/>
      </c>
      <c r="M14" s="446" t="str">
        <f t="shared" si="7"/>
        <v/>
      </c>
      <c r="N14" s="479"/>
      <c r="O14" s="436" t="str">
        <f t="shared" si="9"/>
        <v/>
      </c>
      <c r="P14" s="3049" t="str">
        <f t="array" ref="P14">IF($H14&lt;&gt;"",
         INDEX('BOM FUNCTIONS'!$Y$6:$AA$669,MATCH(IP!$M14&amp;IP!$O14,'BOM FUNCTIONS'!$Y$6:$Y$669&amp;'BOM FUNCTIONS'!$Z$6:$Z$669,0),3),"")</f>
        <v/>
      </c>
      <c r="Q14" s="2717"/>
      <c r="R14" s="849" t="str">
        <f>IF(B14&lt;&gt;"",
               IF(VLOOKUP($K14,DNS!$C$5:$I$54,6,FALSE)="No","No",
                    IF(AND($F14 = "Test 2.0", P14 &gt; 1715,$P14 &lt;1728),"Yes",
                     IF(AND($F14 ="Prod 2.0", P14 &gt; 2715, $P14 &lt; 2728), "Yes",
                          IF(OR(AND($F14 ="Prod F.W.", $P14 &gt; 3015, $P14&lt;3020,),AND($F14 ="Prod F.W.", $P14=3036)), "Yes","No")))),"")</f>
        <v/>
      </c>
      <c r="S14" s="2" t="str">
        <f t="shared" si="8"/>
        <v/>
      </c>
      <c r="T14" s="1966"/>
      <c r="U14" s="876"/>
      <c r="V14" s="1967"/>
    </row>
    <row r="15" spans="1:22">
      <c r="A15" s="259" t="str">
        <f t="shared" si="0"/>
        <v/>
      </c>
      <c r="B15" s="21"/>
      <c r="C15" s="24" t="str">
        <f t="shared" si="1"/>
        <v/>
      </c>
      <c r="D15" s="2464" t="str">
        <f t="shared" si="2"/>
        <v/>
      </c>
      <c r="E15" s="434" t="str">
        <f t="shared" si="3"/>
        <v/>
      </c>
      <c r="F15" s="434" t="str">
        <f>IF(B15&lt;&gt;"",VLOOKUP(VLOOKUP(B15,dist_assets,2,FALSE),'Distributed Assets'!$C$7:$F$22,4,FALSE),"")</f>
        <v/>
      </c>
      <c r="G15" s="434" t="str">
        <f t="shared" si="4"/>
        <v/>
      </c>
      <c r="H15" s="25"/>
      <c r="I15" s="3047" t="str">
        <f t="array" ref="I15">IF($H15&lt;&gt;"",
         INDEX('BOM FUNCTIONS'!$Y$6:$AC$669,MATCH(IP!$M15&amp;IP!$O15,'BOM FUNCTIONS'!$Y$6:$Y$669&amp;'BOM FUNCTIONS'!$Z$6:$Z$669,0),5),"")</f>
        <v/>
      </c>
      <c r="J15" s="2047" t="str">
        <f t="array" ref="J15">IF($H15&lt;&gt;"",
         INDEX('BOM FUNCTIONS'!$Y$6:$AD$669,MATCH(IP!$M15&amp;IP!$O15,'BOM FUNCTIONS'!$Y$6:$Y$669&amp;'BOM FUNCTIONS'!$Z$6:$Z$669,0),6),"")</f>
        <v/>
      </c>
      <c r="K15" s="2632" t="str">
        <f t="shared" si="5"/>
        <v/>
      </c>
      <c r="L15" s="2008" t="str">
        <f t="shared" si="6"/>
        <v/>
      </c>
      <c r="M15" s="446" t="str">
        <f t="shared" si="7"/>
        <v/>
      </c>
      <c r="N15" s="479"/>
      <c r="O15" s="436" t="str">
        <f t="shared" si="9"/>
        <v/>
      </c>
      <c r="P15" s="3049" t="str">
        <f t="array" ref="P15">IF($H15&lt;&gt;"",
         INDEX('BOM FUNCTIONS'!$Y$6:$AA$669,MATCH(IP!$M15&amp;IP!$O15,'BOM FUNCTIONS'!$Y$6:$Y$669&amp;'BOM FUNCTIONS'!$Z$6:$Z$669,0),3),"")</f>
        <v/>
      </c>
      <c r="Q15" s="2717"/>
      <c r="R15" s="849" t="str">
        <f>IF(B15&lt;&gt;"",
               IF(VLOOKUP($K15,DNS!$C$5:$I$54,6,FALSE)="No","No",
                    IF(AND($F15 = "Test 2.0", P15 &gt; 1715,$P15 &lt;1728),"Yes",
                     IF(AND($F15 ="Prod 2.0", P15 &gt; 2715, $P15 &lt; 2728), "Yes",
                          IF(OR(AND($F15 ="Prod F.W.", $P15 &gt; 3015, $P15&lt;3020,),AND($F15 ="Prod F.W.", $P15=3036)), "Yes","No")))),"")</f>
        <v/>
      </c>
      <c r="S15" s="2" t="str">
        <f t="shared" si="8"/>
        <v/>
      </c>
      <c r="T15" s="1966"/>
      <c r="U15" s="876"/>
      <c r="V15" s="1967"/>
    </row>
    <row r="16" spans="1:22">
      <c r="A16" s="259" t="str">
        <f t="shared" si="0"/>
        <v/>
      </c>
      <c r="B16" s="21"/>
      <c r="C16" s="24" t="str">
        <f t="shared" si="1"/>
        <v/>
      </c>
      <c r="D16" s="2464" t="str">
        <f t="shared" si="2"/>
        <v/>
      </c>
      <c r="E16" s="434" t="str">
        <f t="shared" si="3"/>
        <v/>
      </c>
      <c r="F16" s="434" t="str">
        <f>IF(B16&lt;&gt;"",VLOOKUP(VLOOKUP(B16,dist_assets,2,FALSE),'Distributed Assets'!$C$7:$F$22,4,FALSE),"")</f>
        <v/>
      </c>
      <c r="G16" s="434" t="str">
        <f t="shared" si="4"/>
        <v/>
      </c>
      <c r="H16" s="25"/>
      <c r="I16" s="3047" t="str">
        <f t="array" ref="I16">IF($H16&lt;&gt;"",
         INDEX('BOM FUNCTIONS'!$Y$6:$AC$669,MATCH(IP!$M16&amp;IP!$O16,'BOM FUNCTIONS'!$Y$6:$Y$669&amp;'BOM FUNCTIONS'!$Z$6:$Z$669,0),5),"")</f>
        <v/>
      </c>
      <c r="J16" s="2047" t="str">
        <f t="array" ref="J16">IF($H16&lt;&gt;"",
         INDEX('BOM FUNCTIONS'!$Y$6:$AD$669,MATCH(IP!$M16&amp;IP!$O16,'BOM FUNCTIONS'!$Y$6:$Y$669&amp;'BOM FUNCTIONS'!$Z$6:$Z$669,0),6),"")</f>
        <v/>
      </c>
      <c r="K16" s="2632" t="str">
        <f t="shared" si="5"/>
        <v/>
      </c>
      <c r="L16" s="2008" t="str">
        <f t="shared" si="6"/>
        <v/>
      </c>
      <c r="M16" s="446" t="str">
        <f t="shared" si="7"/>
        <v/>
      </c>
      <c r="N16" s="479"/>
      <c r="O16" s="436" t="str">
        <f t="shared" si="9"/>
        <v/>
      </c>
      <c r="P16" s="3049" t="str">
        <f t="array" ref="P16">IF($H16&lt;&gt;"",
         INDEX('BOM FUNCTIONS'!$Y$6:$AA$669,MATCH(IP!$M16&amp;IP!$O16,'BOM FUNCTIONS'!$Y$6:$Y$669&amp;'BOM FUNCTIONS'!$Z$6:$Z$669,0),3),"")</f>
        <v/>
      </c>
      <c r="Q16" s="2717"/>
      <c r="R16" s="849" t="str">
        <f>IF(B16&lt;&gt;"",
               IF(VLOOKUP($K16,DNS!$C$5:$I$54,6,FALSE)="No","No",
                    IF(AND($F16 = "Test 2.0", P16 &gt; 1715,$P16 &lt;1728),"Yes",
                     IF(AND($F16 ="Prod 2.0", P16 &gt; 2715, $P16 &lt; 2728), "Yes",
                          IF(OR(AND($F16 ="Prod F.W.", $P16 &gt; 3015, $P16&lt;3020,),AND($F16 ="Prod F.W.", $P16=3036)), "Yes","No")))),"")</f>
        <v/>
      </c>
      <c r="S16" s="2" t="str">
        <f t="shared" si="8"/>
        <v/>
      </c>
      <c r="T16" s="1966"/>
      <c r="U16" s="876"/>
      <c r="V16" s="1967"/>
    </row>
    <row r="17" spans="1:22">
      <c r="A17" s="259" t="str">
        <f t="shared" si="0"/>
        <v/>
      </c>
      <c r="B17" s="21"/>
      <c r="C17" s="24" t="str">
        <f t="shared" si="1"/>
        <v/>
      </c>
      <c r="D17" s="2464" t="str">
        <f t="shared" si="2"/>
        <v/>
      </c>
      <c r="E17" s="434" t="str">
        <f t="shared" si="3"/>
        <v/>
      </c>
      <c r="F17" s="434" t="str">
        <f>IF(B17&lt;&gt;"",VLOOKUP(VLOOKUP(B17,dist_assets,2,FALSE),'Distributed Assets'!$C$7:$F$22,4,FALSE),"")</f>
        <v/>
      </c>
      <c r="G17" s="434" t="str">
        <f t="shared" si="4"/>
        <v/>
      </c>
      <c r="H17" s="25"/>
      <c r="I17" s="3047" t="str">
        <f t="array" ref="I17">IF($H17&lt;&gt;"",
         INDEX('BOM FUNCTIONS'!$Y$6:$AC$669,MATCH(IP!$M17&amp;IP!$O17,'BOM FUNCTIONS'!$Y$6:$Y$669&amp;'BOM FUNCTIONS'!$Z$6:$Z$669,0),5),"")</f>
        <v/>
      </c>
      <c r="J17" s="2047" t="str">
        <f t="array" ref="J17">IF($H17&lt;&gt;"",
         INDEX('BOM FUNCTIONS'!$Y$6:$AD$669,MATCH(IP!$M17&amp;IP!$O17,'BOM FUNCTIONS'!$Y$6:$Y$669&amp;'BOM FUNCTIONS'!$Z$6:$Z$669,0),6),"")</f>
        <v/>
      </c>
      <c r="K17" s="2632" t="str">
        <f t="shared" si="5"/>
        <v/>
      </c>
      <c r="L17" s="2008" t="str">
        <f t="shared" si="6"/>
        <v/>
      </c>
      <c r="M17" s="446" t="str">
        <f t="shared" si="7"/>
        <v/>
      </c>
      <c r="N17" s="479"/>
      <c r="O17" s="436" t="str">
        <f t="shared" si="9"/>
        <v/>
      </c>
      <c r="P17" s="3049" t="str">
        <f t="array" ref="P17">IF($H17&lt;&gt;"",
         INDEX('BOM FUNCTIONS'!$Y$6:$AA$669,MATCH(IP!$M17&amp;IP!$O17,'BOM FUNCTIONS'!$Y$6:$Y$669&amp;'BOM FUNCTIONS'!$Z$6:$Z$669,0),3),"")</f>
        <v/>
      </c>
      <c r="Q17" s="2717"/>
      <c r="R17" s="849" t="str">
        <f>IF(B17&lt;&gt;"",
               IF(VLOOKUP($K17,DNS!$C$5:$I$54,6,FALSE)="No","No",
                    IF(AND($F17 = "Test 2.0", P17 &gt; 1715,$P17 &lt;1728),"Yes",
                     IF(AND($F17 ="Prod 2.0", P17 &gt; 2715, $P17 &lt; 2728), "Yes",
                          IF(OR(AND($F17 ="Prod F.W.", $P17 &gt; 3015, $P17&lt;3020,),AND($F17 ="Prod F.W.", $P17=3036)), "Yes","No")))),"")</f>
        <v/>
      </c>
      <c r="S17" s="2" t="str">
        <f t="shared" si="8"/>
        <v/>
      </c>
      <c r="T17" s="1966"/>
      <c r="U17" s="876"/>
      <c r="V17" s="1967"/>
    </row>
    <row r="18" spans="1:22">
      <c r="A18" s="259" t="str">
        <f t="shared" si="0"/>
        <v/>
      </c>
      <c r="B18" s="21"/>
      <c r="C18" s="24" t="str">
        <f t="shared" si="1"/>
        <v/>
      </c>
      <c r="D18" s="2464" t="str">
        <f t="shared" si="2"/>
        <v/>
      </c>
      <c r="E18" s="434" t="str">
        <f t="shared" si="3"/>
        <v/>
      </c>
      <c r="F18" s="434" t="str">
        <f>IF(B18&lt;&gt;"",VLOOKUP(VLOOKUP(B18,dist_assets,2,FALSE),'Distributed Assets'!$C$7:$F$22,4,FALSE),"")</f>
        <v/>
      </c>
      <c r="G18" s="434" t="str">
        <f t="shared" si="4"/>
        <v/>
      </c>
      <c r="H18" s="25"/>
      <c r="I18" s="3047" t="str">
        <f t="array" ref="I18">IF($H18&lt;&gt;"",
         INDEX('BOM FUNCTIONS'!$Y$6:$AC$669,MATCH(IP!$M18&amp;IP!$O18,'BOM FUNCTIONS'!$Y$6:$Y$669&amp;'BOM FUNCTIONS'!$Z$6:$Z$669,0),5),"")</f>
        <v/>
      </c>
      <c r="J18" s="2047" t="str">
        <f t="array" ref="J18">IF($H18&lt;&gt;"",
         INDEX('BOM FUNCTIONS'!$Y$6:$AD$669,MATCH(IP!$M18&amp;IP!$O18,'BOM FUNCTIONS'!$Y$6:$Y$669&amp;'BOM FUNCTIONS'!$Z$6:$Z$669,0),6),"")</f>
        <v/>
      </c>
      <c r="K18" s="2632" t="str">
        <f t="shared" si="5"/>
        <v/>
      </c>
      <c r="L18" s="2008" t="str">
        <f t="shared" si="6"/>
        <v/>
      </c>
      <c r="M18" s="446" t="str">
        <f t="shared" si="7"/>
        <v/>
      </c>
      <c r="N18" s="479"/>
      <c r="O18" s="436" t="str">
        <f t="shared" ref="O18:O23" si="10">IF(H18&lt;&gt;"",F18&amp;"-"&amp;H18&amp;"-"&amp;G18,"")</f>
        <v/>
      </c>
      <c r="P18" s="3049" t="str">
        <f t="array" ref="P18">IF($H18&lt;&gt;"",
         INDEX('BOM FUNCTIONS'!$Y$6:$AA$669,MATCH(IP!$M18&amp;IP!$O18,'BOM FUNCTIONS'!$Y$6:$Y$669&amp;'BOM FUNCTIONS'!$Z$6:$Z$669,0),3),"")</f>
        <v/>
      </c>
      <c r="Q18" s="2717"/>
      <c r="R18" s="849" t="str">
        <f>IF(B18&lt;&gt;"",
               IF(VLOOKUP($K18,DNS!$C$5:$I$54,6,FALSE)="No","No",
                    IF(AND($F18 = "Test 2.0", P18 &gt; 1715,$P18 &lt;1728),"Yes",
                     IF(AND($F18 ="Prod 2.0", P18 &gt; 2715, $P18 &lt; 2728), "Yes",
                          IF(OR(AND($F18 ="Prod F.W.", $P18 &gt; 3015, $P18&lt;3020,),AND($F18 ="Prod F.W.", $P18=3036)), "Yes","No")))),"")</f>
        <v/>
      </c>
      <c r="S18" s="2" t="str">
        <f t="shared" si="8"/>
        <v/>
      </c>
      <c r="T18" s="1966"/>
      <c r="U18" s="876"/>
      <c r="V18" s="1967"/>
    </row>
    <row r="19" spans="1:22">
      <c r="A19" s="259" t="str">
        <f t="shared" si="0"/>
        <v/>
      </c>
      <c r="B19" s="21"/>
      <c r="C19" s="24" t="str">
        <f t="shared" si="1"/>
        <v/>
      </c>
      <c r="D19" s="2464" t="str">
        <f t="shared" si="2"/>
        <v/>
      </c>
      <c r="E19" s="434" t="str">
        <f t="shared" si="3"/>
        <v/>
      </c>
      <c r="F19" s="434" t="str">
        <f>IF(B19&lt;&gt;"",VLOOKUP(VLOOKUP(B19,dist_assets,2,FALSE),'Distributed Assets'!$C$7:$F$22,4,FALSE),"")</f>
        <v/>
      </c>
      <c r="G19" s="434" t="str">
        <f t="shared" si="4"/>
        <v/>
      </c>
      <c r="H19" s="25"/>
      <c r="I19" s="3047" t="str">
        <f t="array" ref="I19">IF($H19&lt;&gt;"",
         INDEX('BOM FUNCTIONS'!$Y$6:$AC$669,MATCH(IP!$M19&amp;IP!$O19,'BOM FUNCTIONS'!$Y$6:$Y$669&amp;'BOM FUNCTIONS'!$Z$6:$Z$669,0),5),"")</f>
        <v/>
      </c>
      <c r="J19" s="2047" t="str">
        <f t="array" ref="J19">IF($H19&lt;&gt;"",
         INDEX('BOM FUNCTIONS'!$Y$6:$AD$669,MATCH(IP!$M19&amp;IP!$O19,'BOM FUNCTIONS'!$Y$6:$Y$669&amp;'BOM FUNCTIONS'!$Z$6:$Z$669,0),6),"")</f>
        <v/>
      </c>
      <c r="K19" s="2632" t="str">
        <f t="shared" si="5"/>
        <v/>
      </c>
      <c r="L19" s="2008" t="str">
        <f t="shared" si="6"/>
        <v/>
      </c>
      <c r="M19" s="446" t="str">
        <f t="shared" si="7"/>
        <v/>
      </c>
      <c r="N19" s="479"/>
      <c r="O19" s="436" t="str">
        <f t="shared" si="10"/>
        <v/>
      </c>
      <c r="P19" s="3049" t="str">
        <f t="array" ref="P19">IF($H19&lt;&gt;"",
         INDEX('BOM FUNCTIONS'!$Y$6:$AA$669,MATCH(IP!$M19&amp;IP!$O19,'BOM FUNCTIONS'!$Y$6:$Y$669&amp;'BOM FUNCTIONS'!$Z$6:$Z$669,0),3),"")</f>
        <v/>
      </c>
      <c r="Q19" s="2717"/>
      <c r="R19" s="849" t="str">
        <f>IF(B19&lt;&gt;"",
               IF(VLOOKUP($K19,DNS!$C$5:$I$54,6,FALSE)="No","No",
                    IF(AND($F19 = "Test 2.0", P19 &gt; 1715,$P19 &lt;1728),"Yes",
                     IF(AND($F19 ="Prod 2.0", P19 &gt; 2715, $P19 &lt; 2728), "Yes",
                          IF(OR(AND($F19 ="Prod F.W.", $P19 &gt; 3015, $P19&lt;3020,),AND($F19 ="Prod F.W.", $P19=3036)), "Yes","No")))),"")</f>
        <v/>
      </c>
      <c r="S19" s="2" t="str">
        <f t="shared" si="8"/>
        <v/>
      </c>
      <c r="T19" s="1966"/>
      <c r="U19" s="876"/>
      <c r="V19" s="1967"/>
    </row>
    <row r="20" spans="1:22">
      <c r="A20" s="259" t="str">
        <f t="shared" si="0"/>
        <v/>
      </c>
      <c r="B20" s="21"/>
      <c r="C20" s="24" t="str">
        <f t="shared" si="1"/>
        <v/>
      </c>
      <c r="D20" s="2464" t="str">
        <f t="shared" si="2"/>
        <v/>
      </c>
      <c r="E20" s="434" t="str">
        <f t="shared" si="3"/>
        <v/>
      </c>
      <c r="F20" s="434" t="str">
        <f>IF(B20&lt;&gt;"",VLOOKUP(VLOOKUP(B20,dist_assets,2,FALSE),'Distributed Assets'!$C$7:$F$22,4,FALSE),"")</f>
        <v/>
      </c>
      <c r="G20" s="434" t="str">
        <f t="shared" si="4"/>
        <v/>
      </c>
      <c r="H20" s="25"/>
      <c r="I20" s="3047" t="str">
        <f t="array" ref="I20">IF($H20&lt;&gt;"",
         INDEX('BOM FUNCTIONS'!$Y$6:$AC$669,MATCH(IP!$M20&amp;IP!$O20,'BOM FUNCTIONS'!$Y$6:$Y$669&amp;'BOM FUNCTIONS'!$Z$6:$Z$669,0),5),"")</f>
        <v/>
      </c>
      <c r="J20" s="2047" t="str">
        <f t="array" ref="J20">IF($H20&lt;&gt;"",
         INDEX('BOM FUNCTIONS'!$Y$6:$AD$669,MATCH(IP!$M20&amp;IP!$O20,'BOM FUNCTIONS'!$Y$6:$Y$669&amp;'BOM FUNCTIONS'!$Z$6:$Z$669,0),6),"")</f>
        <v/>
      </c>
      <c r="K20" s="2632" t="str">
        <f t="shared" si="5"/>
        <v/>
      </c>
      <c r="L20" s="2008" t="str">
        <f t="shared" si="6"/>
        <v/>
      </c>
      <c r="M20" s="446" t="str">
        <f t="shared" si="7"/>
        <v/>
      </c>
      <c r="N20" s="479"/>
      <c r="O20" s="436" t="str">
        <f t="shared" si="10"/>
        <v/>
      </c>
      <c r="P20" s="3049" t="str">
        <f t="array" ref="P20">IF($H20&lt;&gt;"",
         INDEX('BOM FUNCTIONS'!$Y$6:$AA$669,MATCH(IP!$M20&amp;IP!$O20,'BOM FUNCTIONS'!$Y$6:$Y$669&amp;'BOM FUNCTIONS'!$Z$6:$Z$669,0),3),"")</f>
        <v/>
      </c>
      <c r="Q20" s="2717"/>
      <c r="R20" s="849" t="str">
        <f>IF(B20&lt;&gt;"",
               IF(VLOOKUP($K20,DNS!$C$5:$I$54,6,FALSE)="No","No",
                    IF(AND($F20 = "Test 2.0", P20 &gt; 1715,$P20 &lt;1728),"Yes",
                     IF(AND($F20 ="Prod 2.0", P20 &gt; 2715, $P20 &lt; 2728), "Yes",
                          IF(OR(AND($F20 ="Prod F.W.", $P20 &gt; 3015, $P20&lt;3020,),AND($F20 ="Prod F.W.", $P20=3036)), "Yes","No")))),"")</f>
        <v/>
      </c>
      <c r="S20" s="2" t="str">
        <f t="shared" si="8"/>
        <v/>
      </c>
      <c r="T20" s="1966"/>
      <c r="U20" s="876"/>
      <c r="V20" s="1967"/>
    </row>
    <row r="21" spans="1:22">
      <c r="A21" s="259" t="str">
        <f t="shared" si="0"/>
        <v/>
      </c>
      <c r="B21" s="21"/>
      <c r="C21" s="24" t="str">
        <f t="shared" si="1"/>
        <v/>
      </c>
      <c r="D21" s="2464" t="str">
        <f t="shared" si="2"/>
        <v/>
      </c>
      <c r="E21" s="434" t="str">
        <f t="shared" si="3"/>
        <v/>
      </c>
      <c r="F21" s="434" t="str">
        <f>IF(B21&lt;&gt;"",VLOOKUP(VLOOKUP(B21,dist_assets,2,FALSE),'Distributed Assets'!$C$7:$F$22,4,FALSE),"")</f>
        <v/>
      </c>
      <c r="G21" s="434" t="str">
        <f t="shared" si="4"/>
        <v/>
      </c>
      <c r="H21" s="25"/>
      <c r="I21" s="3047" t="str">
        <f t="array" ref="I21">IF($H21&lt;&gt;"",
         INDEX('BOM FUNCTIONS'!$Y$6:$AC$669,MATCH(IP!$M21&amp;IP!$O21,'BOM FUNCTIONS'!$Y$6:$Y$669&amp;'BOM FUNCTIONS'!$Z$6:$Z$669,0),5),"")</f>
        <v/>
      </c>
      <c r="J21" s="2047" t="str">
        <f t="array" ref="J21">IF($H21&lt;&gt;"",
         INDEX('BOM FUNCTIONS'!$Y$6:$AD$669,MATCH(IP!$M21&amp;IP!$O21,'BOM FUNCTIONS'!$Y$6:$Y$669&amp;'BOM FUNCTIONS'!$Z$6:$Z$669,0),6),"")</f>
        <v/>
      </c>
      <c r="K21" s="2632" t="str">
        <f t="shared" si="5"/>
        <v/>
      </c>
      <c r="L21" s="2008" t="str">
        <f t="shared" si="6"/>
        <v/>
      </c>
      <c r="M21" s="446" t="str">
        <f t="shared" si="7"/>
        <v/>
      </c>
      <c r="N21" s="479"/>
      <c r="O21" s="436" t="str">
        <f t="shared" si="10"/>
        <v/>
      </c>
      <c r="P21" s="3049" t="str">
        <f t="array" ref="P21">IF($H21&lt;&gt;"",
         INDEX('BOM FUNCTIONS'!$Y$6:$AA$669,MATCH(IP!$M21&amp;IP!$O21,'BOM FUNCTIONS'!$Y$6:$Y$669&amp;'BOM FUNCTIONS'!$Z$6:$Z$669,0),3),"")</f>
        <v/>
      </c>
      <c r="Q21" s="2717"/>
      <c r="R21" s="849" t="str">
        <f>IF(B21&lt;&gt;"",
               IF(VLOOKUP($K21,DNS!$C$5:$I$54,6,FALSE)="No","No",
                    IF(AND($F21 = "Test 2.0", P21 &gt; 1715,$P21 &lt;1728),"Yes",
                     IF(AND($F21 ="Prod 2.0", P21 &gt; 2715, $P21 &lt; 2728), "Yes",
                          IF(OR(AND($F21 ="Prod F.W.", $P21 &gt; 3015, $P21&lt;3020,),AND($F21 ="Prod F.W.", $P21=3036)), "Yes","No")))),"")</f>
        <v/>
      </c>
      <c r="S21" s="2" t="str">
        <f t="shared" si="8"/>
        <v/>
      </c>
      <c r="T21" s="1966"/>
      <c r="U21" s="876"/>
      <c r="V21" s="1967"/>
    </row>
    <row r="22" spans="1:22">
      <c r="A22" s="259" t="str">
        <f t="shared" si="0"/>
        <v/>
      </c>
      <c r="B22" s="21"/>
      <c r="C22" s="24" t="str">
        <f t="shared" si="1"/>
        <v/>
      </c>
      <c r="D22" s="2464" t="str">
        <f t="shared" si="2"/>
        <v/>
      </c>
      <c r="E22" s="434" t="str">
        <f t="shared" si="3"/>
        <v/>
      </c>
      <c r="F22" s="434" t="str">
        <f>IF(B22&lt;&gt;"",VLOOKUP(VLOOKUP(B22,dist_assets,2,FALSE),'Distributed Assets'!$C$7:$F$22,4,FALSE),"")</f>
        <v/>
      </c>
      <c r="G22" s="434" t="str">
        <f t="shared" si="4"/>
        <v/>
      </c>
      <c r="H22" s="25"/>
      <c r="I22" s="3047" t="str">
        <f t="array" ref="I22">IF($H22&lt;&gt;"",
         INDEX('BOM FUNCTIONS'!$Y$6:$AC$669,MATCH(IP!$M22&amp;IP!$O22,'BOM FUNCTIONS'!$Y$6:$Y$669&amp;'BOM FUNCTIONS'!$Z$6:$Z$669,0),5),"")</f>
        <v/>
      </c>
      <c r="J22" s="2047" t="str">
        <f t="array" ref="J22">IF($H22&lt;&gt;"",
         INDEX('BOM FUNCTIONS'!$Y$6:$AD$669,MATCH(IP!$M22&amp;IP!$O22,'BOM FUNCTIONS'!$Y$6:$Y$669&amp;'BOM FUNCTIONS'!$Z$6:$Z$669,0),6),"")</f>
        <v/>
      </c>
      <c r="K22" s="2632" t="str">
        <f t="shared" si="5"/>
        <v/>
      </c>
      <c r="L22" s="2008" t="str">
        <f t="shared" si="6"/>
        <v/>
      </c>
      <c r="M22" s="446" t="str">
        <f t="shared" si="7"/>
        <v/>
      </c>
      <c r="N22" s="479"/>
      <c r="O22" s="436" t="str">
        <f t="shared" si="10"/>
        <v/>
      </c>
      <c r="P22" s="3049" t="str">
        <f t="array" ref="P22">IF($H22&lt;&gt;"",
         INDEX('BOM FUNCTIONS'!$Y$6:$AA$669,MATCH(IP!$M22&amp;IP!$O22,'BOM FUNCTIONS'!$Y$6:$Y$669&amp;'BOM FUNCTIONS'!$Z$6:$Z$669,0),3),"")</f>
        <v/>
      </c>
      <c r="Q22" s="2717"/>
      <c r="R22" s="849" t="str">
        <f>IF(B22&lt;&gt;"",
               IF(VLOOKUP($K22,DNS!$C$5:$I$54,6,FALSE)="No","No",
                    IF(AND($F22 = "Test 2.0", P22 &gt; 1715,$P22 &lt;1728),"Yes",
                     IF(AND($F22 ="Prod 2.0", P22 &gt; 2715, $P22 &lt; 2728), "Yes",
                          IF(OR(AND($F22 ="Prod F.W.", $P22 &gt; 3015, $P22&lt;3020,),AND($F22 ="Prod F.W.", $P22=3036)), "Yes","No")))),"")</f>
        <v/>
      </c>
      <c r="S22" s="2" t="str">
        <f t="shared" si="8"/>
        <v/>
      </c>
      <c r="T22" s="1966"/>
      <c r="U22" s="876"/>
      <c r="V22" s="1967"/>
    </row>
    <row r="23" spans="1:22">
      <c r="A23" s="259" t="str">
        <f t="shared" si="0"/>
        <v/>
      </c>
      <c r="B23" s="21"/>
      <c r="C23" s="24" t="str">
        <f t="shared" si="1"/>
        <v/>
      </c>
      <c r="D23" s="2464" t="str">
        <f t="shared" si="2"/>
        <v/>
      </c>
      <c r="E23" s="434" t="str">
        <f t="shared" si="3"/>
        <v/>
      </c>
      <c r="F23" s="434" t="str">
        <f>IF(B23&lt;&gt;"",VLOOKUP(VLOOKUP(B23,dist_assets,2,FALSE),'Distributed Assets'!$C$7:$F$22,4,FALSE),"")</f>
        <v/>
      </c>
      <c r="G23" s="434" t="str">
        <f t="shared" si="4"/>
        <v/>
      </c>
      <c r="H23" s="25"/>
      <c r="I23" s="3047" t="str">
        <f t="array" ref="I23">IF($H23&lt;&gt;"",
         INDEX('BOM FUNCTIONS'!$Y$6:$AC$669,MATCH(IP!$M23&amp;IP!$O23,'BOM FUNCTIONS'!$Y$6:$Y$669&amp;'BOM FUNCTIONS'!$Z$6:$Z$669,0),5),"")</f>
        <v/>
      </c>
      <c r="J23" s="2047" t="str">
        <f t="array" ref="J23">IF($H23&lt;&gt;"",
         INDEX('BOM FUNCTIONS'!$Y$6:$AD$669,MATCH(IP!$M23&amp;IP!$O23,'BOM FUNCTIONS'!$Y$6:$Y$669&amp;'BOM FUNCTIONS'!$Z$6:$Z$669,0),6),"")</f>
        <v/>
      </c>
      <c r="K23" s="2632" t="str">
        <f t="shared" si="5"/>
        <v/>
      </c>
      <c r="L23" s="2008" t="str">
        <f t="shared" si="6"/>
        <v/>
      </c>
      <c r="M23" s="446" t="str">
        <f t="shared" si="7"/>
        <v/>
      </c>
      <c r="N23" s="479"/>
      <c r="O23" s="436" t="str">
        <f t="shared" si="10"/>
        <v/>
      </c>
      <c r="P23" s="3049" t="str">
        <f t="array" ref="P23">IF($H23&lt;&gt;"",
         INDEX('BOM FUNCTIONS'!$Y$6:$AA$669,MATCH(IP!$M23&amp;IP!$O23,'BOM FUNCTIONS'!$Y$6:$Y$669&amp;'BOM FUNCTIONS'!$Z$6:$Z$669,0),3),"")</f>
        <v/>
      </c>
      <c r="Q23" s="2717"/>
      <c r="R23" s="849" t="str">
        <f>IF(B23&lt;&gt;"",
               IF(VLOOKUP($K23,DNS!$C$5:$I$54,6,FALSE)="No","No",
                    IF(AND($F23 = "Test 2.0", P23 &gt; 1715,$P23 &lt;1728),"Yes",
                     IF(AND($F23 ="Prod 2.0", P23 &gt; 2715, $P23 &lt; 2728), "Yes",
                          IF(OR(AND($F23 ="Prod F.W.", $P23 &gt; 3015, $P23&lt;3020,),AND($F23 ="Prod F.W.", $P23=3036)), "Yes","No")))),"")</f>
        <v/>
      </c>
      <c r="S23" s="2" t="str">
        <f t="shared" si="8"/>
        <v/>
      </c>
      <c r="T23" s="1966"/>
      <c r="U23" s="876"/>
      <c r="V23" s="1967"/>
    </row>
    <row r="24" spans="1:22">
      <c r="A24" s="259" t="str">
        <f t="shared" si="0"/>
        <v/>
      </c>
      <c r="B24" s="21"/>
      <c r="C24" s="24" t="str">
        <f t="shared" si="1"/>
        <v/>
      </c>
      <c r="D24" s="2464" t="str">
        <f t="shared" si="2"/>
        <v/>
      </c>
      <c r="E24" s="434" t="str">
        <f t="shared" si="3"/>
        <v/>
      </c>
      <c r="F24" s="434" t="str">
        <f>IF(B24&lt;&gt;"",VLOOKUP(VLOOKUP(B24,dist_assets,2,FALSE),'Distributed Assets'!$C$7:$F$22,4,FALSE),"")</f>
        <v/>
      </c>
      <c r="G24" s="434" t="str">
        <f t="shared" si="4"/>
        <v/>
      </c>
      <c r="H24" s="25"/>
      <c r="I24" s="3047" t="str">
        <f t="array" ref="I24">IF($H24&lt;&gt;"",
         INDEX('BOM FUNCTIONS'!$Y$6:$AC$669,MATCH(IP!$M24&amp;IP!$O24,'BOM FUNCTIONS'!$Y$6:$Y$669&amp;'BOM FUNCTIONS'!$Z$6:$Z$669,0),5),"")</f>
        <v/>
      </c>
      <c r="J24" s="2047" t="str">
        <f t="array" ref="J24">IF($H24&lt;&gt;"",
         INDEX('BOM FUNCTIONS'!$Y$6:$AD$669,MATCH(IP!$M24&amp;IP!$O24,'BOM FUNCTIONS'!$Y$6:$Y$669&amp;'BOM FUNCTIONS'!$Z$6:$Z$669,0),6),"")</f>
        <v/>
      </c>
      <c r="K24" s="2632" t="str">
        <f t="shared" si="5"/>
        <v/>
      </c>
      <c r="L24" s="2008" t="str">
        <f t="shared" si="6"/>
        <v/>
      </c>
      <c r="M24" s="446" t="str">
        <f t="shared" si="7"/>
        <v/>
      </c>
      <c r="N24" s="479"/>
      <c r="O24" s="436" t="str">
        <f t="shared" si="9"/>
        <v/>
      </c>
      <c r="P24" s="3049" t="str">
        <f t="array" ref="P24">IF($H24&lt;&gt;"",
         INDEX('BOM FUNCTIONS'!$Y$6:$AA$669,MATCH(IP!$M24&amp;IP!$O24,'BOM FUNCTIONS'!$Y$6:$Y$669&amp;'BOM FUNCTIONS'!$Z$6:$Z$669,0),3),"")</f>
        <v/>
      </c>
      <c r="Q24" s="2717"/>
      <c r="R24" s="849" t="str">
        <f>IF(B24&lt;&gt;"",
               IF(VLOOKUP($K24,DNS!$C$5:$I$54,6,FALSE)="No","No",
                    IF(AND($F24 = "Test 2.0", P24 &gt; 1715,$P24 &lt;1728),"Yes",
                     IF(AND($F24 ="Prod 2.0", P24 &gt; 2715, $P24 &lt; 2728), "Yes",
                          IF(OR(AND($F24 ="Prod F.W.", $P24 &gt; 3015, $P24&lt;3020,),AND($F24 ="Prod F.W.", $P24=3036)), "Yes","No")))),"")</f>
        <v/>
      </c>
      <c r="S24" s="2" t="str">
        <f t="shared" si="8"/>
        <v/>
      </c>
      <c r="T24" s="1969"/>
      <c r="U24" s="876"/>
      <c r="V24" s="1967"/>
    </row>
    <row r="25" spans="1:22">
      <c r="A25" s="259" t="str">
        <f t="shared" si="0"/>
        <v/>
      </c>
      <c r="B25" s="21"/>
      <c r="C25" s="24" t="str">
        <f t="shared" si="1"/>
        <v/>
      </c>
      <c r="D25" s="2464" t="str">
        <f t="shared" si="2"/>
        <v/>
      </c>
      <c r="E25" s="434" t="str">
        <f t="shared" si="3"/>
        <v/>
      </c>
      <c r="F25" s="434" t="str">
        <f>IF(B25&lt;&gt;"",VLOOKUP(VLOOKUP(B25,dist_assets,2,FALSE),'Distributed Assets'!$C$7:$F$22,4,FALSE),"")</f>
        <v/>
      </c>
      <c r="G25" s="434" t="str">
        <f t="shared" si="4"/>
        <v/>
      </c>
      <c r="H25" s="25"/>
      <c r="I25" s="3047" t="str">
        <f t="array" ref="I25">IF($H25&lt;&gt;"",
         INDEX('BOM FUNCTIONS'!$Y$6:$AC$669,MATCH(IP!$M25&amp;IP!$O25,'BOM FUNCTIONS'!$Y$6:$Y$669&amp;'BOM FUNCTIONS'!$Z$6:$Z$669,0),5),"")</f>
        <v/>
      </c>
      <c r="J25" s="2047" t="str">
        <f t="array" ref="J25">IF($H25&lt;&gt;"",
         INDEX('BOM FUNCTIONS'!$Y$6:$AD$669,MATCH(IP!$M25&amp;IP!$O25,'BOM FUNCTIONS'!$Y$6:$Y$669&amp;'BOM FUNCTIONS'!$Z$6:$Z$669,0),6),"")</f>
        <v/>
      </c>
      <c r="K25" s="2632" t="str">
        <f t="shared" si="5"/>
        <v/>
      </c>
      <c r="L25" s="2008" t="str">
        <f t="shared" si="6"/>
        <v/>
      </c>
      <c r="M25" s="446" t="str">
        <f t="shared" si="7"/>
        <v/>
      </c>
      <c r="N25" s="479"/>
      <c r="O25" s="436" t="str">
        <f t="shared" si="9"/>
        <v/>
      </c>
      <c r="P25" s="3049" t="str">
        <f t="array" ref="P25">IF($H25&lt;&gt;"",
         INDEX('BOM FUNCTIONS'!$Y$6:$AA$669,MATCH(IP!$M25&amp;IP!$O25,'BOM FUNCTIONS'!$Y$6:$Y$669&amp;'BOM FUNCTIONS'!$Z$6:$Z$669,0),3),"")</f>
        <v/>
      </c>
      <c r="Q25" s="2717"/>
      <c r="R25" s="849" t="str">
        <f>IF(B25&lt;&gt;"",
               IF(VLOOKUP($K25,DNS!$C$5:$I$54,6,FALSE)="No","No",
                    IF(AND($F25 = "Test 2.0", P25 &gt; 1715,$P25 &lt;1728),"Yes",
                     IF(AND($F25 ="Prod 2.0", P25 &gt; 2715, $P25 &lt; 2728), "Yes",
                          IF(OR(AND($F25 ="Prod F.W.", $P25 &gt; 3015, $P25&lt;3020,),AND($F25 ="Prod F.W.", $P25=3036)), "Yes","No")))),"")</f>
        <v/>
      </c>
      <c r="S25" s="2" t="str">
        <f t="shared" si="8"/>
        <v/>
      </c>
      <c r="T25" s="1969"/>
      <c r="U25" s="876"/>
      <c r="V25" s="1967"/>
    </row>
    <row r="26" spans="1:22">
      <c r="A26" s="259" t="str">
        <f t="shared" si="0"/>
        <v/>
      </c>
      <c r="B26" s="21"/>
      <c r="C26" s="24" t="str">
        <f t="shared" si="1"/>
        <v/>
      </c>
      <c r="D26" s="2464" t="str">
        <f t="shared" si="2"/>
        <v/>
      </c>
      <c r="E26" s="434" t="str">
        <f t="shared" si="3"/>
        <v/>
      </c>
      <c r="F26" s="434" t="str">
        <f>IF(B26&lt;&gt;"",VLOOKUP(VLOOKUP(B26,dist_assets,2,FALSE),'Distributed Assets'!$C$7:$F$22,4,FALSE),"")</f>
        <v/>
      </c>
      <c r="G26" s="434" t="str">
        <f t="shared" si="4"/>
        <v/>
      </c>
      <c r="H26" s="25"/>
      <c r="I26" s="3047" t="str">
        <f t="array" ref="I26">IF($H26&lt;&gt;"",
         INDEX('BOM FUNCTIONS'!$Y$6:$AC$669,MATCH(IP!$M26&amp;IP!$O26,'BOM FUNCTIONS'!$Y$6:$Y$669&amp;'BOM FUNCTIONS'!$Z$6:$Z$669,0),5),"")</f>
        <v/>
      </c>
      <c r="J26" s="2047" t="str">
        <f t="array" ref="J26">IF($H26&lt;&gt;"",
         INDEX('BOM FUNCTIONS'!$Y$6:$AD$669,MATCH(IP!$M26&amp;IP!$O26,'BOM FUNCTIONS'!$Y$6:$Y$669&amp;'BOM FUNCTIONS'!$Z$6:$Z$669,0),6),"")</f>
        <v/>
      </c>
      <c r="K26" s="2632" t="str">
        <f t="shared" si="5"/>
        <v/>
      </c>
      <c r="L26" s="2008" t="str">
        <f t="shared" si="6"/>
        <v/>
      </c>
      <c r="M26" s="446" t="str">
        <f t="shared" si="7"/>
        <v/>
      </c>
      <c r="N26" s="479"/>
      <c r="O26" s="436" t="str">
        <f t="shared" si="9"/>
        <v/>
      </c>
      <c r="P26" s="3049" t="str">
        <f t="array" ref="P26">IF($H26&lt;&gt;"",
         INDEX('BOM FUNCTIONS'!$Y$6:$AA$669,MATCH(IP!$M26&amp;IP!$O26,'BOM FUNCTIONS'!$Y$6:$Y$669&amp;'BOM FUNCTIONS'!$Z$6:$Z$669,0),3),"")</f>
        <v/>
      </c>
      <c r="Q26" s="2717"/>
      <c r="R26" s="849" t="str">
        <f>IF(B26&lt;&gt;"",
               IF(VLOOKUP($K26,DNS!$C$5:$I$54,6,FALSE)="No","No",
                    IF(AND($F26 = "Test 2.0", P26 &gt; 1715,$P26 &lt;1728),"Yes",
                     IF(AND($F26 ="Prod 2.0", P26 &gt; 2715, $P26 &lt; 2728), "Yes",
                          IF(OR(AND($F26 ="Prod F.W.", $P26 &gt; 3015, $P26&lt;3020,),AND($F26 ="Prod F.W.", $P26=3036)), "Yes","No")))),"")</f>
        <v/>
      </c>
      <c r="S26" s="2" t="str">
        <f t="shared" si="8"/>
        <v/>
      </c>
      <c r="T26" s="1969"/>
      <c r="U26" s="876"/>
      <c r="V26" s="1967"/>
    </row>
    <row r="27" spans="1:22">
      <c r="A27" s="259" t="str">
        <f t="shared" si="0"/>
        <v/>
      </c>
      <c r="B27" s="21"/>
      <c r="C27" s="24" t="str">
        <f t="shared" si="1"/>
        <v/>
      </c>
      <c r="D27" s="2464" t="str">
        <f t="shared" si="2"/>
        <v/>
      </c>
      <c r="E27" s="434" t="str">
        <f t="shared" si="3"/>
        <v/>
      </c>
      <c r="F27" s="434" t="str">
        <f>IF(B27&lt;&gt;"",VLOOKUP(VLOOKUP(B27,dist_assets,2,FALSE),'Distributed Assets'!$C$7:$F$22,4,FALSE),"")</f>
        <v/>
      </c>
      <c r="G27" s="434" t="str">
        <f t="shared" si="4"/>
        <v/>
      </c>
      <c r="H27" s="25"/>
      <c r="I27" s="3047" t="str">
        <f t="array" ref="I27">IF($H27&lt;&gt;"",
         INDEX('BOM FUNCTIONS'!$Y$6:$AC$669,MATCH(IP!$M27&amp;IP!$O27,'BOM FUNCTIONS'!$Y$6:$Y$669&amp;'BOM FUNCTIONS'!$Z$6:$Z$669,0),5),"")</f>
        <v/>
      </c>
      <c r="J27" s="2047" t="str">
        <f t="array" ref="J27">IF($H27&lt;&gt;"",
         INDEX('BOM FUNCTIONS'!$Y$6:$AD$669,MATCH(IP!$M27&amp;IP!$O27,'BOM FUNCTIONS'!$Y$6:$Y$669&amp;'BOM FUNCTIONS'!$Z$6:$Z$669,0),6),"")</f>
        <v/>
      </c>
      <c r="K27" s="2632" t="str">
        <f t="shared" si="5"/>
        <v/>
      </c>
      <c r="L27" s="2008" t="str">
        <f t="shared" si="6"/>
        <v/>
      </c>
      <c r="M27" s="446" t="str">
        <f t="shared" si="7"/>
        <v/>
      </c>
      <c r="N27" s="479"/>
      <c r="O27" s="436" t="str">
        <f t="shared" si="9"/>
        <v/>
      </c>
      <c r="P27" s="3049" t="str">
        <f t="array" ref="P27">IF($H27&lt;&gt;"",
         INDEX('BOM FUNCTIONS'!$Y$6:$AA$669,MATCH(IP!$M27&amp;IP!$O27,'BOM FUNCTIONS'!$Y$6:$Y$669&amp;'BOM FUNCTIONS'!$Z$6:$Z$669,0),3),"")</f>
        <v/>
      </c>
      <c r="Q27" s="2717"/>
      <c r="R27" s="849" t="str">
        <f>IF(B27&lt;&gt;"",
               IF(VLOOKUP($K27,DNS!$C$5:$I$54,6,FALSE)="No","No",
                    IF(AND($F27 = "Test 2.0", P27 &gt; 1715,$P27 &lt;1728),"Yes",
                     IF(AND($F27 ="Prod 2.0", P27 &gt; 2715, $P27 &lt; 2728), "Yes",
                          IF(OR(AND($F27 ="Prod F.W.", $P27 &gt; 3015, $P27&lt;3020,),AND($F27 ="Prod F.W.", $P27=3036)), "Yes","No")))),"")</f>
        <v/>
      </c>
      <c r="S27" s="2" t="str">
        <f t="shared" si="8"/>
        <v/>
      </c>
      <c r="T27" s="1969"/>
      <c r="U27" s="876"/>
      <c r="V27" s="1967"/>
    </row>
    <row r="28" spans="1:22">
      <c r="A28" s="259" t="str">
        <f t="shared" si="0"/>
        <v/>
      </c>
      <c r="B28" s="21"/>
      <c r="C28" s="24" t="str">
        <f t="shared" si="1"/>
        <v/>
      </c>
      <c r="D28" s="2464" t="str">
        <f t="shared" si="2"/>
        <v/>
      </c>
      <c r="E28" s="434" t="str">
        <f t="shared" si="3"/>
        <v/>
      </c>
      <c r="F28" s="434" t="str">
        <f>IF(B28&lt;&gt;"",VLOOKUP(VLOOKUP(B28,dist_assets,2,FALSE),'Distributed Assets'!$C$7:$F$22,4,FALSE),"")</f>
        <v/>
      </c>
      <c r="G28" s="434" t="str">
        <f t="shared" si="4"/>
        <v/>
      </c>
      <c r="H28" s="25"/>
      <c r="I28" s="3047" t="str">
        <f t="array" ref="I28">IF($H28&lt;&gt;"",
         INDEX('BOM FUNCTIONS'!$Y$6:$AC$669,MATCH(IP!$M28&amp;IP!$O28,'BOM FUNCTIONS'!$Y$6:$Y$669&amp;'BOM FUNCTIONS'!$Z$6:$Z$669,0),5),"")</f>
        <v/>
      </c>
      <c r="J28" s="2047" t="str">
        <f t="array" ref="J28">IF($H28&lt;&gt;"",
         INDEX('BOM FUNCTIONS'!$Y$6:$AD$669,MATCH(IP!$M28&amp;IP!$O28,'BOM FUNCTIONS'!$Y$6:$Y$669&amp;'BOM FUNCTIONS'!$Z$6:$Z$669,0),6),"")</f>
        <v/>
      </c>
      <c r="K28" s="2632" t="str">
        <f t="shared" si="5"/>
        <v/>
      </c>
      <c r="L28" s="2008" t="str">
        <f t="shared" si="6"/>
        <v/>
      </c>
      <c r="M28" s="446" t="str">
        <f t="shared" si="7"/>
        <v/>
      </c>
      <c r="N28" s="479"/>
      <c r="O28" s="436" t="str">
        <f t="shared" si="9"/>
        <v/>
      </c>
      <c r="P28" s="3049" t="str">
        <f t="array" ref="P28">IF($H28&lt;&gt;"",
         INDEX('BOM FUNCTIONS'!$Y$6:$AA$669,MATCH(IP!$M28&amp;IP!$O28,'BOM FUNCTIONS'!$Y$6:$Y$669&amp;'BOM FUNCTIONS'!$Z$6:$Z$669,0),3),"")</f>
        <v/>
      </c>
      <c r="Q28" s="2717"/>
      <c r="R28" s="849" t="str">
        <f>IF(B28&lt;&gt;"",
               IF(VLOOKUP($K28,DNS!$C$5:$I$54,6,FALSE)="No","No",
                    IF(AND($F28 = "Test 2.0", P28 &gt; 1715,$P28 &lt;1728),"Yes",
                     IF(AND($F28 ="Prod 2.0", P28 &gt; 2715, $P28 &lt; 2728), "Yes",
                          IF(OR(AND($F28 ="Prod F.W.", $P28 &gt; 3015, $P28&lt;3020,),AND($F28 ="Prod F.W.", $P28=3036)), "Yes","No")))),"")</f>
        <v/>
      </c>
      <c r="S28" s="2" t="str">
        <f t="shared" si="8"/>
        <v/>
      </c>
      <c r="T28" s="1969"/>
      <c r="U28" s="876"/>
      <c r="V28" s="1967"/>
    </row>
    <row r="29" spans="1:22">
      <c r="A29" s="259" t="str">
        <f t="shared" si="0"/>
        <v/>
      </c>
      <c r="B29" s="21"/>
      <c r="C29" s="24" t="str">
        <f t="shared" si="1"/>
        <v/>
      </c>
      <c r="D29" s="2464" t="str">
        <f t="shared" si="2"/>
        <v/>
      </c>
      <c r="E29" s="434" t="str">
        <f t="shared" si="3"/>
        <v/>
      </c>
      <c r="F29" s="434" t="str">
        <f>IF(B29&lt;&gt;"",VLOOKUP(VLOOKUP(B29,dist_assets,2,FALSE),'Distributed Assets'!$C$7:$F$22,4,FALSE),"")</f>
        <v/>
      </c>
      <c r="G29" s="434" t="str">
        <f t="shared" si="4"/>
        <v/>
      </c>
      <c r="H29" s="25"/>
      <c r="I29" s="3047" t="str">
        <f t="array" ref="I29">IF($H29&lt;&gt;"",
         INDEX('BOM FUNCTIONS'!$Y$6:$AC$669,MATCH(IP!$M29&amp;IP!$O29,'BOM FUNCTIONS'!$Y$6:$Y$669&amp;'BOM FUNCTIONS'!$Z$6:$Z$669,0),5),"")</f>
        <v/>
      </c>
      <c r="J29" s="2047" t="str">
        <f t="array" ref="J29">IF($H29&lt;&gt;"",
         INDEX('BOM FUNCTIONS'!$Y$6:$AD$669,MATCH(IP!$M29&amp;IP!$O29,'BOM FUNCTIONS'!$Y$6:$Y$669&amp;'BOM FUNCTIONS'!$Z$6:$Z$669,0),6),"")</f>
        <v/>
      </c>
      <c r="K29" s="2632" t="str">
        <f t="shared" si="5"/>
        <v/>
      </c>
      <c r="L29" s="2008" t="str">
        <f t="shared" si="6"/>
        <v/>
      </c>
      <c r="M29" s="446" t="str">
        <f t="shared" si="7"/>
        <v/>
      </c>
      <c r="N29" s="479"/>
      <c r="O29" s="436" t="str">
        <f t="shared" si="9"/>
        <v/>
      </c>
      <c r="P29" s="3049" t="str">
        <f t="array" ref="P29">IF($H29&lt;&gt;"",
         INDEX('BOM FUNCTIONS'!$Y$6:$AA$669,MATCH(IP!$M29&amp;IP!$O29,'BOM FUNCTIONS'!$Y$6:$Y$669&amp;'BOM FUNCTIONS'!$Z$6:$Z$669,0),3),"")</f>
        <v/>
      </c>
      <c r="Q29" s="2717"/>
      <c r="R29" s="849" t="str">
        <f>IF(B29&lt;&gt;"",
               IF(VLOOKUP($K29,DNS!$C$5:$I$54,6,FALSE)="No","No",
                    IF(AND($F29 = "Test 2.0", P29 &gt; 1715,$P29 &lt;1728),"Yes",
                     IF(AND($F29 ="Prod 2.0", P29 &gt; 2715, $P29 &lt; 2728), "Yes",
                          IF(OR(AND($F29 ="Prod F.W.", $P29 &gt; 3015, $P29&lt;3020,),AND($F29 ="Prod F.W.", $P29=3036)), "Yes","No")))),"")</f>
        <v/>
      </c>
      <c r="S29" s="2" t="str">
        <f t="shared" si="8"/>
        <v/>
      </c>
      <c r="T29" s="1969"/>
      <c r="U29" s="876"/>
      <c r="V29" s="1967"/>
    </row>
    <row r="30" spans="1:22">
      <c r="A30" s="259" t="str">
        <f t="shared" si="0"/>
        <v/>
      </c>
      <c r="B30" s="21"/>
      <c r="C30" s="24" t="str">
        <f t="shared" si="1"/>
        <v/>
      </c>
      <c r="D30" s="2464" t="str">
        <f t="shared" si="2"/>
        <v/>
      </c>
      <c r="E30" s="434" t="str">
        <f t="shared" si="3"/>
        <v/>
      </c>
      <c r="F30" s="434" t="str">
        <f>IF(B30&lt;&gt;"",VLOOKUP(VLOOKUP(B30,dist_assets,2,FALSE),'Distributed Assets'!$C$7:$F$22,4,FALSE),"")</f>
        <v/>
      </c>
      <c r="G30" s="434" t="str">
        <f t="shared" si="4"/>
        <v/>
      </c>
      <c r="H30" s="25"/>
      <c r="I30" s="3047" t="str">
        <f t="array" ref="I30">IF($H30&lt;&gt;"",
         INDEX('BOM FUNCTIONS'!$Y$6:$AC$669,MATCH(IP!$M30&amp;IP!$O30,'BOM FUNCTIONS'!$Y$6:$Y$669&amp;'BOM FUNCTIONS'!$Z$6:$Z$669,0),5),"")</f>
        <v/>
      </c>
      <c r="J30" s="2047" t="str">
        <f t="array" ref="J30">IF($H30&lt;&gt;"",
         INDEX('BOM FUNCTIONS'!$Y$6:$AD$669,MATCH(IP!$M30&amp;IP!$O30,'BOM FUNCTIONS'!$Y$6:$Y$669&amp;'BOM FUNCTIONS'!$Z$6:$Z$669,0),6),"")</f>
        <v/>
      </c>
      <c r="K30" s="2632" t="str">
        <f t="shared" si="5"/>
        <v/>
      </c>
      <c r="L30" s="2008" t="str">
        <f t="shared" si="6"/>
        <v/>
      </c>
      <c r="M30" s="446" t="str">
        <f t="shared" si="7"/>
        <v/>
      </c>
      <c r="N30" s="479"/>
      <c r="O30" s="436" t="str">
        <f t="shared" si="9"/>
        <v/>
      </c>
      <c r="P30" s="3049" t="str">
        <f t="array" ref="P30">IF($H30&lt;&gt;"",
         INDEX('BOM FUNCTIONS'!$Y$6:$AA$669,MATCH(IP!$M30&amp;IP!$O30,'BOM FUNCTIONS'!$Y$6:$Y$669&amp;'BOM FUNCTIONS'!$Z$6:$Z$669,0),3),"")</f>
        <v/>
      </c>
      <c r="Q30" s="2717"/>
      <c r="R30" s="849" t="str">
        <f>IF(B30&lt;&gt;"",
               IF(VLOOKUP($K30,DNS!$C$5:$I$54,6,FALSE)="No","No",
                    IF(AND($F30 = "Test 2.0", P30 &gt; 1715,$P30 &lt;1728),"Yes",
                     IF(AND($F30 ="Prod 2.0", P30 &gt; 2715, $P30 &lt; 2728), "Yes",
                          IF(OR(AND($F30 ="Prod F.W.", $P30 &gt; 3015, $P30&lt;3020,),AND($F30 ="Prod F.W.", $P30=3036)), "Yes","No")))),"")</f>
        <v/>
      </c>
      <c r="S30" s="2" t="str">
        <f t="shared" si="8"/>
        <v/>
      </c>
      <c r="T30" s="1969"/>
      <c r="U30" s="876"/>
      <c r="V30" s="1967"/>
    </row>
    <row r="31" spans="1:22">
      <c r="A31" s="259" t="str">
        <f t="shared" si="0"/>
        <v/>
      </c>
      <c r="B31" s="21"/>
      <c r="C31" s="24" t="str">
        <f t="shared" si="1"/>
        <v/>
      </c>
      <c r="D31" s="2464" t="str">
        <f t="shared" si="2"/>
        <v/>
      </c>
      <c r="E31" s="434" t="str">
        <f t="shared" si="3"/>
        <v/>
      </c>
      <c r="F31" s="434" t="str">
        <f>IF(B31&lt;&gt;"",VLOOKUP(VLOOKUP(B31,dist_assets,2,FALSE),'Distributed Assets'!$C$7:$F$22,4,FALSE),"")</f>
        <v/>
      </c>
      <c r="G31" s="434" t="str">
        <f t="shared" si="4"/>
        <v/>
      </c>
      <c r="H31" s="25"/>
      <c r="I31" s="3047" t="str">
        <f t="array" ref="I31">IF($H31&lt;&gt;"",
         INDEX('BOM FUNCTIONS'!$Y$6:$AC$669,MATCH(IP!$M31&amp;IP!$O31,'BOM FUNCTIONS'!$Y$6:$Y$669&amp;'BOM FUNCTIONS'!$Z$6:$Z$669,0),5),"")</f>
        <v/>
      </c>
      <c r="J31" s="2047" t="str">
        <f t="array" ref="J31">IF($H31&lt;&gt;"",
         INDEX('BOM FUNCTIONS'!$Y$6:$AD$669,MATCH(IP!$M31&amp;IP!$O31,'BOM FUNCTIONS'!$Y$6:$Y$669&amp;'BOM FUNCTIONS'!$Z$6:$Z$669,0),6),"")</f>
        <v/>
      </c>
      <c r="K31" s="2632" t="str">
        <f t="shared" si="5"/>
        <v/>
      </c>
      <c r="L31" s="2008" t="str">
        <f t="shared" si="6"/>
        <v/>
      </c>
      <c r="M31" s="446" t="str">
        <f t="shared" si="7"/>
        <v/>
      </c>
      <c r="N31" s="479"/>
      <c r="O31" s="436" t="str">
        <f t="shared" si="9"/>
        <v/>
      </c>
      <c r="P31" s="3049" t="str">
        <f t="array" ref="P31">IF($H31&lt;&gt;"",
         INDEX('BOM FUNCTIONS'!$Y$6:$AA$669,MATCH(IP!$M31&amp;IP!$O31,'BOM FUNCTIONS'!$Y$6:$Y$669&amp;'BOM FUNCTIONS'!$Z$6:$Z$669,0),3),"")</f>
        <v/>
      </c>
      <c r="Q31" s="2717"/>
      <c r="R31" s="849" t="str">
        <f>IF(B31&lt;&gt;"",
               IF(VLOOKUP($K31,DNS!$C$5:$I$54,6,FALSE)="No","No",
                    IF(AND($F31 = "Test 2.0", P31 &gt; 1715,$P31 &lt;1728),"Yes",
                     IF(AND($F31 ="Prod 2.0", P31 &gt; 2715, $P31 &lt; 2728), "Yes",
                          IF(OR(AND($F31 ="Prod F.W.", $P31 &gt; 3015, $P31&lt;3020,),AND($F31 ="Prod F.W.", $P31=3036)), "Yes","No")))),"")</f>
        <v/>
      </c>
      <c r="S31" s="2" t="str">
        <f t="shared" si="8"/>
        <v/>
      </c>
      <c r="T31" s="1969"/>
      <c r="U31" s="876"/>
      <c r="V31" s="1967"/>
    </row>
    <row r="32" spans="1:22">
      <c r="A32" s="259" t="str">
        <f t="shared" si="0"/>
        <v/>
      </c>
      <c r="B32" s="21"/>
      <c r="C32" s="24" t="str">
        <f t="shared" si="1"/>
        <v/>
      </c>
      <c r="D32" s="2464" t="str">
        <f t="shared" si="2"/>
        <v/>
      </c>
      <c r="E32" s="434" t="str">
        <f t="shared" si="3"/>
        <v/>
      </c>
      <c r="F32" s="434" t="str">
        <f>IF(B32&lt;&gt;"",VLOOKUP(VLOOKUP(B32,dist_assets,2,FALSE),'Distributed Assets'!$C$7:$F$22,4,FALSE),"")</f>
        <v/>
      </c>
      <c r="G32" s="434" t="str">
        <f t="shared" si="4"/>
        <v/>
      </c>
      <c r="H32" s="25"/>
      <c r="I32" s="3047" t="str">
        <f t="array" ref="I32">IF($H32&lt;&gt;"",
         INDEX('BOM FUNCTIONS'!$Y$6:$AC$669,MATCH(IP!$M32&amp;IP!$O32,'BOM FUNCTIONS'!$Y$6:$Y$669&amp;'BOM FUNCTIONS'!$Z$6:$Z$669,0),5),"")</f>
        <v/>
      </c>
      <c r="J32" s="2047" t="str">
        <f t="array" ref="J32">IF($H32&lt;&gt;"",
         INDEX('BOM FUNCTIONS'!$Y$6:$AD$669,MATCH(IP!$M32&amp;IP!$O32,'BOM FUNCTIONS'!$Y$6:$Y$669&amp;'BOM FUNCTIONS'!$Z$6:$Z$669,0),6),"")</f>
        <v/>
      </c>
      <c r="K32" s="2632" t="str">
        <f t="shared" si="5"/>
        <v/>
      </c>
      <c r="L32" s="2008" t="str">
        <f t="shared" si="6"/>
        <v/>
      </c>
      <c r="M32" s="446" t="str">
        <f t="shared" si="7"/>
        <v/>
      </c>
      <c r="N32" s="479"/>
      <c r="O32" s="436" t="str">
        <f t="shared" si="9"/>
        <v/>
      </c>
      <c r="P32" s="3049" t="str">
        <f t="array" ref="P32">IF($H32&lt;&gt;"",
         INDEX('BOM FUNCTIONS'!$Y$6:$AA$669,MATCH(IP!$M32&amp;IP!$O32,'BOM FUNCTIONS'!$Y$6:$Y$669&amp;'BOM FUNCTIONS'!$Z$6:$Z$669,0),3),"")</f>
        <v/>
      </c>
      <c r="Q32" s="2717"/>
      <c r="R32" s="849" t="str">
        <f>IF(B32&lt;&gt;"",
               IF(VLOOKUP($K32,DNS!$C$5:$I$54,6,FALSE)="No","No",
                    IF(AND($F32 = "Test 2.0", P32 &gt; 1715,$P32 &lt;1728),"Yes",
                     IF(AND($F32 ="Prod 2.0", P32 &gt; 2715, $P32 &lt; 2728), "Yes",
                          IF(OR(AND($F32 ="Prod F.W.", $P32 &gt; 3015, $P32&lt;3020,),AND($F32 ="Prod F.W.", $P32=3036)), "Yes","No")))),"")</f>
        <v/>
      </c>
      <c r="S32" s="2" t="str">
        <f t="shared" si="8"/>
        <v/>
      </c>
      <c r="T32" s="1969"/>
      <c r="U32" s="876"/>
      <c r="V32" s="1967"/>
    </row>
    <row r="33" spans="1:22">
      <c r="A33" s="259" t="str">
        <f t="shared" si="0"/>
        <v/>
      </c>
      <c r="B33" s="21"/>
      <c r="C33" s="24" t="str">
        <f t="shared" si="1"/>
        <v/>
      </c>
      <c r="D33" s="2464" t="str">
        <f t="shared" si="2"/>
        <v/>
      </c>
      <c r="E33" s="434" t="str">
        <f t="shared" si="3"/>
        <v/>
      </c>
      <c r="F33" s="434" t="str">
        <f>IF(B33&lt;&gt;"",VLOOKUP(VLOOKUP(B33,dist_assets,2,FALSE),'Distributed Assets'!$C$7:$F$22,4,FALSE),"")</f>
        <v/>
      </c>
      <c r="G33" s="434" t="str">
        <f t="shared" si="4"/>
        <v/>
      </c>
      <c r="H33" s="25"/>
      <c r="I33" s="3047" t="str">
        <f t="array" ref="I33">IF($H33&lt;&gt;"",
         INDEX('BOM FUNCTIONS'!$Y$6:$AC$669,MATCH(IP!$M33&amp;IP!$O33,'BOM FUNCTIONS'!$Y$6:$Y$669&amp;'BOM FUNCTIONS'!$Z$6:$Z$669,0),5),"")</f>
        <v/>
      </c>
      <c r="J33" s="2047" t="str">
        <f t="array" ref="J33">IF($H33&lt;&gt;"",
         INDEX('BOM FUNCTIONS'!$Y$6:$AD$669,MATCH(IP!$M33&amp;IP!$O33,'BOM FUNCTIONS'!$Y$6:$Y$669&amp;'BOM FUNCTIONS'!$Z$6:$Z$669,0),6),"")</f>
        <v/>
      </c>
      <c r="K33" s="2632" t="str">
        <f t="shared" si="5"/>
        <v/>
      </c>
      <c r="L33" s="2008" t="str">
        <f t="shared" si="6"/>
        <v/>
      </c>
      <c r="M33" s="446" t="str">
        <f t="shared" si="7"/>
        <v/>
      </c>
      <c r="N33" s="479"/>
      <c r="O33" s="436" t="str">
        <f t="shared" si="9"/>
        <v/>
      </c>
      <c r="P33" s="3049" t="str">
        <f t="array" ref="P33">IF($H33&lt;&gt;"",
         INDEX('BOM FUNCTIONS'!$Y$6:$AA$669,MATCH(IP!$M33&amp;IP!$O33,'BOM FUNCTIONS'!$Y$6:$Y$669&amp;'BOM FUNCTIONS'!$Z$6:$Z$669,0),3),"")</f>
        <v/>
      </c>
      <c r="Q33" s="2717"/>
      <c r="R33" s="849" t="str">
        <f>IF(B33&lt;&gt;"",
               IF(VLOOKUP($K33,DNS!$C$5:$I$54,6,FALSE)="No","No",
                    IF(AND($F33 = "Test 2.0", P33 &gt; 1715,$P33 &lt;1728),"Yes",
                     IF(AND($F33 ="Prod 2.0", P33 &gt; 2715, $P33 &lt; 2728), "Yes",
                          IF(OR(AND($F33 ="Prod F.W.", $P33 &gt; 3015, $P33&lt;3020,),AND($F33 ="Prod F.W.", $P33=3036)), "Yes","No")))),"")</f>
        <v/>
      </c>
      <c r="S33" s="2" t="str">
        <f t="shared" si="8"/>
        <v/>
      </c>
      <c r="T33" s="1969"/>
      <c r="U33" s="876"/>
      <c r="V33" s="1967"/>
    </row>
    <row r="34" spans="1:22">
      <c r="A34" s="259" t="str">
        <f t="shared" si="0"/>
        <v/>
      </c>
      <c r="B34" s="21"/>
      <c r="C34" s="24" t="str">
        <f t="shared" si="1"/>
        <v/>
      </c>
      <c r="D34" s="2464" t="str">
        <f t="shared" si="2"/>
        <v/>
      </c>
      <c r="E34" s="434" t="str">
        <f t="shared" si="3"/>
        <v/>
      </c>
      <c r="F34" s="434" t="str">
        <f>IF(B34&lt;&gt;"",VLOOKUP(VLOOKUP(B34,dist_assets,2,FALSE),'Distributed Assets'!$C$7:$F$22,4,FALSE),"")</f>
        <v/>
      </c>
      <c r="G34" s="434" t="str">
        <f t="shared" si="4"/>
        <v/>
      </c>
      <c r="H34" s="25"/>
      <c r="I34" s="3047" t="str">
        <f t="array" ref="I34">IF($H34&lt;&gt;"",
         INDEX('BOM FUNCTIONS'!$Y$6:$AC$669,MATCH(IP!$M34&amp;IP!$O34,'BOM FUNCTIONS'!$Y$6:$Y$669&amp;'BOM FUNCTIONS'!$Z$6:$Z$669,0),5),"")</f>
        <v/>
      </c>
      <c r="J34" s="2047" t="str">
        <f t="array" ref="J34">IF($H34&lt;&gt;"",
         INDEX('BOM FUNCTIONS'!$Y$6:$AD$669,MATCH(IP!$M34&amp;IP!$O34,'BOM FUNCTIONS'!$Y$6:$Y$669&amp;'BOM FUNCTIONS'!$Z$6:$Z$669,0),6),"")</f>
        <v/>
      </c>
      <c r="K34" s="2632" t="str">
        <f t="shared" si="5"/>
        <v/>
      </c>
      <c r="L34" s="2008" t="str">
        <f t="shared" si="6"/>
        <v/>
      </c>
      <c r="M34" s="446" t="str">
        <f t="shared" si="7"/>
        <v/>
      </c>
      <c r="N34" s="479"/>
      <c r="O34" s="436" t="str">
        <f t="shared" si="9"/>
        <v/>
      </c>
      <c r="P34" s="3049" t="str">
        <f t="array" ref="P34">IF($H34&lt;&gt;"",
         INDEX('BOM FUNCTIONS'!$Y$6:$AA$669,MATCH(IP!$M34&amp;IP!$O34,'BOM FUNCTIONS'!$Y$6:$Y$669&amp;'BOM FUNCTIONS'!$Z$6:$Z$669,0),3),"")</f>
        <v/>
      </c>
      <c r="Q34" s="2717"/>
      <c r="R34" s="849" t="str">
        <f>IF(B34&lt;&gt;"",
               IF(VLOOKUP($K34,DNS!$C$5:$I$54,6,FALSE)="No","No",
                    IF(AND($F34 = "Test 2.0", P34 &gt; 1715,$P34 &lt;1728),"Yes",
                     IF(AND($F34 ="Prod 2.0", P34 &gt; 2715, $P34 &lt; 2728), "Yes",
                          IF(OR(AND($F34 ="Prod F.W.", $P34 &gt; 3015, $P34&lt;3020,),AND($F34 ="Prod F.W.", $P34=3036)), "Yes","No")))),"")</f>
        <v/>
      </c>
      <c r="S34" s="2" t="str">
        <f t="shared" si="8"/>
        <v/>
      </c>
      <c r="T34" s="1969"/>
      <c r="U34" s="876"/>
      <c r="V34" s="1967"/>
    </row>
    <row r="35" spans="1:22">
      <c r="A35" s="259" t="str">
        <f t="shared" si="0"/>
        <v/>
      </c>
      <c r="B35" s="21"/>
      <c r="C35" s="24" t="str">
        <f t="shared" si="1"/>
        <v/>
      </c>
      <c r="D35" s="2464" t="str">
        <f t="shared" si="2"/>
        <v/>
      </c>
      <c r="E35" s="434" t="str">
        <f t="shared" si="3"/>
        <v/>
      </c>
      <c r="F35" s="434" t="str">
        <f>IF(B35&lt;&gt;"",VLOOKUP(VLOOKUP(B35,dist_assets,2,FALSE),'Distributed Assets'!$C$7:$F$22,4,FALSE),"")</f>
        <v/>
      </c>
      <c r="G35" s="434" t="str">
        <f t="shared" si="4"/>
        <v/>
      </c>
      <c r="H35" s="25"/>
      <c r="I35" s="3047" t="str">
        <f t="array" ref="I35">IF($H35&lt;&gt;"",
         INDEX('BOM FUNCTIONS'!$Y$6:$AC$669,MATCH(IP!$M35&amp;IP!$O35,'BOM FUNCTIONS'!$Y$6:$Y$669&amp;'BOM FUNCTIONS'!$Z$6:$Z$669,0),5),"")</f>
        <v/>
      </c>
      <c r="J35" s="2047" t="str">
        <f t="array" ref="J35">IF($H35&lt;&gt;"",
         INDEX('BOM FUNCTIONS'!$Y$6:$AD$669,MATCH(IP!$M35&amp;IP!$O35,'BOM FUNCTIONS'!$Y$6:$Y$669&amp;'BOM FUNCTIONS'!$Z$6:$Z$669,0),6),"")</f>
        <v/>
      </c>
      <c r="K35" s="2632" t="str">
        <f t="shared" si="5"/>
        <v/>
      </c>
      <c r="L35" s="2008" t="str">
        <f t="shared" si="6"/>
        <v/>
      </c>
      <c r="M35" s="446" t="str">
        <f t="shared" si="7"/>
        <v/>
      </c>
      <c r="N35" s="479"/>
      <c r="O35" s="436" t="str">
        <f t="shared" si="9"/>
        <v/>
      </c>
      <c r="P35" s="3049" t="str">
        <f t="array" ref="P35">IF($H35&lt;&gt;"",
         INDEX('BOM FUNCTIONS'!$Y$6:$AA$669,MATCH(IP!$M35&amp;IP!$O35,'BOM FUNCTIONS'!$Y$6:$Y$669&amp;'BOM FUNCTIONS'!$Z$6:$Z$669,0),3),"")</f>
        <v/>
      </c>
      <c r="Q35" s="2717"/>
      <c r="R35" s="849" t="str">
        <f>IF(B35&lt;&gt;"",
               IF(VLOOKUP($K35,DNS!$C$5:$I$54,6,FALSE)="No","No",
                    IF(AND($F35 = "Test 2.0", P35 &gt; 1715,$P35 &lt;1728),"Yes",
                     IF(AND($F35 ="Prod 2.0", P35 &gt; 2715, $P35 &lt; 2728), "Yes",
                          IF(OR(AND($F35 ="Prod F.W.", $P35 &gt; 3015, $P35&lt;3020,),AND($F35 ="Prod F.W.", $P35=3036)), "Yes","No")))),"")</f>
        <v/>
      </c>
      <c r="S35" s="2" t="str">
        <f t="shared" si="8"/>
        <v/>
      </c>
      <c r="T35" s="1969"/>
      <c r="U35" s="876"/>
      <c r="V35" s="1967"/>
    </row>
    <row r="36" spans="1:22">
      <c r="A36" s="259" t="str">
        <f t="shared" si="0"/>
        <v/>
      </c>
      <c r="B36" s="21"/>
      <c r="C36" s="24" t="str">
        <f t="shared" si="1"/>
        <v/>
      </c>
      <c r="D36" s="2464" t="str">
        <f t="shared" ref="D36:D67" si="11">IF($B36&lt;&gt;"", IF(AND(LEFT(VLOOKUP($B36,dist_assets,5,FALSE),3)="POD",VLOOKUP($B36,dist_assets,7,FALSE)="IBM DB2 Data Drives"),"Data Drive INFO",
        VLOOKUP($B36,dist_assets,21,FALSE)),"")</f>
        <v/>
      </c>
      <c r="E36" s="434" t="str">
        <f t="shared" si="3"/>
        <v/>
      </c>
      <c r="F36" s="434" t="str">
        <f>IF(B36&lt;&gt;"",VLOOKUP(VLOOKUP(B36,dist_assets,2,FALSE),'Distributed Assets'!$C$7:$F$22,4,FALSE),"")</f>
        <v/>
      </c>
      <c r="G36" s="434" t="str">
        <f t="shared" ref="G36:G67" si="12">IF(B36&lt;&gt;"",VLOOKUP(B36,dist_assets,8,FALSE),"")</f>
        <v/>
      </c>
      <c r="H36" s="25"/>
      <c r="I36" s="3047" t="str">
        <f t="array" ref="I36">IF($H36&lt;&gt;"",
         INDEX('BOM FUNCTIONS'!$Y$6:$AC$669,MATCH(IP!$M36&amp;IP!$O36,'BOM FUNCTIONS'!$Y$6:$Y$669&amp;'BOM FUNCTIONS'!$Z$6:$Z$669,0),5),"")</f>
        <v/>
      </c>
      <c r="J36" s="2047" t="str">
        <f t="array" ref="J36">IF($H36&lt;&gt;"",
         INDEX('BOM FUNCTIONS'!$Y$6:$AD$669,MATCH(IP!$M36&amp;IP!$O36,'BOM FUNCTIONS'!$Y$6:$Y$669&amp;'BOM FUNCTIONS'!$Z$6:$Z$669,0),6),"")</f>
        <v/>
      </c>
      <c r="K36" s="2632" t="str">
        <f t="shared" ref="K36:K67" si="13">IF($B36&lt;&gt;"",
             IF(AND($F36="Dev",$E36="Windows",$H36="Application Interface"),CONCATENATE($D36,".adhcscdev.net"),
               IF(AND($F36="Test 2.0",$E36="Windows",$H36="Application Interface"),CONCATENATE($D36,".adhcsctst.net"),
                IF(AND($F36="Non-Prod (ITC)",$E36="Windows",$H36="Application Interface"),CONCATENATE($D36,".adhcsctst.net"),
                 IF(AND($F36="ALT Prod",$E36="Windows",$H36="Application Interface"),CONCATENATE($D36,".adhcscalt.net"),
                 IF(AND($F36="Prod 2.0",$E36="Windows",$H36="Application Interface"),CONCATENATE($D36,".adhcscint.net"),
                  IF(AND($F36="Prod (ITC)",$E36="Windows",$H36="Application Interface"),CONCATENATE($D36,".adhcscint.net"),
                     IF(AND($F36="Prod F.W.",$E36="Windows",$H36="Application Interface"),CONCATENATE($D36,".adhcscint.net"),
                        IF(AND($F36="Test 2.0",$E36="Windows",$H36="DMZ backup"),CONCATENATE($D36,".dmzbkp.test.hcscint.net"),
                            IF(AND($F36="Prod 2.0",$E36="Windows",$H36="DMZ backup"),CONCATENATE($D36,".dmzbkp.hcscint.net"),
                                 IF(AND($F36="Prod F.W.",$E36="Windows",$H36="DMZ backup"),CONCATENATE($D36,".dmzbkp.hcscint.net"),
             IF(AND($F36="Dev",$E36&lt;&gt;"Windows",$C36=1,$H36="Application Interface"),CONCATENATE($D36,".app.dev.hcscint.net"),
                IF(AND($F36="Test 2.0",$E36&lt;&gt;"Windows",$C36=1,$H36="Application Interface"),CONCATENATE($D36,".app.test.hcscint.net"),
             IF(AND($F36="Non-Prod (ITC)",$E36&lt;&gt;"Windows",$C36=1,$H36="Application Interface"),CONCATENATE($D36,".app.test.hcscint.net"),
             IF(AND($F36="ALT Prod",$E36&lt;&gt;"Windows",$C36=1,$H36="Application Interface"),CONCATENATE($D36,".app.alt.hcscint.net"),
                    IF(AND($F36="Prod 2.0",$E36&lt;&gt;"Windows",$C36=1,$H36="Application Interface"),$D36 &amp;".app.hcscint.net",
                      IF(AND($F36="Prod (ITC)",$E36&lt;&gt;"Windows",$C36=1,$H36="Application Interface"),$D36 &amp;".app.hcscint.net",
                        IF(AND($F36="Prod F.W.",$E36&lt;&gt;"Windows",$C36=1,$H36="Application Interface"),$D36 &amp;".app.hcscint.net",
           IF(AND($F36="Dev",$E36&lt;&gt;"Windows",$C36=1,$H36="Persistent Interface"),$D36 &amp;".app.dev.hcscint.net",
                IF(AND($F36="Test 2.0",$E36&lt;&gt;"Windows",$C36=1,$H36="Persistent Interface"),$D36 &amp;".app.test.hcscint.net",
                    IF(AND($F36="Prod 2.0",$E36&lt;&gt;"Windows",$C36=1,$H36="Persistent Interface"),$D36 &amp;".app.hcscint.net",
                            IF(AND($F36="Prod F.W.",$E36&lt;&gt;"Windows",$C36=1,$H36="Persistent Interface"),$D36 &amp;".app.hcscint.net",
              IF(AND($F36="Dev",$E36&lt;&gt;"Windows",$C36=1,$H36="Application Interface"),SUBSTITUTE(CONCATENATE($D36,".app.dev.hcscint.net"),"p.",".",1),
                IF(AND($F36="Test 2.0",$E36&lt;&gt;"Windows",$C36=2,$H36="Application Interface"),SUBSTITUTE(CONCATENATE($D36,".app.test.hcscint.net"),"p.",".",1),
                    IF(AND($F36="Prod 2.0",$E36&lt;&gt;"Windows",$C36=2,$H36="Application Interface"),SUBSTITUTE(CONCATENATE($D36,".app.hcscint.net"),"p.",".",1),
                        IF(AND($F36="Prod F.W.",$E36&lt;&gt;"Windows",$C36=2,$H36="Application Interface"),SUBSTITUTE(CONCATENATE($D36,".app.hcscint.net"),"p.",".",1),
              IF(AND($F36="Dev",$E36&lt;&gt;"Windows",OR($H36="OOB Interface",$H36="OOB-2 Interface",$H36="OOB-3 Interface")),CONCATENATE($D36,".oob.dev.hcscint.net"),
                IF(AND($F36="Test 2.0",$E36&lt;&gt;"Windows",OR($H36="OOB Interface",$H36="OOB-2 Interface",$H36="OOB-3 Interface")),CONCATENATE($D36,".oob.test.hcscint.net"),
                  IF(AND($F36="Alt Prod",$E36&lt;&gt;"Windows",OR($H36="OOB Interface",$H36="OOB-2 Interface",$H36="OOB-3 Interface")),CONCATENATE($D36,".oob.test.hcscint.net"),
                    IF(AND($F36="Prod 2.0",$E36&lt;&gt;"Windows",OR($H36="OOB Interface",$H36="OOB-2 Interface",$H36="OOB-3 Interface")),CONCATENATE($D36,".oob.hcscint.net"),
                          IF(AND($F36="Prod F.W.",$E36&lt;&gt;"Windows",OR($H36="OOB Interface",$H36="OOB-2 Interface",$H36="OOB-3 Interface")),CONCATENATE($D36,".oob.hcscint.net"),
              IF(AND($F36="Dev",$E36&lt;&gt;"Windows",OR($H36="iLO Interface",$H36="iLO-2 Interface",$H36="iLO-3 Interface", $H36="iLO-4 Interface")),CONCATENATE($D36,"-ilo.oob.dev.hcscint.net"),
                IF(AND($F36="Test 2.0",$E36&lt;&gt;"Windows",OR($H36="iLO Interface",$H36="iLO-2 Interface",$H36="iLO-3 Interface", $H36="iLO-4 Interface")),CONCATENATE($D36,"-ilo.oob.test.hcscint.net"),
                    IF(AND($F36="Prod 2.0",$E36&lt;&gt;"Windows",OR($H36="iLO Interface",$H36="iLO-2 Interface",$H36="iLO-3 Interface", $H36="iLO-4 Interface")),CONCATENATE($D36,"-ilo.oob.hcscint.net"),
                          IF(AND($F36="Prod F.W.",$E36&lt;&gt;"Windows",OR($H36="iLO Interface",$H36="iLO-2 Interface",$H36="iLO-3 Interface", $H36="iLO-4 Interface")),CONCATENATE($D36,"-ilo.oob.hcscint.net"),
                IF(AND($F36="Test 2.0",$E36&lt;&gt;"Windows",$H36="DMZ Backup"),CONCATENATE($D36,".dmzbkp.test.hcscint.net"),
                    IF(AND($F36="Prod 2.0",$E36&lt;&gt;"Windows",$H36="DMZ Backup"),CONCATENATE($D36,".dmzbkp.hcscint.net"),
                           IF(AND($F36="Prod F.W.",$E36&lt;&gt;"Windows",$H36="DMZ Backup"),CONCATENATE($D36,".dmzbkp.hcscint.net"),
 IF(AND($F36="Non-Prod (ITC)",$E36&lt;&gt;"Windows",$H36="ITC Backup"),CONCATENATE($D36,"-1"),
 IF(AND($F36="Prod (ITC)",$E36&lt;&gt;"Windows",$H36="ITC Backup"),CONCATENATE($D36,"-1"),
))))))))))))))))))))))))))))))))))))))),"")</f>
        <v/>
      </c>
      <c r="L36" s="2008" t="str">
        <f t="shared" si="6"/>
        <v/>
      </c>
      <c r="M36" s="446" t="str">
        <f t="shared" ref="M36:M67" si="14">IF($B36&lt;&gt;"",VLOOKUP(VLOOKUP($B36,dist_assets,5,FALSE),location_table,2,FALSE),"")</f>
        <v/>
      </c>
      <c r="N36" s="479"/>
      <c r="O36" s="436" t="str">
        <f t="shared" si="9"/>
        <v/>
      </c>
      <c r="P36" s="3049" t="str">
        <f t="array" ref="P36">IF($H36&lt;&gt;"",
         INDEX('BOM FUNCTIONS'!$Y$6:$AA$669,MATCH(IP!$M36&amp;IP!$O36,'BOM FUNCTIONS'!$Y$6:$Y$669&amp;'BOM FUNCTIONS'!$Z$6:$Z$669,0),3),"")</f>
        <v/>
      </c>
      <c r="Q36" s="2717"/>
      <c r="R36" s="849" t="str">
        <f>IF(B36&lt;&gt;"",
               IF(VLOOKUP($K36,DNS!$C$5:$I$54,6,FALSE)="No","No",
                    IF(AND($F36 = "Test 2.0", P36 &gt; 1715,$P36 &lt;1728),"Yes",
                     IF(AND($F36 ="Prod 2.0", P36 &gt; 2715, $P36 &lt; 2728), "Yes",
                          IF(OR(AND($F36 ="Prod F.W.", $P36 &gt; 3015, $P36&lt;3020,),AND($F36 ="Prod F.W.", $P36=3036)), "Yes","No")))),"")</f>
        <v/>
      </c>
      <c r="S36" s="2" t="str">
        <f t="shared" si="8"/>
        <v/>
      </c>
      <c r="T36" s="1969"/>
      <c r="U36" s="876"/>
      <c r="V36" s="1967"/>
    </row>
    <row r="37" spans="1:22">
      <c r="A37" s="259" t="str">
        <f t="shared" si="0"/>
        <v/>
      </c>
      <c r="B37" s="21"/>
      <c r="C37" s="24" t="str">
        <f t="shared" si="1"/>
        <v/>
      </c>
      <c r="D37" s="2464" t="str">
        <f t="shared" si="11"/>
        <v/>
      </c>
      <c r="E37" s="434" t="str">
        <f t="shared" si="3"/>
        <v/>
      </c>
      <c r="F37" s="434" t="str">
        <f>IF(B37&lt;&gt;"",VLOOKUP(VLOOKUP(B37,dist_assets,2,FALSE),'Distributed Assets'!$C$7:$F$22,4,FALSE),"")</f>
        <v/>
      </c>
      <c r="G37" s="434" t="str">
        <f t="shared" si="12"/>
        <v/>
      </c>
      <c r="H37" s="25"/>
      <c r="I37" s="3047" t="str">
        <f t="array" ref="I37">IF($H37&lt;&gt;"",
         INDEX('BOM FUNCTIONS'!$Y$6:$AC$669,MATCH(IP!$M37&amp;IP!$O37,'BOM FUNCTIONS'!$Y$6:$Y$669&amp;'BOM FUNCTIONS'!$Z$6:$Z$669,0),5),"")</f>
        <v/>
      </c>
      <c r="J37" s="2047" t="str">
        <f t="array" ref="J37">IF($H37&lt;&gt;"",
         INDEX('BOM FUNCTIONS'!$Y$6:$AD$669,MATCH(IP!$M37&amp;IP!$O37,'BOM FUNCTIONS'!$Y$6:$Y$669&amp;'BOM FUNCTIONS'!$Z$6:$Z$669,0),6),"")</f>
        <v/>
      </c>
      <c r="K37" s="2632" t="str">
        <f t="shared" si="13"/>
        <v/>
      </c>
      <c r="L37" s="2008" t="str">
        <f t="shared" si="6"/>
        <v/>
      </c>
      <c r="M37" s="446" t="str">
        <f t="shared" si="14"/>
        <v/>
      </c>
      <c r="N37" s="479"/>
      <c r="O37" s="436" t="str">
        <f t="shared" si="9"/>
        <v/>
      </c>
      <c r="P37" s="3049" t="str">
        <f t="array" ref="P37">IF($H37&lt;&gt;"",
         INDEX('BOM FUNCTIONS'!$Y$6:$AA$669,MATCH(IP!$M37&amp;IP!$O37,'BOM FUNCTIONS'!$Y$6:$Y$669&amp;'BOM FUNCTIONS'!$Z$6:$Z$669,0),3),"")</f>
        <v/>
      </c>
      <c r="Q37" s="2717"/>
      <c r="R37" s="849" t="str">
        <f>IF(B37&lt;&gt;"",
               IF(VLOOKUP($K37,DNS!$C$5:$I$54,6,FALSE)="No","No",
                    IF(AND($F37 = "Test 2.0", P37 &gt; 1715,$P37 &lt;1728),"Yes",
                     IF(AND($F37 ="Prod 2.0", P37 &gt; 2715, $P37 &lt; 2728), "Yes",
                          IF(OR(AND($F37 ="Prod F.W.", $P37 &gt; 3015, $P37&lt;3020,),AND($F37 ="Prod F.W.", $P37=3036)), "Yes","No")))),"")</f>
        <v/>
      </c>
      <c r="S37" s="2" t="str">
        <f t="shared" si="8"/>
        <v/>
      </c>
      <c r="T37" s="1969"/>
      <c r="U37" s="876"/>
      <c r="V37" s="1967"/>
    </row>
    <row r="38" spans="1:22">
      <c r="A38" s="259" t="str">
        <f t="shared" si="0"/>
        <v/>
      </c>
      <c r="B38" s="21"/>
      <c r="C38" s="24" t="str">
        <f t="shared" si="1"/>
        <v/>
      </c>
      <c r="D38" s="2464" t="str">
        <f t="shared" si="11"/>
        <v/>
      </c>
      <c r="E38" s="434" t="str">
        <f t="shared" si="3"/>
        <v/>
      </c>
      <c r="F38" s="434" t="str">
        <f>IF(B38&lt;&gt;"",VLOOKUP(VLOOKUP(B38,dist_assets,2,FALSE),'Distributed Assets'!$C$7:$F$22,4,FALSE),"")</f>
        <v/>
      </c>
      <c r="G38" s="434" t="str">
        <f t="shared" si="12"/>
        <v/>
      </c>
      <c r="H38" s="25"/>
      <c r="I38" s="3047" t="str">
        <f t="array" ref="I38">IF($H38&lt;&gt;"",
         INDEX('BOM FUNCTIONS'!$Y$6:$AC$669,MATCH(IP!$M38&amp;IP!$O38,'BOM FUNCTIONS'!$Y$6:$Y$669&amp;'BOM FUNCTIONS'!$Z$6:$Z$669,0),5),"")</f>
        <v/>
      </c>
      <c r="J38" s="2047" t="str">
        <f t="array" ref="J38">IF($H38&lt;&gt;"",
         INDEX('BOM FUNCTIONS'!$Y$6:$AD$669,MATCH(IP!$M38&amp;IP!$O38,'BOM FUNCTIONS'!$Y$6:$Y$669&amp;'BOM FUNCTIONS'!$Z$6:$Z$669,0),6),"")</f>
        <v/>
      </c>
      <c r="K38" s="2632" t="str">
        <f t="shared" si="13"/>
        <v/>
      </c>
      <c r="L38" s="2008" t="str">
        <f t="shared" si="6"/>
        <v/>
      </c>
      <c r="M38" s="446" t="str">
        <f t="shared" si="14"/>
        <v/>
      </c>
      <c r="N38" s="479"/>
      <c r="O38" s="436" t="str">
        <f t="shared" si="9"/>
        <v/>
      </c>
      <c r="P38" s="3049" t="str">
        <f t="array" ref="P38">IF($H38&lt;&gt;"",
         INDEX('BOM FUNCTIONS'!$Y$6:$AA$669,MATCH(IP!$M38&amp;IP!$O38,'BOM FUNCTIONS'!$Y$6:$Y$669&amp;'BOM FUNCTIONS'!$Z$6:$Z$669,0),3),"")</f>
        <v/>
      </c>
      <c r="Q38" s="2717"/>
      <c r="R38" s="849" t="str">
        <f>IF(B38&lt;&gt;"",
               IF(VLOOKUP($K38,DNS!$C$5:$I$54,6,FALSE)="No","No",
                    IF(AND($F38 = "Test 2.0", P38 &gt; 1715,$P38 &lt;1728),"Yes",
                     IF(AND($F38 ="Prod 2.0", P38 &gt; 2715, $P38 &lt; 2728), "Yes",
                          IF(OR(AND($F38 ="Prod F.W.", $P38 &gt; 3015, $P38&lt;3020,),AND($F38 ="Prod F.W.", $P38=3036)), "Yes","No")))),"")</f>
        <v/>
      </c>
      <c r="S38" s="2" t="str">
        <f t="shared" si="8"/>
        <v/>
      </c>
      <c r="T38" s="1969"/>
      <c r="U38" s="876"/>
      <c r="V38" s="1967"/>
    </row>
    <row r="39" spans="1:22">
      <c r="A39" s="259" t="str">
        <f t="shared" si="0"/>
        <v/>
      </c>
      <c r="B39" s="21"/>
      <c r="C39" s="24" t="str">
        <f t="shared" si="1"/>
        <v/>
      </c>
      <c r="D39" s="2464" t="str">
        <f t="shared" si="11"/>
        <v/>
      </c>
      <c r="E39" s="434" t="str">
        <f t="shared" si="3"/>
        <v/>
      </c>
      <c r="F39" s="434" t="str">
        <f>IF(B39&lt;&gt;"",VLOOKUP(VLOOKUP(B39,dist_assets,2,FALSE),'Distributed Assets'!$C$7:$F$22,4,FALSE),"")</f>
        <v/>
      </c>
      <c r="G39" s="434" t="str">
        <f t="shared" si="12"/>
        <v/>
      </c>
      <c r="H39" s="25"/>
      <c r="I39" s="3047" t="str">
        <f t="array" ref="I39">IF($H39&lt;&gt;"",
         INDEX('BOM FUNCTIONS'!$Y$6:$AC$669,MATCH(IP!$M39&amp;IP!$O39,'BOM FUNCTIONS'!$Y$6:$Y$669&amp;'BOM FUNCTIONS'!$Z$6:$Z$669,0),5),"")</f>
        <v/>
      </c>
      <c r="J39" s="2047" t="str">
        <f t="array" ref="J39">IF($H39&lt;&gt;"",
         INDEX('BOM FUNCTIONS'!$Y$6:$AD$669,MATCH(IP!$M39&amp;IP!$O39,'BOM FUNCTIONS'!$Y$6:$Y$669&amp;'BOM FUNCTIONS'!$Z$6:$Z$669,0),6),"")</f>
        <v/>
      </c>
      <c r="K39" s="2632" t="str">
        <f t="shared" si="13"/>
        <v/>
      </c>
      <c r="L39" s="2008" t="str">
        <f t="shared" si="6"/>
        <v/>
      </c>
      <c r="M39" s="446" t="str">
        <f t="shared" si="14"/>
        <v/>
      </c>
      <c r="N39" s="479"/>
      <c r="O39" s="436" t="str">
        <f t="shared" si="9"/>
        <v/>
      </c>
      <c r="P39" s="3049" t="str">
        <f t="array" ref="P39">IF($H39&lt;&gt;"",
         INDEX('BOM FUNCTIONS'!$Y$6:$AA$669,MATCH(IP!$M39&amp;IP!$O39,'BOM FUNCTIONS'!$Y$6:$Y$669&amp;'BOM FUNCTIONS'!$Z$6:$Z$669,0),3),"")</f>
        <v/>
      </c>
      <c r="Q39" s="2717"/>
      <c r="R39" s="849" t="str">
        <f>IF(B39&lt;&gt;"",
               IF(VLOOKUP($K39,DNS!$C$5:$I$54,6,FALSE)="No","No",
                    IF(AND($F39 = "Test 2.0", P39 &gt; 1715,$P39 &lt;1728),"Yes",
                     IF(AND($F39 ="Prod 2.0", P39 &gt; 2715, $P39 &lt; 2728), "Yes",
                          IF(OR(AND($F39 ="Prod F.W.", $P39 &gt; 3015, $P39&lt;3020,),AND($F39 ="Prod F.W.", $P39=3036)), "Yes","No")))),"")</f>
        <v/>
      </c>
      <c r="S39" s="2" t="str">
        <f t="shared" si="8"/>
        <v/>
      </c>
      <c r="T39" s="1969"/>
      <c r="U39" s="876"/>
      <c r="V39" s="1967"/>
    </row>
    <row r="40" spans="1:22">
      <c r="A40" s="259" t="str">
        <f t="shared" si="0"/>
        <v/>
      </c>
      <c r="B40" s="21"/>
      <c r="C40" s="24" t="str">
        <f t="shared" si="1"/>
        <v/>
      </c>
      <c r="D40" s="2464" t="str">
        <f t="shared" si="11"/>
        <v/>
      </c>
      <c r="E40" s="434" t="str">
        <f t="shared" si="3"/>
        <v/>
      </c>
      <c r="F40" s="434" t="str">
        <f>IF(B40&lt;&gt;"",VLOOKUP(VLOOKUP(B40,dist_assets,2,FALSE),'Distributed Assets'!$C$7:$F$22,4,FALSE),"")</f>
        <v/>
      </c>
      <c r="G40" s="434" t="str">
        <f t="shared" si="12"/>
        <v/>
      </c>
      <c r="H40" s="25"/>
      <c r="I40" s="3047" t="str">
        <f t="array" ref="I40">IF($H40&lt;&gt;"",
         INDEX('BOM FUNCTIONS'!$Y$6:$AC$669,MATCH(IP!$M40&amp;IP!$O40,'BOM FUNCTIONS'!$Y$6:$Y$669&amp;'BOM FUNCTIONS'!$Z$6:$Z$669,0),5),"")</f>
        <v/>
      </c>
      <c r="J40" s="2047" t="str">
        <f t="array" ref="J40">IF($H40&lt;&gt;"",
         INDEX('BOM FUNCTIONS'!$Y$6:$AD$669,MATCH(IP!$M40&amp;IP!$O40,'BOM FUNCTIONS'!$Y$6:$Y$669&amp;'BOM FUNCTIONS'!$Z$6:$Z$669,0),6),"")</f>
        <v/>
      </c>
      <c r="K40" s="2632" t="str">
        <f t="shared" si="13"/>
        <v/>
      </c>
      <c r="L40" s="2008" t="str">
        <f t="shared" si="6"/>
        <v/>
      </c>
      <c r="M40" s="446" t="str">
        <f t="shared" si="14"/>
        <v/>
      </c>
      <c r="N40" s="479"/>
      <c r="O40" s="436" t="str">
        <f t="shared" si="9"/>
        <v/>
      </c>
      <c r="P40" s="3049" t="str">
        <f t="array" ref="P40">IF($H40&lt;&gt;"",
         INDEX('BOM FUNCTIONS'!$Y$6:$AA$669,MATCH(IP!$M40&amp;IP!$O40,'BOM FUNCTIONS'!$Y$6:$Y$669&amp;'BOM FUNCTIONS'!$Z$6:$Z$669,0),3),"")</f>
        <v/>
      </c>
      <c r="Q40" s="2717"/>
      <c r="R40" s="849" t="str">
        <f>IF(B40&lt;&gt;"",
               IF(VLOOKUP($K40,DNS!$C$5:$I$54,6,FALSE)="No","No",
                    IF(AND($F40 = "Test 2.0", P40 &gt; 1715,$P40 &lt;1728),"Yes",
                     IF(AND($F40 ="Prod 2.0", P40 &gt; 2715, $P40 &lt; 2728), "Yes",
                          IF(OR(AND($F40 ="Prod F.W.", $P40 &gt; 3015, $P40&lt;3020,),AND($F40 ="Prod F.W.", $P40=3036)), "Yes","No")))),"")</f>
        <v/>
      </c>
      <c r="S40" s="2" t="str">
        <f t="shared" si="8"/>
        <v/>
      </c>
      <c r="T40" s="1969"/>
      <c r="U40" s="876"/>
      <c r="V40" s="1967"/>
    </row>
    <row r="41" spans="1:22">
      <c r="A41" s="259" t="str">
        <f t="shared" si="0"/>
        <v/>
      </c>
      <c r="B41" s="21"/>
      <c r="C41" s="24" t="str">
        <f t="shared" si="1"/>
        <v/>
      </c>
      <c r="D41" s="2464" t="str">
        <f t="shared" si="11"/>
        <v/>
      </c>
      <c r="E41" s="434" t="str">
        <f t="shared" si="3"/>
        <v/>
      </c>
      <c r="F41" s="434" t="str">
        <f>IF(B41&lt;&gt;"",VLOOKUP(VLOOKUP(B41,dist_assets,2,FALSE),'Distributed Assets'!$C$7:$F$22,4,FALSE),"")</f>
        <v/>
      </c>
      <c r="G41" s="434" t="str">
        <f t="shared" si="12"/>
        <v/>
      </c>
      <c r="H41" s="25"/>
      <c r="I41" s="3047" t="str">
        <f t="array" ref="I41">IF($H41&lt;&gt;"",
         INDEX('BOM FUNCTIONS'!$Y$6:$AC$669,MATCH(IP!$M41&amp;IP!$O41,'BOM FUNCTIONS'!$Y$6:$Y$669&amp;'BOM FUNCTIONS'!$Z$6:$Z$669,0),5),"")</f>
        <v/>
      </c>
      <c r="J41" s="2047" t="str">
        <f t="array" ref="J41">IF($H41&lt;&gt;"",
         INDEX('BOM FUNCTIONS'!$Y$6:$AD$669,MATCH(IP!$M41&amp;IP!$O41,'BOM FUNCTIONS'!$Y$6:$Y$669&amp;'BOM FUNCTIONS'!$Z$6:$Z$669,0),6),"")</f>
        <v/>
      </c>
      <c r="K41" s="2632" t="str">
        <f t="shared" si="13"/>
        <v/>
      </c>
      <c r="L41" s="2008" t="str">
        <f t="shared" si="6"/>
        <v/>
      </c>
      <c r="M41" s="446" t="str">
        <f t="shared" si="14"/>
        <v/>
      </c>
      <c r="N41" s="479"/>
      <c r="O41" s="436" t="str">
        <f t="shared" si="9"/>
        <v/>
      </c>
      <c r="P41" s="3049" t="str">
        <f t="array" ref="P41">IF($H41&lt;&gt;"",
         INDEX('BOM FUNCTIONS'!$Y$6:$AA$669,MATCH(IP!$M41&amp;IP!$O41,'BOM FUNCTIONS'!$Y$6:$Y$669&amp;'BOM FUNCTIONS'!$Z$6:$Z$669,0),3),"")</f>
        <v/>
      </c>
      <c r="Q41" s="2717"/>
      <c r="R41" s="849" t="str">
        <f>IF(B41&lt;&gt;"",
               IF(VLOOKUP($K41,DNS!$C$5:$I$54,6,FALSE)="No","No",
                    IF(AND($F41 = "Test 2.0", P41 &gt; 1715,$P41 &lt;1728),"Yes",
                     IF(AND($F41 ="Prod 2.0", P41 &gt; 2715, $P41 &lt; 2728), "Yes",
                          IF(OR(AND($F41 ="Prod F.W.", $P41 &gt; 3015, $P41&lt;3020,),AND($F41 ="Prod F.W.", $P41=3036)), "Yes","No")))),"")</f>
        <v/>
      </c>
      <c r="S41" s="2" t="str">
        <f t="shared" si="8"/>
        <v/>
      </c>
      <c r="T41" s="1969"/>
      <c r="U41" s="876"/>
      <c r="V41" s="1967"/>
    </row>
    <row r="42" spans="1:22">
      <c r="A42" s="259" t="str">
        <f t="shared" si="0"/>
        <v/>
      </c>
      <c r="B42" s="21"/>
      <c r="C42" s="24" t="str">
        <f t="shared" si="1"/>
        <v/>
      </c>
      <c r="D42" s="2464" t="str">
        <f t="shared" si="11"/>
        <v/>
      </c>
      <c r="E42" s="434" t="str">
        <f t="shared" si="3"/>
        <v/>
      </c>
      <c r="F42" s="434" t="str">
        <f>IF(B42&lt;&gt;"",VLOOKUP(VLOOKUP(B42,dist_assets,2,FALSE),'Distributed Assets'!$C$7:$F$22,4,FALSE),"")</f>
        <v/>
      </c>
      <c r="G42" s="434" t="str">
        <f t="shared" si="12"/>
        <v/>
      </c>
      <c r="H42" s="25"/>
      <c r="I42" s="3047" t="str">
        <f t="array" ref="I42">IF($H42&lt;&gt;"",
         INDEX('BOM FUNCTIONS'!$Y$6:$AC$669,MATCH(IP!$M42&amp;IP!$O42,'BOM FUNCTIONS'!$Y$6:$Y$669&amp;'BOM FUNCTIONS'!$Z$6:$Z$669,0),5),"")</f>
        <v/>
      </c>
      <c r="J42" s="2047" t="str">
        <f t="array" ref="J42">IF($H42&lt;&gt;"",
         INDEX('BOM FUNCTIONS'!$Y$6:$AD$669,MATCH(IP!$M42&amp;IP!$O42,'BOM FUNCTIONS'!$Y$6:$Y$669&amp;'BOM FUNCTIONS'!$Z$6:$Z$669,0),6),"")</f>
        <v/>
      </c>
      <c r="K42" s="2632" t="str">
        <f t="shared" si="13"/>
        <v/>
      </c>
      <c r="L42" s="2008" t="str">
        <f t="shared" si="6"/>
        <v/>
      </c>
      <c r="M42" s="446" t="str">
        <f t="shared" si="14"/>
        <v/>
      </c>
      <c r="N42" s="479"/>
      <c r="O42" s="436" t="str">
        <f t="shared" si="9"/>
        <v/>
      </c>
      <c r="P42" s="3049" t="str">
        <f t="array" ref="P42">IF($H42&lt;&gt;"",
         INDEX('BOM FUNCTIONS'!$Y$6:$AA$669,MATCH(IP!$M42&amp;IP!$O42,'BOM FUNCTIONS'!$Y$6:$Y$669&amp;'BOM FUNCTIONS'!$Z$6:$Z$669,0),3),"")</f>
        <v/>
      </c>
      <c r="Q42" s="2717"/>
      <c r="R42" s="849" t="str">
        <f>IF(B42&lt;&gt;"",
               IF(VLOOKUP($K42,DNS!$C$5:$I$54,6,FALSE)="No","No",
                    IF(AND($F42 = "Test 2.0", P42 &gt; 1715,$P42 &lt;1728),"Yes",
                     IF(AND($F42 ="Prod 2.0", P42 &gt; 2715, $P42 &lt; 2728), "Yes",
                          IF(OR(AND($F42 ="Prod F.W.", $P42 &gt; 3015, $P42&lt;3020,),AND($F42 ="Prod F.W.", $P42=3036)), "Yes","No")))),"")</f>
        <v/>
      </c>
      <c r="S42" s="2" t="str">
        <f t="shared" si="8"/>
        <v/>
      </c>
      <c r="T42" s="1969"/>
      <c r="U42" s="876"/>
      <c r="V42" s="1967"/>
    </row>
    <row r="43" spans="1:22">
      <c r="A43" s="259" t="str">
        <f t="shared" si="0"/>
        <v/>
      </c>
      <c r="B43" s="21"/>
      <c r="C43" s="24" t="str">
        <f t="shared" si="1"/>
        <v/>
      </c>
      <c r="D43" s="2464" t="str">
        <f t="shared" si="11"/>
        <v/>
      </c>
      <c r="E43" s="434" t="str">
        <f t="shared" si="3"/>
        <v/>
      </c>
      <c r="F43" s="434" t="str">
        <f>IF(B43&lt;&gt;"",VLOOKUP(VLOOKUP(B43,dist_assets,2,FALSE),'Distributed Assets'!$C$7:$F$22,4,FALSE),"")</f>
        <v/>
      </c>
      <c r="G43" s="434" t="str">
        <f t="shared" si="12"/>
        <v/>
      </c>
      <c r="H43" s="25"/>
      <c r="I43" s="3047" t="str">
        <f t="array" ref="I43">IF($H43&lt;&gt;"",
         INDEX('BOM FUNCTIONS'!$Y$6:$AC$669,MATCH(IP!$M43&amp;IP!$O43,'BOM FUNCTIONS'!$Y$6:$Y$669&amp;'BOM FUNCTIONS'!$Z$6:$Z$669,0),5),"")</f>
        <v/>
      </c>
      <c r="J43" s="2047" t="str">
        <f t="array" ref="J43">IF($H43&lt;&gt;"",
         INDEX('BOM FUNCTIONS'!$Y$6:$AD$669,MATCH(IP!$M43&amp;IP!$O43,'BOM FUNCTIONS'!$Y$6:$Y$669&amp;'BOM FUNCTIONS'!$Z$6:$Z$669,0),6),"")</f>
        <v/>
      </c>
      <c r="K43" s="2632" t="str">
        <f t="shared" si="13"/>
        <v/>
      </c>
      <c r="L43" s="2008" t="str">
        <f t="shared" si="6"/>
        <v/>
      </c>
      <c r="M43" s="446" t="str">
        <f t="shared" si="14"/>
        <v/>
      </c>
      <c r="N43" s="479"/>
      <c r="O43" s="436" t="str">
        <f t="shared" si="9"/>
        <v/>
      </c>
      <c r="P43" s="3049" t="str">
        <f t="array" ref="P43">IF($H43&lt;&gt;"",
         INDEX('BOM FUNCTIONS'!$Y$6:$AA$669,MATCH(IP!$M43&amp;IP!$O43,'BOM FUNCTIONS'!$Y$6:$Y$669&amp;'BOM FUNCTIONS'!$Z$6:$Z$669,0),3),"")</f>
        <v/>
      </c>
      <c r="Q43" s="2717"/>
      <c r="R43" s="849" t="str">
        <f>IF(B43&lt;&gt;"",
               IF(VLOOKUP($K43,DNS!$C$5:$I$54,6,FALSE)="No","No",
                    IF(AND($F43 = "Test 2.0", P43 &gt; 1715,$P43 &lt;1728),"Yes",
                     IF(AND($F43 ="Prod 2.0", P43 &gt; 2715, $P43 &lt; 2728), "Yes",
                          IF(OR(AND($F43 ="Prod F.W.", $P43 &gt; 3015, $P43&lt;3020,),AND($F43 ="Prod F.W.", $P43=3036)), "Yes","No")))),"")</f>
        <v/>
      </c>
      <c r="S43" s="2" t="str">
        <f t="shared" si="8"/>
        <v/>
      </c>
      <c r="T43" s="1969"/>
      <c r="U43" s="876"/>
      <c r="V43" s="1967"/>
    </row>
    <row r="44" spans="1:22">
      <c r="A44" s="259" t="str">
        <f t="shared" si="0"/>
        <v/>
      </c>
      <c r="B44" s="21"/>
      <c r="C44" s="24" t="str">
        <f t="shared" si="1"/>
        <v/>
      </c>
      <c r="D44" s="2464" t="str">
        <f t="shared" si="11"/>
        <v/>
      </c>
      <c r="E44" s="434" t="str">
        <f t="shared" si="3"/>
        <v/>
      </c>
      <c r="F44" s="434" t="str">
        <f>IF(B44&lt;&gt;"",VLOOKUP(VLOOKUP(B44,dist_assets,2,FALSE),'Distributed Assets'!$C$7:$F$22,4,FALSE),"")</f>
        <v/>
      </c>
      <c r="G44" s="434" t="str">
        <f t="shared" si="12"/>
        <v/>
      </c>
      <c r="H44" s="25"/>
      <c r="I44" s="3047" t="str">
        <f t="array" ref="I44">IF($H44&lt;&gt;"",
         INDEX('BOM FUNCTIONS'!$Y$6:$AC$669,MATCH(IP!$M44&amp;IP!$O44,'BOM FUNCTIONS'!$Y$6:$Y$669&amp;'BOM FUNCTIONS'!$Z$6:$Z$669,0),5),"")</f>
        <v/>
      </c>
      <c r="J44" s="2047" t="str">
        <f t="array" ref="J44">IF($H44&lt;&gt;"",
         INDEX('BOM FUNCTIONS'!$Y$6:$AD$669,MATCH(IP!$M44&amp;IP!$O44,'BOM FUNCTIONS'!$Y$6:$Y$669&amp;'BOM FUNCTIONS'!$Z$6:$Z$669,0),6),"")</f>
        <v/>
      </c>
      <c r="K44" s="2632" t="str">
        <f t="shared" si="13"/>
        <v/>
      </c>
      <c r="L44" s="2008" t="str">
        <f t="shared" si="6"/>
        <v/>
      </c>
      <c r="M44" s="446" t="str">
        <f t="shared" si="14"/>
        <v/>
      </c>
      <c r="N44" s="479"/>
      <c r="O44" s="436" t="str">
        <f t="shared" si="9"/>
        <v/>
      </c>
      <c r="P44" s="3049" t="str">
        <f t="array" ref="P44">IF($H44&lt;&gt;"",
         INDEX('BOM FUNCTIONS'!$Y$6:$AA$669,MATCH(IP!$M44&amp;IP!$O44,'BOM FUNCTIONS'!$Y$6:$Y$669&amp;'BOM FUNCTIONS'!$Z$6:$Z$669,0),3),"")</f>
        <v/>
      </c>
      <c r="Q44" s="2717"/>
      <c r="R44" s="849" t="str">
        <f>IF(B44&lt;&gt;"",
               IF(VLOOKUP($K44,DNS!$C$5:$I$54,6,FALSE)="No","No",
                    IF(AND($F44 = "Test 2.0", P44 &gt; 1715,$P44 &lt;1728),"Yes",
                     IF(AND($F44 ="Prod 2.0", P44 &gt; 2715, $P44 &lt; 2728), "Yes",
                          IF(OR(AND($F44 ="Prod F.W.", $P44 &gt; 3015, $P44&lt;3020,),AND($F44 ="Prod F.W.", $P44=3036)), "Yes","No")))),"")</f>
        <v/>
      </c>
      <c r="S44" s="2" t="str">
        <f t="shared" si="8"/>
        <v/>
      </c>
      <c r="T44" s="1969"/>
      <c r="U44" s="876"/>
      <c r="V44" s="1967"/>
    </row>
    <row r="45" spans="1:22">
      <c r="A45" s="259" t="str">
        <f t="shared" si="0"/>
        <v/>
      </c>
      <c r="B45" s="21"/>
      <c r="C45" s="24" t="str">
        <f t="shared" si="1"/>
        <v/>
      </c>
      <c r="D45" s="2464" t="str">
        <f t="shared" si="11"/>
        <v/>
      </c>
      <c r="E45" s="434" t="str">
        <f t="shared" si="3"/>
        <v/>
      </c>
      <c r="F45" s="434" t="str">
        <f>IF(B45&lt;&gt;"",VLOOKUP(VLOOKUP(B45,dist_assets,2,FALSE),'Distributed Assets'!$C$7:$F$22,4,FALSE),"")</f>
        <v/>
      </c>
      <c r="G45" s="434" t="str">
        <f t="shared" si="12"/>
        <v/>
      </c>
      <c r="H45" s="25"/>
      <c r="I45" s="3047" t="str">
        <f t="array" ref="I45">IF($H45&lt;&gt;"",
         INDEX('BOM FUNCTIONS'!$Y$6:$AC$669,MATCH(IP!$M45&amp;IP!$O45,'BOM FUNCTIONS'!$Y$6:$Y$669&amp;'BOM FUNCTIONS'!$Z$6:$Z$669,0),5),"")</f>
        <v/>
      </c>
      <c r="J45" s="2047" t="str">
        <f t="array" ref="J45">IF($H45&lt;&gt;"",
         INDEX('BOM FUNCTIONS'!$Y$6:$AD$669,MATCH(IP!$M45&amp;IP!$O45,'BOM FUNCTIONS'!$Y$6:$Y$669&amp;'BOM FUNCTIONS'!$Z$6:$Z$669,0),6),"")</f>
        <v/>
      </c>
      <c r="K45" s="2632" t="str">
        <f t="shared" si="13"/>
        <v/>
      </c>
      <c r="L45" s="2008" t="str">
        <f t="shared" si="6"/>
        <v/>
      </c>
      <c r="M45" s="446" t="str">
        <f t="shared" si="14"/>
        <v/>
      </c>
      <c r="N45" s="479"/>
      <c r="O45" s="436" t="str">
        <f t="shared" si="9"/>
        <v/>
      </c>
      <c r="P45" s="3049" t="str">
        <f t="array" ref="P45">IF($H45&lt;&gt;"",
         INDEX('BOM FUNCTIONS'!$Y$6:$AA$669,MATCH(IP!$M45&amp;IP!$O45,'BOM FUNCTIONS'!$Y$6:$Y$669&amp;'BOM FUNCTIONS'!$Z$6:$Z$669,0),3),"")</f>
        <v/>
      </c>
      <c r="Q45" s="2717"/>
      <c r="R45" s="849" t="str">
        <f>IF(B45&lt;&gt;"",
               IF(VLOOKUP($K45,DNS!$C$5:$I$54,6,FALSE)="No","No",
                    IF(AND($F45 = "Test 2.0", P45 &gt; 1715,$P45 &lt;1728),"Yes",
                     IF(AND($F45 ="Prod 2.0", P45 &gt; 2715, $P45 &lt; 2728), "Yes",
                          IF(OR(AND($F45 ="Prod F.W.", $P45 &gt; 3015, $P45&lt;3020,),AND($F45 ="Prod F.W.", $P45=3036)), "Yes","No")))),"")</f>
        <v/>
      </c>
      <c r="S45" s="2" t="str">
        <f t="shared" si="8"/>
        <v/>
      </c>
      <c r="T45" s="1969"/>
      <c r="U45" s="876"/>
      <c r="V45" s="1967"/>
    </row>
    <row r="46" spans="1:22">
      <c r="A46" s="259" t="str">
        <f t="shared" si="0"/>
        <v/>
      </c>
      <c r="B46" s="21"/>
      <c r="C46" s="24" t="str">
        <f t="shared" si="1"/>
        <v/>
      </c>
      <c r="D46" s="2464" t="str">
        <f t="shared" si="11"/>
        <v/>
      </c>
      <c r="E46" s="434" t="str">
        <f t="shared" si="3"/>
        <v/>
      </c>
      <c r="F46" s="434" t="str">
        <f>IF(B46&lt;&gt;"",VLOOKUP(VLOOKUP(B46,dist_assets,2,FALSE),'Distributed Assets'!$C$7:$F$22,4,FALSE),"")</f>
        <v/>
      </c>
      <c r="G46" s="434" t="str">
        <f t="shared" si="12"/>
        <v/>
      </c>
      <c r="H46" s="25"/>
      <c r="I46" s="3047" t="str">
        <f t="array" ref="I46">IF($H46&lt;&gt;"",
         INDEX('BOM FUNCTIONS'!$Y$6:$AC$669,MATCH(IP!$M46&amp;IP!$O46,'BOM FUNCTIONS'!$Y$6:$Y$669&amp;'BOM FUNCTIONS'!$Z$6:$Z$669,0),5),"")</f>
        <v/>
      </c>
      <c r="J46" s="2047" t="str">
        <f t="array" ref="J46">IF($H46&lt;&gt;"",
         INDEX('BOM FUNCTIONS'!$Y$6:$AD$669,MATCH(IP!$M46&amp;IP!$O46,'BOM FUNCTIONS'!$Y$6:$Y$669&amp;'BOM FUNCTIONS'!$Z$6:$Z$669,0),6),"")</f>
        <v/>
      </c>
      <c r="K46" s="2632" t="str">
        <f t="shared" si="13"/>
        <v/>
      </c>
      <c r="L46" s="2008" t="str">
        <f t="shared" si="6"/>
        <v/>
      </c>
      <c r="M46" s="446" t="str">
        <f t="shared" si="14"/>
        <v/>
      </c>
      <c r="N46" s="479"/>
      <c r="O46" s="436" t="str">
        <f t="shared" si="9"/>
        <v/>
      </c>
      <c r="P46" s="3049" t="str">
        <f t="array" ref="P46">IF($H46&lt;&gt;"",
         INDEX('BOM FUNCTIONS'!$Y$6:$AA$669,MATCH(IP!$M46&amp;IP!$O46,'BOM FUNCTIONS'!$Y$6:$Y$669&amp;'BOM FUNCTIONS'!$Z$6:$Z$669,0),3),"")</f>
        <v/>
      </c>
      <c r="Q46" s="2717"/>
      <c r="R46" s="849" t="str">
        <f>IF(B46&lt;&gt;"",
               IF(VLOOKUP($K46,DNS!$C$5:$I$54,6,FALSE)="No","No",
                    IF(AND($F46 = "Test 2.0", P46 &gt; 1715,$P46 &lt;1728),"Yes",
                     IF(AND($F46 ="Prod 2.0", P46 &gt; 2715, $P46 &lt; 2728), "Yes",
                          IF(OR(AND($F46 ="Prod F.W.", $P46 &gt; 3015, $P46&lt;3020,),AND($F46 ="Prod F.W.", $P46=3036)), "Yes","No")))),"")</f>
        <v/>
      </c>
      <c r="S46" s="2" t="str">
        <f t="shared" si="8"/>
        <v/>
      </c>
      <c r="T46" s="1969"/>
      <c r="U46" s="876"/>
      <c r="V46" s="1967"/>
    </row>
    <row r="47" spans="1:22">
      <c r="A47" s="259" t="str">
        <f t="shared" si="0"/>
        <v/>
      </c>
      <c r="B47" s="21"/>
      <c r="C47" s="24" t="str">
        <f t="shared" si="1"/>
        <v/>
      </c>
      <c r="D47" s="2464" t="str">
        <f t="shared" si="11"/>
        <v/>
      </c>
      <c r="E47" s="434" t="str">
        <f t="shared" si="3"/>
        <v/>
      </c>
      <c r="F47" s="434" t="str">
        <f>IF(B47&lt;&gt;"",VLOOKUP(VLOOKUP(B47,dist_assets,2,FALSE),'Distributed Assets'!$C$7:$F$22,4,FALSE),"")</f>
        <v/>
      </c>
      <c r="G47" s="434" t="str">
        <f t="shared" si="12"/>
        <v/>
      </c>
      <c r="H47" s="25"/>
      <c r="I47" s="3047" t="str">
        <f t="array" ref="I47">IF($H47&lt;&gt;"",
         INDEX('BOM FUNCTIONS'!$Y$6:$AC$669,MATCH(IP!$M47&amp;IP!$O47,'BOM FUNCTIONS'!$Y$6:$Y$669&amp;'BOM FUNCTIONS'!$Z$6:$Z$669,0),5),"")</f>
        <v/>
      </c>
      <c r="J47" s="2047" t="str">
        <f t="array" ref="J47">IF($H47&lt;&gt;"",
         INDEX('BOM FUNCTIONS'!$Y$6:$AD$669,MATCH(IP!$M47&amp;IP!$O47,'BOM FUNCTIONS'!$Y$6:$Y$669&amp;'BOM FUNCTIONS'!$Z$6:$Z$669,0),6),"")</f>
        <v/>
      </c>
      <c r="K47" s="2632" t="str">
        <f t="shared" si="13"/>
        <v/>
      </c>
      <c r="L47" s="2008" t="str">
        <f t="shared" si="6"/>
        <v/>
      </c>
      <c r="M47" s="446" t="str">
        <f t="shared" si="14"/>
        <v/>
      </c>
      <c r="N47" s="479"/>
      <c r="O47" s="436" t="str">
        <f t="shared" si="9"/>
        <v/>
      </c>
      <c r="P47" s="3049" t="str">
        <f t="array" ref="P47">IF($H47&lt;&gt;"",
         INDEX('BOM FUNCTIONS'!$Y$6:$AA$669,MATCH(IP!$M47&amp;IP!$O47,'BOM FUNCTIONS'!$Y$6:$Y$669&amp;'BOM FUNCTIONS'!$Z$6:$Z$669,0),3),"")</f>
        <v/>
      </c>
      <c r="Q47" s="2717"/>
      <c r="R47" s="849" t="str">
        <f>IF(B47&lt;&gt;"",
               IF(VLOOKUP($K47,DNS!$C$5:$I$54,6,FALSE)="No","No",
                    IF(AND($F47 = "Test 2.0", P47 &gt; 1715,$P47 &lt;1728),"Yes",
                     IF(AND($F47 ="Prod 2.0", P47 &gt; 2715, $P47 &lt; 2728), "Yes",
                          IF(OR(AND($F47 ="Prod F.W.", $P47 &gt; 3015, $P47&lt;3020,),AND($F47 ="Prod F.W.", $P47=3036)), "Yes","No")))),"")</f>
        <v/>
      </c>
      <c r="S47" s="2" t="str">
        <f t="shared" si="8"/>
        <v/>
      </c>
      <c r="T47" s="1969"/>
      <c r="U47" s="876"/>
      <c r="V47" s="1967"/>
    </row>
    <row r="48" spans="1:22">
      <c r="A48" s="259" t="str">
        <f t="shared" si="0"/>
        <v/>
      </c>
      <c r="B48" s="21"/>
      <c r="C48" s="24" t="str">
        <f t="shared" si="1"/>
        <v/>
      </c>
      <c r="D48" s="2464" t="str">
        <f t="shared" si="11"/>
        <v/>
      </c>
      <c r="E48" s="434" t="str">
        <f t="shared" si="3"/>
        <v/>
      </c>
      <c r="F48" s="434" t="str">
        <f>IF(B48&lt;&gt;"",VLOOKUP(VLOOKUP(B48,dist_assets,2,FALSE),'Distributed Assets'!$C$7:$F$22,4,FALSE),"")</f>
        <v/>
      </c>
      <c r="G48" s="434" t="str">
        <f t="shared" si="12"/>
        <v/>
      </c>
      <c r="H48" s="25"/>
      <c r="I48" s="3047" t="str">
        <f t="array" ref="I48">IF($H48&lt;&gt;"",
         INDEX('BOM FUNCTIONS'!$Y$6:$AC$669,MATCH(IP!$M48&amp;IP!$O48,'BOM FUNCTIONS'!$Y$6:$Y$669&amp;'BOM FUNCTIONS'!$Z$6:$Z$669,0),5),"")</f>
        <v/>
      </c>
      <c r="J48" s="2047" t="str">
        <f t="array" ref="J48">IF($H48&lt;&gt;"",
         INDEX('BOM FUNCTIONS'!$Y$6:$AD$669,MATCH(IP!$M48&amp;IP!$O48,'BOM FUNCTIONS'!$Y$6:$Y$669&amp;'BOM FUNCTIONS'!$Z$6:$Z$669,0),6),"")</f>
        <v/>
      </c>
      <c r="K48" s="2632" t="str">
        <f t="shared" si="13"/>
        <v/>
      </c>
      <c r="L48" s="2008" t="str">
        <f t="shared" si="6"/>
        <v/>
      </c>
      <c r="M48" s="446" t="str">
        <f t="shared" si="14"/>
        <v/>
      </c>
      <c r="N48" s="479"/>
      <c r="O48" s="436" t="str">
        <f t="shared" si="9"/>
        <v/>
      </c>
      <c r="P48" s="3049" t="str">
        <f t="array" ref="P48">IF($H48&lt;&gt;"",
         INDEX('BOM FUNCTIONS'!$Y$6:$AA$669,MATCH(IP!$M48&amp;IP!$O48,'BOM FUNCTIONS'!$Y$6:$Y$669&amp;'BOM FUNCTIONS'!$Z$6:$Z$669,0),3),"")</f>
        <v/>
      </c>
      <c r="Q48" s="2717"/>
      <c r="R48" s="849" t="str">
        <f>IF(B48&lt;&gt;"",
               IF(VLOOKUP($K48,DNS!$C$5:$I$54,6,FALSE)="No","No",
                    IF(AND($F48 = "Test 2.0", P48 &gt; 1715,$P48 &lt;1728),"Yes",
                     IF(AND($F48 ="Prod 2.0", P48 &gt; 2715, $P48 &lt; 2728), "Yes",
                          IF(OR(AND($F48 ="Prod F.W.", $P48 &gt; 3015, $P48&lt;3020,),AND($F48 ="Prod F.W.", $P48=3036)), "Yes","No")))),"")</f>
        <v/>
      </c>
      <c r="S48" s="2" t="str">
        <f t="shared" si="8"/>
        <v/>
      </c>
      <c r="T48" s="1969"/>
      <c r="U48" s="876"/>
      <c r="V48" s="1967"/>
    </row>
    <row r="49" spans="1:22">
      <c r="A49" s="259" t="str">
        <f t="shared" si="0"/>
        <v/>
      </c>
      <c r="B49" s="21"/>
      <c r="C49" s="24" t="str">
        <f t="shared" si="1"/>
        <v/>
      </c>
      <c r="D49" s="2464" t="str">
        <f t="shared" si="11"/>
        <v/>
      </c>
      <c r="E49" s="434" t="str">
        <f t="shared" si="3"/>
        <v/>
      </c>
      <c r="F49" s="434" t="str">
        <f>IF(B49&lt;&gt;"",VLOOKUP(VLOOKUP(B49,dist_assets,2,FALSE),'Distributed Assets'!$C$7:$F$22,4,FALSE),"")</f>
        <v/>
      </c>
      <c r="G49" s="434" t="str">
        <f t="shared" si="12"/>
        <v/>
      </c>
      <c r="H49" s="25"/>
      <c r="I49" s="3047" t="str">
        <f t="array" ref="I49">IF($H49&lt;&gt;"",
         INDEX('BOM FUNCTIONS'!$Y$6:$AC$669,MATCH(IP!$M49&amp;IP!$O49,'BOM FUNCTIONS'!$Y$6:$Y$669&amp;'BOM FUNCTIONS'!$Z$6:$Z$669,0),5),"")</f>
        <v/>
      </c>
      <c r="J49" s="2047" t="str">
        <f t="array" ref="J49">IF($H49&lt;&gt;"",
         INDEX('BOM FUNCTIONS'!$Y$6:$AD$669,MATCH(IP!$M49&amp;IP!$O49,'BOM FUNCTIONS'!$Y$6:$Y$669&amp;'BOM FUNCTIONS'!$Z$6:$Z$669,0),6),"")</f>
        <v/>
      </c>
      <c r="K49" s="2632" t="str">
        <f t="shared" si="13"/>
        <v/>
      </c>
      <c r="L49" s="2008" t="str">
        <f t="shared" si="6"/>
        <v/>
      </c>
      <c r="M49" s="446" t="str">
        <f t="shared" si="14"/>
        <v/>
      </c>
      <c r="N49" s="479"/>
      <c r="O49" s="436" t="str">
        <f t="shared" si="9"/>
        <v/>
      </c>
      <c r="P49" s="3049" t="str">
        <f t="array" ref="P49">IF($H49&lt;&gt;"",
         INDEX('BOM FUNCTIONS'!$Y$6:$AA$669,MATCH(IP!$M49&amp;IP!$O49,'BOM FUNCTIONS'!$Y$6:$Y$669&amp;'BOM FUNCTIONS'!$Z$6:$Z$669,0),3),"")</f>
        <v/>
      </c>
      <c r="Q49" s="2717"/>
      <c r="R49" s="849" t="str">
        <f>IF(B49&lt;&gt;"",
               IF(VLOOKUP($K49,DNS!$C$5:$I$54,6,FALSE)="No","No",
                    IF(AND($F49 = "Test 2.0", P49 &gt; 1715,$P49 &lt;1728),"Yes",
                     IF(AND($F49 ="Prod 2.0", P49 &gt; 2715, $P49 &lt; 2728), "Yes",
                          IF(OR(AND($F49 ="Prod F.W.", $P49 &gt; 3015, $P49&lt;3020,),AND($F49 ="Prod F.W.", $P49=3036)), "Yes","No")))),"")</f>
        <v/>
      </c>
      <c r="S49" s="2" t="str">
        <f t="shared" si="8"/>
        <v/>
      </c>
      <c r="T49" s="1969"/>
      <c r="U49" s="876"/>
      <c r="V49" s="1967"/>
    </row>
    <row r="50" spans="1:22">
      <c r="A50" s="259" t="str">
        <f t="shared" si="0"/>
        <v/>
      </c>
      <c r="B50" s="21"/>
      <c r="C50" s="24" t="str">
        <f t="shared" si="1"/>
        <v/>
      </c>
      <c r="D50" s="2464" t="str">
        <f t="shared" si="11"/>
        <v/>
      </c>
      <c r="E50" s="434" t="str">
        <f t="shared" si="3"/>
        <v/>
      </c>
      <c r="F50" s="434" t="str">
        <f>IF(B50&lt;&gt;"",VLOOKUP(VLOOKUP(B50,dist_assets,2,FALSE),'Distributed Assets'!$C$7:$F$22,4,FALSE),"")</f>
        <v/>
      </c>
      <c r="G50" s="434" t="str">
        <f t="shared" si="12"/>
        <v/>
      </c>
      <c r="H50" s="25"/>
      <c r="I50" s="3047" t="str">
        <f t="array" ref="I50">IF($H50&lt;&gt;"",
         INDEX('BOM FUNCTIONS'!$Y$6:$AC$669,MATCH(IP!$M50&amp;IP!$O50,'BOM FUNCTIONS'!$Y$6:$Y$669&amp;'BOM FUNCTIONS'!$Z$6:$Z$669,0),5),"")</f>
        <v/>
      </c>
      <c r="J50" s="2047" t="str">
        <f t="array" ref="J50">IF($H50&lt;&gt;"",
         INDEX('BOM FUNCTIONS'!$Y$6:$AD$669,MATCH(IP!$M50&amp;IP!$O50,'BOM FUNCTIONS'!$Y$6:$Y$669&amp;'BOM FUNCTIONS'!$Z$6:$Z$669,0),6),"")</f>
        <v/>
      </c>
      <c r="K50" s="2632" t="str">
        <f t="shared" si="13"/>
        <v/>
      </c>
      <c r="L50" s="2008" t="str">
        <f t="shared" si="6"/>
        <v/>
      </c>
      <c r="M50" s="446" t="str">
        <f t="shared" si="14"/>
        <v/>
      </c>
      <c r="N50" s="479"/>
      <c r="O50" s="436" t="str">
        <f t="shared" si="9"/>
        <v/>
      </c>
      <c r="P50" s="3049" t="str">
        <f t="array" ref="P50">IF($H50&lt;&gt;"",
         INDEX('BOM FUNCTIONS'!$Y$6:$AA$669,MATCH(IP!$M50&amp;IP!$O50,'BOM FUNCTIONS'!$Y$6:$Y$669&amp;'BOM FUNCTIONS'!$Z$6:$Z$669,0),3),"")</f>
        <v/>
      </c>
      <c r="Q50" s="2717"/>
      <c r="R50" s="849" t="str">
        <f>IF(B50&lt;&gt;"",
               IF(VLOOKUP($K50,DNS!$C$5:$I$54,6,FALSE)="No","No",
                    IF(AND($F50 = "Test 2.0", P50 &gt; 1715,$P50 &lt;1728),"Yes",
                     IF(AND($F50 ="Prod 2.0", P50 &gt; 2715, $P50 &lt; 2728), "Yes",
                          IF(OR(AND($F50 ="Prod F.W.", $P50 &gt; 3015, $P50&lt;3020,),AND($F50 ="Prod F.W.", $P50=3036)), "Yes","No")))),"")</f>
        <v/>
      </c>
      <c r="S50" s="2" t="str">
        <f t="shared" si="8"/>
        <v/>
      </c>
      <c r="T50" s="1969"/>
      <c r="U50" s="876"/>
      <c r="V50" s="1967"/>
    </row>
    <row r="51" spans="1:22">
      <c r="A51" s="259" t="str">
        <f t="shared" si="0"/>
        <v/>
      </c>
      <c r="B51" s="21"/>
      <c r="C51" s="24" t="str">
        <f t="shared" si="1"/>
        <v/>
      </c>
      <c r="D51" s="2464" t="str">
        <f t="shared" si="11"/>
        <v/>
      </c>
      <c r="E51" s="434" t="str">
        <f t="shared" si="3"/>
        <v/>
      </c>
      <c r="F51" s="434" t="str">
        <f>IF(B51&lt;&gt;"",VLOOKUP(VLOOKUP(B51,dist_assets,2,FALSE),'Distributed Assets'!$C$7:$F$22,4,FALSE),"")</f>
        <v/>
      </c>
      <c r="G51" s="434" t="str">
        <f t="shared" si="12"/>
        <v/>
      </c>
      <c r="H51" s="25"/>
      <c r="I51" s="3047" t="str">
        <f t="array" ref="I51">IF($H51&lt;&gt;"",
         INDEX('BOM FUNCTIONS'!$Y$6:$AC$669,MATCH(IP!$M51&amp;IP!$O51,'BOM FUNCTIONS'!$Y$6:$Y$669&amp;'BOM FUNCTIONS'!$Z$6:$Z$669,0),5),"")</f>
        <v/>
      </c>
      <c r="J51" s="2047" t="str">
        <f t="array" ref="J51">IF($H51&lt;&gt;"",
         INDEX('BOM FUNCTIONS'!$Y$6:$AD$669,MATCH(IP!$M51&amp;IP!$O51,'BOM FUNCTIONS'!$Y$6:$Y$669&amp;'BOM FUNCTIONS'!$Z$6:$Z$669,0),6),"")</f>
        <v/>
      </c>
      <c r="K51" s="2632" t="str">
        <f t="shared" si="13"/>
        <v/>
      </c>
      <c r="L51" s="2008" t="str">
        <f t="shared" si="6"/>
        <v/>
      </c>
      <c r="M51" s="446" t="str">
        <f t="shared" si="14"/>
        <v/>
      </c>
      <c r="N51" s="479"/>
      <c r="O51" s="436" t="str">
        <f t="shared" si="9"/>
        <v/>
      </c>
      <c r="P51" s="3049" t="str">
        <f t="array" ref="P51">IF($H51&lt;&gt;"",
         INDEX('BOM FUNCTIONS'!$Y$6:$AA$669,MATCH(IP!$M51&amp;IP!$O51,'BOM FUNCTIONS'!$Y$6:$Y$669&amp;'BOM FUNCTIONS'!$Z$6:$Z$669,0),3),"")</f>
        <v/>
      </c>
      <c r="Q51" s="2717"/>
      <c r="R51" s="849" t="str">
        <f>IF(B51&lt;&gt;"",
               IF(VLOOKUP($K51,DNS!$C$5:$I$54,6,FALSE)="No","No",
                    IF(AND($F51 = "Test 2.0", P51 &gt; 1715,$P51 &lt;1728),"Yes",
                     IF(AND($F51 ="Prod 2.0", P51 &gt; 2715, $P51 &lt; 2728), "Yes",
                          IF(OR(AND($F51 ="Prod F.W.", $P51 &gt; 3015, $P51&lt;3020,),AND($F51 ="Prod F.W.", $P51=3036)), "Yes","No")))),"")</f>
        <v/>
      </c>
      <c r="S51" s="2" t="str">
        <f t="shared" si="8"/>
        <v/>
      </c>
      <c r="T51" s="1969"/>
      <c r="U51" s="876"/>
      <c r="V51" s="1967"/>
    </row>
    <row r="52" spans="1:22">
      <c r="A52" s="259" t="str">
        <f t="shared" si="0"/>
        <v/>
      </c>
      <c r="B52" s="21"/>
      <c r="C52" s="24" t="str">
        <f t="shared" si="1"/>
        <v/>
      </c>
      <c r="D52" s="2464" t="str">
        <f t="shared" si="11"/>
        <v/>
      </c>
      <c r="E52" s="434" t="str">
        <f t="shared" si="3"/>
        <v/>
      </c>
      <c r="F52" s="434" t="str">
        <f>IF(B52&lt;&gt;"",VLOOKUP(VLOOKUP(B52,dist_assets,2,FALSE),'Distributed Assets'!$C$7:$F$22,4,FALSE),"")</f>
        <v/>
      </c>
      <c r="G52" s="434" t="str">
        <f t="shared" si="12"/>
        <v/>
      </c>
      <c r="H52" s="25"/>
      <c r="I52" s="3047" t="str">
        <f t="array" ref="I52">IF($H52&lt;&gt;"",
         INDEX('BOM FUNCTIONS'!$Y$6:$AC$669,MATCH(IP!$M52&amp;IP!$O52,'BOM FUNCTIONS'!$Y$6:$Y$669&amp;'BOM FUNCTIONS'!$Z$6:$Z$669,0),5),"")</f>
        <v/>
      </c>
      <c r="J52" s="2047" t="str">
        <f t="array" ref="J52">IF($H52&lt;&gt;"",
         INDEX('BOM FUNCTIONS'!$Y$6:$AD$669,MATCH(IP!$M52&amp;IP!$O52,'BOM FUNCTIONS'!$Y$6:$Y$669&amp;'BOM FUNCTIONS'!$Z$6:$Z$669,0),6),"")</f>
        <v/>
      </c>
      <c r="K52" s="2632" t="str">
        <f t="shared" si="13"/>
        <v/>
      </c>
      <c r="L52" s="2008" t="str">
        <f t="shared" si="6"/>
        <v/>
      </c>
      <c r="M52" s="446" t="str">
        <f t="shared" si="14"/>
        <v/>
      </c>
      <c r="N52" s="479"/>
      <c r="O52" s="436" t="str">
        <f t="shared" si="9"/>
        <v/>
      </c>
      <c r="P52" s="3049" t="str">
        <f t="array" ref="P52">IF($H52&lt;&gt;"",
         INDEX('BOM FUNCTIONS'!$Y$6:$AA$669,MATCH(IP!$M52&amp;IP!$O52,'BOM FUNCTIONS'!$Y$6:$Y$669&amp;'BOM FUNCTIONS'!$Z$6:$Z$669,0),3),"")</f>
        <v/>
      </c>
      <c r="Q52" s="2717"/>
      <c r="R52" s="849" t="str">
        <f>IF(B52&lt;&gt;"",
               IF(VLOOKUP($K52,DNS!$C$5:$I$54,6,FALSE)="No","No",
                    IF(AND($F52 = "Test 2.0", P52 &gt; 1715,$P52 &lt;1728),"Yes",
                     IF(AND($F52 ="Prod 2.0", P52 &gt; 2715, $P52 &lt; 2728), "Yes",
                          IF(OR(AND($F52 ="Prod F.W.", $P52 &gt; 3015, $P52&lt;3020,),AND($F52 ="Prod F.W.", $P52=3036)), "Yes","No")))),"")</f>
        <v/>
      </c>
      <c r="S52" s="2" t="str">
        <f t="shared" si="8"/>
        <v/>
      </c>
      <c r="T52" s="1969"/>
      <c r="U52" s="876"/>
      <c r="V52" s="1967"/>
    </row>
    <row r="53" spans="1:22">
      <c r="A53" s="259" t="str">
        <f t="shared" si="0"/>
        <v/>
      </c>
      <c r="B53" s="21"/>
      <c r="C53" s="24" t="str">
        <f t="shared" si="1"/>
        <v/>
      </c>
      <c r="D53" s="2464" t="str">
        <f t="shared" si="11"/>
        <v/>
      </c>
      <c r="E53" s="434" t="str">
        <f t="shared" si="3"/>
        <v/>
      </c>
      <c r="F53" s="434" t="str">
        <f>IF(B53&lt;&gt;"",VLOOKUP(VLOOKUP(B53,dist_assets,2,FALSE),'Distributed Assets'!$C$7:$F$22,4,FALSE),"")</f>
        <v/>
      </c>
      <c r="G53" s="434" t="str">
        <f t="shared" si="12"/>
        <v/>
      </c>
      <c r="H53" s="25"/>
      <c r="I53" s="3047" t="str">
        <f t="array" ref="I53">IF($H53&lt;&gt;"",
         INDEX('BOM FUNCTIONS'!$Y$6:$AC$669,MATCH(IP!$M53&amp;IP!$O53,'BOM FUNCTIONS'!$Y$6:$Y$669&amp;'BOM FUNCTIONS'!$Z$6:$Z$669,0),5),"")</f>
        <v/>
      </c>
      <c r="J53" s="2047" t="str">
        <f t="array" ref="J53">IF($H53&lt;&gt;"",
         INDEX('BOM FUNCTIONS'!$Y$6:$AD$669,MATCH(IP!$M53&amp;IP!$O53,'BOM FUNCTIONS'!$Y$6:$Y$669&amp;'BOM FUNCTIONS'!$Z$6:$Z$669,0),6),"")</f>
        <v/>
      </c>
      <c r="K53" s="2632" t="str">
        <f t="shared" si="13"/>
        <v/>
      </c>
      <c r="L53" s="2008" t="str">
        <f t="shared" si="6"/>
        <v/>
      </c>
      <c r="M53" s="446" t="str">
        <f t="shared" si="14"/>
        <v/>
      </c>
      <c r="N53" s="479"/>
      <c r="O53" s="436" t="str">
        <f t="shared" si="9"/>
        <v/>
      </c>
      <c r="P53" s="3049" t="str">
        <f t="array" ref="P53">IF($H53&lt;&gt;"",
         INDEX('BOM FUNCTIONS'!$Y$6:$AA$669,MATCH(IP!$M53&amp;IP!$O53,'BOM FUNCTIONS'!$Y$6:$Y$669&amp;'BOM FUNCTIONS'!$Z$6:$Z$669,0),3),"")</f>
        <v/>
      </c>
      <c r="Q53" s="2717"/>
      <c r="R53" s="849" t="str">
        <f>IF(B53&lt;&gt;"",
               IF(VLOOKUP($K53,DNS!$C$5:$I$54,6,FALSE)="No","No",
                    IF(AND($F53 = "Test 2.0", P53 &gt; 1715,$P53 &lt;1728),"Yes",
                     IF(AND($F53 ="Prod 2.0", P53 &gt; 2715, $P53 &lt; 2728), "Yes",
                          IF(OR(AND($F53 ="Prod F.W.", $P53 &gt; 3015, $P53&lt;3020,),AND($F53 ="Prod F.W.", $P53=3036)), "Yes","No")))),"")</f>
        <v/>
      </c>
      <c r="S53" s="2" t="str">
        <f t="shared" si="8"/>
        <v/>
      </c>
      <c r="T53" s="1969"/>
      <c r="U53" s="876"/>
      <c r="V53" s="1967"/>
    </row>
    <row r="54" spans="1:22">
      <c r="A54" s="259" t="str">
        <f t="shared" si="0"/>
        <v/>
      </c>
      <c r="B54" s="21"/>
      <c r="C54" s="24" t="str">
        <f t="shared" si="1"/>
        <v/>
      </c>
      <c r="D54" s="2464" t="str">
        <f t="shared" si="11"/>
        <v/>
      </c>
      <c r="E54" s="434" t="str">
        <f t="shared" si="3"/>
        <v/>
      </c>
      <c r="F54" s="434" t="str">
        <f>IF(B54&lt;&gt;"",VLOOKUP(VLOOKUP(B54,dist_assets,2,FALSE),'Distributed Assets'!$C$7:$F$22,4,FALSE),"")</f>
        <v/>
      </c>
      <c r="G54" s="434" t="str">
        <f t="shared" si="12"/>
        <v/>
      </c>
      <c r="H54" s="25"/>
      <c r="I54" s="3047" t="str">
        <f t="array" ref="I54">IF($H54&lt;&gt;"",
         INDEX('BOM FUNCTIONS'!$Y$6:$AC$669,MATCH(IP!$M54&amp;IP!$O54,'BOM FUNCTIONS'!$Y$6:$Y$669&amp;'BOM FUNCTIONS'!$Z$6:$Z$669,0),5),"")</f>
        <v/>
      </c>
      <c r="J54" s="2047" t="str">
        <f t="array" ref="J54">IF($H54&lt;&gt;"",
         INDEX('BOM FUNCTIONS'!$Y$6:$AD$669,MATCH(IP!$M54&amp;IP!$O54,'BOM FUNCTIONS'!$Y$6:$Y$669&amp;'BOM FUNCTIONS'!$Z$6:$Z$669,0),6),"")</f>
        <v/>
      </c>
      <c r="K54" s="2632" t="str">
        <f t="shared" si="13"/>
        <v/>
      </c>
      <c r="L54" s="2008" t="str">
        <f t="shared" si="6"/>
        <v/>
      </c>
      <c r="M54" s="446" t="str">
        <f t="shared" si="14"/>
        <v/>
      </c>
      <c r="N54" s="479"/>
      <c r="O54" s="436" t="str">
        <f t="shared" si="9"/>
        <v/>
      </c>
      <c r="P54" s="3049" t="str">
        <f t="array" ref="P54">IF($H54&lt;&gt;"",
         INDEX('BOM FUNCTIONS'!$Y$6:$AA$669,MATCH(IP!$M54&amp;IP!$O54,'BOM FUNCTIONS'!$Y$6:$Y$669&amp;'BOM FUNCTIONS'!$Z$6:$Z$669,0),3),"")</f>
        <v/>
      </c>
      <c r="Q54" s="2717"/>
      <c r="R54" s="849" t="str">
        <f>IF(B54&lt;&gt;"",
               IF(VLOOKUP($K54,DNS!$C$5:$I$54,6,FALSE)="No","No",
                    IF(AND($F54 = "Test 2.0", P54 &gt; 1715,$P54 &lt;1728),"Yes",
                     IF(AND($F54 ="Prod 2.0", P54 &gt; 2715, $P54 &lt; 2728), "Yes",
                          IF(OR(AND($F54 ="Prod F.W.", $P54 &gt; 3015, $P54&lt;3020,),AND($F54 ="Prod F.W.", $P54=3036)), "Yes","No")))),"")</f>
        <v/>
      </c>
      <c r="S54" s="2" t="str">
        <f t="shared" si="8"/>
        <v/>
      </c>
      <c r="T54" s="1969"/>
      <c r="U54" s="876"/>
      <c r="V54" s="1967"/>
    </row>
    <row r="55" spans="1:22">
      <c r="A55" s="259" t="str">
        <f t="shared" si="0"/>
        <v/>
      </c>
      <c r="B55" s="21"/>
      <c r="C55" s="24" t="str">
        <f t="shared" si="1"/>
        <v/>
      </c>
      <c r="D55" s="2464" t="str">
        <f t="shared" si="11"/>
        <v/>
      </c>
      <c r="E55" s="434" t="str">
        <f t="shared" si="3"/>
        <v/>
      </c>
      <c r="F55" s="434" t="str">
        <f>IF(B55&lt;&gt;"",VLOOKUP(VLOOKUP(B55,dist_assets,2,FALSE),'Distributed Assets'!$C$7:$F$22,4,FALSE),"")</f>
        <v/>
      </c>
      <c r="G55" s="434" t="str">
        <f t="shared" si="12"/>
        <v/>
      </c>
      <c r="H55" s="25"/>
      <c r="I55" s="3047" t="str">
        <f t="array" ref="I55">IF($H55&lt;&gt;"",
         INDEX('BOM FUNCTIONS'!$Y$6:$AC$669,MATCH(IP!$M55&amp;IP!$O55,'BOM FUNCTIONS'!$Y$6:$Y$669&amp;'BOM FUNCTIONS'!$Z$6:$Z$669,0),5),"")</f>
        <v/>
      </c>
      <c r="J55" s="2047" t="str">
        <f t="array" ref="J55">IF($H55&lt;&gt;"",
         INDEX('BOM FUNCTIONS'!$Y$6:$AD$669,MATCH(IP!$M55&amp;IP!$O55,'BOM FUNCTIONS'!$Y$6:$Y$669&amp;'BOM FUNCTIONS'!$Z$6:$Z$669,0),6),"")</f>
        <v/>
      </c>
      <c r="K55" s="2632" t="str">
        <f t="shared" si="13"/>
        <v/>
      </c>
      <c r="L55" s="2008" t="str">
        <f t="shared" si="6"/>
        <v/>
      </c>
      <c r="M55" s="446" t="str">
        <f t="shared" si="14"/>
        <v/>
      </c>
      <c r="N55" s="479"/>
      <c r="O55" s="436" t="str">
        <f t="shared" si="9"/>
        <v/>
      </c>
      <c r="P55" s="3049" t="str">
        <f t="array" ref="P55">IF($H55&lt;&gt;"",
         INDEX('BOM FUNCTIONS'!$Y$6:$AA$669,MATCH(IP!$M55&amp;IP!$O55,'BOM FUNCTIONS'!$Y$6:$Y$669&amp;'BOM FUNCTIONS'!$Z$6:$Z$669,0),3),"")</f>
        <v/>
      </c>
      <c r="Q55" s="2717"/>
      <c r="R55" s="849" t="str">
        <f>IF(B55&lt;&gt;"",
               IF(VLOOKUP($K55,DNS!$C$5:$I$54,6,FALSE)="No","No",
                    IF(AND($F55 = "Test 2.0", P55 &gt; 1715,$P55 &lt;1728),"Yes",
                     IF(AND($F55 ="Prod 2.0", P55 &gt; 2715, $P55 &lt; 2728), "Yes",
                          IF(OR(AND($F55 ="Prod F.W.", $P55 &gt; 3015, $P55&lt;3020,),AND($F55 ="Prod F.W.", $P55=3036)), "Yes","No")))),"")</f>
        <v/>
      </c>
      <c r="S55" s="2" t="str">
        <f t="shared" si="8"/>
        <v/>
      </c>
      <c r="T55" s="1969"/>
      <c r="U55" s="876"/>
      <c r="V55" s="1967"/>
    </row>
    <row r="56" spans="1:22">
      <c r="A56" s="259" t="str">
        <f t="shared" si="0"/>
        <v/>
      </c>
      <c r="B56" s="21"/>
      <c r="C56" s="24" t="str">
        <f t="shared" si="1"/>
        <v/>
      </c>
      <c r="D56" s="2464" t="str">
        <f t="shared" si="11"/>
        <v/>
      </c>
      <c r="E56" s="434" t="str">
        <f t="shared" si="3"/>
        <v/>
      </c>
      <c r="F56" s="434" t="str">
        <f>IF(B56&lt;&gt;"",VLOOKUP(VLOOKUP(B56,dist_assets,2,FALSE),'Distributed Assets'!$C$7:$F$22,4,FALSE),"")</f>
        <v/>
      </c>
      <c r="G56" s="434" t="str">
        <f t="shared" si="12"/>
        <v/>
      </c>
      <c r="H56" s="25"/>
      <c r="I56" s="3047" t="str">
        <f t="array" ref="I56">IF($H56&lt;&gt;"",
         INDEX('BOM FUNCTIONS'!$Y$6:$AC$669,MATCH(IP!$M56&amp;IP!$O56,'BOM FUNCTIONS'!$Y$6:$Y$669&amp;'BOM FUNCTIONS'!$Z$6:$Z$669,0),5),"")</f>
        <v/>
      </c>
      <c r="J56" s="2047" t="str">
        <f t="array" ref="J56">IF($H56&lt;&gt;"",
         INDEX('BOM FUNCTIONS'!$Y$6:$AD$669,MATCH(IP!$M56&amp;IP!$O56,'BOM FUNCTIONS'!$Y$6:$Y$669&amp;'BOM FUNCTIONS'!$Z$6:$Z$669,0),6),"")</f>
        <v/>
      </c>
      <c r="K56" s="2632" t="str">
        <f t="shared" si="13"/>
        <v/>
      </c>
      <c r="L56" s="2008" t="str">
        <f t="shared" si="6"/>
        <v/>
      </c>
      <c r="M56" s="446" t="str">
        <f t="shared" si="14"/>
        <v/>
      </c>
      <c r="N56" s="479"/>
      <c r="O56" s="436" t="str">
        <f t="shared" si="9"/>
        <v/>
      </c>
      <c r="P56" s="3049" t="str">
        <f t="array" ref="P56">IF($H56&lt;&gt;"",
         INDEX('BOM FUNCTIONS'!$Y$6:$AA$669,MATCH(IP!$M56&amp;IP!$O56,'BOM FUNCTIONS'!$Y$6:$Y$669&amp;'BOM FUNCTIONS'!$Z$6:$Z$669,0),3),"")</f>
        <v/>
      </c>
      <c r="Q56" s="2717"/>
      <c r="R56" s="849" t="str">
        <f>IF(B56&lt;&gt;"",
               IF(VLOOKUP($K56,DNS!$C$5:$I$54,6,FALSE)="No","No",
                    IF(AND($F56 = "Test 2.0", P56 &gt; 1715,$P56 &lt;1728),"Yes",
                     IF(AND($F56 ="Prod 2.0", P56 &gt; 2715, $P56 &lt; 2728), "Yes",
                          IF(OR(AND($F56 ="Prod F.W.", $P56 &gt; 3015, $P56&lt;3020,),AND($F56 ="Prod F.W.", $P56=3036)), "Yes","No")))),"")</f>
        <v/>
      </c>
      <c r="S56" s="2" t="str">
        <f t="shared" si="8"/>
        <v/>
      </c>
      <c r="T56" s="1969"/>
      <c r="U56" s="876"/>
      <c r="V56" s="1967"/>
    </row>
    <row r="57" spans="1:22">
      <c r="A57" s="259" t="str">
        <f t="shared" si="0"/>
        <v/>
      </c>
      <c r="B57" s="21"/>
      <c r="C57" s="24" t="str">
        <f t="shared" si="1"/>
        <v/>
      </c>
      <c r="D57" s="2464" t="str">
        <f t="shared" si="11"/>
        <v/>
      </c>
      <c r="E57" s="434" t="str">
        <f t="shared" si="3"/>
        <v/>
      </c>
      <c r="F57" s="434" t="str">
        <f>IF(B57&lt;&gt;"",VLOOKUP(VLOOKUP(B57,dist_assets,2,FALSE),'Distributed Assets'!$C$7:$F$22,4,FALSE),"")</f>
        <v/>
      </c>
      <c r="G57" s="434" t="str">
        <f t="shared" si="12"/>
        <v/>
      </c>
      <c r="H57" s="25"/>
      <c r="I57" s="3047" t="str">
        <f t="array" ref="I57">IF($H57&lt;&gt;"",
         INDEX('BOM FUNCTIONS'!$Y$6:$AC$669,MATCH(IP!$M57&amp;IP!$O57,'BOM FUNCTIONS'!$Y$6:$Y$669&amp;'BOM FUNCTIONS'!$Z$6:$Z$669,0),5),"")</f>
        <v/>
      </c>
      <c r="J57" s="2047" t="str">
        <f t="array" ref="J57">IF($H57&lt;&gt;"",
         INDEX('BOM FUNCTIONS'!$Y$6:$AD$669,MATCH(IP!$M57&amp;IP!$O57,'BOM FUNCTIONS'!$Y$6:$Y$669&amp;'BOM FUNCTIONS'!$Z$6:$Z$669,0),6),"")</f>
        <v/>
      </c>
      <c r="K57" s="2632" t="str">
        <f t="shared" si="13"/>
        <v/>
      </c>
      <c r="L57" s="2008" t="str">
        <f t="shared" si="6"/>
        <v/>
      </c>
      <c r="M57" s="446" t="str">
        <f t="shared" si="14"/>
        <v/>
      </c>
      <c r="N57" s="479"/>
      <c r="O57" s="436" t="str">
        <f t="shared" si="9"/>
        <v/>
      </c>
      <c r="P57" s="3049" t="str">
        <f t="array" ref="P57">IF($H57&lt;&gt;"",
         INDEX('BOM FUNCTIONS'!$Y$6:$AA$669,MATCH(IP!$M57&amp;IP!$O57,'BOM FUNCTIONS'!$Y$6:$Y$669&amp;'BOM FUNCTIONS'!$Z$6:$Z$669,0),3),"")</f>
        <v/>
      </c>
      <c r="Q57" s="2717"/>
      <c r="R57" s="849" t="str">
        <f>IF(B57&lt;&gt;"",
               IF(VLOOKUP($K57,DNS!$C$5:$I$54,6,FALSE)="No","No",
                    IF(AND($F57 = "Test 2.0", P57 &gt; 1715,$P57 &lt;1728),"Yes",
                     IF(AND($F57 ="Prod 2.0", P57 &gt; 2715, $P57 &lt; 2728), "Yes",
                          IF(OR(AND($F57 ="Prod F.W.", $P57 &gt; 3015, $P57&lt;3020,),AND($F57 ="Prod F.W.", $P57=3036)), "Yes","No")))),"")</f>
        <v/>
      </c>
      <c r="S57" s="2" t="str">
        <f t="shared" si="8"/>
        <v/>
      </c>
      <c r="T57" s="1969"/>
      <c r="U57" s="876"/>
      <c r="V57" s="1967"/>
    </row>
    <row r="58" spans="1:22">
      <c r="A58" s="259" t="str">
        <f t="shared" si="0"/>
        <v/>
      </c>
      <c r="B58" s="21"/>
      <c r="C58" s="24" t="str">
        <f t="shared" si="1"/>
        <v/>
      </c>
      <c r="D58" s="2464" t="str">
        <f t="shared" si="11"/>
        <v/>
      </c>
      <c r="E58" s="434" t="str">
        <f t="shared" si="3"/>
        <v/>
      </c>
      <c r="F58" s="434" t="str">
        <f>IF(B58&lt;&gt;"",VLOOKUP(VLOOKUP(B58,dist_assets,2,FALSE),'Distributed Assets'!$C$7:$F$22,4,FALSE),"")</f>
        <v/>
      </c>
      <c r="G58" s="434" t="str">
        <f t="shared" si="12"/>
        <v/>
      </c>
      <c r="H58" s="25"/>
      <c r="I58" s="3047" t="str">
        <f t="array" ref="I58">IF($H58&lt;&gt;"",
         INDEX('BOM FUNCTIONS'!$Y$6:$AC$669,MATCH(IP!$M58&amp;IP!$O58,'BOM FUNCTIONS'!$Y$6:$Y$669&amp;'BOM FUNCTIONS'!$Z$6:$Z$669,0),5),"")</f>
        <v/>
      </c>
      <c r="J58" s="2047" t="str">
        <f t="array" ref="J58">IF($H58&lt;&gt;"",
         INDEX('BOM FUNCTIONS'!$Y$6:$AD$669,MATCH(IP!$M58&amp;IP!$O58,'BOM FUNCTIONS'!$Y$6:$Y$669&amp;'BOM FUNCTIONS'!$Z$6:$Z$669,0),6),"")</f>
        <v/>
      </c>
      <c r="K58" s="2632" t="str">
        <f t="shared" si="13"/>
        <v/>
      </c>
      <c r="L58" s="2008" t="str">
        <f t="shared" si="6"/>
        <v/>
      </c>
      <c r="M58" s="446" t="str">
        <f t="shared" si="14"/>
        <v/>
      </c>
      <c r="N58" s="479"/>
      <c r="O58" s="436" t="str">
        <f t="shared" si="9"/>
        <v/>
      </c>
      <c r="P58" s="3049" t="str">
        <f t="array" ref="P58">IF($H58&lt;&gt;"",
         INDEX('BOM FUNCTIONS'!$Y$6:$AA$669,MATCH(IP!$M58&amp;IP!$O58,'BOM FUNCTIONS'!$Y$6:$Y$669&amp;'BOM FUNCTIONS'!$Z$6:$Z$669,0),3),"")</f>
        <v/>
      </c>
      <c r="Q58" s="2717"/>
      <c r="R58" s="849" t="str">
        <f>IF(B58&lt;&gt;"",
               IF(VLOOKUP($K58,DNS!$C$5:$I$54,6,FALSE)="No","No",
                    IF(AND($F58 = "Test 2.0", P58 &gt; 1715,$P58 &lt;1728),"Yes",
                     IF(AND($F58 ="Prod 2.0", P58 &gt; 2715, $P58 &lt; 2728), "Yes",
                          IF(OR(AND($F58 ="Prod F.W.", $P58 &gt; 3015, $P58&lt;3020,),AND($F58 ="Prod F.W.", $P58=3036)), "Yes","No")))),"")</f>
        <v/>
      </c>
      <c r="S58" s="2" t="str">
        <f t="shared" si="8"/>
        <v/>
      </c>
      <c r="T58" s="1969"/>
      <c r="U58" s="876"/>
      <c r="V58" s="1967"/>
    </row>
    <row r="59" spans="1:22">
      <c r="A59" s="259" t="str">
        <f t="shared" si="0"/>
        <v/>
      </c>
      <c r="B59" s="21"/>
      <c r="C59" s="24" t="str">
        <f t="shared" si="1"/>
        <v/>
      </c>
      <c r="D59" s="2464" t="str">
        <f t="shared" si="11"/>
        <v/>
      </c>
      <c r="E59" s="434" t="str">
        <f t="shared" si="3"/>
        <v/>
      </c>
      <c r="F59" s="434" t="str">
        <f>IF(B59&lt;&gt;"",VLOOKUP(VLOOKUP(B59,dist_assets,2,FALSE),'Distributed Assets'!$C$7:$F$22,4,FALSE),"")</f>
        <v/>
      </c>
      <c r="G59" s="434" t="str">
        <f t="shared" si="12"/>
        <v/>
      </c>
      <c r="H59" s="25"/>
      <c r="I59" s="3047" t="str">
        <f t="array" ref="I59">IF($H59&lt;&gt;"",
         INDEX('BOM FUNCTIONS'!$Y$6:$AC$669,MATCH(IP!$M59&amp;IP!$O59,'BOM FUNCTIONS'!$Y$6:$Y$669&amp;'BOM FUNCTIONS'!$Z$6:$Z$669,0),5),"")</f>
        <v/>
      </c>
      <c r="J59" s="2047" t="str">
        <f t="array" ref="J59">IF($H59&lt;&gt;"",
         INDEX('BOM FUNCTIONS'!$Y$6:$AD$669,MATCH(IP!$M59&amp;IP!$O59,'BOM FUNCTIONS'!$Y$6:$Y$669&amp;'BOM FUNCTIONS'!$Z$6:$Z$669,0),6),"")</f>
        <v/>
      </c>
      <c r="K59" s="2632" t="str">
        <f t="shared" si="13"/>
        <v/>
      </c>
      <c r="L59" s="2008" t="str">
        <f t="shared" si="6"/>
        <v/>
      </c>
      <c r="M59" s="446" t="str">
        <f t="shared" si="14"/>
        <v/>
      </c>
      <c r="N59" s="479"/>
      <c r="O59" s="436" t="str">
        <f t="shared" si="9"/>
        <v/>
      </c>
      <c r="P59" s="3049" t="str">
        <f t="array" ref="P59">IF($H59&lt;&gt;"",
         INDEX('BOM FUNCTIONS'!$Y$6:$AA$669,MATCH(IP!$M59&amp;IP!$O59,'BOM FUNCTIONS'!$Y$6:$Y$669&amp;'BOM FUNCTIONS'!$Z$6:$Z$669,0),3),"")</f>
        <v/>
      </c>
      <c r="Q59" s="2717"/>
      <c r="R59" s="849" t="str">
        <f>IF(B59&lt;&gt;"",
               IF(VLOOKUP($K59,DNS!$C$5:$I$54,6,FALSE)="No","No",
                    IF(AND($F59 = "Test 2.0", P59 &gt; 1715,$P59 &lt;1728),"Yes",
                     IF(AND($F59 ="Prod 2.0", P59 &gt; 2715, $P59 &lt; 2728), "Yes",
                          IF(OR(AND($F59 ="Prod F.W.", $P59 &gt; 3015, $P59&lt;3020,),AND($F59 ="Prod F.W.", $P59=3036)), "Yes","No")))),"")</f>
        <v/>
      </c>
      <c r="S59" s="2" t="str">
        <f t="shared" si="8"/>
        <v/>
      </c>
      <c r="T59" s="1969"/>
      <c r="U59" s="876"/>
      <c r="V59" s="1967"/>
    </row>
    <row r="60" spans="1:22">
      <c r="A60" s="259" t="str">
        <f t="shared" si="0"/>
        <v/>
      </c>
      <c r="B60" s="21"/>
      <c r="C60" s="24" t="str">
        <f t="shared" si="1"/>
        <v/>
      </c>
      <c r="D60" s="2464" t="str">
        <f t="shared" si="11"/>
        <v/>
      </c>
      <c r="E60" s="434" t="str">
        <f t="shared" si="3"/>
        <v/>
      </c>
      <c r="F60" s="434" t="str">
        <f>IF(B60&lt;&gt;"",VLOOKUP(VLOOKUP(B60,dist_assets,2,FALSE),'Distributed Assets'!$C$7:$F$22,4,FALSE),"")</f>
        <v/>
      </c>
      <c r="G60" s="434" t="str">
        <f t="shared" si="12"/>
        <v/>
      </c>
      <c r="H60" s="25"/>
      <c r="I60" s="3047" t="str">
        <f t="array" ref="I60">IF($H60&lt;&gt;"",
         INDEX('BOM FUNCTIONS'!$Y$6:$AC$669,MATCH(IP!$M60&amp;IP!$O60,'BOM FUNCTIONS'!$Y$6:$Y$669&amp;'BOM FUNCTIONS'!$Z$6:$Z$669,0),5),"")</f>
        <v/>
      </c>
      <c r="J60" s="2047" t="str">
        <f t="array" ref="J60">IF($H60&lt;&gt;"",
         INDEX('BOM FUNCTIONS'!$Y$6:$AD$669,MATCH(IP!$M60&amp;IP!$O60,'BOM FUNCTIONS'!$Y$6:$Y$669&amp;'BOM FUNCTIONS'!$Z$6:$Z$669,0),6),"")</f>
        <v/>
      </c>
      <c r="K60" s="2632" t="str">
        <f t="shared" si="13"/>
        <v/>
      </c>
      <c r="L60" s="2008" t="str">
        <f t="shared" si="6"/>
        <v/>
      </c>
      <c r="M60" s="446" t="str">
        <f t="shared" si="14"/>
        <v/>
      </c>
      <c r="N60" s="479"/>
      <c r="O60" s="436" t="str">
        <f t="shared" si="9"/>
        <v/>
      </c>
      <c r="P60" s="3049" t="str">
        <f t="array" ref="P60">IF($H60&lt;&gt;"",
         INDEX('BOM FUNCTIONS'!$Y$6:$AA$669,MATCH(IP!$M60&amp;IP!$O60,'BOM FUNCTIONS'!$Y$6:$Y$669&amp;'BOM FUNCTIONS'!$Z$6:$Z$669,0),3),"")</f>
        <v/>
      </c>
      <c r="Q60" s="2717"/>
      <c r="R60" s="849" t="str">
        <f>IF(B60&lt;&gt;"",
               IF(VLOOKUP($K60,DNS!$C$5:$I$54,6,FALSE)="No","No",
                    IF(AND($F60 = "Test 2.0", P60 &gt; 1715,$P60 &lt;1728),"Yes",
                     IF(AND($F60 ="Prod 2.0", P60 &gt; 2715, $P60 &lt; 2728), "Yes",
                          IF(OR(AND($F60 ="Prod F.W.", $P60 &gt; 3015, $P60&lt;3020,),AND($F60 ="Prod F.W.", $P60=3036)), "Yes","No")))),"")</f>
        <v/>
      </c>
      <c r="S60" s="2" t="str">
        <f t="shared" si="8"/>
        <v/>
      </c>
      <c r="T60" s="1969"/>
      <c r="U60" s="876"/>
      <c r="V60" s="1967"/>
    </row>
    <row r="61" spans="1:22">
      <c r="A61" s="259" t="str">
        <f t="shared" si="0"/>
        <v/>
      </c>
      <c r="B61" s="21"/>
      <c r="C61" s="24" t="str">
        <f t="shared" si="1"/>
        <v/>
      </c>
      <c r="D61" s="2464" t="str">
        <f t="shared" si="11"/>
        <v/>
      </c>
      <c r="E61" s="434" t="str">
        <f t="shared" si="3"/>
        <v/>
      </c>
      <c r="F61" s="434" t="str">
        <f>IF(B61&lt;&gt;"",VLOOKUP(VLOOKUP(B61,dist_assets,2,FALSE),'Distributed Assets'!$C$7:$F$22,4,FALSE),"")</f>
        <v/>
      </c>
      <c r="G61" s="434" t="str">
        <f t="shared" si="12"/>
        <v/>
      </c>
      <c r="H61" s="25"/>
      <c r="I61" s="3047" t="str">
        <f t="array" ref="I61">IF($H61&lt;&gt;"",
         INDEX('BOM FUNCTIONS'!$Y$6:$AC$669,MATCH(IP!$M61&amp;IP!$O61,'BOM FUNCTIONS'!$Y$6:$Y$669&amp;'BOM FUNCTIONS'!$Z$6:$Z$669,0),5),"")</f>
        <v/>
      </c>
      <c r="J61" s="2047" t="str">
        <f t="array" ref="J61">IF($H61&lt;&gt;"",
         INDEX('BOM FUNCTIONS'!$Y$6:$AD$669,MATCH(IP!$M61&amp;IP!$O61,'BOM FUNCTIONS'!$Y$6:$Y$669&amp;'BOM FUNCTIONS'!$Z$6:$Z$669,0),6),"")</f>
        <v/>
      </c>
      <c r="K61" s="2632" t="str">
        <f t="shared" si="13"/>
        <v/>
      </c>
      <c r="L61" s="2008" t="str">
        <f t="shared" si="6"/>
        <v/>
      </c>
      <c r="M61" s="446" t="str">
        <f t="shared" si="14"/>
        <v/>
      </c>
      <c r="N61" s="479"/>
      <c r="O61" s="436" t="str">
        <f t="shared" si="9"/>
        <v/>
      </c>
      <c r="P61" s="3049" t="str">
        <f t="array" ref="P61">IF($H61&lt;&gt;"",
         INDEX('BOM FUNCTIONS'!$Y$6:$AA$669,MATCH(IP!$M61&amp;IP!$O61,'BOM FUNCTIONS'!$Y$6:$Y$669&amp;'BOM FUNCTIONS'!$Z$6:$Z$669,0),3),"")</f>
        <v/>
      </c>
      <c r="Q61" s="2717"/>
      <c r="R61" s="849" t="str">
        <f>IF(B61&lt;&gt;"",
               IF(VLOOKUP($K61,DNS!$C$5:$I$54,6,FALSE)="No","No",
                    IF(AND($F61 = "Test 2.0", P61 &gt; 1715,$P61 &lt;1728),"Yes",
                     IF(AND($F61 ="Prod 2.0", P61 &gt; 2715, $P61 &lt; 2728), "Yes",
                          IF(OR(AND($F61 ="Prod F.W.", $P61 &gt; 3015, $P61&lt;3020,),AND($F61 ="Prod F.W.", $P61=3036)), "Yes","No")))),"")</f>
        <v/>
      </c>
      <c r="S61" s="2" t="str">
        <f t="shared" si="8"/>
        <v/>
      </c>
      <c r="T61" s="1969"/>
      <c r="U61" s="876"/>
      <c r="V61" s="1967"/>
    </row>
    <row r="62" spans="1:22">
      <c r="A62" s="259" t="str">
        <f t="shared" si="0"/>
        <v/>
      </c>
      <c r="B62" s="21"/>
      <c r="C62" s="24" t="str">
        <f t="shared" si="1"/>
        <v/>
      </c>
      <c r="D62" s="2464" t="str">
        <f t="shared" si="11"/>
        <v/>
      </c>
      <c r="E62" s="434" t="str">
        <f t="shared" si="3"/>
        <v/>
      </c>
      <c r="F62" s="434" t="str">
        <f>IF(B62&lt;&gt;"",VLOOKUP(VLOOKUP(B62,dist_assets,2,FALSE),'Distributed Assets'!$C$7:$F$22,4,FALSE),"")</f>
        <v/>
      </c>
      <c r="G62" s="434" t="str">
        <f t="shared" si="12"/>
        <v/>
      </c>
      <c r="H62" s="25"/>
      <c r="I62" s="3047" t="str">
        <f t="array" ref="I62">IF($H62&lt;&gt;"",
         INDEX('BOM FUNCTIONS'!$Y$6:$AC$669,MATCH(IP!$M62&amp;IP!$O62,'BOM FUNCTIONS'!$Y$6:$Y$669&amp;'BOM FUNCTIONS'!$Z$6:$Z$669,0),5),"")</f>
        <v/>
      </c>
      <c r="J62" s="2047" t="str">
        <f t="array" ref="J62">IF($H62&lt;&gt;"",
         INDEX('BOM FUNCTIONS'!$Y$6:$AD$669,MATCH(IP!$M62&amp;IP!$O62,'BOM FUNCTIONS'!$Y$6:$Y$669&amp;'BOM FUNCTIONS'!$Z$6:$Z$669,0),6),"")</f>
        <v/>
      </c>
      <c r="K62" s="2632" t="str">
        <f t="shared" si="13"/>
        <v/>
      </c>
      <c r="L62" s="2008" t="str">
        <f t="shared" si="6"/>
        <v/>
      </c>
      <c r="M62" s="446" t="str">
        <f t="shared" si="14"/>
        <v/>
      </c>
      <c r="N62" s="479"/>
      <c r="O62" s="436" t="str">
        <f t="shared" si="9"/>
        <v/>
      </c>
      <c r="P62" s="3049" t="str">
        <f t="array" ref="P62">IF($H62&lt;&gt;"",
         INDEX('BOM FUNCTIONS'!$Y$6:$AA$669,MATCH(IP!$M62&amp;IP!$O62,'BOM FUNCTIONS'!$Y$6:$Y$669&amp;'BOM FUNCTIONS'!$Z$6:$Z$669,0),3),"")</f>
        <v/>
      </c>
      <c r="Q62" s="2717"/>
      <c r="R62" s="849" t="str">
        <f>IF(B62&lt;&gt;"",
               IF(VLOOKUP($K62,DNS!$C$5:$I$54,6,FALSE)="No","No",
                    IF(AND($F62 = "Test 2.0", P62 &gt; 1715,$P62 &lt;1728),"Yes",
                     IF(AND($F62 ="Prod 2.0", P62 &gt; 2715, $P62 &lt; 2728), "Yes",
                          IF(OR(AND($F62 ="Prod F.W.", $P62 &gt; 3015, $P62&lt;3020,),AND($F62 ="Prod F.W.", $P62=3036)), "Yes","No")))),"")</f>
        <v/>
      </c>
      <c r="S62" s="2" t="str">
        <f t="shared" si="8"/>
        <v/>
      </c>
      <c r="T62" s="1969"/>
      <c r="U62" s="876"/>
      <c r="V62" s="1967"/>
    </row>
    <row r="63" spans="1:22">
      <c r="A63" s="259" t="str">
        <f t="shared" si="0"/>
        <v/>
      </c>
      <c r="B63" s="21"/>
      <c r="C63" s="24" t="str">
        <f t="shared" si="1"/>
        <v/>
      </c>
      <c r="D63" s="2464" t="str">
        <f t="shared" si="11"/>
        <v/>
      </c>
      <c r="E63" s="434" t="str">
        <f t="shared" si="3"/>
        <v/>
      </c>
      <c r="F63" s="434" t="str">
        <f>IF(B63&lt;&gt;"",VLOOKUP(VLOOKUP(B63,dist_assets,2,FALSE),'Distributed Assets'!$C$7:$F$22,4,FALSE),"")</f>
        <v/>
      </c>
      <c r="G63" s="434" t="str">
        <f t="shared" si="12"/>
        <v/>
      </c>
      <c r="H63" s="25"/>
      <c r="I63" s="3047" t="str">
        <f t="array" ref="I63">IF($H63&lt;&gt;"",
         INDEX('BOM FUNCTIONS'!$Y$6:$AC$669,MATCH(IP!$M63&amp;IP!$O63,'BOM FUNCTIONS'!$Y$6:$Y$669&amp;'BOM FUNCTIONS'!$Z$6:$Z$669,0),5),"")</f>
        <v/>
      </c>
      <c r="J63" s="2047" t="str">
        <f t="array" ref="J63">IF($H63&lt;&gt;"",
         INDEX('BOM FUNCTIONS'!$Y$6:$AD$669,MATCH(IP!$M63&amp;IP!$O63,'BOM FUNCTIONS'!$Y$6:$Y$669&amp;'BOM FUNCTIONS'!$Z$6:$Z$669,0),6),"")</f>
        <v/>
      </c>
      <c r="K63" s="2632" t="str">
        <f t="shared" si="13"/>
        <v/>
      </c>
      <c r="L63" s="2008" t="str">
        <f t="shared" si="6"/>
        <v/>
      </c>
      <c r="M63" s="446" t="str">
        <f t="shared" si="14"/>
        <v/>
      </c>
      <c r="N63" s="479"/>
      <c r="O63" s="436" t="str">
        <f t="shared" si="9"/>
        <v/>
      </c>
      <c r="P63" s="3049" t="str">
        <f t="array" ref="P63">IF($H63&lt;&gt;"",
         INDEX('BOM FUNCTIONS'!$Y$6:$AA$669,MATCH(IP!$M63&amp;IP!$O63,'BOM FUNCTIONS'!$Y$6:$Y$669&amp;'BOM FUNCTIONS'!$Z$6:$Z$669,0),3),"")</f>
        <v/>
      </c>
      <c r="Q63" s="2717"/>
      <c r="R63" s="849" t="str">
        <f>IF(B63&lt;&gt;"",
               IF(VLOOKUP($K63,DNS!$C$5:$I$54,6,FALSE)="No","No",
                    IF(AND($F63 = "Test 2.0", P63 &gt; 1715,$P63 &lt;1728),"Yes",
                     IF(AND($F63 ="Prod 2.0", P63 &gt; 2715, $P63 &lt; 2728), "Yes",
                          IF(OR(AND($F63 ="Prod F.W.", $P63 &gt; 3015, $P63&lt;3020,),AND($F63 ="Prod F.W.", $P63=3036)), "Yes","No")))),"")</f>
        <v/>
      </c>
      <c r="S63" s="2" t="str">
        <f t="shared" si="8"/>
        <v/>
      </c>
      <c r="T63" s="1969"/>
      <c r="U63" s="876"/>
      <c r="V63" s="1967"/>
    </row>
    <row r="64" spans="1:22">
      <c r="A64" s="259" t="str">
        <f t="shared" si="0"/>
        <v/>
      </c>
      <c r="B64" s="21"/>
      <c r="C64" s="24" t="str">
        <f t="shared" si="1"/>
        <v/>
      </c>
      <c r="D64" s="2464" t="str">
        <f t="shared" si="11"/>
        <v/>
      </c>
      <c r="E64" s="434" t="str">
        <f t="shared" si="3"/>
        <v/>
      </c>
      <c r="F64" s="434" t="str">
        <f>IF(B64&lt;&gt;"",VLOOKUP(VLOOKUP(B64,dist_assets,2,FALSE),'Distributed Assets'!$C$7:$F$22,4,FALSE),"")</f>
        <v/>
      </c>
      <c r="G64" s="434" t="str">
        <f t="shared" si="12"/>
        <v/>
      </c>
      <c r="H64" s="25"/>
      <c r="I64" s="3047" t="str">
        <f t="array" ref="I64">IF($H64&lt;&gt;"",
         INDEX('BOM FUNCTIONS'!$Y$6:$AC$669,MATCH(IP!$M64&amp;IP!$O64,'BOM FUNCTIONS'!$Y$6:$Y$669&amp;'BOM FUNCTIONS'!$Z$6:$Z$669,0),5),"")</f>
        <v/>
      </c>
      <c r="J64" s="2047" t="str">
        <f t="array" ref="J64">IF($H64&lt;&gt;"",
         INDEX('BOM FUNCTIONS'!$Y$6:$AD$669,MATCH(IP!$M64&amp;IP!$O64,'BOM FUNCTIONS'!$Y$6:$Y$669&amp;'BOM FUNCTIONS'!$Z$6:$Z$669,0),6),"")</f>
        <v/>
      </c>
      <c r="K64" s="2632" t="str">
        <f t="shared" si="13"/>
        <v/>
      </c>
      <c r="L64" s="2008" t="str">
        <f t="shared" si="6"/>
        <v/>
      </c>
      <c r="M64" s="446" t="str">
        <f t="shared" si="14"/>
        <v/>
      </c>
      <c r="N64" s="479"/>
      <c r="O64" s="436" t="str">
        <f t="shared" si="9"/>
        <v/>
      </c>
      <c r="P64" s="3049" t="str">
        <f t="array" ref="P64">IF($H64&lt;&gt;"",
         INDEX('BOM FUNCTIONS'!$Y$6:$AA$669,MATCH(IP!$M64&amp;IP!$O64,'BOM FUNCTIONS'!$Y$6:$Y$669&amp;'BOM FUNCTIONS'!$Z$6:$Z$669,0),3),"")</f>
        <v/>
      </c>
      <c r="Q64" s="2717"/>
      <c r="R64" s="849" t="str">
        <f>IF(B64&lt;&gt;"",
               IF(VLOOKUP($K64,DNS!$C$5:$I$54,6,FALSE)="No","No",
                    IF(AND($F64 = "Test 2.0", P64 &gt; 1715,$P64 &lt;1728),"Yes",
                     IF(AND($F64 ="Prod 2.0", P64 &gt; 2715, $P64 &lt; 2728), "Yes",
                          IF(OR(AND($F64 ="Prod F.W.", $P64 &gt; 3015, $P64&lt;3020,),AND($F64 ="Prod F.W.", $P64=3036)), "Yes","No")))),"")</f>
        <v/>
      </c>
      <c r="S64" s="2" t="str">
        <f t="shared" si="8"/>
        <v/>
      </c>
      <c r="T64" s="1969"/>
      <c r="U64" s="876"/>
      <c r="V64" s="1967"/>
    </row>
    <row r="65" spans="1:22">
      <c r="A65" s="259" t="str">
        <f t="shared" si="0"/>
        <v/>
      </c>
      <c r="B65" s="21"/>
      <c r="C65" s="24" t="str">
        <f t="shared" si="1"/>
        <v/>
      </c>
      <c r="D65" s="2464" t="str">
        <f t="shared" si="11"/>
        <v/>
      </c>
      <c r="E65" s="434" t="str">
        <f t="shared" si="3"/>
        <v/>
      </c>
      <c r="F65" s="434" t="str">
        <f>IF(B65&lt;&gt;"",VLOOKUP(VLOOKUP(B65,dist_assets,2,FALSE),'Distributed Assets'!$C$7:$F$22,4,FALSE),"")</f>
        <v/>
      </c>
      <c r="G65" s="434" t="str">
        <f t="shared" si="12"/>
        <v/>
      </c>
      <c r="H65" s="25"/>
      <c r="I65" s="3047" t="str">
        <f t="array" ref="I65">IF($H65&lt;&gt;"",
         INDEX('BOM FUNCTIONS'!$Y$6:$AC$669,MATCH(IP!$M65&amp;IP!$O65,'BOM FUNCTIONS'!$Y$6:$Y$669&amp;'BOM FUNCTIONS'!$Z$6:$Z$669,0),5),"")</f>
        <v/>
      </c>
      <c r="J65" s="2047" t="str">
        <f t="array" ref="J65">IF($H65&lt;&gt;"",
         INDEX('BOM FUNCTIONS'!$Y$6:$AD$669,MATCH(IP!$M65&amp;IP!$O65,'BOM FUNCTIONS'!$Y$6:$Y$669&amp;'BOM FUNCTIONS'!$Z$6:$Z$669,0),6),"")</f>
        <v/>
      </c>
      <c r="K65" s="2632" t="str">
        <f t="shared" si="13"/>
        <v/>
      </c>
      <c r="L65" s="2008" t="str">
        <f t="shared" si="6"/>
        <v/>
      </c>
      <c r="M65" s="446" t="str">
        <f t="shared" si="14"/>
        <v/>
      </c>
      <c r="N65" s="479"/>
      <c r="O65" s="436" t="str">
        <f t="shared" si="9"/>
        <v/>
      </c>
      <c r="P65" s="3049" t="str">
        <f t="array" ref="P65">IF($H65&lt;&gt;"",
         INDEX('BOM FUNCTIONS'!$Y$6:$AA$669,MATCH(IP!$M65&amp;IP!$O65,'BOM FUNCTIONS'!$Y$6:$Y$669&amp;'BOM FUNCTIONS'!$Z$6:$Z$669,0),3),"")</f>
        <v/>
      </c>
      <c r="Q65" s="2717"/>
      <c r="R65" s="849" t="str">
        <f>IF(B65&lt;&gt;"",
               IF(VLOOKUP($K65,DNS!$C$5:$I$54,6,FALSE)="No","No",
                    IF(AND($F65 = "Test 2.0", P65 &gt; 1715,$P65 &lt;1728),"Yes",
                     IF(AND($F65 ="Prod 2.0", P65 &gt; 2715, $P65 &lt; 2728), "Yes",
                          IF(OR(AND($F65 ="Prod F.W.", $P65 &gt; 3015, $P65&lt;3020,),AND($F65 ="Prod F.W.", $P65=3036)), "Yes","No")))),"")</f>
        <v/>
      </c>
      <c r="S65" s="2" t="str">
        <f t="shared" si="8"/>
        <v/>
      </c>
      <c r="T65" s="1969"/>
      <c r="U65" s="876"/>
      <c r="V65" s="1967"/>
    </row>
    <row r="66" spans="1:22">
      <c r="A66" s="259" t="str">
        <f t="shared" si="0"/>
        <v/>
      </c>
      <c r="B66" s="21"/>
      <c r="C66" s="24" t="str">
        <f t="shared" si="1"/>
        <v/>
      </c>
      <c r="D66" s="2464" t="str">
        <f t="shared" si="11"/>
        <v/>
      </c>
      <c r="E66" s="434" t="str">
        <f t="shared" si="3"/>
        <v/>
      </c>
      <c r="F66" s="434" t="str">
        <f>IF(B66&lt;&gt;"",VLOOKUP(VLOOKUP(B66,dist_assets,2,FALSE),'Distributed Assets'!$C$7:$F$22,4,FALSE),"")</f>
        <v/>
      </c>
      <c r="G66" s="434" t="str">
        <f t="shared" si="12"/>
        <v/>
      </c>
      <c r="H66" s="25"/>
      <c r="I66" s="3047" t="str">
        <f t="array" ref="I66">IF($H66&lt;&gt;"",
         INDEX('BOM FUNCTIONS'!$Y$6:$AC$669,MATCH(IP!$M66&amp;IP!$O66,'BOM FUNCTIONS'!$Y$6:$Y$669&amp;'BOM FUNCTIONS'!$Z$6:$Z$669,0),5),"")</f>
        <v/>
      </c>
      <c r="J66" s="2047" t="str">
        <f t="array" ref="J66">IF($H66&lt;&gt;"",
         INDEX('BOM FUNCTIONS'!$Y$6:$AD$669,MATCH(IP!$M66&amp;IP!$O66,'BOM FUNCTIONS'!$Y$6:$Y$669&amp;'BOM FUNCTIONS'!$Z$6:$Z$669,0),6),"")</f>
        <v/>
      </c>
      <c r="K66" s="2632" t="str">
        <f t="shared" si="13"/>
        <v/>
      </c>
      <c r="L66" s="2008" t="str">
        <f t="shared" si="6"/>
        <v/>
      </c>
      <c r="M66" s="446" t="str">
        <f t="shared" si="14"/>
        <v/>
      </c>
      <c r="N66" s="479"/>
      <c r="O66" s="436" t="str">
        <f t="shared" si="9"/>
        <v/>
      </c>
      <c r="P66" s="3049" t="str">
        <f t="array" ref="P66">IF($H66&lt;&gt;"",
         INDEX('BOM FUNCTIONS'!$Y$6:$AA$669,MATCH(IP!$M66&amp;IP!$O66,'BOM FUNCTIONS'!$Y$6:$Y$669&amp;'BOM FUNCTIONS'!$Z$6:$Z$669,0),3),"")</f>
        <v/>
      </c>
      <c r="Q66" s="2717"/>
      <c r="R66" s="849" t="str">
        <f>IF(B66&lt;&gt;"",
               IF(VLOOKUP($K66,DNS!$C$5:$I$54,6,FALSE)="No","No",
                    IF(AND($F66 = "Test 2.0", P66 &gt; 1715,$P66 &lt;1728),"Yes",
                     IF(AND($F66 ="Prod 2.0", P66 &gt; 2715, $P66 &lt; 2728), "Yes",
                          IF(OR(AND($F66 ="Prod F.W.", $P66 &gt; 3015, $P66&lt;3020,),AND($F66 ="Prod F.W.", $P66=3036)), "Yes","No")))),"")</f>
        <v/>
      </c>
      <c r="S66" s="2" t="str">
        <f t="shared" si="8"/>
        <v/>
      </c>
      <c r="T66" s="1969"/>
      <c r="U66" s="876"/>
      <c r="V66" s="1967"/>
    </row>
    <row r="67" spans="1:22">
      <c r="A67" s="259" t="str">
        <f t="shared" si="0"/>
        <v/>
      </c>
      <c r="B67" s="21"/>
      <c r="C67" s="24" t="str">
        <f t="shared" si="1"/>
        <v/>
      </c>
      <c r="D67" s="2464" t="str">
        <f t="shared" si="11"/>
        <v/>
      </c>
      <c r="E67" s="434" t="str">
        <f t="shared" si="3"/>
        <v/>
      </c>
      <c r="F67" s="434" t="str">
        <f>IF(B67&lt;&gt;"",VLOOKUP(VLOOKUP(B67,dist_assets,2,FALSE),'Distributed Assets'!$C$7:$F$22,4,FALSE),"")</f>
        <v/>
      </c>
      <c r="G67" s="434" t="str">
        <f t="shared" si="12"/>
        <v/>
      </c>
      <c r="H67" s="25"/>
      <c r="I67" s="3047" t="str">
        <f t="array" ref="I67">IF($H67&lt;&gt;"",
         INDEX('BOM FUNCTIONS'!$Y$6:$AC$669,MATCH(IP!$M67&amp;IP!$O67,'BOM FUNCTIONS'!$Y$6:$Y$669&amp;'BOM FUNCTIONS'!$Z$6:$Z$669,0),5),"")</f>
        <v/>
      </c>
      <c r="J67" s="2047" t="str">
        <f t="array" ref="J67">IF($H67&lt;&gt;"",
         INDEX('BOM FUNCTIONS'!$Y$6:$AD$669,MATCH(IP!$M67&amp;IP!$O67,'BOM FUNCTIONS'!$Y$6:$Y$669&amp;'BOM FUNCTIONS'!$Z$6:$Z$669,0),6),"")</f>
        <v/>
      </c>
      <c r="K67" s="2632" t="str">
        <f t="shared" si="13"/>
        <v/>
      </c>
      <c r="L67" s="2008" t="str">
        <f t="shared" si="6"/>
        <v/>
      </c>
      <c r="M67" s="446" t="str">
        <f t="shared" si="14"/>
        <v/>
      </c>
      <c r="N67" s="479"/>
      <c r="O67" s="436" t="str">
        <f t="shared" si="9"/>
        <v/>
      </c>
      <c r="P67" s="3049" t="str">
        <f t="array" ref="P67">IF($H67&lt;&gt;"",
         INDEX('BOM FUNCTIONS'!$Y$6:$AA$669,MATCH(IP!$M67&amp;IP!$O67,'BOM FUNCTIONS'!$Y$6:$Y$669&amp;'BOM FUNCTIONS'!$Z$6:$Z$669,0),3),"")</f>
        <v/>
      </c>
      <c r="Q67" s="2717"/>
      <c r="R67" s="849" t="str">
        <f>IF(B67&lt;&gt;"",
               IF(VLOOKUP($K67,DNS!$C$5:$I$54,6,FALSE)="No","No",
                    IF(AND($F67 = "Test 2.0", P67 &gt; 1715,$P67 &lt;1728),"Yes",
                     IF(AND($F67 ="Prod 2.0", P67 &gt; 2715, $P67 &lt; 2728), "Yes",
                          IF(OR(AND($F67 ="Prod F.W.", $P67 &gt; 3015, $P67&lt;3020,),AND($F67 ="Prod F.W.", $P67=3036)), "Yes","No")))),"")</f>
        <v/>
      </c>
      <c r="S67" s="2" t="str">
        <f t="shared" si="8"/>
        <v/>
      </c>
      <c r="T67" s="1969"/>
      <c r="U67" s="876"/>
      <c r="V67" s="1967"/>
    </row>
    <row r="68" spans="1:22">
      <c r="A68" s="259" t="str">
        <f t="shared" si="0"/>
        <v/>
      </c>
      <c r="B68" s="21"/>
      <c r="C68" s="24" t="str">
        <f t="shared" si="1"/>
        <v/>
      </c>
      <c r="D68" s="2464" t="str">
        <f t="shared" ref="D68:D99" si="15">IF($B68&lt;&gt;"", IF(AND(LEFT(VLOOKUP($B68,dist_assets,5,FALSE),3)="POD",VLOOKUP($B68,dist_assets,7,FALSE)="IBM DB2 Data Drives"),"Data Drive INFO",
        VLOOKUP($B68,dist_assets,21,FALSE)),"")</f>
        <v/>
      </c>
      <c r="E68" s="434" t="str">
        <f t="shared" ref="E68:E131" si="16">IF(B68&lt;&gt;"",VLOOKUP(B68,dist_assets,9,FALSE),"")</f>
        <v/>
      </c>
      <c r="F68" s="434" t="str">
        <f>IF(B68&lt;&gt;"",VLOOKUP(VLOOKUP(B68,dist_assets,2,FALSE),'Distributed Assets'!$C$7:$F$22,4,FALSE),"")</f>
        <v/>
      </c>
      <c r="G68" s="434" t="str">
        <f t="shared" ref="G68:G99" si="17">IF(B68&lt;&gt;"",VLOOKUP(B68,dist_assets,8,FALSE),"")</f>
        <v/>
      </c>
      <c r="H68" s="25"/>
      <c r="I68" s="3047" t="str">
        <f t="array" ref="I68">IF($H68&lt;&gt;"",
         INDEX('BOM FUNCTIONS'!$Y$6:$AC$669,MATCH(IP!$M68&amp;IP!$O68,'BOM FUNCTIONS'!$Y$6:$Y$669&amp;'BOM FUNCTIONS'!$Z$6:$Z$669,0),5),"")</f>
        <v/>
      </c>
      <c r="J68" s="2047" t="str">
        <f t="array" ref="J68">IF($H68&lt;&gt;"",
         INDEX('BOM FUNCTIONS'!$Y$6:$AD$669,MATCH(IP!$M68&amp;IP!$O68,'BOM FUNCTIONS'!$Y$6:$Y$669&amp;'BOM FUNCTIONS'!$Z$6:$Z$669,0),6),"")</f>
        <v/>
      </c>
      <c r="K68" s="2632" t="str">
        <f t="shared" ref="K68:K99" si="18">IF($B68&lt;&gt;"",
             IF(AND($F68="Dev",$E68="Windows",$H68="Application Interface"),CONCATENATE($D68,".adhcscdev.net"),
               IF(AND($F68="Test 2.0",$E68="Windows",$H68="Application Interface"),CONCATENATE($D68,".adhcsctst.net"),
                IF(AND($F68="Non-Prod (ITC)",$E68="Windows",$H68="Application Interface"),CONCATENATE($D68,".adhcsctst.net"),
                 IF(AND($F68="ALT Prod",$E68="Windows",$H68="Application Interface"),CONCATENATE($D68,".adhcscalt.net"),
                 IF(AND($F68="Prod 2.0",$E68="Windows",$H68="Application Interface"),CONCATENATE($D68,".adhcscint.net"),
                  IF(AND($F68="Prod (ITC)",$E68="Windows",$H68="Application Interface"),CONCATENATE($D68,".adhcscint.net"),
                     IF(AND($F68="Prod F.W.",$E68="Windows",$H68="Application Interface"),CONCATENATE($D68,".adhcscint.net"),
                        IF(AND($F68="Test 2.0",$E68="Windows",$H68="DMZ backup"),CONCATENATE($D68,".dmzbkp.test.hcscint.net"),
                            IF(AND($F68="Prod 2.0",$E68="Windows",$H68="DMZ backup"),CONCATENATE($D68,".dmzbkp.hcscint.net"),
                                 IF(AND($F68="Prod F.W.",$E68="Windows",$H68="DMZ backup"),CONCATENATE($D68,".dmzbkp.hcscint.net"),
             IF(AND($F68="Dev",$E68&lt;&gt;"Windows",$C68=1,$H68="Application Interface"),CONCATENATE($D68,".app.dev.hcscint.net"),
                IF(AND($F68="Test 2.0",$E68&lt;&gt;"Windows",$C68=1,$H68="Application Interface"),CONCATENATE($D68,".app.test.hcscint.net"),
             IF(AND($F68="Non-Prod (ITC)",$E68&lt;&gt;"Windows",$C68=1,$H68="Application Interface"),CONCATENATE($D68,".app.test.hcscint.net"),
             IF(AND($F68="ALT Prod",$E68&lt;&gt;"Windows",$C68=1,$H68="Application Interface"),CONCATENATE($D68,".app.alt.hcscint.net"),
                    IF(AND($F68="Prod 2.0",$E68&lt;&gt;"Windows",$C68=1,$H68="Application Interface"),$D68 &amp;".app.hcscint.net",
                      IF(AND($F68="Prod (ITC)",$E68&lt;&gt;"Windows",$C68=1,$H68="Application Interface"),$D68 &amp;".app.hcscint.net",
                        IF(AND($F68="Prod F.W.",$E68&lt;&gt;"Windows",$C68=1,$H68="Application Interface"),$D68 &amp;".app.hcscint.net",
           IF(AND($F68="Dev",$E68&lt;&gt;"Windows",$C68=1,$H68="Persistent Interface"),$D68 &amp;".app.dev.hcscint.net",
                IF(AND($F68="Test 2.0",$E68&lt;&gt;"Windows",$C68=1,$H68="Persistent Interface"),$D68 &amp;".app.test.hcscint.net",
                    IF(AND($F68="Prod 2.0",$E68&lt;&gt;"Windows",$C68=1,$H68="Persistent Interface"),$D68 &amp;".app.hcscint.net",
                            IF(AND($F68="Prod F.W.",$E68&lt;&gt;"Windows",$C68=1,$H68="Persistent Interface"),$D68 &amp;".app.hcscint.net",
              IF(AND($F68="Dev",$E68&lt;&gt;"Windows",$C68=1,$H68="Application Interface"),SUBSTITUTE(CONCATENATE($D68,".app.dev.hcscint.net"),"p.",".",1),
                IF(AND($F68="Test 2.0",$E68&lt;&gt;"Windows",$C68=2,$H68="Application Interface"),SUBSTITUTE(CONCATENATE($D68,".app.test.hcscint.net"),"p.",".",1),
                    IF(AND($F68="Prod 2.0",$E68&lt;&gt;"Windows",$C68=2,$H68="Application Interface"),SUBSTITUTE(CONCATENATE($D68,".app.hcscint.net"),"p.",".",1),
                        IF(AND($F68="Prod F.W.",$E68&lt;&gt;"Windows",$C68=2,$H68="Application Interface"),SUBSTITUTE(CONCATENATE($D68,".app.hcscint.net"),"p.",".",1),
              IF(AND($F68="Dev",$E68&lt;&gt;"Windows",OR($H68="OOB Interface",$H68="OOB-2 Interface",$H68="OOB-3 Interface")),CONCATENATE($D68,".oob.dev.hcscint.net"),
                IF(AND($F68="Test 2.0",$E68&lt;&gt;"Windows",OR($H68="OOB Interface",$H68="OOB-2 Interface",$H68="OOB-3 Interface")),CONCATENATE($D68,".oob.test.hcscint.net"),
                  IF(AND($F68="Alt Prod",$E68&lt;&gt;"Windows",OR($H68="OOB Interface",$H68="OOB-2 Interface",$H68="OOB-3 Interface")),CONCATENATE($D68,".oob.test.hcscint.net"),
                    IF(AND($F68="Prod 2.0",$E68&lt;&gt;"Windows",OR($H68="OOB Interface",$H68="OOB-2 Interface",$H68="OOB-3 Interface")),CONCATENATE($D68,".oob.hcscint.net"),
                          IF(AND($F68="Prod F.W.",$E68&lt;&gt;"Windows",OR($H68="OOB Interface",$H68="OOB-2 Interface",$H68="OOB-3 Interface")),CONCATENATE($D68,".oob.hcscint.net"),
              IF(AND($F68="Dev",$E68&lt;&gt;"Windows",OR($H68="iLO Interface",$H68="iLO-2 Interface",$H68="iLO-3 Interface", $H68="iLO-4 Interface")),CONCATENATE($D68,"-ilo.oob.dev.hcscint.net"),
                IF(AND($F68="Test 2.0",$E68&lt;&gt;"Windows",OR($H68="iLO Interface",$H68="iLO-2 Interface",$H68="iLO-3 Interface", $H68="iLO-4 Interface")),CONCATENATE($D68,"-ilo.oob.test.hcscint.net"),
                    IF(AND($F68="Prod 2.0",$E68&lt;&gt;"Windows",OR($H68="iLO Interface",$H68="iLO-2 Interface",$H68="iLO-3 Interface", $H68="iLO-4 Interface")),CONCATENATE($D68,"-ilo.oob.hcscint.net"),
                          IF(AND($F68="Prod F.W.",$E68&lt;&gt;"Windows",OR($H68="iLO Interface",$H68="iLO-2 Interface",$H68="iLO-3 Interface", $H68="iLO-4 Interface")),CONCATENATE($D68,"-ilo.oob.hcscint.net"),
                IF(AND($F68="Test 2.0",$E68&lt;&gt;"Windows",$H68="DMZ Backup"),CONCATENATE($D68,".dmzbkp.test.hcscint.net"),
                    IF(AND($F68="Prod 2.0",$E68&lt;&gt;"Windows",$H68="DMZ Backup"),CONCATENATE($D68,".dmzbkp.hcscint.net"),
                           IF(AND($F68="Prod F.W.",$E68&lt;&gt;"Windows",$H68="DMZ Backup"),CONCATENATE($D68,".dmzbkp.hcscint.net"),
 IF(AND($F68="Non-Prod (ITC)",$E68&lt;&gt;"Windows",$H68="ITC Backup"),CONCATENATE($D68,"-1"),
 IF(AND($F68="Prod (ITC)",$E68&lt;&gt;"Windows",$H68="ITC Backup"),CONCATENATE($D68,"-1"),
))))))))))))))))))))))))))))))))))))))),"")</f>
        <v/>
      </c>
      <c r="L68" s="2008" t="str">
        <f t="shared" si="6"/>
        <v/>
      </c>
      <c r="M68" s="446" t="str">
        <f t="shared" ref="M68:M99" si="19">IF($B68&lt;&gt;"",VLOOKUP(VLOOKUP($B68,dist_assets,5,FALSE),location_table,2,FALSE),"")</f>
        <v/>
      </c>
      <c r="N68" s="479"/>
      <c r="O68" s="436" t="str">
        <f t="shared" si="9"/>
        <v/>
      </c>
      <c r="P68" s="3049" t="str">
        <f t="array" ref="P68">IF($H68&lt;&gt;"",
         INDEX('BOM FUNCTIONS'!$Y$6:$AA$669,MATCH(IP!$M68&amp;IP!$O68,'BOM FUNCTIONS'!$Y$6:$Y$669&amp;'BOM FUNCTIONS'!$Z$6:$Z$669,0),3),"")</f>
        <v/>
      </c>
      <c r="Q68" s="2717"/>
      <c r="R68" s="849" t="str">
        <f>IF(B68&lt;&gt;"",
               IF(VLOOKUP($K68,DNS!$C$5:$I$54,6,FALSE)="No","No",
                    IF(AND($F68 = "Test 2.0", P68 &gt; 1715,$P68 &lt;1728),"Yes",
                     IF(AND($F68 ="Prod 2.0", P68 &gt; 2715, $P68 &lt; 2728), "Yes",
                          IF(OR(AND($F68 ="Prod F.W.", $P68 &gt; 3015, $P68&lt;3020,),AND($F68 ="Prod F.W.", $P68=3036)), "Yes","No")))),"")</f>
        <v/>
      </c>
      <c r="S68" s="2" t="str">
        <f t="shared" si="8"/>
        <v/>
      </c>
      <c r="T68" s="1969"/>
      <c r="U68" s="876"/>
      <c r="V68" s="1967"/>
    </row>
    <row r="69" spans="1:22">
      <c r="A69" s="259" t="str">
        <f t="shared" si="0"/>
        <v/>
      </c>
      <c r="B69" s="21"/>
      <c r="C69" s="24" t="str">
        <f t="shared" si="1"/>
        <v/>
      </c>
      <c r="D69" s="2464" t="str">
        <f t="shared" si="15"/>
        <v/>
      </c>
      <c r="E69" s="434" t="str">
        <f t="shared" si="16"/>
        <v/>
      </c>
      <c r="F69" s="434" t="str">
        <f>IF(B69&lt;&gt;"",VLOOKUP(VLOOKUP(B69,dist_assets,2,FALSE),'Distributed Assets'!$C$7:$F$22,4,FALSE),"")</f>
        <v/>
      </c>
      <c r="G69" s="434" t="str">
        <f t="shared" si="17"/>
        <v/>
      </c>
      <c r="H69" s="25"/>
      <c r="I69" s="3047" t="str">
        <f t="array" ref="I69">IF($H69&lt;&gt;"",
         INDEX('BOM FUNCTIONS'!$Y$6:$AC$669,MATCH(IP!$M69&amp;IP!$O69,'BOM FUNCTIONS'!$Y$6:$Y$669&amp;'BOM FUNCTIONS'!$Z$6:$Z$669,0),5),"")</f>
        <v/>
      </c>
      <c r="J69" s="2047" t="str">
        <f t="array" ref="J69">IF($H69&lt;&gt;"",
         INDEX('BOM FUNCTIONS'!$Y$6:$AD$669,MATCH(IP!$M69&amp;IP!$O69,'BOM FUNCTIONS'!$Y$6:$Y$669&amp;'BOM FUNCTIONS'!$Z$6:$Z$669,0),6),"")</f>
        <v/>
      </c>
      <c r="K69" s="2632" t="str">
        <f t="shared" si="18"/>
        <v/>
      </c>
      <c r="L69" s="2008" t="str">
        <f t="shared" ref="L69:L132" si="20">IF(E69&lt;&gt;"",
IF(E69="Windows","Windows Admins",
IF(OR(LEFT(E69,5)="Linux",E69="AIX",E69="Solaris"),"ECS-Open Systems",
IF(E69="Appliance","ITG Network Services",
""))),"")</f>
        <v/>
      </c>
      <c r="M69" s="446" t="str">
        <f t="shared" si="19"/>
        <v/>
      </c>
      <c r="N69" s="479"/>
      <c r="O69" s="436" t="str">
        <f t="shared" ref="O69:O93" si="21">IF(H69&lt;&gt;"",F69&amp;"-"&amp;H69&amp;"-"&amp;G69,"")</f>
        <v/>
      </c>
      <c r="P69" s="3049" t="str">
        <f t="array" ref="P69">IF($H69&lt;&gt;"",
         INDEX('BOM FUNCTIONS'!$Y$6:$AA$669,MATCH(IP!$M69&amp;IP!$O69,'BOM FUNCTIONS'!$Y$6:$Y$669&amp;'BOM FUNCTIONS'!$Z$6:$Z$669,0),3),"")</f>
        <v/>
      </c>
      <c r="Q69" s="2717"/>
      <c r="R69" s="849" t="str">
        <f>IF(B69&lt;&gt;"",
               IF(VLOOKUP($K69,DNS!$C$5:$I$54,6,FALSE)="No","No",
                    IF(AND($F69 = "Test 2.0", P69 &gt; 1715,$P69 &lt;1728),"Yes",
                     IF(AND($F69 ="Prod 2.0", P69 &gt; 2715, $P69 &lt; 2728), "Yes",
                          IF(OR(AND($F69 ="Prod F.W.", $P69 &gt; 3015, $P69&lt;3020,),AND($F69 ="Prod F.W.", $P69=3036)), "Yes","No")))),"")</f>
        <v/>
      </c>
      <c r="S69" s="2" t="str">
        <f t="shared" ref="S69:S132" si="22">IF(B69&lt;&gt;"",
        IF(OR($P69=1717,$P69=1719,$P69=1785,$P69=2717,$P69=2719,$P69=2785,$P69=3017,$P69=30197,$P69=3085), "Need DMZ Backup Interface",""),"")</f>
        <v/>
      </c>
      <c r="T69" s="1969"/>
      <c r="U69" s="876"/>
      <c r="V69" s="1967"/>
    </row>
    <row r="70" spans="1:22">
      <c r="A70" s="259" t="str">
        <f t="shared" si="0"/>
        <v/>
      </c>
      <c r="B70" s="21"/>
      <c r="C70" s="24" t="str">
        <f t="shared" ref="C70:C93" si="23">IF(B70&lt;&gt;"",IF(B70=B69,C69+1,1),"")</f>
        <v/>
      </c>
      <c r="D70" s="2464" t="str">
        <f t="shared" si="15"/>
        <v/>
      </c>
      <c r="E70" s="434" t="str">
        <f t="shared" si="16"/>
        <v/>
      </c>
      <c r="F70" s="434" t="str">
        <f>IF(B70&lt;&gt;"",VLOOKUP(VLOOKUP(B70,dist_assets,2,FALSE),'Distributed Assets'!$C$7:$F$22,4,FALSE),"")</f>
        <v/>
      </c>
      <c r="G70" s="434" t="str">
        <f t="shared" si="17"/>
        <v/>
      </c>
      <c r="H70" s="25"/>
      <c r="I70" s="3047" t="str">
        <f t="array" ref="I70">IF($H70&lt;&gt;"",
         INDEX('BOM FUNCTIONS'!$Y$6:$AC$669,MATCH(IP!$M70&amp;IP!$O70,'BOM FUNCTIONS'!$Y$6:$Y$669&amp;'BOM FUNCTIONS'!$Z$6:$Z$669,0),5),"")</f>
        <v/>
      </c>
      <c r="J70" s="2047" t="str">
        <f t="array" ref="J70">IF($H70&lt;&gt;"",
         INDEX('BOM FUNCTIONS'!$Y$6:$AD$669,MATCH(IP!$M70&amp;IP!$O70,'BOM FUNCTIONS'!$Y$6:$Y$669&amp;'BOM FUNCTIONS'!$Z$6:$Z$669,0),6),"")</f>
        <v/>
      </c>
      <c r="K70" s="2632" t="str">
        <f t="shared" si="18"/>
        <v/>
      </c>
      <c r="L70" s="2008" t="str">
        <f t="shared" si="20"/>
        <v/>
      </c>
      <c r="M70" s="446" t="str">
        <f t="shared" si="19"/>
        <v/>
      </c>
      <c r="N70" s="479"/>
      <c r="O70" s="436" t="str">
        <f t="shared" si="21"/>
        <v/>
      </c>
      <c r="P70" s="3049" t="str">
        <f t="array" ref="P70">IF($H70&lt;&gt;"",
         INDEX('BOM FUNCTIONS'!$Y$6:$AA$669,MATCH(IP!$M70&amp;IP!$O70,'BOM FUNCTIONS'!$Y$6:$Y$669&amp;'BOM FUNCTIONS'!$Z$6:$Z$669,0),3),"")</f>
        <v/>
      </c>
      <c r="Q70" s="2717"/>
      <c r="R70" s="849" t="str">
        <f>IF(B70&lt;&gt;"",
               IF(VLOOKUP($K70,DNS!$C$5:$I$54,6,FALSE)="No","No",
                    IF(AND($F70 = "Test 2.0", P70 &gt; 1715,$P70 &lt;1728),"Yes",
                     IF(AND($F70 ="Prod 2.0", P70 &gt; 2715, $P70 &lt; 2728), "Yes",
                          IF(OR(AND($F70 ="Prod F.W.", $P70 &gt; 3015, $P70&lt;3020,),AND($F70 ="Prod F.W.", $P70=3036)), "Yes","No")))),"")</f>
        <v/>
      </c>
      <c r="S70" s="2" t="str">
        <f t="shared" si="22"/>
        <v/>
      </c>
      <c r="T70" s="1969"/>
      <c r="U70" s="876"/>
      <c r="V70" s="1967"/>
    </row>
    <row r="71" spans="1:22">
      <c r="A71" s="259" t="str">
        <f t="shared" si="0"/>
        <v/>
      </c>
      <c r="B71" s="21"/>
      <c r="C71" s="24" t="str">
        <f t="shared" si="23"/>
        <v/>
      </c>
      <c r="D71" s="2464" t="str">
        <f t="shared" si="15"/>
        <v/>
      </c>
      <c r="E71" s="434" t="str">
        <f t="shared" si="16"/>
        <v/>
      </c>
      <c r="F71" s="434" t="str">
        <f>IF(B71&lt;&gt;"",VLOOKUP(VLOOKUP(B71,dist_assets,2,FALSE),'Distributed Assets'!$C$7:$F$22,4,FALSE),"")</f>
        <v/>
      </c>
      <c r="G71" s="434" t="str">
        <f t="shared" si="17"/>
        <v/>
      </c>
      <c r="H71" s="25"/>
      <c r="I71" s="3047" t="str">
        <f t="array" ref="I71">IF($H71&lt;&gt;"",
         INDEX('BOM FUNCTIONS'!$Y$6:$AC$669,MATCH(IP!$M71&amp;IP!$O71,'BOM FUNCTIONS'!$Y$6:$Y$669&amp;'BOM FUNCTIONS'!$Z$6:$Z$669,0),5),"")</f>
        <v/>
      </c>
      <c r="J71" s="2047" t="str">
        <f t="array" ref="J71">IF($H71&lt;&gt;"",
         INDEX('BOM FUNCTIONS'!$Y$6:$AD$669,MATCH(IP!$M71&amp;IP!$O71,'BOM FUNCTIONS'!$Y$6:$Y$669&amp;'BOM FUNCTIONS'!$Z$6:$Z$669,0),6),"")</f>
        <v/>
      </c>
      <c r="K71" s="2632" t="str">
        <f t="shared" si="18"/>
        <v/>
      </c>
      <c r="L71" s="2008" t="str">
        <f t="shared" si="20"/>
        <v/>
      </c>
      <c r="M71" s="446" t="str">
        <f t="shared" si="19"/>
        <v/>
      </c>
      <c r="N71" s="479"/>
      <c r="O71" s="436" t="str">
        <f t="shared" si="21"/>
        <v/>
      </c>
      <c r="P71" s="3049" t="str">
        <f t="array" ref="P71">IF($H71&lt;&gt;"",
         INDEX('BOM FUNCTIONS'!$Y$6:$AA$669,MATCH(IP!$M71&amp;IP!$O71,'BOM FUNCTIONS'!$Y$6:$Y$669&amp;'BOM FUNCTIONS'!$Z$6:$Z$669,0),3),"")</f>
        <v/>
      </c>
      <c r="Q71" s="2717"/>
      <c r="R71" s="849" t="str">
        <f>IF(B71&lt;&gt;"",
               IF(VLOOKUP($K71,DNS!$C$5:$I$54,6,FALSE)="No","No",
                    IF(AND($F71 = "Test 2.0", P71 &gt; 1715,$P71 &lt;1728),"Yes",
                     IF(AND($F71 ="Prod 2.0", P71 &gt; 2715, $P71 &lt; 2728), "Yes",
                          IF(OR(AND($F71 ="Prod F.W.", $P71 &gt; 3015, $P71&lt;3020,),AND($F71 ="Prod F.W.", $P71=3036)), "Yes","No")))),"")</f>
        <v/>
      </c>
      <c r="S71" s="2" t="str">
        <f t="shared" si="22"/>
        <v/>
      </c>
      <c r="T71" s="1969"/>
      <c r="U71" s="876"/>
      <c r="V71" s="1967"/>
    </row>
    <row r="72" spans="1:22">
      <c r="A72" s="259" t="str">
        <f t="shared" si="0"/>
        <v/>
      </c>
      <c r="B72" s="21"/>
      <c r="C72" s="24" t="str">
        <f t="shared" si="23"/>
        <v/>
      </c>
      <c r="D72" s="2464" t="str">
        <f t="shared" si="15"/>
        <v/>
      </c>
      <c r="E72" s="434" t="str">
        <f t="shared" si="16"/>
        <v/>
      </c>
      <c r="F72" s="434" t="str">
        <f>IF(B72&lt;&gt;"",VLOOKUP(VLOOKUP(B72,dist_assets,2,FALSE),'Distributed Assets'!$C$7:$F$22,4,FALSE),"")</f>
        <v/>
      </c>
      <c r="G72" s="434" t="str">
        <f t="shared" si="17"/>
        <v/>
      </c>
      <c r="H72" s="25"/>
      <c r="I72" s="3047" t="str">
        <f t="array" ref="I72">IF($H72&lt;&gt;"",
         INDEX('BOM FUNCTIONS'!$Y$6:$AC$669,MATCH(IP!$M72&amp;IP!$O72,'BOM FUNCTIONS'!$Y$6:$Y$669&amp;'BOM FUNCTIONS'!$Z$6:$Z$669,0),5),"")</f>
        <v/>
      </c>
      <c r="J72" s="2047" t="str">
        <f t="array" ref="J72">IF($H72&lt;&gt;"",
         INDEX('BOM FUNCTIONS'!$Y$6:$AD$669,MATCH(IP!$M72&amp;IP!$O72,'BOM FUNCTIONS'!$Y$6:$Y$669&amp;'BOM FUNCTIONS'!$Z$6:$Z$669,0),6),"")</f>
        <v/>
      </c>
      <c r="K72" s="2632" t="str">
        <f t="shared" si="18"/>
        <v/>
      </c>
      <c r="L72" s="2008" t="str">
        <f t="shared" si="20"/>
        <v/>
      </c>
      <c r="M72" s="446" t="str">
        <f t="shared" si="19"/>
        <v/>
      </c>
      <c r="N72" s="479"/>
      <c r="O72" s="436" t="str">
        <f t="shared" si="21"/>
        <v/>
      </c>
      <c r="P72" s="3049" t="str">
        <f t="array" ref="P72">IF($H72&lt;&gt;"",
         INDEX('BOM FUNCTIONS'!$Y$6:$AA$669,MATCH(IP!$M72&amp;IP!$O72,'BOM FUNCTIONS'!$Y$6:$Y$669&amp;'BOM FUNCTIONS'!$Z$6:$Z$669,0),3),"")</f>
        <v/>
      </c>
      <c r="Q72" s="2717"/>
      <c r="R72" s="849" t="str">
        <f>IF(B72&lt;&gt;"",
               IF(VLOOKUP($K72,DNS!$C$5:$I$54,6,FALSE)="No","No",
                    IF(AND($F72 = "Test 2.0", P72 &gt; 1715,$P72 &lt;1728),"Yes",
                     IF(AND($F72 ="Prod 2.0", P72 &gt; 2715, $P72 &lt; 2728), "Yes",
                          IF(OR(AND($F72 ="Prod F.W.", $P72 &gt; 3015, $P72&lt;3020,),AND($F72 ="Prod F.W.", $P72=3036)), "Yes","No")))),"")</f>
        <v/>
      </c>
      <c r="S72" s="2" t="str">
        <f t="shared" si="22"/>
        <v/>
      </c>
      <c r="T72" s="1969"/>
      <c r="U72" s="876"/>
      <c r="V72" s="1967"/>
    </row>
    <row r="73" spans="1:22">
      <c r="A73" s="259" t="str">
        <f t="shared" si="0"/>
        <v/>
      </c>
      <c r="B73" s="21"/>
      <c r="C73" s="24" t="str">
        <f t="shared" si="23"/>
        <v/>
      </c>
      <c r="D73" s="2464" t="str">
        <f t="shared" si="15"/>
        <v/>
      </c>
      <c r="E73" s="434" t="str">
        <f t="shared" si="16"/>
        <v/>
      </c>
      <c r="F73" s="434" t="str">
        <f>IF(B73&lt;&gt;"",VLOOKUP(VLOOKUP(B73,dist_assets,2,FALSE),'Distributed Assets'!$C$7:$F$22,4,FALSE),"")</f>
        <v/>
      </c>
      <c r="G73" s="434" t="str">
        <f t="shared" si="17"/>
        <v/>
      </c>
      <c r="H73" s="25"/>
      <c r="I73" s="3047" t="str">
        <f t="array" ref="I73">IF($H73&lt;&gt;"",
         INDEX('BOM FUNCTIONS'!$Y$6:$AC$669,MATCH(IP!$M73&amp;IP!$O73,'BOM FUNCTIONS'!$Y$6:$Y$669&amp;'BOM FUNCTIONS'!$Z$6:$Z$669,0),5),"")</f>
        <v/>
      </c>
      <c r="J73" s="2047" t="str">
        <f t="array" ref="J73">IF($H73&lt;&gt;"",
         INDEX('BOM FUNCTIONS'!$Y$6:$AD$669,MATCH(IP!$M73&amp;IP!$O73,'BOM FUNCTIONS'!$Y$6:$Y$669&amp;'BOM FUNCTIONS'!$Z$6:$Z$669,0),6),"")</f>
        <v/>
      </c>
      <c r="K73" s="2632" t="str">
        <f t="shared" si="18"/>
        <v/>
      </c>
      <c r="L73" s="2008" t="str">
        <f t="shared" si="20"/>
        <v/>
      </c>
      <c r="M73" s="446" t="str">
        <f t="shared" si="19"/>
        <v/>
      </c>
      <c r="N73" s="479"/>
      <c r="O73" s="436" t="str">
        <f t="shared" si="21"/>
        <v/>
      </c>
      <c r="P73" s="3049" t="str">
        <f t="array" ref="P73">IF($H73&lt;&gt;"",
         INDEX('BOM FUNCTIONS'!$Y$6:$AA$669,MATCH(IP!$M73&amp;IP!$O73,'BOM FUNCTIONS'!$Y$6:$Y$669&amp;'BOM FUNCTIONS'!$Z$6:$Z$669,0),3),"")</f>
        <v/>
      </c>
      <c r="Q73" s="2717"/>
      <c r="R73" s="849" t="str">
        <f>IF(B73&lt;&gt;"",
               IF(VLOOKUP($K73,DNS!$C$5:$I$54,6,FALSE)="No","No",
                    IF(AND($F73 = "Test 2.0", P73 &gt; 1715,$P73 &lt;1728),"Yes",
                     IF(AND($F73 ="Prod 2.0", P73 &gt; 2715, $P73 &lt; 2728), "Yes",
                          IF(OR(AND($F73 ="Prod F.W.", $P73 &gt; 3015, $P73&lt;3020,),AND($F73 ="Prod F.W.", $P73=3036)), "Yes","No")))),"")</f>
        <v/>
      </c>
      <c r="S73" s="2" t="str">
        <f t="shared" si="22"/>
        <v/>
      </c>
      <c r="T73" s="1969"/>
      <c r="U73" s="876"/>
      <c r="V73" s="1967"/>
    </row>
    <row r="74" spans="1:22">
      <c r="A74" s="259" t="str">
        <f t="shared" si="0"/>
        <v/>
      </c>
      <c r="B74" s="21"/>
      <c r="C74" s="24" t="str">
        <f t="shared" si="23"/>
        <v/>
      </c>
      <c r="D74" s="2464" t="str">
        <f t="shared" si="15"/>
        <v/>
      </c>
      <c r="E74" s="434" t="str">
        <f t="shared" si="16"/>
        <v/>
      </c>
      <c r="F74" s="434" t="str">
        <f>IF(B74&lt;&gt;"",VLOOKUP(VLOOKUP(B74,dist_assets,2,FALSE),'Distributed Assets'!$C$7:$F$22,4,FALSE),"")</f>
        <v/>
      </c>
      <c r="G74" s="434" t="str">
        <f t="shared" si="17"/>
        <v/>
      </c>
      <c r="H74" s="25"/>
      <c r="I74" s="3047" t="str">
        <f t="array" ref="I74">IF($H74&lt;&gt;"",
         INDEX('BOM FUNCTIONS'!$Y$6:$AC$669,MATCH(IP!$M74&amp;IP!$O74,'BOM FUNCTIONS'!$Y$6:$Y$669&amp;'BOM FUNCTIONS'!$Z$6:$Z$669,0),5),"")</f>
        <v/>
      </c>
      <c r="J74" s="2047" t="str">
        <f t="array" ref="J74">IF($H74&lt;&gt;"",
         INDEX('BOM FUNCTIONS'!$Y$6:$AD$669,MATCH(IP!$M74&amp;IP!$O74,'BOM FUNCTIONS'!$Y$6:$Y$669&amp;'BOM FUNCTIONS'!$Z$6:$Z$669,0),6),"")</f>
        <v/>
      </c>
      <c r="K74" s="2632" t="str">
        <f t="shared" si="18"/>
        <v/>
      </c>
      <c r="L74" s="2008" t="str">
        <f t="shared" si="20"/>
        <v/>
      </c>
      <c r="M74" s="446" t="str">
        <f t="shared" si="19"/>
        <v/>
      </c>
      <c r="N74" s="479"/>
      <c r="O74" s="436" t="str">
        <f t="shared" si="21"/>
        <v/>
      </c>
      <c r="P74" s="3049" t="str">
        <f t="array" ref="P74">IF($H74&lt;&gt;"",
         INDEX('BOM FUNCTIONS'!$Y$6:$AA$669,MATCH(IP!$M74&amp;IP!$O74,'BOM FUNCTIONS'!$Y$6:$Y$669&amp;'BOM FUNCTIONS'!$Z$6:$Z$669,0),3),"")</f>
        <v/>
      </c>
      <c r="Q74" s="2717"/>
      <c r="R74" s="849" t="str">
        <f>IF(B74&lt;&gt;"",
               IF(VLOOKUP($K74,DNS!$C$5:$I$54,6,FALSE)="No","No",
                    IF(AND($F74 = "Test 2.0", P74 &gt; 1715,$P74 &lt;1728),"Yes",
                     IF(AND($F74 ="Prod 2.0", P74 &gt; 2715, $P74 &lt; 2728), "Yes",
                          IF(OR(AND($F74 ="Prod F.W.", $P74 &gt; 3015, $P74&lt;3020,),AND($F74 ="Prod F.W.", $P74=3036)), "Yes","No")))),"")</f>
        <v/>
      </c>
      <c r="S74" s="2" t="str">
        <f t="shared" si="22"/>
        <v/>
      </c>
      <c r="T74" s="1969"/>
      <c r="U74" s="876"/>
      <c r="V74" s="1967"/>
    </row>
    <row r="75" spans="1:22">
      <c r="A75" s="259" t="str">
        <f t="shared" si="0"/>
        <v/>
      </c>
      <c r="B75" s="21"/>
      <c r="C75" s="24" t="str">
        <f t="shared" si="23"/>
        <v/>
      </c>
      <c r="D75" s="2464" t="str">
        <f t="shared" si="15"/>
        <v/>
      </c>
      <c r="E75" s="434" t="str">
        <f t="shared" si="16"/>
        <v/>
      </c>
      <c r="F75" s="434" t="str">
        <f>IF(B75&lt;&gt;"",VLOOKUP(VLOOKUP(B75,dist_assets,2,FALSE),'Distributed Assets'!$C$7:$F$22,4,FALSE),"")</f>
        <v/>
      </c>
      <c r="G75" s="434" t="str">
        <f t="shared" si="17"/>
        <v/>
      </c>
      <c r="H75" s="25"/>
      <c r="I75" s="3047" t="str">
        <f t="array" ref="I75">IF($H75&lt;&gt;"",
         INDEX('BOM FUNCTIONS'!$Y$6:$AC$669,MATCH(IP!$M75&amp;IP!$O75,'BOM FUNCTIONS'!$Y$6:$Y$669&amp;'BOM FUNCTIONS'!$Z$6:$Z$669,0),5),"")</f>
        <v/>
      </c>
      <c r="J75" s="2047" t="str">
        <f t="array" ref="J75">IF($H75&lt;&gt;"",
         INDEX('BOM FUNCTIONS'!$Y$6:$AD$669,MATCH(IP!$M75&amp;IP!$O75,'BOM FUNCTIONS'!$Y$6:$Y$669&amp;'BOM FUNCTIONS'!$Z$6:$Z$669,0),6),"")</f>
        <v/>
      </c>
      <c r="K75" s="2632" t="str">
        <f t="shared" si="18"/>
        <v/>
      </c>
      <c r="L75" s="2008" t="str">
        <f t="shared" si="20"/>
        <v/>
      </c>
      <c r="M75" s="446" t="str">
        <f t="shared" si="19"/>
        <v/>
      </c>
      <c r="N75" s="479"/>
      <c r="O75" s="436" t="str">
        <f t="shared" si="21"/>
        <v/>
      </c>
      <c r="P75" s="3049" t="str">
        <f t="array" ref="P75">IF($H75&lt;&gt;"",
         INDEX('BOM FUNCTIONS'!$Y$6:$AA$669,MATCH(IP!$M75&amp;IP!$O75,'BOM FUNCTIONS'!$Y$6:$Y$669&amp;'BOM FUNCTIONS'!$Z$6:$Z$669,0),3),"")</f>
        <v/>
      </c>
      <c r="Q75" s="2717"/>
      <c r="R75" s="849" t="str">
        <f>IF(B75&lt;&gt;"",
               IF(VLOOKUP($K75,DNS!$C$5:$I$54,6,FALSE)="No","No",
                    IF(AND($F75 = "Test 2.0", P75 &gt; 1715,$P75 &lt;1728),"Yes",
                     IF(AND($F75 ="Prod 2.0", P75 &gt; 2715, $P75 &lt; 2728), "Yes",
                          IF(OR(AND($F75 ="Prod F.W.", $P75 &gt; 3015, $P75&lt;3020,),AND($F75 ="Prod F.W.", $P75=3036)), "Yes","No")))),"")</f>
        <v/>
      </c>
      <c r="S75" s="2" t="str">
        <f t="shared" si="22"/>
        <v/>
      </c>
      <c r="T75" s="1969"/>
      <c r="U75" s="876"/>
      <c r="V75" s="1967"/>
    </row>
    <row r="76" spans="1:22">
      <c r="A76" s="259" t="str">
        <f t="shared" si="0"/>
        <v/>
      </c>
      <c r="B76" s="21"/>
      <c r="C76" s="24" t="str">
        <f t="shared" si="23"/>
        <v/>
      </c>
      <c r="D76" s="2464" t="str">
        <f t="shared" si="15"/>
        <v/>
      </c>
      <c r="E76" s="434" t="str">
        <f t="shared" si="16"/>
        <v/>
      </c>
      <c r="F76" s="434" t="str">
        <f>IF(B76&lt;&gt;"",VLOOKUP(VLOOKUP(B76,dist_assets,2,FALSE),'Distributed Assets'!$C$7:$F$22,4,FALSE),"")</f>
        <v/>
      </c>
      <c r="G76" s="434" t="str">
        <f t="shared" si="17"/>
        <v/>
      </c>
      <c r="H76" s="25"/>
      <c r="I76" s="3047" t="str">
        <f t="array" ref="I76">IF($H76&lt;&gt;"",
         INDEX('BOM FUNCTIONS'!$Y$6:$AC$669,MATCH(IP!$M76&amp;IP!$O76,'BOM FUNCTIONS'!$Y$6:$Y$669&amp;'BOM FUNCTIONS'!$Z$6:$Z$669,0),5),"")</f>
        <v/>
      </c>
      <c r="J76" s="2047" t="str">
        <f t="array" ref="J76">IF($H76&lt;&gt;"",
         INDEX('BOM FUNCTIONS'!$Y$6:$AD$669,MATCH(IP!$M76&amp;IP!$O76,'BOM FUNCTIONS'!$Y$6:$Y$669&amp;'BOM FUNCTIONS'!$Z$6:$Z$669,0),6),"")</f>
        <v/>
      </c>
      <c r="K76" s="2632" t="str">
        <f t="shared" si="18"/>
        <v/>
      </c>
      <c r="L76" s="2008" t="str">
        <f t="shared" si="20"/>
        <v/>
      </c>
      <c r="M76" s="446" t="str">
        <f t="shared" si="19"/>
        <v/>
      </c>
      <c r="N76" s="479"/>
      <c r="O76" s="436" t="str">
        <f t="shared" si="21"/>
        <v/>
      </c>
      <c r="P76" s="3049" t="str">
        <f t="array" ref="P76">IF($H76&lt;&gt;"",
         INDEX('BOM FUNCTIONS'!$Y$6:$AA$669,MATCH(IP!$M76&amp;IP!$O76,'BOM FUNCTIONS'!$Y$6:$Y$669&amp;'BOM FUNCTIONS'!$Z$6:$Z$669,0),3),"")</f>
        <v/>
      </c>
      <c r="Q76" s="2717"/>
      <c r="R76" s="849" t="str">
        <f>IF(B76&lt;&gt;"",
               IF(VLOOKUP($K76,DNS!$C$5:$I$54,6,FALSE)="No","No",
                    IF(AND($F76 = "Test 2.0", P76 &gt; 1715,$P76 &lt;1728),"Yes",
                     IF(AND($F76 ="Prod 2.0", P76 &gt; 2715, $P76 &lt; 2728), "Yes",
                          IF(OR(AND($F76 ="Prod F.W.", $P76 &gt; 3015, $P76&lt;3020,),AND($F76 ="Prod F.W.", $P76=3036)), "Yes","No")))),"")</f>
        <v/>
      </c>
      <c r="S76" s="2" t="str">
        <f t="shared" si="22"/>
        <v/>
      </c>
      <c r="T76" s="1969"/>
      <c r="U76" s="876"/>
      <c r="V76" s="1967"/>
    </row>
    <row r="77" spans="1:22">
      <c r="A77" s="259" t="str">
        <f t="shared" si="0"/>
        <v/>
      </c>
      <c r="B77" s="21"/>
      <c r="C77" s="24" t="str">
        <f t="shared" si="23"/>
        <v/>
      </c>
      <c r="D77" s="2464" t="str">
        <f t="shared" si="15"/>
        <v/>
      </c>
      <c r="E77" s="434" t="str">
        <f t="shared" si="16"/>
        <v/>
      </c>
      <c r="F77" s="434" t="str">
        <f>IF(B77&lt;&gt;"",VLOOKUP(VLOOKUP(B77,dist_assets,2,FALSE),'Distributed Assets'!$C$7:$F$22,4,FALSE),"")</f>
        <v/>
      </c>
      <c r="G77" s="434" t="str">
        <f t="shared" si="17"/>
        <v/>
      </c>
      <c r="H77" s="25"/>
      <c r="I77" s="3047" t="str">
        <f t="array" ref="I77">IF($H77&lt;&gt;"",
         INDEX('BOM FUNCTIONS'!$Y$6:$AC$669,MATCH(IP!$M77&amp;IP!$O77,'BOM FUNCTIONS'!$Y$6:$Y$669&amp;'BOM FUNCTIONS'!$Z$6:$Z$669,0),5),"")</f>
        <v/>
      </c>
      <c r="J77" s="2047" t="str">
        <f t="array" ref="J77">IF($H77&lt;&gt;"",
         INDEX('BOM FUNCTIONS'!$Y$6:$AD$669,MATCH(IP!$M77&amp;IP!$O77,'BOM FUNCTIONS'!$Y$6:$Y$669&amp;'BOM FUNCTIONS'!$Z$6:$Z$669,0),6),"")</f>
        <v/>
      </c>
      <c r="K77" s="2632" t="str">
        <f t="shared" si="18"/>
        <v/>
      </c>
      <c r="L77" s="2008" t="str">
        <f t="shared" si="20"/>
        <v/>
      </c>
      <c r="M77" s="446" t="str">
        <f t="shared" si="19"/>
        <v/>
      </c>
      <c r="N77" s="479"/>
      <c r="O77" s="436" t="str">
        <f t="shared" si="21"/>
        <v/>
      </c>
      <c r="P77" s="3049" t="str">
        <f t="array" ref="P77">IF($H77&lt;&gt;"",
         INDEX('BOM FUNCTIONS'!$Y$6:$AA$669,MATCH(IP!$M77&amp;IP!$O77,'BOM FUNCTIONS'!$Y$6:$Y$669&amp;'BOM FUNCTIONS'!$Z$6:$Z$669,0),3),"")</f>
        <v/>
      </c>
      <c r="Q77" s="2717"/>
      <c r="R77" s="849" t="str">
        <f>IF(B77&lt;&gt;"",
               IF(VLOOKUP($K77,DNS!$C$5:$I$54,6,FALSE)="No","No",
                    IF(AND($F77 = "Test 2.0", P77 &gt; 1715,$P77 &lt;1728),"Yes",
                     IF(AND($F77 ="Prod 2.0", P77 &gt; 2715, $P77 &lt; 2728), "Yes",
                          IF(OR(AND($F77 ="Prod F.W.", $P77 &gt; 3015, $P77&lt;3020,),AND($F77 ="Prod F.W.", $P77=3036)), "Yes","No")))),"")</f>
        <v/>
      </c>
      <c r="S77" s="2" t="str">
        <f t="shared" si="22"/>
        <v/>
      </c>
      <c r="T77" s="1969"/>
      <c r="U77" s="876"/>
      <c r="V77" s="1967"/>
    </row>
    <row r="78" spans="1:22">
      <c r="A78" s="259" t="str">
        <f t="shared" si="0"/>
        <v/>
      </c>
      <c r="B78" s="21"/>
      <c r="C78" s="24" t="str">
        <f t="shared" si="23"/>
        <v/>
      </c>
      <c r="D78" s="2464" t="str">
        <f t="shared" si="15"/>
        <v/>
      </c>
      <c r="E78" s="434" t="str">
        <f t="shared" si="16"/>
        <v/>
      </c>
      <c r="F78" s="434" t="str">
        <f>IF(B78&lt;&gt;"",VLOOKUP(VLOOKUP(B78,dist_assets,2,FALSE),'Distributed Assets'!$C$7:$F$22,4,FALSE),"")</f>
        <v/>
      </c>
      <c r="G78" s="434" t="str">
        <f t="shared" si="17"/>
        <v/>
      </c>
      <c r="H78" s="25"/>
      <c r="I78" s="3047" t="str">
        <f t="array" ref="I78">IF($H78&lt;&gt;"",
         INDEX('BOM FUNCTIONS'!$Y$6:$AC$669,MATCH(IP!$M78&amp;IP!$O78,'BOM FUNCTIONS'!$Y$6:$Y$669&amp;'BOM FUNCTIONS'!$Z$6:$Z$669,0),5),"")</f>
        <v/>
      </c>
      <c r="J78" s="2047" t="str">
        <f t="array" ref="J78">IF($H78&lt;&gt;"",
         INDEX('BOM FUNCTIONS'!$Y$6:$AD$669,MATCH(IP!$M78&amp;IP!$O78,'BOM FUNCTIONS'!$Y$6:$Y$669&amp;'BOM FUNCTIONS'!$Z$6:$Z$669,0),6),"")</f>
        <v/>
      </c>
      <c r="K78" s="2632" t="str">
        <f t="shared" si="18"/>
        <v/>
      </c>
      <c r="L78" s="2008" t="str">
        <f t="shared" si="20"/>
        <v/>
      </c>
      <c r="M78" s="446" t="str">
        <f t="shared" si="19"/>
        <v/>
      </c>
      <c r="N78" s="479"/>
      <c r="O78" s="436" t="str">
        <f t="shared" si="21"/>
        <v/>
      </c>
      <c r="P78" s="3049" t="str">
        <f t="array" ref="P78">IF($H78&lt;&gt;"",
         INDEX('BOM FUNCTIONS'!$Y$6:$AA$669,MATCH(IP!$M78&amp;IP!$O78,'BOM FUNCTIONS'!$Y$6:$Y$669&amp;'BOM FUNCTIONS'!$Z$6:$Z$669,0),3),"")</f>
        <v/>
      </c>
      <c r="Q78" s="2717"/>
      <c r="R78" s="849" t="str">
        <f>IF(B78&lt;&gt;"",
               IF(VLOOKUP($K78,DNS!$C$5:$I$54,6,FALSE)="No","No",
                    IF(AND($F78 = "Test 2.0", P78 &gt; 1715,$P78 &lt;1728),"Yes",
                     IF(AND($F78 ="Prod 2.0", P78 &gt; 2715, $P78 &lt; 2728), "Yes",
                          IF(OR(AND($F78 ="Prod F.W.", $P78 &gt; 3015, $P78&lt;3020,),AND($F78 ="Prod F.W.", $P78=3036)), "Yes","No")))),"")</f>
        <v/>
      </c>
      <c r="S78" s="2" t="str">
        <f t="shared" si="22"/>
        <v/>
      </c>
      <c r="T78" s="1969"/>
      <c r="U78" s="876"/>
      <c r="V78" s="1967"/>
    </row>
    <row r="79" spans="1:22">
      <c r="A79" s="259" t="str">
        <f t="shared" si="0"/>
        <v/>
      </c>
      <c r="B79" s="21"/>
      <c r="C79" s="24" t="str">
        <f t="shared" si="23"/>
        <v/>
      </c>
      <c r="D79" s="2464" t="str">
        <f t="shared" si="15"/>
        <v/>
      </c>
      <c r="E79" s="434" t="str">
        <f t="shared" si="16"/>
        <v/>
      </c>
      <c r="F79" s="434" t="str">
        <f>IF(B79&lt;&gt;"",VLOOKUP(VLOOKUP(B79,dist_assets,2,FALSE),'Distributed Assets'!$C$7:$F$22,4,FALSE),"")</f>
        <v/>
      </c>
      <c r="G79" s="434" t="str">
        <f t="shared" si="17"/>
        <v/>
      </c>
      <c r="H79" s="25"/>
      <c r="I79" s="3047" t="str">
        <f t="array" ref="I79">IF($H79&lt;&gt;"",
         INDEX('BOM FUNCTIONS'!$Y$6:$AC$669,MATCH(IP!$M79&amp;IP!$O79,'BOM FUNCTIONS'!$Y$6:$Y$669&amp;'BOM FUNCTIONS'!$Z$6:$Z$669,0),5),"")</f>
        <v/>
      </c>
      <c r="J79" s="2047" t="str">
        <f t="array" ref="J79">IF($H79&lt;&gt;"",
         INDEX('BOM FUNCTIONS'!$Y$6:$AD$669,MATCH(IP!$M79&amp;IP!$O79,'BOM FUNCTIONS'!$Y$6:$Y$669&amp;'BOM FUNCTIONS'!$Z$6:$Z$669,0),6),"")</f>
        <v/>
      </c>
      <c r="K79" s="2632" t="str">
        <f t="shared" si="18"/>
        <v/>
      </c>
      <c r="L79" s="2008" t="str">
        <f t="shared" si="20"/>
        <v/>
      </c>
      <c r="M79" s="446" t="str">
        <f t="shared" si="19"/>
        <v/>
      </c>
      <c r="N79" s="479"/>
      <c r="O79" s="436" t="str">
        <f t="shared" si="21"/>
        <v/>
      </c>
      <c r="P79" s="3049" t="str">
        <f t="array" ref="P79">IF($H79&lt;&gt;"",
         INDEX('BOM FUNCTIONS'!$Y$6:$AA$669,MATCH(IP!$M79&amp;IP!$O79,'BOM FUNCTIONS'!$Y$6:$Y$669&amp;'BOM FUNCTIONS'!$Z$6:$Z$669,0),3),"")</f>
        <v/>
      </c>
      <c r="Q79" s="2717"/>
      <c r="R79" s="849" t="str">
        <f>IF(B79&lt;&gt;"",
               IF(VLOOKUP($K79,DNS!$C$5:$I$54,6,FALSE)="No","No",
                    IF(AND($F79 = "Test 2.0", P79 &gt; 1715,$P79 &lt;1728),"Yes",
                     IF(AND($F79 ="Prod 2.0", P79 &gt; 2715, $P79 &lt; 2728), "Yes",
                          IF(OR(AND($F79 ="Prod F.W.", $P79 &gt; 3015, $P79&lt;3020,),AND($F79 ="Prod F.W.", $P79=3036)), "Yes","No")))),"")</f>
        <v/>
      </c>
      <c r="S79" s="2" t="str">
        <f t="shared" si="22"/>
        <v/>
      </c>
      <c r="T79" s="1969"/>
      <c r="U79" s="876"/>
      <c r="V79" s="1967"/>
    </row>
    <row r="80" spans="1:22">
      <c r="A80" s="259" t="str">
        <f t="shared" si="0"/>
        <v/>
      </c>
      <c r="B80" s="21"/>
      <c r="C80" s="24" t="str">
        <f t="shared" si="23"/>
        <v/>
      </c>
      <c r="D80" s="2464" t="str">
        <f t="shared" si="15"/>
        <v/>
      </c>
      <c r="E80" s="434" t="str">
        <f t="shared" si="16"/>
        <v/>
      </c>
      <c r="F80" s="434" t="str">
        <f>IF(B80&lt;&gt;"",VLOOKUP(VLOOKUP(B80,dist_assets,2,FALSE),'Distributed Assets'!$C$7:$F$22,4,FALSE),"")</f>
        <v/>
      </c>
      <c r="G80" s="434" t="str">
        <f t="shared" si="17"/>
        <v/>
      </c>
      <c r="H80" s="25"/>
      <c r="I80" s="3047" t="str">
        <f t="array" ref="I80">IF($H80&lt;&gt;"",
         INDEX('BOM FUNCTIONS'!$Y$6:$AC$669,MATCH(IP!$M80&amp;IP!$O80,'BOM FUNCTIONS'!$Y$6:$Y$669&amp;'BOM FUNCTIONS'!$Z$6:$Z$669,0),5),"")</f>
        <v/>
      </c>
      <c r="J80" s="2047" t="str">
        <f t="array" ref="J80">IF($H80&lt;&gt;"",
         INDEX('BOM FUNCTIONS'!$Y$6:$AD$669,MATCH(IP!$M80&amp;IP!$O80,'BOM FUNCTIONS'!$Y$6:$Y$669&amp;'BOM FUNCTIONS'!$Z$6:$Z$669,0),6),"")</f>
        <v/>
      </c>
      <c r="K80" s="2632" t="str">
        <f t="shared" si="18"/>
        <v/>
      </c>
      <c r="L80" s="2008" t="str">
        <f t="shared" si="20"/>
        <v/>
      </c>
      <c r="M80" s="446" t="str">
        <f t="shared" si="19"/>
        <v/>
      </c>
      <c r="N80" s="479"/>
      <c r="O80" s="436" t="str">
        <f t="shared" si="21"/>
        <v/>
      </c>
      <c r="P80" s="3049" t="str">
        <f t="array" ref="P80">IF($H80&lt;&gt;"",
         INDEX('BOM FUNCTIONS'!$Y$6:$AA$669,MATCH(IP!$M80&amp;IP!$O80,'BOM FUNCTIONS'!$Y$6:$Y$669&amp;'BOM FUNCTIONS'!$Z$6:$Z$669,0),3),"")</f>
        <v/>
      </c>
      <c r="Q80" s="2717"/>
      <c r="R80" s="849" t="str">
        <f>IF(B80&lt;&gt;"",
               IF(VLOOKUP($K80,DNS!$C$5:$I$54,6,FALSE)="No","No",
                    IF(AND($F80 = "Test 2.0", P80 &gt; 1715,$P80 &lt;1728),"Yes",
                     IF(AND($F80 ="Prod 2.0", P80 &gt; 2715, $P80 &lt; 2728), "Yes",
                          IF(OR(AND($F80 ="Prod F.W.", $P80 &gt; 3015, $P80&lt;3020,),AND($F80 ="Prod F.W.", $P80=3036)), "Yes","No")))),"")</f>
        <v/>
      </c>
      <c r="S80" s="2" t="str">
        <f t="shared" si="22"/>
        <v/>
      </c>
      <c r="T80" s="1969"/>
      <c r="U80" s="876"/>
      <c r="V80" s="1967"/>
    </row>
    <row r="81" spans="1:22">
      <c r="A81" s="259" t="str">
        <f t="shared" si="0"/>
        <v/>
      </c>
      <c r="B81" s="21"/>
      <c r="C81" s="24" t="str">
        <f t="shared" si="23"/>
        <v/>
      </c>
      <c r="D81" s="2464" t="str">
        <f t="shared" si="15"/>
        <v/>
      </c>
      <c r="E81" s="434" t="str">
        <f t="shared" si="16"/>
        <v/>
      </c>
      <c r="F81" s="434" t="str">
        <f>IF(B81&lt;&gt;"",VLOOKUP(VLOOKUP(B81,dist_assets,2,FALSE),'Distributed Assets'!$C$7:$F$22,4,FALSE),"")</f>
        <v/>
      </c>
      <c r="G81" s="434" t="str">
        <f t="shared" si="17"/>
        <v/>
      </c>
      <c r="H81" s="25"/>
      <c r="I81" s="3047" t="str">
        <f t="array" ref="I81">IF($H81&lt;&gt;"",
         INDEX('BOM FUNCTIONS'!$Y$6:$AC$669,MATCH(IP!$M81&amp;IP!$O81,'BOM FUNCTIONS'!$Y$6:$Y$669&amp;'BOM FUNCTIONS'!$Z$6:$Z$669,0),5),"")</f>
        <v/>
      </c>
      <c r="J81" s="2047" t="str">
        <f t="array" ref="J81">IF($H81&lt;&gt;"",
         INDEX('BOM FUNCTIONS'!$Y$6:$AD$669,MATCH(IP!$M81&amp;IP!$O81,'BOM FUNCTIONS'!$Y$6:$Y$669&amp;'BOM FUNCTIONS'!$Z$6:$Z$669,0),6),"")</f>
        <v/>
      </c>
      <c r="K81" s="2632" t="str">
        <f t="shared" si="18"/>
        <v/>
      </c>
      <c r="L81" s="2008" t="str">
        <f t="shared" si="20"/>
        <v/>
      </c>
      <c r="M81" s="446" t="str">
        <f t="shared" si="19"/>
        <v/>
      </c>
      <c r="N81" s="479"/>
      <c r="O81" s="436" t="str">
        <f t="shared" si="21"/>
        <v/>
      </c>
      <c r="P81" s="3049" t="str">
        <f t="array" ref="P81">IF($H81&lt;&gt;"",
         INDEX('BOM FUNCTIONS'!$Y$6:$AA$669,MATCH(IP!$M81&amp;IP!$O81,'BOM FUNCTIONS'!$Y$6:$Y$669&amp;'BOM FUNCTIONS'!$Z$6:$Z$669,0),3),"")</f>
        <v/>
      </c>
      <c r="Q81" s="2717"/>
      <c r="R81" s="849" t="str">
        <f>IF(B81&lt;&gt;"",
               IF(VLOOKUP($K81,DNS!$C$5:$I$54,6,FALSE)="No","No",
                    IF(AND($F81 = "Test 2.0", P81 &gt; 1715,$P81 &lt;1728),"Yes",
                     IF(AND($F81 ="Prod 2.0", P81 &gt; 2715, $P81 &lt; 2728), "Yes",
                          IF(OR(AND($F81 ="Prod F.W.", $P81 &gt; 3015, $P81&lt;3020,),AND($F81 ="Prod F.W.", $P81=3036)), "Yes","No")))),"")</f>
        <v/>
      </c>
      <c r="S81" s="2" t="str">
        <f t="shared" si="22"/>
        <v/>
      </c>
      <c r="T81" s="1969"/>
      <c r="U81" s="876"/>
      <c r="V81" s="1967"/>
    </row>
    <row r="82" spans="1:22">
      <c r="A82" s="259" t="str">
        <f t="shared" si="0"/>
        <v/>
      </c>
      <c r="B82" s="21"/>
      <c r="C82" s="24" t="str">
        <f t="shared" si="23"/>
        <v/>
      </c>
      <c r="D82" s="2464" t="str">
        <f t="shared" si="15"/>
        <v/>
      </c>
      <c r="E82" s="434" t="str">
        <f t="shared" si="16"/>
        <v/>
      </c>
      <c r="F82" s="434" t="str">
        <f>IF(B82&lt;&gt;"",VLOOKUP(VLOOKUP(B82,dist_assets,2,FALSE),'Distributed Assets'!$C$7:$F$22,4,FALSE),"")</f>
        <v/>
      </c>
      <c r="G82" s="434" t="str">
        <f t="shared" si="17"/>
        <v/>
      </c>
      <c r="H82" s="25"/>
      <c r="I82" s="3047" t="str">
        <f t="array" ref="I82">IF($H82&lt;&gt;"",
         INDEX('BOM FUNCTIONS'!$Y$6:$AC$669,MATCH(IP!$M82&amp;IP!$O82,'BOM FUNCTIONS'!$Y$6:$Y$669&amp;'BOM FUNCTIONS'!$Z$6:$Z$669,0),5),"")</f>
        <v/>
      </c>
      <c r="J82" s="2047" t="str">
        <f t="array" ref="J82">IF($H82&lt;&gt;"",
         INDEX('BOM FUNCTIONS'!$Y$6:$AD$669,MATCH(IP!$M82&amp;IP!$O82,'BOM FUNCTIONS'!$Y$6:$Y$669&amp;'BOM FUNCTIONS'!$Z$6:$Z$669,0),6),"")</f>
        <v/>
      </c>
      <c r="K82" s="2632" t="str">
        <f t="shared" si="18"/>
        <v/>
      </c>
      <c r="L82" s="2008" t="str">
        <f t="shared" si="20"/>
        <v/>
      </c>
      <c r="M82" s="446" t="str">
        <f t="shared" si="19"/>
        <v/>
      </c>
      <c r="N82" s="479"/>
      <c r="O82" s="436" t="str">
        <f t="shared" si="21"/>
        <v/>
      </c>
      <c r="P82" s="3049" t="str">
        <f t="array" ref="P82">IF($H82&lt;&gt;"",
         INDEX('BOM FUNCTIONS'!$Y$6:$AA$669,MATCH(IP!$M82&amp;IP!$O82,'BOM FUNCTIONS'!$Y$6:$Y$669&amp;'BOM FUNCTIONS'!$Z$6:$Z$669,0),3),"")</f>
        <v/>
      </c>
      <c r="Q82" s="2717"/>
      <c r="R82" s="849" t="str">
        <f>IF(B82&lt;&gt;"",
               IF(VLOOKUP($K82,DNS!$C$5:$I$54,6,FALSE)="No","No",
                    IF(AND($F82 = "Test 2.0", P82 &gt; 1715,$P82 &lt;1728),"Yes",
                     IF(AND($F82 ="Prod 2.0", P82 &gt; 2715, $P82 &lt; 2728), "Yes",
                          IF(OR(AND($F82 ="Prod F.W.", $P82 &gt; 3015, $P82&lt;3020,),AND($F82 ="Prod F.W.", $P82=3036)), "Yes","No")))),"")</f>
        <v/>
      </c>
      <c r="S82" s="2" t="str">
        <f t="shared" si="22"/>
        <v/>
      </c>
      <c r="T82" s="1969"/>
      <c r="U82" s="876"/>
      <c r="V82" s="1967"/>
    </row>
    <row r="83" spans="1:22">
      <c r="A83" s="259" t="str">
        <f t="shared" si="0"/>
        <v/>
      </c>
      <c r="B83" s="21"/>
      <c r="C83" s="24" t="str">
        <f t="shared" si="23"/>
        <v/>
      </c>
      <c r="D83" s="2464" t="str">
        <f t="shared" si="15"/>
        <v/>
      </c>
      <c r="E83" s="434" t="str">
        <f t="shared" si="16"/>
        <v/>
      </c>
      <c r="F83" s="434" t="str">
        <f>IF(B83&lt;&gt;"",VLOOKUP(VLOOKUP(B83,dist_assets,2,FALSE),'Distributed Assets'!$C$7:$F$22,4,FALSE),"")</f>
        <v/>
      </c>
      <c r="G83" s="434" t="str">
        <f t="shared" si="17"/>
        <v/>
      </c>
      <c r="H83" s="25"/>
      <c r="I83" s="3047" t="str">
        <f t="array" ref="I83">IF($H83&lt;&gt;"",
         INDEX('BOM FUNCTIONS'!$Y$6:$AC$669,MATCH(IP!$M83&amp;IP!$O83,'BOM FUNCTIONS'!$Y$6:$Y$669&amp;'BOM FUNCTIONS'!$Z$6:$Z$669,0),5),"")</f>
        <v/>
      </c>
      <c r="J83" s="2047" t="str">
        <f t="array" ref="J83">IF($H83&lt;&gt;"",
         INDEX('BOM FUNCTIONS'!$Y$6:$AD$669,MATCH(IP!$M83&amp;IP!$O83,'BOM FUNCTIONS'!$Y$6:$Y$669&amp;'BOM FUNCTIONS'!$Z$6:$Z$669,0),6),"")</f>
        <v/>
      </c>
      <c r="K83" s="2632" t="str">
        <f t="shared" si="18"/>
        <v/>
      </c>
      <c r="L83" s="2008" t="str">
        <f t="shared" si="20"/>
        <v/>
      </c>
      <c r="M83" s="446" t="str">
        <f t="shared" si="19"/>
        <v/>
      </c>
      <c r="N83" s="479"/>
      <c r="O83" s="436" t="str">
        <f t="shared" si="21"/>
        <v/>
      </c>
      <c r="P83" s="3049" t="str">
        <f t="array" ref="P83">IF($H83&lt;&gt;"",
         INDEX('BOM FUNCTIONS'!$Y$6:$AA$669,MATCH(IP!$M83&amp;IP!$O83,'BOM FUNCTIONS'!$Y$6:$Y$669&amp;'BOM FUNCTIONS'!$Z$6:$Z$669,0),3),"")</f>
        <v/>
      </c>
      <c r="Q83" s="2717"/>
      <c r="R83" s="849" t="str">
        <f>IF(B83&lt;&gt;"",
               IF(VLOOKUP($K83,DNS!$C$5:$I$54,6,FALSE)="No","No",
                    IF(AND($F83 = "Test 2.0", P83 &gt; 1715,$P83 &lt;1728),"Yes",
                     IF(AND($F83 ="Prod 2.0", P83 &gt; 2715, $P83 &lt; 2728), "Yes",
                          IF(OR(AND($F83 ="Prod F.W.", $P83 &gt; 3015, $P83&lt;3020,),AND($F83 ="Prod F.W.", $P83=3036)), "Yes","No")))),"")</f>
        <v/>
      </c>
      <c r="S83" s="2" t="str">
        <f t="shared" si="22"/>
        <v/>
      </c>
      <c r="T83" s="1969"/>
      <c r="U83" s="876"/>
      <c r="V83" s="1967"/>
    </row>
    <row r="84" spans="1:22">
      <c r="A84" s="259" t="str">
        <f t="shared" si="0"/>
        <v/>
      </c>
      <c r="B84" s="21"/>
      <c r="C84" s="24" t="str">
        <f t="shared" si="23"/>
        <v/>
      </c>
      <c r="D84" s="2464" t="str">
        <f t="shared" si="15"/>
        <v/>
      </c>
      <c r="E84" s="434" t="str">
        <f t="shared" si="16"/>
        <v/>
      </c>
      <c r="F84" s="434" t="str">
        <f>IF(B84&lt;&gt;"",VLOOKUP(VLOOKUP(B84,dist_assets,2,FALSE),'Distributed Assets'!$C$7:$F$22,4,FALSE),"")</f>
        <v/>
      </c>
      <c r="G84" s="434" t="str">
        <f t="shared" si="17"/>
        <v/>
      </c>
      <c r="H84" s="25"/>
      <c r="I84" s="3047" t="str">
        <f t="array" ref="I84">IF($H84&lt;&gt;"",
         INDEX('BOM FUNCTIONS'!$Y$6:$AC$669,MATCH(IP!$M84&amp;IP!$O84,'BOM FUNCTIONS'!$Y$6:$Y$669&amp;'BOM FUNCTIONS'!$Z$6:$Z$669,0),5),"")</f>
        <v/>
      </c>
      <c r="J84" s="2047" t="str">
        <f t="array" ref="J84">IF($H84&lt;&gt;"",
         INDEX('BOM FUNCTIONS'!$Y$6:$AD$669,MATCH(IP!$M84&amp;IP!$O84,'BOM FUNCTIONS'!$Y$6:$Y$669&amp;'BOM FUNCTIONS'!$Z$6:$Z$669,0),6),"")</f>
        <v/>
      </c>
      <c r="K84" s="2632" t="str">
        <f t="shared" si="18"/>
        <v/>
      </c>
      <c r="L84" s="2008" t="str">
        <f t="shared" si="20"/>
        <v/>
      </c>
      <c r="M84" s="446" t="str">
        <f t="shared" si="19"/>
        <v/>
      </c>
      <c r="N84" s="479"/>
      <c r="O84" s="436" t="str">
        <f t="shared" si="21"/>
        <v/>
      </c>
      <c r="P84" s="3049" t="str">
        <f t="array" ref="P84">IF($H84&lt;&gt;"",
         INDEX('BOM FUNCTIONS'!$Y$6:$AA$669,MATCH(IP!$M84&amp;IP!$O84,'BOM FUNCTIONS'!$Y$6:$Y$669&amp;'BOM FUNCTIONS'!$Z$6:$Z$669,0),3),"")</f>
        <v/>
      </c>
      <c r="Q84" s="2717"/>
      <c r="R84" s="849" t="str">
        <f>IF(B84&lt;&gt;"",
               IF(VLOOKUP($K84,DNS!$C$5:$I$54,6,FALSE)="No","No",
                    IF(AND($F84 = "Test 2.0", P84 &gt; 1715,$P84 &lt;1728),"Yes",
                     IF(AND($F84 ="Prod 2.0", P84 &gt; 2715, $P84 &lt; 2728), "Yes",
                          IF(OR(AND($F84 ="Prod F.W.", $P84 &gt; 3015, $P84&lt;3020,),AND($F84 ="Prod F.W.", $P84=3036)), "Yes","No")))),"")</f>
        <v/>
      </c>
      <c r="S84" s="2" t="str">
        <f t="shared" si="22"/>
        <v/>
      </c>
      <c r="T84" s="1969"/>
      <c r="U84" s="876"/>
      <c r="V84" s="1967"/>
    </row>
    <row r="85" spans="1:22">
      <c r="A85" s="259" t="str">
        <f t="shared" si="0"/>
        <v/>
      </c>
      <c r="B85" s="21"/>
      <c r="C85" s="24" t="str">
        <f t="shared" si="23"/>
        <v/>
      </c>
      <c r="D85" s="2464" t="str">
        <f t="shared" si="15"/>
        <v/>
      </c>
      <c r="E85" s="434" t="str">
        <f t="shared" si="16"/>
        <v/>
      </c>
      <c r="F85" s="434" t="str">
        <f>IF(B85&lt;&gt;"",VLOOKUP(VLOOKUP(B85,dist_assets,2,FALSE),'Distributed Assets'!$C$7:$F$22,4,FALSE),"")</f>
        <v/>
      </c>
      <c r="G85" s="434" t="str">
        <f t="shared" si="17"/>
        <v/>
      </c>
      <c r="H85" s="25"/>
      <c r="I85" s="3047" t="str">
        <f t="array" ref="I85">IF($H85&lt;&gt;"",
         INDEX('BOM FUNCTIONS'!$Y$6:$AC$669,MATCH(IP!$M85&amp;IP!$O85,'BOM FUNCTIONS'!$Y$6:$Y$669&amp;'BOM FUNCTIONS'!$Z$6:$Z$669,0),5),"")</f>
        <v/>
      </c>
      <c r="J85" s="2047" t="str">
        <f t="array" ref="J85">IF($H85&lt;&gt;"",
         INDEX('BOM FUNCTIONS'!$Y$6:$AD$669,MATCH(IP!$M85&amp;IP!$O85,'BOM FUNCTIONS'!$Y$6:$Y$669&amp;'BOM FUNCTIONS'!$Z$6:$Z$669,0),6),"")</f>
        <v/>
      </c>
      <c r="K85" s="2632" t="str">
        <f t="shared" si="18"/>
        <v/>
      </c>
      <c r="L85" s="2008" t="str">
        <f t="shared" si="20"/>
        <v/>
      </c>
      <c r="M85" s="446" t="str">
        <f t="shared" si="19"/>
        <v/>
      </c>
      <c r="N85" s="479"/>
      <c r="O85" s="436" t="str">
        <f t="shared" si="21"/>
        <v/>
      </c>
      <c r="P85" s="3049" t="str">
        <f t="array" ref="P85">IF($H85&lt;&gt;"",
         INDEX('BOM FUNCTIONS'!$Y$6:$AA$669,MATCH(IP!$M85&amp;IP!$O85,'BOM FUNCTIONS'!$Y$6:$Y$669&amp;'BOM FUNCTIONS'!$Z$6:$Z$669,0),3),"")</f>
        <v/>
      </c>
      <c r="Q85" s="2717"/>
      <c r="R85" s="849" t="str">
        <f>IF(B85&lt;&gt;"",
               IF(VLOOKUP($K85,DNS!$C$5:$I$54,6,FALSE)="No","No",
                    IF(AND($F85 = "Test 2.0", P85 &gt; 1715,$P85 &lt;1728),"Yes",
                     IF(AND($F85 ="Prod 2.0", P85 &gt; 2715, $P85 &lt; 2728), "Yes",
                          IF(OR(AND($F85 ="Prod F.W.", $P85 &gt; 3015, $P85&lt;3020,),AND($F85 ="Prod F.W.", $P85=3036)), "Yes","No")))),"")</f>
        <v/>
      </c>
      <c r="S85" s="2" t="str">
        <f t="shared" si="22"/>
        <v/>
      </c>
      <c r="T85" s="1969"/>
      <c r="U85" s="876"/>
      <c r="V85" s="1967"/>
    </row>
    <row r="86" spans="1:22">
      <c r="A86" s="259" t="str">
        <f t="shared" si="0"/>
        <v/>
      </c>
      <c r="B86" s="21"/>
      <c r="C86" s="24" t="str">
        <f t="shared" si="23"/>
        <v/>
      </c>
      <c r="D86" s="2464" t="str">
        <f t="shared" si="15"/>
        <v/>
      </c>
      <c r="E86" s="434" t="str">
        <f t="shared" si="16"/>
        <v/>
      </c>
      <c r="F86" s="434" t="str">
        <f>IF(B86&lt;&gt;"",VLOOKUP(VLOOKUP(B86,dist_assets,2,FALSE),'Distributed Assets'!$C$7:$F$22,4,FALSE),"")</f>
        <v/>
      </c>
      <c r="G86" s="434" t="str">
        <f t="shared" si="17"/>
        <v/>
      </c>
      <c r="H86" s="25"/>
      <c r="I86" s="3047" t="str">
        <f t="array" ref="I86">IF($H86&lt;&gt;"",
         INDEX('BOM FUNCTIONS'!$Y$6:$AC$669,MATCH(IP!$M86&amp;IP!$O86,'BOM FUNCTIONS'!$Y$6:$Y$669&amp;'BOM FUNCTIONS'!$Z$6:$Z$669,0),5),"")</f>
        <v/>
      </c>
      <c r="J86" s="2047" t="str">
        <f t="array" ref="J86">IF($H86&lt;&gt;"",
         INDEX('BOM FUNCTIONS'!$Y$6:$AD$669,MATCH(IP!$M86&amp;IP!$O86,'BOM FUNCTIONS'!$Y$6:$Y$669&amp;'BOM FUNCTIONS'!$Z$6:$Z$669,0),6),"")</f>
        <v/>
      </c>
      <c r="K86" s="2632" t="str">
        <f t="shared" si="18"/>
        <v/>
      </c>
      <c r="L86" s="2008" t="str">
        <f t="shared" si="20"/>
        <v/>
      </c>
      <c r="M86" s="446" t="str">
        <f t="shared" si="19"/>
        <v/>
      </c>
      <c r="N86" s="479"/>
      <c r="O86" s="436" t="str">
        <f t="shared" si="21"/>
        <v/>
      </c>
      <c r="P86" s="3049" t="str">
        <f t="array" ref="P86">IF($H86&lt;&gt;"",
         INDEX('BOM FUNCTIONS'!$Y$6:$AA$669,MATCH(IP!$M86&amp;IP!$O86,'BOM FUNCTIONS'!$Y$6:$Y$669&amp;'BOM FUNCTIONS'!$Z$6:$Z$669,0),3),"")</f>
        <v/>
      </c>
      <c r="Q86" s="2717"/>
      <c r="R86" s="849" t="str">
        <f>IF(B86&lt;&gt;"",
               IF(VLOOKUP($K86,DNS!$C$5:$I$54,6,FALSE)="No","No",
                    IF(AND($F86 = "Test 2.0", P86 &gt; 1715,$P86 &lt;1728),"Yes",
                     IF(AND($F86 ="Prod 2.0", P86 &gt; 2715, $P86 &lt; 2728), "Yes",
                          IF(OR(AND($F86 ="Prod F.W.", $P86 &gt; 3015, $P86&lt;3020,),AND($F86 ="Prod F.W.", $P86=3036)), "Yes","No")))),"")</f>
        <v/>
      </c>
      <c r="S86" s="2" t="str">
        <f t="shared" si="22"/>
        <v/>
      </c>
      <c r="T86" s="1969"/>
      <c r="U86" s="876"/>
      <c r="V86" s="1967"/>
    </row>
    <row r="87" spans="1:22">
      <c r="A87" s="259" t="str">
        <f t="shared" si="0"/>
        <v/>
      </c>
      <c r="B87" s="21"/>
      <c r="C87" s="24" t="str">
        <f t="shared" si="23"/>
        <v/>
      </c>
      <c r="D87" s="2464" t="str">
        <f t="shared" si="15"/>
        <v/>
      </c>
      <c r="E87" s="434" t="str">
        <f t="shared" si="16"/>
        <v/>
      </c>
      <c r="F87" s="434" t="str">
        <f>IF(B87&lt;&gt;"",VLOOKUP(VLOOKUP(B87,dist_assets,2,FALSE),'Distributed Assets'!$C$7:$F$22,4,FALSE),"")</f>
        <v/>
      </c>
      <c r="G87" s="434" t="str">
        <f t="shared" si="17"/>
        <v/>
      </c>
      <c r="H87" s="25"/>
      <c r="I87" s="3047" t="str">
        <f t="array" ref="I87">IF($H87&lt;&gt;"",
         INDEX('BOM FUNCTIONS'!$Y$6:$AC$669,MATCH(IP!$M87&amp;IP!$O87,'BOM FUNCTIONS'!$Y$6:$Y$669&amp;'BOM FUNCTIONS'!$Z$6:$Z$669,0),5),"")</f>
        <v/>
      </c>
      <c r="J87" s="2047" t="str">
        <f t="array" ref="J87">IF($H87&lt;&gt;"",
         INDEX('BOM FUNCTIONS'!$Y$6:$AD$669,MATCH(IP!$M87&amp;IP!$O87,'BOM FUNCTIONS'!$Y$6:$Y$669&amp;'BOM FUNCTIONS'!$Z$6:$Z$669,0),6),"")</f>
        <v/>
      </c>
      <c r="K87" s="2632" t="str">
        <f t="shared" si="18"/>
        <v/>
      </c>
      <c r="L87" s="2008" t="str">
        <f t="shared" si="20"/>
        <v/>
      </c>
      <c r="M87" s="446" t="str">
        <f t="shared" si="19"/>
        <v/>
      </c>
      <c r="N87" s="479"/>
      <c r="O87" s="436" t="str">
        <f t="shared" si="21"/>
        <v/>
      </c>
      <c r="P87" s="3049" t="str">
        <f t="array" ref="P87">IF($H87&lt;&gt;"",
         INDEX('BOM FUNCTIONS'!$Y$6:$AA$669,MATCH(IP!$M87&amp;IP!$O87,'BOM FUNCTIONS'!$Y$6:$Y$669&amp;'BOM FUNCTIONS'!$Z$6:$Z$669,0),3),"")</f>
        <v/>
      </c>
      <c r="Q87" s="2717"/>
      <c r="R87" s="849" t="str">
        <f>IF(B87&lt;&gt;"",
               IF(VLOOKUP($K87,DNS!$C$5:$I$54,6,FALSE)="No","No",
                    IF(AND($F87 = "Test 2.0", P87 &gt; 1715,$P87 &lt;1728),"Yes",
                     IF(AND($F87 ="Prod 2.0", P87 &gt; 2715, $P87 &lt; 2728), "Yes",
                          IF(OR(AND($F87 ="Prod F.W.", $P87 &gt; 3015, $P87&lt;3020,),AND($F87 ="Prod F.W.", $P87=3036)), "Yes","No")))),"")</f>
        <v/>
      </c>
      <c r="S87" s="2" t="str">
        <f t="shared" si="22"/>
        <v/>
      </c>
      <c r="T87" s="1969"/>
      <c r="U87" s="876"/>
      <c r="V87" s="1967"/>
    </row>
    <row r="88" spans="1:22">
      <c r="A88" s="259" t="str">
        <f t="shared" si="0"/>
        <v/>
      </c>
      <c r="B88" s="21"/>
      <c r="C88" s="24" t="str">
        <f t="shared" si="23"/>
        <v/>
      </c>
      <c r="D88" s="2464" t="str">
        <f t="shared" si="15"/>
        <v/>
      </c>
      <c r="E88" s="434" t="str">
        <f t="shared" si="16"/>
        <v/>
      </c>
      <c r="F88" s="434" t="str">
        <f>IF(B88&lt;&gt;"",VLOOKUP(VLOOKUP(B88,dist_assets,2,FALSE),'Distributed Assets'!$C$7:$F$22,4,FALSE),"")</f>
        <v/>
      </c>
      <c r="G88" s="434" t="str">
        <f t="shared" si="17"/>
        <v/>
      </c>
      <c r="H88" s="25"/>
      <c r="I88" s="3047" t="str">
        <f t="array" ref="I88">IF($H88&lt;&gt;"",
         INDEX('BOM FUNCTIONS'!$Y$6:$AC$669,MATCH(IP!$M88&amp;IP!$O88,'BOM FUNCTIONS'!$Y$6:$Y$669&amp;'BOM FUNCTIONS'!$Z$6:$Z$669,0),5),"")</f>
        <v/>
      </c>
      <c r="J88" s="2047" t="str">
        <f t="array" ref="J88">IF($H88&lt;&gt;"",
         INDEX('BOM FUNCTIONS'!$Y$6:$AD$669,MATCH(IP!$M88&amp;IP!$O88,'BOM FUNCTIONS'!$Y$6:$Y$669&amp;'BOM FUNCTIONS'!$Z$6:$Z$669,0),6),"")</f>
        <v/>
      </c>
      <c r="K88" s="2632" t="str">
        <f t="shared" si="18"/>
        <v/>
      </c>
      <c r="L88" s="2008" t="str">
        <f t="shared" si="20"/>
        <v/>
      </c>
      <c r="M88" s="446" t="str">
        <f t="shared" si="19"/>
        <v/>
      </c>
      <c r="N88" s="479"/>
      <c r="O88" s="436" t="str">
        <f t="shared" si="21"/>
        <v/>
      </c>
      <c r="P88" s="3049" t="str">
        <f t="array" ref="P88">IF($H88&lt;&gt;"",
         INDEX('BOM FUNCTIONS'!$Y$6:$AA$669,MATCH(IP!$M88&amp;IP!$O88,'BOM FUNCTIONS'!$Y$6:$Y$669&amp;'BOM FUNCTIONS'!$Z$6:$Z$669,0),3),"")</f>
        <v/>
      </c>
      <c r="Q88" s="2717"/>
      <c r="R88" s="849" t="str">
        <f>IF(B88&lt;&gt;"",
               IF(VLOOKUP($K88,DNS!$C$5:$I$54,6,FALSE)="No","No",
                    IF(AND($F88 = "Test 2.0", P88 &gt; 1715,$P88 &lt;1728),"Yes",
                     IF(AND($F88 ="Prod 2.0", P88 &gt; 2715, $P88 &lt; 2728), "Yes",
                          IF(OR(AND($F88 ="Prod F.W.", $P88 &gt; 3015, $P88&lt;3020,),AND($F88 ="Prod F.W.", $P88=3036)), "Yes","No")))),"")</f>
        <v/>
      </c>
      <c r="S88" s="2" t="str">
        <f t="shared" si="22"/>
        <v/>
      </c>
      <c r="T88" s="1969"/>
      <c r="U88" s="876"/>
      <c r="V88" s="1967"/>
    </row>
    <row r="89" spans="1:22">
      <c r="A89" s="259" t="str">
        <f t="shared" si="0"/>
        <v/>
      </c>
      <c r="B89" s="21"/>
      <c r="C89" s="24" t="str">
        <f t="shared" si="23"/>
        <v/>
      </c>
      <c r="D89" s="2464" t="str">
        <f t="shared" si="15"/>
        <v/>
      </c>
      <c r="E89" s="434" t="str">
        <f t="shared" si="16"/>
        <v/>
      </c>
      <c r="F89" s="434" t="str">
        <f>IF(B89&lt;&gt;"",VLOOKUP(VLOOKUP(B89,dist_assets,2,FALSE),'Distributed Assets'!$C$7:$F$22,4,FALSE),"")</f>
        <v/>
      </c>
      <c r="G89" s="434" t="str">
        <f t="shared" si="17"/>
        <v/>
      </c>
      <c r="H89" s="25"/>
      <c r="I89" s="3047" t="str">
        <f t="array" ref="I89">IF($H89&lt;&gt;"",
         INDEX('BOM FUNCTIONS'!$Y$6:$AC$669,MATCH(IP!$M89&amp;IP!$O89,'BOM FUNCTIONS'!$Y$6:$Y$669&amp;'BOM FUNCTIONS'!$Z$6:$Z$669,0),5),"")</f>
        <v/>
      </c>
      <c r="J89" s="2047" t="str">
        <f t="array" ref="J89">IF($H89&lt;&gt;"",
         INDEX('BOM FUNCTIONS'!$Y$6:$AD$669,MATCH(IP!$M89&amp;IP!$O89,'BOM FUNCTIONS'!$Y$6:$Y$669&amp;'BOM FUNCTIONS'!$Z$6:$Z$669,0),6),"")</f>
        <v/>
      </c>
      <c r="K89" s="2632" t="str">
        <f t="shared" si="18"/>
        <v/>
      </c>
      <c r="L89" s="2008" t="str">
        <f t="shared" si="20"/>
        <v/>
      </c>
      <c r="M89" s="446" t="str">
        <f t="shared" si="19"/>
        <v/>
      </c>
      <c r="N89" s="479"/>
      <c r="O89" s="436" t="str">
        <f t="shared" si="21"/>
        <v/>
      </c>
      <c r="P89" s="3049" t="str">
        <f t="array" ref="P89">IF($H89&lt;&gt;"",
         INDEX('BOM FUNCTIONS'!$Y$6:$AA$669,MATCH(IP!$M89&amp;IP!$O89,'BOM FUNCTIONS'!$Y$6:$Y$669&amp;'BOM FUNCTIONS'!$Z$6:$Z$669,0),3),"")</f>
        <v/>
      </c>
      <c r="Q89" s="2717"/>
      <c r="R89" s="849" t="str">
        <f>IF(B89&lt;&gt;"",
               IF(VLOOKUP($K89,DNS!$C$5:$I$54,6,FALSE)="No","No",
                    IF(AND($F89 = "Test 2.0", P89 &gt; 1715,$P89 &lt;1728),"Yes",
                     IF(AND($F89 ="Prod 2.0", P89 &gt; 2715, $P89 &lt; 2728), "Yes",
                          IF(OR(AND($F89 ="Prod F.W.", $P89 &gt; 3015, $P89&lt;3020,),AND($F89 ="Prod F.W.", $P89=3036)), "Yes","No")))),"")</f>
        <v/>
      </c>
      <c r="S89" s="2" t="str">
        <f t="shared" si="22"/>
        <v/>
      </c>
      <c r="T89" s="1969"/>
      <c r="U89" s="876"/>
      <c r="V89" s="1967"/>
    </row>
    <row r="90" spans="1:22">
      <c r="A90" s="259" t="str">
        <f t="shared" si="0"/>
        <v/>
      </c>
      <c r="B90" s="21"/>
      <c r="C90" s="24" t="str">
        <f t="shared" si="23"/>
        <v/>
      </c>
      <c r="D90" s="2464" t="str">
        <f t="shared" si="15"/>
        <v/>
      </c>
      <c r="E90" s="434" t="str">
        <f t="shared" si="16"/>
        <v/>
      </c>
      <c r="F90" s="434" t="str">
        <f>IF(B90&lt;&gt;"",VLOOKUP(VLOOKUP(B90,dist_assets,2,FALSE),'Distributed Assets'!$C$7:$F$22,4,FALSE),"")</f>
        <v/>
      </c>
      <c r="G90" s="434" t="str">
        <f t="shared" si="17"/>
        <v/>
      </c>
      <c r="H90" s="25"/>
      <c r="I90" s="3047" t="str">
        <f t="array" ref="I90">IF($H90&lt;&gt;"",
         INDEX('BOM FUNCTIONS'!$Y$6:$AC$669,MATCH(IP!$M90&amp;IP!$O90,'BOM FUNCTIONS'!$Y$6:$Y$669&amp;'BOM FUNCTIONS'!$Z$6:$Z$669,0),5),"")</f>
        <v/>
      </c>
      <c r="J90" s="2047" t="str">
        <f t="array" ref="J90">IF($H90&lt;&gt;"",
         INDEX('BOM FUNCTIONS'!$Y$6:$AD$669,MATCH(IP!$M90&amp;IP!$O90,'BOM FUNCTIONS'!$Y$6:$Y$669&amp;'BOM FUNCTIONS'!$Z$6:$Z$669,0),6),"")</f>
        <v/>
      </c>
      <c r="K90" s="2632" t="str">
        <f t="shared" si="18"/>
        <v/>
      </c>
      <c r="L90" s="2008" t="str">
        <f t="shared" si="20"/>
        <v/>
      </c>
      <c r="M90" s="446" t="str">
        <f t="shared" si="19"/>
        <v/>
      </c>
      <c r="N90" s="479"/>
      <c r="O90" s="436" t="str">
        <f t="shared" si="21"/>
        <v/>
      </c>
      <c r="P90" s="3049" t="str">
        <f t="array" ref="P90">IF($H90&lt;&gt;"",
         INDEX('BOM FUNCTIONS'!$Y$6:$AA$669,MATCH(IP!$M90&amp;IP!$O90,'BOM FUNCTIONS'!$Y$6:$Y$669&amp;'BOM FUNCTIONS'!$Z$6:$Z$669,0),3),"")</f>
        <v/>
      </c>
      <c r="Q90" s="2717"/>
      <c r="R90" s="849" t="str">
        <f>IF(B90&lt;&gt;"",
               IF(VLOOKUP($K90,DNS!$C$5:$I$54,6,FALSE)="No","No",
                    IF(AND($F90 = "Test 2.0", P90 &gt; 1715,$P90 &lt;1728),"Yes",
                     IF(AND($F90 ="Prod 2.0", P90 &gt; 2715, $P90 &lt; 2728), "Yes",
                          IF(OR(AND($F90 ="Prod F.W.", $P90 &gt; 3015, $P90&lt;3020,),AND($F90 ="Prod F.W.", $P90=3036)), "Yes","No")))),"")</f>
        <v/>
      </c>
      <c r="S90" s="2" t="str">
        <f t="shared" si="22"/>
        <v/>
      </c>
      <c r="T90" s="1969"/>
      <c r="U90" s="876"/>
      <c r="V90" s="1967"/>
    </row>
    <row r="91" spans="1:22">
      <c r="A91" s="259" t="str">
        <f t="shared" si="0"/>
        <v/>
      </c>
      <c r="B91" s="21"/>
      <c r="C91" s="24" t="str">
        <f t="shared" si="23"/>
        <v/>
      </c>
      <c r="D91" s="2464" t="str">
        <f t="shared" si="15"/>
        <v/>
      </c>
      <c r="E91" s="434" t="str">
        <f t="shared" si="16"/>
        <v/>
      </c>
      <c r="F91" s="434" t="str">
        <f>IF(B91&lt;&gt;"",VLOOKUP(VLOOKUP(B91,dist_assets,2,FALSE),'Distributed Assets'!$C$7:$F$22,4,FALSE),"")</f>
        <v/>
      </c>
      <c r="G91" s="434" t="str">
        <f t="shared" si="17"/>
        <v/>
      </c>
      <c r="H91" s="25"/>
      <c r="I91" s="3047" t="str">
        <f t="array" ref="I91">IF($H91&lt;&gt;"",
         INDEX('BOM FUNCTIONS'!$Y$6:$AC$669,MATCH(IP!$M91&amp;IP!$O91,'BOM FUNCTIONS'!$Y$6:$Y$669&amp;'BOM FUNCTIONS'!$Z$6:$Z$669,0),5),"")</f>
        <v/>
      </c>
      <c r="J91" s="2047" t="str">
        <f t="array" ref="J91">IF($H91&lt;&gt;"",
         INDEX('BOM FUNCTIONS'!$Y$6:$AD$669,MATCH(IP!$M91&amp;IP!$O91,'BOM FUNCTIONS'!$Y$6:$Y$669&amp;'BOM FUNCTIONS'!$Z$6:$Z$669,0),6),"")</f>
        <v/>
      </c>
      <c r="K91" s="2632" t="str">
        <f t="shared" si="18"/>
        <v/>
      </c>
      <c r="L91" s="2008" t="str">
        <f t="shared" si="20"/>
        <v/>
      </c>
      <c r="M91" s="446" t="str">
        <f t="shared" si="19"/>
        <v/>
      </c>
      <c r="N91" s="479"/>
      <c r="O91" s="436" t="str">
        <f t="shared" si="21"/>
        <v/>
      </c>
      <c r="P91" s="3049" t="str">
        <f t="array" ref="P91">IF($H91&lt;&gt;"",
         INDEX('BOM FUNCTIONS'!$Y$6:$AA$669,MATCH(IP!$M91&amp;IP!$O91,'BOM FUNCTIONS'!$Y$6:$Y$669&amp;'BOM FUNCTIONS'!$Z$6:$Z$669,0),3),"")</f>
        <v/>
      </c>
      <c r="Q91" s="2717"/>
      <c r="R91" s="849" t="str">
        <f>IF(B91&lt;&gt;"",
               IF(VLOOKUP($K91,DNS!$C$5:$I$54,6,FALSE)="No","No",
                    IF(AND($F91 = "Test 2.0", P91 &gt; 1715,$P91 &lt;1728),"Yes",
                     IF(AND($F91 ="Prod 2.0", P91 &gt; 2715, $P91 &lt; 2728), "Yes",
                          IF(OR(AND($F91 ="Prod F.W.", $P91 &gt; 3015, $P91&lt;3020,),AND($F91 ="Prod F.W.", $P91=3036)), "Yes","No")))),"")</f>
        <v/>
      </c>
      <c r="S91" s="2" t="str">
        <f t="shared" si="22"/>
        <v/>
      </c>
      <c r="T91" s="1969"/>
      <c r="U91" s="876"/>
      <c r="V91" s="1967"/>
    </row>
    <row r="92" spans="1:22">
      <c r="A92" s="259" t="str">
        <f t="shared" si="0"/>
        <v/>
      </c>
      <c r="B92" s="21"/>
      <c r="C92" s="24" t="str">
        <f t="shared" si="23"/>
        <v/>
      </c>
      <c r="D92" s="2464" t="str">
        <f t="shared" si="15"/>
        <v/>
      </c>
      <c r="E92" s="434" t="str">
        <f t="shared" si="16"/>
        <v/>
      </c>
      <c r="F92" s="434" t="str">
        <f>IF(B92&lt;&gt;"",VLOOKUP(VLOOKUP(B92,dist_assets,2,FALSE),'Distributed Assets'!$C$7:$F$22,4,FALSE),"")</f>
        <v/>
      </c>
      <c r="G92" s="434" t="str">
        <f t="shared" si="17"/>
        <v/>
      </c>
      <c r="H92" s="25"/>
      <c r="I92" s="3047" t="str">
        <f t="array" ref="I92">IF($H92&lt;&gt;"",
         INDEX('BOM FUNCTIONS'!$Y$6:$AC$669,MATCH(IP!$M92&amp;IP!$O92,'BOM FUNCTIONS'!$Y$6:$Y$669&amp;'BOM FUNCTIONS'!$Z$6:$Z$669,0),5),"")</f>
        <v/>
      </c>
      <c r="J92" s="2047" t="str">
        <f t="array" ref="J92">IF($H92&lt;&gt;"",
         INDEX('BOM FUNCTIONS'!$Y$6:$AD$669,MATCH(IP!$M92&amp;IP!$O92,'BOM FUNCTIONS'!$Y$6:$Y$669&amp;'BOM FUNCTIONS'!$Z$6:$Z$669,0),6),"")</f>
        <v/>
      </c>
      <c r="K92" s="2632" t="str">
        <f t="shared" si="18"/>
        <v/>
      </c>
      <c r="L92" s="2008" t="str">
        <f t="shared" si="20"/>
        <v/>
      </c>
      <c r="M92" s="446" t="str">
        <f t="shared" si="19"/>
        <v/>
      </c>
      <c r="N92" s="479"/>
      <c r="O92" s="436" t="str">
        <f t="shared" si="21"/>
        <v/>
      </c>
      <c r="P92" s="3049" t="str">
        <f t="array" ref="P92">IF($H92&lt;&gt;"",
         INDEX('BOM FUNCTIONS'!$Y$6:$AA$669,MATCH(IP!$M92&amp;IP!$O92,'BOM FUNCTIONS'!$Y$6:$Y$669&amp;'BOM FUNCTIONS'!$Z$6:$Z$669,0),3),"")</f>
        <v/>
      </c>
      <c r="Q92" s="2717"/>
      <c r="R92" s="849" t="str">
        <f>IF(B92&lt;&gt;"",
               IF(VLOOKUP($K92,DNS!$C$5:$I$54,6,FALSE)="No","No",
                    IF(AND($F92 = "Test 2.0", P92 &gt; 1715,$P92 &lt;1728),"Yes",
                     IF(AND($F92 ="Prod 2.0", P92 &gt; 2715, $P92 &lt; 2728), "Yes",
                          IF(OR(AND($F92 ="Prod F.W.", $P92 &gt; 3015, $P92&lt;3020,),AND($F92 ="Prod F.W.", $P92=3036)), "Yes","No")))),"")</f>
        <v/>
      </c>
      <c r="S92" s="2" t="str">
        <f t="shared" si="22"/>
        <v/>
      </c>
      <c r="T92" s="1969"/>
      <c r="U92" s="876"/>
      <c r="V92" s="1967"/>
    </row>
    <row r="93" spans="1:22">
      <c r="A93" s="259" t="str">
        <f t="shared" si="0"/>
        <v/>
      </c>
      <c r="B93" s="21"/>
      <c r="C93" s="24" t="str">
        <f t="shared" si="23"/>
        <v/>
      </c>
      <c r="D93" s="2464" t="str">
        <f t="shared" si="15"/>
        <v/>
      </c>
      <c r="E93" s="434" t="str">
        <f t="shared" si="16"/>
        <v/>
      </c>
      <c r="F93" s="434" t="str">
        <f>IF(B93&lt;&gt;"",VLOOKUP(VLOOKUP(B93,dist_assets,2,FALSE),'Distributed Assets'!$C$7:$F$22,4,FALSE),"")</f>
        <v/>
      </c>
      <c r="G93" s="434" t="str">
        <f t="shared" si="17"/>
        <v/>
      </c>
      <c r="H93" s="25"/>
      <c r="I93" s="3047" t="str">
        <f t="array" ref="I93">IF($H93&lt;&gt;"",
         INDEX('BOM FUNCTIONS'!$Y$6:$AC$669,MATCH(IP!$M93&amp;IP!$O93,'BOM FUNCTIONS'!$Y$6:$Y$669&amp;'BOM FUNCTIONS'!$Z$6:$Z$669,0),5),"")</f>
        <v/>
      </c>
      <c r="J93" s="2047" t="str">
        <f t="array" ref="J93">IF($H93&lt;&gt;"",
         INDEX('BOM FUNCTIONS'!$Y$6:$AD$669,MATCH(IP!$M93&amp;IP!$O93,'BOM FUNCTIONS'!$Y$6:$Y$669&amp;'BOM FUNCTIONS'!$Z$6:$Z$669,0),6),"")</f>
        <v/>
      </c>
      <c r="K93" s="2632" t="str">
        <f t="shared" si="18"/>
        <v/>
      </c>
      <c r="L93" s="2008" t="str">
        <f t="shared" si="20"/>
        <v/>
      </c>
      <c r="M93" s="446" t="str">
        <f t="shared" si="19"/>
        <v/>
      </c>
      <c r="N93" s="479"/>
      <c r="O93" s="436" t="str">
        <f t="shared" si="21"/>
        <v/>
      </c>
      <c r="P93" s="3049" t="str">
        <f t="array" ref="P93">IF($H93&lt;&gt;"",
         INDEX('BOM FUNCTIONS'!$Y$6:$AA$669,MATCH(IP!$M93&amp;IP!$O93,'BOM FUNCTIONS'!$Y$6:$Y$669&amp;'BOM FUNCTIONS'!$Z$6:$Z$669,0),3),"")</f>
        <v/>
      </c>
      <c r="Q93" s="2717"/>
      <c r="R93" s="849" t="str">
        <f>IF(B93&lt;&gt;"",
               IF(VLOOKUP($K93,DNS!$C$5:$I$54,6,FALSE)="No","No",
                    IF(AND($F93 = "Test 2.0", P93 &gt; 1715,$P93 &lt;1728),"Yes",
                     IF(AND($F93 ="Prod 2.0", P93 &gt; 2715, $P93 &lt; 2728), "Yes",
                          IF(OR(AND($F93 ="Prod F.W.", $P93 &gt; 3015, $P93&lt;3020,),AND($F93 ="Prod F.W.", $P93=3036)), "Yes","No")))),"")</f>
        <v/>
      </c>
      <c r="S93" s="2" t="str">
        <f t="shared" si="22"/>
        <v/>
      </c>
      <c r="T93" s="1969"/>
      <c r="U93" s="876"/>
      <c r="V93" s="1967"/>
    </row>
    <row r="94" spans="1:22">
      <c r="A94" s="259" t="str">
        <f t="shared" si="0"/>
        <v/>
      </c>
      <c r="B94" s="21"/>
      <c r="C94" s="24" t="str">
        <f t="shared" ref="C94:C153" si="24">IF(B94&lt;&gt;"",IF(B94=B93,C93+1,1),"")</f>
        <v/>
      </c>
      <c r="D94" s="2464" t="str">
        <f t="shared" si="15"/>
        <v/>
      </c>
      <c r="E94" s="434" t="str">
        <f t="shared" si="16"/>
        <v/>
      </c>
      <c r="F94" s="434" t="str">
        <f>IF(B94&lt;&gt;"",VLOOKUP(VLOOKUP(B94,dist_assets,2,FALSE),'Distributed Assets'!$C$7:$F$22,4,FALSE),"")</f>
        <v/>
      </c>
      <c r="G94" s="434" t="str">
        <f t="shared" si="17"/>
        <v/>
      </c>
      <c r="H94" s="25"/>
      <c r="I94" s="3047" t="str">
        <f t="array" ref="I94">IF($H94&lt;&gt;"",
         INDEX('BOM FUNCTIONS'!$Y$6:$AC$669,MATCH(IP!$M94&amp;IP!$O94,'BOM FUNCTIONS'!$Y$6:$Y$669&amp;'BOM FUNCTIONS'!$Z$6:$Z$669,0),5),"")</f>
        <v/>
      </c>
      <c r="J94" s="2047" t="str">
        <f t="array" ref="J94">IF($H94&lt;&gt;"",
         INDEX('BOM FUNCTIONS'!$Y$6:$AD$669,MATCH(IP!$M94&amp;IP!$O94,'BOM FUNCTIONS'!$Y$6:$Y$669&amp;'BOM FUNCTIONS'!$Z$6:$Z$669,0),6),"")</f>
        <v/>
      </c>
      <c r="K94" s="2632" t="str">
        <f t="shared" si="18"/>
        <v/>
      </c>
      <c r="L94" s="2008" t="str">
        <f t="shared" si="20"/>
        <v/>
      </c>
      <c r="M94" s="446" t="str">
        <f t="shared" si="19"/>
        <v/>
      </c>
      <c r="N94" s="479"/>
      <c r="O94" s="436" t="str">
        <f t="shared" ref="O94:O153" si="25">IF(H94&lt;&gt;"",F94&amp;"-"&amp;H94&amp;"-"&amp;G94,"")</f>
        <v/>
      </c>
      <c r="P94" s="3049" t="str">
        <f t="array" ref="P94">IF($H94&lt;&gt;"",
         INDEX('BOM FUNCTIONS'!$Y$6:$AA$669,MATCH(IP!$M94&amp;IP!$O94,'BOM FUNCTIONS'!$Y$6:$Y$669&amp;'BOM FUNCTIONS'!$Z$6:$Z$669,0),3),"")</f>
        <v/>
      </c>
      <c r="Q94" s="2717"/>
      <c r="R94" s="849" t="str">
        <f>IF(B94&lt;&gt;"",
               IF(VLOOKUP($K94,DNS!$C$5:$I$54,6,FALSE)="No","No",
                    IF(AND($F94 = "Test 2.0", P94 &gt; 1715,$P94 &lt;1728),"Yes",
                     IF(AND($F94 ="Prod 2.0", P94 &gt; 2715, $P94 &lt; 2728), "Yes",
                          IF(OR(AND($F94 ="Prod F.W.", $P94 &gt; 3015, $P94&lt;3020,),AND($F94 ="Prod F.W.", $P94=3036)), "Yes","No")))),"")</f>
        <v/>
      </c>
      <c r="S94" s="2" t="str">
        <f t="shared" si="22"/>
        <v/>
      </c>
      <c r="T94" s="1969"/>
      <c r="U94" s="876"/>
      <c r="V94" s="1967"/>
    </row>
    <row r="95" spans="1:22">
      <c r="A95" s="259" t="str">
        <f t="shared" ref="A95:A153" si="26">IF($B95&lt;&gt;"",$B95&amp;"  (IP"&amp;TEXT($C95,"00")&amp;")","")</f>
        <v/>
      </c>
      <c r="B95" s="21"/>
      <c r="C95" s="24" t="str">
        <f t="shared" si="24"/>
        <v/>
      </c>
      <c r="D95" s="2464" t="str">
        <f t="shared" si="15"/>
        <v/>
      </c>
      <c r="E95" s="434" t="str">
        <f t="shared" si="16"/>
        <v/>
      </c>
      <c r="F95" s="434" t="str">
        <f>IF(B95&lt;&gt;"",VLOOKUP(VLOOKUP(B95,dist_assets,2,FALSE),'Distributed Assets'!$C$7:$F$22,4,FALSE),"")</f>
        <v/>
      </c>
      <c r="G95" s="434" t="str">
        <f t="shared" si="17"/>
        <v/>
      </c>
      <c r="H95" s="25"/>
      <c r="I95" s="3047" t="str">
        <f t="array" ref="I95">IF($H95&lt;&gt;"",
         INDEX('BOM FUNCTIONS'!$Y$6:$AC$669,MATCH(IP!$M95&amp;IP!$O95,'BOM FUNCTIONS'!$Y$6:$Y$669&amp;'BOM FUNCTIONS'!$Z$6:$Z$669,0),5),"")</f>
        <v/>
      </c>
      <c r="J95" s="2047" t="str">
        <f t="array" ref="J95">IF($H95&lt;&gt;"",
         INDEX('BOM FUNCTIONS'!$Y$6:$AD$669,MATCH(IP!$M95&amp;IP!$O95,'BOM FUNCTIONS'!$Y$6:$Y$669&amp;'BOM FUNCTIONS'!$Z$6:$Z$669,0),6),"")</f>
        <v/>
      </c>
      <c r="K95" s="2632" t="str">
        <f t="shared" si="18"/>
        <v/>
      </c>
      <c r="L95" s="2008" t="str">
        <f t="shared" si="20"/>
        <v/>
      </c>
      <c r="M95" s="446" t="str">
        <f t="shared" si="19"/>
        <v/>
      </c>
      <c r="N95" s="479"/>
      <c r="O95" s="436" t="str">
        <f t="shared" si="25"/>
        <v/>
      </c>
      <c r="P95" s="3049" t="str">
        <f t="array" ref="P95">IF($H95&lt;&gt;"",
         INDEX('BOM FUNCTIONS'!$Y$6:$AA$669,MATCH(IP!$M95&amp;IP!$O95,'BOM FUNCTIONS'!$Y$6:$Y$669&amp;'BOM FUNCTIONS'!$Z$6:$Z$669,0),3),"")</f>
        <v/>
      </c>
      <c r="Q95" s="2717"/>
      <c r="R95" s="849" t="str">
        <f>IF(B95&lt;&gt;"",
               IF(VLOOKUP($K95,DNS!$C$5:$I$54,6,FALSE)="No","No",
                    IF(AND($F95 = "Test 2.0", P95 &gt; 1715,$P95 &lt;1728),"Yes",
                     IF(AND($F95 ="Prod 2.0", P95 &gt; 2715, $P95 &lt; 2728), "Yes",
                          IF(OR(AND($F95 ="Prod F.W.", $P95 &gt; 3015, $P95&lt;3020,),AND($F95 ="Prod F.W.", $P95=3036)), "Yes","No")))),"")</f>
        <v/>
      </c>
      <c r="S95" s="2" t="str">
        <f t="shared" si="22"/>
        <v/>
      </c>
      <c r="T95" s="1969"/>
      <c r="U95" s="876"/>
      <c r="V95" s="1967"/>
    </row>
    <row r="96" spans="1:22">
      <c r="A96" s="259" t="str">
        <f t="shared" si="26"/>
        <v/>
      </c>
      <c r="B96" s="21"/>
      <c r="C96" s="24" t="str">
        <f t="shared" si="24"/>
        <v/>
      </c>
      <c r="D96" s="2464" t="str">
        <f t="shared" si="15"/>
        <v/>
      </c>
      <c r="E96" s="434" t="str">
        <f t="shared" si="16"/>
        <v/>
      </c>
      <c r="F96" s="434" t="str">
        <f>IF(B96&lt;&gt;"",VLOOKUP(VLOOKUP(B96,dist_assets,2,FALSE),'Distributed Assets'!$C$7:$F$22,4,FALSE),"")</f>
        <v/>
      </c>
      <c r="G96" s="434" t="str">
        <f t="shared" si="17"/>
        <v/>
      </c>
      <c r="H96" s="25"/>
      <c r="I96" s="3047" t="str">
        <f t="array" ref="I96">IF($H96&lt;&gt;"",
         INDEX('BOM FUNCTIONS'!$Y$6:$AC$669,MATCH(IP!$M96&amp;IP!$O96,'BOM FUNCTIONS'!$Y$6:$Y$669&amp;'BOM FUNCTIONS'!$Z$6:$Z$669,0),5),"")</f>
        <v/>
      </c>
      <c r="J96" s="2047" t="str">
        <f t="array" ref="J96">IF($H96&lt;&gt;"",
         INDEX('BOM FUNCTIONS'!$Y$6:$AD$669,MATCH(IP!$M96&amp;IP!$O96,'BOM FUNCTIONS'!$Y$6:$Y$669&amp;'BOM FUNCTIONS'!$Z$6:$Z$669,0),6),"")</f>
        <v/>
      </c>
      <c r="K96" s="2632" t="str">
        <f t="shared" si="18"/>
        <v/>
      </c>
      <c r="L96" s="2008" t="str">
        <f t="shared" si="20"/>
        <v/>
      </c>
      <c r="M96" s="446" t="str">
        <f t="shared" si="19"/>
        <v/>
      </c>
      <c r="N96" s="479"/>
      <c r="O96" s="436" t="str">
        <f t="shared" si="25"/>
        <v/>
      </c>
      <c r="P96" s="3049" t="str">
        <f t="array" ref="P96">IF($H96&lt;&gt;"",
         INDEX('BOM FUNCTIONS'!$Y$6:$AA$669,MATCH(IP!$M96&amp;IP!$O96,'BOM FUNCTIONS'!$Y$6:$Y$669&amp;'BOM FUNCTIONS'!$Z$6:$Z$669,0),3),"")</f>
        <v/>
      </c>
      <c r="Q96" s="2717"/>
      <c r="R96" s="849" t="str">
        <f>IF(B96&lt;&gt;"",
               IF(VLOOKUP($K96,DNS!$C$5:$I$54,6,FALSE)="No","No",
                    IF(AND($F96 = "Test 2.0", P96 &gt; 1715,$P96 &lt;1728),"Yes",
                     IF(AND($F96 ="Prod 2.0", P96 &gt; 2715, $P96 &lt; 2728), "Yes",
                          IF(OR(AND($F96 ="Prod F.W.", $P96 &gt; 3015, $P96&lt;3020,),AND($F96 ="Prod F.W.", $P96=3036)), "Yes","No")))),"")</f>
        <v/>
      </c>
      <c r="S96" s="2" t="str">
        <f t="shared" si="22"/>
        <v/>
      </c>
      <c r="T96" s="1969"/>
      <c r="U96" s="876"/>
      <c r="V96" s="1967"/>
    </row>
    <row r="97" spans="1:22">
      <c r="A97" s="259" t="str">
        <f t="shared" si="26"/>
        <v/>
      </c>
      <c r="B97" s="21"/>
      <c r="C97" s="24" t="str">
        <f t="shared" si="24"/>
        <v/>
      </c>
      <c r="D97" s="2464" t="str">
        <f t="shared" si="15"/>
        <v/>
      </c>
      <c r="E97" s="434" t="str">
        <f t="shared" si="16"/>
        <v/>
      </c>
      <c r="F97" s="434" t="str">
        <f>IF(B97&lt;&gt;"",VLOOKUP(VLOOKUP(B97,dist_assets,2,FALSE),'Distributed Assets'!$C$7:$F$22,4,FALSE),"")</f>
        <v/>
      </c>
      <c r="G97" s="434" t="str">
        <f t="shared" si="17"/>
        <v/>
      </c>
      <c r="H97" s="25"/>
      <c r="I97" s="3047" t="str">
        <f t="array" ref="I97">IF($H97&lt;&gt;"",
         INDEX('BOM FUNCTIONS'!$Y$6:$AC$669,MATCH(IP!$M97&amp;IP!$O97,'BOM FUNCTIONS'!$Y$6:$Y$669&amp;'BOM FUNCTIONS'!$Z$6:$Z$669,0),5),"")</f>
        <v/>
      </c>
      <c r="J97" s="2047" t="str">
        <f t="array" ref="J97">IF($H97&lt;&gt;"",
         INDEX('BOM FUNCTIONS'!$Y$6:$AD$669,MATCH(IP!$M97&amp;IP!$O97,'BOM FUNCTIONS'!$Y$6:$Y$669&amp;'BOM FUNCTIONS'!$Z$6:$Z$669,0),6),"")</f>
        <v/>
      </c>
      <c r="K97" s="2632" t="str">
        <f t="shared" si="18"/>
        <v/>
      </c>
      <c r="L97" s="2008" t="str">
        <f t="shared" si="20"/>
        <v/>
      </c>
      <c r="M97" s="446" t="str">
        <f t="shared" si="19"/>
        <v/>
      </c>
      <c r="N97" s="479"/>
      <c r="O97" s="436" t="str">
        <f t="shared" si="25"/>
        <v/>
      </c>
      <c r="P97" s="3049" t="str">
        <f t="array" ref="P97">IF($H97&lt;&gt;"",
         INDEX('BOM FUNCTIONS'!$Y$6:$AA$669,MATCH(IP!$M97&amp;IP!$O97,'BOM FUNCTIONS'!$Y$6:$Y$669&amp;'BOM FUNCTIONS'!$Z$6:$Z$669,0),3),"")</f>
        <v/>
      </c>
      <c r="Q97" s="2717"/>
      <c r="R97" s="849" t="str">
        <f>IF(B97&lt;&gt;"",
               IF(VLOOKUP($K97,DNS!$C$5:$I$54,6,FALSE)="No","No",
                    IF(AND($F97 = "Test 2.0", P97 &gt; 1715,$P97 &lt;1728),"Yes",
                     IF(AND($F97 ="Prod 2.0", P97 &gt; 2715, $P97 &lt; 2728), "Yes",
                          IF(OR(AND($F97 ="Prod F.W.", $P97 &gt; 3015, $P97&lt;3020,),AND($F97 ="Prod F.W.", $P97=3036)), "Yes","No")))),"")</f>
        <v/>
      </c>
      <c r="S97" s="2" t="str">
        <f t="shared" si="22"/>
        <v/>
      </c>
      <c r="T97" s="1969"/>
      <c r="U97" s="876"/>
      <c r="V97" s="1967"/>
    </row>
    <row r="98" spans="1:22">
      <c r="A98" s="259" t="str">
        <f t="shared" si="26"/>
        <v/>
      </c>
      <c r="B98" s="21"/>
      <c r="C98" s="24" t="str">
        <f t="shared" si="24"/>
        <v/>
      </c>
      <c r="D98" s="2464" t="str">
        <f t="shared" si="15"/>
        <v/>
      </c>
      <c r="E98" s="434" t="str">
        <f t="shared" si="16"/>
        <v/>
      </c>
      <c r="F98" s="434" t="str">
        <f>IF(B98&lt;&gt;"",VLOOKUP(VLOOKUP(B98,dist_assets,2,FALSE),'Distributed Assets'!$C$7:$F$22,4,FALSE),"")</f>
        <v/>
      </c>
      <c r="G98" s="434" t="str">
        <f t="shared" si="17"/>
        <v/>
      </c>
      <c r="H98" s="25"/>
      <c r="I98" s="3047" t="str">
        <f t="array" ref="I98">IF($H98&lt;&gt;"",
         INDEX('BOM FUNCTIONS'!$Y$6:$AC$669,MATCH(IP!$M98&amp;IP!$O98,'BOM FUNCTIONS'!$Y$6:$Y$669&amp;'BOM FUNCTIONS'!$Z$6:$Z$669,0),5),"")</f>
        <v/>
      </c>
      <c r="J98" s="2047" t="str">
        <f t="array" ref="J98">IF($H98&lt;&gt;"",
         INDEX('BOM FUNCTIONS'!$Y$6:$AD$669,MATCH(IP!$M98&amp;IP!$O98,'BOM FUNCTIONS'!$Y$6:$Y$669&amp;'BOM FUNCTIONS'!$Z$6:$Z$669,0),6),"")</f>
        <v/>
      </c>
      <c r="K98" s="2632" t="str">
        <f t="shared" si="18"/>
        <v/>
      </c>
      <c r="L98" s="2008" t="str">
        <f t="shared" si="20"/>
        <v/>
      </c>
      <c r="M98" s="446" t="str">
        <f t="shared" si="19"/>
        <v/>
      </c>
      <c r="N98" s="479"/>
      <c r="O98" s="436" t="str">
        <f t="shared" si="25"/>
        <v/>
      </c>
      <c r="P98" s="3049" t="str">
        <f t="array" ref="P98">IF($H98&lt;&gt;"",
         INDEX('BOM FUNCTIONS'!$Y$6:$AA$669,MATCH(IP!$M98&amp;IP!$O98,'BOM FUNCTIONS'!$Y$6:$Y$669&amp;'BOM FUNCTIONS'!$Z$6:$Z$669,0),3),"")</f>
        <v/>
      </c>
      <c r="Q98" s="2717"/>
      <c r="R98" s="849" t="str">
        <f>IF(B98&lt;&gt;"",
               IF(VLOOKUP($K98,DNS!$C$5:$I$54,6,FALSE)="No","No",
                    IF(AND($F98 = "Test 2.0", P98 &gt; 1715,$P98 &lt;1728),"Yes",
                     IF(AND($F98 ="Prod 2.0", P98 &gt; 2715, $P98 &lt; 2728), "Yes",
                          IF(OR(AND($F98 ="Prod F.W.", $P98 &gt; 3015, $P98&lt;3020,),AND($F98 ="Prod F.W.", $P98=3036)), "Yes","No")))),"")</f>
        <v/>
      </c>
      <c r="S98" s="2" t="str">
        <f t="shared" si="22"/>
        <v/>
      </c>
      <c r="T98" s="1969"/>
      <c r="U98" s="876"/>
      <c r="V98" s="1967"/>
    </row>
    <row r="99" spans="1:22">
      <c r="A99" s="259" t="str">
        <f t="shared" si="26"/>
        <v/>
      </c>
      <c r="B99" s="21"/>
      <c r="C99" s="24" t="str">
        <f t="shared" si="24"/>
        <v/>
      </c>
      <c r="D99" s="2464" t="str">
        <f t="shared" si="15"/>
        <v/>
      </c>
      <c r="E99" s="434" t="str">
        <f t="shared" si="16"/>
        <v/>
      </c>
      <c r="F99" s="434" t="str">
        <f>IF(B99&lt;&gt;"",VLOOKUP(VLOOKUP(B99,dist_assets,2,FALSE),'Distributed Assets'!$C$7:$F$22,4,FALSE),"")</f>
        <v/>
      </c>
      <c r="G99" s="434" t="str">
        <f t="shared" si="17"/>
        <v/>
      </c>
      <c r="H99" s="25"/>
      <c r="I99" s="3047" t="str">
        <f t="array" ref="I99">IF($H99&lt;&gt;"",
         INDEX('BOM FUNCTIONS'!$Y$6:$AC$669,MATCH(IP!$M99&amp;IP!$O99,'BOM FUNCTIONS'!$Y$6:$Y$669&amp;'BOM FUNCTIONS'!$Z$6:$Z$669,0),5),"")</f>
        <v/>
      </c>
      <c r="J99" s="2047" t="str">
        <f t="array" ref="J99">IF($H99&lt;&gt;"",
         INDEX('BOM FUNCTIONS'!$Y$6:$AD$669,MATCH(IP!$M99&amp;IP!$O99,'BOM FUNCTIONS'!$Y$6:$Y$669&amp;'BOM FUNCTIONS'!$Z$6:$Z$669,0),6),"")</f>
        <v/>
      </c>
      <c r="K99" s="2632" t="str">
        <f t="shared" si="18"/>
        <v/>
      </c>
      <c r="L99" s="2008" t="str">
        <f t="shared" si="20"/>
        <v/>
      </c>
      <c r="M99" s="446" t="str">
        <f t="shared" si="19"/>
        <v/>
      </c>
      <c r="N99" s="479"/>
      <c r="O99" s="436" t="str">
        <f t="shared" si="25"/>
        <v/>
      </c>
      <c r="P99" s="3049" t="str">
        <f t="array" ref="P99">IF($H99&lt;&gt;"",
         INDEX('BOM FUNCTIONS'!$Y$6:$AA$669,MATCH(IP!$M99&amp;IP!$O99,'BOM FUNCTIONS'!$Y$6:$Y$669&amp;'BOM FUNCTIONS'!$Z$6:$Z$669,0),3),"")</f>
        <v/>
      </c>
      <c r="Q99" s="2717"/>
      <c r="R99" s="849" t="str">
        <f>IF(B99&lt;&gt;"",
               IF(VLOOKUP($K99,DNS!$C$5:$I$54,6,FALSE)="No","No",
                    IF(AND($F99 = "Test 2.0", P99 &gt; 1715,$P99 &lt;1728),"Yes",
                     IF(AND($F99 ="Prod 2.0", P99 &gt; 2715, $P99 &lt; 2728), "Yes",
                          IF(OR(AND($F99 ="Prod F.W.", $P99 &gt; 3015, $P99&lt;3020,),AND($F99 ="Prod F.W.", $P99=3036)), "Yes","No")))),"")</f>
        <v/>
      </c>
      <c r="S99" s="2" t="str">
        <f t="shared" si="22"/>
        <v/>
      </c>
      <c r="T99" s="1969"/>
      <c r="U99" s="876"/>
      <c r="V99" s="1967"/>
    </row>
    <row r="100" spans="1:22">
      <c r="A100" s="259" t="str">
        <f t="shared" si="26"/>
        <v/>
      </c>
      <c r="B100" s="21"/>
      <c r="C100" s="24" t="str">
        <f t="shared" si="24"/>
        <v/>
      </c>
      <c r="D100" s="2464" t="str">
        <f t="shared" ref="D100:D131" si="27">IF($B100&lt;&gt;"", IF(AND(LEFT(VLOOKUP($B100,dist_assets,5,FALSE),3)="POD",VLOOKUP($B100,dist_assets,7,FALSE)="IBM DB2 Data Drives"),"Data Drive INFO",
        VLOOKUP($B100,dist_assets,21,FALSE)),"")</f>
        <v/>
      </c>
      <c r="E100" s="434" t="str">
        <f t="shared" si="16"/>
        <v/>
      </c>
      <c r="F100" s="434" t="str">
        <f>IF(B100&lt;&gt;"",VLOOKUP(VLOOKUP(B100,dist_assets,2,FALSE),'Distributed Assets'!$C$7:$F$22,4,FALSE),"")</f>
        <v/>
      </c>
      <c r="G100" s="434" t="str">
        <f t="shared" ref="G100:G131" si="28">IF(B100&lt;&gt;"",VLOOKUP(B100,dist_assets,8,FALSE),"")</f>
        <v/>
      </c>
      <c r="H100" s="25"/>
      <c r="I100" s="3047" t="str">
        <f t="array" ref="I100">IF($H100&lt;&gt;"",
         INDEX('BOM FUNCTIONS'!$Y$6:$AC$669,MATCH(IP!$M100&amp;IP!$O100,'BOM FUNCTIONS'!$Y$6:$Y$669&amp;'BOM FUNCTIONS'!$Z$6:$Z$669,0),5),"")</f>
        <v/>
      </c>
      <c r="J100" s="2047" t="str">
        <f t="array" ref="J100">IF($H100&lt;&gt;"",
         INDEX('BOM FUNCTIONS'!$Y$6:$AD$669,MATCH(IP!$M100&amp;IP!$O100,'BOM FUNCTIONS'!$Y$6:$Y$669&amp;'BOM FUNCTIONS'!$Z$6:$Z$669,0),6),"")</f>
        <v/>
      </c>
      <c r="K100" s="2632" t="str">
        <f t="shared" ref="K100:K131" si="29">IF($B100&lt;&gt;"",
             IF(AND($F100="Dev",$E100="Windows",$H100="Application Interface"),CONCATENATE($D100,".adhcscdev.net"),
               IF(AND($F100="Test 2.0",$E100="Windows",$H100="Application Interface"),CONCATENATE($D100,".adhcsctst.net"),
                IF(AND($F100="Non-Prod (ITC)",$E100="Windows",$H100="Application Interface"),CONCATENATE($D100,".adhcsctst.net"),
                 IF(AND($F100="ALT Prod",$E100="Windows",$H100="Application Interface"),CONCATENATE($D100,".adhcscalt.net"),
                 IF(AND($F100="Prod 2.0",$E100="Windows",$H100="Application Interface"),CONCATENATE($D100,".adhcscint.net"),
                  IF(AND($F100="Prod (ITC)",$E100="Windows",$H100="Application Interface"),CONCATENATE($D100,".adhcscint.net"),
                     IF(AND($F100="Prod F.W.",$E100="Windows",$H100="Application Interface"),CONCATENATE($D100,".adhcscint.net"),
                        IF(AND($F100="Test 2.0",$E100="Windows",$H100="DMZ backup"),CONCATENATE($D100,".dmzbkp.test.hcscint.net"),
                            IF(AND($F100="Prod 2.0",$E100="Windows",$H100="DMZ backup"),CONCATENATE($D100,".dmzbkp.hcscint.net"),
                                 IF(AND($F100="Prod F.W.",$E100="Windows",$H100="DMZ backup"),CONCATENATE($D100,".dmzbkp.hcscint.net"),
             IF(AND($F100="Dev",$E100&lt;&gt;"Windows",$C100=1,$H100="Application Interface"),CONCATENATE($D100,".app.dev.hcscint.net"),
                IF(AND($F100="Test 2.0",$E100&lt;&gt;"Windows",$C100=1,$H100="Application Interface"),CONCATENATE($D100,".app.test.hcscint.net"),
             IF(AND($F100="Non-Prod (ITC)",$E100&lt;&gt;"Windows",$C100=1,$H100="Application Interface"),CONCATENATE($D100,".app.test.hcscint.net"),
             IF(AND($F100="ALT Prod",$E100&lt;&gt;"Windows",$C100=1,$H100="Application Interface"),CONCATENATE($D100,".app.alt.hcscint.net"),
                    IF(AND($F100="Prod 2.0",$E100&lt;&gt;"Windows",$C100=1,$H100="Application Interface"),$D100 &amp;".app.hcscint.net",
                      IF(AND($F100="Prod (ITC)",$E100&lt;&gt;"Windows",$C100=1,$H100="Application Interface"),$D100 &amp;".app.hcscint.net",
                        IF(AND($F100="Prod F.W.",$E100&lt;&gt;"Windows",$C100=1,$H100="Application Interface"),$D100 &amp;".app.hcscint.net",
           IF(AND($F100="Dev",$E100&lt;&gt;"Windows",$C100=1,$H100="Persistent Interface"),$D100 &amp;".app.dev.hcscint.net",
                IF(AND($F100="Test 2.0",$E100&lt;&gt;"Windows",$C100=1,$H100="Persistent Interface"),$D100 &amp;".app.test.hcscint.net",
                    IF(AND($F100="Prod 2.0",$E100&lt;&gt;"Windows",$C100=1,$H100="Persistent Interface"),$D100 &amp;".app.hcscint.net",
                            IF(AND($F100="Prod F.W.",$E100&lt;&gt;"Windows",$C100=1,$H100="Persistent Interface"),$D100 &amp;".app.hcscint.net",
              IF(AND($F100="Dev",$E100&lt;&gt;"Windows",$C100=1,$H100="Application Interface"),SUBSTITUTE(CONCATENATE($D100,".app.dev.hcscint.net"),"p.",".",1),
                IF(AND($F100="Test 2.0",$E100&lt;&gt;"Windows",$C100=2,$H100="Application Interface"),SUBSTITUTE(CONCATENATE($D100,".app.test.hcscint.net"),"p.",".",1),
                    IF(AND($F100="Prod 2.0",$E100&lt;&gt;"Windows",$C100=2,$H100="Application Interface"),SUBSTITUTE(CONCATENATE($D100,".app.hcscint.net"),"p.",".",1),
                        IF(AND($F100="Prod F.W.",$E100&lt;&gt;"Windows",$C100=2,$H100="Application Interface"),SUBSTITUTE(CONCATENATE($D100,".app.hcscint.net"),"p.",".",1),
              IF(AND($F100="Dev",$E100&lt;&gt;"Windows",OR($H100="OOB Interface",$H100="OOB-2 Interface",$H100="OOB-3 Interface")),CONCATENATE($D100,".oob.dev.hcscint.net"),
                IF(AND($F100="Test 2.0",$E100&lt;&gt;"Windows",OR($H100="OOB Interface",$H100="OOB-2 Interface",$H100="OOB-3 Interface")),CONCATENATE($D100,".oob.test.hcscint.net"),
                  IF(AND($F100="Alt Prod",$E100&lt;&gt;"Windows",OR($H100="OOB Interface",$H100="OOB-2 Interface",$H100="OOB-3 Interface")),CONCATENATE($D100,".oob.test.hcscint.net"),
                    IF(AND($F100="Prod 2.0",$E100&lt;&gt;"Windows",OR($H100="OOB Interface",$H100="OOB-2 Interface",$H100="OOB-3 Interface")),CONCATENATE($D100,".oob.hcscint.net"),
                          IF(AND($F100="Prod F.W.",$E100&lt;&gt;"Windows",OR($H100="OOB Interface",$H100="OOB-2 Interface",$H100="OOB-3 Interface")),CONCATENATE($D100,".oob.hcscint.net"),
              IF(AND($F100="Dev",$E100&lt;&gt;"Windows",OR($H100="iLO Interface",$H100="iLO-2 Interface",$H100="iLO-3 Interface", $H100="iLO-4 Interface")),CONCATENATE($D100,"-ilo.oob.dev.hcscint.net"),
                IF(AND($F100="Test 2.0",$E100&lt;&gt;"Windows",OR($H100="iLO Interface",$H100="iLO-2 Interface",$H100="iLO-3 Interface", $H100="iLO-4 Interface")),CONCATENATE($D100,"-ilo.oob.test.hcscint.net"),
                    IF(AND($F100="Prod 2.0",$E100&lt;&gt;"Windows",OR($H100="iLO Interface",$H100="iLO-2 Interface",$H100="iLO-3 Interface", $H100="iLO-4 Interface")),CONCATENATE($D100,"-ilo.oob.hcscint.net"),
                          IF(AND($F100="Prod F.W.",$E100&lt;&gt;"Windows",OR($H100="iLO Interface",$H100="iLO-2 Interface",$H100="iLO-3 Interface", $H100="iLO-4 Interface")),CONCATENATE($D100,"-ilo.oob.hcscint.net"),
                IF(AND($F100="Test 2.0",$E100&lt;&gt;"Windows",$H100="DMZ Backup"),CONCATENATE($D100,".dmzbkp.test.hcscint.net"),
                    IF(AND($F100="Prod 2.0",$E100&lt;&gt;"Windows",$H100="DMZ Backup"),CONCATENATE($D100,".dmzbkp.hcscint.net"),
                           IF(AND($F100="Prod F.W.",$E100&lt;&gt;"Windows",$H100="DMZ Backup"),CONCATENATE($D100,".dmzbkp.hcscint.net"),
 IF(AND($F100="Non-Prod (ITC)",$E100&lt;&gt;"Windows",$H100="ITC Backup"),CONCATENATE($D100,"-1"),
 IF(AND($F100="Prod (ITC)",$E100&lt;&gt;"Windows",$H100="ITC Backup"),CONCATENATE($D100,"-1"),
))))))))))))))))))))))))))))))))))))))),"")</f>
        <v/>
      </c>
      <c r="L100" s="2008" t="str">
        <f t="shared" si="20"/>
        <v/>
      </c>
      <c r="M100" s="446" t="str">
        <f t="shared" ref="M100:M131" si="30">IF($B100&lt;&gt;"",VLOOKUP(VLOOKUP($B100,dist_assets,5,FALSE),location_table,2,FALSE),"")</f>
        <v/>
      </c>
      <c r="N100" s="479"/>
      <c r="O100" s="436" t="str">
        <f t="shared" si="25"/>
        <v/>
      </c>
      <c r="P100" s="3049" t="str">
        <f t="array" ref="P100">IF($H100&lt;&gt;"",
         INDEX('BOM FUNCTIONS'!$Y$6:$AA$669,MATCH(IP!$M100&amp;IP!$O100,'BOM FUNCTIONS'!$Y$6:$Y$669&amp;'BOM FUNCTIONS'!$Z$6:$Z$669,0),3),"")</f>
        <v/>
      </c>
      <c r="Q100" s="2717"/>
      <c r="R100" s="849" t="str">
        <f>IF(B100&lt;&gt;"",
               IF(VLOOKUP($K100,DNS!$C$5:$I$54,6,FALSE)="No","No",
                    IF(AND($F100 = "Test 2.0", P100 &gt; 1715,$P100 &lt;1728),"Yes",
                     IF(AND($F100 ="Prod 2.0", P100 &gt; 2715, $P100 &lt; 2728), "Yes",
                          IF(OR(AND($F100 ="Prod F.W.", $P100 &gt; 3015, $P100&lt;3020,),AND($F100 ="Prod F.W.", $P100=3036)), "Yes","No")))),"")</f>
        <v/>
      </c>
      <c r="S100" s="2" t="str">
        <f t="shared" si="22"/>
        <v/>
      </c>
      <c r="T100" s="1969"/>
      <c r="U100" s="876"/>
      <c r="V100" s="1967"/>
    </row>
    <row r="101" spans="1:22">
      <c r="A101" s="259" t="str">
        <f t="shared" si="26"/>
        <v/>
      </c>
      <c r="B101" s="21"/>
      <c r="C101" s="24" t="str">
        <f t="shared" si="24"/>
        <v/>
      </c>
      <c r="D101" s="2464" t="str">
        <f t="shared" si="27"/>
        <v/>
      </c>
      <c r="E101" s="434" t="str">
        <f t="shared" si="16"/>
        <v/>
      </c>
      <c r="F101" s="434" t="str">
        <f>IF(B101&lt;&gt;"",VLOOKUP(VLOOKUP(B101,dist_assets,2,FALSE),'Distributed Assets'!$C$7:$F$22,4,FALSE),"")</f>
        <v/>
      </c>
      <c r="G101" s="434" t="str">
        <f t="shared" si="28"/>
        <v/>
      </c>
      <c r="H101" s="25"/>
      <c r="I101" s="3047" t="str">
        <f t="array" ref="I101">IF($H101&lt;&gt;"",
         INDEX('BOM FUNCTIONS'!$Y$6:$AC$669,MATCH(IP!$M101&amp;IP!$O101,'BOM FUNCTIONS'!$Y$6:$Y$669&amp;'BOM FUNCTIONS'!$Z$6:$Z$669,0),5),"")</f>
        <v/>
      </c>
      <c r="J101" s="2047" t="str">
        <f t="array" ref="J101">IF($H101&lt;&gt;"",
         INDEX('BOM FUNCTIONS'!$Y$6:$AD$669,MATCH(IP!$M101&amp;IP!$O101,'BOM FUNCTIONS'!$Y$6:$Y$669&amp;'BOM FUNCTIONS'!$Z$6:$Z$669,0),6),"")</f>
        <v/>
      </c>
      <c r="K101" s="2632" t="str">
        <f t="shared" si="29"/>
        <v/>
      </c>
      <c r="L101" s="2008" t="str">
        <f t="shared" si="20"/>
        <v/>
      </c>
      <c r="M101" s="446" t="str">
        <f t="shared" si="30"/>
        <v/>
      </c>
      <c r="N101" s="479"/>
      <c r="O101" s="436" t="str">
        <f t="shared" si="25"/>
        <v/>
      </c>
      <c r="P101" s="3049" t="str">
        <f t="array" ref="P101">IF($H101&lt;&gt;"",
         INDEX('BOM FUNCTIONS'!$Y$6:$AA$669,MATCH(IP!$M101&amp;IP!$O101,'BOM FUNCTIONS'!$Y$6:$Y$669&amp;'BOM FUNCTIONS'!$Z$6:$Z$669,0),3),"")</f>
        <v/>
      </c>
      <c r="Q101" s="2717"/>
      <c r="R101" s="849" t="str">
        <f>IF(B101&lt;&gt;"",
               IF(VLOOKUP($K101,DNS!$C$5:$I$54,6,FALSE)="No","No",
                    IF(AND($F101 = "Test 2.0", P101 &gt; 1715,$P101 &lt;1728),"Yes",
                     IF(AND($F101 ="Prod 2.0", P101 &gt; 2715, $P101 &lt; 2728), "Yes",
                          IF(OR(AND($F101 ="Prod F.W.", $P101 &gt; 3015, $P101&lt;3020,),AND($F101 ="Prod F.W.", $P101=3036)), "Yes","No")))),"")</f>
        <v/>
      </c>
      <c r="S101" s="2" t="str">
        <f t="shared" si="22"/>
        <v/>
      </c>
      <c r="T101" s="1969"/>
      <c r="U101" s="876"/>
      <c r="V101" s="1967"/>
    </row>
    <row r="102" spans="1:22">
      <c r="A102" s="259" t="str">
        <f t="shared" si="26"/>
        <v/>
      </c>
      <c r="B102" s="21"/>
      <c r="C102" s="24" t="str">
        <f t="shared" si="24"/>
        <v/>
      </c>
      <c r="D102" s="2464" t="str">
        <f t="shared" si="27"/>
        <v/>
      </c>
      <c r="E102" s="434" t="str">
        <f t="shared" si="16"/>
        <v/>
      </c>
      <c r="F102" s="434" t="str">
        <f>IF(B102&lt;&gt;"",VLOOKUP(VLOOKUP(B102,dist_assets,2,FALSE),'Distributed Assets'!$C$7:$F$22,4,FALSE),"")</f>
        <v/>
      </c>
      <c r="G102" s="434" t="str">
        <f t="shared" si="28"/>
        <v/>
      </c>
      <c r="H102" s="25"/>
      <c r="I102" s="3047" t="str">
        <f t="array" ref="I102">IF($H102&lt;&gt;"",
         INDEX('BOM FUNCTIONS'!$Y$6:$AC$669,MATCH(IP!$M102&amp;IP!$O102,'BOM FUNCTIONS'!$Y$6:$Y$669&amp;'BOM FUNCTIONS'!$Z$6:$Z$669,0),5),"")</f>
        <v/>
      </c>
      <c r="J102" s="2047" t="str">
        <f t="array" ref="J102">IF($H102&lt;&gt;"",
         INDEX('BOM FUNCTIONS'!$Y$6:$AD$669,MATCH(IP!$M102&amp;IP!$O102,'BOM FUNCTIONS'!$Y$6:$Y$669&amp;'BOM FUNCTIONS'!$Z$6:$Z$669,0),6),"")</f>
        <v/>
      </c>
      <c r="K102" s="2632" t="str">
        <f t="shared" si="29"/>
        <v/>
      </c>
      <c r="L102" s="2008" t="str">
        <f t="shared" si="20"/>
        <v/>
      </c>
      <c r="M102" s="446" t="str">
        <f t="shared" si="30"/>
        <v/>
      </c>
      <c r="N102" s="479"/>
      <c r="O102" s="436" t="str">
        <f t="shared" si="25"/>
        <v/>
      </c>
      <c r="P102" s="3049" t="str">
        <f t="array" ref="P102">IF($H102&lt;&gt;"",
         INDEX('BOM FUNCTIONS'!$Y$6:$AA$669,MATCH(IP!$M102&amp;IP!$O102,'BOM FUNCTIONS'!$Y$6:$Y$669&amp;'BOM FUNCTIONS'!$Z$6:$Z$669,0),3),"")</f>
        <v/>
      </c>
      <c r="Q102" s="2717"/>
      <c r="R102" s="849" t="str">
        <f>IF(B102&lt;&gt;"",
               IF(VLOOKUP($K102,DNS!$C$5:$I$54,6,FALSE)="No","No",
                    IF(AND($F102 = "Test 2.0", P102 &gt; 1715,$P102 &lt;1728),"Yes",
                     IF(AND($F102 ="Prod 2.0", P102 &gt; 2715, $P102 &lt; 2728), "Yes",
                          IF(OR(AND($F102 ="Prod F.W.", $P102 &gt; 3015, $P102&lt;3020,),AND($F102 ="Prod F.W.", $P102=3036)), "Yes","No")))),"")</f>
        <v/>
      </c>
      <c r="S102" s="2" t="str">
        <f t="shared" si="22"/>
        <v/>
      </c>
      <c r="T102" s="1969"/>
      <c r="U102" s="876"/>
      <c r="V102" s="1967"/>
    </row>
    <row r="103" spans="1:22">
      <c r="A103" s="259" t="str">
        <f t="shared" si="26"/>
        <v/>
      </c>
      <c r="B103" s="21"/>
      <c r="C103" s="24" t="str">
        <f t="shared" si="24"/>
        <v/>
      </c>
      <c r="D103" s="2464" t="str">
        <f t="shared" si="27"/>
        <v/>
      </c>
      <c r="E103" s="434" t="str">
        <f t="shared" si="16"/>
        <v/>
      </c>
      <c r="F103" s="434" t="str">
        <f>IF(B103&lt;&gt;"",VLOOKUP(VLOOKUP(B103,dist_assets,2,FALSE),'Distributed Assets'!$C$7:$F$22,4,FALSE),"")</f>
        <v/>
      </c>
      <c r="G103" s="434" t="str">
        <f t="shared" si="28"/>
        <v/>
      </c>
      <c r="H103" s="25"/>
      <c r="I103" s="3047" t="str">
        <f t="array" ref="I103">IF($H103&lt;&gt;"",
         INDEX('BOM FUNCTIONS'!$Y$6:$AC$669,MATCH(IP!$M103&amp;IP!$O103,'BOM FUNCTIONS'!$Y$6:$Y$669&amp;'BOM FUNCTIONS'!$Z$6:$Z$669,0),5),"")</f>
        <v/>
      </c>
      <c r="J103" s="2047" t="str">
        <f t="array" ref="J103">IF($H103&lt;&gt;"",
         INDEX('BOM FUNCTIONS'!$Y$6:$AD$669,MATCH(IP!$M103&amp;IP!$O103,'BOM FUNCTIONS'!$Y$6:$Y$669&amp;'BOM FUNCTIONS'!$Z$6:$Z$669,0),6),"")</f>
        <v/>
      </c>
      <c r="K103" s="2632" t="str">
        <f t="shared" si="29"/>
        <v/>
      </c>
      <c r="L103" s="2008" t="str">
        <f t="shared" si="20"/>
        <v/>
      </c>
      <c r="M103" s="446" t="str">
        <f t="shared" si="30"/>
        <v/>
      </c>
      <c r="N103" s="479"/>
      <c r="O103" s="436" t="str">
        <f t="shared" si="25"/>
        <v/>
      </c>
      <c r="P103" s="3049" t="str">
        <f t="array" ref="P103">IF($H103&lt;&gt;"",
         INDEX('BOM FUNCTIONS'!$Y$6:$AA$669,MATCH(IP!$M103&amp;IP!$O103,'BOM FUNCTIONS'!$Y$6:$Y$669&amp;'BOM FUNCTIONS'!$Z$6:$Z$669,0),3),"")</f>
        <v/>
      </c>
      <c r="Q103" s="2717"/>
      <c r="R103" s="849" t="str">
        <f>IF(B103&lt;&gt;"",
               IF(VLOOKUP($K103,DNS!$C$5:$I$54,6,FALSE)="No","No",
                    IF(AND($F103 = "Test 2.0", P103 &gt; 1715,$P103 &lt;1728),"Yes",
                     IF(AND($F103 ="Prod 2.0", P103 &gt; 2715, $P103 &lt; 2728), "Yes",
                          IF(OR(AND($F103 ="Prod F.W.", $P103 &gt; 3015, $P103&lt;3020,),AND($F103 ="Prod F.W.", $P103=3036)), "Yes","No")))),"")</f>
        <v/>
      </c>
      <c r="S103" s="2" t="str">
        <f t="shared" si="22"/>
        <v/>
      </c>
      <c r="T103" s="1969"/>
      <c r="U103" s="876"/>
      <c r="V103" s="1967"/>
    </row>
    <row r="104" spans="1:22">
      <c r="A104" s="259" t="str">
        <f t="shared" si="26"/>
        <v/>
      </c>
      <c r="B104" s="21"/>
      <c r="C104" s="24" t="str">
        <f t="shared" si="24"/>
        <v/>
      </c>
      <c r="D104" s="2464" t="str">
        <f t="shared" si="27"/>
        <v/>
      </c>
      <c r="E104" s="434" t="str">
        <f t="shared" si="16"/>
        <v/>
      </c>
      <c r="F104" s="434" t="str">
        <f>IF(B104&lt;&gt;"",VLOOKUP(VLOOKUP(B104,dist_assets,2,FALSE),'Distributed Assets'!$C$7:$F$22,4,FALSE),"")</f>
        <v/>
      </c>
      <c r="G104" s="434" t="str">
        <f t="shared" si="28"/>
        <v/>
      </c>
      <c r="H104" s="25"/>
      <c r="I104" s="3047" t="str">
        <f t="array" ref="I104">IF($H104&lt;&gt;"",
         INDEX('BOM FUNCTIONS'!$Y$6:$AC$669,MATCH(IP!$M104&amp;IP!$O104,'BOM FUNCTIONS'!$Y$6:$Y$669&amp;'BOM FUNCTIONS'!$Z$6:$Z$669,0),5),"")</f>
        <v/>
      </c>
      <c r="J104" s="2047" t="str">
        <f t="array" ref="J104">IF($H104&lt;&gt;"",
         INDEX('BOM FUNCTIONS'!$Y$6:$AD$669,MATCH(IP!$M104&amp;IP!$O104,'BOM FUNCTIONS'!$Y$6:$Y$669&amp;'BOM FUNCTIONS'!$Z$6:$Z$669,0),6),"")</f>
        <v/>
      </c>
      <c r="K104" s="2632" t="str">
        <f t="shared" si="29"/>
        <v/>
      </c>
      <c r="L104" s="2008" t="str">
        <f t="shared" si="20"/>
        <v/>
      </c>
      <c r="M104" s="446" t="str">
        <f t="shared" si="30"/>
        <v/>
      </c>
      <c r="N104" s="479"/>
      <c r="O104" s="436" t="str">
        <f t="shared" si="25"/>
        <v/>
      </c>
      <c r="P104" s="3049" t="str">
        <f t="array" ref="P104">IF($H104&lt;&gt;"",
         INDEX('BOM FUNCTIONS'!$Y$6:$AA$669,MATCH(IP!$M104&amp;IP!$O104,'BOM FUNCTIONS'!$Y$6:$Y$669&amp;'BOM FUNCTIONS'!$Z$6:$Z$669,0),3),"")</f>
        <v/>
      </c>
      <c r="Q104" s="2717"/>
      <c r="R104" s="849" t="str">
        <f>IF(B104&lt;&gt;"",
               IF(VLOOKUP($K104,DNS!$C$5:$I$54,6,FALSE)="No","No",
                    IF(AND($F104 = "Test 2.0", P104 &gt; 1715,$P104 &lt;1728),"Yes",
                     IF(AND($F104 ="Prod 2.0", P104 &gt; 2715, $P104 &lt; 2728), "Yes",
                          IF(OR(AND($F104 ="Prod F.W.", $P104 &gt; 3015, $P104&lt;3020,),AND($F104 ="Prod F.W.", $P104=3036)), "Yes","No")))),"")</f>
        <v/>
      </c>
      <c r="S104" s="2" t="str">
        <f t="shared" si="22"/>
        <v/>
      </c>
      <c r="T104" s="1969"/>
      <c r="U104" s="876"/>
      <c r="V104" s="1967"/>
    </row>
    <row r="105" spans="1:22">
      <c r="A105" s="259" t="str">
        <f t="shared" si="26"/>
        <v/>
      </c>
      <c r="B105" s="21"/>
      <c r="C105" s="24" t="str">
        <f t="shared" si="24"/>
        <v/>
      </c>
      <c r="D105" s="2464" t="str">
        <f t="shared" si="27"/>
        <v/>
      </c>
      <c r="E105" s="434" t="str">
        <f t="shared" si="16"/>
        <v/>
      </c>
      <c r="F105" s="434" t="str">
        <f>IF(B105&lt;&gt;"",VLOOKUP(VLOOKUP(B105,dist_assets,2,FALSE),'Distributed Assets'!$C$7:$F$22,4,FALSE),"")</f>
        <v/>
      </c>
      <c r="G105" s="434" t="str">
        <f t="shared" si="28"/>
        <v/>
      </c>
      <c r="H105" s="25"/>
      <c r="I105" s="3047" t="str">
        <f t="array" ref="I105">IF($H105&lt;&gt;"",
         INDEX('BOM FUNCTIONS'!$Y$6:$AC$669,MATCH(IP!$M105&amp;IP!$O105,'BOM FUNCTIONS'!$Y$6:$Y$669&amp;'BOM FUNCTIONS'!$Z$6:$Z$669,0),5),"")</f>
        <v/>
      </c>
      <c r="J105" s="2047" t="str">
        <f t="array" ref="J105">IF($H105&lt;&gt;"",
         INDEX('BOM FUNCTIONS'!$Y$6:$AD$669,MATCH(IP!$M105&amp;IP!$O105,'BOM FUNCTIONS'!$Y$6:$Y$669&amp;'BOM FUNCTIONS'!$Z$6:$Z$669,0),6),"")</f>
        <v/>
      </c>
      <c r="K105" s="2632" t="str">
        <f t="shared" si="29"/>
        <v/>
      </c>
      <c r="L105" s="2008" t="str">
        <f t="shared" si="20"/>
        <v/>
      </c>
      <c r="M105" s="446" t="str">
        <f t="shared" si="30"/>
        <v/>
      </c>
      <c r="N105" s="479"/>
      <c r="O105" s="436" t="str">
        <f t="shared" si="25"/>
        <v/>
      </c>
      <c r="P105" s="3049" t="str">
        <f t="array" ref="P105">IF($H105&lt;&gt;"",
         INDEX('BOM FUNCTIONS'!$Y$6:$AA$669,MATCH(IP!$M105&amp;IP!$O105,'BOM FUNCTIONS'!$Y$6:$Y$669&amp;'BOM FUNCTIONS'!$Z$6:$Z$669,0),3),"")</f>
        <v/>
      </c>
      <c r="Q105" s="2717"/>
      <c r="R105" s="849" t="str">
        <f>IF(B105&lt;&gt;"",
               IF(VLOOKUP($K105,DNS!$C$5:$I$54,6,FALSE)="No","No",
                    IF(AND($F105 = "Test 2.0", P105 &gt; 1715,$P105 &lt;1728),"Yes",
                     IF(AND($F105 ="Prod 2.0", P105 &gt; 2715, $P105 &lt; 2728), "Yes",
                          IF(OR(AND($F105 ="Prod F.W.", $P105 &gt; 3015, $P105&lt;3020,),AND($F105 ="Prod F.W.", $P105=3036)), "Yes","No")))),"")</f>
        <v/>
      </c>
      <c r="S105" s="2" t="str">
        <f t="shared" si="22"/>
        <v/>
      </c>
      <c r="T105" s="1969"/>
      <c r="U105" s="876"/>
      <c r="V105" s="1967"/>
    </row>
    <row r="106" spans="1:22">
      <c r="A106" s="259" t="str">
        <f t="shared" si="26"/>
        <v/>
      </c>
      <c r="B106" s="21"/>
      <c r="C106" s="24" t="str">
        <f t="shared" si="24"/>
        <v/>
      </c>
      <c r="D106" s="2464" t="str">
        <f t="shared" si="27"/>
        <v/>
      </c>
      <c r="E106" s="434" t="str">
        <f t="shared" si="16"/>
        <v/>
      </c>
      <c r="F106" s="434" t="str">
        <f>IF(B106&lt;&gt;"",VLOOKUP(VLOOKUP(B106,dist_assets,2,FALSE),'Distributed Assets'!$C$7:$F$22,4,FALSE),"")</f>
        <v/>
      </c>
      <c r="G106" s="434" t="str">
        <f t="shared" si="28"/>
        <v/>
      </c>
      <c r="H106" s="25"/>
      <c r="I106" s="3047" t="str">
        <f t="array" ref="I106">IF($H106&lt;&gt;"",
         INDEX('BOM FUNCTIONS'!$Y$6:$AC$669,MATCH(IP!$M106&amp;IP!$O106,'BOM FUNCTIONS'!$Y$6:$Y$669&amp;'BOM FUNCTIONS'!$Z$6:$Z$669,0),5),"")</f>
        <v/>
      </c>
      <c r="J106" s="2047" t="str">
        <f t="array" ref="J106">IF($H106&lt;&gt;"",
         INDEX('BOM FUNCTIONS'!$Y$6:$AD$669,MATCH(IP!$M106&amp;IP!$O106,'BOM FUNCTIONS'!$Y$6:$Y$669&amp;'BOM FUNCTIONS'!$Z$6:$Z$669,0),6),"")</f>
        <v/>
      </c>
      <c r="K106" s="2632" t="str">
        <f t="shared" si="29"/>
        <v/>
      </c>
      <c r="L106" s="2008" t="str">
        <f t="shared" si="20"/>
        <v/>
      </c>
      <c r="M106" s="446" t="str">
        <f t="shared" si="30"/>
        <v/>
      </c>
      <c r="N106" s="479"/>
      <c r="O106" s="436" t="str">
        <f t="shared" si="25"/>
        <v/>
      </c>
      <c r="P106" s="3049" t="str">
        <f t="array" ref="P106">IF($H106&lt;&gt;"",
         INDEX('BOM FUNCTIONS'!$Y$6:$AA$669,MATCH(IP!$M106&amp;IP!$O106,'BOM FUNCTIONS'!$Y$6:$Y$669&amp;'BOM FUNCTIONS'!$Z$6:$Z$669,0),3),"")</f>
        <v/>
      </c>
      <c r="Q106" s="2717"/>
      <c r="R106" s="849" t="str">
        <f>IF(B106&lt;&gt;"",
               IF(VLOOKUP($K106,DNS!$C$5:$I$54,6,FALSE)="No","No",
                    IF(AND($F106 = "Test 2.0", P106 &gt; 1715,$P106 &lt;1728),"Yes",
                     IF(AND($F106 ="Prod 2.0", P106 &gt; 2715, $P106 &lt; 2728), "Yes",
                          IF(OR(AND($F106 ="Prod F.W.", $P106 &gt; 3015, $P106&lt;3020,),AND($F106 ="Prod F.W.", $P106=3036)), "Yes","No")))),"")</f>
        <v/>
      </c>
      <c r="S106" s="2" t="str">
        <f t="shared" si="22"/>
        <v/>
      </c>
      <c r="T106" s="1969"/>
      <c r="U106" s="876"/>
      <c r="V106" s="1967"/>
    </row>
    <row r="107" spans="1:22">
      <c r="A107" s="259" t="str">
        <f t="shared" si="26"/>
        <v/>
      </c>
      <c r="B107" s="21"/>
      <c r="C107" s="24" t="str">
        <f t="shared" si="24"/>
        <v/>
      </c>
      <c r="D107" s="2464" t="str">
        <f t="shared" si="27"/>
        <v/>
      </c>
      <c r="E107" s="434" t="str">
        <f t="shared" si="16"/>
        <v/>
      </c>
      <c r="F107" s="434" t="str">
        <f>IF(B107&lt;&gt;"",VLOOKUP(VLOOKUP(B107,dist_assets,2,FALSE),'Distributed Assets'!$C$7:$F$22,4,FALSE),"")</f>
        <v/>
      </c>
      <c r="G107" s="434" t="str">
        <f t="shared" si="28"/>
        <v/>
      </c>
      <c r="H107" s="25"/>
      <c r="I107" s="3047" t="str">
        <f t="array" ref="I107">IF($H107&lt;&gt;"",
         INDEX('BOM FUNCTIONS'!$Y$6:$AC$669,MATCH(IP!$M107&amp;IP!$O107,'BOM FUNCTIONS'!$Y$6:$Y$669&amp;'BOM FUNCTIONS'!$Z$6:$Z$669,0),5),"")</f>
        <v/>
      </c>
      <c r="J107" s="2047" t="str">
        <f t="array" ref="J107">IF($H107&lt;&gt;"",
         INDEX('BOM FUNCTIONS'!$Y$6:$AD$669,MATCH(IP!$M107&amp;IP!$O107,'BOM FUNCTIONS'!$Y$6:$Y$669&amp;'BOM FUNCTIONS'!$Z$6:$Z$669,0),6),"")</f>
        <v/>
      </c>
      <c r="K107" s="2632" t="str">
        <f t="shared" si="29"/>
        <v/>
      </c>
      <c r="L107" s="2008" t="str">
        <f t="shared" si="20"/>
        <v/>
      </c>
      <c r="M107" s="446" t="str">
        <f t="shared" si="30"/>
        <v/>
      </c>
      <c r="N107" s="479"/>
      <c r="O107" s="436" t="str">
        <f t="shared" si="25"/>
        <v/>
      </c>
      <c r="P107" s="3049" t="str">
        <f t="array" ref="P107">IF($H107&lt;&gt;"",
         INDEX('BOM FUNCTIONS'!$Y$6:$AA$669,MATCH(IP!$M107&amp;IP!$O107,'BOM FUNCTIONS'!$Y$6:$Y$669&amp;'BOM FUNCTIONS'!$Z$6:$Z$669,0),3),"")</f>
        <v/>
      </c>
      <c r="Q107" s="2717"/>
      <c r="R107" s="849" t="str">
        <f>IF(B107&lt;&gt;"",
               IF(VLOOKUP($K107,DNS!$C$5:$I$54,6,FALSE)="No","No",
                    IF(AND($F107 = "Test 2.0", P107 &gt; 1715,$P107 &lt;1728),"Yes",
                     IF(AND($F107 ="Prod 2.0", P107 &gt; 2715, $P107 &lt; 2728), "Yes",
                          IF(OR(AND($F107 ="Prod F.W.", $P107 &gt; 3015, $P107&lt;3020,),AND($F107 ="Prod F.W.", $P107=3036)), "Yes","No")))),"")</f>
        <v/>
      </c>
      <c r="S107" s="2" t="str">
        <f t="shared" si="22"/>
        <v/>
      </c>
      <c r="T107" s="1969"/>
      <c r="U107" s="876"/>
      <c r="V107" s="1967"/>
    </row>
    <row r="108" spans="1:22">
      <c r="A108" s="259" t="str">
        <f t="shared" si="26"/>
        <v/>
      </c>
      <c r="B108" s="21"/>
      <c r="C108" s="24" t="str">
        <f t="shared" si="24"/>
        <v/>
      </c>
      <c r="D108" s="2464" t="str">
        <f t="shared" si="27"/>
        <v/>
      </c>
      <c r="E108" s="434" t="str">
        <f t="shared" si="16"/>
        <v/>
      </c>
      <c r="F108" s="434" t="str">
        <f>IF(B108&lt;&gt;"",VLOOKUP(VLOOKUP(B108,dist_assets,2,FALSE),'Distributed Assets'!$C$7:$F$22,4,FALSE),"")</f>
        <v/>
      </c>
      <c r="G108" s="434" t="str">
        <f t="shared" si="28"/>
        <v/>
      </c>
      <c r="H108" s="25"/>
      <c r="I108" s="3047" t="str">
        <f t="array" ref="I108">IF($H108&lt;&gt;"",
         INDEX('BOM FUNCTIONS'!$Y$6:$AC$669,MATCH(IP!$M108&amp;IP!$O108,'BOM FUNCTIONS'!$Y$6:$Y$669&amp;'BOM FUNCTIONS'!$Z$6:$Z$669,0),5),"")</f>
        <v/>
      </c>
      <c r="J108" s="2047" t="str">
        <f t="array" ref="J108">IF($H108&lt;&gt;"",
         INDEX('BOM FUNCTIONS'!$Y$6:$AD$669,MATCH(IP!$M108&amp;IP!$O108,'BOM FUNCTIONS'!$Y$6:$Y$669&amp;'BOM FUNCTIONS'!$Z$6:$Z$669,0),6),"")</f>
        <v/>
      </c>
      <c r="K108" s="2632" t="str">
        <f t="shared" si="29"/>
        <v/>
      </c>
      <c r="L108" s="2008" t="str">
        <f t="shared" si="20"/>
        <v/>
      </c>
      <c r="M108" s="446" t="str">
        <f t="shared" si="30"/>
        <v/>
      </c>
      <c r="N108" s="479"/>
      <c r="O108" s="436" t="str">
        <f t="shared" si="25"/>
        <v/>
      </c>
      <c r="P108" s="3049" t="str">
        <f t="array" ref="P108">IF($H108&lt;&gt;"",
         INDEX('BOM FUNCTIONS'!$Y$6:$AA$669,MATCH(IP!$M108&amp;IP!$O108,'BOM FUNCTIONS'!$Y$6:$Y$669&amp;'BOM FUNCTIONS'!$Z$6:$Z$669,0),3),"")</f>
        <v/>
      </c>
      <c r="Q108" s="2717"/>
      <c r="R108" s="849" t="str">
        <f>IF(B108&lt;&gt;"",
               IF(VLOOKUP($K108,DNS!$C$5:$I$54,6,FALSE)="No","No",
                    IF(AND($F108 = "Test 2.0", P108 &gt; 1715,$P108 &lt;1728),"Yes",
                     IF(AND($F108 ="Prod 2.0", P108 &gt; 2715, $P108 &lt; 2728), "Yes",
                          IF(OR(AND($F108 ="Prod F.W.", $P108 &gt; 3015, $P108&lt;3020,),AND($F108 ="Prod F.W.", $P108=3036)), "Yes","No")))),"")</f>
        <v/>
      </c>
      <c r="S108" s="2" t="str">
        <f t="shared" si="22"/>
        <v/>
      </c>
      <c r="T108" s="1969"/>
      <c r="U108" s="876"/>
      <c r="V108" s="1967"/>
    </row>
    <row r="109" spans="1:22">
      <c r="A109" s="259" t="str">
        <f t="shared" si="26"/>
        <v/>
      </c>
      <c r="B109" s="21"/>
      <c r="C109" s="24" t="str">
        <f t="shared" si="24"/>
        <v/>
      </c>
      <c r="D109" s="2464" t="str">
        <f t="shared" si="27"/>
        <v/>
      </c>
      <c r="E109" s="434" t="str">
        <f t="shared" si="16"/>
        <v/>
      </c>
      <c r="F109" s="434" t="str">
        <f>IF(B109&lt;&gt;"",VLOOKUP(VLOOKUP(B109,dist_assets,2,FALSE),'Distributed Assets'!$C$7:$F$22,4,FALSE),"")</f>
        <v/>
      </c>
      <c r="G109" s="434" t="str">
        <f t="shared" si="28"/>
        <v/>
      </c>
      <c r="H109" s="25"/>
      <c r="I109" s="3047" t="str">
        <f t="array" ref="I109">IF($H109&lt;&gt;"",
         INDEX('BOM FUNCTIONS'!$Y$6:$AC$669,MATCH(IP!$M109&amp;IP!$O109,'BOM FUNCTIONS'!$Y$6:$Y$669&amp;'BOM FUNCTIONS'!$Z$6:$Z$669,0),5),"")</f>
        <v/>
      </c>
      <c r="J109" s="2047" t="str">
        <f t="array" ref="J109">IF($H109&lt;&gt;"",
         INDEX('BOM FUNCTIONS'!$Y$6:$AD$669,MATCH(IP!$M109&amp;IP!$O109,'BOM FUNCTIONS'!$Y$6:$Y$669&amp;'BOM FUNCTIONS'!$Z$6:$Z$669,0),6),"")</f>
        <v/>
      </c>
      <c r="K109" s="2632" t="str">
        <f t="shared" si="29"/>
        <v/>
      </c>
      <c r="L109" s="2008" t="str">
        <f t="shared" si="20"/>
        <v/>
      </c>
      <c r="M109" s="446" t="str">
        <f t="shared" si="30"/>
        <v/>
      </c>
      <c r="N109" s="479"/>
      <c r="O109" s="436" t="str">
        <f t="shared" si="25"/>
        <v/>
      </c>
      <c r="P109" s="3049" t="str">
        <f t="array" ref="P109">IF($H109&lt;&gt;"",
         INDEX('BOM FUNCTIONS'!$Y$6:$AA$669,MATCH(IP!$M109&amp;IP!$O109,'BOM FUNCTIONS'!$Y$6:$Y$669&amp;'BOM FUNCTIONS'!$Z$6:$Z$669,0),3),"")</f>
        <v/>
      </c>
      <c r="Q109" s="2717"/>
      <c r="R109" s="849" t="str">
        <f>IF(B109&lt;&gt;"",
               IF(VLOOKUP($K109,DNS!$C$5:$I$54,6,FALSE)="No","No",
                    IF(AND($F109 = "Test 2.0", P109 &gt; 1715,$P109 &lt;1728),"Yes",
                     IF(AND($F109 ="Prod 2.0", P109 &gt; 2715, $P109 &lt; 2728), "Yes",
                          IF(OR(AND($F109 ="Prod F.W.", $P109 &gt; 3015, $P109&lt;3020,),AND($F109 ="Prod F.W.", $P109=3036)), "Yes","No")))),"")</f>
        <v/>
      </c>
      <c r="S109" s="2" t="str">
        <f t="shared" si="22"/>
        <v/>
      </c>
      <c r="T109" s="1969"/>
      <c r="U109" s="876"/>
      <c r="V109" s="1967"/>
    </row>
    <row r="110" spans="1:22">
      <c r="A110" s="259" t="str">
        <f t="shared" si="26"/>
        <v/>
      </c>
      <c r="B110" s="21"/>
      <c r="C110" s="24" t="str">
        <f t="shared" si="24"/>
        <v/>
      </c>
      <c r="D110" s="2464" t="str">
        <f t="shared" si="27"/>
        <v/>
      </c>
      <c r="E110" s="434" t="str">
        <f t="shared" si="16"/>
        <v/>
      </c>
      <c r="F110" s="434" t="str">
        <f>IF(B110&lt;&gt;"",VLOOKUP(VLOOKUP(B110,dist_assets,2,FALSE),'Distributed Assets'!$C$7:$F$22,4,FALSE),"")</f>
        <v/>
      </c>
      <c r="G110" s="434" t="str">
        <f t="shared" si="28"/>
        <v/>
      </c>
      <c r="H110" s="25"/>
      <c r="I110" s="3047" t="str">
        <f t="array" ref="I110">IF($H110&lt;&gt;"",
         INDEX('BOM FUNCTIONS'!$Y$6:$AC$669,MATCH(IP!$M110&amp;IP!$O110,'BOM FUNCTIONS'!$Y$6:$Y$669&amp;'BOM FUNCTIONS'!$Z$6:$Z$669,0),5),"")</f>
        <v/>
      </c>
      <c r="J110" s="2047" t="str">
        <f t="array" ref="J110">IF($H110&lt;&gt;"",
         INDEX('BOM FUNCTIONS'!$Y$6:$AD$669,MATCH(IP!$M110&amp;IP!$O110,'BOM FUNCTIONS'!$Y$6:$Y$669&amp;'BOM FUNCTIONS'!$Z$6:$Z$669,0),6),"")</f>
        <v/>
      </c>
      <c r="K110" s="2632" t="str">
        <f t="shared" si="29"/>
        <v/>
      </c>
      <c r="L110" s="2008" t="str">
        <f t="shared" si="20"/>
        <v/>
      </c>
      <c r="M110" s="446" t="str">
        <f t="shared" si="30"/>
        <v/>
      </c>
      <c r="N110" s="479"/>
      <c r="O110" s="436" t="str">
        <f t="shared" si="25"/>
        <v/>
      </c>
      <c r="P110" s="3049" t="str">
        <f t="array" ref="P110">IF($H110&lt;&gt;"",
         INDEX('BOM FUNCTIONS'!$Y$6:$AA$669,MATCH(IP!$M110&amp;IP!$O110,'BOM FUNCTIONS'!$Y$6:$Y$669&amp;'BOM FUNCTIONS'!$Z$6:$Z$669,0),3),"")</f>
        <v/>
      </c>
      <c r="Q110" s="2717"/>
      <c r="R110" s="849" t="str">
        <f>IF(B110&lt;&gt;"",
               IF(VLOOKUP($K110,DNS!$C$5:$I$54,6,FALSE)="No","No",
                    IF(AND($F110 = "Test 2.0", P110 &gt; 1715,$P110 &lt;1728),"Yes",
                     IF(AND($F110 ="Prod 2.0", P110 &gt; 2715, $P110 &lt; 2728), "Yes",
                          IF(OR(AND($F110 ="Prod F.W.", $P110 &gt; 3015, $P110&lt;3020,),AND($F110 ="Prod F.W.", $P110=3036)), "Yes","No")))),"")</f>
        <v/>
      </c>
      <c r="S110" s="2" t="str">
        <f t="shared" si="22"/>
        <v/>
      </c>
      <c r="T110" s="1969"/>
      <c r="U110" s="876"/>
      <c r="V110" s="1967"/>
    </row>
    <row r="111" spans="1:22">
      <c r="A111" s="259" t="str">
        <f t="shared" si="26"/>
        <v/>
      </c>
      <c r="B111" s="21"/>
      <c r="C111" s="24" t="str">
        <f t="shared" si="24"/>
        <v/>
      </c>
      <c r="D111" s="2464" t="str">
        <f t="shared" si="27"/>
        <v/>
      </c>
      <c r="E111" s="434" t="str">
        <f t="shared" si="16"/>
        <v/>
      </c>
      <c r="F111" s="434" t="str">
        <f>IF(B111&lt;&gt;"",VLOOKUP(VLOOKUP(B111,dist_assets,2,FALSE),'Distributed Assets'!$C$7:$F$22,4,FALSE),"")</f>
        <v/>
      </c>
      <c r="G111" s="434" t="str">
        <f t="shared" si="28"/>
        <v/>
      </c>
      <c r="H111" s="25"/>
      <c r="I111" s="3047" t="str">
        <f t="array" ref="I111">IF($H111&lt;&gt;"",
         INDEX('BOM FUNCTIONS'!$Y$6:$AC$669,MATCH(IP!$M111&amp;IP!$O111,'BOM FUNCTIONS'!$Y$6:$Y$669&amp;'BOM FUNCTIONS'!$Z$6:$Z$669,0),5),"")</f>
        <v/>
      </c>
      <c r="J111" s="2047" t="str">
        <f t="array" ref="J111">IF($H111&lt;&gt;"",
         INDEX('BOM FUNCTIONS'!$Y$6:$AD$669,MATCH(IP!$M111&amp;IP!$O111,'BOM FUNCTIONS'!$Y$6:$Y$669&amp;'BOM FUNCTIONS'!$Z$6:$Z$669,0),6),"")</f>
        <v/>
      </c>
      <c r="K111" s="2632" t="str">
        <f t="shared" si="29"/>
        <v/>
      </c>
      <c r="L111" s="2008" t="str">
        <f t="shared" si="20"/>
        <v/>
      </c>
      <c r="M111" s="446" t="str">
        <f t="shared" si="30"/>
        <v/>
      </c>
      <c r="N111" s="479"/>
      <c r="O111" s="436" t="str">
        <f t="shared" si="25"/>
        <v/>
      </c>
      <c r="P111" s="3049" t="str">
        <f t="array" ref="P111">IF($H111&lt;&gt;"",
         INDEX('BOM FUNCTIONS'!$Y$6:$AA$669,MATCH(IP!$M111&amp;IP!$O111,'BOM FUNCTIONS'!$Y$6:$Y$669&amp;'BOM FUNCTIONS'!$Z$6:$Z$669,0),3),"")</f>
        <v/>
      </c>
      <c r="Q111" s="2717"/>
      <c r="R111" s="849" t="str">
        <f>IF(B111&lt;&gt;"",
               IF(VLOOKUP($K111,DNS!$C$5:$I$54,6,FALSE)="No","No",
                    IF(AND($F111 = "Test 2.0", P111 &gt; 1715,$P111 &lt;1728),"Yes",
                     IF(AND($F111 ="Prod 2.0", P111 &gt; 2715, $P111 &lt; 2728), "Yes",
                          IF(OR(AND($F111 ="Prod F.W.", $P111 &gt; 3015, $P111&lt;3020,),AND($F111 ="Prod F.W.", $P111=3036)), "Yes","No")))),"")</f>
        <v/>
      </c>
      <c r="S111" s="2" t="str">
        <f t="shared" si="22"/>
        <v/>
      </c>
      <c r="T111" s="1969"/>
      <c r="U111" s="876"/>
      <c r="V111" s="1967"/>
    </row>
    <row r="112" spans="1:22">
      <c r="A112" s="259" t="str">
        <f t="shared" si="26"/>
        <v/>
      </c>
      <c r="B112" s="21"/>
      <c r="C112" s="24" t="str">
        <f t="shared" si="24"/>
        <v/>
      </c>
      <c r="D112" s="2464" t="str">
        <f t="shared" si="27"/>
        <v/>
      </c>
      <c r="E112" s="434" t="str">
        <f t="shared" si="16"/>
        <v/>
      </c>
      <c r="F112" s="434" t="str">
        <f>IF(B112&lt;&gt;"",VLOOKUP(VLOOKUP(B112,dist_assets,2,FALSE),'Distributed Assets'!$C$7:$F$22,4,FALSE),"")</f>
        <v/>
      </c>
      <c r="G112" s="434" t="str">
        <f t="shared" si="28"/>
        <v/>
      </c>
      <c r="H112" s="25"/>
      <c r="I112" s="3047" t="str">
        <f t="array" ref="I112">IF($H112&lt;&gt;"",
         INDEX('BOM FUNCTIONS'!$Y$6:$AC$669,MATCH(IP!$M112&amp;IP!$O112,'BOM FUNCTIONS'!$Y$6:$Y$669&amp;'BOM FUNCTIONS'!$Z$6:$Z$669,0),5),"")</f>
        <v/>
      </c>
      <c r="J112" s="2047" t="str">
        <f t="array" ref="J112">IF($H112&lt;&gt;"",
         INDEX('BOM FUNCTIONS'!$Y$6:$AD$669,MATCH(IP!$M112&amp;IP!$O112,'BOM FUNCTIONS'!$Y$6:$Y$669&amp;'BOM FUNCTIONS'!$Z$6:$Z$669,0),6),"")</f>
        <v/>
      </c>
      <c r="K112" s="2632" t="str">
        <f t="shared" si="29"/>
        <v/>
      </c>
      <c r="L112" s="2008" t="str">
        <f t="shared" si="20"/>
        <v/>
      </c>
      <c r="M112" s="446" t="str">
        <f t="shared" si="30"/>
        <v/>
      </c>
      <c r="N112" s="479"/>
      <c r="O112" s="436" t="str">
        <f t="shared" si="25"/>
        <v/>
      </c>
      <c r="P112" s="3049" t="str">
        <f t="array" ref="P112">IF($H112&lt;&gt;"",
         INDEX('BOM FUNCTIONS'!$Y$6:$AA$669,MATCH(IP!$M112&amp;IP!$O112,'BOM FUNCTIONS'!$Y$6:$Y$669&amp;'BOM FUNCTIONS'!$Z$6:$Z$669,0),3),"")</f>
        <v/>
      </c>
      <c r="Q112" s="2717"/>
      <c r="R112" s="849" t="str">
        <f>IF(B112&lt;&gt;"",
               IF(VLOOKUP($K112,DNS!$C$5:$I$54,6,FALSE)="No","No",
                    IF(AND($F112 = "Test 2.0", P112 &gt; 1715,$P112 &lt;1728),"Yes",
                     IF(AND($F112 ="Prod 2.0", P112 &gt; 2715, $P112 &lt; 2728), "Yes",
                          IF(OR(AND($F112 ="Prod F.W.", $P112 &gt; 3015, $P112&lt;3020,),AND($F112 ="Prod F.W.", $P112=3036)), "Yes","No")))),"")</f>
        <v/>
      </c>
      <c r="S112" s="2" t="str">
        <f t="shared" si="22"/>
        <v/>
      </c>
      <c r="T112" s="1969"/>
      <c r="U112" s="876"/>
      <c r="V112" s="1967"/>
    </row>
    <row r="113" spans="1:22">
      <c r="A113" s="259" t="str">
        <f t="shared" si="26"/>
        <v/>
      </c>
      <c r="B113" s="21"/>
      <c r="C113" s="24" t="str">
        <f t="shared" si="24"/>
        <v/>
      </c>
      <c r="D113" s="2464" t="str">
        <f t="shared" si="27"/>
        <v/>
      </c>
      <c r="E113" s="434" t="str">
        <f t="shared" si="16"/>
        <v/>
      </c>
      <c r="F113" s="434" t="str">
        <f>IF(B113&lt;&gt;"",VLOOKUP(VLOOKUP(B113,dist_assets,2,FALSE),'Distributed Assets'!$C$7:$F$22,4,FALSE),"")</f>
        <v/>
      </c>
      <c r="G113" s="434" t="str">
        <f t="shared" si="28"/>
        <v/>
      </c>
      <c r="H113" s="25"/>
      <c r="I113" s="3047" t="str">
        <f t="array" ref="I113">IF($H113&lt;&gt;"",
         INDEX('BOM FUNCTIONS'!$Y$6:$AC$669,MATCH(IP!$M113&amp;IP!$O113,'BOM FUNCTIONS'!$Y$6:$Y$669&amp;'BOM FUNCTIONS'!$Z$6:$Z$669,0),5),"")</f>
        <v/>
      </c>
      <c r="J113" s="2047" t="str">
        <f t="array" ref="J113">IF($H113&lt;&gt;"",
         INDEX('BOM FUNCTIONS'!$Y$6:$AD$669,MATCH(IP!$M113&amp;IP!$O113,'BOM FUNCTIONS'!$Y$6:$Y$669&amp;'BOM FUNCTIONS'!$Z$6:$Z$669,0),6),"")</f>
        <v/>
      </c>
      <c r="K113" s="2632" t="str">
        <f t="shared" si="29"/>
        <v/>
      </c>
      <c r="L113" s="2008" t="str">
        <f t="shared" si="20"/>
        <v/>
      </c>
      <c r="M113" s="446" t="str">
        <f t="shared" si="30"/>
        <v/>
      </c>
      <c r="N113" s="479"/>
      <c r="O113" s="436" t="str">
        <f t="shared" si="25"/>
        <v/>
      </c>
      <c r="P113" s="3049" t="str">
        <f t="array" ref="P113">IF($H113&lt;&gt;"",
         INDEX('BOM FUNCTIONS'!$Y$6:$AA$669,MATCH(IP!$M113&amp;IP!$O113,'BOM FUNCTIONS'!$Y$6:$Y$669&amp;'BOM FUNCTIONS'!$Z$6:$Z$669,0),3),"")</f>
        <v/>
      </c>
      <c r="Q113" s="2717"/>
      <c r="R113" s="849" t="str">
        <f>IF(B113&lt;&gt;"",
               IF(VLOOKUP($K113,DNS!$C$5:$I$54,6,FALSE)="No","No",
                    IF(AND($F113 = "Test 2.0", P113 &gt; 1715,$P113 &lt;1728),"Yes",
                     IF(AND($F113 ="Prod 2.0", P113 &gt; 2715, $P113 &lt; 2728), "Yes",
                          IF(OR(AND($F113 ="Prod F.W.", $P113 &gt; 3015, $P113&lt;3020,),AND($F113 ="Prod F.W.", $P113=3036)), "Yes","No")))),"")</f>
        <v/>
      </c>
      <c r="S113" s="2" t="str">
        <f t="shared" si="22"/>
        <v/>
      </c>
      <c r="T113" s="1969"/>
      <c r="U113" s="876"/>
      <c r="V113" s="1967"/>
    </row>
    <row r="114" spans="1:22">
      <c r="A114" s="259" t="str">
        <f t="shared" si="26"/>
        <v/>
      </c>
      <c r="B114" s="21"/>
      <c r="C114" s="24" t="str">
        <f t="shared" si="24"/>
        <v/>
      </c>
      <c r="D114" s="2464" t="str">
        <f t="shared" si="27"/>
        <v/>
      </c>
      <c r="E114" s="434" t="str">
        <f t="shared" si="16"/>
        <v/>
      </c>
      <c r="F114" s="434" t="str">
        <f>IF(B114&lt;&gt;"",VLOOKUP(VLOOKUP(B114,dist_assets,2,FALSE),'Distributed Assets'!$C$7:$F$22,4,FALSE),"")</f>
        <v/>
      </c>
      <c r="G114" s="434" t="str">
        <f t="shared" si="28"/>
        <v/>
      </c>
      <c r="H114" s="25"/>
      <c r="I114" s="3047" t="str">
        <f t="array" ref="I114">IF($H114&lt;&gt;"",
         INDEX('BOM FUNCTIONS'!$Y$6:$AC$669,MATCH(IP!$M114&amp;IP!$O114,'BOM FUNCTIONS'!$Y$6:$Y$669&amp;'BOM FUNCTIONS'!$Z$6:$Z$669,0),5),"")</f>
        <v/>
      </c>
      <c r="J114" s="2047" t="str">
        <f t="array" ref="J114">IF($H114&lt;&gt;"",
         INDEX('BOM FUNCTIONS'!$Y$6:$AD$669,MATCH(IP!$M114&amp;IP!$O114,'BOM FUNCTIONS'!$Y$6:$Y$669&amp;'BOM FUNCTIONS'!$Z$6:$Z$669,0),6),"")</f>
        <v/>
      </c>
      <c r="K114" s="2632" t="str">
        <f t="shared" si="29"/>
        <v/>
      </c>
      <c r="L114" s="2008" t="str">
        <f t="shared" si="20"/>
        <v/>
      </c>
      <c r="M114" s="446" t="str">
        <f t="shared" si="30"/>
        <v/>
      </c>
      <c r="N114" s="479"/>
      <c r="O114" s="436" t="str">
        <f t="shared" si="25"/>
        <v/>
      </c>
      <c r="P114" s="3049" t="str">
        <f t="array" ref="P114">IF($H114&lt;&gt;"",
         INDEX('BOM FUNCTIONS'!$Y$6:$AA$669,MATCH(IP!$M114&amp;IP!$O114,'BOM FUNCTIONS'!$Y$6:$Y$669&amp;'BOM FUNCTIONS'!$Z$6:$Z$669,0),3),"")</f>
        <v/>
      </c>
      <c r="Q114" s="2717"/>
      <c r="R114" s="849" t="str">
        <f>IF(B114&lt;&gt;"",
               IF(VLOOKUP($K114,DNS!$C$5:$I$54,6,FALSE)="No","No",
                    IF(AND($F114 = "Test 2.0", P114 &gt; 1715,$P114 &lt;1728),"Yes",
                     IF(AND($F114 ="Prod 2.0", P114 &gt; 2715, $P114 &lt; 2728), "Yes",
                          IF(OR(AND($F114 ="Prod F.W.", $P114 &gt; 3015, $P114&lt;3020,),AND($F114 ="Prod F.W.", $P114=3036)), "Yes","No")))),"")</f>
        <v/>
      </c>
      <c r="S114" s="2" t="str">
        <f t="shared" si="22"/>
        <v/>
      </c>
      <c r="T114" s="1969"/>
      <c r="U114" s="876"/>
      <c r="V114" s="1967"/>
    </row>
    <row r="115" spans="1:22">
      <c r="A115" s="259" t="str">
        <f t="shared" si="26"/>
        <v/>
      </c>
      <c r="B115" s="21"/>
      <c r="C115" s="24" t="str">
        <f t="shared" si="24"/>
        <v/>
      </c>
      <c r="D115" s="2464" t="str">
        <f t="shared" si="27"/>
        <v/>
      </c>
      <c r="E115" s="434" t="str">
        <f t="shared" si="16"/>
        <v/>
      </c>
      <c r="F115" s="434" t="str">
        <f>IF(B115&lt;&gt;"",VLOOKUP(VLOOKUP(B115,dist_assets,2,FALSE),'Distributed Assets'!$C$7:$F$22,4,FALSE),"")</f>
        <v/>
      </c>
      <c r="G115" s="434" t="str">
        <f t="shared" si="28"/>
        <v/>
      </c>
      <c r="H115" s="25"/>
      <c r="I115" s="3047" t="str">
        <f t="array" ref="I115">IF($H115&lt;&gt;"",
         INDEX('BOM FUNCTIONS'!$Y$6:$AC$669,MATCH(IP!$M115&amp;IP!$O115,'BOM FUNCTIONS'!$Y$6:$Y$669&amp;'BOM FUNCTIONS'!$Z$6:$Z$669,0),5),"")</f>
        <v/>
      </c>
      <c r="J115" s="2047" t="str">
        <f t="array" ref="J115">IF($H115&lt;&gt;"",
         INDEX('BOM FUNCTIONS'!$Y$6:$AD$669,MATCH(IP!$M115&amp;IP!$O115,'BOM FUNCTIONS'!$Y$6:$Y$669&amp;'BOM FUNCTIONS'!$Z$6:$Z$669,0),6),"")</f>
        <v/>
      </c>
      <c r="K115" s="2632" t="str">
        <f t="shared" si="29"/>
        <v/>
      </c>
      <c r="L115" s="2008" t="str">
        <f t="shared" si="20"/>
        <v/>
      </c>
      <c r="M115" s="446" t="str">
        <f t="shared" si="30"/>
        <v/>
      </c>
      <c r="N115" s="479"/>
      <c r="O115" s="436" t="str">
        <f t="shared" si="25"/>
        <v/>
      </c>
      <c r="P115" s="3049" t="str">
        <f t="array" ref="P115">IF($H115&lt;&gt;"",
         INDEX('BOM FUNCTIONS'!$Y$6:$AA$669,MATCH(IP!$M115&amp;IP!$O115,'BOM FUNCTIONS'!$Y$6:$Y$669&amp;'BOM FUNCTIONS'!$Z$6:$Z$669,0),3),"")</f>
        <v/>
      </c>
      <c r="Q115" s="2717"/>
      <c r="R115" s="849" t="str">
        <f>IF(B115&lt;&gt;"",
               IF(VLOOKUP($K115,DNS!$C$5:$I$54,6,FALSE)="No","No",
                    IF(AND($F115 = "Test 2.0", P115 &gt; 1715,$P115 &lt;1728),"Yes",
                     IF(AND($F115 ="Prod 2.0", P115 &gt; 2715, $P115 &lt; 2728), "Yes",
                          IF(OR(AND($F115 ="Prod F.W.", $P115 &gt; 3015, $P115&lt;3020,),AND($F115 ="Prod F.W.", $P115=3036)), "Yes","No")))),"")</f>
        <v/>
      </c>
      <c r="S115" s="2" t="str">
        <f t="shared" si="22"/>
        <v/>
      </c>
      <c r="T115" s="1969"/>
      <c r="U115" s="876"/>
      <c r="V115" s="1967"/>
    </row>
    <row r="116" spans="1:22">
      <c r="A116" s="259" t="str">
        <f t="shared" si="26"/>
        <v/>
      </c>
      <c r="B116" s="21"/>
      <c r="C116" s="24" t="str">
        <f t="shared" si="24"/>
        <v/>
      </c>
      <c r="D116" s="2464" t="str">
        <f t="shared" si="27"/>
        <v/>
      </c>
      <c r="E116" s="434" t="str">
        <f t="shared" si="16"/>
        <v/>
      </c>
      <c r="F116" s="434" t="str">
        <f>IF(B116&lt;&gt;"",VLOOKUP(VLOOKUP(B116,dist_assets,2,FALSE),'Distributed Assets'!$C$7:$F$22,4,FALSE),"")</f>
        <v/>
      </c>
      <c r="G116" s="434" t="str">
        <f t="shared" si="28"/>
        <v/>
      </c>
      <c r="H116" s="25"/>
      <c r="I116" s="3047" t="str">
        <f t="array" ref="I116">IF($H116&lt;&gt;"",
         INDEX('BOM FUNCTIONS'!$Y$6:$AC$669,MATCH(IP!$M116&amp;IP!$O116,'BOM FUNCTIONS'!$Y$6:$Y$669&amp;'BOM FUNCTIONS'!$Z$6:$Z$669,0),5),"")</f>
        <v/>
      </c>
      <c r="J116" s="2047" t="str">
        <f t="array" ref="J116">IF($H116&lt;&gt;"",
         INDEX('BOM FUNCTIONS'!$Y$6:$AD$669,MATCH(IP!$M116&amp;IP!$O116,'BOM FUNCTIONS'!$Y$6:$Y$669&amp;'BOM FUNCTIONS'!$Z$6:$Z$669,0),6),"")</f>
        <v/>
      </c>
      <c r="K116" s="2632" t="str">
        <f t="shared" si="29"/>
        <v/>
      </c>
      <c r="L116" s="2008" t="str">
        <f t="shared" si="20"/>
        <v/>
      </c>
      <c r="M116" s="446" t="str">
        <f t="shared" si="30"/>
        <v/>
      </c>
      <c r="N116" s="479"/>
      <c r="O116" s="436" t="str">
        <f t="shared" si="25"/>
        <v/>
      </c>
      <c r="P116" s="3049" t="str">
        <f t="array" ref="P116">IF($H116&lt;&gt;"",
         INDEX('BOM FUNCTIONS'!$Y$6:$AA$669,MATCH(IP!$M116&amp;IP!$O116,'BOM FUNCTIONS'!$Y$6:$Y$669&amp;'BOM FUNCTIONS'!$Z$6:$Z$669,0),3),"")</f>
        <v/>
      </c>
      <c r="Q116" s="2717"/>
      <c r="R116" s="849" t="str">
        <f>IF(B116&lt;&gt;"",
               IF(VLOOKUP($K116,DNS!$C$5:$I$54,6,FALSE)="No","No",
                    IF(AND($F116 = "Test 2.0", P116 &gt; 1715,$P116 &lt;1728),"Yes",
                     IF(AND($F116 ="Prod 2.0", P116 &gt; 2715, $P116 &lt; 2728), "Yes",
                          IF(OR(AND($F116 ="Prod F.W.", $P116 &gt; 3015, $P116&lt;3020,),AND($F116 ="Prod F.W.", $P116=3036)), "Yes","No")))),"")</f>
        <v/>
      </c>
      <c r="S116" s="2" t="str">
        <f t="shared" si="22"/>
        <v/>
      </c>
      <c r="T116" s="1969"/>
      <c r="U116" s="876"/>
      <c r="V116" s="1967"/>
    </row>
    <row r="117" spans="1:22">
      <c r="A117" s="259" t="str">
        <f t="shared" si="26"/>
        <v/>
      </c>
      <c r="B117" s="21"/>
      <c r="C117" s="24" t="str">
        <f t="shared" si="24"/>
        <v/>
      </c>
      <c r="D117" s="2464" t="str">
        <f t="shared" si="27"/>
        <v/>
      </c>
      <c r="E117" s="434" t="str">
        <f t="shared" si="16"/>
        <v/>
      </c>
      <c r="F117" s="434" t="str">
        <f>IF(B117&lt;&gt;"",VLOOKUP(VLOOKUP(B117,dist_assets,2,FALSE),'Distributed Assets'!$C$7:$F$22,4,FALSE),"")</f>
        <v/>
      </c>
      <c r="G117" s="434" t="str">
        <f t="shared" si="28"/>
        <v/>
      </c>
      <c r="H117" s="25"/>
      <c r="I117" s="3047" t="str">
        <f t="array" ref="I117">IF($H117&lt;&gt;"",
         INDEX('BOM FUNCTIONS'!$Y$6:$AC$669,MATCH(IP!$M117&amp;IP!$O117,'BOM FUNCTIONS'!$Y$6:$Y$669&amp;'BOM FUNCTIONS'!$Z$6:$Z$669,0),5),"")</f>
        <v/>
      </c>
      <c r="J117" s="2047" t="str">
        <f t="array" ref="J117">IF($H117&lt;&gt;"",
         INDEX('BOM FUNCTIONS'!$Y$6:$AD$669,MATCH(IP!$M117&amp;IP!$O117,'BOM FUNCTIONS'!$Y$6:$Y$669&amp;'BOM FUNCTIONS'!$Z$6:$Z$669,0),6),"")</f>
        <v/>
      </c>
      <c r="K117" s="2632" t="str">
        <f t="shared" si="29"/>
        <v/>
      </c>
      <c r="L117" s="2008" t="str">
        <f t="shared" si="20"/>
        <v/>
      </c>
      <c r="M117" s="446" t="str">
        <f t="shared" si="30"/>
        <v/>
      </c>
      <c r="N117" s="479"/>
      <c r="O117" s="436" t="str">
        <f t="shared" si="25"/>
        <v/>
      </c>
      <c r="P117" s="3049" t="str">
        <f t="array" ref="P117">IF($H117&lt;&gt;"",
         INDEX('BOM FUNCTIONS'!$Y$6:$AA$669,MATCH(IP!$M117&amp;IP!$O117,'BOM FUNCTIONS'!$Y$6:$Y$669&amp;'BOM FUNCTIONS'!$Z$6:$Z$669,0),3),"")</f>
        <v/>
      </c>
      <c r="Q117" s="2717"/>
      <c r="R117" s="849" t="str">
        <f>IF(B117&lt;&gt;"",
               IF(VLOOKUP($K117,DNS!$C$5:$I$54,6,FALSE)="No","No",
                    IF(AND($F117 = "Test 2.0", P117 &gt; 1715,$P117 &lt;1728),"Yes",
                     IF(AND($F117 ="Prod 2.0", P117 &gt; 2715, $P117 &lt; 2728), "Yes",
                          IF(OR(AND($F117 ="Prod F.W.", $P117 &gt; 3015, $P117&lt;3020,),AND($F117 ="Prod F.W.", $P117=3036)), "Yes","No")))),"")</f>
        <v/>
      </c>
      <c r="S117" s="2" t="str">
        <f t="shared" si="22"/>
        <v/>
      </c>
      <c r="T117" s="1969"/>
      <c r="U117" s="876"/>
      <c r="V117" s="1967"/>
    </row>
    <row r="118" spans="1:22">
      <c r="A118" s="259" t="str">
        <f t="shared" si="26"/>
        <v/>
      </c>
      <c r="B118" s="21"/>
      <c r="C118" s="24" t="str">
        <f t="shared" si="24"/>
        <v/>
      </c>
      <c r="D118" s="2464" t="str">
        <f t="shared" si="27"/>
        <v/>
      </c>
      <c r="E118" s="434" t="str">
        <f t="shared" si="16"/>
        <v/>
      </c>
      <c r="F118" s="434" t="str">
        <f>IF(B118&lt;&gt;"",VLOOKUP(VLOOKUP(B118,dist_assets,2,FALSE),'Distributed Assets'!$C$7:$F$22,4,FALSE),"")</f>
        <v/>
      </c>
      <c r="G118" s="434" t="str">
        <f t="shared" si="28"/>
        <v/>
      </c>
      <c r="H118" s="25"/>
      <c r="I118" s="3047" t="str">
        <f t="array" ref="I118">IF($H118&lt;&gt;"",
         INDEX('BOM FUNCTIONS'!$Y$6:$AC$669,MATCH(IP!$M118&amp;IP!$O118,'BOM FUNCTIONS'!$Y$6:$Y$669&amp;'BOM FUNCTIONS'!$Z$6:$Z$669,0),5),"")</f>
        <v/>
      </c>
      <c r="J118" s="2047" t="str">
        <f t="array" ref="J118">IF($H118&lt;&gt;"",
         INDEX('BOM FUNCTIONS'!$Y$6:$AD$669,MATCH(IP!$M118&amp;IP!$O118,'BOM FUNCTIONS'!$Y$6:$Y$669&amp;'BOM FUNCTIONS'!$Z$6:$Z$669,0),6),"")</f>
        <v/>
      </c>
      <c r="K118" s="2632" t="str">
        <f t="shared" si="29"/>
        <v/>
      </c>
      <c r="L118" s="2008" t="str">
        <f t="shared" si="20"/>
        <v/>
      </c>
      <c r="M118" s="446" t="str">
        <f t="shared" si="30"/>
        <v/>
      </c>
      <c r="N118" s="479"/>
      <c r="O118" s="436" t="str">
        <f t="shared" si="25"/>
        <v/>
      </c>
      <c r="P118" s="3049" t="str">
        <f t="array" ref="P118">IF($H118&lt;&gt;"",
         INDEX('BOM FUNCTIONS'!$Y$6:$AA$669,MATCH(IP!$M118&amp;IP!$O118,'BOM FUNCTIONS'!$Y$6:$Y$669&amp;'BOM FUNCTIONS'!$Z$6:$Z$669,0),3),"")</f>
        <v/>
      </c>
      <c r="Q118" s="2717"/>
      <c r="R118" s="849" t="str">
        <f>IF(B118&lt;&gt;"",
               IF(VLOOKUP($K118,DNS!$C$5:$I$54,6,FALSE)="No","No",
                    IF(AND($F118 = "Test 2.0", P118 &gt; 1715,$P118 &lt;1728),"Yes",
                     IF(AND($F118 ="Prod 2.0", P118 &gt; 2715, $P118 &lt; 2728), "Yes",
                          IF(OR(AND($F118 ="Prod F.W.", $P118 &gt; 3015, $P118&lt;3020,),AND($F118 ="Prod F.W.", $P118=3036)), "Yes","No")))),"")</f>
        <v/>
      </c>
      <c r="S118" s="2" t="str">
        <f t="shared" si="22"/>
        <v/>
      </c>
      <c r="T118" s="1969"/>
      <c r="U118" s="876"/>
      <c r="V118" s="1967"/>
    </row>
    <row r="119" spans="1:22">
      <c r="A119" s="259" t="str">
        <f t="shared" si="26"/>
        <v/>
      </c>
      <c r="B119" s="21"/>
      <c r="C119" s="24" t="str">
        <f t="shared" si="24"/>
        <v/>
      </c>
      <c r="D119" s="2464" t="str">
        <f t="shared" si="27"/>
        <v/>
      </c>
      <c r="E119" s="434" t="str">
        <f t="shared" si="16"/>
        <v/>
      </c>
      <c r="F119" s="434" t="str">
        <f>IF(B119&lt;&gt;"",VLOOKUP(VLOOKUP(B119,dist_assets,2,FALSE),'Distributed Assets'!$C$7:$F$22,4,FALSE),"")</f>
        <v/>
      </c>
      <c r="G119" s="434" t="str">
        <f t="shared" si="28"/>
        <v/>
      </c>
      <c r="H119" s="25"/>
      <c r="I119" s="3047" t="str">
        <f t="array" ref="I119">IF($H119&lt;&gt;"",
         INDEX('BOM FUNCTIONS'!$Y$6:$AC$669,MATCH(IP!$M119&amp;IP!$O119,'BOM FUNCTIONS'!$Y$6:$Y$669&amp;'BOM FUNCTIONS'!$Z$6:$Z$669,0),5),"")</f>
        <v/>
      </c>
      <c r="J119" s="2047" t="str">
        <f t="array" ref="J119">IF($H119&lt;&gt;"",
         INDEX('BOM FUNCTIONS'!$Y$6:$AD$669,MATCH(IP!$M119&amp;IP!$O119,'BOM FUNCTIONS'!$Y$6:$Y$669&amp;'BOM FUNCTIONS'!$Z$6:$Z$669,0),6),"")</f>
        <v/>
      </c>
      <c r="K119" s="2632" t="str">
        <f t="shared" si="29"/>
        <v/>
      </c>
      <c r="L119" s="2008" t="str">
        <f t="shared" si="20"/>
        <v/>
      </c>
      <c r="M119" s="446" t="str">
        <f t="shared" si="30"/>
        <v/>
      </c>
      <c r="N119" s="479"/>
      <c r="O119" s="436" t="str">
        <f t="shared" si="25"/>
        <v/>
      </c>
      <c r="P119" s="3049" t="str">
        <f t="array" ref="P119">IF($H119&lt;&gt;"",
         INDEX('BOM FUNCTIONS'!$Y$6:$AA$669,MATCH(IP!$M119&amp;IP!$O119,'BOM FUNCTIONS'!$Y$6:$Y$669&amp;'BOM FUNCTIONS'!$Z$6:$Z$669,0),3),"")</f>
        <v/>
      </c>
      <c r="Q119" s="2717"/>
      <c r="R119" s="849" t="str">
        <f>IF(B119&lt;&gt;"",
               IF(VLOOKUP($K119,DNS!$C$5:$I$54,6,FALSE)="No","No",
                    IF(AND($F119 = "Test 2.0", P119 &gt; 1715,$P119 &lt;1728),"Yes",
                     IF(AND($F119 ="Prod 2.0", P119 &gt; 2715, $P119 &lt; 2728), "Yes",
                          IF(OR(AND($F119 ="Prod F.W.", $P119 &gt; 3015, $P119&lt;3020,),AND($F119 ="Prod F.W.", $P119=3036)), "Yes","No")))),"")</f>
        <v/>
      </c>
      <c r="S119" s="2" t="str">
        <f t="shared" si="22"/>
        <v/>
      </c>
      <c r="T119" s="1969"/>
      <c r="U119" s="876"/>
      <c r="V119" s="1967"/>
    </row>
    <row r="120" spans="1:22">
      <c r="A120" s="259" t="str">
        <f t="shared" si="26"/>
        <v/>
      </c>
      <c r="B120" s="21"/>
      <c r="C120" s="24" t="str">
        <f t="shared" si="24"/>
        <v/>
      </c>
      <c r="D120" s="2464" t="str">
        <f t="shared" si="27"/>
        <v/>
      </c>
      <c r="E120" s="434" t="str">
        <f t="shared" si="16"/>
        <v/>
      </c>
      <c r="F120" s="434" t="str">
        <f>IF(B120&lt;&gt;"",VLOOKUP(VLOOKUP(B120,dist_assets,2,FALSE),'Distributed Assets'!$C$7:$F$22,4,FALSE),"")</f>
        <v/>
      </c>
      <c r="G120" s="434" t="str">
        <f t="shared" si="28"/>
        <v/>
      </c>
      <c r="H120" s="25"/>
      <c r="I120" s="3047" t="str">
        <f t="array" ref="I120">IF($H120&lt;&gt;"",
         INDEX('BOM FUNCTIONS'!$Y$6:$AC$669,MATCH(IP!$M120&amp;IP!$O120,'BOM FUNCTIONS'!$Y$6:$Y$669&amp;'BOM FUNCTIONS'!$Z$6:$Z$669,0),5),"")</f>
        <v/>
      </c>
      <c r="J120" s="2047" t="str">
        <f t="array" ref="J120">IF($H120&lt;&gt;"",
         INDEX('BOM FUNCTIONS'!$Y$6:$AD$669,MATCH(IP!$M120&amp;IP!$O120,'BOM FUNCTIONS'!$Y$6:$Y$669&amp;'BOM FUNCTIONS'!$Z$6:$Z$669,0),6),"")</f>
        <v/>
      </c>
      <c r="K120" s="2632" t="str">
        <f t="shared" si="29"/>
        <v/>
      </c>
      <c r="L120" s="2008" t="str">
        <f t="shared" si="20"/>
        <v/>
      </c>
      <c r="M120" s="446" t="str">
        <f t="shared" si="30"/>
        <v/>
      </c>
      <c r="N120" s="479"/>
      <c r="O120" s="436" t="str">
        <f t="shared" si="25"/>
        <v/>
      </c>
      <c r="P120" s="3049" t="str">
        <f t="array" ref="P120">IF($H120&lt;&gt;"",
         INDEX('BOM FUNCTIONS'!$Y$6:$AA$669,MATCH(IP!$M120&amp;IP!$O120,'BOM FUNCTIONS'!$Y$6:$Y$669&amp;'BOM FUNCTIONS'!$Z$6:$Z$669,0),3),"")</f>
        <v/>
      </c>
      <c r="Q120" s="2717"/>
      <c r="R120" s="849" t="str">
        <f>IF(B120&lt;&gt;"",
               IF(VLOOKUP($K120,DNS!$C$5:$I$54,6,FALSE)="No","No",
                    IF(AND($F120 = "Test 2.0", P120 &gt; 1715,$P120 &lt;1728),"Yes",
                     IF(AND($F120 ="Prod 2.0", P120 &gt; 2715, $P120 &lt; 2728), "Yes",
                          IF(OR(AND($F120 ="Prod F.W.", $P120 &gt; 3015, $P120&lt;3020,),AND($F120 ="Prod F.W.", $P120=3036)), "Yes","No")))),"")</f>
        <v/>
      </c>
      <c r="S120" s="2" t="str">
        <f t="shared" si="22"/>
        <v/>
      </c>
      <c r="T120" s="1969"/>
      <c r="U120" s="876"/>
      <c r="V120" s="1967"/>
    </row>
    <row r="121" spans="1:22">
      <c r="A121" s="259" t="str">
        <f t="shared" si="26"/>
        <v/>
      </c>
      <c r="B121" s="21"/>
      <c r="C121" s="24" t="str">
        <f t="shared" si="24"/>
        <v/>
      </c>
      <c r="D121" s="2464" t="str">
        <f t="shared" si="27"/>
        <v/>
      </c>
      <c r="E121" s="434" t="str">
        <f t="shared" si="16"/>
        <v/>
      </c>
      <c r="F121" s="434" t="str">
        <f>IF(B121&lt;&gt;"",VLOOKUP(VLOOKUP(B121,dist_assets,2,FALSE),'Distributed Assets'!$C$7:$F$22,4,FALSE),"")</f>
        <v/>
      </c>
      <c r="G121" s="434" t="str">
        <f t="shared" si="28"/>
        <v/>
      </c>
      <c r="H121" s="25"/>
      <c r="I121" s="3047" t="str">
        <f t="array" ref="I121">IF($H121&lt;&gt;"",
         INDEX('BOM FUNCTIONS'!$Y$6:$AC$669,MATCH(IP!$M121&amp;IP!$O121,'BOM FUNCTIONS'!$Y$6:$Y$669&amp;'BOM FUNCTIONS'!$Z$6:$Z$669,0),5),"")</f>
        <v/>
      </c>
      <c r="J121" s="2047" t="str">
        <f t="array" ref="J121">IF($H121&lt;&gt;"",
         INDEX('BOM FUNCTIONS'!$Y$6:$AD$669,MATCH(IP!$M121&amp;IP!$O121,'BOM FUNCTIONS'!$Y$6:$Y$669&amp;'BOM FUNCTIONS'!$Z$6:$Z$669,0),6),"")</f>
        <v/>
      </c>
      <c r="K121" s="2632" t="str">
        <f t="shared" si="29"/>
        <v/>
      </c>
      <c r="L121" s="2008" t="str">
        <f t="shared" si="20"/>
        <v/>
      </c>
      <c r="M121" s="446" t="str">
        <f t="shared" si="30"/>
        <v/>
      </c>
      <c r="N121" s="479"/>
      <c r="O121" s="436" t="str">
        <f t="shared" si="25"/>
        <v/>
      </c>
      <c r="P121" s="3049" t="str">
        <f t="array" ref="P121">IF($H121&lt;&gt;"",
         INDEX('BOM FUNCTIONS'!$Y$6:$AA$669,MATCH(IP!$M121&amp;IP!$O121,'BOM FUNCTIONS'!$Y$6:$Y$669&amp;'BOM FUNCTIONS'!$Z$6:$Z$669,0),3),"")</f>
        <v/>
      </c>
      <c r="Q121" s="2717"/>
      <c r="R121" s="849" t="str">
        <f>IF(B121&lt;&gt;"",
               IF(VLOOKUP($K121,DNS!$C$5:$I$54,6,FALSE)="No","No",
                    IF(AND($F121 = "Test 2.0", P121 &gt; 1715,$P121 &lt;1728),"Yes",
                     IF(AND($F121 ="Prod 2.0", P121 &gt; 2715, $P121 &lt; 2728), "Yes",
                          IF(OR(AND($F121 ="Prod F.W.", $P121 &gt; 3015, $P121&lt;3020,),AND($F121 ="Prod F.W.", $P121=3036)), "Yes","No")))),"")</f>
        <v/>
      </c>
      <c r="S121" s="2" t="str">
        <f t="shared" si="22"/>
        <v/>
      </c>
      <c r="T121" s="1969"/>
      <c r="U121" s="876"/>
      <c r="V121" s="1967"/>
    </row>
    <row r="122" spans="1:22">
      <c r="A122" s="259" t="str">
        <f t="shared" si="26"/>
        <v/>
      </c>
      <c r="B122" s="21"/>
      <c r="C122" s="24" t="str">
        <f t="shared" si="24"/>
        <v/>
      </c>
      <c r="D122" s="2464" t="str">
        <f t="shared" si="27"/>
        <v/>
      </c>
      <c r="E122" s="434" t="str">
        <f t="shared" si="16"/>
        <v/>
      </c>
      <c r="F122" s="434" t="str">
        <f>IF(B122&lt;&gt;"",VLOOKUP(VLOOKUP(B122,dist_assets,2,FALSE),'Distributed Assets'!$C$7:$F$22,4,FALSE),"")</f>
        <v/>
      </c>
      <c r="G122" s="434" t="str">
        <f t="shared" si="28"/>
        <v/>
      </c>
      <c r="H122" s="25"/>
      <c r="I122" s="3047" t="str">
        <f t="array" ref="I122">IF($H122&lt;&gt;"",
         INDEX('BOM FUNCTIONS'!$Y$6:$AC$669,MATCH(IP!$M122&amp;IP!$O122,'BOM FUNCTIONS'!$Y$6:$Y$669&amp;'BOM FUNCTIONS'!$Z$6:$Z$669,0),5),"")</f>
        <v/>
      </c>
      <c r="J122" s="2047" t="str">
        <f t="array" ref="J122">IF($H122&lt;&gt;"",
         INDEX('BOM FUNCTIONS'!$Y$6:$AD$669,MATCH(IP!$M122&amp;IP!$O122,'BOM FUNCTIONS'!$Y$6:$Y$669&amp;'BOM FUNCTIONS'!$Z$6:$Z$669,0),6),"")</f>
        <v/>
      </c>
      <c r="K122" s="2632" t="str">
        <f t="shared" si="29"/>
        <v/>
      </c>
      <c r="L122" s="2008" t="str">
        <f t="shared" si="20"/>
        <v/>
      </c>
      <c r="M122" s="446" t="str">
        <f t="shared" si="30"/>
        <v/>
      </c>
      <c r="N122" s="479"/>
      <c r="O122" s="436" t="str">
        <f t="shared" si="25"/>
        <v/>
      </c>
      <c r="P122" s="3049" t="str">
        <f t="array" ref="P122">IF($H122&lt;&gt;"",
         INDEX('BOM FUNCTIONS'!$Y$6:$AA$669,MATCH(IP!$M122&amp;IP!$O122,'BOM FUNCTIONS'!$Y$6:$Y$669&amp;'BOM FUNCTIONS'!$Z$6:$Z$669,0),3),"")</f>
        <v/>
      </c>
      <c r="Q122" s="2717"/>
      <c r="R122" s="849" t="str">
        <f>IF(B122&lt;&gt;"",
               IF(VLOOKUP($K122,DNS!$C$5:$I$54,6,FALSE)="No","No",
                    IF(AND($F122 = "Test 2.0", P122 &gt; 1715,$P122 &lt;1728),"Yes",
                     IF(AND($F122 ="Prod 2.0", P122 &gt; 2715, $P122 &lt; 2728), "Yes",
                          IF(OR(AND($F122 ="Prod F.W.", $P122 &gt; 3015, $P122&lt;3020,),AND($F122 ="Prod F.W.", $P122=3036)), "Yes","No")))),"")</f>
        <v/>
      </c>
      <c r="S122" s="2" t="str">
        <f t="shared" si="22"/>
        <v/>
      </c>
      <c r="T122" s="1969"/>
      <c r="U122" s="876"/>
      <c r="V122" s="1967"/>
    </row>
    <row r="123" spans="1:22">
      <c r="A123" s="259" t="str">
        <f t="shared" si="26"/>
        <v/>
      </c>
      <c r="B123" s="21"/>
      <c r="C123" s="24" t="str">
        <f t="shared" si="24"/>
        <v/>
      </c>
      <c r="D123" s="2464" t="str">
        <f t="shared" si="27"/>
        <v/>
      </c>
      <c r="E123" s="434" t="str">
        <f t="shared" si="16"/>
        <v/>
      </c>
      <c r="F123" s="434" t="str">
        <f>IF(B123&lt;&gt;"",VLOOKUP(VLOOKUP(B123,dist_assets,2,FALSE),'Distributed Assets'!$C$7:$F$22,4,FALSE),"")</f>
        <v/>
      </c>
      <c r="G123" s="434" t="str">
        <f t="shared" si="28"/>
        <v/>
      </c>
      <c r="H123" s="25"/>
      <c r="I123" s="3047" t="str">
        <f t="array" ref="I123">IF($H123&lt;&gt;"",
         INDEX('BOM FUNCTIONS'!$Y$6:$AC$669,MATCH(IP!$M123&amp;IP!$O123,'BOM FUNCTIONS'!$Y$6:$Y$669&amp;'BOM FUNCTIONS'!$Z$6:$Z$669,0),5),"")</f>
        <v/>
      </c>
      <c r="J123" s="2047" t="str">
        <f t="array" ref="J123">IF($H123&lt;&gt;"",
         INDEX('BOM FUNCTIONS'!$Y$6:$AD$669,MATCH(IP!$M123&amp;IP!$O123,'BOM FUNCTIONS'!$Y$6:$Y$669&amp;'BOM FUNCTIONS'!$Z$6:$Z$669,0),6),"")</f>
        <v/>
      </c>
      <c r="K123" s="2632" t="str">
        <f t="shared" si="29"/>
        <v/>
      </c>
      <c r="L123" s="2008" t="str">
        <f t="shared" si="20"/>
        <v/>
      </c>
      <c r="M123" s="446" t="str">
        <f t="shared" si="30"/>
        <v/>
      </c>
      <c r="N123" s="479"/>
      <c r="O123" s="436" t="str">
        <f t="shared" si="25"/>
        <v/>
      </c>
      <c r="P123" s="3049" t="str">
        <f t="array" ref="P123">IF($H123&lt;&gt;"",
         INDEX('BOM FUNCTIONS'!$Y$6:$AA$669,MATCH(IP!$M123&amp;IP!$O123,'BOM FUNCTIONS'!$Y$6:$Y$669&amp;'BOM FUNCTIONS'!$Z$6:$Z$669,0),3),"")</f>
        <v/>
      </c>
      <c r="Q123" s="2717"/>
      <c r="R123" s="849" t="str">
        <f>IF(B123&lt;&gt;"",
               IF(VLOOKUP($K123,DNS!$C$5:$I$54,6,FALSE)="No","No",
                    IF(AND($F123 = "Test 2.0", P123 &gt; 1715,$P123 &lt;1728),"Yes",
                     IF(AND($F123 ="Prod 2.0", P123 &gt; 2715, $P123 &lt; 2728), "Yes",
                          IF(OR(AND($F123 ="Prod F.W.", $P123 &gt; 3015, $P123&lt;3020,),AND($F123 ="Prod F.W.", $P123=3036)), "Yes","No")))),"")</f>
        <v/>
      </c>
      <c r="S123" s="2" t="str">
        <f t="shared" si="22"/>
        <v/>
      </c>
      <c r="T123" s="1969"/>
      <c r="U123" s="876"/>
      <c r="V123" s="1967"/>
    </row>
    <row r="124" spans="1:22">
      <c r="A124" s="259" t="str">
        <f t="shared" si="26"/>
        <v/>
      </c>
      <c r="B124" s="21"/>
      <c r="C124" s="24" t="str">
        <f t="shared" si="24"/>
        <v/>
      </c>
      <c r="D124" s="2464" t="str">
        <f t="shared" si="27"/>
        <v/>
      </c>
      <c r="E124" s="434" t="str">
        <f t="shared" si="16"/>
        <v/>
      </c>
      <c r="F124" s="434" t="str">
        <f>IF(B124&lt;&gt;"",VLOOKUP(VLOOKUP(B124,dist_assets,2,FALSE),'Distributed Assets'!$C$7:$F$22,4,FALSE),"")</f>
        <v/>
      </c>
      <c r="G124" s="434" t="str">
        <f t="shared" si="28"/>
        <v/>
      </c>
      <c r="H124" s="25"/>
      <c r="I124" s="3047" t="str">
        <f t="array" ref="I124">IF($H124&lt;&gt;"",
         INDEX('BOM FUNCTIONS'!$Y$6:$AC$669,MATCH(IP!$M124&amp;IP!$O124,'BOM FUNCTIONS'!$Y$6:$Y$669&amp;'BOM FUNCTIONS'!$Z$6:$Z$669,0),5),"")</f>
        <v/>
      </c>
      <c r="J124" s="2047" t="str">
        <f t="array" ref="J124">IF($H124&lt;&gt;"",
         INDEX('BOM FUNCTIONS'!$Y$6:$AD$669,MATCH(IP!$M124&amp;IP!$O124,'BOM FUNCTIONS'!$Y$6:$Y$669&amp;'BOM FUNCTIONS'!$Z$6:$Z$669,0),6),"")</f>
        <v/>
      </c>
      <c r="K124" s="2632" t="str">
        <f t="shared" si="29"/>
        <v/>
      </c>
      <c r="L124" s="2008" t="str">
        <f t="shared" si="20"/>
        <v/>
      </c>
      <c r="M124" s="446" t="str">
        <f t="shared" si="30"/>
        <v/>
      </c>
      <c r="N124" s="479"/>
      <c r="O124" s="436" t="str">
        <f t="shared" si="25"/>
        <v/>
      </c>
      <c r="P124" s="3049" t="str">
        <f t="array" ref="P124">IF($H124&lt;&gt;"",
         INDEX('BOM FUNCTIONS'!$Y$6:$AA$669,MATCH(IP!$M124&amp;IP!$O124,'BOM FUNCTIONS'!$Y$6:$Y$669&amp;'BOM FUNCTIONS'!$Z$6:$Z$669,0),3),"")</f>
        <v/>
      </c>
      <c r="Q124" s="2717"/>
      <c r="R124" s="849" t="str">
        <f>IF(B124&lt;&gt;"",
               IF(VLOOKUP($K124,DNS!$C$5:$I$54,6,FALSE)="No","No",
                    IF(AND($F124 = "Test 2.0", P124 &gt; 1715,$P124 &lt;1728),"Yes",
                     IF(AND($F124 ="Prod 2.0", P124 &gt; 2715, $P124 &lt; 2728), "Yes",
                          IF(OR(AND($F124 ="Prod F.W.", $P124 &gt; 3015, $P124&lt;3020,),AND($F124 ="Prod F.W.", $P124=3036)), "Yes","No")))),"")</f>
        <v/>
      </c>
      <c r="S124" s="2" t="str">
        <f t="shared" si="22"/>
        <v/>
      </c>
      <c r="T124" s="1969"/>
      <c r="U124" s="876"/>
      <c r="V124" s="1967"/>
    </row>
    <row r="125" spans="1:22">
      <c r="A125" s="259" t="str">
        <f t="shared" si="26"/>
        <v/>
      </c>
      <c r="B125" s="21"/>
      <c r="C125" s="24" t="str">
        <f t="shared" si="24"/>
        <v/>
      </c>
      <c r="D125" s="2464" t="str">
        <f t="shared" si="27"/>
        <v/>
      </c>
      <c r="E125" s="434" t="str">
        <f t="shared" si="16"/>
        <v/>
      </c>
      <c r="F125" s="434" t="str">
        <f>IF(B125&lt;&gt;"",VLOOKUP(VLOOKUP(B125,dist_assets,2,FALSE),'Distributed Assets'!$C$7:$F$22,4,FALSE),"")</f>
        <v/>
      </c>
      <c r="G125" s="434" t="str">
        <f t="shared" si="28"/>
        <v/>
      </c>
      <c r="H125" s="25"/>
      <c r="I125" s="3047" t="str">
        <f t="array" ref="I125">IF($H125&lt;&gt;"",
         INDEX('BOM FUNCTIONS'!$Y$6:$AC$669,MATCH(IP!$M125&amp;IP!$O125,'BOM FUNCTIONS'!$Y$6:$Y$669&amp;'BOM FUNCTIONS'!$Z$6:$Z$669,0),5),"")</f>
        <v/>
      </c>
      <c r="J125" s="2047" t="str">
        <f t="array" ref="J125">IF($H125&lt;&gt;"",
         INDEX('BOM FUNCTIONS'!$Y$6:$AD$669,MATCH(IP!$M125&amp;IP!$O125,'BOM FUNCTIONS'!$Y$6:$Y$669&amp;'BOM FUNCTIONS'!$Z$6:$Z$669,0),6),"")</f>
        <v/>
      </c>
      <c r="K125" s="2632" t="str">
        <f t="shared" si="29"/>
        <v/>
      </c>
      <c r="L125" s="2008" t="str">
        <f t="shared" si="20"/>
        <v/>
      </c>
      <c r="M125" s="446" t="str">
        <f t="shared" si="30"/>
        <v/>
      </c>
      <c r="N125" s="479"/>
      <c r="O125" s="436" t="str">
        <f t="shared" si="25"/>
        <v/>
      </c>
      <c r="P125" s="3049" t="str">
        <f t="array" ref="P125">IF($H125&lt;&gt;"",
         INDEX('BOM FUNCTIONS'!$Y$6:$AA$669,MATCH(IP!$M125&amp;IP!$O125,'BOM FUNCTIONS'!$Y$6:$Y$669&amp;'BOM FUNCTIONS'!$Z$6:$Z$669,0),3),"")</f>
        <v/>
      </c>
      <c r="Q125" s="2717"/>
      <c r="R125" s="849" t="str">
        <f>IF(B125&lt;&gt;"",
               IF(VLOOKUP($K125,DNS!$C$5:$I$54,6,FALSE)="No","No",
                    IF(AND($F125 = "Test 2.0", P125 &gt; 1715,$P125 &lt;1728),"Yes",
                     IF(AND($F125 ="Prod 2.0", P125 &gt; 2715, $P125 &lt; 2728), "Yes",
                          IF(OR(AND($F125 ="Prod F.W.", $P125 &gt; 3015, $P125&lt;3020,),AND($F125 ="Prod F.W.", $P125=3036)), "Yes","No")))),"")</f>
        <v/>
      </c>
      <c r="S125" s="2" t="str">
        <f t="shared" si="22"/>
        <v/>
      </c>
      <c r="T125" s="1969"/>
      <c r="U125" s="876"/>
      <c r="V125" s="1967"/>
    </row>
    <row r="126" spans="1:22">
      <c r="A126" s="259" t="str">
        <f t="shared" si="26"/>
        <v/>
      </c>
      <c r="B126" s="21"/>
      <c r="C126" s="24" t="str">
        <f t="shared" si="24"/>
        <v/>
      </c>
      <c r="D126" s="2464" t="str">
        <f t="shared" si="27"/>
        <v/>
      </c>
      <c r="E126" s="434" t="str">
        <f t="shared" si="16"/>
        <v/>
      </c>
      <c r="F126" s="434" t="str">
        <f>IF(B126&lt;&gt;"",VLOOKUP(VLOOKUP(B126,dist_assets,2,FALSE),'Distributed Assets'!$C$7:$F$22,4,FALSE),"")</f>
        <v/>
      </c>
      <c r="G126" s="434" t="str">
        <f t="shared" si="28"/>
        <v/>
      </c>
      <c r="H126" s="25"/>
      <c r="I126" s="3047" t="str">
        <f t="array" ref="I126">IF($H126&lt;&gt;"",
         INDEX('BOM FUNCTIONS'!$Y$6:$AC$669,MATCH(IP!$M126&amp;IP!$O126,'BOM FUNCTIONS'!$Y$6:$Y$669&amp;'BOM FUNCTIONS'!$Z$6:$Z$669,0),5),"")</f>
        <v/>
      </c>
      <c r="J126" s="2047" t="str">
        <f t="array" ref="J126">IF($H126&lt;&gt;"",
         INDEX('BOM FUNCTIONS'!$Y$6:$AD$669,MATCH(IP!$M126&amp;IP!$O126,'BOM FUNCTIONS'!$Y$6:$Y$669&amp;'BOM FUNCTIONS'!$Z$6:$Z$669,0),6),"")</f>
        <v/>
      </c>
      <c r="K126" s="2632" t="str">
        <f t="shared" si="29"/>
        <v/>
      </c>
      <c r="L126" s="2008" t="str">
        <f t="shared" si="20"/>
        <v/>
      </c>
      <c r="M126" s="446" t="str">
        <f t="shared" si="30"/>
        <v/>
      </c>
      <c r="N126" s="479"/>
      <c r="O126" s="436" t="str">
        <f t="shared" si="25"/>
        <v/>
      </c>
      <c r="P126" s="3049" t="str">
        <f t="array" ref="P126">IF($H126&lt;&gt;"",
         INDEX('BOM FUNCTIONS'!$Y$6:$AA$669,MATCH(IP!$M126&amp;IP!$O126,'BOM FUNCTIONS'!$Y$6:$Y$669&amp;'BOM FUNCTIONS'!$Z$6:$Z$669,0),3),"")</f>
        <v/>
      </c>
      <c r="Q126" s="2717"/>
      <c r="R126" s="849" t="str">
        <f>IF(B126&lt;&gt;"",
               IF(VLOOKUP($K126,DNS!$C$5:$I$54,6,FALSE)="No","No",
                    IF(AND($F126 = "Test 2.0", P126 &gt; 1715,$P126 &lt;1728),"Yes",
                     IF(AND($F126 ="Prod 2.0", P126 &gt; 2715, $P126 &lt; 2728), "Yes",
                          IF(OR(AND($F126 ="Prod F.W.", $P126 &gt; 3015, $P126&lt;3020,),AND($F126 ="Prod F.W.", $P126=3036)), "Yes","No")))),"")</f>
        <v/>
      </c>
      <c r="S126" s="2" t="str">
        <f t="shared" si="22"/>
        <v/>
      </c>
      <c r="T126" s="1969"/>
      <c r="U126" s="876"/>
      <c r="V126" s="1967"/>
    </row>
    <row r="127" spans="1:22">
      <c r="A127" s="259" t="str">
        <f t="shared" si="26"/>
        <v/>
      </c>
      <c r="B127" s="21"/>
      <c r="C127" s="24" t="str">
        <f t="shared" si="24"/>
        <v/>
      </c>
      <c r="D127" s="2464" t="str">
        <f t="shared" si="27"/>
        <v/>
      </c>
      <c r="E127" s="434" t="str">
        <f t="shared" si="16"/>
        <v/>
      </c>
      <c r="F127" s="434" t="str">
        <f>IF(B127&lt;&gt;"",VLOOKUP(VLOOKUP(B127,dist_assets,2,FALSE),'Distributed Assets'!$C$7:$F$22,4,FALSE),"")</f>
        <v/>
      </c>
      <c r="G127" s="434" t="str">
        <f t="shared" si="28"/>
        <v/>
      </c>
      <c r="H127" s="25"/>
      <c r="I127" s="3047" t="str">
        <f t="array" ref="I127">IF($H127&lt;&gt;"",
         INDEX('BOM FUNCTIONS'!$Y$6:$AC$669,MATCH(IP!$M127&amp;IP!$O127,'BOM FUNCTIONS'!$Y$6:$Y$669&amp;'BOM FUNCTIONS'!$Z$6:$Z$669,0),5),"")</f>
        <v/>
      </c>
      <c r="J127" s="2047" t="str">
        <f t="array" ref="J127">IF($H127&lt;&gt;"",
         INDEX('BOM FUNCTIONS'!$Y$6:$AD$669,MATCH(IP!$M127&amp;IP!$O127,'BOM FUNCTIONS'!$Y$6:$Y$669&amp;'BOM FUNCTIONS'!$Z$6:$Z$669,0),6),"")</f>
        <v/>
      </c>
      <c r="K127" s="2632" t="str">
        <f t="shared" si="29"/>
        <v/>
      </c>
      <c r="L127" s="2008" t="str">
        <f t="shared" si="20"/>
        <v/>
      </c>
      <c r="M127" s="446" t="str">
        <f t="shared" si="30"/>
        <v/>
      </c>
      <c r="N127" s="479"/>
      <c r="O127" s="436" t="str">
        <f t="shared" si="25"/>
        <v/>
      </c>
      <c r="P127" s="3049" t="str">
        <f t="array" ref="P127">IF($H127&lt;&gt;"",
         INDEX('BOM FUNCTIONS'!$Y$6:$AA$669,MATCH(IP!$M127&amp;IP!$O127,'BOM FUNCTIONS'!$Y$6:$Y$669&amp;'BOM FUNCTIONS'!$Z$6:$Z$669,0),3),"")</f>
        <v/>
      </c>
      <c r="Q127" s="2717"/>
      <c r="R127" s="849" t="str">
        <f>IF(B127&lt;&gt;"",
               IF(VLOOKUP($K127,DNS!$C$5:$I$54,6,FALSE)="No","No",
                    IF(AND($F127 = "Test 2.0", P127 &gt; 1715,$P127 &lt;1728),"Yes",
                     IF(AND($F127 ="Prod 2.0", P127 &gt; 2715, $P127 &lt; 2728), "Yes",
                          IF(OR(AND($F127 ="Prod F.W.", $P127 &gt; 3015, $P127&lt;3020,),AND($F127 ="Prod F.W.", $P127=3036)), "Yes","No")))),"")</f>
        <v/>
      </c>
      <c r="S127" s="2" t="str">
        <f t="shared" si="22"/>
        <v/>
      </c>
      <c r="T127" s="1969"/>
      <c r="U127" s="876"/>
      <c r="V127" s="1967"/>
    </row>
    <row r="128" spans="1:22">
      <c r="A128" s="259" t="str">
        <f t="shared" si="26"/>
        <v/>
      </c>
      <c r="B128" s="21"/>
      <c r="C128" s="24" t="str">
        <f t="shared" si="24"/>
        <v/>
      </c>
      <c r="D128" s="2464" t="str">
        <f t="shared" si="27"/>
        <v/>
      </c>
      <c r="E128" s="434" t="str">
        <f t="shared" si="16"/>
        <v/>
      </c>
      <c r="F128" s="434" t="str">
        <f>IF(B128&lt;&gt;"",VLOOKUP(VLOOKUP(B128,dist_assets,2,FALSE),'Distributed Assets'!$C$7:$F$22,4,FALSE),"")</f>
        <v/>
      </c>
      <c r="G128" s="434" t="str">
        <f t="shared" si="28"/>
        <v/>
      </c>
      <c r="H128" s="25"/>
      <c r="I128" s="3047" t="str">
        <f t="array" ref="I128">IF($H128&lt;&gt;"",
         INDEX('BOM FUNCTIONS'!$Y$6:$AC$669,MATCH(IP!$M128&amp;IP!$O128,'BOM FUNCTIONS'!$Y$6:$Y$669&amp;'BOM FUNCTIONS'!$Z$6:$Z$669,0),5),"")</f>
        <v/>
      </c>
      <c r="J128" s="2047" t="str">
        <f t="array" ref="J128">IF($H128&lt;&gt;"",
         INDEX('BOM FUNCTIONS'!$Y$6:$AD$669,MATCH(IP!$M128&amp;IP!$O128,'BOM FUNCTIONS'!$Y$6:$Y$669&amp;'BOM FUNCTIONS'!$Z$6:$Z$669,0),6),"")</f>
        <v/>
      </c>
      <c r="K128" s="2632" t="str">
        <f t="shared" si="29"/>
        <v/>
      </c>
      <c r="L128" s="2008" t="str">
        <f t="shared" si="20"/>
        <v/>
      </c>
      <c r="M128" s="446" t="str">
        <f t="shared" si="30"/>
        <v/>
      </c>
      <c r="N128" s="479"/>
      <c r="O128" s="436" t="str">
        <f t="shared" si="25"/>
        <v/>
      </c>
      <c r="P128" s="3049" t="str">
        <f t="array" ref="P128">IF($H128&lt;&gt;"",
         INDEX('BOM FUNCTIONS'!$Y$6:$AA$669,MATCH(IP!$M128&amp;IP!$O128,'BOM FUNCTIONS'!$Y$6:$Y$669&amp;'BOM FUNCTIONS'!$Z$6:$Z$669,0),3),"")</f>
        <v/>
      </c>
      <c r="Q128" s="2717"/>
      <c r="R128" s="849" t="str">
        <f>IF(B128&lt;&gt;"",
               IF(VLOOKUP($K128,DNS!$C$5:$I$54,6,FALSE)="No","No",
                    IF(AND($F128 = "Test 2.0", P128 &gt; 1715,$P128 &lt;1728),"Yes",
                     IF(AND($F128 ="Prod 2.0", P128 &gt; 2715, $P128 &lt; 2728), "Yes",
                          IF(OR(AND($F128 ="Prod F.W.", $P128 &gt; 3015, $P128&lt;3020,),AND($F128 ="Prod F.W.", $P128=3036)), "Yes","No")))),"")</f>
        <v/>
      </c>
      <c r="S128" s="2" t="str">
        <f t="shared" si="22"/>
        <v/>
      </c>
      <c r="T128" s="1969"/>
      <c r="U128" s="876"/>
      <c r="V128" s="1967"/>
    </row>
    <row r="129" spans="1:22">
      <c r="A129" s="259" t="str">
        <f t="shared" si="26"/>
        <v/>
      </c>
      <c r="B129" s="21"/>
      <c r="C129" s="24" t="str">
        <f t="shared" si="24"/>
        <v/>
      </c>
      <c r="D129" s="2464" t="str">
        <f t="shared" si="27"/>
        <v/>
      </c>
      <c r="E129" s="434" t="str">
        <f t="shared" si="16"/>
        <v/>
      </c>
      <c r="F129" s="434" t="str">
        <f>IF(B129&lt;&gt;"",VLOOKUP(VLOOKUP(B129,dist_assets,2,FALSE),'Distributed Assets'!$C$7:$F$22,4,FALSE),"")</f>
        <v/>
      </c>
      <c r="G129" s="434" t="str">
        <f t="shared" si="28"/>
        <v/>
      </c>
      <c r="H129" s="25"/>
      <c r="I129" s="3047" t="str">
        <f t="array" ref="I129">IF($H129&lt;&gt;"",
         INDEX('BOM FUNCTIONS'!$Y$6:$AC$669,MATCH(IP!$M129&amp;IP!$O129,'BOM FUNCTIONS'!$Y$6:$Y$669&amp;'BOM FUNCTIONS'!$Z$6:$Z$669,0),5),"")</f>
        <v/>
      </c>
      <c r="J129" s="2047" t="str">
        <f t="array" ref="J129">IF($H129&lt;&gt;"",
         INDEX('BOM FUNCTIONS'!$Y$6:$AD$669,MATCH(IP!$M129&amp;IP!$O129,'BOM FUNCTIONS'!$Y$6:$Y$669&amp;'BOM FUNCTIONS'!$Z$6:$Z$669,0),6),"")</f>
        <v/>
      </c>
      <c r="K129" s="2632" t="str">
        <f t="shared" si="29"/>
        <v/>
      </c>
      <c r="L129" s="2008" t="str">
        <f t="shared" si="20"/>
        <v/>
      </c>
      <c r="M129" s="446" t="str">
        <f t="shared" si="30"/>
        <v/>
      </c>
      <c r="N129" s="479"/>
      <c r="O129" s="436" t="str">
        <f t="shared" si="25"/>
        <v/>
      </c>
      <c r="P129" s="3049" t="str">
        <f t="array" ref="P129">IF($H129&lt;&gt;"",
         INDEX('BOM FUNCTIONS'!$Y$6:$AA$669,MATCH(IP!$M129&amp;IP!$O129,'BOM FUNCTIONS'!$Y$6:$Y$669&amp;'BOM FUNCTIONS'!$Z$6:$Z$669,0),3),"")</f>
        <v/>
      </c>
      <c r="Q129" s="2717"/>
      <c r="R129" s="849" t="str">
        <f>IF(B129&lt;&gt;"",
               IF(VLOOKUP($K129,DNS!$C$5:$I$54,6,FALSE)="No","No",
                    IF(AND($F129 = "Test 2.0", P129 &gt; 1715,$P129 &lt;1728),"Yes",
                     IF(AND($F129 ="Prod 2.0", P129 &gt; 2715, $P129 &lt; 2728), "Yes",
                          IF(OR(AND($F129 ="Prod F.W.", $P129 &gt; 3015, $P129&lt;3020,),AND($F129 ="Prod F.W.", $P129=3036)), "Yes","No")))),"")</f>
        <v/>
      </c>
      <c r="S129" s="2" t="str">
        <f t="shared" si="22"/>
        <v/>
      </c>
      <c r="T129" s="1969"/>
      <c r="U129" s="876"/>
      <c r="V129" s="1967"/>
    </row>
    <row r="130" spans="1:22">
      <c r="A130" s="259" t="str">
        <f t="shared" si="26"/>
        <v/>
      </c>
      <c r="B130" s="21"/>
      <c r="C130" s="24" t="str">
        <f t="shared" si="24"/>
        <v/>
      </c>
      <c r="D130" s="2464" t="str">
        <f t="shared" si="27"/>
        <v/>
      </c>
      <c r="E130" s="434" t="str">
        <f t="shared" si="16"/>
        <v/>
      </c>
      <c r="F130" s="434" t="str">
        <f>IF(B130&lt;&gt;"",VLOOKUP(VLOOKUP(B130,dist_assets,2,FALSE),'Distributed Assets'!$C$7:$F$22,4,FALSE),"")</f>
        <v/>
      </c>
      <c r="G130" s="434" t="str">
        <f t="shared" si="28"/>
        <v/>
      </c>
      <c r="H130" s="25"/>
      <c r="I130" s="3047" t="str">
        <f t="array" ref="I130">IF($H130&lt;&gt;"",
         INDEX('BOM FUNCTIONS'!$Y$6:$AC$669,MATCH(IP!$M130&amp;IP!$O130,'BOM FUNCTIONS'!$Y$6:$Y$669&amp;'BOM FUNCTIONS'!$Z$6:$Z$669,0),5),"")</f>
        <v/>
      </c>
      <c r="J130" s="2047" t="str">
        <f t="array" ref="J130">IF($H130&lt;&gt;"",
         INDEX('BOM FUNCTIONS'!$Y$6:$AD$669,MATCH(IP!$M130&amp;IP!$O130,'BOM FUNCTIONS'!$Y$6:$Y$669&amp;'BOM FUNCTIONS'!$Z$6:$Z$669,0),6),"")</f>
        <v/>
      </c>
      <c r="K130" s="2632" t="str">
        <f t="shared" si="29"/>
        <v/>
      </c>
      <c r="L130" s="2008" t="str">
        <f t="shared" si="20"/>
        <v/>
      </c>
      <c r="M130" s="446" t="str">
        <f t="shared" si="30"/>
        <v/>
      </c>
      <c r="N130" s="479"/>
      <c r="O130" s="436" t="str">
        <f t="shared" si="25"/>
        <v/>
      </c>
      <c r="P130" s="3049" t="str">
        <f t="array" ref="P130">IF($H130&lt;&gt;"",
         INDEX('BOM FUNCTIONS'!$Y$6:$AA$669,MATCH(IP!$M130&amp;IP!$O130,'BOM FUNCTIONS'!$Y$6:$Y$669&amp;'BOM FUNCTIONS'!$Z$6:$Z$669,0),3),"")</f>
        <v/>
      </c>
      <c r="Q130" s="2717"/>
      <c r="R130" s="849" t="str">
        <f>IF(B130&lt;&gt;"",
               IF(VLOOKUP($K130,DNS!$C$5:$I$54,6,FALSE)="No","No",
                    IF(AND($F130 = "Test 2.0", P130 &gt; 1715,$P130 &lt;1728),"Yes",
                     IF(AND($F130 ="Prod 2.0", P130 &gt; 2715, $P130 &lt; 2728), "Yes",
                          IF(OR(AND($F130 ="Prod F.W.", $P130 &gt; 3015, $P130&lt;3020,),AND($F130 ="Prod F.W.", $P130=3036)), "Yes","No")))),"")</f>
        <v/>
      </c>
      <c r="S130" s="2" t="str">
        <f t="shared" si="22"/>
        <v/>
      </c>
      <c r="T130" s="1969"/>
      <c r="U130" s="876"/>
      <c r="V130" s="1967"/>
    </row>
    <row r="131" spans="1:22">
      <c r="A131" s="259" t="str">
        <f t="shared" si="26"/>
        <v/>
      </c>
      <c r="B131" s="21"/>
      <c r="C131" s="24" t="str">
        <f t="shared" si="24"/>
        <v/>
      </c>
      <c r="D131" s="2464" t="str">
        <f t="shared" si="27"/>
        <v/>
      </c>
      <c r="E131" s="434" t="str">
        <f t="shared" si="16"/>
        <v/>
      </c>
      <c r="F131" s="434" t="str">
        <f>IF(B131&lt;&gt;"",VLOOKUP(VLOOKUP(B131,dist_assets,2,FALSE),'Distributed Assets'!$C$7:$F$22,4,FALSE),"")</f>
        <v/>
      </c>
      <c r="G131" s="434" t="str">
        <f t="shared" si="28"/>
        <v/>
      </c>
      <c r="H131" s="25"/>
      <c r="I131" s="3047" t="str">
        <f t="array" ref="I131">IF($H131&lt;&gt;"",
         INDEX('BOM FUNCTIONS'!$Y$6:$AC$669,MATCH(IP!$M131&amp;IP!$O131,'BOM FUNCTIONS'!$Y$6:$Y$669&amp;'BOM FUNCTIONS'!$Z$6:$Z$669,0),5),"")</f>
        <v/>
      </c>
      <c r="J131" s="2047" t="str">
        <f t="array" ref="J131">IF($H131&lt;&gt;"",
         INDEX('BOM FUNCTIONS'!$Y$6:$AD$669,MATCH(IP!$M131&amp;IP!$O131,'BOM FUNCTIONS'!$Y$6:$Y$669&amp;'BOM FUNCTIONS'!$Z$6:$Z$669,0),6),"")</f>
        <v/>
      </c>
      <c r="K131" s="2632" t="str">
        <f t="shared" si="29"/>
        <v/>
      </c>
      <c r="L131" s="2008" t="str">
        <f t="shared" si="20"/>
        <v/>
      </c>
      <c r="M131" s="446" t="str">
        <f t="shared" si="30"/>
        <v/>
      </c>
      <c r="N131" s="479"/>
      <c r="O131" s="436" t="str">
        <f t="shared" si="25"/>
        <v/>
      </c>
      <c r="P131" s="3049" t="str">
        <f t="array" ref="P131">IF($H131&lt;&gt;"",
         INDEX('BOM FUNCTIONS'!$Y$6:$AA$669,MATCH(IP!$M131&amp;IP!$O131,'BOM FUNCTIONS'!$Y$6:$Y$669&amp;'BOM FUNCTIONS'!$Z$6:$Z$669,0),3),"")</f>
        <v/>
      </c>
      <c r="Q131" s="2717"/>
      <c r="R131" s="849" t="str">
        <f>IF(B131&lt;&gt;"",
               IF(VLOOKUP($K131,DNS!$C$5:$I$54,6,FALSE)="No","No",
                    IF(AND($F131 = "Test 2.0", P131 &gt; 1715,$P131 &lt;1728),"Yes",
                     IF(AND($F131 ="Prod 2.0", P131 &gt; 2715, $P131 &lt; 2728), "Yes",
                          IF(OR(AND($F131 ="Prod F.W.", $P131 &gt; 3015, $P131&lt;3020,),AND($F131 ="Prod F.W.", $P131=3036)), "Yes","No")))),"")</f>
        <v/>
      </c>
      <c r="S131" s="2" t="str">
        <f t="shared" si="22"/>
        <v/>
      </c>
      <c r="T131" s="1969"/>
      <c r="U131" s="876"/>
      <c r="V131" s="1967"/>
    </row>
    <row r="132" spans="1:22">
      <c r="A132" s="259" t="str">
        <f t="shared" si="26"/>
        <v/>
      </c>
      <c r="B132" s="21"/>
      <c r="C132" s="24" t="str">
        <f t="shared" si="24"/>
        <v/>
      </c>
      <c r="D132" s="2464" t="str">
        <f t="shared" ref="D132:D153" si="31">IF($B132&lt;&gt;"", IF(AND(LEFT(VLOOKUP($B132,dist_assets,5,FALSE),3)="POD",VLOOKUP($B132,dist_assets,7,FALSE)="IBM DB2 Data Drives"),"Data Drive INFO",
        VLOOKUP($B132,dist_assets,21,FALSE)),"")</f>
        <v/>
      </c>
      <c r="E132" s="434" t="str">
        <f t="shared" ref="E132:E153" si="32">IF(B132&lt;&gt;"",VLOOKUP(B132,dist_assets,9,FALSE),"")</f>
        <v/>
      </c>
      <c r="F132" s="434" t="str">
        <f>IF(B132&lt;&gt;"",VLOOKUP(VLOOKUP(B132,dist_assets,2,FALSE),'Distributed Assets'!$C$7:$F$22,4,FALSE),"")</f>
        <v/>
      </c>
      <c r="G132" s="434" t="str">
        <f t="shared" ref="G132:G153" si="33">IF(B132&lt;&gt;"",VLOOKUP(B132,dist_assets,8,FALSE),"")</f>
        <v/>
      </c>
      <c r="H132" s="25"/>
      <c r="I132" s="3047" t="str">
        <f t="array" ref="I132">IF($H132&lt;&gt;"",
         INDEX('BOM FUNCTIONS'!$Y$6:$AC$669,MATCH(IP!$M132&amp;IP!$O132,'BOM FUNCTIONS'!$Y$6:$Y$669&amp;'BOM FUNCTIONS'!$Z$6:$Z$669,0),5),"")</f>
        <v/>
      </c>
      <c r="J132" s="2047" t="str">
        <f t="array" ref="J132">IF($H132&lt;&gt;"",
         INDEX('BOM FUNCTIONS'!$Y$6:$AD$669,MATCH(IP!$M132&amp;IP!$O132,'BOM FUNCTIONS'!$Y$6:$Y$669&amp;'BOM FUNCTIONS'!$Z$6:$Z$669,0),6),"")</f>
        <v/>
      </c>
      <c r="K132" s="2632" t="str">
        <f t="shared" ref="K132:K153" si="34">IF($B132&lt;&gt;"",
             IF(AND($F132="Dev",$E132="Windows",$H132="Application Interface"),CONCATENATE($D132,".adhcscdev.net"),
               IF(AND($F132="Test 2.0",$E132="Windows",$H132="Application Interface"),CONCATENATE($D132,".adhcsctst.net"),
                IF(AND($F132="Non-Prod (ITC)",$E132="Windows",$H132="Application Interface"),CONCATENATE($D132,".adhcsctst.net"),
                 IF(AND($F132="ALT Prod",$E132="Windows",$H132="Application Interface"),CONCATENATE($D132,".adhcscalt.net"),
                 IF(AND($F132="Prod 2.0",$E132="Windows",$H132="Application Interface"),CONCATENATE($D132,".adhcscint.net"),
                  IF(AND($F132="Prod (ITC)",$E132="Windows",$H132="Application Interface"),CONCATENATE($D132,".adhcscint.net"),
                     IF(AND($F132="Prod F.W.",$E132="Windows",$H132="Application Interface"),CONCATENATE($D132,".adhcscint.net"),
                        IF(AND($F132="Test 2.0",$E132="Windows",$H132="DMZ backup"),CONCATENATE($D132,".dmzbkp.test.hcscint.net"),
                            IF(AND($F132="Prod 2.0",$E132="Windows",$H132="DMZ backup"),CONCATENATE($D132,".dmzbkp.hcscint.net"),
                                 IF(AND($F132="Prod F.W.",$E132="Windows",$H132="DMZ backup"),CONCATENATE($D132,".dmzbkp.hcscint.net"),
             IF(AND($F132="Dev",$E132&lt;&gt;"Windows",$C132=1,$H132="Application Interface"),CONCATENATE($D132,".app.dev.hcscint.net"),
                IF(AND($F132="Test 2.0",$E132&lt;&gt;"Windows",$C132=1,$H132="Application Interface"),CONCATENATE($D132,".app.test.hcscint.net"),
             IF(AND($F132="Non-Prod (ITC)",$E132&lt;&gt;"Windows",$C132=1,$H132="Application Interface"),CONCATENATE($D132,".app.test.hcscint.net"),
             IF(AND($F132="ALT Prod",$E132&lt;&gt;"Windows",$C132=1,$H132="Application Interface"),CONCATENATE($D132,".app.alt.hcscint.net"),
                    IF(AND($F132="Prod 2.0",$E132&lt;&gt;"Windows",$C132=1,$H132="Application Interface"),$D132 &amp;".app.hcscint.net",
                      IF(AND($F132="Prod (ITC)",$E132&lt;&gt;"Windows",$C132=1,$H132="Application Interface"),$D132 &amp;".app.hcscint.net",
                        IF(AND($F132="Prod F.W.",$E132&lt;&gt;"Windows",$C132=1,$H132="Application Interface"),$D132 &amp;".app.hcscint.net",
           IF(AND($F132="Dev",$E132&lt;&gt;"Windows",$C132=1,$H132="Persistent Interface"),$D132 &amp;".app.dev.hcscint.net",
                IF(AND($F132="Test 2.0",$E132&lt;&gt;"Windows",$C132=1,$H132="Persistent Interface"),$D132 &amp;".app.test.hcscint.net",
                    IF(AND($F132="Prod 2.0",$E132&lt;&gt;"Windows",$C132=1,$H132="Persistent Interface"),$D132 &amp;".app.hcscint.net",
                            IF(AND($F132="Prod F.W.",$E132&lt;&gt;"Windows",$C132=1,$H132="Persistent Interface"),$D132 &amp;".app.hcscint.net",
              IF(AND($F132="Dev",$E132&lt;&gt;"Windows",$C132=1,$H132="Application Interface"),SUBSTITUTE(CONCATENATE($D132,".app.dev.hcscint.net"),"p.",".",1),
                IF(AND($F132="Test 2.0",$E132&lt;&gt;"Windows",$C132=2,$H132="Application Interface"),SUBSTITUTE(CONCATENATE($D132,".app.test.hcscint.net"),"p.",".",1),
                    IF(AND($F132="Prod 2.0",$E132&lt;&gt;"Windows",$C132=2,$H132="Application Interface"),SUBSTITUTE(CONCATENATE($D132,".app.hcscint.net"),"p.",".",1),
                        IF(AND($F132="Prod F.W.",$E132&lt;&gt;"Windows",$C132=2,$H132="Application Interface"),SUBSTITUTE(CONCATENATE($D132,".app.hcscint.net"),"p.",".",1),
              IF(AND($F132="Dev",$E132&lt;&gt;"Windows",OR($H132="OOB Interface",$H132="OOB-2 Interface",$H132="OOB-3 Interface")),CONCATENATE($D132,".oob.dev.hcscint.net"),
                IF(AND($F132="Test 2.0",$E132&lt;&gt;"Windows",OR($H132="OOB Interface",$H132="OOB-2 Interface",$H132="OOB-3 Interface")),CONCATENATE($D132,".oob.test.hcscint.net"),
                  IF(AND($F132="Alt Prod",$E132&lt;&gt;"Windows",OR($H132="OOB Interface",$H132="OOB-2 Interface",$H132="OOB-3 Interface")),CONCATENATE($D132,".oob.test.hcscint.net"),
                    IF(AND($F132="Prod 2.0",$E132&lt;&gt;"Windows",OR($H132="OOB Interface",$H132="OOB-2 Interface",$H132="OOB-3 Interface")),CONCATENATE($D132,".oob.hcscint.net"),
                          IF(AND($F132="Prod F.W.",$E132&lt;&gt;"Windows",OR($H132="OOB Interface",$H132="OOB-2 Interface",$H132="OOB-3 Interface")),CONCATENATE($D132,".oob.hcscint.net"),
              IF(AND($F132="Dev",$E132&lt;&gt;"Windows",OR($H132="iLO Interface",$H132="iLO-2 Interface",$H132="iLO-3 Interface", $H132="iLO-4 Interface")),CONCATENATE($D132,"-ilo.oob.dev.hcscint.net"),
                IF(AND($F132="Test 2.0",$E132&lt;&gt;"Windows",OR($H132="iLO Interface",$H132="iLO-2 Interface",$H132="iLO-3 Interface", $H132="iLO-4 Interface")),CONCATENATE($D132,"-ilo.oob.test.hcscint.net"),
                    IF(AND($F132="Prod 2.0",$E132&lt;&gt;"Windows",OR($H132="iLO Interface",$H132="iLO-2 Interface",$H132="iLO-3 Interface", $H132="iLO-4 Interface")),CONCATENATE($D132,"-ilo.oob.hcscint.net"),
                          IF(AND($F132="Prod F.W.",$E132&lt;&gt;"Windows",OR($H132="iLO Interface",$H132="iLO-2 Interface",$H132="iLO-3 Interface", $H132="iLO-4 Interface")),CONCATENATE($D132,"-ilo.oob.hcscint.net"),
                IF(AND($F132="Test 2.0",$E132&lt;&gt;"Windows",$H132="DMZ Backup"),CONCATENATE($D132,".dmzbkp.test.hcscint.net"),
                    IF(AND($F132="Prod 2.0",$E132&lt;&gt;"Windows",$H132="DMZ Backup"),CONCATENATE($D132,".dmzbkp.hcscint.net"),
                           IF(AND($F132="Prod F.W.",$E132&lt;&gt;"Windows",$H132="DMZ Backup"),CONCATENATE($D132,".dmzbkp.hcscint.net"),
 IF(AND($F132="Non-Prod (ITC)",$E132&lt;&gt;"Windows",$H132="ITC Backup"),CONCATENATE($D132,"-1"),
 IF(AND($F132="Prod (ITC)",$E132&lt;&gt;"Windows",$H132="ITC Backup"),CONCATENATE($D132,"-1"),
))))))))))))))))))))))))))))))))))))))),"")</f>
        <v/>
      </c>
      <c r="L132" s="2008" t="str">
        <f t="shared" si="20"/>
        <v/>
      </c>
      <c r="M132" s="446" t="str">
        <f t="shared" ref="M132:M153" si="35">IF($B132&lt;&gt;"",VLOOKUP(VLOOKUP($B132,dist_assets,5,FALSE),location_table,2,FALSE),"")</f>
        <v/>
      </c>
      <c r="N132" s="479"/>
      <c r="O132" s="436" t="str">
        <f t="shared" si="25"/>
        <v/>
      </c>
      <c r="P132" s="3049" t="str">
        <f t="array" ref="P132">IF($H132&lt;&gt;"",
         INDEX('BOM FUNCTIONS'!$Y$6:$AA$669,MATCH(IP!$M132&amp;IP!$O132,'BOM FUNCTIONS'!$Y$6:$Y$669&amp;'BOM FUNCTIONS'!$Z$6:$Z$669,0),3),"")</f>
        <v/>
      </c>
      <c r="Q132" s="2717"/>
      <c r="R132" s="849" t="str">
        <f>IF(B132&lt;&gt;"",
               IF(VLOOKUP($K132,DNS!$C$5:$I$54,6,FALSE)="No","No",
                    IF(AND($F132 = "Test 2.0", P132 &gt; 1715,$P132 &lt;1728),"Yes",
                     IF(AND($F132 ="Prod 2.0", P132 &gt; 2715, $P132 &lt; 2728), "Yes",
                          IF(OR(AND($F132 ="Prod F.W.", $P132 &gt; 3015, $P132&lt;3020,),AND($F132 ="Prod F.W.", $P132=3036)), "Yes","No")))),"")</f>
        <v/>
      </c>
      <c r="S132" s="2" t="str">
        <f t="shared" si="22"/>
        <v/>
      </c>
      <c r="T132" s="1969"/>
      <c r="U132" s="876"/>
      <c r="V132" s="1967"/>
    </row>
    <row r="133" spans="1:22">
      <c r="A133" s="259" t="str">
        <f t="shared" si="26"/>
        <v/>
      </c>
      <c r="B133" s="21"/>
      <c r="C133" s="24" t="str">
        <f t="shared" si="24"/>
        <v/>
      </c>
      <c r="D133" s="2464" t="str">
        <f t="shared" si="31"/>
        <v/>
      </c>
      <c r="E133" s="434" t="str">
        <f t="shared" si="32"/>
        <v/>
      </c>
      <c r="F133" s="434" t="str">
        <f>IF(B133&lt;&gt;"",VLOOKUP(VLOOKUP(B133,dist_assets,2,FALSE),'Distributed Assets'!$C$7:$F$22,4,FALSE),"")</f>
        <v/>
      </c>
      <c r="G133" s="434" t="str">
        <f t="shared" si="33"/>
        <v/>
      </c>
      <c r="H133" s="25"/>
      <c r="I133" s="3047" t="str">
        <f t="array" ref="I133">IF($H133&lt;&gt;"",
         INDEX('BOM FUNCTIONS'!$Y$6:$AC$669,MATCH(IP!$M133&amp;IP!$O133,'BOM FUNCTIONS'!$Y$6:$Y$669&amp;'BOM FUNCTIONS'!$Z$6:$Z$669,0),5),"")</f>
        <v/>
      </c>
      <c r="J133" s="2047" t="str">
        <f t="array" ref="J133">IF($H133&lt;&gt;"",
         INDEX('BOM FUNCTIONS'!$Y$6:$AD$669,MATCH(IP!$M133&amp;IP!$O133,'BOM FUNCTIONS'!$Y$6:$Y$669&amp;'BOM FUNCTIONS'!$Z$6:$Z$669,0),6),"")</f>
        <v/>
      </c>
      <c r="K133" s="2632" t="str">
        <f t="shared" si="34"/>
        <v/>
      </c>
      <c r="L133" s="2008" t="str">
        <f t="shared" ref="L133:L153" si="36">IF(E133&lt;&gt;"",
IF(E133="Windows","Windows Admins",
IF(OR(LEFT(E133,5)="Linux",E133="AIX",E133="Solaris"),"ECS-Open Systems",
IF(E133="Appliance","ITG Network Services",
""))),"")</f>
        <v/>
      </c>
      <c r="M133" s="446" t="str">
        <f t="shared" si="35"/>
        <v/>
      </c>
      <c r="N133" s="479"/>
      <c r="O133" s="436" t="str">
        <f t="shared" si="25"/>
        <v/>
      </c>
      <c r="P133" s="3049" t="str">
        <f t="array" ref="P133">IF($H133&lt;&gt;"",
         INDEX('BOM FUNCTIONS'!$Y$6:$AA$669,MATCH(IP!$M133&amp;IP!$O133,'BOM FUNCTIONS'!$Y$6:$Y$669&amp;'BOM FUNCTIONS'!$Z$6:$Z$669,0),3),"")</f>
        <v/>
      </c>
      <c r="Q133" s="2717"/>
      <c r="R133" s="849" t="str">
        <f>IF(B133&lt;&gt;"",
               IF(VLOOKUP($K133,DNS!$C$5:$I$54,6,FALSE)="No","No",
                    IF(AND($F133 = "Test 2.0", P133 &gt; 1715,$P133 &lt;1728),"Yes",
                     IF(AND($F133 ="Prod 2.0", P133 &gt; 2715, $P133 &lt; 2728), "Yes",
                          IF(OR(AND($F133 ="Prod F.W.", $P133 &gt; 3015, $P133&lt;3020,),AND($F133 ="Prod F.W.", $P133=3036)), "Yes","No")))),"")</f>
        <v/>
      </c>
      <c r="S133" s="2" t="str">
        <f t="shared" ref="S133:S153" si="37">IF(B133&lt;&gt;"",
        IF(OR($P133=1717,$P133=1719,$P133=1785,$P133=2717,$P133=2719,$P133=2785,$P133=3017,$P133=30197,$P133=3085), "Need DMZ Backup Interface",""),"")</f>
        <v/>
      </c>
      <c r="T133" s="1969"/>
      <c r="U133" s="876"/>
      <c r="V133" s="1967"/>
    </row>
    <row r="134" spans="1:22">
      <c r="A134" s="259" t="str">
        <f t="shared" si="26"/>
        <v/>
      </c>
      <c r="B134" s="21"/>
      <c r="C134" s="24" t="str">
        <f t="shared" si="24"/>
        <v/>
      </c>
      <c r="D134" s="2464" t="str">
        <f t="shared" si="31"/>
        <v/>
      </c>
      <c r="E134" s="434" t="str">
        <f t="shared" si="32"/>
        <v/>
      </c>
      <c r="F134" s="434" t="str">
        <f>IF(B134&lt;&gt;"",VLOOKUP(VLOOKUP(B134,dist_assets,2,FALSE),'Distributed Assets'!$C$7:$F$22,4,FALSE),"")</f>
        <v/>
      </c>
      <c r="G134" s="434" t="str">
        <f t="shared" si="33"/>
        <v/>
      </c>
      <c r="H134" s="25"/>
      <c r="I134" s="3047" t="str">
        <f t="array" ref="I134">IF($H134&lt;&gt;"",
         INDEX('BOM FUNCTIONS'!$Y$6:$AC$669,MATCH(IP!$M134&amp;IP!$O134,'BOM FUNCTIONS'!$Y$6:$Y$669&amp;'BOM FUNCTIONS'!$Z$6:$Z$669,0),5),"")</f>
        <v/>
      </c>
      <c r="J134" s="2047" t="str">
        <f t="array" ref="J134">IF($H134&lt;&gt;"",
         INDEX('BOM FUNCTIONS'!$Y$6:$AD$669,MATCH(IP!$M134&amp;IP!$O134,'BOM FUNCTIONS'!$Y$6:$Y$669&amp;'BOM FUNCTIONS'!$Z$6:$Z$669,0),6),"")</f>
        <v/>
      </c>
      <c r="K134" s="2632" t="str">
        <f t="shared" si="34"/>
        <v/>
      </c>
      <c r="L134" s="2008" t="str">
        <f t="shared" si="36"/>
        <v/>
      </c>
      <c r="M134" s="446" t="str">
        <f t="shared" si="35"/>
        <v/>
      </c>
      <c r="N134" s="479"/>
      <c r="O134" s="436" t="str">
        <f t="shared" si="25"/>
        <v/>
      </c>
      <c r="P134" s="3049" t="str">
        <f t="array" ref="P134">IF($H134&lt;&gt;"",
         INDEX('BOM FUNCTIONS'!$Y$6:$AA$669,MATCH(IP!$M134&amp;IP!$O134,'BOM FUNCTIONS'!$Y$6:$Y$669&amp;'BOM FUNCTIONS'!$Z$6:$Z$669,0),3),"")</f>
        <v/>
      </c>
      <c r="Q134" s="2717"/>
      <c r="R134" s="849" t="str">
        <f>IF(B134&lt;&gt;"",
               IF(VLOOKUP($K134,DNS!$C$5:$I$54,6,FALSE)="No","No",
                    IF(AND($F134 = "Test 2.0", P134 &gt; 1715,$P134 &lt;1728),"Yes",
                     IF(AND($F134 ="Prod 2.0", P134 &gt; 2715, $P134 &lt; 2728), "Yes",
                          IF(OR(AND($F134 ="Prod F.W.", $P134 &gt; 3015, $P134&lt;3020,),AND($F134 ="Prod F.W.", $P134=3036)), "Yes","No")))),"")</f>
        <v/>
      </c>
      <c r="S134" s="2" t="str">
        <f t="shared" si="37"/>
        <v/>
      </c>
      <c r="T134" s="1969"/>
      <c r="U134" s="876"/>
      <c r="V134" s="1967"/>
    </row>
    <row r="135" spans="1:22">
      <c r="A135" s="259" t="str">
        <f t="shared" si="26"/>
        <v/>
      </c>
      <c r="B135" s="21"/>
      <c r="C135" s="24" t="str">
        <f t="shared" si="24"/>
        <v/>
      </c>
      <c r="D135" s="2464" t="str">
        <f t="shared" si="31"/>
        <v/>
      </c>
      <c r="E135" s="434" t="str">
        <f t="shared" si="32"/>
        <v/>
      </c>
      <c r="F135" s="434" t="str">
        <f>IF(B135&lt;&gt;"",VLOOKUP(VLOOKUP(B135,dist_assets,2,FALSE),'Distributed Assets'!$C$7:$F$22,4,FALSE),"")</f>
        <v/>
      </c>
      <c r="G135" s="434" t="str">
        <f t="shared" si="33"/>
        <v/>
      </c>
      <c r="H135" s="25"/>
      <c r="I135" s="3047" t="str">
        <f t="array" ref="I135">IF($H135&lt;&gt;"",
         INDEX('BOM FUNCTIONS'!$Y$6:$AC$669,MATCH(IP!$M135&amp;IP!$O135,'BOM FUNCTIONS'!$Y$6:$Y$669&amp;'BOM FUNCTIONS'!$Z$6:$Z$669,0),5),"")</f>
        <v/>
      </c>
      <c r="J135" s="2047" t="str">
        <f t="array" ref="J135">IF($H135&lt;&gt;"",
         INDEX('BOM FUNCTIONS'!$Y$6:$AD$669,MATCH(IP!$M135&amp;IP!$O135,'BOM FUNCTIONS'!$Y$6:$Y$669&amp;'BOM FUNCTIONS'!$Z$6:$Z$669,0),6),"")</f>
        <v/>
      </c>
      <c r="K135" s="2632" t="str">
        <f t="shared" si="34"/>
        <v/>
      </c>
      <c r="L135" s="2008" t="str">
        <f t="shared" si="36"/>
        <v/>
      </c>
      <c r="M135" s="446" t="str">
        <f t="shared" si="35"/>
        <v/>
      </c>
      <c r="N135" s="479"/>
      <c r="O135" s="436" t="str">
        <f t="shared" si="25"/>
        <v/>
      </c>
      <c r="P135" s="3049" t="str">
        <f t="array" ref="P135">IF($H135&lt;&gt;"",
         INDEX('BOM FUNCTIONS'!$Y$6:$AA$669,MATCH(IP!$M135&amp;IP!$O135,'BOM FUNCTIONS'!$Y$6:$Y$669&amp;'BOM FUNCTIONS'!$Z$6:$Z$669,0),3),"")</f>
        <v/>
      </c>
      <c r="Q135" s="2717"/>
      <c r="R135" s="849" t="str">
        <f>IF(B135&lt;&gt;"",
               IF(VLOOKUP($K135,DNS!$C$5:$I$54,6,FALSE)="No","No",
                    IF(AND($F135 = "Test 2.0", P135 &gt; 1715,$P135 &lt;1728),"Yes",
                     IF(AND($F135 ="Prod 2.0", P135 &gt; 2715, $P135 &lt; 2728), "Yes",
                          IF(OR(AND($F135 ="Prod F.W.", $P135 &gt; 3015, $P135&lt;3020,),AND($F135 ="Prod F.W.", $P135=3036)), "Yes","No")))),"")</f>
        <v/>
      </c>
      <c r="S135" s="2" t="str">
        <f t="shared" si="37"/>
        <v/>
      </c>
      <c r="T135" s="1969"/>
      <c r="U135" s="876"/>
      <c r="V135" s="1967"/>
    </row>
    <row r="136" spans="1:22">
      <c r="A136" s="259" t="str">
        <f t="shared" si="26"/>
        <v/>
      </c>
      <c r="B136" s="21"/>
      <c r="C136" s="24" t="str">
        <f t="shared" si="24"/>
        <v/>
      </c>
      <c r="D136" s="2464" t="str">
        <f t="shared" si="31"/>
        <v/>
      </c>
      <c r="E136" s="434" t="str">
        <f t="shared" si="32"/>
        <v/>
      </c>
      <c r="F136" s="434" t="str">
        <f>IF(B136&lt;&gt;"",VLOOKUP(VLOOKUP(B136,dist_assets,2,FALSE),'Distributed Assets'!$C$7:$F$22,4,FALSE),"")</f>
        <v/>
      </c>
      <c r="G136" s="434" t="str">
        <f t="shared" si="33"/>
        <v/>
      </c>
      <c r="H136" s="25"/>
      <c r="I136" s="3047" t="str">
        <f t="array" ref="I136">IF($H136&lt;&gt;"",
         INDEX('BOM FUNCTIONS'!$Y$6:$AC$669,MATCH(IP!$M136&amp;IP!$O136,'BOM FUNCTIONS'!$Y$6:$Y$669&amp;'BOM FUNCTIONS'!$Z$6:$Z$669,0),5),"")</f>
        <v/>
      </c>
      <c r="J136" s="2047" t="str">
        <f t="array" ref="J136">IF($H136&lt;&gt;"",
         INDEX('BOM FUNCTIONS'!$Y$6:$AD$669,MATCH(IP!$M136&amp;IP!$O136,'BOM FUNCTIONS'!$Y$6:$Y$669&amp;'BOM FUNCTIONS'!$Z$6:$Z$669,0),6),"")</f>
        <v/>
      </c>
      <c r="K136" s="2632" t="str">
        <f t="shared" si="34"/>
        <v/>
      </c>
      <c r="L136" s="2008" t="str">
        <f t="shared" si="36"/>
        <v/>
      </c>
      <c r="M136" s="446" t="str">
        <f t="shared" si="35"/>
        <v/>
      </c>
      <c r="N136" s="479"/>
      <c r="O136" s="436" t="str">
        <f t="shared" si="25"/>
        <v/>
      </c>
      <c r="P136" s="3049" t="str">
        <f t="array" ref="P136">IF($H136&lt;&gt;"",
         INDEX('BOM FUNCTIONS'!$Y$6:$AA$669,MATCH(IP!$M136&amp;IP!$O136,'BOM FUNCTIONS'!$Y$6:$Y$669&amp;'BOM FUNCTIONS'!$Z$6:$Z$669,0),3),"")</f>
        <v/>
      </c>
      <c r="Q136" s="2717"/>
      <c r="R136" s="849" t="str">
        <f>IF(B136&lt;&gt;"",
               IF(VLOOKUP($K136,DNS!$C$5:$I$54,6,FALSE)="No","No",
                    IF(AND($F136 = "Test 2.0", P136 &gt; 1715,$P136 &lt;1728),"Yes",
                     IF(AND($F136 ="Prod 2.0", P136 &gt; 2715, $P136 &lt; 2728), "Yes",
                          IF(OR(AND($F136 ="Prod F.W.", $P136 &gt; 3015, $P136&lt;3020,),AND($F136 ="Prod F.W.", $P136=3036)), "Yes","No")))),"")</f>
        <v/>
      </c>
      <c r="S136" s="2" t="str">
        <f t="shared" si="37"/>
        <v/>
      </c>
      <c r="T136" s="1969"/>
      <c r="U136" s="876"/>
      <c r="V136" s="1967"/>
    </row>
    <row r="137" spans="1:22">
      <c r="A137" s="259" t="str">
        <f t="shared" si="26"/>
        <v/>
      </c>
      <c r="B137" s="21"/>
      <c r="C137" s="24" t="str">
        <f t="shared" si="24"/>
        <v/>
      </c>
      <c r="D137" s="2464" t="str">
        <f t="shared" si="31"/>
        <v/>
      </c>
      <c r="E137" s="434" t="str">
        <f t="shared" si="32"/>
        <v/>
      </c>
      <c r="F137" s="434" t="str">
        <f>IF(B137&lt;&gt;"",VLOOKUP(VLOOKUP(B137,dist_assets,2,FALSE),'Distributed Assets'!$C$7:$F$22,4,FALSE),"")</f>
        <v/>
      </c>
      <c r="G137" s="434" t="str">
        <f t="shared" si="33"/>
        <v/>
      </c>
      <c r="H137" s="25"/>
      <c r="I137" s="3047" t="str">
        <f t="array" ref="I137">IF($H137&lt;&gt;"",
         INDEX('BOM FUNCTIONS'!$Y$6:$AC$669,MATCH(IP!$M137&amp;IP!$O137,'BOM FUNCTIONS'!$Y$6:$Y$669&amp;'BOM FUNCTIONS'!$Z$6:$Z$669,0),5),"")</f>
        <v/>
      </c>
      <c r="J137" s="2047" t="str">
        <f t="array" ref="J137">IF($H137&lt;&gt;"",
         INDEX('BOM FUNCTIONS'!$Y$6:$AD$669,MATCH(IP!$M137&amp;IP!$O137,'BOM FUNCTIONS'!$Y$6:$Y$669&amp;'BOM FUNCTIONS'!$Z$6:$Z$669,0),6),"")</f>
        <v/>
      </c>
      <c r="K137" s="2632" t="str">
        <f t="shared" si="34"/>
        <v/>
      </c>
      <c r="L137" s="2008" t="str">
        <f t="shared" si="36"/>
        <v/>
      </c>
      <c r="M137" s="446" t="str">
        <f t="shared" si="35"/>
        <v/>
      </c>
      <c r="N137" s="479"/>
      <c r="O137" s="436" t="str">
        <f t="shared" si="25"/>
        <v/>
      </c>
      <c r="P137" s="3049" t="str">
        <f t="array" ref="P137">IF($H137&lt;&gt;"",
         INDEX('BOM FUNCTIONS'!$Y$6:$AA$669,MATCH(IP!$M137&amp;IP!$O137,'BOM FUNCTIONS'!$Y$6:$Y$669&amp;'BOM FUNCTIONS'!$Z$6:$Z$669,0),3),"")</f>
        <v/>
      </c>
      <c r="Q137" s="2717"/>
      <c r="R137" s="849" t="str">
        <f>IF(B137&lt;&gt;"",
               IF(VLOOKUP($K137,DNS!$C$5:$I$54,6,FALSE)="No","No",
                    IF(AND($F137 = "Test 2.0", P137 &gt; 1715,$P137 &lt;1728),"Yes",
                     IF(AND($F137 ="Prod 2.0", P137 &gt; 2715, $P137 &lt; 2728), "Yes",
                          IF(OR(AND($F137 ="Prod F.W.", $P137 &gt; 3015, $P137&lt;3020,),AND($F137 ="Prod F.W.", $P137=3036)), "Yes","No")))),"")</f>
        <v/>
      </c>
      <c r="S137" s="2" t="str">
        <f t="shared" si="37"/>
        <v/>
      </c>
      <c r="T137" s="1969"/>
      <c r="U137" s="876"/>
      <c r="V137" s="1967"/>
    </row>
    <row r="138" spans="1:22">
      <c r="A138" s="259" t="str">
        <f t="shared" si="26"/>
        <v/>
      </c>
      <c r="B138" s="21"/>
      <c r="C138" s="24" t="str">
        <f t="shared" si="24"/>
        <v/>
      </c>
      <c r="D138" s="2464" t="str">
        <f t="shared" si="31"/>
        <v/>
      </c>
      <c r="E138" s="434" t="str">
        <f t="shared" si="32"/>
        <v/>
      </c>
      <c r="F138" s="434" t="str">
        <f>IF(B138&lt;&gt;"",VLOOKUP(VLOOKUP(B138,dist_assets,2,FALSE),'Distributed Assets'!$C$7:$F$22,4,FALSE),"")</f>
        <v/>
      </c>
      <c r="G138" s="434" t="str">
        <f t="shared" si="33"/>
        <v/>
      </c>
      <c r="H138" s="25"/>
      <c r="I138" s="3047" t="str">
        <f t="array" ref="I138">IF($H138&lt;&gt;"",
         INDEX('BOM FUNCTIONS'!$Y$6:$AC$669,MATCH(IP!$M138&amp;IP!$O138,'BOM FUNCTIONS'!$Y$6:$Y$669&amp;'BOM FUNCTIONS'!$Z$6:$Z$669,0),5),"")</f>
        <v/>
      </c>
      <c r="J138" s="2047" t="str">
        <f t="array" ref="J138">IF($H138&lt;&gt;"",
         INDEX('BOM FUNCTIONS'!$Y$6:$AD$669,MATCH(IP!$M138&amp;IP!$O138,'BOM FUNCTIONS'!$Y$6:$Y$669&amp;'BOM FUNCTIONS'!$Z$6:$Z$669,0),6),"")</f>
        <v/>
      </c>
      <c r="K138" s="2632" t="str">
        <f t="shared" si="34"/>
        <v/>
      </c>
      <c r="L138" s="2008" t="str">
        <f t="shared" si="36"/>
        <v/>
      </c>
      <c r="M138" s="446" t="str">
        <f t="shared" si="35"/>
        <v/>
      </c>
      <c r="N138" s="479"/>
      <c r="O138" s="436" t="str">
        <f t="shared" si="25"/>
        <v/>
      </c>
      <c r="P138" s="3049" t="str">
        <f t="array" ref="P138">IF($H138&lt;&gt;"",
         INDEX('BOM FUNCTIONS'!$Y$6:$AA$669,MATCH(IP!$M138&amp;IP!$O138,'BOM FUNCTIONS'!$Y$6:$Y$669&amp;'BOM FUNCTIONS'!$Z$6:$Z$669,0),3),"")</f>
        <v/>
      </c>
      <c r="Q138" s="2717"/>
      <c r="R138" s="849" t="str">
        <f>IF(B138&lt;&gt;"",
               IF(VLOOKUP($K138,DNS!$C$5:$I$54,6,FALSE)="No","No",
                    IF(AND($F138 = "Test 2.0", P138 &gt; 1715,$P138 &lt;1728),"Yes",
                     IF(AND($F138 ="Prod 2.0", P138 &gt; 2715, $P138 &lt; 2728), "Yes",
                          IF(OR(AND($F138 ="Prod F.W.", $P138 &gt; 3015, $P138&lt;3020,),AND($F138 ="Prod F.W.", $P138=3036)), "Yes","No")))),"")</f>
        <v/>
      </c>
      <c r="S138" s="2" t="str">
        <f t="shared" si="37"/>
        <v/>
      </c>
      <c r="T138" s="1969"/>
      <c r="U138" s="876"/>
      <c r="V138" s="1967"/>
    </row>
    <row r="139" spans="1:22">
      <c r="A139" s="259" t="str">
        <f t="shared" si="26"/>
        <v/>
      </c>
      <c r="B139" s="21"/>
      <c r="C139" s="24" t="str">
        <f t="shared" si="24"/>
        <v/>
      </c>
      <c r="D139" s="2464" t="str">
        <f t="shared" si="31"/>
        <v/>
      </c>
      <c r="E139" s="434" t="str">
        <f t="shared" si="32"/>
        <v/>
      </c>
      <c r="F139" s="434" t="str">
        <f>IF(B139&lt;&gt;"",VLOOKUP(VLOOKUP(B139,dist_assets,2,FALSE),'Distributed Assets'!$C$7:$F$22,4,FALSE),"")</f>
        <v/>
      </c>
      <c r="G139" s="434" t="str">
        <f t="shared" si="33"/>
        <v/>
      </c>
      <c r="H139" s="25"/>
      <c r="I139" s="3047" t="str">
        <f t="array" ref="I139">IF($H139&lt;&gt;"",
         INDEX('BOM FUNCTIONS'!$Y$6:$AC$669,MATCH(IP!$M139&amp;IP!$O139,'BOM FUNCTIONS'!$Y$6:$Y$669&amp;'BOM FUNCTIONS'!$Z$6:$Z$669,0),5),"")</f>
        <v/>
      </c>
      <c r="J139" s="2047" t="str">
        <f t="array" ref="J139">IF($H139&lt;&gt;"",
         INDEX('BOM FUNCTIONS'!$Y$6:$AD$669,MATCH(IP!$M139&amp;IP!$O139,'BOM FUNCTIONS'!$Y$6:$Y$669&amp;'BOM FUNCTIONS'!$Z$6:$Z$669,0),6),"")</f>
        <v/>
      </c>
      <c r="K139" s="2632" t="str">
        <f t="shared" si="34"/>
        <v/>
      </c>
      <c r="L139" s="2008" t="str">
        <f t="shared" si="36"/>
        <v/>
      </c>
      <c r="M139" s="446" t="str">
        <f t="shared" si="35"/>
        <v/>
      </c>
      <c r="N139" s="479"/>
      <c r="O139" s="436" t="str">
        <f t="shared" si="25"/>
        <v/>
      </c>
      <c r="P139" s="3049" t="str">
        <f t="array" ref="P139">IF($H139&lt;&gt;"",
         INDEX('BOM FUNCTIONS'!$Y$6:$AA$669,MATCH(IP!$M139&amp;IP!$O139,'BOM FUNCTIONS'!$Y$6:$Y$669&amp;'BOM FUNCTIONS'!$Z$6:$Z$669,0),3),"")</f>
        <v/>
      </c>
      <c r="Q139" s="2717"/>
      <c r="R139" s="849" t="str">
        <f>IF(B139&lt;&gt;"",
               IF(VLOOKUP($K139,DNS!$C$5:$I$54,6,FALSE)="No","No",
                    IF(AND($F139 = "Test 2.0", P139 &gt; 1715,$P139 &lt;1728),"Yes",
                     IF(AND($F139 ="Prod 2.0", P139 &gt; 2715, $P139 &lt; 2728), "Yes",
                          IF(OR(AND($F139 ="Prod F.W.", $P139 &gt; 3015, $P139&lt;3020,),AND($F139 ="Prod F.W.", $P139=3036)), "Yes","No")))),"")</f>
        <v/>
      </c>
      <c r="S139" s="2" t="str">
        <f t="shared" si="37"/>
        <v/>
      </c>
      <c r="T139" s="1969"/>
      <c r="U139" s="876"/>
      <c r="V139" s="1967"/>
    </row>
    <row r="140" spans="1:22">
      <c r="A140" s="259" t="str">
        <f t="shared" si="26"/>
        <v/>
      </c>
      <c r="B140" s="21"/>
      <c r="C140" s="24" t="str">
        <f t="shared" si="24"/>
        <v/>
      </c>
      <c r="D140" s="2464" t="str">
        <f t="shared" si="31"/>
        <v/>
      </c>
      <c r="E140" s="434" t="str">
        <f t="shared" si="32"/>
        <v/>
      </c>
      <c r="F140" s="434" t="str">
        <f>IF(B140&lt;&gt;"",VLOOKUP(VLOOKUP(B140,dist_assets,2,FALSE),'Distributed Assets'!$C$7:$F$22,4,FALSE),"")</f>
        <v/>
      </c>
      <c r="G140" s="434" t="str">
        <f t="shared" si="33"/>
        <v/>
      </c>
      <c r="H140" s="25"/>
      <c r="I140" s="3047" t="str">
        <f t="array" ref="I140">IF($H140&lt;&gt;"",
         INDEX('BOM FUNCTIONS'!$Y$6:$AC$669,MATCH(IP!$M140&amp;IP!$O140,'BOM FUNCTIONS'!$Y$6:$Y$669&amp;'BOM FUNCTIONS'!$Z$6:$Z$669,0),5),"")</f>
        <v/>
      </c>
      <c r="J140" s="2047" t="str">
        <f t="array" ref="J140">IF($H140&lt;&gt;"",
         INDEX('BOM FUNCTIONS'!$Y$6:$AD$669,MATCH(IP!$M140&amp;IP!$O140,'BOM FUNCTIONS'!$Y$6:$Y$669&amp;'BOM FUNCTIONS'!$Z$6:$Z$669,0),6),"")</f>
        <v/>
      </c>
      <c r="K140" s="2632" t="str">
        <f t="shared" si="34"/>
        <v/>
      </c>
      <c r="L140" s="2008" t="str">
        <f t="shared" si="36"/>
        <v/>
      </c>
      <c r="M140" s="446" t="str">
        <f t="shared" si="35"/>
        <v/>
      </c>
      <c r="N140" s="479"/>
      <c r="O140" s="436" t="str">
        <f t="shared" si="25"/>
        <v/>
      </c>
      <c r="P140" s="3049" t="str">
        <f t="array" ref="P140">IF($H140&lt;&gt;"",
         INDEX('BOM FUNCTIONS'!$Y$6:$AA$669,MATCH(IP!$M140&amp;IP!$O140,'BOM FUNCTIONS'!$Y$6:$Y$669&amp;'BOM FUNCTIONS'!$Z$6:$Z$669,0),3),"")</f>
        <v/>
      </c>
      <c r="Q140" s="2717"/>
      <c r="R140" s="849" t="str">
        <f>IF(B140&lt;&gt;"",
               IF(VLOOKUP($K140,DNS!$C$5:$I$54,6,FALSE)="No","No",
                    IF(AND($F140 = "Test 2.0", P140 &gt; 1715,$P140 &lt;1728),"Yes",
                     IF(AND($F140 ="Prod 2.0", P140 &gt; 2715, $P140 &lt; 2728), "Yes",
                          IF(OR(AND($F140 ="Prod F.W.", $P140 &gt; 3015, $P140&lt;3020,),AND($F140 ="Prod F.W.", $P140=3036)), "Yes","No")))),"")</f>
        <v/>
      </c>
      <c r="S140" s="2" t="str">
        <f t="shared" si="37"/>
        <v/>
      </c>
      <c r="T140" s="1969"/>
      <c r="U140" s="876"/>
      <c r="V140" s="1967"/>
    </row>
    <row r="141" spans="1:22">
      <c r="A141" s="259" t="str">
        <f t="shared" si="26"/>
        <v/>
      </c>
      <c r="B141" s="21"/>
      <c r="C141" s="24" t="str">
        <f t="shared" si="24"/>
        <v/>
      </c>
      <c r="D141" s="2464" t="str">
        <f t="shared" si="31"/>
        <v/>
      </c>
      <c r="E141" s="434" t="str">
        <f t="shared" si="32"/>
        <v/>
      </c>
      <c r="F141" s="434" t="str">
        <f>IF(B141&lt;&gt;"",VLOOKUP(VLOOKUP(B141,dist_assets,2,FALSE),'Distributed Assets'!$C$7:$F$22,4,FALSE),"")</f>
        <v/>
      </c>
      <c r="G141" s="434" t="str">
        <f t="shared" si="33"/>
        <v/>
      </c>
      <c r="H141" s="25"/>
      <c r="I141" s="3047" t="str">
        <f t="array" ref="I141">IF($H141&lt;&gt;"",
         INDEX('BOM FUNCTIONS'!$Y$6:$AC$669,MATCH(IP!$M141&amp;IP!$O141,'BOM FUNCTIONS'!$Y$6:$Y$669&amp;'BOM FUNCTIONS'!$Z$6:$Z$669,0),5),"")</f>
        <v/>
      </c>
      <c r="J141" s="2047" t="str">
        <f t="array" ref="J141">IF($H141&lt;&gt;"",
         INDEX('BOM FUNCTIONS'!$Y$6:$AD$669,MATCH(IP!$M141&amp;IP!$O141,'BOM FUNCTIONS'!$Y$6:$Y$669&amp;'BOM FUNCTIONS'!$Z$6:$Z$669,0),6),"")</f>
        <v/>
      </c>
      <c r="K141" s="2632" t="str">
        <f t="shared" si="34"/>
        <v/>
      </c>
      <c r="L141" s="2008" t="str">
        <f t="shared" si="36"/>
        <v/>
      </c>
      <c r="M141" s="446" t="str">
        <f t="shared" si="35"/>
        <v/>
      </c>
      <c r="N141" s="479"/>
      <c r="O141" s="436" t="str">
        <f t="shared" si="25"/>
        <v/>
      </c>
      <c r="P141" s="3049" t="str">
        <f t="array" ref="P141">IF($H141&lt;&gt;"",
         INDEX('BOM FUNCTIONS'!$Y$6:$AA$669,MATCH(IP!$M141&amp;IP!$O141,'BOM FUNCTIONS'!$Y$6:$Y$669&amp;'BOM FUNCTIONS'!$Z$6:$Z$669,0),3),"")</f>
        <v/>
      </c>
      <c r="Q141" s="2717"/>
      <c r="R141" s="849" t="str">
        <f>IF(B141&lt;&gt;"",
               IF(VLOOKUP($K141,DNS!$C$5:$I$54,6,FALSE)="No","No",
                    IF(AND($F141 = "Test 2.0", P141 &gt; 1715,$P141 &lt;1728),"Yes",
                     IF(AND($F141 ="Prod 2.0", P141 &gt; 2715, $P141 &lt; 2728), "Yes",
                          IF(OR(AND($F141 ="Prod F.W.", $P141 &gt; 3015, $P141&lt;3020,),AND($F141 ="Prod F.W.", $P141=3036)), "Yes","No")))),"")</f>
        <v/>
      </c>
      <c r="S141" s="2" t="str">
        <f t="shared" si="37"/>
        <v/>
      </c>
      <c r="T141" s="1969"/>
      <c r="U141" s="876"/>
      <c r="V141" s="1967"/>
    </row>
    <row r="142" spans="1:22">
      <c r="A142" s="259" t="str">
        <f t="shared" si="26"/>
        <v/>
      </c>
      <c r="B142" s="21"/>
      <c r="C142" s="24" t="str">
        <f t="shared" si="24"/>
        <v/>
      </c>
      <c r="D142" s="2464" t="str">
        <f t="shared" si="31"/>
        <v/>
      </c>
      <c r="E142" s="434" t="str">
        <f t="shared" si="32"/>
        <v/>
      </c>
      <c r="F142" s="434" t="str">
        <f>IF(B142&lt;&gt;"",VLOOKUP(VLOOKUP(B142,dist_assets,2,FALSE),'Distributed Assets'!$C$7:$F$22,4,FALSE),"")</f>
        <v/>
      </c>
      <c r="G142" s="434" t="str">
        <f t="shared" si="33"/>
        <v/>
      </c>
      <c r="H142" s="25"/>
      <c r="I142" s="3047" t="str">
        <f t="array" ref="I142">IF($H142&lt;&gt;"",
         INDEX('BOM FUNCTIONS'!$Y$6:$AC$669,MATCH(IP!$M142&amp;IP!$O142,'BOM FUNCTIONS'!$Y$6:$Y$669&amp;'BOM FUNCTIONS'!$Z$6:$Z$669,0),5),"")</f>
        <v/>
      </c>
      <c r="J142" s="2047" t="str">
        <f t="array" ref="J142">IF($H142&lt;&gt;"",
         INDEX('BOM FUNCTIONS'!$Y$6:$AD$669,MATCH(IP!$M142&amp;IP!$O142,'BOM FUNCTIONS'!$Y$6:$Y$669&amp;'BOM FUNCTIONS'!$Z$6:$Z$669,0),6),"")</f>
        <v/>
      </c>
      <c r="K142" s="2632" t="str">
        <f t="shared" si="34"/>
        <v/>
      </c>
      <c r="L142" s="2008" t="str">
        <f t="shared" si="36"/>
        <v/>
      </c>
      <c r="M142" s="446" t="str">
        <f t="shared" si="35"/>
        <v/>
      </c>
      <c r="N142" s="479"/>
      <c r="O142" s="436" t="str">
        <f t="shared" si="25"/>
        <v/>
      </c>
      <c r="P142" s="3049" t="str">
        <f t="array" ref="P142">IF($H142&lt;&gt;"",
         INDEX('BOM FUNCTIONS'!$Y$6:$AA$669,MATCH(IP!$M142&amp;IP!$O142,'BOM FUNCTIONS'!$Y$6:$Y$669&amp;'BOM FUNCTIONS'!$Z$6:$Z$669,0),3),"")</f>
        <v/>
      </c>
      <c r="Q142" s="2717"/>
      <c r="R142" s="849" t="str">
        <f>IF(B142&lt;&gt;"",
               IF(VLOOKUP($K142,DNS!$C$5:$I$54,6,FALSE)="No","No",
                    IF(AND($F142 = "Test 2.0", P142 &gt; 1715,$P142 &lt;1728),"Yes",
                     IF(AND($F142 ="Prod 2.0", P142 &gt; 2715, $P142 &lt; 2728), "Yes",
                          IF(OR(AND($F142 ="Prod F.W.", $P142 &gt; 3015, $P142&lt;3020,),AND($F142 ="Prod F.W.", $P142=3036)), "Yes","No")))),"")</f>
        <v/>
      </c>
      <c r="S142" s="2" t="str">
        <f t="shared" si="37"/>
        <v/>
      </c>
      <c r="T142" s="1969"/>
      <c r="U142" s="876"/>
      <c r="V142" s="1967"/>
    </row>
    <row r="143" spans="1:22">
      <c r="A143" s="259" t="str">
        <f t="shared" si="26"/>
        <v/>
      </c>
      <c r="B143" s="21"/>
      <c r="C143" s="24" t="str">
        <f t="shared" si="24"/>
        <v/>
      </c>
      <c r="D143" s="2464" t="str">
        <f t="shared" si="31"/>
        <v/>
      </c>
      <c r="E143" s="434" t="str">
        <f t="shared" si="32"/>
        <v/>
      </c>
      <c r="F143" s="434" t="str">
        <f>IF(B143&lt;&gt;"",VLOOKUP(VLOOKUP(B143,dist_assets,2,FALSE),'Distributed Assets'!$C$7:$F$22,4,FALSE),"")</f>
        <v/>
      </c>
      <c r="G143" s="434" t="str">
        <f t="shared" si="33"/>
        <v/>
      </c>
      <c r="H143" s="25"/>
      <c r="I143" s="3047" t="str">
        <f t="array" ref="I143">IF($H143&lt;&gt;"",
         INDEX('BOM FUNCTIONS'!$Y$6:$AC$669,MATCH(IP!$M143&amp;IP!$O143,'BOM FUNCTIONS'!$Y$6:$Y$669&amp;'BOM FUNCTIONS'!$Z$6:$Z$669,0),5),"")</f>
        <v/>
      </c>
      <c r="J143" s="2047" t="str">
        <f t="array" ref="J143">IF($H143&lt;&gt;"",
         INDEX('BOM FUNCTIONS'!$Y$6:$AD$669,MATCH(IP!$M143&amp;IP!$O143,'BOM FUNCTIONS'!$Y$6:$Y$669&amp;'BOM FUNCTIONS'!$Z$6:$Z$669,0),6),"")</f>
        <v/>
      </c>
      <c r="K143" s="2632" t="str">
        <f t="shared" si="34"/>
        <v/>
      </c>
      <c r="L143" s="2008" t="str">
        <f t="shared" si="36"/>
        <v/>
      </c>
      <c r="M143" s="446" t="str">
        <f t="shared" si="35"/>
        <v/>
      </c>
      <c r="N143" s="479"/>
      <c r="O143" s="436" t="str">
        <f t="shared" si="25"/>
        <v/>
      </c>
      <c r="P143" s="3049" t="str">
        <f t="array" ref="P143">IF($H143&lt;&gt;"",
         INDEX('BOM FUNCTIONS'!$Y$6:$AA$669,MATCH(IP!$M143&amp;IP!$O143,'BOM FUNCTIONS'!$Y$6:$Y$669&amp;'BOM FUNCTIONS'!$Z$6:$Z$669,0),3),"")</f>
        <v/>
      </c>
      <c r="Q143" s="2717"/>
      <c r="R143" s="849" t="str">
        <f>IF(B143&lt;&gt;"",
               IF(VLOOKUP($K143,DNS!$C$5:$I$54,6,FALSE)="No","No",
                    IF(AND($F143 = "Test 2.0", P143 &gt; 1715,$P143 &lt;1728),"Yes",
                     IF(AND($F143 ="Prod 2.0", P143 &gt; 2715, $P143 &lt; 2728), "Yes",
                          IF(OR(AND($F143 ="Prod F.W.", $P143 &gt; 3015, $P143&lt;3020,),AND($F143 ="Prod F.W.", $P143=3036)), "Yes","No")))),"")</f>
        <v/>
      </c>
      <c r="S143" s="2" t="str">
        <f t="shared" si="37"/>
        <v/>
      </c>
      <c r="T143" s="1969"/>
      <c r="U143" s="876"/>
      <c r="V143" s="1967"/>
    </row>
    <row r="144" spans="1:22">
      <c r="A144" s="259" t="str">
        <f t="shared" si="26"/>
        <v/>
      </c>
      <c r="B144" s="21"/>
      <c r="C144" s="24" t="str">
        <f t="shared" si="24"/>
        <v/>
      </c>
      <c r="D144" s="2464" t="str">
        <f t="shared" si="31"/>
        <v/>
      </c>
      <c r="E144" s="434" t="str">
        <f t="shared" si="32"/>
        <v/>
      </c>
      <c r="F144" s="434" t="str">
        <f>IF(B144&lt;&gt;"",VLOOKUP(VLOOKUP(B144,dist_assets,2,FALSE),'Distributed Assets'!$C$7:$F$22,4,FALSE),"")</f>
        <v/>
      </c>
      <c r="G144" s="434" t="str">
        <f t="shared" si="33"/>
        <v/>
      </c>
      <c r="H144" s="25"/>
      <c r="I144" s="3047" t="str">
        <f t="array" ref="I144">IF($H144&lt;&gt;"",
         INDEX('BOM FUNCTIONS'!$Y$6:$AC$669,MATCH(IP!$M144&amp;IP!$O144,'BOM FUNCTIONS'!$Y$6:$Y$669&amp;'BOM FUNCTIONS'!$Z$6:$Z$669,0),5),"")</f>
        <v/>
      </c>
      <c r="J144" s="2047" t="str">
        <f t="array" ref="J144">IF($H144&lt;&gt;"",
         INDEX('BOM FUNCTIONS'!$Y$6:$AD$669,MATCH(IP!$M144&amp;IP!$O144,'BOM FUNCTIONS'!$Y$6:$Y$669&amp;'BOM FUNCTIONS'!$Z$6:$Z$669,0),6),"")</f>
        <v/>
      </c>
      <c r="K144" s="2632" t="str">
        <f t="shared" si="34"/>
        <v/>
      </c>
      <c r="L144" s="2008" t="str">
        <f t="shared" si="36"/>
        <v/>
      </c>
      <c r="M144" s="446" t="str">
        <f t="shared" si="35"/>
        <v/>
      </c>
      <c r="N144" s="479"/>
      <c r="O144" s="436" t="str">
        <f t="shared" si="25"/>
        <v/>
      </c>
      <c r="P144" s="3049" t="str">
        <f t="array" ref="P144">IF($H144&lt;&gt;"",
         INDEX('BOM FUNCTIONS'!$Y$6:$AA$669,MATCH(IP!$M144&amp;IP!$O144,'BOM FUNCTIONS'!$Y$6:$Y$669&amp;'BOM FUNCTIONS'!$Z$6:$Z$669,0),3),"")</f>
        <v/>
      </c>
      <c r="Q144" s="2717"/>
      <c r="R144" s="849" t="str">
        <f>IF(B144&lt;&gt;"",
               IF(VLOOKUP($K144,DNS!$C$5:$I$54,6,FALSE)="No","No",
                    IF(AND($F144 = "Test 2.0", P144 &gt; 1715,$P144 &lt;1728),"Yes",
                     IF(AND($F144 ="Prod 2.0", P144 &gt; 2715, $P144 &lt; 2728), "Yes",
                          IF(OR(AND($F144 ="Prod F.W.", $P144 &gt; 3015, $P144&lt;3020,),AND($F144 ="Prod F.W.", $P144=3036)), "Yes","No")))),"")</f>
        <v/>
      </c>
      <c r="S144" s="2" t="str">
        <f t="shared" si="37"/>
        <v/>
      </c>
      <c r="T144" s="1969"/>
      <c r="U144" s="876"/>
      <c r="V144" s="1967"/>
    </row>
    <row r="145" spans="1:22">
      <c r="A145" s="259" t="str">
        <f t="shared" si="26"/>
        <v/>
      </c>
      <c r="B145" s="21"/>
      <c r="C145" s="24" t="str">
        <f t="shared" si="24"/>
        <v/>
      </c>
      <c r="D145" s="2464" t="str">
        <f t="shared" si="31"/>
        <v/>
      </c>
      <c r="E145" s="434" t="str">
        <f t="shared" si="32"/>
        <v/>
      </c>
      <c r="F145" s="434" t="str">
        <f>IF(B145&lt;&gt;"",VLOOKUP(VLOOKUP(B145,dist_assets,2,FALSE),'Distributed Assets'!$C$7:$F$22,4,FALSE),"")</f>
        <v/>
      </c>
      <c r="G145" s="434" t="str">
        <f t="shared" si="33"/>
        <v/>
      </c>
      <c r="H145" s="25"/>
      <c r="I145" s="3047" t="str">
        <f t="array" ref="I145">IF($H145&lt;&gt;"",
         INDEX('BOM FUNCTIONS'!$Y$6:$AC$669,MATCH(IP!$M145&amp;IP!$O145,'BOM FUNCTIONS'!$Y$6:$Y$669&amp;'BOM FUNCTIONS'!$Z$6:$Z$669,0),5),"")</f>
        <v/>
      </c>
      <c r="J145" s="2047" t="str">
        <f t="array" ref="J145">IF($H145&lt;&gt;"",
         INDEX('BOM FUNCTIONS'!$Y$6:$AD$669,MATCH(IP!$M145&amp;IP!$O145,'BOM FUNCTIONS'!$Y$6:$Y$669&amp;'BOM FUNCTIONS'!$Z$6:$Z$669,0),6),"")</f>
        <v/>
      </c>
      <c r="K145" s="2632" t="str">
        <f t="shared" si="34"/>
        <v/>
      </c>
      <c r="L145" s="2008" t="str">
        <f t="shared" si="36"/>
        <v/>
      </c>
      <c r="M145" s="446" t="str">
        <f t="shared" si="35"/>
        <v/>
      </c>
      <c r="N145" s="479"/>
      <c r="O145" s="436" t="str">
        <f t="shared" si="25"/>
        <v/>
      </c>
      <c r="P145" s="3049" t="str">
        <f t="array" ref="P145">IF($H145&lt;&gt;"",
         INDEX('BOM FUNCTIONS'!$Y$6:$AA$669,MATCH(IP!$M145&amp;IP!$O145,'BOM FUNCTIONS'!$Y$6:$Y$669&amp;'BOM FUNCTIONS'!$Z$6:$Z$669,0),3),"")</f>
        <v/>
      </c>
      <c r="Q145" s="2717"/>
      <c r="R145" s="849" t="str">
        <f>IF(B145&lt;&gt;"",
               IF(VLOOKUP($K145,DNS!$C$5:$I$54,6,FALSE)="No","No",
                    IF(AND($F145 = "Test 2.0", P145 &gt; 1715,$P145 &lt;1728),"Yes",
                     IF(AND($F145 ="Prod 2.0", P145 &gt; 2715, $P145 &lt; 2728), "Yes",
                          IF(OR(AND($F145 ="Prod F.W.", $P145 &gt; 3015, $P145&lt;3020,),AND($F145 ="Prod F.W.", $P145=3036)), "Yes","No")))),"")</f>
        <v/>
      </c>
      <c r="S145" s="2" t="str">
        <f t="shared" si="37"/>
        <v/>
      </c>
      <c r="T145" s="1969"/>
      <c r="U145" s="876"/>
      <c r="V145" s="1967"/>
    </row>
    <row r="146" spans="1:22">
      <c r="A146" s="259" t="str">
        <f t="shared" si="26"/>
        <v/>
      </c>
      <c r="B146" s="21"/>
      <c r="C146" s="24" t="str">
        <f t="shared" si="24"/>
        <v/>
      </c>
      <c r="D146" s="2464" t="str">
        <f t="shared" si="31"/>
        <v/>
      </c>
      <c r="E146" s="434" t="str">
        <f t="shared" si="32"/>
        <v/>
      </c>
      <c r="F146" s="434" t="str">
        <f>IF(B146&lt;&gt;"",VLOOKUP(VLOOKUP(B146,dist_assets,2,FALSE),'Distributed Assets'!$C$7:$F$22,4,FALSE),"")</f>
        <v/>
      </c>
      <c r="G146" s="434" t="str">
        <f t="shared" si="33"/>
        <v/>
      </c>
      <c r="H146" s="25"/>
      <c r="I146" s="3047" t="str">
        <f t="array" ref="I146">IF($H146&lt;&gt;"",
         INDEX('BOM FUNCTIONS'!$Y$6:$AC$669,MATCH(IP!$M146&amp;IP!$O146,'BOM FUNCTIONS'!$Y$6:$Y$669&amp;'BOM FUNCTIONS'!$Z$6:$Z$669,0),5),"")</f>
        <v/>
      </c>
      <c r="J146" s="2047" t="str">
        <f t="array" ref="J146">IF($H146&lt;&gt;"",
         INDEX('BOM FUNCTIONS'!$Y$6:$AD$669,MATCH(IP!$M146&amp;IP!$O146,'BOM FUNCTIONS'!$Y$6:$Y$669&amp;'BOM FUNCTIONS'!$Z$6:$Z$669,0),6),"")</f>
        <v/>
      </c>
      <c r="K146" s="2632" t="str">
        <f t="shared" si="34"/>
        <v/>
      </c>
      <c r="L146" s="2008" t="str">
        <f t="shared" si="36"/>
        <v/>
      </c>
      <c r="M146" s="446" t="str">
        <f t="shared" si="35"/>
        <v/>
      </c>
      <c r="N146" s="479"/>
      <c r="O146" s="436" t="str">
        <f t="shared" si="25"/>
        <v/>
      </c>
      <c r="P146" s="3049" t="str">
        <f t="array" ref="P146">IF($H146&lt;&gt;"",
         INDEX('BOM FUNCTIONS'!$Y$6:$AA$669,MATCH(IP!$M146&amp;IP!$O146,'BOM FUNCTIONS'!$Y$6:$Y$669&amp;'BOM FUNCTIONS'!$Z$6:$Z$669,0),3),"")</f>
        <v/>
      </c>
      <c r="Q146" s="2717"/>
      <c r="R146" s="849" t="str">
        <f>IF(B146&lt;&gt;"",
               IF(VLOOKUP($K146,DNS!$C$5:$I$54,6,FALSE)="No","No",
                    IF(AND($F146 = "Test 2.0", P146 &gt; 1715,$P146 &lt;1728),"Yes",
                     IF(AND($F146 ="Prod 2.0", P146 &gt; 2715, $P146 &lt; 2728), "Yes",
                          IF(OR(AND($F146 ="Prod F.W.", $P146 &gt; 3015, $P146&lt;3020,),AND($F146 ="Prod F.W.", $P146=3036)), "Yes","No")))),"")</f>
        <v/>
      </c>
      <c r="S146" s="2" t="str">
        <f t="shared" si="37"/>
        <v/>
      </c>
      <c r="T146" s="1969"/>
      <c r="U146" s="876"/>
      <c r="V146" s="1967"/>
    </row>
    <row r="147" spans="1:22">
      <c r="A147" s="259" t="str">
        <f t="shared" si="26"/>
        <v/>
      </c>
      <c r="B147" s="21"/>
      <c r="C147" s="24" t="str">
        <f t="shared" si="24"/>
        <v/>
      </c>
      <c r="D147" s="2464" t="str">
        <f t="shared" si="31"/>
        <v/>
      </c>
      <c r="E147" s="434" t="str">
        <f t="shared" si="32"/>
        <v/>
      </c>
      <c r="F147" s="434" t="str">
        <f>IF(B147&lt;&gt;"",VLOOKUP(VLOOKUP(B147,dist_assets,2,FALSE),'Distributed Assets'!$C$7:$F$22,4,FALSE),"")</f>
        <v/>
      </c>
      <c r="G147" s="434" t="str">
        <f t="shared" si="33"/>
        <v/>
      </c>
      <c r="H147" s="25"/>
      <c r="I147" s="3047" t="str">
        <f t="array" ref="I147">IF($H147&lt;&gt;"",
         INDEX('BOM FUNCTIONS'!$Y$6:$AC$669,MATCH(IP!$M147&amp;IP!$O147,'BOM FUNCTIONS'!$Y$6:$Y$669&amp;'BOM FUNCTIONS'!$Z$6:$Z$669,0),5),"")</f>
        <v/>
      </c>
      <c r="J147" s="2047" t="str">
        <f t="array" ref="J147">IF($H147&lt;&gt;"",
         INDEX('BOM FUNCTIONS'!$Y$6:$AD$669,MATCH(IP!$M147&amp;IP!$O147,'BOM FUNCTIONS'!$Y$6:$Y$669&amp;'BOM FUNCTIONS'!$Z$6:$Z$669,0),6),"")</f>
        <v/>
      </c>
      <c r="K147" s="2632" t="str">
        <f t="shared" si="34"/>
        <v/>
      </c>
      <c r="L147" s="2008" t="str">
        <f t="shared" si="36"/>
        <v/>
      </c>
      <c r="M147" s="446" t="str">
        <f t="shared" si="35"/>
        <v/>
      </c>
      <c r="N147" s="479"/>
      <c r="O147" s="436" t="str">
        <f t="shared" si="25"/>
        <v/>
      </c>
      <c r="P147" s="3049" t="str">
        <f t="array" ref="P147">IF($H147&lt;&gt;"",
         INDEX('BOM FUNCTIONS'!$Y$6:$AA$669,MATCH(IP!$M147&amp;IP!$O147,'BOM FUNCTIONS'!$Y$6:$Y$669&amp;'BOM FUNCTIONS'!$Z$6:$Z$669,0),3),"")</f>
        <v/>
      </c>
      <c r="Q147" s="2717"/>
      <c r="R147" s="849" t="str">
        <f>IF(B147&lt;&gt;"",
               IF(VLOOKUP($K147,DNS!$C$5:$I$54,6,FALSE)="No","No",
                    IF(AND($F147 = "Test 2.0", P147 &gt; 1715,$P147 &lt;1728),"Yes",
                     IF(AND($F147 ="Prod 2.0", P147 &gt; 2715, $P147 &lt; 2728), "Yes",
                          IF(OR(AND($F147 ="Prod F.W.", $P147 &gt; 3015, $P147&lt;3020,),AND($F147 ="Prod F.W.", $P147=3036)), "Yes","No")))),"")</f>
        <v/>
      </c>
      <c r="S147" s="2" t="str">
        <f t="shared" si="37"/>
        <v/>
      </c>
      <c r="T147" s="1969"/>
      <c r="U147" s="876"/>
      <c r="V147" s="1967"/>
    </row>
    <row r="148" spans="1:22">
      <c r="A148" s="259" t="str">
        <f t="shared" si="26"/>
        <v/>
      </c>
      <c r="B148" s="21"/>
      <c r="C148" s="24" t="str">
        <f t="shared" si="24"/>
        <v/>
      </c>
      <c r="D148" s="2464" t="str">
        <f t="shared" si="31"/>
        <v/>
      </c>
      <c r="E148" s="434" t="str">
        <f t="shared" si="32"/>
        <v/>
      </c>
      <c r="F148" s="434" t="str">
        <f>IF(B148&lt;&gt;"",VLOOKUP(VLOOKUP(B148,dist_assets,2,FALSE),'Distributed Assets'!$C$7:$F$22,4,FALSE),"")</f>
        <v/>
      </c>
      <c r="G148" s="434" t="str">
        <f t="shared" si="33"/>
        <v/>
      </c>
      <c r="H148" s="25"/>
      <c r="I148" s="3047" t="str">
        <f t="array" ref="I148">IF($H148&lt;&gt;"",
         INDEX('BOM FUNCTIONS'!$Y$6:$AC$669,MATCH(IP!$M148&amp;IP!$O148,'BOM FUNCTIONS'!$Y$6:$Y$669&amp;'BOM FUNCTIONS'!$Z$6:$Z$669,0),5),"")</f>
        <v/>
      </c>
      <c r="J148" s="2047" t="str">
        <f t="array" ref="J148">IF($H148&lt;&gt;"",
         INDEX('BOM FUNCTIONS'!$Y$6:$AD$669,MATCH(IP!$M148&amp;IP!$O148,'BOM FUNCTIONS'!$Y$6:$Y$669&amp;'BOM FUNCTIONS'!$Z$6:$Z$669,0),6),"")</f>
        <v/>
      </c>
      <c r="K148" s="2632" t="str">
        <f t="shared" si="34"/>
        <v/>
      </c>
      <c r="L148" s="2008" t="str">
        <f t="shared" si="36"/>
        <v/>
      </c>
      <c r="M148" s="446" t="str">
        <f t="shared" si="35"/>
        <v/>
      </c>
      <c r="N148" s="479"/>
      <c r="O148" s="436" t="str">
        <f t="shared" si="25"/>
        <v/>
      </c>
      <c r="P148" s="3049" t="str">
        <f t="array" ref="P148">IF($H148&lt;&gt;"",
         INDEX('BOM FUNCTIONS'!$Y$6:$AA$669,MATCH(IP!$M148&amp;IP!$O148,'BOM FUNCTIONS'!$Y$6:$Y$669&amp;'BOM FUNCTIONS'!$Z$6:$Z$669,0),3),"")</f>
        <v/>
      </c>
      <c r="Q148" s="2717"/>
      <c r="R148" s="849" t="str">
        <f>IF(B148&lt;&gt;"",
               IF(VLOOKUP($K148,DNS!$C$5:$I$54,6,FALSE)="No","No",
                    IF(AND($F148 = "Test 2.0", P148 &gt; 1715,$P148 &lt;1728),"Yes",
                     IF(AND($F148 ="Prod 2.0", P148 &gt; 2715, $P148 &lt; 2728), "Yes",
                          IF(OR(AND($F148 ="Prod F.W.", $P148 &gt; 3015, $P148&lt;3020,),AND($F148 ="Prod F.W.", $P148=3036)), "Yes","No")))),"")</f>
        <v/>
      </c>
      <c r="S148" s="2" t="str">
        <f t="shared" si="37"/>
        <v/>
      </c>
      <c r="T148" s="1969"/>
      <c r="U148" s="876"/>
      <c r="V148" s="1967"/>
    </row>
    <row r="149" spans="1:22">
      <c r="A149" s="259" t="str">
        <f t="shared" si="26"/>
        <v/>
      </c>
      <c r="B149" s="21"/>
      <c r="C149" s="24" t="str">
        <f t="shared" si="24"/>
        <v/>
      </c>
      <c r="D149" s="2464" t="str">
        <f t="shared" si="31"/>
        <v/>
      </c>
      <c r="E149" s="434" t="str">
        <f t="shared" si="32"/>
        <v/>
      </c>
      <c r="F149" s="434" t="str">
        <f>IF(B149&lt;&gt;"",VLOOKUP(VLOOKUP(B149,dist_assets,2,FALSE),'Distributed Assets'!$C$7:$F$22,4,FALSE),"")</f>
        <v/>
      </c>
      <c r="G149" s="434" t="str">
        <f t="shared" si="33"/>
        <v/>
      </c>
      <c r="H149" s="25"/>
      <c r="I149" s="3047" t="str">
        <f t="array" ref="I149">IF($H149&lt;&gt;"",
         INDEX('BOM FUNCTIONS'!$Y$6:$AC$669,MATCH(IP!$M149&amp;IP!$O149,'BOM FUNCTIONS'!$Y$6:$Y$669&amp;'BOM FUNCTIONS'!$Z$6:$Z$669,0),5),"")</f>
        <v/>
      </c>
      <c r="J149" s="2047" t="str">
        <f t="array" ref="J149">IF($H149&lt;&gt;"",
         INDEX('BOM FUNCTIONS'!$Y$6:$AD$669,MATCH(IP!$M149&amp;IP!$O149,'BOM FUNCTIONS'!$Y$6:$Y$669&amp;'BOM FUNCTIONS'!$Z$6:$Z$669,0),6),"")</f>
        <v/>
      </c>
      <c r="K149" s="2632" t="str">
        <f t="shared" si="34"/>
        <v/>
      </c>
      <c r="L149" s="2008" t="str">
        <f t="shared" si="36"/>
        <v/>
      </c>
      <c r="M149" s="446" t="str">
        <f t="shared" si="35"/>
        <v/>
      </c>
      <c r="N149" s="479"/>
      <c r="O149" s="436" t="str">
        <f t="shared" si="25"/>
        <v/>
      </c>
      <c r="P149" s="3049" t="str">
        <f t="array" ref="P149">IF($H149&lt;&gt;"",
         INDEX('BOM FUNCTIONS'!$Y$6:$AA$669,MATCH(IP!$M149&amp;IP!$O149,'BOM FUNCTIONS'!$Y$6:$Y$669&amp;'BOM FUNCTIONS'!$Z$6:$Z$669,0),3),"")</f>
        <v/>
      </c>
      <c r="Q149" s="2717"/>
      <c r="R149" s="849" t="str">
        <f>IF(B149&lt;&gt;"",
               IF(VLOOKUP($K149,DNS!$C$5:$I$54,6,FALSE)="No","No",
                    IF(AND($F149 = "Test 2.0", P149 &gt; 1715,$P149 &lt;1728),"Yes",
                     IF(AND($F149 ="Prod 2.0", P149 &gt; 2715, $P149 &lt; 2728), "Yes",
                          IF(OR(AND($F149 ="Prod F.W.", $P149 &gt; 3015, $P149&lt;3020,),AND($F149 ="Prod F.W.", $P149=3036)), "Yes","No")))),"")</f>
        <v/>
      </c>
      <c r="S149" s="2" t="str">
        <f t="shared" si="37"/>
        <v/>
      </c>
      <c r="T149" s="1969"/>
      <c r="U149" s="876"/>
      <c r="V149" s="1967"/>
    </row>
    <row r="150" spans="1:22">
      <c r="A150" s="259" t="str">
        <f t="shared" si="26"/>
        <v/>
      </c>
      <c r="B150" s="21"/>
      <c r="C150" s="24" t="str">
        <f t="shared" si="24"/>
        <v/>
      </c>
      <c r="D150" s="2464" t="str">
        <f t="shared" si="31"/>
        <v/>
      </c>
      <c r="E150" s="434" t="str">
        <f t="shared" si="32"/>
        <v/>
      </c>
      <c r="F150" s="434" t="str">
        <f>IF(B150&lt;&gt;"",VLOOKUP(VLOOKUP(B150,dist_assets,2,FALSE),'Distributed Assets'!$C$7:$F$22,4,FALSE),"")</f>
        <v/>
      </c>
      <c r="G150" s="434" t="str">
        <f t="shared" si="33"/>
        <v/>
      </c>
      <c r="H150" s="25"/>
      <c r="I150" s="3047" t="str">
        <f t="array" ref="I150">IF($H150&lt;&gt;"",
         INDEX('BOM FUNCTIONS'!$Y$6:$AC$669,MATCH(IP!$M150&amp;IP!$O150,'BOM FUNCTIONS'!$Y$6:$Y$669&amp;'BOM FUNCTIONS'!$Z$6:$Z$669,0),5),"")</f>
        <v/>
      </c>
      <c r="J150" s="2047" t="str">
        <f t="array" ref="J150">IF($H150&lt;&gt;"",
         INDEX('BOM FUNCTIONS'!$Y$6:$AD$669,MATCH(IP!$M150&amp;IP!$O150,'BOM FUNCTIONS'!$Y$6:$Y$669&amp;'BOM FUNCTIONS'!$Z$6:$Z$669,0),6),"")</f>
        <v/>
      </c>
      <c r="K150" s="2632" t="str">
        <f t="shared" si="34"/>
        <v/>
      </c>
      <c r="L150" s="2008" t="str">
        <f t="shared" si="36"/>
        <v/>
      </c>
      <c r="M150" s="446" t="str">
        <f t="shared" si="35"/>
        <v/>
      </c>
      <c r="N150" s="479"/>
      <c r="O150" s="436" t="str">
        <f t="shared" si="25"/>
        <v/>
      </c>
      <c r="P150" s="3049" t="str">
        <f t="array" ref="P150">IF($H150&lt;&gt;"",
         INDEX('BOM FUNCTIONS'!$Y$6:$AA$669,MATCH(IP!$M150&amp;IP!$O150,'BOM FUNCTIONS'!$Y$6:$Y$669&amp;'BOM FUNCTIONS'!$Z$6:$Z$669,0),3),"")</f>
        <v/>
      </c>
      <c r="Q150" s="2717"/>
      <c r="R150" s="849" t="str">
        <f>IF(B150&lt;&gt;"",
               IF(VLOOKUP($K150,DNS!$C$5:$I$54,6,FALSE)="No","No",
                    IF(AND($F150 = "Test 2.0", P150 &gt; 1715,$P150 &lt;1728),"Yes",
                     IF(AND($F150 ="Prod 2.0", P150 &gt; 2715, $P150 &lt; 2728), "Yes",
                          IF(OR(AND($F150 ="Prod F.W.", $P150 &gt; 3015, $P150&lt;3020,),AND($F150 ="Prod F.W.", $P150=3036)), "Yes","No")))),"")</f>
        <v/>
      </c>
      <c r="S150" s="2" t="str">
        <f t="shared" si="37"/>
        <v/>
      </c>
      <c r="T150" s="1969"/>
      <c r="U150" s="876"/>
      <c r="V150" s="1967"/>
    </row>
    <row r="151" spans="1:22">
      <c r="A151" s="259" t="str">
        <f t="shared" si="26"/>
        <v/>
      </c>
      <c r="B151" s="21"/>
      <c r="C151" s="24" t="str">
        <f t="shared" si="24"/>
        <v/>
      </c>
      <c r="D151" s="2464" t="str">
        <f t="shared" si="31"/>
        <v/>
      </c>
      <c r="E151" s="434" t="str">
        <f t="shared" si="32"/>
        <v/>
      </c>
      <c r="F151" s="434" t="str">
        <f>IF(B151&lt;&gt;"",VLOOKUP(VLOOKUP(B151,dist_assets,2,FALSE),'Distributed Assets'!$C$7:$F$22,4,FALSE),"")</f>
        <v/>
      </c>
      <c r="G151" s="434" t="str">
        <f t="shared" si="33"/>
        <v/>
      </c>
      <c r="H151" s="25"/>
      <c r="I151" s="3047" t="str">
        <f t="array" ref="I151">IF($H151&lt;&gt;"",
         INDEX('BOM FUNCTIONS'!$Y$6:$AC$669,MATCH(IP!$M151&amp;IP!$O151,'BOM FUNCTIONS'!$Y$6:$Y$669&amp;'BOM FUNCTIONS'!$Z$6:$Z$669,0),5),"")</f>
        <v/>
      </c>
      <c r="J151" s="2047" t="str">
        <f t="array" ref="J151">IF($H151&lt;&gt;"",
         INDEX('BOM FUNCTIONS'!$Y$6:$AD$669,MATCH(IP!$M151&amp;IP!$O151,'BOM FUNCTIONS'!$Y$6:$Y$669&amp;'BOM FUNCTIONS'!$Z$6:$Z$669,0),6),"")</f>
        <v/>
      </c>
      <c r="K151" s="2632" t="str">
        <f t="shared" si="34"/>
        <v/>
      </c>
      <c r="L151" s="2008" t="str">
        <f t="shared" si="36"/>
        <v/>
      </c>
      <c r="M151" s="446" t="str">
        <f t="shared" si="35"/>
        <v/>
      </c>
      <c r="N151" s="479"/>
      <c r="O151" s="436" t="str">
        <f t="shared" si="25"/>
        <v/>
      </c>
      <c r="P151" s="3049" t="str">
        <f t="array" ref="P151">IF($H151&lt;&gt;"",
         INDEX('BOM FUNCTIONS'!$Y$6:$AA$669,MATCH(IP!$M151&amp;IP!$O151,'BOM FUNCTIONS'!$Y$6:$Y$669&amp;'BOM FUNCTIONS'!$Z$6:$Z$669,0),3),"")</f>
        <v/>
      </c>
      <c r="Q151" s="2717"/>
      <c r="R151" s="849" t="str">
        <f>IF(B151&lt;&gt;"",
               IF(VLOOKUP($K151,DNS!$C$5:$I$54,6,FALSE)="No","No",
                    IF(AND($F151 = "Test 2.0", P151 &gt; 1715,$P151 &lt;1728),"Yes",
                     IF(AND($F151 ="Prod 2.0", P151 &gt; 2715, $P151 &lt; 2728), "Yes",
                          IF(OR(AND($F151 ="Prod F.W.", $P151 &gt; 3015, $P151&lt;3020,),AND($F151 ="Prod F.W.", $P151=3036)), "Yes","No")))),"")</f>
        <v/>
      </c>
      <c r="S151" s="2" t="str">
        <f t="shared" si="37"/>
        <v/>
      </c>
      <c r="T151" s="1969"/>
      <c r="U151" s="876"/>
      <c r="V151" s="1967"/>
    </row>
    <row r="152" spans="1:22">
      <c r="A152" s="259" t="str">
        <f t="shared" si="26"/>
        <v/>
      </c>
      <c r="B152" s="21"/>
      <c r="C152" s="24" t="str">
        <f t="shared" si="24"/>
        <v/>
      </c>
      <c r="D152" s="2464" t="str">
        <f t="shared" si="31"/>
        <v/>
      </c>
      <c r="E152" s="434" t="str">
        <f t="shared" si="32"/>
        <v/>
      </c>
      <c r="F152" s="434" t="str">
        <f>IF(B152&lt;&gt;"",VLOOKUP(VLOOKUP(B152,dist_assets,2,FALSE),'Distributed Assets'!$C$7:$F$22,4,FALSE),"")</f>
        <v/>
      </c>
      <c r="G152" s="434" t="str">
        <f t="shared" si="33"/>
        <v/>
      </c>
      <c r="H152" s="25"/>
      <c r="I152" s="3047" t="str">
        <f t="array" ref="I152">IF($H152&lt;&gt;"",
         INDEX('BOM FUNCTIONS'!$Y$6:$AC$669,MATCH(IP!$M152&amp;IP!$O152,'BOM FUNCTIONS'!$Y$6:$Y$669&amp;'BOM FUNCTIONS'!$Z$6:$Z$669,0),5),"")</f>
        <v/>
      </c>
      <c r="J152" s="2047" t="str">
        <f t="array" ref="J152">IF($H152&lt;&gt;"",
         INDEX('BOM FUNCTIONS'!$Y$6:$AD$669,MATCH(IP!$M152&amp;IP!$O152,'BOM FUNCTIONS'!$Y$6:$Y$669&amp;'BOM FUNCTIONS'!$Z$6:$Z$669,0),6),"")</f>
        <v/>
      </c>
      <c r="K152" s="2632" t="str">
        <f t="shared" si="34"/>
        <v/>
      </c>
      <c r="L152" s="2008" t="str">
        <f t="shared" si="36"/>
        <v/>
      </c>
      <c r="M152" s="446" t="str">
        <f t="shared" si="35"/>
        <v/>
      </c>
      <c r="N152" s="479"/>
      <c r="O152" s="436" t="str">
        <f t="shared" si="25"/>
        <v/>
      </c>
      <c r="P152" s="3049" t="str">
        <f t="array" ref="P152">IF($H152&lt;&gt;"",
         INDEX('BOM FUNCTIONS'!$Y$6:$AA$669,MATCH(IP!$M152&amp;IP!$O152,'BOM FUNCTIONS'!$Y$6:$Y$669&amp;'BOM FUNCTIONS'!$Z$6:$Z$669,0),3),"")</f>
        <v/>
      </c>
      <c r="Q152" s="2717"/>
      <c r="R152" s="849" t="str">
        <f>IF(B152&lt;&gt;"",
               IF(VLOOKUP($K152,DNS!$C$5:$I$54,6,FALSE)="No","No",
                    IF(AND($F152 = "Test 2.0", P152 &gt; 1715,$P152 &lt;1728),"Yes",
                     IF(AND($F152 ="Prod 2.0", P152 &gt; 2715, $P152 &lt; 2728), "Yes",
                          IF(OR(AND($F152 ="Prod F.W.", $P152 &gt; 3015, $P152&lt;3020,),AND($F152 ="Prod F.W.", $P152=3036)), "Yes","No")))),"")</f>
        <v/>
      </c>
      <c r="S152" s="2" t="str">
        <f t="shared" si="37"/>
        <v/>
      </c>
      <c r="T152" s="1969"/>
      <c r="U152" s="876"/>
      <c r="V152" s="1967"/>
    </row>
    <row r="153" spans="1:22" ht="13.5" thickBot="1">
      <c r="A153" s="260" t="str">
        <f t="shared" si="26"/>
        <v/>
      </c>
      <c r="B153" s="473"/>
      <c r="C153" s="474" t="str">
        <f t="shared" si="24"/>
        <v/>
      </c>
      <c r="D153" s="2464" t="str">
        <f t="shared" si="31"/>
        <v/>
      </c>
      <c r="E153" s="434" t="str">
        <f t="shared" si="32"/>
        <v/>
      </c>
      <c r="F153" s="434" t="str">
        <f>IF(B153&lt;&gt;"",VLOOKUP(VLOOKUP(B153,dist_assets,2,FALSE),'Distributed Assets'!$C$7:$F$22,4,FALSE),"")</f>
        <v/>
      </c>
      <c r="G153" s="438" t="str">
        <f t="shared" si="33"/>
        <v/>
      </c>
      <c r="H153" s="475"/>
      <c r="I153" s="3048" t="str">
        <f t="array" ref="I153">IF($H153&lt;&gt;"",
         INDEX('BOM FUNCTIONS'!$Y$6:$AC$669,MATCH(IP!$M153&amp;IP!$O153,'BOM FUNCTIONS'!$Y$6:$Y$669&amp;'BOM FUNCTIONS'!$Z$6:$Z$669,0),5),"")</f>
        <v/>
      </c>
      <c r="J153" s="3013" t="str">
        <f t="array" ref="J153">IF($H153&lt;&gt;"",
         INDEX('BOM FUNCTIONS'!$Y$6:$AD$669,MATCH(IP!$M153&amp;IP!$O153,'BOM FUNCTIONS'!$Y$6:$Y$669&amp;'BOM FUNCTIONS'!$Z$6:$Z$669,0),6),"")</f>
        <v/>
      </c>
      <c r="K153" s="2924" t="str">
        <f t="shared" si="34"/>
        <v/>
      </c>
      <c r="L153" s="3114" t="str">
        <f t="shared" si="36"/>
        <v/>
      </c>
      <c r="M153" s="449" t="str">
        <f t="shared" si="35"/>
        <v/>
      </c>
      <c r="N153" s="479"/>
      <c r="O153" s="262" t="str">
        <f t="shared" si="25"/>
        <v/>
      </c>
      <c r="P153" s="3050" t="str">
        <f t="array" ref="P153">IF($H153&lt;&gt;"",
         INDEX('BOM FUNCTIONS'!$Y$6:$AA$669,MATCH(IP!$M153&amp;IP!$O153,'BOM FUNCTIONS'!$Y$6:$Y$669&amp;'BOM FUNCTIONS'!$Z$6:$Z$669,0),3),"")</f>
        <v/>
      </c>
      <c r="Q153" s="2718"/>
      <c r="R153" s="849" t="str">
        <f>IF(B153&lt;&gt;"",
               IF(VLOOKUP($K153,DNS!$C$5:$I$54,6,FALSE)="No","No",
                    IF(AND($F153 = "Test 2.0", P153 &gt; 1715,$P153 &lt;1728),"Yes",
                     IF(AND($F153 ="Prod 2.0", P153 &gt; 2715, $P153 &lt; 2728), "Yes",
                          IF(OR(AND($F153 ="Prod F.W.", $P153 &gt; 3015, $P153&lt;3020,),AND($F153 ="Prod F.W.", $P153=3036)), "Yes","No")))),"")</f>
        <v/>
      </c>
      <c r="S153" s="2" t="str">
        <f t="shared" si="37"/>
        <v/>
      </c>
      <c r="T153" s="1970"/>
      <c r="U153" s="1971"/>
      <c r="V153" s="1967"/>
    </row>
    <row r="154" spans="1:22" ht="43.5" customHeight="1" thickBot="1">
      <c r="A154" s="477" t="s">
        <v>60</v>
      </c>
      <c r="B154" s="478"/>
      <c r="C154" s="478"/>
      <c r="D154" s="3768" t="s">
        <v>424</v>
      </c>
      <c r="E154" s="3768"/>
      <c r="F154" s="3768"/>
      <c r="G154" s="3768"/>
      <c r="H154" s="3768"/>
      <c r="I154" s="2614"/>
      <c r="J154" s="2614"/>
      <c r="K154" s="2614"/>
      <c r="L154" s="478"/>
      <c r="M154" s="478"/>
      <c r="N154" s="478"/>
      <c r="O154" s="478"/>
      <c r="P154" s="2614"/>
      <c r="Q154" s="478"/>
      <c r="R154" s="478"/>
      <c r="S154" s="478"/>
      <c r="T154" s="478"/>
      <c r="U154" s="783"/>
      <c r="V154" s="783"/>
    </row>
    <row r="155" spans="1:22" s="11" customFormat="1" ht="24" customHeight="1">
      <c r="A155" s="775"/>
      <c r="B155" s="776" t="s">
        <v>61</v>
      </c>
      <c r="C155" s="776"/>
      <c r="D155" s="776"/>
      <c r="E155" s="776" t="s">
        <v>1625</v>
      </c>
      <c r="F155" s="776"/>
      <c r="G155" s="776"/>
      <c r="H155" s="776"/>
      <c r="I155" s="776" t="s">
        <v>132</v>
      </c>
      <c r="J155" s="776" t="s">
        <v>429</v>
      </c>
      <c r="K155" s="776" t="s">
        <v>280</v>
      </c>
      <c r="L155" s="776" t="s">
        <v>1582</v>
      </c>
      <c r="M155" s="777" t="s">
        <v>431</v>
      </c>
      <c r="N155" s="776" t="s">
        <v>19</v>
      </c>
      <c r="O155" s="778" t="s">
        <v>140</v>
      </c>
      <c r="P155" s="778" t="s">
        <v>131</v>
      </c>
      <c r="Q155" s="779" t="s">
        <v>1052</v>
      </c>
      <c r="R155" s="779" t="s">
        <v>423</v>
      </c>
      <c r="S155" s="780" t="s">
        <v>594</v>
      </c>
      <c r="T155" s="781" t="s">
        <v>2223</v>
      </c>
      <c r="U155" s="782" t="s">
        <v>2222</v>
      </c>
      <c r="V155" s="782" t="s">
        <v>2711</v>
      </c>
    </row>
    <row r="156" spans="1:22">
      <c r="A156" s="3027" t="str">
        <f>B156</f>
        <v/>
      </c>
      <c r="B156" s="3022" t="str">
        <f t="shared" ref="B156:B173" si="38">IF(E156&lt;&gt;"",CONCATENATE(asset_ident &amp;"-VIP"&amp;TEXT(ROW(E156)-155,"000")),"")</f>
        <v/>
      </c>
      <c r="C156" s="415"/>
      <c r="D156" s="416" t="str">
        <f t="shared" ref="D156:D182" si="39">IF(A156&lt;&gt;"",K156,"")</f>
        <v/>
      </c>
      <c r="E156" s="1758"/>
      <c r="F156" s="416"/>
      <c r="G156" s="416"/>
      <c r="H156" s="416"/>
      <c r="I156" s="435" t="str">
        <f t="shared" ref="I156" si="40">IF(B156&lt;&gt;"",VLOOKUP(O156,vlan_array,4,FALSE),"")</f>
        <v/>
      </c>
      <c r="J156" s="434" t="str">
        <f t="shared" ref="J156" si="41">IF(B156&lt;&gt;"",VLOOKUP(O156,vlan_array,5,FALSE),"")</f>
        <v/>
      </c>
      <c r="K156" s="441" t="str">
        <f t="shared" ref="K156:K182" si="42">IF(N156&lt;&gt;"","vip-"&amp;SUBSTITUTE(N156,".","-")&amp;"."&amp;VLOOKUP(E156,list_dnsdoms,2,0),"")</f>
        <v/>
      </c>
      <c r="L156" s="1082" t="str">
        <f>IF($B156&lt;&gt;"",VLOOKUP($B156,Network.Loadbalancer!$A$3:$N$30,11,FALSE),"")</f>
        <v/>
      </c>
      <c r="M156" s="447" t="str">
        <f>IF($B156&lt;&gt;"",VLOOKUP($B156,Network.Loadbalancer!$A$3:$N$30,10,FALSE),"")</f>
        <v/>
      </c>
      <c r="N156" s="305"/>
      <c r="O156" s="3275" t="str">
        <f>IF($B156&lt;&gt;"",VLOOKUP($E156,'BOM FUNCTIONS'!$CO$6:$CW$34,9,FALSE),"")</f>
        <v/>
      </c>
      <c r="P156" s="436" t="str">
        <f t="shared" ref="P156" si="43">IF(B156&lt;&gt;"",VLOOKUP(O156,vlan_array,2,FALSE),"")</f>
        <v/>
      </c>
      <c r="Q156" s="225" t="str">
        <f t="shared" ref="Q156:Q205" si="44">IF($B156&lt;&gt;"","Provisioning","")</f>
        <v/>
      </c>
      <c r="R156" s="849" t="str">
        <f>IF(B156&lt;&gt;"",
               IF(VLOOKUP($K156,DNS!$C$5:$I$54,6,FALSE)="No","No",
                    IF(AND($F156 = "Test 2.0", P156 &gt; 1715,$P156 &lt;1728),"Yes",
                     IF(AND($F156 ="Prod 2.0", P156 &gt; 2715, $P156 &lt; 2728), "Yes",
                          IF(OR(AND($F156 ="Prod F.W.", $P156 &gt; 3015, $P156&lt;3020,),AND($F156 ="Prod F.W.", $P156=3036)), "Yes","No")))),"")</f>
        <v/>
      </c>
      <c r="S156" s="2"/>
      <c r="T156" s="1966"/>
      <c r="U156" s="876"/>
      <c r="V156" s="1967"/>
    </row>
    <row r="157" spans="1:22">
      <c r="A157" s="3027" t="str">
        <f t="shared" ref="A157:A205" si="45">B157</f>
        <v/>
      </c>
      <c r="B157" s="3022" t="str">
        <f t="shared" si="38"/>
        <v/>
      </c>
      <c r="C157" s="415"/>
      <c r="D157" s="416" t="str">
        <f t="shared" si="39"/>
        <v/>
      </c>
      <c r="E157" s="1758"/>
      <c r="F157" s="416"/>
      <c r="G157" s="416"/>
      <c r="H157" s="416"/>
      <c r="I157" s="435" t="str">
        <f t="shared" ref="I157:I182" si="46">IF(B157&lt;&gt;"",VLOOKUP(O157,vlan_array,4,FALSE),"")</f>
        <v/>
      </c>
      <c r="J157" s="434" t="str">
        <f t="shared" ref="J157:J182" si="47">IF(B157&lt;&gt;"",VLOOKUP(O157,vlan_array,5,FALSE),"")</f>
        <v/>
      </c>
      <c r="K157" s="441" t="str">
        <f t="shared" si="42"/>
        <v/>
      </c>
      <c r="L157" s="1082" t="str">
        <f>IF($B157&lt;&gt;"",VLOOKUP($B157,Network.Loadbalancer!$A$3:$N$30,11,FALSE),"")</f>
        <v/>
      </c>
      <c r="M157" s="447" t="str">
        <f>IF($B157&lt;&gt;"",VLOOKUP($B157,Network.Loadbalancer!$A$3:$N$30,10,FALSE),"")</f>
        <v/>
      </c>
      <c r="N157" s="305"/>
      <c r="O157" s="3275" t="str">
        <f>IF($B157&lt;&gt;"",VLOOKUP($E157,'BOM FUNCTIONS'!$CO$6:$CW$34,9,FALSE),"")</f>
        <v/>
      </c>
      <c r="P157" s="436" t="str">
        <f t="shared" ref="P157:P182" si="48">IF(B157&lt;&gt;"",VLOOKUP(O157,vlan_array,2,FALSE),"")</f>
        <v/>
      </c>
      <c r="Q157" s="225" t="str">
        <f t="shared" si="44"/>
        <v/>
      </c>
      <c r="R157" s="849" t="str">
        <f>IF(B157&lt;&gt;"",
               IF(VLOOKUP($K157,DNS!$C$5:$I$54,6,FALSE)="No","No",
                    IF(AND($F157 = "Test 2.0", P157 &gt; 1715,$P157 &lt;1728),"Yes",
                     IF(AND($F157 ="Prod 2.0", P157 &gt; 2715, $P157 &lt; 2728), "Yes",
                          IF(OR(AND($F157 ="Prod F.W.", $P157 &gt; 3015, $P157&lt;3020,),AND($F157 ="Prod F.W.", $P157=3036)), "Yes","No")))),"")</f>
        <v/>
      </c>
      <c r="S157" s="2"/>
      <c r="T157" s="1966"/>
      <c r="U157" s="876"/>
      <c r="V157" s="1967"/>
    </row>
    <row r="158" spans="1:22">
      <c r="A158" s="3027" t="str">
        <f t="shared" si="45"/>
        <v/>
      </c>
      <c r="B158" s="3022" t="str">
        <f t="shared" si="38"/>
        <v/>
      </c>
      <c r="C158" s="415"/>
      <c r="D158" s="416" t="str">
        <f t="shared" si="39"/>
        <v/>
      </c>
      <c r="E158" s="1758"/>
      <c r="F158" s="416"/>
      <c r="G158" s="416"/>
      <c r="H158" s="416"/>
      <c r="I158" s="435" t="str">
        <f t="shared" si="46"/>
        <v/>
      </c>
      <c r="J158" s="434" t="str">
        <f t="shared" si="47"/>
        <v/>
      </c>
      <c r="K158" s="441" t="str">
        <f t="shared" si="42"/>
        <v/>
      </c>
      <c r="L158" s="1082" t="str">
        <f>IF($B158&lt;&gt;"",VLOOKUP($B158,Network.Loadbalancer!$A$3:$N$30,11,FALSE),"")</f>
        <v/>
      </c>
      <c r="M158" s="447" t="str">
        <f>IF($B158&lt;&gt;"",VLOOKUP($B158,Network.Loadbalancer!$A$3:$N$30,10,FALSE),"")</f>
        <v/>
      </c>
      <c r="N158" s="305"/>
      <c r="O158" s="3275" t="str">
        <f>IF($B158&lt;&gt;"",VLOOKUP($E158,'BOM FUNCTIONS'!$CO$6:$CW$34,9,FALSE),"")</f>
        <v/>
      </c>
      <c r="P158" s="436" t="str">
        <f t="shared" si="48"/>
        <v/>
      </c>
      <c r="Q158" s="225" t="str">
        <f t="shared" si="44"/>
        <v/>
      </c>
      <c r="R158" s="849" t="str">
        <f>IF(B158&lt;&gt;"",
               IF(VLOOKUP($K158,DNS!$C$5:$I$54,6,FALSE)="No","No",
                    IF(AND($F158 = "Test 2.0", P158 &gt; 1715,$P158 &lt;1728),"Yes",
                     IF(AND($F158 ="Prod 2.0", P158 &gt; 2715, $P158 &lt; 2728), "Yes",
                          IF(OR(AND($F158 ="Prod F.W.", $P158 &gt; 3015, $P158&lt;3020,),AND($F158 ="Prod F.W.", $P158=3036)), "Yes","No")))),"")</f>
        <v/>
      </c>
      <c r="S158" s="2"/>
      <c r="T158" s="1966"/>
      <c r="U158" s="876"/>
      <c r="V158" s="1967"/>
    </row>
    <row r="159" spans="1:22">
      <c r="A159" s="3027" t="str">
        <f t="shared" si="45"/>
        <v/>
      </c>
      <c r="B159" s="3022" t="str">
        <f t="shared" si="38"/>
        <v/>
      </c>
      <c r="C159" s="415"/>
      <c r="D159" s="416" t="str">
        <f t="shared" si="39"/>
        <v/>
      </c>
      <c r="E159" s="1758"/>
      <c r="F159" s="416"/>
      <c r="G159" s="416"/>
      <c r="H159" s="416"/>
      <c r="I159" s="435" t="str">
        <f t="shared" si="46"/>
        <v/>
      </c>
      <c r="J159" s="434" t="str">
        <f t="shared" si="47"/>
        <v/>
      </c>
      <c r="K159" s="441" t="str">
        <f t="shared" si="42"/>
        <v/>
      </c>
      <c r="L159" s="1082" t="str">
        <f>IF($B159&lt;&gt;"",VLOOKUP($B159,Network.Loadbalancer!$A$3:$N$30,11,FALSE),"")</f>
        <v/>
      </c>
      <c r="M159" s="447" t="str">
        <f>IF($B159&lt;&gt;"",VLOOKUP($B159,Network.Loadbalancer!$A$3:$N$30,10,FALSE),"")</f>
        <v/>
      </c>
      <c r="N159" s="305"/>
      <c r="O159" s="3275" t="str">
        <f>IF($B159&lt;&gt;"",VLOOKUP($E159,'BOM FUNCTIONS'!$CO$6:$CW$34,9,FALSE),"")</f>
        <v/>
      </c>
      <c r="P159" s="436" t="str">
        <f t="shared" si="48"/>
        <v/>
      </c>
      <c r="Q159" s="225" t="str">
        <f t="shared" si="44"/>
        <v/>
      </c>
      <c r="R159" s="849" t="str">
        <f>IF(B159&lt;&gt;"",
               IF(VLOOKUP($K159,DNS!$C$5:$I$54,6,FALSE)="No","No",
                    IF(AND($F159 = "Test 2.0", P159 &gt; 1715,$P159 &lt;1728),"Yes",
                     IF(AND($F159 ="Prod 2.0", P159 &gt; 2715, $P159 &lt; 2728), "Yes",
                          IF(OR(AND($F159 ="Prod F.W.", $P159 &gt; 3015, $P159&lt;3020,),AND($F159 ="Prod F.W.", $P159=3036)), "Yes","No")))),"")</f>
        <v/>
      </c>
      <c r="S159" s="2"/>
      <c r="T159" s="1966"/>
      <c r="U159" s="876"/>
      <c r="V159" s="1967"/>
    </row>
    <row r="160" spans="1:22">
      <c r="A160" s="3027" t="str">
        <f t="shared" si="45"/>
        <v/>
      </c>
      <c r="B160" s="3022" t="str">
        <f t="shared" si="38"/>
        <v/>
      </c>
      <c r="C160" s="415"/>
      <c r="D160" s="416" t="str">
        <f t="shared" si="39"/>
        <v/>
      </c>
      <c r="E160" s="1758"/>
      <c r="F160" s="416"/>
      <c r="G160" s="416"/>
      <c r="H160" s="416"/>
      <c r="I160" s="435" t="str">
        <f t="shared" si="46"/>
        <v/>
      </c>
      <c r="J160" s="434" t="str">
        <f t="shared" si="47"/>
        <v/>
      </c>
      <c r="K160" s="441" t="str">
        <f t="shared" si="42"/>
        <v/>
      </c>
      <c r="L160" s="1082" t="str">
        <f>IF($B160&lt;&gt;"",VLOOKUP($B160,Network.Loadbalancer!$A$3:$N$30,11,FALSE),"")</f>
        <v/>
      </c>
      <c r="M160" s="447" t="str">
        <f>IF($B160&lt;&gt;"",VLOOKUP($B160,Network.Loadbalancer!$A$3:$N$30,10,FALSE),"")</f>
        <v/>
      </c>
      <c r="N160" s="305"/>
      <c r="O160" s="3275" t="str">
        <f>IF($B160&lt;&gt;"",VLOOKUP($E160,'BOM FUNCTIONS'!$CO$6:$CW$34,9,FALSE),"")</f>
        <v/>
      </c>
      <c r="P160" s="436" t="str">
        <f t="shared" si="48"/>
        <v/>
      </c>
      <c r="Q160" s="225" t="str">
        <f t="shared" si="44"/>
        <v/>
      </c>
      <c r="R160" s="849" t="str">
        <f>IF(B160&lt;&gt;"",
               IF(VLOOKUP($K160,DNS!$C$5:$I$54,6,FALSE)="No","No",
                    IF(AND($F160 = "Test 2.0", P160 &gt; 1715,$P160 &lt;1728),"Yes",
                     IF(AND($F160 ="Prod 2.0", P160 &gt; 2715, $P160 &lt; 2728), "Yes",
                          IF(OR(AND($F160 ="Prod F.W.", $P160 &gt; 3015, $P160&lt;3020,),AND($F160 ="Prod F.W.", $P160=3036)), "Yes","No")))),"")</f>
        <v/>
      </c>
      <c r="S160" s="2"/>
      <c r="T160" s="72"/>
      <c r="U160" s="876"/>
      <c r="V160" s="1967"/>
    </row>
    <row r="161" spans="1:22">
      <c r="A161" s="3027" t="str">
        <f t="shared" si="45"/>
        <v/>
      </c>
      <c r="B161" s="3022" t="str">
        <f t="shared" si="38"/>
        <v/>
      </c>
      <c r="C161" s="415"/>
      <c r="D161" s="416" t="str">
        <f t="shared" si="39"/>
        <v/>
      </c>
      <c r="E161" s="1758"/>
      <c r="F161" s="416"/>
      <c r="G161" s="416"/>
      <c r="H161" s="416"/>
      <c r="I161" s="435" t="str">
        <f t="shared" si="46"/>
        <v/>
      </c>
      <c r="J161" s="434" t="str">
        <f t="shared" si="47"/>
        <v/>
      </c>
      <c r="K161" s="441" t="str">
        <f t="shared" si="42"/>
        <v/>
      </c>
      <c r="L161" s="1082" t="str">
        <f>IF($B161&lt;&gt;"",VLOOKUP($B161,Network.Loadbalancer!$A$3:$N$30,11,FALSE),"")</f>
        <v/>
      </c>
      <c r="M161" s="447" t="str">
        <f>IF($B161&lt;&gt;"",VLOOKUP($B161,Network.Loadbalancer!$A$3:$N$30,10,FALSE),"")</f>
        <v/>
      </c>
      <c r="N161" s="305"/>
      <c r="O161" s="3275" t="str">
        <f>IF($B161&lt;&gt;"",VLOOKUP($E161,'BOM FUNCTIONS'!$CO$6:$CW$34,9,FALSE),"")</f>
        <v/>
      </c>
      <c r="P161" s="436" t="str">
        <f t="shared" si="48"/>
        <v/>
      </c>
      <c r="Q161" s="225" t="str">
        <f t="shared" si="44"/>
        <v/>
      </c>
      <c r="R161" s="849" t="str">
        <f>IF(B161&lt;&gt;"",
               IF(VLOOKUP($K161,DNS!$C$5:$I$54,6,FALSE)="No","No",
                    IF(AND($F161 = "Test 2.0", P161 &gt; 1715,$P161 &lt;1728),"Yes",
                     IF(AND($F161 ="Prod 2.0", P161 &gt; 2715, $P161 &lt; 2728), "Yes",
                          IF(OR(AND($F161 ="Prod F.W.", $P161 &gt; 3015, $P161&lt;3020,),AND($F161 ="Prod F.W.", $P161=3036)), "Yes","No")))),"")</f>
        <v/>
      </c>
      <c r="S161" s="2"/>
      <c r="T161" s="72"/>
      <c r="U161" s="876"/>
      <c r="V161" s="1967"/>
    </row>
    <row r="162" spans="1:22">
      <c r="A162" s="3027" t="str">
        <f t="shared" si="45"/>
        <v/>
      </c>
      <c r="B162" s="3022" t="str">
        <f t="shared" si="38"/>
        <v/>
      </c>
      <c r="C162" s="415"/>
      <c r="D162" s="416" t="str">
        <f t="shared" si="39"/>
        <v/>
      </c>
      <c r="E162" s="1758"/>
      <c r="F162" s="416"/>
      <c r="G162" s="416"/>
      <c r="H162" s="416"/>
      <c r="I162" s="435" t="str">
        <f t="shared" si="46"/>
        <v/>
      </c>
      <c r="J162" s="434" t="str">
        <f t="shared" si="47"/>
        <v/>
      </c>
      <c r="K162" s="441" t="str">
        <f t="shared" si="42"/>
        <v/>
      </c>
      <c r="L162" s="1082" t="str">
        <f>IF($B162&lt;&gt;"",VLOOKUP($B162,Network.Loadbalancer!$A$3:$N$30,11,FALSE),"")</f>
        <v/>
      </c>
      <c r="M162" s="447" t="str">
        <f>IF($B162&lt;&gt;"",VLOOKUP($B162,Network.Loadbalancer!$A$3:$N$30,10,FALSE),"")</f>
        <v/>
      </c>
      <c r="N162" s="305"/>
      <c r="O162" s="3275" t="str">
        <f>IF($B162&lt;&gt;"",VLOOKUP($E162,'BOM FUNCTIONS'!$CO$6:$CW$34,9,FALSE),"")</f>
        <v/>
      </c>
      <c r="P162" s="436" t="str">
        <f t="shared" si="48"/>
        <v/>
      </c>
      <c r="Q162" s="225" t="str">
        <f t="shared" si="44"/>
        <v/>
      </c>
      <c r="R162" s="849" t="str">
        <f>IF(B162&lt;&gt;"",
               IF(VLOOKUP($K162,DNS!$C$5:$I$54,6,FALSE)="No","No",
                    IF(AND($F162 = "Test 2.0", P162 &gt; 1715,$P162 &lt;1728),"Yes",
                     IF(AND($F162 ="Prod 2.0", P162 &gt; 2715, $P162 &lt; 2728), "Yes",
                          IF(OR(AND($F162 ="Prod F.W.", $P162 &gt; 3015, $P162&lt;3020,),AND($F162 ="Prod F.W.", $P162=3036)), "Yes","No")))),"")</f>
        <v/>
      </c>
      <c r="S162" s="2"/>
      <c r="T162" s="72"/>
      <c r="U162" s="876"/>
      <c r="V162" s="1967"/>
    </row>
    <row r="163" spans="1:22">
      <c r="A163" s="3027" t="str">
        <f t="shared" si="45"/>
        <v/>
      </c>
      <c r="B163" s="3022" t="str">
        <f t="shared" si="38"/>
        <v/>
      </c>
      <c r="C163" s="415"/>
      <c r="D163" s="416" t="str">
        <f t="shared" si="39"/>
        <v/>
      </c>
      <c r="E163" s="1758"/>
      <c r="F163" s="416"/>
      <c r="G163" s="416"/>
      <c r="H163" s="416"/>
      <c r="I163" s="435" t="str">
        <f t="shared" si="46"/>
        <v/>
      </c>
      <c r="J163" s="434" t="str">
        <f t="shared" si="47"/>
        <v/>
      </c>
      <c r="K163" s="441" t="str">
        <f t="shared" si="42"/>
        <v/>
      </c>
      <c r="L163" s="1082" t="str">
        <f>IF($B163&lt;&gt;"",VLOOKUP($B163,Network.Loadbalancer!$A$3:$N$30,11,FALSE),"")</f>
        <v/>
      </c>
      <c r="M163" s="447" t="str">
        <f>IF($B163&lt;&gt;"",VLOOKUP($B163,Network.Loadbalancer!$A$3:$N$30,10,FALSE),"")</f>
        <v/>
      </c>
      <c r="N163" s="306"/>
      <c r="O163" s="3275" t="str">
        <f>IF($B163&lt;&gt;"",VLOOKUP($E163,'BOM FUNCTIONS'!$CO$6:$CW$34,9,FALSE),"")</f>
        <v/>
      </c>
      <c r="P163" s="436" t="str">
        <f t="shared" si="48"/>
        <v/>
      </c>
      <c r="Q163" s="225" t="str">
        <f t="shared" si="44"/>
        <v/>
      </c>
      <c r="R163" s="849" t="str">
        <f>IF(B163&lt;&gt;"",
               IF(VLOOKUP($K163,DNS!$C$5:$I$54,6,FALSE)="No","No",
                    IF(AND($F163 = "Test 2.0", P163 &gt; 1715,$P163 &lt;1728),"Yes",
                     IF(AND($F163 ="Prod 2.0", P163 &gt; 2715, $P163 &lt; 2728), "Yes",
                          IF(OR(AND($F163 ="Prod F.W.", $P163 &gt; 3015, $P163&lt;3020,),AND($F163 ="Prod F.W.", $P163=3036)), "Yes","No")))),"")</f>
        <v/>
      </c>
      <c r="S163" s="2"/>
      <c r="T163" s="72"/>
      <c r="U163" s="876"/>
      <c r="V163" s="1967"/>
    </row>
    <row r="164" spans="1:22">
      <c r="A164" s="3027" t="str">
        <f t="shared" si="45"/>
        <v/>
      </c>
      <c r="B164" s="3022" t="str">
        <f t="shared" si="38"/>
        <v/>
      </c>
      <c r="C164" s="415"/>
      <c r="D164" s="416" t="str">
        <f t="shared" si="39"/>
        <v/>
      </c>
      <c r="E164" s="1758"/>
      <c r="F164" s="416"/>
      <c r="G164" s="416"/>
      <c r="H164" s="416"/>
      <c r="I164" s="435" t="str">
        <f t="shared" si="46"/>
        <v/>
      </c>
      <c r="J164" s="434" t="str">
        <f t="shared" si="47"/>
        <v/>
      </c>
      <c r="K164" s="441" t="str">
        <f t="shared" si="42"/>
        <v/>
      </c>
      <c r="L164" s="1082" t="str">
        <f>IF($B164&lt;&gt;"",VLOOKUP($B164,Network.Loadbalancer!$A$3:$N$30,11,FALSE),"")</f>
        <v/>
      </c>
      <c r="M164" s="447" t="str">
        <f>IF($B164&lt;&gt;"",VLOOKUP($B164,Network.Loadbalancer!$A$3:$N$30,10,FALSE),"")</f>
        <v/>
      </c>
      <c r="N164" s="306"/>
      <c r="O164" s="3275" t="str">
        <f>IF($B164&lt;&gt;"",VLOOKUP($E164,'BOM FUNCTIONS'!$CO$6:$CW$34,9,FALSE),"")</f>
        <v/>
      </c>
      <c r="P164" s="436" t="str">
        <f t="shared" si="48"/>
        <v/>
      </c>
      <c r="Q164" s="225" t="str">
        <f t="shared" si="44"/>
        <v/>
      </c>
      <c r="R164" s="849" t="str">
        <f>IF(B164&lt;&gt;"",
               IF(VLOOKUP($K164,DNS!$C$5:$I$54,6,FALSE)="No","No",
                    IF(AND($F164 = "Test 2.0", P164 &gt; 1715,$P164 &lt;1728),"Yes",
                     IF(AND($F164 ="Prod 2.0", P164 &gt; 2715, $P164 &lt; 2728), "Yes",
                          IF(OR(AND($F164 ="Prod F.W.", $P164 &gt; 3015, $P164&lt;3020,),AND($F164 ="Prod F.W.", $P164=3036)), "Yes","No")))),"")</f>
        <v/>
      </c>
      <c r="S164" s="2"/>
      <c r="T164" s="72"/>
      <c r="U164" s="876"/>
      <c r="V164" s="1967"/>
    </row>
    <row r="165" spans="1:22">
      <c r="A165" s="3027" t="str">
        <f t="shared" si="45"/>
        <v/>
      </c>
      <c r="B165" s="3022" t="str">
        <f t="shared" si="38"/>
        <v/>
      </c>
      <c r="C165" s="415"/>
      <c r="D165" s="416" t="str">
        <f t="shared" si="39"/>
        <v/>
      </c>
      <c r="E165" s="1758"/>
      <c r="F165" s="416"/>
      <c r="G165" s="416"/>
      <c r="H165" s="416"/>
      <c r="I165" s="435" t="str">
        <f t="shared" si="46"/>
        <v/>
      </c>
      <c r="J165" s="434" t="str">
        <f t="shared" si="47"/>
        <v/>
      </c>
      <c r="K165" s="441" t="str">
        <f t="shared" si="42"/>
        <v/>
      </c>
      <c r="L165" s="1082" t="str">
        <f>IF($B165&lt;&gt;"",VLOOKUP($B165,Network.Loadbalancer!$A$3:$N$30,11,FALSE),"")</f>
        <v/>
      </c>
      <c r="M165" s="447" t="str">
        <f>IF($B165&lt;&gt;"",VLOOKUP($B165,Network.Loadbalancer!$A$3:$N$30,10,FALSE),"")</f>
        <v/>
      </c>
      <c r="N165" s="306"/>
      <c r="O165" s="3275" t="str">
        <f>IF($B165&lt;&gt;"",VLOOKUP($E165,'BOM FUNCTIONS'!$CO$6:$CW$34,9,FALSE),"")</f>
        <v/>
      </c>
      <c r="P165" s="436" t="str">
        <f t="shared" si="48"/>
        <v/>
      </c>
      <c r="Q165" s="225" t="str">
        <f t="shared" si="44"/>
        <v/>
      </c>
      <c r="R165" s="849" t="str">
        <f>IF(B165&lt;&gt;"",
               IF(VLOOKUP($K165,DNS!$C$5:$I$54,6,FALSE)="No","No",
                    IF(AND($F165 = "Test 2.0", P165 &gt; 1715,$P165 &lt;1728),"Yes",
                     IF(AND($F165 ="Prod 2.0", P165 &gt; 2715, $P165 &lt; 2728), "Yes",
                          IF(OR(AND($F165 ="Prod F.W.", $P165 &gt; 3015, $P165&lt;3020,),AND($F165 ="Prod F.W.", $P165=3036)), "Yes","No")))),"")</f>
        <v/>
      </c>
      <c r="S165" s="2"/>
      <c r="T165" s="72"/>
      <c r="U165" s="876"/>
      <c r="V165" s="1967"/>
    </row>
    <row r="166" spans="1:22">
      <c r="A166" s="3027" t="str">
        <f t="shared" si="45"/>
        <v/>
      </c>
      <c r="B166" s="3022" t="str">
        <f t="shared" si="38"/>
        <v/>
      </c>
      <c r="C166" s="415"/>
      <c r="D166" s="416" t="str">
        <f t="shared" si="39"/>
        <v/>
      </c>
      <c r="E166" s="1758"/>
      <c r="F166" s="416"/>
      <c r="G166" s="416"/>
      <c r="H166" s="416"/>
      <c r="I166" s="435" t="str">
        <f t="shared" si="46"/>
        <v/>
      </c>
      <c r="J166" s="434" t="str">
        <f t="shared" si="47"/>
        <v/>
      </c>
      <c r="K166" s="441" t="str">
        <f t="shared" si="42"/>
        <v/>
      </c>
      <c r="L166" s="1082" t="str">
        <f>IF($B166&lt;&gt;"",VLOOKUP($B166,Network.Loadbalancer!$A$3:$N$30,11,FALSE),"")</f>
        <v/>
      </c>
      <c r="M166" s="447" t="str">
        <f>IF($B166&lt;&gt;"",VLOOKUP($B166,Network.Loadbalancer!$A$3:$N$30,10,FALSE),"")</f>
        <v/>
      </c>
      <c r="N166" s="306"/>
      <c r="O166" s="3275" t="str">
        <f>IF($B166&lt;&gt;"",VLOOKUP($E166,'BOM FUNCTIONS'!$CO$6:$CW$34,9,FALSE),"")</f>
        <v/>
      </c>
      <c r="P166" s="436" t="str">
        <f t="shared" si="48"/>
        <v/>
      </c>
      <c r="Q166" s="225" t="str">
        <f t="shared" si="44"/>
        <v/>
      </c>
      <c r="R166" s="849" t="str">
        <f>IF(B166&lt;&gt;"",
               IF(VLOOKUP($K166,DNS!$C$5:$I$54,6,FALSE)="No","No",
                    IF(AND($F166 = "Test 2.0", P166 &gt; 1715,$P166 &lt;1728),"Yes",
                     IF(AND($F166 ="Prod 2.0", P166 &gt; 2715, $P166 &lt; 2728), "Yes",
                          IF(OR(AND($F166 ="Prod F.W.", $P166 &gt; 3015, $P166&lt;3020,),AND($F166 ="Prod F.W.", $P166=3036)), "Yes","No")))),"")</f>
        <v/>
      </c>
      <c r="S166" s="2"/>
      <c r="T166" s="72"/>
      <c r="U166" s="876"/>
      <c r="V166" s="1967"/>
    </row>
    <row r="167" spans="1:22">
      <c r="A167" s="3027" t="str">
        <f t="shared" si="45"/>
        <v/>
      </c>
      <c r="B167" s="3022" t="str">
        <f t="shared" si="38"/>
        <v/>
      </c>
      <c r="C167" s="415"/>
      <c r="D167" s="416" t="str">
        <f t="shared" si="39"/>
        <v/>
      </c>
      <c r="E167" s="1758"/>
      <c r="F167" s="416"/>
      <c r="G167" s="416"/>
      <c r="H167" s="416"/>
      <c r="I167" s="435" t="str">
        <f t="shared" si="46"/>
        <v/>
      </c>
      <c r="J167" s="434" t="str">
        <f t="shared" si="47"/>
        <v/>
      </c>
      <c r="K167" s="441" t="str">
        <f t="shared" si="42"/>
        <v/>
      </c>
      <c r="L167" s="1082" t="str">
        <f>IF($B167&lt;&gt;"",VLOOKUP($B167,Network.Loadbalancer!$A$3:$N$30,11,FALSE),"")</f>
        <v/>
      </c>
      <c r="M167" s="447" t="str">
        <f>IF($B167&lt;&gt;"",VLOOKUP($B167,Network.Loadbalancer!$A$3:$N$30,10,FALSE),"")</f>
        <v/>
      </c>
      <c r="N167" s="306"/>
      <c r="O167" s="3275" t="str">
        <f>IF($B167&lt;&gt;"",VLOOKUP($E167,'BOM FUNCTIONS'!$CO$6:$CW$34,9,FALSE),"")</f>
        <v/>
      </c>
      <c r="P167" s="436" t="str">
        <f t="shared" si="48"/>
        <v/>
      </c>
      <c r="Q167" s="225" t="str">
        <f t="shared" si="44"/>
        <v/>
      </c>
      <c r="R167" s="849" t="str">
        <f>IF(B167&lt;&gt;"",
               IF(VLOOKUP($K167,DNS!$C$5:$I$54,6,FALSE)="No","No",
                    IF(AND($F167 = "Test 2.0", P167 &gt; 1715,$P167 &lt;1728),"Yes",
                     IF(AND($F167 ="Prod 2.0", P167 &gt; 2715, $P167 &lt; 2728), "Yes",
                          IF(OR(AND($F167 ="Prod F.W.", $P167 &gt; 3015, $P167&lt;3020,),AND($F167 ="Prod F.W.", $P167=3036)), "Yes","No")))),"")</f>
        <v/>
      </c>
      <c r="S167" s="2"/>
      <c r="T167" s="72"/>
      <c r="U167" s="876"/>
      <c r="V167" s="1967"/>
    </row>
    <row r="168" spans="1:22">
      <c r="A168" s="3027" t="str">
        <f t="shared" si="45"/>
        <v/>
      </c>
      <c r="B168" s="3022" t="str">
        <f t="shared" si="38"/>
        <v/>
      </c>
      <c r="C168" s="415"/>
      <c r="D168" s="416" t="str">
        <f t="shared" si="39"/>
        <v/>
      </c>
      <c r="E168" s="1758"/>
      <c r="F168" s="416"/>
      <c r="G168" s="416"/>
      <c r="H168" s="416"/>
      <c r="I168" s="435" t="str">
        <f t="shared" si="46"/>
        <v/>
      </c>
      <c r="J168" s="434" t="str">
        <f t="shared" si="47"/>
        <v/>
      </c>
      <c r="K168" s="441" t="str">
        <f t="shared" si="42"/>
        <v/>
      </c>
      <c r="L168" s="1082" t="str">
        <f>IF($B168&lt;&gt;"",VLOOKUP($B168,Network.Loadbalancer!$A$3:$N$30,11,FALSE),"")</f>
        <v/>
      </c>
      <c r="M168" s="447" t="str">
        <f>IF($B168&lt;&gt;"",VLOOKUP($B168,Network.Loadbalancer!$A$3:$N$30,10,FALSE),"")</f>
        <v/>
      </c>
      <c r="N168" s="306"/>
      <c r="O168" s="3275" t="str">
        <f>IF($B168&lt;&gt;"",VLOOKUP($E168,'BOM FUNCTIONS'!$CO$6:$CW$34,9,FALSE),"")</f>
        <v/>
      </c>
      <c r="P168" s="436" t="str">
        <f t="shared" si="48"/>
        <v/>
      </c>
      <c r="Q168" s="225" t="str">
        <f t="shared" si="44"/>
        <v/>
      </c>
      <c r="R168" s="849" t="str">
        <f>IF(B168&lt;&gt;"",
               IF(VLOOKUP($K168,DNS!$C$5:$I$54,6,FALSE)="No","No",
                    IF(AND($F168 = "Test 2.0", P168 &gt; 1715,$P168 &lt;1728),"Yes",
                     IF(AND($F168 ="Prod 2.0", P168 &gt; 2715, $P168 &lt; 2728), "Yes",
                          IF(OR(AND($F168 ="Prod F.W.", $P168 &gt; 3015, $P168&lt;3020,),AND($F168 ="Prod F.W.", $P168=3036)), "Yes","No")))),"")</f>
        <v/>
      </c>
      <c r="S168" s="2"/>
      <c r="T168" s="72"/>
      <c r="U168" s="876"/>
      <c r="V168" s="1967"/>
    </row>
    <row r="169" spans="1:22">
      <c r="A169" s="3027" t="str">
        <f t="shared" si="45"/>
        <v/>
      </c>
      <c r="B169" s="3022" t="str">
        <f t="shared" si="38"/>
        <v/>
      </c>
      <c r="C169" s="415"/>
      <c r="D169" s="416" t="str">
        <f t="shared" si="39"/>
        <v/>
      </c>
      <c r="E169" s="1758"/>
      <c r="F169" s="416"/>
      <c r="G169" s="416"/>
      <c r="H169" s="416"/>
      <c r="I169" s="435" t="str">
        <f t="shared" si="46"/>
        <v/>
      </c>
      <c r="J169" s="434" t="str">
        <f t="shared" si="47"/>
        <v/>
      </c>
      <c r="K169" s="441" t="str">
        <f t="shared" si="42"/>
        <v/>
      </c>
      <c r="L169" s="1082" t="str">
        <f>IF($B169&lt;&gt;"",VLOOKUP($B169,Network.Loadbalancer!$A$3:$N$30,11,FALSE),"")</f>
        <v/>
      </c>
      <c r="M169" s="447" t="str">
        <f>IF($B169&lt;&gt;"",VLOOKUP($B169,Network.Loadbalancer!$A$3:$N$30,10,FALSE),"")</f>
        <v/>
      </c>
      <c r="N169" s="306"/>
      <c r="O169" s="3275" t="str">
        <f>IF($B169&lt;&gt;"",VLOOKUP($E169,'BOM FUNCTIONS'!$CO$6:$CW$34,9,FALSE),"")</f>
        <v/>
      </c>
      <c r="P169" s="436" t="str">
        <f t="shared" si="48"/>
        <v/>
      </c>
      <c r="Q169" s="225" t="str">
        <f t="shared" si="44"/>
        <v/>
      </c>
      <c r="R169" s="849" t="str">
        <f>IF(B169&lt;&gt;"",
               IF(VLOOKUP($K169,DNS!$C$5:$I$54,6,FALSE)="No","No",
                    IF(AND($F169 = "Test 2.0", P169 &gt; 1715,$P169 &lt;1728),"Yes",
                     IF(AND($F169 ="Prod 2.0", P169 &gt; 2715, $P169 &lt; 2728), "Yes",
                          IF(OR(AND($F169 ="Prod F.W.", $P169 &gt; 3015, $P169&lt;3020,),AND($F169 ="Prod F.W.", $P169=3036)), "Yes","No")))),"")</f>
        <v/>
      </c>
      <c r="S169" s="2"/>
      <c r="T169" s="72"/>
      <c r="U169" s="876"/>
      <c r="V169" s="1967"/>
    </row>
    <row r="170" spans="1:22">
      <c r="A170" s="3027" t="str">
        <f t="shared" si="45"/>
        <v/>
      </c>
      <c r="B170" s="3022" t="str">
        <f t="shared" si="38"/>
        <v/>
      </c>
      <c r="C170" s="415"/>
      <c r="D170" s="416" t="str">
        <f t="shared" si="39"/>
        <v/>
      </c>
      <c r="E170" s="1758"/>
      <c r="F170" s="416"/>
      <c r="G170" s="416"/>
      <c r="H170" s="416"/>
      <c r="I170" s="435" t="str">
        <f t="shared" si="46"/>
        <v/>
      </c>
      <c r="J170" s="434" t="str">
        <f t="shared" si="47"/>
        <v/>
      </c>
      <c r="K170" s="441" t="str">
        <f t="shared" si="42"/>
        <v/>
      </c>
      <c r="L170" s="1082" t="str">
        <f>IF($B170&lt;&gt;"",VLOOKUP($B170,Network.Loadbalancer!$A$3:$N$30,11,FALSE),"")</f>
        <v/>
      </c>
      <c r="M170" s="447" t="str">
        <f>IF($B170&lt;&gt;"",VLOOKUP($B170,Network.Loadbalancer!$A$3:$N$30,10,FALSE),"")</f>
        <v/>
      </c>
      <c r="N170" s="306"/>
      <c r="O170" s="3275" t="str">
        <f>IF($B170&lt;&gt;"",VLOOKUP($E170,'BOM FUNCTIONS'!$CO$6:$CW$34,9,FALSE),"")</f>
        <v/>
      </c>
      <c r="P170" s="436" t="str">
        <f t="shared" si="48"/>
        <v/>
      </c>
      <c r="Q170" s="225" t="str">
        <f t="shared" si="44"/>
        <v/>
      </c>
      <c r="R170" s="849" t="str">
        <f>IF(B170&lt;&gt;"",
               IF(VLOOKUP($K170,DNS!$C$5:$I$54,6,FALSE)="No","No",
                    IF(AND($F170 = "Test 2.0", P170 &gt; 1715,$P170 &lt;1728),"Yes",
                     IF(AND($F170 ="Prod 2.0", P170 &gt; 2715, $P170 &lt; 2728), "Yes",
                          IF(OR(AND($F170 ="Prod F.W.", $P170 &gt; 3015, $P170&lt;3020,),AND($F170 ="Prod F.W.", $P170=3036)), "Yes","No")))),"")</f>
        <v/>
      </c>
      <c r="S170" s="2"/>
      <c r="T170" s="72"/>
      <c r="U170" s="876"/>
      <c r="V170" s="1967"/>
    </row>
    <row r="171" spans="1:22">
      <c r="A171" s="3027" t="str">
        <f t="shared" si="45"/>
        <v/>
      </c>
      <c r="B171" s="3022" t="str">
        <f t="shared" si="38"/>
        <v/>
      </c>
      <c r="C171" s="415"/>
      <c r="D171" s="416" t="str">
        <f t="shared" si="39"/>
        <v/>
      </c>
      <c r="E171" s="1758"/>
      <c r="F171" s="416"/>
      <c r="G171" s="416"/>
      <c r="H171" s="416"/>
      <c r="I171" s="435" t="str">
        <f t="shared" si="46"/>
        <v/>
      </c>
      <c r="J171" s="434" t="str">
        <f t="shared" si="47"/>
        <v/>
      </c>
      <c r="K171" s="441" t="str">
        <f t="shared" si="42"/>
        <v/>
      </c>
      <c r="L171" s="1082" t="str">
        <f>IF($B171&lt;&gt;"",VLOOKUP($B171,Network.Loadbalancer!$A$3:$N$30,11,FALSE),"")</f>
        <v/>
      </c>
      <c r="M171" s="447" t="str">
        <f>IF($B171&lt;&gt;"",VLOOKUP($B171,Network.Loadbalancer!$A$3:$N$30,10,FALSE),"")</f>
        <v/>
      </c>
      <c r="N171" s="306"/>
      <c r="O171" s="3275" t="str">
        <f>IF($B171&lt;&gt;"",VLOOKUP($E171,'BOM FUNCTIONS'!$CO$6:$CW$34,9,FALSE),"")</f>
        <v/>
      </c>
      <c r="P171" s="436" t="str">
        <f t="shared" si="48"/>
        <v/>
      </c>
      <c r="Q171" s="225" t="str">
        <f t="shared" si="44"/>
        <v/>
      </c>
      <c r="R171" s="849" t="str">
        <f>IF(B171&lt;&gt;"",
               IF(VLOOKUP($K171,DNS!$C$5:$I$54,6,FALSE)="No","No",
                    IF(AND($F171 = "Test 2.0", P171 &gt; 1715,$P171 &lt;1728),"Yes",
                     IF(AND($F171 ="Prod 2.0", P171 &gt; 2715, $P171 &lt; 2728), "Yes",
                          IF(OR(AND($F171 ="Prod F.W.", $P171 &gt; 3015, $P171&lt;3020,),AND($F171 ="Prod F.W.", $P171=3036)), "Yes","No")))),"")</f>
        <v/>
      </c>
      <c r="S171" s="2"/>
      <c r="T171" s="72"/>
      <c r="U171" s="876"/>
      <c r="V171" s="1967"/>
    </row>
    <row r="172" spans="1:22">
      <c r="A172" s="3027" t="str">
        <f t="shared" si="45"/>
        <v/>
      </c>
      <c r="B172" s="3022" t="str">
        <f t="shared" si="38"/>
        <v/>
      </c>
      <c r="C172" s="415"/>
      <c r="D172" s="416" t="str">
        <f t="shared" si="39"/>
        <v/>
      </c>
      <c r="E172" s="1758"/>
      <c r="F172" s="416"/>
      <c r="G172" s="416"/>
      <c r="H172" s="416"/>
      <c r="I172" s="435" t="str">
        <f t="shared" si="46"/>
        <v/>
      </c>
      <c r="J172" s="434" t="str">
        <f t="shared" si="47"/>
        <v/>
      </c>
      <c r="K172" s="441" t="str">
        <f t="shared" si="42"/>
        <v/>
      </c>
      <c r="L172" s="1082" t="str">
        <f>IF($B172&lt;&gt;"",VLOOKUP($B172,Network.Loadbalancer!$A$3:$N$30,11,FALSE),"")</f>
        <v/>
      </c>
      <c r="M172" s="447" t="str">
        <f>IF($B172&lt;&gt;"",VLOOKUP($B172,Network.Loadbalancer!$A$3:$N$30,10,FALSE),"")</f>
        <v/>
      </c>
      <c r="N172" s="306"/>
      <c r="O172" s="3275" t="str">
        <f>IF($B172&lt;&gt;"",VLOOKUP($E172,'BOM FUNCTIONS'!$CO$6:$CW$34,9,FALSE),"")</f>
        <v/>
      </c>
      <c r="P172" s="436" t="str">
        <f t="shared" si="48"/>
        <v/>
      </c>
      <c r="Q172" s="225" t="str">
        <f t="shared" si="44"/>
        <v/>
      </c>
      <c r="R172" s="849" t="str">
        <f>IF(B172&lt;&gt;"",
               IF(VLOOKUP($K172,DNS!$C$5:$I$54,6,FALSE)="No","No",
                    IF(AND($F172 = "Test 2.0", P172 &gt; 1715,$P172 &lt;1728),"Yes",
                     IF(AND($F172 ="Prod 2.0", P172 &gt; 2715, $P172 &lt; 2728), "Yes",
                          IF(OR(AND($F172 ="Prod F.W.", $P172 &gt; 3015, $P172&lt;3020,),AND($F172 ="Prod F.W.", $P172=3036)), "Yes","No")))),"")</f>
        <v/>
      </c>
      <c r="S172" s="2"/>
      <c r="T172" s="72"/>
      <c r="U172" s="876"/>
      <c r="V172" s="1967"/>
    </row>
    <row r="173" spans="1:22">
      <c r="A173" s="3027" t="str">
        <f t="shared" si="45"/>
        <v/>
      </c>
      <c r="B173" s="3022" t="str">
        <f t="shared" si="38"/>
        <v/>
      </c>
      <c r="C173" s="415"/>
      <c r="D173" s="416" t="str">
        <f t="shared" si="39"/>
        <v/>
      </c>
      <c r="E173" s="1758"/>
      <c r="F173" s="416"/>
      <c r="G173" s="416"/>
      <c r="H173" s="416"/>
      <c r="I173" s="435" t="str">
        <f t="shared" si="46"/>
        <v/>
      </c>
      <c r="J173" s="434" t="str">
        <f t="shared" si="47"/>
        <v/>
      </c>
      <c r="K173" s="441" t="str">
        <f t="shared" si="42"/>
        <v/>
      </c>
      <c r="L173" s="1082" t="str">
        <f>IF($B173&lt;&gt;"",VLOOKUP($B173,Network.Loadbalancer!$A$3:$N$30,11,FALSE),"")</f>
        <v/>
      </c>
      <c r="M173" s="447" t="str">
        <f>IF($B173&lt;&gt;"",VLOOKUP($B173,Network.Loadbalancer!$A$3:$N$30,10,FALSE),"")</f>
        <v/>
      </c>
      <c r="N173" s="306"/>
      <c r="O173" s="3275" t="str">
        <f>IF($B173&lt;&gt;"",VLOOKUP($E173,'BOM FUNCTIONS'!$CO$6:$CW$34,9,FALSE),"")</f>
        <v/>
      </c>
      <c r="P173" s="436" t="str">
        <f t="shared" si="48"/>
        <v/>
      </c>
      <c r="Q173" s="225" t="str">
        <f t="shared" si="44"/>
        <v/>
      </c>
      <c r="R173" s="849" t="str">
        <f>IF(B173&lt;&gt;"",
               IF(VLOOKUP($K173,DNS!$C$5:$I$54,6,FALSE)="No","No",
                    IF(AND($F173 = "Test 2.0", P173 &gt; 1715,$P173 &lt;1728),"Yes",
                     IF(AND($F173 ="Prod 2.0", P173 &gt; 2715, $P173 &lt; 2728), "Yes",
                          IF(OR(AND($F173 ="Prod F.W.", $P173 &gt; 3015, $P173&lt;3020,),AND($F173 ="Prod F.W.", $P173=3036)), "Yes","No")))),"")</f>
        <v/>
      </c>
      <c r="S173" s="2"/>
      <c r="T173" s="72"/>
      <c r="U173" s="876"/>
      <c r="V173" s="1967"/>
    </row>
    <row r="174" spans="1:22">
      <c r="A174" s="3027" t="str">
        <f t="shared" si="45"/>
        <v/>
      </c>
      <c r="B174" s="3022" t="str">
        <f>IF(Network.Loadbalancer!$B21&lt;&gt;"",Network.Loadbalancer!A21,"")</f>
        <v/>
      </c>
      <c r="C174" s="415"/>
      <c r="D174" s="416" t="str">
        <f t="shared" si="39"/>
        <v/>
      </c>
      <c r="E174" s="1758"/>
      <c r="F174" s="416"/>
      <c r="G174" s="416"/>
      <c r="H174" s="416"/>
      <c r="I174" s="435" t="str">
        <f t="shared" si="46"/>
        <v/>
      </c>
      <c r="J174" s="434" t="str">
        <f t="shared" si="47"/>
        <v/>
      </c>
      <c r="K174" s="441" t="str">
        <f t="shared" si="42"/>
        <v/>
      </c>
      <c r="L174" s="1082" t="str">
        <f>IF($B174&lt;&gt;"",VLOOKUP($B174,Network.Loadbalancer!$A$3:$N$30,11,FALSE),"")</f>
        <v/>
      </c>
      <c r="M174" s="447" t="str">
        <f>IF($B174&lt;&gt;"",VLOOKUP($B174,Network.Loadbalancer!$A$3:$N$30,10,FALSE),"")</f>
        <v/>
      </c>
      <c r="N174" s="306"/>
      <c r="O174" s="3275" t="str">
        <f>IF($B174&lt;&gt;"",VLOOKUP($E174,'BOM FUNCTIONS'!$CO$6:$CW$34,9,FALSE),"")</f>
        <v/>
      </c>
      <c r="P174" s="436" t="str">
        <f t="shared" si="48"/>
        <v/>
      </c>
      <c r="Q174" s="225" t="str">
        <f t="shared" si="44"/>
        <v/>
      </c>
      <c r="R174" s="849" t="str">
        <f>IF(B174&lt;&gt;"",
               IF(VLOOKUP($K174,DNS!$C$5:$I$54,6,FALSE)="No","No",
                    IF(AND($F174 = "Test 2.0", P174 &gt; 1715,$P174 &lt;1728),"Yes",
                     IF(AND($F174 ="Prod 2.0", P174 &gt; 2715, $P174 &lt; 2728), "Yes",
                          IF(OR(AND($F174 ="Prod F.W.", $P174 &gt; 3015, $P174&lt;3020,),AND($F174 ="Prod F.W.", $P174=3036)), "Yes","No")))),"")</f>
        <v/>
      </c>
      <c r="S174" s="2"/>
      <c r="T174" s="72"/>
      <c r="U174" s="876"/>
      <c r="V174" s="1967"/>
    </row>
    <row r="175" spans="1:22">
      <c r="A175" s="3027" t="str">
        <f t="shared" si="45"/>
        <v/>
      </c>
      <c r="B175" s="3022" t="str">
        <f>IF(Network.Loadbalancer!$B22&lt;&gt;"",Network.Loadbalancer!A22,"")</f>
        <v/>
      </c>
      <c r="C175" s="415"/>
      <c r="D175" s="416" t="str">
        <f t="shared" si="39"/>
        <v/>
      </c>
      <c r="E175" s="1758"/>
      <c r="F175" s="416"/>
      <c r="G175" s="416"/>
      <c r="H175" s="416"/>
      <c r="I175" s="435" t="str">
        <f t="shared" si="46"/>
        <v/>
      </c>
      <c r="J175" s="434" t="str">
        <f t="shared" si="47"/>
        <v/>
      </c>
      <c r="K175" s="441" t="str">
        <f t="shared" si="42"/>
        <v/>
      </c>
      <c r="L175" s="1082" t="str">
        <f>IF($B175&lt;&gt;"",VLOOKUP($B175,Network.Loadbalancer!$A$3:$N$30,11,FALSE),"")</f>
        <v/>
      </c>
      <c r="M175" s="447" t="str">
        <f>IF($B175&lt;&gt;"",VLOOKUP($B175,Network.Loadbalancer!$A$3:$N$30,10,FALSE),"")</f>
        <v/>
      </c>
      <c r="N175" s="306"/>
      <c r="O175" s="3275" t="str">
        <f>IF($B175&lt;&gt;"",VLOOKUP($E175,'BOM FUNCTIONS'!$CO$6:$CW$34,9,FALSE),"")</f>
        <v/>
      </c>
      <c r="P175" s="436" t="str">
        <f t="shared" si="48"/>
        <v/>
      </c>
      <c r="Q175" s="225" t="str">
        <f t="shared" si="44"/>
        <v/>
      </c>
      <c r="R175" s="849" t="str">
        <f>IF(B175&lt;&gt;"",
               IF(VLOOKUP($K175,DNS!$C$5:$I$54,6,FALSE)="No","No",
                    IF(AND($F175 = "Test 2.0", P175 &gt; 1715,$P175 &lt;1728),"Yes",
                     IF(AND($F175 ="Prod 2.0", P175 &gt; 2715, $P175 &lt; 2728), "Yes",
                          IF(OR(AND($F175 ="Prod F.W.", $P175 &gt; 3015, $P175&lt;3020,),AND($F175 ="Prod F.W.", $P175=3036)), "Yes","No")))),"")</f>
        <v/>
      </c>
      <c r="S175" s="2"/>
      <c r="T175" s="72"/>
      <c r="U175" s="876"/>
      <c r="V175" s="1967"/>
    </row>
    <row r="176" spans="1:22">
      <c r="A176" s="3027" t="str">
        <f t="shared" si="45"/>
        <v/>
      </c>
      <c r="B176" s="3022" t="str">
        <f>IF(Network.Loadbalancer!$B23&lt;&gt;"",Network.Loadbalancer!A23,"")</f>
        <v/>
      </c>
      <c r="C176" s="415"/>
      <c r="D176" s="416" t="str">
        <f t="shared" si="39"/>
        <v/>
      </c>
      <c r="E176" s="1758"/>
      <c r="F176" s="416"/>
      <c r="G176" s="416"/>
      <c r="H176" s="416"/>
      <c r="I176" s="435" t="str">
        <f t="shared" si="46"/>
        <v/>
      </c>
      <c r="J176" s="434" t="str">
        <f t="shared" si="47"/>
        <v/>
      </c>
      <c r="K176" s="441" t="str">
        <f t="shared" si="42"/>
        <v/>
      </c>
      <c r="L176" s="1082" t="str">
        <f>IF($B176&lt;&gt;"",VLOOKUP($B176,Network.Loadbalancer!$A$3:$N$30,11,FALSE),"")</f>
        <v/>
      </c>
      <c r="M176" s="447" t="str">
        <f>IF($B176&lt;&gt;"",VLOOKUP($B176,Network.Loadbalancer!$A$3:$N$30,10,FALSE),"")</f>
        <v/>
      </c>
      <c r="N176" s="306"/>
      <c r="O176" s="3275" t="str">
        <f>IF($B176&lt;&gt;"",VLOOKUP($E176,'BOM FUNCTIONS'!$CO$6:$CW$34,9,FALSE),"")</f>
        <v/>
      </c>
      <c r="P176" s="436" t="str">
        <f t="shared" si="48"/>
        <v/>
      </c>
      <c r="Q176" s="225" t="str">
        <f t="shared" si="44"/>
        <v/>
      </c>
      <c r="R176" s="849" t="str">
        <f>IF(B176&lt;&gt;"",
               IF(VLOOKUP($K176,DNS!$C$5:$I$54,6,FALSE)="No","No",
                    IF(AND($F176 = "Test 2.0", P176 &gt; 1715,$P176 &lt;1728),"Yes",
                     IF(AND($F176 ="Prod 2.0", P176 &gt; 2715, $P176 &lt; 2728), "Yes",
                          IF(OR(AND($F176 ="Prod F.W.", $P176 &gt; 3015, $P176&lt;3020,),AND($F176 ="Prod F.W.", $P176=3036)), "Yes","No")))),"")</f>
        <v/>
      </c>
      <c r="S176" s="2"/>
      <c r="T176" s="72"/>
      <c r="U176" s="876"/>
      <c r="V176" s="1967"/>
    </row>
    <row r="177" spans="1:22">
      <c r="A177" s="3027" t="str">
        <f t="shared" si="45"/>
        <v/>
      </c>
      <c r="B177" s="3022" t="str">
        <f>IF(Network.Loadbalancer!$B24&lt;&gt;"",Network.Loadbalancer!A24,"")</f>
        <v/>
      </c>
      <c r="C177" s="415"/>
      <c r="D177" s="416" t="str">
        <f t="shared" si="39"/>
        <v/>
      </c>
      <c r="E177" s="1758"/>
      <c r="F177" s="416"/>
      <c r="G177" s="416"/>
      <c r="H177" s="416"/>
      <c r="I177" s="435" t="str">
        <f t="shared" si="46"/>
        <v/>
      </c>
      <c r="J177" s="434" t="str">
        <f t="shared" si="47"/>
        <v/>
      </c>
      <c r="K177" s="441" t="str">
        <f t="shared" si="42"/>
        <v/>
      </c>
      <c r="L177" s="1082" t="str">
        <f>IF($B177&lt;&gt;"",VLOOKUP($B177,Network.Loadbalancer!$A$3:$N$30,11,FALSE),"")</f>
        <v/>
      </c>
      <c r="M177" s="447" t="str">
        <f>IF($B177&lt;&gt;"",VLOOKUP($B177,Network.Loadbalancer!$A$3:$N$30,10,FALSE),"")</f>
        <v/>
      </c>
      <c r="N177" s="306"/>
      <c r="O177" s="3275" t="str">
        <f>IF($B177&lt;&gt;"",VLOOKUP($E177,'BOM FUNCTIONS'!$CO$6:$CW$34,9,FALSE),"")</f>
        <v/>
      </c>
      <c r="P177" s="436" t="str">
        <f t="shared" si="48"/>
        <v/>
      </c>
      <c r="Q177" s="225" t="str">
        <f t="shared" si="44"/>
        <v/>
      </c>
      <c r="R177" s="849" t="str">
        <f>IF(B177&lt;&gt;"",
               IF(VLOOKUP($K177,DNS!$C$5:$I$54,6,FALSE)="No","No",
                    IF(AND($F177 = "Test 2.0", P177 &gt; 1715,$P177 &lt;1728),"Yes",
                     IF(AND($F177 ="Prod 2.0", P177 &gt; 2715, $P177 &lt; 2728), "Yes",
                          IF(OR(AND($F177 ="Prod F.W.", $P177 &gt; 3015, $P177&lt;3020,),AND($F177 ="Prod F.W.", $P177=3036)), "Yes","No")))),"")</f>
        <v/>
      </c>
      <c r="S177" s="2"/>
      <c r="T177" s="72"/>
      <c r="U177" s="876"/>
      <c r="V177" s="1967"/>
    </row>
    <row r="178" spans="1:22">
      <c r="A178" s="3027" t="str">
        <f t="shared" si="45"/>
        <v/>
      </c>
      <c r="B178" s="3022" t="str">
        <f>IF(Network.Loadbalancer!$B25&lt;&gt;"",Network.Loadbalancer!A25,"")</f>
        <v/>
      </c>
      <c r="C178" s="415"/>
      <c r="D178" s="416" t="str">
        <f t="shared" si="39"/>
        <v/>
      </c>
      <c r="E178" s="1758"/>
      <c r="F178" s="416"/>
      <c r="G178" s="416"/>
      <c r="H178" s="416"/>
      <c r="I178" s="435" t="str">
        <f t="shared" si="46"/>
        <v/>
      </c>
      <c r="J178" s="434" t="str">
        <f t="shared" si="47"/>
        <v/>
      </c>
      <c r="K178" s="441" t="str">
        <f t="shared" si="42"/>
        <v/>
      </c>
      <c r="L178" s="1082" t="str">
        <f>IF($B178&lt;&gt;"",VLOOKUP($B178,Network.Loadbalancer!$A$3:$N$30,11,FALSE),"")</f>
        <v/>
      </c>
      <c r="M178" s="447" t="str">
        <f>IF($B178&lt;&gt;"",VLOOKUP($B178,Network.Loadbalancer!$A$3:$N$30,10,FALSE),"")</f>
        <v/>
      </c>
      <c r="N178" s="306"/>
      <c r="O178" s="3275" t="str">
        <f>IF($B178&lt;&gt;"",VLOOKUP($E178,'BOM FUNCTIONS'!$CO$6:$CW$34,9,FALSE),"")</f>
        <v/>
      </c>
      <c r="P178" s="436" t="str">
        <f t="shared" si="48"/>
        <v/>
      </c>
      <c r="Q178" s="225" t="str">
        <f t="shared" si="44"/>
        <v/>
      </c>
      <c r="R178" s="849" t="str">
        <f>IF(B178&lt;&gt;"",
               IF(VLOOKUP($K178,DNS!$C$5:$I$54,6,FALSE)="No","No",
                    IF(AND($F178 = "Test 2.0", P178 &gt; 1715,$P178 &lt;1728),"Yes",
                     IF(AND($F178 ="Prod 2.0", P178 &gt; 2715, $P178 &lt; 2728), "Yes",
                          IF(OR(AND($F178 ="Prod F.W.", $P178 &gt; 3015, $P178&lt;3020,),AND($F178 ="Prod F.W.", $P178=3036)), "Yes","No")))),"")</f>
        <v/>
      </c>
      <c r="S178" s="2"/>
      <c r="T178" s="72"/>
      <c r="U178" s="876"/>
      <c r="V178" s="1967"/>
    </row>
    <row r="179" spans="1:22">
      <c r="A179" s="3027" t="str">
        <f t="shared" si="45"/>
        <v/>
      </c>
      <c r="B179" s="3022" t="str">
        <f>IF(Network.Loadbalancer!$B26&lt;&gt;"",Network.Loadbalancer!A26,"")</f>
        <v/>
      </c>
      <c r="C179" s="415"/>
      <c r="D179" s="416" t="str">
        <f t="shared" si="39"/>
        <v/>
      </c>
      <c r="E179" s="1758"/>
      <c r="F179" s="416"/>
      <c r="G179" s="416"/>
      <c r="H179" s="416"/>
      <c r="I179" s="435" t="str">
        <f t="shared" si="46"/>
        <v/>
      </c>
      <c r="J179" s="434" t="str">
        <f t="shared" si="47"/>
        <v/>
      </c>
      <c r="K179" s="441" t="str">
        <f t="shared" si="42"/>
        <v/>
      </c>
      <c r="L179" s="1082" t="str">
        <f>IF($B179&lt;&gt;"",VLOOKUP($B179,Network.Loadbalancer!$A$3:$N$30,11,FALSE),"")</f>
        <v/>
      </c>
      <c r="M179" s="447" t="str">
        <f>IF($B179&lt;&gt;"",VLOOKUP($B179,Network.Loadbalancer!$A$3:$N$30,10,FALSE),"")</f>
        <v/>
      </c>
      <c r="N179" s="306"/>
      <c r="O179" s="3275" t="str">
        <f>IF($B179&lt;&gt;"",VLOOKUP($E179,'BOM FUNCTIONS'!$CO$6:$CW$34,9,FALSE),"")</f>
        <v/>
      </c>
      <c r="P179" s="436" t="str">
        <f t="shared" si="48"/>
        <v/>
      </c>
      <c r="Q179" s="225" t="str">
        <f t="shared" si="44"/>
        <v/>
      </c>
      <c r="R179" s="849" t="str">
        <f>IF(B179&lt;&gt;"",
               IF(VLOOKUP($K179,DNS!$C$5:$I$54,6,FALSE)="No","No",
                    IF(AND($F179 = "Test 2.0", P179 &gt; 1715,$P179 &lt;1728),"Yes",
                     IF(AND($F179 ="Prod 2.0", P179 &gt; 2715, $P179 &lt; 2728), "Yes",
                          IF(OR(AND($F179 ="Prod F.W.", $P179 &gt; 3015, $P179&lt;3020,),AND($F179 ="Prod F.W.", $P179=3036)), "Yes","No")))),"")</f>
        <v/>
      </c>
      <c r="S179" s="2"/>
      <c r="T179" s="72"/>
      <c r="U179" s="876"/>
      <c r="V179" s="1967"/>
    </row>
    <row r="180" spans="1:22">
      <c r="A180" s="3027" t="str">
        <f t="shared" si="45"/>
        <v/>
      </c>
      <c r="B180" s="3022" t="str">
        <f>IF(Network.Loadbalancer!$B27&lt;&gt;"",Network.Loadbalancer!A27,"")</f>
        <v/>
      </c>
      <c r="C180" s="415"/>
      <c r="D180" s="416" t="str">
        <f t="shared" si="39"/>
        <v/>
      </c>
      <c r="E180" s="1758"/>
      <c r="F180" s="416"/>
      <c r="G180" s="416"/>
      <c r="H180" s="416"/>
      <c r="I180" s="435" t="str">
        <f t="shared" si="46"/>
        <v/>
      </c>
      <c r="J180" s="434" t="str">
        <f t="shared" si="47"/>
        <v/>
      </c>
      <c r="K180" s="441" t="str">
        <f t="shared" si="42"/>
        <v/>
      </c>
      <c r="L180" s="1082" t="str">
        <f>IF($B180&lt;&gt;"",VLOOKUP($B180,Network.Loadbalancer!$A$3:$N$30,11,FALSE),"")</f>
        <v/>
      </c>
      <c r="M180" s="447" t="str">
        <f>IF($B180&lt;&gt;"",VLOOKUP($B180,Network.Loadbalancer!$A$3:$N$30,10,FALSE),"")</f>
        <v/>
      </c>
      <c r="N180" s="306"/>
      <c r="O180" s="3275" t="str">
        <f>IF($B180&lt;&gt;"",VLOOKUP($E180,'BOM FUNCTIONS'!$CO$6:$CW$34,9,FALSE),"")</f>
        <v/>
      </c>
      <c r="P180" s="436" t="str">
        <f t="shared" si="48"/>
        <v/>
      </c>
      <c r="Q180" s="225" t="str">
        <f t="shared" si="44"/>
        <v/>
      </c>
      <c r="R180" s="849" t="str">
        <f>IF(B180&lt;&gt;"",
               IF(VLOOKUP($K180,DNS!$C$5:$I$54,6,FALSE)="No","No",
                    IF(AND($F180 = "Test 2.0", P180 &gt; 1715,$P180 &lt;1728),"Yes",
                     IF(AND($F180 ="Prod 2.0", P180 &gt; 2715, $P180 &lt; 2728), "Yes",
                          IF(OR(AND($F180 ="Prod F.W.", $P180 &gt; 3015, $P180&lt;3020,),AND($F180 ="Prod F.W.", $P180=3036)), "Yes","No")))),"")</f>
        <v/>
      </c>
      <c r="S180" s="2"/>
      <c r="T180" s="72"/>
      <c r="U180" s="876"/>
      <c r="V180" s="1967"/>
    </row>
    <row r="181" spans="1:22">
      <c r="A181" s="3027" t="str">
        <f t="shared" si="45"/>
        <v/>
      </c>
      <c r="B181" s="3022" t="str">
        <f>IF(Network.Loadbalancer!$B28&lt;&gt;"",Network.Loadbalancer!A28,"")</f>
        <v/>
      </c>
      <c r="C181" s="415"/>
      <c r="D181" s="416" t="str">
        <f t="shared" si="39"/>
        <v/>
      </c>
      <c r="E181" s="1758"/>
      <c r="F181" s="416" t="str">
        <f>IF(B181&lt;&gt;"",VLOOKUP(B181,Network.Loadbalancer!$A$4:$N$30,9,FALSE),"")</f>
        <v/>
      </c>
      <c r="G181" s="416"/>
      <c r="H181" s="416"/>
      <c r="I181" s="435" t="str">
        <f t="shared" si="46"/>
        <v/>
      </c>
      <c r="J181" s="434" t="str">
        <f t="shared" si="47"/>
        <v/>
      </c>
      <c r="K181" s="441" t="str">
        <f t="shared" si="42"/>
        <v/>
      </c>
      <c r="L181" s="1082" t="str">
        <f>IF($B181&lt;&gt;"",VLOOKUP($B181,Network.Loadbalancer!$A$3:$N$30,11,FALSE),"")</f>
        <v/>
      </c>
      <c r="M181" s="447" t="str">
        <f>IF($B181&lt;&gt;"",VLOOKUP($B181,Network.Loadbalancer!$A$3:$N$30,10,FALSE),"")</f>
        <v/>
      </c>
      <c r="N181" s="306"/>
      <c r="O181" s="3275" t="str">
        <f>IF($B181&lt;&gt;"",VLOOKUP($E181,'BOM FUNCTIONS'!$CO$6:$CW$34,9,FALSE),"")</f>
        <v/>
      </c>
      <c r="P181" s="436" t="str">
        <f t="shared" si="48"/>
        <v/>
      </c>
      <c r="Q181" s="225" t="str">
        <f t="shared" si="44"/>
        <v/>
      </c>
      <c r="R181" s="849" t="str">
        <f>IF(B181&lt;&gt;"",
               IF(VLOOKUP($K181,DNS!$C$5:$I$54,6,FALSE)="No","No",
                    IF(AND($F181 = "Test 2.0", P181 &gt; 1715,$P181 &lt;1728),"Yes",
                     IF(AND($F181 ="Prod 2.0", P181 &gt; 2715, $P181 &lt; 2728), "Yes",
                          IF(OR(AND($F181 ="Prod F.W.", $P181 &gt; 3015, $P181&lt;3020,),AND($F181 ="Prod F.W.", $P181=3036)), "Yes","No")))),"")</f>
        <v/>
      </c>
      <c r="S181" s="2"/>
      <c r="T181" s="72"/>
      <c r="U181" s="876"/>
      <c r="V181" s="1967"/>
    </row>
    <row r="182" spans="1:22">
      <c r="A182" s="3027" t="str">
        <f t="shared" si="45"/>
        <v/>
      </c>
      <c r="B182" s="3022" t="str">
        <f>IF(Network.Loadbalancer!$B29&lt;&gt;"",Network.Loadbalancer!A29,"")</f>
        <v/>
      </c>
      <c r="C182" s="415"/>
      <c r="D182" s="416" t="str">
        <f t="shared" si="39"/>
        <v/>
      </c>
      <c r="E182" s="1758"/>
      <c r="F182" s="416" t="str">
        <f>IF(B182&lt;&gt;"",VLOOKUP(B182,Network.Loadbalancer!$A$4:$N$30,9,FALSE),"")</f>
        <v/>
      </c>
      <c r="G182" s="416"/>
      <c r="H182" s="416"/>
      <c r="I182" s="435" t="str">
        <f t="shared" si="46"/>
        <v/>
      </c>
      <c r="J182" s="434" t="str">
        <f t="shared" si="47"/>
        <v/>
      </c>
      <c r="K182" s="441" t="str">
        <f t="shared" si="42"/>
        <v/>
      </c>
      <c r="L182" s="1082" t="str">
        <f>IF($B182&lt;&gt;"",VLOOKUP($B182,Network.Loadbalancer!$A$3:$N$30,11,FALSE),"")</f>
        <v/>
      </c>
      <c r="M182" s="447" t="str">
        <f>IF($B182&lt;&gt;"",VLOOKUP($B182,Network.Loadbalancer!$A$3:$N$30,10,FALSE),"")</f>
        <v/>
      </c>
      <c r="N182" s="306"/>
      <c r="O182" s="3275" t="str">
        <f>IF($B182&lt;&gt;"",VLOOKUP($E182,'BOM FUNCTIONS'!$CO$6:$CW$34,9,FALSE),"")</f>
        <v/>
      </c>
      <c r="P182" s="436" t="str">
        <f t="shared" si="48"/>
        <v/>
      </c>
      <c r="Q182" s="225" t="str">
        <f t="shared" si="44"/>
        <v/>
      </c>
      <c r="R182" s="849" t="str">
        <f>IF(B182&lt;&gt;"",
               IF(VLOOKUP($K182,DNS!$C$5:$I$54,6,FALSE)="No","No",
                    IF(AND($F182 = "Test 2.0", P182 &gt; 1715,$P182 &lt;1728),"Yes",
                     IF(AND($F182 ="Prod 2.0", P182 &gt; 2715, $P182 &lt; 2728), "Yes",
                          IF(OR(AND($F182 ="Prod F.W.", $P182 &gt; 3015, $P182&lt;3020,),AND($F182 ="Prod F.W.", $P182=3036)), "Yes","No")))),"")</f>
        <v/>
      </c>
      <c r="S182" s="2"/>
      <c r="T182" s="72"/>
      <c r="U182" s="876"/>
      <c r="V182" s="1967"/>
    </row>
    <row r="183" spans="1:22">
      <c r="A183" s="3027" t="str">
        <f t="shared" si="45"/>
        <v/>
      </c>
      <c r="B183" s="3022" t="str">
        <f>IF(Network.Loadbalancer!$B30&lt;&gt;"",Network.Loadbalancer!A30,"")</f>
        <v/>
      </c>
      <c r="C183" s="415"/>
      <c r="D183" s="416" t="str">
        <f t="shared" ref="D183:D205" si="49">IF(A183&lt;&gt;"",K183,"")</f>
        <v/>
      </c>
      <c r="E183" s="1758" t="str">
        <f>IF(A183&lt;&gt;"",VLOOKUP(A183,Network.Loadbalancer!$A$3:$Q$30,2,FALSE),"")</f>
        <v/>
      </c>
      <c r="F183" s="416" t="str">
        <f>IF(B183&lt;&gt;"",VLOOKUP(B183,Network.Loadbalancer!$A$4:$N$30,9,FALSE),"")</f>
        <v/>
      </c>
      <c r="G183" s="416"/>
      <c r="H183" s="416"/>
      <c r="I183" s="435" t="str">
        <f t="shared" ref="I183:I205" si="50">IF(B183&lt;&gt;"",VLOOKUP(O183,vlan_array,4,FALSE),"")</f>
        <v/>
      </c>
      <c r="J183" s="434" t="str">
        <f t="shared" ref="J183:J205" si="51">IF(B183&lt;&gt;"",VLOOKUP(O183,vlan_array,5,FALSE),"")</f>
        <v/>
      </c>
      <c r="K183" s="441" t="str">
        <f t="shared" ref="K183:K205" si="52">IF(N183&lt;&gt;"","vip-"&amp;SUBSTITUTE(N183,".","-")&amp;"."&amp;VLOOKUP(E183,list_dnsdoms,2,0),"")</f>
        <v/>
      </c>
      <c r="L183" s="1082" t="str">
        <f>IF($B183&lt;&gt;"",VLOOKUP($B183,Network.Loadbalancer!$A$3:$N$30,11,FALSE),"")</f>
        <v/>
      </c>
      <c r="M183" s="447" t="str">
        <f>IF($B183&lt;&gt;"",VLOOKUP($B183,Network.Loadbalancer!$A$3:$N$30,10,FALSE),"")</f>
        <v/>
      </c>
      <c r="N183" s="306"/>
      <c r="O183" s="3275" t="str">
        <f>IF($B183&lt;&gt;"",VLOOKUP($E183,'BOM FUNCTIONS'!$CO$6:$CW$34,9,FALSE),"")</f>
        <v/>
      </c>
      <c r="P183" s="436" t="str">
        <f t="shared" ref="P183:P205" si="53">IF(B183&lt;&gt;"",VLOOKUP(O183,vlan_array,2,FALSE),"")</f>
        <v/>
      </c>
      <c r="Q183" s="225" t="str">
        <f t="shared" si="44"/>
        <v/>
      </c>
      <c r="R183" s="849" t="str">
        <f>IF(B183&lt;&gt;"",
               IF(VLOOKUP($K183,DNS!$C$5:$I$54,6,FALSE)="No","No",
                    IF(AND($F183 = "Test 2.0", P183 &gt; 1715,$P183 &lt;1728),"Yes",
                     IF(AND($F183 ="Prod 2.0", P183 &gt; 2715, $P183 &lt; 2728), "Yes",
                          IF(OR(AND($F183 ="Prod F.W.", $P183 &gt; 3015, $P183&lt;3020,),AND($F183 ="Prod F.W.", $P183=3036)), "Yes","No")))),"")</f>
        <v/>
      </c>
      <c r="S183" s="2"/>
      <c r="T183" s="72"/>
      <c r="U183" s="876"/>
      <c r="V183" s="1967"/>
    </row>
    <row r="184" spans="1:22">
      <c r="A184" s="3027" t="str">
        <f t="shared" si="45"/>
        <v/>
      </c>
      <c r="B184" s="3022" t="str">
        <f>IF(Network.Loadbalancer!$B31&lt;&gt;"",Network.Loadbalancer!A31,"")</f>
        <v/>
      </c>
      <c r="C184" s="415"/>
      <c r="D184" s="416" t="str">
        <f t="shared" si="49"/>
        <v/>
      </c>
      <c r="E184" s="1758" t="str">
        <f>IF(A184&lt;&gt;"",VLOOKUP(A184,Network.Loadbalancer!$A$3:$Q$30,2,FALSE),"")</f>
        <v/>
      </c>
      <c r="F184" s="416" t="str">
        <f>IF(B184&lt;&gt;"",VLOOKUP(B184,Network.Loadbalancer!$A$4:$N$30,9,FALSE),"")</f>
        <v/>
      </c>
      <c r="G184" s="416"/>
      <c r="H184" s="416"/>
      <c r="I184" s="435" t="str">
        <f t="shared" si="50"/>
        <v/>
      </c>
      <c r="J184" s="434" t="str">
        <f t="shared" si="51"/>
        <v/>
      </c>
      <c r="K184" s="441" t="str">
        <f t="shared" si="52"/>
        <v/>
      </c>
      <c r="L184" s="1082" t="str">
        <f>IF($B184&lt;&gt;"",VLOOKUP($B184,Network.Loadbalancer!$A$3:$N$30,11,FALSE),"")</f>
        <v/>
      </c>
      <c r="M184" s="447" t="str">
        <f>IF($B184&lt;&gt;"",VLOOKUP($B184,Network.Loadbalancer!$A$3:$N$30,10,FALSE),"")</f>
        <v/>
      </c>
      <c r="N184" s="306"/>
      <c r="O184" s="3275" t="str">
        <f>IF($B184&lt;&gt;"",VLOOKUP($E184,'BOM FUNCTIONS'!$CO$6:$CW$34,9,FALSE),"")</f>
        <v/>
      </c>
      <c r="P184" s="436" t="str">
        <f t="shared" si="53"/>
        <v/>
      </c>
      <c r="Q184" s="225" t="str">
        <f t="shared" si="44"/>
        <v/>
      </c>
      <c r="R184" s="849" t="str">
        <f>IF(B184&lt;&gt;"",
               IF(VLOOKUP($K184,DNS!$C$5:$I$54,6,FALSE)="No","No",
                    IF(AND($F184 = "Test 2.0", P184 &gt; 1715,$P184 &lt;1728),"Yes",
                     IF(AND($F184 ="Prod 2.0", P184 &gt; 2715, $P184 &lt; 2728), "Yes",
                          IF(OR(AND($F184 ="Prod F.W.", $P184 &gt; 3015, $P184&lt;3020,),AND($F184 ="Prod F.W.", $P184=3036)), "Yes","No")))),"")</f>
        <v/>
      </c>
      <c r="S184" s="2"/>
      <c r="T184" s="72"/>
      <c r="U184" s="876"/>
      <c r="V184" s="1967"/>
    </row>
    <row r="185" spans="1:22">
      <c r="A185" s="3027" t="str">
        <f t="shared" si="45"/>
        <v/>
      </c>
      <c r="B185" s="3022" t="str">
        <f>IF(Network.Loadbalancer!$B32&lt;&gt;"",Network.Loadbalancer!A32,"")</f>
        <v/>
      </c>
      <c r="C185" s="415"/>
      <c r="D185" s="416" t="str">
        <f t="shared" si="49"/>
        <v/>
      </c>
      <c r="E185" s="1758" t="str">
        <f>IF(A185&lt;&gt;"",VLOOKUP(A185,Network.Loadbalancer!$A$3:$Q$30,2,FALSE),"")</f>
        <v/>
      </c>
      <c r="F185" s="416" t="str">
        <f>IF(B185&lt;&gt;"",VLOOKUP(B185,Network.Loadbalancer!$A$4:$N$30,9,FALSE),"")</f>
        <v/>
      </c>
      <c r="G185" s="416"/>
      <c r="H185" s="416"/>
      <c r="I185" s="435" t="str">
        <f t="shared" si="50"/>
        <v/>
      </c>
      <c r="J185" s="434" t="str">
        <f t="shared" si="51"/>
        <v/>
      </c>
      <c r="K185" s="441" t="str">
        <f t="shared" si="52"/>
        <v/>
      </c>
      <c r="L185" s="1082" t="str">
        <f>IF($B185&lt;&gt;"",VLOOKUP($B185,Network.Loadbalancer!$A$3:$N$30,11,FALSE),"")</f>
        <v/>
      </c>
      <c r="M185" s="447" t="str">
        <f>IF($B185&lt;&gt;"",VLOOKUP($B185,Network.Loadbalancer!$A$3:$N$30,10,FALSE),"")</f>
        <v/>
      </c>
      <c r="N185" s="306"/>
      <c r="O185" s="3275" t="str">
        <f>IF($B185&lt;&gt;"",VLOOKUP($E185,'BOM FUNCTIONS'!$CO$6:$CW$34,9,FALSE),"")</f>
        <v/>
      </c>
      <c r="P185" s="436" t="str">
        <f t="shared" si="53"/>
        <v/>
      </c>
      <c r="Q185" s="225" t="str">
        <f t="shared" si="44"/>
        <v/>
      </c>
      <c r="R185" s="849" t="str">
        <f>IF(B185&lt;&gt;"",
               IF(VLOOKUP($K185,DNS!$C$5:$I$54,6,FALSE)="No","No",
                    IF(AND($F185 = "Test 2.0", P185 &gt; 1715,$P185 &lt;1728),"Yes",
                     IF(AND($F185 ="Prod 2.0", P185 &gt; 2715, $P185 &lt; 2728), "Yes",
                          IF(OR(AND($F185 ="Prod F.W.", $P185 &gt; 3015, $P185&lt;3020,),AND($F185 ="Prod F.W.", $P185=3036)), "Yes","No")))),"")</f>
        <v/>
      </c>
      <c r="S185" s="2"/>
      <c r="T185" s="72"/>
      <c r="U185" s="876"/>
      <c r="V185" s="1967"/>
    </row>
    <row r="186" spans="1:22">
      <c r="A186" s="3027" t="str">
        <f t="shared" si="45"/>
        <v/>
      </c>
      <c r="B186" s="3022" t="str">
        <f>IF(Network.Loadbalancer!$B33&lt;&gt;"",Network.Loadbalancer!A33,"")</f>
        <v/>
      </c>
      <c r="C186" s="415"/>
      <c r="D186" s="416" t="str">
        <f t="shared" si="49"/>
        <v/>
      </c>
      <c r="E186" s="1758" t="str">
        <f>IF(A186&lt;&gt;"",VLOOKUP(A186,Network.Loadbalancer!$A$3:$Q$30,2,FALSE),"")</f>
        <v/>
      </c>
      <c r="F186" s="416" t="str">
        <f>IF(B186&lt;&gt;"",VLOOKUP(B186,Network.Loadbalancer!$A$4:$N$30,9,FALSE),"")</f>
        <v/>
      </c>
      <c r="G186" s="416"/>
      <c r="H186" s="416"/>
      <c r="I186" s="435" t="str">
        <f t="shared" si="50"/>
        <v/>
      </c>
      <c r="J186" s="434" t="str">
        <f t="shared" si="51"/>
        <v/>
      </c>
      <c r="K186" s="441" t="str">
        <f t="shared" si="52"/>
        <v/>
      </c>
      <c r="L186" s="1082" t="str">
        <f>IF($B186&lt;&gt;"",VLOOKUP($B186,Network.Loadbalancer!$A$3:$N$30,11,FALSE),"")</f>
        <v/>
      </c>
      <c r="M186" s="447" t="str">
        <f>IF($B186&lt;&gt;"",VLOOKUP($B186,Network.Loadbalancer!$A$3:$N$30,10,FALSE),"")</f>
        <v/>
      </c>
      <c r="N186" s="306"/>
      <c r="O186" s="3275" t="str">
        <f>IF($B186&lt;&gt;"",VLOOKUP($E186,'BOM FUNCTIONS'!$CO$6:$CW$34,9,FALSE),"")</f>
        <v/>
      </c>
      <c r="P186" s="436" t="str">
        <f t="shared" si="53"/>
        <v/>
      </c>
      <c r="Q186" s="225" t="str">
        <f t="shared" si="44"/>
        <v/>
      </c>
      <c r="R186" s="849" t="str">
        <f>IF(B186&lt;&gt;"",
               IF(VLOOKUP($K186,DNS!$C$5:$I$54,6,FALSE)="No","No",
                    IF(AND($F186 = "Test 2.0", P186 &gt; 1715,$P186 &lt;1728),"Yes",
                     IF(AND($F186 ="Prod 2.0", P186 &gt; 2715, $P186 &lt; 2728), "Yes",
                          IF(OR(AND($F186 ="Prod F.W.", $P186 &gt; 3015, $P186&lt;3020,),AND($F186 ="Prod F.W.", $P186=3036)), "Yes","No")))),"")</f>
        <v/>
      </c>
      <c r="S186" s="2"/>
      <c r="T186" s="72"/>
      <c r="U186" s="876"/>
      <c r="V186" s="1967"/>
    </row>
    <row r="187" spans="1:22">
      <c r="A187" s="3027" t="str">
        <f t="shared" si="45"/>
        <v/>
      </c>
      <c r="B187" s="3022" t="str">
        <f>IF(Network.Loadbalancer!$B34&lt;&gt;"",Network.Loadbalancer!A34,"")</f>
        <v/>
      </c>
      <c r="C187" s="415"/>
      <c r="D187" s="416" t="str">
        <f t="shared" si="49"/>
        <v/>
      </c>
      <c r="E187" s="1758" t="str">
        <f>IF(A187&lt;&gt;"",VLOOKUP(A187,Network.Loadbalancer!$A$3:$Q$30,2,FALSE),"")</f>
        <v/>
      </c>
      <c r="F187" s="416" t="str">
        <f>IF(B187&lt;&gt;"",VLOOKUP(B187,Network.Loadbalancer!$A$4:$N$30,9,FALSE),"")</f>
        <v/>
      </c>
      <c r="G187" s="416"/>
      <c r="H187" s="416"/>
      <c r="I187" s="435" t="str">
        <f t="shared" si="50"/>
        <v/>
      </c>
      <c r="J187" s="434" t="str">
        <f t="shared" si="51"/>
        <v/>
      </c>
      <c r="K187" s="441" t="str">
        <f t="shared" si="52"/>
        <v/>
      </c>
      <c r="L187" s="1082" t="str">
        <f>IF($B187&lt;&gt;"",VLOOKUP($B187,Network.Loadbalancer!$A$3:$N$30,11,FALSE),"")</f>
        <v/>
      </c>
      <c r="M187" s="447" t="str">
        <f>IF($B187&lt;&gt;"",VLOOKUP($B187,Network.Loadbalancer!$A$3:$N$30,10,FALSE),"")</f>
        <v/>
      </c>
      <c r="N187" s="306"/>
      <c r="O187" s="3275" t="str">
        <f>IF($B187&lt;&gt;"",VLOOKUP($E187,'BOM FUNCTIONS'!$CO$6:$CW$34,9,FALSE),"")</f>
        <v/>
      </c>
      <c r="P187" s="436" t="str">
        <f t="shared" si="53"/>
        <v/>
      </c>
      <c r="Q187" s="225" t="str">
        <f t="shared" si="44"/>
        <v/>
      </c>
      <c r="R187" s="849" t="str">
        <f>IF(B187&lt;&gt;"",
               IF(VLOOKUP($K187,DNS!$C$5:$I$54,6,FALSE)="No","No",
                    IF(AND($F187 = "Test 2.0", P187 &gt; 1715,$P187 &lt;1728),"Yes",
                     IF(AND($F187 ="Prod 2.0", P187 &gt; 2715, $P187 &lt; 2728), "Yes",
                          IF(OR(AND($F187 ="Prod F.W.", $P187 &gt; 3015, $P187&lt;3020,),AND($F187 ="Prod F.W.", $P187=3036)), "Yes","No")))),"")</f>
        <v/>
      </c>
      <c r="S187" s="2"/>
      <c r="T187" s="72"/>
      <c r="U187" s="876"/>
      <c r="V187" s="1967"/>
    </row>
    <row r="188" spans="1:22">
      <c r="A188" s="3027" t="str">
        <f t="shared" si="45"/>
        <v/>
      </c>
      <c r="B188" s="3022" t="str">
        <f>IF(Network.Loadbalancer!$B35&lt;&gt;"",Network.Loadbalancer!A35,"")</f>
        <v/>
      </c>
      <c r="C188" s="415"/>
      <c r="D188" s="416" t="str">
        <f t="shared" si="49"/>
        <v/>
      </c>
      <c r="E188" s="1758" t="str">
        <f>IF(A188&lt;&gt;"",VLOOKUP(A188,Network.Loadbalancer!$A$3:$Q$30,2,FALSE),"")</f>
        <v/>
      </c>
      <c r="F188" s="416" t="str">
        <f>IF(B188&lt;&gt;"",VLOOKUP(B188,Network.Loadbalancer!$A$4:$N$30,9,FALSE),"")</f>
        <v/>
      </c>
      <c r="G188" s="416"/>
      <c r="H188" s="416"/>
      <c r="I188" s="435" t="str">
        <f t="shared" si="50"/>
        <v/>
      </c>
      <c r="J188" s="434" t="str">
        <f t="shared" si="51"/>
        <v/>
      </c>
      <c r="K188" s="441" t="str">
        <f t="shared" si="52"/>
        <v/>
      </c>
      <c r="L188" s="1082" t="str">
        <f>IF($B188&lt;&gt;"",VLOOKUP($B188,Network.Loadbalancer!$A$3:$N$30,11,FALSE),"")</f>
        <v/>
      </c>
      <c r="M188" s="447" t="str">
        <f>IF($B188&lt;&gt;"",VLOOKUP($B188,Network.Loadbalancer!$A$3:$N$30,10,FALSE),"")</f>
        <v/>
      </c>
      <c r="N188" s="306"/>
      <c r="O188" s="3275" t="str">
        <f>IF($B188&lt;&gt;"",VLOOKUP($E188,'BOM FUNCTIONS'!$CO$6:$CW$34,9,FALSE),"")</f>
        <v/>
      </c>
      <c r="P188" s="436" t="str">
        <f t="shared" si="53"/>
        <v/>
      </c>
      <c r="Q188" s="225" t="str">
        <f t="shared" si="44"/>
        <v/>
      </c>
      <c r="R188" s="849" t="str">
        <f>IF(B188&lt;&gt;"",
               IF(VLOOKUP($K188,DNS!$C$5:$I$54,6,FALSE)="No","No",
                    IF(AND($F188 = "Test 2.0", P188 &gt; 1715,$P188 &lt;1728),"Yes",
                     IF(AND($F188 ="Prod 2.0", P188 &gt; 2715, $P188 &lt; 2728), "Yes",
                          IF(OR(AND($F188 ="Prod F.W.", $P188 &gt; 3015, $P188&lt;3020,),AND($F188 ="Prod F.W.", $P188=3036)), "Yes","No")))),"")</f>
        <v/>
      </c>
      <c r="S188" s="2"/>
      <c r="T188" s="72"/>
      <c r="U188" s="876"/>
      <c r="V188" s="1967"/>
    </row>
    <row r="189" spans="1:22">
      <c r="A189" s="3027" t="str">
        <f t="shared" si="45"/>
        <v/>
      </c>
      <c r="B189" s="3022" t="str">
        <f>IF(Network.Loadbalancer!$B36&lt;&gt;"",Network.Loadbalancer!A36,"")</f>
        <v/>
      </c>
      <c r="C189" s="415"/>
      <c r="D189" s="416" t="str">
        <f t="shared" si="49"/>
        <v/>
      </c>
      <c r="E189" s="1758" t="str">
        <f>IF(A189&lt;&gt;"",VLOOKUP(A189,Network.Loadbalancer!$A$3:$Q$30,2,FALSE),"")</f>
        <v/>
      </c>
      <c r="F189" s="416" t="str">
        <f>IF(B189&lt;&gt;"",VLOOKUP(B189,Network.Loadbalancer!$A$4:$N$30,9,FALSE),"")</f>
        <v/>
      </c>
      <c r="G189" s="416"/>
      <c r="H189" s="416"/>
      <c r="I189" s="435" t="str">
        <f t="shared" si="50"/>
        <v/>
      </c>
      <c r="J189" s="434" t="str">
        <f t="shared" si="51"/>
        <v/>
      </c>
      <c r="K189" s="441" t="str">
        <f t="shared" si="52"/>
        <v/>
      </c>
      <c r="L189" s="1082" t="str">
        <f>IF($B189&lt;&gt;"",VLOOKUP($B189,Network.Loadbalancer!$A$3:$N$30,11,FALSE),"")</f>
        <v/>
      </c>
      <c r="M189" s="447" t="str">
        <f>IF($B189&lt;&gt;"",VLOOKUP($B189,Network.Loadbalancer!$A$3:$N$30,10,FALSE),"")</f>
        <v/>
      </c>
      <c r="N189" s="306"/>
      <c r="O189" s="3275" t="str">
        <f>IF($B189&lt;&gt;"",VLOOKUP($E189,'BOM FUNCTIONS'!$CO$6:$CW$34,9,FALSE),"")</f>
        <v/>
      </c>
      <c r="P189" s="436" t="str">
        <f t="shared" si="53"/>
        <v/>
      </c>
      <c r="Q189" s="225" t="str">
        <f t="shared" si="44"/>
        <v/>
      </c>
      <c r="R189" s="849" t="str">
        <f>IF(B189&lt;&gt;"",
               IF(VLOOKUP($K189,DNS!$C$5:$I$54,6,FALSE)="No","No",
                    IF(AND($F189 = "Test 2.0", P189 &gt; 1715,$P189 &lt;1728),"Yes",
                     IF(AND($F189 ="Prod 2.0", P189 &gt; 2715, $P189 &lt; 2728), "Yes",
                          IF(OR(AND($F189 ="Prod F.W.", $P189 &gt; 3015, $P189&lt;3020,),AND($F189 ="Prod F.W.", $P189=3036)), "Yes","No")))),"")</f>
        <v/>
      </c>
      <c r="S189" s="2"/>
      <c r="T189" s="72"/>
      <c r="U189" s="876"/>
      <c r="V189" s="1967"/>
    </row>
    <row r="190" spans="1:22">
      <c r="A190" s="3027" t="str">
        <f t="shared" si="45"/>
        <v/>
      </c>
      <c r="B190" s="3022" t="str">
        <f>IF(Network.Loadbalancer!$B37&lt;&gt;"",Network.Loadbalancer!A37,"")</f>
        <v/>
      </c>
      <c r="C190" s="415"/>
      <c r="D190" s="416" t="str">
        <f t="shared" si="49"/>
        <v/>
      </c>
      <c r="E190" s="1758" t="str">
        <f>IF(A190&lt;&gt;"",VLOOKUP(A190,Network.Loadbalancer!$A$3:$Q$30,2,FALSE),"")</f>
        <v/>
      </c>
      <c r="F190" s="416" t="str">
        <f>IF(B190&lt;&gt;"",VLOOKUP(B190,Network.Loadbalancer!$A$4:$N$30,9,FALSE),"")</f>
        <v/>
      </c>
      <c r="G190" s="416"/>
      <c r="H190" s="416"/>
      <c r="I190" s="435" t="str">
        <f t="shared" si="50"/>
        <v/>
      </c>
      <c r="J190" s="434" t="str">
        <f t="shared" si="51"/>
        <v/>
      </c>
      <c r="K190" s="441" t="str">
        <f t="shared" si="52"/>
        <v/>
      </c>
      <c r="L190" s="1082" t="str">
        <f>IF($B190&lt;&gt;"",VLOOKUP($B190,Network.Loadbalancer!$A$3:$N$30,11,FALSE),"")</f>
        <v/>
      </c>
      <c r="M190" s="447" t="str">
        <f>IF($B190&lt;&gt;"",VLOOKUP($B190,Network.Loadbalancer!$A$3:$N$30,10,FALSE),"")</f>
        <v/>
      </c>
      <c r="N190" s="306"/>
      <c r="O190" s="3275" t="str">
        <f>IF($B190&lt;&gt;"",VLOOKUP($E190,'BOM FUNCTIONS'!$CO$6:$CW$34,9,FALSE),"")</f>
        <v/>
      </c>
      <c r="P190" s="436" t="str">
        <f t="shared" si="53"/>
        <v/>
      </c>
      <c r="Q190" s="225" t="str">
        <f t="shared" si="44"/>
        <v/>
      </c>
      <c r="R190" s="849" t="str">
        <f>IF(B190&lt;&gt;"",
               IF(VLOOKUP($K190,DNS!$C$5:$I$54,6,FALSE)="No","No",
                    IF(AND($F190 = "Test 2.0", P190 &gt; 1715,$P190 &lt;1728),"Yes",
                     IF(AND($F190 ="Prod 2.0", P190 &gt; 2715, $P190 &lt; 2728), "Yes",
                          IF(OR(AND($F190 ="Prod F.W.", $P190 &gt; 3015, $P190&lt;3020,),AND($F190 ="Prod F.W.", $P190=3036)), "Yes","No")))),"")</f>
        <v/>
      </c>
      <c r="S190" s="2"/>
      <c r="T190" s="72"/>
      <c r="U190" s="876"/>
      <c r="V190" s="1967"/>
    </row>
    <row r="191" spans="1:22">
      <c r="A191" s="3027" t="str">
        <f t="shared" si="45"/>
        <v/>
      </c>
      <c r="B191" s="3022" t="str">
        <f>IF(Network.Loadbalancer!$B38&lt;&gt;"",Network.Loadbalancer!A38,"")</f>
        <v/>
      </c>
      <c r="C191" s="415"/>
      <c r="D191" s="416" t="str">
        <f t="shared" si="49"/>
        <v/>
      </c>
      <c r="E191" s="1758" t="str">
        <f>IF(A191&lt;&gt;"",VLOOKUP(A191,Network.Loadbalancer!$A$3:$Q$30,2,FALSE),"")</f>
        <v/>
      </c>
      <c r="F191" s="416" t="str">
        <f>IF(B191&lt;&gt;"",VLOOKUP(B191,Network.Loadbalancer!$A$4:$N$30,9,FALSE),"")</f>
        <v/>
      </c>
      <c r="G191" s="416"/>
      <c r="H191" s="416"/>
      <c r="I191" s="435" t="str">
        <f t="shared" si="50"/>
        <v/>
      </c>
      <c r="J191" s="434" t="str">
        <f t="shared" si="51"/>
        <v/>
      </c>
      <c r="K191" s="441" t="str">
        <f t="shared" si="52"/>
        <v/>
      </c>
      <c r="L191" s="1082" t="str">
        <f>IF($B191&lt;&gt;"",VLOOKUP($B191,Network.Loadbalancer!$A$3:$N$30,11,FALSE),"")</f>
        <v/>
      </c>
      <c r="M191" s="447" t="str">
        <f>IF($B191&lt;&gt;"",VLOOKUP($B191,Network.Loadbalancer!$A$3:$N$30,10,FALSE),"")</f>
        <v/>
      </c>
      <c r="N191" s="306"/>
      <c r="O191" s="3275" t="str">
        <f>IF($B191&lt;&gt;"",VLOOKUP($E191,'BOM FUNCTIONS'!$CO$6:$CW$34,9,FALSE),"")</f>
        <v/>
      </c>
      <c r="P191" s="436" t="str">
        <f t="shared" si="53"/>
        <v/>
      </c>
      <c r="Q191" s="225" t="str">
        <f t="shared" si="44"/>
        <v/>
      </c>
      <c r="R191" s="849" t="str">
        <f>IF(B191&lt;&gt;"",
               IF(VLOOKUP($K191,DNS!$C$5:$I$54,6,FALSE)="No","No",
                    IF(AND($F191 = "Test 2.0", P191 &gt; 1715,$P191 &lt;1728),"Yes",
                     IF(AND($F191 ="Prod 2.0", P191 &gt; 2715, $P191 &lt; 2728), "Yes",
                          IF(OR(AND($F191 ="Prod F.W.", $P191 &gt; 3015, $P191&lt;3020,),AND($F191 ="Prod F.W.", $P191=3036)), "Yes","No")))),"")</f>
        <v/>
      </c>
      <c r="S191" s="2"/>
      <c r="T191" s="72"/>
      <c r="U191" s="876"/>
      <c r="V191" s="1967"/>
    </row>
    <row r="192" spans="1:22">
      <c r="A192" s="3027" t="str">
        <f t="shared" si="45"/>
        <v/>
      </c>
      <c r="B192" s="3022" t="str">
        <f>IF(Network.Loadbalancer!$B39&lt;&gt;"",Network.Loadbalancer!A39,"")</f>
        <v/>
      </c>
      <c r="C192" s="415"/>
      <c r="D192" s="416" t="str">
        <f t="shared" si="49"/>
        <v/>
      </c>
      <c r="E192" s="1758" t="str">
        <f>IF(A192&lt;&gt;"",VLOOKUP(A192,Network.Loadbalancer!$A$3:$Q$30,2,FALSE),"")</f>
        <v/>
      </c>
      <c r="F192" s="416" t="str">
        <f>IF(B192&lt;&gt;"",VLOOKUP(B192,Network.Loadbalancer!$A$4:$N$30,9,FALSE),"")</f>
        <v/>
      </c>
      <c r="G192" s="416"/>
      <c r="H192" s="416"/>
      <c r="I192" s="435" t="str">
        <f t="shared" si="50"/>
        <v/>
      </c>
      <c r="J192" s="434" t="str">
        <f t="shared" si="51"/>
        <v/>
      </c>
      <c r="K192" s="441" t="str">
        <f t="shared" si="52"/>
        <v/>
      </c>
      <c r="L192" s="1082" t="str">
        <f>IF($B192&lt;&gt;"",VLOOKUP($B192,Network.Loadbalancer!$A$3:$N$30,11,FALSE),"")</f>
        <v/>
      </c>
      <c r="M192" s="447" t="str">
        <f>IF($B192&lt;&gt;"",VLOOKUP($B192,Network.Loadbalancer!$A$3:$N$30,10,FALSE),"")</f>
        <v/>
      </c>
      <c r="N192" s="306"/>
      <c r="O192" s="3275" t="str">
        <f>IF($B192&lt;&gt;"",VLOOKUP($E192,'BOM FUNCTIONS'!$CO$6:$CW$34,9,FALSE),"")</f>
        <v/>
      </c>
      <c r="P192" s="436" t="str">
        <f t="shared" si="53"/>
        <v/>
      </c>
      <c r="Q192" s="225" t="str">
        <f t="shared" si="44"/>
        <v/>
      </c>
      <c r="R192" s="849" t="str">
        <f>IF(B192&lt;&gt;"",
               IF(VLOOKUP($K192,DNS!$C$5:$I$54,6,FALSE)="No","No",
                    IF(AND($F192 = "Test 2.0", P192 &gt; 1715,$P192 &lt;1728),"Yes",
                     IF(AND($F192 ="Prod 2.0", P192 &gt; 2715, $P192 &lt; 2728), "Yes",
                          IF(OR(AND($F192 ="Prod F.W.", $P192 &gt; 3015, $P192&lt;3020,),AND($F192 ="Prod F.W.", $P192=3036)), "Yes","No")))),"")</f>
        <v/>
      </c>
      <c r="S192" s="2"/>
      <c r="T192" s="72"/>
      <c r="U192" s="876"/>
      <c r="V192" s="1967"/>
    </row>
    <row r="193" spans="1:22">
      <c r="A193" s="3027" t="str">
        <f t="shared" si="45"/>
        <v/>
      </c>
      <c r="B193" s="3022" t="str">
        <f>IF(Network.Loadbalancer!$B40&lt;&gt;"",Network.Loadbalancer!A40,"")</f>
        <v/>
      </c>
      <c r="C193" s="415"/>
      <c r="D193" s="416" t="str">
        <f t="shared" si="49"/>
        <v/>
      </c>
      <c r="E193" s="1758" t="str">
        <f>IF(A193&lt;&gt;"",VLOOKUP(A193,Network.Loadbalancer!$A$3:$Q$30,2,FALSE),"")</f>
        <v/>
      </c>
      <c r="F193" s="416" t="str">
        <f>IF(B193&lt;&gt;"",VLOOKUP(B193,Network.Loadbalancer!$A$4:$N$30,9,FALSE),"")</f>
        <v/>
      </c>
      <c r="G193" s="416"/>
      <c r="H193" s="416"/>
      <c r="I193" s="435" t="str">
        <f t="shared" si="50"/>
        <v/>
      </c>
      <c r="J193" s="434" t="str">
        <f t="shared" si="51"/>
        <v/>
      </c>
      <c r="K193" s="441" t="str">
        <f t="shared" si="52"/>
        <v/>
      </c>
      <c r="L193" s="1082" t="str">
        <f>IF($B193&lt;&gt;"",VLOOKUP($B193,Network.Loadbalancer!$A$3:$N$30,11,FALSE),"")</f>
        <v/>
      </c>
      <c r="M193" s="447" t="str">
        <f>IF($B193&lt;&gt;"",VLOOKUP($B193,Network.Loadbalancer!$A$3:$N$30,10,FALSE),"")</f>
        <v/>
      </c>
      <c r="N193" s="306"/>
      <c r="O193" s="3275" t="str">
        <f>IF($B193&lt;&gt;"",VLOOKUP($E193,'BOM FUNCTIONS'!$CO$6:$CW$34,9,FALSE),"")</f>
        <v/>
      </c>
      <c r="P193" s="436" t="str">
        <f t="shared" si="53"/>
        <v/>
      </c>
      <c r="Q193" s="225" t="str">
        <f t="shared" si="44"/>
        <v/>
      </c>
      <c r="R193" s="849" t="str">
        <f>IF(B193&lt;&gt;"",
               IF(VLOOKUP($K193,DNS!$C$5:$I$54,6,FALSE)="No","No",
                    IF(AND($F193 = "Test 2.0", P193 &gt; 1715,$P193 &lt;1728),"Yes",
                     IF(AND($F193 ="Prod 2.0", P193 &gt; 2715, $P193 &lt; 2728), "Yes",
                          IF(OR(AND($F193 ="Prod F.W.", $P193 &gt; 3015, $P193&lt;3020,),AND($F193 ="Prod F.W.", $P193=3036)), "Yes","No")))),"")</f>
        <v/>
      </c>
      <c r="S193" s="2"/>
      <c r="T193" s="72"/>
      <c r="U193" s="876"/>
      <c r="V193" s="1967"/>
    </row>
    <row r="194" spans="1:22">
      <c r="A194" s="3027" t="str">
        <f t="shared" si="45"/>
        <v/>
      </c>
      <c r="B194" s="3022" t="str">
        <f>IF(Network.Loadbalancer!$B41&lt;&gt;"",Network.Loadbalancer!A41,"")</f>
        <v/>
      </c>
      <c r="C194" s="415"/>
      <c r="D194" s="416" t="str">
        <f t="shared" si="49"/>
        <v/>
      </c>
      <c r="E194" s="1758" t="str">
        <f>IF(A194&lt;&gt;"",VLOOKUP(A194,Network.Loadbalancer!$A$3:$Q$30,2,FALSE),"")</f>
        <v/>
      </c>
      <c r="F194" s="416" t="str">
        <f>IF(B194&lt;&gt;"",VLOOKUP(B194,Network.Loadbalancer!$A$4:$N$30,9,FALSE),"")</f>
        <v/>
      </c>
      <c r="G194" s="416"/>
      <c r="H194" s="416"/>
      <c r="I194" s="435" t="str">
        <f t="shared" si="50"/>
        <v/>
      </c>
      <c r="J194" s="434" t="str">
        <f t="shared" si="51"/>
        <v/>
      </c>
      <c r="K194" s="441" t="str">
        <f t="shared" si="52"/>
        <v/>
      </c>
      <c r="L194" s="1082" t="str">
        <f>IF($B194&lt;&gt;"",VLOOKUP($B194,Network.Loadbalancer!$A$3:$N$30,11,FALSE),"")</f>
        <v/>
      </c>
      <c r="M194" s="447" t="str">
        <f>IF($B194&lt;&gt;"",VLOOKUP($B194,Network.Loadbalancer!$A$3:$N$30,10,FALSE),"")</f>
        <v/>
      </c>
      <c r="N194" s="306"/>
      <c r="O194" s="3275" t="str">
        <f>IF($B194&lt;&gt;"",VLOOKUP($E194,'BOM FUNCTIONS'!$CO$6:$CW$34,9,FALSE),"")</f>
        <v/>
      </c>
      <c r="P194" s="436" t="str">
        <f t="shared" si="53"/>
        <v/>
      </c>
      <c r="Q194" s="225" t="str">
        <f t="shared" si="44"/>
        <v/>
      </c>
      <c r="R194" s="849" t="str">
        <f>IF(B194&lt;&gt;"",
               IF(VLOOKUP($K194,DNS!$C$5:$I$54,6,FALSE)="No","No",
                    IF(AND($F194 = "Test 2.0", P194 &gt; 1715,$P194 &lt;1728),"Yes",
                     IF(AND($F194 ="Prod 2.0", P194 &gt; 2715, $P194 &lt; 2728), "Yes",
                          IF(OR(AND($F194 ="Prod F.W.", $P194 &gt; 3015, $P194&lt;3020,),AND($F194 ="Prod F.W.", $P194=3036)), "Yes","No")))),"")</f>
        <v/>
      </c>
      <c r="S194" s="2"/>
      <c r="T194" s="72"/>
      <c r="U194" s="876"/>
      <c r="V194" s="1967"/>
    </row>
    <row r="195" spans="1:22">
      <c r="A195" s="3027" t="str">
        <f t="shared" si="45"/>
        <v/>
      </c>
      <c r="B195" s="3022" t="str">
        <f>IF(Network.Loadbalancer!$B42&lt;&gt;"",Network.Loadbalancer!A42,"")</f>
        <v/>
      </c>
      <c r="C195" s="415"/>
      <c r="D195" s="416" t="str">
        <f t="shared" si="49"/>
        <v/>
      </c>
      <c r="E195" s="1758" t="str">
        <f>IF(A195&lt;&gt;"",VLOOKUP(A195,Network.Loadbalancer!$A$3:$Q$30,2,FALSE),"")</f>
        <v/>
      </c>
      <c r="F195" s="416" t="str">
        <f>IF(B195&lt;&gt;"",VLOOKUP(B195,Network.Loadbalancer!$A$4:$N$30,9,FALSE),"")</f>
        <v/>
      </c>
      <c r="G195" s="416"/>
      <c r="H195" s="416"/>
      <c r="I195" s="435" t="str">
        <f t="shared" si="50"/>
        <v/>
      </c>
      <c r="J195" s="434" t="str">
        <f t="shared" si="51"/>
        <v/>
      </c>
      <c r="K195" s="441" t="str">
        <f t="shared" si="52"/>
        <v/>
      </c>
      <c r="L195" s="1082" t="str">
        <f>IF($B195&lt;&gt;"",VLOOKUP($B195,Network.Loadbalancer!$A$3:$N$30,11,FALSE),"")</f>
        <v/>
      </c>
      <c r="M195" s="447" t="str">
        <f>IF($B195&lt;&gt;"",VLOOKUP($B195,Network.Loadbalancer!$A$3:$N$30,10,FALSE),"")</f>
        <v/>
      </c>
      <c r="N195" s="306"/>
      <c r="O195" s="3275" t="str">
        <f>IF($B195&lt;&gt;"",VLOOKUP($E195,'BOM FUNCTIONS'!$CO$6:$CW$34,9,FALSE),"")</f>
        <v/>
      </c>
      <c r="P195" s="436" t="str">
        <f t="shared" si="53"/>
        <v/>
      </c>
      <c r="Q195" s="225" t="str">
        <f t="shared" si="44"/>
        <v/>
      </c>
      <c r="R195" s="849" t="str">
        <f>IF(B195&lt;&gt;"",
               IF(VLOOKUP($K195,DNS!$C$5:$I$54,6,FALSE)="No","No",
                    IF(AND($F195 = "Test 2.0", P195 &gt; 1715,$P195 &lt;1728),"Yes",
                     IF(AND($F195 ="Prod 2.0", P195 &gt; 2715, $P195 &lt; 2728), "Yes",
                          IF(OR(AND($F195 ="Prod F.W.", $P195 &gt; 3015, $P195&lt;3020,),AND($F195 ="Prod F.W.", $P195=3036)), "Yes","No")))),"")</f>
        <v/>
      </c>
      <c r="S195" s="2"/>
      <c r="T195" s="72"/>
      <c r="U195" s="876"/>
      <c r="V195" s="1967"/>
    </row>
    <row r="196" spans="1:22">
      <c r="A196" s="3027" t="str">
        <f t="shared" si="45"/>
        <v/>
      </c>
      <c r="B196" s="3022" t="str">
        <f>IF(Network.Loadbalancer!$B43&lt;&gt;"",Network.Loadbalancer!A43,"")</f>
        <v/>
      </c>
      <c r="C196" s="415"/>
      <c r="D196" s="416" t="str">
        <f t="shared" si="49"/>
        <v/>
      </c>
      <c r="E196" s="1758" t="str">
        <f>IF(A196&lt;&gt;"",VLOOKUP(A196,Network.Loadbalancer!$A$3:$Q$30,2,FALSE),"")</f>
        <v/>
      </c>
      <c r="F196" s="416" t="str">
        <f>IF(B196&lt;&gt;"",VLOOKUP(B196,Network.Loadbalancer!$A$4:$N$30,9,FALSE),"")</f>
        <v/>
      </c>
      <c r="G196" s="416"/>
      <c r="H196" s="416"/>
      <c r="I196" s="435" t="str">
        <f t="shared" si="50"/>
        <v/>
      </c>
      <c r="J196" s="434" t="str">
        <f t="shared" si="51"/>
        <v/>
      </c>
      <c r="K196" s="441" t="str">
        <f t="shared" si="52"/>
        <v/>
      </c>
      <c r="L196" s="1082" t="str">
        <f>IF($B196&lt;&gt;"",VLOOKUP($B196,Network.Loadbalancer!$A$3:$N$30,11,FALSE),"")</f>
        <v/>
      </c>
      <c r="M196" s="447" t="str">
        <f>IF($B196&lt;&gt;"",VLOOKUP($B196,Network.Loadbalancer!$A$3:$N$30,10,FALSE),"")</f>
        <v/>
      </c>
      <c r="N196" s="306"/>
      <c r="O196" s="3275" t="str">
        <f>IF($B196&lt;&gt;"",VLOOKUP($E196,'BOM FUNCTIONS'!$CO$6:$CW$34,9,FALSE),"")</f>
        <v/>
      </c>
      <c r="P196" s="436" t="str">
        <f t="shared" si="53"/>
        <v/>
      </c>
      <c r="Q196" s="225" t="str">
        <f t="shared" si="44"/>
        <v/>
      </c>
      <c r="R196" s="849" t="str">
        <f>IF(B196&lt;&gt;"",
               IF(VLOOKUP($K196,DNS!$C$5:$I$54,6,FALSE)="No","No",
                    IF(AND($F196 = "Test 2.0", P196 &gt; 1715,$P196 &lt;1728),"Yes",
                     IF(AND($F196 ="Prod 2.0", P196 &gt; 2715, $P196 &lt; 2728), "Yes",
                          IF(OR(AND($F196 ="Prod F.W.", $P196 &gt; 3015, $P196&lt;3020,),AND($F196 ="Prod F.W.", $P196=3036)), "Yes","No")))),"")</f>
        <v/>
      </c>
      <c r="S196" s="2"/>
      <c r="T196" s="72"/>
      <c r="U196" s="876"/>
      <c r="V196" s="1967"/>
    </row>
    <row r="197" spans="1:22">
      <c r="A197" s="3027" t="str">
        <f t="shared" si="45"/>
        <v/>
      </c>
      <c r="B197" s="3022" t="str">
        <f>IF(Network.Loadbalancer!$B44&lt;&gt;"",Network.Loadbalancer!A44,"")</f>
        <v/>
      </c>
      <c r="C197" s="415"/>
      <c r="D197" s="416" t="str">
        <f t="shared" si="49"/>
        <v/>
      </c>
      <c r="E197" s="1758" t="str">
        <f>IF(A197&lt;&gt;"",VLOOKUP(A197,Network.Loadbalancer!$A$3:$Q$30,2,FALSE),"")</f>
        <v/>
      </c>
      <c r="F197" s="416" t="str">
        <f>IF(B197&lt;&gt;"",VLOOKUP(B197,Network.Loadbalancer!$A$4:$N$30,9,FALSE),"")</f>
        <v/>
      </c>
      <c r="G197" s="416"/>
      <c r="H197" s="416"/>
      <c r="I197" s="435" t="str">
        <f t="shared" si="50"/>
        <v/>
      </c>
      <c r="J197" s="434" t="str">
        <f t="shared" si="51"/>
        <v/>
      </c>
      <c r="K197" s="441" t="str">
        <f t="shared" si="52"/>
        <v/>
      </c>
      <c r="L197" s="1082" t="str">
        <f>IF($B197&lt;&gt;"",VLOOKUP($B197,Network.Loadbalancer!$A$3:$N$30,11,FALSE),"")</f>
        <v/>
      </c>
      <c r="M197" s="447" t="str">
        <f>IF($B197&lt;&gt;"",VLOOKUP($B197,Network.Loadbalancer!$A$3:$N$30,10,FALSE),"")</f>
        <v/>
      </c>
      <c r="N197" s="306"/>
      <c r="O197" s="3275" t="str">
        <f>IF($B197&lt;&gt;"",VLOOKUP($E197,'BOM FUNCTIONS'!$CO$6:$CW$34,9,FALSE),"")</f>
        <v/>
      </c>
      <c r="P197" s="436" t="str">
        <f t="shared" si="53"/>
        <v/>
      </c>
      <c r="Q197" s="225" t="str">
        <f t="shared" si="44"/>
        <v/>
      </c>
      <c r="R197" s="849" t="str">
        <f>IF(B197&lt;&gt;"",
               IF(VLOOKUP($K197,DNS!$C$5:$I$54,6,FALSE)="No","No",
                    IF(AND($F197 = "Test 2.0", P197 &gt; 1715,$P197 &lt;1728),"Yes",
                     IF(AND($F197 ="Prod 2.0", P197 &gt; 2715, $P197 &lt; 2728), "Yes",
                          IF(OR(AND($F197 ="Prod F.W.", $P197 &gt; 3015, $P197&lt;3020,),AND($F197 ="Prod F.W.", $P197=3036)), "Yes","No")))),"")</f>
        <v/>
      </c>
      <c r="S197" s="2"/>
      <c r="T197" s="72"/>
      <c r="U197" s="876"/>
      <c r="V197" s="1967"/>
    </row>
    <row r="198" spans="1:22">
      <c r="A198" s="3027" t="str">
        <f t="shared" si="45"/>
        <v/>
      </c>
      <c r="B198" s="3022" t="str">
        <f>IF(Network.Loadbalancer!$B45&lt;&gt;"",Network.Loadbalancer!A45,"")</f>
        <v/>
      </c>
      <c r="C198" s="415"/>
      <c r="D198" s="416" t="str">
        <f t="shared" si="49"/>
        <v/>
      </c>
      <c r="E198" s="1758" t="str">
        <f>IF(A198&lt;&gt;"",VLOOKUP(A198,Network.Loadbalancer!$A$3:$Q$30,2,FALSE),"")</f>
        <v/>
      </c>
      <c r="F198" s="416" t="str">
        <f>IF(B198&lt;&gt;"",VLOOKUP(B198,Network.Loadbalancer!$A$4:$N$30,9,FALSE),"")</f>
        <v/>
      </c>
      <c r="G198" s="416"/>
      <c r="H198" s="416"/>
      <c r="I198" s="435" t="str">
        <f t="shared" si="50"/>
        <v/>
      </c>
      <c r="J198" s="434" t="str">
        <f t="shared" si="51"/>
        <v/>
      </c>
      <c r="K198" s="441" t="str">
        <f t="shared" si="52"/>
        <v/>
      </c>
      <c r="L198" s="1082" t="str">
        <f>IF($B198&lt;&gt;"",VLOOKUP($B198,Network.Loadbalancer!$A$3:$N$30,11,FALSE),"")</f>
        <v/>
      </c>
      <c r="M198" s="447" t="str">
        <f>IF($B198&lt;&gt;"",VLOOKUP($B198,Network.Loadbalancer!$A$3:$N$30,10,FALSE),"")</f>
        <v/>
      </c>
      <c r="N198" s="306"/>
      <c r="O198" s="3275" t="str">
        <f>IF($B198&lt;&gt;"",VLOOKUP($E198,'BOM FUNCTIONS'!$CO$6:$CW$34,9,FALSE),"")</f>
        <v/>
      </c>
      <c r="P198" s="436" t="str">
        <f t="shared" si="53"/>
        <v/>
      </c>
      <c r="Q198" s="225" t="str">
        <f t="shared" si="44"/>
        <v/>
      </c>
      <c r="R198" s="849" t="str">
        <f>IF(B198&lt;&gt;"",
               IF(VLOOKUP($K198,DNS!$C$5:$I$54,6,FALSE)="No","No",
                    IF(AND($F198 = "Test 2.0", P198 &gt; 1715,$P198 &lt;1728),"Yes",
                     IF(AND($F198 ="Prod 2.0", P198 &gt; 2715, $P198 &lt; 2728), "Yes",
                          IF(OR(AND($F198 ="Prod F.W.", $P198 &gt; 3015, $P198&lt;3020,),AND($F198 ="Prod F.W.", $P198=3036)), "Yes","No")))),"")</f>
        <v/>
      </c>
      <c r="S198" s="2"/>
      <c r="T198" s="72"/>
      <c r="U198" s="876"/>
      <c r="V198" s="1967"/>
    </row>
    <row r="199" spans="1:22">
      <c r="A199" s="3027" t="str">
        <f t="shared" si="45"/>
        <v/>
      </c>
      <c r="B199" s="3022" t="str">
        <f>IF(Network.Loadbalancer!$B46&lt;&gt;"",Network.Loadbalancer!A46,"")</f>
        <v/>
      </c>
      <c r="C199" s="415"/>
      <c r="D199" s="416" t="str">
        <f t="shared" si="49"/>
        <v/>
      </c>
      <c r="E199" s="1758" t="str">
        <f>IF(A199&lt;&gt;"",VLOOKUP(A199,Network.Loadbalancer!$A$3:$Q$30,2,FALSE),"")</f>
        <v/>
      </c>
      <c r="F199" s="416" t="str">
        <f>IF(B199&lt;&gt;"",VLOOKUP(B199,Network.Loadbalancer!$A$4:$N$30,9,FALSE),"")</f>
        <v/>
      </c>
      <c r="G199" s="416"/>
      <c r="H199" s="416"/>
      <c r="I199" s="435" t="str">
        <f t="shared" si="50"/>
        <v/>
      </c>
      <c r="J199" s="434" t="str">
        <f t="shared" si="51"/>
        <v/>
      </c>
      <c r="K199" s="441" t="str">
        <f t="shared" si="52"/>
        <v/>
      </c>
      <c r="L199" s="1082" t="str">
        <f>IF($B199&lt;&gt;"",VLOOKUP($B199,Network.Loadbalancer!$A$3:$N$30,11,FALSE),"")</f>
        <v/>
      </c>
      <c r="M199" s="447" t="str">
        <f>IF($B199&lt;&gt;"",VLOOKUP($B199,Network.Loadbalancer!$A$3:$N$30,10,FALSE),"")</f>
        <v/>
      </c>
      <c r="N199" s="306"/>
      <c r="O199" s="3275" t="str">
        <f>IF($B199&lt;&gt;"",VLOOKUP($E199,'BOM FUNCTIONS'!$CO$6:$CW$34,9,FALSE),"")</f>
        <v/>
      </c>
      <c r="P199" s="436" t="str">
        <f t="shared" si="53"/>
        <v/>
      </c>
      <c r="Q199" s="225" t="str">
        <f t="shared" si="44"/>
        <v/>
      </c>
      <c r="R199" s="849" t="str">
        <f>IF(B199&lt;&gt;"",
               IF(VLOOKUP($K199,DNS!$C$5:$I$54,6,FALSE)="No","No",
                    IF(AND($F199 = "Test 2.0", P199 &gt; 1715,$P199 &lt;1728),"Yes",
                     IF(AND($F199 ="Prod 2.0", P199 &gt; 2715, $P199 &lt; 2728), "Yes",
                          IF(OR(AND($F199 ="Prod F.W.", $P199 &gt; 3015, $P199&lt;3020,),AND($F199 ="Prod F.W.", $P199=3036)), "Yes","No")))),"")</f>
        <v/>
      </c>
      <c r="S199" s="2"/>
      <c r="T199" s="72"/>
      <c r="U199" s="876"/>
      <c r="V199" s="1967"/>
    </row>
    <row r="200" spans="1:22">
      <c r="A200" s="3027" t="str">
        <f t="shared" si="45"/>
        <v/>
      </c>
      <c r="B200" s="3022" t="str">
        <f>IF(Network.Loadbalancer!$B47&lt;&gt;"",Network.Loadbalancer!A47,"")</f>
        <v/>
      </c>
      <c r="C200" s="415"/>
      <c r="D200" s="416" t="str">
        <f t="shared" si="49"/>
        <v/>
      </c>
      <c r="E200" s="1758" t="str">
        <f>IF(A200&lt;&gt;"",VLOOKUP(A200,Network.Loadbalancer!$A$3:$Q$30,2,FALSE),"")</f>
        <v/>
      </c>
      <c r="F200" s="416" t="str">
        <f>IF(B200&lt;&gt;"",VLOOKUP(B200,Network.Loadbalancer!$A$4:$N$30,9,FALSE),"")</f>
        <v/>
      </c>
      <c r="G200" s="416"/>
      <c r="H200" s="416"/>
      <c r="I200" s="435" t="str">
        <f t="shared" si="50"/>
        <v/>
      </c>
      <c r="J200" s="434" t="str">
        <f t="shared" si="51"/>
        <v/>
      </c>
      <c r="K200" s="441" t="str">
        <f t="shared" si="52"/>
        <v/>
      </c>
      <c r="L200" s="1082" t="str">
        <f>IF($B200&lt;&gt;"",VLOOKUP($B200,Network.Loadbalancer!$A$3:$N$30,11,FALSE),"")</f>
        <v/>
      </c>
      <c r="M200" s="447" t="str">
        <f>IF($B200&lt;&gt;"",VLOOKUP($B200,Network.Loadbalancer!$A$3:$N$30,10,FALSE),"")</f>
        <v/>
      </c>
      <c r="N200" s="306"/>
      <c r="O200" s="3275" t="str">
        <f>IF($B200&lt;&gt;"",VLOOKUP($E200,'BOM FUNCTIONS'!$CO$6:$CW$34,9,FALSE),"")</f>
        <v/>
      </c>
      <c r="P200" s="436" t="str">
        <f t="shared" si="53"/>
        <v/>
      </c>
      <c r="Q200" s="225" t="str">
        <f t="shared" si="44"/>
        <v/>
      </c>
      <c r="R200" s="849" t="str">
        <f>IF(B200&lt;&gt;"",
               IF(VLOOKUP($K200,DNS!$C$5:$I$54,6,FALSE)="No","No",
                    IF(AND($F200 = "Test 2.0", P200 &gt; 1715,$P200 &lt;1728),"Yes",
                     IF(AND($F200 ="Prod 2.0", P200 &gt; 2715, $P200 &lt; 2728), "Yes",
                          IF(OR(AND($F200 ="Prod F.W.", $P200 &gt; 3015, $P200&lt;3020,),AND($F200 ="Prod F.W.", $P200=3036)), "Yes","No")))),"")</f>
        <v/>
      </c>
      <c r="S200" s="2"/>
      <c r="T200" s="72"/>
      <c r="U200" s="876"/>
      <c r="V200" s="1967"/>
    </row>
    <row r="201" spans="1:22">
      <c r="A201" s="3027" t="str">
        <f t="shared" si="45"/>
        <v/>
      </c>
      <c r="B201" s="3022" t="str">
        <f>IF(Network.Loadbalancer!$B48&lt;&gt;"",Network.Loadbalancer!A48,"")</f>
        <v/>
      </c>
      <c r="C201" s="415"/>
      <c r="D201" s="416" t="str">
        <f t="shared" si="49"/>
        <v/>
      </c>
      <c r="E201" s="1758" t="str">
        <f>IF(A201&lt;&gt;"",VLOOKUP(A201,Network.Loadbalancer!$A$3:$Q$30,2,FALSE),"")</f>
        <v/>
      </c>
      <c r="F201" s="416" t="str">
        <f>IF(B201&lt;&gt;"",VLOOKUP(B201,Network.Loadbalancer!$A$4:$N$30,9,FALSE),"")</f>
        <v/>
      </c>
      <c r="G201" s="416"/>
      <c r="H201" s="416"/>
      <c r="I201" s="435" t="str">
        <f t="shared" si="50"/>
        <v/>
      </c>
      <c r="J201" s="434" t="str">
        <f t="shared" si="51"/>
        <v/>
      </c>
      <c r="K201" s="441" t="str">
        <f t="shared" si="52"/>
        <v/>
      </c>
      <c r="L201" s="1082" t="str">
        <f>IF($B201&lt;&gt;"",VLOOKUP($B201,Network.Loadbalancer!$A$3:$N$30,11,FALSE),"")</f>
        <v/>
      </c>
      <c r="M201" s="447" t="str">
        <f>IF($B201&lt;&gt;"",VLOOKUP($B201,Network.Loadbalancer!$A$3:$N$30,10,FALSE),"")</f>
        <v/>
      </c>
      <c r="N201" s="306"/>
      <c r="O201" s="3275" t="str">
        <f>IF($B201&lt;&gt;"",VLOOKUP($E201,'BOM FUNCTIONS'!$CO$6:$CW$34,9,FALSE),"")</f>
        <v/>
      </c>
      <c r="P201" s="436" t="str">
        <f t="shared" si="53"/>
        <v/>
      </c>
      <c r="Q201" s="225" t="str">
        <f t="shared" si="44"/>
        <v/>
      </c>
      <c r="R201" s="849" t="str">
        <f>IF(B201&lt;&gt;"",
               IF(VLOOKUP($K201,DNS!$C$5:$I$54,6,FALSE)="No","No",
                    IF(AND($F201 = "Test 2.0", P201 &gt; 1715,$P201 &lt;1728),"Yes",
                     IF(AND($F201 ="Prod 2.0", P201 &gt; 2715, $P201 &lt; 2728), "Yes",
                          IF(OR(AND($F201 ="Prod F.W.", $P201 &gt; 3015, $P201&lt;3020,),AND($F201 ="Prod F.W.", $P201=3036)), "Yes","No")))),"")</f>
        <v/>
      </c>
      <c r="S201" s="2"/>
      <c r="T201" s="72"/>
      <c r="U201" s="876"/>
      <c r="V201" s="1967"/>
    </row>
    <row r="202" spans="1:22">
      <c r="A202" s="3027" t="str">
        <f t="shared" si="45"/>
        <v/>
      </c>
      <c r="B202" s="3022" t="str">
        <f>IF(Network.Loadbalancer!$B49&lt;&gt;"",Network.Loadbalancer!A49,"")</f>
        <v/>
      </c>
      <c r="C202" s="415"/>
      <c r="D202" s="416" t="str">
        <f t="shared" si="49"/>
        <v/>
      </c>
      <c r="E202" s="1758" t="str">
        <f>IF(A202&lt;&gt;"",VLOOKUP(A202,Network.Loadbalancer!$A$3:$Q$30,2,FALSE),"")</f>
        <v/>
      </c>
      <c r="F202" s="416" t="str">
        <f>IF(B202&lt;&gt;"",VLOOKUP(B202,Network.Loadbalancer!$A$4:$N$30,9,FALSE),"")</f>
        <v/>
      </c>
      <c r="G202" s="416"/>
      <c r="H202" s="416"/>
      <c r="I202" s="435" t="str">
        <f t="shared" si="50"/>
        <v/>
      </c>
      <c r="J202" s="434" t="str">
        <f t="shared" si="51"/>
        <v/>
      </c>
      <c r="K202" s="441" t="str">
        <f t="shared" si="52"/>
        <v/>
      </c>
      <c r="L202" s="1082" t="str">
        <f>IF($B202&lt;&gt;"",VLOOKUP($B202,Network.Loadbalancer!$A$3:$N$30,11,FALSE),"")</f>
        <v/>
      </c>
      <c r="M202" s="447" t="str">
        <f>IF($B202&lt;&gt;"",VLOOKUP($B202,Network.Loadbalancer!$A$3:$N$30,10,FALSE),"")</f>
        <v/>
      </c>
      <c r="N202" s="306"/>
      <c r="O202" s="3275" t="str">
        <f>IF($B202&lt;&gt;"",VLOOKUP($E202,'BOM FUNCTIONS'!$CO$6:$CW$34,9,FALSE),"")</f>
        <v/>
      </c>
      <c r="P202" s="436" t="str">
        <f t="shared" si="53"/>
        <v/>
      </c>
      <c r="Q202" s="225" t="str">
        <f t="shared" si="44"/>
        <v/>
      </c>
      <c r="R202" s="849" t="str">
        <f>IF(B202&lt;&gt;"",
               IF(VLOOKUP($K202,DNS!$C$5:$I$54,6,FALSE)="No","No",
                    IF(AND($F202 = "Test 2.0", P202 &gt; 1715,$P202 &lt;1728),"Yes",
                     IF(AND($F202 ="Prod 2.0", P202 &gt; 2715, $P202 &lt; 2728), "Yes",
                          IF(OR(AND($F202 ="Prod F.W.", $P202 &gt; 3015, $P202&lt;3020,),AND($F202 ="Prod F.W.", $P202=3036)), "Yes","No")))),"")</f>
        <v/>
      </c>
      <c r="S202" s="2"/>
      <c r="T202" s="72"/>
      <c r="U202" s="876"/>
      <c r="V202" s="1967"/>
    </row>
    <row r="203" spans="1:22">
      <c r="A203" s="3027" t="str">
        <f t="shared" si="45"/>
        <v/>
      </c>
      <c r="B203" s="3022" t="str">
        <f>IF(Network.Loadbalancer!$B50&lt;&gt;"",Network.Loadbalancer!A50,"")</f>
        <v/>
      </c>
      <c r="C203" s="415"/>
      <c r="D203" s="416" t="str">
        <f t="shared" si="49"/>
        <v/>
      </c>
      <c r="E203" s="1758" t="str">
        <f>IF(A203&lt;&gt;"",VLOOKUP(A203,Network.Loadbalancer!$A$3:$Q$30,2,FALSE),"")</f>
        <v/>
      </c>
      <c r="F203" s="416" t="str">
        <f>IF(B203&lt;&gt;"",VLOOKUP(B203,Network.Loadbalancer!$A$4:$N$30,9,FALSE),"")</f>
        <v/>
      </c>
      <c r="G203" s="416"/>
      <c r="H203" s="416"/>
      <c r="I203" s="435" t="str">
        <f t="shared" si="50"/>
        <v/>
      </c>
      <c r="J203" s="434" t="str">
        <f t="shared" si="51"/>
        <v/>
      </c>
      <c r="K203" s="441" t="str">
        <f t="shared" si="52"/>
        <v/>
      </c>
      <c r="L203" s="1082" t="str">
        <f>IF($B203&lt;&gt;"",VLOOKUP($B203,Network.Loadbalancer!$A$3:$N$30,11,FALSE),"")</f>
        <v/>
      </c>
      <c r="M203" s="447" t="str">
        <f>IF($B203&lt;&gt;"",VLOOKUP($B203,Network.Loadbalancer!$A$3:$N$30,10,FALSE),"")</f>
        <v/>
      </c>
      <c r="N203" s="306"/>
      <c r="O203" s="3275" t="str">
        <f>IF($B203&lt;&gt;"",VLOOKUP($E203,'BOM FUNCTIONS'!$CO$6:$CW$34,9,FALSE),"")</f>
        <v/>
      </c>
      <c r="P203" s="436" t="str">
        <f t="shared" si="53"/>
        <v/>
      </c>
      <c r="Q203" s="225" t="str">
        <f t="shared" si="44"/>
        <v/>
      </c>
      <c r="R203" s="849" t="str">
        <f>IF(B203&lt;&gt;"",
               IF(VLOOKUP($K203,DNS!$C$5:$I$54,6,FALSE)="No","No",
                    IF(AND($F203 = "Test 2.0", P203 &gt; 1715,$P203 &lt;1728),"Yes",
                     IF(AND($F203 ="Prod 2.0", P203 &gt; 2715, $P203 &lt; 2728), "Yes",
                          IF(OR(AND($F203 ="Prod F.W.", $P203 &gt; 3015, $P203&lt;3020,),AND($F203 ="Prod F.W.", $P203=3036)), "Yes","No")))),"")</f>
        <v/>
      </c>
      <c r="S203" s="2"/>
      <c r="T203" s="72"/>
      <c r="U203" s="876"/>
      <c r="V203" s="1967"/>
    </row>
    <row r="204" spans="1:22">
      <c r="A204" s="3027" t="str">
        <f t="shared" si="45"/>
        <v/>
      </c>
      <c r="B204" s="3022" t="str">
        <f>IF(Network.Loadbalancer!$B51&lt;&gt;"",Network.Loadbalancer!A51,"")</f>
        <v/>
      </c>
      <c r="C204" s="415"/>
      <c r="D204" s="416" t="str">
        <f t="shared" si="49"/>
        <v/>
      </c>
      <c r="E204" s="1758" t="str">
        <f>IF(A204&lt;&gt;"",VLOOKUP(A204,Network.Loadbalancer!$A$3:$Q$30,2,FALSE),"")</f>
        <v/>
      </c>
      <c r="F204" s="416" t="str">
        <f>IF(B204&lt;&gt;"",VLOOKUP(B204,Network.Loadbalancer!$A$4:$N$30,9,FALSE),"")</f>
        <v/>
      </c>
      <c r="G204" s="416"/>
      <c r="H204" s="416"/>
      <c r="I204" s="435" t="str">
        <f t="shared" si="50"/>
        <v/>
      </c>
      <c r="J204" s="434" t="str">
        <f t="shared" si="51"/>
        <v/>
      </c>
      <c r="K204" s="441" t="str">
        <f t="shared" si="52"/>
        <v/>
      </c>
      <c r="L204" s="1082" t="str">
        <f>IF($B204&lt;&gt;"",VLOOKUP($B204,Network.Loadbalancer!$A$3:$N$30,11,FALSE),"")</f>
        <v/>
      </c>
      <c r="M204" s="447" t="str">
        <f>IF($B204&lt;&gt;"",VLOOKUP($B204,Network.Loadbalancer!$A$3:$N$30,10,FALSE),"")</f>
        <v/>
      </c>
      <c r="N204" s="306"/>
      <c r="O204" s="3275" t="str">
        <f>IF($B204&lt;&gt;"",VLOOKUP($E204,'BOM FUNCTIONS'!$CO$6:$CW$34,9,FALSE),"")</f>
        <v/>
      </c>
      <c r="P204" s="436" t="str">
        <f t="shared" si="53"/>
        <v/>
      </c>
      <c r="Q204" s="225" t="str">
        <f t="shared" si="44"/>
        <v/>
      </c>
      <c r="R204" s="849" t="str">
        <f>IF(B204&lt;&gt;"",
               IF(VLOOKUP($K204,DNS!$C$5:$I$54,6,FALSE)="No","No",
                    IF(AND($F204 = "Test 2.0", P204 &gt; 1715,$P204 &lt;1728),"Yes",
                     IF(AND($F204 ="Prod 2.0", P204 &gt; 2715, $P204 &lt; 2728), "Yes",
                          IF(OR(AND($F204 ="Prod F.W.", $P204 &gt; 3015, $P204&lt;3020,),AND($F204 ="Prod F.W.", $P204=3036)), "Yes","No")))),"")</f>
        <v/>
      </c>
      <c r="S204" s="2"/>
      <c r="T204" s="72"/>
      <c r="U204" s="876"/>
      <c r="V204" s="1967"/>
    </row>
    <row r="205" spans="1:22" ht="13.5" thickBot="1">
      <c r="A205" s="260" t="str">
        <f t="shared" si="45"/>
        <v/>
      </c>
      <c r="B205" s="3023" t="str">
        <f>IF(Network.Loadbalancer!$B52&lt;&gt;"",Network.Loadbalancer!A52,"")</f>
        <v/>
      </c>
      <c r="C205" s="414"/>
      <c r="D205" s="413" t="str">
        <f t="shared" si="49"/>
        <v/>
      </c>
      <c r="E205" s="3024" t="str">
        <f>IF(A205&lt;&gt;"",VLOOKUP(A205,Network.Loadbalancer!$A$3:$Q$30,2,FALSE),"")</f>
        <v/>
      </c>
      <c r="F205" s="413" t="str">
        <f>IF(B205&lt;&gt;"",VLOOKUP(B205,Network.Loadbalancer!$A$4:$N$30,9,FALSE),"")</f>
        <v/>
      </c>
      <c r="G205" s="413"/>
      <c r="H205" s="413"/>
      <c r="I205" s="437" t="str">
        <f t="shared" si="50"/>
        <v/>
      </c>
      <c r="J205" s="438" t="str">
        <f t="shared" si="51"/>
        <v/>
      </c>
      <c r="K205" s="442" t="str">
        <f t="shared" si="52"/>
        <v/>
      </c>
      <c r="L205" s="2234" t="str">
        <f>IF($B205&lt;&gt;"",VLOOKUP($B205,Network.Loadbalancer!$A$3:$N$30,11,FALSE),"")</f>
        <v/>
      </c>
      <c r="M205" s="448" t="str">
        <f>IF($B205&lt;&gt;"",VLOOKUP($B205,Network.Loadbalancer!$A$3:$N$30,10,FALSE),"")</f>
        <v/>
      </c>
      <c r="N205" s="103"/>
      <c r="O205" s="3276" t="str">
        <f>IF($B205&lt;&gt;"",VLOOKUP($E205,'BOM FUNCTIONS'!$CO$6:$CW$34,9,FALSE),"")</f>
        <v/>
      </c>
      <c r="P205" s="262" t="str">
        <f t="shared" si="53"/>
        <v/>
      </c>
      <c r="Q205" s="476" t="str">
        <f t="shared" si="44"/>
        <v/>
      </c>
      <c r="R205" s="2896" t="str">
        <f>IF(B205&lt;&gt;"",
               IF(VLOOKUP($K205,DNS!$C$5:$I$54,6,FALSE)="No","No",
                    IF(AND($F205 = "Test 2.0", P205 &gt; 1715,$P205 &lt;1728),"Yes",
                     IF(AND($F205 ="Prod 2.0", P205 &gt; 2715, $P205 &lt; 2728), "Yes",
                          IF(OR(AND($F205 ="Prod F.W.", $P205 &gt; 3015, $P205&lt;3020,),AND($F205 ="Prod F.W.", $P205=3036)), "Yes","No")))),"")</f>
        <v/>
      </c>
      <c r="S205" s="263"/>
      <c r="T205" s="346"/>
      <c r="U205" s="1971"/>
      <c r="V205" s="2897"/>
    </row>
  </sheetData>
  <mergeCells count="2">
    <mergeCell ref="D154:H154"/>
    <mergeCell ref="F1:J1"/>
  </mergeCells>
  <phoneticPr fontId="26" type="noConversion"/>
  <conditionalFormatting sqref="A4:A153">
    <cfRule type="expression" dxfId="237" priority="43" stopIfTrue="1">
      <formula>$H4=$O$2</formula>
    </cfRule>
  </conditionalFormatting>
  <conditionalFormatting sqref="L4:L153">
    <cfRule type="cellIs" dxfId="236" priority="34" stopIfTrue="1" operator="notEqual">
      <formula>IF(E4&lt;&gt;"",IF(E4="Windows","ECS-Windows",IF(OR(E4="Linux",E4="AIX",E4="Solaris"),"ECS-Open Systems"," "))," ")</formula>
    </cfRule>
  </conditionalFormatting>
  <conditionalFormatting sqref="D1">
    <cfRule type="cellIs" dxfId="235" priority="27" stopIfTrue="1" operator="equal">
      <formula>"Undetermined"</formula>
    </cfRule>
    <cfRule type="cellIs" dxfId="234" priority="28" stopIfTrue="1" operator="equal">
      <formula>"REQUIRED"</formula>
    </cfRule>
  </conditionalFormatting>
  <conditionalFormatting sqref="R5:R153">
    <cfRule type="expression" dxfId="233" priority="25" stopIfTrue="1">
      <formula>$Q5="Cutover"</formula>
    </cfRule>
  </conditionalFormatting>
  <conditionalFormatting sqref="R156:R205">
    <cfRule type="expression" dxfId="232" priority="16" stopIfTrue="1">
      <formula>$Q156="Cutover"</formula>
    </cfRule>
  </conditionalFormatting>
  <conditionalFormatting sqref="S4:S153">
    <cfRule type="expression" dxfId="231" priority="14">
      <formula>$S4="Need DMZ Backup Interface"</formula>
    </cfRule>
  </conditionalFormatting>
  <conditionalFormatting sqref="R4 Q4:Q153">
    <cfRule type="expression" dxfId="230" priority="13">
      <formula>$Q4="Provisioning"</formula>
    </cfRule>
  </conditionalFormatting>
  <conditionalFormatting sqref="H4:H153">
    <cfRule type="expression" dxfId="229" priority="2">
      <formula>AND($F4="Test 2.0", $H4="OOB Interface")</formula>
    </cfRule>
    <cfRule type="expression" dxfId="228" priority="12">
      <formula xml:space="preserve"> AND($F4="Prod 2.0", $H4="OOB Interface")</formula>
    </cfRule>
  </conditionalFormatting>
  <conditionalFormatting sqref="K4:K153">
    <cfRule type="containsBlanks" dxfId="227" priority="8">
      <formula>LEN(TRIM(K4))=0</formula>
    </cfRule>
    <cfRule type="cellIs" dxfId="226" priority="9" operator="equal">
      <formula>0</formula>
    </cfRule>
    <cfRule type="duplicateValues" dxfId="225" priority="44"/>
    <cfRule type="expression" dxfId="224" priority="45">
      <formula>LEFT($F4,1)&lt;&gt;LEFT($D4,1)</formula>
    </cfRule>
  </conditionalFormatting>
  <conditionalFormatting sqref="D4:D153">
    <cfRule type="expression" dxfId="223" priority="4">
      <formula>$D4="Data Drive INFO"</formula>
    </cfRule>
  </conditionalFormatting>
  <conditionalFormatting sqref="I4:J153">
    <cfRule type="containsText" dxfId="222" priority="3" operator="containsText" text="N/A">
      <formula>NOT(ISERROR(SEARCH("N/A",I4)))</formula>
    </cfRule>
  </conditionalFormatting>
  <conditionalFormatting sqref="N156:N205 N4:N153">
    <cfRule type="duplicateValues" dxfId="221" priority="1"/>
  </conditionalFormatting>
  <dataValidations count="6">
    <dataValidation type="list" allowBlank="1" showInputMessage="1" showErrorMessage="1" sqref="B4:B153" xr:uid="{00000000-0002-0000-0A00-000000000000}">
      <formula1>Assetlist</formula1>
    </dataValidation>
    <dataValidation type="list" allowBlank="1" showInputMessage="1" showErrorMessage="1" sqref="H4:H153" xr:uid="{00000000-0002-0000-0A00-000001000000}">
      <formula1>list_interface</formula1>
    </dataValidation>
    <dataValidation allowBlank="1" showInputMessage="1" showErrorMessage="1" prompt="Hostnames should be entered on the Dist. Assets Tab, column Q._x000a_" sqref="D4:D153" xr:uid="{00000000-0002-0000-0A00-000002000000}"/>
    <dataValidation type="list" allowBlank="1" showInputMessage="1" showErrorMessage="1" sqref="R156:R205 R4:R153 Q12:Q153" xr:uid="{00000000-0002-0000-0A00-000003000000}">
      <formula1>"Yes, No"</formula1>
    </dataValidation>
    <dataValidation type="list" allowBlank="1" showInputMessage="1" showErrorMessage="1" sqref="Q4:Q11" xr:uid="{00000000-0002-0000-0A00-000004000000}">
      <formula1>"Yes,No"</formula1>
    </dataValidation>
    <dataValidation type="list" allowBlank="1" showInputMessage="1" showErrorMessage="1" sqref="E156:E205" xr:uid="{00000000-0002-0000-0A00-000005000000}">
      <formula1>lb_template</formula1>
    </dataValidation>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63900" r:id="rId4">
          <objectPr defaultSize="0" r:id="rId5">
            <anchor moveWithCells="1">
              <from>
                <xdr:col>106</xdr:col>
                <xdr:colOff>0</xdr:colOff>
                <xdr:row>0</xdr:row>
                <xdr:rowOff>0</xdr:rowOff>
              </from>
              <to>
                <xdr:col>123</xdr:col>
                <xdr:colOff>104775</xdr:colOff>
                <xdr:row>25</xdr:row>
                <xdr:rowOff>76200</xdr:rowOff>
              </to>
            </anchor>
          </objectPr>
        </oleObject>
      </mc:Choice>
      <mc:Fallback>
        <oleObject progId="Word.Document.12" shapeId="63900" r:id="rId4"/>
      </mc:Fallback>
    </mc:AlternateContent>
  </oleObjects>
  <controls>
    <mc:AlternateContent xmlns:mc="http://schemas.openxmlformats.org/markup-compatibility/2006">
      <mc:Choice Requires="x14">
        <control shapeId="63889" r:id="rId6" name="IP_Provisioner_CommandButton">
          <controlPr defaultSize="0" autoFill="0" autoLine="0" autoPict="0" altText="Click to display the IP Selector panel..." r:id="rId7">
            <anchor moveWithCells="1">
              <from>
                <xdr:col>13</xdr:col>
                <xdr:colOff>1085850</xdr:colOff>
                <xdr:row>0</xdr:row>
                <xdr:rowOff>57150</xdr:rowOff>
              </from>
              <to>
                <xdr:col>14</xdr:col>
                <xdr:colOff>1562100</xdr:colOff>
                <xdr:row>0</xdr:row>
                <xdr:rowOff>371475</xdr:rowOff>
              </to>
            </anchor>
          </controlPr>
        </control>
      </mc:Choice>
      <mc:Fallback>
        <control shapeId="63889" r:id="rId6" name="IP_Provisioner_CommandButton"/>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theme="3" tint="0.79998168889431442"/>
  </sheetPr>
  <dimension ref="A1:AA43"/>
  <sheetViews>
    <sheetView showGridLines="0" zoomScaleNormal="100" workbookViewId="0">
      <selection activeCell="T7" sqref="T7"/>
    </sheetView>
  </sheetViews>
  <sheetFormatPr defaultRowHeight="12.75"/>
  <cols>
    <col min="1" max="1" width="15.7109375" bestFit="1" customWidth="1"/>
    <col min="2" max="2" width="22.85546875" customWidth="1"/>
    <col min="3" max="3" width="22" customWidth="1"/>
    <col min="4" max="4" width="23.7109375" customWidth="1"/>
    <col min="5" max="5" width="13.85546875" customWidth="1"/>
    <col min="6" max="6" width="14.42578125" bestFit="1" customWidth="1"/>
    <col min="7" max="7" width="13.28515625" bestFit="1" customWidth="1"/>
    <col min="8" max="8" width="31.5703125" customWidth="1"/>
    <col min="9" max="9" width="9.140625" style="264"/>
    <col min="10" max="10" width="61" customWidth="1"/>
    <col min="11" max="11" width="12.85546875" style="264" customWidth="1"/>
    <col min="12" max="12" width="41.85546875" style="2044" customWidth="1"/>
    <col min="13" max="13" width="18.85546875" style="931" customWidth="1"/>
    <col min="14" max="15" width="14.42578125" style="264" customWidth="1"/>
    <col min="16" max="16" width="15.140625" style="264" customWidth="1"/>
    <col min="17" max="17" width="11" style="264" customWidth="1"/>
    <col min="18" max="18" width="23" customWidth="1"/>
    <col min="19" max="19" width="23.85546875" hidden="1" customWidth="1"/>
    <col min="20" max="20" width="18.85546875" customWidth="1"/>
    <col min="21" max="21" width="40.7109375" customWidth="1"/>
    <col min="22" max="22" width="16.140625" customWidth="1"/>
    <col min="23" max="23" width="14.7109375" style="2385" customWidth="1"/>
    <col min="24" max="24" width="16.140625" customWidth="1"/>
  </cols>
  <sheetData>
    <row r="1" spans="1:27" ht="34.5" customHeight="1" thickBot="1">
      <c r="A1" s="133"/>
      <c r="B1" s="132"/>
      <c r="C1" s="2085" t="str">
        <f>IF(Open_Systems="YES","REQUIRED",IF(Open_Systems="NO","This Tab is Not Required","Undetermined"))</f>
        <v>REQUIRED</v>
      </c>
      <c r="D1" s="2040"/>
      <c r="E1" s="2042"/>
      <c r="F1" s="2042"/>
      <c r="G1" s="356" t="str">
        <f>'Project Details'!$C$8 &amp;" - OPEN Systems Requests"</f>
        <v>Linux Infrastructure Management - OPEN Systems Requests</v>
      </c>
      <c r="H1" s="2042"/>
      <c r="I1" s="2042"/>
      <c r="J1" s="2042"/>
      <c r="K1" s="2042"/>
      <c r="L1" s="2042"/>
      <c r="M1" s="2335"/>
      <c r="N1" s="2042"/>
      <c r="O1" s="2042"/>
      <c r="P1" s="2042"/>
      <c r="Q1" s="2042"/>
      <c r="R1" s="2042"/>
      <c r="S1" s="2042"/>
      <c r="T1" s="2042"/>
      <c r="U1" s="2042"/>
      <c r="V1" s="2042"/>
      <c r="W1" s="2384"/>
      <c r="X1" s="2043"/>
    </row>
    <row r="2" spans="1:27" ht="57.75" customHeight="1" thickBot="1">
      <c r="A2" s="3778" t="str">
        <f>IF(COUNTIF('Middleware - Web'!$C$50:$L$50,"Yes")&gt;0, "This App requires WAS Log file retention!  Plan to account for this in SAN Calculations,  See Websphere Tab for additional information.","")</f>
        <v/>
      </c>
      <c r="B2" s="3779"/>
      <c r="C2" s="3772" t="s">
        <v>797</v>
      </c>
      <c r="D2" s="3772"/>
      <c r="E2" s="3772"/>
      <c r="F2" s="3776" t="s">
        <v>796</v>
      </c>
      <c r="G2" s="3776"/>
      <c r="H2" s="3776"/>
      <c r="I2" s="3776"/>
      <c r="J2" s="3777"/>
      <c r="K2" s="671"/>
      <c r="L2" s="671"/>
      <c r="M2" s="2082"/>
      <c r="N2" s="3773" t="str">
        <f>IF(dr_Level&lt;&gt;"",
       IF(COUNTIF('Distributed Assets'!C7:C22, OR("Prod 2.0", "Prod 2.0 - ITC"))&gt;0,"LBoM does not contain Prod Environment", "DR Tier:  "&amp; dr_Level),
  "")</f>
        <v>DR Tier:  l</v>
      </c>
      <c r="O2" s="3774" t="str">
        <f>IF('Project Details'!$C$23&lt;&gt;"","DR Tier:  "&amp;
'Project Details'!$C$23,"")</f>
        <v>DR Tier:  l</v>
      </c>
      <c r="P2" s="3774" t="str">
        <f>IF('Project Details'!$C$23&lt;&gt;"","DR Tier:  "&amp;
'Project Details'!$C$23,"")</f>
        <v>DR Tier:  l</v>
      </c>
      <c r="Q2" s="3775" t="str">
        <f>IF('Project Details'!$C$23&lt;&gt;"","DR Tier:  "&amp;
'Project Details'!$C$23,"")</f>
        <v>DR Tier:  l</v>
      </c>
      <c r="R2" s="2080"/>
      <c r="S2" s="2081"/>
      <c r="T2" s="2082"/>
      <c r="U2" s="2083"/>
      <c r="V2" s="2084"/>
      <c r="W2" s="2398"/>
      <c r="X2" s="1098"/>
    </row>
    <row r="3" spans="1:27" ht="79.5" customHeight="1" thickBot="1">
      <c r="A3" s="755" t="s">
        <v>50</v>
      </c>
      <c r="B3" s="136" t="s">
        <v>45</v>
      </c>
      <c r="C3" s="137" t="s">
        <v>240</v>
      </c>
      <c r="D3" s="136" t="s">
        <v>46</v>
      </c>
      <c r="E3" s="136" t="s">
        <v>11</v>
      </c>
      <c r="F3" s="136" t="s">
        <v>62</v>
      </c>
      <c r="G3" s="136" t="s">
        <v>316</v>
      </c>
      <c r="H3" s="137" t="s">
        <v>4609</v>
      </c>
      <c r="I3" s="137" t="s">
        <v>2986</v>
      </c>
      <c r="J3" s="137" t="s">
        <v>5343</v>
      </c>
      <c r="K3" s="820" t="s">
        <v>2987</v>
      </c>
      <c r="L3" s="2036" t="s">
        <v>3685</v>
      </c>
      <c r="M3" s="1947" t="s">
        <v>4135</v>
      </c>
      <c r="N3" s="2067" t="str">
        <f>"DR Tier:  "&amp;
'Project Details'!$C$23&amp;
 "       Special Instructions:"</f>
        <v>DR Tier:  l       Special Instructions:</v>
      </c>
      <c r="O3" s="2067" t="str">
        <f>"DR Tier:  "&amp;
'Project Details'!$C$23&amp;
 "       Additional Instructions:"</f>
        <v>DR Tier:  l       Additional Instructions:</v>
      </c>
      <c r="P3" s="2067" t="s">
        <v>1395</v>
      </c>
      <c r="Q3" s="2068" t="s">
        <v>1410</v>
      </c>
      <c r="R3" s="3334" t="s">
        <v>5523</v>
      </c>
      <c r="S3" s="2601"/>
      <c r="T3" s="310" t="s">
        <v>421</v>
      </c>
      <c r="U3" s="2069" t="s">
        <v>594</v>
      </c>
      <c r="V3" s="2070" t="s">
        <v>2974</v>
      </c>
      <c r="W3" s="2070" t="s">
        <v>3852</v>
      </c>
      <c r="X3" s="2069" t="s">
        <v>246</v>
      </c>
    </row>
    <row r="4" spans="1:27">
      <c r="A4" s="312" t="s">
        <v>5612</v>
      </c>
      <c r="B4" s="29" t="str">
        <f t="shared" ref="B4:B41" si="0">IF(A4&lt;&gt;"",VLOOKUP(A4,dist_assets,21,FALSE),"")</f>
        <v>dwauslmgt01</v>
      </c>
      <c r="C4" s="648"/>
      <c r="D4" s="2046" t="str">
        <f t="shared" ref="D4:D41" si="1">IF(A4&lt;&gt;"",VLOOKUP(A4,dist_assets,9,FALSE),"")</f>
        <v>Linux</v>
      </c>
      <c r="E4" s="29" t="str">
        <f>IF(A4&lt;&gt;"",VLOOKUP(VLOOKUP(A4,'Distributed Assets'!$B$28:$V$102,2,FALSE),'Distributed Assets'!$C$7:$F$22,4,FALSE),"")</f>
        <v>DEV</v>
      </c>
      <c r="F4" s="30" t="str">
        <f t="shared" ref="F4:F41" si="2">IF($A4&lt;&gt;"",VLOOKUP($A4,dist_assets,8,FALSE),"")</f>
        <v>Process - 1</v>
      </c>
      <c r="G4" s="30"/>
      <c r="H4" s="2077" t="str">
        <f>IF($A4&lt;&gt;"",
     IF(VLOOKUP($A4,dist_assets,3, FALSE) ="New",
        IF(AND($D4="Linux",LEFT(VLOOKUP($A4,dist_assets,23,FALSE),3)="WAS"), VLOOKUP("RHEL+WAS",'BOM FUNCTIONS'!$CX$6:$CZ$13,2,FALSE),
               IF(AND($D4="AIX",LEFT(VLOOKUP($A4,dist_assets,24,FALSE),3)="DB2"), VLOOKUP("AIX+DB2",'BOM FUNCTIONS'!$CX$6:$CZ$13,2,FALSE),
                  IF(AND($D4="Linux",LEFT(VLOOKUP($A4,dist_assets,24,FALSE),3)="DB2"), VLOOKUP("RHEL+DB2",'BOM FUNCTIONS'!$CX$6:$CZ$13,2,FALSE),
                   IF($D4="AIX",VLOOKUP("AIX",'BOM FUNCTIONS'!$CX$6:$CZ$13,2,FALSE),
                  IF(AND($D4="Linux", LEFT(VLOOKUP($A4,dist_assets,22,FALSE),4)="RHEL"),VLOOKUP("RHEL",'BOM FUNCTIONS'!$CX$6:$CZ$13,2,FALSE),
                 IF(AND($D4="Linux", LEFT(VLOOKUP($A4,dist_assets,22,FALSE),4)="SLES"),VLOOKUP("SLES",'BOM FUNCTIONS'!$CX$6:$CZ$13,2,FALSE)))))))),"")</f>
        <v>OS: 100gb</v>
      </c>
      <c r="I4" s="2073">
        <f>IF($A4&lt;&gt;"",
     IF(VLOOKUP($A4,'Distributed Assets'!$B$28:$V$102,3, FALSE) ="New",
      IF($D4="AIX",VLOOKUP("AIX",'BOM FUNCTIONS'!$CX$6:$CZ$11,3,FALSE),
         IF(AND(OR($D4="AIX",$D4="Linux"),LEFT(VLOOKUP($A4,'Distributed Assets'!$B$28:$Y$102,22,FALSE),3)="DB2"), VLOOKUP("AIX+DB2",'BOM FUNCTIONS'!$CX$6:$CZ$11,3,FALSE),
             IF(AND($D4="Linux", LEFT(VLOOKUP($A4,dist_assets,22,FALSE),4)="RHEL"),VLOOKUP("RHEL",'BOM FUNCTIONS'!$CX$6:$CZ$11,3,FALSE),
                 IF(AND($D4="Linux", LEFT(VLOOKUP($A4,dist_assets,22,FALSE),4)="SLES"),VLOOKUP("SLES",'BOM FUNCTIONS'!$CX$6:$CZ$9,3,FALSE)))))),"")</f>
        <v>100</v>
      </c>
      <c r="J4" s="3403" t="str">
        <f>IF($A4&lt;&gt;"",
       IF(VLOOKUP($A4,'Distributed Assets'!$B$28:$V$102,3, FALSE) ="New",
          IF(LEFT(VLOOKUP($A4,'Distributed Assets'!$B$28:$AR$102,23,FALSE),3)="WAS",
             VLOOKUP(VLOOKUP($A4,'Distributed Assets'!$B$28:$BA$102,23,FALSE),'BOM FUNCTIONS'!$BV$6:$BW$23,2,FALSE),
           IF(LEFT(VLOOKUP($A4,'Distributed Assets'!$B$28:$AR$102,23,FALSE),5)="TomEE",
              VLOOKUP("was  TomEE 1.7.3 Web Profile",'BOM FUNCTIONS'!$BV$6:$BW$12,2,FALSE),
             IF(LEFT(VLOOKUP($A4,'Distributed Assets'!B28:AK102,24,FALSE),3)="Ora", Oracle_Standalone_fs(VLOOKUP($A4,dist_assets,44,FALSE)),
             IF(LEFT(VLOOKUP($A4,'Distributed Assets'!B28:AK102,24,FALSE),3)="DB2",DB2_FS(VLOOKUP($A4,dist_assets,44,FALSE)),"")))),""),"")</f>
        <v/>
      </c>
      <c r="K4" s="3103">
        <f>IF($A4&lt;&gt;"",
  IF(VLOOKUP($A4,dist_assets,3,FALSE)="New",
       IF($I4&lt;&gt;"",
          IF(LEFT(VLOOKUP($A4,dist_assets,23,FALSE),5)="TomEE"," 10",
            IF(LEFT(VLOOKUP($A4,dist_assets,23,FALSE),3)="WAS",VLOOKUP(VLOOKUP($A4,'Distributed Assets'!$B$28:$BA$102,23,FALSE),'BOM FUNCTIONS'!$BV$6:$BX$23,3,FALSE),
               IF(LEFT(VLOOKUP($A4,dist_assets,24,FALSE),3)="Ora","Unknown",
                     IF($D4&lt;&gt;"AIX", VLOOKUP($A4,dist_assets,35,FALSE)-100, "Enter LUN FS Values")))
                       ),""),""),"")</f>
        <v>500</v>
      </c>
      <c r="L4" s="2933" t="e">
        <f>IF($A4&lt;&gt;"",
        IF(MATCH(A4,'NAS Details'!$A$8:$A$50,0)&lt;&gt;"",  CONCATENATE("Mount ", VLOOKUP($A4,'NAS Details'!$A$8:$W$50,21,FALSE)," from ", VLOOKUP($A4,'NAS Details'!$A$8:$W$50,20,FALSE), " as ", VLOOKUP($A4,'NAS Details'!$A$8:$W$50,22,FALSE))),"")</f>
        <v>#N/A</v>
      </c>
      <c r="M4" s="960"/>
      <c r="N4" s="2075" t="str">
        <f t="shared" ref="N4:N41" si="3">IF(A4&lt;&gt;"",
       IF(AND(OR(dr_Level=1,dr_Level=2),
                       OR($D4="AIX",$D4="Solaris"),
                       $E4="Prod 2.0",
                       VLOOKUP($A4,dist_assets,26,FALSE)="Yes"),
           "Global Mirror + Zena",
                 IF(AND(OR(dr_Level=1,dr_Level=2,dr_Level=3,dr_Level=4),
                                 $E4="Prod 2.0",
                                OR($D4="Linux")),"Replicated LUN +SRM Recovery Plan",
                  "N/A")),
            "")</f>
        <v>N/A</v>
      </c>
      <c r="O4" s="2075" t="str">
        <f t="shared" ref="O4:O41" si="4">IF($B4&lt;&gt;"",
          IF(AND(VLOOKUP($A4,dist_assets,26,FALSE)="Yes",
                          $E4="Prod 2.0",
                          dr_Level&gt;0,
                          dr_Level&lt;5),
                 IF($D4="AIX", "mksysb replicated",
                       IF($D4="Solaris","Flash archive",
                "N/A")),
           "N/A"),"")</f>
        <v>N/A</v>
      </c>
      <c r="P4" s="2075" t="str">
        <f>IF($B4&lt;&gt;"",
        IF(AND($E4="Prod 2.0",
                         dr_Level&lt;5,
                         $D4="AIX",
                          VLOOKUP($A4,dist_assets,26,FALSE)="Yes"),VLOOKUP($Q4,'BOM FUNCTIONS'!$CF$12:$CG$19,2,FALSE),
          "N/A"),
"")</f>
        <v>N/A</v>
      </c>
      <c r="Q4" s="2075" t="str">
        <f>IF($A4&lt;&gt;"",
       IF(AND($E4="Prod 2.0",
                        dr_Level&lt;5,
                       $D4="AIX",
                        VLOOKUP($A4,dist_assets,26,FALSE)="Yes"),
              VLOOKUP($G4,'BOM FUNCTIONS'!$CA$12:$CG$19,6,FALSE),
         "N/A"),"")</f>
        <v>N/A</v>
      </c>
      <c r="R4" s="3333"/>
      <c r="S4" s="2783" t="str">
        <f>IF(R4&lt;&gt;"", "Duration of the CO", "")</f>
        <v/>
      </c>
      <c r="T4" s="2074" t="str">
        <f t="shared" ref="T4:T41" si="5">IF($A4&lt;&gt;"",
        IF(VLOOKUP($A4,dist_assets,28,FALSE)&lt;&gt;"",VLOOKUP($A4,dist_assets,28,FALSE),""),"")</f>
        <v>dchislmgt02</v>
      </c>
      <c r="U4" s="2076" t="str">
        <f t="shared" ref="U4:U41" si="6">IF($A4&lt;&gt;"",IF(hacmp,"See Provisioning Notes",""),"")</f>
        <v/>
      </c>
      <c r="V4" s="2077" t="str">
        <f>IF($A4&lt;&gt;"",
    IF(VLOOKUP($A4,dist_assets,24,FALSE)&lt;&gt;"",
       IF(LEFT(VLOOKUP($A4,dist_assets,24,FALSE),3)="Ora",
            IF(VLOOKUP($A4,dist_assets,16,FALSE)="NO","Stand-alone",
                IF(LEFT(VLOOKUP($A4,dist,16,FALSE),6)="Active",
                     IF(VLOOKUP($A4,dist_assets,17,FALSE)=INDEX($A$4:$A$42,MATCH($A4,$A$4:$A$41,0)+1,1),"Cluster 1",
                          IF(VLOOKUP($A4,dist_assets,17,FALSE)=INDEX($A$4:$A$42,MATCH($A4,$A$4:$A$41,0)-1,1),"Cluster 2","Oracle RAC"))))),""),
   "")</f>
        <v/>
      </c>
      <c r="W4" s="2399" t="str">
        <f t="shared" ref="W4:W41" si="7">IF($A4&lt;&gt;"",VLOOKUP($A4,dist_assets,2,FALSE),"")</f>
        <v>Dev</v>
      </c>
      <c r="X4" s="2078" t="str">
        <f>IF($A4&lt;&gt;"",$A4,"")</f>
        <v>20213598-001</v>
      </c>
    </row>
    <row r="5" spans="1:27">
      <c r="A5" s="312" t="s">
        <v>5613</v>
      </c>
      <c r="B5" s="2046" t="str">
        <f t="shared" si="0"/>
        <v>twauslmgt01</v>
      </c>
      <c r="C5" s="648"/>
      <c r="D5" s="2046" t="str">
        <f t="shared" si="1"/>
        <v>Linux</v>
      </c>
      <c r="E5" s="29" t="str">
        <f>IF(A5&lt;&gt;"",VLOOKUP(VLOOKUP(A5,'Distributed Assets'!$B$28:$V$102,2,FALSE),'Distributed Assets'!$C$7:$F$22,4,FALSE),"")</f>
        <v>Test 2.0</v>
      </c>
      <c r="F5" s="30" t="str">
        <f t="shared" si="2"/>
        <v>Process - 1</v>
      </c>
      <c r="G5" s="30"/>
      <c r="H5" s="748" t="str">
        <f>IF($A5&lt;&gt;"",
     IF(VLOOKUP($A5,dist_assets,3, FALSE) ="New",
        IF(AND($D5="Linux",LEFT(VLOOKUP($A5,dist_assets,23,FALSE),3)="WAS"), VLOOKUP("RHEL+WAS",'BOM FUNCTIONS'!$CX$6:$CZ$13,2,FALSE),
               IF(AND($D5="AIX",LEFT(VLOOKUP($A5,dist_assets,24,FALSE),3)="DB2"), VLOOKUP("AIX+DB2",'BOM FUNCTIONS'!$CX$6:$CZ$13,2,FALSE),
                  IF(AND($D5="Linux",LEFT(VLOOKUP($A5,dist_assets,24,FALSE),3)="DB2"), VLOOKUP("RHEL+DB2",'BOM FUNCTIONS'!$CX$6:$CZ$13,2,FALSE),
                   IF($D5="AIX",VLOOKUP("AIX",'BOM FUNCTIONS'!$CX$6:$CZ$13,2,FALSE),
                  IF(AND($D5="Linux", LEFT(VLOOKUP($A5,dist_assets,22,FALSE),4)="RHEL"),VLOOKUP("RHEL",'BOM FUNCTIONS'!$CX$6:$CZ$13,2,FALSE),
                 IF(AND($D5="Linux", LEFT(VLOOKUP($A5,dist_assets,22,FALSE),4)="SLES"),VLOOKUP("SLES",'BOM FUNCTIONS'!$CX$6:$CZ$13,2,FALSE)))))))),"")</f>
        <v>OS: 100gb</v>
      </c>
      <c r="I5" s="2073">
        <f>IF($A5&lt;&gt;"",
     IF(VLOOKUP($A5,'Distributed Assets'!$B$28:$V$102,3, FALSE) ="New",
      IF($D5="AIX",VLOOKUP("AIX",'BOM FUNCTIONS'!$CX$6:$CZ$11,3,FALSE),
         IF(AND(OR($D5="AIX",$D5="Linux"),LEFT(VLOOKUP($A5,'Distributed Assets'!$B$28:$Y$102,22,FALSE),3)="DB2"), VLOOKUP("AIX+DB2",'BOM FUNCTIONS'!$CX$6:$CZ$11,3,FALSE),
             IF(AND($D5="Linux", LEFT(VLOOKUP($A5,dist_assets,22,FALSE),4)="RHEL"),VLOOKUP("RHEL",'BOM FUNCTIONS'!$CX$6:$CZ$11,3,FALSE),
                 IF(AND($D5="Linux", LEFT(VLOOKUP($A5,dist_assets,22,FALSE),4)="SLES"),VLOOKUP("SLES",'BOM FUNCTIONS'!$CX$6:$CZ$9,3,FALSE)))))),"")</f>
        <v>100</v>
      </c>
      <c r="J5" s="3404" t="str">
        <f>IF($A5&lt;&gt;"",
       IF(VLOOKUP($A5,'Distributed Assets'!$B$28:$V$102,3, FALSE) ="New",
          IF(LEFT(VLOOKUP($A5,'Distributed Assets'!$B$28:$AR$102,23,FALSE),3)="WAS",
             VLOOKUP(VLOOKUP($A5,'Distributed Assets'!$B$28:$BA$102,23,FALSE),'BOM FUNCTIONS'!$BV$6:$BW$23,2,FALSE),
           IF(LEFT(VLOOKUP($A5,'Distributed Assets'!$B$28:$AR$102,23,FALSE),5)="TomEE",
              VLOOKUP("was  TomEE 1.7.3 Web Profile",'BOM FUNCTIONS'!$BV$6:$BW$12,2,FALSE),
             IF(LEFT(VLOOKUP($A5,'Distributed Assets'!B29:AK103,24,FALSE),3)="Ora", Oracle_Standalone_fs(VLOOKUP($A5,dist_assets,44,FALSE)),
             IF(LEFT(VLOOKUP($A5,'Distributed Assets'!B29:AK103,24,FALSE),3)="DB2",DB2_FS(VLOOKUP($A5,dist_assets,44,FALSE)),"")))),""),"")</f>
        <v/>
      </c>
      <c r="K5" s="3073">
        <f>IF($A5&lt;&gt;"",
  IF(VLOOKUP($A5,dist_assets,3,FALSE)="New",
       IF($I5&lt;&gt;"",
          IF(LEFT(VLOOKUP($A5,dist_assets,23,FALSE),5)="TomEE"," 10",
            IF(LEFT(VLOOKUP($A5,dist_assets,23,FALSE),3)="WAS",VLOOKUP(VLOOKUP($A5,'Distributed Assets'!$B$28:$BA$102,23,FALSE),'BOM FUNCTIONS'!$BV$6:$BX$23,3,FALSE),
               IF(LEFT(VLOOKUP($A5,dist_assets,24,FALSE),3)="Ora","Unknown",
                     IF($D5&lt;&gt;"AIX", VLOOKUP($A5,dist_assets,35,FALSE)-100, "Enter LUN FS Values")))
                       ),""),""),"")</f>
        <v>500</v>
      </c>
      <c r="L5" s="2186" t="e">
        <f>IF($A5&lt;&gt;"",
        IF(MATCH(A5,'NAS Details'!$A$8:$A$50,0)&lt;&gt;"",  CONCATENATE("Mount ", VLOOKUP($A5,'NAS Details'!$A$8:$W$50,21,FALSE)," from ", VLOOKUP($A5,'NAS Details'!$A$8:$W$50,20,FALSE), " as ", VLOOKUP($A5,'NAS Details'!$A$8:$W$50,22,FALSE))),"")</f>
        <v>#N/A</v>
      </c>
      <c r="M5" s="1758"/>
      <c r="N5" s="2071" t="str">
        <f t="shared" si="3"/>
        <v>N/A</v>
      </c>
      <c r="O5" s="2071" t="str">
        <f t="shared" si="4"/>
        <v>N/A</v>
      </c>
      <c r="P5" s="2071" t="str">
        <f>IF($B5&lt;&gt;"",
        IF(AND($E5="Prod 2.0",
                         dr_Level&lt;5,
                         $D5="AIX",
                          VLOOKUP($A5,dist_assets,26,FALSE)="Yes"),VLOOKUP($Q5,'BOM FUNCTIONS'!$CF$12:$CG$19,2,FALSE),
          "N/A"),
"")</f>
        <v>N/A</v>
      </c>
      <c r="Q5" s="2071" t="str">
        <f>IF($A5&lt;&gt;"",
       IF(AND($E5="Prod 2.0",
                        dr_Level&lt;5,
                       $D5="AIX",
                        VLOOKUP($A5,dist_assets,26,FALSE)="Yes"),
              VLOOKUP($G5,'BOM FUNCTIONS'!$CA$12:$CG$19,6,FALSE),
         "N/A"),"")</f>
        <v>N/A</v>
      </c>
      <c r="R5" s="3331" t="str">
        <f t="shared" ref="R5:R41" si="8">IF($M5&lt;&gt;"",
IF(LEFT($M5,3)="db2","db2admin",""), "")</f>
        <v/>
      </c>
      <c r="S5" s="2784" t="str">
        <f t="shared" ref="S5:S41" si="9">IF(R5&lt;&gt;"", "Duration of the CO", "")</f>
        <v/>
      </c>
      <c r="T5" s="2046" t="str">
        <f t="shared" si="5"/>
        <v/>
      </c>
      <c r="U5" s="2072" t="str">
        <f t="shared" si="6"/>
        <v/>
      </c>
      <c r="V5" s="2073" t="str">
        <f>IF($A5&lt;&gt;"",
    IF(VLOOKUP($A5,dist_assets,24,FALSE)&lt;&gt;"",
       IF(LEFT(VLOOKUP($A5,dist_assets,24,FALSE),3)="Ora",
            IF(VLOOKUP($A5,dist_assets,16,FALSE)="NO","Stand-alone",
                IF(LEFT(VLOOKUP($A5,dist,16,FALSE),6)="Active",
                     IF(VLOOKUP($A5,dist_assets,17,FALSE)=INDEX($A$4:$A$42,MATCH($A5,$A$4:$A$41,0)+1,1),"Cluster 1",
                          IF(VLOOKUP($A5,dist_assets,17,FALSE)=INDEX($A$4:$A$42,MATCH($A5,$A$4:$A$41,0)-1,1),"Cluster 2","Oracle RAC"))))),""),
   "")</f>
        <v/>
      </c>
      <c r="W5" s="2400" t="str">
        <f t="shared" si="7"/>
        <v>Test</v>
      </c>
      <c r="X5" s="2079" t="str">
        <f>IF($A5&lt;&gt;"",$A5,"")</f>
        <v>20213598-002</v>
      </c>
      <c r="Y5" s="669"/>
    </row>
    <row r="6" spans="1:27">
      <c r="A6" s="312" t="s">
        <v>5614</v>
      </c>
      <c r="B6" s="29" t="str">
        <f t="shared" si="0"/>
        <v>awauslmgt01</v>
      </c>
      <c r="C6" s="1662"/>
      <c r="D6" s="2046" t="str">
        <f t="shared" si="1"/>
        <v>Linux</v>
      </c>
      <c r="E6" s="2046" t="str">
        <f>IF(A6&lt;&gt;"",VLOOKUP(VLOOKUP(A6,'Distributed Assets'!$B$28:$V$102,2,FALSE),'Distributed Assets'!$C$7:$F$22,4,FALSE),"")</f>
        <v>ALT Prod</v>
      </c>
      <c r="F6" s="30" t="str">
        <f t="shared" si="2"/>
        <v>Process - 1</v>
      </c>
      <c r="G6" s="30"/>
      <c r="H6" s="748" t="str">
        <f>IF($A6&lt;&gt;"",
     IF(VLOOKUP($A6,dist_assets,3, FALSE) ="New",
        IF(AND($D6="Linux",LEFT(VLOOKUP($A6,dist_assets,23,FALSE),3)="WAS"), VLOOKUP("RHEL+WAS",'BOM FUNCTIONS'!$CX$6:$CZ$13,2,FALSE),
               IF(AND($D6="AIX",LEFT(VLOOKUP($A6,dist_assets,24,FALSE),3)="DB2"), VLOOKUP("AIX+DB2",'BOM FUNCTIONS'!$CX$6:$CZ$13,2,FALSE),
                  IF(AND($D6="Linux",LEFT(VLOOKUP($A6,dist_assets,24,FALSE),3)="DB2"), VLOOKUP("RHEL+DB2",'BOM FUNCTIONS'!$CX$6:$CZ$13,2,FALSE),
                   IF($D6="AIX",VLOOKUP("AIX",'BOM FUNCTIONS'!$CX$6:$CZ$13,2,FALSE),
                  IF(AND($D6="Linux", LEFT(VLOOKUP($A6,dist_assets,22,FALSE),4)="RHEL"),VLOOKUP("RHEL",'BOM FUNCTIONS'!$CX$6:$CZ$13,2,FALSE),
                 IF(AND($D6="Linux", LEFT(VLOOKUP($A6,dist_assets,22,FALSE),4)="SLES"),VLOOKUP("SLES",'BOM FUNCTIONS'!$CX$6:$CZ$13,2,FALSE)))))))),"")</f>
        <v>OS: 100gb</v>
      </c>
      <c r="I6" s="2073">
        <f>IF($A6&lt;&gt;"",
     IF(VLOOKUP($A6,'Distributed Assets'!$B$28:$V$102,3, FALSE) ="New",
      IF($D6="AIX",VLOOKUP("AIX",'BOM FUNCTIONS'!$CX$6:$CZ$11,3,FALSE),
         IF(AND(OR($D6="AIX",$D6="Linux"),LEFT(VLOOKUP($A6,'Distributed Assets'!$B$28:$Y$102,22,FALSE),3)="DB2"), VLOOKUP("AIX+DB2",'BOM FUNCTIONS'!$CX$6:$CZ$11,3,FALSE),
             IF(AND($D6="Linux", LEFT(VLOOKUP($A6,dist_assets,22,FALSE),4)="RHEL"),VLOOKUP("RHEL",'BOM FUNCTIONS'!$CX$6:$CZ$11,3,FALSE),
                 IF(AND($D6="Linux", LEFT(VLOOKUP($A6,dist_assets,22,FALSE),4)="SLES"),VLOOKUP("SLES",'BOM FUNCTIONS'!$CX$6:$CZ$9,3,FALSE)))))),"")</f>
        <v>100</v>
      </c>
      <c r="J6" s="3404" t="str">
        <f>IF($A6&lt;&gt;"",
       IF(VLOOKUP($A6,'Distributed Assets'!$B$28:$V$102,3, FALSE) ="New",
          IF(LEFT(VLOOKUP($A6,'Distributed Assets'!$B$28:$AR$102,23,FALSE),3)="WAS",
             VLOOKUP(VLOOKUP($A6,'Distributed Assets'!$B$28:$BA$102,23,FALSE),'BOM FUNCTIONS'!$BV$6:$BW$23,2,FALSE),
           IF(LEFT(VLOOKUP($A6,'Distributed Assets'!$B$28:$AR$102,23,FALSE),5)="TomEE",
              VLOOKUP("was  TomEE 1.7.3 Web Profile",'BOM FUNCTIONS'!$BV$6:$BW$12,2,FALSE),
             IF(LEFT(VLOOKUP($A6,'Distributed Assets'!B30:AK104,24,FALSE),3)="Ora", Oracle_Standalone_fs(VLOOKUP($A6,dist_assets,44,FALSE)),
             IF(LEFT(VLOOKUP($A6,'Distributed Assets'!B30:AK104,24,FALSE),3)="DB2",DB2_FS(VLOOKUP($A6,dist_assets,44,FALSE)),"")))),""),"")</f>
        <v/>
      </c>
      <c r="K6" s="3073">
        <f>IF($A6&lt;&gt;"",
  IF(VLOOKUP($A6,dist_assets,3,FALSE)="New",
       IF($I6&lt;&gt;"",
          IF(LEFT(VLOOKUP($A6,dist_assets,23,FALSE),5)="TomEE"," 10",
            IF(LEFT(VLOOKUP($A6,dist_assets,23,FALSE),3)="WAS",VLOOKUP(VLOOKUP($A6,'Distributed Assets'!$B$28:$BA$102,23,FALSE),'BOM FUNCTIONS'!$BV$6:$BX$23,3,FALSE),
               IF(LEFT(VLOOKUP($A6,dist_assets,24,FALSE),3)="Ora","Unknown",
                     IF($D6&lt;&gt;"AIX", VLOOKUP($A6,dist_assets,35,FALSE)-100, "Enter LUN FS Values")))
                       ),""),""),"")</f>
        <v>500</v>
      </c>
      <c r="L6" s="2186" t="e">
        <f>IF($A6&lt;&gt;"",
        IF(MATCH(A6,'NAS Details'!$A$8:$A$50,0)&lt;&gt;"",  CONCATENATE("Mount ", VLOOKUP($A6,'NAS Details'!$A$8:$W$50,21,FALSE)," from ", VLOOKUP($A6,'NAS Details'!$A$8:$W$50,20,FALSE), " as ", VLOOKUP($A6,'NAS Details'!$A$8:$W$50,22,FALSE))),"")</f>
        <v>#N/A</v>
      </c>
      <c r="M6" s="1758"/>
      <c r="N6" s="2071" t="str">
        <f t="shared" si="3"/>
        <v>N/A</v>
      </c>
      <c r="O6" s="2071" t="str">
        <f t="shared" si="4"/>
        <v>N/A</v>
      </c>
      <c r="P6" s="2071" t="str">
        <f>IF($B6&lt;&gt;"",
        IF(AND($E6="Prod 2.0",
                         dr_Level&lt;5,
                         $D6="AIX",
                          VLOOKUP($A6,dist_assets,26,FALSE)="Yes"),VLOOKUP($Q6,'BOM FUNCTIONS'!$CF$12:$CG$19,2,FALSE),
          "N/A"),
"")</f>
        <v>N/A</v>
      </c>
      <c r="Q6" s="2071" t="str">
        <f>IF($A6&lt;&gt;"",
       IF(AND($E6="Prod 2.0",
                        dr_Level&lt;5,
                       $D6="AIX",
                        VLOOKUP($A6,dist_assets,26,FALSE)="Yes"),
              VLOOKUP($G6,'BOM FUNCTIONS'!$CA$12:$CG$19,6,FALSE),
         "N/A"),"")</f>
        <v>N/A</v>
      </c>
      <c r="R6" s="3331" t="str">
        <f t="shared" si="8"/>
        <v/>
      </c>
      <c r="S6" s="2784" t="str">
        <f t="shared" si="9"/>
        <v/>
      </c>
      <c r="T6" s="2046" t="str">
        <f t="shared" si="5"/>
        <v/>
      </c>
      <c r="U6" s="2072" t="str">
        <f t="shared" si="6"/>
        <v/>
      </c>
      <c r="V6" s="2073" t="str">
        <f>IF($A6&lt;&gt;"",
    IF(VLOOKUP($A6,dist_assets,24,FALSE)&lt;&gt;"",
       IF(LEFT(VLOOKUP($A6,dist_assets,24,FALSE),3)="Ora",
            IF(VLOOKUP($A6,dist_assets,16,FALSE)="NO","Stand-alone",
                IF(LEFT(VLOOKUP($A6,dist,16,FALSE),6)="Active",
                     IF(VLOOKUP($A6,dist_assets,17,FALSE)=INDEX($A$4:$A$42,MATCH($A6,$A$4:$A$41,0)+1,1),"Cluster 1",
                          IF(VLOOKUP($A6,dist_assets,17,FALSE)=INDEX($A$4:$A$42,MATCH($A6,$A$4:$A$41,0)-1,1),"Cluster 2","Oracle RAC"))))),""),
   "")</f>
        <v/>
      </c>
      <c r="W6" s="2400" t="str">
        <f t="shared" si="7"/>
        <v>Alt Prod</v>
      </c>
      <c r="X6" s="2079" t="str">
        <f t="shared" ref="X6:X41" si="10">IF($A6&lt;&gt;"",$A6,"")</f>
        <v>20213598-003</v>
      </c>
      <c r="Y6" s="669"/>
      <c r="Z6" s="931"/>
    </row>
    <row r="7" spans="1:27" ht="25.5">
      <c r="A7" s="312" t="s">
        <v>5615</v>
      </c>
      <c r="B7" s="2046" t="str">
        <f t="shared" si="0"/>
        <v>pwauslmgt01</v>
      </c>
      <c r="C7" s="1662"/>
      <c r="D7" s="2046" t="str">
        <f t="shared" si="1"/>
        <v>Linux</v>
      </c>
      <c r="E7" s="2046" t="str">
        <f>IF(A7&lt;&gt;"",VLOOKUP(VLOOKUP(A7,'Distributed Assets'!$B$28:$V$102,2,FALSE),'Distributed Assets'!$C$7:$F$22,4,FALSE),"")</f>
        <v>Prod 2.0</v>
      </c>
      <c r="F7" s="30" t="str">
        <f t="shared" si="2"/>
        <v>Process - 3</v>
      </c>
      <c r="G7" s="30"/>
      <c r="H7" s="748" t="str">
        <f>IF($A7&lt;&gt;"",
     IF(VLOOKUP($A7,dist_assets,3, FALSE) ="New",
        IF(AND($D7="Linux",LEFT(VLOOKUP($A7,dist_assets,23,FALSE),3)="WAS"), VLOOKUP("RHEL+WAS",'BOM FUNCTIONS'!$CX$6:$CZ$13,2,FALSE),
               IF(AND($D7="AIX",LEFT(VLOOKUP($A7,dist_assets,24,FALSE),3)="DB2"), VLOOKUP("AIX+DB2",'BOM FUNCTIONS'!$CX$6:$CZ$13,2,FALSE),
                  IF(AND($D7="Linux",LEFT(VLOOKUP($A7,dist_assets,24,FALSE),3)="DB2"), VLOOKUP("RHEL+DB2",'BOM FUNCTIONS'!$CX$6:$CZ$13,2,FALSE),
                   IF($D7="AIX",VLOOKUP("AIX",'BOM FUNCTIONS'!$CX$6:$CZ$13,2,FALSE),
                  IF(AND($D7="Linux", LEFT(VLOOKUP($A7,dist_assets,22,FALSE),4)="RHEL"),VLOOKUP("RHEL",'BOM FUNCTIONS'!$CX$6:$CZ$13,2,FALSE),
                 IF(AND($D7="Linux", LEFT(VLOOKUP($A7,dist_assets,22,FALSE),4)="SLES"),VLOOKUP("SLES",'BOM FUNCTIONS'!$CX$6:$CZ$13,2,FALSE)))))))),"")</f>
        <v>OS: 100gb</v>
      </c>
      <c r="I7" s="2073">
        <f>IF($A7&lt;&gt;"",
     IF(VLOOKUP($A7,'Distributed Assets'!$B$28:$V$102,3, FALSE) ="New",
      IF($D7="AIX",VLOOKUP("AIX",'BOM FUNCTIONS'!$CX$6:$CZ$11,3,FALSE),
         IF(AND(OR($D7="AIX",$D7="Linux"),LEFT(VLOOKUP($A7,'Distributed Assets'!$B$28:$Y$102,22,FALSE),3)="DB2"), VLOOKUP("AIX+DB2",'BOM FUNCTIONS'!$CX$6:$CZ$11,3,FALSE),
             IF(AND($D7="Linux", LEFT(VLOOKUP($A7,dist_assets,22,FALSE),4)="RHEL"),VLOOKUP("RHEL",'BOM FUNCTIONS'!$CX$6:$CZ$11,3,FALSE),
                 IF(AND($D7="Linux", LEFT(VLOOKUP($A7,dist_assets,22,FALSE),4)="SLES"),VLOOKUP("SLES",'BOM FUNCTIONS'!$CX$6:$CZ$9,3,FALSE)))))),"")</f>
        <v>100</v>
      </c>
      <c r="J7" s="3404" t="str">
        <f>IF($A7&lt;&gt;"",
       IF(VLOOKUP($A7,'Distributed Assets'!$B$28:$V$102,3, FALSE) ="New",
          IF(LEFT(VLOOKUP($A7,'Distributed Assets'!$B$28:$AR$102,23,FALSE),3)="WAS",
             VLOOKUP(VLOOKUP($A7,'Distributed Assets'!$B$28:$BA$102,23,FALSE),'BOM FUNCTIONS'!$BV$6:$BW$23,2,FALSE),
           IF(LEFT(VLOOKUP($A7,'Distributed Assets'!$B$28:$AR$102,23,FALSE),5)="TomEE",
              VLOOKUP("was  TomEE 1.7.3 Web Profile",'BOM FUNCTIONS'!$BV$6:$BW$12,2,FALSE),
             IF(LEFT(VLOOKUP($A7,'Distributed Assets'!B31:AK105,24,FALSE),3)="Ora", Oracle_Standalone_fs(VLOOKUP($A7,dist_assets,44,FALSE)),
             IF(LEFT(VLOOKUP($A7,'Distributed Assets'!B31:AK105,24,FALSE),3)="DB2",DB2_FS(VLOOKUP($A7,dist_assets,44,FALSE)),"")))),""),"")</f>
        <v/>
      </c>
      <c r="K7" s="3073">
        <f>IF($A7&lt;&gt;"",
  IF(VLOOKUP($A7,dist_assets,3,FALSE)="New",
       IF($I7&lt;&gt;"",
          IF(LEFT(VLOOKUP($A7,dist_assets,23,FALSE),5)="TomEE"," 10",
            IF(LEFT(VLOOKUP($A7,dist_assets,23,FALSE),3)="WAS",VLOOKUP(VLOOKUP($A7,'Distributed Assets'!$B$28:$BA$102,23,FALSE),'BOM FUNCTIONS'!$BV$6:$BX$23,3,FALSE),
               IF(LEFT(VLOOKUP($A7,dist_assets,24,FALSE),3)="Ora","Unknown",
                     IF($D7&lt;&gt;"AIX", VLOOKUP($A7,dist_assets,35,FALSE)-100, "Enter LUN FS Values")))
                       ),""),""),"")</f>
        <v>500</v>
      </c>
      <c r="L7" s="2186" t="e">
        <f>IF($A7&lt;&gt;"",
        IF(MATCH(A7,'NAS Details'!$A$8:$A$50,0)&lt;&gt;"",  CONCATENATE("Mount ", VLOOKUP($A7,'NAS Details'!$A$8:$W$50,21,FALSE)," from ", VLOOKUP($A7,'NAS Details'!$A$8:$W$50,20,FALSE), " as ", VLOOKUP($A7,'NAS Details'!$A$8:$W$50,22,FALSE))),"")</f>
        <v>#N/A</v>
      </c>
      <c r="M7" s="1758"/>
      <c r="N7" s="2071" t="str">
        <f t="shared" si="3"/>
        <v>N/A</v>
      </c>
      <c r="O7" s="2071" t="str">
        <f t="shared" si="4"/>
        <v>N/A</v>
      </c>
      <c r="P7" s="2071" t="str">
        <f>IF($B7&lt;&gt;"",
        IF(AND($E7="Prod 2.0",
                         dr_Level&lt;5,
                         $D7="AIX",
                          VLOOKUP($A7,dist_assets,26,FALSE)="Yes"),VLOOKUP($Q7,'BOM FUNCTIONS'!$CF$12:$CG$19,2,FALSE),
          "N/A"),
"")</f>
        <v>N/A</v>
      </c>
      <c r="Q7" s="2071" t="str">
        <f>IF($A7&lt;&gt;"",
       IF(AND($E7="Prod 2.0",
                        dr_Level&lt;5,
                       $D7="AIX",
                        VLOOKUP($A7,dist_assets,26,FALSE)="Yes"),
              VLOOKUP($G7,'BOM FUNCTIONS'!$CA$12:$CG$19,6,FALSE),
         "N/A"),"")</f>
        <v>N/A</v>
      </c>
      <c r="R7" s="3331" t="str">
        <f t="shared" si="8"/>
        <v/>
      </c>
      <c r="S7" s="2784" t="str">
        <f t="shared" si="9"/>
        <v/>
      </c>
      <c r="T7" s="4446" t="str">
        <f t="shared" si="5"/>
        <v>pwauslrhmgt01
pwauslosmgt01</v>
      </c>
      <c r="U7" s="2072" t="str">
        <f t="shared" si="6"/>
        <v/>
      </c>
      <c r="V7" s="2073" t="str">
        <f>IF($A7&lt;&gt;"",
    IF(VLOOKUP($A7,dist_assets,24,FALSE)&lt;&gt;"",
       IF(LEFT(VLOOKUP($A7,dist_assets,24,FALSE),3)="Ora",
            IF(VLOOKUP($A7,dist_assets,16,FALSE)="NO","Stand-alone",
                IF(LEFT(VLOOKUP($A7,dist,16,FALSE),6)="Active",
                     IF(VLOOKUP($A7,dist_assets,17,FALSE)=INDEX($A$4:$A$42,MATCH($A7,$A$4:$A$41,0)+1,1),"Cluster 1",
                          IF(VLOOKUP($A7,dist_assets,17,FALSE)=INDEX($A$4:$A$42,MATCH($A7,$A$4:$A$41,0)-1,1),"Cluster 2","Oracle RAC"))))),""),
   "")</f>
        <v/>
      </c>
      <c r="W7" s="2400" t="str">
        <f t="shared" si="7"/>
        <v>Prod 2.0</v>
      </c>
      <c r="X7" s="2079" t="str">
        <f t="shared" si="10"/>
        <v>20213598-004</v>
      </c>
      <c r="AA7" s="33"/>
    </row>
    <row r="8" spans="1:27">
      <c r="A8" s="312"/>
      <c r="B8" s="2046" t="str">
        <f t="shared" si="0"/>
        <v/>
      </c>
      <c r="C8" s="1662"/>
      <c r="D8" s="2046" t="str">
        <f t="shared" si="1"/>
        <v/>
      </c>
      <c r="E8" s="2046" t="str">
        <f>IF(A8&lt;&gt;"",VLOOKUP(VLOOKUP(A8,'Distributed Assets'!$B$28:$V$102,2,FALSE),'Distributed Assets'!$C$7:$F$22,4,FALSE),"")</f>
        <v/>
      </c>
      <c r="F8" s="30" t="str">
        <f t="shared" si="2"/>
        <v/>
      </c>
      <c r="G8" s="30"/>
      <c r="H8" s="748" t="str">
        <f>IF($A8&lt;&gt;"",
     IF(VLOOKUP($A8,dist_assets,3, FALSE) ="New",
        IF(AND($D8="Linux",LEFT(VLOOKUP($A8,dist_assets,23,FALSE),3)="WAS"), VLOOKUP("RHEL+WAS",'BOM FUNCTIONS'!$CX$6:$CZ$13,2,FALSE),
               IF(AND($D8="AIX",LEFT(VLOOKUP($A8,dist_assets,24,FALSE),3)="DB2"), VLOOKUP("AIX+DB2",'BOM FUNCTIONS'!$CX$6:$CZ$13,2,FALSE),
                  IF(AND($D8="Linux",LEFT(VLOOKUP($A8,dist_assets,24,FALSE),3)="DB2"), VLOOKUP("RHEL+DB2",'BOM FUNCTIONS'!$CX$6:$CZ$13,2,FALSE),
                   IF($D8="AIX",VLOOKUP("AIX",'BOM FUNCTIONS'!$CX$6:$CZ$13,2,FALSE),
                  IF(AND($D8="Linux", LEFT(VLOOKUP($A8,dist_assets,22,FALSE),4)="RHEL"),VLOOKUP("RHEL",'BOM FUNCTIONS'!$CX$6:$CZ$13,2,FALSE),
                 IF(AND($D8="Linux", LEFT(VLOOKUP($A8,dist_assets,22,FALSE),4)="SLES"),VLOOKUP("SLES",'BOM FUNCTIONS'!$CX$6:$CZ$13,2,FALSE)))))))),"")</f>
        <v/>
      </c>
      <c r="I8" s="2073" t="str">
        <f>IF($A8&lt;&gt;"",
     IF(VLOOKUP($A8,'Distributed Assets'!$B$28:$V$102,3, FALSE) ="New",
      IF($D8="AIX",VLOOKUP("AIX",'BOM FUNCTIONS'!$CX$6:$CZ$11,3,FALSE),
         IF(AND(OR($D8="AIX",$D8="Linux"),LEFT(VLOOKUP($A8,'Distributed Assets'!$B$28:$Y$102,22,FALSE),3)="DB2"), VLOOKUP("AIX+DB2",'BOM FUNCTIONS'!$CX$6:$CZ$11,3,FALSE),
             IF(AND($D8="Linux", LEFT(VLOOKUP($A8,dist_assets,22,FALSE),4)="RHEL"),VLOOKUP("RHEL",'BOM FUNCTIONS'!$CX$6:$CZ$11,3,FALSE),
                 IF(AND($D8="Linux", LEFT(VLOOKUP($A8,dist_assets,22,FALSE),4)="SLES"),VLOOKUP("SLES",'BOM FUNCTIONS'!$CX$6:$CZ$9,3,FALSE)))))),"")</f>
        <v/>
      </c>
      <c r="J8" s="3404" t="str">
        <f>IF($A8&lt;&gt;"",
       IF(VLOOKUP($A8,'Distributed Assets'!$B$28:$V$102,3, FALSE) ="New",
          IF(LEFT(VLOOKUP($A8,'Distributed Assets'!$B$28:$AR$102,23,FALSE),3)="WAS",
             VLOOKUP(VLOOKUP($A8,'Distributed Assets'!$B$28:$BA$102,23,FALSE),'BOM FUNCTIONS'!$BV$6:$BW$23,2,FALSE),
           IF(LEFT(VLOOKUP($A8,'Distributed Assets'!$B$28:$AR$102,23,FALSE),5)="TomEE",
              VLOOKUP("was  TomEE 1.7.3 Web Profile",'BOM FUNCTIONS'!$BV$6:$BW$12,2,FALSE),
             IF(LEFT(VLOOKUP($A8,'Distributed Assets'!B32:AK106,24,FALSE),3)="Ora", Oracle_Standalone_fs(VLOOKUP($A8,dist_assets,44,FALSE)),
             IF(LEFT(VLOOKUP($A8,'Distributed Assets'!B32:AK106,24,FALSE),3)="DB2",DB2_FS(VLOOKUP($A8,dist_assets,44,FALSE)),"")))),""),"")</f>
        <v/>
      </c>
      <c r="K8" s="3073" t="str">
        <f>IF($A8&lt;&gt;"",
  IF(VLOOKUP($A8,dist_assets,3,FALSE)="New",
       IF($I8&lt;&gt;"",
          IF(LEFT(VLOOKUP($A8,dist_assets,23,FALSE),5)="TomEE"," 10",
            IF(LEFT(VLOOKUP($A8,dist_assets,23,FALSE),3)="WAS",VLOOKUP(VLOOKUP($A8,'Distributed Assets'!$B$28:$BA$102,23,FALSE),'BOM FUNCTIONS'!$BV$6:$BX$23,3,FALSE),
               IF(LEFT(VLOOKUP($A8,dist_assets,24,FALSE),3)="Ora","Unknown",
                     IF($D8&lt;&gt;"AIX", VLOOKUP($A8,dist_assets,35,FALSE)-100, "Enter LUN FS Values")))
                       ),""),""),"")</f>
        <v/>
      </c>
      <c r="L8" s="2186" t="str">
        <f>IF($A8&lt;&gt;"",
        IF(MATCH(A8,'NAS Details'!$A$8:$A$50,0)&lt;&gt;"",  CONCATENATE("Mount ", VLOOKUP($A8,'NAS Details'!$A$8:$W$50,21,FALSE)," from ", VLOOKUP($A8,'NAS Details'!$A$8:$W$50,20,FALSE), " as ", VLOOKUP($A8,'NAS Details'!$A$8:$W$50,22,FALSE))),"")</f>
        <v/>
      </c>
      <c r="M8" s="1758"/>
      <c r="N8" s="2071" t="str">
        <f t="shared" si="3"/>
        <v/>
      </c>
      <c r="O8" s="2071" t="str">
        <f t="shared" si="4"/>
        <v/>
      </c>
      <c r="P8" s="2071" t="str">
        <f>IF($B8&lt;&gt;"",
        IF(AND($E8="Prod 2.0",
                         dr_Level&lt;5,
                         $D8="AIX",
                          VLOOKUP($A8,dist_assets,26,FALSE)="Yes"),VLOOKUP($Q8,'BOM FUNCTIONS'!$CF$12:$CG$19,2,FALSE),
          "N/A"),
"")</f>
        <v/>
      </c>
      <c r="Q8" s="2071" t="str">
        <f>IF($A8&lt;&gt;"",
       IF(AND($E8="Prod 2.0",
                        dr_Level&lt;5,
                       $D8="AIX",
                        VLOOKUP($A8,dist_assets,26,FALSE)="Yes"),
              VLOOKUP($G8,'BOM FUNCTIONS'!$CA$12:$CG$19,6,FALSE),
         "N/A"),"")</f>
        <v/>
      </c>
      <c r="R8" s="3331" t="str">
        <f t="shared" si="8"/>
        <v/>
      </c>
      <c r="S8" s="2784" t="str">
        <f t="shared" si="9"/>
        <v/>
      </c>
      <c r="T8" s="2046" t="str">
        <f t="shared" si="5"/>
        <v/>
      </c>
      <c r="U8" s="2072" t="str">
        <f t="shared" si="6"/>
        <v/>
      </c>
      <c r="V8" s="2073" t="str">
        <f>IF($A8&lt;&gt;"",
    IF(VLOOKUP($A8,dist_assets,24,FALSE)&lt;&gt;"",
       IF(LEFT(VLOOKUP($A8,dist_assets,24,FALSE),3)="Ora",
            IF(VLOOKUP($A8,dist_assets,16,FALSE)="NO","Stand-alone",
                IF(LEFT(VLOOKUP($A8,dist,16,FALSE),6)="Active",
                     IF(VLOOKUP($A8,dist_assets,17,FALSE)=INDEX($A$4:$A$42,MATCH($A8,$A$4:$A$41,0)+1,1),"Cluster 1",
                          IF(VLOOKUP($A8,dist_assets,17,FALSE)=INDEX($A$4:$A$42,MATCH($A8,$A$4:$A$41,0)-1,1),"Cluster 2","Oracle RAC"))))),""),
   "")</f>
        <v/>
      </c>
      <c r="W8" s="2400" t="str">
        <f t="shared" si="7"/>
        <v/>
      </c>
      <c r="X8" s="2079" t="str">
        <f t="shared" si="10"/>
        <v/>
      </c>
    </row>
    <row r="9" spans="1:27">
      <c r="A9" s="312"/>
      <c r="B9" s="2046" t="str">
        <f t="shared" si="0"/>
        <v/>
      </c>
      <c r="C9" s="1662"/>
      <c r="D9" s="2046" t="str">
        <f t="shared" si="1"/>
        <v/>
      </c>
      <c r="E9" s="2046" t="str">
        <f>IF(A9&lt;&gt;"",VLOOKUP(VLOOKUP(A9,'Distributed Assets'!$B$28:$V$102,2,FALSE),'Distributed Assets'!$C$7:$F$22,4,FALSE),"")</f>
        <v/>
      </c>
      <c r="F9" s="30" t="str">
        <f t="shared" si="2"/>
        <v/>
      </c>
      <c r="G9" s="30"/>
      <c r="H9" s="748" t="str">
        <f>IF($A9&lt;&gt;"",
     IF(VLOOKUP($A9,dist_assets,3, FALSE) ="New",
        IF(AND($D9="Linux",LEFT(VLOOKUP($A9,dist_assets,23,FALSE),3)="WAS"), VLOOKUP("RHEL+WAS",'BOM FUNCTIONS'!$CX$6:$CZ$13,2,FALSE),
               IF(AND($D9="AIX",LEFT(VLOOKUP($A9,dist_assets,24,FALSE),3)="DB2"), VLOOKUP("AIX+DB2",'BOM FUNCTIONS'!$CX$6:$CZ$13,2,FALSE),
                  IF(AND($D9="Linux",LEFT(VLOOKUP($A9,dist_assets,24,FALSE),3)="DB2"), VLOOKUP("RHEL+DB2",'BOM FUNCTIONS'!$CX$6:$CZ$13,2,FALSE),
                   IF($D9="AIX",VLOOKUP("AIX",'BOM FUNCTIONS'!$CX$6:$CZ$13,2,FALSE),
                  IF(AND($D9="Linux", LEFT(VLOOKUP($A9,dist_assets,22,FALSE),4)="RHEL"),VLOOKUP("RHEL",'BOM FUNCTIONS'!$CX$6:$CZ$13,2,FALSE),
                 IF(AND($D9="Linux", LEFT(VLOOKUP($A9,dist_assets,22,FALSE),4)="SLES"),VLOOKUP("SLES",'BOM FUNCTIONS'!$CX$6:$CZ$13,2,FALSE)))))))),"")</f>
        <v/>
      </c>
      <c r="I9" s="2073" t="str">
        <f>IF($A9&lt;&gt;"",
     IF(VLOOKUP($A9,'Distributed Assets'!$B$28:$V$102,3, FALSE) ="New",
      IF($D9="AIX",VLOOKUP("AIX",'BOM FUNCTIONS'!$CX$6:$CZ$11,3,FALSE),
         IF(AND(OR($D9="AIX",$D9="Linux"),LEFT(VLOOKUP($A9,'Distributed Assets'!$B$28:$Y$102,22,FALSE),3)="DB2"), VLOOKUP("AIX+DB2",'BOM FUNCTIONS'!$CX$6:$CZ$11,3,FALSE),
             IF(AND($D9="Linux", LEFT(VLOOKUP($A9,dist_assets,22,FALSE),4)="RHEL"),VLOOKUP("RHEL",'BOM FUNCTIONS'!$CX$6:$CZ$11,3,FALSE),
                 IF(AND($D9="Linux", LEFT(VLOOKUP($A9,dist_assets,22,FALSE),4)="SLES"),VLOOKUP("SLES",'BOM FUNCTIONS'!$CX$6:$CZ$9,3,FALSE)))))),"")</f>
        <v/>
      </c>
      <c r="J9" s="3404" t="str">
        <f>IF($A9&lt;&gt;"",
       IF(VLOOKUP($A9,'Distributed Assets'!$B$28:$V$102,3, FALSE) ="New",
          IF(LEFT(VLOOKUP($A9,'Distributed Assets'!$B$28:$AR$102,23,FALSE),3)="WAS",
             VLOOKUP(VLOOKUP($A9,'Distributed Assets'!$B$28:$BA$102,23,FALSE),'BOM FUNCTIONS'!$BV$6:$BW$23,2,FALSE),
           IF(LEFT(VLOOKUP($A9,'Distributed Assets'!$B$28:$AR$102,23,FALSE),5)="TomEE",
              VLOOKUP("was  TomEE 1.7.3 Web Profile",'BOM FUNCTIONS'!$BV$6:$BW$12,2,FALSE),
             IF(LEFT(VLOOKUP($A9,'Distributed Assets'!B33:AK107,24,FALSE),3)="Ora", Oracle_Standalone_fs(VLOOKUP($A9,dist_assets,44,FALSE)),
             IF(LEFT(VLOOKUP($A9,'Distributed Assets'!B33:AK107,24,FALSE),3)="DB2",DB2_FS(VLOOKUP($A9,dist_assets,44,FALSE)),"")))),""),"")</f>
        <v/>
      </c>
      <c r="K9" s="3073" t="str">
        <f>IF($A9&lt;&gt;"",
  IF(VLOOKUP($A9,dist_assets,3,FALSE)="New",
       IF($I9&lt;&gt;"",
          IF(LEFT(VLOOKUP($A9,dist_assets,23,FALSE),5)="TomEE"," 10",
            IF(LEFT(VLOOKUP($A9,dist_assets,23,FALSE),3)="WAS",VLOOKUP(VLOOKUP($A9,'Distributed Assets'!$B$28:$BA$102,23,FALSE),'BOM FUNCTIONS'!$BV$6:$BX$23,3,FALSE),
               IF(LEFT(VLOOKUP($A9,dist_assets,24,FALSE),3)="Ora","Unknown",
                     IF($D9&lt;&gt;"AIX", VLOOKUP($A9,dist_assets,35,FALSE)-100, "Enter LUN FS Values")))
                       ),""),""),"")</f>
        <v/>
      </c>
      <c r="L9" s="2186" t="str">
        <f>IF($A9&lt;&gt;"",
        IF(MATCH(A9,'NAS Details'!$A$8:$A$50,0)&lt;&gt;"",  CONCATENATE("Mount ", VLOOKUP($A9,'NAS Details'!$A$8:$W$50,21,FALSE)," from ", VLOOKUP($A9,'NAS Details'!$A$8:$W$50,20,FALSE), " as ", VLOOKUP($A9,'NAS Details'!$A$8:$W$50,22,FALSE))),"")</f>
        <v/>
      </c>
      <c r="M9" s="1758"/>
      <c r="N9" s="2071" t="str">
        <f t="shared" si="3"/>
        <v/>
      </c>
      <c r="O9" s="2071" t="str">
        <f t="shared" si="4"/>
        <v/>
      </c>
      <c r="P9" s="2071" t="str">
        <f>IF($B9&lt;&gt;"",
        IF(AND($E9="Prod 2.0",
                         dr_Level&lt;5,
                         $D9="AIX",
                          VLOOKUP($A9,dist_assets,26,FALSE)="Yes"),VLOOKUP($Q9,'BOM FUNCTIONS'!$CF$12:$CG$19,2,FALSE),
          "N/A"),
"")</f>
        <v/>
      </c>
      <c r="Q9" s="2071" t="str">
        <f>IF($A9&lt;&gt;"",
       IF(AND($E9="Prod 2.0",
                        dr_Level&lt;5,
                       $D9="AIX",
                        VLOOKUP($A9,dist_assets,26,FALSE)="Yes"),
              VLOOKUP($G9,'BOM FUNCTIONS'!$CA$12:$CG$19,6,FALSE),
         "N/A"),"")</f>
        <v/>
      </c>
      <c r="R9" s="3331" t="str">
        <f t="shared" si="8"/>
        <v/>
      </c>
      <c r="S9" s="2784" t="str">
        <f t="shared" si="9"/>
        <v/>
      </c>
      <c r="T9" s="2046" t="str">
        <f t="shared" si="5"/>
        <v/>
      </c>
      <c r="U9" s="2072" t="str">
        <f t="shared" si="6"/>
        <v/>
      </c>
      <c r="V9" s="2073" t="str">
        <f>IF($A9&lt;&gt;"",
    IF(VLOOKUP($A9,dist_assets,24,FALSE)&lt;&gt;"",
       IF(LEFT(VLOOKUP($A9,dist_assets,24,FALSE),3)="Ora",
            IF(VLOOKUP($A9,dist_assets,16,FALSE)="NO","Stand-alone",
                IF(LEFT(VLOOKUP($A9,dist,16,FALSE),6)="Active",
                     IF(VLOOKUP($A9,dist_assets,17,FALSE)=INDEX($A$4:$A$42,MATCH($A9,$A$4:$A$41,0)+1,1),"Cluster 1",
                          IF(VLOOKUP($A9,dist_assets,17,FALSE)=INDEX($A$4:$A$42,MATCH($A9,$A$4:$A$41,0)-1,1),"Cluster 2","Oracle RAC"))))),""),
   "")</f>
        <v/>
      </c>
      <c r="W9" s="2400" t="str">
        <f t="shared" si="7"/>
        <v/>
      </c>
      <c r="X9" s="2079" t="str">
        <f t="shared" si="10"/>
        <v/>
      </c>
    </row>
    <row r="10" spans="1:27">
      <c r="A10" s="312"/>
      <c r="B10" s="2046" t="str">
        <f t="shared" si="0"/>
        <v/>
      </c>
      <c r="C10" s="1662"/>
      <c r="D10" s="2046" t="str">
        <f t="shared" si="1"/>
        <v/>
      </c>
      <c r="E10" s="2046" t="str">
        <f>IF(A10&lt;&gt;"",VLOOKUP(VLOOKUP(A10,'Distributed Assets'!$B$28:$V$102,2,FALSE),'Distributed Assets'!$C$7:$F$22,4,FALSE),"")</f>
        <v/>
      </c>
      <c r="F10" s="30" t="str">
        <f t="shared" si="2"/>
        <v/>
      </c>
      <c r="G10" s="30"/>
      <c r="H10" s="748" t="str">
        <f>IF($A10&lt;&gt;"",
     IF(VLOOKUP($A10,dist_assets,3, FALSE) ="New",
        IF(AND($D10="Linux",LEFT(VLOOKUP($A10,dist_assets,23,FALSE),3)="WAS"), VLOOKUP("RHEL+WAS",'BOM FUNCTIONS'!$CX$6:$CZ$13,2,FALSE),
               IF(AND($D10="AIX",LEFT(VLOOKUP($A10,dist_assets,24,FALSE),3)="DB2"), VLOOKUP("AIX+DB2",'BOM FUNCTIONS'!$CX$6:$CZ$13,2,FALSE),
                  IF(AND($D10="Linux",LEFT(VLOOKUP($A10,dist_assets,24,FALSE),3)="DB2"), VLOOKUP("RHEL+DB2",'BOM FUNCTIONS'!$CX$6:$CZ$13,2,FALSE),
                   IF($D10="AIX",VLOOKUP("AIX",'BOM FUNCTIONS'!$CX$6:$CZ$13,2,FALSE),
                  IF(AND($D10="Linux", LEFT(VLOOKUP($A10,dist_assets,22,FALSE),4)="RHEL"),VLOOKUP("RHEL",'BOM FUNCTIONS'!$CX$6:$CZ$13,2,FALSE),
                 IF(AND($D10="Linux", LEFT(VLOOKUP($A10,dist_assets,22,FALSE),4)="SLES"),VLOOKUP("SLES",'BOM FUNCTIONS'!$CX$6:$CZ$13,2,FALSE)))))))),"")</f>
        <v/>
      </c>
      <c r="I10" s="2073" t="str">
        <f>IF($A10&lt;&gt;"",
     IF(VLOOKUP($A10,'Distributed Assets'!$B$28:$V$102,3, FALSE) ="New",
      IF($D10="AIX",VLOOKUP("AIX",'BOM FUNCTIONS'!$CX$6:$CZ$11,3,FALSE),
         IF(AND(OR($D10="AIX",$D10="Linux"),LEFT(VLOOKUP($A10,'Distributed Assets'!$B$28:$Y$102,22,FALSE),3)="DB2"), VLOOKUP("AIX+DB2",'BOM FUNCTIONS'!$CX$6:$CZ$11,3,FALSE),
             IF(AND($D10="Linux", LEFT(VLOOKUP($A10,dist_assets,22,FALSE),4)="RHEL"),VLOOKUP("RHEL",'BOM FUNCTIONS'!$CX$6:$CZ$11,3,FALSE),
                 IF(AND($D10="Linux", LEFT(VLOOKUP($A10,dist_assets,22,FALSE),4)="SLES"),VLOOKUP("SLES",'BOM FUNCTIONS'!$CX$6:$CZ$9,3,FALSE)))))),"")</f>
        <v/>
      </c>
      <c r="J10" s="3404" t="str">
        <f>IF($A10&lt;&gt;"",
       IF(VLOOKUP($A10,'Distributed Assets'!$B$28:$V$102,3, FALSE) ="New",
          IF(LEFT(VLOOKUP($A10,'Distributed Assets'!$B$28:$AR$102,23,FALSE),3)="WAS",
             VLOOKUP(VLOOKUP($A10,'Distributed Assets'!$B$28:$BA$102,23,FALSE),'BOM FUNCTIONS'!$BV$6:$BW$23,2,FALSE),
           IF(LEFT(VLOOKUP($A10,'Distributed Assets'!$B$28:$AR$102,23,FALSE),5)="TomEE",
              VLOOKUP("was  TomEE 1.7.3 Web Profile",'BOM FUNCTIONS'!$BV$6:$BW$12,2,FALSE),
             IF(LEFT(VLOOKUP($A10,'Distributed Assets'!B34:AK108,24,FALSE),3)="Ora", Oracle_Standalone_fs(VLOOKUP($A10,dist_assets,44,FALSE)),
             IF(LEFT(VLOOKUP($A10,'Distributed Assets'!B34:AK108,24,FALSE),3)="DB2",DB2_FS(VLOOKUP($A10,dist_assets,44,FALSE)),"")))),""),"")</f>
        <v/>
      </c>
      <c r="K10" s="3073" t="str">
        <f>IF($A10&lt;&gt;"",
  IF(VLOOKUP($A10,dist_assets,3,FALSE)="New",
       IF($I10&lt;&gt;"",
          IF(LEFT(VLOOKUP($A10,dist_assets,23,FALSE),5)="TomEE"," 10",
            IF(LEFT(VLOOKUP($A10,dist_assets,23,FALSE),3)="WAS",VLOOKUP(VLOOKUP($A10,'Distributed Assets'!$B$28:$BA$102,23,FALSE),'BOM FUNCTIONS'!$BV$6:$BX$23,3,FALSE),
               IF(LEFT(VLOOKUP($A10,dist_assets,24,FALSE),3)="Ora","Unknown",
                     IF($D10&lt;&gt;"AIX", VLOOKUP($A10,dist_assets,35,FALSE)-100, "Enter LUN FS Values")))
                       ),""),""),"")</f>
        <v/>
      </c>
      <c r="L10" s="2186" t="str">
        <f>IF($A10&lt;&gt;"",
        IF(MATCH(A10,'NAS Details'!$A$8:$A$50,0)&lt;&gt;"",  CONCATENATE("Mount ", VLOOKUP($A10,'NAS Details'!$A$8:$W$50,21,FALSE)," from ", VLOOKUP($A10,'NAS Details'!$A$8:$W$50,20,FALSE), " as ", VLOOKUP($A10,'NAS Details'!$A$8:$W$50,22,FALSE))),"")</f>
        <v/>
      </c>
      <c r="M10" s="1758"/>
      <c r="N10" s="2071" t="str">
        <f t="shared" si="3"/>
        <v/>
      </c>
      <c r="O10" s="2071" t="str">
        <f t="shared" si="4"/>
        <v/>
      </c>
      <c r="P10" s="2071" t="str">
        <f>IF($B10&lt;&gt;"",
        IF(AND($E10="Prod 2.0",
                         dr_Level&lt;5,
                         $D10="AIX",
                          VLOOKUP($A10,dist_assets,26,FALSE)="Yes"),VLOOKUP($Q10,'BOM FUNCTIONS'!$CF$12:$CG$19,2,FALSE),
          "N/A"),
"")</f>
        <v/>
      </c>
      <c r="Q10" s="2071" t="str">
        <f>IF($A10&lt;&gt;"",
       IF(AND($E10="Prod 2.0",
                        dr_Level&lt;5,
                       $D10="AIX",
                        VLOOKUP($A10,dist_assets,26,FALSE)="Yes"),
              VLOOKUP($G10,'BOM FUNCTIONS'!$CA$12:$CG$19,6,FALSE),
         "N/A"),"")</f>
        <v/>
      </c>
      <c r="R10" s="3331" t="str">
        <f t="shared" si="8"/>
        <v/>
      </c>
      <c r="S10" s="2784" t="str">
        <f t="shared" si="9"/>
        <v/>
      </c>
      <c r="T10" s="2046" t="str">
        <f t="shared" si="5"/>
        <v/>
      </c>
      <c r="U10" s="2072" t="str">
        <f t="shared" si="6"/>
        <v/>
      </c>
      <c r="V10" s="2073" t="str">
        <f>IF($A10&lt;&gt;"",
    IF(VLOOKUP($A10,dist_assets,24,FALSE)&lt;&gt;"",
       IF(LEFT(VLOOKUP($A10,dist_assets,24,FALSE),3)="Ora",
            IF(VLOOKUP($A10,dist_assets,16,FALSE)="NO","Stand-alone",
                IF(LEFT(VLOOKUP($A10,dist,16,FALSE),6)="Active",
                     IF(VLOOKUP($A10,dist_assets,17,FALSE)=INDEX($A$4:$A$42,MATCH($A10,$A$4:$A$41,0)+1,1),"Cluster 1",
                          IF(VLOOKUP($A10,dist_assets,17,FALSE)=INDEX($A$4:$A$42,MATCH($A10,$A$4:$A$41,0)-1,1),"Cluster 2","Oracle RAC"))))),""),
   "")</f>
        <v/>
      </c>
      <c r="W10" s="2400" t="str">
        <f t="shared" si="7"/>
        <v/>
      </c>
      <c r="X10" s="2079" t="str">
        <f t="shared" si="10"/>
        <v/>
      </c>
    </row>
    <row r="11" spans="1:27">
      <c r="A11" s="312"/>
      <c r="B11" s="2046" t="str">
        <f t="shared" si="0"/>
        <v/>
      </c>
      <c r="C11" s="1662"/>
      <c r="D11" s="2046" t="str">
        <f t="shared" si="1"/>
        <v/>
      </c>
      <c r="E11" s="2046" t="str">
        <f>IF(A11&lt;&gt;"",VLOOKUP(VLOOKUP(A11,'Distributed Assets'!$B$28:$V$102,2,FALSE),'Distributed Assets'!$C$7:$F$22,4,FALSE),"")</f>
        <v/>
      </c>
      <c r="F11" s="30" t="str">
        <f t="shared" si="2"/>
        <v/>
      </c>
      <c r="G11" s="30"/>
      <c r="H11" s="748" t="str">
        <f>IF($A11&lt;&gt;"",
     IF(VLOOKUP($A11,dist_assets,3, FALSE) ="New",
        IF(AND($D11="Linux",LEFT(VLOOKUP($A11,dist_assets,23,FALSE),3)="WAS"), VLOOKUP("RHEL+WAS",'BOM FUNCTIONS'!$CX$6:$CZ$13,2,FALSE),
               IF(AND($D11="AIX",LEFT(VLOOKUP($A11,dist_assets,24,FALSE),3)="DB2"), VLOOKUP("AIX+DB2",'BOM FUNCTIONS'!$CX$6:$CZ$13,2,FALSE),
                  IF(AND($D11="Linux",LEFT(VLOOKUP($A11,dist_assets,24,FALSE),3)="DB2"), VLOOKUP("RHEL+DB2",'BOM FUNCTIONS'!$CX$6:$CZ$13,2,FALSE),
                   IF($D11="AIX",VLOOKUP("AIX",'BOM FUNCTIONS'!$CX$6:$CZ$13,2,FALSE),
                  IF(AND($D11="Linux", LEFT(VLOOKUP($A11,dist_assets,22,FALSE),4)="RHEL"),VLOOKUP("RHEL",'BOM FUNCTIONS'!$CX$6:$CZ$13,2,FALSE),
                 IF(AND($D11="Linux", LEFT(VLOOKUP($A11,dist_assets,22,FALSE),4)="SLES"),VLOOKUP("SLES",'BOM FUNCTIONS'!$CX$6:$CZ$13,2,FALSE)))))))),"")</f>
        <v/>
      </c>
      <c r="I11" s="2073" t="str">
        <f>IF($A11&lt;&gt;"",
     IF(VLOOKUP($A11,'Distributed Assets'!$B$28:$V$102,3, FALSE) ="New",
      IF($D11="AIX",VLOOKUP("AIX",'BOM FUNCTIONS'!$CX$6:$CZ$11,3,FALSE),
         IF(AND(OR($D11="AIX",$D11="Linux"),LEFT(VLOOKUP($A11,'Distributed Assets'!$B$28:$Y$102,22,FALSE),3)="DB2"), VLOOKUP("AIX+DB2",'BOM FUNCTIONS'!$CX$6:$CZ$11,3,FALSE),
             IF(AND($D11="Linux", LEFT(VLOOKUP($A11,dist_assets,22,FALSE),4)="RHEL"),VLOOKUP("RHEL",'BOM FUNCTIONS'!$CX$6:$CZ$11,3,FALSE),
                 IF(AND($D11="Linux", LEFT(VLOOKUP($A11,dist_assets,22,FALSE),4)="SLES"),VLOOKUP("SLES",'BOM FUNCTIONS'!$CX$6:$CZ$9,3,FALSE)))))),"")</f>
        <v/>
      </c>
      <c r="J11" s="3404" t="str">
        <f>IF($A11&lt;&gt;"",
       IF(VLOOKUP($A11,'Distributed Assets'!$B$28:$V$102,3, FALSE) ="New",
          IF(LEFT(VLOOKUP($A11,'Distributed Assets'!$B$28:$AR$102,23,FALSE),3)="WAS",
             VLOOKUP(VLOOKUP($A11,'Distributed Assets'!$B$28:$BA$102,23,FALSE),'BOM FUNCTIONS'!$BV$6:$BW$23,2,FALSE),
           IF(LEFT(VLOOKUP($A11,'Distributed Assets'!$B$28:$AR$102,23,FALSE),5)="TomEE",
              VLOOKUP("was  TomEE 1.7.3 Web Profile",'BOM FUNCTIONS'!$BV$6:$BW$12,2,FALSE),
             IF(LEFT(VLOOKUP($A11,'Distributed Assets'!B35:AK109,24,FALSE),3)="Ora", Oracle_Standalone_fs(VLOOKUP($A11,dist_assets,44,FALSE)),
             IF(LEFT(VLOOKUP($A11,'Distributed Assets'!B35:AK109,24,FALSE),3)="DB2",DB2_FS(VLOOKUP($A11,dist_assets,44,FALSE)),"")))),""),"")</f>
        <v/>
      </c>
      <c r="K11" s="3073" t="str">
        <f>IF($A11&lt;&gt;"",
  IF(VLOOKUP($A11,dist_assets,3,FALSE)="New",
       IF($I11&lt;&gt;"",
          IF(LEFT(VLOOKUP($A11,dist_assets,23,FALSE),5)="TomEE"," 10",
            IF(LEFT(VLOOKUP($A11,dist_assets,23,FALSE),3)="WAS",VLOOKUP(VLOOKUP($A11,'Distributed Assets'!$B$28:$BA$102,23,FALSE),'BOM FUNCTIONS'!$BV$6:$BX$23,3,FALSE),
               IF(LEFT(VLOOKUP($A11,dist_assets,24,FALSE),3)="Ora","Unknown",
                     IF($D11&lt;&gt;"AIX", VLOOKUP($A11,dist_assets,35,FALSE)-100, "Enter LUN FS Values")))
                       ),""),""),"")</f>
        <v/>
      </c>
      <c r="L11" s="2186" t="str">
        <f>IF($A11&lt;&gt;"",
        IF(MATCH(A11,'NAS Details'!$A$8:$A$50,0)&lt;&gt;"",  CONCATENATE("Mount ", VLOOKUP($A11,'NAS Details'!$A$8:$W$50,21,FALSE)," from ", VLOOKUP($A11,'NAS Details'!$A$8:$W$50,20,FALSE), " as ", VLOOKUP($A11,'NAS Details'!$A$8:$W$50,22,FALSE))),"")</f>
        <v/>
      </c>
      <c r="M11" s="1758"/>
      <c r="N11" s="2071" t="str">
        <f t="shared" si="3"/>
        <v/>
      </c>
      <c r="O11" s="2071" t="str">
        <f t="shared" si="4"/>
        <v/>
      </c>
      <c r="P11" s="2071" t="str">
        <f>IF($B11&lt;&gt;"",
        IF(AND($E11="Prod 2.0",
                         dr_Level&lt;5,
                         $D11="AIX",
                          VLOOKUP($A11,dist_assets,26,FALSE)="Yes"),VLOOKUP($Q11,'BOM FUNCTIONS'!$CF$12:$CG$19,2,FALSE),
          "N/A"),
"")</f>
        <v/>
      </c>
      <c r="Q11" s="2071" t="str">
        <f>IF($A11&lt;&gt;"",
       IF(AND($E11="Prod 2.0",
                        dr_Level&lt;5,
                       $D11="AIX",
                        VLOOKUP($A11,dist_assets,26,FALSE)="Yes"),
              VLOOKUP($G11,'BOM FUNCTIONS'!$CA$12:$CG$19,6,FALSE),
         "N/A"),"")</f>
        <v/>
      </c>
      <c r="R11" s="3331" t="str">
        <f t="shared" si="8"/>
        <v/>
      </c>
      <c r="S11" s="2784" t="str">
        <f t="shared" si="9"/>
        <v/>
      </c>
      <c r="T11" s="2046" t="str">
        <f t="shared" si="5"/>
        <v/>
      </c>
      <c r="U11" s="2072" t="str">
        <f t="shared" si="6"/>
        <v/>
      </c>
      <c r="V11" s="2073" t="str">
        <f>IF($A11&lt;&gt;"",
    IF(VLOOKUP($A11,dist_assets,24,FALSE)&lt;&gt;"",
       IF(LEFT(VLOOKUP($A11,dist_assets,24,FALSE),3)="Ora",
            IF(VLOOKUP($A11,dist_assets,16,FALSE)="NO","Stand-alone",
                IF(LEFT(VLOOKUP($A11,dist,16,FALSE),6)="Active",
                     IF(VLOOKUP($A11,dist_assets,17,FALSE)=INDEX($A$4:$A$42,MATCH($A11,$A$4:$A$41,0)+1,1),"Cluster 1",
                          IF(VLOOKUP($A11,dist_assets,17,FALSE)=INDEX($A$4:$A$42,MATCH($A11,$A$4:$A$41,0)-1,1),"Cluster 2","Oracle RAC"))))),""),
   "")</f>
        <v/>
      </c>
      <c r="W11" s="2400" t="str">
        <f t="shared" si="7"/>
        <v/>
      </c>
      <c r="X11" s="2079" t="str">
        <f t="shared" si="10"/>
        <v/>
      </c>
    </row>
    <row r="12" spans="1:27">
      <c r="A12" s="312"/>
      <c r="B12" s="2046" t="str">
        <f t="shared" si="0"/>
        <v/>
      </c>
      <c r="C12" s="1662"/>
      <c r="D12" s="2046" t="str">
        <f t="shared" si="1"/>
        <v/>
      </c>
      <c r="E12" s="2046" t="str">
        <f>IF(A12&lt;&gt;"",VLOOKUP(VLOOKUP(A12,'Distributed Assets'!$B$28:$V$102,2,FALSE),'Distributed Assets'!$C$7:$F$22,4,FALSE),"")</f>
        <v/>
      </c>
      <c r="F12" s="30" t="str">
        <f t="shared" si="2"/>
        <v/>
      </c>
      <c r="G12" s="30"/>
      <c r="H12" s="748" t="str">
        <f>IF($A12&lt;&gt;"",
     IF(VLOOKUP($A12,dist_assets,3, FALSE) ="New",
        IF(AND($D12="Linux",LEFT(VLOOKUP($A12,dist_assets,23,FALSE),3)="WAS"), VLOOKUP("RHEL+WAS",'BOM FUNCTIONS'!$CX$6:$CZ$13,2,FALSE),
               IF(AND($D12="AIX",LEFT(VLOOKUP($A12,dist_assets,24,FALSE),3)="DB2"), VLOOKUP("AIX+DB2",'BOM FUNCTIONS'!$CX$6:$CZ$13,2,FALSE),
                  IF(AND($D12="Linux",LEFT(VLOOKUP($A12,dist_assets,24,FALSE),3)="DB2"), VLOOKUP("RHEL+DB2",'BOM FUNCTIONS'!$CX$6:$CZ$13,2,FALSE),
                   IF($D12="AIX",VLOOKUP("AIX",'BOM FUNCTIONS'!$CX$6:$CZ$13,2,FALSE),
                  IF(AND($D12="Linux", LEFT(VLOOKUP($A12,dist_assets,22,FALSE),4)="RHEL"),VLOOKUP("RHEL",'BOM FUNCTIONS'!$CX$6:$CZ$13,2,FALSE),
                 IF(AND($D12="Linux", LEFT(VLOOKUP($A12,dist_assets,22,FALSE),4)="SLES"),VLOOKUP("SLES",'BOM FUNCTIONS'!$CX$6:$CZ$13,2,FALSE)))))))),"")</f>
        <v/>
      </c>
      <c r="I12" s="2073" t="str">
        <f>IF($A12&lt;&gt;"",
     IF(VLOOKUP($A12,'Distributed Assets'!$B$28:$V$102,3, FALSE) ="New",
      IF($D12="AIX",VLOOKUP("AIX",'BOM FUNCTIONS'!$CX$6:$CZ$11,3,FALSE),
         IF(AND(OR($D12="AIX",$D12="Linux"),LEFT(VLOOKUP($A12,'Distributed Assets'!$B$28:$Y$102,22,FALSE),3)="DB2"), VLOOKUP("AIX+DB2",'BOM FUNCTIONS'!$CX$6:$CZ$11,3,FALSE),
             IF(AND($D12="Linux", LEFT(VLOOKUP($A12,dist_assets,22,FALSE),4)="RHEL"),VLOOKUP("RHEL",'BOM FUNCTIONS'!$CX$6:$CZ$11,3,FALSE),
                 IF(AND($D12="Linux", LEFT(VLOOKUP($A12,dist_assets,22,FALSE),4)="SLES"),VLOOKUP("SLES",'BOM FUNCTIONS'!$CX$6:$CZ$9,3,FALSE)))))),"")</f>
        <v/>
      </c>
      <c r="J12" s="3404" t="str">
        <f>IF($A12&lt;&gt;"",
       IF(VLOOKUP($A12,'Distributed Assets'!$B$28:$V$102,3, FALSE) ="New",
          IF(LEFT(VLOOKUP($A12,'Distributed Assets'!$B$28:$AR$102,23,FALSE),3)="WAS",
             VLOOKUP(VLOOKUP($A12,'Distributed Assets'!$B$28:$BA$102,23,FALSE),'BOM FUNCTIONS'!$BV$6:$BW$23,2,FALSE),
           IF(LEFT(VLOOKUP($A12,'Distributed Assets'!$B$28:$AR$102,23,FALSE),5)="TomEE",
              VLOOKUP("was  TomEE 1.7.3 Web Profile",'BOM FUNCTIONS'!$BV$6:$BW$12,2,FALSE),
             IF(LEFT(VLOOKUP($A12,'Distributed Assets'!B36:AK110,24,FALSE),3)="Ora", Oracle_Standalone_fs(VLOOKUP($A12,dist_assets,44,FALSE)),
             IF(LEFT(VLOOKUP($A12,'Distributed Assets'!B36:AK110,24,FALSE),3)="DB2",DB2_FS(VLOOKUP($A12,dist_assets,44,FALSE)),"")))),""),"")</f>
        <v/>
      </c>
      <c r="K12" s="3073" t="str">
        <f>IF($A12&lt;&gt;"",
  IF(VLOOKUP($A12,dist_assets,3,FALSE)="New",
       IF($I12&lt;&gt;"",
          IF(LEFT(VLOOKUP($A12,dist_assets,23,FALSE),5)="TomEE"," 10",
            IF(LEFT(VLOOKUP($A12,dist_assets,23,FALSE),3)="WAS",VLOOKUP(VLOOKUP($A12,'Distributed Assets'!$B$28:$BA$102,23,FALSE),'BOM FUNCTIONS'!$BV$6:$BX$23,3,FALSE),
               IF(LEFT(VLOOKUP($A12,dist_assets,24,FALSE),3)="Ora","Unknown",
                     IF($D12&lt;&gt;"AIX", VLOOKUP($A12,dist_assets,35,FALSE)-100, "Enter LUN FS Values")))
                       ),""),""),"")</f>
        <v/>
      </c>
      <c r="L12" s="2186" t="str">
        <f>IF($A12&lt;&gt;"",
        IF(MATCH(A12,'NAS Details'!$A$8:$A$50,0)&lt;&gt;"",  CONCATENATE("Mount ", VLOOKUP($A12,'NAS Details'!$A$8:$W$50,21,FALSE)," from ", VLOOKUP($A12,'NAS Details'!$A$8:$W$50,20,FALSE), " as ", VLOOKUP($A12,'NAS Details'!$A$8:$W$50,22,FALSE))),"")</f>
        <v/>
      </c>
      <c r="M12" s="1758"/>
      <c r="N12" s="2071" t="str">
        <f t="shared" si="3"/>
        <v/>
      </c>
      <c r="O12" s="2071" t="str">
        <f t="shared" si="4"/>
        <v/>
      </c>
      <c r="P12" s="2071" t="str">
        <f>IF($B12&lt;&gt;"",
        IF(AND($E12="Prod 2.0",
                         dr_Level&lt;5,
                         $D12="AIX",
                          VLOOKUP($A12,dist_assets,26,FALSE)="Yes"),VLOOKUP($Q12,'BOM FUNCTIONS'!$CF$12:$CG$19,2,FALSE),
          "N/A"),
"")</f>
        <v/>
      </c>
      <c r="Q12" s="2071" t="str">
        <f>IF($A12&lt;&gt;"",
       IF(AND($E12="Prod 2.0",
                        dr_Level&lt;5,
                       $D12="AIX",
                        VLOOKUP($A12,dist_assets,26,FALSE)="Yes"),
              VLOOKUP($G12,'BOM FUNCTIONS'!$CA$12:$CG$19,6,FALSE),
         "N/A"),"")</f>
        <v/>
      </c>
      <c r="R12" s="3331" t="str">
        <f t="shared" si="8"/>
        <v/>
      </c>
      <c r="S12" s="2784" t="str">
        <f t="shared" si="9"/>
        <v/>
      </c>
      <c r="T12" s="2046" t="str">
        <f t="shared" si="5"/>
        <v/>
      </c>
      <c r="U12" s="2072" t="str">
        <f t="shared" si="6"/>
        <v/>
      </c>
      <c r="V12" s="2073" t="str">
        <f>IF($A12&lt;&gt;"",
    IF(VLOOKUP($A12,dist_assets,24,FALSE)&lt;&gt;"",
       IF(LEFT(VLOOKUP($A12,dist_assets,24,FALSE),3)="Ora",
            IF(VLOOKUP($A12,dist_assets,16,FALSE)="NO","Stand-alone",
                IF(LEFT(VLOOKUP($A12,dist,16,FALSE),6)="Active",
                     IF(VLOOKUP($A12,dist_assets,17,FALSE)=INDEX($A$4:$A$42,MATCH($A12,$A$4:$A$41,0)+1,1),"Cluster 1",
                          IF(VLOOKUP($A12,dist_assets,17,FALSE)=INDEX($A$4:$A$42,MATCH($A12,$A$4:$A$41,0)-1,1),"Cluster 2","Oracle RAC"))))),""),
   "")</f>
        <v/>
      </c>
      <c r="W12" s="2400" t="str">
        <f t="shared" si="7"/>
        <v/>
      </c>
      <c r="X12" s="2079" t="str">
        <f t="shared" si="10"/>
        <v/>
      </c>
    </row>
    <row r="13" spans="1:27">
      <c r="A13" s="312"/>
      <c r="B13" s="2046" t="str">
        <f t="shared" si="0"/>
        <v/>
      </c>
      <c r="C13" s="1662"/>
      <c r="D13" s="2046" t="str">
        <f t="shared" si="1"/>
        <v/>
      </c>
      <c r="E13" s="2046" t="str">
        <f>IF(A13&lt;&gt;"",VLOOKUP(VLOOKUP(A13,'Distributed Assets'!$B$28:$V$102,2,FALSE),'Distributed Assets'!$C$7:$F$22,4,FALSE),"")</f>
        <v/>
      </c>
      <c r="F13" s="30" t="str">
        <f t="shared" si="2"/>
        <v/>
      </c>
      <c r="G13" s="30"/>
      <c r="H13" s="748" t="str">
        <f>IF($A13&lt;&gt;"",
     IF(VLOOKUP($A13,dist_assets,3, FALSE) ="New",
        IF(AND($D13="Linux",LEFT(VLOOKUP($A13,dist_assets,23,FALSE),3)="WAS"), VLOOKUP("RHEL+WAS",'BOM FUNCTIONS'!$CX$6:$CZ$13,2,FALSE),
               IF(AND($D13="AIX",LEFT(VLOOKUP($A13,dist_assets,24,FALSE),3)="DB2"), VLOOKUP("AIX+DB2",'BOM FUNCTIONS'!$CX$6:$CZ$13,2,FALSE),
                  IF(AND($D13="Linux",LEFT(VLOOKUP($A13,dist_assets,24,FALSE),3)="DB2"), VLOOKUP("RHEL+DB2",'BOM FUNCTIONS'!$CX$6:$CZ$13,2,FALSE),
                   IF($D13="AIX",VLOOKUP("AIX",'BOM FUNCTIONS'!$CX$6:$CZ$13,2,FALSE),
                  IF(AND($D13="Linux", LEFT(VLOOKUP($A13,dist_assets,22,FALSE),4)="RHEL"),VLOOKUP("RHEL",'BOM FUNCTIONS'!$CX$6:$CZ$13,2,FALSE),
                 IF(AND($D13="Linux", LEFT(VLOOKUP($A13,dist_assets,22,FALSE),4)="SLES"),VLOOKUP("SLES",'BOM FUNCTIONS'!$CX$6:$CZ$13,2,FALSE)))))))),"")</f>
        <v/>
      </c>
      <c r="I13" s="2073" t="str">
        <f>IF($A13&lt;&gt;"",
     IF(VLOOKUP($A13,'Distributed Assets'!$B$28:$V$102,3, FALSE) ="New",
      IF($D13="AIX",VLOOKUP("AIX",'BOM FUNCTIONS'!$CX$6:$CZ$11,3,FALSE),
         IF(AND(OR($D13="AIX",$D13="Linux"),LEFT(VLOOKUP($A13,'Distributed Assets'!$B$28:$Y$102,22,FALSE),3)="DB2"), VLOOKUP("AIX+DB2",'BOM FUNCTIONS'!$CX$6:$CZ$11,3,FALSE),
             IF(AND($D13="Linux", LEFT(VLOOKUP($A13,dist_assets,22,FALSE),4)="RHEL"),VLOOKUP("RHEL",'BOM FUNCTIONS'!$CX$6:$CZ$11,3,FALSE),
                 IF(AND($D13="Linux", LEFT(VLOOKUP($A13,dist_assets,22,FALSE),4)="SLES"),VLOOKUP("SLES",'BOM FUNCTIONS'!$CX$6:$CZ$9,3,FALSE)))))),"")</f>
        <v/>
      </c>
      <c r="J13" s="3404" t="str">
        <f>IF($A13&lt;&gt;"",
       IF(VLOOKUP($A13,'Distributed Assets'!$B$28:$V$102,3, FALSE) ="New",
          IF(LEFT(VLOOKUP($A13,'Distributed Assets'!$B$28:$AR$102,23,FALSE),3)="WAS",
             VLOOKUP(VLOOKUP($A13,'Distributed Assets'!$B$28:$BA$102,23,FALSE),'BOM FUNCTIONS'!$BV$6:$BW$23,2,FALSE),
           IF(LEFT(VLOOKUP($A13,'Distributed Assets'!$B$28:$AR$102,23,FALSE),5)="TomEE",
              VLOOKUP("was  TomEE 1.7.3 Web Profile",'BOM FUNCTIONS'!$BV$6:$BW$12,2,FALSE),
             IF(LEFT(VLOOKUP($A13,'Distributed Assets'!B37:AK111,24,FALSE),3)="Ora", Oracle_Standalone_fs(VLOOKUP($A13,dist_assets,44,FALSE)),
             IF(LEFT(VLOOKUP($A13,'Distributed Assets'!B37:AK111,24,FALSE),3)="DB2",DB2_FS(VLOOKUP($A13,dist_assets,44,FALSE)),"")))),""),"")</f>
        <v/>
      </c>
      <c r="K13" s="3073" t="str">
        <f>IF($A13&lt;&gt;"",
  IF(VLOOKUP($A13,dist_assets,3,FALSE)="New",
       IF($I13&lt;&gt;"",
          IF(LEFT(VLOOKUP($A13,dist_assets,23,FALSE),5)="TomEE"," 10",
            IF(LEFT(VLOOKUP($A13,dist_assets,23,FALSE),3)="WAS",VLOOKUP(VLOOKUP($A13,'Distributed Assets'!$B$28:$BA$102,23,FALSE),'BOM FUNCTIONS'!$BV$6:$BX$23,3,FALSE),
               IF(LEFT(VLOOKUP($A13,dist_assets,24,FALSE),3)="Ora","Unknown",
                     IF($D13&lt;&gt;"AIX", VLOOKUP($A13,dist_assets,35,FALSE)-100, "Enter LUN FS Values")))
                       ),""),""),"")</f>
        <v/>
      </c>
      <c r="L13" s="2186" t="str">
        <f>IF($A13&lt;&gt;"",
        IF(MATCH(A13,'NAS Details'!$A$8:$A$50,0)&lt;&gt;"",  CONCATENATE("Mount ", VLOOKUP($A13,'NAS Details'!$A$8:$W$50,21,FALSE)," from ", VLOOKUP($A13,'NAS Details'!$A$8:$W$50,20,FALSE), " as ", VLOOKUP($A13,'NAS Details'!$A$8:$W$50,22,FALSE))),"")</f>
        <v/>
      </c>
      <c r="M13" s="1758"/>
      <c r="N13" s="2071" t="str">
        <f t="shared" si="3"/>
        <v/>
      </c>
      <c r="O13" s="2071" t="str">
        <f t="shared" si="4"/>
        <v/>
      </c>
      <c r="P13" s="2071" t="str">
        <f>IF($B13&lt;&gt;"",
        IF(AND($E13="Prod 2.0",
                         dr_Level&lt;5,
                         $D13="AIX",
                          VLOOKUP($A13,dist_assets,26,FALSE)="Yes"),VLOOKUP($Q13,'BOM FUNCTIONS'!$CF$12:$CG$19,2,FALSE),
          "N/A"),
"")</f>
        <v/>
      </c>
      <c r="Q13" s="2071" t="str">
        <f>IF($A13&lt;&gt;"",
       IF(AND($E13="Prod 2.0",
                        dr_Level&lt;5,
                       $D13="AIX",
                        VLOOKUP($A13,dist_assets,26,FALSE)="Yes"),
              VLOOKUP($G13,'BOM FUNCTIONS'!$CA$12:$CG$19,6,FALSE),
         "N/A"),"")</f>
        <v/>
      </c>
      <c r="R13" s="3331" t="str">
        <f t="shared" si="8"/>
        <v/>
      </c>
      <c r="S13" s="2784" t="str">
        <f t="shared" si="9"/>
        <v/>
      </c>
      <c r="T13" s="2046" t="str">
        <f t="shared" si="5"/>
        <v/>
      </c>
      <c r="U13" s="2072" t="str">
        <f t="shared" si="6"/>
        <v/>
      </c>
      <c r="V13" s="2073" t="str">
        <f>IF($A13&lt;&gt;"",
    IF(VLOOKUP($A13,dist_assets,24,FALSE)&lt;&gt;"",
       IF(LEFT(VLOOKUP($A13,dist_assets,24,FALSE),3)="Ora",
            IF(VLOOKUP($A13,dist_assets,16,FALSE)="NO","Stand-alone",
                IF(LEFT(VLOOKUP($A13,dist,16,FALSE),6)="Active",
                     IF(VLOOKUP($A13,dist_assets,17,FALSE)=INDEX($A$4:$A$42,MATCH($A13,$A$4:$A$41,0)+1,1),"Cluster 1",
                          IF(VLOOKUP($A13,dist_assets,17,FALSE)=INDEX($A$4:$A$42,MATCH($A13,$A$4:$A$41,0)-1,1),"Cluster 2","Oracle RAC"))))),""),
   "")</f>
        <v/>
      </c>
      <c r="W13" s="2400" t="str">
        <f t="shared" si="7"/>
        <v/>
      </c>
      <c r="X13" s="2079" t="str">
        <f t="shared" si="10"/>
        <v/>
      </c>
    </row>
    <row r="14" spans="1:27">
      <c r="A14" s="312"/>
      <c r="B14" s="2046" t="str">
        <f t="shared" si="0"/>
        <v/>
      </c>
      <c r="C14" s="1662"/>
      <c r="D14" s="2046" t="str">
        <f t="shared" si="1"/>
        <v/>
      </c>
      <c r="E14" s="2046" t="str">
        <f>IF(A14&lt;&gt;"",VLOOKUP(VLOOKUP(A14,'Distributed Assets'!$B$28:$V$102,2,FALSE),'Distributed Assets'!$C$7:$F$22,4,FALSE),"")</f>
        <v/>
      </c>
      <c r="F14" s="30" t="str">
        <f t="shared" si="2"/>
        <v/>
      </c>
      <c r="G14" s="30"/>
      <c r="H14" s="748" t="str">
        <f>IF($A14&lt;&gt;"",
     IF(VLOOKUP($A14,dist_assets,3, FALSE) ="New",
        IF(AND($D14="Linux",LEFT(VLOOKUP($A14,dist_assets,23,FALSE),3)="WAS"), VLOOKUP("RHEL+WAS",'BOM FUNCTIONS'!$CX$6:$CZ$13,2,FALSE),
               IF(AND($D14="AIX",LEFT(VLOOKUP($A14,dist_assets,24,FALSE),3)="DB2"), VLOOKUP("AIX+DB2",'BOM FUNCTIONS'!$CX$6:$CZ$13,2,FALSE),
                  IF(AND($D14="Linux",LEFT(VLOOKUP($A14,dist_assets,24,FALSE),3)="DB2"), VLOOKUP("RHEL+DB2",'BOM FUNCTIONS'!$CX$6:$CZ$13,2,FALSE),
                   IF($D14="AIX",VLOOKUP("AIX",'BOM FUNCTIONS'!$CX$6:$CZ$13,2,FALSE),
                  IF(AND($D14="Linux", LEFT(VLOOKUP($A14,dist_assets,22,FALSE),4)="RHEL"),VLOOKUP("RHEL",'BOM FUNCTIONS'!$CX$6:$CZ$13,2,FALSE),
                 IF(AND($D14="Linux", LEFT(VLOOKUP($A14,dist_assets,22,FALSE),4)="SLES"),VLOOKUP("SLES",'BOM FUNCTIONS'!$CX$6:$CZ$13,2,FALSE)))))))),"")</f>
        <v/>
      </c>
      <c r="I14" s="2073" t="str">
        <f>IF($A14&lt;&gt;"",
     IF(VLOOKUP($A14,'Distributed Assets'!$B$28:$V$102,3, FALSE) ="New",
      IF($D14="AIX",VLOOKUP("AIX",'BOM FUNCTIONS'!$CX$6:$CZ$11,3,FALSE),
         IF(AND(OR($D14="AIX",$D14="Linux"),LEFT(VLOOKUP($A14,'Distributed Assets'!$B$28:$Y$102,22,FALSE),3)="DB2"), VLOOKUP("AIX+DB2",'BOM FUNCTIONS'!$CX$6:$CZ$11,3,FALSE),
             IF(AND($D14="Linux", LEFT(VLOOKUP($A14,dist_assets,22,FALSE),4)="RHEL"),VLOOKUP("RHEL",'BOM FUNCTIONS'!$CX$6:$CZ$11,3,FALSE),
                 IF(AND($D14="Linux", LEFT(VLOOKUP($A14,dist_assets,22,FALSE),4)="SLES"),VLOOKUP("SLES",'BOM FUNCTIONS'!$CX$6:$CZ$9,3,FALSE)))))),"")</f>
        <v/>
      </c>
      <c r="J14" s="3404" t="str">
        <f>IF($A14&lt;&gt;"",
       IF(VLOOKUP($A14,'Distributed Assets'!$B$28:$V$102,3, FALSE) ="New",
          IF(LEFT(VLOOKUP($A14,'Distributed Assets'!$B$28:$AR$102,23,FALSE),3)="WAS",
             VLOOKUP(VLOOKUP($A14,'Distributed Assets'!$B$28:$BA$102,23,FALSE),'BOM FUNCTIONS'!$BV$6:$BW$23,2,FALSE),
           IF(LEFT(VLOOKUP($A14,'Distributed Assets'!$B$28:$AR$102,23,FALSE),5)="TomEE",
              VLOOKUP("was  TomEE 1.7.3 Web Profile",'BOM FUNCTIONS'!$BV$6:$BW$12,2,FALSE),
             IF(LEFT(VLOOKUP($A14,'Distributed Assets'!B38:AK112,24,FALSE),3)="Ora", Oracle_Standalone_fs(VLOOKUP($A14,dist_assets,44,FALSE)),
             IF(LEFT(VLOOKUP($A14,'Distributed Assets'!B38:AK112,24,FALSE),3)="DB2",DB2_FS(VLOOKUP($A14,dist_assets,44,FALSE)),"")))),""),"")</f>
        <v/>
      </c>
      <c r="K14" s="3073" t="str">
        <f>IF($A14&lt;&gt;"",
  IF(VLOOKUP($A14,dist_assets,3,FALSE)="New",
       IF($I14&lt;&gt;"",
          IF(LEFT(VLOOKUP($A14,dist_assets,23,FALSE),5)="TomEE"," 10",
            IF(LEFT(VLOOKUP($A14,dist_assets,23,FALSE),3)="WAS",VLOOKUP(VLOOKUP($A14,'Distributed Assets'!$B$28:$BA$102,23,FALSE),'BOM FUNCTIONS'!$BV$6:$BX$23,3,FALSE),
               IF(LEFT(VLOOKUP($A14,dist_assets,24,FALSE),3)="Ora","Unknown",
                     IF($D14&lt;&gt;"AIX", VLOOKUP($A14,dist_assets,35,FALSE)-100, "Enter LUN FS Values")))
                       ),""),""),"")</f>
        <v/>
      </c>
      <c r="L14" s="2186" t="str">
        <f>IF($A14&lt;&gt;"",
        IF(MATCH(A14,'NAS Details'!$A$8:$A$50,0)&lt;&gt;"",  CONCATENATE("Mount ", VLOOKUP($A14,'NAS Details'!$A$8:$W$50,21,FALSE)," from ", VLOOKUP($A14,'NAS Details'!$A$8:$W$50,20,FALSE), " as ", VLOOKUP($A14,'NAS Details'!$A$8:$W$50,22,FALSE))),"")</f>
        <v/>
      </c>
      <c r="M14" s="1758"/>
      <c r="N14" s="2071" t="str">
        <f t="shared" si="3"/>
        <v/>
      </c>
      <c r="O14" s="2071" t="str">
        <f t="shared" si="4"/>
        <v/>
      </c>
      <c r="P14" s="2071" t="str">
        <f>IF($B14&lt;&gt;"",
        IF(AND($E14="Prod 2.0",
                         dr_Level&lt;5,
                         $D14="AIX",
                          VLOOKUP($A14,dist_assets,26,FALSE)="Yes"),VLOOKUP($Q14,'BOM FUNCTIONS'!$CF$12:$CG$19,2,FALSE),
          "N/A"),
"")</f>
        <v/>
      </c>
      <c r="Q14" s="2071" t="str">
        <f>IF($A14&lt;&gt;"",
       IF(AND($E14="Prod 2.0",
                        dr_Level&lt;5,
                       $D14="AIX",
                        VLOOKUP($A14,dist_assets,26,FALSE)="Yes"),
              VLOOKUP($G14,'BOM FUNCTIONS'!$CA$12:$CG$19,6,FALSE),
         "N/A"),"")</f>
        <v/>
      </c>
      <c r="R14" s="3331" t="str">
        <f t="shared" si="8"/>
        <v/>
      </c>
      <c r="S14" s="2784" t="str">
        <f t="shared" si="9"/>
        <v/>
      </c>
      <c r="T14" s="2046" t="str">
        <f t="shared" si="5"/>
        <v/>
      </c>
      <c r="U14" s="2072" t="str">
        <f t="shared" si="6"/>
        <v/>
      </c>
      <c r="V14" s="2073" t="str">
        <f>IF($A14&lt;&gt;"",
    IF(VLOOKUP($A14,dist_assets,24,FALSE)&lt;&gt;"",
       IF(LEFT(VLOOKUP($A14,dist_assets,24,FALSE),3)="Ora",
            IF(VLOOKUP($A14,dist_assets,16,FALSE)="NO","Stand-alone",
                IF(LEFT(VLOOKUP($A14,dist,16,FALSE),6)="Active",
                     IF(VLOOKUP($A14,dist_assets,17,FALSE)=INDEX($A$4:$A$42,MATCH($A14,$A$4:$A$41,0)+1,1),"Cluster 1",
                          IF(VLOOKUP($A14,dist_assets,17,FALSE)=INDEX($A$4:$A$42,MATCH($A14,$A$4:$A$41,0)-1,1),"Cluster 2","Oracle RAC"))))),""),
   "")</f>
        <v/>
      </c>
      <c r="W14" s="2400" t="str">
        <f t="shared" si="7"/>
        <v/>
      </c>
      <c r="X14" s="2079" t="str">
        <f t="shared" si="10"/>
        <v/>
      </c>
    </row>
    <row r="15" spans="1:27">
      <c r="A15" s="312"/>
      <c r="B15" s="2046" t="str">
        <f t="shared" si="0"/>
        <v/>
      </c>
      <c r="C15" s="1662"/>
      <c r="D15" s="2046" t="str">
        <f t="shared" si="1"/>
        <v/>
      </c>
      <c r="E15" s="2046" t="str">
        <f>IF(A15&lt;&gt;"",VLOOKUP(VLOOKUP(A15,'Distributed Assets'!$B$28:$V$102,2,FALSE),'Distributed Assets'!$C$7:$F$22,4,FALSE),"")</f>
        <v/>
      </c>
      <c r="F15" s="30" t="str">
        <f t="shared" si="2"/>
        <v/>
      </c>
      <c r="G15" s="30"/>
      <c r="H15" s="748" t="str">
        <f>IF($A15&lt;&gt;"",
     IF(VLOOKUP($A15,dist_assets,3, FALSE) ="New",
        IF(AND($D15="Linux",LEFT(VLOOKUP($A15,dist_assets,23,FALSE),3)="WAS"), VLOOKUP("RHEL+WAS",'BOM FUNCTIONS'!$CX$6:$CZ$13,2,FALSE),
               IF(AND($D15="AIX",LEFT(VLOOKUP($A15,dist_assets,24,FALSE),3)="DB2"), VLOOKUP("AIX+DB2",'BOM FUNCTIONS'!$CX$6:$CZ$13,2,FALSE),
                  IF(AND($D15="Linux",LEFT(VLOOKUP($A15,dist_assets,24,FALSE),3)="DB2"), VLOOKUP("RHEL+DB2",'BOM FUNCTIONS'!$CX$6:$CZ$13,2,FALSE),
                   IF($D15="AIX",VLOOKUP("AIX",'BOM FUNCTIONS'!$CX$6:$CZ$13,2,FALSE),
                  IF(AND($D15="Linux", LEFT(VLOOKUP($A15,dist_assets,22,FALSE),4)="RHEL"),VLOOKUP("RHEL",'BOM FUNCTIONS'!$CX$6:$CZ$13,2,FALSE),
                 IF(AND($D15="Linux", LEFT(VLOOKUP($A15,dist_assets,22,FALSE),4)="SLES"),VLOOKUP("SLES",'BOM FUNCTIONS'!$CX$6:$CZ$13,2,FALSE)))))))),"")</f>
        <v/>
      </c>
      <c r="I15" s="2073" t="str">
        <f>IF($A15&lt;&gt;"",
     IF(VLOOKUP($A15,'Distributed Assets'!$B$28:$V$102,3, FALSE) ="New",
      IF($D15="AIX",VLOOKUP("AIX",'BOM FUNCTIONS'!$CX$6:$CZ$11,3,FALSE),
         IF(AND(OR($D15="AIX",$D15="Linux"),LEFT(VLOOKUP($A15,'Distributed Assets'!$B$28:$Y$102,22,FALSE),3)="DB2"), VLOOKUP("AIX+DB2",'BOM FUNCTIONS'!$CX$6:$CZ$11,3,FALSE),
             IF(AND($D15="Linux", LEFT(VLOOKUP($A15,dist_assets,22,FALSE),4)="RHEL"),VLOOKUP("RHEL",'BOM FUNCTIONS'!$CX$6:$CZ$11,3,FALSE),
                 IF(AND($D15="Linux", LEFT(VLOOKUP($A15,dist_assets,22,FALSE),4)="SLES"),VLOOKUP("SLES",'BOM FUNCTIONS'!$CX$6:$CZ$9,3,FALSE)))))),"")</f>
        <v/>
      </c>
      <c r="J15" s="3404" t="str">
        <f>IF($A15&lt;&gt;"",
       IF(VLOOKUP($A15,'Distributed Assets'!$B$28:$V$102,3, FALSE) ="New",
          IF(LEFT(VLOOKUP($A15,'Distributed Assets'!$B$28:$AR$102,23,FALSE),3)="WAS",
             VLOOKUP(VLOOKUP($A15,'Distributed Assets'!$B$28:$BA$102,23,FALSE),'BOM FUNCTIONS'!$BV$6:$BW$23,2,FALSE),
           IF(LEFT(VLOOKUP($A15,'Distributed Assets'!$B$28:$AR$102,23,FALSE),5)="TomEE",
              VLOOKUP("was  TomEE 1.7.3 Web Profile",'BOM FUNCTIONS'!$BV$6:$BW$12,2,FALSE),
             IF(LEFT(VLOOKUP($A15,'Distributed Assets'!B39:AK113,24,FALSE),3)="Ora", Oracle_Standalone_fs(VLOOKUP($A15,dist_assets,44,FALSE)),
             IF(LEFT(VLOOKUP($A15,'Distributed Assets'!B39:AK113,24,FALSE),3)="DB2",DB2_FS(VLOOKUP($A15,dist_assets,44,FALSE)),"")))),""),"")</f>
        <v/>
      </c>
      <c r="K15" s="3073" t="str">
        <f>IF($A15&lt;&gt;"",
  IF(VLOOKUP($A15,dist_assets,3,FALSE)="New",
       IF($I15&lt;&gt;"",
          IF(LEFT(VLOOKUP($A15,dist_assets,23,FALSE),5)="TomEE"," 10",
            IF(LEFT(VLOOKUP($A15,dist_assets,23,FALSE),3)="WAS",VLOOKUP(VLOOKUP($A15,'Distributed Assets'!$B$28:$BA$102,23,FALSE),'BOM FUNCTIONS'!$BV$6:$BX$23,3,FALSE),
               IF(LEFT(VLOOKUP($A15,dist_assets,24,FALSE),3)="Ora","Unknown",
                     IF($D15&lt;&gt;"AIX", VLOOKUP($A15,dist_assets,35,FALSE)-100, "Enter LUN FS Values")))
                       ),""),""),"")</f>
        <v/>
      </c>
      <c r="L15" s="2186" t="str">
        <f>IF($A15&lt;&gt;"",
        IF(MATCH(A15,'NAS Details'!$A$8:$A$50,0)&lt;&gt;"",  CONCATENATE("Mount ", VLOOKUP($A15,'NAS Details'!$A$8:$W$50,21,FALSE)," from ", VLOOKUP($A15,'NAS Details'!$A$8:$W$50,20,FALSE), " as ", VLOOKUP($A15,'NAS Details'!$A$8:$W$50,22,FALSE))),"")</f>
        <v/>
      </c>
      <c r="M15" s="1758"/>
      <c r="N15" s="2071" t="str">
        <f t="shared" si="3"/>
        <v/>
      </c>
      <c r="O15" s="2071" t="str">
        <f t="shared" si="4"/>
        <v/>
      </c>
      <c r="P15" s="2071" t="str">
        <f>IF($B15&lt;&gt;"",
        IF(AND($E15="Prod 2.0",
                         dr_Level&lt;5,
                         $D15="AIX",
                          VLOOKUP($A15,dist_assets,26,FALSE)="Yes"),VLOOKUP($Q15,'BOM FUNCTIONS'!$CF$12:$CG$19,2,FALSE),
          "N/A"),
"")</f>
        <v/>
      </c>
      <c r="Q15" s="2071" t="str">
        <f>IF($A15&lt;&gt;"",
       IF(AND($E15="Prod 2.0",
                        dr_Level&lt;5,
                       $D15="AIX",
                        VLOOKUP($A15,dist_assets,26,FALSE)="Yes"),
              VLOOKUP($G15,'BOM FUNCTIONS'!$CA$12:$CG$19,6,FALSE),
         "N/A"),"")</f>
        <v/>
      </c>
      <c r="R15" s="3331" t="str">
        <f t="shared" si="8"/>
        <v/>
      </c>
      <c r="S15" s="2784" t="str">
        <f t="shared" si="9"/>
        <v/>
      </c>
      <c r="T15" s="2046" t="str">
        <f t="shared" si="5"/>
        <v/>
      </c>
      <c r="U15" s="2072" t="str">
        <f t="shared" si="6"/>
        <v/>
      </c>
      <c r="V15" s="2073" t="str">
        <f>IF($A15&lt;&gt;"",
    IF(VLOOKUP($A15,dist_assets,24,FALSE)&lt;&gt;"",
       IF(LEFT(VLOOKUP($A15,dist_assets,24,FALSE),3)="Ora",
            IF(VLOOKUP($A15,dist_assets,16,FALSE)="NO","Stand-alone",
                IF(LEFT(VLOOKUP($A15,dist,16,FALSE),6)="Active",
                     IF(VLOOKUP($A15,dist_assets,17,FALSE)=INDEX($A$4:$A$42,MATCH($A15,$A$4:$A$41,0)+1,1),"Cluster 1",
                          IF(VLOOKUP($A15,dist_assets,17,FALSE)=INDEX($A$4:$A$42,MATCH($A15,$A$4:$A$41,0)-1,1),"Cluster 2","Oracle RAC"))))),""),
   "")</f>
        <v/>
      </c>
      <c r="W15" s="2400" t="str">
        <f t="shared" si="7"/>
        <v/>
      </c>
      <c r="X15" s="2079" t="str">
        <f t="shared" si="10"/>
        <v/>
      </c>
    </row>
    <row r="16" spans="1:27">
      <c r="A16" s="312"/>
      <c r="B16" s="2046" t="str">
        <f t="shared" si="0"/>
        <v/>
      </c>
      <c r="C16" s="1662"/>
      <c r="D16" s="2046" t="str">
        <f t="shared" si="1"/>
        <v/>
      </c>
      <c r="E16" s="2046" t="str">
        <f>IF(A16&lt;&gt;"",VLOOKUP(VLOOKUP(A16,'Distributed Assets'!$B$28:$V$102,2,FALSE),'Distributed Assets'!$C$7:$F$22,4,FALSE),"")</f>
        <v/>
      </c>
      <c r="F16" s="30" t="str">
        <f t="shared" si="2"/>
        <v/>
      </c>
      <c r="G16" s="30"/>
      <c r="H16" s="748" t="str">
        <f>IF($A16&lt;&gt;"",
     IF(VLOOKUP($A16,dist_assets,3, FALSE) ="New",
        IF(AND($D16="Linux",LEFT(VLOOKUP($A16,dist_assets,23,FALSE),3)="WAS"), VLOOKUP("RHEL+WAS",'BOM FUNCTIONS'!$CX$6:$CZ$13,2,FALSE),
               IF(AND($D16="AIX",LEFT(VLOOKUP($A16,dist_assets,24,FALSE),3)="DB2"), VLOOKUP("AIX+DB2",'BOM FUNCTIONS'!$CX$6:$CZ$13,2,FALSE),
                  IF(AND($D16="Linux",LEFT(VLOOKUP($A16,dist_assets,24,FALSE),3)="DB2"), VLOOKUP("RHEL+DB2",'BOM FUNCTIONS'!$CX$6:$CZ$13,2,FALSE),
                   IF($D16="AIX",VLOOKUP("AIX",'BOM FUNCTIONS'!$CX$6:$CZ$13,2,FALSE),
                  IF(AND($D16="Linux", LEFT(VLOOKUP($A16,dist_assets,22,FALSE),4)="RHEL"),VLOOKUP("RHEL",'BOM FUNCTIONS'!$CX$6:$CZ$13,2,FALSE),
                 IF(AND($D16="Linux", LEFT(VLOOKUP($A16,dist_assets,22,FALSE),4)="SLES"),VLOOKUP("SLES",'BOM FUNCTIONS'!$CX$6:$CZ$13,2,FALSE)))))))),"")</f>
        <v/>
      </c>
      <c r="I16" s="2073" t="str">
        <f>IF($A16&lt;&gt;"",
     IF(VLOOKUP($A16,'Distributed Assets'!$B$28:$V$102,3, FALSE) ="New",
      IF($D16="AIX",VLOOKUP("AIX",'BOM FUNCTIONS'!$CX$6:$CZ$11,3,FALSE),
         IF(AND(OR($D16="AIX",$D16="Linux"),LEFT(VLOOKUP($A16,'Distributed Assets'!$B$28:$Y$102,22,FALSE),3)="DB2"), VLOOKUP("AIX+DB2",'BOM FUNCTIONS'!$CX$6:$CZ$11,3,FALSE),
             IF(AND($D16="Linux", LEFT(VLOOKUP($A16,dist_assets,22,FALSE),4)="RHEL"),VLOOKUP("RHEL",'BOM FUNCTIONS'!$CX$6:$CZ$11,3,FALSE),
                 IF(AND($D16="Linux", LEFT(VLOOKUP($A16,dist_assets,22,FALSE),4)="SLES"),VLOOKUP("SLES",'BOM FUNCTIONS'!$CX$6:$CZ$9,3,FALSE)))))),"")</f>
        <v/>
      </c>
      <c r="J16" s="3404" t="str">
        <f>IF($A16&lt;&gt;"",
       IF(VLOOKUP($A16,'Distributed Assets'!$B$28:$V$102,3, FALSE) ="New",
          IF(LEFT(VLOOKUP($A16,'Distributed Assets'!$B$28:$AR$102,23,FALSE),3)="WAS",
             VLOOKUP(VLOOKUP($A16,'Distributed Assets'!$B$28:$BA$102,23,FALSE),'BOM FUNCTIONS'!$BV$6:$BW$23,2,FALSE),
           IF(LEFT(VLOOKUP($A16,'Distributed Assets'!$B$28:$AR$102,23,FALSE),5)="TomEE",
              VLOOKUP("was  TomEE 1.7.3 Web Profile",'BOM FUNCTIONS'!$BV$6:$BW$12,2,FALSE),
             IF(LEFT(VLOOKUP($A16,'Distributed Assets'!B40:AK114,24,FALSE),3)="Ora", Oracle_Standalone_fs(VLOOKUP($A16,dist_assets,44,FALSE)),
             IF(LEFT(VLOOKUP($A16,'Distributed Assets'!B40:AK114,24,FALSE),3)="DB2",DB2_FS(VLOOKUP($A16,dist_assets,44,FALSE)),"")))),""),"")</f>
        <v/>
      </c>
      <c r="K16" s="3073" t="str">
        <f>IF($A16&lt;&gt;"",
  IF(VLOOKUP($A16,dist_assets,3,FALSE)="New",
       IF($I16&lt;&gt;"",
          IF(LEFT(VLOOKUP($A16,dist_assets,23,FALSE),5)="TomEE"," 10",
            IF(LEFT(VLOOKUP($A16,dist_assets,23,FALSE),3)="WAS",VLOOKUP(VLOOKUP($A16,'Distributed Assets'!$B$28:$BA$102,23,FALSE),'BOM FUNCTIONS'!$BV$6:$BX$23,3,FALSE),
               IF(LEFT(VLOOKUP($A16,dist_assets,24,FALSE),3)="Ora","Unknown",
                     IF($D16&lt;&gt;"AIX", VLOOKUP($A16,dist_assets,35,FALSE)-100, "Enter LUN FS Values")))
                       ),""),""),"")</f>
        <v/>
      </c>
      <c r="L16" s="2186" t="str">
        <f>IF($A16&lt;&gt;"",
        IF(MATCH(A16,'NAS Details'!$A$8:$A$50,0)&lt;&gt;"",  CONCATENATE("Mount ", VLOOKUP($A16,'NAS Details'!$A$8:$W$50,21,FALSE)," from ", VLOOKUP($A16,'NAS Details'!$A$8:$W$50,20,FALSE), " as ", VLOOKUP($A16,'NAS Details'!$A$8:$W$50,22,FALSE))),"")</f>
        <v/>
      </c>
      <c r="M16" s="1758"/>
      <c r="N16" s="2071" t="str">
        <f t="shared" si="3"/>
        <v/>
      </c>
      <c r="O16" s="2071" t="str">
        <f t="shared" si="4"/>
        <v/>
      </c>
      <c r="P16" s="2071" t="str">
        <f>IF($B16&lt;&gt;"",
        IF(AND($E16="Prod 2.0",
                         dr_Level&lt;5,
                         $D16="AIX",
                          VLOOKUP($A16,dist_assets,26,FALSE)="Yes"),VLOOKUP($Q16,'BOM FUNCTIONS'!$CF$12:$CG$19,2,FALSE),
          "N/A"),
"")</f>
        <v/>
      </c>
      <c r="Q16" s="2071" t="str">
        <f>IF($A16&lt;&gt;"",
       IF(AND($E16="Prod 2.0",
                        dr_Level&lt;5,
                       $D16="AIX",
                        VLOOKUP($A16,dist_assets,26,FALSE)="Yes"),
              VLOOKUP($G16,'BOM FUNCTIONS'!$CA$12:$CG$19,6,FALSE),
         "N/A"),"")</f>
        <v/>
      </c>
      <c r="R16" s="3331" t="str">
        <f t="shared" si="8"/>
        <v/>
      </c>
      <c r="S16" s="2784" t="str">
        <f t="shared" si="9"/>
        <v/>
      </c>
      <c r="T16" s="2046" t="str">
        <f t="shared" si="5"/>
        <v/>
      </c>
      <c r="U16" s="2072" t="str">
        <f t="shared" si="6"/>
        <v/>
      </c>
      <c r="V16" s="2073" t="str">
        <f>IF($A16&lt;&gt;"",
    IF(VLOOKUP($A16,dist_assets,24,FALSE)&lt;&gt;"",
       IF(LEFT(VLOOKUP($A16,dist_assets,24,FALSE),3)="Ora",
            IF(VLOOKUP($A16,dist_assets,16,FALSE)="NO","Stand-alone",
                IF(LEFT(VLOOKUP($A16,dist,16,FALSE),6)="Active",
                     IF(VLOOKUP($A16,dist_assets,17,FALSE)=INDEX($A$4:$A$42,MATCH($A16,$A$4:$A$41,0)+1,1),"Cluster 1",
                          IF(VLOOKUP($A16,dist_assets,17,FALSE)=INDEX($A$4:$A$42,MATCH($A16,$A$4:$A$41,0)-1,1),"Cluster 2","Oracle RAC"))))),""),
   "")</f>
        <v/>
      </c>
      <c r="W16" s="2400" t="str">
        <f t="shared" si="7"/>
        <v/>
      </c>
      <c r="X16" s="2079" t="str">
        <f t="shared" si="10"/>
        <v/>
      </c>
    </row>
    <row r="17" spans="1:24">
      <c r="A17" s="312"/>
      <c r="B17" s="2046" t="str">
        <f t="shared" si="0"/>
        <v/>
      </c>
      <c r="C17" s="1662"/>
      <c r="D17" s="2046" t="str">
        <f t="shared" si="1"/>
        <v/>
      </c>
      <c r="E17" s="2046" t="str">
        <f>IF(A17&lt;&gt;"",VLOOKUP(VLOOKUP(A17,'Distributed Assets'!$B$28:$V$102,2,FALSE),'Distributed Assets'!$C$7:$F$22,4,FALSE),"")</f>
        <v/>
      </c>
      <c r="F17" s="30" t="str">
        <f t="shared" si="2"/>
        <v/>
      </c>
      <c r="G17" s="30"/>
      <c r="H17" s="748" t="str">
        <f>IF($A17&lt;&gt;"",
     IF(VLOOKUP($A17,dist_assets,3, FALSE) ="New",
        IF(AND($D17="Linux",LEFT(VLOOKUP($A17,dist_assets,23,FALSE),3)="WAS"), VLOOKUP("RHEL+WAS",'BOM FUNCTIONS'!$CX$6:$CZ$13,2,FALSE),
               IF(AND($D17="AIX",LEFT(VLOOKUP($A17,dist_assets,24,FALSE),3)="DB2"), VLOOKUP("AIX+DB2",'BOM FUNCTIONS'!$CX$6:$CZ$13,2,FALSE),
                  IF(AND($D17="Linux",LEFT(VLOOKUP($A17,dist_assets,24,FALSE),3)="DB2"), VLOOKUP("RHEL+DB2",'BOM FUNCTIONS'!$CX$6:$CZ$13,2,FALSE),
                   IF($D17="AIX",VLOOKUP("AIX",'BOM FUNCTIONS'!$CX$6:$CZ$13,2,FALSE),
                  IF(AND($D17="Linux", LEFT(VLOOKUP($A17,dist_assets,22,FALSE),4)="RHEL"),VLOOKUP("RHEL",'BOM FUNCTIONS'!$CX$6:$CZ$13,2,FALSE),
                 IF(AND($D17="Linux", LEFT(VLOOKUP($A17,dist_assets,22,FALSE),4)="SLES"),VLOOKUP("SLES",'BOM FUNCTIONS'!$CX$6:$CZ$13,2,FALSE)))))))),"")</f>
        <v/>
      </c>
      <c r="I17" s="2073" t="str">
        <f>IF($A17&lt;&gt;"",
     IF(VLOOKUP($A17,'Distributed Assets'!$B$28:$V$102,3, FALSE) ="New",
      IF($D17="AIX",VLOOKUP("AIX",'BOM FUNCTIONS'!$CX$6:$CZ$11,3,FALSE),
         IF(AND(OR($D17="AIX",$D17="Linux"),LEFT(VLOOKUP($A17,'Distributed Assets'!$B$28:$Y$102,22,FALSE),3)="DB2"), VLOOKUP("AIX+DB2",'BOM FUNCTIONS'!$CX$6:$CZ$11,3,FALSE),
             IF(AND($D17="Linux", LEFT(VLOOKUP($A17,dist_assets,22,FALSE),4)="RHEL"),VLOOKUP("RHEL",'BOM FUNCTIONS'!$CX$6:$CZ$11,3,FALSE),
                 IF(AND($D17="Linux", LEFT(VLOOKUP($A17,dist_assets,22,FALSE),4)="SLES"),VLOOKUP("SLES",'BOM FUNCTIONS'!$CX$6:$CZ$9,3,FALSE)))))),"")</f>
        <v/>
      </c>
      <c r="J17" s="3404" t="str">
        <f>IF($A17&lt;&gt;"",
       IF(VLOOKUP($A17,'Distributed Assets'!$B$28:$V$102,3, FALSE) ="New",
          IF(LEFT(VLOOKUP($A17,'Distributed Assets'!$B$28:$AR$102,23,FALSE),3)="WAS",
             VLOOKUP(VLOOKUP($A17,'Distributed Assets'!$B$28:$BA$102,23,FALSE),'BOM FUNCTIONS'!$BV$6:$BW$23,2,FALSE),
           IF(LEFT(VLOOKUP($A17,'Distributed Assets'!$B$28:$AR$102,23,FALSE),5)="TomEE",
              VLOOKUP("was  TomEE 1.7.3 Web Profile",'BOM FUNCTIONS'!$BV$6:$BW$12,2,FALSE),
             IF(LEFT(VLOOKUP($A17,'Distributed Assets'!B41:AK115,24,FALSE),3)="Ora", Oracle_Standalone_fs(VLOOKUP($A17,dist_assets,44,FALSE)),
             IF(LEFT(VLOOKUP($A17,'Distributed Assets'!B41:AK115,24,FALSE),3)="DB2",DB2_FS(VLOOKUP($A17,dist_assets,44,FALSE)),"")))),""),"")</f>
        <v/>
      </c>
      <c r="K17" s="3073" t="str">
        <f>IF($A17&lt;&gt;"",
  IF(VLOOKUP($A17,dist_assets,3,FALSE)="New",
       IF($I17&lt;&gt;"",
          IF(LEFT(VLOOKUP($A17,dist_assets,23,FALSE),5)="TomEE"," 10",
            IF(LEFT(VLOOKUP($A17,dist_assets,23,FALSE),3)="WAS",VLOOKUP(VLOOKUP($A17,'Distributed Assets'!$B$28:$BA$102,23,FALSE),'BOM FUNCTIONS'!$BV$6:$BX$23,3,FALSE),
               IF(LEFT(VLOOKUP($A17,dist_assets,24,FALSE),3)="Ora","Unknown",
                     IF($D17&lt;&gt;"AIX", VLOOKUP($A17,dist_assets,35,FALSE)-100, "Enter LUN FS Values")))
                       ),""),""),"")</f>
        <v/>
      </c>
      <c r="L17" s="2186" t="str">
        <f>IF($A17&lt;&gt;"",
        IF(MATCH(A17,'NAS Details'!$A$8:$A$50,0)&lt;&gt;"",  CONCATENATE("Mount ", VLOOKUP($A17,'NAS Details'!$A$8:$W$50,21,FALSE)," from ", VLOOKUP($A17,'NAS Details'!$A$8:$W$50,20,FALSE), " as ", VLOOKUP($A17,'NAS Details'!$A$8:$W$50,22,FALSE))),"")</f>
        <v/>
      </c>
      <c r="M17" s="1758"/>
      <c r="N17" s="2071" t="str">
        <f t="shared" si="3"/>
        <v/>
      </c>
      <c r="O17" s="2071" t="str">
        <f t="shared" si="4"/>
        <v/>
      </c>
      <c r="P17" s="2071" t="str">
        <f>IF($B17&lt;&gt;"",
        IF(AND($E17="Prod 2.0",
                         dr_Level&lt;5,
                         $D17="AIX",
                          VLOOKUP($A17,dist_assets,26,FALSE)="Yes"),VLOOKUP($Q17,'BOM FUNCTIONS'!$CF$12:$CG$19,2,FALSE),
          "N/A"),
"")</f>
        <v/>
      </c>
      <c r="Q17" s="2071" t="str">
        <f>IF($A17&lt;&gt;"",
       IF(AND($E17="Prod 2.0",
                        dr_Level&lt;5,
                       $D17="AIX",
                        VLOOKUP($A17,dist_assets,26,FALSE)="Yes"),
              VLOOKUP($G17,'BOM FUNCTIONS'!$CA$12:$CG$19,6,FALSE),
         "N/A"),"")</f>
        <v/>
      </c>
      <c r="R17" s="3331" t="str">
        <f t="shared" si="8"/>
        <v/>
      </c>
      <c r="S17" s="2784" t="str">
        <f t="shared" si="9"/>
        <v/>
      </c>
      <c r="T17" s="2046" t="str">
        <f t="shared" si="5"/>
        <v/>
      </c>
      <c r="U17" s="2072" t="str">
        <f t="shared" si="6"/>
        <v/>
      </c>
      <c r="V17" s="2073" t="str">
        <f>IF($A17&lt;&gt;"",
    IF(VLOOKUP($A17,dist_assets,24,FALSE)&lt;&gt;"",
       IF(LEFT(VLOOKUP($A17,dist_assets,24,FALSE),3)="Ora",
            IF(VLOOKUP($A17,dist_assets,16,FALSE)="NO","Stand-alone",
                IF(LEFT(VLOOKUP($A17,dist,16,FALSE),6)="Active",
                     IF(VLOOKUP($A17,dist_assets,17,FALSE)=INDEX($A$4:$A$42,MATCH($A17,$A$4:$A$41,0)+1,1),"Cluster 1",
                          IF(VLOOKUP($A17,dist_assets,17,FALSE)=INDEX($A$4:$A$42,MATCH($A17,$A$4:$A$41,0)-1,1),"Cluster 2","Oracle RAC"))))),""),
   "")</f>
        <v/>
      </c>
      <c r="W17" s="2400" t="str">
        <f t="shared" si="7"/>
        <v/>
      </c>
      <c r="X17" s="2079" t="str">
        <f t="shared" si="10"/>
        <v/>
      </c>
    </row>
    <row r="18" spans="1:24">
      <c r="A18" s="312"/>
      <c r="B18" s="2046" t="str">
        <f t="shared" si="0"/>
        <v/>
      </c>
      <c r="C18" s="1662"/>
      <c r="D18" s="2046" t="str">
        <f t="shared" si="1"/>
        <v/>
      </c>
      <c r="E18" s="2046" t="str">
        <f>IF(A18&lt;&gt;"",VLOOKUP(VLOOKUP(A18,'Distributed Assets'!$B$28:$V$102,2,FALSE),'Distributed Assets'!$C$7:$F$22,4,FALSE),"")</f>
        <v/>
      </c>
      <c r="F18" s="30" t="str">
        <f t="shared" si="2"/>
        <v/>
      </c>
      <c r="G18" s="30"/>
      <c r="H18" s="748" t="str">
        <f>IF($A18&lt;&gt;"",
     IF(VLOOKUP($A18,dist_assets,3, FALSE) ="New",
        IF(AND($D18="Linux",LEFT(VLOOKUP($A18,dist_assets,23,FALSE),3)="WAS"), VLOOKUP("RHEL+WAS",'BOM FUNCTIONS'!$CX$6:$CZ$13,2,FALSE),
               IF(AND($D18="AIX",LEFT(VLOOKUP($A18,dist_assets,24,FALSE),3)="DB2"), VLOOKUP("AIX+DB2",'BOM FUNCTIONS'!$CX$6:$CZ$13,2,FALSE),
                  IF(AND($D18="Linux",LEFT(VLOOKUP($A18,dist_assets,24,FALSE),3)="DB2"), VLOOKUP("RHEL+DB2",'BOM FUNCTIONS'!$CX$6:$CZ$13,2,FALSE),
                   IF($D18="AIX",VLOOKUP("AIX",'BOM FUNCTIONS'!$CX$6:$CZ$13,2,FALSE),
                  IF(AND($D18="Linux", LEFT(VLOOKUP($A18,dist_assets,22,FALSE),4)="RHEL"),VLOOKUP("RHEL",'BOM FUNCTIONS'!$CX$6:$CZ$13,2,FALSE),
                 IF(AND($D18="Linux", LEFT(VLOOKUP($A18,dist_assets,22,FALSE),4)="SLES"),VLOOKUP("SLES",'BOM FUNCTIONS'!$CX$6:$CZ$13,2,FALSE)))))))),"")</f>
        <v/>
      </c>
      <c r="I18" s="2073" t="str">
        <f>IF($A18&lt;&gt;"",
     IF(VLOOKUP($A18,'Distributed Assets'!$B$28:$V$102,3, FALSE) ="New",
      IF($D18="AIX",VLOOKUP("AIX",'BOM FUNCTIONS'!$CX$6:$CZ$11,3,FALSE),
         IF(AND(OR($D18="AIX",$D18="Linux"),LEFT(VLOOKUP($A18,'Distributed Assets'!$B$28:$Y$102,22,FALSE),3)="DB2"), VLOOKUP("AIX+DB2",'BOM FUNCTIONS'!$CX$6:$CZ$11,3,FALSE),
             IF(AND($D18="Linux", LEFT(VLOOKUP($A18,dist_assets,22,FALSE),4)="RHEL"),VLOOKUP("RHEL",'BOM FUNCTIONS'!$CX$6:$CZ$11,3,FALSE),
                 IF(AND($D18="Linux", LEFT(VLOOKUP($A18,dist_assets,22,FALSE),4)="SLES"),VLOOKUP("SLES",'BOM FUNCTIONS'!$CX$6:$CZ$9,3,FALSE)))))),"")</f>
        <v/>
      </c>
      <c r="J18" s="3404" t="str">
        <f>IF($A18&lt;&gt;"",
       IF(VLOOKUP($A18,'Distributed Assets'!$B$28:$V$102,3, FALSE) ="New",
          IF(LEFT(VLOOKUP($A18,'Distributed Assets'!$B$28:$AR$102,23,FALSE),3)="WAS",
             VLOOKUP(VLOOKUP($A18,'Distributed Assets'!$B$28:$BA$102,23,FALSE),'BOM FUNCTIONS'!$BV$6:$BW$23,2,FALSE),
           IF(LEFT(VLOOKUP($A18,'Distributed Assets'!$B$28:$AR$102,23,FALSE),5)="TomEE",
              VLOOKUP("was  TomEE 1.7.3 Web Profile",'BOM FUNCTIONS'!$BV$6:$BW$12,2,FALSE),
             IF(LEFT(VLOOKUP($A18,'Distributed Assets'!B42:AK116,24,FALSE),3)="Ora", Oracle_Standalone_fs(VLOOKUP($A18,dist_assets,44,FALSE)),
             IF(LEFT(VLOOKUP($A18,'Distributed Assets'!B42:AK116,24,FALSE),3)="DB2",DB2_FS(VLOOKUP($A18,dist_assets,44,FALSE)),"")))),""),"")</f>
        <v/>
      </c>
      <c r="K18" s="3073" t="str">
        <f>IF($A18&lt;&gt;"",
  IF(VLOOKUP($A18,dist_assets,3,FALSE)="New",
       IF($I18&lt;&gt;"",
          IF(LEFT(VLOOKUP($A18,dist_assets,23,FALSE),5)="TomEE"," 10",
            IF(LEFT(VLOOKUP($A18,dist_assets,23,FALSE),3)="WAS",VLOOKUP(VLOOKUP($A18,'Distributed Assets'!$B$28:$BA$102,23,FALSE),'BOM FUNCTIONS'!$BV$6:$BX$23,3,FALSE),
               IF(LEFT(VLOOKUP($A18,dist_assets,24,FALSE),3)="Ora","Unknown",
                     IF($D18&lt;&gt;"AIX", VLOOKUP($A18,dist_assets,35,FALSE)-100, "Enter LUN FS Values")))
                       ),""),""),"")</f>
        <v/>
      </c>
      <c r="L18" s="2186" t="str">
        <f>IF($A18&lt;&gt;"",
        IF(MATCH(A18,'NAS Details'!$A$8:$A$50,0)&lt;&gt;"",  CONCATENATE("Mount ", VLOOKUP($A18,'NAS Details'!$A$8:$W$50,21,FALSE)," from ", VLOOKUP($A18,'NAS Details'!$A$8:$W$50,20,FALSE), " as ", VLOOKUP($A18,'NAS Details'!$A$8:$W$50,22,FALSE))),"")</f>
        <v/>
      </c>
      <c r="M18" s="1758"/>
      <c r="N18" s="2071" t="str">
        <f t="shared" si="3"/>
        <v/>
      </c>
      <c r="O18" s="2071" t="str">
        <f t="shared" si="4"/>
        <v/>
      </c>
      <c r="P18" s="2071" t="str">
        <f>IF($B18&lt;&gt;"",
        IF(AND($E18="Prod 2.0",
                         dr_Level&lt;5,
                         $D18="AIX",
                          VLOOKUP($A18,dist_assets,26,FALSE)="Yes"),VLOOKUP($Q18,'BOM FUNCTIONS'!$CF$12:$CG$19,2,FALSE),
          "N/A"),
"")</f>
        <v/>
      </c>
      <c r="Q18" s="2071" t="str">
        <f>IF($A18&lt;&gt;"",
       IF(AND($E18="Prod 2.0",
                        dr_Level&lt;5,
                       $D18="AIX",
                        VLOOKUP($A18,dist_assets,26,FALSE)="Yes"),
              VLOOKUP($G18,'BOM FUNCTIONS'!$CA$12:$CG$19,6,FALSE),
         "N/A"),"")</f>
        <v/>
      </c>
      <c r="R18" s="3331" t="str">
        <f t="shared" si="8"/>
        <v/>
      </c>
      <c r="S18" s="2784" t="str">
        <f t="shared" si="9"/>
        <v/>
      </c>
      <c r="T18" s="2046" t="str">
        <f t="shared" si="5"/>
        <v/>
      </c>
      <c r="U18" s="2072" t="str">
        <f t="shared" si="6"/>
        <v/>
      </c>
      <c r="V18" s="2073" t="str">
        <f>IF($A18&lt;&gt;"",
    IF(VLOOKUP($A18,dist_assets,24,FALSE)&lt;&gt;"",
       IF(LEFT(VLOOKUP($A18,dist_assets,24,FALSE),3)="Ora",
            IF(VLOOKUP($A18,dist_assets,16,FALSE)="NO","Stand-alone",
                IF(LEFT(VLOOKUP($A18,dist,16,FALSE),6)="Active",
                     IF(VLOOKUP($A18,dist_assets,17,FALSE)=INDEX($A$4:$A$42,MATCH($A18,$A$4:$A$41,0)+1,1),"Cluster 1",
                          IF(VLOOKUP($A18,dist_assets,17,FALSE)=INDEX($A$4:$A$42,MATCH($A18,$A$4:$A$41,0)-1,1),"Cluster 2","Oracle RAC"))))),""),
   "")</f>
        <v/>
      </c>
      <c r="W18" s="2400" t="str">
        <f t="shared" si="7"/>
        <v/>
      </c>
      <c r="X18" s="2079" t="str">
        <f t="shared" si="10"/>
        <v/>
      </c>
    </row>
    <row r="19" spans="1:24">
      <c r="A19" s="312"/>
      <c r="B19" s="2046" t="str">
        <f t="shared" si="0"/>
        <v/>
      </c>
      <c r="C19" s="1662"/>
      <c r="D19" s="2046" t="str">
        <f t="shared" si="1"/>
        <v/>
      </c>
      <c r="E19" s="2046" t="str">
        <f>IF(A19&lt;&gt;"",VLOOKUP(VLOOKUP(A19,'Distributed Assets'!$B$28:$V$102,2,FALSE),'Distributed Assets'!$C$7:$F$22,4,FALSE),"")</f>
        <v/>
      </c>
      <c r="F19" s="30" t="str">
        <f t="shared" si="2"/>
        <v/>
      </c>
      <c r="G19" s="30"/>
      <c r="H19" s="748" t="str">
        <f>IF($A19&lt;&gt;"",
     IF(VLOOKUP($A19,dist_assets,3, FALSE) ="New",
        IF(AND($D19="Linux",LEFT(VLOOKUP($A19,dist_assets,23,FALSE),3)="WAS"), VLOOKUP("RHEL+WAS",'BOM FUNCTIONS'!$CX$6:$CZ$13,2,FALSE),
               IF(AND($D19="AIX",LEFT(VLOOKUP($A19,dist_assets,24,FALSE),3)="DB2"), VLOOKUP("AIX+DB2",'BOM FUNCTIONS'!$CX$6:$CZ$13,2,FALSE),
                  IF(AND($D19="Linux",LEFT(VLOOKUP($A19,dist_assets,24,FALSE),3)="DB2"), VLOOKUP("RHEL+DB2",'BOM FUNCTIONS'!$CX$6:$CZ$13,2,FALSE),
                   IF($D19="AIX",VLOOKUP("AIX",'BOM FUNCTIONS'!$CX$6:$CZ$13,2,FALSE),
                  IF(AND($D19="Linux", LEFT(VLOOKUP($A19,dist_assets,22,FALSE),4)="RHEL"),VLOOKUP("RHEL",'BOM FUNCTIONS'!$CX$6:$CZ$13,2,FALSE),
                 IF(AND($D19="Linux", LEFT(VLOOKUP($A19,dist_assets,22,FALSE),4)="SLES"),VLOOKUP("SLES",'BOM FUNCTIONS'!$CX$6:$CZ$13,2,FALSE)))))))),"")</f>
        <v/>
      </c>
      <c r="I19" s="2073" t="str">
        <f>IF($A19&lt;&gt;"",
     IF(VLOOKUP($A19,'Distributed Assets'!$B$28:$V$102,3, FALSE) ="New",
      IF($D19="AIX",VLOOKUP("AIX",'BOM FUNCTIONS'!$CX$6:$CZ$11,3,FALSE),
         IF(AND(OR($D19="AIX",$D19="Linux"),LEFT(VLOOKUP($A19,'Distributed Assets'!$B$28:$Y$102,22,FALSE),3)="DB2"), VLOOKUP("AIX+DB2",'BOM FUNCTIONS'!$CX$6:$CZ$11,3,FALSE),
             IF(AND($D19="Linux", LEFT(VLOOKUP($A19,dist_assets,22,FALSE),4)="RHEL"),VLOOKUP("RHEL",'BOM FUNCTIONS'!$CX$6:$CZ$11,3,FALSE),
                 IF(AND($D19="Linux", LEFT(VLOOKUP($A19,dist_assets,22,FALSE),4)="SLES"),VLOOKUP("SLES",'BOM FUNCTIONS'!$CX$6:$CZ$9,3,FALSE)))))),"")</f>
        <v/>
      </c>
      <c r="J19" s="3404" t="str">
        <f>IF($A19&lt;&gt;"",
       IF(VLOOKUP($A19,'Distributed Assets'!$B$28:$V$102,3, FALSE) ="New",
          IF(LEFT(VLOOKUP($A19,'Distributed Assets'!$B$28:$AR$102,23,FALSE),3)="WAS",
             VLOOKUP(VLOOKUP($A19,'Distributed Assets'!$B$28:$BA$102,23,FALSE),'BOM FUNCTIONS'!$BV$6:$BW$23,2,FALSE),
           IF(LEFT(VLOOKUP($A19,'Distributed Assets'!$B$28:$AR$102,23,FALSE),5)="TomEE",
              VLOOKUP("was  TomEE 1.7.3 Web Profile",'BOM FUNCTIONS'!$BV$6:$BW$12,2,FALSE),
             IF(LEFT(VLOOKUP($A19,'Distributed Assets'!B43:AK117,24,FALSE),3)="Ora", Oracle_Standalone_fs(VLOOKUP($A19,dist_assets,44,FALSE)),
             IF(LEFT(VLOOKUP($A19,'Distributed Assets'!B43:AK117,24,FALSE),3)="DB2",DB2_FS(VLOOKUP($A19,dist_assets,44,FALSE)),"")))),""),"")</f>
        <v/>
      </c>
      <c r="K19" s="3073" t="str">
        <f>IF($A19&lt;&gt;"",
  IF(VLOOKUP($A19,dist_assets,3,FALSE)="New",
       IF($I19&lt;&gt;"",
          IF(LEFT(VLOOKUP($A19,dist_assets,23,FALSE),5)="TomEE"," 10",
            IF(LEFT(VLOOKUP($A19,dist_assets,23,FALSE),3)="WAS",VLOOKUP(VLOOKUP($A19,'Distributed Assets'!$B$28:$BA$102,23,FALSE),'BOM FUNCTIONS'!$BV$6:$BX$23,3,FALSE),
               IF(LEFT(VLOOKUP($A19,dist_assets,24,FALSE),3)="Ora","Unknown",
                     IF($D19&lt;&gt;"AIX", VLOOKUP($A19,dist_assets,35,FALSE)-100, "Enter LUN FS Values")))
                       ),""),""),"")</f>
        <v/>
      </c>
      <c r="L19" s="2186" t="str">
        <f>IF($A19&lt;&gt;"",
        IF(MATCH(A19,'NAS Details'!$A$8:$A$50,0)&lt;&gt;"",  CONCATENATE("Mount ", VLOOKUP($A19,'NAS Details'!$A$8:$W$50,21,FALSE)," from ", VLOOKUP($A19,'NAS Details'!$A$8:$W$50,20,FALSE), " as ", VLOOKUP($A19,'NAS Details'!$A$8:$W$50,22,FALSE))),"")</f>
        <v/>
      </c>
      <c r="M19" s="1758"/>
      <c r="N19" s="2071" t="str">
        <f t="shared" si="3"/>
        <v/>
      </c>
      <c r="O19" s="2071" t="str">
        <f t="shared" si="4"/>
        <v/>
      </c>
      <c r="P19" s="2071" t="str">
        <f>IF($B19&lt;&gt;"",
        IF(AND($E19="Prod 2.0",
                         dr_Level&lt;5,
                         $D19="AIX",
                          VLOOKUP($A19,dist_assets,26,FALSE)="Yes"),VLOOKUP($Q19,'BOM FUNCTIONS'!$CF$12:$CG$19,2,FALSE),
          "N/A"),
"")</f>
        <v/>
      </c>
      <c r="Q19" s="2071" t="str">
        <f>IF($A19&lt;&gt;"",
       IF(AND($E19="Prod 2.0",
                        dr_Level&lt;5,
                       $D19="AIX",
                        VLOOKUP($A19,dist_assets,26,FALSE)="Yes"),
              VLOOKUP($G19,'BOM FUNCTIONS'!$CA$12:$CG$19,6,FALSE),
         "N/A"),"")</f>
        <v/>
      </c>
      <c r="R19" s="3331" t="str">
        <f t="shared" si="8"/>
        <v/>
      </c>
      <c r="S19" s="2784" t="str">
        <f t="shared" si="9"/>
        <v/>
      </c>
      <c r="T19" s="2046" t="str">
        <f t="shared" si="5"/>
        <v/>
      </c>
      <c r="U19" s="2072" t="str">
        <f t="shared" si="6"/>
        <v/>
      </c>
      <c r="V19" s="2073" t="str">
        <f>IF($A19&lt;&gt;"",
    IF(VLOOKUP($A19,dist_assets,24,FALSE)&lt;&gt;"",
       IF(LEFT(VLOOKUP($A19,dist_assets,24,FALSE),3)="Ora",
            IF(VLOOKUP($A19,dist_assets,16,FALSE)="NO","Stand-alone",
                IF(LEFT(VLOOKUP($A19,dist,16,FALSE),6)="Active",
                     IF(VLOOKUP($A19,dist_assets,17,FALSE)=INDEX($A$4:$A$42,MATCH($A19,$A$4:$A$41,0)+1,1),"Cluster 1",
                          IF(VLOOKUP($A19,dist_assets,17,FALSE)=INDEX($A$4:$A$42,MATCH($A19,$A$4:$A$41,0)-1,1),"Cluster 2","Oracle RAC"))))),""),
   "")</f>
        <v/>
      </c>
      <c r="W19" s="2400" t="str">
        <f t="shared" si="7"/>
        <v/>
      </c>
      <c r="X19" s="2079" t="str">
        <f t="shared" si="10"/>
        <v/>
      </c>
    </row>
    <row r="20" spans="1:24">
      <c r="A20" s="312"/>
      <c r="B20" s="2046" t="str">
        <f t="shared" si="0"/>
        <v/>
      </c>
      <c r="C20" s="1662"/>
      <c r="D20" s="2046" t="str">
        <f t="shared" si="1"/>
        <v/>
      </c>
      <c r="E20" s="2046" t="str">
        <f>IF(A20&lt;&gt;"",VLOOKUP(VLOOKUP(A20,'Distributed Assets'!$B$28:$V$102,2,FALSE),'Distributed Assets'!$C$7:$F$22,4,FALSE),"")</f>
        <v/>
      </c>
      <c r="F20" s="30" t="str">
        <f t="shared" si="2"/>
        <v/>
      </c>
      <c r="G20" s="30"/>
      <c r="H20" s="748" t="str">
        <f>IF($A20&lt;&gt;"",
     IF(VLOOKUP($A20,dist_assets,3, FALSE) ="New",
        IF(AND($D20="Linux",LEFT(VLOOKUP($A20,dist_assets,23,FALSE),3)="WAS"), VLOOKUP("RHEL+WAS",'BOM FUNCTIONS'!$CX$6:$CZ$13,2,FALSE),
               IF(AND($D20="AIX",LEFT(VLOOKUP($A20,dist_assets,24,FALSE),3)="DB2"), VLOOKUP("AIX+DB2",'BOM FUNCTIONS'!$CX$6:$CZ$13,2,FALSE),
                  IF(AND($D20="Linux",LEFT(VLOOKUP($A20,dist_assets,24,FALSE),3)="DB2"), VLOOKUP("RHEL+DB2",'BOM FUNCTIONS'!$CX$6:$CZ$13,2,FALSE),
                   IF($D20="AIX",VLOOKUP("AIX",'BOM FUNCTIONS'!$CX$6:$CZ$13,2,FALSE),
                  IF(AND($D20="Linux", LEFT(VLOOKUP($A20,dist_assets,22,FALSE),4)="RHEL"),VLOOKUP("RHEL",'BOM FUNCTIONS'!$CX$6:$CZ$13,2,FALSE),
                 IF(AND($D20="Linux", LEFT(VLOOKUP($A20,dist_assets,22,FALSE),4)="SLES"),VLOOKUP("SLES",'BOM FUNCTIONS'!$CX$6:$CZ$13,2,FALSE)))))))),"")</f>
        <v/>
      </c>
      <c r="I20" s="2073" t="str">
        <f>IF($A20&lt;&gt;"",
     IF(VLOOKUP($A20,'Distributed Assets'!$B$28:$V$102,3, FALSE) ="New",
      IF($D20="AIX",VLOOKUP("AIX",'BOM FUNCTIONS'!$CX$6:$CZ$11,3,FALSE),
         IF(AND(OR($D20="AIX",$D20="Linux"),LEFT(VLOOKUP($A20,'Distributed Assets'!$B$28:$Y$102,22,FALSE),3)="DB2"), VLOOKUP("AIX+DB2",'BOM FUNCTIONS'!$CX$6:$CZ$11,3,FALSE),
             IF(AND($D20="Linux", LEFT(VLOOKUP($A20,dist_assets,22,FALSE),4)="RHEL"),VLOOKUP("RHEL",'BOM FUNCTIONS'!$CX$6:$CZ$11,3,FALSE),
                 IF(AND($D20="Linux", LEFT(VLOOKUP($A20,dist_assets,22,FALSE),4)="SLES"),VLOOKUP("SLES",'BOM FUNCTIONS'!$CX$6:$CZ$9,3,FALSE)))))),"")</f>
        <v/>
      </c>
      <c r="J20" s="3404" t="str">
        <f>IF($A20&lt;&gt;"",
       IF(VLOOKUP($A20,'Distributed Assets'!$B$28:$V$102,3, FALSE) ="New",
          IF(LEFT(VLOOKUP($A20,'Distributed Assets'!$B$28:$AR$102,23,FALSE),3)="WAS",
             VLOOKUP(VLOOKUP($A20,'Distributed Assets'!$B$28:$BA$102,23,FALSE),'BOM FUNCTIONS'!$BV$6:$BW$23,2,FALSE),
           IF(LEFT(VLOOKUP($A20,'Distributed Assets'!$B$28:$AR$102,23,FALSE),5)="TomEE",
              VLOOKUP("was  TomEE 1.7.3 Web Profile",'BOM FUNCTIONS'!$BV$6:$BW$12,2,FALSE),
             IF(LEFT(VLOOKUP($A20,'Distributed Assets'!B44:AK118,24,FALSE),3)="Ora", Oracle_Standalone_fs(VLOOKUP($A20,dist_assets,44,FALSE)),
             IF(LEFT(VLOOKUP($A20,'Distributed Assets'!B44:AK118,24,FALSE),3)="DB2",DB2_FS(VLOOKUP($A20,dist_assets,44,FALSE)),"")))),""),"")</f>
        <v/>
      </c>
      <c r="K20" s="3073" t="str">
        <f>IF($A20&lt;&gt;"",
  IF(VLOOKUP($A20,dist_assets,3,FALSE)="New",
       IF($I20&lt;&gt;"",
          IF(LEFT(VLOOKUP($A20,dist_assets,23,FALSE),5)="TomEE"," 10",
            IF(LEFT(VLOOKUP($A20,dist_assets,23,FALSE),3)="WAS",VLOOKUP(VLOOKUP($A20,'Distributed Assets'!$B$28:$BA$102,23,FALSE),'BOM FUNCTIONS'!$BV$6:$BX$23,3,FALSE),
               IF(LEFT(VLOOKUP($A20,dist_assets,24,FALSE),3)="Ora","Unknown",
                     IF($D20&lt;&gt;"AIX", VLOOKUP($A20,dist_assets,35,FALSE)-100, "Enter LUN FS Values")))
                       ),""),""),"")</f>
        <v/>
      </c>
      <c r="L20" s="2186" t="str">
        <f>IF($A20&lt;&gt;"",
        IF(MATCH(A20,'NAS Details'!$A$8:$A$50,0)&lt;&gt;"",  CONCATENATE("Mount ", VLOOKUP($A20,'NAS Details'!$A$8:$W$50,21,FALSE)," from ", VLOOKUP($A20,'NAS Details'!$A$8:$W$50,20,FALSE), " as ", VLOOKUP($A20,'NAS Details'!$A$8:$W$50,22,FALSE))),"")</f>
        <v/>
      </c>
      <c r="M20" s="1758"/>
      <c r="N20" s="2071" t="str">
        <f t="shared" si="3"/>
        <v/>
      </c>
      <c r="O20" s="2071" t="str">
        <f t="shared" si="4"/>
        <v/>
      </c>
      <c r="P20" s="2071" t="str">
        <f>IF($B20&lt;&gt;"",
        IF(AND($E20="Prod 2.0",
                         dr_Level&lt;5,
                         $D20="AIX",
                          VLOOKUP($A20,dist_assets,26,FALSE)="Yes"),VLOOKUP($Q20,'BOM FUNCTIONS'!$CF$12:$CG$19,2,FALSE),
          "N/A"),
"")</f>
        <v/>
      </c>
      <c r="Q20" s="2071" t="str">
        <f>IF($A20&lt;&gt;"",
       IF(AND($E20="Prod 2.0",
                        dr_Level&lt;5,
                       $D20="AIX",
                        VLOOKUP($A20,dist_assets,26,FALSE)="Yes"),
              VLOOKUP($G20,'BOM FUNCTIONS'!$CA$12:$CG$19,6,FALSE),
         "N/A"),"")</f>
        <v/>
      </c>
      <c r="R20" s="3331" t="str">
        <f t="shared" si="8"/>
        <v/>
      </c>
      <c r="S20" s="2784" t="str">
        <f t="shared" si="9"/>
        <v/>
      </c>
      <c r="T20" s="2046" t="str">
        <f t="shared" si="5"/>
        <v/>
      </c>
      <c r="U20" s="2072" t="str">
        <f t="shared" si="6"/>
        <v/>
      </c>
      <c r="V20" s="2073" t="str">
        <f>IF($A20&lt;&gt;"",
    IF(VLOOKUP($A20,dist_assets,24,FALSE)&lt;&gt;"",
       IF(LEFT(VLOOKUP($A20,dist_assets,24,FALSE),3)="Ora",
            IF(VLOOKUP($A20,dist_assets,16,FALSE)="NO","Stand-alone",
                IF(LEFT(VLOOKUP($A20,dist,16,FALSE),6)="Active",
                     IF(VLOOKUP($A20,dist_assets,17,FALSE)=INDEX($A$4:$A$42,MATCH($A20,$A$4:$A$41,0)+1,1),"Cluster 1",
                          IF(VLOOKUP($A20,dist_assets,17,FALSE)=INDEX($A$4:$A$42,MATCH($A20,$A$4:$A$41,0)-1,1),"Cluster 2","Oracle RAC"))))),""),
   "")</f>
        <v/>
      </c>
      <c r="W20" s="2400" t="str">
        <f t="shared" si="7"/>
        <v/>
      </c>
      <c r="X20" s="2079" t="str">
        <f t="shared" si="10"/>
        <v/>
      </c>
    </row>
    <row r="21" spans="1:24">
      <c r="A21" s="312"/>
      <c r="B21" s="2046" t="str">
        <f t="shared" si="0"/>
        <v/>
      </c>
      <c r="C21" s="1662"/>
      <c r="D21" s="2046" t="str">
        <f t="shared" si="1"/>
        <v/>
      </c>
      <c r="E21" s="2046" t="str">
        <f>IF(A21&lt;&gt;"",VLOOKUP(VLOOKUP(A21,'Distributed Assets'!$B$28:$V$102,2,FALSE),'Distributed Assets'!$C$7:$F$22,4,FALSE),"")</f>
        <v/>
      </c>
      <c r="F21" s="30" t="str">
        <f t="shared" si="2"/>
        <v/>
      </c>
      <c r="G21" s="30"/>
      <c r="H21" s="748" t="str">
        <f>IF($A21&lt;&gt;"",
     IF(VLOOKUP($A21,dist_assets,3, FALSE) ="New",
        IF(AND($D21="Linux",LEFT(VLOOKUP($A21,dist_assets,23,FALSE),3)="WAS"), VLOOKUP("RHEL+WAS",'BOM FUNCTIONS'!$CX$6:$CZ$13,2,FALSE),
               IF(AND($D21="AIX",LEFT(VLOOKUP($A21,dist_assets,24,FALSE),3)="DB2"), VLOOKUP("AIX+DB2",'BOM FUNCTIONS'!$CX$6:$CZ$13,2,FALSE),
                  IF(AND($D21="Linux",LEFT(VLOOKUP($A21,dist_assets,24,FALSE),3)="DB2"), VLOOKUP("RHEL+DB2",'BOM FUNCTIONS'!$CX$6:$CZ$13,2,FALSE),
                   IF($D21="AIX",VLOOKUP("AIX",'BOM FUNCTIONS'!$CX$6:$CZ$13,2,FALSE),
                  IF(AND($D21="Linux", LEFT(VLOOKUP($A21,dist_assets,22,FALSE),4)="RHEL"),VLOOKUP("RHEL",'BOM FUNCTIONS'!$CX$6:$CZ$13,2,FALSE),
                 IF(AND($D21="Linux", LEFT(VLOOKUP($A21,dist_assets,22,FALSE),4)="SLES"),VLOOKUP("SLES",'BOM FUNCTIONS'!$CX$6:$CZ$13,2,FALSE)))))))),"")</f>
        <v/>
      </c>
      <c r="I21" s="2073" t="str">
        <f>IF($A21&lt;&gt;"",
     IF(VLOOKUP($A21,'Distributed Assets'!$B$28:$V$102,3, FALSE) ="New",
      IF($D21="AIX",VLOOKUP("AIX",'BOM FUNCTIONS'!$CX$6:$CZ$11,3,FALSE),
         IF(AND(OR($D21="AIX",$D21="Linux"),LEFT(VLOOKUP($A21,'Distributed Assets'!$B$28:$Y$102,22,FALSE),3)="DB2"), VLOOKUP("AIX+DB2",'BOM FUNCTIONS'!$CX$6:$CZ$11,3,FALSE),
             IF(AND($D21="Linux", LEFT(VLOOKUP($A21,dist_assets,22,FALSE),4)="RHEL"),VLOOKUP("RHEL",'BOM FUNCTIONS'!$CX$6:$CZ$11,3,FALSE),
                 IF(AND($D21="Linux", LEFT(VLOOKUP($A21,dist_assets,22,FALSE),4)="SLES"),VLOOKUP("SLES",'BOM FUNCTIONS'!$CX$6:$CZ$9,3,FALSE)))))),"")</f>
        <v/>
      </c>
      <c r="J21" s="3404" t="str">
        <f>IF($A21&lt;&gt;"",
       IF(VLOOKUP($A21,'Distributed Assets'!$B$28:$V$102,3, FALSE) ="New",
          IF(LEFT(VLOOKUP($A21,'Distributed Assets'!$B$28:$AR$102,23,FALSE),3)="WAS",
             VLOOKUP(VLOOKUP($A21,'Distributed Assets'!$B$28:$BA$102,23,FALSE),'BOM FUNCTIONS'!$BV$6:$BW$23,2,FALSE),
           IF(LEFT(VLOOKUP($A21,'Distributed Assets'!$B$28:$AR$102,23,FALSE),5)="TomEE",
              VLOOKUP("was  TomEE 1.7.3 Web Profile",'BOM FUNCTIONS'!$BV$6:$BW$12,2,FALSE),
             IF(LEFT(VLOOKUP($A21,'Distributed Assets'!B45:AK119,24,FALSE),3)="Ora", Oracle_Standalone_fs(VLOOKUP($A21,dist_assets,44,FALSE)),
             IF(LEFT(VLOOKUP($A21,'Distributed Assets'!B45:AK119,24,FALSE),3)="DB2",DB2_FS(VLOOKUP($A21,dist_assets,44,FALSE)),"")))),""),"")</f>
        <v/>
      </c>
      <c r="K21" s="3073" t="str">
        <f>IF($A21&lt;&gt;"",
  IF(VLOOKUP($A21,dist_assets,3,FALSE)="New",
       IF($I21&lt;&gt;"",
          IF(LEFT(VLOOKUP($A21,dist_assets,23,FALSE),5)="TomEE"," 10",
            IF(LEFT(VLOOKUP($A21,dist_assets,23,FALSE),3)="WAS",VLOOKUP(VLOOKUP($A21,'Distributed Assets'!$B$28:$BA$102,23,FALSE),'BOM FUNCTIONS'!$BV$6:$BX$23,3,FALSE),
               IF(LEFT(VLOOKUP($A21,dist_assets,24,FALSE),3)="Ora","Unknown",
                     IF($D21&lt;&gt;"AIX", VLOOKUP($A21,dist_assets,35,FALSE)-100, "Enter LUN FS Values")))
                       ),""),""),"")</f>
        <v/>
      </c>
      <c r="L21" s="2186" t="str">
        <f>IF($A21&lt;&gt;"",
        IF(MATCH(A21,'NAS Details'!$A$8:$A$50,0)&lt;&gt;"",  CONCATENATE("Mount ", VLOOKUP($A21,'NAS Details'!$A$8:$W$50,21,FALSE)," from ", VLOOKUP($A21,'NAS Details'!$A$8:$W$50,20,FALSE), " as ", VLOOKUP($A21,'NAS Details'!$A$8:$W$50,22,FALSE))),"")</f>
        <v/>
      </c>
      <c r="M21" s="1758"/>
      <c r="N21" s="2071" t="str">
        <f t="shared" si="3"/>
        <v/>
      </c>
      <c r="O21" s="2071" t="str">
        <f t="shared" si="4"/>
        <v/>
      </c>
      <c r="P21" s="2071" t="str">
        <f>IF($B21&lt;&gt;"",
        IF(AND($E21="Prod 2.0",
                         dr_Level&lt;5,
                         $D21="AIX",
                          VLOOKUP($A21,dist_assets,26,FALSE)="Yes"),VLOOKUP($Q21,'BOM FUNCTIONS'!$CF$12:$CG$19,2,FALSE),
          "N/A"),
"")</f>
        <v/>
      </c>
      <c r="Q21" s="2071" t="str">
        <f>IF($A21&lt;&gt;"",
       IF(AND($E21="Prod 2.0",
                        dr_Level&lt;5,
                       $D21="AIX",
                        VLOOKUP($A21,dist_assets,26,FALSE)="Yes"),
              VLOOKUP($G21,'BOM FUNCTIONS'!$CA$12:$CG$19,6,FALSE),
         "N/A"),"")</f>
        <v/>
      </c>
      <c r="R21" s="3331" t="str">
        <f t="shared" si="8"/>
        <v/>
      </c>
      <c r="S21" s="2784" t="str">
        <f t="shared" si="9"/>
        <v/>
      </c>
      <c r="T21" s="2046" t="str">
        <f t="shared" si="5"/>
        <v/>
      </c>
      <c r="U21" s="2072" t="str">
        <f t="shared" si="6"/>
        <v/>
      </c>
      <c r="V21" s="2073" t="str">
        <f>IF($A21&lt;&gt;"",
    IF(VLOOKUP($A21,dist_assets,24,FALSE)&lt;&gt;"",
       IF(LEFT(VLOOKUP($A21,dist_assets,24,FALSE),3)="Ora",
            IF(VLOOKUP($A21,dist_assets,16,FALSE)="NO","Stand-alone",
                IF(LEFT(VLOOKUP($A21,dist,16,FALSE),6)="Active",
                     IF(VLOOKUP($A21,dist_assets,17,FALSE)=INDEX($A$4:$A$42,MATCH($A21,$A$4:$A$41,0)+1,1),"Cluster 1",
                          IF(VLOOKUP($A21,dist_assets,17,FALSE)=INDEX($A$4:$A$42,MATCH($A21,$A$4:$A$41,0)-1,1),"Cluster 2","Oracle RAC"))))),""),
   "")</f>
        <v/>
      </c>
      <c r="W21" s="2400" t="str">
        <f t="shared" si="7"/>
        <v/>
      </c>
      <c r="X21" s="2079" t="str">
        <f t="shared" si="10"/>
        <v/>
      </c>
    </row>
    <row r="22" spans="1:24">
      <c r="A22" s="312"/>
      <c r="B22" s="2046" t="str">
        <f t="shared" si="0"/>
        <v/>
      </c>
      <c r="C22" s="1662"/>
      <c r="D22" s="2046" t="str">
        <f t="shared" si="1"/>
        <v/>
      </c>
      <c r="E22" s="2046" t="str">
        <f>IF(A22&lt;&gt;"",VLOOKUP(VLOOKUP(A22,'Distributed Assets'!$B$28:$V$102,2,FALSE),'Distributed Assets'!$C$7:$F$22,4,FALSE),"")</f>
        <v/>
      </c>
      <c r="F22" s="30" t="str">
        <f t="shared" si="2"/>
        <v/>
      </c>
      <c r="G22" s="30"/>
      <c r="H22" s="748" t="str">
        <f>IF($A22&lt;&gt;"",
     IF(VLOOKUP($A22,dist_assets,3, FALSE) ="New",
        IF(AND($D22="Linux",LEFT(VLOOKUP($A22,dist_assets,23,FALSE),3)="WAS"), VLOOKUP("RHEL+WAS",'BOM FUNCTIONS'!$CX$6:$CZ$13,2,FALSE),
               IF(AND($D22="AIX",LEFT(VLOOKUP($A22,dist_assets,24,FALSE),3)="DB2"), VLOOKUP("AIX+DB2",'BOM FUNCTIONS'!$CX$6:$CZ$13,2,FALSE),
                  IF(AND($D22="Linux",LEFT(VLOOKUP($A22,dist_assets,24,FALSE),3)="DB2"), VLOOKUP("RHEL+DB2",'BOM FUNCTIONS'!$CX$6:$CZ$13,2,FALSE),
                   IF($D22="AIX",VLOOKUP("AIX",'BOM FUNCTIONS'!$CX$6:$CZ$13,2,FALSE),
                  IF(AND($D22="Linux", LEFT(VLOOKUP($A22,dist_assets,22,FALSE),4)="RHEL"),VLOOKUP("RHEL",'BOM FUNCTIONS'!$CX$6:$CZ$13,2,FALSE),
                 IF(AND($D22="Linux", LEFT(VLOOKUP($A22,dist_assets,22,FALSE),4)="SLES"),VLOOKUP("SLES",'BOM FUNCTIONS'!$CX$6:$CZ$13,2,FALSE)))))))),"")</f>
        <v/>
      </c>
      <c r="I22" s="2073" t="str">
        <f>IF($A22&lt;&gt;"",
     IF(VLOOKUP($A22,'Distributed Assets'!$B$28:$V$102,3, FALSE) ="New",
      IF($D22="AIX",VLOOKUP("AIX",'BOM FUNCTIONS'!$CX$6:$CZ$11,3,FALSE),
         IF(AND(OR($D22="AIX",$D22="Linux"),LEFT(VLOOKUP($A22,'Distributed Assets'!$B$28:$Y$102,22,FALSE),3)="DB2"), VLOOKUP("AIX+DB2",'BOM FUNCTIONS'!$CX$6:$CZ$11,3,FALSE),
             IF(AND($D22="Linux", LEFT(VLOOKUP($A22,dist_assets,22,FALSE),4)="RHEL"),VLOOKUP("RHEL",'BOM FUNCTIONS'!$CX$6:$CZ$11,3,FALSE),
                 IF(AND($D22="Linux", LEFT(VLOOKUP($A22,dist_assets,22,FALSE),4)="SLES"),VLOOKUP("SLES",'BOM FUNCTIONS'!$CX$6:$CZ$9,3,FALSE)))))),"")</f>
        <v/>
      </c>
      <c r="J22" s="3404" t="str">
        <f>IF($A22&lt;&gt;"",
       IF(VLOOKUP($A22,'Distributed Assets'!$B$28:$V$102,3, FALSE) ="New",
          IF(LEFT(VLOOKUP($A22,'Distributed Assets'!$B$28:$AR$102,23,FALSE),3)="WAS",
             VLOOKUP(VLOOKUP($A22,'Distributed Assets'!$B$28:$BA$102,23,FALSE),'BOM FUNCTIONS'!$BV$6:$BW$23,2,FALSE),
           IF(LEFT(VLOOKUP($A22,'Distributed Assets'!$B$28:$AR$102,23,FALSE),5)="TomEE",
              VLOOKUP("was  TomEE 1.7.3 Web Profile",'BOM FUNCTIONS'!$BV$6:$BW$12,2,FALSE),
             IF(LEFT(VLOOKUP($A22,'Distributed Assets'!B46:AK120,24,FALSE),3)="Ora", Oracle_Standalone_fs(VLOOKUP($A22,dist_assets,44,FALSE)),
             IF(LEFT(VLOOKUP($A22,'Distributed Assets'!B46:AK120,24,FALSE),3)="DB2",DB2_FS(VLOOKUP($A22,dist_assets,44,FALSE)),"")))),""),"")</f>
        <v/>
      </c>
      <c r="K22" s="3073" t="str">
        <f>IF($A22&lt;&gt;"",
  IF(VLOOKUP($A22,dist_assets,3,FALSE)="New",
       IF($I22&lt;&gt;"",
          IF(LEFT(VLOOKUP($A22,dist_assets,23,FALSE),5)="TomEE"," 10",
            IF(LEFT(VLOOKUP($A22,dist_assets,23,FALSE),3)="WAS",VLOOKUP(VLOOKUP($A22,'Distributed Assets'!$B$28:$BA$102,23,FALSE),'BOM FUNCTIONS'!$BV$6:$BX$23,3,FALSE),
               IF(LEFT(VLOOKUP($A22,dist_assets,24,FALSE),3)="Ora","Unknown",
                     IF($D22&lt;&gt;"AIX", VLOOKUP($A22,dist_assets,35,FALSE)-100, "Enter LUN FS Values")))
                       ),""),""),"")</f>
        <v/>
      </c>
      <c r="L22" s="2186" t="str">
        <f>IF($A22&lt;&gt;"",
        IF(MATCH(A22,'NAS Details'!$A$8:$A$50,0)&lt;&gt;"",  CONCATENATE("Mount ", VLOOKUP($A22,'NAS Details'!$A$8:$W$50,21,FALSE)," from ", VLOOKUP($A22,'NAS Details'!$A$8:$W$50,20,FALSE), " as ", VLOOKUP($A22,'NAS Details'!$A$8:$W$50,22,FALSE))),"")</f>
        <v/>
      </c>
      <c r="M22" s="1758"/>
      <c r="N22" s="2071" t="str">
        <f t="shared" si="3"/>
        <v/>
      </c>
      <c r="O22" s="2071" t="str">
        <f t="shared" si="4"/>
        <v/>
      </c>
      <c r="P22" s="2071" t="str">
        <f>IF($B22&lt;&gt;"",
        IF(AND($E22="Prod 2.0",
                         dr_Level&lt;5,
                         $D22="AIX",
                          VLOOKUP($A22,dist_assets,26,FALSE)="Yes"),VLOOKUP($Q22,'BOM FUNCTIONS'!$CF$12:$CG$19,2,FALSE),
          "N/A"),
"")</f>
        <v/>
      </c>
      <c r="Q22" s="2071" t="str">
        <f>IF($A22&lt;&gt;"",
       IF(AND($E22="Prod 2.0",
                        dr_Level&lt;5,
                       $D22="AIX",
                        VLOOKUP($A22,dist_assets,26,FALSE)="Yes"),
              VLOOKUP($G22,'BOM FUNCTIONS'!$CA$12:$CG$19,6,FALSE),
         "N/A"),"")</f>
        <v/>
      </c>
      <c r="R22" s="3331" t="str">
        <f t="shared" si="8"/>
        <v/>
      </c>
      <c r="S22" s="2784" t="str">
        <f t="shared" si="9"/>
        <v/>
      </c>
      <c r="T22" s="2046" t="str">
        <f t="shared" si="5"/>
        <v/>
      </c>
      <c r="U22" s="2072" t="str">
        <f t="shared" si="6"/>
        <v/>
      </c>
      <c r="V22" s="2073" t="str">
        <f>IF($A22&lt;&gt;"",
    IF(VLOOKUP($A22,dist_assets,24,FALSE)&lt;&gt;"",
       IF(LEFT(VLOOKUP($A22,dist_assets,24,FALSE),3)="Ora",
            IF(VLOOKUP($A22,dist_assets,16,FALSE)="NO","Stand-alone",
                IF(LEFT(VLOOKUP($A22,dist,16,FALSE),6)="Active",
                     IF(VLOOKUP($A22,dist_assets,17,FALSE)=INDEX($A$4:$A$42,MATCH($A22,$A$4:$A$41,0)+1,1),"Cluster 1",
                          IF(VLOOKUP($A22,dist_assets,17,FALSE)=INDEX($A$4:$A$42,MATCH($A22,$A$4:$A$41,0)-1,1),"Cluster 2","Oracle RAC"))))),""),
   "")</f>
        <v/>
      </c>
      <c r="W22" s="2400" t="str">
        <f t="shared" si="7"/>
        <v/>
      </c>
      <c r="X22" s="2079" t="str">
        <f t="shared" si="10"/>
        <v/>
      </c>
    </row>
    <row r="23" spans="1:24">
      <c r="A23" s="312"/>
      <c r="B23" s="2046" t="str">
        <f t="shared" si="0"/>
        <v/>
      </c>
      <c r="C23" s="1662"/>
      <c r="D23" s="2046" t="str">
        <f t="shared" si="1"/>
        <v/>
      </c>
      <c r="E23" s="2046" t="str">
        <f>IF(A23&lt;&gt;"",VLOOKUP(VLOOKUP(A23,'Distributed Assets'!$B$28:$V$102,2,FALSE),'Distributed Assets'!$C$7:$F$22,4,FALSE),"")</f>
        <v/>
      </c>
      <c r="F23" s="30" t="str">
        <f t="shared" si="2"/>
        <v/>
      </c>
      <c r="G23" s="30"/>
      <c r="H23" s="748" t="str">
        <f>IF($A23&lt;&gt;"",
     IF(VLOOKUP($A23,dist_assets,3, FALSE) ="New",
        IF(AND($D23="Linux",LEFT(VLOOKUP($A23,dist_assets,23,FALSE),3)="WAS"), VLOOKUP("RHEL+WAS",'BOM FUNCTIONS'!$CX$6:$CZ$13,2,FALSE),
               IF(AND($D23="AIX",LEFT(VLOOKUP($A23,dist_assets,24,FALSE),3)="DB2"), VLOOKUP("AIX+DB2",'BOM FUNCTIONS'!$CX$6:$CZ$13,2,FALSE),
                  IF(AND($D23="Linux",LEFT(VLOOKUP($A23,dist_assets,24,FALSE),3)="DB2"), VLOOKUP("RHEL+DB2",'BOM FUNCTIONS'!$CX$6:$CZ$13,2,FALSE),
                   IF($D23="AIX",VLOOKUP("AIX",'BOM FUNCTIONS'!$CX$6:$CZ$13,2,FALSE),
                  IF(AND($D23="Linux", LEFT(VLOOKUP($A23,dist_assets,22,FALSE),4)="RHEL"),VLOOKUP("RHEL",'BOM FUNCTIONS'!$CX$6:$CZ$13,2,FALSE),
                 IF(AND($D23="Linux", LEFT(VLOOKUP($A23,dist_assets,22,FALSE),4)="SLES"),VLOOKUP("SLES",'BOM FUNCTIONS'!$CX$6:$CZ$13,2,FALSE)))))))),"")</f>
        <v/>
      </c>
      <c r="I23" s="2073" t="str">
        <f>IF($A23&lt;&gt;"",
     IF(VLOOKUP($A23,'Distributed Assets'!$B$28:$V$102,3, FALSE) ="New",
      IF($D23="AIX",VLOOKUP("AIX",'BOM FUNCTIONS'!$CX$6:$CZ$11,3,FALSE),
         IF(AND(OR($D23="AIX",$D23="Linux"),LEFT(VLOOKUP($A23,'Distributed Assets'!$B$28:$Y$102,22,FALSE),3)="DB2"), VLOOKUP("AIX+DB2",'BOM FUNCTIONS'!$CX$6:$CZ$11,3,FALSE),
             IF(AND($D23="Linux", LEFT(VLOOKUP($A23,dist_assets,22,FALSE),4)="RHEL"),VLOOKUP("RHEL",'BOM FUNCTIONS'!$CX$6:$CZ$11,3,FALSE),
                 IF(AND($D23="Linux", LEFT(VLOOKUP($A23,dist_assets,22,FALSE),4)="SLES"),VLOOKUP("SLES",'BOM FUNCTIONS'!$CX$6:$CZ$9,3,FALSE)))))),"")</f>
        <v/>
      </c>
      <c r="J23" s="3404" t="str">
        <f>IF($A23&lt;&gt;"",
       IF(VLOOKUP($A23,'Distributed Assets'!$B$28:$V$102,3, FALSE) ="New",
          IF(LEFT(VLOOKUP($A23,'Distributed Assets'!$B$28:$AR$102,23,FALSE),3)="WAS",
             VLOOKUP(VLOOKUP($A23,'Distributed Assets'!$B$28:$BA$102,23,FALSE),'BOM FUNCTIONS'!$BV$6:$BW$23,2,FALSE),
           IF(LEFT(VLOOKUP($A23,'Distributed Assets'!$B$28:$AR$102,23,FALSE),5)="TomEE",
              VLOOKUP("was  TomEE 1.7.3 Web Profile",'BOM FUNCTIONS'!$BV$6:$BW$12,2,FALSE),
             IF(LEFT(VLOOKUP($A23,'Distributed Assets'!B47:AK121,24,FALSE),3)="Ora", Oracle_Standalone_fs(VLOOKUP($A23,dist_assets,44,FALSE)),
             IF(LEFT(VLOOKUP($A23,'Distributed Assets'!B47:AK121,24,FALSE),3)="DB2",DB2_FS(VLOOKUP($A23,dist_assets,44,FALSE)),"")))),""),"")</f>
        <v/>
      </c>
      <c r="K23" s="3073" t="str">
        <f>IF($A23&lt;&gt;"",
  IF(VLOOKUP($A23,dist_assets,3,FALSE)="New",
       IF($I23&lt;&gt;"",
          IF(LEFT(VLOOKUP($A23,dist_assets,23,FALSE),5)="TomEE"," 10",
            IF(LEFT(VLOOKUP($A23,dist_assets,23,FALSE),3)="WAS",VLOOKUP(VLOOKUP($A23,'Distributed Assets'!$B$28:$BA$102,23,FALSE),'BOM FUNCTIONS'!$BV$6:$BX$23,3,FALSE),
               IF(LEFT(VLOOKUP($A23,dist_assets,24,FALSE),3)="Ora","Unknown",
                     IF($D23&lt;&gt;"AIX", VLOOKUP($A23,dist_assets,35,FALSE)-100, "Enter LUN FS Values")))
                       ),""),""),"")</f>
        <v/>
      </c>
      <c r="L23" s="2186" t="str">
        <f>IF($A23&lt;&gt;"",
        IF(MATCH(A23,'NAS Details'!$A$8:$A$50,0)&lt;&gt;"",  CONCATENATE("Mount ", VLOOKUP($A23,'NAS Details'!$A$8:$W$50,21,FALSE)," from ", VLOOKUP($A23,'NAS Details'!$A$8:$W$50,20,FALSE), " as ", VLOOKUP($A23,'NAS Details'!$A$8:$W$50,22,FALSE))),"")</f>
        <v/>
      </c>
      <c r="M23" s="1758"/>
      <c r="N23" s="2071" t="str">
        <f t="shared" si="3"/>
        <v/>
      </c>
      <c r="O23" s="2071" t="str">
        <f t="shared" si="4"/>
        <v/>
      </c>
      <c r="P23" s="2071" t="str">
        <f>IF($B23&lt;&gt;"",
        IF(AND($E23="Prod 2.0",
                         dr_Level&lt;5,
                         $D23="AIX",
                          VLOOKUP($A23,dist_assets,26,FALSE)="Yes"),VLOOKUP($Q23,'BOM FUNCTIONS'!$CF$12:$CG$19,2,FALSE),
          "N/A"),
"")</f>
        <v/>
      </c>
      <c r="Q23" s="2071" t="str">
        <f>IF($A23&lt;&gt;"",
       IF(AND($E23="Prod 2.0",
                        dr_Level&lt;5,
                       $D23="AIX",
                        VLOOKUP($A23,dist_assets,26,FALSE)="Yes"),
              VLOOKUP($G23,'BOM FUNCTIONS'!$CA$12:$CG$19,6,FALSE),
         "N/A"),"")</f>
        <v/>
      </c>
      <c r="R23" s="3331" t="str">
        <f t="shared" si="8"/>
        <v/>
      </c>
      <c r="S23" s="2784" t="str">
        <f t="shared" si="9"/>
        <v/>
      </c>
      <c r="T23" s="2046" t="str">
        <f t="shared" si="5"/>
        <v/>
      </c>
      <c r="U23" s="2072" t="str">
        <f t="shared" si="6"/>
        <v/>
      </c>
      <c r="V23" s="2073" t="str">
        <f>IF($A23&lt;&gt;"",
    IF(VLOOKUP($A23,dist_assets,24,FALSE)&lt;&gt;"",
       IF(LEFT(VLOOKUP($A23,dist_assets,24,FALSE),3)="Ora",
            IF(VLOOKUP($A23,dist_assets,16,FALSE)="NO","Stand-alone",
                IF(LEFT(VLOOKUP($A23,dist,16,FALSE),6)="Active",
                     IF(VLOOKUP($A23,dist_assets,17,FALSE)=INDEX($A$4:$A$42,MATCH($A23,$A$4:$A$41,0)+1,1),"Cluster 1",
                          IF(VLOOKUP($A23,dist_assets,17,FALSE)=INDEX($A$4:$A$42,MATCH($A23,$A$4:$A$41,0)-1,1),"Cluster 2","Oracle RAC"))))),""),
   "")</f>
        <v/>
      </c>
      <c r="W23" s="2400" t="str">
        <f t="shared" si="7"/>
        <v/>
      </c>
      <c r="X23" s="2079" t="str">
        <f t="shared" si="10"/>
        <v/>
      </c>
    </row>
    <row r="24" spans="1:24">
      <c r="A24" s="312"/>
      <c r="B24" s="2046" t="str">
        <f t="shared" si="0"/>
        <v/>
      </c>
      <c r="C24" s="1662"/>
      <c r="D24" s="2046" t="str">
        <f t="shared" si="1"/>
        <v/>
      </c>
      <c r="E24" s="2046" t="str">
        <f>IF(A24&lt;&gt;"",VLOOKUP(VLOOKUP(A24,'Distributed Assets'!$B$28:$V$102,2,FALSE),'Distributed Assets'!$C$7:$F$22,4,FALSE),"")</f>
        <v/>
      </c>
      <c r="F24" s="30" t="str">
        <f t="shared" si="2"/>
        <v/>
      </c>
      <c r="G24" s="30"/>
      <c r="H24" s="748" t="str">
        <f>IF($A24&lt;&gt;"",
     IF(VLOOKUP($A24,dist_assets,3, FALSE) ="New",
        IF(AND($D24="Linux",LEFT(VLOOKUP($A24,dist_assets,23,FALSE),3)="WAS"), VLOOKUP("RHEL+WAS",'BOM FUNCTIONS'!$CX$6:$CZ$13,2,FALSE),
               IF(AND($D24="AIX",LEFT(VLOOKUP($A24,dist_assets,24,FALSE),3)="DB2"), VLOOKUP("AIX+DB2",'BOM FUNCTIONS'!$CX$6:$CZ$13,2,FALSE),
                  IF(AND($D24="Linux",LEFT(VLOOKUP($A24,dist_assets,24,FALSE),3)="DB2"), VLOOKUP("RHEL+DB2",'BOM FUNCTIONS'!$CX$6:$CZ$13,2,FALSE),
                   IF($D24="AIX",VLOOKUP("AIX",'BOM FUNCTIONS'!$CX$6:$CZ$13,2,FALSE),
                  IF(AND($D24="Linux", LEFT(VLOOKUP($A24,dist_assets,22,FALSE),4)="RHEL"),VLOOKUP("RHEL",'BOM FUNCTIONS'!$CX$6:$CZ$13,2,FALSE),
                 IF(AND($D24="Linux", LEFT(VLOOKUP($A24,dist_assets,22,FALSE),4)="SLES"),VLOOKUP("SLES",'BOM FUNCTIONS'!$CX$6:$CZ$13,2,FALSE)))))))),"")</f>
        <v/>
      </c>
      <c r="I24" s="2073" t="str">
        <f>IF($A24&lt;&gt;"",
     IF(VLOOKUP($A24,'Distributed Assets'!$B$28:$V$102,3, FALSE) ="New",
      IF($D24="AIX",VLOOKUP("AIX",'BOM FUNCTIONS'!$CX$6:$CZ$11,3,FALSE),
         IF(AND(OR($D24="AIX",$D24="Linux"),LEFT(VLOOKUP($A24,'Distributed Assets'!$B$28:$Y$102,22,FALSE),3)="DB2"), VLOOKUP("AIX+DB2",'BOM FUNCTIONS'!$CX$6:$CZ$11,3,FALSE),
             IF(AND($D24="Linux", LEFT(VLOOKUP($A24,dist_assets,22,FALSE),4)="RHEL"),VLOOKUP("RHEL",'BOM FUNCTIONS'!$CX$6:$CZ$11,3,FALSE),
                 IF(AND($D24="Linux", LEFT(VLOOKUP($A24,dist_assets,22,FALSE),4)="SLES"),VLOOKUP("SLES",'BOM FUNCTIONS'!$CX$6:$CZ$9,3,FALSE)))))),"")</f>
        <v/>
      </c>
      <c r="J24" s="3404" t="str">
        <f>IF($A24&lt;&gt;"",
       IF(VLOOKUP($A24,'Distributed Assets'!$B$28:$V$102,3, FALSE) ="New",
          IF(LEFT(VLOOKUP($A24,'Distributed Assets'!$B$28:$AR$102,23,FALSE),3)="WAS",
             VLOOKUP(VLOOKUP($A24,'Distributed Assets'!$B$28:$BA$102,23,FALSE),'BOM FUNCTIONS'!$BV$6:$BW$23,2,FALSE),
           IF(LEFT(VLOOKUP($A24,'Distributed Assets'!$B$28:$AR$102,23,FALSE),5)="TomEE",
              VLOOKUP("was  TomEE 1.7.3 Web Profile",'BOM FUNCTIONS'!$BV$6:$BW$12,2,FALSE),
             IF(LEFT(VLOOKUP($A24,'Distributed Assets'!B48:AK122,24,FALSE),3)="Ora", Oracle_Standalone_fs(VLOOKUP($A24,dist_assets,44,FALSE)),
             IF(LEFT(VLOOKUP($A24,'Distributed Assets'!B48:AK122,24,FALSE),3)="DB2",DB2_FS(VLOOKUP($A24,dist_assets,44,FALSE)),"")))),""),"")</f>
        <v/>
      </c>
      <c r="K24" s="3073" t="str">
        <f>IF($A24&lt;&gt;"",
  IF(VLOOKUP($A24,dist_assets,3,FALSE)="New",
       IF($I24&lt;&gt;"",
          IF(LEFT(VLOOKUP($A24,dist_assets,23,FALSE),5)="TomEE"," 10",
            IF(LEFT(VLOOKUP($A24,dist_assets,23,FALSE),3)="WAS",VLOOKUP(VLOOKUP($A24,'Distributed Assets'!$B$28:$BA$102,23,FALSE),'BOM FUNCTIONS'!$BV$6:$BX$23,3,FALSE),
               IF(LEFT(VLOOKUP($A24,dist_assets,24,FALSE),3)="Ora","Unknown",
                     IF($D24&lt;&gt;"AIX", VLOOKUP($A24,dist_assets,35,FALSE)-100, "Enter LUN FS Values")))
                       ),""),""),"")</f>
        <v/>
      </c>
      <c r="L24" s="2186" t="str">
        <f>IF($A24&lt;&gt;"",
        IF(MATCH(A24,'NAS Details'!$A$8:$A$50,0)&lt;&gt;"",  CONCATENATE("Mount ", VLOOKUP($A24,'NAS Details'!$A$8:$W$50,21,FALSE)," from ", VLOOKUP($A24,'NAS Details'!$A$8:$W$50,20,FALSE), " as ", VLOOKUP($A24,'NAS Details'!$A$8:$W$50,22,FALSE))),"")</f>
        <v/>
      </c>
      <c r="M24" s="1758"/>
      <c r="N24" s="2071" t="str">
        <f t="shared" si="3"/>
        <v/>
      </c>
      <c r="O24" s="2071" t="str">
        <f t="shared" si="4"/>
        <v/>
      </c>
      <c r="P24" s="2071" t="str">
        <f>IF($B24&lt;&gt;"",
        IF(AND($E24="Prod 2.0",
                         dr_Level&lt;5,
                         $D24="AIX",
                          VLOOKUP($A24,dist_assets,26,FALSE)="Yes"),VLOOKUP($Q24,'BOM FUNCTIONS'!$CF$12:$CG$19,2,FALSE),
          "N/A"),
"")</f>
        <v/>
      </c>
      <c r="Q24" s="2071" t="str">
        <f>IF($A24&lt;&gt;"",
       IF(AND($E24="Prod 2.0",
                        dr_Level&lt;5,
                       $D24="AIX",
                        VLOOKUP($A24,dist_assets,26,FALSE)="Yes"),
              VLOOKUP($G24,'BOM FUNCTIONS'!$CA$12:$CG$19,6,FALSE),
         "N/A"),"")</f>
        <v/>
      </c>
      <c r="R24" s="3331" t="str">
        <f t="shared" si="8"/>
        <v/>
      </c>
      <c r="S24" s="2784" t="str">
        <f t="shared" si="9"/>
        <v/>
      </c>
      <c r="T24" s="2046" t="str">
        <f t="shared" si="5"/>
        <v/>
      </c>
      <c r="U24" s="2072" t="str">
        <f t="shared" si="6"/>
        <v/>
      </c>
      <c r="V24" s="2073" t="str">
        <f>IF($A24&lt;&gt;"",
    IF(VLOOKUP($A24,dist_assets,24,FALSE)&lt;&gt;"",
       IF(LEFT(VLOOKUP($A24,dist_assets,24,FALSE),3)="Ora",
            IF(VLOOKUP($A24,dist_assets,16,FALSE)="NO","Stand-alone",
                IF(LEFT(VLOOKUP($A24,dist,16,FALSE),6)="Active",
                     IF(VLOOKUP($A24,dist_assets,17,FALSE)=INDEX($A$4:$A$42,MATCH($A24,$A$4:$A$41,0)+1,1),"Cluster 1",
                          IF(VLOOKUP($A24,dist_assets,17,FALSE)=INDEX($A$4:$A$42,MATCH($A24,$A$4:$A$41,0)-1,1),"Cluster 2","Oracle RAC"))))),""),
   "")</f>
        <v/>
      </c>
      <c r="W24" s="2400" t="str">
        <f t="shared" si="7"/>
        <v/>
      </c>
      <c r="X24" s="2079" t="str">
        <f t="shared" si="10"/>
        <v/>
      </c>
    </row>
    <row r="25" spans="1:24">
      <c r="A25" s="312"/>
      <c r="B25" s="2046" t="str">
        <f t="shared" si="0"/>
        <v/>
      </c>
      <c r="C25" s="1662"/>
      <c r="D25" s="2046" t="str">
        <f t="shared" si="1"/>
        <v/>
      </c>
      <c r="E25" s="2046" t="str">
        <f>IF(A25&lt;&gt;"",VLOOKUP(VLOOKUP(A25,'Distributed Assets'!$B$28:$V$102,2,FALSE),'Distributed Assets'!$C$7:$F$22,4,FALSE),"")</f>
        <v/>
      </c>
      <c r="F25" s="30" t="str">
        <f t="shared" si="2"/>
        <v/>
      </c>
      <c r="G25" s="30"/>
      <c r="H25" s="748" t="str">
        <f>IF($A25&lt;&gt;"",
     IF(VLOOKUP($A25,dist_assets,3, FALSE) ="New",
        IF(AND($D25="Linux",LEFT(VLOOKUP($A25,dist_assets,23,FALSE),3)="WAS"), VLOOKUP("RHEL+WAS",'BOM FUNCTIONS'!$CX$6:$CZ$13,2,FALSE),
               IF(AND($D25="AIX",LEFT(VLOOKUP($A25,dist_assets,24,FALSE),3)="DB2"), VLOOKUP("AIX+DB2",'BOM FUNCTIONS'!$CX$6:$CZ$13,2,FALSE),
                  IF(AND($D25="Linux",LEFT(VLOOKUP($A25,dist_assets,24,FALSE),3)="DB2"), VLOOKUP("RHEL+DB2",'BOM FUNCTIONS'!$CX$6:$CZ$13,2,FALSE),
                   IF($D25="AIX",VLOOKUP("AIX",'BOM FUNCTIONS'!$CX$6:$CZ$13,2,FALSE),
                  IF(AND($D25="Linux", LEFT(VLOOKUP($A25,dist_assets,22,FALSE),4)="RHEL"),VLOOKUP("RHEL",'BOM FUNCTIONS'!$CX$6:$CZ$13,2,FALSE),
                 IF(AND($D25="Linux", LEFT(VLOOKUP($A25,dist_assets,22,FALSE),4)="SLES"),VLOOKUP("SLES",'BOM FUNCTIONS'!$CX$6:$CZ$13,2,FALSE)))))))),"")</f>
        <v/>
      </c>
      <c r="I25" s="2073" t="str">
        <f>IF($A25&lt;&gt;"",
     IF(VLOOKUP($A25,'Distributed Assets'!$B$28:$V$102,3, FALSE) ="New",
      IF($D25="AIX",VLOOKUP("AIX",'BOM FUNCTIONS'!$CX$6:$CZ$11,3,FALSE),
         IF(AND(OR($D25="AIX",$D25="Linux"),LEFT(VLOOKUP($A25,'Distributed Assets'!$B$28:$Y$102,22,FALSE),3)="DB2"), VLOOKUP("AIX+DB2",'BOM FUNCTIONS'!$CX$6:$CZ$11,3,FALSE),
             IF(AND($D25="Linux", LEFT(VLOOKUP($A25,dist_assets,22,FALSE),4)="RHEL"),VLOOKUP("RHEL",'BOM FUNCTIONS'!$CX$6:$CZ$11,3,FALSE),
                 IF(AND($D25="Linux", LEFT(VLOOKUP($A25,dist_assets,22,FALSE),4)="SLES"),VLOOKUP("SLES",'BOM FUNCTIONS'!$CX$6:$CZ$9,3,FALSE)))))),"")</f>
        <v/>
      </c>
      <c r="J25" s="3404" t="str">
        <f>IF($A25&lt;&gt;"",
       IF(VLOOKUP($A25,'Distributed Assets'!$B$28:$V$102,3, FALSE) ="New",
          IF(LEFT(VLOOKUP($A25,'Distributed Assets'!$B$28:$AR$102,23,FALSE),3)="WAS",
             VLOOKUP(VLOOKUP($A25,'Distributed Assets'!$B$28:$BA$102,23,FALSE),'BOM FUNCTIONS'!$BV$6:$BW$23,2,FALSE),
           IF(LEFT(VLOOKUP($A25,'Distributed Assets'!$B$28:$AR$102,23,FALSE),5)="TomEE",
              VLOOKUP("was  TomEE 1.7.3 Web Profile",'BOM FUNCTIONS'!$BV$6:$BW$12,2,FALSE),
             IF(LEFT(VLOOKUP($A25,'Distributed Assets'!B49:AK123,24,FALSE),3)="Ora", Oracle_Standalone_fs(VLOOKUP($A25,dist_assets,44,FALSE)),
             IF(LEFT(VLOOKUP($A25,'Distributed Assets'!B49:AK123,24,FALSE),3)="DB2",DB2_FS(VLOOKUP($A25,dist_assets,44,FALSE)),"")))),""),"")</f>
        <v/>
      </c>
      <c r="K25" s="3073" t="str">
        <f>IF($A25&lt;&gt;"",
  IF(VLOOKUP($A25,dist_assets,3,FALSE)="New",
       IF($I25&lt;&gt;"",
          IF(LEFT(VLOOKUP($A25,dist_assets,23,FALSE),5)="TomEE"," 10",
            IF(LEFT(VLOOKUP($A25,dist_assets,23,FALSE),3)="WAS",VLOOKUP(VLOOKUP($A25,'Distributed Assets'!$B$28:$BA$102,23,FALSE),'BOM FUNCTIONS'!$BV$6:$BX$23,3,FALSE),
               IF(LEFT(VLOOKUP($A25,dist_assets,24,FALSE),3)="Ora","Unknown",
                     IF($D25&lt;&gt;"AIX", VLOOKUP($A25,dist_assets,35,FALSE)-100, "Enter LUN FS Values")))
                       ),""),""),"")</f>
        <v/>
      </c>
      <c r="L25" s="2186" t="str">
        <f>IF($A25&lt;&gt;"",
        IF(MATCH(A25,'NAS Details'!$A$8:$A$50,0)&lt;&gt;"",  CONCATENATE("Mount ", VLOOKUP($A25,'NAS Details'!$A$8:$W$50,21,FALSE)," from ", VLOOKUP($A25,'NAS Details'!$A$8:$W$50,20,FALSE), " as ", VLOOKUP($A25,'NAS Details'!$A$8:$W$50,22,FALSE))),"")</f>
        <v/>
      </c>
      <c r="M25" s="1758"/>
      <c r="N25" s="2071" t="str">
        <f t="shared" si="3"/>
        <v/>
      </c>
      <c r="O25" s="2071" t="str">
        <f t="shared" si="4"/>
        <v/>
      </c>
      <c r="P25" s="2071" t="str">
        <f>IF($B25&lt;&gt;"",
        IF(AND($E25="Prod 2.0",
                         dr_Level&lt;5,
                         $D25="AIX",
                          VLOOKUP($A25,dist_assets,26,FALSE)="Yes"),VLOOKUP($Q25,'BOM FUNCTIONS'!$CF$12:$CG$19,2,FALSE),
          "N/A"),
"")</f>
        <v/>
      </c>
      <c r="Q25" s="2071" t="str">
        <f>IF($A25&lt;&gt;"",
       IF(AND($E25="Prod 2.0",
                        dr_Level&lt;5,
                       $D25="AIX",
                        VLOOKUP($A25,dist_assets,26,FALSE)="Yes"),
              VLOOKUP($G25,'BOM FUNCTIONS'!$CA$12:$CG$19,6,FALSE),
         "N/A"),"")</f>
        <v/>
      </c>
      <c r="R25" s="3331" t="str">
        <f t="shared" si="8"/>
        <v/>
      </c>
      <c r="S25" s="2784" t="str">
        <f t="shared" si="9"/>
        <v/>
      </c>
      <c r="T25" s="2046" t="str">
        <f t="shared" si="5"/>
        <v/>
      </c>
      <c r="U25" s="2072" t="str">
        <f t="shared" si="6"/>
        <v/>
      </c>
      <c r="V25" s="2073" t="str">
        <f>IF($A25&lt;&gt;"",
    IF(VLOOKUP($A25,dist_assets,24,FALSE)&lt;&gt;"",
       IF(LEFT(VLOOKUP($A25,dist_assets,24,FALSE),3)="Ora",
            IF(VLOOKUP($A25,dist_assets,16,FALSE)="NO","Stand-alone",
                IF(LEFT(VLOOKUP($A25,dist,16,FALSE),6)="Active",
                     IF(VLOOKUP($A25,dist_assets,17,FALSE)=INDEX($A$4:$A$42,MATCH($A25,$A$4:$A$41,0)+1,1),"Cluster 1",
                          IF(VLOOKUP($A25,dist_assets,17,FALSE)=INDEX($A$4:$A$42,MATCH($A25,$A$4:$A$41,0)-1,1),"Cluster 2","Oracle RAC"))))),""),
   "")</f>
        <v/>
      </c>
      <c r="W25" s="2400" t="str">
        <f t="shared" si="7"/>
        <v/>
      </c>
      <c r="X25" s="2079" t="str">
        <f t="shared" si="10"/>
        <v/>
      </c>
    </row>
    <row r="26" spans="1:24">
      <c r="A26" s="312"/>
      <c r="B26" s="2046" t="str">
        <f t="shared" si="0"/>
        <v/>
      </c>
      <c r="C26" s="1662"/>
      <c r="D26" s="2046" t="str">
        <f t="shared" si="1"/>
        <v/>
      </c>
      <c r="E26" s="2046" t="str">
        <f>IF(A26&lt;&gt;"",VLOOKUP(VLOOKUP(A26,'Distributed Assets'!$B$28:$V$102,2,FALSE),'Distributed Assets'!$C$7:$F$22,4,FALSE),"")</f>
        <v/>
      </c>
      <c r="F26" s="30" t="str">
        <f t="shared" si="2"/>
        <v/>
      </c>
      <c r="G26" s="30"/>
      <c r="H26" s="748" t="str">
        <f>IF($A26&lt;&gt;"",
     IF(VLOOKUP($A26,dist_assets,3, FALSE) ="New",
        IF(AND($D26="Linux",LEFT(VLOOKUP($A26,dist_assets,23,FALSE),3)="WAS"), VLOOKUP("RHEL+WAS",'BOM FUNCTIONS'!$CX$6:$CZ$13,2,FALSE),
               IF(AND($D26="AIX",LEFT(VLOOKUP($A26,dist_assets,24,FALSE),3)="DB2"), VLOOKUP("AIX+DB2",'BOM FUNCTIONS'!$CX$6:$CZ$13,2,FALSE),
                  IF(AND($D26="Linux",LEFT(VLOOKUP($A26,dist_assets,24,FALSE),3)="DB2"), VLOOKUP("RHEL+DB2",'BOM FUNCTIONS'!$CX$6:$CZ$13,2,FALSE),
                   IF($D26="AIX",VLOOKUP("AIX",'BOM FUNCTIONS'!$CX$6:$CZ$13,2,FALSE),
                  IF(AND($D26="Linux", LEFT(VLOOKUP($A26,dist_assets,22,FALSE),4)="RHEL"),VLOOKUP("RHEL",'BOM FUNCTIONS'!$CX$6:$CZ$13,2,FALSE),
                 IF(AND($D26="Linux", LEFT(VLOOKUP($A26,dist_assets,22,FALSE),4)="SLES"),VLOOKUP("SLES",'BOM FUNCTIONS'!$CX$6:$CZ$13,2,FALSE)))))))),"")</f>
        <v/>
      </c>
      <c r="I26" s="2073" t="str">
        <f>IF($A26&lt;&gt;"",
     IF(VLOOKUP($A26,'Distributed Assets'!$B$28:$V$102,3, FALSE) ="New",
      IF($D26="AIX",VLOOKUP("AIX",'BOM FUNCTIONS'!$CX$6:$CZ$11,3,FALSE),
         IF(AND(OR($D26="AIX",$D26="Linux"),LEFT(VLOOKUP($A26,'Distributed Assets'!$B$28:$Y$102,22,FALSE),3)="DB2"), VLOOKUP("AIX+DB2",'BOM FUNCTIONS'!$CX$6:$CZ$11,3,FALSE),
             IF(AND($D26="Linux", LEFT(VLOOKUP($A26,dist_assets,22,FALSE),4)="RHEL"),VLOOKUP("RHEL",'BOM FUNCTIONS'!$CX$6:$CZ$11,3,FALSE),
                 IF(AND($D26="Linux", LEFT(VLOOKUP($A26,dist_assets,22,FALSE),4)="SLES"),VLOOKUP("SLES",'BOM FUNCTIONS'!$CX$6:$CZ$9,3,FALSE)))))),"")</f>
        <v/>
      </c>
      <c r="J26" s="3404" t="str">
        <f>IF($A26&lt;&gt;"",
       IF(VLOOKUP($A26,'Distributed Assets'!$B$28:$V$102,3, FALSE) ="New",
          IF(LEFT(VLOOKUP($A26,'Distributed Assets'!$B$28:$AR$102,23,FALSE),3)="WAS",
             VLOOKUP(VLOOKUP($A26,'Distributed Assets'!$B$28:$BA$102,23,FALSE),'BOM FUNCTIONS'!$BV$6:$BW$23,2,FALSE),
           IF(LEFT(VLOOKUP($A26,'Distributed Assets'!$B$28:$AR$102,23,FALSE),5)="TomEE",
              VLOOKUP("was  TomEE 1.7.3 Web Profile",'BOM FUNCTIONS'!$BV$6:$BW$12,2,FALSE),
             IF(LEFT(VLOOKUP($A26,'Distributed Assets'!B50:AK124,24,FALSE),3)="Ora", Oracle_Standalone_fs(VLOOKUP($A26,dist_assets,44,FALSE)),
             IF(LEFT(VLOOKUP($A26,'Distributed Assets'!B50:AK124,24,FALSE),3)="DB2",DB2_FS(VLOOKUP($A26,dist_assets,44,FALSE)),"")))),""),"")</f>
        <v/>
      </c>
      <c r="K26" s="3073" t="str">
        <f>IF($A26&lt;&gt;"",
  IF(VLOOKUP($A26,dist_assets,3,FALSE)="New",
       IF($I26&lt;&gt;"",
          IF(LEFT(VLOOKUP($A26,dist_assets,23,FALSE),5)="TomEE"," 10",
            IF(LEFT(VLOOKUP($A26,dist_assets,23,FALSE),3)="WAS",VLOOKUP(VLOOKUP($A26,'Distributed Assets'!$B$28:$BA$102,23,FALSE),'BOM FUNCTIONS'!$BV$6:$BX$23,3,FALSE),
               IF(LEFT(VLOOKUP($A26,dist_assets,24,FALSE),3)="Ora","Unknown",
                     IF($D26&lt;&gt;"AIX", VLOOKUP($A26,dist_assets,35,FALSE)-100, "Enter LUN FS Values")))
                       ),""),""),"")</f>
        <v/>
      </c>
      <c r="L26" s="2186" t="str">
        <f>IF($A26&lt;&gt;"",
        IF(MATCH(A26,'NAS Details'!$A$8:$A$50,0)&lt;&gt;"",  CONCATENATE("Mount ", VLOOKUP($A26,'NAS Details'!$A$8:$W$50,21,FALSE)," from ", VLOOKUP($A26,'NAS Details'!$A$8:$W$50,20,FALSE), " as ", VLOOKUP($A26,'NAS Details'!$A$8:$W$50,22,FALSE))),"")</f>
        <v/>
      </c>
      <c r="M26" s="1758"/>
      <c r="N26" s="2071" t="str">
        <f t="shared" si="3"/>
        <v/>
      </c>
      <c r="O26" s="2071" t="str">
        <f t="shared" si="4"/>
        <v/>
      </c>
      <c r="P26" s="2071" t="str">
        <f>IF($B26&lt;&gt;"",
        IF(AND($E26="Prod 2.0",
                         dr_Level&lt;5,
                         $D26="AIX",
                          VLOOKUP($A26,dist_assets,26,FALSE)="Yes"),VLOOKUP($Q26,'BOM FUNCTIONS'!$CF$12:$CG$19,2,FALSE),
          "N/A"),
"")</f>
        <v/>
      </c>
      <c r="Q26" s="2071" t="str">
        <f>IF($A26&lt;&gt;"",
       IF(AND($E26="Prod 2.0",
                        dr_Level&lt;5,
                       $D26="AIX",
                        VLOOKUP($A26,dist_assets,26,FALSE)="Yes"),
              VLOOKUP($G26,'BOM FUNCTIONS'!$CA$12:$CG$19,6,FALSE),
         "N/A"),"")</f>
        <v/>
      </c>
      <c r="R26" s="3331" t="str">
        <f t="shared" si="8"/>
        <v/>
      </c>
      <c r="S26" s="2784" t="str">
        <f t="shared" si="9"/>
        <v/>
      </c>
      <c r="T26" s="2046" t="str">
        <f t="shared" si="5"/>
        <v/>
      </c>
      <c r="U26" s="2072" t="str">
        <f t="shared" si="6"/>
        <v/>
      </c>
      <c r="V26" s="2073" t="str">
        <f>IF($A26&lt;&gt;"",
    IF(VLOOKUP($A26,dist_assets,24,FALSE)&lt;&gt;"",
       IF(LEFT(VLOOKUP($A26,dist_assets,24,FALSE),3)="Ora",
            IF(VLOOKUP($A26,dist_assets,16,FALSE)="NO","Stand-alone",
                IF(LEFT(VLOOKUP($A26,dist,16,FALSE),6)="Active",
                     IF(VLOOKUP($A26,dist_assets,17,FALSE)=INDEX($A$4:$A$42,MATCH($A26,$A$4:$A$41,0)+1,1),"Cluster 1",
                          IF(VLOOKUP($A26,dist_assets,17,FALSE)=INDEX($A$4:$A$42,MATCH($A26,$A$4:$A$41,0)-1,1),"Cluster 2","Oracle RAC"))))),""),
   "")</f>
        <v/>
      </c>
      <c r="W26" s="2400" t="str">
        <f t="shared" si="7"/>
        <v/>
      </c>
      <c r="X26" s="2079" t="str">
        <f t="shared" si="10"/>
        <v/>
      </c>
    </row>
    <row r="27" spans="1:24">
      <c r="A27" s="312"/>
      <c r="B27" s="2046" t="str">
        <f t="shared" si="0"/>
        <v/>
      </c>
      <c r="C27" s="1662"/>
      <c r="D27" s="2046" t="str">
        <f t="shared" si="1"/>
        <v/>
      </c>
      <c r="E27" s="2046" t="str">
        <f>IF(A27&lt;&gt;"",VLOOKUP(VLOOKUP(A27,'Distributed Assets'!$B$28:$V$102,2,FALSE),'Distributed Assets'!$C$7:$F$22,4,FALSE),"")</f>
        <v/>
      </c>
      <c r="F27" s="30" t="str">
        <f t="shared" si="2"/>
        <v/>
      </c>
      <c r="G27" s="30"/>
      <c r="H27" s="748" t="str">
        <f>IF($A27&lt;&gt;"",
     IF(VLOOKUP($A27,dist_assets,3, FALSE) ="New",
        IF(AND($D27="Linux",LEFT(VLOOKUP($A27,dist_assets,23,FALSE),3)="WAS"), VLOOKUP("RHEL+WAS",'BOM FUNCTIONS'!$CX$6:$CZ$13,2,FALSE),
               IF(AND($D27="AIX",LEFT(VLOOKUP($A27,dist_assets,24,FALSE),3)="DB2"), VLOOKUP("AIX+DB2",'BOM FUNCTIONS'!$CX$6:$CZ$13,2,FALSE),
                  IF(AND($D27="Linux",LEFT(VLOOKUP($A27,dist_assets,24,FALSE),3)="DB2"), VLOOKUP("RHEL+DB2",'BOM FUNCTIONS'!$CX$6:$CZ$13,2,FALSE),
                   IF($D27="AIX",VLOOKUP("AIX",'BOM FUNCTIONS'!$CX$6:$CZ$13,2,FALSE),
                  IF(AND($D27="Linux", LEFT(VLOOKUP($A27,dist_assets,22,FALSE),4)="RHEL"),VLOOKUP("RHEL",'BOM FUNCTIONS'!$CX$6:$CZ$13,2,FALSE),
                 IF(AND($D27="Linux", LEFT(VLOOKUP($A27,dist_assets,22,FALSE),4)="SLES"),VLOOKUP("SLES",'BOM FUNCTIONS'!$CX$6:$CZ$13,2,FALSE)))))))),"")</f>
        <v/>
      </c>
      <c r="I27" s="2073" t="str">
        <f>IF($A27&lt;&gt;"",
     IF(VLOOKUP($A27,'Distributed Assets'!$B$28:$V$102,3, FALSE) ="New",
      IF($D27="AIX",VLOOKUP("AIX",'BOM FUNCTIONS'!$CX$6:$CZ$11,3,FALSE),
         IF(AND(OR($D27="AIX",$D27="Linux"),LEFT(VLOOKUP($A27,'Distributed Assets'!$B$28:$Y$102,22,FALSE),3)="DB2"), VLOOKUP("AIX+DB2",'BOM FUNCTIONS'!$CX$6:$CZ$11,3,FALSE),
             IF(AND($D27="Linux", LEFT(VLOOKUP($A27,dist_assets,22,FALSE),4)="RHEL"),VLOOKUP("RHEL",'BOM FUNCTIONS'!$CX$6:$CZ$11,3,FALSE),
                 IF(AND($D27="Linux", LEFT(VLOOKUP($A27,dist_assets,22,FALSE),4)="SLES"),VLOOKUP("SLES",'BOM FUNCTIONS'!$CX$6:$CZ$9,3,FALSE)))))),"")</f>
        <v/>
      </c>
      <c r="J27" s="3404" t="str">
        <f>IF($A27&lt;&gt;"",
       IF(VLOOKUP($A27,'Distributed Assets'!$B$28:$V$102,3, FALSE) ="New",
          IF(LEFT(VLOOKUP($A27,'Distributed Assets'!$B$28:$AR$102,23,FALSE),3)="WAS",
             VLOOKUP(VLOOKUP($A27,'Distributed Assets'!$B$28:$BA$102,23,FALSE),'BOM FUNCTIONS'!$BV$6:$BW$23,2,FALSE),
           IF(LEFT(VLOOKUP($A27,'Distributed Assets'!$B$28:$AR$102,23,FALSE),5)="TomEE",
              VLOOKUP("was  TomEE 1.7.3 Web Profile",'BOM FUNCTIONS'!$BV$6:$BW$12,2,FALSE),
             IF(LEFT(VLOOKUP($A27,'Distributed Assets'!B51:AK125,24,FALSE),3)="Ora", Oracle_Standalone_fs(VLOOKUP($A27,dist_assets,44,FALSE)),
             IF(LEFT(VLOOKUP($A27,'Distributed Assets'!B51:AK125,24,FALSE),3)="DB2",DB2_FS(VLOOKUP($A27,dist_assets,44,FALSE)),"")))),""),"")</f>
        <v/>
      </c>
      <c r="K27" s="3073" t="str">
        <f>IF($A27&lt;&gt;"",
  IF(VLOOKUP($A27,dist_assets,3,FALSE)="New",
       IF($I27&lt;&gt;"",
          IF(LEFT(VLOOKUP($A27,dist_assets,23,FALSE),5)="TomEE"," 10",
            IF(LEFT(VLOOKUP($A27,dist_assets,23,FALSE),3)="WAS",VLOOKUP(VLOOKUP($A27,'Distributed Assets'!$B$28:$BA$102,23,FALSE),'BOM FUNCTIONS'!$BV$6:$BX$23,3,FALSE),
               IF(LEFT(VLOOKUP($A27,dist_assets,24,FALSE),3)="Ora","Unknown",
                     IF($D27&lt;&gt;"AIX", VLOOKUP($A27,dist_assets,35,FALSE)-100, "Enter LUN FS Values")))
                       ),""),""),"")</f>
        <v/>
      </c>
      <c r="L27" s="2186" t="str">
        <f>IF($A27&lt;&gt;"",
        IF(MATCH(A27,'NAS Details'!$A$8:$A$50,0)&lt;&gt;"",  CONCATENATE("Mount ", VLOOKUP($A27,'NAS Details'!$A$8:$W$50,21,FALSE)," from ", VLOOKUP($A27,'NAS Details'!$A$8:$W$50,20,FALSE), " as ", VLOOKUP($A27,'NAS Details'!$A$8:$W$50,22,FALSE))),"")</f>
        <v/>
      </c>
      <c r="M27" s="1758"/>
      <c r="N27" s="2071" t="str">
        <f t="shared" si="3"/>
        <v/>
      </c>
      <c r="O27" s="2071" t="str">
        <f t="shared" si="4"/>
        <v/>
      </c>
      <c r="P27" s="2071" t="str">
        <f>IF($B27&lt;&gt;"",
        IF(AND($E27="Prod 2.0",
                         dr_Level&lt;5,
                         $D27="AIX",
                          VLOOKUP($A27,dist_assets,26,FALSE)="Yes"),VLOOKUP($Q27,'BOM FUNCTIONS'!$CF$12:$CG$19,2,FALSE),
          "N/A"),
"")</f>
        <v/>
      </c>
      <c r="Q27" s="2071" t="str">
        <f>IF($A27&lt;&gt;"",
       IF(AND($E27="Prod 2.0",
                        dr_Level&lt;5,
                       $D27="AIX",
                        VLOOKUP($A27,dist_assets,26,FALSE)="Yes"),
              VLOOKUP($G27,'BOM FUNCTIONS'!$CA$12:$CG$19,6,FALSE),
         "N/A"),"")</f>
        <v/>
      </c>
      <c r="R27" s="3331" t="str">
        <f t="shared" si="8"/>
        <v/>
      </c>
      <c r="S27" s="2784" t="str">
        <f t="shared" si="9"/>
        <v/>
      </c>
      <c r="T27" s="2046" t="str">
        <f t="shared" si="5"/>
        <v/>
      </c>
      <c r="U27" s="2072" t="str">
        <f t="shared" si="6"/>
        <v/>
      </c>
      <c r="V27" s="2073" t="str">
        <f>IF($A27&lt;&gt;"",
    IF(VLOOKUP($A27,dist_assets,24,FALSE)&lt;&gt;"",
       IF(LEFT(VLOOKUP($A27,dist_assets,24,FALSE),3)="Ora",
            IF(VLOOKUP($A27,dist_assets,16,FALSE)="NO","Stand-alone",
                IF(LEFT(VLOOKUP($A27,dist,16,FALSE),6)="Active",
                     IF(VLOOKUP($A27,dist_assets,17,FALSE)=INDEX($A$4:$A$42,MATCH($A27,$A$4:$A$41,0)+1,1),"Cluster 1",
                          IF(VLOOKUP($A27,dist_assets,17,FALSE)=INDEX($A$4:$A$42,MATCH($A27,$A$4:$A$41,0)-1,1),"Cluster 2","Oracle RAC"))))),""),
   "")</f>
        <v/>
      </c>
      <c r="W27" s="2400" t="str">
        <f t="shared" si="7"/>
        <v/>
      </c>
      <c r="X27" s="2079" t="str">
        <f t="shared" si="10"/>
        <v/>
      </c>
    </row>
    <row r="28" spans="1:24">
      <c r="A28" s="312"/>
      <c r="B28" s="2046" t="str">
        <f t="shared" si="0"/>
        <v/>
      </c>
      <c r="C28" s="1662"/>
      <c r="D28" s="2046" t="str">
        <f t="shared" si="1"/>
        <v/>
      </c>
      <c r="E28" s="2046" t="str">
        <f>IF(A28&lt;&gt;"",VLOOKUP(VLOOKUP(A28,'Distributed Assets'!$B$28:$V$102,2,FALSE),'Distributed Assets'!$C$7:$F$22,4,FALSE),"")</f>
        <v/>
      </c>
      <c r="F28" s="30" t="str">
        <f t="shared" si="2"/>
        <v/>
      </c>
      <c r="G28" s="30"/>
      <c r="H28" s="748" t="str">
        <f>IF($A28&lt;&gt;"",
     IF(VLOOKUP($A28,dist_assets,3, FALSE) ="New",
        IF(AND($D28="Linux",LEFT(VLOOKUP($A28,dist_assets,23,FALSE),3)="WAS"), VLOOKUP("RHEL+WAS",'BOM FUNCTIONS'!$CX$6:$CZ$13,2,FALSE),
               IF(AND($D28="AIX",LEFT(VLOOKUP($A28,dist_assets,24,FALSE),3)="DB2"), VLOOKUP("AIX+DB2",'BOM FUNCTIONS'!$CX$6:$CZ$13,2,FALSE),
                  IF(AND($D28="Linux",LEFT(VLOOKUP($A28,dist_assets,24,FALSE),3)="DB2"), VLOOKUP("RHEL+DB2",'BOM FUNCTIONS'!$CX$6:$CZ$13,2,FALSE),
                   IF($D28="AIX",VLOOKUP("AIX",'BOM FUNCTIONS'!$CX$6:$CZ$13,2,FALSE),
                  IF(AND($D28="Linux", LEFT(VLOOKUP($A28,dist_assets,22,FALSE),4)="RHEL"),VLOOKUP("RHEL",'BOM FUNCTIONS'!$CX$6:$CZ$13,2,FALSE),
                 IF(AND($D28="Linux", LEFT(VLOOKUP($A28,dist_assets,22,FALSE),4)="SLES"),VLOOKUP("SLES",'BOM FUNCTIONS'!$CX$6:$CZ$13,2,FALSE)))))))),"")</f>
        <v/>
      </c>
      <c r="I28" s="2073" t="str">
        <f>IF($A28&lt;&gt;"",
     IF(VLOOKUP($A28,'Distributed Assets'!$B$28:$V$102,3, FALSE) ="New",
      IF($D28="AIX",VLOOKUP("AIX",'BOM FUNCTIONS'!$CX$6:$CZ$11,3,FALSE),
         IF(AND(OR($D28="AIX",$D28="Linux"),LEFT(VLOOKUP($A28,'Distributed Assets'!$B$28:$Y$102,22,FALSE),3)="DB2"), VLOOKUP("AIX+DB2",'BOM FUNCTIONS'!$CX$6:$CZ$11,3,FALSE),
             IF(AND($D28="Linux", LEFT(VLOOKUP($A28,dist_assets,22,FALSE),4)="RHEL"),VLOOKUP("RHEL",'BOM FUNCTIONS'!$CX$6:$CZ$11,3,FALSE),
                 IF(AND($D28="Linux", LEFT(VLOOKUP($A28,dist_assets,22,FALSE),4)="SLES"),VLOOKUP("SLES",'BOM FUNCTIONS'!$CX$6:$CZ$9,3,FALSE)))))),"")</f>
        <v/>
      </c>
      <c r="J28" s="3404" t="str">
        <f>IF($A28&lt;&gt;"",
       IF(VLOOKUP($A28,'Distributed Assets'!$B$28:$V$102,3, FALSE) ="New",
          IF(LEFT(VLOOKUP($A28,'Distributed Assets'!$B$28:$AR$102,23,FALSE),3)="WAS",
             VLOOKUP(VLOOKUP($A28,'Distributed Assets'!$B$28:$BA$102,23,FALSE),'BOM FUNCTIONS'!$BV$6:$BW$23,2,FALSE),
           IF(LEFT(VLOOKUP($A28,'Distributed Assets'!$B$28:$AR$102,23,FALSE),5)="TomEE",
              VLOOKUP("was  TomEE 1.7.3 Web Profile",'BOM FUNCTIONS'!$BV$6:$BW$12,2,FALSE),
             IF(LEFT(VLOOKUP($A28,'Distributed Assets'!B52:AK126,24,FALSE),3)="Ora", Oracle_Standalone_fs(VLOOKUP($A28,dist_assets,44,FALSE)),
             IF(LEFT(VLOOKUP($A28,'Distributed Assets'!B52:AK126,24,FALSE),3)="DB2",DB2_FS(VLOOKUP($A28,dist_assets,44,FALSE)),"")))),""),"")</f>
        <v/>
      </c>
      <c r="K28" s="3073" t="str">
        <f>IF($A28&lt;&gt;"",
  IF(VLOOKUP($A28,dist_assets,3,FALSE)="New",
       IF($I28&lt;&gt;"",
          IF(LEFT(VLOOKUP($A28,dist_assets,23,FALSE),5)="TomEE"," 10",
            IF(LEFT(VLOOKUP($A28,dist_assets,23,FALSE),3)="WAS",VLOOKUP(VLOOKUP($A28,'Distributed Assets'!$B$28:$BA$102,23,FALSE),'BOM FUNCTIONS'!$BV$6:$BX$23,3,FALSE),
               IF(LEFT(VLOOKUP($A28,dist_assets,24,FALSE),3)="Ora","Unknown",
                     IF($D28&lt;&gt;"AIX", VLOOKUP($A28,dist_assets,35,FALSE)-100, "Enter LUN FS Values")))
                       ),""),""),"")</f>
        <v/>
      </c>
      <c r="L28" s="2186" t="str">
        <f>IF($A28&lt;&gt;"",
        IF(MATCH(A28,'NAS Details'!$A$8:$A$50,0)&lt;&gt;"",  CONCATENATE("Mount ", VLOOKUP($A28,'NAS Details'!$A$8:$W$50,21,FALSE)," from ", VLOOKUP($A28,'NAS Details'!$A$8:$W$50,20,FALSE), " as ", VLOOKUP($A28,'NAS Details'!$A$8:$W$50,22,FALSE))),"")</f>
        <v/>
      </c>
      <c r="M28" s="1758"/>
      <c r="N28" s="2071" t="str">
        <f t="shared" si="3"/>
        <v/>
      </c>
      <c r="O28" s="2071" t="str">
        <f t="shared" si="4"/>
        <v/>
      </c>
      <c r="P28" s="2071" t="str">
        <f>IF($B28&lt;&gt;"",
        IF(AND($E28="Prod 2.0",
                         dr_Level&lt;5,
                         $D28="AIX",
                          VLOOKUP($A28,dist_assets,26,FALSE)="Yes"),VLOOKUP($Q28,'BOM FUNCTIONS'!$CF$12:$CG$19,2,FALSE),
          "N/A"),
"")</f>
        <v/>
      </c>
      <c r="Q28" s="2071" t="str">
        <f>IF($A28&lt;&gt;"",
       IF(AND($E28="Prod 2.0",
                        dr_Level&lt;5,
                       $D28="AIX",
                        VLOOKUP($A28,dist_assets,26,FALSE)="Yes"),
              VLOOKUP($G28,'BOM FUNCTIONS'!$CA$12:$CG$19,6,FALSE),
         "N/A"),"")</f>
        <v/>
      </c>
      <c r="R28" s="3331" t="str">
        <f t="shared" si="8"/>
        <v/>
      </c>
      <c r="S28" s="2784" t="str">
        <f t="shared" si="9"/>
        <v/>
      </c>
      <c r="T28" s="2046" t="str">
        <f t="shared" si="5"/>
        <v/>
      </c>
      <c r="U28" s="2072" t="str">
        <f t="shared" si="6"/>
        <v/>
      </c>
      <c r="V28" s="2073" t="str">
        <f>IF($A28&lt;&gt;"",
    IF(VLOOKUP($A28,dist_assets,24,FALSE)&lt;&gt;"",
       IF(LEFT(VLOOKUP($A28,dist_assets,24,FALSE),3)="Ora",
            IF(VLOOKUP($A28,dist_assets,16,FALSE)="NO","Stand-alone",
                IF(LEFT(VLOOKUP($A28,dist,16,FALSE),6)="Active",
                     IF(VLOOKUP($A28,dist_assets,17,FALSE)=INDEX($A$4:$A$42,MATCH($A28,$A$4:$A$41,0)+1,1),"Cluster 1",
                          IF(VLOOKUP($A28,dist_assets,17,FALSE)=INDEX($A$4:$A$42,MATCH($A28,$A$4:$A$41,0)-1,1),"Cluster 2","Oracle RAC"))))),""),
   "")</f>
        <v/>
      </c>
      <c r="W28" s="2400" t="str">
        <f t="shared" si="7"/>
        <v/>
      </c>
      <c r="X28" s="2079" t="str">
        <f t="shared" si="10"/>
        <v/>
      </c>
    </row>
    <row r="29" spans="1:24">
      <c r="A29" s="312"/>
      <c r="B29" s="2046" t="str">
        <f t="shared" si="0"/>
        <v/>
      </c>
      <c r="C29" s="1662"/>
      <c r="D29" s="2046" t="str">
        <f t="shared" si="1"/>
        <v/>
      </c>
      <c r="E29" s="2046" t="str">
        <f>IF(A29&lt;&gt;"",VLOOKUP(VLOOKUP(A29,'Distributed Assets'!$B$28:$V$102,2,FALSE),'Distributed Assets'!$C$7:$F$22,4,FALSE),"")</f>
        <v/>
      </c>
      <c r="F29" s="30" t="str">
        <f t="shared" si="2"/>
        <v/>
      </c>
      <c r="G29" s="30"/>
      <c r="H29" s="748" t="str">
        <f>IF($A29&lt;&gt;"",
     IF(VLOOKUP($A29,dist_assets,3, FALSE) ="New",
        IF(AND($D29="Linux",LEFT(VLOOKUP($A29,dist_assets,23,FALSE),3)="WAS"), VLOOKUP("RHEL+WAS",'BOM FUNCTIONS'!$CX$6:$CZ$13,2,FALSE),
               IF(AND($D29="AIX",LEFT(VLOOKUP($A29,dist_assets,24,FALSE),3)="DB2"), VLOOKUP("AIX+DB2",'BOM FUNCTIONS'!$CX$6:$CZ$13,2,FALSE),
                  IF(AND($D29="Linux",LEFT(VLOOKUP($A29,dist_assets,24,FALSE),3)="DB2"), VLOOKUP("RHEL+DB2",'BOM FUNCTIONS'!$CX$6:$CZ$13,2,FALSE),
                   IF($D29="AIX",VLOOKUP("AIX",'BOM FUNCTIONS'!$CX$6:$CZ$13,2,FALSE),
                  IF(AND($D29="Linux", LEFT(VLOOKUP($A29,dist_assets,22,FALSE),4)="RHEL"),VLOOKUP("RHEL",'BOM FUNCTIONS'!$CX$6:$CZ$13,2,FALSE),
                 IF(AND($D29="Linux", LEFT(VLOOKUP($A29,dist_assets,22,FALSE),4)="SLES"),VLOOKUP("SLES",'BOM FUNCTIONS'!$CX$6:$CZ$13,2,FALSE)))))))),"")</f>
        <v/>
      </c>
      <c r="I29" s="2073" t="str">
        <f>IF($A29&lt;&gt;"",
     IF(VLOOKUP($A29,'Distributed Assets'!$B$28:$V$102,3, FALSE) ="New",
      IF($D29="AIX",VLOOKUP("AIX",'BOM FUNCTIONS'!$CX$6:$CZ$11,3,FALSE),
         IF(AND(OR($D29="AIX",$D29="Linux"),LEFT(VLOOKUP($A29,'Distributed Assets'!$B$28:$Y$102,22,FALSE),3)="DB2"), VLOOKUP("AIX+DB2",'BOM FUNCTIONS'!$CX$6:$CZ$11,3,FALSE),
             IF(AND($D29="Linux", LEFT(VLOOKUP($A29,dist_assets,22,FALSE),4)="RHEL"),VLOOKUP("RHEL",'BOM FUNCTIONS'!$CX$6:$CZ$11,3,FALSE),
                 IF(AND($D29="Linux", LEFT(VLOOKUP($A29,dist_assets,22,FALSE),4)="SLES"),VLOOKUP("SLES",'BOM FUNCTIONS'!$CX$6:$CZ$9,3,FALSE)))))),"")</f>
        <v/>
      </c>
      <c r="J29" s="3404" t="str">
        <f>IF($A29&lt;&gt;"",
       IF(VLOOKUP($A29,'Distributed Assets'!$B$28:$V$102,3, FALSE) ="New",
          IF(LEFT(VLOOKUP($A29,'Distributed Assets'!$B$28:$AR$102,23,FALSE),3)="WAS",
             VLOOKUP(VLOOKUP($A29,'Distributed Assets'!$B$28:$BA$102,23,FALSE),'BOM FUNCTIONS'!$BV$6:$BW$23,2,FALSE),
           IF(LEFT(VLOOKUP($A29,'Distributed Assets'!$B$28:$AR$102,23,FALSE),5)="TomEE",
              VLOOKUP("was  TomEE 1.7.3 Web Profile",'BOM FUNCTIONS'!$BV$6:$BW$12,2,FALSE),
             IF(LEFT(VLOOKUP($A29,'Distributed Assets'!B53:AK127,24,FALSE),3)="Ora", Oracle_Standalone_fs(VLOOKUP($A29,dist_assets,44,FALSE)),
             IF(LEFT(VLOOKUP($A29,'Distributed Assets'!B53:AK127,24,FALSE),3)="DB2",DB2_FS(VLOOKUP($A29,dist_assets,44,FALSE)),"")))),""),"")</f>
        <v/>
      </c>
      <c r="K29" s="3073" t="str">
        <f>IF($A29&lt;&gt;"",
  IF(VLOOKUP($A29,dist_assets,3,FALSE)="New",
       IF($I29&lt;&gt;"",
          IF(LEFT(VLOOKUP($A29,dist_assets,23,FALSE),5)="TomEE"," 10",
            IF(LEFT(VLOOKUP($A29,dist_assets,23,FALSE),3)="WAS",VLOOKUP(VLOOKUP($A29,'Distributed Assets'!$B$28:$BA$102,23,FALSE),'BOM FUNCTIONS'!$BV$6:$BX$23,3,FALSE),
               IF(LEFT(VLOOKUP($A29,dist_assets,24,FALSE),3)="Ora","Unknown",
                     IF($D29&lt;&gt;"AIX", VLOOKUP($A29,dist_assets,35,FALSE)-100, "Enter LUN FS Values")))
                       ),""),""),"")</f>
        <v/>
      </c>
      <c r="L29" s="2186" t="str">
        <f>IF($A29&lt;&gt;"",
        IF(MATCH(A29,'NAS Details'!$A$8:$A$50,0)&lt;&gt;"",  CONCATENATE("Mount ", VLOOKUP($A29,'NAS Details'!$A$8:$W$50,21,FALSE)," from ", VLOOKUP($A29,'NAS Details'!$A$8:$W$50,20,FALSE), " as ", VLOOKUP($A29,'NAS Details'!$A$8:$W$50,22,FALSE))),"")</f>
        <v/>
      </c>
      <c r="M29" s="1758"/>
      <c r="N29" s="2071" t="str">
        <f t="shared" si="3"/>
        <v/>
      </c>
      <c r="O29" s="2071" t="str">
        <f t="shared" si="4"/>
        <v/>
      </c>
      <c r="P29" s="2071" t="str">
        <f>IF($B29&lt;&gt;"",
        IF(AND($E29="Prod 2.0",
                         dr_Level&lt;5,
                         $D29="AIX",
                          VLOOKUP($A29,dist_assets,26,FALSE)="Yes"),VLOOKUP($Q29,'BOM FUNCTIONS'!$CF$12:$CG$19,2,FALSE),
          "N/A"),
"")</f>
        <v/>
      </c>
      <c r="Q29" s="2071" t="str">
        <f>IF($A29&lt;&gt;"",
       IF(AND($E29="Prod 2.0",
                        dr_Level&lt;5,
                       $D29="AIX",
                        VLOOKUP($A29,dist_assets,26,FALSE)="Yes"),
              VLOOKUP($G29,'BOM FUNCTIONS'!$CA$12:$CG$19,6,FALSE),
         "N/A"),"")</f>
        <v/>
      </c>
      <c r="R29" s="3331" t="str">
        <f t="shared" si="8"/>
        <v/>
      </c>
      <c r="S29" s="2784" t="str">
        <f t="shared" si="9"/>
        <v/>
      </c>
      <c r="T29" s="2046" t="str">
        <f t="shared" si="5"/>
        <v/>
      </c>
      <c r="U29" s="2072" t="str">
        <f t="shared" si="6"/>
        <v/>
      </c>
      <c r="V29" s="2073" t="str">
        <f>IF($A29&lt;&gt;"",
    IF(VLOOKUP($A29,dist_assets,24,FALSE)&lt;&gt;"",
       IF(LEFT(VLOOKUP($A29,dist_assets,24,FALSE),3)="Ora",
            IF(VLOOKUP($A29,dist_assets,16,FALSE)="NO","Stand-alone",
                IF(LEFT(VLOOKUP($A29,dist,16,FALSE),6)="Active",
                     IF(VLOOKUP($A29,dist_assets,17,FALSE)=INDEX($A$4:$A$42,MATCH($A29,$A$4:$A$41,0)+1,1),"Cluster 1",
                          IF(VLOOKUP($A29,dist_assets,17,FALSE)=INDEX($A$4:$A$42,MATCH($A29,$A$4:$A$41,0)-1,1),"Cluster 2","Oracle RAC"))))),""),
   "")</f>
        <v/>
      </c>
      <c r="W29" s="2400" t="str">
        <f t="shared" si="7"/>
        <v/>
      </c>
      <c r="X29" s="2079" t="str">
        <f t="shared" si="10"/>
        <v/>
      </c>
    </row>
    <row r="30" spans="1:24">
      <c r="A30" s="312"/>
      <c r="B30" s="2046" t="str">
        <f t="shared" si="0"/>
        <v/>
      </c>
      <c r="C30" s="1662"/>
      <c r="D30" s="2046" t="str">
        <f t="shared" si="1"/>
        <v/>
      </c>
      <c r="E30" s="2046" t="str">
        <f>IF(A30&lt;&gt;"",VLOOKUP(VLOOKUP(A30,'Distributed Assets'!$B$28:$V$102,2,FALSE),'Distributed Assets'!$C$7:$F$22,4,FALSE),"")</f>
        <v/>
      </c>
      <c r="F30" s="30" t="str">
        <f t="shared" si="2"/>
        <v/>
      </c>
      <c r="G30" s="30"/>
      <c r="H30" s="748" t="str">
        <f>IF($A30&lt;&gt;"",
     IF(VLOOKUP($A30,dist_assets,3, FALSE) ="New",
        IF(AND($D30="Linux",LEFT(VLOOKUP($A30,dist_assets,23,FALSE),3)="WAS"), VLOOKUP("RHEL+WAS",'BOM FUNCTIONS'!$CX$6:$CZ$13,2,FALSE),
               IF(AND($D30="AIX",LEFT(VLOOKUP($A30,dist_assets,24,FALSE),3)="DB2"), VLOOKUP("AIX+DB2",'BOM FUNCTIONS'!$CX$6:$CZ$13,2,FALSE),
                  IF(AND($D30="Linux",LEFT(VLOOKUP($A30,dist_assets,24,FALSE),3)="DB2"), VLOOKUP("RHEL+DB2",'BOM FUNCTIONS'!$CX$6:$CZ$13,2,FALSE),
                   IF($D30="AIX",VLOOKUP("AIX",'BOM FUNCTIONS'!$CX$6:$CZ$13,2,FALSE),
                  IF(AND($D30="Linux", LEFT(VLOOKUP($A30,dist_assets,22,FALSE),4)="RHEL"),VLOOKUP("RHEL",'BOM FUNCTIONS'!$CX$6:$CZ$13,2,FALSE),
                 IF(AND($D30="Linux", LEFT(VLOOKUP($A30,dist_assets,22,FALSE),4)="SLES"),VLOOKUP("SLES",'BOM FUNCTIONS'!$CX$6:$CZ$13,2,FALSE)))))))),"")</f>
        <v/>
      </c>
      <c r="I30" s="2073" t="str">
        <f>IF($A30&lt;&gt;"",
     IF(VLOOKUP($A30,'Distributed Assets'!$B$28:$V$102,3, FALSE) ="New",
      IF($D30="AIX",VLOOKUP("AIX",'BOM FUNCTIONS'!$CX$6:$CZ$11,3,FALSE),
         IF(AND(OR($D30="AIX",$D30="Linux"),LEFT(VLOOKUP($A30,'Distributed Assets'!$B$28:$Y$102,22,FALSE),3)="DB2"), VLOOKUP("AIX+DB2",'BOM FUNCTIONS'!$CX$6:$CZ$11,3,FALSE),
             IF(AND($D30="Linux", LEFT(VLOOKUP($A30,dist_assets,22,FALSE),4)="RHEL"),VLOOKUP("RHEL",'BOM FUNCTIONS'!$CX$6:$CZ$11,3,FALSE),
                 IF(AND($D30="Linux", LEFT(VLOOKUP($A30,dist_assets,22,FALSE),4)="SLES"),VLOOKUP("SLES",'BOM FUNCTIONS'!$CX$6:$CZ$9,3,FALSE)))))),"")</f>
        <v/>
      </c>
      <c r="J30" s="3404" t="str">
        <f>IF($A30&lt;&gt;"",
       IF(VLOOKUP($A30,'Distributed Assets'!$B$28:$V$102,3, FALSE) ="New",
          IF(LEFT(VLOOKUP($A30,'Distributed Assets'!$B$28:$AR$102,23,FALSE),3)="WAS",
             VLOOKUP(VLOOKUP($A30,'Distributed Assets'!$B$28:$BA$102,23,FALSE),'BOM FUNCTIONS'!$BV$6:$BW$23,2,FALSE),
           IF(LEFT(VLOOKUP($A30,'Distributed Assets'!$B$28:$AR$102,23,FALSE),5)="TomEE",
              VLOOKUP("was  TomEE 1.7.3 Web Profile",'BOM FUNCTIONS'!$BV$6:$BW$12,2,FALSE),
             IF(LEFT(VLOOKUP($A30,'Distributed Assets'!B54:AK128,24,FALSE),3)="Ora", Oracle_Standalone_fs(VLOOKUP($A30,dist_assets,44,FALSE)),
             IF(LEFT(VLOOKUP($A30,'Distributed Assets'!B54:AK128,24,FALSE),3)="DB2",DB2_FS(VLOOKUP($A30,dist_assets,44,FALSE)),"")))),""),"")</f>
        <v/>
      </c>
      <c r="K30" s="3073" t="str">
        <f>IF($A30&lt;&gt;"",
  IF(VLOOKUP($A30,dist_assets,3,FALSE)="New",
       IF($I30&lt;&gt;"",
          IF(LEFT(VLOOKUP($A30,dist_assets,23,FALSE),5)="TomEE"," 10",
            IF(LEFT(VLOOKUP($A30,dist_assets,23,FALSE),3)="WAS",VLOOKUP(VLOOKUP($A30,'Distributed Assets'!$B$28:$BA$102,23,FALSE),'BOM FUNCTIONS'!$BV$6:$BX$23,3,FALSE),
               IF(LEFT(VLOOKUP($A30,dist_assets,24,FALSE),3)="Ora","Unknown",
                     IF($D30&lt;&gt;"AIX", VLOOKUP($A30,dist_assets,35,FALSE)-100, "Enter LUN FS Values")))
                       ),""),""),"")</f>
        <v/>
      </c>
      <c r="L30" s="2186" t="str">
        <f>IF($A30&lt;&gt;"",
        IF(MATCH(A30,'NAS Details'!$A$8:$A$50,0)&lt;&gt;"",  CONCATENATE("Mount ", VLOOKUP($A30,'NAS Details'!$A$8:$W$50,21,FALSE)," from ", VLOOKUP($A30,'NAS Details'!$A$8:$W$50,20,FALSE), " as ", VLOOKUP($A30,'NAS Details'!$A$8:$W$50,22,FALSE))),"")</f>
        <v/>
      </c>
      <c r="M30" s="1758"/>
      <c r="N30" s="2071" t="str">
        <f t="shared" si="3"/>
        <v/>
      </c>
      <c r="O30" s="2071" t="str">
        <f t="shared" si="4"/>
        <v/>
      </c>
      <c r="P30" s="2071" t="str">
        <f>IF($B30&lt;&gt;"",
        IF(AND($E30="Prod 2.0",
                         dr_Level&lt;5,
                         $D30="AIX",
                          VLOOKUP($A30,dist_assets,26,FALSE)="Yes"),VLOOKUP($Q30,'BOM FUNCTIONS'!$CF$12:$CG$19,2,FALSE),
          "N/A"),
"")</f>
        <v/>
      </c>
      <c r="Q30" s="2071" t="str">
        <f>IF($A30&lt;&gt;"",
       IF(AND($E30="Prod 2.0",
                        dr_Level&lt;5,
                       $D30="AIX",
                        VLOOKUP($A30,dist_assets,26,FALSE)="Yes"),
              VLOOKUP($G30,'BOM FUNCTIONS'!$CA$12:$CG$19,6,FALSE),
         "N/A"),"")</f>
        <v/>
      </c>
      <c r="R30" s="3331" t="str">
        <f t="shared" si="8"/>
        <v/>
      </c>
      <c r="S30" s="2784" t="str">
        <f t="shared" si="9"/>
        <v/>
      </c>
      <c r="T30" s="2046" t="str">
        <f t="shared" si="5"/>
        <v/>
      </c>
      <c r="U30" s="2072" t="str">
        <f t="shared" si="6"/>
        <v/>
      </c>
      <c r="V30" s="2073" t="str">
        <f>IF($A30&lt;&gt;"",
    IF(VLOOKUP($A30,dist_assets,24,FALSE)&lt;&gt;"",
       IF(LEFT(VLOOKUP($A30,dist_assets,24,FALSE),3)="Ora",
            IF(VLOOKUP($A30,dist_assets,16,FALSE)="NO","Stand-alone",
                IF(LEFT(VLOOKUP($A30,dist,16,FALSE),6)="Active",
                     IF(VLOOKUP($A30,dist_assets,17,FALSE)=INDEX($A$4:$A$42,MATCH($A30,$A$4:$A$41,0)+1,1),"Cluster 1",
                          IF(VLOOKUP($A30,dist_assets,17,FALSE)=INDEX($A$4:$A$42,MATCH($A30,$A$4:$A$41,0)-1,1),"Cluster 2","Oracle RAC"))))),""),
   "")</f>
        <v/>
      </c>
      <c r="W30" s="2400" t="str">
        <f t="shared" si="7"/>
        <v/>
      </c>
      <c r="X30" s="2079" t="str">
        <f t="shared" si="10"/>
        <v/>
      </c>
    </row>
    <row r="31" spans="1:24">
      <c r="A31" s="312"/>
      <c r="B31" s="2046" t="str">
        <f t="shared" si="0"/>
        <v/>
      </c>
      <c r="C31" s="1662"/>
      <c r="D31" s="2046" t="str">
        <f t="shared" si="1"/>
        <v/>
      </c>
      <c r="E31" s="2046" t="str">
        <f>IF(A31&lt;&gt;"",VLOOKUP(VLOOKUP(A31,'Distributed Assets'!$B$28:$V$102,2,FALSE),'Distributed Assets'!$C$7:$F$22,4,FALSE),"")</f>
        <v/>
      </c>
      <c r="F31" s="30" t="str">
        <f t="shared" si="2"/>
        <v/>
      </c>
      <c r="G31" s="30"/>
      <c r="H31" s="748" t="str">
        <f>IF($A31&lt;&gt;"",
     IF(VLOOKUP($A31,dist_assets,3, FALSE) ="New",
        IF(AND($D31="Linux",LEFT(VLOOKUP($A31,dist_assets,23,FALSE),3)="WAS"), VLOOKUP("RHEL+WAS",'BOM FUNCTIONS'!$CX$6:$CZ$13,2,FALSE),
               IF(AND($D31="AIX",LEFT(VLOOKUP($A31,dist_assets,24,FALSE),3)="DB2"), VLOOKUP("AIX+DB2",'BOM FUNCTIONS'!$CX$6:$CZ$13,2,FALSE),
                  IF(AND($D31="Linux",LEFT(VLOOKUP($A31,dist_assets,24,FALSE),3)="DB2"), VLOOKUP("RHEL+DB2",'BOM FUNCTIONS'!$CX$6:$CZ$13,2,FALSE),
                   IF($D31="AIX",VLOOKUP("AIX",'BOM FUNCTIONS'!$CX$6:$CZ$13,2,FALSE),
                  IF(AND($D31="Linux", LEFT(VLOOKUP($A31,dist_assets,22,FALSE),4)="RHEL"),VLOOKUP("RHEL",'BOM FUNCTIONS'!$CX$6:$CZ$13,2,FALSE),
                 IF(AND($D31="Linux", LEFT(VLOOKUP($A31,dist_assets,22,FALSE),4)="SLES"),VLOOKUP("SLES",'BOM FUNCTIONS'!$CX$6:$CZ$13,2,FALSE)))))))),"")</f>
        <v/>
      </c>
      <c r="I31" s="2073" t="str">
        <f>IF($A31&lt;&gt;"",
     IF(VLOOKUP($A31,'Distributed Assets'!$B$28:$V$102,3, FALSE) ="New",
      IF($D31="AIX",VLOOKUP("AIX",'BOM FUNCTIONS'!$CX$6:$CZ$11,3,FALSE),
         IF(AND(OR($D31="AIX",$D31="Linux"),LEFT(VLOOKUP($A31,'Distributed Assets'!$B$28:$Y$102,22,FALSE),3)="DB2"), VLOOKUP("AIX+DB2",'BOM FUNCTIONS'!$CX$6:$CZ$11,3,FALSE),
             IF(AND($D31="Linux", LEFT(VLOOKUP($A31,dist_assets,22,FALSE),4)="RHEL"),VLOOKUP("RHEL",'BOM FUNCTIONS'!$CX$6:$CZ$11,3,FALSE),
                 IF(AND($D31="Linux", LEFT(VLOOKUP($A31,dist_assets,22,FALSE),4)="SLES"),VLOOKUP("SLES",'BOM FUNCTIONS'!$CX$6:$CZ$9,3,FALSE)))))),"")</f>
        <v/>
      </c>
      <c r="J31" s="3404" t="str">
        <f>IF($A31&lt;&gt;"",
       IF(VLOOKUP($A31,'Distributed Assets'!$B$28:$V$102,3, FALSE) ="New",
          IF(LEFT(VLOOKUP($A31,'Distributed Assets'!$B$28:$AR$102,23,FALSE),3)="WAS",
             VLOOKUP(VLOOKUP($A31,'Distributed Assets'!$B$28:$BA$102,23,FALSE),'BOM FUNCTIONS'!$BV$6:$BW$23,2,FALSE),
           IF(LEFT(VLOOKUP($A31,'Distributed Assets'!$B$28:$AR$102,23,FALSE),5)="TomEE",
              VLOOKUP("was  TomEE 1.7.3 Web Profile",'BOM FUNCTIONS'!$BV$6:$BW$12,2,FALSE),
             IF(LEFT(VLOOKUP($A31,'Distributed Assets'!B55:AK129,24,FALSE),3)="Ora", Oracle_Standalone_fs(VLOOKUP($A31,dist_assets,44,FALSE)),
             IF(LEFT(VLOOKUP($A31,'Distributed Assets'!B55:AK129,24,FALSE),3)="DB2",DB2_FS(VLOOKUP($A31,dist_assets,44,FALSE)),"")))),""),"")</f>
        <v/>
      </c>
      <c r="K31" s="3073" t="str">
        <f>IF($A31&lt;&gt;"",
  IF(VLOOKUP($A31,dist_assets,3,FALSE)="New",
       IF($I31&lt;&gt;"",
          IF(LEFT(VLOOKUP($A31,dist_assets,23,FALSE),5)="TomEE"," 10",
            IF(LEFT(VLOOKUP($A31,dist_assets,23,FALSE),3)="WAS",VLOOKUP(VLOOKUP($A31,'Distributed Assets'!$B$28:$BA$102,23,FALSE),'BOM FUNCTIONS'!$BV$6:$BX$23,3,FALSE),
               IF(LEFT(VLOOKUP($A31,dist_assets,24,FALSE),3)="Ora","Unknown",
                     IF($D31&lt;&gt;"AIX", VLOOKUP($A31,dist_assets,35,FALSE)-100, "Enter LUN FS Values")))
                       ),""),""),"")</f>
        <v/>
      </c>
      <c r="L31" s="2186" t="str">
        <f>IF($A31&lt;&gt;"",
        IF(MATCH(A31,'NAS Details'!$A$8:$A$50,0)&lt;&gt;"",  CONCATENATE("Mount ", VLOOKUP($A31,'NAS Details'!$A$8:$W$50,21,FALSE)," from ", VLOOKUP($A31,'NAS Details'!$A$8:$W$50,20,FALSE), " as ", VLOOKUP($A31,'NAS Details'!$A$8:$W$50,22,FALSE))),"")</f>
        <v/>
      </c>
      <c r="M31" s="1758"/>
      <c r="N31" s="2071" t="str">
        <f t="shared" si="3"/>
        <v/>
      </c>
      <c r="O31" s="2071" t="str">
        <f t="shared" si="4"/>
        <v/>
      </c>
      <c r="P31" s="2071" t="str">
        <f>IF($B31&lt;&gt;"",
        IF(AND($E31="Prod 2.0",
                         dr_Level&lt;5,
                         $D31="AIX",
                          VLOOKUP($A31,dist_assets,26,FALSE)="Yes"),VLOOKUP($Q31,'BOM FUNCTIONS'!$CF$12:$CG$19,2,FALSE),
          "N/A"),
"")</f>
        <v/>
      </c>
      <c r="Q31" s="2071" t="str">
        <f>IF($A31&lt;&gt;"",
       IF(AND($E31="Prod 2.0",
                        dr_Level&lt;5,
                       $D31="AIX",
                        VLOOKUP($A31,dist_assets,26,FALSE)="Yes"),
              VLOOKUP($G31,'BOM FUNCTIONS'!$CA$12:$CG$19,6,FALSE),
         "N/A"),"")</f>
        <v/>
      </c>
      <c r="R31" s="3331" t="str">
        <f t="shared" si="8"/>
        <v/>
      </c>
      <c r="S31" s="2784" t="str">
        <f t="shared" si="9"/>
        <v/>
      </c>
      <c r="T31" s="2046" t="str">
        <f t="shared" si="5"/>
        <v/>
      </c>
      <c r="U31" s="2072" t="str">
        <f t="shared" si="6"/>
        <v/>
      </c>
      <c r="V31" s="2073" t="str">
        <f>IF($A31&lt;&gt;"",
    IF(VLOOKUP($A31,dist_assets,24,FALSE)&lt;&gt;"",
       IF(LEFT(VLOOKUP($A31,dist_assets,24,FALSE),3)="Ora",
            IF(VLOOKUP($A31,dist_assets,16,FALSE)="NO","Stand-alone",
                IF(LEFT(VLOOKUP($A31,dist,16,FALSE),6)="Active",
                     IF(VLOOKUP($A31,dist_assets,17,FALSE)=INDEX($A$4:$A$42,MATCH($A31,$A$4:$A$41,0)+1,1),"Cluster 1",
                          IF(VLOOKUP($A31,dist_assets,17,FALSE)=INDEX($A$4:$A$42,MATCH($A31,$A$4:$A$41,0)-1,1),"Cluster 2","Oracle RAC"))))),""),
   "")</f>
        <v/>
      </c>
      <c r="W31" s="2400" t="str">
        <f t="shared" si="7"/>
        <v/>
      </c>
      <c r="X31" s="2079" t="str">
        <f t="shared" si="10"/>
        <v/>
      </c>
    </row>
    <row r="32" spans="1:24">
      <c r="A32" s="312"/>
      <c r="B32" s="2046" t="str">
        <f t="shared" si="0"/>
        <v/>
      </c>
      <c r="C32" s="1662"/>
      <c r="D32" s="2046" t="str">
        <f t="shared" si="1"/>
        <v/>
      </c>
      <c r="E32" s="2046" t="str">
        <f>IF(A32&lt;&gt;"",VLOOKUP(VLOOKUP(A32,'Distributed Assets'!$B$28:$V$102,2,FALSE),'Distributed Assets'!$C$7:$F$22,4,FALSE),"")</f>
        <v/>
      </c>
      <c r="F32" s="30" t="str">
        <f t="shared" si="2"/>
        <v/>
      </c>
      <c r="G32" s="30"/>
      <c r="H32" s="748" t="str">
        <f>IF($A32&lt;&gt;"",
     IF(VLOOKUP($A32,dist_assets,3, FALSE) ="New",
        IF(AND($D32="Linux",LEFT(VLOOKUP($A32,dist_assets,23,FALSE),3)="WAS"), VLOOKUP("RHEL+WAS",'BOM FUNCTIONS'!$CX$6:$CZ$13,2,FALSE),
               IF(AND($D32="AIX",LEFT(VLOOKUP($A32,dist_assets,24,FALSE),3)="DB2"), VLOOKUP("AIX+DB2",'BOM FUNCTIONS'!$CX$6:$CZ$13,2,FALSE),
                  IF(AND($D32="Linux",LEFT(VLOOKUP($A32,dist_assets,24,FALSE),3)="DB2"), VLOOKUP("RHEL+DB2",'BOM FUNCTIONS'!$CX$6:$CZ$13,2,FALSE),
                   IF($D32="AIX",VLOOKUP("AIX",'BOM FUNCTIONS'!$CX$6:$CZ$13,2,FALSE),
                  IF(AND($D32="Linux", LEFT(VLOOKUP($A32,dist_assets,22,FALSE),4)="RHEL"),VLOOKUP("RHEL",'BOM FUNCTIONS'!$CX$6:$CZ$13,2,FALSE),
                 IF(AND($D32="Linux", LEFT(VLOOKUP($A32,dist_assets,22,FALSE),4)="SLES"),VLOOKUP("SLES",'BOM FUNCTIONS'!$CX$6:$CZ$13,2,FALSE)))))))),"")</f>
        <v/>
      </c>
      <c r="I32" s="2073" t="str">
        <f>IF($A32&lt;&gt;"",
     IF(VLOOKUP($A32,'Distributed Assets'!$B$28:$V$102,3, FALSE) ="New",
      IF($D32="AIX",VLOOKUP("AIX",'BOM FUNCTIONS'!$CX$6:$CZ$11,3,FALSE),
         IF(AND(OR($D32="AIX",$D32="Linux"),LEFT(VLOOKUP($A32,'Distributed Assets'!$B$28:$Y$102,22,FALSE),3)="DB2"), VLOOKUP("AIX+DB2",'BOM FUNCTIONS'!$CX$6:$CZ$11,3,FALSE),
             IF(AND($D32="Linux", LEFT(VLOOKUP($A32,dist_assets,22,FALSE),4)="RHEL"),VLOOKUP("RHEL",'BOM FUNCTIONS'!$CX$6:$CZ$11,3,FALSE),
                 IF(AND($D32="Linux", LEFT(VLOOKUP($A32,dist_assets,22,FALSE),4)="SLES"),VLOOKUP("SLES",'BOM FUNCTIONS'!$CX$6:$CZ$9,3,FALSE)))))),"")</f>
        <v/>
      </c>
      <c r="J32" s="3404" t="str">
        <f>IF($A32&lt;&gt;"",
       IF(VLOOKUP($A32,'Distributed Assets'!$B$28:$V$102,3, FALSE) ="New",
          IF(LEFT(VLOOKUP($A32,'Distributed Assets'!$B$28:$AR$102,23,FALSE),3)="WAS",
             VLOOKUP(VLOOKUP($A32,'Distributed Assets'!$B$28:$BA$102,23,FALSE),'BOM FUNCTIONS'!$BV$6:$BW$23,2,FALSE),
           IF(LEFT(VLOOKUP($A32,'Distributed Assets'!$B$28:$AR$102,23,FALSE),5)="TomEE",
              VLOOKUP("was  TomEE 1.7.3 Web Profile",'BOM FUNCTIONS'!$BV$6:$BW$12,2,FALSE),
             IF(LEFT(VLOOKUP($A32,'Distributed Assets'!B56:AK130,24,FALSE),3)="Ora", Oracle_Standalone_fs(VLOOKUP($A32,dist_assets,44,FALSE)),
             IF(LEFT(VLOOKUP($A32,'Distributed Assets'!B56:AK130,24,FALSE),3)="DB2",DB2_FS(VLOOKUP($A32,dist_assets,44,FALSE)),"")))),""),"")</f>
        <v/>
      </c>
      <c r="K32" s="3073" t="str">
        <f>IF($A32&lt;&gt;"",
  IF(VLOOKUP($A32,dist_assets,3,FALSE)="New",
       IF($I32&lt;&gt;"",
          IF(LEFT(VLOOKUP($A32,dist_assets,23,FALSE),5)="TomEE"," 10",
            IF(LEFT(VLOOKUP($A32,dist_assets,23,FALSE),3)="WAS",VLOOKUP(VLOOKUP($A32,'Distributed Assets'!$B$28:$BA$102,23,FALSE),'BOM FUNCTIONS'!$BV$6:$BX$23,3,FALSE),
               IF(LEFT(VLOOKUP($A32,dist_assets,24,FALSE),3)="Ora","Unknown",
                     IF($D32&lt;&gt;"AIX", VLOOKUP($A32,dist_assets,35,FALSE)-100, "Enter LUN FS Values")))
                       ),""),""),"")</f>
        <v/>
      </c>
      <c r="L32" s="2186" t="str">
        <f>IF($A32&lt;&gt;"",
        IF(MATCH(A32,'NAS Details'!$A$8:$A$50,0)&lt;&gt;"",  CONCATENATE("Mount ", VLOOKUP($A32,'NAS Details'!$A$8:$W$50,21,FALSE)," from ", VLOOKUP($A32,'NAS Details'!$A$8:$W$50,20,FALSE), " as ", VLOOKUP($A32,'NAS Details'!$A$8:$W$50,22,FALSE))),"")</f>
        <v/>
      </c>
      <c r="M32" s="1758"/>
      <c r="N32" s="2071" t="str">
        <f t="shared" si="3"/>
        <v/>
      </c>
      <c r="O32" s="2071" t="str">
        <f t="shared" si="4"/>
        <v/>
      </c>
      <c r="P32" s="2071" t="str">
        <f>IF($B32&lt;&gt;"",
        IF(AND($E32="Prod 2.0",
                         dr_Level&lt;5,
                         $D32="AIX",
                          VLOOKUP($A32,dist_assets,26,FALSE)="Yes"),VLOOKUP($Q32,'BOM FUNCTIONS'!$CF$12:$CG$19,2,FALSE),
          "N/A"),
"")</f>
        <v/>
      </c>
      <c r="Q32" s="2071" t="str">
        <f>IF($A32&lt;&gt;"",
       IF(AND($E32="Prod 2.0",
                        dr_Level&lt;5,
                       $D32="AIX",
                        VLOOKUP($A32,dist_assets,26,FALSE)="Yes"),
              VLOOKUP($G32,'BOM FUNCTIONS'!$CA$12:$CG$19,6,FALSE),
         "N/A"),"")</f>
        <v/>
      </c>
      <c r="R32" s="3331" t="str">
        <f t="shared" si="8"/>
        <v/>
      </c>
      <c r="S32" s="2784" t="str">
        <f t="shared" si="9"/>
        <v/>
      </c>
      <c r="T32" s="2046" t="str">
        <f t="shared" si="5"/>
        <v/>
      </c>
      <c r="U32" s="2072" t="str">
        <f t="shared" si="6"/>
        <v/>
      </c>
      <c r="V32" s="2073" t="str">
        <f>IF($A32&lt;&gt;"",
    IF(VLOOKUP($A32,dist_assets,24,FALSE)&lt;&gt;"",
       IF(LEFT(VLOOKUP($A32,dist_assets,24,FALSE),3)="Ora",
            IF(VLOOKUP($A32,dist_assets,16,FALSE)="NO","Stand-alone",
                IF(LEFT(VLOOKUP($A32,dist,16,FALSE),6)="Active",
                     IF(VLOOKUP($A32,dist_assets,17,FALSE)=INDEX($A$4:$A$42,MATCH($A32,$A$4:$A$41,0)+1,1),"Cluster 1",
                          IF(VLOOKUP($A32,dist_assets,17,FALSE)=INDEX($A$4:$A$42,MATCH($A32,$A$4:$A$41,0)-1,1),"Cluster 2","Oracle RAC"))))),""),
   "")</f>
        <v/>
      </c>
      <c r="W32" s="2400" t="str">
        <f t="shared" si="7"/>
        <v/>
      </c>
      <c r="X32" s="2079" t="str">
        <f t="shared" si="10"/>
        <v/>
      </c>
    </row>
    <row r="33" spans="1:24">
      <c r="A33" s="312"/>
      <c r="B33" s="2046" t="str">
        <f t="shared" si="0"/>
        <v/>
      </c>
      <c r="C33" s="1662"/>
      <c r="D33" s="2046" t="str">
        <f t="shared" si="1"/>
        <v/>
      </c>
      <c r="E33" s="2046" t="str">
        <f>IF(A33&lt;&gt;"",VLOOKUP(VLOOKUP(A33,'Distributed Assets'!$B$28:$V$102,2,FALSE),'Distributed Assets'!$C$7:$F$22,4,FALSE),"")</f>
        <v/>
      </c>
      <c r="F33" s="30" t="str">
        <f t="shared" si="2"/>
        <v/>
      </c>
      <c r="G33" s="30"/>
      <c r="H33" s="748" t="str">
        <f>IF($A33&lt;&gt;"",
     IF(VLOOKUP($A33,dist_assets,3, FALSE) ="New",
        IF(AND($D33="Linux",LEFT(VLOOKUP($A33,dist_assets,23,FALSE),3)="WAS"), VLOOKUP("RHEL+WAS",'BOM FUNCTIONS'!$CX$6:$CZ$13,2,FALSE),
               IF(AND($D33="AIX",LEFT(VLOOKUP($A33,dist_assets,24,FALSE),3)="DB2"), VLOOKUP("AIX+DB2",'BOM FUNCTIONS'!$CX$6:$CZ$13,2,FALSE),
                  IF(AND($D33="Linux",LEFT(VLOOKUP($A33,dist_assets,24,FALSE),3)="DB2"), VLOOKUP("RHEL+DB2",'BOM FUNCTIONS'!$CX$6:$CZ$13,2,FALSE),
                   IF($D33="AIX",VLOOKUP("AIX",'BOM FUNCTIONS'!$CX$6:$CZ$13,2,FALSE),
                  IF(AND($D33="Linux", LEFT(VLOOKUP($A33,dist_assets,22,FALSE),4)="RHEL"),VLOOKUP("RHEL",'BOM FUNCTIONS'!$CX$6:$CZ$13,2,FALSE),
                 IF(AND($D33="Linux", LEFT(VLOOKUP($A33,dist_assets,22,FALSE),4)="SLES"),VLOOKUP("SLES",'BOM FUNCTIONS'!$CX$6:$CZ$13,2,FALSE)))))))),"")</f>
        <v/>
      </c>
      <c r="I33" s="2073" t="str">
        <f>IF($A33&lt;&gt;"",
     IF(VLOOKUP($A33,'Distributed Assets'!$B$28:$V$102,3, FALSE) ="New",
      IF($D33="AIX",VLOOKUP("AIX",'BOM FUNCTIONS'!$CX$6:$CZ$11,3,FALSE),
         IF(AND(OR($D33="AIX",$D33="Linux"),LEFT(VLOOKUP($A33,'Distributed Assets'!$B$28:$Y$102,22,FALSE),3)="DB2"), VLOOKUP("AIX+DB2",'BOM FUNCTIONS'!$CX$6:$CZ$11,3,FALSE),
             IF(AND($D33="Linux", LEFT(VLOOKUP($A33,dist_assets,22,FALSE),4)="RHEL"),VLOOKUP("RHEL",'BOM FUNCTIONS'!$CX$6:$CZ$11,3,FALSE),
                 IF(AND($D33="Linux", LEFT(VLOOKUP($A33,dist_assets,22,FALSE),4)="SLES"),VLOOKUP("SLES",'BOM FUNCTIONS'!$CX$6:$CZ$9,3,FALSE)))))),"")</f>
        <v/>
      </c>
      <c r="J33" s="3404" t="str">
        <f>IF($A33&lt;&gt;"",
       IF(VLOOKUP($A33,'Distributed Assets'!$B$28:$V$102,3, FALSE) ="New",
          IF(LEFT(VLOOKUP($A33,'Distributed Assets'!$B$28:$AR$102,23,FALSE),3)="WAS",
             VLOOKUP(VLOOKUP($A33,'Distributed Assets'!$B$28:$BA$102,23,FALSE),'BOM FUNCTIONS'!$BV$6:$BW$23,2,FALSE),
           IF(LEFT(VLOOKUP($A33,'Distributed Assets'!$B$28:$AR$102,23,FALSE),5)="TomEE",
              VLOOKUP("was  TomEE 1.7.3 Web Profile",'BOM FUNCTIONS'!$BV$6:$BW$12,2,FALSE),
             IF(LEFT(VLOOKUP($A33,'Distributed Assets'!B57:AK131,24,FALSE),3)="Ora", Oracle_Standalone_fs(VLOOKUP($A33,dist_assets,44,FALSE)),
             IF(LEFT(VLOOKUP($A33,'Distributed Assets'!B57:AK131,24,FALSE),3)="DB2",DB2_FS(VLOOKUP($A33,dist_assets,44,FALSE)),"")))),""),"")</f>
        <v/>
      </c>
      <c r="K33" s="3073" t="str">
        <f>IF($A33&lt;&gt;"",
  IF(VLOOKUP($A33,dist_assets,3,FALSE)="New",
       IF($I33&lt;&gt;"",
          IF(LEFT(VLOOKUP($A33,dist_assets,23,FALSE),5)="TomEE"," 10",
            IF(LEFT(VLOOKUP($A33,dist_assets,23,FALSE),3)="WAS",VLOOKUP(VLOOKUP($A33,'Distributed Assets'!$B$28:$BA$102,23,FALSE),'BOM FUNCTIONS'!$BV$6:$BX$23,3,FALSE),
               IF(LEFT(VLOOKUP($A33,dist_assets,24,FALSE),3)="Ora","Unknown",
                     IF($D33&lt;&gt;"AIX", VLOOKUP($A33,dist_assets,35,FALSE)-100, "Enter LUN FS Values")))
                       ),""),""),"")</f>
        <v/>
      </c>
      <c r="L33" s="2186" t="str">
        <f>IF($A33&lt;&gt;"",
        IF(MATCH(A33,'NAS Details'!$A$8:$A$50,0)&lt;&gt;"",  CONCATENATE("Mount ", VLOOKUP($A33,'NAS Details'!$A$8:$W$50,21,FALSE)," from ", VLOOKUP($A33,'NAS Details'!$A$8:$W$50,20,FALSE), " as ", VLOOKUP($A33,'NAS Details'!$A$8:$W$50,22,FALSE))),"")</f>
        <v/>
      </c>
      <c r="M33" s="1758"/>
      <c r="N33" s="2071" t="str">
        <f t="shared" si="3"/>
        <v/>
      </c>
      <c r="O33" s="2071" t="str">
        <f t="shared" si="4"/>
        <v/>
      </c>
      <c r="P33" s="2071" t="str">
        <f>IF($B33&lt;&gt;"",
        IF(AND($E33="Prod 2.0",
                         dr_Level&lt;5,
                         $D33="AIX",
                          VLOOKUP($A33,dist_assets,26,FALSE)="Yes"),VLOOKUP($Q33,'BOM FUNCTIONS'!$CF$12:$CG$19,2,FALSE),
          "N/A"),
"")</f>
        <v/>
      </c>
      <c r="Q33" s="2071" t="str">
        <f>IF($A33&lt;&gt;"",
       IF(AND($E33="Prod 2.0",
                        dr_Level&lt;5,
                       $D33="AIX",
                        VLOOKUP($A33,dist_assets,26,FALSE)="Yes"),
              VLOOKUP($G33,'BOM FUNCTIONS'!$CA$12:$CG$19,6,FALSE),
         "N/A"),"")</f>
        <v/>
      </c>
      <c r="R33" s="3331" t="str">
        <f t="shared" si="8"/>
        <v/>
      </c>
      <c r="S33" s="2784" t="str">
        <f t="shared" si="9"/>
        <v/>
      </c>
      <c r="T33" s="2046" t="str">
        <f t="shared" si="5"/>
        <v/>
      </c>
      <c r="U33" s="2072" t="str">
        <f t="shared" si="6"/>
        <v/>
      </c>
      <c r="V33" s="2073" t="str">
        <f>IF($A33&lt;&gt;"",
    IF(VLOOKUP($A33,dist_assets,24,FALSE)&lt;&gt;"",
       IF(LEFT(VLOOKUP($A33,dist_assets,24,FALSE),3)="Ora",
            IF(VLOOKUP($A33,dist_assets,16,FALSE)="NO","Stand-alone",
                IF(LEFT(VLOOKUP($A33,dist,16,FALSE),6)="Active",
                     IF(VLOOKUP($A33,dist_assets,17,FALSE)=INDEX($A$4:$A$42,MATCH($A33,$A$4:$A$41,0)+1,1),"Cluster 1",
                          IF(VLOOKUP($A33,dist_assets,17,FALSE)=INDEX($A$4:$A$42,MATCH($A33,$A$4:$A$41,0)-1,1),"Cluster 2","Oracle RAC"))))),""),
   "")</f>
        <v/>
      </c>
      <c r="W33" s="2400" t="str">
        <f t="shared" si="7"/>
        <v/>
      </c>
      <c r="X33" s="2079" t="str">
        <f t="shared" si="10"/>
        <v/>
      </c>
    </row>
    <row r="34" spans="1:24">
      <c r="A34" s="312"/>
      <c r="B34" s="2046" t="str">
        <f t="shared" si="0"/>
        <v/>
      </c>
      <c r="C34" s="1662"/>
      <c r="D34" s="2046" t="str">
        <f t="shared" si="1"/>
        <v/>
      </c>
      <c r="E34" s="2046" t="str">
        <f>IF(A34&lt;&gt;"",VLOOKUP(VLOOKUP(A34,'Distributed Assets'!$B$28:$V$102,2,FALSE),'Distributed Assets'!$C$7:$F$22,4,FALSE),"")</f>
        <v/>
      </c>
      <c r="F34" s="30" t="str">
        <f t="shared" si="2"/>
        <v/>
      </c>
      <c r="G34" s="30"/>
      <c r="H34" s="748" t="str">
        <f>IF($A34&lt;&gt;"",
     IF(VLOOKUP($A34,dist_assets,3, FALSE) ="New",
        IF(AND($D34="Linux",LEFT(VLOOKUP($A34,dist_assets,23,FALSE),3)="WAS"), VLOOKUP("RHEL+WAS",'BOM FUNCTIONS'!$CX$6:$CZ$13,2,FALSE),
               IF(AND($D34="AIX",LEFT(VLOOKUP($A34,dist_assets,24,FALSE),3)="DB2"), VLOOKUP("AIX+DB2",'BOM FUNCTIONS'!$CX$6:$CZ$13,2,FALSE),
                  IF(AND($D34="Linux",LEFT(VLOOKUP($A34,dist_assets,24,FALSE),3)="DB2"), VLOOKUP("RHEL+DB2",'BOM FUNCTIONS'!$CX$6:$CZ$13,2,FALSE),
                   IF($D34="AIX",VLOOKUP("AIX",'BOM FUNCTIONS'!$CX$6:$CZ$13,2,FALSE),
                  IF(AND($D34="Linux", LEFT(VLOOKUP($A34,dist_assets,22,FALSE),4)="RHEL"),VLOOKUP("RHEL",'BOM FUNCTIONS'!$CX$6:$CZ$13,2,FALSE),
                 IF(AND($D34="Linux", LEFT(VLOOKUP($A34,dist_assets,22,FALSE),4)="SLES"),VLOOKUP("SLES",'BOM FUNCTIONS'!$CX$6:$CZ$13,2,FALSE)))))))),"")</f>
        <v/>
      </c>
      <c r="I34" s="2073" t="str">
        <f>IF($A34&lt;&gt;"",
     IF(VLOOKUP($A34,'Distributed Assets'!$B$28:$V$102,3, FALSE) ="New",
      IF($D34="AIX",VLOOKUP("AIX",'BOM FUNCTIONS'!$CX$6:$CZ$11,3,FALSE),
         IF(AND(OR($D34="AIX",$D34="Linux"),LEFT(VLOOKUP($A34,'Distributed Assets'!$B$28:$Y$102,22,FALSE),3)="DB2"), VLOOKUP("AIX+DB2",'BOM FUNCTIONS'!$CX$6:$CZ$11,3,FALSE),
             IF(AND($D34="Linux", LEFT(VLOOKUP($A34,dist_assets,22,FALSE),4)="RHEL"),VLOOKUP("RHEL",'BOM FUNCTIONS'!$CX$6:$CZ$11,3,FALSE),
                 IF(AND($D34="Linux", LEFT(VLOOKUP($A34,dist_assets,22,FALSE),4)="SLES"),VLOOKUP("SLES",'BOM FUNCTIONS'!$CX$6:$CZ$9,3,FALSE)))))),"")</f>
        <v/>
      </c>
      <c r="J34" s="3404" t="str">
        <f>IF($A34&lt;&gt;"",
       IF(VLOOKUP($A34,'Distributed Assets'!$B$28:$V$102,3, FALSE) ="New",
          IF(LEFT(VLOOKUP($A34,'Distributed Assets'!$B$28:$AR$102,23,FALSE),3)="WAS",
             VLOOKUP(VLOOKUP($A34,'Distributed Assets'!$B$28:$BA$102,23,FALSE),'BOM FUNCTIONS'!$BV$6:$BW$23,2,FALSE),
           IF(LEFT(VLOOKUP($A34,'Distributed Assets'!$B$28:$AR$102,23,FALSE),5)="TomEE",
              VLOOKUP("was  TomEE 1.7.3 Web Profile",'BOM FUNCTIONS'!$BV$6:$BW$12,2,FALSE),
             IF(LEFT(VLOOKUP($A34,'Distributed Assets'!B58:AK132,24,FALSE),3)="Ora", Oracle_Standalone_fs(VLOOKUP($A34,dist_assets,44,FALSE)),
             IF(LEFT(VLOOKUP($A34,'Distributed Assets'!B58:AK132,24,FALSE),3)="DB2",DB2_FS(VLOOKUP($A34,dist_assets,44,FALSE)),"")))),""),"")</f>
        <v/>
      </c>
      <c r="K34" s="3073" t="str">
        <f>IF($A34&lt;&gt;"",
  IF(VLOOKUP($A34,dist_assets,3,FALSE)="New",
       IF($I34&lt;&gt;"",
          IF(LEFT(VLOOKUP($A34,dist_assets,23,FALSE),5)="TomEE"," 10",
            IF(LEFT(VLOOKUP($A34,dist_assets,23,FALSE),3)="WAS",VLOOKUP(VLOOKUP($A34,'Distributed Assets'!$B$28:$BA$102,23,FALSE),'BOM FUNCTIONS'!$BV$6:$BX$23,3,FALSE),
               IF(LEFT(VLOOKUP($A34,dist_assets,24,FALSE),3)="Ora","Unknown",
                     IF($D34&lt;&gt;"AIX", VLOOKUP($A34,dist_assets,35,FALSE)-100, "Enter LUN FS Values")))
                       ),""),""),"")</f>
        <v/>
      </c>
      <c r="L34" s="2186" t="str">
        <f>IF($A34&lt;&gt;"",
        IF(MATCH(A34,'NAS Details'!$A$8:$A$50,0)&lt;&gt;"",  CONCATENATE("Mount ", VLOOKUP($A34,'NAS Details'!$A$8:$W$50,21,FALSE)," from ", VLOOKUP($A34,'NAS Details'!$A$8:$W$50,20,FALSE), " as ", VLOOKUP($A34,'NAS Details'!$A$8:$W$50,22,FALSE))),"")</f>
        <v/>
      </c>
      <c r="M34" s="1758"/>
      <c r="N34" s="2071" t="str">
        <f t="shared" si="3"/>
        <v/>
      </c>
      <c r="O34" s="2071" t="str">
        <f t="shared" si="4"/>
        <v/>
      </c>
      <c r="P34" s="2071" t="str">
        <f>IF($B34&lt;&gt;"",
        IF(AND($E34="Prod 2.0",
                         dr_Level&lt;5,
                         $D34="AIX",
                          VLOOKUP($A34,dist_assets,26,FALSE)="Yes"),VLOOKUP($Q34,'BOM FUNCTIONS'!$CF$12:$CG$19,2,FALSE),
          "N/A"),
"")</f>
        <v/>
      </c>
      <c r="Q34" s="2071" t="str">
        <f>IF($A34&lt;&gt;"",
       IF(AND($E34="Prod 2.0",
                        dr_Level&lt;5,
                       $D34="AIX",
                        VLOOKUP($A34,dist_assets,26,FALSE)="Yes"),
              VLOOKUP($G34,'BOM FUNCTIONS'!$CA$12:$CG$19,6,FALSE),
         "N/A"),"")</f>
        <v/>
      </c>
      <c r="R34" s="3331" t="str">
        <f t="shared" si="8"/>
        <v/>
      </c>
      <c r="S34" s="2784" t="str">
        <f t="shared" si="9"/>
        <v/>
      </c>
      <c r="T34" s="2046" t="str">
        <f t="shared" si="5"/>
        <v/>
      </c>
      <c r="U34" s="2072" t="str">
        <f t="shared" si="6"/>
        <v/>
      </c>
      <c r="V34" s="2073" t="str">
        <f>IF($A34&lt;&gt;"",
    IF(VLOOKUP($A34,dist_assets,24,FALSE)&lt;&gt;"",
       IF(LEFT(VLOOKUP($A34,dist_assets,24,FALSE),3)="Ora",
            IF(VLOOKUP($A34,dist_assets,16,FALSE)="NO","Stand-alone",
                IF(LEFT(VLOOKUP($A34,dist,16,FALSE),6)="Active",
                     IF(VLOOKUP($A34,dist_assets,17,FALSE)=INDEX($A$4:$A$42,MATCH($A34,$A$4:$A$41,0)+1,1),"Cluster 1",
                          IF(VLOOKUP($A34,dist_assets,17,FALSE)=INDEX($A$4:$A$42,MATCH($A34,$A$4:$A$41,0)-1,1),"Cluster 2","Oracle RAC"))))),""),
   "")</f>
        <v/>
      </c>
      <c r="W34" s="2400" t="str">
        <f t="shared" si="7"/>
        <v/>
      </c>
      <c r="X34" s="2079" t="str">
        <f t="shared" si="10"/>
        <v/>
      </c>
    </row>
    <row r="35" spans="1:24">
      <c r="A35" s="312"/>
      <c r="B35" s="2046" t="str">
        <f t="shared" si="0"/>
        <v/>
      </c>
      <c r="C35" s="1662"/>
      <c r="D35" s="2046" t="str">
        <f t="shared" si="1"/>
        <v/>
      </c>
      <c r="E35" s="2046" t="str">
        <f>IF(A35&lt;&gt;"",VLOOKUP(VLOOKUP(A35,'Distributed Assets'!$B$28:$V$102,2,FALSE),'Distributed Assets'!$C$7:$F$22,4,FALSE),"")</f>
        <v/>
      </c>
      <c r="F35" s="30" t="str">
        <f t="shared" si="2"/>
        <v/>
      </c>
      <c r="G35" s="30"/>
      <c r="H35" s="748" t="str">
        <f>IF($A35&lt;&gt;"",
     IF(VLOOKUP($A35,dist_assets,3, FALSE) ="New",
        IF(AND($D35="Linux",LEFT(VLOOKUP($A35,dist_assets,23,FALSE),3)="WAS"), VLOOKUP("RHEL+WAS",'BOM FUNCTIONS'!$CX$6:$CZ$13,2,FALSE),
               IF(AND($D35="AIX",LEFT(VLOOKUP($A35,dist_assets,24,FALSE),3)="DB2"), VLOOKUP("AIX+DB2",'BOM FUNCTIONS'!$CX$6:$CZ$13,2,FALSE),
                  IF(AND($D35="Linux",LEFT(VLOOKUP($A35,dist_assets,24,FALSE),3)="DB2"), VLOOKUP("RHEL+DB2",'BOM FUNCTIONS'!$CX$6:$CZ$13,2,FALSE),
                   IF($D35="AIX",VLOOKUP("AIX",'BOM FUNCTIONS'!$CX$6:$CZ$13,2,FALSE),
                  IF(AND($D35="Linux", LEFT(VLOOKUP($A35,dist_assets,22,FALSE),4)="RHEL"),VLOOKUP("RHEL",'BOM FUNCTIONS'!$CX$6:$CZ$13,2,FALSE),
                 IF(AND($D35="Linux", LEFT(VLOOKUP($A35,dist_assets,22,FALSE),4)="SLES"),VLOOKUP("SLES",'BOM FUNCTIONS'!$CX$6:$CZ$13,2,FALSE)))))))),"")</f>
        <v/>
      </c>
      <c r="I35" s="2073" t="str">
        <f>IF($A35&lt;&gt;"",
     IF(VLOOKUP($A35,'Distributed Assets'!$B$28:$V$102,3, FALSE) ="New",
      IF($D35="AIX",VLOOKUP("AIX",'BOM FUNCTIONS'!$CX$6:$CZ$11,3,FALSE),
         IF(AND(OR($D35="AIX",$D35="Linux"),LEFT(VLOOKUP($A35,'Distributed Assets'!$B$28:$Y$102,22,FALSE),3)="DB2"), VLOOKUP("AIX+DB2",'BOM FUNCTIONS'!$CX$6:$CZ$11,3,FALSE),
             IF(AND($D35="Linux", LEFT(VLOOKUP($A35,dist_assets,22,FALSE),4)="RHEL"),VLOOKUP("RHEL",'BOM FUNCTIONS'!$CX$6:$CZ$11,3,FALSE),
                 IF(AND($D35="Linux", LEFT(VLOOKUP($A35,dist_assets,22,FALSE),4)="SLES"),VLOOKUP("SLES",'BOM FUNCTIONS'!$CX$6:$CZ$9,3,FALSE)))))),"")</f>
        <v/>
      </c>
      <c r="J35" s="3404" t="str">
        <f>IF($A35&lt;&gt;"",
       IF(VLOOKUP($A35,'Distributed Assets'!$B$28:$V$102,3, FALSE) ="New",
          IF(LEFT(VLOOKUP($A35,'Distributed Assets'!$B$28:$AR$102,23,FALSE),3)="WAS",
             VLOOKUP(VLOOKUP($A35,'Distributed Assets'!$B$28:$BA$102,23,FALSE),'BOM FUNCTIONS'!$BV$6:$BW$23,2,FALSE),
           IF(LEFT(VLOOKUP($A35,'Distributed Assets'!$B$28:$AR$102,23,FALSE),5)="TomEE",
              VLOOKUP("was  TomEE 1.7.3 Web Profile",'BOM FUNCTIONS'!$BV$6:$BW$12,2,FALSE),
             IF(LEFT(VLOOKUP($A35,'Distributed Assets'!B59:AK133,24,FALSE),3)="Ora", Oracle_Standalone_fs(VLOOKUP($A35,dist_assets,44,FALSE)),
             IF(LEFT(VLOOKUP($A35,'Distributed Assets'!B59:AK133,24,FALSE),3)="DB2",DB2_FS(VLOOKUP($A35,dist_assets,44,FALSE)),"")))),""),"")</f>
        <v/>
      </c>
      <c r="K35" s="3073" t="str">
        <f>IF($A35&lt;&gt;"",
  IF(VLOOKUP($A35,dist_assets,3,FALSE)="New",
       IF($I35&lt;&gt;"",
          IF(LEFT(VLOOKUP($A35,dist_assets,23,FALSE),5)="TomEE"," 10",
            IF(LEFT(VLOOKUP($A35,dist_assets,23,FALSE),3)="WAS",VLOOKUP(VLOOKUP($A35,'Distributed Assets'!$B$28:$BA$102,23,FALSE),'BOM FUNCTIONS'!$BV$6:$BX$23,3,FALSE),
               IF(LEFT(VLOOKUP($A35,dist_assets,24,FALSE),3)="Ora","Unknown",
                     IF($D35&lt;&gt;"AIX", VLOOKUP($A35,dist_assets,35,FALSE)-100, "Enter LUN FS Values")))
                       ),""),""),"")</f>
        <v/>
      </c>
      <c r="L35" s="2186" t="str">
        <f>IF($A35&lt;&gt;"",
        IF(MATCH(A35,'NAS Details'!$A$8:$A$50,0)&lt;&gt;"",  CONCATENATE("Mount ", VLOOKUP($A35,'NAS Details'!$A$8:$W$50,21,FALSE)," from ", VLOOKUP($A35,'NAS Details'!$A$8:$W$50,20,FALSE), " as ", VLOOKUP($A35,'NAS Details'!$A$8:$W$50,22,FALSE))),"")</f>
        <v/>
      </c>
      <c r="M35" s="1758"/>
      <c r="N35" s="2071" t="str">
        <f t="shared" si="3"/>
        <v/>
      </c>
      <c r="O35" s="2071" t="str">
        <f t="shared" si="4"/>
        <v/>
      </c>
      <c r="P35" s="2071" t="str">
        <f>IF($B35&lt;&gt;"",
        IF(AND($E35="Prod 2.0",
                         dr_Level&lt;5,
                         $D35="AIX",
                          VLOOKUP($A35,dist_assets,26,FALSE)="Yes"),VLOOKUP($Q35,'BOM FUNCTIONS'!$CF$12:$CG$19,2,FALSE),
          "N/A"),
"")</f>
        <v/>
      </c>
      <c r="Q35" s="2071" t="str">
        <f>IF($A35&lt;&gt;"",
       IF(AND($E35="Prod 2.0",
                        dr_Level&lt;5,
                       $D35="AIX",
                        VLOOKUP($A35,dist_assets,26,FALSE)="Yes"),
              VLOOKUP($G35,'BOM FUNCTIONS'!$CA$12:$CG$19,6,FALSE),
         "N/A"),"")</f>
        <v/>
      </c>
      <c r="R35" s="3331" t="str">
        <f t="shared" si="8"/>
        <v/>
      </c>
      <c r="S35" s="2784" t="str">
        <f t="shared" si="9"/>
        <v/>
      </c>
      <c r="T35" s="2046" t="str">
        <f t="shared" si="5"/>
        <v/>
      </c>
      <c r="U35" s="2072" t="str">
        <f t="shared" si="6"/>
        <v/>
      </c>
      <c r="V35" s="2073" t="str">
        <f>IF($A35&lt;&gt;"",
    IF(VLOOKUP($A35,dist_assets,24,FALSE)&lt;&gt;"",
       IF(LEFT(VLOOKUP($A35,dist_assets,24,FALSE),3)="Ora",
            IF(VLOOKUP($A35,dist_assets,16,FALSE)="NO","Stand-alone",
                IF(LEFT(VLOOKUP($A35,dist,16,FALSE),6)="Active",
                     IF(VLOOKUP($A35,dist_assets,17,FALSE)=INDEX($A$4:$A$42,MATCH($A35,$A$4:$A$41,0)+1,1),"Cluster 1",
                          IF(VLOOKUP($A35,dist_assets,17,FALSE)=INDEX($A$4:$A$42,MATCH($A35,$A$4:$A$41,0)-1,1),"Cluster 2","Oracle RAC"))))),""),
   "")</f>
        <v/>
      </c>
      <c r="W35" s="2400" t="str">
        <f t="shared" si="7"/>
        <v/>
      </c>
      <c r="X35" s="2079" t="str">
        <f t="shared" si="10"/>
        <v/>
      </c>
    </row>
    <row r="36" spans="1:24">
      <c r="A36" s="312"/>
      <c r="B36" s="2046" t="str">
        <f t="shared" si="0"/>
        <v/>
      </c>
      <c r="C36" s="1662"/>
      <c r="D36" s="2046" t="str">
        <f t="shared" si="1"/>
        <v/>
      </c>
      <c r="E36" s="2046" t="str">
        <f>IF(A36&lt;&gt;"",VLOOKUP(VLOOKUP(A36,'Distributed Assets'!$B$28:$V$102,2,FALSE),'Distributed Assets'!$C$7:$F$22,4,FALSE),"")</f>
        <v/>
      </c>
      <c r="F36" s="30" t="str">
        <f t="shared" si="2"/>
        <v/>
      </c>
      <c r="G36" s="30"/>
      <c r="H36" s="748" t="str">
        <f>IF($A36&lt;&gt;"",
     IF(VLOOKUP($A36,dist_assets,3, FALSE) ="New",
        IF(AND($D36="Linux",LEFT(VLOOKUP($A36,dist_assets,23,FALSE),3)="WAS"), VLOOKUP("RHEL+WAS",'BOM FUNCTIONS'!$CX$6:$CZ$13,2,FALSE),
               IF(AND($D36="AIX",LEFT(VLOOKUP($A36,dist_assets,24,FALSE),3)="DB2"), VLOOKUP("AIX+DB2",'BOM FUNCTIONS'!$CX$6:$CZ$13,2,FALSE),
                  IF(AND($D36="Linux",LEFT(VLOOKUP($A36,dist_assets,24,FALSE),3)="DB2"), VLOOKUP("RHEL+DB2",'BOM FUNCTIONS'!$CX$6:$CZ$13,2,FALSE),
                   IF($D36="AIX",VLOOKUP("AIX",'BOM FUNCTIONS'!$CX$6:$CZ$13,2,FALSE),
                  IF(AND($D36="Linux", LEFT(VLOOKUP($A36,dist_assets,22,FALSE),4)="RHEL"),VLOOKUP("RHEL",'BOM FUNCTIONS'!$CX$6:$CZ$13,2,FALSE),
                 IF(AND($D36="Linux", LEFT(VLOOKUP($A36,dist_assets,22,FALSE),4)="SLES"),VLOOKUP("SLES",'BOM FUNCTIONS'!$CX$6:$CZ$13,2,FALSE)))))))),"")</f>
        <v/>
      </c>
      <c r="I36" s="2073" t="str">
        <f>IF($A36&lt;&gt;"",
     IF(VLOOKUP($A36,'Distributed Assets'!$B$28:$V$102,3, FALSE) ="New",
      IF($D36="AIX",VLOOKUP("AIX",'BOM FUNCTIONS'!$CX$6:$CZ$11,3,FALSE),
         IF(AND(OR($D36="AIX",$D36="Linux"),LEFT(VLOOKUP($A36,'Distributed Assets'!$B$28:$Y$102,22,FALSE),3)="DB2"), VLOOKUP("AIX+DB2",'BOM FUNCTIONS'!$CX$6:$CZ$11,3,FALSE),
             IF(AND($D36="Linux", LEFT(VLOOKUP($A36,dist_assets,22,FALSE),4)="RHEL"),VLOOKUP("RHEL",'BOM FUNCTIONS'!$CX$6:$CZ$11,3,FALSE),
                 IF(AND($D36="Linux", LEFT(VLOOKUP($A36,dist_assets,22,FALSE),4)="SLES"),VLOOKUP("SLES",'BOM FUNCTIONS'!$CX$6:$CZ$9,3,FALSE)))))),"")</f>
        <v/>
      </c>
      <c r="J36" s="3404" t="str">
        <f>IF($A36&lt;&gt;"",
       IF(VLOOKUP($A36,'Distributed Assets'!$B$28:$V$102,3, FALSE) ="New",
          IF(LEFT(VLOOKUP($A36,'Distributed Assets'!$B$28:$AR$102,23,FALSE),3)="WAS",
             VLOOKUP(VLOOKUP($A36,'Distributed Assets'!$B$28:$BA$102,23,FALSE),'BOM FUNCTIONS'!$BV$6:$BW$23,2,FALSE),
           IF(LEFT(VLOOKUP($A36,'Distributed Assets'!$B$28:$AR$102,23,FALSE),5)="TomEE",
              VLOOKUP("was  TomEE 1.7.3 Web Profile",'BOM FUNCTIONS'!$BV$6:$BW$12,2,FALSE),
             IF(LEFT(VLOOKUP($A36,'Distributed Assets'!B60:AK134,24,FALSE),3)="Ora", Oracle_Standalone_fs(VLOOKUP($A36,dist_assets,44,FALSE)),
             IF(LEFT(VLOOKUP($A36,'Distributed Assets'!B60:AK134,24,FALSE),3)="DB2",DB2_FS(VLOOKUP($A36,dist_assets,44,FALSE)),"")))),""),"")</f>
        <v/>
      </c>
      <c r="K36" s="3073" t="str">
        <f>IF($A36&lt;&gt;"",
  IF(VLOOKUP($A36,dist_assets,3,FALSE)="New",
       IF($I36&lt;&gt;"",
          IF(LEFT(VLOOKUP($A36,dist_assets,23,FALSE),5)="TomEE"," 10",
            IF(LEFT(VLOOKUP($A36,dist_assets,23,FALSE),3)="WAS",VLOOKUP(VLOOKUP($A36,'Distributed Assets'!$B$28:$BA$102,23,FALSE),'BOM FUNCTIONS'!$BV$6:$BX$23,3,FALSE),
               IF(LEFT(VLOOKUP($A36,dist_assets,24,FALSE),3)="Ora","Unknown",
                     IF($D36&lt;&gt;"AIX", VLOOKUP($A36,dist_assets,35,FALSE)-100, "Enter LUN FS Values")))
                       ),""),""),"")</f>
        <v/>
      </c>
      <c r="L36" s="2186" t="str">
        <f>IF($A36&lt;&gt;"",
        IF(MATCH(A36,'NAS Details'!$A$8:$A$50,0)&lt;&gt;"",  CONCATENATE("Mount ", VLOOKUP($A36,'NAS Details'!$A$8:$W$50,21,FALSE)," from ", VLOOKUP($A36,'NAS Details'!$A$8:$W$50,20,FALSE), " as ", VLOOKUP($A36,'NAS Details'!$A$8:$W$50,22,FALSE))),"")</f>
        <v/>
      </c>
      <c r="M36" s="1758"/>
      <c r="N36" s="2071" t="str">
        <f t="shared" si="3"/>
        <v/>
      </c>
      <c r="O36" s="2071" t="str">
        <f t="shared" si="4"/>
        <v/>
      </c>
      <c r="P36" s="2071" t="str">
        <f>IF($B36&lt;&gt;"",
        IF(AND($E36="Prod 2.0",
                         dr_Level&lt;5,
                         $D36="AIX",
                          VLOOKUP($A36,dist_assets,26,FALSE)="Yes"),VLOOKUP($Q36,'BOM FUNCTIONS'!$CF$12:$CG$19,2,FALSE),
          "N/A"),
"")</f>
        <v/>
      </c>
      <c r="Q36" s="2071" t="str">
        <f>IF($A36&lt;&gt;"",
       IF(AND($E36="Prod 2.0",
                        dr_Level&lt;5,
                       $D36="AIX",
                        VLOOKUP($A36,dist_assets,26,FALSE)="Yes"),
              VLOOKUP($G36,'BOM FUNCTIONS'!$CA$12:$CG$19,6,FALSE),
         "N/A"),"")</f>
        <v/>
      </c>
      <c r="R36" s="3331" t="str">
        <f t="shared" si="8"/>
        <v/>
      </c>
      <c r="S36" s="2784" t="str">
        <f t="shared" si="9"/>
        <v/>
      </c>
      <c r="T36" s="2046" t="str">
        <f t="shared" si="5"/>
        <v/>
      </c>
      <c r="U36" s="2072" t="str">
        <f t="shared" si="6"/>
        <v/>
      </c>
      <c r="V36" s="2073" t="str">
        <f>IF($A36&lt;&gt;"",
    IF(VLOOKUP($A36,dist_assets,24,FALSE)&lt;&gt;"",
       IF(LEFT(VLOOKUP($A36,dist_assets,24,FALSE),3)="Ora",
            IF(VLOOKUP($A36,dist_assets,16,FALSE)="NO","Stand-alone",
                IF(LEFT(VLOOKUP($A36,dist,16,FALSE),6)="Active",
                     IF(VLOOKUP($A36,dist_assets,17,FALSE)=INDEX($A$4:$A$42,MATCH($A36,$A$4:$A$41,0)+1,1),"Cluster 1",
                          IF(VLOOKUP($A36,dist_assets,17,FALSE)=INDEX($A$4:$A$42,MATCH($A36,$A$4:$A$41,0)-1,1),"Cluster 2","Oracle RAC"))))),""),
   "")</f>
        <v/>
      </c>
      <c r="W36" s="2400" t="str">
        <f t="shared" si="7"/>
        <v/>
      </c>
      <c r="X36" s="2079" t="str">
        <f t="shared" si="10"/>
        <v/>
      </c>
    </row>
    <row r="37" spans="1:24">
      <c r="A37" s="312"/>
      <c r="B37" s="2046" t="str">
        <f t="shared" si="0"/>
        <v/>
      </c>
      <c r="C37" s="1662"/>
      <c r="D37" s="2046" t="str">
        <f t="shared" si="1"/>
        <v/>
      </c>
      <c r="E37" s="2046" t="str">
        <f>IF(A37&lt;&gt;"",VLOOKUP(VLOOKUP(A37,'Distributed Assets'!$B$28:$V$102,2,FALSE),'Distributed Assets'!$C$7:$F$22,4,FALSE),"")</f>
        <v/>
      </c>
      <c r="F37" s="30" t="str">
        <f t="shared" si="2"/>
        <v/>
      </c>
      <c r="G37" s="30"/>
      <c r="H37" s="748" t="str">
        <f>IF($A37&lt;&gt;"",
     IF(VLOOKUP($A37,dist_assets,3, FALSE) ="New",
        IF(AND($D37="Linux",LEFT(VLOOKUP($A37,dist_assets,23,FALSE),3)="WAS"), VLOOKUP("RHEL+WAS",'BOM FUNCTIONS'!$CX$6:$CZ$13,2,FALSE),
               IF(AND($D37="AIX",LEFT(VLOOKUP($A37,dist_assets,24,FALSE),3)="DB2"), VLOOKUP("AIX+DB2",'BOM FUNCTIONS'!$CX$6:$CZ$13,2,FALSE),
                  IF(AND($D37="Linux",LEFT(VLOOKUP($A37,dist_assets,24,FALSE),3)="DB2"), VLOOKUP("RHEL+DB2",'BOM FUNCTIONS'!$CX$6:$CZ$13,2,FALSE),
                   IF($D37="AIX",VLOOKUP("AIX",'BOM FUNCTIONS'!$CX$6:$CZ$13,2,FALSE),
                  IF(AND($D37="Linux", LEFT(VLOOKUP($A37,dist_assets,22,FALSE),4)="RHEL"),VLOOKUP("RHEL",'BOM FUNCTIONS'!$CX$6:$CZ$13,2,FALSE),
                 IF(AND($D37="Linux", LEFT(VLOOKUP($A37,dist_assets,22,FALSE),4)="SLES"),VLOOKUP("SLES",'BOM FUNCTIONS'!$CX$6:$CZ$13,2,FALSE)))))))),"")</f>
        <v/>
      </c>
      <c r="I37" s="2073" t="str">
        <f>IF($A37&lt;&gt;"",
     IF(VLOOKUP($A37,'Distributed Assets'!$B$28:$V$102,3, FALSE) ="New",
      IF($D37="AIX",VLOOKUP("AIX",'BOM FUNCTIONS'!$CX$6:$CZ$11,3,FALSE),
         IF(AND(OR($D37="AIX",$D37="Linux"),LEFT(VLOOKUP($A37,'Distributed Assets'!$B$28:$Y$102,22,FALSE),3)="DB2"), VLOOKUP("AIX+DB2",'BOM FUNCTIONS'!$CX$6:$CZ$11,3,FALSE),
             IF(AND($D37="Linux", LEFT(VLOOKUP($A37,dist_assets,22,FALSE),4)="RHEL"),VLOOKUP("RHEL",'BOM FUNCTIONS'!$CX$6:$CZ$11,3,FALSE),
                 IF(AND($D37="Linux", LEFT(VLOOKUP($A37,dist_assets,22,FALSE),4)="SLES"),VLOOKUP("SLES",'BOM FUNCTIONS'!$CX$6:$CZ$9,3,FALSE)))))),"")</f>
        <v/>
      </c>
      <c r="J37" s="3404" t="str">
        <f>IF($A37&lt;&gt;"",
       IF(VLOOKUP($A37,'Distributed Assets'!$B$28:$V$102,3, FALSE) ="New",
          IF(LEFT(VLOOKUP($A37,'Distributed Assets'!$B$28:$AR$102,23,FALSE),3)="WAS",
             VLOOKUP(VLOOKUP($A37,'Distributed Assets'!$B$28:$BA$102,23,FALSE),'BOM FUNCTIONS'!$BV$6:$BW$23,2,FALSE),
           IF(LEFT(VLOOKUP($A37,'Distributed Assets'!$B$28:$AR$102,23,FALSE),5)="TomEE",
              VLOOKUP("was  TomEE 1.7.3 Web Profile",'BOM FUNCTIONS'!$BV$6:$BW$12,2,FALSE),
             IF(LEFT(VLOOKUP($A37,'Distributed Assets'!B61:AK135,24,FALSE),3)="Ora", Oracle_Standalone_fs(VLOOKUP($A37,dist_assets,44,FALSE)),
             IF(LEFT(VLOOKUP($A37,'Distributed Assets'!B61:AK135,24,FALSE),3)="DB2",DB2_FS(VLOOKUP($A37,dist_assets,44,FALSE)),"")))),""),"")</f>
        <v/>
      </c>
      <c r="K37" s="3073" t="str">
        <f>IF($A37&lt;&gt;"",
  IF(VLOOKUP($A37,dist_assets,3,FALSE)="New",
       IF($I37&lt;&gt;"",
          IF(LEFT(VLOOKUP($A37,dist_assets,23,FALSE),5)="TomEE"," 10",
            IF(LEFT(VLOOKUP($A37,dist_assets,23,FALSE),3)="WAS",VLOOKUP(VLOOKUP($A37,'Distributed Assets'!$B$28:$BA$102,23,FALSE),'BOM FUNCTIONS'!$BV$6:$BX$23,3,FALSE),
               IF(LEFT(VLOOKUP($A37,dist_assets,24,FALSE),3)="Ora","Unknown",
                     IF($D37&lt;&gt;"AIX", VLOOKUP($A37,dist_assets,35,FALSE)-100, "Enter LUN FS Values")))
                       ),""),""),"")</f>
        <v/>
      </c>
      <c r="L37" s="2186" t="str">
        <f>IF($A37&lt;&gt;"",
        IF(MATCH(A37,'NAS Details'!$A$8:$A$50,0)&lt;&gt;"",  CONCATENATE("Mount ", VLOOKUP($A37,'NAS Details'!$A$8:$W$50,21,FALSE)," from ", VLOOKUP($A37,'NAS Details'!$A$8:$W$50,20,FALSE), " as ", VLOOKUP($A37,'NAS Details'!$A$8:$W$50,22,FALSE))),"")</f>
        <v/>
      </c>
      <c r="M37" s="1758"/>
      <c r="N37" s="2071" t="str">
        <f t="shared" si="3"/>
        <v/>
      </c>
      <c r="O37" s="2071" t="str">
        <f t="shared" si="4"/>
        <v/>
      </c>
      <c r="P37" s="2071" t="str">
        <f>IF($B37&lt;&gt;"",
        IF(AND($E37="Prod 2.0",
                         dr_Level&lt;5,
                         $D37="AIX",
                          VLOOKUP($A37,dist_assets,26,FALSE)="Yes"),VLOOKUP($Q37,'BOM FUNCTIONS'!$CF$12:$CG$19,2,FALSE),
          "N/A"),
"")</f>
        <v/>
      </c>
      <c r="Q37" s="2071" t="str">
        <f>IF($A37&lt;&gt;"",
       IF(AND($E37="Prod 2.0",
                        dr_Level&lt;5,
                       $D37="AIX",
                        VLOOKUP($A37,dist_assets,26,FALSE)="Yes"),
              VLOOKUP($G37,'BOM FUNCTIONS'!$CA$12:$CG$19,6,FALSE),
         "N/A"),"")</f>
        <v/>
      </c>
      <c r="R37" s="3331" t="str">
        <f t="shared" si="8"/>
        <v/>
      </c>
      <c r="S37" s="2784" t="str">
        <f t="shared" si="9"/>
        <v/>
      </c>
      <c r="T37" s="2046" t="str">
        <f t="shared" si="5"/>
        <v/>
      </c>
      <c r="U37" s="2072" t="str">
        <f t="shared" si="6"/>
        <v/>
      </c>
      <c r="V37" s="2073" t="str">
        <f>IF($A37&lt;&gt;"",
    IF(VLOOKUP($A37,dist_assets,24,FALSE)&lt;&gt;"",
       IF(LEFT(VLOOKUP($A37,dist_assets,24,FALSE),3)="Ora",
            IF(VLOOKUP($A37,dist_assets,16,FALSE)="NO","Stand-alone",
                IF(LEFT(VLOOKUP($A37,dist,16,FALSE),6)="Active",
                     IF(VLOOKUP($A37,dist_assets,17,FALSE)=INDEX($A$4:$A$42,MATCH($A37,$A$4:$A$41,0)+1,1),"Cluster 1",
                          IF(VLOOKUP($A37,dist_assets,17,FALSE)=INDEX($A$4:$A$42,MATCH($A37,$A$4:$A$41,0)-1,1),"Cluster 2","Oracle RAC"))))),""),
   "")</f>
        <v/>
      </c>
      <c r="W37" s="2400" t="str">
        <f t="shared" si="7"/>
        <v/>
      </c>
      <c r="X37" s="2079" t="str">
        <f t="shared" si="10"/>
        <v/>
      </c>
    </row>
    <row r="38" spans="1:24">
      <c r="A38" s="312"/>
      <c r="B38" s="2046" t="str">
        <f t="shared" si="0"/>
        <v/>
      </c>
      <c r="C38" s="1662"/>
      <c r="D38" s="2046" t="str">
        <f t="shared" si="1"/>
        <v/>
      </c>
      <c r="E38" s="2046" t="str">
        <f>IF(A38&lt;&gt;"",VLOOKUP(VLOOKUP(A38,'Distributed Assets'!$B$28:$V$102,2,FALSE),'Distributed Assets'!$C$7:$F$22,4,FALSE),"")</f>
        <v/>
      </c>
      <c r="F38" s="30" t="str">
        <f t="shared" si="2"/>
        <v/>
      </c>
      <c r="G38" s="30"/>
      <c r="H38" s="748" t="str">
        <f>IF($A38&lt;&gt;"",
     IF(VLOOKUP($A38,dist_assets,3, FALSE) ="New",
        IF(AND($D38="Linux",LEFT(VLOOKUP($A38,dist_assets,23,FALSE),3)="WAS"), VLOOKUP("RHEL+WAS",'BOM FUNCTIONS'!$CX$6:$CZ$13,2,FALSE),
               IF(AND($D38="AIX",LEFT(VLOOKUP($A38,dist_assets,24,FALSE),3)="DB2"), VLOOKUP("AIX+DB2",'BOM FUNCTIONS'!$CX$6:$CZ$13,2,FALSE),
                  IF(AND($D38="Linux",LEFT(VLOOKUP($A38,dist_assets,24,FALSE),3)="DB2"), VLOOKUP("RHEL+DB2",'BOM FUNCTIONS'!$CX$6:$CZ$13,2,FALSE),
                   IF($D38="AIX",VLOOKUP("AIX",'BOM FUNCTIONS'!$CX$6:$CZ$13,2,FALSE),
                  IF(AND($D38="Linux", LEFT(VLOOKUP($A38,dist_assets,22,FALSE),4)="RHEL"),VLOOKUP("RHEL",'BOM FUNCTIONS'!$CX$6:$CZ$13,2,FALSE),
                 IF(AND($D38="Linux", LEFT(VLOOKUP($A38,dist_assets,22,FALSE),4)="SLES"),VLOOKUP("SLES",'BOM FUNCTIONS'!$CX$6:$CZ$13,2,FALSE)))))))),"")</f>
        <v/>
      </c>
      <c r="I38" s="2073" t="str">
        <f>IF($A38&lt;&gt;"",
     IF(VLOOKUP($A38,'Distributed Assets'!$B$28:$V$102,3, FALSE) ="New",
      IF($D38="AIX",VLOOKUP("AIX",'BOM FUNCTIONS'!$CX$6:$CZ$11,3,FALSE),
         IF(AND(OR($D38="AIX",$D38="Linux"),LEFT(VLOOKUP($A38,'Distributed Assets'!$B$28:$Y$102,22,FALSE),3)="DB2"), VLOOKUP("AIX+DB2",'BOM FUNCTIONS'!$CX$6:$CZ$11,3,FALSE),
             IF(AND($D38="Linux", LEFT(VLOOKUP($A38,dist_assets,22,FALSE),4)="RHEL"),VLOOKUP("RHEL",'BOM FUNCTIONS'!$CX$6:$CZ$11,3,FALSE),
                 IF(AND($D38="Linux", LEFT(VLOOKUP($A38,dist_assets,22,FALSE),4)="SLES"),VLOOKUP("SLES",'BOM FUNCTIONS'!$CX$6:$CZ$9,3,FALSE)))))),"")</f>
        <v/>
      </c>
      <c r="J38" s="3404" t="str">
        <f>IF($A38&lt;&gt;"",
       IF(VLOOKUP($A38,'Distributed Assets'!$B$28:$V$102,3, FALSE) ="New",
          IF(LEFT(VLOOKUP($A38,'Distributed Assets'!$B$28:$AR$102,23,FALSE),3)="WAS",
             VLOOKUP(VLOOKUP($A38,'Distributed Assets'!$B$28:$BA$102,23,FALSE),'BOM FUNCTIONS'!$BV$6:$BW$23,2,FALSE),
           IF(LEFT(VLOOKUP($A38,'Distributed Assets'!$B$28:$AR$102,23,FALSE),5)="TomEE",
              VLOOKUP("was  TomEE 1.7.3 Web Profile",'BOM FUNCTIONS'!$BV$6:$BW$12,2,FALSE),
             IF(LEFT(VLOOKUP($A38,'Distributed Assets'!B62:AK136,24,FALSE),3)="Ora", Oracle_Standalone_fs(VLOOKUP($A38,dist_assets,44,FALSE)),
             IF(LEFT(VLOOKUP($A38,'Distributed Assets'!B62:AK136,24,FALSE),3)="DB2",DB2_FS(VLOOKUP($A38,dist_assets,44,FALSE)),"")))),""),"")</f>
        <v/>
      </c>
      <c r="K38" s="3073" t="str">
        <f>IF($A38&lt;&gt;"",
  IF(VLOOKUP($A38,dist_assets,3,FALSE)="New",
       IF($I38&lt;&gt;"",
          IF(LEFT(VLOOKUP($A38,dist_assets,23,FALSE),5)="TomEE"," 10",
            IF(LEFT(VLOOKUP($A38,dist_assets,23,FALSE),3)="WAS",VLOOKUP(VLOOKUP($A38,'Distributed Assets'!$B$28:$BA$102,23,FALSE),'BOM FUNCTIONS'!$BV$6:$BX$23,3,FALSE),
               IF(LEFT(VLOOKUP($A38,dist_assets,24,FALSE),3)="Ora","Unknown",
                     IF($D38&lt;&gt;"AIX", VLOOKUP($A38,dist_assets,35,FALSE)-100, "Enter LUN FS Values")))
                       ),""),""),"")</f>
        <v/>
      </c>
      <c r="L38" s="2186" t="str">
        <f>IF($A38&lt;&gt;"",
        IF(MATCH(A38,'NAS Details'!$A$8:$A$50,0)&lt;&gt;"",  CONCATENATE("Mount ", VLOOKUP($A38,'NAS Details'!$A$8:$W$50,21,FALSE)," from ", VLOOKUP($A38,'NAS Details'!$A$8:$W$50,20,FALSE), " as ", VLOOKUP($A38,'NAS Details'!$A$8:$W$50,22,FALSE))),"")</f>
        <v/>
      </c>
      <c r="M38" s="1758"/>
      <c r="N38" s="2071" t="str">
        <f t="shared" si="3"/>
        <v/>
      </c>
      <c r="O38" s="2071" t="str">
        <f t="shared" si="4"/>
        <v/>
      </c>
      <c r="P38" s="2071" t="str">
        <f>IF($B38&lt;&gt;"",
        IF(AND($E38="Prod 2.0",
                         dr_Level&lt;5,
                         $D38="AIX",
                          VLOOKUP($A38,dist_assets,26,FALSE)="Yes"),VLOOKUP($Q38,'BOM FUNCTIONS'!$CF$12:$CG$19,2,FALSE),
          "N/A"),
"")</f>
        <v/>
      </c>
      <c r="Q38" s="2071" t="str">
        <f>IF($A38&lt;&gt;"",
       IF(AND($E38="Prod 2.0",
                        dr_Level&lt;5,
                       $D38="AIX",
                        VLOOKUP($A38,dist_assets,26,FALSE)="Yes"),
              VLOOKUP($G38,'BOM FUNCTIONS'!$CA$12:$CG$19,6,FALSE),
         "N/A"),"")</f>
        <v/>
      </c>
      <c r="R38" s="3331" t="str">
        <f t="shared" si="8"/>
        <v/>
      </c>
      <c r="S38" s="2784" t="str">
        <f t="shared" si="9"/>
        <v/>
      </c>
      <c r="T38" s="2046" t="str">
        <f t="shared" si="5"/>
        <v/>
      </c>
      <c r="U38" s="2072" t="str">
        <f t="shared" si="6"/>
        <v/>
      </c>
      <c r="V38" s="2073" t="str">
        <f>IF($A38&lt;&gt;"",
    IF(VLOOKUP($A38,dist_assets,24,FALSE)&lt;&gt;"",
       IF(LEFT(VLOOKUP($A38,dist_assets,24,FALSE),3)="Ora",
            IF(VLOOKUP($A38,dist_assets,16,FALSE)="NO","Stand-alone",
                IF(LEFT(VLOOKUP($A38,dist,16,FALSE),6)="Active",
                     IF(VLOOKUP($A38,dist_assets,17,FALSE)=INDEX($A$4:$A$42,MATCH($A38,$A$4:$A$41,0)+1,1),"Cluster 1",
                          IF(VLOOKUP($A38,dist_assets,17,FALSE)=INDEX($A$4:$A$42,MATCH($A38,$A$4:$A$41,0)-1,1),"Cluster 2","Oracle RAC"))))),""),
   "")</f>
        <v/>
      </c>
      <c r="W38" s="2400" t="str">
        <f t="shared" si="7"/>
        <v/>
      </c>
      <c r="X38" s="2079" t="str">
        <f t="shared" si="10"/>
        <v/>
      </c>
    </row>
    <row r="39" spans="1:24">
      <c r="A39" s="312"/>
      <c r="B39" s="2046" t="str">
        <f t="shared" si="0"/>
        <v/>
      </c>
      <c r="C39" s="1662"/>
      <c r="D39" s="2046" t="str">
        <f t="shared" si="1"/>
        <v/>
      </c>
      <c r="E39" s="2046" t="str">
        <f>IF(A39&lt;&gt;"",VLOOKUP(VLOOKUP(A39,'Distributed Assets'!$B$28:$V$102,2,FALSE),'Distributed Assets'!$C$7:$F$22,4,FALSE),"")</f>
        <v/>
      </c>
      <c r="F39" s="30" t="str">
        <f t="shared" si="2"/>
        <v/>
      </c>
      <c r="G39" s="30"/>
      <c r="H39" s="748" t="str">
        <f>IF($A39&lt;&gt;"",
     IF(VLOOKUP($A39,dist_assets,3, FALSE) ="New",
        IF(AND($D39="Linux",LEFT(VLOOKUP($A39,dist_assets,23,FALSE),3)="WAS"), VLOOKUP("RHEL+WAS",'BOM FUNCTIONS'!$CX$6:$CZ$13,2,FALSE),
               IF(AND($D39="AIX",LEFT(VLOOKUP($A39,dist_assets,24,FALSE),3)="DB2"), VLOOKUP("AIX+DB2",'BOM FUNCTIONS'!$CX$6:$CZ$13,2,FALSE),
                  IF(AND($D39="Linux",LEFT(VLOOKUP($A39,dist_assets,24,FALSE),3)="DB2"), VLOOKUP("RHEL+DB2",'BOM FUNCTIONS'!$CX$6:$CZ$13,2,FALSE),
                   IF($D39="AIX",VLOOKUP("AIX",'BOM FUNCTIONS'!$CX$6:$CZ$13,2,FALSE),
                  IF(AND($D39="Linux", LEFT(VLOOKUP($A39,dist_assets,22,FALSE),4)="RHEL"),VLOOKUP("RHEL",'BOM FUNCTIONS'!$CX$6:$CZ$13,2,FALSE),
                 IF(AND($D39="Linux", LEFT(VLOOKUP($A39,dist_assets,22,FALSE),4)="SLES"),VLOOKUP("SLES",'BOM FUNCTIONS'!$CX$6:$CZ$13,2,FALSE)))))))),"")</f>
        <v/>
      </c>
      <c r="I39" s="2073" t="str">
        <f>IF($A39&lt;&gt;"",
     IF(VLOOKUP($A39,'Distributed Assets'!$B$28:$V$102,3, FALSE) ="New",
      IF($D39="AIX",VLOOKUP("AIX",'BOM FUNCTIONS'!$CX$6:$CZ$11,3,FALSE),
         IF(AND(OR($D39="AIX",$D39="Linux"),LEFT(VLOOKUP($A39,'Distributed Assets'!$B$28:$Y$102,22,FALSE),3)="DB2"), VLOOKUP("AIX+DB2",'BOM FUNCTIONS'!$CX$6:$CZ$11,3,FALSE),
             IF(AND($D39="Linux", LEFT(VLOOKUP($A39,dist_assets,22,FALSE),4)="RHEL"),VLOOKUP("RHEL",'BOM FUNCTIONS'!$CX$6:$CZ$11,3,FALSE),
                 IF(AND($D39="Linux", LEFT(VLOOKUP($A39,dist_assets,22,FALSE),4)="SLES"),VLOOKUP("SLES",'BOM FUNCTIONS'!$CX$6:$CZ$9,3,FALSE)))))),"")</f>
        <v/>
      </c>
      <c r="J39" s="3404" t="str">
        <f>IF($A39&lt;&gt;"",
       IF(VLOOKUP($A39,'Distributed Assets'!$B$28:$V$102,3, FALSE) ="New",
          IF(LEFT(VLOOKUP($A39,'Distributed Assets'!$B$28:$AR$102,23,FALSE),3)="WAS",
             VLOOKUP(VLOOKUP($A39,'Distributed Assets'!$B$28:$BA$102,23,FALSE),'BOM FUNCTIONS'!$BV$6:$BW$23,2,FALSE),
           IF(LEFT(VLOOKUP($A39,'Distributed Assets'!$B$28:$AR$102,23,FALSE),5)="TomEE",
              VLOOKUP("was  TomEE 1.7.3 Web Profile",'BOM FUNCTIONS'!$BV$6:$BW$12,2,FALSE),
             IF(LEFT(VLOOKUP($A39,'Distributed Assets'!B63:AK137,24,FALSE),3)="Ora", Oracle_Standalone_fs(VLOOKUP($A39,dist_assets,44,FALSE)),
             IF(LEFT(VLOOKUP($A39,'Distributed Assets'!B63:AK137,24,FALSE),3)="DB2",DB2_FS(VLOOKUP($A39,dist_assets,44,FALSE)),"")))),""),"")</f>
        <v/>
      </c>
      <c r="K39" s="3073" t="str">
        <f>IF($A39&lt;&gt;"",
  IF(VLOOKUP($A39,dist_assets,3,FALSE)="New",
       IF($I39&lt;&gt;"",
          IF(LEFT(VLOOKUP($A39,dist_assets,23,FALSE),5)="TomEE"," 10",
            IF(LEFT(VLOOKUP($A39,dist_assets,23,FALSE),3)="WAS",VLOOKUP(VLOOKUP($A39,'Distributed Assets'!$B$28:$BA$102,23,FALSE),'BOM FUNCTIONS'!$BV$6:$BX$23,3,FALSE),
               IF(LEFT(VLOOKUP($A39,dist_assets,24,FALSE),3)="Ora","Unknown",
                     IF($D39&lt;&gt;"AIX", VLOOKUP($A39,dist_assets,35,FALSE)-100, "Enter LUN FS Values")))
                       ),""),""),"")</f>
        <v/>
      </c>
      <c r="L39" s="2186" t="str">
        <f>IF($A39&lt;&gt;"",
        IF(MATCH(A39,'NAS Details'!$A$8:$A$50,0)&lt;&gt;"",  CONCATENATE("Mount ", VLOOKUP($A39,'NAS Details'!$A$8:$W$50,21,FALSE)," from ", VLOOKUP($A39,'NAS Details'!$A$8:$W$50,20,FALSE), " as ", VLOOKUP($A39,'NAS Details'!$A$8:$W$50,22,FALSE))),"")</f>
        <v/>
      </c>
      <c r="M39" s="1758"/>
      <c r="N39" s="2071" t="str">
        <f t="shared" si="3"/>
        <v/>
      </c>
      <c r="O39" s="2071" t="str">
        <f t="shared" si="4"/>
        <v/>
      </c>
      <c r="P39" s="2071" t="str">
        <f>IF($B39&lt;&gt;"",
        IF(AND($E39="Prod 2.0",
                         dr_Level&lt;5,
                         $D39="AIX",
                          VLOOKUP($A39,dist_assets,26,FALSE)="Yes"),VLOOKUP($Q39,'BOM FUNCTIONS'!$CF$12:$CG$19,2,FALSE),
          "N/A"),
"")</f>
        <v/>
      </c>
      <c r="Q39" s="2071" t="str">
        <f>IF($A39&lt;&gt;"",
       IF(AND($E39="Prod 2.0",
                        dr_Level&lt;5,
                       $D39="AIX",
                        VLOOKUP($A39,dist_assets,26,FALSE)="Yes"),
              VLOOKUP($G39,'BOM FUNCTIONS'!$CA$12:$CG$19,6,FALSE),
         "N/A"),"")</f>
        <v/>
      </c>
      <c r="R39" s="3331" t="str">
        <f t="shared" si="8"/>
        <v/>
      </c>
      <c r="S39" s="2784" t="str">
        <f t="shared" si="9"/>
        <v/>
      </c>
      <c r="T39" s="2046" t="str">
        <f t="shared" si="5"/>
        <v/>
      </c>
      <c r="U39" s="2072" t="str">
        <f t="shared" si="6"/>
        <v/>
      </c>
      <c r="V39" s="2073" t="str">
        <f>IF($A39&lt;&gt;"",
    IF(VLOOKUP($A39,dist_assets,24,FALSE)&lt;&gt;"",
       IF(LEFT(VLOOKUP($A39,dist_assets,24,FALSE),3)="Ora",
            IF(VLOOKUP($A39,dist_assets,16,FALSE)="NO","Stand-alone",
                IF(LEFT(VLOOKUP($A39,dist,16,FALSE),6)="Active",
                     IF(VLOOKUP($A39,dist_assets,17,FALSE)=INDEX($A$4:$A$42,MATCH($A39,$A$4:$A$41,0)+1,1),"Cluster 1",
                          IF(VLOOKUP($A39,dist_assets,17,FALSE)=INDEX($A$4:$A$42,MATCH($A39,$A$4:$A$41,0)-1,1),"Cluster 2","Oracle RAC"))))),""),
   "")</f>
        <v/>
      </c>
      <c r="W39" s="2400" t="str">
        <f t="shared" si="7"/>
        <v/>
      </c>
      <c r="X39" s="2079" t="str">
        <f t="shared" si="10"/>
        <v/>
      </c>
    </row>
    <row r="40" spans="1:24">
      <c r="A40" s="312"/>
      <c r="B40" s="2046" t="str">
        <f t="shared" si="0"/>
        <v/>
      </c>
      <c r="C40" s="1662"/>
      <c r="D40" s="2046" t="str">
        <f t="shared" si="1"/>
        <v/>
      </c>
      <c r="E40" s="2046" t="str">
        <f>IF(A40&lt;&gt;"",VLOOKUP(VLOOKUP(A40,'Distributed Assets'!$B$28:$V$102,2,FALSE),'Distributed Assets'!$C$7:$F$22,4,FALSE),"")</f>
        <v/>
      </c>
      <c r="F40" s="30" t="str">
        <f t="shared" si="2"/>
        <v/>
      </c>
      <c r="G40" s="30"/>
      <c r="H40" s="748" t="str">
        <f>IF($A40&lt;&gt;"",
     IF(VLOOKUP($A40,dist_assets,3, FALSE) ="New",
        IF(AND($D40="Linux",LEFT(VLOOKUP($A40,dist_assets,23,FALSE),3)="WAS"), VLOOKUP("RHEL+WAS",'BOM FUNCTIONS'!$CX$6:$CZ$13,2,FALSE),
               IF(AND($D40="AIX",LEFT(VLOOKUP($A40,dist_assets,24,FALSE),3)="DB2"), VLOOKUP("AIX+DB2",'BOM FUNCTIONS'!$CX$6:$CZ$13,2,FALSE),
                  IF(AND($D40="Linux",LEFT(VLOOKUP($A40,dist_assets,24,FALSE),3)="DB2"), VLOOKUP("RHEL+DB2",'BOM FUNCTIONS'!$CX$6:$CZ$13,2,FALSE),
                   IF($D40="AIX",VLOOKUP("AIX",'BOM FUNCTIONS'!$CX$6:$CZ$13,2,FALSE),
                  IF(AND($D40="Linux", LEFT(VLOOKUP($A40,dist_assets,22,FALSE),4)="RHEL"),VLOOKUP("RHEL",'BOM FUNCTIONS'!$CX$6:$CZ$13,2,FALSE),
                 IF(AND($D40="Linux", LEFT(VLOOKUP($A40,dist_assets,22,FALSE),4)="SLES"),VLOOKUP("SLES",'BOM FUNCTIONS'!$CX$6:$CZ$13,2,FALSE)))))))),"")</f>
        <v/>
      </c>
      <c r="I40" s="2073" t="str">
        <f>IF($A40&lt;&gt;"",
     IF(VLOOKUP($A40,'Distributed Assets'!$B$28:$V$102,3, FALSE) ="New",
      IF($D40="AIX",VLOOKUP("AIX",'BOM FUNCTIONS'!$CX$6:$CZ$11,3,FALSE),
         IF(AND(OR($D40="AIX",$D40="Linux"),LEFT(VLOOKUP($A40,'Distributed Assets'!$B$28:$Y$102,22,FALSE),3)="DB2"), VLOOKUP("AIX+DB2",'BOM FUNCTIONS'!$CX$6:$CZ$11,3,FALSE),
             IF(AND($D40="Linux", LEFT(VLOOKUP($A40,dist_assets,22,FALSE),4)="RHEL"),VLOOKUP("RHEL",'BOM FUNCTIONS'!$CX$6:$CZ$11,3,FALSE),
                 IF(AND($D40="Linux", LEFT(VLOOKUP($A40,dist_assets,22,FALSE),4)="SLES"),VLOOKUP("SLES",'BOM FUNCTIONS'!$CX$6:$CZ$9,3,FALSE)))))),"")</f>
        <v/>
      </c>
      <c r="J40" s="3404" t="str">
        <f>IF($A40&lt;&gt;"",
       IF(VLOOKUP($A40,'Distributed Assets'!$B$28:$V$102,3, FALSE) ="New",
          IF(LEFT(VLOOKUP($A40,'Distributed Assets'!$B$28:$AR$102,23,FALSE),3)="WAS",
             VLOOKUP(VLOOKUP($A40,'Distributed Assets'!$B$28:$BA$102,23,FALSE),'BOM FUNCTIONS'!$BV$6:$BW$23,2,FALSE),
           IF(LEFT(VLOOKUP($A40,'Distributed Assets'!$B$28:$AR$102,23,FALSE),5)="TomEE",
              VLOOKUP("was  TomEE 1.7.3 Web Profile",'BOM FUNCTIONS'!$BV$6:$BW$12,2,FALSE),
             IF(LEFT(VLOOKUP($A40,'Distributed Assets'!B64:AK138,24,FALSE),3)="Ora", Oracle_Standalone_fs(VLOOKUP($A40,dist_assets,44,FALSE)),
             IF(LEFT(VLOOKUP($A40,'Distributed Assets'!B64:AK138,24,FALSE),3)="DB2",DB2_FS(VLOOKUP($A40,dist_assets,44,FALSE)),"")))),""),"")</f>
        <v/>
      </c>
      <c r="K40" s="3073" t="str">
        <f>IF($A40&lt;&gt;"",
  IF(VLOOKUP($A40,dist_assets,3,FALSE)="New",
       IF($I40&lt;&gt;"",
          IF(LEFT(VLOOKUP($A40,dist_assets,23,FALSE),5)="TomEE"," 10",
            IF(LEFT(VLOOKUP($A40,dist_assets,23,FALSE),3)="WAS",VLOOKUP(VLOOKUP($A40,'Distributed Assets'!$B$28:$BA$102,23,FALSE),'BOM FUNCTIONS'!$BV$6:$BX$23,3,FALSE),
               IF(LEFT(VLOOKUP($A40,dist_assets,24,FALSE),3)="Ora","Unknown",
                     IF($D40&lt;&gt;"AIX", VLOOKUP($A40,dist_assets,35,FALSE)-100, "Enter LUN FS Values")))
                       ),""),""),"")</f>
        <v/>
      </c>
      <c r="L40" s="2186" t="str">
        <f>IF($A40&lt;&gt;"",
        IF(MATCH(A40,'NAS Details'!$A$8:$A$50,0)&lt;&gt;"",  CONCATENATE("Mount ", VLOOKUP($A40,'NAS Details'!$A$8:$W$50,21,FALSE)," from ", VLOOKUP($A40,'NAS Details'!$A$8:$W$50,20,FALSE), " as ", VLOOKUP($A40,'NAS Details'!$A$8:$W$50,22,FALSE))),"")</f>
        <v/>
      </c>
      <c r="M40" s="1758"/>
      <c r="N40" s="2071" t="str">
        <f t="shared" si="3"/>
        <v/>
      </c>
      <c r="O40" s="2071" t="str">
        <f t="shared" si="4"/>
        <v/>
      </c>
      <c r="P40" s="2071" t="str">
        <f>IF($B40&lt;&gt;"",
        IF(AND($E40="Prod 2.0",
                         dr_Level&lt;5,
                         $D40="AIX",
                          VLOOKUP($A40,dist_assets,26,FALSE)="Yes"),VLOOKUP($Q40,'BOM FUNCTIONS'!$CF$12:$CG$19,2,FALSE),
          "N/A"),
"")</f>
        <v/>
      </c>
      <c r="Q40" s="2071" t="str">
        <f>IF($A40&lt;&gt;"",
       IF(AND($E40="Prod 2.0",
                        dr_Level&lt;5,
                       $D40="AIX",
                        VLOOKUP($A40,dist_assets,26,FALSE)="Yes"),
              VLOOKUP($G40,'BOM FUNCTIONS'!$CA$12:$CG$19,6,FALSE),
         "N/A"),"")</f>
        <v/>
      </c>
      <c r="R40" s="3331" t="str">
        <f t="shared" si="8"/>
        <v/>
      </c>
      <c r="S40" s="2784" t="str">
        <f t="shared" si="9"/>
        <v/>
      </c>
      <c r="T40" s="2046" t="str">
        <f t="shared" si="5"/>
        <v/>
      </c>
      <c r="U40" s="2072" t="str">
        <f t="shared" si="6"/>
        <v/>
      </c>
      <c r="V40" s="2073" t="str">
        <f>IF($A40&lt;&gt;"",
    IF(VLOOKUP($A40,dist_assets,24,FALSE)&lt;&gt;"",
       IF(LEFT(VLOOKUP($A40,dist_assets,24,FALSE),3)="Ora",
            IF(VLOOKUP($A40,dist_assets,16,FALSE)="NO","Stand-alone",
                IF(LEFT(VLOOKUP($A40,dist,16,FALSE),6)="Active",
                     IF(VLOOKUP($A40,dist_assets,17,FALSE)=INDEX($A$4:$A$42,MATCH($A40,$A$4:$A$41,0)+1,1),"Cluster 1",
                          IF(VLOOKUP($A40,dist_assets,17,FALSE)=INDEX($A$4:$A$42,MATCH($A40,$A$4:$A$41,0)-1,1),"Cluster 2","Oracle RAC"))))),""),
   "")</f>
        <v/>
      </c>
      <c r="W40" s="2400" t="str">
        <f t="shared" si="7"/>
        <v/>
      </c>
      <c r="X40" s="2079" t="str">
        <f t="shared" si="10"/>
        <v/>
      </c>
    </row>
    <row r="41" spans="1:24" ht="13.5" thickBot="1">
      <c r="A41" s="313"/>
      <c r="B41" s="438" t="str">
        <f t="shared" si="0"/>
        <v/>
      </c>
      <c r="C41" s="921"/>
      <c r="D41" s="438" t="str">
        <f t="shared" si="1"/>
        <v/>
      </c>
      <c r="E41" s="438" t="str">
        <f>IF(A41&lt;&gt;"",VLOOKUP(VLOOKUP(A41,'Distributed Assets'!$B$28:$V$102,2,FALSE),'Distributed Assets'!$C$7:$F$22,4,FALSE),"")</f>
        <v/>
      </c>
      <c r="F41" s="2961" t="str">
        <f t="shared" si="2"/>
        <v/>
      </c>
      <c r="G41" s="2961"/>
      <c r="H41" s="3096" t="str">
        <f>IF($A41&lt;&gt;"",
     IF(VLOOKUP($A41,dist_assets,3, FALSE) ="New",
        IF(AND($D41="Linux",LEFT(VLOOKUP($A41,dist_assets,23,FALSE),3)="WAS"), VLOOKUP("RHEL+WAS",'BOM FUNCTIONS'!$CX$6:$CZ$13,2,FALSE),
               IF(AND($D41="AIX",LEFT(VLOOKUP($A41,dist_assets,24,FALSE),3)="DB2"), VLOOKUP("AIX+DB2",'BOM FUNCTIONS'!$CX$6:$CZ$13,2,FALSE),
                  IF(AND($D41="Linux",LEFT(VLOOKUP($A41,dist_assets,24,FALSE),3)="DB2"), VLOOKUP("RHEL+DB2",'BOM FUNCTIONS'!$CX$6:$CZ$13,2,FALSE),
                   IF($D41="AIX",VLOOKUP("AIX",'BOM FUNCTIONS'!$CX$6:$CZ$13,2,FALSE),
                  IF(AND($D41="Linux", LEFT(VLOOKUP($A41,dist_assets,22,FALSE),4)="RHEL"),VLOOKUP("RHEL",'BOM FUNCTIONS'!$CX$6:$CZ$13,2,FALSE),
                 IF(AND($D41="Linux", LEFT(VLOOKUP($A41,dist_assets,22,FALSE),4)="SLES"),VLOOKUP("SLES",'BOM FUNCTIONS'!$CX$6:$CZ$13,2,FALSE)))))))),"")</f>
        <v/>
      </c>
      <c r="I41" s="303" t="str">
        <f>IF($A41&lt;&gt;"",
     IF(VLOOKUP($A41,'Distributed Assets'!$B$28:$V$102,3, FALSE) ="New",
      IF($D41="AIX",VLOOKUP("AIX",'BOM FUNCTIONS'!$CX$6:$CZ$11,3,FALSE),
         IF(AND(OR($D41="AIX",$D41="Linux"),LEFT(VLOOKUP($A41,'Distributed Assets'!$B$28:$Y$102,22,FALSE),3)="DB2"), VLOOKUP("AIX+DB2",'BOM FUNCTIONS'!$CX$6:$CZ$11,3,FALSE),
             IF(AND($D41="Linux", LEFT(VLOOKUP($A41,dist_assets,22,FALSE),4)="RHEL"),VLOOKUP("RHEL",'BOM FUNCTIONS'!$CX$6:$CZ$11,3,FALSE),
                 IF(AND($D41="Linux", LEFT(VLOOKUP($A41,dist_assets,22,FALSE),4)="SLES"),VLOOKUP("SLES",'BOM FUNCTIONS'!$CX$6:$CZ$9,3,FALSE)))))),"")</f>
        <v/>
      </c>
      <c r="J41" s="3405" t="str">
        <f>IF($A41&lt;&gt;"",
       IF(VLOOKUP($A41,'Distributed Assets'!$B$28:$V$102,3, FALSE) ="New",
          IF(LEFT(VLOOKUP($A41,'Distributed Assets'!$B$28:$AR$102,23,FALSE),3)="WAS",
             VLOOKUP(VLOOKUP($A41,'Distributed Assets'!$B$28:$BA$102,23,FALSE),'BOM FUNCTIONS'!$BV$6:$BW$23,2,FALSE),
           IF(LEFT(VLOOKUP($A41,'Distributed Assets'!$B$28:$AR$102,23,FALSE),5)="TomEE",
              VLOOKUP("was  TomEE 1.7.3 Web Profile",'BOM FUNCTIONS'!$BV$6:$BW$12,2,FALSE),
             IF(LEFT(VLOOKUP($A41,'Distributed Assets'!B65:AK139,24,FALSE),3)="Ora", Oracle_Standalone_fs(VLOOKUP($A41,dist_assets,44,FALSE)),
             IF(LEFT(VLOOKUP($A41,'Distributed Assets'!B65:AK139,24,FALSE),3)="DB2",DB2_FS(VLOOKUP($A41,dist_assets,44,FALSE)),"")))),""),"")</f>
        <v/>
      </c>
      <c r="K41" s="3081" t="str">
        <f>IF($A41&lt;&gt;"",
  IF(VLOOKUP($A41,dist_assets,3,FALSE)="New",
       IF($I41&lt;&gt;"",
          IF(LEFT(VLOOKUP($A41,dist_assets,23,FALSE),5)="TomEE"," 10",
            IF(LEFT(VLOOKUP($A41,dist_assets,23,FALSE),3)="WAS",VLOOKUP(VLOOKUP($A41,'Distributed Assets'!$B$28:$BA$102,23,FALSE),'BOM FUNCTIONS'!$BV$6:$BX$23,3,FALSE),
               IF(LEFT(VLOOKUP($A41,dist_assets,24,FALSE),3)="Ora","Unknown",
                     IF($D41&lt;&gt;"AIX", VLOOKUP($A41,dist_assets,35,FALSE)-100, "Enter LUN FS Values")))
                       ),""),""),"")</f>
        <v/>
      </c>
      <c r="L41" s="2934" t="str">
        <f>IF($A41&lt;&gt;"",
        IF(MATCH(A41,'NAS Details'!$A$8:$A$50,0)&lt;&gt;"",  CONCATENATE("Mount ", VLOOKUP($A41,'NAS Details'!$A$8:$W$50,21,FALSE)," from ", VLOOKUP($A41,'NAS Details'!$A$8:$W$50,20,FALSE), " as ", VLOOKUP($A41,'NAS Details'!$A$8:$W$50,22,FALSE))),"")</f>
        <v/>
      </c>
      <c r="M41" s="357"/>
      <c r="N41" s="1972" t="str">
        <f t="shared" si="3"/>
        <v/>
      </c>
      <c r="O41" s="1972" t="str">
        <f t="shared" si="4"/>
        <v/>
      </c>
      <c r="P41" s="1972" t="str">
        <f>IF($B41&lt;&gt;"",
        IF(AND($E41="Prod 2.0",
                         dr_Level&lt;5,
                         $D41="AIX",
                          VLOOKUP($A41,dist_assets,26,FALSE)="Yes"),VLOOKUP($Q41,'BOM FUNCTIONS'!$CF$12:$CG$19,2,FALSE),
          "N/A"),
"")</f>
        <v/>
      </c>
      <c r="Q41" s="1972" t="str">
        <f>IF($A41&lt;&gt;"",
       IF(AND($E41="Prod 2.0",
                        dr_Level&lt;5,
                       $D41="AIX",
                        VLOOKUP($A41,dist_assets,26,FALSE)="Yes"),
              VLOOKUP($G41,'BOM FUNCTIONS'!$CA$12:$CG$19,6,FALSE),
         "N/A"),"")</f>
        <v/>
      </c>
      <c r="R41" s="3332" t="str">
        <f t="shared" si="8"/>
        <v/>
      </c>
      <c r="S41" s="2785" t="str">
        <f t="shared" si="9"/>
        <v/>
      </c>
      <c r="T41" s="438" t="str">
        <f t="shared" si="5"/>
        <v/>
      </c>
      <c r="U41" s="263" t="str">
        <f t="shared" si="6"/>
        <v/>
      </c>
      <c r="V41" s="303" t="str">
        <f>IF($A41&lt;&gt;"",
    IF(VLOOKUP($A41,dist_assets,24,FALSE)&lt;&gt;"",
       IF(LEFT(VLOOKUP($A41,dist_assets,24,FALSE),3)="Ora",
            IF(VLOOKUP($A41,dist_assets,16,FALSE)="NO","Stand-alone",
                IF(LEFT(VLOOKUP($A41,dist,16,FALSE),6)="Active",
                     IF(VLOOKUP($A41,dist_assets,17,FALSE)=INDEX($A$4:$A$42,MATCH($A41,$A$4:$A$41,0)+1,1),"Cluster 1",
                          IF(VLOOKUP($A41,dist_assets,17,FALSE)=INDEX($A$4:$A$42,MATCH($A41,$A$4:$A$41,0)-1,1),"Cluster 2","Oracle RAC"))))),""),
   "")</f>
        <v/>
      </c>
      <c r="W41" s="2401" t="str">
        <f t="shared" si="7"/>
        <v/>
      </c>
      <c r="X41" s="102" t="str">
        <f t="shared" si="10"/>
        <v/>
      </c>
    </row>
    <row r="42" spans="1:24">
      <c r="N42"/>
      <c r="O42"/>
      <c r="P42"/>
      <c r="Q42"/>
    </row>
    <row r="43" spans="1:24">
      <c r="N43"/>
      <c r="O43"/>
      <c r="P43"/>
      <c r="Q43"/>
    </row>
  </sheetData>
  <mergeCells count="4">
    <mergeCell ref="C2:E2"/>
    <mergeCell ref="N2:Q2"/>
    <mergeCell ref="F2:J2"/>
    <mergeCell ref="A2:B2"/>
  </mergeCells>
  <phoneticPr fontId="61" type="noConversion"/>
  <conditionalFormatting sqref="C1">
    <cfRule type="cellIs" dxfId="220" priority="26" operator="equal">
      <formula>"Undetermined"</formula>
    </cfRule>
    <cfRule type="cellIs" dxfId="219" priority="27" operator="equal">
      <formula>"REQUIRED"</formula>
    </cfRule>
  </conditionalFormatting>
  <conditionalFormatting sqref="A2">
    <cfRule type="notContainsBlanks" dxfId="218" priority="25" stopIfTrue="1">
      <formula>LEN(TRIM(A2))&gt;0</formula>
    </cfRule>
  </conditionalFormatting>
  <conditionalFormatting sqref="N4:Q41">
    <cfRule type="expression" dxfId="217" priority="432">
      <formula>$N4&lt;&gt;""</formula>
    </cfRule>
  </conditionalFormatting>
  <conditionalFormatting sqref="N2:Q2">
    <cfRule type="expression" dxfId="216" priority="20">
      <formula>$N$2&lt;&gt;""</formula>
    </cfRule>
  </conditionalFormatting>
  <conditionalFormatting sqref="C4:C41">
    <cfRule type="expression" dxfId="215" priority="18">
      <formula>$D4&lt;&gt;"AIX"</formula>
    </cfRule>
  </conditionalFormatting>
  <conditionalFormatting sqref="C4">
    <cfRule type="expression" dxfId="214" priority="17" stopIfTrue="1">
      <formula>$C4="AIX"</formula>
    </cfRule>
  </conditionalFormatting>
  <conditionalFormatting sqref="G4:G41">
    <cfRule type="expression" dxfId="213" priority="15">
      <formula>AND($A4&lt;&gt;"",$D4&lt;&gt;"AIX")</formula>
    </cfRule>
  </conditionalFormatting>
  <conditionalFormatting sqref="K4:K41">
    <cfRule type="expression" dxfId="212" priority="12">
      <formula>$D4="AIX"</formula>
    </cfRule>
  </conditionalFormatting>
  <conditionalFormatting sqref="R4:R41">
    <cfRule type="expression" dxfId="211" priority="1">
      <formula>ISNUMBER(SEARCH("/db2*", $J4))</formula>
    </cfRule>
  </conditionalFormatting>
  <dataValidations count="2">
    <dataValidation type="list" allowBlank="1" showInputMessage="1" showErrorMessage="1" sqref="A4:A41" xr:uid="{00000000-0002-0000-0B00-000000000000}">
      <formula1>Assetlist</formula1>
    </dataValidation>
    <dataValidation allowBlank="1" showInputMessage="1" sqref="I4:I41 K4:L41" xr:uid="{00000000-0002-0000-0B00-000001000000}"/>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50030" r:id="rId4">
          <objectPr defaultSize="0" r:id="rId5">
            <anchor moveWithCells="1">
              <from>
                <xdr:col>109</xdr:col>
                <xdr:colOff>0</xdr:colOff>
                <xdr:row>0</xdr:row>
                <xdr:rowOff>0</xdr:rowOff>
              </from>
              <to>
                <xdr:col>126</xdr:col>
                <xdr:colOff>171450</xdr:colOff>
                <xdr:row>4</xdr:row>
                <xdr:rowOff>0</xdr:rowOff>
              </to>
            </anchor>
          </objectPr>
        </oleObject>
      </mc:Choice>
      <mc:Fallback>
        <oleObject progId="Word.Document.12" shapeId="50030" r:id="rId4"/>
      </mc:Fallback>
    </mc:AlternateContent>
  </oleObjec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4">
    <tabColor theme="3" tint="0.79998168889431442"/>
  </sheetPr>
  <dimension ref="A1:AN30"/>
  <sheetViews>
    <sheetView showGridLines="0" zoomScaleNormal="100" workbookViewId="0">
      <selection activeCell="F5" sqref="F5"/>
    </sheetView>
  </sheetViews>
  <sheetFormatPr defaultRowHeight="12.75"/>
  <cols>
    <col min="1" max="1" width="27.7109375" customWidth="1"/>
    <col min="2" max="2" width="12.28515625" style="433" customWidth="1"/>
    <col min="3" max="3" width="14.5703125" bestFit="1" customWidth="1"/>
    <col min="4" max="4" width="16" customWidth="1"/>
    <col min="5" max="5" width="11.140625" customWidth="1"/>
    <col min="6" max="6" width="38" customWidth="1"/>
    <col min="7" max="7" width="25.28515625" customWidth="1"/>
    <col min="8" max="8" width="16.5703125" customWidth="1"/>
    <col min="9" max="9" width="16" style="433" bestFit="1" customWidth="1"/>
    <col min="10" max="10" width="30.5703125" customWidth="1"/>
    <col min="11" max="11" width="26.42578125" style="1" customWidth="1"/>
    <col min="12" max="12" width="16.140625" customWidth="1"/>
    <col min="13" max="13" width="34.140625" style="4" customWidth="1"/>
    <col min="14" max="14" width="9.140625" style="4"/>
    <col min="15" max="15" width="16.7109375" style="4" customWidth="1"/>
    <col min="16" max="16" width="75.7109375" customWidth="1"/>
  </cols>
  <sheetData>
    <row r="1" spans="1:40" ht="66" customHeight="1" thickBot="1">
      <c r="A1" s="507" t="s">
        <v>1762</v>
      </c>
      <c r="B1" s="3780" t="str">
        <f>IF(windows_ftp="YES","REQUIRED",IF(windows_ftp="NO","This Tab is Not Required","Undetermined"))</f>
        <v>This Tab is Not Required</v>
      </c>
      <c r="C1" s="3781"/>
      <c r="D1" s="1564" t="str">
        <f>'Project Details'!$C$8 &amp;" - "&amp;"Windows HTTP/FTP"</f>
        <v>Linux Infrastructure Management - Windows HTTP/FTP</v>
      </c>
      <c r="E1" s="1564"/>
      <c r="F1" s="1564"/>
      <c r="G1" s="3782" t="s">
        <v>5117</v>
      </c>
      <c r="H1" s="3782"/>
      <c r="I1" s="3782"/>
      <c r="J1" s="3782"/>
      <c r="K1" s="1564"/>
      <c r="L1" s="1564"/>
      <c r="M1" s="1564"/>
      <c r="N1" s="1564"/>
      <c r="O1" s="1564"/>
      <c r="P1" s="1564"/>
      <c r="Q1" s="4"/>
      <c r="R1" s="510"/>
      <c r="S1" s="510"/>
      <c r="T1" s="17"/>
      <c r="U1" s="17"/>
      <c r="V1" s="17"/>
      <c r="W1" s="16"/>
      <c r="X1" s="12"/>
      <c r="Y1" s="12"/>
      <c r="Z1" s="12"/>
      <c r="AA1" s="12"/>
      <c r="AB1" s="12"/>
      <c r="AC1" s="12"/>
      <c r="AD1" s="12"/>
      <c r="AE1" s="12"/>
      <c r="AF1" s="12"/>
      <c r="AG1" s="12"/>
      <c r="AH1" s="12"/>
      <c r="AI1" s="12"/>
      <c r="AJ1" s="12"/>
      <c r="AK1" s="12"/>
      <c r="AL1" s="12"/>
      <c r="AM1" s="12"/>
      <c r="AN1" s="12"/>
    </row>
    <row r="2" spans="1:40" s="14" customFormat="1" ht="13.5" thickBot="1">
      <c r="A2" s="508"/>
      <c r="B2" s="509"/>
      <c r="C2" s="509"/>
      <c r="D2" s="509"/>
      <c r="E2" s="509"/>
      <c r="F2" s="509"/>
      <c r="G2" s="509"/>
      <c r="H2" s="509"/>
      <c r="I2" s="509"/>
      <c r="J2" s="509"/>
      <c r="K2" s="509"/>
      <c r="L2" s="509"/>
      <c r="M2" s="509"/>
      <c r="N2" s="509"/>
      <c r="O2" s="509"/>
      <c r="P2" s="509"/>
      <c r="Q2" s="4"/>
    </row>
    <row r="3" spans="1:40" s="12" customFormat="1" ht="51" customHeight="1">
      <c r="A3" s="511" t="s">
        <v>3415</v>
      </c>
      <c r="B3" s="512" t="s">
        <v>1763</v>
      </c>
      <c r="C3" s="512" t="s">
        <v>3414</v>
      </c>
      <c r="D3" s="512" t="s">
        <v>3416</v>
      </c>
      <c r="E3" s="512" t="s">
        <v>5024</v>
      </c>
      <c r="F3" s="512" t="s">
        <v>589</v>
      </c>
      <c r="G3" s="512" t="s">
        <v>247</v>
      </c>
      <c r="H3" s="512" t="s">
        <v>313</v>
      </c>
      <c r="I3" s="512" t="s">
        <v>3452</v>
      </c>
      <c r="J3" s="512" t="s">
        <v>3453</v>
      </c>
      <c r="K3" s="512" t="s">
        <v>590</v>
      </c>
      <c r="L3" s="512" t="s">
        <v>591</v>
      </c>
      <c r="M3" s="512" t="s">
        <v>3683</v>
      </c>
      <c r="N3" s="512" t="s">
        <v>1764</v>
      </c>
      <c r="O3" s="512" t="s">
        <v>314</v>
      </c>
      <c r="P3" s="513" t="s">
        <v>592</v>
      </c>
    </row>
    <row r="4" spans="1:40">
      <c r="A4" s="1071"/>
      <c r="B4" s="117"/>
      <c r="C4" s="2008" t="str">
        <f>IF(AND($A4&lt;&gt;"",$B4="FTP"),
        IF(LEFT($G4,1)="d",'Host Reference'!$A$139,
             IF(LEFT($G4,1)="t",'Host Reference'!$A$140,
                  IF(LEFT($G4,1)="p",'Host Reference'!$A$141))),"")</f>
        <v/>
      </c>
      <c r="D4" s="2008" t="str">
        <f>IF(AND($B4&lt;&gt;"",$C4&lt;&gt;""),
VLOOKUP(C4,'Host Reference'!$A$139:$B$141,2,FALSE),"")</f>
        <v/>
      </c>
      <c r="E4" s="117"/>
      <c r="F4" s="1557" t="str">
        <f t="shared" ref="F4:F30" si="0">IF(AND($B4&lt;&gt;"", LEFT($B4,3)="FTP",$E4&lt;&gt;"",$G4&lt;&gt;""),
      CONCATENATE( "\\",
           IF(LEFT($C4,1)="d","ftpWindows.dev.hcscint.net",
               IF(LEFT($C4,1)="t", "ftpWindows.test.hcscint.net",
                   IF(LEFT($C4,1)="p","ftpWindows.hcscint.net","ERROR"))),
       "\",$E4),"")</f>
        <v/>
      </c>
      <c r="G4" s="2008" t="str">
        <f t="shared" ref="G4:G30" si="1">IF($O4&lt;&gt;"",VLOOKUP($O4,dist_assets,21,FALSE),"")</f>
        <v/>
      </c>
      <c r="H4" s="2008" t="str">
        <f>IF($B4&lt;&gt;"",
        IF($B4="FTP",VLOOKUP($A4,IP!$A$4:N$167,14,FALSE),
            IF($B4="HTTP",VLOOKUP($A4,IP!$A$4:N$167,14,FALSE), VLOOKUP($G4,'Host Reference'!$B$146:$F$155,5,FALSE))),"")</f>
        <v/>
      </c>
      <c r="I4" s="1588"/>
      <c r="J4" s="1557" t="str">
        <f t="shared" ref="J4:J30" si="2">IF(AND($B4&lt;&gt;"",$I4&lt;&gt;""),
      CONCATENATE( "\\",$G4,"\",$I4),"")</f>
        <v/>
      </c>
      <c r="K4" s="444" t="str">
        <f t="shared" ref="K4:K30" si="3">IF(AND($B4&lt;&gt;"",$E4&lt;&gt;""),
      CONCATENATE( "",
           IF(LEFT($C4,1)="d","adhcscdev",
               IF(LEFT($C4,1)="t", "adhcsctst",
                   IF(LEFT($C4,1)="p","adhcscint","ERROR"))),
       "\",$E4),"")</f>
        <v/>
      </c>
      <c r="L4" s="1560"/>
      <c r="M4" s="3252" t="str">
        <f t="shared" ref="M4:M30" si="4">IF(LEFT($G4,3)="smb", _xlfn.CONCAT( "\\",$G4,"\",$I4),"")</f>
        <v/>
      </c>
      <c r="N4" s="1588"/>
      <c r="O4" s="1558" t="str">
        <f>IF(A4&lt;&gt;"",VLOOKUP(A4,IP!$A$4:C$153,2,FALSE),"")</f>
        <v/>
      </c>
      <c r="P4" s="1559" t="str">
        <f t="shared" ref="P4:P15" si="5">IF(AND(B4&lt;&gt;"",LEFT($B4, 3)="FTP"),
CONCATENATE("Create folder ",M4,", create share '", I4,"' at this location; assign permissions for ",E4,"  service account",""),"")</f>
        <v/>
      </c>
    </row>
    <row r="5" spans="1:40">
      <c r="A5" s="1071"/>
      <c r="B5" s="117"/>
      <c r="C5" s="2008" t="str">
        <f>IF(AND($A5&lt;&gt;"",$B5="FTP"),
        IF(LEFT($G5,1)="d",'Host Reference'!$A$139,
             IF(LEFT($G5,1)="t",'Host Reference'!$A$140,
                  IF(LEFT($G5,1)="p",'Host Reference'!$A$141))),"")</f>
        <v/>
      </c>
      <c r="D5" s="2008" t="str">
        <f>IF(AND($B5&lt;&gt;"",$C5&lt;&gt;""),
VLOOKUP(C5,'Host Reference'!$A$139:$B$141,2,FALSE),"")</f>
        <v/>
      </c>
      <c r="E5" s="117"/>
      <c r="F5" s="1557" t="str">
        <f t="shared" si="0"/>
        <v/>
      </c>
      <c r="G5" s="2008" t="str">
        <f t="shared" si="1"/>
        <v/>
      </c>
      <c r="H5" s="2008" t="str">
        <f>IF($B5&lt;&gt;"",
        IF($B5="FTP",VLOOKUP($A5,IP!$A$4:N$167,14,FALSE),
            IF($B5="HTTP",VLOOKUP($A5,IP!$A$4:N$167,14,FALSE), VLOOKUP($G5,'Host Reference'!$B$146:$F$155,5,FALSE))),"")</f>
        <v/>
      </c>
      <c r="I5" s="1588"/>
      <c r="J5" s="1557" t="str">
        <f t="shared" si="2"/>
        <v/>
      </c>
      <c r="K5" s="444" t="str">
        <f t="shared" si="3"/>
        <v/>
      </c>
      <c r="L5" s="1560"/>
      <c r="M5" s="3252" t="str">
        <f t="shared" si="4"/>
        <v/>
      </c>
      <c r="N5" s="1588"/>
      <c r="O5" s="1558" t="str">
        <f>IF(A5&lt;&gt;"",VLOOKUP(A5,IP!$A$4:C$153,2,FALSE),"")</f>
        <v/>
      </c>
      <c r="P5" s="1559" t="str">
        <f t="shared" si="5"/>
        <v/>
      </c>
    </row>
    <row r="6" spans="1:40">
      <c r="A6" s="1071"/>
      <c r="B6" s="117"/>
      <c r="C6" s="2008" t="str">
        <f>IF(AND($A6&lt;&gt;"",$B6="FTP"),
        IF(LEFT($G6,1)="d",'Host Reference'!$A$139,
             IF(LEFT($G6,1)="t",'Host Reference'!$A$140,
                  IF(LEFT($G6,1)="p",'Host Reference'!$A$141))),"")</f>
        <v/>
      </c>
      <c r="D6" s="2008" t="str">
        <f>IF(AND($B6&lt;&gt;"",$C6&lt;&gt;""),
VLOOKUP(C6,'Host Reference'!$A$139:$B$141,2,FALSE),"")</f>
        <v/>
      </c>
      <c r="E6" s="117"/>
      <c r="F6" s="1557" t="str">
        <f t="shared" si="0"/>
        <v/>
      </c>
      <c r="G6" s="2008" t="str">
        <f t="shared" si="1"/>
        <v/>
      </c>
      <c r="H6" s="2008" t="str">
        <f>IF($B6&lt;&gt;"",
        IF($B6="FTP",VLOOKUP($A6,IP!$A$4:N$167,14,FALSE),
            IF($B6="HTTP",VLOOKUP($A6,IP!$A$4:N$167,14,FALSE), VLOOKUP($G6,'Host Reference'!$B$146:$F$155,5,FALSE))),"")</f>
        <v/>
      </c>
      <c r="I6" s="1588"/>
      <c r="J6" s="1557" t="str">
        <f t="shared" si="2"/>
        <v/>
      </c>
      <c r="K6" s="444" t="str">
        <f t="shared" si="3"/>
        <v/>
      </c>
      <c r="L6" s="1560"/>
      <c r="M6" s="3252" t="str">
        <f t="shared" si="4"/>
        <v/>
      </c>
      <c r="N6" s="1588"/>
      <c r="O6" s="1558" t="str">
        <f>IF(A6&lt;&gt;"",VLOOKUP(A6,IP!$A$4:C$153,2,FALSE),"")</f>
        <v/>
      </c>
      <c r="P6" s="1559" t="str">
        <f t="shared" si="5"/>
        <v/>
      </c>
    </row>
    <row r="7" spans="1:40">
      <c r="A7" s="1071"/>
      <c r="B7" s="117"/>
      <c r="C7" s="2008" t="str">
        <f>IF(AND($A7&lt;&gt;"",$B7="FTP"),
        IF(LEFT($G7,1)="d",'Host Reference'!$A$139,
             IF(LEFT($G7,1)="t",'Host Reference'!$A$140,
                  IF(LEFT($G7,1)="p",'Host Reference'!$A$141))),"")</f>
        <v/>
      </c>
      <c r="D7" s="2008" t="str">
        <f>IF(AND($B7&lt;&gt;"",$C7&lt;&gt;""),
VLOOKUP(C7,'Host Reference'!$A$139:$B$141,2,FALSE),"")</f>
        <v/>
      </c>
      <c r="E7" s="117"/>
      <c r="F7" s="1557" t="str">
        <f t="shared" si="0"/>
        <v/>
      </c>
      <c r="G7" s="2008" t="str">
        <f t="shared" si="1"/>
        <v/>
      </c>
      <c r="H7" s="2008" t="str">
        <f>IF($B7&lt;&gt;"",
        IF($B7="FTP",VLOOKUP($A7,IP!$A$4:N$167,14,FALSE),
            IF($B7="HTTP",VLOOKUP($A7,IP!$A$4:N$167,14,FALSE), VLOOKUP($G7,'Host Reference'!$B$146:$F$155,5,FALSE))),"")</f>
        <v/>
      </c>
      <c r="I7" s="1588"/>
      <c r="J7" s="1557" t="str">
        <f t="shared" si="2"/>
        <v/>
      </c>
      <c r="K7" s="444" t="str">
        <f t="shared" si="3"/>
        <v/>
      </c>
      <c r="L7" s="1560"/>
      <c r="M7" s="3252" t="str">
        <f t="shared" si="4"/>
        <v/>
      </c>
      <c r="N7" s="1588"/>
      <c r="O7" s="1558" t="str">
        <f>IF(A7&lt;&gt;"",VLOOKUP(A7,IP!$A$4:C$153,2,FALSE),"")</f>
        <v/>
      </c>
      <c r="P7" s="1559" t="str">
        <f t="shared" si="5"/>
        <v/>
      </c>
    </row>
    <row r="8" spans="1:40">
      <c r="A8" s="1071"/>
      <c r="B8" s="117"/>
      <c r="C8" s="2008" t="str">
        <f>IF(AND($A8&lt;&gt;"",$B8="FTP"),
        IF(LEFT($G8,1)="d",'Host Reference'!$A$139,
             IF(LEFT($G8,1)="t",'Host Reference'!$A$140,
                  IF(LEFT($G8,1)="p",'Host Reference'!$A$141))),"")</f>
        <v/>
      </c>
      <c r="D8" s="2008" t="str">
        <f>IF(AND($B8&lt;&gt;"",$C8&lt;&gt;""),
VLOOKUP(C8,'Host Reference'!$A$139:$B$141,2,FALSE),"")</f>
        <v/>
      </c>
      <c r="E8" s="117"/>
      <c r="F8" s="1557" t="str">
        <f t="shared" si="0"/>
        <v/>
      </c>
      <c r="G8" s="2008" t="str">
        <f t="shared" si="1"/>
        <v/>
      </c>
      <c r="H8" s="2008" t="str">
        <f>IF($B8&lt;&gt;"",
        IF($B8="FTP",VLOOKUP($A8,IP!$A$4:N$167,14,FALSE),
            IF($B8="HTTP",VLOOKUP($A8,IP!$A$4:N$167,14,FALSE), VLOOKUP($G8,'Host Reference'!$B$146:$F$155,5,FALSE))),"")</f>
        <v/>
      </c>
      <c r="I8" s="1588"/>
      <c r="J8" s="1557" t="str">
        <f t="shared" si="2"/>
        <v/>
      </c>
      <c r="K8" s="444" t="str">
        <f t="shared" si="3"/>
        <v/>
      </c>
      <c r="L8" s="1560"/>
      <c r="M8" s="3252" t="str">
        <f t="shared" si="4"/>
        <v/>
      </c>
      <c r="N8" s="1588"/>
      <c r="O8" s="1558" t="str">
        <f>IF(A8&lt;&gt;"",VLOOKUP(A8,IP!$A$4:C$153,2,FALSE),"")</f>
        <v/>
      </c>
      <c r="P8" s="1559" t="str">
        <f t="shared" si="5"/>
        <v/>
      </c>
    </row>
    <row r="9" spans="1:40">
      <c r="A9" s="1071"/>
      <c r="B9" s="117"/>
      <c r="C9" s="2008" t="str">
        <f>IF(AND($A9&lt;&gt;"",$B9="FTP"),
        IF(LEFT($G9,1)="d",'Host Reference'!$A$139,
             IF(LEFT($G9,1)="t",'Host Reference'!$A$140,
                  IF(LEFT($G9,1)="p",'Host Reference'!$A$141))),"")</f>
        <v/>
      </c>
      <c r="D9" s="2008" t="str">
        <f>IF(AND($B9&lt;&gt;"",$C9&lt;&gt;""),
VLOOKUP(C9,'Host Reference'!$A$139:$B$141,2,FALSE),"")</f>
        <v/>
      </c>
      <c r="E9" s="117"/>
      <c r="F9" s="1557" t="str">
        <f t="shared" si="0"/>
        <v/>
      </c>
      <c r="G9" s="2008" t="str">
        <f t="shared" si="1"/>
        <v/>
      </c>
      <c r="H9" s="2008" t="str">
        <f>IF($B9&lt;&gt;"",
        IF($B9="FTP",VLOOKUP($A9,IP!$A$4:N$167,14,FALSE),
            IF($B9="HTTP",VLOOKUP($A9,IP!$A$4:N$167,14,FALSE), VLOOKUP($G9,'Host Reference'!$B$146:$F$155,5,FALSE))),"")</f>
        <v/>
      </c>
      <c r="I9" s="1588"/>
      <c r="J9" s="1557" t="str">
        <f t="shared" si="2"/>
        <v/>
      </c>
      <c r="K9" s="444" t="str">
        <f t="shared" si="3"/>
        <v/>
      </c>
      <c r="L9" s="1560"/>
      <c r="M9" s="3252" t="str">
        <f t="shared" si="4"/>
        <v/>
      </c>
      <c r="N9" s="1588"/>
      <c r="O9" s="1558" t="str">
        <f>IF(A9&lt;&gt;"",VLOOKUP(A9,IP!$A$4:C$153,2,FALSE),"")</f>
        <v/>
      </c>
      <c r="P9" s="1559" t="str">
        <f t="shared" si="5"/>
        <v/>
      </c>
    </row>
    <row r="10" spans="1:40">
      <c r="A10" s="1071"/>
      <c r="B10" s="117"/>
      <c r="C10" s="2008" t="str">
        <f>IF(AND($A10&lt;&gt;"",$B10="FTP"),
        IF(LEFT($G10,1)="d",'Host Reference'!$A$139,
             IF(LEFT($G10,1)="t",'Host Reference'!$A$140,
                  IF(LEFT($G10,1)="p",'Host Reference'!$A$141))),"")</f>
        <v/>
      </c>
      <c r="D10" s="2008" t="str">
        <f>IF(AND($B10&lt;&gt;"",$C10&lt;&gt;""),
VLOOKUP(C10,'Host Reference'!$A$139:$B$141,2,FALSE),"")</f>
        <v/>
      </c>
      <c r="E10" s="117"/>
      <c r="F10" s="1557" t="str">
        <f t="shared" si="0"/>
        <v/>
      </c>
      <c r="G10" s="2008" t="str">
        <f t="shared" si="1"/>
        <v/>
      </c>
      <c r="H10" s="2008" t="str">
        <f>IF($B10&lt;&gt;"",
        IF($B10="FTP",VLOOKUP($A10,IP!$A$4:N$167,14,FALSE),
            IF($B10="HTTP",VLOOKUP($A10,IP!$A$4:N$167,14,FALSE), VLOOKUP($G10,'Host Reference'!$B$146:$F$155,5,FALSE))),"")</f>
        <v/>
      </c>
      <c r="I10" s="1588"/>
      <c r="J10" s="1557" t="str">
        <f t="shared" si="2"/>
        <v/>
      </c>
      <c r="K10" s="444" t="str">
        <f t="shared" si="3"/>
        <v/>
      </c>
      <c r="L10" s="1560"/>
      <c r="M10" s="3252" t="str">
        <f t="shared" si="4"/>
        <v/>
      </c>
      <c r="N10" s="1588"/>
      <c r="O10" s="1558" t="str">
        <f>IF(A10&lt;&gt;"",VLOOKUP(A10,IP!$A$4:C$153,2,FALSE),"")</f>
        <v/>
      </c>
      <c r="P10" s="1559" t="str">
        <f t="shared" si="5"/>
        <v/>
      </c>
    </row>
    <row r="11" spans="1:40">
      <c r="A11" s="1071"/>
      <c r="B11" s="117"/>
      <c r="C11" s="2008" t="str">
        <f>IF(AND($A11&lt;&gt;"",$B11="FTP"),
        IF(LEFT($G11,1)="d",'Host Reference'!$A$139,
             IF(LEFT($G11,1)="t",'Host Reference'!$A$140,
                  IF(LEFT($G11,1)="p",'Host Reference'!$A$141))),"")</f>
        <v/>
      </c>
      <c r="D11" s="2008" t="str">
        <f>IF(AND($B11&lt;&gt;"",$C11&lt;&gt;""),
VLOOKUP(C11,'Host Reference'!$A$139:$B$141,2,FALSE),"")</f>
        <v/>
      </c>
      <c r="E11" s="117"/>
      <c r="F11" s="1557" t="str">
        <f t="shared" si="0"/>
        <v/>
      </c>
      <c r="G11" s="2008" t="str">
        <f t="shared" si="1"/>
        <v/>
      </c>
      <c r="H11" s="2008" t="str">
        <f>IF($B11&lt;&gt;"",
        IF($B11="FTP",VLOOKUP($A11,IP!$A$4:N$167,14,FALSE),
            IF($B11="HTTP",VLOOKUP($A11,IP!$A$4:N$167,14,FALSE), VLOOKUP($G11,'Host Reference'!$B$146:$F$155,5,FALSE))),"")</f>
        <v/>
      </c>
      <c r="I11" s="1588"/>
      <c r="J11" s="1557" t="str">
        <f t="shared" si="2"/>
        <v/>
      </c>
      <c r="K11" s="444" t="str">
        <f t="shared" si="3"/>
        <v/>
      </c>
      <c r="L11" s="1560"/>
      <c r="M11" s="3252" t="str">
        <f t="shared" si="4"/>
        <v/>
      </c>
      <c r="N11" s="1588"/>
      <c r="O11" s="1558" t="str">
        <f>IF(A11&lt;&gt;"",VLOOKUP(A11,IP!$A$4:C$153,2,FALSE),"")</f>
        <v/>
      </c>
      <c r="P11" s="1559" t="str">
        <f t="shared" si="5"/>
        <v/>
      </c>
    </row>
    <row r="12" spans="1:40">
      <c r="A12" s="1071"/>
      <c r="B12" s="117"/>
      <c r="C12" s="2008" t="str">
        <f>IF(AND($A12&lt;&gt;"",$B12="FTP"),
        IF(LEFT($G12,1)="d",'Host Reference'!$A$139,
             IF(LEFT($G12,1)="t",'Host Reference'!$A$140,
                  IF(LEFT($G12,1)="p",'Host Reference'!$A$141))),"")</f>
        <v/>
      </c>
      <c r="D12" s="2008" t="str">
        <f>IF(AND($B12&lt;&gt;"",$C12&lt;&gt;""),
VLOOKUP(C12,'Host Reference'!$A$139:$B$141,2,FALSE),"")</f>
        <v/>
      </c>
      <c r="E12" s="117"/>
      <c r="F12" s="1557" t="str">
        <f t="shared" si="0"/>
        <v/>
      </c>
      <c r="G12" s="2008" t="str">
        <f t="shared" si="1"/>
        <v/>
      </c>
      <c r="H12" s="2008" t="str">
        <f>IF($B12&lt;&gt;"",
        IF($B12="FTP",VLOOKUP($A12,IP!$A$4:N$167,14,FALSE),
            IF($B12="HTTP",VLOOKUP($A12,IP!$A$4:N$167,14,FALSE), VLOOKUP($G12,'Host Reference'!$B$146:$F$155,5,FALSE))),"")</f>
        <v/>
      </c>
      <c r="I12" s="1588"/>
      <c r="J12" s="1557" t="str">
        <f t="shared" si="2"/>
        <v/>
      </c>
      <c r="K12" s="444" t="str">
        <f t="shared" si="3"/>
        <v/>
      </c>
      <c r="L12" s="1560"/>
      <c r="M12" s="3252" t="str">
        <f t="shared" si="4"/>
        <v/>
      </c>
      <c r="N12" s="1588"/>
      <c r="O12" s="1558" t="str">
        <f>IF(A12&lt;&gt;"",VLOOKUP(A12,IP!$A$4:C$153,2,FALSE),"")</f>
        <v/>
      </c>
      <c r="P12" s="1559" t="str">
        <f t="shared" si="5"/>
        <v/>
      </c>
    </row>
    <row r="13" spans="1:40">
      <c r="A13" s="1071"/>
      <c r="B13" s="117"/>
      <c r="C13" s="2008" t="str">
        <f>IF(AND($A13&lt;&gt;"",$B13="FTP"),
        IF(LEFT($G13,1)="d",'Host Reference'!$A$139,
             IF(LEFT($G13,1)="t",'Host Reference'!$A$140,
                  IF(LEFT($G13,1)="p",'Host Reference'!$A$141))),"")</f>
        <v/>
      </c>
      <c r="D13" s="2008" t="str">
        <f>IF(AND($B13&lt;&gt;"",$C13&lt;&gt;""),
VLOOKUP(C13,'Host Reference'!$A$139:$B$141,2,FALSE),"")</f>
        <v/>
      </c>
      <c r="E13" s="117"/>
      <c r="F13" s="1557" t="str">
        <f t="shared" si="0"/>
        <v/>
      </c>
      <c r="G13" s="2008" t="str">
        <f t="shared" si="1"/>
        <v/>
      </c>
      <c r="H13" s="2008" t="str">
        <f>IF($B13&lt;&gt;"",
        IF($B13="FTP",VLOOKUP($A13,IP!$A$4:N$167,14,FALSE),
            IF($B13="HTTP",VLOOKUP($A13,IP!$A$4:N$167,14,FALSE), VLOOKUP($G13,'Host Reference'!$B$146:$F$155,5,FALSE))),"")</f>
        <v/>
      </c>
      <c r="I13" s="1588"/>
      <c r="J13" s="1557" t="str">
        <f t="shared" si="2"/>
        <v/>
      </c>
      <c r="K13" s="444" t="str">
        <f t="shared" si="3"/>
        <v/>
      </c>
      <c r="L13" s="1560"/>
      <c r="M13" s="3252" t="str">
        <f t="shared" si="4"/>
        <v/>
      </c>
      <c r="N13" s="1588"/>
      <c r="O13" s="1558" t="str">
        <f>IF(A13&lt;&gt;"",VLOOKUP(A13,IP!$A$4:C$153,2,FALSE),"")</f>
        <v/>
      </c>
      <c r="P13" s="1559" t="str">
        <f t="shared" si="5"/>
        <v/>
      </c>
    </row>
    <row r="14" spans="1:40">
      <c r="A14" s="1071"/>
      <c r="B14" s="117"/>
      <c r="C14" s="2008" t="str">
        <f>IF(AND($A14&lt;&gt;"",$B14="FTP"),
        IF(LEFT($G14,1)="d",'Host Reference'!$A$139,
             IF(LEFT($G14,1)="t",'Host Reference'!$A$140,
                  IF(LEFT($G14,1)="p",'Host Reference'!$A$141))),"")</f>
        <v/>
      </c>
      <c r="D14" s="2008" t="str">
        <f>IF(AND($B14&lt;&gt;"",$C14&lt;&gt;""),
VLOOKUP(C14,'Host Reference'!$A$139:$B$141,2,FALSE),"")</f>
        <v/>
      </c>
      <c r="E14" s="117"/>
      <c r="F14" s="1557" t="str">
        <f t="shared" si="0"/>
        <v/>
      </c>
      <c r="G14" s="2008" t="str">
        <f t="shared" si="1"/>
        <v/>
      </c>
      <c r="H14" s="2008" t="str">
        <f>IF($B14&lt;&gt;"",
        IF($B14="FTP",VLOOKUP($A14,IP!$A$4:N$167,14,FALSE),
            IF($B14="HTTP",VLOOKUP($A14,IP!$A$4:N$167,14,FALSE), VLOOKUP($G14,'Host Reference'!$B$146:$F$155,5,FALSE))),"")</f>
        <v/>
      </c>
      <c r="I14" s="1588"/>
      <c r="J14" s="1557" t="str">
        <f t="shared" si="2"/>
        <v/>
      </c>
      <c r="K14" s="444" t="str">
        <f t="shared" si="3"/>
        <v/>
      </c>
      <c r="L14" s="1560"/>
      <c r="M14" s="3252" t="str">
        <f t="shared" si="4"/>
        <v/>
      </c>
      <c r="N14" s="1588"/>
      <c r="O14" s="1558" t="str">
        <f>IF(A14&lt;&gt;"",VLOOKUP(A14,IP!$A$4:C$153,2,FALSE),"")</f>
        <v/>
      </c>
      <c r="P14" s="1559" t="str">
        <f t="shared" si="5"/>
        <v/>
      </c>
    </row>
    <row r="15" spans="1:40">
      <c r="A15" s="1071"/>
      <c r="B15" s="117"/>
      <c r="C15" s="2008" t="str">
        <f>IF(AND($A15&lt;&gt;"",$B15="FTP"),
        IF(LEFT($G15,1)="d",'Host Reference'!$A$139,
             IF(LEFT($G15,1)="t",'Host Reference'!$A$140,
                  IF(LEFT($G15,1)="p",'Host Reference'!$A$141))),"")</f>
        <v/>
      </c>
      <c r="D15" s="2008" t="str">
        <f>IF(AND($B15&lt;&gt;"",$C15&lt;&gt;""),
VLOOKUP(C15,'Host Reference'!$A$139:$B$141,2,FALSE),"")</f>
        <v/>
      </c>
      <c r="E15" s="117"/>
      <c r="F15" s="1557" t="str">
        <f t="shared" si="0"/>
        <v/>
      </c>
      <c r="G15" s="2008" t="str">
        <f t="shared" si="1"/>
        <v/>
      </c>
      <c r="H15" s="2008" t="str">
        <f>IF($B15&lt;&gt;"",
        IF($B15="FTP",VLOOKUP($A15,IP!$A$4:N$167,14,FALSE),
            IF($B15="HTTP",VLOOKUP($A15,IP!$A$4:N$167,14,FALSE), VLOOKUP($G15,'Host Reference'!$B$146:$F$155,5,FALSE))),"")</f>
        <v/>
      </c>
      <c r="I15" s="1588"/>
      <c r="J15" s="1557" t="str">
        <f t="shared" si="2"/>
        <v/>
      </c>
      <c r="K15" s="444" t="str">
        <f t="shared" si="3"/>
        <v/>
      </c>
      <c r="L15" s="1560"/>
      <c r="M15" s="3252" t="str">
        <f t="shared" si="4"/>
        <v/>
      </c>
      <c r="N15" s="1588"/>
      <c r="O15" s="1558" t="str">
        <f>IF(A15&lt;&gt;"",VLOOKUP(A15,IP!$A$4:C$153,2,FALSE),"")</f>
        <v/>
      </c>
      <c r="P15" s="1559" t="str">
        <f t="shared" si="5"/>
        <v/>
      </c>
    </row>
    <row r="16" spans="1:40">
      <c r="A16" s="1071"/>
      <c r="B16" s="117"/>
      <c r="C16" s="2008" t="str">
        <f>IF(AND($A16&lt;&gt;"",$B16="FTP"),
        IF(LEFT($G16,1)="d",'Host Reference'!$A$139,
             IF(LEFT($G16,1)="t",'Host Reference'!$A$140,
                  IF(LEFT($G16,1)="p",'Host Reference'!$A$141))),"")</f>
        <v/>
      </c>
      <c r="D16" s="2008" t="str">
        <f>IF(AND($B16&lt;&gt;"",$C16&lt;&gt;""),
VLOOKUP(C16,'Host Reference'!$A$139:$B$141,2,FALSE),"")</f>
        <v/>
      </c>
      <c r="E16" s="117"/>
      <c r="F16" s="1557" t="str">
        <f t="shared" si="0"/>
        <v/>
      </c>
      <c r="G16" s="2008" t="str">
        <f t="shared" si="1"/>
        <v/>
      </c>
      <c r="H16" s="2008" t="str">
        <f>IF($B16&lt;&gt;"",
        IF($B16="FTP",VLOOKUP($A16,IP!$A$4:N$167,14,FALSE),
            IF($B16="HTTP",VLOOKUP($A16,IP!$A$4:N$167,14,FALSE), VLOOKUP($G16,'Host Reference'!$B$146:$F$155,5,FALSE))),"")</f>
        <v/>
      </c>
      <c r="I16" s="1552"/>
      <c r="J16" s="1557" t="str">
        <f t="shared" si="2"/>
        <v/>
      </c>
      <c r="K16" s="444" t="str">
        <f t="shared" si="3"/>
        <v/>
      </c>
      <c r="L16" s="1560"/>
      <c r="M16" s="3252" t="str">
        <f t="shared" si="4"/>
        <v/>
      </c>
      <c r="N16" s="1552"/>
      <c r="O16" s="1558" t="str">
        <f>IF(A16&lt;&gt;"",VLOOKUP(A16,IP!$A$4:C$153,2,FALSE),"")</f>
        <v/>
      </c>
      <c r="P16" s="1559" t="str">
        <f t="shared" ref="P16:P30" si="6">IF(AND(B16&lt;&gt;"",LEFT($B16, 3)="FTP"),
CONCATENATE("Create folder ",M16,", create share '", I16,"' at this location; assign permissions for ",E16,"  service account",""),"")</f>
        <v/>
      </c>
    </row>
    <row r="17" spans="1:16">
      <c r="A17" s="1071"/>
      <c r="B17" s="117"/>
      <c r="C17" s="2008" t="str">
        <f>IF(AND($A17&lt;&gt;"",$B17="FTP"),
        IF(LEFT($G17,1)="d",'Host Reference'!$A$139,
             IF(LEFT($G17,1)="t",'Host Reference'!$A$140,
                  IF(LEFT($G17,1)="p",'Host Reference'!$A$141))),"")</f>
        <v/>
      </c>
      <c r="D17" s="2008" t="str">
        <f>IF(AND($B17&lt;&gt;"",$C17&lt;&gt;""),
VLOOKUP(C17,'Host Reference'!$A$139:$B$141,2,FALSE),"")</f>
        <v/>
      </c>
      <c r="E17" s="117"/>
      <c r="F17" s="1557" t="str">
        <f t="shared" si="0"/>
        <v/>
      </c>
      <c r="G17" s="2008" t="str">
        <f t="shared" si="1"/>
        <v/>
      </c>
      <c r="H17" s="2008" t="str">
        <f>IF($B17&lt;&gt;"",
        IF($B17="FTP",VLOOKUP($A17,IP!$A$4:N$167,14,FALSE),
            IF($B17="HTTP",VLOOKUP($A17,IP!$A$4:N$167,14,FALSE), VLOOKUP($G17,'Host Reference'!$B$146:$F$155,5,FALSE))),"")</f>
        <v/>
      </c>
      <c r="I17" s="1552"/>
      <c r="J17" s="1557" t="str">
        <f t="shared" si="2"/>
        <v/>
      </c>
      <c r="K17" s="444" t="str">
        <f t="shared" si="3"/>
        <v/>
      </c>
      <c r="L17" s="1560"/>
      <c r="M17" s="3252" t="str">
        <f t="shared" si="4"/>
        <v/>
      </c>
      <c r="N17" s="1552"/>
      <c r="O17" s="1558" t="str">
        <f>IF(A17&lt;&gt;"",VLOOKUP(A17,IP!$A$4:C$153,2,FALSE),"")</f>
        <v/>
      </c>
      <c r="P17" s="1559" t="str">
        <f t="shared" si="6"/>
        <v/>
      </c>
    </row>
    <row r="18" spans="1:16">
      <c r="A18" s="1071"/>
      <c r="B18" s="117"/>
      <c r="C18" s="2008" t="str">
        <f>IF(AND($A18&lt;&gt;"",$B18="FTP"),
        IF(LEFT($G18,1)="d",'Host Reference'!$A$139,
             IF(LEFT($G18,1)="t",'Host Reference'!$A$140,
                  IF(LEFT($G18,1)="p",'Host Reference'!$A$141))),"")</f>
        <v/>
      </c>
      <c r="D18" s="2008" t="str">
        <f>IF(AND($B18&lt;&gt;"",$C18&lt;&gt;""),
VLOOKUP(C18,'Host Reference'!$A$139:$B$141,2,FALSE),"")</f>
        <v/>
      </c>
      <c r="E18" s="117"/>
      <c r="F18" s="1557" t="str">
        <f t="shared" si="0"/>
        <v/>
      </c>
      <c r="G18" s="2008" t="str">
        <f t="shared" si="1"/>
        <v/>
      </c>
      <c r="H18" s="2008" t="str">
        <f>IF($B18&lt;&gt;"",
        IF($B18="FTP",VLOOKUP($A18,IP!$A$4:N$167,14,FALSE),
            IF($B18="HTTP",VLOOKUP($A18,IP!$A$4:N$167,14,FALSE), VLOOKUP($G18,'Host Reference'!$B$146:$F$155,5,FALSE))),"")</f>
        <v/>
      </c>
      <c r="I18" s="1552"/>
      <c r="J18" s="1557" t="str">
        <f t="shared" si="2"/>
        <v/>
      </c>
      <c r="K18" s="444" t="str">
        <f t="shared" si="3"/>
        <v/>
      </c>
      <c r="L18" s="1560"/>
      <c r="M18" s="3252" t="str">
        <f t="shared" si="4"/>
        <v/>
      </c>
      <c r="N18" s="1552"/>
      <c r="O18" s="1558" t="str">
        <f>IF(A18&lt;&gt;"",VLOOKUP(A18,IP!$A$4:C$153,2,FALSE),"")</f>
        <v/>
      </c>
      <c r="P18" s="1559" t="str">
        <f t="shared" si="6"/>
        <v/>
      </c>
    </row>
    <row r="19" spans="1:16">
      <c r="A19" s="1071"/>
      <c r="B19" s="117"/>
      <c r="C19" s="2008" t="str">
        <f>IF(AND($A19&lt;&gt;"",$B19="FTP"),
        IF(LEFT($G19,1)="d",'Host Reference'!$A$139,
             IF(LEFT($G19,1)="t",'Host Reference'!$A$140,
                  IF(LEFT($G19,1)="p",'Host Reference'!$A$141))),"")</f>
        <v/>
      </c>
      <c r="D19" s="2008" t="str">
        <f>IF(AND($B19&lt;&gt;"",$C19&lt;&gt;""),
VLOOKUP(C19,'Host Reference'!$A$139:$B$141,2,FALSE),"")</f>
        <v/>
      </c>
      <c r="E19" s="117"/>
      <c r="F19" s="1557" t="str">
        <f t="shared" si="0"/>
        <v/>
      </c>
      <c r="G19" s="2008" t="str">
        <f t="shared" si="1"/>
        <v/>
      </c>
      <c r="H19" s="2008" t="str">
        <f>IF($B19&lt;&gt;"",
        IF($B19="FTP",VLOOKUP($A19,IP!$A$4:N$167,14,FALSE),
            IF($B19="HTTP",VLOOKUP($A19,IP!$A$4:N$167,14,FALSE), VLOOKUP($G19,'Host Reference'!$B$146:$F$155,5,FALSE))),"")</f>
        <v/>
      </c>
      <c r="I19" s="1552"/>
      <c r="J19" s="1557" t="str">
        <f t="shared" si="2"/>
        <v/>
      </c>
      <c r="K19" s="444" t="str">
        <f t="shared" si="3"/>
        <v/>
      </c>
      <c r="L19" s="1560"/>
      <c r="M19" s="3252" t="str">
        <f t="shared" si="4"/>
        <v/>
      </c>
      <c r="N19" s="1552"/>
      <c r="O19" s="1558" t="str">
        <f>IF(A19&lt;&gt;"",VLOOKUP(A19,IP!$A$4:C$153,2,FALSE),"")</f>
        <v/>
      </c>
      <c r="P19" s="1559" t="str">
        <f t="shared" si="6"/>
        <v/>
      </c>
    </row>
    <row r="20" spans="1:16">
      <c r="A20" s="1071"/>
      <c r="B20" s="117"/>
      <c r="C20" s="2008" t="str">
        <f>IF(AND($A20&lt;&gt;"",$B20="FTP"),
        IF(LEFT($G20,1)="d",'Host Reference'!$A$139,
             IF(LEFT($G20,1)="t",'Host Reference'!$A$140,
                  IF(LEFT($G20,1)="p",'Host Reference'!$A$141))),"")</f>
        <v/>
      </c>
      <c r="D20" s="2008" t="str">
        <f>IF(AND($B20&lt;&gt;"",$C20&lt;&gt;""),
VLOOKUP(C20,'Host Reference'!$A$139:$B$141,2,FALSE),"")</f>
        <v/>
      </c>
      <c r="E20" s="117"/>
      <c r="F20" s="1557" t="str">
        <f t="shared" si="0"/>
        <v/>
      </c>
      <c r="G20" s="2008" t="str">
        <f t="shared" si="1"/>
        <v/>
      </c>
      <c r="H20" s="2008" t="str">
        <f>IF($B20&lt;&gt;"",
        IF($B20="FTP",VLOOKUP($A20,IP!$A$4:N$167,14,FALSE),
            IF($B20="HTTP",VLOOKUP($A20,IP!$A$4:N$167,14,FALSE), VLOOKUP($G20,'Host Reference'!$B$146:$F$155,5,FALSE))),"")</f>
        <v/>
      </c>
      <c r="I20" s="1552"/>
      <c r="J20" s="1557" t="str">
        <f t="shared" si="2"/>
        <v/>
      </c>
      <c r="K20" s="444" t="str">
        <f t="shared" si="3"/>
        <v/>
      </c>
      <c r="L20" s="1560"/>
      <c r="M20" s="3252" t="str">
        <f t="shared" si="4"/>
        <v/>
      </c>
      <c r="N20" s="1552"/>
      <c r="O20" s="1558" t="str">
        <f>IF(A20&lt;&gt;"",VLOOKUP(A20,IP!$A$4:C$153,2,FALSE),"")</f>
        <v/>
      </c>
      <c r="P20" s="1559" t="str">
        <f t="shared" si="6"/>
        <v/>
      </c>
    </row>
    <row r="21" spans="1:16">
      <c r="A21" s="1071"/>
      <c r="B21" s="117"/>
      <c r="C21" s="2008" t="str">
        <f>IF(AND($A21&lt;&gt;"",$B21="FTP"),
        IF(LEFT($G21,1)="d",'Host Reference'!$A$139,
             IF(LEFT($G21,1)="t",'Host Reference'!$A$140,
                  IF(LEFT($G21,1)="p",'Host Reference'!$A$141))),"")</f>
        <v/>
      </c>
      <c r="D21" s="2008" t="str">
        <f>IF(AND($B21&lt;&gt;"",$C21&lt;&gt;""),
VLOOKUP(C21,'Host Reference'!$A$139:$B$141,2,FALSE),"")</f>
        <v/>
      </c>
      <c r="E21" s="117"/>
      <c r="F21" s="1557" t="str">
        <f t="shared" si="0"/>
        <v/>
      </c>
      <c r="G21" s="2008" t="str">
        <f t="shared" si="1"/>
        <v/>
      </c>
      <c r="H21" s="2008" t="str">
        <f>IF($B21&lt;&gt;"",
        IF($B21="FTP",VLOOKUP($A21,IP!$A$4:N$167,14,FALSE),
            IF($B21="HTTP",VLOOKUP($A21,IP!$A$4:N$167,14,FALSE), VLOOKUP($G21,'Host Reference'!$B$146:$F$155,5,FALSE))),"")</f>
        <v/>
      </c>
      <c r="I21" s="1552"/>
      <c r="J21" s="1557" t="str">
        <f t="shared" si="2"/>
        <v/>
      </c>
      <c r="K21" s="444" t="str">
        <f t="shared" si="3"/>
        <v/>
      </c>
      <c r="L21" s="1560"/>
      <c r="M21" s="3252" t="str">
        <f t="shared" si="4"/>
        <v/>
      </c>
      <c r="N21" s="1552"/>
      <c r="O21" s="1558" t="str">
        <f>IF(A21&lt;&gt;"",VLOOKUP(A21,IP!$A$4:C$153,2,FALSE),"")</f>
        <v/>
      </c>
      <c r="P21" s="1559" t="str">
        <f t="shared" si="6"/>
        <v/>
      </c>
    </row>
    <row r="22" spans="1:16">
      <c r="A22" s="1071"/>
      <c r="B22" s="117"/>
      <c r="C22" s="2008" t="str">
        <f>IF(AND($A22&lt;&gt;"",$B22="FTP"),
        IF(LEFT($G22,1)="d",'Host Reference'!$A$139,
             IF(LEFT($G22,1)="t",'Host Reference'!$A$140,
                  IF(LEFT($G22,1)="p",'Host Reference'!$A$141))),"")</f>
        <v/>
      </c>
      <c r="D22" s="2008" t="str">
        <f>IF(AND($B22&lt;&gt;"",$C22&lt;&gt;""),
VLOOKUP(C22,'Host Reference'!$A$139:$B$141,2,FALSE),"")</f>
        <v/>
      </c>
      <c r="E22" s="117"/>
      <c r="F22" s="1557" t="str">
        <f t="shared" si="0"/>
        <v/>
      </c>
      <c r="G22" s="2008" t="str">
        <f t="shared" si="1"/>
        <v/>
      </c>
      <c r="H22" s="2008" t="str">
        <f>IF($B22&lt;&gt;"",
        IF($B22="FTP",VLOOKUP($A22,IP!$A$4:N$167,14,FALSE),
            IF($B22="HTTP",VLOOKUP($A22,IP!$A$4:N$167,14,FALSE), VLOOKUP($G22,'Host Reference'!$B$146:$F$155,5,FALSE))),"")</f>
        <v/>
      </c>
      <c r="I22" s="1552"/>
      <c r="J22" s="1557" t="str">
        <f t="shared" si="2"/>
        <v/>
      </c>
      <c r="K22" s="444" t="str">
        <f t="shared" si="3"/>
        <v/>
      </c>
      <c r="L22" s="1560"/>
      <c r="M22" s="3252" t="str">
        <f t="shared" si="4"/>
        <v/>
      </c>
      <c r="N22" s="1552"/>
      <c r="O22" s="1558" t="str">
        <f>IF(A22&lt;&gt;"",VLOOKUP(A22,IP!$A$4:C$153,2,FALSE),"")</f>
        <v/>
      </c>
      <c r="P22" s="1559" t="str">
        <f t="shared" si="6"/>
        <v/>
      </c>
    </row>
    <row r="23" spans="1:16">
      <c r="A23" s="1071"/>
      <c r="B23" s="117"/>
      <c r="C23" s="2008" t="str">
        <f>IF(AND($A23&lt;&gt;"",$B23="FTP"),
        IF(LEFT($G23,1)="d",'Host Reference'!$A$139,
             IF(LEFT($G23,1)="t",'Host Reference'!$A$140,
                  IF(LEFT($G23,1)="p",'Host Reference'!$A$141))),"")</f>
        <v/>
      </c>
      <c r="D23" s="2008" t="str">
        <f>IF(AND($B23&lt;&gt;"",$C23&lt;&gt;""),
VLOOKUP(C23,'Host Reference'!$A$139:$B$141,2,FALSE),"")</f>
        <v/>
      </c>
      <c r="E23" s="117"/>
      <c r="F23" s="1557" t="str">
        <f t="shared" si="0"/>
        <v/>
      </c>
      <c r="G23" s="2008" t="str">
        <f t="shared" si="1"/>
        <v/>
      </c>
      <c r="H23" s="2008" t="str">
        <f>IF($B23&lt;&gt;"",
        IF($B23="FTP",VLOOKUP($A23,IP!$A$4:N$167,14,FALSE),
            IF($B23="HTTP",VLOOKUP($A23,IP!$A$4:N$167,14,FALSE), VLOOKUP($G23,'Host Reference'!$B$146:$F$155,5,FALSE))),"")</f>
        <v/>
      </c>
      <c r="I23" s="1552"/>
      <c r="J23" s="1557" t="str">
        <f t="shared" si="2"/>
        <v/>
      </c>
      <c r="K23" s="444" t="str">
        <f t="shared" si="3"/>
        <v/>
      </c>
      <c r="L23" s="1560"/>
      <c r="M23" s="3252" t="str">
        <f t="shared" si="4"/>
        <v/>
      </c>
      <c r="N23" s="1552"/>
      <c r="O23" s="1558" t="str">
        <f>IF(A23&lt;&gt;"",VLOOKUP(A23,IP!$A$4:C$153,2,FALSE),"")</f>
        <v/>
      </c>
      <c r="P23" s="1559" t="str">
        <f t="shared" si="6"/>
        <v/>
      </c>
    </row>
    <row r="24" spans="1:16">
      <c r="A24" s="1071"/>
      <c r="B24" s="117"/>
      <c r="C24" s="2008" t="str">
        <f>IF(AND($A24&lt;&gt;"",$B24="FTP"),
        IF(LEFT($G24,1)="d",'Host Reference'!$A$139,
             IF(LEFT($G24,1)="t",'Host Reference'!$A$140,
                  IF(LEFT($G24,1)="p",'Host Reference'!$A$141))),"")</f>
        <v/>
      </c>
      <c r="D24" s="2008" t="str">
        <f>IF(AND($B24&lt;&gt;"",$C24&lt;&gt;""),
VLOOKUP(C24,'Host Reference'!$A$139:$B$141,2,FALSE),"")</f>
        <v/>
      </c>
      <c r="E24" s="117"/>
      <c r="F24" s="1557" t="str">
        <f t="shared" si="0"/>
        <v/>
      </c>
      <c r="G24" s="2008" t="str">
        <f t="shared" si="1"/>
        <v/>
      </c>
      <c r="H24" s="2008" t="str">
        <f>IF($B24&lt;&gt;"",
        IF($B24="FTP",VLOOKUP($A24,IP!$A$4:N$167,14,FALSE),
            IF($B24="HTTP",VLOOKUP($A24,IP!$A$4:N$167,14,FALSE), VLOOKUP($G24,'Host Reference'!$B$146:$F$155,5,FALSE))),"")</f>
        <v/>
      </c>
      <c r="I24" s="1552"/>
      <c r="J24" s="1557" t="str">
        <f t="shared" si="2"/>
        <v/>
      </c>
      <c r="K24" s="444" t="str">
        <f t="shared" si="3"/>
        <v/>
      </c>
      <c r="L24" s="1560"/>
      <c r="M24" s="3252" t="str">
        <f t="shared" si="4"/>
        <v/>
      </c>
      <c r="N24" s="1552"/>
      <c r="O24" s="1558" t="str">
        <f>IF(A24&lt;&gt;"",VLOOKUP(A24,IP!$A$4:C$153,2,FALSE),"")</f>
        <v/>
      </c>
      <c r="P24" s="1559" t="str">
        <f t="shared" si="6"/>
        <v/>
      </c>
    </row>
    <row r="25" spans="1:16">
      <c r="A25" s="1071"/>
      <c r="B25" s="117"/>
      <c r="C25" s="2008" t="str">
        <f>IF(AND($A25&lt;&gt;"",$B25="FTP"),
        IF(LEFT($G25,1)="d",'Host Reference'!$A$139,
             IF(LEFT($G25,1)="t",'Host Reference'!$A$140,
                  IF(LEFT($G25,1)="p",'Host Reference'!$A$141))),"")</f>
        <v/>
      </c>
      <c r="D25" s="2008" t="str">
        <f>IF(AND($B25&lt;&gt;"",$C25&lt;&gt;""),
VLOOKUP(C25,'Host Reference'!$A$139:$B$141,2,FALSE),"")</f>
        <v/>
      </c>
      <c r="E25" s="117"/>
      <c r="F25" s="1557" t="str">
        <f t="shared" si="0"/>
        <v/>
      </c>
      <c r="G25" s="2008" t="str">
        <f t="shared" si="1"/>
        <v/>
      </c>
      <c r="H25" s="2008" t="str">
        <f>IF($B25&lt;&gt;"",
        IF($B25="FTP",VLOOKUP($A25,IP!$A$4:N$167,14,FALSE),
            IF($B25="HTTP",VLOOKUP($A25,IP!$A$4:N$167,14,FALSE), VLOOKUP($G25,'Host Reference'!$B$146:$F$155,5,FALSE))),"")</f>
        <v/>
      </c>
      <c r="I25" s="1552"/>
      <c r="J25" s="1557" t="str">
        <f t="shared" si="2"/>
        <v/>
      </c>
      <c r="K25" s="444" t="str">
        <f t="shared" si="3"/>
        <v/>
      </c>
      <c r="L25" s="1560"/>
      <c r="M25" s="3252" t="str">
        <f t="shared" si="4"/>
        <v/>
      </c>
      <c r="N25" s="1552"/>
      <c r="O25" s="1558" t="str">
        <f>IF(A25&lt;&gt;"",VLOOKUP(A25,IP!$A$4:C$153,2,FALSE),"")</f>
        <v/>
      </c>
      <c r="P25" s="1559" t="str">
        <f t="shared" si="6"/>
        <v/>
      </c>
    </row>
    <row r="26" spans="1:16">
      <c r="A26" s="1071"/>
      <c r="B26" s="117"/>
      <c r="C26" s="2008" t="str">
        <f>IF(AND($A26&lt;&gt;"",$B26="FTP"),
        IF(LEFT($G26,1)="d",'Host Reference'!$A$139,
             IF(LEFT($G26,1)="t",'Host Reference'!$A$140,
                  IF(LEFT($G26,1)="p",'Host Reference'!$A$141))),"")</f>
        <v/>
      </c>
      <c r="D26" s="2008" t="str">
        <f>IF(AND($B26&lt;&gt;"",$C26&lt;&gt;""),
VLOOKUP(C26,'Host Reference'!$A$139:$B$141,2,FALSE),"")</f>
        <v/>
      </c>
      <c r="E26" s="117"/>
      <c r="F26" s="1557" t="str">
        <f t="shared" si="0"/>
        <v/>
      </c>
      <c r="G26" s="2008" t="str">
        <f t="shared" si="1"/>
        <v/>
      </c>
      <c r="H26" s="2008" t="str">
        <f>IF($B26&lt;&gt;"",
        IF($B26="FTP",VLOOKUP($A26,IP!$A$4:N$167,14,FALSE),
            IF($B26="HTTP",VLOOKUP($A26,IP!$A$4:N$167,14,FALSE), VLOOKUP($G26,'Host Reference'!$B$146:$F$155,5,FALSE))),"")</f>
        <v/>
      </c>
      <c r="I26" s="1552"/>
      <c r="J26" s="1557" t="str">
        <f t="shared" si="2"/>
        <v/>
      </c>
      <c r="K26" s="444" t="str">
        <f t="shared" si="3"/>
        <v/>
      </c>
      <c r="L26" s="1560"/>
      <c r="M26" s="3252" t="str">
        <f t="shared" si="4"/>
        <v/>
      </c>
      <c r="N26" s="1552"/>
      <c r="O26" s="1558" t="str">
        <f>IF(A26&lt;&gt;"",VLOOKUP(A26,IP!$A$4:C$153,2,FALSE),"")</f>
        <v/>
      </c>
      <c r="P26" s="1559" t="str">
        <f t="shared" si="6"/>
        <v/>
      </c>
    </row>
    <row r="27" spans="1:16">
      <c r="A27" s="1071"/>
      <c r="B27" s="117"/>
      <c r="C27" s="2008" t="str">
        <f>IF(AND($A27&lt;&gt;"",$B27="FTP"),
        IF(LEFT($G27,1)="d",'Host Reference'!$A$139,
             IF(LEFT($G27,1)="t",'Host Reference'!$A$140,
                  IF(LEFT($G27,1)="p",'Host Reference'!$A$141))),"")</f>
        <v/>
      </c>
      <c r="D27" s="2008" t="str">
        <f>IF(AND($B27&lt;&gt;"",$C27&lt;&gt;""),
VLOOKUP(C27,'Host Reference'!$A$139:$B$141,2,FALSE),"")</f>
        <v/>
      </c>
      <c r="E27" s="117"/>
      <c r="F27" s="1557" t="str">
        <f t="shared" si="0"/>
        <v/>
      </c>
      <c r="G27" s="2008" t="str">
        <f t="shared" si="1"/>
        <v/>
      </c>
      <c r="H27" s="2008" t="str">
        <f>IF($B27&lt;&gt;"",
        IF($B27="FTP",VLOOKUP($A27,IP!$A$4:N$167,14,FALSE),
            IF($B27="HTTP",VLOOKUP($A27,IP!$A$4:N$167,14,FALSE), VLOOKUP($G27,'Host Reference'!$B$146:$F$155,5,FALSE))),"")</f>
        <v/>
      </c>
      <c r="I27" s="1552"/>
      <c r="J27" s="1557" t="str">
        <f t="shared" si="2"/>
        <v/>
      </c>
      <c r="K27" s="444" t="str">
        <f t="shared" si="3"/>
        <v/>
      </c>
      <c r="L27" s="1560"/>
      <c r="M27" s="3252" t="str">
        <f t="shared" si="4"/>
        <v/>
      </c>
      <c r="N27" s="1552"/>
      <c r="O27" s="1558" t="str">
        <f>IF(A27&lt;&gt;"",VLOOKUP(A27,IP!$A$4:C$153,2,FALSE),"")</f>
        <v/>
      </c>
      <c r="P27" s="1559" t="str">
        <f t="shared" si="6"/>
        <v/>
      </c>
    </row>
    <row r="28" spans="1:16">
      <c r="A28" s="1071"/>
      <c r="B28" s="117"/>
      <c r="C28" s="2008" t="str">
        <f>IF(AND($A28&lt;&gt;"",$B28="FTP"),
        IF(LEFT($G28,1)="d",'Host Reference'!$A$139,
             IF(LEFT($G28,1)="t",'Host Reference'!$A$140,
                  IF(LEFT($G28,1)="p",'Host Reference'!$A$141))),"")</f>
        <v/>
      </c>
      <c r="D28" s="2008" t="str">
        <f>IF(AND($B28&lt;&gt;"",$C28&lt;&gt;""),
VLOOKUP(C28,'Host Reference'!$A$139:$B$141,2,FALSE),"")</f>
        <v/>
      </c>
      <c r="E28" s="117"/>
      <c r="F28" s="1557" t="str">
        <f t="shared" si="0"/>
        <v/>
      </c>
      <c r="G28" s="2008" t="str">
        <f t="shared" si="1"/>
        <v/>
      </c>
      <c r="H28" s="2008" t="str">
        <f>IF($B28&lt;&gt;"",
        IF($B28="FTP",VLOOKUP($A28,IP!$A$4:N$167,14,FALSE),
            IF($B28="HTTP",VLOOKUP($A28,IP!$A$4:N$167,14,FALSE), VLOOKUP($G28,'Host Reference'!$B$146:$F$155,5,FALSE))),"")</f>
        <v/>
      </c>
      <c r="I28" s="1552"/>
      <c r="J28" s="1557" t="str">
        <f t="shared" si="2"/>
        <v/>
      </c>
      <c r="K28" s="444" t="str">
        <f t="shared" si="3"/>
        <v/>
      </c>
      <c r="L28" s="1560"/>
      <c r="M28" s="3252" t="str">
        <f t="shared" si="4"/>
        <v/>
      </c>
      <c r="N28" s="1552"/>
      <c r="O28" s="1558" t="str">
        <f>IF(A28&lt;&gt;"",VLOOKUP(A28,IP!$A$4:C$153,2,FALSE),"")</f>
        <v/>
      </c>
      <c r="P28" s="1559" t="str">
        <f t="shared" si="6"/>
        <v/>
      </c>
    </row>
    <row r="29" spans="1:16">
      <c r="A29" s="1071"/>
      <c r="B29" s="117"/>
      <c r="C29" s="2008" t="str">
        <f>IF(AND($A29&lt;&gt;"",$B29="FTP"),
        IF(LEFT($G29,1)="d",'Host Reference'!$A$139,
             IF(LEFT($G29,1)="t",'Host Reference'!$A$140,
                  IF(LEFT($G29,1)="p",'Host Reference'!$A$141))),"")</f>
        <v/>
      </c>
      <c r="D29" s="2008" t="str">
        <f>IF(AND($B29&lt;&gt;"",$C29&lt;&gt;""),
VLOOKUP(C29,'Host Reference'!$A$139:$B$141,2,FALSE),"")</f>
        <v/>
      </c>
      <c r="E29" s="117"/>
      <c r="F29" s="1557" t="str">
        <f t="shared" si="0"/>
        <v/>
      </c>
      <c r="G29" s="2008" t="str">
        <f t="shared" si="1"/>
        <v/>
      </c>
      <c r="H29" s="2008" t="str">
        <f>IF($B29&lt;&gt;"",
        IF($B29="FTP",VLOOKUP($A29,IP!$A$4:N$167,14,FALSE),
            IF($B29="HTTP",VLOOKUP($A29,IP!$A$4:N$167,14,FALSE), VLOOKUP($G29,'Host Reference'!$B$146:$F$155,5,FALSE))),"")</f>
        <v/>
      </c>
      <c r="I29" s="1552"/>
      <c r="J29" s="1557" t="str">
        <f t="shared" si="2"/>
        <v/>
      </c>
      <c r="K29" s="444" t="str">
        <f t="shared" si="3"/>
        <v/>
      </c>
      <c r="L29" s="1560"/>
      <c r="M29" s="3252" t="str">
        <f t="shared" si="4"/>
        <v/>
      </c>
      <c r="N29" s="1552"/>
      <c r="O29" s="1558" t="str">
        <f>IF(A29&lt;&gt;"",VLOOKUP(A29,IP!$A$4:C$153,2,FALSE),"")</f>
        <v/>
      </c>
      <c r="P29" s="1559" t="str">
        <f t="shared" si="6"/>
        <v/>
      </c>
    </row>
    <row r="30" spans="1:16" ht="13.5" thickBot="1">
      <c r="A30" s="1069"/>
      <c r="B30" s="3254"/>
      <c r="C30" s="3114" t="str">
        <f>IF(AND($A30&lt;&gt;"",$B30="FTP"),
        IF(LEFT($G30,1)="d",'Host Reference'!$A$139,
             IF(LEFT($G30,1)="t",'Host Reference'!$A$140,
                  IF(LEFT($G30,1)="p",'Host Reference'!$A$141))),"")</f>
        <v/>
      </c>
      <c r="D30" s="3114" t="str">
        <f>IF(AND($B30&lt;&gt;"",$C30&lt;&gt;""),
VLOOKUP(C30,'Host Reference'!$A$139:$B$141,2,FALSE),"")</f>
        <v/>
      </c>
      <c r="E30" s="307"/>
      <c r="F30" s="1561" t="str">
        <f t="shared" si="0"/>
        <v/>
      </c>
      <c r="G30" s="3114" t="str">
        <f t="shared" si="1"/>
        <v/>
      </c>
      <c r="H30" s="3114" t="str">
        <f>IF($B30&lt;&gt;"",
        IF($B30="FTP",VLOOKUP($A30,IP!$A$4:N$167,14,FALSE),
            IF($B30="HTTP",VLOOKUP($A30,IP!$A$4:N$167,14,FALSE), VLOOKUP($G30,'Host Reference'!$B$146:$F$155,5,FALSE))),"")</f>
        <v/>
      </c>
      <c r="I30" s="1102"/>
      <c r="J30" s="1561" t="str">
        <f t="shared" si="2"/>
        <v/>
      </c>
      <c r="K30" s="468" t="str">
        <f t="shared" si="3"/>
        <v/>
      </c>
      <c r="L30" s="1562"/>
      <c r="M30" s="3253" t="str">
        <f t="shared" si="4"/>
        <v/>
      </c>
      <c r="N30" s="1102"/>
      <c r="O30" s="1563" t="str">
        <f>IF(A30&lt;&gt;"",VLOOKUP(A30,IP!$A$4:C$153,2,FALSE),"")</f>
        <v/>
      </c>
      <c r="P30" s="2609" t="str">
        <f t="shared" si="6"/>
        <v/>
      </c>
    </row>
  </sheetData>
  <mergeCells count="2">
    <mergeCell ref="B1:C1"/>
    <mergeCell ref="G1:J1"/>
  </mergeCells>
  <conditionalFormatting sqref="B1">
    <cfRule type="cellIs" dxfId="210" priority="11" stopIfTrue="1" operator="equal">
      <formula>"Undetermined"</formula>
    </cfRule>
    <cfRule type="cellIs" dxfId="209" priority="12" stopIfTrue="1" operator="equal">
      <formula>"REQUIRED"</formula>
    </cfRule>
  </conditionalFormatting>
  <conditionalFormatting sqref="C4:F30">
    <cfRule type="expression" dxfId="208" priority="5">
      <formula>$B4="HTTP"</formula>
    </cfRule>
  </conditionalFormatting>
  <conditionalFormatting sqref="I4:M30">
    <cfRule type="expression" dxfId="207" priority="6">
      <formula>$B4="HTTP"</formula>
    </cfRule>
  </conditionalFormatting>
  <conditionalFormatting sqref="A4:A30">
    <cfRule type="expression" dxfId="206" priority="2">
      <formula>AND($B4&lt;&gt;"", $A4="")</formula>
    </cfRule>
  </conditionalFormatting>
  <conditionalFormatting sqref="O4:O30">
    <cfRule type="expression" dxfId="205" priority="1">
      <formula>AND($B4&lt;&gt;"", $O4="")</formula>
    </cfRule>
  </conditionalFormatting>
  <dataValidations count="6">
    <dataValidation type="list" allowBlank="1" showInputMessage="1" showErrorMessage="1" sqref="A4:A30" xr:uid="{00000000-0002-0000-0C00-000000000000}">
      <formula1>list_AllIPs</formula1>
    </dataValidation>
    <dataValidation type="list" allowBlank="1" showInputMessage="1" showErrorMessage="1" sqref="L4:L30" xr:uid="{00000000-0002-0000-0C00-000001000000}">
      <formula1>"R+W,R,W"</formula1>
    </dataValidation>
    <dataValidation type="list" allowBlank="1" showInputMessage="1" showErrorMessage="1" sqref="N4:N30" xr:uid="{00000000-0002-0000-0C00-000002000000}">
      <formula1>"FALSE,TRUE"</formula1>
    </dataValidation>
    <dataValidation type="list" allowBlank="1" showInputMessage="1" showErrorMessage="1" sqref="B4:B30" xr:uid="{00000000-0002-0000-0C00-000003000000}">
      <formula1>"HTTP, FTP, FTP to NAS"</formula1>
    </dataValidation>
    <dataValidation type="list" allowBlank="1" sqref="G4:G30" xr:uid="{00000000-0002-0000-0C00-000004000000}">
      <formula1>NAS_SMB</formula1>
    </dataValidation>
    <dataValidation type="list" allowBlank="1" sqref="C4:C30" xr:uid="{00000000-0002-0000-0C00-000005000000}">
      <formula1>list_windows_ftp_servers</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470019" r:id="rId4">
          <objectPr defaultSize="0" r:id="rId5">
            <anchor moveWithCells="1">
              <from>
                <xdr:col>106</xdr:col>
                <xdr:colOff>0</xdr:colOff>
                <xdr:row>0</xdr:row>
                <xdr:rowOff>0</xdr:rowOff>
              </from>
              <to>
                <xdr:col>123</xdr:col>
                <xdr:colOff>66675</xdr:colOff>
                <xdr:row>21</xdr:row>
                <xdr:rowOff>95250</xdr:rowOff>
              </to>
            </anchor>
          </objectPr>
        </oleObject>
      </mc:Choice>
      <mc:Fallback>
        <oleObject progId="Word.Document.12" shapeId="470019" r:id="rId4"/>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2"/>
  <dimension ref="A1:BA50"/>
  <sheetViews>
    <sheetView showGridLines="0" zoomScaleNormal="100" workbookViewId="0">
      <selection activeCell="I9" sqref="I9"/>
    </sheetView>
  </sheetViews>
  <sheetFormatPr defaultRowHeight="12.75"/>
  <cols>
    <col min="1" max="1" width="19.85546875" customWidth="1"/>
    <col min="2" max="2" width="13.5703125" style="684" customWidth="1"/>
    <col min="3" max="3" width="12.7109375" style="353" bestFit="1" customWidth="1"/>
    <col min="4" max="4" width="23.42578125" style="353" customWidth="1"/>
    <col min="5" max="5" width="12.42578125" style="353" customWidth="1"/>
    <col min="6" max="6" width="12" style="353" customWidth="1"/>
    <col min="7" max="7" width="15.42578125" style="353" customWidth="1"/>
    <col min="8" max="8" width="22.42578125" style="2376" customWidth="1"/>
    <col min="9" max="9" width="9.42578125" style="353" customWidth="1"/>
    <col min="10" max="10" width="18.85546875" style="353" customWidth="1"/>
    <col min="11" max="11" width="19.7109375" style="353" bestFit="1" customWidth="1"/>
    <col min="12" max="12" width="29.42578125" style="353" customWidth="1"/>
    <col min="13" max="13" width="15.7109375" customWidth="1"/>
    <col min="14" max="15" width="13.7109375" customWidth="1"/>
    <col min="16" max="16" width="14.85546875" customWidth="1"/>
    <col min="17" max="17" width="16.5703125" style="353" customWidth="1"/>
    <col min="18" max="18" width="16.5703125" style="2306" customWidth="1"/>
    <col min="19" max="19" width="23.85546875" style="353" bestFit="1" customWidth="1"/>
    <col min="20" max="20" width="14.28515625" style="353" customWidth="1"/>
    <col min="21" max="21" width="11.7109375" style="353" customWidth="1"/>
    <col min="22" max="22" width="14.140625" customWidth="1"/>
    <col min="23" max="23" width="15.85546875" style="353" bestFit="1" customWidth="1"/>
    <col min="24" max="24" width="17.5703125" customWidth="1"/>
    <col min="25" max="25" width="5.7109375" customWidth="1"/>
    <col min="26" max="26" width="7" style="353" customWidth="1"/>
    <col min="27" max="27" width="14.7109375" style="353" bestFit="1" customWidth="1"/>
    <col min="28" max="28" width="14.28515625" style="353" bestFit="1" customWidth="1"/>
    <col min="29" max="29" width="14.28515625" style="684" customWidth="1"/>
    <col min="30" max="30" width="13.5703125" hidden="1" customWidth="1"/>
    <col min="31" max="31" width="13" hidden="1" customWidth="1"/>
    <col min="32" max="32" width="8.5703125" customWidth="1"/>
    <col min="33" max="33" width="5.140625" style="931" hidden="1" customWidth="1"/>
    <col min="34" max="34" width="16.5703125" style="353" bestFit="1" customWidth="1"/>
    <col min="35" max="35" width="6" style="353" bestFit="1" customWidth="1"/>
    <col min="36" max="36" width="12.140625" hidden="1" customWidth="1"/>
    <col min="37" max="37" width="12.7109375" hidden="1" customWidth="1"/>
    <col min="38" max="38" width="34" hidden="1" customWidth="1"/>
    <col min="39" max="39" width="19.28515625" style="353" hidden="1" customWidth="1"/>
    <col min="40" max="40" width="12.5703125" customWidth="1"/>
    <col min="41" max="41" width="16.28515625" customWidth="1"/>
    <col min="42" max="42" width="12" customWidth="1"/>
    <col min="43" max="43" width="13.140625" bestFit="1" customWidth="1"/>
    <col min="44" max="44" width="13" customWidth="1"/>
    <col min="45" max="45" width="13.7109375" customWidth="1"/>
    <col min="46" max="46" width="13.5703125" customWidth="1"/>
    <col min="47" max="47" width="33.5703125" style="353" customWidth="1"/>
    <col min="48" max="48" width="25" style="353" customWidth="1"/>
    <col min="49" max="49" width="17.28515625" customWidth="1"/>
    <col min="50" max="50" width="18.7109375" customWidth="1"/>
    <col min="51" max="51" width="13.140625" hidden="1" customWidth="1"/>
  </cols>
  <sheetData>
    <row r="1" spans="1:53" s="684" customFormat="1" ht="36.75" thickBot="1">
      <c r="A1" s="873" t="s">
        <v>1762</v>
      </c>
      <c r="B1" s="963">
        <v>2</v>
      </c>
      <c r="C1" s="963">
        <v>3</v>
      </c>
      <c r="D1" s="963">
        <v>4</v>
      </c>
      <c r="E1" s="963">
        <v>5</v>
      </c>
      <c r="F1" s="963">
        <v>6</v>
      </c>
      <c r="G1" s="963">
        <v>7</v>
      </c>
      <c r="H1" s="963">
        <v>8</v>
      </c>
      <c r="I1" s="963">
        <v>9</v>
      </c>
      <c r="J1" s="963">
        <v>10</v>
      </c>
      <c r="K1" s="937" t="str">
        <f>IF(Windows_tab="YES","REQUIRED",IF(Windows_tab="NO","This Tab is Not Required","Undetermined"))</f>
        <v>This Tab is Not Required</v>
      </c>
      <c r="L1" s="963">
        <v>12</v>
      </c>
      <c r="M1" s="963">
        <v>13</v>
      </c>
      <c r="N1" s="963">
        <v>14</v>
      </c>
      <c r="O1" s="963">
        <v>15</v>
      </c>
      <c r="P1" s="963">
        <v>16</v>
      </c>
      <c r="Q1" s="963">
        <v>17</v>
      </c>
      <c r="R1" s="963"/>
      <c r="S1" s="963">
        <v>18</v>
      </c>
      <c r="T1" s="963">
        <v>19</v>
      </c>
      <c r="U1" s="963">
        <v>20</v>
      </c>
      <c r="V1" s="963">
        <v>21</v>
      </c>
      <c r="W1" s="963">
        <v>22</v>
      </c>
      <c r="X1" s="963">
        <v>23</v>
      </c>
      <c r="Y1" s="963">
        <v>24</v>
      </c>
      <c r="Z1" s="963">
        <v>25</v>
      </c>
      <c r="AA1" s="963">
        <v>26</v>
      </c>
      <c r="AB1" s="963">
        <v>27</v>
      </c>
      <c r="AC1" s="963">
        <v>28</v>
      </c>
      <c r="AD1" s="963">
        <v>29</v>
      </c>
      <c r="AE1" s="963">
        <v>30</v>
      </c>
      <c r="AF1" s="963">
        <v>31</v>
      </c>
      <c r="AG1" s="963">
        <v>32</v>
      </c>
      <c r="AH1" s="963">
        <v>33</v>
      </c>
      <c r="AI1" s="963">
        <v>34</v>
      </c>
      <c r="AJ1" s="963">
        <v>35</v>
      </c>
      <c r="AK1" s="963">
        <v>36</v>
      </c>
      <c r="AL1" s="963">
        <v>37</v>
      </c>
      <c r="AM1" s="963">
        <v>38</v>
      </c>
      <c r="AN1" s="963">
        <v>39</v>
      </c>
      <c r="AO1" s="963">
        <v>40</v>
      </c>
      <c r="AP1" s="963">
        <v>41</v>
      </c>
      <c r="AQ1" s="963">
        <v>42</v>
      </c>
      <c r="AR1" s="963">
        <v>43</v>
      </c>
      <c r="AS1" s="963">
        <v>44</v>
      </c>
      <c r="AT1" s="963">
        <v>45</v>
      </c>
      <c r="AU1" s="963">
        <v>46</v>
      </c>
      <c r="AV1" s="963">
        <v>47</v>
      </c>
      <c r="AW1" s="963">
        <v>48</v>
      </c>
      <c r="AX1" s="963">
        <v>49</v>
      </c>
      <c r="AY1" s="963">
        <v>50</v>
      </c>
    </row>
    <row r="2" spans="1:53" s="14" customFormat="1" ht="18">
      <c r="A2" s="3783" t="s">
        <v>1714</v>
      </c>
      <c r="B2" s="3784"/>
      <c r="C2" s="3787" t="str">
        <f>IF($K$1="Required",
        IF(app_technical_contact &lt;&gt;"",app_technical_contact,""),
    "")</f>
        <v/>
      </c>
      <c r="D2" s="3787"/>
      <c r="E2" s="3787"/>
      <c r="F2" s="3787"/>
      <c r="G2" s="3788"/>
      <c r="H2" s="934"/>
      <c r="I2" s="934"/>
      <c r="J2" s="934"/>
      <c r="K2" s="935"/>
      <c r="L2" s="936"/>
      <c r="M2" s="936"/>
      <c r="N2" s="936"/>
      <c r="O2" s="936"/>
      <c r="P2" s="936"/>
      <c r="Q2" s="936"/>
      <c r="R2" s="936"/>
      <c r="S2" s="936"/>
      <c r="T2" s="936"/>
      <c r="U2" s="936"/>
      <c r="V2" s="936"/>
      <c r="W2" s="936"/>
      <c r="X2" s="936"/>
      <c r="Y2" s="936"/>
      <c r="Z2" s="936"/>
      <c r="AA2" s="936"/>
      <c r="AB2" s="936"/>
      <c r="AC2" s="936"/>
      <c r="AD2" s="936"/>
      <c r="AE2" s="936"/>
      <c r="AF2" s="936"/>
      <c r="AG2" s="936"/>
      <c r="AH2" s="936"/>
      <c r="AI2" s="936"/>
      <c r="AJ2" s="936"/>
      <c r="AK2" s="936"/>
      <c r="AL2" s="936"/>
      <c r="AM2" s="936"/>
      <c r="AN2" s="936"/>
      <c r="AO2" s="936"/>
      <c r="AP2" s="936"/>
      <c r="AQ2" s="936"/>
      <c r="AR2" s="936"/>
      <c r="AS2" s="936"/>
      <c r="AT2" s="936"/>
      <c r="AU2" s="936"/>
      <c r="AV2" s="936"/>
      <c r="AW2" s="936"/>
      <c r="AX2" s="936"/>
      <c r="AY2" s="936"/>
    </row>
    <row r="3" spans="1:53" ht="18">
      <c r="A3" s="3785" t="s">
        <v>1715</v>
      </c>
      <c r="B3" s="3786"/>
      <c r="C3" s="3789" t="str">
        <f>IF($K$1="Required",
        IF(app_support_team &lt;&gt;"",app_support_team,""),
    "")</f>
        <v/>
      </c>
      <c r="D3" s="3789"/>
      <c r="E3" s="3789"/>
      <c r="F3" s="3789"/>
      <c r="G3" s="3790"/>
      <c r="H3" s="934"/>
      <c r="I3" s="934"/>
      <c r="J3" s="934"/>
      <c r="K3" s="935"/>
      <c r="L3" s="936"/>
      <c r="M3" s="936"/>
      <c r="N3" s="936"/>
      <c r="O3" s="936"/>
      <c r="P3" s="936"/>
      <c r="Q3" s="936"/>
      <c r="R3" s="936"/>
      <c r="S3" s="936"/>
      <c r="T3" s="936"/>
      <c r="U3" s="936"/>
      <c r="V3" s="936"/>
      <c r="W3" s="936"/>
      <c r="X3" s="936"/>
      <c r="Y3" s="936"/>
      <c r="Z3" s="936"/>
      <c r="AA3" s="936"/>
      <c r="AB3" s="936"/>
      <c r="AC3" s="936"/>
      <c r="AD3" s="936"/>
      <c r="AE3" s="936"/>
      <c r="AF3" s="936"/>
      <c r="AG3" s="936"/>
      <c r="AH3" s="936"/>
      <c r="AI3" s="936"/>
      <c r="AJ3" s="936"/>
      <c r="AK3" s="936"/>
      <c r="AL3" s="936"/>
      <c r="AM3" s="936"/>
      <c r="AN3" s="936"/>
      <c r="AO3" s="936"/>
      <c r="AP3" s="936"/>
      <c r="AQ3" s="936"/>
      <c r="AR3" s="936"/>
      <c r="AS3" s="936"/>
      <c r="AT3" s="936"/>
      <c r="AU3" s="936"/>
      <c r="AV3" s="936"/>
      <c r="AW3" s="936"/>
      <c r="AX3" s="936"/>
      <c r="AY3" s="936"/>
      <c r="BA3" s="354"/>
    </row>
    <row r="4" spans="1:53" s="931" customFormat="1" ht="18">
      <c r="A4" s="3785" t="s">
        <v>2664</v>
      </c>
      <c r="B4" s="3786"/>
      <c r="C4" s="3791" t="str">
        <f>IF($K$1="Required",
        IF(app_support_team_email&lt;&gt;"",app_support_team_email,""),
    "")</f>
        <v/>
      </c>
      <c r="D4" s="3792"/>
      <c r="E4" s="3792"/>
      <c r="F4" s="3792"/>
      <c r="G4" s="3793"/>
      <c r="H4" s="934"/>
      <c r="I4" s="934"/>
      <c r="J4" s="934"/>
      <c r="K4" s="935"/>
      <c r="L4" s="936"/>
      <c r="M4" s="936"/>
      <c r="N4" s="936"/>
      <c r="O4" s="936"/>
      <c r="P4" s="936"/>
      <c r="Q4" s="936"/>
      <c r="R4" s="936"/>
      <c r="S4" s="936"/>
      <c r="T4" s="936"/>
      <c r="U4" s="936"/>
      <c r="V4" s="936"/>
      <c r="W4" s="936"/>
      <c r="X4" s="936"/>
      <c r="Y4" s="936"/>
      <c r="Z4" s="936"/>
      <c r="AA4" s="936"/>
      <c r="AB4" s="936"/>
      <c r="AC4" s="936"/>
      <c r="AD4" s="936"/>
      <c r="AE4" s="936"/>
      <c r="AF4" s="936"/>
      <c r="AG4" s="936"/>
      <c r="AH4" s="936"/>
      <c r="AI4" s="936"/>
      <c r="AJ4" s="936"/>
      <c r="AK4" s="936"/>
      <c r="AL4" s="936"/>
      <c r="AM4" s="936"/>
      <c r="AN4" s="936"/>
      <c r="AO4" s="936"/>
      <c r="AP4" s="936"/>
      <c r="AQ4" s="936"/>
      <c r="AR4" s="936"/>
      <c r="AS4" s="936"/>
      <c r="AT4" s="936"/>
      <c r="AU4" s="936"/>
      <c r="AV4" s="936"/>
      <c r="AW4" s="936"/>
      <c r="AX4" s="936"/>
      <c r="AY4" s="936"/>
    </row>
    <row r="5" spans="1:53" ht="18.75" thickBot="1">
      <c r="A5" s="3785" t="s">
        <v>1716</v>
      </c>
      <c r="B5" s="3786"/>
      <c r="C5" s="3789" t="str">
        <f>IF($K$1="Required",
        IF(app_support_team_email&lt;&gt;"",app_support_team_email,""),
    "")</f>
        <v/>
      </c>
      <c r="D5" s="3789"/>
      <c r="E5" s="3789"/>
      <c r="F5" s="3789"/>
      <c r="G5" s="3790"/>
      <c r="H5" s="934"/>
      <c r="I5" s="934"/>
      <c r="J5" s="934"/>
      <c r="K5" s="935"/>
      <c r="L5" s="936"/>
      <c r="M5" s="936"/>
      <c r="N5" s="936"/>
      <c r="O5" s="936"/>
      <c r="P5" s="936"/>
      <c r="Q5" s="936"/>
      <c r="R5" s="936"/>
      <c r="S5" s="936"/>
      <c r="T5" s="936"/>
      <c r="U5" s="936"/>
      <c r="V5" s="936"/>
      <c r="W5" s="936"/>
      <c r="X5" s="936"/>
      <c r="Y5" s="936"/>
      <c r="Z5" s="936"/>
      <c r="AA5" s="936"/>
      <c r="AB5" s="936"/>
      <c r="AC5" s="936"/>
      <c r="AD5" s="936"/>
      <c r="AE5" s="936"/>
      <c r="AF5" s="936"/>
      <c r="AG5" s="936"/>
      <c r="AH5" s="936"/>
      <c r="AI5" s="936"/>
      <c r="AJ5" s="936"/>
      <c r="AK5" s="936"/>
      <c r="AL5" s="936"/>
      <c r="AM5" s="936"/>
      <c r="AN5" s="936"/>
      <c r="AO5" s="936"/>
      <c r="AP5" s="936"/>
      <c r="AQ5" s="936"/>
      <c r="AR5" s="936"/>
      <c r="AS5" s="936"/>
      <c r="AT5" s="936"/>
      <c r="AU5" s="936"/>
      <c r="AV5" s="936"/>
      <c r="AW5" s="936"/>
      <c r="AX5" s="936"/>
      <c r="AY5" s="936"/>
    </row>
    <row r="6" spans="1:53" s="931" customFormat="1" ht="26.25" hidden="1" customHeight="1" thickBot="1">
      <c r="A6" s="3796" t="s">
        <v>2666</v>
      </c>
      <c r="B6" s="3797"/>
      <c r="C6" s="3794" t="str">
        <f>IF($K$1="Required",
IF('Project Details'!#REF!="Yes","Standard Maintenance Window",'Project Details'!#REF!),"")</f>
        <v/>
      </c>
      <c r="D6" s="3794"/>
      <c r="E6" s="3794"/>
      <c r="F6" s="3794"/>
      <c r="G6" s="3795"/>
      <c r="H6" s="934"/>
      <c r="I6" s="934"/>
      <c r="J6" s="934"/>
      <c r="K6" s="935"/>
      <c r="L6" s="936"/>
      <c r="M6" s="936"/>
      <c r="N6" s="936"/>
      <c r="O6" s="936"/>
      <c r="P6" s="936"/>
      <c r="Q6" s="936"/>
      <c r="R6" s="936"/>
      <c r="S6" s="936"/>
      <c r="T6" s="936"/>
      <c r="U6" s="936"/>
      <c r="V6" s="936"/>
      <c r="W6" s="936"/>
      <c r="X6" s="936"/>
      <c r="Y6" s="936"/>
      <c r="Z6" s="936"/>
      <c r="AA6" s="936"/>
      <c r="AB6" s="936"/>
      <c r="AC6" s="936"/>
      <c r="AD6" s="936"/>
      <c r="AE6" s="936"/>
      <c r="AF6" s="936"/>
      <c r="AG6" s="936"/>
      <c r="AH6" s="936"/>
      <c r="AI6" s="936"/>
      <c r="AJ6" s="936"/>
      <c r="AK6" s="936"/>
      <c r="AL6" s="936"/>
      <c r="AM6" s="936"/>
      <c r="AN6" s="936"/>
      <c r="AO6" s="936"/>
      <c r="AP6" s="936"/>
      <c r="AQ6" s="936"/>
      <c r="AR6" s="936"/>
      <c r="AS6" s="936"/>
      <c r="AT6" s="936"/>
      <c r="AU6" s="936"/>
      <c r="AV6" s="3801" t="e">
        <f>IF(dr_Level&lt;&gt;"",
       IF(COUNTIF('Distributed Assets'!$C$4:$C$19,"Prod 2.0")&gt;0,"DR Tier:  "&amp; dr_Level &amp; "   " &amp; dr_level_summary,"LBoM does not contain Prod Environment"),
  "")</f>
        <v>#N/A</v>
      </c>
      <c r="AW6" s="3802"/>
      <c r="AX6" s="3803"/>
      <c r="AY6" s="936"/>
    </row>
    <row r="7" spans="1:53" ht="13.5" customHeight="1" thickBot="1">
      <c r="A7" s="1049" t="s">
        <v>2567</v>
      </c>
      <c r="B7" s="3804" t="s">
        <v>2628</v>
      </c>
      <c r="C7" s="3805"/>
      <c r="D7" s="3805"/>
      <c r="E7" s="3805"/>
      <c r="F7" s="3805"/>
      <c r="G7" s="3805"/>
      <c r="H7" s="3805"/>
      <c r="I7" s="3805"/>
      <c r="J7" s="3806"/>
      <c r="K7" s="3804" t="s">
        <v>2629</v>
      </c>
      <c r="L7" s="3805"/>
      <c r="M7" s="3805"/>
      <c r="N7" s="3805"/>
      <c r="O7" s="3805"/>
      <c r="P7" s="3805"/>
      <c r="Q7" s="3806"/>
      <c r="R7" s="2305"/>
      <c r="S7" s="3804" t="s">
        <v>2629</v>
      </c>
      <c r="T7" s="3805"/>
      <c r="U7" s="3805"/>
      <c r="V7" s="3805"/>
      <c r="W7" s="3805"/>
      <c r="X7" s="3805"/>
      <c r="Y7" s="3805"/>
      <c r="Z7" s="3805"/>
      <c r="AA7" s="3805"/>
      <c r="AB7" s="3806"/>
      <c r="AC7" s="3804" t="s">
        <v>2629</v>
      </c>
      <c r="AD7" s="3805"/>
      <c r="AE7" s="3805"/>
      <c r="AF7" s="3805"/>
      <c r="AG7" s="3805"/>
      <c r="AH7" s="3805"/>
      <c r="AI7" s="3805"/>
      <c r="AJ7" s="3805"/>
      <c r="AK7" s="3805"/>
      <c r="AL7" s="3806"/>
      <c r="AM7" s="3804" t="s">
        <v>2629</v>
      </c>
      <c r="AN7" s="3805"/>
      <c r="AO7" s="3805"/>
      <c r="AP7" s="3805"/>
      <c r="AQ7" s="3805"/>
      <c r="AR7" s="3805"/>
      <c r="AS7" s="3805"/>
      <c r="AT7" s="3806"/>
      <c r="AU7" s="1050"/>
      <c r="AV7" s="3798" t="s">
        <v>2958</v>
      </c>
      <c r="AW7" s="3799"/>
      <c r="AX7" s="3800"/>
      <c r="AY7" s="936"/>
    </row>
    <row r="8" spans="1:53" ht="42.75" thickBot="1">
      <c r="A8" s="1058" t="s">
        <v>2395</v>
      </c>
      <c r="B8" s="918" t="s">
        <v>11</v>
      </c>
      <c r="C8" s="1059" t="s">
        <v>2555</v>
      </c>
      <c r="D8" s="918" t="s">
        <v>2557</v>
      </c>
      <c r="E8" s="919" t="s">
        <v>2556</v>
      </c>
      <c r="F8" s="918" t="s">
        <v>2558</v>
      </c>
      <c r="G8" s="922" t="s">
        <v>62</v>
      </c>
      <c r="H8" s="922" t="s">
        <v>2621</v>
      </c>
      <c r="I8" s="923" t="s">
        <v>703</v>
      </c>
      <c r="J8" s="928" t="s">
        <v>430</v>
      </c>
      <c r="K8" s="924" t="s">
        <v>131</v>
      </c>
      <c r="L8" s="1060" t="s">
        <v>2540</v>
      </c>
      <c r="M8" s="916" t="s">
        <v>19</v>
      </c>
      <c r="N8" s="916" t="s">
        <v>2541</v>
      </c>
      <c r="O8" s="916" t="s">
        <v>2542</v>
      </c>
      <c r="P8" s="916" t="s">
        <v>2543</v>
      </c>
      <c r="Q8" s="916" t="s">
        <v>2544</v>
      </c>
      <c r="R8" s="2360" t="s">
        <v>3836</v>
      </c>
      <c r="S8" s="917" t="s">
        <v>2446</v>
      </c>
      <c r="T8" s="1061" t="s">
        <v>2545</v>
      </c>
      <c r="U8" s="1061" t="s">
        <v>2546</v>
      </c>
      <c r="V8" s="917" t="s">
        <v>2620</v>
      </c>
      <c r="W8" s="916" t="s">
        <v>35</v>
      </c>
      <c r="X8" s="916" t="s">
        <v>2547</v>
      </c>
      <c r="Y8" s="1063" t="s">
        <v>2548</v>
      </c>
      <c r="Z8" s="1064" t="s">
        <v>379</v>
      </c>
      <c r="AA8" s="1062" t="s">
        <v>2549</v>
      </c>
      <c r="AB8" s="1062" t="s">
        <v>2550</v>
      </c>
      <c r="AC8" s="1062" t="s">
        <v>2551</v>
      </c>
      <c r="AD8" s="879" t="s">
        <v>5024</v>
      </c>
      <c r="AE8" s="879" t="s">
        <v>3451</v>
      </c>
      <c r="AF8" s="1065" t="s">
        <v>2552</v>
      </c>
      <c r="AG8" s="1065" t="s">
        <v>2553</v>
      </c>
      <c r="AH8" s="1063" t="s">
        <v>2959</v>
      </c>
      <c r="AI8" s="1063" t="s">
        <v>48</v>
      </c>
      <c r="AJ8" s="1063" t="s">
        <v>2554</v>
      </c>
      <c r="AK8" s="1066" t="s">
        <v>2737</v>
      </c>
      <c r="AL8" s="879"/>
      <c r="AM8" s="926"/>
      <c r="AN8" s="879" t="s">
        <v>2572</v>
      </c>
      <c r="AO8" s="879" t="s">
        <v>2573</v>
      </c>
      <c r="AP8" s="879" t="s">
        <v>2574</v>
      </c>
      <c r="AQ8" s="879" t="s">
        <v>2575</v>
      </c>
      <c r="AR8" s="879" t="s">
        <v>2576</v>
      </c>
      <c r="AS8" s="879" t="s">
        <v>2577</v>
      </c>
      <c r="AT8" s="879" t="s">
        <v>2578</v>
      </c>
      <c r="AU8" s="879" t="s">
        <v>2579</v>
      </c>
      <c r="AV8" s="1043" t="str">
        <f>"DR Tier:  "&amp;
dr_Level&amp;
"                                   Symantec Image:"</f>
        <v>DR Tier:  l                                   Symantec Image:</v>
      </c>
      <c r="AW8" s="300" t="str">
        <f>"DR Tier:  "&amp;
'Project Details'!$C$23&amp;
 "                                                         Special Instructions:"</f>
        <v>DR Tier:  l                                                         Special Instructions:</v>
      </c>
      <c r="AX8" s="317" t="str">
        <f>"DR Tier:  "&amp;
'Project Details'!$C$23&amp;
 "                                         Additional Instructions:"</f>
        <v>DR Tier:  l                                         Additional Instructions:</v>
      </c>
      <c r="AY8" s="1529" t="s">
        <v>3335</v>
      </c>
    </row>
    <row r="9" spans="1:53">
      <c r="A9" s="1071"/>
      <c r="B9" s="913" t="str">
        <f>IF($A9&lt;&gt;"",VLOOKUP(VLOOKUP($C9,dist_assets,2,FALSE),'Distributed Assets'!$C$7:$F$22,4,FALSE),"")</f>
        <v/>
      </c>
      <c r="C9" s="1051" t="str">
        <f>IF($A9&lt;&gt;"",VLOOKUP($A9,IP!$A$4:O$93,2,FALSE),"")</f>
        <v/>
      </c>
      <c r="D9" s="913" t="str">
        <f t="shared" ref="D9:D48" si="0">IF($C9&lt;&gt;"",VLOOKUP($C9,dist_assets,9,FALSE),"")</f>
        <v/>
      </c>
      <c r="E9" s="913" t="str">
        <f t="shared" ref="E9:E48" si="1">IF($C9&lt;&gt;"",VLOOKUP($C9,dist_assets,3,FALSE),"")</f>
        <v/>
      </c>
      <c r="F9" s="913" t="str">
        <f t="shared" ref="F9:F48" si="2">IF($C9&lt;&gt;"",VLOOKUP($C9,dist_assets,10,FALSE),"")</f>
        <v/>
      </c>
      <c r="G9" s="913" t="str">
        <f t="shared" ref="G9:G48" si="3">IF($C9&lt;&gt;"",VLOOKUP($C9,dist_assets,8,FALSE),"")</f>
        <v/>
      </c>
      <c r="H9" s="2379" t="str">
        <f t="shared" ref="H9:H48" si="4">IF($A9&lt;&gt;"",VLOOKUP($C9, dist_assets, 5, FALSE),"")</f>
        <v/>
      </c>
      <c r="I9" s="913" t="str">
        <f>IF($C9&lt;&gt;"",
IF(LEFT(VLOOKUP($C9,dist_assets,16,FALSE),6)="Active",
     VLOOKUP($C9,'Distributed Assets'!$B$28:$AS$102,16,FALSE),"No"),"")</f>
        <v/>
      </c>
      <c r="J9" s="1522" t="str">
        <f>IF($A9&lt;&gt;"",VLOOKUP($A9,IP!$A$4:$U$167,8,FALSE),"")</f>
        <v/>
      </c>
      <c r="K9" s="1522" t="str">
        <f>IF($A9&lt;&gt;"",VLOOKUP($A9,IP!$A$4:$U$167,16,FALSE),"")</f>
        <v/>
      </c>
      <c r="L9" s="1052" t="str">
        <f>IF($A9&lt;&gt;"",
                         (VLOOKUP($A9,IP!$A$4:$N$153,11,FALSE)),
        "")</f>
        <v/>
      </c>
      <c r="M9" s="815" t="str">
        <f>IF($A9&lt;&gt;"",VLOOKUP($A9,IP!$A$4:$U$167,14,FALSE),"")</f>
        <v/>
      </c>
      <c r="N9" s="1052" t="str">
        <f>IF($A9&lt;&gt;"",VLOOKUP($A9,IP!$A$4:$U$167,9,FALSE),"")</f>
        <v/>
      </c>
      <c r="O9" s="1052" t="str">
        <f>IF($A9&lt;&gt;"",VLOOKUP($A9,IP!$A$4:$U$167,10,FALSE),"")</f>
        <v/>
      </c>
      <c r="P9" s="818" t="str">
        <f>IF($A9&lt;&gt;"",
IF(AND($B9="Prod 2.0",LEFT($H9,3)="POD"),"10.222.16.43",
IF($B9="Prod 2.0","10.136.36.40",
IF($B9="Prod F.W.","10.70.36.33",
IF($B9="Alt Prod","10.137.60.33",
IF(AND($B9="Test 2.0",LEFT($H9,3)="POD"),"10.25.32.43",
IF($B9="Test 2.0","10.134.56.33",
IF(AND($B9="Dev",LEFT($H9,3)="POD"),"10.25.32.43",
IF($B9="Dev","10.130.132.109","N/A")))))))),
"")</f>
        <v/>
      </c>
      <c r="Q9" s="818" t="str">
        <f>IF($A9&lt;&gt;"",
IF(AND($B9="Prod 2.0",LEFT($H9,3)="POD"),"10.222.16.44",
IF($B9="Prod 2.0","10.136.36.41",
IF($B9="Prod F.W.","10.70.36.34",
IF($B9="Alt Prod","10.137.60.34",
IF(AND($B9="Test 2.0",LEFT($H9,3)="POD"),"10.25.32.44",
IF($B9="Test 2.0","10.134.56.34",
IF(AND($B9="Dev",LEFT($H9,3)="POD"),"10.25.32.44",
IF($B9="Dev","10.130.132.108","N/A")))))))),
"")</f>
        <v/>
      </c>
      <c r="R9" s="818" t="str">
        <f t="shared" ref="R9:R17" si="5">IF($A9&lt;&gt;"",IF(OR(LEFT($G9,7)="Process",LEFT($G9,4)="Data"),"OK","unknown"),"")</f>
        <v/>
      </c>
      <c r="S9" s="817" t="str">
        <f t="shared" ref="S9:S48" si="6">IF($A9&lt;&gt;"",VLOOKUP($C9,dist_assets,34,FALSE),"")</f>
        <v/>
      </c>
      <c r="T9" s="1053" t="str">
        <f>IF(AND($C9&lt;&gt;"",$F9="Virtual",$J9="Application Interface"),"","")</f>
        <v/>
      </c>
      <c r="U9" s="1053" t="str">
        <f t="shared" ref="U9:U48" si="7">IF(AND($C9&lt;&gt;"",$F9="Virtual",$J9="Application Interface"),"","")</f>
        <v/>
      </c>
      <c r="V9" s="817" t="str">
        <f t="shared" ref="V9:V48" si="8">IF($C9&lt;&gt;"",VLOOKUP($C9,dist_assets,35,FALSE),"")</f>
        <v/>
      </c>
      <c r="W9" s="1054" t="str">
        <f t="shared" ref="W9:W48" si="9">IF($A9&lt;&gt;"",LEFT($N9,SEARCH("/",$N9)-3),"")</f>
        <v/>
      </c>
      <c r="X9" s="1525" t="str">
        <f t="shared" ref="X9:X48" si="10">IF(AND($A9&lt;&gt;"",$F9="virtual"),VLOOKUP($C9,dist_assets,38,FALSE),"")</f>
        <v/>
      </c>
      <c r="Y9" s="1055" t="str">
        <f t="shared" ref="Y9:Y48" si="11">IF($C9&lt;&gt;"",VLOOKUP($C9,dist_assets,11,FALSE),"")</f>
        <v/>
      </c>
      <c r="Z9" s="1055" t="str">
        <f t="shared" ref="Z9:Z48" si="12">IF($C9&lt;&gt;"",VLOOKUP($C9,dist_assets,13,FALSE),"")</f>
        <v/>
      </c>
      <c r="AA9" s="1053"/>
      <c r="AB9" s="2963" t="str">
        <f t="shared" ref="AB9:AB48" si="13">IF(A9&lt;&gt;"",app_id, "")</f>
        <v/>
      </c>
      <c r="AC9" s="1053" t="str">
        <f t="shared" ref="AC9:AC48" si="14">IF(A9&lt;&gt;"",app_shortname, "")</f>
        <v/>
      </c>
      <c r="AD9" s="2594"/>
      <c r="AE9" s="2594"/>
      <c r="AF9" s="1333" t="str">
        <f t="shared" ref="AF9:AF48" si="15">IF($C9&lt;&gt;"",
IF(LEFT(VLOOKUP($C9,dist_assets,23,FALSE),6)="MS IIS","Yes","No"),"")</f>
        <v/>
      </c>
      <c r="AG9" s="1333"/>
      <c r="AH9" s="874" t="str">
        <f t="shared" ref="AH9:AH48" si="16">IF($A9&lt;&gt;"",
           IF(VLOOKUP($C9,dist_assets,24,FALSE)&lt;&gt;"", VLOOKUP($C9,dist_assets,24,FALSE),"No"),"")</f>
        <v/>
      </c>
      <c r="AI9" s="1055" t="str">
        <f t="shared" ref="AI9:AI48" si="17">IF($C9&lt;&gt;"",VLOOKUP($C9,dist_assets,14,FALSE),"")</f>
        <v/>
      </c>
      <c r="AJ9" s="1055" t="str">
        <f>IF($C48&lt;&gt;"",VLOOKUP($C48,'Distributed Assets'!$B$28:$AS$102,16,FALSE),"")</f>
        <v/>
      </c>
      <c r="AK9" s="1527"/>
      <c r="AL9" s="925"/>
      <c r="AM9" s="1056"/>
      <c r="AN9" s="817" t="str">
        <f>IF($A9&lt;&gt;"",
       IF($F9="Physical", VLOOKUP($A9,#REF!,8,FALSE),"N/A"),
   "")</f>
        <v/>
      </c>
      <c r="AO9" s="818" t="str">
        <f t="array" ref="AO9">IFERROR(INDEX(IP!$N$4:$N$153,MATCH($C9,IF(IP!$H$4:$H$153="iLO Interface",IP!$B$4:$B$153),0)),"")</f>
        <v/>
      </c>
      <c r="AP9" s="818" t="str">
        <f t="array" ref="AP9">IFERROR(INDEX(IP!$I$4:$I$153,MATCH($C9,IF(IP!$H$4:$H$153="iLO Interface",IP!$B$4:$B$153),0)),"")</f>
        <v/>
      </c>
      <c r="AQ9" s="818" t="str">
        <f t="array" ref="AQ9">IFERROR(INDEX(IP!$J$4:$J$153,MATCH($C9,IF(IP!$H$4:$H$153="iLO Interface",IP!$B$4:$B$153),0)),"")</f>
        <v/>
      </c>
      <c r="AR9" s="1057"/>
      <c r="AS9" s="818" t="str">
        <f>IF($AR9&lt;&gt;"",
        VLOOKUP($AR9,IP!$D$4:$N$153,11,FALSE),"")</f>
        <v/>
      </c>
      <c r="AT9" s="1057"/>
      <c r="AU9" s="818" t="str">
        <f>IF($AT9&lt;&gt;"",
        VLOOKUP($AT9,IP!$D$4:$N$153,11,FALSE),"")</f>
        <v/>
      </c>
      <c r="AV9" s="818" t="str">
        <f t="shared" ref="AV9:AV48" si="18">IF(AND($A9&lt;&gt;"",OR($B9="Physical",$B9="blade")),"Ghost images replicated",
IF($A9&lt;&gt;"","SRM recoverable",""))</f>
        <v/>
      </c>
      <c r="AW9" s="1048" t="str">
        <f t="shared" ref="AW9" si="19">IF(A9&lt;&gt;"",
IF(AND(OR(dr_Level=1,dr_Level=2),$B9="Prod 2.0",$AH9="Yes"),"Hardware Provisioned, Global Mirror (No Zena)",
IF(AND(OR(dr_Level=1,dr_Level=2),OR($F9&lt;&gt;"Virtual"),$B9="Prod 2.0"),"Hardware Provisioned, Global Mirror + Zena",
IF(AND(OR(dr_Level=1,dr_Level=2,dr_Level=3,dr_Level=4),$B9="Prod 2.0",OR($F9="Virtual")),"Replicated LUN+SRM Recovery Plan",
""))),"")</f>
        <v/>
      </c>
      <c r="AX9" s="1025" t="str">
        <f t="shared" ref="AX9:AX48" si="20">IF($L9&lt;&gt;"",
IF(AND(($B9="Prod 2.0"),OR($F9="Physical",$F9="Blade")),
IF(AND(dr_Level=3),"Needs HW provisioned, no data replication",
IF(OR(dr_Level=4),"Drop ship server, bill against drop ship contract","N/A")),""),"")</f>
        <v/>
      </c>
      <c r="AY9" s="1528" t="str">
        <f>IF($C9&lt;&gt;"",
       IF(VLOOKUP($C9,dist_assets,41,FALSE)&lt;&gt;"",VLOOKUP($C9,dist_assets,41,FALSE),""),"")</f>
        <v/>
      </c>
    </row>
    <row r="10" spans="1:53">
      <c r="A10" s="1071"/>
      <c r="B10" s="913" t="str">
        <f>IF($A10&lt;&gt;"",VLOOKUP(VLOOKUP($C10,dist_assets,2,FALSE),'Distributed Assets'!$C$7:$F$22,4,FALSE),"")</f>
        <v/>
      </c>
      <c r="C10" s="1051" t="str">
        <f>IF($A10&lt;&gt;"",VLOOKUP($A10,IP!$A$4:O$93,2,FALSE),"")</f>
        <v/>
      </c>
      <c r="D10" s="913" t="str">
        <f t="shared" si="0"/>
        <v/>
      </c>
      <c r="E10" s="913" t="str">
        <f t="shared" si="1"/>
        <v/>
      </c>
      <c r="F10" s="913" t="str">
        <f t="shared" si="2"/>
        <v/>
      </c>
      <c r="G10" s="913" t="str">
        <f t="shared" si="3"/>
        <v/>
      </c>
      <c r="H10" s="2379" t="str">
        <f t="shared" si="4"/>
        <v/>
      </c>
      <c r="I10" s="913" t="str">
        <f>IF($C10&lt;&gt;"",
IF(LEFT(VLOOKUP($C10,dist_assets,16,FALSE),6)="Active",
     VLOOKUP($C10,'Distributed Assets'!$B$28:$AS$102,16,FALSE),"No"),"")</f>
        <v/>
      </c>
      <c r="J10" s="913" t="str">
        <f>IF($A10&lt;&gt;"",VLOOKUP($A10,IP!$A$4:$U$167,8,FALSE),"")</f>
        <v/>
      </c>
      <c r="K10" s="913" t="str">
        <f>IF($A10&lt;&gt;"",VLOOKUP($A10,IP!$A$4:$U$167,16,FALSE),"")</f>
        <v/>
      </c>
      <c r="L10" s="1052" t="str">
        <f>IF($A10&lt;&gt;"",
                         (VLOOKUP($A10,IP!$A$4:$N$153,11,FALSE)),
        "")</f>
        <v/>
      </c>
      <c r="M10" s="815" t="str">
        <f>IF($A10&lt;&gt;"",VLOOKUP($A10,IP!$A$4:$U$167,14,FALSE),"")</f>
        <v/>
      </c>
      <c r="N10" s="1052" t="str">
        <f>IF($A10&lt;&gt;"",VLOOKUP($A10,IP!$A$4:$U$167,9,FALSE),"")</f>
        <v/>
      </c>
      <c r="O10" s="1052" t="str">
        <f>IF($A10&lt;&gt;"",VLOOKUP($A10,IP!$A$4:$U$167,10,FALSE),"")</f>
        <v/>
      </c>
      <c r="P10" s="2047" t="str">
        <f t="shared" ref="P10:P48" si="21">IF($A10&lt;&gt;"",
IF(AND($B10="Prod 2.0",LEFT($H10,3)="POD"),"10.222.16.43",
IF($B10="Prod 2.0","10.136.36.40",
IF($B10="Prod F.W.","10.70.36.33",
IF($B10="Alt Prod","10.137.60.33",
IF(AND($B10="Test 2.0",LEFT($H10,3)="POD"),"10.25.32.43",
IF($B10="Test 2.0","10.134.56.33",
IF(AND($B10="Dev",LEFT($H10,3)="POD"),"10.25.32.43",
IF($B10="Dev","10.130.132.109","N/A")))))))),
"")</f>
        <v/>
      </c>
      <c r="Q10" s="2047" t="str">
        <f t="shared" ref="Q10:Q48" si="22">IF($A10&lt;&gt;"",
IF(AND($B10="Prod 2.0",LEFT($H10,3)="POD"),"10.222.16.44",
IF($B10="Prod 2.0","10.136.36.41",
IF($B10="Prod F.W.","10.70.36.34",
IF($B10="Alt Prod","10.137.60.34",
IF(AND($B10="Test 2.0",LEFT($H10,3)="POD"),"10.25.32.44",
IF($B10="Test 2.0","10.134.56.34",
IF(AND($B10="Dev",LEFT($H10,3)="POD"),"10.25.32.44",
IF($B10="Dev","10.130.132.108","N/A")))))))),
"")</f>
        <v/>
      </c>
      <c r="R10" s="818" t="str">
        <f t="shared" si="5"/>
        <v/>
      </c>
      <c r="S10" s="817" t="str">
        <f t="shared" si="6"/>
        <v/>
      </c>
      <c r="T10" s="1053" t="str">
        <f t="shared" ref="T10:T48" si="23">IF(AND($C10&lt;&gt;"",$F10="Virtual",$J10="Application Interface"),"","")</f>
        <v/>
      </c>
      <c r="U10" s="1053" t="str">
        <f t="shared" si="7"/>
        <v/>
      </c>
      <c r="V10" s="817" t="str">
        <f t="shared" si="8"/>
        <v/>
      </c>
      <c r="W10" s="1054" t="str">
        <f t="shared" si="9"/>
        <v/>
      </c>
      <c r="X10" s="1525" t="str">
        <f t="shared" si="10"/>
        <v/>
      </c>
      <c r="Y10" s="1055" t="str">
        <f t="shared" si="11"/>
        <v/>
      </c>
      <c r="Z10" s="1055" t="str">
        <f t="shared" si="12"/>
        <v/>
      </c>
      <c r="AA10" s="1053"/>
      <c r="AB10" s="1053" t="str">
        <f t="shared" si="13"/>
        <v/>
      </c>
      <c r="AC10" s="2965" t="str">
        <f t="shared" si="14"/>
        <v/>
      </c>
      <c r="AD10" s="1586"/>
      <c r="AE10" s="1586"/>
      <c r="AF10" s="1333" t="str">
        <f t="shared" si="15"/>
        <v/>
      </c>
      <c r="AG10" s="1333"/>
      <c r="AH10" s="874" t="str">
        <f t="shared" si="16"/>
        <v/>
      </c>
      <c r="AI10" s="1055" t="str">
        <f t="shared" si="17"/>
        <v/>
      </c>
      <c r="AJ10" s="1055" t="str">
        <f>IF($C49&lt;&gt;"",VLOOKUP($C49,'Distributed Assets'!$B$28:$AS$102,16,FALSE),"")</f>
        <v/>
      </c>
      <c r="AK10" s="1527"/>
      <c r="AL10" s="925"/>
      <c r="AM10" s="1056"/>
      <c r="AN10" s="817" t="str">
        <f>IF($A10&lt;&gt;"",
       IF($F10="Physical", VLOOKUP($A10,#REF!,8,FALSE),"N/A"),
   "")</f>
        <v/>
      </c>
      <c r="AO10" s="818" t="str">
        <f t="array" ref="AO10">IFERROR(INDEX(IP!$N$4:$N$153,MATCH($C10,IF(IP!$H$4:$H$153="iLO Interface",IP!$B$4:$B$153),0)),"")</f>
        <v/>
      </c>
      <c r="AP10" s="818" t="str">
        <f t="array" ref="AP10">IFERROR(INDEX(IP!$I$4:$I$153,MATCH($C10,IF(IP!$H$4:$H$153="iLO Interface",IP!$B$4:$B$153),0)),"")</f>
        <v/>
      </c>
      <c r="AQ10" s="818" t="str">
        <f t="array" ref="AQ10">IFERROR(INDEX(IP!$J$4:$J$153,MATCH($C10,IF(IP!$H$4:$H$153="iLO Interface",IP!$B$4:$B$153),0)),"")</f>
        <v/>
      </c>
      <c r="AR10" s="1057"/>
      <c r="AS10" s="818" t="str">
        <f>IF($AR10&lt;&gt;"",
        VLOOKUP($AR10,IP!$D$4:$N$153,11,FALSE),"")</f>
        <v/>
      </c>
      <c r="AT10" s="1057"/>
      <c r="AU10" s="818" t="str">
        <f>IF($AT10&lt;&gt;"",
        VLOOKUP($AT10,IP!$D$4:$N$153,11,FALSE),"")</f>
        <v/>
      </c>
      <c r="AV10" s="818" t="str">
        <f t="shared" si="18"/>
        <v/>
      </c>
      <c r="AW10" s="1048" t="str">
        <f t="shared" ref="AW10:AW48" si="24">IF(A10&lt;&gt;"",
IF(AND(OR(dr_Level=1,dr_Level=2),$B10="Prod 2.0",$AH10="Yes"),"Hardware Provisioned, Global Mirror (No Zena)",
IF(AND(OR(dr_Level=1,dr_Level=2),OR($F10&lt;&gt;"Virtual"),$B10="Prod 2.0"),"Hardware Provisioned, Global Mirror + Zena",
IF(AND(OR(dr_Level=1,dr_Level=2,dr_Level=3,dr_Level=4),$B10="Prod 2.0",OR($F10="Virtual")),"Replicated LUN+SRM Recovery Plan",
""))),"")</f>
        <v/>
      </c>
      <c r="AX10" s="1025" t="str">
        <f t="shared" si="20"/>
        <v/>
      </c>
      <c r="AY10" s="1528" t="str">
        <f>IF($C10&lt;&gt;"",
       IF(VLOOKUP($C10,dist_assets,41,FALSE)&lt;&gt;"",VLOOKUP($C10,dist_assets,41,FALSE),""),"")</f>
        <v/>
      </c>
    </row>
    <row r="11" spans="1:53">
      <c r="A11" s="1071"/>
      <c r="B11" s="913" t="str">
        <f>IF($A11&lt;&gt;"",VLOOKUP(VLOOKUP($C11,dist_assets,2,FALSE),'Distributed Assets'!$C$7:$F$22,4,FALSE),"")</f>
        <v/>
      </c>
      <c r="C11" s="1051" t="str">
        <f>IF($A11&lt;&gt;"",VLOOKUP($A11,IP!$A$4:O$93,2,FALSE),"")</f>
        <v/>
      </c>
      <c r="D11" s="913" t="str">
        <f t="shared" si="0"/>
        <v/>
      </c>
      <c r="E11" s="913" t="str">
        <f t="shared" si="1"/>
        <v/>
      </c>
      <c r="F11" s="913" t="str">
        <f t="shared" si="2"/>
        <v/>
      </c>
      <c r="G11" s="913" t="str">
        <f t="shared" si="3"/>
        <v/>
      </c>
      <c r="H11" s="2379" t="str">
        <f t="shared" si="4"/>
        <v/>
      </c>
      <c r="I11" s="913" t="str">
        <f>IF($C11&lt;&gt;"",
IF(LEFT(VLOOKUP($C11,dist_assets,16,FALSE),6)="Active",
     VLOOKUP($C11,'Distributed Assets'!$B$28:$AS$102,16,FALSE),"No"),"")</f>
        <v/>
      </c>
      <c r="J11" s="913" t="str">
        <f>IF($A11&lt;&gt;"",VLOOKUP($A11,IP!$A$4:$U$167,8,FALSE),"")</f>
        <v/>
      </c>
      <c r="K11" s="913" t="str">
        <f>IF($A11&lt;&gt;"",VLOOKUP($A11,IP!$A$4:$U$167,16,FALSE),"")</f>
        <v/>
      </c>
      <c r="L11" s="1052" t="str">
        <f>IF($A11&lt;&gt;"",
                         (VLOOKUP($A11,IP!$A$4:$N$153,11,FALSE)),
        "")</f>
        <v/>
      </c>
      <c r="M11" s="815" t="str">
        <f>IF($A11&lt;&gt;"",VLOOKUP($A11,IP!$A$4:$U$167,14,FALSE),"")</f>
        <v/>
      </c>
      <c r="N11" s="1052" t="str">
        <f>IF($A11&lt;&gt;"",VLOOKUP($A11,IP!$A$4:$U$167,9,FALSE),"")</f>
        <v/>
      </c>
      <c r="O11" s="1052" t="str">
        <f>IF($A11&lt;&gt;"",VLOOKUP($A11,IP!$A$4:$U$167,10,FALSE),"")</f>
        <v/>
      </c>
      <c r="P11" s="2047" t="str">
        <f t="shared" si="21"/>
        <v/>
      </c>
      <c r="Q11" s="2047" t="str">
        <f t="shared" si="22"/>
        <v/>
      </c>
      <c r="R11" s="818" t="str">
        <f t="shared" si="5"/>
        <v/>
      </c>
      <c r="S11" s="817" t="str">
        <f t="shared" si="6"/>
        <v/>
      </c>
      <c r="T11" s="1053" t="str">
        <f t="shared" si="23"/>
        <v/>
      </c>
      <c r="U11" s="1053" t="str">
        <f t="shared" si="7"/>
        <v/>
      </c>
      <c r="V11" s="817" t="str">
        <f t="shared" si="8"/>
        <v/>
      </c>
      <c r="W11" s="1054" t="str">
        <f t="shared" si="9"/>
        <v/>
      </c>
      <c r="X11" s="1525" t="str">
        <f t="shared" si="10"/>
        <v/>
      </c>
      <c r="Y11" s="1055" t="str">
        <f t="shared" si="11"/>
        <v/>
      </c>
      <c r="Z11" s="1055" t="str">
        <f t="shared" si="12"/>
        <v/>
      </c>
      <c r="AA11" s="1053"/>
      <c r="AB11" s="1053" t="str">
        <f t="shared" si="13"/>
        <v/>
      </c>
      <c r="AC11" s="2965" t="str">
        <f t="shared" si="14"/>
        <v/>
      </c>
      <c r="AD11" s="1586"/>
      <c r="AE11" s="1586"/>
      <c r="AF11" s="1333" t="str">
        <f t="shared" si="15"/>
        <v/>
      </c>
      <c r="AG11" s="1333"/>
      <c r="AH11" s="874" t="str">
        <f t="shared" si="16"/>
        <v/>
      </c>
      <c r="AI11" s="1055" t="str">
        <f t="shared" si="17"/>
        <v/>
      </c>
      <c r="AJ11" s="1055" t="str">
        <f>IF($C50&lt;&gt;"",VLOOKUP($C50,'Distributed Assets'!$B$28:$AS$102,16,FALSE),"")</f>
        <v/>
      </c>
      <c r="AK11" s="1527"/>
      <c r="AL11" s="925"/>
      <c r="AM11" s="1056"/>
      <c r="AN11" s="817" t="str">
        <f>IF($A11&lt;&gt;"",
       IF($F11="Physical", VLOOKUP($A11,#REF!,8,FALSE),"N/A"),
   "")</f>
        <v/>
      </c>
      <c r="AO11" s="818" t="str">
        <f t="array" ref="AO11">IFERROR(INDEX(IP!$N$4:$N$153,MATCH($C11,IF(IP!$H$4:$H$153="iLO Interface",IP!$B$4:$B$153),0)),"")</f>
        <v/>
      </c>
      <c r="AP11" s="818" t="str">
        <f t="array" ref="AP11">IFERROR(INDEX(IP!$I$4:$I$153,MATCH($C11,IF(IP!$H$4:$H$153="iLO Interface",IP!$B$4:$B$153),0)),"")</f>
        <v/>
      </c>
      <c r="AQ11" s="818" t="str">
        <f t="array" ref="AQ11">IFERROR(INDEX(IP!$J$4:$J$153,MATCH($C11,IF(IP!$H$4:$H$153="iLO Interface",IP!$B$4:$B$153),0)),"")</f>
        <v/>
      </c>
      <c r="AR11" s="1057"/>
      <c r="AS11" s="818" t="str">
        <f>IF($AR11&lt;&gt;"",
        VLOOKUP($AR11,IP!$D$4:$N$153,11,FALSE),"")</f>
        <v/>
      </c>
      <c r="AT11" s="1057"/>
      <c r="AU11" s="818" t="str">
        <f>IF($AT11&lt;&gt;"",
        VLOOKUP($AT11,IP!$D$4:$N$153,11,FALSE),"")</f>
        <v/>
      </c>
      <c r="AV11" s="818" t="str">
        <f t="shared" si="18"/>
        <v/>
      </c>
      <c r="AW11" s="1048" t="str">
        <f t="shared" si="24"/>
        <v/>
      </c>
      <c r="AX11" s="1025" t="str">
        <f t="shared" si="20"/>
        <v/>
      </c>
      <c r="AY11" s="1528" t="str">
        <f t="shared" ref="AY11:AY48" si="25">IF($C11&lt;&gt;"",
       IF(VLOOKUP($C11,dist_assets,41,FALSE)&lt;&gt;"",VLOOKUP($C11,dist_assets,41,FALSE),""),"")</f>
        <v/>
      </c>
    </row>
    <row r="12" spans="1:53">
      <c r="A12" s="1071"/>
      <c r="B12" s="913" t="str">
        <f>IF($A12&lt;&gt;"",VLOOKUP(VLOOKUP($C12,dist_assets,2,FALSE),'Distributed Assets'!$C$7:$F$22,4,FALSE),"")</f>
        <v/>
      </c>
      <c r="C12" s="1051" t="str">
        <f>IF($A12&lt;&gt;"",VLOOKUP($A12,IP!$A$4:O$93,2,FALSE),"")</f>
        <v/>
      </c>
      <c r="D12" s="913" t="str">
        <f t="shared" si="0"/>
        <v/>
      </c>
      <c r="E12" s="913" t="str">
        <f t="shared" si="1"/>
        <v/>
      </c>
      <c r="F12" s="913" t="str">
        <f t="shared" si="2"/>
        <v/>
      </c>
      <c r="G12" s="913" t="str">
        <f t="shared" si="3"/>
        <v/>
      </c>
      <c r="H12" s="2380" t="str">
        <f t="shared" si="4"/>
        <v/>
      </c>
      <c r="I12" s="913" t="str">
        <f>IF($C12&lt;&gt;"",
IF(LEFT(VLOOKUP($C12,dist_assets,16,FALSE),6)="Active",
     VLOOKUP($C12,'Distributed Assets'!$B$28:$AS$102,16,FALSE),"No"),"")</f>
        <v/>
      </c>
      <c r="J12" s="913" t="str">
        <f>IF($A12&lt;&gt;"",VLOOKUP($A12,IP!$A$4:$U$167,8,FALSE),"")</f>
        <v/>
      </c>
      <c r="K12" s="913" t="str">
        <f>IF($A12&lt;&gt;"",VLOOKUP($A12,IP!$A$4:$U$167,16,FALSE),"")</f>
        <v/>
      </c>
      <c r="L12" s="1052" t="str">
        <f>IF($A12&lt;&gt;"",
                         (VLOOKUP($A12,IP!$A$4:$N$153,11,FALSE)),
        "")</f>
        <v/>
      </c>
      <c r="M12" s="815" t="str">
        <f>IF($A12&lt;&gt;"",VLOOKUP($A12,IP!$A$4:$U$167,14,FALSE),"")</f>
        <v/>
      </c>
      <c r="N12" s="1052" t="str">
        <f>IF($A12&lt;&gt;"",VLOOKUP($A12,IP!$A$4:$U$167,9,FALSE),"")</f>
        <v/>
      </c>
      <c r="O12" s="1052" t="str">
        <f>IF($A12&lt;&gt;"",VLOOKUP($A12,IP!$A$4:$U$167,10,FALSE),"")</f>
        <v/>
      </c>
      <c r="P12" s="2047" t="str">
        <f t="shared" si="21"/>
        <v/>
      </c>
      <c r="Q12" s="2047" t="str">
        <f t="shared" si="22"/>
        <v/>
      </c>
      <c r="R12" s="818" t="str">
        <f t="shared" si="5"/>
        <v/>
      </c>
      <c r="S12" s="817" t="str">
        <f t="shared" si="6"/>
        <v/>
      </c>
      <c r="T12" s="1053" t="str">
        <f t="shared" si="23"/>
        <v/>
      </c>
      <c r="U12" s="1053" t="str">
        <f t="shared" si="7"/>
        <v/>
      </c>
      <c r="V12" s="817" t="str">
        <f t="shared" si="8"/>
        <v/>
      </c>
      <c r="W12" s="1054" t="str">
        <f t="shared" si="9"/>
        <v/>
      </c>
      <c r="X12" s="1525" t="str">
        <f t="shared" si="10"/>
        <v/>
      </c>
      <c r="Y12" s="1055" t="str">
        <f t="shared" si="11"/>
        <v/>
      </c>
      <c r="Z12" s="1055" t="str">
        <f t="shared" si="12"/>
        <v/>
      </c>
      <c r="AA12" s="1053"/>
      <c r="AB12" s="1053" t="str">
        <f t="shared" si="13"/>
        <v/>
      </c>
      <c r="AC12" s="2965" t="str">
        <f t="shared" si="14"/>
        <v/>
      </c>
      <c r="AD12" s="1586"/>
      <c r="AE12" s="1586"/>
      <c r="AF12" s="1333" t="str">
        <f t="shared" si="15"/>
        <v/>
      </c>
      <c r="AG12" s="1333"/>
      <c r="AH12" s="874" t="str">
        <f t="shared" si="16"/>
        <v/>
      </c>
      <c r="AI12" s="1055" t="str">
        <f t="shared" si="17"/>
        <v/>
      </c>
      <c r="AJ12" s="1055" t="str">
        <f>IF($C51&lt;&gt;"",VLOOKUP($C51,'Distributed Assets'!$B$28:$AS$102,16,FALSE),"")</f>
        <v/>
      </c>
      <c r="AK12" s="1527"/>
      <c r="AL12" s="925"/>
      <c r="AM12" s="1056"/>
      <c r="AN12" s="817" t="str">
        <f>IF($A12&lt;&gt;"",
       IF($F12="Physical", VLOOKUP($A12,#REF!,8,FALSE),"N/A"),
   "")</f>
        <v/>
      </c>
      <c r="AO12" s="818" t="str">
        <f t="array" ref="AO12">IFERROR(INDEX(IP!$N$4:$N$153,MATCH($C12,IF(IP!$H$4:$H$153="iLO Interface",IP!$B$4:$B$153),0)),"")</f>
        <v/>
      </c>
      <c r="AP12" s="818" t="str">
        <f t="array" ref="AP12">IFERROR(INDEX(IP!$I$4:$I$153,MATCH($C12,IF(IP!$H$4:$H$153="iLO Interface",IP!$B$4:$B$153),0)),"")</f>
        <v/>
      </c>
      <c r="AQ12" s="818" t="str">
        <f t="array" ref="AQ12">IFERROR(INDEX(IP!$J$4:$J$153,MATCH($C12,IF(IP!$H$4:$H$153="iLO Interface",IP!$B$4:$B$153),0)),"")</f>
        <v/>
      </c>
      <c r="AR12" s="1057"/>
      <c r="AS12" s="818" t="str">
        <f>IF($AR12&lt;&gt;"",
        VLOOKUP($AR12,IP!$D$4:$N$153,11,FALSE),"")</f>
        <v/>
      </c>
      <c r="AT12" s="1057"/>
      <c r="AU12" s="818" t="str">
        <f>IF($AT12&lt;&gt;"",
        VLOOKUP($AT12,IP!$D$4:$N$153,11,FALSE),"")</f>
        <v/>
      </c>
      <c r="AV12" s="818" t="str">
        <f t="shared" si="18"/>
        <v/>
      </c>
      <c r="AW12" s="1048" t="str">
        <f t="shared" si="24"/>
        <v/>
      </c>
      <c r="AX12" s="1025" t="str">
        <f t="shared" si="20"/>
        <v/>
      </c>
      <c r="AY12" s="1528" t="str">
        <f t="shared" si="25"/>
        <v/>
      </c>
    </row>
    <row r="13" spans="1:53">
      <c r="A13" s="1071"/>
      <c r="B13" s="913" t="str">
        <f>IF($A13&lt;&gt;"",VLOOKUP(VLOOKUP($C13,dist_assets,2,FALSE),'Distributed Assets'!$C$7:$F$22,4,FALSE),"")</f>
        <v/>
      </c>
      <c r="C13" s="1051" t="str">
        <f>IF($A13&lt;&gt;"",VLOOKUP($A13,IP!$A$4:O$93,2,FALSE),"")</f>
        <v/>
      </c>
      <c r="D13" s="913" t="str">
        <f t="shared" si="0"/>
        <v/>
      </c>
      <c r="E13" s="913" t="str">
        <f t="shared" si="1"/>
        <v/>
      </c>
      <c r="F13" s="913" t="str">
        <f t="shared" si="2"/>
        <v/>
      </c>
      <c r="G13" s="913" t="str">
        <f t="shared" si="3"/>
        <v/>
      </c>
      <c r="H13" s="2380" t="str">
        <f t="shared" si="4"/>
        <v/>
      </c>
      <c r="I13" s="913" t="str">
        <f>IF($C13&lt;&gt;"",
IF(LEFT(VLOOKUP($C13,dist_assets,16,FALSE),6)="Active",
     VLOOKUP($C13,'Distributed Assets'!$B$28:$AS$102,16,FALSE),"No"),"")</f>
        <v/>
      </c>
      <c r="J13" s="913" t="str">
        <f>IF($A13&lt;&gt;"",VLOOKUP($A13,IP!$A$4:$U$167,8,FALSE),"")</f>
        <v/>
      </c>
      <c r="K13" s="913" t="str">
        <f>IF($A13&lt;&gt;"",VLOOKUP($A13,IP!$A$4:$U$167,16,FALSE),"")</f>
        <v/>
      </c>
      <c r="L13" s="1052" t="str">
        <f>IF($A13&lt;&gt;"",
                         (VLOOKUP($A13,IP!$A$4:$N$153,11,FALSE)),
        "")</f>
        <v/>
      </c>
      <c r="M13" s="815" t="str">
        <f>IF($A13&lt;&gt;"",VLOOKUP($A13,IP!$A$4:$U$167,14,FALSE),"")</f>
        <v/>
      </c>
      <c r="N13" s="1052" t="str">
        <f>IF($A13&lt;&gt;"",VLOOKUP($A13,IP!$A$4:$U$167,9,FALSE),"")</f>
        <v/>
      </c>
      <c r="O13" s="1052" t="str">
        <f>IF($A13&lt;&gt;"",VLOOKUP($A13,IP!$A$4:$U$167,10,FALSE),"")</f>
        <v/>
      </c>
      <c r="P13" s="2047" t="str">
        <f t="shared" si="21"/>
        <v/>
      </c>
      <c r="Q13" s="2047" t="str">
        <f t="shared" si="22"/>
        <v/>
      </c>
      <c r="R13" s="818" t="str">
        <f t="shared" si="5"/>
        <v/>
      </c>
      <c r="S13" s="817" t="str">
        <f t="shared" si="6"/>
        <v/>
      </c>
      <c r="T13" s="1053" t="str">
        <f t="shared" si="23"/>
        <v/>
      </c>
      <c r="U13" s="1053" t="str">
        <f t="shared" si="7"/>
        <v/>
      </c>
      <c r="V13" s="817" t="str">
        <f t="shared" si="8"/>
        <v/>
      </c>
      <c r="W13" s="1054" t="str">
        <f t="shared" si="9"/>
        <v/>
      </c>
      <c r="X13" s="1525" t="str">
        <f t="shared" si="10"/>
        <v/>
      </c>
      <c r="Y13" s="1055" t="str">
        <f t="shared" si="11"/>
        <v/>
      </c>
      <c r="Z13" s="1055" t="str">
        <f t="shared" si="12"/>
        <v/>
      </c>
      <c r="AA13" s="1053"/>
      <c r="AB13" s="1053" t="str">
        <f t="shared" si="13"/>
        <v/>
      </c>
      <c r="AC13" s="2965" t="str">
        <f t="shared" si="14"/>
        <v/>
      </c>
      <c r="AD13" s="1586"/>
      <c r="AE13" s="1586"/>
      <c r="AF13" s="1333" t="str">
        <f t="shared" si="15"/>
        <v/>
      </c>
      <c r="AG13" s="1333"/>
      <c r="AH13" s="874" t="str">
        <f t="shared" si="16"/>
        <v/>
      </c>
      <c r="AI13" s="1055" t="str">
        <f t="shared" si="17"/>
        <v/>
      </c>
      <c r="AJ13" s="1055" t="str">
        <f>IF($C52&lt;&gt;"",VLOOKUP($C52,'Distributed Assets'!$B$28:$AS$102,16,FALSE),"")</f>
        <v/>
      </c>
      <c r="AK13" s="1527"/>
      <c r="AL13" s="925"/>
      <c r="AM13" s="1056"/>
      <c r="AN13" s="817" t="str">
        <f>IF($A13&lt;&gt;"",
       IF($F13="Physical", VLOOKUP($A13,#REF!,8,FALSE),"N/A"),
   "")</f>
        <v/>
      </c>
      <c r="AO13" s="818" t="str">
        <f t="array" ref="AO13">IFERROR(INDEX(IP!$N$4:$N$153,MATCH($C13,IF(IP!$H$4:$H$153="iLO Interface",IP!$B$4:$B$153),0)),"")</f>
        <v/>
      </c>
      <c r="AP13" s="818" t="str">
        <f t="array" ref="AP13">IFERROR(INDEX(IP!$I$4:$I$153,MATCH($C13,IF(IP!$H$4:$H$153="iLO Interface",IP!$B$4:$B$153),0)),"")</f>
        <v/>
      </c>
      <c r="AQ13" s="818" t="str">
        <f t="array" ref="AQ13">IFERROR(INDEX(IP!$J$4:$J$153,MATCH($C13,IF(IP!$H$4:$H$153="iLO Interface",IP!$B$4:$B$153),0)),"")</f>
        <v/>
      </c>
      <c r="AR13" s="1057"/>
      <c r="AS13" s="818" t="str">
        <f>IF($AR13&lt;&gt;"",
        VLOOKUP($AR13,IP!$D$4:$N$153,11,FALSE),"")</f>
        <v/>
      </c>
      <c r="AT13" s="1057"/>
      <c r="AU13" s="818" t="str">
        <f>IF($AT13&lt;&gt;"",
        VLOOKUP($AT13,IP!$D$4:$N$153,11,FALSE),"")</f>
        <v/>
      </c>
      <c r="AV13" s="818" t="str">
        <f t="shared" si="18"/>
        <v/>
      </c>
      <c r="AW13" s="1048" t="str">
        <f t="shared" si="24"/>
        <v/>
      </c>
      <c r="AX13" s="1025" t="str">
        <f t="shared" si="20"/>
        <v/>
      </c>
      <c r="AY13" s="1528" t="str">
        <f t="shared" si="25"/>
        <v/>
      </c>
    </row>
    <row r="14" spans="1:53">
      <c r="A14" s="1071"/>
      <c r="B14" s="913" t="str">
        <f>IF($A14&lt;&gt;"",VLOOKUP(VLOOKUP($C14,dist_assets,2,FALSE),'Distributed Assets'!$C$7:$F$22,4,FALSE),"")</f>
        <v/>
      </c>
      <c r="C14" s="1051" t="str">
        <f>IF($A14&lt;&gt;"",VLOOKUP($A14,IP!$A$4:O$93,2,FALSE),"")</f>
        <v/>
      </c>
      <c r="D14" s="913" t="str">
        <f t="shared" si="0"/>
        <v/>
      </c>
      <c r="E14" s="913" t="str">
        <f t="shared" si="1"/>
        <v/>
      </c>
      <c r="F14" s="913" t="str">
        <f t="shared" si="2"/>
        <v/>
      </c>
      <c r="G14" s="913" t="str">
        <f t="shared" si="3"/>
        <v/>
      </c>
      <c r="H14" s="2380" t="str">
        <f t="shared" si="4"/>
        <v/>
      </c>
      <c r="I14" s="913" t="str">
        <f>IF($C14&lt;&gt;"",
IF(LEFT(VLOOKUP($C14,dist_assets,16,FALSE),6)="Active",
     VLOOKUP($C14,'Distributed Assets'!$B$28:$AS$102,16,FALSE),"No"),"")</f>
        <v/>
      </c>
      <c r="J14" s="913" t="str">
        <f>IF($A14&lt;&gt;"",VLOOKUP($A14,IP!$A$4:$U$167,8,FALSE),"")</f>
        <v/>
      </c>
      <c r="K14" s="913" t="str">
        <f>IF($A14&lt;&gt;"",VLOOKUP($A14,IP!$A$4:$U$167,16,FALSE),"")</f>
        <v/>
      </c>
      <c r="L14" s="1052" t="str">
        <f>IF($A14&lt;&gt;"",
                         (VLOOKUP($A14,IP!$A$4:$N$153,11,FALSE)),
        "")</f>
        <v/>
      </c>
      <c r="M14" s="815" t="str">
        <f>IF($A14&lt;&gt;"",VLOOKUP($A14,IP!$A$4:$U$167,14,FALSE),"")</f>
        <v/>
      </c>
      <c r="N14" s="1052" t="str">
        <f>IF($A14&lt;&gt;"",VLOOKUP($A14,IP!$A$4:$U$167,9,FALSE),"")</f>
        <v/>
      </c>
      <c r="O14" s="1052" t="str">
        <f>IF($A14&lt;&gt;"",VLOOKUP($A14,IP!$A$4:$U$167,10,FALSE),"")</f>
        <v/>
      </c>
      <c r="P14" s="2047" t="str">
        <f t="shared" si="21"/>
        <v/>
      </c>
      <c r="Q14" s="2047" t="str">
        <f t="shared" si="22"/>
        <v/>
      </c>
      <c r="R14" s="818" t="str">
        <f t="shared" si="5"/>
        <v/>
      </c>
      <c r="S14" s="817" t="str">
        <f t="shared" si="6"/>
        <v/>
      </c>
      <c r="T14" s="1053" t="str">
        <f t="shared" si="23"/>
        <v/>
      </c>
      <c r="U14" s="1053" t="str">
        <f t="shared" si="7"/>
        <v/>
      </c>
      <c r="V14" s="817" t="str">
        <f t="shared" si="8"/>
        <v/>
      </c>
      <c r="W14" s="1054" t="str">
        <f t="shared" si="9"/>
        <v/>
      </c>
      <c r="X14" s="1525" t="str">
        <f t="shared" si="10"/>
        <v/>
      </c>
      <c r="Y14" s="1055" t="str">
        <f t="shared" si="11"/>
        <v/>
      </c>
      <c r="Z14" s="1055" t="str">
        <f t="shared" si="12"/>
        <v/>
      </c>
      <c r="AA14" s="1053"/>
      <c r="AB14" s="1053" t="str">
        <f t="shared" si="13"/>
        <v/>
      </c>
      <c r="AC14" s="2965" t="str">
        <f t="shared" si="14"/>
        <v/>
      </c>
      <c r="AD14" s="1586"/>
      <c r="AE14" s="1586"/>
      <c r="AF14" s="1333" t="str">
        <f t="shared" si="15"/>
        <v/>
      </c>
      <c r="AG14" s="1333"/>
      <c r="AH14" s="874" t="str">
        <f t="shared" si="16"/>
        <v/>
      </c>
      <c r="AI14" s="1055" t="str">
        <f t="shared" si="17"/>
        <v/>
      </c>
      <c r="AJ14" s="1055" t="str">
        <f>IF($C53&lt;&gt;"",VLOOKUP($C53,'Distributed Assets'!$B$28:$AS$102,16,FALSE),"")</f>
        <v/>
      </c>
      <c r="AK14" s="1527"/>
      <c r="AL14" s="925"/>
      <c r="AM14" s="1056"/>
      <c r="AN14" s="817" t="str">
        <f>IF($A14&lt;&gt;"",
       IF($F14="Physical", VLOOKUP($A14,#REF!,8,FALSE),"N/A"),
   "")</f>
        <v/>
      </c>
      <c r="AO14" s="818" t="str">
        <f t="array" ref="AO14">IFERROR(INDEX(IP!$N$4:$N$153,MATCH($C14,IF(IP!$H$4:$H$153="iLO Interface",IP!$B$4:$B$153),0)),"")</f>
        <v/>
      </c>
      <c r="AP14" s="818" t="str">
        <f t="array" ref="AP14">IFERROR(INDEX(IP!$I$4:$I$153,MATCH($C14,IF(IP!$H$4:$H$153="iLO Interface",IP!$B$4:$B$153),0)),"")</f>
        <v/>
      </c>
      <c r="AQ14" s="818" t="str">
        <f t="array" ref="AQ14">IFERROR(INDEX(IP!$J$4:$J$153,MATCH($C14,IF(IP!$H$4:$H$153="iLO Interface",IP!$B$4:$B$153),0)),"")</f>
        <v/>
      </c>
      <c r="AR14" s="1057"/>
      <c r="AS14" s="818" t="str">
        <f>IF($AR14&lt;&gt;"",
        VLOOKUP($AR14,IP!$D$4:$N$153,11,FALSE),"")</f>
        <v/>
      </c>
      <c r="AT14" s="1057"/>
      <c r="AU14" s="818" t="str">
        <f>IF($AT14&lt;&gt;"",
        VLOOKUP($AT14,IP!$D$4:$N$153,11,FALSE),"")</f>
        <v/>
      </c>
      <c r="AV14" s="818" t="str">
        <f t="shared" si="18"/>
        <v/>
      </c>
      <c r="AW14" s="1048" t="str">
        <f t="shared" si="24"/>
        <v/>
      </c>
      <c r="AX14" s="1025" t="str">
        <f t="shared" si="20"/>
        <v/>
      </c>
      <c r="AY14" s="1528" t="str">
        <f t="shared" si="25"/>
        <v/>
      </c>
    </row>
    <row r="15" spans="1:53">
      <c r="A15" s="1071"/>
      <c r="B15" s="913" t="str">
        <f>IF($A15&lt;&gt;"",VLOOKUP(VLOOKUP($C15,dist_assets,2,FALSE),'Distributed Assets'!$C$7:$F$22,4,FALSE),"")</f>
        <v/>
      </c>
      <c r="C15" s="1051" t="str">
        <f>IF($A15&lt;&gt;"",VLOOKUP($A15,IP!$A$4:O$93,2,FALSE),"")</f>
        <v/>
      </c>
      <c r="D15" s="913" t="str">
        <f t="shared" si="0"/>
        <v/>
      </c>
      <c r="E15" s="913" t="str">
        <f t="shared" si="1"/>
        <v/>
      </c>
      <c r="F15" s="913" t="str">
        <f t="shared" si="2"/>
        <v/>
      </c>
      <c r="G15" s="913" t="str">
        <f t="shared" si="3"/>
        <v/>
      </c>
      <c r="H15" s="2380" t="str">
        <f t="shared" si="4"/>
        <v/>
      </c>
      <c r="I15" s="913" t="str">
        <f>IF($C15&lt;&gt;"",
IF(LEFT(VLOOKUP($C15,dist_assets,16,FALSE),6)="Active",
     VLOOKUP($C15,'Distributed Assets'!$B$28:$AS$102,16,FALSE),"No"),"")</f>
        <v/>
      </c>
      <c r="J15" s="913" t="str">
        <f>IF($A15&lt;&gt;"",VLOOKUP($A15,IP!$A$4:$U$167,8,FALSE),"")</f>
        <v/>
      </c>
      <c r="K15" s="913" t="str">
        <f>IF($A15&lt;&gt;"",VLOOKUP($A15,IP!$A$4:$U$167,16,FALSE),"")</f>
        <v/>
      </c>
      <c r="L15" s="1052" t="str">
        <f>IF($A15&lt;&gt;"",
                         (VLOOKUP($A15,IP!$A$4:$N$153,11,FALSE)),
        "")</f>
        <v/>
      </c>
      <c r="M15" s="815" t="str">
        <f>IF($A15&lt;&gt;"",VLOOKUP($A15,IP!$A$4:$U$167,14,FALSE),"")</f>
        <v/>
      </c>
      <c r="N15" s="1052" t="str">
        <f>IF($A15&lt;&gt;"",VLOOKUP($A15,IP!$A$4:$U$167,9,FALSE),"")</f>
        <v/>
      </c>
      <c r="O15" s="1052" t="str">
        <f>IF($A15&lt;&gt;"",VLOOKUP($A15,IP!$A$4:$U$167,10,FALSE),"")</f>
        <v/>
      </c>
      <c r="P15" s="2047" t="str">
        <f t="shared" si="21"/>
        <v/>
      </c>
      <c r="Q15" s="2047" t="str">
        <f t="shared" si="22"/>
        <v/>
      </c>
      <c r="R15" s="818" t="str">
        <f t="shared" si="5"/>
        <v/>
      </c>
      <c r="S15" s="817" t="str">
        <f t="shared" si="6"/>
        <v/>
      </c>
      <c r="T15" s="1053" t="str">
        <f t="shared" si="23"/>
        <v/>
      </c>
      <c r="U15" s="1053" t="str">
        <f t="shared" si="7"/>
        <v/>
      </c>
      <c r="V15" s="817" t="str">
        <f t="shared" si="8"/>
        <v/>
      </c>
      <c r="W15" s="1054" t="str">
        <f t="shared" si="9"/>
        <v/>
      </c>
      <c r="X15" s="1525" t="str">
        <f t="shared" si="10"/>
        <v/>
      </c>
      <c r="Y15" s="1055" t="str">
        <f t="shared" si="11"/>
        <v/>
      </c>
      <c r="Z15" s="1055" t="str">
        <f t="shared" si="12"/>
        <v/>
      </c>
      <c r="AA15" s="1053"/>
      <c r="AB15" s="1053" t="str">
        <f t="shared" si="13"/>
        <v/>
      </c>
      <c r="AC15" s="2965" t="str">
        <f t="shared" si="14"/>
        <v/>
      </c>
      <c r="AD15" s="1586"/>
      <c r="AE15" s="1586"/>
      <c r="AF15" s="1333" t="str">
        <f t="shared" si="15"/>
        <v/>
      </c>
      <c r="AG15" s="1333"/>
      <c r="AH15" s="874" t="str">
        <f t="shared" si="16"/>
        <v/>
      </c>
      <c r="AI15" s="1055" t="str">
        <f t="shared" si="17"/>
        <v/>
      </c>
      <c r="AJ15" s="1055" t="str">
        <f>IF($C54&lt;&gt;"",VLOOKUP($C54,'Distributed Assets'!$B$28:$AS$102,16,FALSE),"")</f>
        <v/>
      </c>
      <c r="AK15" s="1527"/>
      <c r="AL15" s="925"/>
      <c r="AM15" s="1056"/>
      <c r="AN15" s="817" t="str">
        <f>IF($A15&lt;&gt;"",
       IF($F15="Physical", VLOOKUP($A15,#REF!,8,FALSE),"N/A"),
   "")</f>
        <v/>
      </c>
      <c r="AO15" s="818" t="str">
        <f t="array" ref="AO15">IFERROR(INDEX(IP!$N$4:$N$153,MATCH($C15,IF(IP!$H$4:$H$153="iLO Interface",IP!$B$4:$B$153),0)),"")</f>
        <v/>
      </c>
      <c r="AP15" s="818" t="str">
        <f t="array" ref="AP15">IFERROR(INDEX(IP!$I$4:$I$153,MATCH($C15,IF(IP!$H$4:$H$153="iLO Interface",IP!$B$4:$B$153),0)),"")</f>
        <v/>
      </c>
      <c r="AQ15" s="818" t="str">
        <f t="array" ref="AQ15">IFERROR(INDEX(IP!$J$4:$J$153,MATCH($C15,IF(IP!$H$4:$H$153="iLO Interface",IP!$B$4:$B$153),0)),"")</f>
        <v/>
      </c>
      <c r="AR15" s="1057"/>
      <c r="AS15" s="818" t="str">
        <f>IF($AR15&lt;&gt;"",
        VLOOKUP($AR15,IP!$D$4:$N$153,11,FALSE),"")</f>
        <v/>
      </c>
      <c r="AT15" s="1057"/>
      <c r="AU15" s="818" t="str">
        <f>IF($AT15&lt;&gt;"",
        VLOOKUP($AT15,IP!$D$4:$N$153,11,FALSE),"")</f>
        <v/>
      </c>
      <c r="AV15" s="818" t="str">
        <f t="shared" si="18"/>
        <v/>
      </c>
      <c r="AW15" s="1048" t="str">
        <f t="shared" si="24"/>
        <v/>
      </c>
      <c r="AX15" s="1025" t="str">
        <f t="shared" si="20"/>
        <v/>
      </c>
      <c r="AY15" s="1528" t="str">
        <f t="shared" si="25"/>
        <v/>
      </c>
    </row>
    <row r="16" spans="1:53">
      <c r="A16" s="1071"/>
      <c r="B16" s="913" t="str">
        <f>IF($A16&lt;&gt;"",VLOOKUP(VLOOKUP($C16,dist_assets,2,FALSE),'Distributed Assets'!$C$7:$F$22,4,FALSE),"")</f>
        <v/>
      </c>
      <c r="C16" s="1051" t="str">
        <f>IF($A16&lt;&gt;"",VLOOKUP($A16,IP!$A$4:O$93,2,FALSE),"")</f>
        <v/>
      </c>
      <c r="D16" s="913" t="str">
        <f t="shared" si="0"/>
        <v/>
      </c>
      <c r="E16" s="913" t="str">
        <f t="shared" si="1"/>
        <v/>
      </c>
      <c r="F16" s="913" t="str">
        <f t="shared" si="2"/>
        <v/>
      </c>
      <c r="G16" s="913" t="str">
        <f t="shared" si="3"/>
        <v/>
      </c>
      <c r="H16" s="2380" t="str">
        <f t="shared" si="4"/>
        <v/>
      </c>
      <c r="I16" s="913" t="str">
        <f>IF($C16&lt;&gt;"",
IF(LEFT(VLOOKUP($C16,dist_assets,16,FALSE),6)="Active",
     VLOOKUP($C16,'Distributed Assets'!$B$28:$AS$102,16,FALSE),"No"),"")</f>
        <v/>
      </c>
      <c r="J16" s="913" t="str">
        <f>IF($A16&lt;&gt;"",VLOOKUP($A16,IP!$A$4:$U$167,8,FALSE),"")</f>
        <v/>
      </c>
      <c r="K16" s="913" t="str">
        <f>IF($A16&lt;&gt;"",VLOOKUP($A16,IP!$A$4:$U$167,16,FALSE),"")</f>
        <v/>
      </c>
      <c r="L16" s="1052" t="str">
        <f>IF($A16&lt;&gt;"",
                         (VLOOKUP($A16,IP!$A$4:$N$153,11,FALSE)),
        "")</f>
        <v/>
      </c>
      <c r="M16" s="815" t="str">
        <f>IF($A16&lt;&gt;"",VLOOKUP($A16,IP!$A$4:$U$167,14,FALSE),"")</f>
        <v/>
      </c>
      <c r="N16" s="1052" t="str">
        <f>IF($A16&lt;&gt;"",VLOOKUP($A16,IP!$A$4:$U$167,9,FALSE),"")</f>
        <v/>
      </c>
      <c r="O16" s="1052" t="str">
        <f>IF($A16&lt;&gt;"",VLOOKUP($A16,IP!$A$4:$U$167,10,FALSE),"")</f>
        <v/>
      </c>
      <c r="P16" s="2047" t="str">
        <f t="shared" si="21"/>
        <v/>
      </c>
      <c r="Q16" s="2047" t="str">
        <f t="shared" si="22"/>
        <v/>
      </c>
      <c r="R16" s="818" t="str">
        <f t="shared" si="5"/>
        <v/>
      </c>
      <c r="S16" s="817" t="str">
        <f t="shared" si="6"/>
        <v/>
      </c>
      <c r="T16" s="1053" t="str">
        <f t="shared" si="23"/>
        <v/>
      </c>
      <c r="U16" s="1053" t="str">
        <f t="shared" si="7"/>
        <v/>
      </c>
      <c r="V16" s="817" t="str">
        <f t="shared" si="8"/>
        <v/>
      </c>
      <c r="W16" s="1054" t="str">
        <f t="shared" si="9"/>
        <v/>
      </c>
      <c r="X16" s="1525" t="str">
        <f t="shared" si="10"/>
        <v/>
      </c>
      <c r="Y16" s="1055" t="str">
        <f t="shared" si="11"/>
        <v/>
      </c>
      <c r="Z16" s="1055" t="str">
        <f t="shared" si="12"/>
        <v/>
      </c>
      <c r="AA16" s="1053"/>
      <c r="AB16" s="1053" t="str">
        <f t="shared" si="13"/>
        <v/>
      </c>
      <c r="AC16" s="2965" t="str">
        <f t="shared" si="14"/>
        <v/>
      </c>
      <c r="AD16" s="1586"/>
      <c r="AE16" s="1586"/>
      <c r="AF16" s="1333" t="str">
        <f t="shared" si="15"/>
        <v/>
      </c>
      <c r="AG16" s="1333"/>
      <c r="AH16" s="874" t="str">
        <f t="shared" si="16"/>
        <v/>
      </c>
      <c r="AI16" s="1055" t="str">
        <f t="shared" si="17"/>
        <v/>
      </c>
      <c r="AJ16" s="1055" t="str">
        <f>IF($C55&lt;&gt;"",VLOOKUP($C55,'Distributed Assets'!$B$28:$AS$102,16,FALSE),"")</f>
        <v/>
      </c>
      <c r="AK16" s="1527"/>
      <c r="AL16" s="925"/>
      <c r="AM16" s="1056"/>
      <c r="AN16" s="817" t="str">
        <f>IF($A16&lt;&gt;"",
       IF($F16="Physical", VLOOKUP($A16,#REF!,8,FALSE),"N/A"),
   "")</f>
        <v/>
      </c>
      <c r="AO16" s="818" t="str">
        <f t="array" ref="AO16">IFERROR(INDEX(IP!$N$4:$N$153,MATCH($C16,IF(IP!$H$4:$H$153="iLO Interface",IP!$B$4:$B$153),0)),"")</f>
        <v/>
      </c>
      <c r="AP16" s="818" t="str">
        <f t="array" ref="AP16">IFERROR(INDEX(IP!$I$4:$I$153,MATCH($C16,IF(IP!$H$4:$H$153="iLO Interface",IP!$B$4:$B$153),0)),"")</f>
        <v/>
      </c>
      <c r="AQ16" s="818" t="str">
        <f t="array" ref="AQ16">IFERROR(INDEX(IP!$J$4:$J$153,MATCH($C16,IF(IP!$H$4:$H$153="iLO Interface",IP!$B$4:$B$153),0)),"")</f>
        <v/>
      </c>
      <c r="AR16" s="1057"/>
      <c r="AS16" s="818" t="str">
        <f>IF($AR16&lt;&gt;"",
        VLOOKUP($AR16,IP!$D$4:$N$153,11,FALSE),"")</f>
        <v/>
      </c>
      <c r="AT16" s="1057"/>
      <c r="AU16" s="818" t="str">
        <f>IF($AT16&lt;&gt;"",
        VLOOKUP($AT16,IP!$D$4:$N$153,11,FALSE),"")</f>
        <v/>
      </c>
      <c r="AV16" s="818" t="str">
        <f t="shared" si="18"/>
        <v/>
      </c>
      <c r="AW16" s="1048" t="str">
        <f t="shared" si="24"/>
        <v/>
      </c>
      <c r="AX16" s="1025" t="str">
        <f t="shared" si="20"/>
        <v/>
      </c>
      <c r="AY16" s="1528" t="str">
        <f t="shared" si="25"/>
        <v/>
      </c>
    </row>
    <row r="17" spans="1:51">
      <c r="A17" s="1071"/>
      <c r="B17" s="913" t="str">
        <f>IF($A17&lt;&gt;"",VLOOKUP(VLOOKUP($C17,dist_assets,2,FALSE),'Distributed Assets'!$C$7:$F$22,4,FALSE),"")</f>
        <v/>
      </c>
      <c r="C17" s="1051" t="str">
        <f>IF($A17&lt;&gt;"",VLOOKUP($A17,IP!$A$4:O$93,2,FALSE),"")</f>
        <v/>
      </c>
      <c r="D17" s="913" t="str">
        <f t="shared" si="0"/>
        <v/>
      </c>
      <c r="E17" s="913" t="str">
        <f t="shared" si="1"/>
        <v/>
      </c>
      <c r="F17" s="913" t="str">
        <f t="shared" si="2"/>
        <v/>
      </c>
      <c r="G17" s="913" t="str">
        <f t="shared" si="3"/>
        <v/>
      </c>
      <c r="H17" s="2380" t="str">
        <f t="shared" si="4"/>
        <v/>
      </c>
      <c r="I17" s="913" t="str">
        <f>IF($C17&lt;&gt;"",
IF(LEFT(VLOOKUP($C17,dist_assets,16,FALSE),6)="Active",
     VLOOKUP($C17,'Distributed Assets'!$B$28:$AS$102,16,FALSE),"No"),"")</f>
        <v/>
      </c>
      <c r="J17" s="913" t="str">
        <f>IF($A17&lt;&gt;"",VLOOKUP($A17,IP!$A$4:$U$167,8,FALSE),"")</f>
        <v/>
      </c>
      <c r="K17" s="913" t="str">
        <f>IF($A17&lt;&gt;"",VLOOKUP($A17,IP!$A$4:$U$167,16,FALSE),"")</f>
        <v/>
      </c>
      <c r="L17" s="1052" t="str">
        <f>IF($A17&lt;&gt;"",
                         (VLOOKUP($A17,IP!$A$4:$N$153,11,FALSE)),
        "")</f>
        <v/>
      </c>
      <c r="M17" s="815" t="str">
        <f>IF($A17&lt;&gt;"",VLOOKUP($A17,IP!$A$4:$U$167,14,FALSE),"")</f>
        <v/>
      </c>
      <c r="N17" s="1052" t="str">
        <f>IF($A17&lt;&gt;"",VLOOKUP($A17,IP!$A$4:$U$167,9,FALSE),"")</f>
        <v/>
      </c>
      <c r="O17" s="1052" t="str">
        <f>IF($A17&lt;&gt;"",VLOOKUP($A17,IP!$A$4:$U$167,10,FALSE),"")</f>
        <v/>
      </c>
      <c r="P17" s="2047" t="str">
        <f t="shared" si="21"/>
        <v/>
      </c>
      <c r="Q17" s="2047" t="str">
        <f t="shared" si="22"/>
        <v/>
      </c>
      <c r="R17" s="818" t="str">
        <f t="shared" si="5"/>
        <v/>
      </c>
      <c r="S17" s="817" t="str">
        <f t="shared" si="6"/>
        <v/>
      </c>
      <c r="T17" s="1053" t="str">
        <f t="shared" si="23"/>
        <v/>
      </c>
      <c r="U17" s="1053" t="str">
        <f t="shared" si="7"/>
        <v/>
      </c>
      <c r="V17" s="817" t="str">
        <f t="shared" si="8"/>
        <v/>
      </c>
      <c r="W17" s="1054" t="str">
        <f t="shared" si="9"/>
        <v/>
      </c>
      <c r="X17" s="1525" t="str">
        <f t="shared" si="10"/>
        <v/>
      </c>
      <c r="Y17" s="1055" t="str">
        <f t="shared" si="11"/>
        <v/>
      </c>
      <c r="Z17" s="1055" t="str">
        <f t="shared" si="12"/>
        <v/>
      </c>
      <c r="AA17" s="1053"/>
      <c r="AB17" s="1053" t="str">
        <f t="shared" si="13"/>
        <v/>
      </c>
      <c r="AC17" s="2965" t="str">
        <f t="shared" si="14"/>
        <v/>
      </c>
      <c r="AD17" s="1586"/>
      <c r="AE17" s="1586"/>
      <c r="AF17" s="1333" t="str">
        <f t="shared" si="15"/>
        <v/>
      </c>
      <c r="AG17" s="1333"/>
      <c r="AH17" s="874" t="str">
        <f t="shared" si="16"/>
        <v/>
      </c>
      <c r="AI17" s="1055" t="str">
        <f t="shared" si="17"/>
        <v/>
      </c>
      <c r="AJ17" s="1055" t="str">
        <f>IF($C56&lt;&gt;"",VLOOKUP($C56,'Distributed Assets'!$B$28:$AS$102,16,FALSE),"")</f>
        <v/>
      </c>
      <c r="AK17" s="1527"/>
      <c r="AL17" s="925"/>
      <c r="AM17" s="1056"/>
      <c r="AN17" s="817" t="str">
        <f>IF($A17&lt;&gt;"",
       IF($F17="Physical", VLOOKUP($A17,#REF!,8,FALSE),"N/A"),
   "")</f>
        <v/>
      </c>
      <c r="AO17" s="818" t="str">
        <f t="array" ref="AO17">IFERROR(INDEX(IP!$N$4:$N$153,MATCH($C17,IF(IP!$H$4:$H$153="iLO Interface",IP!$B$4:$B$153),0)),"")</f>
        <v/>
      </c>
      <c r="AP17" s="818" t="str">
        <f t="array" ref="AP17">IFERROR(INDEX(IP!$I$4:$I$153,MATCH($C17,IF(IP!$H$4:$H$153="iLO Interface",IP!$B$4:$B$153),0)),"")</f>
        <v/>
      </c>
      <c r="AQ17" s="818" t="str">
        <f t="array" ref="AQ17">IFERROR(INDEX(IP!$J$4:$J$153,MATCH($C17,IF(IP!$H$4:$H$153="iLO Interface",IP!$B$4:$B$153),0)),"")</f>
        <v/>
      </c>
      <c r="AR17" s="1057"/>
      <c r="AS17" s="818" t="str">
        <f>IF($AR17&lt;&gt;"",
        VLOOKUP($AR17,IP!$D$4:$N$153,11,FALSE),"")</f>
        <v/>
      </c>
      <c r="AT17" s="1057"/>
      <c r="AU17" s="818" t="str">
        <f>IF($AT17&lt;&gt;"",
        VLOOKUP($AT17,IP!$D$4:$N$153,11,FALSE),"")</f>
        <v/>
      </c>
      <c r="AV17" s="818" t="str">
        <f t="shared" si="18"/>
        <v/>
      </c>
      <c r="AW17" s="1048" t="str">
        <f t="shared" si="24"/>
        <v/>
      </c>
      <c r="AX17" s="1025" t="str">
        <f t="shared" si="20"/>
        <v/>
      </c>
      <c r="AY17" s="1528" t="str">
        <f t="shared" si="25"/>
        <v/>
      </c>
    </row>
    <row r="18" spans="1:51">
      <c r="A18" s="1071"/>
      <c r="B18" s="913" t="str">
        <f>IF($A18&lt;&gt;"",VLOOKUP(VLOOKUP($C18,dist_assets,2,FALSE),'Distributed Assets'!$C$7:$F$22,4,FALSE),"")</f>
        <v/>
      </c>
      <c r="C18" s="1051" t="str">
        <f>IF($A18&lt;&gt;"",VLOOKUP($A18,IP!$A$4:O$93,2,FALSE),"")</f>
        <v/>
      </c>
      <c r="D18" s="913" t="str">
        <f t="shared" si="0"/>
        <v/>
      </c>
      <c r="E18" s="913" t="str">
        <f t="shared" si="1"/>
        <v/>
      </c>
      <c r="F18" s="913" t="str">
        <f t="shared" si="2"/>
        <v/>
      </c>
      <c r="G18" s="913" t="str">
        <f t="shared" si="3"/>
        <v/>
      </c>
      <c r="H18" s="2380" t="str">
        <f t="shared" si="4"/>
        <v/>
      </c>
      <c r="I18" s="913" t="str">
        <f>IF($C18&lt;&gt;"",
IF(LEFT(VLOOKUP($C18,dist_assets,16,FALSE),6)="Active",
     VLOOKUP($C18,'Distributed Assets'!$B$28:$AS$102,16,FALSE),"No"),"")</f>
        <v/>
      </c>
      <c r="J18" s="913" t="str">
        <f>IF($A18&lt;&gt;"",VLOOKUP($A18,IP!$A$4:$U$167,8,FALSE),"")</f>
        <v/>
      </c>
      <c r="K18" s="913" t="str">
        <f>IF($A18&lt;&gt;"",VLOOKUP($A18,IP!$A$4:$U$167,16,FALSE),"")</f>
        <v/>
      </c>
      <c r="L18" s="1052" t="str">
        <f>IF($A18&lt;&gt;"",
                         (VLOOKUP($A18,IP!$A$4:$N$153,11,FALSE)),
        "")</f>
        <v/>
      </c>
      <c r="M18" s="815" t="str">
        <f>IF($A18&lt;&gt;"",VLOOKUP($A18,IP!$A$4:$U$167,14,FALSE),"")</f>
        <v/>
      </c>
      <c r="N18" s="1052" t="str">
        <f>IF($A18&lt;&gt;"",VLOOKUP($A18,IP!$A$4:$U$167,9,FALSE),"")</f>
        <v/>
      </c>
      <c r="O18" s="1052" t="str">
        <f>IF($A18&lt;&gt;"",VLOOKUP($A18,IP!$A$4:$U$167,10,FALSE),"")</f>
        <v/>
      </c>
      <c r="P18" s="2047" t="str">
        <f t="shared" si="21"/>
        <v/>
      </c>
      <c r="Q18" s="2047" t="str">
        <f t="shared" si="22"/>
        <v/>
      </c>
      <c r="R18" s="818" t="str">
        <f>IF($A18&lt;&gt;"",IF(OR(LEFT($G18,7)="Process",LEFT($G18,4)="Data"),"OK","unknown"),"")</f>
        <v/>
      </c>
      <c r="S18" s="817" t="str">
        <f t="shared" si="6"/>
        <v/>
      </c>
      <c r="T18" s="1053" t="str">
        <f t="shared" si="23"/>
        <v/>
      </c>
      <c r="U18" s="1053" t="str">
        <f t="shared" si="7"/>
        <v/>
      </c>
      <c r="V18" s="817" t="str">
        <f t="shared" si="8"/>
        <v/>
      </c>
      <c r="W18" s="1054" t="str">
        <f t="shared" si="9"/>
        <v/>
      </c>
      <c r="X18" s="1525" t="str">
        <f t="shared" si="10"/>
        <v/>
      </c>
      <c r="Y18" s="1055" t="str">
        <f t="shared" si="11"/>
        <v/>
      </c>
      <c r="Z18" s="1055" t="str">
        <f t="shared" si="12"/>
        <v/>
      </c>
      <c r="AA18" s="1053"/>
      <c r="AB18" s="1053" t="str">
        <f t="shared" si="13"/>
        <v/>
      </c>
      <c r="AC18" s="2965" t="str">
        <f t="shared" si="14"/>
        <v/>
      </c>
      <c r="AD18" s="1586"/>
      <c r="AE18" s="1586"/>
      <c r="AF18" s="1333" t="str">
        <f t="shared" si="15"/>
        <v/>
      </c>
      <c r="AG18" s="1333"/>
      <c r="AH18" s="874" t="str">
        <f t="shared" si="16"/>
        <v/>
      </c>
      <c r="AI18" s="1055" t="str">
        <f t="shared" si="17"/>
        <v/>
      </c>
      <c r="AJ18" s="1055" t="str">
        <f>IF($C57&lt;&gt;"",VLOOKUP($C57,'Distributed Assets'!$B$28:$AS$102,16,FALSE),"")</f>
        <v/>
      </c>
      <c r="AK18" s="1527"/>
      <c r="AL18" s="925"/>
      <c r="AM18" s="1056"/>
      <c r="AN18" s="817" t="str">
        <f>IF($A18&lt;&gt;"",
       IF($F18="Physical", VLOOKUP($A18,#REF!,8,FALSE),"N/A"),
   "")</f>
        <v/>
      </c>
      <c r="AO18" s="818" t="str">
        <f t="array" ref="AO18">IFERROR(INDEX(IP!$N$4:$N$153,MATCH($C18,IF(IP!$H$4:$H$153="iLO Interface",IP!$B$4:$B$153),0)),"")</f>
        <v/>
      </c>
      <c r="AP18" s="818" t="str">
        <f t="array" ref="AP18">IFERROR(INDEX(IP!$I$4:$I$153,MATCH($C18,IF(IP!$H$4:$H$153="iLO Interface",IP!$B$4:$B$153),0)),"")</f>
        <v/>
      </c>
      <c r="AQ18" s="818" t="str">
        <f t="array" ref="AQ18">IFERROR(INDEX(IP!$J$4:$J$153,MATCH($C18,IF(IP!$H$4:$H$153="iLO Interface",IP!$B$4:$B$153),0)),"")</f>
        <v/>
      </c>
      <c r="AR18" s="1057"/>
      <c r="AS18" s="818" t="str">
        <f>IF($AR18&lt;&gt;"",
        VLOOKUP($AR18,IP!$D$4:$N$153,11,FALSE),"")</f>
        <v/>
      </c>
      <c r="AT18" s="1057"/>
      <c r="AU18" s="818" t="str">
        <f>IF($AT18&lt;&gt;"",
        VLOOKUP($AT18,IP!$D$4:$N$153,11,FALSE),"")</f>
        <v/>
      </c>
      <c r="AV18" s="818" t="str">
        <f t="shared" si="18"/>
        <v/>
      </c>
      <c r="AW18" s="1048" t="str">
        <f t="shared" si="24"/>
        <v/>
      </c>
      <c r="AX18" s="1025" t="str">
        <f t="shared" si="20"/>
        <v/>
      </c>
      <c r="AY18" s="1528" t="str">
        <f t="shared" si="25"/>
        <v/>
      </c>
    </row>
    <row r="19" spans="1:51">
      <c r="A19" s="1071"/>
      <c r="B19" s="913" t="str">
        <f>IF($A19&lt;&gt;"",VLOOKUP(VLOOKUP($C19,dist_assets,2,FALSE),'Distributed Assets'!$C$7:$F$22,4,FALSE),"")</f>
        <v/>
      </c>
      <c r="C19" s="1051" t="str">
        <f>IF($A19&lt;&gt;"",VLOOKUP($A19,IP!$A$4:O$93,2,FALSE),"")</f>
        <v/>
      </c>
      <c r="D19" s="913" t="str">
        <f t="shared" si="0"/>
        <v/>
      </c>
      <c r="E19" s="913" t="str">
        <f t="shared" si="1"/>
        <v/>
      </c>
      <c r="F19" s="913" t="str">
        <f t="shared" si="2"/>
        <v/>
      </c>
      <c r="G19" s="913" t="str">
        <f t="shared" si="3"/>
        <v/>
      </c>
      <c r="H19" s="2380" t="str">
        <f t="shared" si="4"/>
        <v/>
      </c>
      <c r="I19" s="913" t="str">
        <f>IF($C19&lt;&gt;"",
IF(LEFT(VLOOKUP($C19,dist_assets,16,FALSE),6)="Active",
     VLOOKUP($C19,'Distributed Assets'!$B$28:$AS$102,16,FALSE),"No"),"")</f>
        <v/>
      </c>
      <c r="J19" s="913" t="str">
        <f>IF($A19&lt;&gt;"",VLOOKUP($A19,IP!$A$4:$U$167,8,FALSE),"")</f>
        <v/>
      </c>
      <c r="K19" s="913" t="str">
        <f>IF($A19&lt;&gt;"",VLOOKUP($A19,IP!$A$4:$U$167,16,FALSE),"")</f>
        <v/>
      </c>
      <c r="L19" s="1052" t="str">
        <f>IF($A19&lt;&gt;"",
                         (VLOOKUP($A19,IP!$A$4:$N$153,11,FALSE)),
        "")</f>
        <v/>
      </c>
      <c r="M19" s="815" t="str">
        <f>IF($A19&lt;&gt;"",VLOOKUP($A19,IP!$A$4:$U$167,14,FALSE),"")</f>
        <v/>
      </c>
      <c r="N19" s="1052" t="str">
        <f>IF($A19&lt;&gt;"",VLOOKUP($A19,IP!$A$4:$U$167,9,FALSE),"")</f>
        <v/>
      </c>
      <c r="O19" s="1052" t="str">
        <f>IF($A19&lt;&gt;"",VLOOKUP($A19,IP!$A$4:$U$167,10,FALSE),"")</f>
        <v/>
      </c>
      <c r="P19" s="2047" t="str">
        <f t="shared" si="21"/>
        <v/>
      </c>
      <c r="Q19" s="2047" t="str">
        <f t="shared" si="22"/>
        <v/>
      </c>
      <c r="R19" s="818" t="str">
        <f t="shared" ref="R19:R31" si="26">IF($A19&lt;&gt;"",IF(OR(LEFT($G19,7)="Process",LEFT($G19,4)="Data"),"OK","unknown"),"")</f>
        <v/>
      </c>
      <c r="S19" s="817" t="str">
        <f t="shared" si="6"/>
        <v/>
      </c>
      <c r="T19" s="1053" t="str">
        <f t="shared" si="23"/>
        <v/>
      </c>
      <c r="U19" s="1053" t="str">
        <f t="shared" si="7"/>
        <v/>
      </c>
      <c r="V19" s="817" t="str">
        <f t="shared" si="8"/>
        <v/>
      </c>
      <c r="W19" s="1054" t="str">
        <f t="shared" si="9"/>
        <v/>
      </c>
      <c r="X19" s="1525" t="str">
        <f t="shared" si="10"/>
        <v/>
      </c>
      <c r="Y19" s="1055" t="str">
        <f t="shared" si="11"/>
        <v/>
      </c>
      <c r="Z19" s="1055" t="str">
        <f t="shared" si="12"/>
        <v/>
      </c>
      <c r="AA19" s="1053"/>
      <c r="AB19" s="1053" t="str">
        <f t="shared" si="13"/>
        <v/>
      </c>
      <c r="AC19" s="2965" t="str">
        <f t="shared" si="14"/>
        <v/>
      </c>
      <c r="AD19" s="1586"/>
      <c r="AE19" s="1586"/>
      <c r="AF19" s="1333" t="str">
        <f t="shared" si="15"/>
        <v/>
      </c>
      <c r="AG19" s="1333"/>
      <c r="AH19" s="874" t="str">
        <f t="shared" si="16"/>
        <v/>
      </c>
      <c r="AI19" s="1055" t="str">
        <f t="shared" si="17"/>
        <v/>
      </c>
      <c r="AJ19" s="1055" t="str">
        <f>IF($C58&lt;&gt;"",VLOOKUP($C58,'Distributed Assets'!$B$28:$AS$102,16,FALSE),"")</f>
        <v/>
      </c>
      <c r="AK19" s="1527"/>
      <c r="AL19" s="925"/>
      <c r="AM19" s="1056"/>
      <c r="AN19" s="817" t="str">
        <f>IF($A19&lt;&gt;"",
       IF($F19="Physical", VLOOKUP($A19,#REF!,8,FALSE),"N/A"),
   "")</f>
        <v/>
      </c>
      <c r="AO19" s="818" t="str">
        <f t="array" ref="AO19">IFERROR(INDEX(IP!$N$4:$N$153,MATCH($C19,IF(IP!$H$4:$H$153="iLO Interface",IP!$B$4:$B$153),0)),"")</f>
        <v/>
      </c>
      <c r="AP19" s="818" t="str">
        <f t="array" ref="AP19">IFERROR(INDEX(IP!$I$4:$I$153,MATCH($C19,IF(IP!$H$4:$H$153="iLO Interface",IP!$B$4:$B$153),0)),"")</f>
        <v/>
      </c>
      <c r="AQ19" s="818" t="str">
        <f t="array" ref="AQ19">IFERROR(INDEX(IP!$J$4:$J$153,MATCH($C19,IF(IP!$H$4:$H$153="iLO Interface",IP!$B$4:$B$153),0)),"")</f>
        <v/>
      </c>
      <c r="AR19" s="1057"/>
      <c r="AS19" s="818" t="str">
        <f>IF($AR19&lt;&gt;"",
        VLOOKUP($AR19,IP!$D$4:$N$153,11,FALSE),"")</f>
        <v/>
      </c>
      <c r="AT19" s="1057"/>
      <c r="AU19" s="818" t="str">
        <f>IF($AT19&lt;&gt;"",
        VLOOKUP($AT19,IP!$D$4:$N$153,11,FALSE),"")</f>
        <v/>
      </c>
      <c r="AV19" s="818" t="str">
        <f t="shared" si="18"/>
        <v/>
      </c>
      <c r="AW19" s="1048" t="str">
        <f t="shared" si="24"/>
        <v/>
      </c>
      <c r="AX19" s="1025" t="str">
        <f t="shared" si="20"/>
        <v/>
      </c>
      <c r="AY19" s="1528" t="str">
        <f t="shared" si="25"/>
        <v/>
      </c>
    </row>
    <row r="20" spans="1:51">
      <c r="A20" s="1071"/>
      <c r="B20" s="913" t="str">
        <f>IF($A20&lt;&gt;"",VLOOKUP(VLOOKUP($C20,dist_assets,2,FALSE),'Distributed Assets'!$C$7:$F$22,4,FALSE),"")</f>
        <v/>
      </c>
      <c r="C20" s="1051" t="str">
        <f>IF($A20&lt;&gt;"",VLOOKUP($A20,IP!$A$4:O$93,2,FALSE),"")</f>
        <v/>
      </c>
      <c r="D20" s="913" t="str">
        <f t="shared" si="0"/>
        <v/>
      </c>
      <c r="E20" s="913" t="str">
        <f t="shared" si="1"/>
        <v/>
      </c>
      <c r="F20" s="913" t="str">
        <f t="shared" si="2"/>
        <v/>
      </c>
      <c r="G20" s="913" t="str">
        <f t="shared" si="3"/>
        <v/>
      </c>
      <c r="H20" s="2380" t="str">
        <f t="shared" si="4"/>
        <v/>
      </c>
      <c r="I20" s="913" t="str">
        <f>IF($C20&lt;&gt;"",
IF(LEFT(VLOOKUP($C20,dist_assets,16,FALSE),6)="Active",
     VLOOKUP($C20,'Distributed Assets'!$B$28:$AS$102,16,FALSE),"No"),"")</f>
        <v/>
      </c>
      <c r="J20" s="913" t="str">
        <f>IF($A20&lt;&gt;"",VLOOKUP($A20,IP!$A$4:$U$167,8,FALSE),"")</f>
        <v/>
      </c>
      <c r="K20" s="913" t="str">
        <f>IF($A20&lt;&gt;"",VLOOKUP($A20,IP!$A$4:$U$167,16,FALSE),"")</f>
        <v/>
      </c>
      <c r="L20" s="1052" t="str">
        <f>IF($A20&lt;&gt;"",
                         (VLOOKUP($A20,IP!$A$4:$N$153,11,FALSE)),
        "")</f>
        <v/>
      </c>
      <c r="M20" s="815" t="str">
        <f>IF($A20&lt;&gt;"",VLOOKUP($A20,IP!$A$4:$U$167,14,FALSE),"")</f>
        <v/>
      </c>
      <c r="N20" s="1052" t="str">
        <f>IF($A20&lt;&gt;"",VLOOKUP($A20,IP!$A$4:$U$167,9,FALSE),"")</f>
        <v/>
      </c>
      <c r="O20" s="1052" t="str">
        <f>IF($A20&lt;&gt;"",VLOOKUP($A20,IP!$A$4:$U$167,10,FALSE),"")</f>
        <v/>
      </c>
      <c r="P20" s="2047" t="str">
        <f t="shared" si="21"/>
        <v/>
      </c>
      <c r="Q20" s="2047" t="str">
        <f t="shared" si="22"/>
        <v/>
      </c>
      <c r="R20" s="818" t="str">
        <f t="shared" si="26"/>
        <v/>
      </c>
      <c r="S20" s="817" t="str">
        <f t="shared" si="6"/>
        <v/>
      </c>
      <c r="T20" s="1053" t="str">
        <f t="shared" si="23"/>
        <v/>
      </c>
      <c r="U20" s="1053" t="str">
        <f t="shared" si="7"/>
        <v/>
      </c>
      <c r="V20" s="817" t="str">
        <f t="shared" si="8"/>
        <v/>
      </c>
      <c r="W20" s="1054" t="str">
        <f t="shared" si="9"/>
        <v/>
      </c>
      <c r="X20" s="1525" t="str">
        <f t="shared" si="10"/>
        <v/>
      </c>
      <c r="Y20" s="1055" t="str">
        <f t="shared" si="11"/>
        <v/>
      </c>
      <c r="Z20" s="1055" t="str">
        <f t="shared" si="12"/>
        <v/>
      </c>
      <c r="AA20" s="1053"/>
      <c r="AB20" s="1053" t="str">
        <f t="shared" si="13"/>
        <v/>
      </c>
      <c r="AC20" s="2965" t="str">
        <f t="shared" si="14"/>
        <v/>
      </c>
      <c r="AD20" s="1586"/>
      <c r="AE20" s="1586"/>
      <c r="AF20" s="1333" t="str">
        <f t="shared" si="15"/>
        <v/>
      </c>
      <c r="AG20" s="1333"/>
      <c r="AH20" s="874" t="str">
        <f t="shared" si="16"/>
        <v/>
      </c>
      <c r="AI20" s="1055" t="str">
        <f t="shared" si="17"/>
        <v/>
      </c>
      <c r="AJ20" s="1055" t="str">
        <f>IF($C59&lt;&gt;"",VLOOKUP($C59,'Distributed Assets'!$B$28:$AS$102,16,FALSE),"")</f>
        <v/>
      </c>
      <c r="AK20" s="1527"/>
      <c r="AL20" s="925"/>
      <c r="AM20" s="1056"/>
      <c r="AN20" s="817" t="str">
        <f>IF($A20&lt;&gt;"",
       IF($F20="Physical", VLOOKUP($A20,#REF!,8,FALSE),"N/A"),
   "")</f>
        <v/>
      </c>
      <c r="AO20" s="818" t="str">
        <f t="array" ref="AO20">IFERROR(INDEX(IP!$N$4:$N$153,MATCH($C20,IF(IP!$H$4:$H$153="iLO Interface",IP!$B$4:$B$153),0)),"")</f>
        <v/>
      </c>
      <c r="AP20" s="818" t="str">
        <f t="array" ref="AP20">IFERROR(INDEX(IP!$I$4:$I$153,MATCH($C20,IF(IP!$H$4:$H$153="iLO Interface",IP!$B$4:$B$153),0)),"")</f>
        <v/>
      </c>
      <c r="AQ20" s="818" t="str">
        <f t="array" ref="AQ20">IFERROR(INDEX(IP!$J$4:$J$153,MATCH($C20,IF(IP!$H$4:$H$153="iLO Interface",IP!$B$4:$B$153),0)),"")</f>
        <v/>
      </c>
      <c r="AR20" s="1057"/>
      <c r="AS20" s="818" t="str">
        <f>IF($AR20&lt;&gt;"",
        VLOOKUP($AR20,IP!$D$4:$N$153,11,FALSE),"")</f>
        <v/>
      </c>
      <c r="AT20" s="1057"/>
      <c r="AU20" s="818" t="str">
        <f>IF($AT20&lt;&gt;"",
        VLOOKUP($AT20,IP!$D$4:$N$153,11,FALSE),"")</f>
        <v/>
      </c>
      <c r="AV20" s="818" t="str">
        <f t="shared" si="18"/>
        <v/>
      </c>
      <c r="AW20" s="1048" t="str">
        <f t="shared" si="24"/>
        <v/>
      </c>
      <c r="AX20" s="1025" t="str">
        <f t="shared" si="20"/>
        <v/>
      </c>
      <c r="AY20" s="1528" t="str">
        <f t="shared" si="25"/>
        <v/>
      </c>
    </row>
    <row r="21" spans="1:51">
      <c r="A21" s="1071"/>
      <c r="B21" s="913" t="str">
        <f>IF($A21&lt;&gt;"",VLOOKUP(VLOOKUP($C21,dist_assets,2,FALSE),'Distributed Assets'!$C$7:$F$22,4,FALSE),"")</f>
        <v/>
      </c>
      <c r="C21" s="1051" t="str">
        <f>IF($A21&lt;&gt;"",VLOOKUP($A21,IP!$A$4:O$93,2,FALSE),"")</f>
        <v/>
      </c>
      <c r="D21" s="913" t="str">
        <f t="shared" si="0"/>
        <v/>
      </c>
      <c r="E21" s="913" t="str">
        <f t="shared" si="1"/>
        <v/>
      </c>
      <c r="F21" s="913" t="str">
        <f t="shared" si="2"/>
        <v/>
      </c>
      <c r="G21" s="913" t="str">
        <f t="shared" si="3"/>
        <v/>
      </c>
      <c r="H21" s="2380" t="str">
        <f t="shared" si="4"/>
        <v/>
      </c>
      <c r="I21" s="913" t="str">
        <f>IF($C21&lt;&gt;"",
IF(LEFT(VLOOKUP($C21,dist_assets,16,FALSE),6)="Active",
     VLOOKUP($C21,'Distributed Assets'!$B$28:$AS$102,16,FALSE),"No"),"")</f>
        <v/>
      </c>
      <c r="J21" s="913" t="str">
        <f>IF($A21&lt;&gt;"",VLOOKUP($A21,IP!$A$4:$U$167,8,FALSE),"")</f>
        <v/>
      </c>
      <c r="K21" s="913" t="str">
        <f>IF($A21&lt;&gt;"",VLOOKUP($A21,IP!$A$4:$U$167,16,FALSE),"")</f>
        <v/>
      </c>
      <c r="L21" s="1052" t="str">
        <f>IF($A21&lt;&gt;"",
                         (VLOOKUP($A21,IP!$A$4:$N$153,11,FALSE)),
        "")</f>
        <v/>
      </c>
      <c r="M21" s="815" t="str">
        <f>IF($A21&lt;&gt;"",VLOOKUP($A21,IP!$A$4:$U$167,14,FALSE),"")</f>
        <v/>
      </c>
      <c r="N21" s="1052" t="str">
        <f>IF($A21&lt;&gt;"",VLOOKUP($A21,IP!$A$4:$U$167,9,FALSE),"")</f>
        <v/>
      </c>
      <c r="O21" s="1052" t="str">
        <f>IF($A21&lt;&gt;"",VLOOKUP($A21,IP!$A$4:$U$167,10,FALSE),"")</f>
        <v/>
      </c>
      <c r="P21" s="2047" t="str">
        <f t="shared" si="21"/>
        <v/>
      </c>
      <c r="Q21" s="2047" t="str">
        <f t="shared" si="22"/>
        <v/>
      </c>
      <c r="R21" s="818" t="str">
        <f t="shared" si="26"/>
        <v/>
      </c>
      <c r="S21" s="817" t="str">
        <f t="shared" si="6"/>
        <v/>
      </c>
      <c r="T21" s="1053" t="str">
        <f t="shared" si="23"/>
        <v/>
      </c>
      <c r="U21" s="1053" t="str">
        <f t="shared" si="7"/>
        <v/>
      </c>
      <c r="V21" s="817" t="str">
        <f t="shared" si="8"/>
        <v/>
      </c>
      <c r="W21" s="1054" t="str">
        <f t="shared" si="9"/>
        <v/>
      </c>
      <c r="X21" s="1525" t="str">
        <f t="shared" si="10"/>
        <v/>
      </c>
      <c r="Y21" s="1055" t="str">
        <f t="shared" si="11"/>
        <v/>
      </c>
      <c r="Z21" s="1055" t="str">
        <f t="shared" si="12"/>
        <v/>
      </c>
      <c r="AA21" s="1053"/>
      <c r="AB21" s="1053" t="str">
        <f t="shared" si="13"/>
        <v/>
      </c>
      <c r="AC21" s="2965" t="str">
        <f t="shared" si="14"/>
        <v/>
      </c>
      <c r="AD21" s="1586"/>
      <c r="AE21" s="1586"/>
      <c r="AF21" s="1333" t="str">
        <f t="shared" si="15"/>
        <v/>
      </c>
      <c r="AG21" s="1333"/>
      <c r="AH21" s="874" t="str">
        <f t="shared" si="16"/>
        <v/>
      </c>
      <c r="AI21" s="1055" t="str">
        <f t="shared" si="17"/>
        <v/>
      </c>
      <c r="AJ21" s="1055" t="str">
        <f>IF($C60&lt;&gt;"",VLOOKUP($C60,'Distributed Assets'!$B$28:$AS$102,16,FALSE),"")</f>
        <v/>
      </c>
      <c r="AK21" s="1527"/>
      <c r="AL21" s="925"/>
      <c r="AM21" s="1056"/>
      <c r="AN21" s="817" t="str">
        <f>IF($A21&lt;&gt;"",
       IF($F21="Physical", VLOOKUP($A21,#REF!,8,FALSE),"N/A"),
   "")</f>
        <v/>
      </c>
      <c r="AO21" s="818" t="str">
        <f t="array" ref="AO21">IFERROR(INDEX(IP!$N$4:$N$153,MATCH($C21,IF(IP!$H$4:$H$153="iLO Interface",IP!$B$4:$B$153),0)),"")</f>
        <v/>
      </c>
      <c r="AP21" s="818" t="str">
        <f t="array" ref="AP21">IFERROR(INDEX(IP!$I$4:$I$153,MATCH($C21,IF(IP!$H$4:$H$153="iLO Interface",IP!$B$4:$B$153),0)),"")</f>
        <v/>
      </c>
      <c r="AQ21" s="818" t="str">
        <f t="array" ref="AQ21">IFERROR(INDEX(IP!$J$4:$J$153,MATCH($C21,IF(IP!$H$4:$H$153="iLO Interface",IP!$B$4:$B$153),0)),"")</f>
        <v/>
      </c>
      <c r="AR21" s="1057"/>
      <c r="AS21" s="818" t="str">
        <f>IF($AR21&lt;&gt;"",
        VLOOKUP($AR21,IP!$D$4:$N$153,11,FALSE),"")</f>
        <v/>
      </c>
      <c r="AT21" s="1057"/>
      <c r="AU21" s="818" t="str">
        <f>IF($AT21&lt;&gt;"",
        VLOOKUP($AT21,IP!$D$4:$N$153,11,FALSE),"")</f>
        <v/>
      </c>
      <c r="AV21" s="818" t="str">
        <f t="shared" si="18"/>
        <v/>
      </c>
      <c r="AW21" s="1048" t="str">
        <f t="shared" si="24"/>
        <v/>
      </c>
      <c r="AX21" s="1025" t="str">
        <f t="shared" si="20"/>
        <v/>
      </c>
      <c r="AY21" s="1528" t="str">
        <f t="shared" si="25"/>
        <v/>
      </c>
    </row>
    <row r="22" spans="1:51">
      <c r="A22" s="1071"/>
      <c r="B22" s="913" t="str">
        <f>IF($A22&lt;&gt;"",VLOOKUP(VLOOKUP($C22,dist_assets,2,FALSE),'Distributed Assets'!$C$7:$F$22,4,FALSE),"")</f>
        <v/>
      </c>
      <c r="C22" s="1051" t="str">
        <f>IF($A22&lt;&gt;"",VLOOKUP($A22,IP!$A$4:O$93,2,FALSE),"")</f>
        <v/>
      </c>
      <c r="D22" s="913" t="str">
        <f t="shared" si="0"/>
        <v/>
      </c>
      <c r="E22" s="913" t="str">
        <f t="shared" si="1"/>
        <v/>
      </c>
      <c r="F22" s="913" t="str">
        <f t="shared" si="2"/>
        <v/>
      </c>
      <c r="G22" s="913" t="str">
        <f t="shared" si="3"/>
        <v/>
      </c>
      <c r="H22" s="2380" t="str">
        <f t="shared" si="4"/>
        <v/>
      </c>
      <c r="I22" s="913" t="str">
        <f>IF($C22&lt;&gt;"",
IF(LEFT(VLOOKUP($C22,dist_assets,16,FALSE),6)="Active",
     VLOOKUP($C22,'Distributed Assets'!$B$28:$AS$102,16,FALSE),"No"),"")</f>
        <v/>
      </c>
      <c r="J22" s="913" t="str">
        <f>IF($A22&lt;&gt;"",VLOOKUP($A22,IP!$A$4:$U$167,8,FALSE),"")</f>
        <v/>
      </c>
      <c r="K22" s="913" t="str">
        <f>IF($A22&lt;&gt;"",VLOOKUP($A22,IP!$A$4:$U$167,16,FALSE),"")</f>
        <v/>
      </c>
      <c r="L22" s="1052" t="str">
        <f>IF($A22&lt;&gt;"",
                         (VLOOKUP($A22,IP!$A$4:$N$153,11,FALSE)),
        "")</f>
        <v/>
      </c>
      <c r="M22" s="815" t="str">
        <f>IF($A22&lt;&gt;"",VLOOKUP($A22,IP!$A$4:$U$167,14,FALSE),"")</f>
        <v/>
      </c>
      <c r="N22" s="1052" t="str">
        <f>IF($A22&lt;&gt;"",VLOOKUP($A22,IP!$A$4:$U$167,9,FALSE),"")</f>
        <v/>
      </c>
      <c r="O22" s="1052" t="str">
        <f>IF($A22&lt;&gt;"",VLOOKUP($A22,IP!$A$4:$U$167,10,FALSE),"")</f>
        <v/>
      </c>
      <c r="P22" s="2047" t="str">
        <f t="shared" si="21"/>
        <v/>
      </c>
      <c r="Q22" s="2047" t="str">
        <f t="shared" si="22"/>
        <v/>
      </c>
      <c r="R22" s="818" t="str">
        <f t="shared" si="26"/>
        <v/>
      </c>
      <c r="S22" s="817" t="str">
        <f t="shared" si="6"/>
        <v/>
      </c>
      <c r="T22" s="1053" t="str">
        <f t="shared" si="23"/>
        <v/>
      </c>
      <c r="U22" s="1053" t="str">
        <f t="shared" si="7"/>
        <v/>
      </c>
      <c r="V22" s="817" t="str">
        <f t="shared" si="8"/>
        <v/>
      </c>
      <c r="W22" s="1054" t="str">
        <f t="shared" si="9"/>
        <v/>
      </c>
      <c r="X22" s="1525" t="str">
        <f t="shared" si="10"/>
        <v/>
      </c>
      <c r="Y22" s="1055" t="str">
        <f t="shared" si="11"/>
        <v/>
      </c>
      <c r="Z22" s="1055" t="str">
        <f t="shared" si="12"/>
        <v/>
      </c>
      <c r="AA22" s="1053"/>
      <c r="AB22" s="1053" t="str">
        <f t="shared" si="13"/>
        <v/>
      </c>
      <c r="AC22" s="2965" t="str">
        <f t="shared" si="14"/>
        <v/>
      </c>
      <c r="AD22" s="1586"/>
      <c r="AE22" s="1586"/>
      <c r="AF22" s="1333" t="str">
        <f t="shared" si="15"/>
        <v/>
      </c>
      <c r="AG22" s="1333"/>
      <c r="AH22" s="874" t="str">
        <f t="shared" si="16"/>
        <v/>
      </c>
      <c r="AI22" s="1055" t="str">
        <f t="shared" si="17"/>
        <v/>
      </c>
      <c r="AJ22" s="1055" t="str">
        <f>IF($C61&lt;&gt;"",VLOOKUP($C61,'Distributed Assets'!$B$28:$AS$102,16,FALSE),"")</f>
        <v/>
      </c>
      <c r="AK22" s="1527"/>
      <c r="AL22" s="925"/>
      <c r="AM22" s="1056"/>
      <c r="AN22" s="817" t="str">
        <f>IF($A22&lt;&gt;"",
       IF($F22="Physical", VLOOKUP($A22,#REF!,8,FALSE),"N/A"),
   "")</f>
        <v/>
      </c>
      <c r="AO22" s="818" t="str">
        <f t="array" ref="AO22">IFERROR(INDEX(IP!$N$4:$N$153,MATCH($C22,IF(IP!$H$4:$H$153="iLO Interface",IP!$B$4:$B$153),0)),"")</f>
        <v/>
      </c>
      <c r="AP22" s="818" t="str">
        <f t="array" ref="AP22">IFERROR(INDEX(IP!$I$4:$I$153,MATCH($C22,IF(IP!$H$4:$H$153="iLO Interface",IP!$B$4:$B$153),0)),"")</f>
        <v/>
      </c>
      <c r="AQ22" s="818" t="str">
        <f t="array" ref="AQ22">IFERROR(INDEX(IP!$J$4:$J$153,MATCH($C22,IF(IP!$H$4:$H$153="iLO Interface",IP!$B$4:$B$153),0)),"")</f>
        <v/>
      </c>
      <c r="AR22" s="1057"/>
      <c r="AS22" s="818" t="str">
        <f>IF($AR22&lt;&gt;"",
        VLOOKUP($AR22,IP!$D$4:$N$153,11,FALSE),"")</f>
        <v/>
      </c>
      <c r="AT22" s="1057"/>
      <c r="AU22" s="818" t="str">
        <f>IF($AT22&lt;&gt;"",
        VLOOKUP($AT22,IP!$D$4:$N$153,11,FALSE),"")</f>
        <v/>
      </c>
      <c r="AV22" s="818" t="str">
        <f t="shared" si="18"/>
        <v/>
      </c>
      <c r="AW22" s="1048" t="str">
        <f t="shared" si="24"/>
        <v/>
      </c>
      <c r="AX22" s="1025" t="str">
        <f t="shared" si="20"/>
        <v/>
      </c>
      <c r="AY22" s="1528" t="str">
        <f t="shared" si="25"/>
        <v/>
      </c>
    </row>
    <row r="23" spans="1:51">
      <c r="A23" s="1071"/>
      <c r="B23" s="913" t="str">
        <f>IF($A23&lt;&gt;"",VLOOKUP(VLOOKUP($C23,dist_assets,2,FALSE),'Distributed Assets'!$C$7:$F$22,4,FALSE),"")</f>
        <v/>
      </c>
      <c r="C23" s="1051" t="str">
        <f>IF($A23&lt;&gt;"",VLOOKUP($A23,IP!$A$4:O$93,2,FALSE),"")</f>
        <v/>
      </c>
      <c r="D23" s="913" t="str">
        <f t="shared" si="0"/>
        <v/>
      </c>
      <c r="E23" s="913" t="str">
        <f t="shared" si="1"/>
        <v/>
      </c>
      <c r="F23" s="913" t="str">
        <f t="shared" si="2"/>
        <v/>
      </c>
      <c r="G23" s="913" t="str">
        <f t="shared" si="3"/>
        <v/>
      </c>
      <c r="H23" s="2380" t="str">
        <f t="shared" si="4"/>
        <v/>
      </c>
      <c r="I23" s="913" t="str">
        <f>IF($C23&lt;&gt;"",
IF(LEFT(VLOOKUP($C23,dist_assets,16,FALSE),6)="Active",
     VLOOKUP($C23,'Distributed Assets'!$B$28:$AS$102,16,FALSE),"No"),"")</f>
        <v/>
      </c>
      <c r="J23" s="913" t="str">
        <f>IF($A23&lt;&gt;"",VLOOKUP($A23,IP!$A$4:$U$167,8,FALSE),"")</f>
        <v/>
      </c>
      <c r="K23" s="913" t="str">
        <f>IF($A23&lt;&gt;"",VLOOKUP($A23,IP!$A$4:$U$167,16,FALSE),"")</f>
        <v/>
      </c>
      <c r="L23" s="1052" t="str">
        <f>IF($A23&lt;&gt;"",
                         (VLOOKUP($A23,IP!$A$4:$N$153,11,FALSE)),
        "")</f>
        <v/>
      </c>
      <c r="M23" s="815" t="str">
        <f>IF($A23&lt;&gt;"",VLOOKUP($A23,IP!$A$4:$U$167,14,FALSE),"")</f>
        <v/>
      </c>
      <c r="N23" s="1052" t="str">
        <f>IF($A23&lt;&gt;"",VLOOKUP($A23,IP!$A$4:$U$167,9,FALSE),"")</f>
        <v/>
      </c>
      <c r="O23" s="1052" t="str">
        <f>IF($A23&lt;&gt;"",VLOOKUP($A23,IP!$A$4:$U$167,10,FALSE),"")</f>
        <v/>
      </c>
      <c r="P23" s="2047" t="str">
        <f t="shared" si="21"/>
        <v/>
      </c>
      <c r="Q23" s="2047" t="str">
        <f t="shared" si="22"/>
        <v/>
      </c>
      <c r="R23" s="818" t="str">
        <f t="shared" si="26"/>
        <v/>
      </c>
      <c r="S23" s="817" t="str">
        <f t="shared" si="6"/>
        <v/>
      </c>
      <c r="T23" s="1053" t="str">
        <f t="shared" si="23"/>
        <v/>
      </c>
      <c r="U23" s="1053" t="str">
        <f t="shared" si="7"/>
        <v/>
      </c>
      <c r="V23" s="817" t="str">
        <f t="shared" si="8"/>
        <v/>
      </c>
      <c r="W23" s="1054" t="str">
        <f t="shared" si="9"/>
        <v/>
      </c>
      <c r="X23" s="1525" t="str">
        <f t="shared" si="10"/>
        <v/>
      </c>
      <c r="Y23" s="1055" t="str">
        <f t="shared" si="11"/>
        <v/>
      </c>
      <c r="Z23" s="1055" t="str">
        <f t="shared" si="12"/>
        <v/>
      </c>
      <c r="AA23" s="1053"/>
      <c r="AB23" s="1053" t="str">
        <f t="shared" si="13"/>
        <v/>
      </c>
      <c r="AC23" s="2965" t="str">
        <f t="shared" si="14"/>
        <v/>
      </c>
      <c r="AD23" s="1586"/>
      <c r="AE23" s="1586"/>
      <c r="AF23" s="1333" t="str">
        <f t="shared" si="15"/>
        <v/>
      </c>
      <c r="AG23" s="1333"/>
      <c r="AH23" s="874" t="str">
        <f t="shared" si="16"/>
        <v/>
      </c>
      <c r="AI23" s="1055" t="str">
        <f t="shared" si="17"/>
        <v/>
      </c>
      <c r="AJ23" s="1055" t="str">
        <f>IF($C62&lt;&gt;"",VLOOKUP($C62,'Distributed Assets'!$B$28:$AS$102,16,FALSE),"")</f>
        <v/>
      </c>
      <c r="AK23" s="1527"/>
      <c r="AL23" s="925"/>
      <c r="AM23" s="1056"/>
      <c r="AN23" s="817" t="str">
        <f>IF($A23&lt;&gt;"",
       IF($F23="Physical", VLOOKUP($A23,#REF!,8,FALSE),"N/A"),
   "")</f>
        <v/>
      </c>
      <c r="AO23" s="818" t="str">
        <f t="array" ref="AO23">IFERROR(INDEX(IP!$N$4:$N$153,MATCH($C23,IF(IP!$H$4:$H$153="iLO Interface",IP!$B$4:$B$153),0)),"")</f>
        <v/>
      </c>
      <c r="AP23" s="818" t="str">
        <f t="array" ref="AP23">IFERROR(INDEX(IP!$I$4:$I$153,MATCH($C23,IF(IP!$H$4:$H$153="iLO Interface",IP!$B$4:$B$153),0)),"")</f>
        <v/>
      </c>
      <c r="AQ23" s="818" t="str">
        <f t="array" ref="AQ23">IFERROR(INDEX(IP!$J$4:$J$153,MATCH($C23,IF(IP!$H$4:$H$153="iLO Interface",IP!$B$4:$B$153),0)),"")</f>
        <v/>
      </c>
      <c r="AR23" s="1057"/>
      <c r="AS23" s="818" t="str">
        <f>IF($AR23&lt;&gt;"",
        VLOOKUP($AR23,IP!$D$4:$N$153,11,FALSE),"")</f>
        <v/>
      </c>
      <c r="AT23" s="1057"/>
      <c r="AU23" s="818" t="str">
        <f>IF($AT23&lt;&gt;"",
        VLOOKUP($AT23,IP!$D$4:$N$153,11,FALSE),"")</f>
        <v/>
      </c>
      <c r="AV23" s="818" t="str">
        <f t="shared" si="18"/>
        <v/>
      </c>
      <c r="AW23" s="1048" t="str">
        <f t="shared" si="24"/>
        <v/>
      </c>
      <c r="AX23" s="1025" t="str">
        <f t="shared" si="20"/>
        <v/>
      </c>
      <c r="AY23" s="1528" t="str">
        <f t="shared" si="25"/>
        <v/>
      </c>
    </row>
    <row r="24" spans="1:51">
      <c r="A24" s="1071"/>
      <c r="B24" s="913" t="str">
        <f>IF($A24&lt;&gt;"",VLOOKUP(VLOOKUP($C24,dist_assets,2,FALSE),'Distributed Assets'!$C$7:$F$22,4,FALSE),"")</f>
        <v/>
      </c>
      <c r="C24" s="1051" t="str">
        <f>IF($A24&lt;&gt;"",VLOOKUP($A24,IP!$A$4:O$93,2,FALSE),"")</f>
        <v/>
      </c>
      <c r="D24" s="913" t="str">
        <f t="shared" si="0"/>
        <v/>
      </c>
      <c r="E24" s="913" t="str">
        <f t="shared" si="1"/>
        <v/>
      </c>
      <c r="F24" s="913" t="str">
        <f t="shared" si="2"/>
        <v/>
      </c>
      <c r="G24" s="913" t="str">
        <f t="shared" si="3"/>
        <v/>
      </c>
      <c r="H24" s="2380" t="str">
        <f t="shared" si="4"/>
        <v/>
      </c>
      <c r="I24" s="913" t="str">
        <f>IF($C24&lt;&gt;"",
IF(LEFT(VLOOKUP($C24,dist_assets,16,FALSE),6)="Active",
     VLOOKUP($C24,'Distributed Assets'!$B$28:$AS$102,16,FALSE),"No"),"")</f>
        <v/>
      </c>
      <c r="J24" s="913" t="str">
        <f>IF($A24&lt;&gt;"",VLOOKUP($A24,IP!$A$4:$U$167,8,FALSE),"")</f>
        <v/>
      </c>
      <c r="K24" s="913" t="str">
        <f>IF($A24&lt;&gt;"",VLOOKUP($A24,IP!$A$4:$U$167,16,FALSE),"")</f>
        <v/>
      </c>
      <c r="L24" s="1052" t="str">
        <f>IF($A24&lt;&gt;"",
                         (VLOOKUP($A24,IP!$A$4:$N$153,11,FALSE)),
        "")</f>
        <v/>
      </c>
      <c r="M24" s="815" t="str">
        <f>IF($A24&lt;&gt;"",VLOOKUP($A24,IP!$A$4:$U$167,14,FALSE),"")</f>
        <v/>
      </c>
      <c r="N24" s="1052" t="str">
        <f>IF($A24&lt;&gt;"",VLOOKUP($A24,IP!$A$4:$U$167,9,FALSE),"")</f>
        <v/>
      </c>
      <c r="O24" s="1052" t="str">
        <f>IF($A24&lt;&gt;"",VLOOKUP($A24,IP!$A$4:$U$167,10,FALSE),"")</f>
        <v/>
      </c>
      <c r="P24" s="2047" t="str">
        <f t="shared" si="21"/>
        <v/>
      </c>
      <c r="Q24" s="2047" t="str">
        <f t="shared" si="22"/>
        <v/>
      </c>
      <c r="R24" s="818" t="str">
        <f t="shared" si="26"/>
        <v/>
      </c>
      <c r="S24" s="817" t="str">
        <f t="shared" si="6"/>
        <v/>
      </c>
      <c r="T24" s="1053" t="str">
        <f t="shared" si="23"/>
        <v/>
      </c>
      <c r="U24" s="1053" t="str">
        <f t="shared" si="7"/>
        <v/>
      </c>
      <c r="V24" s="817" t="str">
        <f t="shared" si="8"/>
        <v/>
      </c>
      <c r="W24" s="1054" t="str">
        <f t="shared" si="9"/>
        <v/>
      </c>
      <c r="X24" s="1525" t="str">
        <f t="shared" si="10"/>
        <v/>
      </c>
      <c r="Y24" s="1055" t="str">
        <f t="shared" si="11"/>
        <v/>
      </c>
      <c r="Z24" s="1055" t="str">
        <f t="shared" si="12"/>
        <v/>
      </c>
      <c r="AA24" s="1053"/>
      <c r="AB24" s="1053" t="str">
        <f t="shared" si="13"/>
        <v/>
      </c>
      <c r="AC24" s="2965" t="str">
        <f t="shared" si="14"/>
        <v/>
      </c>
      <c r="AD24" s="1586"/>
      <c r="AE24" s="1586"/>
      <c r="AF24" s="1333" t="str">
        <f t="shared" si="15"/>
        <v/>
      </c>
      <c r="AG24" s="1333"/>
      <c r="AH24" s="874" t="str">
        <f t="shared" si="16"/>
        <v/>
      </c>
      <c r="AI24" s="1055" t="str">
        <f t="shared" si="17"/>
        <v/>
      </c>
      <c r="AJ24" s="1055" t="str">
        <f>IF($C63&lt;&gt;"",VLOOKUP($C63,'Distributed Assets'!$B$28:$AS$102,16,FALSE),"")</f>
        <v/>
      </c>
      <c r="AK24" s="1527"/>
      <c r="AL24" s="925"/>
      <c r="AM24" s="1056"/>
      <c r="AN24" s="817" t="str">
        <f>IF($A24&lt;&gt;"",
       IF($F24="Physical", VLOOKUP($A24,#REF!,8,FALSE),"N/A"),
   "")</f>
        <v/>
      </c>
      <c r="AO24" s="818" t="str">
        <f t="array" ref="AO24">IFERROR(INDEX(IP!$N$4:$N$153,MATCH($C24,IF(IP!$H$4:$H$153="iLO Interface",IP!$B$4:$B$153),0)),"")</f>
        <v/>
      </c>
      <c r="AP24" s="818" t="str">
        <f t="array" ref="AP24">IFERROR(INDEX(IP!$I$4:$I$153,MATCH($C24,IF(IP!$H$4:$H$153="iLO Interface",IP!$B$4:$B$153),0)),"")</f>
        <v/>
      </c>
      <c r="AQ24" s="818" t="str">
        <f t="array" ref="AQ24">IFERROR(INDEX(IP!$J$4:$J$153,MATCH($C24,IF(IP!$H$4:$H$153="iLO Interface",IP!$B$4:$B$153),0)),"")</f>
        <v/>
      </c>
      <c r="AR24" s="1057"/>
      <c r="AS24" s="818" t="str">
        <f>IF($AR24&lt;&gt;"",
        VLOOKUP($AR24,IP!$D$4:$N$153,11,FALSE),"")</f>
        <v/>
      </c>
      <c r="AT24" s="1057"/>
      <c r="AU24" s="818" t="str">
        <f>IF($AT24&lt;&gt;"",
        VLOOKUP($AT24,IP!$D$4:$N$153,11,FALSE),"")</f>
        <v/>
      </c>
      <c r="AV24" s="818" t="str">
        <f t="shared" si="18"/>
        <v/>
      </c>
      <c r="AW24" s="1048" t="str">
        <f t="shared" si="24"/>
        <v/>
      </c>
      <c r="AX24" s="1025" t="str">
        <f t="shared" si="20"/>
        <v/>
      </c>
      <c r="AY24" s="1528" t="str">
        <f t="shared" si="25"/>
        <v/>
      </c>
    </row>
    <row r="25" spans="1:51">
      <c r="A25" s="1071"/>
      <c r="B25" s="913" t="str">
        <f>IF($A25&lt;&gt;"",VLOOKUP(VLOOKUP($C25,dist_assets,2,FALSE),'Distributed Assets'!$C$7:$F$22,4,FALSE),"")</f>
        <v/>
      </c>
      <c r="C25" s="1051" t="str">
        <f>IF($A25&lt;&gt;"",VLOOKUP($A25,IP!$A$4:O$93,2,FALSE),"")</f>
        <v/>
      </c>
      <c r="D25" s="913" t="str">
        <f t="shared" si="0"/>
        <v/>
      </c>
      <c r="E25" s="913" t="str">
        <f t="shared" si="1"/>
        <v/>
      </c>
      <c r="F25" s="913" t="str">
        <f t="shared" si="2"/>
        <v/>
      </c>
      <c r="G25" s="913" t="str">
        <f t="shared" si="3"/>
        <v/>
      </c>
      <c r="H25" s="2380" t="str">
        <f t="shared" si="4"/>
        <v/>
      </c>
      <c r="I25" s="913" t="str">
        <f>IF($C25&lt;&gt;"",
IF(LEFT(VLOOKUP($C25,dist_assets,16,FALSE),6)="Active",
     VLOOKUP($C25,'Distributed Assets'!$B$28:$AS$102,16,FALSE),"No"),"")</f>
        <v/>
      </c>
      <c r="J25" s="913" t="str">
        <f>IF($A25&lt;&gt;"",VLOOKUP($A25,IP!$A$4:$U$167,8,FALSE),"")</f>
        <v/>
      </c>
      <c r="K25" s="913" t="str">
        <f>IF($A25&lt;&gt;"",VLOOKUP($A25,IP!$A$4:$U$167,16,FALSE),"")</f>
        <v/>
      </c>
      <c r="L25" s="1052" t="str">
        <f>IF($A25&lt;&gt;"",
                         (VLOOKUP($A25,IP!$A$4:$N$153,11,FALSE)),
        "")</f>
        <v/>
      </c>
      <c r="M25" s="815" t="str">
        <f>IF($A25&lt;&gt;"",VLOOKUP($A25,IP!$A$4:$U$167,14,FALSE),"")</f>
        <v/>
      </c>
      <c r="N25" s="1052" t="str">
        <f>IF($A25&lt;&gt;"",VLOOKUP($A25,IP!$A$4:$U$167,9,FALSE),"")</f>
        <v/>
      </c>
      <c r="O25" s="1052" t="str">
        <f>IF($A25&lt;&gt;"",VLOOKUP($A25,IP!$A$4:$U$167,10,FALSE),"")</f>
        <v/>
      </c>
      <c r="P25" s="2047" t="str">
        <f t="shared" si="21"/>
        <v/>
      </c>
      <c r="Q25" s="2047" t="str">
        <f t="shared" si="22"/>
        <v/>
      </c>
      <c r="R25" s="818" t="str">
        <f t="shared" si="26"/>
        <v/>
      </c>
      <c r="S25" s="817" t="str">
        <f t="shared" si="6"/>
        <v/>
      </c>
      <c r="T25" s="1053" t="str">
        <f t="shared" si="23"/>
        <v/>
      </c>
      <c r="U25" s="1053" t="str">
        <f t="shared" si="7"/>
        <v/>
      </c>
      <c r="V25" s="817" t="str">
        <f t="shared" si="8"/>
        <v/>
      </c>
      <c r="W25" s="1054" t="str">
        <f t="shared" si="9"/>
        <v/>
      </c>
      <c r="X25" s="1525" t="str">
        <f t="shared" si="10"/>
        <v/>
      </c>
      <c r="Y25" s="1055" t="str">
        <f t="shared" si="11"/>
        <v/>
      </c>
      <c r="Z25" s="1055" t="str">
        <f t="shared" si="12"/>
        <v/>
      </c>
      <c r="AA25" s="1053"/>
      <c r="AB25" s="1053" t="str">
        <f t="shared" si="13"/>
        <v/>
      </c>
      <c r="AC25" s="2965" t="str">
        <f t="shared" si="14"/>
        <v/>
      </c>
      <c r="AD25" s="1586"/>
      <c r="AE25" s="1586"/>
      <c r="AF25" s="1333" t="str">
        <f t="shared" si="15"/>
        <v/>
      </c>
      <c r="AG25" s="1333"/>
      <c r="AH25" s="874" t="str">
        <f t="shared" si="16"/>
        <v/>
      </c>
      <c r="AI25" s="1055" t="str">
        <f t="shared" si="17"/>
        <v/>
      </c>
      <c r="AJ25" s="1055" t="str">
        <f>IF($C64&lt;&gt;"",VLOOKUP($C64,'Distributed Assets'!$B$28:$AS$102,16,FALSE),"")</f>
        <v/>
      </c>
      <c r="AK25" s="1527"/>
      <c r="AL25" s="925"/>
      <c r="AM25" s="1056"/>
      <c r="AN25" s="817" t="str">
        <f>IF($A25&lt;&gt;"",
       IF($F25="Physical", VLOOKUP($A25,#REF!,8,FALSE),"N/A"),
   "")</f>
        <v/>
      </c>
      <c r="AO25" s="818" t="str">
        <f t="array" ref="AO25">IFERROR(INDEX(IP!$N$4:$N$153,MATCH($C25,IF(IP!$H$4:$H$153="iLO Interface",IP!$B$4:$B$153),0)),"")</f>
        <v/>
      </c>
      <c r="AP25" s="818" t="str">
        <f t="array" ref="AP25">IFERROR(INDEX(IP!$I$4:$I$153,MATCH($C25,IF(IP!$H$4:$H$153="iLO Interface",IP!$B$4:$B$153),0)),"")</f>
        <v/>
      </c>
      <c r="AQ25" s="818" t="str">
        <f t="array" ref="AQ25">IFERROR(INDEX(IP!$J$4:$J$153,MATCH($C25,IF(IP!$H$4:$H$153="iLO Interface",IP!$B$4:$B$153),0)),"")</f>
        <v/>
      </c>
      <c r="AR25" s="1057"/>
      <c r="AS25" s="818" t="str">
        <f>IF($AR25&lt;&gt;"",
        VLOOKUP($AR25,IP!$D$4:$N$153,11,FALSE),"")</f>
        <v/>
      </c>
      <c r="AT25" s="1057"/>
      <c r="AU25" s="818" t="str">
        <f>IF($AT25&lt;&gt;"",
        VLOOKUP($AT25,IP!$D$4:$N$153,11,FALSE),"")</f>
        <v/>
      </c>
      <c r="AV25" s="818" t="str">
        <f t="shared" si="18"/>
        <v/>
      </c>
      <c r="AW25" s="1048" t="str">
        <f t="shared" si="24"/>
        <v/>
      </c>
      <c r="AX25" s="1025" t="str">
        <f t="shared" si="20"/>
        <v/>
      </c>
      <c r="AY25" s="1528" t="str">
        <f t="shared" si="25"/>
        <v/>
      </c>
    </row>
    <row r="26" spans="1:51">
      <c r="A26" s="1071"/>
      <c r="B26" s="913" t="str">
        <f>IF($A26&lt;&gt;"",VLOOKUP(VLOOKUP($C26,dist_assets,2,FALSE),'Distributed Assets'!$C$7:$F$22,4,FALSE),"")</f>
        <v/>
      </c>
      <c r="C26" s="1051" t="str">
        <f>IF($A26&lt;&gt;"",VLOOKUP($A26,IP!$A$4:O$93,2,FALSE),"")</f>
        <v/>
      </c>
      <c r="D26" s="913" t="str">
        <f t="shared" si="0"/>
        <v/>
      </c>
      <c r="E26" s="913" t="str">
        <f t="shared" si="1"/>
        <v/>
      </c>
      <c r="F26" s="913" t="str">
        <f t="shared" si="2"/>
        <v/>
      </c>
      <c r="G26" s="913" t="str">
        <f t="shared" si="3"/>
        <v/>
      </c>
      <c r="H26" s="2380" t="str">
        <f t="shared" si="4"/>
        <v/>
      </c>
      <c r="I26" s="913" t="str">
        <f>IF($C26&lt;&gt;"",
IF(LEFT(VLOOKUP($C26,dist_assets,16,FALSE),6)="Active",
     VLOOKUP($C26,'Distributed Assets'!$B$28:$AS$102,16,FALSE),"No"),"")</f>
        <v/>
      </c>
      <c r="J26" s="913" t="str">
        <f>IF($A26&lt;&gt;"",VLOOKUP($A26,IP!$A$4:$U$167,8,FALSE),"")</f>
        <v/>
      </c>
      <c r="K26" s="913" t="str">
        <f>IF($A26&lt;&gt;"",VLOOKUP($A26,IP!$A$4:$U$167,16,FALSE),"")</f>
        <v/>
      </c>
      <c r="L26" s="1052" t="str">
        <f>IF($A26&lt;&gt;"",
                         (VLOOKUP($A26,IP!$A$4:$N$153,11,FALSE)),
        "")</f>
        <v/>
      </c>
      <c r="M26" s="815" t="str">
        <f>IF($A26&lt;&gt;"",VLOOKUP($A26,IP!$A$4:$U$167,14,FALSE),"")</f>
        <v/>
      </c>
      <c r="N26" s="1052" t="str">
        <f>IF($A26&lt;&gt;"",VLOOKUP($A26,IP!$A$4:$U$167,9,FALSE),"")</f>
        <v/>
      </c>
      <c r="O26" s="1052" t="str">
        <f>IF($A26&lt;&gt;"",VLOOKUP($A26,IP!$A$4:$U$167,10,FALSE),"")</f>
        <v/>
      </c>
      <c r="P26" s="2047" t="str">
        <f t="shared" si="21"/>
        <v/>
      </c>
      <c r="Q26" s="2047" t="str">
        <f t="shared" si="22"/>
        <v/>
      </c>
      <c r="R26" s="818" t="str">
        <f t="shared" si="26"/>
        <v/>
      </c>
      <c r="S26" s="817" t="str">
        <f t="shared" si="6"/>
        <v/>
      </c>
      <c r="T26" s="1053" t="str">
        <f t="shared" si="23"/>
        <v/>
      </c>
      <c r="U26" s="1053" t="str">
        <f t="shared" si="7"/>
        <v/>
      </c>
      <c r="V26" s="817" t="str">
        <f t="shared" si="8"/>
        <v/>
      </c>
      <c r="W26" s="1054" t="str">
        <f t="shared" si="9"/>
        <v/>
      </c>
      <c r="X26" s="1525" t="str">
        <f t="shared" si="10"/>
        <v/>
      </c>
      <c r="Y26" s="1055" t="str">
        <f t="shared" si="11"/>
        <v/>
      </c>
      <c r="Z26" s="1055" t="str">
        <f t="shared" si="12"/>
        <v/>
      </c>
      <c r="AA26" s="1053"/>
      <c r="AB26" s="1053" t="str">
        <f t="shared" si="13"/>
        <v/>
      </c>
      <c r="AC26" s="2965" t="str">
        <f t="shared" si="14"/>
        <v/>
      </c>
      <c r="AD26" s="1586"/>
      <c r="AE26" s="1586"/>
      <c r="AF26" s="1333" t="str">
        <f t="shared" si="15"/>
        <v/>
      </c>
      <c r="AG26" s="1333"/>
      <c r="AH26" s="874" t="str">
        <f t="shared" si="16"/>
        <v/>
      </c>
      <c r="AI26" s="1055" t="str">
        <f t="shared" si="17"/>
        <v/>
      </c>
      <c r="AJ26" s="1055" t="str">
        <f>IF($C65&lt;&gt;"",VLOOKUP($C65,'Distributed Assets'!$B$28:$AS$102,16,FALSE),"")</f>
        <v/>
      </c>
      <c r="AK26" s="1527"/>
      <c r="AL26" s="925"/>
      <c r="AM26" s="1056"/>
      <c r="AN26" s="817" t="str">
        <f>IF($A26&lt;&gt;"",
       IF($F26="Physical", VLOOKUP($A26,#REF!,8,FALSE),"N/A"),
   "")</f>
        <v/>
      </c>
      <c r="AO26" s="818" t="str">
        <f t="array" ref="AO26">IFERROR(INDEX(IP!$N$4:$N$153,MATCH($C26,IF(IP!$H$4:$H$153="iLO Interface",IP!$B$4:$B$153),0)),"")</f>
        <v/>
      </c>
      <c r="AP26" s="818" t="str">
        <f t="array" ref="AP26">IFERROR(INDEX(IP!$I$4:$I$153,MATCH($C26,IF(IP!$H$4:$H$153="iLO Interface",IP!$B$4:$B$153),0)),"")</f>
        <v/>
      </c>
      <c r="AQ26" s="818" t="str">
        <f t="array" ref="AQ26">IFERROR(INDEX(IP!$J$4:$J$153,MATCH($C26,IF(IP!$H$4:$H$153="iLO Interface",IP!$B$4:$B$153),0)),"")</f>
        <v/>
      </c>
      <c r="AR26" s="1057"/>
      <c r="AS26" s="818" t="str">
        <f>IF($AR26&lt;&gt;"",
        VLOOKUP($AR26,IP!$D$4:$N$153,11,FALSE),"")</f>
        <v/>
      </c>
      <c r="AT26" s="1057"/>
      <c r="AU26" s="818" t="str">
        <f>IF($AT26&lt;&gt;"",
        VLOOKUP($AT26,IP!$D$4:$N$153,11,FALSE),"")</f>
        <v/>
      </c>
      <c r="AV26" s="818" t="str">
        <f t="shared" si="18"/>
        <v/>
      </c>
      <c r="AW26" s="1048" t="str">
        <f t="shared" si="24"/>
        <v/>
      </c>
      <c r="AX26" s="1025" t="str">
        <f t="shared" si="20"/>
        <v/>
      </c>
      <c r="AY26" s="1528" t="str">
        <f t="shared" si="25"/>
        <v/>
      </c>
    </row>
    <row r="27" spans="1:51">
      <c r="A27" s="1071"/>
      <c r="B27" s="913" t="str">
        <f>IF($A27&lt;&gt;"",VLOOKUP(VLOOKUP($C27,dist_assets,2,FALSE),'Distributed Assets'!$C$7:$F$22,4,FALSE),"")</f>
        <v/>
      </c>
      <c r="C27" s="1051" t="str">
        <f>IF($A27&lt;&gt;"",VLOOKUP($A27,IP!$A$4:O$93,2,FALSE),"")</f>
        <v/>
      </c>
      <c r="D27" s="913" t="str">
        <f t="shared" si="0"/>
        <v/>
      </c>
      <c r="E27" s="913" t="str">
        <f t="shared" si="1"/>
        <v/>
      </c>
      <c r="F27" s="913" t="str">
        <f t="shared" si="2"/>
        <v/>
      </c>
      <c r="G27" s="913" t="str">
        <f t="shared" si="3"/>
        <v/>
      </c>
      <c r="H27" s="2380" t="str">
        <f t="shared" si="4"/>
        <v/>
      </c>
      <c r="I27" s="913" t="str">
        <f>IF($C27&lt;&gt;"",
IF(LEFT(VLOOKUP($C27,dist_assets,16,FALSE),6)="Active",
     VLOOKUP($C27,'Distributed Assets'!$B$28:$AS$102,16,FALSE),"No"),"")</f>
        <v/>
      </c>
      <c r="J27" s="913" t="str">
        <f>IF($A27&lt;&gt;"",VLOOKUP($A27,IP!$A$4:$U$167,8,FALSE),"")</f>
        <v/>
      </c>
      <c r="K27" s="913" t="str">
        <f>IF($A27&lt;&gt;"",VLOOKUP($A27,IP!$A$4:$U$167,16,FALSE),"")</f>
        <v/>
      </c>
      <c r="L27" s="1052" t="str">
        <f>IF($A27&lt;&gt;"",
                         (VLOOKUP($A27,IP!$A$4:$N$153,11,FALSE)),
        "")</f>
        <v/>
      </c>
      <c r="M27" s="815" t="str">
        <f>IF($A27&lt;&gt;"",VLOOKUP($A27,IP!$A$4:$U$167,14,FALSE),"")</f>
        <v/>
      </c>
      <c r="N27" s="1052" t="str">
        <f>IF($A27&lt;&gt;"",VLOOKUP($A27,IP!$A$4:$U$167,9,FALSE),"")</f>
        <v/>
      </c>
      <c r="O27" s="1052" t="str">
        <f>IF($A27&lt;&gt;"",VLOOKUP($A27,IP!$A$4:$U$167,10,FALSE),"")</f>
        <v/>
      </c>
      <c r="P27" s="2047" t="str">
        <f t="shared" si="21"/>
        <v/>
      </c>
      <c r="Q27" s="2047" t="str">
        <f t="shared" si="22"/>
        <v/>
      </c>
      <c r="R27" s="818" t="str">
        <f t="shared" si="26"/>
        <v/>
      </c>
      <c r="S27" s="817" t="str">
        <f t="shared" si="6"/>
        <v/>
      </c>
      <c r="T27" s="1053" t="str">
        <f t="shared" si="23"/>
        <v/>
      </c>
      <c r="U27" s="1053" t="str">
        <f t="shared" si="7"/>
        <v/>
      </c>
      <c r="V27" s="817" t="str">
        <f t="shared" si="8"/>
        <v/>
      </c>
      <c r="W27" s="1054" t="str">
        <f t="shared" si="9"/>
        <v/>
      </c>
      <c r="X27" s="1525" t="str">
        <f t="shared" si="10"/>
        <v/>
      </c>
      <c r="Y27" s="1055" t="str">
        <f t="shared" si="11"/>
        <v/>
      </c>
      <c r="Z27" s="1055" t="str">
        <f t="shared" si="12"/>
        <v/>
      </c>
      <c r="AA27" s="1053"/>
      <c r="AB27" s="1053" t="str">
        <f t="shared" si="13"/>
        <v/>
      </c>
      <c r="AC27" s="2965" t="str">
        <f t="shared" si="14"/>
        <v/>
      </c>
      <c r="AD27" s="1586"/>
      <c r="AE27" s="1586"/>
      <c r="AF27" s="1333" t="str">
        <f t="shared" si="15"/>
        <v/>
      </c>
      <c r="AG27" s="1333"/>
      <c r="AH27" s="874" t="str">
        <f t="shared" si="16"/>
        <v/>
      </c>
      <c r="AI27" s="1055" t="str">
        <f t="shared" si="17"/>
        <v/>
      </c>
      <c r="AJ27" s="1055" t="str">
        <f>IF($C66&lt;&gt;"",VLOOKUP($C66,'Distributed Assets'!$B$28:$AS$102,16,FALSE),"")</f>
        <v/>
      </c>
      <c r="AK27" s="1527"/>
      <c r="AL27" s="925"/>
      <c r="AM27" s="1056"/>
      <c r="AN27" s="817" t="str">
        <f>IF($A27&lt;&gt;"",
       IF($F27="Physical", VLOOKUP($A27,#REF!,8,FALSE),"N/A"),
   "")</f>
        <v/>
      </c>
      <c r="AO27" s="818" t="str">
        <f t="array" ref="AO27">IFERROR(INDEX(IP!$N$4:$N$153,MATCH($C27,IF(IP!$H$4:$H$153="iLO Interface",IP!$B$4:$B$153),0)),"")</f>
        <v/>
      </c>
      <c r="AP27" s="818" t="str">
        <f t="array" ref="AP27">IFERROR(INDEX(IP!$I$4:$I$153,MATCH($C27,IF(IP!$H$4:$H$153="iLO Interface",IP!$B$4:$B$153),0)),"")</f>
        <v/>
      </c>
      <c r="AQ27" s="818" t="str">
        <f t="array" ref="AQ27">IFERROR(INDEX(IP!$J$4:$J$153,MATCH($C27,IF(IP!$H$4:$H$153="iLO Interface",IP!$B$4:$B$153),0)),"")</f>
        <v/>
      </c>
      <c r="AR27" s="1057"/>
      <c r="AS27" s="818" t="str">
        <f>IF($AR27&lt;&gt;"",
        VLOOKUP($AR27,IP!$D$4:$N$153,11,FALSE),"")</f>
        <v/>
      </c>
      <c r="AT27" s="1057"/>
      <c r="AU27" s="818" t="str">
        <f>IF($AT27&lt;&gt;"",
        VLOOKUP($AT27,IP!$D$4:$N$153,11,FALSE),"")</f>
        <v/>
      </c>
      <c r="AV27" s="818" t="str">
        <f t="shared" si="18"/>
        <v/>
      </c>
      <c r="AW27" s="1048" t="str">
        <f t="shared" si="24"/>
        <v/>
      </c>
      <c r="AX27" s="1025" t="str">
        <f t="shared" si="20"/>
        <v/>
      </c>
      <c r="AY27" s="1528" t="str">
        <f t="shared" si="25"/>
        <v/>
      </c>
    </row>
    <row r="28" spans="1:51">
      <c r="A28" s="1071"/>
      <c r="B28" s="913" t="str">
        <f>IF($A28&lt;&gt;"",VLOOKUP(VLOOKUP($C28,dist_assets,2,FALSE),'Distributed Assets'!$C$7:$F$22,4,FALSE),"")</f>
        <v/>
      </c>
      <c r="C28" s="1051" t="str">
        <f>IF($A28&lt;&gt;"",VLOOKUP($A28,IP!$A$4:O$93,2,FALSE),"")</f>
        <v/>
      </c>
      <c r="D28" s="913" t="str">
        <f t="shared" si="0"/>
        <v/>
      </c>
      <c r="E28" s="913" t="str">
        <f t="shared" si="1"/>
        <v/>
      </c>
      <c r="F28" s="913" t="str">
        <f t="shared" si="2"/>
        <v/>
      </c>
      <c r="G28" s="913" t="str">
        <f t="shared" si="3"/>
        <v/>
      </c>
      <c r="H28" s="2380" t="str">
        <f t="shared" si="4"/>
        <v/>
      </c>
      <c r="I28" s="913" t="str">
        <f>IF($C28&lt;&gt;"",
IF(LEFT(VLOOKUP($C28,dist_assets,16,FALSE),6)="Active",
     VLOOKUP($C28,'Distributed Assets'!$B$28:$AS$102,16,FALSE),"No"),"")</f>
        <v/>
      </c>
      <c r="J28" s="913" t="str">
        <f>IF($A28&lt;&gt;"",VLOOKUP($A28,IP!$A$4:$U$167,8,FALSE),"")</f>
        <v/>
      </c>
      <c r="K28" s="913" t="str">
        <f>IF($A28&lt;&gt;"",VLOOKUP($A28,IP!$A$4:$U$167,16,FALSE),"")</f>
        <v/>
      </c>
      <c r="L28" s="1052" t="str">
        <f>IF($A28&lt;&gt;"",
                         (VLOOKUP($A28,IP!$A$4:$N$153,11,FALSE)),
        "")</f>
        <v/>
      </c>
      <c r="M28" s="815" t="str">
        <f>IF($A28&lt;&gt;"",VLOOKUP($A28,IP!$A$4:$U$167,14,FALSE),"")</f>
        <v/>
      </c>
      <c r="N28" s="1052" t="str">
        <f>IF($A28&lt;&gt;"",VLOOKUP($A28,IP!$A$4:$U$167,9,FALSE),"")</f>
        <v/>
      </c>
      <c r="O28" s="1052" t="str">
        <f>IF($A28&lt;&gt;"",VLOOKUP($A28,IP!$A$4:$U$167,10,FALSE),"")</f>
        <v/>
      </c>
      <c r="P28" s="2047" t="str">
        <f t="shared" si="21"/>
        <v/>
      </c>
      <c r="Q28" s="2047" t="str">
        <f t="shared" si="22"/>
        <v/>
      </c>
      <c r="R28" s="818" t="str">
        <f t="shared" si="26"/>
        <v/>
      </c>
      <c r="S28" s="817" t="str">
        <f t="shared" si="6"/>
        <v/>
      </c>
      <c r="T28" s="1053" t="str">
        <f t="shared" si="23"/>
        <v/>
      </c>
      <c r="U28" s="1053" t="str">
        <f t="shared" si="7"/>
        <v/>
      </c>
      <c r="V28" s="817" t="str">
        <f t="shared" si="8"/>
        <v/>
      </c>
      <c r="W28" s="1054" t="str">
        <f t="shared" si="9"/>
        <v/>
      </c>
      <c r="X28" s="1525" t="str">
        <f t="shared" si="10"/>
        <v/>
      </c>
      <c r="Y28" s="1055" t="str">
        <f t="shared" si="11"/>
        <v/>
      </c>
      <c r="Z28" s="1055" t="str">
        <f t="shared" si="12"/>
        <v/>
      </c>
      <c r="AA28" s="1053"/>
      <c r="AB28" s="1053" t="str">
        <f t="shared" si="13"/>
        <v/>
      </c>
      <c r="AC28" s="2965" t="str">
        <f t="shared" si="14"/>
        <v/>
      </c>
      <c r="AD28" s="1586"/>
      <c r="AE28" s="1586"/>
      <c r="AF28" s="1333" t="str">
        <f t="shared" si="15"/>
        <v/>
      </c>
      <c r="AG28" s="1333"/>
      <c r="AH28" s="874" t="str">
        <f t="shared" si="16"/>
        <v/>
      </c>
      <c r="AI28" s="1055" t="str">
        <f t="shared" si="17"/>
        <v/>
      </c>
      <c r="AJ28" s="1055" t="str">
        <f>IF($C67&lt;&gt;"",VLOOKUP($C67,'Distributed Assets'!$B$28:$AS$102,16,FALSE),"")</f>
        <v/>
      </c>
      <c r="AK28" s="1527"/>
      <c r="AL28" s="925"/>
      <c r="AM28" s="1056"/>
      <c r="AN28" s="817" t="str">
        <f>IF($A28&lt;&gt;"",
       IF($F28="Physical", VLOOKUP($A28,#REF!,8,FALSE),"N/A"),
   "")</f>
        <v/>
      </c>
      <c r="AO28" s="818" t="str">
        <f t="array" ref="AO28">IFERROR(INDEX(IP!$N$4:$N$153,MATCH($C28,IF(IP!$H$4:$H$153="iLO Interface",IP!$B$4:$B$153),0)),"")</f>
        <v/>
      </c>
      <c r="AP28" s="818" t="str">
        <f t="array" ref="AP28">IFERROR(INDEX(IP!$I$4:$I$153,MATCH($C28,IF(IP!$H$4:$H$153="iLO Interface",IP!$B$4:$B$153),0)),"")</f>
        <v/>
      </c>
      <c r="AQ28" s="818" t="str">
        <f t="array" ref="AQ28">IFERROR(INDEX(IP!$J$4:$J$153,MATCH($C28,IF(IP!$H$4:$H$153="iLO Interface",IP!$B$4:$B$153),0)),"")</f>
        <v/>
      </c>
      <c r="AR28" s="1057"/>
      <c r="AS28" s="818" t="str">
        <f>IF($AR28&lt;&gt;"",
        VLOOKUP($AR28,IP!$D$4:$N$153,11,FALSE),"")</f>
        <v/>
      </c>
      <c r="AT28" s="1057"/>
      <c r="AU28" s="818" t="str">
        <f>IF($AT28&lt;&gt;"",
        VLOOKUP($AT28,IP!$D$4:$N$153,11,FALSE),"")</f>
        <v/>
      </c>
      <c r="AV28" s="818" t="str">
        <f t="shared" si="18"/>
        <v/>
      </c>
      <c r="AW28" s="1048" t="str">
        <f t="shared" si="24"/>
        <v/>
      </c>
      <c r="AX28" s="1025" t="str">
        <f t="shared" si="20"/>
        <v/>
      </c>
      <c r="AY28" s="1528" t="str">
        <f t="shared" si="25"/>
        <v/>
      </c>
    </row>
    <row r="29" spans="1:51">
      <c r="A29" s="1071"/>
      <c r="B29" s="913" t="str">
        <f>IF($A29&lt;&gt;"",VLOOKUP(VLOOKUP($C29,dist_assets,2,FALSE),'Distributed Assets'!$C$7:$F$22,4,FALSE),"")</f>
        <v/>
      </c>
      <c r="C29" s="1051" t="str">
        <f>IF($A29&lt;&gt;"",VLOOKUP($A29,IP!$A$4:O$93,2,FALSE),"")</f>
        <v/>
      </c>
      <c r="D29" s="913" t="str">
        <f t="shared" si="0"/>
        <v/>
      </c>
      <c r="E29" s="913" t="str">
        <f t="shared" si="1"/>
        <v/>
      </c>
      <c r="F29" s="913" t="str">
        <f t="shared" si="2"/>
        <v/>
      </c>
      <c r="G29" s="913" t="str">
        <f t="shared" si="3"/>
        <v/>
      </c>
      <c r="H29" s="2380" t="str">
        <f t="shared" si="4"/>
        <v/>
      </c>
      <c r="I29" s="913" t="str">
        <f>IF($C29&lt;&gt;"",
IF(LEFT(VLOOKUP($C29,dist_assets,16,FALSE),6)="Active",
     VLOOKUP($C29,'Distributed Assets'!$B$28:$AS$102,16,FALSE),"No"),"")</f>
        <v/>
      </c>
      <c r="J29" s="913" t="str">
        <f>IF($A29&lt;&gt;"",VLOOKUP($A29,IP!$A$4:$U$167,8,FALSE),"")</f>
        <v/>
      </c>
      <c r="K29" s="913" t="str">
        <f>IF($A29&lt;&gt;"",VLOOKUP($A29,IP!$A$4:$U$167,16,FALSE),"")</f>
        <v/>
      </c>
      <c r="L29" s="1052" t="str">
        <f>IF($A29&lt;&gt;"",
                         (VLOOKUP($A29,IP!$A$4:$N$153,11,FALSE)),
        "")</f>
        <v/>
      </c>
      <c r="M29" s="815" t="str">
        <f>IF($A29&lt;&gt;"",VLOOKUP($A29,IP!$A$4:$U$167,14,FALSE),"")</f>
        <v/>
      </c>
      <c r="N29" s="1052" t="str">
        <f>IF($A29&lt;&gt;"",VLOOKUP($A29,IP!$A$4:$U$167,9,FALSE),"")</f>
        <v/>
      </c>
      <c r="O29" s="1052" t="str">
        <f>IF($A29&lt;&gt;"",VLOOKUP($A29,IP!$A$4:$U$167,10,FALSE),"")</f>
        <v/>
      </c>
      <c r="P29" s="2047" t="str">
        <f t="shared" si="21"/>
        <v/>
      </c>
      <c r="Q29" s="2047" t="str">
        <f t="shared" si="22"/>
        <v/>
      </c>
      <c r="R29" s="818" t="str">
        <f t="shared" si="26"/>
        <v/>
      </c>
      <c r="S29" s="817" t="str">
        <f t="shared" si="6"/>
        <v/>
      </c>
      <c r="T29" s="1053" t="str">
        <f t="shared" si="23"/>
        <v/>
      </c>
      <c r="U29" s="1053" t="str">
        <f t="shared" si="7"/>
        <v/>
      </c>
      <c r="V29" s="817" t="str">
        <f t="shared" si="8"/>
        <v/>
      </c>
      <c r="W29" s="1054" t="str">
        <f t="shared" si="9"/>
        <v/>
      </c>
      <c r="X29" s="1525" t="str">
        <f t="shared" si="10"/>
        <v/>
      </c>
      <c r="Y29" s="1055" t="str">
        <f t="shared" si="11"/>
        <v/>
      </c>
      <c r="Z29" s="1055" t="str">
        <f t="shared" si="12"/>
        <v/>
      </c>
      <c r="AA29" s="1053"/>
      <c r="AB29" s="1053" t="str">
        <f t="shared" si="13"/>
        <v/>
      </c>
      <c r="AC29" s="2965" t="str">
        <f t="shared" si="14"/>
        <v/>
      </c>
      <c r="AD29" s="1586"/>
      <c r="AE29" s="1586"/>
      <c r="AF29" s="1333" t="str">
        <f t="shared" si="15"/>
        <v/>
      </c>
      <c r="AG29" s="1333"/>
      <c r="AH29" s="874" t="str">
        <f t="shared" si="16"/>
        <v/>
      </c>
      <c r="AI29" s="1055" t="str">
        <f t="shared" si="17"/>
        <v/>
      </c>
      <c r="AJ29" s="1055" t="str">
        <f>IF($C68&lt;&gt;"",VLOOKUP($C68,'Distributed Assets'!$B$28:$AS$102,16,FALSE),"")</f>
        <v/>
      </c>
      <c r="AK29" s="1527"/>
      <c r="AL29" s="925"/>
      <c r="AM29" s="1056"/>
      <c r="AN29" s="817" t="str">
        <f>IF($A29&lt;&gt;"",
       IF($F29="Physical", VLOOKUP($A29,#REF!,8,FALSE),"N/A"),
   "")</f>
        <v/>
      </c>
      <c r="AO29" s="818" t="str">
        <f t="array" ref="AO29">IFERROR(INDEX(IP!$N$4:$N$153,MATCH($C29,IF(IP!$H$4:$H$153="iLO Interface",IP!$B$4:$B$153),0)),"")</f>
        <v/>
      </c>
      <c r="AP29" s="818" t="str">
        <f t="array" ref="AP29">IFERROR(INDEX(IP!$I$4:$I$153,MATCH($C29,IF(IP!$H$4:$H$153="iLO Interface",IP!$B$4:$B$153),0)),"")</f>
        <v/>
      </c>
      <c r="AQ29" s="818" t="str">
        <f t="array" ref="AQ29">IFERROR(INDEX(IP!$J$4:$J$153,MATCH($C29,IF(IP!$H$4:$H$153="iLO Interface",IP!$B$4:$B$153),0)),"")</f>
        <v/>
      </c>
      <c r="AR29" s="1057"/>
      <c r="AS29" s="818" t="str">
        <f>IF($AR29&lt;&gt;"",
        VLOOKUP($AR29,IP!$D$4:$N$153,11,FALSE),"")</f>
        <v/>
      </c>
      <c r="AT29" s="1057"/>
      <c r="AU29" s="818" t="str">
        <f>IF($AT29&lt;&gt;"",
        VLOOKUP($AT29,IP!$D$4:$N$153,11,FALSE),"")</f>
        <v/>
      </c>
      <c r="AV29" s="818" t="str">
        <f t="shared" si="18"/>
        <v/>
      </c>
      <c r="AW29" s="1048" t="str">
        <f t="shared" si="24"/>
        <v/>
      </c>
      <c r="AX29" s="1025" t="str">
        <f t="shared" si="20"/>
        <v/>
      </c>
      <c r="AY29" s="1528" t="str">
        <f t="shared" si="25"/>
        <v/>
      </c>
    </row>
    <row r="30" spans="1:51">
      <c r="A30" s="1071"/>
      <c r="B30" s="913" t="str">
        <f>IF($A30&lt;&gt;"",VLOOKUP(VLOOKUP($C30,dist_assets,2,FALSE),'Distributed Assets'!$C$7:$F$22,4,FALSE),"")</f>
        <v/>
      </c>
      <c r="C30" s="1051" t="str">
        <f>IF($A30&lt;&gt;"",VLOOKUP($A30,IP!$A$4:O$93,2,FALSE),"")</f>
        <v/>
      </c>
      <c r="D30" s="913" t="str">
        <f t="shared" si="0"/>
        <v/>
      </c>
      <c r="E30" s="913" t="str">
        <f t="shared" si="1"/>
        <v/>
      </c>
      <c r="F30" s="913" t="str">
        <f t="shared" si="2"/>
        <v/>
      </c>
      <c r="G30" s="913" t="str">
        <f t="shared" si="3"/>
        <v/>
      </c>
      <c r="H30" s="2380" t="str">
        <f t="shared" si="4"/>
        <v/>
      </c>
      <c r="I30" s="913" t="str">
        <f>IF($C30&lt;&gt;"",
IF(LEFT(VLOOKUP($C30,dist_assets,16,FALSE),6)="Active",
     VLOOKUP($C30,'Distributed Assets'!$B$28:$AS$102,16,FALSE),"No"),"")</f>
        <v/>
      </c>
      <c r="J30" s="913" t="str">
        <f>IF($A30&lt;&gt;"",VLOOKUP($A30,IP!$A$4:$U$167,8,FALSE),"")</f>
        <v/>
      </c>
      <c r="K30" s="913" t="str">
        <f>IF($A30&lt;&gt;"",VLOOKUP($A30,IP!$A$4:$U$167,16,FALSE),"")</f>
        <v/>
      </c>
      <c r="L30" s="1052" t="str">
        <f>IF($A30&lt;&gt;"",
                         (VLOOKUP($A30,IP!$A$4:$N$153,11,FALSE)),
        "")</f>
        <v/>
      </c>
      <c r="M30" s="815" t="str">
        <f>IF($A30&lt;&gt;"",VLOOKUP($A30,IP!$A$4:$U$167,14,FALSE),"")</f>
        <v/>
      </c>
      <c r="N30" s="1052" t="str">
        <f>IF($A30&lt;&gt;"",VLOOKUP($A30,IP!$A$4:$U$167,9,FALSE),"")</f>
        <v/>
      </c>
      <c r="O30" s="1052" t="str">
        <f>IF($A30&lt;&gt;"",VLOOKUP($A30,IP!$A$4:$U$167,10,FALSE),"")</f>
        <v/>
      </c>
      <c r="P30" s="2047" t="str">
        <f t="shared" si="21"/>
        <v/>
      </c>
      <c r="Q30" s="2047" t="str">
        <f t="shared" si="22"/>
        <v/>
      </c>
      <c r="R30" s="818" t="str">
        <f t="shared" si="26"/>
        <v/>
      </c>
      <c r="S30" s="817" t="str">
        <f t="shared" si="6"/>
        <v/>
      </c>
      <c r="T30" s="1053" t="str">
        <f t="shared" si="23"/>
        <v/>
      </c>
      <c r="U30" s="1053" t="str">
        <f t="shared" si="7"/>
        <v/>
      </c>
      <c r="V30" s="817" t="str">
        <f t="shared" si="8"/>
        <v/>
      </c>
      <c r="W30" s="1054" t="str">
        <f t="shared" si="9"/>
        <v/>
      </c>
      <c r="X30" s="1525" t="str">
        <f t="shared" si="10"/>
        <v/>
      </c>
      <c r="Y30" s="1055" t="str">
        <f t="shared" si="11"/>
        <v/>
      </c>
      <c r="Z30" s="1055" t="str">
        <f t="shared" si="12"/>
        <v/>
      </c>
      <c r="AA30" s="1053"/>
      <c r="AB30" s="1053" t="str">
        <f t="shared" si="13"/>
        <v/>
      </c>
      <c r="AC30" s="2965" t="str">
        <f t="shared" si="14"/>
        <v/>
      </c>
      <c r="AD30" s="1586"/>
      <c r="AE30" s="1586"/>
      <c r="AF30" s="1333" t="str">
        <f t="shared" si="15"/>
        <v/>
      </c>
      <c r="AG30" s="1333"/>
      <c r="AH30" s="874" t="str">
        <f t="shared" si="16"/>
        <v/>
      </c>
      <c r="AI30" s="1055" t="str">
        <f t="shared" si="17"/>
        <v/>
      </c>
      <c r="AJ30" s="1055" t="str">
        <f>IF($C69&lt;&gt;"",VLOOKUP($C69,'Distributed Assets'!$B$28:$AS$102,16,FALSE),"")</f>
        <v/>
      </c>
      <c r="AK30" s="1527"/>
      <c r="AL30" s="925"/>
      <c r="AM30" s="1056"/>
      <c r="AN30" s="817" t="str">
        <f>IF($A30&lt;&gt;"",
       IF($F30="Physical", VLOOKUP($A30,#REF!,8,FALSE),"N/A"),
   "")</f>
        <v/>
      </c>
      <c r="AO30" s="818" t="str">
        <f t="array" ref="AO30">IFERROR(INDEX(IP!$N$4:$N$153,MATCH($C30,IF(IP!$H$4:$H$153="iLO Interface",IP!$B$4:$B$153),0)),"")</f>
        <v/>
      </c>
      <c r="AP30" s="818" t="str">
        <f t="array" ref="AP30">IFERROR(INDEX(IP!$I$4:$I$153,MATCH($C30,IF(IP!$H$4:$H$153="iLO Interface",IP!$B$4:$B$153),0)),"")</f>
        <v/>
      </c>
      <c r="AQ30" s="818" t="str">
        <f t="array" ref="AQ30">IFERROR(INDEX(IP!$J$4:$J$153,MATCH($C30,IF(IP!$H$4:$H$153="iLO Interface",IP!$B$4:$B$153),0)),"")</f>
        <v/>
      </c>
      <c r="AR30" s="1057"/>
      <c r="AS30" s="818" t="str">
        <f>IF($AR30&lt;&gt;"",
        VLOOKUP($AR30,IP!$D$4:$N$153,11,FALSE),"")</f>
        <v/>
      </c>
      <c r="AT30" s="1057"/>
      <c r="AU30" s="818" t="str">
        <f>IF($AT30&lt;&gt;"",
        VLOOKUP($AT30,IP!$D$4:$N$153,11,FALSE),"")</f>
        <v/>
      </c>
      <c r="AV30" s="818" t="str">
        <f t="shared" si="18"/>
        <v/>
      </c>
      <c r="AW30" s="1048" t="str">
        <f t="shared" si="24"/>
        <v/>
      </c>
      <c r="AX30" s="1025" t="str">
        <f t="shared" si="20"/>
        <v/>
      </c>
      <c r="AY30" s="1528" t="str">
        <f t="shared" si="25"/>
        <v/>
      </c>
    </row>
    <row r="31" spans="1:51">
      <c r="A31" s="1071"/>
      <c r="B31" s="913" t="str">
        <f>IF($A31&lt;&gt;"",VLOOKUP(VLOOKUP($C31,dist_assets,2,FALSE),'Distributed Assets'!$C$7:$F$22,4,FALSE),"")</f>
        <v/>
      </c>
      <c r="C31" s="1051" t="str">
        <f>IF($A31&lt;&gt;"",VLOOKUP($A31,IP!$A$4:O$93,2,FALSE),"")</f>
        <v/>
      </c>
      <c r="D31" s="913" t="str">
        <f t="shared" si="0"/>
        <v/>
      </c>
      <c r="E31" s="913" t="str">
        <f t="shared" si="1"/>
        <v/>
      </c>
      <c r="F31" s="913" t="str">
        <f t="shared" si="2"/>
        <v/>
      </c>
      <c r="G31" s="913" t="str">
        <f t="shared" si="3"/>
        <v/>
      </c>
      <c r="H31" s="2380" t="str">
        <f t="shared" si="4"/>
        <v/>
      </c>
      <c r="I31" s="913" t="str">
        <f>IF($C31&lt;&gt;"",
IF(LEFT(VLOOKUP($C31,dist_assets,16,FALSE),6)="Active",
     VLOOKUP($C31,'Distributed Assets'!$B$28:$AS$102,16,FALSE),"No"),"")</f>
        <v/>
      </c>
      <c r="J31" s="913" t="str">
        <f>IF($A31&lt;&gt;"",VLOOKUP($A31,IP!$A$4:$U$167,8,FALSE),"")</f>
        <v/>
      </c>
      <c r="K31" s="913" t="str">
        <f>IF($A31&lt;&gt;"",VLOOKUP($A31,IP!$A$4:$U$167,16,FALSE),"")</f>
        <v/>
      </c>
      <c r="L31" s="1052" t="str">
        <f>IF($A31&lt;&gt;"",
                         (VLOOKUP($A31,IP!$A$4:$N$153,11,FALSE)),
        "")</f>
        <v/>
      </c>
      <c r="M31" s="815" t="str">
        <f>IF($A31&lt;&gt;"",VLOOKUP($A31,IP!$A$4:$U$167,14,FALSE),"")</f>
        <v/>
      </c>
      <c r="N31" s="1052" t="str">
        <f>IF($A31&lt;&gt;"",VLOOKUP($A31,IP!$A$4:$U$167,9,FALSE),"")</f>
        <v/>
      </c>
      <c r="O31" s="1052" t="str">
        <f>IF($A31&lt;&gt;"",VLOOKUP($A31,IP!$A$4:$U$167,10,FALSE),"")</f>
        <v/>
      </c>
      <c r="P31" s="2047" t="str">
        <f t="shared" si="21"/>
        <v/>
      </c>
      <c r="Q31" s="2047" t="str">
        <f t="shared" si="22"/>
        <v/>
      </c>
      <c r="R31" s="818" t="str">
        <f t="shared" si="26"/>
        <v/>
      </c>
      <c r="S31" s="817" t="str">
        <f t="shared" si="6"/>
        <v/>
      </c>
      <c r="T31" s="1053" t="str">
        <f t="shared" si="23"/>
        <v/>
      </c>
      <c r="U31" s="1053" t="str">
        <f t="shared" si="7"/>
        <v/>
      </c>
      <c r="V31" s="817" t="str">
        <f t="shared" si="8"/>
        <v/>
      </c>
      <c r="W31" s="1054" t="str">
        <f t="shared" si="9"/>
        <v/>
      </c>
      <c r="X31" s="1525" t="str">
        <f t="shared" si="10"/>
        <v/>
      </c>
      <c r="Y31" s="1055" t="str">
        <f t="shared" si="11"/>
        <v/>
      </c>
      <c r="Z31" s="1055" t="str">
        <f t="shared" si="12"/>
        <v/>
      </c>
      <c r="AA31" s="1053"/>
      <c r="AB31" s="1053" t="str">
        <f t="shared" si="13"/>
        <v/>
      </c>
      <c r="AC31" s="2965" t="str">
        <f t="shared" si="14"/>
        <v/>
      </c>
      <c r="AD31" s="1586"/>
      <c r="AE31" s="1586"/>
      <c r="AF31" s="1333" t="str">
        <f t="shared" si="15"/>
        <v/>
      </c>
      <c r="AG31" s="1333"/>
      <c r="AH31" s="874" t="str">
        <f t="shared" si="16"/>
        <v/>
      </c>
      <c r="AI31" s="1055" t="str">
        <f t="shared" si="17"/>
        <v/>
      </c>
      <c r="AJ31" s="1055" t="str">
        <f>IF($C70&lt;&gt;"",VLOOKUP($C70,'Distributed Assets'!$B$28:$AS$102,16,FALSE),"")</f>
        <v/>
      </c>
      <c r="AK31" s="1527"/>
      <c r="AL31" s="925"/>
      <c r="AM31" s="1056"/>
      <c r="AN31" s="817" t="str">
        <f>IF($A31&lt;&gt;"",
       IF($F31="Physical", VLOOKUP($A31,#REF!,8,FALSE),"N/A"),
   "")</f>
        <v/>
      </c>
      <c r="AO31" s="818" t="str">
        <f t="array" ref="AO31">IFERROR(INDEX(IP!$N$4:$N$153,MATCH($C31,IF(IP!$H$4:$H$153="iLO Interface",IP!$B$4:$B$153),0)),"")</f>
        <v/>
      </c>
      <c r="AP31" s="818" t="str">
        <f t="array" ref="AP31">IFERROR(INDEX(IP!$I$4:$I$153,MATCH($C31,IF(IP!$H$4:$H$153="iLO Interface",IP!$B$4:$B$153),0)),"")</f>
        <v/>
      </c>
      <c r="AQ31" s="818" t="str">
        <f t="array" ref="AQ31">IFERROR(INDEX(IP!$J$4:$J$153,MATCH($C31,IF(IP!$H$4:$H$153="iLO Interface",IP!$B$4:$B$153),0)),"")</f>
        <v/>
      </c>
      <c r="AR31" s="1057"/>
      <c r="AS31" s="818" t="str">
        <f>IF($AR31&lt;&gt;"",
        VLOOKUP($AR31,IP!$D$4:$N$153,11,FALSE),"")</f>
        <v/>
      </c>
      <c r="AT31" s="1057"/>
      <c r="AU31" s="818" t="str">
        <f>IF($AT31&lt;&gt;"",
        VLOOKUP($AT31,IP!$D$4:$N$153,11,FALSE),"")</f>
        <v/>
      </c>
      <c r="AV31" s="818" t="str">
        <f t="shared" si="18"/>
        <v/>
      </c>
      <c r="AW31" s="1048" t="str">
        <f t="shared" si="24"/>
        <v/>
      </c>
      <c r="AX31" s="1025" t="str">
        <f t="shared" si="20"/>
        <v/>
      </c>
      <c r="AY31" s="1528" t="str">
        <f t="shared" si="25"/>
        <v/>
      </c>
    </row>
    <row r="32" spans="1:51">
      <c r="A32" s="1071"/>
      <c r="B32" s="913" t="str">
        <f>IF($A32&lt;&gt;"",VLOOKUP(VLOOKUP($C32,dist_assets,2,FALSE),'Distributed Assets'!$C$7:$F$22,4,FALSE),"")</f>
        <v/>
      </c>
      <c r="C32" s="1051" t="str">
        <f>IF($A32&lt;&gt;"",VLOOKUP($A32,IP!$A$4:O$93,2,FALSE),"")</f>
        <v/>
      </c>
      <c r="D32" s="913" t="str">
        <f t="shared" si="0"/>
        <v/>
      </c>
      <c r="E32" s="913" t="str">
        <f t="shared" si="1"/>
        <v/>
      </c>
      <c r="F32" s="913" t="str">
        <f t="shared" si="2"/>
        <v/>
      </c>
      <c r="G32" s="913" t="str">
        <f t="shared" si="3"/>
        <v/>
      </c>
      <c r="H32" s="2380" t="str">
        <f t="shared" si="4"/>
        <v/>
      </c>
      <c r="I32" s="913" t="str">
        <f>IF($C32&lt;&gt;"",
IF(LEFT(VLOOKUP($C32,dist_assets,16,FALSE),6)="Active",
     VLOOKUP($C32,'Distributed Assets'!$B$28:$AS$102,16,FALSE),"No"),"")</f>
        <v/>
      </c>
      <c r="J32" s="913" t="str">
        <f>IF($A32&lt;&gt;"",VLOOKUP($A32,IP!$A$4:$U$167,8,FALSE),"")</f>
        <v/>
      </c>
      <c r="K32" s="913" t="str">
        <f>IF($A32&lt;&gt;"",VLOOKUP($A32,IP!$A$4:$U$167,16,FALSE),"")</f>
        <v/>
      </c>
      <c r="L32" s="1052" t="str">
        <f>IF($A32&lt;&gt;"",
                         (VLOOKUP($A32,IP!$A$4:$N$153,11,FALSE)),
        "")</f>
        <v/>
      </c>
      <c r="M32" s="815" t="str">
        <f>IF($A32&lt;&gt;"",VLOOKUP($A32,IP!$A$4:$U$167,14,FALSE),"")</f>
        <v/>
      </c>
      <c r="N32" s="1052" t="str">
        <f>IF($A32&lt;&gt;"",VLOOKUP($A32,IP!$A$4:$U$167,9,FALSE),"")</f>
        <v/>
      </c>
      <c r="O32" s="1052" t="str">
        <f>IF($A32&lt;&gt;"",VLOOKUP($A32,IP!$A$4:$U$167,10,FALSE),"")</f>
        <v/>
      </c>
      <c r="P32" s="2047" t="str">
        <f t="shared" si="21"/>
        <v/>
      </c>
      <c r="Q32" s="2047" t="str">
        <f t="shared" si="22"/>
        <v/>
      </c>
      <c r="R32" s="818"/>
      <c r="S32" s="817" t="str">
        <f t="shared" si="6"/>
        <v/>
      </c>
      <c r="T32" s="1053" t="str">
        <f t="shared" si="23"/>
        <v/>
      </c>
      <c r="U32" s="1053" t="str">
        <f t="shared" si="7"/>
        <v/>
      </c>
      <c r="V32" s="817" t="str">
        <f t="shared" si="8"/>
        <v/>
      </c>
      <c r="W32" s="1054" t="str">
        <f t="shared" si="9"/>
        <v/>
      </c>
      <c r="X32" s="1525" t="str">
        <f t="shared" si="10"/>
        <v/>
      </c>
      <c r="Y32" s="1055" t="str">
        <f t="shared" si="11"/>
        <v/>
      </c>
      <c r="Z32" s="1055" t="str">
        <f t="shared" si="12"/>
        <v/>
      </c>
      <c r="AA32" s="1053"/>
      <c r="AB32" s="1053" t="str">
        <f t="shared" si="13"/>
        <v/>
      </c>
      <c r="AC32" s="2965" t="str">
        <f t="shared" si="14"/>
        <v/>
      </c>
      <c r="AD32" s="1586"/>
      <c r="AE32" s="1586"/>
      <c r="AF32" s="1333" t="str">
        <f t="shared" si="15"/>
        <v/>
      </c>
      <c r="AG32" s="1333"/>
      <c r="AH32" s="874" t="str">
        <f t="shared" si="16"/>
        <v/>
      </c>
      <c r="AI32" s="1055" t="str">
        <f t="shared" si="17"/>
        <v/>
      </c>
      <c r="AJ32" s="1055" t="str">
        <f>IF($C71&lt;&gt;"",VLOOKUP($C71,'Distributed Assets'!$B$28:$AS$102,16,FALSE),"")</f>
        <v/>
      </c>
      <c r="AK32" s="1527"/>
      <c r="AL32" s="925"/>
      <c r="AM32" s="1056"/>
      <c r="AN32" s="817" t="str">
        <f>IF($A32&lt;&gt;"",
       IF($F32="Physical", VLOOKUP($A32,#REF!,8,FALSE),"N/A"),
   "")</f>
        <v/>
      </c>
      <c r="AO32" s="818" t="str">
        <f t="array" ref="AO32">IFERROR(INDEX(IP!$N$4:$N$153,MATCH($C32,IF(IP!$H$4:$H$153="iLO Interface",IP!$B$4:$B$153),0)),"")</f>
        <v/>
      </c>
      <c r="AP32" s="818" t="str">
        <f t="array" ref="AP32">IFERROR(INDEX(IP!$I$4:$I$153,MATCH($C32,IF(IP!$H$4:$H$153="iLO Interface",IP!$B$4:$B$153),0)),"")</f>
        <v/>
      </c>
      <c r="AQ32" s="818" t="str">
        <f t="array" ref="AQ32">IFERROR(INDEX(IP!$J$4:$J$153,MATCH($C32,IF(IP!$H$4:$H$153="iLO Interface",IP!$B$4:$B$153),0)),"")</f>
        <v/>
      </c>
      <c r="AR32" s="1057"/>
      <c r="AS32" s="818" t="str">
        <f>IF($AR32&lt;&gt;"",
        VLOOKUP($AR32,IP!$D$4:$N$153,11,FALSE),"")</f>
        <v/>
      </c>
      <c r="AT32" s="1057"/>
      <c r="AU32" s="818" t="str">
        <f>IF($AT32&lt;&gt;"",
        VLOOKUP($AT32,IP!$D$4:$N$153,11,FALSE),"")</f>
        <v/>
      </c>
      <c r="AV32" s="818" t="str">
        <f t="shared" si="18"/>
        <v/>
      </c>
      <c r="AW32" s="1048" t="str">
        <f t="shared" si="24"/>
        <v/>
      </c>
      <c r="AX32" s="1025" t="str">
        <f t="shared" si="20"/>
        <v/>
      </c>
      <c r="AY32" s="1528" t="str">
        <f t="shared" si="25"/>
        <v/>
      </c>
    </row>
    <row r="33" spans="1:51">
      <c r="A33" s="1071"/>
      <c r="B33" s="913" t="str">
        <f>IF($A33&lt;&gt;"",VLOOKUP(VLOOKUP($C33,dist_assets,2,FALSE),'Distributed Assets'!$C$7:$F$22,4,FALSE),"")</f>
        <v/>
      </c>
      <c r="C33" s="1051" t="str">
        <f>IF($A33&lt;&gt;"",VLOOKUP($A33,IP!$A$4:O$93,2,FALSE),"")</f>
        <v/>
      </c>
      <c r="D33" s="913" t="str">
        <f t="shared" si="0"/>
        <v/>
      </c>
      <c r="E33" s="913" t="str">
        <f t="shared" si="1"/>
        <v/>
      </c>
      <c r="F33" s="913" t="str">
        <f t="shared" si="2"/>
        <v/>
      </c>
      <c r="G33" s="913" t="str">
        <f t="shared" si="3"/>
        <v/>
      </c>
      <c r="H33" s="2380" t="str">
        <f t="shared" si="4"/>
        <v/>
      </c>
      <c r="I33" s="913" t="str">
        <f>IF($C33&lt;&gt;"",
IF(LEFT(VLOOKUP($C33,dist_assets,16,FALSE),6)="Active",
     VLOOKUP($C33,'Distributed Assets'!$B$28:$AS$102,16,FALSE),"No"),"")</f>
        <v/>
      </c>
      <c r="J33" s="913" t="str">
        <f>IF($A33&lt;&gt;"",VLOOKUP($A33,IP!$A$4:$U$167,8,FALSE),"")</f>
        <v/>
      </c>
      <c r="K33" s="913" t="str">
        <f>IF($A33&lt;&gt;"",VLOOKUP($A33,IP!$A$4:$U$167,16,FALSE),"")</f>
        <v/>
      </c>
      <c r="L33" s="1052" t="str">
        <f>IF($A33&lt;&gt;"",
                         (VLOOKUP($A33,IP!$A$4:$N$153,11,FALSE)),
        "")</f>
        <v/>
      </c>
      <c r="M33" s="815" t="str">
        <f>IF($A33&lt;&gt;"",VLOOKUP($A33,IP!$A$4:$U$167,14,FALSE),"")</f>
        <v/>
      </c>
      <c r="N33" s="1052" t="str">
        <f>IF($A33&lt;&gt;"",VLOOKUP($A33,IP!$A$4:$U$167,9,FALSE),"")</f>
        <v/>
      </c>
      <c r="O33" s="1052" t="str">
        <f>IF($A33&lt;&gt;"",VLOOKUP($A33,IP!$A$4:$U$167,10,FALSE),"")</f>
        <v/>
      </c>
      <c r="P33" s="2047" t="str">
        <f t="shared" si="21"/>
        <v/>
      </c>
      <c r="Q33" s="2047" t="str">
        <f t="shared" si="22"/>
        <v/>
      </c>
      <c r="R33" s="818"/>
      <c r="S33" s="817" t="str">
        <f t="shared" si="6"/>
        <v/>
      </c>
      <c r="T33" s="1053" t="str">
        <f t="shared" si="23"/>
        <v/>
      </c>
      <c r="U33" s="1053" t="str">
        <f t="shared" si="7"/>
        <v/>
      </c>
      <c r="V33" s="817" t="str">
        <f t="shared" si="8"/>
        <v/>
      </c>
      <c r="W33" s="1054" t="str">
        <f t="shared" si="9"/>
        <v/>
      </c>
      <c r="X33" s="1525" t="str">
        <f t="shared" si="10"/>
        <v/>
      </c>
      <c r="Y33" s="1055" t="str">
        <f t="shared" si="11"/>
        <v/>
      </c>
      <c r="Z33" s="1055" t="str">
        <f t="shared" si="12"/>
        <v/>
      </c>
      <c r="AA33" s="1053"/>
      <c r="AB33" s="1053" t="str">
        <f t="shared" si="13"/>
        <v/>
      </c>
      <c r="AC33" s="2965" t="str">
        <f t="shared" si="14"/>
        <v/>
      </c>
      <c r="AD33" s="1586"/>
      <c r="AE33" s="1586"/>
      <c r="AF33" s="1333" t="str">
        <f t="shared" si="15"/>
        <v/>
      </c>
      <c r="AG33" s="1333"/>
      <c r="AH33" s="874" t="str">
        <f t="shared" si="16"/>
        <v/>
      </c>
      <c r="AI33" s="1055" t="str">
        <f t="shared" si="17"/>
        <v/>
      </c>
      <c r="AJ33" s="1055" t="str">
        <f>IF($C72&lt;&gt;"",VLOOKUP($C72,'Distributed Assets'!$B$28:$AS$102,16,FALSE),"")</f>
        <v/>
      </c>
      <c r="AK33" s="1527"/>
      <c r="AL33" s="925"/>
      <c r="AM33" s="1056"/>
      <c r="AN33" s="817" t="str">
        <f>IF($A33&lt;&gt;"",
       IF($F33="Physical", VLOOKUP($A33,#REF!,8,FALSE),"N/A"),
   "")</f>
        <v/>
      </c>
      <c r="AO33" s="818" t="str">
        <f t="array" ref="AO33">IFERROR(INDEX(IP!$N$4:$N$153,MATCH($C33,IF(IP!$H$4:$H$153="iLO Interface",IP!$B$4:$B$153),0)),"")</f>
        <v/>
      </c>
      <c r="AP33" s="818" t="str">
        <f t="array" ref="AP33">IFERROR(INDEX(IP!$I$4:$I$153,MATCH($C33,IF(IP!$H$4:$H$153="iLO Interface",IP!$B$4:$B$153),0)),"")</f>
        <v/>
      </c>
      <c r="AQ33" s="818" t="str">
        <f t="array" ref="AQ33">IFERROR(INDEX(IP!$J$4:$J$153,MATCH($C33,IF(IP!$H$4:$H$153="iLO Interface",IP!$B$4:$B$153),0)),"")</f>
        <v/>
      </c>
      <c r="AR33" s="1057"/>
      <c r="AS33" s="818" t="str">
        <f>IF($AR33&lt;&gt;"",
        VLOOKUP($AR33,IP!$D$4:$N$153,11,FALSE),"")</f>
        <v/>
      </c>
      <c r="AT33" s="1057"/>
      <c r="AU33" s="818" t="str">
        <f>IF($AT33&lt;&gt;"",
        VLOOKUP($AT33,IP!$D$4:$N$153,11,FALSE),"")</f>
        <v/>
      </c>
      <c r="AV33" s="818" t="str">
        <f t="shared" si="18"/>
        <v/>
      </c>
      <c r="AW33" s="1048" t="str">
        <f t="shared" si="24"/>
        <v/>
      </c>
      <c r="AX33" s="1025" t="str">
        <f t="shared" si="20"/>
        <v/>
      </c>
      <c r="AY33" s="1528" t="str">
        <f t="shared" si="25"/>
        <v/>
      </c>
    </row>
    <row r="34" spans="1:51">
      <c r="A34" s="1071"/>
      <c r="B34" s="913" t="str">
        <f>IF($A34&lt;&gt;"",VLOOKUP(VLOOKUP($C34,dist_assets,2,FALSE),'Distributed Assets'!$C$7:$F$22,4,FALSE),"")</f>
        <v/>
      </c>
      <c r="C34" s="1051" t="str">
        <f>IF($A34&lt;&gt;"",VLOOKUP($A34,IP!$A$4:O$93,2,FALSE),"")</f>
        <v/>
      </c>
      <c r="D34" s="913" t="str">
        <f t="shared" si="0"/>
        <v/>
      </c>
      <c r="E34" s="913" t="str">
        <f t="shared" si="1"/>
        <v/>
      </c>
      <c r="F34" s="913" t="str">
        <f t="shared" si="2"/>
        <v/>
      </c>
      <c r="G34" s="913" t="str">
        <f t="shared" si="3"/>
        <v/>
      </c>
      <c r="H34" s="2380" t="str">
        <f t="shared" si="4"/>
        <v/>
      </c>
      <c r="I34" s="913" t="str">
        <f>IF($C34&lt;&gt;"",
IF(LEFT(VLOOKUP($C34,dist_assets,16,FALSE),6)="Active",
     VLOOKUP($C34,'Distributed Assets'!$B$28:$AS$102,16,FALSE),"No"),"")</f>
        <v/>
      </c>
      <c r="J34" s="913" t="str">
        <f>IF($A34&lt;&gt;"",VLOOKUP($A34,IP!$A$4:$U$167,8,FALSE),"")</f>
        <v/>
      </c>
      <c r="K34" s="913" t="str">
        <f>IF($A34&lt;&gt;"",VLOOKUP($A34,IP!$A$4:$U$167,16,FALSE),"")</f>
        <v/>
      </c>
      <c r="L34" s="1052" t="str">
        <f>IF($A34&lt;&gt;"",
                         (VLOOKUP($A34,IP!$A$4:$N$153,11,FALSE)),
        "")</f>
        <v/>
      </c>
      <c r="M34" s="815" t="str">
        <f>IF($A34&lt;&gt;"",VLOOKUP($A34,IP!$A$4:$U$167,14,FALSE),"")</f>
        <v/>
      </c>
      <c r="N34" s="1052" t="str">
        <f>IF($A34&lt;&gt;"",VLOOKUP($A34,IP!$A$4:$U$167,9,FALSE),"")</f>
        <v/>
      </c>
      <c r="O34" s="1052" t="str">
        <f>IF($A34&lt;&gt;"",VLOOKUP($A34,IP!$A$4:$U$167,10,FALSE),"")</f>
        <v/>
      </c>
      <c r="P34" s="2047" t="str">
        <f t="shared" si="21"/>
        <v/>
      </c>
      <c r="Q34" s="2047" t="str">
        <f t="shared" si="22"/>
        <v/>
      </c>
      <c r="R34" s="818"/>
      <c r="S34" s="817" t="str">
        <f t="shared" si="6"/>
        <v/>
      </c>
      <c r="T34" s="1053" t="str">
        <f t="shared" si="23"/>
        <v/>
      </c>
      <c r="U34" s="1053" t="str">
        <f t="shared" si="7"/>
        <v/>
      </c>
      <c r="V34" s="817" t="str">
        <f t="shared" si="8"/>
        <v/>
      </c>
      <c r="W34" s="1054" t="str">
        <f t="shared" si="9"/>
        <v/>
      </c>
      <c r="X34" s="1525" t="str">
        <f t="shared" si="10"/>
        <v/>
      </c>
      <c r="Y34" s="1055" t="str">
        <f t="shared" si="11"/>
        <v/>
      </c>
      <c r="Z34" s="1055" t="str">
        <f t="shared" si="12"/>
        <v/>
      </c>
      <c r="AA34" s="1053"/>
      <c r="AB34" s="1053" t="str">
        <f t="shared" si="13"/>
        <v/>
      </c>
      <c r="AC34" s="2965" t="str">
        <f t="shared" si="14"/>
        <v/>
      </c>
      <c r="AD34" s="1586"/>
      <c r="AE34" s="1586"/>
      <c r="AF34" s="1333" t="str">
        <f t="shared" si="15"/>
        <v/>
      </c>
      <c r="AG34" s="1333"/>
      <c r="AH34" s="874" t="str">
        <f t="shared" si="16"/>
        <v/>
      </c>
      <c r="AI34" s="1055" t="str">
        <f t="shared" si="17"/>
        <v/>
      </c>
      <c r="AJ34" s="1055" t="str">
        <f>IF($C73&lt;&gt;"",VLOOKUP($C73,'Distributed Assets'!$B$28:$AS$102,16,FALSE),"")</f>
        <v/>
      </c>
      <c r="AK34" s="1527"/>
      <c r="AL34" s="925"/>
      <c r="AM34" s="1056"/>
      <c r="AN34" s="817" t="str">
        <f>IF($A34&lt;&gt;"",
       IF($F34="Physical", VLOOKUP($A34,#REF!,8,FALSE),"N/A"),
   "")</f>
        <v/>
      </c>
      <c r="AO34" s="818" t="str">
        <f t="array" ref="AO34">IFERROR(INDEX(IP!$N$4:$N$153,MATCH($C34,IF(IP!$H$4:$H$153="iLO Interface",IP!$B$4:$B$153),0)),"")</f>
        <v/>
      </c>
      <c r="AP34" s="818" t="str">
        <f t="array" ref="AP34">IFERROR(INDEX(IP!$I$4:$I$153,MATCH($C34,IF(IP!$H$4:$H$153="iLO Interface",IP!$B$4:$B$153),0)),"")</f>
        <v/>
      </c>
      <c r="AQ34" s="818" t="str">
        <f t="array" ref="AQ34">IFERROR(INDEX(IP!$J$4:$J$153,MATCH($C34,IF(IP!$H$4:$H$153="iLO Interface",IP!$B$4:$B$153),0)),"")</f>
        <v/>
      </c>
      <c r="AR34" s="1057"/>
      <c r="AS34" s="818" t="str">
        <f>IF($AR34&lt;&gt;"",
        VLOOKUP($AR34,IP!$D$4:$N$153,11,FALSE),"")</f>
        <v/>
      </c>
      <c r="AT34" s="1057"/>
      <c r="AU34" s="818" t="str">
        <f>IF($AT34&lt;&gt;"",
        VLOOKUP($AT34,IP!$D$4:$N$153,11,FALSE),"")</f>
        <v/>
      </c>
      <c r="AV34" s="818" t="str">
        <f t="shared" si="18"/>
        <v/>
      </c>
      <c r="AW34" s="1048" t="str">
        <f t="shared" si="24"/>
        <v/>
      </c>
      <c r="AX34" s="1025" t="str">
        <f t="shared" si="20"/>
        <v/>
      </c>
      <c r="AY34" s="1528" t="str">
        <f t="shared" si="25"/>
        <v/>
      </c>
    </row>
    <row r="35" spans="1:51">
      <c r="A35" s="1071"/>
      <c r="B35" s="913" t="str">
        <f>IF($A35&lt;&gt;"",VLOOKUP(VLOOKUP($C35,dist_assets,2,FALSE),'Distributed Assets'!$C$7:$F$22,4,FALSE),"")</f>
        <v/>
      </c>
      <c r="C35" s="1051" t="str">
        <f>IF($A35&lt;&gt;"",VLOOKUP($A35,IP!$A$4:O$93,2,FALSE),"")</f>
        <v/>
      </c>
      <c r="D35" s="913" t="str">
        <f t="shared" si="0"/>
        <v/>
      </c>
      <c r="E35" s="913" t="str">
        <f t="shared" si="1"/>
        <v/>
      </c>
      <c r="F35" s="913" t="str">
        <f t="shared" si="2"/>
        <v/>
      </c>
      <c r="G35" s="913" t="str">
        <f t="shared" si="3"/>
        <v/>
      </c>
      <c r="H35" s="2380" t="str">
        <f t="shared" si="4"/>
        <v/>
      </c>
      <c r="I35" s="913" t="str">
        <f>IF($C35&lt;&gt;"",
IF(LEFT(VLOOKUP($C35,dist_assets,16,FALSE),6)="Active",
     VLOOKUP($C35,'Distributed Assets'!$B$28:$AS$102,16,FALSE),"No"),"")</f>
        <v/>
      </c>
      <c r="J35" s="913" t="str">
        <f>IF($A35&lt;&gt;"",VLOOKUP($A35,IP!$A$4:$U$167,8,FALSE),"")</f>
        <v/>
      </c>
      <c r="K35" s="913" t="str">
        <f>IF($A35&lt;&gt;"",VLOOKUP($A35,IP!$A$4:$U$167,16,FALSE),"")</f>
        <v/>
      </c>
      <c r="L35" s="1052" t="str">
        <f>IF($A35&lt;&gt;"",
                         (VLOOKUP($A35,IP!$A$4:$N$153,11,FALSE)),
        "")</f>
        <v/>
      </c>
      <c r="M35" s="815" t="str">
        <f>IF($A35&lt;&gt;"",VLOOKUP($A35,IP!$A$4:$U$167,14,FALSE),"")</f>
        <v/>
      </c>
      <c r="N35" s="1052" t="str">
        <f>IF($A35&lt;&gt;"",VLOOKUP($A35,IP!$A$4:$U$167,9,FALSE),"")</f>
        <v/>
      </c>
      <c r="O35" s="1052" t="str">
        <f>IF($A35&lt;&gt;"",VLOOKUP($A35,IP!$A$4:$U$167,10,FALSE),"")</f>
        <v/>
      </c>
      <c r="P35" s="2047" t="str">
        <f t="shared" si="21"/>
        <v/>
      </c>
      <c r="Q35" s="2047" t="str">
        <f t="shared" si="22"/>
        <v/>
      </c>
      <c r="R35" s="818"/>
      <c r="S35" s="817" t="str">
        <f t="shared" si="6"/>
        <v/>
      </c>
      <c r="T35" s="1053" t="str">
        <f t="shared" si="23"/>
        <v/>
      </c>
      <c r="U35" s="1053" t="str">
        <f t="shared" si="7"/>
        <v/>
      </c>
      <c r="V35" s="817" t="str">
        <f t="shared" si="8"/>
        <v/>
      </c>
      <c r="W35" s="1054" t="str">
        <f t="shared" si="9"/>
        <v/>
      </c>
      <c r="X35" s="1525" t="str">
        <f t="shared" si="10"/>
        <v/>
      </c>
      <c r="Y35" s="1055" t="str">
        <f t="shared" si="11"/>
        <v/>
      </c>
      <c r="Z35" s="1055" t="str">
        <f t="shared" si="12"/>
        <v/>
      </c>
      <c r="AA35" s="1053"/>
      <c r="AB35" s="1053" t="str">
        <f t="shared" si="13"/>
        <v/>
      </c>
      <c r="AC35" s="2965" t="str">
        <f t="shared" si="14"/>
        <v/>
      </c>
      <c r="AD35" s="1586"/>
      <c r="AE35" s="1586"/>
      <c r="AF35" s="1333" t="str">
        <f t="shared" si="15"/>
        <v/>
      </c>
      <c r="AG35" s="1333"/>
      <c r="AH35" s="874" t="str">
        <f t="shared" si="16"/>
        <v/>
      </c>
      <c r="AI35" s="1055" t="str">
        <f t="shared" si="17"/>
        <v/>
      </c>
      <c r="AJ35" s="1055" t="str">
        <f>IF($C74&lt;&gt;"",VLOOKUP($C74,'Distributed Assets'!$B$28:$AS$102,16,FALSE),"")</f>
        <v/>
      </c>
      <c r="AK35" s="1527"/>
      <c r="AL35" s="925"/>
      <c r="AM35" s="1056"/>
      <c r="AN35" s="817" t="str">
        <f>IF($A35&lt;&gt;"",
       IF($F35="Physical", VLOOKUP($A35,#REF!,8,FALSE),"N/A"),
   "")</f>
        <v/>
      </c>
      <c r="AO35" s="818" t="str">
        <f t="array" ref="AO35">IFERROR(INDEX(IP!$N$4:$N$153,MATCH($C35,IF(IP!$H$4:$H$153="iLO Interface",IP!$B$4:$B$153),0)),"")</f>
        <v/>
      </c>
      <c r="AP35" s="818" t="str">
        <f t="array" ref="AP35">IFERROR(INDEX(IP!$I$4:$I$153,MATCH($C35,IF(IP!$H$4:$H$153="iLO Interface",IP!$B$4:$B$153),0)),"")</f>
        <v/>
      </c>
      <c r="AQ35" s="818" t="str">
        <f t="array" ref="AQ35">IFERROR(INDEX(IP!$J$4:$J$153,MATCH($C35,IF(IP!$H$4:$H$153="iLO Interface",IP!$B$4:$B$153),0)),"")</f>
        <v/>
      </c>
      <c r="AR35" s="1057"/>
      <c r="AS35" s="818" t="str">
        <f>IF($AR35&lt;&gt;"",
        VLOOKUP($AR35,IP!$D$4:$N$153,11,FALSE),"")</f>
        <v/>
      </c>
      <c r="AT35" s="1057"/>
      <c r="AU35" s="818" t="str">
        <f>IF($AT35&lt;&gt;"",
        VLOOKUP($AT35,IP!$D$4:$N$153,11,FALSE),"")</f>
        <v/>
      </c>
      <c r="AV35" s="818" t="str">
        <f t="shared" si="18"/>
        <v/>
      </c>
      <c r="AW35" s="1048" t="str">
        <f t="shared" si="24"/>
        <v/>
      </c>
      <c r="AX35" s="1025" t="str">
        <f t="shared" si="20"/>
        <v/>
      </c>
      <c r="AY35" s="1528" t="str">
        <f t="shared" si="25"/>
        <v/>
      </c>
    </row>
    <row r="36" spans="1:51">
      <c r="A36" s="1071"/>
      <c r="B36" s="913" t="str">
        <f>IF($A36&lt;&gt;"",VLOOKUP(VLOOKUP($C36,dist_assets,2,FALSE),'Distributed Assets'!$C$7:$F$22,4,FALSE),"")</f>
        <v/>
      </c>
      <c r="C36" s="1051" t="str">
        <f>IF($A36&lt;&gt;"",VLOOKUP($A36,IP!$A$4:O$93,2,FALSE),"")</f>
        <v/>
      </c>
      <c r="D36" s="913" t="str">
        <f t="shared" si="0"/>
        <v/>
      </c>
      <c r="E36" s="913" t="str">
        <f t="shared" si="1"/>
        <v/>
      </c>
      <c r="F36" s="913" t="str">
        <f t="shared" si="2"/>
        <v/>
      </c>
      <c r="G36" s="913" t="str">
        <f t="shared" si="3"/>
        <v/>
      </c>
      <c r="H36" s="2380" t="str">
        <f t="shared" si="4"/>
        <v/>
      </c>
      <c r="I36" s="913" t="str">
        <f>IF($C36&lt;&gt;"",
IF(LEFT(VLOOKUP($C36,dist_assets,16,FALSE),6)="Active",
     VLOOKUP($C36,'Distributed Assets'!$B$28:$AS$102,16,FALSE),"No"),"")</f>
        <v/>
      </c>
      <c r="J36" s="913" t="str">
        <f>IF($A36&lt;&gt;"",VLOOKUP($A36,IP!$A$4:$U$167,8,FALSE),"")</f>
        <v/>
      </c>
      <c r="K36" s="913" t="str">
        <f>IF($A36&lt;&gt;"",VLOOKUP($A36,IP!$A$4:$U$167,16,FALSE),"")</f>
        <v/>
      </c>
      <c r="L36" s="1052" t="str">
        <f>IF($A36&lt;&gt;"",
                         (VLOOKUP($A36,IP!$A$4:$N$153,11,FALSE)),
        "")</f>
        <v/>
      </c>
      <c r="M36" s="815" t="str">
        <f>IF($A36&lt;&gt;"",VLOOKUP($A36,IP!$A$4:$U$167,14,FALSE),"")</f>
        <v/>
      </c>
      <c r="N36" s="1052" t="str">
        <f>IF($A36&lt;&gt;"",VLOOKUP($A36,IP!$A$4:$U$167,9,FALSE),"")</f>
        <v/>
      </c>
      <c r="O36" s="1052" t="str">
        <f>IF($A36&lt;&gt;"",VLOOKUP($A36,IP!$A$4:$U$167,10,FALSE),"")</f>
        <v/>
      </c>
      <c r="P36" s="2047" t="str">
        <f t="shared" si="21"/>
        <v/>
      </c>
      <c r="Q36" s="2047" t="str">
        <f t="shared" si="22"/>
        <v/>
      </c>
      <c r="R36" s="818"/>
      <c r="S36" s="817" t="str">
        <f t="shared" si="6"/>
        <v/>
      </c>
      <c r="T36" s="1053" t="str">
        <f t="shared" si="23"/>
        <v/>
      </c>
      <c r="U36" s="1053" t="str">
        <f t="shared" si="7"/>
        <v/>
      </c>
      <c r="V36" s="817" t="str">
        <f t="shared" si="8"/>
        <v/>
      </c>
      <c r="W36" s="1054" t="str">
        <f t="shared" si="9"/>
        <v/>
      </c>
      <c r="X36" s="1525" t="str">
        <f t="shared" si="10"/>
        <v/>
      </c>
      <c r="Y36" s="1055" t="str">
        <f t="shared" si="11"/>
        <v/>
      </c>
      <c r="Z36" s="1055" t="str">
        <f t="shared" si="12"/>
        <v/>
      </c>
      <c r="AA36" s="1053"/>
      <c r="AB36" s="1053" t="str">
        <f t="shared" si="13"/>
        <v/>
      </c>
      <c r="AC36" s="2965" t="str">
        <f t="shared" si="14"/>
        <v/>
      </c>
      <c r="AD36" s="1586"/>
      <c r="AE36" s="1586"/>
      <c r="AF36" s="1333" t="str">
        <f t="shared" si="15"/>
        <v/>
      </c>
      <c r="AG36" s="1333"/>
      <c r="AH36" s="874" t="str">
        <f t="shared" si="16"/>
        <v/>
      </c>
      <c r="AI36" s="1055" t="str">
        <f t="shared" si="17"/>
        <v/>
      </c>
      <c r="AJ36" s="1055" t="str">
        <f>IF($C75&lt;&gt;"",VLOOKUP($C75,'Distributed Assets'!$B$28:$AS$102,16,FALSE),"")</f>
        <v/>
      </c>
      <c r="AK36" s="1527"/>
      <c r="AL36" s="925"/>
      <c r="AM36" s="1056"/>
      <c r="AN36" s="817" t="str">
        <f>IF($A36&lt;&gt;"",
       IF($F36="Physical", VLOOKUP($A36,#REF!,8,FALSE),"N/A"),
   "")</f>
        <v/>
      </c>
      <c r="AO36" s="818" t="str">
        <f t="array" ref="AO36">IFERROR(INDEX(IP!$N$4:$N$153,MATCH($C36,IF(IP!$H$4:$H$153="iLO Interface",IP!$B$4:$B$153),0)),"")</f>
        <v/>
      </c>
      <c r="AP36" s="818" t="str">
        <f t="array" ref="AP36">IFERROR(INDEX(IP!$I$4:$I$153,MATCH($C36,IF(IP!$H$4:$H$153="iLO Interface",IP!$B$4:$B$153),0)),"")</f>
        <v/>
      </c>
      <c r="AQ36" s="818" t="str">
        <f t="array" ref="AQ36">IFERROR(INDEX(IP!$J$4:$J$153,MATCH($C36,IF(IP!$H$4:$H$153="iLO Interface",IP!$B$4:$B$153),0)),"")</f>
        <v/>
      </c>
      <c r="AR36" s="1057"/>
      <c r="AS36" s="818" t="str">
        <f>IF($AR36&lt;&gt;"",
        VLOOKUP($AR36,IP!$D$4:$N$153,11,FALSE),"")</f>
        <v/>
      </c>
      <c r="AT36" s="1057"/>
      <c r="AU36" s="818" t="str">
        <f>IF($AT36&lt;&gt;"",
        VLOOKUP($AT36,IP!$D$4:$N$153,11,FALSE),"")</f>
        <v/>
      </c>
      <c r="AV36" s="818" t="str">
        <f t="shared" si="18"/>
        <v/>
      </c>
      <c r="AW36" s="1048" t="str">
        <f t="shared" si="24"/>
        <v/>
      </c>
      <c r="AX36" s="1025" t="str">
        <f t="shared" si="20"/>
        <v/>
      </c>
      <c r="AY36" s="1528" t="str">
        <f t="shared" si="25"/>
        <v/>
      </c>
    </row>
    <row r="37" spans="1:51">
      <c r="A37" s="1071"/>
      <c r="B37" s="913" t="str">
        <f>IF($A37&lt;&gt;"",VLOOKUP(VLOOKUP($C37,dist_assets,2,FALSE),'Distributed Assets'!$C$7:$F$22,4,FALSE),"")</f>
        <v/>
      </c>
      <c r="C37" s="1051" t="str">
        <f>IF($A37&lt;&gt;"",VLOOKUP($A37,IP!$A$4:O$93,2,FALSE),"")</f>
        <v/>
      </c>
      <c r="D37" s="913" t="str">
        <f t="shared" si="0"/>
        <v/>
      </c>
      <c r="E37" s="913" t="str">
        <f t="shared" si="1"/>
        <v/>
      </c>
      <c r="F37" s="913" t="str">
        <f t="shared" si="2"/>
        <v/>
      </c>
      <c r="G37" s="913" t="str">
        <f t="shared" si="3"/>
        <v/>
      </c>
      <c r="H37" s="2380" t="str">
        <f t="shared" si="4"/>
        <v/>
      </c>
      <c r="I37" s="913" t="str">
        <f>IF($C37&lt;&gt;"",
IF(LEFT(VLOOKUP($C37,dist_assets,16,FALSE),6)="Active",
     VLOOKUP($C37,'Distributed Assets'!$B$28:$AS$102,16,FALSE),"No"),"")</f>
        <v/>
      </c>
      <c r="J37" s="913" t="str">
        <f>IF($A37&lt;&gt;"",VLOOKUP($A37,IP!$A$4:$U$167,8,FALSE),"")</f>
        <v/>
      </c>
      <c r="K37" s="913" t="str">
        <f>IF($A37&lt;&gt;"",VLOOKUP($A37,IP!$A$4:$U$167,16,FALSE),"")</f>
        <v/>
      </c>
      <c r="L37" s="1052" t="str">
        <f>IF($A37&lt;&gt;"",
                         (VLOOKUP($A37,IP!$A$4:$N$153,11,FALSE)),
        "")</f>
        <v/>
      </c>
      <c r="M37" s="815" t="str">
        <f>IF($A37&lt;&gt;"",VLOOKUP($A37,IP!$A$4:$U$167,14,FALSE),"")</f>
        <v/>
      </c>
      <c r="N37" s="1052" t="str">
        <f>IF($A37&lt;&gt;"",VLOOKUP($A37,IP!$A$4:$U$167,9,FALSE),"")</f>
        <v/>
      </c>
      <c r="O37" s="1052" t="str">
        <f>IF($A37&lt;&gt;"",VLOOKUP($A37,IP!$A$4:$U$167,10,FALSE),"")</f>
        <v/>
      </c>
      <c r="P37" s="2047" t="str">
        <f t="shared" si="21"/>
        <v/>
      </c>
      <c r="Q37" s="2047" t="str">
        <f t="shared" si="22"/>
        <v/>
      </c>
      <c r="R37" s="818"/>
      <c r="S37" s="817" t="str">
        <f t="shared" si="6"/>
        <v/>
      </c>
      <c r="T37" s="1053" t="str">
        <f t="shared" si="23"/>
        <v/>
      </c>
      <c r="U37" s="1053" t="str">
        <f t="shared" si="7"/>
        <v/>
      </c>
      <c r="V37" s="817" t="str">
        <f t="shared" si="8"/>
        <v/>
      </c>
      <c r="W37" s="1054" t="str">
        <f t="shared" si="9"/>
        <v/>
      </c>
      <c r="X37" s="1525" t="str">
        <f t="shared" si="10"/>
        <v/>
      </c>
      <c r="Y37" s="1055" t="str">
        <f t="shared" si="11"/>
        <v/>
      </c>
      <c r="Z37" s="1055" t="str">
        <f t="shared" si="12"/>
        <v/>
      </c>
      <c r="AA37" s="1053"/>
      <c r="AB37" s="1053" t="str">
        <f t="shared" si="13"/>
        <v/>
      </c>
      <c r="AC37" s="2965" t="str">
        <f t="shared" si="14"/>
        <v/>
      </c>
      <c r="AD37" s="1586"/>
      <c r="AE37" s="1586"/>
      <c r="AF37" s="1333" t="str">
        <f t="shared" si="15"/>
        <v/>
      </c>
      <c r="AG37" s="1333"/>
      <c r="AH37" s="874" t="str">
        <f t="shared" si="16"/>
        <v/>
      </c>
      <c r="AI37" s="1055" t="str">
        <f t="shared" si="17"/>
        <v/>
      </c>
      <c r="AJ37" s="1055" t="str">
        <f>IF($C76&lt;&gt;"",VLOOKUP($C76,'Distributed Assets'!$B$28:$AS$102,16,FALSE),"")</f>
        <v/>
      </c>
      <c r="AK37" s="1527"/>
      <c r="AL37" s="925"/>
      <c r="AM37" s="1056"/>
      <c r="AN37" s="817" t="str">
        <f>IF($A37&lt;&gt;"",
       IF($F37="Physical", VLOOKUP($A37,#REF!,8,FALSE),"N/A"),
   "")</f>
        <v/>
      </c>
      <c r="AO37" s="818" t="str">
        <f t="array" ref="AO37">IFERROR(INDEX(IP!$N$4:$N$153,MATCH($C37,IF(IP!$H$4:$H$153="iLO Interface",IP!$B$4:$B$153),0)),"")</f>
        <v/>
      </c>
      <c r="AP37" s="818" t="str">
        <f t="array" ref="AP37">IFERROR(INDEX(IP!$I$4:$I$153,MATCH($C37,IF(IP!$H$4:$H$153="iLO Interface",IP!$B$4:$B$153),0)),"")</f>
        <v/>
      </c>
      <c r="AQ37" s="818" t="str">
        <f t="array" ref="AQ37">IFERROR(INDEX(IP!$J$4:$J$153,MATCH($C37,IF(IP!$H$4:$H$153="iLO Interface",IP!$B$4:$B$153),0)),"")</f>
        <v/>
      </c>
      <c r="AR37" s="1057"/>
      <c r="AS37" s="818" t="str">
        <f>IF($AR37&lt;&gt;"",
        VLOOKUP($AR37,IP!$D$4:$N$153,11,FALSE),"")</f>
        <v/>
      </c>
      <c r="AT37" s="1057"/>
      <c r="AU37" s="818" t="str">
        <f>IF($AT37&lt;&gt;"",
        VLOOKUP($AT37,IP!$D$4:$N$153,11,FALSE),"")</f>
        <v/>
      </c>
      <c r="AV37" s="818" t="str">
        <f t="shared" si="18"/>
        <v/>
      </c>
      <c r="AW37" s="1048" t="str">
        <f t="shared" si="24"/>
        <v/>
      </c>
      <c r="AX37" s="1025" t="str">
        <f t="shared" si="20"/>
        <v/>
      </c>
      <c r="AY37" s="1528" t="str">
        <f t="shared" si="25"/>
        <v/>
      </c>
    </row>
    <row r="38" spans="1:51">
      <c r="A38" s="1071"/>
      <c r="B38" s="913" t="str">
        <f>IF($A38&lt;&gt;"",VLOOKUP(VLOOKUP($C38,dist_assets,2,FALSE),'Distributed Assets'!$C$7:$F$22,4,FALSE),"")</f>
        <v/>
      </c>
      <c r="C38" s="1051" t="str">
        <f>IF($A38&lt;&gt;"",VLOOKUP($A38,IP!$A$4:O$93,2,FALSE),"")</f>
        <v/>
      </c>
      <c r="D38" s="913" t="str">
        <f t="shared" si="0"/>
        <v/>
      </c>
      <c r="E38" s="913" t="str">
        <f t="shared" si="1"/>
        <v/>
      </c>
      <c r="F38" s="913" t="str">
        <f t="shared" si="2"/>
        <v/>
      </c>
      <c r="G38" s="913" t="str">
        <f t="shared" si="3"/>
        <v/>
      </c>
      <c r="H38" s="2380" t="str">
        <f t="shared" si="4"/>
        <v/>
      </c>
      <c r="I38" s="913" t="str">
        <f>IF($C38&lt;&gt;"",
IF(LEFT(VLOOKUP($C38,dist_assets,16,FALSE),6)="Active",
     VLOOKUP($C38,'Distributed Assets'!$B$28:$AS$102,16,FALSE),"No"),"")</f>
        <v/>
      </c>
      <c r="J38" s="913" t="str">
        <f>IF($A38&lt;&gt;"",VLOOKUP($A38,IP!$A$4:$U$167,8,FALSE),"")</f>
        <v/>
      </c>
      <c r="K38" s="913" t="str">
        <f>IF($A38&lt;&gt;"",VLOOKUP($A38,IP!$A$4:$U$167,16,FALSE),"")</f>
        <v/>
      </c>
      <c r="L38" s="1052" t="str">
        <f>IF($A38&lt;&gt;"",
                         (VLOOKUP($A38,IP!$A$4:$N$153,11,FALSE)),
        "")</f>
        <v/>
      </c>
      <c r="M38" s="815" t="str">
        <f>IF($A38&lt;&gt;"",VLOOKUP($A38,IP!$A$4:$U$167,14,FALSE),"")</f>
        <v/>
      </c>
      <c r="N38" s="1052" t="str">
        <f>IF($A38&lt;&gt;"",VLOOKUP($A38,IP!$A$4:$U$167,9,FALSE),"")</f>
        <v/>
      </c>
      <c r="O38" s="1052" t="str">
        <f>IF($A38&lt;&gt;"",VLOOKUP($A38,IP!$A$4:$U$167,10,FALSE),"")</f>
        <v/>
      </c>
      <c r="P38" s="2047" t="str">
        <f t="shared" si="21"/>
        <v/>
      </c>
      <c r="Q38" s="2047" t="str">
        <f t="shared" si="22"/>
        <v/>
      </c>
      <c r="R38" s="818"/>
      <c r="S38" s="817" t="str">
        <f t="shared" si="6"/>
        <v/>
      </c>
      <c r="T38" s="1053" t="str">
        <f t="shared" si="23"/>
        <v/>
      </c>
      <c r="U38" s="1053" t="str">
        <f t="shared" si="7"/>
        <v/>
      </c>
      <c r="V38" s="817" t="str">
        <f t="shared" si="8"/>
        <v/>
      </c>
      <c r="W38" s="1054" t="str">
        <f t="shared" si="9"/>
        <v/>
      </c>
      <c r="X38" s="1525" t="str">
        <f t="shared" si="10"/>
        <v/>
      </c>
      <c r="Y38" s="1055" t="str">
        <f t="shared" si="11"/>
        <v/>
      </c>
      <c r="Z38" s="1055" t="str">
        <f t="shared" si="12"/>
        <v/>
      </c>
      <c r="AA38" s="1053"/>
      <c r="AB38" s="1053" t="str">
        <f t="shared" si="13"/>
        <v/>
      </c>
      <c r="AC38" s="2965" t="str">
        <f t="shared" si="14"/>
        <v/>
      </c>
      <c r="AD38" s="1586"/>
      <c r="AE38" s="1586"/>
      <c r="AF38" s="1333" t="str">
        <f t="shared" si="15"/>
        <v/>
      </c>
      <c r="AG38" s="1333"/>
      <c r="AH38" s="874" t="str">
        <f t="shared" si="16"/>
        <v/>
      </c>
      <c r="AI38" s="1055" t="str">
        <f t="shared" si="17"/>
        <v/>
      </c>
      <c r="AJ38" s="1055" t="str">
        <f>IF($C77&lt;&gt;"",VLOOKUP($C77,'Distributed Assets'!$B$28:$AS$102,16,FALSE),"")</f>
        <v/>
      </c>
      <c r="AK38" s="1527"/>
      <c r="AL38" s="925"/>
      <c r="AM38" s="1056"/>
      <c r="AN38" s="817" t="str">
        <f>IF($A38&lt;&gt;"",
       IF($F38="Physical", VLOOKUP($A38,#REF!,8,FALSE),"N/A"),
   "")</f>
        <v/>
      </c>
      <c r="AO38" s="818" t="str">
        <f t="array" ref="AO38">IFERROR(INDEX(IP!$N$4:$N$153,MATCH($C38,IF(IP!$H$4:$H$153="iLO Interface",IP!$B$4:$B$153),0)),"")</f>
        <v/>
      </c>
      <c r="AP38" s="818" t="str">
        <f t="array" ref="AP38">IFERROR(INDEX(IP!$I$4:$I$153,MATCH($C38,IF(IP!$H$4:$H$153="iLO Interface",IP!$B$4:$B$153),0)),"")</f>
        <v/>
      </c>
      <c r="AQ38" s="818" t="str">
        <f t="array" ref="AQ38">IFERROR(INDEX(IP!$J$4:$J$153,MATCH($C38,IF(IP!$H$4:$H$153="iLO Interface",IP!$B$4:$B$153),0)),"")</f>
        <v/>
      </c>
      <c r="AR38" s="1057"/>
      <c r="AS38" s="818" t="str">
        <f>IF($AR38&lt;&gt;"",
        VLOOKUP($AR38,IP!$D$4:$N$153,11,FALSE),"")</f>
        <v/>
      </c>
      <c r="AT38" s="1057"/>
      <c r="AU38" s="818" t="str">
        <f>IF($AT38&lt;&gt;"",
        VLOOKUP($AT38,IP!$D$4:$N$153,11,FALSE),"")</f>
        <v/>
      </c>
      <c r="AV38" s="818" t="str">
        <f t="shared" si="18"/>
        <v/>
      </c>
      <c r="AW38" s="1048" t="str">
        <f t="shared" si="24"/>
        <v/>
      </c>
      <c r="AX38" s="1025" t="str">
        <f t="shared" si="20"/>
        <v/>
      </c>
      <c r="AY38" s="1528" t="str">
        <f t="shared" si="25"/>
        <v/>
      </c>
    </row>
    <row r="39" spans="1:51">
      <c r="A39" s="1071"/>
      <c r="B39" s="913" t="str">
        <f>IF($A39&lt;&gt;"",VLOOKUP(VLOOKUP($C39,dist_assets,2,FALSE),'Distributed Assets'!$C$7:$F$22,4,FALSE),"")</f>
        <v/>
      </c>
      <c r="C39" s="1051" t="str">
        <f>IF($A39&lt;&gt;"",VLOOKUP($A39,IP!$A$4:O$93,2,FALSE),"")</f>
        <v/>
      </c>
      <c r="D39" s="913" t="str">
        <f t="shared" si="0"/>
        <v/>
      </c>
      <c r="E39" s="913" t="str">
        <f t="shared" si="1"/>
        <v/>
      </c>
      <c r="F39" s="913" t="str">
        <f t="shared" si="2"/>
        <v/>
      </c>
      <c r="G39" s="913" t="str">
        <f t="shared" si="3"/>
        <v/>
      </c>
      <c r="H39" s="2380" t="str">
        <f t="shared" si="4"/>
        <v/>
      </c>
      <c r="I39" s="913" t="str">
        <f>IF($C39&lt;&gt;"",
IF(LEFT(VLOOKUP($C39,dist_assets,16,FALSE),6)="Active",
     VLOOKUP($C39,'Distributed Assets'!$B$28:$AS$102,16,FALSE),"No"),"")</f>
        <v/>
      </c>
      <c r="J39" s="913" t="str">
        <f>IF($A39&lt;&gt;"",VLOOKUP($A39,IP!$A$4:$U$167,8,FALSE),"")</f>
        <v/>
      </c>
      <c r="K39" s="913" t="str">
        <f>IF($A39&lt;&gt;"",VLOOKUP($A39,IP!$A$4:$U$167,16,FALSE),"")</f>
        <v/>
      </c>
      <c r="L39" s="1052" t="str">
        <f>IF($A39&lt;&gt;"",
                         (VLOOKUP($A39,IP!$A$4:$N$153,11,FALSE)),
        "")</f>
        <v/>
      </c>
      <c r="M39" s="815" t="str">
        <f>IF($A39&lt;&gt;"",VLOOKUP($A39,IP!$A$4:$U$167,14,FALSE),"")</f>
        <v/>
      </c>
      <c r="N39" s="1052" t="str">
        <f>IF($A39&lt;&gt;"",VLOOKUP($A39,IP!$A$4:$U$167,9,FALSE),"")</f>
        <v/>
      </c>
      <c r="O39" s="1052" t="str">
        <f>IF($A39&lt;&gt;"",VLOOKUP($A39,IP!$A$4:$U$167,10,FALSE),"")</f>
        <v/>
      </c>
      <c r="P39" s="2047" t="str">
        <f t="shared" si="21"/>
        <v/>
      </c>
      <c r="Q39" s="2047" t="str">
        <f t="shared" si="22"/>
        <v/>
      </c>
      <c r="R39" s="818"/>
      <c r="S39" s="817" t="str">
        <f t="shared" si="6"/>
        <v/>
      </c>
      <c r="T39" s="1053" t="str">
        <f t="shared" si="23"/>
        <v/>
      </c>
      <c r="U39" s="1053" t="str">
        <f t="shared" si="7"/>
        <v/>
      </c>
      <c r="V39" s="817" t="str">
        <f t="shared" si="8"/>
        <v/>
      </c>
      <c r="W39" s="1054" t="str">
        <f t="shared" si="9"/>
        <v/>
      </c>
      <c r="X39" s="1525" t="str">
        <f t="shared" si="10"/>
        <v/>
      </c>
      <c r="Y39" s="1055" t="str">
        <f t="shared" si="11"/>
        <v/>
      </c>
      <c r="Z39" s="1055" t="str">
        <f t="shared" si="12"/>
        <v/>
      </c>
      <c r="AA39" s="1053"/>
      <c r="AB39" s="1053" t="str">
        <f t="shared" si="13"/>
        <v/>
      </c>
      <c r="AC39" s="2965" t="str">
        <f t="shared" si="14"/>
        <v/>
      </c>
      <c r="AD39" s="1586"/>
      <c r="AE39" s="1586"/>
      <c r="AF39" s="1333" t="str">
        <f t="shared" si="15"/>
        <v/>
      </c>
      <c r="AG39" s="1333"/>
      <c r="AH39" s="874" t="str">
        <f t="shared" si="16"/>
        <v/>
      </c>
      <c r="AI39" s="1055" t="str">
        <f t="shared" si="17"/>
        <v/>
      </c>
      <c r="AJ39" s="1055" t="str">
        <f>IF($C78&lt;&gt;"",VLOOKUP($C78,'Distributed Assets'!$B$28:$AS$102,16,FALSE),"")</f>
        <v/>
      </c>
      <c r="AK39" s="1527"/>
      <c r="AL39" s="925"/>
      <c r="AM39" s="1056"/>
      <c r="AN39" s="817" t="str">
        <f>IF($A39&lt;&gt;"",
       IF($F39="Physical", VLOOKUP($A39,#REF!,8,FALSE),"N/A"),
   "")</f>
        <v/>
      </c>
      <c r="AO39" s="818" t="str">
        <f t="array" ref="AO39">IFERROR(INDEX(IP!$N$4:$N$153,MATCH($C39,IF(IP!$H$4:$H$153="iLO Interface",IP!$B$4:$B$153),0)),"")</f>
        <v/>
      </c>
      <c r="AP39" s="818" t="str">
        <f t="array" ref="AP39">IFERROR(INDEX(IP!$I$4:$I$153,MATCH($C39,IF(IP!$H$4:$H$153="iLO Interface",IP!$B$4:$B$153),0)),"")</f>
        <v/>
      </c>
      <c r="AQ39" s="818" t="str">
        <f t="array" ref="AQ39">IFERROR(INDEX(IP!$J$4:$J$153,MATCH($C39,IF(IP!$H$4:$H$153="iLO Interface",IP!$B$4:$B$153),0)),"")</f>
        <v/>
      </c>
      <c r="AR39" s="1057"/>
      <c r="AS39" s="818" t="str">
        <f>IF($AR39&lt;&gt;"",
        VLOOKUP($AR39,IP!$D$4:$N$153,11,FALSE),"")</f>
        <v/>
      </c>
      <c r="AT39" s="1057"/>
      <c r="AU39" s="818" t="str">
        <f>IF($AT39&lt;&gt;"",
        VLOOKUP($AT39,IP!$D$4:$N$153,11,FALSE),"")</f>
        <v/>
      </c>
      <c r="AV39" s="818" t="str">
        <f t="shared" si="18"/>
        <v/>
      </c>
      <c r="AW39" s="1048" t="str">
        <f t="shared" si="24"/>
        <v/>
      </c>
      <c r="AX39" s="1025" t="str">
        <f t="shared" si="20"/>
        <v/>
      </c>
      <c r="AY39" s="1528" t="str">
        <f t="shared" si="25"/>
        <v/>
      </c>
    </row>
    <row r="40" spans="1:51">
      <c r="A40" s="1071"/>
      <c r="B40" s="913" t="str">
        <f>IF($A40&lt;&gt;"",VLOOKUP(VLOOKUP($C40,dist_assets,2,FALSE),'Distributed Assets'!$C$7:$F$22,4,FALSE),"")</f>
        <v/>
      </c>
      <c r="C40" s="1051" t="str">
        <f>IF($A40&lt;&gt;"",VLOOKUP($A40,IP!$A$4:O$93,2,FALSE),"")</f>
        <v/>
      </c>
      <c r="D40" s="913" t="str">
        <f t="shared" si="0"/>
        <v/>
      </c>
      <c r="E40" s="913" t="str">
        <f t="shared" si="1"/>
        <v/>
      </c>
      <c r="F40" s="913" t="str">
        <f t="shared" si="2"/>
        <v/>
      </c>
      <c r="G40" s="913" t="str">
        <f t="shared" si="3"/>
        <v/>
      </c>
      <c r="H40" s="2380" t="str">
        <f t="shared" si="4"/>
        <v/>
      </c>
      <c r="I40" s="913" t="str">
        <f>IF($C40&lt;&gt;"",
IF(LEFT(VLOOKUP($C40,dist_assets,16,FALSE),6)="Active",
     VLOOKUP($C40,'Distributed Assets'!$B$28:$AS$102,16,FALSE),"No"),"")</f>
        <v/>
      </c>
      <c r="J40" s="913" t="str">
        <f>IF($A40&lt;&gt;"",VLOOKUP($A40,IP!$A$4:$U$167,8,FALSE),"")</f>
        <v/>
      </c>
      <c r="K40" s="913" t="str">
        <f>IF($A40&lt;&gt;"",VLOOKUP($A40,IP!$A$4:$U$167,16,FALSE),"")</f>
        <v/>
      </c>
      <c r="L40" s="1052" t="str">
        <f>IF($A40&lt;&gt;"",
                         (VLOOKUP($A40,IP!$A$4:$N$153,11,FALSE)),
        "")</f>
        <v/>
      </c>
      <c r="M40" s="815" t="str">
        <f>IF($A40&lt;&gt;"",VLOOKUP($A40,IP!$A$4:$U$167,14,FALSE),"")</f>
        <v/>
      </c>
      <c r="N40" s="1052" t="str">
        <f>IF($A40&lt;&gt;"",VLOOKUP($A40,IP!$A$4:$U$167,9,FALSE),"")</f>
        <v/>
      </c>
      <c r="O40" s="1052" t="str">
        <f>IF($A40&lt;&gt;"",VLOOKUP($A40,IP!$A$4:$U$167,10,FALSE),"")</f>
        <v/>
      </c>
      <c r="P40" s="2047" t="str">
        <f t="shared" si="21"/>
        <v/>
      </c>
      <c r="Q40" s="2047" t="str">
        <f t="shared" si="22"/>
        <v/>
      </c>
      <c r="R40" s="818"/>
      <c r="S40" s="817" t="str">
        <f t="shared" si="6"/>
        <v/>
      </c>
      <c r="T40" s="1053" t="str">
        <f t="shared" si="23"/>
        <v/>
      </c>
      <c r="U40" s="1053" t="str">
        <f t="shared" si="7"/>
        <v/>
      </c>
      <c r="V40" s="817" t="str">
        <f t="shared" si="8"/>
        <v/>
      </c>
      <c r="W40" s="1054" t="str">
        <f t="shared" si="9"/>
        <v/>
      </c>
      <c r="X40" s="1525" t="str">
        <f t="shared" si="10"/>
        <v/>
      </c>
      <c r="Y40" s="1055" t="str">
        <f t="shared" si="11"/>
        <v/>
      </c>
      <c r="Z40" s="1055" t="str">
        <f t="shared" si="12"/>
        <v/>
      </c>
      <c r="AA40" s="1053"/>
      <c r="AB40" s="1053" t="str">
        <f t="shared" si="13"/>
        <v/>
      </c>
      <c r="AC40" s="2965" t="str">
        <f t="shared" si="14"/>
        <v/>
      </c>
      <c r="AD40" s="1586"/>
      <c r="AE40" s="1586"/>
      <c r="AF40" s="1333" t="str">
        <f t="shared" si="15"/>
        <v/>
      </c>
      <c r="AG40" s="1333"/>
      <c r="AH40" s="874" t="str">
        <f t="shared" si="16"/>
        <v/>
      </c>
      <c r="AI40" s="1055" t="str">
        <f t="shared" si="17"/>
        <v/>
      </c>
      <c r="AJ40" s="1055" t="str">
        <f>IF($C79&lt;&gt;"",VLOOKUP($C79,'Distributed Assets'!$B$28:$AS$102,16,FALSE),"")</f>
        <v/>
      </c>
      <c r="AK40" s="1527"/>
      <c r="AL40" s="925"/>
      <c r="AM40" s="1056"/>
      <c r="AN40" s="817" t="str">
        <f>IF($A40&lt;&gt;"",
       IF($F40="Physical", VLOOKUP($A40,#REF!,8,FALSE),"N/A"),
   "")</f>
        <v/>
      </c>
      <c r="AO40" s="818" t="str">
        <f t="array" ref="AO40">IFERROR(INDEX(IP!$N$4:$N$153,MATCH($C40,IF(IP!$H$4:$H$153="iLO Interface",IP!$B$4:$B$153),0)),"")</f>
        <v/>
      </c>
      <c r="AP40" s="818" t="str">
        <f t="array" ref="AP40">IFERROR(INDEX(IP!$I$4:$I$153,MATCH($C40,IF(IP!$H$4:$H$153="iLO Interface",IP!$B$4:$B$153),0)),"")</f>
        <v/>
      </c>
      <c r="AQ40" s="818" t="str">
        <f t="array" ref="AQ40">IFERROR(INDEX(IP!$J$4:$J$153,MATCH($C40,IF(IP!$H$4:$H$153="iLO Interface",IP!$B$4:$B$153),0)),"")</f>
        <v/>
      </c>
      <c r="AR40" s="1057"/>
      <c r="AS40" s="818" t="str">
        <f>IF($AR40&lt;&gt;"",
        VLOOKUP($AR40,IP!$D$4:$N$153,11,FALSE),"")</f>
        <v/>
      </c>
      <c r="AT40" s="1057"/>
      <c r="AU40" s="818" t="str">
        <f>IF($AT40&lt;&gt;"",
        VLOOKUP($AT40,IP!$D$4:$N$153,11,FALSE),"")</f>
        <v/>
      </c>
      <c r="AV40" s="818" t="str">
        <f t="shared" si="18"/>
        <v/>
      </c>
      <c r="AW40" s="1048" t="str">
        <f t="shared" si="24"/>
        <v/>
      </c>
      <c r="AX40" s="1025" t="str">
        <f t="shared" si="20"/>
        <v/>
      </c>
      <c r="AY40" s="1528" t="str">
        <f t="shared" si="25"/>
        <v/>
      </c>
    </row>
    <row r="41" spans="1:51">
      <c r="A41" s="1071"/>
      <c r="B41" s="913" t="str">
        <f>IF($A41&lt;&gt;"",VLOOKUP(VLOOKUP($C41,dist_assets,2,FALSE),'Distributed Assets'!$C$7:$F$22,4,FALSE),"")</f>
        <v/>
      </c>
      <c r="C41" s="1051" t="str">
        <f>IF($A41&lt;&gt;"",VLOOKUP($A41,IP!$A$4:O$93,2,FALSE),"")</f>
        <v/>
      </c>
      <c r="D41" s="913" t="str">
        <f t="shared" si="0"/>
        <v/>
      </c>
      <c r="E41" s="913" t="str">
        <f t="shared" si="1"/>
        <v/>
      </c>
      <c r="F41" s="913" t="str">
        <f t="shared" si="2"/>
        <v/>
      </c>
      <c r="G41" s="913" t="str">
        <f t="shared" si="3"/>
        <v/>
      </c>
      <c r="H41" s="2380" t="str">
        <f t="shared" si="4"/>
        <v/>
      </c>
      <c r="I41" s="913" t="str">
        <f>IF($C41&lt;&gt;"",
IF(LEFT(VLOOKUP($C41,dist_assets,16,FALSE),6)="Active",
     VLOOKUP($C41,'Distributed Assets'!$B$28:$AS$102,16,FALSE),"No"),"")</f>
        <v/>
      </c>
      <c r="J41" s="913" t="str">
        <f>IF($A41&lt;&gt;"",VLOOKUP($A41,IP!$A$4:$U$167,8,FALSE),"")</f>
        <v/>
      </c>
      <c r="K41" s="913" t="str">
        <f>IF($A41&lt;&gt;"",VLOOKUP($A41,IP!$A$4:$U$167,16,FALSE),"")</f>
        <v/>
      </c>
      <c r="L41" s="1052" t="str">
        <f>IF($A41&lt;&gt;"",
                         (VLOOKUP($A41,IP!$A$4:$N$153,11,FALSE)),
        "")</f>
        <v/>
      </c>
      <c r="M41" s="815" t="str">
        <f>IF($A41&lt;&gt;"",VLOOKUP($A41,IP!$A$4:$U$167,14,FALSE),"")</f>
        <v/>
      </c>
      <c r="N41" s="1052" t="str">
        <f>IF($A41&lt;&gt;"",VLOOKUP($A41,IP!$A$4:$U$167,9,FALSE),"")</f>
        <v/>
      </c>
      <c r="O41" s="1052" t="str">
        <f>IF($A41&lt;&gt;"",VLOOKUP($A41,IP!$A$4:$U$167,10,FALSE),"")</f>
        <v/>
      </c>
      <c r="P41" s="2047" t="str">
        <f t="shared" si="21"/>
        <v/>
      </c>
      <c r="Q41" s="2047" t="str">
        <f t="shared" si="22"/>
        <v/>
      </c>
      <c r="R41" s="818"/>
      <c r="S41" s="817" t="str">
        <f t="shared" si="6"/>
        <v/>
      </c>
      <c r="T41" s="1053" t="str">
        <f t="shared" si="23"/>
        <v/>
      </c>
      <c r="U41" s="1053" t="str">
        <f t="shared" si="7"/>
        <v/>
      </c>
      <c r="V41" s="817" t="str">
        <f t="shared" si="8"/>
        <v/>
      </c>
      <c r="W41" s="1054" t="str">
        <f t="shared" si="9"/>
        <v/>
      </c>
      <c r="X41" s="1525" t="str">
        <f t="shared" si="10"/>
        <v/>
      </c>
      <c r="Y41" s="1055" t="str">
        <f t="shared" si="11"/>
        <v/>
      </c>
      <c r="Z41" s="1055" t="str">
        <f t="shared" si="12"/>
        <v/>
      </c>
      <c r="AA41" s="1053"/>
      <c r="AB41" s="1053" t="str">
        <f t="shared" si="13"/>
        <v/>
      </c>
      <c r="AC41" s="2965" t="str">
        <f t="shared" si="14"/>
        <v/>
      </c>
      <c r="AD41" s="1586"/>
      <c r="AE41" s="1586"/>
      <c r="AF41" s="1333" t="str">
        <f t="shared" si="15"/>
        <v/>
      </c>
      <c r="AG41" s="1333"/>
      <c r="AH41" s="874" t="str">
        <f t="shared" si="16"/>
        <v/>
      </c>
      <c r="AI41" s="1055" t="str">
        <f t="shared" si="17"/>
        <v/>
      </c>
      <c r="AJ41" s="1055" t="str">
        <f>IF($C80&lt;&gt;"",VLOOKUP($C80,'Distributed Assets'!$B$28:$AS$102,16,FALSE),"")</f>
        <v/>
      </c>
      <c r="AK41" s="1527"/>
      <c r="AL41" s="925"/>
      <c r="AM41" s="1056"/>
      <c r="AN41" s="817" t="str">
        <f>IF($A41&lt;&gt;"",
       IF($F41="Physical", VLOOKUP($A41,#REF!,8,FALSE),"N/A"),
   "")</f>
        <v/>
      </c>
      <c r="AO41" s="818" t="str">
        <f t="array" ref="AO41">IFERROR(INDEX(IP!$N$4:$N$153,MATCH($C41,IF(IP!$H$4:$H$153="iLO Interface",IP!$B$4:$B$153),0)),"")</f>
        <v/>
      </c>
      <c r="AP41" s="818" t="str">
        <f t="array" ref="AP41">IFERROR(INDEX(IP!$I$4:$I$153,MATCH($C41,IF(IP!$H$4:$H$153="iLO Interface",IP!$B$4:$B$153),0)),"")</f>
        <v/>
      </c>
      <c r="AQ41" s="818" t="str">
        <f t="array" ref="AQ41">IFERROR(INDEX(IP!$J$4:$J$153,MATCH($C41,IF(IP!$H$4:$H$153="iLO Interface",IP!$B$4:$B$153),0)),"")</f>
        <v/>
      </c>
      <c r="AR41" s="1057"/>
      <c r="AS41" s="818" t="str">
        <f>IF($AR41&lt;&gt;"",
        VLOOKUP($AR41,IP!$D$4:$N$153,11,FALSE),"")</f>
        <v/>
      </c>
      <c r="AT41" s="1057"/>
      <c r="AU41" s="818" t="str">
        <f>IF($AT41&lt;&gt;"",
        VLOOKUP($AT41,IP!$D$4:$N$153,11,FALSE),"")</f>
        <v/>
      </c>
      <c r="AV41" s="818" t="str">
        <f t="shared" si="18"/>
        <v/>
      </c>
      <c r="AW41" s="1048" t="str">
        <f t="shared" si="24"/>
        <v/>
      </c>
      <c r="AX41" s="1025" t="str">
        <f t="shared" si="20"/>
        <v/>
      </c>
      <c r="AY41" s="1528" t="str">
        <f t="shared" si="25"/>
        <v/>
      </c>
    </row>
    <row r="42" spans="1:51">
      <c r="A42" s="1071"/>
      <c r="B42" s="913" t="str">
        <f>IF($A42&lt;&gt;"",VLOOKUP(VLOOKUP($C42,dist_assets,2,FALSE),'Distributed Assets'!$C$7:$F$22,4,FALSE),"")</f>
        <v/>
      </c>
      <c r="C42" s="1051" t="str">
        <f>IF($A42&lt;&gt;"",VLOOKUP($A42,IP!$A$4:O$93,2,FALSE),"")</f>
        <v/>
      </c>
      <c r="D42" s="913" t="str">
        <f t="shared" si="0"/>
        <v/>
      </c>
      <c r="E42" s="913" t="str">
        <f t="shared" si="1"/>
        <v/>
      </c>
      <c r="F42" s="913" t="str">
        <f t="shared" si="2"/>
        <v/>
      </c>
      <c r="G42" s="913" t="str">
        <f t="shared" si="3"/>
        <v/>
      </c>
      <c r="H42" s="2380" t="str">
        <f t="shared" si="4"/>
        <v/>
      </c>
      <c r="I42" s="913" t="str">
        <f>IF($C42&lt;&gt;"",
IF(LEFT(VLOOKUP($C42,dist_assets,16,FALSE),6)="Active",
     VLOOKUP($C42,'Distributed Assets'!$B$28:$AS$102,16,FALSE),"No"),"")</f>
        <v/>
      </c>
      <c r="J42" s="913" t="str">
        <f>IF($A42&lt;&gt;"",VLOOKUP($A42,IP!$A$4:$U$167,8,FALSE),"")</f>
        <v/>
      </c>
      <c r="K42" s="913" t="str">
        <f>IF($A42&lt;&gt;"",VLOOKUP($A42,IP!$A$4:$U$167,16,FALSE),"")</f>
        <v/>
      </c>
      <c r="L42" s="1052" t="str">
        <f>IF($A42&lt;&gt;"",
                         (VLOOKUP($A42,IP!$A$4:$N$153,11,FALSE)),
        "")</f>
        <v/>
      </c>
      <c r="M42" s="815" t="str">
        <f>IF($A42&lt;&gt;"",VLOOKUP($A42,IP!$A$4:$U$167,14,FALSE),"")</f>
        <v/>
      </c>
      <c r="N42" s="1052" t="str">
        <f>IF($A42&lt;&gt;"",VLOOKUP($A42,IP!$A$4:$U$167,9,FALSE),"")</f>
        <v/>
      </c>
      <c r="O42" s="1052" t="str">
        <f>IF($A42&lt;&gt;"",VLOOKUP($A42,IP!$A$4:$U$167,10,FALSE),"")</f>
        <v/>
      </c>
      <c r="P42" s="2047" t="str">
        <f t="shared" si="21"/>
        <v/>
      </c>
      <c r="Q42" s="2047" t="str">
        <f t="shared" si="22"/>
        <v/>
      </c>
      <c r="R42" s="818"/>
      <c r="S42" s="817" t="str">
        <f t="shared" si="6"/>
        <v/>
      </c>
      <c r="T42" s="1053" t="str">
        <f t="shared" si="23"/>
        <v/>
      </c>
      <c r="U42" s="1053" t="str">
        <f t="shared" si="7"/>
        <v/>
      </c>
      <c r="V42" s="817" t="str">
        <f t="shared" si="8"/>
        <v/>
      </c>
      <c r="W42" s="1054" t="str">
        <f t="shared" si="9"/>
        <v/>
      </c>
      <c r="X42" s="1525" t="str">
        <f t="shared" si="10"/>
        <v/>
      </c>
      <c r="Y42" s="1055" t="str">
        <f t="shared" si="11"/>
        <v/>
      </c>
      <c r="Z42" s="1055" t="str">
        <f t="shared" si="12"/>
        <v/>
      </c>
      <c r="AA42" s="1053"/>
      <c r="AB42" s="1053" t="str">
        <f t="shared" si="13"/>
        <v/>
      </c>
      <c r="AC42" s="2965" t="str">
        <f t="shared" si="14"/>
        <v/>
      </c>
      <c r="AD42" s="1586"/>
      <c r="AE42" s="1586"/>
      <c r="AF42" s="1333" t="str">
        <f t="shared" si="15"/>
        <v/>
      </c>
      <c r="AG42" s="1333"/>
      <c r="AH42" s="874" t="str">
        <f t="shared" si="16"/>
        <v/>
      </c>
      <c r="AI42" s="1055" t="str">
        <f t="shared" si="17"/>
        <v/>
      </c>
      <c r="AJ42" s="1055" t="str">
        <f>IF($C81&lt;&gt;"",VLOOKUP($C81,'Distributed Assets'!$B$28:$AS$102,16,FALSE),"")</f>
        <v/>
      </c>
      <c r="AK42" s="1527"/>
      <c r="AL42" s="925"/>
      <c r="AM42" s="1056"/>
      <c r="AN42" s="817" t="str">
        <f>IF($A42&lt;&gt;"",
       IF($F42="Physical", VLOOKUP($A42,#REF!,8,FALSE),"N/A"),
   "")</f>
        <v/>
      </c>
      <c r="AO42" s="818" t="str">
        <f t="array" ref="AO42">IFERROR(INDEX(IP!$N$4:$N$153,MATCH($C42,IF(IP!$H$4:$H$153="iLO Interface",IP!$B$4:$B$153),0)),"")</f>
        <v/>
      </c>
      <c r="AP42" s="818" t="str">
        <f t="array" ref="AP42">IFERROR(INDEX(IP!$I$4:$I$153,MATCH($C42,IF(IP!$H$4:$H$153="iLO Interface",IP!$B$4:$B$153),0)),"")</f>
        <v/>
      </c>
      <c r="AQ42" s="818" t="str">
        <f t="array" ref="AQ42">IFERROR(INDEX(IP!$J$4:$J$153,MATCH($C42,IF(IP!$H$4:$H$153="iLO Interface",IP!$B$4:$B$153),0)),"")</f>
        <v/>
      </c>
      <c r="AR42" s="1057"/>
      <c r="AS42" s="818" t="str">
        <f>IF($AR42&lt;&gt;"",
        VLOOKUP($AR42,IP!$D$4:$N$153,11,FALSE),"")</f>
        <v/>
      </c>
      <c r="AT42" s="1057"/>
      <c r="AU42" s="818" t="str">
        <f>IF($AT42&lt;&gt;"",
        VLOOKUP($AT42,IP!$D$4:$N$153,11,FALSE),"")</f>
        <v/>
      </c>
      <c r="AV42" s="818" t="str">
        <f t="shared" si="18"/>
        <v/>
      </c>
      <c r="AW42" s="1048" t="str">
        <f t="shared" si="24"/>
        <v/>
      </c>
      <c r="AX42" s="1025" t="str">
        <f t="shared" si="20"/>
        <v/>
      </c>
      <c r="AY42" s="1528" t="str">
        <f t="shared" si="25"/>
        <v/>
      </c>
    </row>
    <row r="43" spans="1:51">
      <c r="A43" s="1071"/>
      <c r="B43" s="913" t="str">
        <f>IF($A43&lt;&gt;"",VLOOKUP(VLOOKUP($C43,dist_assets,2,FALSE),'Distributed Assets'!$C$7:$F$22,4,FALSE),"")</f>
        <v/>
      </c>
      <c r="C43" s="1051" t="str">
        <f>IF($A43&lt;&gt;"",VLOOKUP($A43,IP!$A$4:O$93,2,FALSE),"")</f>
        <v/>
      </c>
      <c r="D43" s="913" t="str">
        <f t="shared" si="0"/>
        <v/>
      </c>
      <c r="E43" s="913" t="str">
        <f t="shared" si="1"/>
        <v/>
      </c>
      <c r="F43" s="913" t="str">
        <f t="shared" si="2"/>
        <v/>
      </c>
      <c r="G43" s="913" t="str">
        <f t="shared" si="3"/>
        <v/>
      </c>
      <c r="H43" s="2380" t="str">
        <f t="shared" si="4"/>
        <v/>
      </c>
      <c r="I43" s="913" t="str">
        <f>IF($C43&lt;&gt;"",
IF(LEFT(VLOOKUP($C43,dist_assets,16,FALSE),6)="Active",
     VLOOKUP($C43,'Distributed Assets'!$B$28:$AS$102,16,FALSE),"No"),"")</f>
        <v/>
      </c>
      <c r="J43" s="913" t="str">
        <f>IF($A43&lt;&gt;"",VLOOKUP($A43,IP!$A$4:$U$167,8,FALSE),"")</f>
        <v/>
      </c>
      <c r="K43" s="913" t="str">
        <f>IF($A43&lt;&gt;"",VLOOKUP($A43,IP!$A$4:$U$167,16,FALSE),"")</f>
        <v/>
      </c>
      <c r="L43" s="1052" t="str">
        <f>IF($A43&lt;&gt;"",
                         (VLOOKUP($A43,IP!$A$4:$N$153,11,FALSE)),
        "")</f>
        <v/>
      </c>
      <c r="M43" s="815" t="str">
        <f>IF($A43&lt;&gt;"",VLOOKUP($A43,IP!$A$4:$U$167,14,FALSE),"")</f>
        <v/>
      </c>
      <c r="N43" s="1052" t="str">
        <f>IF($A43&lt;&gt;"",VLOOKUP($A43,IP!$A$4:$U$167,9,FALSE),"")</f>
        <v/>
      </c>
      <c r="O43" s="1052" t="str">
        <f>IF($A43&lt;&gt;"",VLOOKUP($A43,IP!$A$4:$U$167,10,FALSE),"")</f>
        <v/>
      </c>
      <c r="P43" s="2047" t="str">
        <f t="shared" si="21"/>
        <v/>
      </c>
      <c r="Q43" s="2047" t="str">
        <f t="shared" si="22"/>
        <v/>
      </c>
      <c r="R43" s="818"/>
      <c r="S43" s="817" t="str">
        <f t="shared" si="6"/>
        <v/>
      </c>
      <c r="T43" s="1053" t="str">
        <f t="shared" si="23"/>
        <v/>
      </c>
      <c r="U43" s="1053" t="str">
        <f t="shared" si="7"/>
        <v/>
      </c>
      <c r="V43" s="817" t="str">
        <f t="shared" si="8"/>
        <v/>
      </c>
      <c r="W43" s="1054" t="str">
        <f t="shared" si="9"/>
        <v/>
      </c>
      <c r="X43" s="1525" t="str">
        <f t="shared" si="10"/>
        <v/>
      </c>
      <c r="Y43" s="1055" t="str">
        <f t="shared" si="11"/>
        <v/>
      </c>
      <c r="Z43" s="1055" t="str">
        <f t="shared" si="12"/>
        <v/>
      </c>
      <c r="AA43" s="1053"/>
      <c r="AB43" s="1053" t="str">
        <f t="shared" si="13"/>
        <v/>
      </c>
      <c r="AC43" s="2965" t="str">
        <f t="shared" si="14"/>
        <v/>
      </c>
      <c r="AD43" s="1586"/>
      <c r="AE43" s="1586"/>
      <c r="AF43" s="1333" t="str">
        <f t="shared" si="15"/>
        <v/>
      </c>
      <c r="AG43" s="1333"/>
      <c r="AH43" s="874" t="str">
        <f t="shared" si="16"/>
        <v/>
      </c>
      <c r="AI43" s="1055" t="str">
        <f t="shared" si="17"/>
        <v/>
      </c>
      <c r="AJ43" s="1055" t="str">
        <f>IF($C82&lt;&gt;"",VLOOKUP($C82,'Distributed Assets'!$B$28:$AS$102,16,FALSE),"")</f>
        <v/>
      </c>
      <c r="AK43" s="1527"/>
      <c r="AL43" s="925"/>
      <c r="AM43" s="1056"/>
      <c r="AN43" s="817" t="str">
        <f>IF($A43&lt;&gt;"",
       IF($F43="Physical", VLOOKUP($A43,#REF!,8,FALSE),"N/A"),
   "")</f>
        <v/>
      </c>
      <c r="AO43" s="818" t="str">
        <f t="array" ref="AO43">IFERROR(INDEX(IP!$N$4:$N$153,MATCH($C43,IF(IP!$H$4:$H$153="iLO Interface",IP!$B$4:$B$153),0)),"")</f>
        <v/>
      </c>
      <c r="AP43" s="818" t="str">
        <f t="array" ref="AP43">IFERROR(INDEX(IP!$I$4:$I$153,MATCH($C43,IF(IP!$H$4:$H$153="iLO Interface",IP!$B$4:$B$153),0)),"")</f>
        <v/>
      </c>
      <c r="AQ43" s="818" t="str">
        <f t="array" ref="AQ43">IFERROR(INDEX(IP!$J$4:$J$153,MATCH($C43,IF(IP!$H$4:$H$153="iLO Interface",IP!$B$4:$B$153),0)),"")</f>
        <v/>
      </c>
      <c r="AR43" s="1057"/>
      <c r="AS43" s="818" t="str">
        <f>IF($AR43&lt;&gt;"",
        VLOOKUP($AR43,IP!$D$4:$N$153,11,FALSE),"")</f>
        <v/>
      </c>
      <c r="AT43" s="1057"/>
      <c r="AU43" s="818" t="str">
        <f>IF($AT43&lt;&gt;"",
        VLOOKUP($AT43,IP!$D$4:$N$153,11,FALSE),"")</f>
        <v/>
      </c>
      <c r="AV43" s="818" t="str">
        <f t="shared" si="18"/>
        <v/>
      </c>
      <c r="AW43" s="1048" t="str">
        <f t="shared" si="24"/>
        <v/>
      </c>
      <c r="AX43" s="1025" t="str">
        <f t="shared" si="20"/>
        <v/>
      </c>
      <c r="AY43" s="1528" t="str">
        <f t="shared" si="25"/>
        <v/>
      </c>
    </row>
    <row r="44" spans="1:51">
      <c r="A44" s="1071"/>
      <c r="B44" s="913" t="str">
        <f>IF($A44&lt;&gt;"",VLOOKUP(VLOOKUP($C44,dist_assets,2,FALSE),'Distributed Assets'!$C$7:$F$22,4,FALSE),"")</f>
        <v/>
      </c>
      <c r="C44" s="1051" t="str">
        <f>IF($A44&lt;&gt;"",VLOOKUP($A44,IP!$A$4:O$93,2,FALSE),"")</f>
        <v/>
      </c>
      <c r="D44" s="913" t="str">
        <f t="shared" si="0"/>
        <v/>
      </c>
      <c r="E44" s="913" t="str">
        <f t="shared" si="1"/>
        <v/>
      </c>
      <c r="F44" s="913" t="str">
        <f t="shared" si="2"/>
        <v/>
      </c>
      <c r="G44" s="913" t="str">
        <f t="shared" si="3"/>
        <v/>
      </c>
      <c r="H44" s="2380" t="str">
        <f t="shared" si="4"/>
        <v/>
      </c>
      <c r="I44" s="913" t="str">
        <f>IF($C44&lt;&gt;"",
IF(LEFT(VLOOKUP($C44,dist_assets,16,FALSE),6)="Active",
     VLOOKUP($C44,'Distributed Assets'!$B$28:$AS$102,16,FALSE),"No"),"")</f>
        <v/>
      </c>
      <c r="J44" s="913" t="str">
        <f>IF($A44&lt;&gt;"",VLOOKUP($A44,IP!$A$4:$U$167,8,FALSE),"")</f>
        <v/>
      </c>
      <c r="K44" s="913" t="str">
        <f>IF($A44&lt;&gt;"",VLOOKUP($A44,IP!$A$4:$U$167,16,FALSE),"")</f>
        <v/>
      </c>
      <c r="L44" s="1052" t="str">
        <f>IF($A44&lt;&gt;"",
                         (VLOOKUP($A44,IP!$A$4:$N$153,11,FALSE)),
        "")</f>
        <v/>
      </c>
      <c r="M44" s="815" t="str">
        <f>IF($A44&lt;&gt;"",VLOOKUP($A44,IP!$A$4:$U$167,14,FALSE),"")</f>
        <v/>
      </c>
      <c r="N44" s="1052" t="str">
        <f>IF($A44&lt;&gt;"",VLOOKUP($A44,IP!$A$4:$U$167,9,FALSE),"")</f>
        <v/>
      </c>
      <c r="O44" s="1052" t="str">
        <f>IF($A44&lt;&gt;"",VLOOKUP($A44,IP!$A$4:$U$167,10,FALSE),"")</f>
        <v/>
      </c>
      <c r="P44" s="2047" t="str">
        <f t="shared" si="21"/>
        <v/>
      </c>
      <c r="Q44" s="2047" t="str">
        <f t="shared" si="22"/>
        <v/>
      </c>
      <c r="R44" s="818"/>
      <c r="S44" s="817" t="str">
        <f t="shared" si="6"/>
        <v/>
      </c>
      <c r="T44" s="1053" t="str">
        <f t="shared" si="23"/>
        <v/>
      </c>
      <c r="U44" s="1053" t="str">
        <f t="shared" si="7"/>
        <v/>
      </c>
      <c r="V44" s="817" t="str">
        <f t="shared" si="8"/>
        <v/>
      </c>
      <c r="W44" s="1054" t="str">
        <f t="shared" si="9"/>
        <v/>
      </c>
      <c r="X44" s="1525" t="str">
        <f t="shared" si="10"/>
        <v/>
      </c>
      <c r="Y44" s="1055" t="str">
        <f t="shared" si="11"/>
        <v/>
      </c>
      <c r="Z44" s="1055" t="str">
        <f t="shared" si="12"/>
        <v/>
      </c>
      <c r="AA44" s="1053"/>
      <c r="AB44" s="1053" t="str">
        <f t="shared" si="13"/>
        <v/>
      </c>
      <c r="AC44" s="2965" t="str">
        <f t="shared" si="14"/>
        <v/>
      </c>
      <c r="AD44" s="1586"/>
      <c r="AE44" s="1586"/>
      <c r="AF44" s="1333" t="str">
        <f t="shared" si="15"/>
        <v/>
      </c>
      <c r="AG44" s="1333"/>
      <c r="AH44" s="874" t="str">
        <f t="shared" si="16"/>
        <v/>
      </c>
      <c r="AI44" s="1055" t="str">
        <f t="shared" si="17"/>
        <v/>
      </c>
      <c r="AJ44" s="1055" t="str">
        <f>IF($C83&lt;&gt;"",VLOOKUP($C83,'Distributed Assets'!$B$28:$AS$102,16,FALSE),"")</f>
        <v/>
      </c>
      <c r="AK44" s="1527"/>
      <c r="AL44" s="925"/>
      <c r="AM44" s="1056"/>
      <c r="AN44" s="817" t="str">
        <f>IF($A44&lt;&gt;"",
       IF($F44="Physical", VLOOKUP($A44,#REF!,8,FALSE),"N/A"),
   "")</f>
        <v/>
      </c>
      <c r="AO44" s="818" t="str">
        <f t="array" ref="AO44">IFERROR(INDEX(IP!$N$4:$N$153,MATCH($C44,IF(IP!$H$4:$H$153="iLO Interface",IP!$B$4:$B$153),0)),"")</f>
        <v/>
      </c>
      <c r="AP44" s="818" t="str">
        <f t="array" ref="AP44">IFERROR(INDEX(IP!$I$4:$I$153,MATCH($C44,IF(IP!$H$4:$H$153="iLO Interface",IP!$B$4:$B$153),0)),"")</f>
        <v/>
      </c>
      <c r="AQ44" s="818" t="str">
        <f t="array" ref="AQ44">IFERROR(INDEX(IP!$J$4:$J$153,MATCH($C44,IF(IP!$H$4:$H$153="iLO Interface",IP!$B$4:$B$153),0)),"")</f>
        <v/>
      </c>
      <c r="AR44" s="1057"/>
      <c r="AS44" s="818" t="str">
        <f>IF($AR44&lt;&gt;"",
        VLOOKUP($AR44,IP!$D$4:$N$153,11,FALSE),"")</f>
        <v/>
      </c>
      <c r="AT44" s="1057"/>
      <c r="AU44" s="818" t="str">
        <f>IF($AT44&lt;&gt;"",
        VLOOKUP($AT44,IP!$D$4:$N$153,11,FALSE),"")</f>
        <v/>
      </c>
      <c r="AV44" s="818" t="str">
        <f t="shared" si="18"/>
        <v/>
      </c>
      <c r="AW44" s="1048" t="str">
        <f t="shared" si="24"/>
        <v/>
      </c>
      <c r="AX44" s="1025" t="str">
        <f t="shared" si="20"/>
        <v/>
      </c>
      <c r="AY44" s="1528" t="str">
        <f t="shared" si="25"/>
        <v/>
      </c>
    </row>
    <row r="45" spans="1:51">
      <c r="A45" s="1071"/>
      <c r="B45" s="913" t="str">
        <f>IF($A45&lt;&gt;"",VLOOKUP(VLOOKUP($C45,dist_assets,2,FALSE),'Distributed Assets'!$C$7:$F$22,4,FALSE),"")</f>
        <v/>
      </c>
      <c r="C45" s="1051" t="str">
        <f>IF($A45&lt;&gt;"",VLOOKUP($A45,IP!$A$4:O$93,2,FALSE),"")</f>
        <v/>
      </c>
      <c r="D45" s="913" t="str">
        <f t="shared" si="0"/>
        <v/>
      </c>
      <c r="E45" s="913" t="str">
        <f t="shared" si="1"/>
        <v/>
      </c>
      <c r="F45" s="913" t="str">
        <f t="shared" si="2"/>
        <v/>
      </c>
      <c r="G45" s="913" t="str">
        <f t="shared" si="3"/>
        <v/>
      </c>
      <c r="H45" s="2380" t="str">
        <f t="shared" si="4"/>
        <v/>
      </c>
      <c r="I45" s="913" t="str">
        <f>IF($C45&lt;&gt;"",
IF(LEFT(VLOOKUP($C45,dist_assets,16,FALSE),6)="Active",
     VLOOKUP($C45,'Distributed Assets'!$B$28:$AS$102,16,FALSE),"No"),"")</f>
        <v/>
      </c>
      <c r="J45" s="913" t="str">
        <f>IF($A45&lt;&gt;"",VLOOKUP($A45,IP!$A$4:$U$167,8,FALSE),"")</f>
        <v/>
      </c>
      <c r="K45" s="913" t="str">
        <f>IF($A45&lt;&gt;"",VLOOKUP($A45,IP!$A$4:$U$167,16,FALSE),"")</f>
        <v/>
      </c>
      <c r="L45" s="1052" t="str">
        <f>IF($A45&lt;&gt;"",
                         (VLOOKUP($A45,IP!$A$4:$N$153,11,FALSE)),
        "")</f>
        <v/>
      </c>
      <c r="M45" s="815" t="str">
        <f>IF($A45&lt;&gt;"",VLOOKUP($A45,IP!$A$4:$U$167,14,FALSE),"")</f>
        <v/>
      </c>
      <c r="N45" s="1052" t="str">
        <f>IF($A45&lt;&gt;"",VLOOKUP($A45,IP!$A$4:$U$167,9,FALSE),"")</f>
        <v/>
      </c>
      <c r="O45" s="1052" t="str">
        <f>IF($A45&lt;&gt;"",VLOOKUP($A45,IP!$A$4:$U$167,10,FALSE),"")</f>
        <v/>
      </c>
      <c r="P45" s="2047" t="str">
        <f t="shared" si="21"/>
        <v/>
      </c>
      <c r="Q45" s="2047" t="str">
        <f t="shared" si="22"/>
        <v/>
      </c>
      <c r="R45" s="818"/>
      <c r="S45" s="817" t="str">
        <f t="shared" si="6"/>
        <v/>
      </c>
      <c r="T45" s="1053" t="str">
        <f t="shared" si="23"/>
        <v/>
      </c>
      <c r="U45" s="1053" t="str">
        <f t="shared" si="7"/>
        <v/>
      </c>
      <c r="V45" s="817" t="str">
        <f t="shared" si="8"/>
        <v/>
      </c>
      <c r="W45" s="1054" t="str">
        <f t="shared" si="9"/>
        <v/>
      </c>
      <c r="X45" s="1525" t="str">
        <f t="shared" si="10"/>
        <v/>
      </c>
      <c r="Y45" s="1055" t="str">
        <f t="shared" si="11"/>
        <v/>
      </c>
      <c r="Z45" s="1055" t="str">
        <f t="shared" si="12"/>
        <v/>
      </c>
      <c r="AA45" s="1053"/>
      <c r="AB45" s="1053" t="str">
        <f t="shared" si="13"/>
        <v/>
      </c>
      <c r="AC45" s="2965" t="str">
        <f t="shared" si="14"/>
        <v/>
      </c>
      <c r="AD45" s="1586"/>
      <c r="AE45" s="1586"/>
      <c r="AF45" s="1333" t="str">
        <f t="shared" si="15"/>
        <v/>
      </c>
      <c r="AG45" s="1333"/>
      <c r="AH45" s="874" t="str">
        <f t="shared" si="16"/>
        <v/>
      </c>
      <c r="AI45" s="1055" t="str">
        <f t="shared" si="17"/>
        <v/>
      </c>
      <c r="AJ45" s="1055" t="str">
        <f>IF($C84&lt;&gt;"",VLOOKUP($C84,'Distributed Assets'!$B$28:$AS$102,16,FALSE),"")</f>
        <v/>
      </c>
      <c r="AK45" s="1527"/>
      <c r="AL45" s="925"/>
      <c r="AM45" s="1056"/>
      <c r="AN45" s="817" t="str">
        <f>IF($A45&lt;&gt;"",
       IF($F45="Physical", VLOOKUP($A45,#REF!,8,FALSE),"N/A"),
   "")</f>
        <v/>
      </c>
      <c r="AO45" s="818" t="str">
        <f t="array" ref="AO45">IFERROR(INDEX(IP!$N$4:$N$153,MATCH($C45,IF(IP!$H$4:$H$153="iLO Interface",IP!$B$4:$B$153),0)),"")</f>
        <v/>
      </c>
      <c r="AP45" s="818" t="str">
        <f t="array" ref="AP45">IFERROR(INDEX(IP!$I$4:$I$153,MATCH($C45,IF(IP!$H$4:$H$153="iLO Interface",IP!$B$4:$B$153),0)),"")</f>
        <v/>
      </c>
      <c r="AQ45" s="818" t="str">
        <f t="array" ref="AQ45">IFERROR(INDEX(IP!$J$4:$J$153,MATCH($C45,IF(IP!$H$4:$H$153="iLO Interface",IP!$B$4:$B$153),0)),"")</f>
        <v/>
      </c>
      <c r="AR45" s="1057"/>
      <c r="AS45" s="818" t="str">
        <f>IF($AR45&lt;&gt;"",
        VLOOKUP($AR45,IP!$D$4:$N$153,11,FALSE),"")</f>
        <v/>
      </c>
      <c r="AT45" s="1057"/>
      <c r="AU45" s="818" t="str">
        <f>IF($AT45&lt;&gt;"",
        VLOOKUP($AT45,IP!$D$4:$N$153,11,FALSE),"")</f>
        <v/>
      </c>
      <c r="AV45" s="818" t="str">
        <f t="shared" si="18"/>
        <v/>
      </c>
      <c r="AW45" s="1048" t="str">
        <f t="shared" si="24"/>
        <v/>
      </c>
      <c r="AX45" s="1025" t="str">
        <f t="shared" si="20"/>
        <v/>
      </c>
      <c r="AY45" s="1528" t="str">
        <f t="shared" si="25"/>
        <v/>
      </c>
    </row>
    <row r="46" spans="1:51">
      <c r="A46" s="1071"/>
      <c r="B46" s="913" t="str">
        <f>IF($A46&lt;&gt;"",VLOOKUP(VLOOKUP($C46,dist_assets,2,FALSE),'Distributed Assets'!$C$7:$F$22,4,FALSE),"")</f>
        <v/>
      </c>
      <c r="C46" s="1051" t="str">
        <f>IF($A46&lt;&gt;"",VLOOKUP($A46,IP!$A$4:O$93,2,FALSE),"")</f>
        <v/>
      </c>
      <c r="D46" s="913" t="str">
        <f t="shared" si="0"/>
        <v/>
      </c>
      <c r="E46" s="913" t="str">
        <f t="shared" si="1"/>
        <v/>
      </c>
      <c r="F46" s="913" t="str">
        <f t="shared" si="2"/>
        <v/>
      </c>
      <c r="G46" s="913" t="str">
        <f t="shared" si="3"/>
        <v/>
      </c>
      <c r="H46" s="2380" t="str">
        <f t="shared" si="4"/>
        <v/>
      </c>
      <c r="I46" s="913" t="str">
        <f>IF($C46&lt;&gt;"",
IF(LEFT(VLOOKUP($C46,dist_assets,16,FALSE),6)="Active",
     VLOOKUP($C46,'Distributed Assets'!$B$28:$AS$102,16,FALSE),"No"),"")</f>
        <v/>
      </c>
      <c r="J46" s="913" t="str">
        <f>IF($A46&lt;&gt;"",VLOOKUP($A46,IP!$A$4:$U$167,8,FALSE),"")</f>
        <v/>
      </c>
      <c r="K46" s="913" t="str">
        <f>IF($A46&lt;&gt;"",VLOOKUP($A46,IP!$A$4:$U$167,16,FALSE),"")</f>
        <v/>
      </c>
      <c r="L46" s="1052" t="str">
        <f>IF($A46&lt;&gt;"",
                         (VLOOKUP($A46,IP!$A$4:$N$153,11,FALSE)),
        "")</f>
        <v/>
      </c>
      <c r="M46" s="815" t="str">
        <f>IF($A46&lt;&gt;"",VLOOKUP($A46,IP!$A$4:$U$167,14,FALSE),"")</f>
        <v/>
      </c>
      <c r="N46" s="1052" t="str">
        <f>IF($A46&lt;&gt;"",VLOOKUP($A46,IP!$A$4:$U$167,9,FALSE),"")</f>
        <v/>
      </c>
      <c r="O46" s="1052" t="str">
        <f>IF($A46&lt;&gt;"",VLOOKUP($A46,IP!$A$4:$U$167,10,FALSE),"")</f>
        <v/>
      </c>
      <c r="P46" s="2047" t="str">
        <f t="shared" si="21"/>
        <v/>
      </c>
      <c r="Q46" s="2047" t="str">
        <f t="shared" si="22"/>
        <v/>
      </c>
      <c r="R46" s="818"/>
      <c r="S46" s="817" t="str">
        <f t="shared" si="6"/>
        <v/>
      </c>
      <c r="T46" s="1053" t="str">
        <f t="shared" si="23"/>
        <v/>
      </c>
      <c r="U46" s="1053" t="str">
        <f t="shared" si="7"/>
        <v/>
      </c>
      <c r="V46" s="817" t="str">
        <f t="shared" si="8"/>
        <v/>
      </c>
      <c r="W46" s="1054" t="str">
        <f t="shared" si="9"/>
        <v/>
      </c>
      <c r="X46" s="1525" t="str">
        <f t="shared" si="10"/>
        <v/>
      </c>
      <c r="Y46" s="1055" t="str">
        <f t="shared" si="11"/>
        <v/>
      </c>
      <c r="Z46" s="1055" t="str">
        <f t="shared" si="12"/>
        <v/>
      </c>
      <c r="AA46" s="1053"/>
      <c r="AB46" s="1053" t="str">
        <f t="shared" si="13"/>
        <v/>
      </c>
      <c r="AC46" s="2965" t="str">
        <f t="shared" si="14"/>
        <v/>
      </c>
      <c r="AD46" s="1586"/>
      <c r="AE46" s="1586"/>
      <c r="AF46" s="1333" t="str">
        <f t="shared" si="15"/>
        <v/>
      </c>
      <c r="AG46" s="1333"/>
      <c r="AH46" s="874" t="str">
        <f t="shared" si="16"/>
        <v/>
      </c>
      <c r="AI46" s="1055" t="str">
        <f t="shared" si="17"/>
        <v/>
      </c>
      <c r="AJ46" s="1055" t="str">
        <f>IF($C85&lt;&gt;"",VLOOKUP($C85,'Distributed Assets'!$B$28:$AS$102,16,FALSE),"")</f>
        <v/>
      </c>
      <c r="AK46" s="1527"/>
      <c r="AL46" s="925"/>
      <c r="AM46" s="1056"/>
      <c r="AN46" s="817" t="str">
        <f>IF($A46&lt;&gt;"",
       IF($F46="Physical", VLOOKUP($A46,#REF!,8,FALSE),"N/A"),
   "")</f>
        <v/>
      </c>
      <c r="AO46" s="818" t="str">
        <f t="array" ref="AO46">IFERROR(INDEX(IP!$N$4:$N$153,MATCH($C46,IF(IP!$H$4:$H$153="iLO Interface",IP!$B$4:$B$153),0)),"")</f>
        <v/>
      </c>
      <c r="AP46" s="818" t="str">
        <f t="array" ref="AP46">IFERROR(INDEX(IP!$I$4:$I$153,MATCH($C46,IF(IP!$H$4:$H$153="iLO Interface",IP!$B$4:$B$153),0)),"")</f>
        <v/>
      </c>
      <c r="AQ46" s="818" t="str">
        <f t="array" ref="AQ46">IFERROR(INDEX(IP!$J$4:$J$153,MATCH($C46,IF(IP!$H$4:$H$153="iLO Interface",IP!$B$4:$B$153),0)),"")</f>
        <v/>
      </c>
      <c r="AR46" s="1057"/>
      <c r="AS46" s="818" t="str">
        <f>IF($AR46&lt;&gt;"",
        VLOOKUP($AR46,IP!$D$4:$N$153,11,FALSE),"")</f>
        <v/>
      </c>
      <c r="AT46" s="1057"/>
      <c r="AU46" s="818" t="str">
        <f>IF($AT46&lt;&gt;"",
        VLOOKUP($AT46,IP!$D$4:$N$153,11,FALSE),"")</f>
        <v/>
      </c>
      <c r="AV46" s="818" t="str">
        <f t="shared" si="18"/>
        <v/>
      </c>
      <c r="AW46" s="1048" t="str">
        <f t="shared" si="24"/>
        <v/>
      </c>
      <c r="AX46" s="1025" t="str">
        <f t="shared" si="20"/>
        <v/>
      </c>
      <c r="AY46" s="1528" t="str">
        <f t="shared" si="25"/>
        <v/>
      </c>
    </row>
    <row r="47" spans="1:51">
      <c r="A47" s="1071"/>
      <c r="B47" s="913" t="str">
        <f>IF($A47&lt;&gt;"",VLOOKUP(VLOOKUP($C47,dist_assets,2,FALSE),'Distributed Assets'!$C$7:$F$22,4,FALSE),"")</f>
        <v/>
      </c>
      <c r="C47" s="1051" t="str">
        <f>IF($A47&lt;&gt;"",VLOOKUP($A47,IP!$A$4:O$93,2,FALSE),"")</f>
        <v/>
      </c>
      <c r="D47" s="913" t="str">
        <f t="shared" si="0"/>
        <v/>
      </c>
      <c r="E47" s="913" t="str">
        <f t="shared" si="1"/>
        <v/>
      </c>
      <c r="F47" s="913" t="str">
        <f t="shared" si="2"/>
        <v/>
      </c>
      <c r="G47" s="913" t="str">
        <f t="shared" si="3"/>
        <v/>
      </c>
      <c r="H47" s="2380" t="str">
        <f t="shared" si="4"/>
        <v/>
      </c>
      <c r="I47" s="913" t="str">
        <f>IF($C47&lt;&gt;"",
IF(LEFT(VLOOKUP($C47,dist_assets,16,FALSE),6)="Active",
     VLOOKUP($C47,'Distributed Assets'!$B$28:$AS$102,16,FALSE),"No"),"")</f>
        <v/>
      </c>
      <c r="J47" s="913" t="str">
        <f>IF($A47&lt;&gt;"",VLOOKUP($A47,IP!$A$4:$U$167,8,FALSE),"")</f>
        <v/>
      </c>
      <c r="K47" s="913" t="str">
        <f>IF($A47&lt;&gt;"",VLOOKUP($A47,IP!$A$4:$U$167,16,FALSE),"")</f>
        <v/>
      </c>
      <c r="L47" s="1052" t="str">
        <f>IF($A47&lt;&gt;"",
                         (VLOOKUP($A47,IP!$A$4:$N$153,11,FALSE)),
        "")</f>
        <v/>
      </c>
      <c r="M47" s="815" t="str">
        <f>IF($A47&lt;&gt;"",VLOOKUP($A47,IP!$A$4:$U$167,14,FALSE),"")</f>
        <v/>
      </c>
      <c r="N47" s="1052" t="str">
        <f>IF($A47&lt;&gt;"",VLOOKUP($A47,IP!$A$4:$U$167,9,FALSE),"")</f>
        <v/>
      </c>
      <c r="O47" s="1052" t="str">
        <f>IF($A47&lt;&gt;"",VLOOKUP($A47,IP!$A$4:$U$167,10,FALSE),"")</f>
        <v/>
      </c>
      <c r="P47" s="2047" t="str">
        <f t="shared" si="21"/>
        <v/>
      </c>
      <c r="Q47" s="2047" t="str">
        <f t="shared" si="22"/>
        <v/>
      </c>
      <c r="R47" s="818"/>
      <c r="S47" s="817" t="str">
        <f t="shared" si="6"/>
        <v/>
      </c>
      <c r="T47" s="1053" t="str">
        <f t="shared" si="23"/>
        <v/>
      </c>
      <c r="U47" s="1053" t="str">
        <f t="shared" si="7"/>
        <v/>
      </c>
      <c r="V47" s="817" t="str">
        <f t="shared" si="8"/>
        <v/>
      </c>
      <c r="W47" s="1054" t="str">
        <f t="shared" si="9"/>
        <v/>
      </c>
      <c r="X47" s="1525" t="str">
        <f t="shared" si="10"/>
        <v/>
      </c>
      <c r="Y47" s="1055" t="str">
        <f t="shared" si="11"/>
        <v/>
      </c>
      <c r="Z47" s="1055" t="str">
        <f t="shared" si="12"/>
        <v/>
      </c>
      <c r="AA47" s="1053"/>
      <c r="AB47" s="1053" t="str">
        <f t="shared" si="13"/>
        <v/>
      </c>
      <c r="AC47" s="2965" t="str">
        <f t="shared" si="14"/>
        <v/>
      </c>
      <c r="AD47" s="1586"/>
      <c r="AE47" s="1586"/>
      <c r="AF47" s="1333" t="str">
        <f t="shared" si="15"/>
        <v/>
      </c>
      <c r="AG47" s="1333"/>
      <c r="AH47" s="874" t="str">
        <f t="shared" si="16"/>
        <v/>
      </c>
      <c r="AI47" s="1055" t="str">
        <f t="shared" si="17"/>
        <v/>
      </c>
      <c r="AJ47" s="1055" t="str">
        <f>IF($C86&lt;&gt;"",VLOOKUP($C86,'Distributed Assets'!$B$28:$AS$102,16,FALSE),"")</f>
        <v/>
      </c>
      <c r="AK47" s="1527"/>
      <c r="AL47" s="925"/>
      <c r="AM47" s="1056"/>
      <c r="AN47" s="817" t="str">
        <f>IF($A47&lt;&gt;"",
       IF($F47="Physical", VLOOKUP($A47,#REF!,8,FALSE),"N/A"),
   "")</f>
        <v/>
      </c>
      <c r="AO47" s="818" t="str">
        <f t="array" ref="AO47">IFERROR(INDEX(IP!$N$4:$N$153,MATCH($C47,IF(IP!$H$4:$H$153="iLO Interface",IP!$B$4:$B$153),0)),"")</f>
        <v/>
      </c>
      <c r="AP47" s="818" t="str">
        <f t="array" ref="AP47">IFERROR(INDEX(IP!$I$4:$I$153,MATCH($C47,IF(IP!$H$4:$H$153="iLO Interface",IP!$B$4:$B$153),0)),"")</f>
        <v/>
      </c>
      <c r="AQ47" s="818" t="str">
        <f t="array" ref="AQ47">IFERROR(INDEX(IP!$J$4:$J$153,MATCH($C47,IF(IP!$H$4:$H$153="iLO Interface",IP!$B$4:$B$153),0)),"")</f>
        <v/>
      </c>
      <c r="AR47" s="1057"/>
      <c r="AS47" s="818" t="str">
        <f>IF($AR47&lt;&gt;"",
        VLOOKUP($AR47,IP!$D$4:$N$153,11,FALSE),"")</f>
        <v/>
      </c>
      <c r="AT47" s="1057"/>
      <c r="AU47" s="818" t="str">
        <f>IF($AT47&lt;&gt;"",
        VLOOKUP($AT47,IP!$D$4:$N$153,11,FALSE),"")</f>
        <v/>
      </c>
      <c r="AV47" s="818" t="str">
        <f t="shared" si="18"/>
        <v/>
      </c>
      <c r="AW47" s="1048" t="str">
        <f t="shared" si="24"/>
        <v/>
      </c>
      <c r="AX47" s="1025" t="str">
        <f t="shared" si="20"/>
        <v/>
      </c>
      <c r="AY47" s="1528" t="str">
        <f t="shared" si="25"/>
        <v/>
      </c>
    </row>
    <row r="48" spans="1:51" ht="13.5" thickBot="1">
      <c r="A48" s="1069"/>
      <c r="B48" s="914" t="str">
        <f>IF($A48&lt;&gt;"",VLOOKUP(VLOOKUP($C48,dist_assets,2,FALSE),'Distributed Assets'!$C$7:$F$22,4,FALSE),"")</f>
        <v/>
      </c>
      <c r="C48" s="316" t="str">
        <f>IF($A48&lt;&gt;"",VLOOKUP($A48,IP!$A$4:O$93,2,FALSE),"")</f>
        <v/>
      </c>
      <c r="D48" s="914" t="str">
        <f t="shared" si="0"/>
        <v/>
      </c>
      <c r="E48" s="914" t="str">
        <f t="shared" si="1"/>
        <v/>
      </c>
      <c r="F48" s="914" t="str">
        <f t="shared" si="2"/>
        <v/>
      </c>
      <c r="G48" s="914" t="str">
        <f t="shared" si="3"/>
        <v/>
      </c>
      <c r="H48" s="2381" t="str">
        <f t="shared" si="4"/>
        <v/>
      </c>
      <c r="I48" s="914" t="str">
        <f>IF($C48&lt;&gt;"",
IF(LEFT(VLOOKUP($C48,dist_assets,16,FALSE),6)="Active",
     VLOOKUP($C48,'Distributed Assets'!$B$28:$AS$102,16,FALSE),"No"),"")</f>
        <v/>
      </c>
      <c r="J48" s="1523" t="str">
        <f>IF($A48&lt;&gt;"",VLOOKUP($A48,IP!$A$4:$U$167,8,FALSE),"")</f>
        <v/>
      </c>
      <c r="K48" s="1523" t="str">
        <f>IF($A48&lt;&gt;"",VLOOKUP($A48,IP!$A$4:$U$167,16,FALSE),"")</f>
        <v/>
      </c>
      <c r="L48" s="1487" t="str">
        <f>IF($A48&lt;&gt;"",
                         (VLOOKUP($A48,IP!$A$4:$N$153,11,FALSE)),
        "")</f>
        <v/>
      </c>
      <c r="M48" s="314" t="str">
        <f>IF($A48&lt;&gt;"",VLOOKUP($A48,IP!$A$4:$U$167,14,FALSE),"")</f>
        <v/>
      </c>
      <c r="N48" s="1487" t="str">
        <f>IF($A48&lt;&gt;"",VLOOKUP($A48,IP!$A$4:$U$167,9,FALSE),"")</f>
        <v/>
      </c>
      <c r="O48" s="1487" t="str">
        <f>IF($A48&lt;&gt;"",VLOOKUP($A48,IP!$A$4:$U$167,10,FALSE),"")</f>
        <v/>
      </c>
      <c r="P48" s="3013" t="str">
        <f t="shared" si="21"/>
        <v/>
      </c>
      <c r="Q48" s="3013" t="str">
        <f t="shared" si="22"/>
        <v/>
      </c>
      <c r="R48" s="346"/>
      <c r="S48" s="449" t="str">
        <f t="shared" si="6"/>
        <v/>
      </c>
      <c r="T48" s="929" t="str">
        <f t="shared" si="23"/>
        <v/>
      </c>
      <c r="U48" s="929" t="str">
        <f t="shared" si="7"/>
        <v/>
      </c>
      <c r="V48" s="449" t="str">
        <f t="shared" si="8"/>
        <v/>
      </c>
      <c r="W48" s="1488" t="str">
        <f t="shared" si="9"/>
        <v/>
      </c>
      <c r="X48" s="1530" t="str">
        <f t="shared" si="10"/>
        <v/>
      </c>
      <c r="Y48" s="877" t="str">
        <f t="shared" si="11"/>
        <v/>
      </c>
      <c r="Z48" s="877" t="str">
        <f t="shared" si="12"/>
        <v/>
      </c>
      <c r="AA48" s="929"/>
      <c r="AB48" s="2964" t="str">
        <f t="shared" si="13"/>
        <v/>
      </c>
      <c r="AC48" s="2966" t="str">
        <f t="shared" si="14"/>
        <v/>
      </c>
      <c r="AD48" s="2593"/>
      <c r="AE48" s="2593"/>
      <c r="AF48" s="1489" t="str">
        <f t="shared" si="15"/>
        <v/>
      </c>
      <c r="AG48" s="1489"/>
      <c r="AH48" s="877" t="str">
        <f t="shared" si="16"/>
        <v/>
      </c>
      <c r="AI48" s="877" t="str">
        <f t="shared" si="17"/>
        <v/>
      </c>
      <c r="AJ48" s="877" t="str">
        <f>IF($C87&lt;&gt;"",VLOOKUP($C87,'Distributed Assets'!$B$28:$AS$102,16,FALSE),"")</f>
        <v/>
      </c>
      <c r="AK48" s="1102"/>
      <c r="AL48" s="878"/>
      <c r="AM48" s="1121"/>
      <c r="AN48" s="449" t="str">
        <f>IF($A48&lt;&gt;"",
       IF($F48="Physical", VLOOKUP($A48,#REF!,8,FALSE),"N/A"),
   "")</f>
        <v/>
      </c>
      <c r="AO48" s="346" t="str">
        <f t="array" ref="AO48">IFERROR(INDEX(IP!$N$4:$N$153,MATCH($C48,IF(IP!$H$4:$H$153="iLO Interface",IP!$B$4:$B$153),0)),"")</f>
        <v/>
      </c>
      <c r="AP48" s="346" t="str">
        <f t="array" ref="AP48">IFERROR(INDEX(IP!$I$4:$I$153,MATCH($C48,IF(IP!$H$4:$H$153="iLO Interface",IP!$B$4:$B$153),0)),"")</f>
        <v/>
      </c>
      <c r="AQ48" s="346" t="str">
        <f t="array" ref="AQ48">IFERROR(INDEX(IP!$J$4:$J$153,MATCH($C48,IF(IP!$H$4:$H$153="iLO Interface",IP!$B$4:$B$153),0)),"")</f>
        <v/>
      </c>
      <c r="AR48" s="624"/>
      <c r="AS48" s="346" t="str">
        <f>IF($AR48&lt;&gt;"",
        VLOOKUP($AR48,IP!$D$4:$N$153,11,FALSE),"")</f>
        <v/>
      </c>
      <c r="AT48" s="624"/>
      <c r="AU48" s="346" t="str">
        <f>IF($AT48&lt;&gt;"",
        VLOOKUP($AT48,IP!$D$4:$N$153,11,FALSE),"")</f>
        <v/>
      </c>
      <c r="AV48" s="346" t="str">
        <f t="shared" si="18"/>
        <v/>
      </c>
      <c r="AW48" s="1490" t="str">
        <f t="shared" si="24"/>
        <v/>
      </c>
      <c r="AX48" s="1026" t="str">
        <f t="shared" si="20"/>
        <v/>
      </c>
      <c r="AY48" s="1100" t="str">
        <f t="shared" si="25"/>
        <v/>
      </c>
    </row>
    <row r="49" spans="21:48">
      <c r="AU49" s="931"/>
      <c r="AV49" s="931"/>
    </row>
    <row r="50" spans="21:48">
      <c r="U50" s="915"/>
      <c r="V50" s="516"/>
      <c r="W50" s="915"/>
      <c r="AU50" s="931"/>
      <c r="AV50" s="931"/>
    </row>
  </sheetData>
  <mergeCells count="17">
    <mergeCell ref="C6:G6"/>
    <mergeCell ref="A6:B6"/>
    <mergeCell ref="AV7:AX7"/>
    <mergeCell ref="AV6:AX6"/>
    <mergeCell ref="B7:J7"/>
    <mergeCell ref="K7:Q7"/>
    <mergeCell ref="S7:AB7"/>
    <mergeCell ref="AC7:AL7"/>
    <mergeCell ref="AM7:AT7"/>
    <mergeCell ref="A2:B2"/>
    <mergeCell ref="A3:B3"/>
    <mergeCell ref="A5:B5"/>
    <mergeCell ref="C2:G2"/>
    <mergeCell ref="C3:G3"/>
    <mergeCell ref="C5:G5"/>
    <mergeCell ref="A4:B4"/>
    <mergeCell ref="C4:G4"/>
  </mergeCells>
  <conditionalFormatting sqref="K1:K6">
    <cfRule type="cellIs" dxfId="204" priority="21" stopIfTrue="1" operator="equal">
      <formula>"Undetermined"</formula>
    </cfRule>
    <cfRule type="cellIs" dxfId="203" priority="22" stopIfTrue="1" operator="equal">
      <formula>"REQUIRED"</formula>
    </cfRule>
  </conditionalFormatting>
  <conditionalFormatting sqref="AN9:AQ48">
    <cfRule type="expression" dxfId="202" priority="19">
      <formula>$F9&lt;&gt;"Physical"</formula>
    </cfRule>
  </conditionalFormatting>
  <conditionalFormatting sqref="S9:U48">
    <cfRule type="expression" dxfId="201" priority="17">
      <formula>$F9="Physical"</formula>
    </cfRule>
  </conditionalFormatting>
  <conditionalFormatting sqref="X9:X48">
    <cfRule type="expression" dxfId="200" priority="9">
      <formula>$F9="Virtual"</formula>
    </cfRule>
    <cfRule type="expression" dxfId="199" priority="16">
      <formula>$F9="Physical"</formula>
    </cfRule>
  </conditionalFormatting>
  <conditionalFormatting sqref="AA9:AC48">
    <cfRule type="expression" dxfId="198" priority="15">
      <formula>$F9="Physical"</formula>
    </cfRule>
  </conditionalFormatting>
  <conditionalFormatting sqref="AW9:AW48">
    <cfRule type="containsBlanks" dxfId="197" priority="13">
      <formula>LEN(TRIM(AW9))=0</formula>
    </cfRule>
  </conditionalFormatting>
  <conditionalFormatting sqref="AX9:AX48">
    <cfRule type="containsBlanks" dxfId="196" priority="10">
      <formula>LEN(TRIM(AX9))=0</formula>
    </cfRule>
  </conditionalFormatting>
  <conditionalFormatting sqref="B9:B48 D9:K48">
    <cfRule type="expression" dxfId="195" priority="962">
      <formula>AND($A9&lt;&gt;"",$D9&lt;&gt;"Windows")</formula>
    </cfRule>
  </conditionalFormatting>
  <conditionalFormatting sqref="AW9:AX48">
    <cfRule type="expression" dxfId="194" priority="966">
      <formula>$B9="Prod 2.0"</formula>
    </cfRule>
  </conditionalFormatting>
  <conditionalFormatting sqref="AR9:AV48">
    <cfRule type="expression" dxfId="193" priority="967">
      <formula>OR($F9&lt;&gt;"Physical",LEFT($AJ9,6)&lt;&gt;"ACTIVE")</formula>
    </cfRule>
  </conditionalFormatting>
  <conditionalFormatting sqref="S9:AV48">
    <cfRule type="expression" dxfId="192" priority="969">
      <formula>AND($A9&lt;&gt;"",$J9&lt;&gt;"Application Interface")</formula>
    </cfRule>
  </conditionalFormatting>
  <conditionalFormatting sqref="P9:R48">
    <cfRule type="expression" dxfId="191" priority="7">
      <formula>AND($A9&lt;&gt;"",NOT(OR(LEFT($H9,4)="Wauk",LEFT($H9,4)="Fort")))</formula>
    </cfRule>
  </conditionalFormatting>
  <conditionalFormatting sqref="P9:P48">
    <cfRule type="expression" dxfId="190" priority="5">
      <formula>AND($A9&lt;&gt;"",NOT(OR($P9="10.136.36.40",$P9="10.70.36.33",$P9="10.134.56.33",$P9="10.130.132.109")))</formula>
    </cfRule>
  </conditionalFormatting>
  <conditionalFormatting sqref="Q9:R48">
    <cfRule type="expression" dxfId="189" priority="4">
      <formula>AND($A9&lt;&gt;"",NOT(OR($Q9="10.136.36.41",$Q9="10.70.36.34",$Q9="10.134.56.34",$Q9="10.130.132.108")))</formula>
    </cfRule>
  </conditionalFormatting>
  <conditionalFormatting sqref="P9:Q48">
    <cfRule type="expression" dxfId="188" priority="1">
      <formula>AND($A9&lt;&gt;"",NOT(OR(LEFT($G9,7)="Process",LEFT($G9,4)="Data")))</formula>
    </cfRule>
  </conditionalFormatting>
  <dataValidations count="4">
    <dataValidation type="list" allowBlank="1" showInputMessage="1" showErrorMessage="1" sqref="A9:A48" xr:uid="{00000000-0002-0000-0D00-000000000000}">
      <formula1>list_AllIPs</formula1>
    </dataValidation>
    <dataValidation type="list" allowBlank="1" showInputMessage="1" showErrorMessage="1" sqref="AK9:AL48 AF9:AG48" xr:uid="{00000000-0002-0000-0D00-000001000000}">
      <formula1>"Yes, No"</formula1>
    </dataValidation>
    <dataValidation type="list" allowBlank="1" showInputMessage="1" sqref="P9:P48" xr:uid="{00000000-0002-0000-0D00-000002000000}">
      <formula1>windows_dns_1</formula1>
    </dataValidation>
    <dataValidation type="list" allowBlank="1" showInputMessage="1" sqref="Q9:Q48" xr:uid="{00000000-0002-0000-0D00-000003000000}">
      <formula1>windows_dns_2</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381999" r:id="rId4">
          <objectPr defaultSize="0" r:id="rId5">
            <anchor moveWithCells="1">
              <from>
                <xdr:col>105</xdr:col>
                <xdr:colOff>552450</xdr:colOff>
                <xdr:row>0</xdr:row>
                <xdr:rowOff>0</xdr:rowOff>
              </from>
              <to>
                <xdr:col>123</xdr:col>
                <xdr:colOff>104775</xdr:colOff>
                <xdr:row>20</xdr:row>
                <xdr:rowOff>85725</xdr:rowOff>
              </to>
            </anchor>
          </objectPr>
        </oleObject>
      </mc:Choice>
      <mc:Fallback>
        <oleObject progId="Word.Document.12" shapeId="381999" r:id="rId4"/>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theme="3" tint="0.79998168889431442"/>
  </sheetPr>
  <dimension ref="A1:Q62"/>
  <sheetViews>
    <sheetView showGridLines="0" zoomScaleNormal="100" workbookViewId="0">
      <selection sqref="A1:B1"/>
    </sheetView>
  </sheetViews>
  <sheetFormatPr defaultRowHeight="12.75"/>
  <cols>
    <col min="1" max="1" width="19.42578125" style="9" customWidth="1"/>
    <col min="2" max="2" width="13.42578125" style="9" customWidth="1"/>
    <col min="3" max="3" width="44.85546875" customWidth="1"/>
    <col min="4" max="4" width="19" style="9" customWidth="1"/>
    <col min="5" max="5" width="13.28515625" style="9" customWidth="1"/>
    <col min="6" max="6" width="40.7109375" style="7" customWidth="1"/>
    <col min="7" max="7" width="31.28515625" style="7" customWidth="1"/>
    <col min="8" max="8" width="23.28515625" style="7" customWidth="1"/>
    <col min="9" max="9" width="10" style="7" customWidth="1"/>
    <col min="10" max="10" width="44.140625" customWidth="1"/>
    <col min="11" max="11" width="15.5703125" customWidth="1"/>
    <col min="12" max="12" width="19.7109375" customWidth="1"/>
    <col min="13" max="13" width="50.42578125" bestFit="1" customWidth="1"/>
    <col min="14" max="14" width="50.42578125" customWidth="1"/>
    <col min="15" max="15" width="44.28515625" customWidth="1"/>
    <col min="16" max="16" width="40.42578125" customWidth="1"/>
    <col min="17" max="17" width="23.7109375" customWidth="1"/>
  </cols>
  <sheetData>
    <row r="1" spans="1:17" ht="31.5" customHeight="1" thickBot="1">
      <c r="A1" s="3807"/>
      <c r="B1" s="3808"/>
      <c r="C1" s="862" t="str">
        <f>IF(DNS="YES","REQUIRED",IF(DNS="NO","This Tab is Not Required","Undetermined"))</f>
        <v>REQUIRED</v>
      </c>
      <c r="D1" s="857"/>
      <c r="E1" s="871"/>
      <c r="F1" s="859" t="str">
        <f>'Project Details'!$C$8  &amp;" - DNS Requests"</f>
        <v>Linux Infrastructure Management - DNS Requests</v>
      </c>
      <c r="G1" s="859"/>
      <c r="H1" s="859"/>
      <c r="I1" s="858"/>
      <c r="J1" s="858"/>
      <c r="K1" s="858"/>
      <c r="L1" s="858"/>
      <c r="M1" s="858"/>
      <c r="N1" s="856"/>
      <c r="O1" s="856"/>
      <c r="P1" s="856"/>
      <c r="Q1" s="943"/>
    </row>
    <row r="2" spans="1:17" ht="18" customHeight="1">
      <c r="A2" s="863" t="s">
        <v>1158</v>
      </c>
      <c r="B2" s="864"/>
      <c r="C2" s="864"/>
      <c r="D2" s="864"/>
      <c r="E2" s="864"/>
      <c r="F2" s="864"/>
      <c r="G2" s="864"/>
      <c r="H2" s="864"/>
      <c r="I2" s="864"/>
      <c r="J2" s="864"/>
      <c r="K2" s="865" t="str">
        <f>'BOM FUNCTIONS'!F7</f>
        <v>Cutover</v>
      </c>
      <c r="L2" s="866"/>
      <c r="M2" s="866"/>
      <c r="N2" s="866"/>
      <c r="O2" s="866"/>
      <c r="P2" s="867"/>
      <c r="Q2" s="867"/>
    </row>
    <row r="3" spans="1:17" ht="22.5" customHeight="1" thickBot="1">
      <c r="A3" s="255" t="s">
        <v>315</v>
      </c>
      <c r="B3" s="96"/>
      <c r="C3" s="96"/>
      <c r="D3" s="96"/>
      <c r="E3" s="96"/>
      <c r="F3" s="344" t="s">
        <v>655</v>
      </c>
      <c r="G3" s="345"/>
      <c r="H3" s="345"/>
      <c r="I3" s="96"/>
      <c r="J3" s="96"/>
      <c r="K3" s="96"/>
      <c r="L3" s="96"/>
      <c r="M3" s="96"/>
      <c r="N3" s="860"/>
      <c r="O3" s="860"/>
      <c r="P3" s="860"/>
      <c r="Q3" s="860"/>
    </row>
    <row r="4" spans="1:17" ht="25.5" customHeight="1" thickBot="1">
      <c r="A4" s="1346" t="s">
        <v>63</v>
      </c>
      <c r="B4" s="1347" t="s">
        <v>364</v>
      </c>
      <c r="C4" s="1347" t="s">
        <v>1306</v>
      </c>
      <c r="D4" s="1348" t="s">
        <v>19</v>
      </c>
      <c r="E4" s="1349" t="s">
        <v>2530</v>
      </c>
      <c r="F4" s="1109" t="s">
        <v>1126</v>
      </c>
      <c r="G4" s="3016" t="s">
        <v>1456</v>
      </c>
      <c r="H4" s="3016" t="s">
        <v>1457</v>
      </c>
      <c r="I4" s="340" t="s">
        <v>1157</v>
      </c>
      <c r="J4" s="340" t="s">
        <v>817</v>
      </c>
      <c r="K4" s="3034" t="s">
        <v>123</v>
      </c>
      <c r="L4" s="2259" t="s">
        <v>816</v>
      </c>
      <c r="M4" s="2252" t="s">
        <v>594</v>
      </c>
      <c r="N4" s="870" t="s">
        <v>1159</v>
      </c>
      <c r="O4" s="944" t="s">
        <v>2527</v>
      </c>
      <c r="P4" s="868" t="s">
        <v>2222</v>
      </c>
      <c r="Q4" s="868" t="s">
        <v>2712</v>
      </c>
    </row>
    <row r="5" spans="1:17" ht="23.25" thickBot="1">
      <c r="A5" s="97" t="s">
        <v>5617</v>
      </c>
      <c r="B5" s="1345" t="s">
        <v>20</v>
      </c>
      <c r="C5" s="3157" t="str">
        <f>IF(A5&lt;&gt;"",
         IF(MID($A5,10,3)="GTM", VLOOKUP(A5,TrafficManager,5,FALSE),
VLOOKUP(K5,IP!$B$4:$R$200,10,FALSE)),"")</f>
        <v>dwauslmgt01.app.dev.hcscint.net</v>
      </c>
      <c r="D5" s="3051" t="str">
        <f>IF(A5&lt;&gt;"",IF(MID(A5,15,2)="IP",VLOOKUP(A5,IP!$A$4:$R$181,14,FALSE),VLOOKUP(K5,IP!$B$4:$R$181,13,FALSE)),"")</f>
        <v>10.130.3.119</v>
      </c>
      <c r="E5" s="945" t="str">
        <f>IF($A5&lt;&gt;"",
                     IF(LEFT(C5,4)="vip-",
                           IF(VLOOKUP($A5,Network.Loadbalancer!$C$3:$G$30,3,FALSE)&lt;&gt;"",VLOOKUP($A5,Network.Loadbalancer!$C$3:$G$30,3,FALSE),""),""),"")</f>
        <v/>
      </c>
      <c r="F5" s="342" t="str">
        <f t="shared" ref="F5:F13" si="0">IF(A5&lt;&gt;"",$G5 &amp; $H5,"")</f>
        <v>dwauslmgt01.mgmt.dev.hcscint.net</v>
      </c>
      <c r="G5" s="339" t="s">
        <v>5608</v>
      </c>
      <c r="H5" s="3086" t="s">
        <v>4161</v>
      </c>
      <c r="I5" s="850" t="s">
        <v>25</v>
      </c>
      <c r="J5" s="450"/>
      <c r="K5" s="3158" t="str">
        <f>IF($A5&lt;&gt;"",IF(MID(A5,10,3)="GTM",A5,(LEFT($A5,LEN($A5)-8))),"")</f>
        <v>20213598-001</v>
      </c>
      <c r="L5" s="1981" t="str">
        <f t="shared" ref="L5:L54" si="1">IF(AND($A5&lt;&gt;"",$F5&lt;&gt;""),
         IF(AND(LEFT($C5,4)="vip-",$E5&lt;&gt;""),"Split DNS",
                   IF(MID($C5,FIND(".",$C5),3)&lt;&gt;".ad","Alias","Cname")),
       "")</f>
        <v>Alias</v>
      </c>
      <c r="M5" s="88" t="str">
        <f>IF($L5="Split DNS","Requires CTask for DNS Team for external DNS record",
IF($L5="Host Record (A-Record)","Requires CTask for DNS Team for to add A-Record to Infoblox", ""))</f>
        <v/>
      </c>
      <c r="N5" s="946" t="s">
        <v>1073</v>
      </c>
      <c r="O5" s="946" t="s">
        <v>5670</v>
      </c>
      <c r="P5" s="947" t="s">
        <v>5671</v>
      </c>
      <c r="Q5" s="957">
        <v>44218.386377314811</v>
      </c>
    </row>
    <row r="6" spans="1:17" ht="23.25" thickBot="1">
      <c r="A6" s="97" t="s">
        <v>5618</v>
      </c>
      <c r="B6" s="341" t="s">
        <v>20</v>
      </c>
      <c r="C6" s="253" t="str">
        <f>IF(A6&lt;&gt;"",
         IF(MID($A6,10,3)="GTM", VLOOKUP(A6,TrafficManager,5,FALSE),
VLOOKUP(K6,IP!$B$4:$R$200,10,FALSE)),"")</f>
        <v>twauslmgt01.app.test.hcscint.net</v>
      </c>
      <c r="D6" s="254" t="str">
        <f>IF(A6&lt;&gt;"",IF(MID(A6,15,2)="IP",VLOOKUP(A6,IP!$A$4:$R$181,14,FALSE),VLOOKUP(K6,IP!$B$4:$R$181,13,FALSE)),"")</f>
        <v>10.134.129.199</v>
      </c>
      <c r="E6" s="945" t="str">
        <f>IF($A6&lt;&gt;"",
                     IF(LEFT(C6,4)="vip-",
                           IF(VLOOKUP($A6,Network.Loadbalancer!$C$3:$G$30,3,FALSE)&lt;&gt;"",VLOOKUP($A6,Network.Loadbalancer!$C$3:$G$30,3,FALSE),""),""),"")</f>
        <v/>
      </c>
      <c r="F6" s="342" t="str">
        <f t="shared" si="0"/>
        <v>twauslmgt01.mgmt.test.hcscint.net</v>
      </c>
      <c r="G6" s="339" t="s">
        <v>5609</v>
      </c>
      <c r="H6" s="339" t="s">
        <v>3541</v>
      </c>
      <c r="I6" s="851" t="s">
        <v>25</v>
      </c>
      <c r="J6" s="8"/>
      <c r="K6" s="3035" t="str">
        <f t="shared" ref="K6:K54" si="2">IF($A6&lt;&gt;"",IF(MID(A6,10,3)="GTM",A6,(LEFT($A6,LEN($A6)-8))),"")</f>
        <v>20213598-002</v>
      </c>
      <c r="L6" s="1981" t="str">
        <f t="shared" si="1"/>
        <v>Alias</v>
      </c>
      <c r="M6" s="2250" t="str">
        <f t="shared" ref="M6:M54" si="3">IF($L6="Split DNS","Requires CTask for DNS Team for external DNS record",
IF($L6="Host Record (A-Record)","Requires CTask for DNS Team for to add A-Record to Infoblox", ""))</f>
        <v/>
      </c>
      <c r="N6" s="861" t="s">
        <v>1073</v>
      </c>
      <c r="O6" s="861" t="s">
        <v>5670</v>
      </c>
      <c r="P6" s="451" t="s">
        <v>5672</v>
      </c>
      <c r="Q6" s="958">
        <v>44218.386643518519</v>
      </c>
    </row>
    <row r="7" spans="1:17" ht="23.25" thickBot="1">
      <c r="A7" s="97" t="s">
        <v>5619</v>
      </c>
      <c r="B7" s="341" t="s">
        <v>20</v>
      </c>
      <c r="C7" s="253" t="str">
        <f>IF(A7&lt;&gt;"",
         IF(MID($A7,10,3)="GTM", VLOOKUP(A7,TrafficManager,5,FALSE),
VLOOKUP(K7,IP!$B$4:$R$200,10,FALSE)),"")</f>
        <v>awauslmgt01.app.alt.hcscint.net</v>
      </c>
      <c r="D7" s="254" t="str">
        <f>IF(A7&lt;&gt;"",IF(MID(A7,15,2)="IP",VLOOKUP(A7,IP!$A$4:$R$181,14,FALSE),VLOOKUP(K7,IP!$B$4:$R$181,13,FALSE)),"")</f>
        <v>10.137.52.39</v>
      </c>
      <c r="E7" s="945" t="str">
        <f>IF($A7&lt;&gt;"",
                     IF(LEFT(C7,4)="vip-",
                           IF(VLOOKUP($A7,Network.Loadbalancer!$C$3:$G$30,3,FALSE)&lt;&gt;"",VLOOKUP($A7,Network.Loadbalancer!$C$3:$G$30,3,FALSE),""),""),"")</f>
        <v/>
      </c>
      <c r="F7" s="342" t="str">
        <f t="shared" si="0"/>
        <v>awauslmgt01.mgmt.alt.hcscint.net</v>
      </c>
      <c r="G7" s="339" t="s">
        <v>5610</v>
      </c>
      <c r="H7" s="339" t="s">
        <v>5259</v>
      </c>
      <c r="I7" s="851" t="s">
        <v>25</v>
      </c>
      <c r="J7" s="8"/>
      <c r="K7" s="3035" t="str">
        <f t="shared" si="2"/>
        <v>20213598-003</v>
      </c>
      <c r="L7" s="1981" t="str">
        <f t="shared" si="1"/>
        <v>Alias</v>
      </c>
      <c r="M7" s="2250" t="str">
        <f t="shared" si="3"/>
        <v/>
      </c>
      <c r="N7" s="861" t="s">
        <v>1073</v>
      </c>
      <c r="O7" s="861" t="s">
        <v>5670</v>
      </c>
      <c r="P7" s="451" t="s">
        <v>5673</v>
      </c>
      <c r="Q7" s="958">
        <v>44218.386874999997</v>
      </c>
    </row>
    <row r="8" spans="1:17" ht="23.25" thickBot="1">
      <c r="A8" s="97" t="s">
        <v>5620</v>
      </c>
      <c r="B8" s="341" t="s">
        <v>20</v>
      </c>
      <c r="C8" s="253" t="str">
        <f>IF(A8&lt;&gt;"",
         IF(MID($A8,10,3)="GTM", VLOOKUP(A8,TrafficManager,5,FALSE),
VLOOKUP(K8,IP!$B$4:$R$200,10,FALSE)),"")</f>
        <v>pwauslmgt01.app.hcscint.net</v>
      </c>
      <c r="D8" s="254" t="str">
        <f>IF(A8&lt;&gt;"",IF(MID(A8,15,2)="IP",VLOOKUP(A8,IP!$A$4:$R$181,14,FALSE),VLOOKUP(K8,IP!$B$4:$R$181,13,FALSE)),"")</f>
        <v>10.136.137.123</v>
      </c>
      <c r="E8" s="945" t="str">
        <f>IF($A8&lt;&gt;"",
                     IF(LEFT(C8,4)="vip-",
                           IF(VLOOKUP($A8,Network.Loadbalancer!$C$3:$G$30,3,FALSE)&lt;&gt;"",VLOOKUP($A8,Network.Loadbalancer!$C$3:$G$30,3,FALSE),""),""),"")</f>
        <v/>
      </c>
      <c r="F8" s="342" t="str">
        <f t="shared" si="0"/>
        <v>pwauslmgt01.mgmt.hcscint.net</v>
      </c>
      <c r="G8" s="339" t="s">
        <v>5611</v>
      </c>
      <c r="H8" s="339" t="s">
        <v>3542</v>
      </c>
      <c r="I8" s="851" t="s">
        <v>25</v>
      </c>
      <c r="J8" s="8"/>
      <c r="K8" s="3035" t="str">
        <f t="shared" si="2"/>
        <v>20213598-004</v>
      </c>
      <c r="L8" s="1981" t="str">
        <f t="shared" si="1"/>
        <v>Alias</v>
      </c>
      <c r="M8" s="2250" t="str">
        <f t="shared" si="3"/>
        <v/>
      </c>
      <c r="N8" s="861" t="s">
        <v>1073</v>
      </c>
      <c r="O8" s="861" t="s">
        <v>5670</v>
      </c>
      <c r="P8" s="451" t="s">
        <v>5674</v>
      </c>
      <c r="Q8" s="958">
        <v>44218.387106481481</v>
      </c>
    </row>
    <row r="9" spans="1:17" ht="13.5" thickBot="1">
      <c r="A9" s="97"/>
      <c r="B9" s="341"/>
      <c r="C9" s="253" t="str">
        <f>IF(A9&lt;&gt;"",
         IF(MID($A9,10,3)="GTM", VLOOKUP(A9,TrafficManager,5,FALSE),
VLOOKUP(K9,IP!$B$4:$R$200,10,FALSE)),"")</f>
        <v/>
      </c>
      <c r="D9" s="254" t="str">
        <f>IF(A9&lt;&gt;"",IF(MID(A9,15,2)="IP",VLOOKUP(A9,IP!$A$4:$R$181,14,FALSE),VLOOKUP(K9,IP!$B$4:$R$181,13,FALSE)),"")</f>
        <v/>
      </c>
      <c r="E9" s="945" t="str">
        <f>IF($A9&lt;&gt;"",
                     IF(LEFT(C9,4)="vip-",
                           IF(VLOOKUP($A9,Network.Loadbalancer!$C$3:$G$30,3,FALSE)&lt;&gt;"",VLOOKUP($A9,Network.Loadbalancer!$C$3:$G$30,3,FALSE),""),""),"")</f>
        <v/>
      </c>
      <c r="F9" s="342" t="str">
        <f t="shared" si="0"/>
        <v/>
      </c>
      <c r="G9" s="339"/>
      <c r="H9" s="339"/>
      <c r="I9" s="851"/>
      <c r="J9" s="8"/>
      <c r="K9" s="3035" t="str">
        <f t="shared" si="2"/>
        <v/>
      </c>
      <c r="L9" s="1981" t="str">
        <f t="shared" si="1"/>
        <v/>
      </c>
      <c r="M9" s="2250" t="str">
        <f t="shared" si="3"/>
        <v/>
      </c>
      <c r="N9" s="861"/>
      <c r="O9" s="861"/>
      <c r="P9" s="451"/>
      <c r="Q9" s="958"/>
    </row>
    <row r="10" spans="1:17" ht="13.5" thickBot="1">
      <c r="A10" s="97"/>
      <c r="B10" s="341"/>
      <c r="C10" s="253" t="str">
        <f>IF(A10&lt;&gt;"",
         IF(MID($A10,10,3)="GTM", VLOOKUP(A10,TrafficManager,5,FALSE),
VLOOKUP(K10,IP!$B$4:$R$200,10,FALSE)),"")</f>
        <v/>
      </c>
      <c r="D10" s="254" t="str">
        <f>IF(A10&lt;&gt;"",IF(MID(A10,15,2)="IP",VLOOKUP(A10,IP!$A$4:$R$181,14,FALSE),VLOOKUP(K10,IP!$B$4:$R$181,13,FALSE)),"")</f>
        <v/>
      </c>
      <c r="E10" s="945" t="str">
        <f>IF($A10&lt;&gt;"",
                     IF(LEFT(C10,4)="vip-",
                           IF(VLOOKUP($A10,Network.Loadbalancer!$C$3:$G$30,3,FALSE)&lt;&gt;"",VLOOKUP($A10,Network.Loadbalancer!$C$3:$G$30,3,FALSE),""),""),"")</f>
        <v/>
      </c>
      <c r="F10" s="342" t="str">
        <f t="shared" si="0"/>
        <v/>
      </c>
      <c r="G10" s="339"/>
      <c r="H10" s="339"/>
      <c r="I10" s="851"/>
      <c r="J10" s="8"/>
      <c r="K10" s="3035" t="str">
        <f t="shared" si="2"/>
        <v/>
      </c>
      <c r="L10" s="1981" t="str">
        <f t="shared" si="1"/>
        <v/>
      </c>
      <c r="M10" s="2250" t="str">
        <f t="shared" si="3"/>
        <v/>
      </c>
      <c r="N10" s="861"/>
      <c r="O10" s="861"/>
      <c r="P10" s="451"/>
      <c r="Q10" s="958"/>
    </row>
    <row r="11" spans="1:17" ht="13.5" thickBot="1">
      <c r="A11" s="97"/>
      <c r="B11" s="341"/>
      <c r="C11" s="253" t="str">
        <f>IF(A11&lt;&gt;"",
         IF(MID($A11,10,3)="GTM", VLOOKUP(A11,TrafficManager,5,FALSE),
VLOOKUP(K11,IP!$B$4:$R$200,10,FALSE)),"")</f>
        <v/>
      </c>
      <c r="D11" s="254" t="str">
        <f>IF(A11&lt;&gt;"",IF(MID(A11,15,2)="IP",VLOOKUP(A11,IP!$A$4:$R$181,14,FALSE),VLOOKUP(K11,IP!$B$4:$R$181,13,FALSE)),"")</f>
        <v/>
      </c>
      <c r="E11" s="945" t="str">
        <f>IF($A11&lt;&gt;"",
                     IF(LEFT(C11,4)="vip-",
                           IF(VLOOKUP($A11,Network.Loadbalancer!$C$3:$G$30,3,FALSE)&lt;&gt;"",VLOOKUP($A11,Network.Loadbalancer!$C$3:$G$30,3,FALSE),""),""),"")</f>
        <v/>
      </c>
      <c r="F11" s="342" t="str">
        <f t="shared" si="0"/>
        <v/>
      </c>
      <c r="G11" s="339"/>
      <c r="H11" s="339"/>
      <c r="I11" s="851"/>
      <c r="J11" s="8"/>
      <c r="K11" s="3035" t="str">
        <f t="shared" si="2"/>
        <v/>
      </c>
      <c r="L11" s="1981" t="str">
        <f t="shared" si="1"/>
        <v/>
      </c>
      <c r="M11" s="2250" t="str">
        <f t="shared" si="3"/>
        <v/>
      </c>
      <c r="N11" s="861"/>
      <c r="O11" s="861"/>
      <c r="P11" s="451"/>
      <c r="Q11" s="958"/>
    </row>
    <row r="12" spans="1:17" ht="13.5" thickBot="1">
      <c r="A12" s="97"/>
      <c r="B12" s="341"/>
      <c r="C12" s="253" t="str">
        <f>IF(A12&lt;&gt;"",
         IF(MID($A12,10,3)="GTM", VLOOKUP(A12,TrafficManager,5,FALSE),
VLOOKUP(K12,IP!$B$4:$R$200,10,FALSE)),"")</f>
        <v/>
      </c>
      <c r="D12" s="254" t="str">
        <f>IF(A12&lt;&gt;"",IF(MID(A12,15,2)="IP",VLOOKUP(A12,IP!$A$4:$R$181,14,FALSE),VLOOKUP(K12,IP!$B$4:$R$181,13,FALSE)),"")</f>
        <v/>
      </c>
      <c r="E12" s="945" t="str">
        <f>IF($A12&lt;&gt;"",
                     IF(LEFT(C12,4)="vip-",
                           IF(VLOOKUP($A12,Network.Loadbalancer!$C$3:$G$30,3,FALSE)&lt;&gt;"",VLOOKUP($A12,Network.Loadbalancer!$C$3:$G$30,3,FALSE),""),""),"")</f>
        <v/>
      </c>
      <c r="F12" s="342" t="str">
        <f t="shared" si="0"/>
        <v/>
      </c>
      <c r="G12" s="339"/>
      <c r="H12" s="339"/>
      <c r="I12" s="851"/>
      <c r="J12" s="8"/>
      <c r="K12" s="3035" t="str">
        <f t="shared" si="2"/>
        <v/>
      </c>
      <c r="L12" s="1981" t="str">
        <f t="shared" si="1"/>
        <v/>
      </c>
      <c r="M12" s="2250" t="str">
        <f t="shared" si="3"/>
        <v/>
      </c>
      <c r="N12" s="861"/>
      <c r="O12" s="861"/>
      <c r="P12" s="451"/>
      <c r="Q12" s="958"/>
    </row>
    <row r="13" spans="1:17" ht="13.5" thickBot="1">
      <c r="A13" s="97"/>
      <c r="B13" s="341"/>
      <c r="C13" s="253" t="str">
        <f>IF(A13&lt;&gt;"",
         IF(MID($A13,10,3)="GTM", VLOOKUP(A13,TrafficManager,5,FALSE),
VLOOKUP(K13,IP!$B$4:$R$200,10,FALSE)),"")</f>
        <v/>
      </c>
      <c r="D13" s="254" t="str">
        <f>IF(A13&lt;&gt;"",IF(MID(A13,15,2)="IP",VLOOKUP(A13,IP!$A$4:$R$181,14,FALSE),VLOOKUP(K13,IP!$B$4:$R$181,13,FALSE)),"")</f>
        <v/>
      </c>
      <c r="E13" s="945" t="str">
        <f>IF($A13&lt;&gt;"",
                     IF(LEFT(C13,4)="vip-",
                           IF(VLOOKUP($A13,Network.Loadbalancer!$C$3:$G$30,3,FALSE)&lt;&gt;"",VLOOKUP($A13,Network.Loadbalancer!$C$3:$G$30,3,FALSE),""),""),"")</f>
        <v/>
      </c>
      <c r="F13" s="342" t="str">
        <f t="shared" si="0"/>
        <v/>
      </c>
      <c r="G13" s="339"/>
      <c r="H13" s="339"/>
      <c r="I13" s="851"/>
      <c r="J13" s="8"/>
      <c r="K13" s="3035" t="str">
        <f t="shared" si="2"/>
        <v/>
      </c>
      <c r="L13" s="1981" t="str">
        <f t="shared" si="1"/>
        <v/>
      </c>
      <c r="M13" s="2250" t="str">
        <f t="shared" si="3"/>
        <v/>
      </c>
      <c r="N13" s="861"/>
      <c r="O13" s="861"/>
      <c r="P13" s="451"/>
      <c r="Q13" s="958"/>
    </row>
    <row r="14" spans="1:17" ht="13.5" thickBot="1">
      <c r="A14" s="97"/>
      <c r="B14" s="341"/>
      <c r="C14" s="253" t="str">
        <f>IF(A14&lt;&gt;"",
         IF(MID($A14,10,3)="GTM", VLOOKUP(A14,TrafficManager,5,FALSE),
VLOOKUP(K14,IP!$B$4:$R$200,10,FALSE)),"")</f>
        <v/>
      </c>
      <c r="D14" s="254" t="str">
        <f>IF(A14&lt;&gt;"",IF(MID(A14,15,2)="IP",VLOOKUP(A14,IP!$A$4:$R$181,14,FALSE),VLOOKUP(K14,IP!$B$4:$R$181,13,FALSE)),"")</f>
        <v/>
      </c>
      <c r="E14" s="945" t="str">
        <f>IF($A14&lt;&gt;"",
                     IF(LEFT(C14,4)="vip-",
                           IF(VLOOKUP($A14,Network.Loadbalancer!$C$3:$G$30,3,FALSE)&lt;&gt;"",VLOOKUP($A14,Network.Loadbalancer!$C$3:$G$30,3,FALSE),""),""),"")</f>
        <v/>
      </c>
      <c r="F14" s="342" t="str">
        <f>IF(A14&lt;&gt;"",$G14 &amp; $H14,"")</f>
        <v/>
      </c>
      <c r="G14" s="339"/>
      <c r="H14" s="339"/>
      <c r="I14" s="851"/>
      <c r="J14" s="8"/>
      <c r="K14" s="3035" t="str">
        <f t="shared" si="2"/>
        <v/>
      </c>
      <c r="L14" s="1981" t="str">
        <f t="shared" si="1"/>
        <v/>
      </c>
      <c r="M14" s="2250" t="str">
        <f t="shared" si="3"/>
        <v/>
      </c>
      <c r="N14" s="861"/>
      <c r="O14" s="861"/>
      <c r="P14" s="451"/>
      <c r="Q14" s="958"/>
    </row>
    <row r="15" spans="1:17" ht="13.5" thickBot="1">
      <c r="A15" s="97"/>
      <c r="B15" s="341"/>
      <c r="C15" s="253" t="str">
        <f>IF(A15&lt;&gt;"",
         IF(MID($A15,10,3)="GTM", VLOOKUP(A15,TrafficManager,5,FALSE),
VLOOKUP(K15,IP!$B$4:$R$200,10,FALSE)),"")</f>
        <v/>
      </c>
      <c r="D15" s="254" t="str">
        <f>IF(A15&lt;&gt;"",IF(MID(A15,15,2)="IP",VLOOKUP(A15,IP!$A$4:$R$181,14,FALSE),VLOOKUP(K15,IP!$B$4:$R$181,13,FALSE)),"")</f>
        <v/>
      </c>
      <c r="E15" s="945" t="str">
        <f>IF($A15&lt;&gt;"",
                     IF(LEFT(C15,4)="vip-",
                           IF(VLOOKUP($A15,Network.Loadbalancer!$C$3:$G$30,3,FALSE)&lt;&gt;"",VLOOKUP($A15,Network.Loadbalancer!$C$3:$G$30,3,FALSE),""),""),"")</f>
        <v/>
      </c>
      <c r="F15" s="342" t="str">
        <f>IF(A15&lt;&gt;"",$G15 &amp; $H15,"")</f>
        <v/>
      </c>
      <c r="G15" s="339"/>
      <c r="H15" s="339"/>
      <c r="I15" s="851"/>
      <c r="J15" s="8"/>
      <c r="K15" s="3035" t="str">
        <f t="shared" si="2"/>
        <v/>
      </c>
      <c r="L15" s="1981" t="str">
        <f t="shared" si="1"/>
        <v/>
      </c>
      <c r="M15" s="2250" t="str">
        <f t="shared" si="3"/>
        <v/>
      </c>
      <c r="N15" s="861"/>
      <c r="O15" s="861"/>
      <c r="P15" s="451"/>
      <c r="Q15" s="958"/>
    </row>
    <row r="16" spans="1:17" ht="13.5" thickBot="1">
      <c r="A16" s="97"/>
      <c r="B16" s="341"/>
      <c r="C16" s="253" t="str">
        <f>IF(A16&lt;&gt;"",
         IF(MID($A16,10,3)="GTM", VLOOKUP(A16,TrafficManager,5,FALSE),
VLOOKUP(K16,IP!$B$4:$R$200,10,FALSE)),"")</f>
        <v/>
      </c>
      <c r="D16" s="254" t="str">
        <f>IF(A16&lt;&gt;"",IF(MID(A16,15,2)="IP",VLOOKUP(A16,IP!$A$4:$R$181,14,FALSE),VLOOKUP(K16,IP!$B$4:$R$181,13,FALSE)),"")</f>
        <v/>
      </c>
      <c r="E16" s="945" t="str">
        <f>IF($A16&lt;&gt;"",
                     IF(LEFT(C16,4)="vip-",
                           IF(VLOOKUP($A16,Network.Loadbalancer!$C$3:$G$30,3,FALSE)&lt;&gt;"",VLOOKUP($A16,Network.Loadbalancer!$C$3:$G$30,3,FALSE),""),""),"")</f>
        <v/>
      </c>
      <c r="F16" s="342" t="str">
        <f>IF(A16&lt;&gt;"",$G16 &amp; $H16,"")</f>
        <v/>
      </c>
      <c r="G16" s="339"/>
      <c r="H16" s="339"/>
      <c r="I16" s="851"/>
      <c r="J16" s="8"/>
      <c r="K16" s="3035" t="str">
        <f t="shared" si="2"/>
        <v/>
      </c>
      <c r="L16" s="1981" t="str">
        <f t="shared" si="1"/>
        <v/>
      </c>
      <c r="M16" s="2250" t="str">
        <f t="shared" si="3"/>
        <v/>
      </c>
      <c r="N16" s="861"/>
      <c r="O16" s="861"/>
      <c r="P16" s="451"/>
      <c r="Q16" s="958"/>
    </row>
    <row r="17" spans="1:17" ht="13.5" thickBot="1">
      <c r="A17" s="97"/>
      <c r="B17" s="341"/>
      <c r="C17" s="253" t="str">
        <f>IF(A17&lt;&gt;"",
         IF(MID($A17,10,3)="GTM", VLOOKUP(A17,TrafficManager,5,FALSE),
VLOOKUP(K17,IP!$B$4:$R$200,10,FALSE)),"")</f>
        <v/>
      </c>
      <c r="D17" s="254" t="str">
        <f>IF(A17&lt;&gt;"",IF(MID(A17,15,2)="IP",VLOOKUP(A17,IP!$A$4:$R$181,14,FALSE),VLOOKUP(K17,IP!$B$4:$R$181,13,FALSE)),"")</f>
        <v/>
      </c>
      <c r="E17" s="945" t="str">
        <f>IF($A17&lt;&gt;"",
                     IF(LEFT(C17,4)="vip-",
                           IF(VLOOKUP($A17,Network.Loadbalancer!$C$3:$G$30,3,FALSE)&lt;&gt;"",VLOOKUP($A17,Network.Loadbalancer!$C$3:$G$30,3,FALSE),""),""),"")</f>
        <v/>
      </c>
      <c r="F17" s="342" t="str">
        <f>IF(A17&lt;&gt;"",$G17 &amp; $H17,"")</f>
        <v/>
      </c>
      <c r="G17" s="339"/>
      <c r="H17" s="339"/>
      <c r="I17" s="851"/>
      <c r="J17" s="8"/>
      <c r="K17" s="3035" t="str">
        <f t="shared" si="2"/>
        <v/>
      </c>
      <c r="L17" s="1981" t="str">
        <f t="shared" si="1"/>
        <v/>
      </c>
      <c r="M17" s="2250" t="str">
        <f t="shared" si="3"/>
        <v/>
      </c>
      <c r="N17" s="861"/>
      <c r="O17" s="861"/>
      <c r="P17" s="451"/>
      <c r="Q17" s="958"/>
    </row>
    <row r="18" spans="1:17" ht="13.5" thickBot="1">
      <c r="A18" s="97"/>
      <c r="B18" s="341"/>
      <c r="C18" s="253" t="str">
        <f>IF(A18&lt;&gt;"",
         IF(MID($A18,10,3)="GTM", VLOOKUP(A18,TrafficManager,5,FALSE),
VLOOKUP(K18,IP!$B$4:$R$200,10,FALSE)),"")</f>
        <v/>
      </c>
      <c r="D18" s="254" t="str">
        <f>IF(A18&lt;&gt;"",IF(MID(A18,15,2)="IP",VLOOKUP(A18,IP!$A$4:$R$181,14,FALSE),VLOOKUP(K18,IP!$B$4:$R$181,13,FALSE)),"")</f>
        <v/>
      </c>
      <c r="E18" s="945" t="str">
        <f>IF($A18&lt;&gt;"",
                     IF(LEFT(C18,4)="vip-",
                           IF(VLOOKUP($A18,Network.Loadbalancer!$C$3:$G$30,3,FALSE)&lt;&gt;"",VLOOKUP($A18,Network.Loadbalancer!$C$3:$G$30,3,FALSE),""),""),"")</f>
        <v/>
      </c>
      <c r="F18" s="342" t="str">
        <f>IF(A18&lt;&gt;"",$G18 &amp; $H18,"")</f>
        <v/>
      </c>
      <c r="G18" s="339"/>
      <c r="H18" s="339"/>
      <c r="I18" s="851"/>
      <c r="J18" s="8"/>
      <c r="K18" s="3035" t="str">
        <f t="shared" si="2"/>
        <v/>
      </c>
      <c r="L18" s="1981" t="str">
        <f t="shared" si="1"/>
        <v/>
      </c>
      <c r="M18" s="2250" t="str">
        <f t="shared" si="3"/>
        <v/>
      </c>
      <c r="N18" s="861"/>
      <c r="O18" s="861"/>
      <c r="P18" s="451"/>
      <c r="Q18" s="958"/>
    </row>
    <row r="19" spans="1:17" ht="13.5" thickBot="1">
      <c r="A19" s="97"/>
      <c r="B19" s="341"/>
      <c r="C19" s="253" t="str">
        <f>IF(A19&lt;&gt;"",
         IF(MID($A19,10,3)="GTM", VLOOKUP(A19,TrafficManager,5,FALSE),
VLOOKUP(K19,IP!$B$4:$R$200,10,FALSE)),"")</f>
        <v/>
      </c>
      <c r="D19" s="254" t="str">
        <f>IF(A19&lt;&gt;"",IF(MID(A19,15,2)="IP",VLOOKUP(A19,IP!$A$4:$R$181,14,FALSE),VLOOKUP(K19,IP!$B$4:$R$181,13,FALSE)),"")</f>
        <v/>
      </c>
      <c r="E19" s="945" t="str">
        <f>IF($A19&lt;&gt;"",
                     IF(LEFT(C19,4)="vip-",
                           IF(VLOOKUP($A19,Network.Loadbalancer!$C$3:$G$30,3,FALSE)&lt;&gt;"",VLOOKUP($A19,Network.Loadbalancer!$C$3:$G$30,3,FALSE),""),""),"")</f>
        <v/>
      </c>
      <c r="F19" s="342" t="str">
        <f t="shared" ref="F19:F54" si="4">IF(A19&lt;&gt;"",$G19 &amp; $H19,"")</f>
        <v/>
      </c>
      <c r="G19" s="339"/>
      <c r="H19" s="339"/>
      <c r="I19" s="851"/>
      <c r="J19" s="8"/>
      <c r="K19" s="3035" t="str">
        <f t="shared" si="2"/>
        <v/>
      </c>
      <c r="L19" s="1981" t="str">
        <f t="shared" si="1"/>
        <v/>
      </c>
      <c r="M19" s="2250" t="str">
        <f t="shared" si="3"/>
        <v/>
      </c>
      <c r="N19" s="861"/>
      <c r="O19" s="861"/>
      <c r="P19" s="451"/>
      <c r="Q19" s="958"/>
    </row>
    <row r="20" spans="1:17" ht="13.5" thickBot="1">
      <c r="A20" s="97"/>
      <c r="B20" s="341"/>
      <c r="C20" s="253" t="str">
        <f>IF(A20&lt;&gt;"",
         IF(MID($A20,10,3)="GTM", VLOOKUP(A20,TrafficManager,5,FALSE),
VLOOKUP(K20,IP!$B$4:$R$200,10,FALSE)),"")</f>
        <v/>
      </c>
      <c r="D20" s="254" t="str">
        <f>IF(A20&lt;&gt;"",IF(MID(A20,15,2)="IP",VLOOKUP(A20,IP!$A$4:$R$181,14,FALSE),VLOOKUP(K20,IP!$B$4:$R$181,13,FALSE)),"")</f>
        <v/>
      </c>
      <c r="E20" s="945" t="str">
        <f>IF($A20&lt;&gt;"",
                     IF(LEFT(C20,4)="vip-",
                           IF(VLOOKUP($A20,Network.Loadbalancer!$A$4:$G$30,5,FALSE)&lt;&gt;"",VLOOKUP($A20,Network.Loadbalancer!$A$4:$G$30,5,FALSE),""),""),"")</f>
        <v/>
      </c>
      <c r="F20" s="342" t="str">
        <f t="shared" si="4"/>
        <v/>
      </c>
      <c r="G20" s="339"/>
      <c r="H20" s="339"/>
      <c r="I20" s="851"/>
      <c r="J20" s="8"/>
      <c r="K20" s="3035" t="str">
        <f t="shared" si="2"/>
        <v/>
      </c>
      <c r="L20" s="1981" t="str">
        <f t="shared" si="1"/>
        <v/>
      </c>
      <c r="M20" s="2250" t="str">
        <f t="shared" si="3"/>
        <v/>
      </c>
      <c r="N20" s="861"/>
      <c r="O20" s="861"/>
      <c r="P20" s="451"/>
      <c r="Q20" s="958"/>
    </row>
    <row r="21" spans="1:17" ht="13.5" thickBot="1">
      <c r="A21" s="97"/>
      <c r="B21" s="341"/>
      <c r="C21" s="253" t="str">
        <f>IF(A21&lt;&gt;"",
         IF(MID($A21,10,3)="GTM", VLOOKUP(A21,TrafficManager,5,FALSE),
VLOOKUP(K21,IP!$B$4:$R$200,10,FALSE)),"")</f>
        <v/>
      </c>
      <c r="D21" s="254" t="str">
        <f>IF(A21&lt;&gt;"",IF(MID(A21,15,2)="IP",VLOOKUP(A21,IP!$A$4:$R$181,14,FALSE),VLOOKUP(K21,IP!$B$4:$R$181,13,FALSE)),"")</f>
        <v/>
      </c>
      <c r="E21" s="945" t="str">
        <f>IF($A21&lt;&gt;"",
                     IF(LEFT(C21,4)="vip-",
                           IF(VLOOKUP($A21,Network.Loadbalancer!$A$4:$G$30,5,FALSE)&lt;&gt;"",VLOOKUP($A21,Network.Loadbalancer!$A$4:$G$30,5,FALSE),""),""),"")</f>
        <v/>
      </c>
      <c r="F21" s="342" t="str">
        <f t="shared" si="4"/>
        <v/>
      </c>
      <c r="G21" s="339"/>
      <c r="H21" s="339"/>
      <c r="I21" s="851"/>
      <c r="J21" s="8"/>
      <c r="K21" s="3035" t="str">
        <f t="shared" si="2"/>
        <v/>
      </c>
      <c r="L21" s="1981" t="str">
        <f t="shared" si="1"/>
        <v/>
      </c>
      <c r="M21" s="2250" t="str">
        <f t="shared" si="3"/>
        <v/>
      </c>
      <c r="N21" s="861"/>
      <c r="O21" s="861"/>
      <c r="P21" s="451"/>
      <c r="Q21" s="958"/>
    </row>
    <row r="22" spans="1:17" ht="13.5" thickBot="1">
      <c r="A22" s="97"/>
      <c r="B22" s="341"/>
      <c r="C22" s="253" t="str">
        <f>IF(A22&lt;&gt;"",
         IF(MID($A22,10,3)="GTM", VLOOKUP(A22,TrafficManager,5,FALSE),
VLOOKUP(K22,IP!$B$4:$R$200,10,FALSE)),"")</f>
        <v/>
      </c>
      <c r="D22" s="254" t="str">
        <f>IF(A22&lt;&gt;"",IF(MID(A22,15,2)="IP",VLOOKUP(A22,IP!$A$4:$R$181,14,FALSE),VLOOKUP(K22,IP!$B$4:$R$181,13,FALSE)),"")</f>
        <v/>
      </c>
      <c r="E22" s="945" t="str">
        <f>IF($A22&lt;&gt;"",
                     IF(LEFT(C22,4)="vip-",
                           IF(VLOOKUP($A22,Network.Loadbalancer!$A$4:$G$30,5,FALSE)&lt;&gt;"",VLOOKUP($A22,Network.Loadbalancer!$A$4:$G$30,5,FALSE),""),""),"")</f>
        <v/>
      </c>
      <c r="F22" s="342" t="str">
        <f t="shared" si="4"/>
        <v/>
      </c>
      <c r="G22" s="339"/>
      <c r="H22" s="339"/>
      <c r="I22" s="851"/>
      <c r="J22" s="8"/>
      <c r="K22" s="3035" t="str">
        <f t="shared" si="2"/>
        <v/>
      </c>
      <c r="L22" s="1981" t="str">
        <f t="shared" si="1"/>
        <v/>
      </c>
      <c r="M22" s="2250" t="str">
        <f t="shared" si="3"/>
        <v/>
      </c>
      <c r="N22" s="861"/>
      <c r="O22" s="861"/>
      <c r="P22" s="451"/>
      <c r="Q22" s="958"/>
    </row>
    <row r="23" spans="1:17" ht="13.5" thickBot="1">
      <c r="A23" s="97"/>
      <c r="B23" s="341"/>
      <c r="C23" s="253" t="str">
        <f>IF(A23&lt;&gt;"",
         IF(MID($A23,10,3)="GTM", VLOOKUP(A23,TrafficManager,5,FALSE),
VLOOKUP(K23,IP!$B$4:$R$200,10,FALSE)),"")</f>
        <v/>
      </c>
      <c r="D23" s="254" t="str">
        <f>IF(A23&lt;&gt;"",IF(MID(A23,15,2)="IP",VLOOKUP(A23,IP!$A$4:$R$181,14,FALSE),VLOOKUP(K23,IP!$B$4:$R$181,13,FALSE)),"")</f>
        <v/>
      </c>
      <c r="E23" s="945" t="str">
        <f>IF($A23&lt;&gt;"",
                     IF(LEFT(C23,4)="vip-",
                           IF(VLOOKUP($A23,Network.Loadbalancer!$A$4:$G$30,5,FALSE)&lt;&gt;"",VLOOKUP($A23,Network.Loadbalancer!$A$4:$G$30,5,FALSE),""),""),"")</f>
        <v/>
      </c>
      <c r="F23" s="342" t="str">
        <f t="shared" si="4"/>
        <v/>
      </c>
      <c r="G23" s="339"/>
      <c r="H23" s="339"/>
      <c r="I23" s="851"/>
      <c r="J23" s="8"/>
      <c r="K23" s="3035" t="str">
        <f t="shared" si="2"/>
        <v/>
      </c>
      <c r="L23" s="1981" t="str">
        <f t="shared" si="1"/>
        <v/>
      </c>
      <c r="M23" s="2250" t="str">
        <f t="shared" si="3"/>
        <v/>
      </c>
      <c r="N23" s="861"/>
      <c r="O23" s="861"/>
      <c r="P23" s="451"/>
      <c r="Q23" s="958"/>
    </row>
    <row r="24" spans="1:17" ht="13.5" thickBot="1">
      <c r="A24" s="97"/>
      <c r="B24" s="341"/>
      <c r="C24" s="253" t="str">
        <f>IF(A24&lt;&gt;"",
         IF(MID($A24,10,3)="GTM", VLOOKUP(A24,TrafficManager,5,FALSE),
VLOOKUP(K24,IP!$B$4:$R$200,10,FALSE)),"")</f>
        <v/>
      </c>
      <c r="D24" s="254" t="str">
        <f>IF(A24&lt;&gt;"",IF(MID(A24,15,2)="IP",VLOOKUP(A24,IP!$A$4:$R$181,14,FALSE),VLOOKUP(K24,IP!$B$4:$R$181,13,FALSE)),"")</f>
        <v/>
      </c>
      <c r="E24" s="945" t="str">
        <f>IF($A24&lt;&gt;"",
                     IF(LEFT(C24,4)="vip-",
                           IF(VLOOKUP($A24,Network.Loadbalancer!$A$4:$G$30,5,FALSE)&lt;&gt;"",VLOOKUP($A24,Network.Loadbalancer!$A$4:$G$30,5,FALSE),""),""),"")</f>
        <v/>
      </c>
      <c r="F24" s="342" t="str">
        <f t="shared" si="4"/>
        <v/>
      </c>
      <c r="G24" s="339"/>
      <c r="H24" s="339"/>
      <c r="I24" s="851"/>
      <c r="J24" s="8"/>
      <c r="K24" s="3035" t="str">
        <f t="shared" si="2"/>
        <v/>
      </c>
      <c r="L24" s="1981" t="str">
        <f t="shared" si="1"/>
        <v/>
      </c>
      <c r="M24" s="2250" t="str">
        <f t="shared" si="3"/>
        <v/>
      </c>
      <c r="N24" s="861"/>
      <c r="O24" s="861"/>
      <c r="P24" s="451"/>
      <c r="Q24" s="958"/>
    </row>
    <row r="25" spans="1:17" ht="13.5" thickBot="1">
      <c r="A25" s="97"/>
      <c r="B25" s="341"/>
      <c r="C25" s="253" t="str">
        <f>IF(A25&lt;&gt;"",
         IF(MID($A25,10,3)="GTM", VLOOKUP(A25,TrafficManager,5,FALSE),
VLOOKUP(K25,IP!$B$4:$R$200,10,FALSE)),"")</f>
        <v/>
      </c>
      <c r="D25" s="254" t="str">
        <f>IF(A25&lt;&gt;"",IF(MID(A25,15,2)="IP",VLOOKUP(A25,IP!$A$4:$R$181,14,FALSE),VLOOKUP(K25,IP!$B$4:$R$181,13,FALSE)),"")</f>
        <v/>
      </c>
      <c r="E25" s="945" t="str">
        <f>IF($A25&lt;&gt;"",
                     IF(LEFT(C25,4)="vip-",
                           IF(VLOOKUP($A25,Network.Loadbalancer!$A$4:$G$30,5,FALSE)&lt;&gt;"",VLOOKUP($A25,Network.Loadbalancer!$A$4:$G$30,5,FALSE),""),""),"")</f>
        <v/>
      </c>
      <c r="F25" s="342" t="str">
        <f t="shared" si="4"/>
        <v/>
      </c>
      <c r="G25" s="339"/>
      <c r="H25" s="339"/>
      <c r="I25" s="851"/>
      <c r="J25" s="8"/>
      <c r="K25" s="3035" t="str">
        <f t="shared" si="2"/>
        <v/>
      </c>
      <c r="L25" s="1981" t="str">
        <f t="shared" si="1"/>
        <v/>
      </c>
      <c r="M25" s="2250" t="str">
        <f t="shared" si="3"/>
        <v/>
      </c>
      <c r="N25" s="861"/>
      <c r="O25" s="861"/>
      <c r="P25" s="451"/>
      <c r="Q25" s="958"/>
    </row>
    <row r="26" spans="1:17" ht="13.5" thickBot="1">
      <c r="A26" s="97"/>
      <c r="B26" s="341"/>
      <c r="C26" s="253" t="str">
        <f>IF(A26&lt;&gt;"",
         IF(MID($A26,10,3)="GTM", VLOOKUP(A26,TrafficManager,5,FALSE),
VLOOKUP(K26,IP!$B$4:$R$200,10,FALSE)),"")</f>
        <v/>
      </c>
      <c r="D26" s="254" t="str">
        <f>IF(A26&lt;&gt;"",IF(MID(A26,15,2)="IP",VLOOKUP(A26,IP!$A$4:$R$181,14,FALSE),VLOOKUP(K26,IP!$B$4:$R$181,13,FALSE)),"")</f>
        <v/>
      </c>
      <c r="E26" s="945" t="str">
        <f>IF($A26&lt;&gt;"",
                     IF(LEFT(C26,4)="vip-",
                           IF(VLOOKUP($A26,Network.Loadbalancer!$A$4:$G$30,5,FALSE)&lt;&gt;"",VLOOKUP($A26,Network.Loadbalancer!$A$4:$G$30,5,FALSE),""),""),"")</f>
        <v/>
      </c>
      <c r="F26" s="342" t="str">
        <f t="shared" si="4"/>
        <v/>
      </c>
      <c r="G26" s="339"/>
      <c r="H26" s="339"/>
      <c r="I26" s="851"/>
      <c r="J26" s="8"/>
      <c r="K26" s="3035" t="str">
        <f t="shared" si="2"/>
        <v/>
      </c>
      <c r="L26" s="1981" t="str">
        <f t="shared" si="1"/>
        <v/>
      </c>
      <c r="M26" s="2250" t="str">
        <f t="shared" si="3"/>
        <v/>
      </c>
      <c r="N26" s="861"/>
      <c r="O26" s="861"/>
      <c r="P26" s="451"/>
      <c r="Q26" s="958"/>
    </row>
    <row r="27" spans="1:17" ht="13.5" thickBot="1">
      <c r="A27" s="97"/>
      <c r="B27" s="341"/>
      <c r="C27" s="253" t="str">
        <f>IF(A27&lt;&gt;"",
         IF(MID($A27,10,3)="GTM", VLOOKUP(A27,TrafficManager,5,FALSE),
VLOOKUP(K27,IP!$B$4:$R$200,10,FALSE)),"")</f>
        <v/>
      </c>
      <c r="D27" s="254" t="str">
        <f>IF(A27&lt;&gt;"",IF(MID(A27,15,2)="IP",VLOOKUP(A27,IP!$A$4:$R$181,14,FALSE),VLOOKUP(K27,IP!$B$4:$R$181,13,FALSE)),"")</f>
        <v/>
      </c>
      <c r="E27" s="945" t="str">
        <f>IF($A27&lt;&gt;"",
                     IF(LEFT(C27,4)="vip-",
                           IF(VLOOKUP($A27,Network.Loadbalancer!$A$4:$G$30,5,FALSE)&lt;&gt;"",VLOOKUP($A27,Network.Loadbalancer!$A$4:$G$30,5,FALSE),""),""),"")</f>
        <v/>
      </c>
      <c r="F27" s="342" t="str">
        <f t="shared" si="4"/>
        <v/>
      </c>
      <c r="G27" s="339"/>
      <c r="H27" s="339"/>
      <c r="I27" s="851"/>
      <c r="J27" s="8"/>
      <c r="K27" s="3035" t="str">
        <f t="shared" si="2"/>
        <v/>
      </c>
      <c r="L27" s="1981" t="str">
        <f t="shared" si="1"/>
        <v/>
      </c>
      <c r="M27" s="2250" t="str">
        <f t="shared" si="3"/>
        <v/>
      </c>
      <c r="N27" s="861"/>
      <c r="O27" s="861"/>
      <c r="P27" s="451"/>
      <c r="Q27" s="958"/>
    </row>
    <row r="28" spans="1:17" ht="13.5" thickBot="1">
      <c r="A28" s="97"/>
      <c r="B28" s="341"/>
      <c r="C28" s="253" t="str">
        <f>IF(A28&lt;&gt;"",
         IF(MID($A28,10,3)="GTM", VLOOKUP(A28,TrafficManager,5,FALSE),
VLOOKUP(K28,IP!$B$4:$R$200,10,FALSE)),"")</f>
        <v/>
      </c>
      <c r="D28" s="254" t="str">
        <f>IF(A28&lt;&gt;"",IF(MID(A28,15,2)="IP",VLOOKUP(A28,IP!$A$4:$R$181,14,FALSE),VLOOKUP(K28,IP!$B$4:$R$181,13,FALSE)),"")</f>
        <v/>
      </c>
      <c r="E28" s="945" t="str">
        <f>IF($A28&lt;&gt;"",
                     IF(LEFT(C28,4)="vip-",
                           IF(VLOOKUP($A28,Network.Loadbalancer!$A$4:$G$30,5,FALSE)&lt;&gt;"",VLOOKUP($A28,Network.Loadbalancer!$A$4:$G$30,5,FALSE),""),""),"")</f>
        <v/>
      </c>
      <c r="F28" s="342" t="str">
        <f t="shared" si="4"/>
        <v/>
      </c>
      <c r="G28" s="339"/>
      <c r="H28" s="339"/>
      <c r="I28" s="851"/>
      <c r="J28" s="8"/>
      <c r="K28" s="3035" t="str">
        <f t="shared" si="2"/>
        <v/>
      </c>
      <c r="L28" s="1981" t="str">
        <f t="shared" si="1"/>
        <v/>
      </c>
      <c r="M28" s="2250" t="str">
        <f t="shared" si="3"/>
        <v/>
      </c>
      <c r="N28" s="861"/>
      <c r="O28" s="861"/>
      <c r="P28" s="451"/>
      <c r="Q28" s="958"/>
    </row>
    <row r="29" spans="1:17" ht="13.5" thickBot="1">
      <c r="A29" s="97"/>
      <c r="B29" s="341"/>
      <c r="C29" s="253" t="str">
        <f>IF(A29&lt;&gt;"",
         IF(MID($A29,10,3)="GTM", VLOOKUP(A29,TrafficManager,5,FALSE),
VLOOKUP(K29,IP!$B$4:$R$200,10,FALSE)),"")</f>
        <v/>
      </c>
      <c r="D29" s="254" t="str">
        <f>IF(A29&lt;&gt;"",IF(MID(A29,15,2)="IP",VLOOKUP(A29,IP!$A$4:$R$181,14,FALSE),VLOOKUP(K29,IP!$B$4:$R$181,13,FALSE)),"")</f>
        <v/>
      </c>
      <c r="E29" s="945" t="str">
        <f>IF($A29&lt;&gt;"",
                     IF(LEFT(C29,4)="vip-",
                           IF(VLOOKUP($A29,Network.Loadbalancer!$A$4:$G$30,5,FALSE)&lt;&gt;"",VLOOKUP($A29,Network.Loadbalancer!$A$4:$G$30,5,FALSE),""),""),"")</f>
        <v/>
      </c>
      <c r="F29" s="342" t="str">
        <f t="shared" si="4"/>
        <v/>
      </c>
      <c r="G29" s="339"/>
      <c r="H29" s="339"/>
      <c r="I29" s="851"/>
      <c r="J29" s="8"/>
      <c r="K29" s="3035" t="str">
        <f t="shared" si="2"/>
        <v/>
      </c>
      <c r="L29" s="1981" t="str">
        <f t="shared" si="1"/>
        <v/>
      </c>
      <c r="M29" s="2250" t="str">
        <f t="shared" si="3"/>
        <v/>
      </c>
      <c r="N29" s="861"/>
      <c r="O29" s="861"/>
      <c r="P29" s="451"/>
      <c r="Q29" s="958"/>
    </row>
    <row r="30" spans="1:17" ht="13.5" thickBot="1">
      <c r="A30" s="97"/>
      <c r="B30" s="341"/>
      <c r="C30" s="253" t="str">
        <f>IF(A30&lt;&gt;"",
         IF(MID($A30,10,3)="GTM", VLOOKUP(A30,TrafficManager,5,FALSE),
VLOOKUP(K30,IP!$B$4:$R$200,10,FALSE)),"")</f>
        <v/>
      </c>
      <c r="D30" s="254" t="str">
        <f>IF(A30&lt;&gt;"",IF(MID(A30,15,2)="IP",VLOOKUP(A30,IP!$A$4:$R$181,14,FALSE),VLOOKUP(K30,IP!$B$4:$R$181,13,FALSE)),"")</f>
        <v/>
      </c>
      <c r="E30" s="945" t="str">
        <f>IF($A30&lt;&gt;"",
                     IF(LEFT(C30,4)="vip-",
                           IF(VLOOKUP($A30,Network.Loadbalancer!$A$4:$G$30,5,FALSE)&lt;&gt;"",VLOOKUP($A30,Network.Loadbalancer!$A$4:$G$30,5,FALSE),""),""),"")</f>
        <v/>
      </c>
      <c r="F30" s="342" t="str">
        <f t="shared" si="4"/>
        <v/>
      </c>
      <c r="G30" s="339"/>
      <c r="H30" s="339"/>
      <c r="I30" s="851"/>
      <c r="J30" s="8"/>
      <c r="K30" s="3035" t="str">
        <f t="shared" si="2"/>
        <v/>
      </c>
      <c r="L30" s="1981" t="str">
        <f t="shared" si="1"/>
        <v/>
      </c>
      <c r="M30" s="2250" t="str">
        <f t="shared" si="3"/>
        <v/>
      </c>
      <c r="N30" s="861"/>
      <c r="O30" s="861"/>
      <c r="P30" s="451"/>
      <c r="Q30" s="958"/>
    </row>
    <row r="31" spans="1:17" ht="13.5" thickBot="1">
      <c r="A31" s="97"/>
      <c r="B31" s="341"/>
      <c r="C31" s="253" t="str">
        <f>IF(A31&lt;&gt;"",
         IF(MID($A31,10,3)="GTM", VLOOKUP(A31,TrafficManager,5,FALSE),
VLOOKUP(K31,IP!$B$4:$R$200,10,FALSE)),"")</f>
        <v/>
      </c>
      <c r="D31" s="254" t="str">
        <f>IF(A31&lt;&gt;"",IF(MID(A31,15,2)="IP",VLOOKUP(A31,IP!$A$4:$R$181,14,FALSE),VLOOKUP(K31,IP!$B$4:$R$181,13,FALSE)),"")</f>
        <v/>
      </c>
      <c r="E31" s="945" t="str">
        <f>IF($A31&lt;&gt;"",
                     IF(LEFT(C31,4)="vip-",
                           IF(VLOOKUP($A31,Network.Loadbalancer!$A$4:$G$30,5,FALSE)&lt;&gt;"",VLOOKUP($A31,Network.Loadbalancer!$A$4:$G$30,5,FALSE),""),""),"")</f>
        <v/>
      </c>
      <c r="F31" s="342" t="str">
        <f t="shared" si="4"/>
        <v/>
      </c>
      <c r="G31" s="339"/>
      <c r="H31" s="339"/>
      <c r="I31" s="851"/>
      <c r="J31" s="8"/>
      <c r="K31" s="3035" t="str">
        <f t="shared" si="2"/>
        <v/>
      </c>
      <c r="L31" s="1981" t="str">
        <f t="shared" si="1"/>
        <v/>
      </c>
      <c r="M31" s="2250" t="str">
        <f t="shared" si="3"/>
        <v/>
      </c>
      <c r="N31" s="861"/>
      <c r="O31" s="861"/>
      <c r="P31" s="451"/>
      <c r="Q31" s="958"/>
    </row>
    <row r="32" spans="1:17" ht="13.5" thickBot="1">
      <c r="A32" s="97"/>
      <c r="B32" s="341"/>
      <c r="C32" s="253" t="str">
        <f>IF(A32&lt;&gt;"",
         IF(MID($A32,10,3)="GTM", VLOOKUP(A32,TrafficManager,5,FALSE),
VLOOKUP(K32,IP!$B$4:$R$200,10,FALSE)),"")</f>
        <v/>
      </c>
      <c r="D32" s="254" t="str">
        <f>IF(A32&lt;&gt;"",IF(MID(A32,15,2)="IP",VLOOKUP(A32,IP!$A$4:$R$181,14,FALSE),VLOOKUP(K32,IP!$B$4:$R$181,13,FALSE)),"")</f>
        <v/>
      </c>
      <c r="E32" s="945" t="str">
        <f>IF($A32&lt;&gt;"",
                     IF(LEFT(C32,4)="vip-",
                           IF(VLOOKUP($A32,Network.Loadbalancer!$A$4:$G$30,5,FALSE)&lt;&gt;"",VLOOKUP($A32,Network.Loadbalancer!$A$4:$G$30,5,FALSE),""),""),"")</f>
        <v/>
      </c>
      <c r="F32" s="342" t="str">
        <f t="shared" si="4"/>
        <v/>
      </c>
      <c r="G32" s="339"/>
      <c r="H32" s="339"/>
      <c r="I32" s="851"/>
      <c r="J32" s="8"/>
      <c r="K32" s="3035" t="str">
        <f t="shared" si="2"/>
        <v/>
      </c>
      <c r="L32" s="1981" t="str">
        <f t="shared" si="1"/>
        <v/>
      </c>
      <c r="M32" s="2250" t="str">
        <f t="shared" si="3"/>
        <v/>
      </c>
      <c r="N32" s="861"/>
      <c r="O32" s="861"/>
      <c r="P32" s="451"/>
      <c r="Q32" s="958"/>
    </row>
    <row r="33" spans="1:17" ht="13.5" thickBot="1">
      <c r="A33" s="97"/>
      <c r="B33" s="341"/>
      <c r="C33" s="253" t="str">
        <f>IF(A33&lt;&gt;"",
         IF(MID($A33,10,3)="GTM", VLOOKUP(A33,TrafficManager,5,FALSE),
VLOOKUP(K33,IP!$B$4:$R$200,10,FALSE)),"")</f>
        <v/>
      </c>
      <c r="D33" s="254" t="str">
        <f>IF(A33&lt;&gt;"",IF(MID(A33,15,2)="IP",VLOOKUP(A33,IP!$A$4:$R$181,14,FALSE),VLOOKUP(K33,IP!$B$4:$R$181,13,FALSE)),"")</f>
        <v/>
      </c>
      <c r="E33" s="945" t="str">
        <f>IF($A33&lt;&gt;"",
                     IF(LEFT(C33,4)="vip-",
                           IF(VLOOKUP($A33,Network.Loadbalancer!$A$4:$G$30,5,FALSE)&lt;&gt;"",VLOOKUP($A33,Network.Loadbalancer!$A$4:$G$30,5,FALSE),""),""),"")</f>
        <v/>
      </c>
      <c r="F33" s="342" t="str">
        <f t="shared" si="4"/>
        <v/>
      </c>
      <c r="G33" s="339"/>
      <c r="H33" s="339"/>
      <c r="I33" s="851"/>
      <c r="J33" s="8"/>
      <c r="K33" s="3035" t="str">
        <f t="shared" si="2"/>
        <v/>
      </c>
      <c r="L33" s="1981" t="str">
        <f t="shared" si="1"/>
        <v/>
      </c>
      <c r="M33" s="2250" t="str">
        <f t="shared" si="3"/>
        <v/>
      </c>
      <c r="N33" s="861"/>
      <c r="O33" s="861"/>
      <c r="P33" s="451"/>
      <c r="Q33" s="958"/>
    </row>
    <row r="34" spans="1:17" ht="13.5" thickBot="1">
      <c r="A34" s="97"/>
      <c r="B34" s="341"/>
      <c r="C34" s="253" t="str">
        <f>IF(A34&lt;&gt;"",
         IF(MID($A34,10,3)="GTM", VLOOKUP(A34,TrafficManager,5,FALSE),
VLOOKUP(K34,IP!$B$4:$R$200,10,FALSE)),"")</f>
        <v/>
      </c>
      <c r="D34" s="254" t="str">
        <f>IF(A34&lt;&gt;"",IF(MID(A34,15,2)="IP",VLOOKUP(A34,IP!$A$4:$R$181,14,FALSE),VLOOKUP(K34,IP!$B$4:$R$181,13,FALSE)),"")</f>
        <v/>
      </c>
      <c r="E34" s="945" t="str">
        <f>IF($A34&lt;&gt;"",
                     IF(LEFT(C34,4)="vip-",
                           IF(VLOOKUP($A34,Network.Loadbalancer!$A$4:$G$30,5,FALSE)&lt;&gt;"",VLOOKUP($A34,Network.Loadbalancer!$A$4:$G$30,5,FALSE),""),""),"")</f>
        <v/>
      </c>
      <c r="F34" s="342" t="str">
        <f t="shared" si="4"/>
        <v/>
      </c>
      <c r="G34" s="339"/>
      <c r="H34" s="339"/>
      <c r="I34" s="851"/>
      <c r="J34" s="8"/>
      <c r="K34" s="3035" t="str">
        <f t="shared" si="2"/>
        <v/>
      </c>
      <c r="L34" s="1981" t="str">
        <f t="shared" si="1"/>
        <v/>
      </c>
      <c r="M34" s="2250" t="str">
        <f t="shared" si="3"/>
        <v/>
      </c>
      <c r="N34" s="861"/>
      <c r="O34" s="861"/>
      <c r="P34" s="451"/>
      <c r="Q34" s="958"/>
    </row>
    <row r="35" spans="1:17" ht="13.5" thickBot="1">
      <c r="A35" s="97"/>
      <c r="B35" s="341"/>
      <c r="C35" s="253" t="str">
        <f>IF(A35&lt;&gt;"",
         IF(MID($A35,10,3)="GTM", VLOOKUP(A35,TrafficManager,5,FALSE),
VLOOKUP(K35,IP!$B$4:$R$200,10,FALSE)),"")</f>
        <v/>
      </c>
      <c r="D35" s="254" t="str">
        <f>IF(A35&lt;&gt;"",IF(MID(A35,15,2)="IP",VLOOKUP(A35,IP!$A$4:$R$181,14,FALSE),VLOOKUP(K35,IP!$B$4:$R$181,13,FALSE)),"")</f>
        <v/>
      </c>
      <c r="E35" s="945" t="str">
        <f>IF($A35&lt;&gt;"",
                     IF(LEFT(C35,4)="vip-",
                           IF(VLOOKUP($A35,Network.Loadbalancer!$A$4:$G$30,5,FALSE)&lt;&gt;"",VLOOKUP($A35,Network.Loadbalancer!$A$4:$G$30,5,FALSE),""),""),"")</f>
        <v/>
      </c>
      <c r="F35" s="342" t="str">
        <f t="shared" si="4"/>
        <v/>
      </c>
      <c r="G35" s="339"/>
      <c r="H35" s="339"/>
      <c r="I35" s="851"/>
      <c r="J35" s="8"/>
      <c r="K35" s="3035" t="str">
        <f t="shared" si="2"/>
        <v/>
      </c>
      <c r="L35" s="1981" t="str">
        <f t="shared" si="1"/>
        <v/>
      </c>
      <c r="M35" s="2250" t="str">
        <f t="shared" si="3"/>
        <v/>
      </c>
      <c r="N35" s="861"/>
      <c r="O35" s="861"/>
      <c r="P35" s="451"/>
      <c r="Q35" s="958"/>
    </row>
    <row r="36" spans="1:17" ht="13.5" thickBot="1">
      <c r="A36" s="97"/>
      <c r="B36" s="341"/>
      <c r="C36" s="253" t="str">
        <f>IF(A36&lt;&gt;"",
         IF(MID($A36,10,3)="GTM", VLOOKUP(A36,TrafficManager,5,FALSE),
VLOOKUP(K36,IP!$B$4:$R$200,10,FALSE)),"")</f>
        <v/>
      </c>
      <c r="D36" s="254" t="str">
        <f>IF(A36&lt;&gt;"",IF(MID(A36,15,2)="IP",VLOOKUP(A36,IP!$A$4:$R$181,14,FALSE),VLOOKUP(K36,IP!$B$4:$R$181,13,FALSE)),"")</f>
        <v/>
      </c>
      <c r="E36" s="945" t="str">
        <f>IF($A36&lt;&gt;"",
                     IF(LEFT(C36,4)="vip-",
                           IF(VLOOKUP($A36,Network.Loadbalancer!$A$4:$G$30,5,FALSE)&lt;&gt;"",VLOOKUP($A36,Network.Loadbalancer!$A$4:$G$30,5,FALSE),""),""),"")</f>
        <v/>
      </c>
      <c r="F36" s="342" t="str">
        <f t="shared" si="4"/>
        <v/>
      </c>
      <c r="G36" s="339"/>
      <c r="H36" s="339"/>
      <c r="I36" s="851"/>
      <c r="J36" s="8"/>
      <c r="K36" s="3035" t="str">
        <f t="shared" si="2"/>
        <v/>
      </c>
      <c r="L36" s="1981" t="str">
        <f t="shared" si="1"/>
        <v/>
      </c>
      <c r="M36" s="2250" t="str">
        <f t="shared" si="3"/>
        <v/>
      </c>
      <c r="N36" s="861"/>
      <c r="O36" s="861"/>
      <c r="P36" s="451"/>
      <c r="Q36" s="958"/>
    </row>
    <row r="37" spans="1:17" ht="13.5" thickBot="1">
      <c r="A37" s="97"/>
      <c r="B37" s="341"/>
      <c r="C37" s="253" t="str">
        <f>IF(A37&lt;&gt;"",
         IF(MID($A37,10,3)="GTM", VLOOKUP(A37,TrafficManager,5,FALSE),
VLOOKUP(K37,IP!$B$4:$R$200,10,FALSE)),"")</f>
        <v/>
      </c>
      <c r="D37" s="254" t="str">
        <f>IF(A37&lt;&gt;"",IF(MID(A37,15,2)="IP",VLOOKUP(A37,IP!$A$4:$R$181,14,FALSE),VLOOKUP(K37,IP!$B$4:$R$181,13,FALSE)),"")</f>
        <v/>
      </c>
      <c r="E37" s="945" t="str">
        <f>IF($A37&lt;&gt;"",
                     IF(LEFT(C37,4)="vip-",
                           IF(VLOOKUP($A37,Network.Loadbalancer!$A$4:$G$30,5,FALSE)&lt;&gt;"",VLOOKUP($A37,Network.Loadbalancer!$A$4:$G$30,5,FALSE),""),""),"")</f>
        <v/>
      </c>
      <c r="F37" s="342" t="str">
        <f t="shared" si="4"/>
        <v/>
      </c>
      <c r="G37" s="339"/>
      <c r="H37" s="339"/>
      <c r="I37" s="851"/>
      <c r="J37" s="8"/>
      <c r="K37" s="3035" t="str">
        <f t="shared" si="2"/>
        <v/>
      </c>
      <c r="L37" s="1981" t="str">
        <f t="shared" si="1"/>
        <v/>
      </c>
      <c r="M37" s="2250" t="str">
        <f t="shared" si="3"/>
        <v/>
      </c>
      <c r="N37" s="861"/>
      <c r="O37" s="861"/>
      <c r="P37" s="451"/>
      <c r="Q37" s="958"/>
    </row>
    <row r="38" spans="1:17" ht="13.5" thickBot="1">
      <c r="A38" s="97"/>
      <c r="B38" s="341"/>
      <c r="C38" s="253" t="str">
        <f>IF(A38&lt;&gt;"",
         IF(MID($A38,10,3)="GTM", VLOOKUP(A38,TrafficManager,5,FALSE),
VLOOKUP(K38,IP!$B$4:$R$200,10,FALSE)),"")</f>
        <v/>
      </c>
      <c r="D38" s="254" t="str">
        <f>IF(A38&lt;&gt;"",IF(MID(A38,15,2)="IP",VLOOKUP(A38,IP!$A$4:$R$181,14,FALSE),VLOOKUP(K38,IP!$B$4:$R$181,13,FALSE)),"")</f>
        <v/>
      </c>
      <c r="E38" s="945" t="str">
        <f>IF($A38&lt;&gt;"",
                     IF(LEFT(C38,4)="vip-",
                           IF(VLOOKUP($A38,Network.Loadbalancer!$A$4:$G$30,5,FALSE)&lt;&gt;"",VLOOKUP($A38,Network.Loadbalancer!$A$4:$G$30,5,FALSE),""),""),"")</f>
        <v/>
      </c>
      <c r="F38" s="342" t="str">
        <f t="shared" si="4"/>
        <v/>
      </c>
      <c r="G38" s="339"/>
      <c r="H38" s="339"/>
      <c r="I38" s="851"/>
      <c r="J38" s="8"/>
      <c r="K38" s="3035" t="str">
        <f t="shared" si="2"/>
        <v/>
      </c>
      <c r="L38" s="1981" t="str">
        <f t="shared" si="1"/>
        <v/>
      </c>
      <c r="M38" s="2250" t="str">
        <f t="shared" si="3"/>
        <v/>
      </c>
      <c r="N38" s="861"/>
      <c r="O38" s="861"/>
      <c r="P38" s="451"/>
      <c r="Q38" s="958"/>
    </row>
    <row r="39" spans="1:17" ht="13.5" thickBot="1">
      <c r="A39" s="97"/>
      <c r="B39" s="341"/>
      <c r="C39" s="253" t="str">
        <f>IF(A39&lt;&gt;"",
         IF(MID($A39,10,3)="GTM", VLOOKUP(A39,TrafficManager,5,FALSE),
VLOOKUP(K39,IP!$B$4:$R$200,10,FALSE)),"")</f>
        <v/>
      </c>
      <c r="D39" s="254" t="str">
        <f>IF(A39&lt;&gt;"",IF(MID(A39,15,2)="IP",VLOOKUP(A39,IP!$A$4:$R$181,14,FALSE),VLOOKUP(K39,IP!$B$4:$R$181,13,FALSE)),"")</f>
        <v/>
      </c>
      <c r="E39" s="945" t="str">
        <f>IF($A39&lt;&gt;"",
                     IF(LEFT(C39,4)="vip-",
                           IF(VLOOKUP($A39,Network.Loadbalancer!$A$4:$G$30,5,FALSE)&lt;&gt;"",VLOOKUP($A39,Network.Loadbalancer!$A$4:$G$30,5,FALSE),""),""),"")</f>
        <v/>
      </c>
      <c r="F39" s="342" t="str">
        <f t="shared" si="4"/>
        <v/>
      </c>
      <c r="G39" s="339"/>
      <c r="H39" s="339"/>
      <c r="I39" s="851"/>
      <c r="J39" s="8"/>
      <c r="K39" s="3035" t="str">
        <f t="shared" si="2"/>
        <v/>
      </c>
      <c r="L39" s="1981" t="str">
        <f t="shared" si="1"/>
        <v/>
      </c>
      <c r="M39" s="2250" t="str">
        <f t="shared" si="3"/>
        <v/>
      </c>
      <c r="N39" s="861"/>
      <c r="O39" s="861"/>
      <c r="P39" s="451"/>
      <c r="Q39" s="958"/>
    </row>
    <row r="40" spans="1:17" ht="13.5" thickBot="1">
      <c r="A40" s="97"/>
      <c r="B40" s="341"/>
      <c r="C40" s="253" t="str">
        <f>IF(A40&lt;&gt;"",
         IF(MID($A40,10,3)="GTM", VLOOKUP(A40,TrafficManager,5,FALSE),
VLOOKUP(K40,IP!$B$4:$R$200,10,FALSE)),"")</f>
        <v/>
      </c>
      <c r="D40" s="254" t="str">
        <f>IF(A40&lt;&gt;"",IF(MID(A40,15,2)="IP",VLOOKUP(A40,IP!$A$4:$R$181,14,FALSE),VLOOKUP(K40,IP!$B$4:$R$181,13,FALSE)),"")</f>
        <v/>
      </c>
      <c r="E40" s="945" t="str">
        <f>IF($A40&lt;&gt;"",
                     IF(LEFT(C40,4)="vip-",
                           IF(VLOOKUP($A40,Network.Loadbalancer!$A$4:$G$30,5,FALSE)&lt;&gt;"",VLOOKUP($A40,Network.Loadbalancer!$A$4:$G$30,5,FALSE),""),""),"")</f>
        <v/>
      </c>
      <c r="F40" s="342" t="str">
        <f t="shared" si="4"/>
        <v/>
      </c>
      <c r="G40" s="339"/>
      <c r="H40" s="339"/>
      <c r="I40" s="851"/>
      <c r="J40" s="8"/>
      <c r="K40" s="3035" t="str">
        <f t="shared" si="2"/>
        <v/>
      </c>
      <c r="L40" s="1981" t="str">
        <f t="shared" si="1"/>
        <v/>
      </c>
      <c r="M40" s="2250" t="str">
        <f t="shared" si="3"/>
        <v/>
      </c>
      <c r="N40" s="861"/>
      <c r="O40" s="861"/>
      <c r="P40" s="451"/>
      <c r="Q40" s="958"/>
    </row>
    <row r="41" spans="1:17" ht="13.5" thickBot="1">
      <c r="A41" s="97"/>
      <c r="B41" s="341"/>
      <c r="C41" s="253" t="str">
        <f>IF(A41&lt;&gt;"",
         IF(MID($A41,10,3)="GTM", VLOOKUP(A41,TrafficManager,5,FALSE),
VLOOKUP(K41,IP!$B$4:$R$200,10,FALSE)),"")</f>
        <v/>
      </c>
      <c r="D41" s="254" t="str">
        <f>IF(A41&lt;&gt;"",IF(MID(A41,15,2)="IP",VLOOKUP(A41,IP!$A$4:$R$181,14,FALSE),VLOOKUP(K41,IP!$B$4:$R$181,13,FALSE)),"")</f>
        <v/>
      </c>
      <c r="E41" s="945" t="str">
        <f>IF($A41&lt;&gt;"",
                     IF(LEFT(C41,4)="vip-",
                           IF(VLOOKUP($A41,Network.Loadbalancer!$A$4:$G$30,5,FALSE)&lt;&gt;"",VLOOKUP($A41,Network.Loadbalancer!$A$4:$G$30,5,FALSE),""),""),"")</f>
        <v/>
      </c>
      <c r="F41" s="342" t="str">
        <f t="shared" si="4"/>
        <v/>
      </c>
      <c r="G41" s="339"/>
      <c r="H41" s="339"/>
      <c r="I41" s="851"/>
      <c r="J41" s="8"/>
      <c r="K41" s="3035" t="str">
        <f t="shared" si="2"/>
        <v/>
      </c>
      <c r="L41" s="1981" t="str">
        <f t="shared" si="1"/>
        <v/>
      </c>
      <c r="M41" s="2250" t="str">
        <f t="shared" si="3"/>
        <v/>
      </c>
      <c r="N41" s="861"/>
      <c r="O41" s="861"/>
      <c r="P41" s="451"/>
      <c r="Q41" s="958"/>
    </row>
    <row r="42" spans="1:17" ht="13.5" thickBot="1">
      <c r="A42" s="97"/>
      <c r="B42" s="341"/>
      <c r="C42" s="253" t="str">
        <f>IF(A42&lt;&gt;"",
         IF(MID($A42,10,3)="GTM", VLOOKUP(A42,TrafficManager,5,FALSE),
VLOOKUP(K42,IP!$B$4:$R$200,10,FALSE)),"")</f>
        <v/>
      </c>
      <c r="D42" s="254" t="str">
        <f>IF(A42&lt;&gt;"",IF(MID(A42,15,2)="IP",VLOOKUP(A42,IP!$A$4:$R$181,14,FALSE),VLOOKUP(K42,IP!$B$4:$R$181,13,FALSE)),"")</f>
        <v/>
      </c>
      <c r="E42" s="945" t="str">
        <f>IF($A42&lt;&gt;"",
                     IF(LEFT(C42,4)="vip-",
                           IF(VLOOKUP($A42,Network.Loadbalancer!$A$4:$G$30,5,FALSE)&lt;&gt;"",VLOOKUP($A42,Network.Loadbalancer!$A$4:$G$30,5,FALSE),""),""),"")</f>
        <v/>
      </c>
      <c r="F42" s="342" t="str">
        <f t="shared" si="4"/>
        <v/>
      </c>
      <c r="G42" s="339"/>
      <c r="H42" s="339"/>
      <c r="I42" s="851"/>
      <c r="J42" s="8"/>
      <c r="K42" s="3035" t="str">
        <f t="shared" si="2"/>
        <v/>
      </c>
      <c r="L42" s="1981" t="str">
        <f t="shared" si="1"/>
        <v/>
      </c>
      <c r="M42" s="2250" t="str">
        <f t="shared" si="3"/>
        <v/>
      </c>
      <c r="N42" s="861"/>
      <c r="O42" s="861"/>
      <c r="P42" s="451"/>
      <c r="Q42" s="958"/>
    </row>
    <row r="43" spans="1:17" ht="13.5" thickBot="1">
      <c r="A43" s="97"/>
      <c r="B43" s="341"/>
      <c r="C43" s="253" t="str">
        <f>IF(A43&lt;&gt;"",
         IF(MID($A43,10,3)="GTM", VLOOKUP(A43,TrafficManager,5,FALSE),
VLOOKUP(K43,IP!$B$4:$R$200,10,FALSE)),"")</f>
        <v/>
      </c>
      <c r="D43" s="254" t="str">
        <f>IF(A43&lt;&gt;"",IF(MID(A43,15,2)="IP",VLOOKUP(A43,IP!$A$4:$R$181,14,FALSE),VLOOKUP(K43,IP!$B$4:$R$181,13,FALSE)),"")</f>
        <v/>
      </c>
      <c r="E43" s="945" t="str">
        <f>IF($A43&lt;&gt;"",
                     IF(LEFT(C43,4)="vip-",
                           IF(VLOOKUP($A43,Network.Loadbalancer!$A$4:$G$30,5,FALSE)&lt;&gt;"",VLOOKUP($A43,Network.Loadbalancer!$A$4:$G$30,5,FALSE),""),""),"")</f>
        <v/>
      </c>
      <c r="F43" s="342" t="str">
        <f t="shared" si="4"/>
        <v/>
      </c>
      <c r="G43" s="339"/>
      <c r="H43" s="339"/>
      <c r="I43" s="851"/>
      <c r="J43" s="8"/>
      <c r="K43" s="3035" t="str">
        <f t="shared" si="2"/>
        <v/>
      </c>
      <c r="L43" s="1981" t="str">
        <f t="shared" si="1"/>
        <v/>
      </c>
      <c r="M43" s="2250" t="str">
        <f t="shared" si="3"/>
        <v/>
      </c>
      <c r="N43" s="861"/>
      <c r="O43" s="861"/>
      <c r="P43" s="451"/>
      <c r="Q43" s="958"/>
    </row>
    <row r="44" spans="1:17" ht="13.5" thickBot="1">
      <c r="A44" s="97"/>
      <c r="B44" s="341"/>
      <c r="C44" s="253" t="str">
        <f>IF(A44&lt;&gt;"",
         IF(MID($A44,10,3)="GTM", VLOOKUP(A44,TrafficManager,5,FALSE),
VLOOKUP(K44,IP!$B$4:$R$200,10,FALSE)),"")</f>
        <v/>
      </c>
      <c r="D44" s="254" t="str">
        <f>IF(A44&lt;&gt;"",IF(MID(A44,15,2)="IP",VLOOKUP(A44,IP!$A$4:$R$181,14,FALSE),VLOOKUP(K44,IP!$B$4:$R$181,13,FALSE)),"")</f>
        <v/>
      </c>
      <c r="E44" s="945" t="str">
        <f>IF($A44&lt;&gt;"",
                     IF(LEFT(C44,4)="vip-",
                           IF(VLOOKUP($A44,Network.Loadbalancer!$A$4:$G$30,5,FALSE)&lt;&gt;"",VLOOKUP($A44,Network.Loadbalancer!$A$4:$G$30,5,FALSE),""),""),"")</f>
        <v/>
      </c>
      <c r="F44" s="342" t="str">
        <f t="shared" si="4"/>
        <v/>
      </c>
      <c r="G44" s="339"/>
      <c r="H44" s="339"/>
      <c r="I44" s="851"/>
      <c r="J44" s="8"/>
      <c r="K44" s="3035" t="str">
        <f t="shared" si="2"/>
        <v/>
      </c>
      <c r="L44" s="1981" t="str">
        <f t="shared" si="1"/>
        <v/>
      </c>
      <c r="M44" s="2250" t="str">
        <f t="shared" si="3"/>
        <v/>
      </c>
      <c r="N44" s="861"/>
      <c r="O44" s="861"/>
      <c r="P44" s="451"/>
      <c r="Q44" s="958"/>
    </row>
    <row r="45" spans="1:17" ht="13.5" thickBot="1">
      <c r="A45" s="97"/>
      <c r="B45" s="341"/>
      <c r="C45" s="253" t="str">
        <f>IF(A45&lt;&gt;"",
         IF(MID($A45,10,3)="GTM", VLOOKUP(A45,TrafficManager,5,FALSE),
VLOOKUP(K45,IP!$B$4:$R$200,10,FALSE)),"")</f>
        <v/>
      </c>
      <c r="D45" s="254" t="str">
        <f>IF(A45&lt;&gt;"",IF(MID(A45,15,2)="IP",VLOOKUP(A45,IP!$A$4:$R$181,14,FALSE),VLOOKUP(K45,IP!$B$4:$R$181,13,FALSE)),"")</f>
        <v/>
      </c>
      <c r="E45" s="945" t="str">
        <f>IF($A45&lt;&gt;"",
                     IF(LEFT(C45,4)="vip-",
                           IF(VLOOKUP($A45,Network.Loadbalancer!$A$4:$G$30,5,FALSE)&lt;&gt;"",VLOOKUP($A45,Network.Loadbalancer!$A$4:$G$30,5,FALSE),""),""),"")</f>
        <v/>
      </c>
      <c r="F45" s="342" t="str">
        <f t="shared" si="4"/>
        <v/>
      </c>
      <c r="G45" s="339"/>
      <c r="H45" s="339"/>
      <c r="I45" s="851"/>
      <c r="J45" s="8"/>
      <c r="K45" s="3035" t="str">
        <f t="shared" si="2"/>
        <v/>
      </c>
      <c r="L45" s="1981" t="str">
        <f t="shared" si="1"/>
        <v/>
      </c>
      <c r="M45" s="2250" t="str">
        <f t="shared" si="3"/>
        <v/>
      </c>
      <c r="N45" s="861"/>
      <c r="O45" s="861"/>
      <c r="P45" s="451"/>
      <c r="Q45" s="958"/>
    </row>
    <row r="46" spans="1:17" ht="13.5" thickBot="1">
      <c r="A46" s="97"/>
      <c r="B46" s="341"/>
      <c r="C46" s="253" t="str">
        <f>IF(A46&lt;&gt;"",
         IF(MID($A46,10,3)="GTM", VLOOKUP(A46,TrafficManager,5,FALSE),
VLOOKUP(K46,IP!$B$4:$R$200,10,FALSE)),"")</f>
        <v/>
      </c>
      <c r="D46" s="254" t="str">
        <f>IF(A46&lt;&gt;"",IF(MID(A46,15,2)="IP",VLOOKUP(A46,IP!$A$4:$R$181,14,FALSE),VLOOKUP(K46,IP!$B$4:$R$181,13,FALSE)),"")</f>
        <v/>
      </c>
      <c r="E46" s="945" t="str">
        <f>IF($A46&lt;&gt;"",
                     IF(LEFT(C46,4)="vip-",
                           IF(VLOOKUP($A46,Network.Loadbalancer!$A$4:$G$30,5,FALSE)&lt;&gt;"",VLOOKUP($A46,Network.Loadbalancer!$A$4:$G$30,5,FALSE),""),""),"")</f>
        <v/>
      </c>
      <c r="F46" s="342" t="str">
        <f t="shared" si="4"/>
        <v/>
      </c>
      <c r="G46" s="339"/>
      <c r="H46" s="339"/>
      <c r="I46" s="851"/>
      <c r="J46" s="8"/>
      <c r="K46" s="3035" t="str">
        <f t="shared" si="2"/>
        <v/>
      </c>
      <c r="L46" s="1981" t="str">
        <f t="shared" si="1"/>
        <v/>
      </c>
      <c r="M46" s="2250" t="str">
        <f t="shared" si="3"/>
        <v/>
      </c>
      <c r="N46" s="861"/>
      <c r="O46" s="861"/>
      <c r="P46" s="451"/>
      <c r="Q46" s="958"/>
    </row>
    <row r="47" spans="1:17" ht="13.5" thickBot="1">
      <c r="A47" s="97"/>
      <c r="B47" s="341"/>
      <c r="C47" s="253" t="str">
        <f>IF(A47&lt;&gt;"",
         IF(MID($A47,10,3)="GTM", VLOOKUP(A47,TrafficManager,5,FALSE),
VLOOKUP(K47,IP!$B$4:$R$200,10,FALSE)),"")</f>
        <v/>
      </c>
      <c r="D47" s="254" t="str">
        <f>IF(A47&lt;&gt;"",IF(MID(A47,15,2)="IP",VLOOKUP(A47,IP!$A$4:$R$181,14,FALSE),VLOOKUP(K47,IP!$B$4:$R$181,13,FALSE)),"")</f>
        <v/>
      </c>
      <c r="E47" s="945" t="str">
        <f>IF($A47&lt;&gt;"",
                     IF(LEFT(C47,4)="vip-",
                           IF(VLOOKUP($A47,Network.Loadbalancer!$A$4:$G$30,5,FALSE)&lt;&gt;"",VLOOKUP($A47,Network.Loadbalancer!$A$4:$G$30,5,FALSE),""),""),"")</f>
        <v/>
      </c>
      <c r="F47" s="342" t="str">
        <f t="shared" si="4"/>
        <v/>
      </c>
      <c r="G47" s="339"/>
      <c r="H47" s="339"/>
      <c r="I47" s="851"/>
      <c r="J47" s="8"/>
      <c r="K47" s="3035" t="str">
        <f t="shared" si="2"/>
        <v/>
      </c>
      <c r="L47" s="1981" t="str">
        <f t="shared" si="1"/>
        <v/>
      </c>
      <c r="M47" s="2250" t="str">
        <f t="shared" si="3"/>
        <v/>
      </c>
      <c r="N47" s="861"/>
      <c r="O47" s="861"/>
      <c r="P47" s="451"/>
      <c r="Q47" s="958"/>
    </row>
    <row r="48" spans="1:17" ht="13.5" thickBot="1">
      <c r="A48" s="97"/>
      <c r="B48" s="341"/>
      <c r="C48" s="253" t="str">
        <f>IF(A48&lt;&gt;"",
         IF(MID($A48,10,3)="GTM", VLOOKUP(A48,TrafficManager,5,FALSE),
VLOOKUP(K48,IP!$B$4:$R$200,10,FALSE)),"")</f>
        <v/>
      </c>
      <c r="D48" s="254" t="str">
        <f>IF(A48&lt;&gt;"",IF(MID(A48,15,2)="IP",VLOOKUP(A48,IP!$A$4:$R$181,14,FALSE),VLOOKUP(K48,IP!$B$4:$R$181,13,FALSE)),"")</f>
        <v/>
      </c>
      <c r="E48" s="945" t="str">
        <f>IF($A48&lt;&gt;"",
                     IF(LEFT(C48,4)="vip-",
                           IF(VLOOKUP($A48,Network.Loadbalancer!$A$4:$G$30,5,FALSE)&lt;&gt;"",VLOOKUP($A48,Network.Loadbalancer!$A$4:$G$30,5,FALSE),""),""),"")</f>
        <v/>
      </c>
      <c r="F48" s="342" t="str">
        <f t="shared" si="4"/>
        <v/>
      </c>
      <c r="G48" s="339"/>
      <c r="H48" s="339"/>
      <c r="I48" s="851"/>
      <c r="J48" s="8"/>
      <c r="K48" s="3035" t="str">
        <f t="shared" si="2"/>
        <v/>
      </c>
      <c r="L48" s="1981" t="str">
        <f t="shared" si="1"/>
        <v/>
      </c>
      <c r="M48" s="2250" t="str">
        <f t="shared" si="3"/>
        <v/>
      </c>
      <c r="N48" s="861"/>
      <c r="O48" s="861"/>
      <c r="P48" s="451"/>
      <c r="Q48" s="958"/>
    </row>
    <row r="49" spans="1:17" ht="13.5" thickBot="1">
      <c r="A49" s="97"/>
      <c r="B49" s="341"/>
      <c r="C49" s="253" t="str">
        <f>IF(A49&lt;&gt;"",
         IF(MID($A49,10,3)="GTM", VLOOKUP(A49,TrafficManager,5,FALSE),
VLOOKUP(K49,IP!$B$4:$R$200,10,FALSE)),"")</f>
        <v/>
      </c>
      <c r="D49" s="254" t="str">
        <f>IF(A49&lt;&gt;"",IF(MID(A49,15,2)="IP",VLOOKUP(A49,IP!$A$4:$R$181,14,FALSE),VLOOKUP(K49,IP!$B$4:$R$181,13,FALSE)),"")</f>
        <v/>
      </c>
      <c r="E49" s="945" t="str">
        <f>IF($A49&lt;&gt;"",
                     IF(LEFT(C49,4)="vip-",
                           IF(VLOOKUP($A49,Network.Loadbalancer!$A$4:$G$30,5,FALSE)&lt;&gt;"",VLOOKUP($A49,Network.Loadbalancer!$A$4:$G$30,5,FALSE),""),""),"")</f>
        <v/>
      </c>
      <c r="F49" s="342" t="str">
        <f t="shared" si="4"/>
        <v/>
      </c>
      <c r="G49" s="339"/>
      <c r="H49" s="339"/>
      <c r="I49" s="851"/>
      <c r="J49" s="8"/>
      <c r="K49" s="3035" t="str">
        <f t="shared" si="2"/>
        <v/>
      </c>
      <c r="L49" s="1981" t="str">
        <f t="shared" si="1"/>
        <v/>
      </c>
      <c r="M49" s="2250" t="str">
        <f t="shared" si="3"/>
        <v/>
      </c>
      <c r="N49" s="861"/>
      <c r="O49" s="861"/>
      <c r="P49" s="451"/>
      <c r="Q49" s="958"/>
    </row>
    <row r="50" spans="1:17" ht="13.5" thickBot="1">
      <c r="A50" s="97"/>
      <c r="B50" s="341"/>
      <c r="C50" s="253" t="str">
        <f>IF(A50&lt;&gt;"",
         IF(MID($A50,10,3)="GTM", VLOOKUP(A50,TrafficManager,5,FALSE),
VLOOKUP(K50,IP!$B$4:$R$200,10,FALSE)),"")</f>
        <v/>
      </c>
      <c r="D50" s="254" t="str">
        <f>IF(A50&lt;&gt;"",IF(MID(A50,15,2)="IP",VLOOKUP(A50,IP!$A$4:$R$181,14,FALSE),VLOOKUP(K50,IP!$B$4:$R$181,13,FALSE)),"")</f>
        <v/>
      </c>
      <c r="E50" s="945" t="str">
        <f>IF($A50&lt;&gt;"",
                     IF(LEFT(C50,4)="vip-",
                           IF(VLOOKUP($A50,Network.Loadbalancer!$A$4:$G$30,5,FALSE)&lt;&gt;"",VLOOKUP($A50,Network.Loadbalancer!$A$4:$G$30,5,FALSE),""),""),"")</f>
        <v/>
      </c>
      <c r="F50" s="342" t="str">
        <f t="shared" si="4"/>
        <v/>
      </c>
      <c r="G50" s="339"/>
      <c r="H50" s="339"/>
      <c r="I50" s="851"/>
      <c r="J50" s="8"/>
      <c r="K50" s="3035" t="str">
        <f t="shared" si="2"/>
        <v/>
      </c>
      <c r="L50" s="1981" t="str">
        <f t="shared" si="1"/>
        <v/>
      </c>
      <c r="M50" s="2250" t="str">
        <f t="shared" si="3"/>
        <v/>
      </c>
      <c r="N50" s="861"/>
      <c r="O50" s="861"/>
      <c r="P50" s="451"/>
      <c r="Q50" s="958"/>
    </row>
    <row r="51" spans="1:17" ht="13.5" thickBot="1">
      <c r="A51" s="97"/>
      <c r="B51" s="341"/>
      <c r="C51" s="253" t="str">
        <f>IF(A51&lt;&gt;"",
         IF(MID($A51,10,3)="GTM", VLOOKUP(A51,TrafficManager,5,FALSE),
VLOOKUP(K51,IP!$B$4:$R$200,10,FALSE)),"")</f>
        <v/>
      </c>
      <c r="D51" s="254" t="str">
        <f>IF(A51&lt;&gt;"",IF(MID(A51,15,2)="IP",VLOOKUP(A51,IP!$A$4:$R$181,14,FALSE),VLOOKUP(K51,IP!$B$4:$R$181,13,FALSE)),"")</f>
        <v/>
      </c>
      <c r="E51" s="945" t="str">
        <f>IF($A51&lt;&gt;"",
                     IF(LEFT(C51,4)="vip-",
                           IF(VLOOKUP($A51,Network.Loadbalancer!$A$4:$G$30,5,FALSE)&lt;&gt;"",VLOOKUP($A51,Network.Loadbalancer!$A$4:$G$30,5,FALSE),""),""),"")</f>
        <v/>
      </c>
      <c r="F51" s="342" t="str">
        <f t="shared" si="4"/>
        <v/>
      </c>
      <c r="G51" s="339"/>
      <c r="H51" s="339"/>
      <c r="I51" s="851"/>
      <c r="J51" s="8"/>
      <c r="K51" s="3035" t="str">
        <f t="shared" si="2"/>
        <v/>
      </c>
      <c r="L51" s="1981" t="str">
        <f t="shared" si="1"/>
        <v/>
      </c>
      <c r="M51" s="2250" t="str">
        <f t="shared" si="3"/>
        <v/>
      </c>
      <c r="N51" s="861"/>
      <c r="O51" s="861"/>
      <c r="P51" s="451"/>
      <c r="Q51" s="958"/>
    </row>
    <row r="52" spans="1:17" ht="13.5" thickBot="1">
      <c r="A52" s="97"/>
      <c r="B52" s="341"/>
      <c r="C52" s="253" t="str">
        <f>IF(A52&lt;&gt;"",
         IF(MID($A52,10,3)="GTM", VLOOKUP(A52,TrafficManager,5,FALSE),
VLOOKUP(K52,IP!$B$4:$R$200,10,FALSE)),"")</f>
        <v/>
      </c>
      <c r="D52" s="254" t="str">
        <f>IF(A52&lt;&gt;"",IF(MID(A52,15,2)="IP",VLOOKUP(A52,IP!$A$4:$R$181,14,FALSE),VLOOKUP(K52,IP!$B$4:$R$181,13,FALSE)),"")</f>
        <v/>
      </c>
      <c r="E52" s="945" t="str">
        <f>IF($A52&lt;&gt;"",
                     IF(LEFT(C52,4)="vip-",
                           IF(VLOOKUP($A52,Network.Loadbalancer!$A$4:$G$30,5,FALSE)&lt;&gt;"",VLOOKUP($A52,Network.Loadbalancer!$A$4:$G$30,5,FALSE),""),""),"")</f>
        <v/>
      </c>
      <c r="F52" s="342" t="str">
        <f t="shared" si="4"/>
        <v/>
      </c>
      <c r="G52" s="339"/>
      <c r="H52" s="339"/>
      <c r="I52" s="851"/>
      <c r="J52" s="8"/>
      <c r="K52" s="3035" t="str">
        <f t="shared" si="2"/>
        <v/>
      </c>
      <c r="L52" s="1981" t="str">
        <f t="shared" si="1"/>
        <v/>
      </c>
      <c r="M52" s="2250" t="str">
        <f t="shared" si="3"/>
        <v/>
      </c>
      <c r="N52" s="861"/>
      <c r="O52" s="861"/>
      <c r="P52" s="451"/>
      <c r="Q52" s="958"/>
    </row>
    <row r="53" spans="1:17" ht="13.5" thickBot="1">
      <c r="A53" s="97"/>
      <c r="B53" s="341"/>
      <c r="C53" s="253" t="str">
        <f>IF(A53&lt;&gt;"",
         IF(MID($A53,10,3)="GTM", VLOOKUP(A53,TrafficManager,5,FALSE),
VLOOKUP(K53,IP!$B$4:$R$200,10,FALSE)),"")</f>
        <v/>
      </c>
      <c r="D53" s="254" t="str">
        <f>IF(A53&lt;&gt;"",IF(MID(A53,15,2)="IP",VLOOKUP(A53,IP!$A$4:$R$181,14,FALSE),VLOOKUP(K53,IP!$B$4:$R$181,13,FALSE)),"")</f>
        <v/>
      </c>
      <c r="E53" s="945" t="str">
        <f>IF($A53&lt;&gt;"",
                     IF(LEFT(C53,4)="vip-",
                           IF(VLOOKUP($A53,Network.Loadbalancer!$A$4:$G$30,5,FALSE)&lt;&gt;"",VLOOKUP($A53,Network.Loadbalancer!$A$4:$G$30,5,FALSE),""),""),"")</f>
        <v/>
      </c>
      <c r="F53" s="342" t="str">
        <f t="shared" si="4"/>
        <v/>
      </c>
      <c r="G53" s="339"/>
      <c r="H53" s="339"/>
      <c r="I53" s="851"/>
      <c r="J53" s="8"/>
      <c r="K53" s="3035" t="str">
        <f t="shared" si="2"/>
        <v/>
      </c>
      <c r="L53" s="1981" t="str">
        <f t="shared" si="1"/>
        <v/>
      </c>
      <c r="M53" s="2250" t="str">
        <f t="shared" si="3"/>
        <v/>
      </c>
      <c r="N53" s="861"/>
      <c r="O53" s="861"/>
      <c r="P53" s="451"/>
      <c r="Q53" s="958"/>
    </row>
    <row r="54" spans="1:17" ht="13.5" thickBot="1">
      <c r="A54" s="98"/>
      <c r="B54" s="452"/>
      <c r="C54" s="453" t="str">
        <f>IF(A54&lt;&gt;"",
         IF(MID($A54,10,3)="GTM", VLOOKUP(A54,TrafficManager,5,FALSE),
VLOOKUP(K54,IP!$B$4:$R$200,10,FALSE)),"")</f>
        <v/>
      </c>
      <c r="D54" s="3052" t="str">
        <f>IF(A54&lt;&gt;"",IF(MID(A54,15,2)="IP",VLOOKUP(A54,IP!$A$4:$R$181,14,FALSE),VLOOKUP(K54,IP!$B$4:$R$181,13,FALSE)),"")</f>
        <v/>
      </c>
      <c r="E54" s="3032" t="str">
        <f>IF($A54&lt;&gt;"",
                     IF(LEFT(C54,4)="vip-",
                           IF(VLOOKUP($A54,Network.Loadbalancer!$A$4:$G$30,5,FALSE)&lt;&gt;"",VLOOKUP($A54,Network.Loadbalancer!$A$4:$G$30,5,FALSE),""),""),"")</f>
        <v/>
      </c>
      <c r="F54" s="454" t="str">
        <f t="shared" si="4"/>
        <v/>
      </c>
      <c r="G54" s="455"/>
      <c r="H54" s="455"/>
      <c r="I54" s="852"/>
      <c r="J54" s="99"/>
      <c r="K54" s="3036" t="str">
        <f t="shared" si="2"/>
        <v/>
      </c>
      <c r="L54" s="1982" t="str">
        <f t="shared" si="1"/>
        <v/>
      </c>
      <c r="M54" s="89" t="str">
        <f t="shared" si="3"/>
        <v/>
      </c>
      <c r="N54" s="869"/>
      <c r="O54" s="869"/>
      <c r="P54" s="948"/>
      <c r="Q54" s="959"/>
    </row>
    <row r="57" spans="1:17">
      <c r="D57" s="7"/>
      <c r="E57" s="7"/>
    </row>
    <row r="58" spans="1:17">
      <c r="D58" s="7"/>
      <c r="E58" s="7"/>
    </row>
    <row r="59" spans="1:17">
      <c r="D59" s="7"/>
      <c r="E59" s="7"/>
    </row>
    <row r="60" spans="1:17">
      <c r="D60" s="7"/>
      <c r="E60" s="7"/>
    </row>
    <row r="61" spans="1:17">
      <c r="D61" s="7"/>
      <c r="E61" s="7"/>
    </row>
    <row r="62" spans="1:17">
      <c r="D62" s="7"/>
      <c r="E62" s="7"/>
    </row>
  </sheetData>
  <protectedRanges>
    <protectedRange sqref="A2:B2 B3 D2:J2 D3:Q3" name="Firewall"/>
    <protectedRange sqref="A3" name="Firewall_1"/>
    <protectedRange sqref="A5:B54" name="Firewall_2"/>
    <protectedRange sqref="J5:J54" name="Firewall_1_1_1_1"/>
  </protectedRanges>
  <mergeCells count="1">
    <mergeCell ref="A1:B1"/>
  </mergeCells>
  <phoneticPr fontId="26" type="noConversion"/>
  <conditionalFormatting sqref="C5:D54 F5:I54">
    <cfRule type="expression" dxfId="187" priority="5">
      <formula>$B5="Cutover"</formula>
    </cfRule>
  </conditionalFormatting>
  <conditionalFormatting sqref="C1">
    <cfRule type="cellIs" dxfId="186" priority="24" operator="equal">
      <formula>"Undetermined"</formula>
    </cfRule>
    <cfRule type="cellIs" dxfId="185" priority="25" operator="equal">
      <formula>"REQUIRED"</formula>
    </cfRule>
  </conditionalFormatting>
  <conditionalFormatting sqref="C5:C54">
    <cfRule type="cellIs" dxfId="184" priority="16" operator="notEqual">
      <formula>IF($A5&lt;&gt;"",VLOOKUP(A5,#REF!,5,FALSE),"")</formula>
    </cfRule>
  </conditionalFormatting>
  <conditionalFormatting sqref="B5:B54">
    <cfRule type="expression" dxfId="183" priority="19">
      <formula>$B5="Remove"</formula>
    </cfRule>
  </conditionalFormatting>
  <conditionalFormatting sqref="C5:C54">
    <cfRule type="expression" dxfId="182" priority="21">
      <formula>$B5&lt;&gt;"Remove"</formula>
    </cfRule>
    <cfRule type="expression" dxfId="181" priority="419">
      <formula>$B5="Remove"</formula>
    </cfRule>
  </conditionalFormatting>
  <conditionalFormatting sqref="D5:E54">
    <cfRule type="expression" dxfId="180" priority="15">
      <formula>$B5&lt;&gt;"Remove"</formula>
    </cfRule>
    <cfRule type="expression" dxfId="179" priority="18">
      <formula>$B5="Remove"</formula>
    </cfRule>
  </conditionalFormatting>
  <conditionalFormatting sqref="B5:B54">
    <cfRule type="expression" dxfId="178" priority="12">
      <formula>$B$5&lt;&gt;"Remove"</formula>
    </cfRule>
  </conditionalFormatting>
  <conditionalFormatting sqref="F5:F54">
    <cfRule type="expression" dxfId="177" priority="6">
      <formula>IF(F5&lt;&gt;"",COUNTIF(F:F, F5)&gt;1)</formula>
    </cfRule>
    <cfRule type="expression" dxfId="176" priority="14">
      <formula>$F5=""</formula>
    </cfRule>
    <cfRule type="expression" dxfId="175" priority="17">
      <formula>OR(RIGHT($F5,3)="net",RIGHT($F5,3)="com")</formula>
    </cfRule>
    <cfRule type="expression" dxfId="174" priority="22">
      <formula>AND($A5&lt;&gt;"",OR(RIGHT($F5,3)&lt;&gt;"net",RIGHT($F5,3)&lt;&gt;"com"))</formula>
    </cfRule>
    <cfRule type="expression" dxfId="173" priority="23">
      <formula>$B5&lt;&gt;"Remove"</formula>
    </cfRule>
    <cfRule type="expression" dxfId="172" priority="40">
      <formula>$B5="Remove"</formula>
    </cfRule>
  </conditionalFormatting>
  <conditionalFormatting sqref="E5:E54">
    <cfRule type="expression" dxfId="171" priority="13">
      <formula>AND($A5&lt;&gt;"",$E5&lt;&gt;"")</formula>
    </cfRule>
  </conditionalFormatting>
  <conditionalFormatting sqref="M5:M54">
    <cfRule type="expression" dxfId="170" priority="3">
      <formula>$L5="Host Record (A-Record)"</formula>
    </cfRule>
    <cfRule type="expression" dxfId="169" priority="4">
      <formula>$L5="Split DNS"</formula>
    </cfRule>
  </conditionalFormatting>
  <conditionalFormatting sqref="G5:G54">
    <cfRule type="containsText" dxfId="168" priority="2" operator="containsText" text=" ">
      <formula>NOT(ISERROR(SEARCH(" ",G5)))</formula>
    </cfRule>
  </conditionalFormatting>
  <conditionalFormatting sqref="H5:H54">
    <cfRule type="expression" dxfId="167" priority="1">
      <formula>LEFT($H5, 1)&lt;&gt;"."</formula>
    </cfRule>
  </conditionalFormatting>
  <dataValidations count="5">
    <dataValidation type="list" allowBlank="1" showInputMessage="1" showErrorMessage="1" sqref="A5:A54" xr:uid="{00000000-0002-0000-0E00-000000000000}">
      <formula1>list_AllIPs</formula1>
    </dataValidation>
    <dataValidation type="list" allowBlank="1" showInputMessage="1" showErrorMessage="1" sqref="B5:B54" xr:uid="{00000000-0002-0000-0E00-000001000000}">
      <formula1>list_phase</formula1>
    </dataValidation>
    <dataValidation type="list" allowBlank="1" showInputMessage="1" showErrorMessage="1" sqref="H5:H54" xr:uid="{00000000-0002-0000-0E00-000002000000}">
      <formula1>list_domain</formula1>
    </dataValidation>
    <dataValidation type="list" allowBlank="1" showInputMessage="1" showErrorMessage="1" sqref="I5:I54" xr:uid="{00000000-0002-0000-0E00-000003000000}">
      <formula1>"Yes, No"</formula1>
    </dataValidation>
    <dataValidation type="list" allowBlank="1" showInputMessage="1" showErrorMessage="1" sqref="L5:L54" xr:uid="{00000000-0002-0000-0E00-000004000000}">
      <formula1>dns_record_type</formula1>
    </dataValidation>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99786" r:id="rId4">
          <objectPr defaultSize="0" autoPict="0" r:id="rId5">
            <anchor moveWithCells="1">
              <from>
                <xdr:col>105</xdr:col>
                <xdr:colOff>600075</xdr:colOff>
                <xdr:row>0</xdr:row>
                <xdr:rowOff>0</xdr:rowOff>
              </from>
              <to>
                <xdr:col>122</xdr:col>
                <xdr:colOff>514350</xdr:colOff>
                <xdr:row>41</xdr:row>
                <xdr:rowOff>123825</xdr:rowOff>
              </to>
            </anchor>
          </objectPr>
        </oleObject>
      </mc:Choice>
      <mc:Fallback>
        <oleObject progId="Word.Document.12" shapeId="99786" r:id="rId4"/>
      </mc:Fallback>
    </mc:AlternateContent>
  </oleObjects>
  <mc:AlternateContent xmlns:mc="http://schemas.openxmlformats.org/markup-compatibility/2006">
    <mc:Choice Requires="x14">
      <controls>
        <mc:AlternateContent xmlns:mc="http://schemas.openxmlformats.org/markup-compatibility/2006">
          <mc:Choice Requires="x14">
            <control shapeId="99771" r:id="rId6" name="Button 2491">
              <controlPr defaultSize="0" print="0" autoFill="0" autoPict="0" macro="[0]!DNSchecker_Main">
                <anchor moveWithCells="1" sizeWithCells="1">
                  <from>
                    <xdr:col>9</xdr:col>
                    <xdr:colOff>47625</xdr:colOff>
                    <xdr:row>2</xdr:row>
                    <xdr:rowOff>38100</xdr:rowOff>
                  </from>
                  <to>
                    <xdr:col>9</xdr:col>
                    <xdr:colOff>1552575</xdr:colOff>
                    <xdr:row>2</xdr:row>
                    <xdr:rowOff>247650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tabColor theme="3" tint="0.79998168889431442"/>
  </sheetPr>
  <dimension ref="A1:W255"/>
  <sheetViews>
    <sheetView showGridLines="0" topLeftCell="B1" zoomScaleNormal="100" workbookViewId="0">
      <selection activeCell="P8" sqref="P8"/>
    </sheetView>
  </sheetViews>
  <sheetFormatPr defaultRowHeight="12.75"/>
  <cols>
    <col min="1" max="1" width="16.140625" customWidth="1"/>
    <col min="2" max="2" width="15.140625" customWidth="1"/>
    <col min="3" max="3" width="9.28515625" customWidth="1"/>
    <col min="4" max="4" width="30.42578125" bestFit="1" customWidth="1"/>
    <col min="5" max="5" width="13.5703125" customWidth="1"/>
    <col min="6" max="6" width="16" customWidth="1"/>
    <col min="7" max="7" width="16.85546875" style="931" customWidth="1"/>
    <col min="8" max="8" width="13.7109375" style="931" customWidth="1"/>
    <col min="9" max="9" width="17.140625" style="2018" customWidth="1"/>
    <col min="10" max="11" width="11.28515625" style="931" hidden="1" customWidth="1"/>
    <col min="12" max="12" width="13.28515625" customWidth="1"/>
    <col min="13" max="13" width="12.42578125" customWidth="1"/>
    <col min="14" max="14" width="27.5703125" style="2018" customWidth="1"/>
    <col min="15" max="15" width="16.28515625" customWidth="1"/>
    <col min="16" max="16" width="30.28515625" bestFit="1" customWidth="1"/>
    <col min="17" max="17" width="23.140625" customWidth="1"/>
    <col min="18" max="18" width="13.140625" customWidth="1"/>
    <col min="19" max="19" width="13" customWidth="1"/>
    <col min="20" max="20" width="35.85546875" customWidth="1"/>
    <col min="21" max="21" width="46.28515625" customWidth="1"/>
    <col min="22" max="22" width="31.7109375" style="931" customWidth="1"/>
    <col min="23" max="23" width="64.140625" customWidth="1"/>
  </cols>
  <sheetData>
    <row r="1" spans="1:23" s="931" customFormat="1" ht="33" customHeight="1" thickBot="1">
      <c r="A1" s="2063"/>
      <c r="B1" s="2064"/>
      <c r="C1" s="2064"/>
      <c r="D1" s="2064"/>
      <c r="E1" s="2065" t="s">
        <v>3448</v>
      </c>
      <c r="F1" s="2064"/>
      <c r="G1" s="2064"/>
      <c r="H1" s="2064"/>
      <c r="I1" s="2064"/>
      <c r="J1" s="2064"/>
      <c r="K1" s="2066">
        <v>10</v>
      </c>
      <c r="L1" s="2066">
        <v>11</v>
      </c>
      <c r="M1" s="2066">
        <v>12</v>
      </c>
      <c r="N1" s="2066">
        <v>13</v>
      </c>
      <c r="O1" s="2066">
        <v>14</v>
      </c>
      <c r="P1" s="2066">
        <v>15</v>
      </c>
      <c r="Q1" s="2066">
        <v>16</v>
      </c>
      <c r="R1" s="2066">
        <v>17</v>
      </c>
      <c r="S1" s="2066">
        <v>18</v>
      </c>
      <c r="T1" s="2066">
        <v>19</v>
      </c>
      <c r="U1" s="2066">
        <v>20</v>
      </c>
      <c r="V1" s="2066"/>
      <c r="W1" s="2066">
        <v>21</v>
      </c>
    </row>
    <row r="2" spans="1:23" s="931" customFormat="1" ht="15.75">
      <c r="A2" s="3809" t="s">
        <v>1937</v>
      </c>
      <c r="B2" s="3810"/>
      <c r="C2" s="3811"/>
      <c r="D2" s="3818" t="str">
        <f>IF(ProjDet_AppNameCol&lt;&gt;"",ProjDet_AppNameCol,"")</f>
        <v>Linux Infrastructure Management</v>
      </c>
      <c r="E2" s="3810"/>
      <c r="F2" s="3810"/>
      <c r="G2" s="3810"/>
      <c r="H2" s="3810"/>
      <c r="I2" s="3810"/>
      <c r="J2" s="3819"/>
      <c r="K2" s="2037"/>
      <c r="L2" s="1639"/>
      <c r="M2" s="1640"/>
      <c r="N2" s="1640"/>
      <c r="O2" s="1640"/>
      <c r="P2" s="1640"/>
      <c r="Q2" s="1640"/>
      <c r="R2" s="1640"/>
      <c r="S2" s="1640"/>
      <c r="T2" s="1640"/>
      <c r="U2" s="1640"/>
      <c r="V2" s="2014"/>
      <c r="W2" s="60"/>
    </row>
    <row r="3" spans="1:23" s="931" customFormat="1" ht="15.75">
      <c r="A3" s="3812" t="s">
        <v>3641</v>
      </c>
      <c r="B3" s="3821"/>
      <c r="C3" s="3827"/>
      <c r="D3" s="3828" t="str">
        <f>IF(nas_short_name&lt;&gt;"",nas_short_name,"")</f>
        <v/>
      </c>
      <c r="E3" s="3821"/>
      <c r="F3" s="3821"/>
      <c r="G3" s="3821"/>
      <c r="H3" s="3821"/>
      <c r="I3" s="3821"/>
      <c r="J3" s="3825"/>
      <c r="K3" s="2038"/>
      <c r="L3" s="2013"/>
      <c r="M3" s="2014"/>
      <c r="N3" s="2014"/>
      <c r="O3" s="2014"/>
      <c r="P3" s="2014"/>
      <c r="Q3" s="2014"/>
      <c r="R3" s="2014"/>
      <c r="S3" s="2014"/>
      <c r="T3" s="2014"/>
      <c r="U3" s="2014"/>
      <c r="V3" s="2014"/>
      <c r="W3" s="2015"/>
    </row>
    <row r="4" spans="1:23" s="931" customFormat="1" ht="15.75">
      <c r="A4" s="3812" t="s">
        <v>3473</v>
      </c>
      <c r="B4" s="3813"/>
      <c r="C4" s="3814"/>
      <c r="D4" s="3820" t="str">
        <f>IF(app_technical_contact&lt;&gt;"",app_technical_contact,"")</f>
        <v xml:space="preserve">Paul Schmidt , Bill Mesik , Richard Davis </v>
      </c>
      <c r="E4" s="3813"/>
      <c r="F4" s="3813"/>
      <c r="G4" s="3813"/>
      <c r="H4" s="3821"/>
      <c r="I4" s="3813"/>
      <c r="J4" s="3822"/>
      <c r="K4" s="2038"/>
      <c r="L4" s="1639"/>
      <c r="M4" s="1640"/>
      <c r="N4" s="1640"/>
      <c r="O4" s="1640"/>
      <c r="P4" s="1640"/>
      <c r="Q4" s="1640"/>
      <c r="R4" s="1640"/>
      <c r="S4" s="1640"/>
      <c r="T4" s="1640"/>
      <c r="U4" s="1640"/>
      <c r="V4" s="2014"/>
      <c r="W4" s="60"/>
    </row>
    <row r="5" spans="1:23" s="931" customFormat="1" ht="16.5" customHeight="1">
      <c r="A5" s="3826" t="s">
        <v>3640</v>
      </c>
      <c r="B5" s="3826"/>
      <c r="C5" s="3826"/>
      <c r="D5" s="3821" t="str">
        <f>IF(app_support_team_email&lt;&gt;"",app_support_team_email,"")</f>
        <v>HCSC_Unix@bcbbsil.com</v>
      </c>
      <c r="E5" s="3821"/>
      <c r="F5" s="3821"/>
      <c r="G5" s="3821"/>
      <c r="H5" s="3821"/>
      <c r="I5" s="3821"/>
      <c r="J5" s="3825"/>
      <c r="K5" s="2038"/>
      <c r="L5" s="2013"/>
      <c r="M5" s="2014"/>
      <c r="N5" s="2014"/>
      <c r="O5" s="2014"/>
      <c r="P5" s="2014"/>
      <c r="Q5" s="2014"/>
      <c r="R5" s="2014"/>
      <c r="S5" s="2014"/>
      <c r="T5" s="2014"/>
      <c r="U5" s="2014"/>
      <c r="V5" s="2014"/>
      <c r="W5" s="2015"/>
    </row>
    <row r="6" spans="1:23" s="931" customFormat="1" ht="16.5" thickBot="1">
      <c r="A6" s="3815" t="s">
        <v>3474</v>
      </c>
      <c r="B6" s="3816"/>
      <c r="C6" s="3817"/>
      <c r="D6" s="3823" t="str">
        <f>IF(app_support_team_email&lt;&gt;"",app_support_team_email,"")</f>
        <v>HCSC_Unix@bcbbsil.com</v>
      </c>
      <c r="E6" s="3816"/>
      <c r="F6" s="3816"/>
      <c r="G6" s="3816"/>
      <c r="H6" s="3816"/>
      <c r="I6" s="3816"/>
      <c r="J6" s="3824"/>
      <c r="K6" s="2039"/>
      <c r="L6" s="2049"/>
      <c r="M6" s="2050"/>
      <c r="N6" s="2050"/>
      <c r="O6" s="2050"/>
      <c r="P6" s="2050"/>
      <c r="Q6" s="2050"/>
      <c r="R6" s="2050"/>
      <c r="S6" s="2050"/>
      <c r="T6" s="2050"/>
      <c r="U6" s="2050"/>
      <c r="V6" s="2050"/>
      <c r="W6" s="2051"/>
    </row>
    <row r="7" spans="1:23" ht="37.5" customHeight="1" thickBot="1">
      <c r="A7" s="2052" t="s">
        <v>50</v>
      </c>
      <c r="B7" s="2053" t="s">
        <v>45</v>
      </c>
      <c r="C7" s="2054" t="s">
        <v>2793</v>
      </c>
      <c r="D7" s="2055" t="s">
        <v>46</v>
      </c>
      <c r="E7" s="2056" t="s">
        <v>883</v>
      </c>
      <c r="F7" s="2056" t="s">
        <v>227</v>
      </c>
      <c r="G7" s="2056" t="s">
        <v>3445</v>
      </c>
      <c r="H7" s="2056" t="s">
        <v>3674</v>
      </c>
      <c r="I7" s="2056" t="s">
        <v>3446</v>
      </c>
      <c r="J7" s="2057" t="s">
        <v>3447</v>
      </c>
      <c r="K7" s="2036" t="s">
        <v>3645</v>
      </c>
      <c r="L7" s="2869" t="s">
        <v>3444</v>
      </c>
      <c r="M7" s="2870" t="s">
        <v>4531</v>
      </c>
      <c r="N7" s="2060" t="s">
        <v>5018</v>
      </c>
      <c r="O7" s="2060" t="s">
        <v>3421</v>
      </c>
      <c r="P7" s="2061" t="s">
        <v>3426</v>
      </c>
      <c r="Q7" s="2059" t="s">
        <v>3443</v>
      </c>
      <c r="R7" s="2058" t="s">
        <v>3422</v>
      </c>
      <c r="S7" s="2060" t="s">
        <v>3423</v>
      </c>
      <c r="T7" s="2864" t="s">
        <v>3427</v>
      </c>
      <c r="U7" s="2060" t="s">
        <v>3652</v>
      </c>
      <c r="V7" s="2061" t="s">
        <v>5055</v>
      </c>
      <c r="W7" s="2061" t="s">
        <v>480</v>
      </c>
    </row>
    <row r="8" spans="1:23">
      <c r="A8" s="2272"/>
      <c r="B8" s="2074" t="str">
        <f t="shared" ref="B8:B50" si="0">IF($A8&lt;&gt;"",VLOOKUP($A8,dist_assets,21,FALSE),"")</f>
        <v/>
      </c>
      <c r="C8" s="2273" t="str">
        <f t="shared" ref="C8:C50" si="1">IF($A8&lt;&gt;"",VLOOKUP($A8,dist_assets,3,FALSE),"")</f>
        <v/>
      </c>
      <c r="D8" s="2074" t="str">
        <f t="shared" ref="D8" si="2">IF(A8&lt;&gt;"",VLOOKUP(A8,dist_assets,22,FALSE),"")</f>
        <v/>
      </c>
      <c r="E8" s="2074" t="str">
        <f>IF(A8&lt;&gt;"",VLOOKUP(VLOOKUP(A8,dist_assets,2,FALSE),'Distributed Assets'!$C$7:$F$22,4,FALSE),"")</f>
        <v/>
      </c>
      <c r="F8" s="2273" t="str">
        <f>IF($A8&lt;&gt;"",VLOOKUP($A8,IP!$B$4:$N$153,13,FALSE),"")</f>
        <v/>
      </c>
      <c r="G8" s="818" t="str">
        <f>IF($A8&lt;&gt;"",
       IF(LEFT($D8,7)="Windows", "SMB:   445",
           IF(OR(LEFT($D8,5)="Linux",$D8="AIX",LEFT($D8,4)="RHEL"),"NFS:  2049")),"")</f>
        <v/>
      </c>
      <c r="H8" s="1343" t="str">
        <f>IF($A8&lt;&gt;"", "NAS", "")</f>
        <v/>
      </c>
      <c r="I8" s="2274" t="str">
        <f ca="1">IF($A8&lt;&gt;"",
     IF($H8="NAS",INDIRECT("NAS_"&amp; $L8 &amp; "_Size"),
         IF($H8="TomEE", "TomEE Share","")),"")</f>
        <v/>
      </c>
      <c r="J8" s="2275"/>
      <c r="K8" s="2275"/>
      <c r="L8" s="3152" t="str">
        <f t="shared" ref="L8:L50" si="3">IF($A8&lt;&gt;"",
IF(LEFT($E8,1)="T","Test",
IF(LEFT($E8,1)="D","Dev",
IF(LEFT($E8,1)="A","Alt Prod",
IF(RIGHT($E8,4)=" 2.0","Prod",
IF(RIGHT($E8,4)="F.W.","ProdFW",
IF(RIGHT($E8,4)="ITC)","Pod",)))))),"")</f>
        <v/>
      </c>
      <c r="M8" s="2862"/>
      <c r="N8" s="3009" t="str">
        <f t="shared" ref="N8:N50" si="4">IF(AND($A8&lt;&gt;"", $P8&lt;&gt;""),
   IF(AND($L8="Dev",$C8="New"), NAS_Win_NPID_Dev,
       IF(AND($L8="Test",$C8="New"),NAS_Win_NPID_Test,
         IF(AND($L8="Alt Prod",$C8="New"),NAS_Win_NPID_Alt,
           IF(AND($L8="Prod",$C8="New"),NAS_Win_NPID_Prod,
              IF(AND($L8="ProdFW",$C8="New"),NAS_Win_NPID_ProdFW,
                  IF(AND($L8="Pod",$C8="Existing"),NAS_Win_NPID_Pod,"")))))),"")</f>
        <v/>
      </c>
      <c r="O8" s="3009" t="str">
        <f t="shared" ref="O8:O50" si="5">IF(AND($A8&lt;&gt;"", $P8&lt;&gt;""),
   IF(AND($L8="Dev", $C8="New"),NAS_Win_AD_Group_Dev,
       IF(AND($L8="Test", $C8="New"),NAS_Win_AD_Group_Test,
         IF(AND($L8="Alt Prod", $C8="New"),NAS_Win_AD_Group_Alt,
           IF(AND($L8="Prod", $C8="New"),NAS_Win_AD_Group_Prod,
              IF(AND($L8="ProdFW", $C8="New"),NAS_Win_AD_Group_ProdFW,
                  IF(AND($L8="Pod", $C8="Existing"),NAS_Win_AD_Group_Pod,"")))))),"")</f>
        <v/>
      </c>
      <c r="P8" s="818" t="str">
        <f>IF(AND( $A8&lt;&gt;"",LEFT($D8,7)="Windows"),
      IF($L8="Prod", "smb.waunas23.hcscint.net",
            IF($L8= "Test","smb.twaunas26.hcscint.net",
                        IF($L8 = "DEV", "smb.dwaunas26.hcscint.net",
                             IF($L8 = "ProdFW", "smb.pftwnas25prod.hcscint.net",
                                  IF($L8 = "Pod", "smb.pwaunas25p.hcscint.net", ))))),"")</f>
        <v/>
      </c>
      <c r="Q8" s="1343"/>
      <c r="R8" s="482" t="str">
        <f t="shared" ref="R8:R50" si="6">IF(AND($A8&lt;&gt;"", $T8&lt;&gt;""),
   IF(AND($L8="Dev", $C8="New"),NAS_NFS_UID_Dev,
       IF(AND($L8="Test", $C8="New"),NAS_NFS_UID_Test,
 IF(AND($L8="Test", $C8="New"),NAS_NFS_UID_Alt,
           IF(AND($L8="Prod", $C8="New"),NAS_NFS_UID_Prod,
              IF(AND($L8="ProdFW", $C8="New"),NAS_NFS_UID_ProdFW,
                  IF(AND($L8="Pod", $C8="Existing"),NAS_NFS_UID_Pod,"")))))),"")</f>
        <v/>
      </c>
      <c r="S8" s="482" t="str">
        <f t="shared" ref="S8:S50" si="7">IF(AND($A8&lt;&gt;"", $T8&lt;&gt;""),
   IF(AND($L8="Dev", $C8="New"),NAS_NFS_GID_Dev,
       IF(AND($L8="Test", $C8="New"),NAS_NFS_GID_Test,
        IF(AND($L8="Test", $C8="New"),NAS_NFS_GID_Alt,
           IF(AND($L8="Prod", $C8="New"),NAS_NFS_GID_Prod,
              IF(AND($L8="ProdFW", $C8="New"),NAS_NFS_GID_ProdFW,
                  IF(AND($L8="Pod", $C8="Existing"),NAS_NFS_GID_Pod,"")))))),"")</f>
        <v/>
      </c>
      <c r="T8" s="818" t="str">
        <f>IF(AND( $A8&lt;&gt;"",LEFT($D8,7)&lt;&gt;"Windows"),
      IF($L8="Prod", "nfs.waunas23.hcscint.net",
            IF($L8= "Test","nfs.twaunas26.hcscint.net",
                        IF($L8 = "DEV", "nfs.dwaunas26.hcscint.net",
                             IF($L8 = "ProdFW", "nfs.pftwnas25prod.hcscint.net",
                                  IF($L8 = "Pod", "nfs.pwaunas25p.hcscint.net", ))))),"")</f>
        <v/>
      </c>
      <c r="U8" s="3014" t="str">
        <f>IF($T8&lt;&gt;"",
          IF($T8="nfs.waunas23.hcscint.net",CONCATENATE("ifs/pwauesnas23/prod/nfs",$V8),
               IF($T8="nfs.twaunas26.hcscint.net",CONCATENATE("ifs/pwausnas26/test/nfs",$V8),
                      IF($T8="nfs.dwaunas26.hcscint.net",CONCATENATE("ifs/pwausnas26/dev/nfs",$V8),
                           IF($T8="nfs.pftwnas25prod.hcscint.net",CONCATENATE("ifs/ftwesnas25/prod/nfs",$V8),
                                   IF($T8="nfs.pwaunas25p.hcscint.net",CONCATENATE("ifs/pwauesnas25/prod/nfs",$V8, )))))), "")</f>
        <v/>
      </c>
      <c r="V8" s="2865"/>
      <c r="W8" s="2867" t="str">
        <f>IF(AND($A8&lt;&gt;"", $C8&lt;&gt;"", $P8&lt;&gt;""),CONCATENATE("\\",$P8,"\", $Q8), "")</f>
        <v/>
      </c>
    </row>
    <row r="9" spans="1:23">
      <c r="A9" s="312"/>
      <c r="B9" s="2046" t="str">
        <f t="shared" si="0"/>
        <v/>
      </c>
      <c r="C9" s="818" t="str">
        <f t="shared" si="1"/>
        <v/>
      </c>
      <c r="D9" s="2046" t="str">
        <f t="shared" ref="D9:D50" si="8">IF(A9&lt;&gt;"",VLOOKUP(A9,dist_assets,22,FALSE),"")</f>
        <v/>
      </c>
      <c r="E9" s="2046" t="str">
        <f>IF(A9&lt;&gt;"",VLOOKUP(VLOOKUP(A9,dist_assets,2,FALSE),'Distributed Assets'!$C$7:$F$22,4,FALSE),"")</f>
        <v/>
      </c>
      <c r="F9" s="818" t="str">
        <f>IF($A9&lt;&gt;"",VLOOKUP($A9,IP!$B$4:$N$153,13,FALSE),"")</f>
        <v/>
      </c>
      <c r="G9" s="2047" t="str">
        <f t="shared" ref="G9:G50" si="9">IF($A9&lt;&gt;"",
       IF(LEFT($D9,7)="Windows", "SMB:   445",
           IF(OR(LEFT($D9,5)="Linux",$D9="AIX",LEFT($D9,4)="RHEL"),"NFS:  2049")),"")</f>
        <v/>
      </c>
      <c r="H9" s="1758" t="str">
        <f t="shared" ref="H9:H50" si="10">IF($A9&lt;&gt;"", "NAS", "")</f>
        <v/>
      </c>
      <c r="I9" s="2171" t="str">
        <f t="shared" ref="I9:I50" ca="1" si="11">IF($A9&lt;&gt;"",
     IF($H9="NAS",INDIRECT("NAS_"&amp; $L9 &amp; "_Size"),
         IF($H9="TomEE", "TomEE Share","")),"")</f>
        <v/>
      </c>
      <c r="J9" s="2035"/>
      <c r="K9" s="2034"/>
      <c r="L9" s="2817" t="str">
        <f t="shared" si="3"/>
        <v/>
      </c>
      <c r="M9" s="2048"/>
      <c r="N9" s="1356" t="str">
        <f t="shared" si="4"/>
        <v/>
      </c>
      <c r="O9" s="2298" t="str">
        <f t="shared" si="5"/>
        <v/>
      </c>
      <c r="P9" s="2047" t="str">
        <f t="shared" ref="P9:P50" si="12">IF(AND( $A9&lt;&gt;"",LEFT($D9,7)="Windows"),
      IF($L9="Prod", "smb.waunas23.hcscint.net",
            IF($L9= "Test","smb.twaunas26.hcscint.net",
                        IF($L9 = "DEV", "smb.dwaunas26.hcscint.net",
                             IF($L9 = "ProdFW", "smb.pftwnas25prod.hcscint.net",
                                  IF($L9 = "Pod", "smb.pwaunas25p.hcscint.net", ))))),"")</f>
        <v/>
      </c>
      <c r="Q9" s="1343"/>
      <c r="R9" s="590" t="str">
        <f t="shared" si="6"/>
        <v/>
      </c>
      <c r="S9" s="590" t="str">
        <f t="shared" si="7"/>
        <v/>
      </c>
      <c r="T9" s="2047" t="str">
        <f t="shared" ref="T9:T50" si="13">IF(AND( $A9&lt;&gt;"",LEFT($D9,7)&lt;&gt;"Windows"),
      IF($L9="Prod", "nfs.waunas23.hcscint.net",
            IF($L9= "Test","nfs.twaunas26.hcscint.net",
                        IF($L9 = "DEV", "nfs.dwaunas26.hcscint.net",
                             IF($L9 = "ProdFW", "nfs.pftwnas25prod.hcscint.net",
                                  IF($L9 = "Pod", "nfs.pwaunas25p.hcscint.net", ))))),"")</f>
        <v/>
      </c>
      <c r="U9" s="2173" t="str">
        <f t="shared" ref="U9:U50" si="14">IF($T9&lt;&gt;"",
          IF($T9="nfs.waunas23.hcscint.net",CONCATENATE("ifs/pwauesnas23/prod/nfs",$V9),
               IF($T9="nfs.twaunas26.hcscint.net",CONCATENATE("ifs/pwausnas26/test/nfs",$V9),
                      IF($T9="nfs.dwaunas26.hcscint.net",CONCATENATE("ifs/pwausnas26/dev/nfs",$V9),
                           IF($T9="nfs.pftwnas25prod.hcscint.net",CONCATENATE("ifs/ftwesnas25/prod/nfs",$V9),
                                   IF($T9="nfs.pwaunas25p.hcscint.net",CONCATENATE("ifs/pwauesnas25/prod/nfs",$V9, )))))), "")</f>
        <v/>
      </c>
      <c r="V9" s="2865"/>
      <c r="W9" s="1827" t="str">
        <f t="shared" ref="W9:W21" si="15">IF(AND($A9&lt;&gt;"", $C9&lt;&gt;"", $P9&lt;&gt;""),CONCATENATE("\\",$P9,"\", $Q9), "")</f>
        <v/>
      </c>
    </row>
    <row r="10" spans="1:23">
      <c r="A10" s="312"/>
      <c r="B10" s="2046" t="str">
        <f t="shared" si="0"/>
        <v/>
      </c>
      <c r="C10" s="818" t="str">
        <f t="shared" si="1"/>
        <v/>
      </c>
      <c r="D10" s="2046" t="str">
        <f t="shared" si="8"/>
        <v/>
      </c>
      <c r="E10" s="2046" t="str">
        <f>IF(A10&lt;&gt;"",VLOOKUP(VLOOKUP(A10,dist_assets,2,FALSE),'Distributed Assets'!$C$7:$F$22,4,FALSE),"")</f>
        <v/>
      </c>
      <c r="F10" s="818" t="str">
        <f>IF($A10&lt;&gt;"",VLOOKUP($A10,IP!$B$4:$N$153,13,FALSE),"")</f>
        <v/>
      </c>
      <c r="G10" s="2047" t="str">
        <f t="shared" si="9"/>
        <v/>
      </c>
      <c r="H10" s="1758" t="str">
        <f t="shared" si="10"/>
        <v/>
      </c>
      <c r="I10" s="2171" t="str">
        <f t="shared" ca="1" si="11"/>
        <v/>
      </c>
      <c r="J10" s="2035"/>
      <c r="K10" s="2034"/>
      <c r="L10" s="2817" t="str">
        <f t="shared" si="3"/>
        <v/>
      </c>
      <c r="M10" s="2048"/>
      <c r="N10" s="1356" t="str">
        <f t="shared" si="4"/>
        <v/>
      </c>
      <c r="O10" s="2298" t="str">
        <f t="shared" si="5"/>
        <v/>
      </c>
      <c r="P10" s="2047" t="str">
        <f t="shared" si="12"/>
        <v/>
      </c>
      <c r="Q10" s="1343"/>
      <c r="R10" s="590" t="str">
        <f t="shared" si="6"/>
        <v/>
      </c>
      <c r="S10" s="590" t="str">
        <f t="shared" si="7"/>
        <v/>
      </c>
      <c r="T10" s="2047" t="str">
        <f t="shared" si="13"/>
        <v/>
      </c>
      <c r="U10" s="2173" t="str">
        <f t="shared" si="14"/>
        <v/>
      </c>
      <c r="V10" s="2865"/>
      <c r="W10" s="1827" t="str">
        <f t="shared" si="15"/>
        <v/>
      </c>
    </row>
    <row r="11" spans="1:23">
      <c r="A11" s="312"/>
      <c r="B11" s="2046" t="str">
        <f t="shared" si="0"/>
        <v/>
      </c>
      <c r="C11" s="818" t="str">
        <f t="shared" si="1"/>
        <v/>
      </c>
      <c r="D11" s="2046" t="str">
        <f t="shared" si="8"/>
        <v/>
      </c>
      <c r="E11" s="2046" t="str">
        <f>IF(A11&lt;&gt;"",VLOOKUP(VLOOKUP(A11,dist_assets,2,FALSE),'Distributed Assets'!$C$7:$F$22,4,FALSE),"")</f>
        <v/>
      </c>
      <c r="F11" s="818" t="str">
        <f>IF($A11&lt;&gt;"",VLOOKUP($A11,IP!$B$4:$N$153,13,FALSE),"")</f>
        <v/>
      </c>
      <c r="G11" s="2047" t="str">
        <f t="shared" si="9"/>
        <v/>
      </c>
      <c r="H11" s="1758" t="str">
        <f t="shared" si="10"/>
        <v/>
      </c>
      <c r="I11" s="2171" t="str">
        <f t="shared" ca="1" si="11"/>
        <v/>
      </c>
      <c r="J11" s="2035"/>
      <c r="K11" s="2034"/>
      <c r="L11" s="2817" t="str">
        <f t="shared" si="3"/>
        <v/>
      </c>
      <c r="M11" s="2048"/>
      <c r="N11" s="1356" t="str">
        <f t="shared" si="4"/>
        <v/>
      </c>
      <c r="O11" s="2298" t="str">
        <f t="shared" si="5"/>
        <v/>
      </c>
      <c r="P11" s="2047" t="str">
        <f t="shared" si="12"/>
        <v/>
      </c>
      <c r="Q11" s="1343"/>
      <c r="R11" s="590" t="str">
        <f t="shared" si="6"/>
        <v/>
      </c>
      <c r="S11" s="590" t="str">
        <f t="shared" si="7"/>
        <v/>
      </c>
      <c r="T11" s="2047" t="str">
        <f t="shared" si="13"/>
        <v/>
      </c>
      <c r="U11" s="2173" t="str">
        <f t="shared" si="14"/>
        <v/>
      </c>
      <c r="V11" s="2865"/>
      <c r="W11" s="1827" t="str">
        <f t="shared" si="15"/>
        <v/>
      </c>
    </row>
    <row r="12" spans="1:23">
      <c r="A12" s="312"/>
      <c r="B12" s="2046" t="str">
        <f t="shared" si="0"/>
        <v/>
      </c>
      <c r="C12" s="818" t="str">
        <f t="shared" si="1"/>
        <v/>
      </c>
      <c r="D12" s="2046" t="str">
        <f t="shared" si="8"/>
        <v/>
      </c>
      <c r="E12" s="2046" t="str">
        <f>IF(A12&lt;&gt;"",VLOOKUP(VLOOKUP(A12,dist_assets,2,FALSE),'Distributed Assets'!$C$7:$F$22,4,FALSE),"")</f>
        <v/>
      </c>
      <c r="F12" s="818" t="str">
        <f>IF($A12&lt;&gt;"",VLOOKUP($A12,IP!$B$4:$N$153,13,FALSE),"")</f>
        <v/>
      </c>
      <c r="G12" s="2047" t="str">
        <f t="shared" si="9"/>
        <v/>
      </c>
      <c r="H12" s="1758" t="str">
        <f t="shared" si="10"/>
        <v/>
      </c>
      <c r="I12" s="2171" t="str">
        <f t="shared" ca="1" si="11"/>
        <v/>
      </c>
      <c r="J12" s="2035"/>
      <c r="K12" s="2034"/>
      <c r="L12" s="2817" t="str">
        <f t="shared" si="3"/>
        <v/>
      </c>
      <c r="M12" s="2048"/>
      <c r="N12" s="1356" t="str">
        <f t="shared" si="4"/>
        <v/>
      </c>
      <c r="O12" s="2298" t="str">
        <f t="shared" si="5"/>
        <v/>
      </c>
      <c r="P12" s="2047" t="str">
        <f t="shared" si="12"/>
        <v/>
      </c>
      <c r="Q12" s="1343"/>
      <c r="R12" s="590" t="str">
        <f t="shared" si="6"/>
        <v/>
      </c>
      <c r="S12" s="590" t="str">
        <f t="shared" si="7"/>
        <v/>
      </c>
      <c r="T12" s="2047" t="str">
        <f t="shared" si="13"/>
        <v/>
      </c>
      <c r="U12" s="2173" t="str">
        <f t="shared" si="14"/>
        <v/>
      </c>
      <c r="V12" s="2865"/>
      <c r="W12" s="1827" t="str">
        <f t="shared" si="15"/>
        <v/>
      </c>
    </row>
    <row r="13" spans="1:23">
      <c r="A13" s="312"/>
      <c r="B13" s="2046" t="str">
        <f t="shared" si="0"/>
        <v/>
      </c>
      <c r="C13" s="818" t="str">
        <f t="shared" si="1"/>
        <v/>
      </c>
      <c r="D13" s="2046" t="str">
        <f t="shared" si="8"/>
        <v/>
      </c>
      <c r="E13" s="2046" t="str">
        <f>IF(A13&lt;&gt;"",VLOOKUP(VLOOKUP(A13,dist_assets,2,FALSE),'Distributed Assets'!$C$7:$F$22,4,FALSE),"")</f>
        <v/>
      </c>
      <c r="F13" s="818" t="str">
        <f>IF($A13&lt;&gt;"",VLOOKUP($A13,IP!$B$4:$N$153,13,FALSE),"")</f>
        <v/>
      </c>
      <c r="G13" s="2047" t="str">
        <f t="shared" si="9"/>
        <v/>
      </c>
      <c r="H13" s="1758" t="str">
        <f t="shared" si="10"/>
        <v/>
      </c>
      <c r="I13" s="2171" t="str">
        <f t="shared" ca="1" si="11"/>
        <v/>
      </c>
      <c r="J13" s="2035"/>
      <c r="K13" s="2034"/>
      <c r="L13" s="2817" t="str">
        <f t="shared" si="3"/>
        <v/>
      </c>
      <c r="M13" s="2048"/>
      <c r="N13" s="1356" t="str">
        <f t="shared" si="4"/>
        <v/>
      </c>
      <c r="O13" s="2298" t="str">
        <f t="shared" si="5"/>
        <v/>
      </c>
      <c r="P13" s="2047" t="str">
        <f t="shared" si="12"/>
        <v/>
      </c>
      <c r="Q13" s="1343"/>
      <c r="R13" s="590" t="str">
        <f t="shared" si="6"/>
        <v/>
      </c>
      <c r="S13" s="590" t="str">
        <f t="shared" si="7"/>
        <v/>
      </c>
      <c r="T13" s="2047" t="str">
        <f t="shared" si="13"/>
        <v/>
      </c>
      <c r="U13" s="2173" t="str">
        <f t="shared" si="14"/>
        <v/>
      </c>
      <c r="V13" s="2865"/>
      <c r="W13" s="1827" t="str">
        <f t="shared" si="15"/>
        <v/>
      </c>
    </row>
    <row r="14" spans="1:23">
      <c r="A14" s="312"/>
      <c r="B14" s="2046" t="str">
        <f t="shared" si="0"/>
        <v/>
      </c>
      <c r="C14" s="818" t="str">
        <f t="shared" si="1"/>
        <v/>
      </c>
      <c r="D14" s="2046" t="str">
        <f t="shared" si="8"/>
        <v/>
      </c>
      <c r="E14" s="2046" t="str">
        <f>IF(A14&lt;&gt;"",VLOOKUP(VLOOKUP(A14,dist_assets,2,FALSE),'Distributed Assets'!$C$7:$F$22,4,FALSE),"")</f>
        <v/>
      </c>
      <c r="F14" s="818" t="str">
        <f>IF($A14&lt;&gt;"",VLOOKUP($A14,IP!$B$4:$N$153,13,FALSE),"")</f>
        <v/>
      </c>
      <c r="G14" s="2047" t="str">
        <f t="shared" si="9"/>
        <v/>
      </c>
      <c r="H14" s="1758" t="str">
        <f t="shared" si="10"/>
        <v/>
      </c>
      <c r="I14" s="2171" t="str">
        <f t="shared" ca="1" si="11"/>
        <v/>
      </c>
      <c r="J14" s="2035"/>
      <c r="K14" s="2034"/>
      <c r="L14" s="2817" t="str">
        <f t="shared" si="3"/>
        <v/>
      </c>
      <c r="M14" s="2048"/>
      <c r="N14" s="1356" t="str">
        <f t="shared" si="4"/>
        <v/>
      </c>
      <c r="O14" s="2298" t="str">
        <f t="shared" si="5"/>
        <v/>
      </c>
      <c r="P14" s="2047" t="str">
        <f t="shared" si="12"/>
        <v/>
      </c>
      <c r="Q14" s="1343"/>
      <c r="R14" s="590" t="str">
        <f t="shared" si="6"/>
        <v/>
      </c>
      <c r="S14" s="590" t="str">
        <f t="shared" si="7"/>
        <v/>
      </c>
      <c r="T14" s="2047" t="str">
        <f t="shared" si="13"/>
        <v/>
      </c>
      <c r="U14" s="2173" t="str">
        <f t="shared" si="14"/>
        <v/>
      </c>
      <c r="V14" s="2865"/>
      <c r="W14" s="1827" t="str">
        <f t="shared" si="15"/>
        <v/>
      </c>
    </row>
    <row r="15" spans="1:23">
      <c r="A15" s="312"/>
      <c r="B15" s="2046" t="str">
        <f t="shared" si="0"/>
        <v/>
      </c>
      <c r="C15" s="818" t="str">
        <f t="shared" si="1"/>
        <v/>
      </c>
      <c r="D15" s="2046" t="str">
        <f t="shared" si="8"/>
        <v/>
      </c>
      <c r="E15" s="2046" t="str">
        <f>IF(A15&lt;&gt;"",VLOOKUP(VLOOKUP(A15,dist_assets,2,FALSE),'Distributed Assets'!$C$7:$F$22,4,FALSE),"")</f>
        <v/>
      </c>
      <c r="F15" s="818" t="str">
        <f>IF($A15&lt;&gt;"",VLOOKUP($A15,IP!$B$4:$N$153,13,FALSE),"")</f>
        <v/>
      </c>
      <c r="G15" s="2047" t="str">
        <f t="shared" si="9"/>
        <v/>
      </c>
      <c r="H15" s="1758" t="str">
        <f t="shared" si="10"/>
        <v/>
      </c>
      <c r="I15" s="2171" t="str">
        <f t="shared" ca="1" si="11"/>
        <v/>
      </c>
      <c r="J15" s="2035"/>
      <c r="K15" s="2034"/>
      <c r="L15" s="2817" t="str">
        <f t="shared" si="3"/>
        <v/>
      </c>
      <c r="M15" s="2048"/>
      <c r="N15" s="1356" t="str">
        <f t="shared" si="4"/>
        <v/>
      </c>
      <c r="O15" s="2298" t="str">
        <f t="shared" si="5"/>
        <v/>
      </c>
      <c r="P15" s="2047" t="str">
        <f t="shared" si="12"/>
        <v/>
      </c>
      <c r="Q15" s="1343"/>
      <c r="R15" s="590" t="str">
        <f t="shared" si="6"/>
        <v/>
      </c>
      <c r="S15" s="590" t="str">
        <f t="shared" si="7"/>
        <v/>
      </c>
      <c r="T15" s="2047" t="str">
        <f t="shared" si="13"/>
        <v/>
      </c>
      <c r="U15" s="2173" t="str">
        <f t="shared" si="14"/>
        <v/>
      </c>
      <c r="V15" s="2865"/>
      <c r="W15" s="1827" t="str">
        <f t="shared" si="15"/>
        <v/>
      </c>
    </row>
    <row r="16" spans="1:23">
      <c r="A16" s="312"/>
      <c r="B16" s="2046" t="str">
        <f t="shared" si="0"/>
        <v/>
      </c>
      <c r="C16" s="818" t="str">
        <f t="shared" si="1"/>
        <v/>
      </c>
      <c r="D16" s="2046" t="str">
        <f t="shared" si="8"/>
        <v/>
      </c>
      <c r="E16" s="2046" t="str">
        <f>IF(A16&lt;&gt;"",VLOOKUP(VLOOKUP(A16,dist_assets,2,FALSE),'Distributed Assets'!$C$7:$F$22,4,FALSE),"")</f>
        <v/>
      </c>
      <c r="F16" s="818" t="str">
        <f>IF($A16&lt;&gt;"",VLOOKUP($A16,IP!$B$4:$N$153,13,FALSE),"")</f>
        <v/>
      </c>
      <c r="G16" s="2047" t="str">
        <f t="shared" si="9"/>
        <v/>
      </c>
      <c r="H16" s="1758" t="str">
        <f t="shared" si="10"/>
        <v/>
      </c>
      <c r="I16" s="2171" t="str">
        <f t="shared" ca="1" si="11"/>
        <v/>
      </c>
      <c r="J16" s="2035"/>
      <c r="K16" s="2034"/>
      <c r="L16" s="2817" t="str">
        <f t="shared" si="3"/>
        <v/>
      </c>
      <c r="M16" s="2048"/>
      <c r="N16" s="1356" t="str">
        <f t="shared" si="4"/>
        <v/>
      </c>
      <c r="O16" s="2298" t="str">
        <f t="shared" si="5"/>
        <v/>
      </c>
      <c r="P16" s="2047" t="str">
        <f t="shared" si="12"/>
        <v/>
      </c>
      <c r="Q16" s="1343"/>
      <c r="R16" s="590" t="str">
        <f t="shared" si="6"/>
        <v/>
      </c>
      <c r="S16" s="590" t="str">
        <f t="shared" si="7"/>
        <v/>
      </c>
      <c r="T16" s="2047" t="str">
        <f t="shared" si="13"/>
        <v/>
      </c>
      <c r="U16" s="2173" t="str">
        <f t="shared" si="14"/>
        <v/>
      </c>
      <c r="V16" s="2865"/>
      <c r="W16" s="1827" t="str">
        <f t="shared" si="15"/>
        <v/>
      </c>
    </row>
    <row r="17" spans="1:23">
      <c r="A17" s="312"/>
      <c r="B17" s="2046" t="str">
        <f t="shared" si="0"/>
        <v/>
      </c>
      <c r="C17" s="818" t="str">
        <f t="shared" si="1"/>
        <v/>
      </c>
      <c r="D17" s="2046" t="str">
        <f t="shared" si="8"/>
        <v/>
      </c>
      <c r="E17" s="2046" t="str">
        <f>IF(A17&lt;&gt;"",VLOOKUP(VLOOKUP(A17,dist_assets,2,FALSE),'Distributed Assets'!$C$7:$F$22,4,FALSE),"")</f>
        <v/>
      </c>
      <c r="F17" s="818" t="str">
        <f>IF($A17&lt;&gt;"",VLOOKUP($A17,IP!$B$4:$N$153,13,FALSE),"")</f>
        <v/>
      </c>
      <c r="G17" s="2047" t="str">
        <f t="shared" si="9"/>
        <v/>
      </c>
      <c r="H17" s="1758" t="str">
        <f t="shared" si="10"/>
        <v/>
      </c>
      <c r="I17" s="2171" t="str">
        <f t="shared" ca="1" si="11"/>
        <v/>
      </c>
      <c r="J17" s="2035"/>
      <c r="K17" s="2034"/>
      <c r="L17" s="2817" t="str">
        <f t="shared" si="3"/>
        <v/>
      </c>
      <c r="M17" s="2048"/>
      <c r="N17" s="1356" t="str">
        <f t="shared" si="4"/>
        <v/>
      </c>
      <c r="O17" s="2298" t="str">
        <f t="shared" si="5"/>
        <v/>
      </c>
      <c r="P17" s="2047" t="str">
        <f t="shared" si="12"/>
        <v/>
      </c>
      <c r="Q17" s="1343"/>
      <c r="R17" s="590" t="str">
        <f t="shared" si="6"/>
        <v/>
      </c>
      <c r="S17" s="590" t="str">
        <f t="shared" si="7"/>
        <v/>
      </c>
      <c r="T17" s="2047" t="str">
        <f t="shared" si="13"/>
        <v/>
      </c>
      <c r="U17" s="2173" t="str">
        <f t="shared" si="14"/>
        <v/>
      </c>
      <c r="V17" s="2865"/>
      <c r="W17" s="1827" t="str">
        <f t="shared" si="15"/>
        <v/>
      </c>
    </row>
    <row r="18" spans="1:23">
      <c r="A18" s="312"/>
      <c r="B18" s="2046" t="str">
        <f t="shared" si="0"/>
        <v/>
      </c>
      <c r="C18" s="818" t="str">
        <f t="shared" si="1"/>
        <v/>
      </c>
      <c r="D18" s="2046" t="str">
        <f t="shared" si="8"/>
        <v/>
      </c>
      <c r="E18" s="2046" t="str">
        <f>IF(A18&lt;&gt;"",VLOOKUP(VLOOKUP(A18,dist_assets,2,FALSE),'Distributed Assets'!$C$7:$F$22,4,FALSE),"")</f>
        <v/>
      </c>
      <c r="F18" s="818" t="str">
        <f>IF($A18&lt;&gt;"",VLOOKUP($A18,IP!$B$4:$N$153,13,FALSE),"")</f>
        <v/>
      </c>
      <c r="G18" s="2047" t="str">
        <f t="shared" si="9"/>
        <v/>
      </c>
      <c r="H18" s="1758" t="str">
        <f t="shared" si="10"/>
        <v/>
      </c>
      <c r="I18" s="2171" t="str">
        <f t="shared" ca="1" si="11"/>
        <v/>
      </c>
      <c r="J18" s="2035"/>
      <c r="K18" s="2034"/>
      <c r="L18" s="2817" t="str">
        <f t="shared" si="3"/>
        <v/>
      </c>
      <c r="M18" s="2048"/>
      <c r="N18" s="1356" t="str">
        <f t="shared" si="4"/>
        <v/>
      </c>
      <c r="O18" s="2298" t="str">
        <f t="shared" si="5"/>
        <v/>
      </c>
      <c r="P18" s="2047" t="str">
        <f t="shared" si="12"/>
        <v/>
      </c>
      <c r="Q18" s="1343"/>
      <c r="R18" s="590" t="str">
        <f t="shared" si="6"/>
        <v/>
      </c>
      <c r="S18" s="590" t="str">
        <f t="shared" si="7"/>
        <v/>
      </c>
      <c r="T18" s="2047" t="str">
        <f t="shared" si="13"/>
        <v/>
      </c>
      <c r="U18" s="2173" t="str">
        <f t="shared" si="14"/>
        <v/>
      </c>
      <c r="V18" s="2865"/>
      <c r="W18" s="1827" t="str">
        <f t="shared" si="15"/>
        <v/>
      </c>
    </row>
    <row r="19" spans="1:23">
      <c r="A19" s="312"/>
      <c r="B19" s="2046" t="str">
        <f t="shared" si="0"/>
        <v/>
      </c>
      <c r="C19" s="818" t="str">
        <f t="shared" si="1"/>
        <v/>
      </c>
      <c r="D19" s="2046" t="str">
        <f t="shared" si="8"/>
        <v/>
      </c>
      <c r="E19" s="2046" t="str">
        <f>IF(A19&lt;&gt;"",VLOOKUP(VLOOKUP(A19,dist_assets,2,FALSE),'Distributed Assets'!$C$7:$F$22,4,FALSE),"")</f>
        <v/>
      </c>
      <c r="F19" s="818" t="str">
        <f>IF($A19&lt;&gt;"",VLOOKUP($A19,IP!$B$4:$N$153,13,FALSE),"")</f>
        <v/>
      </c>
      <c r="G19" s="2047" t="str">
        <f t="shared" si="9"/>
        <v/>
      </c>
      <c r="H19" s="1758" t="str">
        <f t="shared" si="10"/>
        <v/>
      </c>
      <c r="I19" s="2171" t="str">
        <f t="shared" ca="1" si="11"/>
        <v/>
      </c>
      <c r="J19" s="2035"/>
      <c r="K19" s="2034"/>
      <c r="L19" s="2817" t="str">
        <f t="shared" si="3"/>
        <v/>
      </c>
      <c r="M19" s="2048"/>
      <c r="N19" s="1356" t="str">
        <f t="shared" si="4"/>
        <v/>
      </c>
      <c r="O19" s="2298" t="str">
        <f t="shared" si="5"/>
        <v/>
      </c>
      <c r="P19" s="2047" t="str">
        <f t="shared" si="12"/>
        <v/>
      </c>
      <c r="Q19" s="1343"/>
      <c r="R19" s="590" t="str">
        <f t="shared" si="6"/>
        <v/>
      </c>
      <c r="S19" s="590" t="str">
        <f t="shared" si="7"/>
        <v/>
      </c>
      <c r="T19" s="2047" t="str">
        <f t="shared" si="13"/>
        <v/>
      </c>
      <c r="U19" s="2173" t="str">
        <f t="shared" si="14"/>
        <v/>
      </c>
      <c r="V19" s="2865"/>
      <c r="W19" s="1827" t="str">
        <f t="shared" si="15"/>
        <v/>
      </c>
    </row>
    <row r="20" spans="1:23">
      <c r="A20" s="312"/>
      <c r="B20" s="2046" t="str">
        <f t="shared" si="0"/>
        <v/>
      </c>
      <c r="C20" s="818" t="str">
        <f t="shared" si="1"/>
        <v/>
      </c>
      <c r="D20" s="2046" t="str">
        <f t="shared" si="8"/>
        <v/>
      </c>
      <c r="E20" s="2046" t="str">
        <f>IF(A20&lt;&gt;"",VLOOKUP(VLOOKUP(A20,dist_assets,2,FALSE),'Distributed Assets'!$C$7:$F$22,4,FALSE),"")</f>
        <v/>
      </c>
      <c r="F20" s="818" t="str">
        <f>IF($A20&lt;&gt;"",VLOOKUP($A20,IP!$B$4:$N$153,13,FALSE),"")</f>
        <v/>
      </c>
      <c r="G20" s="2047" t="str">
        <f t="shared" si="9"/>
        <v/>
      </c>
      <c r="H20" s="1758" t="str">
        <f t="shared" si="10"/>
        <v/>
      </c>
      <c r="I20" s="2171" t="str">
        <f t="shared" ca="1" si="11"/>
        <v/>
      </c>
      <c r="J20" s="2035"/>
      <c r="K20" s="2034"/>
      <c r="L20" s="2817" t="str">
        <f t="shared" si="3"/>
        <v/>
      </c>
      <c r="M20" s="2048"/>
      <c r="N20" s="1356" t="str">
        <f t="shared" si="4"/>
        <v/>
      </c>
      <c r="O20" s="2298" t="str">
        <f t="shared" si="5"/>
        <v/>
      </c>
      <c r="P20" s="2047" t="str">
        <f t="shared" si="12"/>
        <v/>
      </c>
      <c r="Q20" s="1343"/>
      <c r="R20" s="590" t="str">
        <f t="shared" si="6"/>
        <v/>
      </c>
      <c r="S20" s="590" t="str">
        <f t="shared" si="7"/>
        <v/>
      </c>
      <c r="T20" s="2047" t="str">
        <f t="shared" si="13"/>
        <v/>
      </c>
      <c r="U20" s="2173" t="str">
        <f t="shared" si="14"/>
        <v/>
      </c>
      <c r="V20" s="2865"/>
      <c r="W20" s="1827" t="str">
        <f t="shared" si="15"/>
        <v/>
      </c>
    </row>
    <row r="21" spans="1:23">
      <c r="A21" s="312"/>
      <c r="B21" s="2046" t="str">
        <f t="shared" si="0"/>
        <v/>
      </c>
      <c r="C21" s="818" t="str">
        <f t="shared" si="1"/>
        <v/>
      </c>
      <c r="D21" s="2046" t="str">
        <f t="shared" si="8"/>
        <v/>
      </c>
      <c r="E21" s="2046" t="str">
        <f>IF(A21&lt;&gt;"",VLOOKUP(VLOOKUP(A21,dist_assets,2,FALSE),'Distributed Assets'!$C$7:$F$22,4,FALSE),"")</f>
        <v/>
      </c>
      <c r="F21" s="818" t="str">
        <f>IF($A21&lt;&gt;"",VLOOKUP($A21,IP!$B$4:$N$153,13,FALSE),"")</f>
        <v/>
      </c>
      <c r="G21" s="2047" t="str">
        <f t="shared" si="9"/>
        <v/>
      </c>
      <c r="H21" s="1758" t="str">
        <f t="shared" si="10"/>
        <v/>
      </c>
      <c r="I21" s="2171" t="str">
        <f t="shared" ca="1" si="11"/>
        <v/>
      </c>
      <c r="J21" s="2035"/>
      <c r="K21" s="2034"/>
      <c r="L21" s="2817" t="str">
        <f t="shared" si="3"/>
        <v/>
      </c>
      <c r="M21" s="2048"/>
      <c r="N21" s="1356" t="str">
        <f t="shared" si="4"/>
        <v/>
      </c>
      <c r="O21" s="2298" t="str">
        <f t="shared" si="5"/>
        <v/>
      </c>
      <c r="P21" s="2047" t="str">
        <f t="shared" si="12"/>
        <v/>
      </c>
      <c r="Q21" s="1343"/>
      <c r="R21" s="590" t="str">
        <f t="shared" si="6"/>
        <v/>
      </c>
      <c r="S21" s="590" t="str">
        <f t="shared" si="7"/>
        <v/>
      </c>
      <c r="T21" s="2047" t="str">
        <f t="shared" si="13"/>
        <v/>
      </c>
      <c r="U21" s="2173" t="str">
        <f t="shared" si="14"/>
        <v/>
      </c>
      <c r="V21" s="2865"/>
      <c r="W21" s="1827" t="str">
        <f t="shared" si="15"/>
        <v/>
      </c>
    </row>
    <row r="22" spans="1:23">
      <c r="A22" s="312"/>
      <c r="B22" s="2046" t="str">
        <f t="shared" si="0"/>
        <v/>
      </c>
      <c r="C22" s="818" t="str">
        <f t="shared" si="1"/>
        <v/>
      </c>
      <c r="D22" s="2046" t="str">
        <f t="shared" si="8"/>
        <v/>
      </c>
      <c r="E22" s="2046" t="str">
        <f>IF(A22&lt;&gt;"",VLOOKUP(VLOOKUP(A22,dist_assets,2,FALSE),'Distributed Assets'!$C$7:$F$22,4,FALSE),"")</f>
        <v/>
      </c>
      <c r="F22" s="818" t="str">
        <f>IF($A22&lt;&gt;"",VLOOKUP($A22,IP!$B$4:$N$153,13,FALSE),"")</f>
        <v/>
      </c>
      <c r="G22" s="2047" t="str">
        <f t="shared" si="9"/>
        <v/>
      </c>
      <c r="H22" s="1758" t="str">
        <f t="shared" si="10"/>
        <v/>
      </c>
      <c r="I22" s="2171" t="str">
        <f t="shared" ca="1" si="11"/>
        <v/>
      </c>
      <c r="J22" s="2035"/>
      <c r="K22" s="2034"/>
      <c r="L22" s="2817" t="str">
        <f t="shared" si="3"/>
        <v/>
      </c>
      <c r="M22" s="2048"/>
      <c r="N22" s="1356" t="str">
        <f t="shared" si="4"/>
        <v/>
      </c>
      <c r="O22" s="2298" t="str">
        <f t="shared" si="5"/>
        <v/>
      </c>
      <c r="P22" s="2047" t="str">
        <f t="shared" si="12"/>
        <v/>
      </c>
      <c r="Q22" s="1343"/>
      <c r="R22" s="590" t="str">
        <f t="shared" si="6"/>
        <v/>
      </c>
      <c r="S22" s="590" t="str">
        <f t="shared" si="7"/>
        <v/>
      </c>
      <c r="T22" s="2047" t="str">
        <f t="shared" si="13"/>
        <v/>
      </c>
      <c r="U22" s="2173" t="str">
        <f t="shared" si="14"/>
        <v/>
      </c>
      <c r="V22" s="2865"/>
      <c r="W22" s="1827"/>
    </row>
    <row r="23" spans="1:23">
      <c r="A23" s="312"/>
      <c r="B23" s="2046" t="str">
        <f t="shared" si="0"/>
        <v/>
      </c>
      <c r="C23" s="818" t="str">
        <f t="shared" si="1"/>
        <v/>
      </c>
      <c r="D23" s="2046" t="str">
        <f t="shared" si="8"/>
        <v/>
      </c>
      <c r="E23" s="2046" t="str">
        <f>IF(A23&lt;&gt;"",VLOOKUP(VLOOKUP(A23,dist_assets,2,FALSE),'Distributed Assets'!$C$7:$F$22,4,FALSE),"")</f>
        <v/>
      </c>
      <c r="F23" s="818" t="str">
        <f>IF($A23&lt;&gt;"",VLOOKUP($A23,IP!$B$4:$N$153,13,FALSE),"")</f>
        <v/>
      </c>
      <c r="G23" s="2047" t="str">
        <f t="shared" si="9"/>
        <v/>
      </c>
      <c r="H23" s="1758" t="str">
        <f t="shared" si="10"/>
        <v/>
      </c>
      <c r="I23" s="2171" t="str">
        <f t="shared" ca="1" si="11"/>
        <v/>
      </c>
      <c r="J23" s="2035"/>
      <c r="K23" s="2034"/>
      <c r="L23" s="2817" t="str">
        <f t="shared" si="3"/>
        <v/>
      </c>
      <c r="M23" s="2048"/>
      <c r="N23" s="1356" t="str">
        <f t="shared" si="4"/>
        <v/>
      </c>
      <c r="O23" s="2298" t="str">
        <f t="shared" si="5"/>
        <v/>
      </c>
      <c r="P23" s="2047" t="str">
        <f t="shared" si="12"/>
        <v/>
      </c>
      <c r="Q23" s="1343"/>
      <c r="R23" s="590" t="str">
        <f t="shared" si="6"/>
        <v/>
      </c>
      <c r="S23" s="590" t="str">
        <f t="shared" si="7"/>
        <v/>
      </c>
      <c r="T23" s="2047" t="str">
        <f t="shared" si="13"/>
        <v/>
      </c>
      <c r="U23" s="2173" t="str">
        <f t="shared" si="14"/>
        <v/>
      </c>
      <c r="V23" s="2865"/>
      <c r="W23" s="1827"/>
    </row>
    <row r="24" spans="1:23">
      <c r="A24" s="312"/>
      <c r="B24" s="2046" t="str">
        <f t="shared" si="0"/>
        <v/>
      </c>
      <c r="C24" s="818" t="str">
        <f t="shared" si="1"/>
        <v/>
      </c>
      <c r="D24" s="2046" t="str">
        <f t="shared" si="8"/>
        <v/>
      </c>
      <c r="E24" s="2046" t="str">
        <f>IF(A24&lt;&gt;"",VLOOKUP(VLOOKUP(A24,dist_assets,2,FALSE),'Distributed Assets'!$C$7:$F$22,4,FALSE),"")</f>
        <v/>
      </c>
      <c r="F24" s="818" t="str">
        <f>IF($A24&lt;&gt;"",VLOOKUP($A24,IP!$B$4:$N$153,13,FALSE),"")</f>
        <v/>
      </c>
      <c r="G24" s="2047" t="str">
        <f t="shared" si="9"/>
        <v/>
      </c>
      <c r="H24" s="1758" t="str">
        <f t="shared" si="10"/>
        <v/>
      </c>
      <c r="I24" s="2171" t="str">
        <f t="shared" ca="1" si="11"/>
        <v/>
      </c>
      <c r="J24" s="2035"/>
      <c r="K24" s="2034"/>
      <c r="L24" s="2817" t="str">
        <f t="shared" si="3"/>
        <v/>
      </c>
      <c r="M24" s="2048"/>
      <c r="N24" s="1356" t="str">
        <f t="shared" si="4"/>
        <v/>
      </c>
      <c r="O24" s="2298" t="str">
        <f t="shared" si="5"/>
        <v/>
      </c>
      <c r="P24" s="2047" t="str">
        <f t="shared" si="12"/>
        <v/>
      </c>
      <c r="Q24" s="1343"/>
      <c r="R24" s="590" t="str">
        <f t="shared" si="6"/>
        <v/>
      </c>
      <c r="S24" s="590" t="str">
        <f t="shared" si="7"/>
        <v/>
      </c>
      <c r="T24" s="2047" t="str">
        <f t="shared" si="13"/>
        <v/>
      </c>
      <c r="U24" s="2173" t="str">
        <f t="shared" si="14"/>
        <v/>
      </c>
      <c r="V24" s="2865"/>
      <c r="W24" s="1827"/>
    </row>
    <row r="25" spans="1:23">
      <c r="A25" s="312"/>
      <c r="B25" s="2046" t="str">
        <f t="shared" si="0"/>
        <v/>
      </c>
      <c r="C25" s="818" t="str">
        <f t="shared" si="1"/>
        <v/>
      </c>
      <c r="D25" s="2046" t="str">
        <f t="shared" si="8"/>
        <v/>
      </c>
      <c r="E25" s="2046" t="str">
        <f>IF(A25&lt;&gt;"",VLOOKUP(VLOOKUP(A25,dist_assets,2,FALSE),'Distributed Assets'!$C$7:$F$22,4,FALSE),"")</f>
        <v/>
      </c>
      <c r="F25" s="818" t="str">
        <f>IF($A25&lt;&gt;"",VLOOKUP($A25,IP!$B$4:$N$153,13,FALSE),"")</f>
        <v/>
      </c>
      <c r="G25" s="2047" t="str">
        <f t="shared" si="9"/>
        <v/>
      </c>
      <c r="H25" s="1758" t="str">
        <f t="shared" si="10"/>
        <v/>
      </c>
      <c r="I25" s="2171" t="str">
        <f t="shared" ca="1" si="11"/>
        <v/>
      </c>
      <c r="J25" s="2035"/>
      <c r="K25" s="2034"/>
      <c r="L25" s="2817" t="str">
        <f t="shared" si="3"/>
        <v/>
      </c>
      <c r="M25" s="2048"/>
      <c r="N25" s="1356" t="str">
        <f t="shared" si="4"/>
        <v/>
      </c>
      <c r="O25" s="2298" t="str">
        <f t="shared" si="5"/>
        <v/>
      </c>
      <c r="P25" s="2047" t="str">
        <f t="shared" si="12"/>
        <v/>
      </c>
      <c r="Q25" s="1343"/>
      <c r="R25" s="590" t="str">
        <f t="shared" si="6"/>
        <v/>
      </c>
      <c r="S25" s="590" t="str">
        <f t="shared" si="7"/>
        <v/>
      </c>
      <c r="T25" s="2047" t="str">
        <f t="shared" si="13"/>
        <v/>
      </c>
      <c r="U25" s="2173" t="str">
        <f t="shared" si="14"/>
        <v/>
      </c>
      <c r="V25" s="2865"/>
      <c r="W25" s="1827"/>
    </row>
    <row r="26" spans="1:23">
      <c r="A26" s="312"/>
      <c r="B26" s="2046" t="str">
        <f t="shared" si="0"/>
        <v/>
      </c>
      <c r="C26" s="818" t="str">
        <f t="shared" si="1"/>
        <v/>
      </c>
      <c r="D26" s="2046" t="str">
        <f t="shared" si="8"/>
        <v/>
      </c>
      <c r="E26" s="2046" t="str">
        <f>IF(A26&lt;&gt;"",VLOOKUP(VLOOKUP(A26,dist_assets,2,FALSE),'Distributed Assets'!$C$7:$F$22,4,FALSE),"")</f>
        <v/>
      </c>
      <c r="F26" s="818" t="str">
        <f>IF($A26&lt;&gt;"",VLOOKUP($A26,IP!$B$4:$N$153,13,FALSE),"")</f>
        <v/>
      </c>
      <c r="G26" s="2047" t="str">
        <f t="shared" si="9"/>
        <v/>
      </c>
      <c r="H26" s="1758" t="str">
        <f t="shared" si="10"/>
        <v/>
      </c>
      <c r="I26" s="2171" t="str">
        <f t="shared" ca="1" si="11"/>
        <v/>
      </c>
      <c r="J26" s="2035"/>
      <c r="K26" s="2034"/>
      <c r="L26" s="2817" t="str">
        <f t="shared" si="3"/>
        <v/>
      </c>
      <c r="M26" s="2048"/>
      <c r="N26" s="1356" t="str">
        <f t="shared" si="4"/>
        <v/>
      </c>
      <c r="O26" s="2298" t="str">
        <f t="shared" si="5"/>
        <v/>
      </c>
      <c r="P26" s="2047" t="str">
        <f t="shared" si="12"/>
        <v/>
      </c>
      <c r="Q26" s="1343"/>
      <c r="R26" s="590" t="str">
        <f t="shared" si="6"/>
        <v/>
      </c>
      <c r="S26" s="590" t="str">
        <f t="shared" si="7"/>
        <v/>
      </c>
      <c r="T26" s="2047" t="str">
        <f t="shared" si="13"/>
        <v/>
      </c>
      <c r="U26" s="2173" t="str">
        <f t="shared" si="14"/>
        <v/>
      </c>
      <c r="V26" s="2865"/>
      <c r="W26" s="1827"/>
    </row>
    <row r="27" spans="1:23">
      <c r="A27" s="312"/>
      <c r="B27" s="2046" t="str">
        <f t="shared" si="0"/>
        <v/>
      </c>
      <c r="C27" s="818" t="str">
        <f t="shared" si="1"/>
        <v/>
      </c>
      <c r="D27" s="2046" t="str">
        <f t="shared" si="8"/>
        <v/>
      </c>
      <c r="E27" s="2046" t="str">
        <f>IF(A27&lt;&gt;"",VLOOKUP(VLOOKUP(A27,dist_assets,2,FALSE),'Distributed Assets'!$C$7:$F$22,4,FALSE),"")</f>
        <v/>
      </c>
      <c r="F27" s="818" t="str">
        <f>IF($A27&lt;&gt;"",VLOOKUP($A27,IP!$B$4:$N$153,13,FALSE),"")</f>
        <v/>
      </c>
      <c r="G27" s="2047" t="str">
        <f t="shared" si="9"/>
        <v/>
      </c>
      <c r="H27" s="1758" t="str">
        <f t="shared" si="10"/>
        <v/>
      </c>
      <c r="I27" s="2171" t="str">
        <f t="shared" ca="1" si="11"/>
        <v/>
      </c>
      <c r="J27" s="2035"/>
      <c r="K27" s="2034"/>
      <c r="L27" s="2817" t="str">
        <f t="shared" si="3"/>
        <v/>
      </c>
      <c r="M27" s="2048"/>
      <c r="N27" s="1356" t="str">
        <f t="shared" si="4"/>
        <v/>
      </c>
      <c r="O27" s="2298" t="str">
        <f t="shared" si="5"/>
        <v/>
      </c>
      <c r="P27" s="2047" t="str">
        <f t="shared" si="12"/>
        <v/>
      </c>
      <c r="Q27" s="1343"/>
      <c r="R27" s="590" t="str">
        <f t="shared" si="6"/>
        <v/>
      </c>
      <c r="S27" s="590" t="str">
        <f t="shared" si="7"/>
        <v/>
      </c>
      <c r="T27" s="2047" t="str">
        <f t="shared" si="13"/>
        <v/>
      </c>
      <c r="U27" s="2173" t="str">
        <f t="shared" si="14"/>
        <v/>
      </c>
      <c r="V27" s="2865"/>
      <c r="W27" s="1827"/>
    </row>
    <row r="28" spans="1:23">
      <c r="A28" s="312"/>
      <c r="B28" s="2046" t="str">
        <f t="shared" si="0"/>
        <v/>
      </c>
      <c r="C28" s="818" t="str">
        <f t="shared" si="1"/>
        <v/>
      </c>
      <c r="D28" s="2046" t="str">
        <f t="shared" si="8"/>
        <v/>
      </c>
      <c r="E28" s="2046" t="str">
        <f>IF(A28&lt;&gt;"",VLOOKUP(VLOOKUP(A28,dist_assets,2,FALSE),'Distributed Assets'!$C$7:$F$22,4,FALSE),"")</f>
        <v/>
      </c>
      <c r="F28" s="818" t="str">
        <f>IF($A28&lt;&gt;"",VLOOKUP($A28,IP!$B$4:$N$153,13,FALSE),"")</f>
        <v/>
      </c>
      <c r="G28" s="2047" t="str">
        <f t="shared" si="9"/>
        <v/>
      </c>
      <c r="H28" s="1758" t="str">
        <f t="shared" si="10"/>
        <v/>
      </c>
      <c r="I28" s="2171" t="str">
        <f t="shared" ca="1" si="11"/>
        <v/>
      </c>
      <c r="J28" s="2035"/>
      <c r="K28" s="2034"/>
      <c r="L28" s="2817" t="str">
        <f t="shared" si="3"/>
        <v/>
      </c>
      <c r="M28" s="2048"/>
      <c r="N28" s="1356" t="str">
        <f t="shared" si="4"/>
        <v/>
      </c>
      <c r="O28" s="2298" t="str">
        <f t="shared" si="5"/>
        <v/>
      </c>
      <c r="P28" s="2047" t="str">
        <f t="shared" si="12"/>
        <v/>
      </c>
      <c r="Q28" s="1343"/>
      <c r="R28" s="590" t="str">
        <f t="shared" si="6"/>
        <v/>
      </c>
      <c r="S28" s="590" t="str">
        <f t="shared" si="7"/>
        <v/>
      </c>
      <c r="T28" s="2047" t="str">
        <f t="shared" si="13"/>
        <v/>
      </c>
      <c r="U28" s="2173" t="str">
        <f t="shared" si="14"/>
        <v/>
      </c>
      <c r="V28" s="2865"/>
      <c r="W28" s="1827"/>
    </row>
    <row r="29" spans="1:23">
      <c r="A29" s="312"/>
      <c r="B29" s="2046" t="str">
        <f t="shared" si="0"/>
        <v/>
      </c>
      <c r="C29" s="818" t="str">
        <f t="shared" si="1"/>
        <v/>
      </c>
      <c r="D29" s="2046" t="str">
        <f t="shared" si="8"/>
        <v/>
      </c>
      <c r="E29" s="2046" t="str">
        <f>IF(A29&lt;&gt;"",VLOOKUP(VLOOKUP(A29,dist_assets,2,FALSE),'Distributed Assets'!$C$7:$F$22,4,FALSE),"")</f>
        <v/>
      </c>
      <c r="F29" s="818" t="str">
        <f>IF($A29&lt;&gt;"",VLOOKUP($A29,IP!$B$4:$N$153,13,FALSE),"")</f>
        <v/>
      </c>
      <c r="G29" s="2047" t="str">
        <f t="shared" si="9"/>
        <v/>
      </c>
      <c r="H29" s="1758" t="str">
        <f t="shared" si="10"/>
        <v/>
      </c>
      <c r="I29" s="2171" t="str">
        <f t="shared" ca="1" si="11"/>
        <v/>
      </c>
      <c r="J29" s="2035"/>
      <c r="K29" s="2034"/>
      <c r="L29" s="2817" t="str">
        <f t="shared" si="3"/>
        <v/>
      </c>
      <c r="M29" s="2048"/>
      <c r="N29" s="1356" t="str">
        <f t="shared" si="4"/>
        <v/>
      </c>
      <c r="O29" s="2298" t="str">
        <f t="shared" si="5"/>
        <v/>
      </c>
      <c r="P29" s="2047" t="str">
        <f t="shared" si="12"/>
        <v/>
      </c>
      <c r="Q29" s="1343"/>
      <c r="R29" s="590" t="str">
        <f t="shared" si="6"/>
        <v/>
      </c>
      <c r="S29" s="590" t="str">
        <f t="shared" si="7"/>
        <v/>
      </c>
      <c r="T29" s="2047" t="str">
        <f t="shared" si="13"/>
        <v/>
      </c>
      <c r="U29" s="2173" t="str">
        <f t="shared" si="14"/>
        <v/>
      </c>
      <c r="V29" s="2865"/>
      <c r="W29" s="1827"/>
    </row>
    <row r="30" spans="1:23">
      <c r="A30" s="312"/>
      <c r="B30" s="2046" t="str">
        <f t="shared" si="0"/>
        <v/>
      </c>
      <c r="C30" s="818" t="str">
        <f t="shared" si="1"/>
        <v/>
      </c>
      <c r="D30" s="2046" t="str">
        <f t="shared" si="8"/>
        <v/>
      </c>
      <c r="E30" s="2046" t="str">
        <f>IF(A30&lt;&gt;"",VLOOKUP(VLOOKUP(A30,dist_assets,2,FALSE),'Distributed Assets'!$C$7:$F$22,4,FALSE),"")</f>
        <v/>
      </c>
      <c r="F30" s="818" t="str">
        <f>IF($A30&lt;&gt;"",VLOOKUP($A30,IP!$B$4:$N$153,13,FALSE),"")</f>
        <v/>
      </c>
      <c r="G30" s="2047" t="str">
        <f t="shared" si="9"/>
        <v/>
      </c>
      <c r="H30" s="1758" t="str">
        <f t="shared" si="10"/>
        <v/>
      </c>
      <c r="I30" s="2171" t="str">
        <f t="shared" ca="1" si="11"/>
        <v/>
      </c>
      <c r="J30" s="2035"/>
      <c r="K30" s="2034"/>
      <c r="L30" s="2817" t="str">
        <f t="shared" si="3"/>
        <v/>
      </c>
      <c r="M30" s="2048"/>
      <c r="N30" s="1356" t="str">
        <f t="shared" si="4"/>
        <v/>
      </c>
      <c r="O30" s="2298" t="str">
        <f t="shared" si="5"/>
        <v/>
      </c>
      <c r="P30" s="2047" t="str">
        <f t="shared" si="12"/>
        <v/>
      </c>
      <c r="Q30" s="1343"/>
      <c r="R30" s="590" t="str">
        <f t="shared" si="6"/>
        <v/>
      </c>
      <c r="S30" s="590" t="str">
        <f t="shared" si="7"/>
        <v/>
      </c>
      <c r="T30" s="2047" t="str">
        <f t="shared" si="13"/>
        <v/>
      </c>
      <c r="U30" s="2173" t="str">
        <f t="shared" si="14"/>
        <v/>
      </c>
      <c r="V30" s="2865"/>
      <c r="W30" s="1827"/>
    </row>
    <row r="31" spans="1:23">
      <c r="A31" s="312"/>
      <c r="B31" s="2046" t="str">
        <f t="shared" si="0"/>
        <v/>
      </c>
      <c r="C31" s="818" t="str">
        <f t="shared" si="1"/>
        <v/>
      </c>
      <c r="D31" s="2046" t="str">
        <f t="shared" si="8"/>
        <v/>
      </c>
      <c r="E31" s="2046" t="str">
        <f>IF(A31&lt;&gt;"",VLOOKUP(VLOOKUP(A31,dist_assets,2,FALSE),'Distributed Assets'!$C$7:$F$22,4,FALSE),"")</f>
        <v/>
      </c>
      <c r="F31" s="818" t="str">
        <f>IF($A31&lt;&gt;"",VLOOKUP($A31,IP!$B$4:$N$153,13,FALSE),"")</f>
        <v/>
      </c>
      <c r="G31" s="2047" t="str">
        <f t="shared" si="9"/>
        <v/>
      </c>
      <c r="H31" s="1758" t="str">
        <f t="shared" si="10"/>
        <v/>
      </c>
      <c r="I31" s="2171" t="str">
        <f t="shared" ca="1" si="11"/>
        <v/>
      </c>
      <c r="J31" s="2035"/>
      <c r="K31" s="2034"/>
      <c r="L31" s="2817" t="str">
        <f t="shared" si="3"/>
        <v/>
      </c>
      <c r="M31" s="2048"/>
      <c r="N31" s="1356" t="str">
        <f t="shared" si="4"/>
        <v/>
      </c>
      <c r="O31" s="2298" t="str">
        <f t="shared" si="5"/>
        <v/>
      </c>
      <c r="P31" s="2047" t="str">
        <f t="shared" si="12"/>
        <v/>
      </c>
      <c r="Q31" s="1343"/>
      <c r="R31" s="590" t="str">
        <f t="shared" si="6"/>
        <v/>
      </c>
      <c r="S31" s="590" t="str">
        <f t="shared" si="7"/>
        <v/>
      </c>
      <c r="T31" s="2047" t="str">
        <f t="shared" si="13"/>
        <v/>
      </c>
      <c r="U31" s="2173" t="str">
        <f t="shared" si="14"/>
        <v/>
      </c>
      <c r="V31" s="2865"/>
      <c r="W31" s="1827"/>
    </row>
    <row r="32" spans="1:23">
      <c r="A32" s="312"/>
      <c r="B32" s="2046" t="str">
        <f t="shared" si="0"/>
        <v/>
      </c>
      <c r="C32" s="818" t="str">
        <f t="shared" si="1"/>
        <v/>
      </c>
      <c r="D32" s="2046" t="str">
        <f t="shared" si="8"/>
        <v/>
      </c>
      <c r="E32" s="2046" t="str">
        <f>IF(A32&lt;&gt;"",VLOOKUP(VLOOKUP(A32,dist_assets,2,FALSE),'Distributed Assets'!$C$7:$F$22,4,FALSE),"")</f>
        <v/>
      </c>
      <c r="F32" s="818" t="str">
        <f>IF($A32&lt;&gt;"",VLOOKUP($A32,IP!$B$4:$N$153,13,FALSE),"")</f>
        <v/>
      </c>
      <c r="G32" s="2047" t="str">
        <f t="shared" si="9"/>
        <v/>
      </c>
      <c r="H32" s="1758" t="str">
        <f t="shared" si="10"/>
        <v/>
      </c>
      <c r="I32" s="2171" t="str">
        <f t="shared" ca="1" si="11"/>
        <v/>
      </c>
      <c r="J32" s="2035"/>
      <c r="K32" s="2034"/>
      <c r="L32" s="2817" t="str">
        <f t="shared" si="3"/>
        <v/>
      </c>
      <c r="M32" s="2048"/>
      <c r="N32" s="1356" t="str">
        <f t="shared" si="4"/>
        <v/>
      </c>
      <c r="O32" s="2298" t="str">
        <f t="shared" si="5"/>
        <v/>
      </c>
      <c r="P32" s="2047" t="str">
        <f t="shared" si="12"/>
        <v/>
      </c>
      <c r="Q32" s="1343"/>
      <c r="R32" s="590" t="str">
        <f t="shared" si="6"/>
        <v/>
      </c>
      <c r="S32" s="590" t="str">
        <f t="shared" si="7"/>
        <v/>
      </c>
      <c r="T32" s="2047" t="str">
        <f t="shared" si="13"/>
        <v/>
      </c>
      <c r="U32" s="2173" t="str">
        <f t="shared" si="14"/>
        <v/>
      </c>
      <c r="V32" s="2865"/>
      <c r="W32" s="1827"/>
    </row>
    <row r="33" spans="1:23">
      <c r="A33" s="312"/>
      <c r="B33" s="2046" t="str">
        <f t="shared" si="0"/>
        <v/>
      </c>
      <c r="C33" s="818" t="str">
        <f t="shared" si="1"/>
        <v/>
      </c>
      <c r="D33" s="2046" t="str">
        <f t="shared" si="8"/>
        <v/>
      </c>
      <c r="E33" s="2046" t="str">
        <f>IF(A33&lt;&gt;"",VLOOKUP(VLOOKUP(A33,dist_assets,2,FALSE),'Distributed Assets'!$C$7:$F$22,4,FALSE),"")</f>
        <v/>
      </c>
      <c r="F33" s="818" t="str">
        <f>IF($A33&lt;&gt;"",VLOOKUP($A33,IP!$B$4:$N$153,13,FALSE),"")</f>
        <v/>
      </c>
      <c r="G33" s="2047" t="str">
        <f t="shared" si="9"/>
        <v/>
      </c>
      <c r="H33" s="1758" t="str">
        <f t="shared" si="10"/>
        <v/>
      </c>
      <c r="I33" s="2171" t="str">
        <f t="shared" ca="1" si="11"/>
        <v/>
      </c>
      <c r="J33" s="2035"/>
      <c r="K33" s="2034"/>
      <c r="L33" s="2817" t="str">
        <f t="shared" si="3"/>
        <v/>
      </c>
      <c r="M33" s="2048"/>
      <c r="N33" s="1356" t="str">
        <f t="shared" si="4"/>
        <v/>
      </c>
      <c r="O33" s="2298" t="str">
        <f t="shared" si="5"/>
        <v/>
      </c>
      <c r="P33" s="2047" t="str">
        <f t="shared" si="12"/>
        <v/>
      </c>
      <c r="Q33" s="1343"/>
      <c r="R33" s="590" t="str">
        <f t="shared" si="6"/>
        <v/>
      </c>
      <c r="S33" s="590" t="str">
        <f t="shared" si="7"/>
        <v/>
      </c>
      <c r="T33" s="2047" t="str">
        <f t="shared" si="13"/>
        <v/>
      </c>
      <c r="U33" s="2173" t="str">
        <f t="shared" si="14"/>
        <v/>
      </c>
      <c r="V33" s="2865"/>
      <c r="W33" s="1827"/>
    </row>
    <row r="34" spans="1:23">
      <c r="A34" s="312"/>
      <c r="B34" s="2046" t="str">
        <f t="shared" si="0"/>
        <v/>
      </c>
      <c r="C34" s="818" t="str">
        <f t="shared" si="1"/>
        <v/>
      </c>
      <c r="D34" s="2046" t="str">
        <f t="shared" si="8"/>
        <v/>
      </c>
      <c r="E34" s="2046" t="str">
        <f>IF(A34&lt;&gt;"",VLOOKUP(VLOOKUP(A34,dist_assets,2,FALSE),'Distributed Assets'!$C$7:$F$22,4,FALSE),"")</f>
        <v/>
      </c>
      <c r="F34" s="818" t="str">
        <f>IF($A34&lt;&gt;"",VLOOKUP($A34,IP!$B$4:$N$153,13,FALSE),"")</f>
        <v/>
      </c>
      <c r="G34" s="2047" t="str">
        <f t="shared" si="9"/>
        <v/>
      </c>
      <c r="H34" s="1758" t="str">
        <f t="shared" si="10"/>
        <v/>
      </c>
      <c r="I34" s="2171" t="str">
        <f t="shared" ca="1" si="11"/>
        <v/>
      </c>
      <c r="J34" s="2035"/>
      <c r="K34" s="2034"/>
      <c r="L34" s="2817" t="str">
        <f t="shared" si="3"/>
        <v/>
      </c>
      <c r="M34" s="2048"/>
      <c r="N34" s="1356" t="str">
        <f t="shared" si="4"/>
        <v/>
      </c>
      <c r="O34" s="2298" t="str">
        <f t="shared" si="5"/>
        <v/>
      </c>
      <c r="P34" s="2047" t="str">
        <f t="shared" si="12"/>
        <v/>
      </c>
      <c r="Q34" s="1343"/>
      <c r="R34" s="590" t="str">
        <f t="shared" si="6"/>
        <v/>
      </c>
      <c r="S34" s="590" t="str">
        <f t="shared" si="7"/>
        <v/>
      </c>
      <c r="T34" s="2047" t="str">
        <f t="shared" si="13"/>
        <v/>
      </c>
      <c r="U34" s="2173" t="str">
        <f t="shared" si="14"/>
        <v/>
      </c>
      <c r="V34" s="2865"/>
      <c r="W34" s="1827"/>
    </row>
    <row r="35" spans="1:23">
      <c r="A35" s="312"/>
      <c r="B35" s="2046" t="str">
        <f t="shared" si="0"/>
        <v/>
      </c>
      <c r="C35" s="818" t="str">
        <f t="shared" si="1"/>
        <v/>
      </c>
      <c r="D35" s="2046" t="str">
        <f t="shared" si="8"/>
        <v/>
      </c>
      <c r="E35" s="2046" t="str">
        <f>IF(A35&lt;&gt;"",VLOOKUP(VLOOKUP(A35,dist_assets,2,FALSE),'Distributed Assets'!$C$7:$F$22,4,FALSE),"")</f>
        <v/>
      </c>
      <c r="F35" s="818" t="str">
        <f>IF($A35&lt;&gt;"",VLOOKUP($A35,IP!$B$4:$N$153,13,FALSE),"")</f>
        <v/>
      </c>
      <c r="G35" s="2047" t="str">
        <f t="shared" si="9"/>
        <v/>
      </c>
      <c r="H35" s="1758" t="str">
        <f t="shared" si="10"/>
        <v/>
      </c>
      <c r="I35" s="2171" t="str">
        <f t="shared" ca="1" si="11"/>
        <v/>
      </c>
      <c r="J35" s="2035"/>
      <c r="K35" s="2034"/>
      <c r="L35" s="2817" t="str">
        <f t="shared" si="3"/>
        <v/>
      </c>
      <c r="M35" s="2048"/>
      <c r="N35" s="1356" t="str">
        <f t="shared" si="4"/>
        <v/>
      </c>
      <c r="O35" s="2298" t="str">
        <f t="shared" si="5"/>
        <v/>
      </c>
      <c r="P35" s="2047" t="str">
        <f t="shared" si="12"/>
        <v/>
      </c>
      <c r="Q35" s="1343"/>
      <c r="R35" s="590" t="str">
        <f t="shared" si="6"/>
        <v/>
      </c>
      <c r="S35" s="590" t="str">
        <f t="shared" si="7"/>
        <v/>
      </c>
      <c r="T35" s="2047" t="str">
        <f t="shared" si="13"/>
        <v/>
      </c>
      <c r="U35" s="2173" t="str">
        <f t="shared" si="14"/>
        <v/>
      </c>
      <c r="V35" s="2865"/>
      <c r="W35" s="1827"/>
    </row>
    <row r="36" spans="1:23">
      <c r="A36" s="312"/>
      <c r="B36" s="2046" t="str">
        <f t="shared" si="0"/>
        <v/>
      </c>
      <c r="C36" s="818" t="str">
        <f t="shared" si="1"/>
        <v/>
      </c>
      <c r="D36" s="2046" t="str">
        <f t="shared" si="8"/>
        <v/>
      </c>
      <c r="E36" s="2046" t="str">
        <f>IF(A36&lt;&gt;"",VLOOKUP(VLOOKUP(A36,dist_assets,2,FALSE),'Distributed Assets'!$C$7:$F$22,4,FALSE),"")</f>
        <v/>
      </c>
      <c r="F36" s="818" t="str">
        <f>IF($A36&lt;&gt;"",VLOOKUP($A36,IP!$B$4:$N$153,13,FALSE),"")</f>
        <v/>
      </c>
      <c r="G36" s="2047" t="str">
        <f t="shared" si="9"/>
        <v/>
      </c>
      <c r="H36" s="1758" t="str">
        <f t="shared" si="10"/>
        <v/>
      </c>
      <c r="I36" s="2171" t="str">
        <f t="shared" ca="1" si="11"/>
        <v/>
      </c>
      <c r="J36" s="2035"/>
      <c r="K36" s="2034"/>
      <c r="L36" s="2817" t="str">
        <f t="shared" si="3"/>
        <v/>
      </c>
      <c r="M36" s="2048"/>
      <c r="N36" s="1356" t="str">
        <f t="shared" si="4"/>
        <v/>
      </c>
      <c r="O36" s="2298" t="str">
        <f t="shared" si="5"/>
        <v/>
      </c>
      <c r="P36" s="2047" t="str">
        <f t="shared" si="12"/>
        <v/>
      </c>
      <c r="Q36" s="1343"/>
      <c r="R36" s="590" t="str">
        <f t="shared" si="6"/>
        <v/>
      </c>
      <c r="S36" s="590" t="str">
        <f t="shared" si="7"/>
        <v/>
      </c>
      <c r="T36" s="2047" t="str">
        <f t="shared" si="13"/>
        <v/>
      </c>
      <c r="U36" s="2173" t="str">
        <f t="shared" si="14"/>
        <v/>
      </c>
      <c r="V36" s="2865"/>
      <c r="W36" s="1827"/>
    </row>
    <row r="37" spans="1:23">
      <c r="A37" s="312"/>
      <c r="B37" s="2046" t="str">
        <f t="shared" si="0"/>
        <v/>
      </c>
      <c r="C37" s="818" t="str">
        <f t="shared" si="1"/>
        <v/>
      </c>
      <c r="D37" s="2046" t="str">
        <f t="shared" si="8"/>
        <v/>
      </c>
      <c r="E37" s="2046" t="str">
        <f>IF(A37&lt;&gt;"",VLOOKUP(VLOOKUP(A37,dist_assets,2,FALSE),'Distributed Assets'!$C$7:$F$22,4,FALSE),"")</f>
        <v/>
      </c>
      <c r="F37" s="818" t="str">
        <f>IF($A37&lt;&gt;"",VLOOKUP($A37,IP!$B$4:$N$153,13,FALSE),"")</f>
        <v/>
      </c>
      <c r="G37" s="2047" t="str">
        <f t="shared" si="9"/>
        <v/>
      </c>
      <c r="H37" s="1758" t="str">
        <f t="shared" si="10"/>
        <v/>
      </c>
      <c r="I37" s="2171" t="str">
        <f t="shared" ca="1" si="11"/>
        <v/>
      </c>
      <c r="J37" s="2035"/>
      <c r="K37" s="2034"/>
      <c r="L37" s="2817" t="str">
        <f t="shared" si="3"/>
        <v/>
      </c>
      <c r="M37" s="2048"/>
      <c r="N37" s="1356" t="str">
        <f t="shared" si="4"/>
        <v/>
      </c>
      <c r="O37" s="2298" t="str">
        <f t="shared" si="5"/>
        <v/>
      </c>
      <c r="P37" s="2047" t="str">
        <f t="shared" si="12"/>
        <v/>
      </c>
      <c r="Q37" s="1343"/>
      <c r="R37" s="590" t="str">
        <f t="shared" si="6"/>
        <v/>
      </c>
      <c r="S37" s="590" t="str">
        <f t="shared" si="7"/>
        <v/>
      </c>
      <c r="T37" s="2047" t="str">
        <f t="shared" si="13"/>
        <v/>
      </c>
      <c r="U37" s="2173" t="str">
        <f t="shared" si="14"/>
        <v/>
      </c>
      <c r="V37" s="2865"/>
      <c r="W37" s="1827"/>
    </row>
    <row r="38" spans="1:23">
      <c r="A38" s="312"/>
      <c r="B38" s="2046" t="str">
        <f t="shared" si="0"/>
        <v/>
      </c>
      <c r="C38" s="818" t="str">
        <f t="shared" si="1"/>
        <v/>
      </c>
      <c r="D38" s="2046" t="str">
        <f t="shared" si="8"/>
        <v/>
      </c>
      <c r="E38" s="2046" t="str">
        <f>IF(A38&lt;&gt;"",VLOOKUP(VLOOKUP(A38,dist_assets,2,FALSE),'Distributed Assets'!$C$7:$F$22,4,FALSE),"")</f>
        <v/>
      </c>
      <c r="F38" s="818" t="str">
        <f>IF($A38&lt;&gt;"",VLOOKUP($A38,IP!$B$4:$N$153,13,FALSE),"")</f>
        <v/>
      </c>
      <c r="G38" s="2047" t="str">
        <f t="shared" si="9"/>
        <v/>
      </c>
      <c r="H38" s="1758" t="str">
        <f t="shared" si="10"/>
        <v/>
      </c>
      <c r="I38" s="2171" t="str">
        <f t="shared" ca="1" si="11"/>
        <v/>
      </c>
      <c r="J38" s="2035"/>
      <c r="K38" s="2034"/>
      <c r="L38" s="2817" t="str">
        <f t="shared" si="3"/>
        <v/>
      </c>
      <c r="M38" s="2048"/>
      <c r="N38" s="1356" t="str">
        <f t="shared" si="4"/>
        <v/>
      </c>
      <c r="O38" s="2298" t="str">
        <f t="shared" si="5"/>
        <v/>
      </c>
      <c r="P38" s="2047" t="str">
        <f t="shared" si="12"/>
        <v/>
      </c>
      <c r="Q38" s="1343"/>
      <c r="R38" s="590" t="str">
        <f t="shared" si="6"/>
        <v/>
      </c>
      <c r="S38" s="590" t="str">
        <f t="shared" si="7"/>
        <v/>
      </c>
      <c r="T38" s="2047" t="str">
        <f t="shared" si="13"/>
        <v/>
      </c>
      <c r="U38" s="2173" t="str">
        <f t="shared" si="14"/>
        <v/>
      </c>
      <c r="V38" s="2865"/>
      <c r="W38" s="1827"/>
    </row>
    <row r="39" spans="1:23">
      <c r="A39" s="312"/>
      <c r="B39" s="2046" t="str">
        <f t="shared" si="0"/>
        <v/>
      </c>
      <c r="C39" s="818" t="str">
        <f t="shared" si="1"/>
        <v/>
      </c>
      <c r="D39" s="2046" t="str">
        <f t="shared" si="8"/>
        <v/>
      </c>
      <c r="E39" s="2046" t="str">
        <f>IF(A39&lt;&gt;"",VLOOKUP(VLOOKUP(A39,dist_assets,2,FALSE),'Distributed Assets'!$C$7:$F$22,4,FALSE),"")</f>
        <v/>
      </c>
      <c r="F39" s="818" t="str">
        <f>IF($A39&lt;&gt;"",VLOOKUP($A39,IP!$B$4:$N$153,13,FALSE),"")</f>
        <v/>
      </c>
      <c r="G39" s="2047" t="str">
        <f t="shared" si="9"/>
        <v/>
      </c>
      <c r="H39" s="1758" t="str">
        <f t="shared" si="10"/>
        <v/>
      </c>
      <c r="I39" s="2171" t="str">
        <f t="shared" ca="1" si="11"/>
        <v/>
      </c>
      <c r="J39" s="2035"/>
      <c r="K39" s="2034"/>
      <c r="L39" s="2817" t="str">
        <f t="shared" si="3"/>
        <v/>
      </c>
      <c r="M39" s="2048"/>
      <c r="N39" s="1356" t="str">
        <f t="shared" si="4"/>
        <v/>
      </c>
      <c r="O39" s="2298" t="str">
        <f t="shared" si="5"/>
        <v/>
      </c>
      <c r="P39" s="2047" t="str">
        <f t="shared" si="12"/>
        <v/>
      </c>
      <c r="Q39" s="1343"/>
      <c r="R39" s="590" t="str">
        <f t="shared" si="6"/>
        <v/>
      </c>
      <c r="S39" s="590" t="str">
        <f t="shared" si="7"/>
        <v/>
      </c>
      <c r="T39" s="2047" t="str">
        <f t="shared" si="13"/>
        <v/>
      </c>
      <c r="U39" s="2173" t="str">
        <f t="shared" si="14"/>
        <v/>
      </c>
      <c r="V39" s="2865"/>
      <c r="W39" s="1827"/>
    </row>
    <row r="40" spans="1:23">
      <c r="A40" s="312"/>
      <c r="B40" s="2046" t="str">
        <f t="shared" si="0"/>
        <v/>
      </c>
      <c r="C40" s="818" t="str">
        <f t="shared" si="1"/>
        <v/>
      </c>
      <c r="D40" s="2046" t="str">
        <f t="shared" si="8"/>
        <v/>
      </c>
      <c r="E40" s="2046" t="str">
        <f>IF(A40&lt;&gt;"",VLOOKUP(VLOOKUP(A40,dist_assets,2,FALSE),'Distributed Assets'!$C$7:$F$22,4,FALSE),"")</f>
        <v/>
      </c>
      <c r="F40" s="818" t="str">
        <f>IF($A40&lt;&gt;"",VLOOKUP($A40,IP!$B$4:$N$153,13,FALSE),"")</f>
        <v/>
      </c>
      <c r="G40" s="2047" t="str">
        <f t="shared" si="9"/>
        <v/>
      </c>
      <c r="H40" s="1758" t="str">
        <f t="shared" si="10"/>
        <v/>
      </c>
      <c r="I40" s="2171" t="str">
        <f t="shared" ca="1" si="11"/>
        <v/>
      </c>
      <c r="J40" s="2035"/>
      <c r="K40" s="2034"/>
      <c r="L40" s="2817" t="str">
        <f t="shared" si="3"/>
        <v/>
      </c>
      <c r="M40" s="2048"/>
      <c r="N40" s="1356" t="str">
        <f t="shared" si="4"/>
        <v/>
      </c>
      <c r="O40" s="2298" t="str">
        <f t="shared" si="5"/>
        <v/>
      </c>
      <c r="P40" s="2047" t="str">
        <f t="shared" si="12"/>
        <v/>
      </c>
      <c r="Q40" s="1343"/>
      <c r="R40" s="590" t="str">
        <f t="shared" si="6"/>
        <v/>
      </c>
      <c r="S40" s="590" t="str">
        <f t="shared" si="7"/>
        <v/>
      </c>
      <c r="T40" s="2047" t="str">
        <f t="shared" si="13"/>
        <v/>
      </c>
      <c r="U40" s="2173" t="str">
        <f t="shared" si="14"/>
        <v/>
      </c>
      <c r="V40" s="2865"/>
      <c r="W40" s="1827"/>
    </row>
    <row r="41" spans="1:23">
      <c r="A41" s="312"/>
      <c r="B41" s="2046" t="str">
        <f t="shared" si="0"/>
        <v/>
      </c>
      <c r="C41" s="818" t="str">
        <f t="shared" si="1"/>
        <v/>
      </c>
      <c r="D41" s="2046" t="str">
        <f t="shared" si="8"/>
        <v/>
      </c>
      <c r="E41" s="2046" t="str">
        <f>IF(A41&lt;&gt;"",VLOOKUP(VLOOKUP(A41,dist_assets,2,FALSE),'Distributed Assets'!$C$7:$F$22,4,FALSE),"")</f>
        <v/>
      </c>
      <c r="F41" s="818" t="str">
        <f>IF($A41&lt;&gt;"",VLOOKUP($A41,IP!$B$4:$N$153,13,FALSE),"")</f>
        <v/>
      </c>
      <c r="G41" s="2047" t="str">
        <f t="shared" si="9"/>
        <v/>
      </c>
      <c r="H41" s="1758" t="str">
        <f t="shared" si="10"/>
        <v/>
      </c>
      <c r="I41" s="2171" t="str">
        <f t="shared" ca="1" si="11"/>
        <v/>
      </c>
      <c r="J41" s="2035"/>
      <c r="K41" s="2034"/>
      <c r="L41" s="2817" t="str">
        <f t="shared" si="3"/>
        <v/>
      </c>
      <c r="M41" s="2048"/>
      <c r="N41" s="1356" t="str">
        <f t="shared" si="4"/>
        <v/>
      </c>
      <c r="O41" s="2298" t="str">
        <f t="shared" si="5"/>
        <v/>
      </c>
      <c r="P41" s="2047" t="str">
        <f t="shared" si="12"/>
        <v/>
      </c>
      <c r="Q41" s="1343"/>
      <c r="R41" s="590" t="str">
        <f t="shared" si="6"/>
        <v/>
      </c>
      <c r="S41" s="590" t="str">
        <f t="shared" si="7"/>
        <v/>
      </c>
      <c r="T41" s="2047" t="str">
        <f t="shared" si="13"/>
        <v/>
      </c>
      <c r="U41" s="2173" t="str">
        <f t="shared" si="14"/>
        <v/>
      </c>
      <c r="V41" s="2865"/>
      <c r="W41" s="1827"/>
    </row>
    <row r="42" spans="1:23">
      <c r="A42" s="312"/>
      <c r="B42" s="2046" t="str">
        <f t="shared" si="0"/>
        <v/>
      </c>
      <c r="C42" s="818" t="str">
        <f t="shared" si="1"/>
        <v/>
      </c>
      <c r="D42" s="2046" t="str">
        <f t="shared" si="8"/>
        <v/>
      </c>
      <c r="E42" s="2046" t="str">
        <f>IF(A42&lt;&gt;"",VLOOKUP(VLOOKUP(A42,dist_assets,2,FALSE),'Distributed Assets'!$C$7:$F$22,4,FALSE),"")</f>
        <v/>
      </c>
      <c r="F42" s="818" t="str">
        <f>IF($A42&lt;&gt;"",VLOOKUP($A42,IP!$B$4:$N$153,13,FALSE),"")</f>
        <v/>
      </c>
      <c r="G42" s="2047" t="str">
        <f t="shared" si="9"/>
        <v/>
      </c>
      <c r="H42" s="1758" t="str">
        <f t="shared" si="10"/>
        <v/>
      </c>
      <c r="I42" s="2171" t="str">
        <f t="shared" ca="1" si="11"/>
        <v/>
      </c>
      <c r="J42" s="2035"/>
      <c r="K42" s="2034"/>
      <c r="L42" s="2817" t="str">
        <f t="shared" si="3"/>
        <v/>
      </c>
      <c r="M42" s="2048"/>
      <c r="N42" s="1356" t="str">
        <f t="shared" si="4"/>
        <v/>
      </c>
      <c r="O42" s="2298" t="str">
        <f t="shared" si="5"/>
        <v/>
      </c>
      <c r="P42" s="2047" t="str">
        <f t="shared" si="12"/>
        <v/>
      </c>
      <c r="Q42" s="1343"/>
      <c r="R42" s="590" t="str">
        <f t="shared" si="6"/>
        <v/>
      </c>
      <c r="S42" s="590" t="str">
        <f t="shared" si="7"/>
        <v/>
      </c>
      <c r="T42" s="2047" t="str">
        <f t="shared" si="13"/>
        <v/>
      </c>
      <c r="U42" s="2173" t="str">
        <f t="shared" si="14"/>
        <v/>
      </c>
      <c r="V42" s="2865"/>
      <c r="W42" s="1827"/>
    </row>
    <row r="43" spans="1:23">
      <c r="A43" s="312"/>
      <c r="B43" s="2046" t="str">
        <f t="shared" si="0"/>
        <v/>
      </c>
      <c r="C43" s="818" t="str">
        <f t="shared" si="1"/>
        <v/>
      </c>
      <c r="D43" s="2046" t="str">
        <f t="shared" si="8"/>
        <v/>
      </c>
      <c r="E43" s="2046" t="str">
        <f>IF(A43&lt;&gt;"",VLOOKUP(VLOOKUP(A43,dist_assets,2,FALSE),'Distributed Assets'!$C$7:$F$22,4,FALSE),"")</f>
        <v/>
      </c>
      <c r="F43" s="818" t="str">
        <f>IF($A43&lt;&gt;"",VLOOKUP($A43,IP!$B$4:$N$153,13,FALSE),"")</f>
        <v/>
      </c>
      <c r="G43" s="2047" t="str">
        <f t="shared" si="9"/>
        <v/>
      </c>
      <c r="H43" s="1758" t="str">
        <f t="shared" si="10"/>
        <v/>
      </c>
      <c r="I43" s="2171" t="str">
        <f t="shared" ca="1" si="11"/>
        <v/>
      </c>
      <c r="J43" s="2035"/>
      <c r="K43" s="2034"/>
      <c r="L43" s="2817" t="str">
        <f t="shared" si="3"/>
        <v/>
      </c>
      <c r="M43" s="2048"/>
      <c r="N43" s="1356" t="str">
        <f t="shared" si="4"/>
        <v/>
      </c>
      <c r="O43" s="2298" t="str">
        <f t="shared" si="5"/>
        <v/>
      </c>
      <c r="P43" s="2047" t="str">
        <f t="shared" si="12"/>
        <v/>
      </c>
      <c r="Q43" s="1343"/>
      <c r="R43" s="590" t="str">
        <f t="shared" si="6"/>
        <v/>
      </c>
      <c r="S43" s="590" t="str">
        <f t="shared" si="7"/>
        <v/>
      </c>
      <c r="T43" s="2047" t="str">
        <f t="shared" si="13"/>
        <v/>
      </c>
      <c r="U43" s="2173" t="str">
        <f t="shared" si="14"/>
        <v/>
      </c>
      <c r="V43" s="2865"/>
      <c r="W43" s="1827"/>
    </row>
    <row r="44" spans="1:23">
      <c r="A44" s="312"/>
      <c r="B44" s="2046" t="str">
        <f t="shared" si="0"/>
        <v/>
      </c>
      <c r="C44" s="818" t="str">
        <f t="shared" si="1"/>
        <v/>
      </c>
      <c r="D44" s="2046" t="str">
        <f t="shared" si="8"/>
        <v/>
      </c>
      <c r="E44" s="2046" t="str">
        <f>IF(A44&lt;&gt;"",VLOOKUP(VLOOKUP(A44,dist_assets,2,FALSE),'Distributed Assets'!$C$7:$F$22,4,FALSE),"")</f>
        <v/>
      </c>
      <c r="F44" s="818" t="str">
        <f>IF($A44&lt;&gt;"",VLOOKUP($A44,IP!$B$4:$N$153,13,FALSE),"")</f>
        <v/>
      </c>
      <c r="G44" s="2047" t="str">
        <f t="shared" si="9"/>
        <v/>
      </c>
      <c r="H44" s="1758" t="str">
        <f t="shared" si="10"/>
        <v/>
      </c>
      <c r="I44" s="2171" t="str">
        <f t="shared" ca="1" si="11"/>
        <v/>
      </c>
      <c r="J44" s="2035"/>
      <c r="K44" s="2034"/>
      <c r="L44" s="2817" t="str">
        <f t="shared" si="3"/>
        <v/>
      </c>
      <c r="M44" s="2048"/>
      <c r="N44" s="1356" t="str">
        <f t="shared" si="4"/>
        <v/>
      </c>
      <c r="O44" s="2298" t="str">
        <f t="shared" si="5"/>
        <v/>
      </c>
      <c r="P44" s="2047" t="str">
        <f t="shared" si="12"/>
        <v/>
      </c>
      <c r="Q44" s="1343"/>
      <c r="R44" s="590" t="str">
        <f t="shared" si="6"/>
        <v/>
      </c>
      <c r="S44" s="590" t="str">
        <f t="shared" si="7"/>
        <v/>
      </c>
      <c r="T44" s="2047" t="str">
        <f t="shared" si="13"/>
        <v/>
      </c>
      <c r="U44" s="2173" t="str">
        <f t="shared" si="14"/>
        <v/>
      </c>
      <c r="V44" s="2865"/>
      <c r="W44" s="1827"/>
    </row>
    <row r="45" spans="1:23">
      <c r="A45" s="312"/>
      <c r="B45" s="2046" t="str">
        <f t="shared" si="0"/>
        <v/>
      </c>
      <c r="C45" s="818" t="str">
        <f t="shared" si="1"/>
        <v/>
      </c>
      <c r="D45" s="2046" t="str">
        <f t="shared" si="8"/>
        <v/>
      </c>
      <c r="E45" s="2046" t="str">
        <f>IF(A45&lt;&gt;"",VLOOKUP(VLOOKUP(A45,dist_assets,2,FALSE),'Distributed Assets'!$C$7:$F$22,4,FALSE),"")</f>
        <v/>
      </c>
      <c r="F45" s="818" t="str">
        <f>IF($A45&lt;&gt;"",VLOOKUP($A45,IP!$B$4:$N$153,13,FALSE),"")</f>
        <v/>
      </c>
      <c r="G45" s="2047" t="str">
        <f t="shared" si="9"/>
        <v/>
      </c>
      <c r="H45" s="1758" t="str">
        <f t="shared" si="10"/>
        <v/>
      </c>
      <c r="I45" s="2171" t="str">
        <f t="shared" ca="1" si="11"/>
        <v/>
      </c>
      <c r="J45" s="2035"/>
      <c r="K45" s="2034"/>
      <c r="L45" s="2817" t="str">
        <f t="shared" si="3"/>
        <v/>
      </c>
      <c r="M45" s="2048"/>
      <c r="N45" s="1356" t="str">
        <f t="shared" si="4"/>
        <v/>
      </c>
      <c r="O45" s="2298" t="str">
        <f t="shared" si="5"/>
        <v/>
      </c>
      <c r="P45" s="2047" t="str">
        <f t="shared" si="12"/>
        <v/>
      </c>
      <c r="Q45" s="1343"/>
      <c r="R45" s="590" t="str">
        <f t="shared" si="6"/>
        <v/>
      </c>
      <c r="S45" s="590" t="str">
        <f t="shared" si="7"/>
        <v/>
      </c>
      <c r="T45" s="2047" t="str">
        <f t="shared" si="13"/>
        <v/>
      </c>
      <c r="U45" s="2173" t="str">
        <f t="shared" si="14"/>
        <v/>
      </c>
      <c r="V45" s="2865"/>
      <c r="W45" s="1827"/>
    </row>
    <row r="46" spans="1:23">
      <c r="A46" s="312"/>
      <c r="B46" s="2046" t="str">
        <f t="shared" si="0"/>
        <v/>
      </c>
      <c r="C46" s="818" t="str">
        <f t="shared" si="1"/>
        <v/>
      </c>
      <c r="D46" s="2046" t="str">
        <f t="shared" si="8"/>
        <v/>
      </c>
      <c r="E46" s="2046" t="str">
        <f>IF(A46&lt;&gt;"",VLOOKUP(VLOOKUP(A46,dist_assets,2,FALSE),'Distributed Assets'!$C$7:$F$22,4,FALSE),"")</f>
        <v/>
      </c>
      <c r="F46" s="818" t="str">
        <f>IF($A46&lt;&gt;"",VLOOKUP($A46,IP!$B$4:$N$153,13,FALSE),"")</f>
        <v/>
      </c>
      <c r="G46" s="2047" t="str">
        <f t="shared" si="9"/>
        <v/>
      </c>
      <c r="H46" s="1758" t="str">
        <f t="shared" si="10"/>
        <v/>
      </c>
      <c r="I46" s="2171" t="str">
        <f t="shared" ca="1" si="11"/>
        <v/>
      </c>
      <c r="J46" s="2035"/>
      <c r="K46" s="2034"/>
      <c r="L46" s="2817" t="str">
        <f t="shared" si="3"/>
        <v/>
      </c>
      <c r="M46" s="2048"/>
      <c r="N46" s="1356" t="str">
        <f t="shared" si="4"/>
        <v/>
      </c>
      <c r="O46" s="2298" t="str">
        <f t="shared" si="5"/>
        <v/>
      </c>
      <c r="P46" s="2047" t="str">
        <f t="shared" si="12"/>
        <v/>
      </c>
      <c r="Q46" s="1343"/>
      <c r="R46" s="590" t="str">
        <f t="shared" si="6"/>
        <v/>
      </c>
      <c r="S46" s="590" t="str">
        <f t="shared" si="7"/>
        <v/>
      </c>
      <c r="T46" s="2047" t="str">
        <f t="shared" si="13"/>
        <v/>
      </c>
      <c r="U46" s="2173" t="str">
        <f t="shared" si="14"/>
        <v/>
      </c>
      <c r="V46" s="2865"/>
      <c r="W46" s="1827"/>
    </row>
    <row r="47" spans="1:23">
      <c r="A47" s="312"/>
      <c r="B47" s="2046" t="str">
        <f t="shared" si="0"/>
        <v/>
      </c>
      <c r="C47" s="818" t="str">
        <f t="shared" si="1"/>
        <v/>
      </c>
      <c r="D47" s="2046" t="str">
        <f t="shared" si="8"/>
        <v/>
      </c>
      <c r="E47" s="2046" t="str">
        <f>IF(A47&lt;&gt;"",VLOOKUP(VLOOKUP(A47,dist_assets,2,FALSE),'Distributed Assets'!$C$7:$F$22,4,FALSE),"")</f>
        <v/>
      </c>
      <c r="F47" s="818" t="str">
        <f>IF($A47&lt;&gt;"",VLOOKUP($A47,IP!$B$4:$N$153,13,FALSE),"")</f>
        <v/>
      </c>
      <c r="G47" s="2047" t="str">
        <f t="shared" si="9"/>
        <v/>
      </c>
      <c r="H47" s="1758" t="str">
        <f t="shared" si="10"/>
        <v/>
      </c>
      <c r="I47" s="2171" t="str">
        <f t="shared" ca="1" si="11"/>
        <v/>
      </c>
      <c r="J47" s="2035"/>
      <c r="K47" s="2034"/>
      <c r="L47" s="2817" t="str">
        <f t="shared" si="3"/>
        <v/>
      </c>
      <c r="M47" s="2048"/>
      <c r="N47" s="1356" t="str">
        <f t="shared" si="4"/>
        <v/>
      </c>
      <c r="O47" s="2298" t="str">
        <f t="shared" si="5"/>
        <v/>
      </c>
      <c r="P47" s="2047" t="str">
        <f t="shared" si="12"/>
        <v/>
      </c>
      <c r="Q47" s="1343"/>
      <c r="R47" s="590" t="str">
        <f t="shared" si="6"/>
        <v/>
      </c>
      <c r="S47" s="590" t="str">
        <f t="shared" si="7"/>
        <v/>
      </c>
      <c r="T47" s="2047" t="str">
        <f t="shared" si="13"/>
        <v/>
      </c>
      <c r="U47" s="2173" t="str">
        <f t="shared" si="14"/>
        <v/>
      </c>
      <c r="V47" s="2865"/>
      <c r="W47" s="1827"/>
    </row>
    <row r="48" spans="1:23">
      <c r="A48" s="312"/>
      <c r="B48" s="2046" t="str">
        <f t="shared" si="0"/>
        <v/>
      </c>
      <c r="C48" s="818" t="str">
        <f t="shared" si="1"/>
        <v/>
      </c>
      <c r="D48" s="2046" t="str">
        <f t="shared" si="8"/>
        <v/>
      </c>
      <c r="E48" s="2046" t="str">
        <f>IF(A48&lt;&gt;"",VLOOKUP(VLOOKUP(A48,dist_assets,2,FALSE),'Distributed Assets'!$C$7:$F$22,4,FALSE),"")</f>
        <v/>
      </c>
      <c r="F48" s="818" t="str">
        <f>IF($A48&lt;&gt;"",VLOOKUP($A48,IP!$B$4:$N$153,13,FALSE),"")</f>
        <v/>
      </c>
      <c r="G48" s="2047" t="str">
        <f t="shared" si="9"/>
        <v/>
      </c>
      <c r="H48" s="1758" t="str">
        <f t="shared" si="10"/>
        <v/>
      </c>
      <c r="I48" s="2171" t="str">
        <f t="shared" ca="1" si="11"/>
        <v/>
      </c>
      <c r="J48" s="2035"/>
      <c r="K48" s="2034"/>
      <c r="L48" s="2817" t="str">
        <f t="shared" si="3"/>
        <v/>
      </c>
      <c r="M48" s="2048"/>
      <c r="N48" s="1356" t="str">
        <f t="shared" si="4"/>
        <v/>
      </c>
      <c r="O48" s="2298" t="str">
        <f t="shared" si="5"/>
        <v/>
      </c>
      <c r="P48" s="2047" t="str">
        <f t="shared" si="12"/>
        <v/>
      </c>
      <c r="Q48" s="1343"/>
      <c r="R48" s="590" t="str">
        <f t="shared" si="6"/>
        <v/>
      </c>
      <c r="S48" s="590" t="str">
        <f t="shared" si="7"/>
        <v/>
      </c>
      <c r="T48" s="2047" t="str">
        <f t="shared" si="13"/>
        <v/>
      </c>
      <c r="U48" s="2173" t="str">
        <f t="shared" si="14"/>
        <v/>
      </c>
      <c r="V48" s="2865"/>
      <c r="W48" s="1827"/>
    </row>
    <row r="49" spans="1:23">
      <c r="A49" s="312"/>
      <c r="B49" s="2046" t="str">
        <f t="shared" si="0"/>
        <v/>
      </c>
      <c r="C49" s="818" t="str">
        <f t="shared" si="1"/>
        <v/>
      </c>
      <c r="D49" s="2046" t="str">
        <f t="shared" si="8"/>
        <v/>
      </c>
      <c r="E49" s="2046" t="str">
        <f>IF(A49&lt;&gt;"",VLOOKUP(VLOOKUP(A49,dist_assets,2,FALSE),'Distributed Assets'!$C$7:$F$22,4,FALSE),"")</f>
        <v/>
      </c>
      <c r="F49" s="818" t="str">
        <f>IF($A49&lt;&gt;"",VLOOKUP($A49,IP!$B$4:$N$153,13,FALSE),"")</f>
        <v/>
      </c>
      <c r="G49" s="2047" t="str">
        <f t="shared" si="9"/>
        <v/>
      </c>
      <c r="H49" s="1758" t="str">
        <f t="shared" si="10"/>
        <v/>
      </c>
      <c r="I49" s="2171" t="str">
        <f t="shared" ca="1" si="11"/>
        <v/>
      </c>
      <c r="J49" s="2035"/>
      <c r="K49" s="2034"/>
      <c r="L49" s="2817" t="str">
        <f t="shared" si="3"/>
        <v/>
      </c>
      <c r="M49" s="2048"/>
      <c r="N49" s="1356" t="str">
        <f t="shared" si="4"/>
        <v/>
      </c>
      <c r="O49" s="2298" t="str">
        <f t="shared" si="5"/>
        <v/>
      </c>
      <c r="P49" s="2047" t="str">
        <f t="shared" si="12"/>
        <v/>
      </c>
      <c r="Q49" s="1343"/>
      <c r="R49" s="590" t="str">
        <f t="shared" si="6"/>
        <v/>
      </c>
      <c r="S49" s="590" t="str">
        <f t="shared" si="7"/>
        <v/>
      </c>
      <c r="T49" s="2047" t="str">
        <f t="shared" si="13"/>
        <v/>
      </c>
      <c r="U49" s="2173" t="str">
        <f t="shared" si="14"/>
        <v/>
      </c>
      <c r="V49" s="2865"/>
      <c r="W49" s="1827"/>
    </row>
    <row r="50" spans="1:23" ht="13.5" thickBot="1">
      <c r="A50" s="313"/>
      <c r="B50" s="438" t="str">
        <f t="shared" si="0"/>
        <v/>
      </c>
      <c r="C50" s="2276" t="str">
        <f t="shared" si="1"/>
        <v/>
      </c>
      <c r="D50" s="438" t="str">
        <f t="shared" si="8"/>
        <v/>
      </c>
      <c r="E50" s="438" t="str">
        <f>IF(A50&lt;&gt;"",VLOOKUP(VLOOKUP(A50,dist_assets,2,FALSE),'Distributed Assets'!$C$7:$F$22,4,FALSE),"")</f>
        <v/>
      </c>
      <c r="F50" s="2276" t="str">
        <f>IF($A50&lt;&gt;"",VLOOKUP($A50,IP!$B$4:$N$153,13,FALSE),"")</f>
        <v/>
      </c>
      <c r="G50" s="346" t="str">
        <f t="shared" si="9"/>
        <v/>
      </c>
      <c r="H50" s="357" t="str">
        <f t="shared" si="10"/>
        <v/>
      </c>
      <c r="I50" s="2172" t="str">
        <f t="shared" ca="1" si="11"/>
        <v/>
      </c>
      <c r="J50" s="1584"/>
      <c r="K50" s="2278"/>
      <c r="L50" s="3153" t="str">
        <f t="shared" si="3"/>
        <v/>
      </c>
      <c r="M50" s="1583"/>
      <c r="N50" s="3148" t="str">
        <f t="shared" si="4"/>
        <v/>
      </c>
      <c r="O50" s="3085" t="str">
        <f t="shared" si="5"/>
        <v/>
      </c>
      <c r="P50" s="3013" t="str">
        <f t="shared" si="12"/>
        <v/>
      </c>
      <c r="Q50" s="2277"/>
      <c r="R50" s="1517" t="str">
        <f t="shared" si="6"/>
        <v/>
      </c>
      <c r="S50" s="1517" t="str">
        <f t="shared" si="7"/>
        <v/>
      </c>
      <c r="T50" s="346" t="str">
        <f t="shared" si="13"/>
        <v/>
      </c>
      <c r="U50" s="3015" t="str">
        <f t="shared" si="14"/>
        <v/>
      </c>
      <c r="V50" s="2866"/>
      <c r="W50" s="418"/>
    </row>
    <row r="255" spans="8:8">
      <c r="H255" s="931">
        <v>2019001</v>
      </c>
    </row>
  </sheetData>
  <mergeCells count="10">
    <mergeCell ref="A2:C2"/>
    <mergeCell ref="A4:C4"/>
    <mergeCell ref="A6:C6"/>
    <mergeCell ref="D2:J2"/>
    <mergeCell ref="D4:J4"/>
    <mergeCell ref="D6:J6"/>
    <mergeCell ref="D5:J5"/>
    <mergeCell ref="A5:C5"/>
    <mergeCell ref="A3:C3"/>
    <mergeCell ref="D3:J3"/>
  </mergeCells>
  <conditionalFormatting sqref="U8:U50">
    <cfRule type="expression" dxfId="166" priority="1">
      <formula>U8="SHORT NAME REQUIRED"</formula>
    </cfRule>
  </conditionalFormatting>
  <conditionalFormatting sqref="M8:M50">
    <cfRule type="expression" dxfId="165" priority="6">
      <formula>AND($A8&lt;&gt;"",$E8&lt;&gt;"Prod 2.0")</formula>
    </cfRule>
  </conditionalFormatting>
  <conditionalFormatting sqref="N8:Q50">
    <cfRule type="expression" dxfId="164" priority="5">
      <formula>(AND($A8&lt;&gt;"",LEFT($G8,3)&lt;&gt;"SMB"))</formula>
    </cfRule>
  </conditionalFormatting>
  <conditionalFormatting sqref="R8:T50">
    <cfRule type="expression" dxfId="163" priority="4">
      <formula>(AND($A8&lt;&gt;"",LEFT($G8,3)&lt;&gt;"NFS"))</formula>
    </cfRule>
  </conditionalFormatting>
  <conditionalFormatting sqref="U8:U50">
    <cfRule type="expression" dxfId="162" priority="3">
      <formula>(AND($A8&lt;&gt;"",LEFT($G8,3)&lt;&gt;"NFS"))</formula>
    </cfRule>
  </conditionalFormatting>
  <conditionalFormatting sqref="V8:V50">
    <cfRule type="expression" dxfId="161" priority="2">
      <formula>(AND($A8&lt;&gt;"",LEFT($G8,3)&lt;&gt;"NFS"))</formula>
    </cfRule>
  </conditionalFormatting>
  <dataValidations count="6">
    <dataValidation type="list" allowBlank="1" showInputMessage="1" showErrorMessage="1" sqref="A8:A50" xr:uid="{00000000-0002-0000-0F00-000000000000}">
      <formula1>Assetlist</formula1>
    </dataValidation>
    <dataValidation type="list" allowBlank="1" showInputMessage="1" showErrorMessage="1" sqref="J8:J50" xr:uid="{00000000-0002-0000-0F00-000001000000}">
      <formula1>"R/W, RO"</formula1>
    </dataValidation>
    <dataValidation type="list" allowBlank="1" showInputMessage="1" showErrorMessage="1" sqref="K8:K50" xr:uid="{00000000-0002-0000-0F00-000002000000}">
      <formula1>"Hard, Soft"</formula1>
    </dataValidation>
    <dataValidation type="list" allowBlank="1" showInputMessage="1" showErrorMessage="1" sqref="H8:H50" xr:uid="{00000000-0002-0000-0F00-000003000000}">
      <formula1>"TomEE, NAS"</formula1>
    </dataValidation>
    <dataValidation type="list" allowBlank="1" showInputMessage="1" showErrorMessage="1" sqref="M8:M50" xr:uid="{00000000-0002-0000-0F00-000004000000}">
      <formula1>"Data, DMZ, Process"</formula1>
    </dataValidation>
    <dataValidation type="list" allowBlank="1" showInputMessage="1" sqref="L8:L50" xr:uid="{00000000-0002-0000-0F00-000005000000}">
      <formula1>"Dev, Test, Alt Prod, Prod, Prod FW, Pod"</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501775" r:id="rId4">
          <objectPr defaultSize="0" r:id="rId5">
            <anchor moveWithCells="1">
              <from>
                <xdr:col>109</xdr:col>
                <xdr:colOff>28575</xdr:colOff>
                <xdr:row>0</xdr:row>
                <xdr:rowOff>400050</xdr:rowOff>
              </from>
              <to>
                <xdr:col>126</xdr:col>
                <xdr:colOff>171450</xdr:colOff>
                <xdr:row>18</xdr:row>
                <xdr:rowOff>19050</xdr:rowOff>
              </to>
            </anchor>
          </objectPr>
        </oleObject>
      </mc:Choice>
      <mc:Fallback>
        <oleObject progId="Word.Document.12" shapeId="501775" r:id="rId4"/>
      </mc:Fallback>
    </mc:AlternateContent>
  </oleObjec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theme="3" tint="0.79998168889431442"/>
  </sheetPr>
  <dimension ref="A1:EJ163"/>
  <sheetViews>
    <sheetView showGridLines="0" zoomScaleNormal="100" workbookViewId="0">
      <selection activeCell="B4" sqref="B4"/>
    </sheetView>
  </sheetViews>
  <sheetFormatPr defaultRowHeight="12.75"/>
  <cols>
    <col min="1" max="1" width="29.140625" customWidth="1"/>
    <col min="2" max="2" width="22.140625" customWidth="1"/>
    <col min="3" max="3" width="14.7109375" customWidth="1"/>
    <col min="4" max="4" width="11.5703125" customWidth="1"/>
    <col min="5" max="5" width="21.7109375" customWidth="1"/>
    <col min="6" max="6" width="18" customWidth="1"/>
    <col min="7" max="7" width="9.85546875" style="264" customWidth="1"/>
    <col min="8" max="8" width="13.42578125" customWidth="1"/>
    <col min="9" max="9" width="17.85546875" customWidth="1"/>
    <col min="10" max="10" width="16.28515625" customWidth="1"/>
    <col min="11" max="11" width="24.5703125" customWidth="1"/>
    <col min="12" max="12" width="18.140625" customWidth="1"/>
    <col min="13" max="13" width="18.85546875" style="33" bestFit="1" customWidth="1"/>
    <col min="14" max="14" width="15.140625" style="1776" customWidth="1"/>
    <col min="15" max="15" width="11.42578125" style="397" customWidth="1"/>
    <col min="16" max="16" width="18.7109375" style="397" customWidth="1"/>
    <col min="17" max="17" width="38.7109375" customWidth="1"/>
    <col min="18" max="18" width="18.7109375" customWidth="1"/>
    <col min="19" max="19" width="21.42578125" customWidth="1"/>
    <col min="20" max="20" width="17" customWidth="1"/>
    <col min="21" max="21" width="21.85546875" style="1776" customWidth="1"/>
    <col min="22" max="22" width="23.5703125" customWidth="1"/>
    <col min="23" max="25" width="23.5703125" style="931" customWidth="1"/>
    <col min="26" max="26" width="24.85546875" style="1776" customWidth="1"/>
    <col min="27" max="29" width="23.5703125" style="931" customWidth="1"/>
    <col min="30" max="30" width="24.140625" style="931" customWidth="1"/>
    <col min="31" max="31" width="37.85546875" customWidth="1"/>
    <col min="32" max="32" width="47.42578125" customWidth="1"/>
    <col min="33" max="33" width="17.140625" customWidth="1"/>
    <col min="34" max="38" width="12.28515625" customWidth="1"/>
  </cols>
  <sheetData>
    <row r="1" spans="1:140" ht="35.25" customHeight="1" thickBot="1">
      <c r="A1" s="1781"/>
      <c r="B1" s="129" t="str">
        <f>IF(Storage="YES","REQUIRED",IF(Storage="NO","This Tab is Not Required","Undetermined"))</f>
        <v>This Tab is Not Required</v>
      </c>
      <c r="C1" s="1775"/>
      <c r="D1" s="356" t="str">
        <f>'Project Details'!$C$8 &amp;" - Storage – Requirements"</f>
        <v>Linux Infrastructure Management - Storage – Requirements</v>
      </c>
      <c r="E1" s="1775"/>
      <c r="F1" s="1775"/>
      <c r="G1" s="1775"/>
      <c r="H1" s="1775"/>
      <c r="I1" s="1775"/>
      <c r="J1" s="1775"/>
      <c r="K1" s="1775"/>
      <c r="L1" s="1775"/>
      <c r="M1" s="2770"/>
      <c r="N1" s="1775"/>
      <c r="O1" s="1775"/>
      <c r="P1" s="1775"/>
      <c r="Q1" s="1775"/>
      <c r="R1" s="1775"/>
      <c r="S1" s="1775"/>
      <c r="T1" s="1775"/>
      <c r="U1" s="1775"/>
      <c r="V1" s="1775"/>
      <c r="W1" s="1775"/>
      <c r="X1" s="1775"/>
      <c r="Y1" s="1775"/>
      <c r="Z1" s="1775"/>
      <c r="AA1" s="1775"/>
      <c r="AB1" s="1775"/>
      <c r="AC1" s="1775"/>
      <c r="AD1" s="1775"/>
      <c r="AE1" s="1775"/>
      <c r="AF1" s="1775"/>
      <c r="AG1" s="1775"/>
      <c r="AH1" s="139"/>
    </row>
    <row r="2" spans="1:140" ht="40.5" customHeight="1" thickBot="1">
      <c r="A2" s="3831" t="str">
        <f>IF('Middleware - Web'!$C$50 ="Yes", "This App requires WAS Log file retention!  Plan to account for this in SAN Calculations,  See Websphere Tab for additional information.","")</f>
        <v/>
      </c>
      <c r="B2" s="3832"/>
      <c r="C2" s="3832"/>
      <c r="D2" s="1083"/>
      <c r="E2" s="3833" t="s">
        <v>2950</v>
      </c>
      <c r="F2" s="3834"/>
      <c r="G2" s="3834"/>
      <c r="H2" s="3834"/>
      <c r="I2" s="1084"/>
      <c r="J2" s="1085"/>
      <c r="K2" s="1085"/>
      <c r="L2" s="3835"/>
      <c r="M2" s="3836"/>
      <c r="N2" s="3836"/>
      <c r="O2" s="3836"/>
      <c r="P2" s="1086"/>
      <c r="Q2" s="1086" t="str">
        <f>IF('Project Details'!$C$23&lt;&gt;"","DR Tier:  "&amp;
'Project Details'!$C$23,"")</f>
        <v>DR Tier:  l</v>
      </c>
      <c r="R2" s="1087" t="str">
        <f>IF('Project Details'!$C$23&lt;&gt;"","DR Tier:  "&amp;
'Project Details'!$C$23,"")</f>
        <v>DR Tier:  l</v>
      </c>
      <c r="S2" s="1088" t="s">
        <v>1569</v>
      </c>
      <c r="T2" s="1089"/>
      <c r="U2" s="1777" t="str">
        <f>"DR Level =  " &amp;dr_Level</f>
        <v>DR Level =  l</v>
      </c>
      <c r="V2" s="1089"/>
      <c r="W2" s="1089"/>
      <c r="X2" s="1089"/>
      <c r="Y2" s="1089"/>
      <c r="Z2" s="1779"/>
      <c r="AA2" s="1089"/>
      <c r="AB2" s="1089"/>
      <c r="AC2" s="1089"/>
      <c r="AD2" s="1089"/>
      <c r="AE2" s="1089"/>
      <c r="AF2" s="1089"/>
      <c r="AG2" s="1089"/>
      <c r="AH2" s="1089"/>
      <c r="AI2" s="126"/>
      <c r="AJ2" s="126"/>
      <c r="AK2" s="126"/>
      <c r="AL2" s="126"/>
      <c r="AM2" s="126"/>
      <c r="AN2" s="126"/>
      <c r="AO2" s="126"/>
      <c r="AP2" s="126"/>
      <c r="AQ2" s="126"/>
      <c r="AR2" s="126"/>
      <c r="AS2" s="126"/>
      <c r="AT2" s="126"/>
      <c r="AU2" s="126"/>
      <c r="AV2" s="126"/>
      <c r="AW2" s="126"/>
      <c r="AX2" s="126"/>
      <c r="AY2" s="126"/>
      <c r="AZ2" s="126"/>
      <c r="BA2" s="126"/>
      <c r="BB2" s="126"/>
      <c r="BC2" s="126"/>
      <c r="BD2" s="126"/>
      <c r="BE2" s="126"/>
      <c r="BF2" s="126"/>
      <c r="BG2" s="126"/>
      <c r="BH2" s="126"/>
      <c r="BI2" s="126"/>
      <c r="BJ2" s="126"/>
      <c r="BK2" s="126"/>
      <c r="BL2" s="126"/>
      <c r="BM2" s="126"/>
      <c r="BN2" s="126"/>
      <c r="BO2" s="126"/>
      <c r="BP2" s="126"/>
      <c r="BQ2" s="126"/>
      <c r="BR2" s="126"/>
      <c r="BS2" s="126"/>
      <c r="BT2" s="126"/>
      <c r="BU2" s="126"/>
      <c r="BV2" s="126"/>
      <c r="BW2" s="126"/>
      <c r="BX2" s="126"/>
      <c r="BY2" s="126"/>
      <c r="BZ2" s="126"/>
      <c r="CA2" s="126"/>
      <c r="CB2" s="126"/>
      <c r="CC2" s="126"/>
      <c r="CD2" s="126"/>
      <c r="CE2" s="126"/>
      <c r="CF2" s="126"/>
      <c r="CG2" s="126"/>
      <c r="CH2" s="126"/>
      <c r="CI2" s="126"/>
      <c r="CJ2" s="126"/>
      <c r="CK2" s="126"/>
      <c r="CL2" s="126"/>
      <c r="CM2" s="126"/>
      <c r="CN2" s="126"/>
      <c r="CO2" s="126"/>
      <c r="CP2" s="126"/>
      <c r="CQ2" s="126"/>
      <c r="CR2" s="126"/>
      <c r="CS2" s="126"/>
      <c r="CT2" s="126"/>
      <c r="CU2" s="126"/>
      <c r="CV2" s="126"/>
      <c r="CW2" s="126"/>
      <c r="CX2" s="126"/>
      <c r="CY2" s="126"/>
      <c r="CZ2" s="126"/>
      <c r="DA2" s="126"/>
      <c r="DB2" s="126"/>
      <c r="DC2" s="126"/>
      <c r="DD2" s="126"/>
      <c r="DE2" s="126"/>
      <c r="DF2" s="126"/>
      <c r="DG2" s="126"/>
      <c r="DH2" s="126"/>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row>
    <row r="3" spans="1:140" ht="63" thickBot="1">
      <c r="A3" s="1920" t="s">
        <v>50</v>
      </c>
      <c r="B3" s="136" t="s">
        <v>45</v>
      </c>
      <c r="C3" s="1091" t="s">
        <v>2792</v>
      </c>
      <c r="D3" s="1091" t="s">
        <v>3636</v>
      </c>
      <c r="E3" s="137" t="s">
        <v>2794</v>
      </c>
      <c r="F3" s="137" t="s">
        <v>3637</v>
      </c>
      <c r="G3" s="136" t="s">
        <v>46</v>
      </c>
      <c r="H3" s="137" t="s">
        <v>883</v>
      </c>
      <c r="I3" s="136" t="s">
        <v>239</v>
      </c>
      <c r="J3" s="136" t="s">
        <v>2796</v>
      </c>
      <c r="K3" s="137" t="s">
        <v>2795</v>
      </c>
      <c r="L3" s="137" t="s">
        <v>2797</v>
      </c>
      <c r="M3" s="137" t="s">
        <v>2798</v>
      </c>
      <c r="N3" s="1092" t="s">
        <v>3546</v>
      </c>
      <c r="O3" s="1092" t="s">
        <v>2947</v>
      </c>
      <c r="P3" s="1783" t="s">
        <v>2999</v>
      </c>
      <c r="Q3" s="348" t="s">
        <v>3001</v>
      </c>
      <c r="R3" s="673" t="s">
        <v>2799</v>
      </c>
      <c r="S3" s="1013" t="s">
        <v>2949</v>
      </c>
      <c r="T3" s="1784" t="s">
        <v>2800</v>
      </c>
      <c r="U3" s="348" t="s">
        <v>3544</v>
      </c>
      <c r="V3" s="348" t="s">
        <v>2801</v>
      </c>
      <c r="W3" s="348" t="s">
        <v>2802</v>
      </c>
      <c r="X3" s="1012" t="s">
        <v>2948</v>
      </c>
      <c r="Y3" s="1015" t="s">
        <v>2803</v>
      </c>
      <c r="Z3" s="348" t="s">
        <v>3545</v>
      </c>
      <c r="AA3" s="1014" t="s">
        <v>2804</v>
      </c>
      <c r="AB3" s="348" t="s">
        <v>2805</v>
      </c>
      <c r="AC3" s="1093" t="s">
        <v>2992</v>
      </c>
      <c r="AD3" s="1093" t="s">
        <v>2993</v>
      </c>
      <c r="AE3" s="1093" t="s">
        <v>2994</v>
      </c>
      <c r="AF3" s="137" t="s">
        <v>480</v>
      </c>
      <c r="AG3" s="1094" t="s">
        <v>421</v>
      </c>
      <c r="AH3" s="1919" t="s">
        <v>3039</v>
      </c>
      <c r="AI3" s="126"/>
      <c r="AJ3" s="126"/>
      <c r="AK3" s="126"/>
      <c r="AL3" s="126"/>
      <c r="AM3" s="126"/>
      <c r="AN3" s="126"/>
      <c r="AO3" s="126"/>
      <c r="AP3" s="126"/>
      <c r="AQ3" s="126"/>
      <c r="AR3" s="126"/>
      <c r="AS3" s="126"/>
      <c r="AT3" s="126"/>
      <c r="AU3" s="126"/>
      <c r="AV3" s="126"/>
      <c r="AW3" s="126"/>
      <c r="AX3" s="126"/>
      <c r="AY3" s="126"/>
      <c r="AZ3" s="126"/>
      <c r="BA3" s="126"/>
      <c r="BB3" s="126"/>
      <c r="BC3" s="126"/>
      <c r="BD3" s="126"/>
      <c r="BE3" s="126"/>
      <c r="BF3" s="126"/>
      <c r="BG3" s="126"/>
      <c r="BH3" s="126"/>
      <c r="BI3" s="126"/>
      <c r="BJ3" s="126"/>
      <c r="BK3" s="126"/>
      <c r="BL3" s="126"/>
      <c r="BM3" s="126"/>
      <c r="BN3" s="126"/>
      <c r="BO3" s="126"/>
      <c r="BP3" s="126"/>
      <c r="BQ3" s="126"/>
      <c r="BR3" s="126"/>
      <c r="BS3" s="126"/>
      <c r="BT3" s="126"/>
      <c r="BU3" s="126"/>
      <c r="BV3" s="126"/>
      <c r="BW3" s="126"/>
      <c r="BX3" s="126"/>
      <c r="BY3" s="126"/>
      <c r="BZ3" s="126"/>
      <c r="CA3" s="126"/>
      <c r="CB3" s="126"/>
      <c r="CC3" s="126"/>
      <c r="CD3" s="126"/>
      <c r="CE3" s="126"/>
      <c r="CF3" s="126"/>
      <c r="CG3" s="126"/>
      <c r="CH3" s="126"/>
      <c r="CI3" s="126"/>
      <c r="CJ3" s="126"/>
      <c r="CK3" s="126"/>
      <c r="CL3" s="126"/>
      <c r="CM3" s="126"/>
      <c r="CN3" s="126"/>
      <c r="CO3" s="126"/>
      <c r="CP3" s="126"/>
      <c r="CQ3" s="126"/>
      <c r="CR3" s="126"/>
      <c r="CS3" s="1591"/>
      <c r="CT3" s="1591"/>
      <c r="CU3" s="1591"/>
      <c r="CV3" s="1591"/>
      <c r="CW3" s="1591"/>
      <c r="CX3" s="1591"/>
      <c r="CY3" s="1591"/>
      <c r="CZ3" s="1591"/>
      <c r="DA3" s="1591"/>
      <c r="DB3" s="1591"/>
      <c r="DC3" s="1591"/>
      <c r="DD3" s="1591"/>
      <c r="DE3" s="1591"/>
      <c r="DF3" s="1591"/>
      <c r="DG3" s="1591"/>
      <c r="DH3" s="1591"/>
      <c r="DI3" s="1591"/>
      <c r="DJ3" s="1591"/>
      <c r="DK3" s="1591"/>
      <c r="DL3" s="1591"/>
      <c r="DM3" s="1591"/>
      <c r="DN3" s="1591"/>
      <c r="DO3" s="1591"/>
      <c r="DP3" s="1591"/>
      <c r="DQ3" s="1591"/>
      <c r="DR3" s="1591"/>
      <c r="DS3" s="1591"/>
      <c r="DT3" s="1591"/>
      <c r="DU3" s="1591"/>
      <c r="DV3" s="1591"/>
      <c r="DW3" s="1591"/>
      <c r="DX3" s="1591"/>
      <c r="DY3" s="1591"/>
      <c r="DZ3" s="1591"/>
      <c r="EA3" s="1591"/>
      <c r="EB3" s="1591"/>
      <c r="EC3" s="1591"/>
      <c r="ED3" s="1591"/>
      <c r="EE3" s="1591"/>
      <c r="EF3" s="1591"/>
      <c r="EG3" s="126"/>
      <c r="EH3" s="126"/>
      <c r="EI3" s="126"/>
      <c r="EJ3" s="126"/>
    </row>
    <row r="4" spans="1:140">
      <c r="A4" s="2224"/>
      <c r="B4" s="3159" t="str">
        <f t="shared" ref="B4:B35" si="0">IF($A4&lt;&gt;"",
      IF(MID($A4,10,2)="VM", VLOOKUP($A4,VMTab,4,FALSE), VLOOKUP($A4,dist_assets,21,FALSE)), "")</f>
        <v/>
      </c>
      <c r="C4" s="2728" t="str">
        <f>IF($A4&lt;&gt;"",VLOOKUP($A4,dist_assets,10,FALSE),"")</f>
        <v/>
      </c>
      <c r="D4" s="3161" t="str">
        <f t="shared" ref="D4:D35" si="1">IF($A4&lt;&gt;"",
      IF(MID($A4,10,2)="VM","Existing", VLOOKUP($A4,dist_assets,3,FALSE)),"")</f>
        <v/>
      </c>
      <c r="E4" s="2909"/>
      <c r="F4" s="2908"/>
      <c r="G4" s="2225" t="str">
        <f t="shared" ref="G4" si="2">IF(A4&lt;&gt;"",VLOOKUP(A4,dist_assets,9,FALSE),"")</f>
        <v/>
      </c>
      <c r="H4" s="2227" t="str">
        <f>IF(A4&lt;&gt;"",VLOOKUP(VLOOKUP(A4,dist_assets,2,FALSE),'Distributed Assets'!$C$7:$F$22,4,FALSE),"")</f>
        <v/>
      </c>
      <c r="I4" s="279" t="str">
        <f>IF(A4&lt;&gt;"",VLOOKUP(A4,'Open Systems'!$A$4:$K$41,3,FALSE),"")</f>
        <v/>
      </c>
      <c r="J4" s="2228"/>
      <c r="K4" s="3163" t="str">
        <f>IFERROR(IF($A4&lt;&gt;"",
IF(MID($A4,10,2)="VM",(CONCATENATE(VLOOKUP($A4,VMware!$A$4:$H$41,5,FALSE)&amp;" x "&amp;VLOOKUP($A4,VMware!$A$4:$H$41,6,FALSE)&amp;" TB")),
IF($J4="OS",VLOOKUP($A4,'Open Systems'!$A$4:$K$41,9,FALSE),VLOOKUP($A4,'Open Systems'!$A$4:$K$41,11,FALSE))),""),"")</f>
        <v/>
      </c>
      <c r="L4" s="2"/>
      <c r="M4" s="3014" t="str">
        <f t="shared" ref="M4:M35" si="3">IFERROR(IF($A4&lt;&gt;"",IF(MID($A4,10,2)="VM",CONCATENATE("Shared with Servers:"&amp; CHAR(10) &amp;VLOOKUP($A4,VMTab,4,FALSE)),VLOOKUP(VLOOKUP($A4,dist_assets,17,FALSE),dist_assets,21,FALSE)),""),"")</f>
        <v/>
      </c>
      <c r="N4" s="817" t="str">
        <f t="shared" ref="N4:N35" si="4">IF($A4&lt;&gt;"",VLOOKUP($A4,dist_assets,16,FALSE),"")</f>
        <v/>
      </c>
      <c r="O4" s="1090"/>
      <c r="P4" s="1019" t="str">
        <f>IF(AND($A4&lt;&gt;"",$G4&lt;&gt;"ESX",$H4="Prod 2.0"),
IF(AND($C4&lt;&gt;"Virtual",$G4="Windows"),REPLACE($B4,1,4,"rftw"),""),"")</f>
        <v/>
      </c>
      <c r="Q4" s="1020"/>
      <c r="R4" s="1020"/>
      <c r="S4" s="1021" t="str">
        <f>IF(AND($A4&lt;&gt;"",$R4&lt;&gt;"",$H4="Prod 2.0"),$R4&amp;"c","")</f>
        <v/>
      </c>
      <c r="T4" s="1017"/>
      <c r="U4" s="1016"/>
      <c r="V4" s="1020" t="str">
        <f t="shared" ref="V4:V35" si="5">IFERROR(IF($A4&lt;&gt;"",
      IF(AND(MID($A4,10,2)="VM", VLOOKUP($A4,VMTab,7,FALSE)="Yes"), $K4,
            IF($H4="Prod 2.0", $K4,"")),""),"")</f>
        <v/>
      </c>
      <c r="W4" s="1022" t="str">
        <f>IF(AND($A4&lt;&gt;"",$H4="Prod 2.0",$V4&lt;&gt;""),SUBSTITUTE($R4,"-v","-g",1),"")</f>
        <v/>
      </c>
      <c r="X4" s="1023" t="str">
        <f>IF(AND($A4&lt;&gt;"",$W4&lt;&gt;"",$H4="Prod 2.0"),$W4&amp;"c","")</f>
        <v/>
      </c>
      <c r="Y4" s="1017" t="str">
        <f>IF(AND($A4&lt;&gt;"",$H4="Prod 2.0",$R4&lt;&gt;""),SUBSTITUTE($T4,"pwau","rftw",1),"")</f>
        <v/>
      </c>
      <c r="Z4" s="1018" t="str">
        <f>IF($U4&lt;&gt;"",$U4,"")</f>
        <v/>
      </c>
      <c r="AA4" s="1022" t="str">
        <f>IF(AND($A4&lt;&gt;"",$H4="Prod 2.0",$G4&lt;&gt;"ESX",$R4&lt;&gt;""),SUBSTITUTE($W4,"-g","-f",1),"")</f>
        <v/>
      </c>
      <c r="AB4" s="1022" t="str">
        <f>IF(AND($A4&lt;&gt;"",$H4="Prod 2.0",$G4&lt;&gt;"ESX",$R4&lt;&gt;""),SUBSTITUTE($AA4,"-f","-s",1),"")</f>
        <v/>
      </c>
      <c r="AC4" s="1022" t="str">
        <f>IF(AND($A4&lt;&gt;"",$H4="Prod 2.0",$G4&lt;&gt;"ESX",$R4&lt;&gt;""),
        IF($N4="Active / Passive",CONCATENATE($B4, "_", RIGHT($M4,5), "-fc"),
              IF($N4="Active / Active",$B4 &amp; "-fc")),"")</f>
        <v/>
      </c>
      <c r="AD4" s="1022" t="str">
        <f>IF($AC4&lt;&gt;"",SUBSTITUTE($AC4,"-fc","-gm",1),"")</f>
        <v/>
      </c>
      <c r="AE4" s="1022" t="str">
        <f>IF($AC$4&lt;&gt;"",SUBSTITUTE($AC4,"-fc","-sefc",1),"")</f>
        <v/>
      </c>
      <c r="AF4" s="2772" t="str">
        <f>IF($A4&lt;&gt;"",
  IF(AND(MID($A4,10,2)="VM", (LEFT($B4,1)="p"), ($V4&lt;&gt;"")),"Add vdisks to the shared servers with a unique SCSI ID across all of the servers. Please add to Global Mirror Solution",
  IF(MID($A4,10,2)="VM","Add vdisks to the shared servers with a unique SCSI ID across all of the servers.","")), "")</f>
        <v/>
      </c>
      <c r="AG4" s="1104" t="str">
        <f>IF($A4&lt;&gt;"",IF(VLOOKUP($A4,dist_assets,28,FALSE)="","N/A",VLOOKUP($A4,dist_assets,28,FALSE)),"")</f>
        <v/>
      </c>
      <c r="AH4" s="2226" t="str">
        <f>IF(AND($D4="Existing",$K4 &lt;&gt;""),"Yes","")</f>
        <v/>
      </c>
    </row>
    <row r="5" spans="1:140" s="931" customFormat="1">
      <c r="A5" s="2224"/>
      <c r="B5" s="1782" t="str">
        <f t="shared" si="0"/>
        <v/>
      </c>
      <c r="C5" s="2728" t="str">
        <f t="shared" ref="C5:C35" si="6">IF($A5&lt;&gt;"",VLOOKUP($A5,dist_assets,10,FALSE),"")</f>
        <v/>
      </c>
      <c r="D5" s="2226" t="str">
        <f t="shared" si="1"/>
        <v/>
      </c>
      <c r="E5" s="2909"/>
      <c r="F5" s="2906"/>
      <c r="G5" s="2225" t="str">
        <f t="shared" ref="G5" si="7">IF(A5&lt;&gt;"",VLOOKUP(A5,dist_assets,9,FALSE),"")</f>
        <v/>
      </c>
      <c r="H5" s="2227" t="str">
        <f>IF(A5&lt;&gt;"",VLOOKUP(VLOOKUP(A5,dist_assets,2,FALSE),'Distributed Assets'!$C$7:$F$22,4,FALSE),"")</f>
        <v/>
      </c>
      <c r="I5" s="279" t="str">
        <f>IF(A5&lt;&gt;"",VLOOKUP(A5,'Open Systems'!$A$4:$K$41,3,FALSE),"")</f>
        <v/>
      </c>
      <c r="J5" s="2228"/>
      <c r="K5" s="3163" t="str">
        <f>IFERROR(IF($A5&lt;&gt;"",
IF(MID($A5,10,2)="VM",(CONCATENATE(VLOOKUP($A5,VMware!$A$4:$H$41,5,FALSE)&amp;" x "&amp;VLOOKUP($A5,VMware!$A$4:$H$41,6,FALSE)&amp;" TB")),
IF($J5="OS",VLOOKUP($A5,'Open Systems'!$A$4:$K$41,9,FALSE),VLOOKUP($A5,'Open Systems'!$A$4:$K$41,11,FALSE))),""),"")</f>
        <v/>
      </c>
      <c r="L5" s="2"/>
      <c r="M5" s="2173" t="str">
        <f t="shared" si="3"/>
        <v/>
      </c>
      <c r="N5" s="817" t="str">
        <f t="shared" si="4"/>
        <v/>
      </c>
      <c r="O5" s="1090"/>
      <c r="P5" s="1019" t="str">
        <f t="shared" ref="P5:P68" si="8">IF(AND($A5&lt;&gt;"",$G5&lt;&gt;"ESX",$H5="Prod 2.0"),
IF(AND($C5&lt;&gt;"Virtual",$G5="Windows"),REPLACE($B5,1,4,"rftw"),""),"")</f>
        <v/>
      </c>
      <c r="Q5" s="1020"/>
      <c r="R5" s="1020"/>
      <c r="S5" s="1021" t="str">
        <f t="shared" ref="S5" si="9">IF(AND($A5&lt;&gt;"",$R5&lt;&gt;"",$H5="Prod 2.0"),R5&amp;"c","")</f>
        <v/>
      </c>
      <c r="T5" s="1017"/>
      <c r="U5" s="1016"/>
      <c r="V5" s="3202" t="str">
        <f t="shared" si="5"/>
        <v/>
      </c>
      <c r="W5" s="1022" t="str">
        <f t="shared" ref="W5" si="10">IF(AND($A5&lt;&gt;"",$H5="Prod 2.0",$V5&lt;&gt;""),SUBSTITUTE(R5,"-v","-g",1),"")</f>
        <v/>
      </c>
      <c r="X5" s="1023" t="str">
        <f t="shared" ref="X5" si="11">IF(AND($A5&lt;&gt;"",$W5&lt;&gt;"",$H5="Prod 2.0"),W5&amp;"c","")</f>
        <v/>
      </c>
      <c r="Y5" s="1017" t="str">
        <f t="shared" ref="Y5" si="12">IF(AND($A5&lt;&gt;"",$H5="Prod 2.0",$R5&lt;&gt;""),SUBSTITUTE(T5,"pwau","rftw",1),"")</f>
        <v/>
      </c>
      <c r="Z5" s="1018" t="str">
        <f t="shared" ref="Z5:Z68" si="13">IF($U5&lt;&gt;"",$U5,"")</f>
        <v/>
      </c>
      <c r="AA5" s="1022" t="str">
        <f t="shared" ref="AA5" si="14">IF(AND($A5&lt;&gt;"",$H5="Prod 2.0",$G5&lt;&gt;"ESX",$R5&lt;&gt;""),SUBSTITUTE(W5,"-g","-f",1),"")</f>
        <v/>
      </c>
      <c r="AB5" s="1022" t="str">
        <f t="shared" ref="AB5" si="15">IF(AND($A5&lt;&gt;"",$H5="Prod 2.0",$G5&lt;&gt;"ESX",$R5&lt;&gt;""),SUBSTITUTE(AA5,"-f","-s",1),"")</f>
        <v/>
      </c>
      <c r="AC5" s="1022" t="str">
        <f t="shared" ref="AC5:AC68" si="16">IF(AND($A5&lt;&gt;"",$H5="Prod 2.0",$G5&lt;&gt;"ESX",$R5&lt;&gt;""),
        IF($N5="Active / Passive",CONCATENATE($B5, "_", RIGHT($M5,5), "-fc"),
              IF($N5="Active / Active",$B5 &amp; "-fc")),"")</f>
        <v/>
      </c>
      <c r="AD5" s="1022" t="str">
        <f t="shared" ref="AD5:AD68" si="17">IF($AC5&lt;&gt;"",SUBSTITUTE($AC5,"-fc","-gm",1),"")</f>
        <v/>
      </c>
      <c r="AE5" s="1022" t="str">
        <f t="shared" ref="AE5:AE68" si="18">IF($AC$4&lt;&gt;"",SUBSTITUTE($AC5,"-fc","-sefc",1),"")</f>
        <v/>
      </c>
      <c r="AF5" s="3249" t="str">
        <f t="shared" ref="AF5:AF68" si="19">IF($A5&lt;&gt;"",
  IF(AND(MID($A5,10,2)="VM", (LEFT($B5,1)="p"), ($V5&lt;&gt;"")),"Add vdisks to the shared servers with a unique SCSI ID across all of the servers. Please add to Global Mirror Solution",
  IF(MID($A5,10,2)="VM","Add vdisks to the shared servers with a unique SCSI ID across all of the servers.","")), "")</f>
        <v/>
      </c>
      <c r="AG5" s="1104" t="str">
        <f>IF($A5&lt;&gt;"",IF(VLOOKUP($A5,dist_assets,28,FALSE)="","N/A",VLOOKUP($A5,dist_assets,28,FALSE)),"")</f>
        <v/>
      </c>
      <c r="AH5" s="2229" t="str">
        <f t="shared" ref="AH5:AH68" si="20">IF(AND($D5="Existing",$K5 &lt;&gt;""),"Yes","")</f>
        <v/>
      </c>
    </row>
    <row r="6" spans="1:140" s="931" customFormat="1">
      <c r="A6" s="2224"/>
      <c r="B6" s="1782" t="str">
        <f t="shared" si="0"/>
        <v/>
      </c>
      <c r="C6" s="2728" t="str">
        <f t="shared" si="6"/>
        <v/>
      </c>
      <c r="D6" s="2226" t="str">
        <f t="shared" si="1"/>
        <v/>
      </c>
      <c r="E6" s="2909"/>
      <c r="F6" s="2906"/>
      <c r="G6" s="2225" t="str">
        <f t="shared" ref="G6:G69" si="21">IF(A6&lt;&gt;"",VLOOKUP(A6,dist_assets,9,FALSE),"")</f>
        <v/>
      </c>
      <c r="H6" s="2227" t="str">
        <f>IF(A6&lt;&gt;"",VLOOKUP(VLOOKUP(A6,dist_assets,2,FALSE),'Distributed Assets'!$C$7:$F$22,4,FALSE),"")</f>
        <v/>
      </c>
      <c r="I6" s="279" t="str">
        <f>IF(A6&lt;&gt;"",VLOOKUP(A6,'Open Systems'!$A$4:$K$41,3,FALSE),"")</f>
        <v/>
      </c>
      <c r="J6" s="2228"/>
      <c r="K6" s="3163" t="str">
        <f>IFERROR(IF($A6&lt;&gt;"",
IF(MID($A6,10,2)="VM",(CONCATENATE(VLOOKUP($A6,VMware!$A$4:$H$41,5,FALSE)&amp;" x "&amp;VLOOKUP($A6,VMware!$A$4:$H$41,6,FALSE)&amp;" TB")),
IF($J6="OS",VLOOKUP($A6,'Open Systems'!$A$4:$K$41,9,FALSE),VLOOKUP($A6,'Open Systems'!$A$4:$K$41,11,FALSE))),""),"")</f>
        <v/>
      </c>
      <c r="L6" s="2"/>
      <c r="M6" s="2173" t="str">
        <f t="shared" si="3"/>
        <v/>
      </c>
      <c r="N6" s="817" t="str">
        <f t="shared" si="4"/>
        <v/>
      </c>
      <c r="O6" s="1090"/>
      <c r="P6" s="1019" t="str">
        <f t="shared" si="8"/>
        <v/>
      </c>
      <c r="Q6" s="1020"/>
      <c r="R6" s="1020"/>
      <c r="S6" s="1021" t="str">
        <f t="shared" ref="S6:S69" si="22">IF(AND($A6&lt;&gt;"",$R6&lt;&gt;"",$H6="Prod 2.0"),R6&amp;"c","")</f>
        <v/>
      </c>
      <c r="T6" s="1017"/>
      <c r="U6" s="1016"/>
      <c r="V6" s="3202" t="str">
        <f t="shared" si="5"/>
        <v/>
      </c>
      <c r="W6" s="1022" t="str">
        <f t="shared" ref="W6:W69" si="23">IF(AND($A6&lt;&gt;"",$H6="Prod 2.0",$V6&lt;&gt;""),SUBSTITUTE(R6,"-v","-g",1),"")</f>
        <v/>
      </c>
      <c r="X6" s="1023" t="str">
        <f t="shared" ref="X6:X69" si="24">IF(AND($A6&lt;&gt;"",$W6&lt;&gt;"",$H6="Prod 2.0"),W6&amp;"c","")</f>
        <v/>
      </c>
      <c r="Y6" s="1017" t="str">
        <f t="shared" ref="Y6:Y69" si="25">IF(AND($A6&lt;&gt;"",$H6="Prod 2.0",$R6&lt;&gt;""),SUBSTITUTE(T6,"pwau","rftw",1),"")</f>
        <v/>
      </c>
      <c r="Z6" s="1018" t="str">
        <f t="shared" si="13"/>
        <v/>
      </c>
      <c r="AA6" s="1022" t="str">
        <f t="shared" ref="AA6:AA69" si="26">IF(AND($A6&lt;&gt;"",$H6="Prod 2.0",$G6&lt;&gt;"ESX",$R6&lt;&gt;""),SUBSTITUTE(W6,"-g","-f",1),"")</f>
        <v/>
      </c>
      <c r="AB6" s="1022" t="str">
        <f t="shared" ref="AB6:AB69" si="27">IF(AND($A6&lt;&gt;"",$H6="Prod 2.0",$G6&lt;&gt;"ESX",$R6&lt;&gt;""),SUBSTITUTE(AA6,"-f","-s",1),"")</f>
        <v/>
      </c>
      <c r="AC6" s="1022" t="str">
        <f t="shared" si="16"/>
        <v/>
      </c>
      <c r="AD6" s="1022" t="str">
        <f t="shared" si="17"/>
        <v/>
      </c>
      <c r="AE6" s="1022" t="str">
        <f t="shared" si="18"/>
        <v/>
      </c>
      <c r="AF6" s="3249" t="str">
        <f t="shared" si="19"/>
        <v/>
      </c>
      <c r="AG6" s="1104" t="str">
        <f>IF($A6&lt;&gt;"",IF(VLOOKUP($A6,dist_assets,28,FALSE)="","N/A",VLOOKUP($A6,dist_assets,28,FALSE)),"")</f>
        <v/>
      </c>
      <c r="AH6" s="2229" t="str">
        <f t="shared" si="20"/>
        <v/>
      </c>
    </row>
    <row r="7" spans="1:140" s="931" customFormat="1">
      <c r="A7" s="2224"/>
      <c r="B7" s="1782" t="str">
        <f t="shared" si="0"/>
        <v/>
      </c>
      <c r="C7" s="2728" t="str">
        <f t="shared" si="6"/>
        <v/>
      </c>
      <c r="D7" s="2226" t="str">
        <f t="shared" si="1"/>
        <v/>
      </c>
      <c r="E7" s="2909"/>
      <c r="F7" s="2906"/>
      <c r="G7" s="2225" t="str">
        <f t="shared" si="21"/>
        <v/>
      </c>
      <c r="H7" s="2227" t="str">
        <f>IF(A7&lt;&gt;"",VLOOKUP(VLOOKUP(A7,dist_assets,2,FALSE),'Distributed Assets'!$C$7:$F$22,4,FALSE),"")</f>
        <v/>
      </c>
      <c r="I7" s="279" t="str">
        <f>IF(A7&lt;&gt;"",VLOOKUP(A7,'Open Systems'!$A$4:$K$41,3,FALSE),"")</f>
        <v/>
      </c>
      <c r="J7" s="2228"/>
      <c r="K7" s="3163" t="str">
        <f>IFERROR(IF($A7&lt;&gt;"",
IF(MID($A7,10,2)="VM",(CONCATENATE(VLOOKUP($A7,VMware!$A$4:$H$41,5,FALSE)&amp;" x "&amp;VLOOKUP($A7,VMware!$A$4:$H$41,6,FALSE)&amp;" TB")),
IF($J7="OS",VLOOKUP($A7,'Open Systems'!$A$4:$K$41,9,FALSE),VLOOKUP($A7,'Open Systems'!$A$4:$K$41,11,FALSE))),""),"")</f>
        <v/>
      </c>
      <c r="L7" s="2"/>
      <c r="M7" s="2173" t="str">
        <f t="shared" si="3"/>
        <v/>
      </c>
      <c r="N7" s="817" t="str">
        <f t="shared" si="4"/>
        <v/>
      </c>
      <c r="O7" s="1090"/>
      <c r="P7" s="1019" t="str">
        <f t="shared" si="8"/>
        <v/>
      </c>
      <c r="Q7" s="1020"/>
      <c r="R7" s="1020"/>
      <c r="S7" s="1021" t="str">
        <f t="shared" si="22"/>
        <v/>
      </c>
      <c r="T7" s="1017"/>
      <c r="U7" s="1016"/>
      <c r="V7" s="3202" t="str">
        <f t="shared" si="5"/>
        <v/>
      </c>
      <c r="W7" s="1022" t="str">
        <f t="shared" si="23"/>
        <v/>
      </c>
      <c r="X7" s="1023" t="str">
        <f t="shared" si="24"/>
        <v/>
      </c>
      <c r="Y7" s="1017" t="str">
        <f t="shared" si="25"/>
        <v/>
      </c>
      <c r="Z7" s="1018" t="str">
        <f t="shared" si="13"/>
        <v/>
      </c>
      <c r="AA7" s="1022" t="str">
        <f t="shared" si="26"/>
        <v/>
      </c>
      <c r="AB7" s="1022" t="str">
        <f t="shared" si="27"/>
        <v/>
      </c>
      <c r="AC7" s="1022" t="str">
        <f t="shared" si="16"/>
        <v/>
      </c>
      <c r="AD7" s="1022" t="str">
        <f t="shared" si="17"/>
        <v/>
      </c>
      <c r="AE7" s="1022" t="str">
        <f t="shared" si="18"/>
        <v/>
      </c>
      <c r="AF7" s="3249" t="str">
        <f t="shared" si="19"/>
        <v/>
      </c>
      <c r="AG7" s="1104" t="str">
        <f>IF($A7&lt;&gt;"",IF(VLOOKUP($A7,'Distributed Assets'!$B$28:$AC$102,26,FALSE)="","N/A",VLOOKUP($A7,'Distributed Assets'!$B$28:$AC$102,26,FALSE)),"")</f>
        <v/>
      </c>
      <c r="AH7" s="2229" t="str">
        <f t="shared" si="20"/>
        <v/>
      </c>
    </row>
    <row r="8" spans="1:140" s="931" customFormat="1">
      <c r="A8" s="2224"/>
      <c r="B8" s="1782" t="str">
        <f t="shared" si="0"/>
        <v/>
      </c>
      <c r="C8" s="2728" t="str">
        <f t="shared" si="6"/>
        <v/>
      </c>
      <c r="D8" s="2226" t="str">
        <f t="shared" si="1"/>
        <v/>
      </c>
      <c r="E8" s="2909"/>
      <c r="F8" s="2906"/>
      <c r="G8" s="2225" t="str">
        <f t="shared" si="21"/>
        <v/>
      </c>
      <c r="H8" s="2227" t="str">
        <f>IF(A8&lt;&gt;"",VLOOKUP(VLOOKUP(A8,dist_assets,2,FALSE),'Distributed Assets'!$C$7:$F$22,4,FALSE),"")</f>
        <v/>
      </c>
      <c r="I8" s="279" t="str">
        <f>IF(A8&lt;&gt;"",VLOOKUP(A8,'Open Systems'!$A$4:$K$41,3,FALSE),"")</f>
        <v/>
      </c>
      <c r="J8" s="2228"/>
      <c r="K8" s="3163" t="str">
        <f>IFERROR(IF($A8&lt;&gt;"",
IF(MID($A8,10,2)="VM",(CONCATENATE(VLOOKUP($A8,VMware!$A$4:$H$41,5,FALSE)&amp;" x "&amp;VLOOKUP($A8,VMware!$A$4:$H$41,6,FALSE)&amp;" TB")),
IF($J8="OS",VLOOKUP($A8,'Open Systems'!$A$4:$K$41,9,FALSE),VLOOKUP($A8,'Open Systems'!$A$4:$K$41,11,FALSE))),""),"")</f>
        <v/>
      </c>
      <c r="L8" s="2"/>
      <c r="M8" s="2173" t="str">
        <f t="shared" si="3"/>
        <v/>
      </c>
      <c r="N8" s="817" t="str">
        <f t="shared" si="4"/>
        <v/>
      </c>
      <c r="O8" s="1090"/>
      <c r="P8" s="1019" t="str">
        <f t="shared" si="8"/>
        <v/>
      </c>
      <c r="Q8" s="1020"/>
      <c r="R8" s="1020"/>
      <c r="S8" s="1021" t="str">
        <f t="shared" si="22"/>
        <v/>
      </c>
      <c r="T8" s="1017"/>
      <c r="U8" s="1016"/>
      <c r="V8" s="3202" t="str">
        <f t="shared" si="5"/>
        <v/>
      </c>
      <c r="W8" s="1022" t="str">
        <f t="shared" si="23"/>
        <v/>
      </c>
      <c r="X8" s="1023" t="str">
        <f t="shared" si="24"/>
        <v/>
      </c>
      <c r="Y8" s="1017" t="str">
        <f t="shared" si="25"/>
        <v/>
      </c>
      <c r="Z8" s="1018" t="str">
        <f t="shared" si="13"/>
        <v/>
      </c>
      <c r="AA8" s="1022" t="str">
        <f t="shared" si="26"/>
        <v/>
      </c>
      <c r="AB8" s="1022" t="str">
        <f t="shared" si="27"/>
        <v/>
      </c>
      <c r="AC8" s="1022" t="str">
        <f t="shared" si="16"/>
        <v/>
      </c>
      <c r="AD8" s="1022" t="str">
        <f t="shared" si="17"/>
        <v/>
      </c>
      <c r="AE8" s="1022" t="str">
        <f t="shared" si="18"/>
        <v/>
      </c>
      <c r="AF8" s="3249" t="str">
        <f t="shared" si="19"/>
        <v/>
      </c>
      <c r="AG8" s="1104" t="str">
        <f>IF($A8&lt;&gt;"",IF(VLOOKUP($A8,'Distributed Assets'!$B$28:$AC$102,26,FALSE)="","N/A",VLOOKUP($A8,'Distributed Assets'!$B$28:$AC$102,26,FALSE)),"")</f>
        <v/>
      </c>
      <c r="AH8" s="2229" t="str">
        <f t="shared" si="20"/>
        <v/>
      </c>
    </row>
    <row r="9" spans="1:140" s="931" customFormat="1">
      <c r="A9" s="2224"/>
      <c r="B9" s="1782" t="str">
        <f t="shared" si="0"/>
        <v/>
      </c>
      <c r="C9" s="2728" t="str">
        <f t="shared" si="6"/>
        <v/>
      </c>
      <c r="D9" s="2226" t="str">
        <f t="shared" si="1"/>
        <v/>
      </c>
      <c r="E9" s="2909"/>
      <c r="F9" s="2906"/>
      <c r="G9" s="2225" t="str">
        <f t="shared" si="21"/>
        <v/>
      </c>
      <c r="H9" s="2227" t="str">
        <f>IF(A9&lt;&gt;"",VLOOKUP(VLOOKUP(A9,dist_assets,2,FALSE),'Distributed Assets'!$C$7:$F$22,4,FALSE),"")</f>
        <v/>
      </c>
      <c r="I9" s="279" t="str">
        <f>IF(A9&lt;&gt;"",VLOOKUP(A9,'Open Systems'!$A$4:$K$41,3,FALSE),"")</f>
        <v/>
      </c>
      <c r="J9" s="2228"/>
      <c r="K9" s="3163" t="str">
        <f>IFERROR(IF($A9&lt;&gt;"",
IF(MID($A9,10,2)="VM",(CONCATENATE(VLOOKUP($A9,VMware!$A$4:$H$41,5,FALSE)&amp;" x "&amp;VLOOKUP($A9,VMware!$A$4:$H$41,6,FALSE)&amp;" TB")),
IF($J9="OS",VLOOKUP($A9,'Open Systems'!$A$4:$K$41,9,FALSE),VLOOKUP($A9,'Open Systems'!$A$4:$K$41,11,FALSE))),""),"")</f>
        <v/>
      </c>
      <c r="L9" s="2"/>
      <c r="M9" s="2173" t="str">
        <f t="shared" si="3"/>
        <v/>
      </c>
      <c r="N9" s="817" t="str">
        <f t="shared" si="4"/>
        <v/>
      </c>
      <c r="O9" s="1090"/>
      <c r="P9" s="1019" t="str">
        <f t="shared" si="8"/>
        <v/>
      </c>
      <c r="Q9" s="1020"/>
      <c r="R9" s="1020"/>
      <c r="S9" s="1021" t="str">
        <f t="shared" si="22"/>
        <v/>
      </c>
      <c r="T9" s="1017"/>
      <c r="U9" s="1016"/>
      <c r="V9" s="3202" t="str">
        <f t="shared" si="5"/>
        <v/>
      </c>
      <c r="W9" s="1022" t="str">
        <f t="shared" si="23"/>
        <v/>
      </c>
      <c r="X9" s="1023" t="str">
        <f t="shared" si="24"/>
        <v/>
      </c>
      <c r="Y9" s="1017" t="str">
        <f t="shared" si="25"/>
        <v/>
      </c>
      <c r="Z9" s="1018" t="str">
        <f t="shared" si="13"/>
        <v/>
      </c>
      <c r="AA9" s="1022" t="str">
        <f t="shared" si="26"/>
        <v/>
      </c>
      <c r="AB9" s="1022" t="str">
        <f t="shared" si="27"/>
        <v/>
      </c>
      <c r="AC9" s="1022" t="str">
        <f t="shared" si="16"/>
        <v/>
      </c>
      <c r="AD9" s="1022" t="str">
        <f t="shared" si="17"/>
        <v/>
      </c>
      <c r="AE9" s="1022" t="str">
        <f t="shared" si="18"/>
        <v/>
      </c>
      <c r="AF9" s="3249" t="str">
        <f t="shared" si="19"/>
        <v/>
      </c>
      <c r="AG9" s="1104" t="str">
        <f>IF($A9&lt;&gt;"",IF(VLOOKUP($A9,'Distributed Assets'!$B$28:$AC$102,26,FALSE)="","N/A",VLOOKUP($A9,'Distributed Assets'!$B$28:$AC$102,26,FALSE)),"")</f>
        <v/>
      </c>
      <c r="AH9" s="2229" t="str">
        <f t="shared" si="20"/>
        <v/>
      </c>
    </row>
    <row r="10" spans="1:140" s="931" customFormat="1">
      <c r="A10" s="2224"/>
      <c r="B10" s="1782" t="str">
        <f t="shared" si="0"/>
        <v/>
      </c>
      <c r="C10" s="2728" t="str">
        <f t="shared" si="6"/>
        <v/>
      </c>
      <c r="D10" s="2226" t="str">
        <f t="shared" si="1"/>
        <v/>
      </c>
      <c r="E10" s="2909"/>
      <c r="F10" s="2906"/>
      <c r="G10" s="2225" t="str">
        <f t="shared" si="21"/>
        <v/>
      </c>
      <c r="H10" s="2227" t="str">
        <f>IF(A10&lt;&gt;"",VLOOKUP(VLOOKUP(A10,dist_assets,2,FALSE),'Distributed Assets'!$C$7:$F$22,4,FALSE),"")</f>
        <v/>
      </c>
      <c r="I10" s="279" t="str">
        <f>IF(A10&lt;&gt;"",VLOOKUP(A10,'Open Systems'!$A$4:$K$41,3,FALSE),"")</f>
        <v/>
      </c>
      <c r="J10" s="2228"/>
      <c r="K10" s="3163" t="str">
        <f>IFERROR(IF($A10&lt;&gt;"",
IF(MID($A10,10,2)="VM",(CONCATENATE(VLOOKUP($A10,VMware!$A$4:$H$41,5,FALSE)&amp;" x "&amp;VLOOKUP($A10,VMware!$A$4:$H$41,6,FALSE)&amp;" TB")),
IF($J10="OS",VLOOKUP($A10,'Open Systems'!$A$4:$K$41,9,FALSE),VLOOKUP($A10,'Open Systems'!$A$4:$K$41,11,FALSE))),""),"")</f>
        <v/>
      </c>
      <c r="L10" s="2"/>
      <c r="M10" s="2173" t="str">
        <f t="shared" si="3"/>
        <v/>
      </c>
      <c r="N10" s="817" t="str">
        <f t="shared" si="4"/>
        <v/>
      </c>
      <c r="O10" s="1090"/>
      <c r="P10" s="1019" t="str">
        <f t="shared" si="8"/>
        <v/>
      </c>
      <c r="Q10" s="1020"/>
      <c r="R10" s="1020"/>
      <c r="S10" s="1021" t="str">
        <f t="shared" si="22"/>
        <v/>
      </c>
      <c r="T10" s="1017"/>
      <c r="U10" s="1016"/>
      <c r="V10" s="3202" t="str">
        <f t="shared" si="5"/>
        <v/>
      </c>
      <c r="W10" s="1022" t="str">
        <f t="shared" si="23"/>
        <v/>
      </c>
      <c r="X10" s="1023" t="str">
        <f t="shared" si="24"/>
        <v/>
      </c>
      <c r="Y10" s="1017" t="str">
        <f t="shared" si="25"/>
        <v/>
      </c>
      <c r="Z10" s="1018" t="str">
        <f t="shared" si="13"/>
        <v/>
      </c>
      <c r="AA10" s="1022" t="str">
        <f t="shared" si="26"/>
        <v/>
      </c>
      <c r="AB10" s="1022" t="str">
        <f t="shared" si="27"/>
        <v/>
      </c>
      <c r="AC10" s="1022" t="str">
        <f t="shared" si="16"/>
        <v/>
      </c>
      <c r="AD10" s="1022" t="str">
        <f t="shared" si="17"/>
        <v/>
      </c>
      <c r="AE10" s="1022" t="str">
        <f t="shared" si="18"/>
        <v/>
      </c>
      <c r="AF10" s="3249" t="str">
        <f t="shared" si="19"/>
        <v/>
      </c>
      <c r="AG10" s="1104" t="str">
        <f>IF($A10&lt;&gt;"",IF(VLOOKUP($A10,'Distributed Assets'!$B$28:$AC$102,26,FALSE)="","N/A",VLOOKUP($A10,'Distributed Assets'!$B$28:$AC$102,26,FALSE)),"")</f>
        <v/>
      </c>
      <c r="AH10" s="2229" t="str">
        <f t="shared" si="20"/>
        <v/>
      </c>
    </row>
    <row r="11" spans="1:140">
      <c r="A11" s="2224"/>
      <c r="B11" s="1782" t="str">
        <f t="shared" si="0"/>
        <v/>
      </c>
      <c r="C11" s="2728" t="str">
        <f t="shared" si="6"/>
        <v/>
      </c>
      <c r="D11" s="2226" t="str">
        <f t="shared" si="1"/>
        <v/>
      </c>
      <c r="E11" s="2909"/>
      <c r="F11" s="2906"/>
      <c r="G11" s="2225" t="str">
        <f t="shared" si="21"/>
        <v/>
      </c>
      <c r="H11" s="2227" t="str">
        <f>IF(A11&lt;&gt;"",VLOOKUP(VLOOKUP(A11,dist_assets,2,FALSE),'Distributed Assets'!$C$7:$F$22,4,FALSE),"")</f>
        <v/>
      </c>
      <c r="I11" s="279" t="str">
        <f>IF(A11&lt;&gt;"",VLOOKUP(A11,'Open Systems'!$A$4:$K$41,3,FALSE),"")</f>
        <v/>
      </c>
      <c r="J11" s="2228"/>
      <c r="K11" s="3163" t="str">
        <f>IFERROR(IF($A11&lt;&gt;"",
IF(MID($A11,10,2)="VM",(CONCATENATE(VLOOKUP($A11,VMware!$A$4:$H$41,5,FALSE)&amp;" x "&amp;VLOOKUP($A11,VMware!$A$4:$H$41,6,FALSE)&amp;" TB")),
IF($J11="OS",VLOOKUP($A11,'Open Systems'!$A$4:$K$41,9,FALSE),VLOOKUP($A11,'Open Systems'!$A$4:$K$41,11,FALSE))),""),"")</f>
        <v/>
      </c>
      <c r="L11" s="2"/>
      <c r="M11" s="2173" t="str">
        <f t="shared" si="3"/>
        <v/>
      </c>
      <c r="N11" s="817" t="str">
        <f t="shared" si="4"/>
        <v/>
      </c>
      <c r="O11" s="1090"/>
      <c r="P11" s="1019" t="str">
        <f t="shared" si="8"/>
        <v/>
      </c>
      <c r="Q11" s="1020"/>
      <c r="R11" s="1020"/>
      <c r="S11" s="1021" t="str">
        <f t="shared" si="22"/>
        <v/>
      </c>
      <c r="T11" s="1017"/>
      <c r="U11" s="1016"/>
      <c r="V11" s="3202" t="str">
        <f t="shared" si="5"/>
        <v/>
      </c>
      <c r="W11" s="1022" t="str">
        <f t="shared" si="23"/>
        <v/>
      </c>
      <c r="X11" s="1023" t="str">
        <f t="shared" si="24"/>
        <v/>
      </c>
      <c r="Y11" s="1017" t="str">
        <f t="shared" si="25"/>
        <v/>
      </c>
      <c r="Z11" s="1018" t="str">
        <f t="shared" si="13"/>
        <v/>
      </c>
      <c r="AA11" s="1022" t="str">
        <f t="shared" si="26"/>
        <v/>
      </c>
      <c r="AB11" s="1022" t="str">
        <f t="shared" si="27"/>
        <v/>
      </c>
      <c r="AC11" s="1022" t="str">
        <f t="shared" si="16"/>
        <v/>
      </c>
      <c r="AD11" s="1022" t="str">
        <f t="shared" si="17"/>
        <v/>
      </c>
      <c r="AE11" s="1022" t="str">
        <f t="shared" si="18"/>
        <v/>
      </c>
      <c r="AF11" s="3249" t="str">
        <f t="shared" si="19"/>
        <v/>
      </c>
      <c r="AG11" s="1104" t="str">
        <f>IF($A11&lt;&gt;"",IF(VLOOKUP($A11,'Distributed Assets'!$B$28:$AC$102,26,FALSE)="","N/A",VLOOKUP($A11,'Distributed Assets'!$B$28:$AC$102,26,FALSE)),"")</f>
        <v/>
      </c>
      <c r="AH11" s="2229" t="str">
        <f t="shared" si="20"/>
        <v/>
      </c>
    </row>
    <row r="12" spans="1:140">
      <c r="A12" s="2224"/>
      <c r="B12" s="1782" t="str">
        <f t="shared" si="0"/>
        <v/>
      </c>
      <c r="C12" s="2728" t="str">
        <f t="shared" si="6"/>
        <v/>
      </c>
      <c r="D12" s="2226" t="str">
        <f t="shared" si="1"/>
        <v/>
      </c>
      <c r="E12" s="2909"/>
      <c r="F12" s="2906"/>
      <c r="G12" s="2225" t="str">
        <f t="shared" si="21"/>
        <v/>
      </c>
      <c r="H12" s="2227" t="str">
        <f>IF(A12&lt;&gt;"",VLOOKUP(VLOOKUP(A12,dist_assets,2,FALSE),'Distributed Assets'!$C$7:$F$22,4,FALSE),"")</f>
        <v/>
      </c>
      <c r="I12" s="279" t="str">
        <f>IF(A12&lt;&gt;"",VLOOKUP(A12,'Open Systems'!$A$4:$K$41,3,FALSE),"")</f>
        <v/>
      </c>
      <c r="J12" s="2228"/>
      <c r="K12" s="3163" t="str">
        <f>IFERROR(IF($A12&lt;&gt;"",
IF(MID($A12,10,2)="VM",(CONCATENATE(VLOOKUP($A12,VMware!$A$4:$H$41,5,FALSE)&amp;" x "&amp;VLOOKUP($A12,VMware!$A$4:$H$41,6,FALSE)&amp;" TB")),
IF($J12="OS",VLOOKUP($A12,'Open Systems'!$A$4:$K$41,9,FALSE),VLOOKUP($A12,'Open Systems'!$A$4:$K$41,11,FALSE))),""),"")</f>
        <v/>
      </c>
      <c r="L12" s="2"/>
      <c r="M12" s="2173" t="str">
        <f t="shared" si="3"/>
        <v/>
      </c>
      <c r="N12" s="817" t="str">
        <f t="shared" si="4"/>
        <v/>
      </c>
      <c r="O12" s="1090"/>
      <c r="P12" s="1019" t="str">
        <f t="shared" si="8"/>
        <v/>
      </c>
      <c r="Q12" s="1020"/>
      <c r="R12" s="1020"/>
      <c r="S12" s="1021" t="str">
        <f t="shared" si="22"/>
        <v/>
      </c>
      <c r="T12" s="1017"/>
      <c r="U12" s="1016"/>
      <c r="V12" s="3202" t="str">
        <f t="shared" si="5"/>
        <v/>
      </c>
      <c r="W12" s="1022" t="str">
        <f t="shared" si="23"/>
        <v/>
      </c>
      <c r="X12" s="1023" t="str">
        <f t="shared" si="24"/>
        <v/>
      </c>
      <c r="Y12" s="1017" t="str">
        <f t="shared" si="25"/>
        <v/>
      </c>
      <c r="Z12" s="1018" t="str">
        <f t="shared" si="13"/>
        <v/>
      </c>
      <c r="AA12" s="1022" t="str">
        <f t="shared" si="26"/>
        <v/>
      </c>
      <c r="AB12" s="1022" t="str">
        <f t="shared" si="27"/>
        <v/>
      </c>
      <c r="AC12" s="1022" t="str">
        <f t="shared" si="16"/>
        <v/>
      </c>
      <c r="AD12" s="1022" t="str">
        <f t="shared" si="17"/>
        <v/>
      </c>
      <c r="AE12" s="1022" t="str">
        <f t="shared" si="18"/>
        <v/>
      </c>
      <c r="AF12" s="3249" t="str">
        <f t="shared" si="19"/>
        <v/>
      </c>
      <c r="AG12" s="1104" t="str">
        <f>IF($A12&lt;&gt;"",IF(VLOOKUP($A12,'Distributed Assets'!$B$28:$AC$102,26,FALSE)="","N/A",VLOOKUP($A12,'Distributed Assets'!$B$28:$AC$102,26,FALSE)),"")</f>
        <v/>
      </c>
      <c r="AH12" s="2229" t="str">
        <f t="shared" si="20"/>
        <v/>
      </c>
    </row>
    <row r="13" spans="1:140">
      <c r="A13" s="2224"/>
      <c r="B13" s="1782" t="str">
        <f t="shared" si="0"/>
        <v/>
      </c>
      <c r="C13" s="2728" t="str">
        <f t="shared" si="6"/>
        <v/>
      </c>
      <c r="D13" s="2226" t="str">
        <f t="shared" si="1"/>
        <v/>
      </c>
      <c r="E13" s="2909"/>
      <c r="F13" s="2906"/>
      <c r="G13" s="2225" t="str">
        <f t="shared" si="21"/>
        <v/>
      </c>
      <c r="H13" s="2227" t="str">
        <f>IF(A13&lt;&gt;"",VLOOKUP(VLOOKUP(A13,dist_assets,2,FALSE),'Distributed Assets'!$C$7:$F$22,4,FALSE),"")</f>
        <v/>
      </c>
      <c r="I13" s="279" t="str">
        <f>IF(A13&lt;&gt;"",VLOOKUP(A13,'Open Systems'!$A$4:$K$41,3,FALSE),"")</f>
        <v/>
      </c>
      <c r="J13" s="2228"/>
      <c r="K13" s="3163" t="str">
        <f>IFERROR(IF($A13&lt;&gt;"",
IF(MID($A13,10,2)="VM",(CONCATENATE(VLOOKUP($A13,VMware!$A$4:$H$41,5,FALSE)&amp;" x "&amp;VLOOKUP($A13,VMware!$A$4:$H$41,6,FALSE)&amp;" TB")),
IF($J13="OS",VLOOKUP($A13,'Open Systems'!$A$4:$K$41,9,FALSE),VLOOKUP($A13,'Open Systems'!$A$4:$K$41,11,FALSE))),""),"")</f>
        <v/>
      </c>
      <c r="L13" s="2"/>
      <c r="M13" s="2173" t="str">
        <f t="shared" si="3"/>
        <v/>
      </c>
      <c r="N13" s="817" t="str">
        <f t="shared" si="4"/>
        <v/>
      </c>
      <c r="O13" s="1090"/>
      <c r="P13" s="1019" t="str">
        <f t="shared" si="8"/>
        <v/>
      </c>
      <c r="Q13" s="1020"/>
      <c r="R13" s="1020"/>
      <c r="S13" s="1021" t="str">
        <f t="shared" si="22"/>
        <v/>
      </c>
      <c r="T13" s="1017"/>
      <c r="U13" s="1016"/>
      <c r="V13" s="3202" t="str">
        <f t="shared" si="5"/>
        <v/>
      </c>
      <c r="W13" s="1022" t="str">
        <f t="shared" si="23"/>
        <v/>
      </c>
      <c r="X13" s="1023" t="str">
        <f t="shared" si="24"/>
        <v/>
      </c>
      <c r="Y13" s="1017" t="str">
        <f t="shared" si="25"/>
        <v/>
      </c>
      <c r="Z13" s="1018" t="str">
        <f t="shared" si="13"/>
        <v/>
      </c>
      <c r="AA13" s="1022" t="str">
        <f t="shared" si="26"/>
        <v/>
      </c>
      <c r="AB13" s="1022" t="str">
        <f t="shared" si="27"/>
        <v/>
      </c>
      <c r="AC13" s="1022" t="str">
        <f t="shared" si="16"/>
        <v/>
      </c>
      <c r="AD13" s="1022" t="str">
        <f t="shared" si="17"/>
        <v/>
      </c>
      <c r="AE13" s="1022" t="str">
        <f t="shared" si="18"/>
        <v/>
      </c>
      <c r="AF13" s="3249" t="str">
        <f t="shared" si="19"/>
        <v/>
      </c>
      <c r="AG13" s="1104" t="str">
        <f>IF($A13&lt;&gt;"",IF(VLOOKUP($A13,'Distributed Assets'!$B$28:$AC$102,26,FALSE)="","N/A",VLOOKUP($A13,'Distributed Assets'!$B$28:$AC$102,26,FALSE)),"")</f>
        <v/>
      </c>
      <c r="AH13" s="2229" t="str">
        <f t="shared" si="20"/>
        <v/>
      </c>
    </row>
    <row r="14" spans="1:140">
      <c r="A14" s="2224"/>
      <c r="B14" s="1782" t="str">
        <f t="shared" si="0"/>
        <v/>
      </c>
      <c r="C14" s="2728" t="str">
        <f t="shared" si="6"/>
        <v/>
      </c>
      <c r="D14" s="2226" t="str">
        <f t="shared" si="1"/>
        <v/>
      </c>
      <c r="E14" s="2909"/>
      <c r="F14" s="2906"/>
      <c r="G14" s="2225" t="str">
        <f t="shared" si="21"/>
        <v/>
      </c>
      <c r="H14" s="2227" t="str">
        <f>IF(A14&lt;&gt;"",VLOOKUP(VLOOKUP(A14,dist_assets,2,FALSE),'Distributed Assets'!$C$7:$F$22,4,FALSE),"")</f>
        <v/>
      </c>
      <c r="I14" s="279" t="str">
        <f>IF(A14&lt;&gt;"",VLOOKUP(A14,'Open Systems'!$A$4:$K$41,3,FALSE),"")</f>
        <v/>
      </c>
      <c r="J14" s="2228"/>
      <c r="K14" s="3163" t="str">
        <f>IFERROR(IF($A14&lt;&gt;"",
IF(MID($A14,10,2)="VM",(CONCATENATE(VLOOKUP($A14,VMware!$A$4:$H$41,5,FALSE)&amp;" x "&amp;VLOOKUP($A14,VMware!$A$4:$H$41,6,FALSE)&amp;" TB")),
IF($J14="OS",VLOOKUP($A14,'Open Systems'!$A$4:$K$41,9,FALSE),VLOOKUP($A14,'Open Systems'!$A$4:$K$41,11,FALSE))),""),"")</f>
        <v/>
      </c>
      <c r="L14" s="2"/>
      <c r="M14" s="2173" t="str">
        <f t="shared" si="3"/>
        <v/>
      </c>
      <c r="N14" s="817" t="str">
        <f t="shared" si="4"/>
        <v/>
      </c>
      <c r="O14" s="1090"/>
      <c r="P14" s="1019" t="str">
        <f t="shared" si="8"/>
        <v/>
      </c>
      <c r="Q14" s="1020"/>
      <c r="R14" s="1020"/>
      <c r="S14" s="1021" t="str">
        <f t="shared" si="22"/>
        <v/>
      </c>
      <c r="T14" s="1017"/>
      <c r="U14" s="1016"/>
      <c r="V14" s="3202" t="str">
        <f t="shared" si="5"/>
        <v/>
      </c>
      <c r="W14" s="1022" t="str">
        <f t="shared" si="23"/>
        <v/>
      </c>
      <c r="X14" s="1023" t="str">
        <f t="shared" si="24"/>
        <v/>
      </c>
      <c r="Y14" s="1017" t="str">
        <f t="shared" si="25"/>
        <v/>
      </c>
      <c r="Z14" s="1018" t="str">
        <f t="shared" si="13"/>
        <v/>
      </c>
      <c r="AA14" s="1022" t="str">
        <f t="shared" si="26"/>
        <v/>
      </c>
      <c r="AB14" s="1022" t="str">
        <f t="shared" si="27"/>
        <v/>
      </c>
      <c r="AC14" s="1022" t="str">
        <f t="shared" si="16"/>
        <v/>
      </c>
      <c r="AD14" s="1022" t="str">
        <f t="shared" si="17"/>
        <v/>
      </c>
      <c r="AE14" s="1022" t="str">
        <f t="shared" si="18"/>
        <v/>
      </c>
      <c r="AF14" s="3249" t="str">
        <f t="shared" si="19"/>
        <v/>
      </c>
      <c r="AG14" s="1104" t="str">
        <f>IF($A14&lt;&gt;"",IF(VLOOKUP($A14,'Distributed Assets'!$B$28:$AC$102,26,FALSE)="","N/A",VLOOKUP($A14,'Distributed Assets'!$B$28:$AC$102,26,FALSE)),"")</f>
        <v/>
      </c>
      <c r="AH14" s="2229" t="str">
        <f t="shared" si="20"/>
        <v/>
      </c>
    </row>
    <row r="15" spans="1:140">
      <c r="A15" s="2224"/>
      <c r="B15" s="1782" t="str">
        <f t="shared" si="0"/>
        <v/>
      </c>
      <c r="C15" s="2728" t="str">
        <f t="shared" si="6"/>
        <v/>
      </c>
      <c r="D15" s="2226" t="str">
        <f t="shared" si="1"/>
        <v/>
      </c>
      <c r="E15" s="2909"/>
      <c r="F15" s="2906"/>
      <c r="G15" s="2225" t="str">
        <f t="shared" si="21"/>
        <v/>
      </c>
      <c r="H15" s="2227" t="str">
        <f>IF(A15&lt;&gt;"",VLOOKUP(VLOOKUP(A15,dist_assets,2,FALSE),'Distributed Assets'!$C$7:$F$22,4,FALSE),"")</f>
        <v/>
      </c>
      <c r="I15" s="279" t="str">
        <f>IF(A15&lt;&gt;"",VLOOKUP(A15,'Open Systems'!$A$4:$K$41,3,FALSE),"")</f>
        <v/>
      </c>
      <c r="J15" s="2228"/>
      <c r="K15" s="3163" t="str">
        <f>IFERROR(IF($A15&lt;&gt;"",
IF(MID($A15,10,2)="VM",(CONCATENATE(VLOOKUP($A15,VMware!$A$4:$H$41,5,FALSE)&amp;" x "&amp;VLOOKUP($A15,VMware!$A$4:$H$41,6,FALSE)&amp;" TB")),
IF($J15="OS",VLOOKUP($A15,'Open Systems'!$A$4:$K$41,9,FALSE),VLOOKUP($A15,'Open Systems'!$A$4:$K$41,11,FALSE))),""),"")</f>
        <v/>
      </c>
      <c r="L15" s="2"/>
      <c r="M15" s="2173" t="str">
        <f t="shared" si="3"/>
        <v/>
      </c>
      <c r="N15" s="817" t="str">
        <f t="shared" si="4"/>
        <v/>
      </c>
      <c r="O15" s="1090"/>
      <c r="P15" s="1019" t="str">
        <f t="shared" si="8"/>
        <v/>
      </c>
      <c r="Q15" s="1020"/>
      <c r="R15" s="1020"/>
      <c r="S15" s="1021" t="str">
        <f t="shared" si="22"/>
        <v/>
      </c>
      <c r="T15" s="1017"/>
      <c r="U15" s="1016"/>
      <c r="V15" s="3202" t="str">
        <f t="shared" si="5"/>
        <v/>
      </c>
      <c r="W15" s="1022" t="str">
        <f t="shared" si="23"/>
        <v/>
      </c>
      <c r="X15" s="1023" t="str">
        <f t="shared" si="24"/>
        <v/>
      </c>
      <c r="Y15" s="1017" t="str">
        <f t="shared" si="25"/>
        <v/>
      </c>
      <c r="Z15" s="1018" t="str">
        <f t="shared" si="13"/>
        <v/>
      </c>
      <c r="AA15" s="1022" t="str">
        <f t="shared" si="26"/>
        <v/>
      </c>
      <c r="AB15" s="1022" t="str">
        <f t="shared" si="27"/>
        <v/>
      </c>
      <c r="AC15" s="1022" t="str">
        <f t="shared" si="16"/>
        <v/>
      </c>
      <c r="AD15" s="1022" t="str">
        <f t="shared" si="17"/>
        <v/>
      </c>
      <c r="AE15" s="1022" t="str">
        <f t="shared" si="18"/>
        <v/>
      </c>
      <c r="AF15" s="3249" t="str">
        <f t="shared" si="19"/>
        <v/>
      </c>
      <c r="AG15" s="1104" t="str">
        <f>IF($A15&lt;&gt;"",IF(VLOOKUP($A15,'Distributed Assets'!$B$28:$AC$102,26,FALSE)="","N/A",VLOOKUP($A15,'Distributed Assets'!$B$28:$AC$102,26,FALSE)),"")</f>
        <v/>
      </c>
      <c r="AH15" s="2229" t="str">
        <f t="shared" si="20"/>
        <v/>
      </c>
    </row>
    <row r="16" spans="1:140">
      <c r="A16" s="2224"/>
      <c r="B16" s="1782" t="str">
        <f t="shared" si="0"/>
        <v/>
      </c>
      <c r="C16" s="2728" t="str">
        <f t="shared" si="6"/>
        <v/>
      </c>
      <c r="D16" s="2226" t="str">
        <f t="shared" si="1"/>
        <v/>
      </c>
      <c r="E16" s="2909"/>
      <c r="F16" s="2906"/>
      <c r="G16" s="2225" t="str">
        <f t="shared" si="21"/>
        <v/>
      </c>
      <c r="H16" s="2227" t="str">
        <f>IF(A16&lt;&gt;"",VLOOKUP(VLOOKUP(A16,dist_assets,2,FALSE),'Distributed Assets'!$C$7:$F$22,4,FALSE),"")</f>
        <v/>
      </c>
      <c r="I16" s="279" t="str">
        <f>IF(A16&lt;&gt;"",VLOOKUP(A16,'Open Systems'!$A$4:$K$41,3,FALSE),"")</f>
        <v/>
      </c>
      <c r="J16" s="2228"/>
      <c r="K16" s="3163" t="str">
        <f>IFERROR(IF($A16&lt;&gt;"",
IF(MID($A16,10,2)="VM",(CONCATENATE(VLOOKUP($A16,VMware!$A$4:$H$41,5,FALSE)&amp;" x "&amp;VLOOKUP($A16,VMware!$A$4:$H$41,6,FALSE)&amp;" TB")),
IF($J16="OS",VLOOKUP($A16,'Open Systems'!$A$4:$K$41,9,FALSE),VLOOKUP($A16,'Open Systems'!$A$4:$K$41,11,FALSE))),""),"")</f>
        <v/>
      </c>
      <c r="L16" s="2"/>
      <c r="M16" s="2173" t="str">
        <f t="shared" si="3"/>
        <v/>
      </c>
      <c r="N16" s="817" t="str">
        <f t="shared" si="4"/>
        <v/>
      </c>
      <c r="O16" s="1090"/>
      <c r="P16" s="1019" t="str">
        <f t="shared" si="8"/>
        <v/>
      </c>
      <c r="Q16" s="1020"/>
      <c r="R16" s="1020"/>
      <c r="S16" s="1021" t="str">
        <f t="shared" si="22"/>
        <v/>
      </c>
      <c r="T16" s="1017"/>
      <c r="U16" s="1016"/>
      <c r="V16" s="3202" t="str">
        <f t="shared" si="5"/>
        <v/>
      </c>
      <c r="W16" s="1022" t="str">
        <f t="shared" si="23"/>
        <v/>
      </c>
      <c r="X16" s="1023" t="str">
        <f t="shared" si="24"/>
        <v/>
      </c>
      <c r="Y16" s="1017" t="str">
        <f t="shared" si="25"/>
        <v/>
      </c>
      <c r="Z16" s="1018" t="str">
        <f t="shared" si="13"/>
        <v/>
      </c>
      <c r="AA16" s="1022" t="str">
        <f t="shared" si="26"/>
        <v/>
      </c>
      <c r="AB16" s="1022" t="str">
        <f t="shared" si="27"/>
        <v/>
      </c>
      <c r="AC16" s="1022" t="str">
        <f t="shared" si="16"/>
        <v/>
      </c>
      <c r="AD16" s="1022" t="str">
        <f t="shared" si="17"/>
        <v/>
      </c>
      <c r="AE16" s="1022" t="str">
        <f t="shared" si="18"/>
        <v/>
      </c>
      <c r="AF16" s="3249" t="str">
        <f t="shared" si="19"/>
        <v/>
      </c>
      <c r="AG16" s="1104" t="str">
        <f>IF($A16&lt;&gt;"",IF(VLOOKUP($A16,'Distributed Assets'!$B$28:$AC$102,26,FALSE)="","N/A",VLOOKUP($A16,'Distributed Assets'!$B$28:$AC$102,26,FALSE)),"")</f>
        <v/>
      </c>
      <c r="AH16" s="2229" t="str">
        <f t="shared" si="20"/>
        <v/>
      </c>
    </row>
    <row r="17" spans="1:34">
      <c r="A17" s="2224"/>
      <c r="B17" s="1782" t="str">
        <f t="shared" si="0"/>
        <v/>
      </c>
      <c r="C17" s="2728" t="str">
        <f t="shared" si="6"/>
        <v/>
      </c>
      <c r="D17" s="2226" t="str">
        <f t="shared" si="1"/>
        <v/>
      </c>
      <c r="E17" s="2909"/>
      <c r="F17" s="2906"/>
      <c r="G17" s="2225" t="str">
        <f t="shared" si="21"/>
        <v/>
      </c>
      <c r="H17" s="2227" t="str">
        <f>IF(A17&lt;&gt;"",VLOOKUP(VLOOKUP(A17,dist_assets,2,FALSE),'Distributed Assets'!$C$7:$F$22,4,FALSE),"")</f>
        <v/>
      </c>
      <c r="I17" s="279" t="str">
        <f>IF(A17&lt;&gt;"",VLOOKUP(A17,'Open Systems'!$A$4:$K$41,3,FALSE),"")</f>
        <v/>
      </c>
      <c r="J17" s="2228"/>
      <c r="K17" s="3163" t="str">
        <f>IFERROR(IF($A17&lt;&gt;"",
IF(MID($A17,10,2)="VM",(CONCATENATE(VLOOKUP($A17,VMware!$A$4:$H$41,5,FALSE)&amp;" x "&amp;VLOOKUP($A17,VMware!$A$4:$H$41,6,FALSE)&amp;" TB")),
IF($J17="OS",VLOOKUP($A17,'Open Systems'!$A$4:$K$41,9,FALSE),VLOOKUP($A17,'Open Systems'!$A$4:$K$41,11,FALSE))),""),"")</f>
        <v/>
      </c>
      <c r="L17" s="2"/>
      <c r="M17" s="2173" t="str">
        <f t="shared" si="3"/>
        <v/>
      </c>
      <c r="N17" s="817" t="str">
        <f t="shared" si="4"/>
        <v/>
      </c>
      <c r="O17" s="1090"/>
      <c r="P17" s="1019" t="str">
        <f t="shared" si="8"/>
        <v/>
      </c>
      <c r="Q17" s="1020"/>
      <c r="R17" s="1020"/>
      <c r="S17" s="1021" t="str">
        <f t="shared" si="22"/>
        <v/>
      </c>
      <c r="T17" s="1017"/>
      <c r="U17" s="1016"/>
      <c r="V17" s="3202" t="str">
        <f t="shared" si="5"/>
        <v/>
      </c>
      <c r="W17" s="1022" t="str">
        <f t="shared" si="23"/>
        <v/>
      </c>
      <c r="X17" s="1023" t="str">
        <f t="shared" si="24"/>
        <v/>
      </c>
      <c r="Y17" s="1017" t="str">
        <f t="shared" si="25"/>
        <v/>
      </c>
      <c r="Z17" s="1018" t="str">
        <f t="shared" si="13"/>
        <v/>
      </c>
      <c r="AA17" s="1022" t="str">
        <f t="shared" si="26"/>
        <v/>
      </c>
      <c r="AB17" s="1022" t="str">
        <f t="shared" si="27"/>
        <v/>
      </c>
      <c r="AC17" s="1022" t="str">
        <f t="shared" si="16"/>
        <v/>
      </c>
      <c r="AD17" s="1022" t="str">
        <f t="shared" si="17"/>
        <v/>
      </c>
      <c r="AE17" s="1022" t="str">
        <f t="shared" si="18"/>
        <v/>
      </c>
      <c r="AF17" s="3249" t="str">
        <f t="shared" si="19"/>
        <v/>
      </c>
      <c r="AG17" s="1104" t="str">
        <f>IF($A17&lt;&gt;"",IF(VLOOKUP($A17,'Distributed Assets'!$B$28:$AC$102,26,FALSE)="","N/A",VLOOKUP($A17,'Distributed Assets'!$B$28:$AC$102,26,FALSE)),"")</f>
        <v/>
      </c>
      <c r="AH17" s="2229" t="str">
        <f t="shared" si="20"/>
        <v/>
      </c>
    </row>
    <row r="18" spans="1:34" s="931" customFormat="1">
      <c r="A18" s="2224"/>
      <c r="B18" s="1782" t="str">
        <f t="shared" si="0"/>
        <v/>
      </c>
      <c r="C18" s="2728" t="str">
        <f t="shared" si="6"/>
        <v/>
      </c>
      <c r="D18" s="2226" t="str">
        <f t="shared" si="1"/>
        <v/>
      </c>
      <c r="E18" s="2909"/>
      <c r="F18" s="2906"/>
      <c r="G18" s="2225" t="str">
        <f t="shared" si="21"/>
        <v/>
      </c>
      <c r="H18" s="2227" t="str">
        <f>IF(A18&lt;&gt;"",VLOOKUP(VLOOKUP(A18,dist_assets,2,FALSE),'Distributed Assets'!$C$7:$F$22,4,FALSE),"")</f>
        <v/>
      </c>
      <c r="I18" s="279" t="str">
        <f>IF(A18&lt;&gt;"",VLOOKUP(A18,'Open Systems'!$A$4:$K$41,3,FALSE),"")</f>
        <v/>
      </c>
      <c r="J18" s="2228"/>
      <c r="K18" s="3163" t="str">
        <f>IFERROR(IF($A18&lt;&gt;"",
IF(MID($A18,10,2)="VM",(CONCATENATE(VLOOKUP($A18,VMware!$A$4:$H$41,5,FALSE)&amp;" x "&amp;VLOOKUP($A18,VMware!$A$4:$H$41,6,FALSE)&amp;" TB")),
IF($J18="OS",VLOOKUP($A18,'Open Systems'!$A$4:$K$41,9,FALSE),VLOOKUP($A18,'Open Systems'!$A$4:$K$41,11,FALSE))),""),"")</f>
        <v/>
      </c>
      <c r="L18" s="2"/>
      <c r="M18" s="2173" t="str">
        <f t="shared" si="3"/>
        <v/>
      </c>
      <c r="N18" s="817" t="str">
        <f t="shared" si="4"/>
        <v/>
      </c>
      <c r="O18" s="1090"/>
      <c r="P18" s="1019" t="str">
        <f t="shared" si="8"/>
        <v/>
      </c>
      <c r="Q18" s="1020"/>
      <c r="R18" s="1020"/>
      <c r="S18" s="1021" t="str">
        <f t="shared" si="22"/>
        <v/>
      </c>
      <c r="T18" s="1017"/>
      <c r="U18" s="1016"/>
      <c r="V18" s="3202" t="str">
        <f t="shared" si="5"/>
        <v/>
      </c>
      <c r="W18" s="1022" t="str">
        <f t="shared" si="23"/>
        <v/>
      </c>
      <c r="X18" s="1023" t="str">
        <f t="shared" si="24"/>
        <v/>
      </c>
      <c r="Y18" s="1017" t="str">
        <f t="shared" si="25"/>
        <v/>
      </c>
      <c r="Z18" s="1018" t="str">
        <f t="shared" si="13"/>
        <v/>
      </c>
      <c r="AA18" s="1022" t="str">
        <f t="shared" si="26"/>
        <v/>
      </c>
      <c r="AB18" s="1022" t="str">
        <f t="shared" si="27"/>
        <v/>
      </c>
      <c r="AC18" s="1022" t="str">
        <f t="shared" si="16"/>
        <v/>
      </c>
      <c r="AD18" s="1022" t="str">
        <f t="shared" si="17"/>
        <v/>
      </c>
      <c r="AE18" s="1022" t="str">
        <f t="shared" si="18"/>
        <v/>
      </c>
      <c r="AF18" s="3249" t="str">
        <f t="shared" si="19"/>
        <v/>
      </c>
      <c r="AG18" s="1104" t="str">
        <f>IF($A18&lt;&gt;"",IF(VLOOKUP($A18,'Distributed Assets'!$B$28:$AC$102,26,FALSE)="","N/A",VLOOKUP($A18,'Distributed Assets'!$B$28:$AC$102,26,FALSE)),"")</f>
        <v/>
      </c>
      <c r="AH18" s="2229" t="str">
        <f t="shared" si="20"/>
        <v/>
      </c>
    </row>
    <row r="19" spans="1:34" s="931" customFormat="1">
      <c r="A19" s="2224"/>
      <c r="B19" s="1782" t="str">
        <f t="shared" si="0"/>
        <v/>
      </c>
      <c r="C19" s="2728" t="str">
        <f t="shared" si="6"/>
        <v/>
      </c>
      <c r="D19" s="2226" t="str">
        <f t="shared" si="1"/>
        <v/>
      </c>
      <c r="E19" s="2909"/>
      <c r="F19" s="2906"/>
      <c r="G19" s="2225" t="str">
        <f t="shared" si="21"/>
        <v/>
      </c>
      <c r="H19" s="2227" t="str">
        <f>IF(A19&lt;&gt;"",VLOOKUP(VLOOKUP(A19,dist_assets,2,FALSE),'Distributed Assets'!$C$7:$F$22,4,FALSE),"")</f>
        <v/>
      </c>
      <c r="I19" s="279" t="str">
        <f>IF(A19&lt;&gt;"",VLOOKUP(A19,'Open Systems'!$A$4:$K$41,3,FALSE),"")</f>
        <v/>
      </c>
      <c r="J19" s="2228"/>
      <c r="K19" s="3163" t="str">
        <f>IFERROR(IF($A19&lt;&gt;"",
IF(MID($A19,10,2)="VM",(CONCATENATE(VLOOKUP($A19,VMware!$A$4:$H$41,5,FALSE)&amp;" x "&amp;VLOOKUP($A19,VMware!$A$4:$H$41,6,FALSE)&amp;" TB")),
IF($J19="OS",VLOOKUP($A19,'Open Systems'!$A$4:$K$41,9,FALSE),VLOOKUP($A19,'Open Systems'!$A$4:$K$41,11,FALSE))),""),"")</f>
        <v/>
      </c>
      <c r="L19" s="2"/>
      <c r="M19" s="2173" t="str">
        <f t="shared" si="3"/>
        <v/>
      </c>
      <c r="N19" s="817" t="str">
        <f t="shared" si="4"/>
        <v/>
      </c>
      <c r="O19" s="1090"/>
      <c r="P19" s="1019" t="str">
        <f t="shared" si="8"/>
        <v/>
      </c>
      <c r="Q19" s="1020"/>
      <c r="R19" s="1020"/>
      <c r="S19" s="1021" t="str">
        <f t="shared" si="22"/>
        <v/>
      </c>
      <c r="T19" s="1017"/>
      <c r="U19" s="1016"/>
      <c r="V19" s="3202" t="str">
        <f t="shared" si="5"/>
        <v/>
      </c>
      <c r="W19" s="1022" t="str">
        <f t="shared" si="23"/>
        <v/>
      </c>
      <c r="X19" s="1023" t="str">
        <f t="shared" si="24"/>
        <v/>
      </c>
      <c r="Y19" s="1017" t="str">
        <f t="shared" si="25"/>
        <v/>
      </c>
      <c r="Z19" s="1018" t="str">
        <f t="shared" si="13"/>
        <v/>
      </c>
      <c r="AA19" s="1022" t="str">
        <f t="shared" si="26"/>
        <v/>
      </c>
      <c r="AB19" s="1022" t="str">
        <f t="shared" si="27"/>
        <v/>
      </c>
      <c r="AC19" s="1022" t="str">
        <f t="shared" si="16"/>
        <v/>
      </c>
      <c r="AD19" s="1022" t="str">
        <f t="shared" si="17"/>
        <v/>
      </c>
      <c r="AE19" s="1022" t="str">
        <f t="shared" si="18"/>
        <v/>
      </c>
      <c r="AF19" s="3249" t="str">
        <f t="shared" si="19"/>
        <v/>
      </c>
      <c r="AG19" s="1104" t="str">
        <f>IF($A19&lt;&gt;"",IF(VLOOKUP($A19,'Distributed Assets'!$B$28:$AC$102,26,FALSE)="","N/A",VLOOKUP($A19,'Distributed Assets'!$B$28:$AC$102,26,FALSE)),"")</f>
        <v/>
      </c>
      <c r="AH19" s="2229" t="str">
        <f t="shared" si="20"/>
        <v/>
      </c>
    </row>
    <row r="20" spans="1:34" s="931" customFormat="1">
      <c r="A20" s="2224"/>
      <c r="B20" s="1782" t="str">
        <f t="shared" si="0"/>
        <v/>
      </c>
      <c r="C20" s="2728" t="str">
        <f t="shared" si="6"/>
        <v/>
      </c>
      <c r="D20" s="2226" t="str">
        <f t="shared" si="1"/>
        <v/>
      </c>
      <c r="E20" s="2909"/>
      <c r="F20" s="2906"/>
      <c r="G20" s="2225" t="str">
        <f t="shared" si="21"/>
        <v/>
      </c>
      <c r="H20" s="2227" t="str">
        <f>IF(A20&lt;&gt;"",VLOOKUP(VLOOKUP(A20,dist_assets,2,FALSE),'Distributed Assets'!$C$7:$F$22,4,FALSE),"")</f>
        <v/>
      </c>
      <c r="I20" s="279" t="str">
        <f>IF(A20&lt;&gt;"",VLOOKUP(A20,'Open Systems'!$A$4:$K$41,3,FALSE),"")</f>
        <v/>
      </c>
      <c r="J20" s="2228"/>
      <c r="K20" s="3163" t="str">
        <f>IFERROR(IF($A20&lt;&gt;"",
IF(MID($A20,10,2)="VM",(CONCATENATE(VLOOKUP($A20,VMware!$A$4:$H$41,5,FALSE)&amp;" x "&amp;VLOOKUP($A20,VMware!$A$4:$H$41,6,FALSE)&amp;" TB")),
IF($J20="OS",VLOOKUP($A20,'Open Systems'!$A$4:$K$41,9,FALSE),VLOOKUP($A20,'Open Systems'!$A$4:$K$41,11,FALSE))),""),"")</f>
        <v/>
      </c>
      <c r="L20" s="2"/>
      <c r="M20" s="2173" t="str">
        <f t="shared" si="3"/>
        <v/>
      </c>
      <c r="N20" s="817" t="str">
        <f t="shared" si="4"/>
        <v/>
      </c>
      <c r="O20" s="1090"/>
      <c r="P20" s="1019" t="str">
        <f t="shared" si="8"/>
        <v/>
      </c>
      <c r="Q20" s="1020"/>
      <c r="R20" s="1020"/>
      <c r="S20" s="1021" t="str">
        <f t="shared" si="22"/>
        <v/>
      </c>
      <c r="T20" s="1017"/>
      <c r="U20" s="1016"/>
      <c r="V20" s="3202" t="str">
        <f t="shared" si="5"/>
        <v/>
      </c>
      <c r="W20" s="1022" t="str">
        <f t="shared" si="23"/>
        <v/>
      </c>
      <c r="X20" s="1023" t="str">
        <f t="shared" si="24"/>
        <v/>
      </c>
      <c r="Y20" s="1017" t="str">
        <f t="shared" si="25"/>
        <v/>
      </c>
      <c r="Z20" s="1018" t="str">
        <f t="shared" si="13"/>
        <v/>
      </c>
      <c r="AA20" s="1022" t="str">
        <f t="shared" si="26"/>
        <v/>
      </c>
      <c r="AB20" s="1022" t="str">
        <f t="shared" si="27"/>
        <v/>
      </c>
      <c r="AC20" s="1022" t="str">
        <f t="shared" si="16"/>
        <v/>
      </c>
      <c r="AD20" s="1022" t="str">
        <f t="shared" si="17"/>
        <v/>
      </c>
      <c r="AE20" s="1022" t="str">
        <f t="shared" si="18"/>
        <v/>
      </c>
      <c r="AF20" s="3249" t="str">
        <f t="shared" si="19"/>
        <v/>
      </c>
      <c r="AG20" s="1104" t="str">
        <f>IF($A20&lt;&gt;"",IF(VLOOKUP($A20,'Distributed Assets'!$B$28:$AC$102,26,FALSE)="","N/A",VLOOKUP($A20,'Distributed Assets'!$B$28:$AC$102,26,FALSE)),"")</f>
        <v/>
      </c>
      <c r="AH20" s="2229" t="str">
        <f t="shared" si="20"/>
        <v/>
      </c>
    </row>
    <row r="21" spans="1:34" s="931" customFormat="1">
      <c r="A21" s="2224"/>
      <c r="B21" s="1782" t="str">
        <f t="shared" si="0"/>
        <v/>
      </c>
      <c r="C21" s="2728" t="str">
        <f t="shared" si="6"/>
        <v/>
      </c>
      <c r="D21" s="2226" t="str">
        <f t="shared" si="1"/>
        <v/>
      </c>
      <c r="E21" s="2909"/>
      <c r="F21" s="2906"/>
      <c r="G21" s="2225" t="str">
        <f t="shared" si="21"/>
        <v/>
      </c>
      <c r="H21" s="2227" t="str">
        <f>IF(A21&lt;&gt;"",VLOOKUP(VLOOKUP(A21,dist_assets,2,FALSE),'Distributed Assets'!$C$7:$F$22,4,FALSE),"")</f>
        <v/>
      </c>
      <c r="I21" s="279" t="str">
        <f>IF(A21&lt;&gt;"",VLOOKUP(A21,'Open Systems'!$A$4:$K$41,3,FALSE),"")</f>
        <v/>
      </c>
      <c r="J21" s="2228"/>
      <c r="K21" s="3163" t="str">
        <f>IFERROR(IF($A21&lt;&gt;"",
IF(MID($A21,10,2)="VM",(CONCATENATE(VLOOKUP($A21,VMware!$A$4:$H$41,5,FALSE)&amp;" x "&amp;VLOOKUP($A21,VMware!$A$4:$H$41,6,FALSE)&amp;" TB")),
IF($J21="OS",VLOOKUP($A21,'Open Systems'!$A$4:$K$41,9,FALSE),VLOOKUP($A21,'Open Systems'!$A$4:$K$41,11,FALSE))),""),"")</f>
        <v/>
      </c>
      <c r="L21" s="2"/>
      <c r="M21" s="2173" t="str">
        <f t="shared" si="3"/>
        <v/>
      </c>
      <c r="N21" s="817" t="str">
        <f t="shared" si="4"/>
        <v/>
      </c>
      <c r="O21" s="1090"/>
      <c r="P21" s="1019" t="str">
        <f t="shared" si="8"/>
        <v/>
      </c>
      <c r="Q21" s="1020"/>
      <c r="R21" s="1020"/>
      <c r="S21" s="1021" t="str">
        <f t="shared" si="22"/>
        <v/>
      </c>
      <c r="T21" s="1017"/>
      <c r="U21" s="1016"/>
      <c r="V21" s="3202" t="str">
        <f t="shared" si="5"/>
        <v/>
      </c>
      <c r="W21" s="1022" t="str">
        <f t="shared" si="23"/>
        <v/>
      </c>
      <c r="X21" s="1023" t="str">
        <f t="shared" si="24"/>
        <v/>
      </c>
      <c r="Y21" s="1017" t="str">
        <f t="shared" si="25"/>
        <v/>
      </c>
      <c r="Z21" s="1018" t="str">
        <f t="shared" si="13"/>
        <v/>
      </c>
      <c r="AA21" s="1022" t="str">
        <f t="shared" si="26"/>
        <v/>
      </c>
      <c r="AB21" s="1022" t="str">
        <f t="shared" si="27"/>
        <v/>
      </c>
      <c r="AC21" s="1022" t="str">
        <f t="shared" si="16"/>
        <v/>
      </c>
      <c r="AD21" s="1022" t="str">
        <f t="shared" si="17"/>
        <v/>
      </c>
      <c r="AE21" s="1022" t="str">
        <f t="shared" si="18"/>
        <v/>
      </c>
      <c r="AF21" s="3249" t="str">
        <f t="shared" si="19"/>
        <v/>
      </c>
      <c r="AG21" s="1104" t="str">
        <f>IF($A21&lt;&gt;"",IF(VLOOKUP($A21,'Distributed Assets'!$B$28:$AC$102,26,FALSE)="","N/A",VLOOKUP($A21,'Distributed Assets'!$B$28:$AC$102,26,FALSE)),"")</f>
        <v/>
      </c>
      <c r="AH21" s="2229" t="str">
        <f t="shared" si="20"/>
        <v/>
      </c>
    </row>
    <row r="22" spans="1:34" s="931" customFormat="1">
      <c r="A22" s="2224"/>
      <c r="B22" s="1782" t="str">
        <f t="shared" si="0"/>
        <v/>
      </c>
      <c r="C22" s="2728" t="str">
        <f t="shared" si="6"/>
        <v/>
      </c>
      <c r="D22" s="2226" t="str">
        <f t="shared" si="1"/>
        <v/>
      </c>
      <c r="E22" s="2909"/>
      <c r="F22" s="2906"/>
      <c r="G22" s="2225" t="str">
        <f t="shared" si="21"/>
        <v/>
      </c>
      <c r="H22" s="2227" t="str">
        <f>IF(A22&lt;&gt;"",VLOOKUP(VLOOKUP(A22,dist_assets,2,FALSE),'Distributed Assets'!$C$7:$F$22,4,FALSE),"")</f>
        <v/>
      </c>
      <c r="I22" s="279" t="str">
        <f>IF(A22&lt;&gt;"",VLOOKUP(A22,'Open Systems'!$A$4:$K$41,3,FALSE),"")</f>
        <v/>
      </c>
      <c r="J22" s="2228"/>
      <c r="K22" s="3163" t="str">
        <f>IFERROR(IF($A22&lt;&gt;"",
IF(MID($A22,10,2)="VM",(CONCATENATE(VLOOKUP($A22,VMware!$A$4:$H$41,5,FALSE)&amp;" x "&amp;VLOOKUP($A22,VMware!$A$4:$H$41,6,FALSE)&amp;" TB")),
IF($J22="OS",VLOOKUP($A22,'Open Systems'!$A$4:$K$41,9,FALSE),VLOOKUP($A22,'Open Systems'!$A$4:$K$41,11,FALSE))),""),"")</f>
        <v/>
      </c>
      <c r="L22" s="2"/>
      <c r="M22" s="2173" t="str">
        <f t="shared" si="3"/>
        <v/>
      </c>
      <c r="N22" s="817" t="str">
        <f t="shared" si="4"/>
        <v/>
      </c>
      <c r="O22" s="1090"/>
      <c r="P22" s="1019" t="str">
        <f t="shared" si="8"/>
        <v/>
      </c>
      <c r="Q22" s="1020"/>
      <c r="R22" s="1020"/>
      <c r="S22" s="1021" t="str">
        <f t="shared" si="22"/>
        <v/>
      </c>
      <c r="T22" s="1017"/>
      <c r="U22" s="1016"/>
      <c r="V22" s="3202" t="str">
        <f t="shared" si="5"/>
        <v/>
      </c>
      <c r="W22" s="1022" t="str">
        <f t="shared" si="23"/>
        <v/>
      </c>
      <c r="X22" s="1023" t="str">
        <f t="shared" si="24"/>
        <v/>
      </c>
      <c r="Y22" s="1017" t="str">
        <f t="shared" si="25"/>
        <v/>
      </c>
      <c r="Z22" s="1018" t="str">
        <f t="shared" si="13"/>
        <v/>
      </c>
      <c r="AA22" s="1022" t="str">
        <f t="shared" si="26"/>
        <v/>
      </c>
      <c r="AB22" s="1022" t="str">
        <f t="shared" si="27"/>
        <v/>
      </c>
      <c r="AC22" s="1022" t="str">
        <f t="shared" si="16"/>
        <v/>
      </c>
      <c r="AD22" s="1022" t="str">
        <f t="shared" si="17"/>
        <v/>
      </c>
      <c r="AE22" s="1022" t="str">
        <f t="shared" si="18"/>
        <v/>
      </c>
      <c r="AF22" s="3249" t="str">
        <f t="shared" si="19"/>
        <v/>
      </c>
      <c r="AG22" s="1104" t="str">
        <f>IF($A22&lt;&gt;"",IF(VLOOKUP($A22,'Distributed Assets'!$B$28:$AC$102,26,FALSE)="","N/A",VLOOKUP($A22,'Distributed Assets'!$B$28:$AC$102,26,FALSE)),"")</f>
        <v/>
      </c>
      <c r="AH22" s="2229" t="str">
        <f t="shared" si="20"/>
        <v/>
      </c>
    </row>
    <row r="23" spans="1:34" s="931" customFormat="1">
      <c r="A23" s="2224"/>
      <c r="B23" s="1782" t="str">
        <f t="shared" si="0"/>
        <v/>
      </c>
      <c r="C23" s="2728" t="str">
        <f t="shared" si="6"/>
        <v/>
      </c>
      <c r="D23" s="2226" t="str">
        <f t="shared" si="1"/>
        <v/>
      </c>
      <c r="E23" s="2909"/>
      <c r="F23" s="2906"/>
      <c r="G23" s="2225" t="str">
        <f t="shared" si="21"/>
        <v/>
      </c>
      <c r="H23" s="2227" t="str">
        <f>IF(A23&lt;&gt;"",VLOOKUP(VLOOKUP(A23,dist_assets,2,FALSE),'Distributed Assets'!$C$7:$F$22,4,FALSE),"")</f>
        <v/>
      </c>
      <c r="I23" s="279" t="str">
        <f>IF(A23&lt;&gt;"",VLOOKUP(A23,'Open Systems'!$A$4:$K$41,3,FALSE),"")</f>
        <v/>
      </c>
      <c r="J23" s="2228"/>
      <c r="K23" s="3163" t="str">
        <f>IFERROR(IF($A23&lt;&gt;"",
IF(MID($A23,10,2)="VM",(CONCATENATE(VLOOKUP($A23,VMware!$A$4:$H$41,5,FALSE)&amp;" x "&amp;VLOOKUP($A23,VMware!$A$4:$H$41,6,FALSE)&amp;" TB")),
IF($J23="OS",VLOOKUP($A23,'Open Systems'!$A$4:$K$41,9,FALSE),VLOOKUP($A23,'Open Systems'!$A$4:$K$41,11,FALSE))),""),"")</f>
        <v/>
      </c>
      <c r="L23" s="2"/>
      <c r="M23" s="2173" t="str">
        <f t="shared" si="3"/>
        <v/>
      </c>
      <c r="N23" s="817" t="str">
        <f t="shared" si="4"/>
        <v/>
      </c>
      <c r="O23" s="1090"/>
      <c r="P23" s="1019" t="str">
        <f t="shared" si="8"/>
        <v/>
      </c>
      <c r="Q23" s="1020"/>
      <c r="R23" s="1020"/>
      <c r="S23" s="1021" t="str">
        <f t="shared" si="22"/>
        <v/>
      </c>
      <c r="T23" s="1017"/>
      <c r="U23" s="1016"/>
      <c r="V23" s="3202" t="str">
        <f t="shared" si="5"/>
        <v/>
      </c>
      <c r="W23" s="1022" t="str">
        <f t="shared" si="23"/>
        <v/>
      </c>
      <c r="X23" s="1023" t="str">
        <f t="shared" si="24"/>
        <v/>
      </c>
      <c r="Y23" s="1017" t="str">
        <f t="shared" si="25"/>
        <v/>
      </c>
      <c r="Z23" s="1018" t="str">
        <f t="shared" si="13"/>
        <v/>
      </c>
      <c r="AA23" s="1022" t="str">
        <f t="shared" si="26"/>
        <v/>
      </c>
      <c r="AB23" s="1022" t="str">
        <f t="shared" si="27"/>
        <v/>
      </c>
      <c r="AC23" s="1022" t="str">
        <f t="shared" si="16"/>
        <v/>
      </c>
      <c r="AD23" s="1022" t="str">
        <f t="shared" si="17"/>
        <v/>
      </c>
      <c r="AE23" s="1022" t="str">
        <f t="shared" si="18"/>
        <v/>
      </c>
      <c r="AF23" s="3249" t="str">
        <f t="shared" si="19"/>
        <v/>
      </c>
      <c r="AG23" s="1104" t="str">
        <f>IF($A23&lt;&gt;"",IF(VLOOKUP($A23,'Distributed Assets'!$B$28:$AC$102,26,FALSE)="","N/A",VLOOKUP($A23,'Distributed Assets'!$B$28:$AC$102,26,FALSE)),"")</f>
        <v/>
      </c>
      <c r="AH23" s="2229" t="str">
        <f t="shared" si="20"/>
        <v/>
      </c>
    </row>
    <row r="24" spans="1:34" s="931" customFormat="1">
      <c r="A24" s="2224"/>
      <c r="B24" s="1782" t="str">
        <f t="shared" si="0"/>
        <v/>
      </c>
      <c r="C24" s="2728" t="str">
        <f t="shared" si="6"/>
        <v/>
      </c>
      <c r="D24" s="2226" t="str">
        <f t="shared" si="1"/>
        <v/>
      </c>
      <c r="E24" s="2909"/>
      <c r="F24" s="2906"/>
      <c r="G24" s="2225" t="str">
        <f t="shared" si="21"/>
        <v/>
      </c>
      <c r="H24" s="2227" t="str">
        <f>IF(A24&lt;&gt;"",VLOOKUP(VLOOKUP(A24,dist_assets,2,FALSE),'Distributed Assets'!$C$7:$F$22,4,FALSE),"")</f>
        <v/>
      </c>
      <c r="I24" s="279" t="str">
        <f>IF(A24&lt;&gt;"",VLOOKUP(A24,'Open Systems'!$A$4:$K$41,3,FALSE),"")</f>
        <v/>
      </c>
      <c r="J24" s="2228"/>
      <c r="K24" s="3163" t="str">
        <f>IFERROR(IF($A24&lt;&gt;"",
IF(MID($A24,10,2)="VM",(CONCATENATE(VLOOKUP($A24,VMware!$A$4:$H$41,5,FALSE)&amp;" x "&amp;VLOOKUP($A24,VMware!$A$4:$H$41,6,FALSE)&amp;" TB")),
IF($J24="OS",VLOOKUP($A24,'Open Systems'!$A$4:$K$41,9,FALSE),VLOOKUP($A24,'Open Systems'!$A$4:$K$41,11,FALSE))),""),"")</f>
        <v/>
      </c>
      <c r="L24" s="2"/>
      <c r="M24" s="2173" t="str">
        <f t="shared" si="3"/>
        <v/>
      </c>
      <c r="N24" s="817" t="str">
        <f t="shared" si="4"/>
        <v/>
      </c>
      <c r="O24" s="1090"/>
      <c r="P24" s="1019" t="str">
        <f t="shared" si="8"/>
        <v/>
      </c>
      <c r="Q24" s="1020"/>
      <c r="R24" s="1020"/>
      <c r="S24" s="1021" t="str">
        <f t="shared" si="22"/>
        <v/>
      </c>
      <c r="T24" s="1017"/>
      <c r="U24" s="1016"/>
      <c r="V24" s="3202" t="str">
        <f t="shared" si="5"/>
        <v/>
      </c>
      <c r="W24" s="1022" t="str">
        <f t="shared" si="23"/>
        <v/>
      </c>
      <c r="X24" s="1023" t="str">
        <f t="shared" si="24"/>
        <v/>
      </c>
      <c r="Y24" s="1017" t="str">
        <f t="shared" si="25"/>
        <v/>
      </c>
      <c r="Z24" s="1018" t="str">
        <f t="shared" si="13"/>
        <v/>
      </c>
      <c r="AA24" s="1022" t="str">
        <f t="shared" si="26"/>
        <v/>
      </c>
      <c r="AB24" s="1022" t="str">
        <f t="shared" si="27"/>
        <v/>
      </c>
      <c r="AC24" s="1022" t="str">
        <f t="shared" si="16"/>
        <v/>
      </c>
      <c r="AD24" s="1022" t="str">
        <f t="shared" si="17"/>
        <v/>
      </c>
      <c r="AE24" s="1022" t="str">
        <f t="shared" si="18"/>
        <v/>
      </c>
      <c r="AF24" s="3249" t="str">
        <f t="shared" si="19"/>
        <v/>
      </c>
      <c r="AG24" s="1104" t="str">
        <f>IF($A24&lt;&gt;"",IF(VLOOKUP($A24,'Distributed Assets'!$B$28:$AC$102,26,FALSE)="","N/A",VLOOKUP($A24,'Distributed Assets'!$B$28:$AC$102,26,FALSE)),"")</f>
        <v/>
      </c>
      <c r="AH24" s="2229" t="str">
        <f t="shared" si="20"/>
        <v/>
      </c>
    </row>
    <row r="25" spans="1:34" s="931" customFormat="1">
      <c r="A25" s="2224"/>
      <c r="B25" s="1782" t="str">
        <f t="shared" si="0"/>
        <v/>
      </c>
      <c r="C25" s="2728" t="str">
        <f t="shared" si="6"/>
        <v/>
      </c>
      <c r="D25" s="2226" t="str">
        <f t="shared" si="1"/>
        <v/>
      </c>
      <c r="E25" s="2909"/>
      <c r="F25" s="2906"/>
      <c r="G25" s="2225" t="str">
        <f t="shared" si="21"/>
        <v/>
      </c>
      <c r="H25" s="2227" t="str">
        <f>IF(A25&lt;&gt;"",VLOOKUP(VLOOKUP(A25,dist_assets,2,FALSE),'Distributed Assets'!$C$7:$F$22,4,FALSE),"")</f>
        <v/>
      </c>
      <c r="I25" s="279" t="str">
        <f>IF(A25&lt;&gt;"",VLOOKUP(A25,'Open Systems'!$A$4:$K$41,3,FALSE),"")</f>
        <v/>
      </c>
      <c r="J25" s="2228"/>
      <c r="K25" s="3163" t="str">
        <f>IFERROR(IF($A25&lt;&gt;"",
IF(MID($A25,10,2)="VM",(CONCATENATE(VLOOKUP($A25,VMware!$A$4:$H$41,5,FALSE)&amp;" x "&amp;VLOOKUP($A25,VMware!$A$4:$H$41,6,FALSE)&amp;" TB")),
IF($J25="OS",VLOOKUP($A25,'Open Systems'!$A$4:$K$41,9,FALSE),VLOOKUP($A25,'Open Systems'!$A$4:$K$41,11,FALSE))),""),"")</f>
        <v/>
      </c>
      <c r="L25" s="2"/>
      <c r="M25" s="2173" t="str">
        <f t="shared" si="3"/>
        <v/>
      </c>
      <c r="N25" s="817" t="str">
        <f t="shared" si="4"/>
        <v/>
      </c>
      <c r="O25" s="1090"/>
      <c r="P25" s="1019" t="str">
        <f t="shared" si="8"/>
        <v/>
      </c>
      <c r="Q25" s="1020"/>
      <c r="R25" s="1020"/>
      <c r="S25" s="1021" t="str">
        <f t="shared" si="22"/>
        <v/>
      </c>
      <c r="T25" s="1017"/>
      <c r="U25" s="1016"/>
      <c r="V25" s="3202" t="str">
        <f t="shared" si="5"/>
        <v/>
      </c>
      <c r="W25" s="1022" t="str">
        <f t="shared" si="23"/>
        <v/>
      </c>
      <c r="X25" s="1023" t="str">
        <f t="shared" si="24"/>
        <v/>
      </c>
      <c r="Y25" s="1017" t="str">
        <f t="shared" si="25"/>
        <v/>
      </c>
      <c r="Z25" s="1018" t="str">
        <f t="shared" si="13"/>
        <v/>
      </c>
      <c r="AA25" s="1022" t="str">
        <f t="shared" si="26"/>
        <v/>
      </c>
      <c r="AB25" s="1022" t="str">
        <f t="shared" si="27"/>
        <v/>
      </c>
      <c r="AC25" s="1022" t="str">
        <f t="shared" si="16"/>
        <v/>
      </c>
      <c r="AD25" s="1022" t="str">
        <f t="shared" si="17"/>
        <v/>
      </c>
      <c r="AE25" s="1022" t="str">
        <f t="shared" si="18"/>
        <v/>
      </c>
      <c r="AF25" s="3249" t="str">
        <f t="shared" si="19"/>
        <v/>
      </c>
      <c r="AG25" s="1104" t="str">
        <f>IF($A25&lt;&gt;"",IF(VLOOKUP($A25,'Distributed Assets'!$B$28:$AC$102,26,FALSE)="","N/A",VLOOKUP($A25,'Distributed Assets'!$B$28:$AC$102,26,FALSE)),"")</f>
        <v/>
      </c>
      <c r="AH25" s="2229" t="str">
        <f t="shared" si="20"/>
        <v/>
      </c>
    </row>
    <row r="26" spans="1:34" s="931" customFormat="1">
      <c r="A26" s="2224"/>
      <c r="B26" s="1782" t="str">
        <f t="shared" si="0"/>
        <v/>
      </c>
      <c r="C26" s="2728" t="str">
        <f t="shared" si="6"/>
        <v/>
      </c>
      <c r="D26" s="2226" t="str">
        <f t="shared" si="1"/>
        <v/>
      </c>
      <c r="E26" s="2909"/>
      <c r="F26" s="2906"/>
      <c r="G26" s="2225" t="str">
        <f t="shared" si="21"/>
        <v/>
      </c>
      <c r="H26" s="2227" t="str">
        <f>IF(A26&lt;&gt;"",VLOOKUP(VLOOKUP(A26,dist_assets,2,FALSE),'Distributed Assets'!$C$7:$F$22,4,FALSE),"")</f>
        <v/>
      </c>
      <c r="I26" s="279" t="str">
        <f>IF(A26&lt;&gt;"",VLOOKUP(A26,'Open Systems'!$A$4:$K$41,3,FALSE),"")</f>
        <v/>
      </c>
      <c r="J26" s="2228"/>
      <c r="K26" s="3163" t="str">
        <f>IFERROR(IF($A26&lt;&gt;"",
IF(MID($A26,10,2)="VM",(CONCATENATE(VLOOKUP($A26,VMware!$A$4:$H$41,5,FALSE)&amp;" x "&amp;VLOOKUP($A26,VMware!$A$4:$H$41,6,FALSE)&amp;" TB")),
IF($J26="OS",VLOOKUP($A26,'Open Systems'!$A$4:$K$41,9,FALSE),VLOOKUP($A26,'Open Systems'!$A$4:$K$41,11,FALSE))),""),"")</f>
        <v/>
      </c>
      <c r="L26" s="2"/>
      <c r="M26" s="2173" t="str">
        <f t="shared" si="3"/>
        <v/>
      </c>
      <c r="N26" s="817" t="str">
        <f t="shared" si="4"/>
        <v/>
      </c>
      <c r="O26" s="1090"/>
      <c r="P26" s="1019" t="str">
        <f t="shared" si="8"/>
        <v/>
      </c>
      <c r="Q26" s="1020"/>
      <c r="R26" s="1020"/>
      <c r="S26" s="1021" t="str">
        <f t="shared" si="22"/>
        <v/>
      </c>
      <c r="T26" s="1017"/>
      <c r="U26" s="1016"/>
      <c r="V26" s="3202" t="str">
        <f t="shared" si="5"/>
        <v/>
      </c>
      <c r="W26" s="1022" t="str">
        <f t="shared" si="23"/>
        <v/>
      </c>
      <c r="X26" s="1023" t="str">
        <f t="shared" si="24"/>
        <v/>
      </c>
      <c r="Y26" s="1017" t="str">
        <f t="shared" si="25"/>
        <v/>
      </c>
      <c r="Z26" s="1018" t="str">
        <f t="shared" si="13"/>
        <v/>
      </c>
      <c r="AA26" s="1022" t="str">
        <f t="shared" si="26"/>
        <v/>
      </c>
      <c r="AB26" s="1022" t="str">
        <f t="shared" si="27"/>
        <v/>
      </c>
      <c r="AC26" s="1022" t="str">
        <f t="shared" si="16"/>
        <v/>
      </c>
      <c r="AD26" s="1022" t="str">
        <f t="shared" si="17"/>
        <v/>
      </c>
      <c r="AE26" s="1022" t="str">
        <f t="shared" si="18"/>
        <v/>
      </c>
      <c r="AF26" s="3249" t="str">
        <f t="shared" si="19"/>
        <v/>
      </c>
      <c r="AG26" s="1104" t="str">
        <f>IF($A26&lt;&gt;"",IF(VLOOKUP($A26,'Distributed Assets'!$B$28:$AC$102,26,FALSE)="","N/A",VLOOKUP($A26,'Distributed Assets'!$B$28:$AC$102,26,FALSE)),"")</f>
        <v/>
      </c>
      <c r="AH26" s="2229" t="str">
        <f t="shared" si="20"/>
        <v/>
      </c>
    </row>
    <row r="27" spans="1:34" s="931" customFormat="1">
      <c r="A27" s="2224"/>
      <c r="B27" s="1782" t="str">
        <f t="shared" si="0"/>
        <v/>
      </c>
      <c r="C27" s="2728" t="str">
        <f t="shared" si="6"/>
        <v/>
      </c>
      <c r="D27" s="2226" t="str">
        <f t="shared" si="1"/>
        <v/>
      </c>
      <c r="E27" s="2909"/>
      <c r="F27" s="2906"/>
      <c r="G27" s="2225" t="str">
        <f t="shared" si="21"/>
        <v/>
      </c>
      <c r="H27" s="2227" t="str">
        <f>IF(A27&lt;&gt;"",VLOOKUP(VLOOKUP(A27,dist_assets,2,FALSE),'Distributed Assets'!$C$7:$F$22,4,FALSE),"")</f>
        <v/>
      </c>
      <c r="I27" s="279" t="str">
        <f>IF(A27&lt;&gt;"",VLOOKUP(A27,'Open Systems'!$A$4:$K$41,3,FALSE),"")</f>
        <v/>
      </c>
      <c r="J27" s="2228"/>
      <c r="K27" s="3163" t="str">
        <f>IFERROR(IF($A27&lt;&gt;"",
IF(MID($A27,10,2)="VM",(CONCATENATE(VLOOKUP($A27,VMware!$A$4:$H$41,5,FALSE)&amp;" x "&amp;VLOOKUP($A27,VMware!$A$4:$H$41,6,FALSE)&amp;" TB")),
IF($J27="OS",VLOOKUP($A27,'Open Systems'!$A$4:$K$41,9,FALSE),VLOOKUP($A27,'Open Systems'!$A$4:$K$41,11,FALSE))),""),"")</f>
        <v/>
      </c>
      <c r="L27" s="2"/>
      <c r="M27" s="2173" t="str">
        <f t="shared" si="3"/>
        <v/>
      </c>
      <c r="N27" s="817" t="str">
        <f t="shared" si="4"/>
        <v/>
      </c>
      <c r="O27" s="1090"/>
      <c r="P27" s="1019" t="str">
        <f t="shared" si="8"/>
        <v/>
      </c>
      <c r="Q27" s="1020"/>
      <c r="R27" s="1020"/>
      <c r="S27" s="1021" t="str">
        <f t="shared" si="22"/>
        <v/>
      </c>
      <c r="T27" s="1017"/>
      <c r="U27" s="1016"/>
      <c r="V27" s="3202" t="str">
        <f t="shared" si="5"/>
        <v/>
      </c>
      <c r="W27" s="1022" t="str">
        <f t="shared" si="23"/>
        <v/>
      </c>
      <c r="X27" s="1023" t="str">
        <f t="shared" si="24"/>
        <v/>
      </c>
      <c r="Y27" s="1017" t="str">
        <f t="shared" si="25"/>
        <v/>
      </c>
      <c r="Z27" s="1018" t="str">
        <f t="shared" si="13"/>
        <v/>
      </c>
      <c r="AA27" s="1022" t="str">
        <f t="shared" si="26"/>
        <v/>
      </c>
      <c r="AB27" s="1022" t="str">
        <f t="shared" si="27"/>
        <v/>
      </c>
      <c r="AC27" s="1022" t="str">
        <f t="shared" si="16"/>
        <v/>
      </c>
      <c r="AD27" s="1022" t="str">
        <f t="shared" si="17"/>
        <v/>
      </c>
      <c r="AE27" s="1022" t="str">
        <f t="shared" si="18"/>
        <v/>
      </c>
      <c r="AF27" s="3249" t="str">
        <f t="shared" si="19"/>
        <v/>
      </c>
      <c r="AG27" s="1104" t="str">
        <f>IF($A27&lt;&gt;"",IF(VLOOKUP($A27,'Distributed Assets'!$B$28:$AC$102,26,FALSE)="","N/A",VLOOKUP($A27,'Distributed Assets'!$B$28:$AC$102,26,FALSE)),"")</f>
        <v/>
      </c>
      <c r="AH27" s="2229" t="str">
        <f t="shared" si="20"/>
        <v/>
      </c>
    </row>
    <row r="28" spans="1:34" s="931" customFormat="1">
      <c r="A28" s="2224"/>
      <c r="B28" s="1782" t="str">
        <f t="shared" si="0"/>
        <v/>
      </c>
      <c r="C28" s="2728" t="str">
        <f t="shared" si="6"/>
        <v/>
      </c>
      <c r="D28" s="2226" t="str">
        <f t="shared" si="1"/>
        <v/>
      </c>
      <c r="E28" s="2909"/>
      <c r="F28" s="2906"/>
      <c r="G28" s="2225" t="str">
        <f t="shared" si="21"/>
        <v/>
      </c>
      <c r="H28" s="2227" t="str">
        <f>IF(A28&lt;&gt;"",VLOOKUP(VLOOKUP(A28,dist_assets,2,FALSE),'Distributed Assets'!$C$7:$F$22,4,FALSE),"")</f>
        <v/>
      </c>
      <c r="I28" s="279" t="str">
        <f>IF(A28&lt;&gt;"",VLOOKUP(A28,'Open Systems'!$A$4:$K$41,3,FALSE),"")</f>
        <v/>
      </c>
      <c r="J28" s="2228"/>
      <c r="K28" s="3163" t="str">
        <f>IFERROR(IF($A28&lt;&gt;"",
IF(MID($A28,10,2)="VM",(CONCATENATE(VLOOKUP($A28,VMware!$A$4:$H$41,5,FALSE)&amp;" x "&amp;VLOOKUP($A28,VMware!$A$4:$H$41,6,FALSE)&amp;" TB")),
IF($J28="OS",VLOOKUP($A28,'Open Systems'!$A$4:$K$41,9,FALSE),VLOOKUP($A28,'Open Systems'!$A$4:$K$41,11,FALSE))),""),"")</f>
        <v/>
      </c>
      <c r="L28" s="2"/>
      <c r="M28" s="2173" t="str">
        <f t="shared" si="3"/>
        <v/>
      </c>
      <c r="N28" s="817" t="str">
        <f t="shared" si="4"/>
        <v/>
      </c>
      <c r="O28" s="1090"/>
      <c r="P28" s="1019" t="str">
        <f t="shared" si="8"/>
        <v/>
      </c>
      <c r="Q28" s="1020"/>
      <c r="R28" s="1020"/>
      <c r="S28" s="1021" t="str">
        <f t="shared" si="22"/>
        <v/>
      </c>
      <c r="T28" s="1017"/>
      <c r="U28" s="1016"/>
      <c r="V28" s="3202" t="str">
        <f t="shared" si="5"/>
        <v/>
      </c>
      <c r="W28" s="1022" t="str">
        <f t="shared" si="23"/>
        <v/>
      </c>
      <c r="X28" s="1023" t="str">
        <f t="shared" si="24"/>
        <v/>
      </c>
      <c r="Y28" s="1017" t="str">
        <f t="shared" si="25"/>
        <v/>
      </c>
      <c r="Z28" s="1018" t="str">
        <f t="shared" si="13"/>
        <v/>
      </c>
      <c r="AA28" s="1022" t="str">
        <f t="shared" si="26"/>
        <v/>
      </c>
      <c r="AB28" s="1022" t="str">
        <f t="shared" si="27"/>
        <v/>
      </c>
      <c r="AC28" s="1022" t="str">
        <f t="shared" si="16"/>
        <v/>
      </c>
      <c r="AD28" s="1022" t="str">
        <f t="shared" si="17"/>
        <v/>
      </c>
      <c r="AE28" s="1022" t="str">
        <f t="shared" si="18"/>
        <v/>
      </c>
      <c r="AF28" s="3249" t="str">
        <f t="shared" si="19"/>
        <v/>
      </c>
      <c r="AG28" s="1104" t="str">
        <f>IF($A28&lt;&gt;"",IF(VLOOKUP($A28,'Distributed Assets'!$B$28:$AC$102,26,FALSE)="","N/A",VLOOKUP($A28,'Distributed Assets'!$B$28:$AC$102,26,FALSE)),"")</f>
        <v/>
      </c>
      <c r="AH28" s="2229" t="str">
        <f t="shared" si="20"/>
        <v/>
      </c>
    </row>
    <row r="29" spans="1:34" s="931" customFormat="1">
      <c r="A29" s="2224"/>
      <c r="B29" s="1782" t="str">
        <f t="shared" si="0"/>
        <v/>
      </c>
      <c r="C29" s="2728" t="str">
        <f t="shared" si="6"/>
        <v/>
      </c>
      <c r="D29" s="2226" t="str">
        <f t="shared" si="1"/>
        <v/>
      </c>
      <c r="E29" s="2909"/>
      <c r="F29" s="2906"/>
      <c r="G29" s="2225" t="str">
        <f t="shared" si="21"/>
        <v/>
      </c>
      <c r="H29" s="2227" t="str">
        <f>IF(A29&lt;&gt;"",VLOOKUP(VLOOKUP(A29,dist_assets,2,FALSE),'Distributed Assets'!$C$7:$F$22,4,FALSE),"")</f>
        <v/>
      </c>
      <c r="I29" s="279" t="str">
        <f>IF(A29&lt;&gt;"",VLOOKUP(A29,'Open Systems'!$A$4:$K$41,3,FALSE),"")</f>
        <v/>
      </c>
      <c r="J29" s="2228"/>
      <c r="K29" s="3163" t="str">
        <f>IFERROR(IF($A29&lt;&gt;"",
IF(MID($A29,10,2)="VM",(CONCATENATE(VLOOKUP($A29,VMware!$A$4:$H$41,5,FALSE)&amp;" x "&amp;VLOOKUP($A29,VMware!$A$4:$H$41,6,FALSE)&amp;" TB")),
IF($J29="OS",VLOOKUP($A29,'Open Systems'!$A$4:$K$41,9,FALSE),VLOOKUP($A29,'Open Systems'!$A$4:$K$41,11,FALSE))),""),"")</f>
        <v/>
      </c>
      <c r="L29" s="2"/>
      <c r="M29" s="2173" t="str">
        <f t="shared" si="3"/>
        <v/>
      </c>
      <c r="N29" s="817" t="str">
        <f t="shared" si="4"/>
        <v/>
      </c>
      <c r="O29" s="1090"/>
      <c r="P29" s="1019" t="str">
        <f t="shared" si="8"/>
        <v/>
      </c>
      <c r="Q29" s="1020"/>
      <c r="R29" s="1020"/>
      <c r="S29" s="1021" t="str">
        <f t="shared" si="22"/>
        <v/>
      </c>
      <c r="T29" s="1017"/>
      <c r="U29" s="1016"/>
      <c r="V29" s="3202" t="str">
        <f t="shared" si="5"/>
        <v/>
      </c>
      <c r="W29" s="1022" t="str">
        <f t="shared" si="23"/>
        <v/>
      </c>
      <c r="X29" s="1023" t="str">
        <f t="shared" si="24"/>
        <v/>
      </c>
      <c r="Y29" s="1017" t="str">
        <f t="shared" si="25"/>
        <v/>
      </c>
      <c r="Z29" s="1018" t="str">
        <f t="shared" si="13"/>
        <v/>
      </c>
      <c r="AA29" s="1022" t="str">
        <f t="shared" si="26"/>
        <v/>
      </c>
      <c r="AB29" s="1022" t="str">
        <f t="shared" si="27"/>
        <v/>
      </c>
      <c r="AC29" s="1022" t="str">
        <f t="shared" si="16"/>
        <v/>
      </c>
      <c r="AD29" s="1022" t="str">
        <f t="shared" si="17"/>
        <v/>
      </c>
      <c r="AE29" s="1022" t="str">
        <f t="shared" si="18"/>
        <v/>
      </c>
      <c r="AF29" s="3249" t="str">
        <f t="shared" si="19"/>
        <v/>
      </c>
      <c r="AG29" s="1104" t="str">
        <f>IF($A29&lt;&gt;"",IF(VLOOKUP($A29,'Distributed Assets'!$B$28:$AC$102,26,FALSE)="","N/A",VLOOKUP($A29,'Distributed Assets'!$B$28:$AC$102,26,FALSE)),"")</f>
        <v/>
      </c>
      <c r="AH29" s="2229" t="str">
        <f t="shared" si="20"/>
        <v/>
      </c>
    </row>
    <row r="30" spans="1:34" s="931" customFormat="1">
      <c r="A30" s="2224"/>
      <c r="B30" s="1782" t="str">
        <f t="shared" si="0"/>
        <v/>
      </c>
      <c r="C30" s="2728" t="str">
        <f t="shared" si="6"/>
        <v/>
      </c>
      <c r="D30" s="2226" t="str">
        <f t="shared" si="1"/>
        <v/>
      </c>
      <c r="E30" s="2909"/>
      <c r="F30" s="2906"/>
      <c r="G30" s="2225" t="str">
        <f t="shared" si="21"/>
        <v/>
      </c>
      <c r="H30" s="2227" t="str">
        <f>IF(A30&lt;&gt;"",VLOOKUP(VLOOKUP(A30,dist_assets,2,FALSE),'Distributed Assets'!$C$7:$F$22,4,FALSE),"")</f>
        <v/>
      </c>
      <c r="I30" s="279" t="str">
        <f>IF(A30&lt;&gt;"",VLOOKUP(A30,'Open Systems'!$A$4:$K$41,3,FALSE),"")</f>
        <v/>
      </c>
      <c r="J30" s="2228"/>
      <c r="K30" s="3163" t="str">
        <f>IFERROR(IF($A30&lt;&gt;"",
IF(MID($A30,10,2)="VM",(CONCATENATE(VLOOKUP($A30,VMware!$A$4:$H$41,5,FALSE)&amp;" x "&amp;VLOOKUP($A30,VMware!$A$4:$H$41,6,FALSE)&amp;" TB")),
IF($J30="OS",VLOOKUP($A30,'Open Systems'!$A$4:$K$41,9,FALSE),VLOOKUP($A30,'Open Systems'!$A$4:$K$41,11,FALSE))),""),"")</f>
        <v/>
      </c>
      <c r="L30" s="2"/>
      <c r="M30" s="2173" t="str">
        <f t="shared" si="3"/>
        <v/>
      </c>
      <c r="N30" s="817" t="str">
        <f t="shared" si="4"/>
        <v/>
      </c>
      <c r="O30" s="1090"/>
      <c r="P30" s="1019" t="str">
        <f t="shared" si="8"/>
        <v/>
      </c>
      <c r="Q30" s="1020"/>
      <c r="R30" s="1020"/>
      <c r="S30" s="1021" t="str">
        <f t="shared" si="22"/>
        <v/>
      </c>
      <c r="T30" s="1017"/>
      <c r="U30" s="1016"/>
      <c r="V30" s="3202" t="str">
        <f t="shared" si="5"/>
        <v/>
      </c>
      <c r="W30" s="1022" t="str">
        <f t="shared" si="23"/>
        <v/>
      </c>
      <c r="X30" s="1023" t="str">
        <f t="shared" si="24"/>
        <v/>
      </c>
      <c r="Y30" s="1017" t="str">
        <f t="shared" si="25"/>
        <v/>
      </c>
      <c r="Z30" s="1018" t="str">
        <f t="shared" si="13"/>
        <v/>
      </c>
      <c r="AA30" s="1022" t="str">
        <f t="shared" si="26"/>
        <v/>
      </c>
      <c r="AB30" s="1022" t="str">
        <f t="shared" si="27"/>
        <v/>
      </c>
      <c r="AC30" s="1022" t="str">
        <f t="shared" si="16"/>
        <v/>
      </c>
      <c r="AD30" s="1022" t="str">
        <f t="shared" si="17"/>
        <v/>
      </c>
      <c r="AE30" s="1022" t="str">
        <f t="shared" si="18"/>
        <v/>
      </c>
      <c r="AF30" s="3249" t="str">
        <f t="shared" si="19"/>
        <v/>
      </c>
      <c r="AG30" s="1104" t="str">
        <f>IF($A30&lt;&gt;"",IF(VLOOKUP($A30,'Distributed Assets'!$B$28:$AC$102,26,FALSE)="","N/A",VLOOKUP($A30,'Distributed Assets'!$B$28:$AC$102,26,FALSE)),"")</f>
        <v/>
      </c>
      <c r="AH30" s="2229" t="str">
        <f t="shared" si="20"/>
        <v/>
      </c>
    </row>
    <row r="31" spans="1:34" s="931" customFormat="1">
      <c r="A31" s="2224"/>
      <c r="B31" s="1782" t="str">
        <f t="shared" si="0"/>
        <v/>
      </c>
      <c r="C31" s="2728" t="str">
        <f t="shared" si="6"/>
        <v/>
      </c>
      <c r="D31" s="2226" t="str">
        <f t="shared" si="1"/>
        <v/>
      </c>
      <c r="E31" s="2909"/>
      <c r="F31" s="2906"/>
      <c r="G31" s="2225" t="str">
        <f t="shared" si="21"/>
        <v/>
      </c>
      <c r="H31" s="2227" t="str">
        <f>IF(A31&lt;&gt;"",VLOOKUP(VLOOKUP(A31,dist_assets,2,FALSE),'Distributed Assets'!$C$7:$F$22,4,FALSE),"")</f>
        <v/>
      </c>
      <c r="I31" s="279" t="str">
        <f>IF(A31&lt;&gt;"",VLOOKUP(A31,'Open Systems'!$A$4:$K$41,3,FALSE),"")</f>
        <v/>
      </c>
      <c r="J31" s="2228"/>
      <c r="K31" s="3163" t="str">
        <f>IFERROR(IF($A31&lt;&gt;"",
IF(MID($A31,10,2)="VM",(CONCATENATE(VLOOKUP($A31,VMware!$A$4:$H$41,5,FALSE)&amp;" x "&amp;VLOOKUP($A31,VMware!$A$4:$H$41,6,FALSE)&amp;" TB")),
IF($J31="OS",VLOOKUP($A31,'Open Systems'!$A$4:$K$41,9,FALSE),VLOOKUP($A31,'Open Systems'!$A$4:$K$41,11,FALSE))),""),"")</f>
        <v/>
      </c>
      <c r="L31" s="2"/>
      <c r="M31" s="2173" t="str">
        <f t="shared" si="3"/>
        <v/>
      </c>
      <c r="N31" s="817" t="str">
        <f t="shared" si="4"/>
        <v/>
      </c>
      <c r="O31" s="1090"/>
      <c r="P31" s="1019" t="str">
        <f t="shared" si="8"/>
        <v/>
      </c>
      <c r="Q31" s="1020"/>
      <c r="R31" s="1020"/>
      <c r="S31" s="1021" t="str">
        <f t="shared" si="22"/>
        <v/>
      </c>
      <c r="T31" s="1017"/>
      <c r="U31" s="1016"/>
      <c r="V31" s="3202" t="str">
        <f t="shared" si="5"/>
        <v/>
      </c>
      <c r="W31" s="1022" t="str">
        <f t="shared" si="23"/>
        <v/>
      </c>
      <c r="X31" s="1023" t="str">
        <f t="shared" si="24"/>
        <v/>
      </c>
      <c r="Y31" s="1017" t="str">
        <f t="shared" si="25"/>
        <v/>
      </c>
      <c r="Z31" s="1018" t="str">
        <f t="shared" si="13"/>
        <v/>
      </c>
      <c r="AA31" s="1022" t="str">
        <f t="shared" si="26"/>
        <v/>
      </c>
      <c r="AB31" s="1022" t="str">
        <f t="shared" si="27"/>
        <v/>
      </c>
      <c r="AC31" s="1022" t="str">
        <f t="shared" si="16"/>
        <v/>
      </c>
      <c r="AD31" s="1022" t="str">
        <f t="shared" si="17"/>
        <v/>
      </c>
      <c r="AE31" s="1022" t="str">
        <f t="shared" si="18"/>
        <v/>
      </c>
      <c r="AF31" s="3249" t="str">
        <f t="shared" si="19"/>
        <v/>
      </c>
      <c r="AG31" s="1104" t="str">
        <f>IF($A31&lt;&gt;"",IF(VLOOKUP($A31,'Distributed Assets'!$B$28:$AC$102,26,FALSE)="","N/A",VLOOKUP($A31,'Distributed Assets'!$B$28:$AC$102,26,FALSE)),"")</f>
        <v/>
      </c>
      <c r="AH31" s="2229" t="str">
        <f t="shared" si="20"/>
        <v/>
      </c>
    </row>
    <row r="32" spans="1:34" s="931" customFormat="1">
      <c r="A32" s="2224"/>
      <c r="B32" s="1782" t="str">
        <f t="shared" si="0"/>
        <v/>
      </c>
      <c r="C32" s="2728" t="str">
        <f t="shared" si="6"/>
        <v/>
      </c>
      <c r="D32" s="2226" t="str">
        <f t="shared" si="1"/>
        <v/>
      </c>
      <c r="E32" s="2909"/>
      <c r="F32" s="2906"/>
      <c r="G32" s="2225" t="str">
        <f t="shared" si="21"/>
        <v/>
      </c>
      <c r="H32" s="2227" t="str">
        <f>IF(A32&lt;&gt;"",VLOOKUP(VLOOKUP(A32,dist_assets,2,FALSE),'Distributed Assets'!$C$7:$F$22,4,FALSE),"")</f>
        <v/>
      </c>
      <c r="I32" s="279" t="str">
        <f>IF(A32&lt;&gt;"",VLOOKUP(A32,'Open Systems'!$A$4:$K$41,3,FALSE),"")</f>
        <v/>
      </c>
      <c r="J32" s="2228"/>
      <c r="K32" s="3163" t="str">
        <f>IFERROR(IF($A32&lt;&gt;"",
IF(MID($A32,10,2)="VM",(CONCATENATE(VLOOKUP($A32,VMware!$A$4:$H$41,5,FALSE)&amp;" x "&amp;VLOOKUP($A32,VMware!$A$4:$H$41,6,FALSE)&amp;" TB")),
IF($J32="OS",VLOOKUP($A32,'Open Systems'!$A$4:$K$41,9,FALSE),VLOOKUP($A32,'Open Systems'!$A$4:$K$41,11,FALSE))),""),"")</f>
        <v/>
      </c>
      <c r="L32" s="2"/>
      <c r="M32" s="2173" t="str">
        <f t="shared" si="3"/>
        <v/>
      </c>
      <c r="N32" s="817" t="str">
        <f t="shared" si="4"/>
        <v/>
      </c>
      <c r="O32" s="1090"/>
      <c r="P32" s="1019" t="str">
        <f t="shared" si="8"/>
        <v/>
      </c>
      <c r="Q32" s="1020"/>
      <c r="R32" s="1020"/>
      <c r="S32" s="1021" t="str">
        <f t="shared" si="22"/>
        <v/>
      </c>
      <c r="T32" s="1017"/>
      <c r="U32" s="1016"/>
      <c r="V32" s="3202" t="str">
        <f t="shared" si="5"/>
        <v/>
      </c>
      <c r="W32" s="1022" t="str">
        <f t="shared" si="23"/>
        <v/>
      </c>
      <c r="X32" s="1023" t="str">
        <f t="shared" si="24"/>
        <v/>
      </c>
      <c r="Y32" s="1017" t="str">
        <f t="shared" si="25"/>
        <v/>
      </c>
      <c r="Z32" s="1018" t="str">
        <f t="shared" si="13"/>
        <v/>
      </c>
      <c r="AA32" s="1022" t="str">
        <f t="shared" si="26"/>
        <v/>
      </c>
      <c r="AB32" s="1022" t="str">
        <f t="shared" si="27"/>
        <v/>
      </c>
      <c r="AC32" s="1022" t="str">
        <f t="shared" si="16"/>
        <v/>
      </c>
      <c r="AD32" s="1022" t="str">
        <f t="shared" si="17"/>
        <v/>
      </c>
      <c r="AE32" s="1022" t="str">
        <f t="shared" si="18"/>
        <v/>
      </c>
      <c r="AF32" s="3249" t="str">
        <f t="shared" si="19"/>
        <v/>
      </c>
      <c r="AG32" s="1104" t="str">
        <f>IF($A32&lt;&gt;"",IF(VLOOKUP($A32,'Distributed Assets'!$B$28:$AC$102,26,FALSE)="","N/A",VLOOKUP($A32,'Distributed Assets'!$B$28:$AC$102,26,FALSE)),"")</f>
        <v/>
      </c>
      <c r="AH32" s="2229" t="str">
        <f t="shared" si="20"/>
        <v/>
      </c>
    </row>
    <row r="33" spans="1:34" s="931" customFormat="1">
      <c r="A33" s="2224"/>
      <c r="B33" s="1782" t="str">
        <f t="shared" si="0"/>
        <v/>
      </c>
      <c r="C33" s="2728" t="str">
        <f t="shared" si="6"/>
        <v/>
      </c>
      <c r="D33" s="2226" t="str">
        <f t="shared" si="1"/>
        <v/>
      </c>
      <c r="E33" s="2909"/>
      <c r="F33" s="2906"/>
      <c r="G33" s="2225" t="str">
        <f t="shared" si="21"/>
        <v/>
      </c>
      <c r="H33" s="2227" t="str">
        <f>IF(A33&lt;&gt;"",VLOOKUP(VLOOKUP(A33,dist_assets,2,FALSE),'Distributed Assets'!$C$7:$F$22,4,FALSE),"")</f>
        <v/>
      </c>
      <c r="I33" s="279" t="str">
        <f>IF(A33&lt;&gt;"",VLOOKUP(A33,'Open Systems'!$A$4:$K$41,3,FALSE),"")</f>
        <v/>
      </c>
      <c r="J33" s="2228"/>
      <c r="K33" s="3163" t="str">
        <f>IFERROR(IF($A33&lt;&gt;"",
IF(MID($A33,10,2)="VM",(CONCATENATE(VLOOKUP($A33,VMware!$A$4:$H$41,5,FALSE)&amp;" x "&amp;VLOOKUP($A33,VMware!$A$4:$H$41,6,FALSE)&amp;" TB")),
IF($J33="OS",VLOOKUP($A33,'Open Systems'!$A$4:$K$41,9,FALSE),VLOOKUP($A33,'Open Systems'!$A$4:$K$41,11,FALSE))),""),"")</f>
        <v/>
      </c>
      <c r="L33" s="2"/>
      <c r="M33" s="2173" t="str">
        <f t="shared" si="3"/>
        <v/>
      </c>
      <c r="N33" s="817" t="str">
        <f t="shared" si="4"/>
        <v/>
      </c>
      <c r="O33" s="1090"/>
      <c r="P33" s="1019" t="str">
        <f t="shared" si="8"/>
        <v/>
      </c>
      <c r="Q33" s="1020"/>
      <c r="R33" s="1020"/>
      <c r="S33" s="1021" t="str">
        <f t="shared" si="22"/>
        <v/>
      </c>
      <c r="T33" s="1017"/>
      <c r="U33" s="1016"/>
      <c r="V33" s="3202" t="str">
        <f t="shared" si="5"/>
        <v/>
      </c>
      <c r="W33" s="1022" t="str">
        <f t="shared" si="23"/>
        <v/>
      </c>
      <c r="X33" s="1023" t="str">
        <f t="shared" si="24"/>
        <v/>
      </c>
      <c r="Y33" s="1017" t="str">
        <f t="shared" si="25"/>
        <v/>
      </c>
      <c r="Z33" s="1018" t="str">
        <f t="shared" si="13"/>
        <v/>
      </c>
      <c r="AA33" s="1022" t="str">
        <f t="shared" si="26"/>
        <v/>
      </c>
      <c r="AB33" s="1022" t="str">
        <f t="shared" si="27"/>
        <v/>
      </c>
      <c r="AC33" s="1022" t="str">
        <f t="shared" si="16"/>
        <v/>
      </c>
      <c r="AD33" s="1022" t="str">
        <f t="shared" si="17"/>
        <v/>
      </c>
      <c r="AE33" s="1022" t="str">
        <f t="shared" si="18"/>
        <v/>
      </c>
      <c r="AF33" s="3249" t="str">
        <f t="shared" si="19"/>
        <v/>
      </c>
      <c r="AG33" s="1104" t="str">
        <f>IF($A33&lt;&gt;"",IF(VLOOKUP($A33,'Distributed Assets'!$B$28:$AC$102,26,FALSE)="","N/A",VLOOKUP($A33,'Distributed Assets'!$B$28:$AC$102,26,FALSE)),"")</f>
        <v/>
      </c>
      <c r="AH33" s="2229" t="str">
        <f t="shared" si="20"/>
        <v/>
      </c>
    </row>
    <row r="34" spans="1:34" s="931" customFormat="1">
      <c r="A34" s="2224"/>
      <c r="B34" s="1782" t="str">
        <f t="shared" si="0"/>
        <v/>
      </c>
      <c r="C34" s="2728" t="str">
        <f t="shared" si="6"/>
        <v/>
      </c>
      <c r="D34" s="2226" t="str">
        <f t="shared" si="1"/>
        <v/>
      </c>
      <c r="E34" s="2909"/>
      <c r="F34" s="2906"/>
      <c r="G34" s="2225" t="str">
        <f t="shared" si="21"/>
        <v/>
      </c>
      <c r="H34" s="2227" t="str">
        <f>IF(A34&lt;&gt;"",VLOOKUP(VLOOKUP(A34,dist_assets,2,FALSE),'Distributed Assets'!$C$7:$F$22,4,FALSE),"")</f>
        <v/>
      </c>
      <c r="I34" s="279" t="str">
        <f>IF(A34&lt;&gt;"",VLOOKUP(A34,'Open Systems'!$A$4:$K$41,3,FALSE),"")</f>
        <v/>
      </c>
      <c r="J34" s="2228"/>
      <c r="K34" s="3163" t="str">
        <f>IFERROR(IF($A34&lt;&gt;"",
IF(MID($A34,10,2)="VM",(CONCATENATE(VLOOKUP($A34,VMware!$A$4:$H$41,5,FALSE)&amp;" x "&amp;VLOOKUP($A34,VMware!$A$4:$H$41,6,FALSE)&amp;" TB")),
IF($J34="OS",VLOOKUP($A34,'Open Systems'!$A$4:$K$41,9,FALSE),VLOOKUP($A34,'Open Systems'!$A$4:$K$41,11,FALSE))),""),"")</f>
        <v/>
      </c>
      <c r="L34" s="2"/>
      <c r="M34" s="2173" t="str">
        <f t="shared" si="3"/>
        <v/>
      </c>
      <c r="N34" s="817" t="str">
        <f t="shared" si="4"/>
        <v/>
      </c>
      <c r="O34" s="1090"/>
      <c r="P34" s="1019" t="str">
        <f t="shared" si="8"/>
        <v/>
      </c>
      <c r="Q34" s="1020"/>
      <c r="R34" s="1020"/>
      <c r="S34" s="1021" t="str">
        <f t="shared" si="22"/>
        <v/>
      </c>
      <c r="T34" s="1017"/>
      <c r="U34" s="1016"/>
      <c r="V34" s="3202" t="str">
        <f t="shared" si="5"/>
        <v/>
      </c>
      <c r="W34" s="1022" t="str">
        <f t="shared" si="23"/>
        <v/>
      </c>
      <c r="X34" s="1023" t="str">
        <f t="shared" si="24"/>
        <v/>
      </c>
      <c r="Y34" s="1017" t="str">
        <f t="shared" si="25"/>
        <v/>
      </c>
      <c r="Z34" s="1018" t="str">
        <f t="shared" si="13"/>
        <v/>
      </c>
      <c r="AA34" s="1022" t="str">
        <f t="shared" si="26"/>
        <v/>
      </c>
      <c r="AB34" s="1022" t="str">
        <f t="shared" si="27"/>
        <v/>
      </c>
      <c r="AC34" s="1022" t="str">
        <f t="shared" si="16"/>
        <v/>
      </c>
      <c r="AD34" s="1022" t="str">
        <f t="shared" si="17"/>
        <v/>
      </c>
      <c r="AE34" s="1022" t="str">
        <f t="shared" si="18"/>
        <v/>
      </c>
      <c r="AF34" s="3249" t="str">
        <f t="shared" si="19"/>
        <v/>
      </c>
      <c r="AG34" s="1104" t="str">
        <f>IF($A34&lt;&gt;"",IF(VLOOKUP($A34,'Distributed Assets'!$B$28:$AC$102,26,FALSE)="","N/A",VLOOKUP($A34,'Distributed Assets'!$B$28:$AC$102,26,FALSE)),"")</f>
        <v/>
      </c>
      <c r="AH34" s="2229" t="str">
        <f t="shared" si="20"/>
        <v/>
      </c>
    </row>
    <row r="35" spans="1:34" s="931" customFormat="1">
      <c r="A35" s="2224"/>
      <c r="B35" s="1782" t="str">
        <f t="shared" si="0"/>
        <v/>
      </c>
      <c r="C35" s="2728" t="str">
        <f t="shared" si="6"/>
        <v/>
      </c>
      <c r="D35" s="2226" t="str">
        <f t="shared" si="1"/>
        <v/>
      </c>
      <c r="E35" s="2909"/>
      <c r="F35" s="2906"/>
      <c r="G35" s="2225" t="str">
        <f t="shared" si="21"/>
        <v/>
      </c>
      <c r="H35" s="2227" t="str">
        <f>IF(A35&lt;&gt;"",VLOOKUP(VLOOKUP(A35,dist_assets,2,FALSE),'Distributed Assets'!$C$7:$F$22,4,FALSE),"")</f>
        <v/>
      </c>
      <c r="I35" s="279" t="str">
        <f>IF(A35&lt;&gt;"",VLOOKUP(A35,'Open Systems'!$A$4:$K$41,3,FALSE),"")</f>
        <v/>
      </c>
      <c r="J35" s="2228"/>
      <c r="K35" s="3163" t="str">
        <f>IFERROR(IF($A35&lt;&gt;"",
IF(MID($A35,10,2)="VM",(CONCATENATE(VLOOKUP($A35,VMware!$A$4:$H$41,5,FALSE)&amp;" x "&amp;VLOOKUP($A35,VMware!$A$4:$H$41,6,FALSE)&amp;" TB")),
IF($J35="OS",VLOOKUP($A35,'Open Systems'!$A$4:$K$41,9,FALSE),VLOOKUP($A35,'Open Systems'!$A$4:$K$41,11,FALSE))),""),"")</f>
        <v/>
      </c>
      <c r="L35" s="2"/>
      <c r="M35" s="2173" t="str">
        <f t="shared" si="3"/>
        <v/>
      </c>
      <c r="N35" s="817" t="str">
        <f t="shared" si="4"/>
        <v/>
      </c>
      <c r="O35" s="1090"/>
      <c r="P35" s="1019" t="str">
        <f t="shared" si="8"/>
        <v/>
      </c>
      <c r="Q35" s="1020"/>
      <c r="R35" s="1020"/>
      <c r="S35" s="1021" t="str">
        <f t="shared" si="22"/>
        <v/>
      </c>
      <c r="T35" s="1017"/>
      <c r="U35" s="1016"/>
      <c r="V35" s="3202" t="str">
        <f t="shared" si="5"/>
        <v/>
      </c>
      <c r="W35" s="1022" t="str">
        <f t="shared" si="23"/>
        <v/>
      </c>
      <c r="X35" s="1023" t="str">
        <f t="shared" si="24"/>
        <v/>
      </c>
      <c r="Y35" s="1017" t="str">
        <f t="shared" si="25"/>
        <v/>
      </c>
      <c r="Z35" s="1018" t="str">
        <f t="shared" si="13"/>
        <v/>
      </c>
      <c r="AA35" s="1022" t="str">
        <f t="shared" si="26"/>
        <v/>
      </c>
      <c r="AB35" s="1022" t="str">
        <f t="shared" si="27"/>
        <v/>
      </c>
      <c r="AC35" s="1022" t="str">
        <f t="shared" si="16"/>
        <v/>
      </c>
      <c r="AD35" s="1022" t="str">
        <f t="shared" si="17"/>
        <v/>
      </c>
      <c r="AE35" s="1022" t="str">
        <f t="shared" si="18"/>
        <v/>
      </c>
      <c r="AF35" s="3249" t="str">
        <f t="shared" si="19"/>
        <v/>
      </c>
      <c r="AG35" s="1104" t="str">
        <f>IF($A35&lt;&gt;"",IF(VLOOKUP($A35,'Distributed Assets'!$B$28:$AC$102,26,FALSE)="","N/A",VLOOKUP($A35,'Distributed Assets'!$B$28:$AC$102,26,FALSE)),"")</f>
        <v/>
      </c>
      <c r="AH35" s="2229" t="str">
        <f t="shared" si="20"/>
        <v/>
      </c>
    </row>
    <row r="36" spans="1:34" s="931" customFormat="1">
      <c r="A36" s="2224"/>
      <c r="B36" s="1782" t="str">
        <f t="shared" ref="B36:B67" si="28">IF($A36&lt;&gt;"",
      IF(MID($A36,10,2)="VM", VLOOKUP($A36,VMTab,4,FALSE), VLOOKUP($A36,dist_assets,21,FALSE)), "")</f>
        <v/>
      </c>
      <c r="C36" s="2728" t="str">
        <f t="shared" ref="C36:C67" si="29">IF($A36&lt;&gt;"",VLOOKUP($A36,dist_assets,10,FALSE),"")</f>
        <v/>
      </c>
      <c r="D36" s="2226" t="str">
        <f t="shared" ref="D36:D67" si="30">IF($A36&lt;&gt;"",
      IF(MID($A36,10,2)="VM","Existing", VLOOKUP($A36,dist_assets,3,FALSE)),"")</f>
        <v/>
      </c>
      <c r="E36" s="2909"/>
      <c r="F36" s="2906"/>
      <c r="G36" s="2225" t="str">
        <f t="shared" si="21"/>
        <v/>
      </c>
      <c r="H36" s="2227" t="str">
        <f>IF(A36&lt;&gt;"",VLOOKUP(VLOOKUP(A36,dist_assets,2,FALSE),'Distributed Assets'!$C$7:$F$22,4,FALSE),"")</f>
        <v/>
      </c>
      <c r="I36" s="279" t="str">
        <f>IF(A36&lt;&gt;"",VLOOKUP(A36,'Open Systems'!$A$4:$K$41,3,FALSE),"")</f>
        <v/>
      </c>
      <c r="J36" s="2228"/>
      <c r="K36" s="3163" t="str">
        <f>IFERROR(IF($A36&lt;&gt;"",
IF(MID($A36,10,2)="VM",(CONCATENATE(VLOOKUP($A36,VMware!$A$4:$H$41,5,FALSE)&amp;" x "&amp;VLOOKUP($A36,VMware!$A$4:$H$41,6,FALSE)&amp;" TB")),
IF($J36="OS",VLOOKUP($A36,'Open Systems'!$A$4:$K$41,9,FALSE),VLOOKUP($A36,'Open Systems'!$A$4:$K$41,11,FALSE))),""),"")</f>
        <v/>
      </c>
      <c r="L36" s="2"/>
      <c r="M36" s="2173" t="str">
        <f t="shared" ref="M36:M67" si="31">IFERROR(IF($A36&lt;&gt;"",IF(MID($A36,10,2)="VM",CONCATENATE("Shared with Servers:"&amp; CHAR(10) &amp;VLOOKUP($A36,VMTab,4,FALSE)),VLOOKUP(VLOOKUP($A36,dist_assets,17,FALSE),dist_assets,21,FALSE)),""),"")</f>
        <v/>
      </c>
      <c r="N36" s="817" t="str">
        <f t="shared" ref="N36:N67" si="32">IF($A36&lt;&gt;"",VLOOKUP($A36,dist_assets,16,FALSE),"")</f>
        <v/>
      </c>
      <c r="O36" s="1090"/>
      <c r="P36" s="1019" t="str">
        <f t="shared" si="8"/>
        <v/>
      </c>
      <c r="Q36" s="1020"/>
      <c r="R36" s="1020"/>
      <c r="S36" s="1021" t="str">
        <f t="shared" si="22"/>
        <v/>
      </c>
      <c r="T36" s="1017"/>
      <c r="U36" s="1016"/>
      <c r="V36" s="3202" t="str">
        <f t="shared" ref="V36:V67" si="33">IFERROR(IF($A36&lt;&gt;"",
      IF(AND(MID($A36,10,2)="VM", VLOOKUP($A36,VMTab,7,FALSE)="Yes"), $K36,
            IF($H36="Prod 2.0", $K36,"")),""),"")</f>
        <v/>
      </c>
      <c r="W36" s="1022" t="str">
        <f t="shared" si="23"/>
        <v/>
      </c>
      <c r="X36" s="1023" t="str">
        <f t="shared" si="24"/>
        <v/>
      </c>
      <c r="Y36" s="1017" t="str">
        <f t="shared" si="25"/>
        <v/>
      </c>
      <c r="Z36" s="1018" t="str">
        <f t="shared" si="13"/>
        <v/>
      </c>
      <c r="AA36" s="1022" t="str">
        <f t="shared" si="26"/>
        <v/>
      </c>
      <c r="AB36" s="1022" t="str">
        <f t="shared" si="27"/>
        <v/>
      </c>
      <c r="AC36" s="1022" t="str">
        <f t="shared" si="16"/>
        <v/>
      </c>
      <c r="AD36" s="1022" t="str">
        <f t="shared" si="17"/>
        <v/>
      </c>
      <c r="AE36" s="1022" t="str">
        <f t="shared" si="18"/>
        <v/>
      </c>
      <c r="AF36" s="3249" t="str">
        <f t="shared" si="19"/>
        <v/>
      </c>
      <c r="AG36" s="1104" t="str">
        <f>IF($A36&lt;&gt;"",IF(VLOOKUP($A36,'Distributed Assets'!$B$28:$AC$102,26,FALSE)="","N/A",VLOOKUP($A36,'Distributed Assets'!$B$28:$AC$102,26,FALSE)),"")</f>
        <v/>
      </c>
      <c r="AH36" s="2229" t="str">
        <f t="shared" si="20"/>
        <v/>
      </c>
    </row>
    <row r="37" spans="1:34" s="931" customFormat="1">
      <c r="A37" s="2224"/>
      <c r="B37" s="1782" t="str">
        <f t="shared" si="28"/>
        <v/>
      </c>
      <c r="C37" s="2728" t="str">
        <f t="shared" si="29"/>
        <v/>
      </c>
      <c r="D37" s="2226" t="str">
        <f t="shared" si="30"/>
        <v/>
      </c>
      <c r="E37" s="2909"/>
      <c r="F37" s="2906"/>
      <c r="G37" s="2225" t="str">
        <f t="shared" si="21"/>
        <v/>
      </c>
      <c r="H37" s="2227" t="str">
        <f>IF(A37&lt;&gt;"",VLOOKUP(VLOOKUP(A37,dist_assets,2,FALSE),'Distributed Assets'!$C$7:$F$22,4,FALSE),"")</f>
        <v/>
      </c>
      <c r="I37" s="279" t="str">
        <f>IF(A37&lt;&gt;"",VLOOKUP(A37,'Open Systems'!$A$4:$K$41,3,FALSE),"")</f>
        <v/>
      </c>
      <c r="J37" s="2228"/>
      <c r="K37" s="3163" t="str">
        <f>IFERROR(IF($A37&lt;&gt;"",
IF(MID($A37,10,2)="VM",(CONCATENATE(VLOOKUP($A37,VMware!$A$4:$H$41,5,FALSE)&amp;" x "&amp;VLOOKUP($A37,VMware!$A$4:$H$41,6,FALSE)&amp;" TB")),
IF($J37="OS",VLOOKUP($A37,'Open Systems'!$A$4:$K$41,9,FALSE),VLOOKUP($A37,'Open Systems'!$A$4:$K$41,11,FALSE))),""),"")</f>
        <v/>
      </c>
      <c r="L37" s="2"/>
      <c r="M37" s="2173" t="str">
        <f t="shared" si="31"/>
        <v/>
      </c>
      <c r="N37" s="817" t="str">
        <f t="shared" si="32"/>
        <v/>
      </c>
      <c r="O37" s="1090"/>
      <c r="P37" s="1019" t="str">
        <f t="shared" si="8"/>
        <v/>
      </c>
      <c r="Q37" s="1020"/>
      <c r="R37" s="1020"/>
      <c r="S37" s="1021" t="str">
        <f t="shared" si="22"/>
        <v/>
      </c>
      <c r="T37" s="1017"/>
      <c r="U37" s="1016"/>
      <c r="V37" s="3202" t="str">
        <f t="shared" si="33"/>
        <v/>
      </c>
      <c r="W37" s="1022" t="str">
        <f t="shared" si="23"/>
        <v/>
      </c>
      <c r="X37" s="1023" t="str">
        <f t="shared" si="24"/>
        <v/>
      </c>
      <c r="Y37" s="1017" t="str">
        <f t="shared" si="25"/>
        <v/>
      </c>
      <c r="Z37" s="1018" t="str">
        <f t="shared" si="13"/>
        <v/>
      </c>
      <c r="AA37" s="1022" t="str">
        <f t="shared" si="26"/>
        <v/>
      </c>
      <c r="AB37" s="1022" t="str">
        <f t="shared" si="27"/>
        <v/>
      </c>
      <c r="AC37" s="1022" t="str">
        <f t="shared" si="16"/>
        <v/>
      </c>
      <c r="AD37" s="1022" t="str">
        <f t="shared" si="17"/>
        <v/>
      </c>
      <c r="AE37" s="1022" t="str">
        <f t="shared" si="18"/>
        <v/>
      </c>
      <c r="AF37" s="3249" t="str">
        <f t="shared" si="19"/>
        <v/>
      </c>
      <c r="AG37" s="1104" t="str">
        <f>IF($A37&lt;&gt;"",IF(VLOOKUP($A37,'Distributed Assets'!$B$28:$AC$102,26,FALSE)="","N/A",VLOOKUP($A37,'Distributed Assets'!$B$28:$AC$102,26,FALSE)),"")</f>
        <v/>
      </c>
      <c r="AH37" s="2229" t="str">
        <f t="shared" si="20"/>
        <v/>
      </c>
    </row>
    <row r="38" spans="1:34" s="931" customFormat="1">
      <c r="A38" s="2224"/>
      <c r="B38" s="1782" t="str">
        <f t="shared" si="28"/>
        <v/>
      </c>
      <c r="C38" s="2728" t="str">
        <f t="shared" si="29"/>
        <v/>
      </c>
      <c r="D38" s="2226" t="str">
        <f t="shared" si="30"/>
        <v/>
      </c>
      <c r="E38" s="2909"/>
      <c r="F38" s="2906"/>
      <c r="G38" s="2225" t="str">
        <f t="shared" si="21"/>
        <v/>
      </c>
      <c r="H38" s="2227" t="str">
        <f>IF(A38&lt;&gt;"",VLOOKUP(VLOOKUP(A38,dist_assets,2,FALSE),'Distributed Assets'!$C$7:$F$22,4,FALSE),"")</f>
        <v/>
      </c>
      <c r="I38" s="279" t="str">
        <f>IF(A38&lt;&gt;"",VLOOKUP(A38,'Open Systems'!$A$4:$K$41,3,FALSE),"")</f>
        <v/>
      </c>
      <c r="J38" s="2228"/>
      <c r="K38" s="3163" t="str">
        <f>IFERROR(IF($A38&lt;&gt;"",
IF(MID($A38,10,2)="VM",(CONCATENATE(VLOOKUP($A38,VMware!$A$4:$H$41,5,FALSE)&amp;" x "&amp;VLOOKUP($A38,VMware!$A$4:$H$41,6,FALSE)&amp;" TB")),
IF($J38="OS",VLOOKUP($A38,'Open Systems'!$A$4:$K$41,9,FALSE),VLOOKUP($A38,'Open Systems'!$A$4:$K$41,11,FALSE))),""),"")</f>
        <v/>
      </c>
      <c r="L38" s="2"/>
      <c r="M38" s="2173" t="str">
        <f t="shared" si="31"/>
        <v/>
      </c>
      <c r="N38" s="817" t="str">
        <f t="shared" si="32"/>
        <v/>
      </c>
      <c r="O38" s="1090"/>
      <c r="P38" s="1019" t="str">
        <f t="shared" si="8"/>
        <v/>
      </c>
      <c r="Q38" s="1020"/>
      <c r="R38" s="1020"/>
      <c r="S38" s="1021" t="str">
        <f t="shared" si="22"/>
        <v/>
      </c>
      <c r="T38" s="1017"/>
      <c r="U38" s="1016"/>
      <c r="V38" s="3202" t="str">
        <f t="shared" si="33"/>
        <v/>
      </c>
      <c r="W38" s="1022" t="str">
        <f t="shared" si="23"/>
        <v/>
      </c>
      <c r="X38" s="1023" t="str">
        <f t="shared" si="24"/>
        <v/>
      </c>
      <c r="Y38" s="1017" t="str">
        <f t="shared" si="25"/>
        <v/>
      </c>
      <c r="Z38" s="1018" t="str">
        <f t="shared" si="13"/>
        <v/>
      </c>
      <c r="AA38" s="1022" t="str">
        <f t="shared" si="26"/>
        <v/>
      </c>
      <c r="AB38" s="1022" t="str">
        <f t="shared" si="27"/>
        <v/>
      </c>
      <c r="AC38" s="1022" t="str">
        <f t="shared" si="16"/>
        <v/>
      </c>
      <c r="AD38" s="1022" t="str">
        <f t="shared" si="17"/>
        <v/>
      </c>
      <c r="AE38" s="1022" t="str">
        <f t="shared" si="18"/>
        <v/>
      </c>
      <c r="AF38" s="3249" t="str">
        <f t="shared" si="19"/>
        <v/>
      </c>
      <c r="AG38" s="1104" t="str">
        <f>IF($A38&lt;&gt;"",IF(VLOOKUP($A38,'Distributed Assets'!$B$28:$AC$102,26,FALSE)="","N/A",VLOOKUP($A38,'Distributed Assets'!$B$28:$AC$102,26,FALSE)),"")</f>
        <v/>
      </c>
      <c r="AH38" s="2229" t="str">
        <f t="shared" si="20"/>
        <v/>
      </c>
    </row>
    <row r="39" spans="1:34" s="931" customFormat="1">
      <c r="A39" s="2224"/>
      <c r="B39" s="1782" t="str">
        <f t="shared" si="28"/>
        <v/>
      </c>
      <c r="C39" s="2728" t="str">
        <f t="shared" si="29"/>
        <v/>
      </c>
      <c r="D39" s="2226" t="str">
        <f t="shared" si="30"/>
        <v/>
      </c>
      <c r="E39" s="2909"/>
      <c r="F39" s="2906"/>
      <c r="G39" s="2225" t="str">
        <f t="shared" si="21"/>
        <v/>
      </c>
      <c r="H39" s="2227" t="str">
        <f>IF(A39&lt;&gt;"",VLOOKUP(VLOOKUP(A39,dist_assets,2,FALSE),'Distributed Assets'!$C$7:$F$22,4,FALSE),"")</f>
        <v/>
      </c>
      <c r="I39" s="279" t="str">
        <f>IF(A39&lt;&gt;"",VLOOKUP(A39,'Open Systems'!$A$4:$K$41,3,FALSE),"")</f>
        <v/>
      </c>
      <c r="J39" s="2228"/>
      <c r="K39" s="3163" t="str">
        <f>IFERROR(IF($A39&lt;&gt;"",
IF(MID($A39,10,2)="VM",(CONCATENATE(VLOOKUP($A39,VMware!$A$4:$H$41,5,FALSE)&amp;" x "&amp;VLOOKUP($A39,VMware!$A$4:$H$41,6,FALSE)&amp;" TB")),
IF($J39="OS",VLOOKUP($A39,'Open Systems'!$A$4:$K$41,9,FALSE),VLOOKUP($A39,'Open Systems'!$A$4:$K$41,11,FALSE))),""),"")</f>
        <v/>
      </c>
      <c r="L39" s="2"/>
      <c r="M39" s="2173" t="str">
        <f t="shared" si="31"/>
        <v/>
      </c>
      <c r="N39" s="817" t="str">
        <f t="shared" si="32"/>
        <v/>
      </c>
      <c r="O39" s="1090"/>
      <c r="P39" s="1019" t="str">
        <f t="shared" si="8"/>
        <v/>
      </c>
      <c r="Q39" s="1020"/>
      <c r="R39" s="1020"/>
      <c r="S39" s="1021" t="str">
        <f t="shared" si="22"/>
        <v/>
      </c>
      <c r="T39" s="1017"/>
      <c r="U39" s="1016"/>
      <c r="V39" s="3202" t="str">
        <f t="shared" si="33"/>
        <v/>
      </c>
      <c r="W39" s="1022" t="str">
        <f t="shared" si="23"/>
        <v/>
      </c>
      <c r="X39" s="1023" t="str">
        <f t="shared" si="24"/>
        <v/>
      </c>
      <c r="Y39" s="1017" t="str">
        <f t="shared" si="25"/>
        <v/>
      </c>
      <c r="Z39" s="1018" t="str">
        <f t="shared" si="13"/>
        <v/>
      </c>
      <c r="AA39" s="1022" t="str">
        <f t="shared" si="26"/>
        <v/>
      </c>
      <c r="AB39" s="1022" t="str">
        <f t="shared" si="27"/>
        <v/>
      </c>
      <c r="AC39" s="1022" t="str">
        <f t="shared" si="16"/>
        <v/>
      </c>
      <c r="AD39" s="1022" t="str">
        <f t="shared" si="17"/>
        <v/>
      </c>
      <c r="AE39" s="1022" t="str">
        <f t="shared" si="18"/>
        <v/>
      </c>
      <c r="AF39" s="3249" t="str">
        <f t="shared" si="19"/>
        <v/>
      </c>
      <c r="AG39" s="1104" t="str">
        <f>IF($A39&lt;&gt;"",IF(VLOOKUP($A39,'Distributed Assets'!$B$28:$AC$102,26,FALSE)="","N/A",VLOOKUP($A39,'Distributed Assets'!$B$28:$AC$102,26,FALSE)),"")</f>
        <v/>
      </c>
      <c r="AH39" s="2229" t="str">
        <f t="shared" si="20"/>
        <v/>
      </c>
    </row>
    <row r="40" spans="1:34" s="931" customFormat="1">
      <c r="A40" s="2224"/>
      <c r="B40" s="1782" t="str">
        <f t="shared" si="28"/>
        <v/>
      </c>
      <c r="C40" s="2728" t="str">
        <f t="shared" si="29"/>
        <v/>
      </c>
      <c r="D40" s="2226" t="str">
        <f t="shared" si="30"/>
        <v/>
      </c>
      <c r="E40" s="2909"/>
      <c r="F40" s="2906"/>
      <c r="G40" s="2225" t="str">
        <f t="shared" si="21"/>
        <v/>
      </c>
      <c r="H40" s="2227" t="str">
        <f>IF(A40&lt;&gt;"",VLOOKUP(VLOOKUP(A40,dist_assets,2,FALSE),'Distributed Assets'!$C$7:$F$22,4,FALSE),"")</f>
        <v/>
      </c>
      <c r="I40" s="279" t="str">
        <f>IF(A40&lt;&gt;"",VLOOKUP(A40,'Open Systems'!$A$4:$K$41,3,FALSE),"")</f>
        <v/>
      </c>
      <c r="J40" s="2228"/>
      <c r="K40" s="3163" t="str">
        <f>IFERROR(IF($A40&lt;&gt;"",
IF(MID($A40,10,2)="VM",(CONCATENATE(VLOOKUP($A40,VMware!$A$4:$H$41,5,FALSE)&amp;" x "&amp;VLOOKUP($A40,VMware!$A$4:$H$41,6,FALSE)&amp;" TB")),
IF($J40="OS",VLOOKUP($A40,'Open Systems'!$A$4:$K$41,9,FALSE),VLOOKUP($A40,'Open Systems'!$A$4:$K$41,11,FALSE))),""),"")</f>
        <v/>
      </c>
      <c r="L40" s="2"/>
      <c r="M40" s="2173" t="str">
        <f t="shared" si="31"/>
        <v/>
      </c>
      <c r="N40" s="817" t="str">
        <f t="shared" si="32"/>
        <v/>
      </c>
      <c r="O40" s="1090"/>
      <c r="P40" s="1019" t="str">
        <f t="shared" si="8"/>
        <v/>
      </c>
      <c r="Q40" s="1020"/>
      <c r="R40" s="1020"/>
      <c r="S40" s="1021" t="str">
        <f t="shared" si="22"/>
        <v/>
      </c>
      <c r="T40" s="1017"/>
      <c r="U40" s="1016"/>
      <c r="V40" s="3202" t="str">
        <f t="shared" si="33"/>
        <v/>
      </c>
      <c r="W40" s="1022" t="str">
        <f t="shared" si="23"/>
        <v/>
      </c>
      <c r="X40" s="1023" t="str">
        <f t="shared" si="24"/>
        <v/>
      </c>
      <c r="Y40" s="1017" t="str">
        <f t="shared" si="25"/>
        <v/>
      </c>
      <c r="Z40" s="1018" t="str">
        <f t="shared" si="13"/>
        <v/>
      </c>
      <c r="AA40" s="1022" t="str">
        <f t="shared" si="26"/>
        <v/>
      </c>
      <c r="AB40" s="1022" t="str">
        <f t="shared" si="27"/>
        <v/>
      </c>
      <c r="AC40" s="1022" t="str">
        <f t="shared" si="16"/>
        <v/>
      </c>
      <c r="AD40" s="1022" t="str">
        <f t="shared" si="17"/>
        <v/>
      </c>
      <c r="AE40" s="1022" t="str">
        <f t="shared" si="18"/>
        <v/>
      </c>
      <c r="AF40" s="3249" t="str">
        <f t="shared" si="19"/>
        <v/>
      </c>
      <c r="AG40" s="1104" t="str">
        <f>IF($A40&lt;&gt;"",IF(VLOOKUP($A40,'Distributed Assets'!$B$28:$AC$102,26,FALSE)="","N/A",VLOOKUP($A40,'Distributed Assets'!$B$28:$AC$102,26,FALSE)),"")</f>
        <v/>
      </c>
      <c r="AH40" s="2229" t="str">
        <f t="shared" si="20"/>
        <v/>
      </c>
    </row>
    <row r="41" spans="1:34" s="931" customFormat="1">
      <c r="A41" s="2224"/>
      <c r="B41" s="1782" t="str">
        <f t="shared" si="28"/>
        <v/>
      </c>
      <c r="C41" s="2728" t="str">
        <f t="shared" si="29"/>
        <v/>
      </c>
      <c r="D41" s="2226" t="str">
        <f t="shared" si="30"/>
        <v/>
      </c>
      <c r="E41" s="2909"/>
      <c r="F41" s="2906"/>
      <c r="G41" s="2225" t="str">
        <f t="shared" si="21"/>
        <v/>
      </c>
      <c r="H41" s="2227" t="str">
        <f>IF(A41&lt;&gt;"",VLOOKUP(VLOOKUP(A41,dist_assets,2,FALSE),'Distributed Assets'!$C$7:$F$22,4,FALSE),"")</f>
        <v/>
      </c>
      <c r="I41" s="279" t="str">
        <f>IF(A41&lt;&gt;"",VLOOKUP(A41,'Open Systems'!$A$4:$K$41,3,FALSE),"")</f>
        <v/>
      </c>
      <c r="J41" s="2228"/>
      <c r="K41" s="3163" t="str">
        <f>IFERROR(IF($A41&lt;&gt;"",
IF(MID($A41,10,2)="VM",(CONCATENATE(VLOOKUP($A41,VMware!$A$4:$H$41,5,FALSE)&amp;" x "&amp;VLOOKUP($A41,VMware!$A$4:$H$41,6,FALSE)&amp;" TB")),
IF($J41="OS",VLOOKUP($A41,'Open Systems'!$A$4:$K$41,9,FALSE),VLOOKUP($A41,'Open Systems'!$A$4:$K$41,11,FALSE))),""),"")</f>
        <v/>
      </c>
      <c r="L41" s="2"/>
      <c r="M41" s="2173" t="str">
        <f t="shared" si="31"/>
        <v/>
      </c>
      <c r="N41" s="817" t="str">
        <f t="shared" si="32"/>
        <v/>
      </c>
      <c r="O41" s="1090"/>
      <c r="P41" s="1019" t="str">
        <f t="shared" si="8"/>
        <v/>
      </c>
      <c r="Q41" s="1020"/>
      <c r="R41" s="1020"/>
      <c r="S41" s="1021" t="str">
        <f t="shared" si="22"/>
        <v/>
      </c>
      <c r="T41" s="1017"/>
      <c r="U41" s="1016"/>
      <c r="V41" s="3202" t="str">
        <f t="shared" si="33"/>
        <v/>
      </c>
      <c r="W41" s="1022" t="str">
        <f t="shared" si="23"/>
        <v/>
      </c>
      <c r="X41" s="1023" t="str">
        <f t="shared" si="24"/>
        <v/>
      </c>
      <c r="Y41" s="1017" t="str">
        <f t="shared" si="25"/>
        <v/>
      </c>
      <c r="Z41" s="1018" t="str">
        <f t="shared" si="13"/>
        <v/>
      </c>
      <c r="AA41" s="1022" t="str">
        <f t="shared" si="26"/>
        <v/>
      </c>
      <c r="AB41" s="1022" t="str">
        <f t="shared" si="27"/>
        <v/>
      </c>
      <c r="AC41" s="1022" t="str">
        <f t="shared" si="16"/>
        <v/>
      </c>
      <c r="AD41" s="1022" t="str">
        <f t="shared" si="17"/>
        <v/>
      </c>
      <c r="AE41" s="1022" t="str">
        <f t="shared" si="18"/>
        <v/>
      </c>
      <c r="AF41" s="3249" t="str">
        <f t="shared" si="19"/>
        <v/>
      </c>
      <c r="AG41" s="1104" t="str">
        <f>IF($A41&lt;&gt;"",IF(VLOOKUP($A41,'Distributed Assets'!$B$28:$AC$102,26,FALSE)="","N/A",VLOOKUP($A41,'Distributed Assets'!$B$28:$AC$102,26,FALSE)),"")</f>
        <v/>
      </c>
      <c r="AH41" s="2229" t="str">
        <f t="shared" si="20"/>
        <v/>
      </c>
    </row>
    <row r="42" spans="1:34" s="931" customFormat="1">
      <c r="A42" s="2224"/>
      <c r="B42" s="1782" t="str">
        <f t="shared" si="28"/>
        <v/>
      </c>
      <c r="C42" s="2728" t="str">
        <f t="shared" si="29"/>
        <v/>
      </c>
      <c r="D42" s="2226" t="str">
        <f t="shared" si="30"/>
        <v/>
      </c>
      <c r="E42" s="2909"/>
      <c r="F42" s="2906"/>
      <c r="G42" s="2225" t="str">
        <f t="shared" si="21"/>
        <v/>
      </c>
      <c r="H42" s="2227" t="str">
        <f>IF(A42&lt;&gt;"",VLOOKUP(VLOOKUP(A42,dist_assets,2,FALSE),'Distributed Assets'!$C$7:$F$22,4,FALSE),"")</f>
        <v/>
      </c>
      <c r="I42" s="279" t="str">
        <f>IF(A42&lt;&gt;"",VLOOKUP(A42,'Open Systems'!$A$4:$K$41,3,FALSE),"")</f>
        <v/>
      </c>
      <c r="J42" s="2228"/>
      <c r="K42" s="3163" t="str">
        <f>IFERROR(IF($A42&lt;&gt;"",
IF(MID($A42,10,2)="VM",(CONCATENATE(VLOOKUP($A42,VMware!$A$4:$H$41,5,FALSE)&amp;" x "&amp;VLOOKUP($A42,VMware!$A$4:$H$41,6,FALSE)&amp;" TB")),
IF($J42="OS",VLOOKUP($A42,'Open Systems'!$A$4:$K$41,9,FALSE),VLOOKUP($A42,'Open Systems'!$A$4:$K$41,11,FALSE))),""),"")</f>
        <v/>
      </c>
      <c r="L42" s="2"/>
      <c r="M42" s="2173" t="str">
        <f t="shared" si="31"/>
        <v/>
      </c>
      <c r="N42" s="817" t="str">
        <f t="shared" si="32"/>
        <v/>
      </c>
      <c r="O42" s="1090"/>
      <c r="P42" s="1019" t="str">
        <f t="shared" si="8"/>
        <v/>
      </c>
      <c r="Q42" s="1020"/>
      <c r="R42" s="1020"/>
      <c r="S42" s="1021" t="str">
        <f t="shared" si="22"/>
        <v/>
      </c>
      <c r="T42" s="1017"/>
      <c r="U42" s="1016"/>
      <c r="V42" s="3202" t="str">
        <f t="shared" si="33"/>
        <v/>
      </c>
      <c r="W42" s="1022" t="str">
        <f t="shared" si="23"/>
        <v/>
      </c>
      <c r="X42" s="1023" t="str">
        <f t="shared" si="24"/>
        <v/>
      </c>
      <c r="Y42" s="1017" t="str">
        <f t="shared" si="25"/>
        <v/>
      </c>
      <c r="Z42" s="1018" t="str">
        <f t="shared" si="13"/>
        <v/>
      </c>
      <c r="AA42" s="1022" t="str">
        <f t="shared" si="26"/>
        <v/>
      </c>
      <c r="AB42" s="1022" t="str">
        <f t="shared" si="27"/>
        <v/>
      </c>
      <c r="AC42" s="1022" t="str">
        <f t="shared" si="16"/>
        <v/>
      </c>
      <c r="AD42" s="1022" t="str">
        <f t="shared" si="17"/>
        <v/>
      </c>
      <c r="AE42" s="1022" t="str">
        <f t="shared" si="18"/>
        <v/>
      </c>
      <c r="AF42" s="3249" t="str">
        <f t="shared" si="19"/>
        <v/>
      </c>
      <c r="AG42" s="1104" t="str">
        <f>IF($A42&lt;&gt;"",IF(VLOOKUP($A42,'Distributed Assets'!$B$28:$AC$102,26,FALSE)="","N/A",VLOOKUP($A42,'Distributed Assets'!$B$28:$AC$102,26,FALSE)),"")</f>
        <v/>
      </c>
      <c r="AH42" s="2229" t="str">
        <f t="shared" si="20"/>
        <v/>
      </c>
    </row>
    <row r="43" spans="1:34" s="931" customFormat="1">
      <c r="A43" s="2224"/>
      <c r="B43" s="1782" t="str">
        <f t="shared" si="28"/>
        <v/>
      </c>
      <c r="C43" s="2728" t="str">
        <f t="shared" si="29"/>
        <v/>
      </c>
      <c r="D43" s="2226" t="str">
        <f t="shared" si="30"/>
        <v/>
      </c>
      <c r="E43" s="2909"/>
      <c r="F43" s="2906"/>
      <c r="G43" s="2225" t="str">
        <f t="shared" si="21"/>
        <v/>
      </c>
      <c r="H43" s="2227" t="str">
        <f>IF(A43&lt;&gt;"",VLOOKUP(VLOOKUP(A43,dist_assets,2,FALSE),'Distributed Assets'!$C$7:$F$22,4,FALSE),"")</f>
        <v/>
      </c>
      <c r="I43" s="279" t="str">
        <f>IF(A43&lt;&gt;"",VLOOKUP(A43,'Open Systems'!$A$4:$K$41,3,FALSE),"")</f>
        <v/>
      </c>
      <c r="J43" s="2228"/>
      <c r="K43" s="3163" t="str">
        <f>IFERROR(IF($A43&lt;&gt;"",
IF(MID($A43,10,2)="VM",(CONCATENATE(VLOOKUP($A43,VMware!$A$4:$H$41,5,FALSE)&amp;" x "&amp;VLOOKUP($A43,VMware!$A$4:$H$41,6,FALSE)&amp;" TB")),
IF($J43="OS",VLOOKUP($A43,'Open Systems'!$A$4:$K$41,9,FALSE),VLOOKUP($A43,'Open Systems'!$A$4:$K$41,11,FALSE))),""),"")</f>
        <v/>
      </c>
      <c r="L43" s="2"/>
      <c r="M43" s="2173" t="str">
        <f t="shared" si="31"/>
        <v/>
      </c>
      <c r="N43" s="817" t="str">
        <f t="shared" si="32"/>
        <v/>
      </c>
      <c r="O43" s="1090"/>
      <c r="P43" s="1019" t="str">
        <f t="shared" si="8"/>
        <v/>
      </c>
      <c r="Q43" s="1020"/>
      <c r="R43" s="1020"/>
      <c r="S43" s="1021" t="str">
        <f t="shared" si="22"/>
        <v/>
      </c>
      <c r="T43" s="1017"/>
      <c r="U43" s="1016"/>
      <c r="V43" s="3202" t="str">
        <f t="shared" si="33"/>
        <v/>
      </c>
      <c r="W43" s="1022" t="str">
        <f t="shared" si="23"/>
        <v/>
      </c>
      <c r="X43" s="1023" t="str">
        <f t="shared" si="24"/>
        <v/>
      </c>
      <c r="Y43" s="1017" t="str">
        <f t="shared" si="25"/>
        <v/>
      </c>
      <c r="Z43" s="1018" t="str">
        <f t="shared" si="13"/>
        <v/>
      </c>
      <c r="AA43" s="1022" t="str">
        <f t="shared" si="26"/>
        <v/>
      </c>
      <c r="AB43" s="1022" t="str">
        <f t="shared" si="27"/>
        <v/>
      </c>
      <c r="AC43" s="1022" t="str">
        <f t="shared" si="16"/>
        <v/>
      </c>
      <c r="AD43" s="1022" t="str">
        <f t="shared" si="17"/>
        <v/>
      </c>
      <c r="AE43" s="1022" t="str">
        <f t="shared" si="18"/>
        <v/>
      </c>
      <c r="AF43" s="3249" t="str">
        <f t="shared" si="19"/>
        <v/>
      </c>
      <c r="AG43" s="1104" t="str">
        <f>IF($A43&lt;&gt;"",IF(VLOOKUP($A43,'Distributed Assets'!$B$28:$AC$102,26,FALSE)="","N/A",VLOOKUP($A43,'Distributed Assets'!$B$28:$AC$102,26,FALSE)),"")</f>
        <v/>
      </c>
      <c r="AH43" s="2229" t="str">
        <f t="shared" si="20"/>
        <v/>
      </c>
    </row>
    <row r="44" spans="1:34" s="931" customFormat="1">
      <c r="A44" s="2224"/>
      <c r="B44" s="1782" t="str">
        <f t="shared" si="28"/>
        <v/>
      </c>
      <c r="C44" s="2728" t="str">
        <f t="shared" si="29"/>
        <v/>
      </c>
      <c r="D44" s="2226" t="str">
        <f t="shared" si="30"/>
        <v/>
      </c>
      <c r="E44" s="2909"/>
      <c r="F44" s="2906"/>
      <c r="G44" s="2225" t="str">
        <f t="shared" si="21"/>
        <v/>
      </c>
      <c r="H44" s="2227" t="str">
        <f>IF(A44&lt;&gt;"",VLOOKUP(VLOOKUP(A44,dist_assets,2,FALSE),'Distributed Assets'!$C$7:$F$22,4,FALSE),"")</f>
        <v/>
      </c>
      <c r="I44" s="279" t="str">
        <f>IF(A44&lt;&gt;"",VLOOKUP(A44,'Open Systems'!$A$4:$K$41,3,FALSE),"")</f>
        <v/>
      </c>
      <c r="J44" s="2228"/>
      <c r="K44" s="3163" t="str">
        <f>IFERROR(IF($A44&lt;&gt;"",
IF(MID($A44,10,2)="VM",(CONCATENATE(VLOOKUP($A44,VMware!$A$4:$H$41,5,FALSE)&amp;" x "&amp;VLOOKUP($A44,VMware!$A$4:$H$41,6,FALSE)&amp;" TB")),
IF($J44="OS",VLOOKUP($A44,'Open Systems'!$A$4:$K$41,9,FALSE),VLOOKUP($A44,'Open Systems'!$A$4:$K$41,11,FALSE))),""),"")</f>
        <v/>
      </c>
      <c r="L44" s="2"/>
      <c r="M44" s="2173" t="str">
        <f t="shared" si="31"/>
        <v/>
      </c>
      <c r="N44" s="817" t="str">
        <f t="shared" si="32"/>
        <v/>
      </c>
      <c r="O44" s="1090"/>
      <c r="P44" s="1019" t="str">
        <f t="shared" si="8"/>
        <v/>
      </c>
      <c r="Q44" s="1020"/>
      <c r="R44" s="1020"/>
      <c r="S44" s="1021" t="str">
        <f t="shared" si="22"/>
        <v/>
      </c>
      <c r="T44" s="1017"/>
      <c r="U44" s="1016"/>
      <c r="V44" s="3202" t="str">
        <f t="shared" si="33"/>
        <v/>
      </c>
      <c r="W44" s="1022" t="str">
        <f t="shared" si="23"/>
        <v/>
      </c>
      <c r="X44" s="1023" t="str">
        <f t="shared" si="24"/>
        <v/>
      </c>
      <c r="Y44" s="1017" t="str">
        <f t="shared" si="25"/>
        <v/>
      </c>
      <c r="Z44" s="1018" t="str">
        <f t="shared" si="13"/>
        <v/>
      </c>
      <c r="AA44" s="1022" t="str">
        <f t="shared" si="26"/>
        <v/>
      </c>
      <c r="AB44" s="1022" t="str">
        <f t="shared" si="27"/>
        <v/>
      </c>
      <c r="AC44" s="1022" t="str">
        <f t="shared" si="16"/>
        <v/>
      </c>
      <c r="AD44" s="1022" t="str">
        <f t="shared" si="17"/>
        <v/>
      </c>
      <c r="AE44" s="1022" t="str">
        <f t="shared" si="18"/>
        <v/>
      </c>
      <c r="AF44" s="3249" t="str">
        <f t="shared" si="19"/>
        <v/>
      </c>
      <c r="AG44" s="1104" t="str">
        <f>IF($A44&lt;&gt;"",IF(VLOOKUP($A44,'Distributed Assets'!$B$28:$AC$102,26,FALSE)="","N/A",VLOOKUP($A44,'Distributed Assets'!$B$28:$AC$102,26,FALSE)),"")</f>
        <v/>
      </c>
      <c r="AH44" s="2229" t="str">
        <f t="shared" si="20"/>
        <v/>
      </c>
    </row>
    <row r="45" spans="1:34" s="931" customFormat="1">
      <c r="A45" s="2224"/>
      <c r="B45" s="1782" t="str">
        <f t="shared" si="28"/>
        <v/>
      </c>
      <c r="C45" s="2728" t="str">
        <f t="shared" si="29"/>
        <v/>
      </c>
      <c r="D45" s="2226" t="str">
        <f t="shared" si="30"/>
        <v/>
      </c>
      <c r="E45" s="2909"/>
      <c r="F45" s="2906"/>
      <c r="G45" s="2225" t="str">
        <f t="shared" si="21"/>
        <v/>
      </c>
      <c r="H45" s="2227" t="str">
        <f>IF(A45&lt;&gt;"",VLOOKUP(VLOOKUP(A45,dist_assets,2,FALSE),'Distributed Assets'!$C$7:$F$22,4,FALSE),"")</f>
        <v/>
      </c>
      <c r="I45" s="279" t="str">
        <f>IF(A45&lt;&gt;"",VLOOKUP(A45,'Open Systems'!$A$4:$K$41,3,FALSE),"")</f>
        <v/>
      </c>
      <c r="J45" s="2228"/>
      <c r="K45" s="3163" t="str">
        <f>IFERROR(IF($A45&lt;&gt;"",
IF(MID($A45,10,2)="VM",(CONCATENATE(VLOOKUP($A45,VMware!$A$4:$H$41,5,FALSE)&amp;" x "&amp;VLOOKUP($A45,VMware!$A$4:$H$41,6,FALSE)&amp;" TB")),
IF($J45="OS",VLOOKUP($A45,'Open Systems'!$A$4:$K$41,9,FALSE),VLOOKUP($A45,'Open Systems'!$A$4:$K$41,11,FALSE))),""),"")</f>
        <v/>
      </c>
      <c r="L45" s="2"/>
      <c r="M45" s="2173" t="str">
        <f t="shared" si="31"/>
        <v/>
      </c>
      <c r="N45" s="817" t="str">
        <f t="shared" si="32"/>
        <v/>
      </c>
      <c r="O45" s="1090"/>
      <c r="P45" s="1019" t="str">
        <f t="shared" si="8"/>
        <v/>
      </c>
      <c r="Q45" s="1020"/>
      <c r="R45" s="1020"/>
      <c r="S45" s="1021" t="str">
        <f t="shared" si="22"/>
        <v/>
      </c>
      <c r="T45" s="1017"/>
      <c r="U45" s="1016"/>
      <c r="V45" s="3202" t="str">
        <f t="shared" si="33"/>
        <v/>
      </c>
      <c r="W45" s="1022" t="str">
        <f t="shared" si="23"/>
        <v/>
      </c>
      <c r="X45" s="1023" t="str">
        <f t="shared" si="24"/>
        <v/>
      </c>
      <c r="Y45" s="1017" t="str">
        <f t="shared" si="25"/>
        <v/>
      </c>
      <c r="Z45" s="1018" t="str">
        <f t="shared" si="13"/>
        <v/>
      </c>
      <c r="AA45" s="1022" t="str">
        <f t="shared" si="26"/>
        <v/>
      </c>
      <c r="AB45" s="1022" t="str">
        <f t="shared" si="27"/>
        <v/>
      </c>
      <c r="AC45" s="1022" t="str">
        <f t="shared" si="16"/>
        <v/>
      </c>
      <c r="AD45" s="1022" t="str">
        <f t="shared" si="17"/>
        <v/>
      </c>
      <c r="AE45" s="1022" t="str">
        <f t="shared" si="18"/>
        <v/>
      </c>
      <c r="AF45" s="3249" t="str">
        <f t="shared" si="19"/>
        <v/>
      </c>
      <c r="AG45" s="1104" t="str">
        <f>IF($A45&lt;&gt;"",IF(VLOOKUP($A45,'Distributed Assets'!$B$28:$AC$102,26,FALSE)="","N/A",VLOOKUP($A45,'Distributed Assets'!$B$28:$AC$102,26,FALSE)),"")</f>
        <v/>
      </c>
      <c r="AH45" s="2229" t="str">
        <f t="shared" si="20"/>
        <v/>
      </c>
    </row>
    <row r="46" spans="1:34" s="931" customFormat="1">
      <c r="A46" s="2224"/>
      <c r="B46" s="1782" t="str">
        <f t="shared" si="28"/>
        <v/>
      </c>
      <c r="C46" s="2728" t="str">
        <f t="shared" si="29"/>
        <v/>
      </c>
      <c r="D46" s="2226" t="str">
        <f t="shared" si="30"/>
        <v/>
      </c>
      <c r="E46" s="2909"/>
      <c r="F46" s="2906"/>
      <c r="G46" s="2225" t="str">
        <f t="shared" si="21"/>
        <v/>
      </c>
      <c r="H46" s="2227" t="str">
        <f>IF(A46&lt;&gt;"",VLOOKUP(VLOOKUP(A46,dist_assets,2,FALSE),'Distributed Assets'!$C$7:$F$22,4,FALSE),"")</f>
        <v/>
      </c>
      <c r="I46" s="279" t="str">
        <f>IF(A46&lt;&gt;"",VLOOKUP(A46,'Open Systems'!$A$4:$K$41,3,FALSE),"")</f>
        <v/>
      </c>
      <c r="J46" s="2228"/>
      <c r="K46" s="3163" t="str">
        <f>IFERROR(IF($A46&lt;&gt;"",
IF(MID($A46,10,2)="VM",(CONCATENATE(VLOOKUP($A46,VMware!$A$4:$H$41,5,FALSE)&amp;" x "&amp;VLOOKUP($A46,VMware!$A$4:$H$41,6,FALSE)&amp;" TB")),
IF($J46="OS",VLOOKUP($A46,'Open Systems'!$A$4:$K$41,9,FALSE),VLOOKUP($A46,'Open Systems'!$A$4:$K$41,11,FALSE))),""),"")</f>
        <v/>
      </c>
      <c r="L46" s="2"/>
      <c r="M46" s="2173" t="str">
        <f t="shared" si="31"/>
        <v/>
      </c>
      <c r="N46" s="817" t="str">
        <f t="shared" si="32"/>
        <v/>
      </c>
      <c r="O46" s="1090"/>
      <c r="P46" s="1019" t="str">
        <f t="shared" si="8"/>
        <v/>
      </c>
      <c r="Q46" s="1020"/>
      <c r="R46" s="1020"/>
      <c r="S46" s="1021" t="str">
        <f t="shared" si="22"/>
        <v/>
      </c>
      <c r="T46" s="1017"/>
      <c r="U46" s="1016"/>
      <c r="V46" s="3202" t="str">
        <f t="shared" si="33"/>
        <v/>
      </c>
      <c r="W46" s="1022" t="str">
        <f t="shared" si="23"/>
        <v/>
      </c>
      <c r="X46" s="1023" t="str">
        <f t="shared" si="24"/>
        <v/>
      </c>
      <c r="Y46" s="1017" t="str">
        <f t="shared" si="25"/>
        <v/>
      </c>
      <c r="Z46" s="1018" t="str">
        <f t="shared" si="13"/>
        <v/>
      </c>
      <c r="AA46" s="1022" t="str">
        <f t="shared" si="26"/>
        <v/>
      </c>
      <c r="AB46" s="1022" t="str">
        <f t="shared" si="27"/>
        <v/>
      </c>
      <c r="AC46" s="1022" t="str">
        <f t="shared" si="16"/>
        <v/>
      </c>
      <c r="AD46" s="1022" t="str">
        <f t="shared" si="17"/>
        <v/>
      </c>
      <c r="AE46" s="1022" t="str">
        <f t="shared" si="18"/>
        <v/>
      </c>
      <c r="AF46" s="3249" t="str">
        <f t="shared" si="19"/>
        <v/>
      </c>
      <c r="AG46" s="1104" t="str">
        <f>IF($A46&lt;&gt;"",IF(VLOOKUP($A46,'Distributed Assets'!$B$28:$AC$102,26,FALSE)="","N/A",VLOOKUP($A46,'Distributed Assets'!$B$28:$AC$102,26,FALSE)),"")</f>
        <v/>
      </c>
      <c r="AH46" s="2229" t="str">
        <f t="shared" si="20"/>
        <v/>
      </c>
    </row>
    <row r="47" spans="1:34" s="931" customFormat="1">
      <c r="A47" s="2224"/>
      <c r="B47" s="1782" t="str">
        <f t="shared" si="28"/>
        <v/>
      </c>
      <c r="C47" s="2728" t="str">
        <f t="shared" si="29"/>
        <v/>
      </c>
      <c r="D47" s="2226" t="str">
        <f t="shared" si="30"/>
        <v/>
      </c>
      <c r="E47" s="2909"/>
      <c r="F47" s="2906"/>
      <c r="G47" s="2225" t="str">
        <f t="shared" si="21"/>
        <v/>
      </c>
      <c r="H47" s="2227" t="str">
        <f>IF(A47&lt;&gt;"",VLOOKUP(VLOOKUP(A47,dist_assets,2,FALSE),'Distributed Assets'!$C$7:$F$22,4,FALSE),"")</f>
        <v/>
      </c>
      <c r="I47" s="279" t="str">
        <f>IF(A47&lt;&gt;"",VLOOKUP(A47,'Open Systems'!$A$4:$K$41,3,FALSE),"")</f>
        <v/>
      </c>
      <c r="J47" s="2228"/>
      <c r="K47" s="3163" t="str">
        <f>IFERROR(IF($A47&lt;&gt;"",
IF(MID($A47,10,2)="VM",(CONCATENATE(VLOOKUP($A47,VMware!$A$4:$H$41,5,FALSE)&amp;" x "&amp;VLOOKUP($A47,VMware!$A$4:$H$41,6,FALSE)&amp;" TB")),
IF($J47="OS",VLOOKUP($A47,'Open Systems'!$A$4:$K$41,9,FALSE),VLOOKUP($A47,'Open Systems'!$A$4:$K$41,11,FALSE))),""),"")</f>
        <v/>
      </c>
      <c r="L47" s="2"/>
      <c r="M47" s="2173" t="str">
        <f t="shared" si="31"/>
        <v/>
      </c>
      <c r="N47" s="817" t="str">
        <f t="shared" si="32"/>
        <v/>
      </c>
      <c r="O47" s="1090"/>
      <c r="P47" s="1019" t="str">
        <f t="shared" si="8"/>
        <v/>
      </c>
      <c r="Q47" s="1020"/>
      <c r="R47" s="1020"/>
      <c r="S47" s="1021" t="str">
        <f t="shared" si="22"/>
        <v/>
      </c>
      <c r="T47" s="1017"/>
      <c r="U47" s="1016"/>
      <c r="V47" s="3202" t="str">
        <f t="shared" si="33"/>
        <v/>
      </c>
      <c r="W47" s="1022" t="str">
        <f t="shared" si="23"/>
        <v/>
      </c>
      <c r="X47" s="1023" t="str">
        <f t="shared" si="24"/>
        <v/>
      </c>
      <c r="Y47" s="1017" t="str">
        <f t="shared" si="25"/>
        <v/>
      </c>
      <c r="Z47" s="1018" t="str">
        <f t="shared" si="13"/>
        <v/>
      </c>
      <c r="AA47" s="1022" t="str">
        <f t="shared" si="26"/>
        <v/>
      </c>
      <c r="AB47" s="1022" t="str">
        <f t="shared" si="27"/>
        <v/>
      </c>
      <c r="AC47" s="1022" t="str">
        <f t="shared" si="16"/>
        <v/>
      </c>
      <c r="AD47" s="1022" t="str">
        <f t="shared" si="17"/>
        <v/>
      </c>
      <c r="AE47" s="1022" t="str">
        <f t="shared" si="18"/>
        <v/>
      </c>
      <c r="AF47" s="3249" t="str">
        <f t="shared" si="19"/>
        <v/>
      </c>
      <c r="AG47" s="1104" t="str">
        <f>IF($A47&lt;&gt;"",IF(VLOOKUP($A47,'Distributed Assets'!$B$28:$AC$102,26,FALSE)="","N/A",VLOOKUP($A47,'Distributed Assets'!$B$28:$AC$102,26,FALSE)),"")</f>
        <v/>
      </c>
      <c r="AH47" s="2229" t="str">
        <f t="shared" si="20"/>
        <v/>
      </c>
    </row>
    <row r="48" spans="1:34" s="931" customFormat="1">
      <c r="A48" s="2224"/>
      <c r="B48" s="1782" t="str">
        <f t="shared" si="28"/>
        <v/>
      </c>
      <c r="C48" s="2728" t="str">
        <f t="shared" si="29"/>
        <v/>
      </c>
      <c r="D48" s="2226" t="str">
        <f t="shared" si="30"/>
        <v/>
      </c>
      <c r="E48" s="2909"/>
      <c r="F48" s="2906"/>
      <c r="G48" s="2225" t="str">
        <f t="shared" si="21"/>
        <v/>
      </c>
      <c r="H48" s="2227" t="str">
        <f>IF(A48&lt;&gt;"",VLOOKUP(VLOOKUP(A48,dist_assets,2,FALSE),'Distributed Assets'!$C$7:$F$22,4,FALSE),"")</f>
        <v/>
      </c>
      <c r="I48" s="279" t="str">
        <f>IF(A48&lt;&gt;"",VLOOKUP(A48,'Open Systems'!$A$4:$K$41,3,FALSE),"")</f>
        <v/>
      </c>
      <c r="J48" s="2228"/>
      <c r="K48" s="3163" t="str">
        <f>IFERROR(IF($A48&lt;&gt;"",
IF(MID($A48,10,2)="VM",(CONCATENATE(VLOOKUP($A48,VMware!$A$4:$H$41,5,FALSE)&amp;" x "&amp;VLOOKUP($A48,VMware!$A$4:$H$41,6,FALSE)&amp;" TB")),
IF($J48="OS",VLOOKUP($A48,'Open Systems'!$A$4:$K$41,9,FALSE),VLOOKUP($A48,'Open Systems'!$A$4:$K$41,11,FALSE))),""),"")</f>
        <v/>
      </c>
      <c r="L48" s="2"/>
      <c r="M48" s="2173" t="str">
        <f t="shared" si="31"/>
        <v/>
      </c>
      <c r="N48" s="817" t="str">
        <f t="shared" si="32"/>
        <v/>
      </c>
      <c r="O48" s="1090"/>
      <c r="P48" s="1019" t="str">
        <f t="shared" si="8"/>
        <v/>
      </c>
      <c r="Q48" s="1020"/>
      <c r="R48" s="1020"/>
      <c r="S48" s="1021" t="str">
        <f t="shared" si="22"/>
        <v/>
      </c>
      <c r="T48" s="1017"/>
      <c r="U48" s="1016"/>
      <c r="V48" s="3202" t="str">
        <f t="shared" si="33"/>
        <v/>
      </c>
      <c r="W48" s="1022" t="str">
        <f t="shared" si="23"/>
        <v/>
      </c>
      <c r="X48" s="1023" t="str">
        <f t="shared" si="24"/>
        <v/>
      </c>
      <c r="Y48" s="1017" t="str">
        <f t="shared" si="25"/>
        <v/>
      </c>
      <c r="Z48" s="1018" t="str">
        <f t="shared" si="13"/>
        <v/>
      </c>
      <c r="AA48" s="1022" t="str">
        <f t="shared" si="26"/>
        <v/>
      </c>
      <c r="AB48" s="1022" t="str">
        <f t="shared" si="27"/>
        <v/>
      </c>
      <c r="AC48" s="1022" t="str">
        <f t="shared" si="16"/>
        <v/>
      </c>
      <c r="AD48" s="1022" t="str">
        <f t="shared" si="17"/>
        <v/>
      </c>
      <c r="AE48" s="1022" t="str">
        <f t="shared" si="18"/>
        <v/>
      </c>
      <c r="AF48" s="3249" t="str">
        <f t="shared" si="19"/>
        <v/>
      </c>
      <c r="AG48" s="1104" t="str">
        <f>IF($A48&lt;&gt;"",IF(VLOOKUP($A48,'Distributed Assets'!$B$28:$AC$102,26,FALSE)="","N/A",VLOOKUP($A48,'Distributed Assets'!$B$28:$AC$102,26,FALSE)),"")</f>
        <v/>
      </c>
      <c r="AH48" s="2229" t="str">
        <f t="shared" si="20"/>
        <v/>
      </c>
    </row>
    <row r="49" spans="1:34" s="931" customFormat="1">
      <c r="A49" s="2224"/>
      <c r="B49" s="1782" t="str">
        <f t="shared" si="28"/>
        <v/>
      </c>
      <c r="C49" s="2728" t="str">
        <f t="shared" si="29"/>
        <v/>
      </c>
      <c r="D49" s="2226" t="str">
        <f t="shared" si="30"/>
        <v/>
      </c>
      <c r="E49" s="2909"/>
      <c r="F49" s="2906"/>
      <c r="G49" s="2225" t="str">
        <f t="shared" si="21"/>
        <v/>
      </c>
      <c r="H49" s="2227" t="str">
        <f>IF(A49&lt;&gt;"",VLOOKUP(VLOOKUP(A49,dist_assets,2,FALSE),'Distributed Assets'!$C$7:$F$22,4,FALSE),"")</f>
        <v/>
      </c>
      <c r="I49" s="279" t="str">
        <f>IF(A49&lt;&gt;"",VLOOKUP(A49,'Open Systems'!$A$4:$K$41,3,FALSE),"")</f>
        <v/>
      </c>
      <c r="J49" s="2228"/>
      <c r="K49" s="3163" t="str">
        <f>IFERROR(IF($A49&lt;&gt;"",
IF(MID($A49,10,2)="VM",(CONCATENATE(VLOOKUP($A49,VMware!$A$4:$H$41,5,FALSE)&amp;" x "&amp;VLOOKUP($A49,VMware!$A$4:$H$41,6,FALSE)&amp;" TB")),
IF($J49="OS",VLOOKUP($A49,'Open Systems'!$A$4:$K$41,9,FALSE),VLOOKUP($A49,'Open Systems'!$A$4:$K$41,11,FALSE))),""),"")</f>
        <v/>
      </c>
      <c r="L49" s="2"/>
      <c r="M49" s="2173" t="str">
        <f t="shared" si="31"/>
        <v/>
      </c>
      <c r="N49" s="817" t="str">
        <f t="shared" si="32"/>
        <v/>
      </c>
      <c r="O49" s="1090"/>
      <c r="P49" s="1019" t="str">
        <f t="shared" si="8"/>
        <v/>
      </c>
      <c r="Q49" s="1020"/>
      <c r="R49" s="1020"/>
      <c r="S49" s="1021" t="str">
        <f t="shared" si="22"/>
        <v/>
      </c>
      <c r="T49" s="1017"/>
      <c r="U49" s="1016"/>
      <c r="V49" s="3202" t="str">
        <f t="shared" si="33"/>
        <v/>
      </c>
      <c r="W49" s="1022" t="str">
        <f t="shared" si="23"/>
        <v/>
      </c>
      <c r="X49" s="1023" t="str">
        <f t="shared" si="24"/>
        <v/>
      </c>
      <c r="Y49" s="1017" t="str">
        <f t="shared" si="25"/>
        <v/>
      </c>
      <c r="Z49" s="1018" t="str">
        <f t="shared" si="13"/>
        <v/>
      </c>
      <c r="AA49" s="1022" t="str">
        <f t="shared" si="26"/>
        <v/>
      </c>
      <c r="AB49" s="1022" t="str">
        <f t="shared" si="27"/>
        <v/>
      </c>
      <c r="AC49" s="1022" t="str">
        <f t="shared" si="16"/>
        <v/>
      </c>
      <c r="AD49" s="1022" t="str">
        <f t="shared" si="17"/>
        <v/>
      </c>
      <c r="AE49" s="1022" t="str">
        <f t="shared" si="18"/>
        <v/>
      </c>
      <c r="AF49" s="3249" t="str">
        <f t="shared" si="19"/>
        <v/>
      </c>
      <c r="AG49" s="1104" t="str">
        <f>IF($A49&lt;&gt;"",IF(VLOOKUP($A49,'Distributed Assets'!$B$28:$AC$102,26,FALSE)="","N/A",VLOOKUP($A49,'Distributed Assets'!$B$28:$AC$102,26,FALSE)),"")</f>
        <v/>
      </c>
      <c r="AH49" s="2229" t="str">
        <f t="shared" si="20"/>
        <v/>
      </c>
    </row>
    <row r="50" spans="1:34" s="931" customFormat="1">
      <c r="A50" s="2224"/>
      <c r="B50" s="1782" t="str">
        <f t="shared" si="28"/>
        <v/>
      </c>
      <c r="C50" s="2728" t="str">
        <f t="shared" si="29"/>
        <v/>
      </c>
      <c r="D50" s="2226" t="str">
        <f t="shared" si="30"/>
        <v/>
      </c>
      <c r="E50" s="2909"/>
      <c r="F50" s="2906"/>
      <c r="G50" s="2225" t="str">
        <f t="shared" si="21"/>
        <v/>
      </c>
      <c r="H50" s="2227" t="str">
        <f>IF(A50&lt;&gt;"",VLOOKUP(VLOOKUP(A50,dist_assets,2,FALSE),'Distributed Assets'!$C$7:$F$22,4,FALSE),"")</f>
        <v/>
      </c>
      <c r="I50" s="279" t="str">
        <f>IF(A50&lt;&gt;"",VLOOKUP(A50,'Open Systems'!$A$4:$K$41,3,FALSE),"")</f>
        <v/>
      </c>
      <c r="J50" s="2228"/>
      <c r="K50" s="3163" t="str">
        <f>IFERROR(IF($A50&lt;&gt;"",
IF(MID($A50,10,2)="VM",(CONCATENATE(VLOOKUP($A50,VMware!$A$4:$H$41,5,FALSE)&amp;" x "&amp;VLOOKUP($A50,VMware!$A$4:$H$41,6,FALSE)&amp;" TB")),
IF($J50="OS",VLOOKUP($A50,'Open Systems'!$A$4:$K$41,9,FALSE),VLOOKUP($A50,'Open Systems'!$A$4:$K$41,11,FALSE))),""),"")</f>
        <v/>
      </c>
      <c r="L50" s="2"/>
      <c r="M50" s="2173" t="str">
        <f t="shared" si="31"/>
        <v/>
      </c>
      <c r="N50" s="817" t="str">
        <f t="shared" si="32"/>
        <v/>
      </c>
      <c r="O50" s="1090"/>
      <c r="P50" s="1019" t="str">
        <f t="shared" si="8"/>
        <v/>
      </c>
      <c r="Q50" s="1020"/>
      <c r="R50" s="1020"/>
      <c r="S50" s="1021" t="str">
        <f t="shared" si="22"/>
        <v/>
      </c>
      <c r="T50" s="1017"/>
      <c r="U50" s="1016"/>
      <c r="V50" s="3202" t="str">
        <f t="shared" si="33"/>
        <v/>
      </c>
      <c r="W50" s="1022" t="str">
        <f t="shared" si="23"/>
        <v/>
      </c>
      <c r="X50" s="1023" t="str">
        <f t="shared" si="24"/>
        <v/>
      </c>
      <c r="Y50" s="1017" t="str">
        <f t="shared" si="25"/>
        <v/>
      </c>
      <c r="Z50" s="1018" t="str">
        <f t="shared" si="13"/>
        <v/>
      </c>
      <c r="AA50" s="1022" t="str">
        <f t="shared" si="26"/>
        <v/>
      </c>
      <c r="AB50" s="1022" t="str">
        <f t="shared" si="27"/>
        <v/>
      </c>
      <c r="AC50" s="1022" t="str">
        <f t="shared" si="16"/>
        <v/>
      </c>
      <c r="AD50" s="1022" t="str">
        <f t="shared" si="17"/>
        <v/>
      </c>
      <c r="AE50" s="1022" t="str">
        <f t="shared" si="18"/>
        <v/>
      </c>
      <c r="AF50" s="3249" t="str">
        <f t="shared" si="19"/>
        <v/>
      </c>
      <c r="AG50" s="1104" t="str">
        <f>IF($A50&lt;&gt;"",IF(VLOOKUP($A50,'Distributed Assets'!$B$28:$AC$102,26,FALSE)="","N/A",VLOOKUP($A50,'Distributed Assets'!$B$28:$AC$102,26,FALSE)),"")</f>
        <v/>
      </c>
      <c r="AH50" s="2229" t="str">
        <f t="shared" si="20"/>
        <v/>
      </c>
    </row>
    <row r="51" spans="1:34" s="931" customFormat="1">
      <c r="A51" s="2224"/>
      <c r="B51" s="1782" t="str">
        <f t="shared" si="28"/>
        <v/>
      </c>
      <c r="C51" s="2728" t="str">
        <f t="shared" si="29"/>
        <v/>
      </c>
      <c r="D51" s="2226" t="str">
        <f t="shared" si="30"/>
        <v/>
      </c>
      <c r="E51" s="2909"/>
      <c r="F51" s="2906"/>
      <c r="G51" s="2225" t="str">
        <f t="shared" si="21"/>
        <v/>
      </c>
      <c r="H51" s="2227" t="str">
        <f>IF(A51&lt;&gt;"",VLOOKUP(VLOOKUP(A51,dist_assets,2,FALSE),'Distributed Assets'!$C$7:$F$22,4,FALSE),"")</f>
        <v/>
      </c>
      <c r="I51" s="279" t="str">
        <f>IF(A51&lt;&gt;"",VLOOKUP(A51,'Open Systems'!$A$4:$K$41,3,FALSE),"")</f>
        <v/>
      </c>
      <c r="J51" s="2228"/>
      <c r="K51" s="3163" t="str">
        <f>IFERROR(IF($A51&lt;&gt;"",
IF(MID($A51,10,2)="VM",(CONCATENATE(VLOOKUP($A51,VMware!$A$4:$H$41,5,FALSE)&amp;" x "&amp;VLOOKUP($A51,VMware!$A$4:$H$41,6,FALSE)&amp;" TB")),
IF($J51="OS",VLOOKUP($A51,'Open Systems'!$A$4:$K$41,9,FALSE),VLOOKUP($A51,'Open Systems'!$A$4:$K$41,11,FALSE))),""),"")</f>
        <v/>
      </c>
      <c r="L51" s="2"/>
      <c r="M51" s="2173" t="str">
        <f t="shared" si="31"/>
        <v/>
      </c>
      <c r="N51" s="817" t="str">
        <f t="shared" si="32"/>
        <v/>
      </c>
      <c r="O51" s="1090"/>
      <c r="P51" s="1019" t="str">
        <f t="shared" si="8"/>
        <v/>
      </c>
      <c r="Q51" s="1020"/>
      <c r="R51" s="1020"/>
      <c r="S51" s="1021" t="str">
        <f t="shared" si="22"/>
        <v/>
      </c>
      <c r="T51" s="1017"/>
      <c r="U51" s="1016"/>
      <c r="V51" s="3202" t="str">
        <f t="shared" si="33"/>
        <v/>
      </c>
      <c r="W51" s="1022" t="str">
        <f t="shared" si="23"/>
        <v/>
      </c>
      <c r="X51" s="1023" t="str">
        <f t="shared" si="24"/>
        <v/>
      </c>
      <c r="Y51" s="1017" t="str">
        <f t="shared" si="25"/>
        <v/>
      </c>
      <c r="Z51" s="1018" t="str">
        <f t="shared" si="13"/>
        <v/>
      </c>
      <c r="AA51" s="1022" t="str">
        <f t="shared" si="26"/>
        <v/>
      </c>
      <c r="AB51" s="1022" t="str">
        <f t="shared" si="27"/>
        <v/>
      </c>
      <c r="AC51" s="1022" t="str">
        <f t="shared" si="16"/>
        <v/>
      </c>
      <c r="AD51" s="1022" t="str">
        <f t="shared" si="17"/>
        <v/>
      </c>
      <c r="AE51" s="1022" t="str">
        <f t="shared" si="18"/>
        <v/>
      </c>
      <c r="AF51" s="3249" t="str">
        <f t="shared" si="19"/>
        <v/>
      </c>
      <c r="AG51" s="1104" t="str">
        <f>IF($A51&lt;&gt;"",IF(VLOOKUP($A51,'Distributed Assets'!$B$28:$AC$102,26,FALSE)="","N/A",VLOOKUP($A51,'Distributed Assets'!$B$28:$AC$102,26,FALSE)),"")</f>
        <v/>
      </c>
      <c r="AH51" s="2229" t="str">
        <f t="shared" si="20"/>
        <v/>
      </c>
    </row>
    <row r="52" spans="1:34" s="931" customFormat="1">
      <c r="A52" s="2224"/>
      <c r="B52" s="1782" t="str">
        <f t="shared" si="28"/>
        <v/>
      </c>
      <c r="C52" s="2728" t="str">
        <f t="shared" si="29"/>
        <v/>
      </c>
      <c r="D52" s="2226" t="str">
        <f t="shared" si="30"/>
        <v/>
      </c>
      <c r="E52" s="2909"/>
      <c r="F52" s="2906"/>
      <c r="G52" s="2225" t="str">
        <f t="shared" si="21"/>
        <v/>
      </c>
      <c r="H52" s="2227" t="str">
        <f>IF(A52&lt;&gt;"",VLOOKUP(VLOOKUP(A52,dist_assets,2,FALSE),'Distributed Assets'!$C$7:$F$22,4,FALSE),"")</f>
        <v/>
      </c>
      <c r="I52" s="279" t="str">
        <f>IF(A52&lt;&gt;"",VLOOKUP(A52,'Open Systems'!$A$4:$K$41,3,FALSE),"")</f>
        <v/>
      </c>
      <c r="J52" s="2228"/>
      <c r="K52" s="3163" t="str">
        <f>IFERROR(IF($A52&lt;&gt;"",
IF(MID($A52,10,2)="VM",(CONCATENATE(VLOOKUP($A52,VMware!$A$4:$H$41,5,FALSE)&amp;" x "&amp;VLOOKUP($A52,VMware!$A$4:$H$41,6,FALSE)&amp;" TB")),
IF($J52="OS",VLOOKUP($A52,'Open Systems'!$A$4:$K$41,9,FALSE),VLOOKUP($A52,'Open Systems'!$A$4:$K$41,11,FALSE))),""),"")</f>
        <v/>
      </c>
      <c r="L52" s="2"/>
      <c r="M52" s="2173" t="str">
        <f t="shared" si="31"/>
        <v/>
      </c>
      <c r="N52" s="817" t="str">
        <f t="shared" si="32"/>
        <v/>
      </c>
      <c r="O52" s="1090"/>
      <c r="P52" s="1019" t="str">
        <f t="shared" si="8"/>
        <v/>
      </c>
      <c r="Q52" s="1020"/>
      <c r="R52" s="1020"/>
      <c r="S52" s="1021" t="str">
        <f t="shared" si="22"/>
        <v/>
      </c>
      <c r="T52" s="1017"/>
      <c r="U52" s="1016"/>
      <c r="V52" s="3202" t="str">
        <f t="shared" si="33"/>
        <v/>
      </c>
      <c r="W52" s="1022" t="str">
        <f t="shared" si="23"/>
        <v/>
      </c>
      <c r="X52" s="1023" t="str">
        <f t="shared" si="24"/>
        <v/>
      </c>
      <c r="Y52" s="1017" t="str">
        <f t="shared" si="25"/>
        <v/>
      </c>
      <c r="Z52" s="1018" t="str">
        <f t="shared" si="13"/>
        <v/>
      </c>
      <c r="AA52" s="1022" t="str">
        <f t="shared" si="26"/>
        <v/>
      </c>
      <c r="AB52" s="1022" t="str">
        <f t="shared" si="27"/>
        <v/>
      </c>
      <c r="AC52" s="1022" t="str">
        <f t="shared" si="16"/>
        <v/>
      </c>
      <c r="AD52" s="1022" t="str">
        <f t="shared" si="17"/>
        <v/>
      </c>
      <c r="AE52" s="1022" t="str">
        <f t="shared" si="18"/>
        <v/>
      </c>
      <c r="AF52" s="3249" t="str">
        <f t="shared" si="19"/>
        <v/>
      </c>
      <c r="AG52" s="1104" t="str">
        <f>IF($A52&lt;&gt;"",IF(VLOOKUP($A52,'Distributed Assets'!$B$28:$AC$102,26,FALSE)="","N/A",VLOOKUP($A52,'Distributed Assets'!$B$28:$AC$102,26,FALSE)),"")</f>
        <v/>
      </c>
      <c r="AH52" s="2229" t="str">
        <f t="shared" si="20"/>
        <v/>
      </c>
    </row>
    <row r="53" spans="1:34" s="931" customFormat="1">
      <c r="A53" s="2224"/>
      <c r="B53" s="1782" t="str">
        <f t="shared" si="28"/>
        <v/>
      </c>
      <c r="C53" s="2728" t="str">
        <f t="shared" si="29"/>
        <v/>
      </c>
      <c r="D53" s="2226" t="str">
        <f t="shared" si="30"/>
        <v/>
      </c>
      <c r="E53" s="2909"/>
      <c r="F53" s="2906"/>
      <c r="G53" s="2225" t="str">
        <f t="shared" si="21"/>
        <v/>
      </c>
      <c r="H53" s="2227" t="str">
        <f>IF(A53&lt;&gt;"",VLOOKUP(VLOOKUP(A53,dist_assets,2,FALSE),'Distributed Assets'!$C$7:$F$22,4,FALSE),"")</f>
        <v/>
      </c>
      <c r="I53" s="279" t="str">
        <f>IF(A53&lt;&gt;"",VLOOKUP(A53,'Open Systems'!$A$4:$K$41,3,FALSE),"")</f>
        <v/>
      </c>
      <c r="J53" s="2228"/>
      <c r="K53" s="3163" t="str">
        <f>IFERROR(IF($A53&lt;&gt;"",
IF(MID($A53,10,2)="VM",(CONCATENATE(VLOOKUP($A53,VMware!$A$4:$H$41,5,FALSE)&amp;" x "&amp;VLOOKUP($A53,VMware!$A$4:$H$41,6,FALSE)&amp;" TB")),
IF($J53="OS",VLOOKUP($A53,'Open Systems'!$A$4:$K$41,9,FALSE),VLOOKUP($A53,'Open Systems'!$A$4:$K$41,11,FALSE))),""),"")</f>
        <v/>
      </c>
      <c r="L53" s="2"/>
      <c r="M53" s="2173" t="str">
        <f t="shared" si="31"/>
        <v/>
      </c>
      <c r="N53" s="817" t="str">
        <f t="shared" si="32"/>
        <v/>
      </c>
      <c r="O53" s="1090"/>
      <c r="P53" s="1019" t="str">
        <f t="shared" si="8"/>
        <v/>
      </c>
      <c r="Q53" s="1020"/>
      <c r="R53" s="1020"/>
      <c r="S53" s="1021" t="str">
        <f t="shared" si="22"/>
        <v/>
      </c>
      <c r="T53" s="1017"/>
      <c r="U53" s="1016"/>
      <c r="V53" s="3202" t="str">
        <f t="shared" si="33"/>
        <v/>
      </c>
      <c r="W53" s="1022" t="str">
        <f t="shared" si="23"/>
        <v/>
      </c>
      <c r="X53" s="1023" t="str">
        <f t="shared" si="24"/>
        <v/>
      </c>
      <c r="Y53" s="1017" t="str">
        <f t="shared" si="25"/>
        <v/>
      </c>
      <c r="Z53" s="1018" t="str">
        <f t="shared" si="13"/>
        <v/>
      </c>
      <c r="AA53" s="1022" t="str">
        <f t="shared" si="26"/>
        <v/>
      </c>
      <c r="AB53" s="1022" t="str">
        <f t="shared" si="27"/>
        <v/>
      </c>
      <c r="AC53" s="1022" t="str">
        <f t="shared" si="16"/>
        <v/>
      </c>
      <c r="AD53" s="1022" t="str">
        <f t="shared" si="17"/>
        <v/>
      </c>
      <c r="AE53" s="1022" t="str">
        <f t="shared" si="18"/>
        <v/>
      </c>
      <c r="AF53" s="3249" t="str">
        <f t="shared" si="19"/>
        <v/>
      </c>
      <c r="AG53" s="1104" t="str">
        <f>IF($A53&lt;&gt;"",IF(VLOOKUP($A53,'Distributed Assets'!$B$28:$AC$102,26,FALSE)="","N/A",VLOOKUP($A53,'Distributed Assets'!$B$28:$AC$102,26,FALSE)),"")</f>
        <v/>
      </c>
      <c r="AH53" s="2229" t="str">
        <f t="shared" si="20"/>
        <v/>
      </c>
    </row>
    <row r="54" spans="1:34" s="931" customFormat="1">
      <c r="A54" s="2224"/>
      <c r="B54" s="1782" t="str">
        <f t="shared" si="28"/>
        <v/>
      </c>
      <c r="C54" s="2728" t="str">
        <f t="shared" si="29"/>
        <v/>
      </c>
      <c r="D54" s="2226" t="str">
        <f t="shared" si="30"/>
        <v/>
      </c>
      <c r="E54" s="2909"/>
      <c r="F54" s="2906"/>
      <c r="G54" s="2225" t="str">
        <f t="shared" si="21"/>
        <v/>
      </c>
      <c r="H54" s="2227" t="str">
        <f>IF(A54&lt;&gt;"",VLOOKUP(VLOOKUP(A54,dist_assets,2,FALSE),'Distributed Assets'!$C$7:$F$22,4,FALSE),"")</f>
        <v/>
      </c>
      <c r="I54" s="279" t="str">
        <f>IF(A54&lt;&gt;"",VLOOKUP(A54,'Open Systems'!$A$4:$K$41,3,FALSE),"")</f>
        <v/>
      </c>
      <c r="J54" s="2228"/>
      <c r="K54" s="3163" t="str">
        <f>IFERROR(IF($A54&lt;&gt;"",
IF(MID($A54,10,2)="VM",(CONCATENATE(VLOOKUP($A54,VMware!$A$4:$H$41,5,FALSE)&amp;" x "&amp;VLOOKUP($A54,VMware!$A$4:$H$41,6,FALSE)&amp;" TB")),
IF($J54="OS",VLOOKUP($A54,'Open Systems'!$A$4:$K$41,9,FALSE),VLOOKUP($A54,'Open Systems'!$A$4:$K$41,11,FALSE))),""),"")</f>
        <v/>
      </c>
      <c r="L54" s="2"/>
      <c r="M54" s="2173" t="str">
        <f t="shared" si="31"/>
        <v/>
      </c>
      <c r="N54" s="817" t="str">
        <f t="shared" si="32"/>
        <v/>
      </c>
      <c r="O54" s="1090"/>
      <c r="P54" s="1019" t="str">
        <f t="shared" si="8"/>
        <v/>
      </c>
      <c r="Q54" s="1020"/>
      <c r="R54" s="1020"/>
      <c r="S54" s="1021" t="str">
        <f t="shared" si="22"/>
        <v/>
      </c>
      <c r="T54" s="1017"/>
      <c r="U54" s="1016"/>
      <c r="V54" s="3202" t="str">
        <f t="shared" si="33"/>
        <v/>
      </c>
      <c r="W54" s="1022" t="str">
        <f t="shared" si="23"/>
        <v/>
      </c>
      <c r="X54" s="1023" t="str">
        <f t="shared" si="24"/>
        <v/>
      </c>
      <c r="Y54" s="1017" t="str">
        <f t="shared" si="25"/>
        <v/>
      </c>
      <c r="Z54" s="1018" t="str">
        <f t="shared" si="13"/>
        <v/>
      </c>
      <c r="AA54" s="1022" t="str">
        <f t="shared" si="26"/>
        <v/>
      </c>
      <c r="AB54" s="1022" t="str">
        <f t="shared" si="27"/>
        <v/>
      </c>
      <c r="AC54" s="1022" t="str">
        <f t="shared" si="16"/>
        <v/>
      </c>
      <c r="AD54" s="1022" t="str">
        <f t="shared" si="17"/>
        <v/>
      </c>
      <c r="AE54" s="1022" t="str">
        <f t="shared" si="18"/>
        <v/>
      </c>
      <c r="AF54" s="3249" t="str">
        <f t="shared" si="19"/>
        <v/>
      </c>
      <c r="AG54" s="1104" t="str">
        <f>IF($A54&lt;&gt;"",IF(VLOOKUP($A54,'Distributed Assets'!$B$28:$AC$102,26,FALSE)="","N/A",VLOOKUP($A54,'Distributed Assets'!$B$28:$AC$102,26,FALSE)),"")</f>
        <v/>
      </c>
      <c r="AH54" s="2229" t="str">
        <f t="shared" si="20"/>
        <v/>
      </c>
    </row>
    <row r="55" spans="1:34" s="931" customFormat="1">
      <c r="A55" s="2224"/>
      <c r="B55" s="1782" t="str">
        <f t="shared" si="28"/>
        <v/>
      </c>
      <c r="C55" s="2728" t="str">
        <f t="shared" si="29"/>
        <v/>
      </c>
      <c r="D55" s="2226" t="str">
        <f t="shared" si="30"/>
        <v/>
      </c>
      <c r="E55" s="2909"/>
      <c r="F55" s="2906"/>
      <c r="G55" s="2225" t="str">
        <f t="shared" si="21"/>
        <v/>
      </c>
      <c r="H55" s="2227" t="str">
        <f>IF(A55&lt;&gt;"",VLOOKUP(VLOOKUP(A55,dist_assets,2,FALSE),'Distributed Assets'!$C$7:$F$22,4,FALSE),"")</f>
        <v/>
      </c>
      <c r="I55" s="279" t="str">
        <f>IF(A55&lt;&gt;"",VLOOKUP(A55,'Open Systems'!$A$4:$K$41,3,FALSE),"")</f>
        <v/>
      </c>
      <c r="J55" s="2228"/>
      <c r="K55" s="3163" t="str">
        <f>IFERROR(IF($A55&lt;&gt;"",
IF(MID($A55,10,2)="VM",(CONCATENATE(VLOOKUP($A55,VMware!$A$4:$H$41,5,FALSE)&amp;" x "&amp;VLOOKUP($A55,VMware!$A$4:$H$41,6,FALSE)&amp;" TB")),
IF($J55="OS",VLOOKUP($A55,'Open Systems'!$A$4:$K$41,9,FALSE),VLOOKUP($A55,'Open Systems'!$A$4:$K$41,11,FALSE))),""),"")</f>
        <v/>
      </c>
      <c r="L55" s="2"/>
      <c r="M55" s="2173" t="str">
        <f t="shared" si="31"/>
        <v/>
      </c>
      <c r="N55" s="817" t="str">
        <f t="shared" si="32"/>
        <v/>
      </c>
      <c r="O55" s="1090"/>
      <c r="P55" s="1019" t="str">
        <f t="shared" si="8"/>
        <v/>
      </c>
      <c r="Q55" s="1020"/>
      <c r="R55" s="1020"/>
      <c r="S55" s="1021" t="str">
        <f t="shared" si="22"/>
        <v/>
      </c>
      <c r="T55" s="1017"/>
      <c r="U55" s="1016"/>
      <c r="V55" s="3202" t="str">
        <f t="shared" si="33"/>
        <v/>
      </c>
      <c r="W55" s="1022" t="str">
        <f t="shared" si="23"/>
        <v/>
      </c>
      <c r="X55" s="1023" t="str">
        <f t="shared" si="24"/>
        <v/>
      </c>
      <c r="Y55" s="1017" t="str">
        <f t="shared" si="25"/>
        <v/>
      </c>
      <c r="Z55" s="1018" t="str">
        <f t="shared" si="13"/>
        <v/>
      </c>
      <c r="AA55" s="1022" t="str">
        <f t="shared" si="26"/>
        <v/>
      </c>
      <c r="AB55" s="1022" t="str">
        <f t="shared" si="27"/>
        <v/>
      </c>
      <c r="AC55" s="1022" t="str">
        <f t="shared" si="16"/>
        <v/>
      </c>
      <c r="AD55" s="1022" t="str">
        <f t="shared" si="17"/>
        <v/>
      </c>
      <c r="AE55" s="1022" t="str">
        <f t="shared" si="18"/>
        <v/>
      </c>
      <c r="AF55" s="3249" t="str">
        <f t="shared" si="19"/>
        <v/>
      </c>
      <c r="AG55" s="1104" t="str">
        <f>IF($A55&lt;&gt;"",IF(VLOOKUP($A55,'Distributed Assets'!$B$28:$AC$102,26,FALSE)="","N/A",VLOOKUP($A55,'Distributed Assets'!$B$28:$AC$102,26,FALSE)),"")</f>
        <v/>
      </c>
      <c r="AH55" s="2229" t="str">
        <f t="shared" si="20"/>
        <v/>
      </c>
    </row>
    <row r="56" spans="1:34" s="931" customFormat="1">
      <c r="A56" s="2224"/>
      <c r="B56" s="1782" t="str">
        <f t="shared" si="28"/>
        <v/>
      </c>
      <c r="C56" s="2728" t="str">
        <f t="shared" si="29"/>
        <v/>
      </c>
      <c r="D56" s="2226" t="str">
        <f t="shared" si="30"/>
        <v/>
      </c>
      <c r="E56" s="2909"/>
      <c r="F56" s="2906"/>
      <c r="G56" s="2225" t="str">
        <f t="shared" si="21"/>
        <v/>
      </c>
      <c r="H56" s="2227" t="str">
        <f>IF(A56&lt;&gt;"",VLOOKUP(VLOOKUP(A56,dist_assets,2,FALSE),'Distributed Assets'!$C$7:$F$22,4,FALSE),"")</f>
        <v/>
      </c>
      <c r="I56" s="279" t="str">
        <f>IF(A56&lt;&gt;"",VLOOKUP(A56,'Open Systems'!$A$4:$K$41,3,FALSE),"")</f>
        <v/>
      </c>
      <c r="J56" s="2228"/>
      <c r="K56" s="3163" t="str">
        <f>IFERROR(IF($A56&lt;&gt;"",
IF(MID($A56,10,2)="VM",(CONCATENATE(VLOOKUP($A56,VMware!$A$4:$H$41,5,FALSE)&amp;" x "&amp;VLOOKUP($A56,VMware!$A$4:$H$41,6,FALSE)&amp;" TB")),
IF($J56="OS",VLOOKUP($A56,'Open Systems'!$A$4:$K$41,9,FALSE),VLOOKUP($A56,'Open Systems'!$A$4:$K$41,11,FALSE))),""),"")</f>
        <v/>
      </c>
      <c r="L56" s="2"/>
      <c r="M56" s="2173" t="str">
        <f t="shared" si="31"/>
        <v/>
      </c>
      <c r="N56" s="817" t="str">
        <f t="shared" si="32"/>
        <v/>
      </c>
      <c r="O56" s="1090"/>
      <c r="P56" s="1019" t="str">
        <f t="shared" si="8"/>
        <v/>
      </c>
      <c r="Q56" s="1020"/>
      <c r="R56" s="1020"/>
      <c r="S56" s="1021" t="str">
        <f t="shared" si="22"/>
        <v/>
      </c>
      <c r="T56" s="1017"/>
      <c r="U56" s="1016"/>
      <c r="V56" s="3202" t="str">
        <f t="shared" si="33"/>
        <v/>
      </c>
      <c r="W56" s="1022" t="str">
        <f t="shared" si="23"/>
        <v/>
      </c>
      <c r="X56" s="1023" t="str">
        <f t="shared" si="24"/>
        <v/>
      </c>
      <c r="Y56" s="1017" t="str">
        <f t="shared" si="25"/>
        <v/>
      </c>
      <c r="Z56" s="1018" t="str">
        <f t="shared" si="13"/>
        <v/>
      </c>
      <c r="AA56" s="1022" t="str">
        <f t="shared" si="26"/>
        <v/>
      </c>
      <c r="AB56" s="1022" t="str">
        <f t="shared" si="27"/>
        <v/>
      </c>
      <c r="AC56" s="1022" t="str">
        <f t="shared" si="16"/>
        <v/>
      </c>
      <c r="AD56" s="1022" t="str">
        <f t="shared" si="17"/>
        <v/>
      </c>
      <c r="AE56" s="1022" t="str">
        <f t="shared" si="18"/>
        <v/>
      </c>
      <c r="AF56" s="3249" t="str">
        <f t="shared" si="19"/>
        <v/>
      </c>
      <c r="AG56" s="1104" t="str">
        <f>IF($A56&lt;&gt;"",IF(VLOOKUP($A56,'Distributed Assets'!$B$28:$AC$102,26,FALSE)="","N/A",VLOOKUP($A56,'Distributed Assets'!$B$28:$AC$102,26,FALSE)),"")</f>
        <v/>
      </c>
      <c r="AH56" s="2229" t="str">
        <f t="shared" si="20"/>
        <v/>
      </c>
    </row>
    <row r="57" spans="1:34" s="931" customFormat="1">
      <c r="A57" s="2224"/>
      <c r="B57" s="1782" t="str">
        <f t="shared" si="28"/>
        <v/>
      </c>
      <c r="C57" s="2728" t="str">
        <f t="shared" si="29"/>
        <v/>
      </c>
      <c r="D57" s="2226" t="str">
        <f t="shared" si="30"/>
        <v/>
      </c>
      <c r="E57" s="2909"/>
      <c r="F57" s="2906"/>
      <c r="G57" s="2225" t="str">
        <f t="shared" si="21"/>
        <v/>
      </c>
      <c r="H57" s="2227" t="str">
        <f>IF(A57&lt;&gt;"",VLOOKUP(VLOOKUP(A57,dist_assets,2,FALSE),'Distributed Assets'!$C$7:$F$22,4,FALSE),"")</f>
        <v/>
      </c>
      <c r="I57" s="279" t="str">
        <f>IF(A57&lt;&gt;"",VLOOKUP(A57,'Open Systems'!$A$4:$K$41,3,FALSE),"")</f>
        <v/>
      </c>
      <c r="J57" s="2228"/>
      <c r="K57" s="3163" t="str">
        <f>IFERROR(IF($A57&lt;&gt;"",
IF(MID($A57,10,2)="VM",(CONCATENATE(VLOOKUP($A57,VMware!$A$4:$H$41,5,FALSE)&amp;" x "&amp;VLOOKUP($A57,VMware!$A$4:$H$41,6,FALSE)&amp;" TB")),
IF($J57="OS",VLOOKUP($A57,'Open Systems'!$A$4:$K$41,9,FALSE),VLOOKUP($A57,'Open Systems'!$A$4:$K$41,11,FALSE))),""),"")</f>
        <v/>
      </c>
      <c r="L57" s="2"/>
      <c r="M57" s="2173" t="str">
        <f t="shared" si="31"/>
        <v/>
      </c>
      <c r="N57" s="817" t="str">
        <f t="shared" si="32"/>
        <v/>
      </c>
      <c r="O57" s="1090"/>
      <c r="P57" s="1019" t="str">
        <f t="shared" si="8"/>
        <v/>
      </c>
      <c r="Q57" s="1020"/>
      <c r="R57" s="1020"/>
      <c r="S57" s="1021" t="str">
        <f t="shared" si="22"/>
        <v/>
      </c>
      <c r="T57" s="1017"/>
      <c r="U57" s="1016"/>
      <c r="V57" s="3202" t="str">
        <f t="shared" si="33"/>
        <v/>
      </c>
      <c r="W57" s="1022" t="str">
        <f t="shared" si="23"/>
        <v/>
      </c>
      <c r="X57" s="1023" t="str">
        <f t="shared" si="24"/>
        <v/>
      </c>
      <c r="Y57" s="1017" t="str">
        <f t="shared" si="25"/>
        <v/>
      </c>
      <c r="Z57" s="1018" t="str">
        <f t="shared" si="13"/>
        <v/>
      </c>
      <c r="AA57" s="1022" t="str">
        <f t="shared" si="26"/>
        <v/>
      </c>
      <c r="AB57" s="1022" t="str">
        <f t="shared" si="27"/>
        <v/>
      </c>
      <c r="AC57" s="1022" t="str">
        <f t="shared" si="16"/>
        <v/>
      </c>
      <c r="AD57" s="1022" t="str">
        <f t="shared" si="17"/>
        <v/>
      </c>
      <c r="AE57" s="1022" t="str">
        <f t="shared" si="18"/>
        <v/>
      </c>
      <c r="AF57" s="3249" t="str">
        <f t="shared" si="19"/>
        <v/>
      </c>
      <c r="AG57" s="1104" t="str">
        <f>IF($A57&lt;&gt;"",IF(VLOOKUP($A57,'Distributed Assets'!$B$28:$AC$102,26,FALSE)="","N/A",VLOOKUP($A57,'Distributed Assets'!$B$28:$AC$102,26,FALSE)),"")</f>
        <v/>
      </c>
      <c r="AH57" s="2229" t="str">
        <f t="shared" si="20"/>
        <v/>
      </c>
    </row>
    <row r="58" spans="1:34" s="931" customFormat="1">
      <c r="A58" s="2224"/>
      <c r="B58" s="1782" t="str">
        <f t="shared" si="28"/>
        <v/>
      </c>
      <c r="C58" s="2728" t="str">
        <f t="shared" si="29"/>
        <v/>
      </c>
      <c r="D58" s="2226" t="str">
        <f t="shared" si="30"/>
        <v/>
      </c>
      <c r="E58" s="2909"/>
      <c r="F58" s="2906"/>
      <c r="G58" s="2225" t="str">
        <f t="shared" si="21"/>
        <v/>
      </c>
      <c r="H58" s="2227" t="str">
        <f>IF(A58&lt;&gt;"",VLOOKUP(VLOOKUP(A58,dist_assets,2,FALSE),'Distributed Assets'!$C$7:$F$22,4,FALSE),"")</f>
        <v/>
      </c>
      <c r="I58" s="279" t="str">
        <f>IF(A58&lt;&gt;"",VLOOKUP(A58,'Open Systems'!$A$4:$K$41,3,FALSE),"")</f>
        <v/>
      </c>
      <c r="J58" s="2228"/>
      <c r="K58" s="3163" t="str">
        <f>IFERROR(IF($A58&lt;&gt;"",
IF(MID($A58,10,2)="VM",(CONCATENATE(VLOOKUP($A58,VMware!$A$4:$H$41,5,FALSE)&amp;" x "&amp;VLOOKUP($A58,VMware!$A$4:$H$41,6,FALSE)&amp;" TB")),
IF($J58="OS",VLOOKUP($A58,'Open Systems'!$A$4:$K$41,9,FALSE),VLOOKUP($A58,'Open Systems'!$A$4:$K$41,11,FALSE))),""),"")</f>
        <v/>
      </c>
      <c r="L58" s="2"/>
      <c r="M58" s="2173" t="str">
        <f t="shared" si="31"/>
        <v/>
      </c>
      <c r="N58" s="817" t="str">
        <f t="shared" si="32"/>
        <v/>
      </c>
      <c r="O58" s="1090"/>
      <c r="P58" s="1019" t="str">
        <f t="shared" si="8"/>
        <v/>
      </c>
      <c r="Q58" s="1020"/>
      <c r="R58" s="1020"/>
      <c r="S58" s="1021" t="str">
        <f t="shared" si="22"/>
        <v/>
      </c>
      <c r="T58" s="1017"/>
      <c r="U58" s="1016"/>
      <c r="V58" s="3202" t="str">
        <f t="shared" si="33"/>
        <v/>
      </c>
      <c r="W58" s="1022" t="str">
        <f t="shared" si="23"/>
        <v/>
      </c>
      <c r="X58" s="1023" t="str">
        <f t="shared" si="24"/>
        <v/>
      </c>
      <c r="Y58" s="1017" t="str">
        <f t="shared" si="25"/>
        <v/>
      </c>
      <c r="Z58" s="1018" t="str">
        <f t="shared" si="13"/>
        <v/>
      </c>
      <c r="AA58" s="1022" t="str">
        <f t="shared" si="26"/>
        <v/>
      </c>
      <c r="AB58" s="1022" t="str">
        <f t="shared" si="27"/>
        <v/>
      </c>
      <c r="AC58" s="1022" t="str">
        <f t="shared" si="16"/>
        <v/>
      </c>
      <c r="AD58" s="1022" t="str">
        <f t="shared" si="17"/>
        <v/>
      </c>
      <c r="AE58" s="1022" t="str">
        <f t="shared" si="18"/>
        <v/>
      </c>
      <c r="AF58" s="3249" t="str">
        <f t="shared" si="19"/>
        <v/>
      </c>
      <c r="AG58" s="1104" t="str">
        <f>IF($A58&lt;&gt;"",IF(VLOOKUP($A58,'Distributed Assets'!$B$28:$AC$102,26,FALSE)="","N/A",VLOOKUP($A58,'Distributed Assets'!$B$28:$AC$102,26,FALSE)),"")</f>
        <v/>
      </c>
      <c r="AH58" s="2229" t="str">
        <f t="shared" si="20"/>
        <v/>
      </c>
    </row>
    <row r="59" spans="1:34" s="931" customFormat="1">
      <c r="A59" s="2224"/>
      <c r="B59" s="1782" t="str">
        <f t="shared" si="28"/>
        <v/>
      </c>
      <c r="C59" s="2728" t="str">
        <f t="shared" si="29"/>
        <v/>
      </c>
      <c r="D59" s="2226" t="str">
        <f t="shared" si="30"/>
        <v/>
      </c>
      <c r="E59" s="2909"/>
      <c r="F59" s="2906"/>
      <c r="G59" s="2225" t="str">
        <f t="shared" si="21"/>
        <v/>
      </c>
      <c r="H59" s="2227" t="str">
        <f>IF(A59&lt;&gt;"",VLOOKUP(VLOOKUP(A59,dist_assets,2,FALSE),'Distributed Assets'!$C$7:$F$22,4,FALSE),"")</f>
        <v/>
      </c>
      <c r="I59" s="279" t="str">
        <f>IF(A59&lt;&gt;"",VLOOKUP(A59,'Open Systems'!$A$4:$K$41,3,FALSE),"")</f>
        <v/>
      </c>
      <c r="J59" s="2228"/>
      <c r="K59" s="3163" t="str">
        <f>IFERROR(IF($A59&lt;&gt;"",
IF(MID($A59,10,2)="VM",(CONCATENATE(VLOOKUP($A59,VMware!$A$4:$H$41,5,FALSE)&amp;" x "&amp;VLOOKUP($A59,VMware!$A$4:$H$41,6,FALSE)&amp;" TB")),
IF($J59="OS",VLOOKUP($A59,'Open Systems'!$A$4:$K$41,9,FALSE),VLOOKUP($A59,'Open Systems'!$A$4:$K$41,11,FALSE))),""),"")</f>
        <v/>
      </c>
      <c r="L59" s="2"/>
      <c r="M59" s="2173" t="str">
        <f t="shared" si="31"/>
        <v/>
      </c>
      <c r="N59" s="817" t="str">
        <f t="shared" si="32"/>
        <v/>
      </c>
      <c r="O59" s="1090"/>
      <c r="P59" s="1019" t="str">
        <f t="shared" si="8"/>
        <v/>
      </c>
      <c r="Q59" s="1020"/>
      <c r="R59" s="1020"/>
      <c r="S59" s="1021" t="str">
        <f t="shared" si="22"/>
        <v/>
      </c>
      <c r="T59" s="1017"/>
      <c r="U59" s="1016"/>
      <c r="V59" s="3202" t="str">
        <f t="shared" si="33"/>
        <v/>
      </c>
      <c r="W59" s="1022" t="str">
        <f t="shared" si="23"/>
        <v/>
      </c>
      <c r="X59" s="1023" t="str">
        <f t="shared" si="24"/>
        <v/>
      </c>
      <c r="Y59" s="1017" t="str">
        <f t="shared" si="25"/>
        <v/>
      </c>
      <c r="Z59" s="1018" t="str">
        <f t="shared" si="13"/>
        <v/>
      </c>
      <c r="AA59" s="1022" t="str">
        <f t="shared" si="26"/>
        <v/>
      </c>
      <c r="AB59" s="1022" t="str">
        <f t="shared" si="27"/>
        <v/>
      </c>
      <c r="AC59" s="1022" t="str">
        <f t="shared" si="16"/>
        <v/>
      </c>
      <c r="AD59" s="1022" t="str">
        <f t="shared" si="17"/>
        <v/>
      </c>
      <c r="AE59" s="1022" t="str">
        <f t="shared" si="18"/>
        <v/>
      </c>
      <c r="AF59" s="3249" t="str">
        <f t="shared" si="19"/>
        <v/>
      </c>
      <c r="AG59" s="1104" t="str">
        <f>IF($A59&lt;&gt;"",IF(VLOOKUP($A59,'Distributed Assets'!$B$28:$AC$102,26,FALSE)="","N/A",VLOOKUP($A59,'Distributed Assets'!$B$28:$AC$102,26,FALSE)),"")</f>
        <v/>
      </c>
      <c r="AH59" s="2229" t="str">
        <f t="shared" si="20"/>
        <v/>
      </c>
    </row>
    <row r="60" spans="1:34" s="931" customFormat="1">
      <c r="A60" s="2224"/>
      <c r="B60" s="1782" t="str">
        <f t="shared" si="28"/>
        <v/>
      </c>
      <c r="C60" s="2728" t="str">
        <f t="shared" si="29"/>
        <v/>
      </c>
      <c r="D60" s="2226" t="str">
        <f t="shared" si="30"/>
        <v/>
      </c>
      <c r="E60" s="2909"/>
      <c r="F60" s="2906"/>
      <c r="G60" s="2225" t="str">
        <f t="shared" si="21"/>
        <v/>
      </c>
      <c r="H60" s="2227" t="str">
        <f>IF(A60&lt;&gt;"",VLOOKUP(VLOOKUP(A60,dist_assets,2,FALSE),'Distributed Assets'!$C$7:$F$22,4,FALSE),"")</f>
        <v/>
      </c>
      <c r="I60" s="279" t="str">
        <f>IF(A60&lt;&gt;"",VLOOKUP(A60,'Open Systems'!$A$4:$K$41,3,FALSE),"")</f>
        <v/>
      </c>
      <c r="J60" s="2228"/>
      <c r="K60" s="3163" t="str">
        <f>IFERROR(IF($A60&lt;&gt;"",
IF(MID($A60,10,2)="VM",(CONCATENATE(VLOOKUP($A60,VMware!$A$4:$H$41,5,FALSE)&amp;" x "&amp;VLOOKUP($A60,VMware!$A$4:$H$41,6,FALSE)&amp;" TB")),
IF($J60="OS",VLOOKUP($A60,'Open Systems'!$A$4:$K$41,9,FALSE),VLOOKUP($A60,'Open Systems'!$A$4:$K$41,11,FALSE))),""),"")</f>
        <v/>
      </c>
      <c r="L60" s="2"/>
      <c r="M60" s="2173" t="str">
        <f t="shared" si="31"/>
        <v/>
      </c>
      <c r="N60" s="817" t="str">
        <f t="shared" si="32"/>
        <v/>
      </c>
      <c r="O60" s="1090"/>
      <c r="P60" s="1019" t="str">
        <f t="shared" si="8"/>
        <v/>
      </c>
      <c r="Q60" s="1020"/>
      <c r="R60" s="1020"/>
      <c r="S60" s="1021" t="str">
        <f t="shared" si="22"/>
        <v/>
      </c>
      <c r="T60" s="1017"/>
      <c r="U60" s="1016"/>
      <c r="V60" s="3202" t="str">
        <f t="shared" si="33"/>
        <v/>
      </c>
      <c r="W60" s="1022" t="str">
        <f t="shared" si="23"/>
        <v/>
      </c>
      <c r="X60" s="1023" t="str">
        <f t="shared" si="24"/>
        <v/>
      </c>
      <c r="Y60" s="1017" t="str">
        <f t="shared" si="25"/>
        <v/>
      </c>
      <c r="Z60" s="1018" t="str">
        <f t="shared" si="13"/>
        <v/>
      </c>
      <c r="AA60" s="1022" t="str">
        <f t="shared" si="26"/>
        <v/>
      </c>
      <c r="AB60" s="1022" t="str">
        <f t="shared" si="27"/>
        <v/>
      </c>
      <c r="AC60" s="1022" t="str">
        <f t="shared" si="16"/>
        <v/>
      </c>
      <c r="AD60" s="1022" t="str">
        <f t="shared" si="17"/>
        <v/>
      </c>
      <c r="AE60" s="1022" t="str">
        <f t="shared" si="18"/>
        <v/>
      </c>
      <c r="AF60" s="3249" t="str">
        <f t="shared" si="19"/>
        <v/>
      </c>
      <c r="AG60" s="1104" t="str">
        <f>IF($A60&lt;&gt;"",IF(VLOOKUP($A60,'Distributed Assets'!$B$28:$AC$102,26,FALSE)="","N/A",VLOOKUP($A60,'Distributed Assets'!$B$28:$AC$102,26,FALSE)),"")</f>
        <v/>
      </c>
      <c r="AH60" s="2229" t="str">
        <f t="shared" si="20"/>
        <v/>
      </c>
    </row>
    <row r="61" spans="1:34" s="931" customFormat="1">
      <c r="A61" s="2224"/>
      <c r="B61" s="1782" t="str">
        <f t="shared" si="28"/>
        <v/>
      </c>
      <c r="C61" s="2728" t="str">
        <f t="shared" si="29"/>
        <v/>
      </c>
      <c r="D61" s="2226" t="str">
        <f t="shared" si="30"/>
        <v/>
      </c>
      <c r="E61" s="2909"/>
      <c r="F61" s="2906"/>
      <c r="G61" s="2225" t="str">
        <f t="shared" si="21"/>
        <v/>
      </c>
      <c r="H61" s="2227" t="str">
        <f>IF(A61&lt;&gt;"",VLOOKUP(VLOOKUP(A61,dist_assets,2,FALSE),'Distributed Assets'!$C$7:$F$22,4,FALSE),"")</f>
        <v/>
      </c>
      <c r="I61" s="279" t="str">
        <f>IF(A61&lt;&gt;"",VLOOKUP(A61,'Open Systems'!$A$4:$K$41,3,FALSE),"")</f>
        <v/>
      </c>
      <c r="J61" s="2228"/>
      <c r="K61" s="3163" t="str">
        <f>IFERROR(IF($A61&lt;&gt;"",
IF(MID($A61,10,2)="VM",(CONCATENATE(VLOOKUP($A61,VMware!$A$4:$H$41,5,FALSE)&amp;" x "&amp;VLOOKUP($A61,VMware!$A$4:$H$41,6,FALSE)&amp;" TB")),
IF($J61="OS",VLOOKUP($A61,'Open Systems'!$A$4:$K$41,9,FALSE),VLOOKUP($A61,'Open Systems'!$A$4:$K$41,11,FALSE))),""),"")</f>
        <v/>
      </c>
      <c r="L61" s="2"/>
      <c r="M61" s="2173" t="str">
        <f t="shared" si="31"/>
        <v/>
      </c>
      <c r="N61" s="817" t="str">
        <f t="shared" si="32"/>
        <v/>
      </c>
      <c r="O61" s="1090"/>
      <c r="P61" s="1019" t="str">
        <f t="shared" si="8"/>
        <v/>
      </c>
      <c r="Q61" s="1020"/>
      <c r="R61" s="1020"/>
      <c r="S61" s="1021" t="str">
        <f t="shared" si="22"/>
        <v/>
      </c>
      <c r="T61" s="1017"/>
      <c r="U61" s="1016"/>
      <c r="V61" s="3202" t="str">
        <f t="shared" si="33"/>
        <v/>
      </c>
      <c r="W61" s="1022" t="str">
        <f t="shared" si="23"/>
        <v/>
      </c>
      <c r="X61" s="1023" t="str">
        <f t="shared" si="24"/>
        <v/>
      </c>
      <c r="Y61" s="1017" t="str">
        <f t="shared" si="25"/>
        <v/>
      </c>
      <c r="Z61" s="1018" t="str">
        <f t="shared" si="13"/>
        <v/>
      </c>
      <c r="AA61" s="1022" t="str">
        <f t="shared" si="26"/>
        <v/>
      </c>
      <c r="AB61" s="1022" t="str">
        <f t="shared" si="27"/>
        <v/>
      </c>
      <c r="AC61" s="1022" t="str">
        <f t="shared" si="16"/>
        <v/>
      </c>
      <c r="AD61" s="1022" t="str">
        <f t="shared" si="17"/>
        <v/>
      </c>
      <c r="AE61" s="1022" t="str">
        <f t="shared" si="18"/>
        <v/>
      </c>
      <c r="AF61" s="3249" t="str">
        <f t="shared" si="19"/>
        <v/>
      </c>
      <c r="AG61" s="1104" t="str">
        <f>IF($A61&lt;&gt;"",IF(VLOOKUP($A61,'Distributed Assets'!$B$28:$AC$102,26,FALSE)="","N/A",VLOOKUP($A61,'Distributed Assets'!$B$28:$AC$102,26,FALSE)),"")</f>
        <v/>
      </c>
      <c r="AH61" s="2229" t="str">
        <f t="shared" si="20"/>
        <v/>
      </c>
    </row>
    <row r="62" spans="1:34" s="931" customFormat="1">
      <c r="A62" s="2224"/>
      <c r="B62" s="1782" t="str">
        <f t="shared" si="28"/>
        <v/>
      </c>
      <c r="C62" s="2728" t="str">
        <f t="shared" si="29"/>
        <v/>
      </c>
      <c r="D62" s="2226" t="str">
        <f t="shared" si="30"/>
        <v/>
      </c>
      <c r="E62" s="2909"/>
      <c r="F62" s="2906"/>
      <c r="G62" s="2225" t="str">
        <f t="shared" si="21"/>
        <v/>
      </c>
      <c r="H62" s="2227" t="str">
        <f>IF(A62&lt;&gt;"",VLOOKUP(VLOOKUP(A62,dist_assets,2,FALSE),'Distributed Assets'!$C$7:$F$22,4,FALSE),"")</f>
        <v/>
      </c>
      <c r="I62" s="279" t="str">
        <f>IF(A62&lt;&gt;"",VLOOKUP(A62,'Open Systems'!$A$4:$K$41,3,FALSE),"")</f>
        <v/>
      </c>
      <c r="J62" s="2228"/>
      <c r="K62" s="3163" t="str">
        <f>IFERROR(IF($A62&lt;&gt;"",
IF(MID($A62,10,2)="VM",(CONCATENATE(VLOOKUP($A62,VMware!$A$4:$H$41,5,FALSE)&amp;" x "&amp;VLOOKUP($A62,VMware!$A$4:$H$41,6,FALSE)&amp;" TB")),
IF($J62="OS",VLOOKUP($A62,'Open Systems'!$A$4:$K$41,9,FALSE),VLOOKUP($A62,'Open Systems'!$A$4:$K$41,11,FALSE))),""),"")</f>
        <v/>
      </c>
      <c r="L62" s="2"/>
      <c r="M62" s="2173" t="str">
        <f t="shared" si="31"/>
        <v/>
      </c>
      <c r="N62" s="817" t="str">
        <f t="shared" si="32"/>
        <v/>
      </c>
      <c r="O62" s="1090"/>
      <c r="P62" s="1019" t="str">
        <f t="shared" si="8"/>
        <v/>
      </c>
      <c r="Q62" s="1020"/>
      <c r="R62" s="1020"/>
      <c r="S62" s="1021" t="str">
        <f t="shared" si="22"/>
        <v/>
      </c>
      <c r="T62" s="1017"/>
      <c r="U62" s="1016"/>
      <c r="V62" s="3202" t="str">
        <f t="shared" si="33"/>
        <v/>
      </c>
      <c r="W62" s="1022" t="str">
        <f t="shared" si="23"/>
        <v/>
      </c>
      <c r="X62" s="1023" t="str">
        <f t="shared" si="24"/>
        <v/>
      </c>
      <c r="Y62" s="1017" t="str">
        <f t="shared" si="25"/>
        <v/>
      </c>
      <c r="Z62" s="1018" t="str">
        <f t="shared" si="13"/>
        <v/>
      </c>
      <c r="AA62" s="1022" t="str">
        <f t="shared" si="26"/>
        <v/>
      </c>
      <c r="AB62" s="1022" t="str">
        <f t="shared" si="27"/>
        <v/>
      </c>
      <c r="AC62" s="1022" t="str">
        <f t="shared" si="16"/>
        <v/>
      </c>
      <c r="AD62" s="1022" t="str">
        <f t="shared" si="17"/>
        <v/>
      </c>
      <c r="AE62" s="1022" t="str">
        <f t="shared" si="18"/>
        <v/>
      </c>
      <c r="AF62" s="3249" t="str">
        <f t="shared" si="19"/>
        <v/>
      </c>
      <c r="AG62" s="1104" t="str">
        <f>IF($A62&lt;&gt;"",IF(VLOOKUP($A62,'Distributed Assets'!$B$28:$AC$102,26,FALSE)="","N/A",VLOOKUP($A62,'Distributed Assets'!$B$28:$AC$102,26,FALSE)),"")</f>
        <v/>
      </c>
      <c r="AH62" s="2229" t="str">
        <f t="shared" si="20"/>
        <v/>
      </c>
    </row>
    <row r="63" spans="1:34" s="931" customFormat="1">
      <c r="A63" s="2224"/>
      <c r="B63" s="1782" t="str">
        <f t="shared" si="28"/>
        <v/>
      </c>
      <c r="C63" s="2728" t="str">
        <f t="shared" si="29"/>
        <v/>
      </c>
      <c r="D63" s="2226" t="str">
        <f t="shared" si="30"/>
        <v/>
      </c>
      <c r="E63" s="2909"/>
      <c r="F63" s="2906"/>
      <c r="G63" s="2225" t="str">
        <f t="shared" si="21"/>
        <v/>
      </c>
      <c r="H63" s="2227" t="str">
        <f>IF(A63&lt;&gt;"",VLOOKUP(VLOOKUP(A63,dist_assets,2,FALSE),'Distributed Assets'!$C$7:$F$22,4,FALSE),"")</f>
        <v/>
      </c>
      <c r="I63" s="279" t="str">
        <f>IF(A63&lt;&gt;"",VLOOKUP(A63,'Open Systems'!$A$4:$K$41,3,FALSE),"")</f>
        <v/>
      </c>
      <c r="J63" s="2228"/>
      <c r="K63" s="3163" t="str">
        <f>IFERROR(IF($A63&lt;&gt;"",
IF(MID($A63,10,2)="VM",(CONCATENATE(VLOOKUP($A63,VMware!$A$4:$H$41,5,FALSE)&amp;" x "&amp;VLOOKUP($A63,VMware!$A$4:$H$41,6,FALSE)&amp;" TB")),
IF($J63="OS",VLOOKUP($A63,'Open Systems'!$A$4:$K$41,9,FALSE),VLOOKUP($A63,'Open Systems'!$A$4:$K$41,11,FALSE))),""),"")</f>
        <v/>
      </c>
      <c r="L63" s="2"/>
      <c r="M63" s="2173" t="str">
        <f t="shared" si="31"/>
        <v/>
      </c>
      <c r="N63" s="817" t="str">
        <f t="shared" si="32"/>
        <v/>
      </c>
      <c r="O63" s="1090"/>
      <c r="P63" s="1019" t="str">
        <f t="shared" si="8"/>
        <v/>
      </c>
      <c r="Q63" s="1020"/>
      <c r="R63" s="1020"/>
      <c r="S63" s="1021" t="str">
        <f t="shared" si="22"/>
        <v/>
      </c>
      <c r="T63" s="1017"/>
      <c r="U63" s="1016"/>
      <c r="V63" s="3202" t="str">
        <f t="shared" si="33"/>
        <v/>
      </c>
      <c r="W63" s="1022" t="str">
        <f t="shared" si="23"/>
        <v/>
      </c>
      <c r="X63" s="1023" t="str">
        <f t="shared" si="24"/>
        <v/>
      </c>
      <c r="Y63" s="1017" t="str">
        <f t="shared" si="25"/>
        <v/>
      </c>
      <c r="Z63" s="1018" t="str">
        <f t="shared" si="13"/>
        <v/>
      </c>
      <c r="AA63" s="1022" t="str">
        <f t="shared" si="26"/>
        <v/>
      </c>
      <c r="AB63" s="1022" t="str">
        <f t="shared" si="27"/>
        <v/>
      </c>
      <c r="AC63" s="1022" t="str">
        <f t="shared" si="16"/>
        <v/>
      </c>
      <c r="AD63" s="1022" t="str">
        <f t="shared" si="17"/>
        <v/>
      </c>
      <c r="AE63" s="1022" t="str">
        <f t="shared" si="18"/>
        <v/>
      </c>
      <c r="AF63" s="3249" t="str">
        <f t="shared" si="19"/>
        <v/>
      </c>
      <c r="AG63" s="1104" t="str">
        <f>IF($A63&lt;&gt;"",IF(VLOOKUP($A63,'Distributed Assets'!$B$28:$AC$102,26,FALSE)="","N/A",VLOOKUP($A63,'Distributed Assets'!$B$28:$AC$102,26,FALSE)),"")</f>
        <v/>
      </c>
      <c r="AH63" s="2229" t="str">
        <f t="shared" si="20"/>
        <v/>
      </c>
    </row>
    <row r="64" spans="1:34" s="931" customFormat="1">
      <c r="A64" s="2224"/>
      <c r="B64" s="1782" t="str">
        <f t="shared" si="28"/>
        <v/>
      </c>
      <c r="C64" s="2728" t="str">
        <f t="shared" si="29"/>
        <v/>
      </c>
      <c r="D64" s="2226" t="str">
        <f t="shared" si="30"/>
        <v/>
      </c>
      <c r="E64" s="2909"/>
      <c r="F64" s="2906"/>
      <c r="G64" s="2225" t="str">
        <f t="shared" si="21"/>
        <v/>
      </c>
      <c r="H64" s="2227" t="str">
        <f>IF(A64&lt;&gt;"",VLOOKUP(VLOOKUP(A64,dist_assets,2,FALSE),'Distributed Assets'!$C$7:$F$22,4,FALSE),"")</f>
        <v/>
      </c>
      <c r="I64" s="279" t="str">
        <f>IF(A64&lt;&gt;"",VLOOKUP(A64,'Open Systems'!$A$4:$K$41,3,FALSE),"")</f>
        <v/>
      </c>
      <c r="J64" s="2228"/>
      <c r="K64" s="3163" t="str">
        <f>IFERROR(IF($A64&lt;&gt;"",
IF(MID($A64,10,2)="VM",(CONCATENATE(VLOOKUP($A64,VMware!$A$4:$H$41,5,FALSE)&amp;" x "&amp;VLOOKUP($A64,VMware!$A$4:$H$41,6,FALSE)&amp;" TB")),
IF($J64="OS",VLOOKUP($A64,'Open Systems'!$A$4:$K$41,9,FALSE),VLOOKUP($A64,'Open Systems'!$A$4:$K$41,11,FALSE))),""),"")</f>
        <v/>
      </c>
      <c r="L64" s="2"/>
      <c r="M64" s="2173" t="str">
        <f t="shared" si="31"/>
        <v/>
      </c>
      <c r="N64" s="817" t="str">
        <f t="shared" si="32"/>
        <v/>
      </c>
      <c r="O64" s="1090"/>
      <c r="P64" s="1019" t="str">
        <f t="shared" si="8"/>
        <v/>
      </c>
      <c r="Q64" s="1020"/>
      <c r="R64" s="1020"/>
      <c r="S64" s="1021" t="str">
        <f t="shared" si="22"/>
        <v/>
      </c>
      <c r="T64" s="1017"/>
      <c r="U64" s="1016"/>
      <c r="V64" s="3202" t="str">
        <f t="shared" si="33"/>
        <v/>
      </c>
      <c r="W64" s="1022" t="str">
        <f t="shared" si="23"/>
        <v/>
      </c>
      <c r="X64" s="1023" t="str">
        <f t="shared" si="24"/>
        <v/>
      </c>
      <c r="Y64" s="1017" t="str">
        <f t="shared" si="25"/>
        <v/>
      </c>
      <c r="Z64" s="1018" t="str">
        <f t="shared" si="13"/>
        <v/>
      </c>
      <c r="AA64" s="1022" t="str">
        <f t="shared" si="26"/>
        <v/>
      </c>
      <c r="AB64" s="1022" t="str">
        <f t="shared" si="27"/>
        <v/>
      </c>
      <c r="AC64" s="1022" t="str">
        <f t="shared" si="16"/>
        <v/>
      </c>
      <c r="AD64" s="1022" t="str">
        <f t="shared" si="17"/>
        <v/>
      </c>
      <c r="AE64" s="1022" t="str">
        <f t="shared" si="18"/>
        <v/>
      </c>
      <c r="AF64" s="3249" t="str">
        <f t="shared" si="19"/>
        <v/>
      </c>
      <c r="AG64" s="1104" t="str">
        <f>IF($A64&lt;&gt;"",IF(VLOOKUP($A64,'Distributed Assets'!$B$28:$AC$102,26,FALSE)="","N/A",VLOOKUP($A64,'Distributed Assets'!$B$28:$AC$102,26,FALSE)),"")</f>
        <v/>
      </c>
      <c r="AH64" s="2229" t="str">
        <f t="shared" si="20"/>
        <v/>
      </c>
    </row>
    <row r="65" spans="1:34" s="931" customFormat="1">
      <c r="A65" s="2224"/>
      <c r="B65" s="1782" t="str">
        <f t="shared" si="28"/>
        <v/>
      </c>
      <c r="C65" s="2728" t="str">
        <f t="shared" si="29"/>
        <v/>
      </c>
      <c r="D65" s="2226" t="str">
        <f t="shared" si="30"/>
        <v/>
      </c>
      <c r="E65" s="2909"/>
      <c r="F65" s="2906"/>
      <c r="G65" s="2225" t="str">
        <f t="shared" si="21"/>
        <v/>
      </c>
      <c r="H65" s="2227" t="str">
        <f>IF(A65&lt;&gt;"",VLOOKUP(VLOOKUP(A65,dist_assets,2,FALSE),'Distributed Assets'!$C$7:$F$22,4,FALSE),"")</f>
        <v/>
      </c>
      <c r="I65" s="279" t="str">
        <f>IF(A65&lt;&gt;"",VLOOKUP(A65,'Open Systems'!$A$4:$K$41,3,FALSE),"")</f>
        <v/>
      </c>
      <c r="J65" s="2228"/>
      <c r="K65" s="3163" t="str">
        <f>IFERROR(IF($A65&lt;&gt;"",
IF(MID($A65,10,2)="VM",(CONCATENATE(VLOOKUP($A65,VMware!$A$4:$H$41,5,FALSE)&amp;" x "&amp;VLOOKUP($A65,VMware!$A$4:$H$41,6,FALSE)&amp;" TB")),
IF($J65="OS",VLOOKUP($A65,'Open Systems'!$A$4:$K$41,9,FALSE),VLOOKUP($A65,'Open Systems'!$A$4:$K$41,11,FALSE))),""),"")</f>
        <v/>
      </c>
      <c r="L65" s="2"/>
      <c r="M65" s="2173" t="str">
        <f t="shared" si="31"/>
        <v/>
      </c>
      <c r="N65" s="817" t="str">
        <f t="shared" si="32"/>
        <v/>
      </c>
      <c r="O65" s="1090"/>
      <c r="P65" s="1019" t="str">
        <f t="shared" si="8"/>
        <v/>
      </c>
      <c r="Q65" s="1020"/>
      <c r="R65" s="1020"/>
      <c r="S65" s="1021" t="str">
        <f t="shared" si="22"/>
        <v/>
      </c>
      <c r="T65" s="1017"/>
      <c r="U65" s="1016"/>
      <c r="V65" s="3202" t="str">
        <f t="shared" si="33"/>
        <v/>
      </c>
      <c r="W65" s="1022" t="str">
        <f t="shared" si="23"/>
        <v/>
      </c>
      <c r="X65" s="1023" t="str">
        <f t="shared" si="24"/>
        <v/>
      </c>
      <c r="Y65" s="1017" t="str">
        <f t="shared" si="25"/>
        <v/>
      </c>
      <c r="Z65" s="1018" t="str">
        <f t="shared" si="13"/>
        <v/>
      </c>
      <c r="AA65" s="1022" t="str">
        <f t="shared" si="26"/>
        <v/>
      </c>
      <c r="AB65" s="1022" t="str">
        <f t="shared" si="27"/>
        <v/>
      </c>
      <c r="AC65" s="1022" t="str">
        <f t="shared" si="16"/>
        <v/>
      </c>
      <c r="AD65" s="1022" t="str">
        <f t="shared" si="17"/>
        <v/>
      </c>
      <c r="AE65" s="1022" t="str">
        <f t="shared" si="18"/>
        <v/>
      </c>
      <c r="AF65" s="3249" t="str">
        <f t="shared" si="19"/>
        <v/>
      </c>
      <c r="AG65" s="1104" t="str">
        <f>IF($A65&lt;&gt;"",IF(VLOOKUP($A65,'Distributed Assets'!$B$28:$AC$102,26,FALSE)="","N/A",VLOOKUP($A65,'Distributed Assets'!$B$28:$AC$102,26,FALSE)),"")</f>
        <v/>
      </c>
      <c r="AH65" s="2229" t="str">
        <f t="shared" si="20"/>
        <v/>
      </c>
    </row>
    <row r="66" spans="1:34" s="931" customFormat="1">
      <c r="A66" s="2224"/>
      <c r="B66" s="1782" t="str">
        <f t="shared" si="28"/>
        <v/>
      </c>
      <c r="C66" s="2728" t="str">
        <f t="shared" si="29"/>
        <v/>
      </c>
      <c r="D66" s="2226" t="str">
        <f t="shared" si="30"/>
        <v/>
      </c>
      <c r="E66" s="2909"/>
      <c r="F66" s="2906"/>
      <c r="G66" s="2225" t="str">
        <f t="shared" si="21"/>
        <v/>
      </c>
      <c r="H66" s="2227" t="str">
        <f>IF(A66&lt;&gt;"",VLOOKUP(VLOOKUP(A66,dist_assets,2,FALSE),'Distributed Assets'!$C$7:$F$22,4,FALSE),"")</f>
        <v/>
      </c>
      <c r="I66" s="279" t="str">
        <f>IF(A66&lt;&gt;"",VLOOKUP(A66,'Open Systems'!$A$4:$K$41,3,FALSE),"")</f>
        <v/>
      </c>
      <c r="J66" s="2228"/>
      <c r="K66" s="3163" t="str">
        <f>IFERROR(IF($A66&lt;&gt;"",
IF(MID($A66,10,2)="VM",(CONCATENATE(VLOOKUP($A66,VMware!$A$4:$H$41,5,FALSE)&amp;" x "&amp;VLOOKUP($A66,VMware!$A$4:$H$41,6,FALSE)&amp;" TB")),
IF($J66="OS",VLOOKUP($A66,'Open Systems'!$A$4:$K$41,9,FALSE),VLOOKUP($A66,'Open Systems'!$A$4:$K$41,11,FALSE))),""),"")</f>
        <v/>
      </c>
      <c r="L66" s="2"/>
      <c r="M66" s="2173" t="str">
        <f t="shared" si="31"/>
        <v/>
      </c>
      <c r="N66" s="817" t="str">
        <f t="shared" si="32"/>
        <v/>
      </c>
      <c r="O66" s="1090"/>
      <c r="P66" s="1019" t="str">
        <f t="shared" si="8"/>
        <v/>
      </c>
      <c r="Q66" s="1020"/>
      <c r="R66" s="1020"/>
      <c r="S66" s="1021" t="str">
        <f t="shared" si="22"/>
        <v/>
      </c>
      <c r="T66" s="1017"/>
      <c r="U66" s="1016"/>
      <c r="V66" s="3202" t="str">
        <f t="shared" si="33"/>
        <v/>
      </c>
      <c r="W66" s="1022" t="str">
        <f t="shared" si="23"/>
        <v/>
      </c>
      <c r="X66" s="1023" t="str">
        <f t="shared" si="24"/>
        <v/>
      </c>
      <c r="Y66" s="1017" t="str">
        <f t="shared" si="25"/>
        <v/>
      </c>
      <c r="Z66" s="1018" t="str">
        <f t="shared" si="13"/>
        <v/>
      </c>
      <c r="AA66" s="1022" t="str">
        <f t="shared" si="26"/>
        <v/>
      </c>
      <c r="AB66" s="1022" t="str">
        <f t="shared" si="27"/>
        <v/>
      </c>
      <c r="AC66" s="1022" t="str">
        <f t="shared" si="16"/>
        <v/>
      </c>
      <c r="AD66" s="1022" t="str">
        <f t="shared" si="17"/>
        <v/>
      </c>
      <c r="AE66" s="1022" t="str">
        <f t="shared" si="18"/>
        <v/>
      </c>
      <c r="AF66" s="3249" t="str">
        <f t="shared" si="19"/>
        <v/>
      </c>
      <c r="AG66" s="1104" t="str">
        <f>IF($A66&lt;&gt;"",IF(VLOOKUP($A66,'Distributed Assets'!$B$28:$AC$102,26,FALSE)="","N/A",VLOOKUP($A66,'Distributed Assets'!$B$28:$AC$102,26,FALSE)),"")</f>
        <v/>
      </c>
      <c r="AH66" s="2229" t="str">
        <f t="shared" si="20"/>
        <v/>
      </c>
    </row>
    <row r="67" spans="1:34" s="931" customFormat="1">
      <c r="A67" s="2224"/>
      <c r="B67" s="1782" t="str">
        <f t="shared" si="28"/>
        <v/>
      </c>
      <c r="C67" s="2728" t="str">
        <f t="shared" si="29"/>
        <v/>
      </c>
      <c r="D67" s="2226" t="str">
        <f t="shared" si="30"/>
        <v/>
      </c>
      <c r="E67" s="2909"/>
      <c r="F67" s="2906"/>
      <c r="G67" s="2225" t="str">
        <f t="shared" si="21"/>
        <v/>
      </c>
      <c r="H67" s="2227" t="str">
        <f>IF(A67&lt;&gt;"",VLOOKUP(VLOOKUP(A67,dist_assets,2,FALSE),'Distributed Assets'!$C$7:$F$22,4,FALSE),"")</f>
        <v/>
      </c>
      <c r="I67" s="279" t="str">
        <f>IF(A67&lt;&gt;"",VLOOKUP(A67,'Open Systems'!$A$4:$K$41,3,FALSE),"")</f>
        <v/>
      </c>
      <c r="J67" s="2228"/>
      <c r="K67" s="3163" t="str">
        <f>IFERROR(IF($A67&lt;&gt;"",
IF(MID($A67,10,2)="VM",(CONCATENATE(VLOOKUP($A67,VMware!$A$4:$H$41,5,FALSE)&amp;" x "&amp;VLOOKUP($A67,VMware!$A$4:$H$41,6,FALSE)&amp;" TB")),
IF($J67="OS",VLOOKUP($A67,'Open Systems'!$A$4:$K$41,9,FALSE),VLOOKUP($A67,'Open Systems'!$A$4:$K$41,11,FALSE))),""),"")</f>
        <v/>
      </c>
      <c r="L67" s="2"/>
      <c r="M67" s="2173" t="str">
        <f t="shared" si="31"/>
        <v/>
      </c>
      <c r="N67" s="817" t="str">
        <f t="shared" si="32"/>
        <v/>
      </c>
      <c r="O67" s="1090"/>
      <c r="P67" s="1019" t="str">
        <f t="shared" si="8"/>
        <v/>
      </c>
      <c r="Q67" s="1020"/>
      <c r="R67" s="1020"/>
      <c r="S67" s="1021" t="str">
        <f t="shared" si="22"/>
        <v/>
      </c>
      <c r="T67" s="1017"/>
      <c r="U67" s="1016"/>
      <c r="V67" s="3202" t="str">
        <f t="shared" si="33"/>
        <v/>
      </c>
      <c r="W67" s="1022" t="str">
        <f t="shared" si="23"/>
        <v/>
      </c>
      <c r="X67" s="1023" t="str">
        <f t="shared" si="24"/>
        <v/>
      </c>
      <c r="Y67" s="1017" t="str">
        <f t="shared" si="25"/>
        <v/>
      </c>
      <c r="Z67" s="1018" t="str">
        <f t="shared" si="13"/>
        <v/>
      </c>
      <c r="AA67" s="1022" t="str">
        <f t="shared" si="26"/>
        <v/>
      </c>
      <c r="AB67" s="1022" t="str">
        <f t="shared" si="27"/>
        <v/>
      </c>
      <c r="AC67" s="1022" t="str">
        <f t="shared" si="16"/>
        <v/>
      </c>
      <c r="AD67" s="1022" t="str">
        <f t="shared" si="17"/>
        <v/>
      </c>
      <c r="AE67" s="1022" t="str">
        <f t="shared" si="18"/>
        <v/>
      </c>
      <c r="AF67" s="3249" t="str">
        <f t="shared" si="19"/>
        <v/>
      </c>
      <c r="AG67" s="1104" t="str">
        <f>IF($A67&lt;&gt;"",IF(VLOOKUP($A67,'Distributed Assets'!$B$28:$AC$102,26,FALSE)="","N/A",VLOOKUP($A67,'Distributed Assets'!$B$28:$AC$102,26,FALSE)),"")</f>
        <v/>
      </c>
      <c r="AH67" s="2229" t="str">
        <f t="shared" si="20"/>
        <v/>
      </c>
    </row>
    <row r="68" spans="1:34" s="931" customFormat="1">
      <c r="A68" s="2224"/>
      <c r="B68" s="1782" t="str">
        <f t="shared" ref="B68:B99" si="34">IF($A68&lt;&gt;"",
      IF(MID($A68,10,2)="VM", VLOOKUP($A68,VMTab,4,FALSE), VLOOKUP($A68,dist_assets,21,FALSE)), "")</f>
        <v/>
      </c>
      <c r="C68" s="2728" t="str">
        <f t="shared" ref="C68:C99" si="35">IF($A68&lt;&gt;"",VLOOKUP($A68,dist_assets,10,FALSE),"")</f>
        <v/>
      </c>
      <c r="D68" s="2226" t="str">
        <f t="shared" ref="D68:D99" si="36">IF($A68&lt;&gt;"",
      IF(MID($A68,10,2)="VM","Existing", VLOOKUP($A68,dist_assets,3,FALSE)),"")</f>
        <v/>
      </c>
      <c r="E68" s="2909"/>
      <c r="F68" s="2906"/>
      <c r="G68" s="2225" t="str">
        <f t="shared" si="21"/>
        <v/>
      </c>
      <c r="H68" s="2227" t="str">
        <f>IF(A68&lt;&gt;"",VLOOKUP(VLOOKUP(A68,dist_assets,2,FALSE),'Distributed Assets'!$C$7:$F$22,4,FALSE),"")</f>
        <v/>
      </c>
      <c r="I68" s="279" t="str">
        <f>IF(A68&lt;&gt;"",VLOOKUP(A68,'Open Systems'!$A$4:$K$41,3,FALSE),"")</f>
        <v/>
      </c>
      <c r="J68" s="2228"/>
      <c r="K68" s="3163" t="str">
        <f>IFERROR(IF($A68&lt;&gt;"",
IF(MID($A68,10,2)="VM",(CONCATENATE(VLOOKUP($A68,VMware!$A$4:$H$41,5,FALSE)&amp;" x "&amp;VLOOKUP($A68,VMware!$A$4:$H$41,6,FALSE)&amp;" TB")),
IF($J68="OS",VLOOKUP($A68,'Open Systems'!$A$4:$K$41,9,FALSE),VLOOKUP($A68,'Open Systems'!$A$4:$K$41,11,FALSE))),""),"")</f>
        <v/>
      </c>
      <c r="L68" s="2"/>
      <c r="M68" s="2173" t="str">
        <f t="shared" ref="M68:M99" si="37">IFERROR(IF($A68&lt;&gt;"",IF(MID($A68,10,2)="VM",CONCATENATE("Shared with Servers:"&amp; CHAR(10) &amp;VLOOKUP($A68,VMTab,4,FALSE)),VLOOKUP(VLOOKUP($A68,dist_assets,17,FALSE),dist_assets,21,FALSE)),""),"")</f>
        <v/>
      </c>
      <c r="N68" s="817" t="str">
        <f t="shared" ref="N68:N99" si="38">IF($A68&lt;&gt;"",VLOOKUP($A68,dist_assets,16,FALSE),"")</f>
        <v/>
      </c>
      <c r="O68" s="1090"/>
      <c r="P68" s="1019" t="str">
        <f t="shared" si="8"/>
        <v/>
      </c>
      <c r="Q68" s="1020"/>
      <c r="R68" s="1020"/>
      <c r="S68" s="1021" t="str">
        <f t="shared" si="22"/>
        <v/>
      </c>
      <c r="T68" s="1017"/>
      <c r="U68" s="1016"/>
      <c r="V68" s="3202" t="str">
        <f t="shared" ref="V68:V99" si="39">IFERROR(IF($A68&lt;&gt;"",
      IF(AND(MID($A68,10,2)="VM", VLOOKUP($A68,VMTab,7,FALSE)="Yes"), $K68,
            IF($H68="Prod 2.0", $K68,"")),""),"")</f>
        <v/>
      </c>
      <c r="W68" s="1022" t="str">
        <f t="shared" si="23"/>
        <v/>
      </c>
      <c r="X68" s="1023" t="str">
        <f t="shared" si="24"/>
        <v/>
      </c>
      <c r="Y68" s="1017" t="str">
        <f t="shared" si="25"/>
        <v/>
      </c>
      <c r="Z68" s="1018" t="str">
        <f t="shared" si="13"/>
        <v/>
      </c>
      <c r="AA68" s="1022" t="str">
        <f t="shared" si="26"/>
        <v/>
      </c>
      <c r="AB68" s="1022" t="str">
        <f t="shared" si="27"/>
        <v/>
      </c>
      <c r="AC68" s="1022" t="str">
        <f t="shared" si="16"/>
        <v/>
      </c>
      <c r="AD68" s="1022" t="str">
        <f t="shared" si="17"/>
        <v/>
      </c>
      <c r="AE68" s="1022" t="str">
        <f t="shared" si="18"/>
        <v/>
      </c>
      <c r="AF68" s="3249" t="str">
        <f t="shared" si="19"/>
        <v/>
      </c>
      <c r="AG68" s="1104" t="str">
        <f>IF($A68&lt;&gt;"",IF(VLOOKUP($A68,'Distributed Assets'!$B$28:$AC$102,26,FALSE)="","N/A",VLOOKUP($A68,'Distributed Assets'!$B$28:$AC$102,26,FALSE)),"")</f>
        <v/>
      </c>
      <c r="AH68" s="2229" t="str">
        <f t="shared" si="20"/>
        <v/>
      </c>
    </row>
    <row r="69" spans="1:34" s="931" customFormat="1">
      <c r="A69" s="2224"/>
      <c r="B69" s="1782" t="str">
        <f t="shared" si="34"/>
        <v/>
      </c>
      <c r="C69" s="2728" t="str">
        <f t="shared" si="35"/>
        <v/>
      </c>
      <c r="D69" s="2226" t="str">
        <f t="shared" si="36"/>
        <v/>
      </c>
      <c r="E69" s="2909"/>
      <c r="F69" s="2906"/>
      <c r="G69" s="2225" t="str">
        <f t="shared" si="21"/>
        <v/>
      </c>
      <c r="H69" s="2227" t="str">
        <f>IF(A69&lt;&gt;"",VLOOKUP(VLOOKUP(A69,dist_assets,2,FALSE),'Distributed Assets'!$C$7:$F$22,4,FALSE),"")</f>
        <v/>
      </c>
      <c r="I69" s="279" t="str">
        <f>IF(A69&lt;&gt;"",VLOOKUP(A69,'Open Systems'!$A$4:$K$41,3,FALSE),"")</f>
        <v/>
      </c>
      <c r="J69" s="2228"/>
      <c r="K69" s="3163" t="str">
        <f>IFERROR(IF($A69&lt;&gt;"",
IF(MID($A69,10,2)="VM",(CONCATENATE(VLOOKUP($A69,VMware!$A$4:$H$41,5,FALSE)&amp;" x "&amp;VLOOKUP($A69,VMware!$A$4:$H$41,6,FALSE)&amp;" TB")),
IF($J69="OS",VLOOKUP($A69,'Open Systems'!$A$4:$K$41,9,FALSE),VLOOKUP($A69,'Open Systems'!$A$4:$K$41,11,FALSE))),""),"")</f>
        <v/>
      </c>
      <c r="L69" s="2"/>
      <c r="M69" s="2173" t="str">
        <f t="shared" si="37"/>
        <v/>
      </c>
      <c r="N69" s="817" t="str">
        <f t="shared" si="38"/>
        <v/>
      </c>
      <c r="O69" s="1090"/>
      <c r="P69" s="1019" t="str">
        <f t="shared" ref="P69:P132" si="40">IF(AND($A69&lt;&gt;"",$G69&lt;&gt;"ESX",$H69="Prod 2.0"),
IF(AND($C69&lt;&gt;"Virtual",$G69="Windows"),REPLACE($B69,1,4,"rftw"),""),"")</f>
        <v/>
      </c>
      <c r="Q69" s="1020"/>
      <c r="R69" s="1020"/>
      <c r="S69" s="1021" t="str">
        <f t="shared" si="22"/>
        <v/>
      </c>
      <c r="T69" s="1017"/>
      <c r="U69" s="1016"/>
      <c r="V69" s="3202" t="str">
        <f t="shared" si="39"/>
        <v/>
      </c>
      <c r="W69" s="1022" t="str">
        <f t="shared" si="23"/>
        <v/>
      </c>
      <c r="X69" s="1023" t="str">
        <f t="shared" si="24"/>
        <v/>
      </c>
      <c r="Y69" s="1017" t="str">
        <f t="shared" si="25"/>
        <v/>
      </c>
      <c r="Z69" s="1018" t="str">
        <f t="shared" ref="Z69:Z132" si="41">IF($U69&lt;&gt;"",$U69,"")</f>
        <v/>
      </c>
      <c r="AA69" s="1022" t="str">
        <f t="shared" si="26"/>
        <v/>
      </c>
      <c r="AB69" s="1022" t="str">
        <f t="shared" si="27"/>
        <v/>
      </c>
      <c r="AC69" s="1022" t="str">
        <f t="shared" ref="AC69:AC132" si="42">IF(AND($A69&lt;&gt;"",$H69="Prod 2.0",$G69&lt;&gt;"ESX",$R69&lt;&gt;""),
        IF($N69="Active / Passive",CONCATENATE($B69, "_", RIGHT($M69,5), "-fc"),
              IF($N69="Active / Active",$B69 &amp; "-fc")),"")</f>
        <v/>
      </c>
      <c r="AD69" s="1022" t="str">
        <f t="shared" ref="AD69:AD132" si="43">IF($AC69&lt;&gt;"",SUBSTITUTE($AC69,"-fc","-gm",1),"")</f>
        <v/>
      </c>
      <c r="AE69" s="1022" t="str">
        <f t="shared" ref="AE69:AE132" si="44">IF($AC$4&lt;&gt;"",SUBSTITUTE($AC69,"-fc","-sefc",1),"")</f>
        <v/>
      </c>
      <c r="AF69" s="3249" t="str">
        <f t="shared" ref="AF69:AF132" si="45">IF($A69&lt;&gt;"",
  IF(AND(MID($A69,10,2)="VM", (LEFT($B69,1)="p"), ($V69&lt;&gt;"")),"Add vdisks to the shared servers with a unique SCSI ID across all of the servers. Please add to Global Mirror Solution",
  IF(MID($A69,10,2)="VM","Add vdisks to the shared servers with a unique SCSI ID across all of the servers.","")), "")</f>
        <v/>
      </c>
      <c r="AG69" s="1104" t="str">
        <f>IF($A69&lt;&gt;"",IF(VLOOKUP($A69,'Distributed Assets'!$B$28:$AC$102,26,FALSE)="","N/A",VLOOKUP($A69,'Distributed Assets'!$B$28:$AC$102,26,FALSE)),"")</f>
        <v/>
      </c>
      <c r="AH69" s="2229" t="str">
        <f t="shared" ref="AH69:AH132" si="46">IF(AND($D69="Existing",$K69 &lt;&gt;""),"Yes","")</f>
        <v/>
      </c>
    </row>
    <row r="70" spans="1:34" s="931" customFormat="1">
      <c r="A70" s="2224"/>
      <c r="B70" s="1782" t="str">
        <f t="shared" si="34"/>
        <v/>
      </c>
      <c r="C70" s="2728" t="str">
        <f t="shared" si="35"/>
        <v/>
      </c>
      <c r="D70" s="2226" t="str">
        <f t="shared" si="36"/>
        <v/>
      </c>
      <c r="E70" s="2909"/>
      <c r="F70" s="2906"/>
      <c r="G70" s="2225" t="str">
        <f t="shared" ref="G70:G133" si="47">IF(A70&lt;&gt;"",VLOOKUP(A70,dist_assets,9,FALSE),"")</f>
        <v/>
      </c>
      <c r="H70" s="2227" t="str">
        <f>IF(A70&lt;&gt;"",VLOOKUP(VLOOKUP(A70,dist_assets,2,FALSE),'Distributed Assets'!$C$7:$F$22,4,FALSE),"")</f>
        <v/>
      </c>
      <c r="I70" s="279" t="str">
        <f>IF(A70&lt;&gt;"",VLOOKUP(A70,'Open Systems'!$A$4:$K$41,3,FALSE),"")</f>
        <v/>
      </c>
      <c r="J70" s="2228"/>
      <c r="K70" s="3163" t="str">
        <f>IFERROR(IF($A70&lt;&gt;"",
IF(MID($A70,10,2)="VM",(CONCATENATE(VLOOKUP($A70,VMware!$A$4:$H$41,5,FALSE)&amp;" x "&amp;VLOOKUP($A70,VMware!$A$4:$H$41,6,FALSE)&amp;" TB")),
IF($J70="OS",VLOOKUP($A70,'Open Systems'!$A$4:$K$41,9,FALSE),VLOOKUP($A70,'Open Systems'!$A$4:$K$41,11,FALSE))),""),"")</f>
        <v/>
      </c>
      <c r="L70" s="2"/>
      <c r="M70" s="2173" t="str">
        <f t="shared" si="37"/>
        <v/>
      </c>
      <c r="N70" s="817" t="str">
        <f t="shared" si="38"/>
        <v/>
      </c>
      <c r="O70" s="1090"/>
      <c r="P70" s="1019" t="str">
        <f t="shared" si="40"/>
        <v/>
      </c>
      <c r="Q70" s="1020"/>
      <c r="R70" s="1020"/>
      <c r="S70" s="1021" t="str">
        <f t="shared" ref="S70:S133" si="48">IF(AND($A70&lt;&gt;"",$R70&lt;&gt;"",$H70="Prod 2.0"),R70&amp;"c","")</f>
        <v/>
      </c>
      <c r="T70" s="1017"/>
      <c r="U70" s="1016"/>
      <c r="V70" s="3202" t="str">
        <f t="shared" si="39"/>
        <v/>
      </c>
      <c r="W70" s="1022" t="str">
        <f t="shared" ref="W70:W133" si="49">IF(AND($A70&lt;&gt;"",$H70="Prod 2.0",$V70&lt;&gt;""),SUBSTITUTE(R70,"-v","-g",1),"")</f>
        <v/>
      </c>
      <c r="X70" s="1023" t="str">
        <f t="shared" ref="X70:X133" si="50">IF(AND($A70&lt;&gt;"",$W70&lt;&gt;"",$H70="Prod 2.0"),W70&amp;"c","")</f>
        <v/>
      </c>
      <c r="Y70" s="1017" t="str">
        <f t="shared" ref="Y70:Y133" si="51">IF(AND($A70&lt;&gt;"",$H70="Prod 2.0",$R70&lt;&gt;""),SUBSTITUTE(T70,"pwau","rftw",1),"")</f>
        <v/>
      </c>
      <c r="Z70" s="1018" t="str">
        <f t="shared" si="41"/>
        <v/>
      </c>
      <c r="AA70" s="1022" t="str">
        <f t="shared" ref="AA70:AA133" si="52">IF(AND($A70&lt;&gt;"",$H70="Prod 2.0",$G70&lt;&gt;"ESX",$R70&lt;&gt;""),SUBSTITUTE(W70,"-g","-f",1),"")</f>
        <v/>
      </c>
      <c r="AB70" s="1022" t="str">
        <f t="shared" ref="AB70:AB133" si="53">IF(AND($A70&lt;&gt;"",$H70="Prod 2.0",$G70&lt;&gt;"ESX",$R70&lt;&gt;""),SUBSTITUTE(AA70,"-f","-s",1),"")</f>
        <v/>
      </c>
      <c r="AC70" s="1022" t="str">
        <f t="shared" si="42"/>
        <v/>
      </c>
      <c r="AD70" s="1022" t="str">
        <f t="shared" si="43"/>
        <v/>
      </c>
      <c r="AE70" s="1022" t="str">
        <f t="shared" si="44"/>
        <v/>
      </c>
      <c r="AF70" s="3249" t="str">
        <f t="shared" si="45"/>
        <v/>
      </c>
      <c r="AG70" s="1104" t="str">
        <f>IF($A70&lt;&gt;"",IF(VLOOKUP($A70,'Distributed Assets'!$B$28:$AC$102,26,FALSE)="","N/A",VLOOKUP($A70,'Distributed Assets'!$B$28:$AC$102,26,FALSE)),"")</f>
        <v/>
      </c>
      <c r="AH70" s="2229" t="str">
        <f t="shared" si="46"/>
        <v/>
      </c>
    </row>
    <row r="71" spans="1:34" s="931" customFormat="1">
      <c r="A71" s="2224"/>
      <c r="B71" s="1782" t="str">
        <f t="shared" si="34"/>
        <v/>
      </c>
      <c r="C71" s="2728" t="str">
        <f t="shared" si="35"/>
        <v/>
      </c>
      <c r="D71" s="2226" t="str">
        <f t="shared" si="36"/>
        <v/>
      </c>
      <c r="E71" s="2909"/>
      <c r="F71" s="2906"/>
      <c r="G71" s="2225" t="str">
        <f t="shared" si="47"/>
        <v/>
      </c>
      <c r="H71" s="2227" t="str">
        <f>IF(A71&lt;&gt;"",VLOOKUP(VLOOKUP(A71,dist_assets,2,FALSE),'Distributed Assets'!$C$7:$F$22,4,FALSE),"")</f>
        <v/>
      </c>
      <c r="I71" s="279" t="str">
        <f>IF(A71&lt;&gt;"",VLOOKUP(A71,'Open Systems'!$A$4:$K$41,3,FALSE),"")</f>
        <v/>
      </c>
      <c r="J71" s="2228"/>
      <c r="K71" s="3163" t="str">
        <f>IFERROR(IF($A71&lt;&gt;"",
IF(MID($A71,10,2)="VM",(CONCATENATE(VLOOKUP($A71,VMware!$A$4:$H$41,5,FALSE)&amp;" x "&amp;VLOOKUP($A71,VMware!$A$4:$H$41,6,FALSE)&amp;" TB")),
IF($J71="OS",VLOOKUP($A71,'Open Systems'!$A$4:$K$41,9,FALSE),VLOOKUP($A71,'Open Systems'!$A$4:$K$41,11,FALSE))),""),"")</f>
        <v/>
      </c>
      <c r="L71" s="2"/>
      <c r="M71" s="2173" t="str">
        <f t="shared" si="37"/>
        <v/>
      </c>
      <c r="N71" s="817" t="str">
        <f t="shared" si="38"/>
        <v/>
      </c>
      <c r="O71" s="1090"/>
      <c r="P71" s="1019" t="str">
        <f t="shared" si="40"/>
        <v/>
      </c>
      <c r="Q71" s="1020"/>
      <c r="R71" s="1020"/>
      <c r="S71" s="1021" t="str">
        <f t="shared" si="48"/>
        <v/>
      </c>
      <c r="T71" s="1017"/>
      <c r="U71" s="1016"/>
      <c r="V71" s="3202" t="str">
        <f t="shared" si="39"/>
        <v/>
      </c>
      <c r="W71" s="1022" t="str">
        <f t="shared" si="49"/>
        <v/>
      </c>
      <c r="X71" s="1023" t="str">
        <f t="shared" si="50"/>
        <v/>
      </c>
      <c r="Y71" s="1017" t="str">
        <f t="shared" si="51"/>
        <v/>
      </c>
      <c r="Z71" s="1018" t="str">
        <f t="shared" si="41"/>
        <v/>
      </c>
      <c r="AA71" s="1022" t="str">
        <f t="shared" si="52"/>
        <v/>
      </c>
      <c r="AB71" s="1022" t="str">
        <f t="shared" si="53"/>
        <v/>
      </c>
      <c r="AC71" s="1022" t="str">
        <f t="shared" si="42"/>
        <v/>
      </c>
      <c r="AD71" s="1022" t="str">
        <f t="shared" si="43"/>
        <v/>
      </c>
      <c r="AE71" s="1022" t="str">
        <f t="shared" si="44"/>
        <v/>
      </c>
      <c r="AF71" s="3249" t="str">
        <f t="shared" si="45"/>
        <v/>
      </c>
      <c r="AG71" s="1104" t="str">
        <f>IF($A71&lt;&gt;"",IF(VLOOKUP($A71,'Distributed Assets'!$B$28:$AC$102,26,FALSE)="","N/A",VLOOKUP($A71,'Distributed Assets'!$B$28:$AC$102,26,FALSE)),"")</f>
        <v/>
      </c>
      <c r="AH71" s="2229" t="str">
        <f t="shared" si="46"/>
        <v/>
      </c>
    </row>
    <row r="72" spans="1:34" s="931" customFormat="1">
      <c r="A72" s="2224"/>
      <c r="B72" s="1782" t="str">
        <f t="shared" si="34"/>
        <v/>
      </c>
      <c r="C72" s="2728" t="str">
        <f t="shared" si="35"/>
        <v/>
      </c>
      <c r="D72" s="2226" t="str">
        <f t="shared" si="36"/>
        <v/>
      </c>
      <c r="E72" s="2909"/>
      <c r="F72" s="2906"/>
      <c r="G72" s="2225" t="str">
        <f t="shared" si="47"/>
        <v/>
      </c>
      <c r="H72" s="2227" t="str">
        <f>IF(A72&lt;&gt;"",VLOOKUP(VLOOKUP(A72,dist_assets,2,FALSE),'Distributed Assets'!$C$7:$F$22,4,FALSE),"")</f>
        <v/>
      </c>
      <c r="I72" s="279" t="str">
        <f>IF(A72&lt;&gt;"",VLOOKUP(A72,'Open Systems'!$A$4:$K$41,3,FALSE),"")</f>
        <v/>
      </c>
      <c r="J72" s="2228"/>
      <c r="K72" s="3163" t="str">
        <f>IFERROR(IF($A72&lt;&gt;"",
IF(MID($A72,10,2)="VM",(CONCATENATE(VLOOKUP($A72,VMware!$A$4:$H$41,5,FALSE)&amp;" x "&amp;VLOOKUP($A72,VMware!$A$4:$H$41,6,FALSE)&amp;" TB")),
IF($J72="OS",VLOOKUP($A72,'Open Systems'!$A$4:$K$41,9,FALSE),VLOOKUP($A72,'Open Systems'!$A$4:$K$41,11,FALSE))),""),"")</f>
        <v/>
      </c>
      <c r="L72" s="2"/>
      <c r="M72" s="2173" t="str">
        <f t="shared" si="37"/>
        <v/>
      </c>
      <c r="N72" s="817" t="str">
        <f t="shared" si="38"/>
        <v/>
      </c>
      <c r="O72" s="1090"/>
      <c r="P72" s="1019" t="str">
        <f t="shared" si="40"/>
        <v/>
      </c>
      <c r="Q72" s="1020"/>
      <c r="R72" s="1020"/>
      <c r="S72" s="1021" t="str">
        <f t="shared" si="48"/>
        <v/>
      </c>
      <c r="T72" s="1017"/>
      <c r="U72" s="1016"/>
      <c r="V72" s="3202" t="str">
        <f t="shared" si="39"/>
        <v/>
      </c>
      <c r="W72" s="1022" t="str">
        <f t="shared" si="49"/>
        <v/>
      </c>
      <c r="X72" s="1023" t="str">
        <f t="shared" si="50"/>
        <v/>
      </c>
      <c r="Y72" s="1017" t="str">
        <f t="shared" si="51"/>
        <v/>
      </c>
      <c r="Z72" s="1018" t="str">
        <f t="shared" si="41"/>
        <v/>
      </c>
      <c r="AA72" s="1022" t="str">
        <f t="shared" si="52"/>
        <v/>
      </c>
      <c r="AB72" s="1022" t="str">
        <f t="shared" si="53"/>
        <v/>
      </c>
      <c r="AC72" s="1022" t="str">
        <f t="shared" si="42"/>
        <v/>
      </c>
      <c r="AD72" s="1022" t="str">
        <f t="shared" si="43"/>
        <v/>
      </c>
      <c r="AE72" s="1022" t="str">
        <f t="shared" si="44"/>
        <v/>
      </c>
      <c r="AF72" s="3249" t="str">
        <f t="shared" si="45"/>
        <v/>
      </c>
      <c r="AG72" s="1104" t="str">
        <f>IF($A72&lt;&gt;"",IF(VLOOKUP($A72,'Distributed Assets'!$B$28:$AC$102,26,FALSE)="","N/A",VLOOKUP($A72,'Distributed Assets'!$B$28:$AC$102,26,FALSE)),"")</f>
        <v/>
      </c>
      <c r="AH72" s="2229" t="str">
        <f t="shared" si="46"/>
        <v/>
      </c>
    </row>
    <row r="73" spans="1:34" s="931" customFormat="1">
      <c r="A73" s="2224"/>
      <c r="B73" s="1782" t="str">
        <f t="shared" si="34"/>
        <v/>
      </c>
      <c r="C73" s="2728" t="str">
        <f t="shared" si="35"/>
        <v/>
      </c>
      <c r="D73" s="2226" t="str">
        <f t="shared" si="36"/>
        <v/>
      </c>
      <c r="E73" s="2909"/>
      <c r="F73" s="2906"/>
      <c r="G73" s="2225" t="str">
        <f t="shared" si="47"/>
        <v/>
      </c>
      <c r="H73" s="2227" t="str">
        <f>IF(A73&lt;&gt;"",VLOOKUP(VLOOKUP(A73,dist_assets,2,FALSE),'Distributed Assets'!$C$7:$F$22,4,FALSE),"")</f>
        <v/>
      </c>
      <c r="I73" s="279" t="str">
        <f>IF(A73&lt;&gt;"",VLOOKUP(A73,'Open Systems'!$A$4:$K$41,3,FALSE),"")</f>
        <v/>
      </c>
      <c r="J73" s="2228"/>
      <c r="K73" s="3163" t="str">
        <f>IFERROR(IF($A73&lt;&gt;"",
IF(MID($A73,10,2)="VM",(CONCATENATE(VLOOKUP($A73,VMware!$A$4:$H$41,5,FALSE)&amp;" x "&amp;VLOOKUP($A73,VMware!$A$4:$H$41,6,FALSE)&amp;" TB")),
IF($J73="OS",VLOOKUP($A73,'Open Systems'!$A$4:$K$41,9,FALSE),VLOOKUP($A73,'Open Systems'!$A$4:$K$41,11,FALSE))),""),"")</f>
        <v/>
      </c>
      <c r="L73" s="2"/>
      <c r="M73" s="2173" t="str">
        <f t="shared" si="37"/>
        <v/>
      </c>
      <c r="N73" s="817" t="str">
        <f t="shared" si="38"/>
        <v/>
      </c>
      <c r="O73" s="1090"/>
      <c r="P73" s="1019" t="str">
        <f t="shared" si="40"/>
        <v/>
      </c>
      <c r="Q73" s="1020"/>
      <c r="R73" s="1020"/>
      <c r="S73" s="1021" t="str">
        <f t="shared" si="48"/>
        <v/>
      </c>
      <c r="T73" s="1017"/>
      <c r="U73" s="1016"/>
      <c r="V73" s="3202" t="str">
        <f t="shared" si="39"/>
        <v/>
      </c>
      <c r="W73" s="1022" t="str">
        <f t="shared" si="49"/>
        <v/>
      </c>
      <c r="X73" s="1023" t="str">
        <f t="shared" si="50"/>
        <v/>
      </c>
      <c r="Y73" s="1017" t="str">
        <f t="shared" si="51"/>
        <v/>
      </c>
      <c r="Z73" s="1018" t="str">
        <f t="shared" si="41"/>
        <v/>
      </c>
      <c r="AA73" s="1022" t="str">
        <f t="shared" si="52"/>
        <v/>
      </c>
      <c r="AB73" s="1022" t="str">
        <f t="shared" si="53"/>
        <v/>
      </c>
      <c r="AC73" s="1022" t="str">
        <f t="shared" si="42"/>
        <v/>
      </c>
      <c r="AD73" s="1022" t="str">
        <f t="shared" si="43"/>
        <v/>
      </c>
      <c r="AE73" s="1022" t="str">
        <f t="shared" si="44"/>
        <v/>
      </c>
      <c r="AF73" s="3249" t="str">
        <f t="shared" si="45"/>
        <v/>
      </c>
      <c r="AG73" s="1104" t="str">
        <f>IF($A73&lt;&gt;"",IF(VLOOKUP($A73,'Distributed Assets'!$B$28:$AC$102,26,FALSE)="","N/A",VLOOKUP($A73,'Distributed Assets'!$B$28:$AC$102,26,FALSE)),"")</f>
        <v/>
      </c>
      <c r="AH73" s="2229" t="str">
        <f t="shared" si="46"/>
        <v/>
      </c>
    </row>
    <row r="74" spans="1:34" s="931" customFormat="1">
      <c r="A74" s="2224"/>
      <c r="B74" s="1782" t="str">
        <f t="shared" si="34"/>
        <v/>
      </c>
      <c r="C74" s="2728" t="str">
        <f t="shared" si="35"/>
        <v/>
      </c>
      <c r="D74" s="2226" t="str">
        <f t="shared" si="36"/>
        <v/>
      </c>
      <c r="E74" s="2909"/>
      <c r="F74" s="2906"/>
      <c r="G74" s="2225" t="str">
        <f t="shared" si="47"/>
        <v/>
      </c>
      <c r="H74" s="2227" t="str">
        <f>IF(A74&lt;&gt;"",VLOOKUP(VLOOKUP(A74,dist_assets,2,FALSE),'Distributed Assets'!$C$7:$F$22,4,FALSE),"")</f>
        <v/>
      </c>
      <c r="I74" s="279" t="str">
        <f>IF(A74&lt;&gt;"",VLOOKUP(A74,'Open Systems'!$A$4:$K$41,3,FALSE),"")</f>
        <v/>
      </c>
      <c r="J74" s="2228"/>
      <c r="K74" s="3163" t="str">
        <f>IFERROR(IF($A74&lt;&gt;"",
IF(MID($A74,10,2)="VM",(CONCATENATE(VLOOKUP($A74,VMware!$A$4:$H$41,5,FALSE)&amp;" x "&amp;VLOOKUP($A74,VMware!$A$4:$H$41,6,FALSE)&amp;" TB")),
IF($J74="OS",VLOOKUP($A74,'Open Systems'!$A$4:$K$41,9,FALSE),VLOOKUP($A74,'Open Systems'!$A$4:$K$41,11,FALSE))),""),"")</f>
        <v/>
      </c>
      <c r="L74" s="2"/>
      <c r="M74" s="2173" t="str">
        <f t="shared" si="37"/>
        <v/>
      </c>
      <c r="N74" s="817" t="str">
        <f t="shared" si="38"/>
        <v/>
      </c>
      <c r="O74" s="1090"/>
      <c r="P74" s="1019" t="str">
        <f t="shared" si="40"/>
        <v/>
      </c>
      <c r="Q74" s="1020"/>
      <c r="R74" s="1020"/>
      <c r="S74" s="1021" t="str">
        <f t="shared" si="48"/>
        <v/>
      </c>
      <c r="T74" s="1017"/>
      <c r="U74" s="1016"/>
      <c r="V74" s="3202" t="str">
        <f t="shared" si="39"/>
        <v/>
      </c>
      <c r="W74" s="1022" t="str">
        <f t="shared" si="49"/>
        <v/>
      </c>
      <c r="X74" s="1023" t="str">
        <f t="shared" si="50"/>
        <v/>
      </c>
      <c r="Y74" s="1017" t="str">
        <f t="shared" si="51"/>
        <v/>
      </c>
      <c r="Z74" s="1018" t="str">
        <f t="shared" si="41"/>
        <v/>
      </c>
      <c r="AA74" s="1022" t="str">
        <f t="shared" si="52"/>
        <v/>
      </c>
      <c r="AB74" s="1022" t="str">
        <f t="shared" si="53"/>
        <v/>
      </c>
      <c r="AC74" s="1022" t="str">
        <f t="shared" si="42"/>
        <v/>
      </c>
      <c r="AD74" s="1022" t="str">
        <f t="shared" si="43"/>
        <v/>
      </c>
      <c r="AE74" s="1022" t="str">
        <f t="shared" si="44"/>
        <v/>
      </c>
      <c r="AF74" s="3249" t="str">
        <f t="shared" si="45"/>
        <v/>
      </c>
      <c r="AG74" s="1104" t="str">
        <f>IF($A74&lt;&gt;"",IF(VLOOKUP($A74,'Distributed Assets'!$B$28:$AC$102,26,FALSE)="","N/A",VLOOKUP($A74,'Distributed Assets'!$B$28:$AC$102,26,FALSE)),"")</f>
        <v/>
      </c>
      <c r="AH74" s="2229" t="str">
        <f t="shared" si="46"/>
        <v/>
      </c>
    </row>
    <row r="75" spans="1:34" s="931" customFormat="1">
      <c r="A75" s="2224"/>
      <c r="B75" s="1782" t="str">
        <f t="shared" si="34"/>
        <v/>
      </c>
      <c r="C75" s="2728" t="str">
        <f t="shared" si="35"/>
        <v/>
      </c>
      <c r="D75" s="2226" t="str">
        <f t="shared" si="36"/>
        <v/>
      </c>
      <c r="E75" s="2909"/>
      <c r="F75" s="2906"/>
      <c r="G75" s="2225" t="str">
        <f t="shared" si="47"/>
        <v/>
      </c>
      <c r="H75" s="2227" t="str">
        <f>IF(A75&lt;&gt;"",VLOOKUP(VLOOKUP(A75,dist_assets,2,FALSE),'Distributed Assets'!$C$7:$F$22,4,FALSE),"")</f>
        <v/>
      </c>
      <c r="I75" s="279" t="str">
        <f>IF(A75&lt;&gt;"",VLOOKUP(A75,'Open Systems'!$A$4:$K$41,3,FALSE),"")</f>
        <v/>
      </c>
      <c r="J75" s="2228"/>
      <c r="K75" s="3163" t="str">
        <f>IFERROR(IF($A75&lt;&gt;"",
IF(MID($A75,10,2)="VM",(CONCATENATE(VLOOKUP($A75,VMware!$A$4:$H$41,5,FALSE)&amp;" x "&amp;VLOOKUP($A75,VMware!$A$4:$H$41,6,FALSE)&amp;" TB")),
IF($J75="OS",VLOOKUP($A75,'Open Systems'!$A$4:$K$41,9,FALSE),VLOOKUP($A75,'Open Systems'!$A$4:$K$41,11,FALSE))),""),"")</f>
        <v/>
      </c>
      <c r="L75" s="2"/>
      <c r="M75" s="2173" t="str">
        <f t="shared" si="37"/>
        <v/>
      </c>
      <c r="N75" s="817" t="str">
        <f t="shared" si="38"/>
        <v/>
      </c>
      <c r="O75" s="1090"/>
      <c r="P75" s="1019" t="str">
        <f t="shared" si="40"/>
        <v/>
      </c>
      <c r="Q75" s="1020"/>
      <c r="R75" s="1020"/>
      <c r="S75" s="1021" t="str">
        <f t="shared" si="48"/>
        <v/>
      </c>
      <c r="T75" s="1017"/>
      <c r="U75" s="1016"/>
      <c r="V75" s="3202" t="str">
        <f t="shared" si="39"/>
        <v/>
      </c>
      <c r="W75" s="1022" t="str">
        <f t="shared" si="49"/>
        <v/>
      </c>
      <c r="X75" s="1023" t="str">
        <f t="shared" si="50"/>
        <v/>
      </c>
      <c r="Y75" s="1017" t="str">
        <f t="shared" si="51"/>
        <v/>
      </c>
      <c r="Z75" s="1018" t="str">
        <f t="shared" si="41"/>
        <v/>
      </c>
      <c r="AA75" s="1022" t="str">
        <f t="shared" si="52"/>
        <v/>
      </c>
      <c r="AB75" s="1022" t="str">
        <f t="shared" si="53"/>
        <v/>
      </c>
      <c r="AC75" s="1022" t="str">
        <f t="shared" si="42"/>
        <v/>
      </c>
      <c r="AD75" s="1022" t="str">
        <f t="shared" si="43"/>
        <v/>
      </c>
      <c r="AE75" s="1022" t="str">
        <f t="shared" si="44"/>
        <v/>
      </c>
      <c r="AF75" s="3249" t="str">
        <f t="shared" si="45"/>
        <v/>
      </c>
      <c r="AG75" s="1104" t="str">
        <f>IF($A75&lt;&gt;"",IF(VLOOKUP($A75,'Distributed Assets'!$B$28:$AC$102,26,FALSE)="","N/A",VLOOKUP($A75,'Distributed Assets'!$B$28:$AC$102,26,FALSE)),"")</f>
        <v/>
      </c>
      <c r="AH75" s="2229" t="str">
        <f t="shared" si="46"/>
        <v/>
      </c>
    </row>
    <row r="76" spans="1:34" s="931" customFormat="1">
      <c r="A76" s="2224"/>
      <c r="B76" s="1782" t="str">
        <f t="shared" si="34"/>
        <v/>
      </c>
      <c r="C76" s="2728" t="str">
        <f t="shared" si="35"/>
        <v/>
      </c>
      <c r="D76" s="2226" t="str">
        <f t="shared" si="36"/>
        <v/>
      </c>
      <c r="E76" s="2909"/>
      <c r="F76" s="2906"/>
      <c r="G76" s="2225" t="str">
        <f t="shared" si="47"/>
        <v/>
      </c>
      <c r="H76" s="2227" t="str">
        <f>IF(A76&lt;&gt;"",VLOOKUP(VLOOKUP(A76,dist_assets,2,FALSE),'Distributed Assets'!$C$7:$F$22,4,FALSE),"")</f>
        <v/>
      </c>
      <c r="I76" s="279" t="str">
        <f>IF(A76&lt;&gt;"",VLOOKUP(A76,'Open Systems'!$A$4:$K$41,3,FALSE),"")</f>
        <v/>
      </c>
      <c r="J76" s="2228"/>
      <c r="K76" s="3163" t="str">
        <f>IFERROR(IF($A76&lt;&gt;"",
IF(MID($A76,10,2)="VM",(CONCATENATE(VLOOKUP($A76,VMware!$A$4:$H$41,5,FALSE)&amp;" x "&amp;VLOOKUP($A76,VMware!$A$4:$H$41,6,FALSE)&amp;" TB")),
IF($J76="OS",VLOOKUP($A76,'Open Systems'!$A$4:$K$41,9,FALSE),VLOOKUP($A76,'Open Systems'!$A$4:$K$41,11,FALSE))),""),"")</f>
        <v/>
      </c>
      <c r="L76" s="2"/>
      <c r="M76" s="2173" t="str">
        <f t="shared" si="37"/>
        <v/>
      </c>
      <c r="N76" s="817" t="str">
        <f t="shared" si="38"/>
        <v/>
      </c>
      <c r="O76" s="1090"/>
      <c r="P76" s="1019" t="str">
        <f t="shared" si="40"/>
        <v/>
      </c>
      <c r="Q76" s="1020"/>
      <c r="R76" s="1020"/>
      <c r="S76" s="1021" t="str">
        <f t="shared" si="48"/>
        <v/>
      </c>
      <c r="T76" s="1017"/>
      <c r="U76" s="1016"/>
      <c r="V76" s="3202" t="str">
        <f t="shared" si="39"/>
        <v/>
      </c>
      <c r="W76" s="1022" t="str">
        <f t="shared" si="49"/>
        <v/>
      </c>
      <c r="X76" s="1023" t="str">
        <f t="shared" si="50"/>
        <v/>
      </c>
      <c r="Y76" s="1017" t="str">
        <f t="shared" si="51"/>
        <v/>
      </c>
      <c r="Z76" s="1018" t="str">
        <f t="shared" si="41"/>
        <v/>
      </c>
      <c r="AA76" s="1022" t="str">
        <f t="shared" si="52"/>
        <v/>
      </c>
      <c r="AB76" s="1022" t="str">
        <f t="shared" si="53"/>
        <v/>
      </c>
      <c r="AC76" s="1022" t="str">
        <f t="shared" si="42"/>
        <v/>
      </c>
      <c r="AD76" s="1022" t="str">
        <f t="shared" si="43"/>
        <v/>
      </c>
      <c r="AE76" s="1022" t="str">
        <f t="shared" si="44"/>
        <v/>
      </c>
      <c r="AF76" s="3249" t="str">
        <f t="shared" si="45"/>
        <v/>
      </c>
      <c r="AG76" s="1104" t="str">
        <f>IF($A76&lt;&gt;"",IF(VLOOKUP($A76,'Distributed Assets'!$B$28:$AC$102,26,FALSE)="","N/A",VLOOKUP($A76,'Distributed Assets'!$B$28:$AC$102,26,FALSE)),"")</f>
        <v/>
      </c>
      <c r="AH76" s="2229" t="str">
        <f t="shared" si="46"/>
        <v/>
      </c>
    </row>
    <row r="77" spans="1:34" s="931" customFormat="1">
      <c r="A77" s="2224"/>
      <c r="B77" s="1782" t="str">
        <f t="shared" si="34"/>
        <v/>
      </c>
      <c r="C77" s="2728" t="str">
        <f t="shared" si="35"/>
        <v/>
      </c>
      <c r="D77" s="2226" t="str">
        <f t="shared" si="36"/>
        <v/>
      </c>
      <c r="E77" s="2909"/>
      <c r="F77" s="2906"/>
      <c r="G77" s="2225" t="str">
        <f t="shared" si="47"/>
        <v/>
      </c>
      <c r="H77" s="2227" t="str">
        <f>IF(A77&lt;&gt;"",VLOOKUP(VLOOKUP(A77,dist_assets,2,FALSE),'Distributed Assets'!$C$7:$F$22,4,FALSE),"")</f>
        <v/>
      </c>
      <c r="I77" s="279" t="str">
        <f>IF(A77&lt;&gt;"",VLOOKUP(A77,'Open Systems'!$A$4:$K$41,3,FALSE),"")</f>
        <v/>
      </c>
      <c r="J77" s="2228"/>
      <c r="K77" s="3163" t="str">
        <f>IFERROR(IF($A77&lt;&gt;"",
IF(MID($A77,10,2)="VM",(CONCATENATE(VLOOKUP($A77,VMware!$A$4:$H$41,5,FALSE)&amp;" x "&amp;VLOOKUP($A77,VMware!$A$4:$H$41,6,FALSE)&amp;" TB")),
IF($J77="OS",VLOOKUP($A77,'Open Systems'!$A$4:$K$41,9,FALSE),VLOOKUP($A77,'Open Systems'!$A$4:$K$41,11,FALSE))),""),"")</f>
        <v/>
      </c>
      <c r="L77" s="2"/>
      <c r="M77" s="2173" t="str">
        <f t="shared" si="37"/>
        <v/>
      </c>
      <c r="N77" s="817" t="str">
        <f t="shared" si="38"/>
        <v/>
      </c>
      <c r="O77" s="1090"/>
      <c r="P77" s="1019" t="str">
        <f t="shared" si="40"/>
        <v/>
      </c>
      <c r="Q77" s="1020"/>
      <c r="R77" s="1020"/>
      <c r="S77" s="1021" t="str">
        <f t="shared" si="48"/>
        <v/>
      </c>
      <c r="T77" s="1017"/>
      <c r="U77" s="1016"/>
      <c r="V77" s="3202" t="str">
        <f t="shared" si="39"/>
        <v/>
      </c>
      <c r="W77" s="1022" t="str">
        <f t="shared" si="49"/>
        <v/>
      </c>
      <c r="X77" s="1023" t="str">
        <f t="shared" si="50"/>
        <v/>
      </c>
      <c r="Y77" s="1017" t="str">
        <f t="shared" si="51"/>
        <v/>
      </c>
      <c r="Z77" s="1018" t="str">
        <f t="shared" si="41"/>
        <v/>
      </c>
      <c r="AA77" s="1022" t="str">
        <f t="shared" si="52"/>
        <v/>
      </c>
      <c r="AB77" s="1022" t="str">
        <f t="shared" si="53"/>
        <v/>
      </c>
      <c r="AC77" s="1022" t="str">
        <f t="shared" si="42"/>
        <v/>
      </c>
      <c r="AD77" s="1022" t="str">
        <f t="shared" si="43"/>
        <v/>
      </c>
      <c r="AE77" s="1022" t="str">
        <f t="shared" si="44"/>
        <v/>
      </c>
      <c r="AF77" s="3249" t="str">
        <f t="shared" si="45"/>
        <v/>
      </c>
      <c r="AG77" s="1104" t="str">
        <f>IF($A77&lt;&gt;"",IF(VLOOKUP($A77,'Distributed Assets'!$B$28:$AC$102,26,FALSE)="","N/A",VLOOKUP($A77,'Distributed Assets'!$B$28:$AC$102,26,FALSE)),"")</f>
        <v/>
      </c>
      <c r="AH77" s="2229" t="str">
        <f t="shared" si="46"/>
        <v/>
      </c>
    </row>
    <row r="78" spans="1:34" s="931" customFormat="1">
      <c r="A78" s="2224"/>
      <c r="B78" s="1782" t="str">
        <f t="shared" si="34"/>
        <v/>
      </c>
      <c r="C78" s="2728" t="str">
        <f t="shared" si="35"/>
        <v/>
      </c>
      <c r="D78" s="2226" t="str">
        <f t="shared" si="36"/>
        <v/>
      </c>
      <c r="E78" s="2909"/>
      <c r="F78" s="2906"/>
      <c r="G78" s="2225" t="str">
        <f t="shared" si="47"/>
        <v/>
      </c>
      <c r="H78" s="2227" t="str">
        <f>IF(A78&lt;&gt;"",VLOOKUP(VLOOKUP(A78,dist_assets,2,FALSE),'Distributed Assets'!$C$7:$F$22,4,FALSE),"")</f>
        <v/>
      </c>
      <c r="I78" s="279" t="str">
        <f>IF(A78&lt;&gt;"",VLOOKUP(A78,'Open Systems'!$A$4:$K$41,3,FALSE),"")</f>
        <v/>
      </c>
      <c r="J78" s="2228"/>
      <c r="K78" s="3163" t="str">
        <f>IFERROR(IF($A78&lt;&gt;"",
IF(MID($A78,10,2)="VM",(CONCATENATE(VLOOKUP($A78,VMware!$A$4:$H$41,5,FALSE)&amp;" x "&amp;VLOOKUP($A78,VMware!$A$4:$H$41,6,FALSE)&amp;" TB")),
IF($J78="OS",VLOOKUP($A78,'Open Systems'!$A$4:$K$41,9,FALSE),VLOOKUP($A78,'Open Systems'!$A$4:$K$41,11,FALSE))),""),"")</f>
        <v/>
      </c>
      <c r="L78" s="2"/>
      <c r="M78" s="2173" t="str">
        <f t="shared" si="37"/>
        <v/>
      </c>
      <c r="N78" s="817" t="str">
        <f t="shared" si="38"/>
        <v/>
      </c>
      <c r="O78" s="1090"/>
      <c r="P78" s="1019" t="str">
        <f t="shared" si="40"/>
        <v/>
      </c>
      <c r="Q78" s="1020"/>
      <c r="R78" s="1020"/>
      <c r="S78" s="1021" t="str">
        <f t="shared" si="48"/>
        <v/>
      </c>
      <c r="T78" s="1017"/>
      <c r="U78" s="1016"/>
      <c r="V78" s="3202" t="str">
        <f t="shared" si="39"/>
        <v/>
      </c>
      <c r="W78" s="1022" t="str">
        <f t="shared" si="49"/>
        <v/>
      </c>
      <c r="X78" s="1023" t="str">
        <f t="shared" si="50"/>
        <v/>
      </c>
      <c r="Y78" s="1017" t="str">
        <f t="shared" si="51"/>
        <v/>
      </c>
      <c r="Z78" s="1018" t="str">
        <f t="shared" si="41"/>
        <v/>
      </c>
      <c r="AA78" s="1022" t="str">
        <f t="shared" si="52"/>
        <v/>
      </c>
      <c r="AB78" s="1022" t="str">
        <f t="shared" si="53"/>
        <v/>
      </c>
      <c r="AC78" s="1022" t="str">
        <f t="shared" si="42"/>
        <v/>
      </c>
      <c r="AD78" s="1022" t="str">
        <f t="shared" si="43"/>
        <v/>
      </c>
      <c r="AE78" s="1022" t="str">
        <f t="shared" si="44"/>
        <v/>
      </c>
      <c r="AF78" s="3249" t="str">
        <f t="shared" si="45"/>
        <v/>
      </c>
      <c r="AG78" s="1104" t="str">
        <f>IF($A78&lt;&gt;"",IF(VLOOKUP($A78,'Distributed Assets'!$B$28:$AC$102,26,FALSE)="","N/A",VLOOKUP($A78,'Distributed Assets'!$B$28:$AC$102,26,FALSE)),"")</f>
        <v/>
      </c>
      <c r="AH78" s="2229" t="str">
        <f t="shared" si="46"/>
        <v/>
      </c>
    </row>
    <row r="79" spans="1:34">
      <c r="A79" s="2224"/>
      <c r="B79" s="1782" t="str">
        <f t="shared" si="34"/>
        <v/>
      </c>
      <c r="C79" s="2728" t="str">
        <f t="shared" si="35"/>
        <v/>
      </c>
      <c r="D79" s="2226" t="str">
        <f t="shared" si="36"/>
        <v/>
      </c>
      <c r="E79" s="2909"/>
      <c r="F79" s="2906"/>
      <c r="G79" s="2225" t="str">
        <f t="shared" si="47"/>
        <v/>
      </c>
      <c r="H79" s="2227" t="str">
        <f>IF(A79&lt;&gt;"",VLOOKUP(VLOOKUP(A79,dist_assets,2,FALSE),'Distributed Assets'!$C$7:$F$22,4,FALSE),"")</f>
        <v/>
      </c>
      <c r="I79" s="279" t="str">
        <f>IF(A79&lt;&gt;"",VLOOKUP(A79,'Open Systems'!$A$4:$K$41,3,FALSE),"")</f>
        <v/>
      </c>
      <c r="J79" s="2228"/>
      <c r="K79" s="3163" t="str">
        <f>IFERROR(IF($A79&lt;&gt;"",
IF(MID($A79,10,2)="VM",(CONCATENATE(VLOOKUP($A79,VMware!$A$4:$H$41,5,FALSE)&amp;" x "&amp;VLOOKUP($A79,VMware!$A$4:$H$41,6,FALSE)&amp;" TB")),
IF($J79="OS",VLOOKUP($A79,'Open Systems'!$A$4:$K$41,9,FALSE),VLOOKUP($A79,'Open Systems'!$A$4:$K$41,11,FALSE))),""),"")</f>
        <v/>
      </c>
      <c r="L79" s="2"/>
      <c r="M79" s="2173" t="str">
        <f t="shared" si="37"/>
        <v/>
      </c>
      <c r="N79" s="817" t="str">
        <f t="shared" si="38"/>
        <v/>
      </c>
      <c r="O79" s="1090"/>
      <c r="P79" s="1019" t="str">
        <f t="shared" si="40"/>
        <v/>
      </c>
      <c r="Q79" s="1020"/>
      <c r="R79" s="1020"/>
      <c r="S79" s="1021" t="str">
        <f t="shared" si="48"/>
        <v/>
      </c>
      <c r="T79" s="1017"/>
      <c r="U79" s="1016"/>
      <c r="V79" s="3202" t="str">
        <f t="shared" si="39"/>
        <v/>
      </c>
      <c r="W79" s="1022" t="str">
        <f t="shared" si="49"/>
        <v/>
      </c>
      <c r="X79" s="1023" t="str">
        <f t="shared" si="50"/>
        <v/>
      </c>
      <c r="Y79" s="1017" t="str">
        <f t="shared" si="51"/>
        <v/>
      </c>
      <c r="Z79" s="1018" t="str">
        <f t="shared" si="41"/>
        <v/>
      </c>
      <c r="AA79" s="1022" t="str">
        <f t="shared" si="52"/>
        <v/>
      </c>
      <c r="AB79" s="1022" t="str">
        <f t="shared" si="53"/>
        <v/>
      </c>
      <c r="AC79" s="1022" t="str">
        <f t="shared" si="42"/>
        <v/>
      </c>
      <c r="AD79" s="1022" t="str">
        <f t="shared" si="43"/>
        <v/>
      </c>
      <c r="AE79" s="1022" t="str">
        <f t="shared" si="44"/>
        <v/>
      </c>
      <c r="AF79" s="3249" t="str">
        <f t="shared" si="45"/>
        <v/>
      </c>
      <c r="AG79" s="1104" t="str">
        <f>IF($A79&lt;&gt;"",IF(VLOOKUP($A79,'Distributed Assets'!$B$28:$AC$102,26,FALSE)="","N/A",VLOOKUP($A79,'Distributed Assets'!$B$28:$AC$102,26,FALSE)),"")</f>
        <v/>
      </c>
      <c r="AH79" s="2229" t="str">
        <f t="shared" si="46"/>
        <v/>
      </c>
    </row>
    <row r="80" spans="1:34" s="931" customFormat="1">
      <c r="A80" s="2224"/>
      <c r="B80" s="1782" t="str">
        <f t="shared" si="34"/>
        <v/>
      </c>
      <c r="C80" s="2728" t="str">
        <f t="shared" si="35"/>
        <v/>
      </c>
      <c r="D80" s="2226" t="str">
        <f t="shared" si="36"/>
        <v/>
      </c>
      <c r="E80" s="2909"/>
      <c r="F80" s="2906"/>
      <c r="G80" s="2225" t="str">
        <f t="shared" si="47"/>
        <v/>
      </c>
      <c r="H80" s="2227" t="str">
        <f>IF(A80&lt;&gt;"",VLOOKUP(VLOOKUP(A80,dist_assets,2,FALSE),'Distributed Assets'!$C$7:$F$22,4,FALSE),"")</f>
        <v/>
      </c>
      <c r="I80" s="279" t="str">
        <f>IF(A80&lt;&gt;"",VLOOKUP(A80,'Open Systems'!$A$4:$K$41,3,FALSE),"")</f>
        <v/>
      </c>
      <c r="J80" s="2228"/>
      <c r="K80" s="3163" t="str">
        <f>IFERROR(IF($A80&lt;&gt;"",
IF(MID($A80,10,2)="VM",(CONCATENATE(VLOOKUP($A80,VMware!$A$4:$H$41,5,FALSE)&amp;" x "&amp;VLOOKUP($A80,VMware!$A$4:$H$41,6,FALSE)&amp;" TB")),
IF($J80="OS",VLOOKUP($A80,'Open Systems'!$A$4:$K$41,9,FALSE),VLOOKUP($A80,'Open Systems'!$A$4:$K$41,11,FALSE))),""),"")</f>
        <v/>
      </c>
      <c r="L80" s="2"/>
      <c r="M80" s="2173" t="str">
        <f t="shared" si="37"/>
        <v/>
      </c>
      <c r="N80" s="817" t="str">
        <f t="shared" si="38"/>
        <v/>
      </c>
      <c r="O80" s="1090"/>
      <c r="P80" s="1019" t="str">
        <f t="shared" si="40"/>
        <v/>
      </c>
      <c r="Q80" s="1020"/>
      <c r="R80" s="1020"/>
      <c r="S80" s="1021" t="str">
        <f t="shared" si="48"/>
        <v/>
      </c>
      <c r="T80" s="1017"/>
      <c r="U80" s="1016"/>
      <c r="V80" s="3202" t="str">
        <f t="shared" si="39"/>
        <v/>
      </c>
      <c r="W80" s="1022" t="str">
        <f t="shared" si="49"/>
        <v/>
      </c>
      <c r="X80" s="1023" t="str">
        <f t="shared" si="50"/>
        <v/>
      </c>
      <c r="Y80" s="1017" t="str">
        <f t="shared" si="51"/>
        <v/>
      </c>
      <c r="Z80" s="1018" t="str">
        <f t="shared" si="41"/>
        <v/>
      </c>
      <c r="AA80" s="1022" t="str">
        <f t="shared" si="52"/>
        <v/>
      </c>
      <c r="AB80" s="1022" t="str">
        <f t="shared" si="53"/>
        <v/>
      </c>
      <c r="AC80" s="1022" t="str">
        <f t="shared" si="42"/>
        <v/>
      </c>
      <c r="AD80" s="1022" t="str">
        <f t="shared" si="43"/>
        <v/>
      </c>
      <c r="AE80" s="1022" t="str">
        <f t="shared" si="44"/>
        <v/>
      </c>
      <c r="AF80" s="3249" t="str">
        <f t="shared" si="45"/>
        <v/>
      </c>
      <c r="AG80" s="1104" t="str">
        <f>IF($A80&lt;&gt;"",IF(VLOOKUP($A80,'Distributed Assets'!$B$28:$AC$102,26,FALSE)="","N/A",VLOOKUP($A80,'Distributed Assets'!$B$28:$AC$102,26,FALSE)),"")</f>
        <v/>
      </c>
      <c r="AH80" s="2229" t="str">
        <f t="shared" si="46"/>
        <v/>
      </c>
    </row>
    <row r="81" spans="1:34" s="931" customFormat="1">
      <c r="A81" s="2224"/>
      <c r="B81" s="1782" t="str">
        <f t="shared" si="34"/>
        <v/>
      </c>
      <c r="C81" s="2728" t="str">
        <f t="shared" si="35"/>
        <v/>
      </c>
      <c r="D81" s="2226" t="str">
        <f t="shared" si="36"/>
        <v/>
      </c>
      <c r="E81" s="2909"/>
      <c r="F81" s="2906"/>
      <c r="G81" s="2225" t="str">
        <f t="shared" si="47"/>
        <v/>
      </c>
      <c r="H81" s="2227" t="str">
        <f>IF(A81&lt;&gt;"",VLOOKUP(VLOOKUP(A81,dist_assets,2,FALSE),'Distributed Assets'!$C$7:$F$22,4,FALSE),"")</f>
        <v/>
      </c>
      <c r="I81" s="279" t="str">
        <f>IF(A81&lt;&gt;"",VLOOKUP(A81,'Open Systems'!$A$4:$K$41,3,FALSE),"")</f>
        <v/>
      </c>
      <c r="J81" s="2228"/>
      <c r="K81" s="3163" t="str">
        <f>IFERROR(IF($A81&lt;&gt;"",
IF(MID($A81,10,2)="VM",(CONCATENATE(VLOOKUP($A81,VMware!$A$4:$H$41,5,FALSE)&amp;" x "&amp;VLOOKUP($A81,VMware!$A$4:$H$41,6,FALSE)&amp;" TB")),
IF($J81="OS",VLOOKUP($A81,'Open Systems'!$A$4:$K$41,9,FALSE),VLOOKUP($A81,'Open Systems'!$A$4:$K$41,11,FALSE))),""),"")</f>
        <v/>
      </c>
      <c r="L81" s="2"/>
      <c r="M81" s="2173" t="str">
        <f t="shared" si="37"/>
        <v/>
      </c>
      <c r="N81" s="817" t="str">
        <f t="shared" si="38"/>
        <v/>
      </c>
      <c r="O81" s="1090"/>
      <c r="P81" s="1019" t="str">
        <f t="shared" si="40"/>
        <v/>
      </c>
      <c r="Q81" s="1020"/>
      <c r="R81" s="1020"/>
      <c r="S81" s="1021" t="str">
        <f t="shared" si="48"/>
        <v/>
      </c>
      <c r="T81" s="1017"/>
      <c r="U81" s="1016"/>
      <c r="V81" s="3202" t="str">
        <f t="shared" si="39"/>
        <v/>
      </c>
      <c r="W81" s="1022" t="str">
        <f t="shared" si="49"/>
        <v/>
      </c>
      <c r="X81" s="1023" t="str">
        <f t="shared" si="50"/>
        <v/>
      </c>
      <c r="Y81" s="1017" t="str">
        <f t="shared" si="51"/>
        <v/>
      </c>
      <c r="Z81" s="1018" t="str">
        <f t="shared" si="41"/>
        <v/>
      </c>
      <c r="AA81" s="1022" t="str">
        <f t="shared" si="52"/>
        <v/>
      </c>
      <c r="AB81" s="1022" t="str">
        <f t="shared" si="53"/>
        <v/>
      </c>
      <c r="AC81" s="1022" t="str">
        <f t="shared" si="42"/>
        <v/>
      </c>
      <c r="AD81" s="1022" t="str">
        <f t="shared" si="43"/>
        <v/>
      </c>
      <c r="AE81" s="1022" t="str">
        <f t="shared" si="44"/>
        <v/>
      </c>
      <c r="AF81" s="3249" t="str">
        <f t="shared" si="45"/>
        <v/>
      </c>
      <c r="AG81" s="1104" t="str">
        <f>IF($A81&lt;&gt;"",IF(VLOOKUP($A81,'Distributed Assets'!$B$28:$AC$102,26,FALSE)="","N/A",VLOOKUP($A81,'Distributed Assets'!$B$28:$AC$102,26,FALSE)),"")</f>
        <v/>
      </c>
      <c r="AH81" s="2229" t="str">
        <f t="shared" si="46"/>
        <v/>
      </c>
    </row>
    <row r="82" spans="1:34" s="931" customFormat="1">
      <c r="A82" s="2224"/>
      <c r="B82" s="1782" t="str">
        <f t="shared" si="34"/>
        <v/>
      </c>
      <c r="C82" s="2728" t="str">
        <f t="shared" si="35"/>
        <v/>
      </c>
      <c r="D82" s="2226" t="str">
        <f t="shared" si="36"/>
        <v/>
      </c>
      <c r="E82" s="2909"/>
      <c r="F82" s="2906"/>
      <c r="G82" s="2225" t="str">
        <f t="shared" si="47"/>
        <v/>
      </c>
      <c r="H82" s="2227" t="str">
        <f>IF(A82&lt;&gt;"",VLOOKUP(VLOOKUP(A82,dist_assets,2,FALSE),'Distributed Assets'!$C$7:$F$22,4,FALSE),"")</f>
        <v/>
      </c>
      <c r="I82" s="279" t="str">
        <f>IF(A82&lt;&gt;"",VLOOKUP(A82,'Open Systems'!$A$4:$K$41,3,FALSE),"")</f>
        <v/>
      </c>
      <c r="J82" s="2228"/>
      <c r="K82" s="3163" t="str">
        <f>IFERROR(IF($A82&lt;&gt;"",
IF(MID($A82,10,2)="VM",(CONCATENATE(VLOOKUP($A82,VMware!$A$4:$H$41,5,FALSE)&amp;" x "&amp;VLOOKUP($A82,VMware!$A$4:$H$41,6,FALSE)&amp;" TB")),
IF($J82="OS",VLOOKUP($A82,'Open Systems'!$A$4:$K$41,9,FALSE),VLOOKUP($A82,'Open Systems'!$A$4:$K$41,11,FALSE))),""),"")</f>
        <v/>
      </c>
      <c r="L82" s="2"/>
      <c r="M82" s="2173" t="str">
        <f t="shared" si="37"/>
        <v/>
      </c>
      <c r="N82" s="817" t="str">
        <f t="shared" si="38"/>
        <v/>
      </c>
      <c r="O82" s="1090"/>
      <c r="P82" s="1019" t="str">
        <f t="shared" si="40"/>
        <v/>
      </c>
      <c r="Q82" s="1020"/>
      <c r="R82" s="1020"/>
      <c r="S82" s="1021" t="str">
        <f t="shared" si="48"/>
        <v/>
      </c>
      <c r="T82" s="1017"/>
      <c r="U82" s="1016"/>
      <c r="V82" s="3202" t="str">
        <f t="shared" si="39"/>
        <v/>
      </c>
      <c r="W82" s="1022" t="str">
        <f t="shared" si="49"/>
        <v/>
      </c>
      <c r="X82" s="1023" t="str">
        <f t="shared" si="50"/>
        <v/>
      </c>
      <c r="Y82" s="1017" t="str">
        <f t="shared" si="51"/>
        <v/>
      </c>
      <c r="Z82" s="1018" t="str">
        <f t="shared" si="41"/>
        <v/>
      </c>
      <c r="AA82" s="1022" t="str">
        <f t="shared" si="52"/>
        <v/>
      </c>
      <c r="AB82" s="1022" t="str">
        <f t="shared" si="53"/>
        <v/>
      </c>
      <c r="AC82" s="1022" t="str">
        <f t="shared" si="42"/>
        <v/>
      </c>
      <c r="AD82" s="1022" t="str">
        <f t="shared" si="43"/>
        <v/>
      </c>
      <c r="AE82" s="1022" t="str">
        <f t="shared" si="44"/>
        <v/>
      </c>
      <c r="AF82" s="3249" t="str">
        <f t="shared" si="45"/>
        <v/>
      </c>
      <c r="AG82" s="1104" t="str">
        <f>IF($A82&lt;&gt;"",IF(VLOOKUP($A82,'Distributed Assets'!$B$28:$AC$102,26,FALSE)="","N/A",VLOOKUP($A82,'Distributed Assets'!$B$28:$AC$102,26,FALSE)),"")</f>
        <v/>
      </c>
      <c r="AH82" s="2229" t="str">
        <f t="shared" si="46"/>
        <v/>
      </c>
    </row>
    <row r="83" spans="1:34" s="931" customFormat="1">
      <c r="A83" s="2224"/>
      <c r="B83" s="1782" t="str">
        <f t="shared" si="34"/>
        <v/>
      </c>
      <c r="C83" s="2728" t="str">
        <f t="shared" si="35"/>
        <v/>
      </c>
      <c r="D83" s="2226" t="str">
        <f t="shared" si="36"/>
        <v/>
      </c>
      <c r="E83" s="2909"/>
      <c r="F83" s="2906"/>
      <c r="G83" s="2225" t="str">
        <f t="shared" si="47"/>
        <v/>
      </c>
      <c r="H83" s="2227" t="str">
        <f>IF(A83&lt;&gt;"",VLOOKUP(VLOOKUP(A83,dist_assets,2,FALSE),'Distributed Assets'!$C$7:$F$22,4,FALSE),"")</f>
        <v/>
      </c>
      <c r="I83" s="279" t="str">
        <f>IF(A83&lt;&gt;"",VLOOKUP(A83,'Open Systems'!$A$4:$K$41,3,FALSE),"")</f>
        <v/>
      </c>
      <c r="J83" s="2228"/>
      <c r="K83" s="3163" t="str">
        <f>IFERROR(IF($A83&lt;&gt;"",
IF(MID($A83,10,2)="VM",(CONCATENATE(VLOOKUP($A83,VMware!$A$4:$H$41,5,FALSE)&amp;" x "&amp;VLOOKUP($A83,VMware!$A$4:$H$41,6,FALSE)&amp;" TB")),
IF($J83="OS",VLOOKUP($A83,'Open Systems'!$A$4:$K$41,9,FALSE),VLOOKUP($A83,'Open Systems'!$A$4:$K$41,11,FALSE))),""),"")</f>
        <v/>
      </c>
      <c r="L83" s="2"/>
      <c r="M83" s="2173" t="str">
        <f t="shared" si="37"/>
        <v/>
      </c>
      <c r="N83" s="817" t="str">
        <f t="shared" si="38"/>
        <v/>
      </c>
      <c r="O83" s="1090"/>
      <c r="P83" s="1019" t="str">
        <f t="shared" si="40"/>
        <v/>
      </c>
      <c r="Q83" s="1020"/>
      <c r="R83" s="1020"/>
      <c r="S83" s="1021" t="str">
        <f t="shared" si="48"/>
        <v/>
      </c>
      <c r="T83" s="1017"/>
      <c r="U83" s="1016"/>
      <c r="V83" s="3202" t="str">
        <f t="shared" si="39"/>
        <v/>
      </c>
      <c r="W83" s="1022" t="str">
        <f t="shared" si="49"/>
        <v/>
      </c>
      <c r="X83" s="1023" t="str">
        <f t="shared" si="50"/>
        <v/>
      </c>
      <c r="Y83" s="1017" t="str">
        <f t="shared" si="51"/>
        <v/>
      </c>
      <c r="Z83" s="1018" t="str">
        <f t="shared" si="41"/>
        <v/>
      </c>
      <c r="AA83" s="1022" t="str">
        <f t="shared" si="52"/>
        <v/>
      </c>
      <c r="AB83" s="1022" t="str">
        <f t="shared" si="53"/>
        <v/>
      </c>
      <c r="AC83" s="1022" t="str">
        <f t="shared" si="42"/>
        <v/>
      </c>
      <c r="AD83" s="1022" t="str">
        <f t="shared" si="43"/>
        <v/>
      </c>
      <c r="AE83" s="1022" t="str">
        <f t="shared" si="44"/>
        <v/>
      </c>
      <c r="AF83" s="3249" t="str">
        <f t="shared" si="45"/>
        <v/>
      </c>
      <c r="AG83" s="1104" t="str">
        <f>IF($A83&lt;&gt;"",IF(VLOOKUP($A83,'Distributed Assets'!$B$28:$AC$102,26,FALSE)="","N/A",VLOOKUP($A83,'Distributed Assets'!$B$28:$AC$102,26,FALSE)),"")</f>
        <v/>
      </c>
      <c r="AH83" s="2229" t="str">
        <f t="shared" si="46"/>
        <v/>
      </c>
    </row>
    <row r="84" spans="1:34" s="931" customFormat="1">
      <c r="A84" s="2224"/>
      <c r="B84" s="1782" t="str">
        <f t="shared" si="34"/>
        <v/>
      </c>
      <c r="C84" s="2728" t="str">
        <f t="shared" si="35"/>
        <v/>
      </c>
      <c r="D84" s="2226" t="str">
        <f t="shared" si="36"/>
        <v/>
      </c>
      <c r="E84" s="2909"/>
      <c r="F84" s="2906"/>
      <c r="G84" s="2225" t="str">
        <f t="shared" si="47"/>
        <v/>
      </c>
      <c r="H84" s="2227" t="str">
        <f>IF(A84&lt;&gt;"",VLOOKUP(VLOOKUP(A84,dist_assets,2,FALSE),'Distributed Assets'!$C$7:$F$22,4,FALSE),"")</f>
        <v/>
      </c>
      <c r="I84" s="279" t="str">
        <f>IF(A84&lt;&gt;"",VLOOKUP(A84,'Open Systems'!$A$4:$K$41,3,FALSE),"")</f>
        <v/>
      </c>
      <c r="J84" s="2228"/>
      <c r="K84" s="3163" t="str">
        <f>IFERROR(IF($A84&lt;&gt;"",
IF(MID($A84,10,2)="VM",(CONCATENATE(VLOOKUP($A84,VMware!$A$4:$H$41,5,FALSE)&amp;" x "&amp;VLOOKUP($A84,VMware!$A$4:$H$41,6,FALSE)&amp;" TB")),
IF($J84="OS",VLOOKUP($A84,'Open Systems'!$A$4:$K$41,9,FALSE),VLOOKUP($A84,'Open Systems'!$A$4:$K$41,11,FALSE))),""),"")</f>
        <v/>
      </c>
      <c r="L84" s="2"/>
      <c r="M84" s="2173" t="str">
        <f t="shared" si="37"/>
        <v/>
      </c>
      <c r="N84" s="817" t="str">
        <f t="shared" si="38"/>
        <v/>
      </c>
      <c r="O84" s="1090"/>
      <c r="P84" s="1019" t="str">
        <f t="shared" si="40"/>
        <v/>
      </c>
      <c r="Q84" s="1020"/>
      <c r="R84" s="1020"/>
      <c r="S84" s="1021" t="str">
        <f t="shared" si="48"/>
        <v/>
      </c>
      <c r="T84" s="1017"/>
      <c r="U84" s="1016"/>
      <c r="V84" s="3202" t="str">
        <f t="shared" si="39"/>
        <v/>
      </c>
      <c r="W84" s="1022" t="str">
        <f t="shared" si="49"/>
        <v/>
      </c>
      <c r="X84" s="1023" t="str">
        <f t="shared" si="50"/>
        <v/>
      </c>
      <c r="Y84" s="1017" t="str">
        <f t="shared" si="51"/>
        <v/>
      </c>
      <c r="Z84" s="1018" t="str">
        <f t="shared" si="41"/>
        <v/>
      </c>
      <c r="AA84" s="1022" t="str">
        <f t="shared" si="52"/>
        <v/>
      </c>
      <c r="AB84" s="1022" t="str">
        <f t="shared" si="53"/>
        <v/>
      </c>
      <c r="AC84" s="1022" t="str">
        <f t="shared" si="42"/>
        <v/>
      </c>
      <c r="AD84" s="1022" t="str">
        <f t="shared" si="43"/>
        <v/>
      </c>
      <c r="AE84" s="1022" t="str">
        <f t="shared" si="44"/>
        <v/>
      </c>
      <c r="AF84" s="3249" t="str">
        <f t="shared" si="45"/>
        <v/>
      </c>
      <c r="AG84" s="1104" t="str">
        <f>IF($A84&lt;&gt;"",IF(VLOOKUP($A84,'Distributed Assets'!$B$28:$AC$102,26,FALSE)="","N/A",VLOOKUP($A84,'Distributed Assets'!$B$28:$AC$102,26,FALSE)),"")</f>
        <v/>
      </c>
      <c r="AH84" s="2229" t="str">
        <f t="shared" si="46"/>
        <v/>
      </c>
    </row>
    <row r="85" spans="1:34" s="931" customFormat="1">
      <c r="A85" s="2224"/>
      <c r="B85" s="1782" t="str">
        <f t="shared" si="34"/>
        <v/>
      </c>
      <c r="C85" s="2728" t="str">
        <f t="shared" si="35"/>
        <v/>
      </c>
      <c r="D85" s="2226" t="str">
        <f t="shared" si="36"/>
        <v/>
      </c>
      <c r="E85" s="2909"/>
      <c r="F85" s="2906"/>
      <c r="G85" s="2225" t="str">
        <f t="shared" si="47"/>
        <v/>
      </c>
      <c r="H85" s="2227" t="str">
        <f>IF(A85&lt;&gt;"",VLOOKUP(VLOOKUP(A85,dist_assets,2,FALSE),'Distributed Assets'!$C$7:$F$22,4,FALSE),"")</f>
        <v/>
      </c>
      <c r="I85" s="279" t="str">
        <f>IF(A85&lt;&gt;"",VLOOKUP(A85,'Open Systems'!$A$4:$K$41,3,FALSE),"")</f>
        <v/>
      </c>
      <c r="J85" s="2228"/>
      <c r="K85" s="3163" t="str">
        <f>IFERROR(IF($A85&lt;&gt;"",
IF(MID($A85,10,2)="VM",(CONCATENATE(VLOOKUP($A85,VMware!$A$4:$H$41,5,FALSE)&amp;" x "&amp;VLOOKUP($A85,VMware!$A$4:$H$41,6,FALSE)&amp;" TB")),
IF($J85="OS",VLOOKUP($A85,'Open Systems'!$A$4:$K$41,9,FALSE),VLOOKUP($A85,'Open Systems'!$A$4:$K$41,11,FALSE))),""),"")</f>
        <v/>
      </c>
      <c r="L85" s="2"/>
      <c r="M85" s="2173" t="str">
        <f t="shared" si="37"/>
        <v/>
      </c>
      <c r="N85" s="817" t="str">
        <f t="shared" si="38"/>
        <v/>
      </c>
      <c r="O85" s="1090"/>
      <c r="P85" s="1019" t="str">
        <f t="shared" si="40"/>
        <v/>
      </c>
      <c r="Q85" s="1020"/>
      <c r="R85" s="1020"/>
      <c r="S85" s="1021" t="str">
        <f t="shared" si="48"/>
        <v/>
      </c>
      <c r="T85" s="1017"/>
      <c r="U85" s="1016"/>
      <c r="V85" s="3202" t="str">
        <f t="shared" si="39"/>
        <v/>
      </c>
      <c r="W85" s="1022" t="str">
        <f t="shared" si="49"/>
        <v/>
      </c>
      <c r="X85" s="1023" t="str">
        <f t="shared" si="50"/>
        <v/>
      </c>
      <c r="Y85" s="1017" t="str">
        <f t="shared" si="51"/>
        <v/>
      </c>
      <c r="Z85" s="1018" t="str">
        <f t="shared" si="41"/>
        <v/>
      </c>
      <c r="AA85" s="1022" t="str">
        <f t="shared" si="52"/>
        <v/>
      </c>
      <c r="AB85" s="1022" t="str">
        <f t="shared" si="53"/>
        <v/>
      </c>
      <c r="AC85" s="1022" t="str">
        <f t="shared" si="42"/>
        <v/>
      </c>
      <c r="AD85" s="1022" t="str">
        <f t="shared" si="43"/>
        <v/>
      </c>
      <c r="AE85" s="1022" t="str">
        <f t="shared" si="44"/>
        <v/>
      </c>
      <c r="AF85" s="3249" t="str">
        <f t="shared" si="45"/>
        <v/>
      </c>
      <c r="AG85" s="1104" t="str">
        <f>IF($A85&lt;&gt;"",IF(VLOOKUP($A85,'Distributed Assets'!$B$28:$AC$102,26,FALSE)="","N/A",VLOOKUP($A85,'Distributed Assets'!$B$28:$AC$102,26,FALSE)),"")</f>
        <v/>
      </c>
      <c r="AH85" s="2229" t="str">
        <f t="shared" si="46"/>
        <v/>
      </c>
    </row>
    <row r="86" spans="1:34" s="931" customFormat="1">
      <c r="A86" s="2224"/>
      <c r="B86" s="1782" t="str">
        <f t="shared" si="34"/>
        <v/>
      </c>
      <c r="C86" s="2728" t="str">
        <f t="shared" si="35"/>
        <v/>
      </c>
      <c r="D86" s="2226" t="str">
        <f t="shared" si="36"/>
        <v/>
      </c>
      <c r="E86" s="2909"/>
      <c r="F86" s="2906"/>
      <c r="G86" s="2225" t="str">
        <f t="shared" si="47"/>
        <v/>
      </c>
      <c r="H86" s="2227" t="str">
        <f>IF(A86&lt;&gt;"",VLOOKUP(VLOOKUP(A86,dist_assets,2,FALSE),'Distributed Assets'!$C$7:$F$22,4,FALSE),"")</f>
        <v/>
      </c>
      <c r="I86" s="279" t="str">
        <f>IF(A86&lt;&gt;"",VLOOKUP(A86,'Open Systems'!$A$4:$K$41,3,FALSE),"")</f>
        <v/>
      </c>
      <c r="J86" s="2228"/>
      <c r="K86" s="3163" t="str">
        <f>IFERROR(IF($A86&lt;&gt;"",
IF(MID($A86,10,2)="VM",(CONCATENATE(VLOOKUP($A86,VMware!$A$4:$H$41,5,FALSE)&amp;" x "&amp;VLOOKUP($A86,VMware!$A$4:$H$41,6,FALSE)&amp;" TB")),
IF($J86="OS",VLOOKUP($A86,'Open Systems'!$A$4:$K$41,9,FALSE),VLOOKUP($A86,'Open Systems'!$A$4:$K$41,11,FALSE))),""),"")</f>
        <v/>
      </c>
      <c r="L86" s="2"/>
      <c r="M86" s="2173" t="str">
        <f t="shared" si="37"/>
        <v/>
      </c>
      <c r="N86" s="817" t="str">
        <f t="shared" si="38"/>
        <v/>
      </c>
      <c r="O86" s="1090"/>
      <c r="P86" s="1019" t="str">
        <f t="shared" si="40"/>
        <v/>
      </c>
      <c r="Q86" s="1020"/>
      <c r="R86" s="1020"/>
      <c r="S86" s="1021" t="str">
        <f t="shared" si="48"/>
        <v/>
      </c>
      <c r="T86" s="1017"/>
      <c r="U86" s="1016"/>
      <c r="V86" s="3202" t="str">
        <f t="shared" si="39"/>
        <v/>
      </c>
      <c r="W86" s="1022" t="str">
        <f t="shared" si="49"/>
        <v/>
      </c>
      <c r="X86" s="1023" t="str">
        <f t="shared" si="50"/>
        <v/>
      </c>
      <c r="Y86" s="1017" t="str">
        <f t="shared" si="51"/>
        <v/>
      </c>
      <c r="Z86" s="1018" t="str">
        <f t="shared" si="41"/>
        <v/>
      </c>
      <c r="AA86" s="1022" t="str">
        <f t="shared" si="52"/>
        <v/>
      </c>
      <c r="AB86" s="1022" t="str">
        <f t="shared" si="53"/>
        <v/>
      </c>
      <c r="AC86" s="1022" t="str">
        <f t="shared" si="42"/>
        <v/>
      </c>
      <c r="AD86" s="1022" t="str">
        <f t="shared" si="43"/>
        <v/>
      </c>
      <c r="AE86" s="1022" t="str">
        <f t="shared" si="44"/>
        <v/>
      </c>
      <c r="AF86" s="3249" t="str">
        <f t="shared" si="45"/>
        <v/>
      </c>
      <c r="AG86" s="1104" t="str">
        <f>IF($A86&lt;&gt;"",IF(VLOOKUP($A86,'Distributed Assets'!$B$28:$AC$102,26,FALSE)="","N/A",VLOOKUP($A86,'Distributed Assets'!$B$28:$AC$102,26,FALSE)),"")</f>
        <v/>
      </c>
      <c r="AH86" s="2229" t="str">
        <f t="shared" si="46"/>
        <v/>
      </c>
    </row>
    <row r="87" spans="1:34" s="931" customFormat="1">
      <c r="A87" s="2224"/>
      <c r="B87" s="1782" t="str">
        <f t="shared" si="34"/>
        <v/>
      </c>
      <c r="C87" s="2728" t="str">
        <f t="shared" si="35"/>
        <v/>
      </c>
      <c r="D87" s="2226" t="str">
        <f t="shared" si="36"/>
        <v/>
      </c>
      <c r="E87" s="2909"/>
      <c r="F87" s="2906"/>
      <c r="G87" s="2225" t="str">
        <f t="shared" si="47"/>
        <v/>
      </c>
      <c r="H87" s="2227" t="str">
        <f>IF(A87&lt;&gt;"",VLOOKUP(VLOOKUP(A87,dist_assets,2,FALSE),'Distributed Assets'!$C$7:$F$22,4,FALSE),"")</f>
        <v/>
      </c>
      <c r="I87" s="279" t="str">
        <f>IF(A87&lt;&gt;"",VLOOKUP(A87,'Open Systems'!$A$4:$K$41,3,FALSE),"")</f>
        <v/>
      </c>
      <c r="J87" s="2228"/>
      <c r="K87" s="3163" t="str">
        <f>IFERROR(IF($A87&lt;&gt;"",
IF(MID($A87,10,2)="VM",(CONCATENATE(VLOOKUP($A87,VMware!$A$4:$H$41,5,FALSE)&amp;" x "&amp;VLOOKUP($A87,VMware!$A$4:$H$41,6,FALSE)&amp;" TB")),
IF($J87="OS",VLOOKUP($A87,'Open Systems'!$A$4:$K$41,9,FALSE),VLOOKUP($A87,'Open Systems'!$A$4:$K$41,11,FALSE))),""),"")</f>
        <v/>
      </c>
      <c r="L87" s="2"/>
      <c r="M87" s="2173" t="str">
        <f t="shared" si="37"/>
        <v/>
      </c>
      <c r="N87" s="817" t="str">
        <f t="shared" si="38"/>
        <v/>
      </c>
      <c r="O87" s="1090"/>
      <c r="P87" s="1019" t="str">
        <f t="shared" si="40"/>
        <v/>
      </c>
      <c r="Q87" s="1020"/>
      <c r="R87" s="1020"/>
      <c r="S87" s="1021" t="str">
        <f t="shared" si="48"/>
        <v/>
      </c>
      <c r="T87" s="1017"/>
      <c r="U87" s="1016"/>
      <c r="V87" s="3202" t="str">
        <f t="shared" si="39"/>
        <v/>
      </c>
      <c r="W87" s="1022" t="str">
        <f t="shared" si="49"/>
        <v/>
      </c>
      <c r="X87" s="1023" t="str">
        <f t="shared" si="50"/>
        <v/>
      </c>
      <c r="Y87" s="1017" t="str">
        <f t="shared" si="51"/>
        <v/>
      </c>
      <c r="Z87" s="1018" t="str">
        <f t="shared" si="41"/>
        <v/>
      </c>
      <c r="AA87" s="1022" t="str">
        <f t="shared" si="52"/>
        <v/>
      </c>
      <c r="AB87" s="1022" t="str">
        <f t="shared" si="53"/>
        <v/>
      </c>
      <c r="AC87" s="1022" t="str">
        <f t="shared" si="42"/>
        <v/>
      </c>
      <c r="AD87" s="1022" t="str">
        <f t="shared" si="43"/>
        <v/>
      </c>
      <c r="AE87" s="1022" t="str">
        <f t="shared" si="44"/>
        <v/>
      </c>
      <c r="AF87" s="3249" t="str">
        <f t="shared" si="45"/>
        <v/>
      </c>
      <c r="AG87" s="1104" t="str">
        <f>IF($A87&lt;&gt;"",IF(VLOOKUP($A87,'Distributed Assets'!$B$28:$AC$102,26,FALSE)="","N/A",VLOOKUP($A87,'Distributed Assets'!$B$28:$AC$102,26,FALSE)),"")</f>
        <v/>
      </c>
      <c r="AH87" s="2229" t="str">
        <f t="shared" si="46"/>
        <v/>
      </c>
    </row>
    <row r="88" spans="1:34" s="931" customFormat="1">
      <c r="A88" s="2224"/>
      <c r="B88" s="1782" t="str">
        <f t="shared" si="34"/>
        <v/>
      </c>
      <c r="C88" s="2728" t="str">
        <f t="shared" si="35"/>
        <v/>
      </c>
      <c r="D88" s="2226" t="str">
        <f t="shared" si="36"/>
        <v/>
      </c>
      <c r="E88" s="2909"/>
      <c r="F88" s="2906"/>
      <c r="G88" s="2225" t="str">
        <f t="shared" si="47"/>
        <v/>
      </c>
      <c r="H88" s="2227" t="str">
        <f>IF(A88&lt;&gt;"",VLOOKUP(VLOOKUP(A88,dist_assets,2,FALSE),'Distributed Assets'!$C$7:$F$22,4,FALSE),"")</f>
        <v/>
      </c>
      <c r="I88" s="279" t="str">
        <f>IF(A88&lt;&gt;"",VLOOKUP(A88,'Open Systems'!$A$4:$K$41,3,FALSE),"")</f>
        <v/>
      </c>
      <c r="J88" s="2228"/>
      <c r="K88" s="3163" t="str">
        <f>IFERROR(IF($A88&lt;&gt;"",
IF(MID($A88,10,2)="VM",(CONCATENATE(VLOOKUP($A88,VMware!$A$4:$H$41,5,FALSE)&amp;" x "&amp;VLOOKUP($A88,VMware!$A$4:$H$41,6,FALSE)&amp;" TB")),
IF($J88="OS",VLOOKUP($A88,'Open Systems'!$A$4:$K$41,9,FALSE),VLOOKUP($A88,'Open Systems'!$A$4:$K$41,11,FALSE))),""),"")</f>
        <v/>
      </c>
      <c r="L88" s="2"/>
      <c r="M88" s="2173" t="str">
        <f t="shared" si="37"/>
        <v/>
      </c>
      <c r="N88" s="817" t="str">
        <f t="shared" si="38"/>
        <v/>
      </c>
      <c r="O88" s="1090"/>
      <c r="P88" s="1019" t="str">
        <f t="shared" si="40"/>
        <v/>
      </c>
      <c r="Q88" s="1020"/>
      <c r="R88" s="1020"/>
      <c r="S88" s="1021" t="str">
        <f t="shared" si="48"/>
        <v/>
      </c>
      <c r="T88" s="1017"/>
      <c r="U88" s="1016"/>
      <c r="V88" s="3202" t="str">
        <f t="shared" si="39"/>
        <v/>
      </c>
      <c r="W88" s="1022" t="str">
        <f t="shared" si="49"/>
        <v/>
      </c>
      <c r="X88" s="1023" t="str">
        <f t="shared" si="50"/>
        <v/>
      </c>
      <c r="Y88" s="1017" t="str">
        <f t="shared" si="51"/>
        <v/>
      </c>
      <c r="Z88" s="1018" t="str">
        <f t="shared" si="41"/>
        <v/>
      </c>
      <c r="AA88" s="1022" t="str">
        <f t="shared" si="52"/>
        <v/>
      </c>
      <c r="AB88" s="1022" t="str">
        <f t="shared" si="53"/>
        <v/>
      </c>
      <c r="AC88" s="1022" t="str">
        <f t="shared" si="42"/>
        <v/>
      </c>
      <c r="AD88" s="1022" t="str">
        <f t="shared" si="43"/>
        <v/>
      </c>
      <c r="AE88" s="1022" t="str">
        <f t="shared" si="44"/>
        <v/>
      </c>
      <c r="AF88" s="3249" t="str">
        <f t="shared" si="45"/>
        <v/>
      </c>
      <c r="AG88" s="1104" t="str">
        <f>IF($A88&lt;&gt;"",IF(VLOOKUP($A88,'Distributed Assets'!$B$28:$AC$102,26,FALSE)="","N/A",VLOOKUP($A88,'Distributed Assets'!$B$28:$AC$102,26,FALSE)),"")</f>
        <v/>
      </c>
      <c r="AH88" s="2229" t="str">
        <f t="shared" si="46"/>
        <v/>
      </c>
    </row>
    <row r="89" spans="1:34" s="931" customFormat="1">
      <c r="A89" s="2224"/>
      <c r="B89" s="1782" t="str">
        <f t="shared" si="34"/>
        <v/>
      </c>
      <c r="C89" s="2728" t="str">
        <f t="shared" si="35"/>
        <v/>
      </c>
      <c r="D89" s="2226" t="str">
        <f t="shared" si="36"/>
        <v/>
      </c>
      <c r="E89" s="2909"/>
      <c r="F89" s="2906"/>
      <c r="G89" s="2225" t="str">
        <f t="shared" si="47"/>
        <v/>
      </c>
      <c r="H89" s="2227" t="str">
        <f>IF(A89&lt;&gt;"",VLOOKUP(VLOOKUP(A89,dist_assets,2,FALSE),'Distributed Assets'!$C$7:$F$22,4,FALSE),"")</f>
        <v/>
      </c>
      <c r="I89" s="279" t="str">
        <f>IF(A89&lt;&gt;"",VLOOKUP(A89,'Open Systems'!$A$4:$K$41,3,FALSE),"")</f>
        <v/>
      </c>
      <c r="J89" s="2228"/>
      <c r="K89" s="3163" t="str">
        <f>IFERROR(IF($A89&lt;&gt;"",
IF(MID($A89,10,2)="VM",(CONCATENATE(VLOOKUP($A89,VMware!$A$4:$H$41,5,FALSE)&amp;" x "&amp;VLOOKUP($A89,VMware!$A$4:$H$41,6,FALSE)&amp;" TB")),
IF($J89="OS",VLOOKUP($A89,'Open Systems'!$A$4:$K$41,9,FALSE),VLOOKUP($A89,'Open Systems'!$A$4:$K$41,11,FALSE))),""),"")</f>
        <v/>
      </c>
      <c r="L89" s="2"/>
      <c r="M89" s="2173" t="str">
        <f t="shared" si="37"/>
        <v/>
      </c>
      <c r="N89" s="817" t="str">
        <f t="shared" si="38"/>
        <v/>
      </c>
      <c r="O89" s="1090"/>
      <c r="P89" s="1019" t="str">
        <f t="shared" si="40"/>
        <v/>
      </c>
      <c r="Q89" s="1020"/>
      <c r="R89" s="1020"/>
      <c r="S89" s="1021" t="str">
        <f t="shared" si="48"/>
        <v/>
      </c>
      <c r="T89" s="1017"/>
      <c r="U89" s="1016"/>
      <c r="V89" s="3202" t="str">
        <f t="shared" si="39"/>
        <v/>
      </c>
      <c r="W89" s="1022" t="str">
        <f t="shared" si="49"/>
        <v/>
      </c>
      <c r="X89" s="1023" t="str">
        <f t="shared" si="50"/>
        <v/>
      </c>
      <c r="Y89" s="1017" t="str">
        <f t="shared" si="51"/>
        <v/>
      </c>
      <c r="Z89" s="1018" t="str">
        <f t="shared" si="41"/>
        <v/>
      </c>
      <c r="AA89" s="1022" t="str">
        <f t="shared" si="52"/>
        <v/>
      </c>
      <c r="AB89" s="1022" t="str">
        <f t="shared" si="53"/>
        <v/>
      </c>
      <c r="AC89" s="1022" t="str">
        <f t="shared" si="42"/>
        <v/>
      </c>
      <c r="AD89" s="1022" t="str">
        <f t="shared" si="43"/>
        <v/>
      </c>
      <c r="AE89" s="1022" t="str">
        <f t="shared" si="44"/>
        <v/>
      </c>
      <c r="AF89" s="3249" t="str">
        <f t="shared" si="45"/>
        <v/>
      </c>
      <c r="AG89" s="1104" t="str">
        <f>IF($A89&lt;&gt;"",IF(VLOOKUP($A89,'Distributed Assets'!$B$28:$AC$102,26,FALSE)="","N/A",VLOOKUP($A89,'Distributed Assets'!$B$28:$AC$102,26,FALSE)),"")</f>
        <v/>
      </c>
      <c r="AH89" s="2229" t="str">
        <f t="shared" si="46"/>
        <v/>
      </c>
    </row>
    <row r="90" spans="1:34" s="931" customFormat="1">
      <c r="A90" s="2224"/>
      <c r="B90" s="1782" t="str">
        <f t="shared" si="34"/>
        <v/>
      </c>
      <c r="C90" s="2728" t="str">
        <f t="shared" si="35"/>
        <v/>
      </c>
      <c r="D90" s="2226" t="str">
        <f t="shared" si="36"/>
        <v/>
      </c>
      <c r="E90" s="2909"/>
      <c r="F90" s="2906"/>
      <c r="G90" s="2225" t="str">
        <f t="shared" si="47"/>
        <v/>
      </c>
      <c r="H90" s="2227" t="str">
        <f>IF(A90&lt;&gt;"",VLOOKUP(VLOOKUP(A90,dist_assets,2,FALSE),'Distributed Assets'!$C$7:$F$22,4,FALSE),"")</f>
        <v/>
      </c>
      <c r="I90" s="279" t="str">
        <f>IF(A90&lt;&gt;"",VLOOKUP(A90,'Open Systems'!$A$4:$K$41,3,FALSE),"")</f>
        <v/>
      </c>
      <c r="J90" s="2228"/>
      <c r="K90" s="3163" t="str">
        <f>IFERROR(IF($A90&lt;&gt;"",
IF(MID($A90,10,2)="VM",(CONCATENATE(VLOOKUP($A90,VMware!$A$4:$H$41,5,FALSE)&amp;" x "&amp;VLOOKUP($A90,VMware!$A$4:$H$41,6,FALSE)&amp;" TB")),
IF($J90="OS",VLOOKUP($A90,'Open Systems'!$A$4:$K$41,9,FALSE),VLOOKUP($A90,'Open Systems'!$A$4:$K$41,11,FALSE))),""),"")</f>
        <v/>
      </c>
      <c r="L90" s="2"/>
      <c r="M90" s="2173" t="str">
        <f t="shared" si="37"/>
        <v/>
      </c>
      <c r="N90" s="817" t="str">
        <f t="shared" si="38"/>
        <v/>
      </c>
      <c r="O90" s="1090"/>
      <c r="P90" s="1019" t="str">
        <f t="shared" si="40"/>
        <v/>
      </c>
      <c r="Q90" s="1020"/>
      <c r="R90" s="1020"/>
      <c r="S90" s="1021" t="str">
        <f t="shared" si="48"/>
        <v/>
      </c>
      <c r="T90" s="1017"/>
      <c r="U90" s="1016"/>
      <c r="V90" s="3202" t="str">
        <f t="shared" si="39"/>
        <v/>
      </c>
      <c r="W90" s="1022" t="str">
        <f t="shared" si="49"/>
        <v/>
      </c>
      <c r="X90" s="1023" t="str">
        <f t="shared" si="50"/>
        <v/>
      </c>
      <c r="Y90" s="1017" t="str">
        <f t="shared" si="51"/>
        <v/>
      </c>
      <c r="Z90" s="1018" t="str">
        <f t="shared" si="41"/>
        <v/>
      </c>
      <c r="AA90" s="1022" t="str">
        <f t="shared" si="52"/>
        <v/>
      </c>
      <c r="AB90" s="1022" t="str">
        <f t="shared" si="53"/>
        <v/>
      </c>
      <c r="AC90" s="1022" t="str">
        <f t="shared" si="42"/>
        <v/>
      </c>
      <c r="AD90" s="1022" t="str">
        <f t="shared" si="43"/>
        <v/>
      </c>
      <c r="AE90" s="1022" t="str">
        <f t="shared" si="44"/>
        <v/>
      </c>
      <c r="AF90" s="3249" t="str">
        <f t="shared" si="45"/>
        <v/>
      </c>
      <c r="AG90" s="1104" t="str">
        <f>IF($A90&lt;&gt;"",IF(VLOOKUP($A90,'Distributed Assets'!$B$28:$AC$102,26,FALSE)="","N/A",VLOOKUP($A90,'Distributed Assets'!$B$28:$AC$102,26,FALSE)),"")</f>
        <v/>
      </c>
      <c r="AH90" s="2229" t="str">
        <f t="shared" si="46"/>
        <v/>
      </c>
    </row>
    <row r="91" spans="1:34" s="931" customFormat="1">
      <c r="A91" s="2224"/>
      <c r="B91" s="1782" t="str">
        <f t="shared" si="34"/>
        <v/>
      </c>
      <c r="C91" s="2728" t="str">
        <f t="shared" si="35"/>
        <v/>
      </c>
      <c r="D91" s="2226" t="str">
        <f t="shared" si="36"/>
        <v/>
      </c>
      <c r="E91" s="2909"/>
      <c r="F91" s="2906"/>
      <c r="G91" s="2225" t="str">
        <f t="shared" si="47"/>
        <v/>
      </c>
      <c r="H91" s="2227" t="str">
        <f>IF(A91&lt;&gt;"",VLOOKUP(VLOOKUP(A91,dist_assets,2,FALSE),'Distributed Assets'!$C$7:$F$22,4,FALSE),"")</f>
        <v/>
      </c>
      <c r="I91" s="279" t="str">
        <f>IF(A91&lt;&gt;"",VLOOKUP(A91,'Open Systems'!$A$4:$K$41,3,FALSE),"")</f>
        <v/>
      </c>
      <c r="J91" s="2228"/>
      <c r="K91" s="3163" t="str">
        <f>IFERROR(IF($A91&lt;&gt;"",
IF(MID($A91,10,2)="VM",(CONCATENATE(VLOOKUP($A91,VMware!$A$4:$H$41,5,FALSE)&amp;" x "&amp;VLOOKUP($A91,VMware!$A$4:$H$41,6,FALSE)&amp;" TB")),
IF($J91="OS",VLOOKUP($A91,'Open Systems'!$A$4:$K$41,9,FALSE),VLOOKUP($A91,'Open Systems'!$A$4:$K$41,11,FALSE))),""),"")</f>
        <v/>
      </c>
      <c r="L91" s="2"/>
      <c r="M91" s="2173" t="str">
        <f t="shared" si="37"/>
        <v/>
      </c>
      <c r="N91" s="817" t="str">
        <f t="shared" si="38"/>
        <v/>
      </c>
      <c r="O91" s="1090"/>
      <c r="P91" s="1019" t="str">
        <f t="shared" si="40"/>
        <v/>
      </c>
      <c r="Q91" s="1020"/>
      <c r="R91" s="1020"/>
      <c r="S91" s="1021" t="str">
        <f t="shared" si="48"/>
        <v/>
      </c>
      <c r="T91" s="1017"/>
      <c r="U91" s="1016"/>
      <c r="V91" s="3202" t="str">
        <f t="shared" si="39"/>
        <v/>
      </c>
      <c r="W91" s="1022" t="str">
        <f t="shared" si="49"/>
        <v/>
      </c>
      <c r="X91" s="1023" t="str">
        <f t="shared" si="50"/>
        <v/>
      </c>
      <c r="Y91" s="1017" t="str">
        <f t="shared" si="51"/>
        <v/>
      </c>
      <c r="Z91" s="1018" t="str">
        <f t="shared" si="41"/>
        <v/>
      </c>
      <c r="AA91" s="1022" t="str">
        <f t="shared" si="52"/>
        <v/>
      </c>
      <c r="AB91" s="1022" t="str">
        <f t="shared" si="53"/>
        <v/>
      </c>
      <c r="AC91" s="1022" t="str">
        <f t="shared" si="42"/>
        <v/>
      </c>
      <c r="AD91" s="1022" t="str">
        <f t="shared" si="43"/>
        <v/>
      </c>
      <c r="AE91" s="1022" t="str">
        <f t="shared" si="44"/>
        <v/>
      </c>
      <c r="AF91" s="3249" t="str">
        <f t="shared" si="45"/>
        <v/>
      </c>
      <c r="AG91" s="1104" t="str">
        <f>IF($A91&lt;&gt;"",IF(VLOOKUP($A91,'Distributed Assets'!$B$28:$AC$102,26,FALSE)="","N/A",VLOOKUP($A91,'Distributed Assets'!$B$28:$AC$102,26,FALSE)),"")</f>
        <v/>
      </c>
      <c r="AH91" s="2229" t="str">
        <f t="shared" si="46"/>
        <v/>
      </c>
    </row>
    <row r="92" spans="1:34" s="931" customFormat="1">
      <c r="A92" s="2224"/>
      <c r="B92" s="1782" t="str">
        <f t="shared" si="34"/>
        <v/>
      </c>
      <c r="C92" s="2728" t="str">
        <f t="shared" si="35"/>
        <v/>
      </c>
      <c r="D92" s="2226" t="str">
        <f t="shared" si="36"/>
        <v/>
      </c>
      <c r="E92" s="2909"/>
      <c r="F92" s="2906"/>
      <c r="G92" s="2225" t="str">
        <f t="shared" si="47"/>
        <v/>
      </c>
      <c r="H92" s="2227" t="str">
        <f>IF(A92&lt;&gt;"",VLOOKUP(VLOOKUP(A92,dist_assets,2,FALSE),'Distributed Assets'!$C$7:$F$22,4,FALSE),"")</f>
        <v/>
      </c>
      <c r="I92" s="279" t="str">
        <f>IF(A92&lt;&gt;"",VLOOKUP(A92,'Open Systems'!$A$4:$K$41,3,FALSE),"")</f>
        <v/>
      </c>
      <c r="J92" s="2228"/>
      <c r="K92" s="3163" t="str">
        <f>IFERROR(IF($A92&lt;&gt;"",
IF(MID($A92,10,2)="VM",(CONCATENATE(VLOOKUP($A92,VMware!$A$4:$H$41,5,FALSE)&amp;" x "&amp;VLOOKUP($A92,VMware!$A$4:$H$41,6,FALSE)&amp;" TB")),
IF($J92="OS",VLOOKUP($A92,'Open Systems'!$A$4:$K$41,9,FALSE),VLOOKUP($A92,'Open Systems'!$A$4:$K$41,11,FALSE))),""),"")</f>
        <v/>
      </c>
      <c r="L92" s="2"/>
      <c r="M92" s="2173" t="str">
        <f t="shared" si="37"/>
        <v/>
      </c>
      <c r="N92" s="817" t="str">
        <f t="shared" si="38"/>
        <v/>
      </c>
      <c r="O92" s="1090"/>
      <c r="P92" s="1019" t="str">
        <f t="shared" si="40"/>
        <v/>
      </c>
      <c r="Q92" s="1020"/>
      <c r="R92" s="1020"/>
      <c r="S92" s="1021" t="str">
        <f t="shared" si="48"/>
        <v/>
      </c>
      <c r="T92" s="1017"/>
      <c r="U92" s="1016"/>
      <c r="V92" s="3202" t="str">
        <f t="shared" si="39"/>
        <v/>
      </c>
      <c r="W92" s="1022" t="str">
        <f t="shared" si="49"/>
        <v/>
      </c>
      <c r="X92" s="1023" t="str">
        <f t="shared" si="50"/>
        <v/>
      </c>
      <c r="Y92" s="1017" t="str">
        <f t="shared" si="51"/>
        <v/>
      </c>
      <c r="Z92" s="1018" t="str">
        <f t="shared" si="41"/>
        <v/>
      </c>
      <c r="AA92" s="1022" t="str">
        <f t="shared" si="52"/>
        <v/>
      </c>
      <c r="AB92" s="1022" t="str">
        <f t="shared" si="53"/>
        <v/>
      </c>
      <c r="AC92" s="1022" t="str">
        <f t="shared" si="42"/>
        <v/>
      </c>
      <c r="AD92" s="1022" t="str">
        <f t="shared" si="43"/>
        <v/>
      </c>
      <c r="AE92" s="1022" t="str">
        <f t="shared" si="44"/>
        <v/>
      </c>
      <c r="AF92" s="3249" t="str">
        <f t="shared" si="45"/>
        <v/>
      </c>
      <c r="AG92" s="1104" t="str">
        <f>IF($A92&lt;&gt;"",IF(VLOOKUP($A92,'Distributed Assets'!$B$28:$AC$102,26,FALSE)="","N/A",VLOOKUP($A92,'Distributed Assets'!$B$28:$AC$102,26,FALSE)),"")</f>
        <v/>
      </c>
      <c r="AH92" s="2229" t="str">
        <f t="shared" si="46"/>
        <v/>
      </c>
    </row>
    <row r="93" spans="1:34" s="931" customFormat="1">
      <c r="A93" s="2224"/>
      <c r="B93" s="1782" t="str">
        <f t="shared" si="34"/>
        <v/>
      </c>
      <c r="C93" s="2728" t="str">
        <f t="shared" si="35"/>
        <v/>
      </c>
      <c r="D93" s="2226" t="str">
        <f t="shared" si="36"/>
        <v/>
      </c>
      <c r="E93" s="2909"/>
      <c r="F93" s="2906"/>
      <c r="G93" s="2225" t="str">
        <f t="shared" si="47"/>
        <v/>
      </c>
      <c r="H93" s="2227" t="str">
        <f>IF(A93&lt;&gt;"",VLOOKUP(VLOOKUP(A93,dist_assets,2,FALSE),'Distributed Assets'!$C$7:$F$22,4,FALSE),"")</f>
        <v/>
      </c>
      <c r="I93" s="279" t="str">
        <f>IF(A93&lt;&gt;"",VLOOKUP(A93,'Open Systems'!$A$4:$K$41,3,FALSE),"")</f>
        <v/>
      </c>
      <c r="J93" s="2228"/>
      <c r="K93" s="3163" t="str">
        <f>IFERROR(IF($A93&lt;&gt;"",
IF(MID($A93,10,2)="VM",(CONCATENATE(VLOOKUP($A93,VMware!$A$4:$H$41,5,FALSE)&amp;" x "&amp;VLOOKUP($A93,VMware!$A$4:$H$41,6,FALSE)&amp;" TB")),
IF($J93="OS",VLOOKUP($A93,'Open Systems'!$A$4:$K$41,9,FALSE),VLOOKUP($A93,'Open Systems'!$A$4:$K$41,11,FALSE))),""),"")</f>
        <v/>
      </c>
      <c r="L93" s="2"/>
      <c r="M93" s="2173" t="str">
        <f t="shared" si="37"/>
        <v/>
      </c>
      <c r="N93" s="817" t="str">
        <f t="shared" si="38"/>
        <v/>
      </c>
      <c r="O93" s="1090"/>
      <c r="P93" s="1019" t="str">
        <f t="shared" si="40"/>
        <v/>
      </c>
      <c r="Q93" s="1020"/>
      <c r="R93" s="1020"/>
      <c r="S93" s="1021" t="str">
        <f t="shared" si="48"/>
        <v/>
      </c>
      <c r="T93" s="1017"/>
      <c r="U93" s="1016"/>
      <c r="V93" s="3202" t="str">
        <f t="shared" si="39"/>
        <v/>
      </c>
      <c r="W93" s="1022" t="str">
        <f t="shared" si="49"/>
        <v/>
      </c>
      <c r="X93" s="1023" t="str">
        <f t="shared" si="50"/>
        <v/>
      </c>
      <c r="Y93" s="1017" t="str">
        <f t="shared" si="51"/>
        <v/>
      </c>
      <c r="Z93" s="1018" t="str">
        <f t="shared" si="41"/>
        <v/>
      </c>
      <c r="AA93" s="1022" t="str">
        <f t="shared" si="52"/>
        <v/>
      </c>
      <c r="AB93" s="1022" t="str">
        <f t="shared" si="53"/>
        <v/>
      </c>
      <c r="AC93" s="1022" t="str">
        <f t="shared" si="42"/>
        <v/>
      </c>
      <c r="AD93" s="1022" t="str">
        <f t="shared" si="43"/>
        <v/>
      </c>
      <c r="AE93" s="1022" t="str">
        <f t="shared" si="44"/>
        <v/>
      </c>
      <c r="AF93" s="3249" t="str">
        <f t="shared" si="45"/>
        <v/>
      </c>
      <c r="AG93" s="1104" t="str">
        <f>IF($A93&lt;&gt;"",IF(VLOOKUP($A93,'Distributed Assets'!$B$28:$AC$102,26,FALSE)="","N/A",VLOOKUP($A93,'Distributed Assets'!$B$28:$AC$102,26,FALSE)),"")</f>
        <v/>
      </c>
      <c r="AH93" s="2229" t="str">
        <f t="shared" si="46"/>
        <v/>
      </c>
    </row>
    <row r="94" spans="1:34" s="931" customFormat="1">
      <c r="A94" s="2224"/>
      <c r="B94" s="1782" t="str">
        <f t="shared" si="34"/>
        <v/>
      </c>
      <c r="C94" s="2728" t="str">
        <f t="shared" si="35"/>
        <v/>
      </c>
      <c r="D94" s="2226" t="str">
        <f t="shared" si="36"/>
        <v/>
      </c>
      <c r="E94" s="2909"/>
      <c r="F94" s="2906"/>
      <c r="G94" s="2225" t="str">
        <f t="shared" si="47"/>
        <v/>
      </c>
      <c r="H94" s="2227" t="str">
        <f>IF(A94&lt;&gt;"",VLOOKUP(VLOOKUP(A94,dist_assets,2,FALSE),'Distributed Assets'!$C$7:$F$22,4,FALSE),"")</f>
        <v/>
      </c>
      <c r="I94" s="279" t="str">
        <f>IF(A94&lt;&gt;"",VLOOKUP(A94,'Open Systems'!$A$4:$K$41,3,FALSE),"")</f>
        <v/>
      </c>
      <c r="J94" s="2228"/>
      <c r="K94" s="3163" t="str">
        <f>IFERROR(IF($A94&lt;&gt;"",
IF(MID($A94,10,2)="VM",(CONCATENATE(VLOOKUP($A94,VMware!$A$4:$H$41,5,FALSE)&amp;" x "&amp;VLOOKUP($A94,VMware!$A$4:$H$41,6,FALSE)&amp;" TB")),
IF($J94="OS",VLOOKUP($A94,'Open Systems'!$A$4:$K$41,9,FALSE),VLOOKUP($A94,'Open Systems'!$A$4:$K$41,11,FALSE))),""),"")</f>
        <v/>
      </c>
      <c r="L94" s="2"/>
      <c r="M94" s="2173" t="str">
        <f t="shared" si="37"/>
        <v/>
      </c>
      <c r="N94" s="817" t="str">
        <f t="shared" si="38"/>
        <v/>
      </c>
      <c r="O94" s="1090"/>
      <c r="P94" s="1019" t="str">
        <f t="shared" si="40"/>
        <v/>
      </c>
      <c r="Q94" s="1020"/>
      <c r="R94" s="1020"/>
      <c r="S94" s="1021" t="str">
        <f t="shared" si="48"/>
        <v/>
      </c>
      <c r="T94" s="1017"/>
      <c r="U94" s="1016"/>
      <c r="V94" s="3202" t="str">
        <f t="shared" si="39"/>
        <v/>
      </c>
      <c r="W94" s="1022" t="str">
        <f t="shared" si="49"/>
        <v/>
      </c>
      <c r="X94" s="1023" t="str">
        <f t="shared" si="50"/>
        <v/>
      </c>
      <c r="Y94" s="1017" t="str">
        <f t="shared" si="51"/>
        <v/>
      </c>
      <c r="Z94" s="1018" t="str">
        <f t="shared" si="41"/>
        <v/>
      </c>
      <c r="AA94" s="1022" t="str">
        <f t="shared" si="52"/>
        <v/>
      </c>
      <c r="AB94" s="1022" t="str">
        <f t="shared" si="53"/>
        <v/>
      </c>
      <c r="AC94" s="1022" t="str">
        <f t="shared" si="42"/>
        <v/>
      </c>
      <c r="AD94" s="1022" t="str">
        <f t="shared" si="43"/>
        <v/>
      </c>
      <c r="AE94" s="1022" t="str">
        <f t="shared" si="44"/>
        <v/>
      </c>
      <c r="AF94" s="3249" t="str">
        <f t="shared" si="45"/>
        <v/>
      </c>
      <c r="AG94" s="1104" t="str">
        <f>IF($A94&lt;&gt;"",IF(VLOOKUP($A94,'Distributed Assets'!$B$28:$AC$102,26,FALSE)="","N/A",VLOOKUP($A94,'Distributed Assets'!$B$28:$AC$102,26,FALSE)),"")</f>
        <v/>
      </c>
      <c r="AH94" s="2229" t="str">
        <f t="shared" si="46"/>
        <v/>
      </c>
    </row>
    <row r="95" spans="1:34" s="931" customFormat="1">
      <c r="A95" s="2224"/>
      <c r="B95" s="1782" t="str">
        <f t="shared" si="34"/>
        <v/>
      </c>
      <c r="C95" s="2728" t="str">
        <f t="shared" si="35"/>
        <v/>
      </c>
      <c r="D95" s="2226" t="str">
        <f t="shared" si="36"/>
        <v/>
      </c>
      <c r="E95" s="2909"/>
      <c r="F95" s="2906"/>
      <c r="G95" s="2225" t="str">
        <f t="shared" si="47"/>
        <v/>
      </c>
      <c r="H95" s="2227" t="str">
        <f>IF(A95&lt;&gt;"",VLOOKUP(VLOOKUP(A95,dist_assets,2,FALSE),'Distributed Assets'!$C$7:$F$22,4,FALSE),"")</f>
        <v/>
      </c>
      <c r="I95" s="279" t="str">
        <f>IF(A95&lt;&gt;"",VLOOKUP(A95,'Open Systems'!$A$4:$K$41,3,FALSE),"")</f>
        <v/>
      </c>
      <c r="J95" s="2228"/>
      <c r="K95" s="3163" t="str">
        <f>IFERROR(IF($A95&lt;&gt;"",
IF(MID($A95,10,2)="VM",(CONCATENATE(VLOOKUP($A95,VMware!$A$4:$H$41,5,FALSE)&amp;" x "&amp;VLOOKUP($A95,VMware!$A$4:$H$41,6,FALSE)&amp;" TB")),
IF($J95="OS",VLOOKUP($A95,'Open Systems'!$A$4:$K$41,9,FALSE),VLOOKUP($A95,'Open Systems'!$A$4:$K$41,11,FALSE))),""),"")</f>
        <v/>
      </c>
      <c r="L95" s="2"/>
      <c r="M95" s="2173" t="str">
        <f t="shared" si="37"/>
        <v/>
      </c>
      <c r="N95" s="817" t="str">
        <f t="shared" si="38"/>
        <v/>
      </c>
      <c r="O95" s="1090"/>
      <c r="P95" s="1019" t="str">
        <f t="shared" si="40"/>
        <v/>
      </c>
      <c r="Q95" s="1020"/>
      <c r="R95" s="1020"/>
      <c r="S95" s="1021" t="str">
        <f t="shared" si="48"/>
        <v/>
      </c>
      <c r="T95" s="1017"/>
      <c r="U95" s="1016"/>
      <c r="V95" s="3202" t="str">
        <f t="shared" si="39"/>
        <v/>
      </c>
      <c r="W95" s="1022" t="str">
        <f t="shared" si="49"/>
        <v/>
      </c>
      <c r="X95" s="1023" t="str">
        <f t="shared" si="50"/>
        <v/>
      </c>
      <c r="Y95" s="1017" t="str">
        <f t="shared" si="51"/>
        <v/>
      </c>
      <c r="Z95" s="1018" t="str">
        <f t="shared" si="41"/>
        <v/>
      </c>
      <c r="AA95" s="1022" t="str">
        <f t="shared" si="52"/>
        <v/>
      </c>
      <c r="AB95" s="1022" t="str">
        <f t="shared" si="53"/>
        <v/>
      </c>
      <c r="AC95" s="1022" t="str">
        <f t="shared" si="42"/>
        <v/>
      </c>
      <c r="AD95" s="1022" t="str">
        <f t="shared" si="43"/>
        <v/>
      </c>
      <c r="AE95" s="1022" t="str">
        <f t="shared" si="44"/>
        <v/>
      </c>
      <c r="AF95" s="3249" t="str">
        <f t="shared" si="45"/>
        <v/>
      </c>
      <c r="AG95" s="1104" t="str">
        <f>IF($A95&lt;&gt;"",IF(VLOOKUP($A95,'Distributed Assets'!$B$28:$AC$102,26,FALSE)="","N/A",VLOOKUP($A95,'Distributed Assets'!$B$28:$AC$102,26,FALSE)),"")</f>
        <v/>
      </c>
      <c r="AH95" s="2229" t="str">
        <f t="shared" si="46"/>
        <v/>
      </c>
    </row>
    <row r="96" spans="1:34" s="931" customFormat="1">
      <c r="A96" s="2224"/>
      <c r="B96" s="1782" t="str">
        <f t="shared" si="34"/>
        <v/>
      </c>
      <c r="C96" s="2728" t="str">
        <f t="shared" si="35"/>
        <v/>
      </c>
      <c r="D96" s="2226" t="str">
        <f t="shared" si="36"/>
        <v/>
      </c>
      <c r="E96" s="2909"/>
      <c r="F96" s="2906"/>
      <c r="G96" s="2225" t="str">
        <f t="shared" si="47"/>
        <v/>
      </c>
      <c r="H96" s="2227" t="str">
        <f>IF(A96&lt;&gt;"",VLOOKUP(VLOOKUP(A96,dist_assets,2,FALSE),'Distributed Assets'!$C$7:$F$22,4,FALSE),"")</f>
        <v/>
      </c>
      <c r="I96" s="279" t="str">
        <f>IF(A96&lt;&gt;"",VLOOKUP(A96,'Open Systems'!$A$4:$K$41,3,FALSE),"")</f>
        <v/>
      </c>
      <c r="J96" s="2228"/>
      <c r="K96" s="3163" t="str">
        <f>IFERROR(IF($A96&lt;&gt;"",
IF(MID($A96,10,2)="VM",(CONCATENATE(VLOOKUP($A96,VMware!$A$4:$H$41,5,FALSE)&amp;" x "&amp;VLOOKUP($A96,VMware!$A$4:$H$41,6,FALSE)&amp;" TB")),
IF($J96="OS",VLOOKUP($A96,'Open Systems'!$A$4:$K$41,9,FALSE),VLOOKUP($A96,'Open Systems'!$A$4:$K$41,11,FALSE))),""),"")</f>
        <v/>
      </c>
      <c r="L96" s="2"/>
      <c r="M96" s="2173" t="str">
        <f t="shared" si="37"/>
        <v/>
      </c>
      <c r="N96" s="817" t="str">
        <f t="shared" si="38"/>
        <v/>
      </c>
      <c r="O96" s="1090"/>
      <c r="P96" s="1019" t="str">
        <f t="shared" si="40"/>
        <v/>
      </c>
      <c r="Q96" s="1020"/>
      <c r="R96" s="1020"/>
      <c r="S96" s="1021" t="str">
        <f t="shared" si="48"/>
        <v/>
      </c>
      <c r="T96" s="1017"/>
      <c r="U96" s="1016"/>
      <c r="V96" s="3202" t="str">
        <f t="shared" si="39"/>
        <v/>
      </c>
      <c r="W96" s="1022" t="str">
        <f t="shared" si="49"/>
        <v/>
      </c>
      <c r="X96" s="1023" t="str">
        <f t="shared" si="50"/>
        <v/>
      </c>
      <c r="Y96" s="1017" t="str">
        <f t="shared" si="51"/>
        <v/>
      </c>
      <c r="Z96" s="1018" t="str">
        <f t="shared" si="41"/>
        <v/>
      </c>
      <c r="AA96" s="1022" t="str">
        <f t="shared" si="52"/>
        <v/>
      </c>
      <c r="AB96" s="1022" t="str">
        <f t="shared" si="53"/>
        <v/>
      </c>
      <c r="AC96" s="1022" t="str">
        <f t="shared" si="42"/>
        <v/>
      </c>
      <c r="AD96" s="1022" t="str">
        <f t="shared" si="43"/>
        <v/>
      </c>
      <c r="AE96" s="1022" t="str">
        <f t="shared" si="44"/>
        <v/>
      </c>
      <c r="AF96" s="3249" t="str">
        <f t="shared" si="45"/>
        <v/>
      </c>
      <c r="AG96" s="1104" t="str">
        <f>IF($A96&lt;&gt;"",IF(VLOOKUP($A96,'Distributed Assets'!$B$28:$AC$102,26,FALSE)="","N/A",VLOOKUP($A96,'Distributed Assets'!$B$28:$AC$102,26,FALSE)),"")</f>
        <v/>
      </c>
      <c r="AH96" s="2229" t="str">
        <f t="shared" si="46"/>
        <v/>
      </c>
    </row>
    <row r="97" spans="1:34" s="931" customFormat="1">
      <c r="A97" s="2224"/>
      <c r="B97" s="1782" t="str">
        <f t="shared" si="34"/>
        <v/>
      </c>
      <c r="C97" s="2728" t="str">
        <f t="shared" si="35"/>
        <v/>
      </c>
      <c r="D97" s="2226" t="str">
        <f t="shared" si="36"/>
        <v/>
      </c>
      <c r="E97" s="2909"/>
      <c r="F97" s="2906"/>
      <c r="G97" s="2225" t="str">
        <f t="shared" si="47"/>
        <v/>
      </c>
      <c r="H97" s="2227" t="str">
        <f>IF(A97&lt;&gt;"",VLOOKUP(VLOOKUP(A97,dist_assets,2,FALSE),'Distributed Assets'!$C$7:$F$22,4,FALSE),"")</f>
        <v/>
      </c>
      <c r="I97" s="279" t="str">
        <f>IF(A97&lt;&gt;"",VLOOKUP(A97,'Open Systems'!$A$4:$K$41,3,FALSE),"")</f>
        <v/>
      </c>
      <c r="J97" s="2228"/>
      <c r="K97" s="3163" t="str">
        <f>IFERROR(IF($A97&lt;&gt;"",
IF(MID($A97,10,2)="VM",(CONCATENATE(VLOOKUP($A97,VMware!$A$4:$H$41,5,FALSE)&amp;" x "&amp;VLOOKUP($A97,VMware!$A$4:$H$41,6,FALSE)&amp;" TB")),
IF($J97="OS",VLOOKUP($A97,'Open Systems'!$A$4:$K$41,9,FALSE),VLOOKUP($A97,'Open Systems'!$A$4:$K$41,11,FALSE))),""),"")</f>
        <v/>
      </c>
      <c r="L97" s="2"/>
      <c r="M97" s="2173" t="str">
        <f t="shared" si="37"/>
        <v/>
      </c>
      <c r="N97" s="817" t="str">
        <f t="shared" si="38"/>
        <v/>
      </c>
      <c r="O97" s="1090"/>
      <c r="P97" s="1019" t="str">
        <f t="shared" si="40"/>
        <v/>
      </c>
      <c r="Q97" s="1020"/>
      <c r="R97" s="1020"/>
      <c r="S97" s="1021" t="str">
        <f t="shared" si="48"/>
        <v/>
      </c>
      <c r="T97" s="1017"/>
      <c r="U97" s="1016"/>
      <c r="V97" s="3202" t="str">
        <f t="shared" si="39"/>
        <v/>
      </c>
      <c r="W97" s="1022" t="str">
        <f t="shared" si="49"/>
        <v/>
      </c>
      <c r="X97" s="1023" t="str">
        <f t="shared" si="50"/>
        <v/>
      </c>
      <c r="Y97" s="1017" t="str">
        <f t="shared" si="51"/>
        <v/>
      </c>
      <c r="Z97" s="1018" t="str">
        <f t="shared" si="41"/>
        <v/>
      </c>
      <c r="AA97" s="1022" t="str">
        <f t="shared" si="52"/>
        <v/>
      </c>
      <c r="AB97" s="1022" t="str">
        <f t="shared" si="53"/>
        <v/>
      </c>
      <c r="AC97" s="1022" t="str">
        <f t="shared" si="42"/>
        <v/>
      </c>
      <c r="AD97" s="1022" t="str">
        <f t="shared" si="43"/>
        <v/>
      </c>
      <c r="AE97" s="1022" t="str">
        <f t="shared" si="44"/>
        <v/>
      </c>
      <c r="AF97" s="3249" t="str">
        <f t="shared" si="45"/>
        <v/>
      </c>
      <c r="AG97" s="1104" t="str">
        <f>IF($A97&lt;&gt;"",IF(VLOOKUP($A97,'Distributed Assets'!$B$28:$AC$102,26,FALSE)="","N/A",VLOOKUP($A97,'Distributed Assets'!$B$28:$AC$102,26,FALSE)),"")</f>
        <v/>
      </c>
      <c r="AH97" s="2229" t="str">
        <f t="shared" si="46"/>
        <v/>
      </c>
    </row>
    <row r="98" spans="1:34" s="931" customFormat="1">
      <c r="A98" s="2224"/>
      <c r="B98" s="1782" t="str">
        <f t="shared" si="34"/>
        <v/>
      </c>
      <c r="C98" s="2728" t="str">
        <f t="shared" si="35"/>
        <v/>
      </c>
      <c r="D98" s="2226" t="str">
        <f t="shared" si="36"/>
        <v/>
      </c>
      <c r="E98" s="2909"/>
      <c r="F98" s="2906"/>
      <c r="G98" s="2225" t="str">
        <f t="shared" si="47"/>
        <v/>
      </c>
      <c r="H98" s="2227" t="str">
        <f>IF(A98&lt;&gt;"",VLOOKUP(VLOOKUP(A98,dist_assets,2,FALSE),'Distributed Assets'!$C$7:$F$22,4,FALSE),"")</f>
        <v/>
      </c>
      <c r="I98" s="279" t="str">
        <f>IF(A98&lt;&gt;"",VLOOKUP(A98,'Open Systems'!$A$4:$K$41,3,FALSE),"")</f>
        <v/>
      </c>
      <c r="J98" s="2228"/>
      <c r="K98" s="3163" t="str">
        <f>IFERROR(IF($A98&lt;&gt;"",
IF(MID($A98,10,2)="VM",(CONCATENATE(VLOOKUP($A98,VMware!$A$4:$H$41,5,FALSE)&amp;" x "&amp;VLOOKUP($A98,VMware!$A$4:$H$41,6,FALSE)&amp;" TB")),
IF($J98="OS",VLOOKUP($A98,'Open Systems'!$A$4:$K$41,9,FALSE),VLOOKUP($A98,'Open Systems'!$A$4:$K$41,11,FALSE))),""),"")</f>
        <v/>
      </c>
      <c r="L98" s="2"/>
      <c r="M98" s="2173" t="str">
        <f t="shared" si="37"/>
        <v/>
      </c>
      <c r="N98" s="817" t="str">
        <f t="shared" si="38"/>
        <v/>
      </c>
      <c r="O98" s="1090"/>
      <c r="P98" s="1019" t="str">
        <f t="shared" si="40"/>
        <v/>
      </c>
      <c r="Q98" s="1020"/>
      <c r="R98" s="1020"/>
      <c r="S98" s="1021" t="str">
        <f t="shared" si="48"/>
        <v/>
      </c>
      <c r="T98" s="1017"/>
      <c r="U98" s="1016"/>
      <c r="V98" s="3202" t="str">
        <f t="shared" si="39"/>
        <v/>
      </c>
      <c r="W98" s="1022" t="str">
        <f t="shared" si="49"/>
        <v/>
      </c>
      <c r="X98" s="1023" t="str">
        <f t="shared" si="50"/>
        <v/>
      </c>
      <c r="Y98" s="1017" t="str">
        <f t="shared" si="51"/>
        <v/>
      </c>
      <c r="Z98" s="1018" t="str">
        <f t="shared" si="41"/>
        <v/>
      </c>
      <c r="AA98" s="1022" t="str">
        <f t="shared" si="52"/>
        <v/>
      </c>
      <c r="AB98" s="1022" t="str">
        <f t="shared" si="53"/>
        <v/>
      </c>
      <c r="AC98" s="1022" t="str">
        <f t="shared" si="42"/>
        <v/>
      </c>
      <c r="AD98" s="1022" t="str">
        <f t="shared" si="43"/>
        <v/>
      </c>
      <c r="AE98" s="1022" t="str">
        <f t="shared" si="44"/>
        <v/>
      </c>
      <c r="AF98" s="3249" t="str">
        <f t="shared" si="45"/>
        <v/>
      </c>
      <c r="AG98" s="1104" t="str">
        <f>IF($A98&lt;&gt;"",IF(VLOOKUP($A98,'Distributed Assets'!$B$28:$AC$102,26,FALSE)="","N/A",VLOOKUP($A98,'Distributed Assets'!$B$28:$AC$102,26,FALSE)),"")</f>
        <v/>
      </c>
      <c r="AH98" s="2229" t="str">
        <f t="shared" si="46"/>
        <v/>
      </c>
    </row>
    <row r="99" spans="1:34" s="931" customFormat="1">
      <c r="A99" s="2224"/>
      <c r="B99" s="1782" t="str">
        <f t="shared" si="34"/>
        <v/>
      </c>
      <c r="C99" s="2728" t="str">
        <f t="shared" si="35"/>
        <v/>
      </c>
      <c r="D99" s="2226" t="str">
        <f t="shared" si="36"/>
        <v/>
      </c>
      <c r="E99" s="2909"/>
      <c r="F99" s="2906"/>
      <c r="G99" s="2225" t="str">
        <f t="shared" si="47"/>
        <v/>
      </c>
      <c r="H99" s="2227" t="str">
        <f>IF(A99&lt;&gt;"",VLOOKUP(VLOOKUP(A99,dist_assets,2,FALSE),'Distributed Assets'!$C$7:$F$22,4,FALSE),"")</f>
        <v/>
      </c>
      <c r="I99" s="279" t="str">
        <f>IF(A99&lt;&gt;"",VLOOKUP(A99,'Open Systems'!$A$4:$K$41,3,FALSE),"")</f>
        <v/>
      </c>
      <c r="J99" s="2228"/>
      <c r="K99" s="3163" t="str">
        <f>IFERROR(IF($A99&lt;&gt;"",
IF(MID($A99,10,2)="VM",(CONCATENATE(VLOOKUP($A99,VMware!$A$4:$H$41,5,FALSE)&amp;" x "&amp;VLOOKUP($A99,VMware!$A$4:$H$41,6,FALSE)&amp;" TB")),
IF($J99="OS",VLOOKUP($A99,'Open Systems'!$A$4:$K$41,9,FALSE),VLOOKUP($A99,'Open Systems'!$A$4:$K$41,11,FALSE))),""),"")</f>
        <v/>
      </c>
      <c r="L99" s="2"/>
      <c r="M99" s="2173" t="str">
        <f t="shared" si="37"/>
        <v/>
      </c>
      <c r="N99" s="817" t="str">
        <f t="shared" si="38"/>
        <v/>
      </c>
      <c r="O99" s="1090"/>
      <c r="P99" s="1019" t="str">
        <f t="shared" si="40"/>
        <v/>
      </c>
      <c r="Q99" s="1020"/>
      <c r="R99" s="1020"/>
      <c r="S99" s="1021" t="str">
        <f t="shared" si="48"/>
        <v/>
      </c>
      <c r="T99" s="1017"/>
      <c r="U99" s="1016"/>
      <c r="V99" s="3202" t="str">
        <f t="shared" si="39"/>
        <v/>
      </c>
      <c r="W99" s="1022" t="str">
        <f t="shared" si="49"/>
        <v/>
      </c>
      <c r="X99" s="1023" t="str">
        <f t="shared" si="50"/>
        <v/>
      </c>
      <c r="Y99" s="1017" t="str">
        <f t="shared" si="51"/>
        <v/>
      </c>
      <c r="Z99" s="1018" t="str">
        <f t="shared" si="41"/>
        <v/>
      </c>
      <c r="AA99" s="1022" t="str">
        <f t="shared" si="52"/>
        <v/>
      </c>
      <c r="AB99" s="1022" t="str">
        <f t="shared" si="53"/>
        <v/>
      </c>
      <c r="AC99" s="1022" t="str">
        <f t="shared" si="42"/>
        <v/>
      </c>
      <c r="AD99" s="1022" t="str">
        <f t="shared" si="43"/>
        <v/>
      </c>
      <c r="AE99" s="1022" t="str">
        <f t="shared" si="44"/>
        <v/>
      </c>
      <c r="AF99" s="3249" t="str">
        <f t="shared" si="45"/>
        <v/>
      </c>
      <c r="AG99" s="1104" t="str">
        <f>IF($A99&lt;&gt;"",IF(VLOOKUP($A99,'Distributed Assets'!$B$28:$AC$102,26,FALSE)="","N/A",VLOOKUP($A99,'Distributed Assets'!$B$28:$AC$102,26,FALSE)),"")</f>
        <v/>
      </c>
      <c r="AH99" s="2229" t="str">
        <f t="shared" si="46"/>
        <v/>
      </c>
    </row>
    <row r="100" spans="1:34" s="931" customFormat="1">
      <c r="A100" s="2224"/>
      <c r="B100" s="1782" t="str">
        <f t="shared" ref="B100:B131" si="54">IF($A100&lt;&gt;"",
      IF(MID($A100,10,2)="VM", VLOOKUP($A100,VMTab,4,FALSE), VLOOKUP($A100,dist_assets,21,FALSE)), "")</f>
        <v/>
      </c>
      <c r="C100" s="2728" t="str">
        <f t="shared" ref="C100:C131" si="55">IF($A100&lt;&gt;"",VLOOKUP($A100,dist_assets,10,FALSE),"")</f>
        <v/>
      </c>
      <c r="D100" s="2226" t="str">
        <f t="shared" ref="D100:D131" si="56">IF($A100&lt;&gt;"",
      IF(MID($A100,10,2)="VM","Existing", VLOOKUP($A100,dist_assets,3,FALSE)),"")</f>
        <v/>
      </c>
      <c r="E100" s="2909"/>
      <c r="F100" s="2906"/>
      <c r="G100" s="2225" t="str">
        <f t="shared" si="47"/>
        <v/>
      </c>
      <c r="H100" s="2227" t="str">
        <f>IF(A100&lt;&gt;"",VLOOKUP(VLOOKUP(A100,dist_assets,2,FALSE),'Distributed Assets'!$C$7:$F$22,4,FALSE),"")</f>
        <v/>
      </c>
      <c r="I100" s="279" t="str">
        <f>IF(A100&lt;&gt;"",VLOOKUP(A100,'Open Systems'!$A$4:$K$41,3,FALSE),"")</f>
        <v/>
      </c>
      <c r="J100" s="2228"/>
      <c r="K100" s="3163" t="str">
        <f>IFERROR(IF($A100&lt;&gt;"",
IF(MID($A100,10,2)="VM",(CONCATENATE(VLOOKUP($A100,VMware!$A$4:$H$41,5,FALSE)&amp;" x "&amp;VLOOKUP($A100,VMware!$A$4:$H$41,6,FALSE)&amp;" TB")),
IF($J100="OS",VLOOKUP($A100,'Open Systems'!$A$4:$K$41,9,FALSE),VLOOKUP($A100,'Open Systems'!$A$4:$K$41,11,FALSE))),""),"")</f>
        <v/>
      </c>
      <c r="L100" s="2"/>
      <c r="M100" s="2173" t="str">
        <f t="shared" ref="M100:M131" si="57">IFERROR(IF($A100&lt;&gt;"",IF(MID($A100,10,2)="VM",CONCATENATE("Shared with Servers:"&amp; CHAR(10) &amp;VLOOKUP($A100,VMTab,4,FALSE)),VLOOKUP(VLOOKUP($A100,dist_assets,17,FALSE),dist_assets,21,FALSE)),""),"")</f>
        <v/>
      </c>
      <c r="N100" s="817" t="str">
        <f t="shared" ref="N100:N131" si="58">IF($A100&lt;&gt;"",VLOOKUP($A100,dist_assets,16,FALSE),"")</f>
        <v/>
      </c>
      <c r="O100" s="1090"/>
      <c r="P100" s="1019" t="str">
        <f t="shared" si="40"/>
        <v/>
      </c>
      <c r="Q100" s="1020"/>
      <c r="R100" s="1020"/>
      <c r="S100" s="1021" t="str">
        <f t="shared" si="48"/>
        <v/>
      </c>
      <c r="T100" s="1017"/>
      <c r="U100" s="1016"/>
      <c r="V100" s="3202" t="str">
        <f t="shared" ref="V100:V131" si="59">IFERROR(IF($A100&lt;&gt;"",
      IF(AND(MID($A100,10,2)="VM", VLOOKUP($A100,VMTab,7,FALSE)="Yes"), $K100,
            IF($H100="Prod 2.0", $K100,"")),""),"")</f>
        <v/>
      </c>
      <c r="W100" s="1022" t="str">
        <f t="shared" si="49"/>
        <v/>
      </c>
      <c r="X100" s="1023" t="str">
        <f t="shared" si="50"/>
        <v/>
      </c>
      <c r="Y100" s="1017" t="str">
        <f t="shared" si="51"/>
        <v/>
      </c>
      <c r="Z100" s="1018" t="str">
        <f t="shared" si="41"/>
        <v/>
      </c>
      <c r="AA100" s="1022" t="str">
        <f t="shared" si="52"/>
        <v/>
      </c>
      <c r="AB100" s="1022" t="str">
        <f t="shared" si="53"/>
        <v/>
      </c>
      <c r="AC100" s="1022" t="str">
        <f t="shared" si="42"/>
        <v/>
      </c>
      <c r="AD100" s="1022" t="str">
        <f t="shared" si="43"/>
        <v/>
      </c>
      <c r="AE100" s="1022" t="str">
        <f t="shared" si="44"/>
        <v/>
      </c>
      <c r="AF100" s="3249" t="str">
        <f t="shared" si="45"/>
        <v/>
      </c>
      <c r="AG100" s="1104" t="str">
        <f>IF($A100&lt;&gt;"",IF(VLOOKUP($A100,'Distributed Assets'!$B$28:$AC$102,26,FALSE)="","N/A",VLOOKUP($A100,'Distributed Assets'!$B$28:$AC$102,26,FALSE)),"")</f>
        <v/>
      </c>
      <c r="AH100" s="2229" t="str">
        <f t="shared" si="46"/>
        <v/>
      </c>
    </row>
    <row r="101" spans="1:34" s="931" customFormat="1">
      <c r="A101" s="2224"/>
      <c r="B101" s="1782" t="str">
        <f t="shared" si="54"/>
        <v/>
      </c>
      <c r="C101" s="2728" t="str">
        <f t="shared" si="55"/>
        <v/>
      </c>
      <c r="D101" s="2226" t="str">
        <f t="shared" si="56"/>
        <v/>
      </c>
      <c r="E101" s="2909"/>
      <c r="F101" s="2906"/>
      <c r="G101" s="2225" t="str">
        <f t="shared" si="47"/>
        <v/>
      </c>
      <c r="H101" s="2227" t="str">
        <f>IF(A101&lt;&gt;"",VLOOKUP(VLOOKUP(A101,dist_assets,2,FALSE),'Distributed Assets'!$C$7:$F$22,4,FALSE),"")</f>
        <v/>
      </c>
      <c r="I101" s="279" t="str">
        <f>IF(A101&lt;&gt;"",VLOOKUP(A101,'Open Systems'!$A$4:$K$41,3,FALSE),"")</f>
        <v/>
      </c>
      <c r="J101" s="2228"/>
      <c r="K101" s="3163" t="str">
        <f>IFERROR(IF($A101&lt;&gt;"",
IF(MID($A101,10,2)="VM",(CONCATENATE(VLOOKUP($A101,VMware!$A$4:$H$41,5,FALSE)&amp;" x "&amp;VLOOKUP($A101,VMware!$A$4:$H$41,6,FALSE)&amp;" TB")),
IF($J101="OS",VLOOKUP($A101,'Open Systems'!$A$4:$K$41,9,FALSE),VLOOKUP($A101,'Open Systems'!$A$4:$K$41,11,FALSE))),""),"")</f>
        <v/>
      </c>
      <c r="L101" s="2"/>
      <c r="M101" s="2173" t="str">
        <f t="shared" si="57"/>
        <v/>
      </c>
      <c r="N101" s="817" t="str">
        <f t="shared" si="58"/>
        <v/>
      </c>
      <c r="O101" s="1090"/>
      <c r="P101" s="1019" t="str">
        <f t="shared" si="40"/>
        <v/>
      </c>
      <c r="Q101" s="1020"/>
      <c r="R101" s="1020"/>
      <c r="S101" s="1021" t="str">
        <f t="shared" si="48"/>
        <v/>
      </c>
      <c r="T101" s="1017"/>
      <c r="U101" s="1016"/>
      <c r="V101" s="3202" t="str">
        <f t="shared" si="59"/>
        <v/>
      </c>
      <c r="W101" s="1022" t="str">
        <f t="shared" si="49"/>
        <v/>
      </c>
      <c r="X101" s="1023" t="str">
        <f t="shared" si="50"/>
        <v/>
      </c>
      <c r="Y101" s="1017" t="str">
        <f t="shared" si="51"/>
        <v/>
      </c>
      <c r="Z101" s="1018" t="str">
        <f t="shared" si="41"/>
        <v/>
      </c>
      <c r="AA101" s="1022" t="str">
        <f t="shared" si="52"/>
        <v/>
      </c>
      <c r="AB101" s="1022" t="str">
        <f t="shared" si="53"/>
        <v/>
      </c>
      <c r="AC101" s="1022" t="str">
        <f t="shared" si="42"/>
        <v/>
      </c>
      <c r="AD101" s="1022" t="str">
        <f t="shared" si="43"/>
        <v/>
      </c>
      <c r="AE101" s="1022" t="str">
        <f t="shared" si="44"/>
        <v/>
      </c>
      <c r="AF101" s="3249" t="str">
        <f t="shared" si="45"/>
        <v/>
      </c>
      <c r="AG101" s="1104" t="str">
        <f>IF($A101&lt;&gt;"",IF(VLOOKUP($A101,'Distributed Assets'!$B$28:$AC$102,26,FALSE)="","N/A",VLOOKUP($A101,'Distributed Assets'!$B$28:$AC$102,26,FALSE)),"")</f>
        <v/>
      </c>
      <c r="AH101" s="2229" t="str">
        <f t="shared" si="46"/>
        <v/>
      </c>
    </row>
    <row r="102" spans="1:34" s="931" customFormat="1">
      <c r="A102" s="2224"/>
      <c r="B102" s="1782" t="str">
        <f t="shared" si="54"/>
        <v/>
      </c>
      <c r="C102" s="2728" t="str">
        <f t="shared" si="55"/>
        <v/>
      </c>
      <c r="D102" s="2226" t="str">
        <f t="shared" si="56"/>
        <v/>
      </c>
      <c r="E102" s="2909"/>
      <c r="F102" s="2906"/>
      <c r="G102" s="2225" t="str">
        <f t="shared" si="47"/>
        <v/>
      </c>
      <c r="H102" s="2227" t="str">
        <f>IF(A102&lt;&gt;"",VLOOKUP(VLOOKUP(A102,dist_assets,2,FALSE),'Distributed Assets'!$C$7:$F$22,4,FALSE),"")</f>
        <v/>
      </c>
      <c r="I102" s="279" t="str">
        <f>IF(A102&lt;&gt;"",VLOOKUP(A102,'Open Systems'!$A$4:$K$41,3,FALSE),"")</f>
        <v/>
      </c>
      <c r="J102" s="2228"/>
      <c r="K102" s="3163" t="str">
        <f>IFERROR(IF($A102&lt;&gt;"",
IF(MID($A102,10,2)="VM",(CONCATENATE(VLOOKUP($A102,VMware!$A$4:$H$41,5,FALSE)&amp;" x "&amp;VLOOKUP($A102,VMware!$A$4:$H$41,6,FALSE)&amp;" TB")),
IF($J102="OS",VLOOKUP($A102,'Open Systems'!$A$4:$K$41,9,FALSE),VLOOKUP($A102,'Open Systems'!$A$4:$K$41,11,FALSE))),""),"")</f>
        <v/>
      </c>
      <c r="L102" s="2"/>
      <c r="M102" s="2173" t="str">
        <f t="shared" si="57"/>
        <v/>
      </c>
      <c r="N102" s="817" t="str">
        <f t="shared" si="58"/>
        <v/>
      </c>
      <c r="O102" s="1090"/>
      <c r="P102" s="1019" t="str">
        <f t="shared" si="40"/>
        <v/>
      </c>
      <c r="Q102" s="1020"/>
      <c r="R102" s="1020"/>
      <c r="S102" s="1021" t="str">
        <f t="shared" si="48"/>
        <v/>
      </c>
      <c r="T102" s="1017"/>
      <c r="U102" s="1016"/>
      <c r="V102" s="3202" t="str">
        <f t="shared" si="59"/>
        <v/>
      </c>
      <c r="W102" s="1022" t="str">
        <f t="shared" si="49"/>
        <v/>
      </c>
      <c r="X102" s="1023" t="str">
        <f t="shared" si="50"/>
        <v/>
      </c>
      <c r="Y102" s="1017" t="str">
        <f t="shared" si="51"/>
        <v/>
      </c>
      <c r="Z102" s="1018" t="str">
        <f t="shared" si="41"/>
        <v/>
      </c>
      <c r="AA102" s="1022" t="str">
        <f t="shared" si="52"/>
        <v/>
      </c>
      <c r="AB102" s="1022" t="str">
        <f t="shared" si="53"/>
        <v/>
      </c>
      <c r="AC102" s="1022" t="str">
        <f t="shared" si="42"/>
        <v/>
      </c>
      <c r="AD102" s="1022" t="str">
        <f t="shared" si="43"/>
        <v/>
      </c>
      <c r="AE102" s="1022" t="str">
        <f t="shared" si="44"/>
        <v/>
      </c>
      <c r="AF102" s="3249" t="str">
        <f t="shared" si="45"/>
        <v/>
      </c>
      <c r="AG102" s="1104" t="str">
        <f>IF($A102&lt;&gt;"",IF(VLOOKUP($A102,'Distributed Assets'!$B$28:$AC$102,26,FALSE)="","N/A",VLOOKUP($A102,'Distributed Assets'!$B$28:$AC$102,26,FALSE)),"")</f>
        <v/>
      </c>
      <c r="AH102" s="2229" t="str">
        <f t="shared" si="46"/>
        <v/>
      </c>
    </row>
    <row r="103" spans="1:34" s="931" customFormat="1">
      <c r="A103" s="2224"/>
      <c r="B103" s="1782" t="str">
        <f t="shared" si="54"/>
        <v/>
      </c>
      <c r="C103" s="2728" t="str">
        <f t="shared" si="55"/>
        <v/>
      </c>
      <c r="D103" s="2226" t="str">
        <f t="shared" si="56"/>
        <v/>
      </c>
      <c r="E103" s="2909"/>
      <c r="F103" s="2906"/>
      <c r="G103" s="2225" t="str">
        <f t="shared" si="47"/>
        <v/>
      </c>
      <c r="H103" s="2227" t="str">
        <f>IF(A103&lt;&gt;"",VLOOKUP(VLOOKUP(A103,dist_assets,2,FALSE),'Distributed Assets'!$C$7:$F$22,4,FALSE),"")</f>
        <v/>
      </c>
      <c r="I103" s="279" t="str">
        <f>IF(A103&lt;&gt;"",VLOOKUP(A103,'Open Systems'!$A$4:$K$41,3,FALSE),"")</f>
        <v/>
      </c>
      <c r="J103" s="2228"/>
      <c r="K103" s="3163" t="str">
        <f>IFERROR(IF($A103&lt;&gt;"",
IF(MID($A103,10,2)="VM",(CONCATENATE(VLOOKUP($A103,VMware!$A$4:$H$41,5,FALSE)&amp;" x "&amp;VLOOKUP($A103,VMware!$A$4:$H$41,6,FALSE)&amp;" TB")),
IF($J103="OS",VLOOKUP($A103,'Open Systems'!$A$4:$K$41,9,FALSE),VLOOKUP($A103,'Open Systems'!$A$4:$K$41,11,FALSE))),""),"")</f>
        <v/>
      </c>
      <c r="L103" s="2"/>
      <c r="M103" s="2173" t="str">
        <f t="shared" si="57"/>
        <v/>
      </c>
      <c r="N103" s="817" t="str">
        <f t="shared" si="58"/>
        <v/>
      </c>
      <c r="O103" s="1090"/>
      <c r="P103" s="1019" t="str">
        <f t="shared" si="40"/>
        <v/>
      </c>
      <c r="Q103" s="1020"/>
      <c r="R103" s="1020"/>
      <c r="S103" s="1021" t="str">
        <f t="shared" si="48"/>
        <v/>
      </c>
      <c r="T103" s="1017"/>
      <c r="U103" s="1016"/>
      <c r="V103" s="3202" t="str">
        <f t="shared" si="59"/>
        <v/>
      </c>
      <c r="W103" s="1022" t="str">
        <f t="shared" si="49"/>
        <v/>
      </c>
      <c r="X103" s="1023" t="str">
        <f t="shared" si="50"/>
        <v/>
      </c>
      <c r="Y103" s="1017" t="str">
        <f t="shared" si="51"/>
        <v/>
      </c>
      <c r="Z103" s="1018" t="str">
        <f t="shared" si="41"/>
        <v/>
      </c>
      <c r="AA103" s="1022" t="str">
        <f t="shared" si="52"/>
        <v/>
      </c>
      <c r="AB103" s="1022" t="str">
        <f t="shared" si="53"/>
        <v/>
      </c>
      <c r="AC103" s="1022" t="str">
        <f t="shared" si="42"/>
        <v/>
      </c>
      <c r="AD103" s="1022" t="str">
        <f t="shared" si="43"/>
        <v/>
      </c>
      <c r="AE103" s="1022" t="str">
        <f t="shared" si="44"/>
        <v/>
      </c>
      <c r="AF103" s="3249" t="str">
        <f t="shared" si="45"/>
        <v/>
      </c>
      <c r="AG103" s="1104" t="str">
        <f>IF($A103&lt;&gt;"",IF(VLOOKUP($A103,'Distributed Assets'!$B$28:$AC$102,26,FALSE)="","N/A",VLOOKUP($A103,'Distributed Assets'!$B$28:$AC$102,26,FALSE)),"")</f>
        <v/>
      </c>
      <c r="AH103" s="2229" t="str">
        <f t="shared" si="46"/>
        <v/>
      </c>
    </row>
    <row r="104" spans="1:34" s="931" customFormat="1">
      <c r="A104" s="2224"/>
      <c r="B104" s="1782" t="str">
        <f t="shared" si="54"/>
        <v/>
      </c>
      <c r="C104" s="2728" t="str">
        <f t="shared" si="55"/>
        <v/>
      </c>
      <c r="D104" s="2226" t="str">
        <f t="shared" si="56"/>
        <v/>
      </c>
      <c r="E104" s="2909"/>
      <c r="F104" s="2906"/>
      <c r="G104" s="2225" t="str">
        <f t="shared" si="47"/>
        <v/>
      </c>
      <c r="H104" s="2227" t="str">
        <f>IF(A104&lt;&gt;"",VLOOKUP(VLOOKUP(A104,dist_assets,2,FALSE),'Distributed Assets'!$C$7:$F$22,4,FALSE),"")</f>
        <v/>
      </c>
      <c r="I104" s="279" t="str">
        <f>IF(A104&lt;&gt;"",VLOOKUP(A104,'Open Systems'!$A$4:$K$41,3,FALSE),"")</f>
        <v/>
      </c>
      <c r="J104" s="2228"/>
      <c r="K104" s="3163" t="str">
        <f>IFERROR(IF($A104&lt;&gt;"",
IF(MID($A104,10,2)="VM",(CONCATENATE(VLOOKUP($A104,VMware!$A$4:$H$41,5,FALSE)&amp;" x "&amp;VLOOKUP($A104,VMware!$A$4:$H$41,6,FALSE)&amp;" TB")),
IF($J104="OS",VLOOKUP($A104,'Open Systems'!$A$4:$K$41,9,FALSE),VLOOKUP($A104,'Open Systems'!$A$4:$K$41,11,FALSE))),""),"")</f>
        <v/>
      </c>
      <c r="L104" s="2"/>
      <c r="M104" s="2173" t="str">
        <f t="shared" si="57"/>
        <v/>
      </c>
      <c r="N104" s="817" t="str">
        <f t="shared" si="58"/>
        <v/>
      </c>
      <c r="O104" s="1090"/>
      <c r="P104" s="1019" t="str">
        <f t="shared" si="40"/>
        <v/>
      </c>
      <c r="Q104" s="1020"/>
      <c r="R104" s="1020"/>
      <c r="S104" s="1021" t="str">
        <f t="shared" si="48"/>
        <v/>
      </c>
      <c r="T104" s="1017"/>
      <c r="U104" s="1016"/>
      <c r="V104" s="3202" t="str">
        <f t="shared" si="59"/>
        <v/>
      </c>
      <c r="W104" s="1022" t="str">
        <f t="shared" si="49"/>
        <v/>
      </c>
      <c r="X104" s="1023" t="str">
        <f t="shared" si="50"/>
        <v/>
      </c>
      <c r="Y104" s="1017" t="str">
        <f t="shared" si="51"/>
        <v/>
      </c>
      <c r="Z104" s="1018" t="str">
        <f t="shared" si="41"/>
        <v/>
      </c>
      <c r="AA104" s="1022" t="str">
        <f t="shared" si="52"/>
        <v/>
      </c>
      <c r="AB104" s="1022" t="str">
        <f t="shared" si="53"/>
        <v/>
      </c>
      <c r="AC104" s="1022" t="str">
        <f t="shared" si="42"/>
        <v/>
      </c>
      <c r="AD104" s="1022" t="str">
        <f t="shared" si="43"/>
        <v/>
      </c>
      <c r="AE104" s="1022" t="str">
        <f t="shared" si="44"/>
        <v/>
      </c>
      <c r="AF104" s="3249" t="str">
        <f t="shared" si="45"/>
        <v/>
      </c>
      <c r="AG104" s="1104" t="str">
        <f>IF($A104&lt;&gt;"",IF(VLOOKUP($A104,'Distributed Assets'!$B$28:$AC$102,26,FALSE)="","N/A",VLOOKUP($A104,'Distributed Assets'!$B$28:$AC$102,26,FALSE)),"")</f>
        <v/>
      </c>
      <c r="AH104" s="2229" t="str">
        <f t="shared" si="46"/>
        <v/>
      </c>
    </row>
    <row r="105" spans="1:34" s="931" customFormat="1">
      <c r="A105" s="2224"/>
      <c r="B105" s="1782" t="str">
        <f t="shared" si="54"/>
        <v/>
      </c>
      <c r="C105" s="2728" t="str">
        <f t="shared" si="55"/>
        <v/>
      </c>
      <c r="D105" s="2226" t="str">
        <f t="shared" si="56"/>
        <v/>
      </c>
      <c r="E105" s="2909"/>
      <c r="F105" s="2906"/>
      <c r="G105" s="2225" t="str">
        <f t="shared" si="47"/>
        <v/>
      </c>
      <c r="H105" s="2227" t="str">
        <f>IF(A105&lt;&gt;"",VLOOKUP(VLOOKUP(A105,dist_assets,2,FALSE),'Distributed Assets'!$C$7:$F$22,4,FALSE),"")</f>
        <v/>
      </c>
      <c r="I105" s="279" t="str">
        <f>IF(A105&lt;&gt;"",VLOOKUP(A105,'Open Systems'!$A$4:$K$41,3,FALSE),"")</f>
        <v/>
      </c>
      <c r="J105" s="2228"/>
      <c r="K105" s="3163" t="str">
        <f>IFERROR(IF($A105&lt;&gt;"",
IF(MID($A105,10,2)="VM",(CONCATENATE(VLOOKUP($A105,VMware!$A$4:$H$41,5,FALSE)&amp;" x "&amp;VLOOKUP($A105,VMware!$A$4:$H$41,6,FALSE)&amp;" TB")),
IF($J105="OS",VLOOKUP($A105,'Open Systems'!$A$4:$K$41,9,FALSE),VLOOKUP($A105,'Open Systems'!$A$4:$K$41,11,FALSE))),""),"")</f>
        <v/>
      </c>
      <c r="L105" s="2"/>
      <c r="M105" s="2173" t="str">
        <f t="shared" si="57"/>
        <v/>
      </c>
      <c r="N105" s="817" t="str">
        <f t="shared" si="58"/>
        <v/>
      </c>
      <c r="O105" s="1090"/>
      <c r="P105" s="1019" t="str">
        <f t="shared" si="40"/>
        <v/>
      </c>
      <c r="Q105" s="1020"/>
      <c r="R105" s="1020"/>
      <c r="S105" s="1021" t="str">
        <f t="shared" si="48"/>
        <v/>
      </c>
      <c r="T105" s="1017"/>
      <c r="U105" s="1016"/>
      <c r="V105" s="3202" t="str">
        <f t="shared" si="59"/>
        <v/>
      </c>
      <c r="W105" s="1022" t="str">
        <f t="shared" si="49"/>
        <v/>
      </c>
      <c r="X105" s="1023" t="str">
        <f t="shared" si="50"/>
        <v/>
      </c>
      <c r="Y105" s="1017" t="str">
        <f t="shared" si="51"/>
        <v/>
      </c>
      <c r="Z105" s="1018" t="str">
        <f t="shared" si="41"/>
        <v/>
      </c>
      <c r="AA105" s="1022" t="str">
        <f t="shared" si="52"/>
        <v/>
      </c>
      <c r="AB105" s="1022" t="str">
        <f t="shared" si="53"/>
        <v/>
      </c>
      <c r="AC105" s="1022" t="str">
        <f t="shared" si="42"/>
        <v/>
      </c>
      <c r="AD105" s="1022" t="str">
        <f t="shared" si="43"/>
        <v/>
      </c>
      <c r="AE105" s="1022" t="str">
        <f t="shared" si="44"/>
        <v/>
      </c>
      <c r="AF105" s="3249" t="str">
        <f t="shared" si="45"/>
        <v/>
      </c>
      <c r="AG105" s="1104" t="str">
        <f>IF($A105&lt;&gt;"",IF(VLOOKUP($A105,'Distributed Assets'!$B$28:$AC$102,26,FALSE)="","N/A",VLOOKUP($A105,'Distributed Assets'!$B$28:$AC$102,26,FALSE)),"")</f>
        <v/>
      </c>
      <c r="AH105" s="2229" t="str">
        <f t="shared" si="46"/>
        <v/>
      </c>
    </row>
    <row r="106" spans="1:34" s="931" customFormat="1">
      <c r="A106" s="2224"/>
      <c r="B106" s="1782" t="str">
        <f t="shared" si="54"/>
        <v/>
      </c>
      <c r="C106" s="2728" t="str">
        <f t="shared" si="55"/>
        <v/>
      </c>
      <c r="D106" s="2226" t="str">
        <f t="shared" si="56"/>
        <v/>
      </c>
      <c r="E106" s="2909"/>
      <c r="F106" s="2906"/>
      <c r="G106" s="2225" t="str">
        <f t="shared" si="47"/>
        <v/>
      </c>
      <c r="H106" s="2227" t="str">
        <f>IF(A106&lt;&gt;"",VLOOKUP(VLOOKUP(A106,dist_assets,2,FALSE),'Distributed Assets'!$C$7:$F$22,4,FALSE),"")</f>
        <v/>
      </c>
      <c r="I106" s="279" t="str">
        <f>IF(A106&lt;&gt;"",VLOOKUP(A106,'Open Systems'!$A$4:$K$41,3,FALSE),"")</f>
        <v/>
      </c>
      <c r="J106" s="2228"/>
      <c r="K106" s="3163" t="str">
        <f>IFERROR(IF($A106&lt;&gt;"",
IF(MID($A106,10,2)="VM",(CONCATENATE(VLOOKUP($A106,VMware!$A$4:$H$41,5,FALSE)&amp;" x "&amp;VLOOKUP($A106,VMware!$A$4:$H$41,6,FALSE)&amp;" TB")),
IF($J106="OS",VLOOKUP($A106,'Open Systems'!$A$4:$K$41,9,FALSE),VLOOKUP($A106,'Open Systems'!$A$4:$K$41,11,FALSE))),""),"")</f>
        <v/>
      </c>
      <c r="L106" s="2"/>
      <c r="M106" s="2173" t="str">
        <f t="shared" si="57"/>
        <v/>
      </c>
      <c r="N106" s="817" t="str">
        <f t="shared" si="58"/>
        <v/>
      </c>
      <c r="O106" s="1090"/>
      <c r="P106" s="1019" t="str">
        <f t="shared" si="40"/>
        <v/>
      </c>
      <c r="Q106" s="1020"/>
      <c r="R106" s="1020"/>
      <c r="S106" s="1021" t="str">
        <f t="shared" si="48"/>
        <v/>
      </c>
      <c r="T106" s="1017"/>
      <c r="U106" s="1016"/>
      <c r="V106" s="3202" t="str">
        <f t="shared" si="59"/>
        <v/>
      </c>
      <c r="W106" s="1022" t="str">
        <f t="shared" si="49"/>
        <v/>
      </c>
      <c r="X106" s="1023" t="str">
        <f t="shared" si="50"/>
        <v/>
      </c>
      <c r="Y106" s="1017" t="str">
        <f t="shared" si="51"/>
        <v/>
      </c>
      <c r="Z106" s="1018" t="str">
        <f t="shared" si="41"/>
        <v/>
      </c>
      <c r="AA106" s="1022" t="str">
        <f t="shared" si="52"/>
        <v/>
      </c>
      <c r="AB106" s="1022" t="str">
        <f t="shared" si="53"/>
        <v/>
      </c>
      <c r="AC106" s="1022" t="str">
        <f t="shared" si="42"/>
        <v/>
      </c>
      <c r="AD106" s="1022" t="str">
        <f t="shared" si="43"/>
        <v/>
      </c>
      <c r="AE106" s="1022" t="str">
        <f t="shared" si="44"/>
        <v/>
      </c>
      <c r="AF106" s="3249" t="str">
        <f t="shared" si="45"/>
        <v/>
      </c>
      <c r="AG106" s="1104" t="str">
        <f>IF($A106&lt;&gt;"",IF(VLOOKUP($A106,'Distributed Assets'!$B$28:$AC$102,26,FALSE)="","N/A",VLOOKUP($A106,'Distributed Assets'!$B$28:$AC$102,26,FALSE)),"")</f>
        <v/>
      </c>
      <c r="AH106" s="2229" t="str">
        <f t="shared" si="46"/>
        <v/>
      </c>
    </row>
    <row r="107" spans="1:34" s="931" customFormat="1">
      <c r="A107" s="2224"/>
      <c r="B107" s="1782" t="str">
        <f t="shared" si="54"/>
        <v/>
      </c>
      <c r="C107" s="2728" t="str">
        <f t="shared" si="55"/>
        <v/>
      </c>
      <c r="D107" s="2226" t="str">
        <f t="shared" si="56"/>
        <v/>
      </c>
      <c r="E107" s="2909"/>
      <c r="F107" s="2906"/>
      <c r="G107" s="2225" t="str">
        <f t="shared" si="47"/>
        <v/>
      </c>
      <c r="H107" s="2227" t="str">
        <f>IF(A107&lt;&gt;"",VLOOKUP(VLOOKUP(A107,dist_assets,2,FALSE),'Distributed Assets'!$C$7:$F$22,4,FALSE),"")</f>
        <v/>
      </c>
      <c r="I107" s="279" t="str">
        <f>IF(A107&lt;&gt;"",VLOOKUP(A107,'Open Systems'!$A$4:$K$41,3,FALSE),"")</f>
        <v/>
      </c>
      <c r="J107" s="2228"/>
      <c r="K107" s="3163" t="str">
        <f>IFERROR(IF($A107&lt;&gt;"",
IF(MID($A107,10,2)="VM",(CONCATENATE(VLOOKUP($A107,VMware!$A$4:$H$41,5,FALSE)&amp;" x "&amp;VLOOKUP($A107,VMware!$A$4:$H$41,6,FALSE)&amp;" TB")),
IF($J107="OS",VLOOKUP($A107,'Open Systems'!$A$4:$K$41,9,FALSE),VLOOKUP($A107,'Open Systems'!$A$4:$K$41,11,FALSE))),""),"")</f>
        <v/>
      </c>
      <c r="L107" s="2"/>
      <c r="M107" s="2173" t="str">
        <f t="shared" si="57"/>
        <v/>
      </c>
      <c r="N107" s="817" t="str">
        <f t="shared" si="58"/>
        <v/>
      </c>
      <c r="O107" s="1090"/>
      <c r="P107" s="1019" t="str">
        <f t="shared" si="40"/>
        <v/>
      </c>
      <c r="Q107" s="1020"/>
      <c r="R107" s="1020"/>
      <c r="S107" s="1021" t="str">
        <f t="shared" si="48"/>
        <v/>
      </c>
      <c r="T107" s="1017"/>
      <c r="U107" s="1016"/>
      <c r="V107" s="3202" t="str">
        <f t="shared" si="59"/>
        <v/>
      </c>
      <c r="W107" s="1022" t="str">
        <f t="shared" si="49"/>
        <v/>
      </c>
      <c r="X107" s="1023" t="str">
        <f t="shared" si="50"/>
        <v/>
      </c>
      <c r="Y107" s="1017" t="str">
        <f t="shared" si="51"/>
        <v/>
      </c>
      <c r="Z107" s="1018" t="str">
        <f t="shared" si="41"/>
        <v/>
      </c>
      <c r="AA107" s="1022" t="str">
        <f t="shared" si="52"/>
        <v/>
      </c>
      <c r="AB107" s="1022" t="str">
        <f t="shared" si="53"/>
        <v/>
      </c>
      <c r="AC107" s="1022" t="str">
        <f t="shared" si="42"/>
        <v/>
      </c>
      <c r="AD107" s="1022" t="str">
        <f t="shared" si="43"/>
        <v/>
      </c>
      <c r="AE107" s="1022" t="str">
        <f t="shared" si="44"/>
        <v/>
      </c>
      <c r="AF107" s="3249" t="str">
        <f t="shared" si="45"/>
        <v/>
      </c>
      <c r="AG107" s="1104" t="str">
        <f>IF($A107&lt;&gt;"",IF(VLOOKUP($A107,'Distributed Assets'!$B$28:$AC$102,26,FALSE)="","N/A",VLOOKUP($A107,'Distributed Assets'!$B$28:$AC$102,26,FALSE)),"")</f>
        <v/>
      </c>
      <c r="AH107" s="2229" t="str">
        <f t="shared" si="46"/>
        <v/>
      </c>
    </row>
    <row r="108" spans="1:34" s="931" customFormat="1">
      <c r="A108" s="2224"/>
      <c r="B108" s="1782" t="str">
        <f t="shared" si="54"/>
        <v/>
      </c>
      <c r="C108" s="2728" t="str">
        <f t="shared" si="55"/>
        <v/>
      </c>
      <c r="D108" s="2226" t="str">
        <f t="shared" si="56"/>
        <v/>
      </c>
      <c r="E108" s="2909"/>
      <c r="F108" s="2906"/>
      <c r="G108" s="2225" t="str">
        <f t="shared" si="47"/>
        <v/>
      </c>
      <c r="H108" s="2227" t="str">
        <f>IF(A108&lt;&gt;"",VLOOKUP(VLOOKUP(A108,dist_assets,2,FALSE),'Distributed Assets'!$C$7:$F$22,4,FALSE),"")</f>
        <v/>
      </c>
      <c r="I108" s="279" t="str">
        <f>IF(A108&lt;&gt;"",VLOOKUP(A108,'Open Systems'!$A$4:$K$41,3,FALSE),"")</f>
        <v/>
      </c>
      <c r="J108" s="2228"/>
      <c r="K108" s="3163" t="str">
        <f>IFERROR(IF($A108&lt;&gt;"",
IF(MID($A108,10,2)="VM",(CONCATENATE(VLOOKUP($A108,VMware!$A$4:$H$41,5,FALSE)&amp;" x "&amp;VLOOKUP($A108,VMware!$A$4:$H$41,6,FALSE)&amp;" TB")),
IF($J108="OS",VLOOKUP($A108,'Open Systems'!$A$4:$K$41,9,FALSE),VLOOKUP($A108,'Open Systems'!$A$4:$K$41,11,FALSE))),""),"")</f>
        <v/>
      </c>
      <c r="L108" s="2"/>
      <c r="M108" s="2173" t="str">
        <f t="shared" si="57"/>
        <v/>
      </c>
      <c r="N108" s="817" t="str">
        <f t="shared" si="58"/>
        <v/>
      </c>
      <c r="O108" s="1090"/>
      <c r="P108" s="1019" t="str">
        <f t="shared" si="40"/>
        <v/>
      </c>
      <c r="Q108" s="1020"/>
      <c r="R108" s="1020"/>
      <c r="S108" s="1021" t="str">
        <f t="shared" si="48"/>
        <v/>
      </c>
      <c r="T108" s="1017"/>
      <c r="U108" s="1016"/>
      <c r="V108" s="3202" t="str">
        <f t="shared" si="59"/>
        <v/>
      </c>
      <c r="W108" s="1022" t="str">
        <f t="shared" si="49"/>
        <v/>
      </c>
      <c r="X108" s="1023" t="str">
        <f t="shared" si="50"/>
        <v/>
      </c>
      <c r="Y108" s="1017" t="str">
        <f t="shared" si="51"/>
        <v/>
      </c>
      <c r="Z108" s="1018" t="str">
        <f t="shared" si="41"/>
        <v/>
      </c>
      <c r="AA108" s="1022" t="str">
        <f t="shared" si="52"/>
        <v/>
      </c>
      <c r="AB108" s="1022" t="str">
        <f t="shared" si="53"/>
        <v/>
      </c>
      <c r="AC108" s="1022" t="str">
        <f t="shared" si="42"/>
        <v/>
      </c>
      <c r="AD108" s="1022" t="str">
        <f t="shared" si="43"/>
        <v/>
      </c>
      <c r="AE108" s="1022" t="str">
        <f t="shared" si="44"/>
        <v/>
      </c>
      <c r="AF108" s="3249" t="str">
        <f t="shared" si="45"/>
        <v/>
      </c>
      <c r="AG108" s="1104" t="str">
        <f>IF($A108&lt;&gt;"",IF(VLOOKUP($A108,'Distributed Assets'!$B$28:$AC$102,26,FALSE)="","N/A",VLOOKUP($A108,'Distributed Assets'!$B$28:$AC$102,26,FALSE)),"")</f>
        <v/>
      </c>
      <c r="AH108" s="2229" t="str">
        <f t="shared" si="46"/>
        <v/>
      </c>
    </row>
    <row r="109" spans="1:34" s="931" customFormat="1">
      <c r="A109" s="2224"/>
      <c r="B109" s="1782" t="str">
        <f t="shared" si="54"/>
        <v/>
      </c>
      <c r="C109" s="2728" t="str">
        <f t="shared" si="55"/>
        <v/>
      </c>
      <c r="D109" s="2226" t="str">
        <f t="shared" si="56"/>
        <v/>
      </c>
      <c r="E109" s="2909"/>
      <c r="F109" s="2906"/>
      <c r="G109" s="2225" t="str">
        <f t="shared" si="47"/>
        <v/>
      </c>
      <c r="H109" s="2227" t="str">
        <f>IF(A109&lt;&gt;"",VLOOKUP(VLOOKUP(A109,dist_assets,2,FALSE),'Distributed Assets'!$C$7:$F$22,4,FALSE),"")</f>
        <v/>
      </c>
      <c r="I109" s="279" t="str">
        <f>IF(A109&lt;&gt;"",VLOOKUP(A109,'Open Systems'!$A$4:$K$41,3,FALSE),"")</f>
        <v/>
      </c>
      <c r="J109" s="2228"/>
      <c r="K109" s="3163" t="str">
        <f>IFERROR(IF($A109&lt;&gt;"",
IF(MID($A109,10,2)="VM",(CONCATENATE(VLOOKUP($A109,VMware!$A$4:$H$41,5,FALSE)&amp;" x "&amp;VLOOKUP($A109,VMware!$A$4:$H$41,6,FALSE)&amp;" TB")),
IF($J109="OS",VLOOKUP($A109,'Open Systems'!$A$4:$K$41,9,FALSE),VLOOKUP($A109,'Open Systems'!$A$4:$K$41,11,FALSE))),""),"")</f>
        <v/>
      </c>
      <c r="L109" s="2"/>
      <c r="M109" s="2173" t="str">
        <f t="shared" si="57"/>
        <v/>
      </c>
      <c r="N109" s="817" t="str">
        <f t="shared" si="58"/>
        <v/>
      </c>
      <c r="O109" s="1090"/>
      <c r="P109" s="1019" t="str">
        <f t="shared" si="40"/>
        <v/>
      </c>
      <c r="Q109" s="1020"/>
      <c r="R109" s="1020"/>
      <c r="S109" s="1021" t="str">
        <f t="shared" si="48"/>
        <v/>
      </c>
      <c r="T109" s="1017"/>
      <c r="U109" s="1016"/>
      <c r="V109" s="3202" t="str">
        <f t="shared" si="59"/>
        <v/>
      </c>
      <c r="W109" s="1022" t="str">
        <f t="shared" si="49"/>
        <v/>
      </c>
      <c r="X109" s="1023" t="str">
        <f t="shared" si="50"/>
        <v/>
      </c>
      <c r="Y109" s="1017" t="str">
        <f t="shared" si="51"/>
        <v/>
      </c>
      <c r="Z109" s="1018" t="str">
        <f t="shared" si="41"/>
        <v/>
      </c>
      <c r="AA109" s="1022" t="str">
        <f t="shared" si="52"/>
        <v/>
      </c>
      <c r="AB109" s="1022" t="str">
        <f t="shared" si="53"/>
        <v/>
      </c>
      <c r="AC109" s="1022" t="str">
        <f t="shared" si="42"/>
        <v/>
      </c>
      <c r="AD109" s="1022" t="str">
        <f t="shared" si="43"/>
        <v/>
      </c>
      <c r="AE109" s="1022" t="str">
        <f t="shared" si="44"/>
        <v/>
      </c>
      <c r="AF109" s="3249" t="str">
        <f t="shared" si="45"/>
        <v/>
      </c>
      <c r="AG109" s="1104" t="str">
        <f>IF($A109&lt;&gt;"",IF(VLOOKUP($A109,'Distributed Assets'!$B$28:$AC$102,26,FALSE)="","N/A",VLOOKUP($A109,'Distributed Assets'!$B$28:$AC$102,26,FALSE)),"")</f>
        <v/>
      </c>
      <c r="AH109" s="2229" t="str">
        <f t="shared" si="46"/>
        <v/>
      </c>
    </row>
    <row r="110" spans="1:34">
      <c r="A110" s="2224"/>
      <c r="B110" s="1782" t="str">
        <f t="shared" si="54"/>
        <v/>
      </c>
      <c r="C110" s="2728" t="str">
        <f t="shared" si="55"/>
        <v/>
      </c>
      <c r="D110" s="2226" t="str">
        <f t="shared" si="56"/>
        <v/>
      </c>
      <c r="E110" s="2909"/>
      <c r="F110" s="2906"/>
      <c r="G110" s="2225" t="str">
        <f t="shared" si="47"/>
        <v/>
      </c>
      <c r="H110" s="2227" t="str">
        <f>IF(A110&lt;&gt;"",VLOOKUP(VLOOKUP(A110,dist_assets,2,FALSE),'Distributed Assets'!$C$7:$F$22,4,FALSE),"")</f>
        <v/>
      </c>
      <c r="I110" s="279" t="str">
        <f>IF(A110&lt;&gt;"",VLOOKUP(A110,'Open Systems'!$A$4:$K$41,3,FALSE),"")</f>
        <v/>
      </c>
      <c r="J110" s="2228"/>
      <c r="K110" s="3163" t="str">
        <f>IFERROR(IF($A110&lt;&gt;"",
IF(MID($A110,10,2)="VM",(CONCATENATE(VLOOKUP($A110,VMware!$A$4:$H$41,5,FALSE)&amp;" x "&amp;VLOOKUP($A110,VMware!$A$4:$H$41,6,FALSE)&amp;" TB")),
IF($J110="OS",VLOOKUP($A110,'Open Systems'!$A$4:$K$41,9,FALSE),VLOOKUP($A110,'Open Systems'!$A$4:$K$41,11,FALSE))),""),"")</f>
        <v/>
      </c>
      <c r="L110" s="2"/>
      <c r="M110" s="2173" t="str">
        <f t="shared" si="57"/>
        <v/>
      </c>
      <c r="N110" s="817" t="str">
        <f t="shared" si="58"/>
        <v/>
      </c>
      <c r="O110" s="1090"/>
      <c r="P110" s="1019" t="str">
        <f t="shared" si="40"/>
        <v/>
      </c>
      <c r="Q110" s="1020"/>
      <c r="R110" s="1020"/>
      <c r="S110" s="1021" t="str">
        <f t="shared" si="48"/>
        <v/>
      </c>
      <c r="T110" s="1017"/>
      <c r="U110" s="1016"/>
      <c r="V110" s="3202" t="str">
        <f t="shared" si="59"/>
        <v/>
      </c>
      <c r="W110" s="1022" t="str">
        <f t="shared" si="49"/>
        <v/>
      </c>
      <c r="X110" s="1023" t="str">
        <f t="shared" si="50"/>
        <v/>
      </c>
      <c r="Y110" s="1017" t="str">
        <f t="shared" si="51"/>
        <v/>
      </c>
      <c r="Z110" s="1018" t="str">
        <f t="shared" si="41"/>
        <v/>
      </c>
      <c r="AA110" s="1022" t="str">
        <f t="shared" si="52"/>
        <v/>
      </c>
      <c r="AB110" s="1022" t="str">
        <f t="shared" si="53"/>
        <v/>
      </c>
      <c r="AC110" s="1022" t="str">
        <f t="shared" si="42"/>
        <v/>
      </c>
      <c r="AD110" s="1022" t="str">
        <f t="shared" si="43"/>
        <v/>
      </c>
      <c r="AE110" s="1022" t="str">
        <f t="shared" si="44"/>
        <v/>
      </c>
      <c r="AF110" s="3249" t="str">
        <f t="shared" si="45"/>
        <v/>
      </c>
      <c r="AG110" s="1104" t="str">
        <f>IF($A110&lt;&gt;"",IF(VLOOKUP($A110,'Distributed Assets'!$B$28:$AC$102,26,FALSE)="","N/A",VLOOKUP($A110,'Distributed Assets'!$B$28:$AC$102,26,FALSE)),"")</f>
        <v/>
      </c>
      <c r="AH110" s="2229" t="str">
        <f t="shared" si="46"/>
        <v/>
      </c>
    </row>
    <row r="111" spans="1:34">
      <c r="A111" s="2224"/>
      <c r="B111" s="1782" t="str">
        <f t="shared" si="54"/>
        <v/>
      </c>
      <c r="C111" s="2728" t="str">
        <f t="shared" si="55"/>
        <v/>
      </c>
      <c r="D111" s="2226" t="str">
        <f t="shared" si="56"/>
        <v/>
      </c>
      <c r="E111" s="2909"/>
      <c r="F111" s="2906"/>
      <c r="G111" s="2225" t="str">
        <f t="shared" si="47"/>
        <v/>
      </c>
      <c r="H111" s="2227" t="str">
        <f>IF(A111&lt;&gt;"",VLOOKUP(VLOOKUP(A111,dist_assets,2,FALSE),'Distributed Assets'!$C$7:$F$22,4,FALSE),"")</f>
        <v/>
      </c>
      <c r="I111" s="279" t="str">
        <f>IF(A111&lt;&gt;"",VLOOKUP(A111,'Open Systems'!$A$4:$K$41,3,FALSE),"")</f>
        <v/>
      </c>
      <c r="J111" s="2228"/>
      <c r="K111" s="3163" t="str">
        <f>IFERROR(IF($A111&lt;&gt;"",
IF(MID($A111,10,2)="VM",(CONCATENATE(VLOOKUP($A111,VMware!$A$4:$H$41,5,FALSE)&amp;" x "&amp;VLOOKUP($A111,VMware!$A$4:$H$41,6,FALSE)&amp;" TB")),
IF($J111="OS",VLOOKUP($A111,'Open Systems'!$A$4:$K$41,9,FALSE),VLOOKUP($A111,'Open Systems'!$A$4:$K$41,11,FALSE))),""),"")</f>
        <v/>
      </c>
      <c r="L111" s="2"/>
      <c r="M111" s="2173" t="str">
        <f t="shared" si="57"/>
        <v/>
      </c>
      <c r="N111" s="817" t="str">
        <f t="shared" si="58"/>
        <v/>
      </c>
      <c r="O111" s="1090"/>
      <c r="P111" s="1019" t="str">
        <f t="shared" si="40"/>
        <v/>
      </c>
      <c r="Q111" s="1020"/>
      <c r="R111" s="1020"/>
      <c r="S111" s="1021" t="str">
        <f t="shared" si="48"/>
        <v/>
      </c>
      <c r="T111" s="1017"/>
      <c r="U111" s="1016"/>
      <c r="V111" s="3202" t="str">
        <f t="shared" si="59"/>
        <v/>
      </c>
      <c r="W111" s="1022" t="str">
        <f t="shared" si="49"/>
        <v/>
      </c>
      <c r="X111" s="1023" t="str">
        <f t="shared" si="50"/>
        <v/>
      </c>
      <c r="Y111" s="1017" t="str">
        <f t="shared" si="51"/>
        <v/>
      </c>
      <c r="Z111" s="1018" t="str">
        <f t="shared" si="41"/>
        <v/>
      </c>
      <c r="AA111" s="1022" t="str">
        <f t="shared" si="52"/>
        <v/>
      </c>
      <c r="AB111" s="1022" t="str">
        <f t="shared" si="53"/>
        <v/>
      </c>
      <c r="AC111" s="1022" t="str">
        <f t="shared" si="42"/>
        <v/>
      </c>
      <c r="AD111" s="1022" t="str">
        <f t="shared" si="43"/>
        <v/>
      </c>
      <c r="AE111" s="1022" t="str">
        <f t="shared" si="44"/>
        <v/>
      </c>
      <c r="AF111" s="3249" t="str">
        <f t="shared" si="45"/>
        <v/>
      </c>
      <c r="AG111" s="1104" t="str">
        <f>IF($A111&lt;&gt;"",IF(VLOOKUP($A111,'Distributed Assets'!$B$28:$AC$102,26,FALSE)="","N/A",VLOOKUP($A111,'Distributed Assets'!$B$28:$AC$102,26,FALSE)),"")</f>
        <v/>
      </c>
      <c r="AH111" s="2229" t="str">
        <f t="shared" si="46"/>
        <v/>
      </c>
    </row>
    <row r="112" spans="1:34">
      <c r="A112" s="2224"/>
      <c r="B112" s="1782" t="str">
        <f t="shared" si="54"/>
        <v/>
      </c>
      <c r="C112" s="2728" t="str">
        <f t="shared" si="55"/>
        <v/>
      </c>
      <c r="D112" s="2226" t="str">
        <f t="shared" si="56"/>
        <v/>
      </c>
      <c r="E112" s="2909"/>
      <c r="F112" s="2906"/>
      <c r="G112" s="2225" t="str">
        <f t="shared" si="47"/>
        <v/>
      </c>
      <c r="H112" s="2227" t="str">
        <f>IF(A112&lt;&gt;"",VLOOKUP(VLOOKUP(A112,dist_assets,2,FALSE),'Distributed Assets'!$C$7:$F$22,4,FALSE),"")</f>
        <v/>
      </c>
      <c r="I112" s="279" t="str">
        <f>IF(A112&lt;&gt;"",VLOOKUP(A112,'Open Systems'!$A$4:$K$41,3,FALSE),"")</f>
        <v/>
      </c>
      <c r="J112" s="2228"/>
      <c r="K112" s="3163" t="str">
        <f>IFERROR(IF($A112&lt;&gt;"",
IF(MID($A112,10,2)="VM",(CONCATENATE(VLOOKUP($A112,VMware!$A$4:$H$41,5,FALSE)&amp;" x "&amp;VLOOKUP($A112,VMware!$A$4:$H$41,6,FALSE)&amp;" TB")),
IF($J112="OS",VLOOKUP($A112,'Open Systems'!$A$4:$K$41,9,FALSE),VLOOKUP($A112,'Open Systems'!$A$4:$K$41,11,FALSE))),""),"")</f>
        <v/>
      </c>
      <c r="L112" s="2"/>
      <c r="M112" s="2173" t="str">
        <f t="shared" si="57"/>
        <v/>
      </c>
      <c r="N112" s="817" t="str">
        <f t="shared" si="58"/>
        <v/>
      </c>
      <c r="O112" s="1090"/>
      <c r="P112" s="1019" t="str">
        <f t="shared" si="40"/>
        <v/>
      </c>
      <c r="Q112" s="1020"/>
      <c r="R112" s="1020"/>
      <c r="S112" s="1021" t="str">
        <f t="shared" si="48"/>
        <v/>
      </c>
      <c r="T112" s="1017"/>
      <c r="U112" s="1016"/>
      <c r="V112" s="3202" t="str">
        <f t="shared" si="59"/>
        <v/>
      </c>
      <c r="W112" s="1022" t="str">
        <f t="shared" si="49"/>
        <v/>
      </c>
      <c r="X112" s="1023" t="str">
        <f t="shared" si="50"/>
        <v/>
      </c>
      <c r="Y112" s="1017" t="str">
        <f t="shared" si="51"/>
        <v/>
      </c>
      <c r="Z112" s="1018" t="str">
        <f t="shared" si="41"/>
        <v/>
      </c>
      <c r="AA112" s="1022" t="str">
        <f t="shared" si="52"/>
        <v/>
      </c>
      <c r="AB112" s="1022" t="str">
        <f t="shared" si="53"/>
        <v/>
      </c>
      <c r="AC112" s="1022" t="str">
        <f t="shared" si="42"/>
        <v/>
      </c>
      <c r="AD112" s="1022" t="str">
        <f t="shared" si="43"/>
        <v/>
      </c>
      <c r="AE112" s="1022" t="str">
        <f t="shared" si="44"/>
        <v/>
      </c>
      <c r="AF112" s="3249" t="str">
        <f t="shared" si="45"/>
        <v/>
      </c>
      <c r="AG112" s="1104" t="str">
        <f>IF($A112&lt;&gt;"",IF(VLOOKUP($A112,'Distributed Assets'!$B$28:$AC$102,26,FALSE)="","N/A",VLOOKUP($A112,'Distributed Assets'!$B$28:$AC$102,26,FALSE)),"")</f>
        <v/>
      </c>
      <c r="AH112" s="2229" t="str">
        <f t="shared" si="46"/>
        <v/>
      </c>
    </row>
    <row r="113" spans="1:34">
      <c r="A113" s="2224"/>
      <c r="B113" s="1782" t="str">
        <f t="shared" si="54"/>
        <v/>
      </c>
      <c r="C113" s="2728" t="str">
        <f t="shared" si="55"/>
        <v/>
      </c>
      <c r="D113" s="2226" t="str">
        <f t="shared" si="56"/>
        <v/>
      </c>
      <c r="E113" s="2909"/>
      <c r="F113" s="2906"/>
      <c r="G113" s="2225" t="str">
        <f t="shared" si="47"/>
        <v/>
      </c>
      <c r="H113" s="2227" t="str">
        <f>IF(A113&lt;&gt;"",VLOOKUP(VLOOKUP(A113,dist_assets,2,FALSE),'Distributed Assets'!$C$7:$F$22,4,FALSE),"")</f>
        <v/>
      </c>
      <c r="I113" s="279" t="str">
        <f>IF(A113&lt;&gt;"",VLOOKUP(A113,'Open Systems'!$A$4:$K$41,3,FALSE),"")</f>
        <v/>
      </c>
      <c r="J113" s="2228"/>
      <c r="K113" s="3163" t="str">
        <f>IFERROR(IF($A113&lt;&gt;"",
IF(MID($A113,10,2)="VM",(CONCATENATE(VLOOKUP($A113,VMware!$A$4:$H$41,5,FALSE)&amp;" x "&amp;VLOOKUP($A113,VMware!$A$4:$H$41,6,FALSE)&amp;" TB")),
IF($J113="OS",VLOOKUP($A113,'Open Systems'!$A$4:$K$41,9,FALSE),VLOOKUP($A113,'Open Systems'!$A$4:$K$41,11,FALSE))),""),"")</f>
        <v/>
      </c>
      <c r="L113" s="2"/>
      <c r="M113" s="2173" t="str">
        <f t="shared" si="57"/>
        <v/>
      </c>
      <c r="N113" s="817" t="str">
        <f t="shared" si="58"/>
        <v/>
      </c>
      <c r="O113" s="1090"/>
      <c r="P113" s="1019" t="str">
        <f t="shared" si="40"/>
        <v/>
      </c>
      <c r="Q113" s="1020"/>
      <c r="R113" s="1020"/>
      <c r="S113" s="1021" t="str">
        <f t="shared" si="48"/>
        <v/>
      </c>
      <c r="T113" s="1017"/>
      <c r="U113" s="1016"/>
      <c r="V113" s="3202" t="str">
        <f t="shared" si="59"/>
        <v/>
      </c>
      <c r="W113" s="1022" t="str">
        <f t="shared" si="49"/>
        <v/>
      </c>
      <c r="X113" s="1023" t="str">
        <f t="shared" si="50"/>
        <v/>
      </c>
      <c r="Y113" s="1017" t="str">
        <f t="shared" si="51"/>
        <v/>
      </c>
      <c r="Z113" s="1018" t="str">
        <f t="shared" si="41"/>
        <v/>
      </c>
      <c r="AA113" s="1022" t="str">
        <f t="shared" si="52"/>
        <v/>
      </c>
      <c r="AB113" s="1022" t="str">
        <f t="shared" si="53"/>
        <v/>
      </c>
      <c r="AC113" s="1022" t="str">
        <f t="shared" si="42"/>
        <v/>
      </c>
      <c r="AD113" s="1022" t="str">
        <f t="shared" si="43"/>
        <v/>
      </c>
      <c r="AE113" s="1022" t="str">
        <f t="shared" si="44"/>
        <v/>
      </c>
      <c r="AF113" s="3249" t="str">
        <f t="shared" si="45"/>
        <v/>
      </c>
      <c r="AG113" s="1104" t="str">
        <f>IF($A113&lt;&gt;"",IF(VLOOKUP($A113,'Distributed Assets'!$B$28:$AC$102,26,FALSE)="","N/A",VLOOKUP($A113,'Distributed Assets'!$B$28:$AC$102,26,FALSE)),"")</f>
        <v/>
      </c>
      <c r="AH113" s="2229" t="str">
        <f t="shared" si="46"/>
        <v/>
      </c>
    </row>
    <row r="114" spans="1:34">
      <c r="A114" s="2224"/>
      <c r="B114" s="1782" t="str">
        <f t="shared" si="54"/>
        <v/>
      </c>
      <c r="C114" s="2728" t="str">
        <f t="shared" si="55"/>
        <v/>
      </c>
      <c r="D114" s="2226" t="str">
        <f t="shared" si="56"/>
        <v/>
      </c>
      <c r="E114" s="2909"/>
      <c r="F114" s="2906"/>
      <c r="G114" s="2225" t="str">
        <f t="shared" si="47"/>
        <v/>
      </c>
      <c r="H114" s="2227" t="str">
        <f>IF(A114&lt;&gt;"",VLOOKUP(VLOOKUP(A114,dist_assets,2,FALSE),'Distributed Assets'!$C$7:$F$22,4,FALSE),"")</f>
        <v/>
      </c>
      <c r="I114" s="279" t="str">
        <f>IF(A114&lt;&gt;"",VLOOKUP(A114,'Open Systems'!$A$4:$K$41,3,FALSE),"")</f>
        <v/>
      </c>
      <c r="J114" s="2228"/>
      <c r="K114" s="3163" t="str">
        <f>IFERROR(IF($A114&lt;&gt;"",
IF(MID($A114,10,2)="VM",(CONCATENATE(VLOOKUP($A114,VMware!$A$4:$H$41,5,FALSE)&amp;" x "&amp;VLOOKUP($A114,VMware!$A$4:$H$41,6,FALSE)&amp;" TB")),
IF($J114="OS",VLOOKUP($A114,'Open Systems'!$A$4:$K$41,9,FALSE),VLOOKUP($A114,'Open Systems'!$A$4:$K$41,11,FALSE))),""),"")</f>
        <v/>
      </c>
      <c r="L114" s="2"/>
      <c r="M114" s="2173" t="str">
        <f t="shared" si="57"/>
        <v/>
      </c>
      <c r="N114" s="817" t="str">
        <f t="shared" si="58"/>
        <v/>
      </c>
      <c r="O114" s="1090"/>
      <c r="P114" s="1019" t="str">
        <f t="shared" si="40"/>
        <v/>
      </c>
      <c r="Q114" s="1020"/>
      <c r="R114" s="1020"/>
      <c r="S114" s="1021" t="str">
        <f t="shared" si="48"/>
        <v/>
      </c>
      <c r="T114" s="1017"/>
      <c r="U114" s="1016"/>
      <c r="V114" s="3202" t="str">
        <f t="shared" si="59"/>
        <v/>
      </c>
      <c r="W114" s="1022" t="str">
        <f t="shared" si="49"/>
        <v/>
      </c>
      <c r="X114" s="1023" t="str">
        <f t="shared" si="50"/>
        <v/>
      </c>
      <c r="Y114" s="1017" t="str">
        <f t="shared" si="51"/>
        <v/>
      </c>
      <c r="Z114" s="1018" t="str">
        <f t="shared" si="41"/>
        <v/>
      </c>
      <c r="AA114" s="1022" t="str">
        <f t="shared" si="52"/>
        <v/>
      </c>
      <c r="AB114" s="1022" t="str">
        <f t="shared" si="53"/>
        <v/>
      </c>
      <c r="AC114" s="1022" t="str">
        <f t="shared" si="42"/>
        <v/>
      </c>
      <c r="AD114" s="1022" t="str">
        <f t="shared" si="43"/>
        <v/>
      </c>
      <c r="AE114" s="1022" t="str">
        <f t="shared" si="44"/>
        <v/>
      </c>
      <c r="AF114" s="3249" t="str">
        <f t="shared" si="45"/>
        <v/>
      </c>
      <c r="AG114" s="1104" t="str">
        <f>IF($A114&lt;&gt;"",IF(VLOOKUP($A114,'Distributed Assets'!$B$28:$AC$102,26,FALSE)="","N/A",VLOOKUP($A114,'Distributed Assets'!$B$28:$AC$102,26,FALSE)),"")</f>
        <v/>
      </c>
      <c r="AH114" s="2229" t="str">
        <f t="shared" si="46"/>
        <v/>
      </c>
    </row>
    <row r="115" spans="1:34">
      <c r="A115" s="2224"/>
      <c r="B115" s="1782" t="str">
        <f t="shared" si="54"/>
        <v/>
      </c>
      <c r="C115" s="2728" t="str">
        <f t="shared" si="55"/>
        <v/>
      </c>
      <c r="D115" s="2226" t="str">
        <f t="shared" si="56"/>
        <v/>
      </c>
      <c r="E115" s="2909"/>
      <c r="F115" s="2906"/>
      <c r="G115" s="2225" t="str">
        <f t="shared" si="47"/>
        <v/>
      </c>
      <c r="H115" s="2227" t="str">
        <f>IF(A115&lt;&gt;"",VLOOKUP(VLOOKUP(A115,dist_assets,2,FALSE),'Distributed Assets'!$C$7:$F$22,4,FALSE),"")</f>
        <v/>
      </c>
      <c r="I115" s="279" t="str">
        <f>IF(A115&lt;&gt;"",VLOOKUP(A115,'Open Systems'!$A$4:$K$41,3,FALSE),"")</f>
        <v/>
      </c>
      <c r="J115" s="2228"/>
      <c r="K115" s="3163" t="str">
        <f>IFERROR(IF($A115&lt;&gt;"",
IF(MID($A115,10,2)="VM",(CONCATENATE(VLOOKUP($A115,VMware!$A$4:$H$41,5,FALSE)&amp;" x "&amp;VLOOKUP($A115,VMware!$A$4:$H$41,6,FALSE)&amp;" TB")),
IF($J115="OS",VLOOKUP($A115,'Open Systems'!$A$4:$K$41,9,FALSE),VLOOKUP($A115,'Open Systems'!$A$4:$K$41,11,FALSE))),""),"")</f>
        <v/>
      </c>
      <c r="L115" s="2"/>
      <c r="M115" s="2173" t="str">
        <f t="shared" si="57"/>
        <v/>
      </c>
      <c r="N115" s="817" t="str">
        <f t="shared" si="58"/>
        <v/>
      </c>
      <c r="O115" s="1090"/>
      <c r="P115" s="1019" t="str">
        <f t="shared" si="40"/>
        <v/>
      </c>
      <c r="Q115" s="1020"/>
      <c r="R115" s="1020"/>
      <c r="S115" s="1021" t="str">
        <f t="shared" si="48"/>
        <v/>
      </c>
      <c r="T115" s="1017"/>
      <c r="U115" s="1016"/>
      <c r="V115" s="3202" t="str">
        <f t="shared" si="59"/>
        <v/>
      </c>
      <c r="W115" s="1022" t="str">
        <f t="shared" si="49"/>
        <v/>
      </c>
      <c r="X115" s="1023" t="str">
        <f t="shared" si="50"/>
        <v/>
      </c>
      <c r="Y115" s="1017" t="str">
        <f t="shared" si="51"/>
        <v/>
      </c>
      <c r="Z115" s="1018" t="str">
        <f t="shared" si="41"/>
        <v/>
      </c>
      <c r="AA115" s="1022" t="str">
        <f t="shared" si="52"/>
        <v/>
      </c>
      <c r="AB115" s="1022" t="str">
        <f t="shared" si="53"/>
        <v/>
      </c>
      <c r="AC115" s="1022" t="str">
        <f t="shared" si="42"/>
        <v/>
      </c>
      <c r="AD115" s="1022" t="str">
        <f t="shared" si="43"/>
        <v/>
      </c>
      <c r="AE115" s="1022" t="str">
        <f t="shared" si="44"/>
        <v/>
      </c>
      <c r="AF115" s="3249" t="str">
        <f t="shared" si="45"/>
        <v/>
      </c>
      <c r="AG115" s="1104" t="str">
        <f>IF($A115&lt;&gt;"",IF(VLOOKUP($A115,'Distributed Assets'!$B$28:$AC$102,26,FALSE)="","N/A",VLOOKUP($A115,'Distributed Assets'!$B$28:$AC$102,26,FALSE)),"")</f>
        <v/>
      </c>
      <c r="AH115" s="2229" t="str">
        <f t="shared" si="46"/>
        <v/>
      </c>
    </row>
    <row r="116" spans="1:34">
      <c r="A116" s="2224"/>
      <c r="B116" s="1782" t="str">
        <f t="shared" si="54"/>
        <v/>
      </c>
      <c r="C116" s="2728" t="str">
        <f t="shared" si="55"/>
        <v/>
      </c>
      <c r="D116" s="2226" t="str">
        <f t="shared" si="56"/>
        <v/>
      </c>
      <c r="E116" s="2909"/>
      <c r="F116" s="2906"/>
      <c r="G116" s="2225" t="str">
        <f t="shared" si="47"/>
        <v/>
      </c>
      <c r="H116" s="2227" t="str">
        <f>IF(A116&lt;&gt;"",VLOOKUP(VLOOKUP(A116,dist_assets,2,FALSE),'Distributed Assets'!$C$7:$F$22,4,FALSE),"")</f>
        <v/>
      </c>
      <c r="I116" s="279" t="str">
        <f>IF(A116&lt;&gt;"",VLOOKUP(A116,'Open Systems'!$A$4:$K$41,3,FALSE),"")</f>
        <v/>
      </c>
      <c r="J116" s="2228"/>
      <c r="K116" s="3163" t="str">
        <f>IFERROR(IF($A116&lt;&gt;"",
IF(MID($A116,10,2)="VM",(CONCATENATE(VLOOKUP($A116,VMware!$A$4:$H$41,5,FALSE)&amp;" x "&amp;VLOOKUP($A116,VMware!$A$4:$H$41,6,FALSE)&amp;" TB")),
IF($J116="OS",VLOOKUP($A116,'Open Systems'!$A$4:$K$41,9,FALSE),VLOOKUP($A116,'Open Systems'!$A$4:$K$41,11,FALSE))),""),"")</f>
        <v/>
      </c>
      <c r="L116" s="2"/>
      <c r="M116" s="2173" t="str">
        <f t="shared" si="57"/>
        <v/>
      </c>
      <c r="N116" s="817" t="str">
        <f t="shared" si="58"/>
        <v/>
      </c>
      <c r="O116" s="1090"/>
      <c r="P116" s="1019" t="str">
        <f t="shared" si="40"/>
        <v/>
      </c>
      <c r="Q116" s="1020"/>
      <c r="R116" s="1020"/>
      <c r="S116" s="1021" t="str">
        <f t="shared" si="48"/>
        <v/>
      </c>
      <c r="T116" s="1017"/>
      <c r="U116" s="1016"/>
      <c r="V116" s="3202" t="str">
        <f t="shared" si="59"/>
        <v/>
      </c>
      <c r="W116" s="1022" t="str">
        <f t="shared" si="49"/>
        <v/>
      </c>
      <c r="X116" s="1023" t="str">
        <f t="shared" si="50"/>
        <v/>
      </c>
      <c r="Y116" s="1017" t="str">
        <f t="shared" si="51"/>
        <v/>
      </c>
      <c r="Z116" s="1018" t="str">
        <f t="shared" si="41"/>
        <v/>
      </c>
      <c r="AA116" s="1022" t="str">
        <f t="shared" si="52"/>
        <v/>
      </c>
      <c r="AB116" s="1022" t="str">
        <f t="shared" si="53"/>
        <v/>
      </c>
      <c r="AC116" s="1022" t="str">
        <f t="shared" si="42"/>
        <v/>
      </c>
      <c r="AD116" s="1022" t="str">
        <f t="shared" si="43"/>
        <v/>
      </c>
      <c r="AE116" s="1022" t="str">
        <f t="shared" si="44"/>
        <v/>
      </c>
      <c r="AF116" s="3249" t="str">
        <f t="shared" si="45"/>
        <v/>
      </c>
      <c r="AG116" s="1104" t="str">
        <f>IF($A116&lt;&gt;"",IF(VLOOKUP($A116,'Distributed Assets'!$B$28:$AC$102,26,FALSE)="","N/A",VLOOKUP($A116,'Distributed Assets'!$B$28:$AC$102,26,FALSE)),"")</f>
        <v/>
      </c>
      <c r="AH116" s="2229" t="str">
        <f t="shared" si="46"/>
        <v/>
      </c>
    </row>
    <row r="117" spans="1:34">
      <c r="A117" s="2224"/>
      <c r="B117" s="1782" t="str">
        <f t="shared" si="54"/>
        <v/>
      </c>
      <c r="C117" s="2728" t="str">
        <f t="shared" si="55"/>
        <v/>
      </c>
      <c r="D117" s="2226" t="str">
        <f t="shared" si="56"/>
        <v/>
      </c>
      <c r="E117" s="2909"/>
      <c r="F117" s="2906"/>
      <c r="G117" s="2225" t="str">
        <f t="shared" si="47"/>
        <v/>
      </c>
      <c r="H117" s="2227" t="str">
        <f>IF(A117&lt;&gt;"",VLOOKUP(VLOOKUP(A117,dist_assets,2,FALSE),'Distributed Assets'!$C$7:$F$22,4,FALSE),"")</f>
        <v/>
      </c>
      <c r="I117" s="279" t="str">
        <f>IF(A117&lt;&gt;"",VLOOKUP(A117,'Open Systems'!$A$4:$K$41,3,FALSE),"")</f>
        <v/>
      </c>
      <c r="J117" s="2228"/>
      <c r="K117" s="3163" t="str">
        <f>IFERROR(IF($A117&lt;&gt;"",
IF(MID($A117,10,2)="VM",(CONCATENATE(VLOOKUP($A117,VMware!$A$4:$H$41,5,FALSE)&amp;" x "&amp;VLOOKUP($A117,VMware!$A$4:$H$41,6,FALSE)&amp;" TB")),
IF($J117="OS",VLOOKUP($A117,'Open Systems'!$A$4:$K$41,9,FALSE),VLOOKUP($A117,'Open Systems'!$A$4:$K$41,11,FALSE))),""),"")</f>
        <v/>
      </c>
      <c r="L117" s="2"/>
      <c r="M117" s="2173" t="str">
        <f t="shared" si="57"/>
        <v/>
      </c>
      <c r="N117" s="817" t="str">
        <f t="shared" si="58"/>
        <v/>
      </c>
      <c r="O117" s="1090"/>
      <c r="P117" s="1019" t="str">
        <f t="shared" si="40"/>
        <v/>
      </c>
      <c r="Q117" s="1020"/>
      <c r="R117" s="1020"/>
      <c r="S117" s="1021" t="str">
        <f t="shared" si="48"/>
        <v/>
      </c>
      <c r="T117" s="1017"/>
      <c r="U117" s="1016"/>
      <c r="V117" s="3202" t="str">
        <f t="shared" si="59"/>
        <v/>
      </c>
      <c r="W117" s="1022" t="str">
        <f t="shared" si="49"/>
        <v/>
      </c>
      <c r="X117" s="1023" t="str">
        <f t="shared" si="50"/>
        <v/>
      </c>
      <c r="Y117" s="1017" t="str">
        <f t="shared" si="51"/>
        <v/>
      </c>
      <c r="Z117" s="1018" t="str">
        <f t="shared" si="41"/>
        <v/>
      </c>
      <c r="AA117" s="1022" t="str">
        <f t="shared" si="52"/>
        <v/>
      </c>
      <c r="AB117" s="1022" t="str">
        <f t="shared" si="53"/>
        <v/>
      </c>
      <c r="AC117" s="1022" t="str">
        <f t="shared" si="42"/>
        <v/>
      </c>
      <c r="AD117" s="1022" t="str">
        <f t="shared" si="43"/>
        <v/>
      </c>
      <c r="AE117" s="1022" t="str">
        <f t="shared" si="44"/>
        <v/>
      </c>
      <c r="AF117" s="3249" t="str">
        <f t="shared" si="45"/>
        <v/>
      </c>
      <c r="AG117" s="1104" t="str">
        <f>IF($A117&lt;&gt;"",IF(VLOOKUP($A117,'Distributed Assets'!$B$28:$AC$102,26,FALSE)="","N/A",VLOOKUP($A117,'Distributed Assets'!$B$28:$AC$102,26,FALSE)),"")</f>
        <v/>
      </c>
      <c r="AH117" s="2229" t="str">
        <f t="shared" si="46"/>
        <v/>
      </c>
    </row>
    <row r="118" spans="1:34">
      <c r="A118" s="2224"/>
      <c r="B118" s="1782" t="str">
        <f t="shared" si="54"/>
        <v/>
      </c>
      <c r="C118" s="2728" t="str">
        <f t="shared" si="55"/>
        <v/>
      </c>
      <c r="D118" s="2226" t="str">
        <f t="shared" si="56"/>
        <v/>
      </c>
      <c r="E118" s="2909"/>
      <c r="F118" s="2906"/>
      <c r="G118" s="2225" t="str">
        <f t="shared" si="47"/>
        <v/>
      </c>
      <c r="H118" s="2227" t="str">
        <f>IF(A118&lt;&gt;"",VLOOKUP(VLOOKUP(A118,dist_assets,2,FALSE),'Distributed Assets'!$C$7:$F$22,4,FALSE),"")</f>
        <v/>
      </c>
      <c r="I118" s="279" t="str">
        <f>IF(A118&lt;&gt;"",VLOOKUP(A118,'Open Systems'!$A$4:$K$41,3,FALSE),"")</f>
        <v/>
      </c>
      <c r="J118" s="2228"/>
      <c r="K118" s="3163" t="str">
        <f>IFERROR(IF($A118&lt;&gt;"",
IF(MID($A118,10,2)="VM",(CONCATENATE(VLOOKUP($A118,VMware!$A$4:$H$41,5,FALSE)&amp;" x "&amp;VLOOKUP($A118,VMware!$A$4:$H$41,6,FALSE)&amp;" TB")),
IF($J118="OS",VLOOKUP($A118,'Open Systems'!$A$4:$K$41,9,FALSE),VLOOKUP($A118,'Open Systems'!$A$4:$K$41,11,FALSE))),""),"")</f>
        <v/>
      </c>
      <c r="L118" s="2"/>
      <c r="M118" s="2173" t="str">
        <f t="shared" si="57"/>
        <v/>
      </c>
      <c r="N118" s="817" t="str">
        <f t="shared" si="58"/>
        <v/>
      </c>
      <c r="O118" s="1090"/>
      <c r="P118" s="1019" t="str">
        <f t="shared" si="40"/>
        <v/>
      </c>
      <c r="Q118" s="1020"/>
      <c r="R118" s="1020"/>
      <c r="S118" s="1021" t="str">
        <f t="shared" si="48"/>
        <v/>
      </c>
      <c r="T118" s="1017"/>
      <c r="U118" s="1016"/>
      <c r="V118" s="3202" t="str">
        <f t="shared" si="59"/>
        <v/>
      </c>
      <c r="W118" s="1022" t="str">
        <f t="shared" si="49"/>
        <v/>
      </c>
      <c r="X118" s="1023" t="str">
        <f t="shared" si="50"/>
        <v/>
      </c>
      <c r="Y118" s="1017" t="str">
        <f t="shared" si="51"/>
        <v/>
      </c>
      <c r="Z118" s="1018" t="str">
        <f t="shared" si="41"/>
        <v/>
      </c>
      <c r="AA118" s="1022" t="str">
        <f t="shared" si="52"/>
        <v/>
      </c>
      <c r="AB118" s="1022" t="str">
        <f t="shared" si="53"/>
        <v/>
      </c>
      <c r="AC118" s="1022" t="str">
        <f t="shared" si="42"/>
        <v/>
      </c>
      <c r="AD118" s="1022" t="str">
        <f t="shared" si="43"/>
        <v/>
      </c>
      <c r="AE118" s="1022" t="str">
        <f t="shared" si="44"/>
        <v/>
      </c>
      <c r="AF118" s="3249" t="str">
        <f t="shared" si="45"/>
        <v/>
      </c>
      <c r="AG118" s="1104" t="str">
        <f>IF($A118&lt;&gt;"",IF(VLOOKUP($A118,'Distributed Assets'!$B$28:$AC$102,26,FALSE)="","N/A",VLOOKUP($A118,'Distributed Assets'!$B$28:$AC$102,26,FALSE)),"")</f>
        <v/>
      </c>
      <c r="AH118" s="2229" t="str">
        <f t="shared" si="46"/>
        <v/>
      </c>
    </row>
    <row r="119" spans="1:34">
      <c r="A119" s="2224"/>
      <c r="B119" s="1782" t="str">
        <f t="shared" si="54"/>
        <v/>
      </c>
      <c r="C119" s="2728" t="str">
        <f t="shared" si="55"/>
        <v/>
      </c>
      <c r="D119" s="2226" t="str">
        <f t="shared" si="56"/>
        <v/>
      </c>
      <c r="E119" s="2909"/>
      <c r="F119" s="2906"/>
      <c r="G119" s="2225" t="str">
        <f t="shared" si="47"/>
        <v/>
      </c>
      <c r="H119" s="2227" t="str">
        <f>IF(A119&lt;&gt;"",VLOOKUP(VLOOKUP(A119,dist_assets,2,FALSE),'Distributed Assets'!$C$7:$F$22,4,FALSE),"")</f>
        <v/>
      </c>
      <c r="I119" s="279" t="str">
        <f>IF(A119&lt;&gt;"",VLOOKUP(A119,'Open Systems'!$A$4:$K$41,3,FALSE),"")</f>
        <v/>
      </c>
      <c r="J119" s="2228"/>
      <c r="K119" s="3163" t="str">
        <f>IFERROR(IF($A119&lt;&gt;"",
IF(MID($A119,10,2)="VM",(CONCATENATE(VLOOKUP($A119,VMware!$A$4:$H$41,5,FALSE)&amp;" x "&amp;VLOOKUP($A119,VMware!$A$4:$H$41,6,FALSE)&amp;" TB")),
IF($J119="OS",VLOOKUP($A119,'Open Systems'!$A$4:$K$41,9,FALSE),VLOOKUP($A119,'Open Systems'!$A$4:$K$41,11,FALSE))),""),"")</f>
        <v/>
      </c>
      <c r="L119" s="2"/>
      <c r="M119" s="2173" t="str">
        <f t="shared" si="57"/>
        <v/>
      </c>
      <c r="N119" s="817" t="str">
        <f t="shared" si="58"/>
        <v/>
      </c>
      <c r="O119" s="1090"/>
      <c r="P119" s="1019" t="str">
        <f t="shared" si="40"/>
        <v/>
      </c>
      <c r="Q119" s="1020"/>
      <c r="R119" s="1020"/>
      <c r="S119" s="1021" t="str">
        <f t="shared" si="48"/>
        <v/>
      </c>
      <c r="T119" s="1017"/>
      <c r="U119" s="1016"/>
      <c r="V119" s="3202" t="str">
        <f t="shared" si="59"/>
        <v/>
      </c>
      <c r="W119" s="1022" t="str">
        <f t="shared" si="49"/>
        <v/>
      </c>
      <c r="X119" s="1023" t="str">
        <f t="shared" si="50"/>
        <v/>
      </c>
      <c r="Y119" s="1017" t="str">
        <f t="shared" si="51"/>
        <v/>
      </c>
      <c r="Z119" s="1018" t="str">
        <f t="shared" si="41"/>
        <v/>
      </c>
      <c r="AA119" s="1022" t="str">
        <f t="shared" si="52"/>
        <v/>
      </c>
      <c r="AB119" s="1022" t="str">
        <f t="shared" si="53"/>
        <v/>
      </c>
      <c r="AC119" s="1022" t="str">
        <f t="shared" si="42"/>
        <v/>
      </c>
      <c r="AD119" s="1022" t="str">
        <f t="shared" si="43"/>
        <v/>
      </c>
      <c r="AE119" s="1022" t="str">
        <f t="shared" si="44"/>
        <v/>
      </c>
      <c r="AF119" s="3249" t="str">
        <f t="shared" si="45"/>
        <v/>
      </c>
      <c r="AG119" s="1104" t="str">
        <f>IF($A119&lt;&gt;"",IF(VLOOKUP($A119,'Distributed Assets'!$B$28:$AC$102,26,FALSE)="","N/A",VLOOKUP($A119,'Distributed Assets'!$B$28:$AC$102,26,FALSE)),"")</f>
        <v/>
      </c>
      <c r="AH119" s="2229" t="str">
        <f t="shared" si="46"/>
        <v/>
      </c>
    </row>
    <row r="120" spans="1:34">
      <c r="A120" s="2224"/>
      <c r="B120" s="1782" t="str">
        <f t="shared" si="54"/>
        <v/>
      </c>
      <c r="C120" s="2728" t="str">
        <f t="shared" si="55"/>
        <v/>
      </c>
      <c r="D120" s="2226" t="str">
        <f t="shared" si="56"/>
        <v/>
      </c>
      <c r="E120" s="2909"/>
      <c r="F120" s="2906"/>
      <c r="G120" s="2225" t="str">
        <f t="shared" si="47"/>
        <v/>
      </c>
      <c r="H120" s="2227" t="str">
        <f>IF(A120&lt;&gt;"",VLOOKUP(VLOOKUP(A120,dist_assets,2,FALSE),'Distributed Assets'!$C$7:$F$22,4,FALSE),"")</f>
        <v/>
      </c>
      <c r="I120" s="279" t="str">
        <f>IF(A120&lt;&gt;"",VLOOKUP(A120,'Open Systems'!$A$4:$K$41,3,FALSE),"")</f>
        <v/>
      </c>
      <c r="J120" s="2228"/>
      <c r="K120" s="3163" t="str">
        <f>IFERROR(IF($A120&lt;&gt;"",
IF(MID($A120,10,2)="VM",(CONCATENATE(VLOOKUP($A120,VMware!$A$4:$H$41,5,FALSE)&amp;" x "&amp;VLOOKUP($A120,VMware!$A$4:$H$41,6,FALSE)&amp;" TB")),
IF($J120="OS",VLOOKUP($A120,'Open Systems'!$A$4:$K$41,9,FALSE),VLOOKUP($A120,'Open Systems'!$A$4:$K$41,11,FALSE))),""),"")</f>
        <v/>
      </c>
      <c r="L120" s="2"/>
      <c r="M120" s="2173" t="str">
        <f t="shared" si="57"/>
        <v/>
      </c>
      <c r="N120" s="817" t="str">
        <f t="shared" si="58"/>
        <v/>
      </c>
      <c r="O120" s="1090"/>
      <c r="P120" s="1019" t="str">
        <f t="shared" si="40"/>
        <v/>
      </c>
      <c r="Q120" s="1020"/>
      <c r="R120" s="1020"/>
      <c r="S120" s="1021" t="str">
        <f t="shared" si="48"/>
        <v/>
      </c>
      <c r="T120" s="1017"/>
      <c r="U120" s="1016"/>
      <c r="V120" s="3202" t="str">
        <f t="shared" si="59"/>
        <v/>
      </c>
      <c r="W120" s="1022" t="str">
        <f t="shared" si="49"/>
        <v/>
      </c>
      <c r="X120" s="1023" t="str">
        <f t="shared" si="50"/>
        <v/>
      </c>
      <c r="Y120" s="1017" t="str">
        <f t="shared" si="51"/>
        <v/>
      </c>
      <c r="Z120" s="1018" t="str">
        <f t="shared" si="41"/>
        <v/>
      </c>
      <c r="AA120" s="1022" t="str">
        <f t="shared" si="52"/>
        <v/>
      </c>
      <c r="AB120" s="1022" t="str">
        <f t="shared" si="53"/>
        <v/>
      </c>
      <c r="AC120" s="1022" t="str">
        <f t="shared" si="42"/>
        <v/>
      </c>
      <c r="AD120" s="1022" t="str">
        <f t="shared" si="43"/>
        <v/>
      </c>
      <c r="AE120" s="1022" t="str">
        <f t="shared" si="44"/>
        <v/>
      </c>
      <c r="AF120" s="3249" t="str">
        <f t="shared" si="45"/>
        <v/>
      </c>
      <c r="AG120" s="1104" t="str">
        <f>IF($A120&lt;&gt;"",IF(VLOOKUP($A120,'Distributed Assets'!$B$28:$AC$102,26,FALSE)="","N/A",VLOOKUP($A120,'Distributed Assets'!$B$28:$AC$102,26,FALSE)),"")</f>
        <v/>
      </c>
      <c r="AH120" s="2229" t="str">
        <f t="shared" si="46"/>
        <v/>
      </c>
    </row>
    <row r="121" spans="1:34" s="931" customFormat="1">
      <c r="A121" s="2224"/>
      <c r="B121" s="1782" t="str">
        <f t="shared" si="54"/>
        <v/>
      </c>
      <c r="C121" s="2728" t="str">
        <f t="shared" si="55"/>
        <v/>
      </c>
      <c r="D121" s="2226" t="str">
        <f t="shared" si="56"/>
        <v/>
      </c>
      <c r="E121" s="2909"/>
      <c r="F121" s="2906"/>
      <c r="G121" s="2225" t="str">
        <f t="shared" si="47"/>
        <v/>
      </c>
      <c r="H121" s="2227" t="str">
        <f>IF(A121&lt;&gt;"",VLOOKUP(VLOOKUP(A121,dist_assets,2,FALSE),'Distributed Assets'!$C$7:$F$22,4,FALSE),"")</f>
        <v/>
      </c>
      <c r="I121" s="279" t="str">
        <f>IF(A121&lt;&gt;"",VLOOKUP(A121,'Open Systems'!$A$4:$K$41,3,FALSE),"")</f>
        <v/>
      </c>
      <c r="J121" s="2228"/>
      <c r="K121" s="3163" t="str">
        <f>IFERROR(IF($A121&lt;&gt;"",
IF(MID($A121,10,2)="VM",(CONCATENATE(VLOOKUP($A121,VMware!$A$4:$H$41,5,FALSE)&amp;" x "&amp;VLOOKUP($A121,VMware!$A$4:$H$41,6,FALSE)&amp;" TB")),
IF($J121="OS",VLOOKUP($A121,'Open Systems'!$A$4:$K$41,9,FALSE),VLOOKUP($A121,'Open Systems'!$A$4:$K$41,11,FALSE))),""),"")</f>
        <v/>
      </c>
      <c r="L121" s="2"/>
      <c r="M121" s="2173" t="str">
        <f t="shared" si="57"/>
        <v/>
      </c>
      <c r="N121" s="817" t="str">
        <f t="shared" si="58"/>
        <v/>
      </c>
      <c r="O121" s="1090"/>
      <c r="P121" s="1019" t="str">
        <f t="shared" si="40"/>
        <v/>
      </c>
      <c r="Q121" s="1020"/>
      <c r="R121" s="1020"/>
      <c r="S121" s="1021" t="str">
        <f t="shared" si="48"/>
        <v/>
      </c>
      <c r="T121" s="1017"/>
      <c r="U121" s="1016"/>
      <c r="V121" s="3202" t="str">
        <f t="shared" si="59"/>
        <v/>
      </c>
      <c r="W121" s="1022" t="str">
        <f t="shared" si="49"/>
        <v/>
      </c>
      <c r="X121" s="1023" t="str">
        <f t="shared" si="50"/>
        <v/>
      </c>
      <c r="Y121" s="1017" t="str">
        <f t="shared" si="51"/>
        <v/>
      </c>
      <c r="Z121" s="1018" t="str">
        <f t="shared" si="41"/>
        <v/>
      </c>
      <c r="AA121" s="1022" t="str">
        <f t="shared" si="52"/>
        <v/>
      </c>
      <c r="AB121" s="1022" t="str">
        <f t="shared" si="53"/>
        <v/>
      </c>
      <c r="AC121" s="1022" t="str">
        <f t="shared" si="42"/>
        <v/>
      </c>
      <c r="AD121" s="1022" t="str">
        <f t="shared" si="43"/>
        <v/>
      </c>
      <c r="AE121" s="1022" t="str">
        <f t="shared" si="44"/>
        <v/>
      </c>
      <c r="AF121" s="3249" t="str">
        <f t="shared" si="45"/>
        <v/>
      </c>
      <c r="AG121" s="1104" t="str">
        <f>IF($A121&lt;&gt;"",IF(VLOOKUP($A121,'Distributed Assets'!$B$28:$AC$102,26,FALSE)="","N/A",VLOOKUP($A121,'Distributed Assets'!$B$28:$AC$102,26,FALSE)),"")</f>
        <v/>
      </c>
      <c r="AH121" s="2229" t="str">
        <f t="shared" si="46"/>
        <v/>
      </c>
    </row>
    <row r="122" spans="1:34" s="931" customFormat="1">
      <c r="A122" s="2224"/>
      <c r="B122" s="1782" t="str">
        <f t="shared" si="54"/>
        <v/>
      </c>
      <c r="C122" s="2728" t="str">
        <f t="shared" si="55"/>
        <v/>
      </c>
      <c r="D122" s="2226" t="str">
        <f t="shared" si="56"/>
        <v/>
      </c>
      <c r="E122" s="2909"/>
      <c r="F122" s="2906"/>
      <c r="G122" s="2225" t="str">
        <f t="shared" si="47"/>
        <v/>
      </c>
      <c r="H122" s="2227" t="str">
        <f>IF(A122&lt;&gt;"",VLOOKUP(VLOOKUP(A122,dist_assets,2,FALSE),'Distributed Assets'!$C$7:$F$22,4,FALSE),"")</f>
        <v/>
      </c>
      <c r="I122" s="279" t="str">
        <f>IF(A122&lt;&gt;"",VLOOKUP(A122,'Open Systems'!$A$4:$K$41,3,FALSE),"")</f>
        <v/>
      </c>
      <c r="J122" s="2228"/>
      <c r="K122" s="3163" t="str">
        <f>IFERROR(IF($A122&lt;&gt;"",
IF(MID($A122,10,2)="VM",(CONCATENATE(VLOOKUP($A122,VMware!$A$4:$H$41,5,FALSE)&amp;" x "&amp;VLOOKUP($A122,VMware!$A$4:$H$41,6,FALSE)&amp;" TB")),
IF($J122="OS",VLOOKUP($A122,'Open Systems'!$A$4:$K$41,9,FALSE),VLOOKUP($A122,'Open Systems'!$A$4:$K$41,11,FALSE))),""),"")</f>
        <v/>
      </c>
      <c r="L122" s="2"/>
      <c r="M122" s="2173" t="str">
        <f t="shared" si="57"/>
        <v/>
      </c>
      <c r="N122" s="817" t="str">
        <f t="shared" si="58"/>
        <v/>
      </c>
      <c r="O122" s="1090"/>
      <c r="P122" s="1019" t="str">
        <f t="shared" si="40"/>
        <v/>
      </c>
      <c r="Q122" s="1020"/>
      <c r="R122" s="1020"/>
      <c r="S122" s="1021" t="str">
        <f t="shared" si="48"/>
        <v/>
      </c>
      <c r="T122" s="1017"/>
      <c r="U122" s="1016"/>
      <c r="V122" s="3202" t="str">
        <f t="shared" si="59"/>
        <v/>
      </c>
      <c r="W122" s="1022" t="str">
        <f t="shared" si="49"/>
        <v/>
      </c>
      <c r="X122" s="1023" t="str">
        <f t="shared" si="50"/>
        <v/>
      </c>
      <c r="Y122" s="1017" t="str">
        <f t="shared" si="51"/>
        <v/>
      </c>
      <c r="Z122" s="1018" t="str">
        <f t="shared" si="41"/>
        <v/>
      </c>
      <c r="AA122" s="1022" t="str">
        <f t="shared" si="52"/>
        <v/>
      </c>
      <c r="AB122" s="1022" t="str">
        <f t="shared" si="53"/>
        <v/>
      </c>
      <c r="AC122" s="1022" t="str">
        <f t="shared" si="42"/>
        <v/>
      </c>
      <c r="AD122" s="1022" t="str">
        <f t="shared" si="43"/>
        <v/>
      </c>
      <c r="AE122" s="1022" t="str">
        <f t="shared" si="44"/>
        <v/>
      </c>
      <c r="AF122" s="3249" t="str">
        <f t="shared" si="45"/>
        <v/>
      </c>
      <c r="AG122" s="1104" t="str">
        <f>IF($A122&lt;&gt;"",IF(VLOOKUP($A122,'Distributed Assets'!$B$28:$AC$102,26,FALSE)="","N/A",VLOOKUP($A122,'Distributed Assets'!$B$28:$AC$102,26,FALSE)),"")</f>
        <v/>
      </c>
      <c r="AH122" s="2229" t="str">
        <f t="shared" si="46"/>
        <v/>
      </c>
    </row>
    <row r="123" spans="1:34" s="931" customFormat="1">
      <c r="A123" s="2224"/>
      <c r="B123" s="1782" t="str">
        <f t="shared" si="54"/>
        <v/>
      </c>
      <c r="C123" s="2728" t="str">
        <f t="shared" si="55"/>
        <v/>
      </c>
      <c r="D123" s="2226" t="str">
        <f t="shared" si="56"/>
        <v/>
      </c>
      <c r="E123" s="2909"/>
      <c r="F123" s="2906"/>
      <c r="G123" s="2225" t="str">
        <f t="shared" si="47"/>
        <v/>
      </c>
      <c r="H123" s="2227" t="str">
        <f>IF(A123&lt;&gt;"",VLOOKUP(VLOOKUP(A123,dist_assets,2,FALSE),'Distributed Assets'!$C$7:$F$22,4,FALSE),"")</f>
        <v/>
      </c>
      <c r="I123" s="279" t="str">
        <f>IF(A123&lt;&gt;"",VLOOKUP(A123,'Open Systems'!$A$4:$K$41,3,FALSE),"")</f>
        <v/>
      </c>
      <c r="J123" s="2228"/>
      <c r="K123" s="3163" t="str">
        <f>IFERROR(IF($A123&lt;&gt;"",
IF(MID($A123,10,2)="VM",(CONCATENATE(VLOOKUP($A123,VMware!$A$4:$H$41,5,FALSE)&amp;" x "&amp;VLOOKUP($A123,VMware!$A$4:$H$41,6,FALSE)&amp;" TB")),
IF($J123="OS",VLOOKUP($A123,'Open Systems'!$A$4:$K$41,9,FALSE),VLOOKUP($A123,'Open Systems'!$A$4:$K$41,11,FALSE))),""),"")</f>
        <v/>
      </c>
      <c r="L123" s="2"/>
      <c r="M123" s="2173" t="str">
        <f t="shared" si="57"/>
        <v/>
      </c>
      <c r="N123" s="817" t="str">
        <f t="shared" si="58"/>
        <v/>
      </c>
      <c r="O123" s="1090"/>
      <c r="P123" s="1019" t="str">
        <f t="shared" si="40"/>
        <v/>
      </c>
      <c r="Q123" s="1020"/>
      <c r="R123" s="1020"/>
      <c r="S123" s="1021" t="str">
        <f t="shared" si="48"/>
        <v/>
      </c>
      <c r="T123" s="1017"/>
      <c r="U123" s="1016"/>
      <c r="V123" s="3202" t="str">
        <f t="shared" si="59"/>
        <v/>
      </c>
      <c r="W123" s="1022" t="str">
        <f t="shared" si="49"/>
        <v/>
      </c>
      <c r="X123" s="1023" t="str">
        <f t="shared" si="50"/>
        <v/>
      </c>
      <c r="Y123" s="1017" t="str">
        <f t="shared" si="51"/>
        <v/>
      </c>
      <c r="Z123" s="1018" t="str">
        <f t="shared" si="41"/>
        <v/>
      </c>
      <c r="AA123" s="1022" t="str">
        <f t="shared" si="52"/>
        <v/>
      </c>
      <c r="AB123" s="1022" t="str">
        <f t="shared" si="53"/>
        <v/>
      </c>
      <c r="AC123" s="1022" t="str">
        <f t="shared" si="42"/>
        <v/>
      </c>
      <c r="AD123" s="1022" t="str">
        <f t="shared" si="43"/>
        <v/>
      </c>
      <c r="AE123" s="1022" t="str">
        <f t="shared" si="44"/>
        <v/>
      </c>
      <c r="AF123" s="3249" t="str">
        <f t="shared" si="45"/>
        <v/>
      </c>
      <c r="AG123" s="1104" t="str">
        <f>IF($A123&lt;&gt;"",IF(VLOOKUP($A123,'Distributed Assets'!$B$28:$AC$102,26,FALSE)="","N/A",VLOOKUP($A123,'Distributed Assets'!$B$28:$AC$102,26,FALSE)),"")</f>
        <v/>
      </c>
      <c r="AH123" s="2229" t="str">
        <f t="shared" si="46"/>
        <v/>
      </c>
    </row>
    <row r="124" spans="1:34" s="931" customFormat="1">
      <c r="A124" s="2224"/>
      <c r="B124" s="1782" t="str">
        <f t="shared" si="54"/>
        <v/>
      </c>
      <c r="C124" s="2728" t="str">
        <f t="shared" si="55"/>
        <v/>
      </c>
      <c r="D124" s="2226" t="str">
        <f t="shared" si="56"/>
        <v/>
      </c>
      <c r="E124" s="2909"/>
      <c r="F124" s="2906"/>
      <c r="G124" s="2225" t="str">
        <f t="shared" si="47"/>
        <v/>
      </c>
      <c r="H124" s="2227" t="str">
        <f>IF(A124&lt;&gt;"",VLOOKUP(VLOOKUP(A124,dist_assets,2,FALSE),'Distributed Assets'!$C$7:$F$22,4,FALSE),"")</f>
        <v/>
      </c>
      <c r="I124" s="279" t="str">
        <f>IF(A124&lt;&gt;"",VLOOKUP(A124,'Open Systems'!$A$4:$K$41,3,FALSE),"")</f>
        <v/>
      </c>
      <c r="J124" s="2228"/>
      <c r="K124" s="3163" t="str">
        <f>IFERROR(IF($A124&lt;&gt;"",
IF(MID($A124,10,2)="VM",(CONCATENATE(VLOOKUP($A124,VMware!$A$4:$H$41,5,FALSE)&amp;" x "&amp;VLOOKUP($A124,VMware!$A$4:$H$41,6,FALSE)&amp;" TB")),
IF($J124="OS",VLOOKUP($A124,'Open Systems'!$A$4:$K$41,9,FALSE),VLOOKUP($A124,'Open Systems'!$A$4:$K$41,11,FALSE))),""),"")</f>
        <v/>
      </c>
      <c r="L124" s="2"/>
      <c r="M124" s="2173" t="str">
        <f t="shared" si="57"/>
        <v/>
      </c>
      <c r="N124" s="817" t="str">
        <f t="shared" si="58"/>
        <v/>
      </c>
      <c r="O124" s="1090"/>
      <c r="P124" s="1019" t="str">
        <f t="shared" si="40"/>
        <v/>
      </c>
      <c r="Q124" s="1020"/>
      <c r="R124" s="1020"/>
      <c r="S124" s="1021" t="str">
        <f t="shared" si="48"/>
        <v/>
      </c>
      <c r="T124" s="1017"/>
      <c r="U124" s="1016"/>
      <c r="V124" s="3202" t="str">
        <f t="shared" si="59"/>
        <v/>
      </c>
      <c r="W124" s="1022" t="str">
        <f t="shared" si="49"/>
        <v/>
      </c>
      <c r="X124" s="1023" t="str">
        <f t="shared" si="50"/>
        <v/>
      </c>
      <c r="Y124" s="1017" t="str">
        <f t="shared" si="51"/>
        <v/>
      </c>
      <c r="Z124" s="1018" t="str">
        <f t="shared" si="41"/>
        <v/>
      </c>
      <c r="AA124" s="1022" t="str">
        <f t="shared" si="52"/>
        <v/>
      </c>
      <c r="AB124" s="1022" t="str">
        <f t="shared" si="53"/>
        <v/>
      </c>
      <c r="AC124" s="1022" t="str">
        <f t="shared" si="42"/>
        <v/>
      </c>
      <c r="AD124" s="1022" t="str">
        <f t="shared" si="43"/>
        <v/>
      </c>
      <c r="AE124" s="1022" t="str">
        <f t="shared" si="44"/>
        <v/>
      </c>
      <c r="AF124" s="3249" t="str">
        <f t="shared" si="45"/>
        <v/>
      </c>
      <c r="AG124" s="1104" t="str">
        <f>IF($A124&lt;&gt;"",IF(VLOOKUP($A124,'Distributed Assets'!$B$28:$AC$102,26,FALSE)="","N/A",VLOOKUP($A124,'Distributed Assets'!$B$28:$AC$102,26,FALSE)),"")</f>
        <v/>
      </c>
      <c r="AH124" s="2229" t="str">
        <f t="shared" si="46"/>
        <v/>
      </c>
    </row>
    <row r="125" spans="1:34" s="931" customFormat="1">
      <c r="A125" s="2224"/>
      <c r="B125" s="1782" t="str">
        <f t="shared" si="54"/>
        <v/>
      </c>
      <c r="C125" s="2728" t="str">
        <f t="shared" si="55"/>
        <v/>
      </c>
      <c r="D125" s="2226" t="str">
        <f t="shared" si="56"/>
        <v/>
      </c>
      <c r="E125" s="2909"/>
      <c r="F125" s="2906"/>
      <c r="G125" s="2225" t="str">
        <f t="shared" si="47"/>
        <v/>
      </c>
      <c r="H125" s="2227" t="str">
        <f>IF(A125&lt;&gt;"",VLOOKUP(VLOOKUP(A125,dist_assets,2,FALSE),'Distributed Assets'!$C$7:$F$22,4,FALSE),"")</f>
        <v/>
      </c>
      <c r="I125" s="279" t="str">
        <f>IF(A125&lt;&gt;"",VLOOKUP(A125,'Open Systems'!$A$4:$K$41,3,FALSE),"")</f>
        <v/>
      </c>
      <c r="J125" s="2228"/>
      <c r="K125" s="3163" t="str">
        <f>IFERROR(IF($A125&lt;&gt;"",
IF(MID($A125,10,2)="VM",(CONCATENATE(VLOOKUP($A125,VMware!$A$4:$H$41,5,FALSE)&amp;" x "&amp;VLOOKUP($A125,VMware!$A$4:$H$41,6,FALSE)&amp;" TB")),
IF($J125="OS",VLOOKUP($A125,'Open Systems'!$A$4:$K$41,9,FALSE),VLOOKUP($A125,'Open Systems'!$A$4:$K$41,11,FALSE))),""),"")</f>
        <v/>
      </c>
      <c r="L125" s="2"/>
      <c r="M125" s="2173" t="str">
        <f t="shared" si="57"/>
        <v/>
      </c>
      <c r="N125" s="817" t="str">
        <f t="shared" si="58"/>
        <v/>
      </c>
      <c r="O125" s="1090"/>
      <c r="P125" s="1019" t="str">
        <f t="shared" si="40"/>
        <v/>
      </c>
      <c r="Q125" s="1020"/>
      <c r="R125" s="1020"/>
      <c r="S125" s="1021" t="str">
        <f t="shared" si="48"/>
        <v/>
      </c>
      <c r="T125" s="1017"/>
      <c r="U125" s="1016"/>
      <c r="V125" s="3202" t="str">
        <f t="shared" si="59"/>
        <v/>
      </c>
      <c r="W125" s="1022" t="str">
        <f t="shared" si="49"/>
        <v/>
      </c>
      <c r="X125" s="1023" t="str">
        <f t="shared" si="50"/>
        <v/>
      </c>
      <c r="Y125" s="1017" t="str">
        <f t="shared" si="51"/>
        <v/>
      </c>
      <c r="Z125" s="1018" t="str">
        <f t="shared" si="41"/>
        <v/>
      </c>
      <c r="AA125" s="1022" t="str">
        <f t="shared" si="52"/>
        <v/>
      </c>
      <c r="AB125" s="1022" t="str">
        <f t="shared" si="53"/>
        <v/>
      </c>
      <c r="AC125" s="1022" t="str">
        <f t="shared" si="42"/>
        <v/>
      </c>
      <c r="AD125" s="1022" t="str">
        <f t="shared" si="43"/>
        <v/>
      </c>
      <c r="AE125" s="1022" t="str">
        <f t="shared" si="44"/>
        <v/>
      </c>
      <c r="AF125" s="3249" t="str">
        <f t="shared" si="45"/>
        <v/>
      </c>
      <c r="AG125" s="1104" t="str">
        <f>IF($A125&lt;&gt;"",IF(VLOOKUP($A125,'Distributed Assets'!$B$28:$AC$102,26,FALSE)="","N/A",VLOOKUP($A125,'Distributed Assets'!$B$28:$AC$102,26,FALSE)),"")</f>
        <v/>
      </c>
      <c r="AH125" s="2229" t="str">
        <f t="shared" si="46"/>
        <v/>
      </c>
    </row>
    <row r="126" spans="1:34" s="931" customFormat="1">
      <c r="A126" s="2224"/>
      <c r="B126" s="1782" t="str">
        <f t="shared" si="54"/>
        <v/>
      </c>
      <c r="C126" s="2728" t="str">
        <f t="shared" si="55"/>
        <v/>
      </c>
      <c r="D126" s="2226" t="str">
        <f t="shared" si="56"/>
        <v/>
      </c>
      <c r="E126" s="2909"/>
      <c r="F126" s="2906"/>
      <c r="G126" s="2225" t="str">
        <f t="shared" si="47"/>
        <v/>
      </c>
      <c r="H126" s="2227" t="str">
        <f>IF(A126&lt;&gt;"",VLOOKUP(VLOOKUP(A126,dist_assets,2,FALSE),'Distributed Assets'!$C$7:$F$22,4,FALSE),"")</f>
        <v/>
      </c>
      <c r="I126" s="279" t="str">
        <f>IF(A126&lt;&gt;"",VLOOKUP(A126,'Open Systems'!$A$4:$K$41,3,FALSE),"")</f>
        <v/>
      </c>
      <c r="J126" s="2228"/>
      <c r="K126" s="3163" t="str">
        <f>IFERROR(IF($A126&lt;&gt;"",
IF(MID($A126,10,2)="VM",(CONCATENATE(VLOOKUP($A126,VMware!$A$4:$H$41,5,FALSE)&amp;" x "&amp;VLOOKUP($A126,VMware!$A$4:$H$41,6,FALSE)&amp;" TB")),
IF($J126="OS",VLOOKUP($A126,'Open Systems'!$A$4:$K$41,9,FALSE),VLOOKUP($A126,'Open Systems'!$A$4:$K$41,11,FALSE))),""),"")</f>
        <v/>
      </c>
      <c r="L126" s="2"/>
      <c r="M126" s="2173" t="str">
        <f t="shared" si="57"/>
        <v/>
      </c>
      <c r="N126" s="817" t="str">
        <f t="shared" si="58"/>
        <v/>
      </c>
      <c r="O126" s="1090"/>
      <c r="P126" s="1019" t="str">
        <f t="shared" si="40"/>
        <v/>
      </c>
      <c r="Q126" s="1020"/>
      <c r="R126" s="1020"/>
      <c r="S126" s="1021" t="str">
        <f t="shared" si="48"/>
        <v/>
      </c>
      <c r="T126" s="1017"/>
      <c r="U126" s="1016"/>
      <c r="V126" s="3202" t="str">
        <f t="shared" si="59"/>
        <v/>
      </c>
      <c r="W126" s="1022" t="str">
        <f t="shared" si="49"/>
        <v/>
      </c>
      <c r="X126" s="1023" t="str">
        <f t="shared" si="50"/>
        <v/>
      </c>
      <c r="Y126" s="1017" t="str">
        <f t="shared" si="51"/>
        <v/>
      </c>
      <c r="Z126" s="1018" t="str">
        <f t="shared" si="41"/>
        <v/>
      </c>
      <c r="AA126" s="1022" t="str">
        <f t="shared" si="52"/>
        <v/>
      </c>
      <c r="AB126" s="1022" t="str">
        <f t="shared" si="53"/>
        <v/>
      </c>
      <c r="AC126" s="1022" t="str">
        <f t="shared" si="42"/>
        <v/>
      </c>
      <c r="AD126" s="1022" t="str">
        <f t="shared" si="43"/>
        <v/>
      </c>
      <c r="AE126" s="1022" t="str">
        <f t="shared" si="44"/>
        <v/>
      </c>
      <c r="AF126" s="3249" t="str">
        <f t="shared" si="45"/>
        <v/>
      </c>
      <c r="AG126" s="1104" t="str">
        <f>IF($A126&lt;&gt;"",IF(VLOOKUP($A126,'Distributed Assets'!$B$28:$AC$102,26,FALSE)="","N/A",VLOOKUP($A126,'Distributed Assets'!$B$28:$AC$102,26,FALSE)),"")</f>
        <v/>
      </c>
      <c r="AH126" s="2229" t="str">
        <f t="shared" si="46"/>
        <v/>
      </c>
    </row>
    <row r="127" spans="1:34" s="931" customFormat="1">
      <c r="A127" s="2224"/>
      <c r="B127" s="1782" t="str">
        <f t="shared" si="54"/>
        <v/>
      </c>
      <c r="C127" s="2728" t="str">
        <f t="shared" si="55"/>
        <v/>
      </c>
      <c r="D127" s="2226" t="str">
        <f t="shared" si="56"/>
        <v/>
      </c>
      <c r="E127" s="2909"/>
      <c r="F127" s="2906"/>
      <c r="G127" s="2225" t="str">
        <f t="shared" si="47"/>
        <v/>
      </c>
      <c r="H127" s="2227" t="str">
        <f>IF(A127&lt;&gt;"",VLOOKUP(VLOOKUP(A127,dist_assets,2,FALSE),'Distributed Assets'!$C$7:$F$22,4,FALSE),"")</f>
        <v/>
      </c>
      <c r="I127" s="279" t="str">
        <f>IF(A127&lt;&gt;"",VLOOKUP(A127,'Open Systems'!$A$4:$K$41,3,FALSE),"")</f>
        <v/>
      </c>
      <c r="J127" s="2228"/>
      <c r="K127" s="3163" t="str">
        <f>IFERROR(IF($A127&lt;&gt;"",
IF(MID($A127,10,2)="VM",(CONCATENATE(VLOOKUP($A127,VMware!$A$4:$H$41,5,FALSE)&amp;" x "&amp;VLOOKUP($A127,VMware!$A$4:$H$41,6,FALSE)&amp;" TB")),
IF($J127="OS",VLOOKUP($A127,'Open Systems'!$A$4:$K$41,9,FALSE),VLOOKUP($A127,'Open Systems'!$A$4:$K$41,11,FALSE))),""),"")</f>
        <v/>
      </c>
      <c r="L127" s="2"/>
      <c r="M127" s="2173" t="str">
        <f t="shared" si="57"/>
        <v/>
      </c>
      <c r="N127" s="817" t="str">
        <f t="shared" si="58"/>
        <v/>
      </c>
      <c r="O127" s="1090"/>
      <c r="P127" s="1019" t="str">
        <f t="shared" si="40"/>
        <v/>
      </c>
      <c r="Q127" s="1020"/>
      <c r="R127" s="1020"/>
      <c r="S127" s="1021" t="str">
        <f t="shared" si="48"/>
        <v/>
      </c>
      <c r="T127" s="1017"/>
      <c r="U127" s="1016"/>
      <c r="V127" s="3202" t="str">
        <f t="shared" si="59"/>
        <v/>
      </c>
      <c r="W127" s="1022" t="str">
        <f t="shared" si="49"/>
        <v/>
      </c>
      <c r="X127" s="1023" t="str">
        <f t="shared" si="50"/>
        <v/>
      </c>
      <c r="Y127" s="1017" t="str">
        <f t="shared" si="51"/>
        <v/>
      </c>
      <c r="Z127" s="1018" t="str">
        <f t="shared" si="41"/>
        <v/>
      </c>
      <c r="AA127" s="1022" t="str">
        <f t="shared" si="52"/>
        <v/>
      </c>
      <c r="AB127" s="1022" t="str">
        <f t="shared" si="53"/>
        <v/>
      </c>
      <c r="AC127" s="1022" t="str">
        <f t="shared" si="42"/>
        <v/>
      </c>
      <c r="AD127" s="1022" t="str">
        <f t="shared" si="43"/>
        <v/>
      </c>
      <c r="AE127" s="1022" t="str">
        <f t="shared" si="44"/>
        <v/>
      </c>
      <c r="AF127" s="3249" t="str">
        <f t="shared" si="45"/>
        <v/>
      </c>
      <c r="AG127" s="1104" t="str">
        <f>IF($A127&lt;&gt;"",IF(VLOOKUP($A127,'Distributed Assets'!$B$28:$AC$102,26,FALSE)="","N/A",VLOOKUP($A127,'Distributed Assets'!$B$28:$AC$102,26,FALSE)),"")</f>
        <v/>
      </c>
      <c r="AH127" s="2229" t="str">
        <f t="shared" si="46"/>
        <v/>
      </c>
    </row>
    <row r="128" spans="1:34" s="931" customFormat="1">
      <c r="A128" s="2224"/>
      <c r="B128" s="1782" t="str">
        <f t="shared" si="54"/>
        <v/>
      </c>
      <c r="C128" s="2728" t="str">
        <f t="shared" si="55"/>
        <v/>
      </c>
      <c r="D128" s="2226" t="str">
        <f t="shared" si="56"/>
        <v/>
      </c>
      <c r="E128" s="2909"/>
      <c r="F128" s="2906"/>
      <c r="G128" s="2225" t="str">
        <f t="shared" si="47"/>
        <v/>
      </c>
      <c r="H128" s="2227" t="str">
        <f>IF(A128&lt;&gt;"",VLOOKUP(VLOOKUP(A128,dist_assets,2,FALSE),'Distributed Assets'!$C$7:$F$22,4,FALSE),"")</f>
        <v/>
      </c>
      <c r="I128" s="279" t="str">
        <f>IF(A128&lt;&gt;"",VLOOKUP(A128,'Open Systems'!$A$4:$K$41,3,FALSE),"")</f>
        <v/>
      </c>
      <c r="J128" s="2228"/>
      <c r="K128" s="3163" t="str">
        <f>IFERROR(IF($A128&lt;&gt;"",
IF(MID($A128,10,2)="VM",(CONCATENATE(VLOOKUP($A128,VMware!$A$4:$H$41,5,FALSE)&amp;" x "&amp;VLOOKUP($A128,VMware!$A$4:$H$41,6,FALSE)&amp;" TB")),
IF($J128="OS",VLOOKUP($A128,'Open Systems'!$A$4:$K$41,9,FALSE),VLOOKUP($A128,'Open Systems'!$A$4:$K$41,11,FALSE))),""),"")</f>
        <v/>
      </c>
      <c r="L128" s="2"/>
      <c r="M128" s="2173" t="str">
        <f t="shared" si="57"/>
        <v/>
      </c>
      <c r="N128" s="817" t="str">
        <f t="shared" si="58"/>
        <v/>
      </c>
      <c r="O128" s="1090"/>
      <c r="P128" s="1019" t="str">
        <f t="shared" si="40"/>
        <v/>
      </c>
      <c r="Q128" s="1020"/>
      <c r="R128" s="1020"/>
      <c r="S128" s="1021" t="str">
        <f t="shared" si="48"/>
        <v/>
      </c>
      <c r="T128" s="1017"/>
      <c r="U128" s="1016"/>
      <c r="V128" s="3202" t="str">
        <f t="shared" si="59"/>
        <v/>
      </c>
      <c r="W128" s="1022" t="str">
        <f t="shared" si="49"/>
        <v/>
      </c>
      <c r="X128" s="1023" t="str">
        <f t="shared" si="50"/>
        <v/>
      </c>
      <c r="Y128" s="1017" t="str">
        <f t="shared" si="51"/>
        <v/>
      </c>
      <c r="Z128" s="1018" t="str">
        <f t="shared" si="41"/>
        <v/>
      </c>
      <c r="AA128" s="1022" t="str">
        <f t="shared" si="52"/>
        <v/>
      </c>
      <c r="AB128" s="1022" t="str">
        <f t="shared" si="53"/>
        <v/>
      </c>
      <c r="AC128" s="1022" t="str">
        <f t="shared" si="42"/>
        <v/>
      </c>
      <c r="AD128" s="1022" t="str">
        <f t="shared" si="43"/>
        <v/>
      </c>
      <c r="AE128" s="1022" t="str">
        <f t="shared" si="44"/>
        <v/>
      </c>
      <c r="AF128" s="3249" t="str">
        <f t="shared" si="45"/>
        <v/>
      </c>
      <c r="AG128" s="1104" t="str">
        <f>IF($A128&lt;&gt;"",IF(VLOOKUP($A128,'Distributed Assets'!$B$28:$AC$102,26,FALSE)="","N/A",VLOOKUP($A128,'Distributed Assets'!$B$28:$AC$102,26,FALSE)),"")</f>
        <v/>
      </c>
      <c r="AH128" s="2229" t="str">
        <f t="shared" si="46"/>
        <v/>
      </c>
    </row>
    <row r="129" spans="1:34" s="931" customFormat="1">
      <c r="A129" s="2224"/>
      <c r="B129" s="1782" t="str">
        <f t="shared" si="54"/>
        <v/>
      </c>
      <c r="C129" s="2728" t="str">
        <f t="shared" si="55"/>
        <v/>
      </c>
      <c r="D129" s="2226" t="str">
        <f t="shared" si="56"/>
        <v/>
      </c>
      <c r="E129" s="2909"/>
      <c r="F129" s="2906"/>
      <c r="G129" s="2225" t="str">
        <f t="shared" si="47"/>
        <v/>
      </c>
      <c r="H129" s="2227" t="str">
        <f>IF(A129&lt;&gt;"",VLOOKUP(VLOOKUP(A129,dist_assets,2,FALSE),'Distributed Assets'!$C$7:$F$22,4,FALSE),"")</f>
        <v/>
      </c>
      <c r="I129" s="279" t="str">
        <f>IF(A129&lt;&gt;"",VLOOKUP(A129,'Open Systems'!$A$4:$K$41,3,FALSE),"")</f>
        <v/>
      </c>
      <c r="J129" s="2228"/>
      <c r="K129" s="3163" t="str">
        <f>IFERROR(IF($A129&lt;&gt;"",
IF(MID($A129,10,2)="VM",(CONCATENATE(VLOOKUP($A129,VMware!$A$4:$H$41,5,FALSE)&amp;" x "&amp;VLOOKUP($A129,VMware!$A$4:$H$41,6,FALSE)&amp;" TB")),
IF($J129="OS",VLOOKUP($A129,'Open Systems'!$A$4:$K$41,9,FALSE),VLOOKUP($A129,'Open Systems'!$A$4:$K$41,11,FALSE))),""),"")</f>
        <v/>
      </c>
      <c r="L129" s="2"/>
      <c r="M129" s="2173" t="str">
        <f t="shared" si="57"/>
        <v/>
      </c>
      <c r="N129" s="817" t="str">
        <f t="shared" si="58"/>
        <v/>
      </c>
      <c r="O129" s="1090"/>
      <c r="P129" s="1019" t="str">
        <f t="shared" si="40"/>
        <v/>
      </c>
      <c r="Q129" s="1020"/>
      <c r="R129" s="1020"/>
      <c r="S129" s="1021" t="str">
        <f t="shared" si="48"/>
        <v/>
      </c>
      <c r="T129" s="1017"/>
      <c r="U129" s="1016"/>
      <c r="V129" s="3202" t="str">
        <f t="shared" si="59"/>
        <v/>
      </c>
      <c r="W129" s="1022" t="str">
        <f t="shared" si="49"/>
        <v/>
      </c>
      <c r="X129" s="1023" t="str">
        <f t="shared" si="50"/>
        <v/>
      </c>
      <c r="Y129" s="1017" t="str">
        <f t="shared" si="51"/>
        <v/>
      </c>
      <c r="Z129" s="1018" t="str">
        <f t="shared" si="41"/>
        <v/>
      </c>
      <c r="AA129" s="1022" t="str">
        <f t="shared" si="52"/>
        <v/>
      </c>
      <c r="AB129" s="1022" t="str">
        <f t="shared" si="53"/>
        <v/>
      </c>
      <c r="AC129" s="1022" t="str">
        <f t="shared" si="42"/>
        <v/>
      </c>
      <c r="AD129" s="1022" t="str">
        <f t="shared" si="43"/>
        <v/>
      </c>
      <c r="AE129" s="1022" t="str">
        <f t="shared" si="44"/>
        <v/>
      </c>
      <c r="AF129" s="3249" t="str">
        <f t="shared" si="45"/>
        <v/>
      </c>
      <c r="AG129" s="1104" t="str">
        <f>IF($A129&lt;&gt;"",IF(VLOOKUP($A129,'Distributed Assets'!$B$28:$AC$102,26,FALSE)="","N/A",VLOOKUP($A129,'Distributed Assets'!$B$28:$AC$102,26,FALSE)),"")</f>
        <v/>
      </c>
      <c r="AH129" s="2229" t="str">
        <f t="shared" si="46"/>
        <v/>
      </c>
    </row>
    <row r="130" spans="1:34" s="931" customFormat="1">
      <c r="A130" s="2224"/>
      <c r="B130" s="1782" t="str">
        <f t="shared" si="54"/>
        <v/>
      </c>
      <c r="C130" s="2728" t="str">
        <f t="shared" si="55"/>
        <v/>
      </c>
      <c r="D130" s="2226" t="str">
        <f t="shared" si="56"/>
        <v/>
      </c>
      <c r="E130" s="2909"/>
      <c r="F130" s="2906"/>
      <c r="G130" s="2225" t="str">
        <f t="shared" si="47"/>
        <v/>
      </c>
      <c r="H130" s="2227" t="str">
        <f>IF(A130&lt;&gt;"",VLOOKUP(VLOOKUP(A130,dist_assets,2,FALSE),'Distributed Assets'!$C$7:$F$22,4,FALSE),"")</f>
        <v/>
      </c>
      <c r="I130" s="279" t="str">
        <f>IF(A130&lt;&gt;"",VLOOKUP(A130,'Open Systems'!$A$4:$K$41,3,FALSE),"")</f>
        <v/>
      </c>
      <c r="J130" s="2228"/>
      <c r="K130" s="3163" t="str">
        <f>IFERROR(IF($A130&lt;&gt;"",
IF(MID($A130,10,2)="VM",(CONCATENATE(VLOOKUP($A130,VMware!$A$4:$H$41,5,FALSE)&amp;" x "&amp;VLOOKUP($A130,VMware!$A$4:$H$41,6,FALSE)&amp;" TB")),
IF($J130="OS",VLOOKUP($A130,'Open Systems'!$A$4:$K$41,9,FALSE),VLOOKUP($A130,'Open Systems'!$A$4:$K$41,11,FALSE))),""),"")</f>
        <v/>
      </c>
      <c r="L130" s="2"/>
      <c r="M130" s="2173" t="str">
        <f t="shared" si="57"/>
        <v/>
      </c>
      <c r="N130" s="817" t="str">
        <f t="shared" si="58"/>
        <v/>
      </c>
      <c r="O130" s="1090"/>
      <c r="P130" s="1019" t="str">
        <f t="shared" si="40"/>
        <v/>
      </c>
      <c r="Q130" s="1020"/>
      <c r="R130" s="1020"/>
      <c r="S130" s="1021" t="str">
        <f t="shared" si="48"/>
        <v/>
      </c>
      <c r="T130" s="1017"/>
      <c r="U130" s="1016"/>
      <c r="V130" s="3202" t="str">
        <f t="shared" si="59"/>
        <v/>
      </c>
      <c r="W130" s="1022" t="str">
        <f t="shared" si="49"/>
        <v/>
      </c>
      <c r="X130" s="1023" t="str">
        <f t="shared" si="50"/>
        <v/>
      </c>
      <c r="Y130" s="1017" t="str">
        <f t="shared" si="51"/>
        <v/>
      </c>
      <c r="Z130" s="1018" t="str">
        <f t="shared" si="41"/>
        <v/>
      </c>
      <c r="AA130" s="1022" t="str">
        <f t="shared" si="52"/>
        <v/>
      </c>
      <c r="AB130" s="1022" t="str">
        <f t="shared" si="53"/>
        <v/>
      </c>
      <c r="AC130" s="1022" t="str">
        <f t="shared" si="42"/>
        <v/>
      </c>
      <c r="AD130" s="1022" t="str">
        <f t="shared" si="43"/>
        <v/>
      </c>
      <c r="AE130" s="1022" t="str">
        <f t="shared" si="44"/>
        <v/>
      </c>
      <c r="AF130" s="3249" t="str">
        <f t="shared" si="45"/>
        <v/>
      </c>
      <c r="AG130" s="1104" t="str">
        <f>IF($A130&lt;&gt;"",IF(VLOOKUP($A130,'Distributed Assets'!$B$28:$AC$102,26,FALSE)="","N/A",VLOOKUP($A130,'Distributed Assets'!$B$28:$AC$102,26,FALSE)),"")</f>
        <v/>
      </c>
      <c r="AH130" s="2229" t="str">
        <f t="shared" si="46"/>
        <v/>
      </c>
    </row>
    <row r="131" spans="1:34" s="931" customFormat="1">
      <c r="A131" s="2224"/>
      <c r="B131" s="1782" t="str">
        <f t="shared" si="54"/>
        <v/>
      </c>
      <c r="C131" s="2728" t="str">
        <f t="shared" si="55"/>
        <v/>
      </c>
      <c r="D131" s="2226" t="str">
        <f t="shared" si="56"/>
        <v/>
      </c>
      <c r="E131" s="2909"/>
      <c r="F131" s="2906"/>
      <c r="G131" s="2225" t="str">
        <f t="shared" si="47"/>
        <v/>
      </c>
      <c r="H131" s="2227" t="str">
        <f>IF(A131&lt;&gt;"",VLOOKUP(VLOOKUP(A131,dist_assets,2,FALSE),'Distributed Assets'!$C$7:$F$22,4,FALSE),"")</f>
        <v/>
      </c>
      <c r="I131" s="279" t="str">
        <f>IF(A131&lt;&gt;"",VLOOKUP(A131,'Open Systems'!$A$4:$K$41,3,FALSE),"")</f>
        <v/>
      </c>
      <c r="J131" s="2228"/>
      <c r="K131" s="3163" t="str">
        <f>IFERROR(IF($A131&lt;&gt;"",
IF(MID($A131,10,2)="VM",(CONCATENATE(VLOOKUP($A131,VMware!$A$4:$H$41,5,FALSE)&amp;" x "&amp;VLOOKUP($A131,VMware!$A$4:$H$41,6,FALSE)&amp;" TB")),
IF($J131="OS",VLOOKUP($A131,'Open Systems'!$A$4:$K$41,9,FALSE),VLOOKUP($A131,'Open Systems'!$A$4:$K$41,11,FALSE))),""),"")</f>
        <v/>
      </c>
      <c r="L131" s="2"/>
      <c r="M131" s="2173" t="str">
        <f t="shared" si="57"/>
        <v/>
      </c>
      <c r="N131" s="817" t="str">
        <f t="shared" si="58"/>
        <v/>
      </c>
      <c r="O131" s="1090"/>
      <c r="P131" s="1019" t="str">
        <f t="shared" si="40"/>
        <v/>
      </c>
      <c r="Q131" s="1020"/>
      <c r="R131" s="1020"/>
      <c r="S131" s="1021" t="str">
        <f t="shared" si="48"/>
        <v/>
      </c>
      <c r="T131" s="1017"/>
      <c r="U131" s="1016"/>
      <c r="V131" s="3202" t="str">
        <f t="shared" si="59"/>
        <v/>
      </c>
      <c r="W131" s="1022" t="str">
        <f t="shared" si="49"/>
        <v/>
      </c>
      <c r="X131" s="1023" t="str">
        <f t="shared" si="50"/>
        <v/>
      </c>
      <c r="Y131" s="1017" t="str">
        <f t="shared" si="51"/>
        <v/>
      </c>
      <c r="Z131" s="1018" t="str">
        <f t="shared" si="41"/>
        <v/>
      </c>
      <c r="AA131" s="1022" t="str">
        <f t="shared" si="52"/>
        <v/>
      </c>
      <c r="AB131" s="1022" t="str">
        <f t="shared" si="53"/>
        <v/>
      </c>
      <c r="AC131" s="1022" t="str">
        <f t="shared" si="42"/>
        <v/>
      </c>
      <c r="AD131" s="1022" t="str">
        <f t="shared" si="43"/>
        <v/>
      </c>
      <c r="AE131" s="1022" t="str">
        <f t="shared" si="44"/>
        <v/>
      </c>
      <c r="AF131" s="3249" t="str">
        <f t="shared" si="45"/>
        <v/>
      </c>
      <c r="AG131" s="1104" t="str">
        <f>IF($A131&lt;&gt;"",IF(VLOOKUP($A131,'Distributed Assets'!$B$28:$AC$102,26,FALSE)="","N/A",VLOOKUP($A131,'Distributed Assets'!$B$28:$AC$102,26,FALSE)),"")</f>
        <v/>
      </c>
      <c r="AH131" s="2229" t="str">
        <f t="shared" si="46"/>
        <v/>
      </c>
    </row>
    <row r="132" spans="1:34" s="931" customFormat="1">
      <c r="A132" s="2224"/>
      <c r="B132" s="1782" t="str">
        <f t="shared" ref="B132:B155" si="60">IF($A132&lt;&gt;"",
      IF(MID($A132,10,2)="VM", VLOOKUP($A132,VMTab,4,FALSE), VLOOKUP($A132,dist_assets,21,FALSE)), "")</f>
        <v/>
      </c>
      <c r="C132" s="2728" t="str">
        <f t="shared" ref="C132:C155" si="61">IF($A132&lt;&gt;"",VLOOKUP($A132,dist_assets,10,FALSE),"")</f>
        <v/>
      </c>
      <c r="D132" s="2226" t="str">
        <f t="shared" ref="D132:D155" si="62">IF($A132&lt;&gt;"",
      IF(MID($A132,10,2)="VM","Existing", VLOOKUP($A132,dist_assets,3,FALSE)),"")</f>
        <v/>
      </c>
      <c r="E132" s="2909"/>
      <c r="F132" s="2906"/>
      <c r="G132" s="2225" t="str">
        <f t="shared" si="47"/>
        <v/>
      </c>
      <c r="H132" s="2227" t="str">
        <f>IF(A132&lt;&gt;"",VLOOKUP(VLOOKUP(A132,dist_assets,2,FALSE),'Distributed Assets'!$C$7:$F$22,4,FALSE),"")</f>
        <v/>
      </c>
      <c r="I132" s="279" t="str">
        <f>IF(A132&lt;&gt;"",VLOOKUP(A132,'Open Systems'!$A$4:$K$41,3,FALSE),"")</f>
        <v/>
      </c>
      <c r="J132" s="2228"/>
      <c r="K132" s="3163" t="str">
        <f>IFERROR(IF($A132&lt;&gt;"",
IF(MID($A132,10,2)="VM",(CONCATENATE(VLOOKUP($A132,VMware!$A$4:$H$41,5,FALSE)&amp;" x "&amp;VLOOKUP($A132,VMware!$A$4:$H$41,6,FALSE)&amp;" TB")),
IF($J132="OS",VLOOKUP($A132,'Open Systems'!$A$4:$K$41,9,FALSE),VLOOKUP($A132,'Open Systems'!$A$4:$K$41,11,FALSE))),""),"")</f>
        <v/>
      </c>
      <c r="L132" s="2"/>
      <c r="M132" s="2173" t="str">
        <f t="shared" ref="M132:M155" si="63">IFERROR(IF($A132&lt;&gt;"",IF(MID($A132,10,2)="VM",CONCATENATE("Shared with Servers:"&amp; CHAR(10) &amp;VLOOKUP($A132,VMTab,4,FALSE)),VLOOKUP(VLOOKUP($A132,dist_assets,17,FALSE),dist_assets,21,FALSE)),""),"")</f>
        <v/>
      </c>
      <c r="N132" s="817" t="str">
        <f t="shared" ref="N132:N155" si="64">IF($A132&lt;&gt;"",VLOOKUP($A132,dist_assets,16,FALSE),"")</f>
        <v/>
      </c>
      <c r="O132" s="1090"/>
      <c r="P132" s="1019" t="str">
        <f t="shared" si="40"/>
        <v/>
      </c>
      <c r="Q132" s="1020"/>
      <c r="R132" s="1020"/>
      <c r="S132" s="1021" t="str">
        <f t="shared" si="48"/>
        <v/>
      </c>
      <c r="T132" s="1017"/>
      <c r="U132" s="1016"/>
      <c r="V132" s="3202" t="str">
        <f t="shared" ref="V132:V155" si="65">IFERROR(IF($A132&lt;&gt;"",
      IF(AND(MID($A132,10,2)="VM", VLOOKUP($A132,VMTab,7,FALSE)="Yes"), $K132,
            IF($H132="Prod 2.0", $K132,"")),""),"")</f>
        <v/>
      </c>
      <c r="W132" s="1022" t="str">
        <f t="shared" si="49"/>
        <v/>
      </c>
      <c r="X132" s="1023" t="str">
        <f t="shared" si="50"/>
        <v/>
      </c>
      <c r="Y132" s="1017" t="str">
        <f t="shared" si="51"/>
        <v/>
      </c>
      <c r="Z132" s="1018" t="str">
        <f t="shared" si="41"/>
        <v/>
      </c>
      <c r="AA132" s="1022" t="str">
        <f t="shared" si="52"/>
        <v/>
      </c>
      <c r="AB132" s="1022" t="str">
        <f t="shared" si="53"/>
        <v/>
      </c>
      <c r="AC132" s="1022" t="str">
        <f t="shared" si="42"/>
        <v/>
      </c>
      <c r="AD132" s="1022" t="str">
        <f t="shared" si="43"/>
        <v/>
      </c>
      <c r="AE132" s="1022" t="str">
        <f t="shared" si="44"/>
        <v/>
      </c>
      <c r="AF132" s="3249" t="str">
        <f t="shared" si="45"/>
        <v/>
      </c>
      <c r="AG132" s="1104" t="str">
        <f>IF($A132&lt;&gt;"",IF(VLOOKUP($A132,'Distributed Assets'!$B$28:$AC$102,26,FALSE)="","N/A",VLOOKUP($A132,'Distributed Assets'!$B$28:$AC$102,26,FALSE)),"")</f>
        <v/>
      </c>
      <c r="AH132" s="2229" t="str">
        <f t="shared" si="46"/>
        <v/>
      </c>
    </row>
    <row r="133" spans="1:34" s="931" customFormat="1">
      <c r="A133" s="2224"/>
      <c r="B133" s="1782" t="str">
        <f t="shared" si="60"/>
        <v/>
      </c>
      <c r="C133" s="2728" t="str">
        <f t="shared" si="61"/>
        <v/>
      </c>
      <c r="D133" s="2226" t="str">
        <f t="shared" si="62"/>
        <v/>
      </c>
      <c r="E133" s="2909"/>
      <c r="F133" s="2906"/>
      <c r="G133" s="2225" t="str">
        <f t="shared" si="47"/>
        <v/>
      </c>
      <c r="H133" s="2227" t="str">
        <f>IF(A133&lt;&gt;"",VLOOKUP(VLOOKUP(A133,dist_assets,2,FALSE),'Distributed Assets'!$C$7:$F$22,4,FALSE),"")</f>
        <v/>
      </c>
      <c r="I133" s="279" t="str">
        <f>IF(A133&lt;&gt;"",VLOOKUP(A133,'Open Systems'!$A$4:$K$41,3,FALSE),"")</f>
        <v/>
      </c>
      <c r="J133" s="2228"/>
      <c r="K133" s="3163" t="str">
        <f>IFERROR(IF($A133&lt;&gt;"",
IF(MID($A133,10,2)="VM",(CONCATENATE(VLOOKUP($A133,VMware!$A$4:$H$41,5,FALSE)&amp;" x "&amp;VLOOKUP($A133,VMware!$A$4:$H$41,6,FALSE)&amp;" TB")),
IF($J133="OS",VLOOKUP($A133,'Open Systems'!$A$4:$K$41,9,FALSE),VLOOKUP($A133,'Open Systems'!$A$4:$K$41,11,FALSE))),""),"")</f>
        <v/>
      </c>
      <c r="L133" s="2"/>
      <c r="M133" s="2173" t="str">
        <f t="shared" si="63"/>
        <v/>
      </c>
      <c r="N133" s="817" t="str">
        <f t="shared" si="64"/>
        <v/>
      </c>
      <c r="O133" s="1090"/>
      <c r="P133" s="1019" t="str">
        <f t="shared" ref="P133:P155" si="66">IF(AND($A133&lt;&gt;"",$G133&lt;&gt;"ESX",$H133="Prod 2.0"),
IF(AND($C133&lt;&gt;"Virtual",$G133="Windows"),REPLACE($B133,1,4,"rftw"),""),"")</f>
        <v/>
      </c>
      <c r="Q133" s="1020"/>
      <c r="R133" s="1020"/>
      <c r="S133" s="1021" t="str">
        <f t="shared" si="48"/>
        <v/>
      </c>
      <c r="T133" s="1017"/>
      <c r="U133" s="1016"/>
      <c r="V133" s="3202" t="str">
        <f t="shared" si="65"/>
        <v/>
      </c>
      <c r="W133" s="1022" t="str">
        <f t="shared" si="49"/>
        <v/>
      </c>
      <c r="X133" s="1023" t="str">
        <f t="shared" si="50"/>
        <v/>
      </c>
      <c r="Y133" s="1017" t="str">
        <f t="shared" si="51"/>
        <v/>
      </c>
      <c r="Z133" s="1018" t="str">
        <f t="shared" ref="Z133:Z155" si="67">IF($U133&lt;&gt;"",$U133,"")</f>
        <v/>
      </c>
      <c r="AA133" s="1022" t="str">
        <f t="shared" si="52"/>
        <v/>
      </c>
      <c r="AB133" s="1022" t="str">
        <f t="shared" si="53"/>
        <v/>
      </c>
      <c r="AC133" s="1022" t="str">
        <f t="shared" ref="AC133:AC155" si="68">IF(AND($A133&lt;&gt;"",$H133="Prod 2.0",$G133&lt;&gt;"ESX",$R133&lt;&gt;""),
        IF($N133="Active / Passive",CONCATENATE($B133, "_", RIGHT($M133,5), "-fc"),
              IF($N133="Active / Active",$B133 &amp; "-fc")),"")</f>
        <v/>
      </c>
      <c r="AD133" s="1022" t="str">
        <f t="shared" ref="AD133:AD155" si="69">IF($AC133&lt;&gt;"",SUBSTITUTE($AC133,"-fc","-gm",1),"")</f>
        <v/>
      </c>
      <c r="AE133" s="1022" t="str">
        <f t="shared" ref="AE133:AE155" si="70">IF($AC$4&lt;&gt;"",SUBSTITUTE($AC133,"-fc","-sefc",1),"")</f>
        <v/>
      </c>
      <c r="AF133" s="3249" t="str">
        <f t="shared" ref="AF133:AF155" si="71">IF($A133&lt;&gt;"",
  IF(AND(MID($A133,10,2)="VM", (LEFT($B133,1)="p"), ($V133&lt;&gt;"")),"Add vdisks to the shared servers with a unique SCSI ID across all of the servers. Please add to Global Mirror Solution",
  IF(MID($A133,10,2)="VM","Add vdisks to the shared servers with a unique SCSI ID across all of the servers.","")), "")</f>
        <v/>
      </c>
      <c r="AG133" s="1104" t="str">
        <f>IF($A133&lt;&gt;"",IF(VLOOKUP($A133,'Distributed Assets'!$B$28:$AC$102,26,FALSE)="","N/A",VLOOKUP($A133,'Distributed Assets'!$B$28:$AC$102,26,FALSE)),"")</f>
        <v/>
      </c>
      <c r="AH133" s="2229" t="str">
        <f t="shared" ref="AH133:AH155" si="72">IF(AND($D133="Existing",$K133 &lt;&gt;""),"Yes","")</f>
        <v/>
      </c>
    </row>
    <row r="134" spans="1:34" s="931" customFormat="1">
      <c r="A134" s="2224"/>
      <c r="B134" s="1782" t="str">
        <f t="shared" si="60"/>
        <v/>
      </c>
      <c r="C134" s="2728" t="str">
        <f t="shared" si="61"/>
        <v/>
      </c>
      <c r="D134" s="2226" t="str">
        <f t="shared" si="62"/>
        <v/>
      </c>
      <c r="E134" s="2909"/>
      <c r="F134" s="2906"/>
      <c r="G134" s="2225" t="str">
        <f t="shared" ref="G134:G155" si="73">IF(A134&lt;&gt;"",VLOOKUP(A134,dist_assets,9,FALSE),"")</f>
        <v/>
      </c>
      <c r="H134" s="2227" t="str">
        <f>IF(A134&lt;&gt;"",VLOOKUP(VLOOKUP(A134,dist_assets,2,FALSE),'Distributed Assets'!$C$7:$F$22,4,FALSE),"")</f>
        <v/>
      </c>
      <c r="I134" s="279" t="str">
        <f>IF(A134&lt;&gt;"",VLOOKUP(A134,'Open Systems'!$A$4:$K$41,3,FALSE),"")</f>
        <v/>
      </c>
      <c r="J134" s="2228"/>
      <c r="K134" s="3163" t="str">
        <f>IFERROR(IF($A134&lt;&gt;"",
IF(MID($A134,10,2)="VM",(CONCATENATE(VLOOKUP($A134,VMware!$A$4:$H$41,5,FALSE)&amp;" x "&amp;VLOOKUP($A134,VMware!$A$4:$H$41,6,FALSE)&amp;" TB")),
IF($J134="OS",VLOOKUP($A134,'Open Systems'!$A$4:$K$41,9,FALSE),VLOOKUP($A134,'Open Systems'!$A$4:$K$41,11,FALSE))),""),"")</f>
        <v/>
      </c>
      <c r="L134" s="2"/>
      <c r="M134" s="2173" t="str">
        <f t="shared" si="63"/>
        <v/>
      </c>
      <c r="N134" s="817" t="str">
        <f t="shared" si="64"/>
        <v/>
      </c>
      <c r="O134" s="1090"/>
      <c r="P134" s="1019" t="str">
        <f t="shared" si="66"/>
        <v/>
      </c>
      <c r="Q134" s="1020"/>
      <c r="R134" s="1020"/>
      <c r="S134" s="1021" t="str">
        <f t="shared" ref="S134:S155" si="74">IF(AND($A134&lt;&gt;"",$R134&lt;&gt;"",$H134="Prod 2.0"),R134&amp;"c","")</f>
        <v/>
      </c>
      <c r="T134" s="1017"/>
      <c r="U134" s="1016"/>
      <c r="V134" s="3202" t="str">
        <f t="shared" si="65"/>
        <v/>
      </c>
      <c r="W134" s="1022" t="str">
        <f t="shared" ref="W134:W155" si="75">IF(AND($A134&lt;&gt;"",$H134="Prod 2.0",$V134&lt;&gt;""),SUBSTITUTE(R134,"-v","-g",1),"")</f>
        <v/>
      </c>
      <c r="X134" s="1023" t="str">
        <f t="shared" ref="X134:X155" si="76">IF(AND($A134&lt;&gt;"",$W134&lt;&gt;"",$H134="Prod 2.0"),W134&amp;"c","")</f>
        <v/>
      </c>
      <c r="Y134" s="1017" t="str">
        <f t="shared" ref="Y134:Y155" si="77">IF(AND($A134&lt;&gt;"",$H134="Prod 2.0",$R134&lt;&gt;""),SUBSTITUTE(T134,"pwau","rftw",1),"")</f>
        <v/>
      </c>
      <c r="Z134" s="1018" t="str">
        <f t="shared" si="67"/>
        <v/>
      </c>
      <c r="AA134" s="1022" t="str">
        <f t="shared" ref="AA134:AA155" si="78">IF(AND($A134&lt;&gt;"",$H134="Prod 2.0",$G134&lt;&gt;"ESX",$R134&lt;&gt;""),SUBSTITUTE(W134,"-g","-f",1),"")</f>
        <v/>
      </c>
      <c r="AB134" s="1022" t="str">
        <f t="shared" ref="AB134:AB155" si="79">IF(AND($A134&lt;&gt;"",$H134="Prod 2.0",$G134&lt;&gt;"ESX",$R134&lt;&gt;""),SUBSTITUTE(AA134,"-f","-s",1),"")</f>
        <v/>
      </c>
      <c r="AC134" s="1022" t="str">
        <f t="shared" si="68"/>
        <v/>
      </c>
      <c r="AD134" s="1022" t="str">
        <f t="shared" si="69"/>
        <v/>
      </c>
      <c r="AE134" s="1022" t="str">
        <f t="shared" si="70"/>
        <v/>
      </c>
      <c r="AF134" s="3249" t="str">
        <f t="shared" si="71"/>
        <v/>
      </c>
      <c r="AG134" s="1104" t="str">
        <f>IF($A134&lt;&gt;"",IF(VLOOKUP($A134,'Distributed Assets'!$B$28:$AC$102,26,FALSE)="","N/A",VLOOKUP($A134,'Distributed Assets'!$B$28:$AC$102,26,FALSE)),"")</f>
        <v/>
      </c>
      <c r="AH134" s="2229" t="str">
        <f t="shared" si="72"/>
        <v/>
      </c>
    </row>
    <row r="135" spans="1:34" s="931" customFormat="1">
      <c r="A135" s="2224"/>
      <c r="B135" s="1782" t="str">
        <f t="shared" si="60"/>
        <v/>
      </c>
      <c r="C135" s="2728" t="str">
        <f t="shared" si="61"/>
        <v/>
      </c>
      <c r="D135" s="2226" t="str">
        <f t="shared" si="62"/>
        <v/>
      </c>
      <c r="E135" s="2909"/>
      <c r="F135" s="2906"/>
      <c r="G135" s="2225" t="str">
        <f t="shared" si="73"/>
        <v/>
      </c>
      <c r="H135" s="2227" t="str">
        <f>IF(A135&lt;&gt;"",VLOOKUP(VLOOKUP(A135,dist_assets,2,FALSE),'Distributed Assets'!$C$7:$F$22,4,FALSE),"")</f>
        <v/>
      </c>
      <c r="I135" s="279" t="str">
        <f>IF(A135&lt;&gt;"",VLOOKUP(A135,'Open Systems'!$A$4:$K$41,3,FALSE),"")</f>
        <v/>
      </c>
      <c r="J135" s="2228"/>
      <c r="K135" s="3163" t="str">
        <f>IFERROR(IF($A135&lt;&gt;"",
IF(MID($A135,10,2)="VM",(CONCATENATE(VLOOKUP($A135,VMware!$A$4:$H$41,5,FALSE)&amp;" x "&amp;VLOOKUP($A135,VMware!$A$4:$H$41,6,FALSE)&amp;" TB")),
IF($J135="OS",VLOOKUP($A135,'Open Systems'!$A$4:$K$41,9,FALSE),VLOOKUP($A135,'Open Systems'!$A$4:$K$41,11,FALSE))),""),"")</f>
        <v/>
      </c>
      <c r="L135" s="2"/>
      <c r="M135" s="2173" t="str">
        <f t="shared" si="63"/>
        <v/>
      </c>
      <c r="N135" s="817" t="str">
        <f t="shared" si="64"/>
        <v/>
      </c>
      <c r="O135" s="1090"/>
      <c r="P135" s="1019" t="str">
        <f t="shared" si="66"/>
        <v/>
      </c>
      <c r="Q135" s="1020"/>
      <c r="R135" s="1020"/>
      <c r="S135" s="1021" t="str">
        <f t="shared" si="74"/>
        <v/>
      </c>
      <c r="T135" s="1017"/>
      <c r="U135" s="1016"/>
      <c r="V135" s="3202" t="str">
        <f t="shared" si="65"/>
        <v/>
      </c>
      <c r="W135" s="1022" t="str">
        <f t="shared" si="75"/>
        <v/>
      </c>
      <c r="X135" s="1023" t="str">
        <f t="shared" si="76"/>
        <v/>
      </c>
      <c r="Y135" s="1017" t="str">
        <f t="shared" si="77"/>
        <v/>
      </c>
      <c r="Z135" s="1018" t="str">
        <f t="shared" si="67"/>
        <v/>
      </c>
      <c r="AA135" s="1022" t="str">
        <f t="shared" si="78"/>
        <v/>
      </c>
      <c r="AB135" s="1022" t="str">
        <f t="shared" si="79"/>
        <v/>
      </c>
      <c r="AC135" s="1022" t="str">
        <f t="shared" si="68"/>
        <v/>
      </c>
      <c r="AD135" s="1022" t="str">
        <f t="shared" si="69"/>
        <v/>
      </c>
      <c r="AE135" s="1022" t="str">
        <f t="shared" si="70"/>
        <v/>
      </c>
      <c r="AF135" s="3249" t="str">
        <f t="shared" si="71"/>
        <v/>
      </c>
      <c r="AG135" s="1104" t="str">
        <f>IF($A135&lt;&gt;"",IF(VLOOKUP($A135,'Distributed Assets'!$B$28:$AC$102,26,FALSE)="","N/A",VLOOKUP($A135,'Distributed Assets'!$B$28:$AC$102,26,FALSE)),"")</f>
        <v/>
      </c>
      <c r="AH135" s="2229" t="str">
        <f t="shared" si="72"/>
        <v/>
      </c>
    </row>
    <row r="136" spans="1:34" s="931" customFormat="1">
      <c r="A136" s="2224"/>
      <c r="B136" s="1782" t="str">
        <f t="shared" si="60"/>
        <v/>
      </c>
      <c r="C136" s="2728" t="str">
        <f t="shared" si="61"/>
        <v/>
      </c>
      <c r="D136" s="2226" t="str">
        <f t="shared" si="62"/>
        <v/>
      </c>
      <c r="E136" s="2909"/>
      <c r="F136" s="2906"/>
      <c r="G136" s="2225" t="str">
        <f t="shared" si="73"/>
        <v/>
      </c>
      <c r="H136" s="2227" t="str">
        <f>IF(A136&lt;&gt;"",VLOOKUP(VLOOKUP(A136,dist_assets,2,FALSE),'Distributed Assets'!$C$7:$F$22,4,FALSE),"")</f>
        <v/>
      </c>
      <c r="I136" s="279" t="str">
        <f>IF(A136&lt;&gt;"",VLOOKUP(A136,'Open Systems'!$A$4:$K$41,3,FALSE),"")</f>
        <v/>
      </c>
      <c r="J136" s="2228"/>
      <c r="K136" s="3163" t="str">
        <f>IFERROR(IF($A136&lt;&gt;"",
IF(MID($A136,10,2)="VM",(CONCATENATE(VLOOKUP($A136,VMware!$A$4:$H$41,5,FALSE)&amp;" x "&amp;VLOOKUP($A136,VMware!$A$4:$H$41,6,FALSE)&amp;" TB")),
IF($J136="OS",VLOOKUP($A136,'Open Systems'!$A$4:$K$41,9,FALSE),VLOOKUP($A136,'Open Systems'!$A$4:$K$41,11,FALSE))),""),"")</f>
        <v/>
      </c>
      <c r="L136" s="2"/>
      <c r="M136" s="2173" t="str">
        <f t="shared" si="63"/>
        <v/>
      </c>
      <c r="N136" s="817" t="str">
        <f t="shared" si="64"/>
        <v/>
      </c>
      <c r="O136" s="1090"/>
      <c r="P136" s="1019" t="str">
        <f t="shared" si="66"/>
        <v/>
      </c>
      <c r="Q136" s="1020"/>
      <c r="R136" s="1020"/>
      <c r="S136" s="1021" t="str">
        <f t="shared" si="74"/>
        <v/>
      </c>
      <c r="T136" s="1017"/>
      <c r="U136" s="1016"/>
      <c r="V136" s="3202" t="str">
        <f t="shared" si="65"/>
        <v/>
      </c>
      <c r="W136" s="1022" t="str">
        <f t="shared" si="75"/>
        <v/>
      </c>
      <c r="X136" s="1023" t="str">
        <f t="shared" si="76"/>
        <v/>
      </c>
      <c r="Y136" s="1017" t="str">
        <f t="shared" si="77"/>
        <v/>
      </c>
      <c r="Z136" s="1018" t="str">
        <f t="shared" si="67"/>
        <v/>
      </c>
      <c r="AA136" s="1022" t="str">
        <f t="shared" si="78"/>
        <v/>
      </c>
      <c r="AB136" s="1022" t="str">
        <f t="shared" si="79"/>
        <v/>
      </c>
      <c r="AC136" s="1022" t="str">
        <f t="shared" si="68"/>
        <v/>
      </c>
      <c r="AD136" s="1022" t="str">
        <f t="shared" si="69"/>
        <v/>
      </c>
      <c r="AE136" s="1022" t="str">
        <f t="shared" si="70"/>
        <v/>
      </c>
      <c r="AF136" s="3249" t="str">
        <f t="shared" si="71"/>
        <v/>
      </c>
      <c r="AG136" s="1104" t="str">
        <f>IF($A136&lt;&gt;"",IF(VLOOKUP($A136,'Distributed Assets'!$B$28:$AC$102,26,FALSE)="","N/A",VLOOKUP($A136,'Distributed Assets'!$B$28:$AC$102,26,FALSE)),"")</f>
        <v/>
      </c>
      <c r="AH136" s="2229" t="str">
        <f t="shared" si="72"/>
        <v/>
      </c>
    </row>
    <row r="137" spans="1:34" s="931" customFormat="1">
      <c r="A137" s="2224"/>
      <c r="B137" s="1782" t="str">
        <f t="shared" si="60"/>
        <v/>
      </c>
      <c r="C137" s="2728" t="str">
        <f t="shared" si="61"/>
        <v/>
      </c>
      <c r="D137" s="2226" t="str">
        <f t="shared" si="62"/>
        <v/>
      </c>
      <c r="E137" s="2909"/>
      <c r="F137" s="2906"/>
      <c r="G137" s="2225" t="str">
        <f t="shared" si="73"/>
        <v/>
      </c>
      <c r="H137" s="2227" t="str">
        <f>IF(A137&lt;&gt;"",VLOOKUP(VLOOKUP(A137,dist_assets,2,FALSE),'Distributed Assets'!$C$7:$F$22,4,FALSE),"")</f>
        <v/>
      </c>
      <c r="I137" s="279" t="str">
        <f>IF(A137&lt;&gt;"",VLOOKUP(A137,'Open Systems'!$A$4:$K$41,3,FALSE),"")</f>
        <v/>
      </c>
      <c r="J137" s="2228"/>
      <c r="K137" s="3163" t="str">
        <f>IFERROR(IF($A137&lt;&gt;"",
IF(MID($A137,10,2)="VM",(CONCATENATE(VLOOKUP($A137,VMware!$A$4:$H$41,5,FALSE)&amp;" x "&amp;VLOOKUP($A137,VMware!$A$4:$H$41,6,FALSE)&amp;" TB")),
IF($J137="OS",VLOOKUP($A137,'Open Systems'!$A$4:$K$41,9,FALSE),VLOOKUP($A137,'Open Systems'!$A$4:$K$41,11,FALSE))),""),"")</f>
        <v/>
      </c>
      <c r="L137" s="2"/>
      <c r="M137" s="2173" t="str">
        <f t="shared" si="63"/>
        <v/>
      </c>
      <c r="N137" s="817" t="str">
        <f t="shared" si="64"/>
        <v/>
      </c>
      <c r="O137" s="1090"/>
      <c r="P137" s="1019" t="str">
        <f t="shared" si="66"/>
        <v/>
      </c>
      <c r="Q137" s="1020"/>
      <c r="R137" s="1020"/>
      <c r="S137" s="1021" t="str">
        <f t="shared" si="74"/>
        <v/>
      </c>
      <c r="T137" s="1017"/>
      <c r="U137" s="1016"/>
      <c r="V137" s="3202" t="str">
        <f t="shared" si="65"/>
        <v/>
      </c>
      <c r="W137" s="1022" t="str">
        <f t="shared" si="75"/>
        <v/>
      </c>
      <c r="X137" s="1023" t="str">
        <f t="shared" si="76"/>
        <v/>
      </c>
      <c r="Y137" s="1017" t="str">
        <f t="shared" si="77"/>
        <v/>
      </c>
      <c r="Z137" s="1018" t="str">
        <f t="shared" si="67"/>
        <v/>
      </c>
      <c r="AA137" s="1022" t="str">
        <f t="shared" si="78"/>
        <v/>
      </c>
      <c r="AB137" s="1022" t="str">
        <f t="shared" si="79"/>
        <v/>
      </c>
      <c r="AC137" s="1022" t="str">
        <f t="shared" si="68"/>
        <v/>
      </c>
      <c r="AD137" s="1022" t="str">
        <f t="shared" si="69"/>
        <v/>
      </c>
      <c r="AE137" s="1022" t="str">
        <f t="shared" si="70"/>
        <v/>
      </c>
      <c r="AF137" s="3249" t="str">
        <f t="shared" si="71"/>
        <v/>
      </c>
      <c r="AG137" s="1104" t="str">
        <f>IF($A137&lt;&gt;"",IF(VLOOKUP($A137,'Distributed Assets'!$B$28:$AC$102,26,FALSE)="","N/A",VLOOKUP($A137,'Distributed Assets'!$B$28:$AC$102,26,FALSE)),"")</f>
        <v/>
      </c>
      <c r="AH137" s="2229" t="str">
        <f t="shared" si="72"/>
        <v/>
      </c>
    </row>
    <row r="138" spans="1:34" s="931" customFormat="1">
      <c r="A138" s="2224"/>
      <c r="B138" s="1782" t="str">
        <f t="shared" si="60"/>
        <v/>
      </c>
      <c r="C138" s="2728" t="str">
        <f t="shared" si="61"/>
        <v/>
      </c>
      <c r="D138" s="2226" t="str">
        <f t="shared" si="62"/>
        <v/>
      </c>
      <c r="E138" s="2909"/>
      <c r="F138" s="2906"/>
      <c r="G138" s="2225" t="str">
        <f t="shared" si="73"/>
        <v/>
      </c>
      <c r="H138" s="2227" t="str">
        <f>IF(A138&lt;&gt;"",VLOOKUP(VLOOKUP(A138,dist_assets,2,FALSE),'Distributed Assets'!$C$7:$F$22,4,FALSE),"")</f>
        <v/>
      </c>
      <c r="I138" s="279" t="str">
        <f>IF(A138&lt;&gt;"",VLOOKUP(A138,'Open Systems'!$A$4:$K$41,3,FALSE),"")</f>
        <v/>
      </c>
      <c r="J138" s="2228"/>
      <c r="K138" s="3163" t="str">
        <f>IFERROR(IF($A138&lt;&gt;"",
IF(MID($A138,10,2)="VM",(CONCATENATE(VLOOKUP($A138,VMware!$A$4:$H$41,5,FALSE)&amp;" x "&amp;VLOOKUP($A138,VMware!$A$4:$H$41,6,FALSE)&amp;" TB")),
IF($J138="OS",VLOOKUP($A138,'Open Systems'!$A$4:$K$41,9,FALSE),VLOOKUP($A138,'Open Systems'!$A$4:$K$41,11,FALSE))),""),"")</f>
        <v/>
      </c>
      <c r="L138" s="2"/>
      <c r="M138" s="2173" t="str">
        <f t="shared" si="63"/>
        <v/>
      </c>
      <c r="N138" s="817" t="str">
        <f t="shared" si="64"/>
        <v/>
      </c>
      <c r="O138" s="1090"/>
      <c r="P138" s="1019" t="str">
        <f t="shared" si="66"/>
        <v/>
      </c>
      <c r="Q138" s="1020"/>
      <c r="R138" s="1020"/>
      <c r="S138" s="1021" t="str">
        <f t="shared" si="74"/>
        <v/>
      </c>
      <c r="T138" s="1017"/>
      <c r="U138" s="1016"/>
      <c r="V138" s="3202" t="str">
        <f t="shared" si="65"/>
        <v/>
      </c>
      <c r="W138" s="1022" t="str">
        <f t="shared" si="75"/>
        <v/>
      </c>
      <c r="X138" s="1023" t="str">
        <f t="shared" si="76"/>
        <v/>
      </c>
      <c r="Y138" s="1017" t="str">
        <f t="shared" si="77"/>
        <v/>
      </c>
      <c r="Z138" s="1018" t="str">
        <f t="shared" si="67"/>
        <v/>
      </c>
      <c r="AA138" s="1022" t="str">
        <f t="shared" si="78"/>
        <v/>
      </c>
      <c r="AB138" s="1022" t="str">
        <f t="shared" si="79"/>
        <v/>
      </c>
      <c r="AC138" s="1022" t="str">
        <f t="shared" si="68"/>
        <v/>
      </c>
      <c r="AD138" s="1022" t="str">
        <f t="shared" si="69"/>
        <v/>
      </c>
      <c r="AE138" s="1022" t="str">
        <f t="shared" si="70"/>
        <v/>
      </c>
      <c r="AF138" s="3249" t="str">
        <f t="shared" si="71"/>
        <v/>
      </c>
      <c r="AG138" s="1104" t="str">
        <f>IF($A138&lt;&gt;"",IF(VLOOKUP($A138,'Distributed Assets'!$B$28:$AC$102,26,FALSE)="","N/A",VLOOKUP($A138,'Distributed Assets'!$B$28:$AC$102,26,FALSE)),"")</f>
        <v/>
      </c>
      <c r="AH138" s="2229" t="str">
        <f t="shared" si="72"/>
        <v/>
      </c>
    </row>
    <row r="139" spans="1:34" s="931" customFormat="1">
      <c r="A139" s="2224"/>
      <c r="B139" s="1782" t="str">
        <f t="shared" si="60"/>
        <v/>
      </c>
      <c r="C139" s="2728" t="str">
        <f t="shared" si="61"/>
        <v/>
      </c>
      <c r="D139" s="2226" t="str">
        <f t="shared" si="62"/>
        <v/>
      </c>
      <c r="E139" s="2909"/>
      <c r="F139" s="2906"/>
      <c r="G139" s="2225" t="str">
        <f t="shared" si="73"/>
        <v/>
      </c>
      <c r="H139" s="2227" t="str">
        <f>IF(A139&lt;&gt;"",VLOOKUP(VLOOKUP(A139,dist_assets,2,FALSE),'Distributed Assets'!$C$7:$F$22,4,FALSE),"")</f>
        <v/>
      </c>
      <c r="I139" s="279" t="str">
        <f>IF(A139&lt;&gt;"",VLOOKUP(A139,'Open Systems'!$A$4:$K$41,3,FALSE),"")</f>
        <v/>
      </c>
      <c r="J139" s="2228"/>
      <c r="K139" s="3163" t="str">
        <f>IFERROR(IF($A139&lt;&gt;"",
IF(MID($A139,10,2)="VM",(CONCATENATE(VLOOKUP($A139,VMware!$A$4:$H$41,5,FALSE)&amp;" x "&amp;VLOOKUP($A139,VMware!$A$4:$H$41,6,FALSE)&amp;" TB")),
IF($J139="OS",VLOOKUP($A139,'Open Systems'!$A$4:$K$41,9,FALSE),VLOOKUP($A139,'Open Systems'!$A$4:$K$41,11,FALSE))),""),"")</f>
        <v/>
      </c>
      <c r="L139" s="2"/>
      <c r="M139" s="2173" t="str">
        <f t="shared" si="63"/>
        <v/>
      </c>
      <c r="N139" s="817" t="str">
        <f t="shared" si="64"/>
        <v/>
      </c>
      <c r="O139" s="1090"/>
      <c r="P139" s="1019" t="str">
        <f t="shared" si="66"/>
        <v/>
      </c>
      <c r="Q139" s="1020"/>
      <c r="R139" s="1020"/>
      <c r="S139" s="1021" t="str">
        <f t="shared" si="74"/>
        <v/>
      </c>
      <c r="T139" s="1017"/>
      <c r="U139" s="1016"/>
      <c r="V139" s="3202" t="str">
        <f t="shared" si="65"/>
        <v/>
      </c>
      <c r="W139" s="1022" t="str">
        <f t="shared" si="75"/>
        <v/>
      </c>
      <c r="X139" s="1023" t="str">
        <f t="shared" si="76"/>
        <v/>
      </c>
      <c r="Y139" s="1017" t="str">
        <f t="shared" si="77"/>
        <v/>
      </c>
      <c r="Z139" s="1018" t="str">
        <f t="shared" si="67"/>
        <v/>
      </c>
      <c r="AA139" s="1022" t="str">
        <f t="shared" si="78"/>
        <v/>
      </c>
      <c r="AB139" s="1022" t="str">
        <f t="shared" si="79"/>
        <v/>
      </c>
      <c r="AC139" s="1022" t="str">
        <f t="shared" si="68"/>
        <v/>
      </c>
      <c r="AD139" s="1022" t="str">
        <f t="shared" si="69"/>
        <v/>
      </c>
      <c r="AE139" s="1022" t="str">
        <f t="shared" si="70"/>
        <v/>
      </c>
      <c r="AF139" s="3249" t="str">
        <f t="shared" si="71"/>
        <v/>
      </c>
      <c r="AG139" s="1104" t="str">
        <f>IF($A139&lt;&gt;"",IF(VLOOKUP($A139,'Distributed Assets'!$B$28:$AC$102,26,FALSE)="","N/A",VLOOKUP($A139,'Distributed Assets'!$B$28:$AC$102,26,FALSE)),"")</f>
        <v/>
      </c>
      <c r="AH139" s="2229" t="str">
        <f t="shared" si="72"/>
        <v/>
      </c>
    </row>
    <row r="140" spans="1:34" s="931" customFormat="1">
      <c r="A140" s="2224"/>
      <c r="B140" s="1782" t="str">
        <f t="shared" si="60"/>
        <v/>
      </c>
      <c r="C140" s="2728" t="str">
        <f t="shared" si="61"/>
        <v/>
      </c>
      <c r="D140" s="2226" t="str">
        <f t="shared" si="62"/>
        <v/>
      </c>
      <c r="E140" s="2909"/>
      <c r="F140" s="2906"/>
      <c r="G140" s="2225" t="str">
        <f t="shared" si="73"/>
        <v/>
      </c>
      <c r="H140" s="2227" t="str">
        <f>IF(A140&lt;&gt;"",VLOOKUP(VLOOKUP(A140,dist_assets,2,FALSE),'Distributed Assets'!$C$7:$F$22,4,FALSE),"")</f>
        <v/>
      </c>
      <c r="I140" s="279" t="str">
        <f>IF(A140&lt;&gt;"",VLOOKUP(A140,'Open Systems'!$A$4:$K$41,3,FALSE),"")</f>
        <v/>
      </c>
      <c r="J140" s="2228"/>
      <c r="K140" s="3163" t="str">
        <f>IFERROR(IF($A140&lt;&gt;"",
IF(MID($A140,10,2)="VM",(CONCATENATE(VLOOKUP($A140,VMware!$A$4:$H$41,5,FALSE)&amp;" x "&amp;VLOOKUP($A140,VMware!$A$4:$H$41,6,FALSE)&amp;" TB")),
IF($J140="OS",VLOOKUP($A140,'Open Systems'!$A$4:$K$41,9,FALSE),VLOOKUP($A140,'Open Systems'!$A$4:$K$41,11,FALSE))),""),"")</f>
        <v/>
      </c>
      <c r="L140" s="2"/>
      <c r="M140" s="2173" t="str">
        <f t="shared" si="63"/>
        <v/>
      </c>
      <c r="N140" s="817" t="str">
        <f t="shared" si="64"/>
        <v/>
      </c>
      <c r="O140" s="1090"/>
      <c r="P140" s="1019" t="str">
        <f t="shared" si="66"/>
        <v/>
      </c>
      <c r="Q140" s="1020"/>
      <c r="R140" s="1020"/>
      <c r="S140" s="1021" t="str">
        <f t="shared" si="74"/>
        <v/>
      </c>
      <c r="T140" s="1017"/>
      <c r="U140" s="1016"/>
      <c r="V140" s="3202" t="str">
        <f t="shared" si="65"/>
        <v/>
      </c>
      <c r="W140" s="1022" t="str">
        <f t="shared" si="75"/>
        <v/>
      </c>
      <c r="X140" s="1023" t="str">
        <f t="shared" si="76"/>
        <v/>
      </c>
      <c r="Y140" s="1017" t="str">
        <f t="shared" si="77"/>
        <v/>
      </c>
      <c r="Z140" s="1018" t="str">
        <f t="shared" si="67"/>
        <v/>
      </c>
      <c r="AA140" s="1022" t="str">
        <f t="shared" si="78"/>
        <v/>
      </c>
      <c r="AB140" s="1022" t="str">
        <f t="shared" si="79"/>
        <v/>
      </c>
      <c r="AC140" s="1022" t="str">
        <f t="shared" si="68"/>
        <v/>
      </c>
      <c r="AD140" s="1022" t="str">
        <f t="shared" si="69"/>
        <v/>
      </c>
      <c r="AE140" s="1022" t="str">
        <f t="shared" si="70"/>
        <v/>
      </c>
      <c r="AF140" s="3249" t="str">
        <f t="shared" si="71"/>
        <v/>
      </c>
      <c r="AG140" s="1104" t="str">
        <f>IF($A140&lt;&gt;"",IF(VLOOKUP($A140,'Distributed Assets'!$B$28:$AC$102,26,FALSE)="","N/A",VLOOKUP($A140,'Distributed Assets'!$B$28:$AC$102,26,FALSE)),"")</f>
        <v/>
      </c>
      <c r="AH140" s="2229" t="str">
        <f t="shared" si="72"/>
        <v/>
      </c>
    </row>
    <row r="141" spans="1:34">
      <c r="A141" s="2224"/>
      <c r="B141" s="1782" t="str">
        <f t="shared" si="60"/>
        <v/>
      </c>
      <c r="C141" s="2728" t="str">
        <f t="shared" si="61"/>
        <v/>
      </c>
      <c r="D141" s="2226" t="str">
        <f t="shared" si="62"/>
        <v/>
      </c>
      <c r="E141" s="2909"/>
      <c r="F141" s="2906"/>
      <c r="G141" s="2225" t="str">
        <f t="shared" si="73"/>
        <v/>
      </c>
      <c r="H141" s="2227" t="str">
        <f>IF(A141&lt;&gt;"",VLOOKUP(VLOOKUP(A141,dist_assets,2,FALSE),'Distributed Assets'!$C$7:$F$22,4,FALSE),"")</f>
        <v/>
      </c>
      <c r="I141" s="279" t="str">
        <f>IF(A141&lt;&gt;"",VLOOKUP(A141,'Open Systems'!$A$4:$K$41,3,FALSE),"")</f>
        <v/>
      </c>
      <c r="J141" s="2228"/>
      <c r="K141" s="3163" t="str">
        <f>IFERROR(IF($A141&lt;&gt;"",
IF(MID($A141,10,2)="VM",(CONCATENATE(VLOOKUP($A141,VMware!$A$4:$H$41,5,FALSE)&amp;" x "&amp;VLOOKUP($A141,VMware!$A$4:$H$41,6,FALSE)&amp;" TB")),
IF($J141="OS",VLOOKUP($A141,'Open Systems'!$A$4:$K$41,9,FALSE),VLOOKUP($A141,'Open Systems'!$A$4:$K$41,11,FALSE))),""),"")</f>
        <v/>
      </c>
      <c r="L141" s="2"/>
      <c r="M141" s="2173" t="str">
        <f t="shared" si="63"/>
        <v/>
      </c>
      <c r="N141" s="817" t="str">
        <f t="shared" si="64"/>
        <v/>
      </c>
      <c r="O141" s="1090"/>
      <c r="P141" s="1019" t="str">
        <f t="shared" si="66"/>
        <v/>
      </c>
      <c r="Q141" s="1020"/>
      <c r="R141" s="1020"/>
      <c r="S141" s="1021" t="str">
        <f t="shared" si="74"/>
        <v/>
      </c>
      <c r="T141" s="1017"/>
      <c r="U141" s="1016"/>
      <c r="V141" s="3202" t="str">
        <f t="shared" si="65"/>
        <v/>
      </c>
      <c r="W141" s="1022" t="str">
        <f t="shared" si="75"/>
        <v/>
      </c>
      <c r="X141" s="1023" t="str">
        <f t="shared" si="76"/>
        <v/>
      </c>
      <c r="Y141" s="1017" t="str">
        <f t="shared" si="77"/>
        <v/>
      </c>
      <c r="Z141" s="1018" t="str">
        <f t="shared" si="67"/>
        <v/>
      </c>
      <c r="AA141" s="1022" t="str">
        <f t="shared" si="78"/>
        <v/>
      </c>
      <c r="AB141" s="1022" t="str">
        <f t="shared" si="79"/>
        <v/>
      </c>
      <c r="AC141" s="1022" t="str">
        <f t="shared" si="68"/>
        <v/>
      </c>
      <c r="AD141" s="1022" t="str">
        <f t="shared" si="69"/>
        <v/>
      </c>
      <c r="AE141" s="1022" t="str">
        <f t="shared" si="70"/>
        <v/>
      </c>
      <c r="AF141" s="3249" t="str">
        <f t="shared" si="71"/>
        <v/>
      </c>
      <c r="AG141" s="1104" t="str">
        <f>IF($A141&lt;&gt;"",IF(VLOOKUP($A141,'Distributed Assets'!$B$28:$AC$102,26,FALSE)="","N/A",VLOOKUP($A141,'Distributed Assets'!$B$28:$AC$102,26,FALSE)),"")</f>
        <v/>
      </c>
      <c r="AH141" s="2229" t="str">
        <f t="shared" si="72"/>
        <v/>
      </c>
    </row>
    <row r="142" spans="1:34">
      <c r="A142" s="2224"/>
      <c r="B142" s="1782" t="str">
        <f t="shared" si="60"/>
        <v/>
      </c>
      <c r="C142" s="2728" t="str">
        <f t="shared" si="61"/>
        <v/>
      </c>
      <c r="D142" s="2226" t="str">
        <f t="shared" si="62"/>
        <v/>
      </c>
      <c r="E142" s="2909"/>
      <c r="F142" s="2906"/>
      <c r="G142" s="2225" t="str">
        <f t="shared" si="73"/>
        <v/>
      </c>
      <c r="H142" s="2227" t="str">
        <f>IF(A142&lt;&gt;"",VLOOKUP(VLOOKUP(A142,dist_assets,2,FALSE),'Distributed Assets'!$C$7:$F$22,4,FALSE),"")</f>
        <v/>
      </c>
      <c r="I142" s="279" t="str">
        <f>IF(A142&lt;&gt;"",VLOOKUP(A142,'Open Systems'!$A$4:$K$41,3,FALSE),"")</f>
        <v/>
      </c>
      <c r="J142" s="2228"/>
      <c r="K142" s="3163" t="str">
        <f>IFERROR(IF($A142&lt;&gt;"",
IF(MID($A142,10,2)="VM",(CONCATENATE(VLOOKUP($A142,VMware!$A$4:$H$41,5,FALSE)&amp;" x "&amp;VLOOKUP($A142,VMware!$A$4:$H$41,6,FALSE)&amp;" TB")),
IF($J142="OS",VLOOKUP($A142,'Open Systems'!$A$4:$K$41,9,FALSE),VLOOKUP($A142,'Open Systems'!$A$4:$K$41,11,FALSE))),""),"")</f>
        <v/>
      </c>
      <c r="L142" s="2"/>
      <c r="M142" s="2173" t="str">
        <f t="shared" si="63"/>
        <v/>
      </c>
      <c r="N142" s="817" t="str">
        <f t="shared" si="64"/>
        <v/>
      </c>
      <c r="O142" s="1090"/>
      <c r="P142" s="1019" t="str">
        <f t="shared" si="66"/>
        <v/>
      </c>
      <c r="Q142" s="1020"/>
      <c r="R142" s="1020"/>
      <c r="S142" s="1021" t="str">
        <f t="shared" si="74"/>
        <v/>
      </c>
      <c r="T142" s="1017"/>
      <c r="U142" s="1016"/>
      <c r="V142" s="3202" t="str">
        <f t="shared" si="65"/>
        <v/>
      </c>
      <c r="W142" s="1022" t="str">
        <f t="shared" si="75"/>
        <v/>
      </c>
      <c r="X142" s="1023" t="str">
        <f t="shared" si="76"/>
        <v/>
      </c>
      <c r="Y142" s="1017" t="str">
        <f t="shared" si="77"/>
        <v/>
      </c>
      <c r="Z142" s="1018" t="str">
        <f t="shared" si="67"/>
        <v/>
      </c>
      <c r="AA142" s="1022" t="str">
        <f t="shared" si="78"/>
        <v/>
      </c>
      <c r="AB142" s="1022" t="str">
        <f t="shared" si="79"/>
        <v/>
      </c>
      <c r="AC142" s="1022" t="str">
        <f t="shared" si="68"/>
        <v/>
      </c>
      <c r="AD142" s="1022" t="str">
        <f t="shared" si="69"/>
        <v/>
      </c>
      <c r="AE142" s="1022" t="str">
        <f t="shared" si="70"/>
        <v/>
      </c>
      <c r="AF142" s="3249" t="str">
        <f t="shared" si="71"/>
        <v/>
      </c>
      <c r="AG142" s="1104" t="str">
        <f>IF($A142&lt;&gt;"",IF(VLOOKUP($A142,'Distributed Assets'!$B$28:$AC$102,26,FALSE)="","N/A",VLOOKUP($A142,'Distributed Assets'!$B$28:$AC$102,26,FALSE)),"")</f>
        <v/>
      </c>
      <c r="AH142" s="2229" t="str">
        <f t="shared" si="72"/>
        <v/>
      </c>
    </row>
    <row r="143" spans="1:34">
      <c r="A143" s="2224"/>
      <c r="B143" s="1782" t="str">
        <f t="shared" si="60"/>
        <v/>
      </c>
      <c r="C143" s="2728" t="str">
        <f t="shared" si="61"/>
        <v/>
      </c>
      <c r="D143" s="2226" t="str">
        <f t="shared" si="62"/>
        <v/>
      </c>
      <c r="E143" s="2909"/>
      <c r="F143" s="2906"/>
      <c r="G143" s="2225" t="str">
        <f t="shared" si="73"/>
        <v/>
      </c>
      <c r="H143" s="2227" t="str">
        <f>IF(A143&lt;&gt;"",VLOOKUP(VLOOKUP(A143,dist_assets,2,FALSE),'Distributed Assets'!$C$7:$F$22,4,FALSE),"")</f>
        <v/>
      </c>
      <c r="I143" s="279" t="str">
        <f>IF(A143&lt;&gt;"",VLOOKUP(A143,'Open Systems'!$A$4:$K$41,3,FALSE),"")</f>
        <v/>
      </c>
      <c r="J143" s="2228"/>
      <c r="K143" s="3163" t="str">
        <f>IFERROR(IF($A143&lt;&gt;"",
IF(MID($A143,10,2)="VM",(CONCATENATE(VLOOKUP($A143,VMware!$A$4:$H$41,5,FALSE)&amp;" x "&amp;VLOOKUP($A143,VMware!$A$4:$H$41,6,FALSE)&amp;" TB")),
IF($J143="OS",VLOOKUP($A143,'Open Systems'!$A$4:$K$41,9,FALSE),VLOOKUP($A143,'Open Systems'!$A$4:$K$41,11,FALSE))),""),"")</f>
        <v/>
      </c>
      <c r="L143" s="2"/>
      <c r="M143" s="2173" t="str">
        <f t="shared" si="63"/>
        <v/>
      </c>
      <c r="N143" s="817" t="str">
        <f t="shared" si="64"/>
        <v/>
      </c>
      <c r="O143" s="1090"/>
      <c r="P143" s="1019" t="str">
        <f t="shared" si="66"/>
        <v/>
      </c>
      <c r="Q143" s="1020"/>
      <c r="R143" s="1020"/>
      <c r="S143" s="1021" t="str">
        <f t="shared" si="74"/>
        <v/>
      </c>
      <c r="T143" s="1017"/>
      <c r="U143" s="1016"/>
      <c r="V143" s="3202" t="str">
        <f t="shared" si="65"/>
        <v/>
      </c>
      <c r="W143" s="1022" t="str">
        <f t="shared" si="75"/>
        <v/>
      </c>
      <c r="X143" s="1023" t="str">
        <f t="shared" si="76"/>
        <v/>
      </c>
      <c r="Y143" s="1017" t="str">
        <f t="shared" si="77"/>
        <v/>
      </c>
      <c r="Z143" s="1018" t="str">
        <f t="shared" si="67"/>
        <v/>
      </c>
      <c r="AA143" s="1022" t="str">
        <f t="shared" si="78"/>
        <v/>
      </c>
      <c r="AB143" s="1022" t="str">
        <f t="shared" si="79"/>
        <v/>
      </c>
      <c r="AC143" s="1022" t="str">
        <f t="shared" si="68"/>
        <v/>
      </c>
      <c r="AD143" s="1022" t="str">
        <f t="shared" si="69"/>
        <v/>
      </c>
      <c r="AE143" s="1022" t="str">
        <f t="shared" si="70"/>
        <v/>
      </c>
      <c r="AF143" s="3249" t="str">
        <f t="shared" si="71"/>
        <v/>
      </c>
      <c r="AG143" s="1104" t="str">
        <f>IF($A143&lt;&gt;"",IF(VLOOKUP($A143,'Distributed Assets'!$B$28:$AC$102,26,FALSE)="","N/A",VLOOKUP($A143,'Distributed Assets'!$B$28:$AC$102,26,FALSE)),"")</f>
        <v/>
      </c>
      <c r="AH143" s="2229" t="str">
        <f t="shared" si="72"/>
        <v/>
      </c>
    </row>
    <row r="144" spans="1:34">
      <c r="A144" s="2224"/>
      <c r="B144" s="1782" t="str">
        <f t="shared" si="60"/>
        <v/>
      </c>
      <c r="C144" s="2728" t="str">
        <f t="shared" si="61"/>
        <v/>
      </c>
      <c r="D144" s="2226" t="str">
        <f t="shared" si="62"/>
        <v/>
      </c>
      <c r="E144" s="2909"/>
      <c r="F144" s="2906"/>
      <c r="G144" s="2225" t="str">
        <f t="shared" si="73"/>
        <v/>
      </c>
      <c r="H144" s="2227" t="str">
        <f>IF(A144&lt;&gt;"",VLOOKUP(VLOOKUP(A144,dist_assets,2,FALSE),'Distributed Assets'!$C$7:$F$22,4,FALSE),"")</f>
        <v/>
      </c>
      <c r="I144" s="279" t="str">
        <f>IF(A144&lt;&gt;"",VLOOKUP(A144,'Open Systems'!$A$4:$K$41,3,FALSE),"")</f>
        <v/>
      </c>
      <c r="J144" s="2228"/>
      <c r="K144" s="3163" t="str">
        <f>IFERROR(IF($A144&lt;&gt;"",
IF(MID($A144,10,2)="VM",(CONCATENATE(VLOOKUP($A144,VMware!$A$4:$H$41,5,FALSE)&amp;" x "&amp;VLOOKUP($A144,VMware!$A$4:$H$41,6,FALSE)&amp;" TB")),
IF($J144="OS",VLOOKUP($A144,'Open Systems'!$A$4:$K$41,9,FALSE),VLOOKUP($A144,'Open Systems'!$A$4:$K$41,11,FALSE))),""),"")</f>
        <v/>
      </c>
      <c r="L144" s="2"/>
      <c r="M144" s="2173" t="str">
        <f t="shared" si="63"/>
        <v/>
      </c>
      <c r="N144" s="817" t="str">
        <f t="shared" si="64"/>
        <v/>
      </c>
      <c r="O144" s="1090"/>
      <c r="P144" s="1019" t="str">
        <f t="shared" si="66"/>
        <v/>
      </c>
      <c r="Q144" s="1020"/>
      <c r="R144" s="1020"/>
      <c r="S144" s="1021" t="str">
        <f t="shared" si="74"/>
        <v/>
      </c>
      <c r="T144" s="1017"/>
      <c r="U144" s="1016"/>
      <c r="V144" s="3202" t="str">
        <f t="shared" si="65"/>
        <v/>
      </c>
      <c r="W144" s="1022" t="str">
        <f t="shared" si="75"/>
        <v/>
      </c>
      <c r="X144" s="1023" t="str">
        <f t="shared" si="76"/>
        <v/>
      </c>
      <c r="Y144" s="1017" t="str">
        <f t="shared" si="77"/>
        <v/>
      </c>
      <c r="Z144" s="1018" t="str">
        <f t="shared" si="67"/>
        <v/>
      </c>
      <c r="AA144" s="1022" t="str">
        <f t="shared" si="78"/>
        <v/>
      </c>
      <c r="AB144" s="1022" t="str">
        <f t="shared" si="79"/>
        <v/>
      </c>
      <c r="AC144" s="1022" t="str">
        <f t="shared" si="68"/>
        <v/>
      </c>
      <c r="AD144" s="1022" t="str">
        <f t="shared" si="69"/>
        <v/>
      </c>
      <c r="AE144" s="1022" t="str">
        <f t="shared" si="70"/>
        <v/>
      </c>
      <c r="AF144" s="3249" t="str">
        <f t="shared" si="71"/>
        <v/>
      </c>
      <c r="AG144" s="1104" t="str">
        <f>IF($A144&lt;&gt;"",IF(VLOOKUP($A144,'Distributed Assets'!$B$28:$AC$102,26,FALSE)="","N/A",VLOOKUP($A144,'Distributed Assets'!$B$28:$AC$102,26,FALSE)),"")</f>
        <v/>
      </c>
      <c r="AH144" s="2229" t="str">
        <f t="shared" si="72"/>
        <v/>
      </c>
    </row>
    <row r="145" spans="1:34">
      <c r="A145" s="2224"/>
      <c r="B145" s="1782" t="str">
        <f t="shared" si="60"/>
        <v/>
      </c>
      <c r="C145" s="2728" t="str">
        <f t="shared" si="61"/>
        <v/>
      </c>
      <c r="D145" s="2226" t="str">
        <f t="shared" si="62"/>
        <v/>
      </c>
      <c r="E145" s="2909"/>
      <c r="F145" s="2906"/>
      <c r="G145" s="2225" t="str">
        <f t="shared" si="73"/>
        <v/>
      </c>
      <c r="H145" s="2227" t="str">
        <f>IF(A145&lt;&gt;"",VLOOKUP(VLOOKUP(A145,dist_assets,2,FALSE),'Distributed Assets'!$C$7:$F$22,4,FALSE),"")</f>
        <v/>
      </c>
      <c r="I145" s="279" t="str">
        <f>IF(A145&lt;&gt;"",VLOOKUP(A145,'Open Systems'!$A$4:$K$41,3,FALSE),"")</f>
        <v/>
      </c>
      <c r="J145" s="2228"/>
      <c r="K145" s="3163" t="str">
        <f>IFERROR(IF($A145&lt;&gt;"",
IF(MID($A145,10,2)="VM",(CONCATENATE(VLOOKUP($A145,VMware!$A$4:$H$41,5,FALSE)&amp;" x "&amp;VLOOKUP($A145,VMware!$A$4:$H$41,6,FALSE)&amp;" TB")),
IF($J145="OS",VLOOKUP($A145,'Open Systems'!$A$4:$K$41,9,FALSE),VLOOKUP($A145,'Open Systems'!$A$4:$K$41,11,FALSE))),""),"")</f>
        <v/>
      </c>
      <c r="L145" s="2"/>
      <c r="M145" s="2173" t="str">
        <f t="shared" si="63"/>
        <v/>
      </c>
      <c r="N145" s="817" t="str">
        <f t="shared" si="64"/>
        <v/>
      </c>
      <c r="O145" s="1090"/>
      <c r="P145" s="1019" t="str">
        <f t="shared" si="66"/>
        <v/>
      </c>
      <c r="Q145" s="1020"/>
      <c r="R145" s="1020"/>
      <c r="S145" s="1021" t="str">
        <f t="shared" si="74"/>
        <v/>
      </c>
      <c r="T145" s="1017"/>
      <c r="U145" s="1016"/>
      <c r="V145" s="3202" t="str">
        <f t="shared" si="65"/>
        <v/>
      </c>
      <c r="W145" s="1022" t="str">
        <f t="shared" si="75"/>
        <v/>
      </c>
      <c r="X145" s="1023" t="str">
        <f t="shared" si="76"/>
        <v/>
      </c>
      <c r="Y145" s="1017" t="str">
        <f t="shared" si="77"/>
        <v/>
      </c>
      <c r="Z145" s="1018" t="str">
        <f t="shared" si="67"/>
        <v/>
      </c>
      <c r="AA145" s="1022" t="str">
        <f t="shared" si="78"/>
        <v/>
      </c>
      <c r="AB145" s="1022" t="str">
        <f t="shared" si="79"/>
        <v/>
      </c>
      <c r="AC145" s="1022" t="str">
        <f t="shared" si="68"/>
        <v/>
      </c>
      <c r="AD145" s="1022" t="str">
        <f t="shared" si="69"/>
        <v/>
      </c>
      <c r="AE145" s="1022" t="str">
        <f t="shared" si="70"/>
        <v/>
      </c>
      <c r="AF145" s="3249" t="str">
        <f t="shared" si="71"/>
        <v/>
      </c>
      <c r="AG145" s="1104" t="str">
        <f>IF($A145&lt;&gt;"",IF(VLOOKUP($A145,'Distributed Assets'!$B$28:$AC$102,26,FALSE)="","N/A",VLOOKUP($A145,'Distributed Assets'!$B$28:$AC$102,26,FALSE)),"")</f>
        <v/>
      </c>
      <c r="AH145" s="2229" t="str">
        <f t="shared" si="72"/>
        <v/>
      </c>
    </row>
    <row r="146" spans="1:34">
      <c r="A146" s="2224"/>
      <c r="B146" s="1782" t="str">
        <f t="shared" si="60"/>
        <v/>
      </c>
      <c r="C146" s="2728" t="str">
        <f t="shared" si="61"/>
        <v/>
      </c>
      <c r="D146" s="2226" t="str">
        <f t="shared" si="62"/>
        <v/>
      </c>
      <c r="E146" s="2909"/>
      <c r="F146" s="2906"/>
      <c r="G146" s="2225" t="str">
        <f t="shared" si="73"/>
        <v/>
      </c>
      <c r="H146" s="2227" t="str">
        <f>IF(A146&lt;&gt;"",VLOOKUP(VLOOKUP(A146,dist_assets,2,FALSE),'Distributed Assets'!$C$7:$F$22,4,FALSE),"")</f>
        <v/>
      </c>
      <c r="I146" s="279" t="str">
        <f>IF(A146&lt;&gt;"",VLOOKUP(A146,'Open Systems'!$A$4:$K$41,3,FALSE),"")</f>
        <v/>
      </c>
      <c r="J146" s="2228"/>
      <c r="K146" s="3163" t="str">
        <f>IFERROR(IF($A146&lt;&gt;"",
IF(MID($A146,10,2)="VM",(CONCATENATE(VLOOKUP($A146,VMware!$A$4:$H$41,5,FALSE)&amp;" x "&amp;VLOOKUP($A146,VMware!$A$4:$H$41,6,FALSE)&amp;" TB")),
IF($J146="OS",VLOOKUP($A146,'Open Systems'!$A$4:$K$41,9,FALSE),VLOOKUP($A146,'Open Systems'!$A$4:$K$41,11,FALSE))),""),"")</f>
        <v/>
      </c>
      <c r="L146" s="2"/>
      <c r="M146" s="2173" t="str">
        <f t="shared" si="63"/>
        <v/>
      </c>
      <c r="N146" s="817" t="str">
        <f t="shared" si="64"/>
        <v/>
      </c>
      <c r="O146" s="1090"/>
      <c r="P146" s="1019" t="str">
        <f t="shared" si="66"/>
        <v/>
      </c>
      <c r="Q146" s="1020"/>
      <c r="R146" s="1020"/>
      <c r="S146" s="1021" t="str">
        <f t="shared" si="74"/>
        <v/>
      </c>
      <c r="T146" s="1017"/>
      <c r="U146" s="1016"/>
      <c r="V146" s="3202" t="str">
        <f t="shared" si="65"/>
        <v/>
      </c>
      <c r="W146" s="1022" t="str">
        <f t="shared" si="75"/>
        <v/>
      </c>
      <c r="X146" s="1023" t="str">
        <f t="shared" si="76"/>
        <v/>
      </c>
      <c r="Y146" s="1017" t="str">
        <f t="shared" si="77"/>
        <v/>
      </c>
      <c r="Z146" s="1018" t="str">
        <f t="shared" si="67"/>
        <v/>
      </c>
      <c r="AA146" s="1022" t="str">
        <f t="shared" si="78"/>
        <v/>
      </c>
      <c r="AB146" s="1022" t="str">
        <f t="shared" si="79"/>
        <v/>
      </c>
      <c r="AC146" s="1022" t="str">
        <f t="shared" si="68"/>
        <v/>
      </c>
      <c r="AD146" s="1022" t="str">
        <f t="shared" si="69"/>
        <v/>
      </c>
      <c r="AE146" s="1022" t="str">
        <f t="shared" si="70"/>
        <v/>
      </c>
      <c r="AF146" s="3249" t="str">
        <f t="shared" si="71"/>
        <v/>
      </c>
      <c r="AG146" s="1104" t="str">
        <f>IF($A146&lt;&gt;"",IF(VLOOKUP($A146,'Distributed Assets'!$B$28:$AC$102,26,FALSE)="","N/A",VLOOKUP($A146,'Distributed Assets'!$B$28:$AC$102,26,FALSE)),"")</f>
        <v/>
      </c>
      <c r="AH146" s="2229" t="str">
        <f t="shared" si="72"/>
        <v/>
      </c>
    </row>
    <row r="147" spans="1:34">
      <c r="A147" s="2224"/>
      <c r="B147" s="1782" t="str">
        <f t="shared" si="60"/>
        <v/>
      </c>
      <c r="C147" s="2728" t="str">
        <f t="shared" si="61"/>
        <v/>
      </c>
      <c r="D147" s="2226" t="str">
        <f t="shared" si="62"/>
        <v/>
      </c>
      <c r="E147" s="2909"/>
      <c r="F147" s="2906"/>
      <c r="G147" s="2225" t="str">
        <f t="shared" si="73"/>
        <v/>
      </c>
      <c r="H147" s="2227" t="str">
        <f>IF(A147&lt;&gt;"",VLOOKUP(VLOOKUP(A147,dist_assets,2,FALSE),'Distributed Assets'!$C$7:$F$22,4,FALSE),"")</f>
        <v/>
      </c>
      <c r="I147" s="279" t="str">
        <f>IF(A147&lt;&gt;"",VLOOKUP(A147,'Open Systems'!$A$4:$K$41,3,FALSE),"")</f>
        <v/>
      </c>
      <c r="J147" s="2228"/>
      <c r="K147" s="3163" t="str">
        <f>IFERROR(IF($A147&lt;&gt;"",
IF(MID($A147,10,2)="VM",(CONCATENATE(VLOOKUP($A147,VMware!$A$4:$H$41,5,FALSE)&amp;" x "&amp;VLOOKUP($A147,VMware!$A$4:$H$41,6,FALSE)&amp;" TB")),
IF($J147="OS",VLOOKUP($A147,'Open Systems'!$A$4:$K$41,9,FALSE),VLOOKUP($A147,'Open Systems'!$A$4:$K$41,11,FALSE))),""),"")</f>
        <v/>
      </c>
      <c r="L147" s="2"/>
      <c r="M147" s="2173" t="str">
        <f t="shared" si="63"/>
        <v/>
      </c>
      <c r="N147" s="817" t="str">
        <f t="shared" si="64"/>
        <v/>
      </c>
      <c r="O147" s="1090"/>
      <c r="P147" s="1019" t="str">
        <f t="shared" si="66"/>
        <v/>
      </c>
      <c r="Q147" s="1020"/>
      <c r="R147" s="1020"/>
      <c r="S147" s="1021" t="str">
        <f t="shared" si="74"/>
        <v/>
      </c>
      <c r="T147" s="1017"/>
      <c r="U147" s="1016"/>
      <c r="V147" s="3202" t="str">
        <f t="shared" si="65"/>
        <v/>
      </c>
      <c r="W147" s="1022" t="str">
        <f t="shared" si="75"/>
        <v/>
      </c>
      <c r="X147" s="1023" t="str">
        <f t="shared" si="76"/>
        <v/>
      </c>
      <c r="Y147" s="1017" t="str">
        <f t="shared" si="77"/>
        <v/>
      </c>
      <c r="Z147" s="1018" t="str">
        <f t="shared" si="67"/>
        <v/>
      </c>
      <c r="AA147" s="1022" t="str">
        <f t="shared" si="78"/>
        <v/>
      </c>
      <c r="AB147" s="1022" t="str">
        <f t="shared" si="79"/>
        <v/>
      </c>
      <c r="AC147" s="1022" t="str">
        <f t="shared" si="68"/>
        <v/>
      </c>
      <c r="AD147" s="1022" t="str">
        <f t="shared" si="69"/>
        <v/>
      </c>
      <c r="AE147" s="1022" t="str">
        <f t="shared" si="70"/>
        <v/>
      </c>
      <c r="AF147" s="3249" t="str">
        <f t="shared" si="71"/>
        <v/>
      </c>
      <c r="AG147" s="1104" t="str">
        <f>IF($A147&lt;&gt;"",IF(VLOOKUP($A147,'Distributed Assets'!$B$28:$AC$102,26,FALSE)="","N/A",VLOOKUP($A147,'Distributed Assets'!$B$28:$AC$102,26,FALSE)),"")</f>
        <v/>
      </c>
      <c r="AH147" s="2229" t="str">
        <f t="shared" si="72"/>
        <v/>
      </c>
    </row>
    <row r="148" spans="1:34">
      <c r="A148" s="2224"/>
      <c r="B148" s="1782" t="str">
        <f t="shared" si="60"/>
        <v/>
      </c>
      <c r="C148" s="2728" t="str">
        <f t="shared" si="61"/>
        <v/>
      </c>
      <c r="D148" s="2226" t="str">
        <f t="shared" si="62"/>
        <v/>
      </c>
      <c r="E148" s="2909"/>
      <c r="F148" s="2906"/>
      <c r="G148" s="2225" t="str">
        <f t="shared" si="73"/>
        <v/>
      </c>
      <c r="H148" s="2227" t="str">
        <f>IF(A148&lt;&gt;"",VLOOKUP(VLOOKUP(A148,dist_assets,2,FALSE),'Distributed Assets'!$C$7:$F$22,4,FALSE),"")</f>
        <v/>
      </c>
      <c r="I148" s="279" t="str">
        <f>IF(A148&lt;&gt;"",VLOOKUP(A148,'Open Systems'!$A$4:$K$41,3,FALSE),"")</f>
        <v/>
      </c>
      <c r="J148" s="2228"/>
      <c r="K148" s="3163" t="str">
        <f>IFERROR(IF($A148&lt;&gt;"",
IF(MID($A148,10,2)="VM",(CONCATENATE(VLOOKUP($A148,VMware!$A$4:$H$41,5,FALSE)&amp;" x "&amp;VLOOKUP($A148,VMware!$A$4:$H$41,6,FALSE)&amp;" TB")),
IF($J148="OS",VLOOKUP($A148,'Open Systems'!$A$4:$K$41,9,FALSE),VLOOKUP($A148,'Open Systems'!$A$4:$K$41,11,FALSE))),""),"")</f>
        <v/>
      </c>
      <c r="L148" s="2"/>
      <c r="M148" s="2173" t="str">
        <f t="shared" si="63"/>
        <v/>
      </c>
      <c r="N148" s="817" t="str">
        <f t="shared" si="64"/>
        <v/>
      </c>
      <c r="O148" s="1090"/>
      <c r="P148" s="1019" t="str">
        <f t="shared" si="66"/>
        <v/>
      </c>
      <c r="Q148" s="1020"/>
      <c r="R148" s="1020"/>
      <c r="S148" s="1021" t="str">
        <f t="shared" si="74"/>
        <v/>
      </c>
      <c r="T148" s="1017"/>
      <c r="U148" s="1016"/>
      <c r="V148" s="3202" t="str">
        <f t="shared" si="65"/>
        <v/>
      </c>
      <c r="W148" s="1022" t="str">
        <f t="shared" si="75"/>
        <v/>
      </c>
      <c r="X148" s="1023" t="str">
        <f t="shared" si="76"/>
        <v/>
      </c>
      <c r="Y148" s="1017" t="str">
        <f t="shared" si="77"/>
        <v/>
      </c>
      <c r="Z148" s="1018" t="str">
        <f t="shared" si="67"/>
        <v/>
      </c>
      <c r="AA148" s="1022" t="str">
        <f t="shared" si="78"/>
        <v/>
      </c>
      <c r="AB148" s="1022" t="str">
        <f t="shared" si="79"/>
        <v/>
      </c>
      <c r="AC148" s="1022" t="str">
        <f t="shared" si="68"/>
        <v/>
      </c>
      <c r="AD148" s="1022" t="str">
        <f t="shared" si="69"/>
        <v/>
      </c>
      <c r="AE148" s="1022" t="str">
        <f t="shared" si="70"/>
        <v/>
      </c>
      <c r="AF148" s="3249" t="str">
        <f t="shared" si="71"/>
        <v/>
      </c>
      <c r="AG148" s="1104" t="str">
        <f>IF($A148&lt;&gt;"",IF(VLOOKUP($A148,'Distributed Assets'!$B$28:$AC$102,26,FALSE)="","N/A",VLOOKUP($A148,'Distributed Assets'!$B$28:$AC$102,26,FALSE)),"")</f>
        <v/>
      </c>
      <c r="AH148" s="2229" t="str">
        <f t="shared" si="72"/>
        <v/>
      </c>
    </row>
    <row r="149" spans="1:34">
      <c r="A149" s="2224"/>
      <c r="B149" s="1782" t="str">
        <f t="shared" si="60"/>
        <v/>
      </c>
      <c r="C149" s="2728" t="str">
        <f t="shared" si="61"/>
        <v/>
      </c>
      <c r="D149" s="2226" t="str">
        <f t="shared" si="62"/>
        <v/>
      </c>
      <c r="E149" s="2909"/>
      <c r="F149" s="2906"/>
      <c r="G149" s="2225" t="str">
        <f t="shared" si="73"/>
        <v/>
      </c>
      <c r="H149" s="2227" t="str">
        <f>IF(A149&lt;&gt;"",VLOOKUP(VLOOKUP(A149,dist_assets,2,FALSE),'Distributed Assets'!$C$7:$F$22,4,FALSE),"")</f>
        <v/>
      </c>
      <c r="I149" s="279" t="str">
        <f>IF(A149&lt;&gt;"",VLOOKUP(A149,'Open Systems'!$A$4:$K$41,3,FALSE),"")</f>
        <v/>
      </c>
      <c r="J149" s="2228"/>
      <c r="K149" s="3163" t="str">
        <f>IFERROR(IF($A149&lt;&gt;"",
IF(MID($A149,10,2)="VM",(CONCATENATE(VLOOKUP($A149,VMware!$A$4:$H$41,5,FALSE)&amp;" x "&amp;VLOOKUP($A149,VMware!$A$4:$H$41,6,FALSE)&amp;" TB")),
IF($J149="OS",VLOOKUP($A149,'Open Systems'!$A$4:$K$41,9,FALSE),VLOOKUP($A149,'Open Systems'!$A$4:$K$41,11,FALSE))),""),"")</f>
        <v/>
      </c>
      <c r="L149" s="2"/>
      <c r="M149" s="2173" t="str">
        <f t="shared" si="63"/>
        <v/>
      </c>
      <c r="N149" s="817" t="str">
        <f t="shared" si="64"/>
        <v/>
      </c>
      <c r="O149" s="1090"/>
      <c r="P149" s="1019" t="str">
        <f t="shared" si="66"/>
        <v/>
      </c>
      <c r="Q149" s="1020"/>
      <c r="R149" s="1020"/>
      <c r="S149" s="1021" t="str">
        <f t="shared" si="74"/>
        <v/>
      </c>
      <c r="T149" s="1017"/>
      <c r="U149" s="1016"/>
      <c r="V149" s="3202" t="str">
        <f t="shared" si="65"/>
        <v/>
      </c>
      <c r="W149" s="1022" t="str">
        <f t="shared" si="75"/>
        <v/>
      </c>
      <c r="X149" s="1023" t="str">
        <f t="shared" si="76"/>
        <v/>
      </c>
      <c r="Y149" s="1017" t="str">
        <f t="shared" si="77"/>
        <v/>
      </c>
      <c r="Z149" s="1018" t="str">
        <f t="shared" si="67"/>
        <v/>
      </c>
      <c r="AA149" s="1022" t="str">
        <f t="shared" si="78"/>
        <v/>
      </c>
      <c r="AB149" s="1022" t="str">
        <f t="shared" si="79"/>
        <v/>
      </c>
      <c r="AC149" s="1022" t="str">
        <f t="shared" si="68"/>
        <v/>
      </c>
      <c r="AD149" s="1022" t="str">
        <f t="shared" si="69"/>
        <v/>
      </c>
      <c r="AE149" s="1022" t="str">
        <f t="shared" si="70"/>
        <v/>
      </c>
      <c r="AF149" s="3249" t="str">
        <f t="shared" si="71"/>
        <v/>
      </c>
      <c r="AG149" s="1104" t="str">
        <f>IF($A149&lt;&gt;"",IF(VLOOKUP($A149,'Distributed Assets'!$B$28:$AC$102,26,FALSE)="","N/A",VLOOKUP($A149,'Distributed Assets'!$B$28:$AC$102,26,FALSE)),"")</f>
        <v/>
      </c>
      <c r="AH149" s="2229" t="str">
        <f t="shared" si="72"/>
        <v/>
      </c>
    </row>
    <row r="150" spans="1:34">
      <c r="A150" s="2224"/>
      <c r="B150" s="1782" t="str">
        <f t="shared" si="60"/>
        <v/>
      </c>
      <c r="C150" s="2728" t="str">
        <f t="shared" si="61"/>
        <v/>
      </c>
      <c r="D150" s="2226" t="str">
        <f t="shared" si="62"/>
        <v/>
      </c>
      <c r="E150" s="2909"/>
      <c r="F150" s="2906"/>
      <c r="G150" s="2225" t="str">
        <f t="shared" si="73"/>
        <v/>
      </c>
      <c r="H150" s="2227" t="str">
        <f>IF(A150&lt;&gt;"",VLOOKUP(VLOOKUP(A150,dist_assets,2,FALSE),'Distributed Assets'!$C$7:$F$22,4,FALSE),"")</f>
        <v/>
      </c>
      <c r="I150" s="279" t="str">
        <f>IF(A150&lt;&gt;"",VLOOKUP(A150,'Open Systems'!$A$4:$K$41,3,FALSE),"")</f>
        <v/>
      </c>
      <c r="J150" s="2228"/>
      <c r="K150" s="3163" t="str">
        <f>IFERROR(IF($A150&lt;&gt;"",
IF(MID($A150,10,2)="VM",(CONCATENATE(VLOOKUP($A150,VMware!$A$4:$H$41,5,FALSE)&amp;" x "&amp;VLOOKUP($A150,VMware!$A$4:$H$41,6,FALSE)&amp;" TB")),
IF($J150="OS",VLOOKUP($A150,'Open Systems'!$A$4:$K$41,9,FALSE),VLOOKUP($A150,'Open Systems'!$A$4:$K$41,11,FALSE))),""),"")</f>
        <v/>
      </c>
      <c r="L150" s="2"/>
      <c r="M150" s="2173" t="str">
        <f t="shared" si="63"/>
        <v/>
      </c>
      <c r="N150" s="817" t="str">
        <f t="shared" si="64"/>
        <v/>
      </c>
      <c r="O150" s="1090"/>
      <c r="P150" s="1019" t="str">
        <f t="shared" si="66"/>
        <v/>
      </c>
      <c r="Q150" s="1020"/>
      <c r="R150" s="1020"/>
      <c r="S150" s="1021" t="str">
        <f t="shared" si="74"/>
        <v/>
      </c>
      <c r="T150" s="1017"/>
      <c r="U150" s="1016"/>
      <c r="V150" s="3202" t="str">
        <f t="shared" si="65"/>
        <v/>
      </c>
      <c r="W150" s="1022" t="str">
        <f t="shared" si="75"/>
        <v/>
      </c>
      <c r="X150" s="1023" t="str">
        <f t="shared" si="76"/>
        <v/>
      </c>
      <c r="Y150" s="1017" t="str">
        <f t="shared" si="77"/>
        <v/>
      </c>
      <c r="Z150" s="1018" t="str">
        <f t="shared" si="67"/>
        <v/>
      </c>
      <c r="AA150" s="1022" t="str">
        <f t="shared" si="78"/>
        <v/>
      </c>
      <c r="AB150" s="1022" t="str">
        <f t="shared" si="79"/>
        <v/>
      </c>
      <c r="AC150" s="1022" t="str">
        <f t="shared" si="68"/>
        <v/>
      </c>
      <c r="AD150" s="1022" t="str">
        <f t="shared" si="69"/>
        <v/>
      </c>
      <c r="AE150" s="1022" t="str">
        <f t="shared" si="70"/>
        <v/>
      </c>
      <c r="AF150" s="3249" t="str">
        <f t="shared" si="71"/>
        <v/>
      </c>
      <c r="AG150" s="1104" t="str">
        <f>IF($A150&lt;&gt;"",IF(VLOOKUP($A150,'Distributed Assets'!$B$28:$AC$102,26,FALSE)="","N/A",VLOOKUP($A150,'Distributed Assets'!$B$28:$AC$102,26,FALSE)),"")</f>
        <v/>
      </c>
      <c r="AH150" s="2229" t="str">
        <f t="shared" si="72"/>
        <v/>
      </c>
    </row>
    <row r="151" spans="1:34">
      <c r="A151" s="2224"/>
      <c r="B151" s="1782" t="str">
        <f t="shared" si="60"/>
        <v/>
      </c>
      <c r="C151" s="2728" t="str">
        <f t="shared" si="61"/>
        <v/>
      </c>
      <c r="D151" s="2226" t="str">
        <f t="shared" si="62"/>
        <v/>
      </c>
      <c r="E151" s="2909"/>
      <c r="F151" s="2906"/>
      <c r="G151" s="2225" t="str">
        <f t="shared" si="73"/>
        <v/>
      </c>
      <c r="H151" s="2227" t="str">
        <f>IF(A151&lt;&gt;"",VLOOKUP(VLOOKUP(A151,dist_assets,2,FALSE),'Distributed Assets'!$C$7:$F$22,4,FALSE),"")</f>
        <v/>
      </c>
      <c r="I151" s="279" t="str">
        <f>IF(A151&lt;&gt;"",VLOOKUP(A151,'Open Systems'!$A$4:$K$41,3,FALSE),"")</f>
        <v/>
      </c>
      <c r="J151" s="2228"/>
      <c r="K151" s="3163" t="str">
        <f>IFERROR(IF($A151&lt;&gt;"",
IF(MID($A151,10,2)="VM",(CONCATENATE(VLOOKUP($A151,VMware!$A$4:$H$41,5,FALSE)&amp;" x "&amp;VLOOKUP($A151,VMware!$A$4:$H$41,6,FALSE)&amp;" TB")),
IF($J151="OS",VLOOKUP($A151,'Open Systems'!$A$4:$K$41,9,FALSE),VLOOKUP($A151,'Open Systems'!$A$4:$K$41,11,FALSE))),""),"")</f>
        <v/>
      </c>
      <c r="L151" s="2"/>
      <c r="M151" s="2173" t="str">
        <f t="shared" si="63"/>
        <v/>
      </c>
      <c r="N151" s="817" t="str">
        <f t="shared" si="64"/>
        <v/>
      </c>
      <c r="O151" s="1090"/>
      <c r="P151" s="1019" t="str">
        <f t="shared" si="66"/>
        <v/>
      </c>
      <c r="Q151" s="1020"/>
      <c r="R151" s="1020"/>
      <c r="S151" s="1021" t="str">
        <f t="shared" si="74"/>
        <v/>
      </c>
      <c r="T151" s="1017"/>
      <c r="U151" s="1016"/>
      <c r="V151" s="3202" t="str">
        <f t="shared" si="65"/>
        <v/>
      </c>
      <c r="W151" s="1022" t="str">
        <f t="shared" si="75"/>
        <v/>
      </c>
      <c r="X151" s="1023" t="str">
        <f t="shared" si="76"/>
        <v/>
      </c>
      <c r="Y151" s="1017" t="str">
        <f t="shared" si="77"/>
        <v/>
      </c>
      <c r="Z151" s="1018" t="str">
        <f t="shared" si="67"/>
        <v/>
      </c>
      <c r="AA151" s="1022" t="str">
        <f t="shared" si="78"/>
        <v/>
      </c>
      <c r="AB151" s="1022" t="str">
        <f t="shared" si="79"/>
        <v/>
      </c>
      <c r="AC151" s="1022" t="str">
        <f t="shared" si="68"/>
        <v/>
      </c>
      <c r="AD151" s="1022" t="str">
        <f t="shared" si="69"/>
        <v/>
      </c>
      <c r="AE151" s="1022" t="str">
        <f t="shared" si="70"/>
        <v/>
      </c>
      <c r="AF151" s="3249" t="str">
        <f t="shared" si="71"/>
        <v/>
      </c>
      <c r="AG151" s="1104" t="str">
        <f>IF($A151&lt;&gt;"",IF(VLOOKUP($A151,'Distributed Assets'!$B$28:$AC$102,26,FALSE)="","N/A",VLOOKUP($A151,'Distributed Assets'!$B$28:$AC$102,26,FALSE)),"")</f>
        <v/>
      </c>
      <c r="AH151" s="2229" t="str">
        <f t="shared" si="72"/>
        <v/>
      </c>
    </row>
    <row r="152" spans="1:34">
      <c r="A152" s="2224"/>
      <c r="B152" s="1782" t="str">
        <f t="shared" si="60"/>
        <v/>
      </c>
      <c r="C152" s="2728" t="str">
        <f t="shared" si="61"/>
        <v/>
      </c>
      <c r="D152" s="2226" t="str">
        <f t="shared" si="62"/>
        <v/>
      </c>
      <c r="E152" s="2909"/>
      <c r="F152" s="2906"/>
      <c r="G152" s="2225" t="str">
        <f t="shared" si="73"/>
        <v/>
      </c>
      <c r="H152" s="2227" t="str">
        <f>IF(A152&lt;&gt;"",VLOOKUP(VLOOKUP(A152,dist_assets,2,FALSE),'Distributed Assets'!$C$7:$F$22,4,FALSE),"")</f>
        <v/>
      </c>
      <c r="I152" s="279" t="str">
        <f>IF(A152&lt;&gt;"",VLOOKUP(A152,'Open Systems'!$A$4:$K$41,3,FALSE),"")</f>
        <v/>
      </c>
      <c r="J152" s="2228"/>
      <c r="K152" s="3163" t="str">
        <f>IFERROR(IF($A152&lt;&gt;"",
IF(MID($A152,10,2)="VM",(CONCATENATE(VLOOKUP($A152,VMware!$A$4:$H$41,5,FALSE)&amp;" x "&amp;VLOOKUP($A152,VMware!$A$4:$H$41,6,FALSE)&amp;" TB")),
IF($J152="OS",VLOOKUP($A152,'Open Systems'!$A$4:$K$41,9,FALSE),VLOOKUP($A152,'Open Systems'!$A$4:$K$41,11,FALSE))),""),"")</f>
        <v/>
      </c>
      <c r="L152" s="2"/>
      <c r="M152" s="2173" t="str">
        <f t="shared" si="63"/>
        <v/>
      </c>
      <c r="N152" s="817" t="str">
        <f t="shared" si="64"/>
        <v/>
      </c>
      <c r="O152" s="1090"/>
      <c r="P152" s="1019" t="str">
        <f t="shared" si="66"/>
        <v/>
      </c>
      <c r="Q152" s="1020"/>
      <c r="R152" s="1020"/>
      <c r="S152" s="1021" t="str">
        <f t="shared" si="74"/>
        <v/>
      </c>
      <c r="T152" s="1017"/>
      <c r="U152" s="1016"/>
      <c r="V152" s="3202" t="str">
        <f t="shared" si="65"/>
        <v/>
      </c>
      <c r="W152" s="1022" t="str">
        <f t="shared" si="75"/>
        <v/>
      </c>
      <c r="X152" s="1023" t="str">
        <f t="shared" si="76"/>
        <v/>
      </c>
      <c r="Y152" s="1017" t="str">
        <f t="shared" si="77"/>
        <v/>
      </c>
      <c r="Z152" s="1018" t="str">
        <f t="shared" si="67"/>
        <v/>
      </c>
      <c r="AA152" s="1022" t="str">
        <f t="shared" si="78"/>
        <v/>
      </c>
      <c r="AB152" s="1022" t="str">
        <f t="shared" si="79"/>
        <v/>
      </c>
      <c r="AC152" s="1022" t="str">
        <f t="shared" si="68"/>
        <v/>
      </c>
      <c r="AD152" s="1022" t="str">
        <f t="shared" si="69"/>
        <v/>
      </c>
      <c r="AE152" s="1022" t="str">
        <f t="shared" si="70"/>
        <v/>
      </c>
      <c r="AF152" s="3249" t="str">
        <f t="shared" si="71"/>
        <v/>
      </c>
      <c r="AG152" s="1104" t="str">
        <f>IF($A152&lt;&gt;"",IF(VLOOKUP($A152,'Distributed Assets'!$B$28:$AC$102,26,FALSE)="","N/A",VLOOKUP($A152,'Distributed Assets'!$B$28:$AC$102,26,FALSE)),"")</f>
        <v/>
      </c>
      <c r="AH152" s="2229" t="str">
        <f t="shared" si="72"/>
        <v/>
      </c>
    </row>
    <row r="153" spans="1:34">
      <c r="A153" s="2224"/>
      <c r="B153" s="1782" t="str">
        <f t="shared" si="60"/>
        <v/>
      </c>
      <c r="C153" s="2728" t="str">
        <f t="shared" si="61"/>
        <v/>
      </c>
      <c r="D153" s="2226" t="str">
        <f t="shared" si="62"/>
        <v/>
      </c>
      <c r="E153" s="2909"/>
      <c r="F153" s="2906"/>
      <c r="G153" s="2225" t="str">
        <f t="shared" si="73"/>
        <v/>
      </c>
      <c r="H153" s="2227" t="str">
        <f>IF(A153&lt;&gt;"",VLOOKUP(VLOOKUP(A153,dist_assets,2,FALSE),'Distributed Assets'!$C$7:$F$22,4,FALSE),"")</f>
        <v/>
      </c>
      <c r="I153" s="279" t="str">
        <f>IF(A153&lt;&gt;"",VLOOKUP(A153,'Open Systems'!$A$4:$K$41,3,FALSE),"")</f>
        <v/>
      </c>
      <c r="J153" s="2228"/>
      <c r="K153" s="3163" t="str">
        <f>IFERROR(IF($A153&lt;&gt;"",
IF(MID($A153,10,2)="VM",(CONCATENATE(VLOOKUP($A153,VMware!$A$4:$H$41,5,FALSE)&amp;" x "&amp;VLOOKUP($A153,VMware!$A$4:$H$41,6,FALSE)&amp;" TB")),
IF($J153="OS",VLOOKUP($A153,'Open Systems'!$A$4:$K$41,9,FALSE),VLOOKUP($A153,'Open Systems'!$A$4:$K$41,11,FALSE))),""),"")</f>
        <v/>
      </c>
      <c r="L153" s="2"/>
      <c r="M153" s="2173" t="str">
        <f t="shared" si="63"/>
        <v/>
      </c>
      <c r="N153" s="817" t="str">
        <f t="shared" si="64"/>
        <v/>
      </c>
      <c r="O153" s="1090"/>
      <c r="P153" s="1019" t="str">
        <f t="shared" si="66"/>
        <v/>
      </c>
      <c r="Q153" s="1020"/>
      <c r="R153" s="1020"/>
      <c r="S153" s="1021" t="str">
        <f t="shared" si="74"/>
        <v/>
      </c>
      <c r="T153" s="1017"/>
      <c r="U153" s="1016"/>
      <c r="V153" s="3202" t="str">
        <f t="shared" si="65"/>
        <v/>
      </c>
      <c r="W153" s="1022" t="str">
        <f t="shared" si="75"/>
        <v/>
      </c>
      <c r="X153" s="1023" t="str">
        <f t="shared" si="76"/>
        <v/>
      </c>
      <c r="Y153" s="1017" t="str">
        <f t="shared" si="77"/>
        <v/>
      </c>
      <c r="Z153" s="1018" t="str">
        <f t="shared" si="67"/>
        <v/>
      </c>
      <c r="AA153" s="1022" t="str">
        <f t="shared" si="78"/>
        <v/>
      </c>
      <c r="AB153" s="1022" t="str">
        <f t="shared" si="79"/>
        <v/>
      </c>
      <c r="AC153" s="1022" t="str">
        <f t="shared" si="68"/>
        <v/>
      </c>
      <c r="AD153" s="1022" t="str">
        <f t="shared" si="69"/>
        <v/>
      </c>
      <c r="AE153" s="1022" t="str">
        <f t="shared" si="70"/>
        <v/>
      </c>
      <c r="AF153" s="3249" t="str">
        <f t="shared" si="71"/>
        <v/>
      </c>
      <c r="AG153" s="1104" t="str">
        <f>IF($A153&lt;&gt;"",IF(VLOOKUP($A153,'Distributed Assets'!$B$28:$AC$102,26,FALSE)="","N/A",VLOOKUP($A153,'Distributed Assets'!$B$28:$AC$102,26,FALSE)),"")</f>
        <v/>
      </c>
      <c r="AH153" s="2229" t="str">
        <f t="shared" si="72"/>
        <v/>
      </c>
    </row>
    <row r="154" spans="1:34">
      <c r="A154" s="2224"/>
      <c r="B154" s="1782" t="str">
        <f t="shared" si="60"/>
        <v/>
      </c>
      <c r="C154" s="2728" t="str">
        <f t="shared" si="61"/>
        <v/>
      </c>
      <c r="D154" s="2226" t="str">
        <f t="shared" si="62"/>
        <v/>
      </c>
      <c r="E154" s="2909"/>
      <c r="F154" s="2906"/>
      <c r="G154" s="2225" t="str">
        <f t="shared" si="73"/>
        <v/>
      </c>
      <c r="H154" s="2227" t="str">
        <f>IF(A154&lt;&gt;"",VLOOKUP(VLOOKUP(A154,dist_assets,2,FALSE),'Distributed Assets'!$C$7:$F$22,4,FALSE),"")</f>
        <v/>
      </c>
      <c r="I154" s="279" t="str">
        <f>IF(A154&lt;&gt;"",VLOOKUP(A154,'Open Systems'!$A$4:$K$41,3,FALSE),"")</f>
        <v/>
      </c>
      <c r="J154" s="2228"/>
      <c r="K154" s="3163" t="str">
        <f>IFERROR(IF($A154&lt;&gt;"",
IF(MID($A154,10,2)="VM",(CONCATENATE(VLOOKUP($A154,VMware!$A$4:$H$41,5,FALSE)&amp;" x "&amp;VLOOKUP($A154,VMware!$A$4:$H$41,6,FALSE)&amp;" TB")),
IF($J154="OS",VLOOKUP($A154,'Open Systems'!$A$4:$K$41,9,FALSE),VLOOKUP($A154,'Open Systems'!$A$4:$K$41,11,FALSE))),""),"")</f>
        <v/>
      </c>
      <c r="L154" s="2"/>
      <c r="M154" s="2173" t="str">
        <f t="shared" si="63"/>
        <v/>
      </c>
      <c r="N154" s="817" t="str">
        <f t="shared" si="64"/>
        <v/>
      </c>
      <c r="O154" s="1090"/>
      <c r="P154" s="1019" t="str">
        <f t="shared" si="66"/>
        <v/>
      </c>
      <c r="Q154" s="1020"/>
      <c r="R154" s="1020"/>
      <c r="S154" s="1021" t="str">
        <f t="shared" si="74"/>
        <v/>
      </c>
      <c r="T154" s="1017"/>
      <c r="U154" s="1016"/>
      <c r="V154" s="3202" t="str">
        <f t="shared" si="65"/>
        <v/>
      </c>
      <c r="W154" s="1022" t="str">
        <f t="shared" si="75"/>
        <v/>
      </c>
      <c r="X154" s="1023" t="str">
        <f t="shared" si="76"/>
        <v/>
      </c>
      <c r="Y154" s="1017" t="str">
        <f t="shared" si="77"/>
        <v/>
      </c>
      <c r="Z154" s="1018" t="str">
        <f t="shared" si="67"/>
        <v/>
      </c>
      <c r="AA154" s="1022" t="str">
        <f t="shared" si="78"/>
        <v/>
      </c>
      <c r="AB154" s="1022" t="str">
        <f t="shared" si="79"/>
        <v/>
      </c>
      <c r="AC154" s="1022" t="str">
        <f t="shared" si="68"/>
        <v/>
      </c>
      <c r="AD154" s="1022" t="str">
        <f t="shared" si="69"/>
        <v/>
      </c>
      <c r="AE154" s="1022" t="str">
        <f t="shared" si="70"/>
        <v/>
      </c>
      <c r="AF154" s="3249" t="str">
        <f t="shared" si="71"/>
        <v/>
      </c>
      <c r="AG154" s="1104" t="str">
        <f>IF($A154&lt;&gt;"",IF(VLOOKUP($A154,'Distributed Assets'!$B$28:$AC$102,26,FALSE)="","N/A",VLOOKUP($A154,'Distributed Assets'!$B$28:$AC$102,26,FALSE)),"")</f>
        <v/>
      </c>
      <c r="AH154" s="2229" t="str">
        <f t="shared" si="72"/>
        <v/>
      </c>
    </row>
    <row r="155" spans="1:34" ht="13.5" thickBot="1">
      <c r="A155" s="2230"/>
      <c r="B155" s="3160" t="str">
        <f t="shared" si="60"/>
        <v/>
      </c>
      <c r="C155" s="2774" t="str">
        <f t="shared" si="61"/>
        <v/>
      </c>
      <c r="D155" s="3162" t="str">
        <f t="shared" si="62"/>
        <v/>
      </c>
      <c r="E155" s="2910"/>
      <c r="F155" s="2907"/>
      <c r="G155" s="2231" t="str">
        <f t="shared" si="73"/>
        <v/>
      </c>
      <c r="H155" s="2231" t="str">
        <f>IF(A155&lt;&gt;"",VLOOKUP(VLOOKUP(A155,dist_assets,2,FALSE),'Distributed Assets'!$C$7:$F$22,4,FALSE),"")</f>
        <v/>
      </c>
      <c r="I155" s="1491" t="str">
        <f>IF(A155&lt;&gt;"",VLOOKUP(A155,'Open Systems'!$A$4:$K$41,3,FALSE),"")</f>
        <v/>
      </c>
      <c r="J155" s="2233"/>
      <c r="K155" s="3164" t="str">
        <f>IFERROR(IF($A155&lt;&gt;"",
IF(MID($A155,10,2)="VM",(CONCATENATE(VLOOKUP($A155,VMware!$A$4:$H$41,5,FALSE)&amp;" x "&amp;VLOOKUP($A155,VMware!$A$4:$H$41,6,FALSE)&amp;" TB")),
IF($J155="OS",VLOOKUP($A155,'Open Systems'!$A$4:$K$41,9,FALSE),VLOOKUP($A155,'Open Systems'!$A$4:$K$41,11,FALSE))),""),"")</f>
        <v/>
      </c>
      <c r="L155" s="263"/>
      <c r="M155" s="3015" t="str">
        <f t="shared" si="63"/>
        <v/>
      </c>
      <c r="N155" s="449" t="str">
        <f t="shared" si="64"/>
        <v/>
      </c>
      <c r="O155" s="103"/>
      <c r="P155" s="836" t="str">
        <f t="shared" si="66"/>
        <v/>
      </c>
      <c r="Q155" s="1492"/>
      <c r="R155" s="1492"/>
      <c r="S155" s="1493" t="str">
        <f t="shared" si="74"/>
        <v/>
      </c>
      <c r="T155" s="1494"/>
      <c r="U155" s="1495"/>
      <c r="V155" s="3202" t="str">
        <f t="shared" si="65"/>
        <v/>
      </c>
      <c r="W155" s="1496" t="str">
        <f t="shared" si="75"/>
        <v/>
      </c>
      <c r="X155" s="1497" t="str">
        <f t="shared" si="76"/>
        <v/>
      </c>
      <c r="Y155" s="1494" t="str">
        <f t="shared" si="77"/>
        <v/>
      </c>
      <c r="Z155" s="2773" t="str">
        <f t="shared" si="67"/>
        <v/>
      </c>
      <c r="AA155" s="1496" t="str">
        <f t="shared" si="78"/>
        <v/>
      </c>
      <c r="AB155" s="1496" t="str">
        <f t="shared" si="79"/>
        <v/>
      </c>
      <c r="AC155" s="1496" t="str">
        <f t="shared" si="68"/>
        <v/>
      </c>
      <c r="AD155" s="1496" t="str">
        <f t="shared" si="69"/>
        <v/>
      </c>
      <c r="AE155" s="1496" t="str">
        <f t="shared" si="70"/>
        <v/>
      </c>
      <c r="AF155" s="3250" t="str">
        <f t="shared" si="71"/>
        <v/>
      </c>
      <c r="AG155" s="1498" t="str">
        <f>IF($A155&lt;&gt;"",IF(VLOOKUP($A155,'Distributed Assets'!$B$28:$AC$102,26,FALSE)="","N/A",VLOOKUP($A155,'Distributed Assets'!$B$28:$AC$102,26,FALSE)),"")</f>
        <v/>
      </c>
      <c r="AH155" s="2232" t="str">
        <f t="shared" si="72"/>
        <v/>
      </c>
    </row>
    <row r="157" spans="1:34">
      <c r="A157" s="3829" t="s">
        <v>432</v>
      </c>
      <c r="B157" s="3830"/>
      <c r="C157" s="3830"/>
      <c r="D157" s="3830"/>
      <c r="E157" s="3830"/>
      <c r="F157" s="3830"/>
      <c r="G157" s="3830"/>
      <c r="H157" s="3830"/>
      <c r="I157" s="3830"/>
      <c r="J157" s="3830"/>
      <c r="K157" s="3830"/>
      <c r="L157" s="3830"/>
      <c r="M157" s="3830"/>
      <c r="N157" s="3830"/>
      <c r="O157" s="3830"/>
      <c r="P157" s="3830"/>
      <c r="Q157" s="3830"/>
      <c r="R157" s="3830"/>
      <c r="S157" s="3830"/>
    </row>
    <row r="158" spans="1:34">
      <c r="B158" s="6" t="s">
        <v>433</v>
      </c>
      <c r="C158" s="6" t="s">
        <v>14</v>
      </c>
    </row>
    <row r="159" spans="1:34" s="3" customFormat="1">
      <c r="A159" s="18"/>
      <c r="B159" s="18"/>
      <c r="C159" s="18"/>
      <c r="D159" s="18"/>
      <c r="E159" s="18"/>
      <c r="F159" s="18"/>
      <c r="G159" s="306"/>
      <c r="H159" s="18"/>
      <c r="I159" s="18"/>
      <c r="J159" s="18"/>
      <c r="K159" s="18"/>
      <c r="L159" s="18"/>
      <c r="M159" s="2771"/>
      <c r="N159" s="1780"/>
      <c r="O159" s="18"/>
      <c r="P159" s="18"/>
      <c r="Q159" s="18"/>
      <c r="R159" s="18"/>
      <c r="S159" s="18"/>
      <c r="U159" s="1778"/>
      <c r="Z159" s="1778"/>
    </row>
    <row r="160" spans="1:34" s="3" customFormat="1">
      <c r="A160" s="18"/>
      <c r="B160" s="18"/>
      <c r="C160" s="18"/>
      <c r="D160" s="18"/>
      <c r="E160" s="18"/>
      <c r="F160" s="18"/>
      <c r="G160" s="306"/>
      <c r="H160" s="18"/>
      <c r="I160" s="18"/>
      <c r="J160" s="18"/>
      <c r="K160" s="18"/>
      <c r="L160" s="18"/>
      <c r="M160" s="2771"/>
      <c r="N160" s="1780"/>
      <c r="O160" s="18"/>
      <c r="P160" s="18"/>
      <c r="Q160" s="18"/>
      <c r="R160" s="18"/>
      <c r="S160" s="18"/>
      <c r="U160" s="1778"/>
      <c r="Z160" s="1778"/>
    </row>
    <row r="161" spans="1:26" s="3" customFormat="1">
      <c r="A161" s="18"/>
      <c r="B161" s="18"/>
      <c r="C161" s="18"/>
      <c r="D161" s="18"/>
      <c r="E161" s="18"/>
      <c r="F161" s="18"/>
      <c r="G161" s="306"/>
      <c r="H161" s="18"/>
      <c r="I161" s="18"/>
      <c r="J161" s="18"/>
      <c r="K161" s="18"/>
      <c r="L161" s="18"/>
      <c r="M161" s="2771"/>
      <c r="N161" s="1780"/>
      <c r="O161" s="18"/>
      <c r="P161" s="18"/>
      <c r="Q161" s="18"/>
      <c r="R161" s="18"/>
      <c r="S161" s="18"/>
      <c r="U161" s="1778"/>
      <c r="Z161" s="1778"/>
    </row>
    <row r="162" spans="1:26" s="3" customFormat="1">
      <c r="A162" s="18"/>
      <c r="B162" s="18"/>
      <c r="C162" s="18"/>
      <c r="D162" s="18"/>
      <c r="E162" s="18"/>
      <c r="F162" s="18"/>
      <c r="G162" s="306"/>
      <c r="H162" s="18"/>
      <c r="I162" s="18"/>
      <c r="J162" s="18"/>
      <c r="K162" s="18"/>
      <c r="L162" s="18"/>
      <c r="M162" s="2771"/>
      <c r="N162" s="1780"/>
      <c r="O162" s="18"/>
      <c r="P162" s="18"/>
      <c r="Q162" s="18"/>
      <c r="R162" s="18"/>
      <c r="S162" s="18"/>
      <c r="U162" s="1778"/>
      <c r="Z162" s="1778"/>
    </row>
    <row r="163" spans="1:26" s="3" customFormat="1">
      <c r="A163" s="18"/>
      <c r="B163" s="18"/>
      <c r="C163" s="18"/>
      <c r="D163" s="18"/>
      <c r="E163" s="18"/>
      <c r="F163" s="18"/>
      <c r="G163" s="306"/>
      <c r="H163" s="18"/>
      <c r="I163" s="18"/>
      <c r="J163" s="18"/>
      <c r="K163" s="18"/>
      <c r="L163" s="18"/>
      <c r="M163" s="2771"/>
      <c r="N163" s="1780"/>
      <c r="O163" s="18"/>
      <c r="P163" s="18"/>
      <c r="Q163" s="18"/>
      <c r="R163" s="18"/>
      <c r="S163" s="18"/>
      <c r="U163" s="1778"/>
      <c r="Z163" s="1778"/>
    </row>
  </sheetData>
  <mergeCells count="4">
    <mergeCell ref="A157:S157"/>
    <mergeCell ref="A2:C2"/>
    <mergeCell ref="E2:H2"/>
    <mergeCell ref="L2:O2"/>
  </mergeCells>
  <phoneticPr fontId="26" type="noConversion"/>
  <conditionalFormatting sqref="B1">
    <cfRule type="cellIs" dxfId="160" priority="32" operator="equal">
      <formula>"Undetermined"</formula>
    </cfRule>
    <cfRule type="cellIs" dxfId="159" priority="33" operator="equal">
      <formula>"REQUIRED"</formula>
    </cfRule>
  </conditionalFormatting>
  <conditionalFormatting sqref="A2">
    <cfRule type="notContainsBlanks" dxfId="158" priority="31" stopIfTrue="1">
      <formula>LEN(TRIM(A2))&gt;0</formula>
    </cfRule>
  </conditionalFormatting>
  <conditionalFormatting sqref="P2:R2">
    <cfRule type="expression" dxfId="157" priority="28">
      <formula>$K$2&lt;&gt;""</formula>
    </cfRule>
  </conditionalFormatting>
  <conditionalFormatting sqref="E4:E155">
    <cfRule type="expression" dxfId="156" priority="26">
      <formula>AND($C4&lt;&gt;"Virtual",$D4="New")</formula>
    </cfRule>
  </conditionalFormatting>
  <conditionalFormatting sqref="P4:AB155">
    <cfRule type="expression" dxfId="155" priority="23">
      <formula>OR($H4&lt;&gt;"Prod 2.0",$H4="")</formula>
    </cfRule>
  </conditionalFormatting>
  <conditionalFormatting sqref="AF4:AF155">
    <cfRule type="containsText" dxfId="154" priority="14" operator="containsText" text="Add vdisks">
      <formula>NOT(ISERROR(SEARCH("Add vdisks",AF4)))</formula>
    </cfRule>
    <cfRule type="expression" dxfId="153" priority="781">
      <formula>#REF!&lt;&gt;""</formula>
    </cfRule>
  </conditionalFormatting>
  <conditionalFormatting sqref="AA4:AB155">
    <cfRule type="expression" dxfId="152" priority="25">
      <formula>AND($H4&lt;&gt;"Prod 2.0",OR($G4="Windows",$G4="Linux"),$C4="Virtual")</formula>
    </cfRule>
  </conditionalFormatting>
  <conditionalFormatting sqref="AC4:AE155">
    <cfRule type="expression" dxfId="151" priority="21">
      <formula>OR($H4&lt;&gt;"Prod 2.0",$H4="")</formula>
    </cfRule>
  </conditionalFormatting>
  <conditionalFormatting sqref="AC4:AE155">
    <cfRule type="expression" dxfId="150" priority="22">
      <formula>AND($H4&lt;&gt;"Prod 2.0",OR($G4="Windows",$G4="Linux"),$C4="Virtual")</formula>
    </cfRule>
  </conditionalFormatting>
  <conditionalFormatting sqref="C5 E5 L5 O5:AE5 G5 I5:J5">
    <cfRule type="expression" dxfId="149" priority="11">
      <formula>MID($A5,9,2)="VM"</formula>
    </cfRule>
  </conditionalFormatting>
  <conditionalFormatting sqref="C6:C155">
    <cfRule type="expression" dxfId="148" priority="10">
      <formula>MID($A6,9,2)="VM"</formula>
    </cfRule>
  </conditionalFormatting>
  <conditionalFormatting sqref="C4">
    <cfRule type="expression" dxfId="147" priority="9">
      <formula>MID($A4,9,2)="VM"</formula>
    </cfRule>
  </conditionalFormatting>
  <conditionalFormatting sqref="E6:E155 G8:J155 G6:G7 I6:J7 H4:H7">
    <cfRule type="expression" dxfId="146" priority="8">
      <formula>MID($A4,9,2)="VM"</formula>
    </cfRule>
  </conditionalFormatting>
  <conditionalFormatting sqref="E4:G4 F5:F155 I4:J4">
    <cfRule type="expression" dxfId="145" priority="7">
      <formula>MID($A4,9,2)="VM"</formula>
    </cfRule>
  </conditionalFormatting>
  <conditionalFormatting sqref="L6:L155">
    <cfRule type="expression" dxfId="144" priority="6">
      <formula>MID($A6,9,2)="VM"</formula>
    </cfRule>
  </conditionalFormatting>
  <conditionalFormatting sqref="L4">
    <cfRule type="expression" dxfId="143" priority="5">
      <formula>MID($A4,9,2)="VM"</formula>
    </cfRule>
  </conditionalFormatting>
  <conditionalFormatting sqref="O6:AE155">
    <cfRule type="expression" dxfId="142" priority="4">
      <formula>MID($A6,9,2)="VM"</formula>
    </cfRule>
  </conditionalFormatting>
  <conditionalFormatting sqref="F4:F155">
    <cfRule type="expression" dxfId="141" priority="3">
      <formula>AND($C4="Physical", $D4="New")</formula>
    </cfRule>
  </conditionalFormatting>
  <dataValidations count="9">
    <dataValidation type="list" allowBlank="1" showInputMessage="1" showErrorMessage="1" sqref="A18:A155" xr:uid="{00000000-0002-0000-1000-000000000000}">
      <formula1>Assetlist</formula1>
    </dataValidation>
    <dataValidation type="whole" operator="greaterThan" allowBlank="1" showInputMessage="1" showErrorMessage="1" error="Value must a whole number greater than 0._x000a_" sqref="O4:O155" xr:uid="{00000000-0002-0000-1000-000001000000}">
      <formula1>0</formula1>
    </dataValidation>
    <dataValidation operator="greaterThan" allowBlank="1" showInputMessage="1" showErrorMessage="1" error="Please enter a single LUN size per Line. &lt;whole numbers only&gt;" sqref="K4:L155" xr:uid="{00000000-0002-0000-1000-000002000000}"/>
    <dataValidation type="list" allowBlank="1" showInputMessage="1" showErrorMessage="1" sqref="J4:J155" xr:uid="{00000000-0002-0000-1000-000003000000}">
      <formula1>"OS,Middleware, SQL, File-Share, Quorum, Log"</formula1>
    </dataValidation>
    <dataValidation allowBlank="1" showErrorMessage="1" promptTitle="Editting Controls:" prompt="_x000a_1. Right Click Mouse_x000a_2. Select Copy_x000a_3. Right Click Mouse_x000a_4. Select Paste Special_x000a_5.  Edit / Delete Cell as needed " sqref="P4:P155" xr:uid="{00000000-0002-0000-1000-000004000000}"/>
    <dataValidation type="list" allowBlank="1" showInputMessage="1" showErrorMessage="1" sqref="T4:T155" xr:uid="{00000000-0002-0000-1000-000005000000}">
      <formula1>Wau_svc_name</formula1>
    </dataValidation>
    <dataValidation type="list" allowBlank="1" showInputMessage="1" showErrorMessage="1" sqref="U4:U155" xr:uid="{00000000-0002-0000-1000-000006000000}">
      <formula1>"0,1,2,3"</formula1>
    </dataValidation>
    <dataValidation type="list" allowBlank="1" showInputMessage="1" showErrorMessage="1" sqref="Q4:Q155" xr:uid="{00000000-0002-0000-1000-000007000000}">
      <formula1>"Global Mirrored / Mapped to DR Servers, Global Mirrored / Not Mapped to DR Servers, Not Global Mirrored / Mapped to DR Servers"</formula1>
    </dataValidation>
    <dataValidation type="list" allowBlank="1" showInputMessage="1" showErrorMessage="1" sqref="A4:A17" xr:uid="{00000000-0002-0000-1000-000008000000}">
      <formula1>List_StorageAssets</formula1>
    </dataValidation>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14441" r:id="rId4">
          <objectPr defaultSize="0" r:id="rId5">
            <anchor moveWithCells="1">
              <from>
                <xdr:col>106</xdr:col>
                <xdr:colOff>0</xdr:colOff>
                <xdr:row>0</xdr:row>
                <xdr:rowOff>0</xdr:rowOff>
              </from>
              <to>
                <xdr:col>123</xdr:col>
                <xdr:colOff>66675</xdr:colOff>
                <xdr:row>4</xdr:row>
                <xdr:rowOff>0</xdr:rowOff>
              </to>
            </anchor>
          </objectPr>
        </oleObject>
      </mc:Choice>
      <mc:Fallback>
        <oleObject progId="Word.Document.12" shapeId="14441" r:id="rId4"/>
      </mc:Fallback>
    </mc:AlternateContent>
  </oleObjects>
  <mc:AlternateContent xmlns:mc="http://schemas.openxmlformats.org/markup-compatibility/2006">
    <mc:Choice Requires="x14">
      <controls>
        <mc:AlternateContent xmlns:mc="http://schemas.openxmlformats.org/markup-compatibility/2006">
          <mc:Choice Requires="x14">
            <control shapeId="14437" r:id="rId6" name="Button 101">
              <controlPr defaultSize="0" print="0" autoFill="0" autoPict="0" macro="[0]!SplitK">
                <anchor moveWithCells="1" sizeWithCells="1">
                  <from>
                    <xdr:col>10</xdr:col>
                    <xdr:colOff>28575</xdr:colOff>
                    <xdr:row>1</xdr:row>
                    <xdr:rowOff>104775</xdr:rowOff>
                  </from>
                  <to>
                    <xdr:col>11</xdr:col>
                    <xdr:colOff>19050</xdr:colOff>
                    <xdr:row>1</xdr:row>
                    <xdr:rowOff>447675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theme="3" tint="0.79998168889431442"/>
  </sheetPr>
  <dimension ref="A1:AC40"/>
  <sheetViews>
    <sheetView showGridLines="0" zoomScaleNormal="100" workbookViewId="0">
      <selection activeCell="A3" sqref="A3:A6"/>
    </sheetView>
  </sheetViews>
  <sheetFormatPr defaultRowHeight="12.75"/>
  <cols>
    <col min="1" max="1" width="21.5703125" customWidth="1"/>
    <col min="2" max="2" width="15.7109375" style="118" customWidth="1"/>
    <col min="3" max="3" width="29.7109375" style="118" customWidth="1"/>
    <col min="4" max="4" width="13.28515625" style="118" customWidth="1"/>
    <col min="5" max="5" width="30.42578125" style="118" bestFit="1" customWidth="1"/>
    <col min="6" max="6" width="18.5703125" bestFit="1" customWidth="1"/>
    <col min="7" max="7" width="8" style="3" hidden="1" customWidth="1"/>
    <col min="8" max="8" width="17.85546875" customWidth="1"/>
    <col min="9" max="9" width="11.7109375" bestFit="1" customWidth="1"/>
    <col min="10" max="10" width="42.5703125" bestFit="1" customWidth="1"/>
    <col min="11" max="11" width="19" customWidth="1"/>
    <col min="12" max="12" width="18.85546875" bestFit="1" customWidth="1"/>
    <col min="14" max="14" width="9.85546875" bestFit="1" customWidth="1"/>
    <col min="15" max="15" width="12.42578125" customWidth="1"/>
    <col min="17" max="17" width="12.5703125" customWidth="1"/>
    <col min="18" max="18" width="63.28515625" customWidth="1"/>
    <col min="19" max="19" width="12" customWidth="1"/>
    <col min="20" max="20" width="11.85546875" customWidth="1"/>
    <col min="21" max="22" width="11.85546875" style="931" customWidth="1"/>
    <col min="23" max="23" width="12.28515625" style="115" customWidth="1"/>
    <col min="24" max="24" width="10.7109375" hidden="1" customWidth="1"/>
    <col min="25" max="25" width="36.5703125" hidden="1" customWidth="1"/>
    <col min="26" max="26" width="17.7109375" hidden="1" customWidth="1"/>
    <col min="27" max="28" width="14.7109375" hidden="1" customWidth="1"/>
    <col min="29" max="29" width="13.85546875" customWidth="1"/>
    <col min="30" max="30" width="9.140625" customWidth="1"/>
  </cols>
  <sheetData>
    <row r="1" spans="1:29" ht="45" customHeight="1" thickBot="1">
      <c r="A1" s="140"/>
      <c r="B1" s="1921"/>
      <c r="C1" s="130" t="str">
        <f>IF(TSM="YES","REQUIRED",IF(TSM="NO","This Tab is Not Required","Undetermined"))</f>
        <v>REQUIRED</v>
      </c>
      <c r="D1" s="1837"/>
      <c r="E1" s="141"/>
      <c r="F1" s="142" t="str">
        <f>'Project Details'!$C$8 &amp;" - Backup Requirements"</f>
        <v>Linux Infrastructure Management - Backup Requirements</v>
      </c>
      <c r="G1" s="143"/>
      <c r="H1" s="143"/>
      <c r="I1" s="143"/>
      <c r="J1" s="143"/>
      <c r="K1" s="143"/>
      <c r="L1" s="143"/>
      <c r="M1" s="143"/>
      <c r="N1" s="143"/>
      <c r="O1" s="143"/>
      <c r="P1" s="143"/>
      <c r="Q1" s="144" t="str">
        <f>F1</f>
        <v>Linux Infrastructure Management - Backup Requirements</v>
      </c>
      <c r="R1" s="143"/>
      <c r="S1" s="143"/>
      <c r="T1" s="143"/>
      <c r="U1" s="143"/>
      <c r="V1" s="143"/>
      <c r="W1" s="141"/>
      <c r="X1" s="143"/>
      <c r="Y1" s="3837" t="e">
        <f>IF(dr_Level&lt;&gt;"",
       IF(COUNTIF('Distributed Assets'!C6:C21,"Prod 2.0")&gt;0,"DR Tier:  "&amp; dr_Level &amp; "   " &amp; dr_level_summary,"LBoM does not contain Prod Environment"),
  "")</f>
        <v>#N/A</v>
      </c>
      <c r="Z1" s="3838" t="str">
        <f>IF('Project Details'!$C$23&lt;&gt;"","DR Tier:  "&amp;
'Project Details'!$C$23,"")</f>
        <v>DR Tier:  l</v>
      </c>
      <c r="AA1" s="3838" t="str">
        <f>IF('Project Details'!$C$23&lt;&gt;"","DR Tier:  "&amp;
'Project Details'!$C$23,"")</f>
        <v>DR Tier:  l</v>
      </c>
      <c r="AB1" s="3839" t="str">
        <f>IF('Project Details'!$C$23&lt;&gt;"","DR Tier:  "&amp;
'Project Details'!$C$23,"")</f>
        <v>DR Tier:  l</v>
      </c>
      <c r="AC1" s="145"/>
    </row>
    <row r="2" spans="1:29" ht="84.75" customHeight="1">
      <c r="A2" s="755" t="s">
        <v>2395</v>
      </c>
      <c r="B2" s="310" t="s">
        <v>422</v>
      </c>
      <c r="C2" s="304" t="s">
        <v>45</v>
      </c>
      <c r="D2" s="304" t="s">
        <v>227</v>
      </c>
      <c r="E2" s="304" t="s">
        <v>4474</v>
      </c>
      <c r="F2" s="304" t="s">
        <v>11</v>
      </c>
      <c r="G2" s="1746"/>
      <c r="H2" s="1946" t="s">
        <v>3621</v>
      </c>
      <c r="I2" s="1946" t="s">
        <v>321</v>
      </c>
      <c r="J2" s="310" t="s">
        <v>3916</v>
      </c>
      <c r="K2" s="310" t="s">
        <v>226</v>
      </c>
      <c r="L2" s="310" t="s">
        <v>322</v>
      </c>
      <c r="M2" s="310" t="s">
        <v>380</v>
      </c>
      <c r="N2" s="310" t="s">
        <v>1721</v>
      </c>
      <c r="O2" s="310" t="s">
        <v>233</v>
      </c>
      <c r="P2" s="310" t="s">
        <v>363</v>
      </c>
      <c r="Q2" s="310" t="s">
        <v>365</v>
      </c>
      <c r="R2" s="310" t="s">
        <v>366</v>
      </c>
      <c r="S2" s="1947" t="s">
        <v>323</v>
      </c>
      <c r="T2" s="1756" t="s">
        <v>3554</v>
      </c>
      <c r="U2" s="1756" t="s">
        <v>3518</v>
      </c>
      <c r="V2" s="1756" t="s">
        <v>3622</v>
      </c>
      <c r="W2" s="1754" t="s">
        <v>1043</v>
      </c>
      <c r="X2" s="310"/>
      <c r="Y2" s="347" t="s">
        <v>1459</v>
      </c>
      <c r="Z2" s="343" t="s">
        <v>1452</v>
      </c>
      <c r="AA2" s="1948" t="s">
        <v>2978</v>
      </c>
      <c r="AB2" s="1948" t="s">
        <v>1458</v>
      </c>
      <c r="AC2" s="311" t="s">
        <v>58</v>
      </c>
    </row>
    <row r="3" spans="1:29">
      <c r="A3" s="312" t="s">
        <v>5617</v>
      </c>
      <c r="B3" s="2016" t="str">
        <f t="shared" ref="B3:B40" si="0">IF($AC3&lt;&gt;"",IF(VLOOKUP($AC3,dist_assets,28,FALSE)&lt;&gt;"",VLOOKUP($AC3,dist_assets,28,FALSE),"N/A"),"")</f>
        <v>dchislmgt02</v>
      </c>
      <c r="C3" s="5" t="str">
        <f>IF($A3&lt;&gt;"",
    IF(IFERROR(SEARCH(".",VLOOKUP($A3,IP!$A$4:$N$153,11,FALSE)),0)&gt;1,
                LEFT(VLOOKUP($A3,IP!$A$4:$N$153,11,FALSE),SEARCH(".",VLOOKUP($A3,IP!$A$4:$N$153,11,FALSE))-1),
                   VLOOKUP($A3,IP!$A$4:$N$153,11,FALSE)),"")</f>
        <v>dwauslmgt01</v>
      </c>
      <c r="D3" s="5" t="str">
        <f>IF(A3&lt;&gt;"",VLOOKUP(A3,IP!$A$4:N$167,14,FALSE),"")</f>
        <v>10.130.3.119</v>
      </c>
      <c r="E3" s="5" t="str">
        <f t="shared" ref="E3:E40" si="1">IF(AC3&lt;&gt;"",VLOOKUP(AC3,dist_assets,22,FALSE),"")</f>
        <v>RHEL 7.9</v>
      </c>
      <c r="F3" s="13" t="str">
        <f>IF(AC3&lt;&gt;"",VLOOKUP(VLOOKUP(AC3,dist_assets,2,FALSE),'Distributed Assets'!$C$7:$F$22,4,FALSE),"")</f>
        <v>DEV</v>
      </c>
      <c r="G3" s="18"/>
      <c r="H3" s="13" t="str">
        <f t="shared" ref="H3:H40" si="2">IF(AC3&lt;&gt;"",VLOOKUP(AC3,dist_assets,8,FALSE),"")</f>
        <v>Process - 1</v>
      </c>
      <c r="I3" s="13">
        <f>IF(AC3&lt;&gt;"",VLOOKUP(AC3,'Open Systems'!$A$4:$T$66,7,FALSE),"")</f>
        <v>0</v>
      </c>
      <c r="J3" s="2566" t="str">
        <f t="shared" ref="J3:J40" si="3">IF($A3&lt;&gt;"",
          IF(RIGHT($F3,5)&lt;&gt;"(ITC)",
                IF(LEFT($E3,3)="AIX","AIX TSM version 7.1",
               IF(OR(LEFT($E3,4)="RHEL", LEFT($E3,4)="SLES"), "Linux TSM Client Version 7.1",
                  IF(AND(RIGHT($E3,13)="2016 Standard", VLOOKUP($AC3,dist_assets,24,FALSE)="MSSQL 2017"), "Windows TSM Client 8.1.8",
                            IF(OR(RIGHT($E3,13)="2016 Standard", RIGHT($E3,16)="2012 R2 Standard"), "Windows TSM Client 8.1.7", )))),"Commvault"),"")</f>
        <v>Linux TSM Client Version 7.1</v>
      </c>
      <c r="K3" s="1666" t="str">
        <f>IF(E3&lt;&gt;"",
IF(LEFT($E3, 7)="Windows","Windows Admins",
IF(OR(LEFT($E3,4)="SLES",LEFT($E3,3)="AIX",LEFT($E3,4)="RHEL"),"ECS-Open Systems",
IF($E3="Appliance","ITG Network Services",
""))),"")</f>
        <v>ECS-Open Systems</v>
      </c>
      <c r="L3" s="2801" t="str">
        <f>IF(A3&lt;&gt;"",IF(AND(LEFT($E3,7)="Windows",F3="Test 2.0"),"adhcsctst.net",IF(AND(LEFT($E3,7)="Windows",F3="Alt Prod"),"adhcscalt.net", IF(AND(LEFT($E3,7)="Windows",F3="Prod 2.0"),"adhcscint.net", IF(AND(LEFT($E3,7)="Windows",F3="DEV"),"adhcscdev.net", "N/A"))))," ")</f>
        <v>N/A</v>
      </c>
      <c r="M3" s="120"/>
      <c r="N3" s="1743" t="str">
        <f t="shared" ref="N3:N40" si="4">IF($AC3&lt;&gt;"",VLOOKUP(VLOOKUP($AC3,dist_assets,5,FALSE),location_table,2,FALSE),"")</f>
        <v>wau</v>
      </c>
      <c r="O3" s="2008" t="str">
        <f t="shared" ref="O3:O40" si="5">IF($A3&lt;&gt;"",
     IF(AND(VLOOKUP($AC3,dist_assets,3, FALSE) ="New", LEFT(VLOOKUP($AC3,dist_assets,24,FALSE),5)="MSSQL", RIGHT($F3,5)="(ITC)"),"SQL Agent",
         IF(AND(VLOOKUP($AC3,dist_assets,3, FALSE) ="New", LEFT(VLOOKUP($AC3,dist_assets,24,FALSE),5)="MSSQL"),"litespeed",
               IF(AND(VLOOKUP($AC3,dist_assets,3, FALSE) ="New", LEFT(VLOOKUP($AC3,dist_assets,24,FALSE),3)="DB2"),"db2",""))),"")</f>
        <v/>
      </c>
      <c r="P3" s="1666" t="str">
        <f>IF($O3&lt;&gt;"",IF($O3="litespeed","C:\",""),"")</f>
        <v/>
      </c>
      <c r="Q3" s="2"/>
      <c r="R3" s="1847" t="str">
        <f>IF($A3&lt;&gt;"",
IF(AND(LEFT(VLOOKUP($AC3,dist_assets,24,FALSE),5)="MSSQL", RIGHT($F3,5)="(ITC)"), ITC_Excludes,
IF(LEFT(VLOOKUP($AC3,dist_assets,24,FALSE),16)="EDH - MSSQL 2017",EDH_Excludes,
IF(LEFT(VLOOKUP($AC3,dist_assets,24,FALSE),10)="MSSQL 2017",SQL_2017_VM_Excludes,
IF(LEFT(VLOOKUP($AC3,dist_assets,24,FALSE),10)="MSSQL 2016",SQL_2016_VM_Excludes,
IF(LEFT(VLOOKUP($AC3,dist_assets,24,FALSE),10)="MSSQL 2014",SQL_2014_VM_Excludes,
IF(LEFT(VLOOKUP($AC3,dist_assets,24,FALSE),10)="MSSQL 2012",SQL_2012_VM_Excludes,
IF(LEFT(VLOOKUP($AC3,dist_assets,24,FALSE),3)="DB2",DB2_Excludes, "No Excludes"))))))),"")</f>
        <v>No Excludes</v>
      </c>
      <c r="S3" s="1753"/>
      <c r="T3" s="107" t="e">
        <f>IF($A3&lt;&gt;"",
       VLOOKUP($A3,'Database (All)'!$A$7:$AD$103,22,FALSE),"")</f>
        <v>#N/A</v>
      </c>
      <c r="U3" s="107" t="e">
        <f>IF($A3&lt;&gt;"",
       VLOOKUP($A3,'Database (All)'!$A$7:$AD$103,23,FALSE),"")</f>
        <v>#N/A</v>
      </c>
      <c r="V3" s="107" t="e">
        <f>IF($A3&lt;&gt;"",
       VLOOKUP($A3,'Database (All)'!$A$7:$AD$103,24,FALSE),"")</f>
        <v>#N/A</v>
      </c>
      <c r="W3" s="1755" t="str">
        <f t="shared" ref="W3:W40" si="6">IF($A3&lt;&gt;"",
       IF($E3="AIX","Yes",""),"")</f>
        <v/>
      </c>
      <c r="X3" s="72" t="str">
        <f>IF($A3&lt;&gt;"","Yes","")</f>
        <v>Yes</v>
      </c>
      <c r="Y3" s="837" t="str">
        <f>IF(AND(F3="Prod 2.0",'Project Details'!$C$23&lt;5,OR($E3="AIX", $E3="Solaris")),
LEFT(#REF!,8) &amp; " - " &amp; VLOOKUP(#REF!,'BOM FUNCTIONS'!$BY$12:$CF$19,8,FALSE),"")</f>
        <v/>
      </c>
      <c r="Z3" s="837" t="str">
        <f>IF(AND($F3="Prod 2.0",dr_Level&lt;5,OR($E3="AIX",$E3="Solaris")),#REF!,"")</f>
        <v/>
      </c>
      <c r="AA3" s="835" t="str">
        <f t="shared" ref="AA3:AA40" si="7">IF(AND($F3="Prod 2.0",$A3&lt;&gt;""),
       IF(AND(dr_Level&gt;0,dr_Level&lt;5),"Pool A","Pool B"
       ),"")</f>
        <v/>
      </c>
      <c r="AB3" s="835" t="str">
        <f t="shared" ref="AB3:AB40" si="8">IF(AND($F3="Prod 2.0",$A3&lt;&gt;""),
     IF(AND(VLOOKUP($AC3,dist_assets,35,FALSE)&gt;2000,$W3&lt;&gt;"Yes"),"Yes","No"),
   "")</f>
        <v/>
      </c>
      <c r="AC3" s="75" t="str">
        <f>IF(A3&lt;&gt;"",VLOOKUP(A3,IP!$A$4:I$153,2,FALSE),"")</f>
        <v>20213598-001</v>
      </c>
    </row>
    <row r="4" spans="1:29">
      <c r="A4" s="312" t="s">
        <v>5618</v>
      </c>
      <c r="B4" s="2016" t="str">
        <f t="shared" si="0"/>
        <v>N/A</v>
      </c>
      <c r="C4" s="5" t="str">
        <f>IF($A4&lt;&gt;"",
    IF(IFERROR(SEARCH(".",VLOOKUP($A4,IP!$A$4:$N$153,11,FALSE)),0)&gt;1,
                LEFT(VLOOKUP($A4,IP!$A$4:$N$153,11,FALSE),SEARCH(".",VLOOKUP($A4,IP!$A$4:$N$153,11,FALSE))-1),
                   VLOOKUP($A4,IP!$A$4:$N$153,11,FALSE)),"")</f>
        <v>twauslmgt01</v>
      </c>
      <c r="D4" s="5" t="str">
        <f>IF(A4&lt;&gt;"",VLOOKUP(A4,IP!$A$4:N$167,14,FALSE),"")</f>
        <v>10.134.129.199</v>
      </c>
      <c r="E4" s="2801" t="str">
        <f t="shared" si="1"/>
        <v>RHEL 7.9</v>
      </c>
      <c r="F4" s="434" t="str">
        <f>IF(AC4&lt;&gt;"",VLOOKUP(VLOOKUP(AC4,dist_assets,2,FALSE),'Distributed Assets'!$C$7:$F$22,4,FALSE),"")</f>
        <v>Test 2.0</v>
      </c>
      <c r="G4" s="18"/>
      <c r="H4" s="13" t="str">
        <f t="shared" si="2"/>
        <v>Process - 1</v>
      </c>
      <c r="I4" s="13">
        <f>IF(AC4&lt;&gt;"",VLOOKUP(AC4,'Open Systems'!$A$4:$T$66,7,FALSE),"")</f>
        <v>0</v>
      </c>
      <c r="J4" s="2566" t="str">
        <f t="shared" si="3"/>
        <v>Linux TSM Client Version 7.1</v>
      </c>
      <c r="K4" s="1666" t="str">
        <f t="shared" ref="K4:K40" si="9">IF(E4&lt;&gt;"",
IF(LEFT($E4, 7)="Windows","Windows Admins",
IF(OR(LEFT($E4,4)="SLES",LEFT($E4,3)="AIX",LEFT($E4,4)="RHEL"),"ECS-Open Systems",
IF($E4="Appliance","ITG Network Services",
""))),"")</f>
        <v>ECS-Open Systems</v>
      </c>
      <c r="L4" s="2801" t="str">
        <f t="shared" ref="L4:L40" si="10">IF(A4&lt;&gt;"",IF(AND(LEFT($E4,7)="Windows",F4="Test 2.0"),"adhcsctst.net",IF(AND(LEFT($E4,7)="Windows",F4="Alt Prod"),"adhcscalt.net", IF(AND(LEFT($E4,7)="Windows",F4="Prod 2.0"),"adhcscint.net", IF(AND(LEFT($E4,7)="Windows",F4="DEV"),"adhcscdev.net", "N/A"))))," ")</f>
        <v>N/A</v>
      </c>
      <c r="M4" s="120"/>
      <c r="N4" s="1743" t="str">
        <f t="shared" si="4"/>
        <v>wau</v>
      </c>
      <c r="O4" s="2008" t="str">
        <f t="shared" si="5"/>
        <v/>
      </c>
      <c r="P4" s="1666" t="str">
        <f t="shared" ref="P4:P40" si="11">IF($O4&lt;&gt;"",IF($O4="litespeed","C:\",""),"")</f>
        <v/>
      </c>
      <c r="Q4" s="2"/>
      <c r="R4" s="1847" t="str">
        <f>IF($A4&lt;&gt;"",
IF(AND(LEFT(VLOOKUP($AC4,dist_assets,24,FALSE),5)="MSSQL", RIGHT($F4,5)="(ITC)"), ITC_Excludes,
IF(LEFT(VLOOKUP($AC4,dist_assets,24,FALSE),16)="EDH - MSSQL 2017",EDH_Excludes,
IF(LEFT(VLOOKUP($AC4,dist_assets,24,FALSE),10)="MSSQL 2017",SQL_2017_VM_Excludes,
IF(LEFT(VLOOKUP($AC4,dist_assets,24,FALSE),10)="MSSQL 2016",SQL_2016_VM_Excludes,
IF(LEFT(VLOOKUP($AC4,dist_assets,24,FALSE),10)="MSSQL 2014",SQL_2014_VM_Excludes,
IF(LEFT(VLOOKUP($AC4,dist_assets,24,FALSE),10)="MSSQL 2012",SQL_2012_VM_Excludes,
IF(LEFT(VLOOKUP($AC4,dist_assets,24,FALSE),3)="DB2",DB2_Excludes, "No Excludes"))))))),"")</f>
        <v>No Excludes</v>
      </c>
      <c r="S4" s="1753"/>
      <c r="T4" s="107" t="e">
        <f>IF($A4&lt;&gt;"",
       VLOOKUP($A4,'Database (All)'!$A$7:$AD$103,22,FALSE),"")</f>
        <v>#N/A</v>
      </c>
      <c r="U4" s="107" t="e">
        <f>IF($A4&lt;&gt;"",
       VLOOKUP($A4,'Database (All)'!$A$7:$AD$103,23,FALSE),"")</f>
        <v>#N/A</v>
      </c>
      <c r="V4" s="107" t="e">
        <f>IF($A4&lt;&gt;"",
       VLOOKUP($A4,'Database (All)'!$A$7:$AD$103,24,FALSE),"")</f>
        <v>#N/A</v>
      </c>
      <c r="W4" s="1755" t="str">
        <f t="shared" si="6"/>
        <v/>
      </c>
      <c r="X4" s="72" t="str">
        <f t="shared" ref="X4:X40" si="12">IF($A4&lt;&gt;"","Yes","")</f>
        <v>Yes</v>
      </c>
      <c r="Y4" s="837" t="str">
        <f>IF(AND(F4="Prod 2.0",'Project Details'!$C$23&lt;5,OR($E4="AIX", $E4="Solaris")),
LEFT(#REF!,8) &amp; " - " &amp; VLOOKUP(#REF!,'BOM FUNCTIONS'!$BY$12:$CF$19,8,FALSE),"")</f>
        <v/>
      </c>
      <c r="Z4" s="837" t="str">
        <f>IF(AND($F4="Prod 2.0",dr_Level&lt;5,OR($E4="AIX",$E4="Solaris")),#REF!,"")</f>
        <v/>
      </c>
      <c r="AA4" s="835" t="str">
        <f t="shared" si="7"/>
        <v/>
      </c>
      <c r="AB4" s="835" t="str">
        <f t="shared" si="8"/>
        <v/>
      </c>
      <c r="AC4" s="75" t="str">
        <f>IF(A4&lt;&gt;"",VLOOKUP(A4,IP!$A$4:I$153,2,FALSE),"")</f>
        <v>20213598-002</v>
      </c>
    </row>
    <row r="5" spans="1:29">
      <c r="A5" s="312" t="s">
        <v>5619</v>
      </c>
      <c r="B5" s="2016" t="str">
        <f t="shared" si="0"/>
        <v>N/A</v>
      </c>
      <c r="C5" s="5" t="str">
        <f>IF($A5&lt;&gt;"",
    IF(IFERROR(SEARCH(".",VLOOKUP($A5,IP!$A$4:$N$153,11,FALSE)),0)&gt;1,
                LEFT(VLOOKUP($A5,IP!$A$4:$N$153,11,FALSE),SEARCH(".",VLOOKUP($A5,IP!$A$4:$N$153,11,FALSE))-1),
                   VLOOKUP($A5,IP!$A$4:$N$153,11,FALSE)),"")</f>
        <v>awauslmgt01</v>
      </c>
      <c r="D5" s="5" t="str">
        <f>IF(A5&lt;&gt;"",VLOOKUP(A5,IP!$A$4:N$167,14,FALSE),"")</f>
        <v>10.137.52.39</v>
      </c>
      <c r="E5" s="2801" t="str">
        <f t="shared" si="1"/>
        <v>RHEL 7.9</v>
      </c>
      <c r="F5" s="434" t="str">
        <f>IF(AC5&lt;&gt;"",VLOOKUP(VLOOKUP(AC5,dist_assets,2,FALSE),'Distributed Assets'!$C$7:$F$22,4,FALSE),"")</f>
        <v>ALT Prod</v>
      </c>
      <c r="G5" s="18"/>
      <c r="H5" s="13" t="str">
        <f t="shared" si="2"/>
        <v>Process - 1</v>
      </c>
      <c r="I5" s="13">
        <f>IF(AC5&lt;&gt;"",VLOOKUP(AC5,'Open Systems'!$A$4:$T$66,7,FALSE),"")</f>
        <v>0</v>
      </c>
      <c r="J5" s="2566" t="str">
        <f t="shared" si="3"/>
        <v>Linux TSM Client Version 7.1</v>
      </c>
      <c r="K5" s="1666" t="str">
        <f t="shared" si="9"/>
        <v>ECS-Open Systems</v>
      </c>
      <c r="L5" s="2801" t="str">
        <f t="shared" si="10"/>
        <v>N/A</v>
      </c>
      <c r="M5" s="120"/>
      <c r="N5" s="1743" t="str">
        <f t="shared" si="4"/>
        <v>wau</v>
      </c>
      <c r="O5" s="2008" t="str">
        <f t="shared" si="5"/>
        <v/>
      </c>
      <c r="P5" s="1666" t="str">
        <f t="shared" si="11"/>
        <v/>
      </c>
      <c r="Q5" s="2"/>
      <c r="R5" s="1847" t="str">
        <f>IF($A5&lt;&gt;"",
IF(AND(LEFT(VLOOKUP($AC5,dist_assets,24,FALSE),5)="MSSQL", RIGHT($F5,5)="(ITC)"), ITC_Excludes,
IF(LEFT(VLOOKUP($AC5,dist_assets,24,FALSE),16)="EDH - MSSQL 2017",EDH_Excludes,
IF(LEFT(VLOOKUP($AC5,dist_assets,24,FALSE),10)="MSSQL 2017",SQL_2017_VM_Excludes,
IF(LEFT(VLOOKUP($AC5,dist_assets,24,FALSE),10)="MSSQL 2016",SQL_2016_VM_Excludes,
IF(LEFT(VLOOKUP($AC5,dist_assets,24,FALSE),10)="MSSQL 2014",SQL_2014_VM_Excludes,
IF(LEFT(VLOOKUP($AC5,dist_assets,24,FALSE),10)="MSSQL 2012",SQL_2012_VM_Excludes,
IF(LEFT(VLOOKUP($AC5,dist_assets,24,FALSE),3)="DB2",DB2_Excludes, "No Excludes"))))))),"")</f>
        <v>No Excludes</v>
      </c>
      <c r="S5" s="1753"/>
      <c r="T5" s="107" t="e">
        <f>IF($A5&lt;&gt;"",
       VLOOKUP($A5,'Database (All)'!$A$7:$AD$103,22,FALSE),"")</f>
        <v>#N/A</v>
      </c>
      <c r="U5" s="107" t="e">
        <f>IF($A5&lt;&gt;"",
       VLOOKUP($A5,'Database (All)'!$A$7:$AD$103,23,FALSE),"")</f>
        <v>#N/A</v>
      </c>
      <c r="V5" s="107" t="e">
        <f>IF($A5&lt;&gt;"",
       VLOOKUP($A5,'Database (All)'!$A$7:$AD$103,24,FALSE),"")</f>
        <v>#N/A</v>
      </c>
      <c r="W5" s="1755" t="str">
        <f t="shared" si="6"/>
        <v/>
      </c>
      <c r="X5" s="72" t="str">
        <f t="shared" si="12"/>
        <v>Yes</v>
      </c>
      <c r="Y5" s="837" t="str">
        <f>IF(AND(F5="Prod 2.0",'Project Details'!$C$23&lt;5,OR($E5="AIX", $E5="Solaris")),
LEFT(#REF!,8) &amp; " - " &amp; VLOOKUP(#REF!,'BOM FUNCTIONS'!$BY$12:$CF$19,8,FALSE),"")</f>
        <v/>
      </c>
      <c r="Z5" s="837" t="str">
        <f>IF(AND($F5="Prod 2.0",dr_Level&lt;5,OR($E5="AIX",$E5="Solaris")),#REF!,"")</f>
        <v/>
      </c>
      <c r="AA5" s="835" t="str">
        <f t="shared" si="7"/>
        <v/>
      </c>
      <c r="AB5" s="835" t="str">
        <f t="shared" si="8"/>
        <v/>
      </c>
      <c r="AC5" s="75" t="str">
        <f>IF(A5&lt;&gt;"",VLOOKUP(A5,IP!$A$4:I$153,2,FALSE),"")</f>
        <v>20213598-003</v>
      </c>
    </row>
    <row r="6" spans="1:29" ht="25.5">
      <c r="A6" s="312" t="s">
        <v>5620</v>
      </c>
      <c r="B6" s="2016" t="str">
        <f t="shared" si="0"/>
        <v>pwauslrhmgt01
pwauslosmgt01</v>
      </c>
      <c r="C6" s="5" t="str">
        <f>IF($A6&lt;&gt;"",
    IF(IFERROR(SEARCH(".",VLOOKUP($A6,IP!$A$4:$N$153,11,FALSE)),0)&gt;1,
                LEFT(VLOOKUP($A6,IP!$A$4:$N$153,11,FALSE),SEARCH(".",VLOOKUP($A6,IP!$A$4:$N$153,11,FALSE))-1),
                   VLOOKUP($A6,IP!$A$4:$N$153,11,FALSE)),"")</f>
        <v>pwauslmgt01</v>
      </c>
      <c r="D6" s="5" t="str">
        <f>IF(A6&lt;&gt;"",VLOOKUP(A6,IP!$A$4:N$167,14,FALSE),"")</f>
        <v>10.136.137.123</v>
      </c>
      <c r="E6" s="2801" t="str">
        <f t="shared" si="1"/>
        <v>RHEL 7.9</v>
      </c>
      <c r="F6" s="434" t="str">
        <f>IF(AC6&lt;&gt;"",VLOOKUP(VLOOKUP(AC6,dist_assets,2,FALSE),'Distributed Assets'!$C$7:$F$22,4,FALSE),"")</f>
        <v>Prod 2.0</v>
      </c>
      <c r="G6" s="18"/>
      <c r="H6" s="13" t="str">
        <f t="shared" si="2"/>
        <v>Process - 3</v>
      </c>
      <c r="I6" s="13">
        <f>IF(AC6&lt;&gt;"",VLOOKUP(AC6,'Open Systems'!$A$4:$T$66,7,FALSE),"")</f>
        <v>0</v>
      </c>
      <c r="J6" s="2566" t="str">
        <f t="shared" si="3"/>
        <v>Linux TSM Client Version 7.1</v>
      </c>
      <c r="K6" s="1666" t="str">
        <f t="shared" si="9"/>
        <v>ECS-Open Systems</v>
      </c>
      <c r="L6" s="2801" t="str">
        <f t="shared" si="10"/>
        <v>N/A</v>
      </c>
      <c r="M6" s="120"/>
      <c r="N6" s="1743" t="str">
        <f t="shared" si="4"/>
        <v>wau</v>
      </c>
      <c r="O6" s="2008" t="str">
        <f t="shared" si="5"/>
        <v/>
      </c>
      <c r="P6" s="1666" t="str">
        <f t="shared" si="11"/>
        <v/>
      </c>
      <c r="Q6" s="2"/>
      <c r="R6" s="1847" t="str">
        <f>IF($A6&lt;&gt;"",
IF(AND(LEFT(VLOOKUP($AC6,dist_assets,24,FALSE),5)="MSSQL", RIGHT($F6,5)="(ITC)"), ITC_Excludes,
IF(LEFT(VLOOKUP($AC6,dist_assets,24,FALSE),16)="EDH - MSSQL 2017",EDH_Excludes,
IF(LEFT(VLOOKUP($AC6,dist_assets,24,FALSE),10)="MSSQL 2017",SQL_2017_VM_Excludes,
IF(LEFT(VLOOKUP($AC6,dist_assets,24,FALSE),10)="MSSQL 2016",SQL_2016_VM_Excludes,
IF(LEFT(VLOOKUP($AC6,dist_assets,24,FALSE),10)="MSSQL 2014",SQL_2014_VM_Excludes,
IF(LEFT(VLOOKUP($AC6,dist_assets,24,FALSE),10)="MSSQL 2012",SQL_2012_VM_Excludes,
IF(LEFT(VLOOKUP($AC6,dist_assets,24,FALSE),3)="DB2",DB2_Excludes, "No Excludes"))))))),"")</f>
        <v>No Excludes</v>
      </c>
      <c r="S6" s="1753"/>
      <c r="T6" s="107" t="e">
        <f>IF($A6&lt;&gt;"",
       VLOOKUP($A6,'Database (All)'!$A$7:$AD$103,22,FALSE),"")</f>
        <v>#N/A</v>
      </c>
      <c r="U6" s="107" t="e">
        <f>IF($A6&lt;&gt;"",
       VLOOKUP($A6,'Database (All)'!$A$7:$AD$103,23,FALSE),"")</f>
        <v>#N/A</v>
      </c>
      <c r="V6" s="107" t="e">
        <f>IF($A6&lt;&gt;"",
       VLOOKUP($A6,'Database (All)'!$A$7:$AD$103,24,FALSE),"")</f>
        <v>#N/A</v>
      </c>
      <c r="W6" s="1755" t="str">
        <f t="shared" si="6"/>
        <v/>
      </c>
      <c r="X6" s="72" t="str">
        <f t="shared" si="12"/>
        <v>Yes</v>
      </c>
      <c r="Y6" s="837" t="str">
        <f>IF(AND(F6="Prod 2.0",'Project Details'!$C$23&lt;5,OR($E6="AIX", $E6="Solaris")),
LEFT(#REF!,8) &amp; " - " &amp; VLOOKUP(#REF!,'BOM FUNCTIONS'!$BY$12:$CF$19,8,FALSE),"")</f>
        <v/>
      </c>
      <c r="Z6" s="837" t="str">
        <f>IF(AND($F6="Prod 2.0",dr_Level&lt;5,OR($E6="AIX",$E6="Solaris")),#REF!,"")</f>
        <v/>
      </c>
      <c r="AA6" s="835" t="str">
        <f t="shared" si="7"/>
        <v>Pool B</v>
      </c>
      <c r="AB6" s="835" t="str">
        <f t="shared" si="8"/>
        <v>No</v>
      </c>
      <c r="AC6" s="75" t="str">
        <f>IF(A6&lt;&gt;"",VLOOKUP(A6,IP!$A$4:I$153,2,FALSE),"")</f>
        <v>20213598-004</v>
      </c>
    </row>
    <row r="7" spans="1:29">
      <c r="A7" s="312"/>
      <c r="B7" s="2016" t="str">
        <f t="shared" si="0"/>
        <v/>
      </c>
      <c r="C7" s="5" t="str">
        <f>IF($A7&lt;&gt;"",
    IF(IFERROR(SEARCH(".",VLOOKUP($A7,IP!$A$4:$N$153,11,FALSE)),0)&gt;1,
                LEFT(VLOOKUP($A7,IP!$A$4:$N$153,11,FALSE),SEARCH(".",VLOOKUP($A7,IP!$A$4:$N$153,11,FALSE))-1),
                   VLOOKUP($A7,IP!$A$4:$N$153,11,FALSE)),"")</f>
        <v/>
      </c>
      <c r="D7" s="5" t="str">
        <f>IF(A7&lt;&gt;"",VLOOKUP(A7,IP!$A$4:N$167,14,FALSE),"")</f>
        <v/>
      </c>
      <c r="E7" s="2801" t="str">
        <f t="shared" si="1"/>
        <v/>
      </c>
      <c r="F7" s="434" t="str">
        <f>IF(AC7&lt;&gt;"",VLOOKUP(VLOOKUP(AC7,dist_assets,2,FALSE),'Distributed Assets'!$C$7:$F$22,4,FALSE),"")</f>
        <v/>
      </c>
      <c r="G7" s="18"/>
      <c r="H7" s="13" t="str">
        <f t="shared" si="2"/>
        <v/>
      </c>
      <c r="I7" s="13" t="str">
        <f>IF(AC7&lt;&gt;"",VLOOKUP(AC7,'Open Systems'!$A$4:$T$66,7,FALSE),"")</f>
        <v/>
      </c>
      <c r="J7" s="2566" t="str">
        <f t="shared" si="3"/>
        <v/>
      </c>
      <c r="K7" s="1666" t="str">
        <f t="shared" si="9"/>
        <v/>
      </c>
      <c r="L7" s="2801" t="str">
        <f t="shared" si="10"/>
        <v xml:space="preserve"> </v>
      </c>
      <c r="M7" s="120"/>
      <c r="N7" s="1743" t="str">
        <f t="shared" si="4"/>
        <v/>
      </c>
      <c r="O7" s="2008" t="str">
        <f t="shared" si="5"/>
        <v/>
      </c>
      <c r="P7" s="1666" t="str">
        <f t="shared" si="11"/>
        <v/>
      </c>
      <c r="Q7" s="2"/>
      <c r="R7" s="1847" t="str">
        <f>IF($A7&lt;&gt;"",
IF(AND(LEFT(VLOOKUP($AC7,dist_assets,24,FALSE),5)="MSSQL", RIGHT($F7,5)="(ITC)"), ITC_Excludes,
IF(LEFT(VLOOKUP($AC7,dist_assets,24,FALSE),16)="EDH - MSSQL 2017",EDH_Excludes,
IF(LEFT(VLOOKUP($AC7,dist_assets,24,FALSE),10)="MSSQL 2017",SQL_2017_VM_Excludes,
IF(LEFT(VLOOKUP($AC7,dist_assets,24,FALSE),10)="MSSQL 2016",SQL_2016_VM_Excludes,
IF(LEFT(VLOOKUP($AC7,dist_assets,24,FALSE),10)="MSSQL 2014",SQL_2014_VM_Excludes,
IF(LEFT(VLOOKUP($AC7,dist_assets,24,FALSE),10)="MSSQL 2012",SQL_2012_VM_Excludes,
IF(LEFT(VLOOKUP($AC7,dist_assets,24,FALSE),3)="DB2",DB2_Excludes, "No Excludes"))))))),"")</f>
        <v/>
      </c>
      <c r="S7" s="1753"/>
      <c r="T7" s="107" t="str">
        <f>IF($A7&lt;&gt;"",
       VLOOKUP($A7,'Database (All)'!$A$7:$AD$103,22,FALSE),"")</f>
        <v/>
      </c>
      <c r="U7" s="107" t="str">
        <f>IF($A7&lt;&gt;"",
       VLOOKUP($A7,'Database (All)'!$A$7:$AD$103,23,FALSE),"")</f>
        <v/>
      </c>
      <c r="V7" s="107" t="str">
        <f>IF($A7&lt;&gt;"",
       VLOOKUP($A7,'Database (All)'!$A$7:$AD$103,24,FALSE),"")</f>
        <v/>
      </c>
      <c r="W7" s="1755" t="str">
        <f t="shared" si="6"/>
        <v/>
      </c>
      <c r="X7" s="72" t="str">
        <f t="shared" si="12"/>
        <v/>
      </c>
      <c r="Y7" s="837" t="str">
        <f>IF(AND(F7="Prod 2.0",'Project Details'!$C$23&lt;5,OR($E7="AIX", $E7="Solaris")),
LEFT(#REF!,8) &amp; " - " &amp; VLOOKUP(#REF!,'BOM FUNCTIONS'!$BY$12:$CF$19,8,FALSE),"")</f>
        <v/>
      </c>
      <c r="Z7" s="837" t="str">
        <f>IF(AND($F7="Prod 2.0",dr_Level&lt;5,OR($E7="AIX",$E7="Solaris")),#REF!,"")</f>
        <v/>
      </c>
      <c r="AA7" s="835" t="str">
        <f t="shared" si="7"/>
        <v/>
      </c>
      <c r="AB7" s="835" t="str">
        <f t="shared" si="8"/>
        <v/>
      </c>
      <c r="AC7" s="75" t="str">
        <f>IF(A7&lt;&gt;"",VLOOKUP(A7,IP!$A$4:I$153,2,FALSE),"")</f>
        <v/>
      </c>
    </row>
    <row r="8" spans="1:29">
      <c r="A8" s="312"/>
      <c r="B8" s="2016" t="str">
        <f t="shared" si="0"/>
        <v/>
      </c>
      <c r="C8" s="5" t="str">
        <f>IF($A8&lt;&gt;"",
    IF(IFERROR(SEARCH(".",VLOOKUP($A8,IP!$A$4:$N$153,11,FALSE)),0)&gt;1,
                LEFT(VLOOKUP($A8,IP!$A$4:$N$153,11,FALSE),SEARCH(".",VLOOKUP($A8,IP!$A$4:$N$153,11,FALSE))-1),
                   VLOOKUP($A8,IP!$A$4:$N$153,11,FALSE)),"")</f>
        <v/>
      </c>
      <c r="D8" s="5" t="str">
        <f>IF(A8&lt;&gt;"",VLOOKUP(A8,IP!$A$4:N$167,14,FALSE),"")</f>
        <v/>
      </c>
      <c r="E8" s="2801" t="str">
        <f t="shared" si="1"/>
        <v/>
      </c>
      <c r="F8" s="434" t="str">
        <f>IF(AC8&lt;&gt;"",VLOOKUP(VLOOKUP(AC8,dist_assets,2,FALSE),'Distributed Assets'!$C$7:$F$22,4,FALSE),"")</f>
        <v/>
      </c>
      <c r="G8" s="18"/>
      <c r="H8" s="13" t="str">
        <f t="shared" si="2"/>
        <v/>
      </c>
      <c r="I8" s="13" t="str">
        <f>IF(AC8&lt;&gt;"",VLOOKUP(AC8,'Open Systems'!$A$4:$T$66,7,FALSE),"")</f>
        <v/>
      </c>
      <c r="J8" s="2566" t="str">
        <f t="shared" si="3"/>
        <v/>
      </c>
      <c r="K8" s="1666" t="str">
        <f t="shared" si="9"/>
        <v/>
      </c>
      <c r="L8" s="2801" t="str">
        <f t="shared" si="10"/>
        <v xml:space="preserve"> </v>
      </c>
      <c r="M8" s="120"/>
      <c r="N8" s="1743" t="str">
        <f t="shared" si="4"/>
        <v/>
      </c>
      <c r="O8" s="2008" t="str">
        <f t="shared" si="5"/>
        <v/>
      </c>
      <c r="P8" s="1666" t="str">
        <f t="shared" si="11"/>
        <v/>
      </c>
      <c r="Q8" s="2"/>
      <c r="R8" s="1847" t="str">
        <f>IF($A8&lt;&gt;"",
IF(AND(LEFT(VLOOKUP($AC8,dist_assets,24,FALSE),5)="MSSQL", RIGHT($F8,5)="(ITC)"), ITC_Excludes,
IF(LEFT(VLOOKUP($AC8,dist_assets,24,FALSE),16)="EDH - MSSQL 2017",EDH_Excludes,
IF(LEFT(VLOOKUP($AC8,dist_assets,24,FALSE),10)="MSSQL 2017",SQL_2017_VM_Excludes,
IF(LEFT(VLOOKUP($AC8,dist_assets,24,FALSE),10)="MSSQL 2016",SQL_2016_VM_Excludes,
IF(LEFT(VLOOKUP($AC8,dist_assets,24,FALSE),10)="MSSQL 2014",SQL_2014_VM_Excludes,
IF(LEFT(VLOOKUP($AC8,dist_assets,24,FALSE),10)="MSSQL 2012",SQL_2012_VM_Excludes,
IF(LEFT(VLOOKUP($AC8,dist_assets,24,FALSE),3)="DB2",DB2_Excludes, "No Excludes"))))))),"")</f>
        <v/>
      </c>
      <c r="S8" s="1753"/>
      <c r="T8" s="107" t="str">
        <f>IF($A8&lt;&gt;"",
       VLOOKUP($A8,'Database (All)'!$A$7:$AD$103,22,FALSE),"")</f>
        <v/>
      </c>
      <c r="U8" s="107" t="str">
        <f>IF($A8&lt;&gt;"",
       VLOOKUP($A8,'Database (All)'!$A$7:$AD$103,23,FALSE),"")</f>
        <v/>
      </c>
      <c r="V8" s="107" t="str">
        <f>IF($A8&lt;&gt;"",
       VLOOKUP($A8,'Database (All)'!$A$7:$AD$103,24,FALSE),"")</f>
        <v/>
      </c>
      <c r="W8" s="1755" t="str">
        <f t="shared" si="6"/>
        <v/>
      </c>
      <c r="X8" s="72" t="str">
        <f t="shared" si="12"/>
        <v/>
      </c>
      <c r="Y8" s="837" t="str">
        <f>IF(AND(F8="Prod 2.0",'Project Details'!$C$23&lt;5,OR($E8="AIX", $E8="Solaris")),
LEFT(#REF!,8) &amp; " - " &amp; VLOOKUP(#REF!,'BOM FUNCTIONS'!$BY$12:$CF$19,8,FALSE),"")</f>
        <v/>
      </c>
      <c r="Z8" s="837" t="str">
        <f>IF(AND($F8="Prod 2.0",dr_Level&lt;5,OR($E8="AIX",$E8="Solaris")),#REF!,"")</f>
        <v/>
      </c>
      <c r="AA8" s="835" t="str">
        <f t="shared" si="7"/>
        <v/>
      </c>
      <c r="AB8" s="835" t="str">
        <f t="shared" si="8"/>
        <v/>
      </c>
      <c r="AC8" s="75" t="str">
        <f>IF(A8&lt;&gt;"",VLOOKUP(A8,IP!$A$4:I$153,2,FALSE),"")</f>
        <v/>
      </c>
    </row>
    <row r="9" spans="1:29">
      <c r="A9" s="312"/>
      <c r="B9" s="2016" t="str">
        <f t="shared" si="0"/>
        <v/>
      </c>
      <c r="C9" s="5" t="str">
        <f>IF($A9&lt;&gt;"",
    IF(IFERROR(SEARCH(".",VLOOKUP($A9,IP!$A$4:$N$153,11,FALSE)),0)&gt;1,
                LEFT(VLOOKUP($A9,IP!$A$4:$N$153,11,FALSE),SEARCH(".",VLOOKUP($A9,IP!$A$4:$N$153,11,FALSE))-1),
                   VLOOKUP($A9,IP!$A$4:$N$153,11,FALSE)),"")</f>
        <v/>
      </c>
      <c r="D9" s="5" t="str">
        <f>IF(A9&lt;&gt;"",VLOOKUP(A9,IP!$A$4:N$167,14,FALSE),"")</f>
        <v/>
      </c>
      <c r="E9" s="2801" t="str">
        <f t="shared" si="1"/>
        <v/>
      </c>
      <c r="F9" s="434" t="str">
        <f>IF(AC9&lt;&gt;"",VLOOKUP(VLOOKUP(AC9,dist_assets,2,FALSE),'Distributed Assets'!$C$7:$F$22,4,FALSE),"")</f>
        <v/>
      </c>
      <c r="G9" s="18"/>
      <c r="H9" s="13" t="str">
        <f t="shared" si="2"/>
        <v/>
      </c>
      <c r="I9" s="13" t="str">
        <f>IF(AC9&lt;&gt;"",VLOOKUP(AC9,'Open Systems'!$A$4:$T$66,7,FALSE),"")</f>
        <v/>
      </c>
      <c r="J9" s="2566" t="str">
        <f t="shared" si="3"/>
        <v/>
      </c>
      <c r="K9" s="1666" t="str">
        <f t="shared" si="9"/>
        <v/>
      </c>
      <c r="L9" s="2801" t="str">
        <f t="shared" si="10"/>
        <v xml:space="preserve"> </v>
      </c>
      <c r="M9" s="120"/>
      <c r="N9" s="1743" t="str">
        <f t="shared" si="4"/>
        <v/>
      </c>
      <c r="O9" s="2008" t="str">
        <f t="shared" si="5"/>
        <v/>
      </c>
      <c r="P9" s="1666" t="str">
        <f t="shared" si="11"/>
        <v/>
      </c>
      <c r="Q9" s="2"/>
      <c r="R9" s="1847" t="str">
        <f>IF($A9&lt;&gt;"",
IF(AND(LEFT(VLOOKUP($AC9,dist_assets,24,FALSE),5)="MSSQL", RIGHT($F9,5)="(ITC)"), ITC_Excludes,
IF(LEFT(VLOOKUP($AC9,dist_assets,24,FALSE),16)="EDH - MSSQL 2017",EDH_Excludes,
IF(LEFT(VLOOKUP($AC9,dist_assets,24,FALSE),10)="MSSQL 2017",SQL_2017_VM_Excludes,
IF(LEFT(VLOOKUP($AC9,dist_assets,24,FALSE),10)="MSSQL 2016",SQL_2016_VM_Excludes,
IF(LEFT(VLOOKUP($AC9,dist_assets,24,FALSE),10)="MSSQL 2014",SQL_2014_VM_Excludes,
IF(LEFT(VLOOKUP($AC9,dist_assets,24,FALSE),10)="MSSQL 2012",SQL_2012_VM_Excludes,
IF(LEFT(VLOOKUP($AC9,dist_assets,24,FALSE),3)="DB2",DB2_Excludes, "No Excludes"))))))),"")</f>
        <v/>
      </c>
      <c r="S9" s="1753"/>
      <c r="T9" s="107" t="str">
        <f>IF($A9&lt;&gt;"",
       VLOOKUP($A9,'Database (All)'!$A$7:$AD$103,22,FALSE),"")</f>
        <v/>
      </c>
      <c r="U9" s="107" t="str">
        <f>IF($A9&lt;&gt;"",
       VLOOKUP($A9,'Database (All)'!$A$7:$AD$103,23,FALSE),"")</f>
        <v/>
      </c>
      <c r="V9" s="107" t="str">
        <f>IF($A9&lt;&gt;"",
       VLOOKUP($A9,'Database (All)'!$A$7:$AD$103,24,FALSE),"")</f>
        <v/>
      </c>
      <c r="W9" s="1755" t="str">
        <f t="shared" si="6"/>
        <v/>
      </c>
      <c r="X9" s="72" t="str">
        <f t="shared" si="12"/>
        <v/>
      </c>
      <c r="Y9" s="837" t="str">
        <f>IF(AND(F9="Prod 2.0",'Project Details'!$C$23&lt;5,OR($E9="AIX", $E9="Solaris")),
LEFT(#REF!,8) &amp; " - " &amp; VLOOKUP(#REF!,'BOM FUNCTIONS'!$BY$12:$CF$19,8,FALSE),"")</f>
        <v/>
      </c>
      <c r="Z9" s="837" t="str">
        <f>IF(AND($F9="Prod 2.0",dr_Level&lt;5,OR($E9="AIX",$E9="Solaris")),#REF!,"")</f>
        <v/>
      </c>
      <c r="AA9" s="835" t="str">
        <f t="shared" si="7"/>
        <v/>
      </c>
      <c r="AB9" s="835" t="str">
        <f t="shared" si="8"/>
        <v/>
      </c>
      <c r="AC9" s="75" t="str">
        <f>IF(A9&lt;&gt;"",VLOOKUP(A9,IP!$A$4:I$153,2,FALSE),"")</f>
        <v/>
      </c>
    </row>
    <row r="10" spans="1:29">
      <c r="A10" s="312"/>
      <c r="B10" s="2016" t="str">
        <f t="shared" si="0"/>
        <v/>
      </c>
      <c r="C10" s="5" t="str">
        <f>IF($A10&lt;&gt;"",
    IF(IFERROR(SEARCH(".",VLOOKUP($A10,IP!$A$4:$N$153,11,FALSE)),0)&gt;1,
                LEFT(VLOOKUP($A10,IP!$A$4:$N$153,11,FALSE),SEARCH(".",VLOOKUP($A10,IP!$A$4:$N$153,11,FALSE))-1),
                   VLOOKUP($A10,IP!$A$4:$N$153,11,FALSE)),"")</f>
        <v/>
      </c>
      <c r="D10" s="5" t="str">
        <f>IF(A10&lt;&gt;"",VLOOKUP(A10,IP!$A$4:N$167,14,FALSE),"")</f>
        <v/>
      </c>
      <c r="E10" s="2801" t="str">
        <f t="shared" si="1"/>
        <v/>
      </c>
      <c r="F10" s="434" t="str">
        <f>IF(AC10&lt;&gt;"",VLOOKUP(VLOOKUP(AC10,dist_assets,2,FALSE),'Distributed Assets'!$C$7:$F$22,4,FALSE),"")</f>
        <v/>
      </c>
      <c r="G10" s="18"/>
      <c r="H10" s="13" t="str">
        <f t="shared" si="2"/>
        <v/>
      </c>
      <c r="I10" s="13" t="str">
        <f>IF(AC10&lt;&gt;"",VLOOKUP(AC10,'Open Systems'!$A$4:$T$66,7,FALSE),"")</f>
        <v/>
      </c>
      <c r="J10" s="2566" t="str">
        <f t="shared" si="3"/>
        <v/>
      </c>
      <c r="K10" s="1666" t="str">
        <f t="shared" si="9"/>
        <v/>
      </c>
      <c r="L10" s="2801" t="str">
        <f t="shared" si="10"/>
        <v xml:space="preserve"> </v>
      </c>
      <c r="M10" s="120"/>
      <c r="N10" s="1743" t="str">
        <f t="shared" si="4"/>
        <v/>
      </c>
      <c r="O10" s="2008" t="str">
        <f t="shared" si="5"/>
        <v/>
      </c>
      <c r="P10" s="1666" t="str">
        <f t="shared" si="11"/>
        <v/>
      </c>
      <c r="Q10" s="2"/>
      <c r="R10" s="1847" t="str">
        <f>IF($A10&lt;&gt;"",
IF(AND(LEFT(VLOOKUP($AC10,dist_assets,24,FALSE),5)="MSSQL", RIGHT($F10,5)="(ITC)"), ITC_Excludes,
IF(LEFT(VLOOKUP($AC10,dist_assets,24,FALSE),16)="EDH - MSSQL 2017",EDH_Excludes,
IF(LEFT(VLOOKUP($AC10,dist_assets,24,FALSE),10)="MSSQL 2017",SQL_2017_VM_Excludes,
IF(LEFT(VLOOKUP($AC10,dist_assets,24,FALSE),10)="MSSQL 2016",SQL_2016_VM_Excludes,
IF(LEFT(VLOOKUP($AC10,dist_assets,24,FALSE),10)="MSSQL 2014",SQL_2014_VM_Excludes,
IF(LEFT(VLOOKUP($AC10,dist_assets,24,FALSE),10)="MSSQL 2012",SQL_2012_VM_Excludes,
IF(LEFT(VLOOKUP($AC10,dist_assets,24,FALSE),3)="DB2",DB2_Excludes, "No Excludes"))))))),"")</f>
        <v/>
      </c>
      <c r="S10" s="1753"/>
      <c r="T10" s="107" t="str">
        <f>IF($A10&lt;&gt;"",
       VLOOKUP($A10,'Database (All)'!$A$7:$AD$103,22,FALSE),"")</f>
        <v/>
      </c>
      <c r="U10" s="107" t="str">
        <f>IF($A10&lt;&gt;"",
       VLOOKUP($A10,'Database (All)'!$A$7:$AD$103,23,FALSE),"")</f>
        <v/>
      </c>
      <c r="V10" s="107" t="str">
        <f>IF($A10&lt;&gt;"",
       VLOOKUP($A10,'Database (All)'!$A$7:$AD$103,24,FALSE),"")</f>
        <v/>
      </c>
      <c r="W10" s="1755" t="str">
        <f t="shared" si="6"/>
        <v/>
      </c>
      <c r="X10" s="72" t="str">
        <f t="shared" si="12"/>
        <v/>
      </c>
      <c r="Y10" s="837" t="str">
        <f>IF(AND(F10="Prod 2.0",'Project Details'!$C$23&lt;5,OR($E10="AIX", $E10="Solaris")),
LEFT(#REF!,8) &amp; " - " &amp; VLOOKUP(#REF!,'BOM FUNCTIONS'!$BY$12:$CF$19,8,FALSE),"")</f>
        <v/>
      </c>
      <c r="Z10" s="837" t="str">
        <f>IF(AND($F10="Prod 2.0",dr_Level&lt;5,OR($E10="AIX",$E10="Solaris")),#REF!,"")</f>
        <v/>
      </c>
      <c r="AA10" s="835" t="str">
        <f t="shared" si="7"/>
        <v/>
      </c>
      <c r="AB10" s="835" t="str">
        <f t="shared" si="8"/>
        <v/>
      </c>
      <c r="AC10" s="75" t="str">
        <f>IF(A10&lt;&gt;"",VLOOKUP(A10,IP!$A$4:I$153,2,FALSE),"")</f>
        <v/>
      </c>
    </row>
    <row r="11" spans="1:29">
      <c r="A11" s="312"/>
      <c r="B11" s="2016" t="str">
        <f t="shared" si="0"/>
        <v/>
      </c>
      <c r="C11" s="5" t="str">
        <f>IF($A11&lt;&gt;"",
    IF(IFERROR(SEARCH(".",VLOOKUP($A11,IP!$A$4:$N$153,11,FALSE)),0)&gt;1,
                LEFT(VLOOKUP($A11,IP!$A$4:$N$153,11,FALSE),SEARCH(".",VLOOKUP($A11,IP!$A$4:$N$153,11,FALSE))-1),
                   VLOOKUP($A11,IP!$A$4:$N$153,11,FALSE)),"")</f>
        <v/>
      </c>
      <c r="D11" s="5" t="str">
        <f>IF(A11&lt;&gt;"",VLOOKUP(A11,IP!$A$4:N$167,14,FALSE),"")</f>
        <v/>
      </c>
      <c r="E11" s="2801" t="str">
        <f t="shared" si="1"/>
        <v/>
      </c>
      <c r="F11" s="434" t="str">
        <f>IF(AC11&lt;&gt;"",VLOOKUP(VLOOKUP(AC11,dist_assets,2,FALSE),'Distributed Assets'!$C$7:$F$22,4,FALSE),"")</f>
        <v/>
      </c>
      <c r="G11" s="18"/>
      <c r="H11" s="13" t="str">
        <f t="shared" si="2"/>
        <v/>
      </c>
      <c r="I11" s="13" t="str">
        <f>IF(AC11&lt;&gt;"",VLOOKUP(AC11,'Open Systems'!$A$4:$T$66,7,FALSE),"")</f>
        <v/>
      </c>
      <c r="J11" s="2566" t="str">
        <f t="shared" si="3"/>
        <v/>
      </c>
      <c r="K11" s="1666" t="str">
        <f t="shared" si="9"/>
        <v/>
      </c>
      <c r="L11" s="2801" t="str">
        <f t="shared" si="10"/>
        <v xml:space="preserve"> </v>
      </c>
      <c r="M11" s="120"/>
      <c r="N11" s="1743" t="str">
        <f t="shared" si="4"/>
        <v/>
      </c>
      <c r="O11" s="2008" t="str">
        <f t="shared" si="5"/>
        <v/>
      </c>
      <c r="P11" s="1666" t="str">
        <f t="shared" si="11"/>
        <v/>
      </c>
      <c r="Q11" s="2"/>
      <c r="R11" s="1847" t="str">
        <f>IF($A11&lt;&gt;"",
IF(AND(LEFT(VLOOKUP($AC11,dist_assets,24,FALSE),5)="MSSQL", RIGHT($F11,5)="(ITC)"), ITC_Excludes,
IF(LEFT(VLOOKUP($AC11,dist_assets,24,FALSE),16)="EDH - MSSQL 2017",EDH_Excludes,
IF(LEFT(VLOOKUP($AC11,dist_assets,24,FALSE),10)="MSSQL 2017",SQL_2017_VM_Excludes,
IF(LEFT(VLOOKUP($AC11,dist_assets,24,FALSE),10)="MSSQL 2016",SQL_2016_VM_Excludes,
IF(LEFT(VLOOKUP($AC11,dist_assets,24,FALSE),10)="MSSQL 2014",SQL_2014_VM_Excludes,
IF(LEFT(VLOOKUP($AC11,dist_assets,24,FALSE),10)="MSSQL 2012",SQL_2012_VM_Excludes,
IF(LEFT(VLOOKUP($AC11,dist_assets,24,FALSE),3)="DB2",DB2_Excludes, "No Excludes"))))))),"")</f>
        <v/>
      </c>
      <c r="S11" s="1753"/>
      <c r="T11" s="107" t="str">
        <f>IF($A11&lt;&gt;"",
       VLOOKUP($A11,'Database (All)'!$A$7:$AD$103,22,FALSE),"")</f>
        <v/>
      </c>
      <c r="U11" s="107" t="str">
        <f>IF($A11&lt;&gt;"",
       VLOOKUP($A11,'Database (All)'!$A$7:$AD$103,23,FALSE),"")</f>
        <v/>
      </c>
      <c r="V11" s="107" t="str">
        <f>IF($A11&lt;&gt;"",
       VLOOKUP($A11,'Database (All)'!$A$7:$AD$103,24,FALSE),"")</f>
        <v/>
      </c>
      <c r="W11" s="1755" t="str">
        <f t="shared" si="6"/>
        <v/>
      </c>
      <c r="X11" s="72" t="str">
        <f t="shared" si="12"/>
        <v/>
      </c>
      <c r="Y11" s="837" t="str">
        <f>IF(AND(F11="Prod 2.0",'Project Details'!$C$23&lt;5,OR($E11="AIX", $E11="Solaris")),
LEFT(#REF!,8) &amp; " - " &amp; VLOOKUP(#REF!,'BOM FUNCTIONS'!$BY$12:$CF$19,8,FALSE),"")</f>
        <v/>
      </c>
      <c r="Z11" s="837" t="str">
        <f>IF(AND($F11="Prod 2.0",dr_Level&lt;5,OR($E11="AIX",$E11="Solaris")),#REF!,"")</f>
        <v/>
      </c>
      <c r="AA11" s="835" t="str">
        <f t="shared" si="7"/>
        <v/>
      </c>
      <c r="AB11" s="835" t="str">
        <f t="shared" si="8"/>
        <v/>
      </c>
      <c r="AC11" s="75" t="str">
        <f>IF(A11&lt;&gt;"",VLOOKUP(A11,IP!$A$4:I$153,2,FALSE),"")</f>
        <v/>
      </c>
    </row>
    <row r="12" spans="1:29">
      <c r="A12" s="312"/>
      <c r="B12" s="2016" t="str">
        <f t="shared" si="0"/>
        <v/>
      </c>
      <c r="C12" s="5" t="str">
        <f>IF($A12&lt;&gt;"",
    IF(IFERROR(SEARCH(".",VLOOKUP($A12,IP!$A$4:$N$153,11,FALSE)),0)&gt;1,
                LEFT(VLOOKUP($A12,IP!$A$4:$N$153,11,FALSE),SEARCH(".",VLOOKUP($A12,IP!$A$4:$N$153,11,FALSE))-1),
                   VLOOKUP($A12,IP!$A$4:$N$153,11,FALSE)),"")</f>
        <v/>
      </c>
      <c r="D12" s="5" t="str">
        <f>IF(A12&lt;&gt;"",VLOOKUP(A12,IP!$A$4:N$167,14,FALSE),"")</f>
        <v/>
      </c>
      <c r="E12" s="2801" t="str">
        <f t="shared" si="1"/>
        <v/>
      </c>
      <c r="F12" s="434" t="str">
        <f>IF(AC12&lt;&gt;"",VLOOKUP(VLOOKUP(AC12,dist_assets,2,FALSE),'Distributed Assets'!$C$7:$F$22,4,FALSE),"")</f>
        <v/>
      </c>
      <c r="G12" s="18"/>
      <c r="H12" s="13" t="str">
        <f t="shared" si="2"/>
        <v/>
      </c>
      <c r="I12" s="13" t="str">
        <f>IF(AC12&lt;&gt;"",VLOOKUP(AC12,'Open Systems'!$A$4:$T$66,7,FALSE),"")</f>
        <v/>
      </c>
      <c r="J12" s="2566" t="str">
        <f t="shared" si="3"/>
        <v/>
      </c>
      <c r="K12" s="1666" t="str">
        <f t="shared" si="9"/>
        <v/>
      </c>
      <c r="L12" s="2801" t="str">
        <f t="shared" si="10"/>
        <v xml:space="preserve"> </v>
      </c>
      <c r="M12" s="120"/>
      <c r="N12" s="1743" t="str">
        <f t="shared" si="4"/>
        <v/>
      </c>
      <c r="O12" s="2008" t="str">
        <f t="shared" si="5"/>
        <v/>
      </c>
      <c r="P12" s="1666" t="str">
        <f t="shared" si="11"/>
        <v/>
      </c>
      <c r="Q12" s="2"/>
      <c r="R12" s="1847" t="str">
        <f>IF($A12&lt;&gt;"",
IF(AND(LEFT(VLOOKUP($AC12,dist_assets,24,FALSE),5)="MSSQL", RIGHT($F12,5)="(ITC)"), ITC_Excludes,
IF(LEFT(VLOOKUP($AC12,dist_assets,24,FALSE),16)="EDH - MSSQL 2017",EDH_Excludes,
IF(LEFT(VLOOKUP($AC12,dist_assets,24,FALSE),10)="MSSQL 2017",SQL_2017_VM_Excludes,
IF(LEFT(VLOOKUP($AC12,dist_assets,24,FALSE),10)="MSSQL 2016",SQL_2016_VM_Excludes,
IF(LEFT(VLOOKUP($AC12,dist_assets,24,FALSE),10)="MSSQL 2014",SQL_2014_VM_Excludes,
IF(LEFT(VLOOKUP($AC12,dist_assets,24,FALSE),10)="MSSQL 2012",SQL_2012_VM_Excludes,
IF(LEFT(VLOOKUP($AC12,dist_assets,24,FALSE),3)="DB2",DB2_Excludes, "No Excludes"))))))),"")</f>
        <v/>
      </c>
      <c r="S12" s="1753"/>
      <c r="T12" s="107" t="str">
        <f>IF($A12&lt;&gt;"",
       VLOOKUP($A12,'Database (All)'!$A$7:$AD$103,22,FALSE),"")</f>
        <v/>
      </c>
      <c r="U12" s="107" t="str">
        <f>IF($A12&lt;&gt;"",
       VLOOKUP($A12,'Database (All)'!$A$7:$AD$103,23,FALSE),"")</f>
        <v/>
      </c>
      <c r="V12" s="107" t="str">
        <f>IF($A12&lt;&gt;"",
       VLOOKUP($A12,'Database (All)'!$A$7:$AD$103,24,FALSE),"")</f>
        <v/>
      </c>
      <c r="W12" s="1755" t="str">
        <f t="shared" si="6"/>
        <v/>
      </c>
      <c r="X12" s="72" t="str">
        <f t="shared" si="12"/>
        <v/>
      </c>
      <c r="Y12" s="837" t="str">
        <f>IF(AND(F12="Prod 2.0",'Project Details'!$C$23&lt;5,OR($E12="AIX", $E12="Solaris")),
LEFT(#REF!,8) &amp; " - " &amp; VLOOKUP(#REF!,'BOM FUNCTIONS'!$BY$12:$CF$19,8,FALSE),"")</f>
        <v/>
      </c>
      <c r="Z12" s="837" t="str">
        <f>IF(AND($F12="Prod 2.0",dr_Level&lt;5,OR($E12="AIX",$E12="Solaris")),#REF!,"")</f>
        <v/>
      </c>
      <c r="AA12" s="835" t="str">
        <f t="shared" si="7"/>
        <v/>
      </c>
      <c r="AB12" s="835" t="str">
        <f t="shared" si="8"/>
        <v/>
      </c>
      <c r="AC12" s="75" t="str">
        <f>IF(A12&lt;&gt;"",VLOOKUP(A12,IP!$A$4:I$153,2,FALSE),"")</f>
        <v/>
      </c>
    </row>
    <row r="13" spans="1:29">
      <c r="A13" s="312"/>
      <c r="B13" s="2016" t="str">
        <f t="shared" si="0"/>
        <v/>
      </c>
      <c r="C13" s="5" t="str">
        <f>IF($A13&lt;&gt;"",
    IF(IFERROR(SEARCH(".",VLOOKUP($A13,IP!$A$4:$N$153,11,FALSE)),0)&gt;1,
                LEFT(VLOOKUP($A13,IP!$A$4:$N$153,11,FALSE),SEARCH(".",VLOOKUP($A13,IP!$A$4:$N$153,11,FALSE))-1),
                   VLOOKUP($A13,IP!$A$4:$N$153,11,FALSE)),"")</f>
        <v/>
      </c>
      <c r="D13" s="5" t="str">
        <f>IF(A13&lt;&gt;"",VLOOKUP(A13,IP!$A$4:N$167,14,FALSE),"")</f>
        <v/>
      </c>
      <c r="E13" s="2801" t="str">
        <f t="shared" si="1"/>
        <v/>
      </c>
      <c r="F13" s="434" t="str">
        <f>IF(AC13&lt;&gt;"",VLOOKUP(VLOOKUP(AC13,dist_assets,2,FALSE),'Distributed Assets'!$C$7:$F$22,4,FALSE),"")</f>
        <v/>
      </c>
      <c r="G13" s="18"/>
      <c r="H13" s="13" t="str">
        <f t="shared" si="2"/>
        <v/>
      </c>
      <c r="I13" s="13" t="str">
        <f>IF(AC13&lt;&gt;"",VLOOKUP(AC13,'Open Systems'!$A$4:$T$66,7,FALSE),"")</f>
        <v/>
      </c>
      <c r="J13" s="2566" t="str">
        <f t="shared" si="3"/>
        <v/>
      </c>
      <c r="K13" s="1666" t="str">
        <f t="shared" si="9"/>
        <v/>
      </c>
      <c r="L13" s="2801" t="str">
        <f t="shared" si="10"/>
        <v xml:space="preserve"> </v>
      </c>
      <c r="M13" s="120"/>
      <c r="N13" s="1743" t="str">
        <f t="shared" si="4"/>
        <v/>
      </c>
      <c r="O13" s="2008" t="str">
        <f t="shared" si="5"/>
        <v/>
      </c>
      <c r="P13" s="1666" t="str">
        <f t="shared" si="11"/>
        <v/>
      </c>
      <c r="Q13" s="2"/>
      <c r="R13" s="1847" t="str">
        <f>IF($A13&lt;&gt;"",
IF(AND(LEFT(VLOOKUP($AC13,dist_assets,24,FALSE),5)="MSSQL", RIGHT($F13,5)="(ITC)"), ITC_Excludes,
IF(LEFT(VLOOKUP($AC13,dist_assets,24,FALSE),16)="EDH - MSSQL 2017",EDH_Excludes,
IF(LEFT(VLOOKUP($AC13,dist_assets,24,FALSE),10)="MSSQL 2017",SQL_2017_VM_Excludes,
IF(LEFT(VLOOKUP($AC13,dist_assets,24,FALSE),10)="MSSQL 2016",SQL_2016_VM_Excludes,
IF(LEFT(VLOOKUP($AC13,dist_assets,24,FALSE),10)="MSSQL 2014",SQL_2014_VM_Excludes,
IF(LEFT(VLOOKUP($AC13,dist_assets,24,FALSE),10)="MSSQL 2012",SQL_2012_VM_Excludes,
IF(LEFT(VLOOKUP($AC13,dist_assets,24,FALSE),3)="DB2",DB2_Excludes, "No Excludes"))))))),"")</f>
        <v/>
      </c>
      <c r="S13" s="1753"/>
      <c r="T13" s="107" t="str">
        <f>IF($A13&lt;&gt;"",
       VLOOKUP($A13,'Database (All)'!$A$7:$AD$103,22,FALSE),"")</f>
        <v/>
      </c>
      <c r="U13" s="107" t="str">
        <f>IF($A13&lt;&gt;"",
       VLOOKUP($A13,'Database (All)'!$A$7:$AD$103,23,FALSE),"")</f>
        <v/>
      </c>
      <c r="V13" s="107" t="str">
        <f>IF($A13&lt;&gt;"",
       VLOOKUP($A13,'Database (All)'!$A$7:$AD$103,24,FALSE),"")</f>
        <v/>
      </c>
      <c r="W13" s="1755" t="str">
        <f t="shared" si="6"/>
        <v/>
      </c>
      <c r="X13" s="72" t="str">
        <f t="shared" si="12"/>
        <v/>
      </c>
      <c r="Y13" s="837" t="str">
        <f>IF(AND(F13="Prod 2.0",'Project Details'!$C$23&lt;5,OR($E13="AIX", $E13="Solaris")),
LEFT(#REF!,8) &amp; " - " &amp; VLOOKUP(#REF!,'BOM FUNCTIONS'!$BY$12:$CF$19,8,FALSE),"")</f>
        <v/>
      </c>
      <c r="Z13" s="837" t="str">
        <f>IF(AND($F13="Prod 2.0",dr_Level&lt;5,OR($E13="AIX",$E13="Solaris")),#REF!,"")</f>
        <v/>
      </c>
      <c r="AA13" s="835" t="str">
        <f t="shared" si="7"/>
        <v/>
      </c>
      <c r="AB13" s="835" t="str">
        <f t="shared" si="8"/>
        <v/>
      </c>
      <c r="AC13" s="75" t="str">
        <f>IF(A13&lt;&gt;"",VLOOKUP(A13,IP!$A$4:I$153,2,FALSE),"")</f>
        <v/>
      </c>
    </row>
    <row r="14" spans="1:29">
      <c r="A14" s="312"/>
      <c r="B14" s="2016" t="str">
        <f t="shared" si="0"/>
        <v/>
      </c>
      <c r="C14" s="5" t="str">
        <f>IF($A14&lt;&gt;"",
    IF(IFERROR(SEARCH(".",VLOOKUP($A14,IP!$A$4:$N$153,11,FALSE)),0)&gt;1,
                LEFT(VLOOKUP($A14,IP!$A$4:$N$153,11,FALSE),SEARCH(".",VLOOKUP($A14,IP!$A$4:$N$153,11,FALSE))-1),
                   VLOOKUP($A14,IP!$A$4:$N$153,11,FALSE)),"")</f>
        <v/>
      </c>
      <c r="D14" s="5" t="str">
        <f>IF(A14&lt;&gt;"",VLOOKUP(A14,IP!$A$4:N$167,14,FALSE),"")</f>
        <v/>
      </c>
      <c r="E14" s="2801" t="str">
        <f t="shared" si="1"/>
        <v/>
      </c>
      <c r="F14" s="434" t="str">
        <f>IF(AC14&lt;&gt;"",VLOOKUP(VLOOKUP(AC14,dist_assets,2,FALSE),'Distributed Assets'!$C$7:$F$22,4,FALSE),"")</f>
        <v/>
      </c>
      <c r="G14" s="18"/>
      <c r="H14" s="13" t="str">
        <f t="shared" si="2"/>
        <v/>
      </c>
      <c r="I14" s="13" t="str">
        <f>IF(AC14&lt;&gt;"",VLOOKUP(AC14,'Open Systems'!$A$4:$T$66,7,FALSE),"")</f>
        <v/>
      </c>
      <c r="J14" s="2566" t="str">
        <f t="shared" si="3"/>
        <v/>
      </c>
      <c r="K14" s="1666" t="str">
        <f t="shared" si="9"/>
        <v/>
      </c>
      <c r="L14" s="2801" t="str">
        <f t="shared" si="10"/>
        <v xml:space="preserve"> </v>
      </c>
      <c r="M14" s="120"/>
      <c r="N14" s="1743" t="str">
        <f t="shared" si="4"/>
        <v/>
      </c>
      <c r="O14" s="2008" t="str">
        <f t="shared" si="5"/>
        <v/>
      </c>
      <c r="P14" s="1666" t="str">
        <f t="shared" si="11"/>
        <v/>
      </c>
      <c r="Q14" s="2"/>
      <c r="R14" s="1847" t="str">
        <f>IF($A14&lt;&gt;"",
IF(AND(LEFT(VLOOKUP($AC14,dist_assets,24,FALSE),5)="MSSQL", RIGHT($F14,5)="(ITC)"), ITC_Excludes,
IF(LEFT(VLOOKUP($AC14,dist_assets,24,FALSE),16)="EDH - MSSQL 2017",EDH_Excludes,
IF(LEFT(VLOOKUP($AC14,dist_assets,24,FALSE),10)="MSSQL 2017",SQL_2017_VM_Excludes,
IF(LEFT(VLOOKUP($AC14,dist_assets,24,FALSE),10)="MSSQL 2016",SQL_2016_VM_Excludes,
IF(LEFT(VLOOKUP($AC14,dist_assets,24,FALSE),10)="MSSQL 2014",SQL_2014_VM_Excludes,
IF(LEFT(VLOOKUP($AC14,dist_assets,24,FALSE),10)="MSSQL 2012",SQL_2012_VM_Excludes,
IF(LEFT(VLOOKUP($AC14,dist_assets,24,FALSE),3)="DB2",DB2_Excludes, "No Excludes"))))))),"")</f>
        <v/>
      </c>
      <c r="S14" s="1753"/>
      <c r="T14" s="107" t="str">
        <f>IF($A14&lt;&gt;"",
       VLOOKUP($A14,'Database (All)'!$A$7:$AD$103,22,FALSE),"")</f>
        <v/>
      </c>
      <c r="U14" s="107" t="str">
        <f>IF($A14&lt;&gt;"",
       VLOOKUP($A14,'Database (All)'!$A$7:$AD$103,23,FALSE),"")</f>
        <v/>
      </c>
      <c r="V14" s="107" t="str">
        <f>IF($A14&lt;&gt;"",
       VLOOKUP($A14,'Database (All)'!$A$7:$AD$103,24,FALSE),"")</f>
        <v/>
      </c>
      <c r="W14" s="1755" t="str">
        <f t="shared" si="6"/>
        <v/>
      </c>
      <c r="X14" s="72" t="str">
        <f t="shared" si="12"/>
        <v/>
      </c>
      <c r="Y14" s="837" t="str">
        <f>IF(AND(F14="Prod 2.0",'Project Details'!$C$23&lt;5,OR($E14="AIX", $E14="Solaris")),
LEFT(#REF!,8) &amp; " - " &amp; VLOOKUP(#REF!,'BOM FUNCTIONS'!$BY$12:$CF$19,8,FALSE),"")</f>
        <v/>
      </c>
      <c r="Z14" s="837" t="str">
        <f>IF(AND($F14="Prod 2.0",dr_Level&lt;5,OR($E14="AIX",$E14="Solaris")),#REF!,"")</f>
        <v/>
      </c>
      <c r="AA14" s="835" t="str">
        <f t="shared" si="7"/>
        <v/>
      </c>
      <c r="AB14" s="835" t="str">
        <f t="shared" si="8"/>
        <v/>
      </c>
      <c r="AC14" s="75" t="str">
        <f>IF(A14&lt;&gt;"",VLOOKUP(A14,IP!$A$4:I$153,2,FALSE),"")</f>
        <v/>
      </c>
    </row>
    <row r="15" spans="1:29">
      <c r="A15" s="312"/>
      <c r="B15" s="2016" t="str">
        <f t="shared" si="0"/>
        <v/>
      </c>
      <c r="C15" s="5" t="str">
        <f>IF($A15&lt;&gt;"",
    IF(IFERROR(SEARCH(".",VLOOKUP($A15,IP!$A$4:$N$153,11,FALSE)),0)&gt;1,
                LEFT(VLOOKUP($A15,IP!$A$4:$N$153,11,FALSE),SEARCH(".",VLOOKUP($A15,IP!$A$4:$N$153,11,FALSE))-1),
                   VLOOKUP($A15,IP!$A$4:$N$153,11,FALSE)),"")</f>
        <v/>
      </c>
      <c r="D15" s="5" t="str">
        <f>IF(A15&lt;&gt;"",VLOOKUP(A15,IP!$A$4:N$167,14,FALSE),"")</f>
        <v/>
      </c>
      <c r="E15" s="2801" t="str">
        <f t="shared" si="1"/>
        <v/>
      </c>
      <c r="F15" s="434" t="str">
        <f>IF(AC15&lt;&gt;"",VLOOKUP(VLOOKUP(AC15,dist_assets,2,FALSE),'Distributed Assets'!$C$7:$F$22,4,FALSE),"")</f>
        <v/>
      </c>
      <c r="G15" s="18"/>
      <c r="H15" s="13" t="str">
        <f t="shared" si="2"/>
        <v/>
      </c>
      <c r="I15" s="13" t="str">
        <f>IF(AC15&lt;&gt;"",VLOOKUP(AC15,'Open Systems'!$A$4:$T$66,7,FALSE),"")</f>
        <v/>
      </c>
      <c r="J15" s="2566" t="str">
        <f t="shared" si="3"/>
        <v/>
      </c>
      <c r="K15" s="1666" t="str">
        <f t="shared" si="9"/>
        <v/>
      </c>
      <c r="L15" s="2801" t="str">
        <f t="shared" si="10"/>
        <v xml:space="preserve"> </v>
      </c>
      <c r="M15" s="120"/>
      <c r="N15" s="1743" t="str">
        <f t="shared" si="4"/>
        <v/>
      </c>
      <c r="O15" s="2008" t="str">
        <f t="shared" si="5"/>
        <v/>
      </c>
      <c r="P15" s="1666" t="str">
        <f t="shared" si="11"/>
        <v/>
      </c>
      <c r="Q15" s="2"/>
      <c r="R15" s="1847" t="str">
        <f>IF($A15&lt;&gt;"",
IF(AND(LEFT(VLOOKUP($AC15,dist_assets,24,FALSE),5)="MSSQL", RIGHT($F15,5)="(ITC)"), ITC_Excludes,
IF(LEFT(VLOOKUP($AC15,dist_assets,24,FALSE),16)="EDH - MSSQL 2017",EDH_Excludes,
IF(LEFT(VLOOKUP($AC15,dist_assets,24,FALSE),10)="MSSQL 2017",SQL_2017_VM_Excludes,
IF(LEFT(VLOOKUP($AC15,dist_assets,24,FALSE),10)="MSSQL 2016",SQL_2016_VM_Excludes,
IF(LEFT(VLOOKUP($AC15,dist_assets,24,FALSE),10)="MSSQL 2014",SQL_2014_VM_Excludes,
IF(LEFT(VLOOKUP($AC15,dist_assets,24,FALSE),10)="MSSQL 2012",SQL_2012_VM_Excludes,
IF(LEFT(VLOOKUP($AC15,dist_assets,24,FALSE),3)="DB2",DB2_Excludes, "No Excludes"))))))),"")</f>
        <v/>
      </c>
      <c r="S15" s="1753"/>
      <c r="T15" s="107" t="str">
        <f>IF($A15&lt;&gt;"",
       VLOOKUP($A15,'Database (All)'!$A$7:$AD$103,22,FALSE),"")</f>
        <v/>
      </c>
      <c r="U15" s="107" t="str">
        <f>IF($A15&lt;&gt;"",
       VLOOKUP($A15,'Database (All)'!$A$7:$AD$103,23,FALSE),"")</f>
        <v/>
      </c>
      <c r="V15" s="107" t="str">
        <f>IF($A15&lt;&gt;"",
       VLOOKUP($A15,'Database (All)'!$A$7:$AD$103,24,FALSE),"")</f>
        <v/>
      </c>
      <c r="W15" s="1755" t="str">
        <f t="shared" si="6"/>
        <v/>
      </c>
      <c r="X15" s="72" t="str">
        <f t="shared" si="12"/>
        <v/>
      </c>
      <c r="Y15" s="837" t="str">
        <f>IF(AND(F15="Prod 2.0",'Project Details'!$C$23&lt;5,OR($E15="AIX", $E15="Solaris")),
LEFT(#REF!,8) &amp; " - " &amp; VLOOKUP(#REF!,'BOM FUNCTIONS'!$BY$12:$CF$19,8,FALSE),"")</f>
        <v/>
      </c>
      <c r="Z15" s="837" t="str">
        <f>IF(AND($F15="Prod 2.0",dr_Level&lt;5,OR($E15="AIX",$E15="Solaris")),#REF!,"")</f>
        <v/>
      </c>
      <c r="AA15" s="835" t="str">
        <f t="shared" si="7"/>
        <v/>
      </c>
      <c r="AB15" s="835" t="str">
        <f t="shared" si="8"/>
        <v/>
      </c>
      <c r="AC15" s="75" t="str">
        <f>IF(A15&lt;&gt;"",VLOOKUP(A15,IP!$A$4:I$153,2,FALSE),"")</f>
        <v/>
      </c>
    </row>
    <row r="16" spans="1:29">
      <c r="A16" s="312"/>
      <c r="B16" s="2016" t="str">
        <f t="shared" si="0"/>
        <v/>
      </c>
      <c r="C16" s="5" t="str">
        <f>IF($A16&lt;&gt;"",
    IF(IFERROR(SEARCH(".",VLOOKUP($A16,IP!$A$4:$N$153,11,FALSE)),0)&gt;1,
                LEFT(VLOOKUP($A16,IP!$A$4:$N$153,11,FALSE),SEARCH(".",VLOOKUP($A16,IP!$A$4:$N$153,11,FALSE))-1),
                   VLOOKUP($A16,IP!$A$4:$N$153,11,FALSE)),"")</f>
        <v/>
      </c>
      <c r="D16" s="5" t="str">
        <f>IF(A16&lt;&gt;"",VLOOKUP(A16,IP!$A$4:N$167,14,FALSE),"")</f>
        <v/>
      </c>
      <c r="E16" s="2801" t="str">
        <f t="shared" si="1"/>
        <v/>
      </c>
      <c r="F16" s="434" t="str">
        <f>IF(AC16&lt;&gt;"",VLOOKUP(VLOOKUP(AC16,dist_assets,2,FALSE),'Distributed Assets'!$C$7:$F$22,4,FALSE),"")</f>
        <v/>
      </c>
      <c r="G16" s="18"/>
      <c r="H16" s="13" t="str">
        <f t="shared" si="2"/>
        <v/>
      </c>
      <c r="I16" s="13" t="str">
        <f>IF(AC16&lt;&gt;"",VLOOKUP(AC16,'Open Systems'!$A$4:$T$66,7,FALSE),"")</f>
        <v/>
      </c>
      <c r="J16" s="2566" t="str">
        <f t="shared" si="3"/>
        <v/>
      </c>
      <c r="K16" s="1666" t="str">
        <f t="shared" si="9"/>
        <v/>
      </c>
      <c r="L16" s="2801" t="str">
        <f t="shared" si="10"/>
        <v xml:space="preserve"> </v>
      </c>
      <c r="M16" s="120"/>
      <c r="N16" s="1743" t="str">
        <f t="shared" si="4"/>
        <v/>
      </c>
      <c r="O16" s="2008" t="str">
        <f t="shared" si="5"/>
        <v/>
      </c>
      <c r="P16" s="1666" t="str">
        <f t="shared" si="11"/>
        <v/>
      </c>
      <c r="Q16" s="2"/>
      <c r="R16" s="1847" t="str">
        <f>IF($A16&lt;&gt;"",
IF(AND(LEFT(VLOOKUP($AC16,dist_assets,24,FALSE),5)="MSSQL", RIGHT($F16,5)="(ITC)"), ITC_Excludes,
IF(LEFT(VLOOKUP($AC16,dist_assets,24,FALSE),16)="EDH - MSSQL 2017",EDH_Excludes,
IF(LEFT(VLOOKUP($AC16,dist_assets,24,FALSE),10)="MSSQL 2017",SQL_2017_VM_Excludes,
IF(LEFT(VLOOKUP($AC16,dist_assets,24,FALSE),10)="MSSQL 2016",SQL_2016_VM_Excludes,
IF(LEFT(VLOOKUP($AC16,dist_assets,24,FALSE),10)="MSSQL 2014",SQL_2014_VM_Excludes,
IF(LEFT(VLOOKUP($AC16,dist_assets,24,FALSE),10)="MSSQL 2012",SQL_2012_VM_Excludes,
IF(LEFT(VLOOKUP($AC16,dist_assets,24,FALSE),3)="DB2",DB2_Excludes, "No Excludes"))))))),"")</f>
        <v/>
      </c>
      <c r="S16" s="1753"/>
      <c r="T16" s="107" t="str">
        <f>IF($A16&lt;&gt;"",
       VLOOKUP($A16,'Database (All)'!$A$7:$AD$103,22,FALSE),"")</f>
        <v/>
      </c>
      <c r="U16" s="107" t="str">
        <f>IF($A16&lt;&gt;"",
       VLOOKUP($A16,'Database (All)'!$A$7:$AD$103,23,FALSE),"")</f>
        <v/>
      </c>
      <c r="V16" s="107" t="str">
        <f>IF($A16&lt;&gt;"",
       VLOOKUP($A16,'Database (All)'!$A$7:$AD$103,24,FALSE),"")</f>
        <v/>
      </c>
      <c r="W16" s="1755" t="str">
        <f t="shared" si="6"/>
        <v/>
      </c>
      <c r="X16" s="72" t="str">
        <f t="shared" si="12"/>
        <v/>
      </c>
      <c r="Y16" s="837" t="str">
        <f>IF(AND(F16="Prod 2.0",'Project Details'!$C$23&lt;5,OR($E16="AIX", $E16="Solaris")),
LEFT(#REF!,8) &amp; " - " &amp; VLOOKUP(#REF!,'BOM FUNCTIONS'!$BY$12:$CF$19,8,FALSE),"")</f>
        <v/>
      </c>
      <c r="Z16" s="837" t="str">
        <f>IF(AND($F16="Prod 2.0",dr_Level&lt;5,OR($E16="AIX",$E16="Solaris")),#REF!,"")</f>
        <v/>
      </c>
      <c r="AA16" s="835" t="str">
        <f t="shared" si="7"/>
        <v/>
      </c>
      <c r="AB16" s="835" t="str">
        <f t="shared" si="8"/>
        <v/>
      </c>
      <c r="AC16" s="75" t="str">
        <f>IF(A16&lt;&gt;"",VLOOKUP(A16,IP!$A$4:I$153,2,FALSE),"")</f>
        <v/>
      </c>
    </row>
    <row r="17" spans="1:29">
      <c r="A17" s="312"/>
      <c r="B17" s="2016" t="str">
        <f t="shared" si="0"/>
        <v/>
      </c>
      <c r="C17" s="5" t="str">
        <f>IF($A17&lt;&gt;"",
    IF(IFERROR(SEARCH(".",VLOOKUP($A17,IP!$A$4:$N$153,11,FALSE)),0)&gt;1,
                LEFT(VLOOKUP($A17,IP!$A$4:$N$153,11,FALSE),SEARCH(".",VLOOKUP($A17,IP!$A$4:$N$153,11,FALSE))-1),
                   VLOOKUP($A17,IP!$A$4:$N$153,11,FALSE)),"")</f>
        <v/>
      </c>
      <c r="D17" s="5" t="str">
        <f>IF(A17&lt;&gt;"",VLOOKUP(A17,IP!$A$4:N$167,14,FALSE),"")</f>
        <v/>
      </c>
      <c r="E17" s="2801" t="str">
        <f t="shared" si="1"/>
        <v/>
      </c>
      <c r="F17" s="434" t="str">
        <f>IF(AC17&lt;&gt;"",VLOOKUP(VLOOKUP(AC17,dist_assets,2,FALSE),'Distributed Assets'!$C$7:$F$22,4,FALSE),"")</f>
        <v/>
      </c>
      <c r="G17" s="18"/>
      <c r="H17" s="13" t="str">
        <f t="shared" si="2"/>
        <v/>
      </c>
      <c r="I17" s="13" t="str">
        <f>IF(AC17&lt;&gt;"",VLOOKUP(AC17,'Open Systems'!$A$4:$T$66,7,FALSE),"")</f>
        <v/>
      </c>
      <c r="J17" s="2566" t="str">
        <f t="shared" si="3"/>
        <v/>
      </c>
      <c r="K17" s="1666" t="str">
        <f t="shared" si="9"/>
        <v/>
      </c>
      <c r="L17" s="2801" t="str">
        <f t="shared" si="10"/>
        <v xml:space="preserve"> </v>
      </c>
      <c r="M17" s="120"/>
      <c r="N17" s="1743" t="str">
        <f t="shared" si="4"/>
        <v/>
      </c>
      <c r="O17" s="2008" t="str">
        <f t="shared" si="5"/>
        <v/>
      </c>
      <c r="P17" s="1666" t="str">
        <f t="shared" si="11"/>
        <v/>
      </c>
      <c r="Q17" s="2"/>
      <c r="R17" s="1847" t="str">
        <f>IF($A17&lt;&gt;"",
IF(AND(LEFT(VLOOKUP($AC17,dist_assets,24,FALSE),5)="MSSQL", RIGHT($F17,5)="(ITC)"), ITC_Excludes,
IF(LEFT(VLOOKUP($AC17,dist_assets,24,FALSE),16)="EDH - MSSQL 2017",EDH_Excludes,
IF(LEFT(VLOOKUP($AC17,dist_assets,24,FALSE),10)="MSSQL 2017",SQL_2017_VM_Excludes,
IF(LEFT(VLOOKUP($AC17,dist_assets,24,FALSE),10)="MSSQL 2016",SQL_2016_VM_Excludes,
IF(LEFT(VLOOKUP($AC17,dist_assets,24,FALSE),10)="MSSQL 2014",SQL_2014_VM_Excludes,
IF(LEFT(VLOOKUP($AC17,dist_assets,24,FALSE),10)="MSSQL 2012",SQL_2012_VM_Excludes,
IF(LEFT(VLOOKUP($AC17,dist_assets,24,FALSE),3)="DB2",DB2_Excludes, "No Excludes"))))))),"")</f>
        <v/>
      </c>
      <c r="S17" s="1753"/>
      <c r="T17" s="107" t="str">
        <f>IF($A17&lt;&gt;"",
       VLOOKUP($A17,'Database (All)'!$A$7:$AD$103,22,FALSE),"")</f>
        <v/>
      </c>
      <c r="U17" s="107" t="str">
        <f>IF($A17&lt;&gt;"",
       VLOOKUP($A17,'Database (All)'!$A$7:$AD$103,23,FALSE),"")</f>
        <v/>
      </c>
      <c r="V17" s="107" t="str">
        <f>IF($A17&lt;&gt;"",
       VLOOKUP($A17,'Database (All)'!$A$7:$AD$103,24,FALSE),"")</f>
        <v/>
      </c>
      <c r="W17" s="1755" t="str">
        <f t="shared" si="6"/>
        <v/>
      </c>
      <c r="X17" s="72" t="str">
        <f t="shared" si="12"/>
        <v/>
      </c>
      <c r="Y17" s="837" t="str">
        <f>IF(AND(F17="Prod 2.0",'Project Details'!$C$23&lt;5,OR($E17="AIX", $E17="Solaris")),
LEFT(#REF!,8) &amp; " - " &amp; VLOOKUP(#REF!,'BOM FUNCTIONS'!$BY$12:$CF$19,8,FALSE),"")</f>
        <v/>
      </c>
      <c r="Z17" s="837" t="str">
        <f>IF(AND($F17="Prod 2.0",dr_Level&lt;5,OR($E17="AIX",$E17="Solaris")),#REF!,"")</f>
        <v/>
      </c>
      <c r="AA17" s="835" t="str">
        <f t="shared" si="7"/>
        <v/>
      </c>
      <c r="AB17" s="835" t="str">
        <f t="shared" si="8"/>
        <v/>
      </c>
      <c r="AC17" s="75" t="str">
        <f>IF(A17&lt;&gt;"",VLOOKUP(A17,IP!$A$4:I$153,2,FALSE),"")</f>
        <v/>
      </c>
    </row>
    <row r="18" spans="1:29">
      <c r="A18" s="312"/>
      <c r="B18" s="2016" t="str">
        <f t="shared" si="0"/>
        <v/>
      </c>
      <c r="C18" s="5" t="str">
        <f>IF($A18&lt;&gt;"",
    IF(IFERROR(SEARCH(".",VLOOKUP($A18,IP!$A$4:$N$153,11,FALSE)),0)&gt;1,
                LEFT(VLOOKUP($A18,IP!$A$4:$N$153,11,FALSE),SEARCH(".",VLOOKUP($A18,IP!$A$4:$N$153,11,FALSE))-1),
                   VLOOKUP($A18,IP!$A$4:$N$153,11,FALSE)),"")</f>
        <v/>
      </c>
      <c r="D18" s="5" t="str">
        <f>IF(A18&lt;&gt;"",VLOOKUP(A18,IP!$A$4:N$167,14,FALSE),"")</f>
        <v/>
      </c>
      <c r="E18" s="2801" t="str">
        <f t="shared" si="1"/>
        <v/>
      </c>
      <c r="F18" s="434" t="str">
        <f>IF(AC18&lt;&gt;"",VLOOKUP(VLOOKUP(AC18,dist_assets,2,FALSE),'Distributed Assets'!$C$7:$F$22,4,FALSE),"")</f>
        <v/>
      </c>
      <c r="G18" s="18"/>
      <c r="H18" s="13" t="str">
        <f t="shared" si="2"/>
        <v/>
      </c>
      <c r="I18" s="13" t="str">
        <f>IF(AC18&lt;&gt;"",VLOOKUP(AC18,'Open Systems'!$A$4:$T$66,7,FALSE),"")</f>
        <v/>
      </c>
      <c r="J18" s="2566" t="str">
        <f t="shared" si="3"/>
        <v/>
      </c>
      <c r="K18" s="1666" t="str">
        <f t="shared" si="9"/>
        <v/>
      </c>
      <c r="L18" s="2801" t="str">
        <f t="shared" si="10"/>
        <v xml:space="preserve"> </v>
      </c>
      <c r="M18" s="120"/>
      <c r="N18" s="1743" t="str">
        <f t="shared" si="4"/>
        <v/>
      </c>
      <c r="O18" s="2008" t="str">
        <f t="shared" si="5"/>
        <v/>
      </c>
      <c r="P18" s="1666" t="str">
        <f t="shared" si="11"/>
        <v/>
      </c>
      <c r="Q18" s="2"/>
      <c r="R18" s="1847" t="str">
        <f>IF($A18&lt;&gt;"",
IF(AND(LEFT(VLOOKUP($AC18,dist_assets,24,FALSE),5)="MSSQL", RIGHT($F18,5)="(ITC)"), ITC_Excludes,
IF(LEFT(VLOOKUP($AC18,dist_assets,24,FALSE),16)="EDH - MSSQL 2017",EDH_Excludes,
IF(LEFT(VLOOKUP($AC18,dist_assets,24,FALSE),10)="MSSQL 2017",SQL_2017_VM_Excludes,
IF(LEFT(VLOOKUP($AC18,dist_assets,24,FALSE),10)="MSSQL 2016",SQL_2016_VM_Excludes,
IF(LEFT(VLOOKUP($AC18,dist_assets,24,FALSE),10)="MSSQL 2014",SQL_2014_VM_Excludes,
IF(LEFT(VLOOKUP($AC18,dist_assets,24,FALSE),10)="MSSQL 2012",SQL_2012_VM_Excludes,
IF(LEFT(VLOOKUP($AC18,dist_assets,24,FALSE),3)="DB2",DB2_Excludes, "No Excludes"))))))),"")</f>
        <v/>
      </c>
      <c r="S18" s="1753"/>
      <c r="T18" s="107" t="str">
        <f>IF($A18&lt;&gt;"",
       VLOOKUP($A18,'Database (All)'!$A$7:$AD$103,22,FALSE),"")</f>
        <v/>
      </c>
      <c r="U18" s="107" t="str">
        <f>IF($A18&lt;&gt;"",
       VLOOKUP($A18,'Database (All)'!$A$7:$AD$103,23,FALSE),"")</f>
        <v/>
      </c>
      <c r="V18" s="107" t="str">
        <f>IF($A18&lt;&gt;"",
       VLOOKUP($A18,'Database (All)'!$A$7:$AD$103,24,FALSE),"")</f>
        <v/>
      </c>
      <c r="W18" s="1755" t="str">
        <f t="shared" si="6"/>
        <v/>
      </c>
      <c r="X18" s="72" t="str">
        <f t="shared" si="12"/>
        <v/>
      </c>
      <c r="Y18" s="837" t="str">
        <f>IF(AND(F18="Prod 2.0",'Project Details'!$C$23&lt;5,OR($E18="AIX", $E18="Solaris")),
LEFT(#REF!,8) &amp; " - " &amp; VLOOKUP(#REF!,'BOM FUNCTIONS'!$BY$12:$CF$19,8,FALSE),"")</f>
        <v/>
      </c>
      <c r="Z18" s="837" t="str">
        <f>IF(AND($F18="Prod 2.0",dr_Level&lt;5,OR($E18="AIX",$E18="Solaris")),#REF!,"")</f>
        <v/>
      </c>
      <c r="AA18" s="835" t="str">
        <f t="shared" si="7"/>
        <v/>
      </c>
      <c r="AB18" s="835" t="str">
        <f t="shared" si="8"/>
        <v/>
      </c>
      <c r="AC18" s="75" t="str">
        <f>IF(A18&lt;&gt;"",VLOOKUP(A18,IP!$A$4:I$153,2,FALSE),"")</f>
        <v/>
      </c>
    </row>
    <row r="19" spans="1:29">
      <c r="A19" s="312"/>
      <c r="B19" s="2016" t="str">
        <f t="shared" si="0"/>
        <v/>
      </c>
      <c r="C19" s="5" t="str">
        <f>IF($A19&lt;&gt;"",
    IF(IFERROR(SEARCH(".",VLOOKUP($A19,IP!$A$4:$N$153,11,FALSE)),0)&gt;1,
                LEFT(VLOOKUP($A19,IP!$A$4:$N$153,11,FALSE),SEARCH(".",VLOOKUP($A19,IP!$A$4:$N$153,11,FALSE))-1),
                   VLOOKUP($A19,IP!$A$4:$N$153,11,FALSE)),"")</f>
        <v/>
      </c>
      <c r="D19" s="5" t="str">
        <f>IF(A19&lt;&gt;"",VLOOKUP(A19,IP!$A$4:N$167,14,FALSE),"")</f>
        <v/>
      </c>
      <c r="E19" s="2801" t="str">
        <f t="shared" si="1"/>
        <v/>
      </c>
      <c r="F19" s="434" t="str">
        <f>IF(AC19&lt;&gt;"",VLOOKUP(VLOOKUP(AC19,dist_assets,2,FALSE),'Distributed Assets'!$C$7:$F$22,4,FALSE),"")</f>
        <v/>
      </c>
      <c r="G19" s="18"/>
      <c r="H19" s="13" t="str">
        <f t="shared" si="2"/>
        <v/>
      </c>
      <c r="I19" s="13" t="str">
        <f>IF(AC19&lt;&gt;"",VLOOKUP(AC19,'Open Systems'!$A$4:$T$66,7,FALSE),"")</f>
        <v/>
      </c>
      <c r="J19" s="2566" t="str">
        <f t="shared" si="3"/>
        <v/>
      </c>
      <c r="K19" s="1666" t="str">
        <f t="shared" si="9"/>
        <v/>
      </c>
      <c r="L19" s="2801" t="str">
        <f t="shared" si="10"/>
        <v xml:space="preserve"> </v>
      </c>
      <c r="M19" s="120"/>
      <c r="N19" s="1743" t="str">
        <f t="shared" si="4"/>
        <v/>
      </c>
      <c r="O19" s="2008" t="str">
        <f t="shared" si="5"/>
        <v/>
      </c>
      <c r="P19" s="1666" t="str">
        <f t="shared" si="11"/>
        <v/>
      </c>
      <c r="Q19" s="2"/>
      <c r="R19" s="1847" t="str">
        <f>IF($A19&lt;&gt;"",
IF(AND(LEFT(VLOOKUP($AC19,dist_assets,24,FALSE),5)="MSSQL", RIGHT($F19,5)="(ITC)"), ITC_Excludes,
IF(LEFT(VLOOKUP($AC19,dist_assets,24,FALSE),16)="EDH - MSSQL 2017",EDH_Excludes,
IF(LEFT(VLOOKUP($AC19,dist_assets,24,FALSE),10)="MSSQL 2017",SQL_2017_VM_Excludes,
IF(LEFT(VLOOKUP($AC19,dist_assets,24,FALSE),10)="MSSQL 2016",SQL_2016_VM_Excludes,
IF(LEFT(VLOOKUP($AC19,dist_assets,24,FALSE),10)="MSSQL 2014",SQL_2014_VM_Excludes,
IF(LEFT(VLOOKUP($AC19,dist_assets,24,FALSE),10)="MSSQL 2012",SQL_2012_VM_Excludes,
IF(LEFT(VLOOKUP($AC19,dist_assets,24,FALSE),3)="DB2",DB2_Excludes, "No Excludes"))))))),"")</f>
        <v/>
      </c>
      <c r="S19" s="1753"/>
      <c r="T19" s="107" t="str">
        <f>IF($A19&lt;&gt;"",
       VLOOKUP($A19,'Database (All)'!$A$7:$AD$103,22,FALSE),"")</f>
        <v/>
      </c>
      <c r="U19" s="107" t="str">
        <f>IF($A19&lt;&gt;"",
       VLOOKUP($A19,'Database (All)'!$A$7:$AD$103,23,FALSE),"")</f>
        <v/>
      </c>
      <c r="V19" s="107" t="str">
        <f>IF($A19&lt;&gt;"",
       VLOOKUP($A19,'Database (All)'!$A$7:$AD$103,24,FALSE),"")</f>
        <v/>
      </c>
      <c r="W19" s="1755" t="str">
        <f t="shared" si="6"/>
        <v/>
      </c>
      <c r="X19" s="72" t="str">
        <f t="shared" si="12"/>
        <v/>
      </c>
      <c r="Y19" s="837" t="str">
        <f>IF(AND(F19="Prod 2.0",'Project Details'!$C$23&lt;5,OR($E19="AIX", $E19="Solaris")),
LEFT(#REF!,8) &amp; " - " &amp; VLOOKUP(#REF!,'BOM FUNCTIONS'!$BY$12:$CF$19,8,FALSE),"")</f>
        <v/>
      </c>
      <c r="Z19" s="837" t="str">
        <f>IF(AND($F19="Prod 2.0",dr_Level&lt;5,OR($E19="AIX",$E19="Solaris")),#REF!,"")</f>
        <v/>
      </c>
      <c r="AA19" s="835" t="str">
        <f t="shared" si="7"/>
        <v/>
      </c>
      <c r="AB19" s="835" t="str">
        <f t="shared" si="8"/>
        <v/>
      </c>
      <c r="AC19" s="75" t="str">
        <f>IF(A19&lt;&gt;"",VLOOKUP(A19,IP!$A$4:I$153,2,FALSE),"")</f>
        <v/>
      </c>
    </row>
    <row r="20" spans="1:29">
      <c r="A20" s="312"/>
      <c r="B20" s="2016" t="str">
        <f t="shared" si="0"/>
        <v/>
      </c>
      <c r="C20" s="5" t="str">
        <f>IF($A20&lt;&gt;"",
    IF(IFERROR(SEARCH(".",VLOOKUP($A20,IP!$A$4:$N$153,11,FALSE)),0)&gt;1,
                LEFT(VLOOKUP($A20,IP!$A$4:$N$153,11,FALSE),SEARCH(".",VLOOKUP($A20,IP!$A$4:$N$153,11,FALSE))-1),
                   VLOOKUP($A20,IP!$A$4:$N$153,11,FALSE)),"")</f>
        <v/>
      </c>
      <c r="D20" s="5" t="str">
        <f>IF(A20&lt;&gt;"",VLOOKUP(A20,IP!$A$4:N$167,14,FALSE),"")</f>
        <v/>
      </c>
      <c r="E20" s="2801" t="str">
        <f t="shared" si="1"/>
        <v/>
      </c>
      <c r="F20" s="434" t="str">
        <f>IF(AC20&lt;&gt;"",VLOOKUP(VLOOKUP(AC20,dist_assets,2,FALSE),'Distributed Assets'!$C$7:$F$22,4,FALSE),"")</f>
        <v/>
      </c>
      <c r="G20" s="18"/>
      <c r="H20" s="13" t="str">
        <f t="shared" si="2"/>
        <v/>
      </c>
      <c r="I20" s="13" t="str">
        <f>IF(AC20&lt;&gt;"",VLOOKUP(AC20,'Open Systems'!$A$4:$T$66,7,FALSE),"")</f>
        <v/>
      </c>
      <c r="J20" s="2566" t="str">
        <f t="shared" si="3"/>
        <v/>
      </c>
      <c r="K20" s="1666" t="str">
        <f t="shared" si="9"/>
        <v/>
      </c>
      <c r="L20" s="2801" t="str">
        <f t="shared" si="10"/>
        <v xml:space="preserve"> </v>
      </c>
      <c r="M20" s="120"/>
      <c r="N20" s="1743" t="str">
        <f t="shared" si="4"/>
        <v/>
      </c>
      <c r="O20" s="2008" t="str">
        <f t="shared" si="5"/>
        <v/>
      </c>
      <c r="P20" s="1666" t="str">
        <f t="shared" si="11"/>
        <v/>
      </c>
      <c r="Q20" s="2"/>
      <c r="R20" s="1847" t="str">
        <f>IF($A20&lt;&gt;"",
IF(AND(LEFT(VLOOKUP($AC20,dist_assets,24,FALSE),5)="MSSQL", RIGHT($F20,5)="(ITC)"), ITC_Excludes,
IF(LEFT(VLOOKUP($AC20,dist_assets,24,FALSE),16)="EDH - MSSQL 2017",EDH_Excludes,
IF(LEFT(VLOOKUP($AC20,dist_assets,24,FALSE),10)="MSSQL 2017",SQL_2017_VM_Excludes,
IF(LEFT(VLOOKUP($AC20,dist_assets,24,FALSE),10)="MSSQL 2016",SQL_2016_VM_Excludes,
IF(LEFT(VLOOKUP($AC20,dist_assets,24,FALSE),10)="MSSQL 2014",SQL_2014_VM_Excludes,
IF(LEFT(VLOOKUP($AC20,dist_assets,24,FALSE),10)="MSSQL 2012",SQL_2012_VM_Excludes,
IF(LEFT(VLOOKUP($AC20,dist_assets,24,FALSE),3)="DB2",DB2_Excludes, "No Excludes"))))))),"")</f>
        <v/>
      </c>
      <c r="S20" s="1753"/>
      <c r="T20" s="107" t="str">
        <f>IF($A20&lt;&gt;"",
       VLOOKUP($A20,'Database (All)'!$A$7:$AD$103,22,FALSE),"")</f>
        <v/>
      </c>
      <c r="U20" s="107" t="str">
        <f>IF($A20&lt;&gt;"",
       VLOOKUP($A20,'Database (All)'!$A$7:$AD$103,23,FALSE),"")</f>
        <v/>
      </c>
      <c r="V20" s="107" t="str">
        <f>IF($A20&lt;&gt;"",
       VLOOKUP($A20,'Database (All)'!$A$7:$AD$103,24,FALSE),"")</f>
        <v/>
      </c>
      <c r="W20" s="1755" t="str">
        <f t="shared" si="6"/>
        <v/>
      </c>
      <c r="X20" s="72" t="str">
        <f t="shared" si="12"/>
        <v/>
      </c>
      <c r="Y20" s="837" t="str">
        <f>IF(AND(F20="Prod 2.0",'Project Details'!$C$23&lt;5,OR($E20="AIX", $E20="Solaris")),
LEFT(#REF!,8) &amp; " - " &amp; VLOOKUP(#REF!,'BOM FUNCTIONS'!$BY$12:$CF$19,8,FALSE),"")</f>
        <v/>
      </c>
      <c r="Z20" s="837" t="str">
        <f>IF(AND($F20="Prod 2.0",dr_Level&lt;5,OR($E20="AIX",$E20="Solaris")),#REF!,"")</f>
        <v/>
      </c>
      <c r="AA20" s="835" t="str">
        <f t="shared" si="7"/>
        <v/>
      </c>
      <c r="AB20" s="835" t="str">
        <f t="shared" si="8"/>
        <v/>
      </c>
      <c r="AC20" s="75" t="str">
        <f>IF(A20&lt;&gt;"",VLOOKUP(A20,IP!$A$4:I$153,2,FALSE),"")</f>
        <v/>
      </c>
    </row>
    <row r="21" spans="1:29">
      <c r="A21" s="312"/>
      <c r="B21" s="2016" t="str">
        <f t="shared" si="0"/>
        <v/>
      </c>
      <c r="C21" s="5" t="str">
        <f>IF($A21&lt;&gt;"",
    IF(IFERROR(SEARCH(".",VLOOKUP($A21,IP!$A$4:$N$153,11,FALSE)),0)&gt;1,
                LEFT(VLOOKUP($A21,IP!$A$4:$N$153,11,FALSE),SEARCH(".",VLOOKUP($A21,IP!$A$4:$N$153,11,FALSE))-1),
                   VLOOKUP($A21,IP!$A$4:$N$153,11,FALSE)),"")</f>
        <v/>
      </c>
      <c r="D21" s="5" t="str">
        <f>IF(A21&lt;&gt;"",VLOOKUP(A21,IP!$A$4:N$167,14,FALSE),"")</f>
        <v/>
      </c>
      <c r="E21" s="2801" t="str">
        <f t="shared" si="1"/>
        <v/>
      </c>
      <c r="F21" s="434" t="str">
        <f>IF(AC21&lt;&gt;"",VLOOKUP(VLOOKUP(AC21,dist_assets,2,FALSE),'Distributed Assets'!$C$7:$F$22,4,FALSE),"")</f>
        <v/>
      </c>
      <c r="G21" s="18"/>
      <c r="H21" s="13" t="str">
        <f t="shared" si="2"/>
        <v/>
      </c>
      <c r="I21" s="13" t="str">
        <f>IF(AC21&lt;&gt;"",VLOOKUP(AC21,'Open Systems'!$A$4:$T$66,7,FALSE),"")</f>
        <v/>
      </c>
      <c r="J21" s="2566" t="str">
        <f t="shared" si="3"/>
        <v/>
      </c>
      <c r="K21" s="1666" t="str">
        <f t="shared" si="9"/>
        <v/>
      </c>
      <c r="L21" s="2801" t="str">
        <f t="shared" si="10"/>
        <v xml:space="preserve"> </v>
      </c>
      <c r="M21" s="120"/>
      <c r="N21" s="1743" t="str">
        <f t="shared" si="4"/>
        <v/>
      </c>
      <c r="O21" s="2008" t="str">
        <f t="shared" si="5"/>
        <v/>
      </c>
      <c r="P21" s="1666" t="str">
        <f t="shared" si="11"/>
        <v/>
      </c>
      <c r="Q21" s="2"/>
      <c r="R21" s="1847" t="str">
        <f>IF($A21&lt;&gt;"",
IF(AND(LEFT(VLOOKUP($AC21,dist_assets,24,FALSE),5)="MSSQL", RIGHT($F21,5)="(ITC)"), ITC_Excludes,
IF(LEFT(VLOOKUP($AC21,dist_assets,24,FALSE),16)="EDH - MSSQL 2017",EDH_Excludes,
IF(LEFT(VLOOKUP($AC21,dist_assets,24,FALSE),10)="MSSQL 2017",SQL_2017_VM_Excludes,
IF(LEFT(VLOOKUP($AC21,dist_assets,24,FALSE),10)="MSSQL 2016",SQL_2016_VM_Excludes,
IF(LEFT(VLOOKUP($AC21,dist_assets,24,FALSE),10)="MSSQL 2014",SQL_2014_VM_Excludes,
IF(LEFT(VLOOKUP($AC21,dist_assets,24,FALSE),10)="MSSQL 2012",SQL_2012_VM_Excludes,
IF(LEFT(VLOOKUP($AC21,dist_assets,24,FALSE),3)="DB2",DB2_Excludes, "No Excludes"))))))),"")</f>
        <v/>
      </c>
      <c r="S21" s="1753"/>
      <c r="T21" s="107" t="str">
        <f>IF($A21&lt;&gt;"",
       VLOOKUP($A21,'Database (All)'!$A$7:$AD$103,22,FALSE),"")</f>
        <v/>
      </c>
      <c r="U21" s="107" t="str">
        <f>IF($A21&lt;&gt;"",
       VLOOKUP($A21,'Database (All)'!$A$7:$AD$103,23,FALSE),"")</f>
        <v/>
      </c>
      <c r="V21" s="107" t="str">
        <f>IF($A21&lt;&gt;"",
       VLOOKUP($A21,'Database (All)'!$A$7:$AD$103,24,FALSE),"")</f>
        <v/>
      </c>
      <c r="W21" s="1755" t="str">
        <f t="shared" si="6"/>
        <v/>
      </c>
      <c r="X21" s="72" t="str">
        <f t="shared" si="12"/>
        <v/>
      </c>
      <c r="Y21" s="837" t="str">
        <f>IF(AND(F21="Prod 2.0",'Project Details'!$C$23&lt;5,OR($E21="AIX", $E21="Solaris")),
LEFT(#REF!,8) &amp; " - " &amp; VLOOKUP(#REF!,'BOM FUNCTIONS'!$BY$12:$CF$19,8,FALSE),"")</f>
        <v/>
      </c>
      <c r="Z21" s="837" t="str">
        <f>IF(AND($F21="Prod 2.0",dr_Level&lt;5,OR($E21="AIX",$E21="Solaris")),#REF!,"")</f>
        <v/>
      </c>
      <c r="AA21" s="835" t="str">
        <f t="shared" si="7"/>
        <v/>
      </c>
      <c r="AB21" s="835" t="str">
        <f t="shared" si="8"/>
        <v/>
      </c>
      <c r="AC21" s="75" t="str">
        <f>IF(A21&lt;&gt;"",VLOOKUP(A21,IP!$A$4:I$153,2,FALSE),"")</f>
        <v/>
      </c>
    </row>
    <row r="22" spans="1:29">
      <c r="A22" s="312"/>
      <c r="B22" s="2016" t="str">
        <f t="shared" si="0"/>
        <v/>
      </c>
      <c r="C22" s="5" t="str">
        <f>IF($A22&lt;&gt;"",
    IF(IFERROR(SEARCH(".",VLOOKUP($A22,IP!$A$4:$N$153,11,FALSE)),0)&gt;1,
                LEFT(VLOOKUP($A22,IP!$A$4:$N$153,11,FALSE),SEARCH(".",VLOOKUP($A22,IP!$A$4:$N$153,11,FALSE))-1),
                   VLOOKUP($A22,IP!$A$4:$N$153,11,FALSE)),"")</f>
        <v/>
      </c>
      <c r="D22" s="5" t="str">
        <f>IF(A22&lt;&gt;"",VLOOKUP(A22,IP!$A$4:N$167,14,FALSE),"")</f>
        <v/>
      </c>
      <c r="E22" s="2801" t="str">
        <f t="shared" si="1"/>
        <v/>
      </c>
      <c r="F22" s="434" t="str">
        <f>IF(AC22&lt;&gt;"",VLOOKUP(VLOOKUP(AC22,dist_assets,2,FALSE),'Distributed Assets'!$C$7:$F$22,4,FALSE),"")</f>
        <v/>
      </c>
      <c r="G22" s="18"/>
      <c r="H22" s="13" t="str">
        <f t="shared" si="2"/>
        <v/>
      </c>
      <c r="I22" s="13" t="str">
        <f>IF(AC22&lt;&gt;"",VLOOKUP(AC22,'Open Systems'!$A$4:$T$66,7,FALSE),"")</f>
        <v/>
      </c>
      <c r="J22" s="2566" t="str">
        <f t="shared" si="3"/>
        <v/>
      </c>
      <c r="K22" s="1666" t="str">
        <f t="shared" si="9"/>
        <v/>
      </c>
      <c r="L22" s="2801" t="str">
        <f t="shared" si="10"/>
        <v xml:space="preserve"> </v>
      </c>
      <c r="M22" s="120"/>
      <c r="N22" s="1743" t="str">
        <f t="shared" si="4"/>
        <v/>
      </c>
      <c r="O22" s="2008" t="str">
        <f t="shared" si="5"/>
        <v/>
      </c>
      <c r="P22" s="1666" t="str">
        <f t="shared" si="11"/>
        <v/>
      </c>
      <c r="Q22" s="2"/>
      <c r="R22" s="1847" t="str">
        <f>IF($A22&lt;&gt;"",
IF(AND(LEFT(VLOOKUP($AC22,dist_assets,24,FALSE),5)="MSSQL", RIGHT($F22,5)="(ITC)"), ITC_Excludes,
IF(LEFT(VLOOKUP($AC22,dist_assets,24,FALSE),16)="EDH - MSSQL 2017",EDH_Excludes,
IF(LEFT(VLOOKUP($AC22,dist_assets,24,FALSE),10)="MSSQL 2017",SQL_2017_VM_Excludes,
IF(LEFT(VLOOKUP($AC22,dist_assets,24,FALSE),10)="MSSQL 2016",SQL_2016_VM_Excludes,
IF(LEFT(VLOOKUP($AC22,dist_assets,24,FALSE),10)="MSSQL 2014",SQL_2014_VM_Excludes,
IF(LEFT(VLOOKUP($AC22,dist_assets,24,FALSE),10)="MSSQL 2012",SQL_2012_VM_Excludes,
IF(LEFT(VLOOKUP($AC22,dist_assets,24,FALSE),3)="DB2",DB2_Excludes, "No Excludes"))))))),"")</f>
        <v/>
      </c>
      <c r="S22" s="1753"/>
      <c r="T22" s="107" t="str">
        <f>IF($A22&lt;&gt;"",
       VLOOKUP($A22,'Database (All)'!$A$7:$AD$103,22,FALSE),"")</f>
        <v/>
      </c>
      <c r="U22" s="107" t="str">
        <f>IF($A22&lt;&gt;"",
       VLOOKUP($A22,'Database (All)'!$A$7:$AD$103,23,FALSE),"")</f>
        <v/>
      </c>
      <c r="V22" s="107" t="str">
        <f>IF($A22&lt;&gt;"",
       VLOOKUP($A22,'Database (All)'!$A$7:$AD$103,24,FALSE),"")</f>
        <v/>
      </c>
      <c r="W22" s="1755" t="str">
        <f t="shared" si="6"/>
        <v/>
      </c>
      <c r="X22" s="72" t="str">
        <f t="shared" si="12"/>
        <v/>
      </c>
      <c r="Y22" s="837" t="str">
        <f>IF(AND(F22="Prod 2.0",'Project Details'!$C$23&lt;5,OR($E22="AIX", $E22="Solaris")),
LEFT(#REF!,8) &amp; " - " &amp; VLOOKUP(#REF!,'BOM FUNCTIONS'!$BY$12:$CF$19,8,FALSE),"")</f>
        <v/>
      </c>
      <c r="Z22" s="837" t="str">
        <f>IF(AND($F22="Prod 2.0",dr_Level&lt;5,OR($E22="AIX",$E22="Solaris")),#REF!,"")</f>
        <v/>
      </c>
      <c r="AA22" s="835" t="str">
        <f t="shared" si="7"/>
        <v/>
      </c>
      <c r="AB22" s="835" t="str">
        <f t="shared" si="8"/>
        <v/>
      </c>
      <c r="AC22" s="75" t="str">
        <f>IF(A22&lt;&gt;"",VLOOKUP(A22,IP!$A$4:I$153,2,FALSE),"")</f>
        <v/>
      </c>
    </row>
    <row r="23" spans="1:29">
      <c r="A23" s="312"/>
      <c r="B23" s="2016" t="str">
        <f t="shared" si="0"/>
        <v/>
      </c>
      <c r="C23" s="5" t="str">
        <f>IF($A23&lt;&gt;"",
    IF(IFERROR(SEARCH(".",VLOOKUP($A23,IP!$A$4:$N$153,11,FALSE)),0)&gt;1,
                LEFT(VLOOKUP($A23,IP!$A$4:$N$153,11,FALSE),SEARCH(".",VLOOKUP($A23,IP!$A$4:$N$153,11,FALSE))-1),
                   VLOOKUP($A23,IP!$A$4:$N$153,11,FALSE)),"")</f>
        <v/>
      </c>
      <c r="D23" s="5" t="str">
        <f>IF(A23&lt;&gt;"",VLOOKUP(A23,IP!$A$4:N$167,14,FALSE),"")</f>
        <v/>
      </c>
      <c r="E23" s="2801" t="str">
        <f t="shared" si="1"/>
        <v/>
      </c>
      <c r="F23" s="434" t="str">
        <f>IF(AC23&lt;&gt;"",VLOOKUP(VLOOKUP(AC23,dist_assets,2,FALSE),'Distributed Assets'!$C$7:$F$22,4,FALSE),"")</f>
        <v/>
      </c>
      <c r="G23" s="18"/>
      <c r="H23" s="13" t="str">
        <f t="shared" si="2"/>
        <v/>
      </c>
      <c r="I23" s="13" t="str">
        <f>IF(AC23&lt;&gt;"",VLOOKUP(AC23,'Open Systems'!$A$4:$T$66,7,FALSE),"")</f>
        <v/>
      </c>
      <c r="J23" s="2566" t="str">
        <f t="shared" si="3"/>
        <v/>
      </c>
      <c r="K23" s="1666" t="str">
        <f t="shared" si="9"/>
        <v/>
      </c>
      <c r="L23" s="2801" t="str">
        <f t="shared" si="10"/>
        <v xml:space="preserve"> </v>
      </c>
      <c r="M23" s="120"/>
      <c r="N23" s="1743" t="str">
        <f t="shared" si="4"/>
        <v/>
      </c>
      <c r="O23" s="2008" t="str">
        <f t="shared" si="5"/>
        <v/>
      </c>
      <c r="P23" s="1666" t="str">
        <f t="shared" si="11"/>
        <v/>
      </c>
      <c r="Q23" s="2"/>
      <c r="R23" s="1847" t="str">
        <f>IF($A23&lt;&gt;"",
IF(AND(LEFT(VLOOKUP($AC23,dist_assets,24,FALSE),5)="MSSQL", RIGHT($F23,5)="(ITC)"), ITC_Excludes,
IF(LEFT(VLOOKUP($AC23,dist_assets,24,FALSE),16)="EDH - MSSQL 2017",EDH_Excludes,
IF(LEFT(VLOOKUP($AC23,dist_assets,24,FALSE),10)="MSSQL 2017",SQL_2017_VM_Excludes,
IF(LEFT(VLOOKUP($AC23,dist_assets,24,FALSE),10)="MSSQL 2016",SQL_2016_VM_Excludes,
IF(LEFT(VLOOKUP($AC23,dist_assets,24,FALSE),10)="MSSQL 2014",SQL_2014_VM_Excludes,
IF(LEFT(VLOOKUP($AC23,dist_assets,24,FALSE),10)="MSSQL 2012",SQL_2012_VM_Excludes,
IF(LEFT(VLOOKUP($AC23,dist_assets,24,FALSE),3)="DB2",DB2_Excludes, "No Excludes"))))))),"")</f>
        <v/>
      </c>
      <c r="S23" s="1753"/>
      <c r="T23" s="107" t="str">
        <f>IF($A23&lt;&gt;"",
       VLOOKUP($A23,'Database (All)'!$A$7:$AD$103,22,FALSE),"")</f>
        <v/>
      </c>
      <c r="U23" s="107" t="str">
        <f>IF($A23&lt;&gt;"",
       VLOOKUP($A23,'Database (All)'!$A$7:$AD$103,23,FALSE),"")</f>
        <v/>
      </c>
      <c r="V23" s="107" t="str">
        <f>IF($A23&lt;&gt;"",
       VLOOKUP($A23,'Database (All)'!$A$7:$AD$103,24,FALSE),"")</f>
        <v/>
      </c>
      <c r="W23" s="1755" t="str">
        <f t="shared" si="6"/>
        <v/>
      </c>
      <c r="X23" s="72" t="str">
        <f t="shared" si="12"/>
        <v/>
      </c>
      <c r="Y23" s="837" t="str">
        <f>IF(AND(F23="Prod 2.0",'Project Details'!$C$23&lt;5,OR($E23="AIX", $E23="Solaris")),
LEFT(#REF!,8) &amp; " - " &amp; VLOOKUP(#REF!,'BOM FUNCTIONS'!$BY$12:$CF$19,8,FALSE),"")</f>
        <v/>
      </c>
      <c r="Z23" s="837" t="str">
        <f>IF(AND($F23="Prod 2.0",dr_Level&lt;5,OR($E23="AIX",$E23="Solaris")),#REF!,"")</f>
        <v/>
      </c>
      <c r="AA23" s="835" t="str">
        <f t="shared" si="7"/>
        <v/>
      </c>
      <c r="AB23" s="835" t="str">
        <f t="shared" si="8"/>
        <v/>
      </c>
      <c r="AC23" s="75" t="str">
        <f>IF(A23&lt;&gt;"",VLOOKUP(A23,IP!$A$4:I$153,2,FALSE),"")</f>
        <v/>
      </c>
    </row>
    <row r="24" spans="1:29">
      <c r="A24" s="312"/>
      <c r="B24" s="2016" t="str">
        <f t="shared" si="0"/>
        <v/>
      </c>
      <c r="C24" s="5" t="str">
        <f>IF($A24&lt;&gt;"",
    IF(IFERROR(SEARCH(".",VLOOKUP($A24,IP!$A$4:$N$153,11,FALSE)),0)&gt;1,
                LEFT(VLOOKUP($A24,IP!$A$4:$N$153,11,FALSE),SEARCH(".",VLOOKUP($A24,IP!$A$4:$N$153,11,FALSE))-1),
                   VLOOKUP($A24,IP!$A$4:$N$153,11,FALSE)),"")</f>
        <v/>
      </c>
      <c r="D24" s="5" t="str">
        <f>IF(A24&lt;&gt;"",VLOOKUP(A24,IP!$A$4:N$167,14,FALSE),"")</f>
        <v/>
      </c>
      <c r="E24" s="2801" t="str">
        <f t="shared" si="1"/>
        <v/>
      </c>
      <c r="F24" s="434" t="str">
        <f>IF(AC24&lt;&gt;"",VLOOKUP(VLOOKUP(AC24,dist_assets,2,FALSE),'Distributed Assets'!$C$7:$F$22,4,FALSE),"")</f>
        <v/>
      </c>
      <c r="G24" s="18"/>
      <c r="H24" s="13" t="str">
        <f t="shared" si="2"/>
        <v/>
      </c>
      <c r="I24" s="13" t="str">
        <f>IF(AC24&lt;&gt;"",VLOOKUP(AC24,'Open Systems'!$A$4:$T$66,7,FALSE),"")</f>
        <v/>
      </c>
      <c r="J24" s="2566" t="str">
        <f t="shared" si="3"/>
        <v/>
      </c>
      <c r="K24" s="1666" t="str">
        <f t="shared" si="9"/>
        <v/>
      </c>
      <c r="L24" s="2801" t="str">
        <f t="shared" si="10"/>
        <v xml:space="preserve"> </v>
      </c>
      <c r="M24" s="120"/>
      <c r="N24" s="1743" t="str">
        <f t="shared" si="4"/>
        <v/>
      </c>
      <c r="O24" s="2008" t="str">
        <f t="shared" si="5"/>
        <v/>
      </c>
      <c r="P24" s="1666" t="str">
        <f t="shared" si="11"/>
        <v/>
      </c>
      <c r="Q24" s="2"/>
      <c r="R24" s="1847" t="str">
        <f>IF($A24&lt;&gt;"",
IF(AND(LEFT(VLOOKUP($AC24,dist_assets,24,FALSE),5)="MSSQL", RIGHT($F24,5)="(ITC)"), ITC_Excludes,
IF(LEFT(VLOOKUP($AC24,dist_assets,24,FALSE),16)="EDH - MSSQL 2017",EDH_Excludes,
IF(LEFT(VLOOKUP($AC24,dist_assets,24,FALSE),10)="MSSQL 2017",SQL_2017_VM_Excludes,
IF(LEFT(VLOOKUP($AC24,dist_assets,24,FALSE),10)="MSSQL 2016",SQL_2016_VM_Excludes,
IF(LEFT(VLOOKUP($AC24,dist_assets,24,FALSE),10)="MSSQL 2014",SQL_2014_VM_Excludes,
IF(LEFT(VLOOKUP($AC24,dist_assets,24,FALSE),10)="MSSQL 2012",SQL_2012_VM_Excludes,
IF(LEFT(VLOOKUP($AC24,dist_assets,24,FALSE),3)="DB2",DB2_Excludes, "No Excludes"))))))),"")</f>
        <v/>
      </c>
      <c r="S24" s="1753"/>
      <c r="T24" s="107" t="str">
        <f>IF($A24&lt;&gt;"",
       VLOOKUP($A24,'Database (All)'!$A$7:$AD$103,22,FALSE),"")</f>
        <v/>
      </c>
      <c r="U24" s="107" t="str">
        <f>IF($A24&lt;&gt;"",
       VLOOKUP($A24,'Database (All)'!$A$7:$AD$103,23,FALSE),"")</f>
        <v/>
      </c>
      <c r="V24" s="107" t="str">
        <f>IF($A24&lt;&gt;"",
       VLOOKUP($A24,'Database (All)'!$A$7:$AD$103,24,FALSE),"")</f>
        <v/>
      </c>
      <c r="W24" s="1755" t="str">
        <f t="shared" si="6"/>
        <v/>
      </c>
      <c r="X24" s="72" t="str">
        <f t="shared" si="12"/>
        <v/>
      </c>
      <c r="Y24" s="837" t="str">
        <f>IF(AND(F24="Prod 2.0",'Project Details'!$C$23&lt;5,OR($E24="AIX", $E24="Solaris")),
LEFT(#REF!,8) &amp; " - " &amp; VLOOKUP(#REF!,'BOM FUNCTIONS'!$BY$12:$CF$19,8,FALSE),"")</f>
        <v/>
      </c>
      <c r="Z24" s="837" t="str">
        <f>IF(AND($F24="Prod 2.0",dr_Level&lt;5,OR($E24="AIX",$E24="Solaris")),#REF!,"")</f>
        <v/>
      </c>
      <c r="AA24" s="835" t="str">
        <f t="shared" si="7"/>
        <v/>
      </c>
      <c r="AB24" s="835" t="str">
        <f t="shared" si="8"/>
        <v/>
      </c>
      <c r="AC24" s="75" t="str">
        <f>IF(A24&lt;&gt;"",VLOOKUP(A24,IP!$A$4:I$153,2,FALSE),"")</f>
        <v/>
      </c>
    </row>
    <row r="25" spans="1:29">
      <c r="A25" s="312"/>
      <c r="B25" s="2016" t="str">
        <f t="shared" si="0"/>
        <v/>
      </c>
      <c r="C25" s="5" t="str">
        <f>IF($A25&lt;&gt;"",
    IF(IFERROR(SEARCH(".",VLOOKUP($A25,IP!$A$4:$N$153,11,FALSE)),0)&gt;1,
                LEFT(VLOOKUP($A25,IP!$A$4:$N$153,11,FALSE),SEARCH(".",VLOOKUP($A25,IP!$A$4:$N$153,11,FALSE))-1),
                   VLOOKUP($A25,IP!$A$4:$N$153,11,FALSE)),"")</f>
        <v/>
      </c>
      <c r="D25" s="5" t="str">
        <f>IF(A25&lt;&gt;"",VLOOKUP(A25,IP!$A$4:N$167,14,FALSE),"")</f>
        <v/>
      </c>
      <c r="E25" s="2801" t="str">
        <f t="shared" si="1"/>
        <v/>
      </c>
      <c r="F25" s="434" t="str">
        <f>IF(AC25&lt;&gt;"",VLOOKUP(VLOOKUP(AC25,dist_assets,2,FALSE),'Distributed Assets'!$C$7:$F$22,4,FALSE),"")</f>
        <v/>
      </c>
      <c r="G25" s="18"/>
      <c r="H25" s="13" t="str">
        <f t="shared" si="2"/>
        <v/>
      </c>
      <c r="I25" s="13" t="str">
        <f>IF(AC25&lt;&gt;"",VLOOKUP(AC25,'Open Systems'!$A$4:$T$66,7,FALSE),"")</f>
        <v/>
      </c>
      <c r="J25" s="2566" t="str">
        <f t="shared" si="3"/>
        <v/>
      </c>
      <c r="K25" s="1666" t="str">
        <f t="shared" si="9"/>
        <v/>
      </c>
      <c r="L25" s="2801" t="str">
        <f t="shared" si="10"/>
        <v xml:space="preserve"> </v>
      </c>
      <c r="M25" s="120"/>
      <c r="N25" s="1743" t="str">
        <f t="shared" si="4"/>
        <v/>
      </c>
      <c r="O25" s="2008" t="str">
        <f t="shared" si="5"/>
        <v/>
      </c>
      <c r="P25" s="1666" t="str">
        <f t="shared" si="11"/>
        <v/>
      </c>
      <c r="Q25" s="2"/>
      <c r="R25" s="1847" t="str">
        <f>IF($A25&lt;&gt;"",
IF(AND(LEFT(VLOOKUP($AC25,dist_assets,24,FALSE),5)="MSSQL", RIGHT($F25,5)="(ITC)"), ITC_Excludes,
IF(LEFT(VLOOKUP($AC25,dist_assets,24,FALSE),16)="EDH - MSSQL 2017",EDH_Excludes,
IF(LEFT(VLOOKUP($AC25,dist_assets,24,FALSE),10)="MSSQL 2017",SQL_2017_VM_Excludes,
IF(LEFT(VLOOKUP($AC25,dist_assets,24,FALSE),10)="MSSQL 2016",SQL_2016_VM_Excludes,
IF(LEFT(VLOOKUP($AC25,dist_assets,24,FALSE),10)="MSSQL 2014",SQL_2014_VM_Excludes,
IF(LEFT(VLOOKUP($AC25,dist_assets,24,FALSE),10)="MSSQL 2012",SQL_2012_VM_Excludes,
IF(LEFT(VLOOKUP($AC25,dist_assets,24,FALSE),3)="DB2",DB2_Excludes, "No Excludes"))))))),"")</f>
        <v/>
      </c>
      <c r="S25" s="1753"/>
      <c r="T25" s="107" t="str">
        <f>IF($A25&lt;&gt;"",
       VLOOKUP($A25,'Database (All)'!$A$7:$AD$103,22,FALSE),"")</f>
        <v/>
      </c>
      <c r="U25" s="107" t="str">
        <f>IF($A25&lt;&gt;"",
       VLOOKUP($A25,'Database (All)'!$A$7:$AD$103,23,FALSE),"")</f>
        <v/>
      </c>
      <c r="V25" s="107" t="str">
        <f>IF($A25&lt;&gt;"",
       VLOOKUP($A25,'Database (All)'!$A$7:$AD$103,24,FALSE),"")</f>
        <v/>
      </c>
      <c r="W25" s="1755" t="str">
        <f t="shared" si="6"/>
        <v/>
      </c>
      <c r="X25" s="72" t="str">
        <f t="shared" si="12"/>
        <v/>
      </c>
      <c r="Y25" s="837" t="str">
        <f>IF(AND(F25="Prod 2.0",'Project Details'!$C$23&lt;5,OR($E25="AIX", $E25="Solaris")),
LEFT(#REF!,8) &amp; " - " &amp; VLOOKUP(#REF!,'BOM FUNCTIONS'!$BY$12:$CF$19,8,FALSE),"")</f>
        <v/>
      </c>
      <c r="Z25" s="837" t="str">
        <f>IF(AND($F25="Prod 2.0",dr_Level&lt;5,OR($E25="AIX",$E25="Solaris")),#REF!,"")</f>
        <v/>
      </c>
      <c r="AA25" s="835" t="str">
        <f t="shared" si="7"/>
        <v/>
      </c>
      <c r="AB25" s="835" t="str">
        <f t="shared" si="8"/>
        <v/>
      </c>
      <c r="AC25" s="75" t="str">
        <f>IF(A25&lt;&gt;"",VLOOKUP(A25,IP!$A$4:I$153,2,FALSE),"")</f>
        <v/>
      </c>
    </row>
    <row r="26" spans="1:29">
      <c r="A26" s="312"/>
      <c r="B26" s="2016" t="str">
        <f t="shared" si="0"/>
        <v/>
      </c>
      <c r="C26" s="5" t="str">
        <f>IF($A26&lt;&gt;"",
    IF(IFERROR(SEARCH(".",VLOOKUP($A26,IP!$A$4:$N$153,11,FALSE)),0)&gt;1,
                LEFT(VLOOKUP($A26,IP!$A$4:$N$153,11,FALSE),SEARCH(".",VLOOKUP($A26,IP!$A$4:$N$153,11,FALSE))-1),
                   VLOOKUP($A26,IP!$A$4:$N$153,11,FALSE)),"")</f>
        <v/>
      </c>
      <c r="D26" s="5" t="str">
        <f>IF(A26&lt;&gt;"",VLOOKUP(A26,IP!$A$4:N$167,14,FALSE),"")</f>
        <v/>
      </c>
      <c r="E26" s="2801" t="str">
        <f t="shared" si="1"/>
        <v/>
      </c>
      <c r="F26" s="434" t="str">
        <f>IF(AC26&lt;&gt;"",VLOOKUP(VLOOKUP(AC26,dist_assets,2,FALSE),'Distributed Assets'!$C$7:$F$22,4,FALSE),"")</f>
        <v/>
      </c>
      <c r="G26" s="18"/>
      <c r="H26" s="13" t="str">
        <f t="shared" si="2"/>
        <v/>
      </c>
      <c r="I26" s="13" t="str">
        <f>IF(AC26&lt;&gt;"",VLOOKUP(AC26,'Open Systems'!$A$4:$T$66,7,FALSE),"")</f>
        <v/>
      </c>
      <c r="J26" s="2566" t="str">
        <f t="shared" si="3"/>
        <v/>
      </c>
      <c r="K26" s="1666" t="str">
        <f t="shared" si="9"/>
        <v/>
      </c>
      <c r="L26" s="2801" t="str">
        <f t="shared" si="10"/>
        <v xml:space="preserve"> </v>
      </c>
      <c r="M26" s="120"/>
      <c r="N26" s="1743" t="str">
        <f t="shared" si="4"/>
        <v/>
      </c>
      <c r="O26" s="2008" t="str">
        <f t="shared" si="5"/>
        <v/>
      </c>
      <c r="P26" s="1666" t="str">
        <f t="shared" si="11"/>
        <v/>
      </c>
      <c r="Q26" s="2"/>
      <c r="R26" s="1847" t="str">
        <f>IF($A26&lt;&gt;"",
IF(AND(LEFT(VLOOKUP($AC26,dist_assets,24,FALSE),5)="MSSQL", RIGHT($F26,5)="(ITC)"), ITC_Excludes,
IF(LEFT(VLOOKUP($AC26,dist_assets,24,FALSE),16)="EDH - MSSQL 2017",EDH_Excludes,
IF(LEFT(VLOOKUP($AC26,dist_assets,24,FALSE),10)="MSSQL 2017",SQL_2017_VM_Excludes,
IF(LEFT(VLOOKUP($AC26,dist_assets,24,FALSE),10)="MSSQL 2016",SQL_2016_VM_Excludes,
IF(LEFT(VLOOKUP($AC26,dist_assets,24,FALSE),10)="MSSQL 2014",SQL_2014_VM_Excludes,
IF(LEFT(VLOOKUP($AC26,dist_assets,24,FALSE),10)="MSSQL 2012",SQL_2012_VM_Excludes,
IF(LEFT(VLOOKUP($AC26,dist_assets,24,FALSE),3)="DB2",DB2_Excludes, "No Excludes"))))))),"")</f>
        <v/>
      </c>
      <c r="S26" s="1753"/>
      <c r="T26" s="107" t="str">
        <f>IF($A26&lt;&gt;"",
       VLOOKUP($A26,'Database (All)'!$A$7:$AD$103,22,FALSE),"")</f>
        <v/>
      </c>
      <c r="U26" s="107" t="str">
        <f>IF($A26&lt;&gt;"",
       VLOOKUP($A26,'Database (All)'!$A$7:$AD$103,23,FALSE),"")</f>
        <v/>
      </c>
      <c r="V26" s="107" t="str">
        <f>IF($A26&lt;&gt;"",
       VLOOKUP($A26,'Database (All)'!$A$7:$AD$103,24,FALSE),"")</f>
        <v/>
      </c>
      <c r="W26" s="1755" t="str">
        <f t="shared" si="6"/>
        <v/>
      </c>
      <c r="X26" s="72" t="str">
        <f t="shared" si="12"/>
        <v/>
      </c>
      <c r="Y26" s="837" t="str">
        <f>IF(AND(F26="Prod 2.0",'Project Details'!$C$23&lt;5,OR($E26="AIX", $E26="Solaris")),
LEFT(#REF!,8) &amp; " - " &amp; VLOOKUP(#REF!,'BOM FUNCTIONS'!$BY$12:$CF$19,8,FALSE),"")</f>
        <v/>
      </c>
      <c r="Z26" s="837" t="str">
        <f>IF(AND($F26="Prod 2.0",dr_Level&lt;5,OR($E26="AIX",$E26="Solaris")),#REF!,"")</f>
        <v/>
      </c>
      <c r="AA26" s="835" t="str">
        <f t="shared" si="7"/>
        <v/>
      </c>
      <c r="AB26" s="835" t="str">
        <f t="shared" si="8"/>
        <v/>
      </c>
      <c r="AC26" s="75" t="str">
        <f>IF(A26&lt;&gt;"",VLOOKUP(A26,IP!$A$4:I$153,2,FALSE),"")</f>
        <v/>
      </c>
    </row>
    <row r="27" spans="1:29">
      <c r="A27" s="312"/>
      <c r="B27" s="2016" t="str">
        <f t="shared" si="0"/>
        <v/>
      </c>
      <c r="C27" s="5" t="str">
        <f>IF($A27&lt;&gt;"",
    IF(IFERROR(SEARCH(".",VLOOKUP($A27,IP!$A$4:$N$153,11,FALSE)),0)&gt;1,
                LEFT(VLOOKUP($A27,IP!$A$4:$N$153,11,FALSE),SEARCH(".",VLOOKUP($A27,IP!$A$4:$N$153,11,FALSE))-1),
                   VLOOKUP($A27,IP!$A$4:$N$153,11,FALSE)),"")</f>
        <v/>
      </c>
      <c r="D27" s="5" t="str">
        <f>IF(A27&lt;&gt;"",VLOOKUP(A27,IP!$A$4:N$167,14,FALSE),"")</f>
        <v/>
      </c>
      <c r="E27" s="2801" t="str">
        <f t="shared" si="1"/>
        <v/>
      </c>
      <c r="F27" s="434" t="str">
        <f>IF(AC27&lt;&gt;"",VLOOKUP(VLOOKUP(AC27,dist_assets,2,FALSE),'Distributed Assets'!$C$7:$F$22,4,FALSE),"")</f>
        <v/>
      </c>
      <c r="G27" s="18"/>
      <c r="H27" s="13" t="str">
        <f t="shared" si="2"/>
        <v/>
      </c>
      <c r="I27" s="13" t="str">
        <f>IF(AC27&lt;&gt;"",VLOOKUP(AC27,'Open Systems'!$A$4:$T$66,7,FALSE),"")</f>
        <v/>
      </c>
      <c r="J27" s="2566" t="str">
        <f t="shared" si="3"/>
        <v/>
      </c>
      <c r="K27" s="1666" t="str">
        <f t="shared" si="9"/>
        <v/>
      </c>
      <c r="L27" s="2801" t="str">
        <f t="shared" si="10"/>
        <v xml:space="preserve"> </v>
      </c>
      <c r="M27" s="120"/>
      <c r="N27" s="1743" t="str">
        <f t="shared" si="4"/>
        <v/>
      </c>
      <c r="O27" s="2008" t="str">
        <f t="shared" si="5"/>
        <v/>
      </c>
      <c r="P27" s="1666" t="str">
        <f t="shared" si="11"/>
        <v/>
      </c>
      <c r="Q27" s="2"/>
      <c r="R27" s="1847" t="str">
        <f>IF($A27&lt;&gt;"",
IF(AND(LEFT(VLOOKUP($AC27,dist_assets,24,FALSE),5)="MSSQL", RIGHT($F27,5)="(ITC)"), ITC_Excludes,
IF(LEFT(VLOOKUP($AC27,dist_assets,24,FALSE),16)="EDH - MSSQL 2017",EDH_Excludes,
IF(LEFT(VLOOKUP($AC27,dist_assets,24,FALSE),10)="MSSQL 2017",SQL_2017_VM_Excludes,
IF(LEFT(VLOOKUP($AC27,dist_assets,24,FALSE),10)="MSSQL 2016",SQL_2016_VM_Excludes,
IF(LEFT(VLOOKUP($AC27,dist_assets,24,FALSE),10)="MSSQL 2014",SQL_2014_VM_Excludes,
IF(LEFT(VLOOKUP($AC27,dist_assets,24,FALSE),10)="MSSQL 2012",SQL_2012_VM_Excludes,
IF(LEFT(VLOOKUP($AC27,dist_assets,24,FALSE),3)="DB2",DB2_Excludes, "No Excludes"))))))),"")</f>
        <v/>
      </c>
      <c r="S27" s="1753"/>
      <c r="T27" s="107" t="str">
        <f>IF($A27&lt;&gt;"",
       VLOOKUP($A27,'Database (All)'!$A$7:$AD$103,22,FALSE),"")</f>
        <v/>
      </c>
      <c r="U27" s="107" t="str">
        <f>IF($A27&lt;&gt;"",
       VLOOKUP($A27,'Database (All)'!$A$7:$AD$103,23,FALSE),"")</f>
        <v/>
      </c>
      <c r="V27" s="107" t="str">
        <f>IF($A27&lt;&gt;"",
       VLOOKUP($A27,'Database (All)'!$A$7:$AD$103,24,FALSE),"")</f>
        <v/>
      </c>
      <c r="W27" s="1755" t="str">
        <f t="shared" si="6"/>
        <v/>
      </c>
      <c r="X27" s="72" t="str">
        <f t="shared" si="12"/>
        <v/>
      </c>
      <c r="Y27" s="837" t="str">
        <f>IF(AND(F27="Prod 2.0",'Project Details'!$C$23&lt;5,OR($E27="AIX", $E27="Solaris")),
LEFT(#REF!,8) &amp; " - " &amp; VLOOKUP(#REF!,'BOM FUNCTIONS'!$BY$12:$CF$19,8,FALSE),"")</f>
        <v/>
      </c>
      <c r="Z27" s="837" t="str">
        <f>IF(AND($F27="Prod 2.0",dr_Level&lt;5,OR($E27="AIX",$E27="Solaris")),#REF!,"")</f>
        <v/>
      </c>
      <c r="AA27" s="835" t="str">
        <f t="shared" si="7"/>
        <v/>
      </c>
      <c r="AB27" s="835" t="str">
        <f t="shared" si="8"/>
        <v/>
      </c>
      <c r="AC27" s="75" t="str">
        <f>IF(A27&lt;&gt;"",VLOOKUP(A27,IP!$A$4:I$153,2,FALSE),"")</f>
        <v/>
      </c>
    </row>
    <row r="28" spans="1:29">
      <c r="A28" s="312"/>
      <c r="B28" s="2016" t="str">
        <f t="shared" si="0"/>
        <v/>
      </c>
      <c r="C28" s="5" t="str">
        <f>IF($A28&lt;&gt;"",
    IF(IFERROR(SEARCH(".",VLOOKUP($A28,IP!$A$4:$N$153,11,FALSE)),0)&gt;1,
                LEFT(VLOOKUP($A28,IP!$A$4:$N$153,11,FALSE),SEARCH(".",VLOOKUP($A28,IP!$A$4:$N$153,11,FALSE))-1),
                   VLOOKUP($A28,IP!$A$4:$N$153,11,FALSE)),"")</f>
        <v/>
      </c>
      <c r="D28" s="5" t="str">
        <f>IF(A28&lt;&gt;"",VLOOKUP(A28,IP!$A$4:N$167,14,FALSE),"")</f>
        <v/>
      </c>
      <c r="E28" s="2801" t="str">
        <f t="shared" si="1"/>
        <v/>
      </c>
      <c r="F28" s="434" t="str">
        <f>IF(AC28&lt;&gt;"",VLOOKUP(VLOOKUP(AC28,dist_assets,2,FALSE),'Distributed Assets'!$C$7:$F$22,4,FALSE),"")</f>
        <v/>
      </c>
      <c r="G28" s="18"/>
      <c r="H28" s="13" t="str">
        <f t="shared" si="2"/>
        <v/>
      </c>
      <c r="I28" s="13" t="str">
        <f>IF(AC28&lt;&gt;"",VLOOKUP(AC28,'Open Systems'!$A$4:$T$66,7,FALSE),"")</f>
        <v/>
      </c>
      <c r="J28" s="2566" t="str">
        <f t="shared" si="3"/>
        <v/>
      </c>
      <c r="K28" s="1666" t="str">
        <f t="shared" si="9"/>
        <v/>
      </c>
      <c r="L28" s="2801" t="str">
        <f t="shared" si="10"/>
        <v xml:space="preserve"> </v>
      </c>
      <c r="M28" s="120"/>
      <c r="N28" s="1743" t="str">
        <f t="shared" si="4"/>
        <v/>
      </c>
      <c r="O28" s="2008" t="str">
        <f t="shared" si="5"/>
        <v/>
      </c>
      <c r="P28" s="1666" t="str">
        <f t="shared" si="11"/>
        <v/>
      </c>
      <c r="Q28" s="2"/>
      <c r="R28" s="1847" t="str">
        <f>IF($A28&lt;&gt;"",
IF(AND(LEFT(VLOOKUP($AC28,dist_assets,24,FALSE),5)="MSSQL", RIGHT($F28,5)="(ITC)"), ITC_Excludes,
IF(LEFT(VLOOKUP($AC28,dist_assets,24,FALSE),16)="EDH - MSSQL 2017",EDH_Excludes,
IF(LEFT(VLOOKUP($AC28,dist_assets,24,FALSE),10)="MSSQL 2017",SQL_2017_VM_Excludes,
IF(LEFT(VLOOKUP($AC28,dist_assets,24,FALSE),10)="MSSQL 2016",SQL_2016_VM_Excludes,
IF(LEFT(VLOOKUP($AC28,dist_assets,24,FALSE),10)="MSSQL 2014",SQL_2014_VM_Excludes,
IF(LEFT(VLOOKUP($AC28,dist_assets,24,FALSE),10)="MSSQL 2012",SQL_2012_VM_Excludes,
IF(LEFT(VLOOKUP($AC28,dist_assets,24,FALSE),3)="DB2",DB2_Excludes, "No Excludes"))))))),"")</f>
        <v/>
      </c>
      <c r="S28" s="1753"/>
      <c r="T28" s="107" t="str">
        <f>IF($A28&lt;&gt;"",
       VLOOKUP($A28,'Database (All)'!$A$7:$AD$103,22,FALSE),"")</f>
        <v/>
      </c>
      <c r="U28" s="107" t="str">
        <f>IF($A28&lt;&gt;"",
       VLOOKUP($A28,'Database (All)'!$A$7:$AD$103,23,FALSE),"")</f>
        <v/>
      </c>
      <c r="V28" s="107" t="str">
        <f>IF($A28&lt;&gt;"",
       VLOOKUP($A28,'Database (All)'!$A$7:$AD$103,24,FALSE),"")</f>
        <v/>
      </c>
      <c r="W28" s="1755" t="str">
        <f t="shared" si="6"/>
        <v/>
      </c>
      <c r="X28" s="72" t="str">
        <f t="shared" si="12"/>
        <v/>
      </c>
      <c r="Y28" s="837" t="str">
        <f>IF(AND(F28="Prod 2.0",'Project Details'!$C$23&lt;5,OR($E28="AIX", $E28="Solaris")),
LEFT(#REF!,8) &amp; " - " &amp; VLOOKUP(#REF!,'BOM FUNCTIONS'!$BY$12:$CF$19,8,FALSE),"")</f>
        <v/>
      </c>
      <c r="Z28" s="837" t="str">
        <f>IF(AND($F28="Prod 2.0",dr_Level&lt;5,OR($E28="AIX",$E28="Solaris")),#REF!,"")</f>
        <v/>
      </c>
      <c r="AA28" s="835" t="str">
        <f t="shared" si="7"/>
        <v/>
      </c>
      <c r="AB28" s="835" t="str">
        <f t="shared" si="8"/>
        <v/>
      </c>
      <c r="AC28" s="75" t="str">
        <f>IF(A28&lt;&gt;"",VLOOKUP(A28,IP!$A$4:I$153,2,FALSE),"")</f>
        <v/>
      </c>
    </row>
    <row r="29" spans="1:29">
      <c r="A29" s="312"/>
      <c r="B29" s="2016" t="str">
        <f t="shared" si="0"/>
        <v/>
      </c>
      <c r="C29" s="5" t="str">
        <f>IF($A29&lt;&gt;"",
    IF(IFERROR(SEARCH(".",VLOOKUP($A29,IP!$A$4:$N$153,11,FALSE)),0)&gt;1,
                LEFT(VLOOKUP($A29,IP!$A$4:$N$153,11,FALSE),SEARCH(".",VLOOKUP($A29,IP!$A$4:$N$153,11,FALSE))-1),
                   VLOOKUP($A29,IP!$A$4:$N$153,11,FALSE)),"")</f>
        <v/>
      </c>
      <c r="D29" s="5" t="str">
        <f>IF(A29&lt;&gt;"",VLOOKUP(A29,IP!$A$4:N$167,14,FALSE),"")</f>
        <v/>
      </c>
      <c r="E29" s="2801" t="str">
        <f t="shared" si="1"/>
        <v/>
      </c>
      <c r="F29" s="434" t="str">
        <f>IF(AC29&lt;&gt;"",VLOOKUP(VLOOKUP(AC29,dist_assets,2,FALSE),'Distributed Assets'!$C$7:$F$22,4,FALSE),"")</f>
        <v/>
      </c>
      <c r="G29" s="18"/>
      <c r="H29" s="13" t="str">
        <f t="shared" si="2"/>
        <v/>
      </c>
      <c r="I29" s="13" t="str">
        <f>IF(AC29&lt;&gt;"",VLOOKUP(AC29,'Open Systems'!$A$4:$T$66,7,FALSE),"")</f>
        <v/>
      </c>
      <c r="J29" s="2566" t="str">
        <f t="shared" si="3"/>
        <v/>
      </c>
      <c r="K29" s="1666" t="str">
        <f t="shared" si="9"/>
        <v/>
      </c>
      <c r="L29" s="2801" t="str">
        <f t="shared" si="10"/>
        <v xml:space="preserve"> </v>
      </c>
      <c r="M29" s="120"/>
      <c r="N29" s="1743" t="str">
        <f t="shared" si="4"/>
        <v/>
      </c>
      <c r="O29" s="2008" t="str">
        <f t="shared" si="5"/>
        <v/>
      </c>
      <c r="P29" s="1666" t="str">
        <f t="shared" si="11"/>
        <v/>
      </c>
      <c r="Q29" s="2"/>
      <c r="R29" s="1847" t="str">
        <f>IF($A29&lt;&gt;"",
IF(AND(LEFT(VLOOKUP($AC29,dist_assets,24,FALSE),5)="MSSQL", RIGHT($F29,5)="(ITC)"), ITC_Excludes,
IF(LEFT(VLOOKUP($AC29,dist_assets,24,FALSE),16)="EDH - MSSQL 2017",EDH_Excludes,
IF(LEFT(VLOOKUP($AC29,dist_assets,24,FALSE),10)="MSSQL 2017",SQL_2017_VM_Excludes,
IF(LEFT(VLOOKUP($AC29,dist_assets,24,FALSE),10)="MSSQL 2016",SQL_2016_VM_Excludes,
IF(LEFT(VLOOKUP($AC29,dist_assets,24,FALSE),10)="MSSQL 2014",SQL_2014_VM_Excludes,
IF(LEFT(VLOOKUP($AC29,dist_assets,24,FALSE),10)="MSSQL 2012",SQL_2012_VM_Excludes,
IF(LEFT(VLOOKUP($AC29,dist_assets,24,FALSE),3)="DB2",DB2_Excludes, "No Excludes"))))))),"")</f>
        <v/>
      </c>
      <c r="S29" s="1753"/>
      <c r="T29" s="107" t="str">
        <f>IF($A29&lt;&gt;"",
       VLOOKUP($A29,'Database (All)'!$A$7:$AD$103,22,FALSE),"")</f>
        <v/>
      </c>
      <c r="U29" s="107" t="str">
        <f>IF($A29&lt;&gt;"",
       VLOOKUP($A29,'Database (All)'!$A$7:$AD$103,23,FALSE),"")</f>
        <v/>
      </c>
      <c r="V29" s="107" t="str">
        <f>IF($A29&lt;&gt;"",
       VLOOKUP($A29,'Database (All)'!$A$7:$AD$103,24,FALSE),"")</f>
        <v/>
      </c>
      <c r="W29" s="1755" t="str">
        <f t="shared" si="6"/>
        <v/>
      </c>
      <c r="X29" s="72" t="str">
        <f t="shared" si="12"/>
        <v/>
      </c>
      <c r="Y29" s="837" t="str">
        <f>IF(AND(F29="Prod 2.0",'Project Details'!$C$23&lt;5,OR($E29="AIX", $E29="Solaris")),
LEFT(#REF!,8) &amp; " - " &amp; VLOOKUP(#REF!,'BOM FUNCTIONS'!$BY$12:$CF$19,8,FALSE),"")</f>
        <v/>
      </c>
      <c r="Z29" s="837" t="str">
        <f>IF(AND($F29="Prod 2.0",dr_Level&lt;5,OR($E29="AIX",$E29="Solaris")),#REF!,"")</f>
        <v/>
      </c>
      <c r="AA29" s="835" t="str">
        <f t="shared" si="7"/>
        <v/>
      </c>
      <c r="AB29" s="835" t="str">
        <f t="shared" si="8"/>
        <v/>
      </c>
      <c r="AC29" s="75" t="str">
        <f>IF(A29&lt;&gt;"",VLOOKUP(A29,IP!$A$4:I$153,2,FALSE),"")</f>
        <v/>
      </c>
    </row>
    <row r="30" spans="1:29">
      <c r="A30" s="312"/>
      <c r="B30" s="2016" t="str">
        <f t="shared" si="0"/>
        <v/>
      </c>
      <c r="C30" s="5" t="str">
        <f>IF($A30&lt;&gt;"",
    IF(IFERROR(SEARCH(".",VLOOKUP($A30,IP!$A$4:$N$153,11,FALSE)),0)&gt;1,
                LEFT(VLOOKUP($A30,IP!$A$4:$N$153,11,FALSE),SEARCH(".",VLOOKUP($A30,IP!$A$4:$N$153,11,FALSE))-1),
                   VLOOKUP($A30,IP!$A$4:$N$153,11,FALSE)),"")</f>
        <v/>
      </c>
      <c r="D30" s="5" t="str">
        <f>IF(A30&lt;&gt;"",VLOOKUP(A30,IP!$A$4:N$167,14,FALSE),"")</f>
        <v/>
      </c>
      <c r="E30" s="2801" t="str">
        <f t="shared" si="1"/>
        <v/>
      </c>
      <c r="F30" s="434" t="str">
        <f>IF(AC30&lt;&gt;"",VLOOKUP(VLOOKUP(AC30,dist_assets,2,FALSE),'Distributed Assets'!$C$7:$F$22,4,FALSE),"")</f>
        <v/>
      </c>
      <c r="G30" s="18"/>
      <c r="H30" s="13" t="str">
        <f t="shared" si="2"/>
        <v/>
      </c>
      <c r="I30" s="13" t="str">
        <f>IF(AC30&lt;&gt;"",VLOOKUP(AC30,'Open Systems'!$A$4:$T$66,7,FALSE),"")</f>
        <v/>
      </c>
      <c r="J30" s="2566" t="str">
        <f t="shared" si="3"/>
        <v/>
      </c>
      <c r="K30" s="1666" t="str">
        <f t="shared" si="9"/>
        <v/>
      </c>
      <c r="L30" s="2801" t="str">
        <f t="shared" si="10"/>
        <v xml:space="preserve"> </v>
      </c>
      <c r="M30" s="120"/>
      <c r="N30" s="1743" t="str">
        <f t="shared" si="4"/>
        <v/>
      </c>
      <c r="O30" s="2008" t="str">
        <f t="shared" si="5"/>
        <v/>
      </c>
      <c r="P30" s="1666" t="str">
        <f t="shared" si="11"/>
        <v/>
      </c>
      <c r="Q30" s="2"/>
      <c r="R30" s="1847" t="str">
        <f>IF($A30&lt;&gt;"",
IF(AND(LEFT(VLOOKUP($AC30,dist_assets,24,FALSE),5)="MSSQL", RIGHT($F30,5)="(ITC)"), ITC_Excludes,
IF(LEFT(VLOOKUP($AC30,dist_assets,24,FALSE),16)="EDH - MSSQL 2017",EDH_Excludes,
IF(LEFT(VLOOKUP($AC30,dist_assets,24,FALSE),10)="MSSQL 2017",SQL_2017_VM_Excludes,
IF(LEFT(VLOOKUP($AC30,dist_assets,24,FALSE),10)="MSSQL 2016",SQL_2016_VM_Excludes,
IF(LEFT(VLOOKUP($AC30,dist_assets,24,FALSE),10)="MSSQL 2014",SQL_2014_VM_Excludes,
IF(LEFT(VLOOKUP($AC30,dist_assets,24,FALSE),10)="MSSQL 2012",SQL_2012_VM_Excludes,
IF(LEFT(VLOOKUP($AC30,dist_assets,24,FALSE),3)="DB2",DB2_Excludes, "No Excludes"))))))),"")</f>
        <v/>
      </c>
      <c r="S30" s="1753"/>
      <c r="T30" s="107" t="str">
        <f>IF($A30&lt;&gt;"",
       VLOOKUP($A30,'Database (All)'!$A$7:$AD$103,22,FALSE),"")</f>
        <v/>
      </c>
      <c r="U30" s="107" t="str">
        <f>IF($A30&lt;&gt;"",
       VLOOKUP($A30,'Database (All)'!$A$7:$AD$103,23,FALSE),"")</f>
        <v/>
      </c>
      <c r="V30" s="107" t="str">
        <f>IF($A30&lt;&gt;"",
       VLOOKUP($A30,'Database (All)'!$A$7:$AD$103,24,FALSE),"")</f>
        <v/>
      </c>
      <c r="W30" s="1755" t="str">
        <f t="shared" si="6"/>
        <v/>
      </c>
      <c r="X30" s="72" t="str">
        <f t="shared" si="12"/>
        <v/>
      </c>
      <c r="Y30" s="837" t="str">
        <f>IF(AND(F30="Prod 2.0",'Project Details'!$C$23&lt;5,OR($E30="AIX", $E30="Solaris")),
LEFT(#REF!,8) &amp; " - " &amp; VLOOKUP(#REF!,'BOM FUNCTIONS'!$BY$12:$CF$19,8,FALSE),"")</f>
        <v/>
      </c>
      <c r="Z30" s="837" t="str">
        <f>IF(AND($F30="Prod 2.0",dr_Level&lt;5,OR($E30="AIX",$E30="Solaris")),#REF!,"")</f>
        <v/>
      </c>
      <c r="AA30" s="835" t="str">
        <f t="shared" si="7"/>
        <v/>
      </c>
      <c r="AB30" s="835" t="str">
        <f t="shared" si="8"/>
        <v/>
      </c>
      <c r="AC30" s="75" t="str">
        <f>IF(A30&lt;&gt;"",VLOOKUP(A30,IP!$A$4:I$153,2,FALSE),"")</f>
        <v/>
      </c>
    </row>
    <row r="31" spans="1:29">
      <c r="A31" s="312"/>
      <c r="B31" s="2016" t="str">
        <f t="shared" si="0"/>
        <v/>
      </c>
      <c r="C31" s="5" t="str">
        <f>IF($A31&lt;&gt;"",
    IF(IFERROR(SEARCH(".",VLOOKUP($A31,IP!$A$4:$N$153,11,FALSE)),0)&gt;1,
                LEFT(VLOOKUP($A31,IP!$A$4:$N$153,11,FALSE),SEARCH(".",VLOOKUP($A31,IP!$A$4:$N$153,11,FALSE))-1),
                   VLOOKUP($A31,IP!$A$4:$N$153,11,FALSE)),"")</f>
        <v/>
      </c>
      <c r="D31" s="5" t="str">
        <f>IF(A31&lt;&gt;"",VLOOKUP(A31,IP!$A$4:N$167,14,FALSE),"")</f>
        <v/>
      </c>
      <c r="E31" s="2801" t="str">
        <f t="shared" si="1"/>
        <v/>
      </c>
      <c r="F31" s="434" t="str">
        <f>IF(AC31&lt;&gt;"",VLOOKUP(VLOOKUP(AC31,dist_assets,2,FALSE),'Distributed Assets'!$C$7:$F$22,4,FALSE),"")</f>
        <v/>
      </c>
      <c r="G31" s="18"/>
      <c r="H31" s="13" t="str">
        <f t="shared" si="2"/>
        <v/>
      </c>
      <c r="I31" s="13" t="str">
        <f>IF(AC31&lt;&gt;"",VLOOKUP(AC31,'Open Systems'!$A$4:$T$66,7,FALSE),"")</f>
        <v/>
      </c>
      <c r="J31" s="2566" t="str">
        <f t="shared" si="3"/>
        <v/>
      </c>
      <c r="K31" s="1666" t="str">
        <f t="shared" si="9"/>
        <v/>
      </c>
      <c r="L31" s="2801" t="str">
        <f t="shared" si="10"/>
        <v xml:space="preserve"> </v>
      </c>
      <c r="M31" s="120"/>
      <c r="N31" s="1743" t="str">
        <f t="shared" si="4"/>
        <v/>
      </c>
      <c r="O31" s="2008" t="str">
        <f t="shared" si="5"/>
        <v/>
      </c>
      <c r="P31" s="1666" t="str">
        <f t="shared" si="11"/>
        <v/>
      </c>
      <c r="Q31" s="2"/>
      <c r="R31" s="1847" t="str">
        <f>IF($A31&lt;&gt;"",
IF(AND(LEFT(VLOOKUP($AC31,dist_assets,24,FALSE),5)="MSSQL", RIGHT($F31,5)="(ITC)"), ITC_Excludes,
IF(LEFT(VLOOKUP($AC31,dist_assets,24,FALSE),16)="EDH - MSSQL 2017",EDH_Excludes,
IF(LEFT(VLOOKUP($AC31,dist_assets,24,FALSE),10)="MSSQL 2017",SQL_2017_VM_Excludes,
IF(LEFT(VLOOKUP($AC31,dist_assets,24,FALSE),10)="MSSQL 2016",SQL_2016_VM_Excludes,
IF(LEFT(VLOOKUP($AC31,dist_assets,24,FALSE),10)="MSSQL 2014",SQL_2014_VM_Excludes,
IF(LEFT(VLOOKUP($AC31,dist_assets,24,FALSE),10)="MSSQL 2012",SQL_2012_VM_Excludes,
IF(LEFT(VLOOKUP($AC31,dist_assets,24,FALSE),3)="DB2",DB2_Excludes, "No Excludes"))))))),"")</f>
        <v/>
      </c>
      <c r="S31" s="1753"/>
      <c r="T31" s="107" t="str">
        <f>IF($A31&lt;&gt;"",
       VLOOKUP($A31,'Database (All)'!$A$7:$AD$103,22,FALSE),"")</f>
        <v/>
      </c>
      <c r="U31" s="107" t="str">
        <f>IF($A31&lt;&gt;"",
       VLOOKUP($A31,'Database (All)'!$A$7:$AD$103,23,FALSE),"")</f>
        <v/>
      </c>
      <c r="V31" s="107" t="str">
        <f>IF($A31&lt;&gt;"",
       VLOOKUP($A31,'Database (All)'!$A$7:$AD$103,24,FALSE),"")</f>
        <v/>
      </c>
      <c r="W31" s="1755" t="str">
        <f t="shared" si="6"/>
        <v/>
      </c>
      <c r="X31" s="72" t="str">
        <f t="shared" si="12"/>
        <v/>
      </c>
      <c r="Y31" s="837" t="str">
        <f>IF(AND(F31="Prod 2.0",'Project Details'!$C$23&lt;5,OR($E31="AIX", $E31="Solaris")),
LEFT(#REF!,8) &amp; " - " &amp; VLOOKUP(#REF!,'BOM FUNCTIONS'!$BY$12:$CF$19,8,FALSE),"")</f>
        <v/>
      </c>
      <c r="Z31" s="837" t="str">
        <f>IF(AND($F31="Prod 2.0",dr_Level&lt;5,OR($E31="AIX",$E31="Solaris")),#REF!,"")</f>
        <v/>
      </c>
      <c r="AA31" s="835" t="str">
        <f t="shared" si="7"/>
        <v/>
      </c>
      <c r="AB31" s="835" t="str">
        <f t="shared" si="8"/>
        <v/>
      </c>
      <c r="AC31" s="75" t="str">
        <f>IF(A31&lt;&gt;"",VLOOKUP(A31,IP!$A$4:I$153,2,FALSE),"")</f>
        <v/>
      </c>
    </row>
    <row r="32" spans="1:29">
      <c r="A32" s="312"/>
      <c r="B32" s="2016" t="str">
        <f t="shared" si="0"/>
        <v/>
      </c>
      <c r="C32" s="5" t="str">
        <f>IF($A32&lt;&gt;"",
    IF(IFERROR(SEARCH(".",VLOOKUP($A32,IP!$A$4:$N$153,11,FALSE)),0)&gt;1,
                LEFT(VLOOKUP($A32,IP!$A$4:$N$153,11,FALSE),SEARCH(".",VLOOKUP($A32,IP!$A$4:$N$153,11,FALSE))-1),
                   VLOOKUP($A32,IP!$A$4:$N$153,11,FALSE)),"")</f>
        <v/>
      </c>
      <c r="D32" s="5" t="str">
        <f>IF(A32&lt;&gt;"",VLOOKUP(A32,IP!$A$4:N$167,14,FALSE),"")</f>
        <v/>
      </c>
      <c r="E32" s="2801" t="str">
        <f t="shared" si="1"/>
        <v/>
      </c>
      <c r="F32" s="434" t="str">
        <f>IF(AC32&lt;&gt;"",VLOOKUP(VLOOKUP(AC32,dist_assets,2,FALSE),'Distributed Assets'!$C$7:$F$22,4,FALSE),"")</f>
        <v/>
      </c>
      <c r="G32" s="18"/>
      <c r="H32" s="13" t="str">
        <f t="shared" si="2"/>
        <v/>
      </c>
      <c r="I32" s="13" t="str">
        <f>IF(AC32&lt;&gt;"",VLOOKUP(AC32,'Open Systems'!$A$4:$T$66,7,FALSE),"")</f>
        <v/>
      </c>
      <c r="J32" s="2566" t="str">
        <f t="shared" si="3"/>
        <v/>
      </c>
      <c r="K32" s="1666" t="str">
        <f t="shared" si="9"/>
        <v/>
      </c>
      <c r="L32" s="2801" t="str">
        <f t="shared" si="10"/>
        <v xml:space="preserve"> </v>
      </c>
      <c r="M32" s="120"/>
      <c r="N32" s="1743" t="str">
        <f t="shared" si="4"/>
        <v/>
      </c>
      <c r="O32" s="2008" t="str">
        <f t="shared" si="5"/>
        <v/>
      </c>
      <c r="P32" s="1666" t="str">
        <f t="shared" si="11"/>
        <v/>
      </c>
      <c r="Q32" s="2"/>
      <c r="R32" s="1847" t="str">
        <f>IF($A32&lt;&gt;"",
IF(AND(LEFT(VLOOKUP($AC32,dist_assets,24,FALSE),5)="MSSQL", RIGHT($F32,5)="(ITC)"), ITC_Excludes,
IF(LEFT(VLOOKUP($AC32,dist_assets,24,FALSE),16)="EDH - MSSQL 2017",EDH_Excludes,
IF(LEFT(VLOOKUP($AC32,dist_assets,24,FALSE),10)="MSSQL 2017",SQL_2017_VM_Excludes,
IF(LEFT(VLOOKUP($AC32,dist_assets,24,FALSE),10)="MSSQL 2016",SQL_2016_VM_Excludes,
IF(LEFT(VLOOKUP($AC32,dist_assets,24,FALSE),10)="MSSQL 2014",SQL_2014_VM_Excludes,
IF(LEFT(VLOOKUP($AC32,dist_assets,24,FALSE),10)="MSSQL 2012",SQL_2012_VM_Excludes,
IF(LEFT(VLOOKUP($AC32,dist_assets,24,FALSE),3)="DB2",DB2_Excludes, "No Excludes"))))))),"")</f>
        <v/>
      </c>
      <c r="S32" s="1753"/>
      <c r="T32" s="107" t="str">
        <f>IF($A32&lt;&gt;"",
       VLOOKUP($A32,'Database (All)'!$A$7:$AD$103,22,FALSE),"")</f>
        <v/>
      </c>
      <c r="U32" s="107" t="str">
        <f>IF($A32&lt;&gt;"",
       VLOOKUP($A32,'Database (All)'!$A$7:$AD$103,23,FALSE),"")</f>
        <v/>
      </c>
      <c r="V32" s="107" t="str">
        <f>IF($A32&lt;&gt;"",
       VLOOKUP($A32,'Database (All)'!$A$7:$AD$103,24,FALSE),"")</f>
        <v/>
      </c>
      <c r="W32" s="1755" t="str">
        <f t="shared" si="6"/>
        <v/>
      </c>
      <c r="X32" s="72" t="str">
        <f t="shared" si="12"/>
        <v/>
      </c>
      <c r="Y32" s="837" t="str">
        <f>IF(AND(F32="Prod 2.0",'Project Details'!$C$23&lt;5,OR($E32="AIX", $E32="Solaris")),
LEFT(#REF!,8) &amp; " - " &amp; VLOOKUP(#REF!,'BOM FUNCTIONS'!$BY$12:$CF$19,8,FALSE),"")</f>
        <v/>
      </c>
      <c r="Z32" s="837" t="str">
        <f>IF(AND($F32="Prod 2.0",dr_Level&lt;5,OR($E32="AIX",$E32="Solaris")),#REF!,"")</f>
        <v/>
      </c>
      <c r="AA32" s="835" t="str">
        <f t="shared" si="7"/>
        <v/>
      </c>
      <c r="AB32" s="835" t="str">
        <f t="shared" si="8"/>
        <v/>
      </c>
      <c r="AC32" s="75" t="str">
        <f>IF(A32&lt;&gt;"",VLOOKUP(A32,IP!$A$4:I$153,2,FALSE),"")</f>
        <v/>
      </c>
    </row>
    <row r="33" spans="1:29">
      <c r="A33" s="312"/>
      <c r="B33" s="2016" t="str">
        <f t="shared" si="0"/>
        <v/>
      </c>
      <c r="C33" s="5" t="str">
        <f>IF($A33&lt;&gt;"",
    IF(IFERROR(SEARCH(".",VLOOKUP($A33,IP!$A$4:$N$153,11,FALSE)),0)&gt;1,
                LEFT(VLOOKUP($A33,IP!$A$4:$N$153,11,FALSE),SEARCH(".",VLOOKUP($A33,IP!$A$4:$N$153,11,FALSE))-1),
                   VLOOKUP($A33,IP!$A$4:$N$153,11,FALSE)),"")</f>
        <v/>
      </c>
      <c r="D33" s="5" t="str">
        <f>IF(A33&lt;&gt;"",VLOOKUP(A33,IP!$A$4:N$167,14,FALSE),"")</f>
        <v/>
      </c>
      <c r="E33" s="2801" t="str">
        <f t="shared" si="1"/>
        <v/>
      </c>
      <c r="F33" s="434" t="str">
        <f>IF(AC33&lt;&gt;"",VLOOKUP(VLOOKUP(AC33,dist_assets,2,FALSE),'Distributed Assets'!$C$7:$F$22,4,FALSE),"")</f>
        <v/>
      </c>
      <c r="G33" s="18"/>
      <c r="H33" s="13" t="str">
        <f t="shared" si="2"/>
        <v/>
      </c>
      <c r="I33" s="13" t="str">
        <f>IF(AC33&lt;&gt;"",VLOOKUP(AC33,'Open Systems'!$A$4:$T$66,7,FALSE),"")</f>
        <v/>
      </c>
      <c r="J33" s="2566" t="str">
        <f t="shared" si="3"/>
        <v/>
      </c>
      <c r="K33" s="1666" t="str">
        <f t="shared" si="9"/>
        <v/>
      </c>
      <c r="L33" s="2801" t="str">
        <f t="shared" si="10"/>
        <v xml:space="preserve"> </v>
      </c>
      <c r="M33" s="120"/>
      <c r="N33" s="1743" t="str">
        <f t="shared" si="4"/>
        <v/>
      </c>
      <c r="O33" s="2008" t="str">
        <f t="shared" si="5"/>
        <v/>
      </c>
      <c r="P33" s="1666" t="str">
        <f t="shared" si="11"/>
        <v/>
      </c>
      <c r="Q33" s="2"/>
      <c r="R33" s="1847" t="str">
        <f>IF($A33&lt;&gt;"",
IF(AND(LEFT(VLOOKUP($AC33,dist_assets,24,FALSE),5)="MSSQL", RIGHT($F33,5)="(ITC)"), ITC_Excludes,
IF(LEFT(VLOOKUP($AC33,dist_assets,24,FALSE),16)="EDH - MSSQL 2017",EDH_Excludes,
IF(LEFT(VLOOKUP($AC33,dist_assets,24,FALSE),10)="MSSQL 2017",SQL_2017_VM_Excludes,
IF(LEFT(VLOOKUP($AC33,dist_assets,24,FALSE),10)="MSSQL 2016",SQL_2016_VM_Excludes,
IF(LEFT(VLOOKUP($AC33,dist_assets,24,FALSE),10)="MSSQL 2014",SQL_2014_VM_Excludes,
IF(LEFT(VLOOKUP($AC33,dist_assets,24,FALSE),10)="MSSQL 2012",SQL_2012_VM_Excludes,
IF(LEFT(VLOOKUP($AC33,dist_assets,24,FALSE),3)="DB2",DB2_Excludes, "No Excludes"))))))),"")</f>
        <v/>
      </c>
      <c r="S33" s="1753"/>
      <c r="T33" s="107" t="str">
        <f>IF($A33&lt;&gt;"",
       VLOOKUP($A33,'Database (All)'!$A$7:$AD$103,22,FALSE),"")</f>
        <v/>
      </c>
      <c r="U33" s="107" t="str">
        <f>IF($A33&lt;&gt;"",
       VLOOKUP($A33,'Database (All)'!$A$7:$AD$103,23,FALSE),"")</f>
        <v/>
      </c>
      <c r="V33" s="107" t="str">
        <f>IF($A33&lt;&gt;"",
       VLOOKUP($A33,'Database (All)'!$A$7:$AD$103,24,FALSE),"")</f>
        <v/>
      </c>
      <c r="W33" s="1755" t="str">
        <f t="shared" si="6"/>
        <v/>
      </c>
      <c r="X33" s="72" t="str">
        <f t="shared" si="12"/>
        <v/>
      </c>
      <c r="Y33" s="837" t="str">
        <f>IF(AND(F33="Prod 2.0",'Project Details'!$C$23&lt;5,OR($E33="AIX", $E33="Solaris")),
LEFT(#REF!,8) &amp; " - " &amp; VLOOKUP(#REF!,'BOM FUNCTIONS'!$BY$12:$CF$19,8,FALSE),"")</f>
        <v/>
      </c>
      <c r="Z33" s="837" t="str">
        <f>IF(AND($F33="Prod 2.0",dr_Level&lt;5,OR($E33="AIX",$E33="Solaris")),#REF!,"")</f>
        <v/>
      </c>
      <c r="AA33" s="835" t="str">
        <f t="shared" si="7"/>
        <v/>
      </c>
      <c r="AB33" s="835" t="str">
        <f t="shared" si="8"/>
        <v/>
      </c>
      <c r="AC33" s="75" t="str">
        <f>IF(A33&lt;&gt;"",VLOOKUP(A33,IP!$A$4:I$153,2,FALSE),"")</f>
        <v/>
      </c>
    </row>
    <row r="34" spans="1:29">
      <c r="A34" s="312"/>
      <c r="B34" s="2016" t="str">
        <f t="shared" si="0"/>
        <v/>
      </c>
      <c r="C34" s="5" t="str">
        <f>IF($A34&lt;&gt;"",
    IF(IFERROR(SEARCH(".",VLOOKUP($A34,IP!$A$4:$N$153,11,FALSE)),0)&gt;1,
                LEFT(VLOOKUP($A34,IP!$A$4:$N$153,11,FALSE),SEARCH(".",VLOOKUP($A34,IP!$A$4:$N$153,11,FALSE))-1),
                   VLOOKUP($A34,IP!$A$4:$N$153,11,FALSE)),"")</f>
        <v/>
      </c>
      <c r="D34" s="5" t="str">
        <f>IF(A34&lt;&gt;"",VLOOKUP(A34,IP!$A$4:N$167,14,FALSE),"")</f>
        <v/>
      </c>
      <c r="E34" s="2801" t="str">
        <f t="shared" si="1"/>
        <v/>
      </c>
      <c r="F34" s="434" t="str">
        <f>IF(AC34&lt;&gt;"",VLOOKUP(VLOOKUP(AC34,dist_assets,2,FALSE),'Distributed Assets'!$C$7:$F$22,4,FALSE),"")</f>
        <v/>
      </c>
      <c r="G34" s="18"/>
      <c r="H34" s="13" t="str">
        <f t="shared" si="2"/>
        <v/>
      </c>
      <c r="I34" s="13" t="str">
        <f>IF(AC34&lt;&gt;"",VLOOKUP(AC34,'Open Systems'!$A$4:$T$66,7,FALSE),"")</f>
        <v/>
      </c>
      <c r="J34" s="2566" t="str">
        <f t="shared" si="3"/>
        <v/>
      </c>
      <c r="K34" s="1666" t="str">
        <f t="shared" si="9"/>
        <v/>
      </c>
      <c r="L34" s="2801" t="str">
        <f t="shared" si="10"/>
        <v xml:space="preserve"> </v>
      </c>
      <c r="M34" s="120"/>
      <c r="N34" s="1743" t="str">
        <f t="shared" si="4"/>
        <v/>
      </c>
      <c r="O34" s="2008" t="str">
        <f t="shared" si="5"/>
        <v/>
      </c>
      <c r="P34" s="1666" t="str">
        <f t="shared" si="11"/>
        <v/>
      </c>
      <c r="Q34" s="2"/>
      <c r="R34" s="1847" t="str">
        <f>IF($A34&lt;&gt;"",
IF(AND(LEFT(VLOOKUP($AC34,dist_assets,24,FALSE),5)="MSSQL", RIGHT($F34,5)="(ITC)"), ITC_Excludes,
IF(LEFT(VLOOKUP($AC34,dist_assets,24,FALSE),16)="EDH - MSSQL 2017",EDH_Excludes,
IF(LEFT(VLOOKUP($AC34,dist_assets,24,FALSE),10)="MSSQL 2017",SQL_2017_VM_Excludes,
IF(LEFT(VLOOKUP($AC34,dist_assets,24,FALSE),10)="MSSQL 2016",SQL_2016_VM_Excludes,
IF(LEFT(VLOOKUP($AC34,dist_assets,24,FALSE),10)="MSSQL 2014",SQL_2014_VM_Excludes,
IF(LEFT(VLOOKUP($AC34,dist_assets,24,FALSE),10)="MSSQL 2012",SQL_2012_VM_Excludes,
IF(LEFT(VLOOKUP($AC34,dist_assets,24,FALSE),3)="DB2",DB2_Excludes, "No Excludes"))))))),"")</f>
        <v/>
      </c>
      <c r="S34" s="1753"/>
      <c r="T34" s="107" t="str">
        <f>IF($A34&lt;&gt;"",
       VLOOKUP($A34,'Database (All)'!$A$7:$AD$103,22,FALSE),"")</f>
        <v/>
      </c>
      <c r="U34" s="107" t="str">
        <f>IF($A34&lt;&gt;"",
       VLOOKUP($A34,'Database (All)'!$A$7:$AD$103,23,FALSE),"")</f>
        <v/>
      </c>
      <c r="V34" s="107" t="str">
        <f>IF($A34&lt;&gt;"",
       VLOOKUP($A34,'Database (All)'!$A$7:$AD$103,24,FALSE),"")</f>
        <v/>
      </c>
      <c r="W34" s="1755" t="str">
        <f t="shared" si="6"/>
        <v/>
      </c>
      <c r="X34" s="72" t="str">
        <f t="shared" si="12"/>
        <v/>
      </c>
      <c r="Y34" s="837" t="str">
        <f>IF(AND(F34="Prod 2.0",'Project Details'!$C$23&lt;5,OR($E34="AIX", $E34="Solaris")),
LEFT(#REF!,8) &amp; " - " &amp; VLOOKUP(#REF!,'BOM FUNCTIONS'!$BY$12:$CF$19,8,FALSE),"")</f>
        <v/>
      </c>
      <c r="Z34" s="837" t="str">
        <f>IF(AND($F34="Prod 2.0",dr_Level&lt;5,OR($E34="AIX",$E34="Solaris")),#REF!,"")</f>
        <v/>
      </c>
      <c r="AA34" s="835" t="str">
        <f t="shared" si="7"/>
        <v/>
      </c>
      <c r="AB34" s="835" t="str">
        <f t="shared" si="8"/>
        <v/>
      </c>
      <c r="AC34" s="75" t="str">
        <f>IF(A34&lt;&gt;"",VLOOKUP(A34,IP!$A$4:I$153,2,FALSE),"")</f>
        <v/>
      </c>
    </row>
    <row r="35" spans="1:29">
      <c r="A35" s="312"/>
      <c r="B35" s="2016" t="str">
        <f t="shared" si="0"/>
        <v/>
      </c>
      <c r="C35" s="5" t="str">
        <f>IF($A35&lt;&gt;"",
    IF(IFERROR(SEARCH(".",VLOOKUP($A35,IP!$A$4:$N$153,11,FALSE)),0)&gt;1,
                LEFT(VLOOKUP($A35,IP!$A$4:$N$153,11,FALSE),SEARCH(".",VLOOKUP($A35,IP!$A$4:$N$153,11,FALSE))-1),
                   VLOOKUP($A35,IP!$A$4:$N$153,11,FALSE)),"")</f>
        <v/>
      </c>
      <c r="D35" s="5" t="str">
        <f>IF(A35&lt;&gt;"",VLOOKUP(A35,IP!$A$4:N$167,14,FALSE),"")</f>
        <v/>
      </c>
      <c r="E35" s="2801" t="str">
        <f t="shared" si="1"/>
        <v/>
      </c>
      <c r="F35" s="434" t="str">
        <f>IF(AC35&lt;&gt;"",VLOOKUP(VLOOKUP(AC35,dist_assets,2,FALSE),'Distributed Assets'!$C$7:$F$22,4,FALSE),"")</f>
        <v/>
      </c>
      <c r="G35" s="18"/>
      <c r="H35" s="13" t="str">
        <f t="shared" si="2"/>
        <v/>
      </c>
      <c r="I35" s="13" t="str">
        <f>IF(AC35&lt;&gt;"",VLOOKUP(AC35,'Open Systems'!$A$4:$T$66,7,FALSE),"")</f>
        <v/>
      </c>
      <c r="J35" s="2566" t="str">
        <f t="shared" si="3"/>
        <v/>
      </c>
      <c r="K35" s="1666" t="str">
        <f t="shared" si="9"/>
        <v/>
      </c>
      <c r="L35" s="2801" t="str">
        <f t="shared" si="10"/>
        <v xml:space="preserve"> </v>
      </c>
      <c r="M35" s="120"/>
      <c r="N35" s="1743" t="str">
        <f t="shared" si="4"/>
        <v/>
      </c>
      <c r="O35" s="2008" t="str">
        <f t="shared" si="5"/>
        <v/>
      </c>
      <c r="P35" s="1666" t="str">
        <f t="shared" si="11"/>
        <v/>
      </c>
      <c r="Q35" s="2"/>
      <c r="R35" s="1847" t="str">
        <f>IF($A35&lt;&gt;"",
IF(AND(LEFT(VLOOKUP($AC35,dist_assets,24,FALSE),5)="MSSQL", RIGHT($F35,5)="(ITC)"), ITC_Excludes,
IF(LEFT(VLOOKUP($AC35,dist_assets,24,FALSE),16)="EDH - MSSQL 2017",EDH_Excludes,
IF(LEFT(VLOOKUP($AC35,dist_assets,24,FALSE),10)="MSSQL 2017",SQL_2017_VM_Excludes,
IF(LEFT(VLOOKUP($AC35,dist_assets,24,FALSE),10)="MSSQL 2016",SQL_2016_VM_Excludes,
IF(LEFT(VLOOKUP($AC35,dist_assets,24,FALSE),10)="MSSQL 2014",SQL_2014_VM_Excludes,
IF(LEFT(VLOOKUP($AC35,dist_assets,24,FALSE),10)="MSSQL 2012",SQL_2012_VM_Excludes,
IF(LEFT(VLOOKUP($AC35,dist_assets,24,FALSE),3)="DB2",DB2_Excludes, "No Excludes"))))))),"")</f>
        <v/>
      </c>
      <c r="S35" s="1753"/>
      <c r="T35" s="107" t="str">
        <f>IF($A35&lt;&gt;"",
       VLOOKUP($A35,'Database (All)'!$A$7:$AD$103,22,FALSE),"")</f>
        <v/>
      </c>
      <c r="U35" s="107" t="str">
        <f>IF($A35&lt;&gt;"",
       VLOOKUP($A35,'Database (All)'!$A$7:$AD$103,23,FALSE),"")</f>
        <v/>
      </c>
      <c r="V35" s="107" t="str">
        <f>IF($A35&lt;&gt;"",
       VLOOKUP($A35,'Database (All)'!$A$7:$AD$103,24,FALSE),"")</f>
        <v/>
      </c>
      <c r="W35" s="1755" t="str">
        <f t="shared" si="6"/>
        <v/>
      </c>
      <c r="X35" s="72" t="str">
        <f t="shared" si="12"/>
        <v/>
      </c>
      <c r="Y35" s="837" t="str">
        <f>IF(AND(F35="Prod 2.0",'Project Details'!$C$23&lt;5,OR($E35="AIX", $E35="Solaris")),
LEFT(#REF!,8) &amp; " - " &amp; VLOOKUP(#REF!,'BOM FUNCTIONS'!$BY$12:$CF$19,8,FALSE),"")</f>
        <v/>
      </c>
      <c r="Z35" s="837" t="str">
        <f>IF(AND($F35="Prod 2.0",dr_Level&lt;5,OR($E35="AIX",$E35="Solaris")),#REF!,"")</f>
        <v/>
      </c>
      <c r="AA35" s="835" t="str">
        <f t="shared" si="7"/>
        <v/>
      </c>
      <c r="AB35" s="835" t="str">
        <f t="shared" si="8"/>
        <v/>
      </c>
      <c r="AC35" s="75" t="str">
        <f>IF(A35&lt;&gt;"",VLOOKUP(A35,IP!$A$4:I$153,2,FALSE),"")</f>
        <v/>
      </c>
    </row>
    <row r="36" spans="1:29">
      <c r="A36" s="312"/>
      <c r="B36" s="2016" t="str">
        <f t="shared" si="0"/>
        <v/>
      </c>
      <c r="C36" s="5" t="str">
        <f>IF($A36&lt;&gt;"",
    IF(IFERROR(SEARCH(".",VLOOKUP($A36,IP!$A$4:$N$153,11,FALSE)),0)&gt;1,
                LEFT(VLOOKUP($A36,IP!$A$4:$N$153,11,FALSE),SEARCH(".",VLOOKUP($A36,IP!$A$4:$N$153,11,FALSE))-1),
                   VLOOKUP($A36,IP!$A$4:$N$153,11,FALSE)),"")</f>
        <v/>
      </c>
      <c r="D36" s="5" t="str">
        <f>IF(A36&lt;&gt;"",VLOOKUP(A36,IP!$A$4:N$167,14,FALSE),"")</f>
        <v/>
      </c>
      <c r="E36" s="2801" t="str">
        <f t="shared" si="1"/>
        <v/>
      </c>
      <c r="F36" s="434" t="str">
        <f>IF(AC36&lt;&gt;"",VLOOKUP(VLOOKUP(AC36,dist_assets,2,FALSE),'Distributed Assets'!$C$7:$F$22,4,FALSE),"")</f>
        <v/>
      </c>
      <c r="G36" s="18"/>
      <c r="H36" s="13" t="str">
        <f t="shared" si="2"/>
        <v/>
      </c>
      <c r="I36" s="13" t="str">
        <f>IF(AC36&lt;&gt;"",VLOOKUP(AC36,'Open Systems'!$A$4:$T$66,7,FALSE),"")</f>
        <v/>
      </c>
      <c r="J36" s="2566" t="str">
        <f t="shared" si="3"/>
        <v/>
      </c>
      <c r="K36" s="1666" t="str">
        <f t="shared" si="9"/>
        <v/>
      </c>
      <c r="L36" s="2801" t="str">
        <f t="shared" si="10"/>
        <v xml:space="preserve"> </v>
      </c>
      <c r="M36" s="120"/>
      <c r="N36" s="1743" t="str">
        <f t="shared" si="4"/>
        <v/>
      </c>
      <c r="O36" s="2008" t="str">
        <f t="shared" si="5"/>
        <v/>
      </c>
      <c r="P36" s="1666" t="str">
        <f t="shared" si="11"/>
        <v/>
      </c>
      <c r="Q36" s="2"/>
      <c r="R36" s="1847" t="str">
        <f>IF($A36&lt;&gt;"",
IF(AND(LEFT(VLOOKUP($AC36,dist_assets,24,FALSE),5)="MSSQL", RIGHT($F36,5)="(ITC)"), ITC_Excludes,
IF(LEFT(VLOOKUP($AC36,dist_assets,24,FALSE),16)="EDH - MSSQL 2017",EDH_Excludes,
IF(LEFT(VLOOKUP($AC36,dist_assets,24,FALSE),10)="MSSQL 2017",SQL_2017_VM_Excludes,
IF(LEFT(VLOOKUP($AC36,dist_assets,24,FALSE),10)="MSSQL 2016",SQL_2016_VM_Excludes,
IF(LEFT(VLOOKUP($AC36,dist_assets,24,FALSE),10)="MSSQL 2014",SQL_2014_VM_Excludes,
IF(LEFT(VLOOKUP($AC36,dist_assets,24,FALSE),10)="MSSQL 2012",SQL_2012_VM_Excludes,
IF(LEFT(VLOOKUP($AC36,dist_assets,24,FALSE),3)="DB2",DB2_Excludes, "No Excludes"))))))),"")</f>
        <v/>
      </c>
      <c r="S36" s="1753"/>
      <c r="T36" s="107" t="str">
        <f>IF($A36&lt;&gt;"",
       VLOOKUP($A36,'Database (All)'!$A$7:$AD$103,22,FALSE),"")</f>
        <v/>
      </c>
      <c r="U36" s="107" t="str">
        <f>IF($A36&lt;&gt;"",
       VLOOKUP($A36,'Database (All)'!$A$7:$AD$103,23,FALSE),"")</f>
        <v/>
      </c>
      <c r="V36" s="107" t="str">
        <f>IF($A36&lt;&gt;"",
       VLOOKUP($A36,'Database (All)'!$A$7:$AD$103,24,FALSE),"")</f>
        <v/>
      </c>
      <c r="W36" s="1755" t="str">
        <f t="shared" si="6"/>
        <v/>
      </c>
      <c r="X36" s="72" t="str">
        <f t="shared" si="12"/>
        <v/>
      </c>
      <c r="Y36" s="837" t="str">
        <f>IF(AND(F36="Prod 2.0",'Project Details'!$C$23&lt;5,OR($E36="AIX", $E36="Solaris")),
LEFT(#REF!,8) &amp; " - " &amp; VLOOKUP(#REF!,'BOM FUNCTIONS'!$BY$12:$CF$19,8,FALSE),"")</f>
        <v/>
      </c>
      <c r="Z36" s="837" t="str">
        <f>IF(AND($F36="Prod 2.0",dr_Level&lt;5,OR($E36="AIX",$E36="Solaris")),#REF!,"")</f>
        <v/>
      </c>
      <c r="AA36" s="835" t="str">
        <f t="shared" si="7"/>
        <v/>
      </c>
      <c r="AB36" s="835" t="str">
        <f t="shared" si="8"/>
        <v/>
      </c>
      <c r="AC36" s="75" t="str">
        <f>IF(A36&lt;&gt;"",VLOOKUP(A36,IP!$A$4:I$153,2,FALSE),"")</f>
        <v/>
      </c>
    </row>
    <row r="37" spans="1:29">
      <c r="A37" s="312"/>
      <c r="B37" s="2016" t="str">
        <f t="shared" si="0"/>
        <v/>
      </c>
      <c r="C37" s="5" t="str">
        <f>IF($A37&lt;&gt;"",
    IF(IFERROR(SEARCH(".",VLOOKUP($A37,IP!$A$4:$N$153,11,FALSE)),0)&gt;1,
                LEFT(VLOOKUP($A37,IP!$A$4:$N$153,11,FALSE),SEARCH(".",VLOOKUP($A37,IP!$A$4:$N$153,11,FALSE))-1),
                   VLOOKUP($A37,IP!$A$4:$N$153,11,FALSE)),"")</f>
        <v/>
      </c>
      <c r="D37" s="5" t="str">
        <f>IF(A37&lt;&gt;"",VLOOKUP(A37,IP!$A$4:N$167,14,FALSE),"")</f>
        <v/>
      </c>
      <c r="E37" s="2801" t="str">
        <f t="shared" si="1"/>
        <v/>
      </c>
      <c r="F37" s="434" t="str">
        <f>IF(AC37&lt;&gt;"",VLOOKUP(VLOOKUP(AC37,dist_assets,2,FALSE),'Distributed Assets'!$C$7:$F$22,4,FALSE),"")</f>
        <v/>
      </c>
      <c r="G37" s="18"/>
      <c r="H37" s="13" t="str">
        <f t="shared" si="2"/>
        <v/>
      </c>
      <c r="I37" s="13" t="str">
        <f>IF(AC37&lt;&gt;"",VLOOKUP(AC37,'Open Systems'!$A$4:$T$66,7,FALSE),"")</f>
        <v/>
      </c>
      <c r="J37" s="2566" t="str">
        <f t="shared" si="3"/>
        <v/>
      </c>
      <c r="K37" s="1666" t="str">
        <f t="shared" si="9"/>
        <v/>
      </c>
      <c r="L37" s="2801" t="str">
        <f t="shared" si="10"/>
        <v xml:space="preserve"> </v>
      </c>
      <c r="M37" s="120"/>
      <c r="N37" s="1743" t="str">
        <f t="shared" si="4"/>
        <v/>
      </c>
      <c r="O37" s="2008" t="str">
        <f t="shared" si="5"/>
        <v/>
      </c>
      <c r="P37" s="1666" t="str">
        <f t="shared" si="11"/>
        <v/>
      </c>
      <c r="Q37" s="2"/>
      <c r="R37" s="1847" t="str">
        <f>IF($A37&lt;&gt;"",
IF(AND(LEFT(VLOOKUP($AC37,dist_assets,24,FALSE),5)="MSSQL", RIGHT($F37,5)="(ITC)"), ITC_Excludes,
IF(LEFT(VLOOKUP($AC37,dist_assets,24,FALSE),16)="EDH - MSSQL 2017",EDH_Excludes,
IF(LEFT(VLOOKUP($AC37,dist_assets,24,FALSE),10)="MSSQL 2017",SQL_2017_VM_Excludes,
IF(LEFT(VLOOKUP($AC37,dist_assets,24,FALSE),10)="MSSQL 2016",SQL_2016_VM_Excludes,
IF(LEFT(VLOOKUP($AC37,dist_assets,24,FALSE),10)="MSSQL 2014",SQL_2014_VM_Excludes,
IF(LEFT(VLOOKUP($AC37,dist_assets,24,FALSE),10)="MSSQL 2012",SQL_2012_VM_Excludes,
IF(LEFT(VLOOKUP($AC37,dist_assets,24,FALSE),3)="DB2",DB2_Excludes, "No Excludes"))))))),"")</f>
        <v/>
      </c>
      <c r="S37" s="1753"/>
      <c r="T37" s="107" t="str">
        <f>IF($A37&lt;&gt;"",
       VLOOKUP($A37,'Database (All)'!$A$7:$AD$103,22,FALSE),"")</f>
        <v/>
      </c>
      <c r="U37" s="107" t="str">
        <f>IF($A37&lt;&gt;"",
       VLOOKUP($A37,'Database (All)'!$A$7:$AD$103,23,FALSE),"")</f>
        <v/>
      </c>
      <c r="V37" s="107" t="str">
        <f>IF($A37&lt;&gt;"",
       VLOOKUP($A37,'Database (All)'!$A$7:$AD$103,24,FALSE),"")</f>
        <v/>
      </c>
      <c r="W37" s="1755" t="str">
        <f t="shared" si="6"/>
        <v/>
      </c>
      <c r="X37" s="72" t="str">
        <f t="shared" si="12"/>
        <v/>
      </c>
      <c r="Y37" s="837" t="str">
        <f>IF(AND(F37="Prod 2.0",'Project Details'!$C$23&lt;5,OR($E37="AIX", $E37="Solaris")),
LEFT(#REF!,8) &amp; " - " &amp; VLOOKUP(#REF!,'BOM FUNCTIONS'!$BY$12:$CF$19,8,FALSE),"")</f>
        <v/>
      </c>
      <c r="Z37" s="837" t="str">
        <f>IF(AND($F37="Prod 2.0",dr_Level&lt;5,OR($E37="AIX",$E37="Solaris")),#REF!,"")</f>
        <v/>
      </c>
      <c r="AA37" s="835" t="str">
        <f t="shared" si="7"/>
        <v/>
      </c>
      <c r="AB37" s="835" t="str">
        <f t="shared" si="8"/>
        <v/>
      </c>
      <c r="AC37" s="75" t="str">
        <f>IF(A37&lt;&gt;"",VLOOKUP(A37,IP!$A$4:I$153,2,FALSE),"")</f>
        <v/>
      </c>
    </row>
    <row r="38" spans="1:29">
      <c r="A38" s="312"/>
      <c r="B38" s="2016" t="str">
        <f t="shared" si="0"/>
        <v/>
      </c>
      <c r="C38" s="5" t="str">
        <f>IF($A38&lt;&gt;"",
    IF(IFERROR(SEARCH(".",VLOOKUP($A38,IP!$A$4:$N$153,11,FALSE)),0)&gt;1,
                LEFT(VLOOKUP($A38,IP!$A$4:$N$153,11,FALSE),SEARCH(".",VLOOKUP($A38,IP!$A$4:$N$153,11,FALSE))-1),
                   VLOOKUP($A38,IP!$A$4:$N$153,11,FALSE)),"")</f>
        <v/>
      </c>
      <c r="D38" s="5" t="str">
        <f>IF(A38&lt;&gt;"",VLOOKUP(A38,IP!$A$4:N$167,14,FALSE),"")</f>
        <v/>
      </c>
      <c r="E38" s="2801" t="str">
        <f t="shared" si="1"/>
        <v/>
      </c>
      <c r="F38" s="434" t="str">
        <f>IF(AC38&lt;&gt;"",VLOOKUP(VLOOKUP(AC38,dist_assets,2,FALSE),'Distributed Assets'!$C$7:$F$22,4,FALSE),"")</f>
        <v/>
      </c>
      <c r="G38" s="18"/>
      <c r="H38" s="13" t="str">
        <f t="shared" si="2"/>
        <v/>
      </c>
      <c r="I38" s="13" t="str">
        <f>IF(AC38&lt;&gt;"",VLOOKUP(AC38,'Open Systems'!$A$4:$T$66,7,FALSE),"")</f>
        <v/>
      </c>
      <c r="J38" s="2566" t="str">
        <f t="shared" si="3"/>
        <v/>
      </c>
      <c r="K38" s="1666" t="str">
        <f t="shared" si="9"/>
        <v/>
      </c>
      <c r="L38" s="2801" t="str">
        <f t="shared" si="10"/>
        <v xml:space="preserve"> </v>
      </c>
      <c r="M38" s="120"/>
      <c r="N38" s="1743" t="str">
        <f t="shared" si="4"/>
        <v/>
      </c>
      <c r="O38" s="2008" t="str">
        <f t="shared" si="5"/>
        <v/>
      </c>
      <c r="P38" s="1666" t="str">
        <f t="shared" si="11"/>
        <v/>
      </c>
      <c r="Q38" s="2"/>
      <c r="R38" s="1847" t="str">
        <f>IF($A38&lt;&gt;"",
IF(AND(LEFT(VLOOKUP($AC38,dist_assets,24,FALSE),5)="MSSQL", RIGHT($F38,5)="(ITC)"), ITC_Excludes,
IF(LEFT(VLOOKUP($AC38,dist_assets,24,FALSE),16)="EDH - MSSQL 2017",EDH_Excludes,
IF(LEFT(VLOOKUP($AC38,dist_assets,24,FALSE),10)="MSSQL 2017",SQL_2017_VM_Excludes,
IF(LEFT(VLOOKUP($AC38,dist_assets,24,FALSE),10)="MSSQL 2016",SQL_2016_VM_Excludes,
IF(LEFT(VLOOKUP($AC38,dist_assets,24,FALSE),10)="MSSQL 2014",SQL_2014_VM_Excludes,
IF(LEFT(VLOOKUP($AC38,dist_assets,24,FALSE),10)="MSSQL 2012",SQL_2012_VM_Excludes,
IF(LEFT(VLOOKUP($AC38,dist_assets,24,FALSE),3)="DB2",DB2_Excludes, "No Excludes"))))))),"")</f>
        <v/>
      </c>
      <c r="S38" s="1753"/>
      <c r="T38" s="107" t="str">
        <f>IF($A38&lt;&gt;"",
       VLOOKUP($A38,'Database (All)'!$A$7:$AD$103,22,FALSE),"")</f>
        <v/>
      </c>
      <c r="U38" s="107" t="str">
        <f>IF($A38&lt;&gt;"",
       VLOOKUP($A38,'Database (All)'!$A$7:$AD$103,23,FALSE),"")</f>
        <v/>
      </c>
      <c r="V38" s="107" t="str">
        <f>IF($A38&lt;&gt;"",
       VLOOKUP($A38,'Database (All)'!$A$7:$AD$103,24,FALSE),"")</f>
        <v/>
      </c>
      <c r="W38" s="1755" t="str">
        <f t="shared" si="6"/>
        <v/>
      </c>
      <c r="X38" s="72" t="str">
        <f t="shared" si="12"/>
        <v/>
      </c>
      <c r="Y38" s="837" t="str">
        <f>IF(AND(F38="Prod 2.0",'Project Details'!$C$23&lt;5,OR($E38="AIX", $E38="Solaris")),
LEFT(#REF!,8) &amp; " - " &amp; VLOOKUP(#REF!,'BOM FUNCTIONS'!$BY$12:$CF$19,8,FALSE),"")</f>
        <v/>
      </c>
      <c r="Z38" s="837" t="str">
        <f>IF(AND($F38="Prod 2.0",dr_Level&lt;5,OR($E38="AIX",$E38="Solaris")),#REF!,"")</f>
        <v/>
      </c>
      <c r="AA38" s="835" t="str">
        <f t="shared" si="7"/>
        <v/>
      </c>
      <c r="AB38" s="835" t="str">
        <f t="shared" si="8"/>
        <v/>
      </c>
      <c r="AC38" s="75" t="str">
        <f>IF(A38&lt;&gt;"",VLOOKUP(A38,IP!$A$4:I$153,2,FALSE),"")</f>
        <v/>
      </c>
    </row>
    <row r="39" spans="1:29">
      <c r="A39" s="312"/>
      <c r="B39" s="2016" t="str">
        <f t="shared" si="0"/>
        <v/>
      </c>
      <c r="C39" s="5" t="str">
        <f>IF($A39&lt;&gt;"",
    IF(IFERROR(SEARCH(".",VLOOKUP($A39,IP!$A$4:$N$153,11,FALSE)),0)&gt;1,
                LEFT(VLOOKUP($A39,IP!$A$4:$N$153,11,FALSE),SEARCH(".",VLOOKUP($A39,IP!$A$4:$N$153,11,FALSE))-1),
                   VLOOKUP($A39,IP!$A$4:$N$153,11,FALSE)),"")</f>
        <v/>
      </c>
      <c r="D39" s="5" t="str">
        <f>IF(A39&lt;&gt;"",VLOOKUP(A39,IP!$A$4:N$167,14,FALSE),"")</f>
        <v/>
      </c>
      <c r="E39" s="2801" t="str">
        <f t="shared" si="1"/>
        <v/>
      </c>
      <c r="F39" s="434" t="str">
        <f>IF(AC39&lt;&gt;"",VLOOKUP(VLOOKUP(AC39,dist_assets,2,FALSE),'Distributed Assets'!$C$7:$F$22,4,FALSE),"")</f>
        <v/>
      </c>
      <c r="G39" s="18"/>
      <c r="H39" s="13" t="str">
        <f t="shared" si="2"/>
        <v/>
      </c>
      <c r="I39" s="13" t="str">
        <f>IF(AC39&lt;&gt;"",VLOOKUP(AC39,'Open Systems'!$A$4:$T$66,7,FALSE),"")</f>
        <v/>
      </c>
      <c r="J39" s="2566" t="str">
        <f t="shared" si="3"/>
        <v/>
      </c>
      <c r="K39" s="1666" t="str">
        <f t="shared" si="9"/>
        <v/>
      </c>
      <c r="L39" s="2801" t="str">
        <f t="shared" si="10"/>
        <v xml:space="preserve"> </v>
      </c>
      <c r="M39" s="120"/>
      <c r="N39" s="1743" t="str">
        <f t="shared" si="4"/>
        <v/>
      </c>
      <c r="O39" s="2008" t="str">
        <f t="shared" si="5"/>
        <v/>
      </c>
      <c r="P39" s="1666" t="str">
        <f t="shared" si="11"/>
        <v/>
      </c>
      <c r="Q39" s="2"/>
      <c r="R39" s="1847" t="str">
        <f>IF($A39&lt;&gt;"",
IF(AND(LEFT(VLOOKUP($AC39,dist_assets,24,FALSE),5)="MSSQL", RIGHT($F39,5)="(ITC)"), ITC_Excludes,
IF(LEFT(VLOOKUP($AC39,dist_assets,24,FALSE),16)="EDH - MSSQL 2017",EDH_Excludes,
IF(LEFT(VLOOKUP($AC39,dist_assets,24,FALSE),10)="MSSQL 2017",SQL_2017_VM_Excludes,
IF(LEFT(VLOOKUP($AC39,dist_assets,24,FALSE),10)="MSSQL 2016",SQL_2016_VM_Excludes,
IF(LEFT(VLOOKUP($AC39,dist_assets,24,FALSE),10)="MSSQL 2014",SQL_2014_VM_Excludes,
IF(LEFT(VLOOKUP($AC39,dist_assets,24,FALSE),10)="MSSQL 2012",SQL_2012_VM_Excludes,
IF(LEFT(VLOOKUP($AC39,dist_assets,24,FALSE),3)="DB2",DB2_Excludes, "No Excludes"))))))),"")</f>
        <v/>
      </c>
      <c r="S39" s="1753"/>
      <c r="T39" s="107" t="str">
        <f>IF($A39&lt;&gt;"",
       VLOOKUP($A39,'Database (All)'!$A$7:$AD$103,22,FALSE),"")</f>
        <v/>
      </c>
      <c r="U39" s="107" t="str">
        <f>IF($A39&lt;&gt;"",
       VLOOKUP($A39,'Database (All)'!$A$7:$AD$103,23,FALSE),"")</f>
        <v/>
      </c>
      <c r="V39" s="107" t="str">
        <f>IF($A39&lt;&gt;"",
       VLOOKUP($A39,'Database (All)'!$A$7:$AD$103,24,FALSE),"")</f>
        <v/>
      </c>
      <c r="W39" s="1755" t="str">
        <f t="shared" si="6"/>
        <v/>
      </c>
      <c r="X39" s="72" t="str">
        <f t="shared" si="12"/>
        <v/>
      </c>
      <c r="Y39" s="837" t="str">
        <f>IF(AND(F39="Prod 2.0",'Project Details'!$C$23&lt;5,OR($E39="AIX", $E39="Solaris")),
LEFT(#REF!,8) &amp; " - " &amp; VLOOKUP(#REF!,'BOM FUNCTIONS'!$BY$12:$CF$19,8,FALSE),"")</f>
        <v/>
      </c>
      <c r="Z39" s="837" t="str">
        <f>IF(AND($F39="Prod 2.0",dr_Level&lt;5,OR($E39="AIX",$E39="Solaris")),#REF!,"")</f>
        <v/>
      </c>
      <c r="AA39" s="835" t="str">
        <f t="shared" si="7"/>
        <v/>
      </c>
      <c r="AB39" s="835" t="str">
        <f t="shared" si="8"/>
        <v/>
      </c>
      <c r="AC39" s="75" t="str">
        <f>IF(A39&lt;&gt;"",VLOOKUP(A39,IP!$A$4:I$153,2,FALSE),"")</f>
        <v/>
      </c>
    </row>
    <row r="40" spans="1:29" ht="13.5" thickBot="1">
      <c r="A40" s="313"/>
      <c r="B40" s="2017" t="str">
        <f t="shared" si="0"/>
        <v/>
      </c>
      <c r="C40" s="314" t="str">
        <f>IF($A40&lt;&gt;"",
    IF(IFERROR(SEARCH(".",VLOOKUP($A40,IP!$A$4:$N$153,11,FALSE)),0)&gt;1,
                LEFT(VLOOKUP($A40,IP!$A$4:$N$153,11,FALSE),SEARCH(".",VLOOKUP($A40,IP!$A$4:$N$153,11,FALSE))-1),
                   VLOOKUP($A40,IP!$A$4:$N$153,11,FALSE)),"")</f>
        <v/>
      </c>
      <c r="D40" s="314" t="str">
        <f>IF(A40&lt;&gt;"",VLOOKUP(A40,IP!$A$4:N$167,14,FALSE),"")</f>
        <v/>
      </c>
      <c r="E40" s="314" t="str">
        <f t="shared" si="1"/>
        <v/>
      </c>
      <c r="F40" s="438" t="str">
        <f>IF(AC40&lt;&gt;"",VLOOKUP(VLOOKUP(AC40,dist_assets,2,FALSE),'Distributed Assets'!$C$7:$F$22,4,FALSE),"")</f>
        <v/>
      </c>
      <c r="G40" s="315"/>
      <c r="H40" s="261" t="str">
        <f t="shared" si="2"/>
        <v/>
      </c>
      <c r="I40" s="261" t="str">
        <f>IF(AC40&lt;&gt;"",VLOOKUP(AC40,'Open Systems'!$A$4:$T$66,7,FALSE),"")</f>
        <v/>
      </c>
      <c r="J40" s="2924" t="str">
        <f t="shared" si="3"/>
        <v/>
      </c>
      <c r="K40" s="2925" t="str">
        <f t="shared" si="9"/>
        <v/>
      </c>
      <c r="L40" s="3118" t="str">
        <f t="shared" si="10"/>
        <v xml:space="preserve"> </v>
      </c>
      <c r="M40" s="114"/>
      <c r="N40" s="1744" t="str">
        <f t="shared" si="4"/>
        <v/>
      </c>
      <c r="O40" s="252" t="str">
        <f t="shared" si="5"/>
        <v/>
      </c>
      <c r="P40" s="1102" t="str">
        <f t="shared" si="11"/>
        <v/>
      </c>
      <c r="Q40" s="263"/>
      <c r="R40" s="3098" t="str">
        <f>IF($A40&lt;&gt;"",
IF(AND(LEFT(VLOOKUP($AC40,dist_assets,24,FALSE),5)="MSSQL", RIGHT($F40,5)="(ITC)"), ITC_Excludes,
IF(LEFT(VLOOKUP($AC40,dist_assets,24,FALSE),16)="EDH - MSSQL 2017",EDH_Excludes,
IF(LEFT(VLOOKUP($AC40,dist_assets,24,FALSE),10)="MSSQL 2017",SQL_2017_VM_Excludes,
IF(LEFT(VLOOKUP($AC40,dist_assets,24,FALSE),10)="MSSQL 2016",SQL_2016_VM_Excludes,
IF(LEFT(VLOOKUP($AC40,dist_assets,24,FALSE),10)="MSSQL 2014",SQL_2014_VM_Excludes,
IF(LEFT(VLOOKUP($AC40,dist_assets,24,FALSE),10)="MSSQL 2012",SQL_2012_VM_Excludes,
IF(LEFT(VLOOKUP($AC40,dist_assets,24,FALSE),3)="DB2",DB2_Excludes, "No Excludes"))))))),"")</f>
        <v/>
      </c>
      <c r="S40" s="351"/>
      <c r="T40" s="1757" t="str">
        <f>IF($A40&lt;&gt;"",
       VLOOKUP($A40,'Database (All)'!$A$7:$AD$103,22,FALSE),"")</f>
        <v/>
      </c>
      <c r="U40" s="1757" t="str">
        <f>IF($A40&lt;&gt;"",
       VLOOKUP($A40,'Database (All)'!$A$7:$AD$103,23,FALSE),"")</f>
        <v/>
      </c>
      <c r="V40" s="1757" t="str">
        <f>IF($A40&lt;&gt;"",
       VLOOKUP($A40,'Database (All)'!$A$7:$AD$103,24,FALSE),"")</f>
        <v/>
      </c>
      <c r="W40" s="1752" t="str">
        <f t="shared" si="6"/>
        <v/>
      </c>
      <c r="X40" s="72" t="str">
        <f t="shared" si="12"/>
        <v/>
      </c>
      <c r="Y40" s="838" t="str">
        <f>IF(AND(F40="Prod 2.0",'Project Details'!$C$23&lt;5,OR($E40="AIX", $E40="Solaris")),
LEFT(#REF!,8) &amp; " - " &amp; VLOOKUP(#REF!,'BOM FUNCTIONS'!$BY$12:$CF$19,8,FALSE),"")</f>
        <v/>
      </c>
      <c r="Z40" s="838" t="str">
        <f>IF(AND($F40="Prod 2.0",dr_Level&lt;5,OR($E40="AIX",$E40="Solaris")),#REF!,"")</f>
        <v/>
      </c>
      <c r="AA40" s="836" t="str">
        <f t="shared" si="7"/>
        <v/>
      </c>
      <c r="AB40" s="836" t="str">
        <f t="shared" si="8"/>
        <v/>
      </c>
      <c r="AC40" s="316" t="str">
        <f>IF(A40&lt;&gt;"",VLOOKUP(A40,IP!$A$4:I$153,2,FALSE),"")</f>
        <v/>
      </c>
    </row>
  </sheetData>
  <mergeCells count="1">
    <mergeCell ref="Y1:AB1"/>
  </mergeCells>
  <phoneticPr fontId="61" type="noConversion"/>
  <conditionalFormatting sqref="C1">
    <cfRule type="cellIs" dxfId="140" priority="14" operator="equal">
      <formula>"Undetermined"</formula>
    </cfRule>
    <cfRule type="cellIs" dxfId="139" priority="15" operator="equal">
      <formula>"REQUIRED"</formula>
    </cfRule>
  </conditionalFormatting>
  <conditionalFormatting sqref="AA3:AA40">
    <cfRule type="expression" dxfId="138" priority="10">
      <formula>$AA3&lt;&gt;""</formula>
    </cfRule>
  </conditionalFormatting>
  <conditionalFormatting sqref="Y3:Y40">
    <cfRule type="expression" dxfId="137" priority="9">
      <formula>$Y3&lt;&gt;""</formula>
    </cfRule>
  </conditionalFormatting>
  <conditionalFormatting sqref="Z3:Z40">
    <cfRule type="expression" dxfId="136" priority="7">
      <formula>$Z3&lt;&gt;""</formula>
    </cfRule>
  </conditionalFormatting>
  <conditionalFormatting sqref="AB3:AB40">
    <cfRule type="expression" dxfId="135" priority="6">
      <formula>$AB3&lt;&gt;""</formula>
    </cfRule>
  </conditionalFormatting>
  <conditionalFormatting sqref="Y1:AB1">
    <cfRule type="expression" dxfId="134" priority="5">
      <formula>$L$2&lt;&gt;""</formula>
    </cfRule>
  </conditionalFormatting>
  <conditionalFormatting sqref="W3:W40">
    <cfRule type="expression" dxfId="133" priority="4">
      <formula>$E3&lt;&gt;"AIX"</formula>
    </cfRule>
  </conditionalFormatting>
  <conditionalFormatting sqref="U3:V40">
    <cfRule type="expression" dxfId="132" priority="3">
      <formula>$T3 = "Daily"</formula>
    </cfRule>
  </conditionalFormatting>
  <conditionalFormatting sqref="T3:V40">
    <cfRule type="containsErrors" dxfId="131" priority="1">
      <formula>ISERROR(T3)</formula>
    </cfRule>
  </conditionalFormatting>
  <dataValidations count="3">
    <dataValidation type="list" allowBlank="1" showInputMessage="1" showErrorMessage="1" sqref="G3:G40 AB3:AB40 W3:X40" xr:uid="{00000000-0002-0000-1100-000000000000}">
      <formula1>"Yes, No"</formula1>
    </dataValidation>
    <dataValidation type="list" allowBlank="1" showInputMessage="1" showErrorMessage="1" sqref="A3:A40" xr:uid="{00000000-0002-0000-1100-000001000000}">
      <formula1>list_AllIPs</formula1>
    </dataValidation>
    <dataValidation type="list" allowBlank="1" showInputMessage="1" showErrorMessage="1" sqref="O3:O40" xr:uid="{00000000-0002-0000-1100-000002000000}">
      <formula1>tsm_api</formula1>
    </dataValidation>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48147" r:id="rId4">
          <objectPr defaultSize="0" r:id="rId5">
            <anchor moveWithCells="1">
              <from>
                <xdr:col>105</xdr:col>
                <xdr:colOff>590550</xdr:colOff>
                <xdr:row>0</xdr:row>
                <xdr:rowOff>419100</xdr:rowOff>
              </from>
              <to>
                <xdr:col>123</xdr:col>
                <xdr:colOff>142875</xdr:colOff>
                <xdr:row>19</xdr:row>
                <xdr:rowOff>9525</xdr:rowOff>
              </to>
            </anchor>
          </objectPr>
        </oleObject>
      </mc:Choice>
      <mc:Fallback>
        <oleObject progId="Word.Document.12" shapeId="48147" r:id="rId4"/>
      </mc:Fallback>
    </mc:AlternateContent>
  </oleObjec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3" tint="0.79998168889431442"/>
  </sheetPr>
  <dimension ref="A1:AE103"/>
  <sheetViews>
    <sheetView showGridLines="0" zoomScaleNormal="100" workbookViewId="0">
      <selection activeCell="J30" sqref="J30"/>
    </sheetView>
  </sheetViews>
  <sheetFormatPr defaultRowHeight="12.75"/>
  <cols>
    <col min="1" max="1" width="19.28515625" style="6" customWidth="1"/>
    <col min="2" max="2" width="17.7109375" style="6" customWidth="1"/>
    <col min="3" max="3" width="26.5703125" customWidth="1"/>
    <col min="4" max="4" width="20" customWidth="1"/>
    <col min="5" max="5" width="12.5703125" customWidth="1"/>
    <col min="6" max="6" width="14.42578125" style="353" customWidth="1"/>
    <col min="7" max="7" width="13.42578125" customWidth="1"/>
    <col min="8" max="8" width="26.7109375" customWidth="1"/>
    <col min="9" max="9" width="14.28515625" customWidth="1"/>
    <col min="10" max="10" width="18.42578125" customWidth="1"/>
    <col min="11" max="11" width="16.85546875" customWidth="1"/>
    <col min="12" max="17" width="20" customWidth="1"/>
    <col min="18" max="18" width="12.7109375" customWidth="1"/>
    <col min="19" max="19" width="15.5703125" customWidth="1"/>
    <col min="20" max="20" width="37.28515625" customWidth="1"/>
    <col min="21" max="21" width="14.7109375" customWidth="1"/>
    <col min="22" max="24" width="14.7109375" style="931" customWidth="1"/>
    <col min="25" max="25" width="13.42578125" hidden="1" customWidth="1"/>
    <col min="26" max="26" width="27.28515625" hidden="1" customWidth="1"/>
    <col min="27" max="27" width="26.5703125" customWidth="1"/>
    <col min="28" max="28" width="15.85546875" hidden="1" customWidth="1"/>
    <col min="29" max="29" width="13.85546875" customWidth="1"/>
    <col min="30" max="30" width="13.85546875" style="931" customWidth="1"/>
    <col min="31" max="31" width="14" hidden="1" customWidth="1"/>
  </cols>
  <sheetData>
    <row r="1" spans="1:31" ht="39" customHeight="1" thickBot="1">
      <c r="A1" s="3849"/>
      <c r="B1" s="3850"/>
      <c r="C1" s="3850"/>
      <c r="D1" s="148" t="str">
        <f>IF(Database_all="YES","REQUIRED",IF(Database_all="NO","This Tab is Not Required","Undetermined"))</f>
        <v>This Tab is Not Required</v>
      </c>
      <c r="E1" s="155"/>
      <c r="F1" s="1354" t="str">
        <f>'Project Details'!$C$8 &amp;" - Database Requests"</f>
        <v>Linux Infrastructure Management - Database Requests</v>
      </c>
      <c r="G1" s="155"/>
      <c r="H1" s="155"/>
      <c r="I1" s="155"/>
      <c r="J1" s="155"/>
      <c r="K1" s="155"/>
      <c r="L1" s="155"/>
      <c r="M1" s="155"/>
      <c r="N1" s="155"/>
      <c r="O1" s="155"/>
      <c r="P1" s="889" t="str">
        <f>F1</f>
        <v>Linux Infrastructure Management - Database Requests</v>
      </c>
      <c r="Q1" s="155"/>
      <c r="R1" s="155"/>
      <c r="S1" s="148"/>
      <c r="T1" s="54" t="s">
        <v>691</v>
      </c>
      <c r="U1" s="53" t="str">
        <f>'Project Details'!C23</f>
        <v>l</v>
      </c>
      <c r="V1" s="53"/>
      <c r="W1" s="53"/>
      <c r="X1" s="53"/>
    </row>
    <row r="2" spans="1:31" s="3" customFormat="1" ht="24" customHeight="1">
      <c r="A2" s="3851" t="s">
        <v>755</v>
      </c>
      <c r="B2" s="3852"/>
      <c r="C2" s="3853"/>
      <c r="D2" s="90" t="s">
        <v>809</v>
      </c>
      <c r="E2" s="1355"/>
      <c r="F2" s="1355"/>
      <c r="G2" s="672"/>
      <c r="H2" s="672"/>
      <c r="I2" s="672"/>
      <c r="J2" s="3840" t="str">
        <f>IF(dr_critical="Yes","DR LEVEL = "&amp;dr_Level,
   IF(dr_critical="No","DR LEVEL = NO DR",
     IF(dr_critical="TBD","DR LEVEL =  TBD","")))</f>
        <v>DR LEVEL = NO DR</v>
      </c>
      <c r="K2" s="3841"/>
      <c r="L2" s="3842"/>
      <c r="M2" s="156"/>
      <c r="N2" s="156"/>
      <c r="O2" s="156"/>
      <c r="P2" s="156"/>
      <c r="Q2" s="156"/>
      <c r="R2" s="156"/>
      <c r="S2" s="157"/>
      <c r="T2" s="156"/>
      <c r="U2" s="156"/>
      <c r="V2" s="156"/>
      <c r="W2" s="156"/>
      <c r="X2" s="156"/>
      <c r="Y2" s="156"/>
      <c r="Z2" s="156"/>
      <c r="AA2" s="156"/>
      <c r="AB2" s="156"/>
      <c r="AC2" s="156"/>
      <c r="AD2" s="156"/>
    </row>
    <row r="3" spans="1:31" ht="17.25" customHeight="1">
      <c r="A3" s="3854" t="s">
        <v>4423</v>
      </c>
      <c r="B3" s="3855"/>
      <c r="C3" s="3856"/>
      <c r="D3" s="1973" t="str">
        <f>IF($D$1 = "REQUIRED", ITAM_number,"")</f>
        <v/>
      </c>
      <c r="E3" s="3860" t="s">
        <v>2209</v>
      </c>
      <c r="F3" s="3860"/>
      <c r="G3" s="3860"/>
      <c r="H3" s="3860"/>
      <c r="I3" s="2041"/>
      <c r="J3" s="3843"/>
      <c r="K3" s="3844"/>
      <c r="L3" s="3845"/>
      <c r="M3" s="158"/>
      <c r="N3" s="158"/>
      <c r="O3" s="158"/>
      <c r="P3" s="158"/>
      <c r="Q3" s="158"/>
      <c r="R3" s="158"/>
      <c r="S3" s="159"/>
      <c r="T3" s="158"/>
      <c r="U3" s="158"/>
      <c r="V3" s="158"/>
      <c r="W3" s="158"/>
      <c r="X3" s="158"/>
      <c r="Y3" s="158"/>
      <c r="Z3" s="158"/>
      <c r="AA3" s="158"/>
      <c r="AB3" s="158"/>
      <c r="AC3" s="158"/>
      <c r="AD3" s="158"/>
    </row>
    <row r="4" spans="1:31" ht="18.75" customHeight="1" thickBot="1">
      <c r="A4" s="3857" t="s">
        <v>802</v>
      </c>
      <c r="B4" s="3858"/>
      <c r="C4" s="3859"/>
      <c r="D4" s="1973" t="str">
        <f>IF($D$1 = "REQUIRED", ITAM_number,"")</f>
        <v/>
      </c>
      <c r="E4" s="3861" t="str">
        <f>IF(Offshore=TRUE,"NO OFFSHORE","")</f>
        <v>NO OFFSHORE</v>
      </c>
      <c r="F4" s="3862"/>
      <c r="G4" s="3862"/>
      <c r="H4" s="3863"/>
      <c r="I4" s="2041"/>
      <c r="J4" s="3846"/>
      <c r="K4" s="3847"/>
      <c r="L4" s="3848"/>
      <c r="M4" s="158"/>
      <c r="N4" s="158"/>
      <c r="O4" s="158"/>
      <c r="P4" s="158"/>
      <c r="Q4" s="158"/>
      <c r="R4" s="158"/>
      <c r="S4" s="159"/>
      <c r="T4" s="158"/>
      <c r="U4" s="158"/>
      <c r="V4" s="158"/>
      <c r="W4" s="158"/>
      <c r="X4" s="158"/>
      <c r="Y4" s="158"/>
      <c r="Z4" s="158"/>
      <c r="AA4" s="158"/>
      <c r="AB4" s="158"/>
      <c r="AC4" s="2195"/>
      <c r="AD4" s="158"/>
    </row>
    <row r="5" spans="1:31" s="931" customFormat="1" ht="18.75" customHeight="1">
      <c r="A5" s="2006">
        <v>1</v>
      </c>
      <c r="B5" s="2007">
        <v>2</v>
      </c>
      <c r="C5" s="2007">
        <v>3</v>
      </c>
      <c r="D5" s="2007">
        <v>4</v>
      </c>
      <c r="E5" s="2007">
        <v>5</v>
      </c>
      <c r="F5" s="2007">
        <v>6</v>
      </c>
      <c r="G5" s="2007">
        <v>7</v>
      </c>
      <c r="H5" s="2007">
        <v>8</v>
      </c>
      <c r="I5" s="2007">
        <v>9</v>
      </c>
      <c r="J5" s="2062">
        <v>10</v>
      </c>
      <c r="K5" s="2062">
        <v>11</v>
      </c>
      <c r="L5" s="2062">
        <v>12</v>
      </c>
      <c r="M5" s="2007">
        <v>13</v>
      </c>
      <c r="N5" s="2007">
        <v>14</v>
      </c>
      <c r="O5" s="2007">
        <v>15</v>
      </c>
      <c r="P5" s="2007">
        <v>16</v>
      </c>
      <c r="Q5" s="2007">
        <v>17</v>
      </c>
      <c r="R5" s="2007">
        <v>18</v>
      </c>
      <c r="S5" s="2007">
        <v>19</v>
      </c>
      <c r="T5" s="2007">
        <v>20</v>
      </c>
      <c r="U5" s="2007">
        <v>21</v>
      </c>
      <c r="V5" s="2007">
        <v>22</v>
      </c>
      <c r="W5" s="2007">
        <v>23</v>
      </c>
      <c r="X5" s="2007">
        <v>24</v>
      </c>
      <c r="Y5" s="2007">
        <v>25</v>
      </c>
      <c r="Z5" s="2007">
        <v>26</v>
      </c>
      <c r="AA5" s="2007">
        <v>27</v>
      </c>
      <c r="AB5" s="2007">
        <v>28</v>
      </c>
      <c r="AC5" s="2007">
        <v>29</v>
      </c>
      <c r="AD5" s="2007"/>
    </row>
    <row r="6" spans="1:31" s="4" customFormat="1" ht="77.25" thickBot="1">
      <c r="A6" s="1979" t="s">
        <v>2395</v>
      </c>
      <c r="B6" s="1980" t="s">
        <v>422</v>
      </c>
      <c r="C6" s="3347" t="s">
        <v>3481</v>
      </c>
      <c r="D6" s="3345" t="s">
        <v>3480</v>
      </c>
      <c r="E6" s="1974" t="s">
        <v>46</v>
      </c>
      <c r="F6" s="1974" t="s">
        <v>883</v>
      </c>
      <c r="G6" s="1975" t="s">
        <v>52</v>
      </c>
      <c r="H6" s="1974" t="s">
        <v>307</v>
      </c>
      <c r="I6" s="2005" t="s">
        <v>130</v>
      </c>
      <c r="J6" s="1976" t="s">
        <v>2210</v>
      </c>
      <c r="K6" s="1976" t="s">
        <v>2211</v>
      </c>
      <c r="L6" s="1976" t="s">
        <v>2212</v>
      </c>
      <c r="M6" s="1974" t="s">
        <v>752</v>
      </c>
      <c r="N6" s="1974" t="s">
        <v>3635</v>
      </c>
      <c r="O6" s="1974" t="s">
        <v>305</v>
      </c>
      <c r="P6" s="1974" t="s">
        <v>306</v>
      </c>
      <c r="Q6" s="1974" t="s">
        <v>665</v>
      </c>
      <c r="R6" s="1974" t="s">
        <v>308</v>
      </c>
      <c r="S6" s="2005" t="s">
        <v>2215</v>
      </c>
      <c r="T6" s="1974" t="s">
        <v>309</v>
      </c>
      <c r="U6" s="1974" t="s">
        <v>3519</v>
      </c>
      <c r="V6" s="1977" t="s">
        <v>3525</v>
      </c>
      <c r="W6" s="1977" t="s">
        <v>3518</v>
      </c>
      <c r="X6" s="1977" t="s">
        <v>3524</v>
      </c>
      <c r="Y6" s="2005" t="s">
        <v>4424</v>
      </c>
      <c r="Z6" s="1978"/>
      <c r="AA6" s="3350" t="s">
        <v>2964</v>
      </c>
      <c r="AB6" s="1978" t="s">
        <v>2605</v>
      </c>
      <c r="AC6" s="2196" t="s">
        <v>2206</v>
      </c>
      <c r="AD6" s="2196" t="s">
        <v>3848</v>
      </c>
      <c r="AE6" s="3340" t="s">
        <v>5569</v>
      </c>
    </row>
    <row r="7" spans="1:31">
      <c r="A7" s="301" t="str">
        <f t="array" ref="A7">IF('New DB Request'!A26&lt;&gt;"",INDEX(newdbreq_assetlist,MATCH(SMALL(COUNTIF(newdbreq_assetlist,"&lt;="&amp;newdbreq_assetlist),ROWS($A$26:A26)),COUNTIF(newdbreq_assetlist,"&lt;="&amp;newdbreq_assetlist),0)),"")</f>
        <v/>
      </c>
      <c r="B7" s="3009" t="str">
        <f t="shared" ref="B7:B38" si="0">IF($A7&lt;&gt;"",
        IF(VLOOKUP($A7,dist_assets,28,FALSE)&lt;&gt;"",
        VLOOKUP($A7,dist_assets,28,FALSE),"N/A"),"")</f>
        <v/>
      </c>
      <c r="C7" s="1692" t="str">
        <f>IF($A7&lt;&gt;"",
                         LEFT(VLOOKUP($A7,IP!$A$4:$N$153,11,FALSE),SEARCH(".",VLOOKUP($A7,IP!$A$4:$N$153,11,FALSE))-1),
        "")</f>
        <v/>
      </c>
      <c r="D7" s="1692" t="str">
        <f>IF($A7&lt;&gt;"",VLOOKUP(CONCATENATE($A7&amp;"  (IP01)"),IP!$A$4:$D$153,4,FALSE),"")</f>
        <v/>
      </c>
      <c r="E7" s="1356" t="str">
        <f t="shared" ref="E7:E38" si="1">IF($A7&lt;&gt;"",VLOOKUP($A7,dist_assets,9,FALSE),"")</f>
        <v/>
      </c>
      <c r="F7" s="590" t="str">
        <f>IF($A7&lt;&gt;"",VLOOKUP(VLOOKUP($A7,dist_assets,2,FALSE),'Distributed Assets'!$C$6:$F$22,4,FALSE),"")</f>
        <v/>
      </c>
      <c r="G7" s="1356" t="str">
        <f t="shared" ref="G7:G38" si="2">IF($A7&lt;&gt;"",IF(OR(VLOOKUP($A7,dist_assets,16,FALSE)="Active / Active", VLOOKUP($A7,dist_assets,16,FALSE)="Active / Passive", VLOOKUP($A7,dist_assets,16,FALSE)="Oracle RAC"),"Yes","No"),"")</f>
        <v/>
      </c>
      <c r="H7" s="590" t="str">
        <f t="shared" ref="H7:H38" si="3">IF($A7&lt;&gt;"",VLOOKUP($A7,dist_assets,24,FALSE),"")</f>
        <v/>
      </c>
      <c r="I7" s="590" t="str">
        <f t="shared" ref="I7:I38" si="4">IF(A7&lt;&gt;"",IF(dr_critical="Yes",
    IF(dr_Level&lt;3,"Yes","No"),"No"),"")</f>
        <v/>
      </c>
      <c r="J7" s="1356" t="str">
        <f t="shared" ref="J7:J38" si="5">IF($A7&lt;&gt;"",
              IF(AND($F7="Prod 2.0",dr_Level&lt;5),
                            IF(ISBLANK(VLOOKUP($F7,dist_assets,24,FALSE)),"No","Yes"),
               ""),
   "")</f>
        <v/>
      </c>
      <c r="K7" s="1356" t="str">
        <f t="shared" ref="K7:K38" si="6">IF($A7&lt;&gt;"",
      IF(AND($F7="Prod 2.0",dr_Level&lt;5),
           IF(OR(LEFT(VLOOKUP($A7,dist_assets,24,FALSE),3)="DB2",
                      LEFT(VLOOKUP($A7,dist_assets,24,FALSE),6)="Oracle"),
"Yes","No"),
""),
"")</f>
        <v/>
      </c>
      <c r="L7" s="1356" t="str">
        <f t="shared" ref="L7:L38" si="7">IF($A7&lt;&gt;"",
      IF(AND($F7="Prod 2.0",dr_Level&lt;5),
           IF(LEFT(VLOOKUP($A7,dist_assets,24,FALSE),5)="MSSQL", "Yes","No"),
               ""),
           "")</f>
        <v/>
      </c>
      <c r="M7" s="590" t="str">
        <f t="shared" ref="M7:M38" si="8">IF($A7&lt;&gt;"",
IF(LEFT($H7,5)="MSSQL",
IF(VLOOKUP($A7,dist_assets,3,FALSE)="New","Yes", "No"),""),"")</f>
        <v/>
      </c>
      <c r="N7" s="30"/>
      <c r="O7" s="3167" t="str">
        <f t="array" ref="O7">IF(A7&lt;&gt;"",INDEX('New DB Request'!$A$26:$M$55,SMALL(IF(A7='New DB Request'!$A$26:$A$55,ROW('New DB Request'!$A$26:$A$55)),AE7)-25,4),"")</f>
        <v/>
      </c>
      <c r="P7" s="2077"/>
      <c r="Q7" s="30"/>
      <c r="R7" s="3338" t="str">
        <f t="array" ref="R7">IF(A7&lt;&gt;"",INDEX('New DB Request'!$A$26:$M$55,SMALL(IF(A7='New DB Request'!$A$26:$A$55,ROW('New DB Request'!$A$26:$A$55)),AE7)-25,5),"")</f>
        <v/>
      </c>
      <c r="S7" s="2633" t="str">
        <f t="array" ref="S7">IF(A7&lt;&gt;"",INDEX('New DB Request'!$A$26:$M$55,SMALL(IF(A7='New DB Request'!$A$26:$A$55,ROW('New DB Request'!$A$26:$A$55)),AE7)-25,6),"")</f>
        <v/>
      </c>
      <c r="T7" s="2364" t="str">
        <f t="array" ref="T7">IF(A7&lt;&gt;"",INDEX('New DB Request'!$A$26:$M$55,SMALL(IF(A7='New DB Request'!$A$26:$A$55,ROW('New DB Request'!$A$26:$A$55)),AE7)-25,8),"")</f>
        <v/>
      </c>
      <c r="U7" s="30"/>
      <c r="V7" s="1090"/>
      <c r="W7" s="1090"/>
      <c r="X7" s="1090"/>
      <c r="Y7" s="3338" t="str">
        <f t="shared" ref="Y7:Y38" si="9">IF($A7&lt;&gt;"",VLOOKUP($A7,dist_assets,3,FALSE),"")</f>
        <v/>
      </c>
      <c r="Z7" s="1357"/>
      <c r="AA7" s="2077" t="str">
        <f>IF($A7&lt;&gt;"",
      IF($E7="Windows",VLOOKUP($A7,dist_assets,15,FALSE),
        IF($E7&lt;&gt;"Windows",
               IF($H7="Oracle Standalone 11.2",Oracle_Standalone_fs($S7),
               IF($H7="Oracle HACMP 11.2 - Node 1", Oracle_HACMP_Node_1($S7),
               IF($H7="Oracle HACMP 11.2 - Node 2", Oracle_HACMP_Node_2($S7),
               IF($H7="Oracle-RAC","Oracle RAC requires special config
work with Open Systems",
               IF($AC7="db2_fs",DB2_FS($S7),""))))))),"")</f>
        <v/>
      </c>
      <c r="AB7" s="1358"/>
      <c r="AC7" s="3348" t="str">
        <f t="shared" ref="AC7:AC12" si="10">IF($A7&lt;&gt;"",
        IF($E7="Windows",
             IF(OR(LEFT($H7,5)="MSSQL", LEFT($H7,3)="EDH"),"Win SQL"),
       IF($E7&lt;&gt;"Windows",
              IF($H7="Oracle Standalone 11.2","Standalone",
                  IF($H7="Oracle HACMP 11.2 - Node 1", "HACMP_Node_1",
                       IF($H7="Oracle HACMP 11.2 - Node 2", "HACMP_Node_2",
                             IF($H7="Oracle-RAC","Oracle RAC",
                                  IF(LEFT($H7,3)="DB2","DB2_FS",
              ))))))),"")</f>
        <v/>
      </c>
      <c r="AD7" s="1642" t="str">
        <f t="shared" ref="AD7:AD38" si="11">IF($A7&lt;&gt;"",VLOOKUP($A7,dist_assets,2,FALSE),"")</f>
        <v/>
      </c>
      <c r="AE7" s="590" t="str">
        <f>IF(A7&lt;&gt;"",COUNTIF($A$7:A7,A7),"")</f>
        <v/>
      </c>
    </row>
    <row r="8" spans="1:31">
      <c r="A8" s="301" t="str">
        <f t="array" ref="A8">IF('New DB Request'!A27&lt;&gt;"",INDEX(newdbreq_assetlist,MATCH(SMALL(COUNTIF(newdbreq_assetlist,"&lt;="&amp;newdbreq_assetlist),ROWS($A$26:A27)),COUNTIF(newdbreq_assetlist,"&lt;="&amp;newdbreq_assetlist),0)),"")</f>
        <v/>
      </c>
      <c r="B8" s="2298" t="str">
        <f t="shared" si="0"/>
        <v/>
      </c>
      <c r="C8" s="1692" t="str">
        <f>IF($A8&lt;&gt;"",
                         LEFT(VLOOKUP($A8,IP!$A$4:$N$153,11,FALSE),SEARCH(".",VLOOKUP($A8,IP!$A$4:$N$153,11,FALSE))-1),
        "")</f>
        <v/>
      </c>
      <c r="D8" s="1692" t="str">
        <f>IF($A8&lt;&gt;"",VLOOKUP(CONCATENATE($A8&amp;"  (IP01)"),IP!$A$4:$D$153,4,FALSE),"")</f>
        <v/>
      </c>
      <c r="E8" s="1356" t="str">
        <f t="shared" si="1"/>
        <v/>
      </c>
      <c r="F8" s="590" t="str">
        <f>IF($A8&lt;&gt;"",VLOOKUP(VLOOKUP($A8,dist_assets,2,FALSE),'Distributed Assets'!$C$6:$F$22,4,FALSE),"")</f>
        <v/>
      </c>
      <c r="G8" s="1356" t="str">
        <f t="shared" si="2"/>
        <v/>
      </c>
      <c r="H8" s="590" t="str">
        <f t="shared" si="3"/>
        <v/>
      </c>
      <c r="I8" s="590" t="str">
        <f t="shared" si="4"/>
        <v/>
      </c>
      <c r="J8" s="1356" t="str">
        <f t="shared" si="5"/>
        <v/>
      </c>
      <c r="K8" s="1356" t="str">
        <f t="shared" si="6"/>
        <v/>
      </c>
      <c r="L8" s="1356" t="str">
        <f t="shared" si="7"/>
        <v/>
      </c>
      <c r="M8" s="590" t="str">
        <f t="shared" si="8"/>
        <v/>
      </c>
      <c r="N8" s="30"/>
      <c r="O8" s="2073" t="str">
        <f t="array" ref="O8">IF(A8&lt;&gt;"",INDEX('New DB Request'!$A$26:$M$55,SMALL(IF(A8='New DB Request'!$A$26:$A$55,ROW('New DB Request'!$A$26:$A$55)),AE8)-25,4),"")</f>
        <v/>
      </c>
      <c r="P8" s="748"/>
      <c r="Q8" s="30"/>
      <c r="R8" s="2298" t="str">
        <f t="array" ref="R8">IF(A8&lt;&gt;"",INDEX('New DB Request'!$A$26:$M$55,SMALL(IF(A8='New DB Request'!$A$26:$A$55,ROW('New DB Request'!$A$26:$A$55)),AE8)-25,5),"")</f>
        <v/>
      </c>
      <c r="S8" s="2633" t="str">
        <f t="array" ref="S8">IF(A8&lt;&gt;"",INDEX('New DB Request'!$A$26:$M$55,SMALL(IF(A8='New DB Request'!$A$26:$A$55,ROW('New DB Request'!$A$26:$A$55)),AE8)-25,6),"")</f>
        <v/>
      </c>
      <c r="T8" s="2008" t="str">
        <f t="array" ref="T8">IF(A8&lt;&gt;"",INDEX('New DB Request'!$A$26:$M$55,SMALL(IF(A8='New DB Request'!$A$26:$A$55,ROW('New DB Request'!$A$26:$A$55)),AE8)-25,8),"")</f>
        <v/>
      </c>
      <c r="U8" s="30"/>
      <c r="V8" s="1090"/>
      <c r="W8" s="1090"/>
      <c r="X8" s="1090"/>
      <c r="Y8" s="2298" t="str">
        <f t="shared" si="9"/>
        <v/>
      </c>
      <c r="Z8" s="1357"/>
      <c r="AA8" s="2073" t="str">
        <f>IF($A8&lt;&gt;"",
      IF($E8="Windows",VLOOKUP($A8,dist_assets,15,FALSE),
        IF($E8&lt;&gt;"Windows",
               IF($H8="Oracle Standalone 11.2",Oracle_Standalone_fs($S8),
               IF($H8="Oracle HACMP 11.2 - Node 1", Oracle_HACMP_Node_1($S8),
               IF($H8="Oracle HACMP 11.2 - Node 2", Oracle_HACMP_Node_2($S8),
               IF($H8="Oracle-RAC","Oracle RAC requires special config
work with Open Systems",
               IF($AC8="db2_fs",DB2_FS($S8),""))))))),"")</f>
        <v/>
      </c>
      <c r="AB8" s="1358"/>
      <c r="AC8" s="3348" t="str">
        <f t="shared" si="10"/>
        <v/>
      </c>
      <c r="AD8" s="1642" t="str">
        <f t="shared" si="11"/>
        <v/>
      </c>
      <c r="AE8" s="2008" t="str">
        <f>IF(A8&lt;&gt;"",COUNTIF($A$7:A8,A8),"")</f>
        <v/>
      </c>
    </row>
    <row r="9" spans="1:31">
      <c r="A9" s="301" t="str">
        <f t="array" ref="A9">IF('New DB Request'!A28&lt;&gt;"",INDEX(newdbreq_assetlist,MATCH(SMALL(COUNTIF(newdbreq_assetlist,"&lt;="&amp;newdbreq_assetlist),ROWS($A$26:A28)),COUNTIF(newdbreq_assetlist,"&lt;="&amp;newdbreq_assetlist),0)),"")</f>
        <v/>
      </c>
      <c r="B9" s="2298" t="str">
        <f t="shared" si="0"/>
        <v/>
      </c>
      <c r="C9" s="1692" t="str">
        <f>IF($A9&lt;&gt;"",
                         LEFT(VLOOKUP($A9,IP!$A$4:$N$153,11,FALSE),SEARCH(".",VLOOKUP($A9,IP!$A$4:$N$153,11,FALSE))-1),
        "")</f>
        <v/>
      </c>
      <c r="D9" s="1692" t="str">
        <f>IF($A9&lt;&gt;"",VLOOKUP(CONCATENATE($A9&amp;"  (IP01)"),IP!$A$4:$D$153,4,FALSE),"")</f>
        <v/>
      </c>
      <c r="E9" s="1356" t="str">
        <f t="shared" si="1"/>
        <v/>
      </c>
      <c r="F9" s="590" t="str">
        <f>IF($A9&lt;&gt;"",VLOOKUP(VLOOKUP($A9,dist_assets,2,FALSE),'Distributed Assets'!$C$6:$F$22,4,FALSE),"")</f>
        <v/>
      </c>
      <c r="G9" s="1356" t="str">
        <f t="shared" si="2"/>
        <v/>
      </c>
      <c r="H9" s="590" t="str">
        <f t="shared" si="3"/>
        <v/>
      </c>
      <c r="I9" s="590" t="str">
        <f t="shared" si="4"/>
        <v/>
      </c>
      <c r="J9" s="1356" t="str">
        <f t="shared" si="5"/>
        <v/>
      </c>
      <c r="K9" s="1356" t="str">
        <f t="shared" si="6"/>
        <v/>
      </c>
      <c r="L9" s="1356" t="str">
        <f t="shared" si="7"/>
        <v/>
      </c>
      <c r="M9" s="590" t="str">
        <f t="shared" si="8"/>
        <v/>
      </c>
      <c r="N9" s="30"/>
      <c r="O9" s="2073" t="str">
        <f t="array" ref="O9">IF(A9&lt;&gt;"",INDEX('New DB Request'!$A$26:$M$55,SMALL(IF(A9='New DB Request'!$A$26:$A$55,ROW('New DB Request'!$A$26:$A$55)),AE9)-25,4),"")</f>
        <v/>
      </c>
      <c r="P9" s="748"/>
      <c r="Q9" s="30"/>
      <c r="R9" s="2298" t="str">
        <f t="array" ref="R9">IF(A9&lt;&gt;"",INDEX('New DB Request'!$A$26:$M$55,SMALL(IF(A9='New DB Request'!$A$26:$A$55,ROW('New DB Request'!$A$26:$A$55)),AE9)-25,5),"")</f>
        <v/>
      </c>
      <c r="S9" s="2633" t="str">
        <f t="array" ref="S9">IF(A9&lt;&gt;"",INDEX('New DB Request'!$A$26:$M$55,SMALL(IF(A9='New DB Request'!$A$26:$A$55,ROW('New DB Request'!$A$26:$A$55)),AE9)-25,6),"")</f>
        <v/>
      </c>
      <c r="T9" s="2008" t="str">
        <f t="array" ref="T9">IF(A9&lt;&gt;"",INDEX('New DB Request'!$A$26:$M$55,SMALL(IF(A9='New DB Request'!$A$26:$A$55,ROW('New DB Request'!$A$26:$A$55)),AE9)-25,8),"")</f>
        <v/>
      </c>
      <c r="U9" s="30"/>
      <c r="V9" s="1090"/>
      <c r="W9" s="1090"/>
      <c r="X9" s="1090"/>
      <c r="Y9" s="2298" t="str">
        <f t="shared" si="9"/>
        <v/>
      </c>
      <c r="Z9" s="1357"/>
      <c r="AA9" s="2073" t="str">
        <f>IF($A9&lt;&gt;"",
      IF($E9="Windows",VLOOKUP($A9,dist_assets,15,FALSE),
        IF($E9&lt;&gt;"Windows",
               IF($H9="Oracle Standalone 11.2",Oracle_Standalone_fs($S9),
               IF($H9="Oracle HACMP 11.2 - Node 1", Oracle_HACMP_Node_1($S9),
               IF($H9="Oracle HACMP 11.2 - Node 2", Oracle_HACMP_Node_2($S9),
               IF($H9="Oracle-RAC","Oracle RAC requires special config
work with Open Systems",
               IF($AC9="db2_fs",DB2_FS($S9),""))))))),"")</f>
        <v/>
      </c>
      <c r="AB9" s="1358"/>
      <c r="AC9" s="3348" t="str">
        <f t="shared" si="10"/>
        <v/>
      </c>
      <c r="AD9" s="1642" t="str">
        <f t="shared" si="11"/>
        <v/>
      </c>
      <c r="AE9" s="2008" t="str">
        <f>IF(A9&lt;&gt;"",COUNTIF($A$7:A9,A9),"")</f>
        <v/>
      </c>
    </row>
    <row r="10" spans="1:31">
      <c r="A10" s="301" t="str">
        <f t="array" ref="A10">IF('New DB Request'!A29&lt;&gt;"",INDEX(newdbreq_assetlist,MATCH(SMALL(COUNTIF(newdbreq_assetlist,"&lt;="&amp;newdbreq_assetlist),ROWS($A$26:A29)),COUNTIF(newdbreq_assetlist,"&lt;="&amp;newdbreq_assetlist),0)),"")</f>
        <v/>
      </c>
      <c r="B10" s="2298" t="str">
        <f t="shared" si="0"/>
        <v/>
      </c>
      <c r="C10" s="1692" t="str">
        <f>IF($A10&lt;&gt;"",
                         LEFT(VLOOKUP($A10,IP!$A$4:$N$153,11,FALSE),SEARCH(".",VLOOKUP($A10,IP!$A$4:$N$153,11,FALSE))-1),
        "")</f>
        <v/>
      </c>
      <c r="D10" s="1692" t="str">
        <f>IF($A10&lt;&gt;"",VLOOKUP(CONCATENATE($A10&amp;"  (IP01)"),IP!$A$4:$D$153,4,FALSE),"")</f>
        <v/>
      </c>
      <c r="E10" s="1356" t="str">
        <f t="shared" si="1"/>
        <v/>
      </c>
      <c r="F10" s="590" t="str">
        <f>IF($A10&lt;&gt;"",VLOOKUP(VLOOKUP($A10,dist_assets,2,FALSE),'Distributed Assets'!$C$6:$F$22,4,FALSE),"")</f>
        <v/>
      </c>
      <c r="G10" s="1356" t="str">
        <f t="shared" si="2"/>
        <v/>
      </c>
      <c r="H10" s="590" t="str">
        <f t="shared" si="3"/>
        <v/>
      </c>
      <c r="I10" s="590" t="str">
        <f t="shared" si="4"/>
        <v/>
      </c>
      <c r="J10" s="1356" t="str">
        <f t="shared" si="5"/>
        <v/>
      </c>
      <c r="K10" s="1356" t="str">
        <f t="shared" si="6"/>
        <v/>
      </c>
      <c r="L10" s="1356" t="str">
        <f t="shared" si="7"/>
        <v/>
      </c>
      <c r="M10" s="590" t="str">
        <f t="shared" si="8"/>
        <v/>
      </c>
      <c r="N10" s="30"/>
      <c r="O10" s="2073" t="str">
        <f t="array" ref="O10">IF(A10&lt;&gt;"",INDEX('New DB Request'!$A$26:$M$55,SMALL(IF(A10='New DB Request'!$A$26:$A$55,ROW('New DB Request'!$A$26:$A$55)),AE10)-25,4),"")</f>
        <v/>
      </c>
      <c r="P10" s="748"/>
      <c r="Q10" s="30"/>
      <c r="R10" s="2298" t="str">
        <f t="array" ref="R10">IF(A10&lt;&gt;"",INDEX('New DB Request'!$A$26:$M$55,SMALL(IF(A10='New DB Request'!$A$26:$A$55,ROW('New DB Request'!$A$26:$A$55)),AE10)-25,5),"")</f>
        <v/>
      </c>
      <c r="S10" s="2633" t="str">
        <f t="array" ref="S10">IF(A10&lt;&gt;"",INDEX('New DB Request'!$A$26:$M$55,SMALL(IF(A10='New DB Request'!$A$26:$A$55,ROW('New DB Request'!$A$26:$A$55)),AE10)-25,6),"")</f>
        <v/>
      </c>
      <c r="T10" s="2008" t="str">
        <f t="array" ref="T10">IF(A10&lt;&gt;"",INDEX('New DB Request'!$A$26:$M$55,SMALL(IF(A10='New DB Request'!$A$26:$A$55,ROW('New DB Request'!$A$26:$A$55)),AE10)-25,8),"")</f>
        <v/>
      </c>
      <c r="U10" s="30"/>
      <c r="V10" s="1090"/>
      <c r="W10" s="1090"/>
      <c r="X10" s="1090"/>
      <c r="Y10" s="2298" t="str">
        <f t="shared" si="9"/>
        <v/>
      </c>
      <c r="Z10" s="1357"/>
      <c r="AA10" s="2073" t="str">
        <f>IF($A10&lt;&gt;"",
      IF($E10="Windows",VLOOKUP($A10,dist_assets,15,FALSE),
        IF($E10&lt;&gt;"Windows",
               IF($H10="Oracle Standalone 11.2",Oracle_Standalone_fs($S10),
               IF($H10="Oracle HACMP 11.2 - Node 1", Oracle_HACMP_Node_1($S10),
               IF($H10="Oracle HACMP 11.2 - Node 2", Oracle_HACMP_Node_2($S10),
               IF($H10="Oracle-RAC","Oracle RAC requires special config
work with Open Systems",
               IF($AC10="db2_fs",DB2_FS($S10),""))))))),"")</f>
        <v/>
      </c>
      <c r="AB10" s="1358"/>
      <c r="AC10" s="3348" t="str">
        <f t="shared" si="10"/>
        <v/>
      </c>
      <c r="AD10" s="1642" t="str">
        <f t="shared" si="11"/>
        <v/>
      </c>
      <c r="AE10" s="2008" t="str">
        <f>IF(A10&lt;&gt;"",COUNTIF($A$7:A10,A10),"")</f>
        <v/>
      </c>
    </row>
    <row r="11" spans="1:31">
      <c r="A11" s="301" t="str">
        <f t="array" ref="A11">IF('New DB Request'!A30&lt;&gt;"",INDEX(newdbreq_assetlist,MATCH(SMALL(COUNTIF(newdbreq_assetlist,"&lt;="&amp;newdbreq_assetlist),ROWS($A$26:A30)),COUNTIF(newdbreq_assetlist,"&lt;="&amp;newdbreq_assetlist),0)),"")</f>
        <v/>
      </c>
      <c r="B11" s="2298" t="str">
        <f t="shared" si="0"/>
        <v/>
      </c>
      <c r="C11" s="1692" t="str">
        <f>IF($A11&lt;&gt;"",
                         LEFT(VLOOKUP($A11,IP!$A$4:$N$153,11,FALSE),SEARCH(".",VLOOKUP($A11,IP!$A$4:$N$153,11,FALSE))-1),
        "")</f>
        <v/>
      </c>
      <c r="D11" s="1692" t="str">
        <f>IF($A11&lt;&gt;"",VLOOKUP(CONCATENATE($A11&amp;"  (IP01)"),IP!$A$4:$D$153,4,FALSE),"")</f>
        <v/>
      </c>
      <c r="E11" s="1356" t="str">
        <f t="shared" si="1"/>
        <v/>
      </c>
      <c r="F11" s="590" t="str">
        <f>IF($A11&lt;&gt;"",VLOOKUP(VLOOKUP($A11,dist_assets,2,FALSE),'Distributed Assets'!$C$6:$F$22,4,FALSE),"")</f>
        <v/>
      </c>
      <c r="G11" s="1356" t="str">
        <f t="shared" si="2"/>
        <v/>
      </c>
      <c r="H11" s="590" t="str">
        <f t="shared" si="3"/>
        <v/>
      </c>
      <c r="I11" s="590" t="str">
        <f t="shared" si="4"/>
        <v/>
      </c>
      <c r="J11" s="1356" t="str">
        <f t="shared" si="5"/>
        <v/>
      </c>
      <c r="K11" s="1356" t="str">
        <f t="shared" si="6"/>
        <v/>
      </c>
      <c r="L11" s="1356" t="str">
        <f t="shared" si="7"/>
        <v/>
      </c>
      <c r="M11" s="590" t="str">
        <f t="shared" si="8"/>
        <v/>
      </c>
      <c r="N11" s="30"/>
      <c r="O11" s="2073" t="str">
        <f t="array" ref="O11">IF(A11&lt;&gt;"",INDEX('New DB Request'!$A$26:$M$55,SMALL(IF(A11='New DB Request'!$A$26:$A$55,ROW('New DB Request'!$A$26:$A$55)),AE11)-25,4),"")</f>
        <v/>
      </c>
      <c r="P11" s="748"/>
      <c r="Q11" s="30"/>
      <c r="R11" s="2298" t="str">
        <f t="array" ref="R11">IF(A11&lt;&gt;"",INDEX('New DB Request'!$A$26:$M$55,SMALL(IF(A11='New DB Request'!$A$26:$A$55,ROW('New DB Request'!$A$26:$A$55)),AE11)-25,5),"")</f>
        <v/>
      </c>
      <c r="S11" s="2633" t="str">
        <f t="array" ref="S11">IF(A11&lt;&gt;"",INDEX('New DB Request'!$A$26:$M$55,SMALL(IF(A11='New DB Request'!$A$26:$A$55,ROW('New DB Request'!$A$26:$A$55)),AE11)-25,6),"")</f>
        <v/>
      </c>
      <c r="T11" s="2008" t="str">
        <f t="array" ref="T11">IF(A11&lt;&gt;"",INDEX('New DB Request'!$A$26:$M$55,SMALL(IF(A11='New DB Request'!$A$26:$A$55,ROW('New DB Request'!$A$26:$A$55)),AE11)-25,8),"")</f>
        <v/>
      </c>
      <c r="U11" s="30"/>
      <c r="V11" s="1090"/>
      <c r="W11" s="1090"/>
      <c r="X11" s="1090"/>
      <c r="Y11" s="2298" t="str">
        <f t="shared" si="9"/>
        <v/>
      </c>
      <c r="Z11" s="1357"/>
      <c r="AA11" s="2073" t="str">
        <f>IF($A11&lt;&gt;"",
      IF($E11="Windows",VLOOKUP($A11,dist_assets,15,FALSE),
        IF($E11&lt;&gt;"Windows",
               IF($H11="Oracle Standalone 11.2",Oracle_Standalone_fs($S11),
               IF($H11="Oracle HACMP 11.2 - Node 1", Oracle_HACMP_Node_1($S11),
               IF($H11="Oracle HACMP 11.2 - Node 2", Oracle_HACMP_Node_2($S11),
               IF($H11="Oracle-RAC","Oracle RAC requires special config
work with Open Systems",
               IF($AC11="db2_fs",DB2_FS($S11),""))))))),"")</f>
        <v/>
      </c>
      <c r="AB11" s="1358"/>
      <c r="AC11" s="3348" t="str">
        <f t="shared" si="10"/>
        <v/>
      </c>
      <c r="AD11" s="1642" t="str">
        <f t="shared" si="11"/>
        <v/>
      </c>
      <c r="AE11" s="2008" t="str">
        <f>IF(A11&lt;&gt;"",COUNTIF($A$7:A11,A11),"")</f>
        <v/>
      </c>
    </row>
    <row r="12" spans="1:31">
      <c r="A12" s="301" t="str">
        <f t="array" ref="A12">IF('New DB Request'!A31&lt;&gt;"",INDEX(newdbreq_assetlist,MATCH(SMALL(COUNTIF(newdbreq_assetlist,"&lt;="&amp;newdbreq_assetlist),ROWS($A$26:A31)),COUNTIF(newdbreq_assetlist,"&lt;="&amp;newdbreq_assetlist),0)),"")</f>
        <v/>
      </c>
      <c r="B12" s="2298" t="str">
        <f t="shared" si="0"/>
        <v/>
      </c>
      <c r="C12" s="1692" t="str">
        <f>IF($A12&lt;&gt;"",
                         LEFT(VLOOKUP($A12,IP!$A$4:$N$153,11,FALSE),SEARCH(".",VLOOKUP($A12,IP!$A$4:$N$153,11,FALSE))-1),
        "")</f>
        <v/>
      </c>
      <c r="D12" s="1692" t="str">
        <f>IF($A12&lt;&gt;"",VLOOKUP(CONCATENATE($A12&amp;"  (IP01)"),IP!$A$4:$D$153,4,FALSE),"")</f>
        <v/>
      </c>
      <c r="E12" s="1356" t="str">
        <f t="shared" si="1"/>
        <v/>
      </c>
      <c r="F12" s="590" t="str">
        <f>IF($A12&lt;&gt;"",VLOOKUP(VLOOKUP($A12,dist_assets,2,FALSE),'Distributed Assets'!$C$6:$F$22,4,FALSE),"")</f>
        <v/>
      </c>
      <c r="G12" s="1356" t="str">
        <f t="shared" si="2"/>
        <v/>
      </c>
      <c r="H12" s="590" t="str">
        <f t="shared" si="3"/>
        <v/>
      </c>
      <c r="I12" s="590" t="str">
        <f t="shared" si="4"/>
        <v/>
      </c>
      <c r="J12" s="1356" t="str">
        <f t="shared" si="5"/>
        <v/>
      </c>
      <c r="K12" s="1356" t="str">
        <f t="shared" si="6"/>
        <v/>
      </c>
      <c r="L12" s="1356" t="str">
        <f t="shared" si="7"/>
        <v/>
      </c>
      <c r="M12" s="590" t="str">
        <f t="shared" si="8"/>
        <v/>
      </c>
      <c r="N12" s="30"/>
      <c r="O12" s="2073" t="str">
        <f t="array" ref="O12">IF(A12&lt;&gt;"",INDEX('New DB Request'!$A$26:$M$55,SMALL(IF(A12='New DB Request'!$A$26:$A$55,ROW('New DB Request'!$A$26:$A$55)),AE12)-25,4),"")</f>
        <v/>
      </c>
      <c r="P12" s="748"/>
      <c r="Q12" s="30"/>
      <c r="R12" s="2298" t="str">
        <f t="array" ref="R12">IF(A12&lt;&gt;"",INDEX('New DB Request'!$A$26:$M$55,SMALL(IF(A12='New DB Request'!$A$26:$A$55,ROW('New DB Request'!$A$26:$A$55)),AE12)-25,5),"")</f>
        <v/>
      </c>
      <c r="S12" s="2633" t="str">
        <f t="array" ref="S12">IF(A12&lt;&gt;"",INDEX('New DB Request'!$A$26:$M$55,SMALL(IF(A12='New DB Request'!$A$26:$A$55,ROW('New DB Request'!$A$26:$A$55)),AE12)-25,6),"")</f>
        <v/>
      </c>
      <c r="T12" s="2008" t="str">
        <f t="array" ref="T12">IF(A12&lt;&gt;"",INDEX('New DB Request'!$A$26:$M$55,SMALL(IF(A12='New DB Request'!$A$26:$A$55,ROW('New DB Request'!$A$26:$A$55)),AE12)-25,8),"")</f>
        <v/>
      </c>
      <c r="U12" s="30"/>
      <c r="V12" s="1090"/>
      <c r="W12" s="1090"/>
      <c r="X12" s="1090"/>
      <c r="Y12" s="2298" t="str">
        <f t="shared" si="9"/>
        <v/>
      </c>
      <c r="Z12" s="1357"/>
      <c r="AA12" s="2073" t="str">
        <f>IF($A12&lt;&gt;"",
      IF($E12="Windows",VLOOKUP($A12,dist_assets,15,FALSE),
        IF($E12&lt;&gt;"Windows",
               IF($H12="Oracle Standalone 11.2",Oracle_Standalone_fs($S12),
               IF($H12="Oracle HACMP 11.2 - Node 1", Oracle_HACMP_Node_1($S12),
               IF($H12="Oracle HACMP 11.2 - Node 2", Oracle_HACMP_Node_2($S12),
               IF($H12="Oracle-RAC","Oracle RAC requires special config
work with Open Systems",
               IF($AC12="db2_fs",DB2_FS($S12),""))))))),"")</f>
        <v/>
      </c>
      <c r="AB12" s="1358"/>
      <c r="AC12" s="3348" t="str">
        <f t="shared" si="10"/>
        <v/>
      </c>
      <c r="AD12" s="1642" t="str">
        <f t="shared" si="11"/>
        <v/>
      </c>
      <c r="AE12" s="2008" t="str">
        <f>IF(A12&lt;&gt;"",COUNTIF($A$7:A12,A12),"")</f>
        <v/>
      </c>
    </row>
    <row r="13" spans="1:31">
      <c r="A13" s="301" t="str">
        <f t="array" ref="A13">IF('New DB Request'!A32&lt;&gt;"",INDEX(newdbreq_assetlist,MATCH(SMALL(COUNTIF(newdbreq_assetlist,"&lt;="&amp;newdbreq_assetlist),ROWS($A$26:A32)),COUNTIF(newdbreq_assetlist,"&lt;="&amp;newdbreq_assetlist),0)),"")</f>
        <v/>
      </c>
      <c r="B13" s="2298" t="str">
        <f t="shared" si="0"/>
        <v/>
      </c>
      <c r="C13" s="1692" t="str">
        <f>IF($A13&lt;&gt;"",
                         LEFT(VLOOKUP($A13,IP!$A$4:$N$153,11,FALSE),SEARCH(".",VLOOKUP($A13,IP!$A$4:$N$153,11,FALSE))-1),
        "")</f>
        <v/>
      </c>
      <c r="D13" s="1692" t="str">
        <f>IF($A13&lt;&gt;"",VLOOKUP(CONCATENATE($A13&amp;"  (IP01)"),IP!$A$4:$D$153,4,FALSE),"")</f>
        <v/>
      </c>
      <c r="E13" s="1356" t="str">
        <f t="shared" si="1"/>
        <v/>
      </c>
      <c r="F13" s="590" t="str">
        <f>IF($A13&lt;&gt;"",VLOOKUP(VLOOKUP($A13,dist_assets,2,FALSE),'Distributed Assets'!$C$6:$F$22,4,FALSE),"")</f>
        <v/>
      </c>
      <c r="G13" s="1356" t="str">
        <f t="shared" si="2"/>
        <v/>
      </c>
      <c r="H13" s="590" t="str">
        <f t="shared" si="3"/>
        <v/>
      </c>
      <c r="I13" s="590" t="str">
        <f t="shared" si="4"/>
        <v/>
      </c>
      <c r="J13" s="1356" t="str">
        <f t="shared" si="5"/>
        <v/>
      </c>
      <c r="K13" s="1356" t="str">
        <f t="shared" si="6"/>
        <v/>
      </c>
      <c r="L13" s="1356" t="str">
        <f t="shared" si="7"/>
        <v/>
      </c>
      <c r="M13" s="590" t="str">
        <f t="shared" si="8"/>
        <v/>
      </c>
      <c r="N13" s="30"/>
      <c r="O13" s="2073" t="str">
        <f t="array" ref="O13">IF(A13&lt;&gt;"",INDEX('New DB Request'!$A$26:$M$55,SMALL(IF(A13='New DB Request'!$A$26:$A$55,ROW('New DB Request'!$A$26:$A$55)),AE13)-25,4),"")</f>
        <v/>
      </c>
      <c r="P13" s="748"/>
      <c r="Q13" s="30"/>
      <c r="R13" s="2298" t="str">
        <f t="array" ref="R13">IF(A13&lt;&gt;"",INDEX('New DB Request'!$A$26:$M$55,SMALL(IF(A13='New DB Request'!$A$26:$A$55,ROW('New DB Request'!$A$26:$A$55)),AE13)-25,5),"")</f>
        <v/>
      </c>
      <c r="S13" s="2633" t="str">
        <f t="array" ref="S13">IF(A13&lt;&gt;"",INDEX('New DB Request'!$A$26:$M$55,SMALL(IF(A13='New DB Request'!$A$26:$A$55,ROW('New DB Request'!$A$26:$A$55)),AE13)-25,6),"")</f>
        <v/>
      </c>
      <c r="T13" s="2008" t="str">
        <f t="array" ref="T13">IF(A13&lt;&gt;"",INDEX('New DB Request'!$A$26:$M$55,SMALL(IF(A13='New DB Request'!$A$26:$A$55,ROW('New DB Request'!$A$26:$A$55)),AE13)-25,8),"")</f>
        <v/>
      </c>
      <c r="U13" s="30"/>
      <c r="V13" s="1090"/>
      <c r="W13" s="1090"/>
      <c r="X13" s="1090"/>
      <c r="Y13" s="2298" t="str">
        <f t="shared" si="9"/>
        <v/>
      </c>
      <c r="Z13" s="1357"/>
      <c r="AA13" s="2073" t="str">
        <f>IF($A13&lt;&gt;"",
      IF($E13="Windows",VLOOKUP($A13,dist_assets,15,FALSE),
        IF($E13&lt;&gt;"Windows",
               IF($H13="Oracle Standalone 11.2",Oracle_Standalone_fs($S13),
               IF($H13="Oracle HACMP 11.2 - Node 1", Oracle_HACMP_Node_1($S13),
               IF($H13="Oracle HACMP 11.2 - Node 2", Oracle_HACMP_Node_2($S13),
               IF($H13="Oracle-RAC","Oracle RAC requires special config
work with Open Systems",
               IF($AC13="db2_fs",DB2_FS($S13),""))))))),"")</f>
        <v/>
      </c>
      <c r="AB13" s="1358"/>
      <c r="AC13" s="3348" t="str">
        <f t="shared" ref="AC13:AC76" si="12">IF($A13&lt;&gt;"",
        IF($E13="Windows",
             IF(OR(LEFT($H13,5)="MSSQL", LEFT($H13,3)="EDH"),"Win SQL"),
       IF($E13&lt;&gt;"Windows",
              IF($H13="Oracle Standalone 11.2","Standalone",
                  IF($H13="Oracle HACMP 11.2 - Node 1", "HACMP_Node_1",
                       IF($H13="Oracle HACMP 11.2 - Node 2", "HACMP_Node_2",
                             IF($H13="Oracle-RAC","Oracle RAC",
                                  IF(LEFT($H13,3)="DB2","DB2_FS",
              ))))))),"")</f>
        <v/>
      </c>
      <c r="AD13" s="1642" t="str">
        <f t="shared" si="11"/>
        <v/>
      </c>
      <c r="AE13" s="2008" t="str">
        <f>IF(A13&lt;&gt;"",COUNTIF($A$7:A13,A13),"")</f>
        <v/>
      </c>
    </row>
    <row r="14" spans="1:31">
      <c r="A14" s="301" t="str">
        <f t="array" ref="A14">IF('New DB Request'!A33&lt;&gt;"",INDEX(newdbreq_assetlist,MATCH(SMALL(COUNTIF(newdbreq_assetlist,"&lt;="&amp;newdbreq_assetlist),ROWS($A$26:A33)),COUNTIF(newdbreq_assetlist,"&lt;="&amp;newdbreq_assetlist),0)),"")</f>
        <v/>
      </c>
      <c r="B14" s="2298" t="str">
        <f t="shared" si="0"/>
        <v/>
      </c>
      <c r="C14" s="1692" t="str">
        <f>IF($A14&lt;&gt;"",
                         LEFT(VLOOKUP($A14,IP!$A$4:$N$153,11,FALSE),SEARCH(".",VLOOKUP($A14,IP!$A$4:$N$153,11,FALSE))-1),
        "")</f>
        <v/>
      </c>
      <c r="D14" s="1692" t="str">
        <f>IF($A14&lt;&gt;"",VLOOKUP(CONCATENATE($A14&amp;"  (IP01)"),IP!$A$4:$D$153,4,FALSE),"")</f>
        <v/>
      </c>
      <c r="E14" s="1356" t="str">
        <f t="shared" si="1"/>
        <v/>
      </c>
      <c r="F14" s="590" t="str">
        <f>IF($A14&lt;&gt;"",VLOOKUP(VLOOKUP($A14,dist_assets,2,FALSE),'Distributed Assets'!$C$6:$F$22,4,FALSE),"")</f>
        <v/>
      </c>
      <c r="G14" s="1356" t="str">
        <f t="shared" si="2"/>
        <v/>
      </c>
      <c r="H14" s="590" t="str">
        <f t="shared" si="3"/>
        <v/>
      </c>
      <c r="I14" s="590" t="str">
        <f t="shared" si="4"/>
        <v/>
      </c>
      <c r="J14" s="1356" t="str">
        <f t="shared" si="5"/>
        <v/>
      </c>
      <c r="K14" s="1356" t="str">
        <f t="shared" si="6"/>
        <v/>
      </c>
      <c r="L14" s="1356" t="str">
        <f t="shared" si="7"/>
        <v/>
      </c>
      <c r="M14" s="590" t="str">
        <f t="shared" si="8"/>
        <v/>
      </c>
      <c r="N14" s="30"/>
      <c r="O14" s="2073" t="str">
        <f t="array" ref="O14">IF(A14&lt;&gt;"",INDEX('New DB Request'!$A$26:$M$55,SMALL(IF(A14='New DB Request'!$A$26:$A$55,ROW('New DB Request'!$A$26:$A$55)),AE14)-25,4),"")</f>
        <v/>
      </c>
      <c r="P14" s="748"/>
      <c r="Q14" s="30"/>
      <c r="R14" s="2298" t="str">
        <f t="array" ref="R14">IF(A14&lt;&gt;"",INDEX('New DB Request'!$A$26:$M$55,SMALL(IF(A14='New DB Request'!$A$26:$A$55,ROW('New DB Request'!$A$26:$A$55)),AE14)-25,5),"")</f>
        <v/>
      </c>
      <c r="S14" s="2633" t="str">
        <f t="array" ref="S14">IF(A14&lt;&gt;"",INDEX('New DB Request'!$A$26:$M$55,SMALL(IF(A14='New DB Request'!$A$26:$A$55,ROW('New DB Request'!$A$26:$A$55)),AE14)-25,6),"")</f>
        <v/>
      </c>
      <c r="T14" s="2008" t="str">
        <f t="array" ref="T14">IF(A14&lt;&gt;"",INDEX('New DB Request'!$A$26:$M$55,SMALL(IF(A14='New DB Request'!$A$26:$A$55,ROW('New DB Request'!$A$26:$A$55)),AE14)-25,8),"")</f>
        <v/>
      </c>
      <c r="U14" s="30"/>
      <c r="V14" s="1090"/>
      <c r="W14" s="1090"/>
      <c r="X14" s="1090"/>
      <c r="Y14" s="2298" t="str">
        <f t="shared" si="9"/>
        <v/>
      </c>
      <c r="Z14" s="1357"/>
      <c r="AA14" s="2073" t="str">
        <f>IF($A14&lt;&gt;"",
      IF($E14="Windows",VLOOKUP($A14,dist_assets,15,FALSE),
        IF($E14&lt;&gt;"Windows",
               IF($H14="Oracle Standalone 11.2",Oracle_Standalone_fs($S14),
               IF($H14="Oracle HACMP 11.2 - Node 1", Oracle_HACMP_Node_1($S14),
               IF($H14="Oracle HACMP 11.2 - Node 2", Oracle_HACMP_Node_2($S14),
               IF($H14="Oracle-RAC","Oracle RAC requires special config
work with Open Systems",
               IF($AC14="db2_fs",DB2_FS($S14),""))))))),"")</f>
        <v/>
      </c>
      <c r="AB14" s="1358"/>
      <c r="AC14" s="3348" t="str">
        <f t="shared" si="12"/>
        <v/>
      </c>
      <c r="AD14" s="1642" t="str">
        <f t="shared" si="11"/>
        <v/>
      </c>
      <c r="AE14" s="2008" t="str">
        <f>IF(A14&lt;&gt;"",COUNTIF($A$7:A14,A14),"")</f>
        <v/>
      </c>
    </row>
    <row r="15" spans="1:31">
      <c r="A15" s="301" t="str">
        <f t="array" ref="A15">IF('New DB Request'!A34&lt;&gt;"",INDEX(newdbreq_assetlist,MATCH(SMALL(COUNTIF(newdbreq_assetlist,"&lt;="&amp;newdbreq_assetlist),ROWS($A$26:A34)),COUNTIF(newdbreq_assetlist,"&lt;="&amp;newdbreq_assetlist),0)),"")</f>
        <v/>
      </c>
      <c r="B15" s="2298" t="str">
        <f t="shared" si="0"/>
        <v/>
      </c>
      <c r="C15" s="1692" t="str">
        <f>IF($A15&lt;&gt;"",
                         LEFT(VLOOKUP($A15,IP!$A$4:$N$153,11,FALSE),SEARCH(".",VLOOKUP($A15,IP!$A$4:$N$153,11,FALSE))-1),
        "")</f>
        <v/>
      </c>
      <c r="D15" s="1692" t="str">
        <f>IF($A15&lt;&gt;"",VLOOKUP(CONCATENATE($A15&amp;"  (IP01)"),IP!$A$4:$D$153,4,FALSE),"")</f>
        <v/>
      </c>
      <c r="E15" s="1356" t="str">
        <f t="shared" si="1"/>
        <v/>
      </c>
      <c r="F15" s="590" t="str">
        <f>IF($A15&lt;&gt;"",VLOOKUP(VLOOKUP($A15,dist_assets,2,FALSE),'Distributed Assets'!$C$6:$F$22,4,FALSE),"")</f>
        <v/>
      </c>
      <c r="G15" s="1356" t="str">
        <f t="shared" si="2"/>
        <v/>
      </c>
      <c r="H15" s="590" t="str">
        <f t="shared" si="3"/>
        <v/>
      </c>
      <c r="I15" s="590" t="str">
        <f t="shared" si="4"/>
        <v/>
      </c>
      <c r="J15" s="1356" t="str">
        <f t="shared" si="5"/>
        <v/>
      </c>
      <c r="K15" s="1356" t="str">
        <f t="shared" si="6"/>
        <v/>
      </c>
      <c r="L15" s="1356" t="str">
        <f t="shared" si="7"/>
        <v/>
      </c>
      <c r="M15" s="590" t="str">
        <f t="shared" si="8"/>
        <v/>
      </c>
      <c r="N15" s="30"/>
      <c r="O15" s="2073" t="str">
        <f t="array" ref="O15">IF(A15&lt;&gt;"",INDEX('New DB Request'!$A$26:$M$55,SMALL(IF(A15='New DB Request'!$A$26:$A$55,ROW('New DB Request'!$A$26:$A$55)),AE15)-25,4),"")</f>
        <v/>
      </c>
      <c r="P15" s="748"/>
      <c r="Q15" s="30"/>
      <c r="R15" s="2298" t="str">
        <f t="array" ref="R15">IF(A15&lt;&gt;"",INDEX('New DB Request'!$A$26:$M$55,SMALL(IF(A15='New DB Request'!$A$26:$A$55,ROW('New DB Request'!$A$26:$A$55)),AE15)-25,5),"")</f>
        <v/>
      </c>
      <c r="S15" s="2633" t="str">
        <f t="array" ref="S15">IF(A15&lt;&gt;"",INDEX('New DB Request'!$A$26:$M$55,SMALL(IF(A15='New DB Request'!$A$26:$A$55,ROW('New DB Request'!$A$26:$A$55)),AE15)-25,6),"")</f>
        <v/>
      </c>
      <c r="T15" s="2008" t="str">
        <f t="array" ref="T15">IF(A15&lt;&gt;"",INDEX('New DB Request'!$A$26:$M$55,SMALL(IF(A15='New DB Request'!$A$26:$A$55,ROW('New DB Request'!$A$26:$A$55)),AE15)-25,8),"")</f>
        <v/>
      </c>
      <c r="U15" s="30"/>
      <c r="V15" s="1090"/>
      <c r="W15" s="1090"/>
      <c r="X15" s="1090"/>
      <c r="Y15" s="2298" t="str">
        <f t="shared" si="9"/>
        <v/>
      </c>
      <c r="Z15" s="1357"/>
      <c r="AA15" s="2073" t="str">
        <f>IF($A15&lt;&gt;"",
      IF($E15="Windows",VLOOKUP($A15,dist_assets,15,FALSE),
        IF($E15&lt;&gt;"Windows",
               IF($H15="Oracle Standalone 11.2",Oracle_Standalone_fs($S15),
               IF($H15="Oracle HACMP 11.2 - Node 1", Oracle_HACMP_Node_1($S15),
               IF($H15="Oracle HACMP 11.2 - Node 2", Oracle_HACMP_Node_2($S15),
               IF($H15="Oracle-RAC","Oracle RAC requires special config
work with Open Systems",
               IF($AC15="db2_fs",DB2_FS($S15),""))))))),"")</f>
        <v/>
      </c>
      <c r="AB15" s="1358"/>
      <c r="AC15" s="3406" t="str">
        <f t="shared" si="12"/>
        <v/>
      </c>
      <c r="AD15" s="1642" t="str">
        <f t="shared" si="11"/>
        <v/>
      </c>
      <c r="AE15" s="2008" t="str">
        <f>IF(A15&lt;&gt;"",COUNTIF($A$7:A15,A15),"")</f>
        <v/>
      </c>
    </row>
    <row r="16" spans="1:31">
      <c r="A16" s="301" t="str">
        <f t="array" ref="A16">IF('New DB Request'!A35&lt;&gt;"",INDEX(newdbreq_assetlist,MATCH(SMALL(COUNTIF(newdbreq_assetlist,"&lt;="&amp;newdbreq_assetlist),ROWS($A$26:A35)),COUNTIF(newdbreq_assetlist,"&lt;="&amp;newdbreq_assetlist),0)),"")</f>
        <v/>
      </c>
      <c r="B16" s="2298" t="str">
        <f t="shared" si="0"/>
        <v/>
      </c>
      <c r="C16" s="1692" t="str">
        <f>IF($A16&lt;&gt;"",
                         LEFT(VLOOKUP($A16,IP!$A$4:$N$153,11,FALSE),SEARCH(".",VLOOKUP($A16,IP!$A$4:$N$153,11,FALSE))-1),
        "")</f>
        <v/>
      </c>
      <c r="D16" s="1692" t="str">
        <f>IF($A16&lt;&gt;"",VLOOKUP(CONCATENATE($A16&amp;"  (IP01)"),IP!$A$4:$D$153,4,FALSE),"")</f>
        <v/>
      </c>
      <c r="E16" s="1356" t="str">
        <f t="shared" si="1"/>
        <v/>
      </c>
      <c r="F16" s="590" t="str">
        <f>IF($A16&lt;&gt;"",VLOOKUP(VLOOKUP($A16,dist_assets,2,FALSE),'Distributed Assets'!$C$6:$F$22,4,FALSE),"")</f>
        <v/>
      </c>
      <c r="G16" s="1356" t="str">
        <f t="shared" si="2"/>
        <v/>
      </c>
      <c r="H16" s="590" t="str">
        <f t="shared" si="3"/>
        <v/>
      </c>
      <c r="I16" s="590" t="str">
        <f t="shared" si="4"/>
        <v/>
      </c>
      <c r="J16" s="1356" t="str">
        <f t="shared" si="5"/>
        <v/>
      </c>
      <c r="K16" s="1356" t="str">
        <f t="shared" si="6"/>
        <v/>
      </c>
      <c r="L16" s="1356" t="str">
        <f t="shared" si="7"/>
        <v/>
      </c>
      <c r="M16" s="590" t="str">
        <f t="shared" si="8"/>
        <v/>
      </c>
      <c r="N16" s="30"/>
      <c r="O16" s="2073" t="str">
        <f t="array" ref="O16">IF(A16&lt;&gt;"",INDEX('New DB Request'!$A$26:$M$55,SMALL(IF(A16='New DB Request'!$A$26:$A$55,ROW('New DB Request'!$A$26:$A$55)),AE16)-25,4),"")</f>
        <v/>
      </c>
      <c r="P16" s="748"/>
      <c r="Q16" s="30"/>
      <c r="R16" s="2298" t="str">
        <f t="array" ref="R16">IF(A16&lt;&gt;"",INDEX('New DB Request'!$A$26:$M$55,SMALL(IF(A16='New DB Request'!$A$26:$A$55,ROW('New DB Request'!$A$26:$A$55)),AE16)-25,5),"")</f>
        <v/>
      </c>
      <c r="S16" s="2633" t="str">
        <f t="array" ref="S16">IF(A16&lt;&gt;"",INDEX('New DB Request'!$A$26:$M$55,SMALL(IF(A16='New DB Request'!$A$26:$A$55,ROW('New DB Request'!$A$26:$A$55)),AE16)-25,6),"")</f>
        <v/>
      </c>
      <c r="T16" s="2008" t="str">
        <f t="array" ref="T16">IF(A16&lt;&gt;"",INDEX('New DB Request'!$A$26:$M$55,SMALL(IF(A16='New DB Request'!$A$26:$A$55,ROW('New DB Request'!$A$26:$A$55)),AE16)-25,8),"")</f>
        <v/>
      </c>
      <c r="U16" s="30"/>
      <c r="V16" s="1090"/>
      <c r="W16" s="1090"/>
      <c r="X16" s="1090"/>
      <c r="Y16" s="2298" t="str">
        <f t="shared" si="9"/>
        <v/>
      </c>
      <c r="Z16" s="1357"/>
      <c r="AA16" s="2073" t="str">
        <f>IF($A16&lt;&gt;"",
      IF($E16="Windows",VLOOKUP($A16,dist_assets,15,FALSE),
        IF($E16&lt;&gt;"Windows",
               IF($H16="Oracle Standalone 11.2",Oracle_Standalone_fs($S16),
               IF($H16="Oracle HACMP 11.2 - Node 1", Oracle_HACMP_Node_1($S16),
               IF($H16="Oracle HACMP 11.2 - Node 2", Oracle_HACMP_Node_2($S16),
               IF($H16="Oracle-RAC","Oracle RAC requires special config
work with Open Systems",
               IF($AC16="db2_fs",DB2_FS($S16),""))))))),"")</f>
        <v/>
      </c>
      <c r="AB16" s="1358"/>
      <c r="AC16" s="3348" t="str">
        <f t="shared" si="12"/>
        <v/>
      </c>
      <c r="AD16" s="1642" t="str">
        <f t="shared" si="11"/>
        <v/>
      </c>
      <c r="AE16" s="2008" t="str">
        <f>IF(A16&lt;&gt;"",COUNTIF($A$7:A16,A16),"")</f>
        <v/>
      </c>
    </row>
    <row r="17" spans="1:31">
      <c r="A17" s="301" t="str">
        <f t="array" ref="A17">IF('New DB Request'!A36&lt;&gt;"",INDEX(newdbreq_assetlist,MATCH(SMALL(COUNTIF(newdbreq_assetlist,"&lt;="&amp;newdbreq_assetlist),ROWS($A$26:A36)),COUNTIF(newdbreq_assetlist,"&lt;="&amp;newdbreq_assetlist),0)),"")</f>
        <v/>
      </c>
      <c r="B17" s="2298" t="str">
        <f t="shared" si="0"/>
        <v/>
      </c>
      <c r="C17" s="1692" t="str">
        <f>IF($A17&lt;&gt;"",
                         LEFT(VLOOKUP($A17,IP!$A$4:$N$153,11,FALSE),SEARCH(".",VLOOKUP($A17,IP!$A$4:$N$153,11,FALSE))-1),
        "")</f>
        <v/>
      </c>
      <c r="D17" s="1692" t="str">
        <f>IF($A17&lt;&gt;"",VLOOKUP(CONCATENATE($A17&amp;"  (IP01)"),IP!$A$4:$D$153,4,FALSE),"")</f>
        <v/>
      </c>
      <c r="E17" s="1356" t="str">
        <f t="shared" si="1"/>
        <v/>
      </c>
      <c r="F17" s="590" t="str">
        <f>IF($A17&lt;&gt;"",VLOOKUP(VLOOKUP($A17,dist_assets,2,FALSE),'Distributed Assets'!$C$6:$F$22,4,FALSE),"")</f>
        <v/>
      </c>
      <c r="G17" s="1356" t="str">
        <f t="shared" si="2"/>
        <v/>
      </c>
      <c r="H17" s="590" t="str">
        <f t="shared" si="3"/>
        <v/>
      </c>
      <c r="I17" s="590" t="str">
        <f t="shared" si="4"/>
        <v/>
      </c>
      <c r="J17" s="1356" t="str">
        <f t="shared" si="5"/>
        <v/>
      </c>
      <c r="K17" s="1356" t="str">
        <f t="shared" si="6"/>
        <v/>
      </c>
      <c r="L17" s="1356" t="str">
        <f t="shared" si="7"/>
        <v/>
      </c>
      <c r="M17" s="590" t="str">
        <f t="shared" si="8"/>
        <v/>
      </c>
      <c r="N17" s="30"/>
      <c r="O17" s="2073" t="str">
        <f t="array" ref="O17">IF(A17&lt;&gt;"",INDEX('New DB Request'!$A$26:$M$55,SMALL(IF(A17='New DB Request'!$A$26:$A$55,ROW('New DB Request'!$A$26:$A$55)),AE17)-25,4),"")</f>
        <v/>
      </c>
      <c r="P17" s="748"/>
      <c r="Q17" s="30"/>
      <c r="R17" s="2298" t="str">
        <f t="array" ref="R17">IF(A17&lt;&gt;"",INDEX('New DB Request'!$A$26:$M$55,SMALL(IF(A17='New DB Request'!$A$26:$A$55,ROW('New DB Request'!$A$26:$A$55)),AE17)-25,5),"")</f>
        <v/>
      </c>
      <c r="S17" s="2633" t="str">
        <f t="array" ref="S17">IF(A17&lt;&gt;"",INDEX('New DB Request'!$A$26:$M$55,SMALL(IF(A17='New DB Request'!$A$26:$A$55,ROW('New DB Request'!$A$26:$A$55)),AE17)-25,6),"")</f>
        <v/>
      </c>
      <c r="T17" s="2008" t="str">
        <f t="array" ref="T17">IF(A17&lt;&gt;"",INDEX('New DB Request'!$A$26:$M$55,SMALL(IF(A17='New DB Request'!$A$26:$A$55,ROW('New DB Request'!$A$26:$A$55)),AE17)-25,8),"")</f>
        <v/>
      </c>
      <c r="U17" s="30"/>
      <c r="V17" s="1090"/>
      <c r="W17" s="1090"/>
      <c r="X17" s="1090"/>
      <c r="Y17" s="2298" t="str">
        <f t="shared" si="9"/>
        <v/>
      </c>
      <c r="Z17" s="1357"/>
      <c r="AA17" s="2073" t="str">
        <f>IF($A17&lt;&gt;"",
      IF($E17="Windows",VLOOKUP($A17,dist_assets,15,FALSE),
        IF($E17&lt;&gt;"Windows",
               IF($H17="Oracle Standalone 11.2",Oracle_Standalone_fs($S17),
               IF($H17="Oracle HACMP 11.2 - Node 1", Oracle_HACMP_Node_1($S17),
               IF($H17="Oracle HACMP 11.2 - Node 2", Oracle_HACMP_Node_2($S17),
               IF($H17="Oracle-RAC","Oracle RAC requires special config
work with Open Systems",
               IF($AC17="db2_fs",DB2_FS($S17),""))))))),"")</f>
        <v/>
      </c>
      <c r="AB17" s="1358"/>
      <c r="AC17" s="3348" t="str">
        <f t="shared" si="12"/>
        <v/>
      </c>
      <c r="AD17" s="1642" t="str">
        <f t="shared" si="11"/>
        <v/>
      </c>
      <c r="AE17" s="2008" t="str">
        <f>IF(A17&lt;&gt;"",COUNTIF($A$7:A17,A17),"")</f>
        <v/>
      </c>
    </row>
    <row r="18" spans="1:31">
      <c r="A18" s="301" t="str">
        <f t="array" ref="A18">IF('New DB Request'!A37&lt;&gt;"",INDEX(newdbreq_assetlist,MATCH(SMALL(COUNTIF(newdbreq_assetlist,"&lt;="&amp;newdbreq_assetlist),ROWS($A$26:A37)),COUNTIF(newdbreq_assetlist,"&lt;="&amp;newdbreq_assetlist),0)),"")</f>
        <v/>
      </c>
      <c r="B18" s="2298" t="str">
        <f t="shared" si="0"/>
        <v/>
      </c>
      <c r="C18" s="1692" t="str">
        <f>IF($A18&lt;&gt;"",
                         LEFT(VLOOKUP($A18,IP!$A$4:$N$153,11,FALSE),SEARCH(".",VLOOKUP($A18,IP!$A$4:$N$153,11,FALSE))-1),
        "")</f>
        <v/>
      </c>
      <c r="D18" s="1692" t="str">
        <f>IF($A18&lt;&gt;"",VLOOKUP(CONCATENATE($A18&amp;"  (IP01)"),IP!$A$4:$D$153,4,FALSE),"")</f>
        <v/>
      </c>
      <c r="E18" s="1356" t="str">
        <f t="shared" si="1"/>
        <v/>
      </c>
      <c r="F18" s="590" t="str">
        <f>IF($A18&lt;&gt;"",VLOOKUP(VLOOKUP($A18,dist_assets,2,FALSE),'Distributed Assets'!$C$6:$F$22,4,FALSE),"")</f>
        <v/>
      </c>
      <c r="G18" s="1356" t="str">
        <f t="shared" si="2"/>
        <v/>
      </c>
      <c r="H18" s="590" t="str">
        <f t="shared" si="3"/>
        <v/>
      </c>
      <c r="I18" s="590" t="str">
        <f t="shared" si="4"/>
        <v/>
      </c>
      <c r="J18" s="1356" t="str">
        <f t="shared" si="5"/>
        <v/>
      </c>
      <c r="K18" s="1356" t="str">
        <f t="shared" si="6"/>
        <v/>
      </c>
      <c r="L18" s="1356" t="str">
        <f t="shared" si="7"/>
        <v/>
      </c>
      <c r="M18" s="590" t="str">
        <f t="shared" si="8"/>
        <v/>
      </c>
      <c r="N18" s="30"/>
      <c r="O18" s="2073" t="str">
        <f t="array" ref="O18">IF(A18&lt;&gt;"",INDEX('New DB Request'!$A$26:$M$55,SMALL(IF(A18='New DB Request'!$A$26:$A$55,ROW('New DB Request'!$A$26:$A$55)),AE18)-25,4),"")</f>
        <v/>
      </c>
      <c r="P18" s="748"/>
      <c r="Q18" s="30"/>
      <c r="R18" s="2298" t="str">
        <f t="array" ref="R18">IF(A18&lt;&gt;"",INDEX('New DB Request'!$A$26:$M$55,SMALL(IF(A18='New DB Request'!$A$26:$A$55,ROW('New DB Request'!$A$26:$A$55)),AE18)-25,5),"")</f>
        <v/>
      </c>
      <c r="S18" s="2633" t="str">
        <f t="array" ref="S18">IF(A18&lt;&gt;"",INDEX('New DB Request'!$A$26:$M$55,SMALL(IF(A18='New DB Request'!$A$26:$A$55,ROW('New DB Request'!$A$26:$A$55)),AE18)-25,6),"")</f>
        <v/>
      </c>
      <c r="T18" s="2008" t="str">
        <f t="array" ref="T18">IF(A18&lt;&gt;"",INDEX('New DB Request'!$A$26:$M$55,SMALL(IF(A18='New DB Request'!$A$26:$A$55,ROW('New DB Request'!$A$26:$A$55)),AE18)-25,8),"")</f>
        <v/>
      </c>
      <c r="U18" s="30"/>
      <c r="V18" s="1090"/>
      <c r="W18" s="1090"/>
      <c r="X18" s="1090"/>
      <c r="Y18" s="2298" t="str">
        <f t="shared" si="9"/>
        <v/>
      </c>
      <c r="Z18" s="1357"/>
      <c r="AA18" s="2073" t="str">
        <f>IF($A18&lt;&gt;"",
      IF($E18="Windows",VLOOKUP($A18,dist_assets,15,FALSE),
        IF($E18&lt;&gt;"Windows",
               IF($H18="Oracle Standalone 11.2",Oracle_Standalone_fs($S18),
               IF($H18="Oracle HACMP 11.2 - Node 1", Oracle_HACMP_Node_1($S18),
               IF($H18="Oracle HACMP 11.2 - Node 2", Oracle_HACMP_Node_2($S18),
               IF($H18="Oracle-RAC","Oracle RAC requires special config
work with Open Systems",
               IF($AC18="db2_fs",DB2_FS($S18),""))))))),"")</f>
        <v/>
      </c>
      <c r="AB18" s="1358"/>
      <c r="AC18" s="3348" t="str">
        <f t="shared" si="12"/>
        <v/>
      </c>
      <c r="AD18" s="1642" t="str">
        <f t="shared" si="11"/>
        <v/>
      </c>
      <c r="AE18" s="2008" t="str">
        <f>IF(A18&lt;&gt;"",COUNTIF($A$7:A18,A18),"")</f>
        <v/>
      </c>
    </row>
    <row r="19" spans="1:31">
      <c r="A19" s="301" t="str">
        <f t="array" ref="A19">IF('New DB Request'!A38&lt;&gt;"",INDEX(newdbreq_assetlist,MATCH(SMALL(COUNTIF(newdbreq_assetlist,"&lt;="&amp;newdbreq_assetlist),ROWS($A$26:A38)),COUNTIF(newdbreq_assetlist,"&lt;="&amp;newdbreq_assetlist),0)),"")</f>
        <v/>
      </c>
      <c r="B19" s="2298" t="str">
        <f t="shared" si="0"/>
        <v/>
      </c>
      <c r="C19" s="1692" t="str">
        <f>IF($A19&lt;&gt;"",
                         LEFT(VLOOKUP($A19,IP!$A$4:$N$153,11,FALSE),SEARCH(".",VLOOKUP($A19,IP!$A$4:$N$153,11,FALSE))-1),
        "")</f>
        <v/>
      </c>
      <c r="D19" s="1692" t="str">
        <f>IF($A19&lt;&gt;"",VLOOKUP(CONCATENATE($A19&amp;"  (IP01)"),IP!$A$4:$D$153,4,FALSE),"")</f>
        <v/>
      </c>
      <c r="E19" s="1356" t="str">
        <f t="shared" si="1"/>
        <v/>
      </c>
      <c r="F19" s="590" t="str">
        <f>IF($A19&lt;&gt;"",VLOOKUP(VLOOKUP($A19,dist_assets,2,FALSE),'Distributed Assets'!$C$6:$F$22,4,FALSE),"")</f>
        <v/>
      </c>
      <c r="G19" s="1356" t="str">
        <f t="shared" si="2"/>
        <v/>
      </c>
      <c r="H19" s="590" t="str">
        <f t="shared" si="3"/>
        <v/>
      </c>
      <c r="I19" s="590" t="str">
        <f t="shared" si="4"/>
        <v/>
      </c>
      <c r="J19" s="1356" t="str">
        <f t="shared" si="5"/>
        <v/>
      </c>
      <c r="K19" s="1356" t="str">
        <f t="shared" si="6"/>
        <v/>
      </c>
      <c r="L19" s="1356" t="str">
        <f t="shared" si="7"/>
        <v/>
      </c>
      <c r="M19" s="590" t="str">
        <f t="shared" si="8"/>
        <v/>
      </c>
      <c r="N19" s="30"/>
      <c r="O19" s="2073" t="str">
        <f t="array" ref="O19">IF(A19&lt;&gt;"",INDEX('New DB Request'!$A$26:$M$55,SMALL(IF(A19='New DB Request'!$A$26:$A$55,ROW('New DB Request'!$A$26:$A$55)),AE19)-25,4),"")</f>
        <v/>
      </c>
      <c r="P19" s="748"/>
      <c r="Q19" s="30"/>
      <c r="R19" s="2298" t="str">
        <f t="array" ref="R19">IF(A19&lt;&gt;"",INDEX('New DB Request'!$A$26:$M$55,SMALL(IF(A19='New DB Request'!$A$26:$A$55,ROW('New DB Request'!$A$26:$A$55)),AE19)-25,5),"")</f>
        <v/>
      </c>
      <c r="S19" s="2633" t="str">
        <f t="array" ref="S19">IF(A19&lt;&gt;"",INDEX('New DB Request'!$A$26:$M$55,SMALL(IF(A19='New DB Request'!$A$26:$A$55,ROW('New DB Request'!$A$26:$A$55)),AE19)-25,6),"")</f>
        <v/>
      </c>
      <c r="T19" s="2008" t="str">
        <f t="array" ref="T19">IF(A19&lt;&gt;"",INDEX('New DB Request'!$A$26:$M$55,SMALL(IF(A19='New DB Request'!$A$26:$A$55,ROW('New DB Request'!$A$26:$A$55)),AE19)-25,8),"")</f>
        <v/>
      </c>
      <c r="U19" s="30"/>
      <c r="V19" s="1090"/>
      <c r="W19" s="1090"/>
      <c r="X19" s="1090"/>
      <c r="Y19" s="2298" t="str">
        <f t="shared" si="9"/>
        <v/>
      </c>
      <c r="Z19" s="1357"/>
      <c r="AA19" s="2073" t="str">
        <f>IF($A19&lt;&gt;"",
      IF($E19="Windows",VLOOKUP($A19,dist_assets,15,FALSE),
        IF($E19&lt;&gt;"Windows",
               IF($H19="Oracle Standalone 11.2",Oracle_Standalone_fs($S19),
               IF($H19="Oracle HACMP 11.2 - Node 1", Oracle_HACMP_Node_1($S19),
               IF($H19="Oracle HACMP 11.2 - Node 2", Oracle_HACMP_Node_2($S19),
               IF($H19="Oracle-RAC","Oracle RAC requires special config
work with Open Systems",
               IF($AC19="db2_fs",DB2_FS($S19),""))))))),"")</f>
        <v/>
      </c>
      <c r="AB19" s="1358"/>
      <c r="AC19" s="3348" t="str">
        <f t="shared" si="12"/>
        <v/>
      </c>
      <c r="AD19" s="1642" t="str">
        <f t="shared" si="11"/>
        <v/>
      </c>
      <c r="AE19" s="2008" t="str">
        <f>IF(A19&lt;&gt;"",COUNTIF($A$7:A19,A19),"")</f>
        <v/>
      </c>
    </row>
    <row r="20" spans="1:31">
      <c r="A20" s="301" t="str">
        <f t="array" ref="A20">IF('New DB Request'!A39&lt;&gt;"",INDEX(newdbreq_assetlist,MATCH(SMALL(COUNTIF(newdbreq_assetlist,"&lt;="&amp;newdbreq_assetlist),ROWS($A$26:A39)),COUNTIF(newdbreq_assetlist,"&lt;="&amp;newdbreq_assetlist),0)),"")</f>
        <v/>
      </c>
      <c r="B20" s="2298" t="str">
        <f t="shared" si="0"/>
        <v/>
      </c>
      <c r="C20" s="1692" t="str">
        <f>IF($A20&lt;&gt;"",
                         LEFT(VLOOKUP($A20,IP!$A$4:$N$153,11,FALSE),SEARCH(".",VLOOKUP($A20,IP!$A$4:$N$153,11,FALSE))-1),
        "")</f>
        <v/>
      </c>
      <c r="D20" s="1692" t="str">
        <f>IF($A20&lt;&gt;"",VLOOKUP(CONCATENATE($A20&amp;"  (IP01)"),IP!$A$4:$D$153,4,FALSE),"")</f>
        <v/>
      </c>
      <c r="E20" s="1356" t="str">
        <f t="shared" si="1"/>
        <v/>
      </c>
      <c r="F20" s="590" t="str">
        <f>IF($A20&lt;&gt;"",VLOOKUP(VLOOKUP($A20,dist_assets,2,FALSE),'Distributed Assets'!$C$6:$F$22,4,FALSE),"")</f>
        <v/>
      </c>
      <c r="G20" s="1356" t="str">
        <f t="shared" si="2"/>
        <v/>
      </c>
      <c r="H20" s="590" t="str">
        <f t="shared" si="3"/>
        <v/>
      </c>
      <c r="I20" s="590" t="str">
        <f t="shared" si="4"/>
        <v/>
      </c>
      <c r="J20" s="1356" t="str">
        <f t="shared" si="5"/>
        <v/>
      </c>
      <c r="K20" s="1356" t="str">
        <f t="shared" si="6"/>
        <v/>
      </c>
      <c r="L20" s="1356" t="str">
        <f t="shared" si="7"/>
        <v/>
      </c>
      <c r="M20" s="590" t="str">
        <f t="shared" si="8"/>
        <v/>
      </c>
      <c r="N20" s="30"/>
      <c r="O20" s="2073" t="str">
        <f t="array" ref="O20">IF(A20&lt;&gt;"",INDEX('New DB Request'!$A$26:$M$55,SMALL(IF(A20='New DB Request'!$A$26:$A$55,ROW('New DB Request'!$A$26:$A$55)),AE20)-25,4),"")</f>
        <v/>
      </c>
      <c r="P20" s="748"/>
      <c r="Q20" s="30"/>
      <c r="R20" s="2298" t="str">
        <f t="array" ref="R20">IF(A20&lt;&gt;"",INDEX('New DB Request'!$A$26:$M$55,SMALL(IF(A20='New DB Request'!$A$26:$A$55,ROW('New DB Request'!$A$26:$A$55)),AE20)-25,5),"")</f>
        <v/>
      </c>
      <c r="S20" s="2633" t="str">
        <f t="array" ref="S20">IF(A20&lt;&gt;"",INDEX('New DB Request'!$A$26:$M$55,SMALL(IF(A20='New DB Request'!$A$26:$A$55,ROW('New DB Request'!$A$26:$A$55)),AE20)-25,6),"")</f>
        <v/>
      </c>
      <c r="T20" s="2008" t="str">
        <f t="array" ref="T20">IF(A20&lt;&gt;"",INDEX('New DB Request'!$A$26:$M$55,SMALL(IF(A20='New DB Request'!$A$26:$A$55,ROW('New DB Request'!$A$26:$A$55)),AE20)-25,8),"")</f>
        <v/>
      </c>
      <c r="U20" s="30"/>
      <c r="V20" s="1090"/>
      <c r="W20" s="1090"/>
      <c r="X20" s="1090"/>
      <c r="Y20" s="2298" t="str">
        <f t="shared" si="9"/>
        <v/>
      </c>
      <c r="Z20" s="1357"/>
      <c r="AA20" s="2073" t="str">
        <f>IF($A20&lt;&gt;"",
      IF($E20="Windows",VLOOKUP($A20,dist_assets,15,FALSE),
        IF($E20&lt;&gt;"Windows",
               IF($H20="Oracle Standalone 11.2",Oracle_Standalone_fs($S20),
               IF($H20="Oracle HACMP 11.2 - Node 1", Oracle_HACMP_Node_1($S20),
               IF($H20="Oracle HACMP 11.2 - Node 2", Oracle_HACMP_Node_2($S20),
               IF($H20="Oracle-RAC","Oracle RAC requires special config
work with Open Systems",
               IF($AC20="db2_fs",DB2_FS($S20),""))))))),"")</f>
        <v/>
      </c>
      <c r="AB20" s="1358"/>
      <c r="AC20" s="3348" t="str">
        <f t="shared" si="12"/>
        <v/>
      </c>
      <c r="AD20" s="1642" t="str">
        <f t="shared" si="11"/>
        <v/>
      </c>
      <c r="AE20" s="2008" t="str">
        <f>IF(A20&lt;&gt;"",COUNTIF($A$7:A20,A20),"")</f>
        <v/>
      </c>
    </row>
    <row r="21" spans="1:31">
      <c r="A21" s="301" t="str">
        <f t="array" ref="A21">IF('New DB Request'!A40&lt;&gt;"",INDEX(newdbreq_assetlist,MATCH(SMALL(COUNTIF(newdbreq_assetlist,"&lt;="&amp;newdbreq_assetlist),ROWS($A$26:A40)),COUNTIF(newdbreq_assetlist,"&lt;="&amp;newdbreq_assetlist),0)),"")</f>
        <v/>
      </c>
      <c r="B21" s="2298" t="str">
        <f t="shared" si="0"/>
        <v/>
      </c>
      <c r="C21" s="1692" t="str">
        <f>IF($A21&lt;&gt;"",
                         LEFT(VLOOKUP($A21,IP!$A$4:$N$153,11,FALSE),SEARCH(".",VLOOKUP($A21,IP!$A$4:$N$153,11,FALSE))-1),
        "")</f>
        <v/>
      </c>
      <c r="D21" s="1692" t="str">
        <f>IF($A21&lt;&gt;"",VLOOKUP(CONCATENATE($A21&amp;"  (IP01)"),IP!$A$4:$D$153,4,FALSE),"")</f>
        <v/>
      </c>
      <c r="E21" s="1356" t="str">
        <f t="shared" si="1"/>
        <v/>
      </c>
      <c r="F21" s="590" t="str">
        <f>IF($A21&lt;&gt;"",VLOOKUP(VLOOKUP($A21,dist_assets,2,FALSE),'Distributed Assets'!$C$6:$F$22,4,FALSE),"")</f>
        <v/>
      </c>
      <c r="G21" s="1356" t="str">
        <f t="shared" si="2"/>
        <v/>
      </c>
      <c r="H21" s="590" t="str">
        <f t="shared" si="3"/>
        <v/>
      </c>
      <c r="I21" s="590" t="str">
        <f t="shared" si="4"/>
        <v/>
      </c>
      <c r="J21" s="1356" t="str">
        <f t="shared" si="5"/>
        <v/>
      </c>
      <c r="K21" s="1356" t="str">
        <f t="shared" si="6"/>
        <v/>
      </c>
      <c r="L21" s="1356" t="str">
        <f t="shared" si="7"/>
        <v/>
      </c>
      <c r="M21" s="590" t="str">
        <f t="shared" si="8"/>
        <v/>
      </c>
      <c r="N21" s="30"/>
      <c r="O21" s="2073" t="str">
        <f t="array" ref="O21">IF(A21&lt;&gt;"",INDEX('New DB Request'!$A$26:$M$55,SMALL(IF(A21='New DB Request'!$A$26:$A$55,ROW('New DB Request'!$A$26:$A$55)),AE21)-25,4),"")</f>
        <v/>
      </c>
      <c r="P21" s="748"/>
      <c r="Q21" s="30"/>
      <c r="R21" s="2298" t="str">
        <f t="array" ref="R21">IF(A21&lt;&gt;"",INDEX('New DB Request'!$A$26:$M$55,SMALL(IF(A21='New DB Request'!$A$26:$A$55,ROW('New DB Request'!$A$26:$A$55)),AE21)-25,5),"")</f>
        <v/>
      </c>
      <c r="S21" s="2633" t="str">
        <f t="array" ref="S21">IF(A21&lt;&gt;"",INDEX('New DB Request'!$A$26:$M$55,SMALL(IF(A21='New DB Request'!$A$26:$A$55,ROW('New DB Request'!$A$26:$A$55)),AE21)-25,6),"")</f>
        <v/>
      </c>
      <c r="T21" s="2008" t="str">
        <f t="array" ref="T21">IF(A21&lt;&gt;"",INDEX('New DB Request'!$A$26:$M$55,SMALL(IF(A21='New DB Request'!$A$26:$A$55,ROW('New DB Request'!$A$26:$A$55)),AE21)-25,8),"")</f>
        <v/>
      </c>
      <c r="U21" s="30"/>
      <c r="V21" s="1090"/>
      <c r="W21" s="1090"/>
      <c r="X21" s="1090"/>
      <c r="Y21" s="2298" t="str">
        <f t="shared" si="9"/>
        <v/>
      </c>
      <c r="Z21" s="1357"/>
      <c r="AA21" s="2073" t="str">
        <f>IF($A21&lt;&gt;"",
      IF($E21="Windows",VLOOKUP($A21,dist_assets,15,FALSE),
        IF($E21&lt;&gt;"Windows",
               IF($H21="Oracle Standalone 11.2",Oracle_Standalone_fs($S21),
               IF($H21="Oracle HACMP 11.2 - Node 1", Oracle_HACMP_Node_1($S21),
               IF($H21="Oracle HACMP 11.2 - Node 2", Oracle_HACMP_Node_2($S21),
               IF($H21="Oracle-RAC","Oracle RAC requires special config
work with Open Systems",
               IF($AC21="db2_fs",DB2_FS($S21),""))))))),"")</f>
        <v/>
      </c>
      <c r="AB21" s="1358"/>
      <c r="AC21" s="3348" t="str">
        <f t="shared" si="12"/>
        <v/>
      </c>
      <c r="AD21" s="1642" t="str">
        <f t="shared" si="11"/>
        <v/>
      </c>
      <c r="AE21" s="2008" t="str">
        <f>IF(A21&lt;&gt;"",COUNTIF($A$7:A21,A21),"")</f>
        <v/>
      </c>
    </row>
    <row r="22" spans="1:31">
      <c r="A22" s="301" t="str">
        <f t="array" ref="A22">IF('New DB Request'!A41&lt;&gt;"",INDEX(newdbreq_assetlist,MATCH(SMALL(COUNTIF(newdbreq_assetlist,"&lt;="&amp;newdbreq_assetlist),ROWS($A$26:A41)),COUNTIF(newdbreq_assetlist,"&lt;="&amp;newdbreq_assetlist),0)),"")</f>
        <v/>
      </c>
      <c r="B22" s="2298" t="str">
        <f t="shared" si="0"/>
        <v/>
      </c>
      <c r="C22" s="1692" t="str">
        <f>IF($A22&lt;&gt;"",
                         LEFT(VLOOKUP($A22,IP!$A$4:$N$153,11,FALSE),SEARCH(".",VLOOKUP($A22,IP!$A$4:$N$153,11,FALSE))-1),
        "")</f>
        <v/>
      </c>
      <c r="D22" s="1692" t="str">
        <f>IF($A22&lt;&gt;"",VLOOKUP(CONCATENATE($A22&amp;"  (IP01)"),IP!$A$4:$D$153,4,FALSE),"")</f>
        <v/>
      </c>
      <c r="E22" s="1356" t="str">
        <f t="shared" si="1"/>
        <v/>
      </c>
      <c r="F22" s="590" t="str">
        <f>IF($A22&lt;&gt;"",VLOOKUP(VLOOKUP($A22,dist_assets,2,FALSE),'Distributed Assets'!$C$6:$F$22,4,FALSE),"")</f>
        <v/>
      </c>
      <c r="G22" s="1356" t="str">
        <f t="shared" si="2"/>
        <v/>
      </c>
      <c r="H22" s="590" t="str">
        <f t="shared" si="3"/>
        <v/>
      </c>
      <c r="I22" s="590" t="str">
        <f t="shared" si="4"/>
        <v/>
      </c>
      <c r="J22" s="1356" t="str">
        <f t="shared" si="5"/>
        <v/>
      </c>
      <c r="K22" s="1356" t="str">
        <f t="shared" si="6"/>
        <v/>
      </c>
      <c r="L22" s="1356" t="str">
        <f t="shared" si="7"/>
        <v/>
      </c>
      <c r="M22" s="590" t="str">
        <f t="shared" si="8"/>
        <v/>
      </c>
      <c r="N22" s="30"/>
      <c r="O22" s="2073" t="str">
        <f t="array" ref="O22">IF(A22&lt;&gt;"",INDEX('New DB Request'!$A$26:$M$55,SMALL(IF(A22='New DB Request'!$A$26:$A$55,ROW('New DB Request'!$A$26:$A$55)),AE22)-25,4),"")</f>
        <v/>
      </c>
      <c r="P22" s="748"/>
      <c r="Q22" s="30"/>
      <c r="R22" s="2298" t="str">
        <f t="array" ref="R22">IF(A22&lt;&gt;"",INDEX('New DB Request'!$A$26:$M$55,SMALL(IF(A22='New DB Request'!$A$26:$A$55,ROW('New DB Request'!$A$26:$A$55)),AE22)-25,5),"")</f>
        <v/>
      </c>
      <c r="S22" s="2633" t="str">
        <f t="array" ref="S22">IF(A22&lt;&gt;"",INDEX('New DB Request'!$A$26:$M$55,SMALL(IF(A22='New DB Request'!$A$26:$A$55,ROW('New DB Request'!$A$26:$A$55)),AE22)-25,6),"")</f>
        <v/>
      </c>
      <c r="T22" s="2008" t="str">
        <f t="array" ref="T22">IF(A22&lt;&gt;"",INDEX('New DB Request'!$A$26:$M$55,SMALL(IF(A22='New DB Request'!$A$26:$A$55,ROW('New DB Request'!$A$26:$A$55)),AE22)-25,8),"")</f>
        <v/>
      </c>
      <c r="U22" s="30"/>
      <c r="V22" s="1090"/>
      <c r="W22" s="1090"/>
      <c r="X22" s="1090"/>
      <c r="Y22" s="2298" t="str">
        <f t="shared" si="9"/>
        <v/>
      </c>
      <c r="Z22" s="1357"/>
      <c r="AA22" s="2073" t="str">
        <f>IF($A22&lt;&gt;"",
      IF($E22="Windows",VLOOKUP($A22,dist_assets,15,FALSE),
        IF($E22&lt;&gt;"Windows",
               IF($H22="Oracle Standalone 11.2",Oracle_Standalone_fs($S22),
               IF($H22="Oracle HACMP 11.2 - Node 1", Oracle_HACMP_Node_1($S22),
               IF($H22="Oracle HACMP 11.2 - Node 2", Oracle_HACMP_Node_2($S22),
               IF($H22="Oracle-RAC","Oracle RAC requires special config
work with Open Systems",
               IF($AC22="db2_fs",DB2_FS($S22),""))))))),"")</f>
        <v/>
      </c>
      <c r="AB22" s="1358"/>
      <c r="AC22" s="3348" t="str">
        <f t="shared" si="12"/>
        <v/>
      </c>
      <c r="AD22" s="1642" t="str">
        <f t="shared" si="11"/>
        <v/>
      </c>
      <c r="AE22" s="2008" t="str">
        <f>IF(A22&lt;&gt;"",COUNTIF($A$7:A22,A22),"")</f>
        <v/>
      </c>
    </row>
    <row r="23" spans="1:31">
      <c r="A23" s="301" t="str">
        <f t="array" ref="A23">IF('New DB Request'!A42&lt;&gt;"",INDEX(newdbreq_assetlist,MATCH(SMALL(COUNTIF(newdbreq_assetlist,"&lt;="&amp;newdbreq_assetlist),ROWS($A$26:A42)),COUNTIF(newdbreq_assetlist,"&lt;="&amp;newdbreq_assetlist),0)),"")</f>
        <v/>
      </c>
      <c r="B23" s="2298" t="str">
        <f t="shared" si="0"/>
        <v/>
      </c>
      <c r="C23" s="1692" t="str">
        <f>IF($A23&lt;&gt;"",
                         LEFT(VLOOKUP($A23,IP!$A$4:$N$153,11,FALSE),SEARCH(".",VLOOKUP($A23,IP!$A$4:$N$153,11,FALSE))-1),
        "")</f>
        <v/>
      </c>
      <c r="D23" s="1692" t="str">
        <f>IF($A23&lt;&gt;"",VLOOKUP(CONCATENATE($A23&amp;"  (IP01)"),IP!$A$4:$D$153,4,FALSE),"")</f>
        <v/>
      </c>
      <c r="E23" s="1356" t="str">
        <f t="shared" si="1"/>
        <v/>
      </c>
      <c r="F23" s="590" t="str">
        <f>IF($A23&lt;&gt;"",VLOOKUP(VLOOKUP($A23,dist_assets,2,FALSE),'Distributed Assets'!$C$6:$F$22,4,FALSE),"")</f>
        <v/>
      </c>
      <c r="G23" s="1356" t="str">
        <f t="shared" si="2"/>
        <v/>
      </c>
      <c r="H23" s="590" t="str">
        <f t="shared" si="3"/>
        <v/>
      </c>
      <c r="I23" s="590" t="str">
        <f t="shared" si="4"/>
        <v/>
      </c>
      <c r="J23" s="1356" t="str">
        <f t="shared" si="5"/>
        <v/>
      </c>
      <c r="K23" s="1356" t="str">
        <f t="shared" si="6"/>
        <v/>
      </c>
      <c r="L23" s="1356" t="str">
        <f t="shared" si="7"/>
        <v/>
      </c>
      <c r="M23" s="590" t="str">
        <f t="shared" si="8"/>
        <v/>
      </c>
      <c r="N23" s="30"/>
      <c r="O23" s="2073" t="str">
        <f t="array" ref="O23">IF(A23&lt;&gt;"",INDEX('New DB Request'!$A$26:$M$55,SMALL(IF(A23='New DB Request'!$A$26:$A$55,ROW('New DB Request'!$A$26:$A$55)),AE23)-25,4),"")</f>
        <v/>
      </c>
      <c r="P23" s="748"/>
      <c r="Q23" s="30"/>
      <c r="R23" s="2298" t="str">
        <f t="array" ref="R23">IF(A23&lt;&gt;"",INDEX('New DB Request'!$A$26:$M$55,SMALL(IF(A23='New DB Request'!$A$26:$A$55,ROW('New DB Request'!$A$26:$A$55)),AE23)-25,5),"")</f>
        <v/>
      </c>
      <c r="S23" s="2633" t="str">
        <f t="array" ref="S23">IF(A23&lt;&gt;"",INDEX('New DB Request'!$A$26:$M$55,SMALL(IF(A23='New DB Request'!$A$26:$A$55,ROW('New DB Request'!$A$26:$A$55)),AE23)-25,6),"")</f>
        <v/>
      </c>
      <c r="T23" s="2008" t="str">
        <f t="array" ref="T23">IF(A23&lt;&gt;"",INDEX('New DB Request'!$A$26:$M$55,SMALL(IF(A23='New DB Request'!$A$26:$A$55,ROW('New DB Request'!$A$26:$A$55)),AE23)-25,8),"")</f>
        <v/>
      </c>
      <c r="U23" s="30"/>
      <c r="V23" s="1090"/>
      <c r="W23" s="1090"/>
      <c r="X23" s="1090"/>
      <c r="Y23" s="2298" t="str">
        <f t="shared" si="9"/>
        <v/>
      </c>
      <c r="Z23" s="1357"/>
      <c r="AA23" s="2073" t="str">
        <f>IF($A23&lt;&gt;"",
      IF($E23="Windows",VLOOKUP($A23,dist_assets,15,FALSE),
        IF($E23&lt;&gt;"Windows",
               IF($H23="Oracle Standalone 11.2",Oracle_Standalone_fs($S23),
               IF($H23="Oracle HACMP 11.2 - Node 1", Oracle_HACMP_Node_1($S23),
               IF($H23="Oracle HACMP 11.2 - Node 2", Oracle_HACMP_Node_2($S23),
               IF($H23="Oracle-RAC","Oracle RAC requires special config
work with Open Systems",
               IF($AC23="db2_fs",DB2_FS($S23),""))))))),"")</f>
        <v/>
      </c>
      <c r="AB23" s="1358"/>
      <c r="AC23" s="3348" t="str">
        <f t="shared" si="12"/>
        <v/>
      </c>
      <c r="AD23" s="1642" t="str">
        <f t="shared" si="11"/>
        <v/>
      </c>
      <c r="AE23" s="2008" t="str">
        <f>IF(A23&lt;&gt;"",COUNTIF($A$7:A23,A23),"")</f>
        <v/>
      </c>
    </row>
    <row r="24" spans="1:31">
      <c r="A24" s="301" t="str">
        <f t="array" ref="A24">IF('New DB Request'!A43&lt;&gt;"",INDEX(newdbreq_assetlist,MATCH(SMALL(COUNTIF(newdbreq_assetlist,"&lt;="&amp;newdbreq_assetlist),ROWS($A$26:A43)),COUNTIF(newdbreq_assetlist,"&lt;="&amp;newdbreq_assetlist),0)),"")</f>
        <v/>
      </c>
      <c r="B24" s="2298" t="str">
        <f t="shared" si="0"/>
        <v/>
      </c>
      <c r="C24" s="1692" t="str">
        <f>IF($A24&lt;&gt;"",
                         LEFT(VLOOKUP($A24,IP!$A$4:$N$153,11,FALSE),SEARCH(".",VLOOKUP($A24,IP!$A$4:$N$153,11,FALSE))-1),
        "")</f>
        <v/>
      </c>
      <c r="D24" s="1692" t="str">
        <f>IF($A24&lt;&gt;"",VLOOKUP(CONCATENATE($A24&amp;"  (IP01)"),IP!$A$4:$D$153,4,FALSE),"")</f>
        <v/>
      </c>
      <c r="E24" s="1356" t="str">
        <f t="shared" si="1"/>
        <v/>
      </c>
      <c r="F24" s="590" t="str">
        <f>IF($A24&lt;&gt;"",VLOOKUP(VLOOKUP($A24,dist_assets,2,FALSE),'Distributed Assets'!$C$6:$F$22,4,FALSE),"")</f>
        <v/>
      </c>
      <c r="G24" s="1356" t="str">
        <f t="shared" si="2"/>
        <v/>
      </c>
      <c r="H24" s="590" t="str">
        <f t="shared" si="3"/>
        <v/>
      </c>
      <c r="I24" s="590" t="str">
        <f t="shared" si="4"/>
        <v/>
      </c>
      <c r="J24" s="1356" t="str">
        <f t="shared" si="5"/>
        <v/>
      </c>
      <c r="K24" s="1356" t="str">
        <f t="shared" si="6"/>
        <v/>
      </c>
      <c r="L24" s="1356" t="str">
        <f t="shared" si="7"/>
        <v/>
      </c>
      <c r="M24" s="590" t="str">
        <f t="shared" si="8"/>
        <v/>
      </c>
      <c r="N24" s="30"/>
      <c r="O24" s="2073" t="str">
        <f t="array" ref="O24">IF(A24&lt;&gt;"",INDEX('New DB Request'!$A$26:$M$55,SMALL(IF(A24='New DB Request'!$A$26:$A$55,ROW('New DB Request'!$A$26:$A$55)),AE24)-25,4),"")</f>
        <v/>
      </c>
      <c r="P24" s="748"/>
      <c r="Q24" s="30"/>
      <c r="R24" s="2298" t="str">
        <f t="array" ref="R24">IF(A24&lt;&gt;"",INDEX('New DB Request'!$A$26:$M$55,SMALL(IF(A24='New DB Request'!$A$26:$A$55,ROW('New DB Request'!$A$26:$A$55)),AE24)-25,5),"")</f>
        <v/>
      </c>
      <c r="S24" s="2633" t="str">
        <f t="array" ref="S24">IF(A24&lt;&gt;"",INDEX('New DB Request'!$A$26:$M$55,SMALL(IF(A24='New DB Request'!$A$26:$A$55,ROW('New DB Request'!$A$26:$A$55)),AE24)-25,6),"")</f>
        <v/>
      </c>
      <c r="T24" s="2008" t="str">
        <f t="array" ref="T24">IF(A24&lt;&gt;"",INDEX('New DB Request'!$A$26:$M$55,SMALL(IF(A24='New DB Request'!$A$26:$A$55,ROW('New DB Request'!$A$26:$A$55)),AE24)-25,8),"")</f>
        <v/>
      </c>
      <c r="U24" s="30"/>
      <c r="V24" s="1090"/>
      <c r="W24" s="1090"/>
      <c r="X24" s="1090"/>
      <c r="Y24" s="2298" t="str">
        <f t="shared" si="9"/>
        <v/>
      </c>
      <c r="Z24" s="1357"/>
      <c r="AA24" s="2073" t="str">
        <f>IF($A24&lt;&gt;"",
      IF($E24="Windows",VLOOKUP($A24,dist_assets,15,FALSE),
        IF($E24&lt;&gt;"Windows",
               IF($H24="Oracle Standalone 11.2",Oracle_Standalone_fs($S24),
               IF($H24="Oracle HACMP 11.2 - Node 1", Oracle_HACMP_Node_1($S24),
               IF($H24="Oracle HACMP 11.2 - Node 2", Oracle_HACMP_Node_2($S24),
               IF($H24="Oracle-RAC","Oracle RAC requires special config
work with Open Systems",
               IF($AC24="db2_fs",DB2_FS($S24),""))))))),"")</f>
        <v/>
      </c>
      <c r="AB24" s="1358"/>
      <c r="AC24" s="3348" t="str">
        <f t="shared" si="12"/>
        <v/>
      </c>
      <c r="AD24" s="1642" t="str">
        <f t="shared" si="11"/>
        <v/>
      </c>
      <c r="AE24" s="2008" t="str">
        <f>IF(A24&lt;&gt;"",COUNTIF($A$7:A24,A24),"")</f>
        <v/>
      </c>
    </row>
    <row r="25" spans="1:31">
      <c r="A25" s="301" t="str">
        <f t="array" ref="A25">IF('New DB Request'!A44&lt;&gt;"",INDEX(newdbreq_assetlist,MATCH(SMALL(COUNTIF(newdbreq_assetlist,"&lt;="&amp;newdbreq_assetlist),ROWS($A$26:A44)),COUNTIF(newdbreq_assetlist,"&lt;="&amp;newdbreq_assetlist),0)),"")</f>
        <v/>
      </c>
      <c r="B25" s="2298" t="str">
        <f t="shared" si="0"/>
        <v/>
      </c>
      <c r="C25" s="1692" t="str">
        <f>IF($A25&lt;&gt;"",
                         LEFT(VLOOKUP($A25,IP!$A$4:$N$153,11,FALSE),SEARCH(".",VLOOKUP($A25,IP!$A$4:$N$153,11,FALSE))-1),
        "")</f>
        <v/>
      </c>
      <c r="D25" s="1692" t="str">
        <f>IF($A25&lt;&gt;"",VLOOKUP(CONCATENATE($A25&amp;"  (IP01)"),IP!$A$4:$D$153,4,FALSE),"")</f>
        <v/>
      </c>
      <c r="E25" s="1356" t="str">
        <f t="shared" si="1"/>
        <v/>
      </c>
      <c r="F25" s="590" t="str">
        <f>IF($A25&lt;&gt;"",VLOOKUP(VLOOKUP($A25,dist_assets,2,FALSE),'Distributed Assets'!$C$6:$F$22,4,FALSE),"")</f>
        <v/>
      </c>
      <c r="G25" s="1356" t="str">
        <f t="shared" si="2"/>
        <v/>
      </c>
      <c r="H25" s="590" t="str">
        <f t="shared" si="3"/>
        <v/>
      </c>
      <c r="I25" s="590" t="str">
        <f t="shared" si="4"/>
        <v/>
      </c>
      <c r="J25" s="1356" t="str">
        <f t="shared" si="5"/>
        <v/>
      </c>
      <c r="K25" s="1356" t="str">
        <f t="shared" si="6"/>
        <v/>
      </c>
      <c r="L25" s="1356" t="str">
        <f t="shared" si="7"/>
        <v/>
      </c>
      <c r="M25" s="590" t="str">
        <f t="shared" si="8"/>
        <v/>
      </c>
      <c r="N25" s="30"/>
      <c r="O25" s="2073" t="str">
        <f t="array" ref="O25">IF(A25&lt;&gt;"",INDEX('New DB Request'!$A$26:$M$55,SMALL(IF(A25='New DB Request'!$A$26:$A$55,ROW('New DB Request'!$A$26:$A$55)),AE25)-25,4),"")</f>
        <v/>
      </c>
      <c r="P25" s="748"/>
      <c r="Q25" s="30"/>
      <c r="R25" s="2298" t="str">
        <f t="array" ref="R25">IF(A25&lt;&gt;"",INDEX('New DB Request'!$A$26:$M$55,SMALL(IF(A25='New DB Request'!$A$26:$A$55,ROW('New DB Request'!$A$26:$A$55)),AE25)-25,5),"")</f>
        <v/>
      </c>
      <c r="S25" s="2633" t="str">
        <f t="array" ref="S25">IF(A25&lt;&gt;"",INDEX('New DB Request'!$A$26:$M$55,SMALL(IF(A25='New DB Request'!$A$26:$A$55,ROW('New DB Request'!$A$26:$A$55)),AE25)-25,6),"")</f>
        <v/>
      </c>
      <c r="T25" s="2008" t="str">
        <f t="array" ref="T25">IF(A25&lt;&gt;"",INDEX('New DB Request'!$A$26:$M$55,SMALL(IF(A25='New DB Request'!$A$26:$A$55,ROW('New DB Request'!$A$26:$A$55)),AE25)-25,8),"")</f>
        <v/>
      </c>
      <c r="U25" s="30"/>
      <c r="V25" s="1090"/>
      <c r="W25" s="1090"/>
      <c r="X25" s="1090"/>
      <c r="Y25" s="2298" t="str">
        <f t="shared" si="9"/>
        <v/>
      </c>
      <c r="Z25" s="1357"/>
      <c r="AA25" s="2073" t="str">
        <f>IF($A25&lt;&gt;"",
      IF($E25="Windows",VLOOKUP($A25,dist_assets,15,FALSE),
        IF($E25&lt;&gt;"Windows",
               IF($H25="Oracle Standalone 11.2",Oracle_Standalone_fs($S25),
               IF($H25="Oracle HACMP 11.2 - Node 1", Oracle_HACMP_Node_1($S25),
               IF($H25="Oracle HACMP 11.2 - Node 2", Oracle_HACMP_Node_2($S25),
               IF($H25="Oracle-RAC","Oracle RAC requires special config
work with Open Systems",
               IF($AC25="db2_fs",DB2_FS($S25),""))))))),"")</f>
        <v/>
      </c>
      <c r="AB25" s="1358"/>
      <c r="AC25" s="3348" t="str">
        <f t="shared" si="12"/>
        <v/>
      </c>
      <c r="AD25" s="1642" t="str">
        <f t="shared" si="11"/>
        <v/>
      </c>
      <c r="AE25" s="2008" t="str">
        <f>IF(A25&lt;&gt;"",COUNTIF($A$7:A25,A25),"")</f>
        <v/>
      </c>
    </row>
    <row r="26" spans="1:31">
      <c r="A26" s="301" t="str">
        <f t="array" ref="A26">IF('New DB Request'!A45&lt;&gt;"",INDEX(newdbreq_assetlist,MATCH(SMALL(COUNTIF(newdbreq_assetlist,"&lt;="&amp;newdbreq_assetlist),ROWS($A$26:A45)),COUNTIF(newdbreq_assetlist,"&lt;="&amp;newdbreq_assetlist),0)),"")</f>
        <v/>
      </c>
      <c r="B26" s="2298" t="str">
        <f t="shared" si="0"/>
        <v/>
      </c>
      <c r="C26" s="1692" t="str">
        <f>IF($A26&lt;&gt;"",
                         LEFT(VLOOKUP($A26,IP!$A$4:$N$153,11,FALSE),SEARCH(".",VLOOKUP($A26,IP!$A$4:$N$153,11,FALSE))-1),
        "")</f>
        <v/>
      </c>
      <c r="D26" s="1692" t="str">
        <f>IF($A26&lt;&gt;"",VLOOKUP(CONCATENATE($A26&amp;"  (IP01)"),IP!$A$4:$D$153,4,FALSE),"")</f>
        <v/>
      </c>
      <c r="E26" s="1356" t="str">
        <f t="shared" si="1"/>
        <v/>
      </c>
      <c r="F26" s="590" t="str">
        <f>IF($A26&lt;&gt;"",VLOOKUP(VLOOKUP($A26,dist_assets,2,FALSE),'Distributed Assets'!$C$6:$F$22,4,FALSE),"")</f>
        <v/>
      </c>
      <c r="G26" s="1356" t="str">
        <f t="shared" si="2"/>
        <v/>
      </c>
      <c r="H26" s="590" t="str">
        <f t="shared" si="3"/>
        <v/>
      </c>
      <c r="I26" s="590" t="str">
        <f t="shared" si="4"/>
        <v/>
      </c>
      <c r="J26" s="1356" t="str">
        <f t="shared" si="5"/>
        <v/>
      </c>
      <c r="K26" s="1356" t="str">
        <f t="shared" si="6"/>
        <v/>
      </c>
      <c r="L26" s="1356" t="str">
        <f t="shared" si="7"/>
        <v/>
      </c>
      <c r="M26" s="590" t="str">
        <f t="shared" si="8"/>
        <v/>
      </c>
      <c r="N26" s="30"/>
      <c r="O26" s="2073" t="str">
        <f t="array" ref="O26">IF(A26&lt;&gt;"",INDEX('New DB Request'!$A$26:$M$55,SMALL(IF(A26='New DB Request'!$A$26:$A$55,ROW('New DB Request'!$A$26:$A$55)),AE26)-25,4),"")</f>
        <v/>
      </c>
      <c r="P26" s="748"/>
      <c r="Q26" s="30"/>
      <c r="R26" s="2298" t="str">
        <f t="array" ref="R26">IF(A26&lt;&gt;"",INDEX('New DB Request'!$A$26:$M$55,SMALL(IF(A26='New DB Request'!$A$26:$A$55,ROW('New DB Request'!$A$26:$A$55)),AE26)-25,5),"")</f>
        <v/>
      </c>
      <c r="S26" s="2633" t="str">
        <f t="array" ref="S26">IF(A26&lt;&gt;"",INDEX('New DB Request'!$A$26:$M$55,SMALL(IF(A26='New DB Request'!$A$26:$A$55,ROW('New DB Request'!$A$26:$A$55)),AE26)-25,6),"")</f>
        <v/>
      </c>
      <c r="T26" s="2008" t="str">
        <f t="array" ref="T26">IF(A26&lt;&gt;"",INDEX('New DB Request'!$A$26:$M$55,SMALL(IF(A26='New DB Request'!$A$26:$A$55,ROW('New DB Request'!$A$26:$A$55)),AE26)-25,8),"")</f>
        <v/>
      </c>
      <c r="U26" s="30"/>
      <c r="V26" s="1090"/>
      <c r="W26" s="1090"/>
      <c r="X26" s="1090"/>
      <c r="Y26" s="2298" t="str">
        <f t="shared" si="9"/>
        <v/>
      </c>
      <c r="Z26" s="1357"/>
      <c r="AA26" s="2073" t="str">
        <f>IF($A26&lt;&gt;"",
      IF($E26="Windows",VLOOKUP($A26,dist_assets,15,FALSE),
        IF($E26&lt;&gt;"Windows",
               IF($H26="Oracle Standalone 11.2",Oracle_Standalone_fs($S26),
               IF($H26="Oracle HACMP 11.2 - Node 1", Oracle_HACMP_Node_1($S26),
               IF($H26="Oracle HACMP 11.2 - Node 2", Oracle_HACMP_Node_2($S26),
               IF($H26="Oracle-RAC","Oracle RAC requires special config
work with Open Systems",
               IF($AC26="db2_fs",DB2_FS($S26),""))))))),"")</f>
        <v/>
      </c>
      <c r="AB26" s="1358"/>
      <c r="AC26" s="3348" t="str">
        <f t="shared" si="12"/>
        <v/>
      </c>
      <c r="AD26" s="1642" t="str">
        <f t="shared" si="11"/>
        <v/>
      </c>
      <c r="AE26" s="2008" t="str">
        <f>IF(A26&lt;&gt;"",COUNTIF($A$7:A26,A26),"")</f>
        <v/>
      </c>
    </row>
    <row r="27" spans="1:31">
      <c r="A27" s="301" t="str">
        <f t="array" ref="A27">IF('New DB Request'!A46&lt;&gt;"",INDEX(newdbreq_assetlist,MATCH(SMALL(COUNTIF(newdbreq_assetlist,"&lt;="&amp;newdbreq_assetlist),ROWS($A$26:A46)),COUNTIF(newdbreq_assetlist,"&lt;="&amp;newdbreq_assetlist),0)),"")</f>
        <v/>
      </c>
      <c r="B27" s="2298" t="str">
        <f t="shared" si="0"/>
        <v/>
      </c>
      <c r="C27" s="1692" t="str">
        <f>IF($A27&lt;&gt;"",
                         LEFT(VLOOKUP($A27,IP!$A$4:$N$153,11,FALSE),SEARCH(".",VLOOKUP($A27,IP!$A$4:$N$153,11,FALSE))-1),
        "")</f>
        <v/>
      </c>
      <c r="D27" s="1692" t="str">
        <f>IF($A27&lt;&gt;"",VLOOKUP(CONCATENATE($A27&amp;"  (IP01)"),IP!$A$4:$D$153,4,FALSE),"")</f>
        <v/>
      </c>
      <c r="E27" s="1356" t="str">
        <f t="shared" si="1"/>
        <v/>
      </c>
      <c r="F27" s="590" t="str">
        <f>IF($A27&lt;&gt;"",VLOOKUP(VLOOKUP($A27,dist_assets,2,FALSE),'Distributed Assets'!$C$6:$F$22,4,FALSE),"")</f>
        <v/>
      </c>
      <c r="G27" s="1356" t="str">
        <f t="shared" si="2"/>
        <v/>
      </c>
      <c r="H27" s="590" t="str">
        <f t="shared" si="3"/>
        <v/>
      </c>
      <c r="I27" s="590" t="str">
        <f t="shared" si="4"/>
        <v/>
      </c>
      <c r="J27" s="1356" t="str">
        <f t="shared" si="5"/>
        <v/>
      </c>
      <c r="K27" s="1356" t="str">
        <f t="shared" si="6"/>
        <v/>
      </c>
      <c r="L27" s="1356" t="str">
        <f t="shared" si="7"/>
        <v/>
      </c>
      <c r="M27" s="590" t="str">
        <f t="shared" si="8"/>
        <v/>
      </c>
      <c r="N27" s="30"/>
      <c r="O27" s="2073" t="str">
        <f t="array" ref="O27">IF(A27&lt;&gt;"",INDEX('New DB Request'!$A$26:$M$55,SMALL(IF(A27='New DB Request'!$A$26:$A$55,ROW('New DB Request'!$A$26:$A$55)),AE27)-25,4),"")</f>
        <v/>
      </c>
      <c r="P27" s="748"/>
      <c r="Q27" s="30"/>
      <c r="R27" s="2298" t="str">
        <f t="array" ref="R27">IF(A27&lt;&gt;"",INDEX('New DB Request'!$A$26:$M$55,SMALL(IF(A27='New DB Request'!$A$26:$A$55,ROW('New DB Request'!$A$26:$A$55)),AE27)-25,5),"")</f>
        <v/>
      </c>
      <c r="S27" s="2633" t="str">
        <f t="array" ref="S27">IF(A27&lt;&gt;"",INDEX('New DB Request'!$A$26:$M$55,SMALL(IF(A27='New DB Request'!$A$26:$A$55,ROW('New DB Request'!$A$26:$A$55)),AE27)-25,6),"")</f>
        <v/>
      </c>
      <c r="T27" s="2008" t="str">
        <f t="array" ref="T27">IF(A27&lt;&gt;"",INDEX('New DB Request'!$A$26:$M$55,SMALL(IF(A27='New DB Request'!$A$26:$A$55,ROW('New DB Request'!$A$26:$A$55)),AE27)-25,8),"")</f>
        <v/>
      </c>
      <c r="U27" s="30"/>
      <c r="V27" s="1090"/>
      <c r="W27" s="1090"/>
      <c r="X27" s="1090"/>
      <c r="Y27" s="2298" t="str">
        <f t="shared" si="9"/>
        <v/>
      </c>
      <c r="Z27" s="1357"/>
      <c r="AA27" s="2073" t="str">
        <f>IF($A27&lt;&gt;"",
      IF($E27="Windows",VLOOKUP($A27,dist_assets,15,FALSE),
        IF($E27&lt;&gt;"Windows",
               IF($H27="Oracle Standalone 11.2",Oracle_Standalone_fs($S27),
               IF($H27="Oracle HACMP 11.2 - Node 1", Oracle_HACMP_Node_1($S27),
               IF($H27="Oracle HACMP 11.2 - Node 2", Oracle_HACMP_Node_2($S27),
               IF($H27="Oracle-RAC","Oracle RAC requires special config
work with Open Systems",
               IF($AC27="db2_fs",DB2_FS($S27),""))))))),"")</f>
        <v/>
      </c>
      <c r="AB27" s="1358"/>
      <c r="AC27" s="3348" t="str">
        <f t="shared" si="12"/>
        <v/>
      </c>
      <c r="AD27" s="1642" t="str">
        <f t="shared" si="11"/>
        <v/>
      </c>
      <c r="AE27" s="2008" t="str">
        <f>IF(A27&lt;&gt;"",COUNTIF($A$7:A27,A27),"")</f>
        <v/>
      </c>
    </row>
    <row r="28" spans="1:31">
      <c r="A28" s="301" t="str">
        <f t="array" ref="A28">IF('New DB Request'!A47&lt;&gt;"",INDEX(newdbreq_assetlist,MATCH(SMALL(COUNTIF(newdbreq_assetlist,"&lt;="&amp;newdbreq_assetlist),ROWS($A$26:A47)),COUNTIF(newdbreq_assetlist,"&lt;="&amp;newdbreq_assetlist),0)),"")</f>
        <v/>
      </c>
      <c r="B28" s="2298" t="str">
        <f t="shared" si="0"/>
        <v/>
      </c>
      <c r="C28" s="1692" t="str">
        <f>IF($A28&lt;&gt;"",
                         LEFT(VLOOKUP($A28,IP!$A$4:$N$153,11,FALSE),SEARCH(".",VLOOKUP($A28,IP!$A$4:$N$153,11,FALSE))-1),
        "")</f>
        <v/>
      </c>
      <c r="D28" s="1692" t="str">
        <f>IF($A28&lt;&gt;"",VLOOKUP(CONCATENATE($A28&amp;"  (IP01)"),IP!$A$4:$D$153,4,FALSE),"")</f>
        <v/>
      </c>
      <c r="E28" s="1356" t="str">
        <f t="shared" si="1"/>
        <v/>
      </c>
      <c r="F28" s="590" t="str">
        <f>IF($A28&lt;&gt;"",VLOOKUP(VLOOKUP($A28,dist_assets,2,FALSE),'Distributed Assets'!$C$6:$F$22,4,FALSE),"")</f>
        <v/>
      </c>
      <c r="G28" s="1356" t="str">
        <f t="shared" si="2"/>
        <v/>
      </c>
      <c r="H28" s="590" t="str">
        <f t="shared" si="3"/>
        <v/>
      </c>
      <c r="I28" s="590" t="str">
        <f t="shared" si="4"/>
        <v/>
      </c>
      <c r="J28" s="1356" t="str">
        <f t="shared" si="5"/>
        <v/>
      </c>
      <c r="K28" s="1356" t="str">
        <f t="shared" si="6"/>
        <v/>
      </c>
      <c r="L28" s="1356" t="str">
        <f t="shared" si="7"/>
        <v/>
      </c>
      <c r="M28" s="590" t="str">
        <f t="shared" si="8"/>
        <v/>
      </c>
      <c r="N28" s="30"/>
      <c r="O28" s="2073" t="str">
        <f t="array" ref="O28">IF(A28&lt;&gt;"",INDEX('New DB Request'!$A$26:$M$55,SMALL(IF(A28='New DB Request'!$A$26:$A$55,ROW('New DB Request'!$A$26:$A$55)),AE28)-25,4),"")</f>
        <v/>
      </c>
      <c r="P28" s="748"/>
      <c r="Q28" s="30"/>
      <c r="R28" s="2298" t="str">
        <f t="array" ref="R28">IF(A28&lt;&gt;"",INDEX('New DB Request'!$A$26:$M$55,SMALL(IF(A28='New DB Request'!$A$26:$A$55,ROW('New DB Request'!$A$26:$A$55)),AE28)-25,5),"")</f>
        <v/>
      </c>
      <c r="S28" s="2633" t="str">
        <f t="array" ref="S28">IF(A28&lt;&gt;"",INDEX('New DB Request'!$A$26:$M$55,SMALL(IF(A28='New DB Request'!$A$26:$A$55,ROW('New DB Request'!$A$26:$A$55)),AE28)-25,6),"")</f>
        <v/>
      </c>
      <c r="T28" s="2008" t="str">
        <f t="array" ref="T28">IF(A28&lt;&gt;"",INDEX('New DB Request'!$A$26:$M$55,SMALL(IF(A28='New DB Request'!$A$26:$A$55,ROW('New DB Request'!$A$26:$A$55)),AE28)-25,8),"")</f>
        <v/>
      </c>
      <c r="U28" s="30"/>
      <c r="V28" s="1090"/>
      <c r="W28" s="1090"/>
      <c r="X28" s="1090"/>
      <c r="Y28" s="2298" t="str">
        <f t="shared" si="9"/>
        <v/>
      </c>
      <c r="Z28" s="1357"/>
      <c r="AA28" s="2073" t="str">
        <f>IF($A28&lt;&gt;"",
      IF($E28="Windows",VLOOKUP($A28,dist_assets,15,FALSE),
        IF($E28&lt;&gt;"Windows",
               IF($H28="Oracle Standalone 11.2",Oracle_Standalone_fs($S28),
               IF($H28="Oracle HACMP 11.2 - Node 1", Oracle_HACMP_Node_1($S28),
               IF($H28="Oracle HACMP 11.2 - Node 2", Oracle_HACMP_Node_2($S28),
               IF($H28="Oracle-RAC","Oracle RAC requires special config
work with Open Systems",
               IF($AC28="db2_fs",DB2_FS($S28),""))))))),"")</f>
        <v/>
      </c>
      <c r="AB28" s="1358"/>
      <c r="AC28" s="3348" t="str">
        <f t="shared" si="12"/>
        <v/>
      </c>
      <c r="AD28" s="1642" t="str">
        <f t="shared" si="11"/>
        <v/>
      </c>
      <c r="AE28" s="2008" t="str">
        <f>IF(A28&lt;&gt;"",COUNTIF($A$7:A28,A28),"")</f>
        <v/>
      </c>
    </row>
    <row r="29" spans="1:31">
      <c r="A29" s="301" t="str">
        <f t="array" ref="A29">IF('New DB Request'!A48&lt;&gt;"",INDEX(newdbreq_assetlist,MATCH(SMALL(COUNTIF(newdbreq_assetlist,"&lt;="&amp;newdbreq_assetlist),ROWS($A$26:A48)),COUNTIF(newdbreq_assetlist,"&lt;="&amp;newdbreq_assetlist),0)),"")</f>
        <v/>
      </c>
      <c r="B29" s="2298" t="str">
        <f t="shared" si="0"/>
        <v/>
      </c>
      <c r="C29" s="1692" t="str">
        <f>IF($A29&lt;&gt;"",
                         LEFT(VLOOKUP($A29,IP!$A$4:$N$153,11,FALSE),SEARCH(".",VLOOKUP($A29,IP!$A$4:$N$153,11,FALSE))-1),
        "")</f>
        <v/>
      </c>
      <c r="D29" s="1692" t="str">
        <f>IF($A29&lt;&gt;"",VLOOKUP(CONCATENATE($A29&amp;"  (IP01)"),IP!$A$4:$D$153,4,FALSE),"")</f>
        <v/>
      </c>
      <c r="E29" s="1356" t="str">
        <f t="shared" si="1"/>
        <v/>
      </c>
      <c r="F29" s="590" t="str">
        <f>IF($A29&lt;&gt;"",VLOOKUP(VLOOKUP($A29,dist_assets,2,FALSE),'Distributed Assets'!$C$6:$F$22,4,FALSE),"")</f>
        <v/>
      </c>
      <c r="G29" s="1356" t="str">
        <f t="shared" si="2"/>
        <v/>
      </c>
      <c r="H29" s="590" t="str">
        <f t="shared" si="3"/>
        <v/>
      </c>
      <c r="I29" s="590" t="str">
        <f t="shared" si="4"/>
        <v/>
      </c>
      <c r="J29" s="1356" t="str">
        <f t="shared" si="5"/>
        <v/>
      </c>
      <c r="K29" s="1356" t="str">
        <f t="shared" si="6"/>
        <v/>
      </c>
      <c r="L29" s="1356" t="str">
        <f t="shared" si="7"/>
        <v/>
      </c>
      <c r="M29" s="590" t="str">
        <f t="shared" si="8"/>
        <v/>
      </c>
      <c r="N29" s="30"/>
      <c r="O29" s="2073" t="str">
        <f t="array" ref="O29">IF(A29&lt;&gt;"",INDEX('New DB Request'!$A$26:$M$55,SMALL(IF(A29='New DB Request'!$A$26:$A$55,ROW('New DB Request'!$A$26:$A$55)),AE29)-25,4),"")</f>
        <v/>
      </c>
      <c r="P29" s="748"/>
      <c r="Q29" s="30"/>
      <c r="R29" s="2298" t="str">
        <f t="array" ref="R29">IF(A29&lt;&gt;"",INDEX('New DB Request'!$A$26:$M$55,SMALL(IF(A29='New DB Request'!$A$26:$A$55,ROW('New DB Request'!$A$26:$A$55)),AE29)-25,5),"")</f>
        <v/>
      </c>
      <c r="S29" s="2633" t="str">
        <f t="array" ref="S29">IF(A29&lt;&gt;"",INDEX('New DB Request'!$A$26:$M$55,SMALL(IF(A29='New DB Request'!$A$26:$A$55,ROW('New DB Request'!$A$26:$A$55)),AE29)-25,6),"")</f>
        <v/>
      </c>
      <c r="T29" s="2008" t="str">
        <f t="array" ref="T29">IF(A29&lt;&gt;"",INDEX('New DB Request'!$A$26:$M$55,SMALL(IF(A29='New DB Request'!$A$26:$A$55,ROW('New DB Request'!$A$26:$A$55)),AE29)-25,8),"")</f>
        <v/>
      </c>
      <c r="U29" s="30"/>
      <c r="V29" s="1090"/>
      <c r="W29" s="1090"/>
      <c r="X29" s="1090"/>
      <c r="Y29" s="2298" t="str">
        <f t="shared" si="9"/>
        <v/>
      </c>
      <c r="Z29" s="1357"/>
      <c r="AA29" s="2073" t="str">
        <f>IF($A29&lt;&gt;"",
      IF($E29="Windows",VLOOKUP($A29,dist_assets,15,FALSE),
        IF($E29&lt;&gt;"Windows",
               IF($H29="Oracle Standalone 11.2",Oracle_Standalone_fs($S29),
               IF($H29="Oracle HACMP 11.2 - Node 1", Oracle_HACMP_Node_1($S29),
               IF($H29="Oracle HACMP 11.2 - Node 2", Oracle_HACMP_Node_2($S29),
               IF($H29="Oracle-RAC","Oracle RAC requires special config
work with Open Systems",
               IF($AC29="db2_fs",DB2_FS($S29),""))))))),"")</f>
        <v/>
      </c>
      <c r="AB29" s="1358"/>
      <c r="AC29" s="3348" t="str">
        <f t="shared" si="12"/>
        <v/>
      </c>
      <c r="AD29" s="1642" t="str">
        <f t="shared" si="11"/>
        <v/>
      </c>
      <c r="AE29" s="2008" t="str">
        <f>IF(A29&lt;&gt;"",COUNTIF($A$7:A29,A29),"")</f>
        <v/>
      </c>
    </row>
    <row r="30" spans="1:31">
      <c r="A30" s="301" t="str">
        <f t="array" ref="A30">IF('New DB Request'!A49&lt;&gt;"",INDEX(newdbreq_assetlist,MATCH(SMALL(COUNTIF(newdbreq_assetlist,"&lt;="&amp;newdbreq_assetlist),ROWS($A$26:A49)),COUNTIF(newdbreq_assetlist,"&lt;="&amp;newdbreq_assetlist),0)),"")</f>
        <v/>
      </c>
      <c r="B30" s="2298" t="str">
        <f t="shared" si="0"/>
        <v/>
      </c>
      <c r="C30" s="1692" t="str">
        <f>IF($A30&lt;&gt;"",
                         LEFT(VLOOKUP($A30,IP!$A$4:$N$153,11,FALSE),SEARCH(".",VLOOKUP($A30,IP!$A$4:$N$153,11,FALSE))-1),
        "")</f>
        <v/>
      </c>
      <c r="D30" s="1692" t="str">
        <f>IF($A30&lt;&gt;"",VLOOKUP(CONCATENATE($A30&amp;"  (IP01)"),IP!$A$4:$D$153,4,FALSE),"")</f>
        <v/>
      </c>
      <c r="E30" s="1356" t="str">
        <f t="shared" si="1"/>
        <v/>
      </c>
      <c r="F30" s="590" t="str">
        <f>IF($A30&lt;&gt;"",VLOOKUP(VLOOKUP($A30,dist_assets,2,FALSE),'Distributed Assets'!$C$6:$F$22,4,FALSE),"")</f>
        <v/>
      </c>
      <c r="G30" s="1356" t="str">
        <f t="shared" si="2"/>
        <v/>
      </c>
      <c r="H30" s="590" t="str">
        <f t="shared" si="3"/>
        <v/>
      </c>
      <c r="I30" s="590" t="str">
        <f t="shared" si="4"/>
        <v/>
      </c>
      <c r="J30" s="1356" t="str">
        <f t="shared" si="5"/>
        <v/>
      </c>
      <c r="K30" s="1356" t="str">
        <f t="shared" si="6"/>
        <v/>
      </c>
      <c r="L30" s="1356" t="str">
        <f t="shared" si="7"/>
        <v/>
      </c>
      <c r="M30" s="590" t="str">
        <f t="shared" si="8"/>
        <v/>
      </c>
      <c r="N30" s="30"/>
      <c r="O30" s="2073" t="str">
        <f t="array" ref="O30">IF(A30&lt;&gt;"",INDEX('New DB Request'!$A$26:$M$55,SMALL(IF(A30='New DB Request'!$A$26:$A$55,ROW('New DB Request'!$A$26:$A$55)),AE30)-25,4),"")</f>
        <v/>
      </c>
      <c r="P30" s="748"/>
      <c r="Q30" s="30"/>
      <c r="R30" s="2298" t="str">
        <f t="array" ref="R30">IF(A30&lt;&gt;"",INDEX('New DB Request'!$A$26:$M$55,SMALL(IF(A30='New DB Request'!$A$26:$A$55,ROW('New DB Request'!$A$26:$A$55)),AE30)-25,5),"")</f>
        <v/>
      </c>
      <c r="S30" s="2633" t="str">
        <f t="array" ref="S30">IF(A30&lt;&gt;"",INDEX('New DB Request'!$A$26:$M$55,SMALL(IF(A30='New DB Request'!$A$26:$A$55,ROW('New DB Request'!$A$26:$A$55)),AE30)-25,6),"")</f>
        <v/>
      </c>
      <c r="T30" s="2008" t="str">
        <f t="array" ref="T30">IF(A30&lt;&gt;"",INDEX('New DB Request'!$A$26:$M$55,SMALL(IF(A30='New DB Request'!$A$26:$A$55,ROW('New DB Request'!$A$26:$A$55)),AE30)-25,8),"")</f>
        <v/>
      </c>
      <c r="U30" s="30"/>
      <c r="V30" s="1090"/>
      <c r="W30" s="1090"/>
      <c r="X30" s="1090"/>
      <c r="Y30" s="2298" t="str">
        <f t="shared" si="9"/>
        <v/>
      </c>
      <c r="Z30" s="1357"/>
      <c r="AA30" s="2073" t="str">
        <f>IF($A30&lt;&gt;"",
      IF($E30="Windows",VLOOKUP($A30,dist_assets,15,FALSE),
        IF($E30&lt;&gt;"Windows",
               IF($H30="Oracle Standalone 11.2",Oracle_Standalone_fs($S30),
               IF($H30="Oracle HACMP 11.2 - Node 1", Oracle_HACMP_Node_1($S30),
               IF($H30="Oracle HACMP 11.2 - Node 2", Oracle_HACMP_Node_2($S30),
               IF($H30="Oracle-RAC","Oracle RAC requires special config
work with Open Systems",
               IF($AC30="db2_fs",DB2_FS($S30),""))))))),"")</f>
        <v/>
      </c>
      <c r="AB30" s="1358"/>
      <c r="AC30" s="3348" t="str">
        <f t="shared" si="12"/>
        <v/>
      </c>
      <c r="AD30" s="1642" t="str">
        <f t="shared" si="11"/>
        <v/>
      </c>
      <c r="AE30" s="2008" t="str">
        <f>IF(A30&lt;&gt;"",COUNTIF($A$7:A30,A30),"")</f>
        <v/>
      </c>
    </row>
    <row r="31" spans="1:31">
      <c r="A31" s="301" t="str">
        <f t="array" ref="A31">IF('New DB Request'!A50&lt;&gt;"",INDEX(newdbreq_assetlist,MATCH(SMALL(COUNTIF(newdbreq_assetlist,"&lt;="&amp;newdbreq_assetlist),ROWS($A$26:A50)),COUNTIF(newdbreq_assetlist,"&lt;="&amp;newdbreq_assetlist),0)),"")</f>
        <v/>
      </c>
      <c r="B31" s="2298" t="str">
        <f t="shared" si="0"/>
        <v/>
      </c>
      <c r="C31" s="1692" t="str">
        <f>IF($A31&lt;&gt;"",
                         LEFT(VLOOKUP($A31,IP!$A$4:$N$153,11,FALSE),SEARCH(".",VLOOKUP($A31,IP!$A$4:$N$153,11,FALSE))-1),
        "")</f>
        <v/>
      </c>
      <c r="D31" s="1692" t="str">
        <f>IF($A31&lt;&gt;"",VLOOKUP(CONCATENATE($A31&amp;"  (IP01)"),IP!$A$4:$D$153,4,FALSE),"")</f>
        <v/>
      </c>
      <c r="E31" s="1356" t="str">
        <f t="shared" si="1"/>
        <v/>
      </c>
      <c r="F31" s="590" t="str">
        <f>IF($A31&lt;&gt;"",VLOOKUP(VLOOKUP($A31,dist_assets,2,FALSE),'Distributed Assets'!$C$6:$F$22,4,FALSE),"")</f>
        <v/>
      </c>
      <c r="G31" s="1356" t="str">
        <f t="shared" si="2"/>
        <v/>
      </c>
      <c r="H31" s="590" t="str">
        <f t="shared" si="3"/>
        <v/>
      </c>
      <c r="I31" s="590" t="str">
        <f t="shared" si="4"/>
        <v/>
      </c>
      <c r="J31" s="1356" t="str">
        <f t="shared" si="5"/>
        <v/>
      </c>
      <c r="K31" s="1356" t="str">
        <f t="shared" si="6"/>
        <v/>
      </c>
      <c r="L31" s="1356" t="str">
        <f t="shared" si="7"/>
        <v/>
      </c>
      <c r="M31" s="590" t="str">
        <f t="shared" si="8"/>
        <v/>
      </c>
      <c r="N31" s="30"/>
      <c r="O31" s="2073" t="str">
        <f t="array" ref="O31">IF(A31&lt;&gt;"",INDEX('New DB Request'!$A$26:$M$55,SMALL(IF(A31='New DB Request'!$A$26:$A$55,ROW('New DB Request'!$A$26:$A$55)),AE31)-25,4),"")</f>
        <v/>
      </c>
      <c r="P31" s="748"/>
      <c r="Q31" s="30"/>
      <c r="R31" s="2298" t="str">
        <f t="array" ref="R31">IF(A31&lt;&gt;"",INDEX('New DB Request'!$A$26:$M$55,SMALL(IF(A31='New DB Request'!$A$26:$A$55,ROW('New DB Request'!$A$26:$A$55)),AE31)-25,5),"")</f>
        <v/>
      </c>
      <c r="S31" s="2633" t="str">
        <f t="array" ref="S31">IF(A31&lt;&gt;"",INDEX('New DB Request'!$A$26:$M$55,SMALL(IF(A31='New DB Request'!$A$26:$A$55,ROW('New DB Request'!$A$26:$A$55)),AE31)-25,6),"")</f>
        <v/>
      </c>
      <c r="T31" s="2008" t="str">
        <f t="array" ref="T31">IF(A31&lt;&gt;"",INDEX('New DB Request'!$A$26:$M$55,SMALL(IF(A31='New DB Request'!$A$26:$A$55,ROW('New DB Request'!$A$26:$A$55)),AE31)-25,8),"")</f>
        <v/>
      </c>
      <c r="U31" s="30"/>
      <c r="V31" s="1090"/>
      <c r="W31" s="1090"/>
      <c r="X31" s="1090"/>
      <c r="Y31" s="2298" t="str">
        <f t="shared" si="9"/>
        <v/>
      </c>
      <c r="Z31" s="1357"/>
      <c r="AA31" s="2073" t="str">
        <f>IF($A31&lt;&gt;"",
      IF($E31="Windows",VLOOKUP($A31,dist_assets,15,FALSE),
        IF($E31&lt;&gt;"Windows",
               IF($H31="Oracle Standalone 11.2",Oracle_Standalone_fs($S31),
               IF($H31="Oracle HACMP 11.2 - Node 1", Oracle_HACMP_Node_1($S31),
               IF($H31="Oracle HACMP 11.2 - Node 2", Oracle_HACMP_Node_2($S31),
               IF($H31="Oracle-RAC","Oracle RAC requires special config
work with Open Systems",
               IF($AC31="db2_fs",DB2_FS($S31),""))))))),"")</f>
        <v/>
      </c>
      <c r="AB31" s="1358"/>
      <c r="AC31" s="3348" t="str">
        <f t="shared" si="12"/>
        <v/>
      </c>
      <c r="AD31" s="1642" t="str">
        <f t="shared" si="11"/>
        <v/>
      </c>
      <c r="AE31" s="2008" t="str">
        <f>IF(A31&lt;&gt;"",COUNTIF($A$7:A31,A31),"")</f>
        <v/>
      </c>
    </row>
    <row r="32" spans="1:31">
      <c r="A32" s="301" t="str">
        <f t="array" ref="A32">IF('New DB Request'!A51&lt;&gt;"",INDEX(newdbreq_assetlist,MATCH(SMALL(COUNTIF(newdbreq_assetlist,"&lt;="&amp;newdbreq_assetlist),ROWS($A$26:A51)),COUNTIF(newdbreq_assetlist,"&lt;="&amp;newdbreq_assetlist),0)),"")</f>
        <v/>
      </c>
      <c r="B32" s="2298" t="str">
        <f t="shared" si="0"/>
        <v/>
      </c>
      <c r="C32" s="1692" t="str">
        <f>IF($A32&lt;&gt;"",
                         LEFT(VLOOKUP($A32,IP!$A$4:$N$153,11,FALSE),SEARCH(".",VLOOKUP($A32,IP!$A$4:$N$153,11,FALSE))-1),
        "")</f>
        <v/>
      </c>
      <c r="D32" s="1692" t="str">
        <f>IF($A32&lt;&gt;"",VLOOKUP(CONCATENATE($A32&amp;"  (IP01)"),IP!$A$4:$D$153,4,FALSE),"")</f>
        <v/>
      </c>
      <c r="E32" s="1356" t="str">
        <f t="shared" si="1"/>
        <v/>
      </c>
      <c r="F32" s="590" t="str">
        <f>IF($A32&lt;&gt;"",VLOOKUP(VLOOKUP($A32,dist_assets,2,FALSE),'Distributed Assets'!$C$6:$F$22,4,FALSE),"")</f>
        <v/>
      </c>
      <c r="G32" s="1356" t="str">
        <f t="shared" si="2"/>
        <v/>
      </c>
      <c r="H32" s="590" t="str">
        <f t="shared" si="3"/>
        <v/>
      </c>
      <c r="I32" s="590" t="str">
        <f t="shared" si="4"/>
        <v/>
      </c>
      <c r="J32" s="1356" t="str">
        <f t="shared" si="5"/>
        <v/>
      </c>
      <c r="K32" s="1356" t="str">
        <f t="shared" si="6"/>
        <v/>
      </c>
      <c r="L32" s="1356" t="str">
        <f t="shared" si="7"/>
        <v/>
      </c>
      <c r="M32" s="590" t="str">
        <f t="shared" si="8"/>
        <v/>
      </c>
      <c r="N32" s="30"/>
      <c r="O32" s="2073" t="str">
        <f t="array" ref="O32">IF(A32&lt;&gt;"",INDEX('New DB Request'!$A$26:$M$55,SMALL(IF(A32='New DB Request'!$A$26:$A$55,ROW('New DB Request'!$A$26:$A$55)),AE32)-25,4),"")</f>
        <v/>
      </c>
      <c r="P32" s="748"/>
      <c r="Q32" s="30"/>
      <c r="R32" s="2298" t="str">
        <f t="array" ref="R32">IF(A32&lt;&gt;"",INDEX('New DB Request'!$A$26:$M$55,SMALL(IF(A32='New DB Request'!$A$26:$A$55,ROW('New DB Request'!$A$26:$A$55)),AE32)-25,5),"")</f>
        <v/>
      </c>
      <c r="S32" s="2633" t="str">
        <f t="array" ref="S32">IF(A32&lt;&gt;"",INDEX('New DB Request'!$A$26:$M$55,SMALL(IF(A32='New DB Request'!$A$26:$A$55,ROW('New DB Request'!$A$26:$A$55)),AE32)-25,6),"")</f>
        <v/>
      </c>
      <c r="T32" s="2008" t="str">
        <f t="array" ref="T32">IF(A32&lt;&gt;"",INDEX('New DB Request'!$A$26:$M$55,SMALL(IF(A32='New DB Request'!$A$26:$A$55,ROW('New DB Request'!$A$26:$A$55)),AE32)-25,8),"")</f>
        <v/>
      </c>
      <c r="U32" s="30"/>
      <c r="V32" s="1090"/>
      <c r="W32" s="1090"/>
      <c r="X32" s="1090"/>
      <c r="Y32" s="2298" t="str">
        <f t="shared" si="9"/>
        <v/>
      </c>
      <c r="Z32" s="1357"/>
      <c r="AA32" s="2073" t="str">
        <f>IF($A32&lt;&gt;"",
      IF($E32="Windows",VLOOKUP($A32,dist_assets,15,FALSE),
        IF($E32&lt;&gt;"Windows",
               IF($H32="Oracle Standalone 11.2",Oracle_Standalone_fs($S32),
               IF($H32="Oracle HACMP 11.2 - Node 1", Oracle_HACMP_Node_1($S32),
               IF($H32="Oracle HACMP 11.2 - Node 2", Oracle_HACMP_Node_2($S32),
               IF($H32="Oracle-RAC","Oracle RAC requires special config
work with Open Systems",
               IF($AC32="db2_fs",DB2_FS($S32),""))))))),"")</f>
        <v/>
      </c>
      <c r="AB32" s="1358"/>
      <c r="AC32" s="3348" t="str">
        <f t="shared" si="12"/>
        <v/>
      </c>
      <c r="AD32" s="1642" t="str">
        <f t="shared" si="11"/>
        <v/>
      </c>
      <c r="AE32" s="2008" t="str">
        <f>IF(A32&lt;&gt;"",COUNTIF($A$7:A32,A32),"")</f>
        <v/>
      </c>
    </row>
    <row r="33" spans="1:31">
      <c r="A33" s="301" t="str">
        <f t="array" ref="A33">IF('New DB Request'!A52&lt;&gt;"",INDEX(newdbreq_assetlist,MATCH(SMALL(COUNTIF(newdbreq_assetlist,"&lt;="&amp;newdbreq_assetlist),ROWS($A$26:A52)),COUNTIF(newdbreq_assetlist,"&lt;="&amp;newdbreq_assetlist),0)),"")</f>
        <v/>
      </c>
      <c r="B33" s="2298" t="str">
        <f t="shared" si="0"/>
        <v/>
      </c>
      <c r="C33" s="1692" t="str">
        <f>IF($A33&lt;&gt;"",
                         LEFT(VLOOKUP($A33,IP!$A$4:$N$153,11,FALSE),SEARCH(".",VLOOKUP($A33,IP!$A$4:$N$153,11,FALSE))-1),
        "")</f>
        <v/>
      </c>
      <c r="D33" s="1692" t="str">
        <f>IF($A33&lt;&gt;"",VLOOKUP(CONCATENATE($A33&amp;"  (IP01)"),IP!$A$4:$D$153,4,FALSE),"")</f>
        <v/>
      </c>
      <c r="E33" s="1356" t="str">
        <f t="shared" si="1"/>
        <v/>
      </c>
      <c r="F33" s="590" t="str">
        <f>IF($A33&lt;&gt;"",VLOOKUP(VLOOKUP($A33,dist_assets,2,FALSE),'Distributed Assets'!$C$6:$F$22,4,FALSE),"")</f>
        <v/>
      </c>
      <c r="G33" s="1356" t="str">
        <f t="shared" si="2"/>
        <v/>
      </c>
      <c r="H33" s="590" t="str">
        <f t="shared" si="3"/>
        <v/>
      </c>
      <c r="I33" s="590" t="str">
        <f t="shared" si="4"/>
        <v/>
      </c>
      <c r="J33" s="1356" t="str">
        <f t="shared" si="5"/>
        <v/>
      </c>
      <c r="K33" s="1356" t="str">
        <f t="shared" si="6"/>
        <v/>
      </c>
      <c r="L33" s="1356" t="str">
        <f t="shared" si="7"/>
        <v/>
      </c>
      <c r="M33" s="590" t="str">
        <f t="shared" si="8"/>
        <v/>
      </c>
      <c r="N33" s="30"/>
      <c r="O33" s="2073" t="str">
        <f t="array" ref="O33">IF(A33&lt;&gt;"",INDEX('New DB Request'!$A$26:$M$55,SMALL(IF(A33='New DB Request'!$A$26:$A$55,ROW('New DB Request'!$A$26:$A$55)),AE33)-25,4),"")</f>
        <v/>
      </c>
      <c r="P33" s="748"/>
      <c r="Q33" s="30"/>
      <c r="R33" s="2298" t="str">
        <f t="array" ref="R33">IF(A33&lt;&gt;"",INDEX('New DB Request'!$A$26:$M$55,SMALL(IF(A33='New DB Request'!$A$26:$A$55,ROW('New DB Request'!$A$26:$A$55)),AE33)-25,5),"")</f>
        <v/>
      </c>
      <c r="S33" s="2633" t="str">
        <f t="array" ref="S33">IF(A33&lt;&gt;"",INDEX('New DB Request'!$A$26:$M$55,SMALL(IF(A33='New DB Request'!$A$26:$A$55,ROW('New DB Request'!$A$26:$A$55)),AE33)-25,6),"")</f>
        <v/>
      </c>
      <c r="T33" s="2008" t="str">
        <f t="array" ref="T33">IF(A33&lt;&gt;"",INDEX('New DB Request'!$A$26:$M$55,SMALL(IF(A33='New DB Request'!$A$26:$A$55,ROW('New DB Request'!$A$26:$A$55)),AE33)-25,8),"")</f>
        <v/>
      </c>
      <c r="U33" s="30"/>
      <c r="V33" s="1090"/>
      <c r="W33" s="1090"/>
      <c r="X33" s="1090"/>
      <c r="Y33" s="2298" t="str">
        <f t="shared" si="9"/>
        <v/>
      </c>
      <c r="Z33" s="1357"/>
      <c r="AA33" s="2073" t="str">
        <f>IF($A33&lt;&gt;"",
      IF($E33="Windows",VLOOKUP($A33,dist_assets,15,FALSE),
        IF($E33&lt;&gt;"Windows",
               IF($H33="Oracle Standalone 11.2",Oracle_Standalone_fs($S33),
               IF($H33="Oracle HACMP 11.2 - Node 1", Oracle_HACMP_Node_1($S33),
               IF($H33="Oracle HACMP 11.2 - Node 2", Oracle_HACMP_Node_2($S33),
               IF($H33="Oracle-RAC","Oracle RAC requires special config
work with Open Systems",
               IF($AC33="db2_fs",DB2_FS($S33),""))))))),"")</f>
        <v/>
      </c>
      <c r="AB33" s="1358"/>
      <c r="AC33" s="3348" t="str">
        <f t="shared" si="12"/>
        <v/>
      </c>
      <c r="AD33" s="1642" t="str">
        <f t="shared" si="11"/>
        <v/>
      </c>
      <c r="AE33" s="2008" t="str">
        <f>IF(A33&lt;&gt;"",COUNTIF($A$7:A33,A33),"")</f>
        <v/>
      </c>
    </row>
    <row r="34" spans="1:31">
      <c r="A34" s="301" t="str">
        <f t="array" ref="A34">IF('New DB Request'!A53&lt;&gt;"",INDEX(newdbreq_assetlist,MATCH(SMALL(COUNTIF(newdbreq_assetlist,"&lt;="&amp;newdbreq_assetlist),ROWS($A$26:A53)),COUNTIF(newdbreq_assetlist,"&lt;="&amp;newdbreq_assetlist),0)),"")</f>
        <v/>
      </c>
      <c r="B34" s="2298" t="str">
        <f t="shared" si="0"/>
        <v/>
      </c>
      <c r="C34" s="1692" t="str">
        <f>IF($A34&lt;&gt;"",
                         LEFT(VLOOKUP($A34,IP!$A$4:$N$153,11,FALSE),SEARCH(".",VLOOKUP($A34,IP!$A$4:$N$153,11,FALSE))-1),
        "")</f>
        <v/>
      </c>
      <c r="D34" s="1692" t="str">
        <f>IF($A34&lt;&gt;"",VLOOKUP(CONCATENATE($A34&amp;"  (IP01)"),IP!$A$4:$D$153,4,FALSE),"")</f>
        <v/>
      </c>
      <c r="E34" s="1356" t="str">
        <f t="shared" si="1"/>
        <v/>
      </c>
      <c r="F34" s="590" t="str">
        <f>IF($A34&lt;&gt;"",VLOOKUP(VLOOKUP($A34,dist_assets,2,FALSE),'Distributed Assets'!$C$6:$F$22,4,FALSE),"")</f>
        <v/>
      </c>
      <c r="G34" s="1356" t="str">
        <f t="shared" si="2"/>
        <v/>
      </c>
      <c r="H34" s="590" t="str">
        <f t="shared" si="3"/>
        <v/>
      </c>
      <c r="I34" s="590" t="str">
        <f t="shared" si="4"/>
        <v/>
      </c>
      <c r="J34" s="1356" t="str">
        <f t="shared" si="5"/>
        <v/>
      </c>
      <c r="K34" s="1356" t="str">
        <f t="shared" si="6"/>
        <v/>
      </c>
      <c r="L34" s="1356" t="str">
        <f t="shared" si="7"/>
        <v/>
      </c>
      <c r="M34" s="590" t="str">
        <f t="shared" si="8"/>
        <v/>
      </c>
      <c r="N34" s="30"/>
      <c r="O34" s="2073" t="str">
        <f t="array" ref="O34">IF(A34&lt;&gt;"",INDEX('New DB Request'!$A$26:$M$55,SMALL(IF(A34='New DB Request'!$A$26:$A$55,ROW('New DB Request'!$A$26:$A$55)),AE34)-25,4),"")</f>
        <v/>
      </c>
      <c r="P34" s="748"/>
      <c r="Q34" s="30"/>
      <c r="R34" s="2298" t="str">
        <f t="array" ref="R34">IF(A34&lt;&gt;"",INDEX('New DB Request'!$A$26:$M$55,SMALL(IF(A34='New DB Request'!$A$26:$A$55,ROW('New DB Request'!$A$26:$A$55)),AE34)-25,5),"")</f>
        <v/>
      </c>
      <c r="S34" s="2633" t="str">
        <f t="array" ref="S34">IF(A34&lt;&gt;"",INDEX('New DB Request'!$A$26:$M$55,SMALL(IF(A34='New DB Request'!$A$26:$A$55,ROW('New DB Request'!$A$26:$A$55)),AE34)-25,6),"")</f>
        <v/>
      </c>
      <c r="T34" s="2008" t="str">
        <f t="array" ref="T34">IF(A34&lt;&gt;"",INDEX('New DB Request'!$A$26:$M$55,SMALL(IF(A34='New DB Request'!$A$26:$A$55,ROW('New DB Request'!$A$26:$A$55)),AE34)-25,8),"")</f>
        <v/>
      </c>
      <c r="U34" s="30"/>
      <c r="V34" s="1090"/>
      <c r="W34" s="1090"/>
      <c r="X34" s="1090"/>
      <c r="Y34" s="2298" t="str">
        <f t="shared" si="9"/>
        <v/>
      </c>
      <c r="Z34" s="1357"/>
      <c r="AA34" s="2073" t="str">
        <f>IF($A34&lt;&gt;"",
      IF($E34="Windows",VLOOKUP($A34,dist_assets,15,FALSE),
        IF($E34&lt;&gt;"Windows",
               IF($H34="Oracle Standalone 11.2",Oracle_Standalone_fs($S34),
               IF($H34="Oracle HACMP 11.2 - Node 1", Oracle_HACMP_Node_1($S34),
               IF($H34="Oracle HACMP 11.2 - Node 2", Oracle_HACMP_Node_2($S34),
               IF($H34="Oracle-RAC","Oracle RAC requires special config
work with Open Systems",
               IF($AC34="db2_fs",DB2_FS($S34),""))))))),"")</f>
        <v/>
      </c>
      <c r="AB34" s="1358"/>
      <c r="AC34" s="3348" t="str">
        <f t="shared" si="12"/>
        <v/>
      </c>
      <c r="AD34" s="1642" t="str">
        <f t="shared" si="11"/>
        <v/>
      </c>
      <c r="AE34" s="2008" t="str">
        <f>IF(A34&lt;&gt;"",COUNTIF($A$7:A34,A34),"")</f>
        <v/>
      </c>
    </row>
    <row r="35" spans="1:31">
      <c r="A35" s="301" t="str">
        <f t="array" ref="A35">IF('New DB Request'!A54&lt;&gt;"",INDEX(newdbreq_assetlist,MATCH(SMALL(COUNTIF(newdbreq_assetlist,"&lt;="&amp;newdbreq_assetlist),ROWS($A$26:A54)),COUNTIF(newdbreq_assetlist,"&lt;="&amp;newdbreq_assetlist),0)),"")</f>
        <v/>
      </c>
      <c r="B35" s="2298" t="str">
        <f t="shared" si="0"/>
        <v/>
      </c>
      <c r="C35" s="1692" t="str">
        <f>IF($A35&lt;&gt;"",
                         LEFT(VLOOKUP($A35,IP!$A$4:$N$153,11,FALSE),SEARCH(".",VLOOKUP($A35,IP!$A$4:$N$153,11,FALSE))-1),
        "")</f>
        <v/>
      </c>
      <c r="D35" s="1692" t="str">
        <f>IF($A35&lt;&gt;"",VLOOKUP(CONCATENATE($A35&amp;"  (IP01)"),IP!$A$4:$D$153,4,FALSE),"")</f>
        <v/>
      </c>
      <c r="E35" s="1356" t="str">
        <f t="shared" si="1"/>
        <v/>
      </c>
      <c r="F35" s="590" t="str">
        <f>IF($A35&lt;&gt;"",VLOOKUP(VLOOKUP($A35,dist_assets,2,FALSE),'Distributed Assets'!$C$6:$F$22,4,FALSE),"")</f>
        <v/>
      </c>
      <c r="G35" s="1356" t="str">
        <f t="shared" si="2"/>
        <v/>
      </c>
      <c r="H35" s="590" t="str">
        <f t="shared" si="3"/>
        <v/>
      </c>
      <c r="I35" s="590" t="str">
        <f t="shared" si="4"/>
        <v/>
      </c>
      <c r="J35" s="1356" t="str">
        <f t="shared" si="5"/>
        <v/>
      </c>
      <c r="K35" s="1356" t="str">
        <f t="shared" si="6"/>
        <v/>
      </c>
      <c r="L35" s="1356" t="str">
        <f t="shared" si="7"/>
        <v/>
      </c>
      <c r="M35" s="590" t="str">
        <f t="shared" si="8"/>
        <v/>
      </c>
      <c r="N35" s="30"/>
      <c r="O35" s="2073" t="str">
        <f t="array" ref="O35">IF(A35&lt;&gt;"",INDEX('New DB Request'!$A$26:$M$55,SMALL(IF(A35='New DB Request'!$A$26:$A$55,ROW('New DB Request'!$A$26:$A$55)),AE35)-25,4),"")</f>
        <v/>
      </c>
      <c r="P35" s="748"/>
      <c r="Q35" s="30"/>
      <c r="R35" s="2298" t="str">
        <f t="array" ref="R35">IF(A35&lt;&gt;"",INDEX('New DB Request'!$A$26:$M$55,SMALL(IF(A35='New DB Request'!$A$26:$A$55,ROW('New DB Request'!$A$26:$A$55)),AE35)-25,5),"")</f>
        <v/>
      </c>
      <c r="S35" s="2633" t="str">
        <f t="array" ref="S35">IF(A35&lt;&gt;"",INDEX('New DB Request'!$A$26:$M$55,SMALL(IF(A35='New DB Request'!$A$26:$A$55,ROW('New DB Request'!$A$26:$A$55)),AE35)-25,6),"")</f>
        <v/>
      </c>
      <c r="T35" s="2008" t="str">
        <f t="array" ref="T35">IF(A35&lt;&gt;"",INDEX('New DB Request'!$A$26:$M$55,SMALL(IF(A35='New DB Request'!$A$26:$A$55,ROW('New DB Request'!$A$26:$A$55)),AE35)-25,8),"")</f>
        <v/>
      </c>
      <c r="U35" s="30"/>
      <c r="V35" s="1090"/>
      <c r="W35" s="1090"/>
      <c r="X35" s="1090"/>
      <c r="Y35" s="2298" t="str">
        <f t="shared" si="9"/>
        <v/>
      </c>
      <c r="Z35" s="1357"/>
      <c r="AA35" s="2073" t="str">
        <f>IF($A35&lt;&gt;"",
      IF($E35="Windows",VLOOKUP($A35,dist_assets,15,FALSE),
        IF($E35&lt;&gt;"Windows",
               IF($H35="Oracle Standalone 11.2",Oracle_Standalone_fs($S35),
               IF($H35="Oracle HACMP 11.2 - Node 1", Oracle_HACMP_Node_1($S35),
               IF($H35="Oracle HACMP 11.2 - Node 2", Oracle_HACMP_Node_2($S35),
               IF($H35="Oracle-RAC","Oracle RAC requires special config
work with Open Systems",
               IF($AC35="db2_fs",DB2_FS($S35),""))))))),"")</f>
        <v/>
      </c>
      <c r="AB35" s="1358"/>
      <c r="AC35" s="3348" t="str">
        <f t="shared" si="12"/>
        <v/>
      </c>
      <c r="AD35" s="1642" t="str">
        <f t="shared" si="11"/>
        <v/>
      </c>
      <c r="AE35" s="2008" t="str">
        <f>IF(A35&lt;&gt;"",COUNTIF($A$7:A35,A35),"")</f>
        <v/>
      </c>
    </row>
    <row r="36" spans="1:31">
      <c r="A36" s="301" t="str">
        <f t="array" ref="A36">IF('New DB Request'!A55&lt;&gt;"",INDEX(newdbreq_assetlist,MATCH(SMALL(COUNTIF(newdbreq_assetlist,"&lt;="&amp;newdbreq_assetlist),ROWS($A$26:A55)),COUNTIF(newdbreq_assetlist,"&lt;="&amp;newdbreq_assetlist),0)),"")</f>
        <v/>
      </c>
      <c r="B36" s="2298" t="str">
        <f t="shared" si="0"/>
        <v/>
      </c>
      <c r="C36" s="1692" t="str">
        <f>IF($A36&lt;&gt;"",
                         LEFT(VLOOKUP($A36,IP!$A$4:$N$153,11,FALSE),SEARCH(".",VLOOKUP($A36,IP!$A$4:$N$153,11,FALSE))-1),
        "")</f>
        <v/>
      </c>
      <c r="D36" s="1692" t="str">
        <f>IF($A36&lt;&gt;"",VLOOKUP(CONCATENATE($A36&amp;"  (IP01)"),IP!$A$4:$D$153,4,FALSE),"")</f>
        <v/>
      </c>
      <c r="E36" s="1356" t="str">
        <f t="shared" si="1"/>
        <v/>
      </c>
      <c r="F36" s="590" t="str">
        <f>IF($A36&lt;&gt;"",VLOOKUP(VLOOKUP($A36,dist_assets,2,FALSE),'Distributed Assets'!$C$6:$F$22,4,FALSE),"")</f>
        <v/>
      </c>
      <c r="G36" s="1356" t="str">
        <f t="shared" si="2"/>
        <v/>
      </c>
      <c r="H36" s="590" t="str">
        <f t="shared" si="3"/>
        <v/>
      </c>
      <c r="I36" s="590" t="str">
        <f t="shared" si="4"/>
        <v/>
      </c>
      <c r="J36" s="1356" t="str">
        <f t="shared" si="5"/>
        <v/>
      </c>
      <c r="K36" s="1356" t="str">
        <f t="shared" si="6"/>
        <v/>
      </c>
      <c r="L36" s="1356" t="str">
        <f t="shared" si="7"/>
        <v/>
      </c>
      <c r="M36" s="590" t="str">
        <f t="shared" si="8"/>
        <v/>
      </c>
      <c r="N36" s="30"/>
      <c r="O36" s="2073" t="str">
        <f t="array" ref="O36">IF(A36&lt;&gt;"",INDEX('New DB Request'!$A$26:$M$55,SMALL(IF(A36='New DB Request'!$A$26:$A$55,ROW('New DB Request'!$A$26:$A$55)),AE36)-25,4),"")</f>
        <v/>
      </c>
      <c r="P36" s="748"/>
      <c r="Q36" s="30"/>
      <c r="R36" s="2298" t="str">
        <f t="array" ref="R36">IF(A36&lt;&gt;"",INDEX('New DB Request'!$A$26:$M$55,SMALL(IF(A36='New DB Request'!$A$26:$A$55,ROW('New DB Request'!$A$26:$A$55)),AE36)-25,5),"")</f>
        <v/>
      </c>
      <c r="S36" s="2633" t="str">
        <f t="array" ref="S36">IF(A36&lt;&gt;"",INDEX('New DB Request'!$A$26:$M$55,SMALL(IF(A36='New DB Request'!$A$26:$A$55,ROW('New DB Request'!$A$26:$A$55)),AE36)-25,6),"")</f>
        <v/>
      </c>
      <c r="T36" s="2008" t="str">
        <f t="array" ref="T36">IF(A36&lt;&gt;"",INDEX('New DB Request'!$A$26:$M$55,SMALL(IF(A36='New DB Request'!$A$26:$A$55,ROW('New DB Request'!$A$26:$A$55)),AE36)-25,8),"")</f>
        <v/>
      </c>
      <c r="U36" s="30"/>
      <c r="V36" s="1090"/>
      <c r="W36" s="1090"/>
      <c r="X36" s="1090"/>
      <c r="Y36" s="2298" t="str">
        <f t="shared" si="9"/>
        <v/>
      </c>
      <c r="Z36" s="1357"/>
      <c r="AA36" s="2073" t="str">
        <f>IF($A36&lt;&gt;"",
      IF($E36="Windows",VLOOKUP($A36,dist_assets,15,FALSE),
        IF($E36&lt;&gt;"Windows",
               IF($H36="Oracle Standalone 11.2",Oracle_Standalone_fs($S36),
               IF($H36="Oracle HACMP 11.2 - Node 1", Oracle_HACMP_Node_1($S36),
               IF($H36="Oracle HACMP 11.2 - Node 2", Oracle_HACMP_Node_2($S36),
               IF($H36="Oracle-RAC","Oracle RAC requires special config
work with Open Systems",
               IF($AC36="db2_fs",DB2_FS($S36),""))))))),"")</f>
        <v/>
      </c>
      <c r="AB36" s="1358"/>
      <c r="AC36" s="3348" t="str">
        <f t="shared" si="12"/>
        <v/>
      </c>
      <c r="AD36" s="1642" t="str">
        <f t="shared" si="11"/>
        <v/>
      </c>
      <c r="AE36" s="2008" t="str">
        <f>IF(A36&lt;&gt;"",COUNTIF($A$7:A36,A36),"")</f>
        <v/>
      </c>
    </row>
    <row r="37" spans="1:31">
      <c r="A37" s="301" t="str">
        <f t="array" ref="A37">IF('New DB Request'!A56&lt;&gt;"",INDEX(newdbreq_assetlist,MATCH(SMALL(COUNTIF(newdbreq_assetlist,"&lt;="&amp;newdbreq_assetlist),ROWS($A$26:A56)),COUNTIF(newdbreq_assetlist,"&lt;="&amp;newdbreq_assetlist),0)),"")</f>
        <v/>
      </c>
      <c r="B37" s="2298" t="str">
        <f t="shared" si="0"/>
        <v/>
      </c>
      <c r="C37" s="1692" t="str">
        <f>IF($A37&lt;&gt;"",
                         LEFT(VLOOKUP($A37,IP!$A$4:$N$153,11,FALSE),SEARCH(".",VLOOKUP($A37,IP!$A$4:$N$153,11,FALSE))-1),
        "")</f>
        <v/>
      </c>
      <c r="D37" s="1692" t="str">
        <f>IF($A37&lt;&gt;"",VLOOKUP(CONCATENATE($A37&amp;"  (IP01)"),IP!$A$4:$D$153,4,FALSE),"")</f>
        <v/>
      </c>
      <c r="E37" s="1356" t="str">
        <f t="shared" si="1"/>
        <v/>
      </c>
      <c r="F37" s="590" t="str">
        <f>IF($A37&lt;&gt;"",VLOOKUP(VLOOKUP($A37,dist_assets,2,FALSE),'Distributed Assets'!$C$6:$F$22,4,FALSE),"")</f>
        <v/>
      </c>
      <c r="G37" s="1356" t="str">
        <f t="shared" si="2"/>
        <v/>
      </c>
      <c r="H37" s="590" t="str">
        <f t="shared" si="3"/>
        <v/>
      </c>
      <c r="I37" s="590" t="str">
        <f t="shared" si="4"/>
        <v/>
      </c>
      <c r="J37" s="1356" t="str">
        <f t="shared" si="5"/>
        <v/>
      </c>
      <c r="K37" s="1356" t="str">
        <f t="shared" si="6"/>
        <v/>
      </c>
      <c r="L37" s="1356" t="str">
        <f t="shared" si="7"/>
        <v/>
      </c>
      <c r="M37" s="590" t="str">
        <f t="shared" si="8"/>
        <v/>
      </c>
      <c r="N37" s="30"/>
      <c r="O37" s="2073" t="str">
        <f t="array" ref="O37">IF(A37&lt;&gt;"",INDEX('New DB Request'!$A$26:$M$55,SMALL(IF(A37='New DB Request'!$A$26:$A$55,ROW('New DB Request'!$A$26:$A$55)),AE37)-25,4),"")</f>
        <v/>
      </c>
      <c r="P37" s="748"/>
      <c r="Q37" s="30"/>
      <c r="R37" s="2298" t="str">
        <f t="array" ref="R37">IF(A37&lt;&gt;"",INDEX('New DB Request'!$A$26:$M$55,SMALL(IF(A37='New DB Request'!$A$26:$A$55,ROW('New DB Request'!$A$26:$A$55)),AE37)-25,5),"")</f>
        <v/>
      </c>
      <c r="S37" s="2633" t="str">
        <f t="array" ref="S37">IF(A37&lt;&gt;"",INDEX('New DB Request'!$A$26:$M$55,SMALL(IF(A37='New DB Request'!$A$26:$A$55,ROW('New DB Request'!$A$26:$A$55)),AE37)-25,6),"")</f>
        <v/>
      </c>
      <c r="T37" s="2008" t="str">
        <f t="array" ref="T37">IF(A37&lt;&gt;"",INDEX('New DB Request'!$A$26:$M$55,SMALL(IF(A37='New DB Request'!$A$26:$A$55,ROW('New DB Request'!$A$26:$A$55)),AE37)-25,8),"")</f>
        <v/>
      </c>
      <c r="U37" s="30"/>
      <c r="V37" s="1090"/>
      <c r="W37" s="1090"/>
      <c r="X37" s="1090"/>
      <c r="Y37" s="2298" t="str">
        <f t="shared" si="9"/>
        <v/>
      </c>
      <c r="Z37" s="1357"/>
      <c r="AA37" s="2073" t="str">
        <f>IF($A37&lt;&gt;"",
      IF($E37="Windows",VLOOKUP($A37,dist_assets,15,FALSE),
        IF($E37&lt;&gt;"Windows",
               IF($H37="Oracle Standalone 11.2",Oracle_Standalone_fs($S37),
               IF($H37="Oracle HACMP 11.2 - Node 1", Oracle_HACMP_Node_1($S37),
               IF($H37="Oracle HACMP 11.2 - Node 2", Oracle_HACMP_Node_2($S37),
               IF($H37="Oracle-RAC","Oracle RAC requires special config
work with Open Systems",
               IF($AC37="db2_fs",DB2_FS($S37),""))))))),"")</f>
        <v/>
      </c>
      <c r="AB37" s="1358"/>
      <c r="AC37" s="3348" t="str">
        <f t="shared" si="12"/>
        <v/>
      </c>
      <c r="AD37" s="1642" t="str">
        <f t="shared" si="11"/>
        <v/>
      </c>
      <c r="AE37" s="2008" t="str">
        <f>IF(A37&lt;&gt;"",COUNTIF($A$7:A37,A37),"")</f>
        <v/>
      </c>
    </row>
    <row r="38" spans="1:31">
      <c r="A38" s="301" t="str">
        <f t="array" ref="A38">IF('New DB Request'!A57&lt;&gt;"",INDEX(newdbreq_assetlist,MATCH(SMALL(COUNTIF(newdbreq_assetlist,"&lt;="&amp;newdbreq_assetlist),ROWS($A$26:A57)),COUNTIF(newdbreq_assetlist,"&lt;="&amp;newdbreq_assetlist),0)),"")</f>
        <v/>
      </c>
      <c r="B38" s="2298" t="str">
        <f t="shared" si="0"/>
        <v/>
      </c>
      <c r="C38" s="1692" t="str">
        <f>IF($A38&lt;&gt;"",
                         LEFT(VLOOKUP($A38,IP!$A$4:$N$153,11,FALSE),SEARCH(".",VLOOKUP($A38,IP!$A$4:$N$153,11,FALSE))-1),
        "")</f>
        <v/>
      </c>
      <c r="D38" s="1692" t="str">
        <f>IF($A38&lt;&gt;"",VLOOKUP(CONCATENATE($A38&amp;"  (IP01)"),IP!$A$4:$D$153,4,FALSE),"")</f>
        <v/>
      </c>
      <c r="E38" s="1356" t="str">
        <f t="shared" si="1"/>
        <v/>
      </c>
      <c r="F38" s="590" t="str">
        <f>IF($A38&lt;&gt;"",VLOOKUP(VLOOKUP($A38,dist_assets,2,FALSE),'Distributed Assets'!$C$6:$F$22,4,FALSE),"")</f>
        <v/>
      </c>
      <c r="G38" s="1356" t="str">
        <f t="shared" si="2"/>
        <v/>
      </c>
      <c r="H38" s="590" t="str">
        <f t="shared" si="3"/>
        <v/>
      </c>
      <c r="I38" s="590" t="str">
        <f t="shared" si="4"/>
        <v/>
      </c>
      <c r="J38" s="1356" t="str">
        <f t="shared" si="5"/>
        <v/>
      </c>
      <c r="K38" s="1356" t="str">
        <f t="shared" si="6"/>
        <v/>
      </c>
      <c r="L38" s="1356" t="str">
        <f t="shared" si="7"/>
        <v/>
      </c>
      <c r="M38" s="590" t="str">
        <f t="shared" si="8"/>
        <v/>
      </c>
      <c r="N38" s="30"/>
      <c r="O38" s="2073" t="str">
        <f t="array" ref="O38">IF(A38&lt;&gt;"",INDEX('New DB Request'!$A$26:$M$55,SMALL(IF(A38='New DB Request'!$A$26:$A$55,ROW('New DB Request'!$A$26:$A$55)),AE38)-25,4),"")</f>
        <v/>
      </c>
      <c r="P38" s="748"/>
      <c r="Q38" s="30"/>
      <c r="R38" s="2298" t="str">
        <f t="array" ref="R38">IF(A38&lt;&gt;"",INDEX('New DB Request'!$A$26:$M$55,SMALL(IF(A38='New DB Request'!$A$26:$A$55,ROW('New DB Request'!$A$26:$A$55)),AE38)-25,5),"")</f>
        <v/>
      </c>
      <c r="S38" s="2633" t="str">
        <f t="array" ref="S38">IF(A38&lt;&gt;"",INDEX('New DB Request'!$A$26:$M$55,SMALL(IF(A38='New DB Request'!$A$26:$A$55,ROW('New DB Request'!$A$26:$A$55)),AE38)-25,6),"")</f>
        <v/>
      </c>
      <c r="T38" s="2008" t="str">
        <f t="array" ref="T38">IF(A38&lt;&gt;"",INDEX('New DB Request'!$A$26:$M$55,SMALL(IF(A38='New DB Request'!$A$26:$A$55,ROW('New DB Request'!$A$26:$A$55)),AE38)-25,8),"")</f>
        <v/>
      </c>
      <c r="U38" s="30"/>
      <c r="V38" s="1090"/>
      <c r="W38" s="1090"/>
      <c r="X38" s="1090"/>
      <c r="Y38" s="2298" t="str">
        <f t="shared" si="9"/>
        <v/>
      </c>
      <c r="Z38" s="1357"/>
      <c r="AA38" s="2073" t="str">
        <f>IF($A38&lt;&gt;"",
      IF($E38="Windows",VLOOKUP($A38,dist_assets,15,FALSE),
        IF($E38&lt;&gt;"Windows",
               IF($H38="Oracle Standalone 11.2",Oracle_Standalone_fs($S38),
               IF($H38="Oracle HACMP 11.2 - Node 1", Oracle_HACMP_Node_1($S38),
               IF($H38="Oracle HACMP 11.2 - Node 2", Oracle_HACMP_Node_2($S38),
               IF($H38="Oracle-RAC","Oracle RAC requires special config
work with Open Systems",
               IF($AC38="db2_fs",DB2_FS($S38),""))))))),"")</f>
        <v/>
      </c>
      <c r="AB38" s="1358"/>
      <c r="AC38" s="3348" t="str">
        <f t="shared" si="12"/>
        <v/>
      </c>
      <c r="AD38" s="1642" t="str">
        <f t="shared" si="11"/>
        <v/>
      </c>
      <c r="AE38" s="2008" t="str">
        <f>IF(A38&lt;&gt;"",COUNTIF($A$7:A38,A38),"")</f>
        <v/>
      </c>
    </row>
    <row r="39" spans="1:31">
      <c r="A39" s="301" t="str">
        <f t="array" ref="A39">IF('New DB Request'!A58&lt;&gt;"",INDEX(newdbreq_assetlist,MATCH(SMALL(COUNTIF(newdbreq_assetlist,"&lt;="&amp;newdbreq_assetlist),ROWS($A$26:A58)),COUNTIF(newdbreq_assetlist,"&lt;="&amp;newdbreq_assetlist),0)),"")</f>
        <v/>
      </c>
      <c r="B39" s="2298" t="str">
        <f t="shared" ref="B39:B70" si="13">IF($A39&lt;&gt;"",
        IF(VLOOKUP($A39,dist_assets,28,FALSE)&lt;&gt;"",
        VLOOKUP($A39,dist_assets,28,FALSE),"N/A"),"")</f>
        <v/>
      </c>
      <c r="C39" s="1692" t="str">
        <f>IF($A39&lt;&gt;"",
                         LEFT(VLOOKUP($A39,IP!$A$4:$N$153,11,FALSE),SEARCH(".",VLOOKUP($A39,IP!$A$4:$N$153,11,FALSE))-1),
        "")</f>
        <v/>
      </c>
      <c r="D39" s="1692" t="str">
        <f>IF($A39&lt;&gt;"",VLOOKUP(CONCATENATE($A39&amp;"  (IP01)"),IP!$A$4:$D$153,4,FALSE),"")</f>
        <v/>
      </c>
      <c r="E39" s="1356" t="str">
        <f t="shared" ref="E39:E70" si="14">IF($A39&lt;&gt;"",VLOOKUP($A39,dist_assets,9,FALSE),"")</f>
        <v/>
      </c>
      <c r="F39" s="590" t="str">
        <f>IF($A39&lt;&gt;"",VLOOKUP(VLOOKUP($A39,dist_assets,2,FALSE),'Distributed Assets'!$C$6:$F$22,4,FALSE),"")</f>
        <v/>
      </c>
      <c r="G39" s="1356" t="str">
        <f t="shared" ref="G39:G70" si="15">IF($A39&lt;&gt;"",IF(OR(VLOOKUP($A39,dist_assets,16,FALSE)="Active / Active", VLOOKUP($A39,dist_assets,16,FALSE)="Active / Passive", VLOOKUP($A39,dist_assets,16,FALSE)="Oracle RAC"),"Yes","No"),"")</f>
        <v/>
      </c>
      <c r="H39" s="590" t="str">
        <f t="shared" ref="H39:H70" si="16">IF($A39&lt;&gt;"",VLOOKUP($A39,dist_assets,24,FALSE),"")</f>
        <v/>
      </c>
      <c r="I39" s="590" t="str">
        <f t="shared" ref="I39:I70" si="17">IF(A39&lt;&gt;"",IF(dr_critical="Yes",
    IF(dr_Level&lt;3,"Yes","No"),"No"),"")</f>
        <v/>
      </c>
      <c r="J39" s="1356" t="str">
        <f t="shared" ref="J39:J70" si="18">IF($A39&lt;&gt;"",
              IF(AND($F39="Prod 2.0",dr_Level&lt;5),
                            IF(ISBLANK(VLOOKUP($F39,dist_assets,24,FALSE)),"No","Yes"),
               ""),
   "")</f>
        <v/>
      </c>
      <c r="K39" s="1356" t="str">
        <f t="shared" ref="K39:K70" si="19">IF($A39&lt;&gt;"",
      IF(AND($F39="Prod 2.0",dr_Level&lt;5),
           IF(OR(LEFT(VLOOKUP($A39,dist_assets,24,FALSE),3)="DB2",
                      LEFT(VLOOKUP($A39,dist_assets,24,FALSE),6)="Oracle"),
"Yes","No"),
""),
"")</f>
        <v/>
      </c>
      <c r="L39" s="1356" t="str">
        <f t="shared" ref="L39:L70" si="20">IF($A39&lt;&gt;"",
      IF(AND($F39="Prod 2.0",dr_Level&lt;5),
           IF(LEFT(VLOOKUP($A39,dist_assets,24,FALSE),5)="MSSQL", "Yes","No"),
               ""),
           "")</f>
        <v/>
      </c>
      <c r="M39" s="590" t="str">
        <f t="shared" ref="M39:M70" si="21">IF($A39&lt;&gt;"",
IF(LEFT($H39,5)="MSSQL",
IF(VLOOKUP($A39,dist_assets,3,FALSE)="New","Yes", "No"),""),"")</f>
        <v/>
      </c>
      <c r="N39" s="30"/>
      <c r="O39" s="2073" t="str">
        <f t="array" ref="O39">IF(A39&lt;&gt;"",INDEX('New DB Request'!$A$26:$M$55,SMALL(IF(A39='New DB Request'!$A$26:$A$55,ROW('New DB Request'!$A$26:$A$55)),AE39)-25,4),"")</f>
        <v/>
      </c>
      <c r="P39" s="748"/>
      <c r="Q39" s="30"/>
      <c r="R39" s="2298" t="str">
        <f t="array" ref="R39">IF(A39&lt;&gt;"",INDEX('New DB Request'!$A$26:$M$55,SMALL(IF(A39='New DB Request'!$A$26:$A$55,ROW('New DB Request'!$A$26:$A$55)),AE39)-25,5),"")</f>
        <v/>
      </c>
      <c r="S39" s="2633" t="str">
        <f t="array" ref="S39">IF(A39&lt;&gt;"",INDEX('New DB Request'!$A$26:$M$55,SMALL(IF(A39='New DB Request'!$A$26:$A$55,ROW('New DB Request'!$A$26:$A$55)),AE39)-25,6),"")</f>
        <v/>
      </c>
      <c r="T39" s="2008" t="str">
        <f t="array" ref="T39">IF(A39&lt;&gt;"",INDEX('New DB Request'!$A$26:$M$55,SMALL(IF(A39='New DB Request'!$A$26:$A$55,ROW('New DB Request'!$A$26:$A$55)),AE39)-25,8),"")</f>
        <v/>
      </c>
      <c r="U39" s="30"/>
      <c r="V39" s="1090"/>
      <c r="W39" s="1090"/>
      <c r="X39" s="1090"/>
      <c r="Y39" s="2298" t="str">
        <f t="shared" ref="Y39:Y70" si="22">IF($A39&lt;&gt;"",VLOOKUP($A39,dist_assets,3,FALSE),"")</f>
        <v/>
      </c>
      <c r="Z39" s="1357"/>
      <c r="AA39" s="2073" t="str">
        <f>IF($A39&lt;&gt;"",
      IF($E39="Windows",VLOOKUP($A39,dist_assets,15,FALSE),
        IF($E39&lt;&gt;"Windows",
               IF($H39="Oracle Standalone 11.2",Oracle_Standalone_fs($S39),
               IF($H39="Oracle HACMP 11.2 - Node 1", Oracle_HACMP_Node_1($S39),
               IF($H39="Oracle HACMP 11.2 - Node 2", Oracle_HACMP_Node_2($S39),
               IF($H39="Oracle-RAC","Oracle RAC requires special config
work with Open Systems",
               IF($AC39="db2_fs",DB2_FS($S39),""))))))),"")</f>
        <v/>
      </c>
      <c r="AB39" s="1358"/>
      <c r="AC39" s="3348" t="str">
        <f t="shared" si="12"/>
        <v/>
      </c>
      <c r="AD39" s="1642" t="str">
        <f t="shared" ref="AD39:AD70" si="23">IF($A39&lt;&gt;"",VLOOKUP($A39,dist_assets,2,FALSE),"")</f>
        <v/>
      </c>
      <c r="AE39" s="2008" t="str">
        <f>IF(A39&lt;&gt;"",COUNTIF($A$7:A39,A39),"")</f>
        <v/>
      </c>
    </row>
    <row r="40" spans="1:31">
      <c r="A40" s="301" t="str">
        <f t="array" ref="A40">IF('New DB Request'!A59&lt;&gt;"",INDEX(newdbreq_assetlist,MATCH(SMALL(COUNTIF(newdbreq_assetlist,"&lt;="&amp;newdbreq_assetlist),ROWS($A$26:A59)),COUNTIF(newdbreq_assetlist,"&lt;="&amp;newdbreq_assetlist),0)),"")</f>
        <v/>
      </c>
      <c r="B40" s="2298" t="str">
        <f t="shared" si="13"/>
        <v/>
      </c>
      <c r="C40" s="1692" t="str">
        <f>IF($A40&lt;&gt;"",
                         LEFT(VLOOKUP($A40,IP!$A$4:$N$153,11,FALSE),SEARCH(".",VLOOKUP($A40,IP!$A$4:$N$153,11,FALSE))-1),
        "")</f>
        <v/>
      </c>
      <c r="D40" s="1692" t="str">
        <f>IF($A40&lt;&gt;"",VLOOKUP(CONCATENATE($A40&amp;"  (IP01)"),IP!$A$4:$D$153,4,FALSE),"")</f>
        <v/>
      </c>
      <c r="E40" s="1356" t="str">
        <f t="shared" si="14"/>
        <v/>
      </c>
      <c r="F40" s="590" t="str">
        <f>IF($A40&lt;&gt;"",VLOOKUP(VLOOKUP($A40,dist_assets,2,FALSE),'Distributed Assets'!$C$6:$F$22,4,FALSE),"")</f>
        <v/>
      </c>
      <c r="G40" s="1356" t="str">
        <f t="shared" si="15"/>
        <v/>
      </c>
      <c r="H40" s="590" t="str">
        <f t="shared" si="16"/>
        <v/>
      </c>
      <c r="I40" s="590" t="str">
        <f t="shared" si="17"/>
        <v/>
      </c>
      <c r="J40" s="1356" t="str">
        <f t="shared" si="18"/>
        <v/>
      </c>
      <c r="K40" s="1356" t="str">
        <f t="shared" si="19"/>
        <v/>
      </c>
      <c r="L40" s="1356" t="str">
        <f t="shared" si="20"/>
        <v/>
      </c>
      <c r="M40" s="590" t="str">
        <f t="shared" si="21"/>
        <v/>
      </c>
      <c r="N40" s="30"/>
      <c r="O40" s="2073" t="str">
        <f t="array" ref="O40">IF(A40&lt;&gt;"",INDEX('New DB Request'!$A$26:$M$55,SMALL(IF(A40='New DB Request'!$A$26:$A$55,ROW('New DB Request'!$A$26:$A$55)),AE40)-25,4),"")</f>
        <v/>
      </c>
      <c r="P40" s="748"/>
      <c r="Q40" s="30"/>
      <c r="R40" s="2298" t="str">
        <f t="array" ref="R40">IF(A40&lt;&gt;"",INDEX('New DB Request'!$A$26:$M$55,SMALL(IF(A40='New DB Request'!$A$26:$A$55,ROW('New DB Request'!$A$26:$A$55)),AE40)-25,5),"")</f>
        <v/>
      </c>
      <c r="S40" s="2633" t="str">
        <f t="array" ref="S40">IF(A40&lt;&gt;"",INDEX('New DB Request'!$A$26:$M$55,SMALL(IF(A40='New DB Request'!$A$26:$A$55,ROW('New DB Request'!$A$26:$A$55)),AE40)-25,6),"")</f>
        <v/>
      </c>
      <c r="T40" s="2008" t="str">
        <f t="array" ref="T40">IF(A40&lt;&gt;"",INDEX('New DB Request'!$A$26:$M$55,SMALL(IF(A40='New DB Request'!$A$26:$A$55,ROW('New DB Request'!$A$26:$A$55)),AE40)-25,8),"")</f>
        <v/>
      </c>
      <c r="U40" s="30"/>
      <c r="V40" s="1090"/>
      <c r="W40" s="1090"/>
      <c r="X40" s="1090"/>
      <c r="Y40" s="2298" t="str">
        <f t="shared" si="22"/>
        <v/>
      </c>
      <c r="Z40" s="1357"/>
      <c r="AA40" s="2073" t="str">
        <f>IF($A40&lt;&gt;"",
      IF($E40="Windows",VLOOKUP($A40,dist_assets,15,FALSE),
        IF($E40&lt;&gt;"Windows",
               IF($H40="Oracle Standalone 11.2",Oracle_Standalone_fs($S40),
               IF($H40="Oracle HACMP 11.2 - Node 1", Oracle_HACMP_Node_1($S40),
               IF($H40="Oracle HACMP 11.2 - Node 2", Oracle_HACMP_Node_2($S40),
               IF($H40="Oracle-RAC","Oracle RAC requires special config
work with Open Systems",
               IF($AC40="db2_fs",DB2_FS($S40),""))))))),"")</f>
        <v/>
      </c>
      <c r="AB40" s="1358"/>
      <c r="AC40" s="3348" t="str">
        <f t="shared" si="12"/>
        <v/>
      </c>
      <c r="AD40" s="1642" t="str">
        <f t="shared" si="23"/>
        <v/>
      </c>
      <c r="AE40" s="2008" t="str">
        <f>IF(A40&lt;&gt;"",COUNTIF($A$7:A40,A40),"")</f>
        <v/>
      </c>
    </row>
    <row r="41" spans="1:31">
      <c r="A41" s="301" t="str">
        <f t="array" ref="A41">IF('New DB Request'!A60&lt;&gt;"",INDEX(newdbreq_assetlist,MATCH(SMALL(COUNTIF(newdbreq_assetlist,"&lt;="&amp;newdbreq_assetlist),ROWS($A$26:A60)),COUNTIF(newdbreq_assetlist,"&lt;="&amp;newdbreq_assetlist),0)),"")</f>
        <v/>
      </c>
      <c r="B41" s="2298" t="str">
        <f t="shared" si="13"/>
        <v/>
      </c>
      <c r="C41" s="1692" t="str">
        <f>IF($A41&lt;&gt;"",
                         LEFT(VLOOKUP($A41,IP!$A$4:$N$153,11,FALSE),SEARCH(".",VLOOKUP($A41,IP!$A$4:$N$153,11,FALSE))-1),
        "")</f>
        <v/>
      </c>
      <c r="D41" s="1692" t="str">
        <f>IF($A41&lt;&gt;"",VLOOKUP(CONCATENATE($A41&amp;"  (IP01)"),IP!$A$4:$D$153,4,FALSE),"")</f>
        <v/>
      </c>
      <c r="E41" s="1356" t="str">
        <f t="shared" si="14"/>
        <v/>
      </c>
      <c r="F41" s="590" t="str">
        <f>IF($A41&lt;&gt;"",VLOOKUP(VLOOKUP($A41,dist_assets,2,FALSE),'Distributed Assets'!$C$6:$F$22,4,FALSE),"")</f>
        <v/>
      </c>
      <c r="G41" s="1356" t="str">
        <f t="shared" si="15"/>
        <v/>
      </c>
      <c r="H41" s="590" t="str">
        <f t="shared" si="16"/>
        <v/>
      </c>
      <c r="I41" s="590" t="str">
        <f t="shared" si="17"/>
        <v/>
      </c>
      <c r="J41" s="1356" t="str">
        <f t="shared" si="18"/>
        <v/>
      </c>
      <c r="K41" s="1356" t="str">
        <f t="shared" si="19"/>
        <v/>
      </c>
      <c r="L41" s="1356" t="str">
        <f t="shared" si="20"/>
        <v/>
      </c>
      <c r="M41" s="590" t="str">
        <f t="shared" si="21"/>
        <v/>
      </c>
      <c r="N41" s="30"/>
      <c r="O41" s="2073" t="str">
        <f t="array" ref="O41">IF(A41&lt;&gt;"",INDEX('New DB Request'!$A$26:$M$55,SMALL(IF(A41='New DB Request'!$A$26:$A$55,ROW('New DB Request'!$A$26:$A$55)),AE41)-25,4),"")</f>
        <v/>
      </c>
      <c r="P41" s="748"/>
      <c r="Q41" s="30"/>
      <c r="R41" s="2298" t="str">
        <f t="array" ref="R41">IF(A41&lt;&gt;"",INDEX('New DB Request'!$A$26:$M$55,SMALL(IF(A41='New DB Request'!$A$26:$A$55,ROW('New DB Request'!$A$26:$A$55)),AE41)-25,5),"")</f>
        <v/>
      </c>
      <c r="S41" s="2633" t="str">
        <f t="array" ref="S41">IF(A41&lt;&gt;"",INDEX('New DB Request'!$A$26:$M$55,SMALL(IF(A41='New DB Request'!$A$26:$A$55,ROW('New DB Request'!$A$26:$A$55)),AE41)-25,6),"")</f>
        <v/>
      </c>
      <c r="T41" s="2008" t="str">
        <f t="array" ref="T41">IF(A41&lt;&gt;"",INDEX('New DB Request'!$A$26:$M$55,SMALL(IF(A41='New DB Request'!$A$26:$A$55,ROW('New DB Request'!$A$26:$A$55)),AE41)-25,8),"")</f>
        <v/>
      </c>
      <c r="U41" s="30"/>
      <c r="V41" s="1090"/>
      <c r="W41" s="1090"/>
      <c r="X41" s="1090"/>
      <c r="Y41" s="2298" t="str">
        <f t="shared" si="22"/>
        <v/>
      </c>
      <c r="Z41" s="1357"/>
      <c r="AA41" s="2073" t="str">
        <f>IF($A41&lt;&gt;"",
      IF($E41="Windows",VLOOKUP($A41,dist_assets,15,FALSE),
        IF($E41&lt;&gt;"Windows",
               IF($H41="Oracle Standalone 11.2",Oracle_Standalone_fs($S41),
               IF($H41="Oracle HACMP 11.2 - Node 1", Oracle_HACMP_Node_1($S41),
               IF($H41="Oracle HACMP 11.2 - Node 2", Oracle_HACMP_Node_2($S41),
               IF($H41="Oracle-RAC","Oracle RAC requires special config
work with Open Systems",
               IF($AC41="db2_fs",DB2_FS($S41),""))))))),"")</f>
        <v/>
      </c>
      <c r="AB41" s="1358"/>
      <c r="AC41" s="3348" t="str">
        <f t="shared" si="12"/>
        <v/>
      </c>
      <c r="AD41" s="1642" t="str">
        <f t="shared" si="23"/>
        <v/>
      </c>
      <c r="AE41" s="2008" t="str">
        <f>IF(A41&lt;&gt;"",COUNTIF($A$7:A41,A41),"")</f>
        <v/>
      </c>
    </row>
    <row r="42" spans="1:31">
      <c r="A42" s="301" t="str">
        <f t="array" ref="A42">IF('New DB Request'!A61&lt;&gt;"",INDEX(newdbreq_assetlist,MATCH(SMALL(COUNTIF(newdbreq_assetlist,"&lt;="&amp;newdbreq_assetlist),ROWS($A$26:A61)),COUNTIF(newdbreq_assetlist,"&lt;="&amp;newdbreq_assetlist),0)),"")</f>
        <v/>
      </c>
      <c r="B42" s="2298" t="str">
        <f t="shared" si="13"/>
        <v/>
      </c>
      <c r="C42" s="1692" t="str">
        <f>IF($A42&lt;&gt;"",
                         LEFT(VLOOKUP($A42,IP!$A$4:$N$153,11,FALSE),SEARCH(".",VLOOKUP($A42,IP!$A$4:$N$153,11,FALSE))-1),
        "")</f>
        <v/>
      </c>
      <c r="D42" s="1692" t="str">
        <f>IF($A42&lt;&gt;"",VLOOKUP(CONCATENATE($A42&amp;"  (IP01)"),IP!$A$4:$D$153,4,FALSE),"")</f>
        <v/>
      </c>
      <c r="E42" s="1356" t="str">
        <f t="shared" si="14"/>
        <v/>
      </c>
      <c r="F42" s="590" t="str">
        <f>IF($A42&lt;&gt;"",VLOOKUP(VLOOKUP($A42,dist_assets,2,FALSE),'Distributed Assets'!$C$6:$F$22,4,FALSE),"")</f>
        <v/>
      </c>
      <c r="G42" s="1356" t="str">
        <f t="shared" si="15"/>
        <v/>
      </c>
      <c r="H42" s="590" t="str">
        <f t="shared" si="16"/>
        <v/>
      </c>
      <c r="I42" s="590" t="str">
        <f t="shared" si="17"/>
        <v/>
      </c>
      <c r="J42" s="1356" t="str">
        <f t="shared" si="18"/>
        <v/>
      </c>
      <c r="K42" s="1356" t="str">
        <f t="shared" si="19"/>
        <v/>
      </c>
      <c r="L42" s="1356" t="str">
        <f t="shared" si="20"/>
        <v/>
      </c>
      <c r="M42" s="590" t="str">
        <f t="shared" si="21"/>
        <v/>
      </c>
      <c r="N42" s="30"/>
      <c r="O42" s="2073" t="str">
        <f t="array" ref="O42">IF(A42&lt;&gt;"",INDEX('New DB Request'!$A$26:$M$55,SMALL(IF(A42='New DB Request'!$A$26:$A$55,ROW('New DB Request'!$A$26:$A$55)),AE42)-25,4),"")</f>
        <v/>
      </c>
      <c r="P42" s="748"/>
      <c r="Q42" s="30"/>
      <c r="R42" s="2298" t="str">
        <f t="array" ref="R42">IF(A42&lt;&gt;"",INDEX('New DB Request'!$A$26:$M$55,SMALL(IF(A42='New DB Request'!$A$26:$A$55,ROW('New DB Request'!$A$26:$A$55)),AE42)-25,5),"")</f>
        <v/>
      </c>
      <c r="S42" s="2633" t="str">
        <f t="array" ref="S42">IF(A42&lt;&gt;"",INDEX('New DB Request'!$A$26:$M$55,SMALL(IF(A42='New DB Request'!$A$26:$A$55,ROW('New DB Request'!$A$26:$A$55)),AE42)-25,6),"")</f>
        <v/>
      </c>
      <c r="T42" s="2008" t="str">
        <f t="array" ref="T42">IF(A42&lt;&gt;"",INDEX('New DB Request'!$A$26:$M$55,SMALL(IF(A42='New DB Request'!$A$26:$A$55,ROW('New DB Request'!$A$26:$A$55)),AE42)-25,8),"")</f>
        <v/>
      </c>
      <c r="U42" s="30"/>
      <c r="V42" s="1090"/>
      <c r="W42" s="1090"/>
      <c r="X42" s="1090"/>
      <c r="Y42" s="2298" t="str">
        <f t="shared" si="22"/>
        <v/>
      </c>
      <c r="Z42" s="1357"/>
      <c r="AA42" s="2073" t="str">
        <f>IF($A42&lt;&gt;"",
      IF($E42="Windows",VLOOKUP($A42,dist_assets,15,FALSE),
        IF($E42&lt;&gt;"Windows",
               IF($H42="Oracle Standalone 11.2",Oracle_Standalone_fs($S42),
               IF($H42="Oracle HACMP 11.2 - Node 1", Oracle_HACMP_Node_1($S42),
               IF($H42="Oracle HACMP 11.2 - Node 2", Oracle_HACMP_Node_2($S42),
               IF($H42="Oracle-RAC","Oracle RAC requires special config
work with Open Systems",
               IF($AC42="db2_fs",DB2_FS($S42),""))))))),"")</f>
        <v/>
      </c>
      <c r="AB42" s="1358"/>
      <c r="AC42" s="3348" t="str">
        <f t="shared" si="12"/>
        <v/>
      </c>
      <c r="AD42" s="1642" t="str">
        <f t="shared" si="23"/>
        <v/>
      </c>
      <c r="AE42" s="2008" t="str">
        <f>IF(A42&lt;&gt;"",COUNTIF($A$7:A42,A42),"")</f>
        <v/>
      </c>
    </row>
    <row r="43" spans="1:31">
      <c r="A43" s="301" t="str">
        <f t="array" ref="A43">IF('New DB Request'!A62&lt;&gt;"",INDEX(newdbreq_assetlist,MATCH(SMALL(COUNTIF(newdbreq_assetlist,"&lt;="&amp;newdbreq_assetlist),ROWS($A$26:A62)),COUNTIF(newdbreq_assetlist,"&lt;="&amp;newdbreq_assetlist),0)),"")</f>
        <v/>
      </c>
      <c r="B43" s="2298" t="str">
        <f t="shared" si="13"/>
        <v/>
      </c>
      <c r="C43" s="1692" t="str">
        <f>IF($A43&lt;&gt;"",
                         LEFT(VLOOKUP($A43,IP!$A$4:$N$153,11,FALSE),SEARCH(".",VLOOKUP($A43,IP!$A$4:$N$153,11,FALSE))-1),
        "")</f>
        <v/>
      </c>
      <c r="D43" s="1692" t="str">
        <f>IF($A43&lt;&gt;"",VLOOKUP(CONCATENATE($A43&amp;"  (IP01)"),IP!$A$4:$D$153,4,FALSE),"")</f>
        <v/>
      </c>
      <c r="E43" s="1356" t="str">
        <f t="shared" si="14"/>
        <v/>
      </c>
      <c r="F43" s="590" t="str">
        <f>IF($A43&lt;&gt;"",VLOOKUP(VLOOKUP($A43,dist_assets,2,FALSE),'Distributed Assets'!$C$6:$F$22,4,FALSE),"")</f>
        <v/>
      </c>
      <c r="G43" s="1356" t="str">
        <f t="shared" si="15"/>
        <v/>
      </c>
      <c r="H43" s="590" t="str">
        <f t="shared" si="16"/>
        <v/>
      </c>
      <c r="I43" s="590" t="str">
        <f t="shared" si="17"/>
        <v/>
      </c>
      <c r="J43" s="1356" t="str">
        <f t="shared" si="18"/>
        <v/>
      </c>
      <c r="K43" s="1356" t="str">
        <f t="shared" si="19"/>
        <v/>
      </c>
      <c r="L43" s="1356" t="str">
        <f t="shared" si="20"/>
        <v/>
      </c>
      <c r="M43" s="590" t="str">
        <f t="shared" si="21"/>
        <v/>
      </c>
      <c r="N43" s="30"/>
      <c r="O43" s="2073" t="str">
        <f t="array" ref="O43">IF(A43&lt;&gt;"",INDEX('New DB Request'!$A$26:$M$55,SMALL(IF(A43='New DB Request'!$A$26:$A$55,ROW('New DB Request'!$A$26:$A$55)),AE43)-25,4),"")</f>
        <v/>
      </c>
      <c r="P43" s="748"/>
      <c r="Q43" s="30"/>
      <c r="R43" s="2298" t="str">
        <f t="array" ref="R43">IF(A43&lt;&gt;"",INDEX('New DB Request'!$A$26:$M$55,SMALL(IF(A43='New DB Request'!$A$26:$A$55,ROW('New DB Request'!$A$26:$A$55)),AE43)-25,5),"")</f>
        <v/>
      </c>
      <c r="S43" s="2633" t="str">
        <f t="array" ref="S43">IF(A43&lt;&gt;"",INDEX('New DB Request'!$A$26:$M$55,SMALL(IF(A43='New DB Request'!$A$26:$A$55,ROW('New DB Request'!$A$26:$A$55)),AE43)-25,6),"")</f>
        <v/>
      </c>
      <c r="T43" s="2008" t="str">
        <f t="array" ref="T43">IF(A43&lt;&gt;"",INDEX('New DB Request'!$A$26:$M$55,SMALL(IF(A43='New DB Request'!$A$26:$A$55,ROW('New DB Request'!$A$26:$A$55)),AE43)-25,8),"")</f>
        <v/>
      </c>
      <c r="U43" s="30"/>
      <c r="V43" s="1090"/>
      <c r="W43" s="1090"/>
      <c r="X43" s="1090"/>
      <c r="Y43" s="2298" t="str">
        <f t="shared" si="22"/>
        <v/>
      </c>
      <c r="Z43" s="1357"/>
      <c r="AA43" s="2073" t="str">
        <f>IF($A43&lt;&gt;"",
      IF($E43="Windows",VLOOKUP($A43,dist_assets,15,FALSE),
        IF($E43&lt;&gt;"Windows",
               IF($H43="Oracle Standalone 11.2",Oracle_Standalone_fs($S43),
               IF($H43="Oracle HACMP 11.2 - Node 1", Oracle_HACMP_Node_1($S43),
               IF($H43="Oracle HACMP 11.2 - Node 2", Oracle_HACMP_Node_2($S43),
               IF($H43="Oracle-RAC","Oracle RAC requires special config
work with Open Systems",
               IF($AC43="db2_fs",DB2_FS($S43),""))))))),"")</f>
        <v/>
      </c>
      <c r="AB43" s="1358"/>
      <c r="AC43" s="3348" t="str">
        <f t="shared" si="12"/>
        <v/>
      </c>
      <c r="AD43" s="1642" t="str">
        <f t="shared" si="23"/>
        <v/>
      </c>
      <c r="AE43" s="2008" t="str">
        <f>IF(A43&lt;&gt;"",COUNTIF($A$7:A43,A43),"")</f>
        <v/>
      </c>
    </row>
    <row r="44" spans="1:31">
      <c r="A44" s="301" t="str">
        <f t="array" ref="A44">IF('New DB Request'!A63&lt;&gt;"",INDEX(newdbreq_assetlist,MATCH(SMALL(COUNTIF(newdbreq_assetlist,"&lt;="&amp;newdbreq_assetlist),ROWS($A$26:A63)),COUNTIF(newdbreq_assetlist,"&lt;="&amp;newdbreq_assetlist),0)),"")</f>
        <v/>
      </c>
      <c r="B44" s="2298" t="str">
        <f t="shared" si="13"/>
        <v/>
      </c>
      <c r="C44" s="1692" t="str">
        <f>IF($A44&lt;&gt;"",
                         LEFT(VLOOKUP($A44,IP!$A$4:$N$153,11,FALSE),SEARCH(".",VLOOKUP($A44,IP!$A$4:$N$153,11,FALSE))-1),
        "")</f>
        <v/>
      </c>
      <c r="D44" s="1692" t="str">
        <f>IF($A44&lt;&gt;"",VLOOKUP(CONCATENATE($A44&amp;"  (IP01)"),IP!$A$4:$D$153,4,FALSE),"")</f>
        <v/>
      </c>
      <c r="E44" s="1356" t="str">
        <f t="shared" si="14"/>
        <v/>
      </c>
      <c r="F44" s="590" t="str">
        <f>IF($A44&lt;&gt;"",VLOOKUP(VLOOKUP($A44,dist_assets,2,FALSE),'Distributed Assets'!$C$6:$F$22,4,FALSE),"")</f>
        <v/>
      </c>
      <c r="G44" s="1356" t="str">
        <f t="shared" si="15"/>
        <v/>
      </c>
      <c r="H44" s="590" t="str">
        <f t="shared" si="16"/>
        <v/>
      </c>
      <c r="I44" s="590" t="str">
        <f t="shared" si="17"/>
        <v/>
      </c>
      <c r="J44" s="1356" t="str">
        <f t="shared" si="18"/>
        <v/>
      </c>
      <c r="K44" s="1356" t="str">
        <f t="shared" si="19"/>
        <v/>
      </c>
      <c r="L44" s="1356" t="str">
        <f t="shared" si="20"/>
        <v/>
      </c>
      <c r="M44" s="590" t="str">
        <f t="shared" si="21"/>
        <v/>
      </c>
      <c r="N44" s="30"/>
      <c r="O44" s="2073" t="str">
        <f t="array" ref="O44">IF(A44&lt;&gt;"",INDEX('New DB Request'!$A$26:$M$55,SMALL(IF(A44='New DB Request'!$A$26:$A$55,ROW('New DB Request'!$A$26:$A$55)),AE44)-25,4),"")</f>
        <v/>
      </c>
      <c r="P44" s="748"/>
      <c r="Q44" s="30"/>
      <c r="R44" s="2298" t="str">
        <f t="array" ref="R44">IF(A44&lt;&gt;"",INDEX('New DB Request'!$A$26:$M$55,SMALL(IF(A44='New DB Request'!$A$26:$A$55,ROW('New DB Request'!$A$26:$A$55)),AE44)-25,5),"")</f>
        <v/>
      </c>
      <c r="S44" s="2633" t="str">
        <f t="array" ref="S44">IF(A44&lt;&gt;"",INDEX('New DB Request'!$A$26:$M$55,SMALL(IF(A44='New DB Request'!$A$26:$A$55,ROW('New DB Request'!$A$26:$A$55)),AE44)-25,6),"")</f>
        <v/>
      </c>
      <c r="T44" s="2008" t="str">
        <f t="array" ref="T44">IF(A44&lt;&gt;"",INDEX('New DB Request'!$A$26:$M$55,SMALL(IF(A44='New DB Request'!$A$26:$A$55,ROW('New DB Request'!$A$26:$A$55)),AE44)-25,8),"")</f>
        <v/>
      </c>
      <c r="U44" s="30"/>
      <c r="V44" s="1090"/>
      <c r="W44" s="1090"/>
      <c r="X44" s="1090"/>
      <c r="Y44" s="2298" t="str">
        <f t="shared" si="22"/>
        <v/>
      </c>
      <c r="Z44" s="1357"/>
      <c r="AA44" s="2073" t="str">
        <f>IF($A44&lt;&gt;"",
      IF($E44="Windows",VLOOKUP($A44,dist_assets,15,FALSE),
        IF($E44&lt;&gt;"Windows",
               IF($H44="Oracle Standalone 11.2",Oracle_Standalone_fs($S44),
               IF($H44="Oracle HACMP 11.2 - Node 1", Oracle_HACMP_Node_1($S44),
               IF($H44="Oracle HACMP 11.2 - Node 2", Oracle_HACMP_Node_2($S44),
               IF($H44="Oracle-RAC","Oracle RAC requires special config
work with Open Systems",
               IF($AC44="db2_fs",DB2_FS($S44),""))))))),"")</f>
        <v/>
      </c>
      <c r="AB44" s="1358"/>
      <c r="AC44" s="3348" t="str">
        <f t="shared" si="12"/>
        <v/>
      </c>
      <c r="AD44" s="1642" t="str">
        <f t="shared" si="23"/>
        <v/>
      </c>
      <c r="AE44" s="2008" t="str">
        <f>IF(A44&lt;&gt;"",COUNTIF($A$7:A44,A44),"")</f>
        <v/>
      </c>
    </row>
    <row r="45" spans="1:31">
      <c r="A45" s="301" t="str">
        <f t="array" ref="A45">IF('New DB Request'!A64&lt;&gt;"",INDEX(newdbreq_assetlist,MATCH(SMALL(COUNTIF(newdbreq_assetlist,"&lt;="&amp;newdbreq_assetlist),ROWS($A$26:A64)),COUNTIF(newdbreq_assetlist,"&lt;="&amp;newdbreq_assetlist),0)),"")</f>
        <v/>
      </c>
      <c r="B45" s="2298" t="str">
        <f t="shared" si="13"/>
        <v/>
      </c>
      <c r="C45" s="1692" t="str">
        <f>IF($A45&lt;&gt;"",
                         LEFT(VLOOKUP($A45,IP!$A$4:$N$153,11,FALSE),SEARCH(".",VLOOKUP($A45,IP!$A$4:$N$153,11,FALSE))-1),
        "")</f>
        <v/>
      </c>
      <c r="D45" s="1692" t="str">
        <f>IF($A45&lt;&gt;"",VLOOKUP(CONCATENATE($A45&amp;"  (IP01)"),IP!$A$4:$D$153,4,FALSE),"")</f>
        <v/>
      </c>
      <c r="E45" s="1356" t="str">
        <f t="shared" si="14"/>
        <v/>
      </c>
      <c r="F45" s="590" t="str">
        <f>IF($A45&lt;&gt;"",VLOOKUP(VLOOKUP($A45,dist_assets,2,FALSE),'Distributed Assets'!$C$6:$F$22,4,FALSE),"")</f>
        <v/>
      </c>
      <c r="G45" s="1356" t="str">
        <f t="shared" si="15"/>
        <v/>
      </c>
      <c r="H45" s="590" t="str">
        <f t="shared" si="16"/>
        <v/>
      </c>
      <c r="I45" s="590" t="str">
        <f t="shared" si="17"/>
        <v/>
      </c>
      <c r="J45" s="1356" t="str">
        <f t="shared" si="18"/>
        <v/>
      </c>
      <c r="K45" s="1356" t="str">
        <f t="shared" si="19"/>
        <v/>
      </c>
      <c r="L45" s="1356" t="str">
        <f t="shared" si="20"/>
        <v/>
      </c>
      <c r="M45" s="590" t="str">
        <f t="shared" si="21"/>
        <v/>
      </c>
      <c r="N45" s="30"/>
      <c r="O45" s="2073" t="str">
        <f t="array" ref="O45">IF(A45&lt;&gt;"",INDEX('New DB Request'!$A$26:$M$55,SMALL(IF(A45='New DB Request'!$A$26:$A$55,ROW('New DB Request'!$A$26:$A$55)),AE45)-25,4),"")</f>
        <v/>
      </c>
      <c r="P45" s="748"/>
      <c r="Q45" s="30"/>
      <c r="R45" s="2298" t="str">
        <f t="array" ref="R45">IF(A45&lt;&gt;"",INDEX('New DB Request'!$A$26:$M$55,SMALL(IF(A45='New DB Request'!$A$26:$A$55,ROW('New DB Request'!$A$26:$A$55)),AE45)-25,5),"")</f>
        <v/>
      </c>
      <c r="S45" s="2633" t="str">
        <f t="array" ref="S45">IF(A45&lt;&gt;"",INDEX('New DB Request'!$A$26:$M$55,SMALL(IF(A45='New DB Request'!$A$26:$A$55,ROW('New DB Request'!$A$26:$A$55)),AE45)-25,6),"")</f>
        <v/>
      </c>
      <c r="T45" s="2008" t="str">
        <f t="array" ref="T45">IF(A45&lt;&gt;"",INDEX('New DB Request'!$A$26:$M$55,SMALL(IF(A45='New DB Request'!$A$26:$A$55,ROW('New DB Request'!$A$26:$A$55)),AE45)-25,8),"")</f>
        <v/>
      </c>
      <c r="U45" s="30"/>
      <c r="V45" s="1090"/>
      <c r="W45" s="1090"/>
      <c r="X45" s="1090"/>
      <c r="Y45" s="2298" t="str">
        <f t="shared" si="22"/>
        <v/>
      </c>
      <c r="Z45" s="1357"/>
      <c r="AA45" s="2073" t="str">
        <f>IF($A45&lt;&gt;"",
      IF($E45="Windows",VLOOKUP($A45,dist_assets,15,FALSE),
        IF($E45&lt;&gt;"Windows",
               IF($H45="Oracle Standalone 11.2",Oracle_Standalone_fs($S45),
               IF($H45="Oracle HACMP 11.2 - Node 1", Oracle_HACMP_Node_1($S45),
               IF($H45="Oracle HACMP 11.2 - Node 2", Oracle_HACMP_Node_2($S45),
               IF($H45="Oracle-RAC","Oracle RAC requires special config
work with Open Systems",
               IF($AC45="db2_fs",DB2_FS($S45),""))))))),"")</f>
        <v/>
      </c>
      <c r="AB45" s="1358"/>
      <c r="AC45" s="3348" t="str">
        <f t="shared" si="12"/>
        <v/>
      </c>
      <c r="AD45" s="1642" t="str">
        <f t="shared" si="23"/>
        <v/>
      </c>
      <c r="AE45" s="2008" t="str">
        <f>IF(A45&lt;&gt;"",COUNTIF($A$7:A45,A45),"")</f>
        <v/>
      </c>
    </row>
    <row r="46" spans="1:31">
      <c r="A46" s="301" t="str">
        <f t="array" ref="A46">IF('New DB Request'!A65&lt;&gt;"",INDEX(newdbreq_assetlist,MATCH(SMALL(COUNTIF(newdbreq_assetlist,"&lt;="&amp;newdbreq_assetlist),ROWS($A$26:A65)),COUNTIF(newdbreq_assetlist,"&lt;="&amp;newdbreq_assetlist),0)),"")</f>
        <v/>
      </c>
      <c r="B46" s="2298" t="str">
        <f t="shared" si="13"/>
        <v/>
      </c>
      <c r="C46" s="1692" t="str">
        <f>IF($A46&lt;&gt;"",
                         LEFT(VLOOKUP($A46,IP!$A$4:$N$153,11,FALSE),SEARCH(".",VLOOKUP($A46,IP!$A$4:$N$153,11,FALSE))-1),
        "")</f>
        <v/>
      </c>
      <c r="D46" s="1692" t="str">
        <f>IF($A46&lt;&gt;"",VLOOKUP(CONCATENATE($A46&amp;"  (IP01)"),IP!$A$4:$D$153,4,FALSE),"")</f>
        <v/>
      </c>
      <c r="E46" s="1356" t="str">
        <f t="shared" si="14"/>
        <v/>
      </c>
      <c r="F46" s="590" t="str">
        <f>IF($A46&lt;&gt;"",VLOOKUP(VLOOKUP($A46,dist_assets,2,FALSE),'Distributed Assets'!$C$6:$F$22,4,FALSE),"")</f>
        <v/>
      </c>
      <c r="G46" s="1356" t="str">
        <f t="shared" si="15"/>
        <v/>
      </c>
      <c r="H46" s="590" t="str">
        <f t="shared" si="16"/>
        <v/>
      </c>
      <c r="I46" s="590" t="str">
        <f t="shared" si="17"/>
        <v/>
      </c>
      <c r="J46" s="1356" t="str">
        <f t="shared" si="18"/>
        <v/>
      </c>
      <c r="K46" s="1356" t="str">
        <f t="shared" si="19"/>
        <v/>
      </c>
      <c r="L46" s="1356" t="str">
        <f t="shared" si="20"/>
        <v/>
      </c>
      <c r="M46" s="590" t="str">
        <f t="shared" si="21"/>
        <v/>
      </c>
      <c r="N46" s="30"/>
      <c r="O46" s="2073" t="str">
        <f t="array" ref="O46">IF(A46&lt;&gt;"",INDEX('New DB Request'!$A$26:$M$55,SMALL(IF(A46='New DB Request'!$A$26:$A$55,ROW('New DB Request'!$A$26:$A$55)),AE46)-25,4),"")</f>
        <v/>
      </c>
      <c r="P46" s="748"/>
      <c r="Q46" s="30"/>
      <c r="R46" s="2298" t="str">
        <f t="array" ref="R46">IF(A46&lt;&gt;"",INDEX('New DB Request'!$A$26:$M$55,SMALL(IF(A46='New DB Request'!$A$26:$A$55,ROW('New DB Request'!$A$26:$A$55)),AE46)-25,5),"")</f>
        <v/>
      </c>
      <c r="S46" s="2633" t="str">
        <f t="array" ref="S46">IF(A46&lt;&gt;"",INDEX('New DB Request'!$A$26:$M$55,SMALL(IF(A46='New DB Request'!$A$26:$A$55,ROW('New DB Request'!$A$26:$A$55)),AE46)-25,6),"")</f>
        <v/>
      </c>
      <c r="T46" s="2008" t="str">
        <f t="array" ref="T46">IF(A46&lt;&gt;"",INDEX('New DB Request'!$A$26:$M$55,SMALL(IF(A46='New DB Request'!$A$26:$A$55,ROW('New DB Request'!$A$26:$A$55)),AE46)-25,8),"")</f>
        <v/>
      </c>
      <c r="U46" s="30"/>
      <c r="V46" s="1090"/>
      <c r="W46" s="1090"/>
      <c r="X46" s="1090"/>
      <c r="Y46" s="2298" t="str">
        <f t="shared" si="22"/>
        <v/>
      </c>
      <c r="Z46" s="1357"/>
      <c r="AA46" s="2073" t="str">
        <f>IF($A46&lt;&gt;"",
      IF($E46="Windows",VLOOKUP($A46,dist_assets,15,FALSE),
        IF($E46&lt;&gt;"Windows",
               IF($H46="Oracle Standalone 11.2",Oracle_Standalone_fs($S46),
               IF($H46="Oracle HACMP 11.2 - Node 1", Oracle_HACMP_Node_1($S46),
               IF($H46="Oracle HACMP 11.2 - Node 2", Oracle_HACMP_Node_2($S46),
               IF($H46="Oracle-RAC","Oracle RAC requires special config
work with Open Systems",
               IF($AC46="db2_fs",DB2_FS($S46),""))))))),"")</f>
        <v/>
      </c>
      <c r="AB46" s="1358"/>
      <c r="AC46" s="3348" t="str">
        <f t="shared" si="12"/>
        <v/>
      </c>
      <c r="AD46" s="1642" t="str">
        <f t="shared" si="23"/>
        <v/>
      </c>
      <c r="AE46" s="2008" t="str">
        <f>IF(A46&lt;&gt;"",COUNTIF($A$7:A46,A46),"")</f>
        <v/>
      </c>
    </row>
    <row r="47" spans="1:31">
      <c r="A47" s="301" t="str">
        <f t="array" ref="A47">IF('New DB Request'!A66&lt;&gt;"",INDEX(newdbreq_assetlist,MATCH(SMALL(COUNTIF(newdbreq_assetlist,"&lt;="&amp;newdbreq_assetlist),ROWS($A$26:A66)),COUNTIF(newdbreq_assetlist,"&lt;="&amp;newdbreq_assetlist),0)),"")</f>
        <v/>
      </c>
      <c r="B47" s="2298" t="str">
        <f t="shared" si="13"/>
        <v/>
      </c>
      <c r="C47" s="1692" t="str">
        <f>IF($A47&lt;&gt;"",
                         LEFT(VLOOKUP($A47,IP!$A$4:$N$153,11,FALSE),SEARCH(".",VLOOKUP($A47,IP!$A$4:$N$153,11,FALSE))-1),
        "")</f>
        <v/>
      </c>
      <c r="D47" s="1692" t="str">
        <f>IF($A47&lt;&gt;"",VLOOKUP(CONCATENATE($A47&amp;"  (IP01)"),IP!$A$4:$D$153,4,FALSE),"")</f>
        <v/>
      </c>
      <c r="E47" s="1356" t="str">
        <f t="shared" si="14"/>
        <v/>
      </c>
      <c r="F47" s="590" t="str">
        <f>IF($A47&lt;&gt;"",VLOOKUP(VLOOKUP($A47,dist_assets,2,FALSE),'Distributed Assets'!$C$6:$F$22,4,FALSE),"")</f>
        <v/>
      </c>
      <c r="G47" s="1356" t="str">
        <f t="shared" si="15"/>
        <v/>
      </c>
      <c r="H47" s="590" t="str">
        <f t="shared" si="16"/>
        <v/>
      </c>
      <c r="I47" s="590" t="str">
        <f t="shared" si="17"/>
        <v/>
      </c>
      <c r="J47" s="1356" t="str">
        <f t="shared" si="18"/>
        <v/>
      </c>
      <c r="K47" s="1356" t="str">
        <f t="shared" si="19"/>
        <v/>
      </c>
      <c r="L47" s="1356" t="str">
        <f t="shared" si="20"/>
        <v/>
      </c>
      <c r="M47" s="590" t="str">
        <f t="shared" si="21"/>
        <v/>
      </c>
      <c r="N47" s="30"/>
      <c r="O47" s="2073" t="str">
        <f t="array" ref="O47">IF(A47&lt;&gt;"",INDEX('New DB Request'!$A$26:$M$55,SMALL(IF(A47='New DB Request'!$A$26:$A$55,ROW('New DB Request'!$A$26:$A$55)),AE47)-25,4),"")</f>
        <v/>
      </c>
      <c r="P47" s="748"/>
      <c r="Q47" s="30"/>
      <c r="R47" s="2298" t="str">
        <f t="array" ref="R47">IF(A47&lt;&gt;"",INDEX('New DB Request'!$A$26:$M$55,SMALL(IF(A47='New DB Request'!$A$26:$A$55,ROW('New DB Request'!$A$26:$A$55)),AE47)-25,5),"")</f>
        <v/>
      </c>
      <c r="S47" s="2633" t="str">
        <f t="array" ref="S47">IF(A47&lt;&gt;"",INDEX('New DB Request'!$A$26:$M$55,SMALL(IF(A47='New DB Request'!$A$26:$A$55,ROW('New DB Request'!$A$26:$A$55)),AE47)-25,6),"")</f>
        <v/>
      </c>
      <c r="T47" s="2008" t="str">
        <f t="array" ref="T47">IF(A47&lt;&gt;"",INDEX('New DB Request'!$A$26:$M$55,SMALL(IF(A47='New DB Request'!$A$26:$A$55,ROW('New DB Request'!$A$26:$A$55)),AE47)-25,8),"")</f>
        <v/>
      </c>
      <c r="U47" s="30"/>
      <c r="V47" s="1090"/>
      <c r="W47" s="1090"/>
      <c r="X47" s="1090"/>
      <c r="Y47" s="2298" t="str">
        <f t="shared" si="22"/>
        <v/>
      </c>
      <c r="Z47" s="1357"/>
      <c r="AA47" s="2073" t="str">
        <f>IF($A47&lt;&gt;"",
      IF($E47="Windows",VLOOKUP($A47,dist_assets,15,FALSE),
        IF($E47&lt;&gt;"Windows",
               IF($H47="Oracle Standalone 11.2",Oracle_Standalone_fs($S47),
               IF($H47="Oracle HACMP 11.2 - Node 1", Oracle_HACMP_Node_1($S47),
               IF($H47="Oracle HACMP 11.2 - Node 2", Oracle_HACMP_Node_2($S47),
               IF($H47="Oracle-RAC","Oracle RAC requires special config
work with Open Systems",
               IF($AC47="db2_fs",DB2_FS($S47),""))))))),"")</f>
        <v/>
      </c>
      <c r="AB47" s="1358"/>
      <c r="AC47" s="3348" t="str">
        <f t="shared" si="12"/>
        <v/>
      </c>
      <c r="AD47" s="1642" t="str">
        <f t="shared" si="23"/>
        <v/>
      </c>
      <c r="AE47" s="2008" t="str">
        <f>IF(A47&lt;&gt;"",COUNTIF($A$7:A47,A47),"")</f>
        <v/>
      </c>
    </row>
    <row r="48" spans="1:31">
      <c r="A48" s="301" t="str">
        <f t="array" ref="A48">IF('New DB Request'!A67&lt;&gt;"",INDEX(newdbreq_assetlist,MATCH(SMALL(COUNTIF(newdbreq_assetlist,"&lt;="&amp;newdbreq_assetlist),ROWS($A$26:A67)),COUNTIF(newdbreq_assetlist,"&lt;="&amp;newdbreq_assetlist),0)),"")</f>
        <v/>
      </c>
      <c r="B48" s="2298" t="str">
        <f t="shared" si="13"/>
        <v/>
      </c>
      <c r="C48" s="1692" t="str">
        <f>IF($A48&lt;&gt;"",
                         LEFT(VLOOKUP($A48,IP!$A$4:$N$153,11,FALSE),SEARCH(".",VLOOKUP($A48,IP!$A$4:$N$153,11,FALSE))-1),
        "")</f>
        <v/>
      </c>
      <c r="D48" s="1692" t="str">
        <f>IF($A48&lt;&gt;"",VLOOKUP(CONCATENATE($A48&amp;"  (IP01)"),IP!$A$4:$D$153,4,FALSE),"")</f>
        <v/>
      </c>
      <c r="E48" s="1356" t="str">
        <f t="shared" si="14"/>
        <v/>
      </c>
      <c r="F48" s="590" t="str">
        <f>IF($A48&lt;&gt;"",VLOOKUP(VLOOKUP($A48,dist_assets,2,FALSE),'Distributed Assets'!$C$6:$F$22,4,FALSE),"")</f>
        <v/>
      </c>
      <c r="G48" s="1356" t="str">
        <f t="shared" si="15"/>
        <v/>
      </c>
      <c r="H48" s="590" t="str">
        <f t="shared" si="16"/>
        <v/>
      </c>
      <c r="I48" s="590" t="str">
        <f t="shared" si="17"/>
        <v/>
      </c>
      <c r="J48" s="1356" t="str">
        <f t="shared" si="18"/>
        <v/>
      </c>
      <c r="K48" s="1356" t="str">
        <f t="shared" si="19"/>
        <v/>
      </c>
      <c r="L48" s="1356" t="str">
        <f t="shared" si="20"/>
        <v/>
      </c>
      <c r="M48" s="590" t="str">
        <f t="shared" si="21"/>
        <v/>
      </c>
      <c r="N48" s="30"/>
      <c r="O48" s="2073" t="str">
        <f t="array" ref="O48">IF(A48&lt;&gt;"",INDEX('New DB Request'!$A$26:$M$55,SMALL(IF(A48='New DB Request'!$A$26:$A$55,ROW('New DB Request'!$A$26:$A$55)),AE48)-25,4),"")</f>
        <v/>
      </c>
      <c r="P48" s="748"/>
      <c r="Q48" s="30"/>
      <c r="R48" s="2298" t="str">
        <f t="array" ref="R48">IF(A48&lt;&gt;"",INDEX('New DB Request'!$A$26:$M$55,SMALL(IF(A48='New DB Request'!$A$26:$A$55,ROW('New DB Request'!$A$26:$A$55)),AE48)-25,5),"")</f>
        <v/>
      </c>
      <c r="S48" s="2633" t="str">
        <f t="array" ref="S48">IF(A48&lt;&gt;"",INDEX('New DB Request'!$A$26:$M$55,SMALL(IF(A48='New DB Request'!$A$26:$A$55,ROW('New DB Request'!$A$26:$A$55)),AE48)-25,6),"")</f>
        <v/>
      </c>
      <c r="T48" s="2008" t="str">
        <f t="array" ref="T48">IF(A48&lt;&gt;"",INDEX('New DB Request'!$A$26:$M$55,SMALL(IF(A48='New DB Request'!$A$26:$A$55,ROW('New DB Request'!$A$26:$A$55)),AE48)-25,8),"")</f>
        <v/>
      </c>
      <c r="U48" s="30"/>
      <c r="V48" s="1090"/>
      <c r="W48" s="1090"/>
      <c r="X48" s="1090"/>
      <c r="Y48" s="2298" t="str">
        <f t="shared" si="22"/>
        <v/>
      </c>
      <c r="Z48" s="1357"/>
      <c r="AA48" s="2073" t="str">
        <f>IF($A48&lt;&gt;"",
      IF($E48="Windows",VLOOKUP($A48,dist_assets,15,FALSE),
        IF($E48&lt;&gt;"Windows",
               IF($H48="Oracle Standalone 11.2",Oracle_Standalone_fs($S48),
               IF($H48="Oracle HACMP 11.2 - Node 1", Oracle_HACMP_Node_1($S48),
               IF($H48="Oracle HACMP 11.2 - Node 2", Oracle_HACMP_Node_2($S48),
               IF($H48="Oracle-RAC","Oracle RAC requires special config
work with Open Systems",
               IF($AC48="db2_fs",DB2_FS($S48),""))))))),"")</f>
        <v/>
      </c>
      <c r="AB48" s="1358"/>
      <c r="AC48" s="3348" t="str">
        <f t="shared" si="12"/>
        <v/>
      </c>
      <c r="AD48" s="1642" t="str">
        <f t="shared" si="23"/>
        <v/>
      </c>
      <c r="AE48" s="2008" t="str">
        <f>IF(A48&lt;&gt;"",COUNTIF($A$7:A48,A48),"")</f>
        <v/>
      </c>
    </row>
    <row r="49" spans="1:31">
      <c r="A49" s="301" t="str">
        <f t="array" ref="A49">IF('New DB Request'!A68&lt;&gt;"",INDEX(newdbreq_assetlist,MATCH(SMALL(COUNTIF(newdbreq_assetlist,"&lt;="&amp;newdbreq_assetlist),ROWS($A$26:A68)),COUNTIF(newdbreq_assetlist,"&lt;="&amp;newdbreq_assetlist),0)),"")</f>
        <v/>
      </c>
      <c r="B49" s="2298" t="str">
        <f t="shared" si="13"/>
        <v/>
      </c>
      <c r="C49" s="1692" t="str">
        <f>IF($A49&lt;&gt;"",
                         LEFT(VLOOKUP($A49,IP!$A$4:$N$153,11,FALSE),SEARCH(".",VLOOKUP($A49,IP!$A$4:$N$153,11,FALSE))-1),
        "")</f>
        <v/>
      </c>
      <c r="D49" s="1692" t="str">
        <f>IF($A49&lt;&gt;"",VLOOKUP(CONCATENATE($A49&amp;"  (IP01)"),IP!$A$4:$D$153,4,FALSE),"")</f>
        <v/>
      </c>
      <c r="E49" s="1356" t="str">
        <f t="shared" si="14"/>
        <v/>
      </c>
      <c r="F49" s="590" t="str">
        <f>IF($A49&lt;&gt;"",VLOOKUP(VLOOKUP($A49,dist_assets,2,FALSE),'Distributed Assets'!$C$6:$F$22,4,FALSE),"")</f>
        <v/>
      </c>
      <c r="G49" s="1356" t="str">
        <f t="shared" si="15"/>
        <v/>
      </c>
      <c r="H49" s="590" t="str">
        <f t="shared" si="16"/>
        <v/>
      </c>
      <c r="I49" s="590" t="str">
        <f t="shared" si="17"/>
        <v/>
      </c>
      <c r="J49" s="1356" t="str">
        <f t="shared" si="18"/>
        <v/>
      </c>
      <c r="K49" s="1356" t="str">
        <f t="shared" si="19"/>
        <v/>
      </c>
      <c r="L49" s="1356" t="str">
        <f t="shared" si="20"/>
        <v/>
      </c>
      <c r="M49" s="590" t="str">
        <f t="shared" si="21"/>
        <v/>
      </c>
      <c r="N49" s="30"/>
      <c r="O49" s="2073" t="str">
        <f t="array" ref="O49">IF(A49&lt;&gt;"",INDEX('New DB Request'!$A$26:$M$55,SMALL(IF(A49='New DB Request'!$A$26:$A$55,ROW('New DB Request'!$A$26:$A$55)),AE49)-25,4),"")</f>
        <v/>
      </c>
      <c r="P49" s="748"/>
      <c r="Q49" s="30"/>
      <c r="R49" s="2298" t="str">
        <f t="array" ref="R49">IF(A49&lt;&gt;"",INDEX('New DB Request'!$A$26:$M$55,SMALL(IF(A49='New DB Request'!$A$26:$A$55,ROW('New DB Request'!$A$26:$A$55)),AE49)-25,5),"")</f>
        <v/>
      </c>
      <c r="S49" s="2633" t="str">
        <f t="array" ref="S49">IF(A49&lt;&gt;"",INDEX('New DB Request'!$A$26:$M$55,SMALL(IF(A49='New DB Request'!$A$26:$A$55,ROW('New DB Request'!$A$26:$A$55)),AE49)-25,6),"")</f>
        <v/>
      </c>
      <c r="T49" s="2008" t="str">
        <f t="array" ref="T49">IF(A49&lt;&gt;"",INDEX('New DB Request'!$A$26:$M$55,SMALL(IF(A49='New DB Request'!$A$26:$A$55,ROW('New DB Request'!$A$26:$A$55)),AE49)-25,8),"")</f>
        <v/>
      </c>
      <c r="U49" s="30"/>
      <c r="V49" s="1090"/>
      <c r="W49" s="1090"/>
      <c r="X49" s="1090"/>
      <c r="Y49" s="2298" t="str">
        <f t="shared" si="22"/>
        <v/>
      </c>
      <c r="Z49" s="1357"/>
      <c r="AA49" s="2073" t="str">
        <f>IF($A49&lt;&gt;"",
      IF($E49="Windows",VLOOKUP($A49,dist_assets,15,FALSE),
        IF($E49&lt;&gt;"Windows",
               IF($H49="Oracle Standalone 11.2",Oracle_Standalone_fs($S49),
               IF($H49="Oracle HACMP 11.2 - Node 1", Oracle_HACMP_Node_1($S49),
               IF($H49="Oracle HACMP 11.2 - Node 2", Oracle_HACMP_Node_2($S49),
               IF($H49="Oracle-RAC","Oracle RAC requires special config
work with Open Systems",
               IF($AC49="db2_fs",DB2_FS($S49),""))))))),"")</f>
        <v/>
      </c>
      <c r="AB49" s="1358"/>
      <c r="AC49" s="3348" t="str">
        <f t="shared" si="12"/>
        <v/>
      </c>
      <c r="AD49" s="1642" t="str">
        <f t="shared" si="23"/>
        <v/>
      </c>
      <c r="AE49" s="2008" t="str">
        <f>IF(A49&lt;&gt;"",COUNTIF($A$7:A49,A49),"")</f>
        <v/>
      </c>
    </row>
    <row r="50" spans="1:31">
      <c r="A50" s="301" t="str">
        <f t="array" ref="A50">IF('New DB Request'!A69&lt;&gt;"",INDEX(newdbreq_assetlist,MATCH(SMALL(COUNTIF(newdbreq_assetlist,"&lt;="&amp;newdbreq_assetlist),ROWS($A$26:A69)),COUNTIF(newdbreq_assetlist,"&lt;="&amp;newdbreq_assetlist),0)),"")</f>
        <v/>
      </c>
      <c r="B50" s="2298" t="str">
        <f t="shared" si="13"/>
        <v/>
      </c>
      <c r="C50" s="1692" t="str">
        <f>IF($A50&lt;&gt;"",
                         LEFT(VLOOKUP($A50,IP!$A$4:$N$153,11,FALSE),SEARCH(".",VLOOKUP($A50,IP!$A$4:$N$153,11,FALSE))-1),
        "")</f>
        <v/>
      </c>
      <c r="D50" s="1692" t="str">
        <f>IF($A50&lt;&gt;"",VLOOKUP(CONCATENATE($A50&amp;"  (IP01)"),IP!$A$4:$D$153,4,FALSE),"")</f>
        <v/>
      </c>
      <c r="E50" s="1356" t="str">
        <f t="shared" si="14"/>
        <v/>
      </c>
      <c r="F50" s="590" t="str">
        <f>IF($A50&lt;&gt;"",VLOOKUP(VLOOKUP($A50,dist_assets,2,FALSE),'Distributed Assets'!$C$6:$F$22,4,FALSE),"")</f>
        <v/>
      </c>
      <c r="G50" s="1356" t="str">
        <f t="shared" si="15"/>
        <v/>
      </c>
      <c r="H50" s="590" t="str">
        <f t="shared" si="16"/>
        <v/>
      </c>
      <c r="I50" s="590" t="str">
        <f t="shared" si="17"/>
        <v/>
      </c>
      <c r="J50" s="1356" t="str">
        <f t="shared" si="18"/>
        <v/>
      </c>
      <c r="K50" s="1356" t="str">
        <f t="shared" si="19"/>
        <v/>
      </c>
      <c r="L50" s="1356" t="str">
        <f t="shared" si="20"/>
        <v/>
      </c>
      <c r="M50" s="590" t="str">
        <f t="shared" si="21"/>
        <v/>
      </c>
      <c r="N50" s="30"/>
      <c r="O50" s="2073" t="str">
        <f t="array" ref="O50">IF(A50&lt;&gt;"",INDEX('New DB Request'!$A$26:$M$55,SMALL(IF(A50='New DB Request'!$A$26:$A$55,ROW('New DB Request'!$A$26:$A$55)),AE50)-25,4),"")</f>
        <v/>
      </c>
      <c r="P50" s="748"/>
      <c r="Q50" s="30"/>
      <c r="R50" s="2298" t="str">
        <f t="array" ref="R50">IF(A50&lt;&gt;"",INDEX('New DB Request'!$A$26:$M$55,SMALL(IF(A50='New DB Request'!$A$26:$A$55,ROW('New DB Request'!$A$26:$A$55)),AE50)-25,5),"")</f>
        <v/>
      </c>
      <c r="S50" s="2633" t="str">
        <f t="array" ref="S50">IF(A50&lt;&gt;"",INDEX('New DB Request'!$A$26:$M$55,SMALL(IF(A50='New DB Request'!$A$26:$A$55,ROW('New DB Request'!$A$26:$A$55)),AE50)-25,6),"")</f>
        <v/>
      </c>
      <c r="T50" s="2008" t="str">
        <f t="array" ref="T50">IF(A50&lt;&gt;"",INDEX('New DB Request'!$A$26:$M$55,SMALL(IF(A50='New DB Request'!$A$26:$A$55,ROW('New DB Request'!$A$26:$A$55)),AE50)-25,8),"")</f>
        <v/>
      </c>
      <c r="U50" s="30"/>
      <c r="V50" s="1090"/>
      <c r="W50" s="1090"/>
      <c r="X50" s="1090"/>
      <c r="Y50" s="2298" t="str">
        <f t="shared" si="22"/>
        <v/>
      </c>
      <c r="Z50" s="1357"/>
      <c r="AA50" s="2073" t="str">
        <f>IF($A50&lt;&gt;"",
      IF($E50="Windows",VLOOKUP($A50,dist_assets,15,FALSE),
        IF($E50&lt;&gt;"Windows",
               IF($H50="Oracle Standalone 11.2",Oracle_Standalone_fs($S50),
               IF($H50="Oracle HACMP 11.2 - Node 1", Oracle_HACMP_Node_1($S50),
               IF($H50="Oracle HACMP 11.2 - Node 2", Oracle_HACMP_Node_2($S50),
               IF($H50="Oracle-RAC","Oracle RAC requires special config
work with Open Systems",
               IF($AC50="db2_fs",DB2_FS($S50),""))))))),"")</f>
        <v/>
      </c>
      <c r="AB50" s="1358"/>
      <c r="AC50" s="3348" t="str">
        <f t="shared" si="12"/>
        <v/>
      </c>
      <c r="AD50" s="1642" t="str">
        <f t="shared" si="23"/>
        <v/>
      </c>
      <c r="AE50" s="2008" t="str">
        <f>IF(A50&lt;&gt;"",COUNTIF($A$7:A50,A50),"")</f>
        <v/>
      </c>
    </row>
    <row r="51" spans="1:31">
      <c r="A51" s="301" t="str">
        <f t="array" ref="A51">IF('New DB Request'!A70&lt;&gt;"",INDEX(newdbreq_assetlist,MATCH(SMALL(COUNTIF(newdbreq_assetlist,"&lt;="&amp;newdbreq_assetlist),ROWS($A$26:A70)),COUNTIF(newdbreq_assetlist,"&lt;="&amp;newdbreq_assetlist),0)),"")</f>
        <v/>
      </c>
      <c r="B51" s="2298" t="str">
        <f t="shared" si="13"/>
        <v/>
      </c>
      <c r="C51" s="1692" t="str">
        <f>IF($A51&lt;&gt;"",
                         LEFT(VLOOKUP($A51,IP!$A$4:$N$153,11,FALSE),SEARCH(".",VLOOKUP($A51,IP!$A$4:$N$153,11,FALSE))-1),
        "")</f>
        <v/>
      </c>
      <c r="D51" s="1692" t="str">
        <f>IF($A51&lt;&gt;"",VLOOKUP(CONCATENATE($A51&amp;"  (IP01)"),IP!$A$4:$D$153,4,FALSE),"")</f>
        <v/>
      </c>
      <c r="E51" s="1356" t="str">
        <f t="shared" si="14"/>
        <v/>
      </c>
      <c r="F51" s="590" t="str">
        <f>IF($A51&lt;&gt;"",VLOOKUP(VLOOKUP($A51,dist_assets,2,FALSE),'Distributed Assets'!$C$6:$F$22,4,FALSE),"")</f>
        <v/>
      </c>
      <c r="G51" s="1356" t="str">
        <f t="shared" si="15"/>
        <v/>
      </c>
      <c r="H51" s="590" t="str">
        <f t="shared" si="16"/>
        <v/>
      </c>
      <c r="I51" s="590" t="str">
        <f t="shared" si="17"/>
        <v/>
      </c>
      <c r="J51" s="1356" t="str">
        <f t="shared" si="18"/>
        <v/>
      </c>
      <c r="K51" s="1356" t="str">
        <f t="shared" si="19"/>
        <v/>
      </c>
      <c r="L51" s="1356" t="str">
        <f t="shared" si="20"/>
        <v/>
      </c>
      <c r="M51" s="590" t="str">
        <f t="shared" si="21"/>
        <v/>
      </c>
      <c r="N51" s="30"/>
      <c r="O51" s="2073" t="str">
        <f t="array" ref="O51">IF(A51&lt;&gt;"",INDEX('New DB Request'!$A$26:$M$55,SMALL(IF(A51='New DB Request'!$A$26:$A$55,ROW('New DB Request'!$A$26:$A$55)),AE51)-25,4),"")</f>
        <v/>
      </c>
      <c r="P51" s="748"/>
      <c r="Q51" s="30"/>
      <c r="R51" s="2298" t="str">
        <f t="array" ref="R51">IF(A51&lt;&gt;"",INDEX('New DB Request'!$A$26:$M$55,SMALL(IF(A51='New DB Request'!$A$26:$A$55,ROW('New DB Request'!$A$26:$A$55)),AE51)-25,5),"")</f>
        <v/>
      </c>
      <c r="S51" s="2633" t="str">
        <f t="array" ref="S51">IF(A51&lt;&gt;"",INDEX('New DB Request'!$A$26:$M$55,SMALL(IF(A51='New DB Request'!$A$26:$A$55,ROW('New DB Request'!$A$26:$A$55)),AE51)-25,6),"")</f>
        <v/>
      </c>
      <c r="T51" s="2008" t="str">
        <f t="array" ref="T51">IF(A51&lt;&gt;"",INDEX('New DB Request'!$A$26:$M$55,SMALL(IF(A51='New DB Request'!$A$26:$A$55,ROW('New DB Request'!$A$26:$A$55)),AE51)-25,8),"")</f>
        <v/>
      </c>
      <c r="U51" s="30"/>
      <c r="V51" s="1090"/>
      <c r="W51" s="1090"/>
      <c r="X51" s="1090"/>
      <c r="Y51" s="2298" t="str">
        <f t="shared" si="22"/>
        <v/>
      </c>
      <c r="Z51" s="1357"/>
      <c r="AA51" s="2073" t="str">
        <f>IF($A51&lt;&gt;"",
      IF($E51="Windows",VLOOKUP($A51,dist_assets,15,FALSE),
        IF($E51&lt;&gt;"Windows",
               IF($H51="Oracle Standalone 11.2",Oracle_Standalone_fs($S51),
               IF($H51="Oracle HACMP 11.2 - Node 1", Oracle_HACMP_Node_1($S51),
               IF($H51="Oracle HACMP 11.2 - Node 2", Oracle_HACMP_Node_2($S51),
               IF($H51="Oracle-RAC","Oracle RAC requires special config
work with Open Systems",
               IF($AC51="db2_fs",DB2_FS($S51),""))))))),"")</f>
        <v/>
      </c>
      <c r="AB51" s="1358"/>
      <c r="AC51" s="3348" t="str">
        <f t="shared" si="12"/>
        <v/>
      </c>
      <c r="AD51" s="1642" t="str">
        <f t="shared" si="23"/>
        <v/>
      </c>
      <c r="AE51" s="2008" t="str">
        <f>IF(A51&lt;&gt;"",COUNTIF($A$7:A51,A51),"")</f>
        <v/>
      </c>
    </row>
    <row r="52" spans="1:31">
      <c r="A52" s="301" t="str">
        <f t="array" ref="A52">IF('New DB Request'!A71&lt;&gt;"",INDEX(newdbreq_assetlist,MATCH(SMALL(COUNTIF(newdbreq_assetlist,"&lt;="&amp;newdbreq_assetlist),ROWS($A$26:A71)),COUNTIF(newdbreq_assetlist,"&lt;="&amp;newdbreq_assetlist),0)),"")</f>
        <v/>
      </c>
      <c r="B52" s="2298" t="str">
        <f t="shared" si="13"/>
        <v/>
      </c>
      <c r="C52" s="1692" t="str">
        <f>IF($A52&lt;&gt;"",
                         LEFT(VLOOKUP($A52,IP!$A$4:$N$153,11,FALSE),SEARCH(".",VLOOKUP($A52,IP!$A$4:$N$153,11,FALSE))-1),
        "")</f>
        <v/>
      </c>
      <c r="D52" s="1692" t="str">
        <f>IF($A52&lt;&gt;"",VLOOKUP(CONCATENATE($A52&amp;"  (IP01)"),IP!$A$4:$D$153,4,FALSE),"")</f>
        <v/>
      </c>
      <c r="E52" s="1356" t="str">
        <f t="shared" si="14"/>
        <v/>
      </c>
      <c r="F52" s="590" t="str">
        <f>IF($A52&lt;&gt;"",VLOOKUP(VLOOKUP($A52,dist_assets,2,FALSE),'Distributed Assets'!$C$6:$F$22,4,FALSE),"")</f>
        <v/>
      </c>
      <c r="G52" s="1356" t="str">
        <f t="shared" si="15"/>
        <v/>
      </c>
      <c r="H52" s="590" t="str">
        <f t="shared" si="16"/>
        <v/>
      </c>
      <c r="I52" s="590" t="str">
        <f t="shared" si="17"/>
        <v/>
      </c>
      <c r="J52" s="1356" t="str">
        <f t="shared" si="18"/>
        <v/>
      </c>
      <c r="K52" s="1356" t="str">
        <f t="shared" si="19"/>
        <v/>
      </c>
      <c r="L52" s="1356" t="str">
        <f t="shared" si="20"/>
        <v/>
      </c>
      <c r="M52" s="590" t="str">
        <f t="shared" si="21"/>
        <v/>
      </c>
      <c r="N52" s="30"/>
      <c r="O52" s="2073" t="str">
        <f t="array" ref="O52">IF(A52&lt;&gt;"",INDEX('New DB Request'!$A$26:$M$55,SMALL(IF(A52='New DB Request'!$A$26:$A$55,ROW('New DB Request'!$A$26:$A$55)),AE52)-25,4),"")</f>
        <v/>
      </c>
      <c r="P52" s="748"/>
      <c r="Q52" s="30"/>
      <c r="R52" s="2298" t="str">
        <f t="array" ref="R52">IF(A52&lt;&gt;"",INDEX('New DB Request'!$A$26:$M$55,SMALL(IF(A52='New DB Request'!$A$26:$A$55,ROW('New DB Request'!$A$26:$A$55)),AE52)-25,5),"")</f>
        <v/>
      </c>
      <c r="S52" s="2633" t="str">
        <f t="array" ref="S52">IF(A52&lt;&gt;"",INDEX('New DB Request'!$A$26:$M$55,SMALL(IF(A52='New DB Request'!$A$26:$A$55,ROW('New DB Request'!$A$26:$A$55)),AE52)-25,6),"")</f>
        <v/>
      </c>
      <c r="T52" s="2008" t="str">
        <f t="array" ref="T52">IF(A52&lt;&gt;"",INDEX('New DB Request'!$A$26:$M$55,SMALL(IF(A52='New DB Request'!$A$26:$A$55,ROW('New DB Request'!$A$26:$A$55)),AE52)-25,8),"")</f>
        <v/>
      </c>
      <c r="U52" s="30"/>
      <c r="V52" s="1090"/>
      <c r="W52" s="1090"/>
      <c r="X52" s="1090"/>
      <c r="Y52" s="2298" t="str">
        <f t="shared" si="22"/>
        <v/>
      </c>
      <c r="Z52" s="1357"/>
      <c r="AA52" s="2073" t="str">
        <f>IF($A52&lt;&gt;"",
      IF($E52="Windows",VLOOKUP($A52,dist_assets,15,FALSE),
        IF($E52&lt;&gt;"Windows",
               IF($H52="Oracle Standalone 11.2",Oracle_Standalone_fs($S52),
               IF($H52="Oracle HACMP 11.2 - Node 1", Oracle_HACMP_Node_1($S52),
               IF($H52="Oracle HACMP 11.2 - Node 2", Oracle_HACMP_Node_2($S52),
               IF($H52="Oracle-RAC","Oracle RAC requires special config
work with Open Systems",
               IF($AC52="db2_fs",DB2_FS($S52),""))))))),"")</f>
        <v/>
      </c>
      <c r="AB52" s="1358"/>
      <c r="AC52" s="3348" t="str">
        <f t="shared" si="12"/>
        <v/>
      </c>
      <c r="AD52" s="1642" t="str">
        <f t="shared" si="23"/>
        <v/>
      </c>
      <c r="AE52" s="2008" t="str">
        <f>IF(A52&lt;&gt;"",COUNTIF($A$7:A52,A52),"")</f>
        <v/>
      </c>
    </row>
    <row r="53" spans="1:31">
      <c r="A53" s="301" t="str">
        <f t="array" ref="A53">IF('New DB Request'!A72&lt;&gt;"",INDEX(newdbreq_assetlist,MATCH(SMALL(COUNTIF(newdbreq_assetlist,"&lt;="&amp;newdbreq_assetlist),ROWS($A$26:A72)),COUNTIF(newdbreq_assetlist,"&lt;="&amp;newdbreq_assetlist),0)),"")</f>
        <v/>
      </c>
      <c r="B53" s="2298" t="str">
        <f t="shared" si="13"/>
        <v/>
      </c>
      <c r="C53" s="1692" t="str">
        <f>IF($A53&lt;&gt;"",
                         LEFT(VLOOKUP($A53,IP!$A$4:$N$153,11,FALSE),SEARCH(".",VLOOKUP($A53,IP!$A$4:$N$153,11,FALSE))-1),
        "")</f>
        <v/>
      </c>
      <c r="D53" s="1692" t="str">
        <f>IF($A53&lt;&gt;"",VLOOKUP(CONCATENATE($A53&amp;"  (IP01)"),IP!$A$4:$D$153,4,FALSE),"")</f>
        <v/>
      </c>
      <c r="E53" s="1356" t="str">
        <f t="shared" si="14"/>
        <v/>
      </c>
      <c r="F53" s="590" t="str">
        <f>IF($A53&lt;&gt;"",VLOOKUP(VLOOKUP($A53,dist_assets,2,FALSE),'Distributed Assets'!$C$6:$F$22,4,FALSE),"")</f>
        <v/>
      </c>
      <c r="G53" s="1356" t="str">
        <f t="shared" si="15"/>
        <v/>
      </c>
      <c r="H53" s="590" t="str">
        <f t="shared" si="16"/>
        <v/>
      </c>
      <c r="I53" s="590" t="str">
        <f t="shared" si="17"/>
        <v/>
      </c>
      <c r="J53" s="1356" t="str">
        <f t="shared" si="18"/>
        <v/>
      </c>
      <c r="K53" s="1356" t="str">
        <f t="shared" si="19"/>
        <v/>
      </c>
      <c r="L53" s="1356" t="str">
        <f t="shared" si="20"/>
        <v/>
      </c>
      <c r="M53" s="590" t="str">
        <f t="shared" si="21"/>
        <v/>
      </c>
      <c r="N53" s="30"/>
      <c r="O53" s="2073" t="str">
        <f t="array" ref="O53">IF(A53&lt;&gt;"",INDEX('New DB Request'!$A$26:$M$55,SMALL(IF(A53='New DB Request'!$A$26:$A$55,ROW('New DB Request'!$A$26:$A$55)),AE53)-25,4),"")</f>
        <v/>
      </c>
      <c r="P53" s="748"/>
      <c r="Q53" s="30"/>
      <c r="R53" s="2298" t="str">
        <f t="array" ref="R53">IF(A53&lt;&gt;"",INDEX('New DB Request'!$A$26:$M$55,SMALL(IF(A53='New DB Request'!$A$26:$A$55,ROW('New DB Request'!$A$26:$A$55)),AE53)-25,5),"")</f>
        <v/>
      </c>
      <c r="S53" s="2633" t="str">
        <f t="array" ref="S53">IF(A53&lt;&gt;"",INDEX('New DB Request'!$A$26:$M$55,SMALL(IF(A53='New DB Request'!$A$26:$A$55,ROW('New DB Request'!$A$26:$A$55)),AE53)-25,6),"")</f>
        <v/>
      </c>
      <c r="T53" s="2008" t="str">
        <f t="array" ref="T53">IF(A53&lt;&gt;"",INDEX('New DB Request'!$A$26:$M$55,SMALL(IF(A53='New DB Request'!$A$26:$A$55,ROW('New DB Request'!$A$26:$A$55)),AE53)-25,8),"")</f>
        <v/>
      </c>
      <c r="U53" s="30"/>
      <c r="V53" s="1090"/>
      <c r="W53" s="1090"/>
      <c r="X53" s="1090"/>
      <c r="Y53" s="2298" t="str">
        <f t="shared" si="22"/>
        <v/>
      </c>
      <c r="Z53" s="1357"/>
      <c r="AA53" s="2073" t="str">
        <f>IF($A53&lt;&gt;"",
      IF($E53="Windows",VLOOKUP($A53,dist_assets,15,FALSE),
        IF($E53&lt;&gt;"Windows",
               IF($H53="Oracle Standalone 11.2",Oracle_Standalone_fs($S53),
               IF($H53="Oracle HACMP 11.2 - Node 1", Oracle_HACMP_Node_1($S53),
               IF($H53="Oracle HACMP 11.2 - Node 2", Oracle_HACMP_Node_2($S53),
               IF($H53="Oracle-RAC","Oracle RAC requires special config
work with Open Systems",
               IF($AC53="db2_fs",DB2_FS($S53),""))))))),"")</f>
        <v/>
      </c>
      <c r="AB53" s="1358"/>
      <c r="AC53" s="3348" t="str">
        <f t="shared" si="12"/>
        <v/>
      </c>
      <c r="AD53" s="1642" t="str">
        <f t="shared" si="23"/>
        <v/>
      </c>
      <c r="AE53" s="2008" t="str">
        <f>IF(A53&lt;&gt;"",COUNTIF($A$7:A53,A53),"")</f>
        <v/>
      </c>
    </row>
    <row r="54" spans="1:31">
      <c r="A54" s="301" t="str">
        <f t="array" ref="A54">IF('New DB Request'!A73&lt;&gt;"",INDEX(newdbreq_assetlist,MATCH(SMALL(COUNTIF(newdbreq_assetlist,"&lt;="&amp;newdbreq_assetlist),ROWS($A$26:A73)),COUNTIF(newdbreq_assetlist,"&lt;="&amp;newdbreq_assetlist),0)),"")</f>
        <v/>
      </c>
      <c r="B54" s="2298" t="str">
        <f t="shared" si="13"/>
        <v/>
      </c>
      <c r="C54" s="1692" t="str">
        <f>IF($A54&lt;&gt;"",
                         LEFT(VLOOKUP($A54,IP!$A$4:$N$153,11,FALSE),SEARCH(".",VLOOKUP($A54,IP!$A$4:$N$153,11,FALSE))-1),
        "")</f>
        <v/>
      </c>
      <c r="D54" s="1692" t="str">
        <f>IF($A54&lt;&gt;"",VLOOKUP(CONCATENATE($A54&amp;"  (IP01)"),IP!$A$4:$D$153,4,FALSE),"")</f>
        <v/>
      </c>
      <c r="E54" s="1356" t="str">
        <f t="shared" si="14"/>
        <v/>
      </c>
      <c r="F54" s="590" t="str">
        <f>IF($A54&lt;&gt;"",VLOOKUP(VLOOKUP($A54,dist_assets,2,FALSE),'Distributed Assets'!$C$6:$F$22,4,FALSE),"")</f>
        <v/>
      </c>
      <c r="G54" s="1356" t="str">
        <f t="shared" si="15"/>
        <v/>
      </c>
      <c r="H54" s="590" t="str">
        <f t="shared" si="16"/>
        <v/>
      </c>
      <c r="I54" s="590" t="str">
        <f t="shared" si="17"/>
        <v/>
      </c>
      <c r="J54" s="1356" t="str">
        <f t="shared" si="18"/>
        <v/>
      </c>
      <c r="K54" s="1356" t="str">
        <f t="shared" si="19"/>
        <v/>
      </c>
      <c r="L54" s="1356" t="str">
        <f t="shared" si="20"/>
        <v/>
      </c>
      <c r="M54" s="590" t="str">
        <f t="shared" si="21"/>
        <v/>
      </c>
      <c r="N54" s="30"/>
      <c r="O54" s="2073" t="str">
        <f t="array" ref="O54">IF(A54&lt;&gt;"",INDEX('New DB Request'!$A$26:$M$55,SMALL(IF(A54='New DB Request'!$A$26:$A$55,ROW('New DB Request'!$A$26:$A$55)),AE54)-25,4),"")</f>
        <v/>
      </c>
      <c r="P54" s="748"/>
      <c r="Q54" s="30"/>
      <c r="R54" s="2298" t="str">
        <f t="array" ref="R54">IF(A54&lt;&gt;"",INDEX('New DB Request'!$A$26:$M$55,SMALL(IF(A54='New DB Request'!$A$26:$A$55,ROW('New DB Request'!$A$26:$A$55)),AE54)-25,5),"")</f>
        <v/>
      </c>
      <c r="S54" s="2633" t="str">
        <f t="array" ref="S54">IF(A54&lt;&gt;"",INDEX('New DB Request'!$A$26:$M$55,SMALL(IF(A54='New DB Request'!$A$26:$A$55,ROW('New DB Request'!$A$26:$A$55)),AE54)-25,6),"")</f>
        <v/>
      </c>
      <c r="T54" s="2008" t="str">
        <f t="array" ref="T54">IF(A54&lt;&gt;"",INDEX('New DB Request'!$A$26:$M$55,SMALL(IF(A54='New DB Request'!$A$26:$A$55,ROW('New DB Request'!$A$26:$A$55)),AE54)-25,8),"")</f>
        <v/>
      </c>
      <c r="U54" s="30"/>
      <c r="V54" s="1090"/>
      <c r="W54" s="1090"/>
      <c r="X54" s="1090"/>
      <c r="Y54" s="2298" t="str">
        <f t="shared" si="22"/>
        <v/>
      </c>
      <c r="Z54" s="1357"/>
      <c r="AA54" s="2073" t="str">
        <f>IF($A54&lt;&gt;"",
      IF($E54="Windows",VLOOKUP($A54,dist_assets,15,FALSE),
        IF($E54&lt;&gt;"Windows",
               IF($H54="Oracle Standalone 11.2",Oracle_Standalone_fs($S54),
               IF($H54="Oracle HACMP 11.2 - Node 1", Oracle_HACMP_Node_1($S54),
               IF($H54="Oracle HACMP 11.2 - Node 2", Oracle_HACMP_Node_2($S54),
               IF($H54="Oracle-RAC","Oracle RAC requires special config
work with Open Systems",
               IF($AC54="db2_fs",DB2_FS($S54),""))))))),"")</f>
        <v/>
      </c>
      <c r="AB54" s="1358"/>
      <c r="AC54" s="3348" t="str">
        <f t="shared" si="12"/>
        <v/>
      </c>
      <c r="AD54" s="1642" t="str">
        <f t="shared" si="23"/>
        <v/>
      </c>
      <c r="AE54" s="2008" t="str">
        <f>IF(A54&lt;&gt;"",COUNTIF($A$7:A54,A54),"")</f>
        <v/>
      </c>
    </row>
    <row r="55" spans="1:31">
      <c r="A55" s="301" t="str">
        <f t="array" ref="A55">IF('New DB Request'!A74&lt;&gt;"",INDEX(newdbreq_assetlist,MATCH(SMALL(COUNTIF(newdbreq_assetlist,"&lt;="&amp;newdbreq_assetlist),ROWS($A$26:A74)),COUNTIF(newdbreq_assetlist,"&lt;="&amp;newdbreq_assetlist),0)),"")</f>
        <v/>
      </c>
      <c r="B55" s="2298" t="str">
        <f t="shared" si="13"/>
        <v/>
      </c>
      <c r="C55" s="1692" t="str">
        <f>IF($A55&lt;&gt;"",
                         LEFT(VLOOKUP($A55,IP!$A$4:$N$153,11,FALSE),SEARCH(".",VLOOKUP($A55,IP!$A$4:$N$153,11,FALSE))-1),
        "")</f>
        <v/>
      </c>
      <c r="D55" s="1692" t="str">
        <f>IF($A55&lt;&gt;"",VLOOKUP(CONCATENATE($A55&amp;"  (IP01)"),IP!$A$4:$D$153,4,FALSE),"")</f>
        <v/>
      </c>
      <c r="E55" s="1356" t="str">
        <f t="shared" si="14"/>
        <v/>
      </c>
      <c r="F55" s="590" t="str">
        <f>IF($A55&lt;&gt;"",VLOOKUP(VLOOKUP($A55,dist_assets,2,FALSE),'Distributed Assets'!$C$6:$F$22,4,FALSE),"")</f>
        <v/>
      </c>
      <c r="G55" s="1356" t="str">
        <f t="shared" si="15"/>
        <v/>
      </c>
      <c r="H55" s="590" t="str">
        <f t="shared" si="16"/>
        <v/>
      </c>
      <c r="I55" s="590" t="str">
        <f t="shared" si="17"/>
        <v/>
      </c>
      <c r="J55" s="1356" t="str">
        <f t="shared" si="18"/>
        <v/>
      </c>
      <c r="K55" s="1356" t="str">
        <f t="shared" si="19"/>
        <v/>
      </c>
      <c r="L55" s="1356" t="str">
        <f t="shared" si="20"/>
        <v/>
      </c>
      <c r="M55" s="590" t="str">
        <f t="shared" si="21"/>
        <v/>
      </c>
      <c r="N55" s="30"/>
      <c r="O55" s="2073" t="str">
        <f t="array" ref="O55">IF(A55&lt;&gt;"",INDEX('New DB Request'!$A$26:$M$55,SMALL(IF(A55='New DB Request'!$A$26:$A$55,ROW('New DB Request'!$A$26:$A$55)),AE55)-25,4),"")</f>
        <v/>
      </c>
      <c r="P55" s="748"/>
      <c r="Q55" s="30"/>
      <c r="R55" s="2298" t="str">
        <f t="array" ref="R55">IF(A55&lt;&gt;"",INDEX('New DB Request'!$A$26:$M$55,SMALL(IF(A55='New DB Request'!$A$26:$A$55,ROW('New DB Request'!$A$26:$A$55)),AE55)-25,5),"")</f>
        <v/>
      </c>
      <c r="S55" s="2633" t="str">
        <f t="array" ref="S55">IF(A55&lt;&gt;"",INDEX('New DB Request'!$A$26:$M$55,SMALL(IF(A55='New DB Request'!$A$26:$A$55,ROW('New DB Request'!$A$26:$A$55)),AE55)-25,6),"")</f>
        <v/>
      </c>
      <c r="T55" s="2008" t="str">
        <f t="array" ref="T55">IF(A55&lt;&gt;"",INDEX('New DB Request'!$A$26:$M$55,SMALL(IF(A55='New DB Request'!$A$26:$A$55,ROW('New DB Request'!$A$26:$A$55)),AE55)-25,8),"")</f>
        <v/>
      </c>
      <c r="U55" s="30"/>
      <c r="V55" s="1090"/>
      <c r="W55" s="1090"/>
      <c r="X55" s="1090"/>
      <c r="Y55" s="2298" t="str">
        <f t="shared" si="22"/>
        <v/>
      </c>
      <c r="Z55" s="1357"/>
      <c r="AA55" s="2073" t="str">
        <f>IF($A55&lt;&gt;"",
      IF($E55="Windows",VLOOKUP($A55,dist_assets,15,FALSE),
        IF($E55&lt;&gt;"Windows",
               IF($H55="Oracle Standalone 11.2",Oracle_Standalone_fs($S55),
               IF($H55="Oracle HACMP 11.2 - Node 1", Oracle_HACMP_Node_1($S55),
               IF($H55="Oracle HACMP 11.2 - Node 2", Oracle_HACMP_Node_2($S55),
               IF($H55="Oracle-RAC","Oracle RAC requires special config
work with Open Systems",
               IF($AC55="db2_fs",DB2_FS($S55),""))))))),"")</f>
        <v/>
      </c>
      <c r="AB55" s="1358"/>
      <c r="AC55" s="3348" t="str">
        <f t="shared" si="12"/>
        <v/>
      </c>
      <c r="AD55" s="1642" t="str">
        <f t="shared" si="23"/>
        <v/>
      </c>
      <c r="AE55" s="2008" t="str">
        <f>IF(A55&lt;&gt;"",COUNTIF($A$7:A55,A55),"")</f>
        <v/>
      </c>
    </row>
    <row r="56" spans="1:31">
      <c r="A56" s="301" t="str">
        <f t="array" ref="A56">IF('New DB Request'!A75&lt;&gt;"",INDEX(newdbreq_assetlist,MATCH(SMALL(COUNTIF(newdbreq_assetlist,"&lt;="&amp;newdbreq_assetlist),ROWS($A$26:A75)),COUNTIF(newdbreq_assetlist,"&lt;="&amp;newdbreq_assetlist),0)),"")</f>
        <v/>
      </c>
      <c r="B56" s="2298" t="str">
        <f t="shared" si="13"/>
        <v/>
      </c>
      <c r="C56" s="1692" t="str">
        <f>IF($A56&lt;&gt;"",
                         LEFT(VLOOKUP($A56,IP!$A$4:$N$153,11,FALSE),SEARCH(".",VLOOKUP($A56,IP!$A$4:$N$153,11,FALSE))-1),
        "")</f>
        <v/>
      </c>
      <c r="D56" s="1692" t="str">
        <f>IF($A56&lt;&gt;"",VLOOKUP(CONCATENATE($A56&amp;"  (IP01)"),IP!$A$4:$D$153,4,FALSE),"")</f>
        <v/>
      </c>
      <c r="E56" s="1356" t="str">
        <f t="shared" si="14"/>
        <v/>
      </c>
      <c r="F56" s="590" t="str">
        <f>IF($A56&lt;&gt;"",VLOOKUP(VLOOKUP($A56,dist_assets,2,FALSE),'Distributed Assets'!$C$6:$F$22,4,FALSE),"")</f>
        <v/>
      </c>
      <c r="G56" s="1356" t="str">
        <f t="shared" si="15"/>
        <v/>
      </c>
      <c r="H56" s="590" t="str">
        <f t="shared" si="16"/>
        <v/>
      </c>
      <c r="I56" s="590" t="str">
        <f t="shared" si="17"/>
        <v/>
      </c>
      <c r="J56" s="1356" t="str">
        <f t="shared" si="18"/>
        <v/>
      </c>
      <c r="K56" s="1356" t="str">
        <f t="shared" si="19"/>
        <v/>
      </c>
      <c r="L56" s="1356" t="str">
        <f t="shared" si="20"/>
        <v/>
      </c>
      <c r="M56" s="590" t="str">
        <f t="shared" si="21"/>
        <v/>
      </c>
      <c r="N56" s="30"/>
      <c r="O56" s="2073" t="str">
        <f t="array" ref="O56">IF(A56&lt;&gt;"",INDEX('New DB Request'!$A$26:$M$55,SMALL(IF(A56='New DB Request'!$A$26:$A$55,ROW('New DB Request'!$A$26:$A$55)),AE56)-25,4),"")</f>
        <v/>
      </c>
      <c r="P56" s="748"/>
      <c r="Q56" s="30"/>
      <c r="R56" s="2298" t="str">
        <f t="array" ref="R56">IF(A56&lt;&gt;"",INDEX('New DB Request'!$A$26:$M$55,SMALL(IF(A56='New DB Request'!$A$26:$A$55,ROW('New DB Request'!$A$26:$A$55)),AE56)-25,5),"")</f>
        <v/>
      </c>
      <c r="S56" s="2633" t="str">
        <f t="array" ref="S56">IF(A56&lt;&gt;"",INDEX('New DB Request'!$A$26:$M$55,SMALL(IF(A56='New DB Request'!$A$26:$A$55,ROW('New DB Request'!$A$26:$A$55)),AE56)-25,6),"")</f>
        <v/>
      </c>
      <c r="T56" s="2008" t="str">
        <f t="array" ref="T56">IF(A56&lt;&gt;"",INDEX('New DB Request'!$A$26:$M$55,SMALL(IF(A56='New DB Request'!$A$26:$A$55,ROW('New DB Request'!$A$26:$A$55)),AE56)-25,8),"")</f>
        <v/>
      </c>
      <c r="U56" s="30"/>
      <c r="V56" s="1090"/>
      <c r="W56" s="1090"/>
      <c r="X56" s="1090"/>
      <c r="Y56" s="2298" t="str">
        <f t="shared" si="22"/>
        <v/>
      </c>
      <c r="Z56" s="1357"/>
      <c r="AA56" s="2073" t="str">
        <f>IF($A56&lt;&gt;"",
      IF($E56="Windows",VLOOKUP($A56,dist_assets,15,FALSE),
        IF($E56&lt;&gt;"Windows",
               IF($H56="Oracle Standalone 11.2",Oracle_Standalone_fs($S56),
               IF($H56="Oracle HACMP 11.2 - Node 1", Oracle_HACMP_Node_1($S56),
               IF($H56="Oracle HACMP 11.2 - Node 2", Oracle_HACMP_Node_2($S56),
               IF($H56="Oracle-RAC","Oracle RAC requires special config
work with Open Systems",
               IF($AC56="db2_fs",DB2_FS($S56),""))))))),"")</f>
        <v/>
      </c>
      <c r="AB56" s="1358"/>
      <c r="AC56" s="3348" t="str">
        <f t="shared" si="12"/>
        <v/>
      </c>
      <c r="AD56" s="1642" t="str">
        <f t="shared" si="23"/>
        <v/>
      </c>
      <c r="AE56" s="2008" t="str">
        <f>IF(A56&lt;&gt;"",COUNTIF($A$7:A56,A56),"")</f>
        <v/>
      </c>
    </row>
    <row r="57" spans="1:31">
      <c r="A57" s="301" t="str">
        <f t="array" ref="A57">IF('New DB Request'!A76&lt;&gt;"",INDEX(newdbreq_assetlist,MATCH(SMALL(COUNTIF(newdbreq_assetlist,"&lt;="&amp;newdbreq_assetlist),ROWS($A$26:A76)),COUNTIF(newdbreq_assetlist,"&lt;="&amp;newdbreq_assetlist),0)),"")</f>
        <v/>
      </c>
      <c r="B57" s="2298" t="str">
        <f t="shared" si="13"/>
        <v/>
      </c>
      <c r="C57" s="1692" t="str">
        <f>IF($A57&lt;&gt;"",
                         LEFT(VLOOKUP($A57,IP!$A$4:$N$153,11,FALSE),SEARCH(".",VLOOKUP($A57,IP!$A$4:$N$153,11,FALSE))-1),
        "")</f>
        <v/>
      </c>
      <c r="D57" s="1692" t="str">
        <f>IF($A57&lt;&gt;"",VLOOKUP(CONCATENATE($A57&amp;"  (IP01)"),IP!$A$4:$D$153,4,FALSE),"")</f>
        <v/>
      </c>
      <c r="E57" s="1356" t="str">
        <f t="shared" si="14"/>
        <v/>
      </c>
      <c r="F57" s="590" t="str">
        <f>IF($A57&lt;&gt;"",VLOOKUP(VLOOKUP($A57,dist_assets,2,FALSE),'Distributed Assets'!$C$6:$F$22,4,FALSE),"")</f>
        <v/>
      </c>
      <c r="G57" s="1356" t="str">
        <f t="shared" si="15"/>
        <v/>
      </c>
      <c r="H57" s="590" t="str">
        <f t="shared" si="16"/>
        <v/>
      </c>
      <c r="I57" s="590" t="str">
        <f t="shared" si="17"/>
        <v/>
      </c>
      <c r="J57" s="1356" t="str">
        <f t="shared" si="18"/>
        <v/>
      </c>
      <c r="K57" s="1356" t="str">
        <f t="shared" si="19"/>
        <v/>
      </c>
      <c r="L57" s="1356" t="str">
        <f t="shared" si="20"/>
        <v/>
      </c>
      <c r="M57" s="590" t="str">
        <f t="shared" si="21"/>
        <v/>
      </c>
      <c r="N57" s="30"/>
      <c r="O57" s="2073" t="str">
        <f t="array" ref="O57">IF(A57&lt;&gt;"",INDEX('New DB Request'!$A$26:$M$55,SMALL(IF(A57='New DB Request'!$A$26:$A$55,ROW('New DB Request'!$A$26:$A$55)),AE57)-25,4),"")</f>
        <v/>
      </c>
      <c r="P57" s="748"/>
      <c r="Q57" s="30"/>
      <c r="R57" s="2298" t="str">
        <f t="array" ref="R57">IF(A57&lt;&gt;"",INDEX('New DB Request'!$A$26:$M$55,SMALL(IF(A57='New DB Request'!$A$26:$A$55,ROW('New DB Request'!$A$26:$A$55)),AE57)-25,5),"")</f>
        <v/>
      </c>
      <c r="S57" s="2633" t="str">
        <f t="array" ref="S57">IF(A57&lt;&gt;"",INDEX('New DB Request'!$A$26:$M$55,SMALL(IF(A57='New DB Request'!$A$26:$A$55,ROW('New DB Request'!$A$26:$A$55)),AE57)-25,6),"")</f>
        <v/>
      </c>
      <c r="T57" s="2008" t="str">
        <f t="array" ref="T57">IF(A57&lt;&gt;"",INDEX('New DB Request'!$A$26:$M$55,SMALL(IF(A57='New DB Request'!$A$26:$A$55,ROW('New DB Request'!$A$26:$A$55)),AE57)-25,8),"")</f>
        <v/>
      </c>
      <c r="U57" s="30"/>
      <c r="V57" s="1090"/>
      <c r="W57" s="1090"/>
      <c r="X57" s="1090"/>
      <c r="Y57" s="2298" t="str">
        <f t="shared" si="22"/>
        <v/>
      </c>
      <c r="Z57" s="1357"/>
      <c r="AA57" s="2073" t="str">
        <f>IF($A57&lt;&gt;"",
      IF($E57="Windows",VLOOKUP($A57,dist_assets,15,FALSE),
        IF($E57&lt;&gt;"Windows",
               IF($H57="Oracle Standalone 11.2",Oracle_Standalone_fs($S57),
               IF($H57="Oracle HACMP 11.2 - Node 1", Oracle_HACMP_Node_1($S57),
               IF($H57="Oracle HACMP 11.2 - Node 2", Oracle_HACMP_Node_2($S57),
               IF($H57="Oracle-RAC","Oracle RAC requires special config
work with Open Systems",
               IF($AC57="db2_fs",DB2_FS($S57),""))))))),"")</f>
        <v/>
      </c>
      <c r="AB57" s="1358"/>
      <c r="AC57" s="3348" t="str">
        <f t="shared" si="12"/>
        <v/>
      </c>
      <c r="AD57" s="1642" t="str">
        <f t="shared" si="23"/>
        <v/>
      </c>
      <c r="AE57" s="2008" t="str">
        <f>IF(A57&lt;&gt;"",COUNTIF($A$7:A57,A57),"")</f>
        <v/>
      </c>
    </row>
    <row r="58" spans="1:31">
      <c r="A58" s="301" t="str">
        <f t="array" ref="A58">IF('New DB Request'!A77&lt;&gt;"",INDEX(newdbreq_assetlist,MATCH(SMALL(COUNTIF(newdbreq_assetlist,"&lt;="&amp;newdbreq_assetlist),ROWS($A$26:A77)),COUNTIF(newdbreq_assetlist,"&lt;="&amp;newdbreq_assetlist),0)),"")</f>
        <v/>
      </c>
      <c r="B58" s="2298" t="str">
        <f t="shared" si="13"/>
        <v/>
      </c>
      <c r="C58" s="1692" t="str">
        <f>IF($A58&lt;&gt;"",
                         LEFT(VLOOKUP($A58,IP!$A$4:$N$153,11,FALSE),SEARCH(".",VLOOKUP($A58,IP!$A$4:$N$153,11,FALSE))-1),
        "")</f>
        <v/>
      </c>
      <c r="D58" s="1692" t="str">
        <f>IF($A58&lt;&gt;"",VLOOKUP(CONCATENATE($A58&amp;"  (IP01)"),IP!$A$4:$D$153,4,FALSE),"")</f>
        <v/>
      </c>
      <c r="E58" s="1356" t="str">
        <f t="shared" si="14"/>
        <v/>
      </c>
      <c r="F58" s="590" t="str">
        <f>IF($A58&lt;&gt;"",VLOOKUP(VLOOKUP($A58,dist_assets,2,FALSE),'Distributed Assets'!$C$6:$F$22,4,FALSE),"")</f>
        <v/>
      </c>
      <c r="G58" s="1356" t="str">
        <f t="shared" si="15"/>
        <v/>
      </c>
      <c r="H58" s="590" t="str">
        <f t="shared" si="16"/>
        <v/>
      </c>
      <c r="I58" s="590" t="str">
        <f t="shared" si="17"/>
        <v/>
      </c>
      <c r="J58" s="1356" t="str">
        <f t="shared" si="18"/>
        <v/>
      </c>
      <c r="K58" s="1356" t="str">
        <f t="shared" si="19"/>
        <v/>
      </c>
      <c r="L58" s="1356" t="str">
        <f t="shared" si="20"/>
        <v/>
      </c>
      <c r="M58" s="590" t="str">
        <f t="shared" si="21"/>
        <v/>
      </c>
      <c r="N58" s="30"/>
      <c r="O58" s="2073" t="str">
        <f t="array" ref="O58">IF(A58&lt;&gt;"",INDEX('New DB Request'!$A$26:$M$55,SMALL(IF(A58='New DB Request'!$A$26:$A$55,ROW('New DB Request'!$A$26:$A$55)),AE58)-25,4),"")</f>
        <v/>
      </c>
      <c r="P58" s="748"/>
      <c r="Q58" s="30"/>
      <c r="R58" s="2298" t="str">
        <f t="array" ref="R58">IF(A58&lt;&gt;"",INDEX('New DB Request'!$A$26:$M$55,SMALL(IF(A58='New DB Request'!$A$26:$A$55,ROW('New DB Request'!$A$26:$A$55)),AE58)-25,5),"")</f>
        <v/>
      </c>
      <c r="S58" s="2633" t="str">
        <f t="array" ref="S58">IF(A58&lt;&gt;"",INDEX('New DB Request'!$A$26:$M$55,SMALL(IF(A58='New DB Request'!$A$26:$A$55,ROW('New DB Request'!$A$26:$A$55)),AE58)-25,6),"")</f>
        <v/>
      </c>
      <c r="T58" s="2008" t="str">
        <f t="array" ref="T58">IF(A58&lt;&gt;"",INDEX('New DB Request'!$A$26:$M$55,SMALL(IF(A58='New DB Request'!$A$26:$A$55,ROW('New DB Request'!$A$26:$A$55)),AE58)-25,8),"")</f>
        <v/>
      </c>
      <c r="U58" s="30"/>
      <c r="V58" s="1090"/>
      <c r="W58" s="1090"/>
      <c r="X58" s="1090"/>
      <c r="Y58" s="2298" t="str">
        <f t="shared" si="22"/>
        <v/>
      </c>
      <c r="Z58" s="1357"/>
      <c r="AA58" s="2073" t="str">
        <f>IF($A58&lt;&gt;"",
      IF($E58="Windows",VLOOKUP($A58,dist_assets,15,FALSE),
        IF($E58&lt;&gt;"Windows",
               IF($H58="Oracle Standalone 11.2",Oracle_Standalone_fs($S58),
               IF($H58="Oracle HACMP 11.2 - Node 1", Oracle_HACMP_Node_1($S58),
               IF($H58="Oracle HACMP 11.2 - Node 2", Oracle_HACMP_Node_2($S58),
               IF($H58="Oracle-RAC","Oracle RAC requires special config
work with Open Systems",
               IF($AC58="db2_fs",DB2_FS($S58),""))))))),"")</f>
        <v/>
      </c>
      <c r="AB58" s="1358"/>
      <c r="AC58" s="3348" t="str">
        <f t="shared" si="12"/>
        <v/>
      </c>
      <c r="AD58" s="1642" t="str">
        <f t="shared" si="23"/>
        <v/>
      </c>
      <c r="AE58" s="2008" t="str">
        <f>IF(A58&lt;&gt;"",COUNTIF($A$7:A58,A58),"")</f>
        <v/>
      </c>
    </row>
    <row r="59" spans="1:31">
      <c r="A59" s="301" t="str">
        <f t="array" ref="A59">IF('New DB Request'!A78&lt;&gt;"",INDEX(newdbreq_assetlist,MATCH(SMALL(COUNTIF(newdbreq_assetlist,"&lt;="&amp;newdbreq_assetlist),ROWS($A$26:A78)),COUNTIF(newdbreq_assetlist,"&lt;="&amp;newdbreq_assetlist),0)),"")</f>
        <v/>
      </c>
      <c r="B59" s="2298" t="str">
        <f t="shared" si="13"/>
        <v/>
      </c>
      <c r="C59" s="1692" t="str">
        <f>IF($A59&lt;&gt;"",
                         LEFT(VLOOKUP($A59,IP!$A$4:$N$153,11,FALSE),SEARCH(".",VLOOKUP($A59,IP!$A$4:$N$153,11,FALSE))-1),
        "")</f>
        <v/>
      </c>
      <c r="D59" s="1692" t="str">
        <f>IF($A59&lt;&gt;"",VLOOKUP(CONCATENATE($A59&amp;"  (IP01)"),IP!$A$4:$D$153,4,FALSE),"")</f>
        <v/>
      </c>
      <c r="E59" s="1356" t="str">
        <f t="shared" si="14"/>
        <v/>
      </c>
      <c r="F59" s="590" t="str">
        <f>IF($A59&lt;&gt;"",VLOOKUP(VLOOKUP($A59,dist_assets,2,FALSE),'Distributed Assets'!$C$6:$F$22,4,FALSE),"")</f>
        <v/>
      </c>
      <c r="G59" s="1356" t="str">
        <f t="shared" si="15"/>
        <v/>
      </c>
      <c r="H59" s="590" t="str">
        <f t="shared" si="16"/>
        <v/>
      </c>
      <c r="I59" s="590" t="str">
        <f t="shared" si="17"/>
        <v/>
      </c>
      <c r="J59" s="1356" t="str">
        <f t="shared" si="18"/>
        <v/>
      </c>
      <c r="K59" s="1356" t="str">
        <f t="shared" si="19"/>
        <v/>
      </c>
      <c r="L59" s="1356" t="str">
        <f t="shared" si="20"/>
        <v/>
      </c>
      <c r="M59" s="590" t="str">
        <f t="shared" si="21"/>
        <v/>
      </c>
      <c r="N59" s="30"/>
      <c r="O59" s="2073" t="str">
        <f t="array" ref="O59">IF(A59&lt;&gt;"",INDEX('New DB Request'!$A$26:$M$55,SMALL(IF(A59='New DB Request'!$A$26:$A$55,ROW('New DB Request'!$A$26:$A$55)),AE59)-25,4),"")</f>
        <v/>
      </c>
      <c r="P59" s="748"/>
      <c r="Q59" s="30"/>
      <c r="R59" s="2298" t="str">
        <f t="array" ref="R59">IF(A59&lt;&gt;"",INDEX('New DB Request'!$A$26:$M$55,SMALL(IF(A59='New DB Request'!$A$26:$A$55,ROW('New DB Request'!$A$26:$A$55)),AE59)-25,5),"")</f>
        <v/>
      </c>
      <c r="S59" s="2633" t="str">
        <f t="array" ref="S59">IF(A59&lt;&gt;"",INDEX('New DB Request'!$A$26:$M$55,SMALL(IF(A59='New DB Request'!$A$26:$A$55,ROW('New DB Request'!$A$26:$A$55)),AE59)-25,6),"")</f>
        <v/>
      </c>
      <c r="T59" s="2008" t="str">
        <f t="array" ref="T59">IF(A59&lt;&gt;"",INDEX('New DB Request'!$A$26:$M$55,SMALL(IF(A59='New DB Request'!$A$26:$A$55,ROW('New DB Request'!$A$26:$A$55)),AE59)-25,8),"")</f>
        <v/>
      </c>
      <c r="U59" s="30"/>
      <c r="V59" s="1090"/>
      <c r="W59" s="1090"/>
      <c r="X59" s="1090"/>
      <c r="Y59" s="2298" t="str">
        <f t="shared" si="22"/>
        <v/>
      </c>
      <c r="Z59" s="1357"/>
      <c r="AA59" s="2073" t="str">
        <f>IF($A59&lt;&gt;"",
      IF($E59="Windows",VLOOKUP($A59,dist_assets,15,FALSE),
        IF($E59&lt;&gt;"Windows",
               IF($H59="Oracle Standalone 11.2",Oracle_Standalone_fs($S59),
               IF($H59="Oracle HACMP 11.2 - Node 1", Oracle_HACMP_Node_1($S59),
               IF($H59="Oracle HACMP 11.2 - Node 2", Oracle_HACMP_Node_2($S59),
               IF($H59="Oracle-RAC","Oracle RAC requires special config
work with Open Systems",
               IF($AC59="db2_fs",DB2_FS($S59),""))))))),"")</f>
        <v/>
      </c>
      <c r="AB59" s="1358"/>
      <c r="AC59" s="3348" t="str">
        <f t="shared" si="12"/>
        <v/>
      </c>
      <c r="AD59" s="1642" t="str">
        <f t="shared" si="23"/>
        <v/>
      </c>
      <c r="AE59" s="2008" t="str">
        <f>IF(A59&lt;&gt;"",COUNTIF($A$7:A59,A59),"")</f>
        <v/>
      </c>
    </row>
    <row r="60" spans="1:31">
      <c r="A60" s="301" t="str">
        <f t="array" ref="A60">IF('New DB Request'!A79&lt;&gt;"",INDEX(newdbreq_assetlist,MATCH(SMALL(COUNTIF(newdbreq_assetlist,"&lt;="&amp;newdbreq_assetlist),ROWS($A$26:A79)),COUNTIF(newdbreq_assetlist,"&lt;="&amp;newdbreq_assetlist),0)),"")</f>
        <v/>
      </c>
      <c r="B60" s="2298" t="str">
        <f t="shared" si="13"/>
        <v/>
      </c>
      <c r="C60" s="1692" t="str">
        <f>IF($A60&lt;&gt;"",
                         LEFT(VLOOKUP($A60,IP!$A$4:$N$153,11,FALSE),SEARCH(".",VLOOKUP($A60,IP!$A$4:$N$153,11,FALSE))-1),
        "")</f>
        <v/>
      </c>
      <c r="D60" s="1692" t="str">
        <f>IF($A60&lt;&gt;"",VLOOKUP(CONCATENATE($A60&amp;"  (IP01)"),IP!$A$4:$D$153,4,FALSE),"")</f>
        <v/>
      </c>
      <c r="E60" s="1356" t="str">
        <f t="shared" si="14"/>
        <v/>
      </c>
      <c r="F60" s="590" t="str">
        <f>IF($A60&lt;&gt;"",VLOOKUP(VLOOKUP($A60,dist_assets,2,FALSE),'Distributed Assets'!$C$6:$F$22,4,FALSE),"")</f>
        <v/>
      </c>
      <c r="G60" s="1356" t="str">
        <f t="shared" si="15"/>
        <v/>
      </c>
      <c r="H60" s="590" t="str">
        <f t="shared" si="16"/>
        <v/>
      </c>
      <c r="I60" s="590" t="str">
        <f t="shared" si="17"/>
        <v/>
      </c>
      <c r="J60" s="1356" t="str">
        <f t="shared" si="18"/>
        <v/>
      </c>
      <c r="K60" s="1356" t="str">
        <f t="shared" si="19"/>
        <v/>
      </c>
      <c r="L60" s="1356" t="str">
        <f t="shared" si="20"/>
        <v/>
      </c>
      <c r="M60" s="590" t="str">
        <f t="shared" si="21"/>
        <v/>
      </c>
      <c r="N60" s="30"/>
      <c r="O60" s="2073" t="str">
        <f t="array" ref="O60">IF(A60&lt;&gt;"",INDEX('New DB Request'!$A$26:$M$55,SMALL(IF(A60='New DB Request'!$A$26:$A$55,ROW('New DB Request'!$A$26:$A$55)),AE60)-25,4),"")</f>
        <v/>
      </c>
      <c r="P60" s="748"/>
      <c r="Q60" s="30"/>
      <c r="R60" s="2298" t="str">
        <f t="array" ref="R60">IF(A60&lt;&gt;"",INDEX('New DB Request'!$A$26:$M$55,SMALL(IF(A60='New DB Request'!$A$26:$A$55,ROW('New DB Request'!$A$26:$A$55)),AE60)-25,5),"")</f>
        <v/>
      </c>
      <c r="S60" s="2633" t="str">
        <f t="array" ref="S60">IF(A60&lt;&gt;"",INDEX('New DB Request'!$A$26:$M$55,SMALL(IF(A60='New DB Request'!$A$26:$A$55,ROW('New DB Request'!$A$26:$A$55)),AE60)-25,6),"")</f>
        <v/>
      </c>
      <c r="T60" s="2008" t="str">
        <f t="array" ref="T60">IF(A60&lt;&gt;"",INDEX('New DB Request'!$A$26:$M$55,SMALL(IF(A60='New DB Request'!$A$26:$A$55,ROW('New DB Request'!$A$26:$A$55)),AE60)-25,8),"")</f>
        <v/>
      </c>
      <c r="U60" s="30"/>
      <c r="V60" s="1090"/>
      <c r="W60" s="1090"/>
      <c r="X60" s="1090"/>
      <c r="Y60" s="2298" t="str">
        <f t="shared" si="22"/>
        <v/>
      </c>
      <c r="Z60" s="1357"/>
      <c r="AA60" s="2073" t="str">
        <f>IF($A60&lt;&gt;"",
      IF($E60="Windows",VLOOKUP($A60,dist_assets,15,FALSE),
        IF($E60&lt;&gt;"Windows",
               IF($H60="Oracle Standalone 11.2",Oracle_Standalone_fs($S60),
               IF($H60="Oracle HACMP 11.2 - Node 1", Oracle_HACMP_Node_1($S60),
               IF($H60="Oracle HACMP 11.2 - Node 2", Oracle_HACMP_Node_2($S60),
               IF($H60="Oracle-RAC","Oracle RAC requires special config
work with Open Systems",
               IF($AC60="db2_fs",DB2_FS($S60),""))))))),"")</f>
        <v/>
      </c>
      <c r="AB60" s="1358"/>
      <c r="AC60" s="3348" t="str">
        <f t="shared" si="12"/>
        <v/>
      </c>
      <c r="AD60" s="1642" t="str">
        <f t="shared" si="23"/>
        <v/>
      </c>
      <c r="AE60" s="2008" t="str">
        <f>IF(A60&lt;&gt;"",COUNTIF($A$7:A60,A60),"")</f>
        <v/>
      </c>
    </row>
    <row r="61" spans="1:31">
      <c r="A61" s="301" t="str">
        <f t="array" ref="A61">IF('New DB Request'!A80&lt;&gt;"",INDEX(newdbreq_assetlist,MATCH(SMALL(COUNTIF(newdbreq_assetlist,"&lt;="&amp;newdbreq_assetlist),ROWS($A$26:A80)),COUNTIF(newdbreq_assetlist,"&lt;="&amp;newdbreq_assetlist),0)),"")</f>
        <v/>
      </c>
      <c r="B61" s="2298" t="str">
        <f t="shared" si="13"/>
        <v/>
      </c>
      <c r="C61" s="1692" t="str">
        <f>IF($A61&lt;&gt;"",
                         LEFT(VLOOKUP($A61,IP!$A$4:$N$153,11,FALSE),SEARCH(".",VLOOKUP($A61,IP!$A$4:$N$153,11,FALSE))-1),
        "")</f>
        <v/>
      </c>
      <c r="D61" s="1692" t="str">
        <f>IF($A61&lt;&gt;"",VLOOKUP(CONCATENATE($A61&amp;"  (IP01)"),IP!$A$4:$D$153,4,FALSE),"")</f>
        <v/>
      </c>
      <c r="E61" s="1356" t="str">
        <f t="shared" si="14"/>
        <v/>
      </c>
      <c r="F61" s="590" t="str">
        <f>IF($A61&lt;&gt;"",VLOOKUP(VLOOKUP($A61,dist_assets,2,FALSE),'Distributed Assets'!$C$6:$F$22,4,FALSE),"")</f>
        <v/>
      </c>
      <c r="G61" s="1356" t="str">
        <f t="shared" si="15"/>
        <v/>
      </c>
      <c r="H61" s="590" t="str">
        <f t="shared" si="16"/>
        <v/>
      </c>
      <c r="I61" s="590" t="str">
        <f t="shared" si="17"/>
        <v/>
      </c>
      <c r="J61" s="1356" t="str">
        <f t="shared" si="18"/>
        <v/>
      </c>
      <c r="K61" s="1356" t="str">
        <f t="shared" si="19"/>
        <v/>
      </c>
      <c r="L61" s="1356" t="str">
        <f t="shared" si="20"/>
        <v/>
      </c>
      <c r="M61" s="590" t="str">
        <f t="shared" si="21"/>
        <v/>
      </c>
      <c r="N61" s="30"/>
      <c r="O61" s="2073" t="str">
        <f t="array" ref="O61">IF(A61&lt;&gt;"",INDEX('New DB Request'!$A$26:$M$55,SMALL(IF(A61='New DB Request'!$A$26:$A$55,ROW('New DB Request'!$A$26:$A$55)),AE61)-25,4),"")</f>
        <v/>
      </c>
      <c r="P61" s="748"/>
      <c r="Q61" s="30"/>
      <c r="R61" s="2298" t="str">
        <f t="array" ref="R61">IF(A61&lt;&gt;"",INDEX('New DB Request'!$A$26:$M$55,SMALL(IF(A61='New DB Request'!$A$26:$A$55,ROW('New DB Request'!$A$26:$A$55)),AE61)-25,5),"")</f>
        <v/>
      </c>
      <c r="S61" s="2633" t="str">
        <f t="array" ref="S61">IF(A61&lt;&gt;"",INDEX('New DB Request'!$A$26:$M$55,SMALL(IF(A61='New DB Request'!$A$26:$A$55,ROW('New DB Request'!$A$26:$A$55)),AE61)-25,6),"")</f>
        <v/>
      </c>
      <c r="T61" s="2008" t="str">
        <f t="array" ref="T61">IF(A61&lt;&gt;"",INDEX('New DB Request'!$A$26:$M$55,SMALL(IF(A61='New DB Request'!$A$26:$A$55,ROW('New DB Request'!$A$26:$A$55)),AE61)-25,8),"")</f>
        <v/>
      </c>
      <c r="U61" s="30"/>
      <c r="V61" s="1090"/>
      <c r="W61" s="1090"/>
      <c r="X61" s="1090"/>
      <c r="Y61" s="2298" t="str">
        <f t="shared" si="22"/>
        <v/>
      </c>
      <c r="Z61" s="1357"/>
      <c r="AA61" s="2073" t="str">
        <f>IF($A61&lt;&gt;"",
      IF($E61="Windows",VLOOKUP($A61,dist_assets,15,FALSE),
        IF($E61&lt;&gt;"Windows",
               IF($H61="Oracle Standalone 11.2",Oracle_Standalone_fs($S61),
               IF($H61="Oracle HACMP 11.2 - Node 1", Oracle_HACMP_Node_1($S61),
               IF($H61="Oracle HACMP 11.2 - Node 2", Oracle_HACMP_Node_2($S61),
               IF($H61="Oracle-RAC","Oracle RAC requires special config
work with Open Systems",
               IF($AC61="db2_fs",DB2_FS($S61),""))))))),"")</f>
        <v/>
      </c>
      <c r="AB61" s="1358"/>
      <c r="AC61" s="3348" t="str">
        <f t="shared" si="12"/>
        <v/>
      </c>
      <c r="AD61" s="1642" t="str">
        <f t="shared" si="23"/>
        <v/>
      </c>
      <c r="AE61" s="2008" t="str">
        <f>IF(A61&lt;&gt;"",COUNTIF($A$7:A61,A61),"")</f>
        <v/>
      </c>
    </row>
    <row r="62" spans="1:31">
      <c r="A62" s="301" t="str">
        <f t="array" ref="A62">IF('New DB Request'!A81&lt;&gt;"",INDEX(newdbreq_assetlist,MATCH(SMALL(COUNTIF(newdbreq_assetlist,"&lt;="&amp;newdbreq_assetlist),ROWS($A$26:A81)),COUNTIF(newdbreq_assetlist,"&lt;="&amp;newdbreq_assetlist),0)),"")</f>
        <v/>
      </c>
      <c r="B62" s="2298" t="str">
        <f t="shared" si="13"/>
        <v/>
      </c>
      <c r="C62" s="1692" t="str">
        <f>IF($A62&lt;&gt;"",
                         LEFT(VLOOKUP($A62,IP!$A$4:$N$153,11,FALSE),SEARCH(".",VLOOKUP($A62,IP!$A$4:$N$153,11,FALSE))-1),
        "")</f>
        <v/>
      </c>
      <c r="D62" s="1692" t="str">
        <f>IF($A62&lt;&gt;"",VLOOKUP(CONCATENATE($A62&amp;"  (IP01)"),IP!$A$4:$D$153,4,FALSE),"")</f>
        <v/>
      </c>
      <c r="E62" s="1356" t="str">
        <f t="shared" si="14"/>
        <v/>
      </c>
      <c r="F62" s="590" t="str">
        <f>IF($A62&lt;&gt;"",VLOOKUP(VLOOKUP($A62,dist_assets,2,FALSE),'Distributed Assets'!$C$6:$F$22,4,FALSE),"")</f>
        <v/>
      </c>
      <c r="G62" s="1356" t="str">
        <f t="shared" si="15"/>
        <v/>
      </c>
      <c r="H62" s="590" t="str">
        <f t="shared" si="16"/>
        <v/>
      </c>
      <c r="I62" s="590" t="str">
        <f t="shared" si="17"/>
        <v/>
      </c>
      <c r="J62" s="1356" t="str">
        <f t="shared" si="18"/>
        <v/>
      </c>
      <c r="K62" s="1356" t="str">
        <f t="shared" si="19"/>
        <v/>
      </c>
      <c r="L62" s="1356" t="str">
        <f t="shared" si="20"/>
        <v/>
      </c>
      <c r="M62" s="590" t="str">
        <f t="shared" si="21"/>
        <v/>
      </c>
      <c r="N62" s="30"/>
      <c r="O62" s="2073" t="str">
        <f t="array" ref="O62">IF(A62&lt;&gt;"",INDEX('New DB Request'!$A$26:$M$55,SMALL(IF(A62='New DB Request'!$A$26:$A$55,ROW('New DB Request'!$A$26:$A$55)),AE62)-25,4),"")</f>
        <v/>
      </c>
      <c r="P62" s="748"/>
      <c r="Q62" s="30"/>
      <c r="R62" s="2298" t="str">
        <f t="array" ref="R62">IF(A62&lt;&gt;"",INDEX('New DB Request'!$A$26:$M$55,SMALL(IF(A62='New DB Request'!$A$26:$A$55,ROW('New DB Request'!$A$26:$A$55)),AE62)-25,5),"")</f>
        <v/>
      </c>
      <c r="S62" s="2633" t="str">
        <f t="array" ref="S62">IF(A62&lt;&gt;"",INDEX('New DB Request'!$A$26:$M$55,SMALL(IF(A62='New DB Request'!$A$26:$A$55,ROW('New DB Request'!$A$26:$A$55)),AE62)-25,6),"")</f>
        <v/>
      </c>
      <c r="T62" s="2008" t="str">
        <f t="array" ref="T62">IF(A62&lt;&gt;"",INDEX('New DB Request'!$A$26:$M$55,SMALL(IF(A62='New DB Request'!$A$26:$A$55,ROW('New DB Request'!$A$26:$A$55)),AE62)-25,8),"")</f>
        <v/>
      </c>
      <c r="U62" s="30"/>
      <c r="V62" s="1090"/>
      <c r="W62" s="1090"/>
      <c r="X62" s="1090"/>
      <c r="Y62" s="2298" t="str">
        <f t="shared" si="22"/>
        <v/>
      </c>
      <c r="Z62" s="1357"/>
      <c r="AA62" s="2073" t="str">
        <f>IF($A62&lt;&gt;"",
      IF($E62="Windows",VLOOKUP($A62,dist_assets,15,FALSE),
        IF($E62&lt;&gt;"Windows",
               IF($H62="Oracle Standalone 11.2",Oracle_Standalone_fs($S62),
               IF($H62="Oracle HACMP 11.2 - Node 1", Oracle_HACMP_Node_1($S62),
               IF($H62="Oracle HACMP 11.2 - Node 2", Oracle_HACMP_Node_2($S62),
               IF($H62="Oracle-RAC","Oracle RAC requires special config
work with Open Systems",
               IF($AC62="db2_fs",DB2_FS($S62),""))))))),"")</f>
        <v/>
      </c>
      <c r="AB62" s="1358"/>
      <c r="AC62" s="3348" t="str">
        <f t="shared" si="12"/>
        <v/>
      </c>
      <c r="AD62" s="1642" t="str">
        <f t="shared" si="23"/>
        <v/>
      </c>
      <c r="AE62" s="2008" t="str">
        <f>IF(A62&lt;&gt;"",COUNTIF($A$7:A62,A62),"")</f>
        <v/>
      </c>
    </row>
    <row r="63" spans="1:31">
      <c r="A63" s="301" t="str">
        <f t="array" ref="A63">IF('New DB Request'!A82&lt;&gt;"",INDEX(newdbreq_assetlist,MATCH(SMALL(COUNTIF(newdbreq_assetlist,"&lt;="&amp;newdbreq_assetlist),ROWS($A$26:A82)),COUNTIF(newdbreq_assetlist,"&lt;="&amp;newdbreq_assetlist),0)),"")</f>
        <v/>
      </c>
      <c r="B63" s="2298" t="str">
        <f t="shared" si="13"/>
        <v/>
      </c>
      <c r="C63" s="1692" t="str">
        <f>IF($A63&lt;&gt;"",
                         LEFT(VLOOKUP($A63,IP!$A$4:$N$153,11,FALSE),SEARCH(".",VLOOKUP($A63,IP!$A$4:$N$153,11,FALSE))-1),
        "")</f>
        <v/>
      </c>
      <c r="D63" s="1692" t="str">
        <f>IF($A63&lt;&gt;"",VLOOKUP(CONCATENATE($A63&amp;"  (IP01)"),IP!$A$4:$D$153,4,FALSE),"")</f>
        <v/>
      </c>
      <c r="E63" s="1356" t="str">
        <f t="shared" si="14"/>
        <v/>
      </c>
      <c r="F63" s="590" t="str">
        <f>IF($A63&lt;&gt;"",VLOOKUP(VLOOKUP($A63,dist_assets,2,FALSE),'Distributed Assets'!$C$6:$F$22,4,FALSE),"")</f>
        <v/>
      </c>
      <c r="G63" s="1356" t="str">
        <f t="shared" si="15"/>
        <v/>
      </c>
      <c r="H63" s="590" t="str">
        <f t="shared" si="16"/>
        <v/>
      </c>
      <c r="I63" s="590" t="str">
        <f t="shared" si="17"/>
        <v/>
      </c>
      <c r="J63" s="1356" t="str">
        <f t="shared" si="18"/>
        <v/>
      </c>
      <c r="K63" s="1356" t="str">
        <f t="shared" si="19"/>
        <v/>
      </c>
      <c r="L63" s="1356" t="str">
        <f t="shared" si="20"/>
        <v/>
      </c>
      <c r="M63" s="590" t="str">
        <f t="shared" si="21"/>
        <v/>
      </c>
      <c r="N63" s="30"/>
      <c r="O63" s="2073" t="str">
        <f t="array" ref="O63">IF(A63&lt;&gt;"",INDEX('New DB Request'!$A$26:$M$55,SMALL(IF(A63='New DB Request'!$A$26:$A$55,ROW('New DB Request'!$A$26:$A$55)),AE63)-25,4),"")</f>
        <v/>
      </c>
      <c r="P63" s="748"/>
      <c r="Q63" s="30"/>
      <c r="R63" s="2298" t="str">
        <f t="array" ref="R63">IF(A63&lt;&gt;"",INDEX('New DB Request'!$A$26:$M$55,SMALL(IF(A63='New DB Request'!$A$26:$A$55,ROW('New DB Request'!$A$26:$A$55)),AE63)-25,5),"")</f>
        <v/>
      </c>
      <c r="S63" s="2633" t="str">
        <f t="array" ref="S63">IF(A63&lt;&gt;"",INDEX('New DB Request'!$A$26:$M$55,SMALL(IF(A63='New DB Request'!$A$26:$A$55,ROW('New DB Request'!$A$26:$A$55)),AE63)-25,6),"")</f>
        <v/>
      </c>
      <c r="T63" s="2008" t="str">
        <f t="array" ref="T63">IF(A63&lt;&gt;"",INDEX('New DB Request'!$A$26:$M$55,SMALL(IF(A63='New DB Request'!$A$26:$A$55,ROW('New DB Request'!$A$26:$A$55)),AE63)-25,8),"")</f>
        <v/>
      </c>
      <c r="U63" s="30"/>
      <c r="V63" s="1090"/>
      <c r="W63" s="1090"/>
      <c r="X63" s="1090"/>
      <c r="Y63" s="2298" t="str">
        <f t="shared" si="22"/>
        <v/>
      </c>
      <c r="Z63" s="1357"/>
      <c r="AA63" s="2073" t="str">
        <f>IF($A63&lt;&gt;"",
      IF($E63="Windows",VLOOKUP($A63,dist_assets,15,FALSE),
        IF($E63&lt;&gt;"Windows",
               IF($H63="Oracle Standalone 11.2",Oracle_Standalone_fs($S63),
               IF($H63="Oracle HACMP 11.2 - Node 1", Oracle_HACMP_Node_1($S63),
               IF($H63="Oracle HACMP 11.2 - Node 2", Oracle_HACMP_Node_2($S63),
               IF($H63="Oracle-RAC","Oracle RAC requires special config
work with Open Systems",
               IF($AC63="db2_fs",DB2_FS($S63),""))))))),"")</f>
        <v/>
      </c>
      <c r="AB63" s="1358"/>
      <c r="AC63" s="3348" t="str">
        <f t="shared" si="12"/>
        <v/>
      </c>
      <c r="AD63" s="1642" t="str">
        <f t="shared" si="23"/>
        <v/>
      </c>
      <c r="AE63" s="2008" t="str">
        <f>IF(A63&lt;&gt;"",COUNTIF($A$7:A63,A63),"")</f>
        <v/>
      </c>
    </row>
    <row r="64" spans="1:31">
      <c r="A64" s="301" t="str">
        <f t="array" ref="A64">IF('New DB Request'!A83&lt;&gt;"",INDEX(newdbreq_assetlist,MATCH(SMALL(COUNTIF(newdbreq_assetlist,"&lt;="&amp;newdbreq_assetlist),ROWS($A$26:A83)),COUNTIF(newdbreq_assetlist,"&lt;="&amp;newdbreq_assetlist),0)),"")</f>
        <v/>
      </c>
      <c r="B64" s="2298" t="str">
        <f t="shared" si="13"/>
        <v/>
      </c>
      <c r="C64" s="1692" t="str">
        <f>IF($A64&lt;&gt;"",
                         LEFT(VLOOKUP($A64,IP!$A$4:$N$153,11,FALSE),SEARCH(".",VLOOKUP($A64,IP!$A$4:$N$153,11,FALSE))-1),
        "")</f>
        <v/>
      </c>
      <c r="D64" s="1692" t="str">
        <f>IF($A64&lt;&gt;"",VLOOKUP(CONCATENATE($A64&amp;"  (IP01)"),IP!$A$4:$D$153,4,FALSE),"")</f>
        <v/>
      </c>
      <c r="E64" s="1356" t="str">
        <f t="shared" si="14"/>
        <v/>
      </c>
      <c r="F64" s="590" t="str">
        <f>IF($A64&lt;&gt;"",VLOOKUP(VLOOKUP($A64,dist_assets,2,FALSE),'Distributed Assets'!$C$6:$F$22,4,FALSE),"")</f>
        <v/>
      </c>
      <c r="G64" s="1356" t="str">
        <f t="shared" si="15"/>
        <v/>
      </c>
      <c r="H64" s="590" t="str">
        <f t="shared" si="16"/>
        <v/>
      </c>
      <c r="I64" s="590" t="str">
        <f t="shared" si="17"/>
        <v/>
      </c>
      <c r="J64" s="1356" t="str">
        <f t="shared" si="18"/>
        <v/>
      </c>
      <c r="K64" s="1356" t="str">
        <f t="shared" si="19"/>
        <v/>
      </c>
      <c r="L64" s="1356" t="str">
        <f t="shared" si="20"/>
        <v/>
      </c>
      <c r="M64" s="590" t="str">
        <f t="shared" si="21"/>
        <v/>
      </c>
      <c r="N64" s="30"/>
      <c r="O64" s="2073" t="str">
        <f t="array" ref="O64">IF(A64&lt;&gt;"",INDEX('New DB Request'!$A$26:$M$55,SMALL(IF(A64='New DB Request'!$A$26:$A$55,ROW('New DB Request'!$A$26:$A$55)),AE64)-25,4),"")</f>
        <v/>
      </c>
      <c r="P64" s="748"/>
      <c r="Q64" s="30"/>
      <c r="R64" s="2298" t="str">
        <f t="array" ref="R64">IF(A64&lt;&gt;"",INDEX('New DB Request'!$A$26:$M$55,SMALL(IF(A64='New DB Request'!$A$26:$A$55,ROW('New DB Request'!$A$26:$A$55)),AE64)-25,5),"")</f>
        <v/>
      </c>
      <c r="S64" s="2633" t="str">
        <f t="array" ref="S64">IF(A64&lt;&gt;"",INDEX('New DB Request'!$A$26:$M$55,SMALL(IF(A64='New DB Request'!$A$26:$A$55,ROW('New DB Request'!$A$26:$A$55)),AE64)-25,6),"")</f>
        <v/>
      </c>
      <c r="T64" s="2008" t="str">
        <f t="array" ref="T64">IF(A64&lt;&gt;"",INDEX('New DB Request'!$A$26:$M$55,SMALL(IF(A64='New DB Request'!$A$26:$A$55,ROW('New DB Request'!$A$26:$A$55)),AE64)-25,8),"")</f>
        <v/>
      </c>
      <c r="U64" s="30"/>
      <c r="V64" s="1090"/>
      <c r="W64" s="1090"/>
      <c r="X64" s="1090"/>
      <c r="Y64" s="2298" t="str">
        <f t="shared" si="22"/>
        <v/>
      </c>
      <c r="Z64" s="1357"/>
      <c r="AA64" s="2073" t="str">
        <f>IF($A64&lt;&gt;"",
      IF($E64="Windows",VLOOKUP($A64,dist_assets,15,FALSE),
        IF($E64&lt;&gt;"Windows",
               IF($H64="Oracle Standalone 11.2",Oracle_Standalone_fs($S64),
               IF($H64="Oracle HACMP 11.2 - Node 1", Oracle_HACMP_Node_1($S64),
               IF($H64="Oracle HACMP 11.2 - Node 2", Oracle_HACMP_Node_2($S64),
               IF($H64="Oracle-RAC","Oracle RAC requires special config
work with Open Systems",
               IF($AC64="db2_fs",DB2_FS($S64),""))))))),"")</f>
        <v/>
      </c>
      <c r="AB64" s="1358"/>
      <c r="AC64" s="3348" t="str">
        <f t="shared" si="12"/>
        <v/>
      </c>
      <c r="AD64" s="1642" t="str">
        <f t="shared" si="23"/>
        <v/>
      </c>
      <c r="AE64" s="2008" t="str">
        <f>IF(A64&lt;&gt;"",COUNTIF($A$7:A64,A64),"")</f>
        <v/>
      </c>
    </row>
    <row r="65" spans="1:31">
      <c r="A65" s="301" t="str">
        <f t="array" ref="A65">IF('New DB Request'!A84&lt;&gt;"",INDEX(newdbreq_assetlist,MATCH(SMALL(COUNTIF(newdbreq_assetlist,"&lt;="&amp;newdbreq_assetlist),ROWS($A$26:A84)),COUNTIF(newdbreq_assetlist,"&lt;="&amp;newdbreq_assetlist),0)),"")</f>
        <v/>
      </c>
      <c r="B65" s="2298" t="str">
        <f t="shared" si="13"/>
        <v/>
      </c>
      <c r="C65" s="1692" t="str">
        <f>IF($A65&lt;&gt;"",
                         LEFT(VLOOKUP($A65,IP!$A$4:$N$153,11,FALSE),SEARCH(".",VLOOKUP($A65,IP!$A$4:$N$153,11,FALSE))-1),
        "")</f>
        <v/>
      </c>
      <c r="D65" s="1692" t="str">
        <f>IF($A65&lt;&gt;"",VLOOKUP(CONCATENATE($A65&amp;"  (IP01)"),IP!$A$4:$D$153,4,FALSE),"")</f>
        <v/>
      </c>
      <c r="E65" s="1356" t="str">
        <f t="shared" si="14"/>
        <v/>
      </c>
      <c r="F65" s="590" t="str">
        <f>IF($A65&lt;&gt;"",VLOOKUP(VLOOKUP($A65,dist_assets,2,FALSE),'Distributed Assets'!$C$6:$F$22,4,FALSE),"")</f>
        <v/>
      </c>
      <c r="G65" s="1356" t="str">
        <f t="shared" si="15"/>
        <v/>
      </c>
      <c r="H65" s="590" t="str">
        <f t="shared" si="16"/>
        <v/>
      </c>
      <c r="I65" s="590" t="str">
        <f t="shared" si="17"/>
        <v/>
      </c>
      <c r="J65" s="1356" t="str">
        <f t="shared" si="18"/>
        <v/>
      </c>
      <c r="K65" s="1356" t="str">
        <f t="shared" si="19"/>
        <v/>
      </c>
      <c r="L65" s="1356" t="str">
        <f t="shared" si="20"/>
        <v/>
      </c>
      <c r="M65" s="590" t="str">
        <f t="shared" si="21"/>
        <v/>
      </c>
      <c r="N65" s="30"/>
      <c r="O65" s="2073" t="str">
        <f t="array" ref="O65">IF(A65&lt;&gt;"",INDEX('New DB Request'!$A$26:$M$55,SMALL(IF(A65='New DB Request'!$A$26:$A$55,ROW('New DB Request'!$A$26:$A$55)),AE65)-25,4),"")</f>
        <v/>
      </c>
      <c r="P65" s="748"/>
      <c r="Q65" s="30"/>
      <c r="R65" s="2298" t="str">
        <f t="array" ref="R65">IF(A65&lt;&gt;"",INDEX('New DB Request'!$A$26:$M$55,SMALL(IF(A65='New DB Request'!$A$26:$A$55,ROW('New DB Request'!$A$26:$A$55)),AE65)-25,5),"")</f>
        <v/>
      </c>
      <c r="S65" s="2633" t="str">
        <f t="array" ref="S65">IF(A65&lt;&gt;"",INDEX('New DB Request'!$A$26:$M$55,SMALL(IF(A65='New DB Request'!$A$26:$A$55,ROW('New DB Request'!$A$26:$A$55)),AE65)-25,6),"")</f>
        <v/>
      </c>
      <c r="T65" s="2008" t="str">
        <f t="array" ref="T65">IF(A65&lt;&gt;"",INDEX('New DB Request'!$A$26:$M$55,SMALL(IF(A65='New DB Request'!$A$26:$A$55,ROW('New DB Request'!$A$26:$A$55)),AE65)-25,8),"")</f>
        <v/>
      </c>
      <c r="U65" s="30"/>
      <c r="V65" s="1090"/>
      <c r="W65" s="1090"/>
      <c r="X65" s="1090"/>
      <c r="Y65" s="2298" t="str">
        <f t="shared" si="22"/>
        <v/>
      </c>
      <c r="Z65" s="1357"/>
      <c r="AA65" s="2073" t="str">
        <f>IF($A65&lt;&gt;"",
      IF($E65="Windows",VLOOKUP($A65,dist_assets,15,FALSE),
        IF($E65&lt;&gt;"Windows",
               IF($H65="Oracle Standalone 11.2",Oracle_Standalone_fs($S65),
               IF($H65="Oracle HACMP 11.2 - Node 1", Oracle_HACMP_Node_1($S65),
               IF($H65="Oracle HACMP 11.2 - Node 2", Oracle_HACMP_Node_2($S65),
               IF($H65="Oracle-RAC","Oracle RAC requires special config
work with Open Systems",
               IF($AC65="db2_fs",DB2_FS($S65),""))))))),"")</f>
        <v/>
      </c>
      <c r="AB65" s="1358"/>
      <c r="AC65" s="3348" t="str">
        <f t="shared" si="12"/>
        <v/>
      </c>
      <c r="AD65" s="1642" t="str">
        <f t="shared" si="23"/>
        <v/>
      </c>
      <c r="AE65" s="2008" t="str">
        <f>IF(A65&lt;&gt;"",COUNTIF($A$7:A65,A65),"")</f>
        <v/>
      </c>
    </row>
    <row r="66" spans="1:31">
      <c r="A66" s="301" t="str">
        <f t="array" ref="A66">IF('New DB Request'!A85&lt;&gt;"",INDEX(newdbreq_assetlist,MATCH(SMALL(COUNTIF(newdbreq_assetlist,"&lt;="&amp;newdbreq_assetlist),ROWS($A$26:A85)),COUNTIF(newdbreq_assetlist,"&lt;="&amp;newdbreq_assetlist),0)),"")</f>
        <v/>
      </c>
      <c r="B66" s="2298" t="str">
        <f t="shared" si="13"/>
        <v/>
      </c>
      <c r="C66" s="1692" t="str">
        <f>IF($A66&lt;&gt;"",
                         LEFT(VLOOKUP($A66,IP!$A$4:$N$153,11,FALSE),SEARCH(".",VLOOKUP($A66,IP!$A$4:$N$153,11,FALSE))-1),
        "")</f>
        <v/>
      </c>
      <c r="D66" s="1692" t="str">
        <f>IF($A66&lt;&gt;"",VLOOKUP(CONCATENATE($A66&amp;"  (IP01)"),IP!$A$4:$D$153,4,FALSE),"")</f>
        <v/>
      </c>
      <c r="E66" s="1356" t="str">
        <f t="shared" si="14"/>
        <v/>
      </c>
      <c r="F66" s="590" t="str">
        <f>IF($A66&lt;&gt;"",VLOOKUP(VLOOKUP($A66,dist_assets,2,FALSE),'Distributed Assets'!$C$6:$F$22,4,FALSE),"")</f>
        <v/>
      </c>
      <c r="G66" s="1356" t="str">
        <f t="shared" si="15"/>
        <v/>
      </c>
      <c r="H66" s="590" t="str">
        <f t="shared" si="16"/>
        <v/>
      </c>
      <c r="I66" s="590" t="str">
        <f t="shared" si="17"/>
        <v/>
      </c>
      <c r="J66" s="1356" t="str">
        <f t="shared" si="18"/>
        <v/>
      </c>
      <c r="K66" s="1356" t="str">
        <f t="shared" si="19"/>
        <v/>
      </c>
      <c r="L66" s="1356" t="str">
        <f t="shared" si="20"/>
        <v/>
      </c>
      <c r="M66" s="590" t="str">
        <f t="shared" si="21"/>
        <v/>
      </c>
      <c r="N66" s="30"/>
      <c r="O66" s="2073" t="str">
        <f t="array" ref="O66">IF(A66&lt;&gt;"",INDEX('New DB Request'!$A$26:$M$55,SMALL(IF(A66='New DB Request'!$A$26:$A$55,ROW('New DB Request'!$A$26:$A$55)),AE66)-25,4),"")</f>
        <v/>
      </c>
      <c r="P66" s="748"/>
      <c r="Q66" s="30"/>
      <c r="R66" s="2298" t="str">
        <f t="array" ref="R66">IF(A66&lt;&gt;"",INDEX('New DB Request'!$A$26:$M$55,SMALL(IF(A66='New DB Request'!$A$26:$A$55,ROW('New DB Request'!$A$26:$A$55)),AE66)-25,5),"")</f>
        <v/>
      </c>
      <c r="S66" s="2633" t="str">
        <f t="array" ref="S66">IF(A66&lt;&gt;"",INDEX('New DB Request'!$A$26:$M$55,SMALL(IF(A66='New DB Request'!$A$26:$A$55,ROW('New DB Request'!$A$26:$A$55)),AE66)-25,6),"")</f>
        <v/>
      </c>
      <c r="T66" s="2008" t="str">
        <f t="array" ref="T66">IF(A66&lt;&gt;"",INDEX('New DB Request'!$A$26:$M$55,SMALL(IF(A66='New DB Request'!$A$26:$A$55,ROW('New DB Request'!$A$26:$A$55)),AE66)-25,8),"")</f>
        <v/>
      </c>
      <c r="U66" s="30"/>
      <c r="V66" s="1090"/>
      <c r="W66" s="1090"/>
      <c r="X66" s="1090"/>
      <c r="Y66" s="2298" t="str">
        <f t="shared" si="22"/>
        <v/>
      </c>
      <c r="Z66" s="1357"/>
      <c r="AA66" s="2073" t="str">
        <f>IF($A66&lt;&gt;"",
      IF($E66="Windows",VLOOKUP($A66,dist_assets,15,FALSE),
        IF($E66&lt;&gt;"Windows",
               IF($H66="Oracle Standalone 11.2",Oracle_Standalone_fs($S66),
               IF($H66="Oracle HACMP 11.2 - Node 1", Oracle_HACMP_Node_1($S66),
               IF($H66="Oracle HACMP 11.2 - Node 2", Oracle_HACMP_Node_2($S66),
               IF($H66="Oracle-RAC","Oracle RAC requires special config
work with Open Systems",
               IF($AC66="db2_fs",DB2_FS($S66),""))))))),"")</f>
        <v/>
      </c>
      <c r="AB66" s="1358"/>
      <c r="AC66" s="3348" t="str">
        <f t="shared" si="12"/>
        <v/>
      </c>
      <c r="AD66" s="1642" t="str">
        <f t="shared" si="23"/>
        <v/>
      </c>
      <c r="AE66" s="2008" t="str">
        <f>IF(A66&lt;&gt;"",COUNTIF($A$7:A66,A66),"")</f>
        <v/>
      </c>
    </row>
    <row r="67" spans="1:31">
      <c r="A67" s="301" t="str">
        <f t="array" ref="A67">IF('New DB Request'!A86&lt;&gt;"",INDEX(newdbreq_assetlist,MATCH(SMALL(COUNTIF(newdbreq_assetlist,"&lt;="&amp;newdbreq_assetlist),ROWS($A$26:A86)),COUNTIF(newdbreq_assetlist,"&lt;="&amp;newdbreq_assetlist),0)),"")</f>
        <v/>
      </c>
      <c r="B67" s="2298" t="str">
        <f t="shared" si="13"/>
        <v/>
      </c>
      <c r="C67" s="1692" t="str">
        <f>IF($A67&lt;&gt;"",
                         LEFT(VLOOKUP($A67,IP!$A$4:$N$153,11,FALSE),SEARCH(".",VLOOKUP($A67,IP!$A$4:$N$153,11,FALSE))-1),
        "")</f>
        <v/>
      </c>
      <c r="D67" s="1692" t="str">
        <f>IF($A67&lt;&gt;"",VLOOKUP(CONCATENATE($A67&amp;"  (IP01)"),IP!$A$4:$D$153,4,FALSE),"")</f>
        <v/>
      </c>
      <c r="E67" s="1356" t="str">
        <f t="shared" si="14"/>
        <v/>
      </c>
      <c r="F67" s="590" t="str">
        <f>IF($A67&lt;&gt;"",VLOOKUP(VLOOKUP($A67,dist_assets,2,FALSE),'Distributed Assets'!$C$6:$F$22,4,FALSE),"")</f>
        <v/>
      </c>
      <c r="G67" s="1356" t="str">
        <f t="shared" si="15"/>
        <v/>
      </c>
      <c r="H67" s="590" t="str">
        <f t="shared" si="16"/>
        <v/>
      </c>
      <c r="I67" s="590" t="str">
        <f t="shared" si="17"/>
        <v/>
      </c>
      <c r="J67" s="1356" t="str">
        <f t="shared" si="18"/>
        <v/>
      </c>
      <c r="K67" s="1356" t="str">
        <f t="shared" si="19"/>
        <v/>
      </c>
      <c r="L67" s="1356" t="str">
        <f t="shared" si="20"/>
        <v/>
      </c>
      <c r="M67" s="590" t="str">
        <f t="shared" si="21"/>
        <v/>
      </c>
      <c r="N67" s="30"/>
      <c r="O67" s="2073" t="str">
        <f t="array" ref="O67">IF(A67&lt;&gt;"",INDEX('New DB Request'!$A$26:$M$55,SMALL(IF(A67='New DB Request'!$A$26:$A$55,ROW('New DB Request'!$A$26:$A$55)),AE67)-25,4),"")</f>
        <v/>
      </c>
      <c r="P67" s="748"/>
      <c r="Q67" s="30"/>
      <c r="R67" s="2298" t="str">
        <f t="array" ref="R67">IF(A67&lt;&gt;"",INDEX('New DB Request'!$A$26:$M$55,SMALL(IF(A67='New DB Request'!$A$26:$A$55,ROW('New DB Request'!$A$26:$A$55)),AE67)-25,5),"")</f>
        <v/>
      </c>
      <c r="S67" s="2633" t="str">
        <f t="array" ref="S67">IF(A67&lt;&gt;"",INDEX('New DB Request'!$A$26:$M$55,SMALL(IF(A67='New DB Request'!$A$26:$A$55,ROW('New DB Request'!$A$26:$A$55)),AE67)-25,6),"")</f>
        <v/>
      </c>
      <c r="T67" s="2008" t="str">
        <f t="array" ref="T67">IF(A67&lt;&gt;"",INDEX('New DB Request'!$A$26:$M$55,SMALL(IF(A67='New DB Request'!$A$26:$A$55,ROW('New DB Request'!$A$26:$A$55)),AE67)-25,8),"")</f>
        <v/>
      </c>
      <c r="U67" s="30"/>
      <c r="V67" s="1090"/>
      <c r="W67" s="1090"/>
      <c r="X67" s="1090"/>
      <c r="Y67" s="2298" t="str">
        <f t="shared" si="22"/>
        <v/>
      </c>
      <c r="Z67" s="1357"/>
      <c r="AA67" s="2073" t="str">
        <f>IF($A67&lt;&gt;"",
      IF($E67="Windows",VLOOKUP($A67,dist_assets,15,FALSE),
        IF($E67&lt;&gt;"Windows",
               IF($H67="Oracle Standalone 11.2",Oracle_Standalone_fs($S67),
               IF($H67="Oracle HACMP 11.2 - Node 1", Oracle_HACMP_Node_1($S67),
               IF($H67="Oracle HACMP 11.2 - Node 2", Oracle_HACMP_Node_2($S67),
               IF($H67="Oracle-RAC","Oracle RAC requires special config
work with Open Systems",
               IF($AC67="db2_fs",DB2_FS($S67),""))))))),"")</f>
        <v/>
      </c>
      <c r="AB67" s="1358"/>
      <c r="AC67" s="3348" t="str">
        <f t="shared" si="12"/>
        <v/>
      </c>
      <c r="AD67" s="1642" t="str">
        <f t="shared" si="23"/>
        <v/>
      </c>
      <c r="AE67" s="2008" t="str">
        <f>IF(A67&lt;&gt;"",COUNTIF($A$7:A67,A67),"")</f>
        <v/>
      </c>
    </row>
    <row r="68" spans="1:31">
      <c r="A68" s="301" t="str">
        <f t="array" ref="A68">IF('New DB Request'!A87&lt;&gt;"",INDEX(newdbreq_assetlist,MATCH(SMALL(COUNTIF(newdbreq_assetlist,"&lt;="&amp;newdbreq_assetlist),ROWS($A$26:A87)),COUNTIF(newdbreq_assetlist,"&lt;="&amp;newdbreq_assetlist),0)),"")</f>
        <v/>
      </c>
      <c r="B68" s="2298" t="str">
        <f t="shared" si="13"/>
        <v/>
      </c>
      <c r="C68" s="1692" t="str">
        <f>IF($A68&lt;&gt;"",
                         LEFT(VLOOKUP($A68,IP!$A$4:$N$153,11,FALSE),SEARCH(".",VLOOKUP($A68,IP!$A$4:$N$153,11,FALSE))-1),
        "")</f>
        <v/>
      </c>
      <c r="D68" s="1692" t="str">
        <f>IF($A68&lt;&gt;"",VLOOKUP(CONCATENATE($A68&amp;"  (IP01)"),IP!$A$4:$D$153,4,FALSE),"")</f>
        <v/>
      </c>
      <c r="E68" s="1356" t="str">
        <f t="shared" si="14"/>
        <v/>
      </c>
      <c r="F68" s="590" t="str">
        <f>IF($A68&lt;&gt;"",VLOOKUP(VLOOKUP($A68,dist_assets,2,FALSE),'Distributed Assets'!$C$6:$F$22,4,FALSE),"")</f>
        <v/>
      </c>
      <c r="G68" s="1356" t="str">
        <f t="shared" si="15"/>
        <v/>
      </c>
      <c r="H68" s="590" t="str">
        <f t="shared" si="16"/>
        <v/>
      </c>
      <c r="I68" s="590" t="str">
        <f t="shared" si="17"/>
        <v/>
      </c>
      <c r="J68" s="1356" t="str">
        <f t="shared" si="18"/>
        <v/>
      </c>
      <c r="K68" s="1356" t="str">
        <f t="shared" si="19"/>
        <v/>
      </c>
      <c r="L68" s="1356" t="str">
        <f t="shared" si="20"/>
        <v/>
      </c>
      <c r="M68" s="590" t="str">
        <f t="shared" si="21"/>
        <v/>
      </c>
      <c r="N68" s="30"/>
      <c r="O68" s="2073" t="str">
        <f t="array" ref="O68">IF(A68&lt;&gt;"",INDEX('New DB Request'!$A$26:$M$55,SMALL(IF(A68='New DB Request'!$A$26:$A$55,ROW('New DB Request'!$A$26:$A$55)),AE68)-25,4),"")</f>
        <v/>
      </c>
      <c r="P68" s="748"/>
      <c r="Q68" s="30"/>
      <c r="R68" s="2298" t="str">
        <f t="array" ref="R68">IF(A68&lt;&gt;"",INDEX('New DB Request'!$A$26:$M$55,SMALL(IF(A68='New DB Request'!$A$26:$A$55,ROW('New DB Request'!$A$26:$A$55)),AE68)-25,5),"")</f>
        <v/>
      </c>
      <c r="S68" s="2633" t="str">
        <f t="array" ref="S68">IF(A68&lt;&gt;"",INDEX('New DB Request'!$A$26:$M$55,SMALL(IF(A68='New DB Request'!$A$26:$A$55,ROW('New DB Request'!$A$26:$A$55)),AE68)-25,6),"")</f>
        <v/>
      </c>
      <c r="T68" s="2008" t="str">
        <f t="array" ref="T68">IF(A68&lt;&gt;"",INDEX('New DB Request'!$A$26:$M$55,SMALL(IF(A68='New DB Request'!$A$26:$A$55,ROW('New DB Request'!$A$26:$A$55)),AE68)-25,8),"")</f>
        <v/>
      </c>
      <c r="U68" s="30"/>
      <c r="V68" s="1090"/>
      <c r="W68" s="1090"/>
      <c r="X68" s="1090"/>
      <c r="Y68" s="2298" t="str">
        <f t="shared" si="22"/>
        <v/>
      </c>
      <c r="Z68" s="1357"/>
      <c r="AA68" s="2073" t="str">
        <f>IF($A68&lt;&gt;"",
      IF($E68="Windows",VLOOKUP($A68,dist_assets,15,FALSE),
        IF($E68&lt;&gt;"Windows",
               IF($H68="Oracle Standalone 11.2",Oracle_Standalone_fs($S68),
               IF($H68="Oracle HACMP 11.2 - Node 1", Oracle_HACMP_Node_1($S68),
               IF($H68="Oracle HACMP 11.2 - Node 2", Oracle_HACMP_Node_2($S68),
               IF($H68="Oracle-RAC","Oracle RAC requires special config
work with Open Systems",
               IF($AC68="db2_fs",DB2_FS($S68),""))))))),"")</f>
        <v/>
      </c>
      <c r="AB68" s="1358"/>
      <c r="AC68" s="3348" t="str">
        <f t="shared" si="12"/>
        <v/>
      </c>
      <c r="AD68" s="1642" t="str">
        <f t="shared" si="23"/>
        <v/>
      </c>
      <c r="AE68" s="2008" t="str">
        <f>IF(A68&lt;&gt;"",COUNTIF($A$7:A68,A68),"")</f>
        <v/>
      </c>
    </row>
    <row r="69" spans="1:31">
      <c r="A69" s="301" t="str">
        <f t="array" ref="A69">IF('New DB Request'!A88&lt;&gt;"",INDEX(newdbreq_assetlist,MATCH(SMALL(COUNTIF(newdbreq_assetlist,"&lt;="&amp;newdbreq_assetlist),ROWS($A$26:A88)),COUNTIF(newdbreq_assetlist,"&lt;="&amp;newdbreq_assetlist),0)),"")</f>
        <v/>
      </c>
      <c r="B69" s="2298" t="str">
        <f t="shared" si="13"/>
        <v/>
      </c>
      <c r="C69" s="1692" t="str">
        <f>IF($A69&lt;&gt;"",
                         LEFT(VLOOKUP($A69,IP!$A$4:$N$153,11,FALSE),SEARCH(".",VLOOKUP($A69,IP!$A$4:$N$153,11,FALSE))-1),
        "")</f>
        <v/>
      </c>
      <c r="D69" s="1692" t="str">
        <f>IF($A69&lt;&gt;"",VLOOKUP(CONCATENATE($A69&amp;"  (IP01)"),IP!$A$4:$D$153,4,FALSE),"")</f>
        <v/>
      </c>
      <c r="E69" s="1356" t="str">
        <f t="shared" si="14"/>
        <v/>
      </c>
      <c r="F69" s="590" t="str">
        <f>IF($A69&lt;&gt;"",VLOOKUP(VLOOKUP($A69,dist_assets,2,FALSE),'Distributed Assets'!$C$6:$F$22,4,FALSE),"")</f>
        <v/>
      </c>
      <c r="G69" s="1356" t="str">
        <f t="shared" si="15"/>
        <v/>
      </c>
      <c r="H69" s="590" t="str">
        <f t="shared" si="16"/>
        <v/>
      </c>
      <c r="I69" s="590" t="str">
        <f t="shared" si="17"/>
        <v/>
      </c>
      <c r="J69" s="1356" t="str">
        <f t="shared" si="18"/>
        <v/>
      </c>
      <c r="K69" s="1356" t="str">
        <f t="shared" si="19"/>
        <v/>
      </c>
      <c r="L69" s="1356" t="str">
        <f t="shared" si="20"/>
        <v/>
      </c>
      <c r="M69" s="590" t="str">
        <f t="shared" si="21"/>
        <v/>
      </c>
      <c r="N69" s="30"/>
      <c r="O69" s="2073" t="str">
        <f t="array" ref="O69">IF(A69&lt;&gt;"",INDEX('New DB Request'!$A$26:$M$55,SMALL(IF(A69='New DB Request'!$A$26:$A$55,ROW('New DB Request'!$A$26:$A$55)),AE69)-25,4),"")</f>
        <v/>
      </c>
      <c r="P69" s="748"/>
      <c r="Q69" s="30"/>
      <c r="R69" s="2298" t="str">
        <f t="array" ref="R69">IF(A69&lt;&gt;"",INDEX('New DB Request'!$A$26:$M$55,SMALL(IF(A69='New DB Request'!$A$26:$A$55,ROW('New DB Request'!$A$26:$A$55)),AE69)-25,5),"")</f>
        <v/>
      </c>
      <c r="S69" s="2633" t="str">
        <f t="array" ref="S69">IF(A69&lt;&gt;"",INDEX('New DB Request'!$A$26:$M$55,SMALL(IF(A69='New DB Request'!$A$26:$A$55,ROW('New DB Request'!$A$26:$A$55)),AE69)-25,6),"")</f>
        <v/>
      </c>
      <c r="T69" s="2008" t="str">
        <f t="array" ref="T69">IF(A69&lt;&gt;"",INDEX('New DB Request'!$A$26:$M$55,SMALL(IF(A69='New DB Request'!$A$26:$A$55,ROW('New DB Request'!$A$26:$A$55)),AE69)-25,8),"")</f>
        <v/>
      </c>
      <c r="U69" s="30"/>
      <c r="V69" s="1090"/>
      <c r="W69" s="1090"/>
      <c r="X69" s="1090"/>
      <c r="Y69" s="2298" t="str">
        <f t="shared" si="22"/>
        <v/>
      </c>
      <c r="Z69" s="1357"/>
      <c r="AA69" s="2073" t="str">
        <f>IF($A69&lt;&gt;"",
      IF($E69="Windows",VLOOKUP($A69,dist_assets,15,FALSE),
        IF($E69&lt;&gt;"Windows",
               IF($H69="Oracle Standalone 11.2",Oracle_Standalone_fs($S69),
               IF($H69="Oracle HACMP 11.2 - Node 1", Oracle_HACMP_Node_1($S69),
               IF($H69="Oracle HACMP 11.2 - Node 2", Oracle_HACMP_Node_2($S69),
               IF($H69="Oracle-RAC","Oracle RAC requires special config
work with Open Systems",
               IF($AC69="db2_fs",DB2_FS($S69),""))))))),"")</f>
        <v/>
      </c>
      <c r="AB69" s="1358"/>
      <c r="AC69" s="3348" t="str">
        <f t="shared" si="12"/>
        <v/>
      </c>
      <c r="AD69" s="1642" t="str">
        <f t="shared" si="23"/>
        <v/>
      </c>
      <c r="AE69" s="2008" t="str">
        <f>IF(A69&lt;&gt;"",COUNTIF($A$7:A69,A69),"")</f>
        <v/>
      </c>
    </row>
    <row r="70" spans="1:31">
      <c r="A70" s="301" t="str">
        <f t="array" ref="A70">IF('New DB Request'!A89&lt;&gt;"",INDEX(newdbreq_assetlist,MATCH(SMALL(COUNTIF(newdbreq_assetlist,"&lt;="&amp;newdbreq_assetlist),ROWS($A$26:A89)),COUNTIF(newdbreq_assetlist,"&lt;="&amp;newdbreq_assetlist),0)),"")</f>
        <v/>
      </c>
      <c r="B70" s="2298" t="str">
        <f t="shared" si="13"/>
        <v/>
      </c>
      <c r="C70" s="1692" t="str">
        <f>IF($A70&lt;&gt;"",
                         LEFT(VLOOKUP($A70,IP!$A$4:$N$153,11,FALSE),SEARCH(".",VLOOKUP($A70,IP!$A$4:$N$153,11,FALSE))-1),
        "")</f>
        <v/>
      </c>
      <c r="D70" s="1692" t="str">
        <f>IF($A70&lt;&gt;"",VLOOKUP(CONCATENATE($A70&amp;"  (IP01)"),IP!$A$4:$D$153,4,FALSE),"")</f>
        <v/>
      </c>
      <c r="E70" s="1356" t="str">
        <f t="shared" si="14"/>
        <v/>
      </c>
      <c r="F70" s="590" t="str">
        <f>IF($A70&lt;&gt;"",VLOOKUP(VLOOKUP($A70,dist_assets,2,FALSE),'Distributed Assets'!$C$6:$F$22,4,FALSE),"")</f>
        <v/>
      </c>
      <c r="G70" s="1356" t="str">
        <f t="shared" si="15"/>
        <v/>
      </c>
      <c r="H70" s="590" t="str">
        <f t="shared" si="16"/>
        <v/>
      </c>
      <c r="I70" s="590" t="str">
        <f t="shared" si="17"/>
        <v/>
      </c>
      <c r="J70" s="1356" t="str">
        <f t="shared" si="18"/>
        <v/>
      </c>
      <c r="K70" s="1356" t="str">
        <f t="shared" si="19"/>
        <v/>
      </c>
      <c r="L70" s="1356" t="str">
        <f t="shared" si="20"/>
        <v/>
      </c>
      <c r="M70" s="590" t="str">
        <f t="shared" si="21"/>
        <v/>
      </c>
      <c r="N70" s="30"/>
      <c r="O70" s="2073" t="str">
        <f t="array" ref="O70">IF(A70&lt;&gt;"",INDEX('New DB Request'!$A$26:$M$55,SMALL(IF(A70='New DB Request'!$A$26:$A$55,ROW('New DB Request'!$A$26:$A$55)),AE70)-25,4),"")</f>
        <v/>
      </c>
      <c r="P70" s="748"/>
      <c r="Q70" s="30"/>
      <c r="R70" s="2298" t="str">
        <f t="array" ref="R70">IF(A70&lt;&gt;"",INDEX('New DB Request'!$A$26:$M$55,SMALL(IF(A70='New DB Request'!$A$26:$A$55,ROW('New DB Request'!$A$26:$A$55)),AE70)-25,5),"")</f>
        <v/>
      </c>
      <c r="S70" s="2633" t="str">
        <f t="array" ref="S70">IF(A70&lt;&gt;"",INDEX('New DB Request'!$A$26:$M$55,SMALL(IF(A70='New DB Request'!$A$26:$A$55,ROW('New DB Request'!$A$26:$A$55)),AE70)-25,6),"")</f>
        <v/>
      </c>
      <c r="T70" s="2008" t="str">
        <f t="array" ref="T70">IF(A70&lt;&gt;"",INDEX('New DB Request'!$A$26:$M$55,SMALL(IF(A70='New DB Request'!$A$26:$A$55,ROW('New DB Request'!$A$26:$A$55)),AE70)-25,8),"")</f>
        <v/>
      </c>
      <c r="U70" s="30"/>
      <c r="V70" s="1090"/>
      <c r="W70" s="1090"/>
      <c r="X70" s="1090"/>
      <c r="Y70" s="2298" t="str">
        <f t="shared" si="22"/>
        <v/>
      </c>
      <c r="Z70" s="1357"/>
      <c r="AA70" s="2073" t="str">
        <f>IF($A70&lt;&gt;"",
      IF($E70="Windows",VLOOKUP($A70,dist_assets,15,FALSE),
        IF($E70&lt;&gt;"Windows",
               IF($H70="Oracle Standalone 11.2",Oracle_Standalone_fs($S70),
               IF($H70="Oracle HACMP 11.2 - Node 1", Oracle_HACMP_Node_1($S70),
               IF($H70="Oracle HACMP 11.2 - Node 2", Oracle_HACMP_Node_2($S70),
               IF($H70="Oracle-RAC","Oracle RAC requires special config
work with Open Systems",
               IF($AC70="db2_fs",DB2_FS($S70),""))))))),"")</f>
        <v/>
      </c>
      <c r="AB70" s="1358"/>
      <c r="AC70" s="3348" t="str">
        <f t="shared" si="12"/>
        <v/>
      </c>
      <c r="AD70" s="1642" t="str">
        <f t="shared" si="23"/>
        <v/>
      </c>
      <c r="AE70" s="2008" t="str">
        <f>IF(A70&lt;&gt;"",COUNTIF($A$7:A70,A70),"")</f>
        <v/>
      </c>
    </row>
    <row r="71" spans="1:31">
      <c r="A71" s="301" t="str">
        <f t="array" ref="A71">IF('New DB Request'!A90&lt;&gt;"",INDEX(newdbreq_assetlist,MATCH(SMALL(COUNTIF(newdbreq_assetlist,"&lt;="&amp;newdbreq_assetlist),ROWS($A$26:A90)),COUNTIF(newdbreq_assetlist,"&lt;="&amp;newdbreq_assetlist),0)),"")</f>
        <v/>
      </c>
      <c r="B71" s="2298" t="str">
        <f t="shared" ref="B71:B103" si="24">IF($A71&lt;&gt;"",
        IF(VLOOKUP($A71,dist_assets,28,FALSE)&lt;&gt;"",
        VLOOKUP($A71,dist_assets,28,FALSE),"N/A"),"")</f>
        <v/>
      </c>
      <c r="C71" s="1692" t="str">
        <f>IF($A71&lt;&gt;"",
                         LEFT(VLOOKUP($A71,IP!$A$4:$N$153,11,FALSE),SEARCH(".",VLOOKUP($A71,IP!$A$4:$N$153,11,FALSE))-1),
        "")</f>
        <v/>
      </c>
      <c r="D71" s="1692" t="str">
        <f>IF($A71&lt;&gt;"",VLOOKUP(CONCATENATE($A71&amp;"  (IP01)"),IP!$A$4:$D$153,4,FALSE),"")</f>
        <v/>
      </c>
      <c r="E71" s="1356" t="str">
        <f t="shared" ref="E71:E103" si="25">IF($A71&lt;&gt;"",VLOOKUP($A71,dist_assets,9,FALSE),"")</f>
        <v/>
      </c>
      <c r="F71" s="590" t="str">
        <f>IF($A71&lt;&gt;"",VLOOKUP(VLOOKUP($A71,dist_assets,2,FALSE),'Distributed Assets'!$C$6:$F$22,4,FALSE),"")</f>
        <v/>
      </c>
      <c r="G71" s="1356" t="str">
        <f t="shared" ref="G71:G103" si="26">IF($A71&lt;&gt;"",IF(OR(VLOOKUP($A71,dist_assets,16,FALSE)="Active / Active", VLOOKUP($A71,dist_assets,16,FALSE)="Active / Passive", VLOOKUP($A71,dist_assets,16,FALSE)="Oracle RAC"),"Yes","No"),"")</f>
        <v/>
      </c>
      <c r="H71" s="590" t="str">
        <f t="shared" ref="H71:H103" si="27">IF($A71&lt;&gt;"",VLOOKUP($A71,dist_assets,24,FALSE),"")</f>
        <v/>
      </c>
      <c r="I71" s="590" t="str">
        <f t="shared" ref="I71:I103" si="28">IF(A71&lt;&gt;"",IF(dr_critical="Yes",
    IF(dr_Level&lt;3,"Yes","No"),"No"),"")</f>
        <v/>
      </c>
      <c r="J71" s="1356" t="str">
        <f t="shared" ref="J71:J103" si="29">IF($A71&lt;&gt;"",
              IF(AND($F71="Prod 2.0",dr_Level&lt;5),
                            IF(ISBLANK(VLOOKUP($F71,dist_assets,24,FALSE)),"No","Yes"),
               ""),
   "")</f>
        <v/>
      </c>
      <c r="K71" s="1356" t="str">
        <f t="shared" ref="K71:K103" si="30">IF($A71&lt;&gt;"",
      IF(AND($F71="Prod 2.0",dr_Level&lt;5),
           IF(OR(LEFT(VLOOKUP($A71,dist_assets,24,FALSE),3)="DB2",
                      LEFT(VLOOKUP($A71,dist_assets,24,FALSE),6)="Oracle"),
"Yes","No"),
""),
"")</f>
        <v/>
      </c>
      <c r="L71" s="1356" t="str">
        <f t="shared" ref="L71:L103" si="31">IF($A71&lt;&gt;"",
      IF(AND($F71="Prod 2.0",dr_Level&lt;5),
           IF(LEFT(VLOOKUP($A71,dist_assets,24,FALSE),5)="MSSQL", "Yes","No"),
               ""),
           "")</f>
        <v/>
      </c>
      <c r="M71" s="590" t="str">
        <f t="shared" ref="M71:M103" si="32">IF($A71&lt;&gt;"",
IF(LEFT($H71,5)="MSSQL",
IF(VLOOKUP($A71,dist_assets,3,FALSE)="New","Yes", "No"),""),"")</f>
        <v/>
      </c>
      <c r="N71" s="30"/>
      <c r="O71" s="2073" t="str">
        <f t="array" ref="O71">IF(A71&lt;&gt;"",INDEX('New DB Request'!$A$26:$M$55,SMALL(IF(A71='New DB Request'!$A$26:$A$55,ROW('New DB Request'!$A$26:$A$55)),AE71)-25,4),"")</f>
        <v/>
      </c>
      <c r="P71" s="748"/>
      <c r="Q71" s="30"/>
      <c r="R71" s="2298" t="str">
        <f t="array" ref="R71">IF(A71&lt;&gt;"",INDEX('New DB Request'!$A$26:$M$55,SMALL(IF(A71='New DB Request'!$A$26:$A$55,ROW('New DB Request'!$A$26:$A$55)),AE71)-25,5),"")</f>
        <v/>
      </c>
      <c r="S71" s="2633" t="str">
        <f t="array" ref="S71">IF(A71&lt;&gt;"",INDEX('New DB Request'!$A$26:$M$55,SMALL(IF(A71='New DB Request'!$A$26:$A$55,ROW('New DB Request'!$A$26:$A$55)),AE71)-25,6),"")</f>
        <v/>
      </c>
      <c r="T71" s="2008" t="str">
        <f t="array" ref="T71">IF(A71&lt;&gt;"",INDEX('New DB Request'!$A$26:$M$55,SMALL(IF(A71='New DB Request'!$A$26:$A$55,ROW('New DB Request'!$A$26:$A$55)),AE71)-25,8),"")</f>
        <v/>
      </c>
      <c r="U71" s="30"/>
      <c r="V71" s="1090"/>
      <c r="W71" s="1090"/>
      <c r="X71" s="1090"/>
      <c r="Y71" s="2298" t="str">
        <f t="shared" ref="Y71:Y103" si="33">IF($A71&lt;&gt;"",VLOOKUP($A71,dist_assets,3,FALSE),"")</f>
        <v/>
      </c>
      <c r="Z71" s="1357"/>
      <c r="AA71" s="2073" t="str">
        <f>IF($A71&lt;&gt;"",
      IF($E71="Windows",VLOOKUP($A71,dist_assets,15,FALSE),
        IF($E71&lt;&gt;"Windows",
               IF($H71="Oracle Standalone 11.2",Oracle_Standalone_fs($S71),
               IF($H71="Oracle HACMP 11.2 - Node 1", Oracle_HACMP_Node_1($S71),
               IF($H71="Oracle HACMP 11.2 - Node 2", Oracle_HACMP_Node_2($S71),
               IF($H71="Oracle-RAC","Oracle RAC requires special config
work with Open Systems",
               IF($AC71="db2_fs",DB2_FS($S71),""))))))),"")</f>
        <v/>
      </c>
      <c r="AB71" s="1358"/>
      <c r="AC71" s="3348" t="str">
        <f t="shared" si="12"/>
        <v/>
      </c>
      <c r="AD71" s="1642" t="str">
        <f t="shared" ref="AD71:AD103" si="34">IF($A71&lt;&gt;"",VLOOKUP($A71,dist_assets,2,FALSE),"")</f>
        <v/>
      </c>
      <c r="AE71" s="2008" t="str">
        <f>IF(A71&lt;&gt;"",COUNTIF($A$7:A71,A71),"")</f>
        <v/>
      </c>
    </row>
    <row r="72" spans="1:31">
      <c r="A72" s="301" t="str">
        <f t="array" ref="A72">IF('New DB Request'!A91&lt;&gt;"",INDEX(newdbreq_assetlist,MATCH(SMALL(COUNTIF(newdbreq_assetlist,"&lt;="&amp;newdbreq_assetlist),ROWS($A$26:A91)),COUNTIF(newdbreq_assetlist,"&lt;="&amp;newdbreq_assetlist),0)),"")</f>
        <v/>
      </c>
      <c r="B72" s="2298" t="str">
        <f t="shared" si="24"/>
        <v/>
      </c>
      <c r="C72" s="1692" t="str">
        <f>IF($A72&lt;&gt;"",
                         LEFT(VLOOKUP($A72,IP!$A$4:$N$153,11,FALSE),SEARCH(".",VLOOKUP($A72,IP!$A$4:$N$153,11,FALSE))-1),
        "")</f>
        <v/>
      </c>
      <c r="D72" s="1692" t="str">
        <f>IF($A72&lt;&gt;"",VLOOKUP(CONCATENATE($A72&amp;"  (IP01)"),IP!$A$4:$D$153,4,FALSE),"")</f>
        <v/>
      </c>
      <c r="E72" s="1356" t="str">
        <f t="shared" si="25"/>
        <v/>
      </c>
      <c r="F72" s="590" t="str">
        <f>IF($A72&lt;&gt;"",VLOOKUP(VLOOKUP($A72,dist_assets,2,FALSE),'Distributed Assets'!$C$6:$F$22,4,FALSE),"")</f>
        <v/>
      </c>
      <c r="G72" s="1356" t="str">
        <f t="shared" si="26"/>
        <v/>
      </c>
      <c r="H72" s="590" t="str">
        <f t="shared" si="27"/>
        <v/>
      </c>
      <c r="I72" s="590" t="str">
        <f t="shared" si="28"/>
        <v/>
      </c>
      <c r="J72" s="1356" t="str">
        <f t="shared" si="29"/>
        <v/>
      </c>
      <c r="K72" s="1356" t="str">
        <f t="shared" si="30"/>
        <v/>
      </c>
      <c r="L72" s="1356" t="str">
        <f t="shared" si="31"/>
        <v/>
      </c>
      <c r="M72" s="590" t="str">
        <f t="shared" si="32"/>
        <v/>
      </c>
      <c r="N72" s="30"/>
      <c r="O72" s="2073" t="str">
        <f t="array" ref="O72">IF(A72&lt;&gt;"",INDEX('New DB Request'!$A$26:$M$55,SMALL(IF(A72='New DB Request'!$A$26:$A$55,ROW('New DB Request'!$A$26:$A$55)),AE72)-25,4),"")</f>
        <v/>
      </c>
      <c r="P72" s="748"/>
      <c r="Q72" s="30"/>
      <c r="R72" s="2298" t="str">
        <f t="array" ref="R72">IF(A72&lt;&gt;"",INDEX('New DB Request'!$A$26:$M$55,SMALL(IF(A72='New DB Request'!$A$26:$A$55,ROW('New DB Request'!$A$26:$A$55)),AE72)-25,5),"")</f>
        <v/>
      </c>
      <c r="S72" s="2633" t="str">
        <f t="array" ref="S72">IF(A72&lt;&gt;"",INDEX('New DB Request'!$A$26:$M$55,SMALL(IF(A72='New DB Request'!$A$26:$A$55,ROW('New DB Request'!$A$26:$A$55)),AE72)-25,6),"")</f>
        <v/>
      </c>
      <c r="T72" s="2008" t="str">
        <f t="array" ref="T72">IF(A72&lt;&gt;"",INDEX('New DB Request'!$A$26:$M$55,SMALL(IF(A72='New DB Request'!$A$26:$A$55,ROW('New DB Request'!$A$26:$A$55)),AE72)-25,8),"")</f>
        <v/>
      </c>
      <c r="U72" s="30"/>
      <c r="V72" s="1090"/>
      <c r="W72" s="1090"/>
      <c r="X72" s="1090"/>
      <c r="Y72" s="2298" t="str">
        <f t="shared" si="33"/>
        <v/>
      </c>
      <c r="Z72" s="1357"/>
      <c r="AA72" s="2073" t="str">
        <f>IF($A72&lt;&gt;"",
      IF($E72="Windows",VLOOKUP($A72,dist_assets,15,FALSE),
        IF($E72&lt;&gt;"Windows",
               IF($H72="Oracle Standalone 11.2",Oracle_Standalone_fs($S72),
               IF($H72="Oracle HACMP 11.2 - Node 1", Oracle_HACMP_Node_1($S72),
               IF($H72="Oracle HACMP 11.2 - Node 2", Oracle_HACMP_Node_2($S72),
               IF($H72="Oracle-RAC","Oracle RAC requires special config
work with Open Systems",
               IF($AC72="db2_fs",DB2_FS($S72),""))))))),"")</f>
        <v/>
      </c>
      <c r="AB72" s="1358"/>
      <c r="AC72" s="3348" t="str">
        <f t="shared" si="12"/>
        <v/>
      </c>
      <c r="AD72" s="1642" t="str">
        <f t="shared" si="34"/>
        <v/>
      </c>
      <c r="AE72" s="2008" t="str">
        <f>IF(A72&lt;&gt;"",COUNTIF($A$7:A72,A72),"")</f>
        <v/>
      </c>
    </row>
    <row r="73" spans="1:31">
      <c r="A73" s="301" t="str">
        <f t="array" ref="A73">IF('New DB Request'!A92&lt;&gt;"",INDEX(newdbreq_assetlist,MATCH(SMALL(COUNTIF(newdbreq_assetlist,"&lt;="&amp;newdbreq_assetlist),ROWS($A$26:A92)),COUNTIF(newdbreq_assetlist,"&lt;="&amp;newdbreq_assetlist),0)),"")</f>
        <v/>
      </c>
      <c r="B73" s="2298" t="str">
        <f t="shared" si="24"/>
        <v/>
      </c>
      <c r="C73" s="1692" t="str">
        <f>IF($A73&lt;&gt;"",
                         LEFT(VLOOKUP($A73,IP!$A$4:$N$153,11,FALSE),SEARCH(".",VLOOKUP($A73,IP!$A$4:$N$153,11,FALSE))-1),
        "")</f>
        <v/>
      </c>
      <c r="D73" s="1692" t="str">
        <f>IF($A73&lt;&gt;"",VLOOKUP(CONCATENATE($A73&amp;"  (IP01)"),IP!$A$4:$D$153,4,FALSE),"")</f>
        <v/>
      </c>
      <c r="E73" s="1356" t="str">
        <f t="shared" si="25"/>
        <v/>
      </c>
      <c r="F73" s="590" t="str">
        <f>IF($A73&lt;&gt;"",VLOOKUP(VLOOKUP($A73,dist_assets,2,FALSE),'Distributed Assets'!$C$6:$F$22,4,FALSE),"")</f>
        <v/>
      </c>
      <c r="G73" s="1356" t="str">
        <f t="shared" si="26"/>
        <v/>
      </c>
      <c r="H73" s="590" t="str">
        <f t="shared" si="27"/>
        <v/>
      </c>
      <c r="I73" s="590" t="str">
        <f t="shared" si="28"/>
        <v/>
      </c>
      <c r="J73" s="1356" t="str">
        <f t="shared" si="29"/>
        <v/>
      </c>
      <c r="K73" s="1356" t="str">
        <f t="shared" si="30"/>
        <v/>
      </c>
      <c r="L73" s="1356" t="str">
        <f t="shared" si="31"/>
        <v/>
      </c>
      <c r="M73" s="590" t="str">
        <f t="shared" si="32"/>
        <v/>
      </c>
      <c r="N73" s="30"/>
      <c r="O73" s="2073" t="str">
        <f t="array" ref="O73">IF(A73&lt;&gt;"",INDEX('New DB Request'!$A$26:$M$55,SMALL(IF(A73='New DB Request'!$A$26:$A$55,ROW('New DB Request'!$A$26:$A$55)),AE73)-25,4),"")</f>
        <v/>
      </c>
      <c r="P73" s="748"/>
      <c r="Q73" s="30"/>
      <c r="R73" s="2298" t="str">
        <f t="array" ref="R73">IF(A73&lt;&gt;"",INDEX('New DB Request'!$A$26:$M$55,SMALL(IF(A73='New DB Request'!$A$26:$A$55,ROW('New DB Request'!$A$26:$A$55)),AE73)-25,5),"")</f>
        <v/>
      </c>
      <c r="S73" s="2633" t="str">
        <f t="array" ref="S73">IF(A73&lt;&gt;"",INDEX('New DB Request'!$A$26:$M$55,SMALL(IF(A73='New DB Request'!$A$26:$A$55,ROW('New DB Request'!$A$26:$A$55)),AE73)-25,6),"")</f>
        <v/>
      </c>
      <c r="T73" s="2008" t="str">
        <f t="array" ref="T73">IF(A73&lt;&gt;"",INDEX('New DB Request'!$A$26:$M$55,SMALL(IF(A73='New DB Request'!$A$26:$A$55,ROW('New DB Request'!$A$26:$A$55)),AE73)-25,8),"")</f>
        <v/>
      </c>
      <c r="U73" s="30"/>
      <c r="V73" s="1090"/>
      <c r="W73" s="1090"/>
      <c r="X73" s="1090"/>
      <c r="Y73" s="2298" t="str">
        <f t="shared" si="33"/>
        <v/>
      </c>
      <c r="Z73" s="1357"/>
      <c r="AA73" s="2073" t="str">
        <f>IF($A73&lt;&gt;"",
      IF($E73="Windows",VLOOKUP($A73,dist_assets,15,FALSE),
        IF($E73&lt;&gt;"Windows",
               IF($H73="Oracle Standalone 11.2",Oracle_Standalone_fs($S73),
               IF($H73="Oracle HACMP 11.2 - Node 1", Oracle_HACMP_Node_1($S73),
               IF($H73="Oracle HACMP 11.2 - Node 2", Oracle_HACMP_Node_2($S73),
               IF($H73="Oracle-RAC","Oracle RAC requires special config
work with Open Systems",
               IF($AC73="db2_fs",DB2_FS($S73),""))))))),"")</f>
        <v/>
      </c>
      <c r="AB73" s="1358"/>
      <c r="AC73" s="3348" t="str">
        <f t="shared" si="12"/>
        <v/>
      </c>
      <c r="AD73" s="1642" t="str">
        <f t="shared" si="34"/>
        <v/>
      </c>
      <c r="AE73" s="2008" t="str">
        <f>IF(A73&lt;&gt;"",COUNTIF($A$7:A73,A73),"")</f>
        <v/>
      </c>
    </row>
    <row r="74" spans="1:31">
      <c r="A74" s="301" t="str">
        <f t="array" ref="A74">IF('New DB Request'!A93&lt;&gt;"",INDEX(newdbreq_assetlist,MATCH(SMALL(COUNTIF(newdbreq_assetlist,"&lt;="&amp;newdbreq_assetlist),ROWS($A$26:A93)),COUNTIF(newdbreq_assetlist,"&lt;="&amp;newdbreq_assetlist),0)),"")</f>
        <v/>
      </c>
      <c r="B74" s="2298" t="str">
        <f t="shared" si="24"/>
        <v/>
      </c>
      <c r="C74" s="1692" t="str">
        <f>IF($A74&lt;&gt;"",
                         LEFT(VLOOKUP($A74,IP!$A$4:$N$153,11,FALSE),SEARCH(".",VLOOKUP($A74,IP!$A$4:$N$153,11,FALSE))-1),
        "")</f>
        <v/>
      </c>
      <c r="D74" s="1692" t="str">
        <f>IF($A74&lt;&gt;"",VLOOKUP(CONCATENATE($A74&amp;"  (IP01)"),IP!$A$4:$D$153,4,FALSE),"")</f>
        <v/>
      </c>
      <c r="E74" s="1356" t="str">
        <f t="shared" si="25"/>
        <v/>
      </c>
      <c r="F74" s="590" t="str">
        <f>IF($A74&lt;&gt;"",VLOOKUP(VLOOKUP($A74,dist_assets,2,FALSE),'Distributed Assets'!$C$6:$F$22,4,FALSE),"")</f>
        <v/>
      </c>
      <c r="G74" s="1356" t="str">
        <f t="shared" si="26"/>
        <v/>
      </c>
      <c r="H74" s="590" t="str">
        <f t="shared" si="27"/>
        <v/>
      </c>
      <c r="I74" s="590" t="str">
        <f t="shared" si="28"/>
        <v/>
      </c>
      <c r="J74" s="1356" t="str">
        <f t="shared" si="29"/>
        <v/>
      </c>
      <c r="K74" s="1356" t="str">
        <f t="shared" si="30"/>
        <v/>
      </c>
      <c r="L74" s="1356" t="str">
        <f t="shared" si="31"/>
        <v/>
      </c>
      <c r="M74" s="590" t="str">
        <f t="shared" si="32"/>
        <v/>
      </c>
      <c r="N74" s="30"/>
      <c r="O74" s="2073" t="str">
        <f t="array" ref="O74">IF(A74&lt;&gt;"",INDEX('New DB Request'!$A$26:$M$55,SMALL(IF(A74='New DB Request'!$A$26:$A$55,ROW('New DB Request'!$A$26:$A$55)),AE74)-25,4),"")</f>
        <v/>
      </c>
      <c r="P74" s="748"/>
      <c r="Q74" s="30"/>
      <c r="R74" s="2298" t="str">
        <f t="array" ref="R74">IF(A74&lt;&gt;"",INDEX('New DB Request'!$A$26:$M$55,SMALL(IF(A74='New DB Request'!$A$26:$A$55,ROW('New DB Request'!$A$26:$A$55)),AE74)-25,5),"")</f>
        <v/>
      </c>
      <c r="S74" s="2633" t="str">
        <f t="array" ref="S74">IF(A74&lt;&gt;"",INDEX('New DB Request'!$A$26:$M$55,SMALL(IF(A74='New DB Request'!$A$26:$A$55,ROW('New DB Request'!$A$26:$A$55)),AE74)-25,6),"")</f>
        <v/>
      </c>
      <c r="T74" s="2008" t="str">
        <f t="array" ref="T74">IF(A74&lt;&gt;"",INDEX('New DB Request'!$A$26:$M$55,SMALL(IF(A74='New DB Request'!$A$26:$A$55,ROW('New DB Request'!$A$26:$A$55)),AE74)-25,8),"")</f>
        <v/>
      </c>
      <c r="U74" s="30"/>
      <c r="V74" s="1090"/>
      <c r="W74" s="1090"/>
      <c r="X74" s="1090"/>
      <c r="Y74" s="2298" t="str">
        <f t="shared" si="33"/>
        <v/>
      </c>
      <c r="Z74" s="1357"/>
      <c r="AA74" s="2073" t="str">
        <f>IF($A74&lt;&gt;"",
      IF($E74="Windows",VLOOKUP($A74,dist_assets,15,FALSE),
        IF($E74&lt;&gt;"Windows",
               IF($H74="Oracle Standalone 11.2",Oracle_Standalone_fs($S74),
               IF($H74="Oracle HACMP 11.2 - Node 1", Oracle_HACMP_Node_1($S74),
               IF($H74="Oracle HACMP 11.2 - Node 2", Oracle_HACMP_Node_2($S74),
               IF($H74="Oracle-RAC","Oracle RAC requires special config
work with Open Systems",
               IF($AC74="db2_fs",DB2_FS($S74),""))))))),"")</f>
        <v/>
      </c>
      <c r="AB74" s="1358"/>
      <c r="AC74" s="3348" t="str">
        <f t="shared" si="12"/>
        <v/>
      </c>
      <c r="AD74" s="1642" t="str">
        <f t="shared" si="34"/>
        <v/>
      </c>
      <c r="AE74" s="2008" t="str">
        <f>IF(A74&lt;&gt;"",COUNTIF($A$7:A74,A74),"")</f>
        <v/>
      </c>
    </row>
    <row r="75" spans="1:31">
      <c r="A75" s="301" t="str">
        <f t="array" ref="A75">IF('New DB Request'!A94&lt;&gt;"",INDEX(newdbreq_assetlist,MATCH(SMALL(COUNTIF(newdbreq_assetlist,"&lt;="&amp;newdbreq_assetlist),ROWS($A$26:A94)),COUNTIF(newdbreq_assetlist,"&lt;="&amp;newdbreq_assetlist),0)),"")</f>
        <v/>
      </c>
      <c r="B75" s="2298" t="str">
        <f t="shared" si="24"/>
        <v/>
      </c>
      <c r="C75" s="1692" t="str">
        <f>IF($A75&lt;&gt;"",
                         LEFT(VLOOKUP($A75,IP!$A$4:$N$153,11,FALSE),SEARCH(".",VLOOKUP($A75,IP!$A$4:$N$153,11,FALSE))-1),
        "")</f>
        <v/>
      </c>
      <c r="D75" s="1692" t="str">
        <f>IF($A75&lt;&gt;"",VLOOKUP(CONCATENATE($A75&amp;"  (IP01)"),IP!$A$4:$D$153,4,FALSE),"")</f>
        <v/>
      </c>
      <c r="E75" s="1356" t="str">
        <f t="shared" si="25"/>
        <v/>
      </c>
      <c r="F75" s="590" t="str">
        <f>IF($A75&lt;&gt;"",VLOOKUP(VLOOKUP($A75,dist_assets,2,FALSE),'Distributed Assets'!$C$6:$F$22,4,FALSE),"")</f>
        <v/>
      </c>
      <c r="G75" s="1356" t="str">
        <f t="shared" si="26"/>
        <v/>
      </c>
      <c r="H75" s="590" t="str">
        <f t="shared" si="27"/>
        <v/>
      </c>
      <c r="I75" s="590" t="str">
        <f t="shared" si="28"/>
        <v/>
      </c>
      <c r="J75" s="1356" t="str">
        <f t="shared" si="29"/>
        <v/>
      </c>
      <c r="K75" s="1356" t="str">
        <f t="shared" si="30"/>
        <v/>
      </c>
      <c r="L75" s="1356" t="str">
        <f t="shared" si="31"/>
        <v/>
      </c>
      <c r="M75" s="590" t="str">
        <f t="shared" si="32"/>
        <v/>
      </c>
      <c r="N75" s="30"/>
      <c r="O75" s="2073" t="str">
        <f t="array" ref="O75">IF(A75&lt;&gt;"",INDEX('New DB Request'!$A$26:$M$55,SMALL(IF(A75='New DB Request'!$A$26:$A$55,ROW('New DB Request'!$A$26:$A$55)),AE75)-25,4),"")</f>
        <v/>
      </c>
      <c r="P75" s="748"/>
      <c r="Q75" s="30"/>
      <c r="R75" s="2298" t="str">
        <f t="array" ref="R75">IF(A75&lt;&gt;"",INDEX('New DB Request'!$A$26:$M$55,SMALL(IF(A75='New DB Request'!$A$26:$A$55,ROW('New DB Request'!$A$26:$A$55)),AE75)-25,5),"")</f>
        <v/>
      </c>
      <c r="S75" s="2633" t="str">
        <f t="array" ref="S75">IF(A75&lt;&gt;"",INDEX('New DB Request'!$A$26:$M$55,SMALL(IF(A75='New DB Request'!$A$26:$A$55,ROW('New DB Request'!$A$26:$A$55)),AE75)-25,6),"")</f>
        <v/>
      </c>
      <c r="T75" s="2008" t="str">
        <f t="array" ref="T75">IF(A75&lt;&gt;"",INDEX('New DB Request'!$A$26:$M$55,SMALL(IF(A75='New DB Request'!$A$26:$A$55,ROW('New DB Request'!$A$26:$A$55)),AE75)-25,8),"")</f>
        <v/>
      </c>
      <c r="U75" s="30"/>
      <c r="V75" s="1090"/>
      <c r="W75" s="1090"/>
      <c r="X75" s="1090"/>
      <c r="Y75" s="2298" t="str">
        <f t="shared" si="33"/>
        <v/>
      </c>
      <c r="Z75" s="1357"/>
      <c r="AA75" s="2073" t="str">
        <f>IF($A75&lt;&gt;"",
      IF($E75="Windows",VLOOKUP($A75,dist_assets,15,FALSE),
        IF($E75&lt;&gt;"Windows",
               IF($H75="Oracle Standalone 11.2",Oracle_Standalone_fs($S75),
               IF($H75="Oracle HACMP 11.2 - Node 1", Oracle_HACMP_Node_1($S75),
               IF($H75="Oracle HACMP 11.2 - Node 2", Oracle_HACMP_Node_2($S75),
               IF($H75="Oracle-RAC","Oracle RAC requires special config
work with Open Systems",
               IF($AC75="db2_fs",DB2_FS($S75),""))))))),"")</f>
        <v/>
      </c>
      <c r="AB75" s="1358"/>
      <c r="AC75" s="3348" t="str">
        <f t="shared" si="12"/>
        <v/>
      </c>
      <c r="AD75" s="1642" t="str">
        <f t="shared" si="34"/>
        <v/>
      </c>
      <c r="AE75" s="2008" t="str">
        <f>IF(A75&lt;&gt;"",COUNTIF($A$7:A75,A75),"")</f>
        <v/>
      </c>
    </row>
    <row r="76" spans="1:31">
      <c r="A76" s="301" t="str">
        <f t="array" ref="A76">IF('New DB Request'!A95&lt;&gt;"",INDEX(newdbreq_assetlist,MATCH(SMALL(COUNTIF(newdbreq_assetlist,"&lt;="&amp;newdbreq_assetlist),ROWS($A$26:A95)),COUNTIF(newdbreq_assetlist,"&lt;="&amp;newdbreq_assetlist),0)),"")</f>
        <v/>
      </c>
      <c r="B76" s="2298" t="str">
        <f t="shared" si="24"/>
        <v/>
      </c>
      <c r="C76" s="1692" t="str">
        <f>IF($A76&lt;&gt;"",
                         LEFT(VLOOKUP($A76,IP!$A$4:$N$153,11,FALSE),SEARCH(".",VLOOKUP($A76,IP!$A$4:$N$153,11,FALSE))-1),
        "")</f>
        <v/>
      </c>
      <c r="D76" s="1692" t="str">
        <f>IF($A76&lt;&gt;"",VLOOKUP(CONCATENATE($A76&amp;"  (IP01)"),IP!$A$4:$D$153,4,FALSE),"")</f>
        <v/>
      </c>
      <c r="E76" s="1356" t="str">
        <f t="shared" si="25"/>
        <v/>
      </c>
      <c r="F76" s="590" t="str">
        <f>IF($A76&lt;&gt;"",VLOOKUP(VLOOKUP($A76,dist_assets,2,FALSE),'Distributed Assets'!$C$6:$F$22,4,FALSE),"")</f>
        <v/>
      </c>
      <c r="G76" s="1356" t="str">
        <f t="shared" si="26"/>
        <v/>
      </c>
      <c r="H76" s="590" t="str">
        <f t="shared" si="27"/>
        <v/>
      </c>
      <c r="I76" s="590" t="str">
        <f t="shared" si="28"/>
        <v/>
      </c>
      <c r="J76" s="1356" t="str">
        <f t="shared" si="29"/>
        <v/>
      </c>
      <c r="K76" s="1356" t="str">
        <f t="shared" si="30"/>
        <v/>
      </c>
      <c r="L76" s="1356" t="str">
        <f t="shared" si="31"/>
        <v/>
      </c>
      <c r="M76" s="590" t="str">
        <f t="shared" si="32"/>
        <v/>
      </c>
      <c r="N76" s="30"/>
      <c r="O76" s="2073" t="str">
        <f t="array" ref="O76">IF(A76&lt;&gt;"",INDEX('New DB Request'!$A$26:$M$55,SMALL(IF(A76='New DB Request'!$A$26:$A$55,ROW('New DB Request'!$A$26:$A$55)),AE76)-25,4),"")</f>
        <v/>
      </c>
      <c r="P76" s="748"/>
      <c r="Q76" s="30"/>
      <c r="R76" s="2298" t="str">
        <f t="array" ref="R76">IF(A76&lt;&gt;"",INDEX('New DB Request'!$A$26:$M$55,SMALL(IF(A76='New DB Request'!$A$26:$A$55,ROW('New DB Request'!$A$26:$A$55)),AE76)-25,5),"")</f>
        <v/>
      </c>
      <c r="S76" s="2633" t="str">
        <f t="array" ref="S76">IF(A76&lt;&gt;"",INDEX('New DB Request'!$A$26:$M$55,SMALL(IF(A76='New DB Request'!$A$26:$A$55,ROW('New DB Request'!$A$26:$A$55)),AE76)-25,6),"")</f>
        <v/>
      </c>
      <c r="T76" s="2008" t="str">
        <f t="array" ref="T76">IF(A76&lt;&gt;"",INDEX('New DB Request'!$A$26:$M$55,SMALL(IF(A76='New DB Request'!$A$26:$A$55,ROW('New DB Request'!$A$26:$A$55)),AE76)-25,8),"")</f>
        <v/>
      </c>
      <c r="U76" s="30"/>
      <c r="V76" s="1090"/>
      <c r="W76" s="1090"/>
      <c r="X76" s="1090"/>
      <c r="Y76" s="2298" t="str">
        <f t="shared" si="33"/>
        <v/>
      </c>
      <c r="Z76" s="1357"/>
      <c r="AA76" s="2073" t="str">
        <f>IF($A76&lt;&gt;"",
      IF($E76="Windows",VLOOKUP($A76,dist_assets,15,FALSE),
        IF($E76&lt;&gt;"Windows",
               IF($H76="Oracle Standalone 11.2",Oracle_Standalone_fs($S76),
               IF($H76="Oracle HACMP 11.2 - Node 1", Oracle_HACMP_Node_1($S76),
               IF($H76="Oracle HACMP 11.2 - Node 2", Oracle_HACMP_Node_2($S76),
               IF($H76="Oracle-RAC","Oracle RAC requires special config
work with Open Systems",
               IF($AC76="db2_fs",DB2_FS($S76),""))))))),"")</f>
        <v/>
      </c>
      <c r="AB76" s="1358"/>
      <c r="AC76" s="3348" t="str">
        <f t="shared" si="12"/>
        <v/>
      </c>
      <c r="AD76" s="1642" t="str">
        <f t="shared" si="34"/>
        <v/>
      </c>
      <c r="AE76" s="2008" t="str">
        <f>IF(A76&lt;&gt;"",COUNTIF($A$7:A76,A76),"")</f>
        <v/>
      </c>
    </row>
    <row r="77" spans="1:31">
      <c r="A77" s="301" t="str">
        <f t="array" ref="A77">IF('New DB Request'!A96&lt;&gt;"",INDEX(newdbreq_assetlist,MATCH(SMALL(COUNTIF(newdbreq_assetlist,"&lt;="&amp;newdbreq_assetlist),ROWS($A$26:A96)),COUNTIF(newdbreq_assetlist,"&lt;="&amp;newdbreq_assetlist),0)),"")</f>
        <v/>
      </c>
      <c r="B77" s="2298" t="str">
        <f t="shared" si="24"/>
        <v/>
      </c>
      <c r="C77" s="1692" t="str">
        <f>IF($A77&lt;&gt;"",
                         LEFT(VLOOKUP($A77,IP!$A$4:$N$153,11,FALSE),SEARCH(".",VLOOKUP($A77,IP!$A$4:$N$153,11,FALSE))-1),
        "")</f>
        <v/>
      </c>
      <c r="D77" s="1692" t="str">
        <f>IF($A77&lt;&gt;"",VLOOKUP(CONCATENATE($A77&amp;"  (IP01)"),IP!$A$4:$D$153,4,FALSE),"")</f>
        <v/>
      </c>
      <c r="E77" s="1356" t="str">
        <f t="shared" si="25"/>
        <v/>
      </c>
      <c r="F77" s="590" t="str">
        <f>IF($A77&lt;&gt;"",VLOOKUP(VLOOKUP($A77,dist_assets,2,FALSE),'Distributed Assets'!$C$6:$F$22,4,FALSE),"")</f>
        <v/>
      </c>
      <c r="G77" s="1356" t="str">
        <f t="shared" si="26"/>
        <v/>
      </c>
      <c r="H77" s="590" t="str">
        <f t="shared" si="27"/>
        <v/>
      </c>
      <c r="I77" s="590" t="str">
        <f t="shared" si="28"/>
        <v/>
      </c>
      <c r="J77" s="1356" t="str">
        <f t="shared" si="29"/>
        <v/>
      </c>
      <c r="K77" s="1356" t="str">
        <f t="shared" si="30"/>
        <v/>
      </c>
      <c r="L77" s="1356" t="str">
        <f t="shared" si="31"/>
        <v/>
      </c>
      <c r="M77" s="590" t="str">
        <f t="shared" si="32"/>
        <v/>
      </c>
      <c r="N77" s="30"/>
      <c r="O77" s="2073" t="str">
        <f t="array" ref="O77">IF(A77&lt;&gt;"",INDEX('New DB Request'!$A$26:$M$55,SMALL(IF(A77='New DB Request'!$A$26:$A$55,ROW('New DB Request'!$A$26:$A$55)),AE77)-25,4),"")</f>
        <v/>
      </c>
      <c r="P77" s="748"/>
      <c r="Q77" s="30"/>
      <c r="R77" s="2298" t="str">
        <f t="array" ref="R77">IF(A77&lt;&gt;"",INDEX('New DB Request'!$A$26:$M$55,SMALL(IF(A77='New DB Request'!$A$26:$A$55,ROW('New DB Request'!$A$26:$A$55)),AE77)-25,5),"")</f>
        <v/>
      </c>
      <c r="S77" s="2633" t="str">
        <f t="array" ref="S77">IF(A77&lt;&gt;"",INDEX('New DB Request'!$A$26:$M$55,SMALL(IF(A77='New DB Request'!$A$26:$A$55,ROW('New DB Request'!$A$26:$A$55)),AE77)-25,6),"")</f>
        <v/>
      </c>
      <c r="T77" s="2008" t="str">
        <f t="array" ref="T77">IF(A77&lt;&gt;"",INDEX('New DB Request'!$A$26:$M$55,SMALL(IF(A77='New DB Request'!$A$26:$A$55,ROW('New DB Request'!$A$26:$A$55)),AE77)-25,8),"")</f>
        <v/>
      </c>
      <c r="U77" s="30"/>
      <c r="V77" s="1090"/>
      <c r="W77" s="1090"/>
      <c r="X77" s="1090"/>
      <c r="Y77" s="2298" t="str">
        <f t="shared" si="33"/>
        <v/>
      </c>
      <c r="Z77" s="1357"/>
      <c r="AA77" s="2073" t="str">
        <f>IF($A77&lt;&gt;"",
      IF($E77="Windows",VLOOKUP($A77,dist_assets,15,FALSE),
        IF($E77&lt;&gt;"Windows",
               IF($H77="Oracle Standalone 11.2",Oracle_Standalone_fs($S77),
               IF($H77="Oracle HACMP 11.2 - Node 1", Oracle_HACMP_Node_1($S77),
               IF($H77="Oracle HACMP 11.2 - Node 2", Oracle_HACMP_Node_2($S77),
               IF($H77="Oracle-RAC","Oracle RAC requires special config
work with Open Systems",
               IF($AC77="db2_fs",DB2_FS($S77),""))))))),"")</f>
        <v/>
      </c>
      <c r="AB77" s="1358"/>
      <c r="AC77" s="3348" t="str">
        <f t="shared" ref="AC77:AC103" si="35">IF($A77&lt;&gt;"",
        IF($E77="Windows",
             IF(OR(LEFT($H77,5)="MSSQL", LEFT($H77,3)="EDH"),"Win SQL"),
       IF($E77&lt;&gt;"Windows",
              IF($H77="Oracle Standalone 11.2","Standalone",
                  IF($H77="Oracle HACMP 11.2 - Node 1", "HACMP_Node_1",
                       IF($H77="Oracle HACMP 11.2 - Node 2", "HACMP_Node_2",
                             IF($H77="Oracle-RAC","Oracle RAC",
                                  IF(LEFT($H77,3)="DB2","DB2_FS",
              ))))))),"")</f>
        <v/>
      </c>
      <c r="AD77" s="1642" t="str">
        <f t="shared" si="34"/>
        <v/>
      </c>
      <c r="AE77" s="2008" t="str">
        <f>IF(A77&lt;&gt;"",COUNTIF($A$7:A77,A77),"")</f>
        <v/>
      </c>
    </row>
    <row r="78" spans="1:31">
      <c r="A78" s="301" t="str">
        <f t="array" ref="A78">IF('New DB Request'!A97&lt;&gt;"",INDEX(newdbreq_assetlist,MATCH(SMALL(COUNTIF(newdbreq_assetlist,"&lt;="&amp;newdbreq_assetlist),ROWS($A$26:A97)),COUNTIF(newdbreq_assetlist,"&lt;="&amp;newdbreq_assetlist),0)),"")</f>
        <v/>
      </c>
      <c r="B78" s="2298" t="str">
        <f t="shared" si="24"/>
        <v/>
      </c>
      <c r="C78" s="1692" t="str">
        <f>IF($A78&lt;&gt;"",
                         LEFT(VLOOKUP($A78,IP!$A$4:$N$153,11,FALSE),SEARCH(".",VLOOKUP($A78,IP!$A$4:$N$153,11,FALSE))-1),
        "")</f>
        <v/>
      </c>
      <c r="D78" s="1692" t="str">
        <f>IF($A78&lt;&gt;"",VLOOKUP(CONCATENATE($A78&amp;"  (IP01)"),IP!$A$4:$D$153,4,FALSE),"")</f>
        <v/>
      </c>
      <c r="E78" s="1356" t="str">
        <f t="shared" si="25"/>
        <v/>
      </c>
      <c r="F78" s="590" t="str">
        <f>IF($A78&lt;&gt;"",VLOOKUP(VLOOKUP($A78,dist_assets,2,FALSE),'Distributed Assets'!$C$6:$F$22,4,FALSE),"")</f>
        <v/>
      </c>
      <c r="G78" s="1356" t="str">
        <f t="shared" si="26"/>
        <v/>
      </c>
      <c r="H78" s="590" t="str">
        <f t="shared" si="27"/>
        <v/>
      </c>
      <c r="I78" s="590" t="str">
        <f t="shared" si="28"/>
        <v/>
      </c>
      <c r="J78" s="1356" t="str">
        <f t="shared" si="29"/>
        <v/>
      </c>
      <c r="K78" s="1356" t="str">
        <f t="shared" si="30"/>
        <v/>
      </c>
      <c r="L78" s="1356" t="str">
        <f t="shared" si="31"/>
        <v/>
      </c>
      <c r="M78" s="590" t="str">
        <f t="shared" si="32"/>
        <v/>
      </c>
      <c r="N78" s="30"/>
      <c r="O78" s="2073" t="str">
        <f t="array" ref="O78">IF(A78&lt;&gt;"",INDEX('New DB Request'!$A$26:$M$55,SMALL(IF(A78='New DB Request'!$A$26:$A$55,ROW('New DB Request'!$A$26:$A$55)),AE78)-25,4),"")</f>
        <v/>
      </c>
      <c r="P78" s="748"/>
      <c r="Q78" s="30"/>
      <c r="R78" s="2298" t="str">
        <f t="array" ref="R78">IF(A78&lt;&gt;"",INDEX('New DB Request'!$A$26:$M$55,SMALL(IF(A78='New DB Request'!$A$26:$A$55,ROW('New DB Request'!$A$26:$A$55)),AE78)-25,5),"")</f>
        <v/>
      </c>
      <c r="S78" s="2633" t="str">
        <f t="array" ref="S78">IF(A78&lt;&gt;"",INDEX('New DB Request'!$A$26:$M$55,SMALL(IF(A78='New DB Request'!$A$26:$A$55,ROW('New DB Request'!$A$26:$A$55)),AE78)-25,6),"")</f>
        <v/>
      </c>
      <c r="T78" s="2008" t="str">
        <f t="array" ref="T78">IF(A78&lt;&gt;"",INDEX('New DB Request'!$A$26:$M$55,SMALL(IF(A78='New DB Request'!$A$26:$A$55,ROW('New DB Request'!$A$26:$A$55)),AE78)-25,8),"")</f>
        <v/>
      </c>
      <c r="U78" s="30"/>
      <c r="V78" s="1090"/>
      <c r="W78" s="1090"/>
      <c r="X78" s="1090"/>
      <c r="Y78" s="2298" t="str">
        <f t="shared" si="33"/>
        <v/>
      </c>
      <c r="Z78" s="1357"/>
      <c r="AA78" s="2073" t="str">
        <f>IF($A78&lt;&gt;"",
      IF($E78="Windows",VLOOKUP($A78,dist_assets,15,FALSE),
        IF($E78&lt;&gt;"Windows",
               IF($H78="Oracle Standalone 11.2",Oracle_Standalone_fs($S78),
               IF($H78="Oracle HACMP 11.2 - Node 1", Oracle_HACMP_Node_1($S78),
               IF($H78="Oracle HACMP 11.2 - Node 2", Oracle_HACMP_Node_2($S78),
               IF($H78="Oracle-RAC","Oracle RAC requires special config
work with Open Systems",
               IF($AC78="db2_fs",DB2_FS($S78),""))))))),"")</f>
        <v/>
      </c>
      <c r="AB78" s="1358"/>
      <c r="AC78" s="3348" t="str">
        <f t="shared" si="35"/>
        <v/>
      </c>
      <c r="AD78" s="1642" t="str">
        <f t="shared" si="34"/>
        <v/>
      </c>
      <c r="AE78" s="2008" t="str">
        <f>IF(A78&lt;&gt;"",COUNTIF($A$7:A78,A78),"")</f>
        <v/>
      </c>
    </row>
    <row r="79" spans="1:31">
      <c r="A79" s="301" t="str">
        <f t="array" ref="A79">IF('New DB Request'!A98&lt;&gt;"",INDEX(newdbreq_assetlist,MATCH(SMALL(COUNTIF(newdbreq_assetlist,"&lt;="&amp;newdbreq_assetlist),ROWS($A$26:A98)),COUNTIF(newdbreq_assetlist,"&lt;="&amp;newdbreq_assetlist),0)),"")</f>
        <v/>
      </c>
      <c r="B79" s="2298" t="str">
        <f t="shared" si="24"/>
        <v/>
      </c>
      <c r="C79" s="1692" t="str">
        <f>IF($A79&lt;&gt;"",
                         LEFT(VLOOKUP($A79,IP!$A$4:$N$153,11,FALSE),SEARCH(".",VLOOKUP($A79,IP!$A$4:$N$153,11,FALSE))-1),
        "")</f>
        <v/>
      </c>
      <c r="D79" s="1692" t="str">
        <f>IF($A79&lt;&gt;"",VLOOKUP(CONCATENATE($A79&amp;"  (IP01)"),IP!$A$4:$D$153,4,FALSE),"")</f>
        <v/>
      </c>
      <c r="E79" s="1356" t="str">
        <f t="shared" si="25"/>
        <v/>
      </c>
      <c r="F79" s="590" t="str">
        <f>IF($A79&lt;&gt;"",VLOOKUP(VLOOKUP($A79,dist_assets,2,FALSE),'Distributed Assets'!$C$6:$F$22,4,FALSE),"")</f>
        <v/>
      </c>
      <c r="G79" s="1356" t="str">
        <f t="shared" si="26"/>
        <v/>
      </c>
      <c r="H79" s="590" t="str">
        <f t="shared" si="27"/>
        <v/>
      </c>
      <c r="I79" s="590" t="str">
        <f t="shared" si="28"/>
        <v/>
      </c>
      <c r="J79" s="1356" t="str">
        <f t="shared" si="29"/>
        <v/>
      </c>
      <c r="K79" s="1356" t="str">
        <f t="shared" si="30"/>
        <v/>
      </c>
      <c r="L79" s="1356" t="str">
        <f t="shared" si="31"/>
        <v/>
      </c>
      <c r="M79" s="590" t="str">
        <f t="shared" si="32"/>
        <v/>
      </c>
      <c r="N79" s="30"/>
      <c r="O79" s="2073" t="str">
        <f t="array" ref="O79">IF(A79&lt;&gt;"",INDEX('New DB Request'!$A$26:$M$55,SMALL(IF(A79='New DB Request'!$A$26:$A$55,ROW('New DB Request'!$A$26:$A$55)),AE79)-25,4),"")</f>
        <v/>
      </c>
      <c r="P79" s="748"/>
      <c r="Q79" s="30"/>
      <c r="R79" s="2298" t="str">
        <f t="array" ref="R79">IF(A79&lt;&gt;"",INDEX('New DB Request'!$A$26:$M$55,SMALL(IF(A79='New DB Request'!$A$26:$A$55,ROW('New DB Request'!$A$26:$A$55)),AE79)-25,5),"")</f>
        <v/>
      </c>
      <c r="S79" s="2633" t="str">
        <f t="array" ref="S79">IF(A79&lt;&gt;"",INDEX('New DB Request'!$A$26:$M$55,SMALL(IF(A79='New DB Request'!$A$26:$A$55,ROW('New DB Request'!$A$26:$A$55)),AE79)-25,6),"")</f>
        <v/>
      </c>
      <c r="T79" s="2008" t="str">
        <f t="array" ref="T79">IF(A79&lt;&gt;"",INDEX('New DB Request'!$A$26:$M$55,SMALL(IF(A79='New DB Request'!$A$26:$A$55,ROW('New DB Request'!$A$26:$A$55)),AE79)-25,8),"")</f>
        <v/>
      </c>
      <c r="U79" s="30"/>
      <c r="V79" s="1090"/>
      <c r="W79" s="1090"/>
      <c r="X79" s="1090"/>
      <c r="Y79" s="2298" t="str">
        <f t="shared" si="33"/>
        <v/>
      </c>
      <c r="Z79" s="1357"/>
      <c r="AA79" s="2073" t="str">
        <f>IF($A79&lt;&gt;"",
      IF($E79="Windows",VLOOKUP($A79,dist_assets,15,FALSE),
        IF($E79&lt;&gt;"Windows",
               IF($H79="Oracle Standalone 11.2",Oracle_Standalone_fs($S79),
               IF($H79="Oracle HACMP 11.2 - Node 1", Oracle_HACMP_Node_1($S79),
               IF($H79="Oracle HACMP 11.2 - Node 2", Oracle_HACMP_Node_2($S79),
               IF($H79="Oracle-RAC","Oracle RAC requires special config
work with Open Systems",
               IF($AC79="db2_fs",DB2_FS($S79),""))))))),"")</f>
        <v/>
      </c>
      <c r="AB79" s="1358"/>
      <c r="AC79" s="3348" t="str">
        <f t="shared" si="35"/>
        <v/>
      </c>
      <c r="AD79" s="1642" t="str">
        <f t="shared" si="34"/>
        <v/>
      </c>
      <c r="AE79" s="2008" t="str">
        <f>IF(A79&lt;&gt;"",COUNTIF($A$7:A79,A79),"")</f>
        <v/>
      </c>
    </row>
    <row r="80" spans="1:31">
      <c r="A80" s="301" t="str">
        <f t="array" ref="A80">IF('New DB Request'!A99&lt;&gt;"",INDEX(newdbreq_assetlist,MATCH(SMALL(COUNTIF(newdbreq_assetlist,"&lt;="&amp;newdbreq_assetlist),ROWS($A$26:A99)),COUNTIF(newdbreq_assetlist,"&lt;="&amp;newdbreq_assetlist),0)),"")</f>
        <v/>
      </c>
      <c r="B80" s="2298" t="str">
        <f t="shared" si="24"/>
        <v/>
      </c>
      <c r="C80" s="1692" t="str">
        <f>IF($A80&lt;&gt;"",
                         LEFT(VLOOKUP($A80,IP!$A$4:$N$153,11,FALSE),SEARCH(".",VLOOKUP($A80,IP!$A$4:$N$153,11,FALSE))-1),
        "")</f>
        <v/>
      </c>
      <c r="D80" s="1692" t="str">
        <f>IF($A80&lt;&gt;"",VLOOKUP(CONCATENATE($A80&amp;"  (IP01)"),IP!$A$4:$D$153,4,FALSE),"")</f>
        <v/>
      </c>
      <c r="E80" s="1356" t="str">
        <f t="shared" si="25"/>
        <v/>
      </c>
      <c r="F80" s="590" t="str">
        <f>IF($A80&lt;&gt;"",VLOOKUP(VLOOKUP($A80,dist_assets,2,FALSE),'Distributed Assets'!$C$6:$F$22,4,FALSE),"")</f>
        <v/>
      </c>
      <c r="G80" s="1356" t="str">
        <f t="shared" si="26"/>
        <v/>
      </c>
      <c r="H80" s="590" t="str">
        <f t="shared" si="27"/>
        <v/>
      </c>
      <c r="I80" s="590" t="str">
        <f t="shared" si="28"/>
        <v/>
      </c>
      <c r="J80" s="1356" t="str">
        <f t="shared" si="29"/>
        <v/>
      </c>
      <c r="K80" s="1356" t="str">
        <f t="shared" si="30"/>
        <v/>
      </c>
      <c r="L80" s="1356" t="str">
        <f t="shared" si="31"/>
        <v/>
      </c>
      <c r="M80" s="590" t="str">
        <f t="shared" si="32"/>
        <v/>
      </c>
      <c r="N80" s="30"/>
      <c r="O80" s="2073" t="str">
        <f t="array" ref="O80">IF(A80&lt;&gt;"",INDEX('New DB Request'!$A$26:$M$55,SMALL(IF(A80='New DB Request'!$A$26:$A$55,ROW('New DB Request'!$A$26:$A$55)),AE80)-25,4),"")</f>
        <v/>
      </c>
      <c r="P80" s="748"/>
      <c r="Q80" s="30"/>
      <c r="R80" s="2298" t="str">
        <f t="array" ref="R80">IF(A80&lt;&gt;"",INDEX('New DB Request'!$A$26:$M$55,SMALL(IF(A80='New DB Request'!$A$26:$A$55,ROW('New DB Request'!$A$26:$A$55)),AE80)-25,5),"")</f>
        <v/>
      </c>
      <c r="S80" s="2633" t="str">
        <f t="array" ref="S80">IF(A80&lt;&gt;"",INDEX('New DB Request'!$A$26:$M$55,SMALL(IF(A80='New DB Request'!$A$26:$A$55,ROW('New DB Request'!$A$26:$A$55)),AE80)-25,6),"")</f>
        <v/>
      </c>
      <c r="T80" s="2008" t="str">
        <f t="array" ref="T80">IF(A80&lt;&gt;"",INDEX('New DB Request'!$A$26:$M$55,SMALL(IF(A80='New DB Request'!$A$26:$A$55,ROW('New DB Request'!$A$26:$A$55)),AE80)-25,8),"")</f>
        <v/>
      </c>
      <c r="U80" s="30"/>
      <c r="V80" s="1090"/>
      <c r="W80" s="1090"/>
      <c r="X80" s="1090"/>
      <c r="Y80" s="2298" t="str">
        <f t="shared" si="33"/>
        <v/>
      </c>
      <c r="Z80" s="1357"/>
      <c r="AA80" s="2073" t="str">
        <f>IF($A80&lt;&gt;"",
      IF($E80="Windows",VLOOKUP($A80,dist_assets,15,FALSE),
        IF($E80&lt;&gt;"Windows",
               IF($H80="Oracle Standalone 11.2",Oracle_Standalone_fs($S80),
               IF($H80="Oracle HACMP 11.2 - Node 1", Oracle_HACMP_Node_1($S80),
               IF($H80="Oracle HACMP 11.2 - Node 2", Oracle_HACMP_Node_2($S80),
               IF($H80="Oracle-RAC","Oracle RAC requires special config
work with Open Systems",
               IF($AC80="db2_fs",DB2_FS($S80),""))))))),"")</f>
        <v/>
      </c>
      <c r="AB80" s="1358"/>
      <c r="AC80" s="3348" t="str">
        <f t="shared" si="35"/>
        <v/>
      </c>
      <c r="AD80" s="1642" t="str">
        <f t="shared" si="34"/>
        <v/>
      </c>
      <c r="AE80" s="2008" t="str">
        <f>IF(A80&lt;&gt;"",COUNTIF($A$7:A80,A80),"")</f>
        <v/>
      </c>
    </row>
    <row r="81" spans="1:31">
      <c r="A81" s="301" t="str">
        <f t="array" ref="A81">IF('New DB Request'!A100&lt;&gt;"",INDEX(newdbreq_assetlist,MATCH(SMALL(COUNTIF(newdbreq_assetlist,"&lt;="&amp;newdbreq_assetlist),ROWS($A$26:A100)),COUNTIF(newdbreq_assetlist,"&lt;="&amp;newdbreq_assetlist),0)),"")</f>
        <v/>
      </c>
      <c r="B81" s="2298" t="str">
        <f t="shared" si="24"/>
        <v/>
      </c>
      <c r="C81" s="1692" t="str">
        <f>IF($A81&lt;&gt;"",
                         LEFT(VLOOKUP($A81,IP!$A$4:$N$153,11,FALSE),SEARCH(".",VLOOKUP($A81,IP!$A$4:$N$153,11,FALSE))-1),
        "")</f>
        <v/>
      </c>
      <c r="D81" s="1692" t="str">
        <f>IF($A81&lt;&gt;"",VLOOKUP(CONCATENATE($A81&amp;"  (IP01)"),IP!$A$4:$D$153,4,FALSE),"")</f>
        <v/>
      </c>
      <c r="E81" s="1356" t="str">
        <f t="shared" si="25"/>
        <v/>
      </c>
      <c r="F81" s="590" t="str">
        <f>IF($A81&lt;&gt;"",VLOOKUP(VLOOKUP($A81,dist_assets,2,FALSE),'Distributed Assets'!$C$6:$F$22,4,FALSE),"")</f>
        <v/>
      </c>
      <c r="G81" s="1356" t="str">
        <f t="shared" si="26"/>
        <v/>
      </c>
      <c r="H81" s="590" t="str">
        <f t="shared" si="27"/>
        <v/>
      </c>
      <c r="I81" s="590" t="str">
        <f t="shared" si="28"/>
        <v/>
      </c>
      <c r="J81" s="1356" t="str">
        <f t="shared" si="29"/>
        <v/>
      </c>
      <c r="K81" s="1356" t="str">
        <f t="shared" si="30"/>
        <v/>
      </c>
      <c r="L81" s="1356" t="str">
        <f t="shared" si="31"/>
        <v/>
      </c>
      <c r="M81" s="590" t="str">
        <f t="shared" si="32"/>
        <v/>
      </c>
      <c r="N81" s="30"/>
      <c r="O81" s="2073" t="str">
        <f t="array" ref="O81">IF(A81&lt;&gt;"",INDEX('New DB Request'!$A$26:$M$55,SMALL(IF(A81='New DB Request'!$A$26:$A$55,ROW('New DB Request'!$A$26:$A$55)),AE81)-25,4),"")</f>
        <v/>
      </c>
      <c r="P81" s="748"/>
      <c r="Q81" s="30"/>
      <c r="R81" s="2298" t="str">
        <f t="array" ref="R81">IF(A81&lt;&gt;"",INDEX('New DB Request'!$A$26:$M$55,SMALL(IF(A81='New DB Request'!$A$26:$A$55,ROW('New DB Request'!$A$26:$A$55)),AE81)-25,5),"")</f>
        <v/>
      </c>
      <c r="S81" s="2633" t="str">
        <f t="array" ref="S81">IF(A81&lt;&gt;"",INDEX('New DB Request'!$A$26:$M$55,SMALL(IF(A81='New DB Request'!$A$26:$A$55,ROW('New DB Request'!$A$26:$A$55)),AE81)-25,6),"")</f>
        <v/>
      </c>
      <c r="T81" s="2008" t="str">
        <f t="array" ref="T81">IF(A81&lt;&gt;"",INDEX('New DB Request'!$A$26:$M$55,SMALL(IF(A81='New DB Request'!$A$26:$A$55,ROW('New DB Request'!$A$26:$A$55)),AE81)-25,8),"")</f>
        <v/>
      </c>
      <c r="U81" s="30"/>
      <c r="V81" s="1090"/>
      <c r="W81" s="1090"/>
      <c r="X81" s="1090"/>
      <c r="Y81" s="2298" t="str">
        <f t="shared" si="33"/>
        <v/>
      </c>
      <c r="Z81" s="1357"/>
      <c r="AA81" s="2073" t="str">
        <f>IF($A81&lt;&gt;"",
      IF($E81="Windows",VLOOKUP($A81,dist_assets,15,FALSE),
        IF($E81&lt;&gt;"Windows",
               IF($H81="Oracle Standalone 11.2",Oracle_Standalone_fs($S81),
               IF($H81="Oracle HACMP 11.2 - Node 1", Oracle_HACMP_Node_1($S81),
               IF($H81="Oracle HACMP 11.2 - Node 2", Oracle_HACMP_Node_2($S81),
               IF($H81="Oracle-RAC","Oracle RAC requires special config
work with Open Systems",
               IF($AC81="db2_fs",DB2_FS($S81),""))))))),"")</f>
        <v/>
      </c>
      <c r="AB81" s="1358"/>
      <c r="AC81" s="3348" t="str">
        <f t="shared" si="35"/>
        <v/>
      </c>
      <c r="AD81" s="1642" t="str">
        <f t="shared" si="34"/>
        <v/>
      </c>
      <c r="AE81" s="2008" t="str">
        <f>IF(A81&lt;&gt;"",COUNTIF($A$7:A81,A81),"")</f>
        <v/>
      </c>
    </row>
    <row r="82" spans="1:31">
      <c r="A82" s="301" t="str">
        <f t="array" ref="A82">IF('New DB Request'!A101&lt;&gt;"",INDEX(newdbreq_assetlist,MATCH(SMALL(COUNTIF(newdbreq_assetlist,"&lt;="&amp;newdbreq_assetlist),ROWS($A$26:A101)),COUNTIF(newdbreq_assetlist,"&lt;="&amp;newdbreq_assetlist),0)),"")</f>
        <v/>
      </c>
      <c r="B82" s="2298" t="str">
        <f t="shared" si="24"/>
        <v/>
      </c>
      <c r="C82" s="1692" t="str">
        <f>IF($A82&lt;&gt;"",
                         LEFT(VLOOKUP($A82,IP!$A$4:$N$153,11,FALSE),SEARCH(".",VLOOKUP($A82,IP!$A$4:$N$153,11,FALSE))-1),
        "")</f>
        <v/>
      </c>
      <c r="D82" s="1692" t="str">
        <f>IF($A82&lt;&gt;"",VLOOKUP(CONCATENATE($A82&amp;"  (IP01)"),IP!$A$4:$D$153,4,FALSE),"")</f>
        <v/>
      </c>
      <c r="E82" s="1356" t="str">
        <f t="shared" si="25"/>
        <v/>
      </c>
      <c r="F82" s="590" t="str">
        <f>IF($A82&lt;&gt;"",VLOOKUP(VLOOKUP($A82,dist_assets,2,FALSE),'Distributed Assets'!$C$6:$F$22,4,FALSE),"")</f>
        <v/>
      </c>
      <c r="G82" s="1356" t="str">
        <f t="shared" si="26"/>
        <v/>
      </c>
      <c r="H82" s="590" t="str">
        <f t="shared" si="27"/>
        <v/>
      </c>
      <c r="I82" s="590" t="str">
        <f t="shared" si="28"/>
        <v/>
      </c>
      <c r="J82" s="1356" t="str">
        <f t="shared" si="29"/>
        <v/>
      </c>
      <c r="K82" s="1356" t="str">
        <f t="shared" si="30"/>
        <v/>
      </c>
      <c r="L82" s="1356" t="str">
        <f t="shared" si="31"/>
        <v/>
      </c>
      <c r="M82" s="590" t="str">
        <f t="shared" si="32"/>
        <v/>
      </c>
      <c r="N82" s="30"/>
      <c r="O82" s="2073" t="str">
        <f t="array" ref="O82">IF(A82&lt;&gt;"",INDEX('New DB Request'!$A$26:$M$55,SMALL(IF(A82='New DB Request'!$A$26:$A$55,ROW('New DB Request'!$A$26:$A$55)),AE82)-25,4),"")</f>
        <v/>
      </c>
      <c r="P82" s="748"/>
      <c r="Q82" s="30"/>
      <c r="R82" s="2298" t="str">
        <f t="array" ref="R82">IF(A82&lt;&gt;"",INDEX('New DB Request'!$A$26:$M$55,SMALL(IF(A82='New DB Request'!$A$26:$A$55,ROW('New DB Request'!$A$26:$A$55)),AE82)-25,5),"")</f>
        <v/>
      </c>
      <c r="S82" s="2633" t="str">
        <f t="array" ref="S82">IF(A82&lt;&gt;"",INDEX('New DB Request'!$A$26:$M$55,SMALL(IF(A82='New DB Request'!$A$26:$A$55,ROW('New DB Request'!$A$26:$A$55)),AE82)-25,6),"")</f>
        <v/>
      </c>
      <c r="T82" s="2008" t="str">
        <f t="array" ref="T82">IF(A82&lt;&gt;"",INDEX('New DB Request'!$A$26:$M$55,SMALL(IF(A82='New DB Request'!$A$26:$A$55,ROW('New DB Request'!$A$26:$A$55)),AE82)-25,8),"")</f>
        <v/>
      </c>
      <c r="U82" s="30"/>
      <c r="V82" s="1090"/>
      <c r="W82" s="1090"/>
      <c r="X82" s="1090"/>
      <c r="Y82" s="2298" t="str">
        <f t="shared" si="33"/>
        <v/>
      </c>
      <c r="Z82" s="1357"/>
      <c r="AA82" s="2073" t="str">
        <f>IF($A82&lt;&gt;"",
      IF($E82="Windows",VLOOKUP($A82,dist_assets,15,FALSE),
        IF($E82&lt;&gt;"Windows",
               IF($H82="Oracle Standalone 11.2",Oracle_Standalone_fs($S82),
               IF($H82="Oracle HACMP 11.2 - Node 1", Oracle_HACMP_Node_1($S82),
               IF($H82="Oracle HACMP 11.2 - Node 2", Oracle_HACMP_Node_2($S82),
               IF($H82="Oracle-RAC","Oracle RAC requires special config
work with Open Systems",
               IF($AC82="db2_fs",DB2_FS($S82),""))))))),"")</f>
        <v/>
      </c>
      <c r="AB82" s="1358"/>
      <c r="AC82" s="3348" t="str">
        <f t="shared" si="35"/>
        <v/>
      </c>
      <c r="AD82" s="1642" t="str">
        <f t="shared" si="34"/>
        <v/>
      </c>
      <c r="AE82" s="2008" t="str">
        <f>IF(A82&lt;&gt;"",COUNTIF($A$7:A82,A82),"")</f>
        <v/>
      </c>
    </row>
    <row r="83" spans="1:31">
      <c r="A83" s="301" t="str">
        <f t="array" ref="A83">IF('New DB Request'!A102&lt;&gt;"",INDEX(newdbreq_assetlist,MATCH(SMALL(COUNTIF(newdbreq_assetlist,"&lt;="&amp;newdbreq_assetlist),ROWS($A$26:A102)),COUNTIF(newdbreq_assetlist,"&lt;="&amp;newdbreq_assetlist),0)),"")</f>
        <v/>
      </c>
      <c r="B83" s="2298" t="str">
        <f t="shared" si="24"/>
        <v/>
      </c>
      <c r="C83" s="1692" t="str">
        <f>IF($A83&lt;&gt;"",
                         LEFT(VLOOKUP($A83,IP!$A$4:$N$153,11,FALSE),SEARCH(".",VLOOKUP($A83,IP!$A$4:$N$153,11,FALSE))-1),
        "")</f>
        <v/>
      </c>
      <c r="D83" s="1692" t="str">
        <f>IF($A83&lt;&gt;"",VLOOKUP(CONCATENATE($A83&amp;"  (IP01)"),IP!$A$4:$D$153,4,FALSE),"")</f>
        <v/>
      </c>
      <c r="E83" s="1356" t="str">
        <f t="shared" si="25"/>
        <v/>
      </c>
      <c r="F83" s="590" t="str">
        <f>IF($A83&lt;&gt;"",VLOOKUP(VLOOKUP($A83,dist_assets,2,FALSE),'Distributed Assets'!$C$6:$F$22,4,FALSE),"")</f>
        <v/>
      </c>
      <c r="G83" s="1356" t="str">
        <f t="shared" si="26"/>
        <v/>
      </c>
      <c r="H83" s="590" t="str">
        <f t="shared" si="27"/>
        <v/>
      </c>
      <c r="I83" s="590" t="str">
        <f t="shared" si="28"/>
        <v/>
      </c>
      <c r="J83" s="1356" t="str">
        <f t="shared" si="29"/>
        <v/>
      </c>
      <c r="K83" s="1356" t="str">
        <f t="shared" si="30"/>
        <v/>
      </c>
      <c r="L83" s="1356" t="str">
        <f t="shared" si="31"/>
        <v/>
      </c>
      <c r="M83" s="590" t="str">
        <f t="shared" si="32"/>
        <v/>
      </c>
      <c r="N83" s="30"/>
      <c r="O83" s="2073" t="str">
        <f t="array" ref="O83">IF(A83&lt;&gt;"",INDEX('New DB Request'!$A$26:$M$55,SMALL(IF(A83='New DB Request'!$A$26:$A$55,ROW('New DB Request'!$A$26:$A$55)),AE83)-25,4),"")</f>
        <v/>
      </c>
      <c r="P83" s="748"/>
      <c r="Q83" s="30"/>
      <c r="R83" s="2298" t="str">
        <f t="array" ref="R83">IF(A83&lt;&gt;"",INDEX('New DB Request'!$A$26:$M$55,SMALL(IF(A83='New DB Request'!$A$26:$A$55,ROW('New DB Request'!$A$26:$A$55)),AE83)-25,5),"")</f>
        <v/>
      </c>
      <c r="S83" s="2633" t="str">
        <f t="array" ref="S83">IF(A83&lt;&gt;"",INDEX('New DB Request'!$A$26:$M$55,SMALL(IF(A83='New DB Request'!$A$26:$A$55,ROW('New DB Request'!$A$26:$A$55)),AE83)-25,6),"")</f>
        <v/>
      </c>
      <c r="T83" s="2008" t="str">
        <f t="array" ref="T83">IF(A83&lt;&gt;"",INDEX('New DB Request'!$A$26:$M$55,SMALL(IF(A83='New DB Request'!$A$26:$A$55,ROW('New DB Request'!$A$26:$A$55)),AE83)-25,8),"")</f>
        <v/>
      </c>
      <c r="U83" s="30"/>
      <c r="V83" s="1090"/>
      <c r="W83" s="1090"/>
      <c r="X83" s="1090"/>
      <c r="Y83" s="2298" t="str">
        <f t="shared" si="33"/>
        <v/>
      </c>
      <c r="Z83" s="1357"/>
      <c r="AA83" s="2073" t="str">
        <f>IF($A83&lt;&gt;"",
      IF($E83="Windows",VLOOKUP($A83,dist_assets,15,FALSE),
        IF($E83&lt;&gt;"Windows",
               IF($H83="Oracle Standalone 11.2",Oracle_Standalone_fs($S83),
               IF($H83="Oracle HACMP 11.2 - Node 1", Oracle_HACMP_Node_1($S83),
               IF($H83="Oracle HACMP 11.2 - Node 2", Oracle_HACMP_Node_2($S83),
               IF($H83="Oracle-RAC","Oracle RAC requires special config
work with Open Systems",
               IF($AC83="db2_fs",DB2_FS($S83),""))))))),"")</f>
        <v/>
      </c>
      <c r="AB83" s="1358"/>
      <c r="AC83" s="3348" t="str">
        <f t="shared" si="35"/>
        <v/>
      </c>
      <c r="AD83" s="1642" t="str">
        <f t="shared" si="34"/>
        <v/>
      </c>
      <c r="AE83" s="2008" t="str">
        <f>IF(A83&lt;&gt;"",COUNTIF($A$7:A83,A83),"")</f>
        <v/>
      </c>
    </row>
    <row r="84" spans="1:31">
      <c r="A84" s="301" t="str">
        <f t="array" ref="A84">IF('New DB Request'!A103&lt;&gt;"",INDEX(newdbreq_assetlist,MATCH(SMALL(COUNTIF(newdbreq_assetlist,"&lt;="&amp;newdbreq_assetlist),ROWS($A$26:A103)),COUNTIF(newdbreq_assetlist,"&lt;="&amp;newdbreq_assetlist),0)),"")</f>
        <v/>
      </c>
      <c r="B84" s="2298" t="str">
        <f t="shared" si="24"/>
        <v/>
      </c>
      <c r="C84" s="1692" t="str">
        <f>IF($A84&lt;&gt;"",
                         LEFT(VLOOKUP($A84,IP!$A$4:$N$153,11,FALSE),SEARCH(".",VLOOKUP($A84,IP!$A$4:$N$153,11,FALSE))-1),
        "")</f>
        <v/>
      </c>
      <c r="D84" s="1692" t="str">
        <f>IF($A84&lt;&gt;"",VLOOKUP(CONCATENATE($A84&amp;"  (IP01)"),IP!$A$4:$D$153,4,FALSE),"")</f>
        <v/>
      </c>
      <c r="E84" s="1356" t="str">
        <f t="shared" si="25"/>
        <v/>
      </c>
      <c r="F84" s="590" t="str">
        <f>IF($A84&lt;&gt;"",VLOOKUP(VLOOKUP($A84,dist_assets,2,FALSE),'Distributed Assets'!$C$6:$F$22,4,FALSE),"")</f>
        <v/>
      </c>
      <c r="G84" s="1356" t="str">
        <f t="shared" si="26"/>
        <v/>
      </c>
      <c r="H84" s="590" t="str">
        <f t="shared" si="27"/>
        <v/>
      </c>
      <c r="I84" s="590" t="str">
        <f t="shared" si="28"/>
        <v/>
      </c>
      <c r="J84" s="1356" t="str">
        <f t="shared" si="29"/>
        <v/>
      </c>
      <c r="K84" s="1356" t="str">
        <f t="shared" si="30"/>
        <v/>
      </c>
      <c r="L84" s="1356" t="str">
        <f t="shared" si="31"/>
        <v/>
      </c>
      <c r="M84" s="590" t="str">
        <f t="shared" si="32"/>
        <v/>
      </c>
      <c r="N84" s="30"/>
      <c r="O84" s="2073" t="str">
        <f t="array" ref="O84">IF(A84&lt;&gt;"",INDEX('New DB Request'!$A$26:$M$55,SMALL(IF(A84='New DB Request'!$A$26:$A$55,ROW('New DB Request'!$A$26:$A$55)),AE84)-25,4),"")</f>
        <v/>
      </c>
      <c r="P84" s="748"/>
      <c r="Q84" s="30"/>
      <c r="R84" s="2298" t="str">
        <f t="array" ref="R84">IF(A84&lt;&gt;"",INDEX('New DB Request'!$A$26:$M$55,SMALL(IF(A84='New DB Request'!$A$26:$A$55,ROW('New DB Request'!$A$26:$A$55)),AE84)-25,5),"")</f>
        <v/>
      </c>
      <c r="S84" s="2633" t="str">
        <f t="array" ref="S84">IF(A84&lt;&gt;"",INDEX('New DB Request'!$A$26:$M$55,SMALL(IF(A84='New DB Request'!$A$26:$A$55,ROW('New DB Request'!$A$26:$A$55)),AE84)-25,6),"")</f>
        <v/>
      </c>
      <c r="T84" s="2008" t="str">
        <f t="array" ref="T84">IF(A84&lt;&gt;"",INDEX('New DB Request'!$A$26:$M$55,SMALL(IF(A84='New DB Request'!$A$26:$A$55,ROW('New DB Request'!$A$26:$A$55)),AE84)-25,8),"")</f>
        <v/>
      </c>
      <c r="U84" s="30"/>
      <c r="V84" s="1090"/>
      <c r="W84" s="1090"/>
      <c r="X84" s="1090"/>
      <c r="Y84" s="2298" t="str">
        <f t="shared" si="33"/>
        <v/>
      </c>
      <c r="Z84" s="1357"/>
      <c r="AA84" s="2073" t="str">
        <f>IF($A84&lt;&gt;"",
      IF($E84="Windows",VLOOKUP($A84,dist_assets,15,FALSE),
        IF($E84&lt;&gt;"Windows",
               IF($H84="Oracle Standalone 11.2",Oracle_Standalone_fs($S84),
               IF($H84="Oracle HACMP 11.2 - Node 1", Oracle_HACMP_Node_1($S84),
               IF($H84="Oracle HACMP 11.2 - Node 2", Oracle_HACMP_Node_2($S84),
               IF($H84="Oracle-RAC","Oracle RAC requires special config
work with Open Systems",
               IF($AC84="db2_fs",DB2_FS($S84),""))))))),"")</f>
        <v/>
      </c>
      <c r="AB84" s="1358"/>
      <c r="AC84" s="3348" t="str">
        <f t="shared" si="35"/>
        <v/>
      </c>
      <c r="AD84" s="1642" t="str">
        <f t="shared" si="34"/>
        <v/>
      </c>
      <c r="AE84" s="2008" t="str">
        <f>IF(A84&lt;&gt;"",COUNTIF($A$7:A84,A84),"")</f>
        <v/>
      </c>
    </row>
    <row r="85" spans="1:31">
      <c r="A85" s="301" t="str">
        <f t="array" ref="A85">IF('New DB Request'!A104&lt;&gt;"",INDEX(newdbreq_assetlist,MATCH(SMALL(COUNTIF(newdbreq_assetlist,"&lt;="&amp;newdbreq_assetlist),ROWS($A$26:A104)),COUNTIF(newdbreq_assetlist,"&lt;="&amp;newdbreq_assetlist),0)),"")</f>
        <v/>
      </c>
      <c r="B85" s="2298" t="str">
        <f t="shared" si="24"/>
        <v/>
      </c>
      <c r="C85" s="1692" t="str">
        <f>IF($A85&lt;&gt;"",
                         LEFT(VLOOKUP($A85,IP!$A$4:$N$153,11,FALSE),SEARCH(".",VLOOKUP($A85,IP!$A$4:$N$153,11,FALSE))-1),
        "")</f>
        <v/>
      </c>
      <c r="D85" s="1692" t="str">
        <f>IF($A85&lt;&gt;"",VLOOKUP(CONCATENATE($A85&amp;"  (IP01)"),IP!$A$4:$D$153,4,FALSE),"")</f>
        <v/>
      </c>
      <c r="E85" s="1356" t="str">
        <f t="shared" si="25"/>
        <v/>
      </c>
      <c r="F85" s="590" t="str">
        <f>IF($A85&lt;&gt;"",VLOOKUP(VLOOKUP($A85,dist_assets,2,FALSE),'Distributed Assets'!$C$6:$F$22,4,FALSE),"")</f>
        <v/>
      </c>
      <c r="G85" s="1356" t="str">
        <f t="shared" si="26"/>
        <v/>
      </c>
      <c r="H85" s="590" t="str">
        <f t="shared" si="27"/>
        <v/>
      </c>
      <c r="I85" s="590" t="str">
        <f t="shared" si="28"/>
        <v/>
      </c>
      <c r="J85" s="1356" t="str">
        <f t="shared" si="29"/>
        <v/>
      </c>
      <c r="K85" s="1356" t="str">
        <f t="shared" si="30"/>
        <v/>
      </c>
      <c r="L85" s="1356" t="str">
        <f t="shared" si="31"/>
        <v/>
      </c>
      <c r="M85" s="590" t="str">
        <f t="shared" si="32"/>
        <v/>
      </c>
      <c r="N85" s="30"/>
      <c r="O85" s="2073" t="str">
        <f t="array" ref="O85">IF(A85&lt;&gt;"",INDEX('New DB Request'!$A$26:$M$55,SMALL(IF(A85='New DB Request'!$A$26:$A$55,ROW('New DB Request'!$A$26:$A$55)),AE85)-25,4),"")</f>
        <v/>
      </c>
      <c r="P85" s="748"/>
      <c r="Q85" s="30"/>
      <c r="R85" s="2298" t="str">
        <f t="array" ref="R85">IF(A85&lt;&gt;"",INDEX('New DB Request'!$A$26:$M$55,SMALL(IF(A85='New DB Request'!$A$26:$A$55,ROW('New DB Request'!$A$26:$A$55)),AE85)-25,5),"")</f>
        <v/>
      </c>
      <c r="S85" s="2633" t="str">
        <f t="array" ref="S85">IF(A85&lt;&gt;"",INDEX('New DB Request'!$A$26:$M$55,SMALL(IF(A85='New DB Request'!$A$26:$A$55,ROW('New DB Request'!$A$26:$A$55)),AE85)-25,6),"")</f>
        <v/>
      </c>
      <c r="T85" s="2008" t="str">
        <f t="array" ref="T85">IF(A85&lt;&gt;"",INDEX('New DB Request'!$A$26:$M$55,SMALL(IF(A85='New DB Request'!$A$26:$A$55,ROW('New DB Request'!$A$26:$A$55)),AE85)-25,8),"")</f>
        <v/>
      </c>
      <c r="U85" s="30"/>
      <c r="V85" s="1090"/>
      <c r="W85" s="1090"/>
      <c r="X85" s="1090"/>
      <c r="Y85" s="2298" t="str">
        <f t="shared" si="33"/>
        <v/>
      </c>
      <c r="Z85" s="1357"/>
      <c r="AA85" s="2073" t="str">
        <f>IF($A85&lt;&gt;"",
      IF($E85="Windows",VLOOKUP($A85,dist_assets,15,FALSE),
        IF($E85&lt;&gt;"Windows",
               IF($H85="Oracle Standalone 11.2",Oracle_Standalone_fs($S85),
               IF($H85="Oracle HACMP 11.2 - Node 1", Oracle_HACMP_Node_1($S85),
               IF($H85="Oracle HACMP 11.2 - Node 2", Oracle_HACMP_Node_2($S85),
               IF($H85="Oracle-RAC","Oracle RAC requires special config
work with Open Systems",
               IF($AC85="db2_fs",DB2_FS($S85),""))))))),"")</f>
        <v/>
      </c>
      <c r="AB85" s="1358"/>
      <c r="AC85" s="3348" t="str">
        <f t="shared" si="35"/>
        <v/>
      </c>
      <c r="AD85" s="1642" t="str">
        <f t="shared" si="34"/>
        <v/>
      </c>
      <c r="AE85" s="2008" t="str">
        <f>IF(A85&lt;&gt;"",COUNTIF($A$7:A85,A85),"")</f>
        <v/>
      </c>
    </row>
    <row r="86" spans="1:31">
      <c r="A86" s="301" t="str">
        <f t="array" ref="A86">IF('New DB Request'!A105&lt;&gt;"",INDEX(newdbreq_assetlist,MATCH(SMALL(COUNTIF(newdbreq_assetlist,"&lt;="&amp;newdbreq_assetlist),ROWS($A$26:A105)),COUNTIF(newdbreq_assetlist,"&lt;="&amp;newdbreq_assetlist),0)),"")</f>
        <v/>
      </c>
      <c r="B86" s="2298" t="str">
        <f t="shared" si="24"/>
        <v/>
      </c>
      <c r="C86" s="1692" t="str">
        <f>IF($A86&lt;&gt;"",
                         LEFT(VLOOKUP($A86,IP!$A$4:$N$153,11,FALSE),SEARCH(".",VLOOKUP($A86,IP!$A$4:$N$153,11,FALSE))-1),
        "")</f>
        <v/>
      </c>
      <c r="D86" s="1692" t="str">
        <f>IF($A86&lt;&gt;"",VLOOKUP(CONCATENATE($A86&amp;"  (IP01)"),IP!$A$4:$D$153,4,FALSE),"")</f>
        <v/>
      </c>
      <c r="E86" s="1356" t="str">
        <f t="shared" si="25"/>
        <v/>
      </c>
      <c r="F86" s="590" t="str">
        <f>IF($A86&lt;&gt;"",VLOOKUP(VLOOKUP($A86,dist_assets,2,FALSE),'Distributed Assets'!$C$6:$F$22,4,FALSE),"")</f>
        <v/>
      </c>
      <c r="G86" s="1356" t="str">
        <f t="shared" si="26"/>
        <v/>
      </c>
      <c r="H86" s="590" t="str">
        <f t="shared" si="27"/>
        <v/>
      </c>
      <c r="I86" s="590" t="str">
        <f t="shared" si="28"/>
        <v/>
      </c>
      <c r="J86" s="1356" t="str">
        <f t="shared" si="29"/>
        <v/>
      </c>
      <c r="K86" s="1356" t="str">
        <f t="shared" si="30"/>
        <v/>
      </c>
      <c r="L86" s="1356" t="str">
        <f t="shared" si="31"/>
        <v/>
      </c>
      <c r="M86" s="590" t="str">
        <f t="shared" si="32"/>
        <v/>
      </c>
      <c r="N86" s="30"/>
      <c r="O86" s="2073" t="str">
        <f t="array" ref="O86">IF(A86&lt;&gt;"",INDEX('New DB Request'!$A$26:$M$55,SMALL(IF(A86='New DB Request'!$A$26:$A$55,ROW('New DB Request'!$A$26:$A$55)),AE86)-25,4),"")</f>
        <v/>
      </c>
      <c r="P86" s="748"/>
      <c r="Q86" s="30"/>
      <c r="R86" s="2298" t="str">
        <f t="array" ref="R86">IF(A86&lt;&gt;"",INDEX('New DB Request'!$A$26:$M$55,SMALL(IF(A86='New DB Request'!$A$26:$A$55,ROW('New DB Request'!$A$26:$A$55)),AE86)-25,5),"")</f>
        <v/>
      </c>
      <c r="S86" s="2633" t="str">
        <f t="array" ref="S86">IF(A86&lt;&gt;"",INDEX('New DB Request'!$A$26:$M$55,SMALL(IF(A86='New DB Request'!$A$26:$A$55,ROW('New DB Request'!$A$26:$A$55)),AE86)-25,6),"")</f>
        <v/>
      </c>
      <c r="T86" s="2008" t="str">
        <f t="array" ref="T86">IF(A86&lt;&gt;"",INDEX('New DB Request'!$A$26:$M$55,SMALL(IF(A86='New DB Request'!$A$26:$A$55,ROW('New DB Request'!$A$26:$A$55)),AE86)-25,8),"")</f>
        <v/>
      </c>
      <c r="U86" s="30"/>
      <c r="V86" s="1090"/>
      <c r="W86" s="1090"/>
      <c r="X86" s="1090"/>
      <c r="Y86" s="2298" t="str">
        <f t="shared" si="33"/>
        <v/>
      </c>
      <c r="Z86" s="1357"/>
      <c r="AA86" s="2073" t="str">
        <f>IF($A86&lt;&gt;"",
      IF($E86="Windows",VLOOKUP($A86,dist_assets,15,FALSE),
        IF($E86&lt;&gt;"Windows",
               IF($H86="Oracle Standalone 11.2",Oracle_Standalone_fs($S86),
               IF($H86="Oracle HACMP 11.2 - Node 1", Oracle_HACMP_Node_1($S86),
               IF($H86="Oracle HACMP 11.2 - Node 2", Oracle_HACMP_Node_2($S86),
               IF($H86="Oracle-RAC","Oracle RAC requires special config
work with Open Systems",
               IF($AC86="db2_fs",DB2_FS($S86),""))))))),"")</f>
        <v/>
      </c>
      <c r="AB86" s="1358"/>
      <c r="AC86" s="3348" t="str">
        <f t="shared" si="35"/>
        <v/>
      </c>
      <c r="AD86" s="1642" t="str">
        <f t="shared" si="34"/>
        <v/>
      </c>
      <c r="AE86" s="2008" t="str">
        <f>IF(A86&lt;&gt;"",COUNTIF($A$7:A86,A86),"")</f>
        <v/>
      </c>
    </row>
    <row r="87" spans="1:31">
      <c r="A87" s="301" t="str">
        <f t="array" ref="A87">IF('New DB Request'!A106&lt;&gt;"",INDEX(newdbreq_assetlist,MATCH(SMALL(COUNTIF(newdbreq_assetlist,"&lt;="&amp;newdbreq_assetlist),ROWS($A$26:A106)),COUNTIF(newdbreq_assetlist,"&lt;="&amp;newdbreq_assetlist),0)),"")</f>
        <v/>
      </c>
      <c r="B87" s="2298" t="str">
        <f t="shared" si="24"/>
        <v/>
      </c>
      <c r="C87" s="1692" t="str">
        <f>IF($A87&lt;&gt;"",
                         LEFT(VLOOKUP($A87,IP!$A$4:$N$153,11,FALSE),SEARCH(".",VLOOKUP($A87,IP!$A$4:$N$153,11,FALSE))-1),
        "")</f>
        <v/>
      </c>
      <c r="D87" s="1692" t="str">
        <f>IF($A87&lt;&gt;"",VLOOKUP(CONCATENATE($A87&amp;"  (IP01)"),IP!$A$4:$D$153,4,FALSE),"")</f>
        <v/>
      </c>
      <c r="E87" s="1356" t="str">
        <f t="shared" si="25"/>
        <v/>
      </c>
      <c r="F87" s="590" t="str">
        <f>IF($A87&lt;&gt;"",VLOOKUP(VLOOKUP($A87,dist_assets,2,FALSE),'Distributed Assets'!$C$6:$F$22,4,FALSE),"")</f>
        <v/>
      </c>
      <c r="G87" s="1356" t="str">
        <f t="shared" si="26"/>
        <v/>
      </c>
      <c r="H87" s="590" t="str">
        <f t="shared" si="27"/>
        <v/>
      </c>
      <c r="I87" s="590" t="str">
        <f t="shared" si="28"/>
        <v/>
      </c>
      <c r="J87" s="1356" t="str">
        <f t="shared" si="29"/>
        <v/>
      </c>
      <c r="K87" s="1356" t="str">
        <f t="shared" si="30"/>
        <v/>
      </c>
      <c r="L87" s="1356" t="str">
        <f t="shared" si="31"/>
        <v/>
      </c>
      <c r="M87" s="590" t="str">
        <f t="shared" si="32"/>
        <v/>
      </c>
      <c r="N87" s="30"/>
      <c r="O87" s="2073" t="str">
        <f t="array" ref="O87">IF(A87&lt;&gt;"",INDEX('New DB Request'!$A$26:$M$55,SMALL(IF(A87='New DB Request'!$A$26:$A$55,ROW('New DB Request'!$A$26:$A$55)),AE87)-25,4),"")</f>
        <v/>
      </c>
      <c r="P87" s="748"/>
      <c r="Q87" s="30"/>
      <c r="R87" s="2298" t="str">
        <f t="array" ref="R87">IF(A87&lt;&gt;"",INDEX('New DB Request'!$A$26:$M$55,SMALL(IF(A87='New DB Request'!$A$26:$A$55,ROW('New DB Request'!$A$26:$A$55)),AE87)-25,5),"")</f>
        <v/>
      </c>
      <c r="S87" s="2633" t="str">
        <f t="array" ref="S87">IF(A87&lt;&gt;"",INDEX('New DB Request'!$A$26:$M$55,SMALL(IF(A87='New DB Request'!$A$26:$A$55,ROW('New DB Request'!$A$26:$A$55)),AE87)-25,6),"")</f>
        <v/>
      </c>
      <c r="T87" s="2008" t="str">
        <f t="array" ref="T87">IF(A87&lt;&gt;"",INDEX('New DB Request'!$A$26:$M$55,SMALL(IF(A87='New DB Request'!$A$26:$A$55,ROW('New DB Request'!$A$26:$A$55)),AE87)-25,8),"")</f>
        <v/>
      </c>
      <c r="U87" s="30"/>
      <c r="V87" s="1090"/>
      <c r="W87" s="1090"/>
      <c r="X87" s="1090"/>
      <c r="Y87" s="2298" t="str">
        <f t="shared" si="33"/>
        <v/>
      </c>
      <c r="Z87" s="1357"/>
      <c r="AA87" s="2073" t="str">
        <f>IF($A87&lt;&gt;"",
      IF($E87="Windows",VLOOKUP($A87,dist_assets,15,FALSE),
        IF($E87&lt;&gt;"Windows",
               IF($H87="Oracle Standalone 11.2",Oracle_Standalone_fs($S87),
               IF($H87="Oracle HACMP 11.2 - Node 1", Oracle_HACMP_Node_1($S87),
               IF($H87="Oracle HACMP 11.2 - Node 2", Oracle_HACMP_Node_2($S87),
               IF($H87="Oracle-RAC","Oracle RAC requires special config
work with Open Systems",
               IF($AC87="db2_fs",DB2_FS($S87),""))))))),"")</f>
        <v/>
      </c>
      <c r="AB87" s="1358"/>
      <c r="AC87" s="3348" t="str">
        <f t="shared" si="35"/>
        <v/>
      </c>
      <c r="AD87" s="1642" t="str">
        <f t="shared" si="34"/>
        <v/>
      </c>
      <c r="AE87" s="2008" t="str">
        <f>IF(A87&lt;&gt;"",COUNTIF($A$7:A87,A87),"")</f>
        <v/>
      </c>
    </row>
    <row r="88" spans="1:31">
      <c r="A88" s="301" t="str">
        <f t="array" ref="A88">IF('New DB Request'!A107&lt;&gt;"",INDEX(newdbreq_assetlist,MATCH(SMALL(COUNTIF(newdbreq_assetlist,"&lt;="&amp;newdbreq_assetlist),ROWS($A$26:A107)),COUNTIF(newdbreq_assetlist,"&lt;="&amp;newdbreq_assetlist),0)),"")</f>
        <v/>
      </c>
      <c r="B88" s="2298" t="str">
        <f t="shared" si="24"/>
        <v/>
      </c>
      <c r="C88" s="1692" t="str">
        <f>IF($A88&lt;&gt;"",
                         LEFT(VLOOKUP($A88,IP!$A$4:$N$153,11,FALSE),SEARCH(".",VLOOKUP($A88,IP!$A$4:$N$153,11,FALSE))-1),
        "")</f>
        <v/>
      </c>
      <c r="D88" s="1692" t="str">
        <f>IF($A88&lt;&gt;"",VLOOKUP(CONCATENATE($A88&amp;"  (IP01)"),IP!$A$4:$D$153,4,FALSE),"")</f>
        <v/>
      </c>
      <c r="E88" s="1356" t="str">
        <f t="shared" si="25"/>
        <v/>
      </c>
      <c r="F88" s="590" t="str">
        <f>IF($A88&lt;&gt;"",VLOOKUP(VLOOKUP($A88,dist_assets,2,FALSE),'Distributed Assets'!$C$6:$F$22,4,FALSE),"")</f>
        <v/>
      </c>
      <c r="G88" s="1356" t="str">
        <f t="shared" si="26"/>
        <v/>
      </c>
      <c r="H88" s="590" t="str">
        <f t="shared" si="27"/>
        <v/>
      </c>
      <c r="I88" s="590" t="str">
        <f t="shared" si="28"/>
        <v/>
      </c>
      <c r="J88" s="1356" t="str">
        <f t="shared" si="29"/>
        <v/>
      </c>
      <c r="K88" s="1356" t="str">
        <f t="shared" si="30"/>
        <v/>
      </c>
      <c r="L88" s="1356" t="str">
        <f t="shared" si="31"/>
        <v/>
      </c>
      <c r="M88" s="590" t="str">
        <f t="shared" si="32"/>
        <v/>
      </c>
      <c r="N88" s="30"/>
      <c r="O88" s="2073" t="str">
        <f t="array" ref="O88">IF(A88&lt;&gt;"",INDEX('New DB Request'!$A$26:$M$55,SMALL(IF(A88='New DB Request'!$A$26:$A$55,ROW('New DB Request'!$A$26:$A$55)),AE88)-25,4),"")</f>
        <v/>
      </c>
      <c r="P88" s="748"/>
      <c r="Q88" s="30"/>
      <c r="R88" s="2298" t="str">
        <f t="array" ref="R88">IF(A88&lt;&gt;"",INDEX('New DB Request'!$A$26:$M$55,SMALL(IF(A88='New DB Request'!$A$26:$A$55,ROW('New DB Request'!$A$26:$A$55)),AE88)-25,5),"")</f>
        <v/>
      </c>
      <c r="S88" s="2633" t="str">
        <f t="array" ref="S88">IF(A88&lt;&gt;"",INDEX('New DB Request'!$A$26:$M$55,SMALL(IF(A88='New DB Request'!$A$26:$A$55,ROW('New DB Request'!$A$26:$A$55)),AE88)-25,6),"")</f>
        <v/>
      </c>
      <c r="T88" s="2008" t="str">
        <f t="array" ref="T88">IF(A88&lt;&gt;"",INDEX('New DB Request'!$A$26:$M$55,SMALL(IF(A88='New DB Request'!$A$26:$A$55,ROW('New DB Request'!$A$26:$A$55)),AE88)-25,8),"")</f>
        <v/>
      </c>
      <c r="U88" s="30"/>
      <c r="V88" s="1090"/>
      <c r="W88" s="1090"/>
      <c r="X88" s="1090"/>
      <c r="Y88" s="2298" t="str">
        <f t="shared" si="33"/>
        <v/>
      </c>
      <c r="Z88" s="1357"/>
      <c r="AA88" s="2073" t="str">
        <f>IF($A88&lt;&gt;"",
      IF($E88="Windows",VLOOKUP($A88,dist_assets,15,FALSE),
        IF($E88&lt;&gt;"Windows",
               IF($H88="Oracle Standalone 11.2",Oracle_Standalone_fs($S88),
               IF($H88="Oracle HACMP 11.2 - Node 1", Oracle_HACMP_Node_1($S88),
               IF($H88="Oracle HACMP 11.2 - Node 2", Oracle_HACMP_Node_2($S88),
               IF($H88="Oracle-RAC","Oracle RAC requires special config
work with Open Systems",
               IF($AC88="db2_fs",DB2_FS($S88),""))))))),"")</f>
        <v/>
      </c>
      <c r="AB88" s="1358"/>
      <c r="AC88" s="3348" t="str">
        <f t="shared" si="35"/>
        <v/>
      </c>
      <c r="AD88" s="1642" t="str">
        <f t="shared" si="34"/>
        <v/>
      </c>
      <c r="AE88" s="2008" t="str">
        <f>IF(A88&lt;&gt;"",COUNTIF($A$7:A88,A88),"")</f>
        <v/>
      </c>
    </row>
    <row r="89" spans="1:31">
      <c r="A89" s="301" t="str">
        <f t="array" ref="A89">IF('New DB Request'!A108&lt;&gt;"",INDEX(newdbreq_assetlist,MATCH(SMALL(COUNTIF(newdbreq_assetlist,"&lt;="&amp;newdbreq_assetlist),ROWS($A$26:A108)),COUNTIF(newdbreq_assetlist,"&lt;="&amp;newdbreq_assetlist),0)),"")</f>
        <v/>
      </c>
      <c r="B89" s="2298" t="str">
        <f t="shared" si="24"/>
        <v/>
      </c>
      <c r="C89" s="1692" t="str">
        <f>IF($A89&lt;&gt;"",
                         LEFT(VLOOKUP($A89,IP!$A$4:$N$153,11,FALSE),SEARCH(".",VLOOKUP($A89,IP!$A$4:$N$153,11,FALSE))-1),
        "")</f>
        <v/>
      </c>
      <c r="D89" s="1692" t="str">
        <f>IF($A89&lt;&gt;"",VLOOKUP(CONCATENATE($A89&amp;"  (IP01)"),IP!$A$4:$D$153,4,FALSE),"")</f>
        <v/>
      </c>
      <c r="E89" s="1356" t="str">
        <f t="shared" si="25"/>
        <v/>
      </c>
      <c r="F89" s="590" t="str">
        <f>IF($A89&lt;&gt;"",VLOOKUP(VLOOKUP($A89,dist_assets,2,FALSE),'Distributed Assets'!$C$6:$F$22,4,FALSE),"")</f>
        <v/>
      </c>
      <c r="G89" s="1356" t="str">
        <f t="shared" si="26"/>
        <v/>
      </c>
      <c r="H89" s="590" t="str">
        <f t="shared" si="27"/>
        <v/>
      </c>
      <c r="I89" s="590" t="str">
        <f t="shared" si="28"/>
        <v/>
      </c>
      <c r="J89" s="1356" t="str">
        <f t="shared" si="29"/>
        <v/>
      </c>
      <c r="K89" s="1356" t="str">
        <f t="shared" si="30"/>
        <v/>
      </c>
      <c r="L89" s="1356" t="str">
        <f t="shared" si="31"/>
        <v/>
      </c>
      <c r="M89" s="590" t="str">
        <f t="shared" si="32"/>
        <v/>
      </c>
      <c r="N89" s="30"/>
      <c r="O89" s="2073" t="str">
        <f t="array" ref="O89">IF(A89&lt;&gt;"",INDEX('New DB Request'!$A$26:$M$55,SMALL(IF(A89='New DB Request'!$A$26:$A$55,ROW('New DB Request'!$A$26:$A$55)),AE89)-25,4),"")</f>
        <v/>
      </c>
      <c r="P89" s="748"/>
      <c r="Q89" s="30"/>
      <c r="R89" s="2298" t="str">
        <f t="array" ref="R89">IF(A89&lt;&gt;"",INDEX('New DB Request'!$A$26:$M$55,SMALL(IF(A89='New DB Request'!$A$26:$A$55,ROW('New DB Request'!$A$26:$A$55)),AE89)-25,5),"")</f>
        <v/>
      </c>
      <c r="S89" s="2633" t="str">
        <f t="array" ref="S89">IF(A89&lt;&gt;"",INDEX('New DB Request'!$A$26:$M$55,SMALL(IF(A89='New DB Request'!$A$26:$A$55,ROW('New DB Request'!$A$26:$A$55)),AE89)-25,6),"")</f>
        <v/>
      </c>
      <c r="T89" s="2008" t="str">
        <f t="array" ref="T89">IF(A89&lt;&gt;"",INDEX('New DB Request'!$A$26:$M$55,SMALL(IF(A89='New DB Request'!$A$26:$A$55,ROW('New DB Request'!$A$26:$A$55)),AE89)-25,8),"")</f>
        <v/>
      </c>
      <c r="U89" s="30"/>
      <c r="V89" s="1090"/>
      <c r="W89" s="1090"/>
      <c r="X89" s="1090"/>
      <c r="Y89" s="2298" t="str">
        <f t="shared" si="33"/>
        <v/>
      </c>
      <c r="Z89" s="1357"/>
      <c r="AA89" s="2073" t="str">
        <f>IF($A89&lt;&gt;"",
      IF($E89="Windows",VLOOKUP($A89,dist_assets,15,FALSE),
        IF($E89&lt;&gt;"Windows",
               IF($H89="Oracle Standalone 11.2",Oracle_Standalone_fs($S89),
               IF($H89="Oracle HACMP 11.2 - Node 1", Oracle_HACMP_Node_1($S89),
               IF($H89="Oracle HACMP 11.2 - Node 2", Oracle_HACMP_Node_2($S89),
               IF($H89="Oracle-RAC","Oracle RAC requires special config
work with Open Systems",
               IF($AC89="db2_fs",DB2_FS($S89),""))))))),"")</f>
        <v/>
      </c>
      <c r="AB89" s="1358"/>
      <c r="AC89" s="3348" t="str">
        <f t="shared" si="35"/>
        <v/>
      </c>
      <c r="AD89" s="1642" t="str">
        <f t="shared" si="34"/>
        <v/>
      </c>
      <c r="AE89" s="2008" t="str">
        <f>IF(A89&lt;&gt;"",COUNTIF($A$7:A89,A89),"")</f>
        <v/>
      </c>
    </row>
    <row r="90" spans="1:31">
      <c r="A90" s="301" t="str">
        <f t="array" ref="A90">IF('New DB Request'!A109&lt;&gt;"",INDEX(newdbreq_assetlist,MATCH(SMALL(COUNTIF(newdbreq_assetlist,"&lt;="&amp;newdbreq_assetlist),ROWS($A$26:A109)),COUNTIF(newdbreq_assetlist,"&lt;="&amp;newdbreq_assetlist),0)),"")</f>
        <v/>
      </c>
      <c r="B90" s="2298" t="str">
        <f t="shared" si="24"/>
        <v/>
      </c>
      <c r="C90" s="1692" t="str">
        <f>IF($A90&lt;&gt;"",
                         LEFT(VLOOKUP($A90,IP!$A$4:$N$153,11,FALSE),SEARCH(".",VLOOKUP($A90,IP!$A$4:$N$153,11,FALSE))-1),
        "")</f>
        <v/>
      </c>
      <c r="D90" s="1692" t="str">
        <f>IF($A90&lt;&gt;"",VLOOKUP(CONCATENATE($A90&amp;"  (IP01)"),IP!$A$4:$D$153,4,FALSE),"")</f>
        <v/>
      </c>
      <c r="E90" s="1356" t="str">
        <f t="shared" si="25"/>
        <v/>
      </c>
      <c r="F90" s="590" t="str">
        <f>IF($A90&lt;&gt;"",VLOOKUP(VLOOKUP($A90,dist_assets,2,FALSE),'Distributed Assets'!$C$6:$F$22,4,FALSE),"")</f>
        <v/>
      </c>
      <c r="G90" s="1356" t="str">
        <f t="shared" si="26"/>
        <v/>
      </c>
      <c r="H90" s="590" t="str">
        <f t="shared" si="27"/>
        <v/>
      </c>
      <c r="I90" s="590" t="str">
        <f t="shared" si="28"/>
        <v/>
      </c>
      <c r="J90" s="1356" t="str">
        <f t="shared" si="29"/>
        <v/>
      </c>
      <c r="K90" s="1356" t="str">
        <f t="shared" si="30"/>
        <v/>
      </c>
      <c r="L90" s="1356" t="str">
        <f t="shared" si="31"/>
        <v/>
      </c>
      <c r="M90" s="590" t="str">
        <f t="shared" si="32"/>
        <v/>
      </c>
      <c r="N90" s="30"/>
      <c r="O90" s="2073" t="str">
        <f t="array" ref="O90">IF(A90&lt;&gt;"",INDEX('New DB Request'!$A$26:$M$55,SMALL(IF(A90='New DB Request'!$A$26:$A$55,ROW('New DB Request'!$A$26:$A$55)),AE90)-25,4),"")</f>
        <v/>
      </c>
      <c r="P90" s="748"/>
      <c r="Q90" s="30"/>
      <c r="R90" s="2298" t="str">
        <f t="array" ref="R90">IF(A90&lt;&gt;"",INDEX('New DB Request'!$A$26:$M$55,SMALL(IF(A90='New DB Request'!$A$26:$A$55,ROW('New DB Request'!$A$26:$A$55)),AE90)-25,5),"")</f>
        <v/>
      </c>
      <c r="S90" s="2633" t="str">
        <f t="array" ref="S90">IF(A90&lt;&gt;"",INDEX('New DB Request'!$A$26:$M$55,SMALL(IF(A90='New DB Request'!$A$26:$A$55,ROW('New DB Request'!$A$26:$A$55)),AE90)-25,6),"")</f>
        <v/>
      </c>
      <c r="T90" s="2008" t="str">
        <f t="array" ref="T90">IF(A90&lt;&gt;"",INDEX('New DB Request'!$A$26:$M$55,SMALL(IF(A90='New DB Request'!$A$26:$A$55,ROW('New DB Request'!$A$26:$A$55)),AE90)-25,8),"")</f>
        <v/>
      </c>
      <c r="U90" s="30"/>
      <c r="V90" s="1090"/>
      <c r="W90" s="1090"/>
      <c r="X90" s="1090"/>
      <c r="Y90" s="2298" t="str">
        <f t="shared" si="33"/>
        <v/>
      </c>
      <c r="Z90" s="1357"/>
      <c r="AA90" s="2073" t="str">
        <f>IF($A90&lt;&gt;"",
      IF($E90="Windows",VLOOKUP($A90,dist_assets,15,FALSE),
        IF($E90&lt;&gt;"Windows",
               IF($H90="Oracle Standalone 11.2",Oracle_Standalone_fs($S90),
               IF($H90="Oracle HACMP 11.2 - Node 1", Oracle_HACMP_Node_1($S90),
               IF($H90="Oracle HACMP 11.2 - Node 2", Oracle_HACMP_Node_2($S90),
               IF($H90="Oracle-RAC","Oracle RAC requires special config
work with Open Systems",
               IF($AC90="db2_fs",DB2_FS($S90),""))))))),"")</f>
        <v/>
      </c>
      <c r="AB90" s="1358"/>
      <c r="AC90" s="3348" t="str">
        <f t="shared" si="35"/>
        <v/>
      </c>
      <c r="AD90" s="1642" t="str">
        <f t="shared" si="34"/>
        <v/>
      </c>
      <c r="AE90" s="2008" t="str">
        <f>IF(A90&lt;&gt;"",COUNTIF($A$7:A90,A90),"")</f>
        <v/>
      </c>
    </row>
    <row r="91" spans="1:31">
      <c r="A91" s="301" t="str">
        <f t="array" ref="A91">IF('New DB Request'!A110&lt;&gt;"",INDEX(newdbreq_assetlist,MATCH(SMALL(COUNTIF(newdbreq_assetlist,"&lt;="&amp;newdbreq_assetlist),ROWS($A$26:A110)),COUNTIF(newdbreq_assetlist,"&lt;="&amp;newdbreq_assetlist),0)),"")</f>
        <v/>
      </c>
      <c r="B91" s="2298" t="str">
        <f t="shared" si="24"/>
        <v/>
      </c>
      <c r="C91" s="1692" t="str">
        <f>IF($A91&lt;&gt;"",
                         LEFT(VLOOKUP($A91,IP!$A$4:$N$153,11,FALSE),SEARCH(".",VLOOKUP($A91,IP!$A$4:$N$153,11,FALSE))-1),
        "")</f>
        <v/>
      </c>
      <c r="D91" s="1692" t="str">
        <f>IF($A91&lt;&gt;"",VLOOKUP(CONCATENATE($A91&amp;"  (IP01)"),IP!$A$4:$D$153,4,FALSE),"")</f>
        <v/>
      </c>
      <c r="E91" s="1356" t="str">
        <f t="shared" si="25"/>
        <v/>
      </c>
      <c r="F91" s="590" t="str">
        <f>IF($A91&lt;&gt;"",VLOOKUP(VLOOKUP($A91,dist_assets,2,FALSE),'Distributed Assets'!$C$6:$F$22,4,FALSE),"")</f>
        <v/>
      </c>
      <c r="G91" s="1356" t="str">
        <f t="shared" si="26"/>
        <v/>
      </c>
      <c r="H91" s="590" t="str">
        <f t="shared" si="27"/>
        <v/>
      </c>
      <c r="I91" s="590" t="str">
        <f t="shared" si="28"/>
        <v/>
      </c>
      <c r="J91" s="1356" t="str">
        <f t="shared" si="29"/>
        <v/>
      </c>
      <c r="K91" s="1356" t="str">
        <f t="shared" si="30"/>
        <v/>
      </c>
      <c r="L91" s="1356" t="str">
        <f t="shared" si="31"/>
        <v/>
      </c>
      <c r="M91" s="590" t="str">
        <f t="shared" si="32"/>
        <v/>
      </c>
      <c r="N91" s="30"/>
      <c r="O91" s="2073" t="str">
        <f t="array" ref="O91">IF(A91&lt;&gt;"",INDEX('New DB Request'!$A$26:$M$55,SMALL(IF(A91='New DB Request'!$A$26:$A$55,ROW('New DB Request'!$A$26:$A$55)),AE91)-25,4),"")</f>
        <v/>
      </c>
      <c r="P91" s="748"/>
      <c r="Q91" s="30"/>
      <c r="R91" s="2298" t="str">
        <f t="array" ref="R91">IF(A91&lt;&gt;"",INDEX('New DB Request'!$A$26:$M$55,SMALL(IF(A91='New DB Request'!$A$26:$A$55,ROW('New DB Request'!$A$26:$A$55)),AE91)-25,5),"")</f>
        <v/>
      </c>
      <c r="S91" s="2633" t="str">
        <f t="array" ref="S91">IF(A91&lt;&gt;"",INDEX('New DB Request'!$A$26:$M$55,SMALL(IF(A91='New DB Request'!$A$26:$A$55,ROW('New DB Request'!$A$26:$A$55)),AE91)-25,6),"")</f>
        <v/>
      </c>
      <c r="T91" s="2008" t="str">
        <f t="array" ref="T91">IF(A91&lt;&gt;"",INDEX('New DB Request'!$A$26:$M$55,SMALL(IF(A91='New DB Request'!$A$26:$A$55,ROW('New DB Request'!$A$26:$A$55)),AE91)-25,8),"")</f>
        <v/>
      </c>
      <c r="U91" s="30"/>
      <c r="V91" s="1090"/>
      <c r="W91" s="1090"/>
      <c r="X91" s="1090"/>
      <c r="Y91" s="2298" t="str">
        <f t="shared" si="33"/>
        <v/>
      </c>
      <c r="Z91" s="1357"/>
      <c r="AA91" s="2073" t="str">
        <f>IF($A91&lt;&gt;"",
      IF($E91="Windows",VLOOKUP($A91,dist_assets,15,FALSE),
        IF($E91&lt;&gt;"Windows",
               IF($H91="Oracle Standalone 11.2",Oracle_Standalone_fs($S91),
               IF($H91="Oracle HACMP 11.2 - Node 1", Oracle_HACMP_Node_1($S91),
               IF($H91="Oracle HACMP 11.2 - Node 2", Oracle_HACMP_Node_2($S91),
               IF($H91="Oracle-RAC","Oracle RAC requires special config
work with Open Systems",
               IF($AC91="db2_fs",DB2_FS($S91),""))))))),"")</f>
        <v/>
      </c>
      <c r="AB91" s="1358"/>
      <c r="AC91" s="3348" t="str">
        <f t="shared" si="35"/>
        <v/>
      </c>
      <c r="AD91" s="1642" t="str">
        <f t="shared" si="34"/>
        <v/>
      </c>
      <c r="AE91" s="2008" t="str">
        <f>IF(A91&lt;&gt;"",COUNTIF($A$7:A91,A91),"")</f>
        <v/>
      </c>
    </row>
    <row r="92" spans="1:31">
      <c r="A92" s="301" t="str">
        <f t="array" ref="A92">IF('New DB Request'!A111&lt;&gt;"",INDEX(newdbreq_assetlist,MATCH(SMALL(COUNTIF(newdbreq_assetlist,"&lt;="&amp;newdbreq_assetlist),ROWS($A$26:A111)),COUNTIF(newdbreq_assetlist,"&lt;="&amp;newdbreq_assetlist),0)),"")</f>
        <v/>
      </c>
      <c r="B92" s="2298" t="str">
        <f t="shared" si="24"/>
        <v/>
      </c>
      <c r="C92" s="1692" t="str">
        <f>IF($A92&lt;&gt;"",
                         LEFT(VLOOKUP($A92,IP!$A$4:$N$153,11,FALSE),SEARCH(".",VLOOKUP($A92,IP!$A$4:$N$153,11,FALSE))-1),
        "")</f>
        <v/>
      </c>
      <c r="D92" s="1692" t="str">
        <f>IF($A92&lt;&gt;"",VLOOKUP(CONCATENATE($A92&amp;"  (IP01)"),IP!$A$4:$D$153,4,FALSE),"")</f>
        <v/>
      </c>
      <c r="E92" s="1356" t="str">
        <f t="shared" si="25"/>
        <v/>
      </c>
      <c r="F92" s="590" t="str">
        <f>IF($A92&lt;&gt;"",VLOOKUP(VLOOKUP($A92,dist_assets,2,FALSE),'Distributed Assets'!$C$6:$F$22,4,FALSE),"")</f>
        <v/>
      </c>
      <c r="G92" s="1356" t="str">
        <f t="shared" si="26"/>
        <v/>
      </c>
      <c r="H92" s="590" t="str">
        <f t="shared" si="27"/>
        <v/>
      </c>
      <c r="I92" s="590" t="str">
        <f t="shared" si="28"/>
        <v/>
      </c>
      <c r="J92" s="1356" t="str">
        <f t="shared" si="29"/>
        <v/>
      </c>
      <c r="K92" s="1356" t="str">
        <f t="shared" si="30"/>
        <v/>
      </c>
      <c r="L92" s="1356" t="str">
        <f t="shared" si="31"/>
        <v/>
      </c>
      <c r="M92" s="590" t="str">
        <f t="shared" si="32"/>
        <v/>
      </c>
      <c r="N92" s="30"/>
      <c r="O92" s="2073" t="str">
        <f t="array" ref="O92">IF(A92&lt;&gt;"",INDEX('New DB Request'!$A$26:$M$55,SMALL(IF(A92='New DB Request'!$A$26:$A$55,ROW('New DB Request'!$A$26:$A$55)),AE92)-25,4),"")</f>
        <v/>
      </c>
      <c r="P92" s="748"/>
      <c r="Q92" s="30"/>
      <c r="R92" s="2298" t="str">
        <f t="array" ref="R92">IF(A92&lt;&gt;"",INDEX('New DB Request'!$A$26:$M$55,SMALL(IF(A92='New DB Request'!$A$26:$A$55,ROW('New DB Request'!$A$26:$A$55)),AE92)-25,5),"")</f>
        <v/>
      </c>
      <c r="S92" s="2633" t="str">
        <f t="array" ref="S92">IF(A92&lt;&gt;"",INDEX('New DB Request'!$A$26:$M$55,SMALL(IF(A92='New DB Request'!$A$26:$A$55,ROW('New DB Request'!$A$26:$A$55)),AE92)-25,6),"")</f>
        <v/>
      </c>
      <c r="T92" s="2008" t="str">
        <f t="array" ref="T92">IF(A92&lt;&gt;"",INDEX('New DB Request'!$A$26:$M$55,SMALL(IF(A92='New DB Request'!$A$26:$A$55,ROW('New DB Request'!$A$26:$A$55)),AE92)-25,8),"")</f>
        <v/>
      </c>
      <c r="U92" s="30"/>
      <c r="V92" s="1090"/>
      <c r="W92" s="1090"/>
      <c r="X92" s="1090"/>
      <c r="Y92" s="2298" t="str">
        <f t="shared" si="33"/>
        <v/>
      </c>
      <c r="Z92" s="1357"/>
      <c r="AA92" s="2073" t="str">
        <f>IF($A92&lt;&gt;"",
      IF($E92="Windows",VLOOKUP($A92,dist_assets,15,FALSE),
        IF($E92&lt;&gt;"Windows",
               IF($H92="Oracle Standalone 11.2",Oracle_Standalone_fs($S92),
               IF($H92="Oracle HACMP 11.2 - Node 1", Oracle_HACMP_Node_1($S92),
               IF($H92="Oracle HACMP 11.2 - Node 2", Oracle_HACMP_Node_2($S92),
               IF($H92="Oracle-RAC","Oracle RAC requires special config
work with Open Systems",
               IF($AC92="db2_fs",DB2_FS($S92),""))))))),"")</f>
        <v/>
      </c>
      <c r="AB92" s="1358"/>
      <c r="AC92" s="3348" t="str">
        <f t="shared" si="35"/>
        <v/>
      </c>
      <c r="AD92" s="1642" t="str">
        <f t="shared" si="34"/>
        <v/>
      </c>
      <c r="AE92" s="2008" t="str">
        <f>IF(A92&lt;&gt;"",COUNTIF($A$7:A92,A92),"")</f>
        <v/>
      </c>
    </row>
    <row r="93" spans="1:31">
      <c r="A93" s="301" t="str">
        <f t="array" ref="A93">IF('New DB Request'!A112&lt;&gt;"",INDEX(newdbreq_assetlist,MATCH(SMALL(COUNTIF(newdbreq_assetlist,"&lt;="&amp;newdbreq_assetlist),ROWS($A$26:A112)),COUNTIF(newdbreq_assetlist,"&lt;="&amp;newdbreq_assetlist),0)),"")</f>
        <v/>
      </c>
      <c r="B93" s="2298" t="str">
        <f t="shared" si="24"/>
        <v/>
      </c>
      <c r="C93" s="1692" t="str">
        <f>IF($A93&lt;&gt;"",
                         LEFT(VLOOKUP($A93,IP!$A$4:$N$153,11,FALSE),SEARCH(".",VLOOKUP($A93,IP!$A$4:$N$153,11,FALSE))-1),
        "")</f>
        <v/>
      </c>
      <c r="D93" s="1692" t="str">
        <f>IF($A93&lt;&gt;"",VLOOKUP(CONCATENATE($A93&amp;"  (IP01)"),IP!$A$4:$D$153,4,FALSE),"")</f>
        <v/>
      </c>
      <c r="E93" s="1356" t="str">
        <f t="shared" si="25"/>
        <v/>
      </c>
      <c r="F93" s="590" t="str">
        <f>IF($A93&lt;&gt;"",VLOOKUP(VLOOKUP($A93,dist_assets,2,FALSE),'Distributed Assets'!$C$6:$F$22,4,FALSE),"")</f>
        <v/>
      </c>
      <c r="G93" s="1356" t="str">
        <f t="shared" si="26"/>
        <v/>
      </c>
      <c r="H93" s="590" t="str">
        <f t="shared" si="27"/>
        <v/>
      </c>
      <c r="I93" s="590" t="str">
        <f t="shared" si="28"/>
        <v/>
      </c>
      <c r="J93" s="1356" t="str">
        <f t="shared" si="29"/>
        <v/>
      </c>
      <c r="K93" s="1356" t="str">
        <f t="shared" si="30"/>
        <v/>
      </c>
      <c r="L93" s="1356" t="str">
        <f t="shared" si="31"/>
        <v/>
      </c>
      <c r="M93" s="590" t="str">
        <f t="shared" si="32"/>
        <v/>
      </c>
      <c r="N93" s="30"/>
      <c r="O93" s="2073" t="str">
        <f t="array" ref="O93">IF(A93&lt;&gt;"",INDEX('New DB Request'!$A$26:$M$55,SMALL(IF(A93='New DB Request'!$A$26:$A$55,ROW('New DB Request'!$A$26:$A$55)),AE93)-25,4),"")</f>
        <v/>
      </c>
      <c r="P93" s="748"/>
      <c r="Q93" s="30"/>
      <c r="R93" s="2298" t="str">
        <f t="array" ref="R93">IF(A93&lt;&gt;"",INDEX('New DB Request'!$A$26:$M$55,SMALL(IF(A93='New DB Request'!$A$26:$A$55,ROW('New DB Request'!$A$26:$A$55)),AE93)-25,5),"")</f>
        <v/>
      </c>
      <c r="S93" s="2633" t="str">
        <f t="array" ref="S93">IF(A93&lt;&gt;"",INDEX('New DB Request'!$A$26:$M$55,SMALL(IF(A93='New DB Request'!$A$26:$A$55,ROW('New DB Request'!$A$26:$A$55)),AE93)-25,6),"")</f>
        <v/>
      </c>
      <c r="T93" s="2008" t="str">
        <f t="array" ref="T93">IF(A93&lt;&gt;"",INDEX('New DB Request'!$A$26:$M$55,SMALL(IF(A93='New DB Request'!$A$26:$A$55,ROW('New DB Request'!$A$26:$A$55)),AE93)-25,8),"")</f>
        <v/>
      </c>
      <c r="U93" s="30"/>
      <c r="V93" s="1090"/>
      <c r="W93" s="1090"/>
      <c r="X93" s="1090"/>
      <c r="Y93" s="2298" t="str">
        <f t="shared" si="33"/>
        <v/>
      </c>
      <c r="Z93" s="1357"/>
      <c r="AA93" s="2073" t="str">
        <f>IF($A93&lt;&gt;"",
      IF($E93="Windows",VLOOKUP($A93,dist_assets,15,FALSE),
        IF($E93&lt;&gt;"Windows",
               IF($H93="Oracle Standalone 11.2",Oracle_Standalone_fs($S93),
               IF($H93="Oracle HACMP 11.2 - Node 1", Oracle_HACMP_Node_1($S93),
               IF($H93="Oracle HACMP 11.2 - Node 2", Oracle_HACMP_Node_2($S93),
               IF($H93="Oracle-RAC","Oracle RAC requires special config
work with Open Systems",
               IF($AC93="db2_fs",DB2_FS($S93),""))))))),"")</f>
        <v/>
      </c>
      <c r="AB93" s="1358"/>
      <c r="AC93" s="3348" t="str">
        <f t="shared" si="35"/>
        <v/>
      </c>
      <c r="AD93" s="1642" t="str">
        <f t="shared" si="34"/>
        <v/>
      </c>
      <c r="AE93" s="2008" t="str">
        <f>IF(A93&lt;&gt;"",COUNTIF($A$7:A93,A93),"")</f>
        <v/>
      </c>
    </row>
    <row r="94" spans="1:31">
      <c r="A94" s="301" t="str">
        <f t="array" ref="A94">IF('New DB Request'!A113&lt;&gt;"",INDEX(newdbreq_assetlist,MATCH(SMALL(COUNTIF(newdbreq_assetlist,"&lt;="&amp;newdbreq_assetlist),ROWS($A$26:A113)),COUNTIF(newdbreq_assetlist,"&lt;="&amp;newdbreq_assetlist),0)),"")</f>
        <v/>
      </c>
      <c r="B94" s="2298" t="str">
        <f t="shared" si="24"/>
        <v/>
      </c>
      <c r="C94" s="1692" t="str">
        <f>IF($A94&lt;&gt;"",
                         LEFT(VLOOKUP($A94,IP!$A$4:$N$153,11,FALSE),SEARCH(".",VLOOKUP($A94,IP!$A$4:$N$153,11,FALSE))-1),
        "")</f>
        <v/>
      </c>
      <c r="D94" s="1692" t="str">
        <f>IF($A94&lt;&gt;"",VLOOKUP(CONCATENATE($A94&amp;"  (IP01)"),IP!$A$4:$D$153,4,FALSE),"")</f>
        <v/>
      </c>
      <c r="E94" s="1356" t="str">
        <f t="shared" si="25"/>
        <v/>
      </c>
      <c r="F94" s="590" t="str">
        <f>IF($A94&lt;&gt;"",VLOOKUP(VLOOKUP($A94,dist_assets,2,FALSE),'Distributed Assets'!$C$6:$F$22,4,FALSE),"")</f>
        <v/>
      </c>
      <c r="G94" s="1356" t="str">
        <f t="shared" si="26"/>
        <v/>
      </c>
      <c r="H94" s="590" t="str">
        <f t="shared" si="27"/>
        <v/>
      </c>
      <c r="I94" s="590" t="str">
        <f t="shared" si="28"/>
        <v/>
      </c>
      <c r="J94" s="1356" t="str">
        <f t="shared" si="29"/>
        <v/>
      </c>
      <c r="K94" s="1356" t="str">
        <f t="shared" si="30"/>
        <v/>
      </c>
      <c r="L94" s="1356" t="str">
        <f t="shared" si="31"/>
        <v/>
      </c>
      <c r="M94" s="590" t="str">
        <f t="shared" si="32"/>
        <v/>
      </c>
      <c r="N94" s="30"/>
      <c r="O94" s="2073" t="str">
        <f t="array" ref="O94">IF(A94&lt;&gt;"",INDEX('New DB Request'!$A$26:$M$55,SMALL(IF(A94='New DB Request'!$A$26:$A$55,ROW('New DB Request'!$A$26:$A$55)),AE94)-25,4),"")</f>
        <v/>
      </c>
      <c r="P94" s="748"/>
      <c r="Q94" s="30"/>
      <c r="R94" s="2298" t="str">
        <f t="array" ref="R94">IF(A94&lt;&gt;"",INDEX('New DB Request'!$A$26:$M$55,SMALL(IF(A94='New DB Request'!$A$26:$A$55,ROW('New DB Request'!$A$26:$A$55)),AE94)-25,5),"")</f>
        <v/>
      </c>
      <c r="S94" s="2633" t="str">
        <f t="array" ref="S94">IF(A94&lt;&gt;"",INDEX('New DB Request'!$A$26:$M$55,SMALL(IF(A94='New DB Request'!$A$26:$A$55,ROW('New DB Request'!$A$26:$A$55)),AE94)-25,6),"")</f>
        <v/>
      </c>
      <c r="T94" s="2008" t="str">
        <f t="array" ref="T94">IF(A94&lt;&gt;"",INDEX('New DB Request'!$A$26:$M$55,SMALL(IF(A94='New DB Request'!$A$26:$A$55,ROW('New DB Request'!$A$26:$A$55)),AE94)-25,8),"")</f>
        <v/>
      </c>
      <c r="U94" s="30"/>
      <c r="V94" s="1090"/>
      <c r="W94" s="1090"/>
      <c r="X94" s="1090"/>
      <c r="Y94" s="2298" t="str">
        <f t="shared" si="33"/>
        <v/>
      </c>
      <c r="Z94" s="1357"/>
      <c r="AA94" s="2073" t="str">
        <f>IF($A94&lt;&gt;"",
      IF($E94="Windows",VLOOKUP($A94,dist_assets,15,FALSE),
        IF($E94&lt;&gt;"Windows",
               IF($H94="Oracle Standalone 11.2",Oracle_Standalone_fs($S94),
               IF($H94="Oracle HACMP 11.2 - Node 1", Oracle_HACMP_Node_1($S94),
               IF($H94="Oracle HACMP 11.2 - Node 2", Oracle_HACMP_Node_2($S94),
               IF($H94="Oracle-RAC","Oracle RAC requires special config
work with Open Systems",
               IF($AC94="db2_fs",DB2_FS($S94),""))))))),"")</f>
        <v/>
      </c>
      <c r="AB94" s="1358"/>
      <c r="AC94" s="3348" t="str">
        <f t="shared" si="35"/>
        <v/>
      </c>
      <c r="AD94" s="1642" t="str">
        <f t="shared" si="34"/>
        <v/>
      </c>
      <c r="AE94" s="2008" t="str">
        <f>IF(A94&lt;&gt;"",COUNTIF($A$7:A94,A94),"")</f>
        <v/>
      </c>
    </row>
    <row r="95" spans="1:31">
      <c r="A95" s="301" t="str">
        <f t="array" ref="A95">IF('New DB Request'!A114&lt;&gt;"",INDEX(newdbreq_assetlist,MATCH(SMALL(COUNTIF(newdbreq_assetlist,"&lt;="&amp;newdbreq_assetlist),ROWS($A$26:A114)),COUNTIF(newdbreq_assetlist,"&lt;="&amp;newdbreq_assetlist),0)),"")</f>
        <v/>
      </c>
      <c r="B95" s="2298" t="str">
        <f t="shared" si="24"/>
        <v/>
      </c>
      <c r="C95" s="1692" t="str">
        <f>IF($A95&lt;&gt;"",
                         LEFT(VLOOKUP($A95,IP!$A$4:$N$153,11,FALSE),SEARCH(".",VLOOKUP($A95,IP!$A$4:$N$153,11,FALSE))-1),
        "")</f>
        <v/>
      </c>
      <c r="D95" s="1692" t="str">
        <f>IF($A95&lt;&gt;"",VLOOKUP(CONCATENATE($A95&amp;"  (IP01)"),IP!$A$4:$D$153,4,FALSE),"")</f>
        <v/>
      </c>
      <c r="E95" s="1356" t="str">
        <f t="shared" si="25"/>
        <v/>
      </c>
      <c r="F95" s="590" t="str">
        <f>IF($A95&lt;&gt;"",VLOOKUP(VLOOKUP($A95,dist_assets,2,FALSE),'Distributed Assets'!$C$6:$F$22,4,FALSE),"")</f>
        <v/>
      </c>
      <c r="G95" s="1356" t="str">
        <f t="shared" si="26"/>
        <v/>
      </c>
      <c r="H95" s="590" t="str">
        <f t="shared" si="27"/>
        <v/>
      </c>
      <c r="I95" s="590" t="str">
        <f t="shared" si="28"/>
        <v/>
      </c>
      <c r="J95" s="1356" t="str">
        <f t="shared" si="29"/>
        <v/>
      </c>
      <c r="K95" s="1356" t="str">
        <f t="shared" si="30"/>
        <v/>
      </c>
      <c r="L95" s="1356" t="str">
        <f t="shared" si="31"/>
        <v/>
      </c>
      <c r="M95" s="590" t="str">
        <f t="shared" si="32"/>
        <v/>
      </c>
      <c r="N95" s="30"/>
      <c r="O95" s="2073" t="str">
        <f t="array" ref="O95">IF(A95&lt;&gt;"",INDEX('New DB Request'!$A$26:$M$55,SMALL(IF(A95='New DB Request'!$A$26:$A$55,ROW('New DB Request'!$A$26:$A$55)),AE95)-25,4),"")</f>
        <v/>
      </c>
      <c r="P95" s="748"/>
      <c r="Q95" s="30"/>
      <c r="R95" s="2298" t="str">
        <f t="array" ref="R95">IF(A95&lt;&gt;"",INDEX('New DB Request'!$A$26:$M$55,SMALL(IF(A95='New DB Request'!$A$26:$A$55,ROW('New DB Request'!$A$26:$A$55)),AE95)-25,5),"")</f>
        <v/>
      </c>
      <c r="S95" s="2633" t="str">
        <f t="array" ref="S95">IF(A95&lt;&gt;"",INDEX('New DB Request'!$A$26:$M$55,SMALL(IF(A95='New DB Request'!$A$26:$A$55,ROW('New DB Request'!$A$26:$A$55)),AE95)-25,6),"")</f>
        <v/>
      </c>
      <c r="T95" s="2008" t="str">
        <f t="array" ref="T95">IF(A95&lt;&gt;"",INDEX('New DB Request'!$A$26:$M$55,SMALL(IF(A95='New DB Request'!$A$26:$A$55,ROW('New DB Request'!$A$26:$A$55)),AE95)-25,8),"")</f>
        <v/>
      </c>
      <c r="U95" s="30"/>
      <c r="V95" s="1090"/>
      <c r="W95" s="1090"/>
      <c r="X95" s="1090"/>
      <c r="Y95" s="2298" t="str">
        <f t="shared" si="33"/>
        <v/>
      </c>
      <c r="Z95" s="1357"/>
      <c r="AA95" s="2073" t="str">
        <f>IF($A95&lt;&gt;"",
      IF($E95="Windows",VLOOKUP($A95,dist_assets,15,FALSE),
        IF($E95&lt;&gt;"Windows",
               IF($H95="Oracle Standalone 11.2",Oracle_Standalone_fs($S95),
               IF($H95="Oracle HACMP 11.2 - Node 1", Oracle_HACMP_Node_1($S95),
               IF($H95="Oracle HACMP 11.2 - Node 2", Oracle_HACMP_Node_2($S95),
               IF($H95="Oracle-RAC","Oracle RAC requires special config
work with Open Systems",
               IF($AC95="db2_fs",DB2_FS($S95),""))))))),"")</f>
        <v/>
      </c>
      <c r="AB95" s="1358"/>
      <c r="AC95" s="3348" t="str">
        <f t="shared" si="35"/>
        <v/>
      </c>
      <c r="AD95" s="1642" t="str">
        <f t="shared" si="34"/>
        <v/>
      </c>
      <c r="AE95" s="2008" t="str">
        <f>IF(A95&lt;&gt;"",COUNTIF($A$7:A95,A95),"")</f>
        <v/>
      </c>
    </row>
    <row r="96" spans="1:31">
      <c r="A96" s="301" t="str">
        <f t="array" ref="A96">IF('New DB Request'!A115&lt;&gt;"",INDEX(newdbreq_assetlist,MATCH(SMALL(COUNTIF(newdbreq_assetlist,"&lt;="&amp;newdbreq_assetlist),ROWS($A$26:A115)),COUNTIF(newdbreq_assetlist,"&lt;="&amp;newdbreq_assetlist),0)),"")</f>
        <v/>
      </c>
      <c r="B96" s="2298" t="str">
        <f t="shared" si="24"/>
        <v/>
      </c>
      <c r="C96" s="1692" t="str">
        <f>IF($A96&lt;&gt;"",
                         LEFT(VLOOKUP($A96,IP!$A$4:$N$153,11,FALSE),SEARCH(".",VLOOKUP($A96,IP!$A$4:$N$153,11,FALSE))-1),
        "")</f>
        <v/>
      </c>
      <c r="D96" s="1692" t="str">
        <f>IF($A96&lt;&gt;"",VLOOKUP(CONCATENATE($A96&amp;"  (IP01)"),IP!$A$4:$D$153,4,FALSE),"")</f>
        <v/>
      </c>
      <c r="E96" s="1356" t="str">
        <f t="shared" si="25"/>
        <v/>
      </c>
      <c r="F96" s="590" t="str">
        <f>IF($A96&lt;&gt;"",VLOOKUP(VLOOKUP($A96,dist_assets,2,FALSE),'Distributed Assets'!$C$6:$F$22,4,FALSE),"")</f>
        <v/>
      </c>
      <c r="G96" s="1356" t="str">
        <f t="shared" si="26"/>
        <v/>
      </c>
      <c r="H96" s="590" t="str">
        <f t="shared" si="27"/>
        <v/>
      </c>
      <c r="I96" s="590" t="str">
        <f t="shared" si="28"/>
        <v/>
      </c>
      <c r="J96" s="1356" t="str">
        <f t="shared" si="29"/>
        <v/>
      </c>
      <c r="K96" s="1356" t="str">
        <f t="shared" si="30"/>
        <v/>
      </c>
      <c r="L96" s="1356" t="str">
        <f t="shared" si="31"/>
        <v/>
      </c>
      <c r="M96" s="590" t="str">
        <f t="shared" si="32"/>
        <v/>
      </c>
      <c r="N96" s="30"/>
      <c r="O96" s="2073" t="str">
        <f t="array" ref="O96">IF(A96&lt;&gt;"",INDEX('New DB Request'!$A$26:$M$55,SMALL(IF(A96='New DB Request'!$A$26:$A$55,ROW('New DB Request'!$A$26:$A$55)),AE96)-25,4),"")</f>
        <v/>
      </c>
      <c r="P96" s="748"/>
      <c r="Q96" s="30"/>
      <c r="R96" s="2298" t="str">
        <f t="array" ref="R96">IF(A96&lt;&gt;"",INDEX('New DB Request'!$A$26:$M$55,SMALL(IF(A96='New DB Request'!$A$26:$A$55,ROW('New DB Request'!$A$26:$A$55)),AE96)-25,5),"")</f>
        <v/>
      </c>
      <c r="S96" s="2633" t="str">
        <f t="array" ref="S96">IF(A96&lt;&gt;"",INDEX('New DB Request'!$A$26:$M$55,SMALL(IF(A96='New DB Request'!$A$26:$A$55,ROW('New DB Request'!$A$26:$A$55)),AE96)-25,6),"")</f>
        <v/>
      </c>
      <c r="T96" s="2008" t="str">
        <f t="array" ref="T96">IF(A96&lt;&gt;"",INDEX('New DB Request'!$A$26:$M$55,SMALL(IF(A96='New DB Request'!$A$26:$A$55,ROW('New DB Request'!$A$26:$A$55)),AE96)-25,8),"")</f>
        <v/>
      </c>
      <c r="U96" s="30"/>
      <c r="V96" s="1090"/>
      <c r="W96" s="1090"/>
      <c r="X96" s="1090"/>
      <c r="Y96" s="2298" t="str">
        <f t="shared" si="33"/>
        <v/>
      </c>
      <c r="Z96" s="1357"/>
      <c r="AA96" s="2073" t="str">
        <f>IF($A96&lt;&gt;"",
      IF($E96="Windows",VLOOKUP($A96,dist_assets,15,FALSE),
        IF($E96&lt;&gt;"Windows",
               IF($H96="Oracle Standalone 11.2",Oracle_Standalone_fs($S96),
               IF($H96="Oracle HACMP 11.2 - Node 1", Oracle_HACMP_Node_1($S96),
               IF($H96="Oracle HACMP 11.2 - Node 2", Oracle_HACMP_Node_2($S96),
               IF($H96="Oracle-RAC","Oracle RAC requires special config
work with Open Systems",
               IF($AC96="db2_fs",DB2_FS($S96),""))))))),"")</f>
        <v/>
      </c>
      <c r="AB96" s="1358"/>
      <c r="AC96" s="3348" t="str">
        <f t="shared" si="35"/>
        <v/>
      </c>
      <c r="AD96" s="1642" t="str">
        <f t="shared" si="34"/>
        <v/>
      </c>
      <c r="AE96" s="2008" t="str">
        <f>IF(A96&lt;&gt;"",COUNTIF($A$7:A96,A96),"")</f>
        <v/>
      </c>
    </row>
    <row r="97" spans="1:31">
      <c r="A97" s="301" t="str">
        <f t="array" ref="A97">IF('New DB Request'!A116&lt;&gt;"",INDEX(newdbreq_assetlist,MATCH(SMALL(COUNTIF(newdbreq_assetlist,"&lt;="&amp;newdbreq_assetlist),ROWS($A$26:A116)),COUNTIF(newdbreq_assetlist,"&lt;="&amp;newdbreq_assetlist),0)),"")</f>
        <v/>
      </c>
      <c r="B97" s="2298" t="str">
        <f t="shared" si="24"/>
        <v/>
      </c>
      <c r="C97" s="1692" t="str">
        <f>IF($A97&lt;&gt;"",
                         LEFT(VLOOKUP($A97,IP!$A$4:$N$153,11,FALSE),SEARCH(".",VLOOKUP($A97,IP!$A$4:$N$153,11,FALSE))-1),
        "")</f>
        <v/>
      </c>
      <c r="D97" s="1692" t="str">
        <f>IF($A97&lt;&gt;"",VLOOKUP(CONCATENATE($A97&amp;"  (IP01)"),IP!$A$4:$D$153,4,FALSE),"")</f>
        <v/>
      </c>
      <c r="E97" s="1356" t="str">
        <f t="shared" si="25"/>
        <v/>
      </c>
      <c r="F97" s="590" t="str">
        <f>IF($A97&lt;&gt;"",VLOOKUP(VLOOKUP($A97,dist_assets,2,FALSE),'Distributed Assets'!$C$6:$F$22,4,FALSE),"")</f>
        <v/>
      </c>
      <c r="G97" s="1356" t="str">
        <f t="shared" si="26"/>
        <v/>
      </c>
      <c r="H97" s="590" t="str">
        <f t="shared" si="27"/>
        <v/>
      </c>
      <c r="I97" s="590" t="str">
        <f t="shared" si="28"/>
        <v/>
      </c>
      <c r="J97" s="1356" t="str">
        <f t="shared" si="29"/>
        <v/>
      </c>
      <c r="K97" s="1356" t="str">
        <f t="shared" si="30"/>
        <v/>
      </c>
      <c r="L97" s="1356" t="str">
        <f t="shared" si="31"/>
        <v/>
      </c>
      <c r="M97" s="590" t="str">
        <f t="shared" si="32"/>
        <v/>
      </c>
      <c r="N97" s="30"/>
      <c r="O97" s="2073" t="str">
        <f t="array" ref="O97">IF(A97&lt;&gt;"",INDEX('New DB Request'!$A$26:$M$55,SMALL(IF(A97='New DB Request'!$A$26:$A$55,ROW('New DB Request'!$A$26:$A$55)),AE97)-25,4),"")</f>
        <v/>
      </c>
      <c r="P97" s="748"/>
      <c r="Q97" s="30"/>
      <c r="R97" s="2298" t="str">
        <f t="array" ref="R97">IF(A97&lt;&gt;"",INDEX('New DB Request'!$A$26:$M$55,SMALL(IF(A97='New DB Request'!$A$26:$A$55,ROW('New DB Request'!$A$26:$A$55)),AE97)-25,5),"")</f>
        <v/>
      </c>
      <c r="S97" s="2633" t="str">
        <f t="array" ref="S97">IF(A97&lt;&gt;"",INDEX('New DB Request'!$A$26:$M$55,SMALL(IF(A97='New DB Request'!$A$26:$A$55,ROW('New DB Request'!$A$26:$A$55)),AE97)-25,6),"")</f>
        <v/>
      </c>
      <c r="T97" s="2008" t="str">
        <f t="array" ref="T97">IF(A97&lt;&gt;"",INDEX('New DB Request'!$A$26:$M$55,SMALL(IF(A97='New DB Request'!$A$26:$A$55,ROW('New DB Request'!$A$26:$A$55)),AE97)-25,8),"")</f>
        <v/>
      </c>
      <c r="U97" s="30"/>
      <c r="V97" s="1090"/>
      <c r="W97" s="1090"/>
      <c r="X97" s="1090"/>
      <c r="Y97" s="2298" t="str">
        <f t="shared" si="33"/>
        <v/>
      </c>
      <c r="Z97" s="1357"/>
      <c r="AA97" s="2073" t="str">
        <f>IF($A97&lt;&gt;"",
      IF($E97="Windows",VLOOKUP($A97,dist_assets,15,FALSE),
        IF($E97&lt;&gt;"Windows",
               IF($H97="Oracle Standalone 11.2",Oracle_Standalone_fs($S97),
               IF($H97="Oracle HACMP 11.2 - Node 1", Oracle_HACMP_Node_1($S97),
               IF($H97="Oracle HACMP 11.2 - Node 2", Oracle_HACMP_Node_2($S97),
               IF($H97="Oracle-RAC","Oracle RAC requires special config
work with Open Systems",
               IF($AC97="db2_fs",DB2_FS($S97),""))))))),"")</f>
        <v/>
      </c>
      <c r="AB97" s="1358"/>
      <c r="AC97" s="3348" t="str">
        <f t="shared" si="35"/>
        <v/>
      </c>
      <c r="AD97" s="1642" t="str">
        <f t="shared" si="34"/>
        <v/>
      </c>
      <c r="AE97" s="2008" t="str">
        <f>IF(A97&lt;&gt;"",COUNTIF($A$7:A97,A97),"")</f>
        <v/>
      </c>
    </row>
    <row r="98" spans="1:31">
      <c r="A98" s="301" t="str">
        <f t="array" ref="A98">IF('New DB Request'!A117&lt;&gt;"",INDEX(newdbreq_assetlist,MATCH(SMALL(COUNTIF(newdbreq_assetlist,"&lt;="&amp;newdbreq_assetlist),ROWS($A$26:A117)),COUNTIF(newdbreq_assetlist,"&lt;="&amp;newdbreq_assetlist),0)),"")</f>
        <v/>
      </c>
      <c r="B98" s="2298" t="str">
        <f t="shared" si="24"/>
        <v/>
      </c>
      <c r="C98" s="1692" t="str">
        <f>IF($A98&lt;&gt;"",
                         LEFT(VLOOKUP($A98,IP!$A$4:$N$153,11,FALSE),SEARCH(".",VLOOKUP($A98,IP!$A$4:$N$153,11,FALSE))-1),
        "")</f>
        <v/>
      </c>
      <c r="D98" s="1692" t="str">
        <f>IF($A98&lt;&gt;"",VLOOKUP(CONCATENATE($A98&amp;"  (IP01)"),IP!$A$4:$D$153,4,FALSE),"")</f>
        <v/>
      </c>
      <c r="E98" s="1356" t="str">
        <f t="shared" si="25"/>
        <v/>
      </c>
      <c r="F98" s="590" t="str">
        <f>IF($A98&lt;&gt;"",VLOOKUP(VLOOKUP($A98,dist_assets,2,FALSE),'Distributed Assets'!$C$6:$F$22,4,FALSE),"")</f>
        <v/>
      </c>
      <c r="G98" s="1356" t="str">
        <f t="shared" si="26"/>
        <v/>
      </c>
      <c r="H98" s="590" t="str">
        <f t="shared" si="27"/>
        <v/>
      </c>
      <c r="I98" s="590" t="str">
        <f t="shared" si="28"/>
        <v/>
      </c>
      <c r="J98" s="1356" t="str">
        <f t="shared" si="29"/>
        <v/>
      </c>
      <c r="K98" s="1356" t="str">
        <f t="shared" si="30"/>
        <v/>
      </c>
      <c r="L98" s="1356" t="str">
        <f t="shared" si="31"/>
        <v/>
      </c>
      <c r="M98" s="590" t="str">
        <f t="shared" si="32"/>
        <v/>
      </c>
      <c r="N98" s="30"/>
      <c r="O98" s="2073" t="str">
        <f t="array" ref="O98">IF(A98&lt;&gt;"",INDEX('New DB Request'!$A$26:$M$55,SMALL(IF(A98='New DB Request'!$A$26:$A$55,ROW('New DB Request'!$A$26:$A$55)),AE98)-25,4),"")</f>
        <v/>
      </c>
      <c r="P98" s="748"/>
      <c r="Q98" s="30"/>
      <c r="R98" s="2298" t="str">
        <f t="array" ref="R98">IF(A98&lt;&gt;"",INDEX('New DB Request'!$A$26:$M$55,SMALL(IF(A98='New DB Request'!$A$26:$A$55,ROW('New DB Request'!$A$26:$A$55)),AE98)-25,5),"")</f>
        <v/>
      </c>
      <c r="S98" s="2633" t="str">
        <f t="array" ref="S98">IF(A98&lt;&gt;"",INDEX('New DB Request'!$A$26:$M$55,SMALL(IF(A98='New DB Request'!$A$26:$A$55,ROW('New DB Request'!$A$26:$A$55)),AE98)-25,6),"")</f>
        <v/>
      </c>
      <c r="T98" s="2008" t="str">
        <f t="array" ref="T98">IF(A98&lt;&gt;"",INDEX('New DB Request'!$A$26:$M$55,SMALL(IF(A98='New DB Request'!$A$26:$A$55,ROW('New DB Request'!$A$26:$A$55)),AE98)-25,8),"")</f>
        <v/>
      </c>
      <c r="U98" s="30"/>
      <c r="V98" s="1090"/>
      <c r="W98" s="1090"/>
      <c r="X98" s="1090"/>
      <c r="Y98" s="2298" t="str">
        <f t="shared" si="33"/>
        <v/>
      </c>
      <c r="Z98" s="1357"/>
      <c r="AA98" s="2073" t="str">
        <f>IF($A98&lt;&gt;"",
      IF($E98="Windows",VLOOKUP($A98,dist_assets,15,FALSE),
        IF($E98&lt;&gt;"Windows",
               IF($H98="Oracle Standalone 11.2",Oracle_Standalone_fs($S98),
               IF($H98="Oracle HACMP 11.2 - Node 1", Oracle_HACMP_Node_1($S98),
               IF($H98="Oracle HACMP 11.2 - Node 2", Oracle_HACMP_Node_2($S98),
               IF($H98="Oracle-RAC","Oracle RAC requires special config
work with Open Systems",
               IF($AC98="db2_fs",DB2_FS($S98),""))))))),"")</f>
        <v/>
      </c>
      <c r="AB98" s="1358"/>
      <c r="AC98" s="3348" t="str">
        <f t="shared" si="35"/>
        <v/>
      </c>
      <c r="AD98" s="1642" t="str">
        <f t="shared" si="34"/>
        <v/>
      </c>
      <c r="AE98" s="2008" t="str">
        <f>IF(A98&lt;&gt;"",COUNTIF($A$7:A98,A98),"")</f>
        <v/>
      </c>
    </row>
    <row r="99" spans="1:31">
      <c r="A99" s="301" t="str">
        <f t="array" ref="A99">IF('New DB Request'!A118&lt;&gt;"",INDEX(newdbreq_assetlist,MATCH(SMALL(COUNTIF(newdbreq_assetlist,"&lt;="&amp;newdbreq_assetlist),ROWS($A$26:A118)),COUNTIF(newdbreq_assetlist,"&lt;="&amp;newdbreq_assetlist),0)),"")</f>
        <v/>
      </c>
      <c r="B99" s="2298" t="str">
        <f t="shared" si="24"/>
        <v/>
      </c>
      <c r="C99" s="1692" t="str">
        <f>IF($A99&lt;&gt;"",
                         LEFT(VLOOKUP($A99,IP!$A$4:$N$153,11,FALSE),SEARCH(".",VLOOKUP($A99,IP!$A$4:$N$153,11,FALSE))-1),
        "")</f>
        <v/>
      </c>
      <c r="D99" s="1692" t="str">
        <f>IF($A99&lt;&gt;"",VLOOKUP(CONCATENATE($A99&amp;"  (IP01)"),IP!$A$4:$D$153,4,FALSE),"")</f>
        <v/>
      </c>
      <c r="E99" s="1356" t="str">
        <f t="shared" si="25"/>
        <v/>
      </c>
      <c r="F99" s="590" t="str">
        <f>IF($A99&lt;&gt;"",VLOOKUP(VLOOKUP($A99,dist_assets,2,FALSE),'Distributed Assets'!$C$6:$F$22,4,FALSE),"")</f>
        <v/>
      </c>
      <c r="G99" s="1356" t="str">
        <f t="shared" si="26"/>
        <v/>
      </c>
      <c r="H99" s="590" t="str">
        <f t="shared" si="27"/>
        <v/>
      </c>
      <c r="I99" s="590" t="str">
        <f t="shared" si="28"/>
        <v/>
      </c>
      <c r="J99" s="1356" t="str">
        <f t="shared" si="29"/>
        <v/>
      </c>
      <c r="K99" s="1356" t="str">
        <f t="shared" si="30"/>
        <v/>
      </c>
      <c r="L99" s="1356" t="str">
        <f t="shared" si="31"/>
        <v/>
      </c>
      <c r="M99" s="590" t="str">
        <f t="shared" si="32"/>
        <v/>
      </c>
      <c r="N99" s="30"/>
      <c r="O99" s="2073" t="str">
        <f t="array" ref="O99">IF(A99&lt;&gt;"",INDEX('New DB Request'!$A$26:$M$55,SMALL(IF(A99='New DB Request'!$A$26:$A$55,ROW('New DB Request'!$A$26:$A$55)),AE99)-25,4),"")</f>
        <v/>
      </c>
      <c r="P99" s="748"/>
      <c r="Q99" s="30"/>
      <c r="R99" s="2298" t="str">
        <f t="array" ref="R99">IF(A99&lt;&gt;"",INDEX('New DB Request'!$A$26:$M$55,SMALL(IF(A99='New DB Request'!$A$26:$A$55,ROW('New DB Request'!$A$26:$A$55)),AE99)-25,5),"")</f>
        <v/>
      </c>
      <c r="S99" s="2633" t="str">
        <f t="array" ref="S99">IF(A99&lt;&gt;"",INDEX('New DB Request'!$A$26:$M$55,SMALL(IF(A99='New DB Request'!$A$26:$A$55,ROW('New DB Request'!$A$26:$A$55)),AE99)-25,6),"")</f>
        <v/>
      </c>
      <c r="T99" s="2008" t="str">
        <f t="array" ref="T99">IF(A99&lt;&gt;"",INDEX('New DB Request'!$A$26:$M$55,SMALL(IF(A99='New DB Request'!$A$26:$A$55,ROW('New DB Request'!$A$26:$A$55)),AE99)-25,8),"")</f>
        <v/>
      </c>
      <c r="U99" s="30"/>
      <c r="V99" s="1090"/>
      <c r="W99" s="1090"/>
      <c r="X99" s="1090"/>
      <c r="Y99" s="2298" t="str">
        <f t="shared" si="33"/>
        <v/>
      </c>
      <c r="Z99" s="1357"/>
      <c r="AA99" s="2073" t="str">
        <f>IF($A99&lt;&gt;"",
      IF($E99="Windows",VLOOKUP($A99,dist_assets,15,FALSE),
        IF($E99&lt;&gt;"Windows",
               IF($H99="Oracle Standalone 11.2",Oracle_Standalone_fs($S99),
               IF($H99="Oracle HACMP 11.2 - Node 1", Oracle_HACMP_Node_1($S99),
               IF($H99="Oracle HACMP 11.2 - Node 2", Oracle_HACMP_Node_2($S99),
               IF($H99="Oracle-RAC","Oracle RAC requires special config
work with Open Systems",
               IF($AC99="db2_fs",DB2_FS($S99),""))))))),"")</f>
        <v/>
      </c>
      <c r="AB99" s="1358"/>
      <c r="AC99" s="3348" t="str">
        <f t="shared" si="35"/>
        <v/>
      </c>
      <c r="AD99" s="1642" t="str">
        <f t="shared" si="34"/>
        <v/>
      </c>
      <c r="AE99" s="2008" t="str">
        <f>IF(A99&lt;&gt;"",COUNTIF($A$7:A99,A99),"")</f>
        <v/>
      </c>
    </row>
    <row r="100" spans="1:31">
      <c r="A100" s="301" t="str">
        <f t="array" ref="A100">IF('New DB Request'!A119&lt;&gt;"",INDEX(newdbreq_assetlist,MATCH(SMALL(COUNTIF(newdbreq_assetlist,"&lt;="&amp;newdbreq_assetlist),ROWS($A$26:A119)),COUNTIF(newdbreq_assetlist,"&lt;="&amp;newdbreq_assetlist),0)),"")</f>
        <v/>
      </c>
      <c r="B100" s="2298" t="str">
        <f t="shared" si="24"/>
        <v/>
      </c>
      <c r="C100" s="1692" t="str">
        <f>IF($A100&lt;&gt;"",
                         LEFT(VLOOKUP($A100,IP!$A$4:$N$153,11,FALSE),SEARCH(".",VLOOKUP($A100,IP!$A$4:$N$153,11,FALSE))-1),
        "")</f>
        <v/>
      </c>
      <c r="D100" s="1692" t="str">
        <f>IF($A100&lt;&gt;"",VLOOKUP(CONCATENATE($A100&amp;"  (IP01)"),IP!$A$4:$D$153,4,FALSE),"")</f>
        <v/>
      </c>
      <c r="E100" s="1356" t="str">
        <f t="shared" si="25"/>
        <v/>
      </c>
      <c r="F100" s="590" t="str">
        <f>IF($A100&lt;&gt;"",VLOOKUP(VLOOKUP($A100,dist_assets,2,FALSE),'Distributed Assets'!$C$6:$F$22,4,FALSE),"")</f>
        <v/>
      </c>
      <c r="G100" s="1356" t="str">
        <f t="shared" si="26"/>
        <v/>
      </c>
      <c r="H100" s="590" t="str">
        <f t="shared" si="27"/>
        <v/>
      </c>
      <c r="I100" s="590" t="str">
        <f t="shared" si="28"/>
        <v/>
      </c>
      <c r="J100" s="1356" t="str">
        <f t="shared" si="29"/>
        <v/>
      </c>
      <c r="K100" s="1356" t="str">
        <f t="shared" si="30"/>
        <v/>
      </c>
      <c r="L100" s="1356" t="str">
        <f t="shared" si="31"/>
        <v/>
      </c>
      <c r="M100" s="590" t="str">
        <f t="shared" si="32"/>
        <v/>
      </c>
      <c r="N100" s="30"/>
      <c r="O100" s="2073" t="str">
        <f t="array" ref="O100">IF(A100&lt;&gt;"",INDEX('New DB Request'!$A$26:$M$55,SMALL(IF(A100='New DB Request'!$A$26:$A$55,ROW('New DB Request'!$A$26:$A$55)),AE100)-25,4),"")</f>
        <v/>
      </c>
      <c r="P100" s="748"/>
      <c r="Q100" s="30"/>
      <c r="R100" s="2298" t="str">
        <f t="array" ref="R100">IF(A100&lt;&gt;"",INDEX('New DB Request'!$A$26:$M$55,SMALL(IF(A100='New DB Request'!$A$26:$A$55,ROW('New DB Request'!$A$26:$A$55)),AE100)-25,5),"")</f>
        <v/>
      </c>
      <c r="S100" s="2633" t="str">
        <f t="array" ref="S100">IF(A100&lt;&gt;"",INDEX('New DB Request'!$A$26:$M$55,SMALL(IF(A100='New DB Request'!$A$26:$A$55,ROW('New DB Request'!$A$26:$A$55)),AE100)-25,6),"")</f>
        <v/>
      </c>
      <c r="T100" s="2008" t="str">
        <f t="array" ref="T100">IF(A100&lt;&gt;"",INDEX('New DB Request'!$A$26:$M$55,SMALL(IF(A100='New DB Request'!$A$26:$A$55,ROW('New DB Request'!$A$26:$A$55)),AE100)-25,8),"")</f>
        <v/>
      </c>
      <c r="U100" s="30"/>
      <c r="V100" s="1090"/>
      <c r="W100" s="1090"/>
      <c r="X100" s="1090"/>
      <c r="Y100" s="2298" t="str">
        <f t="shared" si="33"/>
        <v/>
      </c>
      <c r="Z100" s="1357"/>
      <c r="AA100" s="2073" t="str">
        <f>IF($A100&lt;&gt;"",
      IF($E100="Windows",VLOOKUP($A100,dist_assets,15,FALSE),
        IF($E100&lt;&gt;"Windows",
               IF($H100="Oracle Standalone 11.2",Oracle_Standalone_fs($S100),
               IF($H100="Oracle HACMP 11.2 - Node 1", Oracle_HACMP_Node_1($S100),
               IF($H100="Oracle HACMP 11.2 - Node 2", Oracle_HACMP_Node_2($S100),
               IF($H100="Oracle-RAC","Oracle RAC requires special config
work with Open Systems",
               IF($AC100="db2_fs",DB2_FS($S100),""))))))),"")</f>
        <v/>
      </c>
      <c r="AB100" s="1358"/>
      <c r="AC100" s="3348" t="str">
        <f t="shared" si="35"/>
        <v/>
      </c>
      <c r="AD100" s="1642" t="str">
        <f t="shared" si="34"/>
        <v/>
      </c>
      <c r="AE100" s="2008" t="str">
        <f>IF(A100&lt;&gt;"",COUNTIF($A$7:A100,A100),"")</f>
        <v/>
      </c>
    </row>
    <row r="101" spans="1:31">
      <c r="A101" s="301" t="str">
        <f t="array" ref="A101">IF('New DB Request'!A120&lt;&gt;"",INDEX(newdbreq_assetlist,MATCH(SMALL(COUNTIF(newdbreq_assetlist,"&lt;="&amp;newdbreq_assetlist),ROWS($A$26:A120)),COUNTIF(newdbreq_assetlist,"&lt;="&amp;newdbreq_assetlist),0)),"")</f>
        <v/>
      </c>
      <c r="B101" s="2298" t="str">
        <f t="shared" si="24"/>
        <v/>
      </c>
      <c r="C101" s="1692" t="str">
        <f>IF($A101&lt;&gt;"",
                         LEFT(VLOOKUP($A101,IP!$A$4:$N$153,11,FALSE),SEARCH(".",VLOOKUP($A101,IP!$A$4:$N$153,11,FALSE))-1),
        "")</f>
        <v/>
      </c>
      <c r="D101" s="1692" t="str">
        <f>IF($A101&lt;&gt;"",VLOOKUP(CONCATENATE($A101&amp;"  (IP01)"),IP!$A$4:$D$153,4,FALSE),"")</f>
        <v/>
      </c>
      <c r="E101" s="1356" t="str">
        <f t="shared" si="25"/>
        <v/>
      </c>
      <c r="F101" s="590" t="str">
        <f>IF($A101&lt;&gt;"",VLOOKUP(VLOOKUP($A101,dist_assets,2,FALSE),'Distributed Assets'!$C$6:$F$22,4,FALSE),"")</f>
        <v/>
      </c>
      <c r="G101" s="1356" t="str">
        <f t="shared" si="26"/>
        <v/>
      </c>
      <c r="H101" s="590" t="str">
        <f t="shared" si="27"/>
        <v/>
      </c>
      <c r="I101" s="590" t="str">
        <f t="shared" si="28"/>
        <v/>
      </c>
      <c r="J101" s="1356" t="str">
        <f t="shared" si="29"/>
        <v/>
      </c>
      <c r="K101" s="1356" t="str">
        <f t="shared" si="30"/>
        <v/>
      </c>
      <c r="L101" s="1356" t="str">
        <f t="shared" si="31"/>
        <v/>
      </c>
      <c r="M101" s="590" t="str">
        <f t="shared" si="32"/>
        <v/>
      </c>
      <c r="N101" s="30"/>
      <c r="O101" s="2073" t="str">
        <f t="array" ref="O101">IF(A101&lt;&gt;"",INDEX('New DB Request'!$A$26:$M$55,SMALL(IF(A101='New DB Request'!$A$26:$A$55,ROW('New DB Request'!$A$26:$A$55)),AE101)-25,4),"")</f>
        <v/>
      </c>
      <c r="P101" s="748"/>
      <c r="Q101" s="30"/>
      <c r="R101" s="2298" t="str">
        <f t="array" ref="R101">IF(A101&lt;&gt;"",INDEX('New DB Request'!$A$26:$M$55,SMALL(IF(A101='New DB Request'!$A$26:$A$55,ROW('New DB Request'!$A$26:$A$55)),AE101)-25,5),"")</f>
        <v/>
      </c>
      <c r="S101" s="2633" t="str">
        <f t="array" ref="S101">IF(A101&lt;&gt;"",INDEX('New DB Request'!$A$26:$M$55,SMALL(IF(A101='New DB Request'!$A$26:$A$55,ROW('New DB Request'!$A$26:$A$55)),AE101)-25,6),"")</f>
        <v/>
      </c>
      <c r="T101" s="2008" t="str">
        <f t="array" ref="T101">IF(A101&lt;&gt;"",INDEX('New DB Request'!$A$26:$M$55,SMALL(IF(A101='New DB Request'!$A$26:$A$55,ROW('New DB Request'!$A$26:$A$55)),AE101)-25,8),"")</f>
        <v/>
      </c>
      <c r="U101" s="30"/>
      <c r="V101" s="1090"/>
      <c r="W101" s="1090"/>
      <c r="X101" s="1090"/>
      <c r="Y101" s="2298" t="str">
        <f t="shared" si="33"/>
        <v/>
      </c>
      <c r="Z101" s="1357"/>
      <c r="AA101" s="2073" t="str">
        <f>IF($A101&lt;&gt;"",
      IF($E101="Windows",VLOOKUP($A101,dist_assets,15,FALSE),
        IF($E101&lt;&gt;"Windows",
               IF($H101="Oracle Standalone 11.2",Oracle_Standalone_fs($S101),
               IF($H101="Oracle HACMP 11.2 - Node 1", Oracle_HACMP_Node_1($S101),
               IF($H101="Oracle HACMP 11.2 - Node 2", Oracle_HACMP_Node_2($S101),
               IF($H101="Oracle-RAC","Oracle RAC requires special config
work with Open Systems",
               IF($AC101="db2_fs",DB2_FS($S101),""))))))),"")</f>
        <v/>
      </c>
      <c r="AB101" s="1358"/>
      <c r="AC101" s="3348" t="str">
        <f t="shared" si="35"/>
        <v/>
      </c>
      <c r="AD101" s="1642" t="str">
        <f t="shared" si="34"/>
        <v/>
      </c>
      <c r="AE101" s="2008" t="str">
        <f>IF(A101&lt;&gt;"",COUNTIF($A$7:A101,A101),"")</f>
        <v/>
      </c>
    </row>
    <row r="102" spans="1:31">
      <c r="A102" s="301" t="str">
        <f t="array" ref="A102">IF('New DB Request'!A121&lt;&gt;"",INDEX(newdbreq_assetlist,MATCH(SMALL(COUNTIF(newdbreq_assetlist,"&lt;="&amp;newdbreq_assetlist),ROWS($A$26:A121)),COUNTIF(newdbreq_assetlist,"&lt;="&amp;newdbreq_assetlist),0)),"")</f>
        <v/>
      </c>
      <c r="B102" s="2298" t="str">
        <f t="shared" si="24"/>
        <v/>
      </c>
      <c r="C102" s="1692" t="str">
        <f>IF($A102&lt;&gt;"",
                         LEFT(VLOOKUP($A102,IP!$A$4:$N$153,11,FALSE),SEARCH(".",VLOOKUP($A102,IP!$A$4:$N$153,11,FALSE))-1),
        "")</f>
        <v/>
      </c>
      <c r="D102" s="1692" t="str">
        <f>IF($A102&lt;&gt;"",VLOOKUP(CONCATENATE($A102&amp;"  (IP01)"),IP!$A$4:$D$153,4,FALSE),"")</f>
        <v/>
      </c>
      <c r="E102" s="1356" t="str">
        <f t="shared" si="25"/>
        <v/>
      </c>
      <c r="F102" s="590" t="str">
        <f>IF($A102&lt;&gt;"",VLOOKUP(VLOOKUP($A102,dist_assets,2,FALSE),'Distributed Assets'!$C$6:$F$22,4,FALSE),"")</f>
        <v/>
      </c>
      <c r="G102" s="1356" t="str">
        <f t="shared" si="26"/>
        <v/>
      </c>
      <c r="H102" s="590" t="str">
        <f t="shared" si="27"/>
        <v/>
      </c>
      <c r="I102" s="590" t="str">
        <f t="shared" si="28"/>
        <v/>
      </c>
      <c r="J102" s="1356" t="str">
        <f t="shared" si="29"/>
        <v/>
      </c>
      <c r="K102" s="1356" t="str">
        <f t="shared" si="30"/>
        <v/>
      </c>
      <c r="L102" s="1356" t="str">
        <f t="shared" si="31"/>
        <v/>
      </c>
      <c r="M102" s="590" t="str">
        <f t="shared" si="32"/>
        <v/>
      </c>
      <c r="N102" s="30"/>
      <c r="O102" s="2073" t="str">
        <f t="array" ref="O102">IF(A102&lt;&gt;"",INDEX('New DB Request'!$A$26:$M$55,SMALL(IF(A102='New DB Request'!$A$26:$A$55,ROW('New DB Request'!$A$26:$A$55)),AE102)-25,4),"")</f>
        <v/>
      </c>
      <c r="P102" s="748"/>
      <c r="Q102" s="30"/>
      <c r="R102" s="2298" t="str">
        <f t="array" ref="R102">IF(A102&lt;&gt;"",INDEX('New DB Request'!$A$26:$M$55,SMALL(IF(A102='New DB Request'!$A$26:$A$55,ROW('New DB Request'!$A$26:$A$55)),AE102)-25,5),"")</f>
        <v/>
      </c>
      <c r="S102" s="2633" t="str">
        <f t="array" ref="S102">IF(A102&lt;&gt;"",INDEX('New DB Request'!$A$26:$M$55,SMALL(IF(A102='New DB Request'!$A$26:$A$55,ROW('New DB Request'!$A$26:$A$55)),AE102)-25,6),"")</f>
        <v/>
      </c>
      <c r="T102" s="2008" t="str">
        <f t="array" ref="T102">IF(A102&lt;&gt;"",INDEX('New DB Request'!$A$26:$M$55,SMALL(IF(A102='New DB Request'!$A$26:$A$55,ROW('New DB Request'!$A$26:$A$55)),AE102)-25,8),"")</f>
        <v/>
      </c>
      <c r="U102" s="30"/>
      <c r="V102" s="1090"/>
      <c r="W102" s="1090"/>
      <c r="X102" s="1090"/>
      <c r="Y102" s="2298" t="str">
        <f t="shared" si="33"/>
        <v/>
      </c>
      <c r="Z102" s="1357"/>
      <c r="AA102" s="2073" t="str">
        <f>IF($A102&lt;&gt;"",
      IF($E102="Windows",VLOOKUP($A102,dist_assets,15,FALSE),
        IF($E102&lt;&gt;"Windows",
               IF($H102="Oracle Standalone 11.2",Oracle_Standalone_fs($S102),
               IF($H102="Oracle HACMP 11.2 - Node 1", Oracle_HACMP_Node_1($S102),
               IF($H102="Oracle HACMP 11.2 - Node 2", Oracle_HACMP_Node_2($S102),
               IF($H102="Oracle-RAC","Oracle RAC requires special config
work with Open Systems",
               IF($AC102="db2_fs",DB2_FS($S102),""))))))),"")</f>
        <v/>
      </c>
      <c r="AB102" s="1358"/>
      <c r="AC102" s="3348" t="str">
        <f t="shared" si="35"/>
        <v/>
      </c>
      <c r="AD102" s="1642" t="str">
        <f t="shared" si="34"/>
        <v/>
      </c>
      <c r="AE102" s="2008" t="str">
        <f>IF(A102&lt;&gt;"",COUNTIF($A$7:A102,A102),"")</f>
        <v/>
      </c>
    </row>
    <row r="103" spans="1:31" ht="13.5" thickBot="1">
      <c r="A103" s="302" t="str">
        <f t="array" ref="A103">IF('New DB Request'!A122&lt;&gt;"",INDEX(newdbreq_assetlist,MATCH(SMALL(COUNTIF(newdbreq_assetlist,"&lt;="&amp;newdbreq_assetlist),ROWS($A$26:A122)),COUNTIF(newdbreq_assetlist,"&lt;="&amp;newdbreq_assetlist),0)),"")</f>
        <v/>
      </c>
      <c r="B103" s="3085" t="str">
        <f t="shared" si="24"/>
        <v/>
      </c>
      <c r="C103" s="3346" t="str">
        <f>IF($A103&lt;&gt;"",
                         LEFT(VLOOKUP($A103,IP!$A$4:$N$153,11,FALSE),SEARCH(".",VLOOKUP($A103,IP!$A$4:$N$153,11,FALSE))-1),
        "")</f>
        <v/>
      </c>
      <c r="D103" s="3346" t="str">
        <f>IF($A103&lt;&gt;"",VLOOKUP(CONCATENATE($A103&amp;"  (IP01)"),IP!$A$4:$D$153,4,FALSE),"")</f>
        <v/>
      </c>
      <c r="E103" s="3114" t="str">
        <f t="shared" si="25"/>
        <v/>
      </c>
      <c r="F103" s="3114" t="str">
        <f>IF($A103&lt;&gt;"",VLOOKUP(VLOOKUP($A103,dist_assets,2,FALSE),'Distributed Assets'!$C$6:$F$22,4,FALSE),"")</f>
        <v/>
      </c>
      <c r="G103" s="3085" t="str">
        <f t="shared" si="26"/>
        <v/>
      </c>
      <c r="H103" s="3114" t="str">
        <f t="shared" si="27"/>
        <v/>
      </c>
      <c r="I103" s="3114" t="str">
        <f t="shared" si="28"/>
        <v/>
      </c>
      <c r="J103" s="3085" t="str">
        <f t="shared" si="29"/>
        <v/>
      </c>
      <c r="K103" s="3085" t="str">
        <f t="shared" si="30"/>
        <v/>
      </c>
      <c r="L103" s="3085" t="str">
        <f t="shared" si="31"/>
        <v/>
      </c>
      <c r="M103" s="3114" t="str">
        <f t="shared" si="32"/>
        <v/>
      </c>
      <c r="N103" s="2961"/>
      <c r="O103" s="3166" t="str">
        <f t="array" ref="O103">IF(A103&lt;&gt;"",INDEX('New DB Request'!$A$26:$M$55,SMALL(IF(A103='New DB Request'!$A$26:$A$55,ROW('New DB Request'!$A$26:$A$55)),AE103)-25,4),"")</f>
        <v/>
      </c>
      <c r="P103" s="3096"/>
      <c r="Q103" s="315"/>
      <c r="R103" s="3339" t="str">
        <f t="array" ref="R103">IF(A103&lt;&gt;"",INDEX('New DB Request'!$A$26:$M$55,SMALL(IF(A103='New DB Request'!$A$26:$A$55,ROW('New DB Request'!$A$26:$A$55)),AE103)-25,5),"")</f>
        <v/>
      </c>
      <c r="S103" s="3341" t="str">
        <f t="array" ref="S103">IF(A103&lt;&gt;"",INDEX('New DB Request'!$A$26:$M$55,SMALL(IF(A103='New DB Request'!$A$26:$A$55,ROW('New DB Request'!$A$26:$A$55)),AE103)-25,6),"")</f>
        <v/>
      </c>
      <c r="T103" s="3114" t="str">
        <f t="array" ref="T103">IF(A103&lt;&gt;"",INDEX('New DB Request'!$A$26:$M$55,SMALL(IF(A103='New DB Request'!$A$26:$A$55,ROW('New DB Request'!$A$26:$A$55)),AE103)-25,8),"")</f>
        <v/>
      </c>
      <c r="U103" s="2961"/>
      <c r="V103" s="3342"/>
      <c r="W103" s="3342"/>
      <c r="X103" s="3342"/>
      <c r="Y103" s="3085" t="str">
        <f t="shared" si="33"/>
        <v/>
      </c>
      <c r="Z103" s="3343"/>
      <c r="AA103" s="3166" t="str">
        <f>IF($A103&lt;&gt;"",
      IF($E103="Windows",VLOOKUP($A103,dist_assets,15,FALSE),
        IF($E103&lt;&gt;"Windows",
               IF($H103="Oracle Standalone 11.2",Oracle_Standalone_fs($S103),
               IF($H103="Oracle HACMP 11.2 - Node 1", Oracle_HACMP_Node_1($S103),
               IF($H103="Oracle HACMP 11.2 - Node 2", Oracle_HACMP_Node_2($S103),
               IF($H103="Oracle-RAC","Oracle RAC requires special config
work with Open Systems",
               IF($AC103="db2_fs",DB2_FS($S103),""))))))),"")</f>
        <v/>
      </c>
      <c r="AB103" s="3344"/>
      <c r="AC103" s="3349" t="str">
        <f t="shared" si="35"/>
        <v/>
      </c>
      <c r="AD103" s="3010" t="str">
        <f t="shared" si="34"/>
        <v/>
      </c>
      <c r="AE103" s="3114" t="str">
        <f>IF(A103&lt;&gt;"",COUNTIF($A$7:A103,A103),"")</f>
        <v/>
      </c>
    </row>
  </sheetData>
  <mergeCells count="7">
    <mergeCell ref="J2:L4"/>
    <mergeCell ref="A1:C1"/>
    <mergeCell ref="A2:C2"/>
    <mergeCell ref="A3:C3"/>
    <mergeCell ref="A4:C4"/>
    <mergeCell ref="E3:H3"/>
    <mergeCell ref="E4:H4"/>
  </mergeCells>
  <phoneticPr fontId="26" type="noConversion"/>
  <conditionalFormatting sqref="S1">
    <cfRule type="cellIs" dxfId="130" priority="13" stopIfTrue="1" operator="equal">
      <formula>"Undetermined"</formula>
    </cfRule>
    <cfRule type="cellIs" dxfId="129" priority="14" stopIfTrue="1" operator="equal">
      <formula>"REQUIRED"</formula>
    </cfRule>
  </conditionalFormatting>
  <conditionalFormatting sqref="AB7:AB103">
    <cfRule type="expression" dxfId="128" priority="12">
      <formula>$AC7="Oracle RAC"</formula>
    </cfRule>
  </conditionalFormatting>
  <conditionalFormatting sqref="AA7:AA103">
    <cfRule type="expression" dxfId="127" priority="11">
      <formula>$AC7="Oracle RAC"</formula>
    </cfRule>
  </conditionalFormatting>
  <conditionalFormatting sqref="D7:E7 E8:E102 D8:D103">
    <cfRule type="expression" dxfId="126" priority="10">
      <formula>"AND($A6&lt;&gt;"""",OR($F6&lt;&gt;""No"", $F6&lt;&gt;""Logical""),$R6="""")"</formula>
    </cfRule>
  </conditionalFormatting>
  <conditionalFormatting sqref="S7:S103">
    <cfRule type="expression" dxfId="125" priority="1249">
      <formula>AND($A7&lt;&gt;"",$S7="")</formula>
    </cfRule>
  </conditionalFormatting>
  <conditionalFormatting sqref="S7:S103">
    <cfRule type="expression" priority="1250">
      <formula>AND($A7&lt;&gt;"",$S7&lt;&gt;"")</formula>
    </cfRule>
  </conditionalFormatting>
  <conditionalFormatting sqref="V7:V103">
    <cfRule type="expression" dxfId="124" priority="7">
      <formula>$V7="Daily *"</formula>
    </cfRule>
  </conditionalFormatting>
  <conditionalFormatting sqref="W7:X103">
    <cfRule type="expression" dxfId="123" priority="6">
      <formula>$V7="Daily"</formula>
    </cfRule>
  </conditionalFormatting>
  <conditionalFormatting sqref="M7:M103">
    <cfRule type="expression" dxfId="122" priority="4">
      <formula>LEFT($H7,5)&lt;&gt;"MSSQL"</formula>
    </cfRule>
  </conditionalFormatting>
  <conditionalFormatting sqref="D1">
    <cfRule type="cellIs" dxfId="121" priority="2" stopIfTrue="1" operator="equal">
      <formula>"Undetermined"</formula>
    </cfRule>
    <cfRule type="cellIs" dxfId="120" priority="3" stopIfTrue="1" operator="equal">
      <formula>"REQUIRED"</formula>
    </cfRule>
  </conditionalFormatting>
  <conditionalFormatting sqref="E4:H4">
    <cfRule type="expression" dxfId="119" priority="1">
      <formula>$E$4&lt;&gt;""</formula>
    </cfRule>
  </conditionalFormatting>
  <dataValidations disablePrompts="1" count="7">
    <dataValidation type="list" allowBlank="1" showInputMessage="1" showErrorMessage="1" sqref="U7:U103" xr:uid="{00000000-0002-0000-1200-000000000000}">
      <formula1>list_sansynch</formula1>
    </dataValidation>
    <dataValidation type="list" allowBlank="1" showInputMessage="1" showErrorMessage="1" sqref="W7:W103" xr:uid="{00000000-0002-0000-1200-000001000000}">
      <formula1>"yes, no"</formula1>
    </dataValidation>
    <dataValidation type="list" allowBlank="1" showInputMessage="1" showErrorMessage="1" sqref="X7:X103" xr:uid="{00000000-0002-0000-1200-000002000000}">
      <formula1>"Daily, Hourly, 30 Minutes, 15 Minutes, None"</formula1>
    </dataValidation>
    <dataValidation type="list" allowBlank="1" showInputMessage="1" showErrorMessage="1" sqref="V7:V103" xr:uid="{00000000-0002-0000-1200-000003000000}">
      <formula1>"Daily, Weekly"</formula1>
    </dataValidation>
    <dataValidation type="list" allowBlank="1" showInputMessage="1" sqref="M7:M103" xr:uid="{00000000-0002-0000-1200-000004000000}">
      <formula1>"Yes,No"</formula1>
    </dataValidation>
    <dataValidation type="list" allowBlank="1" showInputMessage="1" showErrorMessage="1" sqref="I7:I103" xr:uid="{00000000-0002-0000-1200-000005000000}">
      <formula1>"Yes,No"</formula1>
    </dataValidation>
    <dataValidation type="whole" allowBlank="1" showInputMessage="1" error="Enter Database Size in whole number GB.  _x000a_Do NOT include unit._x000a__x000a_(1TB = !000 GB)" sqref="S7:S103" xr:uid="{00000000-0002-0000-1200-000006000000}">
      <formula1>1</formula1>
      <formula2>50000</formula2>
    </dataValidation>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34850" r:id="rId4">
          <objectPr defaultSize="0" autoPict="0" r:id="rId5">
            <anchor moveWithCells="1">
              <from>
                <xdr:col>106</xdr:col>
                <xdr:colOff>38100</xdr:colOff>
                <xdr:row>0</xdr:row>
                <xdr:rowOff>438150</xdr:rowOff>
              </from>
              <to>
                <xdr:col>123</xdr:col>
                <xdr:colOff>104775</xdr:colOff>
                <xdr:row>9</xdr:row>
                <xdr:rowOff>0</xdr:rowOff>
              </to>
            </anchor>
          </objectPr>
        </oleObject>
      </mc:Choice>
      <mc:Fallback>
        <oleObject progId="Word.Document.12" shapeId="34850" r:id="rId4"/>
      </mc:Fallback>
    </mc:AlternateContent>
  </oleObjec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theme="3" tint="0.79998168889431442"/>
  </sheetPr>
  <dimension ref="A1:Q56"/>
  <sheetViews>
    <sheetView showGridLines="0" zoomScale="90" zoomScaleNormal="90" workbookViewId="0">
      <selection activeCell="B17" sqref="B17"/>
    </sheetView>
  </sheetViews>
  <sheetFormatPr defaultRowHeight="12.75"/>
  <cols>
    <col min="1" max="1" width="20.42578125" customWidth="1"/>
    <col min="2" max="2" width="16.5703125" customWidth="1"/>
    <col min="3" max="3" width="14.5703125" customWidth="1"/>
    <col min="4" max="4" width="14.7109375" customWidth="1"/>
    <col min="5" max="5" width="14.5703125" bestFit="1" customWidth="1"/>
    <col min="6" max="6" width="13.140625" style="684" customWidth="1"/>
    <col min="7" max="7" width="16.85546875" customWidth="1"/>
    <col min="8" max="8" width="29.42578125" customWidth="1"/>
    <col min="9" max="9" width="30.140625" customWidth="1"/>
    <col min="10" max="10" width="17" style="931" bestFit="1" customWidth="1"/>
    <col min="11" max="11" width="20.85546875" style="931" customWidth="1"/>
    <col min="12" max="12" width="9" customWidth="1"/>
    <col min="13" max="13" width="22.7109375" style="353" customWidth="1"/>
    <col min="14" max="14" width="23.85546875" style="353" customWidth="1"/>
    <col min="15" max="15" width="14" customWidth="1"/>
  </cols>
  <sheetData>
    <row r="1" spans="1:17" ht="29.25" customHeight="1" thickBot="1">
      <c r="A1" s="3864"/>
      <c r="B1" s="3865"/>
      <c r="C1" s="807" t="str">
        <f>IF(Zena="YES","REQUIRED",IF(Zena="NO","This Tab is Not Required","Undetermined"))</f>
        <v>REQUIRED</v>
      </c>
      <c r="D1" s="141"/>
      <c r="E1" s="141"/>
      <c r="F1" s="141"/>
      <c r="G1" s="142" t="str">
        <f>'Project Details'!$C$8 &amp;" - Scheduler Requirements"</f>
        <v>Linux Infrastructure Management - Scheduler Requirements</v>
      </c>
      <c r="H1" s="143"/>
      <c r="I1" s="143"/>
      <c r="J1" s="143"/>
      <c r="K1" s="143"/>
      <c r="L1" s="143"/>
      <c r="M1" s="821" t="str">
        <f>IF(dr_critical="Yes","DR LEVEL = "&amp;dr_Level,
   IF(dr_critical="No","DR LEVEL = NO DR",
     IF(dr_critical="TBD","DR LEVEL =  TBD","")))</f>
        <v>DR LEVEL = NO DR</v>
      </c>
      <c r="N1" s="911"/>
      <c r="O1" s="132"/>
    </row>
    <row r="2" spans="1:17" ht="64.5" thickBot="1">
      <c r="A2" s="755" t="s">
        <v>2395</v>
      </c>
      <c r="B2" s="814" t="s">
        <v>246</v>
      </c>
      <c r="C2" s="135" t="s">
        <v>45</v>
      </c>
      <c r="D2" s="136" t="s">
        <v>227</v>
      </c>
      <c r="E2" s="136" t="s">
        <v>46</v>
      </c>
      <c r="F2" s="136" t="s">
        <v>0</v>
      </c>
      <c r="G2" s="137" t="s">
        <v>2463</v>
      </c>
      <c r="H2" s="136" t="s">
        <v>11</v>
      </c>
      <c r="I2" s="137" t="s">
        <v>2451</v>
      </c>
      <c r="J2" s="137" t="s">
        <v>2621</v>
      </c>
      <c r="K2" s="137" t="s">
        <v>3450</v>
      </c>
      <c r="L2" s="137" t="s">
        <v>2452</v>
      </c>
      <c r="M2" s="137" t="s">
        <v>2453</v>
      </c>
      <c r="N2" s="348" t="s">
        <v>2469</v>
      </c>
      <c r="O2" s="820" t="s">
        <v>2464</v>
      </c>
    </row>
    <row r="3" spans="1:17">
      <c r="A3" s="1071" t="s">
        <v>5617</v>
      </c>
      <c r="B3" s="808" t="str">
        <f>IF($A3&lt;&gt;"",VLOOKUP($A3,IP!$A$4:$P$153,2,FALSE),"")</f>
        <v>20213598-001</v>
      </c>
      <c r="C3" s="5" t="str">
        <f>IF($B3&lt;&gt;"",
VLOOKUP($B3,IP!$B$4:$N$153,3,FALSE),
"")</f>
        <v>dwauslmgt01</v>
      </c>
      <c r="D3" s="815" t="str">
        <f>IF($A3&lt;&gt;"",VLOOKUP($A3,IP!$A$4:$N$153,14,FALSE),"")</f>
        <v>10.130.3.119</v>
      </c>
      <c r="E3" s="815" t="str">
        <f t="shared" ref="E3:E40" si="0">IF($B3&lt;&gt;"",VLOOKUP($B3,dist_assets,9,FALSE),"")</f>
        <v>Linux</v>
      </c>
      <c r="F3" s="815" t="str">
        <f t="shared" ref="F3:F40" si="1">IF($B3&lt;&gt;"",VLOOKUP($B3,dist_assets,10,FALSE),"")</f>
        <v>Virtual</v>
      </c>
      <c r="G3" s="815" t="str">
        <f t="shared" ref="G3:G40" si="2">IF($A3&lt;&gt;"",
                     IF(ISBLANK(VLOOKUP($B3,dist_assets,24,FALSE)),"N/A",VLOOKUP($B3,dist_assets,24,FALSE)),
         "")</f>
        <v>N/A</v>
      </c>
      <c r="H3" s="29" t="str">
        <f>IF($B3&lt;&gt;"",VLOOKUP(VLOOKUP($B3,dist_assets,2,FALSE),'Distributed Assets'!$C$7:$F$22,4,FALSE),"")</f>
        <v>DEV</v>
      </c>
      <c r="I3" s="816" t="str">
        <f>IF($A3&lt;&gt;"",VLOOKUP($A3,IP!$A$4:$N$153,11,FALSE),"")</f>
        <v>dwauslmgt01.app.dev.hcscint.net</v>
      </c>
      <c r="J3" s="816" t="str">
        <f t="shared" ref="J3:J40" si="3">IF($B3&lt;&gt;"",VLOOKUP($B3,dist_assets,5,FALSE),"")</f>
        <v>Waukegan, Illinois</v>
      </c>
      <c r="K3" s="816" t="str">
        <f>IF(LEFT($J3,4)="Fort","Must Use Prod TSM","")</f>
        <v/>
      </c>
      <c r="L3" s="826"/>
      <c r="M3" s="818" t="str">
        <f>IF(A3&lt;&gt;"",
        IF(AND($H3="DEV",LEFT($G3,3)="DB2"), "41095 DB2 Backups - 6pm through 4am",
               IF(AND($H3="DEV",OR(LEFT($G3,5)="MSSQL", LEFT($G3,3)="EDH")), "42755 MSSQL LS Backup File Trigger",
                   IF(AND($H3="Test 2.0",LEFT($G3,3)="DB2"), "21423 DB2 Backups - 6pm through 4am",
                        IF(AND($H3="Test 2.0",OR(LEFT($G3,5)="MSSQL", LEFT($G3,3)="EDH")), "21734 MSSQL LS Backup File Trigger",
                            IF(AND($H3="Prod 2.0",LEFT($G3,3)="DB2"), "16157 DB2 Backups - 6pm through 4am",
                               IF(AND($H3="Prod 2.0",OR(LEFT($G3,5)="MSSQL", LEFT($G3,3)="EDH")), "16412 MSSQL LS Backup File Trigger",
                                   IF(AND($H3="Prod F.W.",OR(LEFT($G3,5)="MSSQL", LEFT($G3,3)="EDH")), "16412 MSSQL LS Backup File Trigger","N/A"))))))),
            "" )</f>
        <v>N/A</v>
      </c>
      <c r="N3" s="2597" t="str">
        <f t="shared" ref="N3:N40" si="4">IF(AND($A3&lt;&gt;"",
                  $H3="Prod 2.0",
                    VLOOKUP(B3,dist_assets,24,FALSE)="YES",
                   OR(dr_Level =1,dr_Level=2)),
               IF(AND($E3="Windows", $F3="Physical", OR($G3="",$G3="N/A")),"14277 Windows Non DB",
                     IF(AND($E3="Windows", $F3="Physical", LEFT($G3,5)="MSSQL"),"13870 SQL Servers",
                          IF(LEFT($G3,3)="DB2","13868 DB2 Servers",
                               IF(AND(OR($E3="AIX", $E3="Solaris", $E3="Linux", $E3="RedHat"), OR($G3="",$G3="N/A")),"13869 AIX Non DB","N/A")))),
      "")</f>
        <v/>
      </c>
      <c r="O3" s="912" t="str">
        <f>IF($A3&lt;&gt;"",
         IF(AND($E3="Windows",
                         VLOOKUP($B3,'Distributed Assets'!$B$28:$Q$100,6,FALSE)&lt;&gt;"Virtual",
                          LEFT($G3,5)="MSSQL",
                          LEFT(VLOOKUP($B3,'Distributed Assets'!$B$28:$Q$100,12,FALSE),6)="ACTIVE"),
                 IF($H3="DEV","42111",
                      IF($H3="Test 2.0","21422",
                          IF(OR($H3="Prod 2.0",$H3="Prod F.W."),"16148",
              ))),"N/A"),"")</f>
        <v>N/A</v>
      </c>
      <c r="P3" s="684"/>
      <c r="Q3" s="684"/>
    </row>
    <row r="4" spans="1:17">
      <c r="A4" s="1071" t="s">
        <v>5618</v>
      </c>
      <c r="B4" s="1474" t="str">
        <f>IF($A4&lt;&gt;"",VLOOKUP($A4,IP!$A$4:$P$153,2,FALSE),"")</f>
        <v>20213598-002</v>
      </c>
      <c r="C4" s="5" t="str">
        <f>IF($B4&lt;&gt;"",
VLOOKUP($B4,IP!$B$4:$N$153,3,FALSE),
"")</f>
        <v>twauslmgt01</v>
      </c>
      <c r="D4" s="815" t="str">
        <f>IF($A4&lt;&gt;"",VLOOKUP($A4,IP!$A$4:$N$153,14,FALSE),"")</f>
        <v>10.134.129.199</v>
      </c>
      <c r="E4" s="815" t="str">
        <f t="shared" si="0"/>
        <v>Linux</v>
      </c>
      <c r="F4" s="815" t="str">
        <f t="shared" si="1"/>
        <v>Virtual</v>
      </c>
      <c r="G4" s="815" t="str">
        <f t="shared" si="2"/>
        <v>N/A</v>
      </c>
      <c r="H4" s="29" t="str">
        <f>IF($B4&lt;&gt;"",VLOOKUP(VLOOKUP($B4,dist_assets,2,FALSE),'Distributed Assets'!$C$7:$F$22,4,FALSE),"")</f>
        <v>Test 2.0</v>
      </c>
      <c r="I4" s="816" t="str">
        <f>IF($A4&lt;&gt;"",VLOOKUP($A4,IP!$A$4:$N$153,11,FALSE),"")</f>
        <v>twauslmgt01.app.test.hcscint.net</v>
      </c>
      <c r="J4" s="816" t="str">
        <f t="shared" si="3"/>
        <v>Waukegan, Illinois</v>
      </c>
      <c r="K4" s="816" t="str">
        <f t="shared" ref="K4:K40" si="5">IF(LEFT($J4,4)="Fort","Must Use Prod TSM","")</f>
        <v/>
      </c>
      <c r="L4" s="1472"/>
      <c r="M4" s="72" t="str">
        <f t="shared" ref="M4:M40" si="6">IF(A4&lt;&gt;"",
        IF(AND($H4="DEV",LEFT($G4,3)="DB2"), "41095 DB2 Backups - 6pm through 4am",
               IF(AND($H4="DEV",OR(LEFT($G4,5)="MSSQL", LEFT($G4,3)="EDH")), "42755 MSSQL LS Backup File Trigger",
                   IF(AND($H4="Test 2.0",LEFT($G4,3)="DB2"), "21423 DB2 Backups - 6pm through 4am",
                        IF(AND($H4="Test 2.0",OR(LEFT($G4,5)="MSSQL", LEFT($G4,3)="EDH")), "21734 MSSQL LS Backup File Trigger",
                            IF(AND($H4="Prod 2.0",LEFT($G4,3)="DB2"), "16157 DB2 Backups - 6pm through 4am",
                               IF(AND($H4="Prod 2.0",OR(LEFT($G4,5)="MSSQL", LEFT($G4,3)="EDH")), "16412 MSSQL LS Backup File Trigger",
                                   IF(AND($H4="Prod F.W.",OR(LEFT($G4,5)="MSSQL", LEFT($G4,3)="EDH")), "16412 MSSQL LS Backup File Trigger","N/A"))))))),
            "" )</f>
        <v>N/A</v>
      </c>
      <c r="N4" s="819" t="str">
        <f t="shared" si="4"/>
        <v/>
      </c>
      <c r="O4" s="912" t="str">
        <f>IF($A4&lt;&gt;"",
         IF(AND($E4="Windows",
                         VLOOKUP($B4,'Distributed Assets'!$B$28:$Q$100,6,FALSE)&lt;&gt;"Virtual",
                          LEFT($G4,5)="MSSQL",
                          LEFT(VLOOKUP($B4,'Distributed Assets'!$B$28:$Q$100,12,FALSE),6)="ACTIVE"),
                 IF($H4="DEV","42111",
                      IF($H4="Test 2.0","21422",
                          IF(OR($H4="Prod 2.0",$H4="Prod F.W."),"16148",
              ))),"N/A"),"")</f>
        <v>N/A</v>
      </c>
      <c r="P4" s="684"/>
      <c r="Q4" s="684"/>
    </row>
    <row r="5" spans="1:17">
      <c r="A5" s="1067" t="s">
        <v>5619</v>
      </c>
      <c r="B5" s="1474" t="str">
        <f>IF($A5&lt;&gt;"",VLOOKUP($A5,IP!$A$4:$P$153,2,FALSE),"")</f>
        <v>20213598-003</v>
      </c>
      <c r="C5" s="5" t="str">
        <f>IF($B5&lt;&gt;"",
VLOOKUP($B5,IP!$B$4:$N$153,3,FALSE),
"")</f>
        <v>awauslmgt01</v>
      </c>
      <c r="D5" s="815" t="str">
        <f>IF($A5&lt;&gt;"",VLOOKUP($A5,IP!$A$4:$N$153,14,FALSE),"")</f>
        <v>10.137.52.39</v>
      </c>
      <c r="E5" s="815" t="str">
        <f t="shared" si="0"/>
        <v>Linux</v>
      </c>
      <c r="F5" s="815" t="str">
        <f t="shared" si="1"/>
        <v>Virtual</v>
      </c>
      <c r="G5" s="815" t="str">
        <f t="shared" si="2"/>
        <v>N/A</v>
      </c>
      <c r="H5" s="29" t="str">
        <f>IF($B5&lt;&gt;"",VLOOKUP(VLOOKUP($B5,dist_assets,2,FALSE),'Distributed Assets'!$C$7:$F$22,4,FALSE),"")</f>
        <v>ALT Prod</v>
      </c>
      <c r="I5" s="816" t="str">
        <f>IF($A5&lt;&gt;"",VLOOKUP($A5,IP!$A$4:$N$153,11,FALSE),"")</f>
        <v>awauslmgt01.app.alt.hcscint.net</v>
      </c>
      <c r="J5" s="816" t="str">
        <f t="shared" si="3"/>
        <v>Waukegan, Illinois</v>
      </c>
      <c r="K5" s="816" t="str">
        <f t="shared" si="5"/>
        <v/>
      </c>
      <c r="L5" s="1472"/>
      <c r="M5" s="72" t="str">
        <f t="shared" si="6"/>
        <v>N/A</v>
      </c>
      <c r="N5" s="819" t="str">
        <f t="shared" si="4"/>
        <v/>
      </c>
      <c r="O5" s="912" t="str">
        <f>IF($A5&lt;&gt;"",
         IF(AND($E5="Windows",
                         VLOOKUP($B5,'Distributed Assets'!$B$28:$Q$100,6,FALSE)&lt;&gt;"Virtual",
                          LEFT($G5,5)="MSSQL",
                          LEFT(VLOOKUP($B5,'Distributed Assets'!$B$28:$Q$100,12,FALSE),6)="ACTIVE"),
                 IF($H5="DEV","42111",
                      IF($H5="Test 2.0","21422",
                          IF(OR($H5="Prod 2.0",$H5="Prod F.W."),"16148",
              ))),"N/A"),"")</f>
        <v>N/A</v>
      </c>
      <c r="P5" s="684"/>
      <c r="Q5" s="684"/>
    </row>
    <row r="6" spans="1:17">
      <c r="A6" s="1067" t="s">
        <v>5620</v>
      </c>
      <c r="B6" s="1474" t="str">
        <f>IF($A6&lt;&gt;"",VLOOKUP($A6,IP!$A$4:$P$153,2,FALSE),"")</f>
        <v>20213598-004</v>
      </c>
      <c r="C6" s="5" t="str">
        <f>IF($B6&lt;&gt;"",
VLOOKUP($B6,IP!$B$4:$N$153,3,FALSE),
"")</f>
        <v>pwauslmgt01</v>
      </c>
      <c r="D6" s="815" t="str">
        <f>IF($A6&lt;&gt;"",VLOOKUP($A6,IP!$A$4:$N$153,14,FALSE),"")</f>
        <v>10.136.137.123</v>
      </c>
      <c r="E6" s="815" t="str">
        <f t="shared" si="0"/>
        <v>Linux</v>
      </c>
      <c r="F6" s="815" t="str">
        <f t="shared" si="1"/>
        <v>Virtual</v>
      </c>
      <c r="G6" s="815" t="str">
        <f t="shared" si="2"/>
        <v>N/A</v>
      </c>
      <c r="H6" s="29" t="str">
        <f>IF($B6&lt;&gt;"",VLOOKUP(VLOOKUP($B6,dist_assets,2,FALSE),'Distributed Assets'!$C$7:$F$22,4,FALSE),"")</f>
        <v>Prod 2.0</v>
      </c>
      <c r="I6" s="816" t="str">
        <f>IF($A6&lt;&gt;"",VLOOKUP($A6,IP!$A$4:$N$153,11,FALSE),"")</f>
        <v>pwauslmgt01.app.hcscint.net</v>
      </c>
      <c r="J6" s="816" t="str">
        <f t="shared" si="3"/>
        <v>Waukegan, Illinois</v>
      </c>
      <c r="K6" s="816" t="str">
        <f t="shared" si="5"/>
        <v/>
      </c>
      <c r="L6" s="1472"/>
      <c r="M6" s="72" t="str">
        <f t="shared" si="6"/>
        <v>N/A</v>
      </c>
      <c r="N6" s="819" t="str">
        <f t="shared" si="4"/>
        <v/>
      </c>
      <c r="O6" s="912" t="str">
        <f>IF($A6&lt;&gt;"",
         IF(AND($E6="Windows",
                         VLOOKUP($B6,'Distributed Assets'!$B$28:$Q$100,6,FALSE)&lt;&gt;"Virtual",
                          LEFT($G6,5)="MSSQL",
                          LEFT(VLOOKUP($B6,'Distributed Assets'!$B$28:$Q$100,12,FALSE),6)="ACTIVE"),
                 IF($H6="DEV","42111",
                      IF($H6="Test 2.0","21422",
                          IF(OR($H6="Prod 2.0",$H6="Prod F.W."),"16148",
              ))),"N/A"),"")</f>
        <v>N/A</v>
      </c>
    </row>
    <row r="7" spans="1:17">
      <c r="A7" s="823"/>
      <c r="B7" s="1474" t="str">
        <f>IF($A7&lt;&gt;"",VLOOKUP($A7,IP!$A$4:$P$153,2,FALSE),"")</f>
        <v/>
      </c>
      <c r="C7" s="5" t="str">
        <f>IF($B7&lt;&gt;"",
VLOOKUP($B7,IP!$B$4:$N$153,3,FALSE),
"")</f>
        <v/>
      </c>
      <c r="D7" s="815" t="str">
        <f>IF($A7&lt;&gt;"",VLOOKUP($A7,IP!$A$4:$N$153,14,FALSE),"")</f>
        <v/>
      </c>
      <c r="E7" s="815" t="str">
        <f t="shared" si="0"/>
        <v/>
      </c>
      <c r="F7" s="815" t="str">
        <f t="shared" si="1"/>
        <v/>
      </c>
      <c r="G7" s="815" t="str">
        <f t="shared" si="2"/>
        <v/>
      </c>
      <c r="H7" s="29" t="str">
        <f>IF($B7&lt;&gt;"",VLOOKUP(VLOOKUP($B7,dist_assets,2,FALSE),'Distributed Assets'!$C$7:$F$22,4,FALSE),"")</f>
        <v/>
      </c>
      <c r="I7" s="816" t="str">
        <f>IF($A7&lt;&gt;"",VLOOKUP($A7,IP!$A$4:$N$153,11,FALSE),"")</f>
        <v/>
      </c>
      <c r="J7" s="816" t="str">
        <f t="shared" si="3"/>
        <v/>
      </c>
      <c r="K7" s="816" t="str">
        <f t="shared" si="5"/>
        <v/>
      </c>
      <c r="L7" s="1472"/>
      <c r="M7" s="72" t="str">
        <f t="shared" si="6"/>
        <v/>
      </c>
      <c r="N7" s="819" t="str">
        <f t="shared" si="4"/>
        <v/>
      </c>
      <c r="O7" s="912" t="str">
        <f>IF($A7&lt;&gt;"",
         IF(AND($E7="Windows",
                         VLOOKUP($B7,'Distributed Assets'!$B$28:$Q$100,6,FALSE)&lt;&gt;"Virtual",
                          LEFT($G7,5)="MSSQL",
                          LEFT(VLOOKUP($B7,'Distributed Assets'!$B$28:$Q$100,12,FALSE),6)="ACTIVE"),
                 IF($H7="DEV","42111",
                      IF($H7="Test 2.0","21422",
                          IF(OR($H7="Prod 2.0",$H7="Prod F.W."),"16148",
              ))),"N/A"),"")</f>
        <v/>
      </c>
    </row>
    <row r="8" spans="1:17">
      <c r="A8" s="823"/>
      <c r="B8" s="1474" t="str">
        <f>IF($A8&lt;&gt;"",VLOOKUP($A8,IP!$A$4:$P$153,2,FALSE),"")</f>
        <v/>
      </c>
      <c r="C8" s="5" t="str">
        <f>IF($B8&lt;&gt;"",
VLOOKUP($B8,IP!$B$4:$N$153,3,FALSE),
"")</f>
        <v/>
      </c>
      <c r="D8" s="815" t="str">
        <f>IF($A8&lt;&gt;"",VLOOKUP($A8,IP!$A$4:$N$153,14,FALSE),"")</f>
        <v/>
      </c>
      <c r="E8" s="815" t="str">
        <f t="shared" si="0"/>
        <v/>
      </c>
      <c r="F8" s="815" t="str">
        <f t="shared" si="1"/>
        <v/>
      </c>
      <c r="G8" s="815" t="str">
        <f t="shared" si="2"/>
        <v/>
      </c>
      <c r="H8" s="29" t="str">
        <f>IF($B8&lt;&gt;"",VLOOKUP(VLOOKUP($B8,dist_assets,2,FALSE),'Distributed Assets'!$C$7:$F$22,4,FALSE),"")</f>
        <v/>
      </c>
      <c r="I8" s="816" t="str">
        <f>IF($A8&lt;&gt;"",VLOOKUP($A8,IP!$A$4:$N$153,11,FALSE),"")</f>
        <v/>
      </c>
      <c r="J8" s="816" t="str">
        <f t="shared" si="3"/>
        <v/>
      </c>
      <c r="K8" s="816" t="str">
        <f t="shared" si="5"/>
        <v/>
      </c>
      <c r="L8" s="1472"/>
      <c r="M8" s="72" t="str">
        <f t="shared" si="6"/>
        <v/>
      </c>
      <c r="N8" s="819" t="str">
        <f t="shared" si="4"/>
        <v/>
      </c>
      <c r="O8" s="912" t="str">
        <f>IF($A8&lt;&gt;"",
         IF(AND($E8="Windows",
                         VLOOKUP($B8,'Distributed Assets'!$B$28:$Q$100,6,FALSE)&lt;&gt;"Virtual",
                          LEFT($G8,5)="MSSQL",
                          LEFT(VLOOKUP($B8,'Distributed Assets'!$B$28:$Q$100,12,FALSE),6)="ACTIVE"),
                 IF($H8="DEV","42111",
                      IF($H8="Test 2.0","21422",
                          IF(OR($H8="Prod 2.0",$H8="Prod F.W."),"16148",
              ))),"N/A"),"")</f>
        <v/>
      </c>
    </row>
    <row r="9" spans="1:17">
      <c r="A9" s="823"/>
      <c r="B9" s="1474" t="str">
        <f>IF($A9&lt;&gt;"",VLOOKUP($A9,IP!$A$4:$P$153,2,FALSE),"")</f>
        <v/>
      </c>
      <c r="C9" s="5" t="str">
        <f>IF($B9&lt;&gt;"",
VLOOKUP($B9,IP!$B$4:$N$153,3,FALSE),
"")</f>
        <v/>
      </c>
      <c r="D9" s="815" t="str">
        <f>IF($A9&lt;&gt;"",VLOOKUP($A9,IP!$A$4:$N$153,14,FALSE),"")</f>
        <v/>
      </c>
      <c r="E9" s="815" t="str">
        <f t="shared" si="0"/>
        <v/>
      </c>
      <c r="F9" s="815" t="str">
        <f t="shared" si="1"/>
        <v/>
      </c>
      <c r="G9" s="815" t="str">
        <f t="shared" si="2"/>
        <v/>
      </c>
      <c r="H9" s="29" t="str">
        <f>IF($B9&lt;&gt;"",VLOOKUP(VLOOKUP($B9,dist_assets,2,FALSE),'Distributed Assets'!$C$7:$F$22,4,FALSE),"")</f>
        <v/>
      </c>
      <c r="I9" s="816" t="str">
        <f>IF($A9&lt;&gt;"",VLOOKUP($A9,IP!$A$4:$N$153,11,FALSE),"")</f>
        <v/>
      </c>
      <c r="J9" s="816" t="str">
        <f t="shared" si="3"/>
        <v/>
      </c>
      <c r="K9" s="816" t="str">
        <f t="shared" si="5"/>
        <v/>
      </c>
      <c r="L9" s="1472"/>
      <c r="M9" s="72" t="str">
        <f t="shared" si="6"/>
        <v/>
      </c>
      <c r="N9" s="819" t="str">
        <f t="shared" si="4"/>
        <v/>
      </c>
      <c r="O9" s="912" t="str">
        <f>IF($A9&lt;&gt;"",
         IF(AND($E9="Windows",
                         VLOOKUP($B9,'Distributed Assets'!$B$28:$Q$100,6,FALSE)&lt;&gt;"Virtual",
                          LEFT($G9,5)="MSSQL",
                          LEFT(VLOOKUP($B9,'Distributed Assets'!$B$28:$Q$100,12,FALSE),6)="ACTIVE"),
                 IF($H9="DEV","42111",
                      IF($H9="Test 2.0","21422",
                          IF(OR($H9="Prod 2.0",$H9="Prod F.W."),"16148",
              ))),"N/A"),"")</f>
        <v/>
      </c>
    </row>
    <row r="10" spans="1:17">
      <c r="A10" s="823"/>
      <c r="B10" s="1474" t="str">
        <f>IF($A10&lt;&gt;"",VLOOKUP($A10,IP!$A$4:$P$153,2,FALSE),"")</f>
        <v/>
      </c>
      <c r="C10" s="5" t="str">
        <f>IF($B10&lt;&gt;"",
VLOOKUP($B10,IP!$B$4:$N$153,3,FALSE),
"")</f>
        <v/>
      </c>
      <c r="D10" s="815" t="str">
        <f>IF($A10&lt;&gt;"",VLOOKUP($A10,IP!$A$4:$N$153,14,FALSE),"")</f>
        <v/>
      </c>
      <c r="E10" s="815" t="str">
        <f t="shared" si="0"/>
        <v/>
      </c>
      <c r="F10" s="815" t="str">
        <f t="shared" si="1"/>
        <v/>
      </c>
      <c r="G10" s="815" t="str">
        <f t="shared" si="2"/>
        <v/>
      </c>
      <c r="H10" s="29" t="str">
        <f>IF($B10&lt;&gt;"",VLOOKUP(VLOOKUP($B10,dist_assets,2,FALSE),'Distributed Assets'!$C$7:$F$22,4,FALSE),"")</f>
        <v/>
      </c>
      <c r="I10" s="816" t="str">
        <f>IF($A10&lt;&gt;"",VLOOKUP($A10,IP!$A$4:$N$153,11,FALSE),"")</f>
        <v/>
      </c>
      <c r="J10" s="816" t="str">
        <f t="shared" si="3"/>
        <v/>
      </c>
      <c r="K10" s="816" t="str">
        <f t="shared" si="5"/>
        <v/>
      </c>
      <c r="L10" s="1472"/>
      <c r="M10" s="72" t="str">
        <f t="shared" si="6"/>
        <v/>
      </c>
      <c r="N10" s="819" t="str">
        <f t="shared" si="4"/>
        <v/>
      </c>
      <c r="O10" s="912" t="str">
        <f>IF($A10&lt;&gt;"",
         IF(AND($E10="Windows",
                         VLOOKUP($B10,'Distributed Assets'!$B$28:$Q$100,6,FALSE)&lt;&gt;"Virtual",
                          LEFT($G10,5)="MSSQL",
                          LEFT(VLOOKUP($B10,'Distributed Assets'!$B$28:$Q$100,12,FALSE),6)="ACTIVE"),
                 IF($H10="DEV","42111",
                      IF($H10="Test 2.0","21422",
                          IF(OR($H10="Prod 2.0",$H10="Prod F.W."),"16148",
              ))),"N/A"),"")</f>
        <v/>
      </c>
    </row>
    <row r="11" spans="1:17">
      <c r="A11" s="806"/>
      <c r="B11" s="1474" t="str">
        <f>IF($A11&lt;&gt;"",VLOOKUP($A11,IP!$A$4:$P$153,2,FALSE),"")</f>
        <v/>
      </c>
      <c r="C11" s="5" t="str">
        <f>IF($B11&lt;&gt;"",
VLOOKUP($B11,IP!$B$4:$N$153,3,FALSE),
"")</f>
        <v/>
      </c>
      <c r="D11" s="815" t="str">
        <f>IF($A11&lt;&gt;"",VLOOKUP($A11,IP!$A$4:$N$153,14,FALSE),"")</f>
        <v/>
      </c>
      <c r="E11" s="815" t="str">
        <f t="shared" si="0"/>
        <v/>
      </c>
      <c r="F11" s="815" t="str">
        <f t="shared" si="1"/>
        <v/>
      </c>
      <c r="G11" s="815" t="str">
        <f t="shared" si="2"/>
        <v/>
      </c>
      <c r="H11" s="29" t="str">
        <f>IF($B11&lt;&gt;"",VLOOKUP(VLOOKUP($B11,dist_assets,2,FALSE),'Distributed Assets'!$C$7:$F$22,4,FALSE),"")</f>
        <v/>
      </c>
      <c r="I11" s="816" t="str">
        <f>IF($A11&lt;&gt;"",VLOOKUP($A11,IP!$A$4:$N$153,11,FALSE),"")</f>
        <v/>
      </c>
      <c r="J11" s="816" t="str">
        <f t="shared" si="3"/>
        <v/>
      </c>
      <c r="K11" s="816" t="str">
        <f t="shared" si="5"/>
        <v/>
      </c>
      <c r="L11" s="1472"/>
      <c r="M11" s="72" t="str">
        <f t="shared" si="6"/>
        <v/>
      </c>
      <c r="N11" s="819" t="str">
        <f t="shared" si="4"/>
        <v/>
      </c>
      <c r="O11" s="912" t="str">
        <f>IF($A11&lt;&gt;"",
         IF(AND($E11="Windows",
                         VLOOKUP($B11,'Distributed Assets'!$B$28:$Q$100,6,FALSE)&lt;&gt;"Virtual",
                          LEFT($G11,5)="MSSQL",
                          LEFT(VLOOKUP($B11,'Distributed Assets'!$B$28:$Q$100,12,FALSE),6)="ACTIVE"),
                 IF($H11="DEV","42111",
                      IF($H11="Test 2.0","21422",
                          IF(OR($H11="Prod 2.0",$H11="Prod F.W."),"16148",
              ))),"N/A"),"")</f>
        <v/>
      </c>
    </row>
    <row r="12" spans="1:17">
      <c r="A12" s="806"/>
      <c r="B12" s="1474" t="str">
        <f>IF($A12&lt;&gt;"",VLOOKUP($A12,IP!$A$4:$P$153,2,FALSE),"")</f>
        <v/>
      </c>
      <c r="C12" s="5" t="str">
        <f>IF($B12&lt;&gt;"",
VLOOKUP($B12,IP!$B$4:$N$153,3,FALSE),
"")</f>
        <v/>
      </c>
      <c r="D12" s="815" t="str">
        <f>IF($A12&lt;&gt;"",VLOOKUP($A12,IP!$A$4:$N$153,14,FALSE),"")</f>
        <v/>
      </c>
      <c r="E12" s="815" t="str">
        <f t="shared" si="0"/>
        <v/>
      </c>
      <c r="F12" s="815" t="str">
        <f t="shared" si="1"/>
        <v/>
      </c>
      <c r="G12" s="815" t="str">
        <f t="shared" si="2"/>
        <v/>
      </c>
      <c r="H12" s="29" t="str">
        <f>IF($B12&lt;&gt;"",VLOOKUP(VLOOKUP($B12,dist_assets,2,FALSE),'Distributed Assets'!$C$7:$F$22,4,FALSE),"")</f>
        <v/>
      </c>
      <c r="I12" s="816" t="str">
        <f>IF($A12&lt;&gt;"",VLOOKUP($A12,IP!$A$4:$N$153,11,FALSE),"")</f>
        <v/>
      </c>
      <c r="J12" s="816" t="str">
        <f t="shared" si="3"/>
        <v/>
      </c>
      <c r="K12" s="816" t="str">
        <f t="shared" si="5"/>
        <v/>
      </c>
      <c r="L12" s="1472"/>
      <c r="M12" s="72" t="str">
        <f t="shared" si="6"/>
        <v/>
      </c>
      <c r="N12" s="819" t="str">
        <f t="shared" si="4"/>
        <v/>
      </c>
      <c r="O12" s="912" t="str">
        <f>IF($A12&lt;&gt;"",
         IF(AND($E12="Windows",
                         VLOOKUP($B12,'Distributed Assets'!$B$28:$Q$100,6,FALSE)&lt;&gt;"Virtual",
                          LEFT($G12,5)="MSSQL",
                          LEFT(VLOOKUP($B12,'Distributed Assets'!$B$28:$Q$100,12,FALSE),6)="ACTIVE"),
                 IF($H12="DEV","42111",
                      IF($H12="Test 2.0","21422",
                          IF(OR($H12="Prod 2.0",$H12="Prod F.W."),"16148",
              ))),"N/A"),"")</f>
        <v/>
      </c>
    </row>
    <row r="13" spans="1:17">
      <c r="A13" s="806"/>
      <c r="B13" s="1474" t="str">
        <f>IF($A13&lt;&gt;"",VLOOKUP($A13,IP!$A$4:$P$153,2,FALSE),"")</f>
        <v/>
      </c>
      <c r="C13" s="5" t="str">
        <f>IF($B13&lt;&gt;"",
VLOOKUP($B13,IP!$B$4:$N$153,3,FALSE),
"")</f>
        <v/>
      </c>
      <c r="D13" s="815" t="str">
        <f>IF($A13&lt;&gt;"",VLOOKUP($A13,IP!$A$4:$N$153,14,FALSE),"")</f>
        <v/>
      </c>
      <c r="E13" s="815" t="str">
        <f t="shared" si="0"/>
        <v/>
      </c>
      <c r="F13" s="815" t="str">
        <f t="shared" si="1"/>
        <v/>
      </c>
      <c r="G13" s="815" t="str">
        <f t="shared" si="2"/>
        <v/>
      </c>
      <c r="H13" s="29" t="str">
        <f>IF($B13&lt;&gt;"",VLOOKUP(VLOOKUP($B13,dist_assets,2,FALSE),'Distributed Assets'!$C$7:$F$22,4,FALSE),"")</f>
        <v/>
      </c>
      <c r="I13" s="816" t="str">
        <f>IF($A13&lt;&gt;"",VLOOKUP($A13,IP!$A$4:$N$153,11,FALSE),"")</f>
        <v/>
      </c>
      <c r="J13" s="816" t="str">
        <f t="shared" si="3"/>
        <v/>
      </c>
      <c r="K13" s="816" t="str">
        <f t="shared" si="5"/>
        <v/>
      </c>
      <c r="L13" s="1472"/>
      <c r="M13" s="72" t="str">
        <f t="shared" si="6"/>
        <v/>
      </c>
      <c r="N13" s="819" t="str">
        <f t="shared" si="4"/>
        <v/>
      </c>
      <c r="O13" s="912" t="str">
        <f>IF($A13&lt;&gt;"",
         IF(AND($E13="Windows",
                         VLOOKUP($B13,'Distributed Assets'!$B$28:$Q$100,6,FALSE)&lt;&gt;"Virtual",
                          LEFT($G13,5)="MSSQL",
                          LEFT(VLOOKUP($B13,'Distributed Assets'!$B$28:$Q$100,12,FALSE),6)="ACTIVE"),
                 IF($H13="DEV","42111",
                      IF($H13="Test 2.0","21422",
                          IF(OR($H13="Prod 2.0",$H13="Prod F.W."),"16148",
              ))),"N/A"),"")</f>
        <v/>
      </c>
    </row>
    <row r="14" spans="1:17">
      <c r="A14" s="806"/>
      <c r="B14" s="1474" t="str">
        <f>IF($A14&lt;&gt;"",VLOOKUP($A14,IP!$A$4:$P$153,2,FALSE),"")</f>
        <v/>
      </c>
      <c r="C14" s="5" t="str">
        <f>IF($B14&lt;&gt;"",
VLOOKUP($B14,IP!$B$4:$N$153,3,FALSE),
"")</f>
        <v/>
      </c>
      <c r="D14" s="815" t="str">
        <f>IF($A14&lt;&gt;"",VLOOKUP($A14,IP!$A$4:$N$153,14,FALSE),"")</f>
        <v/>
      </c>
      <c r="E14" s="815" t="str">
        <f t="shared" si="0"/>
        <v/>
      </c>
      <c r="F14" s="815" t="str">
        <f t="shared" si="1"/>
        <v/>
      </c>
      <c r="G14" s="815" t="str">
        <f t="shared" si="2"/>
        <v/>
      </c>
      <c r="H14" s="29" t="str">
        <f>IF($B14&lt;&gt;"",VLOOKUP(VLOOKUP($B14,dist_assets,2,FALSE),'Distributed Assets'!$C$7:$F$22,4,FALSE),"")</f>
        <v/>
      </c>
      <c r="I14" s="816" t="str">
        <f>IF($A14&lt;&gt;"",VLOOKUP($A14,IP!$A$4:$N$153,11,FALSE),"")</f>
        <v/>
      </c>
      <c r="J14" s="816" t="str">
        <f t="shared" si="3"/>
        <v/>
      </c>
      <c r="K14" s="816" t="str">
        <f t="shared" si="5"/>
        <v/>
      </c>
      <c r="L14" s="1472"/>
      <c r="M14" s="72" t="str">
        <f t="shared" si="6"/>
        <v/>
      </c>
      <c r="N14" s="819" t="str">
        <f t="shared" si="4"/>
        <v/>
      </c>
      <c r="O14" s="912" t="str">
        <f>IF($A14&lt;&gt;"",
         IF(AND($E14="Windows",
                         VLOOKUP($B14,'Distributed Assets'!$B$28:$Q$100,6,FALSE)&lt;&gt;"Virtual",
                          LEFT($G14,5)="MSSQL",
                          LEFT(VLOOKUP($B14,'Distributed Assets'!$B$28:$Q$100,12,FALSE),6)="ACTIVE"),
                 IF($H14="DEV","42111",
                      IF($H14="Test 2.0","21422",
                          IF(OR($H14="Prod 2.0",$H14="Prod F.W."),"16148",
              ))),"N/A"),"")</f>
        <v/>
      </c>
    </row>
    <row r="15" spans="1:17">
      <c r="A15" s="806"/>
      <c r="B15" s="1474" t="str">
        <f>IF($A15&lt;&gt;"",VLOOKUP($A15,IP!$A$4:$P$153,2,FALSE),"")</f>
        <v/>
      </c>
      <c r="C15" s="5" t="str">
        <f>IF($B15&lt;&gt;"",
VLOOKUP($B15,IP!$B$4:$N$153,3,FALSE),
"")</f>
        <v/>
      </c>
      <c r="D15" s="815" t="str">
        <f>IF($A15&lt;&gt;"",VLOOKUP($A15,IP!$A$4:$N$153,14,FALSE),"")</f>
        <v/>
      </c>
      <c r="E15" s="815" t="str">
        <f t="shared" si="0"/>
        <v/>
      </c>
      <c r="F15" s="815" t="str">
        <f t="shared" si="1"/>
        <v/>
      </c>
      <c r="G15" s="815" t="str">
        <f t="shared" si="2"/>
        <v/>
      </c>
      <c r="H15" s="29" t="str">
        <f>IF($B15&lt;&gt;"",VLOOKUP(VLOOKUP($B15,dist_assets,2,FALSE),'Distributed Assets'!$C$7:$F$22,4,FALSE),"")</f>
        <v/>
      </c>
      <c r="I15" s="816" t="str">
        <f>IF($A15&lt;&gt;"",VLOOKUP($A15,IP!$A$4:$N$153,11,FALSE),"")</f>
        <v/>
      </c>
      <c r="J15" s="816" t="str">
        <f t="shared" si="3"/>
        <v/>
      </c>
      <c r="K15" s="816" t="str">
        <f t="shared" si="5"/>
        <v/>
      </c>
      <c r="L15" s="1472"/>
      <c r="M15" s="72" t="str">
        <f t="shared" si="6"/>
        <v/>
      </c>
      <c r="N15" s="819" t="str">
        <f t="shared" si="4"/>
        <v/>
      </c>
      <c r="O15" s="912" t="str">
        <f>IF($A15&lt;&gt;"",
         IF(AND($E15="Windows",
                         VLOOKUP($B15,'Distributed Assets'!$B$28:$Q$100,6,FALSE)&lt;&gt;"Virtual",
                          LEFT($G15,5)="MSSQL",
                          LEFT(VLOOKUP($B15,'Distributed Assets'!$B$28:$Q$100,12,FALSE),6)="ACTIVE"),
                 IF($H15="DEV","42111",
                      IF($H15="Test 2.0","21422",
                          IF(OR($H15="Prod 2.0",$H15="Prod F.W."),"16148",
              ))),"N/A"),"")</f>
        <v/>
      </c>
    </row>
    <row r="16" spans="1:17">
      <c r="A16" s="806"/>
      <c r="B16" s="1474" t="str">
        <f>IF($A16&lt;&gt;"",VLOOKUP($A16,IP!$A$4:$P$153,2,FALSE),"")</f>
        <v/>
      </c>
      <c r="C16" s="5" t="str">
        <f>IF($B16&lt;&gt;"",
VLOOKUP($B16,IP!$B$4:$N$153,3,FALSE),
"")</f>
        <v/>
      </c>
      <c r="D16" s="815" t="str">
        <f>IF($A16&lt;&gt;"",VLOOKUP($A16,IP!$A$4:$N$153,14,FALSE),"")</f>
        <v/>
      </c>
      <c r="E16" s="815" t="str">
        <f t="shared" si="0"/>
        <v/>
      </c>
      <c r="F16" s="815" t="str">
        <f t="shared" si="1"/>
        <v/>
      </c>
      <c r="G16" s="815" t="str">
        <f t="shared" si="2"/>
        <v/>
      </c>
      <c r="H16" s="29" t="str">
        <f>IF($B16&lt;&gt;"",VLOOKUP(VLOOKUP($B16,dist_assets,2,FALSE),'Distributed Assets'!$C$7:$F$22,4,FALSE),"")</f>
        <v/>
      </c>
      <c r="I16" s="816" t="str">
        <f>IF($A16&lt;&gt;"",VLOOKUP($A16,IP!$A$4:$N$153,11,FALSE),"")</f>
        <v/>
      </c>
      <c r="J16" s="816" t="str">
        <f t="shared" si="3"/>
        <v/>
      </c>
      <c r="K16" s="816" t="str">
        <f t="shared" si="5"/>
        <v/>
      </c>
      <c r="L16" s="1472"/>
      <c r="M16" s="72" t="str">
        <f t="shared" si="6"/>
        <v/>
      </c>
      <c r="N16" s="819" t="str">
        <f t="shared" si="4"/>
        <v/>
      </c>
      <c r="O16" s="912" t="str">
        <f>IF($A16&lt;&gt;"",
         IF(AND($E16="Windows",
                         VLOOKUP($B16,'Distributed Assets'!$B$28:$Q$100,6,FALSE)&lt;&gt;"Virtual",
                          LEFT($G16,5)="MSSQL",
                          LEFT(VLOOKUP($B16,'Distributed Assets'!$B$28:$Q$100,12,FALSE),6)="ACTIVE"),
                 IF($H16="DEV","42111",
                      IF($H16="Test 2.0","21422",
                          IF(OR($H16="Prod 2.0",$H16="Prod F.W."),"16148",
              ))),"N/A"),"")</f>
        <v/>
      </c>
    </row>
    <row r="17" spans="1:15">
      <c r="A17" s="806"/>
      <c r="B17" s="1474" t="str">
        <f>IF($A17&lt;&gt;"",VLOOKUP($A17,IP!$A$4:$P$153,2,FALSE),"")</f>
        <v/>
      </c>
      <c r="C17" s="5" t="str">
        <f>IF($B17&lt;&gt;"",
VLOOKUP($B17,IP!$B$4:$N$153,3,FALSE),
"")</f>
        <v/>
      </c>
      <c r="D17" s="815" t="str">
        <f>IF($A17&lt;&gt;"",VLOOKUP($A17,IP!$A$4:$N$153,14,FALSE),"")</f>
        <v/>
      </c>
      <c r="E17" s="815" t="str">
        <f t="shared" si="0"/>
        <v/>
      </c>
      <c r="F17" s="815" t="str">
        <f t="shared" si="1"/>
        <v/>
      </c>
      <c r="G17" s="815" t="str">
        <f t="shared" si="2"/>
        <v/>
      </c>
      <c r="H17" s="29" t="str">
        <f>IF($B17&lt;&gt;"",VLOOKUP(VLOOKUP($B17,dist_assets,2,FALSE),'Distributed Assets'!$C$7:$F$22,4,FALSE),"")</f>
        <v/>
      </c>
      <c r="I17" s="816" t="str">
        <f>IF($A17&lt;&gt;"",VLOOKUP($A17,IP!$A$4:$N$153,11,FALSE),"")</f>
        <v/>
      </c>
      <c r="J17" s="816" t="str">
        <f t="shared" si="3"/>
        <v/>
      </c>
      <c r="K17" s="816" t="str">
        <f t="shared" si="5"/>
        <v/>
      </c>
      <c r="L17" s="1472"/>
      <c r="M17" s="72" t="str">
        <f t="shared" si="6"/>
        <v/>
      </c>
      <c r="N17" s="819" t="str">
        <f t="shared" si="4"/>
        <v/>
      </c>
      <c r="O17" s="912" t="str">
        <f>IF($A17&lt;&gt;"",
         IF(AND($E17="Windows",
                         VLOOKUP($B17,'Distributed Assets'!$B$28:$Q$100,6,FALSE)&lt;&gt;"Virtual",
                          LEFT($G17,5)="MSSQL",
                          LEFT(VLOOKUP($B17,'Distributed Assets'!$B$28:$Q$100,12,FALSE),6)="ACTIVE"),
                 IF($H17="DEV","42111",
                      IF($H17="Test 2.0","21422",
                          IF(OR($H17="Prod 2.0",$H17="Prod F.W."),"16148",
              ))),"N/A"),"")</f>
        <v/>
      </c>
    </row>
    <row r="18" spans="1:15">
      <c r="A18" s="806"/>
      <c r="B18" s="1474" t="str">
        <f>IF($A18&lt;&gt;"",VLOOKUP($A18,IP!$A$4:$P$153,2,FALSE),"")</f>
        <v/>
      </c>
      <c r="C18" s="5" t="str">
        <f>IF($B18&lt;&gt;"",
VLOOKUP($B18,IP!$B$4:$N$153,3,FALSE),
"")</f>
        <v/>
      </c>
      <c r="D18" s="815" t="str">
        <f>IF($A18&lt;&gt;"",VLOOKUP($A18,IP!$A$4:$N$153,14,FALSE),"")</f>
        <v/>
      </c>
      <c r="E18" s="815" t="str">
        <f t="shared" si="0"/>
        <v/>
      </c>
      <c r="F18" s="815" t="str">
        <f t="shared" si="1"/>
        <v/>
      </c>
      <c r="G18" s="815" t="str">
        <f t="shared" si="2"/>
        <v/>
      </c>
      <c r="H18" s="29" t="str">
        <f>IF($B18&lt;&gt;"",VLOOKUP(VLOOKUP($B18,dist_assets,2,FALSE),'Distributed Assets'!$C$7:$F$22,4,FALSE),"")</f>
        <v/>
      </c>
      <c r="I18" s="816" t="str">
        <f>IF($A18&lt;&gt;"",VLOOKUP($A18,IP!$A$4:$N$153,11,FALSE),"")</f>
        <v/>
      </c>
      <c r="J18" s="816" t="str">
        <f t="shared" si="3"/>
        <v/>
      </c>
      <c r="K18" s="816" t="str">
        <f t="shared" si="5"/>
        <v/>
      </c>
      <c r="L18" s="1472"/>
      <c r="M18" s="72" t="str">
        <f t="shared" si="6"/>
        <v/>
      </c>
      <c r="N18" s="819" t="str">
        <f t="shared" si="4"/>
        <v/>
      </c>
      <c r="O18" s="912" t="str">
        <f>IF($A18&lt;&gt;"",
         IF(AND($E18="Windows",
                         VLOOKUP($B18,'Distributed Assets'!$B$28:$Q$100,6,FALSE)&lt;&gt;"Virtual",
                          LEFT($G18,5)="MSSQL",
                          LEFT(VLOOKUP($B18,'Distributed Assets'!$B$28:$Q$100,12,FALSE),6)="ACTIVE"),
                 IF($H18="DEV","42111",
                      IF($H18="Test 2.0","21422",
                          IF(OR($H18="Prod 2.0",$H18="Prod F.W."),"16148",
              ))),"N/A"),"")</f>
        <v/>
      </c>
    </row>
    <row r="19" spans="1:15">
      <c r="A19" s="806"/>
      <c r="B19" s="1474" t="str">
        <f>IF($A19&lt;&gt;"",VLOOKUP($A19,IP!$A$4:$P$153,2,FALSE),"")</f>
        <v/>
      </c>
      <c r="C19" s="5" t="str">
        <f>IF($B19&lt;&gt;"",
VLOOKUP($B19,IP!$B$4:$N$153,3,FALSE),
"")</f>
        <v/>
      </c>
      <c r="D19" s="815" t="str">
        <f>IF($A19&lt;&gt;"",VLOOKUP($A19,IP!$A$4:$N$153,14,FALSE),"")</f>
        <v/>
      </c>
      <c r="E19" s="815" t="str">
        <f t="shared" si="0"/>
        <v/>
      </c>
      <c r="F19" s="815" t="str">
        <f t="shared" si="1"/>
        <v/>
      </c>
      <c r="G19" s="815" t="str">
        <f t="shared" si="2"/>
        <v/>
      </c>
      <c r="H19" s="29" t="str">
        <f>IF($B19&lt;&gt;"",VLOOKUP(VLOOKUP($B19,dist_assets,2,FALSE),'Distributed Assets'!$C$7:$F$22,4,FALSE),"")</f>
        <v/>
      </c>
      <c r="I19" s="816" t="str">
        <f>IF($A19&lt;&gt;"",VLOOKUP($A19,IP!$A$4:$N$153,11,FALSE),"")</f>
        <v/>
      </c>
      <c r="J19" s="816" t="str">
        <f t="shared" si="3"/>
        <v/>
      </c>
      <c r="K19" s="816" t="str">
        <f t="shared" si="5"/>
        <v/>
      </c>
      <c r="L19" s="1472"/>
      <c r="M19" s="72" t="str">
        <f t="shared" si="6"/>
        <v/>
      </c>
      <c r="N19" s="819" t="str">
        <f t="shared" si="4"/>
        <v/>
      </c>
      <c r="O19" s="912" t="str">
        <f>IF($A19&lt;&gt;"",
         IF(AND($E19="Windows",
                         VLOOKUP($B19,'Distributed Assets'!$B$28:$Q$100,6,FALSE)&lt;&gt;"Virtual",
                          LEFT($G19,5)="MSSQL",
                          LEFT(VLOOKUP($B19,'Distributed Assets'!$B$28:$Q$100,12,FALSE),6)="ACTIVE"),
                 IF($H19="DEV","42111",
                      IF($H19="Test 2.0","21422",
                          IF(OR($H19="Prod 2.0",$H19="Prod F.W."),"16148",
              ))),"N/A"),"")</f>
        <v/>
      </c>
    </row>
    <row r="20" spans="1:15">
      <c r="A20" s="806"/>
      <c r="B20" s="1474" t="str">
        <f>IF($A20&lt;&gt;"",VLOOKUP($A20,IP!$A$4:$P$153,2,FALSE),"")</f>
        <v/>
      </c>
      <c r="C20" s="5" t="str">
        <f>IF($B20&lt;&gt;"",
VLOOKUP($B20,IP!$B$4:$N$153,3,FALSE),
"")</f>
        <v/>
      </c>
      <c r="D20" s="815" t="str">
        <f>IF($A20&lt;&gt;"",VLOOKUP($A20,IP!$A$4:$N$153,14,FALSE),"")</f>
        <v/>
      </c>
      <c r="E20" s="815" t="str">
        <f t="shared" si="0"/>
        <v/>
      </c>
      <c r="F20" s="815" t="str">
        <f t="shared" si="1"/>
        <v/>
      </c>
      <c r="G20" s="815" t="str">
        <f t="shared" si="2"/>
        <v/>
      </c>
      <c r="H20" s="29" t="str">
        <f>IF($B20&lt;&gt;"",VLOOKUP(VLOOKUP($B20,dist_assets,2,FALSE),'Distributed Assets'!$C$7:$F$22,4,FALSE),"")</f>
        <v/>
      </c>
      <c r="I20" s="816" t="str">
        <f>IF($A20&lt;&gt;"",VLOOKUP($A20,IP!$A$4:$N$153,11,FALSE),"")</f>
        <v/>
      </c>
      <c r="J20" s="816" t="str">
        <f t="shared" si="3"/>
        <v/>
      </c>
      <c r="K20" s="816" t="str">
        <f t="shared" si="5"/>
        <v/>
      </c>
      <c r="L20" s="1472"/>
      <c r="M20" s="72" t="str">
        <f t="shared" si="6"/>
        <v/>
      </c>
      <c r="N20" s="819" t="str">
        <f t="shared" si="4"/>
        <v/>
      </c>
      <c r="O20" s="912" t="str">
        <f>IF($A20&lt;&gt;"",
         IF(AND($E20="Windows",
                         VLOOKUP($B20,'Distributed Assets'!$B$28:$Q$100,6,FALSE)&lt;&gt;"Virtual",
                          LEFT($G20,5)="MSSQL",
                          LEFT(VLOOKUP($B20,'Distributed Assets'!$B$28:$Q$100,12,FALSE),6)="ACTIVE"),
                 IF($H20="DEV","42111",
                      IF($H20="Test 2.0","21422",
                          IF(OR($H20="Prod 2.0",$H20="Prod F.W."),"16148",
              ))),"N/A"),"")</f>
        <v/>
      </c>
    </row>
    <row r="21" spans="1:15">
      <c r="A21" s="806"/>
      <c r="B21" s="1474" t="str">
        <f>IF($A21&lt;&gt;"",VLOOKUP($A21,IP!$A$4:$P$153,2,FALSE),"")</f>
        <v/>
      </c>
      <c r="C21" s="5" t="str">
        <f>IF($B21&lt;&gt;"",
VLOOKUP($B21,IP!$B$4:$N$153,3,FALSE),
"")</f>
        <v/>
      </c>
      <c r="D21" s="815" t="str">
        <f>IF($A21&lt;&gt;"",VLOOKUP($A21,IP!$A$4:$N$153,14,FALSE),"")</f>
        <v/>
      </c>
      <c r="E21" s="815" t="str">
        <f t="shared" si="0"/>
        <v/>
      </c>
      <c r="F21" s="815" t="str">
        <f t="shared" si="1"/>
        <v/>
      </c>
      <c r="G21" s="815" t="str">
        <f t="shared" si="2"/>
        <v/>
      </c>
      <c r="H21" s="29" t="str">
        <f>IF($B21&lt;&gt;"",VLOOKUP(VLOOKUP($B21,dist_assets,2,FALSE),'Distributed Assets'!$C$7:$F$22,4,FALSE),"")</f>
        <v/>
      </c>
      <c r="I21" s="816" t="str">
        <f>IF($A21&lt;&gt;"",VLOOKUP($A21,IP!$A$4:$N$153,11,FALSE),"")</f>
        <v/>
      </c>
      <c r="J21" s="816" t="str">
        <f t="shared" si="3"/>
        <v/>
      </c>
      <c r="K21" s="816" t="str">
        <f t="shared" si="5"/>
        <v/>
      </c>
      <c r="L21" s="1472"/>
      <c r="M21" s="72" t="str">
        <f t="shared" si="6"/>
        <v/>
      </c>
      <c r="N21" s="819" t="str">
        <f t="shared" si="4"/>
        <v/>
      </c>
      <c r="O21" s="912" t="str">
        <f>IF($A21&lt;&gt;"",
         IF(AND($E21="Windows",
                         VLOOKUP($B21,'Distributed Assets'!$B$28:$Q$100,6,FALSE)&lt;&gt;"Virtual",
                          LEFT($G21,5)="MSSQL",
                          LEFT(VLOOKUP($B21,'Distributed Assets'!$B$28:$Q$100,12,FALSE),6)="ACTIVE"),
                 IF($H21="DEV","42111",
                      IF($H21="Test 2.0","21422",
                          IF(OR($H21="Prod 2.0",$H21="Prod F.W."),"16148",
              ))),"N/A"),"")</f>
        <v/>
      </c>
    </row>
    <row r="22" spans="1:15">
      <c r="A22" s="806"/>
      <c r="B22" s="1474" t="str">
        <f>IF($A22&lt;&gt;"",VLOOKUP($A22,IP!$A$4:$P$153,2,FALSE),"")</f>
        <v/>
      </c>
      <c r="C22" s="5" t="str">
        <f>IF($B22&lt;&gt;"",
VLOOKUP($B22,IP!$B$4:$N$153,3,FALSE),
"")</f>
        <v/>
      </c>
      <c r="D22" s="815" t="str">
        <f>IF($A22&lt;&gt;"",VLOOKUP($A22,IP!$A$4:$N$153,14,FALSE),"")</f>
        <v/>
      </c>
      <c r="E22" s="815" t="str">
        <f t="shared" si="0"/>
        <v/>
      </c>
      <c r="F22" s="815" t="str">
        <f t="shared" si="1"/>
        <v/>
      </c>
      <c r="G22" s="815" t="str">
        <f t="shared" si="2"/>
        <v/>
      </c>
      <c r="H22" s="29" t="str">
        <f>IF($B22&lt;&gt;"",VLOOKUP(VLOOKUP($B22,dist_assets,2,FALSE),'Distributed Assets'!$C$7:$F$22,4,FALSE),"")</f>
        <v/>
      </c>
      <c r="I22" s="816" t="str">
        <f>IF($A22&lt;&gt;"",VLOOKUP($A22,IP!$A$4:$N$153,11,FALSE),"")</f>
        <v/>
      </c>
      <c r="J22" s="816" t="str">
        <f t="shared" si="3"/>
        <v/>
      </c>
      <c r="K22" s="816" t="str">
        <f t="shared" si="5"/>
        <v/>
      </c>
      <c r="L22" s="1472"/>
      <c r="M22" s="72" t="str">
        <f t="shared" si="6"/>
        <v/>
      </c>
      <c r="N22" s="819" t="str">
        <f t="shared" si="4"/>
        <v/>
      </c>
      <c r="O22" s="912" t="str">
        <f>IF($A22&lt;&gt;"",
         IF(AND($E22="Windows",
                         VLOOKUP($B22,'Distributed Assets'!$B$28:$Q$100,6,FALSE)&lt;&gt;"Virtual",
                          LEFT($G22,5)="MSSQL",
                          LEFT(VLOOKUP($B22,'Distributed Assets'!$B$28:$Q$100,12,FALSE),6)="ACTIVE"),
                 IF($H22="DEV","42111",
                      IF($H22="Test 2.0","21422",
                          IF(OR($H22="Prod 2.0",$H22="Prod F.W."),"16148",
              ))),"N/A"),"")</f>
        <v/>
      </c>
    </row>
    <row r="23" spans="1:15">
      <c r="A23" s="806"/>
      <c r="B23" s="1474" t="str">
        <f>IF($A23&lt;&gt;"",VLOOKUP($A23,IP!$A$4:$P$153,2,FALSE),"")</f>
        <v/>
      </c>
      <c r="C23" s="5" t="str">
        <f>IF($B23&lt;&gt;"",
VLOOKUP($B23,IP!$B$4:$N$153,3,FALSE),
"")</f>
        <v/>
      </c>
      <c r="D23" s="815" t="str">
        <f>IF($A23&lt;&gt;"",VLOOKUP($A23,IP!$A$4:$N$153,14,FALSE),"")</f>
        <v/>
      </c>
      <c r="E23" s="815" t="str">
        <f t="shared" si="0"/>
        <v/>
      </c>
      <c r="F23" s="815" t="str">
        <f t="shared" si="1"/>
        <v/>
      </c>
      <c r="G23" s="815" t="str">
        <f t="shared" si="2"/>
        <v/>
      </c>
      <c r="H23" s="29" t="str">
        <f>IF($B23&lt;&gt;"",VLOOKUP(VLOOKUP($B23,dist_assets,2,FALSE),'Distributed Assets'!$C$7:$F$22,4,FALSE),"")</f>
        <v/>
      </c>
      <c r="I23" s="816" t="str">
        <f>IF($A23&lt;&gt;"",VLOOKUP($A23,IP!$A$4:$N$153,11,FALSE),"")</f>
        <v/>
      </c>
      <c r="J23" s="816" t="str">
        <f t="shared" si="3"/>
        <v/>
      </c>
      <c r="K23" s="816" t="str">
        <f t="shared" si="5"/>
        <v/>
      </c>
      <c r="L23" s="1472"/>
      <c r="M23" s="72" t="str">
        <f t="shared" si="6"/>
        <v/>
      </c>
      <c r="N23" s="819" t="str">
        <f t="shared" si="4"/>
        <v/>
      </c>
      <c r="O23" s="912" t="str">
        <f>IF($A23&lt;&gt;"",
         IF(AND($E23="Windows",
                         VLOOKUP($B23,'Distributed Assets'!$B$28:$Q$100,6,FALSE)&lt;&gt;"Virtual",
                          LEFT($G23,5)="MSSQL",
                          LEFT(VLOOKUP($B23,'Distributed Assets'!$B$28:$Q$100,12,FALSE),6)="ACTIVE"),
                 IF($H23="DEV","42111",
                      IF($H23="Test 2.0","21422",
                          IF(OR($H23="Prod 2.0",$H23="Prod F.W."),"16148",
              ))),"N/A"),"")</f>
        <v/>
      </c>
    </row>
    <row r="24" spans="1:15">
      <c r="A24" s="806"/>
      <c r="B24" s="1474" t="str">
        <f>IF($A24&lt;&gt;"",VLOOKUP($A24,IP!$A$4:$P$153,2,FALSE),"")</f>
        <v/>
      </c>
      <c r="C24" s="5" t="str">
        <f>IF($B24&lt;&gt;"",
VLOOKUP($B24,IP!$B$4:$N$153,3,FALSE),
"")</f>
        <v/>
      </c>
      <c r="D24" s="815" t="str">
        <f>IF($A24&lt;&gt;"",VLOOKUP($A24,IP!$A$4:$N$153,14,FALSE),"")</f>
        <v/>
      </c>
      <c r="E24" s="815" t="str">
        <f t="shared" si="0"/>
        <v/>
      </c>
      <c r="F24" s="815" t="str">
        <f t="shared" si="1"/>
        <v/>
      </c>
      <c r="G24" s="815" t="str">
        <f t="shared" si="2"/>
        <v/>
      </c>
      <c r="H24" s="29" t="str">
        <f>IF($B24&lt;&gt;"",VLOOKUP(VLOOKUP($B24,dist_assets,2,FALSE),'Distributed Assets'!$C$7:$F$22,4,FALSE),"")</f>
        <v/>
      </c>
      <c r="I24" s="816" t="str">
        <f>IF($A24&lt;&gt;"",VLOOKUP($A24,IP!$A$4:$N$153,11,FALSE),"")</f>
        <v/>
      </c>
      <c r="J24" s="816" t="str">
        <f t="shared" si="3"/>
        <v/>
      </c>
      <c r="K24" s="816" t="str">
        <f t="shared" si="5"/>
        <v/>
      </c>
      <c r="L24" s="1472"/>
      <c r="M24" s="72" t="str">
        <f t="shared" si="6"/>
        <v/>
      </c>
      <c r="N24" s="819" t="str">
        <f t="shared" si="4"/>
        <v/>
      </c>
      <c r="O24" s="912" t="str">
        <f>IF($A24&lt;&gt;"",
         IF(AND($E24="Windows",
                         VLOOKUP($B24,'Distributed Assets'!$B$28:$Q$100,6,FALSE)&lt;&gt;"Virtual",
                          LEFT($G24,5)="MSSQL",
                          LEFT(VLOOKUP($B24,'Distributed Assets'!$B$28:$Q$100,12,FALSE),6)="ACTIVE"),
                 IF($H24="DEV","42111",
                      IF($H24="Test 2.0","21422",
                          IF(OR($H24="Prod 2.0",$H24="Prod F.W."),"16148",
              ))),"N/A"),"")</f>
        <v/>
      </c>
    </row>
    <row r="25" spans="1:15">
      <c r="A25" s="806"/>
      <c r="B25" s="1474" t="str">
        <f>IF($A25&lt;&gt;"",VLOOKUP($A25,IP!$A$4:$P$153,2,FALSE),"")</f>
        <v/>
      </c>
      <c r="C25" s="5" t="str">
        <f>IF($B25&lt;&gt;"",
VLOOKUP($B25,IP!$B$4:$N$153,3,FALSE),
"")</f>
        <v/>
      </c>
      <c r="D25" s="815" t="str">
        <f>IF($A25&lt;&gt;"",VLOOKUP($A25,IP!$A$4:$N$153,14,FALSE),"")</f>
        <v/>
      </c>
      <c r="E25" s="815" t="str">
        <f t="shared" si="0"/>
        <v/>
      </c>
      <c r="F25" s="815" t="str">
        <f t="shared" si="1"/>
        <v/>
      </c>
      <c r="G25" s="815" t="str">
        <f t="shared" si="2"/>
        <v/>
      </c>
      <c r="H25" s="29" t="str">
        <f>IF($B25&lt;&gt;"",VLOOKUP(VLOOKUP($B25,dist_assets,2,FALSE),'Distributed Assets'!$C$7:$F$22,4,FALSE),"")</f>
        <v/>
      </c>
      <c r="I25" s="816" t="str">
        <f>IF($A25&lt;&gt;"",VLOOKUP($A25,IP!$A$4:$N$153,11,FALSE),"")</f>
        <v/>
      </c>
      <c r="J25" s="816" t="str">
        <f t="shared" si="3"/>
        <v/>
      </c>
      <c r="K25" s="816" t="str">
        <f t="shared" si="5"/>
        <v/>
      </c>
      <c r="L25" s="1472"/>
      <c r="M25" s="72" t="str">
        <f t="shared" si="6"/>
        <v/>
      </c>
      <c r="N25" s="819" t="str">
        <f t="shared" si="4"/>
        <v/>
      </c>
      <c r="O25" s="912" t="str">
        <f>IF($A25&lt;&gt;"",
         IF(AND($E25="Windows",
                         VLOOKUP($B25,'Distributed Assets'!$B$28:$Q$100,6,FALSE)&lt;&gt;"Virtual",
                          LEFT($G25,5)="MSSQL",
                          LEFT(VLOOKUP($B25,'Distributed Assets'!$B$28:$Q$100,12,FALSE),6)="ACTIVE"),
                 IF($H25="DEV","42111",
                      IF($H25="Test 2.0","21422",
                          IF(OR($H25="Prod 2.0",$H25="Prod F.W."),"16148",
              ))),"N/A"),"")</f>
        <v/>
      </c>
    </row>
    <row r="26" spans="1:15">
      <c r="A26" s="806"/>
      <c r="B26" s="1474" t="str">
        <f>IF($A26&lt;&gt;"",VLOOKUP($A26,IP!$A$4:$P$153,2,FALSE),"")</f>
        <v/>
      </c>
      <c r="C26" s="5" t="str">
        <f>IF($B26&lt;&gt;"",
VLOOKUP($B26,IP!$B$4:$N$153,3,FALSE),
"")</f>
        <v/>
      </c>
      <c r="D26" s="815" t="str">
        <f>IF($A26&lt;&gt;"",VLOOKUP($A26,IP!$A$4:$N$153,14,FALSE),"")</f>
        <v/>
      </c>
      <c r="E26" s="815" t="str">
        <f t="shared" si="0"/>
        <v/>
      </c>
      <c r="F26" s="815" t="str">
        <f t="shared" si="1"/>
        <v/>
      </c>
      <c r="G26" s="815" t="str">
        <f t="shared" si="2"/>
        <v/>
      </c>
      <c r="H26" s="29" t="str">
        <f>IF($B26&lt;&gt;"",VLOOKUP(VLOOKUP($B26,dist_assets,2,FALSE),'Distributed Assets'!$C$7:$F$22,4,FALSE),"")</f>
        <v/>
      </c>
      <c r="I26" s="816" t="str">
        <f>IF($A26&lt;&gt;"",VLOOKUP($A26,IP!$A$4:$N$153,11,FALSE),"")</f>
        <v/>
      </c>
      <c r="J26" s="816" t="str">
        <f t="shared" si="3"/>
        <v/>
      </c>
      <c r="K26" s="816" t="str">
        <f t="shared" si="5"/>
        <v/>
      </c>
      <c r="L26" s="1472"/>
      <c r="M26" s="72" t="str">
        <f t="shared" si="6"/>
        <v/>
      </c>
      <c r="N26" s="819" t="str">
        <f t="shared" si="4"/>
        <v/>
      </c>
      <c r="O26" s="912" t="str">
        <f>IF($A26&lt;&gt;"",
         IF(AND($E26="Windows",
                         VLOOKUP($B26,'Distributed Assets'!$B$28:$Q$100,6,FALSE)&lt;&gt;"Virtual",
                          LEFT($G26,5)="MSSQL",
                          LEFT(VLOOKUP($B26,'Distributed Assets'!$B$28:$Q$100,12,FALSE),6)="ACTIVE"),
                 IF($H26="DEV","42111",
                      IF($H26="Test 2.0","21422",
                          IF(OR($H26="Prod 2.0",$H26="Prod F.W."),"16148",
              ))),"N/A"),"")</f>
        <v/>
      </c>
    </row>
    <row r="27" spans="1:15">
      <c r="A27" s="806"/>
      <c r="B27" s="1474" t="str">
        <f>IF($A27&lt;&gt;"",VLOOKUP($A27,IP!$A$4:$P$153,2,FALSE),"")</f>
        <v/>
      </c>
      <c r="C27" s="5" t="str">
        <f>IF($B27&lt;&gt;"",
VLOOKUP($B27,IP!$B$4:$N$153,3,FALSE),
"")</f>
        <v/>
      </c>
      <c r="D27" s="815" t="str">
        <f>IF($A27&lt;&gt;"",VLOOKUP($A27,IP!$A$4:$N$153,14,FALSE),"")</f>
        <v/>
      </c>
      <c r="E27" s="815" t="str">
        <f t="shared" si="0"/>
        <v/>
      </c>
      <c r="F27" s="815" t="str">
        <f t="shared" si="1"/>
        <v/>
      </c>
      <c r="G27" s="815" t="str">
        <f t="shared" si="2"/>
        <v/>
      </c>
      <c r="H27" s="29" t="str">
        <f>IF($B27&lt;&gt;"",VLOOKUP(VLOOKUP($B27,dist_assets,2,FALSE),'Distributed Assets'!$C$7:$F$22,4,FALSE),"")</f>
        <v/>
      </c>
      <c r="I27" s="816" t="str">
        <f>IF($A27&lt;&gt;"",VLOOKUP($A27,IP!$A$4:$N$153,11,FALSE),"")</f>
        <v/>
      </c>
      <c r="J27" s="816" t="str">
        <f t="shared" si="3"/>
        <v/>
      </c>
      <c r="K27" s="816" t="str">
        <f t="shared" si="5"/>
        <v/>
      </c>
      <c r="L27" s="1472"/>
      <c r="M27" s="72" t="str">
        <f t="shared" si="6"/>
        <v/>
      </c>
      <c r="N27" s="819" t="str">
        <f t="shared" si="4"/>
        <v/>
      </c>
      <c r="O27" s="912" t="str">
        <f>IF($A27&lt;&gt;"",
         IF(AND($E27="Windows",
                         VLOOKUP($B27,'Distributed Assets'!$B$28:$Q$100,6,FALSE)&lt;&gt;"Virtual",
                          LEFT($G27,5)="MSSQL",
                          LEFT(VLOOKUP($B27,'Distributed Assets'!$B$28:$Q$100,12,FALSE),6)="ACTIVE"),
                 IF($H27="DEV","42111",
                      IF($H27="Test 2.0","21422",
                          IF(OR($H27="Prod 2.0",$H27="Prod F.W."),"16148",
              ))),"N/A"),"")</f>
        <v/>
      </c>
    </row>
    <row r="28" spans="1:15">
      <c r="A28" s="806"/>
      <c r="B28" s="1474" t="str">
        <f>IF($A28&lt;&gt;"",VLOOKUP($A28,IP!$A$4:$P$153,2,FALSE),"")</f>
        <v/>
      </c>
      <c r="C28" s="5" t="str">
        <f>IF($B28&lt;&gt;"",
VLOOKUP($B28,IP!$B$4:$N$153,3,FALSE),
"")</f>
        <v/>
      </c>
      <c r="D28" s="815" t="str">
        <f>IF($A28&lt;&gt;"",VLOOKUP($A28,IP!$A$4:$N$153,14,FALSE),"")</f>
        <v/>
      </c>
      <c r="E28" s="815" t="str">
        <f t="shared" si="0"/>
        <v/>
      </c>
      <c r="F28" s="815" t="str">
        <f t="shared" si="1"/>
        <v/>
      </c>
      <c r="G28" s="815" t="str">
        <f t="shared" si="2"/>
        <v/>
      </c>
      <c r="H28" s="29" t="str">
        <f>IF($B28&lt;&gt;"",VLOOKUP(VLOOKUP($B28,dist_assets,2,FALSE),'Distributed Assets'!$C$7:$F$22,4,FALSE),"")</f>
        <v/>
      </c>
      <c r="I28" s="816" t="str">
        <f>IF($A28&lt;&gt;"",VLOOKUP($A28,IP!$A$4:$N$153,11,FALSE),"")</f>
        <v/>
      </c>
      <c r="J28" s="816" t="str">
        <f t="shared" si="3"/>
        <v/>
      </c>
      <c r="K28" s="816" t="str">
        <f t="shared" si="5"/>
        <v/>
      </c>
      <c r="L28" s="1472"/>
      <c r="M28" s="72" t="str">
        <f t="shared" si="6"/>
        <v/>
      </c>
      <c r="N28" s="819" t="str">
        <f t="shared" si="4"/>
        <v/>
      </c>
      <c r="O28" s="912" t="str">
        <f>IF($A28&lt;&gt;"",
         IF(AND($E28="Windows",
                         VLOOKUP($B28,'Distributed Assets'!$B$28:$Q$100,6,FALSE)&lt;&gt;"Virtual",
                          LEFT($G28,5)="MSSQL",
                          LEFT(VLOOKUP($B28,'Distributed Assets'!$B$28:$Q$100,12,FALSE),6)="ACTIVE"),
                 IF($H28="DEV","42111",
                      IF($H28="Test 2.0","21422",
                          IF(OR($H28="Prod 2.0",$H28="Prod F.W."),"16148",
              ))),"N/A"),"")</f>
        <v/>
      </c>
    </row>
    <row r="29" spans="1:15">
      <c r="A29" s="806"/>
      <c r="B29" s="1474" t="str">
        <f>IF($A29&lt;&gt;"",VLOOKUP($A29,IP!$A$4:$P$153,2,FALSE),"")</f>
        <v/>
      </c>
      <c r="C29" s="5" t="str">
        <f>IF($B29&lt;&gt;"",
VLOOKUP($B29,IP!$B$4:$N$153,3,FALSE),
"")</f>
        <v/>
      </c>
      <c r="D29" s="815" t="str">
        <f>IF($A29&lt;&gt;"",VLOOKUP($A29,IP!$A$4:$N$153,14,FALSE),"")</f>
        <v/>
      </c>
      <c r="E29" s="815" t="str">
        <f t="shared" si="0"/>
        <v/>
      </c>
      <c r="F29" s="815" t="str">
        <f t="shared" si="1"/>
        <v/>
      </c>
      <c r="G29" s="815" t="str">
        <f t="shared" si="2"/>
        <v/>
      </c>
      <c r="H29" s="29" t="str">
        <f>IF($B29&lt;&gt;"",VLOOKUP(VLOOKUP($B29,dist_assets,2,FALSE),'Distributed Assets'!$C$7:$F$22,4,FALSE),"")</f>
        <v/>
      </c>
      <c r="I29" s="816" t="str">
        <f>IF($A29&lt;&gt;"",VLOOKUP($A29,IP!$A$4:$N$153,11,FALSE),"")</f>
        <v/>
      </c>
      <c r="J29" s="816" t="str">
        <f t="shared" si="3"/>
        <v/>
      </c>
      <c r="K29" s="816" t="str">
        <f t="shared" si="5"/>
        <v/>
      </c>
      <c r="L29" s="1472"/>
      <c r="M29" s="72" t="str">
        <f t="shared" si="6"/>
        <v/>
      </c>
      <c r="N29" s="819" t="str">
        <f t="shared" si="4"/>
        <v/>
      </c>
      <c r="O29" s="912" t="str">
        <f>IF($A29&lt;&gt;"",
         IF(AND($E29="Windows",
                         VLOOKUP($B29,'Distributed Assets'!$B$28:$Q$100,6,FALSE)&lt;&gt;"Virtual",
                          LEFT($G29,5)="MSSQL",
                          LEFT(VLOOKUP($B29,'Distributed Assets'!$B$28:$Q$100,12,FALSE),6)="ACTIVE"),
                 IF($H29="DEV","42111",
                      IF($H29="Test 2.0","21422",
                          IF(OR($H29="Prod 2.0",$H29="Prod F.W."),"16148",
              ))),"N/A"),"")</f>
        <v/>
      </c>
    </row>
    <row r="30" spans="1:15">
      <c r="A30" s="806"/>
      <c r="B30" s="1474" t="str">
        <f>IF($A30&lt;&gt;"",VLOOKUP($A30,IP!$A$4:$P$153,2,FALSE),"")</f>
        <v/>
      </c>
      <c r="C30" s="5" t="str">
        <f>IF($B30&lt;&gt;"",
VLOOKUP($B30,IP!$B$4:$N$153,3,FALSE),
"")</f>
        <v/>
      </c>
      <c r="D30" s="815" t="str">
        <f>IF($A30&lt;&gt;"",VLOOKUP($A30,IP!$A$4:$N$153,14,FALSE),"")</f>
        <v/>
      </c>
      <c r="E30" s="815" t="str">
        <f t="shared" si="0"/>
        <v/>
      </c>
      <c r="F30" s="815" t="str">
        <f t="shared" si="1"/>
        <v/>
      </c>
      <c r="G30" s="815" t="str">
        <f t="shared" si="2"/>
        <v/>
      </c>
      <c r="H30" s="29" t="str">
        <f>IF($B30&lt;&gt;"",VLOOKUP(VLOOKUP($B30,dist_assets,2,FALSE),'Distributed Assets'!$C$7:$F$22,4,FALSE),"")</f>
        <v/>
      </c>
      <c r="I30" s="816" t="str">
        <f>IF($A30&lt;&gt;"",VLOOKUP($A30,IP!$A$4:$N$153,11,FALSE),"")</f>
        <v/>
      </c>
      <c r="J30" s="816" t="str">
        <f t="shared" si="3"/>
        <v/>
      </c>
      <c r="K30" s="816" t="str">
        <f t="shared" si="5"/>
        <v/>
      </c>
      <c r="L30" s="1472"/>
      <c r="M30" s="72" t="str">
        <f t="shared" si="6"/>
        <v/>
      </c>
      <c r="N30" s="819" t="str">
        <f t="shared" si="4"/>
        <v/>
      </c>
      <c r="O30" s="912" t="str">
        <f>IF($A30&lt;&gt;"",
         IF(AND($E30="Windows",
                         VLOOKUP($B30,'Distributed Assets'!$B$28:$Q$100,6,FALSE)&lt;&gt;"Virtual",
                          LEFT($G30,5)="MSSQL",
                          LEFT(VLOOKUP($B30,'Distributed Assets'!$B$28:$Q$100,12,FALSE),6)="ACTIVE"),
                 IF($H30="DEV","42111",
                      IF($H30="Test 2.0","21422",
                          IF(OR($H30="Prod 2.0",$H30="Prod F.W."),"16148",
              ))),"N/A"),"")</f>
        <v/>
      </c>
    </row>
    <row r="31" spans="1:15">
      <c r="A31" s="806"/>
      <c r="B31" s="1474" t="str">
        <f>IF($A31&lt;&gt;"",VLOOKUP($A31,IP!$A$4:$P$153,2,FALSE),"")</f>
        <v/>
      </c>
      <c r="C31" s="5" t="str">
        <f>IF($B31&lt;&gt;"",
VLOOKUP($B31,IP!$B$4:$N$153,3,FALSE),
"")</f>
        <v/>
      </c>
      <c r="D31" s="815" t="str">
        <f>IF($A31&lt;&gt;"",VLOOKUP($A31,IP!$A$4:$N$153,14,FALSE),"")</f>
        <v/>
      </c>
      <c r="E31" s="815" t="str">
        <f t="shared" si="0"/>
        <v/>
      </c>
      <c r="F31" s="815" t="str">
        <f t="shared" si="1"/>
        <v/>
      </c>
      <c r="G31" s="815" t="str">
        <f t="shared" si="2"/>
        <v/>
      </c>
      <c r="H31" s="29" t="str">
        <f>IF($B31&lt;&gt;"",VLOOKUP(VLOOKUP($B31,dist_assets,2,FALSE),'Distributed Assets'!$C$7:$F$22,4,FALSE),"")</f>
        <v/>
      </c>
      <c r="I31" s="816" t="str">
        <f>IF($A31&lt;&gt;"",VLOOKUP($A31,IP!$A$4:$N$153,11,FALSE),"")</f>
        <v/>
      </c>
      <c r="J31" s="816" t="str">
        <f t="shared" si="3"/>
        <v/>
      </c>
      <c r="K31" s="816" t="str">
        <f t="shared" si="5"/>
        <v/>
      </c>
      <c r="L31" s="1472"/>
      <c r="M31" s="72" t="str">
        <f t="shared" si="6"/>
        <v/>
      </c>
      <c r="N31" s="819" t="str">
        <f t="shared" si="4"/>
        <v/>
      </c>
      <c r="O31" s="912" t="str">
        <f>IF($A31&lt;&gt;"",
         IF(AND($E31="Windows",
                         VLOOKUP($B31,'Distributed Assets'!$B$28:$Q$100,6,FALSE)&lt;&gt;"Virtual",
                          LEFT($G31,5)="MSSQL",
                          LEFT(VLOOKUP($B31,'Distributed Assets'!$B$28:$Q$100,12,FALSE),6)="ACTIVE"),
                 IF($H31="DEV","42111",
                      IF($H31="Test 2.0","21422",
                          IF(OR($H31="Prod 2.0",$H31="Prod F.W."),"16148",
              ))),"N/A"),"")</f>
        <v/>
      </c>
    </row>
    <row r="32" spans="1:15">
      <c r="A32" s="806"/>
      <c r="B32" s="1474" t="str">
        <f>IF($A32&lt;&gt;"",VLOOKUP($A32,IP!$A$4:$P$153,2,FALSE),"")</f>
        <v/>
      </c>
      <c r="C32" s="5" t="str">
        <f>IF($B32&lt;&gt;"",
VLOOKUP($B32,IP!$B$4:$N$153,3,FALSE),
"")</f>
        <v/>
      </c>
      <c r="D32" s="815" t="str">
        <f>IF($A32&lt;&gt;"",VLOOKUP($A32,IP!$A$4:$N$153,14,FALSE),"")</f>
        <v/>
      </c>
      <c r="E32" s="815" t="str">
        <f t="shared" si="0"/>
        <v/>
      </c>
      <c r="F32" s="815" t="str">
        <f t="shared" si="1"/>
        <v/>
      </c>
      <c r="G32" s="815" t="str">
        <f t="shared" si="2"/>
        <v/>
      </c>
      <c r="H32" s="29" t="str">
        <f>IF($B32&lt;&gt;"",VLOOKUP(VLOOKUP($B32,dist_assets,2,FALSE),'Distributed Assets'!$C$7:$F$22,4,FALSE),"")</f>
        <v/>
      </c>
      <c r="I32" s="816" t="str">
        <f>IF($A32&lt;&gt;"",VLOOKUP($A32,IP!$A$4:$N$153,11,FALSE),"")</f>
        <v/>
      </c>
      <c r="J32" s="816" t="str">
        <f t="shared" si="3"/>
        <v/>
      </c>
      <c r="K32" s="816" t="str">
        <f t="shared" si="5"/>
        <v/>
      </c>
      <c r="L32" s="1472"/>
      <c r="M32" s="72" t="str">
        <f t="shared" si="6"/>
        <v/>
      </c>
      <c r="N32" s="819" t="str">
        <f t="shared" si="4"/>
        <v/>
      </c>
      <c r="O32" s="912" t="str">
        <f>IF($A32&lt;&gt;"",
         IF(AND($E32="Windows",
                         VLOOKUP($B32,'Distributed Assets'!$B$28:$Q$100,6,FALSE)&lt;&gt;"Virtual",
                          LEFT($G32,5)="MSSQL",
                          LEFT(VLOOKUP($B32,'Distributed Assets'!$B$28:$Q$100,12,FALSE),6)="ACTIVE"),
                 IF($H32="DEV","42111",
                      IF($H32="Test 2.0","21422",
                          IF(OR($H32="Prod 2.0",$H32="Prod F.W."),"16148",
              ))),"N/A"),"")</f>
        <v/>
      </c>
    </row>
    <row r="33" spans="1:15">
      <c r="A33" s="806"/>
      <c r="B33" s="1474" t="str">
        <f>IF($A33&lt;&gt;"",VLOOKUP($A33,IP!$A$4:$P$153,2,FALSE),"")</f>
        <v/>
      </c>
      <c r="C33" s="5" t="str">
        <f>IF($B33&lt;&gt;"",
VLOOKUP($B33,IP!$B$4:$N$153,3,FALSE),
"")</f>
        <v/>
      </c>
      <c r="D33" s="815" t="str">
        <f>IF($A33&lt;&gt;"",VLOOKUP($A33,IP!$A$4:$N$153,14,FALSE),"")</f>
        <v/>
      </c>
      <c r="E33" s="815" t="str">
        <f t="shared" si="0"/>
        <v/>
      </c>
      <c r="F33" s="815" t="str">
        <f t="shared" si="1"/>
        <v/>
      </c>
      <c r="G33" s="815" t="str">
        <f t="shared" si="2"/>
        <v/>
      </c>
      <c r="H33" s="29" t="str">
        <f>IF($B33&lt;&gt;"",VLOOKUP(VLOOKUP($B33,dist_assets,2,FALSE),'Distributed Assets'!$C$7:$F$22,4,FALSE),"")</f>
        <v/>
      </c>
      <c r="I33" s="816" t="str">
        <f>IF($A33&lt;&gt;"",VLOOKUP($A33,IP!$A$4:$N$153,11,FALSE),"")</f>
        <v/>
      </c>
      <c r="J33" s="816" t="str">
        <f t="shared" si="3"/>
        <v/>
      </c>
      <c r="K33" s="816" t="str">
        <f t="shared" si="5"/>
        <v/>
      </c>
      <c r="L33" s="1472"/>
      <c r="M33" s="72" t="str">
        <f t="shared" si="6"/>
        <v/>
      </c>
      <c r="N33" s="819" t="str">
        <f t="shared" si="4"/>
        <v/>
      </c>
      <c r="O33" s="912" t="str">
        <f>IF($A33&lt;&gt;"",
         IF(AND($E33="Windows",
                         VLOOKUP($B33,'Distributed Assets'!$B$28:$Q$100,6,FALSE)&lt;&gt;"Virtual",
                          LEFT($G33,5)="MSSQL",
                          LEFT(VLOOKUP($B33,'Distributed Assets'!$B$28:$Q$100,12,FALSE),6)="ACTIVE"),
                 IF($H33="DEV","42111",
                      IF($H33="Test 2.0","21422",
                          IF(OR($H33="Prod 2.0",$H33="Prod F.W."),"16148",
              ))),"N/A"),"")</f>
        <v/>
      </c>
    </row>
    <row r="34" spans="1:15">
      <c r="A34" s="806"/>
      <c r="B34" s="1474" t="str">
        <f>IF($A34&lt;&gt;"",VLOOKUP($A34,IP!$A$4:$P$153,2,FALSE),"")</f>
        <v/>
      </c>
      <c r="C34" s="5" t="str">
        <f>IF($B34&lt;&gt;"",
VLOOKUP($B34,IP!$B$4:$N$153,3,FALSE),
"")</f>
        <v/>
      </c>
      <c r="D34" s="815" t="str">
        <f>IF($A34&lt;&gt;"",VLOOKUP($A34,IP!$A$4:$N$153,14,FALSE),"")</f>
        <v/>
      </c>
      <c r="E34" s="815" t="str">
        <f t="shared" si="0"/>
        <v/>
      </c>
      <c r="F34" s="815" t="str">
        <f t="shared" si="1"/>
        <v/>
      </c>
      <c r="G34" s="815" t="str">
        <f t="shared" si="2"/>
        <v/>
      </c>
      <c r="H34" s="29" t="str">
        <f>IF($B34&lt;&gt;"",VLOOKUP(VLOOKUP($B34,dist_assets,2,FALSE),'Distributed Assets'!$C$7:$F$22,4,FALSE),"")</f>
        <v/>
      </c>
      <c r="I34" s="816" t="str">
        <f>IF($A34&lt;&gt;"",VLOOKUP($A34,IP!$A$4:$N$153,11,FALSE),"")</f>
        <v/>
      </c>
      <c r="J34" s="816" t="str">
        <f t="shared" si="3"/>
        <v/>
      </c>
      <c r="K34" s="816" t="str">
        <f t="shared" si="5"/>
        <v/>
      </c>
      <c r="L34" s="1472"/>
      <c r="M34" s="72" t="str">
        <f t="shared" si="6"/>
        <v/>
      </c>
      <c r="N34" s="819" t="str">
        <f t="shared" si="4"/>
        <v/>
      </c>
      <c r="O34" s="912" t="str">
        <f>IF($A34&lt;&gt;"",
         IF(AND($E34="Windows",
                         VLOOKUP($B34,'Distributed Assets'!$B$28:$Q$100,6,FALSE)&lt;&gt;"Virtual",
                          LEFT($G34,5)="MSSQL",
                          LEFT(VLOOKUP($B34,'Distributed Assets'!$B$28:$Q$100,12,FALSE),6)="ACTIVE"),
                 IF($H34="DEV","42111",
                      IF($H34="Test 2.0","21422",
                          IF(OR($H34="Prod 2.0",$H34="Prod F.W."),"16148",
              ))),"N/A"),"")</f>
        <v/>
      </c>
    </row>
    <row r="35" spans="1:15">
      <c r="A35" s="806"/>
      <c r="B35" s="1474" t="str">
        <f>IF($A35&lt;&gt;"",VLOOKUP($A35,IP!$A$4:$P$153,2,FALSE),"")</f>
        <v/>
      </c>
      <c r="C35" s="5" t="str">
        <f>IF($B35&lt;&gt;"",
VLOOKUP($B35,IP!$B$4:$N$153,3,FALSE),
"")</f>
        <v/>
      </c>
      <c r="D35" s="815" t="str">
        <f>IF($A35&lt;&gt;"",VLOOKUP($A35,IP!$A$4:$N$153,14,FALSE),"")</f>
        <v/>
      </c>
      <c r="E35" s="815" t="str">
        <f t="shared" si="0"/>
        <v/>
      </c>
      <c r="F35" s="815" t="str">
        <f t="shared" si="1"/>
        <v/>
      </c>
      <c r="G35" s="815" t="str">
        <f t="shared" si="2"/>
        <v/>
      </c>
      <c r="H35" s="29" t="str">
        <f>IF($B35&lt;&gt;"",VLOOKUP(VLOOKUP($B35,dist_assets,2,FALSE),'Distributed Assets'!$C$7:$F$22,4,FALSE),"")</f>
        <v/>
      </c>
      <c r="I35" s="816" t="str">
        <f>IF($A35&lt;&gt;"",VLOOKUP($A35,IP!$A$4:$N$153,11,FALSE),"")</f>
        <v/>
      </c>
      <c r="J35" s="816" t="str">
        <f t="shared" si="3"/>
        <v/>
      </c>
      <c r="K35" s="816" t="str">
        <f t="shared" si="5"/>
        <v/>
      </c>
      <c r="L35" s="1472"/>
      <c r="M35" s="72" t="str">
        <f t="shared" si="6"/>
        <v/>
      </c>
      <c r="N35" s="819" t="str">
        <f t="shared" si="4"/>
        <v/>
      </c>
      <c r="O35" s="912" t="str">
        <f>IF($A35&lt;&gt;"",
         IF(AND($E35="Windows",
                         VLOOKUP($B35,'Distributed Assets'!$B$28:$Q$100,6,FALSE)&lt;&gt;"Virtual",
                          LEFT($G35,5)="MSSQL",
                          LEFT(VLOOKUP($B35,'Distributed Assets'!$B$28:$Q$100,12,FALSE),6)="ACTIVE"),
                 IF($H35="DEV","42111",
                      IF($H35="Test 2.0","21422",
                          IF(OR($H35="Prod 2.0",$H35="Prod F.W."),"16148",
              ))),"N/A"),"")</f>
        <v/>
      </c>
    </row>
    <row r="36" spans="1:15">
      <c r="A36" s="806"/>
      <c r="B36" s="1474" t="str">
        <f>IF($A36&lt;&gt;"",VLOOKUP($A36,IP!$A$4:$P$153,2,FALSE),"")</f>
        <v/>
      </c>
      <c r="C36" s="5" t="str">
        <f>IF($B36&lt;&gt;"",
VLOOKUP($B36,IP!$B$4:$N$153,3,FALSE),
"")</f>
        <v/>
      </c>
      <c r="D36" s="815" t="str">
        <f>IF($A36&lt;&gt;"",VLOOKUP($A36,IP!$A$4:$N$153,14,FALSE),"")</f>
        <v/>
      </c>
      <c r="E36" s="815" t="str">
        <f t="shared" si="0"/>
        <v/>
      </c>
      <c r="F36" s="815" t="str">
        <f t="shared" si="1"/>
        <v/>
      </c>
      <c r="G36" s="815" t="str">
        <f t="shared" si="2"/>
        <v/>
      </c>
      <c r="H36" s="29" t="str">
        <f>IF($B36&lt;&gt;"",VLOOKUP(VLOOKUP($B36,dist_assets,2,FALSE),'Distributed Assets'!$C$7:$F$22,4,FALSE),"")</f>
        <v/>
      </c>
      <c r="I36" s="816" t="str">
        <f>IF($A36&lt;&gt;"",VLOOKUP($A36,IP!$A$4:$N$153,11,FALSE),"")</f>
        <v/>
      </c>
      <c r="J36" s="816" t="str">
        <f t="shared" si="3"/>
        <v/>
      </c>
      <c r="K36" s="816" t="str">
        <f t="shared" si="5"/>
        <v/>
      </c>
      <c r="L36" s="1472"/>
      <c r="M36" s="72" t="str">
        <f t="shared" si="6"/>
        <v/>
      </c>
      <c r="N36" s="819" t="str">
        <f t="shared" si="4"/>
        <v/>
      </c>
      <c r="O36" s="912" t="str">
        <f>IF($A36&lt;&gt;"",
         IF(AND($E36="Windows",
                         VLOOKUP($B36,'Distributed Assets'!$B$28:$Q$100,6,FALSE)&lt;&gt;"Virtual",
                          LEFT($G36,5)="MSSQL",
                          LEFT(VLOOKUP($B36,'Distributed Assets'!$B$28:$Q$100,12,FALSE),6)="ACTIVE"),
                 IF($H36="DEV","42111",
                      IF($H36="Test 2.0","21422",
                          IF(OR($H36="Prod 2.0",$H36="Prod F.W."),"16148",
              ))),"N/A"),"")</f>
        <v/>
      </c>
    </row>
    <row r="37" spans="1:15">
      <c r="A37" s="806"/>
      <c r="B37" s="1474" t="str">
        <f>IF($A37&lt;&gt;"",VLOOKUP($A37,IP!$A$4:$P$153,2,FALSE),"")</f>
        <v/>
      </c>
      <c r="C37" s="5" t="str">
        <f>IF($B37&lt;&gt;"",
VLOOKUP($B37,IP!$B$4:$N$153,3,FALSE),
"")</f>
        <v/>
      </c>
      <c r="D37" s="815" t="str">
        <f>IF($A37&lt;&gt;"",VLOOKUP($A37,IP!$A$4:$N$153,14,FALSE),"")</f>
        <v/>
      </c>
      <c r="E37" s="815" t="str">
        <f t="shared" si="0"/>
        <v/>
      </c>
      <c r="F37" s="815" t="str">
        <f t="shared" si="1"/>
        <v/>
      </c>
      <c r="G37" s="815" t="str">
        <f t="shared" si="2"/>
        <v/>
      </c>
      <c r="H37" s="29" t="str">
        <f>IF($B37&lt;&gt;"",VLOOKUP(VLOOKUP($B37,dist_assets,2,FALSE),'Distributed Assets'!$C$7:$F$22,4,FALSE),"")</f>
        <v/>
      </c>
      <c r="I37" s="816" t="str">
        <f>IF($A37&lt;&gt;"",VLOOKUP($A37,IP!$A$4:$N$153,11,FALSE),"")</f>
        <v/>
      </c>
      <c r="J37" s="816" t="str">
        <f t="shared" si="3"/>
        <v/>
      </c>
      <c r="K37" s="816" t="str">
        <f t="shared" si="5"/>
        <v/>
      </c>
      <c r="L37" s="1472"/>
      <c r="M37" s="72" t="str">
        <f t="shared" si="6"/>
        <v/>
      </c>
      <c r="N37" s="819" t="str">
        <f t="shared" si="4"/>
        <v/>
      </c>
      <c r="O37" s="912" t="str">
        <f>IF($A37&lt;&gt;"",
         IF(AND($E37="Windows",
                         VLOOKUP($B37,'Distributed Assets'!$B$28:$Q$100,6,FALSE)&lt;&gt;"Virtual",
                          LEFT($G37,5)="MSSQL",
                          LEFT(VLOOKUP($B37,'Distributed Assets'!$B$28:$Q$100,12,FALSE),6)="ACTIVE"),
                 IF($H37="DEV","42111",
                      IF($H37="Test 2.0","21422",
                          IF(OR($H37="Prod 2.0",$H37="Prod F.W."),"16148",
              ))),"N/A"),"")</f>
        <v/>
      </c>
    </row>
    <row r="38" spans="1:15">
      <c r="A38" s="806"/>
      <c r="B38" s="1474" t="str">
        <f>IF($A38&lt;&gt;"",VLOOKUP($A38,IP!$A$4:$P$153,2,FALSE),"")</f>
        <v/>
      </c>
      <c r="C38" s="5" t="str">
        <f>IF($B38&lt;&gt;"",
VLOOKUP($B38,IP!$B$4:$N$153,3,FALSE),
"")</f>
        <v/>
      </c>
      <c r="D38" s="815" t="str">
        <f>IF($A38&lt;&gt;"",VLOOKUP($A38,IP!$A$4:$N$153,14,FALSE),"")</f>
        <v/>
      </c>
      <c r="E38" s="815" t="str">
        <f t="shared" si="0"/>
        <v/>
      </c>
      <c r="F38" s="815" t="str">
        <f t="shared" si="1"/>
        <v/>
      </c>
      <c r="G38" s="815" t="str">
        <f t="shared" si="2"/>
        <v/>
      </c>
      <c r="H38" s="29" t="str">
        <f>IF($B38&lt;&gt;"",VLOOKUP(VLOOKUP($B38,dist_assets,2,FALSE),'Distributed Assets'!$C$7:$F$22,4,FALSE),"")</f>
        <v/>
      </c>
      <c r="I38" s="816" t="str">
        <f>IF($A38&lt;&gt;"",VLOOKUP($A38,IP!$A$4:$N$153,11,FALSE),"")</f>
        <v/>
      </c>
      <c r="J38" s="816" t="str">
        <f t="shared" si="3"/>
        <v/>
      </c>
      <c r="K38" s="816" t="str">
        <f t="shared" si="5"/>
        <v/>
      </c>
      <c r="L38" s="1472"/>
      <c r="M38" s="72" t="str">
        <f t="shared" si="6"/>
        <v/>
      </c>
      <c r="N38" s="819" t="str">
        <f t="shared" si="4"/>
        <v/>
      </c>
      <c r="O38" s="912" t="str">
        <f>IF($A38&lt;&gt;"",
         IF(AND($E38="Windows",
                         VLOOKUP($B38,'Distributed Assets'!$B$28:$Q$100,6,FALSE)&lt;&gt;"Virtual",
                          LEFT($G38,5)="MSSQL",
                          LEFT(VLOOKUP($B38,'Distributed Assets'!$B$28:$Q$100,12,FALSE),6)="ACTIVE"),
                 IF($H38="DEV","42111",
                      IF($H38="Test 2.0","21422",
                          IF(OR($H38="Prod 2.0",$H38="Prod F.W."),"16148",
              ))),"N/A"),"")</f>
        <v/>
      </c>
    </row>
    <row r="39" spans="1:15">
      <c r="A39" s="806"/>
      <c r="B39" s="1474" t="str">
        <f>IF($A39&lt;&gt;"",VLOOKUP($A39,IP!$A$4:$P$153,2,FALSE),"")</f>
        <v/>
      </c>
      <c r="C39" s="5" t="str">
        <f>IF($B39&lt;&gt;"",
VLOOKUP($B39,IP!$B$4:$N$153,3,FALSE),
"")</f>
        <v/>
      </c>
      <c r="D39" s="815" t="str">
        <f>IF($A39&lt;&gt;"",VLOOKUP($A39,IP!$A$4:$N$153,14,FALSE),"")</f>
        <v/>
      </c>
      <c r="E39" s="815" t="str">
        <f t="shared" si="0"/>
        <v/>
      </c>
      <c r="F39" s="815" t="str">
        <f t="shared" si="1"/>
        <v/>
      </c>
      <c r="G39" s="815" t="str">
        <f t="shared" si="2"/>
        <v/>
      </c>
      <c r="H39" s="29" t="str">
        <f>IF($B39&lt;&gt;"",VLOOKUP(VLOOKUP($B39,dist_assets,2,FALSE),'Distributed Assets'!$C$7:$F$22,4,FALSE),"")</f>
        <v/>
      </c>
      <c r="I39" s="816" t="str">
        <f>IF($A39&lt;&gt;"",VLOOKUP($A39,IP!$A$4:$N$153,11,FALSE),"")</f>
        <v/>
      </c>
      <c r="J39" s="816" t="str">
        <f t="shared" si="3"/>
        <v/>
      </c>
      <c r="K39" s="816" t="str">
        <f t="shared" si="5"/>
        <v/>
      </c>
      <c r="L39" s="1472"/>
      <c r="M39" s="72" t="str">
        <f t="shared" si="6"/>
        <v/>
      </c>
      <c r="N39" s="819" t="str">
        <f t="shared" si="4"/>
        <v/>
      </c>
      <c r="O39" s="912" t="str">
        <f>IF($A39&lt;&gt;"",
         IF(AND($E39="Windows",
                         VLOOKUP($B39,'Distributed Assets'!$B$28:$Q$100,6,FALSE)&lt;&gt;"Virtual",
                          LEFT($G39,5)="MSSQL",
                          LEFT(VLOOKUP($B39,'Distributed Assets'!$B$28:$Q$100,12,FALSE),6)="ACTIVE"),
                 IF($H39="DEV","42111",
                      IF($H39="Test 2.0","21422",
                          IF(OR($H39="Prod 2.0",$H39="Prod F.W."),"16148",
              ))),"N/A"),"")</f>
        <v/>
      </c>
    </row>
    <row r="40" spans="1:15" ht="13.5" thickBot="1">
      <c r="A40" s="1069"/>
      <c r="B40" s="1473" t="str">
        <f>IF($A40&lt;&gt;"",VLOOKUP($A40,IP!$A$4:$P$153,2,FALSE),"")</f>
        <v/>
      </c>
      <c r="C40" s="314" t="str">
        <f>IF($B40&lt;&gt;"",
VLOOKUP($B40,IP!$B$4:$N$153,3,FALSE),
"")</f>
        <v/>
      </c>
      <c r="D40" s="314" t="str">
        <f>IF($A40&lt;&gt;"",VLOOKUP($A40,IP!$A$4:$N$153,14,FALSE),"")</f>
        <v/>
      </c>
      <c r="E40" s="314" t="str">
        <f t="shared" si="0"/>
        <v/>
      </c>
      <c r="F40" s="314" t="str">
        <f t="shared" si="1"/>
        <v/>
      </c>
      <c r="G40" s="314" t="str">
        <f t="shared" si="2"/>
        <v/>
      </c>
      <c r="H40" s="438" t="str">
        <f>IF($B40&lt;&gt;"",VLOOKUP(VLOOKUP($B40,dist_assets,2,FALSE),'Distributed Assets'!$C$7:$F$22,4,FALSE),"")</f>
        <v/>
      </c>
      <c r="I40" s="813" t="str">
        <f>IF($A40&lt;&gt;"",VLOOKUP($A40,IP!$A$4:$N$153,11,FALSE),"")</f>
        <v/>
      </c>
      <c r="J40" s="813" t="str">
        <f t="shared" si="3"/>
        <v/>
      </c>
      <c r="K40" s="813" t="str">
        <f t="shared" si="5"/>
        <v/>
      </c>
      <c r="L40" s="1102"/>
      <c r="M40" s="346" t="str">
        <f t="shared" si="6"/>
        <v/>
      </c>
      <c r="N40" s="2598" t="str">
        <f t="shared" si="4"/>
        <v/>
      </c>
      <c r="O40" s="1076" t="str">
        <f>IF($A40&lt;&gt;"",
         IF(AND($E40="Windows",
                         VLOOKUP($B40,'Distributed Assets'!$B$28:$Q$100,6,FALSE)&lt;&gt;"Virtual",
                          LEFT($G40,5)="MSSQL",
                          LEFT(VLOOKUP($B40,'Distributed Assets'!$B$28:$Q$100,12,FALSE),6)="ACTIVE"),
                 IF($H40="DEV","42111",
                      IF($H40="Test 2.0","21422",
                          IF(OR($H40="Prod 2.0",$H40="Prod F.W."),"16148",
              ))),"N/A"),"")</f>
        <v/>
      </c>
    </row>
    <row r="56" spans="2:2">
      <c r="B56" t="s">
        <v>3816</v>
      </c>
    </row>
  </sheetData>
  <mergeCells count="1">
    <mergeCell ref="A1:B1"/>
  </mergeCells>
  <conditionalFormatting sqref="C1">
    <cfRule type="cellIs" dxfId="118" priority="8" operator="equal">
      <formula>"Undetermined"</formula>
    </cfRule>
    <cfRule type="cellIs" dxfId="117" priority="9" operator="equal">
      <formula>"REQUIRED"</formula>
    </cfRule>
  </conditionalFormatting>
  <conditionalFormatting sqref="O3:O40">
    <cfRule type="expression" dxfId="116" priority="6">
      <formula>$O3="N/A"</formula>
    </cfRule>
  </conditionalFormatting>
  <conditionalFormatting sqref="M3:M40">
    <cfRule type="expression" dxfId="115" priority="5">
      <formula>$M3="N/A"</formula>
    </cfRule>
  </conditionalFormatting>
  <conditionalFormatting sqref="J3:K40">
    <cfRule type="expression" dxfId="114" priority="3">
      <formula>LEFT($J3,4)="fort"</formula>
    </cfRule>
  </conditionalFormatting>
  <conditionalFormatting sqref="N3:N40">
    <cfRule type="expression" dxfId="113" priority="1">
      <formula>OR(dr_Level &lt; 1,dr_Level &gt;3)</formula>
    </cfRule>
  </conditionalFormatting>
  <dataValidations count="3">
    <dataValidation type="list" allowBlank="1" showInputMessage="1" showErrorMessage="1" sqref="A3:A40" xr:uid="{00000000-0002-0000-1300-000000000000}">
      <formula1>list_AllIPs</formula1>
    </dataValidation>
    <dataValidation type="list" allowBlank="1" showInputMessage="1" showErrorMessage="1" sqref="L3:L40" xr:uid="{00000000-0002-0000-1300-000001000000}">
      <formula1>"Yes, No"</formula1>
    </dataValidation>
    <dataValidation type="list" allowBlank="1" showInputMessage="1" sqref="N3:N40" xr:uid="{00000000-0002-0000-1300-000002000000}">
      <formula1>zena_clients</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281614" r:id="rId4">
          <objectPr defaultSize="0" r:id="rId5">
            <anchor moveWithCells="1">
              <from>
                <xdr:col>106</xdr:col>
                <xdr:colOff>0</xdr:colOff>
                <xdr:row>0</xdr:row>
                <xdr:rowOff>0</xdr:rowOff>
              </from>
              <to>
                <xdr:col>123</xdr:col>
                <xdr:colOff>66675</xdr:colOff>
                <xdr:row>18</xdr:row>
                <xdr:rowOff>123825</xdr:rowOff>
              </to>
            </anchor>
          </objectPr>
        </oleObject>
      </mc:Choice>
      <mc:Fallback>
        <oleObject progId="Word.Document.12" shapeId="281614" r:id="rId4"/>
      </mc:Fallback>
    </mc:AlternateContent>
  </oleObjec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0">
    <tabColor theme="3" tint="0.79998168889431442"/>
  </sheetPr>
  <dimension ref="A1:U47"/>
  <sheetViews>
    <sheetView showGridLines="0" zoomScaleNormal="100" workbookViewId="0">
      <selection activeCell="B8" sqref="B8"/>
    </sheetView>
  </sheetViews>
  <sheetFormatPr defaultColWidth="9.140625" defaultRowHeight="12.75"/>
  <cols>
    <col min="1" max="1" width="35.140625" style="684" customWidth="1"/>
    <col min="2" max="2" width="46.5703125" style="684" customWidth="1"/>
    <col min="3" max="3" width="45.28515625" style="684" bestFit="1" customWidth="1"/>
    <col min="4" max="9" width="49.140625" style="684" bestFit="1" customWidth="1"/>
    <col min="10" max="10" width="8.42578125" style="684" bestFit="1" customWidth="1"/>
    <col min="11" max="20" width="7.85546875" style="684" bestFit="1" customWidth="1"/>
    <col min="21" max="21" width="15.85546875" style="684" customWidth="1"/>
    <col min="22" max="16384" width="9.140625" style="684"/>
  </cols>
  <sheetData>
    <row r="1" spans="1:21" ht="30.75" customHeight="1">
      <c r="A1" s="150"/>
      <c r="B1" s="148" t="str">
        <f>IF(IHS="YES","REQUIRED",
      IF(IHS="NO","This Tab is Not Required","Undetermined"))</f>
        <v>This Tab is Not Required</v>
      </c>
      <c r="C1" s="3871" t="str">
        <f>'Project Details'!$C$8 &amp;" - Apache - IHS - Websphere - ITC Proxy"</f>
        <v>Linux Infrastructure Management - Apache - IHS - Websphere - ITC Proxy</v>
      </c>
      <c r="D1" s="3872"/>
      <c r="E1" s="2912"/>
      <c r="F1" s="881"/>
      <c r="G1" s="366"/>
      <c r="H1" s="366"/>
      <c r="I1" s="366"/>
      <c r="J1" s="366"/>
      <c r="K1" s="366"/>
      <c r="L1" s="366"/>
      <c r="M1" s="366"/>
      <c r="N1" s="366"/>
      <c r="O1" s="366"/>
      <c r="P1" s="366"/>
      <c r="Q1" s="366"/>
      <c r="R1" s="366"/>
      <c r="S1" s="366"/>
      <c r="T1" s="366"/>
      <c r="U1" s="362"/>
    </row>
    <row r="2" spans="1:21" ht="25.5" customHeight="1">
      <c r="A2" s="2901"/>
      <c r="B2" s="2902"/>
      <c r="C2" s="2900"/>
      <c r="D2" s="2900"/>
      <c r="E2" s="2912"/>
      <c r="F2" s="881"/>
      <c r="G2" s="126"/>
      <c r="H2" s="126"/>
      <c r="I2" s="126"/>
      <c r="J2" s="126"/>
      <c r="K2" s="126"/>
      <c r="L2" s="126"/>
      <c r="M2" s="126"/>
      <c r="N2" s="126"/>
      <c r="O2" s="126"/>
      <c r="P2" s="126"/>
      <c r="Q2" s="126"/>
      <c r="R2" s="126"/>
      <c r="S2" s="126"/>
      <c r="T2" s="126"/>
      <c r="U2" s="360"/>
    </row>
    <row r="3" spans="1:21" ht="13.5" customHeight="1">
      <c r="A3" s="471" t="s">
        <v>1714</v>
      </c>
      <c r="B3" s="3873" t="str">
        <f>IF($B$1="Required",
        IF(app_technical_contact &lt;&gt;"",app_technical_contact,""),
    "")</f>
        <v/>
      </c>
      <c r="C3" s="3873"/>
      <c r="D3" s="3874"/>
      <c r="E3" s="2912"/>
      <c r="F3" s="881"/>
      <c r="G3" s="126"/>
      <c r="H3" s="126"/>
      <c r="I3" s="126"/>
      <c r="J3" s="126"/>
      <c r="K3" s="126"/>
      <c r="L3" s="126"/>
      <c r="M3" s="126"/>
      <c r="N3" s="126"/>
      <c r="O3" s="126"/>
      <c r="P3" s="126"/>
      <c r="Q3" s="126"/>
      <c r="R3" s="126"/>
      <c r="S3" s="126"/>
      <c r="T3" s="126"/>
      <c r="U3" s="360"/>
    </row>
    <row r="4" spans="1:21" ht="13.5" customHeight="1">
      <c r="A4" s="471" t="s">
        <v>1715</v>
      </c>
      <c r="B4" s="3873" t="str">
        <f>IF($B$1="Required",
        IF(app_support_team&lt;&gt;"",app_support_team,""),
     "")</f>
        <v/>
      </c>
      <c r="C4" s="3873"/>
      <c r="D4" s="3874"/>
      <c r="E4" s="2912"/>
      <c r="F4" s="881"/>
      <c r="G4" s="126"/>
      <c r="H4" s="126"/>
      <c r="I4" s="126"/>
      <c r="J4" s="126"/>
      <c r="K4" s="126"/>
      <c r="L4" s="126"/>
      <c r="M4" s="126"/>
      <c r="N4" s="126"/>
      <c r="O4" s="126"/>
      <c r="P4" s="126"/>
      <c r="Q4" s="126"/>
      <c r="R4" s="126"/>
      <c r="S4" s="126"/>
      <c r="T4" s="126"/>
      <c r="U4" s="360"/>
    </row>
    <row r="5" spans="1:21" ht="13.5" customHeight="1">
      <c r="A5" s="471" t="s">
        <v>1716</v>
      </c>
      <c r="B5" s="3873" t="str">
        <f>IF($B$1="Required",
        IF(app_support_team_email&lt;&gt;"",app_support_team_email,""),
    "")</f>
        <v/>
      </c>
      <c r="C5" s="3873"/>
      <c r="D5" s="3874"/>
      <c r="E5" s="2913"/>
      <c r="F5" s="881"/>
      <c r="G5" s="126"/>
      <c r="H5" s="126"/>
      <c r="I5" s="126"/>
      <c r="J5" s="126"/>
      <c r="K5" s="126"/>
      <c r="L5" s="126"/>
      <c r="M5" s="126"/>
      <c r="N5" s="126"/>
      <c r="O5" s="126"/>
      <c r="P5" s="126"/>
      <c r="Q5" s="126"/>
      <c r="R5" s="126"/>
      <c r="S5" s="126"/>
      <c r="T5" s="126"/>
      <c r="U5" s="360"/>
    </row>
    <row r="6" spans="1:21" ht="4.5" customHeight="1">
      <c r="A6" s="3868"/>
      <c r="B6" s="3869"/>
      <c r="C6" s="3869"/>
      <c r="D6" s="3870"/>
      <c r="E6" s="2903"/>
      <c r="F6" s="884"/>
      <c r="G6" s="884"/>
      <c r="H6" s="884"/>
      <c r="I6" s="884"/>
      <c r="J6" s="884"/>
      <c r="K6" s="884"/>
      <c r="L6" s="884"/>
      <c r="M6" s="884"/>
      <c r="N6" s="884"/>
      <c r="O6" s="884"/>
      <c r="P6" s="884"/>
      <c r="Q6" s="884"/>
      <c r="R6" s="884"/>
      <c r="S6" s="884"/>
      <c r="T6" s="884"/>
      <c r="U6" s="884"/>
    </row>
    <row r="7" spans="1:21" ht="5.25" customHeight="1">
      <c r="A7" s="845"/>
      <c r="B7" s="841"/>
      <c r="C7" s="842"/>
      <c r="D7" s="882"/>
      <c r="E7" s="884"/>
      <c r="F7" s="884"/>
      <c r="G7" s="884"/>
      <c r="H7" s="884"/>
      <c r="I7" s="884"/>
      <c r="J7" s="884"/>
      <c r="K7" s="884"/>
      <c r="L7" s="884"/>
      <c r="M7" s="884"/>
      <c r="N7" s="884"/>
      <c r="O7" s="884"/>
      <c r="P7" s="884"/>
      <c r="Q7" s="884"/>
      <c r="R7" s="884"/>
      <c r="S7" s="884"/>
      <c r="T7" s="884"/>
      <c r="U7" s="884"/>
    </row>
    <row r="8" spans="1:21" ht="13.5" customHeight="1">
      <c r="A8" s="369" t="s">
        <v>4603</v>
      </c>
      <c r="B8" s="840"/>
      <c r="C8" s="1588"/>
      <c r="D8" s="1588"/>
      <c r="E8" s="1588"/>
      <c r="F8" s="1588"/>
      <c r="G8" s="1588"/>
      <c r="H8" s="1588"/>
      <c r="I8" s="1588"/>
      <c r="J8" s="1588"/>
      <c r="K8" s="1588"/>
      <c r="L8" s="1588"/>
      <c r="M8" s="1588"/>
      <c r="N8" s="1588"/>
      <c r="O8" s="1588"/>
      <c r="P8" s="1588"/>
      <c r="Q8" s="1588"/>
      <c r="R8" s="1588"/>
      <c r="S8" s="1588"/>
      <c r="T8" s="1588"/>
      <c r="U8" s="1827"/>
    </row>
    <row r="9" spans="1:21" ht="13.5" customHeight="1">
      <c r="A9" s="369" t="s">
        <v>2565</v>
      </c>
      <c r="B9" s="353"/>
      <c r="C9" s="117"/>
      <c r="D9" s="353"/>
      <c r="E9" s="117"/>
      <c r="F9" s="353"/>
      <c r="G9" s="117"/>
      <c r="H9" s="117"/>
      <c r="I9" s="117"/>
      <c r="J9" s="117"/>
      <c r="K9" s="117"/>
      <c r="L9" s="117"/>
      <c r="M9" s="117"/>
      <c r="N9" s="117"/>
      <c r="O9" s="117"/>
      <c r="P9" s="117"/>
      <c r="Q9" s="117"/>
      <c r="R9" s="117"/>
      <c r="S9" s="117"/>
      <c r="T9" s="117"/>
      <c r="U9" s="3204"/>
    </row>
    <row r="10" spans="1:21" ht="15">
      <c r="A10" s="369"/>
      <c r="B10" s="78" t="s">
        <v>940</v>
      </c>
      <c r="C10" s="78" t="s">
        <v>921</v>
      </c>
      <c r="D10" s="78" t="s">
        <v>922</v>
      </c>
      <c r="E10" s="880" t="s">
        <v>923</v>
      </c>
      <c r="F10" s="78" t="s">
        <v>924</v>
      </c>
      <c r="G10" s="78" t="s">
        <v>925</v>
      </c>
      <c r="H10" s="149" t="s">
        <v>926</v>
      </c>
      <c r="I10" s="149" t="s">
        <v>927</v>
      </c>
      <c r="J10" s="149" t="s">
        <v>928</v>
      </c>
      <c r="K10" s="149" t="s">
        <v>929</v>
      </c>
      <c r="L10" s="149" t="s">
        <v>930</v>
      </c>
      <c r="M10" s="149" t="s">
        <v>931</v>
      </c>
      <c r="N10" s="149" t="s">
        <v>932</v>
      </c>
      <c r="O10" s="149" t="s">
        <v>933</v>
      </c>
      <c r="P10" s="149" t="s">
        <v>934</v>
      </c>
      <c r="Q10" s="149" t="s">
        <v>935</v>
      </c>
      <c r="R10" s="149" t="s">
        <v>936</v>
      </c>
      <c r="S10" s="149" t="s">
        <v>937</v>
      </c>
      <c r="T10" s="149" t="s">
        <v>938</v>
      </c>
      <c r="U10" s="364" t="s">
        <v>939</v>
      </c>
    </row>
    <row r="11" spans="1:21" ht="15">
      <c r="A11" s="369" t="s">
        <v>5260</v>
      </c>
      <c r="B11" s="3168" t="str">
        <f t="shared" ref="B11:U11" si="0">IF(AND((B$9&lt;&gt;""),$B1="Required"),app_id,"")</f>
        <v/>
      </c>
      <c r="C11" s="3168" t="str">
        <f t="shared" si="0"/>
        <v/>
      </c>
      <c r="D11" s="3168" t="str">
        <f t="shared" si="0"/>
        <v/>
      </c>
      <c r="E11" s="3168" t="str">
        <f t="shared" si="0"/>
        <v/>
      </c>
      <c r="F11" s="3168" t="str">
        <f t="shared" si="0"/>
        <v/>
      </c>
      <c r="G11" s="3168" t="str">
        <f t="shared" si="0"/>
        <v/>
      </c>
      <c r="H11" s="3168" t="str">
        <f t="shared" si="0"/>
        <v/>
      </c>
      <c r="I11" s="3168" t="str">
        <f t="shared" si="0"/>
        <v/>
      </c>
      <c r="J11" s="3168" t="str">
        <f t="shared" si="0"/>
        <v/>
      </c>
      <c r="K11" s="3168" t="str">
        <f t="shared" si="0"/>
        <v/>
      </c>
      <c r="L11" s="3168" t="str">
        <f t="shared" si="0"/>
        <v/>
      </c>
      <c r="M11" s="3168" t="str">
        <f t="shared" si="0"/>
        <v/>
      </c>
      <c r="N11" s="3168" t="str">
        <f t="shared" si="0"/>
        <v/>
      </c>
      <c r="O11" s="3168" t="str">
        <f t="shared" si="0"/>
        <v/>
      </c>
      <c r="P11" s="3168" t="str">
        <f t="shared" si="0"/>
        <v/>
      </c>
      <c r="Q11" s="3168" t="str">
        <f t="shared" si="0"/>
        <v/>
      </c>
      <c r="R11" s="3168" t="str">
        <f t="shared" si="0"/>
        <v/>
      </c>
      <c r="S11" s="3168" t="str">
        <f t="shared" si="0"/>
        <v/>
      </c>
      <c r="T11" s="3168" t="str">
        <f t="shared" si="0"/>
        <v/>
      </c>
      <c r="U11" s="2782" t="str">
        <f t="shared" si="0"/>
        <v/>
      </c>
    </row>
    <row r="12" spans="1:21" ht="15">
      <c r="A12" s="369" t="s">
        <v>714</v>
      </c>
      <c r="B12" s="3169" t="str">
        <f t="shared" ref="B12:U12" si="1">IF(AND((B$9&lt;&gt;""),$B1="Required"),ProjDet_AppNameCol,"")</f>
        <v/>
      </c>
      <c r="C12" s="3169" t="str">
        <f t="shared" si="1"/>
        <v/>
      </c>
      <c r="D12" s="3169" t="str">
        <f t="shared" si="1"/>
        <v/>
      </c>
      <c r="E12" s="3169" t="str">
        <f t="shared" si="1"/>
        <v/>
      </c>
      <c r="F12" s="3169" t="str">
        <f t="shared" si="1"/>
        <v/>
      </c>
      <c r="G12" s="3169" t="str">
        <f t="shared" si="1"/>
        <v/>
      </c>
      <c r="H12" s="3169" t="str">
        <f t="shared" si="1"/>
        <v/>
      </c>
      <c r="I12" s="3169" t="str">
        <f t="shared" si="1"/>
        <v/>
      </c>
      <c r="J12" s="3169" t="str">
        <f t="shared" si="1"/>
        <v/>
      </c>
      <c r="K12" s="3169" t="str">
        <f t="shared" si="1"/>
        <v/>
      </c>
      <c r="L12" s="3169" t="str">
        <f t="shared" si="1"/>
        <v/>
      </c>
      <c r="M12" s="3169" t="str">
        <f t="shared" si="1"/>
        <v/>
      </c>
      <c r="N12" s="3169" t="str">
        <f t="shared" si="1"/>
        <v/>
      </c>
      <c r="O12" s="3169" t="str">
        <f t="shared" si="1"/>
        <v/>
      </c>
      <c r="P12" s="3169" t="str">
        <f t="shared" si="1"/>
        <v/>
      </c>
      <c r="Q12" s="3169" t="str">
        <f t="shared" si="1"/>
        <v/>
      </c>
      <c r="R12" s="3169" t="str">
        <f t="shared" si="1"/>
        <v/>
      </c>
      <c r="S12" s="3169" t="str">
        <f t="shared" si="1"/>
        <v/>
      </c>
      <c r="T12" s="3169" t="str">
        <f t="shared" si="1"/>
        <v/>
      </c>
      <c r="U12" s="3170" t="str">
        <f t="shared" si="1"/>
        <v/>
      </c>
    </row>
    <row r="13" spans="1:21" ht="15">
      <c r="A13" s="369" t="s">
        <v>705</v>
      </c>
      <c r="B13" s="378"/>
      <c r="C13" s="378"/>
      <c r="D13" s="378"/>
      <c r="E13" s="378"/>
      <c r="F13" s="67"/>
      <c r="G13" s="67"/>
      <c r="H13" s="67"/>
      <c r="I13" s="18"/>
      <c r="J13" s="18"/>
      <c r="K13" s="18"/>
      <c r="L13" s="18"/>
      <c r="M13" s="18"/>
      <c r="N13" s="18"/>
      <c r="O13" s="18"/>
      <c r="P13" s="18"/>
      <c r="Q13" s="18"/>
      <c r="R13" s="18"/>
      <c r="S13" s="18"/>
      <c r="T13" s="18"/>
      <c r="U13" s="420"/>
    </row>
    <row r="14" spans="1:21" ht="15">
      <c r="A14" s="846" t="s">
        <v>1124</v>
      </c>
      <c r="B14" s="470"/>
      <c r="C14" s="18"/>
      <c r="D14" s="18"/>
      <c r="E14" s="18"/>
      <c r="F14" s="18"/>
      <c r="G14" s="18"/>
      <c r="H14" s="18"/>
      <c r="I14" s="18"/>
      <c r="J14" s="18"/>
      <c r="K14" s="18"/>
      <c r="L14" s="18"/>
      <c r="M14" s="18"/>
      <c r="N14" s="18"/>
      <c r="O14" s="18"/>
      <c r="P14" s="18"/>
      <c r="Q14" s="18"/>
      <c r="R14" s="18"/>
      <c r="S14" s="18"/>
      <c r="T14" s="18"/>
      <c r="U14" s="420"/>
    </row>
    <row r="15" spans="1:21" ht="15">
      <c r="A15" s="846" t="s">
        <v>1467</v>
      </c>
      <c r="B15" s="72" t="str">
        <f>IFERROR(VLOOKUP(B$14,'BOM FUNCTIONS'!$BL$7:$BN$46,2,FALSE),"")</f>
        <v/>
      </c>
      <c r="C15" s="72" t="str">
        <f>IFERROR(VLOOKUP(C$14,'BOM FUNCTIONS'!$BL$7:$BN$46,2,FALSE),"")</f>
        <v/>
      </c>
      <c r="D15" s="72" t="str">
        <f>IFERROR(VLOOKUP(D$14,'BOM FUNCTIONS'!$BL$7:$BN$46,2,FALSE),"")</f>
        <v/>
      </c>
      <c r="E15" s="72" t="str">
        <f>IFERROR(VLOOKUP(E$14,'BOM FUNCTIONS'!$BL$7:$BN$46,2,FALSE),"")</f>
        <v/>
      </c>
      <c r="F15" s="72" t="str">
        <f>IFERROR(VLOOKUP(F$14,'BOM FUNCTIONS'!$BL$7:$BN$46,2,FALSE),"")</f>
        <v/>
      </c>
      <c r="G15" s="72" t="str">
        <f>IFERROR(VLOOKUP(G$14,'BOM FUNCTIONS'!$BL$7:$BN$46,2,FALSE),"")</f>
        <v/>
      </c>
      <c r="H15" s="72" t="str">
        <f>IFERROR(VLOOKUP(H$14,'BOM FUNCTIONS'!$BL$7:$BN$46,2,FALSE),"")</f>
        <v/>
      </c>
      <c r="I15" s="72" t="str">
        <f>IFERROR(VLOOKUP(I$14,'BOM FUNCTIONS'!$BL$7:$BN$46,2,FALSE),"")</f>
        <v/>
      </c>
      <c r="J15" s="72" t="str">
        <f>IFERROR(VLOOKUP(J$14,'BOM FUNCTIONS'!$BL$7:$BN$46,2,FALSE),"")</f>
        <v/>
      </c>
      <c r="K15" s="72" t="str">
        <f>IFERROR(VLOOKUP(K$14,'BOM FUNCTIONS'!$BL$7:$BN$46,2,FALSE),"")</f>
        <v/>
      </c>
      <c r="L15" s="72" t="str">
        <f>IFERROR(VLOOKUP(L$14,'BOM FUNCTIONS'!$BL$7:$BN$46,2,FALSE),"")</f>
        <v/>
      </c>
      <c r="M15" s="72" t="str">
        <f>IFERROR(VLOOKUP(M$14,'BOM FUNCTIONS'!$BL$7:$BN$46,2,FALSE),"")</f>
        <v/>
      </c>
      <c r="N15" s="72" t="str">
        <f>IFERROR(VLOOKUP(N$14,'BOM FUNCTIONS'!$BL$7:$BN$46,2,FALSE),"")</f>
        <v/>
      </c>
      <c r="O15" s="72" t="str">
        <f>IFERROR(VLOOKUP(O$14,'BOM FUNCTIONS'!$BL$7:$BN$46,2,FALSE),"")</f>
        <v/>
      </c>
      <c r="P15" s="72" t="str">
        <f>IFERROR(VLOOKUP(P$14,'BOM FUNCTIONS'!$BL$7:$BN$46,2,FALSE),"")</f>
        <v/>
      </c>
      <c r="Q15" s="72" t="str">
        <f>IFERROR(VLOOKUP(Q$14,'BOM FUNCTIONS'!$BL$7:$BN$46,2,FALSE),"")</f>
        <v/>
      </c>
      <c r="R15" s="72" t="str">
        <f>IFERROR(VLOOKUP(R$14,'BOM FUNCTIONS'!$BL$7:$BN$46,2,FALSE),"")</f>
        <v/>
      </c>
      <c r="S15" s="72" t="str">
        <f>IFERROR(VLOOKUP(S$14,'BOM FUNCTIONS'!$BL$7:$BN$46,2,FALSE),"")</f>
        <v/>
      </c>
      <c r="T15" s="72" t="str">
        <f>IFERROR(VLOOKUP(T$14,'BOM FUNCTIONS'!$BL$7:$BN$46,2,FALSE),"")</f>
        <v/>
      </c>
      <c r="U15" s="876" t="str">
        <f>IFERROR(VLOOKUP(U$14,'BOM FUNCTIONS'!$BL$7:$BN$46,2,FALSE),"")</f>
        <v/>
      </c>
    </row>
    <row r="16" spans="1:21" ht="15">
      <c r="A16" s="846" t="s">
        <v>1468</v>
      </c>
      <c r="B16" s="72" t="str">
        <f>IF(B$14&lt;&gt;"",VLOOKUP(B$14,'Distributed Assets'!$C$7:$F$22,4,FALSE),"")</f>
        <v/>
      </c>
      <c r="C16" s="72" t="str">
        <f>IF(C$14&lt;&gt;"",VLOOKUP(C$14,'Distributed Assets'!$C$7:$F$22,4,FALSE),"")</f>
        <v/>
      </c>
      <c r="D16" s="72" t="str">
        <f>IF(D$14&lt;&gt;"",VLOOKUP(D$14,'Distributed Assets'!$C$7:$F$22,4,FALSE),"")</f>
        <v/>
      </c>
      <c r="E16" s="72" t="str">
        <f>IF(E$14&lt;&gt;"",VLOOKUP(E$14,'Distributed Assets'!$C$7:$F$22,4,FALSE),"")</f>
        <v/>
      </c>
      <c r="F16" s="72" t="str">
        <f>IF(F$14&lt;&gt;"",VLOOKUP(F$14,'Distributed Assets'!$C$7:$F$22,4,FALSE),"")</f>
        <v/>
      </c>
      <c r="G16" s="72" t="str">
        <f>IF(G$14&lt;&gt;"",VLOOKUP(G$14,'Distributed Assets'!$C$7:$F$22,4,FALSE),"")</f>
        <v/>
      </c>
      <c r="H16" s="72" t="str">
        <f>IF(H$14&lt;&gt;"",VLOOKUP(H$14,'Distributed Assets'!$C$7:$F$22,4,FALSE),"")</f>
        <v/>
      </c>
      <c r="I16" s="72" t="str">
        <f>IF(I$14&lt;&gt;"",VLOOKUP(I$14,'Distributed Assets'!$C$7:$F$22,4,FALSE),"")</f>
        <v/>
      </c>
      <c r="J16" s="72" t="str">
        <f>IF(J$14&lt;&gt;"",VLOOKUP(J$14,'Distributed Assets'!$C$7:$F$22,4,FALSE),"")</f>
        <v/>
      </c>
      <c r="K16" s="72" t="str">
        <f>IF(K$14&lt;&gt;"",VLOOKUP(K$14,'Distributed Assets'!$C$7:$F$22,4,FALSE),"")</f>
        <v/>
      </c>
      <c r="L16" s="72" t="str">
        <f>IF(L$14&lt;&gt;"",VLOOKUP(L$14,'Distributed Assets'!$C$7:$F$22,4,FALSE),"")</f>
        <v/>
      </c>
      <c r="M16" s="72" t="str">
        <f>IF(M$14&lt;&gt;"",VLOOKUP(M$14,'Distributed Assets'!$C$7:$F$22,4,FALSE),"")</f>
        <v/>
      </c>
      <c r="N16" s="72" t="str">
        <f>IF(N$14&lt;&gt;"",VLOOKUP(N$14,'Distributed Assets'!$C$7:$F$22,4,FALSE),"")</f>
        <v/>
      </c>
      <c r="O16" s="72" t="str">
        <f>IF(O$14&lt;&gt;"",VLOOKUP(O$14,'Distributed Assets'!$C$7:$F$22,4,FALSE),"")</f>
        <v/>
      </c>
      <c r="P16" s="72" t="str">
        <f>IF(P$14&lt;&gt;"",VLOOKUP(P$14,'Distributed Assets'!$C$7:$F$22,4,FALSE),"")</f>
        <v/>
      </c>
      <c r="Q16" s="72" t="str">
        <f>IF(Q$14&lt;&gt;"",VLOOKUP(Q$14,'Distributed Assets'!$C$7:$F$22,4,FALSE),"")</f>
        <v/>
      </c>
      <c r="R16" s="72" t="str">
        <f>IF(R$14&lt;&gt;"",VLOOKUP(R$14,'Distributed Assets'!$C$7:$F$22,4,FALSE),"")</f>
        <v/>
      </c>
      <c r="S16" s="72" t="str">
        <f>IF(S$14&lt;&gt;"",VLOOKUP(S$14,'Distributed Assets'!$C$7:$F$22,4,FALSE),"")</f>
        <v/>
      </c>
      <c r="T16" s="72" t="str">
        <f>IF(T$14&lt;&gt;"",VLOOKUP(T$14,'Distributed Assets'!$C$7:$F$22,4,FALSE),"")</f>
        <v/>
      </c>
      <c r="U16" s="2778" t="str">
        <f>IF(U$14&lt;&gt;"",VLOOKUP(U$14,'Distributed Assets'!$C$7:$F$22,4,FALSE),"")</f>
        <v/>
      </c>
    </row>
    <row r="17" spans="1:21" ht="15">
      <c r="A17" s="369" t="s">
        <v>743</v>
      </c>
      <c r="B17" s="18"/>
      <c r="C17" s="18"/>
      <c r="D17" s="18"/>
      <c r="E17" s="18"/>
      <c r="F17" s="18"/>
      <c r="G17" s="18"/>
      <c r="H17" s="18"/>
      <c r="I17" s="18"/>
      <c r="J17" s="18"/>
      <c r="K17" s="18"/>
      <c r="L17" s="18"/>
      <c r="M17" s="18"/>
      <c r="N17" s="18"/>
      <c r="O17" s="18"/>
      <c r="P17" s="18"/>
      <c r="Q17" s="18"/>
      <c r="R17" s="18"/>
      <c r="S17" s="18"/>
      <c r="T17" s="18"/>
      <c r="U17" s="2779"/>
    </row>
    <row r="18" spans="1:21" ht="15">
      <c r="A18" s="369" t="s">
        <v>761</v>
      </c>
      <c r="B18" s="15"/>
      <c r="C18" s="15"/>
      <c r="D18" s="15"/>
      <c r="E18" s="15"/>
      <c r="F18" s="15"/>
      <c r="G18" s="15"/>
      <c r="H18" s="15"/>
      <c r="I18" s="15"/>
      <c r="J18" s="15"/>
      <c r="K18" s="15"/>
      <c r="L18" s="15"/>
      <c r="M18" s="15"/>
      <c r="N18" s="15"/>
      <c r="O18" s="15"/>
      <c r="P18" s="15"/>
      <c r="Q18" s="15"/>
      <c r="R18" s="15"/>
      <c r="S18" s="15"/>
      <c r="T18" s="15"/>
      <c r="U18" s="2780"/>
    </row>
    <row r="19" spans="1:21" ht="15">
      <c r="A19" s="883" t="s">
        <v>3627</v>
      </c>
      <c r="B19" s="72" t="str">
        <f t="shared" ref="B19:U19" si="2">IF(AND(B$11&lt;&gt;"",B$13&gt;"",B$14&lt;&gt;""),
      IF(B$16="Non-Prod (ITC)",
           LOWER("t-"&amp;B$11&amp;"-"&amp;B$15&amp;"-web-1.test.hcscint.net"),
       LOWER(LEFT(B$16,1)&amp;"-"&amp;B$11&amp;"-"&amp;B$15&amp;"-web-1")&amp;IF(LEFT(B$16, 4)="Prod",".hcscint.net",IF(B$16="Test 2.0",".test.hcscint.net",".dev.hcscint.net"))),"")</f>
        <v/>
      </c>
      <c r="C19" s="72" t="str">
        <f t="shared" si="2"/>
        <v/>
      </c>
      <c r="D19" s="72" t="str">
        <f t="shared" si="2"/>
        <v/>
      </c>
      <c r="E19" s="72" t="str">
        <f t="shared" si="2"/>
        <v/>
      </c>
      <c r="F19" s="72" t="str">
        <f t="shared" si="2"/>
        <v/>
      </c>
      <c r="G19" s="72" t="str">
        <f t="shared" si="2"/>
        <v/>
      </c>
      <c r="H19" s="72" t="str">
        <f t="shared" si="2"/>
        <v/>
      </c>
      <c r="I19" s="72" t="str">
        <f t="shared" si="2"/>
        <v/>
      </c>
      <c r="J19" s="72" t="str">
        <f t="shared" si="2"/>
        <v/>
      </c>
      <c r="K19" s="72" t="str">
        <f t="shared" si="2"/>
        <v/>
      </c>
      <c r="L19" s="72" t="str">
        <f t="shared" si="2"/>
        <v/>
      </c>
      <c r="M19" s="72" t="str">
        <f t="shared" si="2"/>
        <v/>
      </c>
      <c r="N19" s="72" t="str">
        <f t="shared" si="2"/>
        <v/>
      </c>
      <c r="O19" s="72" t="str">
        <f t="shared" si="2"/>
        <v/>
      </c>
      <c r="P19" s="72" t="str">
        <f t="shared" si="2"/>
        <v/>
      </c>
      <c r="Q19" s="72" t="str">
        <f t="shared" si="2"/>
        <v/>
      </c>
      <c r="R19" s="72" t="str">
        <f t="shared" si="2"/>
        <v/>
      </c>
      <c r="S19" s="72" t="str">
        <f t="shared" si="2"/>
        <v/>
      </c>
      <c r="T19" s="72" t="str">
        <f t="shared" si="2"/>
        <v/>
      </c>
      <c r="U19" s="72" t="str">
        <f t="shared" si="2"/>
        <v/>
      </c>
    </row>
    <row r="20" spans="1:21" ht="15">
      <c r="A20" s="883" t="s">
        <v>3623</v>
      </c>
      <c r="B20" s="885" t="str">
        <f>IFERROR(INDEX(DNS!$C$5:$C$54,MATCH(B$19,DNS!$F$5:$F$54,0)),"")</f>
        <v/>
      </c>
      <c r="C20" s="885" t="str">
        <f>IFERROR(INDEX(DNS!$C$5:$C$54,MATCH(C$19,DNS!$F$5:$F$54,0)),"")</f>
        <v/>
      </c>
      <c r="D20" s="885" t="str">
        <f>IFERROR(INDEX(DNS!$C$5:$C$54,MATCH(D$19,DNS!$F$5:$F$54,0)),"")</f>
        <v/>
      </c>
      <c r="E20" s="885" t="str">
        <f>IFERROR(INDEX(DNS!$C$5:$C$54,MATCH(E$19,DNS!$F$5:$F$54,0)),"")</f>
        <v/>
      </c>
      <c r="F20" s="885" t="str">
        <f>IFERROR(INDEX(DNS!$C$5:$C$54,MATCH(F$19,DNS!$F$5:$F$54,0)),"")</f>
        <v/>
      </c>
      <c r="G20" s="885" t="str">
        <f>IFERROR(INDEX(DNS!$C$5:$C$54,MATCH(G$19,DNS!$F$5:$F$54,0)),"")</f>
        <v/>
      </c>
      <c r="H20" s="885" t="str">
        <f>IFERROR(INDEX(DNS!$C$5:$C$54,MATCH(H$19,DNS!$F$5:$F$54,0)),"")</f>
        <v/>
      </c>
      <c r="I20" s="885" t="str">
        <f>IFERROR(INDEX(DNS!$C$5:$C$54,MATCH(I$19,DNS!$F$5:$F$54,0)),"")</f>
        <v/>
      </c>
      <c r="J20" s="885" t="str">
        <f>IFERROR(INDEX(DNS!$C$5:$C$54,MATCH(J$19,DNS!$F$5:$F$54,0)),"")</f>
        <v/>
      </c>
      <c r="K20" s="885" t="str">
        <f>IFERROR(INDEX(DNS!$C$5:$C$54,MATCH(K$19,DNS!$F$5:$F$54,0)),"")</f>
        <v/>
      </c>
      <c r="L20" s="885" t="str">
        <f>IFERROR(INDEX(DNS!$C$5:$C$54,MATCH(L$19,DNS!$F$5:$F$54,0)),"")</f>
        <v/>
      </c>
      <c r="M20" s="885" t="str">
        <f>IFERROR(INDEX(DNS!$C$5:$C$54,MATCH(M$19,DNS!$F$5:$F$54,0)),"")</f>
        <v/>
      </c>
      <c r="N20" s="885" t="str">
        <f>IFERROR(INDEX(DNS!$C$5:$C$54,MATCH(N$19,DNS!$F$5:$F$54,0)),"")</f>
        <v/>
      </c>
      <c r="O20" s="885" t="str">
        <f>IFERROR(INDEX(DNS!$C$5:$C$54,MATCH(O$19,DNS!$F$5:$F$54,0)),"")</f>
        <v/>
      </c>
      <c r="P20" s="885" t="str">
        <f>IFERROR(INDEX(DNS!$C$5:$C$54,MATCH(P$19,DNS!$F$5:$F$54,0)),"")</f>
        <v/>
      </c>
      <c r="Q20" s="885" t="str">
        <f>IFERROR(INDEX(DNS!$C$5:$C$54,MATCH(Q$19,DNS!$F$5:$F$54,0)),"")</f>
        <v/>
      </c>
      <c r="R20" s="885" t="str">
        <f>IFERROR(INDEX(DNS!$C$5:$C$54,MATCH(R$19,DNS!$F$5:$F$54,0)),"")</f>
        <v/>
      </c>
      <c r="S20" s="885" t="str">
        <f>IFERROR(INDEX(DNS!$C$5:$C$54,MATCH(S$19,DNS!$F$5:$F$54,0)),"")</f>
        <v/>
      </c>
      <c r="T20" s="885" t="str">
        <f>IFERROR(INDEX(DNS!$C$5:$C$54,MATCH(T$19,DNS!$F$5:$F$54,0)),"")</f>
        <v/>
      </c>
      <c r="U20" s="2781" t="str">
        <f>IFERROR(INDEX(DNS!$C$5:$C$54,MATCH(U$19,DNS!$F$5:$F$54,0)),"")</f>
        <v/>
      </c>
    </row>
    <row r="21" spans="1:21" ht="15">
      <c r="A21" s="883" t="s">
        <v>3628</v>
      </c>
      <c r="B21" s="62" t="str">
        <f t="shared" ref="B21:U21" si="3">IF(AND(B$11&lt;&gt;"",B$13&gt;"",B$14&lt;&gt;""),
          IF(B$16="Non-Prod (ITC)",
               LOWER("t-"&amp;B$11&amp;"-"&amp;B$15&amp;"-web-2.test.hcscint.net"),
       LOWER(LEFT(B$16,1)&amp;"-"&amp;B$11&amp;"-"&amp;B$15&amp;"-web-2")&amp;IF(LEFT(B$16, 4)="Prod",".hcscint.net",IF(B$16="Test 2.0",".test.hcscint.net",".dev.hcscint.net"))),"")</f>
        <v/>
      </c>
      <c r="C21" s="62" t="str">
        <f t="shared" si="3"/>
        <v/>
      </c>
      <c r="D21" s="62" t="str">
        <f t="shared" si="3"/>
        <v/>
      </c>
      <c r="E21" s="62" t="str">
        <f t="shared" si="3"/>
        <v/>
      </c>
      <c r="F21" s="62" t="str">
        <f t="shared" si="3"/>
        <v/>
      </c>
      <c r="G21" s="62" t="str">
        <f t="shared" si="3"/>
        <v/>
      </c>
      <c r="H21" s="62" t="str">
        <f t="shared" si="3"/>
        <v/>
      </c>
      <c r="I21" s="62" t="str">
        <f t="shared" si="3"/>
        <v/>
      </c>
      <c r="J21" s="62" t="str">
        <f t="shared" si="3"/>
        <v/>
      </c>
      <c r="K21" s="62" t="str">
        <f t="shared" si="3"/>
        <v/>
      </c>
      <c r="L21" s="62" t="str">
        <f t="shared" si="3"/>
        <v/>
      </c>
      <c r="M21" s="62" t="str">
        <f t="shared" si="3"/>
        <v/>
      </c>
      <c r="N21" s="62" t="str">
        <f t="shared" si="3"/>
        <v/>
      </c>
      <c r="O21" s="62" t="str">
        <f t="shared" si="3"/>
        <v/>
      </c>
      <c r="P21" s="62" t="str">
        <f t="shared" si="3"/>
        <v/>
      </c>
      <c r="Q21" s="62" t="str">
        <f t="shared" si="3"/>
        <v/>
      </c>
      <c r="R21" s="62" t="str">
        <f t="shared" si="3"/>
        <v/>
      </c>
      <c r="S21" s="62" t="str">
        <f t="shared" si="3"/>
        <v/>
      </c>
      <c r="T21" s="62" t="str">
        <f t="shared" si="3"/>
        <v/>
      </c>
      <c r="U21" s="62" t="str">
        <f t="shared" si="3"/>
        <v/>
      </c>
    </row>
    <row r="22" spans="1:21" ht="15">
      <c r="A22" s="883" t="s">
        <v>3624</v>
      </c>
      <c r="B22" s="60" t="str">
        <f>IFERROR(INDEX(DNS!$C$5:$C$54,MATCH(B$21,DNS!$F$5:$F$54,0)),"")</f>
        <v/>
      </c>
      <c r="C22" s="60" t="str">
        <f>IFERROR(INDEX(DNS!$C$5:$C$54,MATCH(C$21,DNS!$F$5:$F$54,0)),"")</f>
        <v/>
      </c>
      <c r="D22" s="60" t="str">
        <f>IFERROR(INDEX(DNS!$C$5:$C$54,MATCH(D$21,DNS!$F$5:$F$54,0)),"")</f>
        <v/>
      </c>
      <c r="E22" s="60" t="str">
        <f>IFERROR(INDEX(DNS!$C$5:$C$54,MATCH(E$21,DNS!$F$5:$F$54,0)),"")</f>
        <v/>
      </c>
      <c r="F22" s="60" t="str">
        <f>IFERROR(INDEX(DNS!$C$5:$C$54,MATCH(F$21,DNS!$F$5:$F$54,0)),"")</f>
        <v/>
      </c>
      <c r="G22" s="60" t="str">
        <f>IFERROR(INDEX(DNS!$C$5:$C$54,MATCH(G$21,DNS!$F$5:$F$54,0)),"")</f>
        <v/>
      </c>
      <c r="H22" s="60" t="str">
        <f>IFERROR(INDEX(DNS!$C$5:$C$54,MATCH(H$21,DNS!$F$5:$F$54,0)),"")</f>
        <v/>
      </c>
      <c r="I22" s="60" t="str">
        <f>IFERROR(INDEX(DNS!$C$5:$C$54,MATCH(I$21,DNS!$F$5:$F$54,0)),"")</f>
        <v/>
      </c>
      <c r="J22" s="60" t="str">
        <f>IFERROR(INDEX(DNS!$C$5:$C$54,MATCH(J$21,DNS!$F$5:$F$54,0)),"")</f>
        <v/>
      </c>
      <c r="K22" s="60" t="str">
        <f>IFERROR(INDEX(DNS!$C$5:$C$54,MATCH(K$21,DNS!$F$5:$F$54,0)),"")</f>
        <v/>
      </c>
      <c r="L22" s="60" t="str">
        <f>IFERROR(INDEX(DNS!$C$5:$C$54,MATCH(L$21,DNS!$F$5:$F$54,0)),"")</f>
        <v/>
      </c>
      <c r="M22" s="60" t="str">
        <f>IFERROR(INDEX(DNS!$C$5:$C$54,MATCH(M$21,DNS!$F$5:$F$54,0)),"")</f>
        <v/>
      </c>
      <c r="N22" s="60" t="str">
        <f>IFERROR(INDEX(DNS!$C$5:$C$54,MATCH(N$21,DNS!$F$5:$F$54,0)),"")</f>
        <v/>
      </c>
      <c r="O22" s="60" t="str">
        <f>IFERROR(INDEX(DNS!$C$5:$C$54,MATCH(O$21,DNS!$F$5:$F$54,0)),"")</f>
        <v/>
      </c>
      <c r="P22" s="60" t="str">
        <f>IFERROR(INDEX(DNS!$C$5:$C$54,MATCH(P$21,DNS!$F$5:$F$54,0)),"")</f>
        <v/>
      </c>
      <c r="Q22" s="60" t="str">
        <f>IFERROR(INDEX(DNS!$C$5:$C$54,MATCH(Q$21,DNS!$F$5:$F$54,0)),"")</f>
        <v/>
      </c>
      <c r="R22" s="60" t="str">
        <f>IFERROR(INDEX(DNS!$C$5:$C$54,MATCH(R$21,DNS!$F$5:$F$54,0)),"")</f>
        <v/>
      </c>
      <c r="S22" s="60" t="str">
        <f>IFERROR(INDEX(DNS!$C$5:$C$54,MATCH(S$21,DNS!$F$5:$F$54,0)),"")</f>
        <v/>
      </c>
      <c r="T22" s="60" t="str">
        <f>IFERROR(INDEX(DNS!$C$5:$C$54,MATCH(T$21,DNS!$F$5:$F$54,0)),"")</f>
        <v/>
      </c>
      <c r="U22" s="60" t="str">
        <f>IFERROR(INDEX(DNS!$C$5:$C$54,MATCH(U$21,DNS!$F$5:$F$54,0)),"")</f>
        <v/>
      </c>
    </row>
    <row r="23" spans="1:21" ht="15">
      <c r="A23" s="886" t="s">
        <v>3629</v>
      </c>
      <c r="B23" s="62" t="str">
        <f t="shared" ref="B23:U23" si="4">IF(AND(B$11&lt;&gt;"",B$13&gt;"",B$14&lt;&gt;""),
          IF(B$16="Non-Prod (ITC)",
               LOWER("t-"&amp;B$11&amp;"-"&amp;B$15&amp;"-web-3.test.hcscint.net"),
       LOWER(LEFT(B$16,1)&amp;"-"&amp;B$11&amp;"-"&amp;B$15&amp;"-web-3")&amp;IF(LEFT(B$16, 4)="Prod",".hcscint.net",IF(B$16="Test 2.0",".test.hcscint.net",".dev.hcscint.net"))),"")</f>
        <v/>
      </c>
      <c r="C23" s="62" t="str">
        <f t="shared" si="4"/>
        <v/>
      </c>
      <c r="D23" s="62" t="str">
        <f t="shared" si="4"/>
        <v/>
      </c>
      <c r="E23" s="62" t="str">
        <f t="shared" si="4"/>
        <v/>
      </c>
      <c r="F23" s="62" t="str">
        <f t="shared" si="4"/>
        <v/>
      </c>
      <c r="G23" s="62" t="str">
        <f t="shared" si="4"/>
        <v/>
      </c>
      <c r="H23" s="62" t="str">
        <f t="shared" si="4"/>
        <v/>
      </c>
      <c r="I23" s="62" t="str">
        <f t="shared" si="4"/>
        <v/>
      </c>
      <c r="J23" s="62" t="str">
        <f t="shared" si="4"/>
        <v/>
      </c>
      <c r="K23" s="62" t="str">
        <f t="shared" si="4"/>
        <v/>
      </c>
      <c r="L23" s="62" t="str">
        <f t="shared" si="4"/>
        <v/>
      </c>
      <c r="M23" s="62" t="str">
        <f t="shared" si="4"/>
        <v/>
      </c>
      <c r="N23" s="62" t="str">
        <f t="shared" si="4"/>
        <v/>
      </c>
      <c r="O23" s="62" t="str">
        <f t="shared" si="4"/>
        <v/>
      </c>
      <c r="P23" s="62" t="str">
        <f t="shared" si="4"/>
        <v/>
      </c>
      <c r="Q23" s="62" t="str">
        <f t="shared" si="4"/>
        <v/>
      </c>
      <c r="R23" s="62" t="str">
        <f t="shared" si="4"/>
        <v/>
      </c>
      <c r="S23" s="62" t="str">
        <f t="shared" si="4"/>
        <v/>
      </c>
      <c r="T23" s="62" t="str">
        <f t="shared" si="4"/>
        <v/>
      </c>
      <c r="U23" s="62" t="str">
        <f t="shared" si="4"/>
        <v/>
      </c>
    </row>
    <row r="24" spans="1:21" ht="15">
      <c r="A24" s="886" t="s">
        <v>3625</v>
      </c>
      <c r="B24" s="60" t="str">
        <f>IFERROR(INDEX(DNS!$C$5:$C$54,MATCH(B$23,DNS!$F$5:$F$54,0)),"")</f>
        <v/>
      </c>
      <c r="C24" s="60" t="str">
        <f>IFERROR(INDEX(DNS!$C$5:$C$54,MATCH(C$23,DNS!$F$5:$F$54,0)),"")</f>
        <v/>
      </c>
      <c r="D24" s="60" t="str">
        <f>IFERROR(INDEX(DNS!$C$5:$C$54,MATCH(D$23,DNS!$F$5:$F$54,0)),"")</f>
        <v/>
      </c>
      <c r="E24" s="60" t="str">
        <f>IFERROR(INDEX(DNS!$C$5:$C$54,MATCH(E$23,DNS!$F$5:$F$54,0)),"")</f>
        <v/>
      </c>
      <c r="F24" s="60" t="str">
        <f>IFERROR(INDEX(DNS!$C$5:$C$54,MATCH(F$23,DNS!$F$5:$F$54,0)),"")</f>
        <v/>
      </c>
      <c r="G24" s="60" t="str">
        <f>IFERROR(INDEX(DNS!$C$5:$C$54,MATCH(G$23,DNS!$F$5:$F$54,0)),"")</f>
        <v/>
      </c>
      <c r="H24" s="60" t="str">
        <f>IFERROR(INDEX(DNS!$C$5:$C$54,MATCH(H$23,DNS!$F$5:$F$54,0)),"")</f>
        <v/>
      </c>
      <c r="I24" s="60" t="str">
        <f>IFERROR(INDEX(DNS!$C$5:$C$54,MATCH(I$23,DNS!$F$5:$F$54,0)),"")</f>
        <v/>
      </c>
      <c r="J24" s="60" t="str">
        <f>IFERROR(INDEX(DNS!$C$5:$C$54,MATCH(J$23,DNS!$F$5:$F$54,0)),"")</f>
        <v/>
      </c>
      <c r="K24" s="60" t="str">
        <f>IFERROR(INDEX(DNS!$C$5:$C$54,MATCH(K$23,DNS!$F$5:$F$54,0)),"")</f>
        <v/>
      </c>
      <c r="L24" s="60" t="str">
        <f>IFERROR(INDEX(DNS!$C$5:$C$54,MATCH(L$23,DNS!$F$5:$F$54,0)),"")</f>
        <v/>
      </c>
      <c r="M24" s="60" t="str">
        <f>IFERROR(INDEX(DNS!$C$5:$C$54,MATCH(M$23,DNS!$F$5:$F$54,0)),"")</f>
        <v/>
      </c>
      <c r="N24" s="60" t="str">
        <f>IFERROR(INDEX(DNS!$C$5:$C$54,MATCH(N$23,DNS!$F$5:$F$54,0)),"")</f>
        <v/>
      </c>
      <c r="O24" s="60" t="str">
        <f>IFERROR(INDEX(DNS!$C$5:$C$54,MATCH(O$23,DNS!$F$5:$F$54,0)),"")</f>
        <v/>
      </c>
      <c r="P24" s="60" t="str">
        <f>IFERROR(INDEX(DNS!$C$5:$C$54,MATCH(P$23,DNS!$F$5:$F$54,0)),"")</f>
        <v/>
      </c>
      <c r="Q24" s="60" t="str">
        <f>IFERROR(INDEX(DNS!$C$5:$C$54,MATCH(Q$23,DNS!$F$5:$F$54,0)),"")</f>
        <v/>
      </c>
      <c r="R24" s="60" t="str">
        <f>IFERROR(INDEX(DNS!$C$5:$C$54,MATCH(R$23,DNS!$F$5:$F$54,0)),"")</f>
        <v/>
      </c>
      <c r="S24" s="60" t="str">
        <f>IFERROR(INDEX(DNS!$C$5:$C$54,MATCH(S$23,DNS!$F$5:$F$54,0)),"")</f>
        <v/>
      </c>
      <c r="T24" s="60" t="str">
        <f>IFERROR(INDEX(DNS!$C$5:$C$54,MATCH(T$23,DNS!$F$5:$F$54,0)),"")</f>
        <v/>
      </c>
      <c r="U24" s="60" t="str">
        <f>IFERROR(INDEX(DNS!$C$5:$C$54,MATCH(U$23,DNS!$F$5:$F$54,0)),"")</f>
        <v/>
      </c>
    </row>
    <row r="25" spans="1:21" ht="12.75" customHeight="1">
      <c r="A25" s="886" t="s">
        <v>3630</v>
      </c>
      <c r="B25" s="62" t="str">
        <f t="shared" ref="B25:U25" si="5">IF(AND(B$11&lt;&gt;"",B$13&gt;"",B$14&lt;&gt;""),
          IF(B$16="Non-Prod (ITC)",
               LOWER("t-"&amp;B$11&amp;"-"&amp;B$15&amp;"-web-4.test.hcscint.net"),
       LOWER(LEFT(B$16,1)&amp;"-"&amp;B$11&amp;"-"&amp;B$15&amp;"-web-4")&amp;IF(LEFT(B$16, 4)="Prod",".hcscint.net",IF(B$16="Test 2.0",".test.hcscint.net",".dev.hcscint.net"))),"")</f>
        <v/>
      </c>
      <c r="C25" s="62" t="str">
        <f t="shared" si="5"/>
        <v/>
      </c>
      <c r="D25" s="62" t="str">
        <f t="shared" si="5"/>
        <v/>
      </c>
      <c r="E25" s="62" t="str">
        <f t="shared" si="5"/>
        <v/>
      </c>
      <c r="F25" s="62" t="str">
        <f t="shared" si="5"/>
        <v/>
      </c>
      <c r="G25" s="62" t="str">
        <f t="shared" si="5"/>
        <v/>
      </c>
      <c r="H25" s="62" t="str">
        <f t="shared" si="5"/>
        <v/>
      </c>
      <c r="I25" s="62" t="str">
        <f t="shared" si="5"/>
        <v/>
      </c>
      <c r="J25" s="62" t="str">
        <f t="shared" si="5"/>
        <v/>
      </c>
      <c r="K25" s="62" t="str">
        <f t="shared" si="5"/>
        <v/>
      </c>
      <c r="L25" s="62" t="str">
        <f t="shared" si="5"/>
        <v/>
      </c>
      <c r="M25" s="62" t="str">
        <f t="shared" si="5"/>
        <v/>
      </c>
      <c r="N25" s="62" t="str">
        <f t="shared" si="5"/>
        <v/>
      </c>
      <c r="O25" s="62" t="str">
        <f t="shared" si="5"/>
        <v/>
      </c>
      <c r="P25" s="62" t="str">
        <f t="shared" si="5"/>
        <v/>
      </c>
      <c r="Q25" s="62" t="str">
        <f t="shared" si="5"/>
        <v/>
      </c>
      <c r="R25" s="62" t="str">
        <f t="shared" si="5"/>
        <v/>
      </c>
      <c r="S25" s="62" t="str">
        <f t="shared" si="5"/>
        <v/>
      </c>
      <c r="T25" s="62" t="str">
        <f t="shared" si="5"/>
        <v/>
      </c>
      <c r="U25" s="62" t="str">
        <f t="shared" si="5"/>
        <v/>
      </c>
    </row>
    <row r="26" spans="1:21" ht="12.75" customHeight="1">
      <c r="A26" s="886" t="s">
        <v>3626</v>
      </c>
      <c r="B26" s="60" t="str">
        <f>IFERROR(INDEX(DNS!$C$5:$C$54,MATCH(B$25,DNS!$F$5:$F$54,0)),"")</f>
        <v/>
      </c>
      <c r="C26" s="60" t="str">
        <f>IFERROR(INDEX(DNS!$C$5:$C$54,MATCH(C$25,DNS!$F$5:$F$54,0)),"")</f>
        <v/>
      </c>
      <c r="D26" s="60" t="str">
        <f>IFERROR(INDEX(DNS!$C$5:$C$54,MATCH(D$25,DNS!$F$5:$F$54,0)),"")</f>
        <v/>
      </c>
      <c r="E26" s="60" t="str">
        <f>IFERROR(INDEX(DNS!$C$5:$C$54,MATCH(E$25,DNS!$F$5:$F$54,0)),"")</f>
        <v/>
      </c>
      <c r="F26" s="60" t="str">
        <f>IFERROR(INDEX(DNS!$C$5:$C$54,MATCH(F$25,DNS!$F$5:$F$54,0)),"")</f>
        <v/>
      </c>
      <c r="G26" s="60" t="str">
        <f>IFERROR(INDEX(DNS!$C$5:$C$54,MATCH(G$25,DNS!$F$5:$F$54,0)),"")</f>
        <v/>
      </c>
      <c r="H26" s="60" t="str">
        <f>IFERROR(INDEX(DNS!$C$5:$C$54,MATCH(H$25,DNS!$F$5:$F$54,0)),"")</f>
        <v/>
      </c>
      <c r="I26" s="60" t="str">
        <f>IFERROR(INDEX(DNS!$C$5:$C$54,MATCH(I$25,DNS!$F$5:$F$54,0)),"")</f>
        <v/>
      </c>
      <c r="J26" s="60" t="str">
        <f>IFERROR(INDEX(DNS!$C$5:$C$54,MATCH(J$25,DNS!$F$5:$F$54,0)),"")</f>
        <v/>
      </c>
      <c r="K26" s="60" t="str">
        <f>IFERROR(INDEX(DNS!$C$5:$C$54,MATCH(K$25,DNS!$F$5:$F$54,0)),"")</f>
        <v/>
      </c>
      <c r="L26" s="60" t="str">
        <f>IFERROR(INDEX(DNS!$C$5:$C$54,MATCH(L$25,DNS!$F$5:$F$54,0)),"")</f>
        <v/>
      </c>
      <c r="M26" s="60" t="str">
        <f>IFERROR(INDEX(DNS!$C$5:$C$54,MATCH(M$25,DNS!$F$5:$F$54,0)),"")</f>
        <v/>
      </c>
      <c r="N26" s="60" t="str">
        <f>IFERROR(INDEX(DNS!$C$5:$C$54,MATCH(N$25,DNS!$F$5:$F$54,0)),"")</f>
        <v/>
      </c>
      <c r="O26" s="60" t="str">
        <f>IFERROR(INDEX(DNS!$C$5:$C$54,MATCH(O$25,DNS!$F$5:$F$54,0)),"")</f>
        <v/>
      </c>
      <c r="P26" s="60" t="str">
        <f>IFERROR(INDEX(DNS!$C$5:$C$54,MATCH(P$25,DNS!$F$5:$F$54,0)),"")</f>
        <v/>
      </c>
      <c r="Q26" s="60" t="str">
        <f>IFERROR(INDEX(DNS!$C$5:$C$54,MATCH(Q$25,DNS!$F$5:$F$54,0)),"")</f>
        <v/>
      </c>
      <c r="R26" s="60" t="str">
        <f>IFERROR(INDEX(DNS!$C$5:$C$54,MATCH(R$25,DNS!$F$5:$F$54,0)),"")</f>
        <v/>
      </c>
      <c r="S26" s="60" t="str">
        <f>IFERROR(INDEX(DNS!$C$5:$C$54,MATCH(S$25,DNS!$F$5:$F$54,0)),"")</f>
        <v/>
      </c>
      <c r="T26" s="60" t="str">
        <f>IFERROR(INDEX(DNS!$C$5:$C$54,MATCH(T$25,DNS!$F$5:$F$54,0)),"")</f>
        <v/>
      </c>
      <c r="U26" s="60" t="str">
        <f>IFERROR(INDEX(DNS!$C$5:$C$54,MATCH(U$25,DNS!$F$5:$F$54,0)),"")</f>
        <v/>
      </c>
    </row>
    <row r="27" spans="1:21" ht="32.25" customHeight="1">
      <c r="A27" s="843"/>
      <c r="B27" s="2904" t="str">
        <f>IF(B8="ITC Proxy",CONCATENATE("Configure reverse proxy pass for: ",CHAR(10), INDEX(DNS!$C$5:$C$54,MATCH(B$13,DNS!$F$5:$F$54,0))),"")</f>
        <v/>
      </c>
      <c r="C27" s="2904" t="str">
        <f>IF(C8="ITC Proxy",CONCATENATE("Configure reverse proxy pass for: ",CHAR(10), INDEX(DNS!$C$5:$C$54,MATCH(C$13,DNS!$F$5:$F$54,0))),"")</f>
        <v/>
      </c>
      <c r="D27" s="2904" t="str">
        <f>IF(D8="ITC Proxy",CONCATENATE("Configure reverse proxy pass for: ",CHAR(10), INDEX(DNS!$C$5:$C$54,MATCH(D$13,DNS!$F$5:$F$54,0))),"")</f>
        <v/>
      </c>
      <c r="E27" s="2904" t="str">
        <f>IF(E8="ITC Proxy",CONCATENATE("Configure reverse proxy pass for: ",CHAR(10), INDEX(DNS!$C$5:$C$54,MATCH(E$13,DNS!$F$5:$F$54,0))),"")</f>
        <v/>
      </c>
      <c r="F27" s="2904" t="str">
        <f>IF(F8="ITC Proxy",CONCATENATE("Configure reverse proxy pass for: ",CHAR(10), INDEX(DNS!$C$5:$C$54,MATCH(F$13,DNS!$F$5:$F$54,0))),"")</f>
        <v/>
      </c>
      <c r="G27" s="2904" t="str">
        <f>IF(G8="ITC Proxy",CONCATENATE("Configure reverse proxy pass for: ",CHAR(10), INDEX(DNS!$C$5:$C$54,MATCH(G$13,DNS!$F$5:$F$54,0))),"")</f>
        <v/>
      </c>
      <c r="H27" s="2904" t="str">
        <f>IF(H8="ITC Proxy",CONCATENATE("Configure reverse proxy pass for: ",CHAR(10), INDEX(DNS!$C$5:$C$54,MATCH(H$13,DNS!$F$5:$F$54,0))),"")</f>
        <v/>
      </c>
      <c r="I27" s="2904" t="str">
        <f>IF(I8="ITC Proxy",CONCATENATE("Configure reverse proxy pass for: ",CHAR(10), INDEX(DNS!$C$5:$C$54,MATCH(I$13,DNS!$F$5:$F$54,0))),"")</f>
        <v/>
      </c>
      <c r="J27" s="2904" t="str">
        <f>IF(J8="ITC Proxy",CONCATENATE("Configure reverse proxy pass for: ",CHAR(10), INDEX(DNS!$C$5:$C$54,MATCH(J$13,DNS!$F$5:$F$54,0))),"")</f>
        <v/>
      </c>
      <c r="K27" s="2904" t="str">
        <f>IF(K8="ITC Proxy",CONCATENATE("Configure reverse proxy pass for: ",CHAR(10), INDEX(DNS!$C$5:$C$54,MATCH(K$13,DNS!$F$5:$F$54,0))),"")</f>
        <v/>
      </c>
      <c r="L27" s="2904" t="str">
        <f>IF(L8="ITC Proxy",CONCATENATE("Configure reverse proxy pass for: ",CHAR(10), INDEX(DNS!$C$5:$C$54,MATCH(L$13,DNS!$F$5:$F$54,0))),"")</f>
        <v/>
      </c>
      <c r="M27" s="2904" t="str">
        <f>IF(M8="ITC Proxy",CONCATENATE("Configure reverse proxy pass for: ",CHAR(10), INDEX(DNS!$C$5:$C$54,MATCH(M$13,DNS!$F$5:$F$54,0))),"")</f>
        <v/>
      </c>
      <c r="N27" s="2904" t="str">
        <f>IF(N8="ITC Proxy",CONCATENATE("Configure reverse proxy pass for: ",CHAR(10), INDEX(DNS!$C$5:$C$54,MATCH(N$13,DNS!$F$5:$F$54,0))),"")</f>
        <v/>
      </c>
      <c r="O27" s="2904" t="str">
        <f>IF(O8="ITC Proxy",CONCATENATE("Configure reverse proxy pass for: ",CHAR(10), INDEX(DNS!$C$5:$C$54,MATCH(O$13,DNS!$F$5:$F$54,0))),"")</f>
        <v/>
      </c>
      <c r="P27" s="2904" t="str">
        <f>IF(P8="ITC Proxy",CONCATENATE("Configure reverse proxy pass for: ",CHAR(10), INDEX(DNS!$C$5:$C$54,MATCH(P$13,DNS!$F$5:$F$54,0))),"")</f>
        <v/>
      </c>
      <c r="Q27" s="2904" t="str">
        <f>IF(Q8="ITC Proxy",CONCATENATE("Configure reverse proxy pass for: ",CHAR(10), INDEX(DNS!$C$5:$C$54,MATCH(Q$13,DNS!$F$5:$F$54,0))),"")</f>
        <v/>
      </c>
      <c r="R27" s="2904" t="str">
        <f>IF(R8="ITC Proxy",CONCATENATE("Configure reverse proxy pass for: ",CHAR(10), INDEX(DNS!$C$5:$C$54,MATCH(R$13,DNS!$F$5:$F$54,0))),"")</f>
        <v/>
      </c>
      <c r="S27" s="2904" t="str">
        <f>IF(S8="ITC Proxy",CONCATENATE("Configure reverse proxy pass for: ",CHAR(10), INDEX(DNS!$C$5:$C$54,MATCH(S$13,DNS!$F$5:$F$54,0))),"")</f>
        <v/>
      </c>
      <c r="T27" s="2904" t="str">
        <f>IF(T8="ITC Proxy",CONCATENATE("Configure reverse proxy pass for: ",CHAR(10), INDEX(DNS!$C$5:$C$54,MATCH(T$13,DNS!$F$5:$F$54,0))),"")</f>
        <v/>
      </c>
      <c r="U27" s="2904" t="str">
        <f>IF(U8="ITC Proxy",CONCATENATE("Configure reverse proxy pass for: ",CHAR(10), INDEX(DNS!$C$5:$C$54,MATCH(U$13,DNS!$F$5:$F$54,0))),"")</f>
        <v/>
      </c>
    </row>
    <row r="28" spans="1:21" ht="15.75">
      <c r="A28" s="3866" t="s">
        <v>2733</v>
      </c>
      <c r="B28" s="3867"/>
      <c r="C28" s="4"/>
      <c r="D28" s="4"/>
      <c r="E28" s="4"/>
      <c r="F28" s="4"/>
      <c r="G28" s="4"/>
      <c r="H28" s="4"/>
      <c r="I28" s="4"/>
      <c r="J28" s="4"/>
      <c r="K28" s="4"/>
      <c r="L28" s="4"/>
      <c r="M28" s="4"/>
      <c r="N28" s="4"/>
      <c r="O28" s="4"/>
      <c r="P28" s="4"/>
      <c r="Q28" s="4"/>
      <c r="R28" s="4"/>
      <c r="S28" s="4"/>
      <c r="T28" s="4"/>
      <c r="U28" s="4"/>
    </row>
    <row r="29" spans="1:21" ht="15">
      <c r="A29" s="369" t="s">
        <v>3302</v>
      </c>
      <c r="B29" s="812" t="str">
        <f>'EAA Siteminder'!B21</f>
        <v/>
      </c>
      <c r="C29" s="4"/>
      <c r="D29" s="4"/>
      <c r="E29" s="4"/>
      <c r="F29" s="4"/>
      <c r="G29" s="4"/>
      <c r="H29" s="4"/>
      <c r="I29" s="4"/>
      <c r="J29" s="4"/>
      <c r="K29" s="4"/>
      <c r="L29" s="4"/>
      <c r="M29" s="4"/>
      <c r="N29" s="4"/>
      <c r="O29" s="4"/>
      <c r="P29" s="4"/>
      <c r="Q29" s="4"/>
      <c r="R29" s="4"/>
      <c r="S29" s="4"/>
      <c r="T29" s="4"/>
      <c r="U29" s="4"/>
    </row>
    <row r="30" spans="1:21" s="931" customFormat="1" ht="15">
      <c r="A30" s="369" t="s">
        <v>3304</v>
      </c>
      <c r="B30" s="812" t="str">
        <f>'EAA Siteminder'!B22</f>
        <v>HC_TAI_wau_primary</v>
      </c>
      <c r="C30" s="4"/>
      <c r="D30" s="4"/>
      <c r="E30" s="4"/>
      <c r="F30" s="4"/>
      <c r="G30" s="4"/>
      <c r="H30" s="4"/>
      <c r="I30" s="4"/>
      <c r="J30" s="4"/>
      <c r="K30" s="4"/>
      <c r="L30" s="4"/>
      <c r="M30" s="4"/>
      <c r="N30" s="4"/>
      <c r="O30" s="4"/>
      <c r="P30" s="4"/>
      <c r="Q30" s="4"/>
      <c r="R30" s="4"/>
      <c r="S30" s="4"/>
      <c r="T30" s="4"/>
      <c r="U30" s="4"/>
    </row>
    <row r="31" spans="1:21" ht="15">
      <c r="A31" s="950" t="s">
        <v>3299</v>
      </c>
      <c r="B31" s="812" t="str">
        <f>'EAA Siteminder'!B17</f>
        <v/>
      </c>
      <c r="C31" s="4"/>
      <c r="D31" s="4"/>
      <c r="E31" s="4"/>
      <c r="F31" s="4"/>
      <c r="G31" s="4"/>
      <c r="H31" s="4"/>
      <c r="I31" s="4"/>
      <c r="J31" s="4"/>
      <c r="K31" s="4"/>
      <c r="L31" s="4"/>
      <c r="M31" s="4"/>
      <c r="N31" s="4"/>
      <c r="O31" s="4"/>
      <c r="P31" s="4"/>
      <c r="Q31" s="4"/>
      <c r="R31" s="4"/>
      <c r="S31" s="4"/>
      <c r="T31" s="4"/>
      <c r="U31" s="4"/>
    </row>
    <row r="32" spans="1:21" ht="15">
      <c r="A32" s="950" t="s">
        <v>3300</v>
      </c>
      <c r="B32" s="812" t="str">
        <f>'EAA Siteminder'!B18</f>
        <v>HC_wau_primary</v>
      </c>
      <c r="C32" s="4"/>
      <c r="D32" s="4"/>
      <c r="E32" s="4"/>
      <c r="F32" s="4"/>
      <c r="G32" s="4"/>
      <c r="H32" s="4"/>
      <c r="I32" s="4"/>
      <c r="J32" s="4"/>
      <c r="K32" s="4"/>
      <c r="L32" s="4"/>
      <c r="M32" s="4"/>
      <c r="N32" s="4"/>
      <c r="O32" s="4"/>
      <c r="P32" s="4"/>
      <c r="Q32" s="4"/>
      <c r="R32" s="4"/>
      <c r="S32" s="4"/>
      <c r="T32" s="4"/>
      <c r="U32" s="4"/>
    </row>
    <row r="33" spans="1:21" ht="15">
      <c r="A33" s="844"/>
      <c r="B33" s="4"/>
      <c r="C33" s="4"/>
      <c r="D33" s="4"/>
      <c r="E33" s="4"/>
      <c r="F33" s="4"/>
      <c r="G33" s="4"/>
      <c r="H33" s="4"/>
      <c r="I33" s="4"/>
      <c r="J33" s="4"/>
      <c r="K33" s="4"/>
      <c r="L33" s="4"/>
      <c r="M33" s="4"/>
      <c r="N33" s="4"/>
      <c r="O33" s="4"/>
      <c r="P33" s="4"/>
      <c r="Q33" s="4"/>
      <c r="R33" s="4"/>
      <c r="S33" s="4"/>
      <c r="T33" s="4"/>
      <c r="U33" s="4"/>
    </row>
    <row r="34" spans="1:21" ht="15">
      <c r="A34" s="844"/>
      <c r="B34" s="4"/>
      <c r="C34" s="4"/>
      <c r="D34" s="4"/>
      <c r="E34" s="4"/>
      <c r="F34" s="4"/>
      <c r="G34" s="4"/>
      <c r="H34" s="4"/>
      <c r="I34" s="4"/>
      <c r="J34" s="4"/>
      <c r="K34" s="4"/>
      <c r="L34" s="4"/>
      <c r="M34" s="4"/>
      <c r="N34" s="4"/>
      <c r="O34" s="4"/>
      <c r="P34" s="4"/>
      <c r="Q34" s="4"/>
      <c r="R34" s="4"/>
      <c r="S34" s="4"/>
      <c r="T34" s="4"/>
      <c r="U34" s="4"/>
    </row>
    <row r="35" spans="1:21" ht="15">
      <c r="A35" s="844"/>
      <c r="B35" s="4"/>
      <c r="C35" s="4"/>
      <c r="D35" s="4"/>
      <c r="E35" s="4"/>
      <c r="F35" s="4"/>
      <c r="G35" s="4"/>
      <c r="H35" s="4"/>
      <c r="I35" s="4"/>
      <c r="J35" s="4"/>
      <c r="K35" s="4"/>
      <c r="L35" s="4"/>
      <c r="M35" s="4"/>
      <c r="N35" s="4"/>
      <c r="O35" s="4"/>
      <c r="P35" s="4"/>
      <c r="Q35" s="4"/>
      <c r="R35" s="4"/>
      <c r="S35" s="4"/>
      <c r="T35" s="4"/>
      <c r="U35" s="4"/>
    </row>
    <row r="36" spans="1:21" ht="15">
      <c r="A36" s="844"/>
      <c r="B36" s="4"/>
      <c r="C36" s="4"/>
      <c r="D36" s="4"/>
      <c r="E36" s="4"/>
      <c r="F36" s="4"/>
      <c r="G36" s="4"/>
      <c r="H36" s="4"/>
      <c r="I36" s="4"/>
      <c r="J36" s="4"/>
      <c r="K36" s="4"/>
      <c r="L36" s="4"/>
      <c r="M36" s="4"/>
      <c r="N36" s="4"/>
      <c r="O36" s="4"/>
      <c r="P36" s="4"/>
      <c r="Q36" s="4"/>
      <c r="R36" s="4"/>
      <c r="S36" s="4"/>
      <c r="T36" s="4"/>
      <c r="U36" s="4"/>
    </row>
    <row r="37" spans="1:21" ht="15">
      <c r="A37" s="844"/>
      <c r="B37" s="4"/>
      <c r="C37" s="4"/>
      <c r="D37" s="4"/>
      <c r="E37" s="4"/>
      <c r="F37" s="4"/>
      <c r="G37" s="4"/>
      <c r="H37" s="4"/>
      <c r="I37" s="4"/>
      <c r="J37" s="4"/>
      <c r="K37" s="4"/>
      <c r="L37" s="4"/>
      <c r="M37" s="4"/>
      <c r="N37" s="4"/>
      <c r="O37" s="4"/>
      <c r="P37" s="4"/>
      <c r="Q37" s="4"/>
      <c r="R37" s="4"/>
      <c r="S37" s="4"/>
      <c r="T37" s="4"/>
      <c r="U37" s="4"/>
    </row>
    <row r="38" spans="1:21" ht="15">
      <c r="A38" s="844"/>
      <c r="B38" s="4"/>
      <c r="C38" s="4"/>
      <c r="D38" s="4"/>
      <c r="E38" s="4"/>
      <c r="F38" s="4"/>
      <c r="G38" s="4"/>
      <c r="H38" s="4"/>
      <c r="I38" s="4"/>
      <c r="J38" s="4"/>
      <c r="K38" s="4"/>
      <c r="L38" s="4"/>
      <c r="M38" s="4"/>
      <c r="N38" s="4"/>
      <c r="O38" s="4"/>
      <c r="P38" s="4"/>
      <c r="Q38" s="4"/>
      <c r="R38" s="4"/>
      <c r="S38" s="4"/>
      <c r="T38" s="4"/>
      <c r="U38" s="4"/>
    </row>
    <row r="39" spans="1:21" ht="15">
      <c r="A39" s="844"/>
      <c r="B39" s="4"/>
      <c r="C39" s="4"/>
      <c r="D39" s="4"/>
      <c r="E39" s="4"/>
      <c r="F39" s="4"/>
      <c r="G39" s="4"/>
      <c r="H39" s="4"/>
      <c r="I39" s="4"/>
      <c r="J39" s="4"/>
      <c r="K39" s="4"/>
      <c r="L39" s="4"/>
      <c r="M39" s="4"/>
      <c r="N39" s="4"/>
      <c r="O39" s="4"/>
      <c r="P39" s="4"/>
      <c r="Q39" s="4"/>
      <c r="R39" s="4"/>
      <c r="S39" s="4"/>
      <c r="T39" s="4"/>
      <c r="U39" s="4"/>
    </row>
    <row r="40" spans="1:21" ht="15">
      <c r="A40" s="844"/>
      <c r="B40" s="4"/>
      <c r="C40" s="4"/>
      <c r="D40" s="4"/>
      <c r="E40" s="4"/>
      <c r="F40" s="4"/>
      <c r="G40" s="4"/>
      <c r="H40" s="4"/>
      <c r="I40" s="4"/>
      <c r="J40" s="4"/>
      <c r="K40" s="4"/>
      <c r="L40" s="4"/>
      <c r="M40" s="4"/>
      <c r="N40" s="4"/>
      <c r="O40" s="4"/>
      <c r="P40" s="4"/>
      <c r="Q40" s="4"/>
      <c r="R40" s="4"/>
      <c r="S40" s="4"/>
      <c r="T40" s="4"/>
      <c r="U40" s="4"/>
    </row>
    <row r="41" spans="1:21" ht="15">
      <c r="A41" s="844"/>
      <c r="B41" s="4"/>
      <c r="C41" s="4"/>
      <c r="D41" s="4"/>
      <c r="E41" s="4"/>
      <c r="F41" s="4"/>
      <c r="G41" s="4"/>
      <c r="H41" s="4"/>
      <c r="I41" s="4"/>
      <c r="J41" s="4"/>
      <c r="K41" s="4"/>
      <c r="L41" s="4"/>
      <c r="M41" s="4"/>
      <c r="N41" s="4"/>
      <c r="O41" s="4"/>
      <c r="P41" s="4"/>
      <c r="Q41" s="4"/>
      <c r="R41" s="4"/>
      <c r="S41" s="4"/>
      <c r="T41" s="4"/>
      <c r="U41" s="4"/>
    </row>
    <row r="42" spans="1:21" ht="15">
      <c r="A42" s="844"/>
      <c r="B42" s="4"/>
      <c r="C42" s="4"/>
      <c r="D42" s="4"/>
      <c r="E42" s="4"/>
      <c r="F42" s="4"/>
      <c r="G42" s="4"/>
      <c r="H42" s="4"/>
      <c r="I42" s="4"/>
      <c r="J42" s="4"/>
      <c r="K42" s="4"/>
      <c r="L42" s="4"/>
      <c r="M42" s="4"/>
      <c r="N42" s="4"/>
      <c r="O42" s="4"/>
      <c r="P42" s="4"/>
      <c r="Q42" s="4"/>
      <c r="R42" s="4"/>
      <c r="S42" s="4"/>
      <c r="T42" s="4"/>
      <c r="U42" s="4"/>
    </row>
    <row r="43" spans="1:21" ht="15">
      <c r="A43" s="844"/>
      <c r="B43" s="4"/>
      <c r="C43" s="4"/>
      <c r="D43" s="4"/>
      <c r="E43" s="4"/>
      <c r="F43" s="4"/>
      <c r="G43" s="4"/>
      <c r="H43" s="4"/>
      <c r="I43" s="4"/>
      <c r="J43" s="4"/>
      <c r="K43" s="4"/>
      <c r="L43" s="4"/>
      <c r="M43" s="4"/>
      <c r="N43" s="4"/>
      <c r="O43" s="4"/>
      <c r="P43" s="4"/>
      <c r="Q43" s="4"/>
      <c r="R43" s="4"/>
      <c r="S43" s="4"/>
      <c r="T43" s="4"/>
      <c r="U43" s="4"/>
    </row>
    <row r="44" spans="1:21" ht="15">
      <c r="A44" s="844"/>
      <c r="B44" s="4"/>
      <c r="C44" s="4"/>
      <c r="D44" s="4"/>
      <c r="E44" s="4"/>
      <c r="F44" s="4"/>
      <c r="G44" s="4"/>
      <c r="H44" s="4"/>
      <c r="I44" s="4"/>
      <c r="J44" s="4"/>
      <c r="K44" s="4"/>
      <c r="L44" s="4"/>
      <c r="M44" s="4"/>
      <c r="N44" s="4"/>
      <c r="O44" s="4"/>
      <c r="P44" s="4"/>
      <c r="Q44" s="4"/>
      <c r="R44" s="4"/>
      <c r="S44" s="4"/>
      <c r="T44" s="4"/>
      <c r="U44" s="4"/>
    </row>
    <row r="45" spans="1:21" ht="15">
      <c r="A45" s="844"/>
      <c r="B45" s="4"/>
      <c r="C45" s="4"/>
      <c r="D45" s="4"/>
      <c r="E45" s="4"/>
      <c r="F45" s="4"/>
      <c r="G45" s="4"/>
      <c r="H45" s="4"/>
      <c r="I45" s="4"/>
      <c r="J45" s="4"/>
      <c r="K45" s="4"/>
      <c r="L45" s="4"/>
      <c r="M45" s="4"/>
      <c r="N45" s="4"/>
      <c r="O45" s="4"/>
      <c r="P45" s="4"/>
      <c r="Q45" s="4"/>
      <c r="R45" s="4"/>
      <c r="S45" s="4"/>
      <c r="T45" s="4"/>
      <c r="U45" s="4"/>
    </row>
    <row r="46" spans="1:21" ht="15">
      <c r="A46" s="844"/>
      <c r="B46" s="4"/>
      <c r="C46" s="4"/>
      <c r="D46" s="4"/>
      <c r="E46" s="4"/>
      <c r="F46" s="4"/>
      <c r="G46" s="4"/>
      <c r="H46" s="4"/>
      <c r="I46" s="4"/>
      <c r="J46" s="4"/>
      <c r="K46" s="4"/>
      <c r="L46" s="4"/>
      <c r="M46" s="4"/>
      <c r="N46" s="4"/>
      <c r="O46" s="4"/>
      <c r="P46" s="4"/>
      <c r="Q46" s="4"/>
      <c r="R46" s="4"/>
      <c r="S46" s="4"/>
      <c r="T46" s="4"/>
      <c r="U46" s="4"/>
    </row>
    <row r="47" spans="1:21" ht="15">
      <c r="A47" s="844"/>
      <c r="B47" s="4"/>
      <c r="C47" s="4"/>
      <c r="D47" s="4"/>
      <c r="E47" s="4"/>
      <c r="F47" s="4"/>
      <c r="G47" s="4"/>
      <c r="H47" s="4"/>
      <c r="I47" s="4"/>
      <c r="J47" s="4"/>
      <c r="K47" s="4"/>
      <c r="L47" s="4"/>
      <c r="M47" s="4"/>
      <c r="N47" s="4"/>
      <c r="O47" s="4"/>
      <c r="P47" s="4"/>
      <c r="Q47" s="4"/>
      <c r="R47" s="4"/>
      <c r="S47" s="4"/>
      <c r="T47" s="4"/>
      <c r="U47" s="4"/>
    </row>
  </sheetData>
  <mergeCells count="6">
    <mergeCell ref="A28:B28"/>
    <mergeCell ref="A6:D6"/>
    <mergeCell ref="C1:D1"/>
    <mergeCell ref="B3:D3"/>
    <mergeCell ref="B4:D4"/>
    <mergeCell ref="B5:D5"/>
  </mergeCells>
  <conditionalFormatting sqref="B1">
    <cfRule type="cellIs" dxfId="112" priority="19" stopIfTrue="1" operator="equal">
      <formula>"Undetermined"</formula>
    </cfRule>
    <cfRule type="cellIs" dxfId="111" priority="20" stopIfTrue="1" operator="equal">
      <formula>"REQUIRED"</formula>
    </cfRule>
  </conditionalFormatting>
  <conditionalFormatting sqref="B21:U26">
    <cfRule type="expression" dxfId="110" priority="13">
      <formula>B$9&gt;2</formula>
    </cfRule>
  </conditionalFormatting>
  <conditionalFormatting sqref="A29:B32">
    <cfRule type="expression" dxfId="109" priority="4">
      <formula>Siteminder&lt;&gt;"Yes"</formula>
    </cfRule>
  </conditionalFormatting>
  <conditionalFormatting sqref="B21:U22">
    <cfRule type="expression" dxfId="108" priority="2">
      <formula>B$9=2</formula>
    </cfRule>
  </conditionalFormatting>
  <conditionalFormatting sqref="B27:U27">
    <cfRule type="notContainsBlanks" dxfId="107" priority="1">
      <formula>LEN(TRIM(B27))&gt;0</formula>
    </cfRule>
  </conditionalFormatting>
  <dataValidations count="2">
    <dataValidation type="list" allowBlank="1" showInputMessage="1" showErrorMessage="1" sqref="B14:U14" xr:uid="{00000000-0002-0000-1400-000000000000}">
      <formula1>list_appenvs</formula1>
    </dataValidation>
    <dataValidation type="list" allowBlank="1" showInputMessage="1" showErrorMessage="1" sqref="B8:U8" xr:uid="{00000000-0002-0000-1400-000001000000}">
      <formula1>"IHS 8.5, IHS 9.0, IHS 9.0.5, Proxy, HTC Proxy, N/A"</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304188" r:id="rId4">
          <objectPr defaultSize="0" r:id="rId5">
            <anchor moveWithCells="1">
              <from>
                <xdr:col>106</xdr:col>
                <xdr:colOff>38100</xdr:colOff>
                <xdr:row>1</xdr:row>
                <xdr:rowOff>38100</xdr:rowOff>
              </from>
              <to>
                <xdr:col>123</xdr:col>
                <xdr:colOff>228600</xdr:colOff>
                <xdr:row>20</xdr:row>
                <xdr:rowOff>123825</xdr:rowOff>
              </to>
            </anchor>
          </objectPr>
        </oleObject>
      </mc:Choice>
      <mc:Fallback>
        <oleObject progId="Word.Document.12" shapeId="304188" r:id="rId4"/>
      </mc:Fallback>
    </mc:AlternateContent>
  </oleObjec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2000000}">
          <x14:formula1>
            <xm:f>'BOM FUNCTIONS'!$G$25:$G$26</xm:f>
          </x14:formula1>
          <xm:sqref>B17:U17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5">
    <tabColor theme="3" tint="0.79998168889431442"/>
  </sheetPr>
  <dimension ref="A1:U56"/>
  <sheetViews>
    <sheetView showGridLines="0" zoomScale="80" zoomScaleNormal="80" workbookViewId="0"/>
  </sheetViews>
  <sheetFormatPr defaultRowHeight="12.75"/>
  <cols>
    <col min="1" max="1" width="35.140625" customWidth="1"/>
    <col min="2" max="2" width="46.5703125" customWidth="1"/>
    <col min="3" max="3" width="45.28515625" bestFit="1" customWidth="1"/>
    <col min="4" max="9" width="49.140625" bestFit="1" customWidth="1"/>
    <col min="10" max="10" width="8.42578125" bestFit="1" customWidth="1"/>
    <col min="11" max="20" width="7.85546875" bestFit="1" customWidth="1"/>
    <col min="21" max="21" width="16.5703125" customWidth="1"/>
  </cols>
  <sheetData>
    <row r="1" spans="1:21" ht="30.75" customHeight="1" thickBot="1">
      <c r="A1" s="150"/>
      <c r="B1" s="148" t="str">
        <f>IF('Table of Contents'!C47="YES","REQUIRED",IF('Table of Contents'!C47="NO","This Tab is Not Required","Undetermined"))</f>
        <v>This Tab is Not Required</v>
      </c>
      <c r="C1" s="3882" t="str">
        <f>'Project Details'!$C$8 &amp;" - Reverse Proxy"</f>
        <v>Linux Infrastructure Management - Reverse Proxy</v>
      </c>
      <c r="D1" s="3883"/>
      <c r="E1" s="3875" t="s">
        <v>2493</v>
      </c>
      <c r="F1" s="3876"/>
      <c r="G1" s="401"/>
      <c r="H1" s="366"/>
      <c r="I1" s="366"/>
      <c r="J1" s="366"/>
      <c r="K1" s="366"/>
      <c r="L1" s="366"/>
      <c r="M1" s="366"/>
      <c r="N1" s="366"/>
      <c r="O1" s="366"/>
      <c r="P1" s="366"/>
      <c r="Q1" s="366"/>
      <c r="R1" s="366"/>
      <c r="S1" s="366"/>
      <c r="T1" s="366"/>
      <c r="U1" s="362"/>
    </row>
    <row r="2" spans="1:21" ht="25.5" customHeight="1">
      <c r="A2" s="82" t="s">
        <v>769</v>
      </c>
      <c r="B2" s="359" t="str">
        <f>IF('Table of Contents'!C47="YES","YES","NO")</f>
        <v>NO</v>
      </c>
      <c r="C2" s="79"/>
      <c r="D2" s="80"/>
      <c r="E2" s="3877"/>
      <c r="F2" s="3878"/>
      <c r="G2" s="402"/>
      <c r="H2" s="126"/>
      <c r="I2" s="126"/>
      <c r="J2" s="126"/>
      <c r="K2" s="126"/>
      <c r="L2" s="126"/>
      <c r="M2" s="126"/>
      <c r="N2" s="126"/>
      <c r="O2" s="126"/>
      <c r="P2" s="126"/>
      <c r="Q2" s="126"/>
      <c r="R2" s="126"/>
      <c r="S2" s="126"/>
      <c r="T2" s="126"/>
      <c r="U2" s="360"/>
    </row>
    <row r="3" spans="1:21" s="433" customFormat="1" ht="13.5" customHeight="1">
      <c r="A3" s="471" t="s">
        <v>1713</v>
      </c>
      <c r="B3" s="3873" t="str">
        <f>IF($B$2="Yes",
        IF(lbom_description &lt;&gt;"",lbom_description,""),
       "")</f>
        <v/>
      </c>
      <c r="C3" s="3873"/>
      <c r="D3" s="3884"/>
      <c r="E3" s="3877"/>
      <c r="F3" s="3878"/>
      <c r="G3" s="402"/>
      <c r="H3" s="126"/>
      <c r="I3" s="126"/>
      <c r="J3" s="126"/>
      <c r="K3" s="126"/>
      <c r="L3" s="126"/>
      <c r="M3" s="126"/>
      <c r="N3" s="126"/>
      <c r="O3" s="126"/>
      <c r="P3" s="126"/>
      <c r="Q3" s="126"/>
      <c r="R3" s="126"/>
      <c r="S3" s="126"/>
      <c r="T3" s="126"/>
      <c r="U3" s="360"/>
    </row>
    <row r="4" spans="1:21" s="433" customFormat="1" ht="13.5" customHeight="1">
      <c r="A4" s="471" t="s">
        <v>1714</v>
      </c>
      <c r="B4" s="3873" t="str">
        <f>IF($B$2="Yes",
        IF(app_technical_contact &lt;&gt;"",app_technical_contact,""),
    "")</f>
        <v/>
      </c>
      <c r="C4" s="3873"/>
      <c r="D4" s="3884"/>
      <c r="E4" s="3877"/>
      <c r="F4" s="3878"/>
      <c r="G4" s="402"/>
      <c r="H4" s="126"/>
      <c r="I4" s="126"/>
      <c r="J4" s="126"/>
      <c r="K4" s="126"/>
      <c r="L4" s="126"/>
      <c r="M4" s="126"/>
      <c r="N4" s="126"/>
      <c r="O4" s="126"/>
      <c r="P4" s="126"/>
      <c r="Q4" s="126"/>
      <c r="R4" s="126"/>
      <c r="S4" s="126"/>
      <c r="T4" s="126"/>
      <c r="U4" s="360"/>
    </row>
    <row r="5" spans="1:21" s="433" customFormat="1" ht="13.5" customHeight="1">
      <c r="A5" s="471" t="s">
        <v>1715</v>
      </c>
      <c r="B5" s="3873" t="str">
        <f>IF($B$2="Yes",
        IF(app_support_team&lt;&gt;"",app_support_team,""),
     "")</f>
        <v/>
      </c>
      <c r="C5" s="3873"/>
      <c r="D5" s="3884"/>
      <c r="E5" s="3877"/>
      <c r="F5" s="3878"/>
      <c r="G5" s="402"/>
      <c r="H5" s="126"/>
      <c r="I5" s="126"/>
      <c r="J5" s="126"/>
      <c r="K5" s="126"/>
      <c r="L5" s="126"/>
      <c r="M5" s="126"/>
      <c r="N5" s="126"/>
      <c r="O5" s="126"/>
      <c r="P5" s="126"/>
      <c r="Q5" s="126"/>
      <c r="R5" s="126"/>
      <c r="S5" s="126"/>
      <c r="T5" s="126"/>
      <c r="U5" s="360"/>
    </row>
    <row r="6" spans="1:21" s="433" customFormat="1" ht="13.5" customHeight="1">
      <c r="A6" s="471" t="s">
        <v>1716</v>
      </c>
      <c r="B6" s="3873" t="str">
        <f>IF($B$2="Yes",
        IF(app_support_team_email&lt;&gt;"",app_support_team_email,""),
    "")</f>
        <v/>
      </c>
      <c r="C6" s="3873"/>
      <c r="D6" s="3884"/>
      <c r="E6" s="3877"/>
      <c r="F6" s="3878"/>
      <c r="G6" s="402"/>
      <c r="H6" s="126"/>
      <c r="I6" s="126"/>
      <c r="J6" s="126"/>
      <c r="K6" s="126"/>
      <c r="L6" s="126"/>
      <c r="M6" s="126"/>
      <c r="N6" s="126"/>
      <c r="O6" s="126"/>
      <c r="P6" s="126"/>
      <c r="Q6" s="126"/>
      <c r="R6" s="126"/>
      <c r="S6" s="126"/>
      <c r="T6" s="126"/>
      <c r="U6" s="360"/>
    </row>
    <row r="7" spans="1:21" s="433" customFormat="1" ht="4.5" customHeight="1" thickBot="1">
      <c r="A7" s="3879"/>
      <c r="B7" s="3880"/>
      <c r="C7" s="3880"/>
      <c r="D7" s="3881"/>
      <c r="E7" s="3877"/>
      <c r="F7" s="3878"/>
      <c r="G7" s="402"/>
      <c r="H7" s="126"/>
      <c r="I7" s="126"/>
      <c r="J7" s="126"/>
      <c r="K7" s="126"/>
      <c r="L7" s="126"/>
      <c r="M7" s="126"/>
      <c r="N7" s="126"/>
      <c r="O7" s="126"/>
      <c r="P7" s="126"/>
      <c r="Q7" s="126"/>
      <c r="R7" s="126"/>
      <c r="S7" s="126"/>
      <c r="T7" s="126"/>
      <c r="U7" s="360"/>
    </row>
    <row r="8" spans="1:21" ht="5.25" customHeight="1" thickBot="1">
      <c r="A8" s="151"/>
      <c r="B8" s="152"/>
      <c r="C8" s="153"/>
      <c r="D8" s="154"/>
      <c r="E8" s="3877"/>
      <c r="F8" s="3878"/>
      <c r="G8" s="402"/>
      <c r="H8" s="126"/>
      <c r="I8" s="126"/>
      <c r="J8" s="126"/>
      <c r="K8" s="126"/>
      <c r="L8" s="126"/>
      <c r="M8" s="126"/>
      <c r="N8" s="126"/>
      <c r="O8" s="126"/>
      <c r="P8" s="126"/>
      <c r="Q8" s="126"/>
      <c r="R8" s="126"/>
      <c r="S8" s="126"/>
      <c r="T8" s="126"/>
      <c r="U8" s="360"/>
    </row>
    <row r="9" spans="1:21" ht="13.5" customHeight="1">
      <c r="A9" s="375" t="s">
        <v>919</v>
      </c>
      <c r="B9" s="63" t="s">
        <v>920</v>
      </c>
      <c r="C9" s="126"/>
      <c r="D9" s="126"/>
      <c r="E9" s="126"/>
      <c r="F9" s="126"/>
      <c r="G9" s="402"/>
      <c r="H9" s="126"/>
      <c r="I9" s="126"/>
      <c r="J9" s="126"/>
      <c r="K9" s="126"/>
      <c r="L9" s="126"/>
      <c r="M9" s="126"/>
      <c r="N9" s="126"/>
      <c r="O9" s="126"/>
      <c r="P9" s="126"/>
      <c r="Q9" s="126"/>
      <c r="R9" s="126"/>
      <c r="S9" s="126"/>
      <c r="T9" s="126"/>
      <c r="U9" s="360"/>
    </row>
    <row r="10" spans="1:21" s="684" customFormat="1" ht="13.5" customHeight="1">
      <c r="A10" s="369" t="s">
        <v>2565</v>
      </c>
      <c r="B10" s="353"/>
      <c r="C10" s="117"/>
      <c r="D10" s="117"/>
      <c r="E10" s="117"/>
      <c r="F10" s="893"/>
      <c r="G10" s="106"/>
      <c r="H10" s="117"/>
      <c r="I10" s="117"/>
      <c r="J10" s="117"/>
      <c r="K10" s="117"/>
      <c r="L10" s="117"/>
      <c r="M10" s="117"/>
      <c r="N10" s="117"/>
      <c r="O10" s="117"/>
      <c r="P10" s="117"/>
      <c r="Q10" s="117"/>
      <c r="R10" s="117"/>
      <c r="S10" s="117"/>
      <c r="T10" s="117"/>
      <c r="U10" s="901"/>
    </row>
    <row r="11" spans="1:21" ht="15">
      <c r="A11" s="371"/>
      <c r="B11" s="78" t="s">
        <v>940</v>
      </c>
      <c r="C11" s="78" t="s">
        <v>921</v>
      </c>
      <c r="D11" s="78" t="s">
        <v>922</v>
      </c>
      <c r="E11" s="81" t="s">
        <v>923</v>
      </c>
      <c r="F11" s="894" t="s">
        <v>924</v>
      </c>
      <c r="G11" s="902" t="s">
        <v>925</v>
      </c>
      <c r="H11" s="149" t="s">
        <v>926</v>
      </c>
      <c r="I11" s="149" t="s">
        <v>927</v>
      </c>
      <c r="J11" s="149" t="s">
        <v>928</v>
      </c>
      <c r="K11" s="149" t="s">
        <v>929</v>
      </c>
      <c r="L11" s="149" t="s">
        <v>930</v>
      </c>
      <c r="M11" s="149" t="s">
        <v>931</v>
      </c>
      <c r="N11" s="149" t="s">
        <v>932</v>
      </c>
      <c r="O11" s="149" t="s">
        <v>933</v>
      </c>
      <c r="P11" s="149" t="s">
        <v>934</v>
      </c>
      <c r="Q11" s="149" t="s">
        <v>935</v>
      </c>
      <c r="R11" s="149" t="s">
        <v>936</v>
      </c>
      <c r="S11" s="149" t="s">
        <v>937</v>
      </c>
      <c r="T11" s="149" t="s">
        <v>938</v>
      </c>
      <c r="U11" s="364" t="s">
        <v>939</v>
      </c>
    </row>
    <row r="12" spans="1:21" ht="15">
      <c r="A12" s="369" t="s">
        <v>759</v>
      </c>
      <c r="B12" s="403" t="str">
        <f t="shared" ref="B12:U12" si="0">IF(B$10&lt;&gt;"",app_shortname,"")</f>
        <v/>
      </c>
      <c r="C12" s="403" t="str">
        <f t="shared" si="0"/>
        <v/>
      </c>
      <c r="D12" s="403" t="str">
        <f t="shared" si="0"/>
        <v/>
      </c>
      <c r="E12" s="403" t="str">
        <f t="shared" si="0"/>
        <v/>
      </c>
      <c r="F12" s="403" t="str">
        <f t="shared" si="0"/>
        <v/>
      </c>
      <c r="G12" s="403" t="str">
        <f t="shared" si="0"/>
        <v/>
      </c>
      <c r="H12" s="403" t="str">
        <f t="shared" si="0"/>
        <v/>
      </c>
      <c r="I12" s="403" t="str">
        <f t="shared" si="0"/>
        <v/>
      </c>
      <c r="J12" s="403" t="str">
        <f t="shared" si="0"/>
        <v/>
      </c>
      <c r="K12" s="403" t="str">
        <f t="shared" si="0"/>
        <v/>
      </c>
      <c r="L12" s="403" t="str">
        <f t="shared" si="0"/>
        <v/>
      </c>
      <c r="M12" s="403" t="str">
        <f t="shared" si="0"/>
        <v/>
      </c>
      <c r="N12" s="403" t="str">
        <f t="shared" si="0"/>
        <v/>
      </c>
      <c r="O12" s="403" t="str">
        <f t="shared" si="0"/>
        <v/>
      </c>
      <c r="P12" s="403" t="str">
        <f t="shared" si="0"/>
        <v/>
      </c>
      <c r="Q12" s="403" t="str">
        <f t="shared" si="0"/>
        <v/>
      </c>
      <c r="R12" s="403" t="str">
        <f t="shared" si="0"/>
        <v/>
      </c>
      <c r="S12" s="403" t="str">
        <f t="shared" si="0"/>
        <v/>
      </c>
      <c r="T12" s="403" t="str">
        <f t="shared" si="0"/>
        <v/>
      </c>
      <c r="U12" s="403" t="str">
        <f t="shared" si="0"/>
        <v/>
      </c>
    </row>
    <row r="13" spans="1:21" ht="15">
      <c r="A13" s="369" t="s">
        <v>760</v>
      </c>
      <c r="B13" s="404"/>
      <c r="C13" s="404"/>
      <c r="D13" s="404"/>
      <c r="E13" s="358"/>
      <c r="F13" s="358"/>
      <c r="G13" s="903"/>
      <c r="H13" s="358"/>
      <c r="I13" s="358"/>
      <c r="J13" s="358"/>
      <c r="K13" s="358"/>
      <c r="L13" s="358"/>
      <c r="M13" s="358"/>
      <c r="N13" s="358"/>
      <c r="O13" s="358"/>
      <c r="P13" s="358"/>
      <c r="Q13" s="358"/>
      <c r="R13" s="358"/>
      <c r="S13" s="358"/>
      <c r="T13" s="358"/>
      <c r="U13" s="365"/>
    </row>
    <row r="14" spans="1:21" ht="15">
      <c r="A14" s="371" t="s">
        <v>705</v>
      </c>
      <c r="B14" s="378"/>
      <c r="C14" s="378"/>
      <c r="D14" s="378"/>
      <c r="E14" s="378"/>
      <c r="F14" s="895"/>
      <c r="G14" s="904"/>
      <c r="H14" s="67"/>
      <c r="I14" s="18"/>
      <c r="J14" s="18"/>
      <c r="K14" s="18"/>
      <c r="L14" s="18"/>
      <c r="M14" s="18"/>
      <c r="N14" s="18"/>
      <c r="O14" s="18"/>
      <c r="P14" s="18"/>
      <c r="Q14" s="18"/>
      <c r="R14" s="18"/>
      <c r="S14" s="18"/>
      <c r="T14" s="18"/>
      <c r="U14" s="420"/>
    </row>
    <row r="15" spans="1:21" ht="15">
      <c r="A15" s="370" t="s">
        <v>1124</v>
      </c>
      <c r="B15" s="377"/>
      <c r="C15" s="18"/>
      <c r="D15" s="18"/>
      <c r="E15" s="18"/>
      <c r="F15" s="896"/>
      <c r="G15" s="312"/>
      <c r="H15" s="18"/>
      <c r="I15" s="18"/>
      <c r="J15" s="18"/>
      <c r="K15" s="18"/>
      <c r="L15" s="18"/>
      <c r="M15" s="18"/>
      <c r="N15" s="18"/>
      <c r="O15" s="18"/>
      <c r="P15" s="18"/>
      <c r="Q15" s="18"/>
      <c r="R15" s="18"/>
      <c r="S15" s="18"/>
      <c r="T15" s="18"/>
      <c r="U15" s="420"/>
    </row>
    <row r="16" spans="1:21" ht="15">
      <c r="A16" s="370" t="s">
        <v>1467</v>
      </c>
      <c r="B16" s="69" t="str">
        <f>IFERROR(VLOOKUP(B$15,'BOM FUNCTIONS'!$BL$7:$BN$46,2,FALSE),"")</f>
        <v/>
      </c>
      <c r="C16" s="69" t="str">
        <f>IFERROR(VLOOKUP(C$15,'BOM FUNCTIONS'!$BL$7:$BN$46,2,FALSE),"")</f>
        <v/>
      </c>
      <c r="D16" s="69" t="str">
        <f>IFERROR(VLOOKUP(D$15,'BOM FUNCTIONS'!$BL$7:$BN$46,2,FALSE),"")</f>
        <v/>
      </c>
      <c r="E16" s="69" t="str">
        <f>IFERROR(VLOOKUP(E$15,'BOM FUNCTIONS'!$BL$7:$BN$46,2,FALSE),"")</f>
        <v/>
      </c>
      <c r="F16" s="692" t="str">
        <f>IFERROR(VLOOKUP(F$15,'BOM FUNCTIONS'!$BL$7:$BN$46,2,FALSE),"")</f>
        <v/>
      </c>
      <c r="G16" s="301" t="str">
        <f>IFERROR(VLOOKUP(G$15,'BOM FUNCTIONS'!$BL$7:$BN$46,2,FALSE),"")</f>
        <v/>
      </c>
      <c r="H16" s="69" t="str">
        <f>IFERROR(VLOOKUP(H$15,'BOM FUNCTIONS'!$BL$7:$BN$46,2,FALSE),"")</f>
        <v/>
      </c>
      <c r="I16" s="69" t="str">
        <f>IFERROR(VLOOKUP(I$15,'BOM FUNCTIONS'!$BL$7:$BN$46,2,FALSE),"")</f>
        <v/>
      </c>
      <c r="J16" s="69" t="str">
        <f>IFERROR(VLOOKUP(J$15,'BOM FUNCTIONS'!$BL$7:$BN$46,2,FALSE),"")</f>
        <v/>
      </c>
      <c r="K16" s="69" t="str">
        <f>IFERROR(VLOOKUP(K$15,'BOM FUNCTIONS'!$BL$7:$BN$46,2,FALSE),"")</f>
        <v/>
      </c>
      <c r="L16" s="69" t="str">
        <f>IFERROR(VLOOKUP(L$15,'BOM FUNCTIONS'!$BL$7:$BN$46,2,FALSE),"")</f>
        <v/>
      </c>
      <c r="M16" s="69" t="str">
        <f>IFERROR(VLOOKUP(M$15,'BOM FUNCTIONS'!$BL$7:$BN$46,2,FALSE),"")</f>
        <v/>
      </c>
      <c r="N16" s="69" t="str">
        <f>IFERROR(VLOOKUP(N$15,'BOM FUNCTIONS'!$BL$7:$BN$46,2,FALSE),"")</f>
        <v/>
      </c>
      <c r="O16" s="69" t="str">
        <f>IFERROR(VLOOKUP(O$15,'BOM FUNCTIONS'!$BL$7:$BN$46,2,FALSE),"")</f>
        <v/>
      </c>
      <c r="P16" s="69" t="str">
        <f>IFERROR(VLOOKUP(P$15,'BOM FUNCTIONS'!$BL$7:$BN$46,2,FALSE),"")</f>
        <v/>
      </c>
      <c r="Q16" s="69" t="str">
        <f>IFERROR(VLOOKUP(Q$15,'BOM FUNCTIONS'!$BL$7:$BN$46,2,FALSE),"")</f>
        <v/>
      </c>
      <c r="R16" s="69" t="str">
        <f>IFERROR(VLOOKUP(R$15,'BOM FUNCTIONS'!$BL$7:$BN$46,2,FALSE),"")</f>
        <v/>
      </c>
      <c r="S16" s="69" t="str">
        <f>IFERROR(VLOOKUP(S$15,'BOM FUNCTIONS'!$BL$7:$BN$46,2,FALSE),"")</f>
        <v/>
      </c>
      <c r="T16" s="69" t="str">
        <f>IFERROR(VLOOKUP(T$15,'BOM FUNCTIONS'!$BL$7:$BN$46,2,FALSE),"")</f>
        <v/>
      </c>
      <c r="U16" s="905" t="str">
        <f>IFERROR(VLOOKUP(U$15,'BOM FUNCTIONS'!$BL$7:$BN$46,2,FALSE),"")</f>
        <v/>
      </c>
    </row>
    <row r="17" spans="1:21" ht="15">
      <c r="A17" s="370" t="s">
        <v>1468</v>
      </c>
      <c r="B17" s="69" t="str">
        <f>IF(B$15&lt;&gt;"",VLOOKUP(B$15,'Distributed Assets'!$C$7:$F$22,4,FALSE),"")</f>
        <v/>
      </c>
      <c r="C17" s="69" t="str">
        <f>IF(C$15&lt;&gt;"",VLOOKUP(C$15,'Distributed Assets'!$C$7:$F$22,4,FALSE),"")</f>
        <v/>
      </c>
      <c r="D17" s="69" t="str">
        <f>IF(D$15&lt;&gt;"",VLOOKUP(D$15,'Distributed Assets'!$C$7:$F$22,4,FALSE),"")</f>
        <v/>
      </c>
      <c r="E17" s="69" t="str">
        <f>IF(E$15&lt;&gt;"",VLOOKUP(E$15,'Distributed Assets'!$C$7:$F$22,4,FALSE),"")</f>
        <v/>
      </c>
      <c r="F17" s="692" t="str">
        <f>IF(F$15&lt;&gt;"",VLOOKUP(F$15,'Distributed Assets'!$C$7:$F$22,4,FALSE),"")</f>
        <v/>
      </c>
      <c r="G17" s="301" t="str">
        <f>IF(G$15&lt;&gt;"",VLOOKUP(G$15,'Distributed Assets'!$C$7:$F$22,4,FALSE),"")</f>
        <v/>
      </c>
      <c r="H17" s="69" t="str">
        <f>IF(H$15&lt;&gt;"",VLOOKUP(H$15,'Distributed Assets'!$C$7:$F$22,4,FALSE),"")</f>
        <v/>
      </c>
      <c r="I17" s="69" t="str">
        <f>IF(I$15&lt;&gt;"",VLOOKUP(I$15,'Distributed Assets'!$C$7:$F$22,4,FALSE),"")</f>
        <v/>
      </c>
      <c r="J17" s="69" t="str">
        <f>IF(J$15&lt;&gt;"",VLOOKUP(J$15,'Distributed Assets'!$C$7:$F$22,4,FALSE),"")</f>
        <v/>
      </c>
      <c r="K17" s="69" t="str">
        <f>IF(K$15&lt;&gt;"",VLOOKUP(K$15,'Distributed Assets'!$C$7:$F$22,4,FALSE),"")</f>
        <v/>
      </c>
      <c r="L17" s="69" t="str">
        <f>IF(L$15&lt;&gt;"",VLOOKUP(L$15,'Distributed Assets'!$C$7:$F$22,4,FALSE),"")</f>
        <v/>
      </c>
      <c r="M17" s="69" t="str">
        <f>IF(M$15&lt;&gt;"",VLOOKUP(M$15,'Distributed Assets'!$C$7:$F$22,4,FALSE),"")</f>
        <v/>
      </c>
      <c r="N17" s="69" t="str">
        <f>IF(N$15&lt;&gt;"",VLOOKUP(N$15,'Distributed Assets'!$C$7:$F$22,4,FALSE),"")</f>
        <v/>
      </c>
      <c r="O17" s="69" t="str">
        <f>IF(O$15&lt;&gt;"",VLOOKUP(O$15,'Distributed Assets'!$C$7:$F$22,4,FALSE),"")</f>
        <v/>
      </c>
      <c r="P17" s="69" t="str">
        <f>IF(P$15&lt;&gt;"",VLOOKUP(P$15,'Distributed Assets'!$C$7:$F$22,4,FALSE),"")</f>
        <v/>
      </c>
      <c r="Q17" s="69" t="str">
        <f>IF(Q$15&lt;&gt;"",VLOOKUP(Q$15,'Distributed Assets'!$C$7:$F$22,4,FALSE),"")</f>
        <v/>
      </c>
      <c r="R17" s="69" t="str">
        <f>IF(R$15&lt;&gt;"",VLOOKUP(R$15,'Distributed Assets'!$C$7:$F$22,4,FALSE),"")</f>
        <v/>
      </c>
      <c r="S17" s="69" t="str">
        <f>IF(S$15&lt;&gt;"",VLOOKUP(S$15,'Distributed Assets'!$C$7:$F$22,4,FALSE),"")</f>
        <v/>
      </c>
      <c r="T17" s="69" t="str">
        <f>IF(T$15&lt;&gt;"",VLOOKUP(T$15,'Distributed Assets'!$C$7:$F$22,4,FALSE),"")</f>
        <v/>
      </c>
      <c r="U17" s="905" t="str">
        <f>IF(U$15&lt;&gt;"",VLOOKUP(U$15,'Distributed Assets'!$C$7:$F$22,4,FALSE),"")</f>
        <v/>
      </c>
    </row>
    <row r="18" spans="1:21" ht="15">
      <c r="A18" s="371" t="s">
        <v>743</v>
      </c>
      <c r="B18" s="18"/>
      <c r="C18" s="18"/>
      <c r="D18" s="18"/>
      <c r="E18" s="18"/>
      <c r="F18" s="896"/>
      <c r="G18" s="312"/>
      <c r="H18" s="18"/>
      <c r="I18" s="18"/>
      <c r="J18" s="18"/>
      <c r="K18" s="18"/>
      <c r="L18" s="18"/>
      <c r="M18" s="18"/>
      <c r="N18" s="18"/>
      <c r="O18" s="18"/>
      <c r="P18" s="18"/>
      <c r="Q18" s="18"/>
      <c r="R18" s="18"/>
      <c r="S18" s="18"/>
      <c r="T18" s="18"/>
      <c r="U18" s="420"/>
    </row>
    <row r="19" spans="1:21" ht="15">
      <c r="A19" s="371" t="s">
        <v>761</v>
      </c>
      <c r="B19" s="15"/>
      <c r="C19" s="15"/>
      <c r="D19" s="15"/>
      <c r="E19" s="514"/>
      <c r="F19" s="897"/>
      <c r="G19" s="906"/>
      <c r="H19" s="15"/>
      <c r="I19" s="15"/>
      <c r="J19" s="15"/>
      <c r="K19" s="15"/>
      <c r="L19" s="15"/>
      <c r="M19" s="15"/>
      <c r="N19" s="15"/>
      <c r="O19" s="15"/>
      <c r="P19" s="15"/>
      <c r="Q19" s="15"/>
      <c r="R19" s="15"/>
      <c r="S19" s="15"/>
      <c r="T19" s="15"/>
      <c r="U19" s="515"/>
    </row>
    <row r="20" spans="1:21" s="352" customFormat="1" ht="15">
      <c r="A20" s="890" t="s">
        <v>1466</v>
      </c>
      <c r="B20" s="69" t="str">
        <f>IF(AND(B$12&lt;&gt;"",B$14&gt;"",B$15&lt;&gt;""),
       LOWER(LEFT(B$17,1)&amp;"-"&amp;B$12&amp;"-"&amp;B$16&amp;"-app"&amp;IF(B$17="Prod 2.0",".hcscint.net",IF(B$17="Test 2.0",".test.hcscint.net",".dev.hcscint.net"))),
"")</f>
        <v/>
      </c>
      <c r="C20" s="69" t="str">
        <f t="shared" ref="C20:U20" si="1">IF(AND(C$12&lt;&gt;"",C$14&gt;"",C$15&lt;&gt;""),
       LOWER(LEFT(C$17,1)&amp;"-"&amp;C$12&amp;"-"&amp;C$16&amp;"-app"&amp;IF(C$17="Prod 2.0",".hcscint.net",IF(C$17="Test 2.0",".test.hcscint.net",".dev.hcscint.net"))),
"")</f>
        <v/>
      </c>
      <c r="D20" s="69" t="str">
        <f t="shared" si="1"/>
        <v/>
      </c>
      <c r="E20" s="69" t="str">
        <f t="shared" si="1"/>
        <v/>
      </c>
      <c r="F20" s="692" t="str">
        <f t="shared" si="1"/>
        <v/>
      </c>
      <c r="G20" s="301" t="str">
        <f t="shared" si="1"/>
        <v/>
      </c>
      <c r="H20" s="69" t="str">
        <f t="shared" si="1"/>
        <v/>
      </c>
      <c r="I20" s="69" t="str">
        <f t="shared" si="1"/>
        <v/>
      </c>
      <c r="J20" s="69" t="str">
        <f t="shared" si="1"/>
        <v/>
      </c>
      <c r="K20" s="69" t="str">
        <f t="shared" si="1"/>
        <v/>
      </c>
      <c r="L20" s="69" t="str">
        <f t="shared" si="1"/>
        <v/>
      </c>
      <c r="M20" s="69" t="str">
        <f t="shared" si="1"/>
        <v/>
      </c>
      <c r="N20" s="69" t="str">
        <f t="shared" si="1"/>
        <v/>
      </c>
      <c r="O20" s="69" t="str">
        <f t="shared" si="1"/>
        <v/>
      </c>
      <c r="P20" s="69" t="str">
        <f t="shared" si="1"/>
        <v/>
      </c>
      <c r="Q20" s="69" t="str">
        <f t="shared" si="1"/>
        <v/>
      </c>
      <c r="R20" s="69" t="str">
        <f t="shared" si="1"/>
        <v/>
      </c>
      <c r="S20" s="69" t="str">
        <f t="shared" si="1"/>
        <v/>
      </c>
      <c r="T20" s="69" t="str">
        <f t="shared" si="1"/>
        <v/>
      </c>
      <c r="U20" s="905" t="str">
        <f t="shared" si="1"/>
        <v/>
      </c>
    </row>
    <row r="21" spans="1:21" ht="15">
      <c r="A21" s="370" t="s">
        <v>1464</v>
      </c>
      <c r="B21" s="430" t="str">
        <f>IF(AND(B$12&lt;&gt;"",B$14&gt;"",B$15&lt;&gt;""),
       LOWER(LEFT(B$17,1)&amp;"-"&amp;B$12&amp;"-"&amp;B$16&amp;"-web-1"&amp;IF(B$17="Prod 2.0",".hcscint.net",IF(B$17="Test 2.0",".test.hcscint.net",".dev.hcscint.net"))),
"")</f>
        <v/>
      </c>
      <c r="C21" s="430" t="str">
        <f t="shared" ref="C21:U21" si="2">IF(AND(C$12&lt;&gt;"",C$14&gt;"",C$15&lt;&gt;""),
       LOWER(LEFT(C$17,1)&amp;"-"&amp;C$12&amp;"-"&amp;C$16&amp;"-web-1"&amp;IF(C$17="Prod 2.0",".hcscint.net",IF(C$17="Test 2.0",".test.hcscint.net",".dev.hcscint.net"))),
"")</f>
        <v/>
      </c>
      <c r="D21" s="430" t="str">
        <f t="shared" si="2"/>
        <v/>
      </c>
      <c r="E21" s="430" t="str">
        <f t="shared" si="2"/>
        <v/>
      </c>
      <c r="F21" s="898" t="str">
        <f t="shared" si="2"/>
        <v/>
      </c>
      <c r="G21" s="907" t="str">
        <f t="shared" si="2"/>
        <v/>
      </c>
      <c r="H21" s="430" t="str">
        <f t="shared" si="2"/>
        <v/>
      </c>
      <c r="I21" s="430" t="str">
        <f t="shared" si="2"/>
        <v/>
      </c>
      <c r="J21" s="430" t="str">
        <f t="shared" si="2"/>
        <v/>
      </c>
      <c r="K21" s="430" t="str">
        <f t="shared" si="2"/>
        <v/>
      </c>
      <c r="L21" s="430" t="str">
        <f t="shared" si="2"/>
        <v/>
      </c>
      <c r="M21" s="430" t="str">
        <f t="shared" si="2"/>
        <v/>
      </c>
      <c r="N21" s="430" t="str">
        <f t="shared" si="2"/>
        <v/>
      </c>
      <c r="O21" s="430" t="str">
        <f t="shared" si="2"/>
        <v/>
      </c>
      <c r="P21" s="430" t="str">
        <f t="shared" si="2"/>
        <v/>
      </c>
      <c r="Q21" s="430" t="str">
        <f t="shared" si="2"/>
        <v/>
      </c>
      <c r="R21" s="430" t="str">
        <f t="shared" si="2"/>
        <v/>
      </c>
      <c r="S21" s="430" t="str">
        <f t="shared" si="2"/>
        <v/>
      </c>
      <c r="T21" s="430" t="str">
        <f t="shared" si="2"/>
        <v/>
      </c>
      <c r="U21" s="432" t="str">
        <f t="shared" si="2"/>
        <v/>
      </c>
    </row>
    <row r="22" spans="1:21" s="684" customFormat="1" ht="15">
      <c r="A22" s="892" t="s">
        <v>2608</v>
      </c>
      <c r="B22" s="69" t="str">
        <f>IF(B$17&lt;&gt;"",
        IFERROR(INDEX(DNS!$C$5:$C$54,MATCH(B$21,DNS!$F$5:$F$54,0)),""),"")</f>
        <v/>
      </c>
      <c r="C22" s="69" t="str">
        <f>IF(C$17&lt;&gt;"",
        IFERROR(INDEX(DNS!$C$5:$C$54,MATCH(C$21,DNS!$F$5:$F$54,0)),""),"")</f>
        <v/>
      </c>
      <c r="D22" s="69" t="str">
        <f>IF(D$17&lt;&gt;"",
        IFERROR(INDEX(DNS!$C$5:$C$54,MATCH(D$21,DNS!$F$5:$F$54,0)),""),"")</f>
        <v/>
      </c>
      <c r="E22" s="69" t="str">
        <f>IF(E$17&lt;&gt;"",
        IFERROR(INDEX(DNS!$C$5:$C$54,MATCH(E$21,DNS!$F$5:$F$54,0)),""),"")</f>
        <v/>
      </c>
      <c r="F22" s="69" t="str">
        <f>IF(F$17&lt;&gt;"",
        IFERROR(INDEX(DNS!$C$5:$C$54,MATCH(F$21,DNS!$F$5:$F$54,0)),""),"")</f>
        <v/>
      </c>
      <c r="G22" s="69" t="str">
        <f>IF(G$17&lt;&gt;"",
        IFERROR(INDEX(DNS!$C$5:$C$54,MATCH(G$21,DNS!$F$5:$F$54,0)),""),"")</f>
        <v/>
      </c>
      <c r="H22" s="69" t="str">
        <f>IF(H$17&lt;&gt;"",
        IFERROR(INDEX(DNS!$C$5:$C$54,MATCH(H$21,DNS!$F$5:$F$54,0)),""),"")</f>
        <v/>
      </c>
      <c r="I22" s="69" t="str">
        <f>IF(I$17&lt;&gt;"",
        IFERROR(INDEX(DNS!$C$5:$C$54,MATCH(I$21,DNS!$F$5:$F$54,0)),""),"")</f>
        <v/>
      </c>
      <c r="J22" s="69" t="str">
        <f>IF(J$17&lt;&gt;"",
        IFERROR(INDEX(DNS!$C$5:$C$54,MATCH(J$21,DNS!$F$5:$F$54,0)),""),"")</f>
        <v/>
      </c>
      <c r="K22" s="69" t="str">
        <f>IF(K$17&lt;&gt;"",
        IFERROR(INDEX(DNS!$C$5:$C$54,MATCH(K$21,DNS!$F$5:$F$54,0)),""),"")</f>
        <v/>
      </c>
      <c r="L22" s="69" t="str">
        <f>IF(L$17&lt;&gt;"",
        IFERROR(INDEX(DNS!$C$5:$C$54,MATCH(L$21,DNS!$F$5:$F$54,0)),""),"")</f>
        <v/>
      </c>
      <c r="M22" s="69" t="str">
        <f>IF(M$17&lt;&gt;"",
        IFERROR(INDEX(DNS!$C$5:$C$54,MATCH(M$21,DNS!$F$5:$F$54,0)),""),"")</f>
        <v/>
      </c>
      <c r="N22" s="69" t="str">
        <f>IF(N$17&lt;&gt;"",
        IFERROR(INDEX(DNS!$C$5:$C$54,MATCH(N$21,DNS!$F$5:$F$54,0)),""),"")</f>
        <v/>
      </c>
      <c r="O22" s="69" t="str">
        <f>IF(O$17&lt;&gt;"",
        IFERROR(INDEX(DNS!$C$5:$C$54,MATCH(O$21,DNS!$F$5:$F$54,0)),""),"")</f>
        <v/>
      </c>
      <c r="P22" s="69" t="str">
        <f>IF(P$17&lt;&gt;"",
        IFERROR(INDEX(DNS!$C$5:$C$54,MATCH(P$21,DNS!$F$5:$F$54,0)),""),"")</f>
        <v/>
      </c>
      <c r="Q22" s="69" t="str">
        <f>IF(Q$17&lt;&gt;"",
        IFERROR(INDEX(DNS!$C$5:$C$54,MATCH(Q$21,DNS!$F$5:$F$54,0)),""),"")</f>
        <v/>
      </c>
      <c r="R22" s="69" t="str">
        <f>IF(R$17&lt;&gt;"",
        IFERROR(INDEX(DNS!$C$5:$C$54,MATCH(R$21,DNS!$F$5:$F$54,0)),""),"")</f>
        <v/>
      </c>
      <c r="S22" s="69" t="str">
        <f>IF(S$17&lt;&gt;"",
        IFERROR(INDEX(DNS!$C$5:$C$54,MATCH(S$21,DNS!$F$5:$F$54,0)),""),"")</f>
        <v/>
      </c>
      <c r="T22" s="69" t="str">
        <f>IF(T$17&lt;&gt;"",
        IFERROR(INDEX(DNS!$C$5:$C$54,MATCH(T$21,DNS!$F$5:$F$54,0)),""),"")</f>
        <v/>
      </c>
      <c r="U22" s="69" t="str">
        <f>IF(U$17&lt;&gt;"",
        IFERROR(INDEX(DNS!$C$5:$C$54,MATCH(U$21,DNS!$F$5:$F$54,0)),""),"")</f>
        <v/>
      </c>
    </row>
    <row r="23" spans="1:21" ht="15">
      <c r="A23" s="370" t="s">
        <v>1465</v>
      </c>
      <c r="B23" s="430" t="str">
        <f>IF(AND(B$12&lt;&gt;"",B$14&gt;"",B$15&lt;&gt;""),
       LOWER(LEFT(B$17,1)&amp;"-"&amp;B$12&amp;"-"&amp;B$16&amp;"-web-2"&amp;IF(B$17="Prod 2.0",".hcscint.net",IF(B$17="Test 2.0",".test.hcscint.net",".dev.hcscint.net"))),
"")</f>
        <v/>
      </c>
      <c r="C23" s="430" t="str">
        <f t="shared" ref="C23:U23" si="3">IF(AND(C$12&lt;&gt;"",C$14&gt;"",C$15&lt;&gt;""),
       LOWER(LEFT(C$17,1)&amp;"-"&amp;C$12&amp;"-"&amp;C$16&amp;"-web-2"&amp;IF(C$17="Prod 2.0",".hcscint.net",IF(C$17="Test 2.0",".test.hcscint.net",".dev.hcscint.net"))),
"")</f>
        <v/>
      </c>
      <c r="D23" s="430" t="str">
        <f t="shared" si="3"/>
        <v/>
      </c>
      <c r="E23" s="430" t="str">
        <f t="shared" si="3"/>
        <v/>
      </c>
      <c r="F23" s="898" t="str">
        <f t="shared" si="3"/>
        <v/>
      </c>
      <c r="G23" s="907" t="str">
        <f t="shared" si="3"/>
        <v/>
      </c>
      <c r="H23" s="430" t="str">
        <f t="shared" si="3"/>
        <v/>
      </c>
      <c r="I23" s="430" t="str">
        <f t="shared" si="3"/>
        <v/>
      </c>
      <c r="J23" s="430" t="str">
        <f t="shared" si="3"/>
        <v/>
      </c>
      <c r="K23" s="430" t="str">
        <f t="shared" si="3"/>
        <v/>
      </c>
      <c r="L23" s="430" t="str">
        <f t="shared" si="3"/>
        <v/>
      </c>
      <c r="M23" s="430" t="str">
        <f t="shared" si="3"/>
        <v/>
      </c>
      <c r="N23" s="430" t="str">
        <f t="shared" si="3"/>
        <v/>
      </c>
      <c r="O23" s="430" t="str">
        <f t="shared" si="3"/>
        <v/>
      </c>
      <c r="P23" s="430" t="str">
        <f t="shared" si="3"/>
        <v/>
      </c>
      <c r="Q23" s="430" t="str">
        <f t="shared" si="3"/>
        <v/>
      </c>
      <c r="R23" s="430" t="str">
        <f t="shared" si="3"/>
        <v/>
      </c>
      <c r="S23" s="430" t="str">
        <f t="shared" si="3"/>
        <v/>
      </c>
      <c r="T23" s="430" t="str">
        <f t="shared" si="3"/>
        <v/>
      </c>
      <c r="U23" s="432" t="str">
        <f t="shared" si="3"/>
        <v/>
      </c>
    </row>
    <row r="24" spans="1:21" s="684" customFormat="1" ht="15">
      <c r="A24" s="892" t="s">
        <v>2609</v>
      </c>
      <c r="B24" s="69" t="str">
        <f>IF(B$17&lt;&gt;"",
       IFERROR(INDEX(DNS!$C$5:$C$54,MATCH(B$23,DNS!$F$5:$F$54,0)),""),"")</f>
        <v/>
      </c>
      <c r="C24" s="69" t="str">
        <f>IF(C$17&lt;&gt;"",
       IFERROR(INDEX(DNS!$C$5:$C$54,MATCH(C$23,DNS!$F$5:$F$54,0)),""),"")</f>
        <v/>
      </c>
      <c r="D24" s="69" t="str">
        <f>IF(D$17&lt;&gt;"",
       IFERROR(INDEX(DNS!$C$5:$C$54,MATCH(D$23,DNS!$F$5:$F$54,0)),""),"")</f>
        <v/>
      </c>
      <c r="E24" s="69" t="str">
        <f>IF(E$17&lt;&gt;"",
       IFERROR(INDEX(DNS!$C$5:$C$54,MATCH(E$23,DNS!$F$5:$F$54,0)),""),"")</f>
        <v/>
      </c>
      <c r="F24" s="69" t="str">
        <f>IF(F$17&lt;&gt;"",
       IFERROR(INDEX(DNS!$C$5:$C$54,MATCH(F$23,DNS!$F$5:$F$54,0)),""),"")</f>
        <v/>
      </c>
      <c r="G24" s="69" t="str">
        <f>IF(G$17&lt;&gt;"",
       IFERROR(INDEX(DNS!$C$5:$C$54,MATCH(G$23,DNS!$F$5:$F$54,0)),""),"")</f>
        <v/>
      </c>
      <c r="H24" s="69" t="str">
        <f>IF(H$17&lt;&gt;"",
       IFERROR(INDEX(DNS!$C$5:$C$54,MATCH(H$23,DNS!$F$5:$F$54,0)),""),"")</f>
        <v/>
      </c>
      <c r="I24" s="69" t="str">
        <f>IF(I$17&lt;&gt;"",
       IFERROR(INDEX(DNS!$C$5:$C$54,MATCH(I$23,DNS!$F$5:$F$54,0)),""),"")</f>
        <v/>
      </c>
      <c r="J24" s="69" t="str">
        <f>IF(J$17&lt;&gt;"",
       IFERROR(INDEX(DNS!$C$5:$C$54,MATCH(J$23,DNS!$F$5:$F$54,0)),""),"")</f>
        <v/>
      </c>
      <c r="K24" s="69" t="str">
        <f>IF(K$17&lt;&gt;"",
       IFERROR(INDEX(DNS!$C$5:$C$54,MATCH(K$23,DNS!$F$5:$F$54,0)),""),"")</f>
        <v/>
      </c>
      <c r="L24" s="69" t="str">
        <f>IF(L$17&lt;&gt;"",
       IFERROR(INDEX(DNS!$C$5:$C$54,MATCH(L$23,DNS!$F$5:$F$54,0)),""),"")</f>
        <v/>
      </c>
      <c r="M24" s="69" t="str">
        <f>IF(M$17&lt;&gt;"",
       IFERROR(INDEX(DNS!$C$5:$C$54,MATCH(M$23,DNS!$F$5:$F$54,0)),""),"")</f>
        <v/>
      </c>
      <c r="N24" s="69" t="str">
        <f>IF(N$17&lt;&gt;"",
       IFERROR(INDEX(DNS!$C$5:$C$54,MATCH(N$23,DNS!$F$5:$F$54,0)),""),"")</f>
        <v/>
      </c>
      <c r="O24" s="69" t="str">
        <f>IF(O$17&lt;&gt;"",
       IFERROR(INDEX(DNS!$C$5:$C$54,MATCH(O$23,DNS!$F$5:$F$54,0)),""),"")</f>
        <v/>
      </c>
      <c r="P24" s="69" t="str">
        <f>IF(P$17&lt;&gt;"",
       IFERROR(INDEX(DNS!$C$5:$C$54,MATCH(P$23,DNS!$F$5:$F$54,0)),""),"")</f>
        <v/>
      </c>
      <c r="Q24" s="69" t="str">
        <f>IF(Q$17&lt;&gt;"",
       IFERROR(INDEX(DNS!$C$5:$C$54,MATCH(Q$23,DNS!$F$5:$F$54,0)),""),"")</f>
        <v/>
      </c>
      <c r="R24" s="69" t="str">
        <f>IF(R$17&lt;&gt;"",
       IFERROR(INDEX(DNS!$C$5:$C$54,MATCH(R$23,DNS!$F$5:$F$54,0)),""),"")</f>
        <v/>
      </c>
      <c r="S24" s="69" t="str">
        <f>IF(S$17&lt;&gt;"",
       IFERROR(INDEX(DNS!$C$5:$C$54,MATCH(S$23,DNS!$F$5:$F$54,0)),""),"")</f>
        <v/>
      </c>
      <c r="T24" s="69" t="str">
        <f>IF(T$17&lt;&gt;"",
       IFERROR(INDEX(DNS!$C$5:$C$54,MATCH(T$23,DNS!$F$5:$F$54,0)),""),"")</f>
        <v/>
      </c>
      <c r="U24" s="69" t="str">
        <f>IF(U$17&lt;&gt;"",
       IFERROR(INDEX(DNS!$C$5:$C$54,MATCH(U$23,DNS!$F$5:$F$54,0)),""),"")</f>
        <v/>
      </c>
    </row>
    <row r="25" spans="1:21" s="684" customFormat="1" ht="15">
      <c r="A25" s="891" t="s">
        <v>2563</v>
      </c>
      <c r="B25" s="60" t="str">
        <f>IF(AND(B$12&lt;&gt;"",B$14&gt;"",B$15&lt;&gt;""),
       LOWER(LEFT(B$17,1)&amp;"-"&amp;B$12&amp;"-"&amp;B$16&amp;"-web-3"&amp;IF(B$17="Prod 2.0",".hcscint.net",IF(B$17="Test 2.0",".test.hcscint.net",".dev.hcscint.net"))),
"")</f>
        <v/>
      </c>
      <c r="C25" s="60" t="str">
        <f t="shared" ref="C25:U25" si="4">IF(AND(C$12&lt;&gt;"",C$14&gt;"",C$15&lt;&gt;""),
       LOWER(LEFT(C$17,1)&amp;"-"&amp;C$12&amp;"-"&amp;C$16&amp;"-web-3"&amp;IF(C$17="Prod 2.0",".hcscint.net",IF(C$17="Test 2.0",".test.hcscint.net",".dev.hcscint.net"))),
"")</f>
        <v/>
      </c>
      <c r="D25" s="60" t="str">
        <f t="shared" si="4"/>
        <v/>
      </c>
      <c r="E25" s="60" t="str">
        <f t="shared" si="4"/>
        <v/>
      </c>
      <c r="F25" s="77" t="str">
        <f t="shared" si="4"/>
        <v/>
      </c>
      <c r="G25" s="908" t="str">
        <f t="shared" si="4"/>
        <v/>
      </c>
      <c r="H25" s="60" t="str">
        <f t="shared" si="4"/>
        <v/>
      </c>
      <c r="I25" s="60" t="str">
        <f t="shared" si="4"/>
        <v/>
      </c>
      <c r="J25" s="60" t="str">
        <f t="shared" si="4"/>
        <v/>
      </c>
      <c r="K25" s="60" t="str">
        <f t="shared" si="4"/>
        <v/>
      </c>
      <c r="L25" s="60" t="str">
        <f t="shared" si="4"/>
        <v/>
      </c>
      <c r="M25" s="60" t="str">
        <f t="shared" si="4"/>
        <v/>
      </c>
      <c r="N25" s="60" t="str">
        <f t="shared" si="4"/>
        <v/>
      </c>
      <c r="O25" s="60" t="str">
        <f t="shared" si="4"/>
        <v/>
      </c>
      <c r="P25" s="60" t="str">
        <f t="shared" si="4"/>
        <v/>
      </c>
      <c r="Q25" s="60" t="str">
        <f t="shared" si="4"/>
        <v/>
      </c>
      <c r="R25" s="60" t="str">
        <f t="shared" si="4"/>
        <v/>
      </c>
      <c r="S25" s="60" t="str">
        <f t="shared" si="4"/>
        <v/>
      </c>
      <c r="T25" s="60" t="str">
        <f t="shared" si="4"/>
        <v/>
      </c>
      <c r="U25" s="909" t="str">
        <f t="shared" si="4"/>
        <v/>
      </c>
    </row>
    <row r="26" spans="1:21" s="684" customFormat="1" ht="15">
      <c r="A26" s="891" t="s">
        <v>2610</v>
      </c>
      <c r="B26" s="60" t="str">
        <f>IFERROR(INDEX(DNS!$C$5:$C$54,MATCH(B$25,DNS!$F$5:$F$54,0)),"")</f>
        <v/>
      </c>
      <c r="C26" s="60" t="str">
        <f>IFERROR(INDEX(DNS!$C$5:$C$54,MATCH(C$25,DNS!$F$5:$F$54,0)),"")</f>
        <v/>
      </c>
      <c r="D26" s="60" t="str">
        <f>IFERROR(INDEX(DNS!$C$5:$C$54,MATCH(D$25,DNS!$F$5:$F$54,0)),"")</f>
        <v/>
      </c>
      <c r="E26" s="60" t="str">
        <f>IFERROR(INDEX(DNS!$C$5:$C$54,MATCH(E$25,DNS!$F$5:$F$54,0)),"")</f>
        <v/>
      </c>
      <c r="F26" s="77" t="str">
        <f>IFERROR(INDEX(DNS!$C$5:$C$54,MATCH(F$25,DNS!$F$5:$F$54,0)),"")</f>
        <v/>
      </c>
      <c r="G26" s="908" t="str">
        <f>IFERROR(INDEX(DNS!$C$5:$C$54,MATCH(G$25,DNS!$F$5:$F$54,0)),"")</f>
        <v/>
      </c>
      <c r="H26" s="60" t="str">
        <f>IFERROR(INDEX(DNS!$C$5:$C$54,MATCH(H$25,DNS!$F$5:$F$54,0)),"")</f>
        <v/>
      </c>
      <c r="I26" s="60" t="str">
        <f>IFERROR(INDEX(DNS!$C$5:$C$54,MATCH(I$25,DNS!$F$5:$F$54,0)),"")</f>
        <v/>
      </c>
      <c r="J26" s="60" t="str">
        <f>IFERROR(INDEX(DNS!$C$5:$C$54,MATCH(J$25,DNS!$F$5:$F$54,0)),"")</f>
        <v/>
      </c>
      <c r="K26" s="60" t="str">
        <f>IFERROR(INDEX(DNS!$C$5:$C$54,MATCH(K$25,DNS!$F$5:$F$54,0)),"")</f>
        <v/>
      </c>
      <c r="L26" s="60" t="str">
        <f>IFERROR(INDEX(DNS!$C$5:$C$54,MATCH(L$25,DNS!$F$5:$F$54,0)),"")</f>
        <v/>
      </c>
      <c r="M26" s="60" t="str">
        <f>IFERROR(INDEX(DNS!$C$5:$C$54,MATCH(M$25,DNS!$F$5:$F$54,0)),"")</f>
        <v/>
      </c>
      <c r="N26" s="60" t="str">
        <f>IFERROR(INDEX(DNS!$C$5:$C$54,MATCH(N$25,DNS!$F$5:$F$54,0)),"")</f>
        <v/>
      </c>
      <c r="O26" s="60" t="str">
        <f>IFERROR(INDEX(DNS!$C$5:$C$54,MATCH(O$25,DNS!$F$5:$F$54,0)),"")</f>
        <v/>
      </c>
      <c r="P26" s="60" t="str">
        <f>IFERROR(INDEX(DNS!$C$5:$C$54,MATCH(P$25,DNS!$F$5:$F$54,0)),"")</f>
        <v/>
      </c>
      <c r="Q26" s="60" t="str">
        <f>IFERROR(INDEX(DNS!$C$5:$C$54,MATCH(Q$25,DNS!$F$5:$F$54,0)),"")</f>
        <v/>
      </c>
      <c r="R26" s="60" t="str">
        <f>IFERROR(INDEX(DNS!$C$5:$C$54,MATCH(R$25,DNS!$F$5:$F$54,0)),"")</f>
        <v/>
      </c>
      <c r="S26" s="60" t="str">
        <f>IFERROR(INDEX(DNS!$C$5:$C$54,MATCH(S$25,DNS!$F$5:$F$54,0)),"")</f>
        <v/>
      </c>
      <c r="T26" s="60" t="str">
        <f>IFERROR(INDEX(DNS!$C$5:$C$54,MATCH(T$25,DNS!$F$5:$F$54,0)),"")</f>
        <v/>
      </c>
      <c r="U26" s="909" t="str">
        <f>IFERROR(INDEX(DNS!$C$5:$C$54,MATCH(U$25,DNS!$F$5:$F$54,0)),"")</f>
        <v/>
      </c>
    </row>
    <row r="27" spans="1:21" s="684" customFormat="1" ht="15">
      <c r="A27" s="891" t="s">
        <v>2564</v>
      </c>
      <c r="B27" s="60" t="str">
        <f>IF(AND(B$12&lt;&gt;"",B$14&gt;"",B$15&lt;&gt;""),
       LOWER(LEFT(B$17,1)&amp;"-"&amp;B$12&amp;"-"&amp;B$16&amp;"-web-4"&amp;IF(B$17="Prod 2.0",".hcscint.net",IF(B$17="Test 2.0",".test.hcscint.net",".dev.hcscint.net"))),
"")</f>
        <v/>
      </c>
      <c r="C27" s="60" t="str">
        <f t="shared" ref="C27:U27" si="5">IF(AND(C$12&lt;&gt;"",C$14&gt;"",C$15&lt;&gt;""),
       LOWER(LEFT(C$17,1)&amp;"-"&amp;C$12&amp;"-"&amp;C$16&amp;"-web-4"&amp;IF(C$17="Prod 2.0",".hcscint.net",IF(C$17="Test 2.0",".test.hcscint.net",".dev.hcscint.net"))),
"")</f>
        <v/>
      </c>
      <c r="D27" s="60" t="str">
        <f t="shared" si="5"/>
        <v/>
      </c>
      <c r="E27" s="60" t="str">
        <f t="shared" si="5"/>
        <v/>
      </c>
      <c r="F27" s="77" t="str">
        <f t="shared" si="5"/>
        <v/>
      </c>
      <c r="G27" s="908" t="str">
        <f t="shared" si="5"/>
        <v/>
      </c>
      <c r="H27" s="60" t="str">
        <f t="shared" si="5"/>
        <v/>
      </c>
      <c r="I27" s="60" t="str">
        <f t="shared" si="5"/>
        <v/>
      </c>
      <c r="J27" s="60" t="str">
        <f t="shared" si="5"/>
        <v/>
      </c>
      <c r="K27" s="60" t="str">
        <f t="shared" si="5"/>
        <v/>
      </c>
      <c r="L27" s="60" t="str">
        <f t="shared" si="5"/>
        <v/>
      </c>
      <c r="M27" s="60" t="str">
        <f t="shared" si="5"/>
        <v/>
      </c>
      <c r="N27" s="60" t="str">
        <f t="shared" si="5"/>
        <v/>
      </c>
      <c r="O27" s="60" t="str">
        <f t="shared" si="5"/>
        <v/>
      </c>
      <c r="P27" s="60" t="str">
        <f t="shared" si="5"/>
        <v/>
      </c>
      <c r="Q27" s="60" t="str">
        <f t="shared" si="5"/>
        <v/>
      </c>
      <c r="R27" s="60" t="str">
        <f t="shared" si="5"/>
        <v/>
      </c>
      <c r="S27" s="60" t="str">
        <f t="shared" si="5"/>
        <v/>
      </c>
      <c r="T27" s="60" t="str">
        <f t="shared" si="5"/>
        <v/>
      </c>
      <c r="U27" s="909" t="str">
        <f t="shared" si="5"/>
        <v/>
      </c>
    </row>
    <row r="28" spans="1:21" s="684" customFormat="1" ht="15">
      <c r="A28" s="891" t="s">
        <v>2611</v>
      </c>
      <c r="B28" s="60" t="str">
        <f>IFERROR(INDEX(DNS!$C$5:$C$54,MATCH(B$27,DNS!$F$5:$F$54,0)),"")</f>
        <v/>
      </c>
      <c r="C28" s="60" t="str">
        <f>IFERROR(INDEX(DNS!$C$5:$C$54,MATCH(C$27,DNS!$F$5:$F$54,0)),"")</f>
        <v/>
      </c>
      <c r="D28" s="60" t="str">
        <f>IFERROR(INDEX(DNS!$C$5:$C$54,MATCH(D$27,DNS!$F$5:$F$54,0)),"")</f>
        <v/>
      </c>
      <c r="E28" s="60" t="str">
        <f>IFERROR(INDEX(DNS!$C$5:$C$54,MATCH(E$27,DNS!$F$5:$F$54,0)),"")</f>
        <v/>
      </c>
      <c r="F28" s="77" t="str">
        <f>IFERROR(INDEX(DNS!$C$5:$C$54,MATCH(F$27,DNS!$F$5:$F$54,0)),"")</f>
        <v/>
      </c>
      <c r="G28" s="908" t="str">
        <f>IFERROR(INDEX(DNS!$C$5:$C$54,MATCH(G$27,DNS!$F$5:$F$54,0)),"")</f>
        <v/>
      </c>
      <c r="H28" s="60" t="str">
        <f>IFERROR(INDEX(DNS!$C$5:$C$54,MATCH(H$27,DNS!$F$5:$F$54,0)),"")</f>
        <v/>
      </c>
      <c r="I28" s="60" t="str">
        <f>IFERROR(INDEX(DNS!$C$5:$C$54,MATCH(I$27,DNS!$F$5:$F$54,0)),"")</f>
        <v/>
      </c>
      <c r="J28" s="60" t="str">
        <f>IFERROR(INDEX(DNS!$C$5:$C$54,MATCH(J$27,DNS!$F$5:$F$54,0)),"")</f>
        <v/>
      </c>
      <c r="K28" s="60" t="str">
        <f>IFERROR(INDEX(DNS!$C$5:$C$54,MATCH(K$27,DNS!$F$5:$F$54,0)),"")</f>
        <v/>
      </c>
      <c r="L28" s="60" t="str">
        <f>IFERROR(INDEX(DNS!$C$5:$C$54,MATCH(L$27,DNS!$F$5:$F$54,0)),"")</f>
        <v/>
      </c>
      <c r="M28" s="60" t="str">
        <f>IFERROR(INDEX(DNS!$C$5:$C$54,MATCH(M$27,DNS!$F$5:$F$54,0)),"")</f>
        <v/>
      </c>
      <c r="N28" s="60" t="str">
        <f>IFERROR(INDEX(DNS!$C$5:$C$54,MATCH(N$27,DNS!$F$5:$F$54,0)),"")</f>
        <v/>
      </c>
      <c r="O28" s="60" t="str">
        <f>IFERROR(INDEX(DNS!$C$5:$C$54,MATCH(O$27,DNS!$F$5:$F$54,0)),"")</f>
        <v/>
      </c>
      <c r="P28" s="60" t="str">
        <f>IFERROR(INDEX(DNS!$C$5:$C$54,MATCH(P$27,DNS!$F$5:$F$54,0)),"")</f>
        <v/>
      </c>
      <c r="Q28" s="60" t="str">
        <f>IFERROR(INDEX(DNS!$C$5:$C$54,MATCH(Q$27,DNS!$F$5:$F$54,0)),"")</f>
        <v/>
      </c>
      <c r="R28" s="60" t="str">
        <f>IFERROR(INDEX(DNS!$C$5:$C$54,MATCH(R$27,DNS!$F$5:$F$54,0)),"")</f>
        <v/>
      </c>
      <c r="S28" s="60" t="str">
        <f>IFERROR(INDEX(DNS!$C$5:$C$54,MATCH(S$27,DNS!$F$5:$F$54,0)),"")</f>
        <v/>
      </c>
      <c r="T28" s="60" t="str">
        <f>IFERROR(INDEX(DNS!$C$5:$C$54,MATCH(T$27,DNS!$F$5:$F$54,0)),"")</f>
        <v/>
      </c>
      <c r="U28" s="909" t="str">
        <f>IFERROR(INDEX(DNS!$C$5:$C$54,MATCH(U$27,DNS!$F$5:$F$54,0)),"")</f>
        <v/>
      </c>
    </row>
    <row r="29" spans="1:21" ht="30">
      <c r="A29" s="376" t="s">
        <v>1503</v>
      </c>
      <c r="B29" s="361"/>
      <c r="C29" s="361"/>
      <c r="D29" s="361"/>
      <c r="E29" s="361"/>
      <c r="F29" s="374"/>
      <c r="G29" s="910"/>
      <c r="H29" s="374"/>
      <c r="I29" s="374"/>
      <c r="J29" s="374"/>
      <c r="K29" s="374"/>
      <c r="L29" s="374"/>
      <c r="M29" s="374"/>
      <c r="N29" s="374"/>
      <c r="O29" s="374"/>
      <c r="P29" s="374"/>
      <c r="Q29" s="374"/>
      <c r="R29" s="374"/>
      <c r="S29" s="374"/>
      <c r="T29" s="374"/>
      <c r="U29" s="367"/>
    </row>
    <row r="30" spans="1:21" ht="15">
      <c r="A30" s="371" t="s">
        <v>762</v>
      </c>
      <c r="B30" s="149" t="str">
        <f>IF(B15&gt;"",B15&amp;" ("&amp;B14&amp;")","")</f>
        <v/>
      </c>
      <c r="C30" s="149" t="str">
        <f t="shared" ref="C30:U30" si="6">IF(C15&gt;"",C15&amp;" ("&amp;C14&amp;")","")</f>
        <v/>
      </c>
      <c r="D30" s="149" t="str">
        <f t="shared" si="6"/>
        <v/>
      </c>
      <c r="E30" s="149" t="str">
        <f t="shared" si="6"/>
        <v/>
      </c>
      <c r="F30" s="899" t="str">
        <f t="shared" si="6"/>
        <v/>
      </c>
      <c r="G30" s="369" t="str">
        <f t="shared" si="6"/>
        <v/>
      </c>
      <c r="H30" s="149" t="str">
        <f t="shared" si="6"/>
        <v/>
      </c>
      <c r="I30" s="149" t="str">
        <f t="shared" si="6"/>
        <v/>
      </c>
      <c r="J30" s="149" t="str">
        <f t="shared" si="6"/>
        <v/>
      </c>
      <c r="K30" s="149" t="str">
        <f t="shared" si="6"/>
        <v/>
      </c>
      <c r="L30" s="149" t="str">
        <f t="shared" si="6"/>
        <v/>
      </c>
      <c r="M30" s="149" t="str">
        <f t="shared" si="6"/>
        <v/>
      </c>
      <c r="N30" s="149" t="str">
        <f t="shared" si="6"/>
        <v/>
      </c>
      <c r="O30" s="149" t="str">
        <f t="shared" si="6"/>
        <v/>
      </c>
      <c r="P30" s="149" t="str">
        <f t="shared" si="6"/>
        <v/>
      </c>
      <c r="Q30" s="149" t="str">
        <f t="shared" si="6"/>
        <v/>
      </c>
      <c r="R30" s="149" t="str">
        <f t="shared" si="6"/>
        <v/>
      </c>
      <c r="S30" s="149" t="str">
        <f t="shared" si="6"/>
        <v/>
      </c>
      <c r="T30" s="149" t="str">
        <f t="shared" si="6"/>
        <v/>
      </c>
      <c r="U30" s="364" t="str">
        <f t="shared" si="6"/>
        <v/>
      </c>
    </row>
    <row r="31" spans="1:21">
      <c r="A31" s="363"/>
      <c r="B31" s="18"/>
      <c r="C31" s="18"/>
      <c r="D31" s="18"/>
      <c r="E31" s="18"/>
      <c r="F31" s="896"/>
      <c r="G31" s="312"/>
      <c r="H31" s="18"/>
      <c r="I31" s="18"/>
      <c r="J31" s="18"/>
      <c r="K31" s="18"/>
      <c r="L31" s="18"/>
      <c r="M31" s="18"/>
      <c r="N31" s="18"/>
      <c r="O31" s="18"/>
      <c r="P31" s="18"/>
      <c r="Q31" s="18"/>
      <c r="R31" s="18"/>
      <c r="S31" s="18"/>
      <c r="T31" s="18"/>
      <c r="U31" s="420"/>
    </row>
    <row r="32" spans="1:21" ht="12.75" customHeight="1">
      <c r="A32" s="363"/>
      <c r="B32" s="18"/>
      <c r="C32" s="18"/>
      <c r="D32" s="18"/>
      <c r="E32" s="18"/>
      <c r="F32" s="896"/>
      <c r="G32" s="312"/>
      <c r="H32" s="18"/>
      <c r="I32" s="18"/>
      <c r="J32" s="18"/>
      <c r="K32" s="18"/>
      <c r="L32" s="18"/>
      <c r="M32" s="18"/>
      <c r="N32" s="18"/>
      <c r="O32" s="18"/>
      <c r="P32" s="18"/>
      <c r="Q32" s="18"/>
      <c r="R32" s="18"/>
      <c r="S32" s="18"/>
      <c r="T32" s="18"/>
      <c r="U32" s="420"/>
    </row>
    <row r="33" spans="1:21" ht="12.75" customHeight="1">
      <c r="A33" s="363"/>
      <c r="B33" s="18"/>
      <c r="C33" s="18"/>
      <c r="D33" s="18"/>
      <c r="E33" s="18"/>
      <c r="F33" s="896"/>
      <c r="G33" s="312"/>
      <c r="H33" s="18"/>
      <c r="I33" s="18"/>
      <c r="J33" s="18"/>
      <c r="K33" s="18"/>
      <c r="L33" s="18"/>
      <c r="M33" s="18"/>
      <c r="N33" s="18"/>
      <c r="O33" s="18"/>
      <c r="P33" s="18"/>
      <c r="Q33" s="18"/>
      <c r="R33" s="18"/>
      <c r="S33" s="18"/>
      <c r="T33" s="18"/>
      <c r="U33" s="420"/>
    </row>
    <row r="34" spans="1:21" ht="12.75" customHeight="1">
      <c r="A34" s="363"/>
      <c r="B34" s="18"/>
      <c r="C34" s="18"/>
      <c r="D34" s="18"/>
      <c r="E34" s="18"/>
      <c r="F34" s="896"/>
      <c r="G34" s="312"/>
      <c r="H34" s="18"/>
      <c r="I34" s="18"/>
      <c r="J34" s="18"/>
      <c r="K34" s="18"/>
      <c r="L34" s="18"/>
      <c r="M34" s="18"/>
      <c r="N34" s="18"/>
      <c r="O34" s="18"/>
      <c r="P34" s="18"/>
      <c r="Q34" s="18"/>
      <c r="R34" s="18"/>
      <c r="S34" s="18"/>
      <c r="T34" s="18"/>
      <c r="U34" s="420"/>
    </row>
    <row r="35" spans="1:21" ht="12.75" customHeight="1">
      <c r="A35" s="363"/>
      <c r="B35" s="18"/>
      <c r="C35" s="18"/>
      <c r="D35" s="18"/>
      <c r="E35" s="18"/>
      <c r="F35" s="896"/>
      <c r="G35" s="312"/>
      <c r="H35" s="18"/>
      <c r="I35" s="18"/>
      <c r="J35" s="18"/>
      <c r="K35" s="18"/>
      <c r="L35" s="18"/>
      <c r="M35" s="18"/>
      <c r="N35" s="18"/>
      <c r="O35" s="18"/>
      <c r="P35" s="18"/>
      <c r="Q35" s="18"/>
      <c r="R35" s="18"/>
      <c r="S35" s="18"/>
      <c r="T35" s="18"/>
      <c r="U35" s="420"/>
    </row>
    <row r="36" spans="1:21">
      <c r="A36" s="363"/>
      <c r="B36" s="18"/>
      <c r="C36" s="18"/>
      <c r="D36" s="18"/>
      <c r="E36" s="18"/>
      <c r="F36" s="896"/>
      <c r="G36" s="312"/>
      <c r="H36" s="18"/>
      <c r="I36" s="18"/>
      <c r="J36" s="18"/>
      <c r="K36" s="18"/>
      <c r="L36" s="18"/>
      <c r="M36" s="18"/>
      <c r="N36" s="18"/>
      <c r="O36" s="18"/>
      <c r="P36" s="18"/>
      <c r="Q36" s="18"/>
      <c r="R36" s="18"/>
      <c r="S36" s="18"/>
      <c r="T36" s="18"/>
      <c r="U36" s="420"/>
    </row>
    <row r="37" spans="1:21" ht="15">
      <c r="A37" s="373"/>
      <c r="B37" s="470"/>
      <c r="C37" s="18"/>
      <c r="D37" s="18"/>
      <c r="E37" s="18"/>
      <c r="F37" s="896"/>
      <c r="G37" s="312"/>
      <c r="H37" s="18"/>
      <c r="I37" s="18"/>
      <c r="J37" s="18"/>
      <c r="K37" s="18"/>
      <c r="L37" s="18"/>
      <c r="M37" s="18"/>
      <c r="N37" s="18"/>
      <c r="O37" s="18"/>
      <c r="P37" s="18"/>
      <c r="Q37" s="18"/>
      <c r="R37" s="18"/>
      <c r="S37" s="18"/>
      <c r="T37" s="18"/>
      <c r="U37" s="420"/>
    </row>
    <row r="38" spans="1:21" ht="15">
      <c r="A38" s="373"/>
      <c r="B38" s="18"/>
      <c r="C38" s="18"/>
      <c r="D38" s="18"/>
      <c r="E38" s="18"/>
      <c r="F38" s="896"/>
      <c r="G38" s="312"/>
      <c r="H38" s="18"/>
      <c r="I38" s="18"/>
      <c r="J38" s="18"/>
      <c r="K38" s="18"/>
      <c r="L38" s="18"/>
      <c r="M38" s="18"/>
      <c r="N38" s="18"/>
      <c r="O38" s="18"/>
      <c r="P38" s="18"/>
      <c r="Q38" s="18"/>
      <c r="R38" s="18"/>
      <c r="S38" s="18"/>
      <c r="T38" s="18"/>
      <c r="U38" s="420"/>
    </row>
    <row r="39" spans="1:21" ht="15">
      <c r="A39" s="373"/>
      <c r="B39" s="18"/>
      <c r="C39" s="18"/>
      <c r="D39" s="18"/>
      <c r="E39" s="18"/>
      <c r="F39" s="896"/>
      <c r="G39" s="312"/>
      <c r="H39" s="18"/>
      <c r="I39" s="18"/>
      <c r="J39" s="18"/>
      <c r="K39" s="18"/>
      <c r="L39" s="18"/>
      <c r="M39" s="18"/>
      <c r="N39" s="18"/>
      <c r="O39" s="18"/>
      <c r="P39" s="18"/>
      <c r="Q39" s="18"/>
      <c r="R39" s="18"/>
      <c r="S39" s="18"/>
      <c r="T39" s="18"/>
      <c r="U39" s="420"/>
    </row>
    <row r="40" spans="1:21" ht="15">
      <c r="A40" s="373"/>
      <c r="B40" s="18"/>
      <c r="C40" s="18"/>
      <c r="D40" s="18"/>
      <c r="E40" s="18"/>
      <c r="F40" s="896"/>
      <c r="G40" s="312"/>
      <c r="H40" s="18"/>
      <c r="I40" s="18"/>
      <c r="J40" s="18"/>
      <c r="K40" s="18"/>
      <c r="L40" s="18"/>
      <c r="M40" s="18"/>
      <c r="N40" s="18"/>
      <c r="O40" s="18"/>
      <c r="P40" s="18"/>
      <c r="Q40" s="18"/>
      <c r="R40" s="18"/>
      <c r="S40" s="18"/>
      <c r="T40" s="18"/>
      <c r="U40" s="420"/>
    </row>
    <row r="41" spans="1:21" ht="15">
      <c r="A41" s="373"/>
      <c r="B41" s="18"/>
      <c r="C41" s="18"/>
      <c r="D41" s="18"/>
      <c r="E41" s="18"/>
      <c r="F41" s="896"/>
      <c r="G41" s="312"/>
      <c r="H41" s="18"/>
      <c r="I41" s="18"/>
      <c r="J41" s="18"/>
      <c r="K41" s="18"/>
      <c r="L41" s="18"/>
      <c r="M41" s="18"/>
      <c r="N41" s="18"/>
      <c r="O41" s="18"/>
      <c r="P41" s="18"/>
      <c r="Q41" s="18"/>
      <c r="R41" s="18"/>
      <c r="S41" s="18"/>
      <c r="T41" s="18"/>
      <c r="U41" s="420"/>
    </row>
    <row r="42" spans="1:21" ht="15">
      <c r="A42" s="373"/>
      <c r="B42" s="18"/>
      <c r="C42" s="18"/>
      <c r="D42" s="18"/>
      <c r="E42" s="18"/>
      <c r="F42" s="896"/>
      <c r="G42" s="312"/>
      <c r="H42" s="18"/>
      <c r="I42" s="18"/>
      <c r="J42" s="18"/>
      <c r="K42" s="18"/>
      <c r="L42" s="18"/>
      <c r="M42" s="18"/>
      <c r="N42" s="18"/>
      <c r="O42" s="18"/>
      <c r="P42" s="18"/>
      <c r="Q42" s="18"/>
      <c r="R42" s="18"/>
      <c r="S42" s="18"/>
      <c r="T42" s="18"/>
      <c r="U42" s="420"/>
    </row>
    <row r="43" spans="1:21" ht="15">
      <c r="A43" s="373"/>
      <c r="B43" s="18"/>
      <c r="C43" s="18"/>
      <c r="D43" s="18"/>
      <c r="E43" s="18"/>
      <c r="F43" s="896"/>
      <c r="G43" s="312"/>
      <c r="H43" s="18"/>
      <c r="I43" s="18"/>
      <c r="J43" s="18"/>
      <c r="K43" s="18"/>
      <c r="L43" s="18"/>
      <c r="M43" s="18"/>
      <c r="N43" s="18"/>
      <c r="O43" s="18"/>
      <c r="P43" s="18"/>
      <c r="Q43" s="18"/>
      <c r="R43" s="18"/>
      <c r="S43" s="18"/>
      <c r="T43" s="18"/>
      <c r="U43" s="420"/>
    </row>
    <row r="44" spans="1:21" ht="15">
      <c r="A44" s="373"/>
      <c r="B44" s="18"/>
      <c r="C44" s="18"/>
      <c r="D44" s="18"/>
      <c r="E44" s="18"/>
      <c r="F44" s="896"/>
      <c r="G44" s="312"/>
      <c r="H44" s="18"/>
      <c r="I44" s="18"/>
      <c r="J44" s="18"/>
      <c r="K44" s="18"/>
      <c r="L44" s="18"/>
      <c r="M44" s="18"/>
      <c r="N44" s="18"/>
      <c r="O44" s="18"/>
      <c r="P44" s="18"/>
      <c r="Q44" s="18"/>
      <c r="R44" s="18"/>
      <c r="S44" s="18"/>
      <c r="T44" s="18"/>
      <c r="U44" s="420"/>
    </row>
    <row r="45" spans="1:21" ht="15">
      <c r="A45" s="373"/>
      <c r="B45" s="18"/>
      <c r="C45" s="18"/>
      <c r="D45" s="18"/>
      <c r="E45" s="18"/>
      <c r="F45" s="896"/>
      <c r="G45" s="312"/>
      <c r="H45" s="18"/>
      <c r="I45" s="18"/>
      <c r="J45" s="18"/>
      <c r="K45" s="18"/>
      <c r="L45" s="18"/>
      <c r="M45" s="18"/>
      <c r="N45" s="18"/>
      <c r="O45" s="18"/>
      <c r="P45" s="18"/>
      <c r="Q45" s="18"/>
      <c r="R45" s="18"/>
      <c r="S45" s="18"/>
      <c r="T45" s="18"/>
      <c r="U45" s="420"/>
    </row>
    <row r="46" spans="1:21" ht="15">
      <c r="A46" s="373"/>
      <c r="B46" s="18"/>
      <c r="C46" s="18"/>
      <c r="D46" s="18"/>
      <c r="E46" s="18"/>
      <c r="F46" s="896"/>
      <c r="G46" s="312"/>
      <c r="H46" s="18"/>
      <c r="I46" s="18"/>
      <c r="J46" s="18"/>
      <c r="K46" s="18"/>
      <c r="L46" s="18"/>
      <c r="M46" s="18"/>
      <c r="N46" s="18"/>
      <c r="O46" s="18"/>
      <c r="P46" s="18"/>
      <c r="Q46" s="18"/>
      <c r="R46" s="18"/>
      <c r="S46" s="18"/>
      <c r="T46" s="18"/>
      <c r="U46" s="420"/>
    </row>
    <row r="47" spans="1:21" ht="15">
      <c r="A47" s="373"/>
      <c r="B47" s="18"/>
      <c r="C47" s="18"/>
      <c r="D47" s="18"/>
      <c r="E47" s="18"/>
      <c r="F47" s="896"/>
      <c r="G47" s="312"/>
      <c r="H47" s="18"/>
      <c r="I47" s="18"/>
      <c r="J47" s="18"/>
      <c r="K47" s="18"/>
      <c r="L47" s="18"/>
      <c r="M47" s="18"/>
      <c r="N47" s="18"/>
      <c r="O47" s="18"/>
      <c r="P47" s="18"/>
      <c r="Q47" s="18"/>
      <c r="R47" s="18"/>
      <c r="S47" s="18"/>
      <c r="T47" s="18"/>
      <c r="U47" s="420"/>
    </row>
    <row r="48" spans="1:21" ht="15">
      <c r="A48" s="373"/>
      <c r="B48" s="18"/>
      <c r="C48" s="18"/>
      <c r="D48" s="18"/>
      <c r="E48" s="18"/>
      <c r="F48" s="896"/>
      <c r="G48" s="312"/>
      <c r="H48" s="18"/>
      <c r="I48" s="18"/>
      <c r="J48" s="18"/>
      <c r="K48" s="18"/>
      <c r="L48" s="18"/>
      <c r="M48" s="18"/>
      <c r="N48" s="18"/>
      <c r="O48" s="18"/>
      <c r="P48" s="18"/>
      <c r="Q48" s="18"/>
      <c r="R48" s="18"/>
      <c r="S48" s="18"/>
      <c r="T48" s="18"/>
      <c r="U48" s="420"/>
    </row>
    <row r="49" spans="1:21" ht="15">
      <c r="A49" s="373"/>
      <c r="B49" s="18"/>
      <c r="C49" s="18"/>
      <c r="D49" s="18"/>
      <c r="E49" s="18"/>
      <c r="F49" s="896"/>
      <c r="G49" s="312"/>
      <c r="H49" s="18"/>
      <c r="I49" s="18"/>
      <c r="J49" s="18"/>
      <c r="K49" s="18"/>
      <c r="L49" s="18"/>
      <c r="M49" s="18"/>
      <c r="N49" s="18"/>
      <c r="O49" s="18"/>
      <c r="P49" s="18"/>
      <c r="Q49" s="18"/>
      <c r="R49" s="18"/>
      <c r="S49" s="18"/>
      <c r="T49" s="18"/>
      <c r="U49" s="420"/>
    </row>
    <row r="50" spans="1:21" ht="15">
      <c r="A50" s="373"/>
      <c r="B50" s="18"/>
      <c r="C50" s="18"/>
      <c r="D50" s="18"/>
      <c r="E50" s="18"/>
      <c r="F50" s="896"/>
      <c r="G50" s="312"/>
      <c r="H50" s="18"/>
      <c r="I50" s="18"/>
      <c r="J50" s="18"/>
      <c r="K50" s="18"/>
      <c r="L50" s="18"/>
      <c r="M50" s="18"/>
      <c r="N50" s="18"/>
      <c r="O50" s="18"/>
      <c r="P50" s="18"/>
      <c r="Q50" s="18"/>
      <c r="R50" s="18"/>
      <c r="S50" s="18"/>
      <c r="T50" s="18"/>
      <c r="U50" s="420"/>
    </row>
    <row r="51" spans="1:21" ht="15">
      <c r="A51" s="373"/>
      <c r="B51" s="18"/>
      <c r="C51" s="18"/>
      <c r="D51" s="18"/>
      <c r="E51" s="18"/>
      <c r="F51" s="896"/>
      <c r="G51" s="312"/>
      <c r="H51" s="18"/>
      <c r="I51" s="18"/>
      <c r="J51" s="18"/>
      <c r="K51" s="18"/>
      <c r="L51" s="18"/>
      <c r="M51" s="18"/>
      <c r="N51" s="18"/>
      <c r="O51" s="18"/>
      <c r="P51" s="18"/>
      <c r="Q51" s="18"/>
      <c r="R51" s="18"/>
      <c r="S51" s="18"/>
      <c r="T51" s="18"/>
      <c r="U51" s="420"/>
    </row>
    <row r="52" spans="1:21" ht="15">
      <c r="A52" s="373"/>
      <c r="B52" s="18"/>
      <c r="C52" s="18"/>
      <c r="D52" s="18"/>
      <c r="E52" s="18"/>
      <c r="F52" s="896"/>
      <c r="G52" s="312"/>
      <c r="H52" s="18"/>
      <c r="I52" s="18"/>
      <c r="J52" s="18"/>
      <c r="K52" s="18"/>
      <c r="L52" s="18"/>
      <c r="M52" s="18"/>
      <c r="N52" s="18"/>
      <c r="O52" s="18"/>
      <c r="P52" s="18"/>
      <c r="Q52" s="18"/>
      <c r="R52" s="18"/>
      <c r="S52" s="18"/>
      <c r="T52" s="18"/>
      <c r="U52" s="420"/>
    </row>
    <row r="53" spans="1:21" ht="15">
      <c r="A53" s="373"/>
      <c r="B53" s="18"/>
      <c r="C53" s="18"/>
      <c r="D53" s="18"/>
      <c r="E53" s="18"/>
      <c r="F53" s="896"/>
      <c r="G53" s="312"/>
      <c r="H53" s="18"/>
      <c r="I53" s="18"/>
      <c r="J53" s="18"/>
      <c r="K53" s="18"/>
      <c r="L53" s="18"/>
      <c r="M53" s="18"/>
      <c r="N53" s="18"/>
      <c r="O53" s="18"/>
      <c r="P53" s="18"/>
      <c r="Q53" s="18"/>
      <c r="R53" s="18"/>
      <c r="S53" s="18"/>
      <c r="T53" s="18"/>
      <c r="U53" s="420"/>
    </row>
    <row r="54" spans="1:21" ht="15">
      <c r="A54" s="373"/>
      <c r="B54" s="18"/>
      <c r="C54" s="18"/>
      <c r="D54" s="18"/>
      <c r="E54" s="18"/>
      <c r="F54" s="896"/>
      <c r="G54" s="312"/>
      <c r="H54" s="18"/>
      <c r="I54" s="18"/>
      <c r="J54" s="18"/>
      <c r="K54" s="18"/>
      <c r="L54" s="18"/>
      <c r="M54" s="18"/>
      <c r="N54" s="18"/>
      <c r="O54" s="18"/>
      <c r="P54" s="18"/>
      <c r="Q54" s="18"/>
      <c r="R54" s="18"/>
      <c r="S54" s="18"/>
      <c r="T54" s="18"/>
      <c r="U54" s="420"/>
    </row>
    <row r="55" spans="1:21" ht="15">
      <c r="A55" s="373"/>
      <c r="B55" s="18"/>
      <c r="C55" s="18"/>
      <c r="D55" s="18"/>
      <c r="E55" s="18"/>
      <c r="F55" s="896"/>
      <c r="G55" s="312"/>
      <c r="H55" s="18"/>
      <c r="I55" s="18"/>
      <c r="J55" s="18"/>
      <c r="K55" s="18"/>
      <c r="L55" s="18"/>
      <c r="M55" s="18"/>
      <c r="N55" s="18"/>
      <c r="O55" s="18"/>
      <c r="P55" s="18"/>
      <c r="Q55" s="18"/>
      <c r="R55" s="18"/>
      <c r="S55" s="18"/>
      <c r="T55" s="18"/>
      <c r="U55" s="420"/>
    </row>
    <row r="56" spans="1:21" ht="15.75" thickBot="1">
      <c r="A56" s="372"/>
      <c r="B56" s="315"/>
      <c r="C56" s="315"/>
      <c r="D56" s="315"/>
      <c r="E56" s="315"/>
      <c r="F56" s="900"/>
      <c r="G56" s="313"/>
      <c r="H56" s="315"/>
      <c r="I56" s="315"/>
      <c r="J56" s="315"/>
      <c r="K56" s="315"/>
      <c r="L56" s="315"/>
      <c r="M56" s="315"/>
      <c r="N56" s="315"/>
      <c r="O56" s="315"/>
      <c r="P56" s="315"/>
      <c r="Q56" s="315"/>
      <c r="R56" s="315"/>
      <c r="S56" s="315"/>
      <c r="T56" s="315"/>
      <c r="U56" s="368"/>
    </row>
  </sheetData>
  <mergeCells count="7">
    <mergeCell ref="E1:F8"/>
    <mergeCell ref="A7:D7"/>
    <mergeCell ref="C1:D1"/>
    <mergeCell ref="B3:D3"/>
    <mergeCell ref="B4:D4"/>
    <mergeCell ref="B5:D5"/>
    <mergeCell ref="B6:D6"/>
  </mergeCells>
  <conditionalFormatting sqref="B1">
    <cfRule type="cellIs" dxfId="106" priority="3" stopIfTrue="1" operator="equal">
      <formula>"Undetermined"</formula>
    </cfRule>
    <cfRule type="cellIs" dxfId="105" priority="4" stopIfTrue="1" operator="equal">
      <formula>"REQUIRED"</formula>
    </cfRule>
  </conditionalFormatting>
  <conditionalFormatting sqref="B25:U28">
    <cfRule type="expression" dxfId="104" priority="1">
      <formula>B$10&gt;2</formula>
    </cfRule>
  </conditionalFormatting>
  <dataValidations xWindow="456" yWindow="328" count="2">
    <dataValidation type="list" allowBlank="1" showInputMessage="1" showErrorMessage="1" sqref="B15:U15" xr:uid="{00000000-0002-0000-1500-000000000000}">
      <formula1>list_appenvs</formula1>
    </dataValidation>
    <dataValidation type="list" allowBlank="1" showInputMessage="1" showErrorMessage="1" sqref="B9" xr:uid="{00000000-0002-0000-1500-000001000000}">
      <formula1>"2.0.53 32-bit, 2.2 64-bit"</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xWindow="456" yWindow="328" count="1">
        <x14:dataValidation type="list" allowBlank="1" showInputMessage="1" showErrorMessage="1" xr:uid="{00000000-0002-0000-1500-000002000000}">
          <x14:formula1>
            <xm:f>'BOM FUNCTIONS'!$G$33:$G$34</xm:f>
          </x14:formula1>
          <xm:sqref>B18:U18</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61">
    <tabColor theme="3" tint="0.79998168889431442"/>
  </sheetPr>
  <dimension ref="A1:AE30"/>
  <sheetViews>
    <sheetView showGridLines="0" zoomScale="90" zoomScaleNormal="90" workbookViewId="0">
      <selection activeCell="C4" sqref="C4"/>
    </sheetView>
  </sheetViews>
  <sheetFormatPr defaultRowHeight="12.75"/>
  <cols>
    <col min="1" max="1" width="27.28515625" style="931" customWidth="1"/>
    <col min="2" max="5" width="18.42578125" style="931" customWidth="1"/>
    <col min="6" max="6" width="52" style="931" customWidth="1"/>
    <col min="7" max="7" width="16" style="931" customWidth="1"/>
    <col min="8" max="8" width="38" style="931" customWidth="1"/>
    <col min="9" max="9" width="21.7109375" style="931" customWidth="1"/>
    <col min="10" max="10" width="16.5703125" style="931" customWidth="1"/>
    <col min="11" max="11" width="16" style="931" bestFit="1" customWidth="1"/>
    <col min="12" max="12" width="30.5703125" style="931" customWidth="1"/>
    <col min="13" max="13" width="26.42578125" style="2424" customWidth="1"/>
    <col min="14" max="14" width="16.140625" style="931" customWidth="1"/>
    <col min="15" max="15" width="14.5703125" style="4" customWidth="1"/>
    <col min="16" max="16" width="9.140625" style="4"/>
    <col min="17" max="17" width="16.7109375" style="4" customWidth="1"/>
    <col min="18" max="18" width="75.7109375" style="931" customWidth="1"/>
    <col min="19" max="16384" width="9.140625" style="931"/>
  </cols>
  <sheetData>
    <row r="1" spans="1:31" ht="36.75" thickBot="1">
      <c r="A1" s="873" t="s">
        <v>1762</v>
      </c>
      <c r="B1" s="2606" t="str">
        <f>IF(Proxy="YES","REQUIRED",IF(windows_ftp="NO","This Tab is Not Required","Undetermined"))</f>
        <v>This Tab is Not Required</v>
      </c>
      <c r="C1" s="2607"/>
      <c r="D1" s="2607"/>
      <c r="E1" s="2607"/>
      <c r="F1" s="3885" t="str">
        <f>'Project Details'!$C$8 &amp;" - "&amp;"BlueCoat Proxy"</f>
        <v>Linux Infrastructure Management - BlueCoat Proxy</v>
      </c>
      <c r="G1" s="3886"/>
      <c r="H1" s="4"/>
      <c r="I1" s="510"/>
      <c r="J1" s="510"/>
      <c r="K1" s="17"/>
      <c r="L1" s="17"/>
      <c r="M1" s="17"/>
      <c r="N1" s="16"/>
      <c r="O1" s="12"/>
      <c r="P1" s="12"/>
      <c r="Q1" s="12"/>
      <c r="R1" s="12"/>
      <c r="S1" s="12"/>
      <c r="T1" s="12"/>
      <c r="U1" s="12"/>
      <c r="V1" s="12"/>
      <c r="W1" s="12"/>
      <c r="X1" s="12"/>
      <c r="Y1" s="12"/>
      <c r="Z1" s="12"/>
      <c r="AA1" s="12"/>
      <c r="AB1" s="12"/>
      <c r="AC1" s="12"/>
      <c r="AD1" s="12"/>
      <c r="AE1" s="12"/>
    </row>
    <row r="2" spans="1:31" s="14" customFormat="1" ht="13.5" thickBot="1">
      <c r="A2" s="508"/>
      <c r="B2" s="509"/>
      <c r="C2" s="509"/>
      <c r="D2" s="509"/>
      <c r="E2" s="509"/>
      <c r="F2" s="509"/>
      <c r="G2" s="2608"/>
    </row>
    <row r="3" spans="1:31" s="12" customFormat="1" ht="51" customHeight="1">
      <c r="A3" s="511" t="s">
        <v>3415</v>
      </c>
      <c r="B3" s="512" t="s">
        <v>428</v>
      </c>
      <c r="C3" s="2610" t="s">
        <v>19</v>
      </c>
      <c r="D3" s="512" t="s">
        <v>4607</v>
      </c>
      <c r="E3" s="2610" t="s">
        <v>4608</v>
      </c>
      <c r="F3" s="513" t="s">
        <v>4147</v>
      </c>
      <c r="G3" s="513" t="s">
        <v>314</v>
      </c>
    </row>
    <row r="4" spans="1:31">
      <c r="A4" s="1071"/>
      <c r="B4" s="2613" t="str">
        <f>IF(A4&lt;&gt;"",VLOOKUP(A4,IP!$A$4:$R$181,4,FALSE),"")</f>
        <v/>
      </c>
      <c r="C4" s="2613" t="str">
        <f>IF(A4&lt;&gt;"",VLOOKUP(A4,IP!$A$4:$R$181,14,FALSE),"")</f>
        <v/>
      </c>
      <c r="D4" s="2914"/>
      <c r="E4" s="117" t="str">
        <f t="shared" ref="E4:E30" si="0">IF($A4&lt;&gt;"", inbound_requestid, "")</f>
        <v/>
      </c>
      <c r="F4" s="1559"/>
      <c r="G4" s="2604" t="str">
        <f>IF(A4&lt;&gt;"",VLOOKUP(A4,IP!$A$4:C$153,2,FALSE),"")</f>
        <v/>
      </c>
      <c r="M4" s="931"/>
      <c r="O4" s="931"/>
      <c r="P4" s="931"/>
      <c r="Q4" s="931"/>
    </row>
    <row r="5" spans="1:31">
      <c r="A5" s="1071"/>
      <c r="B5" s="2613" t="str">
        <f>IF(A5&lt;&gt;"",VLOOKUP(A5,IP!$A$4:$R$181,4,FALSE),"")</f>
        <v/>
      </c>
      <c r="C5" s="2613" t="str">
        <f>IF(A5&lt;&gt;"",VLOOKUP(A5,IP!$A$4:$R$181,14,FALSE),"")</f>
        <v/>
      </c>
      <c r="D5" s="2914"/>
      <c r="E5" s="117" t="str">
        <f t="shared" si="0"/>
        <v/>
      </c>
      <c r="F5" s="1559"/>
      <c r="G5" s="2604" t="str">
        <f>IF(A5&lt;&gt;"",VLOOKUP(A5,IP!$A$4:C$153,2,FALSE),"")</f>
        <v/>
      </c>
      <c r="M5" s="931"/>
      <c r="O5" s="931"/>
      <c r="P5" s="931"/>
      <c r="Q5" s="931"/>
    </row>
    <row r="6" spans="1:31">
      <c r="A6" s="1071"/>
      <c r="B6" s="2613" t="str">
        <f>IF(A6&lt;&gt;"",VLOOKUP(A6,IP!$A$4:$R$181,4,FALSE),"")</f>
        <v/>
      </c>
      <c r="C6" s="2613" t="str">
        <f>IF(A6&lt;&gt;"",VLOOKUP(A6,IP!$A$4:$R$181,14,FALSE),"")</f>
        <v/>
      </c>
      <c r="D6" s="2914"/>
      <c r="E6" s="117" t="str">
        <f t="shared" si="0"/>
        <v/>
      </c>
      <c r="F6" s="1559"/>
      <c r="G6" s="2604" t="str">
        <f>IF(A6&lt;&gt;"",VLOOKUP(A6,IP!$A$4:C$153,2,FALSE),"")</f>
        <v/>
      </c>
      <c r="M6" s="931"/>
      <c r="O6" s="931"/>
      <c r="P6" s="931"/>
      <c r="Q6" s="931"/>
    </row>
    <row r="7" spans="1:31">
      <c r="A7" s="1071"/>
      <c r="B7" s="2613" t="str">
        <f>IF(A7&lt;&gt;"",VLOOKUP(A7,IP!$A$4:$R$181,4,FALSE),"")</f>
        <v/>
      </c>
      <c r="C7" s="2613" t="str">
        <f>IF(A7&lt;&gt;"",VLOOKUP(A7,IP!$A$4:$R$181,14,FALSE),"")</f>
        <v/>
      </c>
      <c r="D7" s="2914"/>
      <c r="E7" s="117" t="str">
        <f t="shared" si="0"/>
        <v/>
      </c>
      <c r="F7" s="1559"/>
      <c r="G7" s="2604" t="str">
        <f>IF(A7&lt;&gt;"",VLOOKUP(A7,IP!$A$4:C$153,2,FALSE),"")</f>
        <v/>
      </c>
      <c r="M7" s="931"/>
      <c r="O7" s="931"/>
      <c r="P7" s="931"/>
      <c r="Q7" s="931"/>
    </row>
    <row r="8" spans="1:31">
      <c r="A8" s="1071"/>
      <c r="B8" s="2613" t="str">
        <f>IF(A8&lt;&gt;"",VLOOKUP(A8,IP!$A$4:$R$181,4,FALSE),"")</f>
        <v/>
      </c>
      <c r="C8" s="2613" t="str">
        <f>IF(A8&lt;&gt;"",VLOOKUP(A8,IP!$A$4:$R$181,14,FALSE),"")</f>
        <v/>
      </c>
      <c r="D8" s="2914"/>
      <c r="E8" s="117" t="str">
        <f t="shared" si="0"/>
        <v/>
      </c>
      <c r="F8" s="1559"/>
      <c r="G8" s="2604" t="str">
        <f>IF(A8&lt;&gt;"",VLOOKUP(A8,IP!$A$4:C$153,2,FALSE),"")</f>
        <v/>
      </c>
      <c r="M8" s="931"/>
      <c r="O8" s="931"/>
      <c r="P8" s="931"/>
      <c r="Q8" s="931"/>
    </row>
    <row r="9" spans="1:31">
      <c r="A9" s="1071"/>
      <c r="B9" s="2613" t="str">
        <f>IF(A9&lt;&gt;"",VLOOKUP(A9,IP!$A$4:$R$181,4,FALSE),"")</f>
        <v/>
      </c>
      <c r="C9" s="2613" t="str">
        <f>IF(A9&lt;&gt;"",VLOOKUP(A9,IP!$A$4:$R$181,14,FALSE),"")</f>
        <v/>
      </c>
      <c r="D9" s="2914"/>
      <c r="E9" s="117" t="str">
        <f t="shared" si="0"/>
        <v/>
      </c>
      <c r="F9" s="1559"/>
      <c r="G9" s="2604" t="str">
        <f>IF(A9&lt;&gt;"",VLOOKUP(A9,IP!$A$4:C$153,2,FALSE),"")</f>
        <v/>
      </c>
      <c r="M9" s="931"/>
      <c r="O9" s="931"/>
      <c r="P9" s="931"/>
      <c r="Q9" s="931"/>
    </row>
    <row r="10" spans="1:31">
      <c r="A10" s="1071"/>
      <c r="B10" s="2613" t="str">
        <f>IF(A10&lt;&gt;"",VLOOKUP(A10,IP!$A$4:$R$181,4,FALSE),"")</f>
        <v/>
      </c>
      <c r="C10" s="2613" t="str">
        <f>IF(A10&lt;&gt;"",VLOOKUP(A10,IP!$A$4:$R$181,14,FALSE),"")</f>
        <v/>
      </c>
      <c r="D10" s="2914"/>
      <c r="E10" s="117" t="str">
        <f t="shared" si="0"/>
        <v/>
      </c>
      <c r="F10" s="1559"/>
      <c r="G10" s="2604" t="str">
        <f>IF(A10&lt;&gt;"",VLOOKUP(A10,IP!$A$4:C$153,2,FALSE),"")</f>
        <v/>
      </c>
      <c r="M10" s="931"/>
      <c r="O10" s="931"/>
      <c r="P10" s="931"/>
      <c r="Q10" s="931"/>
    </row>
    <row r="11" spans="1:31">
      <c r="A11" s="1071"/>
      <c r="B11" s="2613" t="str">
        <f>IF(A11&lt;&gt;"",VLOOKUP(A11,IP!$A$4:$R$181,4,FALSE),"")</f>
        <v/>
      </c>
      <c r="C11" s="2613" t="str">
        <f>IF(A11&lt;&gt;"",VLOOKUP(A11,IP!$A$4:$R$181,14,FALSE),"")</f>
        <v/>
      </c>
      <c r="D11" s="2914"/>
      <c r="E11" s="117" t="str">
        <f t="shared" si="0"/>
        <v/>
      </c>
      <c r="F11" s="1559"/>
      <c r="G11" s="2604" t="str">
        <f>IF(A11&lt;&gt;"",VLOOKUP(A11,IP!$A$4:C$153,2,FALSE),"")</f>
        <v/>
      </c>
      <c r="M11" s="931"/>
      <c r="O11" s="931"/>
      <c r="P11" s="931"/>
      <c r="Q11" s="931"/>
    </row>
    <row r="12" spans="1:31">
      <c r="A12" s="1071"/>
      <c r="B12" s="2613" t="str">
        <f>IF(A12&lt;&gt;"",VLOOKUP(A12,IP!$A$4:$R$181,4,FALSE),"")</f>
        <v/>
      </c>
      <c r="C12" s="2613" t="str">
        <f>IF(A12&lt;&gt;"",VLOOKUP(A12,IP!$A$4:$R$181,14,FALSE),"")</f>
        <v/>
      </c>
      <c r="D12" s="2914"/>
      <c r="E12" s="117" t="str">
        <f t="shared" si="0"/>
        <v/>
      </c>
      <c r="F12" s="1559"/>
      <c r="G12" s="2604" t="str">
        <f>IF(A12&lt;&gt;"",VLOOKUP(A12,IP!$A$4:C$153,2,FALSE),"")</f>
        <v/>
      </c>
      <c r="M12" s="931"/>
      <c r="O12" s="931"/>
      <c r="P12" s="931"/>
      <c r="Q12" s="931"/>
    </row>
    <row r="13" spans="1:31">
      <c r="A13" s="1071"/>
      <c r="B13" s="2613" t="str">
        <f>IF(A13&lt;&gt;"",VLOOKUP(A13,IP!$A$4:$R$181,4,FALSE),"")</f>
        <v/>
      </c>
      <c r="C13" s="2613" t="str">
        <f>IF(A13&lt;&gt;"",VLOOKUP(A13,IP!$A$4:$R$181,14,FALSE),"")</f>
        <v/>
      </c>
      <c r="D13" s="2914"/>
      <c r="E13" s="117" t="str">
        <f t="shared" si="0"/>
        <v/>
      </c>
      <c r="F13" s="1559"/>
      <c r="G13" s="2604" t="str">
        <f>IF(A13&lt;&gt;"",VLOOKUP(A13,IP!$A$4:C$153,2,FALSE),"")</f>
        <v/>
      </c>
      <c r="M13" s="931"/>
      <c r="O13" s="931"/>
      <c r="P13" s="931"/>
      <c r="Q13" s="931"/>
    </row>
    <row r="14" spans="1:31">
      <c r="A14" s="1071"/>
      <c r="B14" s="2613" t="str">
        <f>IF(A14&lt;&gt;"",VLOOKUP(A14,IP!$A$4:$R$181,4,FALSE),"")</f>
        <v/>
      </c>
      <c r="C14" s="2613" t="str">
        <f>IF(A14&lt;&gt;"",VLOOKUP(A14,IP!$A$4:$R$181,14,FALSE),"")</f>
        <v/>
      </c>
      <c r="D14" s="2914"/>
      <c r="E14" s="117" t="str">
        <f t="shared" si="0"/>
        <v/>
      </c>
      <c r="F14" s="1559"/>
      <c r="G14" s="2604" t="str">
        <f>IF(A14&lt;&gt;"",VLOOKUP(A14,IP!$A$4:C$153,2,FALSE),"")</f>
        <v/>
      </c>
      <c r="M14" s="931"/>
      <c r="O14" s="931"/>
      <c r="P14" s="931"/>
      <c r="Q14" s="931"/>
    </row>
    <row r="15" spans="1:31">
      <c r="A15" s="1071"/>
      <c r="B15" s="2613" t="str">
        <f>IF(A15&lt;&gt;"",VLOOKUP(A15,IP!$A$4:$R$181,4,FALSE),"")</f>
        <v/>
      </c>
      <c r="C15" s="2613" t="str">
        <f>IF(A15&lt;&gt;"",VLOOKUP(A15,IP!$A$4:$R$181,14,FALSE),"")</f>
        <v/>
      </c>
      <c r="D15" s="2914"/>
      <c r="E15" s="117" t="str">
        <f t="shared" si="0"/>
        <v/>
      </c>
      <c r="F15" s="1559"/>
      <c r="G15" s="2604" t="str">
        <f>IF(A15&lt;&gt;"",VLOOKUP(A15,IP!$A$4:C$153,2,FALSE),"")</f>
        <v/>
      </c>
      <c r="M15" s="931"/>
      <c r="O15" s="931"/>
      <c r="P15" s="931"/>
      <c r="Q15" s="931"/>
    </row>
    <row r="16" spans="1:31">
      <c r="A16" s="1071"/>
      <c r="B16" s="2613" t="str">
        <f>IF(A16&lt;&gt;"",VLOOKUP(A16,IP!$A$4:$R$181,4,FALSE),"")</f>
        <v/>
      </c>
      <c r="C16" s="2613" t="str">
        <f>IF(A16&lt;&gt;"",VLOOKUP(A16,IP!$A$4:$R$181,14,FALSE),"")</f>
        <v/>
      </c>
      <c r="D16" s="2914"/>
      <c r="E16" s="117" t="str">
        <f t="shared" si="0"/>
        <v/>
      </c>
      <c r="F16" s="1559"/>
      <c r="G16" s="2604" t="str">
        <f>IF(A16&lt;&gt;"",VLOOKUP(A16,IP!$A$4:C$153,2,FALSE),"")</f>
        <v/>
      </c>
      <c r="M16" s="931"/>
      <c r="O16" s="931"/>
      <c r="P16" s="931"/>
      <c r="Q16" s="931"/>
    </row>
    <row r="17" spans="1:17">
      <c r="A17" s="1071"/>
      <c r="B17" s="2613" t="str">
        <f>IF(A17&lt;&gt;"",VLOOKUP(A17,IP!$A$4:$R$181,4,FALSE),"")</f>
        <v/>
      </c>
      <c r="C17" s="2613" t="str">
        <f>IF(A17&lt;&gt;"",VLOOKUP(A17,IP!$A$4:$R$181,14,FALSE),"")</f>
        <v/>
      </c>
      <c r="D17" s="2914"/>
      <c r="E17" s="117" t="str">
        <f t="shared" si="0"/>
        <v/>
      </c>
      <c r="F17" s="1559"/>
      <c r="G17" s="2604" t="str">
        <f>IF(A17&lt;&gt;"",VLOOKUP(A17,IP!$A$4:C$153,2,FALSE),"")</f>
        <v/>
      </c>
      <c r="M17" s="931"/>
      <c r="O17" s="931"/>
      <c r="P17" s="931"/>
      <c r="Q17" s="931"/>
    </row>
    <row r="18" spans="1:17">
      <c r="A18" s="1071"/>
      <c r="B18" s="2613" t="str">
        <f>IF(A18&lt;&gt;"",VLOOKUP(A18,IP!$A$4:$R$181,4,FALSE),"")</f>
        <v/>
      </c>
      <c r="C18" s="2613" t="str">
        <f>IF(A18&lt;&gt;"",VLOOKUP(A18,IP!$A$4:$R$181,14,FALSE),"")</f>
        <v/>
      </c>
      <c r="D18" s="2914"/>
      <c r="E18" s="117" t="str">
        <f t="shared" si="0"/>
        <v/>
      </c>
      <c r="F18" s="1559"/>
      <c r="G18" s="2604" t="str">
        <f>IF(A18&lt;&gt;"",VLOOKUP(A18,IP!$A$4:C$153,2,FALSE),"")</f>
        <v/>
      </c>
      <c r="M18" s="931"/>
      <c r="O18" s="931"/>
      <c r="P18" s="931"/>
      <c r="Q18" s="931"/>
    </row>
    <row r="19" spans="1:17">
      <c r="A19" s="1071"/>
      <c r="B19" s="2613" t="str">
        <f>IF(A19&lt;&gt;"",VLOOKUP(A19,IP!$A$4:$R$181,4,FALSE),"")</f>
        <v/>
      </c>
      <c r="C19" s="2613" t="str">
        <f>IF(A19&lt;&gt;"",VLOOKUP(A19,IP!$A$4:$R$181,14,FALSE),"")</f>
        <v/>
      </c>
      <c r="D19" s="2914"/>
      <c r="E19" s="117" t="str">
        <f t="shared" si="0"/>
        <v/>
      </c>
      <c r="F19" s="1559"/>
      <c r="G19" s="2604" t="str">
        <f>IF(A19&lt;&gt;"",VLOOKUP(A19,IP!$A$4:C$153,2,FALSE),"")</f>
        <v/>
      </c>
      <c r="M19" s="931"/>
      <c r="O19" s="931"/>
      <c r="P19" s="931"/>
      <c r="Q19" s="931"/>
    </row>
    <row r="20" spans="1:17">
      <c r="A20" s="1071"/>
      <c r="B20" s="2613" t="str">
        <f>IF(A20&lt;&gt;"",VLOOKUP(A20,IP!$A$4:$R$181,4,FALSE),"")</f>
        <v/>
      </c>
      <c r="C20" s="2613" t="str">
        <f>IF(A20&lt;&gt;"",VLOOKUP(A20,IP!$A$4:$R$181,14,FALSE),"")</f>
        <v/>
      </c>
      <c r="D20" s="2914"/>
      <c r="E20" s="117" t="str">
        <f t="shared" si="0"/>
        <v/>
      </c>
      <c r="F20" s="1559"/>
      <c r="G20" s="2604" t="str">
        <f>IF(A20&lt;&gt;"",VLOOKUP(A20,IP!$A$4:C$153,2,FALSE),"")</f>
        <v/>
      </c>
      <c r="M20" s="931"/>
      <c r="O20" s="931"/>
      <c r="P20" s="931"/>
      <c r="Q20" s="931"/>
    </row>
    <row r="21" spans="1:17">
      <c r="A21" s="1071"/>
      <c r="B21" s="2613" t="str">
        <f>IF(A21&lt;&gt;"",VLOOKUP(A21,IP!$A$4:$R$181,4,FALSE),"")</f>
        <v/>
      </c>
      <c r="C21" s="2613" t="str">
        <f>IF(A21&lt;&gt;"",VLOOKUP(A21,IP!$A$4:$R$181,14,FALSE),"")</f>
        <v/>
      </c>
      <c r="D21" s="2914"/>
      <c r="E21" s="117" t="str">
        <f t="shared" si="0"/>
        <v/>
      </c>
      <c r="F21" s="1559"/>
      <c r="G21" s="2604" t="str">
        <f>IF(A21&lt;&gt;"",VLOOKUP(A21,IP!$A$4:C$153,2,FALSE),"")</f>
        <v/>
      </c>
      <c r="M21" s="931"/>
      <c r="O21" s="931"/>
      <c r="P21" s="931"/>
      <c r="Q21" s="931"/>
    </row>
    <row r="22" spans="1:17">
      <c r="A22" s="1071"/>
      <c r="B22" s="2613" t="str">
        <f>IF(A22&lt;&gt;"",VLOOKUP(A22,IP!$A$4:$R$181,4,FALSE),"")</f>
        <v/>
      </c>
      <c r="C22" s="2613" t="str">
        <f>IF(A22&lt;&gt;"",VLOOKUP(A22,IP!$A$4:$R$181,14,FALSE),"")</f>
        <v/>
      </c>
      <c r="D22" s="2914"/>
      <c r="E22" s="117" t="str">
        <f t="shared" si="0"/>
        <v/>
      </c>
      <c r="F22" s="1559"/>
      <c r="G22" s="2604" t="str">
        <f>IF(A22&lt;&gt;"",VLOOKUP(A22,IP!$A$4:C$153,2,FALSE),"")</f>
        <v/>
      </c>
      <c r="M22" s="931"/>
      <c r="O22" s="931"/>
      <c r="P22" s="931"/>
      <c r="Q22" s="931"/>
    </row>
    <row r="23" spans="1:17">
      <c r="A23" s="1071"/>
      <c r="B23" s="2613" t="str">
        <f>IF(A23&lt;&gt;"",VLOOKUP(A23,IP!$A$4:$R$181,4,FALSE),"")</f>
        <v/>
      </c>
      <c r="C23" s="2613" t="str">
        <f>IF(A23&lt;&gt;"",VLOOKUP(A23,IP!$A$4:$R$181,14,FALSE),"")</f>
        <v/>
      </c>
      <c r="D23" s="2914"/>
      <c r="E23" s="117" t="str">
        <f t="shared" si="0"/>
        <v/>
      </c>
      <c r="F23" s="1559"/>
      <c r="G23" s="2604" t="str">
        <f>IF(A23&lt;&gt;"",VLOOKUP(A23,IP!$A$4:C$153,2,FALSE),"")</f>
        <v/>
      </c>
      <c r="M23" s="931"/>
      <c r="O23" s="931"/>
      <c r="P23" s="931"/>
      <c r="Q23" s="931"/>
    </row>
    <row r="24" spans="1:17">
      <c r="A24" s="1071"/>
      <c r="B24" s="2613" t="str">
        <f>IF(A24&lt;&gt;"",VLOOKUP(A24,IP!$A$4:$R$181,4,FALSE),"")</f>
        <v/>
      </c>
      <c r="C24" s="2613" t="str">
        <f>IF(A24&lt;&gt;"",VLOOKUP(A24,IP!$A$4:$R$181,14,FALSE),"")</f>
        <v/>
      </c>
      <c r="D24" s="2914"/>
      <c r="E24" s="117" t="str">
        <f t="shared" si="0"/>
        <v/>
      </c>
      <c r="F24" s="1559"/>
      <c r="G24" s="2604" t="str">
        <f>IF(A24&lt;&gt;"",VLOOKUP(A24,IP!$A$4:C$153,2,FALSE),"")</f>
        <v/>
      </c>
      <c r="M24" s="931"/>
      <c r="O24" s="931"/>
      <c r="P24" s="931"/>
      <c r="Q24" s="931"/>
    </row>
    <row r="25" spans="1:17">
      <c r="A25" s="1071"/>
      <c r="B25" s="2613" t="str">
        <f>IF(A25&lt;&gt;"",VLOOKUP(A25,IP!$A$4:$R$181,4,FALSE),"")</f>
        <v/>
      </c>
      <c r="C25" s="2613" t="str">
        <f>IF(A25&lt;&gt;"",VLOOKUP(A25,IP!$A$4:$R$181,14,FALSE),"")</f>
        <v/>
      </c>
      <c r="D25" s="2914"/>
      <c r="E25" s="117" t="str">
        <f t="shared" si="0"/>
        <v/>
      </c>
      <c r="F25" s="1559"/>
      <c r="G25" s="2604" t="str">
        <f>IF(A25&lt;&gt;"",VLOOKUP(A25,IP!$A$4:C$153,2,FALSE),"")</f>
        <v/>
      </c>
      <c r="M25" s="931"/>
      <c r="O25" s="931"/>
      <c r="P25" s="931"/>
      <c r="Q25" s="931"/>
    </row>
    <row r="26" spans="1:17">
      <c r="A26" s="1071"/>
      <c r="B26" s="2613" t="str">
        <f>IF(A26&lt;&gt;"",VLOOKUP(A26,IP!$A$4:$R$181,4,FALSE),"")</f>
        <v/>
      </c>
      <c r="C26" s="2613" t="str">
        <f>IF(A26&lt;&gt;"",VLOOKUP(A26,IP!$A$4:$R$181,14,FALSE),"")</f>
        <v/>
      </c>
      <c r="D26" s="2914"/>
      <c r="E26" s="117" t="str">
        <f t="shared" si="0"/>
        <v/>
      </c>
      <c r="F26" s="1559"/>
      <c r="G26" s="2604" t="str">
        <f>IF(A26&lt;&gt;"",VLOOKUP(A26,IP!$A$4:C$153,2,FALSE),"")</f>
        <v/>
      </c>
      <c r="M26" s="931"/>
      <c r="O26" s="931"/>
      <c r="P26" s="931"/>
      <c r="Q26" s="931"/>
    </row>
    <row r="27" spans="1:17">
      <c r="A27" s="1071"/>
      <c r="B27" s="2613" t="str">
        <f>IF(A27&lt;&gt;"",VLOOKUP(A27,IP!$A$4:$R$181,4,FALSE),"")</f>
        <v/>
      </c>
      <c r="C27" s="2613" t="str">
        <f>IF(A27&lt;&gt;"",VLOOKUP(A27,IP!$A$4:$R$181,14,FALSE),"")</f>
        <v/>
      </c>
      <c r="D27" s="2914"/>
      <c r="E27" s="117" t="str">
        <f t="shared" si="0"/>
        <v/>
      </c>
      <c r="F27" s="1559"/>
      <c r="G27" s="2604" t="str">
        <f>IF(A27&lt;&gt;"",VLOOKUP(A27,IP!$A$4:C$153,2,FALSE),"")</f>
        <v/>
      </c>
      <c r="M27" s="931"/>
      <c r="O27" s="931"/>
      <c r="P27" s="931"/>
      <c r="Q27" s="931"/>
    </row>
    <row r="28" spans="1:17">
      <c r="A28" s="1071"/>
      <c r="B28" s="2613" t="str">
        <f>IF(A28&lt;&gt;"",VLOOKUP(A28,IP!$A$4:$R$181,4,FALSE),"")</f>
        <v/>
      </c>
      <c r="C28" s="2613" t="str">
        <f>IF(A28&lt;&gt;"",VLOOKUP(A28,IP!$A$4:$R$181,14,FALSE),"")</f>
        <v/>
      </c>
      <c r="D28" s="2914"/>
      <c r="E28" s="117" t="str">
        <f t="shared" si="0"/>
        <v/>
      </c>
      <c r="F28" s="1559"/>
      <c r="G28" s="2604" t="str">
        <f>IF(A28&lt;&gt;"",VLOOKUP(A28,IP!$A$4:C$153,2,FALSE),"")</f>
        <v/>
      </c>
      <c r="M28" s="931"/>
      <c r="O28" s="931"/>
      <c r="P28" s="931"/>
      <c r="Q28" s="931"/>
    </row>
    <row r="29" spans="1:17">
      <c r="A29" s="1071"/>
      <c r="B29" s="2613" t="str">
        <f>IF(A29&lt;&gt;"",VLOOKUP(A29,IP!$A$4:$R$181,4,FALSE),"")</f>
        <v/>
      </c>
      <c r="C29" s="2613" t="str">
        <f>IF(A29&lt;&gt;"",VLOOKUP(A29,IP!$A$4:$R$181,14,FALSE),"")</f>
        <v/>
      </c>
      <c r="D29" s="2914"/>
      <c r="E29" s="117" t="str">
        <f t="shared" si="0"/>
        <v/>
      </c>
      <c r="F29" s="1559"/>
      <c r="G29" s="2604" t="str">
        <f>IF(A29&lt;&gt;"",VLOOKUP(A29,IP!$A$4:C$153,2,FALSE),"")</f>
        <v/>
      </c>
      <c r="M29" s="931"/>
      <c r="O29" s="931"/>
      <c r="P29" s="931"/>
      <c r="Q29" s="931"/>
    </row>
    <row r="30" spans="1:17" ht="13.5" thickBot="1">
      <c r="A30" s="1069"/>
      <c r="B30" s="449" t="str">
        <f>IF(A30&lt;&gt;"",VLOOKUP(A30,IP!$A$4:$R$181,4,FALSE),"")</f>
        <v/>
      </c>
      <c r="C30" s="449" t="str">
        <f>IF(A30&lt;&gt;"",VLOOKUP(A30,IP!$A$4:$R$181,14,FALSE),"")</f>
        <v/>
      </c>
      <c r="D30" s="2915"/>
      <c r="E30" s="2905" t="str">
        <f t="shared" si="0"/>
        <v/>
      </c>
      <c r="F30" s="2609"/>
      <c r="G30" s="2605" t="str">
        <f>IF(A30&lt;&gt;"",VLOOKUP(A30,IP!$A$4:C$153,2,FALSE),"")</f>
        <v/>
      </c>
      <c r="M30" s="931"/>
      <c r="O30" s="931"/>
      <c r="P30" s="931"/>
      <c r="Q30" s="931"/>
    </row>
  </sheetData>
  <mergeCells count="1">
    <mergeCell ref="F1:G1"/>
  </mergeCells>
  <conditionalFormatting sqref="B1:E1">
    <cfRule type="cellIs" dxfId="103" priority="5" stopIfTrue="1" operator="equal">
      <formula>"Undetermined"</formula>
    </cfRule>
    <cfRule type="cellIs" dxfId="102" priority="6" stopIfTrue="1" operator="equal">
      <formula>"REQUIRED"</formula>
    </cfRule>
  </conditionalFormatting>
  <conditionalFormatting sqref="D4">
    <cfRule type="expression" dxfId="101" priority="2">
      <formula>LEFT($B4,1)="p"</formula>
    </cfRule>
  </conditionalFormatting>
  <conditionalFormatting sqref="D5:D30">
    <cfRule type="expression" dxfId="100" priority="1">
      <formula>LEFT($B5,1)="p"</formula>
    </cfRule>
  </conditionalFormatting>
  <dataValidations count="2">
    <dataValidation type="list" allowBlank="1" showInputMessage="1" showErrorMessage="1" sqref="A4:A30" xr:uid="{00000000-0002-0000-1600-000000000000}">
      <formula1>list_AllIPs</formula1>
    </dataValidation>
    <dataValidation type="list" allowBlank="1" showInputMessage="1" showErrorMessage="1" sqref="D4:D30" xr:uid="{00000000-0002-0000-1600-000001000000}">
      <formula1>"Yes, No"</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642049" r:id="rId4">
          <objectPr defaultSize="0" autoPict="0" r:id="rId5">
            <anchor moveWithCells="1">
              <from>
                <xdr:col>97</xdr:col>
                <xdr:colOff>0</xdr:colOff>
                <xdr:row>0</xdr:row>
                <xdr:rowOff>0</xdr:rowOff>
              </from>
              <to>
                <xdr:col>113</xdr:col>
                <xdr:colOff>466725</xdr:colOff>
                <xdr:row>27</xdr:row>
                <xdr:rowOff>114300</xdr:rowOff>
              </to>
            </anchor>
          </objectPr>
        </oleObject>
      </mc:Choice>
      <mc:Fallback>
        <oleObject progId="Word.Document.12" shapeId="642049" r:id="rId4"/>
      </mc:Fallback>
    </mc:AlternateContent>
  </oleObjec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theme="3" tint="0.79998168889431442"/>
  </sheetPr>
  <dimension ref="A1:U143"/>
  <sheetViews>
    <sheetView showGridLines="0" topLeftCell="B1" zoomScaleNormal="100" workbookViewId="0">
      <selection activeCell="M17" sqref="M17"/>
    </sheetView>
  </sheetViews>
  <sheetFormatPr defaultRowHeight="12.75"/>
  <cols>
    <col min="1" max="1" width="1.85546875" hidden="1" customWidth="1"/>
    <col min="2" max="2" width="17.85546875" style="12" bestFit="1" customWidth="1"/>
    <col min="3" max="3" width="14.85546875" style="12" customWidth="1"/>
    <col min="4" max="4" width="17.5703125" style="2424" customWidth="1"/>
    <col min="5" max="5" width="30" style="12" customWidth="1"/>
    <col min="6" max="6" width="13.85546875" style="12" bestFit="1" customWidth="1"/>
    <col min="7" max="7" width="13.5703125" style="12" bestFit="1" customWidth="1"/>
    <col min="8" max="8" width="12.140625" style="12" customWidth="1"/>
    <col min="9" max="9" width="14.5703125" style="12" customWidth="1"/>
    <col min="10" max="10" width="16" style="12" bestFit="1" customWidth="1"/>
    <col min="11" max="11" width="10.28515625" style="12" bestFit="1" customWidth="1"/>
    <col min="12" max="12" width="13.85546875" style="12" bestFit="1" customWidth="1"/>
    <col min="13" max="13" width="12.5703125" style="12" bestFit="1" customWidth="1"/>
    <col min="14" max="14" width="13.5703125" style="12" bestFit="1" customWidth="1"/>
    <col min="15" max="15" width="13.28515625" style="12" customWidth="1"/>
    <col min="16" max="16" width="8.42578125" style="12" bestFit="1" customWidth="1"/>
    <col min="17" max="17" width="8.42578125" style="12" customWidth="1"/>
    <col min="18" max="18" width="17.85546875" style="12" customWidth="1"/>
    <col min="19" max="19" width="12.28515625" style="12" customWidth="1"/>
    <col min="20" max="20" width="10" style="12" hidden="1" customWidth="1"/>
    <col min="21" max="21" width="40.7109375" style="12" bestFit="1" customWidth="1"/>
  </cols>
  <sheetData>
    <row r="1" spans="1:21" ht="31.5" customHeight="1" thickBot="1">
      <c r="A1" s="132"/>
      <c r="B1" s="2940" t="s">
        <v>1762</v>
      </c>
      <c r="C1" s="2941"/>
      <c r="D1" s="2942" t="str">
        <f>IF(firewall="YES","REQUIRED",IF(firewall="NO","This Tab is Not Required","Undetermined"))</f>
        <v>REQUIRED</v>
      </c>
      <c r="E1" s="3888" t="str">
        <f>'Project Details'!$C$8 &amp;" - Firewall Requests"</f>
        <v>Linux Infrastructure Management - Firewall Requests</v>
      </c>
      <c r="F1" s="3888"/>
      <c r="G1" s="3888"/>
      <c r="H1" s="3888"/>
      <c r="I1" s="3888"/>
      <c r="J1" s="3888"/>
      <c r="K1" s="3888"/>
      <c r="L1" s="3888"/>
      <c r="M1" s="3888"/>
      <c r="N1" s="3888"/>
      <c r="O1" s="3888"/>
      <c r="P1" s="3888"/>
      <c r="Q1" s="3888"/>
      <c r="R1" s="3888"/>
      <c r="S1" s="3888"/>
      <c r="T1" s="3888"/>
      <c r="U1" s="3889"/>
    </row>
    <row r="2" spans="1:21" ht="33" customHeight="1" thickBot="1">
      <c r="A2" s="502"/>
      <c r="B2" s="2943"/>
      <c r="C2" s="2944"/>
      <c r="D2" s="3887"/>
      <c r="E2" s="3887"/>
      <c r="F2" s="2945"/>
      <c r="G2" s="2945"/>
      <c r="H2" s="2945"/>
      <c r="I2" s="2936"/>
      <c r="J2" s="2936"/>
      <c r="K2" s="2936"/>
      <c r="L2" s="2936"/>
      <c r="M2" s="2936"/>
      <c r="N2" s="2936"/>
      <c r="O2" s="2936"/>
      <c r="P2" s="2936"/>
      <c r="Q2" s="2936"/>
      <c r="R2" s="2936"/>
      <c r="S2" s="2936"/>
      <c r="T2" s="2936"/>
      <c r="U2" s="2946"/>
    </row>
    <row r="3" spans="1:21" ht="70.5" customHeight="1">
      <c r="A3" s="379"/>
      <c r="B3" s="2947" t="s">
        <v>682</v>
      </c>
      <c r="C3" s="1997" t="s">
        <v>3009</v>
      </c>
      <c r="D3" s="1997" t="s">
        <v>5191</v>
      </c>
      <c r="E3" s="1997" t="s">
        <v>3617</v>
      </c>
      <c r="F3" s="777" t="s">
        <v>3638</v>
      </c>
      <c r="G3" s="777" t="s">
        <v>105</v>
      </c>
      <c r="H3" s="777" t="s">
        <v>1471</v>
      </c>
      <c r="I3" s="777" t="s">
        <v>5190</v>
      </c>
      <c r="J3" s="777" t="s">
        <v>245</v>
      </c>
      <c r="K3" s="777" t="s">
        <v>1</v>
      </c>
      <c r="L3" s="777" t="s">
        <v>116</v>
      </c>
      <c r="M3" s="777" t="s">
        <v>1470</v>
      </c>
      <c r="N3" s="1997" t="s">
        <v>2</v>
      </c>
      <c r="O3" s="777" t="s">
        <v>0</v>
      </c>
      <c r="P3" s="777" t="s">
        <v>80</v>
      </c>
      <c r="Q3" s="777" t="s">
        <v>4630</v>
      </c>
      <c r="R3" s="1998" t="s">
        <v>3631</v>
      </c>
      <c r="S3" s="1998" t="s">
        <v>781</v>
      </c>
      <c r="T3" s="2373" t="s">
        <v>3844</v>
      </c>
      <c r="U3" s="782" t="s">
        <v>16</v>
      </c>
    </row>
    <row r="4" spans="1:21" ht="18.75" customHeight="1">
      <c r="A4" s="278"/>
      <c r="B4" s="2948" t="s">
        <v>3</v>
      </c>
      <c r="C4" s="2949" t="s">
        <v>3008</v>
      </c>
      <c r="D4" s="2949" t="s">
        <v>25</v>
      </c>
      <c r="E4" s="2937" t="s">
        <v>175</v>
      </c>
      <c r="F4" s="2937" t="s">
        <v>4</v>
      </c>
      <c r="G4" s="2937" t="s">
        <v>117</v>
      </c>
      <c r="H4" s="2937"/>
      <c r="I4" s="2949" t="s">
        <v>25</v>
      </c>
      <c r="J4" s="2937" t="s">
        <v>175</v>
      </c>
      <c r="K4" s="2937" t="s">
        <v>5</v>
      </c>
      <c r="L4" s="2937" t="s">
        <v>6</v>
      </c>
      <c r="M4" s="2937"/>
      <c r="N4" s="2937">
        <v>22</v>
      </c>
      <c r="O4" s="2937" t="s">
        <v>7</v>
      </c>
      <c r="P4" s="2939" t="s">
        <v>750</v>
      </c>
      <c r="Q4" s="2939" t="s">
        <v>110</v>
      </c>
      <c r="R4" s="2935" t="s">
        <v>110</v>
      </c>
      <c r="S4" s="1990"/>
      <c r="T4" s="2374"/>
      <c r="U4" s="1999" t="s">
        <v>8</v>
      </c>
    </row>
    <row r="5" spans="1:21">
      <c r="B5" s="380" t="s">
        <v>3</v>
      </c>
      <c r="C5" s="1992" t="s">
        <v>1055</v>
      </c>
      <c r="D5" s="1992" t="s">
        <v>5622</v>
      </c>
      <c r="E5" s="1991" t="s">
        <v>3612</v>
      </c>
      <c r="F5" s="1993" t="str">
        <f>IF($D5&lt;&gt;"",IF($D5="Yes",LEFT(VLOOKUP(IF(MID($E5,10,3)&lt;&gt;"VIP",$E5,LEFT($E5,15)),IP!$A$4:$N$205,11,FALSE),FIND(".",VLOOKUP(IF(MID($E5,10,3)&lt;&gt;"VIP",$E5,LEFT($E5,15)),IP!$A$4:$N$205,11,FALSE))-1),""),"")</f>
        <v/>
      </c>
      <c r="G5" s="1994" t="e">
        <f>IF($D5&lt;&gt;"",
          IF($D5="Yes",VLOOKUP(IF(MID($E5,10,3)&lt;&gt;"VIP",$E5,LEFT($E5,15)),IP!$A$4:$N$205,14,FALSE),
                     IF($D5="No", IFERROR(VLOOKUP($F5,'Host Reference'!$A$3:$B$93,2,FALSE),""),
                          VLOOKUP($F5,'Host Reference'!$A$3:$C$93,2,FALSE))),"")</f>
        <v>#N/A</v>
      </c>
      <c r="H5" s="1995" t="str">
        <f>IF(ISNUMBER(SEARCH("-VIP",$E5))," &amp; F5 Self IPs", "")</f>
        <v/>
      </c>
      <c r="I5" s="1991" t="s">
        <v>1055</v>
      </c>
      <c r="J5" s="1991" t="s">
        <v>5617</v>
      </c>
      <c r="K5" s="2938" t="str">
        <f>IF($I5&lt;&gt;"",
    IF(LEFT(I5,4)="Test","tbcilproxy",
        IF(LEFT(I5, 4)="Prod",CONCATENATE("bcilproxy", CHAR(10),"bctxproxy"),
                 IF($I5="Yes",LEFT(VLOOKUP(IF(MID($J5,10,3)&lt;&gt;"VIP",$J5,LEFT($J5,15)),IP!$A$4:$N$205,11,FALSE),FIND(".",VLOOKUP(IF(MID($J5,10,3)&lt;&gt;"VIP",$J5,LEFT($J5,15)),IP!$A$4:$N$205,11,FALSE))-1),""))),"")</f>
        <v>dwauslmgt01</v>
      </c>
      <c r="L5" s="2938" t="str">
        <f>IF($I5&lt;&gt;"",
        IF($I5="Prod BlueCoat", VLOOKUP($I5,'Host Reference'!$A$3:$C$110,3,FALSE),
                IF($I5="Test BlueCoat", VLOOKUP($I5,'Host Reference'!$A$3:$C$110,3,FALSE),
             IF($I5="Yes",VLOOKUP(IF(MID($J5,10,3)&lt;&gt;"VIP",$J5,LEFT($J5,15)),IP!$A$4:$N$205,14,FALSE),
                     IF($I5="No", IFERROR(VLOOKUP($K5,'Host Reference'!$A$3:$C$110,3,FALSE),""),
                            VLOOKUP($K5,'Host Reference'!$A$3:$C$110,3,FALSE))))),"")</f>
        <v>10.130.3.119</v>
      </c>
      <c r="M5" s="1991"/>
      <c r="N5" s="1991">
        <v>22</v>
      </c>
      <c r="O5" s="1991" t="s">
        <v>7</v>
      </c>
      <c r="P5" s="1991" t="s">
        <v>5623</v>
      </c>
      <c r="Q5" s="2950"/>
      <c r="R5" s="1996"/>
      <c r="S5" s="2916" t="str">
        <f t="shared" ref="S5:S36" si="0">IF($B5&lt;&gt;"",
     IF($N5=8098, inbound_requestid, ""),"")</f>
        <v/>
      </c>
      <c r="T5" s="2375" t="e">
        <f>IF($B5&lt;&gt;"",
       IF(OR(LEFT($G5,7)="10.136.",LEFT($L5,7)="10.136."),
         "Prod",
             IF(OR(LEFT($G5,7)&lt;&gt;"",LEFT($L5,7)&lt;&gt;""),
                  "Non-Prod","")),"")</f>
        <v>#N/A</v>
      </c>
      <c r="U5" s="3419"/>
    </row>
    <row r="6" spans="1:21">
      <c r="B6" s="380" t="s">
        <v>3</v>
      </c>
      <c r="C6" s="1992" t="s">
        <v>1055</v>
      </c>
      <c r="D6" s="1992" t="s">
        <v>5622</v>
      </c>
      <c r="E6" s="1991" t="s">
        <v>3612</v>
      </c>
      <c r="F6" s="1993" t="str">
        <f>IF($D6&lt;&gt;"",IF($D6="Yes",LEFT(VLOOKUP(IF(MID($E6,10,3)&lt;&gt;"VIP",$E6,LEFT($E6,15)),IP!$A$4:$N$205,11,FALSE),FIND(".",VLOOKUP(IF(MID($E6,10,3)&lt;&gt;"VIP",$E6,LEFT($E6,15)),IP!$A$4:$N$205,11,FALSE))-1),""),"")</f>
        <v/>
      </c>
      <c r="G6" s="1994" t="e">
        <f>IF($D6&lt;&gt;"",
          IF($D6="Yes",VLOOKUP(IF(MID($E6,10,3)&lt;&gt;"VIP",$E6,LEFT($E6,15)),IP!$A$4:$N$205,14,FALSE),
                     IF($D6="No", IFERROR(VLOOKUP($F6,'Host Reference'!$A$3:$B$93,2,FALSE),""),
                          VLOOKUP($F6,'Host Reference'!$A$3:$C$93,2,FALSE))),"")</f>
        <v>#N/A</v>
      </c>
      <c r="H6" s="1995" t="str">
        <f t="shared" ref="H6:H69" si="1">IF(ISNUMBER(SEARCH("-VIP",$E6))," &amp; F5 Self IPs", "")</f>
        <v/>
      </c>
      <c r="I6" s="1991" t="s">
        <v>1055</v>
      </c>
      <c r="J6" s="1991" t="s">
        <v>5618</v>
      </c>
      <c r="K6" s="2938" t="str">
        <f>IF($I6&lt;&gt;"",
    IF(LEFT(I6,4)="Test","tbcilproxy",
        IF(LEFT(I6, 4)="Prod",CONCATENATE("bcilproxy", CHAR(10),"bctxproxy"),
                 IF($I6="Yes",LEFT(VLOOKUP(IF(MID($J6,10,3)&lt;&gt;"VIP",$J6,LEFT($J6,15)),IP!$A$4:$N$205,11,FALSE),FIND(".",VLOOKUP(IF(MID($J6,10,3)&lt;&gt;"VIP",$J6,LEFT($J6,15)),IP!$A$4:$N$205,11,FALSE))-1),""))),"")</f>
        <v>twauslmgt01</v>
      </c>
      <c r="L6" s="2938" t="str">
        <f>IF($I6&lt;&gt;"",
        IF($I6="Prod BlueCoat", VLOOKUP($I6,'Host Reference'!$A$3:$C$110,3,FALSE),
                IF($I6="Test BlueCoat", VLOOKUP($I6,'Host Reference'!$A$3:$C$110,3,FALSE),
             IF($I6="Yes",VLOOKUP(IF(MID($J6,10,3)&lt;&gt;"VIP",$J6,LEFT($J6,15)),IP!$A$4:$N$205,14,FALSE),
                     IF($I6="No", IFERROR(VLOOKUP($K6,'Host Reference'!$A$3:$C$110,3,FALSE),""),
                            VLOOKUP($K6,'Host Reference'!$A$3:$C$110,3,FALSE))))),"")</f>
        <v>10.134.129.199</v>
      </c>
      <c r="M6" s="1991"/>
      <c r="N6" s="1991">
        <v>22</v>
      </c>
      <c r="O6" s="1991" t="s">
        <v>7</v>
      </c>
      <c r="P6" s="1991" t="s">
        <v>5623</v>
      </c>
      <c r="Q6" s="2950"/>
      <c r="R6" s="1996"/>
      <c r="S6" s="2916" t="str">
        <f t="shared" si="0"/>
        <v/>
      </c>
      <c r="T6" s="2375" t="e">
        <f>IF($B6&lt;&gt;"",
       IF(OR(LEFT($G6,7)="10.136.",LEFT($L6,7)="10.136."),
         "Prod",
             IF(OR(LEFT($G6,7)&lt;&gt;"",LEFT($L6,7)&lt;&gt;""),
                  "Non-Prod","")),"")</f>
        <v>#N/A</v>
      </c>
      <c r="U6" s="3419"/>
    </row>
    <row r="7" spans="1:21">
      <c r="B7" s="380" t="s">
        <v>3</v>
      </c>
      <c r="C7" s="1992" t="s">
        <v>1055</v>
      </c>
      <c r="D7" s="1992" t="s">
        <v>5622</v>
      </c>
      <c r="E7" s="1991" t="s">
        <v>3612</v>
      </c>
      <c r="F7" s="1993" t="str">
        <f>IF($D7&lt;&gt;"",IF($D7="Yes",LEFT(VLOOKUP(IF(MID($E7,10,3)&lt;&gt;"VIP",$E7,LEFT($E7,15)),IP!$A$4:$N$205,11,FALSE),FIND(".",VLOOKUP(IF(MID($E7,10,3)&lt;&gt;"VIP",$E7,LEFT($E7,15)),IP!$A$4:$N$205,11,FALSE))-1),""),"")</f>
        <v/>
      </c>
      <c r="G7" s="1994" t="e">
        <f>IF($D7&lt;&gt;"",
          IF($D7="Yes",VLOOKUP(IF(MID($E7,10,3)&lt;&gt;"VIP",$E7,LEFT($E7,15)),IP!$A$4:$N$205,14,FALSE),
                     IF($D7="No", IFERROR(VLOOKUP($F7,'Host Reference'!$A$3:$B$93,2,FALSE),""),
                          VLOOKUP($F7,'Host Reference'!$A$3:$C$93,2,FALSE))),"")</f>
        <v>#N/A</v>
      </c>
      <c r="H7" s="1995" t="str">
        <f t="shared" si="1"/>
        <v/>
      </c>
      <c r="I7" s="1991" t="s">
        <v>1055</v>
      </c>
      <c r="J7" s="1991" t="s">
        <v>5619</v>
      </c>
      <c r="K7" s="2938" t="str">
        <f>IF($I7&lt;&gt;"",
    IF(LEFT(I7,4)="Test","tbcilproxy",
        IF(LEFT(I7, 4)="Prod",CONCATENATE("bcilproxy", CHAR(10),"bctxproxy"),
                 IF($I7="Yes",LEFT(VLOOKUP(IF(MID($J7,10,3)&lt;&gt;"VIP",$J7,LEFT($J7,15)),IP!$A$4:$N$205,11,FALSE),FIND(".",VLOOKUP(IF(MID($J7,10,3)&lt;&gt;"VIP",$J7,LEFT($J7,15)),IP!$A$4:$N$205,11,FALSE))-1),""))),"")</f>
        <v>awauslmgt01</v>
      </c>
      <c r="L7" s="2938" t="str">
        <f>IF($I7&lt;&gt;"",
        IF($I7="Prod BlueCoat", VLOOKUP($I7,'Host Reference'!$A$3:$C$110,3,FALSE),
                IF($I7="Test BlueCoat", VLOOKUP($I7,'Host Reference'!$A$3:$C$110,3,FALSE),
             IF($I7="Yes",VLOOKUP(IF(MID($J7,10,3)&lt;&gt;"VIP",$J7,LEFT($J7,15)),IP!$A$4:$N$205,14,FALSE),
                     IF($I7="No", IFERROR(VLOOKUP($K7,'Host Reference'!$A$3:$C$110,3,FALSE),""),
                            VLOOKUP($K7,'Host Reference'!$A$3:$C$110,3,FALSE))))),"")</f>
        <v>10.137.52.39</v>
      </c>
      <c r="M7" s="1991"/>
      <c r="N7" s="1991">
        <v>22</v>
      </c>
      <c r="O7" s="1991" t="s">
        <v>7</v>
      </c>
      <c r="P7" s="1991" t="s">
        <v>5623</v>
      </c>
      <c r="Q7" s="2950"/>
      <c r="R7" s="1996"/>
      <c r="S7" s="2916" t="str">
        <f t="shared" si="0"/>
        <v/>
      </c>
      <c r="T7" s="2375" t="e">
        <f t="shared" ref="T7:T70" si="2">IF($B7&lt;&gt;"",
       IF(OR(LEFT($G7,7)="10.136.",LEFT($L7,7)="10.136."),
         "Prod",
             IF(OR(LEFT($G7,7)&lt;&gt;"",LEFT($L7,7)&lt;&gt;""),
                  "Non-Prod","")),"")</f>
        <v>#N/A</v>
      </c>
      <c r="U7" s="3419"/>
    </row>
    <row r="8" spans="1:21">
      <c r="B8" s="380" t="s">
        <v>3</v>
      </c>
      <c r="C8" s="1992" t="s">
        <v>1055</v>
      </c>
      <c r="D8" s="1992" t="s">
        <v>5622</v>
      </c>
      <c r="E8" s="1991" t="s">
        <v>3612</v>
      </c>
      <c r="F8" s="1993" t="str">
        <f>IF($D8&lt;&gt;"",IF($D8="Yes",LEFT(VLOOKUP(IF(MID($E8,10,3)&lt;&gt;"VIP",$E8,LEFT($E8,15)),IP!$A$4:$N$205,11,FALSE),FIND(".",VLOOKUP(IF(MID($E8,10,3)&lt;&gt;"VIP",$E8,LEFT($E8,15)),IP!$A$4:$N$205,11,FALSE))-1),""),"")</f>
        <v/>
      </c>
      <c r="G8" s="1994" t="e">
        <f>IF($D8&lt;&gt;"",
          IF($D8="Yes",VLOOKUP(IF(MID($E8,10,3)&lt;&gt;"VIP",$E8,LEFT($E8,15)),IP!$A$4:$N$205,14,FALSE),
                     IF($D8="No", IFERROR(VLOOKUP($F8,'Host Reference'!$A$3:$B$93,2,FALSE),""),
                          VLOOKUP($F8,'Host Reference'!$A$3:$C$93,2,FALSE))),"")</f>
        <v>#N/A</v>
      </c>
      <c r="H8" s="1995" t="str">
        <f t="shared" si="1"/>
        <v/>
      </c>
      <c r="I8" s="1991" t="s">
        <v>1055</v>
      </c>
      <c r="J8" s="1991" t="s">
        <v>5620</v>
      </c>
      <c r="K8" s="2938" t="str">
        <f>IF($I8&lt;&gt;"",
    IF(LEFT(I8,4)="Test","tbcilproxy",
        IF(LEFT(I8, 4)="Prod",CONCATENATE("bcilproxy", CHAR(10),"bctxproxy"),
                 IF($I8="Yes",LEFT(VLOOKUP(IF(MID($J8,10,3)&lt;&gt;"VIP",$J8,LEFT($J8,15)),IP!$A$4:$N$205,11,FALSE),FIND(".",VLOOKUP(IF(MID($J8,10,3)&lt;&gt;"VIP",$J8,LEFT($J8,15)),IP!$A$4:$N$205,11,FALSE))-1),""))),"")</f>
        <v>pwauslmgt01</v>
      </c>
      <c r="L8" s="2938" t="str">
        <f>IF($I8&lt;&gt;"",
        IF($I8="Prod BlueCoat", VLOOKUP($I8,'Host Reference'!$A$3:$C$110,3,FALSE),
                IF($I8="Test BlueCoat", VLOOKUP($I8,'Host Reference'!$A$3:$C$110,3,FALSE),
             IF($I8="Yes",VLOOKUP(IF(MID($J8,10,3)&lt;&gt;"VIP",$J8,LEFT($J8,15)),IP!$A$4:$N$205,14,FALSE),
                     IF($I8="No", IFERROR(VLOOKUP($K8,'Host Reference'!$A$3:$C$110,3,FALSE),""),
                            VLOOKUP($K8,'Host Reference'!$A$3:$C$110,3,FALSE))))),"")</f>
        <v>10.136.137.123</v>
      </c>
      <c r="M8" s="1991"/>
      <c r="N8" s="1991">
        <v>22</v>
      </c>
      <c r="O8" s="1991" t="s">
        <v>7</v>
      </c>
      <c r="P8" s="1991" t="s">
        <v>5623</v>
      </c>
      <c r="Q8" s="2950"/>
      <c r="R8" s="1996"/>
      <c r="S8" s="2916" t="str">
        <f t="shared" si="0"/>
        <v/>
      </c>
      <c r="T8" s="2375" t="e">
        <f t="shared" si="2"/>
        <v>#N/A</v>
      </c>
      <c r="U8" s="3419"/>
    </row>
    <row r="9" spans="1:21">
      <c r="B9" s="380"/>
      <c r="C9" s="1992"/>
      <c r="D9" s="1992"/>
      <c r="E9" s="1991"/>
      <c r="F9" s="1993" t="str">
        <f>IF($D9&lt;&gt;"",IF($D9="Yes",LEFT(VLOOKUP(IF(MID($E9,10,3)&lt;&gt;"VIP",$E9,LEFT($E9,15)),IP!$A$4:$N$205,11,FALSE),FIND(".",VLOOKUP(IF(MID($E9,10,3)&lt;&gt;"VIP",$E9,LEFT($E9,15)),IP!$A$4:$N$205,11,FALSE))-1),""),"")</f>
        <v/>
      </c>
      <c r="G9" s="1994" t="str">
        <f>IF($D9&lt;&gt;"",
          IF($D9="Yes",VLOOKUP(IF(MID($E9,10,3)&lt;&gt;"VIP",$E9,LEFT($E9,15)),IP!$A$4:$N$205,14,FALSE),
                     IF($D9="No", IFERROR(VLOOKUP($F9,'Host Reference'!$A$3:$B$93,2,FALSE),""),
                          VLOOKUP($F9,'Host Reference'!$A$3:$C$93,2,FALSE))),"")</f>
        <v/>
      </c>
      <c r="H9" s="1995" t="str">
        <f t="shared" si="1"/>
        <v/>
      </c>
      <c r="I9" s="1991"/>
      <c r="J9" s="1991"/>
      <c r="K9" s="2938" t="str">
        <f>IF($I9&lt;&gt;"",
    IF(LEFT(I9,4)="Test","tbcilproxy",
        IF(LEFT(I9, 4)="Prod",CONCATENATE("bcilproxy", CHAR(10),"bctxproxy"),
                 IF($I9="Yes",LEFT(VLOOKUP(IF(MID($J9,10,3)&lt;&gt;"VIP",$J9,LEFT($J9,15)),IP!$A$4:$N$205,11,FALSE),FIND(".",VLOOKUP(IF(MID($J9,10,3)&lt;&gt;"VIP",$J9,LEFT($J9,15)),IP!$A$4:$N$205,11,FALSE))-1),""))),"")</f>
        <v/>
      </c>
      <c r="L9" s="2938" t="str">
        <f>IF($I9&lt;&gt;"",
        IF($I9="Prod BlueCoat", VLOOKUP($I9,'Host Reference'!$A$3:$C$110,3,FALSE),
                IF($I9="Test BlueCoat", VLOOKUP($I9,'Host Reference'!$A$3:$C$110,3,FALSE),
             IF($I9="Yes",VLOOKUP(IF(MID($J9,10,3)&lt;&gt;"VIP",$J9,LEFT($J9,15)),IP!$A$4:$N$205,14,FALSE),
                     IF($I9="No", IFERROR(VLOOKUP($K9,'Host Reference'!$A$3:$C$110,3,FALSE),""),
                            VLOOKUP($K9,'Host Reference'!$A$3:$C$110,3,FALSE))))),"")</f>
        <v/>
      </c>
      <c r="M9" s="1991"/>
      <c r="N9" s="1991"/>
      <c r="O9" s="1991"/>
      <c r="P9" s="1991"/>
      <c r="Q9" s="2950"/>
      <c r="R9" s="1996"/>
      <c r="S9" s="2916" t="str">
        <f t="shared" si="0"/>
        <v/>
      </c>
      <c r="T9" s="2375" t="str">
        <f t="shared" si="2"/>
        <v/>
      </c>
      <c r="U9" s="2000"/>
    </row>
    <row r="10" spans="1:21">
      <c r="B10" s="380"/>
      <c r="C10" s="1992"/>
      <c r="D10" s="1992"/>
      <c r="E10" s="1991"/>
      <c r="F10" s="1993" t="str">
        <f>IF($D10&lt;&gt;"",IF($D10="Yes",LEFT(VLOOKUP(IF(MID($E10,10,3)&lt;&gt;"VIP",$E10,LEFT($E10,15)),IP!$A$4:$N$205,11,FALSE),FIND(".",VLOOKUP(IF(MID($E10,10,3)&lt;&gt;"VIP",$E10,LEFT($E10,15)),IP!$A$4:$N$205,11,FALSE))-1),""),"")</f>
        <v/>
      </c>
      <c r="G10" s="1994" t="str">
        <f>IF($D10&lt;&gt;"",
          IF($D10="Yes",VLOOKUP(IF(MID($E10,10,3)&lt;&gt;"VIP",$E10,LEFT($E10,15)),IP!$A$4:$N$205,14,FALSE),
                     IF($D10="No", IFERROR(VLOOKUP($F10,'Host Reference'!$A$3:$B$93,2,FALSE),""),
                          VLOOKUP($F10,'Host Reference'!$A$3:$C$93,2,FALSE))),"")</f>
        <v/>
      </c>
      <c r="H10" s="1995" t="str">
        <f t="shared" si="1"/>
        <v/>
      </c>
      <c r="I10" s="1991"/>
      <c r="J10" s="1991"/>
      <c r="K10" s="2938" t="str">
        <f>IF($I10&lt;&gt;"",
    IF(LEFT(I10,4)="Test","tbcilproxy",
        IF(LEFT(I10, 4)="Prod",CONCATENATE("bcilproxy", CHAR(10),"bctxproxy"),
                 IF($I10="Yes",LEFT(VLOOKUP(IF(MID($J10,10,3)&lt;&gt;"VIP",$J10,LEFT($J10,15)),IP!$A$4:$N$205,11,FALSE),FIND(".",VLOOKUP(IF(MID($J10,10,3)&lt;&gt;"VIP",$J10,LEFT($J10,15)),IP!$A$4:$N$205,11,FALSE))-1),""))),"")</f>
        <v/>
      </c>
      <c r="L10" s="2938" t="str">
        <f>IF($I10&lt;&gt;"",
        IF($I10="Prod BlueCoat", VLOOKUP($I10,'Host Reference'!$A$3:$C$110,3,FALSE),
                IF($I10="Test BlueCoat", VLOOKUP($I10,'Host Reference'!$A$3:$C$110,3,FALSE),
             IF($I10="Yes",VLOOKUP(IF(MID($J10,10,3)&lt;&gt;"VIP",$J10,LEFT($J10,15)),IP!$A$4:$N$205,14,FALSE),
                     IF($I10="No", IFERROR(VLOOKUP($K10,'Host Reference'!$A$3:$C$110,3,FALSE),""),
                            VLOOKUP($K10,'Host Reference'!$A$3:$C$110,3,FALSE))))),"")</f>
        <v/>
      </c>
      <c r="M10" s="1991"/>
      <c r="N10" s="1991"/>
      <c r="O10" s="1991"/>
      <c r="P10" s="1991"/>
      <c r="Q10" s="2950"/>
      <c r="R10" s="1996"/>
      <c r="S10" s="2916" t="str">
        <f t="shared" si="0"/>
        <v/>
      </c>
      <c r="T10" s="2375" t="str">
        <f t="shared" si="2"/>
        <v/>
      </c>
      <c r="U10" s="2000"/>
    </row>
    <row r="11" spans="1:21">
      <c r="B11" s="380"/>
      <c r="C11" s="1992"/>
      <c r="D11" s="1992"/>
      <c r="E11" s="1991"/>
      <c r="F11" s="1993" t="str">
        <f>IF($D11&lt;&gt;"",IF($D11="Yes",LEFT(VLOOKUP(IF(MID($E11,10,3)&lt;&gt;"VIP",$E11,LEFT($E11,15)),IP!$A$4:$N$205,11,FALSE),FIND(".",VLOOKUP(IF(MID($E11,10,3)&lt;&gt;"VIP",$E11,LEFT($E11,15)),IP!$A$4:$N$205,11,FALSE))-1),""),"")</f>
        <v/>
      </c>
      <c r="G11" s="1994" t="str">
        <f>IF($D11&lt;&gt;"",
          IF($D11="Yes",VLOOKUP(IF(MID($E11,10,3)&lt;&gt;"VIP",$E11,LEFT($E11,15)),IP!$A$4:$N$205,14,FALSE),
                     IF($D11="No", IFERROR(VLOOKUP($F11,'Host Reference'!$A$3:$B$93,2,FALSE),""),
                          VLOOKUP($F11,'Host Reference'!$A$3:$C$93,2,FALSE))),"")</f>
        <v/>
      </c>
      <c r="H11" s="1995" t="str">
        <f t="shared" si="1"/>
        <v/>
      </c>
      <c r="I11" s="1991"/>
      <c r="J11" s="1991"/>
      <c r="K11" s="2938" t="str">
        <f>IF($I11&lt;&gt;"",
    IF(LEFT(I11,4)="Test","tbcilproxy",
        IF(LEFT(I11, 4)="Prod",CONCATENATE("bcilproxy", CHAR(10),"bctxproxy"),
                 IF($I11="Yes",LEFT(VLOOKUP(IF(MID($J11,10,3)&lt;&gt;"VIP",$J11,LEFT($J11,15)),IP!$A$4:$N$205,11,FALSE),FIND(".",VLOOKUP(IF(MID($J11,10,3)&lt;&gt;"VIP",$J11,LEFT($J11,15)),IP!$A$4:$N$205,11,FALSE))-1),""))),"")</f>
        <v/>
      </c>
      <c r="L11" s="2938" t="str">
        <f>IF($I11&lt;&gt;"",
        IF($I11="Prod BlueCoat", VLOOKUP($I11,'Host Reference'!$A$3:$C$110,3,FALSE),
                IF($I11="Test BlueCoat", VLOOKUP($I11,'Host Reference'!$A$3:$C$110,3,FALSE),
             IF($I11="Yes",VLOOKUP(IF(MID($J11,10,3)&lt;&gt;"VIP",$J11,LEFT($J11,15)),IP!$A$4:$N$205,14,FALSE),
                     IF($I11="No", IFERROR(VLOOKUP($K11,'Host Reference'!$A$3:$C$110,3,FALSE),""),
                            VLOOKUP($K11,'Host Reference'!$A$3:$C$110,3,FALSE))))),"")</f>
        <v/>
      </c>
      <c r="M11" s="1991"/>
      <c r="N11" s="1991"/>
      <c r="O11" s="1991"/>
      <c r="P11" s="1991"/>
      <c r="Q11" s="2950"/>
      <c r="R11" s="1996"/>
      <c r="S11" s="2916" t="str">
        <f t="shared" si="0"/>
        <v/>
      </c>
      <c r="T11" s="2375" t="str">
        <f t="shared" si="2"/>
        <v/>
      </c>
      <c r="U11" s="2000"/>
    </row>
    <row r="12" spans="1:21">
      <c r="B12" s="380"/>
      <c r="C12" s="1992"/>
      <c r="D12" s="1992"/>
      <c r="E12" s="1991"/>
      <c r="F12" s="1993" t="str">
        <f>IF($D12&lt;&gt;"",IF($D12="Yes",LEFT(VLOOKUP(IF(MID($E12,10,3)&lt;&gt;"VIP",$E12,LEFT($E12,15)),IP!$A$4:$N$205,11,FALSE),FIND(".",VLOOKUP(IF(MID($E12,10,3)&lt;&gt;"VIP",$E12,LEFT($E12,15)),IP!$A$4:$N$205,11,FALSE))-1),""),"")</f>
        <v/>
      </c>
      <c r="G12" s="1994" t="str">
        <f>IF($D12&lt;&gt;"",
          IF($D12="Yes",VLOOKUP(IF(MID($E12,10,3)&lt;&gt;"VIP",$E12,LEFT($E12,15)),IP!$A$4:$N$205,14,FALSE),
                     IF($D12="No", IFERROR(VLOOKUP($F12,'Host Reference'!$A$3:$B$93,2,FALSE),""),
                          VLOOKUP($F12,'Host Reference'!$A$3:$C$93,2,FALSE))),"")</f>
        <v/>
      </c>
      <c r="H12" s="1995" t="str">
        <f t="shared" si="1"/>
        <v/>
      </c>
      <c r="I12" s="1991"/>
      <c r="J12" s="1991"/>
      <c r="K12" s="2938" t="str">
        <f>IF($I12&lt;&gt;"",
    IF(LEFT(I12,4)="Test","tbcilproxy",
        IF(LEFT(I12, 4)="Prod",CONCATENATE("bcilproxy", CHAR(10),"bctxproxy"),
                 IF($I12="Yes",LEFT(VLOOKUP(IF(MID($J12,10,3)&lt;&gt;"VIP",$J12,LEFT($J12,15)),IP!$A$4:$N$205,11,FALSE),FIND(".",VLOOKUP(IF(MID($J12,10,3)&lt;&gt;"VIP",$J12,LEFT($J12,15)),IP!$A$4:$N$205,11,FALSE))-1),""))),"")</f>
        <v/>
      </c>
      <c r="L12" s="2938" t="str">
        <f>IF($I12&lt;&gt;"",
        IF($I12="Prod BlueCoat", VLOOKUP($I12,'Host Reference'!$A$3:$C$110,3,FALSE),
                IF($I12="Test BlueCoat", VLOOKUP($I12,'Host Reference'!$A$3:$C$110,3,FALSE),
             IF($I12="Yes",VLOOKUP(IF(MID($J12,10,3)&lt;&gt;"VIP",$J12,LEFT($J12,15)),IP!$A$4:$N$205,14,FALSE),
                     IF($I12="No", IFERROR(VLOOKUP($K12,'Host Reference'!$A$3:$C$110,3,FALSE),""),
                            VLOOKUP($K12,'Host Reference'!$A$3:$C$110,3,FALSE))))),"")</f>
        <v/>
      </c>
      <c r="M12" s="1991"/>
      <c r="N12" s="1991"/>
      <c r="O12" s="1991"/>
      <c r="P12" s="1991"/>
      <c r="Q12" s="2950"/>
      <c r="R12" s="1996"/>
      <c r="S12" s="2916" t="str">
        <f t="shared" si="0"/>
        <v/>
      </c>
      <c r="T12" s="2375" t="str">
        <f t="shared" si="2"/>
        <v/>
      </c>
      <c r="U12" s="2000"/>
    </row>
    <row r="13" spans="1:21">
      <c r="B13" s="380"/>
      <c r="C13" s="1992"/>
      <c r="D13" s="1992"/>
      <c r="E13" s="1991"/>
      <c r="F13" s="1993" t="str">
        <f>IF($D13&lt;&gt;"",IF($D13="Yes",LEFT(VLOOKUP(IF(MID($E13,10,3)&lt;&gt;"VIP",$E13,LEFT($E13,15)),IP!$A$4:$N$205,11,FALSE),FIND(".",VLOOKUP(IF(MID($E13,10,3)&lt;&gt;"VIP",$E13,LEFT($E13,15)),IP!$A$4:$N$205,11,FALSE))-1),""),"")</f>
        <v/>
      </c>
      <c r="G13" s="1994" t="str">
        <f>IF($D13&lt;&gt;"",
          IF($D13="Yes",VLOOKUP(IF(MID($E13,10,3)&lt;&gt;"VIP",$E13,LEFT($E13,15)),IP!$A$4:$N$205,14,FALSE),
                     IF($D13="No", IFERROR(VLOOKUP($F13,'Host Reference'!$A$3:$B$93,2,FALSE),""),
                          VLOOKUP($F13,'Host Reference'!$A$3:$C$93,2,FALSE))),"")</f>
        <v/>
      </c>
      <c r="H13" s="1995" t="str">
        <f t="shared" si="1"/>
        <v/>
      </c>
      <c r="I13" s="1991"/>
      <c r="J13" s="1991"/>
      <c r="K13" s="2938" t="str">
        <f>IF($I13&lt;&gt;"",
    IF(LEFT(I13,4)="Test","tbcilproxy",
        IF(LEFT(I13, 4)="Prod",CONCATENATE("bcilproxy", CHAR(10),"bctxproxy"),
                 IF($I13="Yes",LEFT(VLOOKUP(IF(MID($J13,10,3)&lt;&gt;"VIP",$J13,LEFT($J13,15)),IP!$A$4:$N$205,11,FALSE),FIND(".",VLOOKUP(IF(MID($J13,10,3)&lt;&gt;"VIP",$J13,LEFT($J13,15)),IP!$A$4:$N$205,11,FALSE))-1),""))),"")</f>
        <v/>
      </c>
      <c r="L13" s="2938" t="str">
        <f>IF($I13&lt;&gt;"",
        IF($I13="Prod BlueCoat", VLOOKUP($I13,'Host Reference'!$A$3:$C$110,3,FALSE),
                IF($I13="Test BlueCoat", VLOOKUP($I13,'Host Reference'!$A$3:$C$110,3,FALSE),
             IF($I13="Yes",VLOOKUP(IF(MID($J13,10,3)&lt;&gt;"VIP",$J13,LEFT($J13,15)),IP!$A$4:$N$205,14,FALSE),
                     IF($I13="No", IFERROR(VLOOKUP($K13,'Host Reference'!$A$3:$C$110,3,FALSE),""),
                            VLOOKUP($K13,'Host Reference'!$A$3:$C$110,3,FALSE))))),"")</f>
        <v/>
      </c>
      <c r="M13" s="1991"/>
      <c r="N13" s="1991"/>
      <c r="O13" s="1991"/>
      <c r="P13" s="1991"/>
      <c r="Q13" s="2950"/>
      <c r="R13" s="1996"/>
      <c r="S13" s="2916" t="str">
        <f t="shared" si="0"/>
        <v/>
      </c>
      <c r="T13" s="2375" t="str">
        <f t="shared" si="2"/>
        <v/>
      </c>
      <c r="U13" s="2000"/>
    </row>
    <row r="14" spans="1:21">
      <c r="B14" s="380"/>
      <c r="C14" s="1992"/>
      <c r="D14" s="1992"/>
      <c r="E14" s="1991"/>
      <c r="F14" s="1993" t="str">
        <f>IF($D14&lt;&gt;"",IF($D14="Yes",LEFT(VLOOKUP(IF(MID($E14,10,3)&lt;&gt;"VIP",$E14,LEFT($E14,15)),IP!$A$4:$N$205,11,FALSE),FIND(".",VLOOKUP(IF(MID($E14,10,3)&lt;&gt;"VIP",$E14,LEFT($E14,15)),IP!$A$4:$N$205,11,FALSE))-1),""),"")</f>
        <v/>
      </c>
      <c r="G14" s="1994" t="str">
        <f>IF($D14&lt;&gt;"",
          IF($D14="Yes",VLOOKUP(IF(MID($E14,10,3)&lt;&gt;"VIP",$E14,LEFT($E14,15)),IP!$A$4:$N$205,14,FALSE),
                     IF($D14="No", IFERROR(VLOOKUP($F14,'Host Reference'!$A$3:$B$93,2,FALSE),""),
                          VLOOKUP($F14,'Host Reference'!$A$3:$C$93,2,FALSE))),"")</f>
        <v/>
      </c>
      <c r="H14" s="1995" t="str">
        <f t="shared" si="1"/>
        <v/>
      </c>
      <c r="I14" s="1991"/>
      <c r="J14" s="1991"/>
      <c r="K14" s="2938" t="str">
        <f>IF($I14&lt;&gt;"",
    IF(LEFT(I14,4)="Test","tbcilproxy",
        IF(LEFT(I14, 4)="Prod",CONCATENATE("bcilproxy", CHAR(10),"bctxproxy"),
                 IF($I14="Yes",LEFT(VLOOKUP(IF(MID($J14,10,3)&lt;&gt;"VIP",$J14,LEFT($J14,15)),IP!$A$4:$N$205,11,FALSE),FIND(".",VLOOKUP(IF(MID($J14,10,3)&lt;&gt;"VIP",$J14,LEFT($J14,15)),IP!$A$4:$N$205,11,FALSE))-1),""))),"")</f>
        <v/>
      </c>
      <c r="L14" s="2938" t="str">
        <f>IF($I14&lt;&gt;"",
        IF($I14="Prod BlueCoat", VLOOKUP($I14,'Host Reference'!$A$3:$C$110,3,FALSE),
                IF($I14="Test BlueCoat", VLOOKUP($I14,'Host Reference'!$A$3:$C$110,3,FALSE),
             IF($I14="Yes",VLOOKUP(IF(MID($J14,10,3)&lt;&gt;"VIP",$J14,LEFT($J14,15)),IP!$A$4:$N$205,14,FALSE),
                     IF($I14="No", IFERROR(VLOOKUP($K14,'Host Reference'!$A$3:$C$110,3,FALSE),""),
                            VLOOKUP($K14,'Host Reference'!$A$3:$C$110,3,FALSE))))),"")</f>
        <v/>
      </c>
      <c r="M14" s="1991"/>
      <c r="N14" s="1991"/>
      <c r="O14" s="1991"/>
      <c r="P14" s="1991"/>
      <c r="Q14" s="2950"/>
      <c r="R14" s="1996"/>
      <c r="S14" s="2916" t="str">
        <f t="shared" si="0"/>
        <v/>
      </c>
      <c r="T14" s="2375" t="str">
        <f t="shared" si="2"/>
        <v/>
      </c>
      <c r="U14" s="2000"/>
    </row>
    <row r="15" spans="1:21">
      <c r="B15" s="380"/>
      <c r="C15" s="1992"/>
      <c r="D15" s="1992"/>
      <c r="E15" s="1991"/>
      <c r="F15" s="1993" t="str">
        <f>IF($D15&lt;&gt;"",IF($D15="Yes",LEFT(VLOOKUP(IF(MID($E15,10,3)&lt;&gt;"VIP",$E15,LEFT($E15,15)),IP!$A$4:$N$205,11,FALSE),FIND(".",VLOOKUP(IF(MID($E15,10,3)&lt;&gt;"VIP",$E15,LEFT($E15,15)),IP!$A$4:$N$205,11,FALSE))-1),""),"")</f>
        <v/>
      </c>
      <c r="G15" s="1994" t="str">
        <f>IF($D15&lt;&gt;"",
          IF($D15="Yes",VLOOKUP(IF(MID($E15,10,3)&lt;&gt;"VIP",$E15,LEFT($E15,15)),IP!$A$4:$N$205,14,FALSE),
                     IF($D15="No", IFERROR(VLOOKUP($F15,'Host Reference'!$A$3:$B$93,2,FALSE),""),
                          VLOOKUP($F15,'Host Reference'!$A$3:$C$93,2,FALSE))),"")</f>
        <v/>
      </c>
      <c r="H15" s="1995" t="str">
        <f t="shared" si="1"/>
        <v/>
      </c>
      <c r="I15" s="1991"/>
      <c r="J15" s="1991"/>
      <c r="K15" s="2938" t="str">
        <f>IF($I15&lt;&gt;"",
    IF(LEFT(I15,4)="Test","tbcilproxy",
        IF(LEFT(I15, 4)="Prod",CONCATENATE("bcilproxy", CHAR(10),"bctxproxy"),
                 IF($I15="Yes",LEFT(VLOOKUP(IF(MID($J15,10,3)&lt;&gt;"VIP",$J15,LEFT($J15,15)),IP!$A$4:$N$205,11,FALSE),FIND(".",VLOOKUP(IF(MID($J15,10,3)&lt;&gt;"VIP",$J15,LEFT($J15,15)),IP!$A$4:$N$205,11,FALSE))-1),""))),"")</f>
        <v/>
      </c>
      <c r="L15" s="2938" t="str">
        <f>IF($I15&lt;&gt;"",
        IF($I15="Prod BlueCoat", VLOOKUP($I15,'Host Reference'!$A$3:$C$110,3,FALSE),
                IF($I15="Test BlueCoat", VLOOKUP($I15,'Host Reference'!$A$3:$C$110,3,FALSE),
             IF($I15="Yes",VLOOKUP(IF(MID($J15,10,3)&lt;&gt;"VIP",$J15,LEFT($J15,15)),IP!$A$4:$N$205,14,FALSE),
                     IF($I15="No", IFERROR(VLOOKUP($K15,'Host Reference'!$A$3:$C$110,3,FALSE),""),
                            VLOOKUP($K15,'Host Reference'!$A$3:$C$110,3,FALSE))))),"")</f>
        <v/>
      </c>
      <c r="M15" s="1991"/>
      <c r="N15" s="1991"/>
      <c r="O15" s="1991"/>
      <c r="P15" s="1991"/>
      <c r="Q15" s="2950"/>
      <c r="R15" s="1996"/>
      <c r="S15" s="2916" t="str">
        <f t="shared" si="0"/>
        <v/>
      </c>
      <c r="T15" s="2375" t="str">
        <f t="shared" si="2"/>
        <v/>
      </c>
      <c r="U15" s="2000"/>
    </row>
    <row r="16" spans="1:21">
      <c r="B16" s="380"/>
      <c r="C16" s="1992"/>
      <c r="D16" s="1992"/>
      <c r="E16" s="1991"/>
      <c r="F16" s="1993" t="str">
        <f>IF($D16&lt;&gt;"",IF($D16="Yes",LEFT(VLOOKUP(IF(MID($E16,10,3)&lt;&gt;"VIP",$E16,LEFT($E16,15)),IP!$A$4:$N$205,11,FALSE),FIND(".",VLOOKUP(IF(MID($E16,10,3)&lt;&gt;"VIP",$E16,LEFT($E16,15)),IP!$A$4:$N$205,11,FALSE))-1),""),"")</f>
        <v/>
      </c>
      <c r="G16" s="1994" t="str">
        <f>IF($D16&lt;&gt;"",
          IF($D16="Yes",VLOOKUP(IF(MID($E16,10,3)&lt;&gt;"VIP",$E16,LEFT($E16,15)),IP!$A$4:$N$205,14,FALSE),
                     IF($D16="No", IFERROR(VLOOKUP($F16,'Host Reference'!$A$3:$B$93,2,FALSE),""),
                          VLOOKUP($F16,'Host Reference'!$A$3:$C$93,2,FALSE))),"")</f>
        <v/>
      </c>
      <c r="H16" s="1995" t="str">
        <f t="shared" si="1"/>
        <v/>
      </c>
      <c r="I16" s="1991"/>
      <c r="J16" s="1991"/>
      <c r="K16" s="2938" t="str">
        <f>IF($I16&lt;&gt;"",
    IF(LEFT(I16,4)="Test","tbcilproxy",
        IF(LEFT(I16, 4)="Prod",CONCATENATE("bcilproxy", CHAR(10),"bctxproxy"),
                 IF($I16="Yes",LEFT(VLOOKUP(IF(MID($J16,10,3)&lt;&gt;"VIP",$J16,LEFT($J16,15)),IP!$A$4:$N$205,11,FALSE),FIND(".",VLOOKUP(IF(MID($J16,10,3)&lt;&gt;"VIP",$J16,LEFT($J16,15)),IP!$A$4:$N$205,11,FALSE))-1),""))),"")</f>
        <v/>
      </c>
      <c r="L16" s="2938" t="str">
        <f>IF($I16&lt;&gt;"",
        IF($I16="Prod BlueCoat", VLOOKUP($I16,'Host Reference'!$A$3:$C$110,3,FALSE),
                IF($I16="Test BlueCoat", VLOOKUP($I16,'Host Reference'!$A$3:$C$110,3,FALSE),
             IF($I16="Yes",VLOOKUP(IF(MID($J16,10,3)&lt;&gt;"VIP",$J16,LEFT($J16,15)),IP!$A$4:$N$205,14,FALSE),
                     IF($I16="No", IFERROR(VLOOKUP($K16,'Host Reference'!$A$3:$C$110,3,FALSE),""),
                            VLOOKUP($K16,'Host Reference'!$A$3:$C$110,3,FALSE))))),"")</f>
        <v/>
      </c>
      <c r="M16" s="1991"/>
      <c r="N16" s="1991"/>
      <c r="O16" s="1991"/>
      <c r="P16" s="1991"/>
      <c r="Q16" s="2950"/>
      <c r="R16" s="1996"/>
      <c r="S16" s="2916" t="str">
        <f t="shared" si="0"/>
        <v/>
      </c>
      <c r="T16" s="2375" t="str">
        <f t="shared" si="2"/>
        <v/>
      </c>
      <c r="U16" s="2000"/>
    </row>
    <row r="17" spans="2:21">
      <c r="B17" s="380"/>
      <c r="C17" s="1992"/>
      <c r="D17" s="1992"/>
      <c r="E17" s="1991"/>
      <c r="F17" s="1993" t="str">
        <f>IF($D17&lt;&gt;"",IF($D17="Yes",LEFT(VLOOKUP(IF(MID($E17,10,3)&lt;&gt;"VIP",$E17,LEFT($E17,15)),IP!$A$4:$N$205,11,FALSE),FIND(".",VLOOKUP(IF(MID($E17,10,3)&lt;&gt;"VIP",$E17,LEFT($E17,15)),IP!$A$4:$N$205,11,FALSE))-1),""),"")</f>
        <v/>
      </c>
      <c r="G17" s="1994" t="str">
        <f>IF($D17&lt;&gt;"",
          IF($D17="Yes",VLOOKUP(IF(MID($E17,10,3)&lt;&gt;"VIP",$E17,LEFT($E17,15)),IP!$A$4:$N$205,14,FALSE),
                     IF($D17="No", IFERROR(VLOOKUP($F17,'Host Reference'!$A$3:$B$93,2,FALSE),""),
                          VLOOKUP($F17,'Host Reference'!$A$3:$C$93,2,FALSE))),"")</f>
        <v/>
      </c>
      <c r="H17" s="1995" t="str">
        <f t="shared" si="1"/>
        <v/>
      </c>
      <c r="I17" s="1991"/>
      <c r="J17" s="1991"/>
      <c r="K17" s="2938" t="str">
        <f>IF($I17&lt;&gt;"",
    IF(LEFT(I17,4)="Test","tbcilproxy",
        IF(LEFT(I17, 4)="Prod",CONCATENATE("bcilproxy", CHAR(10),"bctxproxy"),
                 IF($I17="Yes",LEFT(VLOOKUP(IF(MID($J17,10,3)&lt;&gt;"VIP",$J17,LEFT($J17,15)),IP!$A$4:$N$205,11,FALSE),FIND(".",VLOOKUP(IF(MID($J17,10,3)&lt;&gt;"VIP",$J17,LEFT($J17,15)),IP!$A$4:$N$205,11,FALSE))-1),""))),"")</f>
        <v/>
      </c>
      <c r="L17" s="2938" t="str">
        <f>IF($I17&lt;&gt;"",
        IF($I17="Prod BlueCoat", VLOOKUP($I17,'Host Reference'!$A$3:$C$110,3,FALSE),
                IF($I17="Test BlueCoat", VLOOKUP($I17,'Host Reference'!$A$3:$C$110,3,FALSE),
             IF($I17="Yes",VLOOKUP(IF(MID($J17,10,3)&lt;&gt;"VIP",$J17,LEFT($J17,15)),IP!$A$4:$N$205,14,FALSE),
                     IF($I17="No", IFERROR(VLOOKUP($K17,'Host Reference'!$A$3:$C$110,3,FALSE),""),
                            VLOOKUP($K17,'Host Reference'!$A$3:$C$110,3,FALSE))))),"")</f>
        <v/>
      </c>
      <c r="M17" s="1991"/>
      <c r="N17" s="1991"/>
      <c r="O17" s="1991"/>
      <c r="P17" s="1991"/>
      <c r="Q17" s="2950"/>
      <c r="R17" s="1996"/>
      <c r="S17" s="2916" t="str">
        <f t="shared" si="0"/>
        <v/>
      </c>
      <c r="T17" s="2375" t="str">
        <f t="shared" si="2"/>
        <v/>
      </c>
      <c r="U17" s="2000"/>
    </row>
    <row r="18" spans="2:21">
      <c r="B18" s="380"/>
      <c r="C18" s="1992"/>
      <c r="D18" s="1992"/>
      <c r="E18" s="1991"/>
      <c r="F18" s="1993" t="str">
        <f>IF($D18&lt;&gt;"",IF($D18="Yes",LEFT(VLOOKUP(IF(MID($E18,10,3)&lt;&gt;"VIP",$E18,LEFT($E18,15)),IP!$A$4:$N$205,11,FALSE),FIND(".",VLOOKUP(IF(MID($E18,10,3)&lt;&gt;"VIP",$E18,LEFT($E18,15)),IP!$A$4:$N$205,11,FALSE))-1),""),"")</f>
        <v/>
      </c>
      <c r="G18" s="1994" t="str">
        <f>IF($D18&lt;&gt;"",
          IF($D18="Yes",VLOOKUP(IF(MID($E18,10,3)&lt;&gt;"VIP",$E18,LEFT($E18,15)),IP!$A$4:$N$205,14,FALSE),
                     IF($D18="No", IFERROR(VLOOKUP($F18,'Host Reference'!$A$3:$B$93,2,FALSE),""),
                          VLOOKUP($F18,'Host Reference'!$A$3:$C$93,2,FALSE))),"")</f>
        <v/>
      </c>
      <c r="H18" s="1995" t="str">
        <f t="shared" si="1"/>
        <v/>
      </c>
      <c r="I18" s="1991"/>
      <c r="J18" s="1991"/>
      <c r="K18" s="2938" t="str">
        <f>IF($I18&lt;&gt;"",
    IF(LEFT(I18,4)="Test","tbcilproxy",
        IF(LEFT(I18, 4)="Prod",CONCATENATE("bcilproxy", CHAR(10),"bctxproxy"),
                 IF($I18="Yes",LEFT(VLOOKUP(IF(MID($J18,10,3)&lt;&gt;"VIP",$J18,LEFT($J18,15)),IP!$A$4:$N$205,11,FALSE),FIND(".",VLOOKUP(IF(MID($J18,10,3)&lt;&gt;"VIP",$J18,LEFT($J18,15)),IP!$A$4:$N$205,11,FALSE))-1),""))),"")</f>
        <v/>
      </c>
      <c r="L18" s="2938" t="str">
        <f>IF($I18&lt;&gt;"",
        IF($I18="Prod BlueCoat", VLOOKUP($I18,'Host Reference'!$A$3:$C$110,3,FALSE),
                IF($I18="Test BlueCoat", VLOOKUP($I18,'Host Reference'!$A$3:$C$110,3,FALSE),
             IF($I18="Yes",VLOOKUP(IF(MID($J18,10,3)&lt;&gt;"VIP",$J18,LEFT($J18,15)),IP!$A$4:$N$205,14,FALSE),
                     IF($I18="No", IFERROR(VLOOKUP($K18,'Host Reference'!$A$3:$C$110,3,FALSE),""),
                            VLOOKUP($K18,'Host Reference'!$A$3:$C$110,3,FALSE))))),"")</f>
        <v/>
      </c>
      <c r="M18" s="1991"/>
      <c r="N18" s="1991"/>
      <c r="O18" s="1991"/>
      <c r="P18" s="1991"/>
      <c r="Q18" s="2950"/>
      <c r="R18" s="1996"/>
      <c r="S18" s="2916" t="str">
        <f t="shared" si="0"/>
        <v/>
      </c>
      <c r="T18" s="2375" t="str">
        <f t="shared" si="2"/>
        <v/>
      </c>
      <c r="U18" s="2000"/>
    </row>
    <row r="19" spans="2:21">
      <c r="B19" s="380"/>
      <c r="C19" s="1992"/>
      <c r="D19" s="1992"/>
      <c r="E19" s="1991"/>
      <c r="F19" s="1993" t="str">
        <f>IF($D19&lt;&gt;"",IF($D19="Yes",LEFT(VLOOKUP(IF(MID($E19,10,3)&lt;&gt;"VIP",$E19,LEFT($E19,15)),IP!$A$4:$N$205,11,FALSE),FIND(".",VLOOKUP(IF(MID($E19,10,3)&lt;&gt;"VIP",$E19,LEFT($E19,15)),IP!$A$4:$N$205,11,FALSE))-1),""),"")</f>
        <v/>
      </c>
      <c r="G19" s="1994" t="str">
        <f>IF($D19&lt;&gt;"",
          IF($D19="Yes",VLOOKUP(IF(MID($E19,10,3)&lt;&gt;"VIP",$E19,LEFT($E19,15)),IP!$A$4:$N$205,14,FALSE),
                     IF($D19="No", IFERROR(VLOOKUP($F19,'Host Reference'!$A$3:$B$93,2,FALSE),""),
                          VLOOKUP($F19,'Host Reference'!$A$3:$C$93,2,FALSE))),"")</f>
        <v/>
      </c>
      <c r="H19" s="1995" t="str">
        <f t="shared" si="1"/>
        <v/>
      </c>
      <c r="I19" s="1991"/>
      <c r="J19" s="1991"/>
      <c r="K19" s="2938" t="str">
        <f>IF($I19&lt;&gt;"",
    IF(LEFT(I19,4)="Test","tbcilproxy",
        IF(LEFT(I19, 4)="Prod",CONCATENATE("bcilproxy", CHAR(10),"bctxproxy"),
                 IF($I19="Yes",LEFT(VLOOKUP(IF(MID($J19,10,3)&lt;&gt;"VIP",$J19,LEFT($J19,15)),IP!$A$4:$N$205,11,FALSE),FIND(".",VLOOKUP(IF(MID($J19,10,3)&lt;&gt;"VIP",$J19,LEFT($J19,15)),IP!$A$4:$N$205,11,FALSE))-1),""))),"")</f>
        <v/>
      </c>
      <c r="L19" s="2938" t="str">
        <f>IF($I19&lt;&gt;"",
        IF($I19="Prod BlueCoat", VLOOKUP($I19,'Host Reference'!$A$3:$C$110,3,FALSE),
                IF($I19="Test BlueCoat", VLOOKUP($I19,'Host Reference'!$A$3:$C$110,3,FALSE),
             IF($I19="Yes",VLOOKUP(IF(MID($J19,10,3)&lt;&gt;"VIP",$J19,LEFT($J19,15)),IP!$A$4:$N$205,14,FALSE),
                     IF($I19="No", IFERROR(VLOOKUP($K19,'Host Reference'!$A$3:$C$110,3,FALSE),""),
                            VLOOKUP($K19,'Host Reference'!$A$3:$C$110,3,FALSE))))),"")</f>
        <v/>
      </c>
      <c r="M19" s="1991"/>
      <c r="N19" s="1991"/>
      <c r="O19" s="1991"/>
      <c r="P19" s="1991"/>
      <c r="Q19" s="2950"/>
      <c r="R19" s="1996"/>
      <c r="S19" s="2916" t="str">
        <f t="shared" si="0"/>
        <v/>
      </c>
      <c r="T19" s="2375" t="str">
        <f t="shared" si="2"/>
        <v/>
      </c>
      <c r="U19" s="2000"/>
    </row>
    <row r="20" spans="2:21">
      <c r="B20" s="380"/>
      <c r="C20" s="1992"/>
      <c r="D20" s="1992"/>
      <c r="E20" s="1991"/>
      <c r="F20" s="1993" t="str">
        <f>IF($D20&lt;&gt;"",IF($D20="Yes",LEFT(VLOOKUP(IF(MID($E20,10,3)&lt;&gt;"VIP",$E20,LEFT($E20,15)),IP!$A$4:$N$205,11,FALSE),FIND(".",VLOOKUP(IF(MID($E20,10,3)&lt;&gt;"VIP",$E20,LEFT($E20,15)),IP!$A$4:$N$205,11,FALSE))-1),""),"")</f>
        <v/>
      </c>
      <c r="G20" s="1994" t="str">
        <f>IF($D20&lt;&gt;"",
          IF($D20="Yes",VLOOKUP(IF(MID($E20,10,3)&lt;&gt;"VIP",$E20,LEFT($E20,15)),IP!$A$4:$N$205,14,FALSE),
                     IF($D20="No", IFERROR(VLOOKUP($F20,'Host Reference'!$A$3:$B$93,2,FALSE),""),
                          VLOOKUP($F20,'Host Reference'!$A$3:$C$93,2,FALSE))),"")</f>
        <v/>
      </c>
      <c r="H20" s="1995" t="str">
        <f t="shared" si="1"/>
        <v/>
      </c>
      <c r="I20" s="1991"/>
      <c r="J20" s="1991"/>
      <c r="K20" s="2938" t="str">
        <f>IF($I20&lt;&gt;"",
    IF(LEFT(I20,4)="Test","tbcilproxy",
        IF(LEFT(I20, 4)="Prod",CONCATENATE("bcilproxy", CHAR(10),"bctxproxy"),
                 IF($I20="Yes",LEFT(VLOOKUP(IF(MID($J20,10,3)&lt;&gt;"VIP",$J20,LEFT($J20,15)),IP!$A$4:$N$205,11,FALSE),FIND(".",VLOOKUP(IF(MID($J20,10,3)&lt;&gt;"VIP",$J20,LEFT($J20,15)),IP!$A$4:$N$205,11,FALSE))-1),""))),"")</f>
        <v/>
      </c>
      <c r="L20" s="2938" t="str">
        <f>IF($I20&lt;&gt;"",
        IF($I20="Prod BlueCoat", VLOOKUP($I20,'Host Reference'!$A$3:$C$110,3,FALSE),
                IF($I20="Test BlueCoat", VLOOKUP($I20,'Host Reference'!$A$3:$C$110,3,FALSE),
             IF($I20="Yes",VLOOKUP(IF(MID($J20,10,3)&lt;&gt;"VIP",$J20,LEFT($J20,15)),IP!$A$4:$N$205,14,FALSE),
                     IF($I20="No", IFERROR(VLOOKUP($K20,'Host Reference'!$A$3:$C$110,3,FALSE),""),
                            VLOOKUP($K20,'Host Reference'!$A$3:$C$110,3,FALSE))))),"")</f>
        <v/>
      </c>
      <c r="M20" s="1991"/>
      <c r="N20" s="1991"/>
      <c r="O20" s="1991"/>
      <c r="P20" s="1991"/>
      <c r="Q20" s="2950"/>
      <c r="R20" s="1996"/>
      <c r="S20" s="2916" t="str">
        <f t="shared" si="0"/>
        <v/>
      </c>
      <c r="T20" s="2375" t="str">
        <f t="shared" si="2"/>
        <v/>
      </c>
      <c r="U20" s="2000"/>
    </row>
    <row r="21" spans="2:21">
      <c r="B21" s="380"/>
      <c r="C21" s="1992"/>
      <c r="D21" s="1992"/>
      <c r="E21" s="1991"/>
      <c r="F21" s="1993" t="str">
        <f>IF($D21&lt;&gt;"",IF($D21="Yes",LEFT(VLOOKUP(IF(MID($E21,10,3)&lt;&gt;"VIP",$E21,LEFT($E21,15)),IP!$A$4:$N$205,11,FALSE),FIND(".",VLOOKUP(IF(MID($E21,10,3)&lt;&gt;"VIP",$E21,LEFT($E21,15)),IP!$A$4:$N$205,11,FALSE))-1),""),"")</f>
        <v/>
      </c>
      <c r="G21" s="1994" t="str">
        <f>IF($D21&lt;&gt;"",
          IF($D21="Yes",VLOOKUP(IF(MID($E21,10,3)&lt;&gt;"VIP",$E21,LEFT($E21,15)),IP!$A$4:$N$205,14,FALSE),
                     IF($D21="No", IFERROR(VLOOKUP($F21,'Host Reference'!$A$3:$B$93,2,FALSE),""),
                          VLOOKUP($F21,'Host Reference'!$A$3:$C$93,2,FALSE))),"")</f>
        <v/>
      </c>
      <c r="H21" s="1995" t="str">
        <f t="shared" si="1"/>
        <v/>
      </c>
      <c r="I21" s="1991"/>
      <c r="J21" s="1991"/>
      <c r="K21" s="2938" t="str">
        <f>IF($I21&lt;&gt;"",
    IF(LEFT(I21,4)="Test","tbcilproxy",
        IF(LEFT(I21, 4)="Prod",CONCATENATE("bcilproxy", CHAR(10),"bctxproxy"),
                 IF($I21="Yes",LEFT(VLOOKUP(IF(MID($J21,10,3)&lt;&gt;"VIP",$J21,LEFT($J21,15)),IP!$A$4:$N$205,11,FALSE),FIND(".",VLOOKUP(IF(MID($J21,10,3)&lt;&gt;"VIP",$J21,LEFT($J21,15)),IP!$A$4:$N$205,11,FALSE))-1),""))),"")</f>
        <v/>
      </c>
      <c r="L21" s="2938" t="str">
        <f>IF($I21&lt;&gt;"",
        IF($I21="Prod BlueCoat", VLOOKUP($I21,'Host Reference'!$A$3:$C$110,3,FALSE),
                IF($I21="Test BlueCoat", VLOOKUP($I21,'Host Reference'!$A$3:$C$110,3,FALSE),
             IF($I21="Yes",VLOOKUP(IF(MID($J21,10,3)&lt;&gt;"VIP",$J21,LEFT($J21,15)),IP!$A$4:$N$205,14,FALSE),
                     IF($I21="No", IFERROR(VLOOKUP($K21,'Host Reference'!$A$3:$C$110,3,FALSE),""),
                            VLOOKUP($K21,'Host Reference'!$A$3:$C$110,3,FALSE))))),"")</f>
        <v/>
      </c>
      <c r="M21" s="1991"/>
      <c r="N21" s="1991"/>
      <c r="O21" s="1991"/>
      <c r="P21" s="1991"/>
      <c r="Q21" s="2950"/>
      <c r="R21" s="1996"/>
      <c r="S21" s="2916" t="str">
        <f t="shared" si="0"/>
        <v/>
      </c>
      <c r="T21" s="2375" t="str">
        <f t="shared" si="2"/>
        <v/>
      </c>
      <c r="U21" s="2000"/>
    </row>
    <row r="22" spans="2:21">
      <c r="B22" s="380"/>
      <c r="C22" s="1992"/>
      <c r="D22" s="1992"/>
      <c r="E22" s="1991"/>
      <c r="F22" s="1993" t="str">
        <f>IF($D22&lt;&gt;"",IF($D22="Yes",LEFT(VLOOKUP(IF(MID($E22,10,3)&lt;&gt;"VIP",$E22,LEFT($E22,15)),IP!$A$4:$N$205,11,FALSE),FIND(".",VLOOKUP(IF(MID($E22,10,3)&lt;&gt;"VIP",$E22,LEFT($E22,15)),IP!$A$4:$N$205,11,FALSE))-1),""),"")</f>
        <v/>
      </c>
      <c r="G22" s="1994" t="str">
        <f>IF($D22&lt;&gt;"",
          IF($D22="Yes",VLOOKUP(IF(MID($E22,10,3)&lt;&gt;"VIP",$E22,LEFT($E22,15)),IP!$A$4:$N$205,14,FALSE),
                     IF($D22="No", IFERROR(VLOOKUP($F22,'Host Reference'!$A$3:$B$93,2,FALSE),""),
                          VLOOKUP($F22,'Host Reference'!$A$3:$C$93,2,FALSE))),"")</f>
        <v/>
      </c>
      <c r="H22" s="1995" t="str">
        <f t="shared" si="1"/>
        <v/>
      </c>
      <c r="I22" s="1991"/>
      <c r="J22" s="1991"/>
      <c r="K22" s="2938" t="str">
        <f>IF($I22&lt;&gt;"",
    IF(LEFT(I22,4)="Test","tbcilproxy",
        IF(LEFT(I22, 4)="Prod",CONCATENATE("bcilproxy", CHAR(10),"bctxproxy"),
                 IF($I22="Yes",LEFT(VLOOKUP(IF(MID($J22,10,3)&lt;&gt;"VIP",$J22,LEFT($J22,15)),IP!$A$4:$N$205,11,FALSE),FIND(".",VLOOKUP(IF(MID($J22,10,3)&lt;&gt;"VIP",$J22,LEFT($J22,15)),IP!$A$4:$N$205,11,FALSE))-1),""))),"")</f>
        <v/>
      </c>
      <c r="L22" s="2938" t="str">
        <f>IF($I22&lt;&gt;"",
        IF($I22="Prod BlueCoat", VLOOKUP($I22,'Host Reference'!$A$3:$C$110,3,FALSE),
                IF($I22="Test BlueCoat", VLOOKUP($I22,'Host Reference'!$A$3:$C$110,3,FALSE),
             IF($I22="Yes",VLOOKUP(IF(MID($J22,10,3)&lt;&gt;"VIP",$J22,LEFT($J22,15)),IP!$A$4:$N$205,14,FALSE),
                     IF($I22="No", IFERROR(VLOOKUP($K22,'Host Reference'!$A$3:$C$110,3,FALSE),""),
                            VLOOKUP($K22,'Host Reference'!$A$3:$C$110,3,FALSE))))),"")</f>
        <v/>
      </c>
      <c r="M22" s="1991"/>
      <c r="N22" s="1991"/>
      <c r="O22" s="1991"/>
      <c r="P22" s="1991"/>
      <c r="Q22" s="2950"/>
      <c r="R22" s="1996"/>
      <c r="S22" s="2916" t="str">
        <f t="shared" si="0"/>
        <v/>
      </c>
      <c r="T22" s="2375" t="str">
        <f t="shared" si="2"/>
        <v/>
      </c>
      <c r="U22" s="2000"/>
    </row>
    <row r="23" spans="2:21">
      <c r="B23" s="380"/>
      <c r="C23" s="1992"/>
      <c r="D23" s="1992"/>
      <c r="E23" s="1991"/>
      <c r="F23" s="1993" t="str">
        <f>IF($D23&lt;&gt;"",IF($D23="Yes",LEFT(VLOOKUP(IF(MID($E23,10,3)&lt;&gt;"VIP",$E23,LEFT($E23,15)),IP!$A$4:$N$205,11,FALSE),FIND(".",VLOOKUP(IF(MID($E23,10,3)&lt;&gt;"VIP",$E23,LEFT($E23,15)),IP!$A$4:$N$205,11,FALSE))-1),""),"")</f>
        <v/>
      </c>
      <c r="G23" s="1994" t="str">
        <f>IF($D23&lt;&gt;"",
          IF($D23="Yes",VLOOKUP(IF(MID($E23,10,3)&lt;&gt;"VIP",$E23,LEFT($E23,15)),IP!$A$4:$N$205,14,FALSE),
                     IF($D23="No", IFERROR(VLOOKUP($F23,'Host Reference'!$A$3:$B$93,2,FALSE),""),
                          VLOOKUP($F23,'Host Reference'!$A$3:$C$93,2,FALSE))),"")</f>
        <v/>
      </c>
      <c r="H23" s="1995" t="str">
        <f t="shared" si="1"/>
        <v/>
      </c>
      <c r="I23" s="1991"/>
      <c r="J23" s="1991"/>
      <c r="K23" s="2938" t="str">
        <f>IF($I23&lt;&gt;"",
    IF(LEFT(I23,4)="Test","tbcilproxy",
        IF(LEFT(I23, 4)="Prod",CONCATENATE("bcilproxy", CHAR(10),"bctxproxy"),
                 IF($I23="Yes",LEFT(VLOOKUP(IF(MID($J23,10,3)&lt;&gt;"VIP",$J23,LEFT($J23,15)),IP!$A$4:$N$205,11,FALSE),FIND(".",VLOOKUP(IF(MID($J23,10,3)&lt;&gt;"VIP",$J23,LEFT($J23,15)),IP!$A$4:$N$205,11,FALSE))-1),""))),"")</f>
        <v/>
      </c>
      <c r="L23" s="2938" t="str">
        <f>IF($I23&lt;&gt;"",
        IF($I23="Prod BlueCoat", VLOOKUP($I23,'Host Reference'!$A$3:$C$110,3,FALSE),
                IF($I23="Test BlueCoat", VLOOKUP($I23,'Host Reference'!$A$3:$C$110,3,FALSE),
             IF($I23="Yes",VLOOKUP(IF(MID($J23,10,3)&lt;&gt;"VIP",$J23,LEFT($J23,15)),IP!$A$4:$N$205,14,FALSE),
                     IF($I23="No", IFERROR(VLOOKUP($K23,'Host Reference'!$A$3:$C$110,3,FALSE),""),
                            VLOOKUP($K23,'Host Reference'!$A$3:$C$110,3,FALSE))))),"")</f>
        <v/>
      </c>
      <c r="M23" s="1991"/>
      <c r="N23" s="1991"/>
      <c r="O23" s="1991"/>
      <c r="P23" s="1991"/>
      <c r="Q23" s="2950"/>
      <c r="R23" s="1996"/>
      <c r="S23" s="2916" t="str">
        <f t="shared" si="0"/>
        <v/>
      </c>
      <c r="T23" s="2375" t="str">
        <f t="shared" si="2"/>
        <v/>
      </c>
      <c r="U23" s="2000"/>
    </row>
    <row r="24" spans="2:21">
      <c r="B24" s="380"/>
      <c r="C24" s="1992"/>
      <c r="D24" s="1992"/>
      <c r="E24" s="1991"/>
      <c r="F24" s="1993" t="str">
        <f>IF($D24&lt;&gt;"",IF($D24="Yes",LEFT(VLOOKUP(IF(MID($E24,10,3)&lt;&gt;"VIP",$E24,LEFT($E24,15)),IP!$A$4:$N$205,11,FALSE),FIND(".",VLOOKUP(IF(MID($E24,10,3)&lt;&gt;"VIP",$E24,LEFT($E24,15)),IP!$A$4:$N$205,11,FALSE))-1),""),"")</f>
        <v/>
      </c>
      <c r="G24" s="1994" t="str">
        <f>IF($D24&lt;&gt;"",
          IF($D24="Yes",VLOOKUP(IF(MID($E24,10,3)&lt;&gt;"VIP",$E24,LEFT($E24,15)),IP!$A$4:$N$205,14,FALSE),
                     IF($D24="No", IFERROR(VLOOKUP($F24,'Host Reference'!$A$3:$B$93,2,FALSE),""),
                          VLOOKUP($F24,'Host Reference'!$A$3:$C$93,2,FALSE))),"")</f>
        <v/>
      </c>
      <c r="H24" s="1995" t="str">
        <f t="shared" si="1"/>
        <v/>
      </c>
      <c r="I24" s="1991"/>
      <c r="J24" s="1991"/>
      <c r="K24" s="2938" t="str">
        <f>IF($I24&lt;&gt;"",
    IF(LEFT(I24,4)="Test","tbcilproxy",
        IF(LEFT(I24, 4)="Prod",CONCATENATE("bcilproxy", CHAR(10),"bctxproxy"),
                 IF($I24="Yes",LEFT(VLOOKUP(IF(MID($J24,10,3)&lt;&gt;"VIP",$J24,LEFT($J24,15)),IP!$A$4:$N$205,11,FALSE),FIND(".",VLOOKUP(IF(MID($J24,10,3)&lt;&gt;"VIP",$J24,LEFT($J24,15)),IP!$A$4:$N$205,11,FALSE))-1),""))),"")</f>
        <v/>
      </c>
      <c r="L24" s="2938" t="str">
        <f>IF($I24&lt;&gt;"",
        IF($I24="Prod BlueCoat", VLOOKUP($I24,'Host Reference'!$A$3:$C$110,3,FALSE),
                IF($I24="Test BlueCoat", VLOOKUP($I24,'Host Reference'!$A$3:$C$110,3,FALSE),
             IF($I24="Yes",VLOOKUP(IF(MID($J24,10,3)&lt;&gt;"VIP",$J24,LEFT($J24,15)),IP!$A$4:$N$205,14,FALSE),
                     IF($I24="No", IFERROR(VLOOKUP($K24,'Host Reference'!$A$3:$C$110,3,FALSE),""),
                            VLOOKUP($K24,'Host Reference'!$A$3:$C$110,3,FALSE))))),"")</f>
        <v/>
      </c>
      <c r="M24" s="1991"/>
      <c r="N24" s="1991"/>
      <c r="O24" s="1991"/>
      <c r="P24" s="1991"/>
      <c r="Q24" s="2950"/>
      <c r="R24" s="1996"/>
      <c r="S24" s="2916" t="str">
        <f t="shared" si="0"/>
        <v/>
      </c>
      <c r="T24" s="2375" t="str">
        <f t="shared" si="2"/>
        <v/>
      </c>
      <c r="U24" s="2000"/>
    </row>
    <row r="25" spans="2:21">
      <c r="B25" s="380"/>
      <c r="C25" s="1992"/>
      <c r="D25" s="1992"/>
      <c r="E25" s="1991"/>
      <c r="F25" s="1993" t="str">
        <f>IF($D25&lt;&gt;"",IF($D25="Yes",LEFT(VLOOKUP(IF(MID($E25,10,3)&lt;&gt;"VIP",$E25,LEFT($E25,15)),IP!$A$4:$N$205,11,FALSE),FIND(".",VLOOKUP(IF(MID($E25,10,3)&lt;&gt;"VIP",$E25,LEFT($E25,15)),IP!$A$4:$N$205,11,FALSE))-1),""),"")</f>
        <v/>
      </c>
      <c r="G25" s="1994" t="str">
        <f>IF($D25&lt;&gt;"",
          IF($D25="Yes",VLOOKUP(IF(MID($E25,10,3)&lt;&gt;"VIP",$E25,LEFT($E25,15)),IP!$A$4:$N$205,14,FALSE),
                     IF($D25="No", IFERROR(VLOOKUP($F25,'Host Reference'!$A$3:$B$93,2,FALSE),""),
                          VLOOKUP($F25,'Host Reference'!$A$3:$C$93,2,FALSE))),"")</f>
        <v/>
      </c>
      <c r="H25" s="1995" t="str">
        <f t="shared" si="1"/>
        <v/>
      </c>
      <c r="I25" s="1991"/>
      <c r="J25" s="1991"/>
      <c r="K25" s="2938" t="str">
        <f>IF($I25&lt;&gt;"",
    IF(LEFT(I25,4)="Test","tbcilproxy",
        IF(LEFT(I25, 4)="Prod",CONCATENATE("bcilproxy", CHAR(10),"bctxproxy"),
                 IF($I25="Yes",LEFT(VLOOKUP(IF(MID($J25,10,3)&lt;&gt;"VIP",$J25,LEFT($J25,15)),IP!$A$4:$N$205,11,FALSE),FIND(".",VLOOKUP(IF(MID($J25,10,3)&lt;&gt;"VIP",$J25,LEFT($J25,15)),IP!$A$4:$N$205,11,FALSE))-1),""))),"")</f>
        <v/>
      </c>
      <c r="L25" s="2938" t="str">
        <f>IF($I25&lt;&gt;"",
        IF($I25="Prod BlueCoat", VLOOKUP($I25,'Host Reference'!$A$3:$C$110,3,FALSE),
                IF($I25="Test BlueCoat", VLOOKUP($I25,'Host Reference'!$A$3:$C$110,3,FALSE),
             IF($I25="Yes",VLOOKUP(IF(MID($J25,10,3)&lt;&gt;"VIP",$J25,LEFT($J25,15)),IP!$A$4:$N$205,14,FALSE),
                     IF($I25="No", IFERROR(VLOOKUP($K25,'Host Reference'!$A$3:$C$110,3,FALSE),""),
                            VLOOKUP($K25,'Host Reference'!$A$3:$C$110,3,FALSE))))),"")</f>
        <v/>
      </c>
      <c r="M25" s="1991"/>
      <c r="N25" s="1991"/>
      <c r="O25" s="1991"/>
      <c r="P25" s="1991"/>
      <c r="Q25" s="2950"/>
      <c r="R25" s="1996"/>
      <c r="S25" s="2916" t="str">
        <f t="shared" si="0"/>
        <v/>
      </c>
      <c r="T25" s="2375" t="str">
        <f t="shared" si="2"/>
        <v/>
      </c>
      <c r="U25" s="2000"/>
    </row>
    <row r="26" spans="2:21">
      <c r="B26" s="380"/>
      <c r="C26" s="1992"/>
      <c r="D26" s="1992"/>
      <c r="E26" s="1991"/>
      <c r="F26" s="1993" t="str">
        <f>IF($D26&lt;&gt;"",IF($D26="Yes",LEFT(VLOOKUP(IF(MID($E26,10,3)&lt;&gt;"VIP",$E26,LEFT($E26,15)),IP!$A$4:$N$205,11,FALSE),FIND(".",VLOOKUP(IF(MID($E26,10,3)&lt;&gt;"VIP",$E26,LEFT($E26,15)),IP!$A$4:$N$205,11,FALSE))-1),""),"")</f>
        <v/>
      </c>
      <c r="G26" s="1994" t="str">
        <f>IF($D26&lt;&gt;"",
          IF($D26="Yes",VLOOKUP(IF(MID($E26,10,3)&lt;&gt;"VIP",$E26,LEFT($E26,15)),IP!$A$4:$N$205,14,FALSE),
                     IF($D26="No", IFERROR(VLOOKUP($F26,'Host Reference'!$A$3:$B$93,2,FALSE),""),
                          VLOOKUP($F26,'Host Reference'!$A$3:$C$93,2,FALSE))),"")</f>
        <v/>
      </c>
      <c r="H26" s="1995" t="str">
        <f t="shared" si="1"/>
        <v/>
      </c>
      <c r="I26" s="1991"/>
      <c r="J26" s="1991"/>
      <c r="K26" s="2938" t="str">
        <f>IF($I26&lt;&gt;"",
    IF(LEFT(I26,4)="Test","tbcilproxy",
        IF(LEFT(I26, 4)="Prod",CONCATENATE("bcilproxy", CHAR(10),"bctxproxy"),
                 IF($I26="Yes",LEFT(VLOOKUP(IF(MID($J26,10,3)&lt;&gt;"VIP",$J26,LEFT($J26,15)),IP!$A$4:$N$205,11,FALSE),FIND(".",VLOOKUP(IF(MID($J26,10,3)&lt;&gt;"VIP",$J26,LEFT($J26,15)),IP!$A$4:$N$205,11,FALSE))-1),""))),"")</f>
        <v/>
      </c>
      <c r="L26" s="2938" t="str">
        <f>IF($I26&lt;&gt;"",
        IF($I26="Prod BlueCoat", VLOOKUP($I26,'Host Reference'!$A$3:$C$110,3,FALSE),
                IF($I26="Test BlueCoat", VLOOKUP($I26,'Host Reference'!$A$3:$C$110,3,FALSE),
             IF($I26="Yes",VLOOKUP(IF(MID($J26,10,3)&lt;&gt;"VIP",$J26,LEFT($J26,15)),IP!$A$4:$N$205,14,FALSE),
                     IF($I26="No", IFERROR(VLOOKUP($K26,'Host Reference'!$A$3:$C$110,3,FALSE),""),
                            VLOOKUP($K26,'Host Reference'!$A$3:$C$110,3,FALSE))))),"")</f>
        <v/>
      </c>
      <c r="M26" s="1991"/>
      <c r="N26" s="1991"/>
      <c r="O26" s="1991"/>
      <c r="P26" s="1991"/>
      <c r="Q26" s="2950"/>
      <c r="R26" s="1996"/>
      <c r="S26" s="2916" t="str">
        <f t="shared" si="0"/>
        <v/>
      </c>
      <c r="T26" s="2375" t="str">
        <f t="shared" si="2"/>
        <v/>
      </c>
      <c r="U26" s="2000"/>
    </row>
    <row r="27" spans="2:21">
      <c r="B27" s="380"/>
      <c r="C27" s="1992"/>
      <c r="D27" s="1992"/>
      <c r="E27" s="1991"/>
      <c r="F27" s="1993" t="str">
        <f>IF($D27&lt;&gt;"",IF($D27="Yes",LEFT(VLOOKUP(IF(MID($E27,10,3)&lt;&gt;"VIP",$E27,LEFT($E27,15)),IP!$A$4:$N$205,11,FALSE),FIND(".",VLOOKUP(IF(MID($E27,10,3)&lt;&gt;"VIP",$E27,LEFT($E27,15)),IP!$A$4:$N$205,11,FALSE))-1),""),"")</f>
        <v/>
      </c>
      <c r="G27" s="1994" t="str">
        <f>IF($D27&lt;&gt;"",
          IF($D27="Yes",VLOOKUP(IF(MID($E27,10,3)&lt;&gt;"VIP",$E27,LEFT($E27,15)),IP!$A$4:$N$205,14,FALSE),
                     IF($D27="No", IFERROR(VLOOKUP($F27,'Host Reference'!$A$3:$B$93,2,FALSE),""),
                          VLOOKUP($F27,'Host Reference'!$A$3:$C$93,2,FALSE))),"")</f>
        <v/>
      </c>
      <c r="H27" s="1995" t="str">
        <f t="shared" si="1"/>
        <v/>
      </c>
      <c r="I27" s="1991"/>
      <c r="J27" s="1991"/>
      <c r="K27" s="2938" t="str">
        <f>IF($I27&lt;&gt;"",
    IF(LEFT(I27,4)="Test","tbcilproxy",
        IF(LEFT(I27, 4)="Prod",CONCATENATE("bcilproxy", CHAR(10),"bctxproxy"),
                 IF($I27="Yes",LEFT(VLOOKUP(IF(MID($J27,10,3)&lt;&gt;"VIP",$J27,LEFT($J27,15)),IP!$A$4:$N$205,11,FALSE),FIND(".",VLOOKUP(IF(MID($J27,10,3)&lt;&gt;"VIP",$J27,LEFT($J27,15)),IP!$A$4:$N$205,11,FALSE))-1),""))),"")</f>
        <v/>
      </c>
      <c r="L27" s="2938" t="str">
        <f>IF($I27&lt;&gt;"",
        IF($I27="Prod BlueCoat", VLOOKUP($I27,'Host Reference'!$A$3:$C$110,3,FALSE),
                IF($I27="Test BlueCoat", VLOOKUP($I27,'Host Reference'!$A$3:$C$110,3,FALSE),
             IF($I27="Yes",VLOOKUP(IF(MID($J27,10,3)&lt;&gt;"VIP",$J27,LEFT($J27,15)),IP!$A$4:$N$205,14,FALSE),
                     IF($I27="No", IFERROR(VLOOKUP($K27,'Host Reference'!$A$3:$C$110,3,FALSE),""),
                            VLOOKUP($K27,'Host Reference'!$A$3:$C$110,3,FALSE))))),"")</f>
        <v/>
      </c>
      <c r="M27" s="1991"/>
      <c r="N27" s="1991"/>
      <c r="O27" s="1991"/>
      <c r="P27" s="1991"/>
      <c r="Q27" s="2950"/>
      <c r="R27" s="1996"/>
      <c r="S27" s="2916" t="str">
        <f t="shared" si="0"/>
        <v/>
      </c>
      <c r="T27" s="2375" t="str">
        <f t="shared" si="2"/>
        <v/>
      </c>
      <c r="U27" s="2000"/>
    </row>
    <row r="28" spans="2:21">
      <c r="B28" s="380"/>
      <c r="C28" s="1992"/>
      <c r="D28" s="1992"/>
      <c r="E28" s="1991"/>
      <c r="F28" s="1993" t="str">
        <f>IF($D28&lt;&gt;"",IF($D28="Yes",LEFT(VLOOKUP(IF(MID($E28,10,3)&lt;&gt;"VIP",$E28,LEFT($E28,15)),IP!$A$4:$N$205,11,FALSE),FIND(".",VLOOKUP(IF(MID($E28,10,3)&lt;&gt;"VIP",$E28,LEFT($E28,15)),IP!$A$4:$N$205,11,FALSE))-1),""),"")</f>
        <v/>
      </c>
      <c r="G28" s="1994" t="str">
        <f>IF($D28&lt;&gt;"",
          IF($D28="Yes",VLOOKUP(IF(MID($E28,10,3)&lt;&gt;"VIP",$E28,LEFT($E28,15)),IP!$A$4:$N$205,14,FALSE),
                     IF($D28="No", IFERROR(VLOOKUP($F28,'Host Reference'!$A$3:$B$93,2,FALSE),""),
                          VLOOKUP($F28,'Host Reference'!$A$3:$C$93,2,FALSE))),"")</f>
        <v/>
      </c>
      <c r="H28" s="1995" t="str">
        <f t="shared" si="1"/>
        <v/>
      </c>
      <c r="I28" s="1991"/>
      <c r="J28" s="1991"/>
      <c r="K28" s="2938" t="str">
        <f>IF($I28&lt;&gt;"",
    IF(LEFT(I28,4)="Test","tbcilproxy",
        IF(LEFT(I28, 4)="Prod",CONCATENATE("bcilproxy", CHAR(10),"bctxproxy"),
                 IF($I28="Yes",LEFT(VLOOKUP(IF(MID($J28,10,3)&lt;&gt;"VIP",$J28,LEFT($J28,15)),IP!$A$4:$N$205,11,FALSE),FIND(".",VLOOKUP(IF(MID($J28,10,3)&lt;&gt;"VIP",$J28,LEFT($J28,15)),IP!$A$4:$N$205,11,FALSE))-1),""))),"")</f>
        <v/>
      </c>
      <c r="L28" s="2938" t="str">
        <f>IF($I28&lt;&gt;"",
        IF($I28="Prod BlueCoat", VLOOKUP($I28,'Host Reference'!$A$3:$C$110,3,FALSE),
                IF($I28="Test BlueCoat", VLOOKUP($I28,'Host Reference'!$A$3:$C$110,3,FALSE),
             IF($I28="Yes",VLOOKUP(IF(MID($J28,10,3)&lt;&gt;"VIP",$J28,LEFT($J28,15)),IP!$A$4:$N$205,14,FALSE),
                     IF($I28="No", IFERROR(VLOOKUP($K28,'Host Reference'!$A$3:$C$110,3,FALSE),""),
                            VLOOKUP($K28,'Host Reference'!$A$3:$C$110,3,FALSE))))),"")</f>
        <v/>
      </c>
      <c r="M28" s="1991"/>
      <c r="N28" s="1991"/>
      <c r="O28" s="1991"/>
      <c r="P28" s="1991"/>
      <c r="Q28" s="2950"/>
      <c r="R28" s="1996"/>
      <c r="S28" s="2916" t="str">
        <f t="shared" si="0"/>
        <v/>
      </c>
      <c r="T28" s="2375" t="str">
        <f t="shared" si="2"/>
        <v/>
      </c>
      <c r="U28" s="2000"/>
    </row>
    <row r="29" spans="2:21">
      <c r="B29" s="380"/>
      <c r="C29" s="1992"/>
      <c r="D29" s="1992"/>
      <c r="E29" s="1991"/>
      <c r="F29" s="1993" t="str">
        <f>IF($D29&lt;&gt;"",IF($D29="Yes",LEFT(VLOOKUP(IF(MID($E29,10,3)&lt;&gt;"VIP",$E29,LEFT($E29,15)),IP!$A$4:$N$205,11,FALSE),FIND(".",VLOOKUP(IF(MID($E29,10,3)&lt;&gt;"VIP",$E29,LEFT($E29,15)),IP!$A$4:$N$205,11,FALSE))-1),""),"")</f>
        <v/>
      </c>
      <c r="G29" s="1994" t="str">
        <f>IF($D29&lt;&gt;"",
          IF($D29="Yes",VLOOKUP(IF(MID($E29,10,3)&lt;&gt;"VIP",$E29,LEFT($E29,15)),IP!$A$4:$N$205,14,FALSE),
                     IF($D29="No", IFERROR(VLOOKUP($F29,'Host Reference'!$A$3:$B$93,2,FALSE),""),
                          VLOOKUP($F29,'Host Reference'!$A$3:$C$93,2,FALSE))),"")</f>
        <v/>
      </c>
      <c r="H29" s="1995" t="str">
        <f t="shared" si="1"/>
        <v/>
      </c>
      <c r="I29" s="1991"/>
      <c r="J29" s="1991"/>
      <c r="K29" s="2938" t="str">
        <f>IF($I29&lt;&gt;"",
    IF(LEFT(I29,4)="Test","tbcilproxy",
        IF(LEFT(I29, 4)="Prod",CONCATENATE("bcilproxy", CHAR(10),"bctxproxy"),
                 IF($I29="Yes",LEFT(VLOOKUP(IF(MID($J29,10,3)&lt;&gt;"VIP",$J29,LEFT($J29,15)),IP!$A$4:$N$205,11,FALSE),FIND(".",VLOOKUP(IF(MID($J29,10,3)&lt;&gt;"VIP",$J29,LEFT($J29,15)),IP!$A$4:$N$205,11,FALSE))-1),""))),"")</f>
        <v/>
      </c>
      <c r="L29" s="2938" t="str">
        <f>IF($I29&lt;&gt;"",
        IF($I29="Prod BlueCoat", VLOOKUP($I29,'Host Reference'!$A$3:$C$110,3,FALSE),
                IF($I29="Test BlueCoat", VLOOKUP($I29,'Host Reference'!$A$3:$C$110,3,FALSE),
             IF($I29="Yes",VLOOKUP(IF(MID($J29,10,3)&lt;&gt;"VIP",$J29,LEFT($J29,15)),IP!$A$4:$N$205,14,FALSE),
                     IF($I29="No", IFERROR(VLOOKUP($K29,'Host Reference'!$A$3:$C$110,3,FALSE),""),
                            VLOOKUP($K29,'Host Reference'!$A$3:$C$110,3,FALSE))))),"")</f>
        <v/>
      </c>
      <c r="M29" s="1991"/>
      <c r="N29" s="1991"/>
      <c r="O29" s="1991"/>
      <c r="P29" s="1991"/>
      <c r="Q29" s="2950"/>
      <c r="R29" s="1996"/>
      <c r="S29" s="2916" t="str">
        <f t="shared" si="0"/>
        <v/>
      </c>
      <c r="T29" s="2375" t="str">
        <f t="shared" si="2"/>
        <v/>
      </c>
      <c r="U29" s="2000"/>
    </row>
    <row r="30" spans="2:21">
      <c r="B30" s="380"/>
      <c r="C30" s="1992"/>
      <c r="D30" s="1992"/>
      <c r="E30" s="1991"/>
      <c r="F30" s="1993" t="str">
        <f>IF($D30&lt;&gt;"",IF($D30="Yes",LEFT(VLOOKUP(IF(MID($E30,10,3)&lt;&gt;"VIP",$E30,LEFT($E30,15)),IP!$A$4:$N$205,11,FALSE),FIND(".",VLOOKUP(IF(MID($E30,10,3)&lt;&gt;"VIP",$E30,LEFT($E30,15)),IP!$A$4:$N$205,11,FALSE))-1),""),"")</f>
        <v/>
      </c>
      <c r="G30" s="1994" t="str">
        <f>IF($D30&lt;&gt;"",
          IF($D30="Yes",VLOOKUP(IF(MID($E30,10,3)&lt;&gt;"VIP",$E30,LEFT($E30,15)),IP!$A$4:$N$205,14,FALSE),
                     IF($D30="No", IFERROR(VLOOKUP($F30,'Host Reference'!$A$3:$B$93,2,FALSE),""),
                          VLOOKUP($F30,'Host Reference'!$A$3:$C$93,2,FALSE))),"")</f>
        <v/>
      </c>
      <c r="H30" s="1995" t="str">
        <f t="shared" si="1"/>
        <v/>
      </c>
      <c r="I30" s="1991"/>
      <c r="J30" s="1991"/>
      <c r="K30" s="2938" t="str">
        <f>IF($I30&lt;&gt;"",
    IF(LEFT(I30,4)="Test","tbcilproxy",
        IF(LEFT(I30, 4)="Prod",CONCATENATE("bcilproxy", CHAR(10),"bctxproxy"),
                 IF($I30="Yes",LEFT(VLOOKUP(IF(MID($J30,10,3)&lt;&gt;"VIP",$J30,LEFT($J30,15)),IP!$A$4:$N$205,11,FALSE),FIND(".",VLOOKUP(IF(MID($J30,10,3)&lt;&gt;"VIP",$J30,LEFT($J30,15)),IP!$A$4:$N$205,11,FALSE))-1),""))),"")</f>
        <v/>
      </c>
      <c r="L30" s="2938" t="str">
        <f>IF($I30&lt;&gt;"",
        IF($I30="Prod BlueCoat", VLOOKUP($I30,'Host Reference'!$A$3:$C$110,3,FALSE),
                IF($I30="Test BlueCoat", VLOOKUP($I30,'Host Reference'!$A$3:$C$110,3,FALSE),
             IF($I30="Yes",VLOOKUP(IF(MID($J30,10,3)&lt;&gt;"VIP",$J30,LEFT($J30,15)),IP!$A$4:$N$205,14,FALSE),
                     IF($I30="No", IFERROR(VLOOKUP($K30,'Host Reference'!$A$3:$C$110,3,FALSE),""),
                            VLOOKUP($K30,'Host Reference'!$A$3:$C$110,3,FALSE))))),"")</f>
        <v/>
      </c>
      <c r="M30" s="1991"/>
      <c r="N30" s="1991"/>
      <c r="O30" s="1991"/>
      <c r="P30" s="1991"/>
      <c r="Q30" s="2950"/>
      <c r="R30" s="1996"/>
      <c r="S30" s="2916" t="str">
        <f t="shared" si="0"/>
        <v/>
      </c>
      <c r="T30" s="2375" t="str">
        <f t="shared" si="2"/>
        <v/>
      </c>
      <c r="U30" s="2000"/>
    </row>
    <row r="31" spans="2:21">
      <c r="B31" s="380"/>
      <c r="C31" s="1992"/>
      <c r="D31" s="1992"/>
      <c r="E31" s="1991"/>
      <c r="F31" s="1993" t="str">
        <f>IF($D31&lt;&gt;"",IF($D31="Yes",LEFT(VLOOKUP(IF(MID($E31,10,3)&lt;&gt;"VIP",$E31,LEFT($E31,15)),IP!$A$4:$N$205,11,FALSE),FIND(".",VLOOKUP(IF(MID($E31,10,3)&lt;&gt;"VIP",$E31,LEFT($E31,15)),IP!$A$4:$N$205,11,FALSE))-1),""),"")</f>
        <v/>
      </c>
      <c r="G31" s="1994" t="str">
        <f>IF($D31&lt;&gt;"",
          IF($D31="Yes",VLOOKUP(IF(MID($E31,10,3)&lt;&gt;"VIP",$E31,LEFT($E31,15)),IP!$A$4:$N$205,14,FALSE),
                     IF($D31="No", IFERROR(VLOOKUP($F31,'Host Reference'!$A$3:$B$93,2,FALSE),""),
                          VLOOKUP($F31,'Host Reference'!$A$3:$C$93,2,FALSE))),"")</f>
        <v/>
      </c>
      <c r="H31" s="1995" t="str">
        <f t="shared" si="1"/>
        <v/>
      </c>
      <c r="I31" s="1991"/>
      <c r="J31" s="1991"/>
      <c r="K31" s="2938" t="str">
        <f>IF($I31&lt;&gt;"",
    IF(LEFT(I31,4)="Test","tbcilproxy",
        IF(LEFT(I31, 4)="Prod",CONCATENATE("bcilproxy", CHAR(10),"bctxproxy"),
                 IF($I31="Yes",LEFT(VLOOKUP(IF(MID($J31,10,3)&lt;&gt;"VIP",$J31,LEFT($J31,15)),IP!$A$4:$N$205,11,FALSE),FIND(".",VLOOKUP(IF(MID($J31,10,3)&lt;&gt;"VIP",$J31,LEFT($J31,15)),IP!$A$4:$N$205,11,FALSE))-1),""))),"")</f>
        <v/>
      </c>
      <c r="L31" s="2938" t="str">
        <f>IF($I31&lt;&gt;"",
        IF($I31="Prod BlueCoat", VLOOKUP($I31,'Host Reference'!$A$3:$C$110,3,FALSE),
                IF($I31="Test BlueCoat", VLOOKUP($I31,'Host Reference'!$A$3:$C$110,3,FALSE),
             IF($I31="Yes",VLOOKUP(IF(MID($J31,10,3)&lt;&gt;"VIP",$J31,LEFT($J31,15)),IP!$A$4:$N$205,14,FALSE),
                     IF($I31="No", IFERROR(VLOOKUP($K31,'Host Reference'!$A$3:$C$110,3,FALSE),""),
                            VLOOKUP($K31,'Host Reference'!$A$3:$C$110,3,FALSE))))),"")</f>
        <v/>
      </c>
      <c r="M31" s="1991"/>
      <c r="N31" s="1991"/>
      <c r="O31" s="1991"/>
      <c r="P31" s="1991"/>
      <c r="Q31" s="2950"/>
      <c r="R31" s="1996"/>
      <c r="S31" s="2916" t="str">
        <f t="shared" si="0"/>
        <v/>
      </c>
      <c r="T31" s="2375" t="str">
        <f t="shared" si="2"/>
        <v/>
      </c>
      <c r="U31" s="2000"/>
    </row>
    <row r="32" spans="2:21">
      <c r="B32" s="380"/>
      <c r="C32" s="1992"/>
      <c r="D32" s="1992"/>
      <c r="E32" s="1991"/>
      <c r="F32" s="1993" t="str">
        <f>IF($D32&lt;&gt;"",IF($D32="Yes",LEFT(VLOOKUP(IF(MID($E32,10,3)&lt;&gt;"VIP",$E32,LEFT($E32,15)),IP!$A$4:$N$205,11,FALSE),FIND(".",VLOOKUP(IF(MID($E32,10,3)&lt;&gt;"VIP",$E32,LEFT($E32,15)),IP!$A$4:$N$205,11,FALSE))-1),""),"")</f>
        <v/>
      </c>
      <c r="G32" s="1994" t="str">
        <f>IF($D32&lt;&gt;"",
          IF($D32="Yes",VLOOKUP(IF(MID($E32,10,3)&lt;&gt;"VIP",$E32,LEFT($E32,15)),IP!$A$4:$N$205,14,FALSE),
                     IF($D32="No", IFERROR(VLOOKUP($F32,'Host Reference'!$A$3:$B$93,2,FALSE),""),
                          VLOOKUP($F32,'Host Reference'!$A$3:$C$93,2,FALSE))),"")</f>
        <v/>
      </c>
      <c r="H32" s="1995" t="str">
        <f t="shared" si="1"/>
        <v/>
      </c>
      <c r="I32" s="1991"/>
      <c r="J32" s="1991"/>
      <c r="K32" s="2938" t="str">
        <f>IF($I32&lt;&gt;"",
    IF(LEFT(I32,4)="Test","tbcilproxy",
        IF(LEFT(I32, 4)="Prod",CONCATENATE("bcilproxy", CHAR(10),"bctxproxy"),
                 IF($I32="Yes",LEFT(VLOOKUP(IF(MID($J32,10,3)&lt;&gt;"VIP",$J32,LEFT($J32,15)),IP!$A$4:$N$205,11,FALSE),FIND(".",VLOOKUP(IF(MID($J32,10,3)&lt;&gt;"VIP",$J32,LEFT($J32,15)),IP!$A$4:$N$205,11,FALSE))-1),""))),"")</f>
        <v/>
      </c>
      <c r="L32" s="2938" t="str">
        <f>IF($I32&lt;&gt;"",
        IF($I32="Prod BlueCoat", VLOOKUP($I32,'Host Reference'!$A$3:$C$110,3,FALSE),
                IF($I32="Test BlueCoat", VLOOKUP($I32,'Host Reference'!$A$3:$C$110,3,FALSE),
             IF($I32="Yes",VLOOKUP(IF(MID($J32,10,3)&lt;&gt;"VIP",$J32,LEFT($J32,15)),IP!$A$4:$N$205,14,FALSE),
                     IF($I32="No", IFERROR(VLOOKUP($K32,'Host Reference'!$A$3:$C$110,3,FALSE),""),
                            VLOOKUP($K32,'Host Reference'!$A$3:$C$110,3,FALSE))))),"")</f>
        <v/>
      </c>
      <c r="M32" s="1991"/>
      <c r="N32" s="1991"/>
      <c r="O32" s="1991"/>
      <c r="P32" s="1991"/>
      <c r="Q32" s="2950"/>
      <c r="R32" s="1996"/>
      <c r="S32" s="2916" t="str">
        <f t="shared" si="0"/>
        <v/>
      </c>
      <c r="T32" s="2375" t="str">
        <f t="shared" si="2"/>
        <v/>
      </c>
      <c r="U32" s="2000"/>
    </row>
    <row r="33" spans="2:21">
      <c r="B33" s="380"/>
      <c r="C33" s="1992"/>
      <c r="D33" s="1992"/>
      <c r="E33" s="1991"/>
      <c r="F33" s="1993" t="str">
        <f>IF($D33&lt;&gt;"",IF($D33="Yes",LEFT(VLOOKUP(IF(MID($E33,10,3)&lt;&gt;"VIP",$E33,LEFT($E33,15)),IP!$A$4:$N$205,11,FALSE),FIND(".",VLOOKUP(IF(MID($E33,10,3)&lt;&gt;"VIP",$E33,LEFT($E33,15)),IP!$A$4:$N$205,11,FALSE))-1),""),"")</f>
        <v/>
      </c>
      <c r="G33" s="1994" t="str">
        <f>IF($D33&lt;&gt;"",
          IF($D33="Yes",VLOOKUP(IF(MID($E33,10,3)&lt;&gt;"VIP",$E33,LEFT($E33,15)),IP!$A$4:$N$205,14,FALSE),
                     IF($D33="No", IFERROR(VLOOKUP($F33,'Host Reference'!$A$3:$B$93,2,FALSE),""),
                          VLOOKUP($F33,'Host Reference'!$A$3:$C$93,2,FALSE))),"")</f>
        <v/>
      </c>
      <c r="H33" s="1995" t="str">
        <f t="shared" si="1"/>
        <v/>
      </c>
      <c r="I33" s="1991"/>
      <c r="J33" s="1991"/>
      <c r="K33" s="2938" t="str">
        <f>IF($I33&lt;&gt;"",
    IF(LEFT(I33,4)="Test","tbcilproxy",
        IF(LEFT(I33, 4)="Prod",CONCATENATE("bcilproxy", CHAR(10),"bctxproxy"),
                 IF($I33="Yes",LEFT(VLOOKUP(IF(MID($J33,10,3)&lt;&gt;"VIP",$J33,LEFT($J33,15)),IP!$A$4:$N$205,11,FALSE),FIND(".",VLOOKUP(IF(MID($J33,10,3)&lt;&gt;"VIP",$J33,LEFT($J33,15)),IP!$A$4:$N$205,11,FALSE))-1),""))),"")</f>
        <v/>
      </c>
      <c r="L33" s="2938" t="str">
        <f>IF($I33&lt;&gt;"",
        IF($I33="Prod BlueCoat", VLOOKUP($I33,'Host Reference'!$A$3:$C$110,3,FALSE),
                IF($I33="Test BlueCoat", VLOOKUP($I33,'Host Reference'!$A$3:$C$110,3,FALSE),
             IF($I33="Yes",VLOOKUP(IF(MID($J33,10,3)&lt;&gt;"VIP",$J33,LEFT($J33,15)),IP!$A$4:$N$205,14,FALSE),
                     IF($I33="No", IFERROR(VLOOKUP($K33,'Host Reference'!$A$3:$C$110,3,FALSE),""),
                            VLOOKUP($K33,'Host Reference'!$A$3:$C$110,3,FALSE))))),"")</f>
        <v/>
      </c>
      <c r="M33" s="1991"/>
      <c r="N33" s="1991"/>
      <c r="O33" s="1991"/>
      <c r="P33" s="1991"/>
      <c r="Q33" s="2950"/>
      <c r="R33" s="1996"/>
      <c r="S33" s="2916" t="str">
        <f t="shared" si="0"/>
        <v/>
      </c>
      <c r="T33" s="2375" t="str">
        <f t="shared" si="2"/>
        <v/>
      </c>
      <c r="U33" s="2000"/>
    </row>
    <row r="34" spans="2:21">
      <c r="B34" s="380"/>
      <c r="C34" s="1992"/>
      <c r="D34" s="1992"/>
      <c r="E34" s="1991"/>
      <c r="F34" s="1993" t="str">
        <f>IF($D34&lt;&gt;"",IF($D34="Yes",LEFT(VLOOKUP(IF(MID($E34,10,3)&lt;&gt;"VIP",$E34,LEFT($E34,15)),IP!$A$4:$N$205,11,FALSE),FIND(".",VLOOKUP(IF(MID($E34,10,3)&lt;&gt;"VIP",$E34,LEFT($E34,15)),IP!$A$4:$N$205,11,FALSE))-1),""),"")</f>
        <v/>
      </c>
      <c r="G34" s="1994" t="str">
        <f>IF($D34&lt;&gt;"",
          IF($D34="Yes",VLOOKUP(IF(MID($E34,10,3)&lt;&gt;"VIP",$E34,LEFT($E34,15)),IP!$A$4:$N$205,14,FALSE),
                     IF($D34="No", IFERROR(VLOOKUP($F34,'Host Reference'!$A$3:$B$93,2,FALSE),""),
                          VLOOKUP($F34,'Host Reference'!$A$3:$C$93,2,FALSE))),"")</f>
        <v/>
      </c>
      <c r="H34" s="1995" t="str">
        <f t="shared" si="1"/>
        <v/>
      </c>
      <c r="I34" s="1991"/>
      <c r="J34" s="1991"/>
      <c r="K34" s="2938" t="str">
        <f>IF($I34&lt;&gt;"",
    IF(LEFT(I34,4)="Test","tbcilproxy",
        IF(LEFT(I34, 4)="Prod",CONCATENATE("bcilproxy", CHAR(10),"bctxproxy"),
                 IF($I34="Yes",LEFT(VLOOKUP(IF(MID($J34,10,3)&lt;&gt;"VIP",$J34,LEFT($J34,15)),IP!$A$4:$N$205,11,FALSE),FIND(".",VLOOKUP(IF(MID($J34,10,3)&lt;&gt;"VIP",$J34,LEFT($J34,15)),IP!$A$4:$N$205,11,FALSE))-1),""))),"")</f>
        <v/>
      </c>
      <c r="L34" s="2938" t="str">
        <f>IF($I34&lt;&gt;"",
        IF($I34="Prod BlueCoat", VLOOKUP($I34,'Host Reference'!$A$3:$C$110,3,FALSE),
                IF($I34="Test BlueCoat", VLOOKUP($I34,'Host Reference'!$A$3:$C$110,3,FALSE),
             IF($I34="Yes",VLOOKUP(IF(MID($J34,10,3)&lt;&gt;"VIP",$J34,LEFT($J34,15)),IP!$A$4:$N$205,14,FALSE),
                     IF($I34="No", IFERROR(VLOOKUP($K34,'Host Reference'!$A$3:$C$110,3,FALSE),""),
                            VLOOKUP($K34,'Host Reference'!$A$3:$C$110,3,FALSE))))),"")</f>
        <v/>
      </c>
      <c r="M34" s="1991"/>
      <c r="N34" s="1991"/>
      <c r="O34" s="1991"/>
      <c r="P34" s="1991"/>
      <c r="Q34" s="2950"/>
      <c r="R34" s="1996"/>
      <c r="S34" s="2916" t="str">
        <f t="shared" si="0"/>
        <v/>
      </c>
      <c r="T34" s="2375" t="str">
        <f t="shared" si="2"/>
        <v/>
      </c>
      <c r="U34" s="2000"/>
    </row>
    <row r="35" spans="2:21">
      <c r="B35" s="380"/>
      <c r="C35" s="1992"/>
      <c r="D35" s="1992"/>
      <c r="E35" s="1991"/>
      <c r="F35" s="1993" t="str">
        <f>IF($D35&lt;&gt;"",IF($D35="Yes",LEFT(VLOOKUP(IF(MID($E35,10,3)&lt;&gt;"VIP",$E35,LEFT($E35,15)),IP!$A$4:$N$205,11,FALSE),FIND(".",VLOOKUP(IF(MID($E35,10,3)&lt;&gt;"VIP",$E35,LEFT($E35,15)),IP!$A$4:$N$205,11,FALSE))-1),""),"")</f>
        <v/>
      </c>
      <c r="G35" s="1994" t="str">
        <f>IF($D35&lt;&gt;"",
          IF($D35="Yes",VLOOKUP(IF(MID($E35,10,3)&lt;&gt;"VIP",$E35,LEFT($E35,15)),IP!$A$4:$N$205,14,FALSE),
                     IF($D35="No", IFERROR(VLOOKUP($F35,'Host Reference'!$A$3:$B$93,2,FALSE),""),
                          VLOOKUP($F35,'Host Reference'!$A$3:$C$93,2,FALSE))),"")</f>
        <v/>
      </c>
      <c r="H35" s="1995" t="str">
        <f t="shared" si="1"/>
        <v/>
      </c>
      <c r="I35" s="1991"/>
      <c r="J35" s="1991"/>
      <c r="K35" s="2938" t="str">
        <f>IF($I35&lt;&gt;"",
    IF(LEFT(I35,4)="Test","tbcilproxy",
        IF(LEFT(I35, 4)="Prod",CONCATENATE("bcilproxy", CHAR(10),"bctxproxy"),
                 IF($I35="Yes",LEFT(VLOOKUP(IF(MID($J35,10,3)&lt;&gt;"VIP",$J35,LEFT($J35,15)),IP!$A$4:$N$205,11,FALSE),FIND(".",VLOOKUP(IF(MID($J35,10,3)&lt;&gt;"VIP",$J35,LEFT($J35,15)),IP!$A$4:$N$205,11,FALSE))-1),""))),"")</f>
        <v/>
      </c>
      <c r="L35" s="2938" t="str">
        <f>IF($I35&lt;&gt;"",
        IF($I35="Prod BlueCoat", VLOOKUP($I35,'Host Reference'!$A$3:$C$110,3,FALSE),
                IF($I35="Test BlueCoat", VLOOKUP($I35,'Host Reference'!$A$3:$C$110,3,FALSE),
             IF($I35="Yes",VLOOKUP(IF(MID($J35,10,3)&lt;&gt;"VIP",$J35,LEFT($J35,15)),IP!$A$4:$N$205,14,FALSE),
                     IF($I35="No", IFERROR(VLOOKUP($K35,'Host Reference'!$A$3:$C$110,3,FALSE),""),
                            VLOOKUP($K35,'Host Reference'!$A$3:$C$110,3,FALSE))))),"")</f>
        <v/>
      </c>
      <c r="M35" s="1991"/>
      <c r="N35" s="1991"/>
      <c r="O35" s="1991"/>
      <c r="P35" s="1991"/>
      <c r="Q35" s="2950"/>
      <c r="R35" s="1996"/>
      <c r="S35" s="2916" t="str">
        <f t="shared" si="0"/>
        <v/>
      </c>
      <c r="T35" s="2375" t="str">
        <f t="shared" si="2"/>
        <v/>
      </c>
      <c r="U35" s="2000"/>
    </row>
    <row r="36" spans="2:21">
      <c r="B36" s="380"/>
      <c r="C36" s="1992"/>
      <c r="D36" s="1992"/>
      <c r="E36" s="1991"/>
      <c r="F36" s="1993" t="str">
        <f>IF($D36&lt;&gt;"",IF($D36="Yes",LEFT(VLOOKUP(IF(MID($E36,10,3)&lt;&gt;"VIP",$E36,LEFT($E36,15)),IP!$A$4:$N$205,11,FALSE),FIND(".",VLOOKUP(IF(MID($E36,10,3)&lt;&gt;"VIP",$E36,LEFT($E36,15)),IP!$A$4:$N$205,11,FALSE))-1),""),"")</f>
        <v/>
      </c>
      <c r="G36" s="1994" t="str">
        <f>IF($D36&lt;&gt;"",
          IF($D36="Yes",VLOOKUP(IF(MID($E36,10,3)&lt;&gt;"VIP",$E36,LEFT($E36,15)),IP!$A$4:$N$205,14,FALSE),
                     IF($D36="No", IFERROR(VLOOKUP($F36,'Host Reference'!$A$3:$B$93,2,FALSE),""),
                          VLOOKUP($F36,'Host Reference'!$A$3:$C$93,2,FALSE))),"")</f>
        <v/>
      </c>
      <c r="H36" s="1995" t="str">
        <f t="shared" si="1"/>
        <v/>
      </c>
      <c r="I36" s="1991"/>
      <c r="J36" s="1991"/>
      <c r="K36" s="2938" t="str">
        <f>IF($I36&lt;&gt;"",
    IF(LEFT(I36,4)="Test","tbcilproxy",
        IF(LEFT(I36, 4)="Prod",CONCATENATE("bcilproxy", CHAR(10),"bctxproxy"),
                 IF($I36="Yes",LEFT(VLOOKUP(IF(MID($J36,10,3)&lt;&gt;"VIP",$J36,LEFT($J36,15)),IP!$A$4:$N$205,11,FALSE),FIND(".",VLOOKUP(IF(MID($J36,10,3)&lt;&gt;"VIP",$J36,LEFT($J36,15)),IP!$A$4:$N$205,11,FALSE))-1),""))),"")</f>
        <v/>
      </c>
      <c r="L36" s="2938" t="str">
        <f>IF($I36&lt;&gt;"",
        IF($I36="Prod BlueCoat", VLOOKUP($I36,'Host Reference'!$A$3:$C$110,3,FALSE),
                IF($I36="Test BlueCoat", VLOOKUP($I36,'Host Reference'!$A$3:$C$110,3,FALSE),
             IF($I36="Yes",VLOOKUP(IF(MID($J36,10,3)&lt;&gt;"VIP",$J36,LEFT($J36,15)),IP!$A$4:$N$205,14,FALSE),
                     IF($I36="No", IFERROR(VLOOKUP($K36,'Host Reference'!$A$3:$C$110,3,FALSE),""),
                            VLOOKUP($K36,'Host Reference'!$A$3:$C$110,3,FALSE))))),"")</f>
        <v/>
      </c>
      <c r="M36" s="1991"/>
      <c r="N36" s="1991"/>
      <c r="O36" s="1991"/>
      <c r="P36" s="1991"/>
      <c r="Q36" s="2950"/>
      <c r="R36" s="1996"/>
      <c r="S36" s="2916" t="str">
        <f t="shared" si="0"/>
        <v/>
      </c>
      <c r="T36" s="2375" t="str">
        <f t="shared" si="2"/>
        <v/>
      </c>
      <c r="U36" s="2000"/>
    </row>
    <row r="37" spans="2:21">
      <c r="B37" s="380"/>
      <c r="C37" s="1992"/>
      <c r="D37" s="1992"/>
      <c r="E37" s="1991"/>
      <c r="F37" s="1993" t="str">
        <f>IF($D37&lt;&gt;"",IF($D37="Yes",LEFT(VLOOKUP(IF(MID($E37,10,3)&lt;&gt;"VIP",$E37,LEFT($E37,15)),IP!$A$4:$N$205,11,FALSE),FIND(".",VLOOKUP(IF(MID($E37,10,3)&lt;&gt;"VIP",$E37,LEFT($E37,15)),IP!$A$4:$N$205,11,FALSE))-1),""),"")</f>
        <v/>
      </c>
      <c r="G37" s="1994" t="str">
        <f>IF($D37&lt;&gt;"",
          IF($D37="Yes",VLOOKUP(IF(MID($E37,10,3)&lt;&gt;"VIP",$E37,LEFT($E37,15)),IP!$A$4:$N$205,14,FALSE),
                     IF($D37="No", IFERROR(VLOOKUP($F37,'Host Reference'!$A$3:$B$93,2,FALSE),""),
                          VLOOKUP($F37,'Host Reference'!$A$3:$C$93,2,FALSE))),"")</f>
        <v/>
      </c>
      <c r="H37" s="1995" t="str">
        <f t="shared" si="1"/>
        <v/>
      </c>
      <c r="I37" s="1991"/>
      <c r="J37" s="1991"/>
      <c r="K37" s="2938" t="str">
        <f>IF($I37&lt;&gt;"",
    IF(LEFT(I37,4)="Test","tbcilproxy",
        IF(LEFT(I37, 4)="Prod",CONCATENATE("bcilproxy", CHAR(10),"bctxproxy"),
                 IF($I37="Yes",LEFT(VLOOKUP(IF(MID($J37,10,3)&lt;&gt;"VIP",$J37,LEFT($J37,15)),IP!$A$4:$N$205,11,FALSE),FIND(".",VLOOKUP(IF(MID($J37,10,3)&lt;&gt;"VIP",$J37,LEFT($J37,15)),IP!$A$4:$N$205,11,FALSE))-1),""))),"")</f>
        <v/>
      </c>
      <c r="L37" s="2938" t="str">
        <f>IF($I37&lt;&gt;"",
        IF($I37="Prod BlueCoat", VLOOKUP($I37,'Host Reference'!$A$3:$C$110,3,FALSE),
                IF($I37="Test BlueCoat", VLOOKUP($I37,'Host Reference'!$A$3:$C$110,3,FALSE),
             IF($I37="Yes",VLOOKUP(IF(MID($J37,10,3)&lt;&gt;"VIP",$J37,LEFT($J37,15)),IP!$A$4:$N$205,14,FALSE),
                     IF($I37="No", IFERROR(VLOOKUP($K37,'Host Reference'!$A$3:$C$110,3,FALSE),""),
                            VLOOKUP($K37,'Host Reference'!$A$3:$C$110,3,FALSE))))),"")</f>
        <v/>
      </c>
      <c r="M37" s="1991"/>
      <c r="N37" s="1991"/>
      <c r="O37" s="1991"/>
      <c r="P37" s="1991"/>
      <c r="Q37" s="2950"/>
      <c r="R37" s="1996"/>
      <c r="S37" s="2916" t="str">
        <f t="shared" ref="S37:S68" si="3">IF($B37&lt;&gt;"",
     IF($N37=8098, inbound_requestid, ""),"")</f>
        <v/>
      </c>
      <c r="T37" s="2375" t="str">
        <f t="shared" si="2"/>
        <v/>
      </c>
      <c r="U37" s="2000"/>
    </row>
    <row r="38" spans="2:21">
      <c r="B38" s="380"/>
      <c r="C38" s="1992"/>
      <c r="D38" s="1992"/>
      <c r="E38" s="1991"/>
      <c r="F38" s="1993" t="str">
        <f>IF($D38&lt;&gt;"",IF($D38="Yes",LEFT(VLOOKUP(IF(MID($E38,10,3)&lt;&gt;"VIP",$E38,LEFT($E38,15)),IP!$A$4:$N$205,11,FALSE),FIND(".",VLOOKUP(IF(MID($E38,10,3)&lt;&gt;"VIP",$E38,LEFT($E38,15)),IP!$A$4:$N$205,11,FALSE))-1),""),"")</f>
        <v/>
      </c>
      <c r="G38" s="1994" t="str">
        <f>IF($D38&lt;&gt;"",
          IF($D38="Yes",VLOOKUP(IF(MID($E38,10,3)&lt;&gt;"VIP",$E38,LEFT($E38,15)),IP!$A$4:$N$205,14,FALSE),
                     IF($D38="No", IFERROR(VLOOKUP($F38,'Host Reference'!$A$3:$B$93,2,FALSE),""),
                          VLOOKUP($F38,'Host Reference'!$A$3:$C$93,2,FALSE))),"")</f>
        <v/>
      </c>
      <c r="H38" s="1995" t="str">
        <f t="shared" si="1"/>
        <v/>
      </c>
      <c r="I38" s="1991"/>
      <c r="J38" s="1991"/>
      <c r="K38" s="2938" t="str">
        <f>IF($I38&lt;&gt;"",
    IF(LEFT(I38,4)="Test","tbcilproxy",
        IF(LEFT(I38, 4)="Prod",CONCATENATE("bcilproxy", CHAR(10),"bctxproxy"),
                 IF($I38="Yes",LEFT(VLOOKUP(IF(MID($J38,10,3)&lt;&gt;"VIP",$J38,LEFT($J38,15)),IP!$A$4:$N$205,11,FALSE),FIND(".",VLOOKUP(IF(MID($J38,10,3)&lt;&gt;"VIP",$J38,LEFT($J38,15)),IP!$A$4:$N$205,11,FALSE))-1),""))),"")</f>
        <v/>
      </c>
      <c r="L38" s="2938" t="str">
        <f>IF($I38&lt;&gt;"",
        IF($I38="Prod BlueCoat", VLOOKUP($I38,'Host Reference'!$A$3:$C$110,3,FALSE),
                IF($I38="Test BlueCoat", VLOOKUP($I38,'Host Reference'!$A$3:$C$110,3,FALSE),
             IF($I38="Yes",VLOOKUP(IF(MID($J38,10,3)&lt;&gt;"VIP",$J38,LEFT($J38,15)),IP!$A$4:$N$205,14,FALSE),
                     IF($I38="No", IFERROR(VLOOKUP($K38,'Host Reference'!$A$3:$C$110,3,FALSE),""),
                            VLOOKUP($K38,'Host Reference'!$A$3:$C$110,3,FALSE))))),"")</f>
        <v/>
      </c>
      <c r="M38" s="1991"/>
      <c r="N38" s="1991"/>
      <c r="O38" s="1991"/>
      <c r="P38" s="1991"/>
      <c r="Q38" s="2950"/>
      <c r="R38" s="1996"/>
      <c r="S38" s="2916" t="str">
        <f t="shared" si="3"/>
        <v/>
      </c>
      <c r="T38" s="2375" t="str">
        <f t="shared" si="2"/>
        <v/>
      </c>
      <c r="U38" s="2000"/>
    </row>
    <row r="39" spans="2:21">
      <c r="B39" s="380"/>
      <c r="C39" s="1992"/>
      <c r="D39" s="1992"/>
      <c r="E39" s="1991"/>
      <c r="F39" s="1993" t="str">
        <f>IF($D39&lt;&gt;"",IF($D39="Yes",LEFT(VLOOKUP(IF(MID($E39,10,3)&lt;&gt;"VIP",$E39,LEFT($E39,15)),IP!$A$4:$N$205,11,FALSE),FIND(".",VLOOKUP(IF(MID($E39,10,3)&lt;&gt;"VIP",$E39,LEFT($E39,15)),IP!$A$4:$N$205,11,FALSE))-1),""),"")</f>
        <v/>
      </c>
      <c r="G39" s="1994" t="str">
        <f>IF($D39&lt;&gt;"",
          IF($D39="Yes",VLOOKUP(IF(MID($E39,10,3)&lt;&gt;"VIP",$E39,LEFT($E39,15)),IP!$A$4:$N$205,14,FALSE),
                     IF($D39="No", IFERROR(VLOOKUP($F39,'Host Reference'!$A$3:$B$93,2,FALSE),""),
                          VLOOKUP($F39,'Host Reference'!$A$3:$C$93,2,FALSE))),"")</f>
        <v/>
      </c>
      <c r="H39" s="1995" t="str">
        <f t="shared" si="1"/>
        <v/>
      </c>
      <c r="I39" s="1991"/>
      <c r="J39" s="1991"/>
      <c r="K39" s="2938" t="str">
        <f>IF($I39&lt;&gt;"",
    IF(LEFT(I39,4)="Test","tbcilproxy",
        IF(LEFT(I39, 4)="Prod",CONCATENATE("bcilproxy", CHAR(10),"bctxproxy"),
                 IF($I39="Yes",LEFT(VLOOKUP(IF(MID($J39,10,3)&lt;&gt;"VIP",$J39,LEFT($J39,15)),IP!$A$4:$N$205,11,FALSE),FIND(".",VLOOKUP(IF(MID($J39,10,3)&lt;&gt;"VIP",$J39,LEFT($J39,15)),IP!$A$4:$N$205,11,FALSE))-1),""))),"")</f>
        <v/>
      </c>
      <c r="L39" s="2938" t="str">
        <f>IF($I39&lt;&gt;"",
        IF($I39="Prod BlueCoat", VLOOKUP($I39,'Host Reference'!$A$3:$C$110,3,FALSE),
                IF($I39="Test BlueCoat", VLOOKUP($I39,'Host Reference'!$A$3:$C$110,3,FALSE),
             IF($I39="Yes",VLOOKUP(IF(MID($J39,10,3)&lt;&gt;"VIP",$J39,LEFT($J39,15)),IP!$A$4:$N$205,14,FALSE),
                     IF($I39="No", IFERROR(VLOOKUP($K39,'Host Reference'!$A$3:$C$110,3,FALSE),""),
                            VLOOKUP($K39,'Host Reference'!$A$3:$C$110,3,FALSE))))),"")</f>
        <v/>
      </c>
      <c r="M39" s="1991"/>
      <c r="N39" s="1991"/>
      <c r="O39" s="1991"/>
      <c r="P39" s="1991"/>
      <c r="Q39" s="2950"/>
      <c r="R39" s="1996"/>
      <c r="S39" s="2916" t="str">
        <f t="shared" si="3"/>
        <v/>
      </c>
      <c r="T39" s="2375" t="str">
        <f t="shared" si="2"/>
        <v/>
      </c>
      <c r="U39" s="2000"/>
    </row>
    <row r="40" spans="2:21">
      <c r="B40" s="380"/>
      <c r="C40" s="1992"/>
      <c r="D40" s="1992"/>
      <c r="E40" s="1991"/>
      <c r="F40" s="1993" t="str">
        <f>IF($D40&lt;&gt;"",IF($D40="Yes",LEFT(VLOOKUP(IF(MID($E40,10,3)&lt;&gt;"VIP",$E40,LEFT($E40,15)),IP!$A$4:$N$205,11,FALSE),FIND(".",VLOOKUP(IF(MID($E40,10,3)&lt;&gt;"VIP",$E40,LEFT($E40,15)),IP!$A$4:$N$205,11,FALSE))-1),""),"")</f>
        <v/>
      </c>
      <c r="G40" s="1994" t="str">
        <f>IF($D40&lt;&gt;"",
          IF($D40="Yes",VLOOKUP(IF(MID($E40,10,3)&lt;&gt;"VIP",$E40,LEFT($E40,15)),IP!$A$4:$N$205,14,FALSE),
                     IF($D40="No", IFERROR(VLOOKUP($F40,'Host Reference'!$A$3:$B$93,2,FALSE),""),
                          VLOOKUP($F40,'Host Reference'!$A$3:$C$93,2,FALSE))),"")</f>
        <v/>
      </c>
      <c r="H40" s="1995" t="str">
        <f t="shared" si="1"/>
        <v/>
      </c>
      <c r="I40" s="1991"/>
      <c r="J40" s="1991"/>
      <c r="K40" s="2938" t="str">
        <f>IF($I40&lt;&gt;"",
    IF(LEFT(I40,4)="Test","tbcilproxy",
        IF(LEFT(I40, 4)="Prod",CONCATENATE("bcilproxy", CHAR(10),"bctxproxy"),
                 IF($I40="Yes",LEFT(VLOOKUP(IF(MID($J40,10,3)&lt;&gt;"VIP",$J40,LEFT($J40,15)),IP!$A$4:$N$205,11,FALSE),FIND(".",VLOOKUP(IF(MID($J40,10,3)&lt;&gt;"VIP",$J40,LEFT($J40,15)),IP!$A$4:$N$205,11,FALSE))-1),""))),"")</f>
        <v/>
      </c>
      <c r="L40" s="2938" t="str">
        <f>IF($I40&lt;&gt;"",
        IF($I40="Prod BlueCoat", VLOOKUP($I40,'Host Reference'!$A$3:$C$110,3,FALSE),
                IF($I40="Test BlueCoat", VLOOKUP($I40,'Host Reference'!$A$3:$C$110,3,FALSE),
             IF($I40="Yes",VLOOKUP(IF(MID($J40,10,3)&lt;&gt;"VIP",$J40,LEFT($J40,15)),IP!$A$4:$N$205,14,FALSE),
                     IF($I40="No", IFERROR(VLOOKUP($K40,'Host Reference'!$A$3:$C$110,3,FALSE),""),
                            VLOOKUP($K40,'Host Reference'!$A$3:$C$110,3,FALSE))))),"")</f>
        <v/>
      </c>
      <c r="M40" s="1991"/>
      <c r="N40" s="1991"/>
      <c r="O40" s="1991"/>
      <c r="P40" s="1991"/>
      <c r="Q40" s="2950"/>
      <c r="R40" s="1996"/>
      <c r="S40" s="2916" t="str">
        <f t="shared" si="3"/>
        <v/>
      </c>
      <c r="T40" s="2375" t="str">
        <f t="shared" si="2"/>
        <v/>
      </c>
      <c r="U40" s="2000"/>
    </row>
    <row r="41" spans="2:21">
      <c r="B41" s="380"/>
      <c r="C41" s="1992"/>
      <c r="D41" s="1992"/>
      <c r="E41" s="1991"/>
      <c r="F41" s="1993" t="str">
        <f>IF($D41&lt;&gt;"",IF($D41="Yes",LEFT(VLOOKUP(IF(MID($E41,10,3)&lt;&gt;"VIP",$E41,LEFT($E41,15)),IP!$A$4:$N$205,11,FALSE),FIND(".",VLOOKUP(IF(MID($E41,10,3)&lt;&gt;"VIP",$E41,LEFT($E41,15)),IP!$A$4:$N$205,11,FALSE))-1),""),"")</f>
        <v/>
      </c>
      <c r="G41" s="1994" t="str">
        <f>IF($D41&lt;&gt;"",
          IF($D41="Yes",VLOOKUP(IF(MID($E41,10,3)&lt;&gt;"VIP",$E41,LEFT($E41,15)),IP!$A$4:$N$205,14,FALSE),
                     IF($D41="No", IFERROR(VLOOKUP($F41,'Host Reference'!$A$3:$B$93,2,FALSE),""),
                          VLOOKUP($F41,'Host Reference'!$A$3:$C$93,2,FALSE))),"")</f>
        <v/>
      </c>
      <c r="H41" s="1995" t="str">
        <f t="shared" si="1"/>
        <v/>
      </c>
      <c r="I41" s="1991"/>
      <c r="J41" s="1991"/>
      <c r="K41" s="2938" t="str">
        <f>IF($I41&lt;&gt;"",
    IF(LEFT(I41,4)="Test","tbcilproxy",
        IF(LEFT(I41, 4)="Prod",CONCATENATE("bcilproxy", CHAR(10),"bctxproxy"),
                 IF($I41="Yes",LEFT(VLOOKUP(IF(MID($J41,10,3)&lt;&gt;"VIP",$J41,LEFT($J41,15)),IP!$A$4:$N$205,11,FALSE),FIND(".",VLOOKUP(IF(MID($J41,10,3)&lt;&gt;"VIP",$J41,LEFT($J41,15)),IP!$A$4:$N$205,11,FALSE))-1),""))),"")</f>
        <v/>
      </c>
      <c r="L41" s="2938" t="str">
        <f>IF($I41&lt;&gt;"",
        IF($I41="Prod BlueCoat", VLOOKUP($I41,'Host Reference'!$A$3:$C$110,3,FALSE),
                IF($I41="Test BlueCoat", VLOOKUP($I41,'Host Reference'!$A$3:$C$110,3,FALSE),
             IF($I41="Yes",VLOOKUP(IF(MID($J41,10,3)&lt;&gt;"VIP",$J41,LEFT($J41,15)),IP!$A$4:$N$205,14,FALSE),
                     IF($I41="No", IFERROR(VLOOKUP($K41,'Host Reference'!$A$3:$C$110,3,FALSE),""),
                            VLOOKUP($K41,'Host Reference'!$A$3:$C$110,3,FALSE))))),"")</f>
        <v/>
      </c>
      <c r="M41" s="1991"/>
      <c r="N41" s="1991"/>
      <c r="O41" s="1991"/>
      <c r="P41" s="1991"/>
      <c r="Q41" s="2950"/>
      <c r="R41" s="1996"/>
      <c r="S41" s="2916" t="str">
        <f t="shared" si="3"/>
        <v/>
      </c>
      <c r="T41" s="2375" t="str">
        <f t="shared" si="2"/>
        <v/>
      </c>
      <c r="U41" s="2000"/>
    </row>
    <row r="42" spans="2:21">
      <c r="B42" s="380"/>
      <c r="C42" s="1992"/>
      <c r="D42" s="1992"/>
      <c r="E42" s="1991"/>
      <c r="F42" s="1993" t="str">
        <f>IF($D42&lt;&gt;"",IF($D42="Yes",LEFT(VLOOKUP(IF(MID($E42,10,3)&lt;&gt;"VIP",$E42,LEFT($E42,15)),IP!$A$4:$N$205,11,FALSE),FIND(".",VLOOKUP(IF(MID($E42,10,3)&lt;&gt;"VIP",$E42,LEFT($E42,15)),IP!$A$4:$N$205,11,FALSE))-1),""),"")</f>
        <v/>
      </c>
      <c r="G42" s="1994" t="str">
        <f>IF($D42&lt;&gt;"",
          IF($D42="Yes",VLOOKUP(IF(MID($E42,10,3)&lt;&gt;"VIP",$E42,LEFT($E42,15)),IP!$A$4:$N$205,14,FALSE),
                     IF($D42="No", IFERROR(VLOOKUP($F42,'Host Reference'!$A$3:$B$93,2,FALSE),""),
                          VLOOKUP($F42,'Host Reference'!$A$3:$C$93,2,FALSE))),"")</f>
        <v/>
      </c>
      <c r="H42" s="1995" t="str">
        <f t="shared" si="1"/>
        <v/>
      </c>
      <c r="I42" s="1991"/>
      <c r="J42" s="1991"/>
      <c r="K42" s="2938" t="str">
        <f>IF($I42&lt;&gt;"",
    IF(LEFT(I42,4)="Test","tbcilproxy",
        IF(LEFT(I42, 4)="Prod",CONCATENATE("bcilproxy", CHAR(10),"bctxproxy"),
                 IF($I42="Yes",LEFT(VLOOKUP(IF(MID($J42,10,3)&lt;&gt;"VIP",$J42,LEFT($J42,15)),IP!$A$4:$N$205,11,FALSE),FIND(".",VLOOKUP(IF(MID($J42,10,3)&lt;&gt;"VIP",$J42,LEFT($J42,15)),IP!$A$4:$N$205,11,FALSE))-1),""))),"")</f>
        <v/>
      </c>
      <c r="L42" s="2938" t="str">
        <f>IF($I42&lt;&gt;"",
        IF($I42="Prod BlueCoat", VLOOKUP($I42,'Host Reference'!$A$3:$C$110,3,FALSE),
                IF($I42="Test BlueCoat", VLOOKUP($I42,'Host Reference'!$A$3:$C$110,3,FALSE),
             IF($I42="Yes",VLOOKUP(IF(MID($J42,10,3)&lt;&gt;"VIP",$J42,LEFT($J42,15)),IP!$A$4:$N$205,14,FALSE),
                     IF($I42="No", IFERROR(VLOOKUP($K42,'Host Reference'!$A$3:$C$110,3,FALSE),""),
                            VLOOKUP($K42,'Host Reference'!$A$3:$C$110,3,FALSE))))),"")</f>
        <v/>
      </c>
      <c r="M42" s="1991"/>
      <c r="N42" s="1991"/>
      <c r="O42" s="1991"/>
      <c r="P42" s="1991"/>
      <c r="Q42" s="2950"/>
      <c r="R42" s="1996"/>
      <c r="S42" s="2916" t="str">
        <f t="shared" si="3"/>
        <v/>
      </c>
      <c r="T42" s="2375" t="str">
        <f t="shared" si="2"/>
        <v/>
      </c>
      <c r="U42" s="2000"/>
    </row>
    <row r="43" spans="2:21">
      <c r="B43" s="380"/>
      <c r="C43" s="1992"/>
      <c r="D43" s="1992"/>
      <c r="E43" s="1991"/>
      <c r="F43" s="1993" t="str">
        <f>IF($D43&lt;&gt;"",IF($D43="Yes",LEFT(VLOOKUP(IF(MID($E43,10,3)&lt;&gt;"VIP",$E43,LEFT($E43,15)),IP!$A$4:$N$205,11,FALSE),FIND(".",VLOOKUP(IF(MID($E43,10,3)&lt;&gt;"VIP",$E43,LEFT($E43,15)),IP!$A$4:$N$205,11,FALSE))-1),""),"")</f>
        <v/>
      </c>
      <c r="G43" s="1994" t="str">
        <f>IF($D43&lt;&gt;"",
          IF($D43="Yes",VLOOKUP(IF(MID($E43,10,3)&lt;&gt;"VIP",$E43,LEFT($E43,15)),IP!$A$4:$N$205,14,FALSE),
                     IF($D43="No", IFERROR(VLOOKUP($F43,'Host Reference'!$A$3:$B$93,2,FALSE),""),
                          VLOOKUP($F43,'Host Reference'!$A$3:$C$93,2,FALSE))),"")</f>
        <v/>
      </c>
      <c r="H43" s="1995" t="str">
        <f t="shared" si="1"/>
        <v/>
      </c>
      <c r="I43" s="1991"/>
      <c r="J43" s="1991"/>
      <c r="K43" s="2938" t="str">
        <f>IF($I43&lt;&gt;"",
    IF(LEFT(I43,4)="Test","tbcilproxy",
        IF(LEFT(I43, 4)="Prod",CONCATENATE("bcilproxy", CHAR(10),"bctxproxy"),
                 IF($I43="Yes",LEFT(VLOOKUP(IF(MID($J43,10,3)&lt;&gt;"VIP",$J43,LEFT($J43,15)),IP!$A$4:$N$205,11,FALSE),FIND(".",VLOOKUP(IF(MID($J43,10,3)&lt;&gt;"VIP",$J43,LEFT($J43,15)),IP!$A$4:$N$205,11,FALSE))-1),""))),"")</f>
        <v/>
      </c>
      <c r="L43" s="2938" t="str">
        <f>IF($I43&lt;&gt;"",
        IF($I43="Prod BlueCoat", VLOOKUP($I43,'Host Reference'!$A$3:$C$110,3,FALSE),
                IF($I43="Test BlueCoat", VLOOKUP($I43,'Host Reference'!$A$3:$C$110,3,FALSE),
             IF($I43="Yes",VLOOKUP(IF(MID($J43,10,3)&lt;&gt;"VIP",$J43,LEFT($J43,15)),IP!$A$4:$N$205,14,FALSE),
                     IF($I43="No", IFERROR(VLOOKUP($K43,'Host Reference'!$A$3:$C$110,3,FALSE),""),
                            VLOOKUP($K43,'Host Reference'!$A$3:$C$110,3,FALSE))))),"")</f>
        <v/>
      </c>
      <c r="M43" s="1991"/>
      <c r="N43" s="1991"/>
      <c r="O43" s="1991"/>
      <c r="P43" s="1991"/>
      <c r="Q43" s="2950"/>
      <c r="R43" s="1996"/>
      <c r="S43" s="2916" t="str">
        <f t="shared" si="3"/>
        <v/>
      </c>
      <c r="T43" s="2375" t="str">
        <f t="shared" si="2"/>
        <v/>
      </c>
      <c r="U43" s="2000"/>
    </row>
    <row r="44" spans="2:21">
      <c r="B44" s="380"/>
      <c r="C44" s="1992"/>
      <c r="D44" s="1992"/>
      <c r="E44" s="1991"/>
      <c r="F44" s="1993" t="str">
        <f>IF($D44&lt;&gt;"",IF($D44="Yes",LEFT(VLOOKUP(IF(MID($E44,10,3)&lt;&gt;"VIP",$E44,LEFT($E44,15)),IP!$A$4:$N$205,11,FALSE),FIND(".",VLOOKUP(IF(MID($E44,10,3)&lt;&gt;"VIP",$E44,LEFT($E44,15)),IP!$A$4:$N$205,11,FALSE))-1),""),"")</f>
        <v/>
      </c>
      <c r="G44" s="1994" t="str">
        <f>IF($D44&lt;&gt;"",
          IF($D44="Yes",VLOOKUP(IF(MID($E44,10,3)&lt;&gt;"VIP",$E44,LEFT($E44,15)),IP!$A$4:$N$205,14,FALSE),
                     IF($D44="No", IFERROR(VLOOKUP($F44,'Host Reference'!$A$3:$B$93,2,FALSE),""),
                          VLOOKUP($F44,'Host Reference'!$A$3:$C$93,2,FALSE))),"")</f>
        <v/>
      </c>
      <c r="H44" s="1995" t="str">
        <f t="shared" si="1"/>
        <v/>
      </c>
      <c r="I44" s="1991"/>
      <c r="J44" s="1991"/>
      <c r="K44" s="2938" t="str">
        <f>IF($I44&lt;&gt;"",
    IF(LEFT(I44,4)="Test","tbcilproxy",
        IF(LEFT(I44, 4)="Prod",CONCATENATE("bcilproxy", CHAR(10),"bctxproxy"),
                 IF($I44="Yes",LEFT(VLOOKUP(IF(MID($J44,10,3)&lt;&gt;"VIP",$J44,LEFT($J44,15)),IP!$A$4:$N$205,11,FALSE),FIND(".",VLOOKUP(IF(MID($J44,10,3)&lt;&gt;"VIP",$J44,LEFT($J44,15)),IP!$A$4:$N$205,11,FALSE))-1),""))),"")</f>
        <v/>
      </c>
      <c r="L44" s="2938" t="str">
        <f>IF($I44&lt;&gt;"",
        IF($I44="Prod BlueCoat", VLOOKUP($I44,'Host Reference'!$A$3:$C$110,3,FALSE),
                IF($I44="Test BlueCoat", VLOOKUP($I44,'Host Reference'!$A$3:$C$110,3,FALSE),
             IF($I44="Yes",VLOOKUP(IF(MID($J44,10,3)&lt;&gt;"VIP",$J44,LEFT($J44,15)),IP!$A$4:$N$205,14,FALSE),
                     IF($I44="No", IFERROR(VLOOKUP($K44,'Host Reference'!$A$3:$C$110,3,FALSE),""),
                            VLOOKUP($K44,'Host Reference'!$A$3:$C$110,3,FALSE))))),"")</f>
        <v/>
      </c>
      <c r="M44" s="1991"/>
      <c r="N44" s="1991"/>
      <c r="O44" s="1991"/>
      <c r="P44" s="1991"/>
      <c r="Q44" s="2950"/>
      <c r="R44" s="1996"/>
      <c r="S44" s="2916" t="str">
        <f t="shared" si="3"/>
        <v/>
      </c>
      <c r="T44" s="2375" t="str">
        <f t="shared" si="2"/>
        <v/>
      </c>
      <c r="U44" s="2000"/>
    </row>
    <row r="45" spans="2:21">
      <c r="B45" s="380"/>
      <c r="C45" s="1992"/>
      <c r="D45" s="1992"/>
      <c r="E45" s="1991"/>
      <c r="F45" s="1993" t="str">
        <f>IF($D45&lt;&gt;"",IF($D45="Yes",LEFT(VLOOKUP(IF(MID($E45,10,3)&lt;&gt;"VIP",$E45,LEFT($E45,15)),IP!$A$4:$N$205,11,FALSE),FIND(".",VLOOKUP(IF(MID($E45,10,3)&lt;&gt;"VIP",$E45,LEFT($E45,15)),IP!$A$4:$N$205,11,FALSE))-1),""),"")</f>
        <v/>
      </c>
      <c r="G45" s="1994" t="str">
        <f>IF($D45&lt;&gt;"",
          IF($D45="Yes",VLOOKUP(IF(MID($E45,10,3)&lt;&gt;"VIP",$E45,LEFT($E45,15)),IP!$A$4:$N$205,14,FALSE),
                     IF($D45="No", IFERROR(VLOOKUP($F45,'Host Reference'!$A$3:$B$93,2,FALSE),""),
                          VLOOKUP($F45,'Host Reference'!$A$3:$C$93,2,FALSE))),"")</f>
        <v/>
      </c>
      <c r="H45" s="1995" t="str">
        <f t="shared" si="1"/>
        <v/>
      </c>
      <c r="I45" s="1991"/>
      <c r="J45" s="1991"/>
      <c r="K45" s="2938" t="str">
        <f>IF($I45&lt;&gt;"",
    IF(LEFT(I45,4)="Test","tbcilproxy",
        IF(LEFT(I45, 4)="Prod",CONCATENATE("bcilproxy", CHAR(10),"bctxproxy"),
                 IF($I45="Yes",LEFT(VLOOKUP(IF(MID($J45,10,3)&lt;&gt;"VIP",$J45,LEFT($J45,15)),IP!$A$4:$N$205,11,FALSE),FIND(".",VLOOKUP(IF(MID($J45,10,3)&lt;&gt;"VIP",$J45,LEFT($J45,15)),IP!$A$4:$N$205,11,FALSE))-1),""))),"")</f>
        <v/>
      </c>
      <c r="L45" s="2938" t="str">
        <f>IF($I45&lt;&gt;"",
        IF($I45="Prod BlueCoat", VLOOKUP($I45,'Host Reference'!$A$3:$C$110,3,FALSE),
                IF($I45="Test BlueCoat", VLOOKUP($I45,'Host Reference'!$A$3:$C$110,3,FALSE),
             IF($I45="Yes",VLOOKUP(IF(MID($J45,10,3)&lt;&gt;"VIP",$J45,LEFT($J45,15)),IP!$A$4:$N$205,14,FALSE),
                     IF($I45="No", IFERROR(VLOOKUP($K45,'Host Reference'!$A$3:$C$110,3,FALSE),""),
                            VLOOKUP($K45,'Host Reference'!$A$3:$C$110,3,FALSE))))),"")</f>
        <v/>
      </c>
      <c r="M45" s="1991"/>
      <c r="N45" s="1991"/>
      <c r="O45" s="1991"/>
      <c r="P45" s="1991"/>
      <c r="Q45" s="2950"/>
      <c r="R45" s="1996"/>
      <c r="S45" s="2916" t="str">
        <f t="shared" si="3"/>
        <v/>
      </c>
      <c r="T45" s="2375" t="str">
        <f t="shared" si="2"/>
        <v/>
      </c>
      <c r="U45" s="2000"/>
    </row>
    <row r="46" spans="2:21">
      <c r="B46" s="380"/>
      <c r="C46" s="1992"/>
      <c r="D46" s="1992"/>
      <c r="E46" s="1991"/>
      <c r="F46" s="1993" t="str">
        <f>IF($D46&lt;&gt;"",IF($D46="Yes",LEFT(VLOOKUP(IF(MID($E46,10,3)&lt;&gt;"VIP",$E46,LEFT($E46,15)),IP!$A$4:$N$205,11,FALSE),FIND(".",VLOOKUP(IF(MID($E46,10,3)&lt;&gt;"VIP",$E46,LEFT($E46,15)),IP!$A$4:$N$205,11,FALSE))-1),""),"")</f>
        <v/>
      </c>
      <c r="G46" s="1994" t="str">
        <f>IF($D46&lt;&gt;"",
          IF($D46="Yes",VLOOKUP(IF(MID($E46,10,3)&lt;&gt;"VIP",$E46,LEFT($E46,15)),IP!$A$4:$N$205,14,FALSE),
                     IF($D46="No", IFERROR(VLOOKUP($F46,'Host Reference'!$A$3:$B$93,2,FALSE),""),
                          VLOOKUP($F46,'Host Reference'!$A$3:$C$93,2,FALSE))),"")</f>
        <v/>
      </c>
      <c r="H46" s="1995" t="str">
        <f t="shared" si="1"/>
        <v/>
      </c>
      <c r="I46" s="1991"/>
      <c r="J46" s="1991"/>
      <c r="K46" s="2938" t="str">
        <f>IF($I46&lt;&gt;"",
    IF(LEFT(I46,4)="Test","tbcilproxy",
        IF(LEFT(I46, 4)="Prod",CONCATENATE("bcilproxy", CHAR(10),"bctxproxy"),
                 IF($I46="Yes",LEFT(VLOOKUP(IF(MID($J46,10,3)&lt;&gt;"VIP",$J46,LEFT($J46,15)),IP!$A$4:$N$205,11,FALSE),FIND(".",VLOOKUP(IF(MID($J46,10,3)&lt;&gt;"VIP",$J46,LEFT($J46,15)),IP!$A$4:$N$205,11,FALSE))-1),""))),"")</f>
        <v/>
      </c>
      <c r="L46" s="2938" t="str">
        <f>IF($I46&lt;&gt;"",
        IF($I46="Prod BlueCoat", VLOOKUP($I46,'Host Reference'!$A$3:$C$110,3,FALSE),
                IF($I46="Test BlueCoat", VLOOKUP($I46,'Host Reference'!$A$3:$C$110,3,FALSE),
             IF($I46="Yes",VLOOKUP(IF(MID($J46,10,3)&lt;&gt;"VIP",$J46,LEFT($J46,15)),IP!$A$4:$N$205,14,FALSE),
                     IF($I46="No", IFERROR(VLOOKUP($K46,'Host Reference'!$A$3:$C$110,3,FALSE),""),
                            VLOOKUP($K46,'Host Reference'!$A$3:$C$110,3,FALSE))))),"")</f>
        <v/>
      </c>
      <c r="M46" s="1991"/>
      <c r="N46" s="1991"/>
      <c r="O46" s="1991"/>
      <c r="P46" s="1991"/>
      <c r="Q46" s="2950"/>
      <c r="R46" s="1996"/>
      <c r="S46" s="2916" t="str">
        <f t="shared" si="3"/>
        <v/>
      </c>
      <c r="T46" s="2375" t="str">
        <f t="shared" si="2"/>
        <v/>
      </c>
      <c r="U46" s="2000"/>
    </row>
    <row r="47" spans="2:21">
      <c r="B47" s="380"/>
      <c r="C47" s="1992"/>
      <c r="D47" s="1992"/>
      <c r="E47" s="1991"/>
      <c r="F47" s="1993" t="str">
        <f>IF($D47&lt;&gt;"",IF($D47="Yes",LEFT(VLOOKUP(IF(MID($E47,10,3)&lt;&gt;"VIP",$E47,LEFT($E47,15)),IP!$A$4:$N$205,11,FALSE),FIND(".",VLOOKUP(IF(MID($E47,10,3)&lt;&gt;"VIP",$E47,LEFT($E47,15)),IP!$A$4:$N$205,11,FALSE))-1),""),"")</f>
        <v/>
      </c>
      <c r="G47" s="1994" t="str">
        <f>IF($D47&lt;&gt;"",
          IF($D47="Yes",VLOOKUP(IF(MID($E47,10,3)&lt;&gt;"VIP",$E47,LEFT($E47,15)),IP!$A$4:$N$205,14,FALSE),
                     IF($D47="No", IFERROR(VLOOKUP($F47,'Host Reference'!$A$3:$B$93,2,FALSE),""),
                          VLOOKUP($F47,'Host Reference'!$A$3:$C$93,2,FALSE))),"")</f>
        <v/>
      </c>
      <c r="H47" s="1995" t="str">
        <f t="shared" si="1"/>
        <v/>
      </c>
      <c r="I47" s="1991"/>
      <c r="J47" s="1991"/>
      <c r="K47" s="2938" t="str">
        <f>IF($I47&lt;&gt;"",
    IF(LEFT(I47,4)="Test","tbcilproxy",
        IF(LEFT(I47, 4)="Prod",CONCATENATE("bcilproxy", CHAR(10),"bctxproxy"),
                 IF($I47="Yes",LEFT(VLOOKUP(IF(MID($J47,10,3)&lt;&gt;"VIP",$J47,LEFT($J47,15)),IP!$A$4:$N$205,11,FALSE),FIND(".",VLOOKUP(IF(MID($J47,10,3)&lt;&gt;"VIP",$J47,LEFT($J47,15)),IP!$A$4:$N$205,11,FALSE))-1),""))),"")</f>
        <v/>
      </c>
      <c r="L47" s="2938" t="str">
        <f>IF($I47&lt;&gt;"",
        IF($I47="Prod BlueCoat", VLOOKUP($I47,'Host Reference'!$A$3:$C$110,3,FALSE),
                IF($I47="Test BlueCoat", VLOOKUP($I47,'Host Reference'!$A$3:$C$110,3,FALSE),
             IF($I47="Yes",VLOOKUP(IF(MID($J47,10,3)&lt;&gt;"VIP",$J47,LEFT($J47,15)),IP!$A$4:$N$205,14,FALSE),
                     IF($I47="No", IFERROR(VLOOKUP($K47,'Host Reference'!$A$3:$C$110,3,FALSE),""),
                            VLOOKUP($K47,'Host Reference'!$A$3:$C$110,3,FALSE))))),"")</f>
        <v/>
      </c>
      <c r="M47" s="1991"/>
      <c r="N47" s="1991"/>
      <c r="O47" s="1991"/>
      <c r="P47" s="1991"/>
      <c r="Q47" s="2950"/>
      <c r="R47" s="1996"/>
      <c r="S47" s="2916" t="str">
        <f t="shared" si="3"/>
        <v/>
      </c>
      <c r="T47" s="2375" t="str">
        <f t="shared" si="2"/>
        <v/>
      </c>
      <c r="U47" s="2000"/>
    </row>
    <row r="48" spans="2:21">
      <c r="B48" s="380"/>
      <c r="C48" s="1992"/>
      <c r="D48" s="1992"/>
      <c r="E48" s="1991"/>
      <c r="F48" s="1993" t="str">
        <f>IF($D48&lt;&gt;"",IF($D48="Yes",LEFT(VLOOKUP(IF(MID($E48,10,3)&lt;&gt;"VIP",$E48,LEFT($E48,15)),IP!$A$4:$N$205,11,FALSE),FIND(".",VLOOKUP(IF(MID($E48,10,3)&lt;&gt;"VIP",$E48,LEFT($E48,15)),IP!$A$4:$N$205,11,FALSE))-1),""),"")</f>
        <v/>
      </c>
      <c r="G48" s="1994" t="str">
        <f>IF($D48&lt;&gt;"",
          IF($D48="Yes",VLOOKUP(IF(MID($E48,10,3)&lt;&gt;"VIP",$E48,LEFT($E48,15)),IP!$A$4:$N$205,14,FALSE),
                     IF($D48="No", IFERROR(VLOOKUP($F48,'Host Reference'!$A$3:$B$93,2,FALSE),""),
                          VLOOKUP($F48,'Host Reference'!$A$3:$C$93,2,FALSE))),"")</f>
        <v/>
      </c>
      <c r="H48" s="1995" t="str">
        <f t="shared" si="1"/>
        <v/>
      </c>
      <c r="I48" s="1991"/>
      <c r="J48" s="1991"/>
      <c r="K48" s="2938" t="str">
        <f>IF($I48&lt;&gt;"",
    IF(LEFT(I48,4)="Test","tbcilproxy",
        IF(LEFT(I48, 4)="Prod",CONCATENATE("bcilproxy", CHAR(10),"bctxproxy"),
                 IF($I48="Yes",LEFT(VLOOKUP(IF(MID($J48,10,3)&lt;&gt;"VIP",$J48,LEFT($J48,15)),IP!$A$4:$N$205,11,FALSE),FIND(".",VLOOKUP(IF(MID($J48,10,3)&lt;&gt;"VIP",$J48,LEFT($J48,15)),IP!$A$4:$N$205,11,FALSE))-1),""))),"")</f>
        <v/>
      </c>
      <c r="L48" s="2938" t="str">
        <f>IF($I48&lt;&gt;"",
        IF($I48="Prod BlueCoat", VLOOKUP($I48,'Host Reference'!$A$3:$C$110,3,FALSE),
                IF($I48="Test BlueCoat", VLOOKUP($I48,'Host Reference'!$A$3:$C$110,3,FALSE),
             IF($I48="Yes",VLOOKUP(IF(MID($J48,10,3)&lt;&gt;"VIP",$J48,LEFT($J48,15)),IP!$A$4:$N$205,14,FALSE),
                     IF($I48="No", IFERROR(VLOOKUP($K48,'Host Reference'!$A$3:$C$110,3,FALSE),""),
                            VLOOKUP($K48,'Host Reference'!$A$3:$C$110,3,FALSE))))),"")</f>
        <v/>
      </c>
      <c r="M48" s="1991"/>
      <c r="N48" s="1991"/>
      <c r="O48" s="1991"/>
      <c r="P48" s="1991"/>
      <c r="Q48" s="2950"/>
      <c r="R48" s="1996"/>
      <c r="S48" s="2916" t="str">
        <f t="shared" si="3"/>
        <v/>
      </c>
      <c r="T48" s="2375" t="str">
        <f t="shared" si="2"/>
        <v/>
      </c>
      <c r="U48" s="2000"/>
    </row>
    <row r="49" spans="2:21">
      <c r="B49" s="380"/>
      <c r="C49" s="1992"/>
      <c r="D49" s="1992"/>
      <c r="E49" s="1991"/>
      <c r="F49" s="1993" t="str">
        <f>IF($D49&lt;&gt;"",IF($D49="Yes",LEFT(VLOOKUP(IF(MID($E49,10,3)&lt;&gt;"VIP",$E49,LEFT($E49,15)),IP!$A$4:$N$205,11,FALSE),FIND(".",VLOOKUP(IF(MID($E49,10,3)&lt;&gt;"VIP",$E49,LEFT($E49,15)),IP!$A$4:$N$205,11,FALSE))-1),""),"")</f>
        <v/>
      </c>
      <c r="G49" s="1994" t="str">
        <f>IF($D49&lt;&gt;"",
          IF($D49="Yes",VLOOKUP(IF(MID($E49,10,3)&lt;&gt;"VIP",$E49,LEFT($E49,15)),IP!$A$4:$N$205,14,FALSE),
                     IF($D49="No", IFERROR(VLOOKUP($F49,'Host Reference'!$A$3:$B$93,2,FALSE),""),
                          VLOOKUP($F49,'Host Reference'!$A$3:$C$93,2,FALSE))),"")</f>
        <v/>
      </c>
      <c r="H49" s="1995" t="str">
        <f t="shared" si="1"/>
        <v/>
      </c>
      <c r="I49" s="1991"/>
      <c r="J49" s="1991"/>
      <c r="K49" s="2938" t="str">
        <f>IF($I49&lt;&gt;"",
    IF(LEFT(I49,4)="Test","tbcilproxy",
        IF(LEFT(I49, 4)="Prod",CONCATENATE("bcilproxy", CHAR(10),"bctxproxy"),
                 IF($I49="Yes",LEFT(VLOOKUP(IF(MID($J49,10,3)&lt;&gt;"VIP",$J49,LEFT($J49,15)),IP!$A$4:$N$205,11,FALSE),FIND(".",VLOOKUP(IF(MID($J49,10,3)&lt;&gt;"VIP",$J49,LEFT($J49,15)),IP!$A$4:$N$205,11,FALSE))-1),""))),"")</f>
        <v/>
      </c>
      <c r="L49" s="2938" t="str">
        <f>IF($I49&lt;&gt;"",
        IF($I49="Prod BlueCoat", VLOOKUP($I49,'Host Reference'!$A$3:$C$110,3,FALSE),
                IF($I49="Test BlueCoat", VLOOKUP($I49,'Host Reference'!$A$3:$C$110,3,FALSE),
             IF($I49="Yes",VLOOKUP(IF(MID($J49,10,3)&lt;&gt;"VIP",$J49,LEFT($J49,15)),IP!$A$4:$N$205,14,FALSE),
                     IF($I49="No", IFERROR(VLOOKUP($K49,'Host Reference'!$A$3:$C$110,3,FALSE),""),
                            VLOOKUP($K49,'Host Reference'!$A$3:$C$110,3,FALSE))))),"")</f>
        <v/>
      </c>
      <c r="M49" s="1991"/>
      <c r="N49" s="1991"/>
      <c r="O49" s="1991"/>
      <c r="P49" s="1991"/>
      <c r="Q49" s="2950"/>
      <c r="R49" s="1996"/>
      <c r="S49" s="2916" t="str">
        <f t="shared" si="3"/>
        <v/>
      </c>
      <c r="T49" s="2375" t="str">
        <f t="shared" si="2"/>
        <v/>
      </c>
      <c r="U49" s="2000"/>
    </row>
    <row r="50" spans="2:21">
      <c r="B50" s="380"/>
      <c r="C50" s="1992"/>
      <c r="D50" s="1992"/>
      <c r="E50" s="1991"/>
      <c r="F50" s="1993" t="str">
        <f>IF($D50&lt;&gt;"",IF($D50="Yes",LEFT(VLOOKUP(IF(MID($E50,10,3)&lt;&gt;"VIP",$E50,LEFT($E50,15)),IP!$A$4:$N$205,11,FALSE),FIND(".",VLOOKUP(IF(MID($E50,10,3)&lt;&gt;"VIP",$E50,LEFT($E50,15)),IP!$A$4:$N$205,11,FALSE))-1),""),"")</f>
        <v/>
      </c>
      <c r="G50" s="1994" t="str">
        <f>IF($D50&lt;&gt;"",
          IF($D50="Yes",VLOOKUP(IF(MID($E50,10,3)&lt;&gt;"VIP",$E50,LEFT($E50,15)),IP!$A$4:$N$205,14,FALSE),
                     IF($D50="No", IFERROR(VLOOKUP($F50,'Host Reference'!$A$3:$B$93,2,FALSE),""),
                          VLOOKUP($F50,'Host Reference'!$A$3:$C$93,2,FALSE))),"")</f>
        <v/>
      </c>
      <c r="H50" s="1995" t="str">
        <f t="shared" si="1"/>
        <v/>
      </c>
      <c r="I50" s="1991"/>
      <c r="J50" s="1991"/>
      <c r="K50" s="2938" t="str">
        <f>IF($I50&lt;&gt;"",
    IF(LEFT(I50,4)="Test","tbcilproxy",
        IF(LEFT(I50, 4)="Prod",CONCATENATE("bcilproxy", CHAR(10),"bctxproxy"),
                 IF($I50="Yes",LEFT(VLOOKUP(IF(MID($J50,10,3)&lt;&gt;"VIP",$J50,LEFT($J50,15)),IP!$A$4:$N$205,11,FALSE),FIND(".",VLOOKUP(IF(MID($J50,10,3)&lt;&gt;"VIP",$J50,LEFT($J50,15)),IP!$A$4:$N$205,11,FALSE))-1),""))),"")</f>
        <v/>
      </c>
      <c r="L50" s="2938" t="str">
        <f>IF($I50&lt;&gt;"",
        IF($I50="Prod BlueCoat", VLOOKUP($I50,'Host Reference'!$A$3:$C$110,3,FALSE),
                IF($I50="Test BlueCoat", VLOOKUP($I50,'Host Reference'!$A$3:$C$110,3,FALSE),
             IF($I50="Yes",VLOOKUP(IF(MID($J50,10,3)&lt;&gt;"VIP",$J50,LEFT($J50,15)),IP!$A$4:$N$205,14,FALSE),
                     IF($I50="No", IFERROR(VLOOKUP($K50,'Host Reference'!$A$3:$C$110,3,FALSE),""),
                            VLOOKUP($K50,'Host Reference'!$A$3:$C$110,3,FALSE))))),"")</f>
        <v/>
      </c>
      <c r="M50" s="1991"/>
      <c r="N50" s="1991"/>
      <c r="O50" s="1991"/>
      <c r="P50" s="1991"/>
      <c r="Q50" s="2950"/>
      <c r="R50" s="1996"/>
      <c r="S50" s="2916" t="str">
        <f t="shared" si="3"/>
        <v/>
      </c>
      <c r="T50" s="2375" t="str">
        <f t="shared" si="2"/>
        <v/>
      </c>
      <c r="U50" s="2000"/>
    </row>
    <row r="51" spans="2:21">
      <c r="B51" s="380"/>
      <c r="C51" s="1992"/>
      <c r="D51" s="1992"/>
      <c r="E51" s="1991"/>
      <c r="F51" s="1993" t="str">
        <f>IF($D51&lt;&gt;"",IF($D51="Yes",LEFT(VLOOKUP(IF(MID($E51,10,3)&lt;&gt;"VIP",$E51,LEFT($E51,15)),IP!$A$4:$N$205,11,FALSE),FIND(".",VLOOKUP(IF(MID($E51,10,3)&lt;&gt;"VIP",$E51,LEFT($E51,15)),IP!$A$4:$N$205,11,FALSE))-1),""),"")</f>
        <v/>
      </c>
      <c r="G51" s="1994" t="str">
        <f>IF($D51&lt;&gt;"",
          IF($D51="Yes",VLOOKUP(IF(MID($E51,10,3)&lt;&gt;"VIP",$E51,LEFT($E51,15)),IP!$A$4:$N$205,14,FALSE),
                     IF($D51="No", IFERROR(VLOOKUP($F51,'Host Reference'!$A$3:$B$93,2,FALSE),""),
                          VLOOKUP($F51,'Host Reference'!$A$3:$C$93,2,FALSE))),"")</f>
        <v/>
      </c>
      <c r="H51" s="1995" t="str">
        <f t="shared" si="1"/>
        <v/>
      </c>
      <c r="I51" s="1991"/>
      <c r="J51" s="1991"/>
      <c r="K51" s="2938" t="str">
        <f>IF($I51&lt;&gt;"",
    IF(LEFT(I51,4)="Test","tbcilproxy",
        IF(LEFT(I51, 4)="Prod",CONCATENATE("bcilproxy", CHAR(10),"bctxproxy"),
                 IF($I51="Yes",LEFT(VLOOKUP(IF(MID($J51,10,3)&lt;&gt;"VIP",$J51,LEFT($J51,15)),IP!$A$4:$N$205,11,FALSE),FIND(".",VLOOKUP(IF(MID($J51,10,3)&lt;&gt;"VIP",$J51,LEFT($J51,15)),IP!$A$4:$N$205,11,FALSE))-1),""))),"")</f>
        <v/>
      </c>
      <c r="L51" s="2938" t="str">
        <f>IF($I51&lt;&gt;"",
        IF($I51="Prod BlueCoat", VLOOKUP($I51,'Host Reference'!$A$3:$C$110,3,FALSE),
                IF($I51="Test BlueCoat", VLOOKUP($I51,'Host Reference'!$A$3:$C$110,3,FALSE),
             IF($I51="Yes",VLOOKUP(IF(MID($J51,10,3)&lt;&gt;"VIP",$J51,LEFT($J51,15)),IP!$A$4:$N$205,14,FALSE),
                     IF($I51="No", IFERROR(VLOOKUP($K51,'Host Reference'!$A$3:$C$110,3,FALSE),""),
                            VLOOKUP($K51,'Host Reference'!$A$3:$C$110,3,FALSE))))),"")</f>
        <v/>
      </c>
      <c r="M51" s="1991"/>
      <c r="N51" s="1991"/>
      <c r="O51" s="1991"/>
      <c r="P51" s="1991"/>
      <c r="Q51" s="2950"/>
      <c r="R51" s="1996"/>
      <c r="S51" s="2916" t="str">
        <f t="shared" si="3"/>
        <v/>
      </c>
      <c r="T51" s="2375" t="str">
        <f t="shared" si="2"/>
        <v/>
      </c>
      <c r="U51" s="2000"/>
    </row>
    <row r="52" spans="2:21">
      <c r="B52" s="380"/>
      <c r="C52" s="1992"/>
      <c r="D52" s="1992"/>
      <c r="E52" s="1991"/>
      <c r="F52" s="1993" t="str">
        <f>IF($D52&lt;&gt;"",IF($D52="Yes",LEFT(VLOOKUP(IF(MID($E52,10,3)&lt;&gt;"VIP",$E52,LEFT($E52,15)),IP!$A$4:$N$205,11,FALSE),FIND(".",VLOOKUP(IF(MID($E52,10,3)&lt;&gt;"VIP",$E52,LEFT($E52,15)),IP!$A$4:$N$205,11,FALSE))-1),""),"")</f>
        <v/>
      </c>
      <c r="G52" s="1994" t="str">
        <f>IF($D52&lt;&gt;"",
          IF($D52="Yes",VLOOKUP(IF(MID($E52,10,3)&lt;&gt;"VIP",$E52,LEFT($E52,15)),IP!$A$4:$N$205,14,FALSE),
                     IF($D52="No", IFERROR(VLOOKUP($F52,'Host Reference'!$A$3:$B$93,2,FALSE),""),
                          VLOOKUP($F52,'Host Reference'!$A$3:$C$93,2,FALSE))),"")</f>
        <v/>
      </c>
      <c r="H52" s="1995" t="str">
        <f t="shared" si="1"/>
        <v/>
      </c>
      <c r="I52" s="1991"/>
      <c r="J52" s="1991"/>
      <c r="K52" s="2938" t="str">
        <f>IF($I52&lt;&gt;"",
    IF(LEFT(I52,4)="Test","tbcilproxy",
        IF(LEFT(I52, 4)="Prod",CONCATENATE("bcilproxy", CHAR(10),"bctxproxy"),
                 IF($I52="Yes",LEFT(VLOOKUP(IF(MID($J52,10,3)&lt;&gt;"VIP",$J52,LEFT($J52,15)),IP!$A$4:$N$205,11,FALSE),FIND(".",VLOOKUP(IF(MID($J52,10,3)&lt;&gt;"VIP",$J52,LEFT($J52,15)),IP!$A$4:$N$205,11,FALSE))-1),""))),"")</f>
        <v/>
      </c>
      <c r="L52" s="2938" t="str">
        <f>IF($I52&lt;&gt;"",
        IF($I52="Prod BlueCoat", VLOOKUP($I52,'Host Reference'!$A$3:$C$110,3,FALSE),
                IF($I52="Test BlueCoat", VLOOKUP($I52,'Host Reference'!$A$3:$C$110,3,FALSE),
             IF($I52="Yes",VLOOKUP(IF(MID($J52,10,3)&lt;&gt;"VIP",$J52,LEFT($J52,15)),IP!$A$4:$N$205,14,FALSE),
                     IF($I52="No", IFERROR(VLOOKUP($K52,'Host Reference'!$A$3:$C$110,3,FALSE),""),
                            VLOOKUP($K52,'Host Reference'!$A$3:$C$110,3,FALSE))))),"")</f>
        <v/>
      </c>
      <c r="M52" s="1991"/>
      <c r="N52" s="1991"/>
      <c r="O52" s="1991"/>
      <c r="P52" s="1991"/>
      <c r="Q52" s="2950"/>
      <c r="R52" s="1996"/>
      <c r="S52" s="2916" t="str">
        <f t="shared" si="3"/>
        <v/>
      </c>
      <c r="T52" s="2375" t="str">
        <f t="shared" si="2"/>
        <v/>
      </c>
      <c r="U52" s="2000"/>
    </row>
    <row r="53" spans="2:21">
      <c r="B53" s="380"/>
      <c r="C53" s="1992"/>
      <c r="D53" s="1992"/>
      <c r="E53" s="1991"/>
      <c r="F53" s="1993" t="str">
        <f>IF($D53&lt;&gt;"",IF($D53="Yes",LEFT(VLOOKUP(IF(MID($E53,10,3)&lt;&gt;"VIP",$E53,LEFT($E53,15)),IP!$A$4:$N$205,11,FALSE),FIND(".",VLOOKUP(IF(MID($E53,10,3)&lt;&gt;"VIP",$E53,LEFT($E53,15)),IP!$A$4:$N$205,11,FALSE))-1),""),"")</f>
        <v/>
      </c>
      <c r="G53" s="1994" t="str">
        <f>IF($D53&lt;&gt;"",
          IF($D53="Yes",VLOOKUP(IF(MID($E53,10,3)&lt;&gt;"VIP",$E53,LEFT($E53,15)),IP!$A$4:$N$205,14,FALSE),
                     IF($D53="No", IFERROR(VLOOKUP($F53,'Host Reference'!$A$3:$B$93,2,FALSE),""),
                          VLOOKUP($F53,'Host Reference'!$A$3:$C$93,2,FALSE))),"")</f>
        <v/>
      </c>
      <c r="H53" s="1995" t="str">
        <f t="shared" si="1"/>
        <v/>
      </c>
      <c r="I53" s="1991"/>
      <c r="J53" s="1991"/>
      <c r="K53" s="2938" t="str">
        <f>IF($I53&lt;&gt;"",
    IF(LEFT(I53,4)="Test","tbcilproxy",
        IF(LEFT(I53, 4)="Prod",CONCATENATE("bcilproxy", CHAR(10),"bctxproxy"),
                 IF($I53="Yes",LEFT(VLOOKUP(IF(MID($J53,10,3)&lt;&gt;"VIP",$J53,LEFT($J53,15)),IP!$A$4:$N$205,11,FALSE),FIND(".",VLOOKUP(IF(MID($J53,10,3)&lt;&gt;"VIP",$J53,LEFT($J53,15)),IP!$A$4:$N$205,11,FALSE))-1),""))),"")</f>
        <v/>
      </c>
      <c r="L53" s="2938" t="str">
        <f>IF($I53&lt;&gt;"",
        IF($I53="Prod BlueCoat", VLOOKUP($I53,'Host Reference'!$A$3:$C$110,3,FALSE),
                IF($I53="Test BlueCoat", VLOOKUP($I53,'Host Reference'!$A$3:$C$110,3,FALSE),
             IF($I53="Yes",VLOOKUP(IF(MID($J53,10,3)&lt;&gt;"VIP",$J53,LEFT($J53,15)),IP!$A$4:$N$205,14,FALSE),
                     IF($I53="No", IFERROR(VLOOKUP($K53,'Host Reference'!$A$3:$C$110,3,FALSE),""),
                            VLOOKUP($K53,'Host Reference'!$A$3:$C$110,3,FALSE))))),"")</f>
        <v/>
      </c>
      <c r="M53" s="1991"/>
      <c r="N53" s="1991"/>
      <c r="O53" s="1991"/>
      <c r="P53" s="1991"/>
      <c r="Q53" s="2950"/>
      <c r="R53" s="1996"/>
      <c r="S53" s="2916" t="str">
        <f t="shared" si="3"/>
        <v/>
      </c>
      <c r="T53" s="2375" t="str">
        <f t="shared" si="2"/>
        <v/>
      </c>
      <c r="U53" s="2000"/>
    </row>
    <row r="54" spans="2:21">
      <c r="B54" s="380"/>
      <c r="C54" s="1992"/>
      <c r="D54" s="1992"/>
      <c r="E54" s="1991"/>
      <c r="F54" s="1993" t="str">
        <f>IF($D54&lt;&gt;"",IF($D54="Yes",LEFT(VLOOKUP(IF(MID($E54,10,3)&lt;&gt;"VIP",$E54,LEFT($E54,15)),IP!$A$4:$N$205,11,FALSE),FIND(".",VLOOKUP(IF(MID($E54,10,3)&lt;&gt;"VIP",$E54,LEFT($E54,15)),IP!$A$4:$N$205,11,FALSE))-1),""),"")</f>
        <v/>
      </c>
      <c r="G54" s="1994" t="str">
        <f>IF($D54&lt;&gt;"",
          IF($D54="Yes",VLOOKUP(IF(MID($E54,10,3)&lt;&gt;"VIP",$E54,LEFT($E54,15)),IP!$A$4:$N$205,14,FALSE),
                     IF($D54="No", IFERROR(VLOOKUP($F54,'Host Reference'!$A$3:$B$93,2,FALSE),""),
                          VLOOKUP($F54,'Host Reference'!$A$3:$C$93,2,FALSE))),"")</f>
        <v/>
      </c>
      <c r="H54" s="1995" t="str">
        <f t="shared" si="1"/>
        <v/>
      </c>
      <c r="I54" s="1991"/>
      <c r="J54" s="1991"/>
      <c r="K54" s="2938" t="str">
        <f>IF($I54&lt;&gt;"",
    IF(LEFT(I54,4)="Test","tbcilproxy",
        IF(LEFT(I54, 4)="Prod",CONCATENATE("bcilproxy", CHAR(10),"bctxproxy"),
                 IF($I54="Yes",LEFT(VLOOKUP(IF(MID($J54,10,3)&lt;&gt;"VIP",$J54,LEFT($J54,15)),IP!$A$4:$N$205,11,FALSE),FIND(".",VLOOKUP(IF(MID($J54,10,3)&lt;&gt;"VIP",$J54,LEFT($J54,15)),IP!$A$4:$N$205,11,FALSE))-1),""))),"")</f>
        <v/>
      </c>
      <c r="L54" s="2938" t="str">
        <f>IF($I54&lt;&gt;"",
        IF($I54="Prod BlueCoat", VLOOKUP($I54,'Host Reference'!$A$3:$C$110,3,FALSE),
                IF($I54="Test BlueCoat", VLOOKUP($I54,'Host Reference'!$A$3:$C$110,3,FALSE),
             IF($I54="Yes",VLOOKUP(IF(MID($J54,10,3)&lt;&gt;"VIP",$J54,LEFT($J54,15)),IP!$A$4:$N$205,14,FALSE),
                     IF($I54="No", IFERROR(VLOOKUP($K54,'Host Reference'!$A$3:$C$110,3,FALSE),""),
                            VLOOKUP($K54,'Host Reference'!$A$3:$C$110,3,FALSE))))),"")</f>
        <v/>
      </c>
      <c r="M54" s="1991"/>
      <c r="N54" s="1991"/>
      <c r="O54" s="1991"/>
      <c r="P54" s="1991"/>
      <c r="Q54" s="2950"/>
      <c r="R54" s="1996"/>
      <c r="S54" s="2916" t="str">
        <f t="shared" si="3"/>
        <v/>
      </c>
      <c r="T54" s="2375" t="str">
        <f t="shared" si="2"/>
        <v/>
      </c>
      <c r="U54" s="2000"/>
    </row>
    <row r="55" spans="2:21">
      <c r="B55" s="380"/>
      <c r="C55" s="1992"/>
      <c r="D55" s="1992"/>
      <c r="E55" s="1991"/>
      <c r="F55" s="1993" t="str">
        <f>IF($D55&lt;&gt;"",IF($D55="Yes",LEFT(VLOOKUP(IF(MID($E55,10,3)&lt;&gt;"VIP",$E55,LEFT($E55,15)),IP!$A$4:$N$205,11,FALSE),FIND(".",VLOOKUP(IF(MID($E55,10,3)&lt;&gt;"VIP",$E55,LEFT($E55,15)),IP!$A$4:$N$205,11,FALSE))-1),""),"")</f>
        <v/>
      </c>
      <c r="G55" s="1994" t="str">
        <f>IF($D55&lt;&gt;"",
          IF($D55="Yes",VLOOKUP(IF(MID($E55,10,3)&lt;&gt;"VIP",$E55,LEFT($E55,15)),IP!$A$4:$N$205,14,FALSE),
                     IF($D55="No", IFERROR(VLOOKUP($F55,'Host Reference'!$A$3:$B$93,2,FALSE),""),
                          VLOOKUP($F55,'Host Reference'!$A$3:$C$93,2,FALSE))),"")</f>
        <v/>
      </c>
      <c r="H55" s="1995" t="str">
        <f t="shared" si="1"/>
        <v/>
      </c>
      <c r="I55" s="1991"/>
      <c r="J55" s="1991"/>
      <c r="K55" s="2938" t="str">
        <f>IF($I55&lt;&gt;"",
    IF(LEFT(I55,4)="Test","tbcilproxy",
        IF(LEFT(I55, 4)="Prod",CONCATENATE("bcilproxy", CHAR(10),"bctxproxy"),
                 IF($I55="Yes",LEFT(VLOOKUP(IF(MID($J55,10,3)&lt;&gt;"VIP",$J55,LEFT($J55,15)),IP!$A$4:$N$205,11,FALSE),FIND(".",VLOOKUP(IF(MID($J55,10,3)&lt;&gt;"VIP",$J55,LEFT($J55,15)),IP!$A$4:$N$205,11,FALSE))-1),""))),"")</f>
        <v/>
      </c>
      <c r="L55" s="2938" t="str">
        <f>IF($I55&lt;&gt;"",
        IF($I55="Prod BlueCoat", VLOOKUP($I55,'Host Reference'!$A$3:$C$110,3,FALSE),
                IF($I55="Test BlueCoat", VLOOKUP($I55,'Host Reference'!$A$3:$C$110,3,FALSE),
             IF($I55="Yes",VLOOKUP(IF(MID($J55,10,3)&lt;&gt;"VIP",$J55,LEFT($J55,15)),IP!$A$4:$N$205,14,FALSE),
                     IF($I55="No", IFERROR(VLOOKUP($K55,'Host Reference'!$A$3:$C$110,3,FALSE),""),
                            VLOOKUP($K55,'Host Reference'!$A$3:$C$110,3,FALSE))))),"")</f>
        <v/>
      </c>
      <c r="M55" s="1991"/>
      <c r="N55" s="1991"/>
      <c r="O55" s="1991"/>
      <c r="P55" s="1991"/>
      <c r="Q55" s="2950"/>
      <c r="R55" s="1996"/>
      <c r="S55" s="2916" t="str">
        <f t="shared" si="3"/>
        <v/>
      </c>
      <c r="T55" s="2375" t="str">
        <f t="shared" si="2"/>
        <v/>
      </c>
      <c r="U55" s="2000"/>
    </row>
    <row r="56" spans="2:21">
      <c r="B56" s="380"/>
      <c r="C56" s="1992"/>
      <c r="D56" s="1992"/>
      <c r="E56" s="1991"/>
      <c r="F56" s="1993" t="str">
        <f>IF($D56&lt;&gt;"",IF($D56="Yes",LEFT(VLOOKUP(IF(MID($E56,10,3)&lt;&gt;"VIP",$E56,LEFT($E56,15)),IP!$A$4:$N$205,11,FALSE),FIND(".",VLOOKUP(IF(MID($E56,10,3)&lt;&gt;"VIP",$E56,LEFT($E56,15)),IP!$A$4:$N$205,11,FALSE))-1),""),"")</f>
        <v/>
      </c>
      <c r="G56" s="1994" t="str">
        <f>IF($D56&lt;&gt;"",
          IF($D56="Yes",VLOOKUP(IF(MID($E56,10,3)&lt;&gt;"VIP",$E56,LEFT($E56,15)),IP!$A$4:$N$205,14,FALSE),
                     IF($D56="No", IFERROR(VLOOKUP($F56,'Host Reference'!$A$3:$B$93,2,FALSE),""),
                          VLOOKUP($F56,'Host Reference'!$A$3:$C$93,2,FALSE))),"")</f>
        <v/>
      </c>
      <c r="H56" s="1995" t="str">
        <f t="shared" si="1"/>
        <v/>
      </c>
      <c r="I56" s="1991"/>
      <c r="J56" s="1991"/>
      <c r="K56" s="2938" t="str">
        <f>IF($I56&lt;&gt;"",
    IF(LEFT(I56,4)="Test","tbcilproxy",
        IF(LEFT(I56, 4)="Prod",CONCATENATE("bcilproxy", CHAR(10),"bctxproxy"),
                 IF($I56="Yes",LEFT(VLOOKUP(IF(MID($J56,10,3)&lt;&gt;"VIP",$J56,LEFT($J56,15)),IP!$A$4:$N$205,11,FALSE),FIND(".",VLOOKUP(IF(MID($J56,10,3)&lt;&gt;"VIP",$J56,LEFT($J56,15)),IP!$A$4:$N$205,11,FALSE))-1),""))),"")</f>
        <v/>
      </c>
      <c r="L56" s="2938" t="str">
        <f>IF($I56&lt;&gt;"",
        IF($I56="Prod BlueCoat", VLOOKUP($I56,'Host Reference'!$A$3:$C$110,3,FALSE),
                IF($I56="Test BlueCoat", VLOOKUP($I56,'Host Reference'!$A$3:$C$110,3,FALSE),
             IF($I56="Yes",VLOOKUP(IF(MID($J56,10,3)&lt;&gt;"VIP",$J56,LEFT($J56,15)),IP!$A$4:$N$205,14,FALSE),
                     IF($I56="No", IFERROR(VLOOKUP($K56,'Host Reference'!$A$3:$C$110,3,FALSE),""),
                            VLOOKUP($K56,'Host Reference'!$A$3:$C$110,3,FALSE))))),"")</f>
        <v/>
      </c>
      <c r="M56" s="1991"/>
      <c r="N56" s="1991"/>
      <c r="O56" s="1991"/>
      <c r="P56" s="1991"/>
      <c r="Q56" s="2950"/>
      <c r="R56" s="1996"/>
      <c r="S56" s="2916" t="str">
        <f t="shared" si="3"/>
        <v/>
      </c>
      <c r="T56" s="2375" t="str">
        <f t="shared" si="2"/>
        <v/>
      </c>
      <c r="U56" s="2000"/>
    </row>
    <row r="57" spans="2:21">
      <c r="B57" s="380"/>
      <c r="C57" s="1992"/>
      <c r="D57" s="1992"/>
      <c r="E57" s="1991"/>
      <c r="F57" s="1993" t="str">
        <f>IF($D57&lt;&gt;"",IF($D57="Yes",LEFT(VLOOKUP(IF(MID($E57,10,3)&lt;&gt;"VIP",$E57,LEFT($E57,15)),IP!$A$4:$N$205,11,FALSE),FIND(".",VLOOKUP(IF(MID($E57,10,3)&lt;&gt;"VIP",$E57,LEFT($E57,15)),IP!$A$4:$N$205,11,FALSE))-1),""),"")</f>
        <v/>
      </c>
      <c r="G57" s="1994" t="str">
        <f>IF($D57&lt;&gt;"",
          IF($D57="Yes",VLOOKUP(IF(MID($E57,10,3)&lt;&gt;"VIP",$E57,LEFT($E57,15)),IP!$A$4:$N$205,14,FALSE),
                     IF($D57="No", IFERROR(VLOOKUP($F57,'Host Reference'!$A$3:$B$93,2,FALSE),""),
                          VLOOKUP($F57,'Host Reference'!$A$3:$C$93,2,FALSE))),"")</f>
        <v/>
      </c>
      <c r="H57" s="1995" t="str">
        <f t="shared" si="1"/>
        <v/>
      </c>
      <c r="I57" s="1991"/>
      <c r="J57" s="1991"/>
      <c r="K57" s="2938" t="str">
        <f>IF($I57&lt;&gt;"",
    IF(LEFT(I57,4)="Test","tbcilproxy",
        IF(LEFT(I57, 4)="Prod",CONCATENATE("bcilproxy", CHAR(10),"bctxproxy"),
                 IF($I57="Yes",LEFT(VLOOKUP(IF(MID($J57,10,3)&lt;&gt;"VIP",$J57,LEFT($J57,15)),IP!$A$4:$N$205,11,FALSE),FIND(".",VLOOKUP(IF(MID($J57,10,3)&lt;&gt;"VIP",$J57,LEFT($J57,15)),IP!$A$4:$N$205,11,FALSE))-1),""))),"")</f>
        <v/>
      </c>
      <c r="L57" s="2938" t="str">
        <f>IF($I57&lt;&gt;"",
        IF($I57="Prod BlueCoat", VLOOKUP($I57,'Host Reference'!$A$3:$C$110,3,FALSE),
                IF($I57="Test BlueCoat", VLOOKUP($I57,'Host Reference'!$A$3:$C$110,3,FALSE),
             IF($I57="Yes",VLOOKUP(IF(MID($J57,10,3)&lt;&gt;"VIP",$J57,LEFT($J57,15)),IP!$A$4:$N$205,14,FALSE),
                     IF($I57="No", IFERROR(VLOOKUP($K57,'Host Reference'!$A$3:$C$110,3,FALSE),""),
                            VLOOKUP($K57,'Host Reference'!$A$3:$C$110,3,FALSE))))),"")</f>
        <v/>
      </c>
      <c r="M57" s="1991"/>
      <c r="N57" s="1991"/>
      <c r="O57" s="1991"/>
      <c r="P57" s="1991"/>
      <c r="Q57" s="2950"/>
      <c r="R57" s="1996"/>
      <c r="S57" s="2916" t="str">
        <f t="shared" si="3"/>
        <v/>
      </c>
      <c r="T57" s="2375" t="str">
        <f t="shared" si="2"/>
        <v/>
      </c>
      <c r="U57" s="2000"/>
    </row>
    <row r="58" spans="2:21">
      <c r="B58" s="380"/>
      <c r="C58" s="1992"/>
      <c r="D58" s="1992"/>
      <c r="E58" s="1991"/>
      <c r="F58" s="1993" t="str">
        <f>IF($D58&lt;&gt;"",IF($D58="Yes",LEFT(VLOOKUP(IF(MID($E58,10,3)&lt;&gt;"VIP",$E58,LEFT($E58,15)),IP!$A$4:$N$205,11,FALSE),FIND(".",VLOOKUP(IF(MID($E58,10,3)&lt;&gt;"VIP",$E58,LEFT($E58,15)),IP!$A$4:$N$205,11,FALSE))-1),""),"")</f>
        <v/>
      </c>
      <c r="G58" s="1994" t="str">
        <f>IF($D58&lt;&gt;"",
          IF($D58="Yes",VLOOKUP(IF(MID($E58,10,3)&lt;&gt;"VIP",$E58,LEFT($E58,15)),IP!$A$4:$N$205,14,FALSE),
                     IF($D58="No", IFERROR(VLOOKUP($F58,'Host Reference'!$A$3:$B$93,2,FALSE),""),
                          VLOOKUP($F58,'Host Reference'!$A$3:$C$93,2,FALSE))),"")</f>
        <v/>
      </c>
      <c r="H58" s="1995" t="str">
        <f t="shared" si="1"/>
        <v/>
      </c>
      <c r="I58" s="1991"/>
      <c r="J58" s="1991"/>
      <c r="K58" s="2938" t="str">
        <f>IF($I58&lt;&gt;"",
    IF(LEFT(I58,4)="Test","tbcilproxy",
        IF(LEFT(I58, 4)="Prod",CONCATENATE("bcilproxy", CHAR(10),"bctxproxy"),
                 IF($I58="Yes",LEFT(VLOOKUP(IF(MID($J58,10,3)&lt;&gt;"VIP",$J58,LEFT($J58,15)),IP!$A$4:$N$205,11,FALSE),FIND(".",VLOOKUP(IF(MID($J58,10,3)&lt;&gt;"VIP",$J58,LEFT($J58,15)),IP!$A$4:$N$205,11,FALSE))-1),""))),"")</f>
        <v/>
      </c>
      <c r="L58" s="2938" t="str">
        <f>IF($I58&lt;&gt;"",
        IF($I58="Prod BlueCoat", VLOOKUP($I58,'Host Reference'!$A$3:$C$110,3,FALSE),
                IF($I58="Test BlueCoat", VLOOKUP($I58,'Host Reference'!$A$3:$C$110,3,FALSE),
             IF($I58="Yes",VLOOKUP(IF(MID($J58,10,3)&lt;&gt;"VIP",$J58,LEFT($J58,15)),IP!$A$4:$N$205,14,FALSE),
                     IF($I58="No", IFERROR(VLOOKUP($K58,'Host Reference'!$A$3:$C$110,3,FALSE),""),
                            VLOOKUP($K58,'Host Reference'!$A$3:$C$110,3,FALSE))))),"")</f>
        <v/>
      </c>
      <c r="M58" s="1991"/>
      <c r="N58" s="1991"/>
      <c r="O58" s="1991"/>
      <c r="P58" s="1991"/>
      <c r="Q58" s="2950"/>
      <c r="R58" s="1996"/>
      <c r="S58" s="2916" t="str">
        <f t="shared" si="3"/>
        <v/>
      </c>
      <c r="T58" s="2375" t="str">
        <f t="shared" si="2"/>
        <v/>
      </c>
      <c r="U58" s="2000"/>
    </row>
    <row r="59" spans="2:21">
      <c r="B59" s="380"/>
      <c r="C59" s="1992"/>
      <c r="D59" s="1992"/>
      <c r="E59" s="1991"/>
      <c r="F59" s="1993" t="str">
        <f>IF($D59&lt;&gt;"",IF($D59="Yes",LEFT(VLOOKUP(IF(MID($E59,10,3)&lt;&gt;"VIP",$E59,LEFT($E59,15)),IP!$A$4:$N$205,11,FALSE),FIND(".",VLOOKUP(IF(MID($E59,10,3)&lt;&gt;"VIP",$E59,LEFT($E59,15)),IP!$A$4:$N$205,11,FALSE))-1),""),"")</f>
        <v/>
      </c>
      <c r="G59" s="1994" t="str">
        <f>IF($D59&lt;&gt;"",
          IF($D59="Yes",VLOOKUP(IF(MID($E59,10,3)&lt;&gt;"VIP",$E59,LEFT($E59,15)),IP!$A$4:$N$205,14,FALSE),
                     IF($D59="No", IFERROR(VLOOKUP($F59,'Host Reference'!$A$3:$B$93,2,FALSE),""),
                          VLOOKUP($F59,'Host Reference'!$A$3:$C$93,2,FALSE))),"")</f>
        <v/>
      </c>
      <c r="H59" s="1995" t="str">
        <f t="shared" si="1"/>
        <v/>
      </c>
      <c r="I59" s="1991"/>
      <c r="J59" s="1991"/>
      <c r="K59" s="2938" t="str">
        <f>IF($I59&lt;&gt;"",
    IF(LEFT(I59,4)="Test","tbcilproxy",
        IF(LEFT(I59, 4)="Prod",CONCATENATE("bcilproxy", CHAR(10),"bctxproxy"),
                 IF($I59="Yes",LEFT(VLOOKUP(IF(MID($J59,10,3)&lt;&gt;"VIP",$J59,LEFT($J59,15)),IP!$A$4:$N$205,11,FALSE),FIND(".",VLOOKUP(IF(MID($J59,10,3)&lt;&gt;"VIP",$J59,LEFT($J59,15)),IP!$A$4:$N$205,11,FALSE))-1),""))),"")</f>
        <v/>
      </c>
      <c r="L59" s="2938" t="str">
        <f>IF($I59&lt;&gt;"",
        IF($I59="Prod BlueCoat", VLOOKUP($I59,'Host Reference'!$A$3:$C$110,3,FALSE),
                IF($I59="Test BlueCoat", VLOOKUP($I59,'Host Reference'!$A$3:$C$110,3,FALSE),
             IF($I59="Yes",VLOOKUP(IF(MID($J59,10,3)&lt;&gt;"VIP",$J59,LEFT($J59,15)),IP!$A$4:$N$205,14,FALSE),
                     IF($I59="No", IFERROR(VLOOKUP($K59,'Host Reference'!$A$3:$C$110,3,FALSE),""),
                            VLOOKUP($K59,'Host Reference'!$A$3:$C$110,3,FALSE))))),"")</f>
        <v/>
      </c>
      <c r="M59" s="1991"/>
      <c r="N59" s="1991"/>
      <c r="O59" s="1991"/>
      <c r="P59" s="1991"/>
      <c r="Q59" s="2950"/>
      <c r="R59" s="1996"/>
      <c r="S59" s="2916" t="str">
        <f t="shared" si="3"/>
        <v/>
      </c>
      <c r="T59" s="2375" t="str">
        <f t="shared" si="2"/>
        <v/>
      </c>
      <c r="U59" s="2000"/>
    </row>
    <row r="60" spans="2:21">
      <c r="B60" s="380"/>
      <c r="C60" s="1992"/>
      <c r="D60" s="1992"/>
      <c r="E60" s="1991"/>
      <c r="F60" s="1993" t="str">
        <f>IF($D60&lt;&gt;"",IF($D60="Yes",LEFT(VLOOKUP(IF(MID($E60,10,3)&lt;&gt;"VIP",$E60,LEFT($E60,15)),IP!$A$4:$N$205,11,FALSE),FIND(".",VLOOKUP(IF(MID($E60,10,3)&lt;&gt;"VIP",$E60,LEFT($E60,15)),IP!$A$4:$N$205,11,FALSE))-1),""),"")</f>
        <v/>
      </c>
      <c r="G60" s="1994" t="str">
        <f>IF($D60&lt;&gt;"",
          IF($D60="Yes",VLOOKUP(IF(MID($E60,10,3)&lt;&gt;"VIP",$E60,LEFT($E60,15)),IP!$A$4:$N$205,14,FALSE),
                     IF($D60="No", IFERROR(VLOOKUP($F60,'Host Reference'!$A$3:$B$93,2,FALSE),""),
                          VLOOKUP($F60,'Host Reference'!$A$3:$C$93,2,FALSE))),"")</f>
        <v/>
      </c>
      <c r="H60" s="1995" t="str">
        <f t="shared" si="1"/>
        <v/>
      </c>
      <c r="I60" s="1991"/>
      <c r="J60" s="1991"/>
      <c r="K60" s="2938" t="str">
        <f>IF($I60&lt;&gt;"",
    IF(LEFT(I60,4)="Test","tbcilproxy",
        IF(LEFT(I60, 4)="Prod",CONCATENATE("bcilproxy", CHAR(10),"bctxproxy"),
                 IF($I60="Yes",LEFT(VLOOKUP(IF(MID($J60,10,3)&lt;&gt;"VIP",$J60,LEFT($J60,15)),IP!$A$4:$N$205,11,FALSE),FIND(".",VLOOKUP(IF(MID($J60,10,3)&lt;&gt;"VIP",$J60,LEFT($J60,15)),IP!$A$4:$N$205,11,FALSE))-1),""))),"")</f>
        <v/>
      </c>
      <c r="L60" s="2938" t="str">
        <f>IF($I60&lt;&gt;"",
        IF($I60="Prod BlueCoat", VLOOKUP($I60,'Host Reference'!$A$3:$C$110,3,FALSE),
                IF($I60="Test BlueCoat", VLOOKUP($I60,'Host Reference'!$A$3:$C$110,3,FALSE),
             IF($I60="Yes",VLOOKUP(IF(MID($J60,10,3)&lt;&gt;"VIP",$J60,LEFT($J60,15)),IP!$A$4:$N$205,14,FALSE),
                     IF($I60="No", IFERROR(VLOOKUP($K60,'Host Reference'!$A$3:$C$110,3,FALSE),""),
                            VLOOKUP($K60,'Host Reference'!$A$3:$C$110,3,FALSE))))),"")</f>
        <v/>
      </c>
      <c r="M60" s="1991"/>
      <c r="N60" s="1991"/>
      <c r="O60" s="1991"/>
      <c r="P60" s="1991"/>
      <c r="Q60" s="2950"/>
      <c r="R60" s="1996"/>
      <c r="S60" s="2916" t="str">
        <f t="shared" si="3"/>
        <v/>
      </c>
      <c r="T60" s="2375" t="str">
        <f t="shared" si="2"/>
        <v/>
      </c>
      <c r="U60" s="2000"/>
    </row>
    <row r="61" spans="2:21">
      <c r="B61" s="380"/>
      <c r="C61" s="1992"/>
      <c r="D61" s="1992"/>
      <c r="E61" s="1991"/>
      <c r="F61" s="1993" t="str">
        <f>IF($D61&lt;&gt;"",IF($D61="Yes",LEFT(VLOOKUP(IF(MID($E61,10,3)&lt;&gt;"VIP",$E61,LEFT($E61,15)),IP!$A$4:$N$205,11,FALSE),FIND(".",VLOOKUP(IF(MID($E61,10,3)&lt;&gt;"VIP",$E61,LEFT($E61,15)),IP!$A$4:$N$205,11,FALSE))-1),""),"")</f>
        <v/>
      </c>
      <c r="G61" s="1994" t="str">
        <f>IF($D61&lt;&gt;"",
          IF($D61="Yes",VLOOKUP(IF(MID($E61,10,3)&lt;&gt;"VIP",$E61,LEFT($E61,15)),IP!$A$4:$N$205,14,FALSE),
                     IF($D61="No", IFERROR(VLOOKUP($F61,'Host Reference'!$A$3:$B$93,2,FALSE),""),
                          VLOOKUP($F61,'Host Reference'!$A$3:$C$93,2,FALSE))),"")</f>
        <v/>
      </c>
      <c r="H61" s="1995" t="str">
        <f t="shared" si="1"/>
        <v/>
      </c>
      <c r="I61" s="1991"/>
      <c r="J61" s="1991"/>
      <c r="K61" s="2938" t="str">
        <f>IF($I61&lt;&gt;"",
    IF(LEFT(I61,4)="Test","tbcilproxy",
        IF(LEFT(I61, 4)="Prod",CONCATENATE("bcilproxy", CHAR(10),"bctxproxy"),
                 IF($I61="Yes",LEFT(VLOOKUP(IF(MID($J61,10,3)&lt;&gt;"VIP",$J61,LEFT($J61,15)),IP!$A$4:$N$205,11,FALSE),FIND(".",VLOOKUP(IF(MID($J61,10,3)&lt;&gt;"VIP",$J61,LEFT($J61,15)),IP!$A$4:$N$205,11,FALSE))-1),""))),"")</f>
        <v/>
      </c>
      <c r="L61" s="2938" t="str">
        <f>IF($I61&lt;&gt;"",
        IF($I61="Prod BlueCoat", VLOOKUP($I61,'Host Reference'!$A$3:$C$110,3,FALSE),
                IF($I61="Test BlueCoat", VLOOKUP($I61,'Host Reference'!$A$3:$C$110,3,FALSE),
             IF($I61="Yes",VLOOKUP(IF(MID($J61,10,3)&lt;&gt;"VIP",$J61,LEFT($J61,15)),IP!$A$4:$N$205,14,FALSE),
                     IF($I61="No", IFERROR(VLOOKUP($K61,'Host Reference'!$A$3:$C$110,3,FALSE),""),
                            VLOOKUP($K61,'Host Reference'!$A$3:$C$110,3,FALSE))))),"")</f>
        <v/>
      </c>
      <c r="M61" s="1991"/>
      <c r="N61" s="1991"/>
      <c r="O61" s="1991"/>
      <c r="P61" s="1991"/>
      <c r="Q61" s="2950"/>
      <c r="R61" s="1996"/>
      <c r="S61" s="2916" t="str">
        <f t="shared" si="3"/>
        <v/>
      </c>
      <c r="T61" s="2375" t="str">
        <f t="shared" si="2"/>
        <v/>
      </c>
      <c r="U61" s="2000"/>
    </row>
    <row r="62" spans="2:21">
      <c r="B62" s="380"/>
      <c r="C62" s="1992"/>
      <c r="D62" s="1992"/>
      <c r="E62" s="1991"/>
      <c r="F62" s="1993" t="str">
        <f>IF($D62&lt;&gt;"",IF($D62="Yes",LEFT(VLOOKUP(IF(MID($E62,10,3)&lt;&gt;"VIP",$E62,LEFT($E62,15)),IP!$A$4:$N$205,11,FALSE),FIND(".",VLOOKUP(IF(MID($E62,10,3)&lt;&gt;"VIP",$E62,LEFT($E62,15)),IP!$A$4:$N$205,11,FALSE))-1),""),"")</f>
        <v/>
      </c>
      <c r="G62" s="1994" t="str">
        <f>IF($D62&lt;&gt;"",
          IF($D62="Yes",VLOOKUP(IF(MID($E62,10,3)&lt;&gt;"VIP",$E62,LEFT($E62,15)),IP!$A$4:$N$205,14,FALSE),
                     IF($D62="No", IFERROR(VLOOKUP($F62,'Host Reference'!$A$3:$B$93,2,FALSE),""),
                          VLOOKUP($F62,'Host Reference'!$A$3:$C$93,2,FALSE))),"")</f>
        <v/>
      </c>
      <c r="H62" s="1995" t="str">
        <f t="shared" si="1"/>
        <v/>
      </c>
      <c r="I62" s="1991"/>
      <c r="J62" s="1991"/>
      <c r="K62" s="2938" t="str">
        <f>IF($I62&lt;&gt;"",
    IF(LEFT(I62,4)="Test","tbcilproxy",
        IF(LEFT(I62, 4)="Prod",CONCATENATE("bcilproxy", CHAR(10),"bctxproxy"),
                 IF($I62="Yes",LEFT(VLOOKUP(IF(MID($J62,10,3)&lt;&gt;"VIP",$J62,LEFT($J62,15)),IP!$A$4:$N$205,11,FALSE),FIND(".",VLOOKUP(IF(MID($J62,10,3)&lt;&gt;"VIP",$J62,LEFT($J62,15)),IP!$A$4:$N$205,11,FALSE))-1),""))),"")</f>
        <v/>
      </c>
      <c r="L62" s="2938" t="str">
        <f>IF($I62&lt;&gt;"",
        IF($I62="Prod BlueCoat", VLOOKUP($I62,'Host Reference'!$A$3:$C$110,3,FALSE),
                IF($I62="Test BlueCoat", VLOOKUP($I62,'Host Reference'!$A$3:$C$110,3,FALSE),
             IF($I62="Yes",VLOOKUP(IF(MID($J62,10,3)&lt;&gt;"VIP",$J62,LEFT($J62,15)),IP!$A$4:$N$205,14,FALSE),
                     IF($I62="No", IFERROR(VLOOKUP($K62,'Host Reference'!$A$3:$C$110,3,FALSE),""),
                            VLOOKUP($K62,'Host Reference'!$A$3:$C$110,3,FALSE))))),"")</f>
        <v/>
      </c>
      <c r="M62" s="1991"/>
      <c r="N62" s="1991"/>
      <c r="O62" s="1991"/>
      <c r="P62" s="1991"/>
      <c r="Q62" s="2950"/>
      <c r="R62" s="1996"/>
      <c r="S62" s="2916" t="str">
        <f t="shared" si="3"/>
        <v/>
      </c>
      <c r="T62" s="2375" t="str">
        <f t="shared" si="2"/>
        <v/>
      </c>
      <c r="U62" s="2000"/>
    </row>
    <row r="63" spans="2:21">
      <c r="B63" s="380"/>
      <c r="C63" s="1992"/>
      <c r="D63" s="1992"/>
      <c r="E63" s="1991"/>
      <c r="F63" s="1993" t="str">
        <f>IF($D63&lt;&gt;"",IF($D63="Yes",LEFT(VLOOKUP(IF(MID($E63,10,3)&lt;&gt;"VIP",$E63,LEFT($E63,15)),IP!$A$4:$N$205,11,FALSE),FIND(".",VLOOKUP(IF(MID($E63,10,3)&lt;&gt;"VIP",$E63,LEFT($E63,15)),IP!$A$4:$N$205,11,FALSE))-1),""),"")</f>
        <v/>
      </c>
      <c r="G63" s="1994" t="str">
        <f>IF($D63&lt;&gt;"",
          IF($D63="Yes",VLOOKUP(IF(MID($E63,10,3)&lt;&gt;"VIP",$E63,LEFT($E63,15)),IP!$A$4:$N$205,14,FALSE),
                     IF($D63="No", IFERROR(VLOOKUP($F63,'Host Reference'!$A$3:$B$93,2,FALSE),""),
                          VLOOKUP($F63,'Host Reference'!$A$3:$C$93,2,FALSE))),"")</f>
        <v/>
      </c>
      <c r="H63" s="1995" t="str">
        <f t="shared" si="1"/>
        <v/>
      </c>
      <c r="I63" s="1991"/>
      <c r="J63" s="1991"/>
      <c r="K63" s="2938" t="str">
        <f>IF($I63&lt;&gt;"",
    IF(LEFT(I63,4)="Test","tbcilproxy",
        IF(LEFT(I63, 4)="Prod",CONCATENATE("bcilproxy", CHAR(10),"bctxproxy"),
                 IF($I63="Yes",LEFT(VLOOKUP(IF(MID($J63,10,3)&lt;&gt;"VIP",$J63,LEFT($J63,15)),IP!$A$4:$N$205,11,FALSE),FIND(".",VLOOKUP(IF(MID($J63,10,3)&lt;&gt;"VIP",$J63,LEFT($J63,15)),IP!$A$4:$N$205,11,FALSE))-1),""))),"")</f>
        <v/>
      </c>
      <c r="L63" s="2938" t="str">
        <f>IF($I63&lt;&gt;"",
        IF($I63="Prod BlueCoat", VLOOKUP($I63,'Host Reference'!$A$3:$C$110,3,FALSE),
                IF($I63="Test BlueCoat", VLOOKUP($I63,'Host Reference'!$A$3:$C$110,3,FALSE),
             IF($I63="Yes",VLOOKUP(IF(MID($J63,10,3)&lt;&gt;"VIP",$J63,LEFT($J63,15)),IP!$A$4:$N$205,14,FALSE),
                     IF($I63="No", IFERROR(VLOOKUP($K63,'Host Reference'!$A$3:$C$110,3,FALSE),""),
                            VLOOKUP($K63,'Host Reference'!$A$3:$C$110,3,FALSE))))),"")</f>
        <v/>
      </c>
      <c r="M63" s="1991"/>
      <c r="N63" s="1991"/>
      <c r="O63" s="1991"/>
      <c r="P63" s="1991"/>
      <c r="Q63" s="2950"/>
      <c r="R63" s="1996"/>
      <c r="S63" s="2916" t="str">
        <f t="shared" si="3"/>
        <v/>
      </c>
      <c r="T63" s="2375" t="str">
        <f t="shared" si="2"/>
        <v/>
      </c>
      <c r="U63" s="2000"/>
    </row>
    <row r="64" spans="2:21">
      <c r="B64" s="380"/>
      <c r="C64" s="1992"/>
      <c r="D64" s="1992"/>
      <c r="E64" s="1991"/>
      <c r="F64" s="1993" t="str">
        <f>IF($D64&lt;&gt;"",IF($D64="Yes",LEFT(VLOOKUP(IF(MID($E64,10,3)&lt;&gt;"VIP",$E64,LEFT($E64,15)),IP!$A$4:$N$205,11,FALSE),FIND(".",VLOOKUP(IF(MID($E64,10,3)&lt;&gt;"VIP",$E64,LEFT($E64,15)),IP!$A$4:$N$205,11,FALSE))-1),""),"")</f>
        <v/>
      </c>
      <c r="G64" s="1994" t="str">
        <f>IF($D64&lt;&gt;"",
          IF($D64="Yes",VLOOKUP(IF(MID($E64,10,3)&lt;&gt;"VIP",$E64,LEFT($E64,15)),IP!$A$4:$N$205,14,FALSE),
                     IF($D64="No", IFERROR(VLOOKUP($F64,'Host Reference'!$A$3:$B$93,2,FALSE),""),
                          VLOOKUP($F64,'Host Reference'!$A$3:$C$93,2,FALSE))),"")</f>
        <v/>
      </c>
      <c r="H64" s="1995" t="str">
        <f t="shared" si="1"/>
        <v/>
      </c>
      <c r="I64" s="1991"/>
      <c r="J64" s="1991"/>
      <c r="K64" s="2938" t="str">
        <f>IF($I64&lt;&gt;"",
    IF(LEFT(I64,4)="Test","tbcilproxy",
        IF(LEFT(I64, 4)="Prod",CONCATENATE("bcilproxy", CHAR(10),"bctxproxy"),
                 IF($I64="Yes",LEFT(VLOOKUP(IF(MID($J64,10,3)&lt;&gt;"VIP",$J64,LEFT($J64,15)),IP!$A$4:$N$205,11,FALSE),FIND(".",VLOOKUP(IF(MID($J64,10,3)&lt;&gt;"VIP",$J64,LEFT($J64,15)),IP!$A$4:$N$205,11,FALSE))-1),""))),"")</f>
        <v/>
      </c>
      <c r="L64" s="2938" t="str">
        <f>IF($I64&lt;&gt;"",
        IF($I64="Prod BlueCoat", VLOOKUP($I64,'Host Reference'!$A$3:$C$110,3,FALSE),
                IF($I64="Test BlueCoat", VLOOKUP($I64,'Host Reference'!$A$3:$C$110,3,FALSE),
             IF($I64="Yes",VLOOKUP(IF(MID($J64,10,3)&lt;&gt;"VIP",$J64,LEFT($J64,15)),IP!$A$4:$N$205,14,FALSE),
                     IF($I64="No", IFERROR(VLOOKUP($K64,'Host Reference'!$A$3:$C$110,3,FALSE),""),
                            VLOOKUP($K64,'Host Reference'!$A$3:$C$110,3,FALSE))))),"")</f>
        <v/>
      </c>
      <c r="M64" s="1991"/>
      <c r="N64" s="1991"/>
      <c r="O64" s="1991"/>
      <c r="P64" s="1991"/>
      <c r="Q64" s="2950"/>
      <c r="R64" s="1996"/>
      <c r="S64" s="2916" t="str">
        <f t="shared" si="3"/>
        <v/>
      </c>
      <c r="T64" s="2375" t="str">
        <f t="shared" si="2"/>
        <v/>
      </c>
      <c r="U64" s="2000"/>
    </row>
    <row r="65" spans="2:21">
      <c r="B65" s="380"/>
      <c r="C65" s="1992"/>
      <c r="D65" s="1992"/>
      <c r="E65" s="1991"/>
      <c r="F65" s="1993" t="str">
        <f>IF($D65&lt;&gt;"",IF($D65="Yes",LEFT(VLOOKUP(IF(MID($E65,10,3)&lt;&gt;"VIP",$E65,LEFT($E65,15)),IP!$A$4:$N$205,11,FALSE),FIND(".",VLOOKUP(IF(MID($E65,10,3)&lt;&gt;"VIP",$E65,LEFT($E65,15)),IP!$A$4:$N$205,11,FALSE))-1),""),"")</f>
        <v/>
      </c>
      <c r="G65" s="1994" t="str">
        <f>IF($D65&lt;&gt;"",
          IF($D65="Yes",VLOOKUP(IF(MID($E65,10,3)&lt;&gt;"VIP",$E65,LEFT($E65,15)),IP!$A$4:$N$205,14,FALSE),
                     IF($D65="No", IFERROR(VLOOKUP($F65,'Host Reference'!$A$3:$B$93,2,FALSE),""),
                          VLOOKUP($F65,'Host Reference'!$A$3:$C$93,2,FALSE))),"")</f>
        <v/>
      </c>
      <c r="H65" s="1995" t="str">
        <f t="shared" si="1"/>
        <v/>
      </c>
      <c r="I65" s="1991"/>
      <c r="J65" s="1991"/>
      <c r="K65" s="2938" t="str">
        <f>IF($I65&lt;&gt;"",
    IF(LEFT(I65,4)="Test","tbcilproxy",
        IF(LEFT(I65, 4)="Prod",CONCATENATE("bcilproxy", CHAR(10),"bctxproxy"),
                 IF($I65="Yes",LEFT(VLOOKUP(IF(MID($J65,10,3)&lt;&gt;"VIP",$J65,LEFT($J65,15)),IP!$A$4:$N$205,11,FALSE),FIND(".",VLOOKUP(IF(MID($J65,10,3)&lt;&gt;"VIP",$J65,LEFT($J65,15)),IP!$A$4:$N$205,11,FALSE))-1),""))),"")</f>
        <v/>
      </c>
      <c r="L65" s="2938" t="str">
        <f>IF($I65&lt;&gt;"",
        IF($I65="Prod BlueCoat", VLOOKUP($I65,'Host Reference'!$A$3:$C$110,3,FALSE),
                IF($I65="Test BlueCoat", VLOOKUP($I65,'Host Reference'!$A$3:$C$110,3,FALSE),
             IF($I65="Yes",VLOOKUP(IF(MID($J65,10,3)&lt;&gt;"VIP",$J65,LEFT($J65,15)),IP!$A$4:$N$205,14,FALSE),
                     IF($I65="No", IFERROR(VLOOKUP($K65,'Host Reference'!$A$3:$C$110,3,FALSE),""),
                            VLOOKUP($K65,'Host Reference'!$A$3:$C$110,3,FALSE))))),"")</f>
        <v/>
      </c>
      <c r="M65" s="1991"/>
      <c r="N65" s="1991"/>
      <c r="O65" s="1991"/>
      <c r="P65" s="1991"/>
      <c r="Q65" s="2950"/>
      <c r="R65" s="1996"/>
      <c r="S65" s="2916" t="str">
        <f t="shared" si="3"/>
        <v/>
      </c>
      <c r="T65" s="2375" t="str">
        <f t="shared" si="2"/>
        <v/>
      </c>
      <c r="U65" s="2000"/>
    </row>
    <row r="66" spans="2:21">
      <c r="B66" s="380"/>
      <c r="C66" s="1992"/>
      <c r="D66" s="1992"/>
      <c r="E66" s="1991"/>
      <c r="F66" s="1993" t="str">
        <f>IF($D66&lt;&gt;"",IF($D66="Yes",LEFT(VLOOKUP(IF(MID($E66,10,3)&lt;&gt;"VIP",$E66,LEFT($E66,15)),IP!$A$4:$N$205,11,FALSE),FIND(".",VLOOKUP(IF(MID($E66,10,3)&lt;&gt;"VIP",$E66,LEFT($E66,15)),IP!$A$4:$N$205,11,FALSE))-1),""),"")</f>
        <v/>
      </c>
      <c r="G66" s="1994" t="str">
        <f>IF($D66&lt;&gt;"",
          IF($D66="Yes",VLOOKUP(IF(MID($E66,10,3)&lt;&gt;"VIP",$E66,LEFT($E66,15)),IP!$A$4:$N$205,14,FALSE),
                     IF($D66="No", IFERROR(VLOOKUP($F66,'Host Reference'!$A$3:$B$93,2,FALSE),""),
                          VLOOKUP($F66,'Host Reference'!$A$3:$C$93,2,FALSE))),"")</f>
        <v/>
      </c>
      <c r="H66" s="1995" t="str">
        <f t="shared" si="1"/>
        <v/>
      </c>
      <c r="I66" s="1991"/>
      <c r="J66" s="1991"/>
      <c r="K66" s="2938" t="str">
        <f>IF($I66&lt;&gt;"",
    IF(LEFT(I66,4)="Test","tbcilproxy",
        IF(LEFT(I66, 4)="Prod",CONCATENATE("bcilproxy", CHAR(10),"bctxproxy"),
                 IF($I66="Yes",LEFT(VLOOKUP(IF(MID($J66,10,3)&lt;&gt;"VIP",$J66,LEFT($J66,15)),IP!$A$4:$N$205,11,FALSE),FIND(".",VLOOKUP(IF(MID($J66,10,3)&lt;&gt;"VIP",$J66,LEFT($J66,15)),IP!$A$4:$N$205,11,FALSE))-1),""))),"")</f>
        <v/>
      </c>
      <c r="L66" s="2938" t="str">
        <f>IF($I66&lt;&gt;"",
        IF($I66="Prod BlueCoat", VLOOKUP($I66,'Host Reference'!$A$3:$C$110,3,FALSE),
                IF($I66="Test BlueCoat", VLOOKUP($I66,'Host Reference'!$A$3:$C$110,3,FALSE),
             IF($I66="Yes",VLOOKUP(IF(MID($J66,10,3)&lt;&gt;"VIP",$J66,LEFT($J66,15)),IP!$A$4:$N$205,14,FALSE),
                     IF($I66="No", IFERROR(VLOOKUP($K66,'Host Reference'!$A$3:$C$110,3,FALSE),""),
                            VLOOKUP($K66,'Host Reference'!$A$3:$C$110,3,FALSE))))),"")</f>
        <v/>
      </c>
      <c r="M66" s="1991"/>
      <c r="N66" s="1991"/>
      <c r="O66" s="1991"/>
      <c r="P66" s="1991"/>
      <c r="Q66" s="2950"/>
      <c r="R66" s="1996"/>
      <c r="S66" s="2916" t="str">
        <f t="shared" si="3"/>
        <v/>
      </c>
      <c r="T66" s="2375" t="str">
        <f t="shared" si="2"/>
        <v/>
      </c>
      <c r="U66" s="2000"/>
    </row>
    <row r="67" spans="2:21">
      <c r="B67" s="380"/>
      <c r="C67" s="1992"/>
      <c r="D67" s="1992"/>
      <c r="E67" s="1991"/>
      <c r="F67" s="1993" t="str">
        <f>IF($D67&lt;&gt;"",IF($D67="Yes",LEFT(VLOOKUP(IF(MID($E67,10,3)&lt;&gt;"VIP",$E67,LEFT($E67,15)),IP!$A$4:$N$205,11,FALSE),FIND(".",VLOOKUP(IF(MID($E67,10,3)&lt;&gt;"VIP",$E67,LEFT($E67,15)),IP!$A$4:$N$205,11,FALSE))-1),""),"")</f>
        <v/>
      </c>
      <c r="G67" s="1994" t="str">
        <f>IF($D67&lt;&gt;"",
          IF($D67="Yes",VLOOKUP(IF(MID($E67,10,3)&lt;&gt;"VIP",$E67,LEFT($E67,15)),IP!$A$4:$N$205,14,FALSE),
                     IF($D67="No", IFERROR(VLOOKUP($F67,'Host Reference'!$A$3:$B$93,2,FALSE),""),
                          VLOOKUP($F67,'Host Reference'!$A$3:$C$93,2,FALSE))),"")</f>
        <v/>
      </c>
      <c r="H67" s="1995" t="str">
        <f t="shared" si="1"/>
        <v/>
      </c>
      <c r="I67" s="1991"/>
      <c r="J67" s="1991"/>
      <c r="K67" s="2938" t="str">
        <f>IF($I67&lt;&gt;"",
    IF(LEFT(I67,4)="Test","tbcilproxy",
        IF(LEFT(I67, 4)="Prod",CONCATENATE("bcilproxy", CHAR(10),"bctxproxy"),
                 IF($I67="Yes",LEFT(VLOOKUP(IF(MID($J67,10,3)&lt;&gt;"VIP",$J67,LEFT($J67,15)),IP!$A$4:$N$205,11,FALSE),FIND(".",VLOOKUP(IF(MID($J67,10,3)&lt;&gt;"VIP",$J67,LEFT($J67,15)),IP!$A$4:$N$205,11,FALSE))-1),""))),"")</f>
        <v/>
      </c>
      <c r="L67" s="2938" t="str">
        <f>IF($I67&lt;&gt;"",
        IF($I67="Prod BlueCoat", VLOOKUP($I67,'Host Reference'!$A$3:$C$110,3,FALSE),
                IF($I67="Test BlueCoat", VLOOKUP($I67,'Host Reference'!$A$3:$C$110,3,FALSE),
             IF($I67="Yes",VLOOKUP(IF(MID($J67,10,3)&lt;&gt;"VIP",$J67,LEFT($J67,15)),IP!$A$4:$N$205,14,FALSE),
                     IF($I67="No", IFERROR(VLOOKUP($K67,'Host Reference'!$A$3:$C$110,3,FALSE),""),
                            VLOOKUP($K67,'Host Reference'!$A$3:$C$110,3,FALSE))))),"")</f>
        <v/>
      </c>
      <c r="M67" s="1991"/>
      <c r="N67" s="1991"/>
      <c r="O67" s="1991"/>
      <c r="P67" s="1991"/>
      <c r="Q67" s="2950"/>
      <c r="R67" s="1996"/>
      <c r="S67" s="2916" t="str">
        <f t="shared" si="3"/>
        <v/>
      </c>
      <c r="T67" s="2375" t="str">
        <f t="shared" si="2"/>
        <v/>
      </c>
      <c r="U67" s="2000"/>
    </row>
    <row r="68" spans="2:21">
      <c r="B68" s="380"/>
      <c r="C68" s="1992"/>
      <c r="D68" s="1992"/>
      <c r="E68" s="1991"/>
      <c r="F68" s="1993" t="str">
        <f>IF($D68&lt;&gt;"",IF($D68="Yes",LEFT(VLOOKUP(IF(MID($E68,10,3)&lt;&gt;"VIP",$E68,LEFT($E68,15)),IP!$A$4:$N$205,11,FALSE),FIND(".",VLOOKUP(IF(MID($E68,10,3)&lt;&gt;"VIP",$E68,LEFT($E68,15)),IP!$A$4:$N$205,11,FALSE))-1),""),"")</f>
        <v/>
      </c>
      <c r="G68" s="1994" t="str">
        <f>IF($D68&lt;&gt;"",
          IF($D68="Yes",VLOOKUP(IF(MID($E68,10,3)&lt;&gt;"VIP",$E68,LEFT($E68,15)),IP!$A$4:$N$205,14,FALSE),
                     IF($D68="No", IFERROR(VLOOKUP($F68,'Host Reference'!$A$3:$B$93,2,FALSE),""),
                          VLOOKUP($F68,'Host Reference'!$A$3:$C$93,2,FALSE))),"")</f>
        <v/>
      </c>
      <c r="H68" s="1995" t="str">
        <f t="shared" si="1"/>
        <v/>
      </c>
      <c r="I68" s="1991"/>
      <c r="J68" s="1991"/>
      <c r="K68" s="2938" t="str">
        <f>IF($I68&lt;&gt;"",
    IF(LEFT(I68,4)="Test","tbcilproxy",
        IF(LEFT(I68, 4)="Prod",CONCATENATE("bcilproxy", CHAR(10),"bctxproxy"),
                 IF($I68="Yes",LEFT(VLOOKUP(IF(MID($J68,10,3)&lt;&gt;"VIP",$J68,LEFT($J68,15)),IP!$A$4:$N$205,11,FALSE),FIND(".",VLOOKUP(IF(MID($J68,10,3)&lt;&gt;"VIP",$J68,LEFT($J68,15)),IP!$A$4:$N$205,11,FALSE))-1),""))),"")</f>
        <v/>
      </c>
      <c r="L68" s="2938" t="str">
        <f>IF($I68&lt;&gt;"",
        IF($I68="Prod BlueCoat", VLOOKUP($I68,'Host Reference'!$A$3:$C$110,3,FALSE),
                IF($I68="Test BlueCoat", VLOOKUP($I68,'Host Reference'!$A$3:$C$110,3,FALSE),
             IF($I68="Yes",VLOOKUP(IF(MID($J68,10,3)&lt;&gt;"VIP",$J68,LEFT($J68,15)),IP!$A$4:$N$205,14,FALSE),
                     IF($I68="No", IFERROR(VLOOKUP($K68,'Host Reference'!$A$3:$C$110,3,FALSE),""),
                            VLOOKUP($K68,'Host Reference'!$A$3:$C$110,3,FALSE))))),"")</f>
        <v/>
      </c>
      <c r="M68" s="1991"/>
      <c r="N68" s="1991"/>
      <c r="O68" s="1991"/>
      <c r="P68" s="1991"/>
      <c r="Q68" s="2950"/>
      <c r="R68" s="1996"/>
      <c r="S68" s="2916" t="str">
        <f t="shared" si="3"/>
        <v/>
      </c>
      <c r="T68" s="2375" t="str">
        <f t="shared" si="2"/>
        <v/>
      </c>
      <c r="U68" s="2000"/>
    </row>
    <row r="69" spans="2:21">
      <c r="B69" s="380"/>
      <c r="C69" s="1992"/>
      <c r="D69" s="1992"/>
      <c r="E69" s="1991"/>
      <c r="F69" s="1993" t="str">
        <f>IF($D69&lt;&gt;"",IF($D69="Yes",LEFT(VLOOKUP(IF(MID($E69,10,3)&lt;&gt;"VIP",$E69,LEFT($E69,15)),IP!$A$4:$N$205,11,FALSE),FIND(".",VLOOKUP(IF(MID($E69,10,3)&lt;&gt;"VIP",$E69,LEFT($E69,15)),IP!$A$4:$N$205,11,FALSE))-1),""),"")</f>
        <v/>
      </c>
      <c r="G69" s="1994" t="str">
        <f>IF($D69&lt;&gt;"",
          IF($D69="Yes",VLOOKUP(IF(MID($E69,10,3)&lt;&gt;"VIP",$E69,LEFT($E69,15)),IP!$A$4:$N$205,14,FALSE),
                     IF($D69="No", IFERROR(VLOOKUP($F69,'Host Reference'!$A$3:$B$93,2,FALSE),""),
                          VLOOKUP($F69,'Host Reference'!$A$3:$C$93,2,FALSE))),"")</f>
        <v/>
      </c>
      <c r="H69" s="1995" t="str">
        <f t="shared" si="1"/>
        <v/>
      </c>
      <c r="I69" s="1991"/>
      <c r="J69" s="1991"/>
      <c r="K69" s="2938" t="str">
        <f>IF($I69&lt;&gt;"",
    IF(LEFT(I69,4)="Test","tbcilproxy",
        IF(LEFT(I69, 4)="Prod",CONCATENATE("bcilproxy", CHAR(10),"bctxproxy"),
                 IF($I69="Yes",LEFT(VLOOKUP(IF(MID($J69,10,3)&lt;&gt;"VIP",$J69,LEFT($J69,15)),IP!$A$4:$N$205,11,FALSE),FIND(".",VLOOKUP(IF(MID($J69,10,3)&lt;&gt;"VIP",$J69,LEFT($J69,15)),IP!$A$4:$N$205,11,FALSE))-1),""))),"")</f>
        <v/>
      </c>
      <c r="L69" s="2938" t="str">
        <f>IF($I69&lt;&gt;"",
        IF($I69="Prod BlueCoat", VLOOKUP($I69,'Host Reference'!$A$3:$C$110,3,FALSE),
                IF($I69="Test BlueCoat", VLOOKUP($I69,'Host Reference'!$A$3:$C$110,3,FALSE),
             IF($I69="Yes",VLOOKUP(IF(MID($J69,10,3)&lt;&gt;"VIP",$J69,LEFT($J69,15)),IP!$A$4:$N$205,14,FALSE),
                     IF($I69="No", IFERROR(VLOOKUP($K69,'Host Reference'!$A$3:$C$110,3,FALSE),""),
                            VLOOKUP($K69,'Host Reference'!$A$3:$C$110,3,FALSE))))),"")</f>
        <v/>
      </c>
      <c r="M69" s="1991"/>
      <c r="N69" s="1991"/>
      <c r="O69" s="1991"/>
      <c r="P69" s="1991"/>
      <c r="Q69" s="2950"/>
      <c r="R69" s="1996"/>
      <c r="S69" s="2916" t="str">
        <f t="shared" ref="S69:S100" si="4">IF($B69&lt;&gt;"",
     IF($N69=8098, inbound_requestid, ""),"")</f>
        <v/>
      </c>
      <c r="T69" s="2375" t="str">
        <f t="shared" si="2"/>
        <v/>
      </c>
      <c r="U69" s="2000"/>
    </row>
    <row r="70" spans="2:21">
      <c r="B70" s="380"/>
      <c r="C70" s="1992"/>
      <c r="D70" s="1992"/>
      <c r="E70" s="1991"/>
      <c r="F70" s="1993" t="str">
        <f>IF($D70&lt;&gt;"",IF($D70="Yes",LEFT(VLOOKUP(IF(MID($E70,10,3)&lt;&gt;"VIP",$E70,LEFT($E70,15)),IP!$A$4:$N$205,11,FALSE),FIND(".",VLOOKUP(IF(MID($E70,10,3)&lt;&gt;"VIP",$E70,LEFT($E70,15)),IP!$A$4:$N$205,11,FALSE))-1),""),"")</f>
        <v/>
      </c>
      <c r="G70" s="1994" t="str">
        <f>IF($D70&lt;&gt;"",
          IF($D70="Yes",VLOOKUP(IF(MID($E70,10,3)&lt;&gt;"VIP",$E70,LEFT($E70,15)),IP!$A$4:$N$205,14,FALSE),
                     IF($D70="No", IFERROR(VLOOKUP($F70,'Host Reference'!$A$3:$B$93,2,FALSE),""),
                          VLOOKUP($F70,'Host Reference'!$A$3:$C$93,2,FALSE))),"")</f>
        <v/>
      </c>
      <c r="H70" s="1995" t="str">
        <f t="shared" ref="H70:H133" si="5">IF(ISNUMBER(SEARCH("-VIP",$E70))," &amp; F5 Self IPs", "")</f>
        <v/>
      </c>
      <c r="I70" s="1991"/>
      <c r="J70" s="1991"/>
      <c r="K70" s="2938" t="str">
        <f>IF($I70&lt;&gt;"",
    IF(LEFT(I70,4)="Test","tbcilproxy",
        IF(LEFT(I70, 4)="Prod",CONCATENATE("bcilproxy", CHAR(10),"bctxproxy"),
                 IF($I70="Yes",LEFT(VLOOKUP(IF(MID($J70,10,3)&lt;&gt;"VIP",$J70,LEFT($J70,15)),IP!$A$4:$N$205,11,FALSE),FIND(".",VLOOKUP(IF(MID($J70,10,3)&lt;&gt;"VIP",$J70,LEFT($J70,15)),IP!$A$4:$N$205,11,FALSE))-1),""))),"")</f>
        <v/>
      </c>
      <c r="L70" s="2938" t="str">
        <f>IF($I70&lt;&gt;"",
        IF($I70="Prod BlueCoat", VLOOKUP($I70,'Host Reference'!$A$3:$C$110,3,FALSE),
                IF($I70="Test BlueCoat", VLOOKUP($I70,'Host Reference'!$A$3:$C$110,3,FALSE),
             IF($I70="Yes",VLOOKUP(IF(MID($J70,10,3)&lt;&gt;"VIP",$J70,LEFT($J70,15)),IP!$A$4:$N$205,14,FALSE),
                     IF($I70="No", IFERROR(VLOOKUP($K70,'Host Reference'!$A$3:$C$110,3,FALSE),""),
                            VLOOKUP($K70,'Host Reference'!$A$3:$C$110,3,FALSE))))),"")</f>
        <v/>
      </c>
      <c r="M70" s="1991"/>
      <c r="N70" s="1991"/>
      <c r="O70" s="1991"/>
      <c r="P70" s="1991"/>
      <c r="Q70" s="2950"/>
      <c r="R70" s="1996"/>
      <c r="S70" s="2916" t="str">
        <f t="shared" si="4"/>
        <v/>
      </c>
      <c r="T70" s="2375" t="str">
        <f t="shared" si="2"/>
        <v/>
      </c>
      <c r="U70" s="2000"/>
    </row>
    <row r="71" spans="2:21">
      <c r="B71" s="380"/>
      <c r="C71" s="1992"/>
      <c r="D71" s="1992"/>
      <c r="E71" s="1991"/>
      <c r="F71" s="1993" t="str">
        <f>IF($D71&lt;&gt;"",IF($D71="Yes",LEFT(VLOOKUP(IF(MID($E71,10,3)&lt;&gt;"VIP",$E71,LEFT($E71,15)),IP!$A$4:$N$205,11,FALSE),FIND(".",VLOOKUP(IF(MID($E71,10,3)&lt;&gt;"VIP",$E71,LEFT($E71,15)),IP!$A$4:$N$205,11,FALSE))-1),""),"")</f>
        <v/>
      </c>
      <c r="G71" s="1994" t="str">
        <f>IF($D71&lt;&gt;"",
          IF($D71="Yes",VLOOKUP(IF(MID($E71,10,3)&lt;&gt;"VIP",$E71,LEFT($E71,15)),IP!$A$4:$N$205,14,FALSE),
                     IF($D71="No", IFERROR(VLOOKUP($F71,'Host Reference'!$A$3:$B$93,2,FALSE),""),
                          VLOOKUP($F71,'Host Reference'!$A$3:$C$93,2,FALSE))),"")</f>
        <v/>
      </c>
      <c r="H71" s="1995" t="str">
        <f t="shared" si="5"/>
        <v/>
      </c>
      <c r="I71" s="1991"/>
      <c r="J71" s="1991"/>
      <c r="K71" s="2938" t="str">
        <f>IF($I71&lt;&gt;"",
    IF(LEFT(I71,4)="Test","tbcilproxy",
        IF(LEFT(I71, 4)="Prod",CONCATENATE("bcilproxy", CHAR(10),"bctxproxy"),
                 IF($I71="Yes",LEFT(VLOOKUP(IF(MID($J71,10,3)&lt;&gt;"VIP",$J71,LEFT($J71,15)),IP!$A$4:$N$205,11,FALSE),FIND(".",VLOOKUP(IF(MID($J71,10,3)&lt;&gt;"VIP",$J71,LEFT($J71,15)),IP!$A$4:$N$205,11,FALSE))-1),""))),"")</f>
        <v/>
      </c>
      <c r="L71" s="2938" t="str">
        <f>IF($I71&lt;&gt;"",
        IF($I71="Prod BlueCoat", VLOOKUP($I71,'Host Reference'!$A$3:$C$110,3,FALSE),
                IF($I71="Test BlueCoat", VLOOKUP($I71,'Host Reference'!$A$3:$C$110,3,FALSE),
             IF($I71="Yes",VLOOKUP(IF(MID($J71,10,3)&lt;&gt;"VIP",$J71,LEFT($J71,15)),IP!$A$4:$N$205,14,FALSE),
                     IF($I71="No", IFERROR(VLOOKUP($K71,'Host Reference'!$A$3:$C$110,3,FALSE),""),
                            VLOOKUP($K71,'Host Reference'!$A$3:$C$110,3,FALSE))))),"")</f>
        <v/>
      </c>
      <c r="M71" s="1991"/>
      <c r="N71" s="1991"/>
      <c r="O71" s="1991"/>
      <c r="P71" s="1991"/>
      <c r="Q71" s="2950"/>
      <c r="R71" s="1996"/>
      <c r="S71" s="2916" t="str">
        <f t="shared" si="4"/>
        <v/>
      </c>
      <c r="T71" s="2375" t="str">
        <f t="shared" ref="T71:T134" si="6">IF($B71&lt;&gt;"",
       IF(OR(LEFT($G71,7)="10.136.",LEFT($L71,7)="10.136."),
         "Prod",
             IF(OR(LEFT($G71,7)&lt;&gt;"",LEFT($L71,7)&lt;&gt;""),
                  "Non-Prod","")),"")</f>
        <v/>
      </c>
      <c r="U71" s="2000"/>
    </row>
    <row r="72" spans="2:21">
      <c r="B72" s="380"/>
      <c r="C72" s="1992"/>
      <c r="D72" s="1992"/>
      <c r="E72" s="1991"/>
      <c r="F72" s="1993" t="str">
        <f>IF($D72&lt;&gt;"",IF($D72="Yes",LEFT(VLOOKUP(IF(MID($E72,10,3)&lt;&gt;"VIP",$E72,LEFT($E72,15)),IP!$A$4:$N$205,11,FALSE),FIND(".",VLOOKUP(IF(MID($E72,10,3)&lt;&gt;"VIP",$E72,LEFT($E72,15)),IP!$A$4:$N$205,11,FALSE))-1),""),"")</f>
        <v/>
      </c>
      <c r="G72" s="1994" t="str">
        <f>IF($D72&lt;&gt;"",
          IF($D72="Yes",VLOOKUP(IF(MID($E72,10,3)&lt;&gt;"VIP",$E72,LEFT($E72,15)),IP!$A$4:$N$205,14,FALSE),
                     IF($D72="No", IFERROR(VLOOKUP($F72,'Host Reference'!$A$3:$B$93,2,FALSE),""),
                          VLOOKUP($F72,'Host Reference'!$A$3:$C$93,2,FALSE))),"")</f>
        <v/>
      </c>
      <c r="H72" s="1995" t="str">
        <f t="shared" si="5"/>
        <v/>
      </c>
      <c r="I72" s="1991"/>
      <c r="J72" s="1991"/>
      <c r="K72" s="2938" t="str">
        <f>IF($I72&lt;&gt;"",
    IF(LEFT(I72,4)="Test","tbcilproxy",
        IF(LEFT(I72, 4)="Prod",CONCATENATE("bcilproxy", CHAR(10),"bctxproxy"),
                 IF($I72="Yes",LEFT(VLOOKUP(IF(MID($J72,10,3)&lt;&gt;"VIP",$J72,LEFT($J72,15)),IP!$A$4:$N$205,11,FALSE),FIND(".",VLOOKUP(IF(MID($J72,10,3)&lt;&gt;"VIP",$J72,LEFT($J72,15)),IP!$A$4:$N$205,11,FALSE))-1),""))),"")</f>
        <v/>
      </c>
      <c r="L72" s="2938" t="str">
        <f>IF($I72&lt;&gt;"",
        IF($I72="Prod BlueCoat", VLOOKUP($I72,'Host Reference'!$A$3:$C$110,3,FALSE),
                IF($I72="Test BlueCoat", VLOOKUP($I72,'Host Reference'!$A$3:$C$110,3,FALSE),
             IF($I72="Yes",VLOOKUP(IF(MID($J72,10,3)&lt;&gt;"VIP",$J72,LEFT($J72,15)),IP!$A$4:$N$205,14,FALSE),
                     IF($I72="No", IFERROR(VLOOKUP($K72,'Host Reference'!$A$3:$C$110,3,FALSE),""),
                            VLOOKUP($K72,'Host Reference'!$A$3:$C$110,3,FALSE))))),"")</f>
        <v/>
      </c>
      <c r="M72" s="1991"/>
      <c r="N72" s="1991"/>
      <c r="O72" s="1991"/>
      <c r="P72" s="1991"/>
      <c r="Q72" s="2950"/>
      <c r="R72" s="1996"/>
      <c r="S72" s="2916" t="str">
        <f t="shared" si="4"/>
        <v/>
      </c>
      <c r="T72" s="2375" t="str">
        <f t="shared" si="6"/>
        <v/>
      </c>
      <c r="U72" s="2000"/>
    </row>
    <row r="73" spans="2:21">
      <c r="B73" s="380"/>
      <c r="C73" s="1992"/>
      <c r="D73" s="1992"/>
      <c r="E73" s="1991"/>
      <c r="F73" s="1993" t="str">
        <f>IF($D73&lt;&gt;"",IF($D73="Yes",LEFT(VLOOKUP(IF(MID($E73,10,3)&lt;&gt;"VIP",$E73,LEFT($E73,15)),IP!$A$4:$N$205,11,FALSE),FIND(".",VLOOKUP(IF(MID($E73,10,3)&lt;&gt;"VIP",$E73,LEFT($E73,15)),IP!$A$4:$N$205,11,FALSE))-1),""),"")</f>
        <v/>
      </c>
      <c r="G73" s="1994" t="str">
        <f>IF($D73&lt;&gt;"",
          IF($D73="Yes",VLOOKUP(IF(MID($E73,10,3)&lt;&gt;"VIP",$E73,LEFT($E73,15)),IP!$A$4:$N$205,14,FALSE),
                     IF($D73="No", IFERROR(VLOOKUP($F73,'Host Reference'!$A$3:$B$93,2,FALSE),""),
                          VLOOKUP($F73,'Host Reference'!$A$3:$C$93,2,FALSE))),"")</f>
        <v/>
      </c>
      <c r="H73" s="1995" t="str">
        <f t="shared" si="5"/>
        <v/>
      </c>
      <c r="I73" s="1991"/>
      <c r="J73" s="1991"/>
      <c r="K73" s="2938" t="str">
        <f>IF($I73&lt;&gt;"",
    IF(LEFT(I73,4)="Test","tbcilproxy",
        IF(LEFT(I73, 4)="Prod",CONCATENATE("bcilproxy", CHAR(10),"bctxproxy"),
                 IF($I73="Yes",LEFT(VLOOKUP(IF(MID($J73,10,3)&lt;&gt;"VIP",$J73,LEFT($J73,15)),IP!$A$4:$N$205,11,FALSE),FIND(".",VLOOKUP(IF(MID($J73,10,3)&lt;&gt;"VIP",$J73,LEFT($J73,15)),IP!$A$4:$N$205,11,FALSE))-1),""))),"")</f>
        <v/>
      </c>
      <c r="L73" s="2938" t="str">
        <f>IF($I73&lt;&gt;"",
        IF($I73="Prod BlueCoat", VLOOKUP($I73,'Host Reference'!$A$3:$C$110,3,FALSE),
                IF($I73="Test BlueCoat", VLOOKUP($I73,'Host Reference'!$A$3:$C$110,3,FALSE),
             IF($I73="Yes",VLOOKUP(IF(MID($J73,10,3)&lt;&gt;"VIP",$J73,LEFT($J73,15)),IP!$A$4:$N$205,14,FALSE),
                     IF($I73="No", IFERROR(VLOOKUP($K73,'Host Reference'!$A$3:$C$110,3,FALSE),""),
                            VLOOKUP($K73,'Host Reference'!$A$3:$C$110,3,FALSE))))),"")</f>
        <v/>
      </c>
      <c r="M73" s="1991"/>
      <c r="N73" s="1991"/>
      <c r="O73" s="1991"/>
      <c r="P73" s="1991"/>
      <c r="Q73" s="2950"/>
      <c r="R73" s="1996"/>
      <c r="S73" s="2916" t="str">
        <f t="shared" si="4"/>
        <v/>
      </c>
      <c r="T73" s="2375" t="str">
        <f t="shared" si="6"/>
        <v/>
      </c>
      <c r="U73" s="2000"/>
    </row>
    <row r="74" spans="2:21">
      <c r="B74" s="380"/>
      <c r="C74" s="1992"/>
      <c r="D74" s="1992"/>
      <c r="E74" s="1991"/>
      <c r="F74" s="1993" t="str">
        <f>IF($D74&lt;&gt;"",IF($D74="Yes",LEFT(VLOOKUP(IF(MID($E74,10,3)&lt;&gt;"VIP",$E74,LEFT($E74,15)),IP!$A$4:$N$205,11,FALSE),FIND(".",VLOOKUP(IF(MID($E74,10,3)&lt;&gt;"VIP",$E74,LEFT($E74,15)),IP!$A$4:$N$205,11,FALSE))-1),""),"")</f>
        <v/>
      </c>
      <c r="G74" s="1994" t="str">
        <f>IF($D74&lt;&gt;"",
          IF($D74="Yes",VLOOKUP(IF(MID($E74,10,3)&lt;&gt;"VIP",$E74,LEFT($E74,15)),IP!$A$4:$N$205,14,FALSE),
                     IF($D74="No", IFERROR(VLOOKUP($F74,'Host Reference'!$A$3:$B$93,2,FALSE),""),
                          VLOOKUP($F74,'Host Reference'!$A$3:$C$93,2,FALSE))),"")</f>
        <v/>
      </c>
      <c r="H74" s="1995" t="str">
        <f t="shared" si="5"/>
        <v/>
      </c>
      <c r="I74" s="1991"/>
      <c r="J74" s="1991"/>
      <c r="K74" s="2938" t="str">
        <f>IF($I74&lt;&gt;"",
    IF(LEFT(I74,4)="Test","tbcilproxy",
        IF(LEFT(I74, 4)="Prod",CONCATENATE("bcilproxy", CHAR(10),"bctxproxy"),
                 IF($I74="Yes",LEFT(VLOOKUP(IF(MID($J74,10,3)&lt;&gt;"VIP",$J74,LEFT($J74,15)),IP!$A$4:$N$205,11,FALSE),FIND(".",VLOOKUP(IF(MID($J74,10,3)&lt;&gt;"VIP",$J74,LEFT($J74,15)),IP!$A$4:$N$205,11,FALSE))-1),""))),"")</f>
        <v/>
      </c>
      <c r="L74" s="2938" t="str">
        <f>IF($I74&lt;&gt;"",
        IF($I74="Prod BlueCoat", VLOOKUP($I74,'Host Reference'!$A$3:$C$110,3,FALSE),
                IF($I74="Test BlueCoat", VLOOKUP($I74,'Host Reference'!$A$3:$C$110,3,FALSE),
             IF($I74="Yes",VLOOKUP(IF(MID($J74,10,3)&lt;&gt;"VIP",$J74,LEFT($J74,15)),IP!$A$4:$N$205,14,FALSE),
                     IF($I74="No", IFERROR(VLOOKUP($K74,'Host Reference'!$A$3:$C$110,3,FALSE),""),
                            VLOOKUP($K74,'Host Reference'!$A$3:$C$110,3,FALSE))))),"")</f>
        <v/>
      </c>
      <c r="M74" s="1991"/>
      <c r="N74" s="1991"/>
      <c r="O74" s="1991"/>
      <c r="P74" s="1991"/>
      <c r="Q74" s="2950"/>
      <c r="R74" s="1996"/>
      <c r="S74" s="2916" t="str">
        <f t="shared" si="4"/>
        <v/>
      </c>
      <c r="T74" s="2375" t="str">
        <f t="shared" si="6"/>
        <v/>
      </c>
      <c r="U74" s="2000"/>
    </row>
    <row r="75" spans="2:21">
      <c r="B75" s="380"/>
      <c r="C75" s="1992"/>
      <c r="D75" s="1992"/>
      <c r="E75" s="1991"/>
      <c r="F75" s="1993" t="str">
        <f>IF($D75&lt;&gt;"",IF($D75="Yes",LEFT(VLOOKUP(IF(MID($E75,10,3)&lt;&gt;"VIP",$E75,LEFT($E75,15)),IP!$A$4:$N$205,11,FALSE),FIND(".",VLOOKUP(IF(MID($E75,10,3)&lt;&gt;"VIP",$E75,LEFT($E75,15)),IP!$A$4:$N$205,11,FALSE))-1),""),"")</f>
        <v/>
      </c>
      <c r="G75" s="1994" t="str">
        <f>IF($D75&lt;&gt;"",
          IF($D75="Yes",VLOOKUP(IF(MID($E75,10,3)&lt;&gt;"VIP",$E75,LEFT($E75,15)),IP!$A$4:$N$205,14,FALSE),
                     IF($D75="No", IFERROR(VLOOKUP($F75,'Host Reference'!$A$3:$B$93,2,FALSE),""),
                          VLOOKUP($F75,'Host Reference'!$A$3:$C$93,2,FALSE))),"")</f>
        <v/>
      </c>
      <c r="H75" s="1995" t="str">
        <f t="shared" si="5"/>
        <v/>
      </c>
      <c r="I75" s="1991"/>
      <c r="J75" s="1991"/>
      <c r="K75" s="2938" t="str">
        <f>IF($I75&lt;&gt;"",
    IF(LEFT(I75,4)="Test","tbcilproxy",
        IF(LEFT(I75, 4)="Prod",CONCATENATE("bcilproxy", CHAR(10),"bctxproxy"),
                 IF($I75="Yes",LEFT(VLOOKUP(IF(MID($J75,10,3)&lt;&gt;"VIP",$J75,LEFT($J75,15)),IP!$A$4:$N$205,11,FALSE),FIND(".",VLOOKUP(IF(MID($J75,10,3)&lt;&gt;"VIP",$J75,LEFT($J75,15)),IP!$A$4:$N$205,11,FALSE))-1),""))),"")</f>
        <v/>
      </c>
      <c r="L75" s="2938" t="str">
        <f>IF($I75&lt;&gt;"",
        IF($I75="Prod BlueCoat", VLOOKUP($I75,'Host Reference'!$A$3:$C$110,3,FALSE),
                IF($I75="Test BlueCoat", VLOOKUP($I75,'Host Reference'!$A$3:$C$110,3,FALSE),
             IF($I75="Yes",VLOOKUP(IF(MID($J75,10,3)&lt;&gt;"VIP",$J75,LEFT($J75,15)),IP!$A$4:$N$205,14,FALSE),
                     IF($I75="No", IFERROR(VLOOKUP($K75,'Host Reference'!$A$3:$C$110,3,FALSE),""),
                            VLOOKUP($K75,'Host Reference'!$A$3:$C$110,3,FALSE))))),"")</f>
        <v/>
      </c>
      <c r="M75" s="1991"/>
      <c r="N75" s="1991"/>
      <c r="O75" s="1991"/>
      <c r="P75" s="1991"/>
      <c r="Q75" s="2950"/>
      <c r="R75" s="1996"/>
      <c r="S75" s="2916" t="str">
        <f t="shared" si="4"/>
        <v/>
      </c>
      <c r="T75" s="2375" t="str">
        <f t="shared" si="6"/>
        <v/>
      </c>
      <c r="U75" s="2000"/>
    </row>
    <row r="76" spans="2:21">
      <c r="B76" s="380"/>
      <c r="C76" s="1992"/>
      <c r="D76" s="1992"/>
      <c r="E76" s="1991"/>
      <c r="F76" s="1993" t="str">
        <f>IF($D76&lt;&gt;"",IF($D76="Yes",LEFT(VLOOKUP(IF(MID($E76,10,3)&lt;&gt;"VIP",$E76,LEFT($E76,15)),IP!$A$4:$N$205,11,FALSE),FIND(".",VLOOKUP(IF(MID($E76,10,3)&lt;&gt;"VIP",$E76,LEFT($E76,15)),IP!$A$4:$N$205,11,FALSE))-1),""),"")</f>
        <v/>
      </c>
      <c r="G76" s="1994" t="str">
        <f>IF($D76&lt;&gt;"",
          IF($D76="Yes",VLOOKUP(IF(MID($E76,10,3)&lt;&gt;"VIP",$E76,LEFT($E76,15)),IP!$A$4:$N$205,14,FALSE),
                     IF($D76="No", IFERROR(VLOOKUP($F76,'Host Reference'!$A$3:$B$93,2,FALSE),""),
                          VLOOKUP($F76,'Host Reference'!$A$3:$C$93,2,FALSE))),"")</f>
        <v/>
      </c>
      <c r="H76" s="1995" t="str">
        <f t="shared" si="5"/>
        <v/>
      </c>
      <c r="I76" s="1991"/>
      <c r="J76" s="1991"/>
      <c r="K76" s="2938" t="str">
        <f>IF($I76&lt;&gt;"",
    IF(LEFT(I76,4)="Test","tbcilproxy",
        IF(LEFT(I76, 4)="Prod",CONCATENATE("bcilproxy", CHAR(10),"bctxproxy"),
                 IF($I76="Yes",LEFT(VLOOKUP(IF(MID($J76,10,3)&lt;&gt;"VIP",$J76,LEFT($J76,15)),IP!$A$4:$N$205,11,FALSE),FIND(".",VLOOKUP(IF(MID($J76,10,3)&lt;&gt;"VIP",$J76,LEFT($J76,15)),IP!$A$4:$N$205,11,FALSE))-1),""))),"")</f>
        <v/>
      </c>
      <c r="L76" s="2938" t="str">
        <f>IF($I76&lt;&gt;"",
        IF($I76="Prod BlueCoat", VLOOKUP($I76,'Host Reference'!$A$3:$C$110,3,FALSE),
                IF($I76="Test BlueCoat", VLOOKUP($I76,'Host Reference'!$A$3:$C$110,3,FALSE),
             IF($I76="Yes",VLOOKUP(IF(MID($J76,10,3)&lt;&gt;"VIP",$J76,LEFT($J76,15)),IP!$A$4:$N$205,14,FALSE),
                     IF($I76="No", IFERROR(VLOOKUP($K76,'Host Reference'!$A$3:$C$110,3,FALSE),""),
                            VLOOKUP($K76,'Host Reference'!$A$3:$C$110,3,FALSE))))),"")</f>
        <v/>
      </c>
      <c r="M76" s="1991"/>
      <c r="N76" s="1991"/>
      <c r="O76" s="1991"/>
      <c r="P76" s="1991"/>
      <c r="Q76" s="2950"/>
      <c r="R76" s="1996"/>
      <c r="S76" s="2916" t="str">
        <f t="shared" si="4"/>
        <v/>
      </c>
      <c r="T76" s="2375" t="str">
        <f t="shared" si="6"/>
        <v/>
      </c>
      <c r="U76" s="2000"/>
    </row>
    <row r="77" spans="2:21">
      <c r="B77" s="380"/>
      <c r="C77" s="1992"/>
      <c r="D77" s="1992"/>
      <c r="E77" s="1991"/>
      <c r="F77" s="1993" t="str">
        <f>IF($D77&lt;&gt;"",IF($D77="Yes",LEFT(VLOOKUP(IF(MID($E77,10,3)&lt;&gt;"VIP",$E77,LEFT($E77,15)),IP!$A$4:$N$205,11,FALSE),FIND(".",VLOOKUP(IF(MID($E77,10,3)&lt;&gt;"VIP",$E77,LEFT($E77,15)),IP!$A$4:$N$205,11,FALSE))-1),""),"")</f>
        <v/>
      </c>
      <c r="G77" s="1994" t="str">
        <f>IF($D77&lt;&gt;"",
          IF($D77="Yes",VLOOKUP(IF(MID($E77,10,3)&lt;&gt;"VIP",$E77,LEFT($E77,15)),IP!$A$4:$N$205,14,FALSE),
                     IF($D77="No", IFERROR(VLOOKUP($F77,'Host Reference'!$A$3:$B$93,2,FALSE),""),
                          VLOOKUP($F77,'Host Reference'!$A$3:$C$93,2,FALSE))),"")</f>
        <v/>
      </c>
      <c r="H77" s="1995" t="str">
        <f t="shared" si="5"/>
        <v/>
      </c>
      <c r="I77" s="1991"/>
      <c r="J77" s="1991"/>
      <c r="K77" s="2938" t="str">
        <f>IF($I77&lt;&gt;"",
    IF(LEFT(I77,4)="Test","tbcilproxy",
        IF(LEFT(I77, 4)="Prod",CONCATENATE("bcilproxy", CHAR(10),"bctxproxy"),
                 IF($I77="Yes",LEFT(VLOOKUP(IF(MID($J77,10,3)&lt;&gt;"VIP",$J77,LEFT($J77,15)),IP!$A$4:$N$205,11,FALSE),FIND(".",VLOOKUP(IF(MID($J77,10,3)&lt;&gt;"VIP",$J77,LEFT($J77,15)),IP!$A$4:$N$205,11,FALSE))-1),""))),"")</f>
        <v/>
      </c>
      <c r="L77" s="2938" t="str">
        <f>IF($I77&lt;&gt;"",
        IF($I77="Prod BlueCoat", VLOOKUP($I77,'Host Reference'!$A$3:$C$110,3,FALSE),
                IF($I77="Test BlueCoat", VLOOKUP($I77,'Host Reference'!$A$3:$C$110,3,FALSE),
             IF($I77="Yes",VLOOKUP(IF(MID($J77,10,3)&lt;&gt;"VIP",$J77,LEFT($J77,15)),IP!$A$4:$N$205,14,FALSE),
                     IF($I77="No", IFERROR(VLOOKUP($K77,'Host Reference'!$A$3:$C$110,3,FALSE),""),
                            VLOOKUP($K77,'Host Reference'!$A$3:$C$110,3,FALSE))))),"")</f>
        <v/>
      </c>
      <c r="M77" s="1991"/>
      <c r="N77" s="1991"/>
      <c r="O77" s="1991"/>
      <c r="P77" s="1991"/>
      <c r="Q77" s="2950"/>
      <c r="R77" s="1996"/>
      <c r="S77" s="2916" t="str">
        <f t="shared" si="4"/>
        <v/>
      </c>
      <c r="T77" s="2375" t="str">
        <f t="shared" si="6"/>
        <v/>
      </c>
      <c r="U77" s="2000"/>
    </row>
    <row r="78" spans="2:21">
      <c r="B78" s="380"/>
      <c r="C78" s="1992"/>
      <c r="D78" s="1992"/>
      <c r="E78" s="1991"/>
      <c r="F78" s="1993" t="str">
        <f>IF($D78&lt;&gt;"",IF($D78="Yes",LEFT(VLOOKUP(IF(MID($E78,10,3)&lt;&gt;"VIP",$E78,LEFT($E78,15)),IP!$A$4:$N$205,11,FALSE),FIND(".",VLOOKUP(IF(MID($E78,10,3)&lt;&gt;"VIP",$E78,LEFT($E78,15)),IP!$A$4:$N$205,11,FALSE))-1),""),"")</f>
        <v/>
      </c>
      <c r="G78" s="1994" t="str">
        <f>IF($D78&lt;&gt;"",
          IF($D78="Yes",VLOOKUP(IF(MID($E78,10,3)&lt;&gt;"VIP",$E78,LEFT($E78,15)),IP!$A$4:$N$205,14,FALSE),
                     IF($D78="No", IFERROR(VLOOKUP($F78,'Host Reference'!$A$3:$B$93,2,FALSE),""),
                          VLOOKUP($F78,'Host Reference'!$A$3:$C$93,2,FALSE))),"")</f>
        <v/>
      </c>
      <c r="H78" s="1995" t="str">
        <f t="shared" si="5"/>
        <v/>
      </c>
      <c r="I78" s="1991"/>
      <c r="J78" s="1991"/>
      <c r="K78" s="2938" t="str">
        <f>IF($I78&lt;&gt;"",
    IF(LEFT(I78,4)="Test","tbcilproxy",
        IF(LEFT(I78, 4)="Prod",CONCATENATE("bcilproxy", CHAR(10),"bctxproxy"),
                 IF($I78="Yes",LEFT(VLOOKUP(IF(MID($J78,10,3)&lt;&gt;"VIP",$J78,LEFT($J78,15)),IP!$A$4:$N$205,11,FALSE),FIND(".",VLOOKUP(IF(MID($J78,10,3)&lt;&gt;"VIP",$J78,LEFT($J78,15)),IP!$A$4:$N$205,11,FALSE))-1),""))),"")</f>
        <v/>
      </c>
      <c r="L78" s="2938" t="str">
        <f>IF($I78&lt;&gt;"",
        IF($I78="Prod BlueCoat", VLOOKUP($I78,'Host Reference'!$A$3:$C$110,3,FALSE),
                IF($I78="Test BlueCoat", VLOOKUP($I78,'Host Reference'!$A$3:$C$110,3,FALSE),
             IF($I78="Yes",VLOOKUP(IF(MID($J78,10,3)&lt;&gt;"VIP",$J78,LEFT($J78,15)),IP!$A$4:$N$205,14,FALSE),
                     IF($I78="No", IFERROR(VLOOKUP($K78,'Host Reference'!$A$3:$C$110,3,FALSE),""),
                            VLOOKUP($K78,'Host Reference'!$A$3:$C$110,3,FALSE))))),"")</f>
        <v/>
      </c>
      <c r="M78" s="1991"/>
      <c r="N78" s="1991"/>
      <c r="O78" s="1991"/>
      <c r="P78" s="1991"/>
      <c r="Q78" s="2950"/>
      <c r="R78" s="1996"/>
      <c r="S78" s="2916" t="str">
        <f t="shared" si="4"/>
        <v/>
      </c>
      <c r="T78" s="2375" t="str">
        <f t="shared" si="6"/>
        <v/>
      </c>
      <c r="U78" s="2000"/>
    </row>
    <row r="79" spans="2:21">
      <c r="B79" s="380"/>
      <c r="C79" s="1992"/>
      <c r="D79" s="1992"/>
      <c r="E79" s="1991"/>
      <c r="F79" s="1993" t="str">
        <f>IF($D79&lt;&gt;"",IF($D79="Yes",LEFT(VLOOKUP(IF(MID($E79,10,3)&lt;&gt;"VIP",$E79,LEFT($E79,15)),IP!$A$4:$N$205,11,FALSE),FIND(".",VLOOKUP(IF(MID($E79,10,3)&lt;&gt;"VIP",$E79,LEFT($E79,15)),IP!$A$4:$N$205,11,FALSE))-1),""),"")</f>
        <v/>
      </c>
      <c r="G79" s="1994" t="str">
        <f>IF($D79&lt;&gt;"",
          IF($D79="Yes",VLOOKUP(IF(MID($E79,10,3)&lt;&gt;"VIP",$E79,LEFT($E79,15)),IP!$A$4:$N$205,14,FALSE),
                     IF($D79="No", IFERROR(VLOOKUP($F79,'Host Reference'!$A$3:$B$93,2,FALSE),""),
                          VLOOKUP($F79,'Host Reference'!$A$3:$C$93,2,FALSE))),"")</f>
        <v/>
      </c>
      <c r="H79" s="1995" t="str">
        <f t="shared" si="5"/>
        <v/>
      </c>
      <c r="I79" s="1991"/>
      <c r="J79" s="1991"/>
      <c r="K79" s="2938" t="str">
        <f>IF($I79&lt;&gt;"",
    IF(LEFT(I79,4)="Test","tbcilproxy",
        IF(LEFT(I79, 4)="Prod",CONCATENATE("bcilproxy", CHAR(10),"bctxproxy"),
                 IF($I79="Yes",LEFT(VLOOKUP(IF(MID($J79,10,3)&lt;&gt;"VIP",$J79,LEFT($J79,15)),IP!$A$4:$N$205,11,FALSE),FIND(".",VLOOKUP(IF(MID($J79,10,3)&lt;&gt;"VIP",$J79,LEFT($J79,15)),IP!$A$4:$N$205,11,FALSE))-1),""))),"")</f>
        <v/>
      </c>
      <c r="L79" s="2938" t="str">
        <f>IF($I79&lt;&gt;"",
        IF($I79="Prod BlueCoat", VLOOKUP($I79,'Host Reference'!$A$3:$C$110,3,FALSE),
                IF($I79="Test BlueCoat", VLOOKUP($I79,'Host Reference'!$A$3:$C$110,3,FALSE),
             IF($I79="Yes",VLOOKUP(IF(MID($J79,10,3)&lt;&gt;"VIP",$J79,LEFT($J79,15)),IP!$A$4:$N$205,14,FALSE),
                     IF($I79="No", IFERROR(VLOOKUP($K79,'Host Reference'!$A$3:$C$110,3,FALSE),""),
                            VLOOKUP($K79,'Host Reference'!$A$3:$C$110,3,FALSE))))),"")</f>
        <v/>
      </c>
      <c r="M79" s="1991"/>
      <c r="N79" s="1991"/>
      <c r="O79" s="1991"/>
      <c r="P79" s="1991"/>
      <c r="Q79" s="2950"/>
      <c r="R79" s="1996"/>
      <c r="S79" s="2916" t="str">
        <f t="shared" si="4"/>
        <v/>
      </c>
      <c r="T79" s="2375" t="str">
        <f t="shared" si="6"/>
        <v/>
      </c>
      <c r="U79" s="2000"/>
    </row>
    <row r="80" spans="2:21">
      <c r="B80" s="380"/>
      <c r="C80" s="1992"/>
      <c r="D80" s="1992"/>
      <c r="E80" s="1991"/>
      <c r="F80" s="1993" t="str">
        <f>IF($D80&lt;&gt;"",IF($D80="Yes",LEFT(VLOOKUP(IF(MID($E80,10,3)&lt;&gt;"VIP",$E80,LEFT($E80,15)),IP!$A$4:$N$205,11,FALSE),FIND(".",VLOOKUP(IF(MID($E80,10,3)&lt;&gt;"VIP",$E80,LEFT($E80,15)),IP!$A$4:$N$205,11,FALSE))-1),""),"")</f>
        <v/>
      </c>
      <c r="G80" s="1994" t="str">
        <f>IF($D80&lt;&gt;"",
          IF($D80="Yes",VLOOKUP(IF(MID($E80,10,3)&lt;&gt;"VIP",$E80,LEFT($E80,15)),IP!$A$4:$N$205,14,FALSE),
                     IF($D80="No", IFERROR(VLOOKUP($F80,'Host Reference'!$A$3:$B$93,2,FALSE),""),
                          VLOOKUP($F80,'Host Reference'!$A$3:$C$93,2,FALSE))),"")</f>
        <v/>
      </c>
      <c r="H80" s="1995" t="str">
        <f t="shared" si="5"/>
        <v/>
      </c>
      <c r="I80" s="1991"/>
      <c r="J80" s="1991"/>
      <c r="K80" s="2938" t="str">
        <f>IF($I80&lt;&gt;"",
    IF(LEFT(I80,4)="Test","tbcilproxy",
        IF(LEFT(I80, 4)="Prod",CONCATENATE("bcilproxy", CHAR(10),"bctxproxy"),
                 IF($I80="Yes",LEFT(VLOOKUP(IF(MID($J80,10,3)&lt;&gt;"VIP",$J80,LEFT($J80,15)),IP!$A$4:$N$205,11,FALSE),FIND(".",VLOOKUP(IF(MID($J80,10,3)&lt;&gt;"VIP",$J80,LEFT($J80,15)),IP!$A$4:$N$205,11,FALSE))-1),""))),"")</f>
        <v/>
      </c>
      <c r="L80" s="2938" t="str">
        <f>IF($I80&lt;&gt;"",
        IF($I80="Prod BlueCoat", VLOOKUP($I80,'Host Reference'!$A$3:$C$110,3,FALSE),
                IF($I80="Test BlueCoat", VLOOKUP($I80,'Host Reference'!$A$3:$C$110,3,FALSE),
             IF($I80="Yes",VLOOKUP(IF(MID($J80,10,3)&lt;&gt;"VIP",$J80,LEFT($J80,15)),IP!$A$4:$N$205,14,FALSE),
                     IF($I80="No", IFERROR(VLOOKUP($K80,'Host Reference'!$A$3:$C$110,3,FALSE),""),
                            VLOOKUP($K80,'Host Reference'!$A$3:$C$110,3,FALSE))))),"")</f>
        <v/>
      </c>
      <c r="M80" s="1991"/>
      <c r="N80" s="1991"/>
      <c r="O80" s="1991"/>
      <c r="P80" s="1991"/>
      <c r="Q80" s="2950"/>
      <c r="R80" s="1996"/>
      <c r="S80" s="2916" t="str">
        <f t="shared" si="4"/>
        <v/>
      </c>
      <c r="T80" s="2375" t="str">
        <f t="shared" si="6"/>
        <v/>
      </c>
      <c r="U80" s="2000"/>
    </row>
    <row r="81" spans="2:21">
      <c r="B81" s="380"/>
      <c r="C81" s="1992"/>
      <c r="D81" s="1992"/>
      <c r="E81" s="1991"/>
      <c r="F81" s="1993" t="str">
        <f>IF($D81&lt;&gt;"",IF($D81="Yes",LEFT(VLOOKUP(IF(MID($E81,10,3)&lt;&gt;"VIP",$E81,LEFT($E81,15)),IP!$A$4:$N$205,11,FALSE),FIND(".",VLOOKUP(IF(MID($E81,10,3)&lt;&gt;"VIP",$E81,LEFT($E81,15)),IP!$A$4:$N$205,11,FALSE))-1),""),"")</f>
        <v/>
      </c>
      <c r="G81" s="1994" t="str">
        <f>IF($D81&lt;&gt;"",
          IF($D81="Yes",VLOOKUP(IF(MID($E81,10,3)&lt;&gt;"VIP",$E81,LEFT($E81,15)),IP!$A$4:$N$205,14,FALSE),
                     IF($D81="No", IFERROR(VLOOKUP($F81,'Host Reference'!$A$3:$B$93,2,FALSE),""),
                          VLOOKUP($F81,'Host Reference'!$A$3:$C$93,2,FALSE))),"")</f>
        <v/>
      </c>
      <c r="H81" s="1995" t="str">
        <f t="shared" si="5"/>
        <v/>
      </c>
      <c r="I81" s="1991"/>
      <c r="J81" s="1991"/>
      <c r="K81" s="2938" t="str">
        <f>IF($I81&lt;&gt;"",
    IF(LEFT(I81,4)="Test","tbcilproxy",
        IF(LEFT(I81, 4)="Prod",CONCATENATE("bcilproxy", CHAR(10),"bctxproxy"),
                 IF($I81="Yes",LEFT(VLOOKUP(IF(MID($J81,10,3)&lt;&gt;"VIP",$J81,LEFT($J81,15)),IP!$A$4:$N$205,11,FALSE),FIND(".",VLOOKUP(IF(MID($J81,10,3)&lt;&gt;"VIP",$J81,LEFT($J81,15)),IP!$A$4:$N$205,11,FALSE))-1),""))),"")</f>
        <v/>
      </c>
      <c r="L81" s="2938" t="str">
        <f>IF($I81&lt;&gt;"",
        IF($I81="Prod BlueCoat", VLOOKUP($I81,'Host Reference'!$A$3:$C$110,3,FALSE),
                IF($I81="Test BlueCoat", VLOOKUP($I81,'Host Reference'!$A$3:$C$110,3,FALSE),
             IF($I81="Yes",VLOOKUP(IF(MID($J81,10,3)&lt;&gt;"VIP",$J81,LEFT($J81,15)),IP!$A$4:$N$205,14,FALSE),
                     IF($I81="No", IFERROR(VLOOKUP($K81,'Host Reference'!$A$3:$C$110,3,FALSE),""),
                            VLOOKUP($K81,'Host Reference'!$A$3:$C$110,3,FALSE))))),"")</f>
        <v/>
      </c>
      <c r="M81" s="1991"/>
      <c r="N81" s="1991"/>
      <c r="O81" s="1991"/>
      <c r="P81" s="1991"/>
      <c r="Q81" s="2950"/>
      <c r="R81" s="1996"/>
      <c r="S81" s="2916" t="str">
        <f t="shared" si="4"/>
        <v/>
      </c>
      <c r="T81" s="2375" t="str">
        <f t="shared" si="6"/>
        <v/>
      </c>
      <c r="U81" s="2000"/>
    </row>
    <row r="82" spans="2:21">
      <c r="B82" s="380"/>
      <c r="C82" s="1992"/>
      <c r="D82" s="1992"/>
      <c r="E82" s="1991"/>
      <c r="F82" s="1993" t="str">
        <f>IF($D82&lt;&gt;"",IF($D82="Yes",LEFT(VLOOKUP(IF(MID($E82,10,3)&lt;&gt;"VIP",$E82,LEFT($E82,15)),IP!$A$4:$N$205,11,FALSE),FIND(".",VLOOKUP(IF(MID($E82,10,3)&lt;&gt;"VIP",$E82,LEFT($E82,15)),IP!$A$4:$N$205,11,FALSE))-1),""),"")</f>
        <v/>
      </c>
      <c r="G82" s="1994" t="str">
        <f>IF($D82&lt;&gt;"",
          IF($D82="Yes",VLOOKUP(IF(MID($E82,10,3)&lt;&gt;"VIP",$E82,LEFT($E82,15)),IP!$A$4:$N$205,14,FALSE),
                     IF($D82="No", IFERROR(VLOOKUP($F82,'Host Reference'!$A$3:$B$93,2,FALSE),""),
                          VLOOKUP($F82,'Host Reference'!$A$3:$C$93,2,FALSE))),"")</f>
        <v/>
      </c>
      <c r="H82" s="1995" t="str">
        <f t="shared" si="5"/>
        <v/>
      </c>
      <c r="I82" s="1991"/>
      <c r="J82" s="1991"/>
      <c r="K82" s="2938" t="str">
        <f>IF($I82&lt;&gt;"",
    IF(LEFT(I82,4)="Test","tbcilproxy",
        IF(LEFT(I82, 4)="Prod",CONCATENATE("bcilproxy", CHAR(10),"bctxproxy"),
                 IF($I82="Yes",LEFT(VLOOKUP(IF(MID($J82,10,3)&lt;&gt;"VIP",$J82,LEFT($J82,15)),IP!$A$4:$N$205,11,FALSE),FIND(".",VLOOKUP(IF(MID($J82,10,3)&lt;&gt;"VIP",$J82,LEFT($J82,15)),IP!$A$4:$N$205,11,FALSE))-1),""))),"")</f>
        <v/>
      </c>
      <c r="L82" s="2938" t="str">
        <f>IF($I82&lt;&gt;"",
        IF($I82="Prod BlueCoat", VLOOKUP($I82,'Host Reference'!$A$3:$C$110,3,FALSE),
                IF($I82="Test BlueCoat", VLOOKUP($I82,'Host Reference'!$A$3:$C$110,3,FALSE),
             IF($I82="Yes",VLOOKUP(IF(MID($J82,10,3)&lt;&gt;"VIP",$J82,LEFT($J82,15)),IP!$A$4:$N$205,14,FALSE),
                     IF($I82="No", IFERROR(VLOOKUP($K82,'Host Reference'!$A$3:$C$110,3,FALSE),""),
                            VLOOKUP($K82,'Host Reference'!$A$3:$C$110,3,FALSE))))),"")</f>
        <v/>
      </c>
      <c r="M82" s="1991"/>
      <c r="N82" s="1991"/>
      <c r="O82" s="1991"/>
      <c r="P82" s="1991"/>
      <c r="Q82" s="2950"/>
      <c r="R82" s="1996"/>
      <c r="S82" s="2916" t="str">
        <f t="shared" si="4"/>
        <v/>
      </c>
      <c r="T82" s="2375" t="str">
        <f t="shared" si="6"/>
        <v/>
      </c>
      <c r="U82" s="2000"/>
    </row>
    <row r="83" spans="2:21">
      <c r="B83" s="380"/>
      <c r="C83" s="1992"/>
      <c r="D83" s="1992"/>
      <c r="E83" s="1991"/>
      <c r="F83" s="1993" t="str">
        <f>IF($D83&lt;&gt;"",IF($D83="Yes",LEFT(VLOOKUP(IF(MID($E83,10,3)&lt;&gt;"VIP",$E83,LEFT($E83,15)),IP!$A$4:$N$205,11,FALSE),FIND(".",VLOOKUP(IF(MID($E83,10,3)&lt;&gt;"VIP",$E83,LEFT($E83,15)),IP!$A$4:$N$205,11,FALSE))-1),""),"")</f>
        <v/>
      </c>
      <c r="G83" s="1994" t="str">
        <f>IF($D83&lt;&gt;"",
          IF($D83="Yes",VLOOKUP(IF(MID($E83,10,3)&lt;&gt;"VIP",$E83,LEFT($E83,15)),IP!$A$4:$N$205,14,FALSE),
                     IF($D83="No", IFERROR(VLOOKUP($F83,'Host Reference'!$A$3:$B$93,2,FALSE),""),
                          VLOOKUP($F83,'Host Reference'!$A$3:$C$93,2,FALSE))),"")</f>
        <v/>
      </c>
      <c r="H83" s="1995" t="str">
        <f t="shared" si="5"/>
        <v/>
      </c>
      <c r="I83" s="1991"/>
      <c r="J83" s="1991"/>
      <c r="K83" s="2938" t="str">
        <f>IF($I83&lt;&gt;"",
    IF(LEFT(I83,4)="Test","tbcilproxy",
        IF(LEFT(I83, 4)="Prod",CONCATENATE("bcilproxy", CHAR(10),"bctxproxy"),
                 IF($I83="Yes",LEFT(VLOOKUP(IF(MID($J83,10,3)&lt;&gt;"VIP",$J83,LEFT($J83,15)),IP!$A$4:$N$205,11,FALSE),FIND(".",VLOOKUP(IF(MID($J83,10,3)&lt;&gt;"VIP",$J83,LEFT($J83,15)),IP!$A$4:$N$205,11,FALSE))-1),""))),"")</f>
        <v/>
      </c>
      <c r="L83" s="2938" t="str">
        <f>IF($I83&lt;&gt;"",
        IF($I83="Prod BlueCoat", VLOOKUP($I83,'Host Reference'!$A$3:$C$110,3,FALSE),
                IF($I83="Test BlueCoat", VLOOKUP($I83,'Host Reference'!$A$3:$C$110,3,FALSE),
             IF($I83="Yes",VLOOKUP(IF(MID($J83,10,3)&lt;&gt;"VIP",$J83,LEFT($J83,15)),IP!$A$4:$N$205,14,FALSE),
                     IF($I83="No", IFERROR(VLOOKUP($K83,'Host Reference'!$A$3:$C$110,3,FALSE),""),
                            VLOOKUP($K83,'Host Reference'!$A$3:$C$110,3,FALSE))))),"")</f>
        <v/>
      </c>
      <c r="M83" s="1991"/>
      <c r="N83" s="1991"/>
      <c r="O83" s="1991"/>
      <c r="P83" s="1991"/>
      <c r="Q83" s="2950"/>
      <c r="R83" s="1996"/>
      <c r="S83" s="2916" t="str">
        <f t="shared" si="4"/>
        <v/>
      </c>
      <c r="T83" s="2375" t="str">
        <f t="shared" si="6"/>
        <v/>
      </c>
      <c r="U83" s="2000"/>
    </row>
    <row r="84" spans="2:21">
      <c r="B84" s="380"/>
      <c r="C84" s="1992"/>
      <c r="D84" s="1992"/>
      <c r="E84" s="1991"/>
      <c r="F84" s="1993" t="str">
        <f>IF($D84&lt;&gt;"",IF($D84="Yes",LEFT(VLOOKUP(IF(MID($E84,10,3)&lt;&gt;"VIP",$E84,LEFT($E84,15)),IP!$A$4:$N$205,11,FALSE),FIND(".",VLOOKUP(IF(MID($E84,10,3)&lt;&gt;"VIP",$E84,LEFT($E84,15)),IP!$A$4:$N$205,11,FALSE))-1),""),"")</f>
        <v/>
      </c>
      <c r="G84" s="1994" t="str">
        <f>IF($D84&lt;&gt;"",
          IF($D84="Yes",VLOOKUP(IF(MID($E84,10,3)&lt;&gt;"VIP",$E84,LEFT($E84,15)),IP!$A$4:$N$205,14,FALSE),
                     IF($D84="No", IFERROR(VLOOKUP($F84,'Host Reference'!$A$3:$B$93,2,FALSE),""),
                          VLOOKUP($F84,'Host Reference'!$A$3:$C$93,2,FALSE))),"")</f>
        <v/>
      </c>
      <c r="H84" s="1995" t="str">
        <f t="shared" si="5"/>
        <v/>
      </c>
      <c r="I84" s="1991"/>
      <c r="J84" s="1991"/>
      <c r="K84" s="2938" t="str">
        <f>IF($I84&lt;&gt;"",
    IF(LEFT(I84,4)="Test","tbcilproxy",
        IF(LEFT(I84, 4)="Prod",CONCATENATE("bcilproxy", CHAR(10),"bctxproxy"),
                 IF($I84="Yes",LEFT(VLOOKUP(IF(MID($J84,10,3)&lt;&gt;"VIP",$J84,LEFT($J84,15)),IP!$A$4:$N$205,11,FALSE),FIND(".",VLOOKUP(IF(MID($J84,10,3)&lt;&gt;"VIP",$J84,LEFT($J84,15)),IP!$A$4:$N$205,11,FALSE))-1),""))),"")</f>
        <v/>
      </c>
      <c r="L84" s="2938" t="str">
        <f>IF($I84&lt;&gt;"",
        IF($I84="Prod BlueCoat", VLOOKUP($I84,'Host Reference'!$A$3:$C$110,3,FALSE),
                IF($I84="Test BlueCoat", VLOOKUP($I84,'Host Reference'!$A$3:$C$110,3,FALSE),
             IF($I84="Yes",VLOOKUP(IF(MID($J84,10,3)&lt;&gt;"VIP",$J84,LEFT($J84,15)),IP!$A$4:$N$205,14,FALSE),
                     IF($I84="No", IFERROR(VLOOKUP($K84,'Host Reference'!$A$3:$C$110,3,FALSE),""),
                            VLOOKUP($K84,'Host Reference'!$A$3:$C$110,3,FALSE))))),"")</f>
        <v/>
      </c>
      <c r="M84" s="1991"/>
      <c r="N84" s="1991"/>
      <c r="O84" s="1991"/>
      <c r="P84" s="1991"/>
      <c r="Q84" s="2950"/>
      <c r="R84" s="1996"/>
      <c r="S84" s="2916" t="str">
        <f t="shared" si="4"/>
        <v/>
      </c>
      <c r="T84" s="2375" t="str">
        <f t="shared" si="6"/>
        <v/>
      </c>
      <c r="U84" s="2000"/>
    </row>
    <row r="85" spans="2:21">
      <c r="B85" s="380"/>
      <c r="C85" s="1992"/>
      <c r="D85" s="1992"/>
      <c r="E85" s="1991"/>
      <c r="F85" s="1993" t="str">
        <f>IF($D85&lt;&gt;"",IF($D85="Yes",LEFT(VLOOKUP(IF(MID($E85,10,3)&lt;&gt;"VIP",$E85,LEFT($E85,15)),IP!$A$4:$N$205,11,FALSE),FIND(".",VLOOKUP(IF(MID($E85,10,3)&lt;&gt;"VIP",$E85,LEFT($E85,15)),IP!$A$4:$N$205,11,FALSE))-1),""),"")</f>
        <v/>
      </c>
      <c r="G85" s="1994" t="str">
        <f>IF($D85&lt;&gt;"",
          IF($D85="Yes",VLOOKUP(IF(MID($E85,10,3)&lt;&gt;"VIP",$E85,LEFT($E85,15)),IP!$A$4:$N$205,14,FALSE),
                     IF($D85="No", IFERROR(VLOOKUP($F85,'Host Reference'!$A$3:$B$93,2,FALSE),""),
                          VLOOKUP($F85,'Host Reference'!$A$3:$C$93,2,FALSE))),"")</f>
        <v/>
      </c>
      <c r="H85" s="1995" t="str">
        <f t="shared" si="5"/>
        <v/>
      </c>
      <c r="I85" s="1991"/>
      <c r="J85" s="1991"/>
      <c r="K85" s="2938" t="str">
        <f>IF($I85&lt;&gt;"",
    IF(LEFT(I85,4)="Test","tbcilproxy",
        IF(LEFT(I85, 4)="Prod",CONCATENATE("bcilproxy", CHAR(10),"bctxproxy"),
                 IF($I85="Yes",LEFT(VLOOKUP(IF(MID($J85,10,3)&lt;&gt;"VIP",$J85,LEFT($J85,15)),IP!$A$4:$N$205,11,FALSE),FIND(".",VLOOKUP(IF(MID($J85,10,3)&lt;&gt;"VIP",$J85,LEFT($J85,15)),IP!$A$4:$N$205,11,FALSE))-1),""))),"")</f>
        <v/>
      </c>
      <c r="L85" s="2938" t="str">
        <f>IF($I85&lt;&gt;"",
        IF($I85="Prod BlueCoat", VLOOKUP($I85,'Host Reference'!$A$3:$C$110,3,FALSE),
                IF($I85="Test BlueCoat", VLOOKUP($I85,'Host Reference'!$A$3:$C$110,3,FALSE),
             IF($I85="Yes",VLOOKUP(IF(MID($J85,10,3)&lt;&gt;"VIP",$J85,LEFT($J85,15)),IP!$A$4:$N$205,14,FALSE),
                     IF($I85="No", IFERROR(VLOOKUP($K85,'Host Reference'!$A$3:$C$110,3,FALSE),""),
                            VLOOKUP($K85,'Host Reference'!$A$3:$C$110,3,FALSE))))),"")</f>
        <v/>
      </c>
      <c r="M85" s="1991"/>
      <c r="N85" s="1991"/>
      <c r="O85" s="1991"/>
      <c r="P85" s="1991"/>
      <c r="Q85" s="2950"/>
      <c r="R85" s="1996"/>
      <c r="S85" s="2916" t="str">
        <f t="shared" si="4"/>
        <v/>
      </c>
      <c r="T85" s="2375" t="str">
        <f t="shared" si="6"/>
        <v/>
      </c>
      <c r="U85" s="2000"/>
    </row>
    <row r="86" spans="2:21">
      <c r="B86" s="380"/>
      <c r="C86" s="1992"/>
      <c r="D86" s="1992"/>
      <c r="E86" s="1991"/>
      <c r="F86" s="1993" t="str">
        <f>IF($D86&lt;&gt;"",IF($D86="Yes",LEFT(VLOOKUP(IF(MID($E86,10,3)&lt;&gt;"VIP",$E86,LEFT($E86,15)),IP!$A$4:$N$205,11,FALSE),FIND(".",VLOOKUP(IF(MID($E86,10,3)&lt;&gt;"VIP",$E86,LEFT($E86,15)),IP!$A$4:$N$205,11,FALSE))-1),""),"")</f>
        <v/>
      </c>
      <c r="G86" s="1994" t="str">
        <f>IF($D86&lt;&gt;"",
          IF($D86="Yes",VLOOKUP(IF(MID($E86,10,3)&lt;&gt;"VIP",$E86,LEFT($E86,15)),IP!$A$4:$N$205,14,FALSE),
                     IF($D86="No", IFERROR(VLOOKUP($F86,'Host Reference'!$A$3:$B$93,2,FALSE),""),
                          VLOOKUP($F86,'Host Reference'!$A$3:$C$93,2,FALSE))),"")</f>
        <v/>
      </c>
      <c r="H86" s="1995" t="str">
        <f t="shared" si="5"/>
        <v/>
      </c>
      <c r="I86" s="1991"/>
      <c r="J86" s="1991"/>
      <c r="K86" s="2938" t="str">
        <f>IF($I86&lt;&gt;"",
    IF(LEFT(I86,4)="Test","tbcilproxy",
        IF(LEFT(I86, 4)="Prod",CONCATENATE("bcilproxy", CHAR(10),"bctxproxy"),
                 IF($I86="Yes",LEFT(VLOOKUP(IF(MID($J86,10,3)&lt;&gt;"VIP",$J86,LEFT($J86,15)),IP!$A$4:$N$205,11,FALSE),FIND(".",VLOOKUP(IF(MID($J86,10,3)&lt;&gt;"VIP",$J86,LEFT($J86,15)),IP!$A$4:$N$205,11,FALSE))-1),""))),"")</f>
        <v/>
      </c>
      <c r="L86" s="2938" t="str">
        <f>IF($I86&lt;&gt;"",
        IF($I86="Prod BlueCoat", VLOOKUP($I86,'Host Reference'!$A$3:$C$110,3,FALSE),
                IF($I86="Test BlueCoat", VLOOKUP($I86,'Host Reference'!$A$3:$C$110,3,FALSE),
             IF($I86="Yes",VLOOKUP(IF(MID($J86,10,3)&lt;&gt;"VIP",$J86,LEFT($J86,15)),IP!$A$4:$N$205,14,FALSE),
                     IF($I86="No", IFERROR(VLOOKUP($K86,'Host Reference'!$A$3:$C$110,3,FALSE),""),
                            VLOOKUP($K86,'Host Reference'!$A$3:$C$110,3,FALSE))))),"")</f>
        <v/>
      </c>
      <c r="M86" s="1991"/>
      <c r="N86" s="1991"/>
      <c r="O86" s="1991"/>
      <c r="P86" s="1991"/>
      <c r="Q86" s="2950"/>
      <c r="R86" s="1996"/>
      <c r="S86" s="2916" t="str">
        <f t="shared" si="4"/>
        <v/>
      </c>
      <c r="T86" s="2375" t="str">
        <f t="shared" si="6"/>
        <v/>
      </c>
      <c r="U86" s="2000"/>
    </row>
    <row r="87" spans="2:21">
      <c r="B87" s="380"/>
      <c r="C87" s="1992"/>
      <c r="D87" s="1992"/>
      <c r="E87" s="1991"/>
      <c r="F87" s="1993" t="str">
        <f>IF($D87&lt;&gt;"",IF($D87="Yes",LEFT(VLOOKUP(IF(MID($E87,10,3)&lt;&gt;"VIP",$E87,LEFT($E87,15)),IP!$A$4:$N$205,11,FALSE),FIND(".",VLOOKUP(IF(MID($E87,10,3)&lt;&gt;"VIP",$E87,LEFT($E87,15)),IP!$A$4:$N$205,11,FALSE))-1),""),"")</f>
        <v/>
      </c>
      <c r="G87" s="1994" t="str">
        <f>IF($D87&lt;&gt;"",
          IF($D87="Yes",VLOOKUP(IF(MID($E87,10,3)&lt;&gt;"VIP",$E87,LEFT($E87,15)),IP!$A$4:$N$205,14,FALSE),
                     IF($D87="No", IFERROR(VLOOKUP($F87,'Host Reference'!$A$3:$B$93,2,FALSE),""),
                          VLOOKUP($F87,'Host Reference'!$A$3:$C$93,2,FALSE))),"")</f>
        <v/>
      </c>
      <c r="H87" s="1995" t="str">
        <f t="shared" si="5"/>
        <v/>
      </c>
      <c r="I87" s="1991"/>
      <c r="J87" s="1991"/>
      <c r="K87" s="2938" t="str">
        <f>IF($I87&lt;&gt;"",
    IF(LEFT(I87,4)="Test","tbcilproxy",
        IF(LEFT(I87, 4)="Prod",CONCATENATE("bcilproxy", CHAR(10),"bctxproxy"),
                 IF($I87="Yes",LEFT(VLOOKUP(IF(MID($J87,10,3)&lt;&gt;"VIP",$J87,LEFT($J87,15)),IP!$A$4:$N$205,11,FALSE),FIND(".",VLOOKUP(IF(MID($J87,10,3)&lt;&gt;"VIP",$J87,LEFT($J87,15)),IP!$A$4:$N$205,11,FALSE))-1),""))),"")</f>
        <v/>
      </c>
      <c r="L87" s="2938" t="str">
        <f>IF($I87&lt;&gt;"",
        IF($I87="Prod BlueCoat", VLOOKUP($I87,'Host Reference'!$A$3:$C$110,3,FALSE),
                IF($I87="Test BlueCoat", VLOOKUP($I87,'Host Reference'!$A$3:$C$110,3,FALSE),
             IF($I87="Yes",VLOOKUP(IF(MID($J87,10,3)&lt;&gt;"VIP",$J87,LEFT($J87,15)),IP!$A$4:$N$205,14,FALSE),
                     IF($I87="No", IFERROR(VLOOKUP($K87,'Host Reference'!$A$3:$C$110,3,FALSE),""),
                            VLOOKUP($K87,'Host Reference'!$A$3:$C$110,3,FALSE))))),"")</f>
        <v/>
      </c>
      <c r="M87" s="1991"/>
      <c r="N87" s="1991"/>
      <c r="O87" s="1991"/>
      <c r="P87" s="1991"/>
      <c r="Q87" s="2950"/>
      <c r="R87" s="1996"/>
      <c r="S87" s="2916" t="str">
        <f t="shared" si="4"/>
        <v/>
      </c>
      <c r="T87" s="2375" t="str">
        <f t="shared" si="6"/>
        <v/>
      </c>
      <c r="U87" s="2000"/>
    </row>
    <row r="88" spans="2:21">
      <c r="B88" s="380"/>
      <c r="C88" s="1992"/>
      <c r="D88" s="1992"/>
      <c r="E88" s="1991"/>
      <c r="F88" s="1993" t="str">
        <f>IF($D88&lt;&gt;"",IF($D88="Yes",LEFT(VLOOKUP(IF(MID($E88,10,3)&lt;&gt;"VIP",$E88,LEFT($E88,15)),IP!$A$4:$N$205,11,FALSE),FIND(".",VLOOKUP(IF(MID($E88,10,3)&lt;&gt;"VIP",$E88,LEFT($E88,15)),IP!$A$4:$N$205,11,FALSE))-1),""),"")</f>
        <v/>
      </c>
      <c r="G88" s="1994" t="str">
        <f>IF($D88&lt;&gt;"",
          IF($D88="Yes",VLOOKUP(IF(MID($E88,10,3)&lt;&gt;"VIP",$E88,LEFT($E88,15)),IP!$A$4:$N$205,14,FALSE),
                     IF($D88="No", IFERROR(VLOOKUP($F88,'Host Reference'!$A$3:$B$93,2,FALSE),""),
                          VLOOKUP($F88,'Host Reference'!$A$3:$C$93,2,FALSE))),"")</f>
        <v/>
      </c>
      <c r="H88" s="1995" t="str">
        <f t="shared" si="5"/>
        <v/>
      </c>
      <c r="I88" s="1991"/>
      <c r="J88" s="1991"/>
      <c r="K88" s="2938" t="str">
        <f>IF($I88&lt;&gt;"",
    IF(LEFT(I88,4)="Test","tbcilproxy",
        IF(LEFT(I88, 4)="Prod",CONCATENATE("bcilproxy", CHAR(10),"bctxproxy"),
                 IF($I88="Yes",LEFT(VLOOKUP(IF(MID($J88,10,3)&lt;&gt;"VIP",$J88,LEFT($J88,15)),IP!$A$4:$N$205,11,FALSE),FIND(".",VLOOKUP(IF(MID($J88,10,3)&lt;&gt;"VIP",$J88,LEFT($J88,15)),IP!$A$4:$N$205,11,FALSE))-1),""))),"")</f>
        <v/>
      </c>
      <c r="L88" s="2938" t="str">
        <f>IF($I88&lt;&gt;"",
        IF($I88="Prod BlueCoat", VLOOKUP($I88,'Host Reference'!$A$3:$C$110,3,FALSE),
                IF($I88="Test BlueCoat", VLOOKUP($I88,'Host Reference'!$A$3:$C$110,3,FALSE),
             IF($I88="Yes",VLOOKUP(IF(MID($J88,10,3)&lt;&gt;"VIP",$J88,LEFT($J88,15)),IP!$A$4:$N$205,14,FALSE),
                     IF($I88="No", IFERROR(VLOOKUP($K88,'Host Reference'!$A$3:$C$110,3,FALSE),""),
                            VLOOKUP($K88,'Host Reference'!$A$3:$C$110,3,FALSE))))),"")</f>
        <v/>
      </c>
      <c r="M88" s="1991"/>
      <c r="N88" s="1991"/>
      <c r="O88" s="1991"/>
      <c r="P88" s="1991"/>
      <c r="Q88" s="2950"/>
      <c r="R88" s="1996"/>
      <c r="S88" s="2916" t="str">
        <f t="shared" si="4"/>
        <v/>
      </c>
      <c r="T88" s="2375" t="str">
        <f t="shared" si="6"/>
        <v/>
      </c>
      <c r="U88" s="2000"/>
    </row>
    <row r="89" spans="2:21">
      <c r="B89" s="380"/>
      <c r="C89" s="1992"/>
      <c r="D89" s="1992"/>
      <c r="E89" s="1991"/>
      <c r="F89" s="1993" t="str">
        <f>IF($D89&lt;&gt;"",IF($D89="Yes",LEFT(VLOOKUP(IF(MID($E89,10,3)&lt;&gt;"VIP",$E89,LEFT($E89,15)),IP!$A$4:$N$205,11,FALSE),FIND(".",VLOOKUP(IF(MID($E89,10,3)&lt;&gt;"VIP",$E89,LEFT($E89,15)),IP!$A$4:$N$205,11,FALSE))-1),""),"")</f>
        <v/>
      </c>
      <c r="G89" s="1994" t="str">
        <f>IF($D89&lt;&gt;"",
          IF($D89="Yes",VLOOKUP(IF(MID($E89,10,3)&lt;&gt;"VIP",$E89,LEFT($E89,15)),IP!$A$4:$N$205,14,FALSE),
                     IF($D89="No", IFERROR(VLOOKUP($F89,'Host Reference'!$A$3:$B$93,2,FALSE),""),
                          VLOOKUP($F89,'Host Reference'!$A$3:$C$93,2,FALSE))),"")</f>
        <v/>
      </c>
      <c r="H89" s="1995" t="str">
        <f t="shared" si="5"/>
        <v/>
      </c>
      <c r="I89" s="1991"/>
      <c r="J89" s="1991"/>
      <c r="K89" s="2938" t="str">
        <f>IF($I89&lt;&gt;"",
    IF(LEFT(I89,4)="Test","tbcilproxy",
        IF(LEFT(I89, 4)="Prod",CONCATENATE("bcilproxy", CHAR(10),"bctxproxy"),
                 IF($I89="Yes",LEFT(VLOOKUP(IF(MID($J89,10,3)&lt;&gt;"VIP",$J89,LEFT($J89,15)),IP!$A$4:$N$205,11,FALSE),FIND(".",VLOOKUP(IF(MID($J89,10,3)&lt;&gt;"VIP",$J89,LEFT($J89,15)),IP!$A$4:$N$205,11,FALSE))-1),""))),"")</f>
        <v/>
      </c>
      <c r="L89" s="2938" t="str">
        <f>IF($I89&lt;&gt;"",
        IF($I89="Prod BlueCoat", VLOOKUP($I89,'Host Reference'!$A$3:$C$110,3,FALSE),
                IF($I89="Test BlueCoat", VLOOKUP($I89,'Host Reference'!$A$3:$C$110,3,FALSE),
             IF($I89="Yes",VLOOKUP(IF(MID($J89,10,3)&lt;&gt;"VIP",$J89,LEFT($J89,15)),IP!$A$4:$N$205,14,FALSE),
                     IF($I89="No", IFERROR(VLOOKUP($K89,'Host Reference'!$A$3:$C$110,3,FALSE),""),
                            VLOOKUP($K89,'Host Reference'!$A$3:$C$110,3,FALSE))))),"")</f>
        <v/>
      </c>
      <c r="M89" s="1991"/>
      <c r="N89" s="1991"/>
      <c r="O89" s="1991"/>
      <c r="P89" s="1991"/>
      <c r="Q89" s="2950"/>
      <c r="R89" s="1996"/>
      <c r="S89" s="2916" t="str">
        <f t="shared" si="4"/>
        <v/>
      </c>
      <c r="T89" s="2375" t="str">
        <f t="shared" si="6"/>
        <v/>
      </c>
      <c r="U89" s="2000"/>
    </row>
    <row r="90" spans="2:21">
      <c r="B90" s="380"/>
      <c r="C90" s="1992"/>
      <c r="D90" s="1992"/>
      <c r="E90" s="1991"/>
      <c r="F90" s="1993" t="str">
        <f>IF($D90&lt;&gt;"",IF($D90="Yes",LEFT(VLOOKUP(IF(MID($E90,10,3)&lt;&gt;"VIP",$E90,LEFT($E90,15)),IP!$A$4:$N$205,11,FALSE),FIND(".",VLOOKUP(IF(MID($E90,10,3)&lt;&gt;"VIP",$E90,LEFT($E90,15)),IP!$A$4:$N$205,11,FALSE))-1),""),"")</f>
        <v/>
      </c>
      <c r="G90" s="1994" t="str">
        <f>IF($D90&lt;&gt;"",
          IF($D90="Yes",VLOOKUP(IF(MID($E90,10,3)&lt;&gt;"VIP",$E90,LEFT($E90,15)),IP!$A$4:$N$205,14,FALSE),
                     IF($D90="No", IFERROR(VLOOKUP($F90,'Host Reference'!$A$3:$B$93,2,FALSE),""),
                          VLOOKUP($F90,'Host Reference'!$A$3:$C$93,2,FALSE))),"")</f>
        <v/>
      </c>
      <c r="H90" s="1995" t="str">
        <f t="shared" si="5"/>
        <v/>
      </c>
      <c r="I90" s="1991"/>
      <c r="J90" s="1991"/>
      <c r="K90" s="2938" t="str">
        <f>IF($I90&lt;&gt;"",
    IF(LEFT(I90,4)="Test","tbcilproxy",
        IF(LEFT(I90, 4)="Prod",CONCATENATE("bcilproxy", CHAR(10),"bctxproxy"),
                 IF($I90="Yes",LEFT(VLOOKUP(IF(MID($J90,10,3)&lt;&gt;"VIP",$J90,LEFT($J90,15)),IP!$A$4:$N$205,11,FALSE),FIND(".",VLOOKUP(IF(MID($J90,10,3)&lt;&gt;"VIP",$J90,LEFT($J90,15)),IP!$A$4:$N$205,11,FALSE))-1),""))),"")</f>
        <v/>
      </c>
      <c r="L90" s="2938" t="str">
        <f>IF($I90&lt;&gt;"",
        IF($I90="Prod BlueCoat", VLOOKUP($I90,'Host Reference'!$A$3:$C$110,3,FALSE),
                IF($I90="Test BlueCoat", VLOOKUP($I90,'Host Reference'!$A$3:$C$110,3,FALSE),
             IF($I90="Yes",VLOOKUP(IF(MID($J90,10,3)&lt;&gt;"VIP",$J90,LEFT($J90,15)),IP!$A$4:$N$205,14,FALSE),
                     IF($I90="No", IFERROR(VLOOKUP($K90,'Host Reference'!$A$3:$C$110,3,FALSE),""),
                            VLOOKUP($K90,'Host Reference'!$A$3:$C$110,3,FALSE))))),"")</f>
        <v/>
      </c>
      <c r="M90" s="1991"/>
      <c r="N90" s="1991"/>
      <c r="O90" s="1991"/>
      <c r="P90" s="1991"/>
      <c r="Q90" s="2950"/>
      <c r="R90" s="1996"/>
      <c r="S90" s="2916" t="str">
        <f t="shared" si="4"/>
        <v/>
      </c>
      <c r="T90" s="2375" t="str">
        <f t="shared" si="6"/>
        <v/>
      </c>
      <c r="U90" s="2000"/>
    </row>
    <row r="91" spans="2:21">
      <c r="B91" s="380"/>
      <c r="C91" s="1992"/>
      <c r="D91" s="1992"/>
      <c r="E91" s="1991"/>
      <c r="F91" s="1993" t="str">
        <f>IF($D91&lt;&gt;"",IF($D91="Yes",LEFT(VLOOKUP(IF(MID($E91,10,3)&lt;&gt;"VIP",$E91,LEFT($E91,15)),IP!$A$4:$N$205,11,FALSE),FIND(".",VLOOKUP(IF(MID($E91,10,3)&lt;&gt;"VIP",$E91,LEFT($E91,15)),IP!$A$4:$N$205,11,FALSE))-1),""),"")</f>
        <v/>
      </c>
      <c r="G91" s="1994" t="str">
        <f>IF($D91&lt;&gt;"",
          IF($D91="Yes",VLOOKUP(IF(MID($E91,10,3)&lt;&gt;"VIP",$E91,LEFT($E91,15)),IP!$A$4:$N$205,14,FALSE),
                     IF($D91="No", IFERROR(VLOOKUP($F91,'Host Reference'!$A$3:$B$93,2,FALSE),""),
                          VLOOKUP($F91,'Host Reference'!$A$3:$C$93,2,FALSE))),"")</f>
        <v/>
      </c>
      <c r="H91" s="1995" t="str">
        <f t="shared" si="5"/>
        <v/>
      </c>
      <c r="I91" s="1991"/>
      <c r="J91" s="1991"/>
      <c r="K91" s="2938" t="str">
        <f>IF($I91&lt;&gt;"",
    IF(LEFT(I91,4)="Test","tbcilproxy",
        IF(LEFT(I91, 4)="Prod",CONCATENATE("bcilproxy", CHAR(10),"bctxproxy"),
                 IF($I91="Yes",LEFT(VLOOKUP(IF(MID($J91,10,3)&lt;&gt;"VIP",$J91,LEFT($J91,15)),IP!$A$4:$N$205,11,FALSE),FIND(".",VLOOKUP(IF(MID($J91,10,3)&lt;&gt;"VIP",$J91,LEFT($J91,15)),IP!$A$4:$N$205,11,FALSE))-1),""))),"")</f>
        <v/>
      </c>
      <c r="L91" s="2938" t="str">
        <f>IF($I91&lt;&gt;"",
        IF($I91="Prod BlueCoat", VLOOKUP($I91,'Host Reference'!$A$3:$C$110,3,FALSE),
                IF($I91="Test BlueCoat", VLOOKUP($I91,'Host Reference'!$A$3:$C$110,3,FALSE),
             IF($I91="Yes",VLOOKUP(IF(MID($J91,10,3)&lt;&gt;"VIP",$J91,LEFT($J91,15)),IP!$A$4:$N$205,14,FALSE),
                     IF($I91="No", IFERROR(VLOOKUP($K91,'Host Reference'!$A$3:$C$110,3,FALSE),""),
                            VLOOKUP($K91,'Host Reference'!$A$3:$C$110,3,FALSE))))),"")</f>
        <v/>
      </c>
      <c r="M91" s="1991"/>
      <c r="N91" s="1991"/>
      <c r="O91" s="1991"/>
      <c r="P91" s="1991"/>
      <c r="Q91" s="2950"/>
      <c r="R91" s="1996"/>
      <c r="S91" s="2916" t="str">
        <f t="shared" si="4"/>
        <v/>
      </c>
      <c r="T91" s="2375" t="str">
        <f t="shared" si="6"/>
        <v/>
      </c>
      <c r="U91" s="2000"/>
    </row>
    <row r="92" spans="2:21">
      <c r="B92" s="380"/>
      <c r="C92" s="1992"/>
      <c r="D92" s="1992"/>
      <c r="E92" s="1991"/>
      <c r="F92" s="1993" t="str">
        <f>IF($D92&lt;&gt;"",IF($D92="Yes",LEFT(VLOOKUP(IF(MID($E92,10,3)&lt;&gt;"VIP",$E92,LEFT($E92,15)),IP!$A$4:$N$205,11,FALSE),FIND(".",VLOOKUP(IF(MID($E92,10,3)&lt;&gt;"VIP",$E92,LEFT($E92,15)),IP!$A$4:$N$205,11,FALSE))-1),""),"")</f>
        <v/>
      </c>
      <c r="G92" s="1994" t="str">
        <f>IF($D92&lt;&gt;"",
          IF($D92="Yes",VLOOKUP(IF(MID($E92,10,3)&lt;&gt;"VIP",$E92,LEFT($E92,15)),IP!$A$4:$N$205,14,FALSE),
                     IF($D92="No", IFERROR(VLOOKUP($F92,'Host Reference'!$A$3:$B$93,2,FALSE),""),
                          VLOOKUP($F92,'Host Reference'!$A$3:$C$93,2,FALSE))),"")</f>
        <v/>
      </c>
      <c r="H92" s="1995" t="str">
        <f t="shared" si="5"/>
        <v/>
      </c>
      <c r="I92" s="1991"/>
      <c r="J92" s="1991"/>
      <c r="K92" s="2938" t="str">
        <f>IF($I92&lt;&gt;"",
    IF(LEFT(I92,4)="Test","tbcilproxy",
        IF(LEFT(I92, 4)="Prod",CONCATENATE("bcilproxy", CHAR(10),"bctxproxy"),
                 IF($I92="Yes",LEFT(VLOOKUP(IF(MID($J92,10,3)&lt;&gt;"VIP",$J92,LEFT($J92,15)),IP!$A$4:$N$205,11,FALSE),FIND(".",VLOOKUP(IF(MID($J92,10,3)&lt;&gt;"VIP",$J92,LEFT($J92,15)),IP!$A$4:$N$205,11,FALSE))-1),""))),"")</f>
        <v/>
      </c>
      <c r="L92" s="2938" t="str">
        <f>IF($I92&lt;&gt;"",
        IF($I92="Prod BlueCoat", VLOOKUP($I92,'Host Reference'!$A$3:$C$110,3,FALSE),
                IF($I92="Test BlueCoat", VLOOKUP($I92,'Host Reference'!$A$3:$C$110,3,FALSE),
             IF($I92="Yes",VLOOKUP(IF(MID($J92,10,3)&lt;&gt;"VIP",$J92,LEFT($J92,15)),IP!$A$4:$N$205,14,FALSE),
                     IF($I92="No", IFERROR(VLOOKUP($K92,'Host Reference'!$A$3:$C$110,3,FALSE),""),
                            VLOOKUP($K92,'Host Reference'!$A$3:$C$110,3,FALSE))))),"")</f>
        <v/>
      </c>
      <c r="M92" s="1991"/>
      <c r="N92" s="1991"/>
      <c r="O92" s="1991"/>
      <c r="P92" s="1991"/>
      <c r="Q92" s="2950"/>
      <c r="R92" s="1996"/>
      <c r="S92" s="2916" t="str">
        <f t="shared" si="4"/>
        <v/>
      </c>
      <c r="T92" s="2375" t="str">
        <f t="shared" si="6"/>
        <v/>
      </c>
      <c r="U92" s="2000"/>
    </row>
    <row r="93" spans="2:21">
      <c r="B93" s="380"/>
      <c r="C93" s="1992"/>
      <c r="D93" s="1992"/>
      <c r="E93" s="1991"/>
      <c r="F93" s="1993" t="str">
        <f>IF($D93&lt;&gt;"",IF($D93="Yes",LEFT(VLOOKUP(IF(MID($E93,10,3)&lt;&gt;"VIP",$E93,LEFT($E93,15)),IP!$A$4:$N$205,11,FALSE),FIND(".",VLOOKUP(IF(MID($E93,10,3)&lt;&gt;"VIP",$E93,LEFT($E93,15)),IP!$A$4:$N$205,11,FALSE))-1),""),"")</f>
        <v/>
      </c>
      <c r="G93" s="1994" t="str">
        <f>IF($D93&lt;&gt;"",
          IF($D93="Yes",VLOOKUP(IF(MID($E93,10,3)&lt;&gt;"VIP",$E93,LEFT($E93,15)),IP!$A$4:$N$205,14,FALSE),
                     IF($D93="No", IFERROR(VLOOKUP($F93,'Host Reference'!$A$3:$B$93,2,FALSE),""),
                          VLOOKUP($F93,'Host Reference'!$A$3:$C$93,2,FALSE))),"")</f>
        <v/>
      </c>
      <c r="H93" s="1995" t="str">
        <f t="shared" si="5"/>
        <v/>
      </c>
      <c r="I93" s="1991"/>
      <c r="J93" s="1991"/>
      <c r="K93" s="2938" t="str">
        <f>IF($I93&lt;&gt;"",
    IF(LEFT(I93,4)="Test","tbcilproxy",
        IF(LEFT(I93, 4)="Prod",CONCATENATE("bcilproxy", CHAR(10),"bctxproxy"),
                 IF($I93="Yes",LEFT(VLOOKUP(IF(MID($J93,10,3)&lt;&gt;"VIP",$J93,LEFT($J93,15)),IP!$A$4:$N$205,11,FALSE),FIND(".",VLOOKUP(IF(MID($J93,10,3)&lt;&gt;"VIP",$J93,LEFT($J93,15)),IP!$A$4:$N$205,11,FALSE))-1),""))),"")</f>
        <v/>
      </c>
      <c r="L93" s="2938" t="str">
        <f>IF($I93&lt;&gt;"",
        IF($I93="Prod BlueCoat", VLOOKUP($I93,'Host Reference'!$A$3:$C$110,3,FALSE),
                IF($I93="Test BlueCoat", VLOOKUP($I93,'Host Reference'!$A$3:$C$110,3,FALSE),
             IF($I93="Yes",VLOOKUP(IF(MID($J93,10,3)&lt;&gt;"VIP",$J93,LEFT($J93,15)),IP!$A$4:$N$205,14,FALSE),
                     IF($I93="No", IFERROR(VLOOKUP($K93,'Host Reference'!$A$3:$C$110,3,FALSE),""),
                            VLOOKUP($K93,'Host Reference'!$A$3:$C$110,3,FALSE))))),"")</f>
        <v/>
      </c>
      <c r="M93" s="1991"/>
      <c r="N93" s="1991"/>
      <c r="O93" s="1991"/>
      <c r="P93" s="1991"/>
      <c r="Q93" s="2950"/>
      <c r="R93" s="1996"/>
      <c r="S93" s="2916" t="str">
        <f t="shared" si="4"/>
        <v/>
      </c>
      <c r="T93" s="2375" t="str">
        <f t="shared" si="6"/>
        <v/>
      </c>
      <c r="U93" s="2000"/>
    </row>
    <row r="94" spans="2:21">
      <c r="B94" s="380"/>
      <c r="C94" s="1992"/>
      <c r="D94" s="1992"/>
      <c r="E94" s="1991"/>
      <c r="F94" s="1993" t="str">
        <f>IF($D94&lt;&gt;"",IF($D94="Yes",LEFT(VLOOKUP(IF(MID($E94,10,3)&lt;&gt;"VIP",$E94,LEFT($E94,15)),IP!$A$4:$N$205,11,FALSE),FIND(".",VLOOKUP(IF(MID($E94,10,3)&lt;&gt;"VIP",$E94,LEFT($E94,15)),IP!$A$4:$N$205,11,FALSE))-1),""),"")</f>
        <v/>
      </c>
      <c r="G94" s="1994" t="str">
        <f>IF($D94&lt;&gt;"",
          IF($D94="Yes",VLOOKUP(IF(MID($E94,10,3)&lt;&gt;"VIP",$E94,LEFT($E94,15)),IP!$A$4:$N$205,14,FALSE),
                     IF($D94="No", IFERROR(VLOOKUP($F94,'Host Reference'!$A$3:$B$93,2,FALSE),""),
                          VLOOKUP($F94,'Host Reference'!$A$3:$C$93,2,FALSE))),"")</f>
        <v/>
      </c>
      <c r="H94" s="1995" t="str">
        <f t="shared" si="5"/>
        <v/>
      </c>
      <c r="I94" s="1991"/>
      <c r="J94" s="1991"/>
      <c r="K94" s="2938" t="str">
        <f>IF($I94&lt;&gt;"",
    IF(LEFT(I94,4)="Test","tbcilproxy",
        IF(LEFT(I94, 4)="Prod",CONCATENATE("bcilproxy", CHAR(10),"bctxproxy"),
                 IF($I94="Yes",LEFT(VLOOKUP(IF(MID($J94,10,3)&lt;&gt;"VIP",$J94,LEFT($J94,15)),IP!$A$4:$N$205,11,FALSE),FIND(".",VLOOKUP(IF(MID($J94,10,3)&lt;&gt;"VIP",$J94,LEFT($J94,15)),IP!$A$4:$N$205,11,FALSE))-1),""))),"")</f>
        <v/>
      </c>
      <c r="L94" s="2938" t="str">
        <f>IF($I94&lt;&gt;"",
        IF($I94="Prod BlueCoat", VLOOKUP($I94,'Host Reference'!$A$3:$C$110,3,FALSE),
                IF($I94="Test BlueCoat", VLOOKUP($I94,'Host Reference'!$A$3:$C$110,3,FALSE),
             IF($I94="Yes",VLOOKUP(IF(MID($J94,10,3)&lt;&gt;"VIP",$J94,LEFT($J94,15)),IP!$A$4:$N$205,14,FALSE),
                     IF($I94="No", IFERROR(VLOOKUP($K94,'Host Reference'!$A$3:$C$110,3,FALSE),""),
                            VLOOKUP($K94,'Host Reference'!$A$3:$C$110,3,FALSE))))),"")</f>
        <v/>
      </c>
      <c r="M94" s="1991"/>
      <c r="N94" s="1991"/>
      <c r="O94" s="1991"/>
      <c r="P94" s="1991"/>
      <c r="Q94" s="2950"/>
      <c r="R94" s="1996"/>
      <c r="S94" s="2916" t="str">
        <f t="shared" si="4"/>
        <v/>
      </c>
      <c r="T94" s="2375" t="str">
        <f t="shared" si="6"/>
        <v/>
      </c>
      <c r="U94" s="2000"/>
    </row>
    <row r="95" spans="2:21">
      <c r="B95" s="380"/>
      <c r="C95" s="1992"/>
      <c r="D95" s="1992"/>
      <c r="E95" s="1991"/>
      <c r="F95" s="1993" t="str">
        <f>IF($D95&lt;&gt;"",IF($D95="Yes",LEFT(VLOOKUP(IF(MID($E95,10,3)&lt;&gt;"VIP",$E95,LEFT($E95,15)),IP!$A$4:$N$205,11,FALSE),FIND(".",VLOOKUP(IF(MID($E95,10,3)&lt;&gt;"VIP",$E95,LEFT($E95,15)),IP!$A$4:$N$205,11,FALSE))-1),""),"")</f>
        <v/>
      </c>
      <c r="G95" s="1994" t="str">
        <f>IF($D95&lt;&gt;"",
          IF($D95="Yes",VLOOKUP(IF(MID($E95,10,3)&lt;&gt;"VIP",$E95,LEFT($E95,15)),IP!$A$4:$N$205,14,FALSE),
                     IF($D95="No", IFERROR(VLOOKUP($F95,'Host Reference'!$A$3:$B$93,2,FALSE),""),
                          VLOOKUP($F95,'Host Reference'!$A$3:$C$93,2,FALSE))),"")</f>
        <v/>
      </c>
      <c r="H95" s="1995" t="str">
        <f t="shared" si="5"/>
        <v/>
      </c>
      <c r="I95" s="1991"/>
      <c r="J95" s="1991"/>
      <c r="K95" s="2938" t="str">
        <f>IF($I95&lt;&gt;"",
    IF(LEFT(I95,4)="Test","tbcilproxy",
        IF(LEFT(I95, 4)="Prod",CONCATENATE("bcilproxy", CHAR(10),"bctxproxy"),
                 IF($I95="Yes",LEFT(VLOOKUP(IF(MID($J95,10,3)&lt;&gt;"VIP",$J95,LEFT($J95,15)),IP!$A$4:$N$205,11,FALSE),FIND(".",VLOOKUP(IF(MID($J95,10,3)&lt;&gt;"VIP",$J95,LEFT($J95,15)),IP!$A$4:$N$205,11,FALSE))-1),""))),"")</f>
        <v/>
      </c>
      <c r="L95" s="2938" t="str">
        <f>IF($I95&lt;&gt;"",
        IF($I95="Prod BlueCoat", VLOOKUP($I95,'Host Reference'!$A$3:$C$110,3,FALSE),
                IF($I95="Test BlueCoat", VLOOKUP($I95,'Host Reference'!$A$3:$C$110,3,FALSE),
             IF($I95="Yes",VLOOKUP(IF(MID($J95,10,3)&lt;&gt;"VIP",$J95,LEFT($J95,15)),IP!$A$4:$N$205,14,FALSE),
                     IF($I95="No", IFERROR(VLOOKUP($K95,'Host Reference'!$A$3:$C$110,3,FALSE),""),
                            VLOOKUP($K95,'Host Reference'!$A$3:$C$110,3,FALSE))))),"")</f>
        <v/>
      </c>
      <c r="M95" s="1991"/>
      <c r="N95" s="1991"/>
      <c r="O95" s="1991"/>
      <c r="P95" s="1991"/>
      <c r="Q95" s="2950"/>
      <c r="R95" s="1996"/>
      <c r="S95" s="2916" t="str">
        <f t="shared" si="4"/>
        <v/>
      </c>
      <c r="T95" s="2375" t="str">
        <f t="shared" si="6"/>
        <v/>
      </c>
      <c r="U95" s="2000"/>
    </row>
    <row r="96" spans="2:21">
      <c r="B96" s="380"/>
      <c r="C96" s="1992"/>
      <c r="D96" s="1992"/>
      <c r="E96" s="1991"/>
      <c r="F96" s="1993" t="str">
        <f>IF($D96&lt;&gt;"",IF($D96="Yes",LEFT(VLOOKUP(IF(MID($E96,10,3)&lt;&gt;"VIP",$E96,LEFT($E96,15)),IP!$A$4:$N$205,11,FALSE),FIND(".",VLOOKUP(IF(MID($E96,10,3)&lt;&gt;"VIP",$E96,LEFT($E96,15)),IP!$A$4:$N$205,11,FALSE))-1),""),"")</f>
        <v/>
      </c>
      <c r="G96" s="1994" t="str">
        <f>IF($D96&lt;&gt;"",
          IF($D96="Yes",VLOOKUP(IF(MID($E96,10,3)&lt;&gt;"VIP",$E96,LEFT($E96,15)),IP!$A$4:$N$205,14,FALSE),
                     IF($D96="No", IFERROR(VLOOKUP($F96,'Host Reference'!$A$3:$B$93,2,FALSE),""),
                          VLOOKUP($F96,'Host Reference'!$A$3:$C$93,2,FALSE))),"")</f>
        <v/>
      </c>
      <c r="H96" s="1995" t="str">
        <f t="shared" si="5"/>
        <v/>
      </c>
      <c r="I96" s="1991"/>
      <c r="J96" s="1991"/>
      <c r="K96" s="2938" t="str">
        <f>IF($I96&lt;&gt;"",
    IF(LEFT(I96,4)="Test","tbcilproxy",
        IF(LEFT(I96, 4)="Prod",CONCATENATE("bcilproxy", CHAR(10),"bctxproxy"),
                 IF($I96="Yes",LEFT(VLOOKUP(IF(MID($J96,10,3)&lt;&gt;"VIP",$J96,LEFT($J96,15)),IP!$A$4:$N$205,11,FALSE),FIND(".",VLOOKUP(IF(MID($J96,10,3)&lt;&gt;"VIP",$J96,LEFT($J96,15)),IP!$A$4:$N$205,11,FALSE))-1),""))),"")</f>
        <v/>
      </c>
      <c r="L96" s="2938" t="str">
        <f>IF($I96&lt;&gt;"",
        IF($I96="Prod BlueCoat", VLOOKUP($I96,'Host Reference'!$A$3:$C$110,3,FALSE),
                IF($I96="Test BlueCoat", VLOOKUP($I96,'Host Reference'!$A$3:$C$110,3,FALSE),
             IF($I96="Yes",VLOOKUP(IF(MID($J96,10,3)&lt;&gt;"VIP",$J96,LEFT($J96,15)),IP!$A$4:$N$205,14,FALSE),
                     IF($I96="No", IFERROR(VLOOKUP($K96,'Host Reference'!$A$3:$C$110,3,FALSE),""),
                            VLOOKUP($K96,'Host Reference'!$A$3:$C$110,3,FALSE))))),"")</f>
        <v/>
      </c>
      <c r="M96" s="1991"/>
      <c r="N96" s="1991"/>
      <c r="O96" s="1991"/>
      <c r="P96" s="1991"/>
      <c r="Q96" s="2950"/>
      <c r="R96" s="1996"/>
      <c r="S96" s="2916" t="str">
        <f t="shared" si="4"/>
        <v/>
      </c>
      <c r="T96" s="2375" t="str">
        <f t="shared" si="6"/>
        <v/>
      </c>
      <c r="U96" s="2000"/>
    </row>
    <row r="97" spans="2:21">
      <c r="B97" s="380"/>
      <c r="C97" s="1992"/>
      <c r="D97" s="1992"/>
      <c r="E97" s="1991"/>
      <c r="F97" s="1993" t="str">
        <f>IF($D97&lt;&gt;"",IF($D97="Yes",LEFT(VLOOKUP(IF(MID($E97,10,3)&lt;&gt;"VIP",$E97,LEFT($E97,15)),IP!$A$4:$N$205,11,FALSE),FIND(".",VLOOKUP(IF(MID($E97,10,3)&lt;&gt;"VIP",$E97,LEFT($E97,15)),IP!$A$4:$N$205,11,FALSE))-1),""),"")</f>
        <v/>
      </c>
      <c r="G97" s="1994" t="str">
        <f>IF($D97&lt;&gt;"",
          IF($D97="Yes",VLOOKUP(IF(MID($E97,10,3)&lt;&gt;"VIP",$E97,LEFT($E97,15)),IP!$A$4:$N$205,14,FALSE),
                     IF($D97="No", IFERROR(VLOOKUP($F97,'Host Reference'!$A$3:$B$93,2,FALSE),""),
                          VLOOKUP($F97,'Host Reference'!$A$3:$C$93,2,FALSE))),"")</f>
        <v/>
      </c>
      <c r="H97" s="1995" t="str">
        <f t="shared" si="5"/>
        <v/>
      </c>
      <c r="I97" s="1991"/>
      <c r="J97" s="1991"/>
      <c r="K97" s="2938" t="str">
        <f>IF($I97&lt;&gt;"",
    IF(LEFT(I97,4)="Test","tbcilproxy",
        IF(LEFT(I97, 4)="Prod",CONCATENATE("bcilproxy", CHAR(10),"bctxproxy"),
                 IF($I97="Yes",LEFT(VLOOKUP(IF(MID($J97,10,3)&lt;&gt;"VIP",$J97,LEFT($J97,15)),IP!$A$4:$N$205,11,FALSE),FIND(".",VLOOKUP(IF(MID($J97,10,3)&lt;&gt;"VIP",$J97,LEFT($J97,15)),IP!$A$4:$N$205,11,FALSE))-1),""))),"")</f>
        <v/>
      </c>
      <c r="L97" s="2938" t="str">
        <f>IF($I97&lt;&gt;"",
        IF($I97="Prod BlueCoat", VLOOKUP($I97,'Host Reference'!$A$3:$C$110,3,FALSE),
                IF($I97="Test BlueCoat", VLOOKUP($I97,'Host Reference'!$A$3:$C$110,3,FALSE),
             IF($I97="Yes",VLOOKUP(IF(MID($J97,10,3)&lt;&gt;"VIP",$J97,LEFT($J97,15)),IP!$A$4:$N$205,14,FALSE),
                     IF($I97="No", IFERROR(VLOOKUP($K97,'Host Reference'!$A$3:$C$110,3,FALSE),""),
                            VLOOKUP($K97,'Host Reference'!$A$3:$C$110,3,FALSE))))),"")</f>
        <v/>
      </c>
      <c r="M97" s="1991"/>
      <c r="N97" s="1991"/>
      <c r="O97" s="1991"/>
      <c r="P97" s="1991"/>
      <c r="Q97" s="2950"/>
      <c r="R97" s="1996"/>
      <c r="S97" s="2916" t="str">
        <f t="shared" si="4"/>
        <v/>
      </c>
      <c r="T97" s="2375" t="str">
        <f t="shared" si="6"/>
        <v/>
      </c>
      <c r="U97" s="2000"/>
    </row>
    <row r="98" spans="2:21">
      <c r="B98" s="380"/>
      <c r="C98" s="1992"/>
      <c r="D98" s="1992"/>
      <c r="E98" s="1991"/>
      <c r="F98" s="1993" t="str">
        <f>IF($D98&lt;&gt;"",IF($D98="Yes",LEFT(VLOOKUP(IF(MID($E98,10,3)&lt;&gt;"VIP",$E98,LEFT($E98,15)),IP!$A$4:$N$205,11,FALSE),FIND(".",VLOOKUP(IF(MID($E98,10,3)&lt;&gt;"VIP",$E98,LEFT($E98,15)),IP!$A$4:$N$205,11,FALSE))-1),""),"")</f>
        <v/>
      </c>
      <c r="G98" s="1994" t="str">
        <f>IF($D98&lt;&gt;"",
          IF($D98="Yes",VLOOKUP(IF(MID($E98,10,3)&lt;&gt;"VIP",$E98,LEFT($E98,15)),IP!$A$4:$N$205,14,FALSE),
                     IF($D98="No", IFERROR(VLOOKUP($F98,'Host Reference'!$A$3:$B$93,2,FALSE),""),
                          VLOOKUP($F98,'Host Reference'!$A$3:$C$93,2,FALSE))),"")</f>
        <v/>
      </c>
      <c r="H98" s="1995" t="str">
        <f t="shared" si="5"/>
        <v/>
      </c>
      <c r="I98" s="1991"/>
      <c r="J98" s="1991"/>
      <c r="K98" s="2938" t="str">
        <f>IF($I98&lt;&gt;"",
    IF(LEFT(I98,4)="Test","tbcilproxy",
        IF(LEFT(I98, 4)="Prod",CONCATENATE("bcilproxy", CHAR(10),"bctxproxy"),
                 IF($I98="Yes",LEFT(VLOOKUP(IF(MID($J98,10,3)&lt;&gt;"VIP",$J98,LEFT($J98,15)),IP!$A$4:$N$205,11,FALSE),FIND(".",VLOOKUP(IF(MID($J98,10,3)&lt;&gt;"VIP",$J98,LEFT($J98,15)),IP!$A$4:$N$205,11,FALSE))-1),""))),"")</f>
        <v/>
      </c>
      <c r="L98" s="2938" t="str">
        <f>IF($I98&lt;&gt;"",
        IF($I98="Prod BlueCoat", VLOOKUP($I98,'Host Reference'!$A$3:$C$110,3,FALSE),
                IF($I98="Test BlueCoat", VLOOKUP($I98,'Host Reference'!$A$3:$C$110,3,FALSE),
             IF($I98="Yes",VLOOKUP(IF(MID($J98,10,3)&lt;&gt;"VIP",$J98,LEFT($J98,15)),IP!$A$4:$N$205,14,FALSE),
                     IF($I98="No", IFERROR(VLOOKUP($K98,'Host Reference'!$A$3:$C$110,3,FALSE),""),
                            VLOOKUP($K98,'Host Reference'!$A$3:$C$110,3,FALSE))))),"")</f>
        <v/>
      </c>
      <c r="M98" s="1991"/>
      <c r="N98" s="1991"/>
      <c r="O98" s="1991"/>
      <c r="P98" s="1991"/>
      <c r="Q98" s="2950"/>
      <c r="R98" s="1996"/>
      <c r="S98" s="2916" t="str">
        <f t="shared" si="4"/>
        <v/>
      </c>
      <c r="T98" s="2375" t="str">
        <f t="shared" si="6"/>
        <v/>
      </c>
      <c r="U98" s="2000"/>
    </row>
    <row r="99" spans="2:21">
      <c r="B99" s="380"/>
      <c r="C99" s="1992"/>
      <c r="D99" s="1992"/>
      <c r="E99" s="1991"/>
      <c r="F99" s="1993" t="str">
        <f>IF($D99&lt;&gt;"",IF($D99="Yes",LEFT(VLOOKUP(IF(MID($E99,10,3)&lt;&gt;"VIP",$E99,LEFT($E99,15)),IP!$A$4:$N$205,11,FALSE),FIND(".",VLOOKUP(IF(MID($E99,10,3)&lt;&gt;"VIP",$E99,LEFT($E99,15)),IP!$A$4:$N$205,11,FALSE))-1),""),"")</f>
        <v/>
      </c>
      <c r="G99" s="1994" t="str">
        <f>IF($D99&lt;&gt;"",
          IF($D99="Yes",VLOOKUP(IF(MID($E99,10,3)&lt;&gt;"VIP",$E99,LEFT($E99,15)),IP!$A$4:$N$205,14,FALSE),
                     IF($D99="No", IFERROR(VLOOKUP($F99,'Host Reference'!$A$3:$B$93,2,FALSE),""),
                          VLOOKUP($F99,'Host Reference'!$A$3:$C$93,2,FALSE))),"")</f>
        <v/>
      </c>
      <c r="H99" s="1995" t="str">
        <f t="shared" si="5"/>
        <v/>
      </c>
      <c r="I99" s="1991"/>
      <c r="J99" s="1991"/>
      <c r="K99" s="2938" t="str">
        <f>IF($I99&lt;&gt;"",
    IF(LEFT(I99,4)="Test","tbcilproxy",
        IF(LEFT(I99, 4)="Prod",CONCATENATE("bcilproxy", CHAR(10),"bctxproxy"),
                 IF($I99="Yes",LEFT(VLOOKUP(IF(MID($J99,10,3)&lt;&gt;"VIP",$J99,LEFT($J99,15)),IP!$A$4:$N$205,11,FALSE),FIND(".",VLOOKUP(IF(MID($J99,10,3)&lt;&gt;"VIP",$J99,LEFT($J99,15)),IP!$A$4:$N$205,11,FALSE))-1),""))),"")</f>
        <v/>
      </c>
      <c r="L99" s="2938" t="str">
        <f>IF($I99&lt;&gt;"",
        IF($I99="Prod BlueCoat", VLOOKUP($I99,'Host Reference'!$A$3:$C$110,3,FALSE),
                IF($I99="Test BlueCoat", VLOOKUP($I99,'Host Reference'!$A$3:$C$110,3,FALSE),
             IF($I99="Yes",VLOOKUP(IF(MID($J99,10,3)&lt;&gt;"VIP",$J99,LEFT($J99,15)),IP!$A$4:$N$205,14,FALSE),
                     IF($I99="No", IFERROR(VLOOKUP($K99,'Host Reference'!$A$3:$C$110,3,FALSE),""),
                            VLOOKUP($K99,'Host Reference'!$A$3:$C$110,3,FALSE))))),"")</f>
        <v/>
      </c>
      <c r="M99" s="1991"/>
      <c r="N99" s="1991"/>
      <c r="O99" s="1991"/>
      <c r="P99" s="1991"/>
      <c r="Q99" s="2950"/>
      <c r="R99" s="1996"/>
      <c r="S99" s="2916" t="str">
        <f t="shared" si="4"/>
        <v/>
      </c>
      <c r="T99" s="2375" t="str">
        <f t="shared" si="6"/>
        <v/>
      </c>
      <c r="U99" s="2000"/>
    </row>
    <row r="100" spans="2:21">
      <c r="B100" s="380"/>
      <c r="C100" s="1992"/>
      <c r="D100" s="1992"/>
      <c r="E100" s="1991"/>
      <c r="F100" s="1993" t="str">
        <f>IF($D100&lt;&gt;"",IF($D100="Yes",LEFT(VLOOKUP(IF(MID($E100,10,3)&lt;&gt;"VIP",$E100,LEFT($E100,15)),IP!$A$4:$N$205,11,FALSE),FIND(".",VLOOKUP(IF(MID($E100,10,3)&lt;&gt;"VIP",$E100,LEFT($E100,15)),IP!$A$4:$N$205,11,FALSE))-1),""),"")</f>
        <v/>
      </c>
      <c r="G100" s="1994" t="str">
        <f>IF($D100&lt;&gt;"",
          IF($D100="Yes",VLOOKUP(IF(MID($E100,10,3)&lt;&gt;"VIP",$E100,LEFT($E100,15)),IP!$A$4:$N$205,14,FALSE),
                     IF($D100="No", IFERROR(VLOOKUP($F100,'Host Reference'!$A$3:$B$93,2,FALSE),""),
                          VLOOKUP($F100,'Host Reference'!$A$3:$C$93,2,FALSE))),"")</f>
        <v/>
      </c>
      <c r="H100" s="1995" t="str">
        <f t="shared" si="5"/>
        <v/>
      </c>
      <c r="I100" s="1991"/>
      <c r="J100" s="1991"/>
      <c r="K100" s="2938" t="str">
        <f>IF($I100&lt;&gt;"",
    IF(LEFT(I100,4)="Test","tbcilproxy",
        IF(LEFT(I100, 4)="Prod",CONCATENATE("bcilproxy", CHAR(10),"bctxproxy"),
                 IF($I100="Yes",LEFT(VLOOKUP(IF(MID($J100,10,3)&lt;&gt;"VIP",$J100,LEFT($J100,15)),IP!$A$4:$N$205,11,FALSE),FIND(".",VLOOKUP(IF(MID($J100,10,3)&lt;&gt;"VIP",$J100,LEFT($J100,15)),IP!$A$4:$N$205,11,FALSE))-1),""))),"")</f>
        <v/>
      </c>
      <c r="L100" s="2938" t="str">
        <f>IF($I100&lt;&gt;"",
        IF($I100="Prod BlueCoat", VLOOKUP($I100,'Host Reference'!$A$3:$C$110,3,FALSE),
                IF($I100="Test BlueCoat", VLOOKUP($I100,'Host Reference'!$A$3:$C$110,3,FALSE),
             IF($I100="Yes",VLOOKUP(IF(MID($J100,10,3)&lt;&gt;"VIP",$J100,LEFT($J100,15)),IP!$A$4:$N$205,14,FALSE),
                     IF($I100="No", IFERROR(VLOOKUP($K100,'Host Reference'!$A$3:$C$110,3,FALSE),""),
                            VLOOKUP($K100,'Host Reference'!$A$3:$C$110,3,FALSE))))),"")</f>
        <v/>
      </c>
      <c r="M100" s="1991"/>
      <c r="N100" s="1991"/>
      <c r="O100" s="1991"/>
      <c r="P100" s="1991"/>
      <c r="Q100" s="2950"/>
      <c r="R100" s="1996"/>
      <c r="S100" s="2916" t="str">
        <f t="shared" si="4"/>
        <v/>
      </c>
      <c r="T100" s="2375" t="str">
        <f t="shared" si="6"/>
        <v/>
      </c>
      <c r="U100" s="2000"/>
    </row>
    <row r="101" spans="2:21">
      <c r="B101" s="380"/>
      <c r="C101" s="1992"/>
      <c r="D101" s="1992"/>
      <c r="E101" s="1991"/>
      <c r="F101" s="1993" t="str">
        <f>IF($D101&lt;&gt;"",IF($D101="Yes",LEFT(VLOOKUP(IF(MID($E101,10,3)&lt;&gt;"VIP",$E101,LEFT($E101,15)),IP!$A$4:$N$205,11,FALSE),FIND(".",VLOOKUP(IF(MID($E101,10,3)&lt;&gt;"VIP",$E101,LEFT($E101,15)),IP!$A$4:$N$205,11,FALSE))-1),""),"")</f>
        <v/>
      </c>
      <c r="G101" s="1994" t="str">
        <f>IF($D101&lt;&gt;"",
          IF($D101="Yes",VLOOKUP(IF(MID($E101,10,3)&lt;&gt;"VIP",$E101,LEFT($E101,15)),IP!$A$4:$N$205,14,FALSE),
                     IF($D101="No", IFERROR(VLOOKUP($F101,'Host Reference'!$A$3:$B$93,2,FALSE),""),
                          VLOOKUP($F101,'Host Reference'!$A$3:$C$93,2,FALSE))),"")</f>
        <v/>
      </c>
      <c r="H101" s="1995" t="str">
        <f t="shared" si="5"/>
        <v/>
      </c>
      <c r="I101" s="1991"/>
      <c r="J101" s="1991"/>
      <c r="K101" s="2938" t="str">
        <f>IF($I101&lt;&gt;"",
    IF(LEFT(I101,4)="Test","tbcilproxy",
        IF(LEFT(I101, 4)="Prod",CONCATENATE("bcilproxy", CHAR(10),"bctxproxy"),
                 IF($I101="Yes",LEFT(VLOOKUP(IF(MID($J101,10,3)&lt;&gt;"VIP",$J101,LEFT($J101,15)),IP!$A$4:$N$205,11,FALSE),FIND(".",VLOOKUP(IF(MID($J101,10,3)&lt;&gt;"VIP",$J101,LEFT($J101,15)),IP!$A$4:$N$205,11,FALSE))-1),""))),"")</f>
        <v/>
      </c>
      <c r="L101" s="2938" t="str">
        <f>IF($I101&lt;&gt;"",
        IF($I101="Prod BlueCoat", VLOOKUP($I101,'Host Reference'!$A$3:$C$110,3,FALSE),
                IF($I101="Test BlueCoat", VLOOKUP($I101,'Host Reference'!$A$3:$C$110,3,FALSE),
             IF($I101="Yes",VLOOKUP(IF(MID($J101,10,3)&lt;&gt;"VIP",$J101,LEFT($J101,15)),IP!$A$4:$N$205,14,FALSE),
                     IF($I101="No", IFERROR(VLOOKUP($K101,'Host Reference'!$A$3:$C$110,3,FALSE),""),
                            VLOOKUP($K101,'Host Reference'!$A$3:$C$110,3,FALSE))))),"")</f>
        <v/>
      </c>
      <c r="M101" s="1991"/>
      <c r="N101" s="1991"/>
      <c r="O101" s="1991"/>
      <c r="P101" s="1991"/>
      <c r="Q101" s="2950"/>
      <c r="R101" s="1996"/>
      <c r="S101" s="2916" t="str">
        <f t="shared" ref="S101:S132" si="7">IF($B101&lt;&gt;"",
     IF($N101=8098, inbound_requestid, ""),"")</f>
        <v/>
      </c>
      <c r="T101" s="2375" t="str">
        <f t="shared" si="6"/>
        <v/>
      </c>
      <c r="U101" s="2000"/>
    </row>
    <row r="102" spans="2:21">
      <c r="B102" s="380"/>
      <c r="C102" s="1992"/>
      <c r="D102" s="1992"/>
      <c r="E102" s="1991"/>
      <c r="F102" s="1993" t="str">
        <f>IF($D102&lt;&gt;"",IF($D102="Yes",LEFT(VLOOKUP(IF(MID($E102,10,3)&lt;&gt;"VIP",$E102,LEFT($E102,15)),IP!$A$4:$N$205,11,FALSE),FIND(".",VLOOKUP(IF(MID($E102,10,3)&lt;&gt;"VIP",$E102,LEFT($E102,15)),IP!$A$4:$N$205,11,FALSE))-1),""),"")</f>
        <v/>
      </c>
      <c r="G102" s="1994" t="str">
        <f>IF($D102&lt;&gt;"",
          IF($D102="Yes",VLOOKUP(IF(MID($E102,10,3)&lt;&gt;"VIP",$E102,LEFT($E102,15)),IP!$A$4:$N$205,14,FALSE),
                     IF($D102="No", IFERROR(VLOOKUP($F102,'Host Reference'!$A$3:$B$93,2,FALSE),""),
                          VLOOKUP($F102,'Host Reference'!$A$3:$C$93,2,FALSE))),"")</f>
        <v/>
      </c>
      <c r="H102" s="1995" t="str">
        <f t="shared" si="5"/>
        <v/>
      </c>
      <c r="I102" s="1991"/>
      <c r="J102" s="1991"/>
      <c r="K102" s="2938" t="str">
        <f>IF($I102&lt;&gt;"",
    IF(LEFT(I102,4)="Test","tbcilproxy",
        IF(LEFT(I102, 4)="Prod",CONCATENATE("bcilproxy", CHAR(10),"bctxproxy"),
                 IF($I102="Yes",LEFT(VLOOKUP(IF(MID($J102,10,3)&lt;&gt;"VIP",$J102,LEFT($J102,15)),IP!$A$4:$N$205,11,FALSE),FIND(".",VLOOKUP(IF(MID($J102,10,3)&lt;&gt;"VIP",$J102,LEFT($J102,15)),IP!$A$4:$N$205,11,FALSE))-1),""))),"")</f>
        <v/>
      </c>
      <c r="L102" s="2938" t="str">
        <f>IF($I102&lt;&gt;"",
        IF($I102="Prod BlueCoat", VLOOKUP($I102,'Host Reference'!$A$3:$C$110,3,FALSE),
                IF($I102="Test BlueCoat", VLOOKUP($I102,'Host Reference'!$A$3:$C$110,3,FALSE),
             IF($I102="Yes",VLOOKUP(IF(MID($J102,10,3)&lt;&gt;"VIP",$J102,LEFT($J102,15)),IP!$A$4:$N$205,14,FALSE),
                     IF($I102="No", IFERROR(VLOOKUP($K102,'Host Reference'!$A$3:$C$110,3,FALSE),""),
                            VLOOKUP($K102,'Host Reference'!$A$3:$C$110,3,FALSE))))),"")</f>
        <v/>
      </c>
      <c r="M102" s="1991"/>
      <c r="N102" s="1991"/>
      <c r="O102" s="1991"/>
      <c r="P102" s="1991"/>
      <c r="Q102" s="2950"/>
      <c r="R102" s="1996"/>
      <c r="S102" s="2916" t="str">
        <f t="shared" si="7"/>
        <v/>
      </c>
      <c r="T102" s="2375" t="str">
        <f t="shared" si="6"/>
        <v/>
      </c>
      <c r="U102" s="2000"/>
    </row>
    <row r="103" spans="2:21">
      <c r="B103" s="380"/>
      <c r="C103" s="1992"/>
      <c r="D103" s="1992"/>
      <c r="E103" s="1991"/>
      <c r="F103" s="1993" t="str">
        <f>IF($D103&lt;&gt;"",IF($D103="Yes",LEFT(VLOOKUP(IF(MID($E103,10,3)&lt;&gt;"VIP",$E103,LEFT($E103,15)),IP!$A$4:$N$205,11,FALSE),FIND(".",VLOOKUP(IF(MID($E103,10,3)&lt;&gt;"VIP",$E103,LEFT($E103,15)),IP!$A$4:$N$205,11,FALSE))-1),""),"")</f>
        <v/>
      </c>
      <c r="G103" s="1994" t="str">
        <f>IF($D103&lt;&gt;"",
          IF($D103="Yes",VLOOKUP(IF(MID($E103,10,3)&lt;&gt;"VIP",$E103,LEFT($E103,15)),IP!$A$4:$N$205,14,FALSE),
                     IF($D103="No", IFERROR(VLOOKUP($F103,'Host Reference'!$A$3:$B$93,2,FALSE),""),
                          VLOOKUP($F103,'Host Reference'!$A$3:$C$93,2,FALSE))),"")</f>
        <v/>
      </c>
      <c r="H103" s="1995" t="str">
        <f t="shared" si="5"/>
        <v/>
      </c>
      <c r="I103" s="1991"/>
      <c r="J103" s="1991"/>
      <c r="K103" s="2938" t="str">
        <f>IF($I103&lt;&gt;"",
    IF(LEFT(I103,4)="Test","tbcilproxy",
        IF(LEFT(I103, 4)="Prod",CONCATENATE("bcilproxy", CHAR(10),"bctxproxy"),
                 IF($I103="Yes",LEFT(VLOOKUP(IF(MID($J103,10,3)&lt;&gt;"VIP",$J103,LEFT($J103,15)),IP!$A$4:$N$205,11,FALSE),FIND(".",VLOOKUP(IF(MID($J103,10,3)&lt;&gt;"VIP",$J103,LEFT($J103,15)),IP!$A$4:$N$205,11,FALSE))-1),""))),"")</f>
        <v/>
      </c>
      <c r="L103" s="2938" t="str">
        <f>IF($I103&lt;&gt;"",
        IF($I103="Prod BlueCoat", VLOOKUP($I103,'Host Reference'!$A$3:$C$110,3,FALSE),
                IF($I103="Test BlueCoat", VLOOKUP($I103,'Host Reference'!$A$3:$C$110,3,FALSE),
             IF($I103="Yes",VLOOKUP(IF(MID($J103,10,3)&lt;&gt;"VIP",$J103,LEFT($J103,15)),IP!$A$4:$N$205,14,FALSE),
                     IF($I103="No", IFERROR(VLOOKUP($K103,'Host Reference'!$A$3:$C$110,3,FALSE),""),
                            VLOOKUP($K103,'Host Reference'!$A$3:$C$110,3,FALSE))))),"")</f>
        <v/>
      </c>
      <c r="M103" s="1991"/>
      <c r="N103" s="1991"/>
      <c r="O103" s="1991"/>
      <c r="P103" s="1991"/>
      <c r="Q103" s="2950"/>
      <c r="R103" s="1996"/>
      <c r="S103" s="2916" t="str">
        <f t="shared" si="7"/>
        <v/>
      </c>
      <c r="T103" s="2375" t="str">
        <f t="shared" si="6"/>
        <v/>
      </c>
      <c r="U103" s="2000"/>
    </row>
    <row r="104" spans="2:21">
      <c r="B104" s="380"/>
      <c r="C104" s="1992"/>
      <c r="D104" s="1992"/>
      <c r="E104" s="1991"/>
      <c r="F104" s="1993" t="str">
        <f>IF($D104&lt;&gt;"",IF($D104="Yes",LEFT(VLOOKUP(IF(MID($E104,10,3)&lt;&gt;"VIP",$E104,LEFT($E104,15)),IP!$A$4:$N$205,11,FALSE),FIND(".",VLOOKUP(IF(MID($E104,10,3)&lt;&gt;"VIP",$E104,LEFT($E104,15)),IP!$A$4:$N$205,11,FALSE))-1),""),"")</f>
        <v/>
      </c>
      <c r="G104" s="1994" t="str">
        <f>IF($D104&lt;&gt;"",
          IF($D104="Yes",VLOOKUP(IF(MID($E104,10,3)&lt;&gt;"VIP",$E104,LEFT($E104,15)),IP!$A$4:$N$205,14,FALSE),
                     IF($D104="No", IFERROR(VLOOKUP($F104,'Host Reference'!$A$3:$B$93,2,FALSE),""),
                          VLOOKUP($F104,'Host Reference'!$A$3:$C$93,2,FALSE))),"")</f>
        <v/>
      </c>
      <c r="H104" s="1995" t="str">
        <f t="shared" si="5"/>
        <v/>
      </c>
      <c r="I104" s="1991"/>
      <c r="J104" s="1991"/>
      <c r="K104" s="2938" t="str">
        <f>IF($I104&lt;&gt;"",
    IF(LEFT(I104,4)="Test","tbcilproxy",
        IF(LEFT(I104, 4)="Prod",CONCATENATE("bcilproxy", CHAR(10),"bctxproxy"),
                 IF($I104="Yes",LEFT(VLOOKUP(IF(MID($J104,10,3)&lt;&gt;"VIP",$J104,LEFT($J104,15)),IP!$A$4:$N$205,11,FALSE),FIND(".",VLOOKUP(IF(MID($J104,10,3)&lt;&gt;"VIP",$J104,LEFT($J104,15)),IP!$A$4:$N$205,11,FALSE))-1),""))),"")</f>
        <v/>
      </c>
      <c r="L104" s="2938" t="str">
        <f>IF($I104&lt;&gt;"",
        IF($I104="Prod BlueCoat", VLOOKUP($I104,'Host Reference'!$A$3:$C$110,3,FALSE),
                IF($I104="Test BlueCoat", VLOOKUP($I104,'Host Reference'!$A$3:$C$110,3,FALSE),
             IF($I104="Yes",VLOOKUP(IF(MID($J104,10,3)&lt;&gt;"VIP",$J104,LEFT($J104,15)),IP!$A$4:$N$205,14,FALSE),
                     IF($I104="No", IFERROR(VLOOKUP($K104,'Host Reference'!$A$3:$C$110,3,FALSE),""),
                            VLOOKUP($K104,'Host Reference'!$A$3:$C$110,3,FALSE))))),"")</f>
        <v/>
      </c>
      <c r="M104" s="1991"/>
      <c r="N104" s="1991"/>
      <c r="O104" s="1991"/>
      <c r="P104" s="1991"/>
      <c r="Q104" s="2950"/>
      <c r="R104" s="1996"/>
      <c r="S104" s="2916" t="str">
        <f t="shared" si="7"/>
        <v/>
      </c>
      <c r="T104" s="2375" t="str">
        <f t="shared" si="6"/>
        <v/>
      </c>
      <c r="U104" s="2000"/>
    </row>
    <row r="105" spans="2:21">
      <c r="B105" s="380"/>
      <c r="C105" s="1992"/>
      <c r="D105" s="1992"/>
      <c r="E105" s="1991"/>
      <c r="F105" s="1993" t="str">
        <f>IF($D105&lt;&gt;"",IF($D105="Yes",LEFT(VLOOKUP(IF(MID($E105,10,3)&lt;&gt;"VIP",$E105,LEFT($E105,15)),IP!$A$4:$N$205,11,FALSE),FIND(".",VLOOKUP(IF(MID($E105,10,3)&lt;&gt;"VIP",$E105,LEFT($E105,15)),IP!$A$4:$N$205,11,FALSE))-1),""),"")</f>
        <v/>
      </c>
      <c r="G105" s="1994" t="str">
        <f>IF($D105&lt;&gt;"",
          IF($D105="Yes",VLOOKUP(IF(MID($E105,10,3)&lt;&gt;"VIP",$E105,LEFT($E105,15)),IP!$A$4:$N$205,14,FALSE),
                     IF($D105="No", IFERROR(VLOOKUP($F105,'Host Reference'!$A$3:$B$93,2,FALSE),""),
                          VLOOKUP($F105,'Host Reference'!$A$3:$C$93,2,FALSE))),"")</f>
        <v/>
      </c>
      <c r="H105" s="1995" t="str">
        <f t="shared" si="5"/>
        <v/>
      </c>
      <c r="I105" s="1991"/>
      <c r="J105" s="1991"/>
      <c r="K105" s="2938" t="str">
        <f>IF($I105&lt;&gt;"",
    IF(LEFT(I105,4)="Test","tbcilproxy",
        IF(LEFT(I105, 4)="Prod",CONCATENATE("bcilproxy", CHAR(10),"bctxproxy"),
                 IF($I105="Yes",LEFT(VLOOKUP(IF(MID($J105,10,3)&lt;&gt;"VIP",$J105,LEFT($J105,15)),IP!$A$4:$N$205,11,FALSE),FIND(".",VLOOKUP(IF(MID($J105,10,3)&lt;&gt;"VIP",$J105,LEFT($J105,15)),IP!$A$4:$N$205,11,FALSE))-1),""))),"")</f>
        <v/>
      </c>
      <c r="L105" s="2938" t="str">
        <f>IF($I105&lt;&gt;"",
        IF($I105="Prod BlueCoat", VLOOKUP($I105,'Host Reference'!$A$3:$C$110,3,FALSE),
                IF($I105="Test BlueCoat", VLOOKUP($I105,'Host Reference'!$A$3:$C$110,3,FALSE),
             IF($I105="Yes",VLOOKUP(IF(MID($J105,10,3)&lt;&gt;"VIP",$J105,LEFT($J105,15)),IP!$A$4:$N$205,14,FALSE),
                     IF($I105="No", IFERROR(VLOOKUP($K105,'Host Reference'!$A$3:$C$110,3,FALSE),""),
                            VLOOKUP($K105,'Host Reference'!$A$3:$C$110,3,FALSE))))),"")</f>
        <v/>
      </c>
      <c r="M105" s="1991"/>
      <c r="N105" s="1991"/>
      <c r="O105" s="1991"/>
      <c r="P105" s="1991"/>
      <c r="Q105" s="2950"/>
      <c r="R105" s="1996"/>
      <c r="S105" s="2916" t="str">
        <f t="shared" si="7"/>
        <v/>
      </c>
      <c r="T105" s="2375" t="str">
        <f t="shared" si="6"/>
        <v/>
      </c>
      <c r="U105" s="2000"/>
    </row>
    <row r="106" spans="2:21">
      <c r="B106" s="380"/>
      <c r="C106" s="1992"/>
      <c r="D106" s="1992"/>
      <c r="E106" s="1991"/>
      <c r="F106" s="1993" t="str">
        <f>IF($D106&lt;&gt;"",IF($D106="Yes",LEFT(VLOOKUP(IF(MID($E106,10,3)&lt;&gt;"VIP",$E106,LEFT($E106,15)),IP!$A$4:$N$205,11,FALSE),FIND(".",VLOOKUP(IF(MID($E106,10,3)&lt;&gt;"VIP",$E106,LEFT($E106,15)),IP!$A$4:$N$205,11,FALSE))-1),""),"")</f>
        <v/>
      </c>
      <c r="G106" s="1994" t="str">
        <f>IF($D106&lt;&gt;"",
          IF($D106="Yes",VLOOKUP(IF(MID($E106,10,3)&lt;&gt;"VIP",$E106,LEFT($E106,15)),IP!$A$4:$N$205,14,FALSE),
                     IF($D106="No", IFERROR(VLOOKUP($F106,'Host Reference'!$A$3:$B$93,2,FALSE),""),
                          VLOOKUP($F106,'Host Reference'!$A$3:$C$93,2,FALSE))),"")</f>
        <v/>
      </c>
      <c r="H106" s="1995" t="str">
        <f t="shared" si="5"/>
        <v/>
      </c>
      <c r="I106" s="1991"/>
      <c r="J106" s="1991"/>
      <c r="K106" s="2938" t="str">
        <f>IF($I106&lt;&gt;"",
    IF(LEFT(I106,4)="Test","tbcilproxy",
        IF(LEFT(I106, 4)="Prod",CONCATENATE("bcilproxy", CHAR(10),"bctxproxy"),
                 IF($I106="Yes",LEFT(VLOOKUP(IF(MID($J106,10,3)&lt;&gt;"VIP",$J106,LEFT($J106,15)),IP!$A$4:$N$205,11,FALSE),FIND(".",VLOOKUP(IF(MID($J106,10,3)&lt;&gt;"VIP",$J106,LEFT($J106,15)),IP!$A$4:$N$205,11,FALSE))-1),""))),"")</f>
        <v/>
      </c>
      <c r="L106" s="2938" t="str">
        <f>IF($I106&lt;&gt;"",
        IF($I106="Prod BlueCoat", VLOOKUP($I106,'Host Reference'!$A$3:$C$110,3,FALSE),
                IF($I106="Test BlueCoat", VLOOKUP($I106,'Host Reference'!$A$3:$C$110,3,FALSE),
             IF($I106="Yes",VLOOKUP(IF(MID($J106,10,3)&lt;&gt;"VIP",$J106,LEFT($J106,15)),IP!$A$4:$N$205,14,FALSE),
                     IF($I106="No", IFERROR(VLOOKUP($K106,'Host Reference'!$A$3:$C$110,3,FALSE),""),
                            VLOOKUP($K106,'Host Reference'!$A$3:$C$110,3,FALSE))))),"")</f>
        <v/>
      </c>
      <c r="M106" s="1991"/>
      <c r="N106" s="1991"/>
      <c r="O106" s="1991"/>
      <c r="P106" s="1991"/>
      <c r="Q106" s="2950"/>
      <c r="R106" s="1996"/>
      <c r="S106" s="2916" t="str">
        <f t="shared" si="7"/>
        <v/>
      </c>
      <c r="T106" s="2375" t="str">
        <f t="shared" si="6"/>
        <v/>
      </c>
      <c r="U106" s="2000"/>
    </row>
    <row r="107" spans="2:21">
      <c r="B107" s="380"/>
      <c r="C107" s="1992"/>
      <c r="D107" s="1992"/>
      <c r="E107" s="1991"/>
      <c r="F107" s="1993" t="str">
        <f>IF($D107&lt;&gt;"",IF($D107="Yes",LEFT(VLOOKUP(IF(MID($E107,10,3)&lt;&gt;"VIP",$E107,LEFT($E107,15)),IP!$A$4:$N$205,11,FALSE),FIND(".",VLOOKUP(IF(MID($E107,10,3)&lt;&gt;"VIP",$E107,LEFT($E107,15)),IP!$A$4:$N$205,11,FALSE))-1),""),"")</f>
        <v/>
      </c>
      <c r="G107" s="1994" t="str">
        <f>IF($D107&lt;&gt;"",
          IF($D107="Yes",VLOOKUP(IF(MID($E107,10,3)&lt;&gt;"VIP",$E107,LEFT($E107,15)),IP!$A$4:$N$205,14,FALSE),
                     IF($D107="No", IFERROR(VLOOKUP($F107,'Host Reference'!$A$3:$B$93,2,FALSE),""),
                          VLOOKUP($F107,'Host Reference'!$A$3:$C$93,2,FALSE))),"")</f>
        <v/>
      </c>
      <c r="H107" s="1995" t="str">
        <f t="shared" si="5"/>
        <v/>
      </c>
      <c r="I107" s="1991"/>
      <c r="J107" s="1991"/>
      <c r="K107" s="2938" t="str">
        <f>IF($I107&lt;&gt;"",
    IF(LEFT(I107,4)="Test","tbcilproxy",
        IF(LEFT(I107, 4)="Prod",CONCATENATE("bcilproxy", CHAR(10),"bctxproxy"),
                 IF($I107="Yes",LEFT(VLOOKUP(IF(MID($J107,10,3)&lt;&gt;"VIP",$J107,LEFT($J107,15)),IP!$A$4:$N$205,11,FALSE),FIND(".",VLOOKUP(IF(MID($J107,10,3)&lt;&gt;"VIP",$J107,LEFT($J107,15)),IP!$A$4:$N$205,11,FALSE))-1),""))),"")</f>
        <v/>
      </c>
      <c r="L107" s="2938" t="str">
        <f>IF($I107&lt;&gt;"",
        IF($I107="Prod BlueCoat", VLOOKUP($I107,'Host Reference'!$A$3:$C$110,3,FALSE),
                IF($I107="Test BlueCoat", VLOOKUP($I107,'Host Reference'!$A$3:$C$110,3,FALSE),
             IF($I107="Yes",VLOOKUP(IF(MID($J107,10,3)&lt;&gt;"VIP",$J107,LEFT($J107,15)),IP!$A$4:$N$205,14,FALSE),
                     IF($I107="No", IFERROR(VLOOKUP($K107,'Host Reference'!$A$3:$C$110,3,FALSE),""),
                            VLOOKUP($K107,'Host Reference'!$A$3:$C$110,3,FALSE))))),"")</f>
        <v/>
      </c>
      <c r="M107" s="1991"/>
      <c r="N107" s="1991"/>
      <c r="O107" s="1991"/>
      <c r="P107" s="1991"/>
      <c r="Q107" s="2950"/>
      <c r="R107" s="1996"/>
      <c r="S107" s="2916" t="str">
        <f t="shared" si="7"/>
        <v/>
      </c>
      <c r="T107" s="2375" t="str">
        <f t="shared" si="6"/>
        <v/>
      </c>
      <c r="U107" s="2000"/>
    </row>
    <row r="108" spans="2:21">
      <c r="B108" s="380"/>
      <c r="C108" s="1992"/>
      <c r="D108" s="1992"/>
      <c r="E108" s="1991"/>
      <c r="F108" s="1993" t="str">
        <f>IF($D108&lt;&gt;"",IF($D108="Yes",LEFT(VLOOKUP(IF(MID($E108,10,3)&lt;&gt;"VIP",$E108,LEFT($E108,15)),IP!$A$4:$N$205,11,FALSE),FIND(".",VLOOKUP(IF(MID($E108,10,3)&lt;&gt;"VIP",$E108,LEFT($E108,15)),IP!$A$4:$N$205,11,FALSE))-1),""),"")</f>
        <v/>
      </c>
      <c r="G108" s="1994" t="str">
        <f>IF($D108&lt;&gt;"",
          IF($D108="Yes",VLOOKUP(IF(MID($E108,10,3)&lt;&gt;"VIP",$E108,LEFT($E108,15)),IP!$A$4:$N$205,14,FALSE),
                     IF($D108="No", IFERROR(VLOOKUP($F108,'Host Reference'!$A$3:$B$93,2,FALSE),""),
                          VLOOKUP($F108,'Host Reference'!$A$3:$C$93,2,FALSE))),"")</f>
        <v/>
      </c>
      <c r="H108" s="1995" t="str">
        <f t="shared" si="5"/>
        <v/>
      </c>
      <c r="I108" s="1991"/>
      <c r="J108" s="1991"/>
      <c r="K108" s="2938" t="str">
        <f>IF($I108&lt;&gt;"",
    IF(LEFT(I108,4)="Test","tbcilproxy",
        IF(LEFT(I108, 4)="Prod",CONCATENATE("bcilproxy", CHAR(10),"bctxproxy"),
                 IF($I108="Yes",LEFT(VLOOKUP(IF(MID($J108,10,3)&lt;&gt;"VIP",$J108,LEFT($J108,15)),IP!$A$4:$N$205,11,FALSE),FIND(".",VLOOKUP(IF(MID($J108,10,3)&lt;&gt;"VIP",$J108,LEFT($J108,15)),IP!$A$4:$N$205,11,FALSE))-1),""))),"")</f>
        <v/>
      </c>
      <c r="L108" s="2938" t="str">
        <f>IF($I108&lt;&gt;"",
        IF($I108="Prod BlueCoat", VLOOKUP($I108,'Host Reference'!$A$3:$C$110,3,FALSE),
                IF($I108="Test BlueCoat", VLOOKUP($I108,'Host Reference'!$A$3:$C$110,3,FALSE),
             IF($I108="Yes",VLOOKUP(IF(MID($J108,10,3)&lt;&gt;"VIP",$J108,LEFT($J108,15)),IP!$A$4:$N$205,14,FALSE),
                     IF($I108="No", IFERROR(VLOOKUP($K108,'Host Reference'!$A$3:$C$110,3,FALSE),""),
                            VLOOKUP($K108,'Host Reference'!$A$3:$C$110,3,FALSE))))),"")</f>
        <v/>
      </c>
      <c r="M108" s="1991"/>
      <c r="N108" s="1991"/>
      <c r="O108" s="1991"/>
      <c r="P108" s="1991"/>
      <c r="Q108" s="2950"/>
      <c r="R108" s="1996"/>
      <c r="S108" s="2916" t="str">
        <f t="shared" si="7"/>
        <v/>
      </c>
      <c r="T108" s="2375" t="str">
        <f t="shared" si="6"/>
        <v/>
      </c>
      <c r="U108" s="2000"/>
    </row>
    <row r="109" spans="2:21">
      <c r="B109" s="380"/>
      <c r="C109" s="1992"/>
      <c r="D109" s="1992"/>
      <c r="E109" s="1991"/>
      <c r="F109" s="1993" t="str">
        <f>IF($D109&lt;&gt;"",IF($D109="Yes",LEFT(VLOOKUP(IF(MID($E109,10,3)&lt;&gt;"VIP",$E109,LEFT($E109,15)),IP!$A$4:$N$205,11,FALSE),FIND(".",VLOOKUP(IF(MID($E109,10,3)&lt;&gt;"VIP",$E109,LEFT($E109,15)),IP!$A$4:$N$205,11,FALSE))-1),""),"")</f>
        <v/>
      </c>
      <c r="G109" s="1994" t="str">
        <f>IF($D109&lt;&gt;"",
          IF($D109="Yes",VLOOKUP(IF(MID($E109,10,3)&lt;&gt;"VIP",$E109,LEFT($E109,15)),IP!$A$4:$N$205,14,FALSE),
                     IF($D109="No", IFERROR(VLOOKUP($F109,'Host Reference'!$A$3:$B$93,2,FALSE),""),
                          VLOOKUP($F109,'Host Reference'!$A$3:$C$93,2,FALSE))),"")</f>
        <v/>
      </c>
      <c r="H109" s="1995" t="str">
        <f t="shared" si="5"/>
        <v/>
      </c>
      <c r="I109" s="1991"/>
      <c r="J109" s="1991"/>
      <c r="K109" s="2938" t="str">
        <f>IF($I109&lt;&gt;"",
    IF(LEFT(I109,4)="Test","tbcilproxy",
        IF(LEFT(I109, 4)="Prod",CONCATENATE("bcilproxy", CHAR(10),"bctxproxy"),
                 IF($I109="Yes",LEFT(VLOOKUP(IF(MID($J109,10,3)&lt;&gt;"VIP",$J109,LEFT($J109,15)),IP!$A$4:$N$205,11,FALSE),FIND(".",VLOOKUP(IF(MID($J109,10,3)&lt;&gt;"VIP",$J109,LEFT($J109,15)),IP!$A$4:$N$205,11,FALSE))-1),""))),"")</f>
        <v/>
      </c>
      <c r="L109" s="2938" t="str">
        <f>IF($I109&lt;&gt;"",
        IF($I109="Prod BlueCoat", VLOOKUP($I109,'Host Reference'!$A$3:$C$110,3,FALSE),
                IF($I109="Test BlueCoat", VLOOKUP($I109,'Host Reference'!$A$3:$C$110,3,FALSE),
             IF($I109="Yes",VLOOKUP(IF(MID($J109,10,3)&lt;&gt;"VIP",$J109,LEFT($J109,15)),IP!$A$4:$N$205,14,FALSE),
                     IF($I109="No", IFERROR(VLOOKUP($K109,'Host Reference'!$A$3:$C$110,3,FALSE),""),
                            VLOOKUP($K109,'Host Reference'!$A$3:$C$110,3,FALSE))))),"")</f>
        <v/>
      </c>
      <c r="M109" s="1991"/>
      <c r="N109" s="1991"/>
      <c r="O109" s="1991"/>
      <c r="P109" s="1991"/>
      <c r="Q109" s="2950"/>
      <c r="R109" s="1996"/>
      <c r="S109" s="2916" t="str">
        <f t="shared" si="7"/>
        <v/>
      </c>
      <c r="T109" s="2375" t="str">
        <f t="shared" si="6"/>
        <v/>
      </c>
      <c r="U109" s="2000"/>
    </row>
    <row r="110" spans="2:21">
      <c r="B110" s="380"/>
      <c r="C110" s="1992"/>
      <c r="D110" s="1992"/>
      <c r="E110" s="1991"/>
      <c r="F110" s="1993" t="str">
        <f>IF($D110&lt;&gt;"",IF($D110="Yes",LEFT(VLOOKUP(IF(MID($E110,10,3)&lt;&gt;"VIP",$E110,LEFT($E110,15)),IP!$A$4:$N$205,11,FALSE),FIND(".",VLOOKUP(IF(MID($E110,10,3)&lt;&gt;"VIP",$E110,LEFT($E110,15)),IP!$A$4:$N$205,11,FALSE))-1),""),"")</f>
        <v/>
      </c>
      <c r="G110" s="1994" t="str">
        <f>IF($D110&lt;&gt;"",
          IF($D110="Yes",VLOOKUP(IF(MID($E110,10,3)&lt;&gt;"VIP",$E110,LEFT($E110,15)),IP!$A$4:$N$205,14,FALSE),
                     IF($D110="No", IFERROR(VLOOKUP($F110,'Host Reference'!$A$3:$B$93,2,FALSE),""),
                          VLOOKUP($F110,'Host Reference'!$A$3:$C$93,2,FALSE))),"")</f>
        <v/>
      </c>
      <c r="H110" s="1995" t="str">
        <f t="shared" si="5"/>
        <v/>
      </c>
      <c r="I110" s="1991"/>
      <c r="J110" s="1991"/>
      <c r="K110" s="2938" t="str">
        <f>IF($I110&lt;&gt;"",
    IF(LEFT(I110,4)="Test","tbcilproxy",
        IF(LEFT(I110, 4)="Prod",CONCATENATE("bcilproxy", CHAR(10),"bctxproxy"),
                 IF($I110="Yes",LEFT(VLOOKUP(IF(MID($J110,10,3)&lt;&gt;"VIP",$J110,LEFT($J110,15)),IP!$A$4:$N$205,11,FALSE),FIND(".",VLOOKUP(IF(MID($J110,10,3)&lt;&gt;"VIP",$J110,LEFT($J110,15)),IP!$A$4:$N$205,11,FALSE))-1),""))),"")</f>
        <v/>
      </c>
      <c r="L110" s="2938" t="str">
        <f>IF($I110&lt;&gt;"",
        IF($I110="Prod BlueCoat", VLOOKUP($I110,'Host Reference'!$A$3:$C$110,3,FALSE),
                IF($I110="Test BlueCoat", VLOOKUP($I110,'Host Reference'!$A$3:$C$110,3,FALSE),
             IF($I110="Yes",VLOOKUP(IF(MID($J110,10,3)&lt;&gt;"VIP",$J110,LEFT($J110,15)),IP!$A$4:$N$205,14,FALSE),
                     IF($I110="No", IFERROR(VLOOKUP($K110,'Host Reference'!$A$3:$C$110,3,FALSE),""),
                            VLOOKUP($K110,'Host Reference'!$A$3:$C$110,3,FALSE))))),"")</f>
        <v/>
      </c>
      <c r="M110" s="1991"/>
      <c r="N110" s="1991"/>
      <c r="O110" s="1991"/>
      <c r="P110" s="1991"/>
      <c r="Q110" s="2950"/>
      <c r="R110" s="1996"/>
      <c r="S110" s="2916" t="str">
        <f t="shared" si="7"/>
        <v/>
      </c>
      <c r="T110" s="2375" t="str">
        <f t="shared" si="6"/>
        <v/>
      </c>
      <c r="U110" s="2000"/>
    </row>
    <row r="111" spans="2:21">
      <c r="B111" s="380"/>
      <c r="C111" s="1992"/>
      <c r="D111" s="1992"/>
      <c r="E111" s="1991"/>
      <c r="F111" s="1993" t="str">
        <f>IF($D111&lt;&gt;"",IF($D111="Yes",LEFT(VLOOKUP(IF(MID($E111,10,3)&lt;&gt;"VIP",$E111,LEFT($E111,15)),IP!$A$4:$N$205,11,FALSE),FIND(".",VLOOKUP(IF(MID($E111,10,3)&lt;&gt;"VIP",$E111,LEFT($E111,15)),IP!$A$4:$N$205,11,FALSE))-1),""),"")</f>
        <v/>
      </c>
      <c r="G111" s="1994" t="str">
        <f>IF($D111&lt;&gt;"",
          IF($D111="Yes",VLOOKUP(IF(MID($E111,10,3)&lt;&gt;"VIP",$E111,LEFT($E111,15)),IP!$A$4:$N$205,14,FALSE),
                     IF($D111="No", IFERROR(VLOOKUP($F111,'Host Reference'!$A$3:$B$93,2,FALSE),""),
                          VLOOKUP($F111,'Host Reference'!$A$3:$C$93,2,FALSE))),"")</f>
        <v/>
      </c>
      <c r="H111" s="1995" t="str">
        <f t="shared" si="5"/>
        <v/>
      </c>
      <c r="I111" s="1991"/>
      <c r="J111" s="1991"/>
      <c r="K111" s="2938" t="str">
        <f>IF($I111&lt;&gt;"",
    IF(LEFT(I111,4)="Test","tbcilproxy",
        IF(LEFT(I111, 4)="Prod",CONCATENATE("bcilproxy", CHAR(10),"bctxproxy"),
                 IF($I111="Yes",LEFT(VLOOKUP(IF(MID($J111,10,3)&lt;&gt;"VIP",$J111,LEFT($J111,15)),IP!$A$4:$N$205,11,FALSE),FIND(".",VLOOKUP(IF(MID($J111,10,3)&lt;&gt;"VIP",$J111,LEFT($J111,15)),IP!$A$4:$N$205,11,FALSE))-1),""))),"")</f>
        <v/>
      </c>
      <c r="L111" s="2938" t="str">
        <f>IF($I111&lt;&gt;"",
        IF($I111="Prod BlueCoat", VLOOKUP($I111,'Host Reference'!$A$3:$C$110,3,FALSE),
                IF($I111="Test BlueCoat", VLOOKUP($I111,'Host Reference'!$A$3:$C$110,3,FALSE),
             IF($I111="Yes",VLOOKUP(IF(MID($J111,10,3)&lt;&gt;"VIP",$J111,LEFT($J111,15)),IP!$A$4:$N$205,14,FALSE),
                     IF($I111="No", IFERROR(VLOOKUP($K111,'Host Reference'!$A$3:$C$110,3,FALSE),""),
                            VLOOKUP($K111,'Host Reference'!$A$3:$C$110,3,FALSE))))),"")</f>
        <v/>
      </c>
      <c r="M111" s="1991"/>
      <c r="N111" s="1991"/>
      <c r="O111" s="1991"/>
      <c r="P111" s="1991"/>
      <c r="Q111" s="2950"/>
      <c r="R111" s="1996"/>
      <c r="S111" s="2916" t="str">
        <f t="shared" si="7"/>
        <v/>
      </c>
      <c r="T111" s="2375" t="str">
        <f t="shared" si="6"/>
        <v/>
      </c>
      <c r="U111" s="2000"/>
    </row>
    <row r="112" spans="2:21">
      <c r="B112" s="380"/>
      <c r="C112" s="1992"/>
      <c r="D112" s="1992"/>
      <c r="E112" s="1991"/>
      <c r="F112" s="1993" t="str">
        <f>IF($D112&lt;&gt;"",IF($D112="Yes",LEFT(VLOOKUP(IF(MID($E112,10,3)&lt;&gt;"VIP",$E112,LEFT($E112,15)),IP!$A$4:$N$205,11,FALSE),FIND(".",VLOOKUP(IF(MID($E112,10,3)&lt;&gt;"VIP",$E112,LEFT($E112,15)),IP!$A$4:$N$205,11,FALSE))-1),""),"")</f>
        <v/>
      </c>
      <c r="G112" s="1994" t="str">
        <f>IF($D112&lt;&gt;"",
          IF($D112="Yes",VLOOKUP(IF(MID($E112,10,3)&lt;&gt;"VIP",$E112,LEFT($E112,15)),IP!$A$4:$N$205,14,FALSE),
                     IF($D112="No", IFERROR(VLOOKUP($F112,'Host Reference'!$A$3:$B$93,2,FALSE),""),
                          VLOOKUP($F112,'Host Reference'!$A$3:$C$93,2,FALSE))),"")</f>
        <v/>
      </c>
      <c r="H112" s="1995" t="str">
        <f t="shared" si="5"/>
        <v/>
      </c>
      <c r="I112" s="1991"/>
      <c r="J112" s="1991"/>
      <c r="K112" s="2938" t="str">
        <f>IF($I112&lt;&gt;"",
    IF(LEFT(I112,4)="Test","tbcilproxy",
        IF(LEFT(I112, 4)="Prod",CONCATENATE("bcilproxy", CHAR(10),"bctxproxy"),
                 IF($I112="Yes",LEFT(VLOOKUP(IF(MID($J112,10,3)&lt;&gt;"VIP",$J112,LEFT($J112,15)),IP!$A$4:$N$205,11,FALSE),FIND(".",VLOOKUP(IF(MID($J112,10,3)&lt;&gt;"VIP",$J112,LEFT($J112,15)),IP!$A$4:$N$205,11,FALSE))-1),""))),"")</f>
        <v/>
      </c>
      <c r="L112" s="2938" t="str">
        <f>IF($I112&lt;&gt;"",
        IF($I112="Prod BlueCoat", VLOOKUP($I112,'Host Reference'!$A$3:$C$110,3,FALSE),
                IF($I112="Test BlueCoat", VLOOKUP($I112,'Host Reference'!$A$3:$C$110,3,FALSE),
             IF($I112="Yes",VLOOKUP(IF(MID($J112,10,3)&lt;&gt;"VIP",$J112,LEFT($J112,15)),IP!$A$4:$N$205,14,FALSE),
                     IF($I112="No", IFERROR(VLOOKUP($K112,'Host Reference'!$A$3:$C$110,3,FALSE),""),
                            VLOOKUP($K112,'Host Reference'!$A$3:$C$110,3,FALSE))))),"")</f>
        <v/>
      </c>
      <c r="M112" s="1991"/>
      <c r="N112" s="1991"/>
      <c r="O112" s="1991"/>
      <c r="P112" s="1991"/>
      <c r="Q112" s="2950"/>
      <c r="R112" s="1996"/>
      <c r="S112" s="2916" t="str">
        <f t="shared" si="7"/>
        <v/>
      </c>
      <c r="T112" s="2375" t="str">
        <f t="shared" si="6"/>
        <v/>
      </c>
      <c r="U112" s="2000"/>
    </row>
    <row r="113" spans="2:21">
      <c r="B113" s="380"/>
      <c r="C113" s="1992"/>
      <c r="D113" s="1992"/>
      <c r="E113" s="1991"/>
      <c r="F113" s="1993" t="str">
        <f>IF($D113&lt;&gt;"",IF($D113="Yes",LEFT(VLOOKUP(IF(MID($E113,10,3)&lt;&gt;"VIP",$E113,LEFT($E113,15)),IP!$A$4:$N$205,11,FALSE),FIND(".",VLOOKUP(IF(MID($E113,10,3)&lt;&gt;"VIP",$E113,LEFT($E113,15)),IP!$A$4:$N$205,11,FALSE))-1),""),"")</f>
        <v/>
      </c>
      <c r="G113" s="1994" t="str">
        <f>IF($D113&lt;&gt;"",
          IF($D113="Yes",VLOOKUP(IF(MID($E113,10,3)&lt;&gt;"VIP",$E113,LEFT($E113,15)),IP!$A$4:$N$205,14,FALSE),
                     IF($D113="No", IFERROR(VLOOKUP($F113,'Host Reference'!$A$3:$B$93,2,FALSE),""),
                          VLOOKUP($F113,'Host Reference'!$A$3:$C$93,2,FALSE))),"")</f>
        <v/>
      </c>
      <c r="H113" s="1995" t="str">
        <f t="shared" si="5"/>
        <v/>
      </c>
      <c r="I113" s="1991"/>
      <c r="J113" s="1991"/>
      <c r="K113" s="2938" t="str">
        <f>IF($I113&lt;&gt;"",
    IF(LEFT(I113,4)="Test","tbcilproxy",
        IF(LEFT(I113, 4)="Prod",CONCATENATE("bcilproxy", CHAR(10),"bctxproxy"),
                 IF($I113="Yes",LEFT(VLOOKUP(IF(MID($J113,10,3)&lt;&gt;"VIP",$J113,LEFT($J113,15)),IP!$A$4:$N$205,11,FALSE),FIND(".",VLOOKUP(IF(MID($J113,10,3)&lt;&gt;"VIP",$J113,LEFT($J113,15)),IP!$A$4:$N$205,11,FALSE))-1),""))),"")</f>
        <v/>
      </c>
      <c r="L113" s="2938" t="str">
        <f>IF($I113&lt;&gt;"",
        IF($I113="Prod BlueCoat", VLOOKUP($I113,'Host Reference'!$A$3:$C$110,3,FALSE),
                IF($I113="Test BlueCoat", VLOOKUP($I113,'Host Reference'!$A$3:$C$110,3,FALSE),
             IF($I113="Yes",VLOOKUP(IF(MID($J113,10,3)&lt;&gt;"VIP",$J113,LEFT($J113,15)),IP!$A$4:$N$205,14,FALSE),
                     IF($I113="No", IFERROR(VLOOKUP($K113,'Host Reference'!$A$3:$C$110,3,FALSE),""),
                            VLOOKUP($K113,'Host Reference'!$A$3:$C$110,3,FALSE))))),"")</f>
        <v/>
      </c>
      <c r="M113" s="1991"/>
      <c r="N113" s="1991"/>
      <c r="O113" s="1991"/>
      <c r="P113" s="1991"/>
      <c r="Q113" s="2950"/>
      <c r="R113" s="1996"/>
      <c r="S113" s="2916" t="str">
        <f t="shared" si="7"/>
        <v/>
      </c>
      <c r="T113" s="2375" t="str">
        <f t="shared" si="6"/>
        <v/>
      </c>
      <c r="U113" s="2000"/>
    </row>
    <row r="114" spans="2:21">
      <c r="B114" s="380"/>
      <c r="C114" s="1992"/>
      <c r="D114" s="1992"/>
      <c r="E114" s="1991"/>
      <c r="F114" s="1993" t="str">
        <f>IF($D114&lt;&gt;"",IF($D114="Yes",LEFT(VLOOKUP(IF(MID($E114,10,3)&lt;&gt;"VIP",$E114,LEFT($E114,15)),IP!$A$4:$N$205,11,FALSE),FIND(".",VLOOKUP(IF(MID($E114,10,3)&lt;&gt;"VIP",$E114,LEFT($E114,15)),IP!$A$4:$N$205,11,FALSE))-1),""),"")</f>
        <v/>
      </c>
      <c r="G114" s="1994" t="str">
        <f>IF($D114&lt;&gt;"",
          IF($D114="Yes",VLOOKUP(IF(MID($E114,10,3)&lt;&gt;"VIP",$E114,LEFT($E114,15)),IP!$A$4:$N$205,14,FALSE),
                     IF($D114="No", IFERROR(VLOOKUP($F114,'Host Reference'!$A$3:$B$93,2,FALSE),""),
                          VLOOKUP($F114,'Host Reference'!$A$3:$C$93,2,FALSE))),"")</f>
        <v/>
      </c>
      <c r="H114" s="1995" t="str">
        <f t="shared" si="5"/>
        <v/>
      </c>
      <c r="I114" s="1991"/>
      <c r="J114" s="1991"/>
      <c r="K114" s="2938" t="str">
        <f>IF($I114&lt;&gt;"",
    IF(LEFT(I114,4)="Test","tbcilproxy",
        IF(LEFT(I114, 4)="Prod",CONCATENATE("bcilproxy", CHAR(10),"bctxproxy"),
                 IF($I114="Yes",LEFT(VLOOKUP(IF(MID($J114,10,3)&lt;&gt;"VIP",$J114,LEFT($J114,15)),IP!$A$4:$N$205,11,FALSE),FIND(".",VLOOKUP(IF(MID($J114,10,3)&lt;&gt;"VIP",$J114,LEFT($J114,15)),IP!$A$4:$N$205,11,FALSE))-1),""))),"")</f>
        <v/>
      </c>
      <c r="L114" s="2938" t="str">
        <f>IF($I114&lt;&gt;"",
        IF($I114="Prod BlueCoat", VLOOKUP($I114,'Host Reference'!$A$3:$C$110,3,FALSE),
                IF($I114="Test BlueCoat", VLOOKUP($I114,'Host Reference'!$A$3:$C$110,3,FALSE),
             IF($I114="Yes",VLOOKUP(IF(MID($J114,10,3)&lt;&gt;"VIP",$J114,LEFT($J114,15)),IP!$A$4:$N$205,14,FALSE),
                     IF($I114="No", IFERROR(VLOOKUP($K114,'Host Reference'!$A$3:$C$110,3,FALSE),""),
                            VLOOKUP($K114,'Host Reference'!$A$3:$C$110,3,FALSE))))),"")</f>
        <v/>
      </c>
      <c r="M114" s="1991"/>
      <c r="N114" s="1991"/>
      <c r="O114" s="1991"/>
      <c r="P114" s="1991"/>
      <c r="Q114" s="2950"/>
      <c r="R114" s="1996"/>
      <c r="S114" s="2916" t="str">
        <f t="shared" si="7"/>
        <v/>
      </c>
      <c r="T114" s="2375" t="str">
        <f t="shared" si="6"/>
        <v/>
      </c>
      <c r="U114" s="2000"/>
    </row>
    <row r="115" spans="2:21">
      <c r="B115" s="380"/>
      <c r="C115" s="1992"/>
      <c r="D115" s="1992"/>
      <c r="E115" s="1991"/>
      <c r="F115" s="1993" t="str">
        <f>IF($D115&lt;&gt;"",IF($D115="Yes",LEFT(VLOOKUP(IF(MID($E115,10,3)&lt;&gt;"VIP",$E115,LEFT($E115,15)),IP!$A$4:$N$205,11,FALSE),FIND(".",VLOOKUP(IF(MID($E115,10,3)&lt;&gt;"VIP",$E115,LEFT($E115,15)),IP!$A$4:$N$205,11,FALSE))-1),""),"")</f>
        <v/>
      </c>
      <c r="G115" s="1994" t="str">
        <f>IF($D115&lt;&gt;"",
          IF($D115="Yes",VLOOKUP(IF(MID($E115,10,3)&lt;&gt;"VIP",$E115,LEFT($E115,15)),IP!$A$4:$N$205,14,FALSE),
                     IF($D115="No", IFERROR(VLOOKUP($F115,'Host Reference'!$A$3:$B$93,2,FALSE),""),
                          VLOOKUP($F115,'Host Reference'!$A$3:$C$93,2,FALSE))),"")</f>
        <v/>
      </c>
      <c r="H115" s="1995" t="str">
        <f t="shared" si="5"/>
        <v/>
      </c>
      <c r="I115" s="1991"/>
      <c r="J115" s="1991"/>
      <c r="K115" s="2938" t="str">
        <f>IF($I115&lt;&gt;"",
    IF(LEFT(I115,4)="Test","tbcilproxy",
        IF(LEFT(I115, 4)="Prod",CONCATENATE("bcilproxy", CHAR(10),"bctxproxy"),
                 IF($I115="Yes",LEFT(VLOOKUP(IF(MID($J115,10,3)&lt;&gt;"VIP",$J115,LEFT($J115,15)),IP!$A$4:$N$205,11,FALSE),FIND(".",VLOOKUP(IF(MID($J115,10,3)&lt;&gt;"VIP",$J115,LEFT($J115,15)),IP!$A$4:$N$205,11,FALSE))-1),""))),"")</f>
        <v/>
      </c>
      <c r="L115" s="2938" t="str">
        <f>IF($I115&lt;&gt;"",
        IF($I115="Prod BlueCoat", VLOOKUP($I115,'Host Reference'!$A$3:$C$110,3,FALSE),
                IF($I115="Test BlueCoat", VLOOKUP($I115,'Host Reference'!$A$3:$C$110,3,FALSE),
             IF($I115="Yes",VLOOKUP(IF(MID($J115,10,3)&lt;&gt;"VIP",$J115,LEFT($J115,15)),IP!$A$4:$N$205,14,FALSE),
                     IF($I115="No", IFERROR(VLOOKUP($K115,'Host Reference'!$A$3:$C$110,3,FALSE),""),
                            VLOOKUP($K115,'Host Reference'!$A$3:$C$110,3,FALSE))))),"")</f>
        <v/>
      </c>
      <c r="M115" s="1991"/>
      <c r="N115" s="1991"/>
      <c r="O115" s="1991"/>
      <c r="P115" s="1991"/>
      <c r="Q115" s="2950"/>
      <c r="R115" s="1996"/>
      <c r="S115" s="2916" t="str">
        <f t="shared" si="7"/>
        <v/>
      </c>
      <c r="T115" s="2375" t="str">
        <f t="shared" si="6"/>
        <v/>
      </c>
      <c r="U115" s="2000"/>
    </row>
    <row r="116" spans="2:21">
      <c r="B116" s="380"/>
      <c r="C116" s="1992"/>
      <c r="D116" s="1992"/>
      <c r="E116" s="1991"/>
      <c r="F116" s="1993" t="str">
        <f>IF($D116&lt;&gt;"",IF($D116="Yes",LEFT(VLOOKUP(IF(MID($E116,10,3)&lt;&gt;"VIP",$E116,LEFT($E116,15)),IP!$A$4:$N$205,11,FALSE),FIND(".",VLOOKUP(IF(MID($E116,10,3)&lt;&gt;"VIP",$E116,LEFT($E116,15)),IP!$A$4:$N$205,11,FALSE))-1),""),"")</f>
        <v/>
      </c>
      <c r="G116" s="1994" t="str">
        <f>IF($D116&lt;&gt;"",
          IF($D116="Yes",VLOOKUP(IF(MID($E116,10,3)&lt;&gt;"VIP",$E116,LEFT($E116,15)),IP!$A$4:$N$205,14,FALSE),
                     IF($D116="No", IFERROR(VLOOKUP($F116,'Host Reference'!$A$3:$B$93,2,FALSE),""),
                          VLOOKUP($F116,'Host Reference'!$A$3:$C$93,2,FALSE))),"")</f>
        <v/>
      </c>
      <c r="H116" s="1995" t="str">
        <f t="shared" si="5"/>
        <v/>
      </c>
      <c r="I116" s="1991"/>
      <c r="J116" s="1991"/>
      <c r="K116" s="2938" t="str">
        <f>IF($I116&lt;&gt;"",
    IF(LEFT(I116,4)="Test","tbcilproxy",
        IF(LEFT(I116, 4)="Prod",CONCATENATE("bcilproxy", CHAR(10),"bctxproxy"),
                 IF($I116="Yes",LEFT(VLOOKUP(IF(MID($J116,10,3)&lt;&gt;"VIP",$J116,LEFT($J116,15)),IP!$A$4:$N$205,11,FALSE),FIND(".",VLOOKUP(IF(MID($J116,10,3)&lt;&gt;"VIP",$J116,LEFT($J116,15)),IP!$A$4:$N$205,11,FALSE))-1),""))),"")</f>
        <v/>
      </c>
      <c r="L116" s="2938" t="str">
        <f>IF($I116&lt;&gt;"",
        IF($I116="Prod BlueCoat", VLOOKUP($I116,'Host Reference'!$A$3:$C$110,3,FALSE),
                IF($I116="Test BlueCoat", VLOOKUP($I116,'Host Reference'!$A$3:$C$110,3,FALSE),
             IF($I116="Yes",VLOOKUP(IF(MID($J116,10,3)&lt;&gt;"VIP",$J116,LEFT($J116,15)),IP!$A$4:$N$205,14,FALSE),
                     IF($I116="No", IFERROR(VLOOKUP($K116,'Host Reference'!$A$3:$C$110,3,FALSE),""),
                            VLOOKUP($K116,'Host Reference'!$A$3:$C$110,3,FALSE))))),"")</f>
        <v/>
      </c>
      <c r="M116" s="1991"/>
      <c r="N116" s="1991"/>
      <c r="O116" s="1991"/>
      <c r="P116" s="1991"/>
      <c r="Q116" s="2950"/>
      <c r="R116" s="1996"/>
      <c r="S116" s="2916" t="str">
        <f t="shared" si="7"/>
        <v/>
      </c>
      <c r="T116" s="2375" t="str">
        <f t="shared" si="6"/>
        <v/>
      </c>
      <c r="U116" s="2000"/>
    </row>
    <row r="117" spans="2:21">
      <c r="B117" s="380"/>
      <c r="C117" s="1992"/>
      <c r="D117" s="1992"/>
      <c r="E117" s="1991"/>
      <c r="F117" s="1993" t="str">
        <f>IF($D117&lt;&gt;"",IF($D117="Yes",LEFT(VLOOKUP(IF(MID($E117,10,3)&lt;&gt;"VIP",$E117,LEFT($E117,15)),IP!$A$4:$N$205,11,FALSE),FIND(".",VLOOKUP(IF(MID($E117,10,3)&lt;&gt;"VIP",$E117,LEFT($E117,15)),IP!$A$4:$N$205,11,FALSE))-1),""),"")</f>
        <v/>
      </c>
      <c r="G117" s="1994" t="str">
        <f>IF($D117&lt;&gt;"",
          IF($D117="Yes",VLOOKUP(IF(MID($E117,10,3)&lt;&gt;"VIP",$E117,LEFT($E117,15)),IP!$A$4:$N$205,14,FALSE),
                     IF($D117="No", IFERROR(VLOOKUP($F117,'Host Reference'!$A$3:$B$93,2,FALSE),""),
                          VLOOKUP($F117,'Host Reference'!$A$3:$C$93,2,FALSE))),"")</f>
        <v/>
      </c>
      <c r="H117" s="1995" t="str">
        <f t="shared" si="5"/>
        <v/>
      </c>
      <c r="I117" s="1991"/>
      <c r="J117" s="1991"/>
      <c r="K117" s="2938" t="str">
        <f>IF($I117&lt;&gt;"",
    IF(LEFT(I117,4)="Test","tbcilproxy",
        IF(LEFT(I117, 4)="Prod",CONCATENATE("bcilproxy", CHAR(10),"bctxproxy"),
                 IF($I117="Yes",LEFT(VLOOKUP(IF(MID($J117,10,3)&lt;&gt;"VIP",$J117,LEFT($J117,15)),IP!$A$4:$N$205,11,FALSE),FIND(".",VLOOKUP(IF(MID($J117,10,3)&lt;&gt;"VIP",$J117,LEFT($J117,15)),IP!$A$4:$N$205,11,FALSE))-1),""))),"")</f>
        <v/>
      </c>
      <c r="L117" s="2938" t="str">
        <f>IF($I117&lt;&gt;"",
        IF($I117="Prod BlueCoat", VLOOKUP($I117,'Host Reference'!$A$3:$C$110,3,FALSE),
                IF($I117="Test BlueCoat", VLOOKUP($I117,'Host Reference'!$A$3:$C$110,3,FALSE),
             IF($I117="Yes",VLOOKUP(IF(MID($J117,10,3)&lt;&gt;"VIP",$J117,LEFT($J117,15)),IP!$A$4:$N$205,14,FALSE),
                     IF($I117="No", IFERROR(VLOOKUP($K117,'Host Reference'!$A$3:$C$110,3,FALSE),""),
                            VLOOKUP($K117,'Host Reference'!$A$3:$C$110,3,FALSE))))),"")</f>
        <v/>
      </c>
      <c r="M117" s="1991"/>
      <c r="N117" s="1991"/>
      <c r="O117" s="1991"/>
      <c r="P117" s="1991"/>
      <c r="Q117" s="2950"/>
      <c r="R117" s="1996"/>
      <c r="S117" s="2916" t="str">
        <f t="shared" si="7"/>
        <v/>
      </c>
      <c r="T117" s="2375" t="str">
        <f t="shared" si="6"/>
        <v/>
      </c>
      <c r="U117" s="2000"/>
    </row>
    <row r="118" spans="2:21">
      <c r="B118" s="380"/>
      <c r="C118" s="1992"/>
      <c r="D118" s="1992"/>
      <c r="E118" s="1991"/>
      <c r="F118" s="1993" t="str">
        <f>IF($D118&lt;&gt;"",IF($D118="Yes",LEFT(VLOOKUP(IF(MID($E118,10,3)&lt;&gt;"VIP",$E118,LEFT($E118,15)),IP!$A$4:$N$205,11,FALSE),FIND(".",VLOOKUP(IF(MID($E118,10,3)&lt;&gt;"VIP",$E118,LEFT($E118,15)),IP!$A$4:$N$205,11,FALSE))-1),""),"")</f>
        <v/>
      </c>
      <c r="G118" s="1994" t="str">
        <f>IF($D118&lt;&gt;"",
          IF($D118="Yes",VLOOKUP(IF(MID($E118,10,3)&lt;&gt;"VIP",$E118,LEFT($E118,15)),IP!$A$4:$N$205,14,FALSE),
                     IF($D118="No", IFERROR(VLOOKUP($F118,'Host Reference'!$A$3:$B$93,2,FALSE),""),
                          VLOOKUP($F118,'Host Reference'!$A$3:$C$93,2,FALSE))),"")</f>
        <v/>
      </c>
      <c r="H118" s="1995" t="str">
        <f t="shared" si="5"/>
        <v/>
      </c>
      <c r="I118" s="1991"/>
      <c r="J118" s="1991"/>
      <c r="K118" s="2938" t="str">
        <f>IF($I118&lt;&gt;"",
    IF(LEFT(I118,4)="Test","tbcilproxy",
        IF(LEFT(I118, 4)="Prod",CONCATENATE("bcilproxy", CHAR(10),"bctxproxy"),
                 IF($I118="Yes",LEFT(VLOOKUP(IF(MID($J118,10,3)&lt;&gt;"VIP",$J118,LEFT($J118,15)),IP!$A$4:$N$205,11,FALSE),FIND(".",VLOOKUP(IF(MID($J118,10,3)&lt;&gt;"VIP",$J118,LEFT($J118,15)),IP!$A$4:$N$205,11,FALSE))-1),""))),"")</f>
        <v/>
      </c>
      <c r="L118" s="2938" t="str">
        <f>IF($I118&lt;&gt;"",
        IF($I118="Prod BlueCoat", VLOOKUP($I118,'Host Reference'!$A$3:$C$110,3,FALSE),
                IF($I118="Test BlueCoat", VLOOKUP($I118,'Host Reference'!$A$3:$C$110,3,FALSE),
             IF($I118="Yes",VLOOKUP(IF(MID($J118,10,3)&lt;&gt;"VIP",$J118,LEFT($J118,15)),IP!$A$4:$N$205,14,FALSE),
                     IF($I118="No", IFERROR(VLOOKUP($K118,'Host Reference'!$A$3:$C$110,3,FALSE),""),
                            VLOOKUP($K118,'Host Reference'!$A$3:$C$110,3,FALSE))))),"")</f>
        <v/>
      </c>
      <c r="M118" s="1991"/>
      <c r="N118" s="1991"/>
      <c r="O118" s="1991"/>
      <c r="P118" s="1991"/>
      <c r="Q118" s="2950"/>
      <c r="R118" s="1996"/>
      <c r="S118" s="2916" t="str">
        <f t="shared" si="7"/>
        <v/>
      </c>
      <c r="T118" s="2375" t="str">
        <f t="shared" si="6"/>
        <v/>
      </c>
      <c r="U118" s="2000"/>
    </row>
    <row r="119" spans="2:21">
      <c r="B119" s="380"/>
      <c r="C119" s="1992"/>
      <c r="D119" s="1992"/>
      <c r="E119" s="1991"/>
      <c r="F119" s="1993" t="str">
        <f>IF($D119&lt;&gt;"",IF($D119="Yes",LEFT(VLOOKUP(IF(MID($E119,10,3)&lt;&gt;"VIP",$E119,LEFT($E119,15)),IP!$A$4:$N$205,11,FALSE),FIND(".",VLOOKUP(IF(MID($E119,10,3)&lt;&gt;"VIP",$E119,LEFT($E119,15)),IP!$A$4:$N$205,11,FALSE))-1),""),"")</f>
        <v/>
      </c>
      <c r="G119" s="1994" t="str">
        <f>IF($D119&lt;&gt;"",
          IF($D119="Yes",VLOOKUP(IF(MID($E119,10,3)&lt;&gt;"VIP",$E119,LEFT($E119,15)),IP!$A$4:$N$205,14,FALSE),
                     IF($D119="No", IFERROR(VLOOKUP($F119,'Host Reference'!$A$3:$B$93,2,FALSE),""),
                          VLOOKUP($F119,'Host Reference'!$A$3:$C$93,2,FALSE))),"")</f>
        <v/>
      </c>
      <c r="H119" s="1995" t="str">
        <f t="shared" si="5"/>
        <v/>
      </c>
      <c r="I119" s="1991"/>
      <c r="J119" s="1991"/>
      <c r="K119" s="2938" t="str">
        <f>IF($I119&lt;&gt;"",
    IF(LEFT(I119,4)="Test","tbcilproxy",
        IF(LEFT(I119, 4)="Prod",CONCATENATE("bcilproxy", CHAR(10),"bctxproxy"),
                 IF($I119="Yes",LEFT(VLOOKUP(IF(MID($J119,10,3)&lt;&gt;"VIP",$J119,LEFT($J119,15)),IP!$A$4:$N$205,11,FALSE),FIND(".",VLOOKUP(IF(MID($J119,10,3)&lt;&gt;"VIP",$J119,LEFT($J119,15)),IP!$A$4:$N$205,11,FALSE))-1),""))),"")</f>
        <v/>
      </c>
      <c r="L119" s="2938" t="str">
        <f>IF($I119&lt;&gt;"",
        IF($I119="Prod BlueCoat", VLOOKUP($I119,'Host Reference'!$A$3:$C$110,3,FALSE),
                IF($I119="Test BlueCoat", VLOOKUP($I119,'Host Reference'!$A$3:$C$110,3,FALSE),
             IF($I119="Yes",VLOOKUP(IF(MID($J119,10,3)&lt;&gt;"VIP",$J119,LEFT($J119,15)),IP!$A$4:$N$205,14,FALSE),
                     IF($I119="No", IFERROR(VLOOKUP($K119,'Host Reference'!$A$3:$C$110,3,FALSE),""),
                            VLOOKUP($K119,'Host Reference'!$A$3:$C$110,3,FALSE))))),"")</f>
        <v/>
      </c>
      <c r="M119" s="1991"/>
      <c r="N119" s="1991"/>
      <c r="O119" s="1991"/>
      <c r="P119" s="1991"/>
      <c r="Q119" s="2950"/>
      <c r="R119" s="1996"/>
      <c r="S119" s="2916" t="str">
        <f t="shared" si="7"/>
        <v/>
      </c>
      <c r="T119" s="2375" t="str">
        <f t="shared" si="6"/>
        <v/>
      </c>
      <c r="U119" s="2000"/>
    </row>
    <row r="120" spans="2:21">
      <c r="B120" s="380"/>
      <c r="C120" s="1992"/>
      <c r="D120" s="1992"/>
      <c r="E120" s="1991"/>
      <c r="F120" s="1993" t="str">
        <f>IF($D120&lt;&gt;"",IF($D120="Yes",LEFT(VLOOKUP(IF(MID($E120,10,3)&lt;&gt;"VIP",$E120,LEFT($E120,15)),IP!$A$4:$N$205,11,FALSE),FIND(".",VLOOKUP(IF(MID($E120,10,3)&lt;&gt;"VIP",$E120,LEFT($E120,15)),IP!$A$4:$N$205,11,FALSE))-1),""),"")</f>
        <v/>
      </c>
      <c r="G120" s="1994" t="str">
        <f>IF($D120&lt;&gt;"",
          IF($D120="Yes",VLOOKUP(IF(MID($E120,10,3)&lt;&gt;"VIP",$E120,LEFT($E120,15)),IP!$A$4:$N$205,14,FALSE),
                     IF($D120="No", IFERROR(VLOOKUP($F120,'Host Reference'!$A$3:$B$93,2,FALSE),""),
                          VLOOKUP($F120,'Host Reference'!$A$3:$C$93,2,FALSE))),"")</f>
        <v/>
      </c>
      <c r="H120" s="1995" t="str">
        <f t="shared" si="5"/>
        <v/>
      </c>
      <c r="I120" s="1991"/>
      <c r="J120" s="1991"/>
      <c r="K120" s="2938" t="str">
        <f>IF($I120&lt;&gt;"",
    IF(LEFT(I120,4)="Test","tbcilproxy",
        IF(LEFT(I120, 4)="Prod",CONCATENATE("bcilproxy", CHAR(10),"bctxproxy"),
                 IF($I120="Yes",LEFT(VLOOKUP(IF(MID($J120,10,3)&lt;&gt;"VIP",$J120,LEFT($J120,15)),IP!$A$4:$N$205,11,FALSE),FIND(".",VLOOKUP(IF(MID($J120,10,3)&lt;&gt;"VIP",$J120,LEFT($J120,15)),IP!$A$4:$N$205,11,FALSE))-1),""))),"")</f>
        <v/>
      </c>
      <c r="L120" s="2938" t="str">
        <f>IF($I120&lt;&gt;"",
        IF($I120="Prod BlueCoat", VLOOKUP($I120,'Host Reference'!$A$3:$C$110,3,FALSE),
                IF($I120="Test BlueCoat", VLOOKUP($I120,'Host Reference'!$A$3:$C$110,3,FALSE),
             IF($I120="Yes",VLOOKUP(IF(MID($J120,10,3)&lt;&gt;"VIP",$J120,LEFT($J120,15)),IP!$A$4:$N$205,14,FALSE),
                     IF($I120="No", IFERROR(VLOOKUP($K120,'Host Reference'!$A$3:$C$110,3,FALSE),""),
                            VLOOKUP($K120,'Host Reference'!$A$3:$C$110,3,FALSE))))),"")</f>
        <v/>
      </c>
      <c r="M120" s="1991"/>
      <c r="N120" s="1991"/>
      <c r="O120" s="1991"/>
      <c r="P120" s="1991"/>
      <c r="Q120" s="2950"/>
      <c r="R120" s="1996"/>
      <c r="S120" s="2916" t="str">
        <f t="shared" si="7"/>
        <v/>
      </c>
      <c r="T120" s="2375" t="str">
        <f t="shared" si="6"/>
        <v/>
      </c>
      <c r="U120" s="2000"/>
    </row>
    <row r="121" spans="2:21">
      <c r="B121" s="380"/>
      <c r="C121" s="1992"/>
      <c r="D121" s="1992"/>
      <c r="E121" s="1991"/>
      <c r="F121" s="1993" t="str">
        <f>IF($D121&lt;&gt;"",IF($D121="Yes",LEFT(VLOOKUP(IF(MID($E121,10,3)&lt;&gt;"VIP",$E121,LEFT($E121,15)),IP!$A$4:$N$205,11,FALSE),FIND(".",VLOOKUP(IF(MID($E121,10,3)&lt;&gt;"VIP",$E121,LEFT($E121,15)),IP!$A$4:$N$205,11,FALSE))-1),""),"")</f>
        <v/>
      </c>
      <c r="G121" s="1994" t="str">
        <f>IF($D121&lt;&gt;"",
          IF($D121="Yes",VLOOKUP(IF(MID($E121,10,3)&lt;&gt;"VIP",$E121,LEFT($E121,15)),IP!$A$4:$N$205,14,FALSE),
                     IF($D121="No", IFERROR(VLOOKUP($F121,'Host Reference'!$A$3:$B$93,2,FALSE),""),
                          VLOOKUP($F121,'Host Reference'!$A$3:$C$93,2,FALSE))),"")</f>
        <v/>
      </c>
      <c r="H121" s="1995" t="str">
        <f t="shared" si="5"/>
        <v/>
      </c>
      <c r="I121" s="1991"/>
      <c r="J121" s="1991"/>
      <c r="K121" s="2938" t="str">
        <f>IF($I121&lt;&gt;"",
    IF(LEFT(I121,4)="Test","tbcilproxy",
        IF(LEFT(I121, 4)="Prod",CONCATENATE("bcilproxy", CHAR(10),"bctxproxy"),
                 IF($I121="Yes",LEFT(VLOOKUP(IF(MID($J121,10,3)&lt;&gt;"VIP",$J121,LEFT($J121,15)),IP!$A$4:$N$205,11,FALSE),FIND(".",VLOOKUP(IF(MID($J121,10,3)&lt;&gt;"VIP",$J121,LEFT($J121,15)),IP!$A$4:$N$205,11,FALSE))-1),""))),"")</f>
        <v/>
      </c>
      <c r="L121" s="2938" t="str">
        <f>IF($I121&lt;&gt;"",
        IF($I121="Prod BlueCoat", VLOOKUP($I121,'Host Reference'!$A$3:$C$110,3,FALSE),
                IF($I121="Test BlueCoat", VLOOKUP($I121,'Host Reference'!$A$3:$C$110,3,FALSE),
             IF($I121="Yes",VLOOKUP(IF(MID($J121,10,3)&lt;&gt;"VIP",$J121,LEFT($J121,15)),IP!$A$4:$N$205,14,FALSE),
                     IF($I121="No", IFERROR(VLOOKUP($K121,'Host Reference'!$A$3:$C$110,3,FALSE),""),
                            VLOOKUP($K121,'Host Reference'!$A$3:$C$110,3,FALSE))))),"")</f>
        <v/>
      </c>
      <c r="M121" s="1991"/>
      <c r="N121" s="1991"/>
      <c r="O121" s="1991"/>
      <c r="P121" s="1991"/>
      <c r="Q121" s="2950"/>
      <c r="R121" s="1996"/>
      <c r="S121" s="2916" t="str">
        <f t="shared" si="7"/>
        <v/>
      </c>
      <c r="T121" s="2375" t="str">
        <f t="shared" si="6"/>
        <v/>
      </c>
      <c r="U121" s="2000"/>
    </row>
    <row r="122" spans="2:21">
      <c r="B122" s="380"/>
      <c r="C122" s="1992"/>
      <c r="D122" s="1992"/>
      <c r="E122" s="1991"/>
      <c r="F122" s="1993" t="str">
        <f>IF($D122&lt;&gt;"",IF($D122="Yes",LEFT(VLOOKUP(IF(MID($E122,10,3)&lt;&gt;"VIP",$E122,LEFT($E122,15)),IP!$A$4:$N$205,11,FALSE),FIND(".",VLOOKUP(IF(MID($E122,10,3)&lt;&gt;"VIP",$E122,LEFT($E122,15)),IP!$A$4:$N$205,11,FALSE))-1),""),"")</f>
        <v/>
      </c>
      <c r="G122" s="1994" t="str">
        <f>IF($D122&lt;&gt;"",
          IF($D122="Yes",VLOOKUP(IF(MID($E122,10,3)&lt;&gt;"VIP",$E122,LEFT($E122,15)),IP!$A$4:$N$205,14,FALSE),
                     IF($D122="No", IFERROR(VLOOKUP($F122,'Host Reference'!$A$3:$B$93,2,FALSE),""),
                          VLOOKUP($F122,'Host Reference'!$A$3:$C$93,2,FALSE))),"")</f>
        <v/>
      </c>
      <c r="H122" s="1995" t="str">
        <f t="shared" si="5"/>
        <v/>
      </c>
      <c r="I122" s="1991"/>
      <c r="J122" s="1991"/>
      <c r="K122" s="2938" t="str">
        <f>IF($I122&lt;&gt;"",
    IF(LEFT(I122,4)="Test","tbcilproxy",
        IF(LEFT(I122, 4)="Prod",CONCATENATE("bcilproxy", CHAR(10),"bctxproxy"),
                 IF($I122="Yes",LEFT(VLOOKUP(IF(MID($J122,10,3)&lt;&gt;"VIP",$J122,LEFT($J122,15)),IP!$A$4:$N$205,11,FALSE),FIND(".",VLOOKUP(IF(MID($J122,10,3)&lt;&gt;"VIP",$J122,LEFT($J122,15)),IP!$A$4:$N$205,11,FALSE))-1),""))),"")</f>
        <v/>
      </c>
      <c r="L122" s="2938" t="str">
        <f>IF($I122&lt;&gt;"",
        IF($I122="Prod BlueCoat", VLOOKUP($I122,'Host Reference'!$A$3:$C$110,3,FALSE),
                IF($I122="Test BlueCoat", VLOOKUP($I122,'Host Reference'!$A$3:$C$110,3,FALSE),
             IF($I122="Yes",VLOOKUP(IF(MID($J122,10,3)&lt;&gt;"VIP",$J122,LEFT($J122,15)),IP!$A$4:$N$205,14,FALSE),
                     IF($I122="No", IFERROR(VLOOKUP($K122,'Host Reference'!$A$3:$C$110,3,FALSE),""),
                            VLOOKUP($K122,'Host Reference'!$A$3:$C$110,3,FALSE))))),"")</f>
        <v/>
      </c>
      <c r="M122" s="1991"/>
      <c r="N122" s="1991"/>
      <c r="O122" s="1991"/>
      <c r="P122" s="1991"/>
      <c r="Q122" s="2950"/>
      <c r="R122" s="1996"/>
      <c r="S122" s="2916" t="str">
        <f t="shared" si="7"/>
        <v/>
      </c>
      <c r="T122" s="2375" t="str">
        <f t="shared" si="6"/>
        <v/>
      </c>
      <c r="U122" s="2000"/>
    </row>
    <row r="123" spans="2:21">
      <c r="B123" s="380"/>
      <c r="C123" s="1992"/>
      <c r="D123" s="1992"/>
      <c r="E123" s="1991"/>
      <c r="F123" s="1993" t="str">
        <f>IF($D123&lt;&gt;"",IF($D123="Yes",LEFT(VLOOKUP(IF(MID($E123,10,3)&lt;&gt;"VIP",$E123,LEFT($E123,15)),IP!$A$4:$N$205,11,FALSE),FIND(".",VLOOKUP(IF(MID($E123,10,3)&lt;&gt;"VIP",$E123,LEFT($E123,15)),IP!$A$4:$N$205,11,FALSE))-1),""),"")</f>
        <v/>
      </c>
      <c r="G123" s="1994" t="str">
        <f>IF($D123&lt;&gt;"",
          IF($D123="Yes",VLOOKUP(IF(MID($E123,10,3)&lt;&gt;"VIP",$E123,LEFT($E123,15)),IP!$A$4:$N$205,14,FALSE),
                     IF($D123="No", IFERROR(VLOOKUP($F123,'Host Reference'!$A$3:$B$93,2,FALSE),""),
                          VLOOKUP($F123,'Host Reference'!$A$3:$C$93,2,FALSE))),"")</f>
        <v/>
      </c>
      <c r="H123" s="1995" t="str">
        <f t="shared" si="5"/>
        <v/>
      </c>
      <c r="I123" s="1991"/>
      <c r="J123" s="1991"/>
      <c r="K123" s="2938" t="str">
        <f>IF($I123&lt;&gt;"",
    IF(LEFT(I123,4)="Test","tbcilproxy",
        IF(LEFT(I123, 4)="Prod",CONCATENATE("bcilproxy", CHAR(10),"bctxproxy"),
                 IF($I123="Yes",LEFT(VLOOKUP(IF(MID($J123,10,3)&lt;&gt;"VIP",$J123,LEFT($J123,15)),IP!$A$4:$N$205,11,FALSE),FIND(".",VLOOKUP(IF(MID($J123,10,3)&lt;&gt;"VIP",$J123,LEFT($J123,15)),IP!$A$4:$N$205,11,FALSE))-1),""))),"")</f>
        <v/>
      </c>
      <c r="L123" s="2938" t="str">
        <f>IF($I123&lt;&gt;"",
        IF($I123="Prod BlueCoat", VLOOKUP($I123,'Host Reference'!$A$3:$C$110,3,FALSE),
                IF($I123="Test BlueCoat", VLOOKUP($I123,'Host Reference'!$A$3:$C$110,3,FALSE),
             IF($I123="Yes",VLOOKUP(IF(MID($J123,10,3)&lt;&gt;"VIP",$J123,LEFT($J123,15)),IP!$A$4:$N$205,14,FALSE),
                     IF($I123="No", IFERROR(VLOOKUP($K123,'Host Reference'!$A$3:$C$110,3,FALSE),""),
                            VLOOKUP($K123,'Host Reference'!$A$3:$C$110,3,FALSE))))),"")</f>
        <v/>
      </c>
      <c r="M123" s="1991"/>
      <c r="N123" s="1991"/>
      <c r="O123" s="1991"/>
      <c r="P123" s="1991"/>
      <c r="Q123" s="2950"/>
      <c r="R123" s="1996"/>
      <c r="S123" s="2916" t="str">
        <f t="shared" si="7"/>
        <v/>
      </c>
      <c r="T123" s="2375" t="str">
        <f t="shared" si="6"/>
        <v/>
      </c>
      <c r="U123" s="2000"/>
    </row>
    <row r="124" spans="2:21">
      <c r="B124" s="380"/>
      <c r="C124" s="1992"/>
      <c r="D124" s="1992"/>
      <c r="E124" s="1991"/>
      <c r="F124" s="1993" t="str">
        <f>IF($D124&lt;&gt;"",IF($D124="Yes",LEFT(VLOOKUP(IF(MID($E124,10,3)&lt;&gt;"VIP",$E124,LEFT($E124,15)),IP!$A$4:$N$205,11,FALSE),FIND(".",VLOOKUP(IF(MID($E124,10,3)&lt;&gt;"VIP",$E124,LEFT($E124,15)),IP!$A$4:$N$205,11,FALSE))-1),""),"")</f>
        <v/>
      </c>
      <c r="G124" s="1994" t="str">
        <f>IF($D124&lt;&gt;"",
          IF($D124="Yes",VLOOKUP(IF(MID($E124,10,3)&lt;&gt;"VIP",$E124,LEFT($E124,15)),IP!$A$4:$N$205,14,FALSE),
                     IF($D124="No", IFERROR(VLOOKUP($F124,'Host Reference'!$A$3:$B$93,2,FALSE),""),
                          VLOOKUP($F124,'Host Reference'!$A$3:$C$93,2,FALSE))),"")</f>
        <v/>
      </c>
      <c r="H124" s="1995" t="str">
        <f t="shared" si="5"/>
        <v/>
      </c>
      <c r="I124" s="1991"/>
      <c r="J124" s="1991"/>
      <c r="K124" s="2938" t="str">
        <f>IF($I124&lt;&gt;"",
    IF(LEFT(I124,4)="Test","tbcilproxy",
        IF(LEFT(I124, 4)="Prod",CONCATENATE("bcilproxy", CHAR(10),"bctxproxy"),
                 IF($I124="Yes",LEFT(VLOOKUP(IF(MID($J124,10,3)&lt;&gt;"VIP",$J124,LEFT($J124,15)),IP!$A$4:$N$205,11,FALSE),FIND(".",VLOOKUP(IF(MID($J124,10,3)&lt;&gt;"VIP",$J124,LEFT($J124,15)),IP!$A$4:$N$205,11,FALSE))-1),""))),"")</f>
        <v/>
      </c>
      <c r="L124" s="2938" t="str">
        <f>IF($I124&lt;&gt;"",
        IF($I124="Prod BlueCoat", VLOOKUP($I124,'Host Reference'!$A$3:$C$110,3,FALSE),
                IF($I124="Test BlueCoat", VLOOKUP($I124,'Host Reference'!$A$3:$C$110,3,FALSE),
             IF($I124="Yes",VLOOKUP(IF(MID($J124,10,3)&lt;&gt;"VIP",$J124,LEFT($J124,15)),IP!$A$4:$N$205,14,FALSE),
                     IF($I124="No", IFERROR(VLOOKUP($K124,'Host Reference'!$A$3:$C$110,3,FALSE),""),
                            VLOOKUP($K124,'Host Reference'!$A$3:$C$110,3,FALSE))))),"")</f>
        <v/>
      </c>
      <c r="M124" s="1991"/>
      <c r="N124" s="1991"/>
      <c r="O124" s="1991"/>
      <c r="P124" s="1991"/>
      <c r="Q124" s="2950"/>
      <c r="R124" s="1996"/>
      <c r="S124" s="2916" t="str">
        <f t="shared" si="7"/>
        <v/>
      </c>
      <c r="T124" s="2375" t="str">
        <f t="shared" si="6"/>
        <v/>
      </c>
      <c r="U124" s="2000"/>
    </row>
    <row r="125" spans="2:21">
      <c r="B125" s="380"/>
      <c r="C125" s="1992"/>
      <c r="D125" s="1992"/>
      <c r="E125" s="1991"/>
      <c r="F125" s="1993" t="str">
        <f>IF($D125&lt;&gt;"",IF($D125="Yes",LEFT(VLOOKUP(IF(MID($E125,10,3)&lt;&gt;"VIP",$E125,LEFT($E125,15)),IP!$A$4:$N$205,11,FALSE),FIND(".",VLOOKUP(IF(MID($E125,10,3)&lt;&gt;"VIP",$E125,LEFT($E125,15)),IP!$A$4:$N$205,11,FALSE))-1),""),"")</f>
        <v/>
      </c>
      <c r="G125" s="1994" t="str">
        <f>IF($D125&lt;&gt;"",
          IF($D125="Yes",VLOOKUP(IF(MID($E125,10,3)&lt;&gt;"VIP",$E125,LEFT($E125,15)),IP!$A$4:$N$205,14,FALSE),
                     IF($D125="No", IFERROR(VLOOKUP($F125,'Host Reference'!$A$3:$B$93,2,FALSE),""),
                          VLOOKUP($F125,'Host Reference'!$A$3:$C$93,2,FALSE))),"")</f>
        <v/>
      </c>
      <c r="H125" s="1995" t="str">
        <f t="shared" si="5"/>
        <v/>
      </c>
      <c r="I125" s="1991"/>
      <c r="J125" s="1991"/>
      <c r="K125" s="2938" t="str">
        <f>IF($I125&lt;&gt;"",
    IF(LEFT(I125,4)="Test","tbcilproxy",
        IF(LEFT(I125, 4)="Prod",CONCATENATE("bcilproxy", CHAR(10),"bctxproxy"),
                 IF($I125="Yes",LEFT(VLOOKUP(IF(MID($J125,10,3)&lt;&gt;"VIP",$J125,LEFT($J125,15)),IP!$A$4:$N$205,11,FALSE),FIND(".",VLOOKUP(IF(MID($J125,10,3)&lt;&gt;"VIP",$J125,LEFT($J125,15)),IP!$A$4:$N$205,11,FALSE))-1),""))),"")</f>
        <v/>
      </c>
      <c r="L125" s="2938" t="str">
        <f>IF($I125&lt;&gt;"",
        IF($I125="Prod BlueCoat", VLOOKUP($I125,'Host Reference'!$A$3:$C$110,3,FALSE),
                IF($I125="Test BlueCoat", VLOOKUP($I125,'Host Reference'!$A$3:$C$110,3,FALSE),
             IF($I125="Yes",VLOOKUP(IF(MID($J125,10,3)&lt;&gt;"VIP",$J125,LEFT($J125,15)),IP!$A$4:$N$205,14,FALSE),
                     IF($I125="No", IFERROR(VLOOKUP($K125,'Host Reference'!$A$3:$C$110,3,FALSE),""),
                            VLOOKUP($K125,'Host Reference'!$A$3:$C$110,3,FALSE))))),"")</f>
        <v/>
      </c>
      <c r="M125" s="1991"/>
      <c r="N125" s="1991"/>
      <c r="O125" s="1991"/>
      <c r="P125" s="1991"/>
      <c r="Q125" s="2950"/>
      <c r="R125" s="1996"/>
      <c r="S125" s="2916" t="str">
        <f t="shared" si="7"/>
        <v/>
      </c>
      <c r="T125" s="2375" t="str">
        <f t="shared" si="6"/>
        <v/>
      </c>
      <c r="U125" s="2000"/>
    </row>
    <row r="126" spans="2:21">
      <c r="B126" s="380"/>
      <c r="C126" s="1992"/>
      <c r="D126" s="1992"/>
      <c r="E126" s="1991"/>
      <c r="F126" s="1993" t="str">
        <f>IF($D126&lt;&gt;"",IF($D126="Yes",LEFT(VLOOKUP(IF(MID($E126,10,3)&lt;&gt;"VIP",$E126,LEFT($E126,15)),IP!$A$4:$N$205,11,FALSE),FIND(".",VLOOKUP(IF(MID($E126,10,3)&lt;&gt;"VIP",$E126,LEFT($E126,15)),IP!$A$4:$N$205,11,FALSE))-1),""),"")</f>
        <v/>
      </c>
      <c r="G126" s="1994" t="str">
        <f>IF($D126&lt;&gt;"",
          IF($D126="Yes",VLOOKUP(IF(MID($E126,10,3)&lt;&gt;"VIP",$E126,LEFT($E126,15)),IP!$A$4:$N$205,14,FALSE),
                     IF($D126="No", IFERROR(VLOOKUP($F126,'Host Reference'!$A$3:$B$93,2,FALSE),""),
                          VLOOKUP($F126,'Host Reference'!$A$3:$C$93,2,FALSE))),"")</f>
        <v/>
      </c>
      <c r="H126" s="1995" t="str">
        <f t="shared" si="5"/>
        <v/>
      </c>
      <c r="I126" s="1991"/>
      <c r="J126" s="1991"/>
      <c r="K126" s="2938" t="str">
        <f>IF($I126&lt;&gt;"",
    IF(LEFT(I126,4)="Test","tbcilproxy",
        IF(LEFT(I126, 4)="Prod",CONCATENATE("bcilproxy", CHAR(10),"bctxproxy"),
                 IF($I126="Yes",LEFT(VLOOKUP(IF(MID($J126,10,3)&lt;&gt;"VIP",$J126,LEFT($J126,15)),IP!$A$4:$N$205,11,FALSE),FIND(".",VLOOKUP(IF(MID($J126,10,3)&lt;&gt;"VIP",$J126,LEFT($J126,15)),IP!$A$4:$N$205,11,FALSE))-1),""))),"")</f>
        <v/>
      </c>
      <c r="L126" s="2938" t="str">
        <f>IF($I126&lt;&gt;"",
        IF($I126="Prod BlueCoat", VLOOKUP($I126,'Host Reference'!$A$3:$C$110,3,FALSE),
                IF($I126="Test BlueCoat", VLOOKUP($I126,'Host Reference'!$A$3:$C$110,3,FALSE),
             IF($I126="Yes",VLOOKUP(IF(MID($J126,10,3)&lt;&gt;"VIP",$J126,LEFT($J126,15)),IP!$A$4:$N$205,14,FALSE),
                     IF($I126="No", IFERROR(VLOOKUP($K126,'Host Reference'!$A$3:$C$110,3,FALSE),""),
                            VLOOKUP($K126,'Host Reference'!$A$3:$C$110,3,FALSE))))),"")</f>
        <v/>
      </c>
      <c r="M126" s="1991"/>
      <c r="N126" s="1991"/>
      <c r="O126" s="1991"/>
      <c r="P126" s="1991"/>
      <c r="Q126" s="2950"/>
      <c r="R126" s="1996"/>
      <c r="S126" s="2916" t="str">
        <f t="shared" si="7"/>
        <v/>
      </c>
      <c r="T126" s="2375" t="str">
        <f t="shared" si="6"/>
        <v/>
      </c>
      <c r="U126" s="2000"/>
    </row>
    <row r="127" spans="2:21">
      <c r="B127" s="380"/>
      <c r="C127" s="1992"/>
      <c r="D127" s="1992"/>
      <c r="E127" s="1991"/>
      <c r="F127" s="1993" t="str">
        <f>IF($D127&lt;&gt;"",IF($D127="Yes",LEFT(VLOOKUP(IF(MID($E127,10,3)&lt;&gt;"VIP",$E127,LEFT($E127,15)),IP!$A$4:$N$205,11,FALSE),FIND(".",VLOOKUP(IF(MID($E127,10,3)&lt;&gt;"VIP",$E127,LEFT($E127,15)),IP!$A$4:$N$205,11,FALSE))-1),""),"")</f>
        <v/>
      </c>
      <c r="G127" s="1994" t="str">
        <f>IF($D127&lt;&gt;"",
          IF($D127="Yes",VLOOKUP(IF(MID($E127,10,3)&lt;&gt;"VIP",$E127,LEFT($E127,15)),IP!$A$4:$N$205,14,FALSE),
                     IF($D127="No", IFERROR(VLOOKUP($F127,'Host Reference'!$A$3:$B$93,2,FALSE),""),
                          VLOOKUP($F127,'Host Reference'!$A$3:$C$93,2,FALSE))),"")</f>
        <v/>
      </c>
      <c r="H127" s="1995" t="str">
        <f t="shared" si="5"/>
        <v/>
      </c>
      <c r="I127" s="1991"/>
      <c r="J127" s="1991"/>
      <c r="K127" s="2938" t="str">
        <f>IF($I127&lt;&gt;"",
    IF(LEFT(I127,4)="Test","tbcilproxy",
        IF(LEFT(I127, 4)="Prod",CONCATENATE("bcilproxy", CHAR(10),"bctxproxy"),
                 IF($I127="Yes",LEFT(VLOOKUP(IF(MID($J127,10,3)&lt;&gt;"VIP",$J127,LEFT($J127,15)),IP!$A$4:$N$205,11,FALSE),FIND(".",VLOOKUP(IF(MID($J127,10,3)&lt;&gt;"VIP",$J127,LEFT($J127,15)),IP!$A$4:$N$205,11,FALSE))-1),""))),"")</f>
        <v/>
      </c>
      <c r="L127" s="2938" t="str">
        <f>IF($I127&lt;&gt;"",
        IF($I127="Prod BlueCoat", VLOOKUP($I127,'Host Reference'!$A$3:$C$110,3,FALSE),
                IF($I127="Test BlueCoat", VLOOKUP($I127,'Host Reference'!$A$3:$C$110,3,FALSE),
             IF($I127="Yes",VLOOKUP(IF(MID($J127,10,3)&lt;&gt;"VIP",$J127,LEFT($J127,15)),IP!$A$4:$N$205,14,FALSE),
                     IF($I127="No", IFERROR(VLOOKUP($K127,'Host Reference'!$A$3:$C$110,3,FALSE),""),
                            VLOOKUP($K127,'Host Reference'!$A$3:$C$110,3,FALSE))))),"")</f>
        <v/>
      </c>
      <c r="M127" s="1991"/>
      <c r="N127" s="1991"/>
      <c r="O127" s="1991"/>
      <c r="P127" s="1991"/>
      <c r="Q127" s="2950"/>
      <c r="R127" s="1996"/>
      <c r="S127" s="2916" t="str">
        <f t="shared" si="7"/>
        <v/>
      </c>
      <c r="T127" s="2375" t="str">
        <f t="shared" si="6"/>
        <v/>
      </c>
      <c r="U127" s="2000"/>
    </row>
    <row r="128" spans="2:21">
      <c r="B128" s="380"/>
      <c r="C128" s="1992"/>
      <c r="D128" s="1992"/>
      <c r="E128" s="1991"/>
      <c r="F128" s="1993" t="str">
        <f>IF($D128&lt;&gt;"",IF($D128="Yes",LEFT(VLOOKUP(IF(MID($E128,10,3)&lt;&gt;"VIP",$E128,LEFT($E128,15)),IP!$A$4:$N$205,11,FALSE),FIND(".",VLOOKUP(IF(MID($E128,10,3)&lt;&gt;"VIP",$E128,LEFT($E128,15)),IP!$A$4:$N$205,11,FALSE))-1),""),"")</f>
        <v/>
      </c>
      <c r="G128" s="1994" t="str">
        <f>IF($D128&lt;&gt;"",
          IF($D128="Yes",VLOOKUP(IF(MID($E128,10,3)&lt;&gt;"VIP",$E128,LEFT($E128,15)),IP!$A$4:$N$205,14,FALSE),
                     IF($D128="No", IFERROR(VLOOKUP($F128,'Host Reference'!$A$3:$B$93,2,FALSE),""),
                          VLOOKUP($F128,'Host Reference'!$A$3:$C$93,2,FALSE))),"")</f>
        <v/>
      </c>
      <c r="H128" s="1995" t="str">
        <f t="shared" si="5"/>
        <v/>
      </c>
      <c r="I128" s="1991"/>
      <c r="J128" s="1991"/>
      <c r="K128" s="2938" t="str">
        <f>IF($I128&lt;&gt;"",
    IF(LEFT(I128,4)="Test","tbcilproxy",
        IF(LEFT(I128, 4)="Prod",CONCATENATE("bcilproxy", CHAR(10),"bctxproxy"),
                 IF($I128="Yes",LEFT(VLOOKUP(IF(MID($J128,10,3)&lt;&gt;"VIP",$J128,LEFT($J128,15)),IP!$A$4:$N$205,11,FALSE),FIND(".",VLOOKUP(IF(MID($J128,10,3)&lt;&gt;"VIP",$J128,LEFT($J128,15)),IP!$A$4:$N$205,11,FALSE))-1),""))),"")</f>
        <v/>
      </c>
      <c r="L128" s="2938" t="str">
        <f>IF($I128&lt;&gt;"",
        IF($I128="Prod BlueCoat", VLOOKUP($I128,'Host Reference'!$A$3:$C$110,3,FALSE),
                IF($I128="Test BlueCoat", VLOOKUP($I128,'Host Reference'!$A$3:$C$110,3,FALSE),
             IF($I128="Yes",VLOOKUP(IF(MID($J128,10,3)&lt;&gt;"VIP",$J128,LEFT($J128,15)),IP!$A$4:$N$205,14,FALSE),
                     IF($I128="No", IFERROR(VLOOKUP($K128,'Host Reference'!$A$3:$C$110,3,FALSE),""),
                            VLOOKUP($K128,'Host Reference'!$A$3:$C$110,3,FALSE))))),"")</f>
        <v/>
      </c>
      <c r="M128" s="1991"/>
      <c r="N128" s="1991"/>
      <c r="O128" s="1991"/>
      <c r="P128" s="1991"/>
      <c r="Q128" s="2950"/>
      <c r="R128" s="1996"/>
      <c r="S128" s="2916" t="str">
        <f t="shared" si="7"/>
        <v/>
      </c>
      <c r="T128" s="2375" t="str">
        <f t="shared" si="6"/>
        <v/>
      </c>
      <c r="U128" s="2000"/>
    </row>
    <row r="129" spans="2:21">
      <c r="B129" s="380"/>
      <c r="C129" s="1992"/>
      <c r="D129" s="1992"/>
      <c r="E129" s="1991"/>
      <c r="F129" s="1993" t="str">
        <f>IF($D129&lt;&gt;"",IF($D129="Yes",LEFT(VLOOKUP(IF(MID($E129,10,3)&lt;&gt;"VIP",$E129,LEFT($E129,15)),IP!$A$4:$N$205,11,FALSE),FIND(".",VLOOKUP(IF(MID($E129,10,3)&lt;&gt;"VIP",$E129,LEFT($E129,15)),IP!$A$4:$N$205,11,FALSE))-1),""),"")</f>
        <v/>
      </c>
      <c r="G129" s="1994" t="str">
        <f>IF($D129&lt;&gt;"",
          IF($D129="Yes",VLOOKUP(IF(MID($E129,10,3)&lt;&gt;"VIP",$E129,LEFT($E129,15)),IP!$A$4:$N$205,14,FALSE),
                     IF($D129="No", IFERROR(VLOOKUP($F129,'Host Reference'!$A$3:$B$93,2,FALSE),""),
                          VLOOKUP($F129,'Host Reference'!$A$3:$C$93,2,FALSE))),"")</f>
        <v/>
      </c>
      <c r="H129" s="1995" t="str">
        <f t="shared" si="5"/>
        <v/>
      </c>
      <c r="I129" s="1991"/>
      <c r="J129" s="1991"/>
      <c r="K129" s="2938" t="str">
        <f>IF($I129&lt;&gt;"",
    IF(LEFT(I129,4)="Test","tbcilproxy",
        IF(LEFT(I129, 4)="Prod",CONCATENATE("bcilproxy", CHAR(10),"bctxproxy"),
                 IF($I129="Yes",LEFT(VLOOKUP(IF(MID($J129,10,3)&lt;&gt;"VIP",$J129,LEFT($J129,15)),IP!$A$4:$N$205,11,FALSE),FIND(".",VLOOKUP(IF(MID($J129,10,3)&lt;&gt;"VIP",$J129,LEFT($J129,15)),IP!$A$4:$N$205,11,FALSE))-1),""))),"")</f>
        <v/>
      </c>
      <c r="L129" s="2938" t="str">
        <f>IF($I129&lt;&gt;"",
        IF($I129="Prod BlueCoat", VLOOKUP($I129,'Host Reference'!$A$3:$C$110,3,FALSE),
                IF($I129="Test BlueCoat", VLOOKUP($I129,'Host Reference'!$A$3:$C$110,3,FALSE),
             IF($I129="Yes",VLOOKUP(IF(MID($J129,10,3)&lt;&gt;"VIP",$J129,LEFT($J129,15)),IP!$A$4:$N$205,14,FALSE),
                     IF($I129="No", IFERROR(VLOOKUP($K129,'Host Reference'!$A$3:$C$110,3,FALSE),""),
                            VLOOKUP($K129,'Host Reference'!$A$3:$C$110,3,FALSE))))),"")</f>
        <v/>
      </c>
      <c r="M129" s="1991"/>
      <c r="N129" s="1991"/>
      <c r="O129" s="1991"/>
      <c r="P129" s="1991"/>
      <c r="Q129" s="2950"/>
      <c r="R129" s="1996"/>
      <c r="S129" s="2916" t="str">
        <f t="shared" si="7"/>
        <v/>
      </c>
      <c r="T129" s="2375" t="str">
        <f t="shared" si="6"/>
        <v/>
      </c>
      <c r="U129" s="2000"/>
    </row>
    <row r="130" spans="2:21">
      <c r="B130" s="380"/>
      <c r="C130" s="1992"/>
      <c r="D130" s="1992"/>
      <c r="E130" s="1991"/>
      <c r="F130" s="1993" t="str">
        <f>IF($D130&lt;&gt;"",IF($D130="Yes",LEFT(VLOOKUP(IF(MID($E130,10,3)&lt;&gt;"VIP",$E130,LEFT($E130,15)),IP!$A$4:$N$205,11,FALSE),FIND(".",VLOOKUP(IF(MID($E130,10,3)&lt;&gt;"VIP",$E130,LEFT($E130,15)),IP!$A$4:$N$205,11,FALSE))-1),""),"")</f>
        <v/>
      </c>
      <c r="G130" s="1994" t="str">
        <f>IF($D130&lt;&gt;"",
          IF($D130="Yes",VLOOKUP(IF(MID($E130,10,3)&lt;&gt;"VIP",$E130,LEFT($E130,15)),IP!$A$4:$N$205,14,FALSE),
                     IF($D130="No", IFERROR(VLOOKUP($F130,'Host Reference'!$A$3:$B$93,2,FALSE),""),
                          VLOOKUP($F130,'Host Reference'!$A$3:$C$93,2,FALSE))),"")</f>
        <v/>
      </c>
      <c r="H130" s="1995" t="str">
        <f t="shared" si="5"/>
        <v/>
      </c>
      <c r="I130" s="1991"/>
      <c r="J130" s="1991"/>
      <c r="K130" s="2938" t="str">
        <f>IF($I130&lt;&gt;"",
    IF(LEFT(I130,4)="Test","tbcilproxy",
        IF(LEFT(I130, 4)="Prod",CONCATENATE("bcilproxy", CHAR(10),"bctxproxy"),
                 IF($I130="Yes",LEFT(VLOOKUP(IF(MID($J130,10,3)&lt;&gt;"VIP",$J130,LEFT($J130,15)),IP!$A$4:$N$205,11,FALSE),FIND(".",VLOOKUP(IF(MID($J130,10,3)&lt;&gt;"VIP",$J130,LEFT($J130,15)),IP!$A$4:$N$205,11,FALSE))-1),""))),"")</f>
        <v/>
      </c>
      <c r="L130" s="2938" t="str">
        <f>IF($I130&lt;&gt;"",
        IF($I130="Prod BlueCoat", VLOOKUP($I130,'Host Reference'!$A$3:$C$110,3,FALSE),
                IF($I130="Test BlueCoat", VLOOKUP($I130,'Host Reference'!$A$3:$C$110,3,FALSE),
             IF($I130="Yes",VLOOKUP(IF(MID($J130,10,3)&lt;&gt;"VIP",$J130,LEFT($J130,15)),IP!$A$4:$N$205,14,FALSE),
                     IF($I130="No", IFERROR(VLOOKUP($K130,'Host Reference'!$A$3:$C$110,3,FALSE),""),
                            VLOOKUP($K130,'Host Reference'!$A$3:$C$110,3,FALSE))))),"")</f>
        <v/>
      </c>
      <c r="M130" s="1991"/>
      <c r="N130" s="1991"/>
      <c r="O130" s="1991"/>
      <c r="P130" s="1991"/>
      <c r="Q130" s="2950"/>
      <c r="R130" s="1996"/>
      <c r="S130" s="2916" t="str">
        <f t="shared" si="7"/>
        <v/>
      </c>
      <c r="T130" s="2375" t="str">
        <f t="shared" si="6"/>
        <v/>
      </c>
      <c r="U130" s="2000"/>
    </row>
    <row r="131" spans="2:21">
      <c r="B131" s="380"/>
      <c r="C131" s="1992"/>
      <c r="D131" s="1992"/>
      <c r="E131" s="1991"/>
      <c r="F131" s="1993" t="str">
        <f>IF($D131&lt;&gt;"",IF($D131="Yes",LEFT(VLOOKUP(IF(MID($E131,10,3)&lt;&gt;"VIP",$E131,LEFT($E131,15)),IP!$A$4:$N$205,11,FALSE),FIND(".",VLOOKUP(IF(MID($E131,10,3)&lt;&gt;"VIP",$E131,LEFT($E131,15)),IP!$A$4:$N$205,11,FALSE))-1),""),"")</f>
        <v/>
      </c>
      <c r="G131" s="1994" t="str">
        <f>IF($D131&lt;&gt;"",
          IF($D131="Yes",VLOOKUP(IF(MID($E131,10,3)&lt;&gt;"VIP",$E131,LEFT($E131,15)),IP!$A$4:$N$205,14,FALSE),
                     IF($D131="No", IFERROR(VLOOKUP($F131,'Host Reference'!$A$3:$B$93,2,FALSE),""),
                          VLOOKUP($F131,'Host Reference'!$A$3:$C$93,2,FALSE))),"")</f>
        <v/>
      </c>
      <c r="H131" s="1995" t="str">
        <f t="shared" si="5"/>
        <v/>
      </c>
      <c r="I131" s="1991"/>
      <c r="J131" s="1991"/>
      <c r="K131" s="2938" t="str">
        <f>IF($I131&lt;&gt;"",
    IF(LEFT(I131,4)="Test","tbcilproxy",
        IF(LEFT(I131, 4)="Prod",CONCATENATE("bcilproxy", CHAR(10),"bctxproxy"),
                 IF($I131="Yes",LEFT(VLOOKUP(IF(MID($J131,10,3)&lt;&gt;"VIP",$J131,LEFT($J131,15)),IP!$A$4:$N$205,11,FALSE),FIND(".",VLOOKUP(IF(MID($J131,10,3)&lt;&gt;"VIP",$J131,LEFT($J131,15)),IP!$A$4:$N$205,11,FALSE))-1),""))),"")</f>
        <v/>
      </c>
      <c r="L131" s="2938" t="str">
        <f>IF($I131&lt;&gt;"",
        IF($I131="Prod BlueCoat", VLOOKUP($I131,'Host Reference'!$A$3:$C$110,3,FALSE),
                IF($I131="Test BlueCoat", VLOOKUP($I131,'Host Reference'!$A$3:$C$110,3,FALSE),
             IF($I131="Yes",VLOOKUP(IF(MID($J131,10,3)&lt;&gt;"VIP",$J131,LEFT($J131,15)),IP!$A$4:$N$205,14,FALSE),
                     IF($I131="No", IFERROR(VLOOKUP($K131,'Host Reference'!$A$3:$C$110,3,FALSE),""),
                            VLOOKUP($K131,'Host Reference'!$A$3:$C$110,3,FALSE))))),"")</f>
        <v/>
      </c>
      <c r="M131" s="1991"/>
      <c r="N131" s="1991"/>
      <c r="O131" s="1991"/>
      <c r="P131" s="1991"/>
      <c r="Q131" s="2950"/>
      <c r="R131" s="1996"/>
      <c r="S131" s="2916" t="str">
        <f t="shared" si="7"/>
        <v/>
      </c>
      <c r="T131" s="2375" t="str">
        <f t="shared" si="6"/>
        <v/>
      </c>
      <c r="U131" s="2000"/>
    </row>
    <row r="132" spans="2:21">
      <c r="B132" s="380"/>
      <c r="C132" s="1992"/>
      <c r="D132" s="1992"/>
      <c r="E132" s="1991"/>
      <c r="F132" s="1993" t="str">
        <f>IF($D132&lt;&gt;"",IF($D132="Yes",LEFT(VLOOKUP(IF(MID($E132,10,3)&lt;&gt;"VIP",$E132,LEFT($E132,15)),IP!$A$4:$N$205,11,FALSE),FIND(".",VLOOKUP(IF(MID($E132,10,3)&lt;&gt;"VIP",$E132,LEFT($E132,15)),IP!$A$4:$N$205,11,FALSE))-1),""),"")</f>
        <v/>
      </c>
      <c r="G132" s="1994" t="str">
        <f>IF($D132&lt;&gt;"",
          IF($D132="Yes",VLOOKUP(IF(MID($E132,10,3)&lt;&gt;"VIP",$E132,LEFT($E132,15)),IP!$A$4:$N$205,14,FALSE),
                     IF($D132="No", IFERROR(VLOOKUP($F132,'Host Reference'!$A$3:$B$93,2,FALSE),""),
                          VLOOKUP($F132,'Host Reference'!$A$3:$C$93,2,FALSE))),"")</f>
        <v/>
      </c>
      <c r="H132" s="1995" t="str">
        <f t="shared" si="5"/>
        <v/>
      </c>
      <c r="I132" s="1991"/>
      <c r="J132" s="1991"/>
      <c r="K132" s="2938" t="str">
        <f>IF($I132&lt;&gt;"",
    IF(LEFT(I132,4)="Test","tbcilproxy",
        IF(LEFT(I132, 4)="Prod",CONCATENATE("bcilproxy", CHAR(10),"bctxproxy"),
                 IF($I132="Yes",LEFT(VLOOKUP(IF(MID($J132,10,3)&lt;&gt;"VIP",$J132,LEFT($J132,15)),IP!$A$4:$N$205,11,FALSE),FIND(".",VLOOKUP(IF(MID($J132,10,3)&lt;&gt;"VIP",$J132,LEFT($J132,15)),IP!$A$4:$N$205,11,FALSE))-1),""))),"")</f>
        <v/>
      </c>
      <c r="L132" s="2938" t="str">
        <f>IF($I132&lt;&gt;"",
        IF($I132="Prod BlueCoat", VLOOKUP($I132,'Host Reference'!$A$3:$C$110,3,FALSE),
                IF($I132="Test BlueCoat", VLOOKUP($I132,'Host Reference'!$A$3:$C$110,3,FALSE),
             IF($I132="Yes",VLOOKUP(IF(MID($J132,10,3)&lt;&gt;"VIP",$J132,LEFT($J132,15)),IP!$A$4:$N$205,14,FALSE),
                     IF($I132="No", IFERROR(VLOOKUP($K132,'Host Reference'!$A$3:$C$110,3,FALSE),""),
                            VLOOKUP($K132,'Host Reference'!$A$3:$C$110,3,FALSE))))),"")</f>
        <v/>
      </c>
      <c r="M132" s="1991"/>
      <c r="N132" s="1991"/>
      <c r="O132" s="1991"/>
      <c r="P132" s="1991"/>
      <c r="Q132" s="2950"/>
      <c r="R132" s="1996"/>
      <c r="S132" s="2916" t="str">
        <f t="shared" si="7"/>
        <v/>
      </c>
      <c r="T132" s="2375" t="str">
        <f t="shared" si="6"/>
        <v/>
      </c>
      <c r="U132" s="2000"/>
    </row>
    <row r="133" spans="2:21">
      <c r="B133" s="380"/>
      <c r="C133" s="1992"/>
      <c r="D133" s="1992"/>
      <c r="E133" s="1991"/>
      <c r="F133" s="1993" t="str">
        <f>IF($D133&lt;&gt;"",IF($D133="Yes",LEFT(VLOOKUP(IF(MID($E133,10,3)&lt;&gt;"VIP",$E133,LEFT($E133,15)),IP!$A$4:$N$205,11,FALSE),FIND(".",VLOOKUP(IF(MID($E133,10,3)&lt;&gt;"VIP",$E133,LEFT($E133,15)),IP!$A$4:$N$205,11,FALSE))-1),""),"")</f>
        <v/>
      </c>
      <c r="G133" s="1994" t="str">
        <f>IF($D133&lt;&gt;"",
          IF($D133="Yes",VLOOKUP(IF(MID($E133,10,3)&lt;&gt;"VIP",$E133,LEFT($E133,15)),IP!$A$4:$N$205,14,FALSE),
                     IF($D133="No", IFERROR(VLOOKUP($F133,'Host Reference'!$A$3:$B$93,2,FALSE),""),
                          VLOOKUP($F133,'Host Reference'!$A$3:$C$93,2,FALSE))),"")</f>
        <v/>
      </c>
      <c r="H133" s="1995" t="str">
        <f t="shared" si="5"/>
        <v/>
      </c>
      <c r="I133" s="1991"/>
      <c r="J133" s="1991"/>
      <c r="K133" s="2938" t="str">
        <f>IF($I133&lt;&gt;"",
    IF(LEFT(I133,4)="Test","tbcilproxy",
        IF(LEFT(I133, 4)="Prod",CONCATENATE("bcilproxy", CHAR(10),"bctxproxy"),
                 IF($I133="Yes",LEFT(VLOOKUP(IF(MID($J133,10,3)&lt;&gt;"VIP",$J133,LEFT($J133,15)),IP!$A$4:$N$205,11,FALSE),FIND(".",VLOOKUP(IF(MID($J133,10,3)&lt;&gt;"VIP",$J133,LEFT($J133,15)),IP!$A$4:$N$205,11,FALSE))-1),""))),"")</f>
        <v/>
      </c>
      <c r="L133" s="2938" t="str">
        <f>IF($I133&lt;&gt;"",
        IF($I133="Prod BlueCoat", VLOOKUP($I133,'Host Reference'!$A$3:$C$110,3,FALSE),
                IF($I133="Test BlueCoat", VLOOKUP($I133,'Host Reference'!$A$3:$C$110,3,FALSE),
             IF($I133="Yes",VLOOKUP(IF(MID($J133,10,3)&lt;&gt;"VIP",$J133,LEFT($J133,15)),IP!$A$4:$N$205,14,FALSE),
                     IF($I133="No", IFERROR(VLOOKUP($K133,'Host Reference'!$A$3:$C$110,3,FALSE),""),
                            VLOOKUP($K133,'Host Reference'!$A$3:$C$110,3,FALSE))))),"")</f>
        <v/>
      </c>
      <c r="M133" s="1991"/>
      <c r="N133" s="1991"/>
      <c r="O133" s="1991"/>
      <c r="P133" s="1991"/>
      <c r="Q133" s="2950"/>
      <c r="R133" s="1996"/>
      <c r="S133" s="2916" t="str">
        <f t="shared" ref="S133:S143" si="8">IF($B133&lt;&gt;"",
     IF($N133=8098, inbound_requestid, ""),"")</f>
        <v/>
      </c>
      <c r="T133" s="2375" t="str">
        <f t="shared" si="6"/>
        <v/>
      </c>
      <c r="U133" s="2000"/>
    </row>
    <row r="134" spans="2:21">
      <c r="B134" s="380"/>
      <c r="C134" s="1992"/>
      <c r="D134" s="1992"/>
      <c r="E134" s="1991"/>
      <c r="F134" s="1993" t="str">
        <f>IF($D134&lt;&gt;"",IF($D134="Yes",LEFT(VLOOKUP(IF(MID($E134,10,3)&lt;&gt;"VIP",$E134,LEFT($E134,15)),IP!$A$4:$N$205,11,FALSE),FIND(".",VLOOKUP(IF(MID($E134,10,3)&lt;&gt;"VIP",$E134,LEFT($E134,15)),IP!$A$4:$N$205,11,FALSE))-1),""),"")</f>
        <v/>
      </c>
      <c r="G134" s="1994" t="str">
        <f>IF($D134&lt;&gt;"",
          IF($D134="Yes",VLOOKUP(IF(MID($E134,10,3)&lt;&gt;"VIP",$E134,LEFT($E134,15)),IP!$A$4:$N$205,14,FALSE),
                     IF($D134="No", IFERROR(VLOOKUP($F134,'Host Reference'!$A$3:$B$93,2,FALSE),""),
                          VLOOKUP($F134,'Host Reference'!$A$3:$C$93,2,FALSE))),"")</f>
        <v/>
      </c>
      <c r="H134" s="1995" t="str">
        <f t="shared" ref="H134:H143" si="9">IF(ISNUMBER(SEARCH("-VIP",$E134))," &amp; F5 Self IPs", "")</f>
        <v/>
      </c>
      <c r="I134" s="1991"/>
      <c r="J134" s="1991"/>
      <c r="K134" s="2938" t="str">
        <f>IF($I134&lt;&gt;"",
    IF(LEFT(I134,4)="Test","tbcilproxy",
        IF(LEFT(I134, 4)="Prod",CONCATENATE("bcilproxy", CHAR(10),"bctxproxy"),
                 IF($I134="Yes",LEFT(VLOOKUP(IF(MID($J134,10,3)&lt;&gt;"VIP",$J134,LEFT($J134,15)),IP!$A$4:$N$205,11,FALSE),FIND(".",VLOOKUP(IF(MID($J134,10,3)&lt;&gt;"VIP",$J134,LEFT($J134,15)),IP!$A$4:$N$205,11,FALSE))-1),""))),"")</f>
        <v/>
      </c>
      <c r="L134" s="2938" t="str">
        <f>IF($I134&lt;&gt;"",
        IF($I134="Prod BlueCoat", VLOOKUP($I134,'Host Reference'!$A$3:$C$110,3,FALSE),
                IF($I134="Test BlueCoat", VLOOKUP($I134,'Host Reference'!$A$3:$C$110,3,FALSE),
             IF($I134="Yes",VLOOKUP(IF(MID($J134,10,3)&lt;&gt;"VIP",$J134,LEFT($J134,15)),IP!$A$4:$N$205,14,FALSE),
                     IF($I134="No", IFERROR(VLOOKUP($K134,'Host Reference'!$A$3:$C$110,3,FALSE),""),
                            VLOOKUP($K134,'Host Reference'!$A$3:$C$110,3,FALSE))))),"")</f>
        <v/>
      </c>
      <c r="M134" s="1991"/>
      <c r="N134" s="1991"/>
      <c r="O134" s="1991"/>
      <c r="P134" s="1991"/>
      <c r="Q134" s="2950"/>
      <c r="R134" s="1996"/>
      <c r="S134" s="2916" t="str">
        <f t="shared" si="8"/>
        <v/>
      </c>
      <c r="T134" s="2375" t="str">
        <f t="shared" si="6"/>
        <v/>
      </c>
      <c r="U134" s="2000"/>
    </row>
    <row r="135" spans="2:21">
      <c r="B135" s="380"/>
      <c r="C135" s="1992"/>
      <c r="D135" s="1992"/>
      <c r="E135" s="1991"/>
      <c r="F135" s="1993" t="str">
        <f>IF($D135&lt;&gt;"",IF($D135="Yes",LEFT(VLOOKUP(IF(MID($E135,10,3)&lt;&gt;"VIP",$E135,LEFT($E135,15)),IP!$A$4:$N$205,11,FALSE),FIND(".",VLOOKUP(IF(MID($E135,10,3)&lt;&gt;"VIP",$E135,LEFT($E135,15)),IP!$A$4:$N$205,11,FALSE))-1),""),"")</f>
        <v/>
      </c>
      <c r="G135" s="1994" t="str">
        <f>IF($D135&lt;&gt;"",
          IF($D135="Yes",VLOOKUP(IF(MID($E135,10,3)&lt;&gt;"VIP",$E135,LEFT($E135,15)),IP!$A$4:$N$205,14,FALSE),
                     IF($D135="No", IFERROR(VLOOKUP($F135,'Host Reference'!$A$3:$B$93,2,FALSE),""),
                          VLOOKUP($F135,'Host Reference'!$A$3:$C$93,2,FALSE))),"")</f>
        <v/>
      </c>
      <c r="H135" s="1995" t="str">
        <f t="shared" si="9"/>
        <v/>
      </c>
      <c r="I135" s="1991"/>
      <c r="J135" s="1991"/>
      <c r="K135" s="2938" t="str">
        <f>IF($I135&lt;&gt;"",
    IF(LEFT(I135,4)="Test","tbcilproxy",
        IF(LEFT(I135, 4)="Prod",CONCATENATE("bcilproxy", CHAR(10),"bctxproxy"),
                 IF($I135="Yes",LEFT(VLOOKUP(IF(MID($J135,10,3)&lt;&gt;"VIP",$J135,LEFT($J135,15)),IP!$A$4:$N$205,11,FALSE),FIND(".",VLOOKUP(IF(MID($J135,10,3)&lt;&gt;"VIP",$J135,LEFT($J135,15)),IP!$A$4:$N$205,11,FALSE))-1),""))),"")</f>
        <v/>
      </c>
      <c r="L135" s="2938" t="str">
        <f>IF($I135&lt;&gt;"",
        IF($I135="Prod BlueCoat", VLOOKUP($I135,'Host Reference'!$A$3:$C$110,3,FALSE),
                IF($I135="Test BlueCoat", VLOOKUP($I135,'Host Reference'!$A$3:$C$110,3,FALSE),
             IF($I135="Yes",VLOOKUP(IF(MID($J135,10,3)&lt;&gt;"VIP",$J135,LEFT($J135,15)),IP!$A$4:$N$205,14,FALSE),
                     IF($I135="No", IFERROR(VLOOKUP($K135,'Host Reference'!$A$3:$C$110,3,FALSE),""),
                            VLOOKUP($K135,'Host Reference'!$A$3:$C$110,3,FALSE))))),"")</f>
        <v/>
      </c>
      <c r="M135" s="1991"/>
      <c r="N135" s="1991"/>
      <c r="O135" s="1991"/>
      <c r="P135" s="1991"/>
      <c r="Q135" s="2950"/>
      <c r="R135" s="1996"/>
      <c r="S135" s="2916" t="str">
        <f t="shared" si="8"/>
        <v/>
      </c>
      <c r="T135" s="2375" t="str">
        <f t="shared" ref="T135:T143" si="10">IF($B135&lt;&gt;"",
       IF(OR(LEFT($G135,7)="10.136.",LEFT($L135,7)="10.136."),
         "Prod",
             IF(OR(LEFT($G135,7)&lt;&gt;"",LEFT($L135,7)&lt;&gt;""),
                  "Non-Prod","")),"")</f>
        <v/>
      </c>
      <c r="U135" s="2000"/>
    </row>
    <row r="136" spans="2:21">
      <c r="B136" s="380"/>
      <c r="C136" s="1992"/>
      <c r="D136" s="1992"/>
      <c r="E136" s="1991"/>
      <c r="F136" s="1993" t="str">
        <f>IF($D136&lt;&gt;"",IF($D136="Yes",LEFT(VLOOKUP(IF(MID($E136,10,3)&lt;&gt;"VIP",$E136,LEFT($E136,15)),IP!$A$4:$N$205,11,FALSE),FIND(".",VLOOKUP(IF(MID($E136,10,3)&lt;&gt;"VIP",$E136,LEFT($E136,15)),IP!$A$4:$N$205,11,FALSE))-1),""),"")</f>
        <v/>
      </c>
      <c r="G136" s="1994" t="str">
        <f>IF($D136&lt;&gt;"",
          IF($D136="Yes",VLOOKUP(IF(MID($E136,10,3)&lt;&gt;"VIP",$E136,LEFT($E136,15)),IP!$A$4:$N$205,14,FALSE),
                     IF($D136="No", IFERROR(VLOOKUP($F136,'Host Reference'!$A$3:$B$93,2,FALSE),""),
                          VLOOKUP($F136,'Host Reference'!$A$3:$C$93,2,FALSE))),"")</f>
        <v/>
      </c>
      <c r="H136" s="1995" t="str">
        <f t="shared" si="9"/>
        <v/>
      </c>
      <c r="I136" s="1991"/>
      <c r="J136" s="1991"/>
      <c r="K136" s="2938" t="str">
        <f>IF($I136&lt;&gt;"",
    IF(LEFT(I136,4)="Test","tbcilproxy",
        IF(LEFT(I136, 4)="Prod",CONCATENATE("bcilproxy", CHAR(10),"bctxproxy"),
                 IF($I136="Yes",LEFT(VLOOKUP(IF(MID($J136,10,3)&lt;&gt;"VIP",$J136,LEFT($J136,15)),IP!$A$4:$N$205,11,FALSE),FIND(".",VLOOKUP(IF(MID($J136,10,3)&lt;&gt;"VIP",$J136,LEFT($J136,15)),IP!$A$4:$N$205,11,FALSE))-1),""))),"")</f>
        <v/>
      </c>
      <c r="L136" s="2938" t="str">
        <f>IF($I136&lt;&gt;"",
        IF($I136="Prod BlueCoat", VLOOKUP($I136,'Host Reference'!$A$3:$C$110,3,FALSE),
                IF($I136="Test BlueCoat", VLOOKUP($I136,'Host Reference'!$A$3:$C$110,3,FALSE),
             IF($I136="Yes",VLOOKUP(IF(MID($J136,10,3)&lt;&gt;"VIP",$J136,LEFT($J136,15)),IP!$A$4:$N$205,14,FALSE),
                     IF($I136="No", IFERROR(VLOOKUP($K136,'Host Reference'!$A$3:$C$110,3,FALSE),""),
                            VLOOKUP($K136,'Host Reference'!$A$3:$C$110,3,FALSE))))),"")</f>
        <v/>
      </c>
      <c r="M136" s="1991"/>
      <c r="N136" s="1991"/>
      <c r="O136" s="1991"/>
      <c r="P136" s="1991"/>
      <c r="Q136" s="2950"/>
      <c r="R136" s="1996"/>
      <c r="S136" s="2916" t="str">
        <f t="shared" si="8"/>
        <v/>
      </c>
      <c r="T136" s="2375" t="str">
        <f t="shared" si="10"/>
        <v/>
      </c>
      <c r="U136" s="2000"/>
    </row>
    <row r="137" spans="2:21">
      <c r="B137" s="380"/>
      <c r="C137" s="1992"/>
      <c r="D137" s="1992"/>
      <c r="E137" s="1991"/>
      <c r="F137" s="1993" t="str">
        <f>IF($D137&lt;&gt;"",IF($D137="Yes",LEFT(VLOOKUP(IF(MID($E137,10,3)&lt;&gt;"VIP",$E137,LEFT($E137,15)),IP!$A$4:$N$205,11,FALSE),FIND(".",VLOOKUP(IF(MID($E137,10,3)&lt;&gt;"VIP",$E137,LEFT($E137,15)),IP!$A$4:$N$205,11,FALSE))-1),""),"")</f>
        <v/>
      </c>
      <c r="G137" s="1994" t="str">
        <f>IF($D137&lt;&gt;"",
          IF($D137="Yes",VLOOKUP(IF(MID($E137,10,3)&lt;&gt;"VIP",$E137,LEFT($E137,15)),IP!$A$4:$N$205,14,FALSE),
                     IF($D137="No", IFERROR(VLOOKUP($F137,'Host Reference'!$A$3:$B$93,2,FALSE),""),
                          VLOOKUP($F137,'Host Reference'!$A$3:$C$93,2,FALSE))),"")</f>
        <v/>
      </c>
      <c r="H137" s="1995" t="str">
        <f t="shared" si="9"/>
        <v/>
      </c>
      <c r="I137" s="1991"/>
      <c r="J137" s="1991"/>
      <c r="K137" s="2938" t="str">
        <f>IF($I137&lt;&gt;"",
    IF(LEFT(I137,4)="Test","tbcilproxy",
        IF(LEFT(I137, 4)="Prod",CONCATENATE("bcilproxy", CHAR(10),"bctxproxy"),
                 IF($I137="Yes",LEFT(VLOOKUP(IF(MID($J137,10,3)&lt;&gt;"VIP",$J137,LEFT($J137,15)),IP!$A$4:$N$205,11,FALSE),FIND(".",VLOOKUP(IF(MID($J137,10,3)&lt;&gt;"VIP",$J137,LEFT($J137,15)),IP!$A$4:$N$205,11,FALSE))-1),""))),"")</f>
        <v/>
      </c>
      <c r="L137" s="2938" t="str">
        <f>IF($I137&lt;&gt;"",
        IF($I137="Prod BlueCoat", VLOOKUP($I137,'Host Reference'!$A$3:$C$110,3,FALSE),
                IF($I137="Test BlueCoat", VLOOKUP($I137,'Host Reference'!$A$3:$C$110,3,FALSE),
             IF($I137="Yes",VLOOKUP(IF(MID($J137,10,3)&lt;&gt;"VIP",$J137,LEFT($J137,15)),IP!$A$4:$N$205,14,FALSE),
                     IF($I137="No", IFERROR(VLOOKUP($K137,'Host Reference'!$A$3:$C$110,3,FALSE),""),
                            VLOOKUP($K137,'Host Reference'!$A$3:$C$110,3,FALSE))))),"")</f>
        <v/>
      </c>
      <c r="M137" s="1991"/>
      <c r="N137" s="1991"/>
      <c r="O137" s="1991"/>
      <c r="P137" s="1991"/>
      <c r="Q137" s="2950"/>
      <c r="R137" s="1996"/>
      <c r="S137" s="2916" t="str">
        <f t="shared" si="8"/>
        <v/>
      </c>
      <c r="T137" s="2375" t="str">
        <f t="shared" si="10"/>
        <v/>
      </c>
      <c r="U137" s="2000"/>
    </row>
    <row r="138" spans="2:21">
      <c r="B138" s="380"/>
      <c r="C138" s="1992"/>
      <c r="D138" s="1992"/>
      <c r="E138" s="1991"/>
      <c r="F138" s="1993" t="str">
        <f>IF($D138&lt;&gt;"",IF($D138="Yes",LEFT(VLOOKUP(IF(MID($E138,10,3)&lt;&gt;"VIP",$E138,LEFT($E138,15)),IP!$A$4:$N$205,11,FALSE),FIND(".",VLOOKUP(IF(MID($E138,10,3)&lt;&gt;"VIP",$E138,LEFT($E138,15)),IP!$A$4:$N$205,11,FALSE))-1),""),"")</f>
        <v/>
      </c>
      <c r="G138" s="1994" t="str">
        <f>IF($D138&lt;&gt;"",
          IF($D138="Yes",VLOOKUP(IF(MID($E138,10,3)&lt;&gt;"VIP",$E138,LEFT($E138,15)),IP!$A$4:$N$205,14,FALSE),
                     IF($D138="No", IFERROR(VLOOKUP($F138,'Host Reference'!$A$3:$B$93,2,FALSE),""),
                          VLOOKUP($F138,'Host Reference'!$A$3:$C$93,2,FALSE))),"")</f>
        <v/>
      </c>
      <c r="H138" s="1995" t="str">
        <f t="shared" si="9"/>
        <v/>
      </c>
      <c r="I138" s="1991"/>
      <c r="J138" s="1991"/>
      <c r="K138" s="2938" t="str">
        <f>IF($I138&lt;&gt;"",
    IF(LEFT(I138,4)="Test","tbcilproxy",
        IF(LEFT(I138, 4)="Prod",CONCATENATE("bcilproxy", CHAR(10),"bctxproxy"),
                 IF($I138="Yes",LEFT(VLOOKUP(IF(MID($J138,10,3)&lt;&gt;"VIP",$J138,LEFT($J138,15)),IP!$A$4:$N$205,11,FALSE),FIND(".",VLOOKUP(IF(MID($J138,10,3)&lt;&gt;"VIP",$J138,LEFT($J138,15)),IP!$A$4:$N$205,11,FALSE))-1),""))),"")</f>
        <v/>
      </c>
      <c r="L138" s="2938" t="str">
        <f>IF($I138&lt;&gt;"",
        IF($I138="Prod BlueCoat", VLOOKUP($I138,'Host Reference'!$A$3:$C$110,3,FALSE),
                IF($I138="Test BlueCoat", VLOOKUP($I138,'Host Reference'!$A$3:$C$110,3,FALSE),
             IF($I138="Yes",VLOOKUP(IF(MID($J138,10,3)&lt;&gt;"VIP",$J138,LEFT($J138,15)),IP!$A$4:$N$205,14,FALSE),
                     IF($I138="No", IFERROR(VLOOKUP($K138,'Host Reference'!$A$3:$C$110,3,FALSE),""),
                            VLOOKUP($K138,'Host Reference'!$A$3:$C$110,3,FALSE))))),"")</f>
        <v/>
      </c>
      <c r="M138" s="1991"/>
      <c r="N138" s="1991"/>
      <c r="O138" s="1991"/>
      <c r="P138" s="1991"/>
      <c r="Q138" s="2950"/>
      <c r="R138" s="1996"/>
      <c r="S138" s="2916" t="str">
        <f t="shared" si="8"/>
        <v/>
      </c>
      <c r="T138" s="2375" t="str">
        <f t="shared" si="10"/>
        <v/>
      </c>
      <c r="U138" s="2000"/>
    </row>
    <row r="139" spans="2:21">
      <c r="B139" s="380"/>
      <c r="C139" s="1992"/>
      <c r="D139" s="1992"/>
      <c r="E139" s="1991"/>
      <c r="F139" s="1993" t="str">
        <f>IF($D139&lt;&gt;"",IF($D139="Yes",LEFT(VLOOKUP(IF(MID($E139,10,3)&lt;&gt;"VIP",$E139,LEFT($E139,15)),IP!$A$4:$N$205,11,FALSE),FIND(".",VLOOKUP(IF(MID($E139,10,3)&lt;&gt;"VIP",$E139,LEFT($E139,15)),IP!$A$4:$N$205,11,FALSE))-1),""),"")</f>
        <v/>
      </c>
      <c r="G139" s="1994" t="str">
        <f>IF($D139&lt;&gt;"",
          IF($D139="Yes",VLOOKUP(IF(MID($E139,10,3)&lt;&gt;"VIP",$E139,LEFT($E139,15)),IP!$A$4:$N$205,14,FALSE),
                     IF($D139="No", IFERROR(VLOOKUP($F139,'Host Reference'!$A$3:$B$93,2,FALSE),""),
                          VLOOKUP($F139,'Host Reference'!$A$3:$C$93,2,FALSE))),"")</f>
        <v/>
      </c>
      <c r="H139" s="1995" t="str">
        <f t="shared" si="9"/>
        <v/>
      </c>
      <c r="I139" s="1991"/>
      <c r="J139" s="1991"/>
      <c r="K139" s="2938" t="str">
        <f>IF($I139&lt;&gt;"",
    IF(LEFT(I139,4)="Test","tbcilproxy",
        IF(LEFT(I139, 4)="Prod",CONCATENATE("bcilproxy", CHAR(10),"bctxproxy"),
                 IF($I139="Yes",LEFT(VLOOKUP(IF(MID($J139,10,3)&lt;&gt;"VIP",$J139,LEFT($J139,15)),IP!$A$4:$N$205,11,FALSE),FIND(".",VLOOKUP(IF(MID($J139,10,3)&lt;&gt;"VIP",$J139,LEFT($J139,15)),IP!$A$4:$N$205,11,FALSE))-1),""))),"")</f>
        <v/>
      </c>
      <c r="L139" s="2938" t="str">
        <f>IF($I139&lt;&gt;"",
        IF($I139="Prod BlueCoat", VLOOKUP($I139,'Host Reference'!$A$3:$C$110,3,FALSE),
                IF($I139="Test BlueCoat", VLOOKUP($I139,'Host Reference'!$A$3:$C$110,3,FALSE),
             IF($I139="Yes",VLOOKUP(IF(MID($J139,10,3)&lt;&gt;"VIP",$J139,LEFT($J139,15)),IP!$A$4:$N$205,14,FALSE),
                     IF($I139="No", IFERROR(VLOOKUP($K139,'Host Reference'!$A$3:$C$110,3,FALSE),""),
                            VLOOKUP($K139,'Host Reference'!$A$3:$C$110,3,FALSE))))),"")</f>
        <v/>
      </c>
      <c r="M139" s="1991"/>
      <c r="N139" s="1991"/>
      <c r="O139" s="1991"/>
      <c r="P139" s="1991"/>
      <c r="Q139" s="2950"/>
      <c r="R139" s="1996"/>
      <c r="S139" s="2916" t="str">
        <f t="shared" si="8"/>
        <v/>
      </c>
      <c r="T139" s="2375" t="str">
        <f t="shared" si="10"/>
        <v/>
      </c>
      <c r="U139" s="2000"/>
    </row>
    <row r="140" spans="2:21">
      <c r="B140" s="380"/>
      <c r="C140" s="1992"/>
      <c r="D140" s="1992"/>
      <c r="E140" s="1991"/>
      <c r="F140" s="1993" t="str">
        <f>IF($D140&lt;&gt;"",IF($D140="Yes",LEFT(VLOOKUP(IF(MID($E140,10,3)&lt;&gt;"VIP",$E140,LEFT($E140,15)),IP!$A$4:$N$205,11,FALSE),FIND(".",VLOOKUP(IF(MID($E140,10,3)&lt;&gt;"VIP",$E140,LEFT($E140,15)),IP!$A$4:$N$205,11,FALSE))-1),""),"")</f>
        <v/>
      </c>
      <c r="G140" s="1994" t="str">
        <f>IF($D140&lt;&gt;"",
          IF($D140="Yes",VLOOKUP(IF(MID($E140,10,3)&lt;&gt;"VIP",$E140,LEFT($E140,15)),IP!$A$4:$N$205,14,FALSE),
                     IF($D140="No", IFERROR(VLOOKUP($F140,'Host Reference'!$A$3:$B$93,2,FALSE),""),
                          VLOOKUP($F140,'Host Reference'!$A$3:$C$93,2,FALSE))),"")</f>
        <v/>
      </c>
      <c r="H140" s="1995" t="str">
        <f t="shared" si="9"/>
        <v/>
      </c>
      <c r="I140" s="1991"/>
      <c r="J140" s="1991"/>
      <c r="K140" s="2938" t="str">
        <f>IF($I140&lt;&gt;"",
    IF(LEFT(I140,4)="Test","tbcilproxy",
        IF(LEFT(I140, 4)="Prod",CONCATENATE("bcilproxy", CHAR(10),"bctxproxy"),
                 IF($I140="Yes",LEFT(VLOOKUP(IF(MID($J140,10,3)&lt;&gt;"VIP",$J140,LEFT($J140,15)),IP!$A$4:$N$205,11,FALSE),FIND(".",VLOOKUP(IF(MID($J140,10,3)&lt;&gt;"VIP",$J140,LEFT($J140,15)),IP!$A$4:$N$205,11,FALSE))-1),""))),"")</f>
        <v/>
      </c>
      <c r="L140" s="2938" t="str">
        <f>IF($I140&lt;&gt;"",
        IF($I140="Prod BlueCoat", VLOOKUP($I140,'Host Reference'!$A$3:$C$110,3,FALSE),
                IF($I140="Test BlueCoat", VLOOKUP($I140,'Host Reference'!$A$3:$C$110,3,FALSE),
             IF($I140="Yes",VLOOKUP(IF(MID($J140,10,3)&lt;&gt;"VIP",$J140,LEFT($J140,15)),IP!$A$4:$N$205,14,FALSE),
                     IF($I140="No", IFERROR(VLOOKUP($K140,'Host Reference'!$A$3:$C$110,3,FALSE),""),
                            VLOOKUP($K140,'Host Reference'!$A$3:$C$110,3,FALSE))))),"")</f>
        <v/>
      </c>
      <c r="M140" s="1991"/>
      <c r="N140" s="1991"/>
      <c r="O140" s="1991"/>
      <c r="P140" s="1991"/>
      <c r="Q140" s="2950"/>
      <c r="R140" s="1996"/>
      <c r="S140" s="2916" t="str">
        <f t="shared" si="8"/>
        <v/>
      </c>
      <c r="T140" s="2375" t="str">
        <f t="shared" si="10"/>
        <v/>
      </c>
      <c r="U140" s="2000"/>
    </row>
    <row r="141" spans="2:21">
      <c r="B141" s="380"/>
      <c r="C141" s="1992"/>
      <c r="D141" s="1992"/>
      <c r="E141" s="1991"/>
      <c r="F141" s="1993" t="str">
        <f>IF($D141&lt;&gt;"",IF($D141="Yes",LEFT(VLOOKUP(IF(MID($E141,10,3)&lt;&gt;"VIP",$E141,LEFT($E141,15)),IP!$A$4:$N$205,11,FALSE),FIND(".",VLOOKUP(IF(MID($E141,10,3)&lt;&gt;"VIP",$E141,LEFT($E141,15)),IP!$A$4:$N$205,11,FALSE))-1),""),"")</f>
        <v/>
      </c>
      <c r="G141" s="1994" t="str">
        <f>IF($D141&lt;&gt;"",
          IF($D141="Yes",VLOOKUP(IF(MID($E141,10,3)&lt;&gt;"VIP",$E141,LEFT($E141,15)),IP!$A$4:$N$205,14,FALSE),
                     IF($D141="No", IFERROR(VLOOKUP($F141,'Host Reference'!$A$3:$B$93,2,FALSE),""),
                          VLOOKUP($F141,'Host Reference'!$A$3:$C$93,2,FALSE))),"")</f>
        <v/>
      </c>
      <c r="H141" s="1995" t="str">
        <f t="shared" si="9"/>
        <v/>
      </c>
      <c r="I141" s="1991"/>
      <c r="J141" s="1991"/>
      <c r="K141" s="2938" t="str">
        <f>IF($I141&lt;&gt;"",
    IF(LEFT(I141,4)="Test","tbcilproxy",
        IF(LEFT(I141, 4)="Prod",CONCATENATE("bcilproxy", CHAR(10),"bctxproxy"),
                 IF($I141="Yes",LEFT(VLOOKUP(IF(MID($J141,10,3)&lt;&gt;"VIP",$J141,LEFT($J141,15)),IP!$A$4:$N$205,11,FALSE),FIND(".",VLOOKUP(IF(MID($J141,10,3)&lt;&gt;"VIP",$J141,LEFT($J141,15)),IP!$A$4:$N$205,11,FALSE))-1),""))),"")</f>
        <v/>
      </c>
      <c r="L141" s="2938" t="str">
        <f>IF($I141&lt;&gt;"",
        IF($I141="Prod BlueCoat", VLOOKUP($I141,'Host Reference'!$A$3:$C$110,3,FALSE),
                IF($I141="Test BlueCoat", VLOOKUP($I141,'Host Reference'!$A$3:$C$110,3,FALSE),
             IF($I141="Yes",VLOOKUP(IF(MID($J141,10,3)&lt;&gt;"VIP",$J141,LEFT($J141,15)),IP!$A$4:$N$205,14,FALSE),
                     IF($I141="No", IFERROR(VLOOKUP($K141,'Host Reference'!$A$3:$C$110,3,FALSE),""),
                            VLOOKUP($K141,'Host Reference'!$A$3:$C$110,3,FALSE))))),"")</f>
        <v/>
      </c>
      <c r="M141" s="1991"/>
      <c r="N141" s="1991"/>
      <c r="O141" s="1991"/>
      <c r="P141" s="1991"/>
      <c r="Q141" s="2950"/>
      <c r="R141" s="1996"/>
      <c r="S141" s="2916" t="str">
        <f t="shared" si="8"/>
        <v/>
      </c>
      <c r="T141" s="2375" t="str">
        <f t="shared" si="10"/>
        <v/>
      </c>
      <c r="U141" s="2000"/>
    </row>
    <row r="142" spans="2:21">
      <c r="B142" s="380"/>
      <c r="C142" s="1992"/>
      <c r="D142" s="1992"/>
      <c r="E142" s="1991"/>
      <c r="F142" s="1993" t="str">
        <f>IF($D142&lt;&gt;"",IF($D142="Yes",LEFT(VLOOKUP(IF(MID($E142,10,3)&lt;&gt;"VIP",$E142,LEFT($E142,15)),IP!$A$4:$N$205,11,FALSE),FIND(".",VLOOKUP(IF(MID($E142,10,3)&lt;&gt;"VIP",$E142,LEFT($E142,15)),IP!$A$4:$N$205,11,FALSE))-1),""),"")</f>
        <v/>
      </c>
      <c r="G142" s="1994" t="str">
        <f>IF($D142&lt;&gt;"",
          IF($D142="Yes",VLOOKUP(IF(MID($E142,10,3)&lt;&gt;"VIP",$E142,LEFT($E142,15)),IP!$A$4:$N$205,14,FALSE),
                     IF($D142="No", IFERROR(VLOOKUP($F142,'Host Reference'!$A$3:$B$93,2,FALSE),""),
                          VLOOKUP($F142,'Host Reference'!$A$3:$C$93,2,FALSE))),"")</f>
        <v/>
      </c>
      <c r="H142" s="1995" t="str">
        <f t="shared" si="9"/>
        <v/>
      </c>
      <c r="I142" s="1991"/>
      <c r="J142" s="1991"/>
      <c r="K142" s="2938" t="str">
        <f>IF($I142&lt;&gt;"",
    IF(LEFT(I142,4)="Test","tbcilproxy",
        IF(LEFT(I142, 4)="Prod",CONCATENATE("bcilproxy", CHAR(10),"bctxproxy"),
                 IF($I142="Yes",LEFT(VLOOKUP(IF(MID($J142,10,3)&lt;&gt;"VIP",$J142,LEFT($J142,15)),IP!$A$4:$N$205,11,FALSE),FIND(".",VLOOKUP(IF(MID($J142,10,3)&lt;&gt;"VIP",$J142,LEFT($J142,15)),IP!$A$4:$N$205,11,FALSE))-1),""))),"")</f>
        <v/>
      </c>
      <c r="L142" s="2938" t="str">
        <f>IF($I142&lt;&gt;"",
        IF($I142="Prod BlueCoat", VLOOKUP($I142,'Host Reference'!$A$3:$C$110,3,FALSE),
                IF($I142="Test BlueCoat", VLOOKUP($I142,'Host Reference'!$A$3:$C$110,3,FALSE),
             IF($I142="Yes",VLOOKUP(IF(MID($J142,10,3)&lt;&gt;"VIP",$J142,LEFT($J142,15)),IP!$A$4:$N$205,14,FALSE),
                     IF($I142="No", IFERROR(VLOOKUP($K142,'Host Reference'!$A$3:$C$110,3,FALSE),""),
                            VLOOKUP($K142,'Host Reference'!$A$3:$C$110,3,FALSE))))),"")</f>
        <v/>
      </c>
      <c r="M142" s="1991"/>
      <c r="N142" s="1991"/>
      <c r="O142" s="1991"/>
      <c r="P142" s="1991"/>
      <c r="Q142" s="2950"/>
      <c r="R142" s="1996"/>
      <c r="S142" s="2916" t="str">
        <f t="shared" si="8"/>
        <v/>
      </c>
      <c r="T142" s="2375" t="str">
        <f t="shared" si="10"/>
        <v/>
      </c>
      <c r="U142" s="2000"/>
    </row>
    <row r="143" spans="2:21" ht="13.5" thickBot="1">
      <c r="B143" s="381"/>
      <c r="C143" s="472"/>
      <c r="D143" s="472"/>
      <c r="E143" s="382"/>
      <c r="F143" s="3099" t="str">
        <f>IF($D143&lt;&gt;"",IF($D143="Yes",LEFT(VLOOKUP(IF(MID($E143,10,3)&lt;&gt;"VIP",$E143,LEFT($E143,15)),IP!$A$4:$N$205,11,FALSE),FIND(".",VLOOKUP(IF(MID($E143,10,3)&lt;&gt;"VIP",$E143,LEFT($E143,15)),IP!$A$4:$N$205,11,FALSE))-1),""),"")</f>
        <v/>
      </c>
      <c r="G143" s="3100" t="str">
        <f>IF($D143&lt;&gt;"",
          IF($D143="Yes",VLOOKUP(IF(MID($E143,10,3)&lt;&gt;"VIP",$E143,LEFT($E143,15)),IP!$A$4:$N$205,14,FALSE),
                     IF($D143="No", IFERROR(VLOOKUP($F143,'Host Reference'!$A$3:$B$93,2,FALSE),""),
                          VLOOKUP($F143,'Host Reference'!$A$3:$C$93,2,FALSE))),"")</f>
        <v/>
      </c>
      <c r="H143" s="1504" t="str">
        <f t="shared" si="9"/>
        <v/>
      </c>
      <c r="I143" s="3101"/>
      <c r="J143" s="382"/>
      <c r="K143" s="3102" t="str">
        <f>IF($I143&lt;&gt;"",
    IF(LEFT(I143,4)="Test","tbcilproxy",
        IF(LEFT(I143, 4)="Prod",CONCATENATE("bcilproxy", CHAR(10),"bctxproxy"),
                 IF($I143="Yes",LEFT(VLOOKUP(IF(MID($J143,10,3)&lt;&gt;"VIP",$J143,LEFT($J143,15)),IP!$A$4:$N$205,11,FALSE),FIND(".",VLOOKUP(IF(MID($J143,10,3)&lt;&gt;"VIP",$J143,LEFT($J143,15)),IP!$A$4:$N$205,11,FALSE))-1),""))),"")</f>
        <v/>
      </c>
      <c r="L143" s="3102" t="str">
        <f>IF($I143&lt;&gt;"",
        IF($I143="Prod BlueCoat", VLOOKUP($I143,'Host Reference'!$A$3:$C$110,3,FALSE),
                IF($I143="Test BlueCoat", VLOOKUP($I143,'Host Reference'!$A$3:$C$110,3,FALSE),
             IF($I143="Yes",VLOOKUP(IF(MID($J143,10,3)&lt;&gt;"VIP",$J143,LEFT($J143,15)),IP!$A$4:$N$205,14,FALSE),
                     IF($I143="No", IFERROR(VLOOKUP($K143,'Host Reference'!$A$3:$C$110,3,FALSE),""),
                            VLOOKUP($K143,'Host Reference'!$A$3:$C$110,3,FALSE))))),"")</f>
        <v/>
      </c>
      <c r="M143" s="382"/>
      <c r="N143" s="382"/>
      <c r="O143" s="382"/>
      <c r="P143" s="382"/>
      <c r="Q143" s="2951"/>
      <c r="R143" s="383"/>
      <c r="S143" s="383" t="str">
        <f t="shared" si="8"/>
        <v/>
      </c>
      <c r="T143" s="384" t="str">
        <f t="shared" si="10"/>
        <v/>
      </c>
      <c r="U143" s="385"/>
    </row>
  </sheetData>
  <protectedRanges>
    <protectedRange sqref="R4:T4 B5:U143" name="Firewall"/>
  </protectedRanges>
  <mergeCells count="2">
    <mergeCell ref="D2:E2"/>
    <mergeCell ref="E1:U1"/>
  </mergeCells>
  <phoneticPr fontId="26" type="noConversion"/>
  <conditionalFormatting sqref="F5:G143">
    <cfRule type="expression" dxfId="99" priority="36" stopIfTrue="1">
      <formula>$D5="Yes"</formula>
    </cfRule>
  </conditionalFormatting>
  <conditionalFormatting sqref="K5:L143">
    <cfRule type="expression" dxfId="98" priority="37" stopIfTrue="1">
      <formula>$I5="Yes"</formula>
    </cfRule>
  </conditionalFormatting>
  <conditionalFormatting sqref="E5 E9:E143">
    <cfRule type="expression" dxfId="97" priority="38" stopIfTrue="1">
      <formula>$D5="No"</formula>
    </cfRule>
  </conditionalFormatting>
  <conditionalFormatting sqref="J5:J143">
    <cfRule type="expression" dxfId="96" priority="39" stopIfTrue="1">
      <formula>$I5="No"</formula>
    </cfRule>
  </conditionalFormatting>
  <conditionalFormatting sqref="D1">
    <cfRule type="cellIs" dxfId="95" priority="25" stopIfTrue="1" operator="equal">
      <formula>"Undetermined"</formula>
    </cfRule>
    <cfRule type="cellIs" dxfId="94" priority="26" stopIfTrue="1" operator="equal">
      <formula>"REQUIRED"</formula>
    </cfRule>
  </conditionalFormatting>
  <conditionalFormatting sqref="H5:H143">
    <cfRule type="containsText" dxfId="93" priority="6" operator="containsText" text="&amp; F5 Self IPs">
      <formula>NOT(ISERROR(SEARCH("&amp; F5 Self IPs",H5)))</formula>
    </cfRule>
  </conditionalFormatting>
  <conditionalFormatting sqref="F5:H143">
    <cfRule type="expression" dxfId="92" priority="5">
      <formula>$D5="Fwid"</formula>
    </cfRule>
  </conditionalFormatting>
  <conditionalFormatting sqref="C5 C9:C143">
    <cfRule type="expression" dxfId="91" priority="4">
      <formula>OR($D5="yes", $D5="no")</formula>
    </cfRule>
  </conditionalFormatting>
  <conditionalFormatting sqref="Q5:Q143">
    <cfRule type="cellIs" dxfId="90" priority="3" operator="equal">
      <formula>"Yes"</formula>
    </cfRule>
  </conditionalFormatting>
  <conditionalFormatting sqref="E6:E8">
    <cfRule type="expression" dxfId="89" priority="2" stopIfTrue="1">
      <formula>$D6="No"</formula>
    </cfRule>
  </conditionalFormatting>
  <conditionalFormatting sqref="C6:C8">
    <cfRule type="expression" dxfId="88" priority="1">
      <formula>OR($D6="yes", $D6="no")</formula>
    </cfRule>
  </conditionalFormatting>
  <dataValidations count="8">
    <dataValidation type="list" allowBlank="1" showInputMessage="1" showErrorMessage="1" sqref="D4 Q5:R143 C5:C143" xr:uid="{00000000-0002-0000-1700-000000000000}">
      <formula1>"Yes, No"</formula1>
    </dataValidation>
    <dataValidation type="list" allowBlank="1" showInputMessage="1" showErrorMessage="1" sqref="B4:B143" xr:uid="{00000000-0002-0000-1700-000001000000}">
      <formula1>firewallaction</formula1>
    </dataValidation>
    <dataValidation type="list" allowBlank="1" showInputMessage="1" showErrorMessage="1" sqref="I4" xr:uid="{00000000-0002-0000-1700-000002000000}">
      <formula1>"Yes,No"</formula1>
    </dataValidation>
    <dataValidation type="list" allowBlank="1" showInputMessage="1" showErrorMessage="1" sqref="J5:J143" xr:uid="{00000000-0002-0000-1700-000003000000}">
      <formula1>list_AllIPs</formula1>
    </dataValidation>
    <dataValidation type="list" allowBlank="1" showInputMessage="1" showErrorMessage="1" sqref="D5:D143" xr:uid="{00000000-0002-0000-1700-000004000000}">
      <formula1>"Yes, No, Fwid"</formula1>
    </dataValidation>
    <dataValidation type="list" allowBlank="1" showInputMessage="1" sqref="E5:E143" xr:uid="{00000000-0002-0000-1700-000005000000}">
      <formula1>IF($D5="Yes",list_AllIPs,fwid)</formula1>
    </dataValidation>
    <dataValidation type="list" allowBlank="1" showInputMessage="1" showErrorMessage="1" sqref="O5:O143" xr:uid="{00000000-0002-0000-1700-000006000000}">
      <formula1>"TCP, UDP, TCP &amp; UDP"</formula1>
    </dataValidation>
    <dataValidation type="list" allowBlank="1" showInputMessage="1" showErrorMessage="1" sqref="I5:I143" xr:uid="{00000000-0002-0000-1700-000007000000}">
      <formula1>"Yes,No, Test BlueCoat, Prod BlueCoat"</formula1>
    </dataValidation>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46028" r:id="rId4">
          <objectPr defaultSize="0" r:id="rId5">
            <anchor moveWithCells="1">
              <from>
                <xdr:col>107</xdr:col>
                <xdr:colOff>0</xdr:colOff>
                <xdr:row>0</xdr:row>
                <xdr:rowOff>0</xdr:rowOff>
              </from>
              <to>
                <xdr:col>123</xdr:col>
                <xdr:colOff>295275</xdr:colOff>
                <xdr:row>14</xdr:row>
                <xdr:rowOff>47625</xdr:rowOff>
              </to>
            </anchor>
          </objectPr>
        </oleObject>
      </mc:Choice>
      <mc:Fallback>
        <oleObject progId="Word.Document.12" shapeId="46028" r:id="rId4"/>
      </mc:Fallback>
    </mc:AlternateContent>
  </oleObjec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tabColor theme="3" tint="0.79998168889431442"/>
  </sheetPr>
  <dimension ref="A1:R30"/>
  <sheetViews>
    <sheetView showGridLines="0" zoomScaleNormal="100" workbookViewId="0">
      <selection activeCell="A3" sqref="A3"/>
    </sheetView>
  </sheetViews>
  <sheetFormatPr defaultRowHeight="12.75"/>
  <cols>
    <col min="1" max="1" width="14.42578125" bestFit="1" customWidth="1"/>
    <col min="2" max="2" width="28.5703125" customWidth="1"/>
    <col min="3" max="3" width="23.85546875" bestFit="1" customWidth="1"/>
    <col min="4" max="4" width="17.42578125" customWidth="1"/>
    <col min="5" max="5" width="16.85546875" customWidth="1"/>
    <col min="6" max="6" width="11.7109375" style="353" customWidth="1"/>
    <col min="7" max="7" width="19.28515625" customWidth="1"/>
    <col min="8" max="8" width="14.42578125" customWidth="1"/>
    <col min="9" max="9" width="14.28515625" customWidth="1"/>
    <col min="10" max="10" width="21.28515625" customWidth="1"/>
    <col min="11" max="11" width="22.5703125" bestFit="1" customWidth="1"/>
    <col min="12" max="12" width="23.42578125" customWidth="1"/>
    <col min="13" max="13" width="25" style="931" customWidth="1"/>
    <col min="14" max="14" width="13.85546875" bestFit="1" customWidth="1"/>
    <col min="15" max="15" width="16" bestFit="1" customWidth="1"/>
    <col min="16" max="16" width="40.7109375" customWidth="1"/>
    <col min="17" max="17" width="48.85546875" customWidth="1"/>
    <col min="18" max="18" width="6" hidden="1" customWidth="1"/>
  </cols>
  <sheetData>
    <row r="1" spans="1:18" ht="40.5" customHeight="1" thickBot="1">
      <c r="A1" s="873" t="s">
        <v>1762</v>
      </c>
      <c r="B1" s="1930"/>
      <c r="C1" s="132"/>
      <c r="D1" s="1930"/>
      <c r="E1" s="1930"/>
      <c r="F1" s="1930"/>
      <c r="G1" s="148" t="str">
        <f>IF(load_balancer="YES","REQUIRED",IF(load_balancer="NO","This Tab is Not Required","Undetermined"))</f>
        <v>This Tab is Not Required</v>
      </c>
      <c r="H1" s="3890" t="str">
        <f>'Project Details'!$C$8 &amp;" Network Load Balancing Requests"</f>
        <v>Linux Infrastructure Management Network Load Balancing Requests</v>
      </c>
      <c r="I1" s="3890"/>
      <c r="J1" s="3890"/>
      <c r="K1" s="3890"/>
      <c r="L1" s="3890"/>
      <c r="M1" s="3890"/>
      <c r="N1" s="3890"/>
      <c r="O1" s="3890"/>
      <c r="P1" s="3890"/>
      <c r="Q1" s="3891"/>
    </row>
    <row r="2" spans="1:18" ht="33.75">
      <c r="A2" s="1934" t="s">
        <v>118</v>
      </c>
      <c r="B2" s="1935" t="s">
        <v>1579</v>
      </c>
      <c r="C2" s="782" t="s">
        <v>5062</v>
      </c>
      <c r="D2" s="1935" t="s">
        <v>364</v>
      </c>
      <c r="E2" s="1935" t="s">
        <v>9</v>
      </c>
      <c r="F2" s="1936" t="s">
        <v>2686</v>
      </c>
      <c r="G2" s="1937" t="s">
        <v>918</v>
      </c>
      <c r="H2" s="3012" t="s">
        <v>10</v>
      </c>
      <c r="I2" s="1936" t="s">
        <v>5058</v>
      </c>
      <c r="J2" s="1935" t="s">
        <v>3037</v>
      </c>
      <c r="K2" s="1935" t="s">
        <v>1583</v>
      </c>
      <c r="L2" s="1935" t="s">
        <v>1584</v>
      </c>
      <c r="M2" s="1937" t="s">
        <v>5115</v>
      </c>
      <c r="N2" s="1938" t="s">
        <v>1475</v>
      </c>
      <c r="O2" s="1936" t="s">
        <v>1580</v>
      </c>
      <c r="P2" s="1938" t="s">
        <v>1585</v>
      </c>
      <c r="Q2" s="782" t="s">
        <v>1586</v>
      </c>
      <c r="R2" s="3028" t="s">
        <v>5063</v>
      </c>
    </row>
    <row r="3" spans="1:18" s="146" customFormat="1">
      <c r="A3" s="3020"/>
      <c r="B3" s="3019" t="str">
        <f t="shared" ref="B3:B30" si="0">IF($A3&lt;&gt;"",VLOOKUP($A3,VIP_AssetVIP,4,FALSE),"")</f>
        <v/>
      </c>
      <c r="C3" s="3017" t="str">
        <f t="shared" ref="C3:C30" si="1">IF($A3&lt;&gt;"",$A3&amp;"  (VIP"&amp;TEXT($R3,"0")&amp;")","")</f>
        <v/>
      </c>
      <c r="D3" s="2557"/>
      <c r="E3" s="2045"/>
      <c r="F3" s="2556"/>
      <c r="G3" s="1933" t="str">
        <f>IF($A3&lt;&gt;"",VLOOKUP($A3,IP!$B$156:$N$205,13,FALSE),"")</f>
        <v/>
      </c>
      <c r="H3" s="2001" t="str">
        <f>IF($B3&lt;&gt;"",VLOOKUP($B3,'BOM FUNCTIONS'!$CO$6:$CW$34,4,FALSE),"")</f>
        <v/>
      </c>
      <c r="I3" s="2001" t="str">
        <f>IF($B3&lt;&gt;"",VLOOKUP($B3,'BOM FUNCTIONS'!$CO$6:$CW$34,3,FALSE),"")</f>
        <v/>
      </c>
      <c r="J3" s="1931"/>
      <c r="K3" s="2001" t="str">
        <f>IF($B3&lt;&gt;"",VLOOKUP($B3,'BOM FUNCTIONS'!$CO$6:$CW$34,6,FALSE),"")</f>
        <v/>
      </c>
      <c r="L3" s="2001" t="str">
        <f>IF($B3&lt;&gt;"",VLOOKUP($B3,'BOM FUNCTIONS'!$CO$6:$CW$34,7,FALSE),"")</f>
        <v/>
      </c>
      <c r="M3" s="2001" t="str">
        <f t="shared" ref="M3:M30" si="2">IF($L3&lt;&gt;"",IF(OR(LEFT($L3,9)="http_port",LEFT($L3,10)="https_port"),"Root Directory of Website",
      IF(LEFT($L3,7)="Monitor","/Monitor directory of website","Not Used")),"")</f>
        <v/>
      </c>
      <c r="N3" s="2002" t="str">
        <f>IF($B3&lt;&gt;"",VLOOKUP($B3,'BOM FUNCTIONS'!$CO$6:$CW$34,8,FALSE),"")</f>
        <v/>
      </c>
      <c r="O3" s="3042" t="str">
        <f>IF($B3&lt;&gt;"",VLOOKUP($B3,'BOM FUNCTIONS'!$CO$6:$CW$34,2,FALSE),"")</f>
        <v/>
      </c>
      <c r="P3" s="3053" t="str">
        <f>IF($A3&lt;&gt;"",
        IF($O3=TRUE, VLOOKUP($C3,DNS!$A$4:$J$53,6,FALSE),""),"")</f>
        <v/>
      </c>
      <c r="Q3" s="3030" t="str">
        <f>IF($A3&lt;&gt;"", (IF(OR($B3="ITC Non-Prod Intra DMZ", $B3="ITC Non-Prod Inter DMZ", $B3="ITC Prod Intra DMZ", $B3="ITC Prod Inter DMZ"), "Please create 443 VIP and apply certificate, modify 80 VIP to redirect to 443. OK to modify without CO as this is pre-production provisioning cleanup and VIP is not currently in use.", IF('Table of Contents'!$C$50 ="Yes", "One Certificate with the below SANs: ",""))),"")</f>
        <v/>
      </c>
      <c r="R3" s="3029">
        <v>1</v>
      </c>
    </row>
    <row r="4" spans="1:18">
      <c r="A4" s="3020"/>
      <c r="B4" s="3019" t="str">
        <f t="shared" si="0"/>
        <v/>
      </c>
      <c r="C4" s="3017" t="str">
        <f t="shared" si="1"/>
        <v/>
      </c>
      <c r="D4" s="2557"/>
      <c r="E4" s="2045"/>
      <c r="F4" s="1932"/>
      <c r="G4" s="1933" t="str">
        <f>IF($A4&lt;&gt;"",VLOOKUP($A4,IP!$B$156:$N$205,13,FALSE),"")</f>
        <v/>
      </c>
      <c r="H4" s="2001" t="str">
        <f>IF($B4&lt;&gt;"",VLOOKUP($B4,'BOM FUNCTIONS'!$CO$6:$CW$34,4,FALSE),"")</f>
        <v/>
      </c>
      <c r="I4" s="2001" t="str">
        <f>IF($B4&lt;&gt;"",VLOOKUP($B4,'BOM FUNCTIONS'!$CO$6:$CW$34,3,FALSE),"")</f>
        <v/>
      </c>
      <c r="J4" s="1931"/>
      <c r="K4" s="2001" t="str">
        <f>IF($B4&lt;&gt;"",VLOOKUP($B4,'BOM FUNCTIONS'!$CO$6:$CW$34,6,FALSE),"")</f>
        <v/>
      </c>
      <c r="L4" s="2001" t="str">
        <f>IF($B4&lt;&gt;"",VLOOKUP($B4,'BOM FUNCTIONS'!$CO$6:$CW$34,7,FALSE),"")</f>
        <v/>
      </c>
      <c r="M4" s="2001" t="str">
        <f t="shared" si="2"/>
        <v/>
      </c>
      <c r="N4" s="2002" t="str">
        <f>IF($B4&lt;&gt;"",VLOOKUP($B4,'BOM FUNCTIONS'!$CO$6:$CW$34,8,FALSE),"")</f>
        <v/>
      </c>
      <c r="O4" s="3042" t="str">
        <f>IF($B4&lt;&gt;"",VLOOKUP($B4,'BOM FUNCTIONS'!$CO$6:$CW$34,2,FALSE),"")</f>
        <v/>
      </c>
      <c r="P4" s="3053" t="str">
        <f>IF($A4&lt;&gt;"",
        IF($O4=TRUE, VLOOKUP($C4,DNS!$A$4:$J$53,6,FALSE),""),"")</f>
        <v/>
      </c>
      <c r="Q4" s="3030" t="str">
        <f>IF($A4&lt;&gt;"", (IF(OR($B4="ITC Non-Prod Intra DMZ", $B4="ITC Non-Prod Inter DMZ", $B4="ITC Prod Intra DMZ", $B4="ITC Prod Inter DMZ"), "Please create 443 VIP and apply certificate, modify 80 VIP to redirect to 443. OK to modify without CO as this is pre-production provisioning cleanup and VIP is not currently in use.", IF('Table of Contents'!$C$50 ="Yes", "One Certificate with the below SANs: ",""))),"")</f>
        <v/>
      </c>
      <c r="R4" s="3067" t="str">
        <f t="shared" ref="R4:R30" si="3">IF(A4&lt;&gt;"",IF(A4=A3,R3+1,1),"")</f>
        <v/>
      </c>
    </row>
    <row r="5" spans="1:18">
      <c r="A5" s="3020"/>
      <c r="B5" s="3019" t="str">
        <f t="shared" si="0"/>
        <v/>
      </c>
      <c r="C5" s="3017" t="str">
        <f t="shared" si="1"/>
        <v/>
      </c>
      <c r="D5" s="2557"/>
      <c r="E5" s="2045"/>
      <c r="F5" s="1932"/>
      <c r="G5" s="1933" t="str">
        <f>IF($A5&lt;&gt;"",VLOOKUP($A5,IP!$B$156:$N$205,13,FALSE),"")</f>
        <v/>
      </c>
      <c r="H5" s="2001" t="str">
        <f>IF($B5&lt;&gt;"",VLOOKUP($B5,'BOM FUNCTIONS'!$CO$6:$CW$34,4,FALSE),"")</f>
        <v/>
      </c>
      <c r="I5" s="2001" t="str">
        <f>IF($B5&lt;&gt;"",VLOOKUP($B5,'BOM FUNCTIONS'!$CO$6:$CW$34,3,FALSE),"")</f>
        <v/>
      </c>
      <c r="J5" s="1931"/>
      <c r="K5" s="2001" t="str">
        <f>IF($B5&lt;&gt;"",VLOOKUP($B5,'BOM FUNCTIONS'!$CO$6:$CW$34,6,FALSE),"")</f>
        <v/>
      </c>
      <c r="L5" s="2001" t="str">
        <f>IF($B5&lt;&gt;"",VLOOKUP($B5,'BOM FUNCTIONS'!$CO$6:$CW$34,7,FALSE),"")</f>
        <v/>
      </c>
      <c r="M5" s="2001" t="str">
        <f t="shared" si="2"/>
        <v/>
      </c>
      <c r="N5" s="2002" t="str">
        <f>IF($B5&lt;&gt;"",VLOOKUP($B5,'BOM FUNCTIONS'!$CO$6:$CW$34,8,FALSE),"")</f>
        <v/>
      </c>
      <c r="O5" s="3042" t="str">
        <f>IF($B5&lt;&gt;"",VLOOKUP($B5,'BOM FUNCTIONS'!$CO$6:$CW$34,2,FALSE),"")</f>
        <v/>
      </c>
      <c r="P5" s="3053" t="str">
        <f>IF($A5&lt;&gt;"",
        IF($O5=TRUE, VLOOKUP($C5,DNS!$A$4:$J$53,6,FALSE),""),"")</f>
        <v/>
      </c>
      <c r="Q5" s="3030" t="str">
        <f>IF($A5&lt;&gt;"", (IF(OR($B5="ITC Non-Prod Intra DMZ", $B5="ITC Non-Prod Inter DMZ", $B5="ITC Prod Intra DMZ", $B5="ITC Prod Inter DMZ"), "Please create 443 VIP and apply certificate, modify 80 VIP to redirect to 443. OK to modify without CO as this is pre-production provisioning cleanup and VIP is not currently in use.", IF('Table of Contents'!$C$50 ="Yes", "One Certificate with the below SANs: ",""))),"")</f>
        <v/>
      </c>
      <c r="R5" s="3067" t="str">
        <f t="shared" si="3"/>
        <v/>
      </c>
    </row>
    <row r="6" spans="1:18">
      <c r="A6" s="3020"/>
      <c r="B6" s="3019" t="str">
        <f t="shared" si="0"/>
        <v/>
      </c>
      <c r="C6" s="3017" t="str">
        <f t="shared" si="1"/>
        <v/>
      </c>
      <c r="D6" s="2557"/>
      <c r="E6" s="2045"/>
      <c r="F6" s="1932"/>
      <c r="G6" s="1933" t="str">
        <f>IF($A6&lt;&gt;"",VLOOKUP($A6,IP!$B$156:$N$205,13,FALSE),"")</f>
        <v/>
      </c>
      <c r="H6" s="2001" t="str">
        <f>IF($B6&lt;&gt;"",VLOOKUP($B6,'BOM FUNCTIONS'!$CO$6:$CW$34,4,FALSE),"")</f>
        <v/>
      </c>
      <c r="I6" s="2001" t="str">
        <f>IF($B6&lt;&gt;"",VLOOKUP($B6,'BOM FUNCTIONS'!$CO$6:$CW$34,3,FALSE),"")</f>
        <v/>
      </c>
      <c r="J6" s="1931"/>
      <c r="K6" s="2001" t="str">
        <f>IF($B6&lt;&gt;"",VLOOKUP($B6,'BOM FUNCTIONS'!$CO$6:$CW$34,6,FALSE),"")</f>
        <v/>
      </c>
      <c r="L6" s="2001" t="str">
        <f>IF($B6&lt;&gt;"",VLOOKUP($B6,'BOM FUNCTIONS'!$CO$6:$CW$34,7,FALSE),"")</f>
        <v/>
      </c>
      <c r="M6" s="2001" t="str">
        <f t="shared" si="2"/>
        <v/>
      </c>
      <c r="N6" s="2002" t="str">
        <f>IF($B6&lt;&gt;"",VLOOKUP($B6,'BOM FUNCTIONS'!$CO$6:$CW$34,8,FALSE),"")</f>
        <v/>
      </c>
      <c r="O6" s="3042" t="str">
        <f>IF($B6&lt;&gt;"",VLOOKUP($B6,'BOM FUNCTIONS'!$CO$6:$CW$34,2,FALSE),"")</f>
        <v/>
      </c>
      <c r="P6" s="3053" t="str">
        <f>IF($A6&lt;&gt;"",
        IF($O6=TRUE, VLOOKUP($C6,DNS!$A$4:$J$53,6,FALSE),""),"")</f>
        <v/>
      </c>
      <c r="Q6" s="3030" t="str">
        <f>IF($A6&lt;&gt;"", (IF(OR($B6="ITC Non-Prod Intra DMZ", $B6="ITC Non-Prod Inter DMZ", $B6="ITC Prod Intra DMZ", $B6="ITC Prod Inter DMZ"), "Please create 443 VIP and apply certificate, modify 80 VIP to redirect to 443. OK to modify without CO as this is pre-production provisioning cleanup and VIP is not currently in use.", IF('Table of Contents'!$C$50 ="Yes", "One Certificate with the below SANs: ",""))),"")</f>
        <v/>
      </c>
      <c r="R6" s="3067" t="str">
        <f t="shared" si="3"/>
        <v/>
      </c>
    </row>
    <row r="7" spans="1:18">
      <c r="A7" s="3020"/>
      <c r="B7" s="3019" t="str">
        <f t="shared" si="0"/>
        <v/>
      </c>
      <c r="C7" s="3017" t="str">
        <f t="shared" si="1"/>
        <v/>
      </c>
      <c r="D7" s="2557"/>
      <c r="E7" s="2045"/>
      <c r="F7" s="1932"/>
      <c r="G7" s="1933" t="str">
        <f>IF($A7&lt;&gt;"",VLOOKUP($A7,IP!$B$156:$N$205,13,FALSE),"")</f>
        <v/>
      </c>
      <c r="H7" s="2001" t="str">
        <f>IF($B7&lt;&gt;"",VLOOKUP($B7,'BOM FUNCTIONS'!$CO$6:$CW$34,4,FALSE),"")</f>
        <v/>
      </c>
      <c r="I7" s="2001" t="str">
        <f>IF($B7&lt;&gt;"",VLOOKUP($B7,'BOM FUNCTIONS'!$CO$6:$CW$34,3,FALSE),"")</f>
        <v/>
      </c>
      <c r="J7" s="1931"/>
      <c r="K7" s="2001" t="str">
        <f>IF($B7&lt;&gt;"",VLOOKUP($B7,'BOM FUNCTIONS'!$CO$6:$CW$34,6,FALSE),"")</f>
        <v/>
      </c>
      <c r="L7" s="2001" t="str">
        <f>IF($B7&lt;&gt;"",VLOOKUP($B7,'BOM FUNCTIONS'!$CO$6:$CW$34,7,FALSE),"")</f>
        <v/>
      </c>
      <c r="M7" s="2001" t="str">
        <f t="shared" si="2"/>
        <v/>
      </c>
      <c r="N7" s="2002" t="str">
        <f>IF($B7&lt;&gt;"",VLOOKUP($B7,'BOM FUNCTIONS'!$CO$6:$CW$34,8,FALSE),"")</f>
        <v/>
      </c>
      <c r="O7" s="3042" t="str">
        <f>IF($B7&lt;&gt;"",VLOOKUP($B7,'BOM FUNCTIONS'!$CO$6:$CW$34,2,FALSE),"")</f>
        <v/>
      </c>
      <c r="P7" s="3053" t="str">
        <f>IF($A7&lt;&gt;"",
        IF($O7=TRUE, VLOOKUP($C7,DNS!$A$4:$J$53,6,FALSE),""),"")</f>
        <v/>
      </c>
      <c r="Q7" s="3030" t="str">
        <f>IF($A7&lt;&gt;"", (IF(OR($B7="ITC Non-Prod Intra DMZ", $B7="ITC Non-Prod Inter DMZ", $B7="ITC Prod Intra DMZ", $B7="ITC Prod Inter DMZ"), "Please create 443 VIP and apply certificate, modify 80 VIP to redirect to 443. OK to modify without CO as this is pre-production provisioning cleanup and VIP is not currently in use.", IF('Table of Contents'!$C$50 ="Yes", "One Certificate with the below SANs: ",""))),"")</f>
        <v/>
      </c>
      <c r="R7" s="3067" t="str">
        <f t="shared" si="3"/>
        <v/>
      </c>
    </row>
    <row r="8" spans="1:18">
      <c r="A8" s="3020"/>
      <c r="B8" s="3019" t="str">
        <f t="shared" si="0"/>
        <v/>
      </c>
      <c r="C8" s="3017" t="str">
        <f t="shared" si="1"/>
        <v/>
      </c>
      <c r="D8" s="2557"/>
      <c r="E8" s="2045"/>
      <c r="F8" s="1932"/>
      <c r="G8" s="1933" t="str">
        <f>IF($A8&lt;&gt;"",VLOOKUP($A8,IP!$B$156:$N$205,13,FALSE),"")</f>
        <v/>
      </c>
      <c r="H8" s="2001" t="str">
        <f>IF($B8&lt;&gt;"",VLOOKUP($B8,'BOM FUNCTIONS'!$CO$6:$CW$34,4,FALSE),"")</f>
        <v/>
      </c>
      <c r="I8" s="2001" t="str">
        <f>IF($B8&lt;&gt;"",VLOOKUP($B8,'BOM FUNCTIONS'!$CO$6:$CW$34,3,FALSE),"")</f>
        <v/>
      </c>
      <c r="J8" s="1931"/>
      <c r="K8" s="2001" t="str">
        <f>IF($B8&lt;&gt;"",VLOOKUP($B8,'BOM FUNCTIONS'!$CO$6:$CW$34,6,FALSE),"")</f>
        <v/>
      </c>
      <c r="L8" s="2001" t="str">
        <f>IF($B8&lt;&gt;"",VLOOKUP($B8,'BOM FUNCTIONS'!$CO$6:$CW$34,7,FALSE),"")</f>
        <v/>
      </c>
      <c r="M8" s="2001" t="str">
        <f t="shared" si="2"/>
        <v/>
      </c>
      <c r="N8" s="2002" t="str">
        <f>IF($B8&lt;&gt;"",VLOOKUP($B8,'BOM FUNCTIONS'!$CO$6:$CW$34,8,FALSE),"")</f>
        <v/>
      </c>
      <c r="O8" s="3042" t="str">
        <f>IF($B8&lt;&gt;"",VLOOKUP($B8,'BOM FUNCTIONS'!$CO$6:$CW$34,2,FALSE),"")</f>
        <v/>
      </c>
      <c r="P8" s="3053" t="str">
        <f>IF($A8&lt;&gt;"",
        IF($O8=TRUE, VLOOKUP($C8,DNS!$A$4:$J$53,6,FALSE),""),"")</f>
        <v/>
      </c>
      <c r="Q8" s="3030" t="str">
        <f>IF($A8&lt;&gt;"", (IF(OR($B8="ITC Non-Prod Intra DMZ", $B8="ITC Non-Prod Inter DMZ", $B8="ITC Prod Intra DMZ", $B8="ITC Prod Inter DMZ"), "Please create 443 VIP and apply certificate, modify 80 VIP to redirect to 443. OK to modify without CO as this is pre-production provisioning cleanup and VIP is not currently in use.", IF('Table of Contents'!$C$50 ="Yes", "One Certificate with the below SANs: ",""))),"")</f>
        <v/>
      </c>
      <c r="R8" s="3067" t="str">
        <f t="shared" si="3"/>
        <v/>
      </c>
    </row>
    <row r="9" spans="1:18">
      <c r="A9" s="3020"/>
      <c r="B9" s="3019" t="str">
        <f t="shared" si="0"/>
        <v/>
      </c>
      <c r="C9" s="3017" t="str">
        <f t="shared" si="1"/>
        <v/>
      </c>
      <c r="D9" s="2557"/>
      <c r="E9" s="2045"/>
      <c r="F9" s="1932"/>
      <c r="G9" s="1933" t="str">
        <f>IF($A9&lt;&gt;"",VLOOKUP($A9,IP!$B$156:$N$205,13,FALSE),"")</f>
        <v/>
      </c>
      <c r="H9" s="2001" t="str">
        <f>IF($B9&lt;&gt;"",VLOOKUP($B9,'BOM FUNCTIONS'!$CO$6:$CW$34,4,FALSE),"")</f>
        <v/>
      </c>
      <c r="I9" s="2001" t="str">
        <f>IF($B9&lt;&gt;"",VLOOKUP($B9,'BOM FUNCTIONS'!$CO$6:$CW$34,3,FALSE),"")</f>
        <v/>
      </c>
      <c r="J9" s="1931"/>
      <c r="K9" s="2001" t="str">
        <f>IF($B9&lt;&gt;"",VLOOKUP($B9,'BOM FUNCTIONS'!$CO$6:$CW$34,6,FALSE),"")</f>
        <v/>
      </c>
      <c r="L9" s="2001" t="str">
        <f>IF($B9&lt;&gt;"",VLOOKUP($B9,'BOM FUNCTIONS'!$CO$6:$CW$34,7,FALSE),"")</f>
        <v/>
      </c>
      <c r="M9" s="2001" t="str">
        <f t="shared" si="2"/>
        <v/>
      </c>
      <c r="N9" s="2002" t="str">
        <f>IF($B9&lt;&gt;"",VLOOKUP($B9,'BOM FUNCTIONS'!$CO$6:$CW$34,8,FALSE),"")</f>
        <v/>
      </c>
      <c r="O9" s="3042" t="str">
        <f>IF($B9&lt;&gt;"",VLOOKUP($B9,'BOM FUNCTIONS'!$CO$6:$CW$34,2,FALSE),"")</f>
        <v/>
      </c>
      <c r="P9" s="3053" t="str">
        <f>IF($A9&lt;&gt;"",
        IF($O9=TRUE, VLOOKUP($C9,DNS!$A$4:$J$53,6,FALSE),""),"")</f>
        <v/>
      </c>
      <c r="Q9" s="3030" t="str">
        <f>IF($A9&lt;&gt;"", (IF(OR($B9="ITC Non-Prod Intra DMZ", $B9="ITC Non-Prod Inter DMZ", $B9="ITC Prod Intra DMZ", $B9="ITC Prod Inter DMZ"), "Please create 443 VIP and apply certificate, modify 80 VIP to redirect to 443. OK to modify without CO as this is pre-production provisioning cleanup and VIP is not currently in use.", IF('Table of Contents'!$C$50 ="Yes", "One Certificate with the below SANs: ",""))),"")</f>
        <v/>
      </c>
      <c r="R9" s="3067" t="str">
        <f t="shared" si="3"/>
        <v/>
      </c>
    </row>
    <row r="10" spans="1:18">
      <c r="A10" s="3020"/>
      <c r="B10" s="3019" t="str">
        <f t="shared" si="0"/>
        <v/>
      </c>
      <c r="C10" s="3017" t="str">
        <f t="shared" si="1"/>
        <v/>
      </c>
      <c r="D10" s="2557"/>
      <c r="E10" s="2045"/>
      <c r="F10" s="1932"/>
      <c r="G10" s="1933" t="str">
        <f>IF($A10&lt;&gt;"",VLOOKUP($A10,IP!$B$156:$N$205,13,FALSE),"")</f>
        <v/>
      </c>
      <c r="H10" s="2001" t="str">
        <f>IF($B10&lt;&gt;"",VLOOKUP($B10,'BOM FUNCTIONS'!$CO$6:$CW$34,4,FALSE),"")</f>
        <v/>
      </c>
      <c r="I10" s="2001" t="str">
        <f>IF($B10&lt;&gt;"",VLOOKUP($B10,'BOM FUNCTIONS'!$CO$6:$CW$34,3,FALSE),"")</f>
        <v/>
      </c>
      <c r="J10" s="1931"/>
      <c r="K10" s="2001" t="str">
        <f>IF($B10&lt;&gt;"",VLOOKUP($B10,'BOM FUNCTIONS'!$CO$6:$CW$34,6,FALSE),"")</f>
        <v/>
      </c>
      <c r="L10" s="2001" t="str">
        <f>IF($B10&lt;&gt;"",VLOOKUP($B10,'BOM FUNCTIONS'!$CO$6:$CW$34,7,FALSE),"")</f>
        <v/>
      </c>
      <c r="M10" s="2001" t="str">
        <f t="shared" si="2"/>
        <v/>
      </c>
      <c r="N10" s="2002" t="str">
        <f>IF($B10&lt;&gt;"",VLOOKUP($B10,'BOM FUNCTIONS'!$CO$6:$CW$34,8,FALSE),"")</f>
        <v/>
      </c>
      <c r="O10" s="3042" t="str">
        <f>IF($B10&lt;&gt;"",VLOOKUP($B10,'BOM FUNCTIONS'!$CO$6:$CW$34,2,FALSE),"")</f>
        <v/>
      </c>
      <c r="P10" s="3053" t="str">
        <f>IF($A10&lt;&gt;"",
        IF($O10=TRUE, VLOOKUP($C10,DNS!$A$4:$J$53,6,FALSE),""),"")</f>
        <v/>
      </c>
      <c r="Q10" s="3030" t="str">
        <f>IF($A10&lt;&gt;"", (IF(OR($B10="ITC Non-Prod Intra DMZ", $B10="ITC Non-Prod Inter DMZ", $B10="ITC Prod Intra DMZ", $B10="ITC Prod Inter DMZ"), "Please create 443 VIP and apply certificate, modify 80 VIP to redirect to 443. OK to modify without CO as this is pre-production provisioning cleanup and VIP is not currently in use.", IF('Table of Contents'!$C$50 ="Yes", "One Certificate with the below SANs: ",""))),"")</f>
        <v/>
      </c>
      <c r="R10" s="3067" t="str">
        <f t="shared" si="3"/>
        <v/>
      </c>
    </row>
    <row r="11" spans="1:18">
      <c r="A11" s="3020"/>
      <c r="B11" s="3019" t="str">
        <f t="shared" si="0"/>
        <v/>
      </c>
      <c r="C11" s="3017" t="str">
        <f t="shared" si="1"/>
        <v/>
      </c>
      <c r="D11" s="2557"/>
      <c r="E11" s="2045"/>
      <c r="F11" s="1932"/>
      <c r="G11" s="1933" t="str">
        <f>IF($A11&lt;&gt;"",VLOOKUP($A11,IP!$B$156:$N$205,13,FALSE),"")</f>
        <v/>
      </c>
      <c r="H11" s="2001" t="str">
        <f>IF($B11&lt;&gt;"",VLOOKUP($B11,'BOM FUNCTIONS'!$CO$6:$CW$34,4,FALSE),"")</f>
        <v/>
      </c>
      <c r="I11" s="2001" t="str">
        <f>IF($B11&lt;&gt;"",VLOOKUP($B11,'BOM FUNCTIONS'!$CO$6:$CW$34,3,FALSE),"")</f>
        <v/>
      </c>
      <c r="J11" s="1931"/>
      <c r="K11" s="2001" t="str">
        <f>IF($B11&lt;&gt;"",VLOOKUP($B11,'BOM FUNCTIONS'!$CO$6:$CW$34,6,FALSE),"")</f>
        <v/>
      </c>
      <c r="L11" s="2001" t="str">
        <f>IF($B11&lt;&gt;"",VLOOKUP($B11,'BOM FUNCTIONS'!$CO$6:$CW$34,7,FALSE),"")</f>
        <v/>
      </c>
      <c r="M11" s="2001" t="str">
        <f t="shared" si="2"/>
        <v/>
      </c>
      <c r="N11" s="2002" t="str">
        <f>IF($B11&lt;&gt;"",VLOOKUP($B11,'BOM FUNCTIONS'!$CO$6:$CW$34,8,FALSE),"")</f>
        <v/>
      </c>
      <c r="O11" s="3042" t="str">
        <f>IF($B11&lt;&gt;"",VLOOKUP($B11,'BOM FUNCTIONS'!$CO$6:$CW$34,2,FALSE),"")</f>
        <v/>
      </c>
      <c r="P11" s="3053" t="str">
        <f>IF($A11&lt;&gt;"",
        IF($O11=TRUE, VLOOKUP($C11,DNS!$A$4:$J$53,6,FALSE),""),"")</f>
        <v/>
      </c>
      <c r="Q11" s="3030" t="str">
        <f>IF($A11&lt;&gt;"", (IF(OR($B11="ITC Non-Prod Intra DMZ", $B11="ITC Non-Prod Inter DMZ", $B11="ITC Prod Intra DMZ", $B11="ITC Prod Inter DMZ"), "Please create 443 VIP and apply certificate, modify 80 VIP to redirect to 443. OK to modify without CO as this is pre-production provisioning cleanup and VIP is not currently in use.", IF('Table of Contents'!$C$50 ="Yes", "One Certificate with the below SANs: ",""))),"")</f>
        <v/>
      </c>
      <c r="R11" s="3067" t="str">
        <f t="shared" si="3"/>
        <v/>
      </c>
    </row>
    <row r="12" spans="1:18">
      <c r="A12" s="3020"/>
      <c r="B12" s="3019" t="str">
        <f t="shared" si="0"/>
        <v/>
      </c>
      <c r="C12" s="3017" t="str">
        <f t="shared" si="1"/>
        <v/>
      </c>
      <c r="D12" s="2557"/>
      <c r="E12" s="2045"/>
      <c r="F12" s="1932"/>
      <c r="G12" s="1933" t="str">
        <f>IF($A12&lt;&gt;"",VLOOKUP($A12,IP!$B$156:$N$205,13,FALSE),"")</f>
        <v/>
      </c>
      <c r="H12" s="2001" t="str">
        <f>IF($B12&lt;&gt;"",VLOOKUP($B12,'BOM FUNCTIONS'!$CO$6:$CW$34,4,FALSE),"")</f>
        <v/>
      </c>
      <c r="I12" s="2001" t="str">
        <f>IF($B12&lt;&gt;"",VLOOKUP($B12,'BOM FUNCTIONS'!$CO$6:$CW$34,3,FALSE),"")</f>
        <v/>
      </c>
      <c r="J12" s="1931"/>
      <c r="K12" s="2001" t="str">
        <f>IF($B12&lt;&gt;"",VLOOKUP($B12,'BOM FUNCTIONS'!$CO$6:$CW$34,6,FALSE),"")</f>
        <v/>
      </c>
      <c r="L12" s="2001" t="str">
        <f>IF($B12&lt;&gt;"",VLOOKUP($B12,'BOM FUNCTIONS'!$CO$6:$CW$34,7,FALSE),"")</f>
        <v/>
      </c>
      <c r="M12" s="2001" t="str">
        <f t="shared" si="2"/>
        <v/>
      </c>
      <c r="N12" s="2002" t="str">
        <f>IF($B12&lt;&gt;"",VLOOKUP($B12,'BOM FUNCTIONS'!$CO$6:$CW$34,8,FALSE),"")</f>
        <v/>
      </c>
      <c r="O12" s="3042" t="str">
        <f>IF($B12&lt;&gt;"",VLOOKUP($B12,'BOM FUNCTIONS'!$CO$6:$CW$34,2,FALSE),"")</f>
        <v/>
      </c>
      <c r="P12" s="3053" t="str">
        <f>IF($A12&lt;&gt;"",
        IF($O12=TRUE, VLOOKUP($C12,DNS!$A$4:$J$53,6,FALSE),""),"")</f>
        <v/>
      </c>
      <c r="Q12" s="3030" t="str">
        <f>IF($A12&lt;&gt;"", (IF(OR($B12="ITC Non-Prod Intra DMZ", $B12="ITC Non-Prod Inter DMZ", $B12="ITC Prod Intra DMZ", $B12="ITC Prod Inter DMZ"), "Please create 443 VIP and apply certificate, modify 80 VIP to redirect to 443. OK to modify without CO as this is pre-production provisioning cleanup and VIP is not currently in use.", IF('Table of Contents'!$C$50 ="Yes", "One Certificate with the below SANs: ",""))),"")</f>
        <v/>
      </c>
      <c r="R12" s="3067" t="str">
        <f t="shared" si="3"/>
        <v/>
      </c>
    </row>
    <row r="13" spans="1:18">
      <c r="A13" s="3020"/>
      <c r="B13" s="3019" t="str">
        <f t="shared" si="0"/>
        <v/>
      </c>
      <c r="C13" s="3017" t="str">
        <f t="shared" si="1"/>
        <v/>
      </c>
      <c r="D13" s="2557"/>
      <c r="E13" s="2045"/>
      <c r="F13" s="1932"/>
      <c r="G13" s="1933" t="str">
        <f>IF($A13&lt;&gt;"",VLOOKUP($A13,IP!$B$156:$N$205,13,FALSE),"")</f>
        <v/>
      </c>
      <c r="H13" s="2001" t="str">
        <f>IF($B13&lt;&gt;"",VLOOKUP($B13,'BOM FUNCTIONS'!$CO$6:$CW$34,4,FALSE),"")</f>
        <v/>
      </c>
      <c r="I13" s="2001" t="str">
        <f>IF($B13&lt;&gt;"",VLOOKUP($B13,'BOM FUNCTIONS'!$CO$6:$CW$34,3,FALSE),"")</f>
        <v/>
      </c>
      <c r="J13" s="1931"/>
      <c r="K13" s="2001" t="str">
        <f>IF($B13&lt;&gt;"",VLOOKUP($B13,'BOM FUNCTIONS'!$CO$6:$CW$34,6,FALSE),"")</f>
        <v/>
      </c>
      <c r="L13" s="2001" t="str">
        <f>IF($B13&lt;&gt;"",VLOOKUP($B13,'BOM FUNCTIONS'!$CO$6:$CW$34,7,FALSE),"")</f>
        <v/>
      </c>
      <c r="M13" s="2001" t="str">
        <f t="shared" si="2"/>
        <v/>
      </c>
      <c r="N13" s="2002" t="str">
        <f>IF($B13&lt;&gt;"",VLOOKUP($B13,'BOM FUNCTIONS'!$CO$6:$CW$34,8,FALSE),"")</f>
        <v/>
      </c>
      <c r="O13" s="3042" t="str">
        <f>IF($B13&lt;&gt;"",VLOOKUP($B13,'BOM FUNCTIONS'!$CO$6:$CW$34,2,FALSE),"")</f>
        <v/>
      </c>
      <c r="P13" s="3053" t="str">
        <f>IF($A13&lt;&gt;"",
        IF($O13=TRUE, VLOOKUP($C13,DNS!$A$4:$J$53,6,FALSE),""),"")</f>
        <v/>
      </c>
      <c r="Q13" s="3030" t="str">
        <f>IF($A13&lt;&gt;"", (IF(OR($B13="ITC Non-Prod Intra DMZ", $B13="ITC Non-Prod Inter DMZ", $B13="ITC Prod Intra DMZ", $B13="ITC Prod Inter DMZ"), "Please create 443 VIP and apply certificate, modify 80 VIP to redirect to 443. OK to modify without CO as this is pre-production provisioning cleanup and VIP is not currently in use.", IF('Table of Contents'!$C$50 ="Yes", "One Certificate with the below SANs: ",""))),"")</f>
        <v/>
      </c>
      <c r="R13" s="3067" t="str">
        <f t="shared" si="3"/>
        <v/>
      </c>
    </row>
    <row r="14" spans="1:18">
      <c r="A14" s="3020"/>
      <c r="B14" s="3019" t="str">
        <f t="shared" si="0"/>
        <v/>
      </c>
      <c r="C14" s="3017" t="str">
        <f t="shared" si="1"/>
        <v/>
      </c>
      <c r="D14" s="2557"/>
      <c r="E14" s="2045"/>
      <c r="F14" s="1932"/>
      <c r="G14" s="1933" t="str">
        <f>IF($A14&lt;&gt;"",VLOOKUP($A14,IP!$B$156:$N$205,13,FALSE),"")</f>
        <v/>
      </c>
      <c r="H14" s="2001" t="str">
        <f>IF($B14&lt;&gt;"",VLOOKUP($B14,'BOM FUNCTIONS'!$CO$6:$CW$34,4,FALSE),"")</f>
        <v/>
      </c>
      <c r="I14" s="2001" t="str">
        <f>IF($B14&lt;&gt;"",VLOOKUP($B14,'BOM FUNCTIONS'!$CO$6:$CW$34,3,FALSE),"")</f>
        <v/>
      </c>
      <c r="J14" s="1931"/>
      <c r="K14" s="2001" t="str">
        <f>IF($B14&lt;&gt;"",VLOOKUP($B14,'BOM FUNCTIONS'!$CO$6:$CW$34,6,FALSE),"")</f>
        <v/>
      </c>
      <c r="L14" s="2001" t="str">
        <f>IF($B14&lt;&gt;"",VLOOKUP($B14,'BOM FUNCTIONS'!$CO$6:$CW$34,7,FALSE),"")</f>
        <v/>
      </c>
      <c r="M14" s="2001" t="str">
        <f t="shared" si="2"/>
        <v/>
      </c>
      <c r="N14" s="2002" t="str">
        <f>IF($B14&lt;&gt;"",VLOOKUP($B14,'BOM FUNCTIONS'!$CO$6:$CW$34,8,FALSE),"")</f>
        <v/>
      </c>
      <c r="O14" s="3042" t="str">
        <f>IF($B14&lt;&gt;"",VLOOKUP($B14,'BOM FUNCTIONS'!$CO$6:$CW$34,2,FALSE),"")</f>
        <v/>
      </c>
      <c r="P14" s="3053" t="str">
        <f>IF($A14&lt;&gt;"",
        IF($O14=TRUE, VLOOKUP($C14,DNS!$A$4:$J$53,6,FALSE),""),"")</f>
        <v/>
      </c>
      <c r="Q14" s="3030" t="str">
        <f>IF($A14&lt;&gt;"", (IF(OR($B14="ITC Non-Prod Intra DMZ", $B14="ITC Non-Prod Inter DMZ", $B14="ITC Prod Intra DMZ", $B14="ITC Prod Inter DMZ"), "Please create 443 VIP and apply certificate, modify 80 VIP to redirect to 443. OK to modify without CO as this is pre-production provisioning cleanup and VIP is not currently in use.", IF('Table of Contents'!$C$50 ="Yes", "One Certificate with the below SANs: ",""))),"")</f>
        <v/>
      </c>
      <c r="R14" s="3067" t="str">
        <f t="shared" si="3"/>
        <v/>
      </c>
    </row>
    <row r="15" spans="1:18">
      <c r="A15" s="3020"/>
      <c r="B15" s="3019" t="str">
        <f t="shared" si="0"/>
        <v/>
      </c>
      <c r="C15" s="3017" t="str">
        <f t="shared" si="1"/>
        <v/>
      </c>
      <c r="D15" s="2557"/>
      <c r="E15" s="2045"/>
      <c r="F15" s="1932"/>
      <c r="G15" s="1933" t="str">
        <f>IF($A15&lt;&gt;"",VLOOKUP($A15,IP!$B$156:$N$205,13,FALSE),"")</f>
        <v/>
      </c>
      <c r="H15" s="2001" t="str">
        <f>IF($B15&lt;&gt;"",VLOOKUP($B15,'BOM FUNCTIONS'!$CO$6:$CW$34,4,FALSE),"")</f>
        <v/>
      </c>
      <c r="I15" s="2001" t="str">
        <f>IF($B15&lt;&gt;"",VLOOKUP($B15,'BOM FUNCTIONS'!$CO$6:$CW$34,3,FALSE),"")</f>
        <v/>
      </c>
      <c r="J15" s="1931"/>
      <c r="K15" s="2001" t="str">
        <f>IF($B15&lt;&gt;"",VLOOKUP($B15,'BOM FUNCTIONS'!$CO$6:$CW$34,6,FALSE),"")</f>
        <v/>
      </c>
      <c r="L15" s="2001" t="str">
        <f>IF($B15&lt;&gt;"",VLOOKUP($B15,'BOM FUNCTIONS'!$CO$6:$CW$34,7,FALSE),"")</f>
        <v/>
      </c>
      <c r="M15" s="2001" t="str">
        <f t="shared" si="2"/>
        <v/>
      </c>
      <c r="N15" s="2002" t="str">
        <f>IF($B15&lt;&gt;"",VLOOKUP($B15,'BOM FUNCTIONS'!$CO$6:$CW$34,8,FALSE),"")</f>
        <v/>
      </c>
      <c r="O15" s="3042" t="str">
        <f>IF($B15&lt;&gt;"",VLOOKUP($B15,'BOM FUNCTIONS'!$CO$6:$CW$34,2,FALSE),"")</f>
        <v/>
      </c>
      <c r="P15" s="3053" t="str">
        <f>IF($A15&lt;&gt;"",
        IF($O15=TRUE, VLOOKUP($C15,DNS!$A$4:$J$53,6,FALSE),""),"")</f>
        <v/>
      </c>
      <c r="Q15" s="3030" t="str">
        <f>IF($A15&lt;&gt;"", (IF(OR($B15="ITC Non-Prod Intra DMZ", $B15="ITC Non-Prod Inter DMZ", $B15="ITC Prod Intra DMZ", $B15="ITC Prod Inter DMZ"), "Please create 443 VIP and apply certificate, modify 80 VIP to redirect to 443. OK to modify without CO as this is pre-production provisioning cleanup and VIP is not currently in use.", IF('Table of Contents'!$C$50 ="Yes", "One Certificate with the below SANs: ",""))),"")</f>
        <v/>
      </c>
      <c r="R15" s="3067" t="str">
        <f t="shared" si="3"/>
        <v/>
      </c>
    </row>
    <row r="16" spans="1:18">
      <c r="A16" s="3020"/>
      <c r="B16" s="3019" t="str">
        <f t="shared" si="0"/>
        <v/>
      </c>
      <c r="C16" s="3017" t="str">
        <f t="shared" si="1"/>
        <v/>
      </c>
      <c r="D16" s="2557"/>
      <c r="E16" s="2045"/>
      <c r="F16" s="1932"/>
      <c r="G16" s="1933" t="str">
        <f>IF($A16&lt;&gt;"",VLOOKUP($A16,IP!$B$156:$N$205,13,FALSE),"")</f>
        <v/>
      </c>
      <c r="H16" s="2001" t="str">
        <f>IF($B16&lt;&gt;"",VLOOKUP($B16,'BOM FUNCTIONS'!$CO$6:$CW$34,4,FALSE),"")</f>
        <v/>
      </c>
      <c r="I16" s="2001" t="str">
        <f>IF($B16&lt;&gt;"",VLOOKUP($B16,'BOM FUNCTIONS'!$CO$6:$CW$34,3,FALSE),"")</f>
        <v/>
      </c>
      <c r="J16" s="1931"/>
      <c r="K16" s="2001" t="str">
        <f>IF($B16&lt;&gt;"",VLOOKUP($B16,'BOM FUNCTIONS'!$CO$6:$CW$34,6,FALSE),"")</f>
        <v/>
      </c>
      <c r="L16" s="2001" t="str">
        <f>IF($B16&lt;&gt;"",VLOOKUP($B16,'BOM FUNCTIONS'!$CO$6:$CW$34,7,FALSE),"")</f>
        <v/>
      </c>
      <c r="M16" s="2001" t="str">
        <f t="shared" si="2"/>
        <v/>
      </c>
      <c r="N16" s="2002" t="str">
        <f>IF($B16&lt;&gt;"",VLOOKUP($B16,'BOM FUNCTIONS'!$CO$6:$CW$34,8,FALSE),"")</f>
        <v/>
      </c>
      <c r="O16" s="3042" t="str">
        <f>IF($B16&lt;&gt;"",VLOOKUP($B16,'BOM FUNCTIONS'!$CO$6:$CW$34,2,FALSE),"")</f>
        <v/>
      </c>
      <c r="P16" s="3053" t="str">
        <f>IF($A16&lt;&gt;"",
        IF($O16=TRUE, VLOOKUP($C16,DNS!$A$4:$J$53,6,FALSE),""),"")</f>
        <v/>
      </c>
      <c r="Q16" s="3030" t="str">
        <f>IF($A16&lt;&gt;"", (IF(OR($B16="ITC Non-Prod Intra DMZ", $B16="ITC Non-Prod Inter DMZ", $B16="ITC Prod Intra DMZ", $B16="ITC Prod Inter DMZ"), "Please create 443 VIP and apply certificate, modify 80 VIP to redirect to 443. OK to modify without CO as this is pre-production provisioning cleanup and VIP is not currently in use.", IF('Table of Contents'!$C$50 ="Yes", "One Certificate with the below SANs: ",""))),"")</f>
        <v/>
      </c>
      <c r="R16" s="3067" t="str">
        <f t="shared" si="3"/>
        <v/>
      </c>
    </row>
    <row r="17" spans="1:18">
      <c r="A17" s="3020"/>
      <c r="B17" s="3019" t="str">
        <f t="shared" si="0"/>
        <v/>
      </c>
      <c r="C17" s="3017" t="str">
        <f t="shared" si="1"/>
        <v/>
      </c>
      <c r="D17" s="2557"/>
      <c r="E17" s="2045"/>
      <c r="F17" s="1932"/>
      <c r="G17" s="1933" t="str">
        <f>IF($A17&lt;&gt;"",VLOOKUP($A17,IP!$B$156:$N$205,13,FALSE),"")</f>
        <v/>
      </c>
      <c r="H17" s="2001" t="str">
        <f>IF($B17&lt;&gt;"",VLOOKUP($B17,'BOM FUNCTIONS'!$CO$6:$CW$34,4,FALSE),"")</f>
        <v/>
      </c>
      <c r="I17" s="2001" t="str">
        <f>IF($B17&lt;&gt;"",VLOOKUP($B17,'BOM FUNCTIONS'!$CO$6:$CW$34,3,FALSE),"")</f>
        <v/>
      </c>
      <c r="J17" s="1931"/>
      <c r="K17" s="2001" t="str">
        <f>IF($B17&lt;&gt;"",VLOOKUP($B17,'BOM FUNCTIONS'!$CO$6:$CW$34,6,FALSE),"")</f>
        <v/>
      </c>
      <c r="L17" s="2001" t="str">
        <f>IF($B17&lt;&gt;"",VLOOKUP($B17,'BOM FUNCTIONS'!$CO$6:$CW$34,7,FALSE),"")</f>
        <v/>
      </c>
      <c r="M17" s="2001" t="str">
        <f t="shared" si="2"/>
        <v/>
      </c>
      <c r="N17" s="2002" t="str">
        <f>IF($B17&lt;&gt;"",VLOOKUP($B17,'BOM FUNCTIONS'!$CO$6:$CW$34,8,FALSE),"")</f>
        <v/>
      </c>
      <c r="O17" s="3042" t="str">
        <f>IF($B17&lt;&gt;"",VLOOKUP($B17,'BOM FUNCTIONS'!$CO$6:$CW$34,2,FALSE),"")</f>
        <v/>
      </c>
      <c r="P17" s="3053" t="str">
        <f>IF($A17&lt;&gt;"",
        IF($O17=TRUE, VLOOKUP($C17,DNS!$A$4:$J$53,6,FALSE),""),"")</f>
        <v/>
      </c>
      <c r="Q17" s="3030" t="str">
        <f>IF($A17&lt;&gt;"", (IF(OR($B17="ITC Non-Prod Intra DMZ", $B17="ITC Non-Prod Inter DMZ", $B17="ITC Prod Intra DMZ", $B17="ITC Prod Inter DMZ"), "Please create 443 VIP and apply certificate, modify 80 VIP to redirect to 443. OK to modify without CO as this is pre-production provisioning cleanup and VIP is not currently in use.", IF('Table of Contents'!$C$50 ="Yes", "One Certificate with the below SANs: ",""))),"")</f>
        <v/>
      </c>
      <c r="R17" s="3067" t="str">
        <f t="shared" si="3"/>
        <v/>
      </c>
    </row>
    <row r="18" spans="1:18">
      <c r="A18" s="3020"/>
      <c r="B18" s="3019" t="str">
        <f t="shared" si="0"/>
        <v/>
      </c>
      <c r="C18" s="3017" t="str">
        <f t="shared" si="1"/>
        <v/>
      </c>
      <c r="D18" s="2557"/>
      <c r="E18" s="2045"/>
      <c r="F18" s="1932"/>
      <c r="G18" s="1933" t="str">
        <f>IF($A18&lt;&gt;"",VLOOKUP($A18,IP!$B$156:$N$205,13,FALSE),"")</f>
        <v/>
      </c>
      <c r="H18" s="2001" t="str">
        <f>IF($B18&lt;&gt;"",VLOOKUP($B18,'BOM FUNCTIONS'!$CO$6:$CW$34,4,FALSE),"")</f>
        <v/>
      </c>
      <c r="I18" s="2001" t="str">
        <f>IF($B18&lt;&gt;"",VLOOKUP($B18,'BOM FUNCTIONS'!$CO$6:$CW$34,3,FALSE),"")</f>
        <v/>
      </c>
      <c r="J18" s="1931"/>
      <c r="K18" s="2001" t="str">
        <f>IF($B18&lt;&gt;"",VLOOKUP($B18,'BOM FUNCTIONS'!$CO$6:$CW$34,6,FALSE),"")</f>
        <v/>
      </c>
      <c r="L18" s="2001" t="str">
        <f>IF($B18&lt;&gt;"",VLOOKUP($B18,'BOM FUNCTIONS'!$CO$6:$CW$34,7,FALSE),"")</f>
        <v/>
      </c>
      <c r="M18" s="2001" t="str">
        <f t="shared" si="2"/>
        <v/>
      </c>
      <c r="N18" s="2002" t="str">
        <f>IF($B18&lt;&gt;"",VLOOKUP($B18,'BOM FUNCTIONS'!$CO$6:$CW$34,8,FALSE),"")</f>
        <v/>
      </c>
      <c r="O18" s="3042" t="str">
        <f>IF($B18&lt;&gt;"",VLOOKUP($B18,'BOM FUNCTIONS'!$CO$6:$CW$34,2,FALSE),"")</f>
        <v/>
      </c>
      <c r="P18" s="3053" t="str">
        <f>IF($A18&lt;&gt;"",
        IF($O18=TRUE, VLOOKUP($C18,DNS!$A$4:$J$53,6,FALSE),""),"")</f>
        <v/>
      </c>
      <c r="Q18" s="3030" t="str">
        <f>IF($A18&lt;&gt;"", (IF(OR($B18="ITC Non-Prod Intra DMZ", $B18="ITC Non-Prod Inter DMZ", $B18="ITC Prod Intra DMZ", $B18="ITC Prod Inter DMZ"), "Please create 443 VIP and apply certificate, modify 80 VIP to redirect to 443. OK to modify without CO as this is pre-production provisioning cleanup and VIP is not currently in use.", IF('Table of Contents'!$C$50 ="Yes", "One Certificate with the below SANs: ",""))),"")</f>
        <v/>
      </c>
      <c r="R18" s="3067" t="str">
        <f t="shared" si="3"/>
        <v/>
      </c>
    </row>
    <row r="19" spans="1:18">
      <c r="A19" s="3020"/>
      <c r="B19" s="3019" t="str">
        <f t="shared" si="0"/>
        <v/>
      </c>
      <c r="C19" s="3017" t="str">
        <f t="shared" si="1"/>
        <v/>
      </c>
      <c r="D19" s="2557"/>
      <c r="E19" s="2045"/>
      <c r="F19" s="1932"/>
      <c r="G19" s="1933" t="str">
        <f>IF($A19&lt;&gt;"",VLOOKUP($A19,IP!$B$156:$N$205,13,FALSE),"")</f>
        <v/>
      </c>
      <c r="H19" s="2001" t="str">
        <f>IF($B19&lt;&gt;"",VLOOKUP($B19,'BOM FUNCTIONS'!$CO$6:$CW$34,4,FALSE),"")</f>
        <v/>
      </c>
      <c r="I19" s="2001" t="str">
        <f>IF($B19&lt;&gt;"",VLOOKUP($B19,'BOM FUNCTIONS'!$CO$6:$CW$34,3,FALSE),"")</f>
        <v/>
      </c>
      <c r="J19" s="1931"/>
      <c r="K19" s="2001" t="str">
        <f>IF($B19&lt;&gt;"",VLOOKUP($B19,'BOM FUNCTIONS'!$CO$6:$CW$34,6,FALSE),"")</f>
        <v/>
      </c>
      <c r="L19" s="2001" t="str">
        <f>IF($B19&lt;&gt;"",VLOOKUP($B19,'BOM FUNCTIONS'!$CO$6:$CW$34,7,FALSE),"")</f>
        <v/>
      </c>
      <c r="M19" s="2001" t="str">
        <f t="shared" si="2"/>
        <v/>
      </c>
      <c r="N19" s="2002" t="str">
        <f>IF($B19&lt;&gt;"",VLOOKUP($B19,'BOM FUNCTIONS'!$CO$6:$CW$34,8,FALSE),"")</f>
        <v/>
      </c>
      <c r="O19" s="3042" t="str">
        <f>IF($B19&lt;&gt;"",VLOOKUP($B19,'BOM FUNCTIONS'!$CO$6:$CW$34,2,FALSE),"")</f>
        <v/>
      </c>
      <c r="P19" s="3053" t="str">
        <f>IF($A19&lt;&gt;"",
        IF($O19=TRUE, VLOOKUP($C19,DNS!$A$4:$J$53,6,FALSE),""),"")</f>
        <v/>
      </c>
      <c r="Q19" s="3030" t="str">
        <f>IF($A19&lt;&gt;"", (IF(OR($B19="ITC Non-Prod Intra DMZ", $B19="ITC Non-Prod Inter DMZ", $B19="ITC Prod Intra DMZ", $B19="ITC Prod Inter DMZ"), "Please create 443 VIP and apply certificate, modify 80 VIP to redirect to 443. OK to modify without CO as this is pre-production provisioning cleanup and VIP is not currently in use.", IF('Table of Contents'!$C$50 ="Yes", "One Certificate with the below SANs: ",""))),"")</f>
        <v/>
      </c>
      <c r="R19" s="3067" t="str">
        <f t="shared" si="3"/>
        <v/>
      </c>
    </row>
    <row r="20" spans="1:18">
      <c r="A20" s="3020"/>
      <c r="B20" s="3019" t="str">
        <f t="shared" si="0"/>
        <v/>
      </c>
      <c r="C20" s="3017" t="str">
        <f t="shared" si="1"/>
        <v/>
      </c>
      <c r="D20" s="2557"/>
      <c r="E20" s="2045"/>
      <c r="F20" s="1932"/>
      <c r="G20" s="1933" t="str">
        <f>IF($A20&lt;&gt;"",VLOOKUP($A20,IP!$B$156:$N$205,13,FALSE),"")</f>
        <v/>
      </c>
      <c r="H20" s="2001" t="str">
        <f>IF($B20&lt;&gt;"",VLOOKUP($B20,'BOM FUNCTIONS'!$CO$6:$CW$34,4,FALSE),"")</f>
        <v/>
      </c>
      <c r="I20" s="2001" t="str">
        <f>IF($B20&lt;&gt;"",VLOOKUP($B20,'BOM FUNCTIONS'!$CO$6:$CW$34,3,FALSE),"")</f>
        <v/>
      </c>
      <c r="J20" s="1931"/>
      <c r="K20" s="2001" t="str">
        <f>IF($B20&lt;&gt;"",VLOOKUP($B20,'BOM FUNCTIONS'!$CO$6:$CW$34,6,FALSE),"")</f>
        <v/>
      </c>
      <c r="L20" s="2001" t="str">
        <f>IF($B20&lt;&gt;"",VLOOKUP($B20,'BOM FUNCTIONS'!$CO$6:$CW$34,7,FALSE),"")</f>
        <v/>
      </c>
      <c r="M20" s="2001" t="str">
        <f t="shared" si="2"/>
        <v/>
      </c>
      <c r="N20" s="2002" t="str">
        <f>IF($B20&lt;&gt;"",VLOOKUP($B20,'BOM FUNCTIONS'!$CO$6:$CW$34,8,FALSE),"")</f>
        <v/>
      </c>
      <c r="O20" s="3042" t="str">
        <f>IF($B20&lt;&gt;"",VLOOKUP($B20,'BOM FUNCTIONS'!$CO$6:$CW$34,2,FALSE),"")</f>
        <v/>
      </c>
      <c r="P20" s="3053" t="str">
        <f>IF($A20&lt;&gt;"",
        IF($O20=TRUE, VLOOKUP($C20,DNS!$A$4:$J$53,6,FALSE),""),"")</f>
        <v/>
      </c>
      <c r="Q20" s="3030" t="str">
        <f>IF($A20&lt;&gt;"", (IF(OR($B20="ITC Non-Prod Intra DMZ", $B20="ITC Non-Prod Inter DMZ", $B20="ITC Prod Intra DMZ", $B20="ITC Prod Inter DMZ"), "Please create 443 VIP and apply certificate, modify 80 VIP to redirect to 443. OK to modify without CO as this is pre-production provisioning cleanup and VIP is not currently in use.", IF('Table of Contents'!$C$50 ="Yes", "One Certificate with the below SANs: ",""))),"")</f>
        <v/>
      </c>
      <c r="R20" s="3067" t="str">
        <f t="shared" si="3"/>
        <v/>
      </c>
    </row>
    <row r="21" spans="1:18">
      <c r="A21" s="3020"/>
      <c r="B21" s="3019" t="str">
        <f t="shared" si="0"/>
        <v/>
      </c>
      <c r="C21" s="3017" t="str">
        <f t="shared" si="1"/>
        <v/>
      </c>
      <c r="D21" s="2557"/>
      <c r="E21" s="2045"/>
      <c r="F21" s="1932"/>
      <c r="G21" s="1933" t="str">
        <f>IF($A21&lt;&gt;"",VLOOKUP($A21,IP!$B$156:$N$205,13,FALSE),"")</f>
        <v/>
      </c>
      <c r="H21" s="2001" t="str">
        <f>IF($B21&lt;&gt;"",VLOOKUP($B21,'BOM FUNCTIONS'!$CO$6:$CW$34,4,FALSE),"")</f>
        <v/>
      </c>
      <c r="I21" s="2001" t="str">
        <f>IF($B21&lt;&gt;"",VLOOKUP($B21,'BOM FUNCTIONS'!$CO$6:$CW$34,3,FALSE),"")</f>
        <v/>
      </c>
      <c r="J21" s="1931"/>
      <c r="K21" s="2001" t="str">
        <f>IF($B21&lt;&gt;"",VLOOKUP($B21,'BOM FUNCTIONS'!$CO$6:$CW$34,6,FALSE),"")</f>
        <v/>
      </c>
      <c r="L21" s="2001" t="str">
        <f>IF($B21&lt;&gt;"",VLOOKUP($B21,'BOM FUNCTIONS'!$CO$6:$CW$34,7,FALSE),"")</f>
        <v/>
      </c>
      <c r="M21" s="2001" t="str">
        <f t="shared" si="2"/>
        <v/>
      </c>
      <c r="N21" s="2002" t="str">
        <f>IF($B21&lt;&gt;"",VLOOKUP($B21,'BOM FUNCTIONS'!$CO$6:$CW$34,8,FALSE),"")</f>
        <v/>
      </c>
      <c r="O21" s="3042" t="str">
        <f>IF($B21&lt;&gt;"",VLOOKUP($B21,'BOM FUNCTIONS'!$CO$6:$CW$34,2,FALSE),"")</f>
        <v/>
      </c>
      <c r="P21" s="3053" t="str">
        <f>IF($A21&lt;&gt;"",
        IF($O21=TRUE, VLOOKUP($C21,DNS!$A$4:$J$53,6,FALSE),""),"")</f>
        <v/>
      </c>
      <c r="Q21" s="3030" t="str">
        <f>IF($A21&lt;&gt;"", (IF(OR($B21="ITC Non-Prod Intra DMZ", $B21="ITC Non-Prod Inter DMZ", $B21="ITC Prod Intra DMZ", $B21="ITC Prod Inter DMZ"), "Please create 443 VIP and apply certificate, modify 80 VIP to redirect to 443. OK to modify without CO as this is pre-production provisioning cleanup and VIP is not currently in use.", IF('Table of Contents'!$C$50 ="Yes", "One Certificate with the below SANs: ",""))),"")</f>
        <v/>
      </c>
      <c r="R21" s="3067" t="str">
        <f t="shared" si="3"/>
        <v/>
      </c>
    </row>
    <row r="22" spans="1:18">
      <c r="A22" s="3020"/>
      <c r="B22" s="3019" t="str">
        <f t="shared" si="0"/>
        <v/>
      </c>
      <c r="C22" s="3017" t="str">
        <f t="shared" si="1"/>
        <v/>
      </c>
      <c r="D22" s="2557"/>
      <c r="E22" s="2045"/>
      <c r="F22" s="1932"/>
      <c r="G22" s="1933" t="str">
        <f>IF($A22&lt;&gt;"",VLOOKUP($A22,IP!$B$156:$N$205,13,FALSE),"")</f>
        <v/>
      </c>
      <c r="H22" s="2001" t="str">
        <f>IF($B22&lt;&gt;"",VLOOKUP($B22,'BOM FUNCTIONS'!$CO$6:$CW$34,4,FALSE),"")</f>
        <v/>
      </c>
      <c r="I22" s="2001" t="str">
        <f>IF($B22&lt;&gt;"",VLOOKUP($B22,'BOM FUNCTIONS'!$CO$6:$CW$34,3,FALSE),"")</f>
        <v/>
      </c>
      <c r="J22" s="1931"/>
      <c r="K22" s="2001" t="str">
        <f>IF($B22&lt;&gt;"",VLOOKUP($B22,'BOM FUNCTIONS'!$CO$6:$CW$34,6,FALSE),"")</f>
        <v/>
      </c>
      <c r="L22" s="2001" t="str">
        <f>IF($B22&lt;&gt;"",VLOOKUP($B22,'BOM FUNCTIONS'!$CO$6:$CW$34,7,FALSE),"")</f>
        <v/>
      </c>
      <c r="M22" s="2001" t="str">
        <f t="shared" si="2"/>
        <v/>
      </c>
      <c r="N22" s="2002" t="str">
        <f>IF($B22&lt;&gt;"",VLOOKUP($B22,'BOM FUNCTIONS'!$CO$6:$CW$34,8,FALSE),"")</f>
        <v/>
      </c>
      <c r="O22" s="3042" t="str">
        <f>IF($B22&lt;&gt;"",VLOOKUP($B22,'BOM FUNCTIONS'!$CO$6:$CW$34,2,FALSE),"")</f>
        <v/>
      </c>
      <c r="P22" s="3053" t="str">
        <f>IF($A22&lt;&gt;"",
        IF($O22=TRUE, VLOOKUP($C22,DNS!$A$4:$J$53,6,FALSE),""),"")</f>
        <v/>
      </c>
      <c r="Q22" s="3030" t="str">
        <f>IF($A22&lt;&gt;"", (IF(OR($B22="ITC Non-Prod Intra DMZ", $B22="ITC Non-Prod Inter DMZ", $B22="ITC Prod Intra DMZ", $B22="ITC Prod Inter DMZ"), "Please create 443 VIP and apply certificate, modify 80 VIP to redirect to 443. OK to modify without CO as this is pre-production provisioning cleanup and VIP is not currently in use.", IF('Table of Contents'!$C$50 ="Yes", "One Certificate with the below SANs: ",""))),"")</f>
        <v/>
      </c>
      <c r="R22" s="3067" t="str">
        <f t="shared" si="3"/>
        <v/>
      </c>
    </row>
    <row r="23" spans="1:18">
      <c r="A23" s="3020"/>
      <c r="B23" s="3019" t="str">
        <f t="shared" si="0"/>
        <v/>
      </c>
      <c r="C23" s="3017" t="str">
        <f t="shared" si="1"/>
        <v/>
      </c>
      <c r="D23" s="2557"/>
      <c r="E23" s="2045"/>
      <c r="F23" s="1932"/>
      <c r="G23" s="1933" t="str">
        <f>IF($A23&lt;&gt;"",VLOOKUP($A23,IP!$B$156:$N$205,13,FALSE),"")</f>
        <v/>
      </c>
      <c r="H23" s="2001" t="str">
        <f>IF($B23&lt;&gt;"",VLOOKUP($B23,'BOM FUNCTIONS'!$CO$6:$CW$34,4,FALSE),"")</f>
        <v/>
      </c>
      <c r="I23" s="2001" t="str">
        <f>IF($B23&lt;&gt;"",VLOOKUP($B23,'BOM FUNCTIONS'!$CO$6:$CW$34,3,FALSE),"")</f>
        <v/>
      </c>
      <c r="J23" s="1931"/>
      <c r="K23" s="2001" t="str">
        <f>IF($B23&lt;&gt;"",VLOOKUP($B23,'BOM FUNCTIONS'!$CO$6:$CW$34,6,FALSE),"")</f>
        <v/>
      </c>
      <c r="L23" s="2001" t="str">
        <f>IF($B23&lt;&gt;"",VLOOKUP($B23,'BOM FUNCTIONS'!$CO$6:$CW$34,7,FALSE),"")</f>
        <v/>
      </c>
      <c r="M23" s="2001" t="str">
        <f t="shared" si="2"/>
        <v/>
      </c>
      <c r="N23" s="2002" t="str">
        <f>IF($B23&lt;&gt;"",VLOOKUP($B23,'BOM FUNCTIONS'!$CO$6:$CW$34,8,FALSE),"")</f>
        <v/>
      </c>
      <c r="O23" s="3042" t="str">
        <f>IF($B23&lt;&gt;"",VLOOKUP($B23,'BOM FUNCTIONS'!$CO$6:$CW$34,2,FALSE),"")</f>
        <v/>
      </c>
      <c r="P23" s="3053" t="str">
        <f>IF($A23&lt;&gt;"",
        IF($O23=TRUE, VLOOKUP($C23,DNS!$A$4:$J$53,6,FALSE),""),"")</f>
        <v/>
      </c>
      <c r="Q23" s="3030" t="str">
        <f>IF($A23&lt;&gt;"", (IF(OR($B23="ITC Non-Prod Intra DMZ", $B23="ITC Non-Prod Inter DMZ", $B23="ITC Prod Intra DMZ", $B23="ITC Prod Inter DMZ"), "Please create 443 VIP and apply certificate, modify 80 VIP to redirect to 443. OK to modify without CO as this is pre-production provisioning cleanup and VIP is not currently in use.", IF('Table of Contents'!$C$50 ="Yes", "One Certificate with the below SANs: ",""))),"")</f>
        <v/>
      </c>
      <c r="R23" s="3067" t="str">
        <f t="shared" si="3"/>
        <v/>
      </c>
    </row>
    <row r="24" spans="1:18">
      <c r="A24" s="3020"/>
      <c r="B24" s="3019" t="str">
        <f t="shared" si="0"/>
        <v/>
      </c>
      <c r="C24" s="3017" t="str">
        <f t="shared" si="1"/>
        <v/>
      </c>
      <c r="D24" s="2557"/>
      <c r="E24" s="2045"/>
      <c r="F24" s="1932"/>
      <c r="G24" s="1933" t="str">
        <f>IF($A24&lt;&gt;"",VLOOKUP($A24,IP!$B$156:$N$205,13,FALSE),"")</f>
        <v/>
      </c>
      <c r="H24" s="2001" t="str">
        <f>IF($B24&lt;&gt;"",VLOOKUP($B24,'BOM FUNCTIONS'!$CO$6:$CW$34,4,FALSE),"")</f>
        <v/>
      </c>
      <c r="I24" s="2001" t="str">
        <f>IF($B24&lt;&gt;"",VLOOKUP($B24,'BOM FUNCTIONS'!$CO$6:$CW$34,3,FALSE),"")</f>
        <v/>
      </c>
      <c r="J24" s="1931"/>
      <c r="K24" s="2001" t="str">
        <f>IF($B24&lt;&gt;"",VLOOKUP($B24,'BOM FUNCTIONS'!$CO$6:$CW$34,6,FALSE),"")</f>
        <v/>
      </c>
      <c r="L24" s="2001" t="str">
        <f>IF($B24&lt;&gt;"",VLOOKUP($B24,'BOM FUNCTIONS'!$CO$6:$CW$34,7,FALSE),"")</f>
        <v/>
      </c>
      <c r="M24" s="2001" t="str">
        <f t="shared" si="2"/>
        <v/>
      </c>
      <c r="N24" s="2002" t="str">
        <f>IF($B24&lt;&gt;"",VLOOKUP($B24,'BOM FUNCTIONS'!$CO$6:$CW$34,8,FALSE),"")</f>
        <v/>
      </c>
      <c r="O24" s="3042" t="str">
        <f>IF($B24&lt;&gt;"",VLOOKUP($B24,'BOM FUNCTIONS'!$CO$6:$CW$34,2,FALSE),"")</f>
        <v/>
      </c>
      <c r="P24" s="3053" t="str">
        <f>IF($A24&lt;&gt;"",
        IF($O24=TRUE, VLOOKUP($C24,DNS!$A$4:$J$53,6,FALSE),""),"")</f>
        <v/>
      </c>
      <c r="Q24" s="3030" t="str">
        <f>IF($A24&lt;&gt;"", (IF(OR($B24="ITC Non-Prod Intra DMZ", $B24="ITC Non-Prod Inter DMZ", $B24="ITC Prod Intra DMZ", $B24="ITC Prod Inter DMZ"), "Please create 443 VIP and apply certificate, modify 80 VIP to redirect to 443. OK to modify without CO as this is pre-production provisioning cleanup and VIP is not currently in use.", IF('Table of Contents'!$C$50 ="Yes", "One Certificate with the below SANs: ",""))),"")</f>
        <v/>
      </c>
      <c r="R24" s="3067" t="str">
        <f t="shared" si="3"/>
        <v/>
      </c>
    </row>
    <row r="25" spans="1:18">
      <c r="A25" s="3020"/>
      <c r="B25" s="3019" t="str">
        <f t="shared" si="0"/>
        <v/>
      </c>
      <c r="C25" s="3017" t="str">
        <f t="shared" si="1"/>
        <v/>
      </c>
      <c r="D25" s="2557"/>
      <c r="E25" s="2045"/>
      <c r="F25" s="1932"/>
      <c r="G25" s="1933" t="str">
        <f>IF($A25&lt;&gt;"",VLOOKUP($A25,IP!$B$156:$N$205,13,FALSE),"")</f>
        <v/>
      </c>
      <c r="H25" s="2001" t="str">
        <f>IF($B25&lt;&gt;"",VLOOKUP($B25,'BOM FUNCTIONS'!$CO$6:$CW$34,4,FALSE),"")</f>
        <v/>
      </c>
      <c r="I25" s="2001" t="str">
        <f>IF($B25&lt;&gt;"",VLOOKUP($B25,'BOM FUNCTIONS'!$CO$6:$CW$34,3,FALSE),"")</f>
        <v/>
      </c>
      <c r="J25" s="1931"/>
      <c r="K25" s="2001" t="str">
        <f>IF($B25&lt;&gt;"",VLOOKUP($B25,'BOM FUNCTIONS'!$CO$6:$CW$34,6,FALSE),"")</f>
        <v/>
      </c>
      <c r="L25" s="2001" t="str">
        <f>IF($B25&lt;&gt;"",VLOOKUP($B25,'BOM FUNCTIONS'!$CO$6:$CW$34,7,FALSE),"")</f>
        <v/>
      </c>
      <c r="M25" s="2001" t="str">
        <f t="shared" si="2"/>
        <v/>
      </c>
      <c r="N25" s="2002" t="str">
        <f>IF($B25&lt;&gt;"",VLOOKUP($B25,'BOM FUNCTIONS'!$CO$6:$CW$34,8,FALSE),"")</f>
        <v/>
      </c>
      <c r="O25" s="3042" t="str">
        <f>IF($B25&lt;&gt;"",VLOOKUP($B25,'BOM FUNCTIONS'!$CO$6:$CW$34,2,FALSE),"")</f>
        <v/>
      </c>
      <c r="P25" s="3053" t="str">
        <f>IF($A25&lt;&gt;"",
        IF($O25=TRUE, VLOOKUP($C25,DNS!$A$4:$J$53,6,FALSE),""),"")</f>
        <v/>
      </c>
      <c r="Q25" s="3030" t="str">
        <f>IF($A25&lt;&gt;"", (IF(OR($B25="ITC Non-Prod Intra DMZ", $B25="ITC Non-Prod Inter DMZ", $B25="ITC Prod Intra DMZ", $B25="ITC Prod Inter DMZ"), "Please create 443 VIP and apply certificate, modify 80 VIP to redirect to 443. OK to modify without CO as this is pre-production provisioning cleanup and VIP is not currently in use.", IF('Table of Contents'!$C$50 ="Yes", "One Certificate with the below SANs: ",""))),"")</f>
        <v/>
      </c>
      <c r="R25" s="3067" t="str">
        <f t="shared" si="3"/>
        <v/>
      </c>
    </row>
    <row r="26" spans="1:18">
      <c r="A26" s="3020"/>
      <c r="B26" s="3019" t="str">
        <f t="shared" si="0"/>
        <v/>
      </c>
      <c r="C26" s="3017" t="str">
        <f t="shared" si="1"/>
        <v/>
      </c>
      <c r="D26" s="2557"/>
      <c r="E26" s="2045"/>
      <c r="F26" s="1932"/>
      <c r="G26" s="1933" t="str">
        <f>IF($A26&lt;&gt;"",VLOOKUP($A26,IP!$B$156:$N$205,13,FALSE),"")</f>
        <v/>
      </c>
      <c r="H26" s="2001" t="str">
        <f>IF($B26&lt;&gt;"",VLOOKUP($B26,'BOM FUNCTIONS'!$CO$6:$CW$34,4,FALSE),"")</f>
        <v/>
      </c>
      <c r="I26" s="2001" t="str">
        <f>IF($B26&lt;&gt;"",VLOOKUP($B26,'BOM FUNCTIONS'!$CO$6:$CW$34,3,FALSE),"")</f>
        <v/>
      </c>
      <c r="J26" s="1931"/>
      <c r="K26" s="2001" t="str">
        <f>IF($B26&lt;&gt;"",VLOOKUP($B26,'BOM FUNCTIONS'!$CO$6:$CW$34,6,FALSE),"")</f>
        <v/>
      </c>
      <c r="L26" s="2001" t="str">
        <f>IF($B26&lt;&gt;"",VLOOKUP($B26,'BOM FUNCTIONS'!$CO$6:$CW$34,7,FALSE),"")</f>
        <v/>
      </c>
      <c r="M26" s="2001" t="str">
        <f t="shared" si="2"/>
        <v/>
      </c>
      <c r="N26" s="2002" t="str">
        <f>IF($B26&lt;&gt;"",VLOOKUP($B26,'BOM FUNCTIONS'!$CO$6:$CW$34,8,FALSE),"")</f>
        <v/>
      </c>
      <c r="O26" s="3042" t="str">
        <f>IF($B26&lt;&gt;"",VLOOKUP($B26,'BOM FUNCTIONS'!$CO$6:$CW$34,2,FALSE),"")</f>
        <v/>
      </c>
      <c r="P26" s="3053" t="str">
        <f>IF($A26&lt;&gt;"",
        IF($O26=TRUE, VLOOKUP($C26,DNS!$A$4:$J$53,6,FALSE),""),"")</f>
        <v/>
      </c>
      <c r="Q26" s="3030" t="str">
        <f>IF($A26&lt;&gt;"", (IF(OR($B26="ITC Non-Prod Intra DMZ", $B26="ITC Non-Prod Inter DMZ", $B26="ITC Prod Intra DMZ", $B26="ITC Prod Inter DMZ"), "Please create 443 VIP and apply certificate, modify 80 VIP to redirect to 443. OK to modify without CO as this is pre-production provisioning cleanup and VIP is not currently in use.", IF('Table of Contents'!$C$50 ="Yes", "One Certificate with the below SANs: ",""))),"")</f>
        <v/>
      </c>
      <c r="R26" s="3067" t="str">
        <f t="shared" si="3"/>
        <v/>
      </c>
    </row>
    <row r="27" spans="1:18">
      <c r="A27" s="3020"/>
      <c r="B27" s="3019" t="str">
        <f t="shared" si="0"/>
        <v/>
      </c>
      <c r="C27" s="3017" t="str">
        <f t="shared" si="1"/>
        <v/>
      </c>
      <c r="D27" s="2557"/>
      <c r="E27" s="2045"/>
      <c r="F27" s="1932"/>
      <c r="G27" s="1933" t="str">
        <f>IF($A27&lt;&gt;"",VLOOKUP($A27,IP!$B$156:$N$205,13,FALSE),"")</f>
        <v/>
      </c>
      <c r="H27" s="2001" t="str">
        <f>IF($B27&lt;&gt;"",VLOOKUP($B27,'BOM FUNCTIONS'!$CO$6:$CW$34,4,FALSE),"")</f>
        <v/>
      </c>
      <c r="I27" s="2001" t="str">
        <f>IF($B27&lt;&gt;"",VLOOKUP($B27,'BOM FUNCTIONS'!$CO$6:$CW$34,3,FALSE),"")</f>
        <v/>
      </c>
      <c r="J27" s="1931"/>
      <c r="K27" s="2001" t="str">
        <f>IF($B27&lt;&gt;"",VLOOKUP($B27,'BOM FUNCTIONS'!$CO$6:$CW$34,6,FALSE),"")</f>
        <v/>
      </c>
      <c r="L27" s="2001" t="str">
        <f>IF($B27&lt;&gt;"",VLOOKUP($B27,'BOM FUNCTIONS'!$CO$6:$CW$34,7,FALSE),"")</f>
        <v/>
      </c>
      <c r="M27" s="2001" t="str">
        <f t="shared" si="2"/>
        <v/>
      </c>
      <c r="N27" s="2002" t="str">
        <f>IF($B27&lt;&gt;"",VLOOKUP($B27,'BOM FUNCTIONS'!$CO$6:$CW$34,8,FALSE),"")</f>
        <v/>
      </c>
      <c r="O27" s="3042" t="str">
        <f>IF($B27&lt;&gt;"",VLOOKUP($B27,'BOM FUNCTIONS'!$CO$6:$CW$34,2,FALSE),"")</f>
        <v/>
      </c>
      <c r="P27" s="3053" t="str">
        <f>IF($A27&lt;&gt;"",
        IF($O27=TRUE, VLOOKUP($C27,DNS!$A$4:$J$53,6,FALSE),""),"")</f>
        <v/>
      </c>
      <c r="Q27" s="3030" t="str">
        <f>IF($A27&lt;&gt;"", (IF(OR($B27="ITC Non-Prod Intra DMZ", $B27="ITC Non-Prod Inter DMZ", $B27="ITC Prod Intra DMZ", $B27="ITC Prod Inter DMZ"), "Please create 443 VIP and apply certificate, modify 80 VIP to redirect to 443. OK to modify without CO as this is pre-production provisioning cleanup and VIP is not currently in use.", IF('Table of Contents'!$C$50 ="Yes", "One Certificate with the below SANs: ",""))),"")</f>
        <v/>
      </c>
      <c r="R27" s="3067" t="str">
        <f t="shared" si="3"/>
        <v/>
      </c>
    </row>
    <row r="28" spans="1:18">
      <c r="A28" s="3020"/>
      <c r="B28" s="3019" t="str">
        <f t="shared" si="0"/>
        <v/>
      </c>
      <c r="C28" s="3017" t="str">
        <f t="shared" si="1"/>
        <v/>
      </c>
      <c r="D28" s="2557"/>
      <c r="E28" s="2045"/>
      <c r="F28" s="1932"/>
      <c r="G28" s="1933" t="str">
        <f>IF($A28&lt;&gt;"",VLOOKUP($A28,IP!$B$156:$N$205,13,FALSE),"")</f>
        <v/>
      </c>
      <c r="H28" s="2001" t="str">
        <f>IF($B28&lt;&gt;"",VLOOKUP($B28,'BOM FUNCTIONS'!$CO$6:$CW$34,4,FALSE),"")</f>
        <v/>
      </c>
      <c r="I28" s="2001" t="str">
        <f>IF($B28&lt;&gt;"",VLOOKUP($B28,'BOM FUNCTIONS'!$CO$6:$CW$34,3,FALSE),"")</f>
        <v/>
      </c>
      <c r="J28" s="1931"/>
      <c r="K28" s="2001" t="str">
        <f>IF($B28&lt;&gt;"",VLOOKUP($B28,'BOM FUNCTIONS'!$CO$6:$CW$34,6,FALSE),"")</f>
        <v/>
      </c>
      <c r="L28" s="2001" t="str">
        <f>IF($B28&lt;&gt;"",VLOOKUP($B28,'BOM FUNCTIONS'!$CO$6:$CW$34,7,FALSE),"")</f>
        <v/>
      </c>
      <c r="M28" s="2001" t="str">
        <f t="shared" si="2"/>
        <v/>
      </c>
      <c r="N28" s="2002" t="str">
        <f>IF($B28&lt;&gt;"",VLOOKUP($B28,'BOM FUNCTIONS'!$CO$6:$CW$34,8,FALSE),"")</f>
        <v/>
      </c>
      <c r="O28" s="3042" t="str">
        <f>IF($B28&lt;&gt;"",VLOOKUP($B28,'BOM FUNCTIONS'!$CO$6:$CW$34,2,FALSE),"")</f>
        <v/>
      </c>
      <c r="P28" s="3053" t="str">
        <f>IF($A28&lt;&gt;"",
        IF($O28=TRUE, VLOOKUP($C28,DNS!$A$4:$J$53,6,FALSE),""),"")</f>
        <v/>
      </c>
      <c r="Q28" s="3030" t="str">
        <f>IF($A28&lt;&gt;"", (IF(OR($B28="ITC Non-Prod Intra DMZ", $B28="ITC Non-Prod Inter DMZ", $B28="ITC Prod Intra DMZ", $B28="ITC Prod Inter DMZ"), "Please create 443 VIP and apply certificate, modify 80 VIP to redirect to 443. OK to modify without CO as this is pre-production provisioning cleanup and VIP is not currently in use.", IF('Table of Contents'!$C$50 ="Yes", "One Certificate with the below SANs: ",""))),"")</f>
        <v/>
      </c>
      <c r="R28" s="3067" t="str">
        <f t="shared" si="3"/>
        <v/>
      </c>
    </row>
    <row r="29" spans="1:18">
      <c r="A29" s="3020"/>
      <c r="B29" s="3019" t="str">
        <f t="shared" si="0"/>
        <v/>
      </c>
      <c r="C29" s="3017" t="str">
        <f t="shared" si="1"/>
        <v/>
      </c>
      <c r="D29" s="2557"/>
      <c r="E29" s="2045"/>
      <c r="F29" s="1932"/>
      <c r="G29" s="1933" t="str">
        <f>IF($A29&lt;&gt;"",VLOOKUP($A29,IP!$B$156:$N$205,13,FALSE),"")</f>
        <v/>
      </c>
      <c r="H29" s="2001" t="str">
        <f>IF($B29&lt;&gt;"",VLOOKUP($B29,'BOM FUNCTIONS'!$CO$6:$CW$34,4,FALSE),"")</f>
        <v/>
      </c>
      <c r="I29" s="2001" t="str">
        <f>IF($B29&lt;&gt;"",VLOOKUP($B29,'BOM FUNCTIONS'!$CO$6:$CW$34,3,FALSE),"")</f>
        <v/>
      </c>
      <c r="J29" s="1931"/>
      <c r="K29" s="2001" t="str">
        <f>IF($B29&lt;&gt;"",VLOOKUP($B29,'BOM FUNCTIONS'!$CO$6:$CW$34,6,FALSE),"")</f>
        <v/>
      </c>
      <c r="L29" s="2001" t="str">
        <f>IF($B29&lt;&gt;"",VLOOKUP($B29,'BOM FUNCTIONS'!$CO$6:$CW$34,7,FALSE),"")</f>
        <v/>
      </c>
      <c r="M29" s="2001" t="str">
        <f t="shared" si="2"/>
        <v/>
      </c>
      <c r="N29" s="2002" t="str">
        <f>IF($B29&lt;&gt;"",VLOOKUP($B29,'BOM FUNCTIONS'!$CO$6:$CW$34,8,FALSE),"")</f>
        <v/>
      </c>
      <c r="O29" s="3042" t="str">
        <f>IF($B29&lt;&gt;"",VLOOKUP($B29,'BOM FUNCTIONS'!$CO$6:$CW$34,2,FALSE),"")</f>
        <v/>
      </c>
      <c r="P29" s="3053" t="str">
        <f>IF($A29&lt;&gt;"",
        IF($O29=TRUE, VLOOKUP($C29,DNS!$A$4:$J$53,6,FALSE),""),"")</f>
        <v/>
      </c>
      <c r="Q29" s="3030" t="str">
        <f>IF($A29&lt;&gt;"", (IF(OR($B29="ITC Non-Prod Intra DMZ", $B29="ITC Non-Prod Inter DMZ", $B29="ITC Prod Intra DMZ", $B29="ITC Prod Inter DMZ"), "Please create 443 VIP and apply certificate, modify 80 VIP to redirect to 443. OK to modify without CO as this is pre-production provisioning cleanup and VIP is not currently in use.", IF('Table of Contents'!$C$50 ="Yes", "One Certificate with the below SANs: ",""))),"")</f>
        <v/>
      </c>
      <c r="R29" s="3067" t="str">
        <f t="shared" si="3"/>
        <v/>
      </c>
    </row>
    <row r="30" spans="1:18" ht="13.5" thickBot="1">
      <c r="A30" s="3021"/>
      <c r="B30" s="3025" t="str">
        <f t="shared" si="0"/>
        <v/>
      </c>
      <c r="C30" s="3018" t="str">
        <f t="shared" si="1"/>
        <v/>
      </c>
      <c r="D30" s="3033"/>
      <c r="E30" s="2875"/>
      <c r="F30" s="1101"/>
      <c r="G30" s="3026" t="str">
        <f>IF($A30&lt;&gt;"",VLOOKUP($A30,IP!$B$156:$N$205,13,FALSE),"")</f>
        <v/>
      </c>
      <c r="H30" s="3043" t="str">
        <f>IF($B30&lt;&gt;"",VLOOKUP($B30,'BOM FUNCTIONS'!$CO$6:$CW$34,4,FALSE),"")</f>
        <v/>
      </c>
      <c r="I30" s="3043" t="str">
        <f>IF($B30&lt;&gt;"",VLOOKUP($B30,'BOM FUNCTIONS'!$CO$6:$CW$34,3,FALSE),"")</f>
        <v/>
      </c>
      <c r="J30" s="3044"/>
      <c r="K30" s="3043" t="str">
        <f>IF($B30&lt;&gt;"",VLOOKUP($B30,'BOM FUNCTIONS'!$CO$6:$CW$34,6,FALSE),"")</f>
        <v/>
      </c>
      <c r="L30" s="3043" t="str">
        <f>IF($B30&lt;&gt;"",VLOOKUP($B30,'BOM FUNCTIONS'!$CO$6:$CW$34,7,FALSE),"")</f>
        <v/>
      </c>
      <c r="M30" s="3043" t="str">
        <f t="shared" si="2"/>
        <v/>
      </c>
      <c r="N30" s="3045" t="str">
        <f>IF($B30&lt;&gt;"",VLOOKUP($B30,'BOM FUNCTIONS'!$CO$6:$CW$34,8,FALSE),"")</f>
        <v/>
      </c>
      <c r="O30" s="3046" t="str">
        <f>IF($B30&lt;&gt;"",VLOOKUP($B30,'BOM FUNCTIONS'!$CO$6:$CW$34,2,FALSE),"")</f>
        <v/>
      </c>
      <c r="P30" s="3054" t="str">
        <f>IF($A30&lt;&gt;"",
        IF($O30=TRUE, VLOOKUP($C30,DNS!$A$4:$J$53,6,FALSE),""),"")</f>
        <v/>
      </c>
      <c r="Q30" s="3031" t="str">
        <f>IF($A30&lt;&gt;"", (IF(OR($B30="ITC Non-Prod Intra DMZ", $B30="ITC Non-Prod Inter DMZ", $B30="ITC Prod Intra DMZ", $B30="ITC Prod Inter DMZ"), "Please create 443 VIP and apply certificate, modify 80 VIP to redirect to 443. OK to modify without CO as this is pre-production provisioning cleanup and VIP is not currently in use.", IF('Table of Contents'!$C$50 ="Yes", "One Certificate with the below SANs: ",""))),"")</f>
        <v/>
      </c>
      <c r="R30" s="985" t="str">
        <f t="shared" si="3"/>
        <v/>
      </c>
    </row>
  </sheetData>
  <protectedRanges>
    <protectedRange sqref="D3:G30" name="loadbalancer_1"/>
  </protectedRanges>
  <mergeCells count="1">
    <mergeCell ref="H1:Q1"/>
  </mergeCells>
  <phoneticPr fontId="26" type="noConversion"/>
  <conditionalFormatting sqref="G1">
    <cfRule type="cellIs" dxfId="87" priority="15" operator="equal">
      <formula>"Undetermined"</formula>
    </cfRule>
    <cfRule type="cellIs" dxfId="86" priority="16" operator="equal">
      <formula>"REQUIRED"</formula>
    </cfRule>
  </conditionalFormatting>
  <conditionalFormatting sqref="F3:F30 D3:D30">
    <cfRule type="expression" dxfId="85" priority="14">
      <formula>$B3="migrate VIP"</formula>
    </cfRule>
  </conditionalFormatting>
  <conditionalFormatting sqref="F3:F30">
    <cfRule type="expression" dxfId="84" priority="8">
      <formula>$E3=""</formula>
    </cfRule>
    <cfRule type="expression" dxfId="83" priority="9">
      <formula>$F3="Yes"</formula>
    </cfRule>
    <cfRule type="expression" dxfId="82" priority="13">
      <formula>$E3&lt;&gt;""</formula>
    </cfRule>
  </conditionalFormatting>
  <conditionalFormatting sqref="E3:E30">
    <cfRule type="expression" dxfId="81" priority="7">
      <formula xml:space="preserve"> LEFT($B3,3)="Dev"</formula>
    </cfRule>
  </conditionalFormatting>
  <conditionalFormatting sqref="B3:C30">
    <cfRule type="containsText" dxfId="80" priority="2" operator="containsText" text="HTC Prod Inter DMZ">
      <formula>NOT(ISERROR(SEARCH("HTC Prod Inter DMZ",B3)))</formula>
    </cfRule>
    <cfRule type="containsText" dxfId="79" priority="3" operator="containsText" text="HTC Non-Prod Inter DMZ">
      <formula>NOT(ISERROR(SEARCH("HTC Non-Prod Inter DMZ",B3)))</formula>
    </cfRule>
    <cfRule type="containsText" dxfId="78" priority="5" operator="containsText" text="HTC PROD Intra DMZ">
      <formula>NOT(ISERROR(SEARCH("HTC PROD Intra DMZ",B3)))</formula>
    </cfRule>
    <cfRule type="containsText" dxfId="77" priority="6" operator="containsText" text="HTC Non-Prod Intra DMZ">
      <formula>NOT(ISERROR(SEARCH("HTC Non-Prod Intra DMZ",B3)))</formula>
    </cfRule>
  </conditionalFormatting>
  <conditionalFormatting sqref="P3:P30">
    <cfRule type="expression" dxfId="76" priority="1">
      <formula>$O3=TRUE</formula>
    </cfRule>
  </conditionalFormatting>
  <conditionalFormatting sqref="A3:Q30">
    <cfRule type="expression" dxfId="75" priority="11">
      <formula>$D3="Cutover"</formula>
    </cfRule>
  </conditionalFormatting>
  <dataValidations count="13">
    <dataValidation allowBlank="1" showInputMessage="1" showErrorMessage="1" promptTitle="Virtual IP" prompt="_x000a_This field is populated by the IP tab.  Use the IP tab to request an IP for the VIP." sqref="G3:G30" xr:uid="{00000000-0002-0000-1800-000000000000}"/>
    <dataValidation allowBlank="1" showErrorMessage="1" promptTitle=" " prompt=" " sqref="P3:P30" xr:uid="{00000000-0002-0000-1800-000001000000}"/>
    <dataValidation allowBlank="1" showErrorMessage="1" promptTitle="Virtual IP Port" prompt="_x000a_Define a single service port for the VIP.  Use a new line for each VIP port.  ITGNS will assume TCP.  If this VIP will use a protocol other than TCP, then specify the requirements in the Notes." sqref="H3:H30" xr:uid="{00000000-0002-0000-1800-000002000000}"/>
    <dataValidation allowBlank="1" showErrorMessage="1" promptTitle="Member IPs" prompt="_x000a_Specify the IP addresses of the servers that will participate in the load balancing.  Use a line feed, comma, or white space to separate the server IPs." sqref="J3:J30" xr:uid="{00000000-0002-0000-1800-000003000000}"/>
    <dataValidation type="list" allowBlank="1" showInputMessage="1" showErrorMessage="1" sqref="F3:F30" xr:uid="{00000000-0002-0000-1800-000004000000}">
      <formula1>"Yes, No"</formula1>
    </dataValidation>
    <dataValidation type="list" allowBlank="1" showInputMessage="1" showErrorMessage="1" sqref="D3:D30" xr:uid="{00000000-0002-0000-1800-000005000000}">
      <formula1>LB_Phase</formula1>
    </dataValidation>
    <dataValidation type="list" allowBlank="1" showInputMessage="1" showErrorMessage="1" sqref="A3:A30" xr:uid="{00000000-0002-0000-1800-000006000000}">
      <formula1>VIPList</formula1>
    </dataValidation>
    <dataValidation type="list" allowBlank="1" showErrorMessage="1" promptTitle="SSL Redirect" prompt="_x000a_Select &quot;True&quot; if this VIP will terminate SSL, and all client requests to http:// should automatically be redirected to https://." sqref="I3:I30" xr:uid="{00000000-0002-0000-1800-000007000000}">
      <formula1>true_false</formula1>
    </dataValidation>
    <dataValidation type="list" allowBlank="1" promptTitle=" " prompt=" " sqref="O3:O30" xr:uid="{00000000-0002-0000-1800-000008000000}">
      <formula1>LB_SSL_Termination</formula1>
    </dataValidation>
    <dataValidation type="list" allowBlank="1" showErrorMessage="1" promptTitle=" " prompt=" " sqref="K3:K30" xr:uid="{00000000-0002-0000-1800-000009000000}">
      <formula1>methods</formula1>
    </dataValidation>
    <dataValidation type="list" allowBlank="1" showErrorMessage="1" promptTitle="Health Monitor" prompt="_x000a_The first six options in the dropdown are the most common.  The rest are possible solutions for more intellignet service monitoring.  If a more intelligent service monitor is needed, additional design work may be required." sqref="L3:L30" xr:uid="{00000000-0002-0000-1800-00000A000000}">
      <formula1>health</formula1>
    </dataValidation>
    <dataValidation type="list" allowBlank="1" showErrorMessage="1" promptTitle=" " prompt=" " sqref="N3:N30" xr:uid="{00000000-0002-0000-1800-00000B000000}">
      <formula1>Persistence</formula1>
    </dataValidation>
    <dataValidation type="list" allowBlank="1" showInputMessage="1" showErrorMessage="1" promptTitle="SSL Termination" prompt="_x000a_Select &quot;True&quot; if the F5 LTM will perform SSL encryption to the client on behalf of the web server.  If &quot;True&quot;, specify the application URL in the certificate field." sqref="O3:O30" xr:uid="{00000000-0002-0000-1800-00000C000000}">
      <formula1>LB_SSL_Termination</formula1>
    </dataValidation>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46119" r:id="rId4">
          <objectPr defaultSize="0" r:id="rId5">
            <anchor moveWithCells="1">
              <from>
                <xdr:col>103</xdr:col>
                <xdr:colOff>0</xdr:colOff>
                <xdr:row>0</xdr:row>
                <xdr:rowOff>0</xdr:rowOff>
              </from>
              <to>
                <xdr:col>119</xdr:col>
                <xdr:colOff>581025</xdr:colOff>
                <xdr:row>11</xdr:row>
                <xdr:rowOff>123825</xdr:rowOff>
              </to>
            </anchor>
          </objectPr>
        </oleObject>
      </mc:Choice>
      <mc:Fallback>
        <oleObject progId="Word.Document.12" shapeId="46119" r:id="rId4"/>
      </mc:Fallback>
    </mc:AlternateContent>
  </oleObjec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tabColor theme="3" tint="0.79998168889431442"/>
  </sheetPr>
  <dimension ref="A1:P41"/>
  <sheetViews>
    <sheetView showGridLines="0" zoomScale="90" zoomScaleNormal="90" workbookViewId="0">
      <selection activeCell="A3" sqref="A3"/>
    </sheetView>
  </sheetViews>
  <sheetFormatPr defaultRowHeight="12.75"/>
  <cols>
    <col min="1" max="1" width="19.85546875" style="931" customWidth="1"/>
    <col min="2" max="2" width="20.140625" customWidth="1"/>
    <col min="3" max="3" width="19.5703125" customWidth="1"/>
    <col min="4" max="4" width="33.42578125" customWidth="1"/>
    <col min="5" max="5" width="24.140625" bestFit="1" customWidth="1"/>
    <col min="6" max="6" width="30.140625" customWidth="1"/>
    <col min="7" max="7" width="24.28515625" customWidth="1"/>
    <col min="8" max="8" width="22" customWidth="1"/>
    <col min="9" max="9" width="41.7109375" customWidth="1"/>
  </cols>
  <sheetData>
    <row r="1" spans="1:16" ht="36.75" thickBot="1">
      <c r="A1" s="873" t="s">
        <v>1762</v>
      </c>
      <c r="B1" s="1745"/>
      <c r="C1" s="132"/>
      <c r="D1" s="148" t="str">
        <f>IF(GTM="YES","REQUIRED",
       IF(GTM="NO","This Tab is Not Required","Undetermined"))</f>
        <v>This Tab is Not Required</v>
      </c>
      <c r="E1" s="3892" t="str">
        <f>'Project Details'!$C$8 &amp;" Global Traffic Manager"</f>
        <v>Linux Infrastructure Management Global Traffic Manager</v>
      </c>
      <c r="F1" s="3890"/>
      <c r="G1" s="3890"/>
      <c r="H1" s="3890"/>
      <c r="I1" s="3891"/>
      <c r="J1" s="684"/>
      <c r="K1" s="684"/>
      <c r="L1" s="684"/>
      <c r="M1" s="684"/>
      <c r="N1" s="684"/>
      <c r="O1" s="684"/>
      <c r="P1" s="684"/>
    </row>
    <row r="2" spans="1:16" s="1655" customFormat="1" ht="12">
      <c r="A2" s="1986" t="s">
        <v>3520</v>
      </c>
      <c r="B2" s="1987" t="s">
        <v>0</v>
      </c>
      <c r="C2" s="1987" t="s">
        <v>11</v>
      </c>
      <c r="D2" s="1987" t="s">
        <v>2451</v>
      </c>
      <c r="E2" s="1987" t="s">
        <v>2494</v>
      </c>
      <c r="F2" s="1987" t="s">
        <v>5059</v>
      </c>
      <c r="G2" s="1987" t="s">
        <v>1583</v>
      </c>
      <c r="H2" s="1987" t="s">
        <v>5060</v>
      </c>
      <c r="I2" s="1988" t="s">
        <v>16</v>
      </c>
    </row>
    <row r="3" spans="1:16">
      <c r="A3" s="1925" t="str">
        <f t="shared" ref="A3:A41" si="0">IF($B3="","",asset_ident &amp;"-GTM"&amp;TEXT(ROW(B3)-2,"000"))</f>
        <v/>
      </c>
      <c r="B3" s="1747"/>
      <c r="C3" s="1747"/>
      <c r="D3" s="1747"/>
      <c r="E3" s="1748" t="str">
        <f>IF(D3&lt;&gt;"",
IF(C3="Production",
IF(B3="GTM",MID(D3,1,FIND(".",D3)-1)&amp;".vip1.hcscint.net"),
IF(C3="Test",
IF(B3="GTM",MID(D3,1,FIND(".",D3)-1)&amp;".vip1.test.hcscint.net"))),"")</f>
        <v/>
      </c>
      <c r="F3" s="1747"/>
      <c r="G3" s="1747"/>
      <c r="H3" s="1747"/>
      <c r="I3" s="1749"/>
    </row>
    <row r="4" spans="1:16">
      <c r="A4" s="1925" t="str">
        <f t="shared" si="0"/>
        <v/>
      </c>
      <c r="B4" s="1747"/>
      <c r="C4" s="1747"/>
      <c r="D4" s="1747"/>
      <c r="E4" s="1748" t="str">
        <f t="shared" ref="E4:E41" si="1">IF(D4&lt;&gt;"",
IF(C4="Production",
IF(B4="GTM",MID(D4,1,FIND(".",D4)-1)&amp;".vip1.hcscint.net"),
IF(C4="Test",
IF(B4="GTM",MID(D4,1,FIND(".",D4)-1)&amp;".vip1.test.hcscint.net"))),"")</f>
        <v/>
      </c>
      <c r="F4" s="1747"/>
      <c r="G4" s="1747"/>
      <c r="H4" s="1747"/>
      <c r="I4" s="1749"/>
    </row>
    <row r="5" spans="1:16">
      <c r="A5" s="1925" t="str">
        <f t="shared" si="0"/>
        <v/>
      </c>
      <c r="B5" s="1747"/>
      <c r="C5" s="1747"/>
      <c r="D5" s="1747"/>
      <c r="E5" s="1748" t="str">
        <f t="shared" si="1"/>
        <v/>
      </c>
      <c r="F5" s="1747"/>
      <c r="G5" s="1747"/>
      <c r="H5" s="1747"/>
      <c r="I5" s="1749"/>
    </row>
    <row r="6" spans="1:16">
      <c r="A6" s="1925" t="str">
        <f t="shared" si="0"/>
        <v/>
      </c>
      <c r="B6" s="1747"/>
      <c r="C6" s="1747"/>
      <c r="D6" s="1747"/>
      <c r="E6" s="1748" t="str">
        <f t="shared" si="1"/>
        <v/>
      </c>
      <c r="F6" s="1747"/>
      <c r="G6" s="1747"/>
      <c r="H6" s="1747"/>
      <c r="I6" s="1749"/>
    </row>
    <row r="7" spans="1:16">
      <c r="A7" s="1925" t="str">
        <f t="shared" si="0"/>
        <v/>
      </c>
      <c r="B7" s="1747"/>
      <c r="C7" s="1747"/>
      <c r="D7" s="1747"/>
      <c r="E7" s="1748" t="str">
        <f t="shared" si="1"/>
        <v/>
      </c>
      <c r="F7" s="1747"/>
      <c r="G7" s="1747"/>
      <c r="H7" s="1747"/>
      <c r="I7" s="1749"/>
    </row>
    <row r="8" spans="1:16">
      <c r="A8" s="1925" t="str">
        <f t="shared" si="0"/>
        <v/>
      </c>
      <c r="B8" s="1747"/>
      <c r="C8" s="1747"/>
      <c r="D8" s="1747"/>
      <c r="E8" s="1748" t="str">
        <f t="shared" si="1"/>
        <v/>
      </c>
      <c r="F8" s="1747"/>
      <c r="G8" s="1747"/>
      <c r="H8" s="1747"/>
      <c r="I8" s="1749"/>
    </row>
    <row r="9" spans="1:16">
      <c r="A9" s="1925" t="str">
        <f t="shared" si="0"/>
        <v/>
      </c>
      <c r="B9" s="1747"/>
      <c r="C9" s="1747"/>
      <c r="D9" s="1747"/>
      <c r="E9" s="1748" t="str">
        <f t="shared" si="1"/>
        <v/>
      </c>
      <c r="F9" s="1747"/>
      <c r="G9" s="1747"/>
      <c r="H9" s="1747"/>
      <c r="I9" s="1749"/>
    </row>
    <row r="10" spans="1:16">
      <c r="A10" s="1925" t="str">
        <f t="shared" si="0"/>
        <v/>
      </c>
      <c r="B10" s="1747"/>
      <c r="C10" s="1747"/>
      <c r="D10" s="1747"/>
      <c r="E10" s="1748" t="str">
        <f t="shared" si="1"/>
        <v/>
      </c>
      <c r="F10" s="1747"/>
      <c r="G10" s="1747"/>
      <c r="H10" s="1747"/>
      <c r="I10" s="1749"/>
    </row>
    <row r="11" spans="1:16">
      <c r="A11" s="1925" t="str">
        <f t="shared" si="0"/>
        <v/>
      </c>
      <c r="B11" s="1747"/>
      <c r="C11" s="1747"/>
      <c r="D11" s="1747"/>
      <c r="E11" s="1748" t="str">
        <f t="shared" si="1"/>
        <v/>
      </c>
      <c r="F11" s="1747"/>
      <c r="G11" s="1747"/>
      <c r="H11" s="1747"/>
      <c r="I11" s="1749"/>
    </row>
    <row r="12" spans="1:16">
      <c r="A12" s="1925" t="str">
        <f t="shared" si="0"/>
        <v/>
      </c>
      <c r="B12" s="1747"/>
      <c r="C12" s="1747"/>
      <c r="D12" s="1747"/>
      <c r="E12" s="1748" t="str">
        <f t="shared" si="1"/>
        <v/>
      </c>
      <c r="F12" s="1747"/>
      <c r="G12" s="1747"/>
      <c r="H12" s="1747"/>
      <c r="I12" s="1749"/>
    </row>
    <row r="13" spans="1:16">
      <c r="A13" s="1925" t="str">
        <f t="shared" si="0"/>
        <v/>
      </c>
      <c r="B13" s="1747"/>
      <c r="C13" s="1747"/>
      <c r="D13" s="1747"/>
      <c r="E13" s="1748" t="str">
        <f t="shared" si="1"/>
        <v/>
      </c>
      <c r="F13" s="1747"/>
      <c r="G13" s="1747"/>
      <c r="H13" s="1747"/>
      <c r="I13" s="1749"/>
    </row>
    <row r="14" spans="1:16">
      <c r="A14" s="1925" t="str">
        <f t="shared" si="0"/>
        <v/>
      </c>
      <c r="B14" s="1747"/>
      <c r="C14" s="1747"/>
      <c r="D14" s="1747"/>
      <c r="E14" s="1748" t="str">
        <f t="shared" si="1"/>
        <v/>
      </c>
      <c r="F14" s="1747"/>
      <c r="G14" s="1747"/>
      <c r="H14" s="1747"/>
      <c r="I14" s="1749"/>
    </row>
    <row r="15" spans="1:16">
      <c r="A15" s="1925" t="str">
        <f t="shared" si="0"/>
        <v/>
      </c>
      <c r="B15" s="1747"/>
      <c r="C15" s="1747"/>
      <c r="D15" s="1747"/>
      <c r="E15" s="1748" t="str">
        <f t="shared" si="1"/>
        <v/>
      </c>
      <c r="F15" s="1747"/>
      <c r="G15" s="1747"/>
      <c r="H15" s="1747"/>
      <c r="I15" s="1749"/>
    </row>
    <row r="16" spans="1:16">
      <c r="A16" s="1925" t="str">
        <f t="shared" si="0"/>
        <v/>
      </c>
      <c r="B16" s="1747"/>
      <c r="C16" s="1747"/>
      <c r="D16" s="1747"/>
      <c r="E16" s="1748" t="str">
        <f t="shared" si="1"/>
        <v/>
      </c>
      <c r="F16" s="1747"/>
      <c r="G16" s="1747"/>
      <c r="H16" s="1747"/>
      <c r="I16" s="1749"/>
    </row>
    <row r="17" spans="1:9">
      <c r="A17" s="1925" t="str">
        <f t="shared" si="0"/>
        <v/>
      </c>
      <c r="B17" s="1747"/>
      <c r="C17" s="1747"/>
      <c r="D17" s="1747"/>
      <c r="E17" s="1748" t="str">
        <f t="shared" si="1"/>
        <v/>
      </c>
      <c r="F17" s="1747"/>
      <c r="G17" s="1747"/>
      <c r="H17" s="1747"/>
      <c r="I17" s="1749"/>
    </row>
    <row r="18" spans="1:9">
      <c r="A18" s="1925" t="str">
        <f t="shared" si="0"/>
        <v/>
      </c>
      <c r="B18" s="1747"/>
      <c r="C18" s="1747"/>
      <c r="D18" s="1747"/>
      <c r="E18" s="1748" t="str">
        <f t="shared" si="1"/>
        <v/>
      </c>
      <c r="F18" s="1747"/>
      <c r="G18" s="1747"/>
      <c r="H18" s="1747"/>
      <c r="I18" s="1749"/>
    </row>
    <row r="19" spans="1:9">
      <c r="A19" s="1925" t="str">
        <f t="shared" si="0"/>
        <v/>
      </c>
      <c r="B19" s="1747"/>
      <c r="C19" s="1747"/>
      <c r="D19" s="1747"/>
      <c r="E19" s="1748" t="str">
        <f t="shared" si="1"/>
        <v/>
      </c>
      <c r="F19" s="1747"/>
      <c r="G19" s="1747"/>
      <c r="H19" s="1747"/>
      <c r="I19" s="1749"/>
    </row>
    <row r="20" spans="1:9">
      <c r="A20" s="1925" t="str">
        <f t="shared" si="0"/>
        <v/>
      </c>
      <c r="B20" s="1747"/>
      <c r="C20" s="1747"/>
      <c r="D20" s="1747"/>
      <c r="E20" s="1748" t="str">
        <f t="shared" si="1"/>
        <v/>
      </c>
      <c r="F20" s="1747"/>
      <c r="G20" s="1747"/>
      <c r="H20" s="1747"/>
      <c r="I20" s="1749"/>
    </row>
    <row r="21" spans="1:9">
      <c r="A21" s="1925" t="str">
        <f t="shared" si="0"/>
        <v/>
      </c>
      <c r="B21" s="1747"/>
      <c r="C21" s="1747"/>
      <c r="D21" s="1747"/>
      <c r="E21" s="1748" t="str">
        <f t="shared" si="1"/>
        <v/>
      </c>
      <c r="F21" s="1747"/>
      <c r="G21" s="1747"/>
      <c r="H21" s="1747"/>
      <c r="I21" s="1749"/>
    </row>
    <row r="22" spans="1:9">
      <c r="A22" s="1925" t="str">
        <f t="shared" si="0"/>
        <v/>
      </c>
      <c r="B22" s="1747"/>
      <c r="C22" s="1747"/>
      <c r="D22" s="1747"/>
      <c r="E22" s="1748" t="str">
        <f t="shared" si="1"/>
        <v/>
      </c>
      <c r="F22" s="1747"/>
      <c r="G22" s="1747"/>
      <c r="H22" s="1747"/>
      <c r="I22" s="1749"/>
    </row>
    <row r="23" spans="1:9">
      <c r="A23" s="1925" t="str">
        <f t="shared" si="0"/>
        <v/>
      </c>
      <c r="B23" s="1747"/>
      <c r="C23" s="1747"/>
      <c r="D23" s="1747"/>
      <c r="E23" s="1748" t="str">
        <f t="shared" si="1"/>
        <v/>
      </c>
      <c r="F23" s="1747"/>
      <c r="G23" s="1747"/>
      <c r="H23" s="1747"/>
      <c r="I23" s="1749"/>
    </row>
    <row r="24" spans="1:9">
      <c r="A24" s="1925" t="str">
        <f t="shared" si="0"/>
        <v/>
      </c>
      <c r="B24" s="1747"/>
      <c r="C24" s="1747"/>
      <c r="D24" s="1747"/>
      <c r="E24" s="1748" t="str">
        <f t="shared" si="1"/>
        <v/>
      </c>
      <c r="F24" s="1747"/>
      <c r="G24" s="1747"/>
      <c r="H24" s="1747"/>
      <c r="I24" s="1749"/>
    </row>
    <row r="25" spans="1:9">
      <c r="A25" s="1925" t="str">
        <f t="shared" si="0"/>
        <v/>
      </c>
      <c r="B25" s="1747"/>
      <c r="C25" s="1747"/>
      <c r="D25" s="1747"/>
      <c r="E25" s="1748" t="str">
        <f t="shared" si="1"/>
        <v/>
      </c>
      <c r="F25" s="1747"/>
      <c r="G25" s="1747"/>
      <c r="H25" s="1747"/>
      <c r="I25" s="1749"/>
    </row>
    <row r="26" spans="1:9">
      <c r="A26" s="1925" t="str">
        <f t="shared" si="0"/>
        <v/>
      </c>
      <c r="B26" s="1747"/>
      <c r="C26" s="1747"/>
      <c r="D26" s="1747"/>
      <c r="E26" s="1748" t="str">
        <f t="shared" si="1"/>
        <v/>
      </c>
      <c r="F26" s="1747"/>
      <c r="G26" s="1747"/>
      <c r="H26" s="1747"/>
      <c r="I26" s="1749"/>
    </row>
    <row r="27" spans="1:9">
      <c r="A27" s="1925" t="str">
        <f t="shared" si="0"/>
        <v/>
      </c>
      <c r="B27" s="1747"/>
      <c r="C27" s="1747"/>
      <c r="D27" s="1747"/>
      <c r="E27" s="1748" t="str">
        <f t="shared" si="1"/>
        <v/>
      </c>
      <c r="F27" s="1747"/>
      <c r="G27" s="1747"/>
      <c r="H27" s="1747"/>
      <c r="I27" s="1749"/>
    </row>
    <row r="28" spans="1:9">
      <c r="A28" s="1925" t="str">
        <f t="shared" si="0"/>
        <v/>
      </c>
      <c r="B28" s="1747"/>
      <c r="C28" s="1747"/>
      <c r="D28" s="1747"/>
      <c r="E28" s="1748" t="str">
        <f t="shared" si="1"/>
        <v/>
      </c>
      <c r="F28" s="1747"/>
      <c r="G28" s="1747"/>
      <c r="H28" s="1747"/>
      <c r="I28" s="1749"/>
    </row>
    <row r="29" spans="1:9">
      <c r="A29" s="1925" t="str">
        <f t="shared" si="0"/>
        <v/>
      </c>
      <c r="B29" s="1747"/>
      <c r="C29" s="1747"/>
      <c r="D29" s="1747"/>
      <c r="E29" s="1748" t="str">
        <f t="shared" si="1"/>
        <v/>
      </c>
      <c r="F29" s="1747"/>
      <c r="G29" s="1747"/>
      <c r="H29" s="1747"/>
      <c r="I29" s="1749"/>
    </row>
    <row r="30" spans="1:9">
      <c r="A30" s="1925" t="str">
        <f t="shared" si="0"/>
        <v/>
      </c>
      <c r="B30" s="1747"/>
      <c r="C30" s="1747"/>
      <c r="D30" s="1747"/>
      <c r="E30" s="1748" t="str">
        <f t="shared" si="1"/>
        <v/>
      </c>
      <c r="F30" s="1747"/>
      <c r="G30" s="1747"/>
      <c r="H30" s="1747"/>
      <c r="I30" s="1749"/>
    </row>
    <row r="31" spans="1:9">
      <c r="A31" s="1925" t="str">
        <f t="shared" si="0"/>
        <v/>
      </c>
      <c r="B31" s="1747"/>
      <c r="C31" s="1747"/>
      <c r="D31" s="1747"/>
      <c r="E31" s="1748" t="str">
        <f t="shared" si="1"/>
        <v/>
      </c>
      <c r="F31" s="1747"/>
      <c r="G31" s="1747"/>
      <c r="H31" s="1747"/>
      <c r="I31" s="1749"/>
    </row>
    <row r="32" spans="1:9">
      <c r="A32" s="1925" t="str">
        <f t="shared" si="0"/>
        <v/>
      </c>
      <c r="B32" s="1747"/>
      <c r="C32" s="1747"/>
      <c r="D32" s="1747"/>
      <c r="E32" s="1748" t="str">
        <f t="shared" si="1"/>
        <v/>
      </c>
      <c r="F32" s="1747"/>
      <c r="G32" s="1747"/>
      <c r="H32" s="1747"/>
      <c r="I32" s="1749"/>
    </row>
    <row r="33" spans="1:9">
      <c r="A33" s="1925" t="str">
        <f t="shared" si="0"/>
        <v/>
      </c>
      <c r="B33" s="1747"/>
      <c r="C33" s="1747"/>
      <c r="D33" s="1747"/>
      <c r="E33" s="1748" t="str">
        <f t="shared" si="1"/>
        <v/>
      </c>
      <c r="F33" s="1747"/>
      <c r="G33" s="1747"/>
      <c r="H33" s="1747"/>
      <c r="I33" s="1749"/>
    </row>
    <row r="34" spans="1:9">
      <c r="A34" s="1925" t="str">
        <f t="shared" si="0"/>
        <v/>
      </c>
      <c r="B34" s="1747"/>
      <c r="C34" s="1747"/>
      <c r="D34" s="1747"/>
      <c r="E34" s="1748" t="str">
        <f t="shared" si="1"/>
        <v/>
      </c>
      <c r="F34" s="1747"/>
      <c r="G34" s="1747"/>
      <c r="H34" s="1747"/>
      <c r="I34" s="1749"/>
    </row>
    <row r="35" spans="1:9">
      <c r="A35" s="1925" t="str">
        <f t="shared" si="0"/>
        <v/>
      </c>
      <c r="B35" s="1747"/>
      <c r="C35" s="1747"/>
      <c r="D35" s="1747"/>
      <c r="E35" s="1748" t="str">
        <f t="shared" si="1"/>
        <v/>
      </c>
      <c r="F35" s="1747"/>
      <c r="G35" s="1747"/>
      <c r="H35" s="1747"/>
      <c r="I35" s="1749"/>
    </row>
    <row r="36" spans="1:9">
      <c r="A36" s="1925" t="str">
        <f t="shared" si="0"/>
        <v/>
      </c>
      <c r="B36" s="1747"/>
      <c r="C36" s="1747"/>
      <c r="D36" s="1747"/>
      <c r="E36" s="1748" t="str">
        <f t="shared" si="1"/>
        <v/>
      </c>
      <c r="F36" s="1747"/>
      <c r="G36" s="1747"/>
      <c r="H36" s="1747"/>
      <c r="I36" s="1749"/>
    </row>
    <row r="37" spans="1:9">
      <c r="A37" s="1925" t="str">
        <f t="shared" si="0"/>
        <v/>
      </c>
      <c r="B37" s="1747"/>
      <c r="C37" s="1747"/>
      <c r="D37" s="1747"/>
      <c r="E37" s="1748" t="str">
        <f t="shared" si="1"/>
        <v/>
      </c>
      <c r="F37" s="1747"/>
      <c r="G37" s="1747"/>
      <c r="H37" s="1747"/>
      <c r="I37" s="1749"/>
    </row>
    <row r="38" spans="1:9">
      <c r="A38" s="1925" t="str">
        <f t="shared" si="0"/>
        <v/>
      </c>
      <c r="B38" s="1747"/>
      <c r="C38" s="1747"/>
      <c r="D38" s="1747"/>
      <c r="E38" s="1748" t="str">
        <f t="shared" si="1"/>
        <v/>
      </c>
      <c r="F38" s="1747"/>
      <c r="G38" s="1747"/>
      <c r="H38" s="1747"/>
      <c r="I38" s="1749"/>
    </row>
    <row r="39" spans="1:9">
      <c r="A39" s="1925" t="str">
        <f t="shared" si="0"/>
        <v/>
      </c>
      <c r="B39" s="1747"/>
      <c r="C39" s="1747"/>
      <c r="D39" s="1747"/>
      <c r="E39" s="1748" t="str">
        <f t="shared" si="1"/>
        <v/>
      </c>
      <c r="F39" s="1747"/>
      <c r="G39" s="1747"/>
      <c r="H39" s="1747"/>
      <c r="I39" s="1749"/>
    </row>
    <row r="40" spans="1:9">
      <c r="A40" s="1925" t="str">
        <f t="shared" si="0"/>
        <v/>
      </c>
      <c r="B40" s="1747"/>
      <c r="C40" s="1747"/>
      <c r="D40" s="1747"/>
      <c r="E40" s="1748" t="str">
        <f t="shared" si="1"/>
        <v/>
      </c>
      <c r="F40" s="1747"/>
      <c r="G40" s="1747"/>
      <c r="H40" s="1747"/>
      <c r="I40" s="1749"/>
    </row>
    <row r="41" spans="1:9" ht="13.5" thickBot="1">
      <c r="A41" s="1926" t="str">
        <f t="shared" si="0"/>
        <v/>
      </c>
      <c r="B41" s="3007"/>
      <c r="C41" s="1750"/>
      <c r="D41" s="1750"/>
      <c r="E41" s="3008" t="str">
        <f t="shared" si="1"/>
        <v/>
      </c>
      <c r="F41" s="1750"/>
      <c r="G41" s="1750"/>
      <c r="H41" s="1750"/>
      <c r="I41" s="1751"/>
    </row>
  </sheetData>
  <mergeCells count="1">
    <mergeCell ref="E1:I1"/>
  </mergeCells>
  <conditionalFormatting sqref="D1">
    <cfRule type="cellIs" dxfId="74" priority="11" operator="equal">
      <formula>"Undetermined"</formula>
    </cfRule>
    <cfRule type="cellIs" dxfId="73" priority="12" operator="equal">
      <formula>"REQUIRED"</formula>
    </cfRule>
  </conditionalFormatting>
  <conditionalFormatting sqref="D3:E41">
    <cfRule type="expression" dxfId="72" priority="1">
      <formula>$B3="UltraDNS"</formula>
    </cfRule>
  </conditionalFormatting>
  <dataValidations count="3">
    <dataValidation type="list" allowBlank="1" showInputMessage="1" showErrorMessage="1" sqref="G3:G41" xr:uid="{00000000-0002-0000-1900-000000000000}">
      <formula1>"Round Robin,Global Availability,Topology,Ratio"</formula1>
    </dataValidation>
    <dataValidation type="list" allowBlank="1" showInputMessage="1" showErrorMessage="1" sqref="C3:C41" xr:uid="{00000000-0002-0000-1900-000001000000}">
      <formula1>"Production, Test"</formula1>
    </dataValidation>
    <dataValidation type="list" allowBlank="1" showInputMessage="1" showErrorMessage="1" sqref="B3:B41" xr:uid="{00000000-0002-0000-1900-000002000000}">
      <formula1>"GTM,UltraDNS"</formula1>
    </dataValidation>
  </dataValidations>
  <pageMargins left="0.7" right="0.7" top="0.75" bottom="0.75" header="0.3" footer="0.3"/>
  <pageSetup scale="46" orientation="portrait" r:id="rId1"/>
  <drawing r:id="rId2"/>
  <legacyDrawing r:id="rId3"/>
  <oleObjects>
    <mc:AlternateContent xmlns:mc="http://schemas.openxmlformats.org/markup-compatibility/2006">
      <mc:Choice Requires="x14">
        <oleObject progId="Word.Document.12" shapeId="322568" r:id="rId4">
          <objectPr defaultSize="0" r:id="rId5">
            <anchor moveWithCells="1">
              <from>
                <xdr:col>106</xdr:col>
                <xdr:colOff>0</xdr:colOff>
                <xdr:row>0</xdr:row>
                <xdr:rowOff>0</xdr:rowOff>
              </from>
              <to>
                <xdr:col>123</xdr:col>
                <xdr:colOff>95250</xdr:colOff>
                <xdr:row>26</xdr:row>
                <xdr:rowOff>76200</xdr:rowOff>
              </to>
            </anchor>
          </objectPr>
        </oleObject>
      </mc:Choice>
      <mc:Fallback>
        <oleObject progId="Word.Document.12" shapeId="322568" r:id="rId4"/>
      </mc:Fallback>
    </mc:AlternateContent>
  </oleObjects>
  <extLst>
    <ext xmlns:x14="http://schemas.microsoft.com/office/spreadsheetml/2009/9/main" uri="{78C0D931-6437-407d-A8EE-F0AAD7539E65}">
      <x14:conditionalFormattings>
        <x14:conditionalFormatting xmlns:xm="http://schemas.microsoft.com/office/excel/2006/main">
          <x14:cfRule type="expression" priority="9" id="{3E86916E-4797-4071-8319-A69A4CC4C7C6}">
            <xm:f>'C:\Users\i268924\AppData\Local\Temp\notes7BB441\[itg_network_security_request 1.52r.xlsm]REQUIRED.Customer.Information'!#REF!="Yes"</xm:f>
            <x14:dxf>
              <fill>
                <patternFill>
                  <bgColor theme="9" tint="-0.24994659260841701"/>
                </patternFill>
              </fill>
            </x14:dxf>
          </x14:cfRule>
          <xm:sqref>B2</xm:sqref>
        </x14:conditionalFormatting>
        <x14:conditionalFormatting xmlns:xm="http://schemas.microsoft.com/office/excel/2006/main">
          <x14:cfRule type="expression" priority="8" id="{321A6207-F29F-42F4-A3A5-9273E7D5AC4D}">
            <xm:f>'C:\Users\i268924\AppData\Local\Temp\notes7BB441\[itg_network_security_request 1.52r.xlsm]REQUIRED.Customer.Information'!#REF!="Yes"</xm:f>
            <x14:dxf>
              <fill>
                <patternFill>
                  <bgColor theme="9" tint="-0.24994659260841701"/>
                </patternFill>
              </fill>
            </x14:dxf>
          </x14:cfRule>
          <xm:sqref>C2:D2</xm:sqref>
        </x14:conditionalFormatting>
        <x14:conditionalFormatting xmlns:xm="http://schemas.microsoft.com/office/excel/2006/main">
          <x14:cfRule type="expression" priority="7" id="{84D60A49-71C7-4BA0-B98B-AD8841B9FBA0}">
            <xm:f>'C:\Users\i268924\AppData\Local\Temp\notes7BB441\[itg_network_security_request 1.52r.xlsm]REQUIRED.Customer.Information'!#REF!="Yes"</xm:f>
            <x14:dxf>
              <fill>
                <patternFill>
                  <bgColor theme="9" tint="-0.24994659260841701"/>
                </patternFill>
              </fill>
            </x14:dxf>
          </x14:cfRule>
          <xm:sqref>E2</xm:sqref>
        </x14:conditionalFormatting>
        <x14:conditionalFormatting xmlns:xm="http://schemas.microsoft.com/office/excel/2006/main">
          <x14:cfRule type="expression" priority="6" id="{15AAB518-9256-489D-926D-A8A5ED629FFF}">
            <xm:f>'C:\Users\i268924\AppData\Local\Temp\notes7BB441\[itg_network_security_request 1.52r.xlsm]REQUIRED.Customer.Information'!#REF!="Yes"</xm:f>
            <x14:dxf>
              <fill>
                <patternFill>
                  <bgColor theme="9" tint="-0.24994659260841701"/>
                </patternFill>
              </fill>
            </x14:dxf>
          </x14:cfRule>
          <xm:sqref>F2</xm:sqref>
        </x14:conditionalFormatting>
        <x14:conditionalFormatting xmlns:xm="http://schemas.microsoft.com/office/excel/2006/main">
          <x14:cfRule type="expression" priority="5" id="{3FF88F1A-DFBD-4D17-B668-33E6F87795BF}">
            <xm:f>'C:\Users\i268924\AppData\Local\Temp\notes7BB441\[itg_network_security_request 1.52r.xlsm]REQUIRED.Customer.Information'!#REF!="Yes"</xm:f>
            <x14:dxf>
              <fill>
                <patternFill>
                  <bgColor theme="9" tint="-0.24994659260841701"/>
                </patternFill>
              </fill>
            </x14:dxf>
          </x14:cfRule>
          <xm:sqref>G2</xm:sqref>
        </x14:conditionalFormatting>
        <x14:conditionalFormatting xmlns:xm="http://schemas.microsoft.com/office/excel/2006/main">
          <x14:cfRule type="expression" priority="4" id="{62225598-58BF-46BD-995D-7E32F3DF8089}">
            <xm:f>'C:\Users\i268924\AppData\Local\Temp\notes7BB441\[itg_network_security_request 1.52r.xlsm]REQUIRED.Customer.Information'!#REF!="Yes"</xm:f>
            <x14:dxf>
              <fill>
                <patternFill>
                  <bgColor theme="9" tint="-0.24994659260841701"/>
                </patternFill>
              </fill>
            </x14:dxf>
          </x14:cfRule>
          <xm:sqref>H2</xm:sqref>
        </x14:conditionalFormatting>
        <x14:conditionalFormatting xmlns:xm="http://schemas.microsoft.com/office/excel/2006/main">
          <x14:cfRule type="expression" priority="3" id="{5AC77EB8-CFA4-4484-9562-90AAD0AFD317}">
            <xm:f>'C:\Users\i268924\AppData\Local\Temp\notes7BB441\[itg_network_security_request 1.52r.xlsm]REQUIRED.Customer.Information'!#REF!="Yes"</xm:f>
            <x14:dxf>
              <fill>
                <patternFill>
                  <bgColor theme="9" tint="-0.24994659260841701"/>
                </patternFill>
              </fill>
            </x14:dxf>
          </x14:cfRule>
          <xm:sqref>I2</xm:sqref>
        </x14:conditionalFormatting>
        <x14:conditionalFormatting xmlns:xm="http://schemas.microsoft.com/office/excel/2006/main">
          <x14:cfRule type="expression" priority="2" id="{51D49811-AA2B-432F-9AF8-E71BF014F0DE}">
            <xm:f>'C:\Users\i268924\AppData\Local\Temp\notes7BB441\[itg_network_security_request 1.52r.xlsm]REQUIRED.Customer.Information'!#REF!="Yes"</xm:f>
            <x14:dxf>
              <fill>
                <patternFill>
                  <bgColor theme="9" tint="-0.24994659260841701"/>
                </patternFill>
              </fill>
            </x14:dxf>
          </x14:cfRule>
          <xm:sqref>A2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1">
    <tabColor theme="3" tint="0.79998168889431442"/>
  </sheetPr>
  <dimension ref="A1:J52"/>
  <sheetViews>
    <sheetView showGridLines="0" zoomScale="80" zoomScaleNormal="80" workbookViewId="0">
      <selection activeCell="B5" sqref="B5"/>
    </sheetView>
  </sheetViews>
  <sheetFormatPr defaultRowHeight="12.75"/>
  <cols>
    <col min="1" max="1" width="21.85546875" customWidth="1"/>
    <col min="2" max="2" width="13.85546875" customWidth="1"/>
    <col min="3" max="3" width="17.42578125" customWidth="1"/>
    <col min="4" max="4" width="30.42578125" customWidth="1"/>
    <col min="5" max="5" width="8.85546875" customWidth="1"/>
    <col min="6" max="6" width="25.28515625" customWidth="1"/>
    <col min="7" max="7" width="29.7109375" customWidth="1"/>
    <col min="8" max="8" width="44.42578125" customWidth="1"/>
    <col min="9" max="9" width="37.28515625" customWidth="1"/>
    <col min="10" max="10" width="39.140625" customWidth="1"/>
    <col min="11" max="11" width="45.42578125" customWidth="1"/>
  </cols>
  <sheetData>
    <row r="1" spans="1:10" s="126" customFormat="1" ht="30" customHeight="1">
      <c r="A1" s="3897"/>
      <c r="B1" s="3890"/>
      <c r="C1" s="3872" t="str">
        <f>'Project Details'!$C$8 &amp;" - Data Power"</f>
        <v>Linux Infrastructure Management - Data Power</v>
      </c>
      <c r="D1" s="3872"/>
      <c r="E1" s="3890"/>
      <c r="F1" s="3890"/>
      <c r="G1" s="3890"/>
      <c r="H1" s="3891"/>
      <c r="I1" s="3893"/>
      <c r="J1" s="3893"/>
    </row>
    <row r="2" spans="1:10" s="147" customFormat="1">
      <c r="A2" s="386" t="s">
        <v>823</v>
      </c>
      <c r="H2" s="387"/>
    </row>
    <row r="3" spans="1:10">
      <c r="A3" s="3894" t="s">
        <v>1364</v>
      </c>
      <c r="B3" s="3895"/>
      <c r="C3" s="3895"/>
      <c r="D3" s="3895"/>
      <c r="E3" s="3895"/>
      <c r="F3" s="3895"/>
      <c r="G3" s="3895"/>
      <c r="H3" s="3896"/>
    </row>
    <row r="4" spans="1:10">
      <c r="A4" s="388" t="s">
        <v>0</v>
      </c>
      <c r="B4" s="297" t="s">
        <v>11</v>
      </c>
      <c r="C4" s="297" t="s">
        <v>1365</v>
      </c>
      <c r="D4" s="297" t="s">
        <v>1366</v>
      </c>
      <c r="E4" s="297" t="s">
        <v>761</v>
      </c>
      <c r="F4" s="297" t="s">
        <v>1367</v>
      </c>
      <c r="G4" s="297" t="s">
        <v>785</v>
      </c>
      <c r="H4" s="389" t="s">
        <v>16</v>
      </c>
    </row>
    <row r="5" spans="1:10">
      <c r="A5" s="390"/>
      <c r="B5" s="298"/>
      <c r="C5" s="298"/>
      <c r="D5" s="298"/>
      <c r="E5" s="298"/>
      <c r="F5" s="299" t="str">
        <f xml:space="preserve">
IF(AND(A5="Inbound (DMZ)",B5="Production 2.0"),"pool_10.136.96.50_"&amp;E5,
IF(AND(A5="Inbound (DMZ)",B5="Test 2.0"),"pool_10.134.96.40_"&amp;E5,
IF(AND(A5="Outbound (DMZ)",B5="Production 2.0"),"pool_"&amp;C5&amp;"_"&amp;E5,
IF(AND(A5="Outbound (DMZ)",B5="Test 2.0"),"pool_"&amp;C5&amp;"_"&amp;E5,
IF(AND(A5="Internal (Process)",B5="Production 2.0"),"pool_10.136.192.71_"&amp;E5,
IF(AND(A5="Internal (Process)",B5="Test 2.0"),"pool_10.134.192.96_"&amp;E5,""))))))</f>
        <v/>
      </c>
      <c r="G5" s="299" t="str">
        <f xml:space="preserve">
IF(AND(A5="Outbound (DMZ)",B5="Production 2.0"),"uri-dp-outbound-request",
IF(AND(A5="Outbound (DMZ)",B5="Test 2.0"),"uri-process-dp-outbound-request",
IF(AND(A5="Inbound (DMZ)",B5="Production 2.0"),"uri-process-dp-inbound-request",
IF(AND(A5="Inbound (DMZ)",B5="Test 2.0"),"uri-process-dp-inbound-request",
IF(AND(A5="Internal (Process)",B5="Production 2.0"),"rule-dp-uri-providerwalk-internal",
IF(AND(A5="Internal (Process)",B5="Test 2.0"),"rule-dp-uri-providerwalk-internal",""))))))</f>
        <v/>
      </c>
      <c r="H5" s="391" t="s">
        <v>1368</v>
      </c>
    </row>
    <row r="6" spans="1:10">
      <c r="A6" s="390"/>
      <c r="B6" s="298"/>
      <c r="C6" s="298"/>
      <c r="D6" s="298"/>
      <c r="E6" s="298"/>
      <c r="F6" s="299" t="str">
        <f t="shared" ref="F6:F52" si="0" xml:space="preserve">
IF(AND(A6="Inbound (DMZ)",B6="Production 2.0"),"pool_10.136.96.50_"&amp;E6,
IF(AND(A6="Inbound (DMZ)",B6="Test 2.0"),"pool_10.134.96.40_"&amp;E6,
IF(AND(A6="Outbound (DMZ)",B6="Production 2.0"),"pool_"&amp;C6&amp;"_"&amp;E6,
IF(AND(A6="Outbound (DMZ)",B6="Test 2.0"),"pool_"&amp;C6&amp;"_"&amp;E6,
IF(AND(A6="Internal (Process)",B6="Production 2.0"),"pool_10.136.192.71_"&amp;E6,
IF(AND(A6="Internal (Process)",B6="Test 2.0"),"pool_10.134.192.96_"&amp;E6,""))))))</f>
        <v/>
      </c>
      <c r="G6" s="299" t="str">
        <f t="shared" ref="G6:G52" si="1" xml:space="preserve">
IF(AND(A6="Outbound (DMZ)",B6="Production 2.0"),"uri-dp-outbound-request",
IF(AND(A6="Outbound (DMZ)",B6="Test 2.0"),"uri-process-dp-outbound-request",
IF(AND(A6="Inbound (DMZ)",B6="Production 2.0"),"uri-process-dp-inbound-request",
IF(AND(A6="Inbound (DMZ)",B6="Test 2.0"),"uri-process-dp-inbound-request",
IF(AND(A6="Internal (Process)",B6="Production 2.0"),"rule-dp-uri-providerwalk-internal",
IF(AND(A6="Internal (Process)",B6="Test 2.0"),"rule-dp-uri-providerwalk-internal",""))))))</f>
        <v/>
      </c>
      <c r="H6" s="391" t="s">
        <v>1368</v>
      </c>
    </row>
    <row r="7" spans="1:10">
      <c r="A7" s="390"/>
      <c r="B7" s="298"/>
      <c r="C7" s="298"/>
      <c r="D7" s="298"/>
      <c r="E7" s="298"/>
      <c r="F7" s="299" t="str">
        <f t="shared" si="0"/>
        <v/>
      </c>
      <c r="G7" s="299" t="str">
        <f t="shared" si="1"/>
        <v/>
      </c>
      <c r="H7" s="391" t="s">
        <v>1368</v>
      </c>
    </row>
    <row r="8" spans="1:10">
      <c r="A8" s="390"/>
      <c r="B8" s="298"/>
      <c r="C8" s="298"/>
      <c r="D8" s="298"/>
      <c r="E8" s="298"/>
      <c r="F8" s="299" t="str">
        <f t="shared" si="0"/>
        <v/>
      </c>
      <c r="G8" s="299" t="str">
        <f t="shared" si="1"/>
        <v/>
      </c>
      <c r="H8" s="391" t="s">
        <v>1368</v>
      </c>
    </row>
    <row r="9" spans="1:10">
      <c r="A9" s="390"/>
      <c r="B9" s="298"/>
      <c r="C9" s="298"/>
      <c r="D9" s="298"/>
      <c r="E9" s="298"/>
      <c r="F9" s="299" t="str">
        <f t="shared" si="0"/>
        <v/>
      </c>
      <c r="G9" s="299" t="str">
        <f t="shared" si="1"/>
        <v/>
      </c>
      <c r="H9" s="391" t="s">
        <v>1368</v>
      </c>
    </row>
    <row r="10" spans="1:10">
      <c r="A10" s="390"/>
      <c r="B10" s="298"/>
      <c r="C10" s="298"/>
      <c r="D10" s="298"/>
      <c r="E10" s="298"/>
      <c r="F10" s="299" t="str">
        <f t="shared" si="0"/>
        <v/>
      </c>
      <c r="G10" s="299" t="str">
        <f t="shared" si="1"/>
        <v/>
      </c>
      <c r="H10" s="391" t="s">
        <v>1368</v>
      </c>
    </row>
    <row r="11" spans="1:10">
      <c r="A11" s="390"/>
      <c r="B11" s="298"/>
      <c r="C11" s="298"/>
      <c r="D11" s="298"/>
      <c r="E11" s="298"/>
      <c r="F11" s="299" t="str">
        <f t="shared" si="0"/>
        <v/>
      </c>
      <c r="G11" s="299" t="str">
        <f t="shared" si="1"/>
        <v/>
      </c>
      <c r="H11" s="391" t="s">
        <v>1368</v>
      </c>
    </row>
    <row r="12" spans="1:10">
      <c r="A12" s="390"/>
      <c r="B12" s="298"/>
      <c r="C12" s="298"/>
      <c r="D12" s="298"/>
      <c r="E12" s="298"/>
      <c r="F12" s="299" t="str">
        <f t="shared" si="0"/>
        <v/>
      </c>
      <c r="G12" s="299" t="str">
        <f t="shared" si="1"/>
        <v/>
      </c>
      <c r="H12" s="391" t="s">
        <v>1368</v>
      </c>
    </row>
    <row r="13" spans="1:10">
      <c r="A13" s="390"/>
      <c r="B13" s="298"/>
      <c r="C13" s="298"/>
      <c r="D13" s="298"/>
      <c r="E13" s="298"/>
      <c r="F13" s="299" t="str">
        <f t="shared" si="0"/>
        <v/>
      </c>
      <c r="G13" s="299" t="str">
        <f t="shared" si="1"/>
        <v/>
      </c>
      <c r="H13" s="391" t="s">
        <v>1368</v>
      </c>
    </row>
    <row r="14" spans="1:10">
      <c r="A14" s="390"/>
      <c r="B14" s="298"/>
      <c r="C14" s="298"/>
      <c r="D14" s="298"/>
      <c r="E14" s="298"/>
      <c r="F14" s="299" t="str">
        <f t="shared" si="0"/>
        <v/>
      </c>
      <c r="G14" s="299" t="str">
        <f t="shared" si="1"/>
        <v/>
      </c>
      <c r="H14" s="391" t="s">
        <v>1368</v>
      </c>
    </row>
    <row r="15" spans="1:10">
      <c r="A15" s="390"/>
      <c r="B15" s="298"/>
      <c r="C15" s="298"/>
      <c r="D15" s="298"/>
      <c r="E15" s="298"/>
      <c r="F15" s="299" t="str">
        <f t="shared" si="0"/>
        <v/>
      </c>
      <c r="G15" s="299" t="str">
        <f t="shared" si="1"/>
        <v/>
      </c>
      <c r="H15" s="391" t="s">
        <v>1368</v>
      </c>
    </row>
    <row r="16" spans="1:10">
      <c r="A16" s="390"/>
      <c r="B16" s="298"/>
      <c r="C16" s="298"/>
      <c r="D16" s="298"/>
      <c r="E16" s="298"/>
      <c r="F16" s="299" t="str">
        <f t="shared" si="0"/>
        <v/>
      </c>
      <c r="G16" s="299" t="str">
        <f t="shared" si="1"/>
        <v/>
      </c>
      <c r="H16" s="391" t="s">
        <v>1368</v>
      </c>
    </row>
    <row r="17" spans="1:8">
      <c r="A17" s="390"/>
      <c r="B17" s="298"/>
      <c r="C17" s="298"/>
      <c r="D17" s="298"/>
      <c r="E17" s="298"/>
      <c r="F17" s="299" t="str">
        <f t="shared" si="0"/>
        <v/>
      </c>
      <c r="G17" s="299" t="str">
        <f t="shared" si="1"/>
        <v/>
      </c>
      <c r="H17" s="391" t="s">
        <v>1368</v>
      </c>
    </row>
    <row r="18" spans="1:8">
      <c r="A18" s="390"/>
      <c r="B18" s="298"/>
      <c r="C18" s="298"/>
      <c r="D18" s="298"/>
      <c r="E18" s="298"/>
      <c r="F18" s="299" t="str">
        <f t="shared" si="0"/>
        <v/>
      </c>
      <c r="G18" s="299" t="str">
        <f t="shared" si="1"/>
        <v/>
      </c>
      <c r="H18" s="391" t="s">
        <v>1368</v>
      </c>
    </row>
    <row r="19" spans="1:8">
      <c r="A19" s="390"/>
      <c r="B19" s="298"/>
      <c r="C19" s="298"/>
      <c r="D19" s="298"/>
      <c r="E19" s="298"/>
      <c r="F19" s="299" t="str">
        <f t="shared" si="0"/>
        <v/>
      </c>
      <c r="G19" s="299" t="str">
        <f t="shared" si="1"/>
        <v/>
      </c>
      <c r="H19" s="391" t="s">
        <v>1368</v>
      </c>
    </row>
    <row r="20" spans="1:8">
      <c r="A20" s="390"/>
      <c r="B20" s="298"/>
      <c r="C20" s="298"/>
      <c r="D20" s="298"/>
      <c r="E20" s="298"/>
      <c r="F20" s="299" t="str">
        <f t="shared" si="0"/>
        <v/>
      </c>
      <c r="G20" s="299" t="str">
        <f t="shared" si="1"/>
        <v/>
      </c>
      <c r="H20" s="391" t="s">
        <v>1368</v>
      </c>
    </row>
    <row r="21" spans="1:8">
      <c r="A21" s="390"/>
      <c r="B21" s="298"/>
      <c r="C21" s="298"/>
      <c r="D21" s="298"/>
      <c r="E21" s="298"/>
      <c r="F21" s="299" t="str">
        <f t="shared" si="0"/>
        <v/>
      </c>
      <c r="G21" s="299" t="str">
        <f t="shared" si="1"/>
        <v/>
      </c>
      <c r="H21" s="391" t="s">
        <v>1368</v>
      </c>
    </row>
    <row r="22" spans="1:8">
      <c r="A22" s="390"/>
      <c r="B22" s="298"/>
      <c r="C22" s="298"/>
      <c r="D22" s="298"/>
      <c r="E22" s="298"/>
      <c r="F22" s="299" t="str">
        <f t="shared" si="0"/>
        <v/>
      </c>
      <c r="G22" s="299" t="str">
        <f t="shared" si="1"/>
        <v/>
      </c>
      <c r="H22" s="391" t="s">
        <v>1368</v>
      </c>
    </row>
    <row r="23" spans="1:8">
      <c r="A23" s="390"/>
      <c r="B23" s="298"/>
      <c r="C23" s="298"/>
      <c r="D23" s="298"/>
      <c r="E23" s="298"/>
      <c r="F23" s="299" t="str">
        <f t="shared" si="0"/>
        <v/>
      </c>
      <c r="G23" s="299" t="str">
        <f t="shared" si="1"/>
        <v/>
      </c>
      <c r="H23" s="391" t="s">
        <v>1368</v>
      </c>
    </row>
    <row r="24" spans="1:8">
      <c r="A24" s="390"/>
      <c r="B24" s="298"/>
      <c r="C24" s="298"/>
      <c r="D24" s="298"/>
      <c r="E24" s="298"/>
      <c r="F24" s="299" t="str">
        <f t="shared" si="0"/>
        <v/>
      </c>
      <c r="G24" s="299" t="str">
        <f t="shared" si="1"/>
        <v/>
      </c>
      <c r="H24" s="391" t="s">
        <v>1368</v>
      </c>
    </row>
    <row r="25" spans="1:8">
      <c r="A25" s="390"/>
      <c r="B25" s="298"/>
      <c r="C25" s="298"/>
      <c r="D25" s="298"/>
      <c r="E25" s="298"/>
      <c r="F25" s="299" t="str">
        <f t="shared" si="0"/>
        <v/>
      </c>
      <c r="G25" s="299" t="str">
        <f t="shared" si="1"/>
        <v/>
      </c>
      <c r="H25" s="391" t="s">
        <v>1368</v>
      </c>
    </row>
    <row r="26" spans="1:8">
      <c r="A26" s="390"/>
      <c r="B26" s="298"/>
      <c r="C26" s="298"/>
      <c r="D26" s="298"/>
      <c r="E26" s="298"/>
      <c r="F26" s="299" t="str">
        <f t="shared" si="0"/>
        <v/>
      </c>
      <c r="G26" s="299" t="str">
        <f t="shared" si="1"/>
        <v/>
      </c>
      <c r="H26" s="391" t="s">
        <v>1368</v>
      </c>
    </row>
    <row r="27" spans="1:8">
      <c r="A27" s="390"/>
      <c r="B27" s="298"/>
      <c r="C27" s="298"/>
      <c r="D27" s="298"/>
      <c r="E27" s="298"/>
      <c r="F27" s="299" t="str">
        <f t="shared" si="0"/>
        <v/>
      </c>
      <c r="G27" s="299" t="str">
        <f t="shared" si="1"/>
        <v/>
      </c>
      <c r="H27" s="391" t="s">
        <v>1368</v>
      </c>
    </row>
    <row r="28" spans="1:8">
      <c r="A28" s="390"/>
      <c r="B28" s="298"/>
      <c r="C28" s="298"/>
      <c r="D28" s="298"/>
      <c r="E28" s="298"/>
      <c r="F28" s="299" t="str">
        <f t="shared" si="0"/>
        <v/>
      </c>
      <c r="G28" s="299" t="str">
        <f t="shared" si="1"/>
        <v/>
      </c>
      <c r="H28" s="391" t="s">
        <v>1368</v>
      </c>
    </row>
    <row r="29" spans="1:8">
      <c r="A29" s="390"/>
      <c r="B29" s="298"/>
      <c r="C29" s="298"/>
      <c r="D29" s="298"/>
      <c r="E29" s="298"/>
      <c r="F29" s="299" t="str">
        <f t="shared" si="0"/>
        <v/>
      </c>
      <c r="G29" s="299" t="str">
        <f t="shared" si="1"/>
        <v/>
      </c>
      <c r="H29" s="391" t="s">
        <v>1368</v>
      </c>
    </row>
    <row r="30" spans="1:8">
      <c r="A30" s="390"/>
      <c r="B30" s="298"/>
      <c r="C30" s="298"/>
      <c r="D30" s="298"/>
      <c r="E30" s="298"/>
      <c r="F30" s="299" t="str">
        <f t="shared" si="0"/>
        <v/>
      </c>
      <c r="G30" s="299" t="str">
        <f t="shared" si="1"/>
        <v/>
      </c>
      <c r="H30" s="391" t="s">
        <v>1368</v>
      </c>
    </row>
    <row r="31" spans="1:8">
      <c r="A31" s="390"/>
      <c r="B31" s="298"/>
      <c r="C31" s="298"/>
      <c r="D31" s="298"/>
      <c r="E31" s="298"/>
      <c r="F31" s="299" t="str">
        <f t="shared" si="0"/>
        <v/>
      </c>
      <c r="G31" s="299" t="str">
        <f t="shared" si="1"/>
        <v/>
      </c>
      <c r="H31" s="391" t="s">
        <v>1368</v>
      </c>
    </row>
    <row r="32" spans="1:8">
      <c r="A32" s="390"/>
      <c r="B32" s="298"/>
      <c r="C32" s="298"/>
      <c r="D32" s="298"/>
      <c r="E32" s="298"/>
      <c r="F32" s="299" t="str">
        <f t="shared" si="0"/>
        <v/>
      </c>
      <c r="G32" s="299" t="str">
        <f t="shared" si="1"/>
        <v/>
      </c>
      <c r="H32" s="391" t="s">
        <v>1368</v>
      </c>
    </row>
    <row r="33" spans="1:8">
      <c r="A33" s="390"/>
      <c r="B33" s="298"/>
      <c r="C33" s="298"/>
      <c r="D33" s="298"/>
      <c r="E33" s="298"/>
      <c r="F33" s="299" t="str">
        <f t="shared" si="0"/>
        <v/>
      </c>
      <c r="G33" s="299" t="str">
        <f t="shared" si="1"/>
        <v/>
      </c>
      <c r="H33" s="391" t="s">
        <v>1368</v>
      </c>
    </row>
    <row r="34" spans="1:8">
      <c r="A34" s="390"/>
      <c r="B34" s="298"/>
      <c r="C34" s="298"/>
      <c r="D34" s="298"/>
      <c r="E34" s="298"/>
      <c r="F34" s="299" t="str">
        <f t="shared" si="0"/>
        <v/>
      </c>
      <c r="G34" s="299" t="str">
        <f t="shared" si="1"/>
        <v/>
      </c>
      <c r="H34" s="391" t="s">
        <v>1368</v>
      </c>
    </row>
    <row r="35" spans="1:8">
      <c r="A35" s="390"/>
      <c r="B35" s="298"/>
      <c r="C35" s="298"/>
      <c r="D35" s="298"/>
      <c r="E35" s="298"/>
      <c r="F35" s="299" t="str">
        <f t="shared" si="0"/>
        <v/>
      </c>
      <c r="G35" s="299" t="str">
        <f t="shared" si="1"/>
        <v/>
      </c>
      <c r="H35" s="391" t="s">
        <v>1368</v>
      </c>
    </row>
    <row r="36" spans="1:8">
      <c r="A36" s="390"/>
      <c r="B36" s="298"/>
      <c r="C36" s="298"/>
      <c r="D36" s="298"/>
      <c r="E36" s="298"/>
      <c r="F36" s="299" t="str">
        <f t="shared" si="0"/>
        <v/>
      </c>
      <c r="G36" s="299" t="str">
        <f t="shared" si="1"/>
        <v/>
      </c>
      <c r="H36" s="391" t="s">
        <v>1368</v>
      </c>
    </row>
    <row r="37" spans="1:8">
      <c r="A37" s="390"/>
      <c r="B37" s="298"/>
      <c r="C37" s="298"/>
      <c r="D37" s="298"/>
      <c r="E37" s="298"/>
      <c r="F37" s="299" t="str">
        <f t="shared" si="0"/>
        <v/>
      </c>
      <c r="G37" s="299" t="str">
        <f t="shared" si="1"/>
        <v/>
      </c>
      <c r="H37" s="391" t="s">
        <v>1368</v>
      </c>
    </row>
    <row r="38" spans="1:8">
      <c r="A38" s="390"/>
      <c r="B38" s="298"/>
      <c r="C38" s="298"/>
      <c r="D38" s="298"/>
      <c r="E38" s="298"/>
      <c r="F38" s="299" t="str">
        <f t="shared" si="0"/>
        <v/>
      </c>
      <c r="G38" s="299" t="str">
        <f t="shared" si="1"/>
        <v/>
      </c>
      <c r="H38" s="391" t="s">
        <v>1368</v>
      </c>
    </row>
    <row r="39" spans="1:8">
      <c r="A39" s="390"/>
      <c r="B39" s="298"/>
      <c r="C39" s="298"/>
      <c r="D39" s="298"/>
      <c r="E39" s="298"/>
      <c r="F39" s="299" t="str">
        <f t="shared" si="0"/>
        <v/>
      </c>
      <c r="G39" s="299" t="str">
        <f t="shared" si="1"/>
        <v/>
      </c>
      <c r="H39" s="391" t="s">
        <v>1368</v>
      </c>
    </row>
    <row r="40" spans="1:8">
      <c r="A40" s="390"/>
      <c r="B40" s="298"/>
      <c r="C40" s="298"/>
      <c r="D40" s="298"/>
      <c r="E40" s="298"/>
      <c r="F40" s="299" t="str">
        <f t="shared" si="0"/>
        <v/>
      </c>
      <c r="G40" s="299" t="str">
        <f t="shared" si="1"/>
        <v/>
      </c>
      <c r="H40" s="391" t="s">
        <v>1368</v>
      </c>
    </row>
    <row r="41" spans="1:8">
      <c r="A41" s="390"/>
      <c r="B41" s="298"/>
      <c r="C41" s="298"/>
      <c r="D41" s="298"/>
      <c r="E41" s="298"/>
      <c r="F41" s="299" t="str">
        <f t="shared" si="0"/>
        <v/>
      </c>
      <c r="G41" s="299" t="str">
        <f t="shared" si="1"/>
        <v/>
      </c>
      <c r="H41" s="391" t="s">
        <v>1368</v>
      </c>
    </row>
    <row r="42" spans="1:8">
      <c r="A42" s="390"/>
      <c r="B42" s="298"/>
      <c r="C42" s="298"/>
      <c r="D42" s="298"/>
      <c r="E42" s="298"/>
      <c r="F42" s="299" t="str">
        <f t="shared" si="0"/>
        <v/>
      </c>
      <c r="G42" s="299" t="str">
        <f t="shared" si="1"/>
        <v/>
      </c>
      <c r="H42" s="391" t="s">
        <v>1368</v>
      </c>
    </row>
    <row r="43" spans="1:8">
      <c r="A43" s="390"/>
      <c r="B43" s="298"/>
      <c r="C43" s="298"/>
      <c r="D43" s="298"/>
      <c r="E43" s="298"/>
      <c r="F43" s="299" t="str">
        <f t="shared" si="0"/>
        <v/>
      </c>
      <c r="G43" s="299" t="str">
        <f t="shared" si="1"/>
        <v/>
      </c>
      <c r="H43" s="391" t="s">
        <v>1368</v>
      </c>
    </row>
    <row r="44" spans="1:8">
      <c r="A44" s="390"/>
      <c r="B44" s="298"/>
      <c r="C44" s="298"/>
      <c r="D44" s="298"/>
      <c r="E44" s="298"/>
      <c r="F44" s="299" t="str">
        <f t="shared" si="0"/>
        <v/>
      </c>
      <c r="G44" s="299" t="str">
        <f t="shared" si="1"/>
        <v/>
      </c>
      <c r="H44" s="391" t="s">
        <v>1368</v>
      </c>
    </row>
    <row r="45" spans="1:8">
      <c r="A45" s="390"/>
      <c r="B45" s="298"/>
      <c r="C45" s="298"/>
      <c r="D45" s="298"/>
      <c r="E45" s="298"/>
      <c r="F45" s="299" t="str">
        <f t="shared" si="0"/>
        <v/>
      </c>
      <c r="G45" s="299" t="str">
        <f t="shared" si="1"/>
        <v/>
      </c>
      <c r="H45" s="391" t="s">
        <v>1368</v>
      </c>
    </row>
    <row r="46" spans="1:8">
      <c r="A46" s="390"/>
      <c r="B46" s="298"/>
      <c r="C46" s="298"/>
      <c r="D46" s="298"/>
      <c r="E46" s="298"/>
      <c r="F46" s="299" t="str">
        <f t="shared" si="0"/>
        <v/>
      </c>
      <c r="G46" s="299" t="str">
        <f t="shared" si="1"/>
        <v/>
      </c>
      <c r="H46" s="391" t="s">
        <v>1368</v>
      </c>
    </row>
    <row r="47" spans="1:8">
      <c r="A47" s="390"/>
      <c r="B47" s="298"/>
      <c r="C47" s="298"/>
      <c r="D47" s="298"/>
      <c r="E47" s="298"/>
      <c r="F47" s="299" t="str">
        <f t="shared" si="0"/>
        <v/>
      </c>
      <c r="G47" s="299" t="str">
        <f t="shared" si="1"/>
        <v/>
      </c>
      <c r="H47" s="391" t="s">
        <v>1368</v>
      </c>
    </row>
    <row r="48" spans="1:8">
      <c r="A48" s="390"/>
      <c r="B48" s="298"/>
      <c r="C48" s="298"/>
      <c r="D48" s="298"/>
      <c r="E48" s="298"/>
      <c r="F48" s="299" t="str">
        <f t="shared" si="0"/>
        <v/>
      </c>
      <c r="G48" s="299" t="str">
        <f t="shared" si="1"/>
        <v/>
      </c>
      <c r="H48" s="391" t="s">
        <v>1368</v>
      </c>
    </row>
    <row r="49" spans="1:8">
      <c r="A49" s="390"/>
      <c r="B49" s="298"/>
      <c r="C49" s="298"/>
      <c r="D49" s="298"/>
      <c r="E49" s="298"/>
      <c r="F49" s="299" t="str">
        <f t="shared" si="0"/>
        <v/>
      </c>
      <c r="G49" s="299" t="str">
        <f t="shared" si="1"/>
        <v/>
      </c>
      <c r="H49" s="391" t="s">
        <v>1368</v>
      </c>
    </row>
    <row r="50" spans="1:8">
      <c r="A50" s="390"/>
      <c r="B50" s="298"/>
      <c r="C50" s="298"/>
      <c r="D50" s="298"/>
      <c r="E50" s="298"/>
      <c r="F50" s="299" t="str">
        <f t="shared" si="0"/>
        <v/>
      </c>
      <c r="G50" s="299" t="str">
        <f t="shared" si="1"/>
        <v/>
      </c>
      <c r="H50" s="391" t="s">
        <v>1368</v>
      </c>
    </row>
    <row r="51" spans="1:8">
      <c r="A51" s="390"/>
      <c r="B51" s="298"/>
      <c r="C51" s="298"/>
      <c r="D51" s="298"/>
      <c r="E51" s="298"/>
      <c r="F51" s="299" t="str">
        <f t="shared" si="0"/>
        <v/>
      </c>
      <c r="G51" s="299" t="str">
        <f t="shared" si="1"/>
        <v/>
      </c>
      <c r="H51" s="391" t="s">
        <v>1368</v>
      </c>
    </row>
    <row r="52" spans="1:8" ht="13.5" thickBot="1">
      <c r="A52" s="392"/>
      <c r="B52" s="393"/>
      <c r="C52" s="393"/>
      <c r="D52" s="393"/>
      <c r="E52" s="393"/>
      <c r="F52" s="394" t="str">
        <f t="shared" si="0"/>
        <v/>
      </c>
      <c r="G52" s="394" t="str">
        <f t="shared" si="1"/>
        <v/>
      </c>
      <c r="H52" s="395" t="s">
        <v>1368</v>
      </c>
    </row>
  </sheetData>
  <mergeCells count="6">
    <mergeCell ref="I1:J1"/>
    <mergeCell ref="A3:H3"/>
    <mergeCell ref="A1:B1"/>
    <mergeCell ref="C1:D1"/>
    <mergeCell ref="E1:F1"/>
    <mergeCell ref="G1:H1"/>
  </mergeCells>
  <conditionalFormatting sqref="C5:C52">
    <cfRule type="expression" dxfId="63" priority="6" stopIfTrue="1">
      <formula>NOT(AND(OR($A5="Inbound (DMZ)",$A5="Outbound (DMZ)"),NOT(ISBLANK($B5))))</formula>
    </cfRule>
  </conditionalFormatting>
  <conditionalFormatting sqref="D5:D52">
    <cfRule type="expression" dxfId="62" priority="5" stopIfTrue="1">
      <formula>NOT(AND(NOT(ISBLANK($A5)),NOT(ISBLANK($B5))))</formula>
    </cfRule>
  </conditionalFormatting>
  <conditionalFormatting sqref="E5:E52">
    <cfRule type="expression" dxfId="61" priority="4" stopIfTrue="1">
      <formula>NOT(AND(NOT(ISBLANK($A5)),NOT(ISBLANK($B5))))</formula>
    </cfRule>
  </conditionalFormatting>
  <conditionalFormatting sqref="H5:H52">
    <cfRule type="expression" dxfId="60" priority="2" stopIfTrue="1">
      <formula>NOT(AND(NOT(ISBLANK($A5)),NOT(ISBLANK($B5))))</formula>
    </cfRule>
  </conditionalFormatting>
  <conditionalFormatting sqref="H5:H52">
    <cfRule type="cellIs" dxfId="59" priority="3" operator="equal">
      <formula>"For mutual Authentication, attach partner certificate to incident."</formula>
    </cfRule>
  </conditionalFormatting>
  <dataValidations count="2">
    <dataValidation type="list" allowBlank="1" showInputMessage="1" showErrorMessage="1" promptTitle="Required Field" prompt="Select a value" sqref="A5:A52" xr:uid="{00000000-0002-0000-1A00-000000000000}">
      <formula1>"Inbound (DMZ),Outbound (DMZ),Internal (Process)"</formula1>
    </dataValidation>
    <dataValidation type="list" allowBlank="1" showInputMessage="1" showErrorMessage="1" sqref="B5:B52" xr:uid="{00000000-0002-0000-1A00-000001000000}">
      <formula1>"Production 2.0,Test 2.0"</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BA714399-358F-46FE-9539-9EE13C7C4652}">
            <xm:f>'C:\DOCUME~1\I268924\LOCALS~1\Temp\notesB4FB23\[~6627860.xlsm]Sheet1'!#REF!="Yes"</xm:f>
            <x14:dxf>
              <fill>
                <patternFill>
                  <bgColor theme="9" tint="-0.24994659260841701"/>
                </patternFill>
              </fill>
            </x14:dxf>
          </x14:cfRule>
          <xm:sqref>A4:H4 A3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9">
    <tabColor theme="3" tint="0.79998168889431442"/>
    <pageSetUpPr fitToPage="1"/>
  </sheetPr>
  <dimension ref="A1:R46"/>
  <sheetViews>
    <sheetView showGridLines="0" zoomScale="80" zoomScaleNormal="80" workbookViewId="0">
      <pane ySplit="8" topLeftCell="A9" activePane="bottomLeft" state="frozenSplit"/>
      <selection activeCell="H1" sqref="H1"/>
      <selection pane="bottomLeft"/>
    </sheetView>
  </sheetViews>
  <sheetFormatPr defaultRowHeight="12.75"/>
  <cols>
    <col min="1" max="1" width="33" customWidth="1"/>
    <col min="2" max="2" width="18.42578125" customWidth="1"/>
    <col min="3" max="3" width="21" customWidth="1"/>
    <col min="4" max="4" width="37.7109375" customWidth="1"/>
    <col min="5" max="5" width="13.140625" customWidth="1"/>
    <col min="6" max="6" width="31.140625" customWidth="1"/>
    <col min="7" max="7" width="12" customWidth="1"/>
    <col min="8" max="8" width="15.140625" customWidth="1"/>
    <col min="9" max="9" width="13.28515625" customWidth="1"/>
    <col min="10" max="10" width="14.5703125" customWidth="1"/>
    <col min="11" max="11" width="28.140625" customWidth="1"/>
    <col min="12" max="12" width="28.5703125" customWidth="1"/>
    <col min="13" max="13" width="28" customWidth="1"/>
    <col min="14" max="14" width="26.5703125" customWidth="1"/>
    <col min="15" max="15" width="14.85546875" customWidth="1"/>
    <col min="16" max="16" width="35.7109375" customWidth="1"/>
    <col min="17" max="17" width="16.28515625" customWidth="1"/>
    <col min="18" max="18" width="55.85546875" customWidth="1"/>
  </cols>
  <sheetData>
    <row r="1" spans="1:18" ht="27" customHeight="1" thickBot="1">
      <c r="A1" s="163"/>
      <c r="B1" s="274" t="str">
        <f>IF(MQ="YES","REQUIRED",IF(MQ="NO","This Tab is Not Required","Undetermined"))</f>
        <v>Undetermined</v>
      </c>
      <c r="C1" s="718"/>
      <c r="D1" s="718"/>
      <c r="E1" s="718"/>
      <c r="F1" s="164" t="str">
        <f>'Project Details'!$C$8 &amp;" - MQ Messaging"</f>
        <v>Linux Infrastructure Management - MQ Messaging</v>
      </c>
      <c r="G1" s="718"/>
      <c r="H1" s="718"/>
      <c r="I1" s="718"/>
      <c r="J1" s="718"/>
      <c r="K1" s="718"/>
      <c r="L1" s="718"/>
      <c r="M1" s="3898" t="str">
        <f>F1</f>
        <v>Linux Infrastructure Management - MQ Messaging</v>
      </c>
      <c r="N1" s="3898"/>
      <c r="O1" s="718"/>
      <c r="P1" s="718"/>
      <c r="Q1" s="718"/>
      <c r="R1" s="139"/>
    </row>
    <row r="2" spans="1:18" s="684" customFormat="1" ht="15.75">
      <c r="A2" s="471" t="s">
        <v>1937</v>
      </c>
      <c r="B2" s="3903" t="str">
        <f>IF($B$1="Required",
        IF(ProjDet_AppNameCol&lt;&gt;"",ProjDet_AppNameCol,""),
    "")</f>
        <v/>
      </c>
      <c r="C2" s="3904"/>
      <c r="D2" s="3905"/>
      <c r="E2" s="736"/>
      <c r="F2" s="737"/>
      <c r="G2" s="736"/>
      <c r="H2" s="736"/>
      <c r="I2" s="736"/>
      <c r="J2" s="736"/>
      <c r="K2" s="736"/>
      <c r="L2" s="736"/>
      <c r="M2" s="736"/>
      <c r="N2" s="736"/>
      <c r="O2" s="736"/>
      <c r="P2" s="736"/>
      <c r="Q2" s="733"/>
      <c r="R2" s="733"/>
    </row>
    <row r="3" spans="1:18" s="684" customFormat="1" ht="15.75">
      <c r="A3" s="471" t="s">
        <v>2329</v>
      </c>
      <c r="B3" s="3906"/>
      <c r="C3" s="3907"/>
      <c r="D3" s="3908"/>
      <c r="E3" s="736"/>
      <c r="F3" s="737"/>
      <c r="G3" s="736"/>
      <c r="H3" s="736"/>
      <c r="I3" s="736"/>
      <c r="J3" s="736"/>
      <c r="K3" s="736"/>
      <c r="L3" s="736"/>
      <c r="M3" s="736"/>
      <c r="N3" s="736"/>
      <c r="O3" s="736"/>
      <c r="P3" s="736"/>
      <c r="Q3" s="733"/>
      <c r="R3" s="733"/>
    </row>
    <row r="4" spans="1:18" s="684" customFormat="1" ht="15.75">
      <c r="A4" s="471" t="s">
        <v>2330</v>
      </c>
      <c r="B4" s="3899" t="str">
        <f>IF($B$1="Required",
        IF(app_id &lt;&gt;"",app_id,""),
    "")</f>
        <v/>
      </c>
      <c r="C4" s="3899"/>
      <c r="D4" s="3900"/>
      <c r="E4" s="736"/>
      <c r="F4" s="737"/>
      <c r="G4" s="736"/>
      <c r="H4" s="736"/>
      <c r="I4" s="736"/>
      <c r="J4" s="736"/>
      <c r="K4" s="736"/>
      <c r="L4" s="736"/>
      <c r="M4" s="736"/>
      <c r="N4" s="736"/>
      <c r="O4" s="736"/>
      <c r="P4" s="736"/>
      <c r="Q4" s="733"/>
      <c r="R4" s="733"/>
    </row>
    <row r="5" spans="1:18" s="684" customFormat="1" ht="15.75">
      <c r="A5" s="471" t="s">
        <v>1714</v>
      </c>
      <c r="B5" s="3899" t="str">
        <f>IF($B$1="Required",
        IF(app_technical_contact &lt;&gt;"",app_technical_contact,""),
    "")</f>
        <v/>
      </c>
      <c r="C5" s="3899"/>
      <c r="D5" s="3900"/>
      <c r="E5" s="736"/>
      <c r="F5" s="737"/>
      <c r="G5" s="736"/>
      <c r="H5" s="736"/>
      <c r="I5" s="736"/>
      <c r="J5" s="736"/>
      <c r="K5" s="736"/>
      <c r="L5" s="736"/>
      <c r="M5" s="736"/>
      <c r="N5" s="736"/>
      <c r="O5" s="736"/>
      <c r="P5" s="736"/>
      <c r="Q5" s="733"/>
      <c r="R5" s="733"/>
    </row>
    <row r="6" spans="1:18" s="684" customFormat="1" ht="15.75">
      <c r="A6" s="471" t="s">
        <v>1715</v>
      </c>
      <c r="B6" s="3899" t="str">
        <f>IF($B$1="Required",
        IF(app_support_team&lt;&gt;"",app_support_team,""),
     "")</f>
        <v/>
      </c>
      <c r="C6" s="3899"/>
      <c r="D6" s="3900"/>
      <c r="E6" s="736"/>
      <c r="F6" s="737"/>
      <c r="G6" s="736"/>
      <c r="H6" s="736"/>
      <c r="I6" s="736"/>
      <c r="J6" s="736"/>
      <c r="K6" s="736"/>
      <c r="L6" s="736"/>
      <c r="M6" s="736"/>
      <c r="N6" s="736"/>
      <c r="O6" s="736"/>
      <c r="P6" s="736"/>
      <c r="Q6" s="733"/>
      <c r="R6" s="733"/>
    </row>
    <row r="7" spans="1:18" s="684" customFormat="1" ht="16.5" thickBot="1">
      <c r="A7" s="738" t="s">
        <v>1716</v>
      </c>
      <c r="B7" s="3901" t="str">
        <f>IF($B$2="Yes",
        IF(app_support_team_email&lt;&gt;"",app_support_team_email,""),
    "")</f>
        <v/>
      </c>
      <c r="C7" s="3901"/>
      <c r="D7" s="3902"/>
      <c r="E7" s="736"/>
      <c r="F7" s="737"/>
      <c r="G7" s="736"/>
      <c r="H7" s="736"/>
      <c r="I7" s="736"/>
      <c r="J7" s="736"/>
      <c r="K7" s="736"/>
      <c r="L7" s="736"/>
      <c r="M7" s="736"/>
      <c r="N7" s="736"/>
      <c r="O7" s="736"/>
      <c r="P7" s="736"/>
      <c r="Q7" s="733"/>
      <c r="R7" s="733"/>
    </row>
    <row r="8" spans="1:18" ht="26.25" thickBot="1">
      <c r="A8" s="751" t="s">
        <v>519</v>
      </c>
      <c r="B8" s="752" t="s">
        <v>571</v>
      </c>
      <c r="C8" s="753" t="s">
        <v>11</v>
      </c>
      <c r="D8" s="753" t="s">
        <v>473</v>
      </c>
      <c r="E8" s="753" t="s">
        <v>474</v>
      </c>
      <c r="F8" s="753" t="s">
        <v>560</v>
      </c>
      <c r="G8" s="752" t="s">
        <v>2331</v>
      </c>
      <c r="H8" s="752" t="s">
        <v>475</v>
      </c>
      <c r="I8" s="752" t="s">
        <v>476</v>
      </c>
      <c r="J8" s="752" t="s">
        <v>477</v>
      </c>
      <c r="K8" s="753" t="s">
        <v>518</v>
      </c>
      <c r="L8" s="753" t="s">
        <v>478</v>
      </c>
      <c r="M8" s="752" t="s">
        <v>517</v>
      </c>
      <c r="N8" s="752" t="s">
        <v>479</v>
      </c>
      <c r="O8" s="752" t="s">
        <v>1015</v>
      </c>
      <c r="P8" s="754" t="s">
        <v>480</v>
      </c>
    </row>
    <row r="9" spans="1:18">
      <c r="A9" s="962"/>
      <c r="B9" s="743" t="str">
        <f>IF($A9&lt;&gt;"",VLOOKUP($A9,'BOM FUNCTIONS'!$AY$5:$BI$46,6,FALSE),"")</f>
        <v/>
      </c>
      <c r="C9" s="744" t="str">
        <f>IF($A9&lt;&gt;"",
          IF(LEFT($A9,1)="t","Test 2.0",
               IF(LEFT($A9,1)="p","Prod 2.0",
                    IF(OR(LEFT($A9,4)="ZOSB",LEFT($A9,4)="ZOSM"),"TEST","Prod"))),"")</f>
        <v/>
      </c>
      <c r="D9" s="745" t="str">
        <f>IF($A9&lt;&gt;"",VLOOKUP($A9,'BOM FUNCTIONS'!$AY$5:$BA$31,3,FALSE),"")</f>
        <v/>
      </c>
      <c r="E9" s="746" t="str">
        <f>IF($A9&lt;&gt;"",IF(OR(LEFT($A9,1)="t",LEFT($A9,1)="p"),"YES","NO"),"")</f>
        <v/>
      </c>
      <c r="F9" s="747" t="str">
        <f>IF($A9&lt;&gt;"",IF($E9="YES",VLOOKUP($A9,'BOM FUNCTIONS'!$AY$5:$BB$20,4,FALSE),""),"")</f>
        <v/>
      </c>
      <c r="G9" s="134"/>
      <c r="H9" s="748" t="str">
        <f>IF(AND($A9&lt;&gt;"",$B$3&lt;&gt;"",$G9&lt;&gt;"",$G9="No"),LOWER($B$3&amp;"app"),"")</f>
        <v/>
      </c>
      <c r="I9" s="748" t="str">
        <f>IF($H9&lt;&gt;"",LOWER($H9&amp;"gp"),"")</f>
        <v/>
      </c>
      <c r="J9" s="134"/>
      <c r="K9" s="748" t="str">
        <f>IF($B9&lt;&gt;"",LOWER( $B9&amp;"."&amp;$B$3&amp;".SVRCONN"), " ")</f>
        <v xml:space="preserve"> </v>
      </c>
      <c r="L9" s="749" t="str">
        <f>IF($A9&lt;&gt;"",
VLOOKUP($A9,'BOM FUNCTIONS'!$AY$5:$BI$46,5,FALSE),"")</f>
        <v/>
      </c>
      <c r="M9" s="716"/>
      <c r="N9" s="716"/>
      <c r="O9" s="134"/>
      <c r="P9" s="750"/>
    </row>
    <row r="10" spans="1:18">
      <c r="A10" s="932"/>
      <c r="B10" s="743" t="str">
        <f>IF($A10&lt;&gt;"",VLOOKUP($A10,'BOM FUNCTIONS'!$AY$5:$BI$46,6,FALSE),"")</f>
        <v/>
      </c>
      <c r="C10" s="744" t="str">
        <f t="shared" ref="C10:C46" si="0">IF(A10&lt;&gt;"",
          IF(LEFT(A10,1)="t","Test 2.0",
               IF(LEFT(A10,1)="p","Prod 2.0",
                    IF(OR(LEFT(A10,4)="ZOSB",LEFT(A10,4)="ZOSM"),"TEST","Prod"))),"")</f>
        <v/>
      </c>
      <c r="D10" s="735" t="str">
        <f>IF(A10&lt;&gt;"",VLOOKUP(A10,'BOM FUNCTIONS'!$AY$5:$BA$31,3,FALSE),"")</f>
        <v/>
      </c>
      <c r="E10" s="65" t="str">
        <f t="shared" ref="E10:E45" si="1">IF(A10&lt;&gt;"",IF(OR(LEFT(A10,1)="t",LEFT(A10,1)="p"),"YES","NO"),"")</f>
        <v/>
      </c>
      <c r="F10" s="68" t="str">
        <f>IF(A10&lt;&gt;"",IF(E10="YES",VLOOKUP(A10,'BOM FUNCTIONS'!$AY$5:$BB$20,4,FALSE),""),"")</f>
        <v/>
      </c>
      <c r="G10" s="2"/>
      <c r="H10" s="71" t="str">
        <f t="shared" ref="H10:H46" si="2">IF(AND($A10&lt;&gt;"",$B$3&lt;&gt;"",$G10&lt;&gt;"",$G10="No"),LOWER($B$3&amp;"app"),"")</f>
        <v/>
      </c>
      <c r="I10" s="71" t="str">
        <f t="shared" ref="I10:I46" si="3">IF($H10&lt;&gt;"",LOWER($H10&amp;"gp"),"")</f>
        <v/>
      </c>
      <c r="J10" s="2"/>
      <c r="K10" s="71" t="str">
        <f t="shared" ref="K10:K46" si="4">IF($B10&lt;&gt;"",LOWER( $B10&amp;"."&amp;$B$3&amp;".SVRCONN"), " ")</f>
        <v xml:space="preserve"> </v>
      </c>
      <c r="L10" s="734" t="str">
        <f>IF($A10&lt;&gt;"",
VLOOKUP($A10,'BOM FUNCTIONS'!$AY$5:$BI$46,5,FALSE),"")</f>
        <v/>
      </c>
      <c r="M10" s="714"/>
      <c r="N10" s="714"/>
      <c r="O10" s="2"/>
      <c r="P10" s="76"/>
    </row>
    <row r="11" spans="1:18">
      <c r="A11" s="932"/>
      <c r="B11" s="743" t="str">
        <f>IF($A11&lt;&gt;"",VLOOKUP($A11,'BOM FUNCTIONS'!$AY$5:$BI$46,6,FALSE),"")</f>
        <v/>
      </c>
      <c r="C11" s="744" t="str">
        <f t="shared" si="0"/>
        <v/>
      </c>
      <c r="D11" s="735" t="str">
        <f>IF(A11&lt;&gt;"",VLOOKUP(A11,'BOM FUNCTIONS'!$AY$5:$BA$31,3,FALSE),"")</f>
        <v/>
      </c>
      <c r="E11" s="65" t="str">
        <f t="shared" si="1"/>
        <v/>
      </c>
      <c r="F11" s="68" t="str">
        <f>IF(A11&lt;&gt;"",IF(E11="YES",VLOOKUP(A11,'BOM FUNCTIONS'!$AY$5:$BB$20,4,FALSE),""),"")</f>
        <v/>
      </c>
      <c r="G11" s="2"/>
      <c r="H11" s="71" t="str">
        <f t="shared" si="2"/>
        <v/>
      </c>
      <c r="I11" s="71" t="str">
        <f t="shared" si="3"/>
        <v/>
      </c>
      <c r="J11" s="2"/>
      <c r="K11" s="71" t="str">
        <f t="shared" si="4"/>
        <v xml:space="preserve"> </v>
      </c>
      <c r="L11" s="734" t="str">
        <f>IF($A11&lt;&gt;"",
VLOOKUP($A11,'BOM FUNCTIONS'!$AY$5:$BI$46,5,FALSE),"")</f>
        <v/>
      </c>
      <c r="M11" s="714"/>
      <c r="N11" s="714"/>
      <c r="O11" s="2"/>
      <c r="P11" s="76"/>
    </row>
    <row r="12" spans="1:18">
      <c r="A12" s="932"/>
      <c r="B12" s="743" t="str">
        <f>IF($A12&lt;&gt;"",VLOOKUP($A12,'BOM FUNCTIONS'!$AY$5:$BI$46,6,FALSE),"")</f>
        <v/>
      </c>
      <c r="C12" s="744" t="str">
        <f t="shared" si="0"/>
        <v/>
      </c>
      <c r="D12" s="735" t="str">
        <f>IF(A12&lt;&gt;"",VLOOKUP(A12,'BOM FUNCTIONS'!$AY$5:$BA$31,3,FALSE),"")</f>
        <v/>
      </c>
      <c r="E12" s="65" t="str">
        <f t="shared" si="1"/>
        <v/>
      </c>
      <c r="F12" s="68" t="str">
        <f>IF(A12&lt;&gt;"",IF(E12="YES",VLOOKUP(A12,'BOM FUNCTIONS'!$AY$5:$BB$20,4,FALSE),""),"")</f>
        <v/>
      </c>
      <c r="G12" s="2"/>
      <c r="H12" s="71" t="str">
        <f t="shared" si="2"/>
        <v/>
      </c>
      <c r="I12" s="71" t="str">
        <f t="shared" si="3"/>
        <v/>
      </c>
      <c r="J12" s="2"/>
      <c r="K12" s="71" t="str">
        <f t="shared" si="4"/>
        <v xml:space="preserve"> </v>
      </c>
      <c r="L12" s="734" t="str">
        <f>IF($A12&lt;&gt;"",
VLOOKUP($A12,'BOM FUNCTIONS'!$AY$5:$BI$46,5,FALSE),"")</f>
        <v/>
      </c>
      <c r="M12" s="714"/>
      <c r="N12" s="714"/>
      <c r="O12" s="2"/>
      <c r="P12" s="76"/>
    </row>
    <row r="13" spans="1:18">
      <c r="A13" s="932"/>
      <c r="B13" s="743" t="str">
        <f>IF($A13&lt;&gt;"",VLOOKUP($A13,'BOM FUNCTIONS'!$AY$5:$BI$46,6,FALSE),"")</f>
        <v/>
      </c>
      <c r="C13" s="744" t="str">
        <f t="shared" si="0"/>
        <v/>
      </c>
      <c r="D13" s="735" t="str">
        <f>IF(A13&lt;&gt;"",VLOOKUP(A13,'BOM FUNCTIONS'!$AY$5:$BA$31,3,FALSE),"")</f>
        <v/>
      </c>
      <c r="E13" s="65" t="str">
        <f t="shared" si="1"/>
        <v/>
      </c>
      <c r="F13" s="68" t="str">
        <f>IF(A13&lt;&gt;"",IF(E13="YES",VLOOKUP(A13,'BOM FUNCTIONS'!$AY$5:$BB$20,4,FALSE),""),"")</f>
        <v/>
      </c>
      <c r="G13" s="2"/>
      <c r="H13" s="71" t="str">
        <f t="shared" si="2"/>
        <v/>
      </c>
      <c r="I13" s="71" t="str">
        <f t="shared" si="3"/>
        <v/>
      </c>
      <c r="J13" s="2"/>
      <c r="K13" s="71" t="str">
        <f t="shared" si="4"/>
        <v xml:space="preserve"> </v>
      </c>
      <c r="L13" s="734" t="str">
        <f>IF($A13&lt;&gt;"",
VLOOKUP($A13,'BOM FUNCTIONS'!$AY$5:$BI$46,5,FALSE),"")</f>
        <v/>
      </c>
      <c r="M13" s="714"/>
      <c r="N13" s="714"/>
      <c r="O13" s="2"/>
      <c r="P13" s="76"/>
    </row>
    <row r="14" spans="1:18">
      <c r="A14" s="932"/>
      <c r="B14" s="743" t="str">
        <f>IF($A14&lt;&gt;"",VLOOKUP($A14,'BOM FUNCTIONS'!$AY$5:$BI$46,6,FALSE),"")</f>
        <v/>
      </c>
      <c r="C14" s="744" t="str">
        <f t="shared" si="0"/>
        <v/>
      </c>
      <c r="D14" s="735" t="str">
        <f>IF(A14&lt;&gt;"",VLOOKUP(A14,'BOM FUNCTIONS'!$AY$5:$BA$31,3,FALSE),"")</f>
        <v/>
      </c>
      <c r="E14" s="65" t="str">
        <f t="shared" si="1"/>
        <v/>
      </c>
      <c r="F14" s="68" t="str">
        <f>IF(A14&lt;&gt;"",IF(E14="YES",VLOOKUP(A14,'BOM FUNCTIONS'!$AY$5:$BB$20,4,FALSE),""),"")</f>
        <v/>
      </c>
      <c r="G14" s="2"/>
      <c r="H14" s="71" t="str">
        <f t="shared" si="2"/>
        <v/>
      </c>
      <c r="I14" s="71" t="str">
        <f t="shared" si="3"/>
        <v/>
      </c>
      <c r="J14" s="2"/>
      <c r="K14" s="71" t="str">
        <f t="shared" si="4"/>
        <v xml:space="preserve"> </v>
      </c>
      <c r="L14" s="734" t="str">
        <f>IF($A14&lt;&gt;"",
VLOOKUP($A14,'BOM FUNCTIONS'!$AY$5:$BI$46,5,FALSE),"")</f>
        <v/>
      </c>
      <c r="M14" s="714"/>
      <c r="N14" s="714"/>
      <c r="O14" s="2"/>
      <c r="P14" s="76"/>
    </row>
    <row r="15" spans="1:18">
      <c r="A15" s="932"/>
      <c r="B15" s="743" t="str">
        <f>IF($A15&lt;&gt;"",VLOOKUP($A15,'BOM FUNCTIONS'!$AY$5:$BI$46,6,FALSE),"")</f>
        <v/>
      </c>
      <c r="C15" s="744" t="str">
        <f t="shared" si="0"/>
        <v/>
      </c>
      <c r="D15" s="735" t="str">
        <f>IF(A15&lt;&gt;"",VLOOKUP(A15,'BOM FUNCTIONS'!$AY$5:$BA$31,3,FALSE),"")</f>
        <v/>
      </c>
      <c r="E15" s="65" t="str">
        <f t="shared" si="1"/>
        <v/>
      </c>
      <c r="F15" s="68" t="str">
        <f>IF(A15&lt;&gt;"",IF(E15="YES",VLOOKUP(A15,'BOM FUNCTIONS'!$AY$5:$BB$20,4,FALSE),""),"")</f>
        <v/>
      </c>
      <c r="G15" s="2"/>
      <c r="H15" s="71" t="str">
        <f t="shared" si="2"/>
        <v/>
      </c>
      <c r="I15" s="71" t="str">
        <f t="shared" si="3"/>
        <v/>
      </c>
      <c r="J15" s="2"/>
      <c r="K15" s="71" t="str">
        <f t="shared" si="4"/>
        <v xml:space="preserve"> </v>
      </c>
      <c r="L15" s="734" t="str">
        <f>IF($A15&lt;&gt;"",
VLOOKUP($A15,'BOM FUNCTIONS'!$AY$5:$BI$46,5,FALSE),"")</f>
        <v/>
      </c>
      <c r="M15" s="714"/>
      <c r="N15" s="714"/>
      <c r="O15" s="2"/>
      <c r="P15" s="76"/>
    </row>
    <row r="16" spans="1:18">
      <c r="A16" s="932"/>
      <c r="B16" s="743" t="str">
        <f>IF($A16&lt;&gt;"",VLOOKUP($A16,'BOM FUNCTIONS'!$AY$5:$BI$46,6,FALSE),"")</f>
        <v/>
      </c>
      <c r="C16" s="744" t="str">
        <f t="shared" si="0"/>
        <v/>
      </c>
      <c r="D16" s="735" t="str">
        <f>IF(A16&lt;&gt;"",VLOOKUP(A16,'BOM FUNCTIONS'!$AY$5:$BA$31,3,FALSE),"")</f>
        <v/>
      </c>
      <c r="E16" s="65" t="str">
        <f t="shared" si="1"/>
        <v/>
      </c>
      <c r="F16" s="68" t="str">
        <f>IF(A16&lt;&gt;"",IF(E16="YES",VLOOKUP(A16,'BOM FUNCTIONS'!$AY$5:$BB$20,4,FALSE),""),"")</f>
        <v/>
      </c>
      <c r="G16" s="2"/>
      <c r="H16" s="71" t="str">
        <f t="shared" si="2"/>
        <v/>
      </c>
      <c r="I16" s="71" t="str">
        <f t="shared" si="3"/>
        <v/>
      </c>
      <c r="J16" s="2"/>
      <c r="K16" s="71" t="str">
        <f t="shared" si="4"/>
        <v xml:space="preserve"> </v>
      </c>
      <c r="L16" s="734" t="str">
        <f>IF($A16&lt;&gt;"",
VLOOKUP($A16,'BOM FUNCTIONS'!$AY$5:$BI$46,5,FALSE),"")</f>
        <v/>
      </c>
      <c r="M16" s="714"/>
      <c r="N16" s="714"/>
      <c r="O16" s="2"/>
      <c r="P16" s="76"/>
    </row>
    <row r="17" spans="1:16">
      <c r="A17" s="713"/>
      <c r="B17" s="743" t="str">
        <f>IF($A17&lt;&gt;"",VLOOKUP($A17,'BOM FUNCTIONS'!$AY$5:$BI$46,6,FALSE),"")</f>
        <v/>
      </c>
      <c r="C17" s="744" t="str">
        <f t="shared" si="0"/>
        <v/>
      </c>
      <c r="D17" s="735" t="str">
        <f>IF(A17&lt;&gt;"",VLOOKUP(A17,'BOM FUNCTIONS'!$AY$5:$BA$31,3,FALSE),"")</f>
        <v/>
      </c>
      <c r="E17" s="65" t="str">
        <f t="shared" si="1"/>
        <v/>
      </c>
      <c r="F17" s="68" t="str">
        <f>IF(A17&lt;&gt;"",IF(E17="YES",VLOOKUP(A17,'BOM FUNCTIONS'!$AY$5:$BB$20,4,FALSE),""),"")</f>
        <v/>
      </c>
      <c r="G17" s="2"/>
      <c r="H17" s="71" t="str">
        <f t="shared" si="2"/>
        <v/>
      </c>
      <c r="I17" s="71" t="str">
        <f t="shared" si="3"/>
        <v/>
      </c>
      <c r="J17" s="2"/>
      <c r="K17" s="71" t="str">
        <f t="shared" si="4"/>
        <v xml:space="preserve"> </v>
      </c>
      <c r="L17" s="734" t="str">
        <f>IF($A17&lt;&gt;"",
VLOOKUP($A17,'BOM FUNCTIONS'!$AY$5:$BI$46,5,FALSE),"")</f>
        <v/>
      </c>
      <c r="M17" s="714"/>
      <c r="N17" s="714"/>
      <c r="O17" s="2"/>
      <c r="P17" s="76"/>
    </row>
    <row r="18" spans="1:16">
      <c r="A18" s="713"/>
      <c r="B18" s="743" t="str">
        <f>IF($A18&lt;&gt;"",VLOOKUP($A18,'BOM FUNCTIONS'!$AY$5:$BI$46,6,FALSE),"")</f>
        <v/>
      </c>
      <c r="C18" s="744" t="str">
        <f t="shared" si="0"/>
        <v/>
      </c>
      <c r="D18" s="735" t="str">
        <f>IF(A18&lt;&gt;"",VLOOKUP(A18,'BOM FUNCTIONS'!$AY$5:$BA$31,3,FALSE),"")</f>
        <v/>
      </c>
      <c r="E18" s="65" t="str">
        <f t="shared" si="1"/>
        <v/>
      </c>
      <c r="F18" s="68" t="str">
        <f>IF(A18&lt;&gt;"",IF(E18="YES",VLOOKUP(A18,'BOM FUNCTIONS'!$AY$5:$BB$20,4,FALSE),""),"")</f>
        <v/>
      </c>
      <c r="G18" s="2"/>
      <c r="H18" s="71" t="str">
        <f t="shared" si="2"/>
        <v/>
      </c>
      <c r="I18" s="71" t="str">
        <f t="shared" si="3"/>
        <v/>
      </c>
      <c r="J18" s="2"/>
      <c r="K18" s="71" t="str">
        <f t="shared" si="4"/>
        <v xml:space="preserve"> </v>
      </c>
      <c r="L18" s="734" t="str">
        <f>IF($A18&lt;&gt;"",
VLOOKUP($A18,'BOM FUNCTIONS'!$AY$5:$BI$46,5,FALSE),"")</f>
        <v/>
      </c>
      <c r="M18" s="714"/>
      <c r="N18" s="714"/>
      <c r="O18" s="2"/>
      <c r="P18" s="76"/>
    </row>
    <row r="19" spans="1:16">
      <c r="A19" s="713"/>
      <c r="B19" s="743" t="str">
        <f>IF($A19&lt;&gt;"",VLOOKUP($A19,'BOM FUNCTIONS'!$AY$5:$BI$46,6,FALSE),"")</f>
        <v/>
      </c>
      <c r="C19" s="744" t="str">
        <f t="shared" si="0"/>
        <v/>
      </c>
      <c r="D19" s="735" t="str">
        <f>IF(A19&lt;&gt;"",VLOOKUP(A19,'BOM FUNCTIONS'!$AY$5:$BA$31,3,FALSE),"")</f>
        <v/>
      </c>
      <c r="E19" s="65" t="str">
        <f t="shared" si="1"/>
        <v/>
      </c>
      <c r="F19" s="68" t="str">
        <f>IF(A19&lt;&gt;"",IF(E19="YES",VLOOKUP(A19,'BOM FUNCTIONS'!$AY$5:$BB$20,4,FALSE),""),"")</f>
        <v/>
      </c>
      <c r="G19" s="2"/>
      <c r="H19" s="71" t="str">
        <f t="shared" si="2"/>
        <v/>
      </c>
      <c r="I19" s="71" t="str">
        <f t="shared" si="3"/>
        <v/>
      </c>
      <c r="J19" s="2"/>
      <c r="K19" s="71" t="str">
        <f t="shared" si="4"/>
        <v xml:space="preserve"> </v>
      </c>
      <c r="L19" s="734" t="str">
        <f>IF($A19&lt;&gt;"",
VLOOKUP($A19,'BOM FUNCTIONS'!$AY$5:$BI$46,5,FALSE),"")</f>
        <v/>
      </c>
      <c r="M19" s="714"/>
      <c r="N19" s="714"/>
      <c r="O19" s="2"/>
      <c r="P19" s="76"/>
    </row>
    <row r="20" spans="1:16">
      <c r="A20" s="713"/>
      <c r="B20" s="743" t="str">
        <f>IF($A20&lt;&gt;"",VLOOKUP($A20,'BOM FUNCTIONS'!$AY$5:$BI$46,6,FALSE),"")</f>
        <v/>
      </c>
      <c r="C20" s="744" t="str">
        <f t="shared" si="0"/>
        <v/>
      </c>
      <c r="D20" s="735" t="str">
        <f>IF(A20&lt;&gt;"",VLOOKUP(A20,'BOM FUNCTIONS'!$AY$5:$BA$31,3,FALSE),"")</f>
        <v/>
      </c>
      <c r="E20" s="65" t="str">
        <f t="shared" si="1"/>
        <v/>
      </c>
      <c r="F20" s="68" t="str">
        <f>IF(A20&lt;&gt;"",IF(E20="YES",VLOOKUP(A20,'BOM FUNCTIONS'!$AY$5:$BB$20,4,FALSE),""),"")</f>
        <v/>
      </c>
      <c r="G20" s="2"/>
      <c r="H20" s="71" t="str">
        <f t="shared" si="2"/>
        <v/>
      </c>
      <c r="I20" s="71" t="str">
        <f t="shared" si="3"/>
        <v/>
      </c>
      <c r="J20" s="2"/>
      <c r="K20" s="71" t="str">
        <f t="shared" si="4"/>
        <v xml:space="preserve"> </v>
      </c>
      <c r="L20" s="734" t="str">
        <f>IF($A20&lt;&gt;"",
VLOOKUP($A20,'BOM FUNCTIONS'!$AY$5:$BI$46,5,FALSE),"")</f>
        <v/>
      </c>
      <c r="M20" s="714"/>
      <c r="N20" s="714"/>
      <c r="O20" s="2"/>
      <c r="P20" s="76"/>
    </row>
    <row r="21" spans="1:16">
      <c r="A21" s="713"/>
      <c r="B21" s="743" t="str">
        <f>IF($A21&lt;&gt;"",VLOOKUP($A21,'BOM FUNCTIONS'!$AY$5:$BI$46,6,FALSE),"")</f>
        <v/>
      </c>
      <c r="C21" s="744" t="str">
        <f t="shared" si="0"/>
        <v/>
      </c>
      <c r="D21" s="735" t="str">
        <f>IF(A21&lt;&gt;"",VLOOKUP(A21,'BOM FUNCTIONS'!$AY$5:$BA$31,3,FALSE),"")</f>
        <v/>
      </c>
      <c r="E21" s="65" t="str">
        <f t="shared" si="1"/>
        <v/>
      </c>
      <c r="F21" s="68" t="str">
        <f>IF(A21&lt;&gt;"",IF(E21="YES",VLOOKUP(A21,'BOM FUNCTIONS'!$AY$5:$BB$20,4,FALSE),""),"")</f>
        <v/>
      </c>
      <c r="G21" s="2"/>
      <c r="H21" s="71" t="str">
        <f t="shared" si="2"/>
        <v/>
      </c>
      <c r="I21" s="71" t="str">
        <f t="shared" si="3"/>
        <v/>
      </c>
      <c r="J21" s="2"/>
      <c r="K21" s="71" t="str">
        <f t="shared" si="4"/>
        <v xml:space="preserve"> </v>
      </c>
      <c r="L21" s="734" t="str">
        <f>IF($A21&lt;&gt;"",
VLOOKUP($A21,'BOM FUNCTIONS'!$AY$5:$BI$46,5,FALSE),"")</f>
        <v/>
      </c>
      <c r="M21" s="714"/>
      <c r="N21" s="714"/>
      <c r="O21" s="2"/>
      <c r="P21" s="76"/>
    </row>
    <row r="22" spans="1:16">
      <c r="A22" s="713"/>
      <c r="B22" s="743" t="str">
        <f>IF($A22&lt;&gt;"",VLOOKUP($A22,'BOM FUNCTIONS'!$AY$5:$BI$46,6,FALSE),"")</f>
        <v/>
      </c>
      <c r="C22" s="744" t="str">
        <f t="shared" si="0"/>
        <v/>
      </c>
      <c r="D22" s="735" t="str">
        <f>IF(A22&lt;&gt;"",VLOOKUP(A22,'BOM FUNCTIONS'!$AY$5:$BA$31,3,FALSE),"")</f>
        <v/>
      </c>
      <c r="E22" s="65" t="str">
        <f t="shared" si="1"/>
        <v/>
      </c>
      <c r="F22" s="68" t="str">
        <f>IF(A22&lt;&gt;"",IF(E22="YES",VLOOKUP(A22,'BOM FUNCTIONS'!$AY$5:$BB$20,4,FALSE),""),"")</f>
        <v/>
      </c>
      <c r="G22" s="2"/>
      <c r="H22" s="71" t="str">
        <f t="shared" si="2"/>
        <v/>
      </c>
      <c r="I22" s="71" t="str">
        <f t="shared" si="3"/>
        <v/>
      </c>
      <c r="J22" s="2"/>
      <c r="K22" s="71" t="str">
        <f t="shared" si="4"/>
        <v xml:space="preserve"> </v>
      </c>
      <c r="L22" s="734" t="str">
        <f>IF($A22&lt;&gt;"",
VLOOKUP($A22,'BOM FUNCTIONS'!$AY$5:$BI$46,5,FALSE),"")</f>
        <v/>
      </c>
      <c r="M22" s="714"/>
      <c r="N22" s="714"/>
      <c r="O22" s="2"/>
      <c r="P22" s="76"/>
    </row>
    <row r="23" spans="1:16">
      <c r="A23" s="713"/>
      <c r="B23" s="743" t="str">
        <f>IF($A23&lt;&gt;"",VLOOKUP($A23,'BOM FUNCTIONS'!$AY$5:$BI$46,6,FALSE),"")</f>
        <v/>
      </c>
      <c r="C23" s="744" t="str">
        <f t="shared" si="0"/>
        <v/>
      </c>
      <c r="D23" s="735" t="str">
        <f>IF(A23&lt;&gt;"",VLOOKUP(A23,'BOM FUNCTIONS'!$AY$5:$BA$31,3,FALSE),"")</f>
        <v/>
      </c>
      <c r="E23" s="65" t="str">
        <f t="shared" si="1"/>
        <v/>
      </c>
      <c r="F23" s="68" t="str">
        <f>IF(A23&lt;&gt;"",IF(E23="YES",VLOOKUP(A23,'BOM FUNCTIONS'!$AY$5:$BB$20,4,FALSE),""),"")</f>
        <v/>
      </c>
      <c r="G23" s="2"/>
      <c r="H23" s="71" t="str">
        <f t="shared" si="2"/>
        <v/>
      </c>
      <c r="I23" s="71" t="str">
        <f t="shared" si="3"/>
        <v/>
      </c>
      <c r="J23" s="2"/>
      <c r="K23" s="71" t="str">
        <f t="shared" si="4"/>
        <v xml:space="preserve"> </v>
      </c>
      <c r="L23" s="734" t="str">
        <f>IF($A23&lt;&gt;"",
VLOOKUP($A23,'BOM FUNCTIONS'!$AY$5:$BI$46,5,FALSE),"")</f>
        <v/>
      </c>
      <c r="M23" s="714"/>
      <c r="N23" s="714"/>
      <c r="O23" s="2"/>
      <c r="P23" s="76"/>
    </row>
    <row r="24" spans="1:16">
      <c r="A24" s="713"/>
      <c r="B24" s="743" t="str">
        <f>IF($A24&lt;&gt;"",VLOOKUP($A24,'BOM FUNCTIONS'!$AY$5:$BI$46,6,FALSE),"")</f>
        <v/>
      </c>
      <c r="C24" s="744" t="str">
        <f t="shared" si="0"/>
        <v/>
      </c>
      <c r="D24" s="735" t="str">
        <f>IF(A24&lt;&gt;"",VLOOKUP(A24,'BOM FUNCTIONS'!$AY$5:$BA$31,3,FALSE),"")</f>
        <v/>
      </c>
      <c r="E24" s="65" t="str">
        <f t="shared" si="1"/>
        <v/>
      </c>
      <c r="F24" s="68" t="str">
        <f>IF(A24&lt;&gt;"",IF(E24="YES",VLOOKUP(A24,'BOM FUNCTIONS'!$AY$5:$BB$20,4,FALSE),""),"")</f>
        <v/>
      </c>
      <c r="G24" s="2"/>
      <c r="H24" s="71" t="str">
        <f t="shared" si="2"/>
        <v/>
      </c>
      <c r="I24" s="71" t="str">
        <f t="shared" si="3"/>
        <v/>
      </c>
      <c r="J24" s="2"/>
      <c r="K24" s="71" t="str">
        <f t="shared" si="4"/>
        <v xml:space="preserve"> </v>
      </c>
      <c r="L24" s="734" t="str">
        <f>IF($A24&lt;&gt;"",
VLOOKUP($A24,'BOM FUNCTIONS'!$AY$5:$BI$46,5,FALSE),"")</f>
        <v/>
      </c>
      <c r="M24" s="714"/>
      <c r="N24" s="714"/>
      <c r="O24" s="2"/>
      <c r="P24" s="76"/>
    </row>
    <row r="25" spans="1:16">
      <c r="A25" s="713"/>
      <c r="B25" s="743" t="str">
        <f>IF($A25&lt;&gt;"",VLOOKUP($A25,'BOM FUNCTIONS'!$AY$5:$BI$46,6,FALSE),"")</f>
        <v/>
      </c>
      <c r="C25" s="744" t="str">
        <f t="shared" si="0"/>
        <v/>
      </c>
      <c r="D25" s="735" t="str">
        <f>IF(A25&lt;&gt;"",VLOOKUP(A25,'BOM FUNCTIONS'!$AY$5:$BA$31,3,FALSE),"")</f>
        <v/>
      </c>
      <c r="E25" s="65" t="str">
        <f t="shared" si="1"/>
        <v/>
      </c>
      <c r="F25" s="68" t="str">
        <f>IF(A25&lt;&gt;"",IF(E25="YES",VLOOKUP(A25,'BOM FUNCTIONS'!$AY$5:$BB$20,4,FALSE),""),"")</f>
        <v/>
      </c>
      <c r="G25" s="2"/>
      <c r="H25" s="71" t="str">
        <f t="shared" si="2"/>
        <v/>
      </c>
      <c r="I25" s="71" t="str">
        <f t="shared" si="3"/>
        <v/>
      </c>
      <c r="J25" s="2"/>
      <c r="K25" s="71" t="str">
        <f t="shared" si="4"/>
        <v xml:space="preserve"> </v>
      </c>
      <c r="L25" s="734" t="str">
        <f>IF($A25&lt;&gt;"",
VLOOKUP($A25,'BOM FUNCTIONS'!$AY$5:$BI$46,5,FALSE),"")</f>
        <v/>
      </c>
      <c r="M25" s="714"/>
      <c r="N25" s="714"/>
      <c r="O25" s="2"/>
      <c r="P25" s="76"/>
    </row>
    <row r="26" spans="1:16">
      <c r="A26" s="713"/>
      <c r="B26" s="743" t="str">
        <f>IF($A26&lt;&gt;"",VLOOKUP($A26,'BOM FUNCTIONS'!$AY$5:$BI$46,6,FALSE),"")</f>
        <v/>
      </c>
      <c r="C26" s="744" t="str">
        <f t="shared" si="0"/>
        <v/>
      </c>
      <c r="D26" s="735" t="str">
        <f>IF(A26&lt;&gt;"",VLOOKUP(A26,'BOM FUNCTIONS'!$AY$5:$BA$31,3,FALSE),"")</f>
        <v/>
      </c>
      <c r="E26" s="65" t="str">
        <f t="shared" si="1"/>
        <v/>
      </c>
      <c r="F26" s="68" t="str">
        <f>IF(A26&lt;&gt;"",IF(E26="YES",VLOOKUP(A26,'BOM FUNCTIONS'!$AY$5:$BB$20,4,FALSE),""),"")</f>
        <v/>
      </c>
      <c r="G26" s="2"/>
      <c r="H26" s="71" t="str">
        <f t="shared" si="2"/>
        <v/>
      </c>
      <c r="I26" s="71" t="str">
        <f t="shared" si="3"/>
        <v/>
      </c>
      <c r="J26" s="2"/>
      <c r="K26" s="71" t="str">
        <f t="shared" si="4"/>
        <v xml:space="preserve"> </v>
      </c>
      <c r="L26" s="734" t="str">
        <f>IF($A26&lt;&gt;"",
VLOOKUP($A26,'BOM FUNCTIONS'!$AY$5:$BI$46,5,FALSE),"")</f>
        <v/>
      </c>
      <c r="M26" s="714"/>
      <c r="N26" s="714"/>
      <c r="O26" s="2"/>
      <c r="P26" s="76"/>
    </row>
    <row r="27" spans="1:16">
      <c r="A27" s="713"/>
      <c r="B27" s="743" t="str">
        <f>IF($A27&lt;&gt;"",VLOOKUP($A27,'BOM FUNCTIONS'!$AY$5:$BI$46,6,FALSE),"")</f>
        <v/>
      </c>
      <c r="C27" s="744" t="str">
        <f t="shared" si="0"/>
        <v/>
      </c>
      <c r="D27" s="735" t="str">
        <f>IF(A27&lt;&gt;"",VLOOKUP(A27,'BOM FUNCTIONS'!$AY$5:$BA$31,3,FALSE),"")</f>
        <v/>
      </c>
      <c r="E27" s="65" t="str">
        <f t="shared" si="1"/>
        <v/>
      </c>
      <c r="F27" s="68" t="str">
        <f>IF(A27&lt;&gt;"",IF(E27="YES",VLOOKUP(A27,'BOM FUNCTIONS'!$AY$5:$BB$20,4,FALSE),""),"")</f>
        <v/>
      </c>
      <c r="G27" s="2"/>
      <c r="H27" s="71" t="str">
        <f t="shared" si="2"/>
        <v/>
      </c>
      <c r="I27" s="71" t="str">
        <f t="shared" si="3"/>
        <v/>
      </c>
      <c r="J27" s="2"/>
      <c r="K27" s="71" t="str">
        <f t="shared" si="4"/>
        <v xml:space="preserve"> </v>
      </c>
      <c r="L27" s="734" t="str">
        <f>IF($A27&lt;&gt;"",
VLOOKUP($A27,'BOM FUNCTIONS'!$AY$5:$BI$46,5,FALSE),"")</f>
        <v/>
      </c>
      <c r="M27" s="714"/>
      <c r="N27" s="714"/>
      <c r="O27" s="2"/>
      <c r="P27" s="76"/>
    </row>
    <row r="28" spans="1:16">
      <c r="A28" s="713"/>
      <c r="B28" s="743" t="str">
        <f>IF($A28&lt;&gt;"",VLOOKUP($A28,'BOM FUNCTIONS'!$AY$5:$BI$46,6,FALSE),"")</f>
        <v/>
      </c>
      <c r="C28" s="744" t="str">
        <f t="shared" si="0"/>
        <v/>
      </c>
      <c r="D28" s="735" t="str">
        <f>IF(A28&lt;&gt;"",VLOOKUP(A28,'BOM FUNCTIONS'!$AY$5:$BA$31,3,FALSE),"")</f>
        <v/>
      </c>
      <c r="E28" s="65" t="str">
        <f t="shared" si="1"/>
        <v/>
      </c>
      <c r="F28" s="68" t="str">
        <f>IF(A28&lt;&gt;"",IF(E28="YES",VLOOKUP(A28,'BOM FUNCTIONS'!$AY$5:$BB$20,4,FALSE),""),"")</f>
        <v/>
      </c>
      <c r="G28" s="2"/>
      <c r="H28" s="71" t="str">
        <f t="shared" si="2"/>
        <v/>
      </c>
      <c r="I28" s="71" t="str">
        <f t="shared" si="3"/>
        <v/>
      </c>
      <c r="J28" s="2"/>
      <c r="K28" s="71" t="str">
        <f t="shared" si="4"/>
        <v xml:space="preserve"> </v>
      </c>
      <c r="L28" s="734" t="str">
        <f>IF($A28&lt;&gt;"",
VLOOKUP($A28,'BOM FUNCTIONS'!$AY$5:$BI$46,5,FALSE),"")</f>
        <v/>
      </c>
      <c r="M28" s="714"/>
      <c r="N28" s="714"/>
      <c r="O28" s="2"/>
      <c r="P28" s="76"/>
    </row>
    <row r="29" spans="1:16">
      <c r="A29" s="713"/>
      <c r="B29" s="743" t="str">
        <f>IF($A29&lt;&gt;"",VLOOKUP($A29,'BOM FUNCTIONS'!$AY$5:$BI$46,6,FALSE),"")</f>
        <v/>
      </c>
      <c r="C29" s="744" t="str">
        <f t="shared" si="0"/>
        <v/>
      </c>
      <c r="D29" s="735" t="str">
        <f>IF(A29&lt;&gt;"",VLOOKUP(A29,'BOM FUNCTIONS'!$AY$5:$BA$31,3,FALSE),"")</f>
        <v/>
      </c>
      <c r="E29" s="65" t="str">
        <f t="shared" si="1"/>
        <v/>
      </c>
      <c r="F29" s="68" t="str">
        <f>IF(A29&lt;&gt;"",IF(E29="YES",VLOOKUP(A29,'BOM FUNCTIONS'!$AY$5:$BB$20,4,FALSE),""),"")</f>
        <v/>
      </c>
      <c r="G29" s="2"/>
      <c r="H29" s="71" t="str">
        <f t="shared" si="2"/>
        <v/>
      </c>
      <c r="I29" s="71" t="str">
        <f t="shared" si="3"/>
        <v/>
      </c>
      <c r="J29" s="2"/>
      <c r="K29" s="71" t="str">
        <f t="shared" si="4"/>
        <v xml:space="preserve"> </v>
      </c>
      <c r="L29" s="734" t="str">
        <f>IF($A29&lt;&gt;"",
VLOOKUP($A29,'BOM FUNCTIONS'!$AY$5:$BI$46,5,FALSE),"")</f>
        <v/>
      </c>
      <c r="M29" s="714"/>
      <c r="N29" s="714"/>
      <c r="O29" s="2"/>
      <c r="P29" s="76"/>
    </row>
    <row r="30" spans="1:16">
      <c r="A30" s="713"/>
      <c r="B30" s="743" t="str">
        <f>IF($A30&lt;&gt;"",VLOOKUP($A30,'BOM FUNCTIONS'!$AY$5:$BI$46,6,FALSE),"")</f>
        <v/>
      </c>
      <c r="C30" s="744" t="str">
        <f t="shared" si="0"/>
        <v/>
      </c>
      <c r="D30" s="735" t="str">
        <f>IF(A30&lt;&gt;"",VLOOKUP(A30,'BOM FUNCTIONS'!$AY$5:$BA$31,3,FALSE),"")</f>
        <v/>
      </c>
      <c r="E30" s="65" t="str">
        <f t="shared" si="1"/>
        <v/>
      </c>
      <c r="F30" s="68" t="str">
        <f>IF(A30&lt;&gt;"",IF(E30="YES",VLOOKUP(A30,'BOM FUNCTIONS'!$AY$5:$BB$20,4,FALSE),""),"")</f>
        <v/>
      </c>
      <c r="G30" s="2"/>
      <c r="H30" s="71" t="str">
        <f t="shared" si="2"/>
        <v/>
      </c>
      <c r="I30" s="71" t="str">
        <f t="shared" si="3"/>
        <v/>
      </c>
      <c r="J30" s="2"/>
      <c r="K30" s="71" t="str">
        <f t="shared" si="4"/>
        <v xml:space="preserve"> </v>
      </c>
      <c r="L30" s="734" t="str">
        <f>IF($A30&lt;&gt;"",
VLOOKUP($A30,'BOM FUNCTIONS'!$AY$5:$BI$46,5,FALSE),"")</f>
        <v/>
      </c>
      <c r="M30" s="714"/>
      <c r="N30" s="714"/>
      <c r="O30" s="2"/>
      <c r="P30" s="76"/>
    </row>
    <row r="31" spans="1:16">
      <c r="A31" s="713"/>
      <c r="B31" s="743" t="str">
        <f>IF($A31&lt;&gt;"",VLOOKUP($A31,'BOM FUNCTIONS'!$AY$5:$BI$46,6,FALSE),"")</f>
        <v/>
      </c>
      <c r="C31" s="744" t="str">
        <f t="shared" si="0"/>
        <v/>
      </c>
      <c r="D31" s="735" t="str">
        <f>IF(A31&lt;&gt;"",VLOOKUP(A31,'BOM FUNCTIONS'!$AY$5:$BA$31,3,FALSE),"")</f>
        <v/>
      </c>
      <c r="E31" s="65" t="str">
        <f t="shared" si="1"/>
        <v/>
      </c>
      <c r="F31" s="68" t="str">
        <f>IF(A31&lt;&gt;"",IF(E31="YES",VLOOKUP(A31,'BOM FUNCTIONS'!$AY$5:$BB$20,4,FALSE),""),"")</f>
        <v/>
      </c>
      <c r="G31" s="2"/>
      <c r="H31" s="71" t="str">
        <f t="shared" si="2"/>
        <v/>
      </c>
      <c r="I31" s="71" t="str">
        <f t="shared" si="3"/>
        <v/>
      </c>
      <c r="J31" s="2"/>
      <c r="K31" s="71" t="str">
        <f t="shared" si="4"/>
        <v xml:space="preserve"> </v>
      </c>
      <c r="L31" s="734" t="str">
        <f>IF($A31&lt;&gt;"",
VLOOKUP($A31,'BOM FUNCTIONS'!$AY$5:$BI$46,5,FALSE),"")</f>
        <v/>
      </c>
      <c r="M31" s="714"/>
      <c r="N31" s="714"/>
      <c r="O31" s="2"/>
      <c r="P31" s="76"/>
    </row>
    <row r="32" spans="1:16">
      <c r="A32" s="713"/>
      <c r="B32" s="743" t="str">
        <f>IF($A32&lt;&gt;"",VLOOKUP($A32,'BOM FUNCTIONS'!$AY$5:$BI$46,6,FALSE),"")</f>
        <v/>
      </c>
      <c r="C32" s="744" t="str">
        <f t="shared" si="0"/>
        <v/>
      </c>
      <c r="D32" s="735" t="str">
        <f>IF(A32&lt;&gt;"",VLOOKUP(A32,'BOM FUNCTIONS'!$AY$5:$BA$31,3,FALSE),"")</f>
        <v/>
      </c>
      <c r="E32" s="65" t="str">
        <f t="shared" si="1"/>
        <v/>
      </c>
      <c r="F32" s="68" t="str">
        <f>IF(A32&lt;&gt;"",IF(E32="YES",VLOOKUP(A32,'BOM FUNCTIONS'!$AY$5:$BB$20,4,FALSE),""),"")</f>
        <v/>
      </c>
      <c r="G32" s="2"/>
      <c r="H32" s="71" t="str">
        <f t="shared" si="2"/>
        <v/>
      </c>
      <c r="I32" s="71" t="str">
        <f t="shared" si="3"/>
        <v/>
      </c>
      <c r="J32" s="2"/>
      <c r="K32" s="71" t="str">
        <f t="shared" si="4"/>
        <v xml:space="preserve"> </v>
      </c>
      <c r="L32" s="734" t="str">
        <f>IF($A32&lt;&gt;"",
VLOOKUP($A32,'BOM FUNCTIONS'!$AY$5:$BI$46,5,FALSE),"")</f>
        <v/>
      </c>
      <c r="M32" s="714"/>
      <c r="N32" s="714"/>
      <c r="O32" s="2"/>
      <c r="P32" s="76"/>
    </row>
    <row r="33" spans="1:16">
      <c r="A33" s="713"/>
      <c r="B33" s="743" t="str">
        <f>IF($A33&lt;&gt;"",VLOOKUP($A33,'BOM FUNCTIONS'!$AY$5:$BI$46,6,FALSE),"")</f>
        <v/>
      </c>
      <c r="C33" s="744" t="str">
        <f t="shared" si="0"/>
        <v/>
      </c>
      <c r="D33" s="735" t="str">
        <f>IF(A33&lt;&gt;"",VLOOKUP(A33,'BOM FUNCTIONS'!$AY$5:$BA$31,3,FALSE),"")</f>
        <v/>
      </c>
      <c r="E33" s="65" t="str">
        <f t="shared" si="1"/>
        <v/>
      </c>
      <c r="F33" s="68" t="str">
        <f>IF(A33&lt;&gt;"",IF(E33="YES",VLOOKUP(A33,'BOM FUNCTIONS'!$AY$5:$BB$20,4,FALSE),""),"")</f>
        <v/>
      </c>
      <c r="G33" s="2"/>
      <c r="H33" s="71" t="str">
        <f t="shared" si="2"/>
        <v/>
      </c>
      <c r="I33" s="71" t="str">
        <f t="shared" si="3"/>
        <v/>
      </c>
      <c r="J33" s="2"/>
      <c r="K33" s="71" t="str">
        <f t="shared" si="4"/>
        <v xml:space="preserve"> </v>
      </c>
      <c r="L33" s="734" t="str">
        <f>IF($A33&lt;&gt;"",
VLOOKUP($A33,'BOM FUNCTIONS'!$AY$5:$BI$46,5,FALSE),"")</f>
        <v/>
      </c>
      <c r="M33" s="714"/>
      <c r="N33" s="714"/>
      <c r="O33" s="2"/>
      <c r="P33" s="76"/>
    </row>
    <row r="34" spans="1:16">
      <c r="A34" s="713"/>
      <c r="B34" s="743" t="str">
        <f>IF($A34&lt;&gt;"",VLOOKUP($A34,'BOM FUNCTIONS'!$AY$5:$BI$46,6,FALSE),"")</f>
        <v/>
      </c>
      <c r="C34" s="744" t="str">
        <f t="shared" si="0"/>
        <v/>
      </c>
      <c r="D34" s="735" t="str">
        <f>IF(A34&lt;&gt;"",VLOOKUP(A34,'BOM FUNCTIONS'!$AY$5:$BA$31,3,FALSE),"")</f>
        <v/>
      </c>
      <c r="E34" s="65" t="str">
        <f t="shared" si="1"/>
        <v/>
      </c>
      <c r="F34" s="68" t="str">
        <f>IF(A34&lt;&gt;"",IF(E34="YES",VLOOKUP(A34,'BOM FUNCTIONS'!$AY$5:$BB$20,4,FALSE),""),"")</f>
        <v/>
      </c>
      <c r="G34" s="2"/>
      <c r="H34" s="71" t="str">
        <f t="shared" si="2"/>
        <v/>
      </c>
      <c r="I34" s="71" t="str">
        <f t="shared" si="3"/>
        <v/>
      </c>
      <c r="J34" s="2"/>
      <c r="K34" s="71" t="str">
        <f t="shared" si="4"/>
        <v xml:space="preserve"> </v>
      </c>
      <c r="L34" s="734" t="str">
        <f>IF($A34&lt;&gt;"",
VLOOKUP($A34,'BOM FUNCTIONS'!$AY$5:$BI$46,5,FALSE),"")</f>
        <v/>
      </c>
      <c r="M34" s="714"/>
      <c r="N34" s="714"/>
      <c r="O34" s="2"/>
      <c r="P34" s="76"/>
    </row>
    <row r="35" spans="1:16">
      <c r="A35" s="713"/>
      <c r="B35" s="743" t="str">
        <f>IF($A35&lt;&gt;"",VLOOKUP($A35,'BOM FUNCTIONS'!$AY$5:$BI$46,6,FALSE),"")</f>
        <v/>
      </c>
      <c r="C35" s="744" t="str">
        <f t="shared" si="0"/>
        <v/>
      </c>
      <c r="D35" s="735" t="str">
        <f>IF(A35&lt;&gt;"",VLOOKUP(A35,'BOM FUNCTIONS'!$AY$5:$BA$31,3,FALSE),"")</f>
        <v/>
      </c>
      <c r="E35" s="65" t="str">
        <f t="shared" si="1"/>
        <v/>
      </c>
      <c r="F35" s="68" t="str">
        <f>IF(A35&lt;&gt;"",IF(E35="YES",VLOOKUP(A35,'BOM FUNCTIONS'!$AY$5:$BB$20,4,FALSE),""),"")</f>
        <v/>
      </c>
      <c r="G35" s="2"/>
      <c r="H35" s="71" t="str">
        <f t="shared" si="2"/>
        <v/>
      </c>
      <c r="I35" s="71" t="str">
        <f t="shared" si="3"/>
        <v/>
      </c>
      <c r="J35" s="2"/>
      <c r="K35" s="71" t="str">
        <f t="shared" si="4"/>
        <v xml:space="preserve"> </v>
      </c>
      <c r="L35" s="734" t="str">
        <f>IF($A35&lt;&gt;"",
VLOOKUP($A35,'BOM FUNCTIONS'!$AY$5:$BI$46,5,FALSE),"")</f>
        <v/>
      </c>
      <c r="M35" s="714"/>
      <c r="N35" s="714"/>
      <c r="O35" s="2"/>
      <c r="P35" s="76"/>
    </row>
    <row r="36" spans="1:16">
      <c r="A36" s="713"/>
      <c r="B36" s="743" t="str">
        <f>IF($A36&lt;&gt;"",VLOOKUP($A36,'BOM FUNCTIONS'!$AY$5:$BI$46,6,FALSE),"")</f>
        <v/>
      </c>
      <c r="C36" s="744" t="str">
        <f t="shared" si="0"/>
        <v/>
      </c>
      <c r="D36" s="735" t="str">
        <f>IF(A36&lt;&gt;"",VLOOKUP(A36,'BOM FUNCTIONS'!$AY$5:$BA$31,3,FALSE),"")</f>
        <v/>
      </c>
      <c r="E36" s="65" t="str">
        <f t="shared" si="1"/>
        <v/>
      </c>
      <c r="F36" s="68" t="str">
        <f>IF(A36&lt;&gt;"",IF(E36="YES",VLOOKUP(A36,'BOM FUNCTIONS'!$AY$5:$BB$20,4,FALSE),""),"")</f>
        <v/>
      </c>
      <c r="G36" s="2"/>
      <c r="H36" s="71" t="str">
        <f t="shared" si="2"/>
        <v/>
      </c>
      <c r="I36" s="71" t="str">
        <f t="shared" si="3"/>
        <v/>
      </c>
      <c r="J36" s="2"/>
      <c r="K36" s="71" t="str">
        <f t="shared" si="4"/>
        <v xml:space="preserve"> </v>
      </c>
      <c r="L36" s="734" t="str">
        <f>IF($A36&lt;&gt;"",
VLOOKUP($A36,'BOM FUNCTIONS'!$AY$5:$BI$46,5,FALSE),"")</f>
        <v/>
      </c>
      <c r="M36" s="714"/>
      <c r="N36" s="714"/>
      <c r="O36" s="2"/>
      <c r="P36" s="76"/>
    </row>
    <row r="37" spans="1:16">
      <c r="A37" s="713"/>
      <c r="B37" s="743" t="str">
        <f>IF($A37&lt;&gt;"",VLOOKUP($A37,'BOM FUNCTIONS'!$AY$5:$BI$46,6,FALSE),"")</f>
        <v/>
      </c>
      <c r="C37" s="744" t="str">
        <f t="shared" si="0"/>
        <v/>
      </c>
      <c r="D37" s="735" t="str">
        <f>IF(A37&lt;&gt;"",VLOOKUP(A37,'BOM FUNCTIONS'!$AY$5:$BA$31,3,FALSE),"")</f>
        <v/>
      </c>
      <c r="E37" s="65" t="str">
        <f t="shared" si="1"/>
        <v/>
      </c>
      <c r="F37" s="68" t="str">
        <f>IF(A37&lt;&gt;"",IF(E37="YES",VLOOKUP(A37,'BOM FUNCTIONS'!$AY$5:$BB$20,4,FALSE),""),"")</f>
        <v/>
      </c>
      <c r="G37" s="2"/>
      <c r="H37" s="71" t="str">
        <f t="shared" si="2"/>
        <v/>
      </c>
      <c r="I37" s="71" t="str">
        <f t="shared" si="3"/>
        <v/>
      </c>
      <c r="J37" s="2"/>
      <c r="K37" s="71" t="str">
        <f t="shared" si="4"/>
        <v xml:space="preserve"> </v>
      </c>
      <c r="L37" s="734" t="str">
        <f>IF($A37&lt;&gt;"",
VLOOKUP($A37,'BOM FUNCTIONS'!$AY$5:$BI$46,5,FALSE),"")</f>
        <v/>
      </c>
      <c r="M37" s="714"/>
      <c r="N37" s="714"/>
      <c r="O37" s="2"/>
      <c r="P37" s="76"/>
    </row>
    <row r="38" spans="1:16">
      <c r="A38" s="713"/>
      <c r="B38" s="743" t="str">
        <f>IF($A38&lt;&gt;"",VLOOKUP($A38,'BOM FUNCTIONS'!$AY$5:$BI$46,6,FALSE),"")</f>
        <v/>
      </c>
      <c r="C38" s="744" t="str">
        <f t="shared" si="0"/>
        <v/>
      </c>
      <c r="D38" s="735" t="str">
        <f>IF(A38&lt;&gt;"",VLOOKUP(A38,'BOM FUNCTIONS'!$AY$5:$BA$31,3,FALSE),"")</f>
        <v/>
      </c>
      <c r="E38" s="65" t="str">
        <f t="shared" si="1"/>
        <v/>
      </c>
      <c r="F38" s="68" t="str">
        <f>IF(A38&lt;&gt;"",IF(E38="YES",VLOOKUP(A38,'BOM FUNCTIONS'!$AY$5:$BB$20,4,FALSE),""),"")</f>
        <v/>
      </c>
      <c r="G38" s="2"/>
      <c r="H38" s="71" t="str">
        <f t="shared" si="2"/>
        <v/>
      </c>
      <c r="I38" s="71" t="str">
        <f t="shared" si="3"/>
        <v/>
      </c>
      <c r="J38" s="2"/>
      <c r="K38" s="71" t="str">
        <f t="shared" si="4"/>
        <v xml:space="preserve"> </v>
      </c>
      <c r="L38" s="734" t="str">
        <f>IF($A38&lt;&gt;"",
VLOOKUP($A38,'BOM FUNCTIONS'!$AY$5:$BI$46,5,FALSE),"")</f>
        <v/>
      </c>
      <c r="M38" s="714"/>
      <c r="N38" s="714"/>
      <c r="O38" s="2"/>
      <c r="P38" s="76"/>
    </row>
    <row r="39" spans="1:16">
      <c r="A39" s="713"/>
      <c r="B39" s="743" t="str">
        <f>IF($A39&lt;&gt;"",VLOOKUP($A39,'BOM FUNCTIONS'!$AY$5:$BI$46,6,FALSE),"")</f>
        <v/>
      </c>
      <c r="C39" s="744" t="str">
        <f t="shared" si="0"/>
        <v/>
      </c>
      <c r="D39" s="735" t="str">
        <f>IF(A39&lt;&gt;"",VLOOKUP(A39,'BOM FUNCTIONS'!$AY$5:$BA$31,3,FALSE),"")</f>
        <v/>
      </c>
      <c r="E39" s="65" t="str">
        <f t="shared" si="1"/>
        <v/>
      </c>
      <c r="F39" s="68" t="str">
        <f>IF(A39&lt;&gt;"",IF(E39="YES",VLOOKUP(A39,'BOM FUNCTIONS'!$AY$5:$BB$20,4,FALSE),""),"")</f>
        <v/>
      </c>
      <c r="G39" s="2"/>
      <c r="H39" s="71" t="str">
        <f t="shared" si="2"/>
        <v/>
      </c>
      <c r="I39" s="71" t="str">
        <f t="shared" si="3"/>
        <v/>
      </c>
      <c r="J39" s="2"/>
      <c r="K39" s="71" t="str">
        <f t="shared" si="4"/>
        <v xml:space="preserve"> </v>
      </c>
      <c r="L39" s="734" t="str">
        <f>IF($A39&lt;&gt;"",
VLOOKUP($A39,'BOM FUNCTIONS'!$AY$5:$BI$46,5,FALSE),"")</f>
        <v/>
      </c>
      <c r="M39" s="714"/>
      <c r="N39" s="714"/>
      <c r="O39" s="2"/>
      <c r="P39" s="76"/>
    </row>
    <row r="40" spans="1:16">
      <c r="A40" s="713"/>
      <c r="B40" s="743" t="str">
        <f>IF($A40&lt;&gt;"",VLOOKUP($A40,'BOM FUNCTIONS'!$AY$5:$BI$46,6,FALSE),"")</f>
        <v/>
      </c>
      <c r="C40" s="744" t="str">
        <f t="shared" si="0"/>
        <v/>
      </c>
      <c r="D40" s="735" t="str">
        <f>IF(A40&lt;&gt;"",VLOOKUP(A40,'BOM FUNCTIONS'!$AY$5:$BA$31,3,FALSE),"")</f>
        <v/>
      </c>
      <c r="E40" s="65" t="str">
        <f t="shared" si="1"/>
        <v/>
      </c>
      <c r="F40" s="68" t="str">
        <f>IF(A40&lt;&gt;"",IF(E40="YES",VLOOKUP(A40,'BOM FUNCTIONS'!$AY$5:$BB$20,4,FALSE),""),"")</f>
        <v/>
      </c>
      <c r="G40" s="2"/>
      <c r="H40" s="71" t="str">
        <f t="shared" si="2"/>
        <v/>
      </c>
      <c r="I40" s="71" t="str">
        <f t="shared" si="3"/>
        <v/>
      </c>
      <c r="J40" s="2"/>
      <c r="K40" s="71" t="str">
        <f t="shared" si="4"/>
        <v xml:space="preserve"> </v>
      </c>
      <c r="L40" s="734" t="str">
        <f>IF($A40&lt;&gt;"",
VLOOKUP($A40,'BOM FUNCTIONS'!$AY$5:$BI$46,5,FALSE),"")</f>
        <v/>
      </c>
      <c r="M40" s="714"/>
      <c r="N40" s="714"/>
      <c r="O40" s="2"/>
      <c r="P40" s="76"/>
    </row>
    <row r="41" spans="1:16">
      <c r="A41" s="713"/>
      <c r="B41" s="743" t="str">
        <f>IF($A41&lt;&gt;"",VLOOKUP($A41,'BOM FUNCTIONS'!$AY$5:$BI$46,6,FALSE),"")</f>
        <v/>
      </c>
      <c r="C41" s="744" t="str">
        <f t="shared" si="0"/>
        <v/>
      </c>
      <c r="D41" s="735" t="str">
        <f>IF(A41&lt;&gt;"",VLOOKUP(A41,'BOM FUNCTIONS'!$AY$5:$BA$31,3,FALSE),"")</f>
        <v/>
      </c>
      <c r="E41" s="65" t="str">
        <f t="shared" si="1"/>
        <v/>
      </c>
      <c r="F41" s="68" t="str">
        <f>IF(A41&lt;&gt;"",IF(E41="YES",VLOOKUP(A41,'BOM FUNCTIONS'!$AY$5:$BB$20,4,FALSE),""),"")</f>
        <v/>
      </c>
      <c r="G41" s="2"/>
      <c r="H41" s="71" t="str">
        <f t="shared" si="2"/>
        <v/>
      </c>
      <c r="I41" s="71" t="str">
        <f t="shared" si="3"/>
        <v/>
      </c>
      <c r="J41" s="2"/>
      <c r="K41" s="71" t="str">
        <f t="shared" si="4"/>
        <v xml:space="preserve"> </v>
      </c>
      <c r="L41" s="734" t="str">
        <f>IF($A41&lt;&gt;"",
VLOOKUP($A41,'BOM FUNCTIONS'!$AY$5:$BI$46,5,FALSE),"")</f>
        <v/>
      </c>
      <c r="M41" s="714"/>
      <c r="N41" s="714"/>
      <c r="O41" s="2"/>
      <c r="P41" s="76"/>
    </row>
    <row r="42" spans="1:16">
      <c r="A42" s="713"/>
      <c r="B42" s="743" t="str">
        <f>IF($A42&lt;&gt;"",VLOOKUP($A42,'BOM FUNCTIONS'!$AY$5:$BI$46,6,FALSE),"")</f>
        <v/>
      </c>
      <c r="C42" s="744" t="str">
        <f t="shared" si="0"/>
        <v/>
      </c>
      <c r="D42" s="735" t="str">
        <f>IF(A42&lt;&gt;"",VLOOKUP(A42,'BOM FUNCTIONS'!$AY$5:$BA$31,3,FALSE),"")</f>
        <v/>
      </c>
      <c r="E42" s="65" t="str">
        <f t="shared" si="1"/>
        <v/>
      </c>
      <c r="F42" s="68" t="str">
        <f>IF(A42&lt;&gt;"",IF(E42="YES",VLOOKUP(A42,'BOM FUNCTIONS'!$AY$5:$BB$20,4,FALSE),""),"")</f>
        <v/>
      </c>
      <c r="G42" s="2"/>
      <c r="H42" s="71" t="str">
        <f t="shared" si="2"/>
        <v/>
      </c>
      <c r="I42" s="71" t="str">
        <f t="shared" si="3"/>
        <v/>
      </c>
      <c r="J42" s="2"/>
      <c r="K42" s="71" t="str">
        <f t="shared" si="4"/>
        <v xml:space="preserve"> </v>
      </c>
      <c r="L42" s="734" t="str">
        <f>IF($A42&lt;&gt;"",
VLOOKUP($A42,'BOM FUNCTIONS'!$AY$5:$BI$46,5,FALSE),"")</f>
        <v/>
      </c>
      <c r="M42" s="714"/>
      <c r="N42" s="714"/>
      <c r="O42" s="2"/>
      <c r="P42" s="76"/>
    </row>
    <row r="43" spans="1:16">
      <c r="A43" s="713"/>
      <c r="B43" s="743" t="str">
        <f>IF($A43&lt;&gt;"",VLOOKUP($A43,'BOM FUNCTIONS'!$AY$5:$BI$46,6,FALSE),"")</f>
        <v/>
      </c>
      <c r="C43" s="744" t="str">
        <f t="shared" si="0"/>
        <v/>
      </c>
      <c r="D43" s="735" t="str">
        <f>IF(A43&lt;&gt;"",VLOOKUP(A43,'BOM FUNCTIONS'!$AY$5:$BA$31,3,FALSE),"")</f>
        <v/>
      </c>
      <c r="E43" s="65" t="str">
        <f t="shared" si="1"/>
        <v/>
      </c>
      <c r="F43" s="68" t="str">
        <f>IF(A43&lt;&gt;"",IF(E43="YES",VLOOKUP(A43,'BOM FUNCTIONS'!$AY$5:$BB$20,4,FALSE),""),"")</f>
        <v/>
      </c>
      <c r="G43" s="2"/>
      <c r="H43" s="71" t="str">
        <f t="shared" si="2"/>
        <v/>
      </c>
      <c r="I43" s="71" t="str">
        <f t="shared" si="3"/>
        <v/>
      </c>
      <c r="J43" s="2"/>
      <c r="K43" s="71" t="str">
        <f t="shared" si="4"/>
        <v xml:space="preserve"> </v>
      </c>
      <c r="L43" s="734" t="str">
        <f>IF($A43&lt;&gt;"",
VLOOKUP($A43,'BOM FUNCTIONS'!$AY$5:$BI$46,5,FALSE),"")</f>
        <v/>
      </c>
      <c r="M43" s="714"/>
      <c r="N43" s="714"/>
      <c r="O43" s="2"/>
      <c r="P43" s="76"/>
    </row>
    <row r="44" spans="1:16">
      <c r="A44" s="713"/>
      <c r="B44" s="743" t="str">
        <f>IF($A44&lt;&gt;"",VLOOKUP($A44,'BOM FUNCTIONS'!$AY$5:$BI$46,6,FALSE),"")</f>
        <v/>
      </c>
      <c r="C44" s="744" t="str">
        <f t="shared" si="0"/>
        <v/>
      </c>
      <c r="D44" s="735" t="str">
        <f>IF(A44&lt;&gt;"",VLOOKUP(A44,'BOM FUNCTIONS'!$AY$5:$BA$31,3,FALSE),"")</f>
        <v/>
      </c>
      <c r="E44" s="65" t="str">
        <f t="shared" si="1"/>
        <v/>
      </c>
      <c r="F44" s="68" t="str">
        <f>IF(A44&lt;&gt;"",IF(E44="YES",VLOOKUP(A44,'BOM FUNCTIONS'!$AY$5:$BB$20,4,FALSE),""),"")</f>
        <v/>
      </c>
      <c r="G44" s="2"/>
      <c r="H44" s="71" t="str">
        <f t="shared" si="2"/>
        <v/>
      </c>
      <c r="I44" s="71" t="str">
        <f t="shared" si="3"/>
        <v/>
      </c>
      <c r="J44" s="2"/>
      <c r="K44" s="71" t="str">
        <f t="shared" si="4"/>
        <v xml:space="preserve"> </v>
      </c>
      <c r="L44" s="734" t="str">
        <f>IF($A44&lt;&gt;"",
VLOOKUP($A44,'BOM FUNCTIONS'!$AY$5:$BI$46,5,FALSE),"")</f>
        <v/>
      </c>
      <c r="M44" s="714"/>
      <c r="N44" s="714"/>
      <c r="O44" s="2"/>
      <c r="P44" s="76"/>
    </row>
    <row r="45" spans="1:16">
      <c r="A45" s="713"/>
      <c r="B45" s="743" t="str">
        <f>IF($A45&lt;&gt;"",VLOOKUP($A45,'BOM FUNCTIONS'!$AY$5:$BI$46,6,FALSE),"")</f>
        <v/>
      </c>
      <c r="C45" s="744" t="str">
        <f t="shared" si="0"/>
        <v/>
      </c>
      <c r="D45" s="735" t="str">
        <f>IF(A45&lt;&gt;"",VLOOKUP(A45,'BOM FUNCTIONS'!$AY$5:$BA$31,3,FALSE),"")</f>
        <v/>
      </c>
      <c r="E45" s="65" t="str">
        <f t="shared" si="1"/>
        <v/>
      </c>
      <c r="F45" s="68" t="str">
        <f>IF(A45&lt;&gt;"",IF(E45="YES",VLOOKUP(A45,'BOM FUNCTIONS'!$AY$5:$BB$20,4,FALSE),""),"")</f>
        <v/>
      </c>
      <c r="G45" s="2"/>
      <c r="H45" s="71" t="str">
        <f t="shared" si="2"/>
        <v/>
      </c>
      <c r="I45" s="71" t="str">
        <f t="shared" si="3"/>
        <v/>
      </c>
      <c r="J45" s="2"/>
      <c r="K45" s="71" t="str">
        <f t="shared" si="4"/>
        <v xml:space="preserve"> </v>
      </c>
      <c r="L45" s="734" t="str">
        <f>IF($A45&lt;&gt;"",
VLOOKUP($A45,'BOM FUNCTIONS'!$AY$5:$BI$46,5,FALSE),"")</f>
        <v/>
      </c>
      <c r="M45" s="714"/>
      <c r="N45" s="714"/>
      <c r="O45" s="2"/>
      <c r="P45" s="76"/>
    </row>
    <row r="46" spans="1:16" ht="13.5" thickBot="1">
      <c r="A46" s="711"/>
      <c r="B46" s="739" t="str">
        <f>IF($A46&lt;&gt;"",VLOOKUP($A46,'BOM FUNCTIONS'!$AY$5:$BI$46,6,FALSE),"")</f>
        <v/>
      </c>
      <c r="C46" s="933" t="str">
        <f t="shared" si="0"/>
        <v/>
      </c>
      <c r="D46" s="740" t="str">
        <f>IF(A46&lt;&gt;"",VLOOKUP(A46,'BOM FUNCTIONS'!$AY$5:$BA$31,3,FALSE),"")</f>
        <v/>
      </c>
      <c r="E46" s="740" t="str">
        <f>IF(A46&lt;&gt;"",IF(OR(LEFT(A46,1)="t",LEFT(A46,1)="p"),"YES","NO"),"")</f>
        <v/>
      </c>
      <c r="F46" s="741" t="str">
        <f>IF(A46&lt;&gt;"",IF(E46="YES",VLOOKUP(A46,'BOM FUNCTIONS'!$AY$5:$BB$20,4,FALSE),""),"")</f>
        <v/>
      </c>
      <c r="G46" s="263"/>
      <c r="H46" s="303" t="str">
        <f t="shared" si="2"/>
        <v/>
      </c>
      <c r="I46" s="303" t="str">
        <f t="shared" si="3"/>
        <v/>
      </c>
      <c r="J46" s="263"/>
      <c r="K46" s="303" t="str">
        <f t="shared" si="4"/>
        <v xml:space="preserve"> </v>
      </c>
      <c r="L46" s="742" t="str">
        <f>IF($A46&lt;&gt;"",
VLOOKUP($A46,'BOM FUNCTIONS'!$AY$5:$BI$46,5,FALSE),"")</f>
        <v/>
      </c>
      <c r="M46" s="712"/>
      <c r="N46" s="712"/>
      <c r="O46" s="263"/>
      <c r="P46" s="102"/>
    </row>
  </sheetData>
  <mergeCells count="7">
    <mergeCell ref="M1:N1"/>
    <mergeCell ref="B5:D5"/>
    <mergeCell ref="B6:D6"/>
    <mergeCell ref="B7:D7"/>
    <mergeCell ref="B2:D2"/>
    <mergeCell ref="B3:D3"/>
    <mergeCell ref="B4:D4"/>
  </mergeCells>
  <phoneticPr fontId="26" type="noConversion"/>
  <conditionalFormatting sqref="F9:F46">
    <cfRule type="expression" dxfId="57" priority="10" stopIfTrue="1">
      <formula>$E9="NO"</formula>
    </cfRule>
  </conditionalFormatting>
  <conditionalFormatting sqref="B1:B3">
    <cfRule type="cellIs" dxfId="56" priority="1" operator="equal">
      <formula>"Undetermined"</formula>
    </cfRule>
    <cfRule type="cellIs" dxfId="55" priority="12" operator="equal">
      <formula>"REQUIRED"</formula>
    </cfRule>
  </conditionalFormatting>
  <dataValidations count="2">
    <dataValidation type="list" allowBlank="1" showInputMessage="1" showErrorMessage="1" sqref="A9:A46" xr:uid="{00000000-0002-0000-1B00-000000000000}">
      <formula1>MQ_Hostname</formula1>
    </dataValidation>
    <dataValidation type="list" allowBlank="1" showInputMessage="1" showErrorMessage="1" sqref="J9:J46 O9:O46" xr:uid="{00000000-0002-0000-1B00-000001000000}">
      <formula1>"YES, NO"</formula1>
    </dataValidation>
  </dataValidations>
  <pageMargins left="0.75" right="0.75" top="1" bottom="1" header="0.5" footer="0.5"/>
  <pageSetup paperSize="5" scale="47" fitToHeight="0" orientation="landscape" r:id="rId1"/>
  <headerFooter alignWithMargins="0"/>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7">
    <tabColor theme="3" tint="0.79998168889431442"/>
  </sheetPr>
  <dimension ref="A1:U100"/>
  <sheetViews>
    <sheetView showGridLines="0" workbookViewId="0"/>
  </sheetViews>
  <sheetFormatPr defaultRowHeight="12.75"/>
  <cols>
    <col min="1" max="1" width="19.42578125" style="931" customWidth="1"/>
    <col min="2" max="2" width="12.42578125" style="931" customWidth="1"/>
    <col min="3" max="3" width="29.7109375" style="931" bestFit="1" customWidth="1"/>
    <col min="4" max="4" width="18.28515625" style="931" customWidth="1"/>
    <col min="5" max="5" width="14.85546875" style="931" customWidth="1"/>
    <col min="6" max="6" width="32.7109375" style="931" customWidth="1"/>
    <col min="7" max="7" width="14.28515625" style="931" customWidth="1"/>
    <col min="8" max="8" width="18.28515625" style="931" customWidth="1"/>
    <col min="9" max="9" width="20" style="931" customWidth="1"/>
    <col min="10" max="10" width="10.5703125" style="2419" customWidth="1"/>
    <col min="11" max="11" width="23.28515625" style="2403" customWidth="1"/>
    <col min="12" max="12" width="17.28515625" style="56" customWidth="1"/>
    <col min="13" max="13" width="11.7109375" style="56" customWidth="1"/>
    <col min="14" max="14" width="14.140625" style="33" customWidth="1"/>
    <col min="15" max="15" width="27.140625" style="2424" customWidth="1"/>
    <col min="16" max="16" width="25.140625" style="931" customWidth="1"/>
    <col min="17" max="17" width="23" style="931" customWidth="1"/>
    <col min="18" max="18" width="58.7109375" style="931" customWidth="1"/>
    <col min="19" max="19" width="15.140625" style="931" customWidth="1"/>
    <col min="20" max="20" width="46" style="931" customWidth="1"/>
    <col min="21" max="21" width="25.28515625" style="931" customWidth="1"/>
    <col min="22" max="16384" width="9.140625" style="931"/>
  </cols>
  <sheetData>
    <row r="1" spans="1:21" ht="36.75" customHeight="1" thickBot="1">
      <c r="A1" s="2404"/>
      <c r="B1" s="2405"/>
      <c r="C1" s="2406"/>
      <c r="D1" s="2407" t="str">
        <f>IF(PAM="YES","REQUIRED",IF(PAM="NO","This Tab is Not Required","Undetermined"))</f>
        <v>REQUIRED</v>
      </c>
      <c r="E1" s="2889" t="str">
        <f>IF(Offshore=TRUE,"NO OFFSHORE","")</f>
        <v>NO OFFSHORE</v>
      </c>
      <c r="F1" s="802" t="s">
        <v>4537</v>
      </c>
      <c r="G1" s="2575"/>
      <c r="H1" s="2408"/>
      <c r="I1" s="2631" t="str">
        <f>IF(Offshore=TRUE,"NO OFFSHORE","")</f>
        <v>NO OFFSHORE</v>
      </c>
      <c r="J1" s="2418"/>
      <c r="K1" s="2402"/>
      <c r="L1" s="2408"/>
      <c r="M1" s="2408"/>
      <c r="N1" s="3909"/>
      <c r="O1" s="3909"/>
      <c r="P1" s="3909"/>
      <c r="Q1" s="3909"/>
      <c r="R1" s="3910"/>
      <c r="S1" s="3910"/>
      <c r="T1" s="3910"/>
      <c r="U1" s="2408"/>
    </row>
    <row r="2" spans="1:21" ht="25.5" customHeight="1" thickBot="1">
      <c r="A2" s="2409" t="s">
        <v>4100</v>
      </c>
      <c r="B2" s="2410" t="s">
        <v>3853</v>
      </c>
      <c r="C2" s="2410" t="s">
        <v>428</v>
      </c>
      <c r="D2" s="2411" t="s">
        <v>43</v>
      </c>
      <c r="E2" s="2411" t="s">
        <v>3876</v>
      </c>
      <c r="F2" s="2411" t="s">
        <v>4104</v>
      </c>
      <c r="G2" s="2411" t="s">
        <v>4105</v>
      </c>
      <c r="H2" s="2411" t="s">
        <v>3854</v>
      </c>
      <c r="I2" s="2411" t="s">
        <v>3875</v>
      </c>
      <c r="J2" s="2411" t="s">
        <v>3877</v>
      </c>
      <c r="K2" s="2411" t="s">
        <v>3855</v>
      </c>
      <c r="L2" s="2412" t="s">
        <v>3856</v>
      </c>
      <c r="M2" s="2413" t="s">
        <v>3862</v>
      </c>
      <c r="N2" s="2413" t="s">
        <v>3920</v>
      </c>
      <c r="O2" s="2413" t="s">
        <v>4114</v>
      </c>
      <c r="P2" s="2413" t="s">
        <v>3857</v>
      </c>
      <c r="Q2" s="2414" t="s">
        <v>3858</v>
      </c>
      <c r="R2" s="2414" t="s">
        <v>3859</v>
      </c>
      <c r="S2" s="2413" t="s">
        <v>3860</v>
      </c>
      <c r="T2" s="2415" t="s">
        <v>3861</v>
      </c>
      <c r="U2" s="2416" t="s">
        <v>16</v>
      </c>
    </row>
    <row r="3" spans="1:21" ht="38.25">
      <c r="A3" s="1071" t="s">
        <v>5617</v>
      </c>
      <c r="B3" s="3155" t="str">
        <f t="shared" ref="B3:B34" si="0">IF($A3&lt;&gt;"",VLOOKUP(LEFT($A3,12),dist_assets,3,FALSE),"")</f>
        <v>New</v>
      </c>
      <c r="C3" s="482" t="str">
        <f>IF($A3&lt;&gt;"",VLOOKUP($A3,IP!$A$4:$K$153,11,FALSE),"")</f>
        <v>dwauslmgt01.app.dev.hcscint.net</v>
      </c>
      <c r="D3" s="482" t="str">
        <f t="shared" ref="D3:D34" si="1">IF($A3&lt;&gt;"",VLOOKUP(LEFT($A3,12),dist_assets,9,FALSE),"")</f>
        <v>Linux</v>
      </c>
      <c r="E3" s="2077" t="str">
        <f t="shared" ref="E3:E34" si="2">IF($A3&lt;&gt;"",IF(VLOOKUP(LEFT($A3,12),dist_assets,4,FALSE)&lt;&gt;"",VLOOKUP(LEFT($A3,12),dist_assets,4,FALSE)),"")</f>
        <v>Linux Infrastructure Management</v>
      </c>
      <c r="F3" s="2077" t="str">
        <f t="shared" ref="F3:F34" si="3">IF($A3&lt;&gt;"",IFERROR(VLOOKUP(LEFT($A3,12),dist_assets,23,FALSE),VLOOKUP(LEFT($A3,12),dist_assets,23,FALSE)),"")</f>
        <v/>
      </c>
      <c r="G3" s="3167">
        <f t="shared" ref="G3:G34" si="4">IF($A3&lt;&gt;"",IFERROR(VLOOKUP(LEFT($A3,12),dist_assets,24,FALSE),VLOOKUP(LEFT($A3,12),dist_assets,24,FALSE)),"")</f>
        <v>0</v>
      </c>
      <c r="H3" s="482" t="str">
        <f>IF($A3&lt;&gt;"",VLOOKUP($A3,IP!$A$4:$N$153,12,FALSE),"")</f>
        <v>ECS-Open Systems</v>
      </c>
      <c r="I3" s="2077" t="str">
        <f t="shared" ref="I3:I34" si="5">IF($E3="Oracle-RAC", "requires special config","")</f>
        <v/>
      </c>
      <c r="J3" s="2577"/>
      <c r="K3" s="3407" t="str">
        <f>IF($A3&lt;&gt;"",IFERROR(VLOOKUP(LEFT($A3,12),'Database (All)'!$A$7:$R$103,15,FALSE),""),
       IF($A3&lt;&gt;"",(VLOOKUP(LEFT($A3,12),'Database (All)'!$A$7:$R$103,15,FALSE)),""))</f>
        <v/>
      </c>
      <c r="L3" s="3409" t="str">
        <f>IF($A3&lt;&gt;"",IFERROR(VLOOKUP(LEFT($A3,12),'Database (All)'!$A$7:$R$103,18,FALSE),""),
                           IF($A3&lt;&gt;"",VLOOKUP(LEFT($A3,12),'Database (All)'!$A$7:$R$103,18,FALSE),""))</f>
        <v/>
      </c>
      <c r="M3" s="2578"/>
      <c r="N3" s="2931" t="str">
        <f>IF($A3&lt;&gt;"",
        IF($D3="Windows","HCLadmin, Mistadmin",
             IF(OR($D3="Linux", $D3="AIX"), "root","")),"")</f>
        <v>root</v>
      </c>
      <c r="O3" s="2321"/>
      <c r="P3" s="875"/>
      <c r="Q3" s="875"/>
      <c r="R3" s="875"/>
      <c r="S3" s="875"/>
      <c r="T3" s="875"/>
      <c r="U3" s="112"/>
    </row>
    <row r="4" spans="1:21" ht="38.25">
      <c r="A4" s="1071" t="s">
        <v>5618</v>
      </c>
      <c r="B4" s="2298" t="str">
        <f t="shared" si="0"/>
        <v>New</v>
      </c>
      <c r="C4" s="2008" t="str">
        <f>IF($A4&lt;&gt;"",VLOOKUP($A4,IP!$A$4:$K$153,11,FALSE),"")</f>
        <v>twauslmgt01.app.test.hcscint.net</v>
      </c>
      <c r="D4" s="2008" t="str">
        <f t="shared" si="1"/>
        <v>Linux</v>
      </c>
      <c r="E4" s="2073" t="str">
        <f t="shared" si="2"/>
        <v>Linux Infrastructure Management</v>
      </c>
      <c r="F4" s="2073" t="str">
        <f t="shared" si="3"/>
        <v/>
      </c>
      <c r="G4" s="2073">
        <f t="shared" si="4"/>
        <v>0</v>
      </c>
      <c r="H4" s="2008" t="str">
        <f>IF($A4&lt;&gt;"",VLOOKUP($A4,IP!$A$4:$N$153,12,FALSE),"")</f>
        <v>ECS-Open Systems</v>
      </c>
      <c r="I4" s="2073" t="str">
        <f t="shared" si="5"/>
        <v/>
      </c>
      <c r="J4" s="2420"/>
      <c r="K4" s="3407" t="str">
        <f>IF($A4&lt;&gt;"",IFERROR(VLOOKUP(LEFT($A4,12),'Database (All)'!$A$7:$R$103,15,FALSE),""),
       IF($A4&lt;&gt;"",(VLOOKUP(LEFT($A4,12),'Database (All)'!$A$7:$R$103,15,FALSE)),""))</f>
        <v/>
      </c>
      <c r="L4" s="3409" t="str">
        <f>IF($A4&lt;&gt;"",IFERROR(VLOOKUP(LEFT($A4,12),'Database (All)'!$A$7:$R$103,18,FALSE),""),
                           IF($A4&lt;&gt;"",VLOOKUP(LEFT($A4,12),'Database (All)'!$A$7:$R$103,18,FALSE),""))</f>
        <v/>
      </c>
      <c r="M4" s="2448"/>
      <c r="N4" s="2435" t="str">
        <f t="shared" ref="N4:N67" si="6">IF($A4&lt;&gt;"",
        IF($D4="Windows","HCLadmin, Mistadmin",
             IF(OR($D4="Linux", $D4="AIX"), "root","")),"")</f>
        <v>root</v>
      </c>
      <c r="O4" s="2313"/>
      <c r="P4" s="1666"/>
      <c r="Q4" s="1666"/>
      <c r="R4" s="1666"/>
      <c r="S4" s="1666"/>
      <c r="T4" s="1666"/>
      <c r="U4" s="1827"/>
    </row>
    <row r="5" spans="1:21" ht="38.25">
      <c r="A5" s="1071" t="s">
        <v>5619</v>
      </c>
      <c r="B5" s="2298" t="str">
        <f t="shared" si="0"/>
        <v>New</v>
      </c>
      <c r="C5" s="2008" t="str">
        <f>IF($A5&lt;&gt;"",VLOOKUP($A5,IP!$A$4:$K$153,11,FALSE),"")</f>
        <v>awauslmgt01.app.alt.hcscint.net</v>
      </c>
      <c r="D5" s="2008" t="str">
        <f t="shared" si="1"/>
        <v>Linux</v>
      </c>
      <c r="E5" s="2073" t="str">
        <f t="shared" si="2"/>
        <v>Linux Infrastructure Management</v>
      </c>
      <c r="F5" s="2073" t="str">
        <f t="shared" si="3"/>
        <v/>
      </c>
      <c r="G5" s="2073">
        <f t="shared" si="4"/>
        <v>0</v>
      </c>
      <c r="H5" s="2008" t="str">
        <f>IF($A5&lt;&gt;"",VLOOKUP($A5,IP!$A$4:$N$153,12,FALSE),"")</f>
        <v>ECS-Open Systems</v>
      </c>
      <c r="I5" s="2073" t="str">
        <f t="shared" si="5"/>
        <v/>
      </c>
      <c r="J5" s="2420"/>
      <c r="K5" s="3407" t="str">
        <f>IF($A5&lt;&gt;"",IFERROR(VLOOKUP(LEFT($A5,12),'Database (All)'!$A$7:$R$103,15,FALSE),""),
       IF($A5&lt;&gt;"",(VLOOKUP(LEFT($A5,12),'Database (All)'!$A$7:$R$103,15,FALSE)),""))</f>
        <v/>
      </c>
      <c r="L5" s="3409" t="str">
        <f>IF($A5&lt;&gt;"",IFERROR(VLOOKUP(LEFT($A5,12),'Database (All)'!$A$7:$R$103,18,FALSE),""),
                           IF($A5&lt;&gt;"",VLOOKUP(LEFT($A5,12),'Database (All)'!$A$7:$R$103,18,FALSE),""))</f>
        <v/>
      </c>
      <c r="M5" s="2448"/>
      <c r="N5" s="2435" t="str">
        <f t="shared" si="6"/>
        <v>root</v>
      </c>
      <c r="O5" s="2313"/>
      <c r="P5" s="1666"/>
      <c r="Q5" s="1666"/>
      <c r="R5" s="1666"/>
      <c r="S5" s="1666"/>
      <c r="T5" s="1666"/>
      <c r="U5" s="1827"/>
    </row>
    <row r="6" spans="1:21" ht="38.25">
      <c r="A6" s="1071" t="s">
        <v>5620</v>
      </c>
      <c r="B6" s="2298" t="str">
        <f t="shared" si="0"/>
        <v>New</v>
      </c>
      <c r="C6" s="2008" t="str">
        <f>IF($A6&lt;&gt;"",VLOOKUP($A6,IP!$A$4:$K$153,11,FALSE),"")</f>
        <v>pwauslmgt01.app.hcscint.net</v>
      </c>
      <c r="D6" s="2008" t="str">
        <f t="shared" si="1"/>
        <v>Linux</v>
      </c>
      <c r="E6" s="2073" t="str">
        <f t="shared" si="2"/>
        <v>Linux Infrastructure Management</v>
      </c>
      <c r="F6" s="2073" t="str">
        <f t="shared" si="3"/>
        <v/>
      </c>
      <c r="G6" s="2073">
        <f t="shared" si="4"/>
        <v>0</v>
      </c>
      <c r="H6" s="2008" t="str">
        <f>IF($A6&lt;&gt;"",VLOOKUP($A6,IP!$A$4:$N$153,12,FALSE),"")</f>
        <v>ECS-Open Systems</v>
      </c>
      <c r="I6" s="2073" t="str">
        <f t="shared" si="5"/>
        <v/>
      </c>
      <c r="J6" s="2420"/>
      <c r="K6" s="3407" t="str">
        <f>IF($A6&lt;&gt;"",IFERROR(VLOOKUP(LEFT($A6,12),'Database (All)'!$A$7:$R$103,15,FALSE),""),
       IF($A6&lt;&gt;"",(VLOOKUP(LEFT($A6,12),'Database (All)'!$A$7:$R$103,15,FALSE)),""))</f>
        <v/>
      </c>
      <c r="L6" s="3409" t="str">
        <f>IF($A6&lt;&gt;"",IFERROR(VLOOKUP(LEFT($A6,12),'Database (All)'!$A$7:$R$103,18,FALSE),""),
                           IF($A6&lt;&gt;"",VLOOKUP(LEFT($A6,12),'Database (All)'!$A$7:$R$103,18,FALSE),""))</f>
        <v/>
      </c>
      <c r="M6" s="2448"/>
      <c r="N6" s="2435" t="str">
        <f t="shared" si="6"/>
        <v>root</v>
      </c>
      <c r="O6" s="2313"/>
      <c r="P6" s="1666"/>
      <c r="Q6" s="1666"/>
      <c r="R6" s="1666"/>
      <c r="S6" s="1666"/>
      <c r="T6" s="1666"/>
      <c r="U6" s="1827"/>
    </row>
    <row r="7" spans="1:21">
      <c r="A7" s="1071"/>
      <c r="B7" s="2298" t="str">
        <f t="shared" si="0"/>
        <v/>
      </c>
      <c r="C7" s="2008" t="str">
        <f>IF($A7&lt;&gt;"",VLOOKUP($A7,IP!$A$4:$K$153,11,FALSE),"")</f>
        <v/>
      </c>
      <c r="D7" s="2008" t="str">
        <f t="shared" si="1"/>
        <v/>
      </c>
      <c r="E7" s="2073" t="str">
        <f t="shared" si="2"/>
        <v/>
      </c>
      <c r="F7" s="2073" t="str">
        <f t="shared" si="3"/>
        <v/>
      </c>
      <c r="G7" s="2073" t="str">
        <f t="shared" si="4"/>
        <v/>
      </c>
      <c r="H7" s="2008" t="str">
        <f>IF($A7&lt;&gt;"",VLOOKUP($A7,IP!$A$4:$N$153,12,FALSE),"")</f>
        <v/>
      </c>
      <c r="I7" s="2073" t="str">
        <f t="shared" si="5"/>
        <v/>
      </c>
      <c r="J7" s="2420"/>
      <c r="K7" s="3407" t="str">
        <f>IF($A7&lt;&gt;"",IFERROR(VLOOKUP(LEFT($A7,12),'Database (All)'!$A$7:$R$103,15,FALSE),""),
       IF($A7&lt;&gt;"",(VLOOKUP(LEFT($A7,12),'Database (All)'!$A$7:$R$103,15,FALSE)),""))</f>
        <v/>
      </c>
      <c r="L7" s="3409" t="str">
        <f>IF($A7&lt;&gt;"",IFERROR(VLOOKUP(LEFT($A7,12),'Database (All)'!$A$7:$R$103,18,FALSE),""),
                           IF($A7&lt;&gt;"",VLOOKUP(LEFT($A7,12),'Database (All)'!$A$7:$R$103,18,FALSE),""))</f>
        <v/>
      </c>
      <c r="M7" s="2448"/>
      <c r="N7" s="2435" t="str">
        <f t="shared" si="6"/>
        <v/>
      </c>
      <c r="O7" s="2313"/>
      <c r="P7" s="1666"/>
      <c r="Q7" s="1666"/>
      <c r="R7" s="1666"/>
      <c r="S7" s="1666"/>
      <c r="T7" s="1666"/>
      <c r="U7" s="1827"/>
    </row>
    <row r="8" spans="1:21">
      <c r="A8" s="1071"/>
      <c r="B8" s="2298" t="str">
        <f t="shared" si="0"/>
        <v/>
      </c>
      <c r="C8" s="2008" t="str">
        <f>IF($A8&lt;&gt;"",VLOOKUP($A8,IP!$A$4:$K$153,11,FALSE),"")</f>
        <v/>
      </c>
      <c r="D8" s="2008" t="str">
        <f t="shared" si="1"/>
        <v/>
      </c>
      <c r="E8" s="2073" t="str">
        <f t="shared" si="2"/>
        <v/>
      </c>
      <c r="F8" s="2073" t="str">
        <f t="shared" si="3"/>
        <v/>
      </c>
      <c r="G8" s="2073" t="str">
        <f t="shared" si="4"/>
        <v/>
      </c>
      <c r="H8" s="2008" t="str">
        <f>IF($A8&lt;&gt;"",VLOOKUP($A8,IP!$A$4:$N$153,12,FALSE),"")</f>
        <v/>
      </c>
      <c r="I8" s="2073" t="str">
        <f t="shared" si="5"/>
        <v/>
      </c>
      <c r="J8" s="2420" t="s">
        <v>1055</v>
      </c>
      <c r="K8" s="3407" t="str">
        <f>IF($A8&lt;&gt;"",IFERROR(VLOOKUP(LEFT($A8,12),'Database (All)'!$A$7:$R$103,15,FALSE),""),
       IF($A8&lt;&gt;"",(VLOOKUP(LEFT($A8,12),'Database (All)'!$A$7:$R$103,15,FALSE)),""))</f>
        <v/>
      </c>
      <c r="L8" s="3409" t="str">
        <f>IF($A8&lt;&gt;"",IFERROR(VLOOKUP(LEFT($A8,12),'Database (All)'!$A$7:$R$103,18,FALSE),""),
                           IF($A8&lt;&gt;"",VLOOKUP(LEFT($A8,12),'Database (All)'!$A$7:$R$103,18,FALSE),""))</f>
        <v/>
      </c>
      <c r="M8" s="2448"/>
      <c r="N8" s="2435" t="str">
        <f t="shared" si="6"/>
        <v/>
      </c>
      <c r="O8" s="2313"/>
      <c r="P8" s="1666"/>
      <c r="Q8" s="1666"/>
      <c r="R8" s="1666"/>
      <c r="S8" s="1666"/>
      <c r="T8" s="1666"/>
      <c r="U8" s="1827"/>
    </row>
    <row r="9" spans="1:21">
      <c r="A9" s="1071"/>
      <c r="B9" s="2298" t="str">
        <f t="shared" si="0"/>
        <v/>
      </c>
      <c r="C9" s="2008" t="str">
        <f>IF($A9&lt;&gt;"",VLOOKUP($A9,IP!$A$4:$K$153,11,FALSE),"")</f>
        <v/>
      </c>
      <c r="D9" s="2008" t="str">
        <f t="shared" si="1"/>
        <v/>
      </c>
      <c r="E9" s="2073" t="str">
        <f t="shared" si="2"/>
        <v/>
      </c>
      <c r="F9" s="2073" t="str">
        <f t="shared" si="3"/>
        <v/>
      </c>
      <c r="G9" s="2073" t="str">
        <f t="shared" si="4"/>
        <v/>
      </c>
      <c r="H9" s="2008" t="str">
        <f>IF($A9&lt;&gt;"",VLOOKUP($A9,IP!$A$4:$N$153,12,FALSE),"")</f>
        <v/>
      </c>
      <c r="I9" s="2073" t="str">
        <f t="shared" si="5"/>
        <v/>
      </c>
      <c r="J9" s="2420"/>
      <c r="K9" s="3407" t="str">
        <f>IF($A9&lt;&gt;"",IFERROR(VLOOKUP(LEFT($A9,12),'Database (All)'!$A$7:$R$103,15,FALSE),""),
       IF($A9&lt;&gt;"",(VLOOKUP(LEFT($A9,12),'Database (All)'!$A$7:$R$103,15,FALSE)),""))</f>
        <v/>
      </c>
      <c r="L9" s="3409" t="str">
        <f>IF($A9&lt;&gt;"",IFERROR(VLOOKUP(LEFT($A9,12),'Database (All)'!$A$7:$R$103,18,FALSE),""),
                           IF($A9&lt;&gt;"",VLOOKUP(LEFT($A9,12),'Database (All)'!$A$7:$R$103,18,FALSE),""))</f>
        <v/>
      </c>
      <c r="M9" s="2448"/>
      <c r="N9" s="2435" t="str">
        <f t="shared" si="6"/>
        <v/>
      </c>
      <c r="O9" s="2313"/>
      <c r="P9" s="1666"/>
      <c r="Q9" s="1666"/>
      <c r="R9" s="1666"/>
      <c r="S9" s="1666"/>
      <c r="T9" s="1666"/>
      <c r="U9" s="1827"/>
    </row>
    <row r="10" spans="1:21">
      <c r="A10" s="1071"/>
      <c r="B10" s="2298" t="str">
        <f t="shared" si="0"/>
        <v/>
      </c>
      <c r="C10" s="2008" t="str">
        <f>IF($A10&lt;&gt;"",VLOOKUP($A10,IP!$A$4:$K$153,11,FALSE),"")</f>
        <v/>
      </c>
      <c r="D10" s="2008" t="str">
        <f t="shared" si="1"/>
        <v/>
      </c>
      <c r="E10" s="2073" t="str">
        <f t="shared" si="2"/>
        <v/>
      </c>
      <c r="F10" s="2073" t="str">
        <f t="shared" si="3"/>
        <v/>
      </c>
      <c r="G10" s="2073" t="str">
        <f t="shared" si="4"/>
        <v/>
      </c>
      <c r="H10" s="2008" t="str">
        <f>IF($A10&lt;&gt;"",VLOOKUP($A10,IP!$A$4:$N$153,12,FALSE),"")</f>
        <v/>
      </c>
      <c r="I10" s="2073" t="str">
        <f t="shared" si="5"/>
        <v/>
      </c>
      <c r="J10" s="2420"/>
      <c r="K10" s="3407" t="str">
        <f>IF($A10&lt;&gt;"",IFERROR(VLOOKUP(LEFT($A10,12),'Database (All)'!$A$7:$R$103,15,FALSE),""),
       IF($A10&lt;&gt;"",(VLOOKUP(LEFT($A10,12),'Database (All)'!$A$7:$R$103,15,FALSE)),""))</f>
        <v/>
      </c>
      <c r="L10" s="3409" t="str">
        <f>IF($A10&lt;&gt;"",IFERROR(VLOOKUP(LEFT($A10,12),'Database (All)'!$A$7:$R$103,18,FALSE),""),
                           IF($A10&lt;&gt;"",VLOOKUP(LEFT($A10,12),'Database (All)'!$A$7:$R$103,18,FALSE),""))</f>
        <v/>
      </c>
      <c r="M10" s="2448"/>
      <c r="N10" s="2435" t="str">
        <f t="shared" si="6"/>
        <v/>
      </c>
      <c r="O10" s="2313"/>
      <c r="P10" s="1666"/>
      <c r="Q10" s="1666"/>
      <c r="R10" s="1666"/>
      <c r="S10" s="1666"/>
      <c r="T10" s="1666"/>
      <c r="U10" s="1827"/>
    </row>
    <row r="11" spans="1:21">
      <c r="A11" s="1071"/>
      <c r="B11" s="2298" t="str">
        <f t="shared" si="0"/>
        <v/>
      </c>
      <c r="C11" s="2008" t="str">
        <f>IF($A11&lt;&gt;"",VLOOKUP($A11,IP!$A$4:$K$153,11,FALSE),"")</f>
        <v/>
      </c>
      <c r="D11" s="2008" t="str">
        <f t="shared" si="1"/>
        <v/>
      </c>
      <c r="E11" s="2073" t="str">
        <f t="shared" si="2"/>
        <v/>
      </c>
      <c r="F11" s="2073" t="str">
        <f t="shared" si="3"/>
        <v/>
      </c>
      <c r="G11" s="2073" t="str">
        <f t="shared" si="4"/>
        <v/>
      </c>
      <c r="H11" s="2008" t="str">
        <f>IF($A11&lt;&gt;"",VLOOKUP($A11,IP!$A$4:$N$153,12,FALSE),"")</f>
        <v/>
      </c>
      <c r="I11" s="2073" t="str">
        <f t="shared" si="5"/>
        <v/>
      </c>
      <c r="J11" s="2420"/>
      <c r="K11" s="3407" t="str">
        <f>IF($A11&lt;&gt;"",IFERROR(VLOOKUP(LEFT($A11,12),'Database (All)'!$A$7:$R$103,15,FALSE),""),
       IF($A11&lt;&gt;"",(VLOOKUP(LEFT($A11,12),'Database (All)'!$A$7:$R$103,15,FALSE)),""))</f>
        <v/>
      </c>
      <c r="L11" s="3409" t="str">
        <f>IF($A11&lt;&gt;"",IFERROR(VLOOKUP(LEFT($A11,12),'Database (All)'!$A$7:$R$103,18,FALSE),""),
                           IF($A11&lt;&gt;"",VLOOKUP(LEFT($A11,12),'Database (All)'!$A$7:$R$103,18,FALSE),""))</f>
        <v/>
      </c>
      <c r="M11" s="2448"/>
      <c r="N11" s="2435" t="str">
        <f t="shared" si="6"/>
        <v/>
      </c>
      <c r="O11" s="2313"/>
      <c r="P11" s="1666"/>
      <c r="Q11" s="1666"/>
      <c r="R11" s="1666"/>
      <c r="S11" s="1666"/>
      <c r="T11" s="1666"/>
      <c r="U11" s="1827"/>
    </row>
    <row r="12" spans="1:21">
      <c r="A12" s="1071"/>
      <c r="B12" s="2298" t="str">
        <f t="shared" si="0"/>
        <v/>
      </c>
      <c r="C12" s="2008" t="str">
        <f>IF($A12&lt;&gt;"",VLOOKUP($A12,IP!$A$4:$K$153,11,FALSE),"")</f>
        <v/>
      </c>
      <c r="D12" s="2008" t="str">
        <f t="shared" si="1"/>
        <v/>
      </c>
      <c r="E12" s="2073" t="str">
        <f t="shared" si="2"/>
        <v/>
      </c>
      <c r="F12" s="2073" t="str">
        <f t="shared" si="3"/>
        <v/>
      </c>
      <c r="G12" s="2073" t="str">
        <f t="shared" si="4"/>
        <v/>
      </c>
      <c r="H12" s="2008" t="str">
        <f>IF($A12&lt;&gt;"",VLOOKUP($A12,IP!$A$4:$N$153,12,FALSE),"")</f>
        <v/>
      </c>
      <c r="I12" s="2073" t="str">
        <f t="shared" si="5"/>
        <v/>
      </c>
      <c r="J12" s="2420"/>
      <c r="K12" s="3407" t="str">
        <f>IF($A12&lt;&gt;"",IFERROR(VLOOKUP(LEFT($A12,12),'Database (All)'!$A$7:$R$103,15,FALSE),""),
       IF($A12&lt;&gt;"",(VLOOKUP(LEFT($A12,12),'Database (All)'!$A$7:$R$103,15,FALSE)),""))</f>
        <v/>
      </c>
      <c r="L12" s="3409" t="str">
        <f>IF($A12&lt;&gt;"",IFERROR(VLOOKUP(LEFT($A12,12),'Database (All)'!$A$7:$R$103,18,FALSE),""),
                           IF($A12&lt;&gt;"",VLOOKUP(LEFT($A12,12),'Database (All)'!$A$7:$R$103,18,FALSE),""))</f>
        <v/>
      </c>
      <c r="M12" s="2448"/>
      <c r="N12" s="2435" t="str">
        <f t="shared" si="6"/>
        <v/>
      </c>
      <c r="O12" s="2313"/>
      <c r="P12" s="1666"/>
      <c r="Q12" s="1666"/>
      <c r="R12" s="1666"/>
      <c r="S12" s="1666"/>
      <c r="T12" s="1666"/>
      <c r="U12" s="1827"/>
    </row>
    <row r="13" spans="1:21">
      <c r="A13" s="1071"/>
      <c r="B13" s="2298" t="str">
        <f t="shared" si="0"/>
        <v/>
      </c>
      <c r="C13" s="2008" t="str">
        <f>IF($A13&lt;&gt;"",VLOOKUP($A13,IP!$A$4:$K$153,11,FALSE),"")</f>
        <v/>
      </c>
      <c r="D13" s="2008" t="str">
        <f t="shared" si="1"/>
        <v/>
      </c>
      <c r="E13" s="2073" t="str">
        <f t="shared" si="2"/>
        <v/>
      </c>
      <c r="F13" s="2073" t="str">
        <f t="shared" si="3"/>
        <v/>
      </c>
      <c r="G13" s="2073" t="str">
        <f t="shared" si="4"/>
        <v/>
      </c>
      <c r="H13" s="2008" t="str">
        <f>IF($A13&lt;&gt;"",VLOOKUP($A13,IP!$A$4:$N$153,12,FALSE),"")</f>
        <v/>
      </c>
      <c r="I13" s="2073" t="str">
        <f t="shared" si="5"/>
        <v/>
      </c>
      <c r="J13" s="2420"/>
      <c r="K13" s="3407" t="str">
        <f>IF($A13&lt;&gt;"",IFERROR(VLOOKUP(LEFT($A13,12),'Database (All)'!$A$7:$R$103,15,FALSE),""),
       IF($A13&lt;&gt;"",(VLOOKUP(LEFT($A13,12),'Database (All)'!$A$7:$R$103,15,FALSE)),""))</f>
        <v/>
      </c>
      <c r="L13" s="3409" t="str">
        <f>IF($A13&lt;&gt;"",IFERROR(VLOOKUP(LEFT($A13,12),'Database (All)'!$A$7:$R$103,18,FALSE),""),
                           IF($A13&lt;&gt;"",VLOOKUP(LEFT($A13,12),'Database (All)'!$A$7:$R$103,18,FALSE),""))</f>
        <v/>
      </c>
      <c r="M13" s="2448"/>
      <c r="N13" s="2435" t="str">
        <f t="shared" si="6"/>
        <v/>
      </c>
      <c r="O13" s="2313"/>
      <c r="P13" s="1666"/>
      <c r="Q13" s="1666"/>
      <c r="R13" s="1666"/>
      <c r="S13" s="1666"/>
      <c r="T13" s="1666"/>
      <c r="U13" s="1827"/>
    </row>
    <row r="14" spans="1:21">
      <c r="A14" s="1071"/>
      <c r="B14" s="2298" t="str">
        <f t="shared" si="0"/>
        <v/>
      </c>
      <c r="C14" s="2008" t="str">
        <f>IF($A14&lt;&gt;"",VLOOKUP($A14,IP!$A$4:$K$153,11,FALSE),"")</f>
        <v/>
      </c>
      <c r="D14" s="2008" t="str">
        <f t="shared" si="1"/>
        <v/>
      </c>
      <c r="E14" s="2073" t="str">
        <f t="shared" si="2"/>
        <v/>
      </c>
      <c r="F14" s="2073" t="str">
        <f t="shared" si="3"/>
        <v/>
      </c>
      <c r="G14" s="2073" t="str">
        <f t="shared" si="4"/>
        <v/>
      </c>
      <c r="H14" s="2008" t="str">
        <f>IF($A14&lt;&gt;"",VLOOKUP($A14,IP!$A$4:$N$153,12,FALSE),"")</f>
        <v/>
      </c>
      <c r="I14" s="2073" t="str">
        <f t="shared" si="5"/>
        <v/>
      </c>
      <c r="J14" s="2420"/>
      <c r="K14" s="3407" t="str">
        <f>IF($A14&lt;&gt;"",IFERROR(VLOOKUP(LEFT($A14,12),'Database (All)'!$A$7:$R$103,15,FALSE),""),
       IF($A14&lt;&gt;"",(VLOOKUP(LEFT($A14,12),'Database (All)'!$A$7:$R$103,15,FALSE)),""))</f>
        <v/>
      </c>
      <c r="L14" s="3409" t="str">
        <f>IF($A14&lt;&gt;"",IFERROR(VLOOKUP(LEFT($A14,12),'Database (All)'!$A$7:$R$103,18,FALSE),""),
                           IF($A14&lt;&gt;"",VLOOKUP(LEFT($A14,12),'Database (All)'!$A$7:$R$103,18,FALSE),""))</f>
        <v/>
      </c>
      <c r="M14" s="2448"/>
      <c r="N14" s="2435" t="str">
        <f t="shared" si="6"/>
        <v/>
      </c>
      <c r="O14" s="2313"/>
      <c r="P14" s="1666"/>
      <c r="Q14" s="1666"/>
      <c r="R14" s="1666"/>
      <c r="S14" s="1666"/>
      <c r="T14" s="1666"/>
      <c r="U14" s="1827"/>
    </row>
    <row r="15" spans="1:21">
      <c r="A15" s="1071"/>
      <c r="B15" s="2298" t="str">
        <f t="shared" si="0"/>
        <v/>
      </c>
      <c r="C15" s="2008" t="str">
        <f>IF($A15&lt;&gt;"",VLOOKUP($A15,IP!$A$4:$K$153,11,FALSE),"")</f>
        <v/>
      </c>
      <c r="D15" s="2008" t="str">
        <f t="shared" si="1"/>
        <v/>
      </c>
      <c r="E15" s="2073" t="str">
        <f t="shared" si="2"/>
        <v/>
      </c>
      <c r="F15" s="2073" t="str">
        <f t="shared" si="3"/>
        <v/>
      </c>
      <c r="G15" s="2073" t="str">
        <f t="shared" si="4"/>
        <v/>
      </c>
      <c r="H15" s="2008" t="str">
        <f>IF($A15&lt;&gt;"",VLOOKUP($A15,IP!$A$4:$N$153,12,FALSE),"")</f>
        <v/>
      </c>
      <c r="I15" s="2073" t="str">
        <f t="shared" si="5"/>
        <v/>
      </c>
      <c r="J15" s="2420"/>
      <c r="K15" s="3407" t="str">
        <f>IF($A15&lt;&gt;"",IFERROR(VLOOKUP(LEFT($A15,12),'Database (All)'!$A$7:$R$103,15,FALSE),""),
       IF($A15&lt;&gt;"",(VLOOKUP(LEFT($A15,12),'Database (All)'!$A$7:$R$103,15,FALSE)),""))</f>
        <v/>
      </c>
      <c r="L15" s="3409" t="str">
        <f>IF($A15&lt;&gt;"",IFERROR(VLOOKUP(LEFT($A15,12),'Database (All)'!$A$7:$R$103,18,FALSE),""),
                           IF($A15&lt;&gt;"",VLOOKUP(LEFT($A15,12),'Database (All)'!$A$7:$R$103,18,FALSE),""))</f>
        <v/>
      </c>
      <c r="M15" s="2448"/>
      <c r="N15" s="2435" t="str">
        <f t="shared" si="6"/>
        <v/>
      </c>
      <c r="O15" s="2313"/>
      <c r="P15" s="1666"/>
      <c r="Q15" s="1666"/>
      <c r="R15" s="1666"/>
      <c r="S15" s="1666"/>
      <c r="T15" s="1666"/>
      <c r="U15" s="1827"/>
    </row>
    <row r="16" spans="1:21">
      <c r="A16" s="1071"/>
      <c r="B16" s="2298" t="str">
        <f t="shared" si="0"/>
        <v/>
      </c>
      <c r="C16" s="2008" t="str">
        <f>IF($A16&lt;&gt;"",VLOOKUP($A16,IP!$A$4:$K$153,11,FALSE),"")</f>
        <v/>
      </c>
      <c r="D16" s="2008" t="str">
        <f t="shared" si="1"/>
        <v/>
      </c>
      <c r="E16" s="2073" t="str">
        <f t="shared" si="2"/>
        <v/>
      </c>
      <c r="F16" s="2073" t="str">
        <f t="shared" si="3"/>
        <v/>
      </c>
      <c r="G16" s="2073" t="str">
        <f t="shared" si="4"/>
        <v/>
      </c>
      <c r="H16" s="2008" t="str">
        <f>IF($A16&lt;&gt;"",VLOOKUP($A16,IP!$A$4:$N$153,12,FALSE),"")</f>
        <v/>
      </c>
      <c r="I16" s="2073" t="str">
        <f t="shared" si="5"/>
        <v/>
      </c>
      <c r="J16" s="2420"/>
      <c r="K16" s="3407" t="str">
        <f>IF($A16&lt;&gt;"",IFERROR(VLOOKUP(LEFT($A16,12),'Database (All)'!$A$7:$R$103,15,FALSE),""),
       IF($A16&lt;&gt;"",(VLOOKUP(LEFT($A16,12),'Database (All)'!$A$7:$R$103,15,FALSE)),""))</f>
        <v/>
      </c>
      <c r="L16" s="3409" t="str">
        <f>IF($A16&lt;&gt;"",IFERROR(VLOOKUP(LEFT($A16,12),'Database (All)'!$A$7:$R$103,18,FALSE),""),
                           IF($A16&lt;&gt;"",VLOOKUP(LEFT($A16,12),'Database (All)'!$A$7:$R$103,18,FALSE),""))</f>
        <v/>
      </c>
      <c r="M16" s="2448"/>
      <c r="N16" s="2435" t="str">
        <f t="shared" si="6"/>
        <v/>
      </c>
      <c r="O16" s="2313"/>
      <c r="P16" s="1666"/>
      <c r="Q16" s="1666"/>
      <c r="R16" s="1666"/>
      <c r="S16" s="1666"/>
      <c r="T16" s="1666"/>
      <c r="U16" s="1827"/>
    </row>
    <row r="17" spans="1:21">
      <c r="A17" s="1071"/>
      <c r="B17" s="2298" t="str">
        <f t="shared" si="0"/>
        <v/>
      </c>
      <c r="C17" s="2008" t="str">
        <f>IF($A17&lt;&gt;"",VLOOKUP($A17,IP!$A$4:$K$153,11,FALSE),"")</f>
        <v/>
      </c>
      <c r="D17" s="2008" t="str">
        <f t="shared" si="1"/>
        <v/>
      </c>
      <c r="E17" s="2073" t="str">
        <f t="shared" si="2"/>
        <v/>
      </c>
      <c r="F17" s="2073" t="str">
        <f t="shared" si="3"/>
        <v/>
      </c>
      <c r="G17" s="2073" t="str">
        <f t="shared" si="4"/>
        <v/>
      </c>
      <c r="H17" s="2008" t="str">
        <f>IF($A17&lt;&gt;"",VLOOKUP($A17,IP!$A$4:$N$153,12,FALSE),"")</f>
        <v/>
      </c>
      <c r="I17" s="2073" t="str">
        <f t="shared" si="5"/>
        <v/>
      </c>
      <c r="J17" s="2420"/>
      <c r="K17" s="3407" t="str">
        <f>IF($A17&lt;&gt;"",IFERROR(VLOOKUP(LEFT($A17,12),'Database (All)'!$A$7:$R$103,15,FALSE),""),
       IF($A17&lt;&gt;"",(VLOOKUP(LEFT($A17,12),'Database (All)'!$A$7:$R$103,15,FALSE)),""))</f>
        <v/>
      </c>
      <c r="L17" s="3409" t="str">
        <f>IF($A17&lt;&gt;"",IFERROR(VLOOKUP(LEFT($A17,12),'Database (All)'!$A$7:$R$103,18,FALSE),""),
                           IF($A17&lt;&gt;"",VLOOKUP(LEFT($A17,12),'Database (All)'!$A$7:$R$103,18,FALSE),""))</f>
        <v/>
      </c>
      <c r="M17" s="2448"/>
      <c r="N17" s="2435" t="str">
        <f t="shared" si="6"/>
        <v/>
      </c>
      <c r="O17" s="2313"/>
      <c r="P17" s="1666"/>
      <c r="Q17" s="1666"/>
      <c r="R17" s="1666"/>
      <c r="S17" s="1666"/>
      <c r="T17" s="1666"/>
      <c r="U17" s="1827"/>
    </row>
    <row r="18" spans="1:21">
      <c r="A18" s="1071"/>
      <c r="B18" s="2298" t="str">
        <f t="shared" si="0"/>
        <v/>
      </c>
      <c r="C18" s="2008" t="str">
        <f>IF($A18&lt;&gt;"",VLOOKUP($A18,IP!$A$4:$K$153,11,FALSE),"")</f>
        <v/>
      </c>
      <c r="D18" s="2008" t="str">
        <f t="shared" si="1"/>
        <v/>
      </c>
      <c r="E18" s="2073" t="str">
        <f t="shared" si="2"/>
        <v/>
      </c>
      <c r="F18" s="2073" t="str">
        <f t="shared" si="3"/>
        <v/>
      </c>
      <c r="G18" s="2073" t="str">
        <f t="shared" si="4"/>
        <v/>
      </c>
      <c r="H18" s="2008" t="str">
        <f>IF($A18&lt;&gt;"",VLOOKUP($A18,IP!$A$4:$N$153,12,FALSE),"")</f>
        <v/>
      </c>
      <c r="I18" s="2073" t="str">
        <f t="shared" si="5"/>
        <v/>
      </c>
      <c r="J18" s="2420"/>
      <c r="K18" s="3407" t="str">
        <f>IF($A18&lt;&gt;"",IFERROR(VLOOKUP(LEFT($A18,12),'Database (All)'!$A$7:$R$103,15,FALSE),""),
       IF($A18&lt;&gt;"",(VLOOKUP(LEFT($A18,12),'Database (All)'!$A$7:$R$103,15,FALSE)),""))</f>
        <v/>
      </c>
      <c r="L18" s="3409" t="str">
        <f>IF($A18&lt;&gt;"",IFERROR(VLOOKUP(LEFT($A18,12),'Database (All)'!$A$7:$R$103,18,FALSE),""),
                           IF($A18&lt;&gt;"",VLOOKUP(LEFT($A18,12),'Database (All)'!$A$7:$R$103,18,FALSE),""))</f>
        <v/>
      </c>
      <c r="M18" s="2448"/>
      <c r="N18" s="2435" t="str">
        <f t="shared" si="6"/>
        <v/>
      </c>
      <c r="O18" s="2313"/>
      <c r="P18" s="1666"/>
      <c r="Q18" s="1666"/>
      <c r="R18" s="1666"/>
      <c r="S18" s="1666"/>
      <c r="T18" s="1666"/>
      <c r="U18" s="1827"/>
    </row>
    <row r="19" spans="1:21">
      <c r="A19" s="1071"/>
      <c r="B19" s="2298" t="str">
        <f t="shared" si="0"/>
        <v/>
      </c>
      <c r="C19" s="2008" t="str">
        <f>IF($A19&lt;&gt;"",VLOOKUP($A19,IP!$A$4:$K$153,11,FALSE),"")</f>
        <v/>
      </c>
      <c r="D19" s="2008" t="str">
        <f t="shared" si="1"/>
        <v/>
      </c>
      <c r="E19" s="2073" t="str">
        <f t="shared" si="2"/>
        <v/>
      </c>
      <c r="F19" s="2073" t="str">
        <f t="shared" si="3"/>
        <v/>
      </c>
      <c r="G19" s="2073" t="str">
        <f t="shared" si="4"/>
        <v/>
      </c>
      <c r="H19" s="2008" t="str">
        <f>IF($A19&lt;&gt;"",VLOOKUP($A19,IP!$A$4:$N$153,12,FALSE),"")</f>
        <v/>
      </c>
      <c r="I19" s="2073" t="str">
        <f t="shared" si="5"/>
        <v/>
      </c>
      <c r="J19" s="2420"/>
      <c r="K19" s="3407" t="str">
        <f>IF($A19&lt;&gt;"",IFERROR(VLOOKUP(LEFT($A19,12),'Database (All)'!$A$7:$R$103,15,FALSE),""),
       IF($A19&lt;&gt;"",(VLOOKUP(LEFT($A19,12),'Database (All)'!$A$7:$R$103,15,FALSE)),""))</f>
        <v/>
      </c>
      <c r="L19" s="3409" t="str">
        <f>IF($A19&lt;&gt;"",IFERROR(VLOOKUP(LEFT($A19,12),'Database (All)'!$A$7:$R$103,18,FALSE),""),
                           IF($A19&lt;&gt;"",VLOOKUP(LEFT($A19,12),'Database (All)'!$A$7:$R$103,18,FALSE),""))</f>
        <v/>
      </c>
      <c r="M19" s="2448"/>
      <c r="N19" s="2435" t="str">
        <f t="shared" si="6"/>
        <v/>
      </c>
      <c r="O19" s="2313"/>
      <c r="P19" s="1666"/>
      <c r="Q19" s="1666"/>
      <c r="R19" s="1666"/>
      <c r="S19" s="1666"/>
      <c r="T19" s="1666"/>
      <c r="U19" s="1827"/>
    </row>
    <row r="20" spans="1:21">
      <c r="A20" s="1071"/>
      <c r="B20" s="2298" t="str">
        <f t="shared" si="0"/>
        <v/>
      </c>
      <c r="C20" s="2008" t="str">
        <f>IF($A20&lt;&gt;"",VLOOKUP($A20,IP!$A$4:$K$153,11,FALSE),"")</f>
        <v/>
      </c>
      <c r="D20" s="2008" t="str">
        <f t="shared" si="1"/>
        <v/>
      </c>
      <c r="E20" s="2073" t="str">
        <f t="shared" si="2"/>
        <v/>
      </c>
      <c r="F20" s="2073" t="str">
        <f t="shared" si="3"/>
        <v/>
      </c>
      <c r="G20" s="2073" t="str">
        <f t="shared" si="4"/>
        <v/>
      </c>
      <c r="H20" s="2008" t="str">
        <f>IF($A20&lt;&gt;"",VLOOKUP($A20,IP!$A$4:$N$153,12,FALSE),"")</f>
        <v/>
      </c>
      <c r="I20" s="2073" t="str">
        <f t="shared" si="5"/>
        <v/>
      </c>
      <c r="J20" s="2420"/>
      <c r="K20" s="3407" t="str">
        <f>IF($A20&lt;&gt;"",IFERROR(VLOOKUP(LEFT($A20,12),'Database (All)'!$A$7:$R$103,15,FALSE),""),
       IF($A20&lt;&gt;"",(VLOOKUP(LEFT($A20,12),'Database (All)'!$A$7:$R$103,15,FALSE)),""))</f>
        <v/>
      </c>
      <c r="L20" s="3409" t="str">
        <f>IF($A20&lt;&gt;"",IFERROR(VLOOKUP(LEFT($A20,12),'Database (All)'!$A$7:$R$103,18,FALSE),""),
                           IF($A20&lt;&gt;"",VLOOKUP(LEFT($A20,12),'Database (All)'!$A$7:$R$103,18,FALSE),""))</f>
        <v/>
      </c>
      <c r="M20" s="2448"/>
      <c r="N20" s="2435" t="str">
        <f t="shared" si="6"/>
        <v/>
      </c>
      <c r="O20" s="2313"/>
      <c r="P20" s="1666"/>
      <c r="Q20" s="1666"/>
      <c r="R20" s="1666"/>
      <c r="S20" s="1666"/>
      <c r="T20" s="1666"/>
      <c r="U20" s="1827"/>
    </row>
    <row r="21" spans="1:21">
      <c r="A21" s="1071"/>
      <c r="B21" s="2298" t="str">
        <f t="shared" si="0"/>
        <v/>
      </c>
      <c r="C21" s="2008" t="str">
        <f>IF($A21&lt;&gt;"",VLOOKUP($A21,IP!$A$4:$K$153,11,FALSE),"")</f>
        <v/>
      </c>
      <c r="D21" s="2008" t="str">
        <f t="shared" si="1"/>
        <v/>
      </c>
      <c r="E21" s="2073" t="str">
        <f t="shared" si="2"/>
        <v/>
      </c>
      <c r="F21" s="2073" t="str">
        <f t="shared" si="3"/>
        <v/>
      </c>
      <c r="G21" s="2073" t="str">
        <f t="shared" si="4"/>
        <v/>
      </c>
      <c r="H21" s="2008" t="str">
        <f>IF($A21&lt;&gt;"",VLOOKUP($A21,IP!$A$4:$N$153,12,FALSE),"")</f>
        <v/>
      </c>
      <c r="I21" s="2073" t="str">
        <f t="shared" si="5"/>
        <v/>
      </c>
      <c r="J21" s="2420"/>
      <c r="K21" s="3407" t="str">
        <f>IF($A21&lt;&gt;"",IFERROR(VLOOKUP(LEFT($A21,12),'Database (All)'!$A$7:$R$103,15,FALSE),""),
       IF($A21&lt;&gt;"",(VLOOKUP(LEFT($A21,12),'Database (All)'!$A$7:$R$103,15,FALSE)),""))</f>
        <v/>
      </c>
      <c r="L21" s="3409" t="str">
        <f>IF($A21&lt;&gt;"",IFERROR(VLOOKUP(LEFT($A21,12),'Database (All)'!$A$7:$R$103,18,FALSE),""),
                           IF($A21&lt;&gt;"",VLOOKUP(LEFT($A21,12),'Database (All)'!$A$7:$R$103,18,FALSE),""))</f>
        <v/>
      </c>
      <c r="M21" s="2448"/>
      <c r="N21" s="2435" t="str">
        <f t="shared" si="6"/>
        <v/>
      </c>
      <c r="O21" s="2313"/>
      <c r="P21" s="1666"/>
      <c r="Q21" s="1666"/>
      <c r="R21" s="1666"/>
      <c r="S21" s="1666"/>
      <c r="T21" s="1666"/>
      <c r="U21" s="1827"/>
    </row>
    <row r="22" spans="1:21">
      <c r="A22" s="1071"/>
      <c r="B22" s="2298" t="str">
        <f t="shared" si="0"/>
        <v/>
      </c>
      <c r="C22" s="2008" t="str">
        <f>IF($A22&lt;&gt;"",VLOOKUP($A22,IP!$A$4:$K$153,11,FALSE),"")</f>
        <v/>
      </c>
      <c r="D22" s="2008" t="str">
        <f t="shared" si="1"/>
        <v/>
      </c>
      <c r="E22" s="2073" t="str">
        <f t="shared" si="2"/>
        <v/>
      </c>
      <c r="F22" s="2073" t="str">
        <f t="shared" si="3"/>
        <v/>
      </c>
      <c r="G22" s="2073" t="str">
        <f t="shared" si="4"/>
        <v/>
      </c>
      <c r="H22" s="2008" t="str">
        <f>IF($A22&lt;&gt;"",VLOOKUP($A22,IP!$A$4:$N$153,12,FALSE),"")</f>
        <v/>
      </c>
      <c r="I22" s="2073" t="str">
        <f t="shared" si="5"/>
        <v/>
      </c>
      <c r="J22" s="2420"/>
      <c r="K22" s="3407" t="str">
        <f>IF($A22&lt;&gt;"",IFERROR(VLOOKUP(LEFT($A22,12),'Database (All)'!$A$7:$R$103,15,FALSE),""),
       IF($A22&lt;&gt;"",(VLOOKUP(LEFT($A22,12),'Database (All)'!$A$7:$R$103,15,FALSE)),""))</f>
        <v/>
      </c>
      <c r="L22" s="3409" t="str">
        <f>IF($A22&lt;&gt;"",IFERROR(VLOOKUP(LEFT($A22,12),'Database (All)'!$A$7:$R$103,18,FALSE),""),
                           IF($A22&lt;&gt;"",VLOOKUP(LEFT($A22,12),'Database (All)'!$A$7:$R$103,18,FALSE),""))</f>
        <v/>
      </c>
      <c r="M22" s="2448"/>
      <c r="N22" s="2435" t="str">
        <f t="shared" si="6"/>
        <v/>
      </c>
      <c r="O22" s="2313"/>
      <c r="P22" s="1666"/>
      <c r="Q22" s="1666"/>
      <c r="R22" s="1666"/>
      <c r="S22" s="1666"/>
      <c r="T22" s="1666"/>
      <c r="U22" s="1827"/>
    </row>
    <row r="23" spans="1:21">
      <c r="A23" s="1071"/>
      <c r="B23" s="2298" t="str">
        <f t="shared" si="0"/>
        <v/>
      </c>
      <c r="C23" s="2008" t="str">
        <f>IF($A23&lt;&gt;"",VLOOKUP($A23,IP!$A$4:$K$153,11,FALSE),"")</f>
        <v/>
      </c>
      <c r="D23" s="2008" t="str">
        <f t="shared" si="1"/>
        <v/>
      </c>
      <c r="E23" s="2073" t="str">
        <f t="shared" si="2"/>
        <v/>
      </c>
      <c r="F23" s="2073" t="str">
        <f t="shared" si="3"/>
        <v/>
      </c>
      <c r="G23" s="2073" t="str">
        <f t="shared" si="4"/>
        <v/>
      </c>
      <c r="H23" s="2008" t="str">
        <f>IF($A23&lt;&gt;"",VLOOKUP($A23,IP!$A$4:$N$153,12,FALSE),"")</f>
        <v/>
      </c>
      <c r="I23" s="2073" t="str">
        <f t="shared" si="5"/>
        <v/>
      </c>
      <c r="J23" s="2420"/>
      <c r="K23" s="3407" t="str">
        <f>IF($A23&lt;&gt;"",IFERROR(VLOOKUP(LEFT($A23,12),'Database (All)'!$A$7:$R$103,15,FALSE),""),
       IF($A23&lt;&gt;"",(VLOOKUP(LEFT($A23,12),'Database (All)'!$A$7:$R$103,15,FALSE)),""))</f>
        <v/>
      </c>
      <c r="L23" s="3409" t="str">
        <f>IF($A23&lt;&gt;"",IFERROR(VLOOKUP(LEFT($A23,12),'Database (All)'!$A$7:$R$103,18,FALSE),""),
                           IF($A23&lt;&gt;"",VLOOKUP(LEFT($A23,12),'Database (All)'!$A$7:$R$103,18,FALSE),""))</f>
        <v/>
      </c>
      <c r="M23" s="2448"/>
      <c r="N23" s="2435" t="str">
        <f t="shared" si="6"/>
        <v/>
      </c>
      <c r="O23" s="2313"/>
      <c r="P23" s="1666"/>
      <c r="Q23" s="1666"/>
      <c r="R23" s="1666"/>
      <c r="S23" s="1666"/>
      <c r="T23" s="1666"/>
      <c r="U23" s="1827"/>
    </row>
    <row r="24" spans="1:21">
      <c r="A24" s="1071"/>
      <c r="B24" s="2298" t="str">
        <f t="shared" si="0"/>
        <v/>
      </c>
      <c r="C24" s="2008" t="str">
        <f>IF($A24&lt;&gt;"",VLOOKUP($A24,IP!$A$4:$K$153,11,FALSE),"")</f>
        <v/>
      </c>
      <c r="D24" s="2008" t="str">
        <f t="shared" si="1"/>
        <v/>
      </c>
      <c r="E24" s="2073" t="str">
        <f t="shared" si="2"/>
        <v/>
      </c>
      <c r="F24" s="2073" t="str">
        <f t="shared" si="3"/>
        <v/>
      </c>
      <c r="G24" s="2073" t="str">
        <f t="shared" si="4"/>
        <v/>
      </c>
      <c r="H24" s="2008" t="str">
        <f>IF($A24&lt;&gt;"",VLOOKUP($A24,IP!$A$4:$N$153,12,FALSE),"")</f>
        <v/>
      </c>
      <c r="I24" s="2073" t="str">
        <f t="shared" si="5"/>
        <v/>
      </c>
      <c r="J24" s="2420"/>
      <c r="K24" s="3407" t="str">
        <f>IF($A24&lt;&gt;"",IFERROR(VLOOKUP(LEFT($A24,12),'Database (All)'!$A$7:$R$103,15,FALSE),""),
       IF($A24&lt;&gt;"",(VLOOKUP(LEFT($A24,12),'Database (All)'!$A$7:$R$103,15,FALSE)),""))</f>
        <v/>
      </c>
      <c r="L24" s="3409" t="str">
        <f>IF($A24&lt;&gt;"",IFERROR(VLOOKUP(LEFT($A24,12),'Database (All)'!$A$7:$R$103,18,FALSE),""),
                           IF($A24&lt;&gt;"",VLOOKUP(LEFT($A24,12),'Database (All)'!$A$7:$R$103,18,FALSE),""))</f>
        <v/>
      </c>
      <c r="M24" s="2448"/>
      <c r="N24" s="2435" t="str">
        <f t="shared" si="6"/>
        <v/>
      </c>
      <c r="O24" s="2313"/>
      <c r="P24" s="1666"/>
      <c r="Q24" s="1666"/>
      <c r="R24" s="1666"/>
      <c r="S24" s="1666"/>
      <c r="T24" s="1666"/>
      <c r="U24" s="1827"/>
    </row>
    <row r="25" spans="1:21">
      <c r="A25" s="1071"/>
      <c r="B25" s="2298" t="str">
        <f t="shared" si="0"/>
        <v/>
      </c>
      <c r="C25" s="2008" t="str">
        <f>IF($A25&lt;&gt;"",VLOOKUP($A25,IP!$A$4:$K$153,11,FALSE),"")</f>
        <v/>
      </c>
      <c r="D25" s="2008" t="str">
        <f t="shared" si="1"/>
        <v/>
      </c>
      <c r="E25" s="2073" t="str">
        <f t="shared" si="2"/>
        <v/>
      </c>
      <c r="F25" s="2073" t="str">
        <f t="shared" si="3"/>
        <v/>
      </c>
      <c r="G25" s="2073" t="str">
        <f t="shared" si="4"/>
        <v/>
      </c>
      <c r="H25" s="2008" t="str">
        <f>IF($A25&lt;&gt;"",VLOOKUP($A25,IP!$A$4:$N$153,12,FALSE),"")</f>
        <v/>
      </c>
      <c r="I25" s="2073" t="str">
        <f t="shared" si="5"/>
        <v/>
      </c>
      <c r="J25" s="2420"/>
      <c r="K25" s="3407" t="str">
        <f>IF($A25&lt;&gt;"",IFERROR(VLOOKUP(LEFT($A25,12),'Database (All)'!$A$7:$R$103,15,FALSE),""),
       IF($A25&lt;&gt;"",(VLOOKUP(LEFT($A25,12),'Database (All)'!$A$7:$R$103,15,FALSE)),""))</f>
        <v/>
      </c>
      <c r="L25" s="3409" t="str">
        <f>IF($A25&lt;&gt;"",IFERROR(VLOOKUP(LEFT($A25,12),'Database (All)'!$A$7:$R$103,18,FALSE),""),
                           IF($A25&lt;&gt;"",VLOOKUP(LEFT($A25,12),'Database (All)'!$A$7:$R$103,18,FALSE),""))</f>
        <v/>
      </c>
      <c r="M25" s="2448"/>
      <c r="N25" s="2435" t="str">
        <f t="shared" si="6"/>
        <v/>
      </c>
      <c r="O25" s="2313"/>
      <c r="P25" s="1666"/>
      <c r="Q25" s="1666"/>
      <c r="R25" s="1666"/>
      <c r="S25" s="1666"/>
      <c r="T25" s="1666"/>
      <c r="U25" s="1827"/>
    </row>
    <row r="26" spans="1:21">
      <c r="A26" s="1071"/>
      <c r="B26" s="2298" t="str">
        <f t="shared" si="0"/>
        <v/>
      </c>
      <c r="C26" s="2008" t="str">
        <f>IF($A26&lt;&gt;"",VLOOKUP($A26,IP!$A$4:$K$153,11,FALSE),"")</f>
        <v/>
      </c>
      <c r="D26" s="2008" t="str">
        <f t="shared" si="1"/>
        <v/>
      </c>
      <c r="E26" s="2073" t="str">
        <f t="shared" si="2"/>
        <v/>
      </c>
      <c r="F26" s="2073" t="str">
        <f t="shared" si="3"/>
        <v/>
      </c>
      <c r="G26" s="2073" t="str">
        <f t="shared" si="4"/>
        <v/>
      </c>
      <c r="H26" s="2008" t="str">
        <f>IF($A26&lt;&gt;"",VLOOKUP($A26,IP!$A$4:$N$153,12,FALSE),"")</f>
        <v/>
      </c>
      <c r="I26" s="2073" t="str">
        <f t="shared" si="5"/>
        <v/>
      </c>
      <c r="J26" s="2420"/>
      <c r="K26" s="3407" t="str">
        <f>IF($A26&lt;&gt;"",IFERROR(VLOOKUP(LEFT($A26,12),'Database (All)'!$A$7:$R$103,15,FALSE),""),
       IF($A26&lt;&gt;"",(VLOOKUP(LEFT($A26,12),'Database (All)'!$A$7:$R$103,15,FALSE)),""))</f>
        <v/>
      </c>
      <c r="L26" s="3409" t="str">
        <f>IF($A26&lt;&gt;"",IFERROR(VLOOKUP(LEFT($A26,12),'Database (All)'!$A$7:$R$103,18,FALSE),""),
                           IF($A26&lt;&gt;"",VLOOKUP(LEFT($A26,12),'Database (All)'!$A$7:$R$103,18,FALSE),""))</f>
        <v/>
      </c>
      <c r="M26" s="2448"/>
      <c r="N26" s="2435" t="str">
        <f t="shared" si="6"/>
        <v/>
      </c>
      <c r="O26" s="2313"/>
      <c r="P26" s="1666"/>
      <c r="Q26" s="1666"/>
      <c r="R26" s="1666"/>
      <c r="S26" s="1666"/>
      <c r="T26" s="1666"/>
      <c r="U26" s="1827"/>
    </row>
    <row r="27" spans="1:21">
      <c r="A27" s="1071"/>
      <c r="B27" s="2298" t="str">
        <f t="shared" si="0"/>
        <v/>
      </c>
      <c r="C27" s="2008" t="str">
        <f>IF($A27&lt;&gt;"",VLOOKUP($A27,IP!$A$4:$K$153,11,FALSE),"")</f>
        <v/>
      </c>
      <c r="D27" s="2008" t="str">
        <f t="shared" si="1"/>
        <v/>
      </c>
      <c r="E27" s="2073" t="str">
        <f t="shared" si="2"/>
        <v/>
      </c>
      <c r="F27" s="2073" t="str">
        <f t="shared" si="3"/>
        <v/>
      </c>
      <c r="G27" s="2073" t="str">
        <f t="shared" si="4"/>
        <v/>
      </c>
      <c r="H27" s="2008" t="str">
        <f>IF($A27&lt;&gt;"",VLOOKUP($A27,IP!$A$4:$N$153,12,FALSE),"")</f>
        <v/>
      </c>
      <c r="I27" s="2073" t="str">
        <f t="shared" si="5"/>
        <v/>
      </c>
      <c r="J27" s="2420"/>
      <c r="K27" s="3407" t="str">
        <f>IF($A27&lt;&gt;"",IFERROR(VLOOKUP(LEFT($A27,12),'Database (All)'!$A$7:$R$103,15,FALSE),""),
       IF($A27&lt;&gt;"",(VLOOKUP(LEFT($A27,12),'Database (All)'!$A$7:$R$103,15,FALSE)),""))</f>
        <v/>
      </c>
      <c r="L27" s="3409" t="str">
        <f>IF($A27&lt;&gt;"",IFERROR(VLOOKUP(LEFT($A27,12),'Database (All)'!$A$7:$R$103,18,FALSE),""),
                           IF($A27&lt;&gt;"",VLOOKUP(LEFT($A27,12),'Database (All)'!$A$7:$R$103,18,FALSE),""))</f>
        <v/>
      </c>
      <c r="M27" s="2448"/>
      <c r="N27" s="2435" t="str">
        <f t="shared" si="6"/>
        <v/>
      </c>
      <c r="O27" s="2313"/>
      <c r="P27" s="1666"/>
      <c r="Q27" s="1666"/>
      <c r="R27" s="1666"/>
      <c r="S27" s="1666"/>
      <c r="T27" s="1666"/>
      <c r="U27" s="1827"/>
    </row>
    <row r="28" spans="1:21">
      <c r="A28" s="1071"/>
      <c r="B28" s="2298" t="str">
        <f t="shared" si="0"/>
        <v/>
      </c>
      <c r="C28" s="2008" t="str">
        <f>IF($A28&lt;&gt;"",VLOOKUP($A28,IP!$A$4:$K$153,11,FALSE),"")</f>
        <v/>
      </c>
      <c r="D28" s="2008" t="str">
        <f t="shared" si="1"/>
        <v/>
      </c>
      <c r="E28" s="2073" t="str">
        <f t="shared" si="2"/>
        <v/>
      </c>
      <c r="F28" s="2073" t="str">
        <f t="shared" si="3"/>
        <v/>
      </c>
      <c r="G28" s="2073" t="str">
        <f t="shared" si="4"/>
        <v/>
      </c>
      <c r="H28" s="2008" t="str">
        <f>IF($A28&lt;&gt;"",VLOOKUP($A28,IP!$A$4:$N$153,12,FALSE),"")</f>
        <v/>
      </c>
      <c r="I28" s="2073" t="str">
        <f t="shared" si="5"/>
        <v/>
      </c>
      <c r="J28" s="2420"/>
      <c r="K28" s="3407" t="str">
        <f>IF($A28&lt;&gt;"",IFERROR(VLOOKUP(LEFT($A28,12),'Database (All)'!$A$7:$R$103,15,FALSE),""),
       IF($A28&lt;&gt;"",(VLOOKUP(LEFT($A28,12),'Database (All)'!$A$7:$R$103,15,FALSE)),""))</f>
        <v/>
      </c>
      <c r="L28" s="3409" t="str">
        <f>IF($A28&lt;&gt;"",IFERROR(VLOOKUP(LEFT($A28,12),'Database (All)'!$A$7:$R$103,18,FALSE),""),
                           IF($A28&lt;&gt;"",VLOOKUP(LEFT($A28,12),'Database (All)'!$A$7:$R$103,18,FALSE),""))</f>
        <v/>
      </c>
      <c r="M28" s="2448"/>
      <c r="N28" s="2435" t="str">
        <f t="shared" si="6"/>
        <v/>
      </c>
      <c r="O28" s="2313"/>
      <c r="P28" s="1666"/>
      <c r="Q28" s="1666"/>
      <c r="R28" s="1666"/>
      <c r="S28" s="1666"/>
      <c r="T28" s="1666"/>
      <c r="U28" s="1827"/>
    </row>
    <row r="29" spans="1:21">
      <c r="A29" s="1071"/>
      <c r="B29" s="2298" t="str">
        <f t="shared" si="0"/>
        <v/>
      </c>
      <c r="C29" s="2008" t="str">
        <f>IF($A29&lt;&gt;"",VLOOKUP($A29,IP!$A$4:$K$153,11,FALSE),"")</f>
        <v/>
      </c>
      <c r="D29" s="2008" t="str">
        <f t="shared" si="1"/>
        <v/>
      </c>
      <c r="E29" s="2073" t="str">
        <f t="shared" si="2"/>
        <v/>
      </c>
      <c r="F29" s="2073" t="str">
        <f t="shared" si="3"/>
        <v/>
      </c>
      <c r="G29" s="2073" t="str">
        <f t="shared" si="4"/>
        <v/>
      </c>
      <c r="H29" s="2008" t="str">
        <f>IF($A29&lt;&gt;"",VLOOKUP($A29,IP!$A$4:$N$153,12,FALSE),"")</f>
        <v/>
      </c>
      <c r="I29" s="2073" t="str">
        <f t="shared" si="5"/>
        <v/>
      </c>
      <c r="J29" s="2420"/>
      <c r="K29" s="3407" t="str">
        <f>IF($A29&lt;&gt;"",IFERROR(VLOOKUP(LEFT($A29,12),'Database (All)'!$A$7:$R$103,15,FALSE),""),
       IF($A29&lt;&gt;"",(VLOOKUP(LEFT($A29,12),'Database (All)'!$A$7:$R$103,15,FALSE)),""))</f>
        <v/>
      </c>
      <c r="L29" s="3409" t="str">
        <f>IF($A29&lt;&gt;"",IFERROR(VLOOKUP(LEFT($A29,12),'Database (All)'!$A$7:$R$103,18,FALSE),""),
                           IF($A29&lt;&gt;"",VLOOKUP(LEFT($A29,12),'Database (All)'!$A$7:$R$103,18,FALSE),""))</f>
        <v/>
      </c>
      <c r="M29" s="2448"/>
      <c r="N29" s="2435" t="str">
        <f t="shared" si="6"/>
        <v/>
      </c>
      <c r="O29" s="2313"/>
      <c r="P29" s="1666"/>
      <c r="Q29" s="1666"/>
      <c r="R29" s="1666"/>
      <c r="S29" s="1666"/>
      <c r="T29" s="1666"/>
      <c r="U29" s="1827"/>
    </row>
    <row r="30" spans="1:21">
      <c r="A30" s="1071"/>
      <c r="B30" s="2298" t="str">
        <f t="shared" si="0"/>
        <v/>
      </c>
      <c r="C30" s="2008" t="str">
        <f>IF($A30&lt;&gt;"",VLOOKUP($A30,IP!$A$4:$K$153,11,FALSE),"")</f>
        <v/>
      </c>
      <c r="D30" s="2008" t="str">
        <f t="shared" si="1"/>
        <v/>
      </c>
      <c r="E30" s="2073" t="str">
        <f t="shared" si="2"/>
        <v/>
      </c>
      <c r="F30" s="2073" t="str">
        <f t="shared" si="3"/>
        <v/>
      </c>
      <c r="G30" s="2073" t="str">
        <f t="shared" si="4"/>
        <v/>
      </c>
      <c r="H30" s="2008" t="str">
        <f>IF($A30&lt;&gt;"",VLOOKUP($A30,IP!$A$4:$N$153,12,FALSE),"")</f>
        <v/>
      </c>
      <c r="I30" s="2073" t="str">
        <f t="shared" si="5"/>
        <v/>
      </c>
      <c r="J30" s="2420"/>
      <c r="K30" s="3407" t="str">
        <f>IF($A30&lt;&gt;"",IFERROR(VLOOKUP(LEFT($A30,12),'Database (All)'!$A$7:$R$103,15,FALSE),""),
       IF($A30&lt;&gt;"",(VLOOKUP(LEFT($A30,12),'Database (All)'!$A$7:$R$103,15,FALSE)),""))</f>
        <v/>
      </c>
      <c r="L30" s="3409" t="str">
        <f>IF($A30&lt;&gt;"",IFERROR(VLOOKUP(LEFT($A30,12),'Database (All)'!$A$7:$R$103,18,FALSE),""),
                           IF($A30&lt;&gt;"",VLOOKUP(LEFT($A30,12),'Database (All)'!$A$7:$R$103,18,FALSE),""))</f>
        <v/>
      </c>
      <c r="M30" s="2448"/>
      <c r="N30" s="2435" t="str">
        <f t="shared" si="6"/>
        <v/>
      </c>
      <c r="O30" s="2313"/>
      <c r="P30" s="1666"/>
      <c r="Q30" s="1666"/>
      <c r="R30" s="1666"/>
      <c r="S30" s="1666"/>
      <c r="T30" s="1666"/>
      <c r="U30" s="1827"/>
    </row>
    <row r="31" spans="1:21">
      <c r="A31" s="1071"/>
      <c r="B31" s="2298" t="str">
        <f t="shared" si="0"/>
        <v/>
      </c>
      <c r="C31" s="2008" t="str">
        <f>IF($A31&lt;&gt;"",VLOOKUP($A31,IP!$A$4:$K$153,11,FALSE),"")</f>
        <v/>
      </c>
      <c r="D31" s="2008" t="str">
        <f t="shared" si="1"/>
        <v/>
      </c>
      <c r="E31" s="2073" t="str">
        <f t="shared" si="2"/>
        <v/>
      </c>
      <c r="F31" s="2073" t="str">
        <f t="shared" si="3"/>
        <v/>
      </c>
      <c r="G31" s="2073" t="str">
        <f t="shared" si="4"/>
        <v/>
      </c>
      <c r="H31" s="2008" t="str">
        <f>IF($A31&lt;&gt;"",VLOOKUP($A31,IP!$A$4:$N$153,12,FALSE),"")</f>
        <v/>
      </c>
      <c r="I31" s="2073" t="str">
        <f t="shared" si="5"/>
        <v/>
      </c>
      <c r="J31" s="2420"/>
      <c r="K31" s="3407" t="str">
        <f>IF($A31&lt;&gt;"",IFERROR(VLOOKUP(LEFT($A31,12),'Database (All)'!$A$7:$R$103,15,FALSE),""),
       IF($A31&lt;&gt;"",(VLOOKUP(LEFT($A31,12),'Database (All)'!$A$7:$R$103,15,FALSE)),""))</f>
        <v/>
      </c>
      <c r="L31" s="3409" t="str">
        <f>IF($A31&lt;&gt;"",IFERROR(VLOOKUP(LEFT($A31,12),'Database (All)'!$A$7:$R$103,18,FALSE),""),
                           IF($A31&lt;&gt;"",VLOOKUP(LEFT($A31,12),'Database (All)'!$A$7:$R$103,18,FALSE),""))</f>
        <v/>
      </c>
      <c r="M31" s="2448"/>
      <c r="N31" s="2435" t="str">
        <f t="shared" si="6"/>
        <v/>
      </c>
      <c r="O31" s="2313"/>
      <c r="P31" s="1666"/>
      <c r="Q31" s="1666"/>
      <c r="R31" s="1666"/>
      <c r="S31" s="1666"/>
      <c r="T31" s="1666"/>
      <c r="U31" s="1827"/>
    </row>
    <row r="32" spans="1:21">
      <c r="A32" s="1071"/>
      <c r="B32" s="2298" t="str">
        <f t="shared" si="0"/>
        <v/>
      </c>
      <c r="C32" s="2008" t="str">
        <f>IF($A32&lt;&gt;"",VLOOKUP($A32,IP!$A$4:$K$153,11,FALSE),"")</f>
        <v/>
      </c>
      <c r="D32" s="2008" t="str">
        <f t="shared" si="1"/>
        <v/>
      </c>
      <c r="E32" s="2073" t="str">
        <f t="shared" si="2"/>
        <v/>
      </c>
      <c r="F32" s="2073" t="str">
        <f t="shared" si="3"/>
        <v/>
      </c>
      <c r="G32" s="2073" t="str">
        <f t="shared" si="4"/>
        <v/>
      </c>
      <c r="H32" s="2008" t="str">
        <f>IF($A32&lt;&gt;"",VLOOKUP($A32,IP!$A$4:$N$153,12,FALSE),"")</f>
        <v/>
      </c>
      <c r="I32" s="2073" t="str">
        <f t="shared" si="5"/>
        <v/>
      </c>
      <c r="J32" s="2420"/>
      <c r="K32" s="3407" t="str">
        <f>IF($A32&lt;&gt;"",IFERROR(VLOOKUP(LEFT($A32,12),'Database (All)'!$A$7:$R$103,15,FALSE),""),
       IF($A32&lt;&gt;"",(VLOOKUP(LEFT($A32,12),'Database (All)'!$A$7:$R$103,15,FALSE)),""))</f>
        <v/>
      </c>
      <c r="L32" s="3409" t="str">
        <f>IF($A32&lt;&gt;"",IFERROR(VLOOKUP(LEFT($A32,12),'Database (All)'!$A$7:$R$103,18,FALSE),""),
                           IF($A32&lt;&gt;"",VLOOKUP(LEFT($A32,12),'Database (All)'!$A$7:$R$103,18,FALSE),""))</f>
        <v/>
      </c>
      <c r="M32" s="2448"/>
      <c r="N32" s="2435" t="str">
        <f t="shared" si="6"/>
        <v/>
      </c>
      <c r="O32" s="2313"/>
      <c r="P32" s="1666"/>
      <c r="Q32" s="1666"/>
      <c r="R32" s="1666"/>
      <c r="S32" s="1666"/>
      <c r="T32" s="1666"/>
      <c r="U32" s="1827"/>
    </row>
    <row r="33" spans="1:21">
      <c r="A33" s="1071"/>
      <c r="B33" s="2298" t="str">
        <f t="shared" si="0"/>
        <v/>
      </c>
      <c r="C33" s="2008" t="str">
        <f>IF($A33&lt;&gt;"",VLOOKUP($A33,IP!$A$4:$K$153,11,FALSE),"")</f>
        <v/>
      </c>
      <c r="D33" s="2008" t="str">
        <f t="shared" si="1"/>
        <v/>
      </c>
      <c r="E33" s="2073" t="str">
        <f t="shared" si="2"/>
        <v/>
      </c>
      <c r="F33" s="2073" t="str">
        <f t="shared" si="3"/>
        <v/>
      </c>
      <c r="G33" s="2073" t="str">
        <f t="shared" si="4"/>
        <v/>
      </c>
      <c r="H33" s="2008" t="str">
        <f>IF($A33&lt;&gt;"",VLOOKUP($A33,IP!$A$4:$N$153,12,FALSE),"")</f>
        <v/>
      </c>
      <c r="I33" s="2073" t="str">
        <f t="shared" si="5"/>
        <v/>
      </c>
      <c r="J33" s="2420"/>
      <c r="K33" s="3407" t="str">
        <f>IF($A33&lt;&gt;"",IFERROR(VLOOKUP(LEFT($A33,12),'Database (All)'!$A$7:$R$103,15,FALSE),""),
       IF($A33&lt;&gt;"",(VLOOKUP(LEFT($A33,12),'Database (All)'!$A$7:$R$103,15,FALSE)),""))</f>
        <v/>
      </c>
      <c r="L33" s="3409" t="str">
        <f>IF($A33&lt;&gt;"",IFERROR(VLOOKUP(LEFT($A33,12),'Database (All)'!$A$7:$R$103,18,FALSE),""),
                           IF($A33&lt;&gt;"",VLOOKUP(LEFT($A33,12),'Database (All)'!$A$7:$R$103,18,FALSE),""))</f>
        <v/>
      </c>
      <c r="M33" s="2448"/>
      <c r="N33" s="2435" t="str">
        <f t="shared" si="6"/>
        <v/>
      </c>
      <c r="O33" s="2313"/>
      <c r="P33" s="1666"/>
      <c r="Q33" s="1666"/>
      <c r="R33" s="1666"/>
      <c r="S33" s="1666"/>
      <c r="T33" s="1666"/>
      <c r="U33" s="1827"/>
    </row>
    <row r="34" spans="1:21">
      <c r="A34" s="1071"/>
      <c r="B34" s="2298" t="str">
        <f t="shared" si="0"/>
        <v/>
      </c>
      <c r="C34" s="2008" t="str">
        <f>IF($A34&lt;&gt;"",VLOOKUP($A34,IP!$A$4:$K$153,11,FALSE),"")</f>
        <v/>
      </c>
      <c r="D34" s="2008" t="str">
        <f t="shared" si="1"/>
        <v/>
      </c>
      <c r="E34" s="2073" t="str">
        <f t="shared" si="2"/>
        <v/>
      </c>
      <c r="F34" s="2073" t="str">
        <f t="shared" si="3"/>
        <v/>
      </c>
      <c r="G34" s="2073" t="str">
        <f t="shared" si="4"/>
        <v/>
      </c>
      <c r="H34" s="2008" t="str">
        <f>IF($A34&lt;&gt;"",VLOOKUP($A34,IP!$A$4:$N$153,12,FALSE),"")</f>
        <v/>
      </c>
      <c r="I34" s="2073" t="str">
        <f t="shared" si="5"/>
        <v/>
      </c>
      <c r="J34" s="2420"/>
      <c r="K34" s="3407" t="str">
        <f>IF($A34&lt;&gt;"",IFERROR(VLOOKUP(LEFT($A34,12),'Database (All)'!$A$7:$R$103,15,FALSE),""),
       IF($A34&lt;&gt;"",(VLOOKUP(LEFT($A34,12),'Database (All)'!$A$7:$R$103,15,FALSE)),""))</f>
        <v/>
      </c>
      <c r="L34" s="3409" t="str">
        <f>IF($A34&lt;&gt;"",IFERROR(VLOOKUP(LEFT($A34,12),'Database (All)'!$A$7:$R$103,18,FALSE),""),
                           IF($A34&lt;&gt;"",VLOOKUP(LEFT($A34,12),'Database (All)'!$A$7:$R$103,18,FALSE),""))</f>
        <v/>
      </c>
      <c r="M34" s="2448"/>
      <c r="N34" s="2435" t="str">
        <f t="shared" si="6"/>
        <v/>
      </c>
      <c r="O34" s="2313"/>
      <c r="P34" s="1666"/>
      <c r="Q34" s="1666"/>
      <c r="R34" s="1666"/>
      <c r="S34" s="1666"/>
      <c r="T34" s="1666"/>
      <c r="U34" s="1827"/>
    </row>
    <row r="35" spans="1:21">
      <c r="A35" s="1071"/>
      <c r="B35" s="2298" t="str">
        <f t="shared" ref="B35:B66" si="7">IF($A35&lt;&gt;"",VLOOKUP(LEFT($A35,12),dist_assets,3,FALSE),"")</f>
        <v/>
      </c>
      <c r="C35" s="2008" t="str">
        <f>IF($A35&lt;&gt;"",VLOOKUP($A35,IP!$A$4:$K$153,11,FALSE),"")</f>
        <v/>
      </c>
      <c r="D35" s="2008" t="str">
        <f t="shared" ref="D35:D66" si="8">IF($A35&lt;&gt;"",VLOOKUP(LEFT($A35,12),dist_assets,9,FALSE),"")</f>
        <v/>
      </c>
      <c r="E35" s="2073" t="str">
        <f t="shared" ref="E35:E66" si="9">IF($A35&lt;&gt;"",IF(VLOOKUP(LEFT($A35,12),dist_assets,4,FALSE)&lt;&gt;"",VLOOKUP(LEFT($A35,12),dist_assets,4,FALSE)),"")</f>
        <v/>
      </c>
      <c r="F35" s="2073" t="str">
        <f t="shared" ref="F35:F66" si="10">IF($A35&lt;&gt;"",IFERROR(VLOOKUP(LEFT($A35,12),dist_assets,23,FALSE),VLOOKUP(LEFT($A35,12),dist_assets,23,FALSE)),"")</f>
        <v/>
      </c>
      <c r="G35" s="2073" t="str">
        <f t="shared" ref="G35:G66" si="11">IF($A35&lt;&gt;"",IFERROR(VLOOKUP(LEFT($A35,12),dist_assets,24,FALSE),VLOOKUP(LEFT($A35,12),dist_assets,24,FALSE)),"")</f>
        <v/>
      </c>
      <c r="H35" s="2008" t="str">
        <f>IF($A35&lt;&gt;"",VLOOKUP($A35,IP!$A$4:$N$153,12,FALSE),"")</f>
        <v/>
      </c>
      <c r="I35" s="2073" t="str">
        <f t="shared" ref="I35:I66" si="12">IF($E35="Oracle-RAC", "requires special config","")</f>
        <v/>
      </c>
      <c r="J35" s="2420"/>
      <c r="K35" s="3407" t="str">
        <f>IF($A35&lt;&gt;"",IFERROR(VLOOKUP(LEFT($A35,12),'Database (All)'!$A$7:$R$103,15,FALSE),""),
       IF($A35&lt;&gt;"",(VLOOKUP(LEFT($A35,12),'Database (All)'!$A$7:$R$103,15,FALSE)),""))</f>
        <v/>
      </c>
      <c r="L35" s="3409" t="str">
        <f>IF($A35&lt;&gt;"",IFERROR(VLOOKUP(LEFT($A35,12),'Database (All)'!$A$7:$R$103,18,FALSE),""),
                           IF($A35&lt;&gt;"",VLOOKUP(LEFT($A35,12),'Database (All)'!$A$7:$R$103,18,FALSE),""))</f>
        <v/>
      </c>
      <c r="M35" s="2448"/>
      <c r="N35" s="2435" t="str">
        <f t="shared" si="6"/>
        <v/>
      </c>
      <c r="O35" s="2313"/>
      <c r="P35" s="1666"/>
      <c r="Q35" s="1666"/>
      <c r="R35" s="1666"/>
      <c r="S35" s="1666"/>
      <c r="T35" s="1666"/>
      <c r="U35" s="1827"/>
    </row>
    <row r="36" spans="1:21">
      <c r="A36" s="1071"/>
      <c r="B36" s="2298" t="str">
        <f t="shared" si="7"/>
        <v/>
      </c>
      <c r="C36" s="2008" t="str">
        <f>IF($A36&lt;&gt;"",VLOOKUP($A36,IP!$A$4:$K$153,11,FALSE),"")</f>
        <v/>
      </c>
      <c r="D36" s="2008" t="str">
        <f t="shared" si="8"/>
        <v/>
      </c>
      <c r="E36" s="2073" t="str">
        <f t="shared" si="9"/>
        <v/>
      </c>
      <c r="F36" s="2073" t="str">
        <f t="shared" si="10"/>
        <v/>
      </c>
      <c r="G36" s="2073" t="str">
        <f t="shared" si="11"/>
        <v/>
      </c>
      <c r="H36" s="2008" t="str">
        <f>IF($A36&lt;&gt;"",VLOOKUP($A36,IP!$A$4:$N$153,12,FALSE),"")</f>
        <v/>
      </c>
      <c r="I36" s="2073" t="str">
        <f t="shared" si="12"/>
        <v/>
      </c>
      <c r="J36" s="2420"/>
      <c r="K36" s="3407" t="str">
        <f>IF($A36&lt;&gt;"",IFERROR(VLOOKUP(LEFT($A36,12),'Database (All)'!$A$7:$R$103,15,FALSE),""),
       IF($A36&lt;&gt;"",(VLOOKUP(LEFT($A36,12),'Database (All)'!$A$7:$R$103,15,FALSE)),""))</f>
        <v/>
      </c>
      <c r="L36" s="3409" t="str">
        <f>IF($A36&lt;&gt;"",IFERROR(VLOOKUP(LEFT($A36,12),'Database (All)'!$A$7:$R$103,18,FALSE),""),
                           IF($A36&lt;&gt;"",VLOOKUP(LEFT($A36,12),'Database (All)'!$A$7:$R$103,18,FALSE),""))</f>
        <v/>
      </c>
      <c r="M36" s="2448"/>
      <c r="N36" s="2435" t="str">
        <f t="shared" si="6"/>
        <v/>
      </c>
      <c r="O36" s="2313"/>
      <c r="P36" s="1666"/>
      <c r="Q36" s="1666"/>
      <c r="R36" s="1666"/>
      <c r="S36" s="1666"/>
      <c r="T36" s="1666"/>
      <c r="U36" s="1827"/>
    </row>
    <row r="37" spans="1:21">
      <c r="A37" s="1071"/>
      <c r="B37" s="2298" t="str">
        <f t="shared" si="7"/>
        <v/>
      </c>
      <c r="C37" s="2008" t="str">
        <f>IF($A37&lt;&gt;"",VLOOKUP($A37,IP!$A$4:$K$153,11,FALSE),"")</f>
        <v/>
      </c>
      <c r="D37" s="2008" t="str">
        <f t="shared" si="8"/>
        <v/>
      </c>
      <c r="E37" s="2073" t="str">
        <f t="shared" si="9"/>
        <v/>
      </c>
      <c r="F37" s="2073" t="str">
        <f t="shared" si="10"/>
        <v/>
      </c>
      <c r="G37" s="2073" t="str">
        <f t="shared" si="11"/>
        <v/>
      </c>
      <c r="H37" s="2008" t="str">
        <f>IF($A37&lt;&gt;"",VLOOKUP($A37,IP!$A$4:$N$153,12,FALSE),"")</f>
        <v/>
      </c>
      <c r="I37" s="2073" t="str">
        <f t="shared" si="12"/>
        <v/>
      </c>
      <c r="J37" s="2420"/>
      <c r="K37" s="3407" t="str">
        <f>IF($A37&lt;&gt;"",IFERROR(VLOOKUP(LEFT($A37,12),'Database (All)'!$A$7:$R$103,15,FALSE),""),
       IF($A37&lt;&gt;"",(VLOOKUP(LEFT($A37,12),'Database (All)'!$A$7:$R$103,15,FALSE)),""))</f>
        <v/>
      </c>
      <c r="L37" s="3409" t="str">
        <f>IF($A37&lt;&gt;"",IFERROR(VLOOKUP(LEFT($A37,12),'Database (All)'!$A$7:$R$103,18,FALSE),""),
                           IF($A37&lt;&gt;"",VLOOKUP(LEFT($A37,12),'Database (All)'!$A$7:$R$103,18,FALSE),""))</f>
        <v/>
      </c>
      <c r="M37" s="2448"/>
      <c r="N37" s="2435" t="str">
        <f t="shared" si="6"/>
        <v/>
      </c>
      <c r="O37" s="2313"/>
      <c r="P37" s="1666"/>
      <c r="Q37" s="1666"/>
      <c r="R37" s="1666"/>
      <c r="S37" s="1666"/>
      <c r="T37" s="1666"/>
      <c r="U37" s="1827"/>
    </row>
    <row r="38" spans="1:21">
      <c r="A38" s="1071"/>
      <c r="B38" s="2298" t="str">
        <f t="shared" si="7"/>
        <v/>
      </c>
      <c r="C38" s="2008" t="str">
        <f>IF($A38&lt;&gt;"",VLOOKUP($A38,IP!$A$4:$K$153,11,FALSE),"")</f>
        <v/>
      </c>
      <c r="D38" s="2008" t="str">
        <f t="shared" si="8"/>
        <v/>
      </c>
      <c r="E38" s="2073" t="str">
        <f t="shared" si="9"/>
        <v/>
      </c>
      <c r="F38" s="2073" t="str">
        <f t="shared" si="10"/>
        <v/>
      </c>
      <c r="G38" s="2073" t="str">
        <f t="shared" si="11"/>
        <v/>
      </c>
      <c r="H38" s="2008" t="str">
        <f>IF($A38&lt;&gt;"",VLOOKUP($A38,IP!$A$4:$N$153,12,FALSE),"")</f>
        <v/>
      </c>
      <c r="I38" s="2073" t="str">
        <f t="shared" si="12"/>
        <v/>
      </c>
      <c r="J38" s="2420"/>
      <c r="K38" s="3407" t="str">
        <f>IF($A38&lt;&gt;"",IFERROR(VLOOKUP(LEFT($A38,12),'Database (All)'!$A$7:$R$103,15,FALSE),""),
       IF($A38&lt;&gt;"",(VLOOKUP(LEFT($A38,12),'Database (All)'!$A$7:$R$103,15,FALSE)),""))</f>
        <v/>
      </c>
      <c r="L38" s="3409" t="str">
        <f>IF($A38&lt;&gt;"",IFERROR(VLOOKUP(LEFT($A38,12),'Database (All)'!$A$7:$R$103,18,FALSE),""),
                           IF($A38&lt;&gt;"",VLOOKUP(LEFT($A38,12),'Database (All)'!$A$7:$R$103,18,FALSE),""))</f>
        <v/>
      </c>
      <c r="M38" s="2448"/>
      <c r="N38" s="2435" t="str">
        <f t="shared" si="6"/>
        <v/>
      </c>
      <c r="O38" s="2313"/>
      <c r="P38" s="1666"/>
      <c r="Q38" s="1666"/>
      <c r="R38" s="1666"/>
      <c r="S38" s="1666"/>
      <c r="T38" s="1666"/>
      <c r="U38" s="1827"/>
    </row>
    <row r="39" spans="1:21">
      <c r="A39" s="1071"/>
      <c r="B39" s="2298" t="str">
        <f t="shared" si="7"/>
        <v/>
      </c>
      <c r="C39" s="2008" t="str">
        <f>IF($A39&lt;&gt;"",VLOOKUP($A39,IP!$A$4:$K$153,11,FALSE),"")</f>
        <v/>
      </c>
      <c r="D39" s="2008" t="str">
        <f t="shared" si="8"/>
        <v/>
      </c>
      <c r="E39" s="2073" t="str">
        <f t="shared" si="9"/>
        <v/>
      </c>
      <c r="F39" s="2073" t="str">
        <f t="shared" si="10"/>
        <v/>
      </c>
      <c r="G39" s="2073" t="str">
        <f t="shared" si="11"/>
        <v/>
      </c>
      <c r="H39" s="2008" t="str">
        <f>IF($A39&lt;&gt;"",VLOOKUP($A39,IP!$A$4:$N$153,12,FALSE),"")</f>
        <v/>
      </c>
      <c r="I39" s="2073" t="str">
        <f t="shared" si="12"/>
        <v/>
      </c>
      <c r="J39" s="2420"/>
      <c r="K39" s="3407" t="str">
        <f>IF($A39&lt;&gt;"",IFERROR(VLOOKUP(LEFT($A39,12),'Database (All)'!$A$7:$R$103,15,FALSE),""),
       IF($A39&lt;&gt;"",(VLOOKUP(LEFT($A39,12),'Database (All)'!$A$7:$R$103,15,FALSE)),""))</f>
        <v/>
      </c>
      <c r="L39" s="3409" t="str">
        <f>IF($A39&lt;&gt;"",IFERROR(VLOOKUP(LEFT($A39,12),'Database (All)'!$A$7:$R$103,18,FALSE),""),
                           IF($A39&lt;&gt;"",VLOOKUP(LEFT($A39,12),'Database (All)'!$A$7:$R$103,18,FALSE),""))</f>
        <v/>
      </c>
      <c r="M39" s="2448"/>
      <c r="N39" s="2435" t="str">
        <f t="shared" si="6"/>
        <v/>
      </c>
      <c r="O39" s="2313"/>
      <c r="P39" s="1666"/>
      <c r="Q39" s="1666"/>
      <c r="R39" s="1666"/>
      <c r="S39" s="1666"/>
      <c r="T39" s="1666"/>
      <c r="U39" s="1827"/>
    </row>
    <row r="40" spans="1:21">
      <c r="A40" s="1071"/>
      <c r="B40" s="2298" t="str">
        <f t="shared" si="7"/>
        <v/>
      </c>
      <c r="C40" s="2008" t="str">
        <f>IF($A40&lt;&gt;"",VLOOKUP($A40,IP!$A$4:$K$153,11,FALSE),"")</f>
        <v/>
      </c>
      <c r="D40" s="2008" t="str">
        <f t="shared" si="8"/>
        <v/>
      </c>
      <c r="E40" s="2073" t="str">
        <f t="shared" si="9"/>
        <v/>
      </c>
      <c r="F40" s="2073" t="str">
        <f t="shared" si="10"/>
        <v/>
      </c>
      <c r="G40" s="2073" t="str">
        <f t="shared" si="11"/>
        <v/>
      </c>
      <c r="H40" s="2008" t="str">
        <f>IF($A40&lt;&gt;"",VLOOKUP($A40,IP!$A$4:$N$153,12,FALSE),"")</f>
        <v/>
      </c>
      <c r="I40" s="2073" t="str">
        <f t="shared" si="12"/>
        <v/>
      </c>
      <c r="J40" s="2420"/>
      <c r="K40" s="3407" t="str">
        <f>IF($A40&lt;&gt;"",IFERROR(VLOOKUP(LEFT($A40,12),'Database (All)'!$A$7:$R$103,15,FALSE),""),
       IF($A40&lt;&gt;"",(VLOOKUP(LEFT($A40,12),'Database (All)'!$A$7:$R$103,15,FALSE)),""))</f>
        <v/>
      </c>
      <c r="L40" s="3409" t="str">
        <f>IF($A40&lt;&gt;"",IFERROR(VLOOKUP(LEFT($A40,12),'Database (All)'!$A$7:$R$103,18,FALSE),""),
                           IF($A40&lt;&gt;"",VLOOKUP(LEFT($A40,12),'Database (All)'!$A$7:$R$103,18,FALSE),""))</f>
        <v/>
      </c>
      <c r="M40" s="2448"/>
      <c r="N40" s="2435" t="str">
        <f t="shared" si="6"/>
        <v/>
      </c>
      <c r="O40" s="2313"/>
      <c r="P40" s="1666"/>
      <c r="Q40" s="1666"/>
      <c r="R40" s="1666"/>
      <c r="S40" s="1666"/>
      <c r="T40" s="1666"/>
      <c r="U40" s="1827"/>
    </row>
    <row r="41" spans="1:21">
      <c r="A41" s="1071"/>
      <c r="B41" s="2298" t="str">
        <f t="shared" si="7"/>
        <v/>
      </c>
      <c r="C41" s="2008" t="str">
        <f>IF($A41&lt;&gt;"",VLOOKUP($A41,IP!$A$4:$K$153,11,FALSE),"")</f>
        <v/>
      </c>
      <c r="D41" s="2008" t="str">
        <f t="shared" si="8"/>
        <v/>
      </c>
      <c r="E41" s="2073" t="str">
        <f t="shared" si="9"/>
        <v/>
      </c>
      <c r="F41" s="2073" t="str">
        <f t="shared" si="10"/>
        <v/>
      </c>
      <c r="G41" s="2073" t="str">
        <f t="shared" si="11"/>
        <v/>
      </c>
      <c r="H41" s="2008" t="str">
        <f>IF($A41&lt;&gt;"",VLOOKUP($A41,IP!$A$4:$N$153,12,FALSE),"")</f>
        <v/>
      </c>
      <c r="I41" s="2073" t="str">
        <f t="shared" si="12"/>
        <v/>
      </c>
      <c r="J41" s="2420"/>
      <c r="K41" s="3407" t="str">
        <f>IF($A41&lt;&gt;"",IFERROR(VLOOKUP(LEFT($A41,12),'Database (All)'!$A$7:$R$103,15,FALSE),""),
       IF($A41&lt;&gt;"",(VLOOKUP(LEFT($A41,12),'Database (All)'!$A$7:$R$103,15,FALSE)),""))</f>
        <v/>
      </c>
      <c r="L41" s="3409" t="str">
        <f>IF($A41&lt;&gt;"",IFERROR(VLOOKUP(LEFT($A41,12),'Database (All)'!$A$7:$R$103,18,FALSE),""),
                           IF($A41&lt;&gt;"",VLOOKUP(LEFT($A41,12),'Database (All)'!$A$7:$R$103,18,FALSE),""))</f>
        <v/>
      </c>
      <c r="M41" s="2448"/>
      <c r="N41" s="2435" t="str">
        <f t="shared" si="6"/>
        <v/>
      </c>
      <c r="O41" s="2313"/>
      <c r="P41" s="1666"/>
      <c r="Q41" s="1666"/>
      <c r="R41" s="1666"/>
      <c r="S41" s="1666"/>
      <c r="T41" s="1666"/>
      <c r="U41" s="1827"/>
    </row>
    <row r="42" spans="1:21">
      <c r="A42" s="1071"/>
      <c r="B42" s="2298" t="str">
        <f t="shared" si="7"/>
        <v/>
      </c>
      <c r="C42" s="2008" t="str">
        <f>IF($A42&lt;&gt;"",VLOOKUP($A42,IP!$A$4:$K$153,11,FALSE),"")</f>
        <v/>
      </c>
      <c r="D42" s="2008" t="str">
        <f t="shared" si="8"/>
        <v/>
      </c>
      <c r="E42" s="2073" t="str">
        <f t="shared" si="9"/>
        <v/>
      </c>
      <c r="F42" s="2073" t="str">
        <f t="shared" si="10"/>
        <v/>
      </c>
      <c r="G42" s="2073" t="str">
        <f t="shared" si="11"/>
        <v/>
      </c>
      <c r="H42" s="2008" t="str">
        <f>IF($A42&lt;&gt;"",VLOOKUP($A42,IP!$A$4:$N$153,12,FALSE),"")</f>
        <v/>
      </c>
      <c r="I42" s="2073" t="str">
        <f t="shared" si="12"/>
        <v/>
      </c>
      <c r="J42" s="2420"/>
      <c r="K42" s="3407" t="str">
        <f>IF($A42&lt;&gt;"",IFERROR(VLOOKUP(LEFT($A42,12),'Database (All)'!$A$7:$R$103,15,FALSE),""),
       IF($A42&lt;&gt;"",(VLOOKUP(LEFT($A42,12),'Database (All)'!$A$7:$R$103,15,FALSE)),""))</f>
        <v/>
      </c>
      <c r="L42" s="3409" t="str">
        <f>IF($A42&lt;&gt;"",IFERROR(VLOOKUP(LEFT($A42,12),'Database (All)'!$A$7:$R$103,18,FALSE),""),
                           IF($A42&lt;&gt;"",VLOOKUP(LEFT($A42,12),'Database (All)'!$A$7:$R$103,18,FALSE),""))</f>
        <v/>
      </c>
      <c r="M42" s="2448"/>
      <c r="N42" s="2435" t="str">
        <f t="shared" si="6"/>
        <v/>
      </c>
      <c r="O42" s="2313"/>
      <c r="P42" s="1666"/>
      <c r="Q42" s="1666"/>
      <c r="R42" s="1666"/>
      <c r="S42" s="1666"/>
      <c r="T42" s="1666"/>
      <c r="U42" s="1827"/>
    </row>
    <row r="43" spans="1:21">
      <c r="A43" s="1071"/>
      <c r="B43" s="2298" t="str">
        <f t="shared" si="7"/>
        <v/>
      </c>
      <c r="C43" s="2008" t="str">
        <f>IF($A43&lt;&gt;"",VLOOKUP($A43,IP!$A$4:$K$153,11,FALSE),"")</f>
        <v/>
      </c>
      <c r="D43" s="2008" t="str">
        <f t="shared" si="8"/>
        <v/>
      </c>
      <c r="E43" s="2073" t="str">
        <f t="shared" si="9"/>
        <v/>
      </c>
      <c r="F43" s="2073" t="str">
        <f t="shared" si="10"/>
        <v/>
      </c>
      <c r="G43" s="2073" t="str">
        <f t="shared" si="11"/>
        <v/>
      </c>
      <c r="H43" s="2008" t="str">
        <f>IF($A43&lt;&gt;"",VLOOKUP($A43,IP!$A$4:$N$153,12,FALSE),"")</f>
        <v/>
      </c>
      <c r="I43" s="2073" t="str">
        <f t="shared" si="12"/>
        <v/>
      </c>
      <c r="J43" s="2420"/>
      <c r="K43" s="3407" t="str">
        <f>IF($A43&lt;&gt;"",IFERROR(VLOOKUP(LEFT($A43,12),'Database (All)'!$A$7:$R$103,15,FALSE),""),
       IF($A43&lt;&gt;"",(VLOOKUP(LEFT($A43,12),'Database (All)'!$A$7:$R$103,15,FALSE)),""))</f>
        <v/>
      </c>
      <c r="L43" s="3409" t="str">
        <f>IF($A43&lt;&gt;"",IFERROR(VLOOKUP(LEFT($A43,12),'Database (All)'!$A$7:$R$103,18,FALSE),""),
                           IF($A43&lt;&gt;"",VLOOKUP(LEFT($A43,12),'Database (All)'!$A$7:$R$103,18,FALSE),""))</f>
        <v/>
      </c>
      <c r="M43" s="2448"/>
      <c r="N43" s="2435" t="str">
        <f t="shared" si="6"/>
        <v/>
      </c>
      <c r="O43" s="2313"/>
      <c r="P43" s="1666"/>
      <c r="Q43" s="1666"/>
      <c r="R43" s="1666"/>
      <c r="S43" s="1666"/>
      <c r="T43" s="1666"/>
      <c r="U43" s="1827"/>
    </row>
    <row r="44" spans="1:21">
      <c r="A44" s="1071"/>
      <c r="B44" s="2298" t="str">
        <f t="shared" si="7"/>
        <v/>
      </c>
      <c r="C44" s="2008" t="str">
        <f>IF($A44&lt;&gt;"",VLOOKUP($A44,IP!$A$4:$K$153,11,FALSE),"")</f>
        <v/>
      </c>
      <c r="D44" s="2008" t="str">
        <f t="shared" si="8"/>
        <v/>
      </c>
      <c r="E44" s="2073" t="str">
        <f t="shared" si="9"/>
        <v/>
      </c>
      <c r="F44" s="2073" t="str">
        <f t="shared" si="10"/>
        <v/>
      </c>
      <c r="G44" s="2073" t="str">
        <f t="shared" si="11"/>
        <v/>
      </c>
      <c r="H44" s="2008" t="str">
        <f>IF($A44&lt;&gt;"",VLOOKUP($A44,IP!$A$4:$N$153,12,FALSE),"")</f>
        <v/>
      </c>
      <c r="I44" s="2073" t="str">
        <f t="shared" si="12"/>
        <v/>
      </c>
      <c r="J44" s="2420"/>
      <c r="K44" s="3407" t="str">
        <f>IF($A44&lt;&gt;"",IFERROR(VLOOKUP(LEFT($A44,12),'Database (All)'!$A$7:$R$103,15,FALSE),""),
       IF($A44&lt;&gt;"",(VLOOKUP(LEFT($A44,12),'Database (All)'!$A$7:$R$103,15,FALSE)),""))</f>
        <v/>
      </c>
      <c r="L44" s="3409" t="str">
        <f>IF($A44&lt;&gt;"",IFERROR(VLOOKUP(LEFT($A44,12),'Database (All)'!$A$7:$R$103,18,FALSE),""),
                           IF($A44&lt;&gt;"",VLOOKUP(LEFT($A44,12),'Database (All)'!$A$7:$R$103,18,FALSE),""))</f>
        <v/>
      </c>
      <c r="M44" s="2448"/>
      <c r="N44" s="2435" t="str">
        <f t="shared" si="6"/>
        <v/>
      </c>
      <c r="O44" s="2313"/>
      <c r="P44" s="1666"/>
      <c r="Q44" s="1666"/>
      <c r="R44" s="1666"/>
      <c r="S44" s="1666"/>
      <c r="T44" s="1666"/>
      <c r="U44" s="1827"/>
    </row>
    <row r="45" spans="1:21">
      <c r="A45" s="1071"/>
      <c r="B45" s="2298" t="str">
        <f t="shared" si="7"/>
        <v/>
      </c>
      <c r="C45" s="2008" t="str">
        <f>IF($A45&lt;&gt;"",VLOOKUP($A45,IP!$A$4:$K$153,11,FALSE),"")</f>
        <v/>
      </c>
      <c r="D45" s="2008" t="str">
        <f t="shared" si="8"/>
        <v/>
      </c>
      <c r="E45" s="2073" t="str">
        <f t="shared" si="9"/>
        <v/>
      </c>
      <c r="F45" s="2073" t="str">
        <f t="shared" si="10"/>
        <v/>
      </c>
      <c r="G45" s="2073" t="str">
        <f t="shared" si="11"/>
        <v/>
      </c>
      <c r="H45" s="2008" t="str">
        <f>IF($A45&lt;&gt;"",VLOOKUP($A45,IP!$A$4:$N$153,12,FALSE),"")</f>
        <v/>
      </c>
      <c r="I45" s="2073" t="str">
        <f t="shared" si="12"/>
        <v/>
      </c>
      <c r="J45" s="2420"/>
      <c r="K45" s="3407" t="str">
        <f>IF($A45&lt;&gt;"",IFERROR(VLOOKUP(LEFT($A45,12),'Database (All)'!$A$7:$R$103,15,FALSE),""),
       IF($A45&lt;&gt;"",(VLOOKUP(LEFT($A45,12),'Database (All)'!$A$7:$R$103,15,FALSE)),""))</f>
        <v/>
      </c>
      <c r="L45" s="3409" t="str">
        <f>IF($A45&lt;&gt;"",IFERROR(VLOOKUP(LEFT($A45,12),'Database (All)'!$A$7:$R$103,18,FALSE),""),
                           IF($A45&lt;&gt;"",VLOOKUP(LEFT($A45,12),'Database (All)'!$A$7:$R$103,18,FALSE),""))</f>
        <v/>
      </c>
      <c r="M45" s="2448"/>
      <c r="N45" s="2435" t="str">
        <f t="shared" si="6"/>
        <v/>
      </c>
      <c r="O45" s="2313"/>
      <c r="P45" s="1666"/>
      <c r="Q45" s="1666"/>
      <c r="R45" s="1666"/>
      <c r="S45" s="1666"/>
      <c r="T45" s="1666"/>
      <c r="U45" s="1827"/>
    </row>
    <row r="46" spans="1:21">
      <c r="A46" s="1071"/>
      <c r="B46" s="2298" t="str">
        <f t="shared" si="7"/>
        <v/>
      </c>
      <c r="C46" s="2008" t="str">
        <f>IF($A46&lt;&gt;"",VLOOKUP($A46,IP!$A$4:$K$153,11,FALSE),"")</f>
        <v/>
      </c>
      <c r="D46" s="2008" t="str">
        <f t="shared" si="8"/>
        <v/>
      </c>
      <c r="E46" s="2073" t="str">
        <f t="shared" si="9"/>
        <v/>
      </c>
      <c r="F46" s="2073" t="str">
        <f t="shared" si="10"/>
        <v/>
      </c>
      <c r="G46" s="2073" t="str">
        <f t="shared" si="11"/>
        <v/>
      </c>
      <c r="H46" s="2008" t="str">
        <f>IF($A46&lt;&gt;"",VLOOKUP($A46,IP!$A$4:$N$153,12,FALSE),"")</f>
        <v/>
      </c>
      <c r="I46" s="2073" t="str">
        <f t="shared" si="12"/>
        <v/>
      </c>
      <c r="J46" s="2420"/>
      <c r="K46" s="3407" t="str">
        <f>IF($A46&lt;&gt;"",IFERROR(VLOOKUP(LEFT($A46,12),'Database (All)'!$A$7:$R$103,15,FALSE),""),
       IF($A46&lt;&gt;"",(VLOOKUP(LEFT($A46,12),'Database (All)'!$A$7:$R$103,15,FALSE)),""))</f>
        <v/>
      </c>
      <c r="L46" s="3409" t="str">
        <f>IF($A46&lt;&gt;"",IFERROR(VLOOKUP(LEFT($A46,12),'Database (All)'!$A$7:$R$103,18,FALSE),""),
                           IF($A46&lt;&gt;"",VLOOKUP(LEFT($A46,12),'Database (All)'!$A$7:$R$103,18,FALSE),""))</f>
        <v/>
      </c>
      <c r="M46" s="2448"/>
      <c r="N46" s="2435" t="str">
        <f t="shared" si="6"/>
        <v/>
      </c>
      <c r="O46" s="2313"/>
      <c r="P46" s="1666"/>
      <c r="Q46" s="1666"/>
      <c r="R46" s="1666"/>
      <c r="S46" s="1666"/>
      <c r="T46" s="1666"/>
      <c r="U46" s="1827"/>
    </row>
    <row r="47" spans="1:21">
      <c r="A47" s="1071"/>
      <c r="B47" s="2298" t="str">
        <f t="shared" si="7"/>
        <v/>
      </c>
      <c r="C47" s="2008" t="str">
        <f>IF($A47&lt;&gt;"",VLOOKUP($A47,IP!$A$4:$K$153,11,FALSE),"")</f>
        <v/>
      </c>
      <c r="D47" s="2008" t="str">
        <f t="shared" si="8"/>
        <v/>
      </c>
      <c r="E47" s="2073" t="str">
        <f t="shared" si="9"/>
        <v/>
      </c>
      <c r="F47" s="2073" t="str">
        <f t="shared" si="10"/>
        <v/>
      </c>
      <c r="G47" s="2073" t="str">
        <f t="shared" si="11"/>
        <v/>
      </c>
      <c r="H47" s="2008" t="str">
        <f>IF($A47&lt;&gt;"",VLOOKUP($A47,IP!$A$4:$N$153,12,FALSE),"")</f>
        <v/>
      </c>
      <c r="I47" s="2073" t="str">
        <f t="shared" si="12"/>
        <v/>
      </c>
      <c r="J47" s="2420"/>
      <c r="K47" s="3407" t="str">
        <f>IF($A47&lt;&gt;"",IFERROR(VLOOKUP(LEFT($A47,12),'Database (All)'!$A$7:$R$103,15,FALSE),""),
       IF($A47&lt;&gt;"",(VLOOKUP(LEFT($A47,12),'Database (All)'!$A$7:$R$103,15,FALSE)),""))</f>
        <v/>
      </c>
      <c r="L47" s="3409" t="str">
        <f>IF($A47&lt;&gt;"",IFERROR(VLOOKUP(LEFT($A47,12),'Database (All)'!$A$7:$R$103,18,FALSE),""),
                           IF($A47&lt;&gt;"",VLOOKUP(LEFT($A47,12),'Database (All)'!$A$7:$R$103,18,FALSE),""))</f>
        <v/>
      </c>
      <c r="M47" s="2448"/>
      <c r="N47" s="2435" t="str">
        <f t="shared" si="6"/>
        <v/>
      </c>
      <c r="O47" s="2313"/>
      <c r="P47" s="1666"/>
      <c r="Q47" s="1666"/>
      <c r="R47" s="1666"/>
      <c r="S47" s="1666"/>
      <c r="T47" s="1666"/>
      <c r="U47" s="1827"/>
    </row>
    <row r="48" spans="1:21">
      <c r="A48" s="1071"/>
      <c r="B48" s="2298" t="str">
        <f t="shared" si="7"/>
        <v/>
      </c>
      <c r="C48" s="2008" t="str">
        <f>IF($A48&lt;&gt;"",VLOOKUP($A48,IP!$A$4:$K$153,11,FALSE),"")</f>
        <v/>
      </c>
      <c r="D48" s="2008" t="str">
        <f t="shared" si="8"/>
        <v/>
      </c>
      <c r="E48" s="2073" t="str">
        <f t="shared" si="9"/>
        <v/>
      </c>
      <c r="F48" s="2073" t="str">
        <f t="shared" si="10"/>
        <v/>
      </c>
      <c r="G48" s="2073" t="str">
        <f t="shared" si="11"/>
        <v/>
      </c>
      <c r="H48" s="2008" t="str">
        <f>IF($A48&lt;&gt;"",VLOOKUP($A48,IP!$A$4:$N$153,12,FALSE),"")</f>
        <v/>
      </c>
      <c r="I48" s="2073" t="str">
        <f t="shared" si="12"/>
        <v/>
      </c>
      <c r="J48" s="2420"/>
      <c r="K48" s="3407" t="str">
        <f>IF($A48&lt;&gt;"",IFERROR(VLOOKUP(LEFT($A48,12),'Database (All)'!$A$7:$R$103,15,FALSE),""),
       IF($A48&lt;&gt;"",(VLOOKUP(LEFT($A48,12),'Database (All)'!$A$7:$R$103,15,FALSE)),""))</f>
        <v/>
      </c>
      <c r="L48" s="3409" t="str">
        <f>IF($A48&lt;&gt;"",IFERROR(VLOOKUP(LEFT($A48,12),'Database (All)'!$A$7:$R$103,18,FALSE),""),
                           IF($A48&lt;&gt;"",VLOOKUP(LEFT($A48,12),'Database (All)'!$A$7:$R$103,18,FALSE),""))</f>
        <v/>
      </c>
      <c r="M48" s="2448"/>
      <c r="N48" s="2435" t="str">
        <f t="shared" si="6"/>
        <v/>
      </c>
      <c r="O48" s="2313"/>
      <c r="P48" s="1666"/>
      <c r="Q48" s="1666"/>
      <c r="R48" s="1666"/>
      <c r="S48" s="1666"/>
      <c r="T48" s="1666"/>
      <c r="U48" s="1827"/>
    </row>
    <row r="49" spans="1:21">
      <c r="A49" s="1071"/>
      <c r="B49" s="2298" t="str">
        <f t="shared" si="7"/>
        <v/>
      </c>
      <c r="C49" s="2008" t="str">
        <f>IF($A49&lt;&gt;"",VLOOKUP($A49,IP!$A$4:$K$153,11,FALSE),"")</f>
        <v/>
      </c>
      <c r="D49" s="2008" t="str">
        <f t="shared" si="8"/>
        <v/>
      </c>
      <c r="E49" s="2073" t="str">
        <f t="shared" si="9"/>
        <v/>
      </c>
      <c r="F49" s="2073" t="str">
        <f t="shared" si="10"/>
        <v/>
      </c>
      <c r="G49" s="2073" t="str">
        <f t="shared" si="11"/>
        <v/>
      </c>
      <c r="H49" s="2008" t="str">
        <f>IF($A49&lt;&gt;"",VLOOKUP($A49,IP!$A$4:$N$153,12,FALSE),"")</f>
        <v/>
      </c>
      <c r="I49" s="2073" t="str">
        <f t="shared" si="12"/>
        <v/>
      </c>
      <c r="J49" s="2420"/>
      <c r="K49" s="3407" t="str">
        <f>IF($A49&lt;&gt;"",IFERROR(VLOOKUP(LEFT($A49,12),'Database (All)'!$A$7:$R$103,15,FALSE),""),
       IF($A49&lt;&gt;"",(VLOOKUP(LEFT($A49,12),'Database (All)'!$A$7:$R$103,15,FALSE)),""))</f>
        <v/>
      </c>
      <c r="L49" s="3409" t="str">
        <f>IF($A49&lt;&gt;"",IFERROR(VLOOKUP(LEFT($A49,12),'Database (All)'!$A$7:$R$103,18,FALSE),""),
                           IF($A49&lt;&gt;"",VLOOKUP(LEFT($A49,12),'Database (All)'!$A$7:$R$103,18,FALSE),""))</f>
        <v/>
      </c>
      <c r="M49" s="2448"/>
      <c r="N49" s="2435" t="str">
        <f t="shared" si="6"/>
        <v/>
      </c>
      <c r="O49" s="2313"/>
      <c r="P49" s="1666"/>
      <c r="Q49" s="1666"/>
      <c r="R49" s="1666"/>
      <c r="S49" s="1666"/>
      <c r="T49" s="1666"/>
      <c r="U49" s="1827"/>
    </row>
    <row r="50" spans="1:21">
      <c r="A50" s="1071"/>
      <c r="B50" s="2298" t="str">
        <f t="shared" si="7"/>
        <v/>
      </c>
      <c r="C50" s="2008" t="str">
        <f>IF($A50&lt;&gt;"",VLOOKUP($A50,IP!$A$4:$K$153,11,FALSE),"")</f>
        <v/>
      </c>
      <c r="D50" s="2008" t="str">
        <f t="shared" si="8"/>
        <v/>
      </c>
      <c r="E50" s="2073" t="str">
        <f t="shared" si="9"/>
        <v/>
      </c>
      <c r="F50" s="2073" t="str">
        <f t="shared" si="10"/>
        <v/>
      </c>
      <c r="G50" s="2073" t="str">
        <f t="shared" si="11"/>
        <v/>
      </c>
      <c r="H50" s="2008" t="str">
        <f>IF($A50&lt;&gt;"",VLOOKUP($A50,IP!$A$4:$N$153,12,FALSE),"")</f>
        <v/>
      </c>
      <c r="I50" s="2073" t="str">
        <f t="shared" si="12"/>
        <v/>
      </c>
      <c r="J50" s="2420"/>
      <c r="K50" s="3407" t="str">
        <f>IF($A50&lt;&gt;"",IFERROR(VLOOKUP(LEFT($A50,12),'Database (All)'!$A$7:$R$103,15,FALSE),""),
       IF($A50&lt;&gt;"",(VLOOKUP(LEFT($A50,12),'Database (All)'!$A$7:$R$103,15,FALSE)),""))</f>
        <v/>
      </c>
      <c r="L50" s="3409" t="str">
        <f>IF($A50&lt;&gt;"",IFERROR(VLOOKUP(LEFT($A50,12),'Database (All)'!$A$7:$R$103,18,FALSE),""),
                           IF($A50&lt;&gt;"",VLOOKUP(LEFT($A50,12),'Database (All)'!$A$7:$R$103,18,FALSE),""))</f>
        <v/>
      </c>
      <c r="M50" s="2448"/>
      <c r="N50" s="2435" t="str">
        <f t="shared" si="6"/>
        <v/>
      </c>
      <c r="O50" s="2313"/>
      <c r="P50" s="1666"/>
      <c r="Q50" s="1666"/>
      <c r="R50" s="1666"/>
      <c r="S50" s="1666"/>
      <c r="T50" s="1666"/>
      <c r="U50" s="1827"/>
    </row>
    <row r="51" spans="1:21">
      <c r="A51" s="1071"/>
      <c r="B51" s="2298" t="str">
        <f t="shared" si="7"/>
        <v/>
      </c>
      <c r="C51" s="2008" t="str">
        <f>IF($A51&lt;&gt;"",VLOOKUP($A51,IP!$A$4:$K$153,11,FALSE),"")</f>
        <v/>
      </c>
      <c r="D51" s="2008" t="str">
        <f t="shared" si="8"/>
        <v/>
      </c>
      <c r="E51" s="2073" t="str">
        <f t="shared" si="9"/>
        <v/>
      </c>
      <c r="F51" s="2073" t="str">
        <f t="shared" si="10"/>
        <v/>
      </c>
      <c r="G51" s="2073" t="str">
        <f t="shared" si="11"/>
        <v/>
      </c>
      <c r="H51" s="2008" t="str">
        <f>IF($A51&lt;&gt;"",VLOOKUP($A51,IP!$A$4:$N$153,12,FALSE),"")</f>
        <v/>
      </c>
      <c r="I51" s="2073" t="str">
        <f t="shared" si="12"/>
        <v/>
      </c>
      <c r="J51" s="2420"/>
      <c r="K51" s="3407" t="str">
        <f>IF($A51&lt;&gt;"",IFERROR(VLOOKUP(LEFT($A51,12),'Database (All)'!$A$7:$R$103,15,FALSE),""),
       IF($A51&lt;&gt;"",(VLOOKUP(LEFT($A51,12),'Database (All)'!$A$7:$R$103,15,FALSE)),""))</f>
        <v/>
      </c>
      <c r="L51" s="3409" t="str">
        <f>IF($A51&lt;&gt;"",IFERROR(VLOOKUP(LEFT($A51,12),'Database (All)'!$A$7:$R$103,18,FALSE),""),
                           IF($A51&lt;&gt;"",VLOOKUP(LEFT($A51,12),'Database (All)'!$A$7:$R$103,18,FALSE),""))</f>
        <v/>
      </c>
      <c r="M51" s="2448"/>
      <c r="N51" s="2435" t="str">
        <f t="shared" si="6"/>
        <v/>
      </c>
      <c r="O51" s="2313"/>
      <c r="P51" s="1666"/>
      <c r="Q51" s="1666"/>
      <c r="R51" s="1666"/>
      <c r="S51" s="1666"/>
      <c r="T51" s="1666"/>
      <c r="U51" s="1827"/>
    </row>
    <row r="52" spans="1:21">
      <c r="A52" s="1071"/>
      <c r="B52" s="2298" t="str">
        <f t="shared" si="7"/>
        <v/>
      </c>
      <c r="C52" s="2008" t="str">
        <f>IF($A52&lt;&gt;"",VLOOKUP($A52,IP!$A$4:$K$153,11,FALSE),"")</f>
        <v/>
      </c>
      <c r="D52" s="2008" t="str">
        <f t="shared" si="8"/>
        <v/>
      </c>
      <c r="E52" s="2073" t="str">
        <f t="shared" si="9"/>
        <v/>
      </c>
      <c r="F52" s="2073" t="str">
        <f t="shared" si="10"/>
        <v/>
      </c>
      <c r="G52" s="2073" t="str">
        <f t="shared" si="11"/>
        <v/>
      </c>
      <c r="H52" s="2008" t="str">
        <f>IF($A52&lt;&gt;"",VLOOKUP($A52,IP!$A$4:$N$153,12,FALSE),"")</f>
        <v/>
      </c>
      <c r="I52" s="2073" t="str">
        <f t="shared" si="12"/>
        <v/>
      </c>
      <c r="J52" s="2420"/>
      <c r="K52" s="3407" t="str">
        <f>IF($A52&lt;&gt;"",IFERROR(VLOOKUP(LEFT($A52,12),'Database (All)'!$A$7:$R$103,15,FALSE),""),
       IF($A52&lt;&gt;"",(VLOOKUP(LEFT($A52,12),'Database (All)'!$A$7:$R$103,15,FALSE)),""))</f>
        <v/>
      </c>
      <c r="L52" s="3409" t="str">
        <f>IF($A52&lt;&gt;"",IFERROR(VLOOKUP(LEFT($A52,12),'Database (All)'!$A$7:$R$103,18,FALSE),""),
                           IF($A52&lt;&gt;"",VLOOKUP(LEFT($A52,12),'Database (All)'!$A$7:$R$103,18,FALSE),""))</f>
        <v/>
      </c>
      <c r="M52" s="2448"/>
      <c r="N52" s="2435" t="str">
        <f t="shared" si="6"/>
        <v/>
      </c>
      <c r="O52" s="2313"/>
      <c r="P52" s="1666"/>
      <c r="Q52" s="1666"/>
      <c r="R52" s="1666"/>
      <c r="S52" s="1666"/>
      <c r="T52" s="1666"/>
      <c r="U52" s="1827"/>
    </row>
    <row r="53" spans="1:21">
      <c r="A53" s="1071"/>
      <c r="B53" s="2298" t="str">
        <f t="shared" si="7"/>
        <v/>
      </c>
      <c r="C53" s="2008" t="str">
        <f>IF($A53&lt;&gt;"",VLOOKUP($A53,IP!$A$4:$K$153,11,FALSE),"")</f>
        <v/>
      </c>
      <c r="D53" s="2008" t="str">
        <f t="shared" si="8"/>
        <v/>
      </c>
      <c r="E53" s="2073" t="str">
        <f t="shared" si="9"/>
        <v/>
      </c>
      <c r="F53" s="2073" t="str">
        <f t="shared" si="10"/>
        <v/>
      </c>
      <c r="G53" s="2073" t="str">
        <f t="shared" si="11"/>
        <v/>
      </c>
      <c r="H53" s="2008" t="str">
        <f>IF($A53&lt;&gt;"",VLOOKUP($A53,IP!$A$4:$N$153,12,FALSE),"")</f>
        <v/>
      </c>
      <c r="I53" s="2073" t="str">
        <f t="shared" si="12"/>
        <v/>
      </c>
      <c r="J53" s="2420"/>
      <c r="K53" s="3407" t="str">
        <f>IF($A53&lt;&gt;"",IFERROR(VLOOKUP(LEFT($A53,12),'Database (All)'!$A$7:$R$103,15,FALSE),""),
       IF($A53&lt;&gt;"",(VLOOKUP(LEFT($A53,12),'Database (All)'!$A$7:$R$103,15,FALSE)),""))</f>
        <v/>
      </c>
      <c r="L53" s="3409" t="str">
        <f>IF($A53&lt;&gt;"",IFERROR(VLOOKUP(LEFT($A53,12),'Database (All)'!$A$7:$R$103,18,FALSE),""),
                           IF($A53&lt;&gt;"",VLOOKUP(LEFT($A53,12),'Database (All)'!$A$7:$R$103,18,FALSE),""))</f>
        <v/>
      </c>
      <c r="M53" s="2448"/>
      <c r="N53" s="2435" t="str">
        <f t="shared" si="6"/>
        <v/>
      </c>
      <c r="O53" s="2313"/>
      <c r="P53" s="1666"/>
      <c r="Q53" s="1666"/>
      <c r="R53" s="1666"/>
      <c r="S53" s="1666"/>
      <c r="T53" s="1666"/>
      <c r="U53" s="1827"/>
    </row>
    <row r="54" spans="1:21">
      <c r="A54" s="1071"/>
      <c r="B54" s="2298" t="str">
        <f t="shared" si="7"/>
        <v/>
      </c>
      <c r="C54" s="2008" t="str">
        <f>IF($A54&lt;&gt;"",VLOOKUP($A54,IP!$A$4:$K$153,11,FALSE),"")</f>
        <v/>
      </c>
      <c r="D54" s="2008" t="str">
        <f t="shared" si="8"/>
        <v/>
      </c>
      <c r="E54" s="2073" t="str">
        <f t="shared" si="9"/>
        <v/>
      </c>
      <c r="F54" s="2073" t="str">
        <f t="shared" si="10"/>
        <v/>
      </c>
      <c r="G54" s="2073" t="str">
        <f t="shared" si="11"/>
        <v/>
      </c>
      <c r="H54" s="2008" t="str">
        <f>IF($A54&lt;&gt;"",VLOOKUP($A54,IP!$A$4:$N$153,12,FALSE),"")</f>
        <v/>
      </c>
      <c r="I54" s="2073" t="str">
        <f t="shared" si="12"/>
        <v/>
      </c>
      <c r="J54" s="2420"/>
      <c r="K54" s="3407" t="str">
        <f>IF($A54&lt;&gt;"",IFERROR(VLOOKUP(LEFT($A54,12),'Database (All)'!$A$7:$R$103,15,FALSE),""),
       IF($A54&lt;&gt;"",(VLOOKUP(LEFT($A54,12),'Database (All)'!$A$7:$R$103,15,FALSE)),""))</f>
        <v/>
      </c>
      <c r="L54" s="3409" t="str">
        <f>IF($A54&lt;&gt;"",IFERROR(VLOOKUP(LEFT($A54,12),'Database (All)'!$A$7:$R$103,18,FALSE),""),
                           IF($A54&lt;&gt;"",VLOOKUP(LEFT($A54,12),'Database (All)'!$A$7:$R$103,18,FALSE),""))</f>
        <v/>
      </c>
      <c r="M54" s="2448"/>
      <c r="N54" s="2435" t="str">
        <f t="shared" si="6"/>
        <v/>
      </c>
      <c r="O54" s="2313"/>
      <c r="P54" s="1666"/>
      <c r="Q54" s="1666"/>
      <c r="R54" s="1666"/>
      <c r="S54" s="1666"/>
      <c r="T54" s="1666"/>
      <c r="U54" s="1827"/>
    </row>
    <row r="55" spans="1:21">
      <c r="A55" s="1071"/>
      <c r="B55" s="2298" t="str">
        <f t="shared" si="7"/>
        <v/>
      </c>
      <c r="C55" s="2008" t="str">
        <f>IF($A55&lt;&gt;"",VLOOKUP($A55,IP!$A$4:$K$153,11,FALSE),"")</f>
        <v/>
      </c>
      <c r="D55" s="2008" t="str">
        <f t="shared" si="8"/>
        <v/>
      </c>
      <c r="E55" s="2073" t="str">
        <f t="shared" si="9"/>
        <v/>
      </c>
      <c r="F55" s="2073" t="str">
        <f t="shared" si="10"/>
        <v/>
      </c>
      <c r="G55" s="2073" t="str">
        <f t="shared" si="11"/>
        <v/>
      </c>
      <c r="H55" s="2008" t="str">
        <f>IF($A55&lt;&gt;"",VLOOKUP($A55,IP!$A$4:$N$153,12,FALSE),"")</f>
        <v/>
      </c>
      <c r="I55" s="2073" t="str">
        <f t="shared" si="12"/>
        <v/>
      </c>
      <c r="J55" s="2420"/>
      <c r="K55" s="3407" t="str">
        <f>IF($A55&lt;&gt;"",IFERROR(VLOOKUP(LEFT($A55,12),'Database (All)'!$A$7:$R$103,15,FALSE),""),
       IF($A55&lt;&gt;"",(VLOOKUP(LEFT($A55,12),'Database (All)'!$A$7:$R$103,15,FALSE)),""))</f>
        <v/>
      </c>
      <c r="L55" s="3409" t="str">
        <f>IF($A55&lt;&gt;"",IFERROR(VLOOKUP(LEFT($A55,12),'Database (All)'!$A$7:$R$103,18,FALSE),""),
                           IF($A55&lt;&gt;"",VLOOKUP(LEFT($A55,12),'Database (All)'!$A$7:$R$103,18,FALSE),""))</f>
        <v/>
      </c>
      <c r="M55" s="2448"/>
      <c r="N55" s="2435" t="str">
        <f t="shared" si="6"/>
        <v/>
      </c>
      <c r="O55" s="2313"/>
      <c r="P55" s="1666"/>
      <c r="Q55" s="1666"/>
      <c r="R55" s="1666"/>
      <c r="S55" s="1666"/>
      <c r="T55" s="1666"/>
      <c r="U55" s="1827"/>
    </row>
    <row r="56" spans="1:21">
      <c r="A56" s="1071"/>
      <c r="B56" s="2298" t="str">
        <f t="shared" si="7"/>
        <v/>
      </c>
      <c r="C56" s="2008" t="str">
        <f>IF($A56&lt;&gt;"",VLOOKUP($A56,IP!$A$4:$K$153,11,FALSE),"")</f>
        <v/>
      </c>
      <c r="D56" s="2008" t="str">
        <f t="shared" si="8"/>
        <v/>
      </c>
      <c r="E56" s="2073" t="str">
        <f t="shared" si="9"/>
        <v/>
      </c>
      <c r="F56" s="2073" t="str">
        <f t="shared" si="10"/>
        <v/>
      </c>
      <c r="G56" s="2073" t="str">
        <f t="shared" si="11"/>
        <v/>
      </c>
      <c r="H56" s="2008" t="str">
        <f>IF($A56&lt;&gt;"",VLOOKUP($A56,IP!$A$4:$N$153,12,FALSE),"")</f>
        <v/>
      </c>
      <c r="I56" s="2073" t="str">
        <f t="shared" si="12"/>
        <v/>
      </c>
      <c r="J56" s="2420"/>
      <c r="K56" s="3407" t="str">
        <f>IF($A56&lt;&gt;"",IFERROR(VLOOKUP(LEFT($A56,12),'Database (All)'!$A$7:$R$103,15,FALSE),""),
       IF($A56&lt;&gt;"",(VLOOKUP(LEFT($A56,12),'Database (All)'!$A$7:$R$103,15,FALSE)),""))</f>
        <v/>
      </c>
      <c r="L56" s="3409" t="str">
        <f>IF($A56&lt;&gt;"",IFERROR(VLOOKUP(LEFT($A56,12),'Database (All)'!$A$7:$R$103,18,FALSE),""),
                           IF($A56&lt;&gt;"",VLOOKUP(LEFT($A56,12),'Database (All)'!$A$7:$R$103,18,FALSE),""))</f>
        <v/>
      </c>
      <c r="M56" s="2448"/>
      <c r="N56" s="2435" t="str">
        <f t="shared" si="6"/>
        <v/>
      </c>
      <c r="O56" s="2313"/>
      <c r="P56" s="1666"/>
      <c r="Q56" s="1666"/>
      <c r="R56" s="1666"/>
      <c r="S56" s="1666"/>
      <c r="T56" s="1666"/>
      <c r="U56" s="1827"/>
    </row>
    <row r="57" spans="1:21">
      <c r="A57" s="1071"/>
      <c r="B57" s="2298" t="str">
        <f t="shared" si="7"/>
        <v/>
      </c>
      <c r="C57" s="2008" t="str">
        <f>IF($A57&lt;&gt;"",VLOOKUP($A57,IP!$A$4:$K$153,11,FALSE),"")</f>
        <v/>
      </c>
      <c r="D57" s="2008" t="str">
        <f t="shared" si="8"/>
        <v/>
      </c>
      <c r="E57" s="2073" t="str">
        <f t="shared" si="9"/>
        <v/>
      </c>
      <c r="F57" s="2073" t="str">
        <f t="shared" si="10"/>
        <v/>
      </c>
      <c r="G57" s="2073" t="str">
        <f t="shared" si="11"/>
        <v/>
      </c>
      <c r="H57" s="2008" t="str">
        <f>IF($A57&lt;&gt;"",VLOOKUP($A57,IP!$A$4:$N$153,12,FALSE),"")</f>
        <v/>
      </c>
      <c r="I57" s="2073" t="str">
        <f t="shared" si="12"/>
        <v/>
      </c>
      <c r="J57" s="2420"/>
      <c r="K57" s="3407" t="str">
        <f>IF($A57&lt;&gt;"",IFERROR(VLOOKUP(LEFT($A57,12),'Database (All)'!$A$7:$R$103,15,FALSE),""),
       IF($A57&lt;&gt;"",(VLOOKUP(LEFT($A57,12),'Database (All)'!$A$7:$R$103,15,FALSE)),""))</f>
        <v/>
      </c>
      <c r="L57" s="3409" t="str">
        <f>IF($A57&lt;&gt;"",IFERROR(VLOOKUP(LEFT($A57,12),'Database (All)'!$A$7:$R$103,18,FALSE),""),
                           IF($A57&lt;&gt;"",VLOOKUP(LEFT($A57,12),'Database (All)'!$A$7:$R$103,18,FALSE),""))</f>
        <v/>
      </c>
      <c r="M57" s="2448"/>
      <c r="N57" s="2435" t="str">
        <f t="shared" si="6"/>
        <v/>
      </c>
      <c r="O57" s="2313"/>
      <c r="P57" s="1666"/>
      <c r="Q57" s="1666"/>
      <c r="R57" s="1666"/>
      <c r="S57" s="1666"/>
      <c r="T57" s="1666"/>
      <c r="U57" s="1827"/>
    </row>
    <row r="58" spans="1:21">
      <c r="A58" s="1071"/>
      <c r="B58" s="2298" t="str">
        <f t="shared" si="7"/>
        <v/>
      </c>
      <c r="C58" s="2008" t="str">
        <f>IF($A58&lt;&gt;"",VLOOKUP($A58,IP!$A$4:$K$153,11,FALSE),"")</f>
        <v/>
      </c>
      <c r="D58" s="2008" t="str">
        <f t="shared" si="8"/>
        <v/>
      </c>
      <c r="E58" s="2073" t="str">
        <f t="shared" si="9"/>
        <v/>
      </c>
      <c r="F58" s="2073" t="str">
        <f t="shared" si="10"/>
        <v/>
      </c>
      <c r="G58" s="2073" t="str">
        <f t="shared" si="11"/>
        <v/>
      </c>
      <c r="H58" s="2008" t="str">
        <f>IF($A58&lt;&gt;"",VLOOKUP($A58,IP!$A$4:$N$153,12,FALSE),"")</f>
        <v/>
      </c>
      <c r="I58" s="2073" t="str">
        <f t="shared" si="12"/>
        <v/>
      </c>
      <c r="J58" s="2420"/>
      <c r="K58" s="3407" t="str">
        <f>IF($A58&lt;&gt;"",IFERROR(VLOOKUP(LEFT($A58,12),'Database (All)'!$A$7:$R$103,15,FALSE),""),
       IF($A58&lt;&gt;"",(VLOOKUP(LEFT($A58,12),'Database (All)'!$A$7:$R$103,15,FALSE)),""))</f>
        <v/>
      </c>
      <c r="L58" s="3409" t="str">
        <f>IF($A58&lt;&gt;"",IFERROR(VLOOKUP(LEFT($A58,12),'Database (All)'!$A$7:$R$103,18,FALSE),""),
                           IF($A58&lt;&gt;"",VLOOKUP(LEFT($A58,12),'Database (All)'!$A$7:$R$103,18,FALSE),""))</f>
        <v/>
      </c>
      <c r="M58" s="2448"/>
      <c r="N58" s="2435" t="str">
        <f t="shared" si="6"/>
        <v/>
      </c>
      <c r="O58" s="2313"/>
      <c r="P58" s="1666"/>
      <c r="Q58" s="1666"/>
      <c r="R58" s="1666"/>
      <c r="S58" s="1666"/>
      <c r="T58" s="1666"/>
      <c r="U58" s="1827"/>
    </row>
    <row r="59" spans="1:21">
      <c r="A59" s="1071"/>
      <c r="B59" s="2298" t="str">
        <f t="shared" si="7"/>
        <v/>
      </c>
      <c r="C59" s="2008" t="str">
        <f>IF($A59&lt;&gt;"",VLOOKUP($A59,IP!$A$4:$K$153,11,FALSE),"")</f>
        <v/>
      </c>
      <c r="D59" s="2008" t="str">
        <f t="shared" si="8"/>
        <v/>
      </c>
      <c r="E59" s="2073" t="str">
        <f t="shared" si="9"/>
        <v/>
      </c>
      <c r="F59" s="2073" t="str">
        <f t="shared" si="10"/>
        <v/>
      </c>
      <c r="G59" s="2073" t="str">
        <f t="shared" si="11"/>
        <v/>
      </c>
      <c r="H59" s="2008" t="str">
        <f>IF($A59&lt;&gt;"",VLOOKUP($A59,IP!$A$4:$N$153,12,FALSE),"")</f>
        <v/>
      </c>
      <c r="I59" s="2073" t="str">
        <f t="shared" si="12"/>
        <v/>
      </c>
      <c r="J59" s="2420"/>
      <c r="K59" s="3407" t="str">
        <f>IF($A59&lt;&gt;"",IFERROR(VLOOKUP(LEFT($A59,12),'Database (All)'!$A$7:$R$103,15,FALSE),""),
       IF($A59&lt;&gt;"",(VLOOKUP(LEFT($A59,12),'Database (All)'!$A$7:$R$103,15,FALSE)),""))</f>
        <v/>
      </c>
      <c r="L59" s="3409" t="str">
        <f>IF($A59&lt;&gt;"",IFERROR(VLOOKUP(LEFT($A59,12),'Database (All)'!$A$7:$R$103,18,FALSE),""),
                           IF($A59&lt;&gt;"",VLOOKUP(LEFT($A59,12),'Database (All)'!$A$7:$R$103,18,FALSE),""))</f>
        <v/>
      </c>
      <c r="M59" s="2448"/>
      <c r="N59" s="2435" t="str">
        <f t="shared" si="6"/>
        <v/>
      </c>
      <c r="O59" s="2313"/>
      <c r="P59" s="1666"/>
      <c r="Q59" s="1666"/>
      <c r="R59" s="1666"/>
      <c r="S59" s="1666"/>
      <c r="T59" s="1666"/>
      <c r="U59" s="1827"/>
    </row>
    <row r="60" spans="1:21">
      <c r="A60" s="1071"/>
      <c r="B60" s="2298" t="str">
        <f t="shared" si="7"/>
        <v/>
      </c>
      <c r="C60" s="2008" t="str">
        <f>IF($A60&lt;&gt;"",VLOOKUP($A60,IP!$A$4:$K$153,11,FALSE),"")</f>
        <v/>
      </c>
      <c r="D60" s="2008" t="str">
        <f t="shared" si="8"/>
        <v/>
      </c>
      <c r="E60" s="2073" t="str">
        <f t="shared" si="9"/>
        <v/>
      </c>
      <c r="F60" s="2073" t="str">
        <f t="shared" si="10"/>
        <v/>
      </c>
      <c r="G60" s="2073" t="str">
        <f t="shared" si="11"/>
        <v/>
      </c>
      <c r="H60" s="2008" t="str">
        <f>IF($A60&lt;&gt;"",VLOOKUP($A60,IP!$A$4:$N$153,12,FALSE),"")</f>
        <v/>
      </c>
      <c r="I60" s="2073" t="str">
        <f t="shared" si="12"/>
        <v/>
      </c>
      <c r="J60" s="2420"/>
      <c r="K60" s="3407" t="str">
        <f>IF($A60&lt;&gt;"",IFERROR(VLOOKUP(LEFT($A60,12),'Database (All)'!$A$7:$R$103,15,FALSE),""),
       IF($A60&lt;&gt;"",(VLOOKUP(LEFT($A60,12),'Database (All)'!$A$7:$R$103,15,FALSE)),""))</f>
        <v/>
      </c>
      <c r="L60" s="3409" t="str">
        <f>IF($A60&lt;&gt;"",IFERROR(VLOOKUP(LEFT($A60,12),'Database (All)'!$A$7:$R$103,18,FALSE),""),
                           IF($A60&lt;&gt;"",VLOOKUP(LEFT($A60,12),'Database (All)'!$A$7:$R$103,18,FALSE),""))</f>
        <v/>
      </c>
      <c r="M60" s="2448"/>
      <c r="N60" s="2435" t="str">
        <f t="shared" si="6"/>
        <v/>
      </c>
      <c r="O60" s="2313"/>
      <c r="P60" s="1666"/>
      <c r="Q60" s="1666"/>
      <c r="R60" s="1666"/>
      <c r="S60" s="1666"/>
      <c r="T60" s="1666"/>
      <c r="U60" s="1827"/>
    </row>
    <row r="61" spans="1:21">
      <c r="A61" s="1071"/>
      <c r="B61" s="2298" t="str">
        <f t="shared" si="7"/>
        <v/>
      </c>
      <c r="C61" s="2008" t="str">
        <f>IF($A61&lt;&gt;"",VLOOKUP($A61,IP!$A$4:$K$153,11,FALSE),"")</f>
        <v/>
      </c>
      <c r="D61" s="2008" t="str">
        <f t="shared" si="8"/>
        <v/>
      </c>
      <c r="E61" s="2073" t="str">
        <f t="shared" si="9"/>
        <v/>
      </c>
      <c r="F61" s="2073" t="str">
        <f t="shared" si="10"/>
        <v/>
      </c>
      <c r="G61" s="2073" t="str">
        <f t="shared" si="11"/>
        <v/>
      </c>
      <c r="H61" s="2008" t="str">
        <f>IF($A61&lt;&gt;"",VLOOKUP($A61,IP!$A$4:$N$153,12,FALSE),"")</f>
        <v/>
      </c>
      <c r="I61" s="2073" t="str">
        <f t="shared" si="12"/>
        <v/>
      </c>
      <c r="J61" s="2420"/>
      <c r="K61" s="3407" t="str">
        <f>IF($A61&lt;&gt;"",IFERROR(VLOOKUP(LEFT($A61,12),'Database (All)'!$A$7:$R$103,15,FALSE),""),
       IF($A61&lt;&gt;"",(VLOOKUP(LEFT($A61,12),'Database (All)'!$A$7:$R$103,15,FALSE)),""))</f>
        <v/>
      </c>
      <c r="L61" s="3409" t="str">
        <f>IF($A61&lt;&gt;"",IFERROR(VLOOKUP(LEFT($A61,12),'Database (All)'!$A$7:$R$103,18,FALSE),""),
                           IF($A61&lt;&gt;"",VLOOKUP(LEFT($A61,12),'Database (All)'!$A$7:$R$103,18,FALSE),""))</f>
        <v/>
      </c>
      <c r="M61" s="2448"/>
      <c r="N61" s="2435" t="str">
        <f t="shared" si="6"/>
        <v/>
      </c>
      <c r="O61" s="2313"/>
      <c r="P61" s="1666"/>
      <c r="Q61" s="1666"/>
      <c r="R61" s="1666"/>
      <c r="S61" s="1666"/>
      <c r="T61" s="1666"/>
      <c r="U61" s="1827"/>
    </row>
    <row r="62" spans="1:21">
      <c r="A62" s="1071"/>
      <c r="B62" s="2298" t="str">
        <f t="shared" si="7"/>
        <v/>
      </c>
      <c r="C62" s="2008" t="str">
        <f>IF($A62&lt;&gt;"",VLOOKUP($A62,IP!$A$4:$K$153,11,FALSE),"")</f>
        <v/>
      </c>
      <c r="D62" s="2008" t="str">
        <f t="shared" si="8"/>
        <v/>
      </c>
      <c r="E62" s="2073" t="str">
        <f t="shared" si="9"/>
        <v/>
      </c>
      <c r="F62" s="2073" t="str">
        <f t="shared" si="10"/>
        <v/>
      </c>
      <c r="G62" s="2073" t="str">
        <f t="shared" si="11"/>
        <v/>
      </c>
      <c r="H62" s="2008" t="str">
        <f>IF($A62&lt;&gt;"",VLOOKUP($A62,IP!$A$4:$N$153,12,FALSE),"")</f>
        <v/>
      </c>
      <c r="I62" s="2073" t="str">
        <f t="shared" si="12"/>
        <v/>
      </c>
      <c r="J62" s="2420"/>
      <c r="K62" s="3407" t="str">
        <f>IF($A62&lt;&gt;"",IFERROR(VLOOKUP(LEFT($A62,12),'Database (All)'!$A$7:$R$103,15,FALSE),""),
       IF($A62&lt;&gt;"",(VLOOKUP(LEFT($A62,12),'Database (All)'!$A$7:$R$103,15,FALSE)),""))</f>
        <v/>
      </c>
      <c r="L62" s="3409" t="str">
        <f>IF($A62&lt;&gt;"",IFERROR(VLOOKUP(LEFT($A62,12),'Database (All)'!$A$7:$R$103,18,FALSE),""),
                           IF($A62&lt;&gt;"",VLOOKUP(LEFT($A62,12),'Database (All)'!$A$7:$R$103,18,FALSE),""))</f>
        <v/>
      </c>
      <c r="M62" s="2448"/>
      <c r="N62" s="2435" t="str">
        <f t="shared" si="6"/>
        <v/>
      </c>
      <c r="O62" s="2313"/>
      <c r="P62" s="1666"/>
      <c r="Q62" s="1666"/>
      <c r="R62" s="1666"/>
      <c r="S62" s="1666"/>
      <c r="T62" s="1666"/>
      <c r="U62" s="1827"/>
    </row>
    <row r="63" spans="1:21">
      <c r="A63" s="1071"/>
      <c r="B63" s="2298" t="str">
        <f t="shared" si="7"/>
        <v/>
      </c>
      <c r="C63" s="2008" t="str">
        <f>IF($A63&lt;&gt;"",VLOOKUP($A63,IP!$A$4:$K$153,11,FALSE),"")</f>
        <v/>
      </c>
      <c r="D63" s="2008" t="str">
        <f t="shared" si="8"/>
        <v/>
      </c>
      <c r="E63" s="2073" t="str">
        <f t="shared" si="9"/>
        <v/>
      </c>
      <c r="F63" s="2073" t="str">
        <f t="shared" si="10"/>
        <v/>
      </c>
      <c r="G63" s="2073" t="str">
        <f t="shared" si="11"/>
        <v/>
      </c>
      <c r="H63" s="2008" t="str">
        <f>IF($A63&lt;&gt;"",VLOOKUP($A63,IP!$A$4:$N$153,12,FALSE),"")</f>
        <v/>
      </c>
      <c r="I63" s="2073" t="str">
        <f t="shared" si="12"/>
        <v/>
      </c>
      <c r="J63" s="2420"/>
      <c r="K63" s="3407" t="str">
        <f>IF($A63&lt;&gt;"",IFERROR(VLOOKUP(LEFT($A63,12),'Database (All)'!$A$7:$R$103,15,FALSE),""),
       IF($A63&lt;&gt;"",(VLOOKUP(LEFT($A63,12),'Database (All)'!$A$7:$R$103,15,FALSE)),""))</f>
        <v/>
      </c>
      <c r="L63" s="3409" t="str">
        <f>IF($A63&lt;&gt;"",IFERROR(VLOOKUP(LEFT($A63,12),'Database (All)'!$A$7:$R$103,18,FALSE),""),
                           IF($A63&lt;&gt;"",VLOOKUP(LEFT($A63,12),'Database (All)'!$A$7:$R$103,18,FALSE),""))</f>
        <v/>
      </c>
      <c r="M63" s="2448"/>
      <c r="N63" s="2435" t="str">
        <f t="shared" si="6"/>
        <v/>
      </c>
      <c r="O63" s="2313"/>
      <c r="P63" s="1666"/>
      <c r="Q63" s="1666"/>
      <c r="R63" s="1666"/>
      <c r="S63" s="1666"/>
      <c r="T63" s="1666"/>
      <c r="U63" s="1827"/>
    </row>
    <row r="64" spans="1:21">
      <c r="A64" s="1071"/>
      <c r="B64" s="2298" t="str">
        <f t="shared" si="7"/>
        <v/>
      </c>
      <c r="C64" s="2008" t="str">
        <f>IF($A64&lt;&gt;"",VLOOKUP($A64,IP!$A$4:$K$153,11,FALSE),"")</f>
        <v/>
      </c>
      <c r="D64" s="2008" t="str">
        <f t="shared" si="8"/>
        <v/>
      </c>
      <c r="E64" s="2073" t="str">
        <f t="shared" si="9"/>
        <v/>
      </c>
      <c r="F64" s="2073" t="str">
        <f t="shared" si="10"/>
        <v/>
      </c>
      <c r="G64" s="2073" t="str">
        <f t="shared" si="11"/>
        <v/>
      </c>
      <c r="H64" s="2008" t="str">
        <f>IF($A64&lt;&gt;"",VLOOKUP($A64,IP!$A$4:$N$153,12,FALSE),"")</f>
        <v/>
      </c>
      <c r="I64" s="2073" t="str">
        <f t="shared" si="12"/>
        <v/>
      </c>
      <c r="J64" s="2420"/>
      <c r="K64" s="3407" t="str">
        <f>IF($A64&lt;&gt;"",IFERROR(VLOOKUP(LEFT($A64,12),'Database (All)'!$A$7:$R$103,15,FALSE),""),
       IF($A64&lt;&gt;"",(VLOOKUP(LEFT($A64,12),'Database (All)'!$A$7:$R$103,15,FALSE)),""))</f>
        <v/>
      </c>
      <c r="L64" s="3409" t="str">
        <f>IF($A64&lt;&gt;"",IFERROR(VLOOKUP(LEFT($A64,12),'Database (All)'!$A$7:$R$103,18,FALSE),""),
                           IF($A64&lt;&gt;"",VLOOKUP(LEFT($A64,12),'Database (All)'!$A$7:$R$103,18,FALSE),""))</f>
        <v/>
      </c>
      <c r="M64" s="2448"/>
      <c r="N64" s="2435" t="str">
        <f t="shared" si="6"/>
        <v/>
      </c>
      <c r="O64" s="2313"/>
      <c r="P64" s="1666"/>
      <c r="Q64" s="1666"/>
      <c r="R64" s="1666"/>
      <c r="S64" s="1666"/>
      <c r="T64" s="1666"/>
      <c r="U64" s="1827"/>
    </row>
    <row r="65" spans="1:21">
      <c r="A65" s="1071"/>
      <c r="B65" s="2298" t="str">
        <f t="shared" si="7"/>
        <v/>
      </c>
      <c r="C65" s="2008" t="str">
        <f>IF($A65&lt;&gt;"",VLOOKUP($A65,IP!$A$4:$K$153,11,FALSE),"")</f>
        <v/>
      </c>
      <c r="D65" s="2008" t="str">
        <f t="shared" si="8"/>
        <v/>
      </c>
      <c r="E65" s="2073" t="str">
        <f t="shared" si="9"/>
        <v/>
      </c>
      <c r="F65" s="2073" t="str">
        <f t="shared" si="10"/>
        <v/>
      </c>
      <c r="G65" s="2073" t="str">
        <f t="shared" si="11"/>
        <v/>
      </c>
      <c r="H65" s="2008" t="str">
        <f>IF($A65&lt;&gt;"",VLOOKUP($A65,IP!$A$4:$N$153,12,FALSE),"")</f>
        <v/>
      </c>
      <c r="I65" s="2073" t="str">
        <f t="shared" si="12"/>
        <v/>
      </c>
      <c r="J65" s="2420"/>
      <c r="K65" s="3407" t="str">
        <f>IF($A65&lt;&gt;"",IFERROR(VLOOKUP(LEFT($A65,12),'Database (All)'!$A$7:$R$103,15,FALSE),""),
       IF($A65&lt;&gt;"",(VLOOKUP(LEFT($A65,12),'Database (All)'!$A$7:$R$103,15,FALSE)),""))</f>
        <v/>
      </c>
      <c r="L65" s="3409" t="str">
        <f>IF($A65&lt;&gt;"",IFERROR(VLOOKUP(LEFT($A65,12),'Database (All)'!$A$7:$R$103,18,FALSE),""),
                           IF($A65&lt;&gt;"",VLOOKUP(LEFT($A65,12),'Database (All)'!$A$7:$R$103,18,FALSE),""))</f>
        <v/>
      </c>
      <c r="M65" s="2448"/>
      <c r="N65" s="2435" t="str">
        <f t="shared" si="6"/>
        <v/>
      </c>
      <c r="O65" s="2313"/>
      <c r="P65" s="1666"/>
      <c r="Q65" s="1666"/>
      <c r="R65" s="1666"/>
      <c r="S65" s="1666"/>
      <c r="T65" s="1666"/>
      <c r="U65" s="1827"/>
    </row>
    <row r="66" spans="1:21">
      <c r="A66" s="1071"/>
      <c r="B66" s="2298" t="str">
        <f t="shared" si="7"/>
        <v/>
      </c>
      <c r="C66" s="2008" t="str">
        <f>IF($A66&lt;&gt;"",VLOOKUP($A66,IP!$A$4:$K$153,11,FALSE),"")</f>
        <v/>
      </c>
      <c r="D66" s="2008" t="str">
        <f t="shared" si="8"/>
        <v/>
      </c>
      <c r="E66" s="2073" t="str">
        <f t="shared" si="9"/>
        <v/>
      </c>
      <c r="F66" s="2073" t="str">
        <f t="shared" si="10"/>
        <v/>
      </c>
      <c r="G66" s="2073" t="str">
        <f t="shared" si="11"/>
        <v/>
      </c>
      <c r="H66" s="2008" t="str">
        <f>IF($A66&lt;&gt;"",VLOOKUP($A66,IP!$A$4:$N$153,12,FALSE),"")</f>
        <v/>
      </c>
      <c r="I66" s="2073" t="str">
        <f t="shared" si="12"/>
        <v/>
      </c>
      <c r="J66" s="2420"/>
      <c r="K66" s="3407" t="str">
        <f>IF($A66&lt;&gt;"",IFERROR(VLOOKUP(LEFT($A66,12),'Database (All)'!$A$7:$R$103,15,FALSE),""),
       IF($A66&lt;&gt;"",(VLOOKUP(LEFT($A66,12),'Database (All)'!$A$7:$R$103,15,FALSE)),""))</f>
        <v/>
      </c>
      <c r="L66" s="3409" t="str">
        <f>IF($A66&lt;&gt;"",IFERROR(VLOOKUP(LEFT($A66,12),'Database (All)'!$A$7:$R$103,18,FALSE),""),
                           IF($A66&lt;&gt;"",VLOOKUP(LEFT($A66,12),'Database (All)'!$A$7:$R$103,18,FALSE),""))</f>
        <v/>
      </c>
      <c r="M66" s="2448"/>
      <c r="N66" s="2435" t="str">
        <f t="shared" si="6"/>
        <v/>
      </c>
      <c r="O66" s="2313"/>
      <c r="P66" s="1666"/>
      <c r="Q66" s="1666"/>
      <c r="R66" s="1666"/>
      <c r="S66" s="1666"/>
      <c r="T66" s="1666"/>
      <c r="U66" s="1827"/>
    </row>
    <row r="67" spans="1:21">
      <c r="A67" s="1071"/>
      <c r="B67" s="2298" t="str">
        <f t="shared" ref="B67:B100" si="13">IF($A67&lt;&gt;"",VLOOKUP(LEFT($A67,12),dist_assets,3,FALSE),"")</f>
        <v/>
      </c>
      <c r="C67" s="2008" t="str">
        <f>IF($A67&lt;&gt;"",VLOOKUP($A67,IP!$A$4:$K$153,11,FALSE),"")</f>
        <v/>
      </c>
      <c r="D67" s="2008" t="str">
        <f t="shared" ref="D67:D100" si="14">IF($A67&lt;&gt;"",VLOOKUP(LEFT($A67,12),dist_assets,9,FALSE),"")</f>
        <v/>
      </c>
      <c r="E67" s="2073" t="str">
        <f t="shared" ref="E67:E100" si="15">IF($A67&lt;&gt;"",IF(VLOOKUP(LEFT($A67,12),dist_assets,4,FALSE)&lt;&gt;"",VLOOKUP(LEFT($A67,12),dist_assets,4,FALSE)),"")</f>
        <v/>
      </c>
      <c r="F67" s="2073" t="str">
        <f t="shared" ref="F67:F100" si="16">IF($A67&lt;&gt;"",IFERROR(VLOOKUP(LEFT($A67,12),dist_assets,23,FALSE),VLOOKUP(LEFT($A67,12),dist_assets,23,FALSE)),"")</f>
        <v/>
      </c>
      <c r="G67" s="2073" t="str">
        <f t="shared" ref="G67:G100" si="17">IF($A67&lt;&gt;"",IFERROR(VLOOKUP(LEFT($A67,12),dist_assets,24,FALSE),VLOOKUP(LEFT($A67,12),dist_assets,24,FALSE)),"")</f>
        <v/>
      </c>
      <c r="H67" s="2008" t="str">
        <f>IF($A67&lt;&gt;"",VLOOKUP($A67,IP!$A$4:$N$153,12,FALSE),"")</f>
        <v/>
      </c>
      <c r="I67" s="2073" t="str">
        <f t="shared" ref="I67:I100" si="18">IF($E67="Oracle-RAC", "requires special config","")</f>
        <v/>
      </c>
      <c r="J67" s="2420"/>
      <c r="K67" s="3407" t="str">
        <f>IF($A67&lt;&gt;"",IFERROR(VLOOKUP(LEFT($A67,12),'Database (All)'!$A$7:$R$103,15,FALSE),""),
       IF($A67&lt;&gt;"",(VLOOKUP(LEFT($A67,12),'Database (All)'!$A$7:$R$103,15,FALSE)),""))</f>
        <v/>
      </c>
      <c r="L67" s="3409" t="str">
        <f>IF($A67&lt;&gt;"",IFERROR(VLOOKUP(LEFT($A67,12),'Database (All)'!$A$7:$R$103,18,FALSE),""),
                           IF($A67&lt;&gt;"",VLOOKUP(LEFT($A67,12),'Database (All)'!$A$7:$R$103,18,FALSE),""))</f>
        <v/>
      </c>
      <c r="M67" s="2448"/>
      <c r="N67" s="2435" t="str">
        <f t="shared" si="6"/>
        <v/>
      </c>
      <c r="O67" s="2313"/>
      <c r="P67" s="1666"/>
      <c r="Q67" s="1666"/>
      <c r="R67" s="1666"/>
      <c r="S67" s="1666"/>
      <c r="T67" s="1666"/>
      <c r="U67" s="1827"/>
    </row>
    <row r="68" spans="1:21">
      <c r="A68" s="1071"/>
      <c r="B68" s="2298" t="str">
        <f t="shared" si="13"/>
        <v/>
      </c>
      <c r="C68" s="2008" t="str">
        <f>IF($A68&lt;&gt;"",VLOOKUP($A68,IP!$A$4:$K$153,11,FALSE),"")</f>
        <v/>
      </c>
      <c r="D68" s="2008" t="str">
        <f t="shared" si="14"/>
        <v/>
      </c>
      <c r="E68" s="2073" t="str">
        <f t="shared" si="15"/>
        <v/>
      </c>
      <c r="F68" s="2073" t="str">
        <f t="shared" si="16"/>
        <v/>
      </c>
      <c r="G68" s="2073" t="str">
        <f t="shared" si="17"/>
        <v/>
      </c>
      <c r="H68" s="2008" t="str">
        <f>IF($A68&lt;&gt;"",VLOOKUP($A68,IP!$A$4:$N$153,12,FALSE),"")</f>
        <v/>
      </c>
      <c r="I68" s="2073" t="str">
        <f t="shared" si="18"/>
        <v/>
      </c>
      <c r="J68" s="2420"/>
      <c r="K68" s="3407" t="str">
        <f>IF($A68&lt;&gt;"",IFERROR(VLOOKUP(LEFT($A68,12),'Database (All)'!$A$7:$R$103,15,FALSE),""),
       IF($A68&lt;&gt;"",(VLOOKUP(LEFT($A68,12),'Database (All)'!$A$7:$R$103,15,FALSE)),""))</f>
        <v/>
      </c>
      <c r="L68" s="3409" t="str">
        <f>IF($A68&lt;&gt;"",IFERROR(VLOOKUP(LEFT($A68,12),'Database (All)'!$A$7:$R$103,18,FALSE),""),
                           IF($A68&lt;&gt;"",VLOOKUP(LEFT($A68,12),'Database (All)'!$A$7:$R$103,18,FALSE),""))</f>
        <v/>
      </c>
      <c r="M68" s="2448"/>
      <c r="N68" s="2435" t="str">
        <f t="shared" ref="N68:N100" si="19">IF($A68&lt;&gt;"",
        IF($D68="Windows","HCLadmin, Mistadmin",
             IF(OR($D68="Linux", $D68="AIX"), "root","")),"")</f>
        <v/>
      </c>
      <c r="O68" s="2313"/>
      <c r="P68" s="1666"/>
      <c r="Q68" s="1666"/>
      <c r="R68" s="1666"/>
      <c r="S68" s="1666"/>
      <c r="T68" s="1666"/>
      <c r="U68" s="1827"/>
    </row>
    <row r="69" spans="1:21">
      <c r="A69" s="1071"/>
      <c r="B69" s="2298" t="str">
        <f t="shared" si="13"/>
        <v/>
      </c>
      <c r="C69" s="2008" t="str">
        <f>IF($A69&lt;&gt;"",VLOOKUP($A69,IP!$A$4:$K$153,11,FALSE),"")</f>
        <v/>
      </c>
      <c r="D69" s="2008" t="str">
        <f t="shared" si="14"/>
        <v/>
      </c>
      <c r="E69" s="2073" t="str">
        <f t="shared" si="15"/>
        <v/>
      </c>
      <c r="F69" s="2073" t="str">
        <f t="shared" si="16"/>
        <v/>
      </c>
      <c r="G69" s="2073" t="str">
        <f t="shared" si="17"/>
        <v/>
      </c>
      <c r="H69" s="2008" t="str">
        <f>IF($A69&lt;&gt;"",VLOOKUP($A69,IP!$A$4:$N$153,12,FALSE),"")</f>
        <v/>
      </c>
      <c r="I69" s="2073" t="str">
        <f t="shared" si="18"/>
        <v/>
      </c>
      <c r="J69" s="2420"/>
      <c r="K69" s="3407" t="str">
        <f>IF($A69&lt;&gt;"",IFERROR(VLOOKUP(LEFT($A69,12),'Database (All)'!$A$7:$R$103,15,FALSE),""),
       IF($A69&lt;&gt;"",(VLOOKUP(LEFT($A69,12),'Database (All)'!$A$7:$R$103,15,FALSE)),""))</f>
        <v/>
      </c>
      <c r="L69" s="3409" t="str">
        <f>IF($A69&lt;&gt;"",IFERROR(VLOOKUP(LEFT($A69,12),'Database (All)'!$A$7:$R$103,18,FALSE),""),
                           IF($A69&lt;&gt;"",VLOOKUP(LEFT($A69,12),'Database (All)'!$A$7:$R$103,18,FALSE),""))</f>
        <v/>
      </c>
      <c r="M69" s="2448"/>
      <c r="N69" s="2435" t="str">
        <f t="shared" si="19"/>
        <v/>
      </c>
      <c r="O69" s="2313"/>
      <c r="P69" s="1666"/>
      <c r="Q69" s="1666"/>
      <c r="R69" s="1666"/>
      <c r="S69" s="1666"/>
      <c r="T69" s="1666"/>
      <c r="U69" s="1827"/>
    </row>
    <row r="70" spans="1:21">
      <c r="A70" s="1071"/>
      <c r="B70" s="2298" t="str">
        <f t="shared" si="13"/>
        <v/>
      </c>
      <c r="C70" s="2008" t="str">
        <f>IF($A70&lt;&gt;"",VLOOKUP($A70,IP!$A$4:$K$153,11,FALSE),"")</f>
        <v/>
      </c>
      <c r="D70" s="2008" t="str">
        <f t="shared" si="14"/>
        <v/>
      </c>
      <c r="E70" s="2073" t="str">
        <f t="shared" si="15"/>
        <v/>
      </c>
      <c r="F70" s="2073" t="str">
        <f t="shared" si="16"/>
        <v/>
      </c>
      <c r="G70" s="2073" t="str">
        <f t="shared" si="17"/>
        <v/>
      </c>
      <c r="H70" s="2008" t="str">
        <f>IF($A70&lt;&gt;"",VLOOKUP($A70,IP!$A$4:$N$153,12,FALSE),"")</f>
        <v/>
      </c>
      <c r="I70" s="2073" t="str">
        <f t="shared" si="18"/>
        <v/>
      </c>
      <c r="J70" s="2420"/>
      <c r="K70" s="3407" t="str">
        <f>IF($A70&lt;&gt;"",IFERROR(VLOOKUP(LEFT($A70,12),'Database (All)'!$A$7:$R$103,15,FALSE),""),
       IF($A70&lt;&gt;"",(VLOOKUP(LEFT($A70,12),'Database (All)'!$A$7:$R$103,15,FALSE)),""))</f>
        <v/>
      </c>
      <c r="L70" s="3409" t="str">
        <f>IF($A70&lt;&gt;"",IFERROR(VLOOKUP(LEFT($A70,12),'Database (All)'!$A$7:$R$103,18,FALSE),""),
                           IF($A70&lt;&gt;"",VLOOKUP(LEFT($A70,12),'Database (All)'!$A$7:$R$103,18,FALSE),""))</f>
        <v/>
      </c>
      <c r="M70" s="2448"/>
      <c r="N70" s="2435" t="str">
        <f t="shared" si="19"/>
        <v/>
      </c>
      <c r="O70" s="2313"/>
      <c r="P70" s="1666"/>
      <c r="Q70" s="1666"/>
      <c r="R70" s="1666"/>
      <c r="S70" s="1666"/>
      <c r="T70" s="1666"/>
      <c r="U70" s="1827"/>
    </row>
    <row r="71" spans="1:21">
      <c r="A71" s="1071"/>
      <c r="B71" s="2298" t="str">
        <f t="shared" si="13"/>
        <v/>
      </c>
      <c r="C71" s="2008" t="str">
        <f>IF($A71&lt;&gt;"",VLOOKUP($A71,IP!$A$4:$K$153,11,FALSE),"")</f>
        <v/>
      </c>
      <c r="D71" s="2008" t="str">
        <f t="shared" si="14"/>
        <v/>
      </c>
      <c r="E71" s="2073" t="str">
        <f t="shared" si="15"/>
        <v/>
      </c>
      <c r="F71" s="2073" t="str">
        <f t="shared" si="16"/>
        <v/>
      </c>
      <c r="G71" s="2073" t="str">
        <f t="shared" si="17"/>
        <v/>
      </c>
      <c r="H71" s="2008" t="str">
        <f>IF($A71&lt;&gt;"",VLOOKUP($A71,IP!$A$4:$N$153,12,FALSE),"")</f>
        <v/>
      </c>
      <c r="I71" s="2073" t="str">
        <f t="shared" si="18"/>
        <v/>
      </c>
      <c r="J71" s="2420"/>
      <c r="K71" s="3407" t="str">
        <f>IF($A71&lt;&gt;"",IFERROR(VLOOKUP(LEFT($A71,12),'Database (All)'!$A$7:$R$103,15,FALSE),""),
       IF($A71&lt;&gt;"",(VLOOKUP(LEFT($A71,12),'Database (All)'!$A$7:$R$103,15,FALSE)),""))</f>
        <v/>
      </c>
      <c r="L71" s="3409" t="str">
        <f>IF($A71&lt;&gt;"",IFERROR(VLOOKUP(LEFT($A71,12),'Database (All)'!$A$7:$R$103,18,FALSE),""),
                           IF($A71&lt;&gt;"",VLOOKUP(LEFT($A71,12),'Database (All)'!$A$7:$R$103,18,FALSE),""))</f>
        <v/>
      </c>
      <c r="M71" s="2448"/>
      <c r="N71" s="2435" t="str">
        <f t="shared" si="19"/>
        <v/>
      </c>
      <c r="O71" s="2313"/>
      <c r="P71" s="1666"/>
      <c r="Q71" s="1666"/>
      <c r="R71" s="1666"/>
      <c r="S71" s="1666"/>
      <c r="T71" s="1666"/>
      <c r="U71" s="1827"/>
    </row>
    <row r="72" spans="1:21">
      <c r="A72" s="1071"/>
      <c r="B72" s="2298" t="str">
        <f t="shared" si="13"/>
        <v/>
      </c>
      <c r="C72" s="2008" t="str">
        <f>IF($A72&lt;&gt;"",VLOOKUP($A72,IP!$A$4:$K$153,11,FALSE),"")</f>
        <v/>
      </c>
      <c r="D72" s="2008" t="str">
        <f t="shared" si="14"/>
        <v/>
      </c>
      <c r="E72" s="2073" t="str">
        <f t="shared" si="15"/>
        <v/>
      </c>
      <c r="F72" s="2073" t="str">
        <f t="shared" si="16"/>
        <v/>
      </c>
      <c r="G72" s="2073" t="str">
        <f t="shared" si="17"/>
        <v/>
      </c>
      <c r="H72" s="2008" t="str">
        <f>IF($A72&lt;&gt;"",VLOOKUP($A72,IP!$A$4:$N$153,12,FALSE),"")</f>
        <v/>
      </c>
      <c r="I72" s="2073" t="str">
        <f t="shared" si="18"/>
        <v/>
      </c>
      <c r="J72" s="2420"/>
      <c r="K72" s="3407" t="str">
        <f>IF($A72&lt;&gt;"",IFERROR(VLOOKUP(LEFT($A72,12),'Database (All)'!$A$7:$R$103,15,FALSE),""),
       IF($A72&lt;&gt;"",(VLOOKUP(LEFT($A72,12),'Database (All)'!$A$7:$R$103,15,FALSE)),""))</f>
        <v/>
      </c>
      <c r="L72" s="3409" t="str">
        <f>IF($A72&lt;&gt;"",IFERROR(VLOOKUP(LEFT($A72,12),'Database (All)'!$A$7:$R$103,18,FALSE),""),
                           IF($A72&lt;&gt;"",VLOOKUP(LEFT($A72,12),'Database (All)'!$A$7:$R$103,18,FALSE),""))</f>
        <v/>
      </c>
      <c r="M72" s="2448"/>
      <c r="N72" s="2435" t="str">
        <f t="shared" si="19"/>
        <v/>
      </c>
      <c r="O72" s="2313"/>
      <c r="P72" s="1666"/>
      <c r="Q72" s="1666"/>
      <c r="R72" s="1666"/>
      <c r="S72" s="1666"/>
      <c r="T72" s="1666"/>
      <c r="U72" s="1827"/>
    </row>
    <row r="73" spans="1:21">
      <c r="A73" s="1071"/>
      <c r="B73" s="2298" t="str">
        <f t="shared" si="13"/>
        <v/>
      </c>
      <c r="C73" s="2008" t="str">
        <f>IF($A73&lt;&gt;"",VLOOKUP($A73,IP!$A$4:$K$153,11,FALSE),"")</f>
        <v/>
      </c>
      <c r="D73" s="2008" t="str">
        <f t="shared" si="14"/>
        <v/>
      </c>
      <c r="E73" s="2073" t="str">
        <f t="shared" si="15"/>
        <v/>
      </c>
      <c r="F73" s="2073" t="str">
        <f t="shared" si="16"/>
        <v/>
      </c>
      <c r="G73" s="2073" t="str">
        <f t="shared" si="17"/>
        <v/>
      </c>
      <c r="H73" s="2008" t="str">
        <f>IF($A73&lt;&gt;"",VLOOKUP($A73,IP!$A$4:$N$153,12,FALSE),"")</f>
        <v/>
      </c>
      <c r="I73" s="2073" t="str">
        <f t="shared" si="18"/>
        <v/>
      </c>
      <c r="J73" s="2420"/>
      <c r="K73" s="3407" t="str">
        <f>IF($A73&lt;&gt;"",IFERROR(VLOOKUP(LEFT($A73,12),'Database (All)'!$A$7:$R$103,15,FALSE),""),
       IF($A73&lt;&gt;"",(VLOOKUP(LEFT($A73,12),'Database (All)'!$A$7:$R$103,15,FALSE)),""))</f>
        <v/>
      </c>
      <c r="L73" s="3409" t="str">
        <f>IF($A73&lt;&gt;"",IFERROR(VLOOKUP(LEFT($A73,12),'Database (All)'!$A$7:$R$103,18,FALSE),""),
                           IF($A73&lt;&gt;"",VLOOKUP(LEFT($A73,12),'Database (All)'!$A$7:$R$103,18,FALSE),""))</f>
        <v/>
      </c>
      <c r="M73" s="2448"/>
      <c r="N73" s="2435" t="str">
        <f t="shared" si="19"/>
        <v/>
      </c>
      <c r="O73" s="2313"/>
      <c r="P73" s="1666"/>
      <c r="Q73" s="1666"/>
      <c r="R73" s="1666"/>
      <c r="S73" s="1666"/>
      <c r="T73" s="1666"/>
      <c r="U73" s="1827"/>
    </row>
    <row r="74" spans="1:21">
      <c r="A74" s="1071"/>
      <c r="B74" s="2298" t="str">
        <f t="shared" si="13"/>
        <v/>
      </c>
      <c r="C74" s="2008" t="str">
        <f>IF($A74&lt;&gt;"",VLOOKUP($A74,IP!$A$4:$K$153,11,FALSE),"")</f>
        <v/>
      </c>
      <c r="D74" s="2008" t="str">
        <f t="shared" si="14"/>
        <v/>
      </c>
      <c r="E74" s="2073" t="str">
        <f t="shared" si="15"/>
        <v/>
      </c>
      <c r="F74" s="2073" t="str">
        <f t="shared" si="16"/>
        <v/>
      </c>
      <c r="G74" s="2073" t="str">
        <f t="shared" si="17"/>
        <v/>
      </c>
      <c r="H74" s="2008" t="str">
        <f>IF($A74&lt;&gt;"",VLOOKUP($A74,IP!$A$4:$N$153,12,FALSE),"")</f>
        <v/>
      </c>
      <c r="I74" s="2073" t="str">
        <f t="shared" si="18"/>
        <v/>
      </c>
      <c r="J74" s="2420"/>
      <c r="K74" s="3407" t="str">
        <f>IF($A74&lt;&gt;"",IFERROR(VLOOKUP(LEFT($A74,12),'Database (All)'!$A$7:$R$103,15,FALSE),""),
       IF($A74&lt;&gt;"",(VLOOKUP(LEFT($A74,12),'Database (All)'!$A$7:$R$103,15,FALSE)),""))</f>
        <v/>
      </c>
      <c r="L74" s="3409" t="str">
        <f>IF($A74&lt;&gt;"",IFERROR(VLOOKUP(LEFT($A74,12),'Database (All)'!$A$7:$R$103,18,FALSE),""),
                           IF($A74&lt;&gt;"",VLOOKUP(LEFT($A74,12),'Database (All)'!$A$7:$R$103,18,FALSE),""))</f>
        <v/>
      </c>
      <c r="M74" s="2448"/>
      <c r="N74" s="2435" t="str">
        <f t="shared" si="19"/>
        <v/>
      </c>
      <c r="O74" s="2313"/>
      <c r="P74" s="1666"/>
      <c r="Q74" s="1666"/>
      <c r="R74" s="1666"/>
      <c r="S74" s="1666"/>
      <c r="T74" s="1666"/>
      <c r="U74" s="1827"/>
    </row>
    <row r="75" spans="1:21">
      <c r="A75" s="1071"/>
      <c r="B75" s="2298" t="str">
        <f t="shared" si="13"/>
        <v/>
      </c>
      <c r="C75" s="2008" t="str">
        <f>IF($A75&lt;&gt;"",VLOOKUP($A75,IP!$A$4:$K$153,11,FALSE),"")</f>
        <v/>
      </c>
      <c r="D75" s="2008" t="str">
        <f t="shared" si="14"/>
        <v/>
      </c>
      <c r="E75" s="2073" t="str">
        <f t="shared" si="15"/>
        <v/>
      </c>
      <c r="F75" s="2073" t="str">
        <f t="shared" si="16"/>
        <v/>
      </c>
      <c r="G75" s="2073" t="str">
        <f t="shared" si="17"/>
        <v/>
      </c>
      <c r="H75" s="2008" t="str">
        <f>IF($A75&lt;&gt;"",VLOOKUP($A75,IP!$A$4:$N$153,12,FALSE),"")</f>
        <v/>
      </c>
      <c r="I75" s="2073" t="str">
        <f t="shared" si="18"/>
        <v/>
      </c>
      <c r="J75" s="2420"/>
      <c r="K75" s="3407" t="str">
        <f>IF($A75&lt;&gt;"",IFERROR(VLOOKUP(LEFT($A75,12),'Database (All)'!$A$7:$R$103,15,FALSE),""),
       IF($A75&lt;&gt;"",(VLOOKUP(LEFT($A75,12),'Database (All)'!$A$7:$R$103,15,FALSE)),""))</f>
        <v/>
      </c>
      <c r="L75" s="3409" t="str">
        <f>IF($A75&lt;&gt;"",IFERROR(VLOOKUP(LEFT($A75,12),'Database (All)'!$A$7:$R$103,18,FALSE),""),
                           IF($A75&lt;&gt;"",VLOOKUP(LEFT($A75,12),'Database (All)'!$A$7:$R$103,18,FALSE),""))</f>
        <v/>
      </c>
      <c r="M75" s="2448"/>
      <c r="N75" s="2435" t="str">
        <f t="shared" si="19"/>
        <v/>
      </c>
      <c r="O75" s="2313"/>
      <c r="P75" s="1666"/>
      <c r="Q75" s="1666"/>
      <c r="R75" s="1666"/>
      <c r="S75" s="1666"/>
      <c r="T75" s="1666"/>
      <c r="U75" s="1827"/>
    </row>
    <row r="76" spans="1:21">
      <c r="A76" s="1071"/>
      <c r="B76" s="2298" t="str">
        <f t="shared" si="13"/>
        <v/>
      </c>
      <c r="C76" s="2008" t="str">
        <f>IF($A76&lt;&gt;"",VLOOKUP($A76,IP!$A$4:$K$153,11,FALSE),"")</f>
        <v/>
      </c>
      <c r="D76" s="2008" t="str">
        <f t="shared" si="14"/>
        <v/>
      </c>
      <c r="E76" s="2073" t="str">
        <f t="shared" si="15"/>
        <v/>
      </c>
      <c r="F76" s="2073" t="str">
        <f t="shared" si="16"/>
        <v/>
      </c>
      <c r="G76" s="2073" t="str">
        <f t="shared" si="17"/>
        <v/>
      </c>
      <c r="H76" s="2008" t="str">
        <f>IF($A76&lt;&gt;"",VLOOKUP($A76,IP!$A$4:$N$153,12,FALSE),"")</f>
        <v/>
      </c>
      <c r="I76" s="2073" t="str">
        <f t="shared" si="18"/>
        <v/>
      </c>
      <c r="J76" s="2420"/>
      <c r="K76" s="3407" t="str">
        <f>IF($A76&lt;&gt;"",IFERROR(VLOOKUP(LEFT($A76,12),'Database (All)'!$A$7:$R$103,15,FALSE),""),
       IF($A76&lt;&gt;"",(VLOOKUP(LEFT($A76,12),'Database (All)'!$A$7:$R$103,15,FALSE)),""))</f>
        <v/>
      </c>
      <c r="L76" s="3409" t="str">
        <f>IF($A76&lt;&gt;"",IFERROR(VLOOKUP(LEFT($A76,12),'Database (All)'!$A$7:$R$103,18,FALSE),""),
                           IF($A76&lt;&gt;"",VLOOKUP(LEFT($A76,12),'Database (All)'!$A$7:$R$103,18,FALSE),""))</f>
        <v/>
      </c>
      <c r="M76" s="2448"/>
      <c r="N76" s="2435" t="str">
        <f t="shared" si="19"/>
        <v/>
      </c>
      <c r="O76" s="2313"/>
      <c r="P76" s="1666"/>
      <c r="Q76" s="1666"/>
      <c r="R76" s="1666"/>
      <c r="S76" s="1666"/>
      <c r="T76" s="1666"/>
      <c r="U76" s="1827"/>
    </row>
    <row r="77" spans="1:21">
      <c r="A77" s="1071"/>
      <c r="B77" s="2298" t="str">
        <f t="shared" si="13"/>
        <v/>
      </c>
      <c r="C77" s="2008" t="str">
        <f>IF($A77&lt;&gt;"",VLOOKUP($A77,IP!$A$4:$K$153,11,FALSE),"")</f>
        <v/>
      </c>
      <c r="D77" s="2008" t="str">
        <f t="shared" si="14"/>
        <v/>
      </c>
      <c r="E77" s="2073" t="str">
        <f t="shared" si="15"/>
        <v/>
      </c>
      <c r="F77" s="2073" t="str">
        <f t="shared" si="16"/>
        <v/>
      </c>
      <c r="G77" s="2073" t="str">
        <f t="shared" si="17"/>
        <v/>
      </c>
      <c r="H77" s="2008" t="str">
        <f>IF($A77&lt;&gt;"",VLOOKUP($A77,IP!$A$4:$N$153,12,FALSE),"")</f>
        <v/>
      </c>
      <c r="I77" s="2073" t="str">
        <f t="shared" si="18"/>
        <v/>
      </c>
      <c r="J77" s="2420"/>
      <c r="K77" s="3407" t="str">
        <f>IF($A77&lt;&gt;"",IFERROR(VLOOKUP(LEFT($A77,12),'Database (All)'!$A$7:$R$103,15,FALSE),""),
       IF($A77&lt;&gt;"",(VLOOKUP(LEFT($A77,12),'Database (All)'!$A$7:$R$103,15,FALSE)),""))</f>
        <v/>
      </c>
      <c r="L77" s="3409" t="str">
        <f>IF($A77&lt;&gt;"",IFERROR(VLOOKUP(LEFT($A77,12),'Database (All)'!$A$7:$R$103,18,FALSE),""),
                           IF($A77&lt;&gt;"",VLOOKUP(LEFT($A77,12),'Database (All)'!$A$7:$R$103,18,FALSE),""))</f>
        <v/>
      </c>
      <c r="M77" s="2448"/>
      <c r="N77" s="2435" t="str">
        <f t="shared" si="19"/>
        <v/>
      </c>
      <c r="O77" s="2313"/>
      <c r="P77" s="1666"/>
      <c r="Q77" s="1666"/>
      <c r="R77" s="1666"/>
      <c r="S77" s="1666"/>
      <c r="T77" s="1666"/>
      <c r="U77" s="1827"/>
    </row>
    <row r="78" spans="1:21">
      <c r="A78" s="1071"/>
      <c r="B78" s="2298" t="str">
        <f t="shared" si="13"/>
        <v/>
      </c>
      <c r="C78" s="2008" t="str">
        <f>IF($A78&lt;&gt;"",VLOOKUP($A78,IP!$A$4:$K$153,11,FALSE),"")</f>
        <v/>
      </c>
      <c r="D78" s="2008" t="str">
        <f t="shared" si="14"/>
        <v/>
      </c>
      <c r="E78" s="2073" t="str">
        <f t="shared" si="15"/>
        <v/>
      </c>
      <c r="F78" s="2073" t="str">
        <f t="shared" si="16"/>
        <v/>
      </c>
      <c r="G78" s="2073" t="str">
        <f t="shared" si="17"/>
        <v/>
      </c>
      <c r="H78" s="2008" t="str">
        <f>IF($A78&lt;&gt;"",VLOOKUP($A78,IP!$A$4:$N$153,12,FALSE),"")</f>
        <v/>
      </c>
      <c r="I78" s="2073" t="str">
        <f t="shared" si="18"/>
        <v/>
      </c>
      <c r="J78" s="2420"/>
      <c r="K78" s="3407" t="str">
        <f>IF($A78&lt;&gt;"",IFERROR(VLOOKUP(LEFT($A78,12),'Database (All)'!$A$7:$R$103,15,FALSE),""),
       IF($A78&lt;&gt;"",(VLOOKUP(LEFT($A78,12),'Database (All)'!$A$7:$R$103,15,FALSE)),""))</f>
        <v/>
      </c>
      <c r="L78" s="3409" t="str">
        <f>IF($A78&lt;&gt;"",IFERROR(VLOOKUP(LEFT($A78,12),'Database (All)'!$A$7:$R$103,18,FALSE),""),
                           IF($A78&lt;&gt;"",VLOOKUP(LEFT($A78,12),'Database (All)'!$A$7:$R$103,18,FALSE),""))</f>
        <v/>
      </c>
      <c r="M78" s="2448"/>
      <c r="N78" s="2435" t="str">
        <f t="shared" si="19"/>
        <v/>
      </c>
      <c r="O78" s="2313"/>
      <c r="P78" s="1666"/>
      <c r="Q78" s="1666"/>
      <c r="R78" s="1666"/>
      <c r="S78" s="1666"/>
      <c r="T78" s="1666"/>
      <c r="U78" s="1827"/>
    </row>
    <row r="79" spans="1:21">
      <c r="A79" s="1071"/>
      <c r="B79" s="2298" t="str">
        <f t="shared" si="13"/>
        <v/>
      </c>
      <c r="C79" s="2008" t="str">
        <f>IF($A79&lt;&gt;"",VLOOKUP($A79,IP!$A$4:$K$153,11,FALSE),"")</f>
        <v/>
      </c>
      <c r="D79" s="2008" t="str">
        <f t="shared" si="14"/>
        <v/>
      </c>
      <c r="E79" s="2073" t="str">
        <f t="shared" si="15"/>
        <v/>
      </c>
      <c r="F79" s="2073" t="str">
        <f t="shared" si="16"/>
        <v/>
      </c>
      <c r="G79" s="2073" t="str">
        <f t="shared" si="17"/>
        <v/>
      </c>
      <c r="H79" s="2008" t="str">
        <f>IF($A79&lt;&gt;"",VLOOKUP($A79,IP!$A$4:$N$153,12,FALSE),"")</f>
        <v/>
      </c>
      <c r="I79" s="2073" t="str">
        <f t="shared" si="18"/>
        <v/>
      </c>
      <c r="J79" s="2420"/>
      <c r="K79" s="3407" t="str">
        <f>IF($A79&lt;&gt;"",IFERROR(VLOOKUP(LEFT($A79,12),'Database (All)'!$A$7:$R$103,15,FALSE),""),
       IF($A79&lt;&gt;"",(VLOOKUP(LEFT($A79,12),'Database (All)'!$A$7:$R$103,15,FALSE)),""))</f>
        <v/>
      </c>
      <c r="L79" s="3409" t="str">
        <f>IF($A79&lt;&gt;"",IFERROR(VLOOKUP(LEFT($A79,12),'Database (All)'!$A$7:$R$103,18,FALSE),""),
                           IF($A79&lt;&gt;"",VLOOKUP(LEFT($A79,12),'Database (All)'!$A$7:$R$103,18,FALSE),""))</f>
        <v/>
      </c>
      <c r="M79" s="2448"/>
      <c r="N79" s="2435" t="str">
        <f t="shared" si="19"/>
        <v/>
      </c>
      <c r="O79" s="2313"/>
      <c r="P79" s="1666"/>
      <c r="Q79" s="1666"/>
      <c r="R79" s="1666"/>
      <c r="S79" s="1666"/>
      <c r="T79" s="1666"/>
      <c r="U79" s="1827"/>
    </row>
    <row r="80" spans="1:21">
      <c r="A80" s="1071"/>
      <c r="B80" s="2298" t="str">
        <f t="shared" si="13"/>
        <v/>
      </c>
      <c r="C80" s="2008" t="str">
        <f>IF($A80&lt;&gt;"",VLOOKUP($A80,IP!$A$4:$K$153,11,FALSE),"")</f>
        <v/>
      </c>
      <c r="D80" s="2008" t="str">
        <f t="shared" si="14"/>
        <v/>
      </c>
      <c r="E80" s="2073" t="str">
        <f t="shared" si="15"/>
        <v/>
      </c>
      <c r="F80" s="2073" t="str">
        <f t="shared" si="16"/>
        <v/>
      </c>
      <c r="G80" s="2073" t="str">
        <f t="shared" si="17"/>
        <v/>
      </c>
      <c r="H80" s="2008" t="str">
        <f>IF($A80&lt;&gt;"",VLOOKUP($A80,IP!$A$4:$N$153,12,FALSE),"")</f>
        <v/>
      </c>
      <c r="I80" s="2073" t="str">
        <f t="shared" si="18"/>
        <v/>
      </c>
      <c r="J80" s="2420"/>
      <c r="K80" s="3407" t="str">
        <f>IF($A80&lt;&gt;"",IFERROR(VLOOKUP(LEFT($A80,12),'Database (All)'!$A$7:$R$103,15,FALSE),""),
       IF($A80&lt;&gt;"",(VLOOKUP(LEFT($A80,12),'Database (All)'!$A$7:$R$103,15,FALSE)),""))</f>
        <v/>
      </c>
      <c r="L80" s="3409" t="str">
        <f>IF($A80&lt;&gt;"",IFERROR(VLOOKUP(LEFT($A80,12),'Database (All)'!$A$7:$R$103,18,FALSE),""),
                           IF($A80&lt;&gt;"",VLOOKUP(LEFT($A80,12),'Database (All)'!$A$7:$R$103,18,FALSE),""))</f>
        <v/>
      </c>
      <c r="M80" s="2448"/>
      <c r="N80" s="2435" t="str">
        <f t="shared" si="19"/>
        <v/>
      </c>
      <c r="O80" s="2313"/>
      <c r="P80" s="1666"/>
      <c r="Q80" s="1666"/>
      <c r="R80" s="1666"/>
      <c r="S80" s="1666"/>
      <c r="T80" s="1666"/>
      <c r="U80" s="1827"/>
    </row>
    <row r="81" spans="1:21">
      <c r="A81" s="1071"/>
      <c r="B81" s="2298" t="str">
        <f t="shared" si="13"/>
        <v/>
      </c>
      <c r="C81" s="2008" t="str">
        <f>IF($A81&lt;&gt;"",VLOOKUP($A81,IP!$A$4:$K$153,11,FALSE),"")</f>
        <v/>
      </c>
      <c r="D81" s="2008" t="str">
        <f t="shared" si="14"/>
        <v/>
      </c>
      <c r="E81" s="2073" t="str">
        <f t="shared" si="15"/>
        <v/>
      </c>
      <c r="F81" s="2073" t="str">
        <f t="shared" si="16"/>
        <v/>
      </c>
      <c r="G81" s="2073" t="str">
        <f t="shared" si="17"/>
        <v/>
      </c>
      <c r="H81" s="2008" t="str">
        <f>IF($A81&lt;&gt;"",VLOOKUP($A81,IP!$A$4:$N$153,12,FALSE),"")</f>
        <v/>
      </c>
      <c r="I81" s="2073" t="str">
        <f t="shared" si="18"/>
        <v/>
      </c>
      <c r="J81" s="2420"/>
      <c r="K81" s="3407" t="str">
        <f>IF($A81&lt;&gt;"",IFERROR(VLOOKUP(LEFT($A81,12),'Database (All)'!$A$7:$R$103,15,FALSE),""),
       IF($A81&lt;&gt;"",(VLOOKUP(LEFT($A81,12),'Database (All)'!$A$7:$R$103,15,FALSE)),""))</f>
        <v/>
      </c>
      <c r="L81" s="3409" t="str">
        <f>IF($A81&lt;&gt;"",IFERROR(VLOOKUP(LEFT($A81,12),'Database (All)'!$A$7:$R$103,18,FALSE),""),
                           IF($A81&lt;&gt;"",VLOOKUP(LEFT($A81,12),'Database (All)'!$A$7:$R$103,18,FALSE),""))</f>
        <v/>
      </c>
      <c r="M81" s="2448"/>
      <c r="N81" s="2435" t="str">
        <f t="shared" si="19"/>
        <v/>
      </c>
      <c r="O81" s="2313"/>
      <c r="P81" s="1666"/>
      <c r="Q81" s="1666"/>
      <c r="R81" s="1666"/>
      <c r="S81" s="1666"/>
      <c r="T81" s="1666"/>
      <c r="U81" s="1827"/>
    </row>
    <row r="82" spans="1:21">
      <c r="A82" s="1071"/>
      <c r="B82" s="2298" t="str">
        <f t="shared" si="13"/>
        <v/>
      </c>
      <c r="C82" s="2008" t="str">
        <f>IF($A82&lt;&gt;"",VLOOKUP($A82,IP!$A$4:$K$153,11,FALSE),"")</f>
        <v/>
      </c>
      <c r="D82" s="2008" t="str">
        <f t="shared" si="14"/>
        <v/>
      </c>
      <c r="E82" s="2073" t="str">
        <f t="shared" si="15"/>
        <v/>
      </c>
      <c r="F82" s="2073" t="str">
        <f t="shared" si="16"/>
        <v/>
      </c>
      <c r="G82" s="2073" t="str">
        <f t="shared" si="17"/>
        <v/>
      </c>
      <c r="H82" s="2008" t="str">
        <f>IF($A82&lt;&gt;"",VLOOKUP($A82,IP!$A$4:$N$153,12,FALSE),"")</f>
        <v/>
      </c>
      <c r="I82" s="2073" t="str">
        <f t="shared" si="18"/>
        <v/>
      </c>
      <c r="J82" s="2420"/>
      <c r="K82" s="3407" t="str">
        <f>IF($A82&lt;&gt;"",IFERROR(VLOOKUP(LEFT($A82,12),'Database (All)'!$A$7:$R$103,15,FALSE),""),
       IF($A82&lt;&gt;"",(VLOOKUP(LEFT($A82,12),'Database (All)'!$A$7:$R$103,15,FALSE)),""))</f>
        <v/>
      </c>
      <c r="L82" s="3409" t="str">
        <f>IF($A82&lt;&gt;"",IFERROR(VLOOKUP(LEFT($A82,12),'Database (All)'!$A$7:$R$103,18,FALSE),""),
                           IF($A82&lt;&gt;"",VLOOKUP(LEFT($A82,12),'Database (All)'!$A$7:$R$103,18,FALSE),""))</f>
        <v/>
      </c>
      <c r="M82" s="2448"/>
      <c r="N82" s="2435" t="str">
        <f t="shared" si="19"/>
        <v/>
      </c>
      <c r="O82" s="2313"/>
      <c r="P82" s="1666"/>
      <c r="Q82" s="1666"/>
      <c r="R82" s="1666"/>
      <c r="S82" s="1666"/>
      <c r="T82" s="1666"/>
      <c r="U82" s="1827"/>
    </row>
    <row r="83" spans="1:21">
      <c r="A83" s="1071"/>
      <c r="B83" s="2298" t="str">
        <f t="shared" si="13"/>
        <v/>
      </c>
      <c r="C83" s="2008" t="str">
        <f>IF($A83&lt;&gt;"",VLOOKUP($A83,IP!$A$4:$K$153,11,FALSE),"")</f>
        <v/>
      </c>
      <c r="D83" s="2008" t="str">
        <f t="shared" si="14"/>
        <v/>
      </c>
      <c r="E83" s="2073" t="str">
        <f t="shared" si="15"/>
        <v/>
      </c>
      <c r="F83" s="2073" t="str">
        <f t="shared" si="16"/>
        <v/>
      </c>
      <c r="G83" s="2073" t="str">
        <f t="shared" si="17"/>
        <v/>
      </c>
      <c r="H83" s="2008" t="str">
        <f>IF($A83&lt;&gt;"",VLOOKUP($A83,IP!$A$4:$N$153,12,FALSE),"")</f>
        <v/>
      </c>
      <c r="I83" s="2073" t="str">
        <f t="shared" si="18"/>
        <v/>
      </c>
      <c r="J83" s="2420"/>
      <c r="K83" s="3407" t="str">
        <f>IF($A83&lt;&gt;"",IFERROR(VLOOKUP(LEFT($A83,12),'Database (All)'!$A$7:$R$103,15,FALSE),""),
       IF($A83&lt;&gt;"",(VLOOKUP(LEFT($A83,12),'Database (All)'!$A$7:$R$103,15,FALSE)),""))</f>
        <v/>
      </c>
      <c r="L83" s="3409" t="str">
        <f>IF($A83&lt;&gt;"",IFERROR(VLOOKUP(LEFT($A83,12),'Database (All)'!$A$7:$R$103,18,FALSE),""),
                           IF($A83&lt;&gt;"",VLOOKUP(LEFT($A83,12),'Database (All)'!$A$7:$R$103,18,FALSE),""))</f>
        <v/>
      </c>
      <c r="M83" s="2448"/>
      <c r="N83" s="2435" t="str">
        <f t="shared" si="19"/>
        <v/>
      </c>
      <c r="O83" s="2313"/>
      <c r="P83" s="1666"/>
      <c r="Q83" s="1666"/>
      <c r="R83" s="1666"/>
      <c r="S83" s="1666"/>
      <c r="T83" s="1666"/>
      <c r="U83" s="1827"/>
    </row>
    <row r="84" spans="1:21">
      <c r="A84" s="1071"/>
      <c r="B84" s="2298" t="str">
        <f t="shared" si="13"/>
        <v/>
      </c>
      <c r="C84" s="2008" t="str">
        <f>IF($A84&lt;&gt;"",VLOOKUP($A84,IP!$A$4:$K$153,11,FALSE),"")</f>
        <v/>
      </c>
      <c r="D84" s="2008" t="str">
        <f t="shared" si="14"/>
        <v/>
      </c>
      <c r="E84" s="2073" t="str">
        <f t="shared" si="15"/>
        <v/>
      </c>
      <c r="F84" s="2073" t="str">
        <f t="shared" si="16"/>
        <v/>
      </c>
      <c r="G84" s="2073" t="str">
        <f t="shared" si="17"/>
        <v/>
      </c>
      <c r="H84" s="2008" t="str">
        <f>IF($A84&lt;&gt;"",VLOOKUP($A84,IP!$A$4:$N$153,12,FALSE),"")</f>
        <v/>
      </c>
      <c r="I84" s="2073" t="str">
        <f t="shared" si="18"/>
        <v/>
      </c>
      <c r="J84" s="2420"/>
      <c r="K84" s="3407" t="str">
        <f>IF($A84&lt;&gt;"",IFERROR(VLOOKUP(LEFT($A84,12),'Database (All)'!$A$7:$R$103,15,FALSE),""),
       IF($A84&lt;&gt;"",(VLOOKUP(LEFT($A84,12),'Database (All)'!$A$7:$R$103,15,FALSE)),""))</f>
        <v/>
      </c>
      <c r="L84" s="3409" t="str">
        <f>IF($A84&lt;&gt;"",IFERROR(VLOOKUP(LEFT($A84,12),'Database (All)'!$A$7:$R$103,18,FALSE),""),
                           IF($A84&lt;&gt;"",VLOOKUP(LEFT($A84,12),'Database (All)'!$A$7:$R$103,18,FALSE),""))</f>
        <v/>
      </c>
      <c r="M84" s="2448"/>
      <c r="N84" s="2435" t="str">
        <f t="shared" si="19"/>
        <v/>
      </c>
      <c r="O84" s="2313"/>
      <c r="P84" s="1666"/>
      <c r="Q84" s="1666"/>
      <c r="R84" s="1666"/>
      <c r="S84" s="1666"/>
      <c r="T84" s="1666"/>
      <c r="U84" s="1827"/>
    </row>
    <row r="85" spans="1:21">
      <c r="A85" s="1071"/>
      <c r="B85" s="2298" t="str">
        <f t="shared" si="13"/>
        <v/>
      </c>
      <c r="C85" s="2008" t="str">
        <f>IF($A85&lt;&gt;"",VLOOKUP($A85,IP!$A$4:$K$153,11,FALSE),"")</f>
        <v/>
      </c>
      <c r="D85" s="2008" t="str">
        <f t="shared" si="14"/>
        <v/>
      </c>
      <c r="E85" s="2073" t="str">
        <f t="shared" si="15"/>
        <v/>
      </c>
      <c r="F85" s="2073" t="str">
        <f t="shared" si="16"/>
        <v/>
      </c>
      <c r="G85" s="2073" t="str">
        <f t="shared" si="17"/>
        <v/>
      </c>
      <c r="H85" s="2008" t="str">
        <f>IF($A85&lt;&gt;"",VLOOKUP($A85,IP!$A$4:$N$153,12,FALSE),"")</f>
        <v/>
      </c>
      <c r="I85" s="2073" t="str">
        <f t="shared" si="18"/>
        <v/>
      </c>
      <c r="J85" s="2420"/>
      <c r="K85" s="3407" t="str">
        <f>IF($A85&lt;&gt;"",IFERROR(VLOOKUP(LEFT($A85,12),'Database (All)'!$A$7:$R$103,15,FALSE),""),
       IF($A85&lt;&gt;"",(VLOOKUP(LEFT($A85,12),'Database (All)'!$A$7:$R$103,15,FALSE)),""))</f>
        <v/>
      </c>
      <c r="L85" s="3409" t="str">
        <f>IF($A85&lt;&gt;"",IFERROR(VLOOKUP(LEFT($A85,12),'Database (All)'!$A$7:$R$103,18,FALSE),""),
                           IF($A85&lt;&gt;"",VLOOKUP(LEFT($A85,12),'Database (All)'!$A$7:$R$103,18,FALSE),""))</f>
        <v/>
      </c>
      <c r="M85" s="2448"/>
      <c r="N85" s="2435" t="str">
        <f t="shared" si="19"/>
        <v/>
      </c>
      <c r="O85" s="2313"/>
      <c r="P85" s="1666"/>
      <c r="Q85" s="1666"/>
      <c r="R85" s="1666"/>
      <c r="S85" s="1666"/>
      <c r="T85" s="1666"/>
      <c r="U85" s="1827"/>
    </row>
    <row r="86" spans="1:21">
      <c r="A86" s="1071"/>
      <c r="B86" s="2298" t="str">
        <f t="shared" si="13"/>
        <v/>
      </c>
      <c r="C86" s="2008" t="str">
        <f>IF($A86&lt;&gt;"",VLOOKUP($A86,IP!$A$4:$K$153,11,FALSE),"")</f>
        <v/>
      </c>
      <c r="D86" s="2008" t="str">
        <f t="shared" si="14"/>
        <v/>
      </c>
      <c r="E86" s="2073" t="str">
        <f t="shared" si="15"/>
        <v/>
      </c>
      <c r="F86" s="2073" t="str">
        <f t="shared" si="16"/>
        <v/>
      </c>
      <c r="G86" s="2073" t="str">
        <f t="shared" si="17"/>
        <v/>
      </c>
      <c r="H86" s="2008" t="str">
        <f>IF($A86&lt;&gt;"",VLOOKUP($A86,IP!$A$4:$N$153,12,FALSE),"")</f>
        <v/>
      </c>
      <c r="I86" s="2073" t="str">
        <f t="shared" si="18"/>
        <v/>
      </c>
      <c r="J86" s="2420"/>
      <c r="K86" s="3407" t="str">
        <f>IF($A86&lt;&gt;"",IFERROR(VLOOKUP(LEFT($A86,12),'Database (All)'!$A$7:$R$103,15,FALSE),""),
       IF($A86&lt;&gt;"",(VLOOKUP(LEFT($A86,12),'Database (All)'!$A$7:$R$103,15,FALSE)),""))</f>
        <v/>
      </c>
      <c r="L86" s="3409" t="str">
        <f>IF($A86&lt;&gt;"",IFERROR(VLOOKUP(LEFT($A86,12),'Database (All)'!$A$7:$R$103,18,FALSE),""),
                           IF($A86&lt;&gt;"",VLOOKUP(LEFT($A86,12),'Database (All)'!$A$7:$R$103,18,FALSE),""))</f>
        <v/>
      </c>
      <c r="M86" s="2448"/>
      <c r="N86" s="2435" t="str">
        <f t="shared" si="19"/>
        <v/>
      </c>
      <c r="O86" s="2313"/>
      <c r="P86" s="1666"/>
      <c r="Q86" s="1666"/>
      <c r="R86" s="1666"/>
      <c r="S86" s="1666"/>
      <c r="T86" s="1666"/>
      <c r="U86" s="1827"/>
    </row>
    <row r="87" spans="1:21">
      <c r="A87" s="1071"/>
      <c r="B87" s="2298" t="str">
        <f t="shared" si="13"/>
        <v/>
      </c>
      <c r="C87" s="2008" t="str">
        <f>IF($A87&lt;&gt;"",VLOOKUP($A87,IP!$A$4:$K$153,11,FALSE),"")</f>
        <v/>
      </c>
      <c r="D87" s="2008" t="str">
        <f t="shared" si="14"/>
        <v/>
      </c>
      <c r="E87" s="2073" t="str">
        <f t="shared" si="15"/>
        <v/>
      </c>
      <c r="F87" s="2073" t="str">
        <f t="shared" si="16"/>
        <v/>
      </c>
      <c r="G87" s="2073" t="str">
        <f t="shared" si="17"/>
        <v/>
      </c>
      <c r="H87" s="2008" t="str">
        <f>IF($A87&lt;&gt;"",VLOOKUP($A87,IP!$A$4:$N$153,12,FALSE),"")</f>
        <v/>
      </c>
      <c r="I87" s="2073" t="str">
        <f t="shared" si="18"/>
        <v/>
      </c>
      <c r="J87" s="2420"/>
      <c r="K87" s="3407" t="str">
        <f>IF($A87&lt;&gt;"",IFERROR(VLOOKUP(LEFT($A87,12),'Database (All)'!$A$7:$R$103,15,FALSE),""),
       IF($A87&lt;&gt;"",(VLOOKUP(LEFT($A87,12),'Database (All)'!$A$7:$R$103,15,FALSE)),""))</f>
        <v/>
      </c>
      <c r="L87" s="3409" t="str">
        <f>IF($A87&lt;&gt;"",IFERROR(VLOOKUP(LEFT($A87,12),'Database (All)'!$A$7:$R$103,18,FALSE),""),
                           IF($A87&lt;&gt;"",VLOOKUP(LEFT($A87,12),'Database (All)'!$A$7:$R$103,18,FALSE),""))</f>
        <v/>
      </c>
      <c r="M87" s="2448"/>
      <c r="N87" s="2435" t="str">
        <f t="shared" si="19"/>
        <v/>
      </c>
      <c r="O87" s="2313"/>
      <c r="P87" s="1666"/>
      <c r="Q87" s="1666"/>
      <c r="R87" s="1666"/>
      <c r="S87" s="1666"/>
      <c r="T87" s="1666"/>
      <c r="U87" s="1827"/>
    </row>
    <row r="88" spans="1:21">
      <c r="A88" s="1071"/>
      <c r="B88" s="2298" t="str">
        <f t="shared" si="13"/>
        <v/>
      </c>
      <c r="C88" s="2008" t="str">
        <f>IF($A88&lt;&gt;"",VLOOKUP($A88,IP!$A$4:$K$153,11,FALSE),"")</f>
        <v/>
      </c>
      <c r="D88" s="2008" t="str">
        <f t="shared" si="14"/>
        <v/>
      </c>
      <c r="E88" s="2073" t="str">
        <f t="shared" si="15"/>
        <v/>
      </c>
      <c r="F88" s="2073" t="str">
        <f t="shared" si="16"/>
        <v/>
      </c>
      <c r="G88" s="2073" t="str">
        <f t="shared" si="17"/>
        <v/>
      </c>
      <c r="H88" s="2008" t="str">
        <f>IF($A88&lt;&gt;"",VLOOKUP($A88,IP!$A$4:$N$153,12,FALSE),"")</f>
        <v/>
      </c>
      <c r="I88" s="2073" t="str">
        <f t="shared" si="18"/>
        <v/>
      </c>
      <c r="J88" s="2420"/>
      <c r="K88" s="3407" t="str">
        <f>IF($A88&lt;&gt;"",IFERROR(VLOOKUP(LEFT($A88,12),'Database (All)'!$A$7:$R$103,15,FALSE),""),
       IF($A88&lt;&gt;"",(VLOOKUP(LEFT($A88,12),'Database (All)'!$A$7:$R$103,15,FALSE)),""))</f>
        <v/>
      </c>
      <c r="L88" s="3409" t="str">
        <f>IF($A88&lt;&gt;"",IFERROR(VLOOKUP(LEFT($A88,12),'Database (All)'!$A$7:$R$103,18,FALSE),""),
                           IF($A88&lt;&gt;"",VLOOKUP(LEFT($A88,12),'Database (All)'!$A$7:$R$103,18,FALSE),""))</f>
        <v/>
      </c>
      <c r="M88" s="2448"/>
      <c r="N88" s="2435" t="str">
        <f t="shared" si="19"/>
        <v/>
      </c>
      <c r="O88" s="2313"/>
      <c r="P88" s="1666"/>
      <c r="Q88" s="1666"/>
      <c r="R88" s="1666"/>
      <c r="S88" s="1666"/>
      <c r="T88" s="1666"/>
      <c r="U88" s="1827"/>
    </row>
    <row r="89" spans="1:21">
      <c r="A89" s="1071"/>
      <c r="B89" s="2298" t="str">
        <f t="shared" si="13"/>
        <v/>
      </c>
      <c r="C89" s="2008" t="str">
        <f>IF($A89&lt;&gt;"",VLOOKUP($A89,IP!$A$4:$K$153,11,FALSE),"")</f>
        <v/>
      </c>
      <c r="D89" s="2008" t="str">
        <f t="shared" si="14"/>
        <v/>
      </c>
      <c r="E89" s="2073" t="str">
        <f t="shared" si="15"/>
        <v/>
      </c>
      <c r="F89" s="2073" t="str">
        <f t="shared" si="16"/>
        <v/>
      </c>
      <c r="G89" s="2073" t="str">
        <f t="shared" si="17"/>
        <v/>
      </c>
      <c r="H89" s="2008" t="str">
        <f>IF($A89&lt;&gt;"",VLOOKUP($A89,IP!$A$4:$N$153,12,FALSE),"")</f>
        <v/>
      </c>
      <c r="I89" s="2073" t="str">
        <f t="shared" si="18"/>
        <v/>
      </c>
      <c r="J89" s="2420"/>
      <c r="K89" s="3407" t="str">
        <f>IF($A89&lt;&gt;"",IFERROR(VLOOKUP(LEFT($A89,12),'Database (All)'!$A$7:$R$103,15,FALSE),""),
       IF($A89&lt;&gt;"",(VLOOKUP(LEFT($A89,12),'Database (All)'!$A$7:$R$103,15,FALSE)),""))</f>
        <v/>
      </c>
      <c r="L89" s="3409" t="str">
        <f>IF($A89&lt;&gt;"",IFERROR(VLOOKUP(LEFT($A89,12),'Database (All)'!$A$7:$R$103,18,FALSE),""),
                           IF($A89&lt;&gt;"",VLOOKUP(LEFT($A89,12),'Database (All)'!$A$7:$R$103,18,FALSE),""))</f>
        <v/>
      </c>
      <c r="M89" s="2448"/>
      <c r="N89" s="2435" t="str">
        <f t="shared" si="19"/>
        <v/>
      </c>
      <c r="O89" s="2313"/>
      <c r="P89" s="1666"/>
      <c r="Q89" s="1666"/>
      <c r="R89" s="1666"/>
      <c r="S89" s="1666"/>
      <c r="T89" s="1666"/>
      <c r="U89" s="1827"/>
    </row>
    <row r="90" spans="1:21">
      <c r="A90" s="1071"/>
      <c r="B90" s="2298" t="str">
        <f t="shared" si="13"/>
        <v/>
      </c>
      <c r="C90" s="2008" t="str">
        <f>IF($A90&lt;&gt;"",VLOOKUP($A90,IP!$A$4:$K$153,11,FALSE),"")</f>
        <v/>
      </c>
      <c r="D90" s="2008" t="str">
        <f t="shared" si="14"/>
        <v/>
      </c>
      <c r="E90" s="2073" t="str">
        <f t="shared" si="15"/>
        <v/>
      </c>
      <c r="F90" s="2073" t="str">
        <f t="shared" si="16"/>
        <v/>
      </c>
      <c r="G90" s="2073" t="str">
        <f t="shared" si="17"/>
        <v/>
      </c>
      <c r="H90" s="2008" t="str">
        <f>IF($A90&lt;&gt;"",VLOOKUP($A90,IP!$A$4:$N$153,12,FALSE),"")</f>
        <v/>
      </c>
      <c r="I90" s="2073" t="str">
        <f t="shared" si="18"/>
        <v/>
      </c>
      <c r="J90" s="2420"/>
      <c r="K90" s="3407" t="str">
        <f>IF($A90&lt;&gt;"",IFERROR(VLOOKUP(LEFT($A90,12),'Database (All)'!$A$7:$R$103,15,FALSE),""),
       IF($A90&lt;&gt;"",(VLOOKUP(LEFT($A90,12),'Database (All)'!$A$7:$R$103,15,FALSE)),""))</f>
        <v/>
      </c>
      <c r="L90" s="3409" t="str">
        <f>IF($A90&lt;&gt;"",IFERROR(VLOOKUP(LEFT($A90,12),'Database (All)'!$A$7:$R$103,18,FALSE),""),
                           IF($A90&lt;&gt;"",VLOOKUP(LEFT($A90,12),'Database (All)'!$A$7:$R$103,18,FALSE),""))</f>
        <v/>
      </c>
      <c r="M90" s="2448"/>
      <c r="N90" s="2435" t="str">
        <f t="shared" si="19"/>
        <v/>
      </c>
      <c r="O90" s="2313"/>
      <c r="P90" s="1666"/>
      <c r="Q90" s="1666"/>
      <c r="R90" s="1666"/>
      <c r="S90" s="1666"/>
      <c r="T90" s="1666"/>
      <c r="U90" s="1827"/>
    </row>
    <row r="91" spans="1:21">
      <c r="A91" s="1071"/>
      <c r="B91" s="2298" t="str">
        <f t="shared" si="13"/>
        <v/>
      </c>
      <c r="C91" s="2008" t="str">
        <f>IF($A91&lt;&gt;"",VLOOKUP($A91,IP!$A$4:$K$153,11,FALSE),"")</f>
        <v/>
      </c>
      <c r="D91" s="2008" t="str">
        <f t="shared" si="14"/>
        <v/>
      </c>
      <c r="E91" s="2073" t="str">
        <f t="shared" si="15"/>
        <v/>
      </c>
      <c r="F91" s="2073" t="str">
        <f t="shared" si="16"/>
        <v/>
      </c>
      <c r="G91" s="2073" t="str">
        <f t="shared" si="17"/>
        <v/>
      </c>
      <c r="H91" s="2008" t="str">
        <f>IF($A91&lt;&gt;"",VLOOKUP($A91,IP!$A$4:$N$153,12,FALSE),"")</f>
        <v/>
      </c>
      <c r="I91" s="2073" t="str">
        <f t="shared" si="18"/>
        <v/>
      </c>
      <c r="J91" s="2420"/>
      <c r="K91" s="3407" t="str">
        <f>IF($A91&lt;&gt;"",IFERROR(VLOOKUP(LEFT($A91,12),'Database (All)'!$A$7:$R$103,15,FALSE),""),
       IF($A91&lt;&gt;"",(VLOOKUP(LEFT($A91,12),'Database (All)'!$A$7:$R$103,15,FALSE)),""))</f>
        <v/>
      </c>
      <c r="L91" s="3409" t="str">
        <f>IF($A91&lt;&gt;"",IFERROR(VLOOKUP(LEFT($A91,12),'Database (All)'!$A$7:$R$103,18,FALSE),""),
                           IF($A91&lt;&gt;"",VLOOKUP(LEFT($A91,12),'Database (All)'!$A$7:$R$103,18,FALSE),""))</f>
        <v/>
      </c>
      <c r="M91" s="2448"/>
      <c r="N91" s="2435" t="str">
        <f t="shared" si="19"/>
        <v/>
      </c>
      <c r="O91" s="2313"/>
      <c r="P91" s="1666"/>
      <c r="Q91" s="1666"/>
      <c r="R91" s="1666"/>
      <c r="S91" s="1666"/>
      <c r="T91" s="1666"/>
      <c r="U91" s="1827"/>
    </row>
    <row r="92" spans="1:21">
      <c r="A92" s="1071"/>
      <c r="B92" s="2298" t="str">
        <f t="shared" si="13"/>
        <v/>
      </c>
      <c r="C92" s="2008" t="str">
        <f>IF($A92&lt;&gt;"",VLOOKUP($A92,IP!$A$4:$K$153,11,FALSE),"")</f>
        <v/>
      </c>
      <c r="D92" s="2008" t="str">
        <f t="shared" si="14"/>
        <v/>
      </c>
      <c r="E92" s="2073" t="str">
        <f t="shared" si="15"/>
        <v/>
      </c>
      <c r="F92" s="2073" t="str">
        <f t="shared" si="16"/>
        <v/>
      </c>
      <c r="G92" s="2073" t="str">
        <f t="shared" si="17"/>
        <v/>
      </c>
      <c r="H92" s="2008" t="str">
        <f>IF($A92&lt;&gt;"",VLOOKUP($A92,IP!$A$4:$N$153,12,FALSE),"")</f>
        <v/>
      </c>
      <c r="I92" s="2073" t="str">
        <f t="shared" si="18"/>
        <v/>
      </c>
      <c r="J92" s="2420"/>
      <c r="K92" s="3407" t="str">
        <f>IF($A92&lt;&gt;"",IFERROR(VLOOKUP(LEFT($A92,12),'Database (All)'!$A$7:$R$103,15,FALSE),""),
       IF($A92&lt;&gt;"",(VLOOKUP(LEFT($A92,12),'Database (All)'!$A$7:$R$103,15,FALSE)),""))</f>
        <v/>
      </c>
      <c r="L92" s="3409" t="str">
        <f>IF($A92&lt;&gt;"",IFERROR(VLOOKUP(LEFT($A92,12),'Database (All)'!$A$7:$R$103,18,FALSE),""),
                           IF($A92&lt;&gt;"",VLOOKUP(LEFT($A92,12),'Database (All)'!$A$7:$R$103,18,FALSE),""))</f>
        <v/>
      </c>
      <c r="M92" s="2448"/>
      <c r="N92" s="2435" t="str">
        <f t="shared" si="19"/>
        <v/>
      </c>
      <c r="O92" s="2313"/>
      <c r="P92" s="1666"/>
      <c r="Q92" s="1666"/>
      <c r="R92" s="1666"/>
      <c r="S92" s="1666"/>
      <c r="T92" s="1666"/>
      <c r="U92" s="1827"/>
    </row>
    <row r="93" spans="1:21">
      <c r="A93" s="1071"/>
      <c r="B93" s="2298" t="str">
        <f t="shared" si="13"/>
        <v/>
      </c>
      <c r="C93" s="2008" t="str">
        <f>IF($A93&lt;&gt;"",VLOOKUP($A93,IP!$A$4:$K$153,11,FALSE),"")</f>
        <v/>
      </c>
      <c r="D93" s="2008" t="str">
        <f t="shared" si="14"/>
        <v/>
      </c>
      <c r="E93" s="2073" t="str">
        <f t="shared" si="15"/>
        <v/>
      </c>
      <c r="F93" s="2073" t="str">
        <f t="shared" si="16"/>
        <v/>
      </c>
      <c r="G93" s="2073" t="str">
        <f t="shared" si="17"/>
        <v/>
      </c>
      <c r="H93" s="2008" t="str">
        <f>IF($A93&lt;&gt;"",VLOOKUP($A93,IP!$A$4:$N$153,12,FALSE),"")</f>
        <v/>
      </c>
      <c r="I93" s="2073" t="str">
        <f t="shared" si="18"/>
        <v/>
      </c>
      <c r="J93" s="2420"/>
      <c r="K93" s="3407" t="str">
        <f>IF($A93&lt;&gt;"",IFERROR(VLOOKUP(LEFT($A93,12),'Database (All)'!$A$7:$R$103,15,FALSE),""),
       IF($A93&lt;&gt;"",(VLOOKUP(LEFT($A93,12),'Database (All)'!$A$7:$R$103,15,FALSE)),""))</f>
        <v/>
      </c>
      <c r="L93" s="3409" t="str">
        <f>IF($A93&lt;&gt;"",IFERROR(VLOOKUP(LEFT($A93,12),'Database (All)'!$A$7:$R$103,18,FALSE),""),
                           IF($A93&lt;&gt;"",VLOOKUP(LEFT($A93,12),'Database (All)'!$A$7:$R$103,18,FALSE),""))</f>
        <v/>
      </c>
      <c r="M93" s="2448"/>
      <c r="N93" s="2435" t="str">
        <f t="shared" si="19"/>
        <v/>
      </c>
      <c r="O93" s="2313"/>
      <c r="P93" s="1666"/>
      <c r="Q93" s="1666"/>
      <c r="R93" s="1666"/>
      <c r="S93" s="1666"/>
      <c r="T93" s="1666"/>
      <c r="U93" s="1827"/>
    </row>
    <row r="94" spans="1:21">
      <c r="A94" s="1071"/>
      <c r="B94" s="2298" t="str">
        <f t="shared" si="13"/>
        <v/>
      </c>
      <c r="C94" s="2008" t="str">
        <f>IF($A94&lt;&gt;"",VLOOKUP($A94,IP!$A$4:$K$153,11,FALSE),"")</f>
        <v/>
      </c>
      <c r="D94" s="2008" t="str">
        <f t="shared" si="14"/>
        <v/>
      </c>
      <c r="E94" s="2073" t="str">
        <f t="shared" si="15"/>
        <v/>
      </c>
      <c r="F94" s="2073" t="str">
        <f t="shared" si="16"/>
        <v/>
      </c>
      <c r="G94" s="2073" t="str">
        <f t="shared" si="17"/>
        <v/>
      </c>
      <c r="H94" s="2008" t="str">
        <f>IF($A94&lt;&gt;"",VLOOKUP($A94,IP!$A$4:$N$153,12,FALSE),"")</f>
        <v/>
      </c>
      <c r="I94" s="2073" t="str">
        <f t="shared" si="18"/>
        <v/>
      </c>
      <c r="J94" s="2420"/>
      <c r="K94" s="3407" t="str">
        <f>IF($A94&lt;&gt;"",IFERROR(VLOOKUP(LEFT($A94,12),'Database (All)'!$A$7:$R$103,15,FALSE),""),
       IF($A94&lt;&gt;"",(VLOOKUP(LEFT($A94,12),'Database (All)'!$A$7:$R$103,15,FALSE)),""))</f>
        <v/>
      </c>
      <c r="L94" s="3409" t="str">
        <f>IF($A94&lt;&gt;"",IFERROR(VLOOKUP(LEFT($A94,12),'Database (All)'!$A$7:$R$103,18,FALSE),""),
                           IF($A94&lt;&gt;"",VLOOKUP(LEFT($A94,12),'Database (All)'!$A$7:$R$103,18,FALSE),""))</f>
        <v/>
      </c>
      <c r="M94" s="2448"/>
      <c r="N94" s="2435" t="str">
        <f t="shared" si="19"/>
        <v/>
      </c>
      <c r="O94" s="2313"/>
      <c r="P94" s="1666"/>
      <c r="Q94" s="1666"/>
      <c r="R94" s="1666"/>
      <c r="S94" s="1666"/>
      <c r="T94" s="1666"/>
      <c r="U94" s="1827"/>
    </row>
    <row r="95" spans="1:21">
      <c r="A95" s="1071"/>
      <c r="B95" s="2298" t="str">
        <f t="shared" si="13"/>
        <v/>
      </c>
      <c r="C95" s="2008" t="str">
        <f>IF($A95&lt;&gt;"",VLOOKUP($A95,IP!$A$4:$K$153,11,FALSE),"")</f>
        <v/>
      </c>
      <c r="D95" s="2008" t="str">
        <f t="shared" si="14"/>
        <v/>
      </c>
      <c r="E95" s="2073" t="str">
        <f t="shared" si="15"/>
        <v/>
      </c>
      <c r="F95" s="2073" t="str">
        <f t="shared" si="16"/>
        <v/>
      </c>
      <c r="G95" s="2073" t="str">
        <f t="shared" si="17"/>
        <v/>
      </c>
      <c r="H95" s="2008" t="str">
        <f>IF($A95&lt;&gt;"",VLOOKUP($A95,IP!$A$4:$N$153,12,FALSE),"")</f>
        <v/>
      </c>
      <c r="I95" s="2073" t="str">
        <f t="shared" si="18"/>
        <v/>
      </c>
      <c r="J95" s="2420"/>
      <c r="K95" s="3407" t="str">
        <f>IF($A95&lt;&gt;"",IFERROR(VLOOKUP(LEFT($A95,12),'Database (All)'!$A$7:$R$103,15,FALSE),""),
       IF($A95&lt;&gt;"",(VLOOKUP(LEFT($A95,12),'Database (All)'!$A$7:$R$103,15,FALSE)),""))</f>
        <v/>
      </c>
      <c r="L95" s="3409" t="str">
        <f>IF($A95&lt;&gt;"",IFERROR(VLOOKUP(LEFT($A95,12),'Database (All)'!$A$7:$R$103,18,FALSE),""),
                           IF($A95&lt;&gt;"",VLOOKUP(LEFT($A95,12),'Database (All)'!$A$7:$R$103,18,FALSE),""))</f>
        <v/>
      </c>
      <c r="M95" s="2448"/>
      <c r="N95" s="2435" t="str">
        <f t="shared" si="19"/>
        <v/>
      </c>
      <c r="O95" s="2313"/>
      <c r="P95" s="1666"/>
      <c r="Q95" s="1666"/>
      <c r="R95" s="1666"/>
      <c r="S95" s="1666"/>
      <c r="T95" s="1666"/>
      <c r="U95" s="1827"/>
    </row>
    <row r="96" spans="1:21">
      <c r="A96" s="1071"/>
      <c r="B96" s="2298" t="str">
        <f t="shared" si="13"/>
        <v/>
      </c>
      <c r="C96" s="2008" t="str">
        <f>IF($A96&lt;&gt;"",VLOOKUP($A96,IP!$A$4:$K$153,11,FALSE),"")</f>
        <v/>
      </c>
      <c r="D96" s="2008" t="str">
        <f t="shared" si="14"/>
        <v/>
      </c>
      <c r="E96" s="2073" t="str">
        <f t="shared" si="15"/>
        <v/>
      </c>
      <c r="F96" s="2073" t="str">
        <f t="shared" si="16"/>
        <v/>
      </c>
      <c r="G96" s="2073" t="str">
        <f t="shared" si="17"/>
        <v/>
      </c>
      <c r="H96" s="2008" t="str">
        <f>IF($A96&lt;&gt;"",VLOOKUP($A96,IP!$A$4:$N$153,12,FALSE),"")</f>
        <v/>
      </c>
      <c r="I96" s="2073" t="str">
        <f t="shared" si="18"/>
        <v/>
      </c>
      <c r="J96" s="2420"/>
      <c r="K96" s="3407" t="str">
        <f>IF($A96&lt;&gt;"",IFERROR(VLOOKUP(LEFT($A96,12),'Database (All)'!$A$7:$R$103,15,FALSE),""),
       IF($A96&lt;&gt;"",(VLOOKUP(LEFT($A96,12),'Database (All)'!$A$7:$R$103,15,FALSE)),""))</f>
        <v/>
      </c>
      <c r="L96" s="3409" t="str">
        <f>IF($A96&lt;&gt;"",IFERROR(VLOOKUP(LEFT($A96,12),'Database (All)'!$A$7:$R$103,18,FALSE),""),
                           IF($A96&lt;&gt;"",VLOOKUP(LEFT($A96,12),'Database (All)'!$A$7:$R$103,18,FALSE),""))</f>
        <v/>
      </c>
      <c r="M96" s="2448"/>
      <c r="N96" s="2435" t="str">
        <f t="shared" si="19"/>
        <v/>
      </c>
      <c r="O96" s="2313"/>
      <c r="P96" s="1666"/>
      <c r="Q96" s="1666"/>
      <c r="R96" s="1666"/>
      <c r="S96" s="1666"/>
      <c r="T96" s="1666"/>
      <c r="U96" s="1827"/>
    </row>
    <row r="97" spans="1:21">
      <c r="A97" s="1071"/>
      <c r="B97" s="2298" t="str">
        <f t="shared" si="13"/>
        <v/>
      </c>
      <c r="C97" s="2008" t="str">
        <f>IF($A97&lt;&gt;"",VLOOKUP($A97,IP!$A$4:$K$153,11,FALSE),"")</f>
        <v/>
      </c>
      <c r="D97" s="2008" t="str">
        <f t="shared" si="14"/>
        <v/>
      </c>
      <c r="E97" s="2073" t="str">
        <f t="shared" si="15"/>
        <v/>
      </c>
      <c r="F97" s="2073" t="str">
        <f t="shared" si="16"/>
        <v/>
      </c>
      <c r="G97" s="2073" t="str">
        <f t="shared" si="17"/>
        <v/>
      </c>
      <c r="H97" s="2008" t="str">
        <f>IF($A97&lt;&gt;"",VLOOKUP($A97,IP!$A$4:$N$153,12,FALSE),"")</f>
        <v/>
      </c>
      <c r="I97" s="2073" t="str">
        <f t="shared" si="18"/>
        <v/>
      </c>
      <c r="J97" s="2420"/>
      <c r="K97" s="3407" t="str">
        <f>IF($A97&lt;&gt;"",IFERROR(VLOOKUP(LEFT($A97,12),'Database (All)'!$A$7:$R$103,15,FALSE),""),
       IF($A97&lt;&gt;"",(VLOOKUP(LEFT($A97,12),'Database (All)'!$A$7:$R$103,15,FALSE)),""))</f>
        <v/>
      </c>
      <c r="L97" s="3409" t="str">
        <f>IF($A97&lt;&gt;"",IFERROR(VLOOKUP(LEFT($A97,12),'Database (All)'!$A$7:$R$103,18,FALSE),""),
                           IF($A97&lt;&gt;"",VLOOKUP(LEFT($A97,12),'Database (All)'!$A$7:$R$103,18,FALSE),""))</f>
        <v/>
      </c>
      <c r="M97" s="2448"/>
      <c r="N97" s="2435" t="str">
        <f t="shared" si="19"/>
        <v/>
      </c>
      <c r="O97" s="2313"/>
      <c r="P97" s="1666"/>
      <c r="Q97" s="1666"/>
      <c r="R97" s="1666"/>
      <c r="S97" s="1666"/>
      <c r="T97" s="1666"/>
      <c r="U97" s="1827"/>
    </row>
    <row r="98" spans="1:21">
      <c r="A98" s="1071"/>
      <c r="B98" s="2298" t="str">
        <f t="shared" si="13"/>
        <v/>
      </c>
      <c r="C98" s="2008" t="str">
        <f>IF($A98&lt;&gt;"",VLOOKUP($A98,IP!$A$4:$K$153,11,FALSE),"")</f>
        <v/>
      </c>
      <c r="D98" s="2008" t="str">
        <f t="shared" si="14"/>
        <v/>
      </c>
      <c r="E98" s="2073" t="str">
        <f t="shared" si="15"/>
        <v/>
      </c>
      <c r="F98" s="2073" t="str">
        <f t="shared" si="16"/>
        <v/>
      </c>
      <c r="G98" s="2073" t="str">
        <f t="shared" si="17"/>
        <v/>
      </c>
      <c r="H98" s="2008" t="str">
        <f>IF($A98&lt;&gt;"",VLOOKUP($A98,IP!$A$4:$N$153,12,FALSE),"")</f>
        <v/>
      </c>
      <c r="I98" s="2073" t="str">
        <f t="shared" si="18"/>
        <v/>
      </c>
      <c r="J98" s="2420"/>
      <c r="K98" s="3407" t="str">
        <f>IF($A98&lt;&gt;"",IFERROR(VLOOKUP(LEFT($A98,12),'Database (All)'!$A$7:$R$103,15,FALSE),""),
       IF($A98&lt;&gt;"",(VLOOKUP(LEFT($A98,12),'Database (All)'!$A$7:$R$103,15,FALSE)),""))</f>
        <v/>
      </c>
      <c r="L98" s="3409" t="str">
        <f>IF($A98&lt;&gt;"",IFERROR(VLOOKUP(LEFT($A98,12),'Database (All)'!$A$7:$R$103,18,FALSE),""),
                           IF($A98&lt;&gt;"",VLOOKUP(LEFT($A98,12),'Database (All)'!$A$7:$R$103,18,FALSE),""))</f>
        <v/>
      </c>
      <c r="M98" s="2448"/>
      <c r="N98" s="2435" t="str">
        <f t="shared" si="19"/>
        <v/>
      </c>
      <c r="O98" s="2313"/>
      <c r="P98" s="1666"/>
      <c r="Q98" s="1666"/>
      <c r="R98" s="1666"/>
      <c r="S98" s="1666"/>
      <c r="T98" s="1666"/>
      <c r="U98" s="1827"/>
    </row>
    <row r="99" spans="1:21">
      <c r="A99" s="1071"/>
      <c r="B99" s="2298" t="str">
        <f t="shared" si="13"/>
        <v/>
      </c>
      <c r="C99" s="2008" t="str">
        <f>IF($A99&lt;&gt;"",VLOOKUP($A99,IP!$A$4:$K$153,11,FALSE),"")</f>
        <v/>
      </c>
      <c r="D99" s="2008" t="str">
        <f t="shared" si="14"/>
        <v/>
      </c>
      <c r="E99" s="2073" t="str">
        <f t="shared" si="15"/>
        <v/>
      </c>
      <c r="F99" s="2073" t="str">
        <f t="shared" si="16"/>
        <v/>
      </c>
      <c r="G99" s="2073" t="str">
        <f t="shared" si="17"/>
        <v/>
      </c>
      <c r="H99" s="2008" t="str">
        <f>IF($A99&lt;&gt;"",VLOOKUP($A99,IP!$A$4:$N$153,12,FALSE),"")</f>
        <v/>
      </c>
      <c r="I99" s="2073" t="str">
        <f t="shared" si="18"/>
        <v/>
      </c>
      <c r="J99" s="2420"/>
      <c r="K99" s="3407" t="str">
        <f>IF($A99&lt;&gt;"",IFERROR(VLOOKUP(LEFT($A99,12),'Database (All)'!$A$7:$R$103,15,FALSE),""),
       IF($A99&lt;&gt;"",(VLOOKUP(LEFT($A99,12),'Database (All)'!$A$7:$R$103,15,FALSE)),""))</f>
        <v/>
      </c>
      <c r="L99" s="3409" t="str">
        <f>IF($A99&lt;&gt;"",IFERROR(VLOOKUP(LEFT($A99,12),'Database (All)'!$A$7:$R$103,18,FALSE),""),
                           IF($A99&lt;&gt;"",VLOOKUP(LEFT($A99,12),'Database (All)'!$A$7:$R$103,18,FALSE),""))</f>
        <v/>
      </c>
      <c r="M99" s="2448"/>
      <c r="N99" s="2435" t="str">
        <f t="shared" si="19"/>
        <v/>
      </c>
      <c r="O99" s="2313"/>
      <c r="P99" s="1666"/>
      <c r="Q99" s="1666"/>
      <c r="R99" s="1666"/>
      <c r="S99" s="1666"/>
      <c r="T99" s="1666"/>
      <c r="U99" s="1827"/>
    </row>
    <row r="100" spans="1:21" ht="13.5" thickBot="1">
      <c r="A100" s="1069"/>
      <c r="B100" s="3156" t="str">
        <f t="shared" si="13"/>
        <v/>
      </c>
      <c r="C100" s="252" t="str">
        <f>IF($A100&lt;&gt;"",VLOOKUP($A100,IP!$A$4:$K$153,11,FALSE),"")</f>
        <v/>
      </c>
      <c r="D100" s="303" t="str">
        <f t="shared" si="14"/>
        <v/>
      </c>
      <c r="E100" s="303" t="str">
        <f t="shared" si="15"/>
        <v/>
      </c>
      <c r="F100" s="3166" t="str">
        <f t="shared" si="16"/>
        <v/>
      </c>
      <c r="G100" s="252" t="str">
        <f t="shared" si="17"/>
        <v/>
      </c>
      <c r="H100" s="252" t="str">
        <f>IF($A100&lt;&gt;"",VLOOKUP($A100,IP!$A$4:$N$153,12,FALSE),"")</f>
        <v/>
      </c>
      <c r="I100" s="303" t="str">
        <f t="shared" si="18"/>
        <v/>
      </c>
      <c r="J100" s="2579"/>
      <c r="K100" s="3408" t="str">
        <f>IF($A100&lt;&gt;"",IFERROR(VLOOKUP(LEFT($A100,12),'Database (All)'!$A$7:$R$103,15,FALSE),""),
       IF($A100&lt;&gt;"",(VLOOKUP(LEFT($A100,12),'Database (All)'!$A$7:$R$103,15,FALSE)),""))</f>
        <v/>
      </c>
      <c r="L100" s="3410" t="str">
        <f>IF($A100&lt;&gt;"",IFERROR(VLOOKUP(LEFT($A100,12),'Database (All)'!$A$7:$R$103,18,FALSE),""),
                           IF($A100&lt;&gt;"",VLOOKUP(LEFT($A100,12),'Database (All)'!$A$7:$R$103,18,FALSE),""))</f>
        <v/>
      </c>
      <c r="M100" s="2449"/>
      <c r="N100" s="2932" t="str">
        <f t="shared" si="19"/>
        <v/>
      </c>
      <c r="O100" s="2580"/>
      <c r="P100" s="1102"/>
      <c r="Q100" s="1102"/>
      <c r="R100" s="1102"/>
      <c r="S100" s="1102"/>
      <c r="T100" s="1102"/>
      <c r="U100" s="418"/>
    </row>
  </sheetData>
  <mergeCells count="2">
    <mergeCell ref="N1:Q1"/>
    <mergeCell ref="R1:T1"/>
  </mergeCells>
  <conditionalFormatting sqref="A1:B1 R1 H1:O1">
    <cfRule type="expression" dxfId="54" priority="18" stopIfTrue="1">
      <formula>"RED       =AND('Table of Contents'!$C$38=""Yes"",'Table of Contents'!$D38=""Not-Started"")"</formula>
    </cfRule>
  </conditionalFormatting>
  <conditionalFormatting sqref="D1">
    <cfRule type="cellIs" dxfId="53" priority="17" operator="equal">
      <formula>"UNDETERMINED"</formula>
    </cfRule>
    <cfRule type="cellIs" dxfId="52" priority="19" operator="equal">
      <formula>"REQUIRED"</formula>
    </cfRule>
  </conditionalFormatting>
  <conditionalFormatting sqref="U1">
    <cfRule type="expression" dxfId="51" priority="16" stopIfTrue="1">
      <formula>"RED       =AND('Table of Contents'!$C$38=""Yes"",'Table of Contents'!$D38=""Not-Started"")"</formula>
    </cfRule>
  </conditionalFormatting>
  <conditionalFormatting sqref="A3:A100">
    <cfRule type="expression" dxfId="50" priority="15">
      <formula>$B3="Existing"</formula>
    </cfRule>
  </conditionalFormatting>
  <conditionalFormatting sqref="B3:B100">
    <cfRule type="expression" dxfId="49" priority="14">
      <formula>B3="Existing"</formula>
    </cfRule>
  </conditionalFormatting>
  <conditionalFormatting sqref="N3:T100">
    <cfRule type="expression" dxfId="48" priority="11">
      <formula>$M3="AD"</formula>
    </cfRule>
  </conditionalFormatting>
  <conditionalFormatting sqref="E1 G1">
    <cfRule type="expression" dxfId="47" priority="6">
      <formula>$E$1&lt;&gt;""</formula>
    </cfRule>
  </conditionalFormatting>
  <conditionalFormatting sqref="I3:I100">
    <cfRule type="expression" dxfId="46" priority="1883">
      <formula>$E3&lt;&gt;"Oracle-Rac"</formula>
    </cfRule>
  </conditionalFormatting>
  <conditionalFormatting sqref="J3:J100">
    <cfRule type="expression" dxfId="45" priority="1884">
      <formula>SEARCH("Oracle-RAC",$E3)&gt;0</formula>
    </cfRule>
  </conditionalFormatting>
  <conditionalFormatting sqref="F3:F100">
    <cfRule type="expression" dxfId="44" priority="4">
      <formula>AND($A3&lt;&gt;"",$F3="")</formula>
    </cfRule>
  </conditionalFormatting>
  <conditionalFormatting sqref="G3:G99">
    <cfRule type="expression" dxfId="43" priority="3">
      <formula>AND($A3&lt;&gt;"",$G3="")</formula>
    </cfRule>
  </conditionalFormatting>
  <conditionalFormatting sqref="F1">
    <cfRule type="expression" dxfId="42" priority="2" stopIfTrue="1">
      <formula>"RED       =AND('Table of Contents'!$C$38=""Yes"",'Table of Contents'!$D38=""Not-Started"")"</formula>
    </cfRule>
  </conditionalFormatting>
  <conditionalFormatting sqref="E100">
    <cfRule type="expression" dxfId="41" priority="1">
      <formula>AND($A100&lt;&gt;"",$F100="")</formula>
    </cfRule>
  </conditionalFormatting>
  <dataValidations count="4">
    <dataValidation type="list" allowBlank="1" showInputMessage="1" showErrorMessage="1" sqref="A3:A100" xr:uid="{00000000-0002-0000-1C00-000000000000}">
      <formula1>list_AllIPs</formula1>
    </dataValidation>
    <dataValidation type="list" allowBlank="1" showInputMessage="1" showErrorMessage="1" sqref="M3:M100" xr:uid="{00000000-0002-0000-1C00-000001000000}">
      <formula1>"AD, SQL"</formula1>
    </dataValidation>
    <dataValidation type="list" allowBlank="1" showInputMessage="1" showErrorMessage="1" sqref="J3:J100" xr:uid="{00000000-0002-0000-1C00-000002000000}">
      <formula1>"No, Yes"</formula1>
    </dataValidation>
    <dataValidation type="list" allowBlank="1" showInputMessage="1" sqref="O3:O100" xr:uid="{00000000-0002-0000-1C00-000003000000}">
      <formula1>CAPAM_Middleware</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606209" r:id="rId4">
          <objectPr defaultSize="0" autoPict="0" r:id="rId5">
            <anchor moveWithCells="1">
              <from>
                <xdr:col>708</xdr:col>
                <xdr:colOff>171450</xdr:colOff>
                <xdr:row>0</xdr:row>
                <xdr:rowOff>0</xdr:rowOff>
              </from>
              <to>
                <xdr:col>725</xdr:col>
                <xdr:colOff>238125</xdr:colOff>
                <xdr:row>14</xdr:row>
                <xdr:rowOff>0</xdr:rowOff>
              </to>
            </anchor>
          </objectPr>
        </oleObject>
      </mc:Choice>
      <mc:Fallback>
        <oleObject progId="Word.Document.12" shapeId="606209" r:id="rId4"/>
      </mc:Fallback>
    </mc:AlternateContent>
  </oleObjec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7">
    <tabColor theme="3" tint="0.79998168889431442"/>
  </sheetPr>
  <dimension ref="A1:L94"/>
  <sheetViews>
    <sheetView showGridLines="0" zoomScale="90" zoomScaleNormal="90" workbookViewId="0">
      <selection activeCell="F27" sqref="F26:F27"/>
    </sheetView>
  </sheetViews>
  <sheetFormatPr defaultRowHeight="12.75"/>
  <cols>
    <col min="1" max="1" width="22.28515625" customWidth="1"/>
    <col min="2" max="2" width="31.85546875" bestFit="1" customWidth="1"/>
    <col min="3" max="3" width="35.5703125" customWidth="1"/>
    <col min="4" max="4" width="20.85546875" style="56" customWidth="1"/>
    <col min="5" max="5" width="23.7109375" style="56" customWidth="1"/>
    <col min="6" max="6" width="28.28515625" bestFit="1" customWidth="1"/>
    <col min="7" max="7" width="18.140625" customWidth="1"/>
    <col min="8" max="8" width="27.5703125" bestFit="1" customWidth="1"/>
    <col min="9" max="9" width="16.140625" customWidth="1"/>
    <col min="10" max="10" width="21" customWidth="1"/>
    <col min="11" max="11" width="18.42578125" customWidth="1"/>
    <col min="13" max="13" width="11.5703125" customWidth="1"/>
  </cols>
  <sheetData>
    <row r="1" spans="1:12" s="1" customFormat="1" ht="34.5" customHeight="1" thickBot="1">
      <c r="A1" s="160"/>
      <c r="B1" s="1921"/>
      <c r="C1" s="274" t="str">
        <f>IF(Monitoring="YES","REQUIRED",IF(Monitoring="NO","This Tab is Not Required","Undetermined"))</f>
        <v>REQUIRED</v>
      </c>
      <c r="D1" s="162"/>
      <c r="E1" s="162"/>
      <c r="F1" s="186" t="str">
        <f>'Project Details'!$C$8&amp;" - Monitoring – Requests"</f>
        <v>Linux Infrastructure Management - Monitoring – Requests</v>
      </c>
      <c r="G1" s="161"/>
      <c r="H1" s="162"/>
      <c r="I1" s="162"/>
      <c r="J1" s="3208"/>
    </row>
    <row r="2" spans="1:12" s="128" customFormat="1" ht="15.75" customHeight="1">
      <c r="A2" s="3914" t="s">
        <v>714</v>
      </c>
      <c r="B2" s="3915"/>
      <c r="C2" s="3920" t="str">
        <f>IF('Project Details'!C8:E8&lt;&gt;"",'Project Details'!C8:E8,"")</f>
        <v>Linux Infrastructure Management</v>
      </c>
      <c r="D2" s="3921"/>
      <c r="E2" s="3911" t="s">
        <v>4226</v>
      </c>
      <c r="F2" s="3911"/>
      <c r="G2" s="3911"/>
      <c r="H2" s="182"/>
      <c r="I2" s="70"/>
      <c r="J2" s="70"/>
    </row>
    <row r="3" spans="1:12" s="128" customFormat="1" ht="15.75">
      <c r="A3" s="3916" t="s">
        <v>942</v>
      </c>
      <c r="B3" s="3917"/>
      <c r="C3" s="3922"/>
      <c r="D3" s="3923"/>
      <c r="E3" s="3912"/>
      <c r="F3" s="3912"/>
      <c r="G3" s="3912"/>
      <c r="H3" s="182"/>
      <c r="I3" s="3957" t="str">
        <f>IF(AdvMon="yes", "Dynatrace Funded", "")</f>
        <v/>
      </c>
      <c r="J3" s="3957"/>
    </row>
    <row r="4" spans="1:12" s="128" customFormat="1" ht="15.75">
      <c r="A4" s="3916" t="s">
        <v>1064</v>
      </c>
      <c r="B4" s="3917"/>
      <c r="C4" s="3922" t="str">
        <f>IF(app_technical_contact&lt;&gt;"",app_technical_contact,"")</f>
        <v xml:space="preserve">Paul Schmidt , Bill Mesik , Richard Davis </v>
      </c>
      <c r="D4" s="3923"/>
      <c r="E4" s="3912"/>
      <c r="F4" s="3912"/>
      <c r="G4" s="3912"/>
      <c r="H4" s="182"/>
      <c r="I4" s="3957"/>
      <c r="J4" s="3957"/>
    </row>
    <row r="5" spans="1:12" s="128" customFormat="1" ht="15.75">
      <c r="A5" s="3916" t="s">
        <v>4439</v>
      </c>
      <c r="B5" s="3917"/>
      <c r="C5" s="3924" t="str">
        <f>IF(app_support_team&lt;&gt;"",app_support_team,"")</f>
        <v>HCSC_Unix</v>
      </c>
      <c r="D5" s="3925"/>
      <c r="E5" s="3912"/>
      <c r="F5" s="3912"/>
      <c r="G5" s="3912"/>
      <c r="H5" s="182"/>
      <c r="I5" s="70"/>
      <c r="J5" s="70"/>
    </row>
    <row r="6" spans="1:12" s="128" customFormat="1" ht="16.5" thickBot="1">
      <c r="A6" s="3918" t="s">
        <v>1065</v>
      </c>
      <c r="B6" s="3919"/>
      <c r="C6" s="3926" t="str">
        <f>IF(app_support_team_email&lt;&gt;"",app_support_team_email,"")</f>
        <v>HCSC_Unix@bcbbsil.com</v>
      </c>
      <c r="D6" s="3927"/>
      <c r="E6" s="3912"/>
      <c r="F6" s="3912"/>
      <c r="G6" s="3912"/>
      <c r="H6" s="182"/>
      <c r="I6" s="70"/>
      <c r="J6" s="70"/>
    </row>
    <row r="7" spans="1:12" s="128" customFormat="1" ht="16.5" thickBot="1">
      <c r="A7" s="185" t="s">
        <v>1076</v>
      </c>
      <c r="B7" s="185"/>
      <c r="C7" s="182"/>
      <c r="D7" s="182"/>
      <c r="E7" s="3913"/>
      <c r="F7" s="3913"/>
      <c r="G7" s="3913"/>
      <c r="H7" s="182"/>
      <c r="I7" s="70"/>
      <c r="J7" s="70"/>
    </row>
    <row r="8" spans="1:12" s="128" customFormat="1" ht="26.25" customHeight="1" thickBot="1">
      <c r="A8" s="195" t="s">
        <v>3415</v>
      </c>
      <c r="B8" s="196" t="s">
        <v>45</v>
      </c>
      <c r="C8" s="283" t="s">
        <v>1331</v>
      </c>
      <c r="D8" s="196" t="s">
        <v>19</v>
      </c>
      <c r="E8" s="196" t="s">
        <v>1066</v>
      </c>
      <c r="F8" s="196" t="s">
        <v>1067</v>
      </c>
      <c r="G8" s="196" t="s">
        <v>1068</v>
      </c>
      <c r="H8" s="196" t="s">
        <v>1069</v>
      </c>
      <c r="I8" s="847" t="s">
        <v>1070</v>
      </c>
      <c r="J8" s="196" t="s">
        <v>1071</v>
      </c>
      <c r="K8" s="197" t="s">
        <v>314</v>
      </c>
      <c r="L8" s="70"/>
    </row>
    <row r="9" spans="1:12" s="128" customFormat="1">
      <c r="A9" s="188" t="s">
        <v>5617</v>
      </c>
      <c r="B9" s="189" t="str">
        <f>IF(A9&lt;&gt;"",VLOOKUP(K9,IP!$B$4:$N$167,10,FALSE),"")</f>
        <v>dwauslmgt01.app.dev.hcscint.net</v>
      </c>
      <c r="C9" s="1505" t="str">
        <f t="shared" ref="C9:C36" si="0">IF(A9&lt;&gt;"",VLOOKUP(K9,dist_assets,3,FALSE),"")</f>
        <v>New</v>
      </c>
      <c r="D9" s="190" t="str">
        <f>IF(A9&lt;&gt;"",VLOOKUP(K9,IP!$B$4:$N$153,13,FALSE),"")</f>
        <v>10.130.3.119</v>
      </c>
      <c r="E9" s="399" t="s">
        <v>25</v>
      </c>
      <c r="F9" s="230"/>
      <c r="G9" s="230"/>
      <c r="H9" s="230"/>
      <c r="I9" s="231"/>
      <c r="J9" s="231"/>
      <c r="K9" s="192" t="str">
        <f>IF(A9&lt;&gt;"",VLOOKUP(A9,IP!$A$4:E$153,2,FALSE),"")</f>
        <v>20213598-001</v>
      </c>
      <c r="L9" s="70"/>
    </row>
    <row r="10" spans="1:12" s="128" customFormat="1">
      <c r="A10" s="188" t="s">
        <v>5618</v>
      </c>
      <c r="B10" s="189" t="str">
        <f>IF(A10&lt;&gt;"",VLOOKUP(K10,IP!$B$4:$N$167,10,FALSE),"")</f>
        <v>twauslmgt01.app.test.hcscint.net</v>
      </c>
      <c r="C10" s="285" t="str">
        <f t="shared" si="0"/>
        <v>New</v>
      </c>
      <c r="D10" s="190" t="str">
        <f>IF(A10&lt;&gt;"",VLOOKUP(K10,IP!$B$4:$N$153,13,FALSE),"")</f>
        <v>10.134.129.199</v>
      </c>
      <c r="E10" s="399" t="s">
        <v>25</v>
      </c>
      <c r="F10" s="230"/>
      <c r="G10" s="230"/>
      <c r="H10" s="232"/>
      <c r="I10" s="231"/>
      <c r="J10" s="231"/>
      <c r="K10" s="192" t="str">
        <f>IF(A10&lt;&gt;"",VLOOKUP(A10,IP!$A$4:E$153,2,FALSE),"")</f>
        <v>20213598-002</v>
      </c>
      <c r="L10" s="70"/>
    </row>
    <row r="11" spans="1:12" s="128" customFormat="1">
      <c r="A11" s="188" t="s">
        <v>5619</v>
      </c>
      <c r="B11" s="189" t="str">
        <f>IF(A11&lt;&gt;"",VLOOKUP(K11,IP!$B$4:$N$167,10,FALSE),"")</f>
        <v>awauslmgt01.app.alt.hcscint.net</v>
      </c>
      <c r="C11" s="285" t="str">
        <f t="shared" si="0"/>
        <v>New</v>
      </c>
      <c r="D11" s="190" t="str">
        <f>IF(A11&lt;&gt;"",VLOOKUP(K11,IP!$B$4:$N$153,13,FALSE),"")</f>
        <v>10.137.52.39</v>
      </c>
      <c r="E11" s="399" t="s">
        <v>25</v>
      </c>
      <c r="F11" s="230"/>
      <c r="G11" s="230"/>
      <c r="H11" s="232"/>
      <c r="I11" s="231"/>
      <c r="J11" s="231"/>
      <c r="K11" s="192" t="str">
        <f>IF(A11&lt;&gt;"",VLOOKUP(A11,IP!$A$4:E$153,2,FALSE),"")</f>
        <v>20213598-003</v>
      </c>
      <c r="L11" s="70"/>
    </row>
    <row r="12" spans="1:12" s="128" customFormat="1">
      <c r="A12" s="188" t="s">
        <v>5620</v>
      </c>
      <c r="B12" s="189" t="str">
        <f>IF(A12&lt;&gt;"",VLOOKUP(K12,IP!$B$4:$N$167,10,FALSE),"")</f>
        <v>pwauslmgt01.app.hcscint.net</v>
      </c>
      <c r="C12" s="285" t="str">
        <f t="shared" si="0"/>
        <v>New</v>
      </c>
      <c r="D12" s="190" t="str">
        <f>IF(A12&lt;&gt;"",VLOOKUP(K12,IP!$B$4:$N$153,13,FALSE),"")</f>
        <v>10.136.137.123</v>
      </c>
      <c r="E12" s="399" t="s">
        <v>25</v>
      </c>
      <c r="F12" s="230"/>
      <c r="G12" s="230"/>
      <c r="H12" s="232"/>
      <c r="I12" s="231"/>
      <c r="J12" s="231"/>
      <c r="K12" s="192" t="str">
        <f>IF(A12&lt;&gt;"",VLOOKUP(A12,IP!$A$4:E$153,2,FALSE),"")</f>
        <v>20213598-004</v>
      </c>
      <c r="L12" s="70"/>
    </row>
    <row r="13" spans="1:12" s="128" customFormat="1">
      <c r="A13" s="188"/>
      <c r="B13" s="189" t="str">
        <f>IF(A13&lt;&gt;"",VLOOKUP(K13,IP!$B$4:$N$167,10,FALSE),"")</f>
        <v/>
      </c>
      <c r="C13" s="285" t="str">
        <f t="shared" si="0"/>
        <v/>
      </c>
      <c r="D13" s="190" t="str">
        <f>IF(A13&lt;&gt;"",VLOOKUP(K13,IP!$B$4:$N$153,13,FALSE),"")</f>
        <v/>
      </c>
      <c r="E13" s="399" t="s">
        <v>25</v>
      </c>
      <c r="F13" s="230"/>
      <c r="G13" s="230"/>
      <c r="H13" s="232"/>
      <c r="I13" s="231"/>
      <c r="J13" s="231"/>
      <c r="K13" s="192" t="str">
        <f>IF(A13&lt;&gt;"",VLOOKUP(A13,IP!$A$4:E$153,2,FALSE),"")</f>
        <v/>
      </c>
      <c r="L13" s="70"/>
    </row>
    <row r="14" spans="1:12" s="128" customFormat="1">
      <c r="A14" s="188"/>
      <c r="B14" s="189" t="str">
        <f>IF(A14&lt;&gt;"",VLOOKUP(K14,IP!$B$4:$N$167,10,FALSE),"")</f>
        <v/>
      </c>
      <c r="C14" s="285" t="str">
        <f t="shared" si="0"/>
        <v/>
      </c>
      <c r="D14" s="190" t="str">
        <f>IF(A14&lt;&gt;"",VLOOKUP(K14,IP!$B$4:$N$153,13,FALSE),"")</f>
        <v/>
      </c>
      <c r="E14" s="399"/>
      <c r="F14" s="230"/>
      <c r="G14" s="230"/>
      <c r="H14" s="232"/>
      <c r="I14" s="231"/>
      <c r="J14" s="231"/>
      <c r="K14" s="192" t="str">
        <f>IF(A14&lt;&gt;"",VLOOKUP(A14,IP!$A$4:E$153,2,FALSE),"")</f>
        <v/>
      </c>
      <c r="L14" s="70"/>
    </row>
    <row r="15" spans="1:12" s="128" customFormat="1" ht="12.75" customHeight="1">
      <c r="A15" s="188"/>
      <c r="B15" s="189" t="str">
        <f>IF(A15&lt;&gt;"",VLOOKUP(K15,IP!$B$4:$N$167,10,FALSE),"")</f>
        <v/>
      </c>
      <c r="C15" s="285" t="str">
        <f t="shared" si="0"/>
        <v/>
      </c>
      <c r="D15" s="190" t="str">
        <f>IF(A15&lt;&gt;"",VLOOKUP(K15,IP!$B$4:$N$153,13,FALSE),"")</f>
        <v/>
      </c>
      <c r="E15" s="399"/>
      <c r="F15" s="230"/>
      <c r="G15" s="230"/>
      <c r="H15" s="232"/>
      <c r="I15" s="231"/>
      <c r="J15" s="231"/>
      <c r="K15" s="192" t="str">
        <f>IF(A15&lt;&gt;"",VLOOKUP(A15,IP!$A$4:E$153,2,FALSE),"")</f>
        <v/>
      </c>
      <c r="L15" s="70"/>
    </row>
    <row r="16" spans="1:12" s="128" customFormat="1">
      <c r="A16" s="188"/>
      <c r="B16" s="189" t="str">
        <f>IF(A16&lt;&gt;"",VLOOKUP(K16,IP!$B$4:$N$167,10,FALSE),"")</f>
        <v/>
      </c>
      <c r="C16" s="285" t="str">
        <f t="shared" si="0"/>
        <v/>
      </c>
      <c r="D16" s="190" t="str">
        <f>IF(A16&lt;&gt;"",VLOOKUP(K16,IP!$B$4:$N$153,13,FALSE),"")</f>
        <v/>
      </c>
      <c r="E16" s="399"/>
      <c r="F16" s="230"/>
      <c r="G16" s="230"/>
      <c r="H16" s="232"/>
      <c r="I16" s="231"/>
      <c r="J16" s="231"/>
      <c r="K16" s="192" t="str">
        <f>IF(A16&lt;&gt;"",VLOOKUP(A16,IP!$A$4:E$153,2,FALSE),"")</f>
        <v/>
      </c>
      <c r="L16" s="70"/>
    </row>
    <row r="17" spans="1:12" s="128" customFormat="1">
      <c r="A17" s="188"/>
      <c r="B17" s="189" t="str">
        <f>IF(A17&lt;&gt;"",VLOOKUP(K17,IP!$B$4:$N$167,10,FALSE),"")</f>
        <v/>
      </c>
      <c r="C17" s="285" t="str">
        <f t="shared" si="0"/>
        <v/>
      </c>
      <c r="D17" s="190" t="str">
        <f>IF(A17&lt;&gt;"",VLOOKUP(K17,IP!$B$4:$N$153,13,FALSE),"")</f>
        <v/>
      </c>
      <c r="E17" s="399"/>
      <c r="F17" s="230"/>
      <c r="G17" s="230"/>
      <c r="H17" s="232"/>
      <c r="I17" s="231"/>
      <c r="J17" s="231"/>
      <c r="K17" s="192" t="str">
        <f>IF(A17&lt;&gt;"",VLOOKUP(A17,IP!$A$4:E$153,2,FALSE),"")</f>
        <v/>
      </c>
      <c r="L17" s="70"/>
    </row>
    <row r="18" spans="1:12" s="128" customFormat="1">
      <c r="A18" s="188"/>
      <c r="B18" s="189" t="str">
        <f>IF(A18&lt;&gt;"",VLOOKUP(K18,IP!$B$4:$N$167,10,FALSE),"")</f>
        <v/>
      </c>
      <c r="C18" s="285" t="str">
        <f t="shared" si="0"/>
        <v/>
      </c>
      <c r="D18" s="190" t="str">
        <f>IF(A18&lt;&gt;"",VLOOKUP(K18,IP!$B$4:$N$153,13,FALSE),"")</f>
        <v/>
      </c>
      <c r="E18" s="399"/>
      <c r="F18" s="230"/>
      <c r="G18" s="230"/>
      <c r="H18" s="232"/>
      <c r="I18" s="231"/>
      <c r="J18" s="231"/>
      <c r="K18" s="192" t="str">
        <f>IF(A18&lt;&gt;"",VLOOKUP(A18,IP!$A$4:E$153,2,FALSE),"")</f>
        <v/>
      </c>
      <c r="L18" s="70"/>
    </row>
    <row r="19" spans="1:12" s="128" customFormat="1">
      <c r="A19" s="188"/>
      <c r="B19" s="189" t="str">
        <f>IF(A19&lt;&gt;"",VLOOKUP(K19,IP!$B$4:$N$167,10,FALSE),"")</f>
        <v/>
      </c>
      <c r="C19" s="285" t="str">
        <f t="shared" si="0"/>
        <v/>
      </c>
      <c r="D19" s="190" t="str">
        <f>IF(A19&lt;&gt;"",VLOOKUP(K19,IP!$B$4:$N$153,13,FALSE),"")</f>
        <v/>
      </c>
      <c r="E19" s="399"/>
      <c r="F19" s="230"/>
      <c r="G19" s="230"/>
      <c r="H19" s="232"/>
      <c r="I19" s="231"/>
      <c r="J19" s="231"/>
      <c r="K19" s="192" t="str">
        <f>IF(A19&lt;&gt;"",VLOOKUP(A19,IP!$A$4:E$153,2,FALSE),"")</f>
        <v/>
      </c>
      <c r="L19" s="70"/>
    </row>
    <row r="20" spans="1:12" s="128" customFormat="1">
      <c r="A20" s="188"/>
      <c r="B20" s="189" t="str">
        <f>IF(A20&lt;&gt;"",VLOOKUP(K20,IP!$B$4:$N$167,10,FALSE),"")</f>
        <v/>
      </c>
      <c r="C20" s="285" t="str">
        <f t="shared" si="0"/>
        <v/>
      </c>
      <c r="D20" s="190" t="str">
        <f>IF(A20&lt;&gt;"",VLOOKUP(K20,IP!$B$4:$N$153,13,FALSE),"")</f>
        <v/>
      </c>
      <c r="E20" s="399"/>
      <c r="F20" s="230"/>
      <c r="G20" s="230"/>
      <c r="H20" s="232"/>
      <c r="I20" s="231"/>
      <c r="J20" s="231"/>
      <c r="K20" s="192" t="str">
        <f>IF(A20&lt;&gt;"",VLOOKUP(A20,IP!$A$4:E$153,2,FALSE),"")</f>
        <v/>
      </c>
      <c r="L20" s="70"/>
    </row>
    <row r="21" spans="1:12" s="128" customFormat="1">
      <c r="A21" s="188"/>
      <c r="B21" s="189" t="str">
        <f>IF(A21&lt;&gt;"",VLOOKUP(K21,IP!$B$4:$N$167,10,FALSE),"")</f>
        <v/>
      </c>
      <c r="C21" s="285" t="str">
        <f t="shared" si="0"/>
        <v/>
      </c>
      <c r="D21" s="190" t="str">
        <f>IF(A21&lt;&gt;"",VLOOKUP(K21,IP!$B$4:$N$153,13,FALSE),"")</f>
        <v/>
      </c>
      <c r="E21" s="399"/>
      <c r="F21" s="230"/>
      <c r="G21" s="230"/>
      <c r="H21" s="232"/>
      <c r="I21" s="231"/>
      <c r="J21" s="231"/>
      <c r="K21" s="192" t="str">
        <f>IF(A21&lt;&gt;"",VLOOKUP(A21,IP!$A$4:E$153,2,FALSE),"")</f>
        <v/>
      </c>
      <c r="L21" s="70"/>
    </row>
    <row r="22" spans="1:12" s="128" customFormat="1">
      <c r="A22" s="188"/>
      <c r="B22" s="189" t="str">
        <f>IF(A22&lt;&gt;"",VLOOKUP(K22,IP!$B$4:$N$167,10,FALSE),"")</f>
        <v/>
      </c>
      <c r="C22" s="285" t="str">
        <f t="shared" si="0"/>
        <v/>
      </c>
      <c r="D22" s="190" t="str">
        <f>IF(A22&lt;&gt;"",VLOOKUP(K22,IP!$B$4:$N$153,13,FALSE),"")</f>
        <v/>
      </c>
      <c r="E22" s="399"/>
      <c r="F22" s="230"/>
      <c r="G22" s="230"/>
      <c r="H22" s="232"/>
      <c r="I22" s="231"/>
      <c r="J22" s="231"/>
      <c r="K22" s="192" t="str">
        <f>IF(A22&lt;&gt;"",VLOOKUP(A22,IP!$A$4:E$153,2,FALSE),"")</f>
        <v/>
      </c>
      <c r="L22" s="70"/>
    </row>
    <row r="23" spans="1:12" s="128" customFormat="1">
      <c r="A23" s="188"/>
      <c r="B23" s="189" t="str">
        <f>IF(A23&lt;&gt;"",VLOOKUP(K23,IP!$B$4:$N$167,10,FALSE),"")</f>
        <v/>
      </c>
      <c r="C23" s="285" t="str">
        <f t="shared" si="0"/>
        <v/>
      </c>
      <c r="D23" s="190" t="str">
        <f>IF(A23&lt;&gt;"",VLOOKUP(K23,IP!$B$4:$N$153,13,FALSE),"")</f>
        <v/>
      </c>
      <c r="E23" s="399"/>
      <c r="F23" s="230"/>
      <c r="G23" s="230"/>
      <c r="H23" s="232"/>
      <c r="I23" s="231"/>
      <c r="J23" s="231"/>
      <c r="K23" s="192" t="str">
        <f>IF(A23&lt;&gt;"",VLOOKUP(A23,IP!$A$4:E$153,2,FALSE),"")</f>
        <v/>
      </c>
      <c r="L23" s="70"/>
    </row>
    <row r="24" spans="1:12" s="2424" customFormat="1" ht="12.75" customHeight="1">
      <c r="A24" s="188"/>
      <c r="B24" s="189" t="str">
        <f>IF(A24&lt;&gt;"",VLOOKUP(K24,IP!$B$4:$N$167,10,FALSE),"")</f>
        <v/>
      </c>
      <c r="C24" s="285" t="str">
        <f t="shared" ref="C24:C32" si="1">IF(A24&lt;&gt;"",VLOOKUP(K24,dist_assets,3,FALSE),"")</f>
        <v/>
      </c>
      <c r="D24" s="190" t="str">
        <f>IF(A24&lt;&gt;"",VLOOKUP(K24,IP!$B$4:$N$153,13,FALSE),"")</f>
        <v/>
      </c>
      <c r="E24" s="399"/>
      <c r="F24" s="230"/>
      <c r="G24" s="230"/>
      <c r="H24" s="232"/>
      <c r="I24" s="231"/>
      <c r="J24" s="231"/>
      <c r="K24" s="192" t="str">
        <f>IF(A24&lt;&gt;"",VLOOKUP(A24,IP!$A$4:E$153,2,FALSE),"")</f>
        <v/>
      </c>
      <c r="L24" s="2741"/>
    </row>
    <row r="25" spans="1:12" s="2424" customFormat="1">
      <c r="A25" s="188"/>
      <c r="B25" s="189" t="str">
        <f>IF(A25&lt;&gt;"",VLOOKUP(K25,IP!$B$4:$N$167,10,FALSE),"")</f>
        <v/>
      </c>
      <c r="C25" s="285" t="str">
        <f t="shared" si="1"/>
        <v/>
      </c>
      <c r="D25" s="190" t="str">
        <f>IF(A25&lt;&gt;"",VLOOKUP(K25,IP!$B$4:$N$153,13,FALSE),"")</f>
        <v/>
      </c>
      <c r="E25" s="399"/>
      <c r="F25" s="230"/>
      <c r="G25" s="230"/>
      <c r="H25" s="232"/>
      <c r="I25" s="231"/>
      <c r="J25" s="231"/>
      <c r="K25" s="192" t="str">
        <f>IF(A25&lt;&gt;"",VLOOKUP(A25,IP!$A$4:E$153,2,FALSE),"")</f>
        <v/>
      </c>
      <c r="L25" s="2741"/>
    </row>
    <row r="26" spans="1:12" s="2424" customFormat="1">
      <c r="A26" s="188"/>
      <c r="B26" s="189" t="str">
        <f>IF(A26&lt;&gt;"",VLOOKUP(K26,IP!$B$4:$N$167,10,FALSE),"")</f>
        <v/>
      </c>
      <c r="C26" s="285" t="str">
        <f t="shared" si="1"/>
        <v/>
      </c>
      <c r="D26" s="190" t="str">
        <f>IF(A26&lt;&gt;"",VLOOKUP(K26,IP!$B$4:$N$153,13,FALSE),"")</f>
        <v/>
      </c>
      <c r="E26" s="399"/>
      <c r="F26" s="230"/>
      <c r="G26" s="230"/>
      <c r="H26" s="232"/>
      <c r="I26" s="231"/>
      <c r="J26" s="231"/>
      <c r="K26" s="192" t="str">
        <f>IF(A26&lt;&gt;"",VLOOKUP(A26,IP!$A$4:E$153,2,FALSE),"")</f>
        <v/>
      </c>
      <c r="L26" s="2741"/>
    </row>
    <row r="27" spans="1:12" s="2424" customFormat="1">
      <c r="A27" s="188"/>
      <c r="B27" s="189" t="str">
        <f>IF(A27&lt;&gt;"",VLOOKUP(K27,IP!$B$4:$N$167,10,FALSE),"")</f>
        <v/>
      </c>
      <c r="C27" s="285" t="str">
        <f t="shared" si="1"/>
        <v/>
      </c>
      <c r="D27" s="190" t="str">
        <f>IF(A27&lt;&gt;"",VLOOKUP(K27,IP!$B$4:$N$153,13,FALSE),"")</f>
        <v/>
      </c>
      <c r="E27" s="399"/>
      <c r="F27" s="230"/>
      <c r="G27" s="230"/>
      <c r="H27" s="232"/>
      <c r="I27" s="231"/>
      <c r="J27" s="231"/>
      <c r="K27" s="192" t="str">
        <f>IF(A27&lt;&gt;"",VLOOKUP(A27,IP!$A$4:E$153,2,FALSE),"")</f>
        <v/>
      </c>
      <c r="L27" s="2741"/>
    </row>
    <row r="28" spans="1:12" s="2424" customFormat="1">
      <c r="A28" s="188"/>
      <c r="B28" s="189" t="str">
        <f>IF(A28&lt;&gt;"",VLOOKUP(K28,IP!$B$4:$N$167,10,FALSE),"")</f>
        <v/>
      </c>
      <c r="C28" s="285" t="str">
        <f t="shared" si="1"/>
        <v/>
      </c>
      <c r="D28" s="190" t="str">
        <f>IF(A28&lt;&gt;"",VLOOKUP(K28,IP!$B$4:$N$153,13,FALSE),"")</f>
        <v/>
      </c>
      <c r="E28" s="399"/>
      <c r="F28" s="230"/>
      <c r="G28" s="230"/>
      <c r="H28" s="232"/>
      <c r="I28" s="231"/>
      <c r="J28" s="231"/>
      <c r="K28" s="192" t="str">
        <f>IF(A28&lt;&gt;"",VLOOKUP(A28,IP!$A$4:E$153,2,FALSE),"")</f>
        <v/>
      </c>
      <c r="L28" s="2741"/>
    </row>
    <row r="29" spans="1:12" s="2424" customFormat="1">
      <c r="A29" s="188"/>
      <c r="B29" s="189" t="str">
        <f>IF(A29&lt;&gt;"",VLOOKUP(K29,IP!$B$4:$N$167,10,FALSE),"")</f>
        <v/>
      </c>
      <c r="C29" s="285" t="str">
        <f t="shared" si="1"/>
        <v/>
      </c>
      <c r="D29" s="190" t="str">
        <f>IF(A29&lt;&gt;"",VLOOKUP(K29,IP!$B$4:$N$153,13,FALSE),"")</f>
        <v/>
      </c>
      <c r="E29" s="399"/>
      <c r="F29" s="230"/>
      <c r="G29" s="230"/>
      <c r="H29" s="232"/>
      <c r="I29" s="231"/>
      <c r="J29" s="231"/>
      <c r="K29" s="192" t="str">
        <f>IF(A29&lt;&gt;"",VLOOKUP(A29,IP!$A$4:E$153,2,FALSE),"")</f>
        <v/>
      </c>
      <c r="L29" s="2741"/>
    </row>
    <row r="30" spans="1:12" s="2424" customFormat="1">
      <c r="A30" s="188"/>
      <c r="B30" s="189" t="str">
        <f>IF(A30&lt;&gt;"",VLOOKUP(K30,IP!$B$4:$N$167,10,FALSE),"")</f>
        <v/>
      </c>
      <c r="C30" s="285" t="str">
        <f t="shared" si="1"/>
        <v/>
      </c>
      <c r="D30" s="190" t="str">
        <f>IF(A30&lt;&gt;"",VLOOKUP(K30,IP!$B$4:$N$153,13,FALSE),"")</f>
        <v/>
      </c>
      <c r="E30" s="399"/>
      <c r="F30" s="230"/>
      <c r="G30" s="230"/>
      <c r="H30" s="232"/>
      <c r="I30" s="231"/>
      <c r="J30" s="231"/>
      <c r="K30" s="192" t="str">
        <f>IF(A30&lt;&gt;"",VLOOKUP(A30,IP!$A$4:E$153,2,FALSE),"")</f>
        <v/>
      </c>
      <c r="L30" s="2741"/>
    </row>
    <row r="31" spans="1:12" s="2424" customFormat="1">
      <c r="A31" s="188"/>
      <c r="B31" s="189" t="str">
        <f>IF(A31&lt;&gt;"",VLOOKUP(K31,IP!$B$4:$N$167,10,FALSE),"")</f>
        <v/>
      </c>
      <c r="C31" s="285" t="str">
        <f t="shared" si="1"/>
        <v/>
      </c>
      <c r="D31" s="190" t="str">
        <f>IF(A31&lt;&gt;"",VLOOKUP(K31,IP!$B$4:$N$153,13,FALSE),"")</f>
        <v/>
      </c>
      <c r="E31" s="399"/>
      <c r="F31" s="230"/>
      <c r="G31" s="230"/>
      <c r="H31" s="232"/>
      <c r="I31" s="231"/>
      <c r="J31" s="231"/>
      <c r="K31" s="192" t="str">
        <f>IF(A31&lt;&gt;"",VLOOKUP(A31,IP!$A$4:E$153,2,FALSE),"")</f>
        <v/>
      </c>
      <c r="L31" s="2741"/>
    </row>
    <row r="32" spans="1:12" s="2424" customFormat="1">
      <c r="A32" s="188"/>
      <c r="B32" s="189" t="str">
        <f>IF(A32&lt;&gt;"",VLOOKUP(K32,IP!$B$4:$N$167,10,FALSE),"")</f>
        <v/>
      </c>
      <c r="C32" s="285" t="str">
        <f t="shared" si="1"/>
        <v/>
      </c>
      <c r="D32" s="190" t="str">
        <f>IF(A32&lt;&gt;"",VLOOKUP(K32,IP!$B$4:$N$153,13,FALSE),"")</f>
        <v/>
      </c>
      <c r="E32" s="399"/>
      <c r="F32" s="230"/>
      <c r="G32" s="230"/>
      <c r="H32" s="232"/>
      <c r="I32" s="231"/>
      <c r="J32" s="231"/>
      <c r="K32" s="192" t="str">
        <f>IF(A32&lt;&gt;"",VLOOKUP(A32,IP!$A$4:E$153,2,FALSE),"")</f>
        <v/>
      </c>
      <c r="L32" s="2741"/>
    </row>
    <row r="33" spans="1:12" s="128" customFormat="1">
      <c r="A33" s="188"/>
      <c r="B33" s="189" t="str">
        <f>IF(A33&lt;&gt;"",VLOOKUP(K33,IP!$B$4:$N$167,10,FALSE),"")</f>
        <v/>
      </c>
      <c r="C33" s="285" t="str">
        <f t="shared" si="0"/>
        <v/>
      </c>
      <c r="D33" s="190" t="str">
        <f>IF(A33&lt;&gt;"",VLOOKUP(K33,IP!$B$4:$N$153,13,FALSE),"")</f>
        <v/>
      </c>
      <c r="E33" s="399"/>
      <c r="F33" s="230"/>
      <c r="G33" s="230"/>
      <c r="H33" s="232"/>
      <c r="I33" s="231"/>
      <c r="J33" s="231"/>
      <c r="K33" s="192" t="str">
        <f>IF(A33&lt;&gt;"",VLOOKUP(A33,IP!$A$4:E$153,2,FALSE),"")</f>
        <v/>
      </c>
      <c r="L33" s="70"/>
    </row>
    <row r="34" spans="1:12" s="128" customFormat="1">
      <c r="A34" s="188"/>
      <c r="B34" s="189" t="str">
        <f>IF(A34&lt;&gt;"",VLOOKUP(K34,IP!$B$4:$N$167,10,FALSE),"")</f>
        <v/>
      </c>
      <c r="C34" s="285" t="str">
        <f t="shared" si="0"/>
        <v/>
      </c>
      <c r="D34" s="190" t="str">
        <f>IF(A34&lt;&gt;"",VLOOKUP(K34,IP!$B$4:$N$153,13,FALSE),"")</f>
        <v/>
      </c>
      <c r="E34" s="399"/>
      <c r="F34" s="230"/>
      <c r="G34" s="230"/>
      <c r="H34" s="232"/>
      <c r="I34" s="231"/>
      <c r="J34" s="231"/>
      <c r="K34" s="192" t="str">
        <f>IF(A34&lt;&gt;"",VLOOKUP(A34,IP!$A$4:E$153,2,FALSE),"")</f>
        <v/>
      </c>
      <c r="L34" s="70"/>
    </row>
    <row r="35" spans="1:12" s="128" customFormat="1">
      <c r="A35" s="188"/>
      <c r="B35" s="189" t="str">
        <f>IF(A35&lt;&gt;"",VLOOKUP(K35,IP!$B$4:$N$167,10,FALSE),"")</f>
        <v/>
      </c>
      <c r="C35" s="285" t="str">
        <f t="shared" si="0"/>
        <v/>
      </c>
      <c r="D35" s="190" t="str">
        <f>IF(A35&lt;&gt;"",VLOOKUP(K35,IP!$B$4:$N$153,13,FALSE),"")</f>
        <v/>
      </c>
      <c r="E35" s="399"/>
      <c r="F35" s="230"/>
      <c r="G35" s="230"/>
      <c r="H35" s="232"/>
      <c r="I35" s="231"/>
      <c r="J35" s="231"/>
      <c r="K35" s="192" t="str">
        <f>IF(A35&lt;&gt;"",VLOOKUP(A35,IP!$A$4:E$153,2,FALSE),"")</f>
        <v/>
      </c>
      <c r="L35" s="70"/>
    </row>
    <row r="36" spans="1:12" s="128" customFormat="1" ht="13.5" thickBot="1">
      <c r="A36" s="198"/>
      <c r="B36" s="199" t="str">
        <f>IF(A36&lt;&gt;"",VLOOKUP(K36,IP!$B$4:$N$167,10,FALSE),"")</f>
        <v/>
      </c>
      <c r="C36" s="1506" t="str">
        <f t="shared" si="0"/>
        <v/>
      </c>
      <c r="D36" s="200" t="str">
        <f>IF(A36&lt;&gt;"",VLOOKUP(K36,IP!$B$4:$N$153,13,FALSE),"")</f>
        <v/>
      </c>
      <c r="E36" s="400"/>
      <c r="F36" s="233"/>
      <c r="G36" s="233"/>
      <c r="H36" s="234"/>
      <c r="I36" s="235"/>
      <c r="J36" s="235"/>
      <c r="K36" s="2776" t="str">
        <f>IF(A36&lt;&gt;"",VLOOKUP(A36,IP!$A$4:E$153,2,FALSE),"")</f>
        <v/>
      </c>
      <c r="L36" s="70"/>
    </row>
    <row r="37" spans="1:12" s="128" customFormat="1">
      <c r="A37" s="185"/>
      <c r="B37" s="185"/>
      <c r="C37" s="193"/>
      <c r="D37" s="194"/>
      <c r="E37" s="193"/>
      <c r="F37" s="193"/>
      <c r="G37" s="193"/>
      <c r="H37" s="193"/>
      <c r="I37" s="193"/>
      <c r="J37" s="193"/>
      <c r="K37" s="70"/>
    </row>
    <row r="38" spans="1:12" s="128" customFormat="1" ht="13.5" thickBot="1">
      <c r="A38" s="185" t="s">
        <v>1077</v>
      </c>
      <c r="B38" s="185"/>
      <c r="C38" s="193"/>
      <c r="D38" s="194"/>
      <c r="E38" s="193"/>
      <c r="F38" s="193"/>
      <c r="G38" s="193"/>
      <c r="H38" s="193"/>
      <c r="I38" s="193"/>
      <c r="J38" s="193"/>
      <c r="K38" s="70"/>
    </row>
    <row r="39" spans="1:12" s="128" customFormat="1" ht="15" customHeight="1" thickBot="1">
      <c r="A39" s="207"/>
      <c r="B39" s="208"/>
      <c r="C39" s="3931" t="s">
        <v>1072</v>
      </c>
      <c r="D39" s="3931"/>
      <c r="E39" s="3931"/>
      <c r="F39" s="3960"/>
      <c r="G39" s="3961"/>
      <c r="I39" s="193"/>
      <c r="J39" s="193"/>
      <c r="K39" s="70"/>
    </row>
    <row r="40" spans="1:12" s="1983" customFormat="1" ht="13.5" thickBot="1">
      <c r="A40" s="1984" t="s">
        <v>0</v>
      </c>
      <c r="B40" s="3932" t="s">
        <v>705</v>
      </c>
      <c r="C40" s="3933"/>
      <c r="D40" s="3934"/>
      <c r="E40" s="209" t="s">
        <v>1073</v>
      </c>
      <c r="F40" s="209" t="s">
        <v>1074</v>
      </c>
      <c r="G40" s="210" t="s">
        <v>1075</v>
      </c>
      <c r="I40" s="193"/>
      <c r="J40" s="193"/>
      <c r="K40" s="70"/>
    </row>
    <row r="41" spans="1:12" s="128" customFormat="1">
      <c r="A41" s="236"/>
      <c r="B41" s="3935"/>
      <c r="C41" s="3936"/>
      <c r="D41" s="3937"/>
      <c r="E41" s="237"/>
      <c r="F41" s="237"/>
      <c r="G41" s="238"/>
      <c r="I41" s="193"/>
      <c r="J41" s="193"/>
      <c r="K41" s="70"/>
    </row>
    <row r="42" spans="1:12" s="128" customFormat="1">
      <c r="A42" s="239"/>
      <c r="B42" s="3928"/>
      <c r="C42" s="3929"/>
      <c r="D42" s="3930"/>
      <c r="E42" s="240"/>
      <c r="F42" s="240"/>
      <c r="G42" s="241"/>
      <c r="I42" s="193"/>
      <c r="J42" s="193"/>
      <c r="K42" s="70"/>
    </row>
    <row r="43" spans="1:12" s="128" customFormat="1">
      <c r="A43" s="239"/>
      <c r="B43" s="3928"/>
      <c r="C43" s="3929"/>
      <c r="D43" s="3930"/>
      <c r="E43" s="240"/>
      <c r="F43" s="240"/>
      <c r="G43" s="241"/>
      <c r="I43" s="193"/>
      <c r="J43" s="193"/>
      <c r="K43" s="70"/>
    </row>
    <row r="44" spans="1:12" s="128" customFormat="1">
      <c r="A44" s="239"/>
      <c r="B44" s="3928"/>
      <c r="C44" s="3929"/>
      <c r="D44" s="3930"/>
      <c r="E44" s="240"/>
      <c r="F44" s="240"/>
      <c r="G44" s="241"/>
      <c r="H44" s="193"/>
      <c r="I44" s="193"/>
      <c r="J44" s="193"/>
      <c r="K44" s="70"/>
    </row>
    <row r="45" spans="1:12" s="128" customFormat="1">
      <c r="A45" s="239"/>
      <c r="B45" s="3928"/>
      <c r="C45" s="3929"/>
      <c r="D45" s="3930"/>
      <c r="E45" s="240"/>
      <c r="F45" s="240"/>
      <c r="G45" s="241"/>
      <c r="H45" s="193"/>
      <c r="I45" s="193"/>
      <c r="J45" s="193"/>
      <c r="K45" s="70"/>
    </row>
    <row r="46" spans="1:12" s="128" customFormat="1">
      <c r="A46" s="239"/>
      <c r="B46" s="3928"/>
      <c r="C46" s="3929"/>
      <c r="D46" s="3930"/>
      <c r="E46" s="240"/>
      <c r="F46" s="240"/>
      <c r="G46" s="241"/>
      <c r="H46" s="193"/>
      <c r="I46" s="193"/>
      <c r="J46" s="193"/>
      <c r="K46" s="70"/>
    </row>
    <row r="47" spans="1:12" s="128" customFormat="1">
      <c r="A47" s="239"/>
      <c r="B47" s="3928"/>
      <c r="C47" s="3929"/>
      <c r="D47" s="3930"/>
      <c r="E47" s="240"/>
      <c r="F47" s="240"/>
      <c r="G47" s="241"/>
      <c r="H47" s="193"/>
      <c r="I47" s="193"/>
      <c r="J47" s="193"/>
      <c r="K47" s="70"/>
    </row>
    <row r="48" spans="1:12" s="128" customFormat="1" ht="13.5" thickBot="1">
      <c r="A48" s="242"/>
      <c r="B48" s="3966"/>
      <c r="C48" s="3967"/>
      <c r="D48" s="3968"/>
      <c r="E48" s="243"/>
      <c r="F48" s="243"/>
      <c r="G48" s="244"/>
      <c r="H48" s="193"/>
      <c r="I48" s="193"/>
      <c r="J48" s="193"/>
      <c r="K48" s="70"/>
    </row>
    <row r="49" spans="1:12" s="128" customFormat="1">
      <c r="A49" s="193"/>
      <c r="B49" s="203"/>
      <c r="C49" s="203"/>
      <c r="D49" s="203"/>
      <c r="E49" s="204"/>
      <c r="F49" s="204"/>
      <c r="G49" s="204"/>
      <c r="H49" s="193"/>
      <c r="I49" s="193"/>
      <c r="J49" s="193"/>
      <c r="K49" s="70"/>
    </row>
    <row r="50" spans="1:12" s="128" customFormat="1" ht="13.5" thickBot="1">
      <c r="A50" s="185" t="s">
        <v>1078</v>
      </c>
      <c r="B50" s="205"/>
      <c r="C50" s="205"/>
      <c r="D50" s="205"/>
      <c r="E50" s="205"/>
      <c r="F50" s="205"/>
      <c r="G50" s="205"/>
      <c r="H50" s="193"/>
      <c r="I50" s="193"/>
      <c r="J50" s="193"/>
      <c r="K50" s="70"/>
    </row>
    <row r="51" spans="1:12" s="1989" customFormat="1" ht="13.5" thickBot="1">
      <c r="A51" s="1985" t="s">
        <v>246</v>
      </c>
      <c r="B51" s="283" t="s">
        <v>428</v>
      </c>
      <c r="C51" s="283" t="s">
        <v>1079</v>
      </c>
      <c r="D51" s="283" t="s">
        <v>1120</v>
      </c>
      <c r="E51" s="283" t="s">
        <v>305</v>
      </c>
      <c r="F51" s="283" t="s">
        <v>1080</v>
      </c>
      <c r="G51" s="848" t="s">
        <v>1081</v>
      </c>
      <c r="H51" s="3962" t="s">
        <v>1082</v>
      </c>
      <c r="I51" s="3963"/>
      <c r="J51" s="283" t="s">
        <v>1071</v>
      </c>
      <c r="K51" s="197" t="s">
        <v>314</v>
      </c>
      <c r="L51" s="70"/>
    </row>
    <row r="52" spans="1:12" s="128" customFormat="1">
      <c r="A52" s="188"/>
      <c r="B52" s="3411" t="str">
        <f>IF(A52&lt;&gt;"",VLOOKUP(LEFT($A52,12),'Database (All)'!$A$7:$AD$103,4,FALSE),"")</f>
        <v/>
      </c>
      <c r="C52" s="3412" t="str">
        <f>IF(A52&lt;&gt;"",VLOOKUP(LEFT($A52,12),'Database (All)'!$A$7:$AD$103,3,FALSE),"")</f>
        <v/>
      </c>
      <c r="D52" s="3412" t="str">
        <f>IF($A52&lt;&gt;"",VLOOKUP(LEFT($A52,12),'Database (All)'!$A$7:$R$103,18,FALSE),"")</f>
        <v/>
      </c>
      <c r="E52" s="3413" t="str">
        <f>IF($A52&lt;&gt;"",VLOOKUP(LEFT($A52,12),'Database (All)'!$A$7:$R$103,15,FALSE),"")</f>
        <v/>
      </c>
      <c r="F52" s="231"/>
      <c r="G52" s="231"/>
      <c r="H52" s="3964"/>
      <c r="I52" s="3965"/>
      <c r="J52" s="228"/>
      <c r="K52" s="2777" t="str">
        <f>IF(A52&lt;&gt;"",VLOOKUP(A52,IP!$A$4:E$153,2,FALSE),"")</f>
        <v/>
      </c>
      <c r="L52" s="70"/>
    </row>
    <row r="53" spans="1:12" s="128" customFormat="1">
      <c r="A53" s="188"/>
      <c r="B53" s="206" t="str">
        <f>IF(A53&lt;&gt;"",VLOOKUP(LEFT($A53,12),'Database (All)'!$A$7:$AD$103,4,FALSE),"")</f>
        <v/>
      </c>
      <c r="C53" s="191" t="str">
        <f>IF(A53&lt;&gt;"",VLOOKUP(LEFT($A53,12),'Database (All)'!$A$7:$AD$103,3,FALSE),"")</f>
        <v/>
      </c>
      <c r="D53" s="191" t="str">
        <f>IF($A53&lt;&gt;"",VLOOKUP(LEFT($A53,12),'Database (All)'!$A$7:$R$103,18,FALSE),"")</f>
        <v/>
      </c>
      <c r="E53" s="930" t="str">
        <f>IF($A53&lt;&gt;"",VLOOKUP(LEFT($A53,12),'Database (All)'!$A$7:$R$103,15,FALSE),"")</f>
        <v/>
      </c>
      <c r="F53" s="245"/>
      <c r="G53" s="245"/>
      <c r="H53" s="3948"/>
      <c r="I53" s="3952"/>
      <c r="J53" s="228"/>
      <c r="K53" s="192" t="str">
        <f>IF(A53&lt;&gt;"",VLOOKUP(A53,IP!$A$4:E$153,2,FALSE),"")</f>
        <v/>
      </c>
      <c r="L53" s="70"/>
    </row>
    <row r="54" spans="1:12" s="128" customFormat="1">
      <c r="A54" s="188"/>
      <c r="B54" s="206" t="str">
        <f>IF(A54&lt;&gt;"",VLOOKUP(LEFT($A54,12),'Database (All)'!$A$7:$AD$103,4,FALSE),"")</f>
        <v/>
      </c>
      <c r="C54" s="191" t="str">
        <f>IF(A54&lt;&gt;"",VLOOKUP(LEFT($A54,12),'Database (All)'!$A$7:$AD$103,3,FALSE),"")</f>
        <v/>
      </c>
      <c r="D54" s="191" t="str">
        <f>IF($A54&lt;&gt;"",VLOOKUP(LEFT($A54,12),'Database (All)'!$A$7:$R$103,18,FALSE),"")</f>
        <v/>
      </c>
      <c r="E54" s="930" t="str">
        <f>IF($A54&lt;&gt;"",VLOOKUP(LEFT($A54,12),'Database (All)'!$A$7:$R$103,15,FALSE),"")</f>
        <v/>
      </c>
      <c r="F54" s="245"/>
      <c r="G54" s="245"/>
      <c r="H54" s="3948"/>
      <c r="I54" s="3952"/>
      <c r="J54" s="228"/>
      <c r="K54" s="192" t="str">
        <f>IF(A54&lt;&gt;"",VLOOKUP(A54,IP!$A$4:E$153,2,FALSE),"")</f>
        <v/>
      </c>
      <c r="L54" s="70"/>
    </row>
    <row r="55" spans="1:12" s="128" customFormat="1">
      <c r="A55" s="188"/>
      <c r="B55" s="206" t="str">
        <f>IF(A55&lt;&gt;"",VLOOKUP(LEFT($A55,12),'Database (All)'!$A$7:$AD$103,4,FALSE),"")</f>
        <v/>
      </c>
      <c r="C55" s="191" t="str">
        <f>IF(A55&lt;&gt;"",VLOOKUP(LEFT($A55,12),'Database (All)'!$A$7:$AD$103,3,FALSE),"")</f>
        <v/>
      </c>
      <c r="D55" s="191" t="str">
        <f>IF($A55&lt;&gt;"",VLOOKUP(LEFT($A55,12),'Database (All)'!$A$7:$R$103,18,FALSE),"")</f>
        <v/>
      </c>
      <c r="E55" s="930" t="str">
        <f>IF($A55&lt;&gt;"",VLOOKUP(LEFT($A55,12),'Database (All)'!$A$7:$R$103,15,FALSE),"")</f>
        <v/>
      </c>
      <c r="F55" s="245"/>
      <c r="G55" s="245"/>
      <c r="H55" s="3948"/>
      <c r="I55" s="3952"/>
      <c r="J55" s="228"/>
      <c r="K55" s="192" t="str">
        <f>IF(A55&lt;&gt;"",VLOOKUP(A55,IP!$A$4:E$153,2,FALSE),"")</f>
        <v/>
      </c>
      <c r="L55" s="70"/>
    </row>
    <row r="56" spans="1:12" s="128" customFormat="1">
      <c r="A56" s="188"/>
      <c r="B56" s="206" t="str">
        <f>IF(A56&lt;&gt;"",VLOOKUP(LEFT($A56,12),'Database (All)'!$A$7:$AD$103,4,FALSE),"")</f>
        <v/>
      </c>
      <c r="C56" s="191" t="str">
        <f>IF(A56&lt;&gt;"",VLOOKUP(LEFT($A56,12),'Database (All)'!$A$7:$AD$103,3,FALSE),"")</f>
        <v/>
      </c>
      <c r="D56" s="191" t="str">
        <f>IF($A56&lt;&gt;"",VLOOKUP(LEFT($A56,12),'Database (All)'!$A$7:$R$103,18,FALSE),"")</f>
        <v/>
      </c>
      <c r="E56" s="930" t="str">
        <f>IF($A56&lt;&gt;"",VLOOKUP(LEFT($A56,12),'Database (All)'!$A$7:$R$103,15,FALSE),"")</f>
        <v/>
      </c>
      <c r="F56" s="245"/>
      <c r="G56" s="245"/>
      <c r="H56" s="3948"/>
      <c r="I56" s="3952"/>
      <c r="J56" s="228"/>
      <c r="K56" s="192" t="str">
        <f>IF(A56&lt;&gt;"",VLOOKUP(A56,IP!$A$4:E$153,2,FALSE),"")</f>
        <v/>
      </c>
      <c r="L56" s="70"/>
    </row>
    <row r="57" spans="1:12" s="2424" customFormat="1">
      <c r="A57" s="188"/>
      <c r="B57" s="206" t="str">
        <f>IF(A57&lt;&gt;"",VLOOKUP(LEFT($A57,12),'Database (All)'!$A$7:$AD$103,4,FALSE),"")</f>
        <v/>
      </c>
      <c r="C57" s="191" t="str">
        <f>IF(A57&lt;&gt;"",VLOOKUP(LEFT($A57,12),'Database (All)'!$A$7:$AD$103,3,FALSE),"")</f>
        <v/>
      </c>
      <c r="D57" s="191" t="str">
        <f>IF($A57&lt;&gt;"",VLOOKUP(LEFT($A57,12),'Database (All)'!$A$7:$R$103,18,FALSE),"")</f>
        <v/>
      </c>
      <c r="E57" s="930" t="str">
        <f>IF($A57&lt;&gt;"",VLOOKUP(LEFT($A57,12),'Database (All)'!$A$7:$R$103,15,FALSE),"")</f>
        <v/>
      </c>
      <c r="F57" s="275"/>
      <c r="G57" s="275"/>
      <c r="H57" s="3948"/>
      <c r="I57" s="3952"/>
      <c r="J57" s="228"/>
      <c r="K57" s="192" t="str">
        <f>IF(A57&lt;&gt;"",VLOOKUP(A57,IP!$A$4:E$153,2,FALSE),"")</f>
        <v/>
      </c>
      <c r="L57" s="2741"/>
    </row>
    <row r="58" spans="1:12" s="2424" customFormat="1">
      <c r="A58" s="188"/>
      <c r="B58" s="206" t="str">
        <f>IF(A58&lt;&gt;"",VLOOKUP(LEFT($A58,12),'Database (All)'!$A$7:$AD$103,4,FALSE),"")</f>
        <v/>
      </c>
      <c r="C58" s="191" t="str">
        <f>IF(A58&lt;&gt;"",VLOOKUP(LEFT($A58,12),'Database (All)'!$A$7:$AD$103,3,FALSE),"")</f>
        <v/>
      </c>
      <c r="D58" s="191" t="str">
        <f>IF($A58&lt;&gt;"",VLOOKUP(LEFT($A58,12),'Database (All)'!$A$7:$R$103,18,FALSE),"")</f>
        <v/>
      </c>
      <c r="E58" s="930" t="str">
        <f>IF($A58&lt;&gt;"",VLOOKUP(LEFT($A58,12),'Database (All)'!$A$7:$R$103,15,FALSE),"")</f>
        <v/>
      </c>
      <c r="F58" s="275"/>
      <c r="G58" s="275"/>
      <c r="H58" s="3948"/>
      <c r="I58" s="3952"/>
      <c r="J58" s="228"/>
      <c r="K58" s="192" t="str">
        <f>IF(A58&lt;&gt;"",VLOOKUP(A58,IP!$A$4:E$153,2,FALSE),"")</f>
        <v/>
      </c>
      <c r="L58" s="2741"/>
    </row>
    <row r="59" spans="1:12" s="2424" customFormat="1">
      <c r="A59" s="188"/>
      <c r="B59" s="206" t="str">
        <f>IF(A59&lt;&gt;"",VLOOKUP(LEFT($A59,12),'Database (All)'!$A$7:$AD$103,4,FALSE),"")</f>
        <v/>
      </c>
      <c r="C59" s="191" t="str">
        <f>IF(A59&lt;&gt;"",VLOOKUP(LEFT($A59,12),'Database (All)'!$A$7:$AD$103,3,FALSE),"")</f>
        <v/>
      </c>
      <c r="D59" s="191" t="str">
        <f>IF($A59&lt;&gt;"",VLOOKUP(LEFT($A59,12),'Database (All)'!$A$7:$R$103,18,FALSE),"")</f>
        <v/>
      </c>
      <c r="E59" s="930" t="str">
        <f>IF($A59&lt;&gt;"",VLOOKUP(LEFT($A59,12),'Database (All)'!$A$7:$R$103,15,FALSE),"")</f>
        <v/>
      </c>
      <c r="F59" s="275"/>
      <c r="G59" s="275"/>
      <c r="H59" s="3948"/>
      <c r="I59" s="3952"/>
      <c r="J59" s="228"/>
      <c r="K59" s="192" t="str">
        <f>IF(A59&lt;&gt;"",VLOOKUP(A59,IP!$A$4:E$153,2,FALSE),"")</f>
        <v/>
      </c>
      <c r="L59" s="2741"/>
    </row>
    <row r="60" spans="1:12" s="2424" customFormat="1">
      <c r="A60" s="188"/>
      <c r="B60" s="206" t="str">
        <f>IF(A60&lt;&gt;"",VLOOKUP(LEFT($A60,12),'Database (All)'!$A$7:$AD$103,4,FALSE),"")</f>
        <v/>
      </c>
      <c r="C60" s="191" t="str">
        <f>IF(A60&lt;&gt;"",VLOOKUP(LEFT($A60,12),'Database (All)'!$A$7:$AD$103,3,FALSE),"")</f>
        <v/>
      </c>
      <c r="D60" s="191" t="str">
        <f>IF($A60&lt;&gt;"",VLOOKUP(LEFT($A60,12),'Database (All)'!$A$7:$R$103,18,FALSE),"")</f>
        <v/>
      </c>
      <c r="E60" s="930" t="str">
        <f>IF($A60&lt;&gt;"",VLOOKUP(LEFT($A60,12),'Database (All)'!$A$7:$R$103,15,FALSE),"")</f>
        <v/>
      </c>
      <c r="F60" s="275"/>
      <c r="G60" s="275"/>
      <c r="H60" s="3948"/>
      <c r="I60" s="3952"/>
      <c r="J60" s="228"/>
      <c r="K60" s="192" t="str">
        <f>IF(A60&lt;&gt;"",VLOOKUP(A60,IP!$A$4:E$153,2,FALSE),"")</f>
        <v/>
      </c>
      <c r="L60" s="2741"/>
    </row>
    <row r="61" spans="1:12" s="128" customFormat="1" ht="13.5" thickBot="1">
      <c r="A61" s="198"/>
      <c r="B61" s="1785" t="str">
        <f>IF(A61&lt;&gt;"",VLOOKUP(LEFT($A61,12),'Database (All)'!$A$7:$AD$103,4,FALSE),"")</f>
        <v/>
      </c>
      <c r="C61" s="1786" t="str">
        <f>IF(A61&lt;&gt;"",VLOOKUP(LEFT($A61,12),'Database (All)'!$A$7:$AD$103,3,FALSE),"")</f>
        <v/>
      </c>
      <c r="D61" s="1786" t="str">
        <f>IF($A61&lt;&gt;"",VLOOKUP(LEFT($A61,12),'Database (All)'!$A$7:$R$103,18,FALSE),"")</f>
        <v/>
      </c>
      <c r="E61" s="1787" t="str">
        <f>IF($A61&lt;&gt;"",VLOOKUP(LEFT($A61,12),'Database (All)'!$A$7:$R$103,15,FALSE),"")</f>
        <v/>
      </c>
      <c r="F61" s="246"/>
      <c r="G61" s="246"/>
      <c r="H61" s="3953"/>
      <c r="I61" s="3954"/>
      <c r="J61" s="187"/>
      <c r="K61" s="201" t="str">
        <f>IF(A61&lt;&gt;"",VLOOKUP(A61,IP!$A$4:E$153,2,FALSE),"")</f>
        <v/>
      </c>
      <c r="L61" s="70"/>
    </row>
    <row r="62" spans="1:12" s="128" customFormat="1">
      <c r="A62" s="193"/>
      <c r="B62" s="203"/>
      <c r="C62" s="203"/>
      <c r="D62" s="203"/>
      <c r="E62" s="204"/>
      <c r="F62" s="204"/>
      <c r="G62" s="204"/>
      <c r="H62" s="193"/>
      <c r="I62" s="193"/>
      <c r="J62" s="70"/>
      <c r="K62" s="70"/>
    </row>
    <row r="63" spans="1:12" s="264" customFormat="1">
      <c r="A63" s="193"/>
      <c r="B63" s="203"/>
      <c r="C63" s="203"/>
      <c r="D63" s="203"/>
      <c r="E63" s="204"/>
      <c r="F63" s="204"/>
      <c r="G63" s="204"/>
      <c r="H63" s="193"/>
      <c r="I63" s="193"/>
      <c r="J63" s="70"/>
      <c r="K63" s="70"/>
    </row>
    <row r="64" spans="1:12" s="128" customFormat="1" ht="13.5" thickBot="1">
      <c r="A64" s="212" t="s">
        <v>1083</v>
      </c>
      <c r="B64" s="211"/>
      <c r="C64" s="211"/>
      <c r="D64" s="203"/>
      <c r="E64" s="204"/>
      <c r="F64" s="204"/>
      <c r="G64" s="204"/>
      <c r="H64" s="193"/>
      <c r="I64" s="193"/>
      <c r="J64" s="70"/>
      <c r="K64" s="70"/>
    </row>
    <row r="65" spans="1:11" s="128" customFormat="1">
      <c r="A65" s="247" t="s">
        <v>1084</v>
      </c>
      <c r="B65" s="248" t="s">
        <v>1085</v>
      </c>
      <c r="C65" s="3958" t="s">
        <v>1086</v>
      </c>
      <c r="D65" s="3959"/>
      <c r="E65" s="204"/>
      <c r="F65" s="204"/>
      <c r="G65" s="204"/>
      <c r="H65" s="193"/>
      <c r="I65" s="193"/>
      <c r="J65" s="70"/>
      <c r="K65" s="70"/>
    </row>
    <row r="66" spans="1:11" s="128" customFormat="1">
      <c r="A66" s="249"/>
      <c r="B66" s="214"/>
      <c r="C66" s="3946"/>
      <c r="D66" s="3947"/>
      <c r="E66" s="204"/>
      <c r="F66" s="204"/>
      <c r="G66" s="204"/>
      <c r="H66" s="193"/>
      <c r="I66" s="193"/>
      <c r="J66" s="70"/>
      <c r="K66" s="70"/>
    </row>
    <row r="67" spans="1:11" s="128" customFormat="1">
      <c r="A67" s="250" t="s">
        <v>1087</v>
      </c>
      <c r="B67" s="213" t="s">
        <v>1088</v>
      </c>
      <c r="C67" s="3948"/>
      <c r="D67" s="3949"/>
      <c r="E67" s="204"/>
      <c r="F67" s="204"/>
      <c r="G67" s="204"/>
      <c r="H67" s="193"/>
      <c r="I67" s="193"/>
      <c r="J67" s="70"/>
      <c r="K67" s="70"/>
    </row>
    <row r="68" spans="1:11" s="128" customFormat="1">
      <c r="A68" s="249"/>
      <c r="B68" s="213" t="s">
        <v>1089</v>
      </c>
      <c r="C68" s="3948"/>
      <c r="D68" s="3949"/>
      <c r="E68" s="204"/>
      <c r="F68" s="204"/>
      <c r="G68" s="204"/>
      <c r="H68" s="193"/>
      <c r="I68" s="193"/>
      <c r="J68" s="70"/>
      <c r="K68" s="70"/>
    </row>
    <row r="69" spans="1:11" s="128" customFormat="1">
      <c r="A69" s="249"/>
      <c r="B69" s="213" t="s">
        <v>1090</v>
      </c>
      <c r="C69" s="3948"/>
      <c r="D69" s="3949"/>
      <c r="E69" s="204"/>
      <c r="F69" s="204"/>
      <c r="G69" s="204"/>
      <c r="H69" s="193"/>
      <c r="I69" s="193"/>
      <c r="J69" s="70"/>
      <c r="K69" s="70"/>
    </row>
    <row r="70" spans="1:11" s="128" customFormat="1">
      <c r="A70" s="249"/>
      <c r="B70" s="213" t="s">
        <v>1091</v>
      </c>
      <c r="C70" s="3948"/>
      <c r="D70" s="3949"/>
      <c r="E70" s="204"/>
      <c r="F70" s="204"/>
      <c r="G70" s="204"/>
      <c r="H70" s="193"/>
      <c r="I70" s="193"/>
      <c r="J70" s="70"/>
      <c r="K70" s="70"/>
    </row>
    <row r="71" spans="1:11" s="128" customFormat="1">
      <c r="A71" s="249"/>
      <c r="B71" s="213" t="s">
        <v>1090</v>
      </c>
      <c r="C71" s="3948"/>
      <c r="D71" s="3949"/>
      <c r="E71" s="204"/>
      <c r="F71" s="204"/>
      <c r="G71" s="204"/>
      <c r="H71" s="193"/>
      <c r="I71" s="193"/>
      <c r="J71" s="70"/>
      <c r="K71" s="70"/>
    </row>
    <row r="72" spans="1:11" s="128" customFormat="1">
      <c r="A72" s="249"/>
      <c r="B72" s="213" t="s">
        <v>1092</v>
      </c>
      <c r="C72" s="3948"/>
      <c r="D72" s="3949"/>
      <c r="E72" s="204"/>
      <c r="F72" s="204"/>
      <c r="G72" s="204"/>
      <c r="H72" s="193"/>
      <c r="I72" s="193"/>
      <c r="J72" s="70"/>
      <c r="K72" s="70"/>
    </row>
    <row r="73" spans="1:11" s="128" customFormat="1">
      <c r="A73" s="249"/>
      <c r="B73" s="213" t="s">
        <v>1093</v>
      </c>
      <c r="C73" s="3948"/>
      <c r="D73" s="3949"/>
      <c r="E73" s="204"/>
      <c r="F73" s="204"/>
      <c r="G73" s="204"/>
      <c r="H73" s="193"/>
      <c r="I73" s="193"/>
      <c r="J73" s="70"/>
      <c r="K73" s="70"/>
    </row>
    <row r="74" spans="1:11" s="128" customFormat="1">
      <c r="A74" s="249"/>
      <c r="B74" s="214"/>
      <c r="C74" s="3946"/>
      <c r="D74" s="3947"/>
      <c r="E74" s="204"/>
      <c r="F74" s="204"/>
      <c r="G74" s="204"/>
      <c r="H74" s="193"/>
      <c r="I74" s="193"/>
      <c r="J74" s="70"/>
      <c r="K74" s="70"/>
    </row>
    <row r="75" spans="1:11" s="128" customFormat="1" ht="15.75">
      <c r="A75" s="250" t="s">
        <v>1094</v>
      </c>
      <c r="B75" s="275"/>
      <c r="C75" s="3948"/>
      <c r="D75" s="3949"/>
      <c r="E75" s="183"/>
      <c r="F75" s="184"/>
      <c r="G75" s="182"/>
      <c r="H75" s="182"/>
      <c r="I75" s="70"/>
      <c r="J75" s="70"/>
    </row>
    <row r="76" spans="1:11">
      <c r="A76" s="250" t="s">
        <v>1095</v>
      </c>
      <c r="B76" s="275"/>
      <c r="C76" s="3948"/>
      <c r="D76" s="3949"/>
    </row>
    <row r="77" spans="1:11">
      <c r="A77" s="250" t="s">
        <v>1096</v>
      </c>
      <c r="B77" s="213" t="s">
        <v>1097</v>
      </c>
      <c r="C77" s="3948"/>
      <c r="D77" s="3949"/>
    </row>
    <row r="78" spans="1:11">
      <c r="A78" s="250" t="s">
        <v>1098</v>
      </c>
      <c r="B78" s="275"/>
      <c r="C78" s="3948"/>
      <c r="D78" s="3949"/>
    </row>
    <row r="79" spans="1:11">
      <c r="A79" s="250" t="s">
        <v>1305</v>
      </c>
      <c r="B79" s="275"/>
      <c r="C79" s="3948"/>
      <c r="D79" s="3949"/>
    </row>
    <row r="80" spans="1:11" ht="13.5" thickBot="1">
      <c r="A80" s="202"/>
      <c r="B80" s="229"/>
      <c r="C80" s="3955"/>
      <c r="D80" s="3956"/>
    </row>
    <row r="81" spans="1:4" ht="13.5" thickBot="1">
      <c r="A81" s="218" t="s">
        <v>1117</v>
      </c>
      <c r="B81" s="215"/>
      <c r="C81" s="215"/>
    </row>
    <row r="82" spans="1:4">
      <c r="A82" s="3944" t="s">
        <v>1099</v>
      </c>
      <c r="B82" s="3945"/>
      <c r="C82" s="216" t="s">
        <v>1100</v>
      </c>
      <c r="D82" s="217"/>
    </row>
    <row r="83" spans="1:4">
      <c r="A83" s="3942" t="s">
        <v>1101</v>
      </c>
      <c r="B83" s="3943"/>
      <c r="C83" s="3940" t="s">
        <v>1102</v>
      </c>
      <c r="D83" s="3941"/>
    </row>
    <row r="84" spans="1:4">
      <c r="A84" s="3942" t="s">
        <v>1103</v>
      </c>
      <c r="B84" s="3943"/>
      <c r="C84" s="3940" t="s">
        <v>1104</v>
      </c>
      <c r="D84" s="3941"/>
    </row>
    <row r="85" spans="1:4">
      <c r="A85" s="3942" t="s">
        <v>1105</v>
      </c>
      <c r="B85" s="3943"/>
      <c r="C85" s="3940" t="s">
        <v>1104</v>
      </c>
      <c r="D85" s="3941"/>
    </row>
    <row r="86" spans="1:4">
      <c r="A86" s="3942" t="s">
        <v>1106</v>
      </c>
      <c r="B86" s="3943"/>
      <c r="C86" s="3940" t="s">
        <v>1107</v>
      </c>
      <c r="D86" s="3941"/>
    </row>
    <row r="87" spans="1:4">
      <c r="A87" s="3942" t="s">
        <v>1108</v>
      </c>
      <c r="B87" s="3943"/>
      <c r="C87" s="3940" t="s">
        <v>1107</v>
      </c>
      <c r="D87" s="3941"/>
    </row>
    <row r="88" spans="1:4">
      <c r="A88" s="3942" t="s">
        <v>1109</v>
      </c>
      <c r="B88" s="3943"/>
      <c r="C88" s="3940" t="s">
        <v>1107</v>
      </c>
      <c r="D88" s="3941"/>
    </row>
    <row r="89" spans="1:4">
      <c r="A89" s="3942" t="s">
        <v>1110</v>
      </c>
      <c r="B89" s="3943"/>
      <c r="C89" s="3940" t="s">
        <v>1104</v>
      </c>
      <c r="D89" s="3941"/>
    </row>
    <row r="90" spans="1:4">
      <c r="A90" s="3942" t="s">
        <v>1111</v>
      </c>
      <c r="B90" s="3943"/>
      <c r="C90" s="3940" t="s">
        <v>1112</v>
      </c>
      <c r="D90" s="3941"/>
    </row>
    <row r="91" spans="1:4">
      <c r="A91" s="3942" t="s">
        <v>1113</v>
      </c>
      <c r="B91" s="3943"/>
      <c r="C91" s="3940" t="s">
        <v>1107</v>
      </c>
      <c r="D91" s="3941"/>
    </row>
    <row r="92" spans="1:4">
      <c r="A92" s="3942" t="s">
        <v>1114</v>
      </c>
      <c r="B92" s="3943"/>
      <c r="C92" s="3940" t="s">
        <v>1107</v>
      </c>
      <c r="D92" s="3941"/>
    </row>
    <row r="93" spans="1:4">
      <c r="A93" s="3942" t="s">
        <v>1115</v>
      </c>
      <c r="B93" s="3943"/>
      <c r="C93" s="3940" t="s">
        <v>1107</v>
      </c>
      <c r="D93" s="3941"/>
    </row>
    <row r="94" spans="1:4" ht="13.5" thickBot="1">
      <c r="A94" s="3938" t="s">
        <v>1116</v>
      </c>
      <c r="B94" s="3939"/>
      <c r="C94" s="3950" t="s">
        <v>1107</v>
      </c>
      <c r="D94" s="3951"/>
    </row>
  </sheetData>
  <mergeCells count="75">
    <mergeCell ref="I3:J4"/>
    <mergeCell ref="C70:D70"/>
    <mergeCell ref="C69:D69"/>
    <mergeCell ref="H57:I57"/>
    <mergeCell ref="H58:I58"/>
    <mergeCell ref="H59:I59"/>
    <mergeCell ref="H60:I60"/>
    <mergeCell ref="C65:D65"/>
    <mergeCell ref="F39:G39"/>
    <mergeCell ref="H51:I51"/>
    <mergeCell ref="H52:I52"/>
    <mergeCell ref="B46:D46"/>
    <mergeCell ref="B47:D47"/>
    <mergeCell ref="B48:D48"/>
    <mergeCell ref="B42:D42"/>
    <mergeCell ref="B43:D43"/>
    <mergeCell ref="C94:D94"/>
    <mergeCell ref="H53:I53"/>
    <mergeCell ref="H54:I54"/>
    <mergeCell ref="H55:I55"/>
    <mergeCell ref="H56:I56"/>
    <mergeCell ref="H61:I61"/>
    <mergeCell ref="C71:D71"/>
    <mergeCell ref="C72:D72"/>
    <mergeCell ref="C73:D73"/>
    <mergeCell ref="C74:D74"/>
    <mergeCell ref="C80:D80"/>
    <mergeCell ref="C75:D75"/>
    <mergeCell ref="C76:D76"/>
    <mergeCell ref="C77:D77"/>
    <mergeCell ref="C78:D78"/>
    <mergeCell ref="C79:D79"/>
    <mergeCell ref="A86:B86"/>
    <mergeCell ref="A92:B92"/>
    <mergeCell ref="A93:B93"/>
    <mergeCell ref="C92:D92"/>
    <mergeCell ref="C93:D93"/>
    <mergeCell ref="A91:B91"/>
    <mergeCell ref="A82:B82"/>
    <mergeCell ref="A83:B83"/>
    <mergeCell ref="C66:D66"/>
    <mergeCell ref="C67:D67"/>
    <mergeCell ref="C68:D68"/>
    <mergeCell ref="A94:B94"/>
    <mergeCell ref="C83:D83"/>
    <mergeCell ref="C87:D87"/>
    <mergeCell ref="C88:D88"/>
    <mergeCell ref="C89:D89"/>
    <mergeCell ref="C90:D90"/>
    <mergeCell ref="C91:D91"/>
    <mergeCell ref="C84:D84"/>
    <mergeCell ref="C85:D85"/>
    <mergeCell ref="C86:D86"/>
    <mergeCell ref="A87:B87"/>
    <mergeCell ref="A88:B88"/>
    <mergeCell ref="A89:B89"/>
    <mergeCell ref="A90:B90"/>
    <mergeCell ref="A84:B84"/>
    <mergeCell ref="A85:B85"/>
    <mergeCell ref="B44:D44"/>
    <mergeCell ref="B45:D45"/>
    <mergeCell ref="C39:E39"/>
    <mergeCell ref="B40:D40"/>
    <mergeCell ref="B41:D41"/>
    <mergeCell ref="E2:G7"/>
    <mergeCell ref="A2:B2"/>
    <mergeCell ref="A3:B3"/>
    <mergeCell ref="A4:B4"/>
    <mergeCell ref="A5:B5"/>
    <mergeCell ref="A6:B6"/>
    <mergeCell ref="C2:D2"/>
    <mergeCell ref="C3:D3"/>
    <mergeCell ref="C4:D4"/>
    <mergeCell ref="C5:D5"/>
    <mergeCell ref="C6:D6"/>
  </mergeCells>
  <phoneticPr fontId="26" type="noConversion"/>
  <conditionalFormatting sqref="D1:G1 A1:A7 C75 E75:H75 F39 F42:G43 I39 A62:A75 F62:I74 A37:A39 J37:J39 G52:H56 E2 H2:H7 F37:I38 G9:J23 D37:D38 C2:C7 I41:I43 F41 F44:I50 J41:J50 A41:A50 E33:E36 G33:J36 G61:H61 E9:E23">
    <cfRule type="expression" dxfId="40" priority="15" stopIfTrue="1">
      <formula>"RED       =AND('Table of Contents'!$C$38=""Yes"",'Table of Contents'!$D38=""Not-Started"")"</formula>
    </cfRule>
  </conditionalFormatting>
  <conditionalFormatting sqref="C1">
    <cfRule type="cellIs" dxfId="39" priority="9" operator="equal">
      <formula>"UNDETERMINED"</formula>
    </cfRule>
    <cfRule type="cellIs" dxfId="38" priority="17" operator="equal">
      <formula>"REQUIRED"</formula>
    </cfRule>
  </conditionalFormatting>
  <conditionalFormatting sqref="J52:J56 J61">
    <cfRule type="expression" dxfId="37" priority="10" stopIfTrue="1">
      <formula>"RED       =AND('Table of Contents'!$C$38=""Yes"",'Table of Contents'!$D38=""Not-Started"")"</formula>
    </cfRule>
  </conditionalFormatting>
  <conditionalFormatting sqref="B75:B76">
    <cfRule type="expression" dxfId="36" priority="8" stopIfTrue="1">
      <formula>"RED       =AND('Table of Contents'!$C$38=""Yes"",'Table of Contents'!$D38=""Not-Started"")"</formula>
    </cfRule>
  </conditionalFormatting>
  <conditionalFormatting sqref="B78">
    <cfRule type="expression" dxfId="35" priority="7" stopIfTrue="1">
      <formula>"RED       =AND('Table of Contents'!$C$38=""Yes"",'Table of Contents'!$D38=""Not-Started"")"</formula>
    </cfRule>
  </conditionalFormatting>
  <conditionalFormatting sqref="B79">
    <cfRule type="expression" dxfId="34" priority="6" stopIfTrue="1">
      <formula>"RED       =AND('Table of Contents'!$C$38=""Yes"",'Table of Contents'!$D38=""Not-Started"")"</formula>
    </cfRule>
  </conditionalFormatting>
  <conditionalFormatting sqref="F40 A40 I40:J40">
    <cfRule type="expression" dxfId="33" priority="5" stopIfTrue="1">
      <formula>"RED       =AND('Table of Contents'!$C$38=""Yes"",'Table of Contents'!$D38=""Not-Started"")"</formula>
    </cfRule>
  </conditionalFormatting>
  <conditionalFormatting sqref="G24:J32 E24:E32">
    <cfRule type="expression" dxfId="32" priority="4" stopIfTrue="1">
      <formula>"RED       =AND('Table of Contents'!$C$38=""Yes"",'Table of Contents'!$D38=""Not-Started"")"</formula>
    </cfRule>
  </conditionalFormatting>
  <conditionalFormatting sqref="G57:H60">
    <cfRule type="expression" dxfId="31" priority="3" stopIfTrue="1">
      <formula>"RED       =AND('Table of Contents'!$C$38=""Yes"",'Table of Contents'!$D38=""Not-Started"")"</formula>
    </cfRule>
  </conditionalFormatting>
  <conditionalFormatting sqref="J57:J60">
    <cfRule type="expression" dxfId="30" priority="2" stopIfTrue="1">
      <formula>"RED       =AND('Table of Contents'!$C$38=""Yes"",'Table of Contents'!$D38=""Not-Started"")"</formula>
    </cfRule>
  </conditionalFormatting>
  <conditionalFormatting sqref="H1:J1">
    <cfRule type="expression" dxfId="29" priority="1" stopIfTrue="1">
      <formula>"RED       =AND('Table of Contents'!$C$38=""Yes"",'Table of Contents'!$D38=""Not-Started"")"</formula>
    </cfRule>
  </conditionalFormatting>
  <dataValidations count="2">
    <dataValidation type="list" allowBlank="1" showInputMessage="1" showErrorMessage="1" sqref="A9:A36 A52:A61" xr:uid="{00000000-0002-0000-1D00-000000000000}">
      <formula1>list_AllIPs</formula1>
    </dataValidation>
    <dataValidation type="list" allowBlank="1" showInputMessage="1" showErrorMessage="1" sqref="E9:E36" xr:uid="{00000000-0002-0000-1D00-000001000000}">
      <formula1>"Yes, No"</formula1>
    </dataValidation>
  </dataValidations>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Word.Document.12" shapeId="110612" r:id="rId4">
          <objectPr defaultSize="0" r:id="rId5">
            <anchor moveWithCells="1">
              <from>
                <xdr:col>106</xdr:col>
                <xdr:colOff>0</xdr:colOff>
                <xdr:row>0</xdr:row>
                <xdr:rowOff>0</xdr:rowOff>
              </from>
              <to>
                <xdr:col>123</xdr:col>
                <xdr:colOff>85725</xdr:colOff>
                <xdr:row>29</xdr:row>
                <xdr:rowOff>66675</xdr:rowOff>
              </to>
            </anchor>
          </objectPr>
        </oleObject>
      </mc:Choice>
      <mc:Fallback>
        <oleObject progId="Word.Document.12" shapeId="110612" r:id="rId4"/>
      </mc:Fallback>
    </mc:AlternateContent>
  </oleObjec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9">
    <tabColor theme="6" tint="0.59999389629810485"/>
  </sheetPr>
  <dimension ref="A1:U234"/>
  <sheetViews>
    <sheetView showGridLines="0" topLeftCell="A2" zoomScale="90" zoomScaleNormal="90" workbookViewId="0">
      <selection activeCell="A8" sqref="A8:K8"/>
    </sheetView>
  </sheetViews>
  <sheetFormatPr defaultRowHeight="12.75"/>
  <cols>
    <col min="1" max="1" width="21.7109375" bestFit="1" customWidth="1"/>
    <col min="2" max="2" width="34" customWidth="1"/>
    <col min="3" max="3" width="33.140625" bestFit="1" customWidth="1"/>
    <col min="4" max="4" width="17.42578125" customWidth="1"/>
    <col min="5" max="5" width="29.85546875" style="931" bestFit="1" customWidth="1"/>
    <col min="6" max="6" width="37.28515625" customWidth="1"/>
    <col min="7" max="7" width="20.5703125" bestFit="1" customWidth="1"/>
    <col min="8" max="8" width="34.42578125" bestFit="1" customWidth="1"/>
    <col min="9" max="9" width="22.28515625" customWidth="1"/>
    <col min="10" max="10" width="19.42578125" style="33" bestFit="1" customWidth="1"/>
    <col min="11" max="11" width="43.5703125" customWidth="1"/>
    <col min="12" max="12" width="31.140625" customWidth="1"/>
  </cols>
  <sheetData>
    <row r="1" spans="1:21" s="931" customFormat="1" ht="13.5" hidden="1" thickBot="1">
      <c r="J1" s="33"/>
    </row>
    <row r="2" spans="1:21" ht="31.5" customHeight="1" thickBot="1">
      <c r="A2" s="1924"/>
      <c r="B2" s="1922" t="str">
        <f>IF('Table of Contents'!B54="YES","REQUIRED",IF('Table of Contents'!B54="NO","Not Required",""))</f>
        <v/>
      </c>
      <c r="C2" s="181"/>
      <c r="D2" s="131" t="str">
        <f>'Project Details'!C8&amp;" - Potential Decom Assets"</f>
        <v>Linux Infrastructure Management - Potential Decom Assets</v>
      </c>
      <c r="E2" s="1508"/>
      <c r="F2" s="1508"/>
      <c r="G2" s="277"/>
      <c r="H2" s="95"/>
      <c r="I2" s="95"/>
      <c r="J2" s="1512"/>
      <c r="K2" s="95"/>
      <c r="L2" s="95"/>
      <c r="M2" s="95"/>
      <c r="N2" s="95"/>
      <c r="O2" s="95"/>
      <c r="P2" s="95"/>
      <c r="Q2" s="95"/>
      <c r="R2" s="95"/>
      <c r="S2" s="95"/>
    </row>
    <row r="3" spans="1:21" s="3" customFormat="1" ht="16.5">
      <c r="A3" s="1923" t="s">
        <v>895</v>
      </c>
      <c r="B3" s="3972" t="str">
        <f ca="1">'Project Details'!D2</f>
        <v>20213598 LBOM Linux Infrastructure Management APP00000000.xlsm</v>
      </c>
      <c r="C3" s="3973"/>
      <c r="D3" s="3974"/>
      <c r="E3" s="1509"/>
      <c r="F3" s="1509"/>
      <c r="G3" s="100"/>
      <c r="H3" s="95"/>
      <c r="I3" s="95"/>
      <c r="J3" s="1512"/>
      <c r="K3" s="95"/>
      <c r="L3" s="95"/>
      <c r="M3" s="95"/>
      <c r="N3" s="95"/>
      <c r="O3" s="95"/>
      <c r="P3" s="95"/>
      <c r="Q3" s="95"/>
      <c r="R3" s="95"/>
      <c r="S3" s="95"/>
    </row>
    <row r="4" spans="1:21" s="3" customFormat="1" ht="16.5">
      <c r="A4" s="1534" t="s">
        <v>896</v>
      </c>
      <c r="B4" s="3975" t="str">
        <f>visio_filename</f>
        <v>Linux Infrastructure Management APP00000000  - Infrastructure Diagram Ver0.02.vsd</v>
      </c>
      <c r="C4" s="3976"/>
      <c r="D4" s="3977"/>
      <c r="E4" s="1510"/>
      <c r="F4" s="1510"/>
      <c r="G4" s="101"/>
      <c r="H4" s="95"/>
      <c r="I4" s="94"/>
      <c r="J4" s="1513"/>
      <c r="K4" s="94"/>
      <c r="L4" s="94"/>
      <c r="M4" s="94"/>
      <c r="N4" s="94"/>
      <c r="O4" s="94"/>
      <c r="P4" s="94"/>
      <c r="Q4" s="94"/>
      <c r="R4" s="94"/>
      <c r="S4" s="4"/>
    </row>
    <row r="5" spans="1:21" s="3" customFormat="1" ht="16.5">
      <c r="A5" s="1534" t="s">
        <v>3339</v>
      </c>
      <c r="B5" s="1536" t="str">
        <f>dr_Level</f>
        <v>l</v>
      </c>
      <c r="C5" s="1537" t="s">
        <v>3340</v>
      </c>
      <c r="D5" s="1538" t="str">
        <f>app_id</f>
        <v>APP00000000</v>
      </c>
      <c r="E5" s="1510"/>
      <c r="F5" s="1510"/>
      <c r="G5" s="101"/>
      <c r="H5" s="95"/>
      <c r="I5" s="94"/>
      <c r="J5" s="1513"/>
      <c r="K5" s="94"/>
      <c r="L5" s="94"/>
      <c r="M5" s="94"/>
      <c r="N5" s="94"/>
      <c r="O5" s="94"/>
      <c r="P5" s="94"/>
      <c r="Q5" s="94"/>
      <c r="R5" s="94"/>
      <c r="S5" s="4"/>
    </row>
    <row r="6" spans="1:21" s="3" customFormat="1" ht="23.25" customHeight="1">
      <c r="A6" s="1534" t="s">
        <v>3312</v>
      </c>
      <c r="B6" s="3975" t="str">
        <f>infrastructure_integrator</f>
        <v>Cara Gilmore</v>
      </c>
      <c r="C6" s="3976"/>
      <c r="D6" s="3977"/>
      <c r="E6" s="1510"/>
      <c r="F6" s="2628"/>
      <c r="G6" s="2629"/>
      <c r="H6" s="95"/>
      <c r="I6" s="94"/>
      <c r="J6" s="1513"/>
      <c r="K6" s="94"/>
      <c r="L6" s="94"/>
      <c r="M6" s="94"/>
      <c r="N6" s="94"/>
      <c r="O6" s="94"/>
      <c r="P6" s="94"/>
      <c r="Q6" s="94"/>
      <c r="R6" s="94"/>
      <c r="S6" s="4"/>
    </row>
    <row r="7" spans="1:21" s="3" customFormat="1" ht="17.25" thickBot="1">
      <c r="A7" s="1535" t="s">
        <v>1940</v>
      </c>
      <c r="B7" s="1539">
        <f>IF(lbom_number&lt;&gt;"",lbom_number,"")</f>
        <v>20213598</v>
      </c>
      <c r="C7" s="2595"/>
      <c r="D7" s="2600"/>
      <c r="E7" s="1515"/>
      <c r="F7" s="2596" t="s">
        <v>4235</v>
      </c>
      <c r="G7" s="2630">
        <v>44270</v>
      </c>
      <c r="H7" s="95"/>
      <c r="I7" s="94"/>
      <c r="J7" s="1513"/>
      <c r="K7" s="94"/>
      <c r="L7" s="94"/>
      <c r="M7" s="94"/>
      <c r="N7" s="94"/>
      <c r="O7" s="94"/>
      <c r="P7" s="94"/>
      <c r="Q7" s="94"/>
      <c r="R7" s="94"/>
      <c r="S7" s="4"/>
    </row>
    <row r="8" spans="1:21" s="3" customFormat="1" ht="17.25" thickBot="1">
      <c r="A8" s="3978" t="s">
        <v>2651</v>
      </c>
      <c r="B8" s="3970"/>
      <c r="C8" s="3970"/>
      <c r="D8" s="3970"/>
      <c r="E8" s="3970"/>
      <c r="F8" s="3970"/>
      <c r="G8" s="3970"/>
      <c r="H8" s="3970"/>
      <c r="I8" s="3970"/>
      <c r="J8" s="3970"/>
      <c r="K8" s="3971"/>
      <c r="L8" s="94"/>
      <c r="M8" s="94"/>
      <c r="N8" s="94"/>
      <c r="O8" s="94"/>
      <c r="P8" s="94"/>
      <c r="Q8" s="94"/>
      <c r="R8" s="94"/>
      <c r="S8" s="94"/>
      <c r="T8" s="94"/>
      <c r="U8" s="4"/>
    </row>
    <row r="9" spans="1:21" ht="25.5">
      <c r="A9" s="1518" t="s">
        <v>2555</v>
      </c>
      <c r="B9" s="1519" t="s">
        <v>3319</v>
      </c>
      <c r="C9" s="1519" t="s">
        <v>899</v>
      </c>
      <c r="D9" s="1520" t="s">
        <v>900</v>
      </c>
      <c r="E9" s="1520" t="s">
        <v>897</v>
      </c>
      <c r="F9" s="1520" t="s">
        <v>898</v>
      </c>
      <c r="G9" s="1940" t="s">
        <v>3310</v>
      </c>
      <c r="H9" s="1940" t="s">
        <v>3318</v>
      </c>
      <c r="I9" s="1940" t="s">
        <v>43</v>
      </c>
      <c r="J9" s="1940" t="s">
        <v>3326</v>
      </c>
      <c r="K9" s="1521" t="s">
        <v>480</v>
      </c>
    </row>
    <row r="10" spans="1:21">
      <c r="A10" s="600" t="str">
        <f t="shared" ref="A10:A42" si="0">IF(C10&lt;&gt;"",CONCATENATE("D" &amp; lbom_number &amp; "-"&amp; TEXT(ROW(C10)-9,"000")),"")</f>
        <v>D20213598-001</v>
      </c>
      <c r="B10" s="2185" t="s">
        <v>5630</v>
      </c>
      <c r="C10" s="71" t="str">
        <f t="array" ref="C10">IF(ISERROR(INDEX('Distributed Assets'!$B$1:$AZ$102,SMALL(IF('Distributed Assets'!$AF$28:$AF$102&lt;&gt;"",ROW('Distributed Assets'!$AC$28:$AC$102)),ROW(1:1)),28)),"",INDEX('Distributed Assets'!$B$1:$AZ$102,SMALL(IF('Distributed Assets'!$AF$28:$AF$102&lt;&gt;"",ROW('Distributed Assets'!$AC$28:$AC$102)),ROW(1:1)),28))</f>
        <v>dchislmgt02</v>
      </c>
      <c r="D10" s="2008" t="str">
        <f t="shared" ref="D10:D42" si="1" xml:space="preserve"> IF(B10 &lt;&gt; "", VLOOKUP(C10,decom_array, 2, FALSE), "")</f>
        <v>10.130.133.40</v>
      </c>
      <c r="E10" s="69" t="s">
        <v>5608</v>
      </c>
      <c r="F10" s="69">
        <v>0</v>
      </c>
      <c r="G10" s="69" t="s">
        <v>5607</v>
      </c>
      <c r="H10" s="1540" t="s">
        <v>70</v>
      </c>
      <c r="I10" s="1531" t="s">
        <v>5574</v>
      </c>
      <c r="J10" s="1516" t="s">
        <v>5601</v>
      </c>
      <c r="K10" s="1544"/>
    </row>
    <row r="11" spans="1:21" s="931" customFormat="1">
      <c r="A11" s="600" t="str">
        <f t="shared" si="0"/>
        <v>D20213598-002</v>
      </c>
      <c r="B11" s="2185" t="s">
        <v>5631</v>
      </c>
      <c r="C11" s="71" t="s">
        <v>5628</v>
      </c>
      <c r="D11" s="2008" t="s">
        <v>5638</v>
      </c>
      <c r="E11" s="69" t="s">
        <v>5611</v>
      </c>
      <c r="F11" s="69">
        <v>0</v>
      </c>
      <c r="G11" s="69" t="s">
        <v>5607</v>
      </c>
      <c r="H11" s="1553" t="s">
        <v>70</v>
      </c>
      <c r="I11" s="1553" t="s">
        <v>5574</v>
      </c>
      <c r="J11" s="1553" t="s">
        <v>5601</v>
      </c>
      <c r="K11" s="1544"/>
    </row>
    <row r="12" spans="1:21" s="931" customFormat="1">
      <c r="A12" s="600" t="str">
        <f t="shared" ref="A12" si="2">IF(C12&lt;&gt;"",CONCATENATE("D" &amp; lbom_number &amp; "-"&amp; TEXT(ROW(C12)-9,"000")),"")</f>
        <v>D20213598-003</v>
      </c>
      <c r="B12" s="2185" t="s">
        <v>5632</v>
      </c>
      <c r="C12" s="71" t="s">
        <v>5629</v>
      </c>
      <c r="D12" s="2008" t="s">
        <v>5639</v>
      </c>
      <c r="E12" s="69" t="s">
        <v>5611</v>
      </c>
      <c r="F12" s="69">
        <v>0</v>
      </c>
      <c r="G12" s="69" t="s">
        <v>5607</v>
      </c>
      <c r="H12" s="1553" t="s">
        <v>70</v>
      </c>
      <c r="I12" s="1553" t="s">
        <v>5574</v>
      </c>
      <c r="J12" s="1553" t="s">
        <v>5601</v>
      </c>
      <c r="K12" s="1544"/>
    </row>
    <row r="13" spans="1:21" s="931" customFormat="1">
      <c r="A13" s="600" t="str">
        <f t="shared" si="0"/>
        <v/>
      </c>
      <c r="B13" s="1511"/>
      <c r="C13" s="71" t="str">
        <f t="array" ref="C13">IF(ISERROR(INDEX('Distributed Assets'!$B$1:$AZ$102,SMALL(IF('Distributed Assets'!$AF$28:$AF$102&lt;&gt;"",ROW('Distributed Assets'!$AC$28:$AC$102)),ROW(3:3)),28)),"",INDEX('Distributed Assets'!$B$1:$AZ$102,SMALL(IF('Distributed Assets'!$AF$28:$AF$102&lt;&gt;"",ROW('Distributed Assets'!$AC$28:$AC$102)),ROW(3:3)),28))</f>
        <v/>
      </c>
      <c r="D13" s="2008" t="str">
        <f t="shared" si="1"/>
        <v/>
      </c>
      <c r="E13" s="69" t="s">
        <v>5626</v>
      </c>
      <c r="F13" s="69" t="s">
        <v>5626</v>
      </c>
      <c r="G13" s="69" t="s">
        <v>5626</v>
      </c>
      <c r="H13" s="1553"/>
      <c r="I13" s="1531"/>
      <c r="J13" s="1516"/>
      <c r="K13" s="1544"/>
    </row>
    <row r="14" spans="1:21" s="931" customFormat="1" hidden="1">
      <c r="A14" s="600" t="str">
        <f t="shared" si="0"/>
        <v/>
      </c>
      <c r="B14" s="1511"/>
      <c r="C14" s="71" t="str">
        <f t="array" ref="C14">IF(ISERROR(INDEX('Distributed Assets'!$B$1:$AZ$102,SMALL(IF('Distributed Assets'!$AF$28:$AF$102&lt;&gt;"",ROW('Distributed Assets'!$AC$28:$AC$102)),ROW(4:4)),28)),"",INDEX('Distributed Assets'!$B$1:$AZ$102,SMALL(IF('Distributed Assets'!$AF$28:$AF$102&lt;&gt;"",ROW('Distributed Assets'!$AC$28:$AC$102)),ROW(4:4)),28))</f>
        <v/>
      </c>
      <c r="D14" s="2008" t="str">
        <f t="shared" si="1"/>
        <v/>
      </c>
      <c r="E14" s="69" t="s">
        <v>5626</v>
      </c>
      <c r="F14" s="69" t="s">
        <v>5626</v>
      </c>
      <c r="G14" s="69" t="s">
        <v>5626</v>
      </c>
      <c r="H14" s="1553"/>
      <c r="I14" s="1531"/>
      <c r="J14" s="1516"/>
      <c r="K14" s="1544"/>
    </row>
    <row r="15" spans="1:21" s="931" customFormat="1" hidden="1">
      <c r="A15" s="600" t="str">
        <f t="shared" si="0"/>
        <v/>
      </c>
      <c r="B15" s="1511"/>
      <c r="C15" s="71" t="str">
        <f t="array" ref="C15">IF(ISERROR(INDEX('Distributed Assets'!$B$1:$AZ$102,SMALL(IF('Distributed Assets'!$AF$28:$AF$102&lt;&gt;"",ROW('Distributed Assets'!$AC$28:$AC$102)),ROW(5:5)),28)),"",INDEX('Distributed Assets'!$B$1:$AZ$102,SMALL(IF('Distributed Assets'!$AF$28:$AF$102&lt;&gt;"",ROW('Distributed Assets'!$AC$28:$AC$102)),ROW(5:5)),28))</f>
        <v/>
      </c>
      <c r="D15" s="2008" t="str">
        <f t="shared" si="1"/>
        <v/>
      </c>
      <c r="E15" s="69" t="s">
        <v>5626</v>
      </c>
      <c r="F15" s="69" t="s">
        <v>5626</v>
      </c>
      <c r="G15" s="69" t="s">
        <v>5626</v>
      </c>
      <c r="H15" s="1553"/>
      <c r="I15" s="1531"/>
      <c r="J15" s="1516"/>
      <c r="K15" s="1544"/>
    </row>
    <row r="16" spans="1:21" s="931" customFormat="1" hidden="1">
      <c r="A16" s="600" t="str">
        <f t="shared" si="0"/>
        <v/>
      </c>
      <c r="B16" s="1511"/>
      <c r="C16" s="71" t="str">
        <f t="array" ref="C16">IF(ISERROR(INDEX('Distributed Assets'!$B$1:$AZ$102,SMALL(IF('Distributed Assets'!$AF$28:$AF$102&lt;&gt;"",ROW('Distributed Assets'!$AC$28:$AC$102)),ROW(6:6)),28)),"",INDEX('Distributed Assets'!$B$1:$AZ$102,SMALL(IF('Distributed Assets'!$AF$28:$AF$102&lt;&gt;"",ROW('Distributed Assets'!$AC$28:$AC$102)),ROW(6:6)),28))</f>
        <v/>
      </c>
      <c r="D16" s="2008" t="str">
        <f t="shared" si="1"/>
        <v/>
      </c>
      <c r="E16" s="69" t="s">
        <v>5626</v>
      </c>
      <c r="F16" s="69" t="s">
        <v>5626</v>
      </c>
      <c r="G16" s="69" t="s">
        <v>5626</v>
      </c>
      <c r="H16" s="1553"/>
      <c r="I16" s="1531"/>
      <c r="J16" s="1516"/>
      <c r="K16" s="1544"/>
    </row>
    <row r="17" spans="1:11" s="931" customFormat="1" hidden="1">
      <c r="A17" s="600" t="str">
        <f t="shared" si="0"/>
        <v/>
      </c>
      <c r="B17" s="1511"/>
      <c r="C17" s="71" t="str">
        <f t="array" ref="C17">IF(ISERROR(INDEX('Distributed Assets'!$B$1:$AZ$102,SMALL(IF('Distributed Assets'!$AF$28:$AF$102&lt;&gt;"",ROW('Distributed Assets'!$AC$28:$AC$102)),ROW(7:7)),28)),"",INDEX('Distributed Assets'!$B$1:$AZ$102,SMALL(IF('Distributed Assets'!$AF$28:$AF$102&lt;&gt;"",ROW('Distributed Assets'!$AC$28:$AC$102)),ROW(7:7)),28))</f>
        <v/>
      </c>
      <c r="D17" s="2008" t="str">
        <f t="shared" si="1"/>
        <v/>
      </c>
      <c r="E17" s="69" t="s">
        <v>5626</v>
      </c>
      <c r="F17" s="69" t="s">
        <v>5626</v>
      </c>
      <c r="G17" s="69" t="s">
        <v>5626</v>
      </c>
      <c r="H17" s="1553"/>
      <c r="I17" s="1531"/>
      <c r="J17" s="1516"/>
      <c r="K17" s="1544"/>
    </row>
    <row r="18" spans="1:11" s="931" customFormat="1" hidden="1">
      <c r="A18" s="600" t="str">
        <f t="shared" si="0"/>
        <v/>
      </c>
      <c r="B18" s="1511"/>
      <c r="C18" s="71" t="str">
        <f t="array" ref="C18">IF(ISERROR(INDEX('Distributed Assets'!$B$1:$AZ$102,SMALL(IF('Distributed Assets'!$AF$28:$AF$102&lt;&gt;"",ROW('Distributed Assets'!$AC$28:$AC$102)),ROW(8:8)),28)),"",INDEX('Distributed Assets'!$B$1:$AZ$102,SMALL(IF('Distributed Assets'!$AF$28:$AF$102&lt;&gt;"",ROW('Distributed Assets'!$AC$28:$AC$102)),ROW(8:8)),28))</f>
        <v/>
      </c>
      <c r="D18" s="2008" t="str">
        <f t="shared" si="1"/>
        <v/>
      </c>
      <c r="E18" s="69" t="s">
        <v>5626</v>
      </c>
      <c r="F18" s="69" t="s">
        <v>5626</v>
      </c>
      <c r="G18" s="69" t="s">
        <v>5626</v>
      </c>
      <c r="H18" s="1553"/>
      <c r="I18" s="1531"/>
      <c r="J18" s="1516"/>
      <c r="K18" s="1544"/>
    </row>
    <row r="19" spans="1:11" s="931" customFormat="1" hidden="1">
      <c r="A19" s="600" t="str">
        <f t="shared" si="0"/>
        <v/>
      </c>
      <c r="B19" s="1511"/>
      <c r="C19" s="71" t="str">
        <f t="array" ref="C19">IF(ISERROR(INDEX('Distributed Assets'!$B$1:$AZ$102,SMALL(IF('Distributed Assets'!$AF$28:$AF$102&lt;&gt;"",ROW('Distributed Assets'!$AC$28:$AC$102)),ROW(9:9)),28)),"",INDEX('Distributed Assets'!$B$1:$AZ$102,SMALL(IF('Distributed Assets'!$AF$28:$AF$102&lt;&gt;"",ROW('Distributed Assets'!$AC$28:$AC$102)),ROW(9:9)),28))</f>
        <v/>
      </c>
      <c r="D19" s="2008" t="str">
        <f t="shared" si="1"/>
        <v/>
      </c>
      <c r="E19" s="69" t="s">
        <v>5626</v>
      </c>
      <c r="F19" s="69" t="s">
        <v>5626</v>
      </c>
      <c r="G19" s="69" t="s">
        <v>5626</v>
      </c>
      <c r="H19" s="1553"/>
      <c r="I19" s="1531"/>
      <c r="J19" s="1516"/>
      <c r="K19" s="1544"/>
    </row>
    <row r="20" spans="1:11" s="931" customFormat="1" hidden="1">
      <c r="A20" s="600" t="str">
        <f t="shared" si="0"/>
        <v/>
      </c>
      <c r="B20" s="1511"/>
      <c r="C20" s="71" t="str">
        <f t="array" ref="C20">IF(ISERROR(INDEX('Distributed Assets'!$B$1:$AZ$102,SMALL(IF('Distributed Assets'!$AF$28:$AF$102&lt;&gt;"",ROW('Distributed Assets'!$AC$28:$AC$102)),ROW(10:10)),28)),"",INDEX('Distributed Assets'!$B$1:$AZ$102,SMALL(IF('Distributed Assets'!$AF$28:$AF$102&lt;&gt;"",ROW('Distributed Assets'!$AC$28:$AC$102)),ROW(10:10)),28))</f>
        <v/>
      </c>
      <c r="D20" s="2008" t="str">
        <f t="shared" si="1"/>
        <v/>
      </c>
      <c r="E20" s="69" t="s">
        <v>5626</v>
      </c>
      <c r="F20" s="69" t="s">
        <v>5626</v>
      </c>
      <c r="G20" s="69" t="s">
        <v>5626</v>
      </c>
      <c r="H20" s="1553"/>
      <c r="I20" s="1531"/>
      <c r="J20" s="1516"/>
      <c r="K20" s="1544"/>
    </row>
    <row r="21" spans="1:11" s="931" customFormat="1" hidden="1">
      <c r="A21" s="600" t="str">
        <f t="shared" si="0"/>
        <v/>
      </c>
      <c r="B21" s="1511"/>
      <c r="C21" s="71" t="str">
        <f t="array" ref="C21">IF(ISERROR(INDEX('Distributed Assets'!$B$1:$AZ$102,SMALL(IF('Distributed Assets'!$AF$28:$AF$102&lt;&gt;"",ROW('Distributed Assets'!$AC$28:$AC$102)),ROW(11:11)),28)),"",INDEX('Distributed Assets'!$B$1:$AZ$102,SMALL(IF('Distributed Assets'!$AF$28:$AF$102&lt;&gt;"",ROW('Distributed Assets'!$AC$28:$AC$102)),ROW(11:11)),28))</f>
        <v/>
      </c>
      <c r="D21" s="2008" t="str">
        <f t="shared" si="1"/>
        <v/>
      </c>
      <c r="E21" s="69" t="s">
        <v>5626</v>
      </c>
      <c r="F21" s="69" t="s">
        <v>5626</v>
      </c>
      <c r="G21" s="69" t="s">
        <v>5626</v>
      </c>
      <c r="H21" s="1553"/>
      <c r="I21" s="1531"/>
      <c r="J21" s="1516"/>
      <c r="K21" s="1544"/>
    </row>
    <row r="22" spans="1:11" hidden="1">
      <c r="A22" s="600" t="str">
        <f t="shared" si="0"/>
        <v/>
      </c>
      <c r="B22" s="1511"/>
      <c r="C22" s="71" t="str">
        <f t="array" ref="C22">IF(ISERROR(INDEX('Distributed Assets'!$B$1:$AZ$102,SMALL(IF('Distributed Assets'!$AF$28:$AF$102&lt;&gt;"",ROW('Distributed Assets'!$AC$28:$AC$102)),ROW(13:13)),28)),"",INDEX('Distributed Assets'!$B$1:$AZ$102,SMALL(IF('Distributed Assets'!$AF$28:$AF$102&lt;&gt;"",ROW('Distributed Assets'!$AC$28:$AC$102)),ROW(13:13)),28))</f>
        <v/>
      </c>
      <c r="D22" s="2008" t="str">
        <f t="shared" si="1"/>
        <v/>
      </c>
      <c r="E22" s="69" t="s">
        <v>5626</v>
      </c>
      <c r="F22" s="69" t="s">
        <v>5626</v>
      </c>
      <c r="G22" s="69" t="s">
        <v>5626</v>
      </c>
      <c r="H22" s="1553"/>
      <c r="I22" s="1531"/>
      <c r="J22" s="1516"/>
      <c r="K22" s="1544"/>
    </row>
    <row r="23" spans="1:11" hidden="1">
      <c r="A23" s="600" t="str">
        <f t="shared" si="0"/>
        <v/>
      </c>
      <c r="B23" s="1511"/>
      <c r="C23" s="71" t="str">
        <f t="array" ref="C23">IF(ISERROR(INDEX('Distributed Assets'!$B$1:$AZ$102,SMALL(IF('Distributed Assets'!$AF$28:$AF$102&lt;&gt;"",ROW('Distributed Assets'!$AC$28:$AC$102)),ROW(14:14)),28)),"",INDEX('Distributed Assets'!$B$1:$AZ$102,SMALL(IF('Distributed Assets'!$AF$28:$AF$102&lt;&gt;"",ROW('Distributed Assets'!$AC$28:$AC$102)),ROW(14:14)),28))</f>
        <v/>
      </c>
      <c r="D23" s="2008" t="str">
        <f t="shared" si="1"/>
        <v/>
      </c>
      <c r="E23" s="69" t="s">
        <v>5626</v>
      </c>
      <c r="F23" s="69" t="s">
        <v>5626</v>
      </c>
      <c r="G23" s="69" t="s">
        <v>5626</v>
      </c>
      <c r="H23" s="1553"/>
      <c r="I23" s="1531"/>
      <c r="J23" s="1516"/>
      <c r="K23" s="1544"/>
    </row>
    <row r="24" spans="1:11" hidden="1">
      <c r="A24" s="600" t="str">
        <f t="shared" si="0"/>
        <v/>
      </c>
      <c r="B24" s="1511"/>
      <c r="C24" s="71" t="str">
        <f t="array" ref="C24">IF(ISERROR(INDEX('Distributed Assets'!$B$1:$AZ$102,SMALL(IF('Distributed Assets'!$AF$28:$AF$102&lt;&gt;"",ROW('Distributed Assets'!$AC$28:$AC$102)),ROW(15:15)),28)),"",INDEX('Distributed Assets'!$B$1:$AZ$102,SMALL(IF('Distributed Assets'!$AF$28:$AF$102&lt;&gt;"",ROW('Distributed Assets'!$AC$28:$AC$102)),ROW(15:15)),28))</f>
        <v/>
      </c>
      <c r="D24" s="2008" t="str">
        <f t="shared" si="1"/>
        <v/>
      </c>
      <c r="E24" s="69" t="s">
        <v>5626</v>
      </c>
      <c r="F24" s="69" t="s">
        <v>5626</v>
      </c>
      <c r="G24" s="69" t="s">
        <v>5626</v>
      </c>
      <c r="H24" s="1553"/>
      <c r="I24" s="1531"/>
      <c r="J24" s="1516"/>
      <c r="K24" s="1544"/>
    </row>
    <row r="25" spans="1:11" hidden="1">
      <c r="A25" s="600" t="str">
        <f t="shared" si="0"/>
        <v/>
      </c>
      <c r="B25" s="1511"/>
      <c r="C25" s="71" t="str">
        <f t="array" ref="C25">IF(ISERROR(INDEX('Distributed Assets'!$B$1:$AZ$102,SMALL(IF('Distributed Assets'!$AF$28:$AF$102&lt;&gt;"",ROW('Distributed Assets'!$AC$28:$AC$102)),ROW(16:16)),28)),"",INDEX('Distributed Assets'!$B$1:$AZ$102,SMALL(IF('Distributed Assets'!$AF$28:$AF$102&lt;&gt;"",ROW('Distributed Assets'!$AC$28:$AC$102)),ROW(16:16)),28))</f>
        <v/>
      </c>
      <c r="D25" s="2008" t="str">
        <f t="shared" si="1"/>
        <v/>
      </c>
      <c r="E25" s="69" t="s">
        <v>5626</v>
      </c>
      <c r="F25" s="69" t="s">
        <v>5626</v>
      </c>
      <c r="G25" s="69" t="s">
        <v>5626</v>
      </c>
      <c r="H25" s="1553"/>
      <c r="I25" s="1531"/>
      <c r="J25" s="1516"/>
      <c r="K25" s="1544"/>
    </row>
    <row r="26" spans="1:11" hidden="1">
      <c r="A26" s="600" t="str">
        <f t="shared" si="0"/>
        <v/>
      </c>
      <c r="B26" s="1511"/>
      <c r="C26" s="71" t="str">
        <f t="array" ref="C26">IF(ISERROR(INDEX('Distributed Assets'!$B$1:$AZ$102,SMALL(IF('Distributed Assets'!$AF$28:$AF$102&lt;&gt;"",ROW('Distributed Assets'!$AC$28:$AC$102)),ROW(17:17)),28)),"",INDEX('Distributed Assets'!$B$1:$AZ$102,SMALL(IF('Distributed Assets'!$AF$28:$AF$102&lt;&gt;"",ROW('Distributed Assets'!$AC$28:$AC$102)),ROW(17:17)),28))</f>
        <v/>
      </c>
      <c r="D26" s="2008" t="str">
        <f t="shared" si="1"/>
        <v/>
      </c>
      <c r="E26" s="69" t="s">
        <v>5626</v>
      </c>
      <c r="F26" s="69" t="s">
        <v>5626</v>
      </c>
      <c r="G26" s="69" t="s">
        <v>5626</v>
      </c>
      <c r="H26" s="1553"/>
      <c r="I26" s="1531"/>
      <c r="J26" s="1516"/>
      <c r="K26" s="1544"/>
    </row>
    <row r="27" spans="1:11" hidden="1">
      <c r="A27" s="600" t="str">
        <f t="shared" si="0"/>
        <v/>
      </c>
      <c r="B27" s="1511"/>
      <c r="C27" s="71" t="str">
        <f t="array" ref="C27">IF(ISERROR(INDEX('Distributed Assets'!$B$1:$AZ$102,SMALL(IF('Distributed Assets'!$AF$28:$AF$102&lt;&gt;"",ROW('Distributed Assets'!$AC$28:$AC$102)),ROW(18:18)),28)),"",INDEX('Distributed Assets'!$B$1:$AZ$102,SMALL(IF('Distributed Assets'!$AF$28:$AF$102&lt;&gt;"",ROW('Distributed Assets'!$AC$28:$AC$102)),ROW(18:18)),28))</f>
        <v/>
      </c>
      <c r="D27" s="2008" t="str">
        <f t="shared" si="1"/>
        <v/>
      </c>
      <c r="E27" s="69" t="s">
        <v>5626</v>
      </c>
      <c r="F27" s="69" t="s">
        <v>5626</v>
      </c>
      <c r="G27" s="69" t="s">
        <v>5626</v>
      </c>
      <c r="H27" s="1553"/>
      <c r="I27" s="1531"/>
      <c r="J27" s="1516"/>
      <c r="K27" s="1544"/>
    </row>
    <row r="28" spans="1:11" s="931" customFormat="1" hidden="1">
      <c r="A28" s="600" t="str">
        <f t="shared" si="0"/>
        <v/>
      </c>
      <c r="B28" s="1511"/>
      <c r="C28" s="71" t="str">
        <f t="array" ref="C28">IF(ISERROR(INDEX('Distributed Assets'!$B$1:$AZ$102,SMALL(IF('Distributed Assets'!$AF$28:$AF$102&lt;&gt;"",ROW('Distributed Assets'!$AC$28:$AC$102)),ROW(19:19)),28)),"",INDEX('Distributed Assets'!$B$1:$AZ$102,SMALL(IF('Distributed Assets'!$AF$28:$AF$102&lt;&gt;"",ROW('Distributed Assets'!$AC$28:$AC$102)),ROW(19:19)),28))</f>
        <v/>
      </c>
      <c r="D28" s="2008" t="str">
        <f t="shared" si="1"/>
        <v/>
      </c>
      <c r="E28" s="69" t="s">
        <v>5626</v>
      </c>
      <c r="F28" s="69" t="s">
        <v>5626</v>
      </c>
      <c r="G28" s="69" t="s">
        <v>5626</v>
      </c>
      <c r="H28" s="1553"/>
      <c r="I28" s="1531"/>
      <c r="J28" s="1516"/>
      <c r="K28" s="1544"/>
    </row>
    <row r="29" spans="1:11" s="931" customFormat="1" hidden="1">
      <c r="A29" s="600" t="str">
        <f t="shared" si="0"/>
        <v/>
      </c>
      <c r="B29" s="1511"/>
      <c r="C29" s="71" t="str">
        <f t="array" ref="C29">IF(ISERROR(INDEX('Distributed Assets'!$B$1:$AZ$102,SMALL(IF('Distributed Assets'!$AF$28:$AF$102&lt;&gt;"",ROW('Distributed Assets'!$AC$28:$AC$102)),ROW(20:20)),28)),"",INDEX('Distributed Assets'!$B$1:$AZ$102,SMALL(IF('Distributed Assets'!$AF$28:$AF$102&lt;&gt;"",ROW('Distributed Assets'!$AC$28:$AC$102)),ROW(20:20)),28))</f>
        <v/>
      </c>
      <c r="D29" s="2008" t="str">
        <f t="shared" si="1"/>
        <v/>
      </c>
      <c r="E29" s="69" t="s">
        <v>5626</v>
      </c>
      <c r="F29" s="69" t="s">
        <v>5626</v>
      </c>
      <c r="G29" s="69" t="s">
        <v>5626</v>
      </c>
      <c r="H29" s="1553"/>
      <c r="I29" s="1531"/>
      <c r="J29" s="1516"/>
      <c r="K29" s="1544"/>
    </row>
    <row r="30" spans="1:11" s="931" customFormat="1" hidden="1">
      <c r="A30" s="600" t="str">
        <f t="shared" si="0"/>
        <v/>
      </c>
      <c r="B30" s="1511"/>
      <c r="C30" s="71" t="str">
        <f t="array" ref="C30">IF(ISERROR(INDEX('Distributed Assets'!$B$1:$AZ$102,SMALL(IF('Distributed Assets'!$AF$28:$AF$102&lt;&gt;"",ROW('Distributed Assets'!$AC$28:$AC$102)),ROW(21:21)),28)),"",INDEX('Distributed Assets'!$B$1:$AZ$102,SMALL(IF('Distributed Assets'!$AF$28:$AF$102&lt;&gt;"",ROW('Distributed Assets'!$AC$28:$AC$102)),ROW(21:21)),28))</f>
        <v/>
      </c>
      <c r="D30" s="2008" t="str">
        <f t="shared" si="1"/>
        <v/>
      </c>
      <c r="E30" s="69" t="s">
        <v>5626</v>
      </c>
      <c r="F30" s="69" t="s">
        <v>5626</v>
      </c>
      <c r="G30" s="69" t="s">
        <v>5626</v>
      </c>
      <c r="H30" s="1553"/>
      <c r="I30" s="1531"/>
      <c r="J30" s="1516"/>
      <c r="K30" s="1544"/>
    </row>
    <row r="31" spans="1:11" s="931" customFormat="1" hidden="1">
      <c r="A31" s="600" t="str">
        <f t="shared" si="0"/>
        <v/>
      </c>
      <c r="B31" s="1511"/>
      <c r="C31" s="71" t="str">
        <f t="array" ref="C31">IF(ISERROR(INDEX('Distributed Assets'!$B$1:$AZ$102,SMALL(IF('Distributed Assets'!$AF$28:$AF$102&lt;&gt;"",ROW('Distributed Assets'!$AC$28:$AC$102)),ROW(22:22)),28)),"",INDEX('Distributed Assets'!$B$1:$AZ$102,SMALL(IF('Distributed Assets'!$AF$28:$AF$102&lt;&gt;"",ROW('Distributed Assets'!$AC$28:$AC$102)),ROW(22:22)),28))</f>
        <v/>
      </c>
      <c r="D31" s="2008" t="str">
        <f t="shared" si="1"/>
        <v/>
      </c>
      <c r="E31" s="69" t="s">
        <v>5626</v>
      </c>
      <c r="F31" s="69" t="s">
        <v>5626</v>
      </c>
      <c r="G31" s="69" t="s">
        <v>5626</v>
      </c>
      <c r="H31" s="1553"/>
      <c r="I31" s="1531"/>
      <c r="J31" s="1516"/>
      <c r="K31" s="1544"/>
    </row>
    <row r="32" spans="1:11" s="931" customFormat="1" hidden="1">
      <c r="A32" s="600" t="str">
        <f t="shared" si="0"/>
        <v/>
      </c>
      <c r="B32" s="1511"/>
      <c r="C32" s="71" t="str">
        <f t="array" ref="C32">IF(ISERROR(INDEX('Distributed Assets'!$B$1:$AZ$102,SMALL(IF('Distributed Assets'!$AF$28:$AF$102&lt;&gt;"",ROW('Distributed Assets'!$AC$28:$AC$102)),ROW(23:23)),28)),"",INDEX('Distributed Assets'!$B$1:$AZ$102,SMALL(IF('Distributed Assets'!$AF$28:$AF$102&lt;&gt;"",ROW('Distributed Assets'!$AC$28:$AC$102)),ROW(23:23)),28))</f>
        <v/>
      </c>
      <c r="D32" s="2008" t="str">
        <f t="shared" si="1"/>
        <v/>
      </c>
      <c r="E32" s="69" t="s">
        <v>5626</v>
      </c>
      <c r="F32" s="69" t="s">
        <v>5626</v>
      </c>
      <c r="G32" s="69" t="s">
        <v>5626</v>
      </c>
      <c r="H32" s="1553"/>
      <c r="I32" s="1531"/>
      <c r="J32" s="1516"/>
      <c r="K32" s="1544"/>
    </row>
    <row r="33" spans="1:11" s="931" customFormat="1" hidden="1">
      <c r="A33" s="600" t="str">
        <f t="shared" si="0"/>
        <v/>
      </c>
      <c r="B33" s="1511"/>
      <c r="C33" s="71" t="str">
        <f t="array" ref="C33">IF(ISERROR(INDEX('Distributed Assets'!$B$1:$AZ$102,SMALL(IF('Distributed Assets'!$AF$28:$AF$102&lt;&gt;"",ROW('Distributed Assets'!$AC$28:$AC$102)),ROW(24:24)),28)),"",INDEX('Distributed Assets'!$B$1:$AZ$102,SMALL(IF('Distributed Assets'!$AF$28:$AF$102&lt;&gt;"",ROW('Distributed Assets'!$AC$28:$AC$102)),ROW(24:24)),28))</f>
        <v/>
      </c>
      <c r="D33" s="2008" t="str">
        <f t="shared" si="1"/>
        <v/>
      </c>
      <c r="E33" s="69" t="s">
        <v>5626</v>
      </c>
      <c r="F33" s="69" t="s">
        <v>5626</v>
      </c>
      <c r="G33" s="69" t="s">
        <v>5626</v>
      </c>
      <c r="H33" s="1553"/>
      <c r="I33" s="1531"/>
      <c r="J33" s="1516"/>
      <c r="K33" s="1544"/>
    </row>
    <row r="34" spans="1:11" s="931" customFormat="1" hidden="1">
      <c r="A34" s="600" t="str">
        <f t="shared" si="0"/>
        <v/>
      </c>
      <c r="B34" s="1511"/>
      <c r="C34" s="71" t="str">
        <f t="array" ref="C34">IF(ISERROR(INDEX('Distributed Assets'!$B$1:$AZ$102,SMALL(IF('Distributed Assets'!$AF$28:$AF$102&lt;&gt;"",ROW('Distributed Assets'!$AC$28:$AC$102)),ROW(25:25)),28)),"",INDEX('Distributed Assets'!$B$1:$AZ$102,SMALL(IF('Distributed Assets'!$AF$28:$AF$102&lt;&gt;"",ROW('Distributed Assets'!$AC$28:$AC$102)),ROW(25:25)),28))</f>
        <v/>
      </c>
      <c r="D34" s="2008" t="str">
        <f t="shared" si="1"/>
        <v/>
      </c>
      <c r="E34" s="69" t="s">
        <v>5626</v>
      </c>
      <c r="F34" s="69" t="s">
        <v>5626</v>
      </c>
      <c r="G34" s="69" t="s">
        <v>5626</v>
      </c>
      <c r="H34" s="1553"/>
      <c r="I34" s="1531"/>
      <c r="J34" s="1516"/>
      <c r="K34" s="1544"/>
    </row>
    <row r="35" spans="1:11" s="931" customFormat="1" hidden="1">
      <c r="A35" s="600" t="str">
        <f t="shared" si="0"/>
        <v/>
      </c>
      <c r="B35" s="1511"/>
      <c r="C35" s="71" t="str">
        <f t="array" ref="C35">IF(ISERROR(INDEX('Distributed Assets'!$B$1:$AZ$102,SMALL(IF('Distributed Assets'!$AF$28:$AF$102&lt;&gt;"",ROW('Distributed Assets'!$AC$28:$AC$102)),ROW(26:26)),28)),"",INDEX('Distributed Assets'!$B$1:$AZ$102,SMALL(IF('Distributed Assets'!$AF$28:$AF$102&lt;&gt;"",ROW('Distributed Assets'!$AC$28:$AC$102)),ROW(26:26)),28))</f>
        <v/>
      </c>
      <c r="D35" s="2008" t="str">
        <f t="shared" si="1"/>
        <v/>
      </c>
      <c r="E35" s="69" t="s">
        <v>5626</v>
      </c>
      <c r="F35" s="69" t="s">
        <v>5626</v>
      </c>
      <c r="G35" s="69" t="s">
        <v>5626</v>
      </c>
      <c r="H35" s="1553"/>
      <c r="I35" s="1531"/>
      <c r="J35" s="1516"/>
      <c r="K35" s="1544"/>
    </row>
    <row r="36" spans="1:11" s="931" customFormat="1" hidden="1">
      <c r="A36" s="600" t="str">
        <f t="shared" si="0"/>
        <v/>
      </c>
      <c r="B36" s="1511"/>
      <c r="C36" s="71" t="str">
        <f t="array" ref="C36">IF(ISERROR(INDEX('Distributed Assets'!$B$1:$AZ$102,SMALL(IF('Distributed Assets'!$AF$28:$AF$102&lt;&gt;"",ROW('Distributed Assets'!$AC$28:$AC$102)),ROW(27:27)),28)),"",INDEX('Distributed Assets'!$B$1:$AZ$102,SMALL(IF('Distributed Assets'!$AF$28:$AF$102&lt;&gt;"",ROW('Distributed Assets'!$AC$28:$AC$102)),ROW(27:27)),28))</f>
        <v/>
      </c>
      <c r="D36" s="2008" t="str">
        <f t="shared" si="1"/>
        <v/>
      </c>
      <c r="E36" s="69" t="s">
        <v>5626</v>
      </c>
      <c r="F36" s="69" t="s">
        <v>5626</v>
      </c>
      <c r="G36" s="69" t="s">
        <v>5626</v>
      </c>
      <c r="H36" s="1553"/>
      <c r="I36" s="1531"/>
      <c r="J36" s="1516"/>
      <c r="K36" s="1544"/>
    </row>
    <row r="37" spans="1:11" s="931" customFormat="1" hidden="1">
      <c r="A37" s="600" t="str">
        <f t="shared" si="0"/>
        <v/>
      </c>
      <c r="B37" s="1511"/>
      <c r="C37" s="71" t="str">
        <f t="array" ref="C37">IF(ISERROR(INDEX('Distributed Assets'!$B$1:$AZ$102,SMALL(IF('Distributed Assets'!$AF$28:$AF$102&lt;&gt;"",ROW('Distributed Assets'!$AC$28:$AC$102)),ROW(28:28)),28)),"",INDEX('Distributed Assets'!$B$1:$AZ$102,SMALL(IF('Distributed Assets'!$AF$28:$AF$102&lt;&gt;"",ROW('Distributed Assets'!$AC$28:$AC$102)),ROW(28:28)),28))</f>
        <v/>
      </c>
      <c r="D37" s="2008" t="str">
        <f t="shared" si="1"/>
        <v/>
      </c>
      <c r="E37" s="69" t="s">
        <v>5626</v>
      </c>
      <c r="F37" s="69" t="s">
        <v>5626</v>
      </c>
      <c r="G37" s="69" t="s">
        <v>5626</v>
      </c>
      <c r="H37" s="1553"/>
      <c r="I37" s="1531"/>
      <c r="J37" s="1516"/>
      <c r="K37" s="1544"/>
    </row>
    <row r="38" spans="1:11" hidden="1">
      <c r="A38" s="600" t="str">
        <f t="shared" si="0"/>
        <v/>
      </c>
      <c r="B38" s="1511"/>
      <c r="C38" s="71" t="str">
        <f t="array" ref="C38">IF(ISERROR(INDEX('Distributed Assets'!$B$1:$AZ$102,SMALL(IF('Distributed Assets'!$AF$28:$AF$102&lt;&gt;"",ROW('Distributed Assets'!$AC$28:$AC$102)),ROW(29:29)),28)),"",INDEX('Distributed Assets'!$B$1:$AZ$102,SMALL(IF('Distributed Assets'!$AF$28:$AF$102&lt;&gt;"",ROW('Distributed Assets'!$AC$28:$AC$102)),ROW(29:29)),28))</f>
        <v/>
      </c>
      <c r="D38" s="2008" t="str">
        <f t="shared" si="1"/>
        <v/>
      </c>
      <c r="E38" s="69" t="s">
        <v>5626</v>
      </c>
      <c r="F38" s="69" t="s">
        <v>5626</v>
      </c>
      <c r="G38" s="69" t="s">
        <v>5626</v>
      </c>
      <c r="H38" s="1553"/>
      <c r="I38" s="1531"/>
      <c r="J38" s="1516"/>
      <c r="K38" s="1544"/>
    </row>
    <row r="39" spans="1:11" hidden="1">
      <c r="A39" s="600" t="str">
        <f t="shared" si="0"/>
        <v/>
      </c>
      <c r="B39" s="1511"/>
      <c r="C39" s="71" t="str">
        <f t="array" ref="C39">IF(ISERROR(INDEX('Distributed Assets'!$B$1:$AZ$102,SMALL(IF('Distributed Assets'!$AF$28:$AF$102&lt;&gt;"",ROW('Distributed Assets'!$AC$28:$AC$102)),ROW(30:30)),28)),"",INDEX('Distributed Assets'!$B$1:$AZ$102,SMALL(IF('Distributed Assets'!$AF$28:$AF$102&lt;&gt;"",ROW('Distributed Assets'!$AC$28:$AC$102)),ROW(30:30)),28))</f>
        <v/>
      </c>
      <c r="D39" s="2008" t="str">
        <f t="shared" si="1"/>
        <v/>
      </c>
      <c r="E39" s="69" t="s">
        <v>5626</v>
      </c>
      <c r="F39" s="69" t="s">
        <v>5626</v>
      </c>
      <c r="G39" s="69" t="s">
        <v>5626</v>
      </c>
      <c r="H39" s="1553"/>
      <c r="I39" s="1531"/>
      <c r="J39" s="1516"/>
      <c r="K39" s="1544"/>
    </row>
    <row r="40" spans="1:11" s="931" customFormat="1" hidden="1">
      <c r="A40" s="600" t="str">
        <f t="shared" si="0"/>
        <v/>
      </c>
      <c r="B40" s="1511"/>
      <c r="C40" s="71" t="str">
        <f t="array" ref="C40">IF(ISERROR(INDEX('Distributed Assets'!$B$1:$AZ$102,SMALL(IF('Distributed Assets'!$AF$28:$AF$102&lt;&gt;"",ROW('Distributed Assets'!$AC$28:$AC$102)),ROW(31:31)),28)),"",INDEX('Distributed Assets'!$B$1:$AZ$102,SMALL(IF('Distributed Assets'!$AF$28:$AF$102&lt;&gt;"",ROW('Distributed Assets'!$AC$28:$AC$102)),ROW(31:31)),28))</f>
        <v/>
      </c>
      <c r="D40" s="2008" t="str">
        <f t="shared" si="1"/>
        <v/>
      </c>
      <c r="E40" s="69" t="s">
        <v>5626</v>
      </c>
      <c r="F40" s="69" t="s">
        <v>5626</v>
      </c>
      <c r="G40" s="69" t="s">
        <v>5626</v>
      </c>
      <c r="H40" s="1553"/>
      <c r="I40" s="1531"/>
      <c r="J40" s="1516"/>
      <c r="K40" s="1544"/>
    </row>
    <row r="41" spans="1:11" s="931" customFormat="1" hidden="1">
      <c r="A41" s="600" t="str">
        <f t="shared" si="0"/>
        <v/>
      </c>
      <c r="B41" s="1511"/>
      <c r="C41" s="71" t="str">
        <f t="array" ref="C41">IF(ISERROR(INDEX('Distributed Assets'!$B$1:$AZ$102,SMALL(IF('Distributed Assets'!$AF$28:$AF$102&lt;&gt;"",ROW('Distributed Assets'!$AC$28:$AC$102)),ROW(32:32)),28)),"",INDEX('Distributed Assets'!$B$1:$AZ$102,SMALL(IF('Distributed Assets'!$AF$28:$AF$102&lt;&gt;"",ROW('Distributed Assets'!$AC$28:$AC$102)),ROW(32:32)),28))</f>
        <v/>
      </c>
      <c r="D41" s="2008" t="str">
        <f t="shared" si="1"/>
        <v/>
      </c>
      <c r="E41" s="69" t="s">
        <v>5626</v>
      </c>
      <c r="F41" s="69" t="s">
        <v>5626</v>
      </c>
      <c r="G41" s="69" t="s">
        <v>5626</v>
      </c>
      <c r="H41" s="1553"/>
      <c r="I41" s="1531"/>
      <c r="J41" s="1516"/>
      <c r="K41" s="1544"/>
    </row>
    <row r="42" spans="1:11" s="931" customFormat="1" hidden="1">
      <c r="A42" s="600" t="str">
        <f t="shared" si="0"/>
        <v/>
      </c>
      <c r="B42" s="1511"/>
      <c r="C42" s="71" t="str">
        <f t="array" ref="C42">IF(ISERROR(INDEX('Distributed Assets'!$B$1:$AZ$102,SMALL(IF('Distributed Assets'!$AF$28:$AF$102&lt;&gt;"",ROW('Distributed Assets'!$AC$28:$AC$102)),ROW(33:33)),28)),"",INDEX('Distributed Assets'!$B$1:$AZ$102,SMALL(IF('Distributed Assets'!$AF$28:$AF$102&lt;&gt;"",ROW('Distributed Assets'!$AC$28:$AC$102)),ROW(33:33)),28))</f>
        <v/>
      </c>
      <c r="D42" s="2008" t="str">
        <f t="shared" si="1"/>
        <v/>
      </c>
      <c r="E42" s="69" t="s">
        <v>5626</v>
      </c>
      <c r="F42" s="69" t="s">
        <v>5626</v>
      </c>
      <c r="G42" s="69" t="s">
        <v>5626</v>
      </c>
      <c r="H42" s="1553"/>
      <c r="I42" s="1531"/>
      <c r="J42" s="1516"/>
      <c r="K42" s="1544"/>
    </row>
    <row r="43" spans="1:11" s="931" customFormat="1" hidden="1">
      <c r="A43" s="600" t="str">
        <f t="shared" ref="A43:A74" si="3">IF(C43&lt;&gt;"",CONCATENATE("D" &amp; lbom_number &amp; "-"&amp; TEXT(ROW(C43)-9,"000")),"")</f>
        <v/>
      </c>
      <c r="B43" s="1511"/>
      <c r="C43" s="71" t="str">
        <f t="array" ref="C43">IF(ISERROR(INDEX('Distributed Assets'!$B$1:$AZ$102,SMALL(IF('Distributed Assets'!$AF$28:$AF$102&lt;&gt;"",ROW('Distributed Assets'!$AC$28:$AC$102)),ROW(34:34)),28)),"",INDEX('Distributed Assets'!$B$1:$AZ$102,SMALL(IF('Distributed Assets'!$AF$28:$AF$102&lt;&gt;"",ROW('Distributed Assets'!$AC$28:$AC$102)),ROW(34:34)),28))</f>
        <v/>
      </c>
      <c r="D43" s="2008" t="str">
        <f t="shared" ref="D43:D74" si="4" xml:space="preserve"> IF(B43 &lt;&gt; "", VLOOKUP(C43,decom_array, 2, FALSE), "")</f>
        <v/>
      </c>
      <c r="E43" s="69" t="s">
        <v>5626</v>
      </c>
      <c r="F43" s="69" t="s">
        <v>5626</v>
      </c>
      <c r="G43" s="69" t="s">
        <v>5626</v>
      </c>
      <c r="H43" s="1553"/>
      <c r="I43" s="1531"/>
      <c r="J43" s="1516"/>
      <c r="K43" s="1544"/>
    </row>
    <row r="44" spans="1:11" s="931" customFormat="1" hidden="1">
      <c r="A44" s="600" t="str">
        <f t="shared" si="3"/>
        <v/>
      </c>
      <c r="B44" s="1511"/>
      <c r="C44" s="71" t="str">
        <f t="array" ref="C44">IF(ISERROR(INDEX('Distributed Assets'!$B$1:$AZ$102,SMALL(IF('Distributed Assets'!$AF$28:$AF$102&lt;&gt;"",ROW('Distributed Assets'!$AC$28:$AC$102)),ROW(35:35)),28)),"",INDEX('Distributed Assets'!$B$1:$AZ$102,SMALL(IF('Distributed Assets'!$AF$28:$AF$102&lt;&gt;"",ROW('Distributed Assets'!$AC$28:$AC$102)),ROW(35:35)),28))</f>
        <v/>
      </c>
      <c r="D44" s="2008" t="str">
        <f t="shared" si="4"/>
        <v/>
      </c>
      <c r="E44" s="69" t="s">
        <v>5626</v>
      </c>
      <c r="F44" s="69" t="s">
        <v>5626</v>
      </c>
      <c r="G44" s="69" t="s">
        <v>5626</v>
      </c>
      <c r="H44" s="1553"/>
      <c r="I44" s="1531"/>
      <c r="J44" s="1516"/>
      <c r="K44" s="1544"/>
    </row>
    <row r="45" spans="1:11" s="931" customFormat="1" hidden="1">
      <c r="A45" s="600" t="str">
        <f t="shared" si="3"/>
        <v/>
      </c>
      <c r="B45" s="1511"/>
      <c r="C45" s="71" t="str">
        <f t="array" ref="C45">IF(ISERROR(INDEX('Distributed Assets'!$B$1:$AZ$102,SMALL(IF('Distributed Assets'!$AF$28:$AF$102&lt;&gt;"",ROW('Distributed Assets'!$AC$28:$AC$102)),ROW(36:36)),28)),"",INDEX('Distributed Assets'!$B$1:$AZ$102,SMALL(IF('Distributed Assets'!$AF$28:$AF$102&lt;&gt;"",ROW('Distributed Assets'!$AC$28:$AC$102)),ROW(36:36)),28))</f>
        <v/>
      </c>
      <c r="D45" s="2008" t="str">
        <f t="shared" si="4"/>
        <v/>
      </c>
      <c r="E45" s="69" t="s">
        <v>5626</v>
      </c>
      <c r="F45" s="69" t="s">
        <v>5626</v>
      </c>
      <c r="G45" s="69" t="s">
        <v>5626</v>
      </c>
      <c r="H45" s="1553"/>
      <c r="I45" s="1531"/>
      <c r="J45" s="1516"/>
      <c r="K45" s="1544"/>
    </row>
    <row r="46" spans="1:11" s="931" customFormat="1" hidden="1">
      <c r="A46" s="600" t="str">
        <f t="shared" si="3"/>
        <v/>
      </c>
      <c r="B46" s="1511"/>
      <c r="C46" s="71" t="str">
        <f t="array" ref="C46">IF(ISERROR(INDEX('Distributed Assets'!$B$1:$AZ$102,SMALL(IF('Distributed Assets'!$AF$28:$AF$102&lt;&gt;"",ROW('Distributed Assets'!$AC$28:$AC$102)),ROW(37:37)),28)),"",INDEX('Distributed Assets'!$B$1:$AZ$102,SMALL(IF('Distributed Assets'!$AF$28:$AF$102&lt;&gt;"",ROW('Distributed Assets'!$AC$28:$AC$102)),ROW(37:37)),28))</f>
        <v/>
      </c>
      <c r="D46" s="2008" t="str">
        <f t="shared" si="4"/>
        <v/>
      </c>
      <c r="E46" s="69" t="s">
        <v>5626</v>
      </c>
      <c r="F46" s="69" t="s">
        <v>5626</v>
      </c>
      <c r="G46" s="69" t="s">
        <v>5626</v>
      </c>
      <c r="H46" s="1553"/>
      <c r="I46" s="1531"/>
      <c r="J46" s="1516"/>
      <c r="K46" s="1544"/>
    </row>
    <row r="47" spans="1:11" s="931" customFormat="1" hidden="1">
      <c r="A47" s="600" t="str">
        <f t="shared" si="3"/>
        <v/>
      </c>
      <c r="B47" s="1511"/>
      <c r="C47" s="71" t="str">
        <f t="array" ref="C47">IF(ISERROR(INDEX('Distributed Assets'!$B$1:$AZ$102,SMALL(IF('Distributed Assets'!$AF$28:$AF$102&lt;&gt;"",ROW('Distributed Assets'!$AC$28:$AC$102)),ROW(38:38)),28)),"",INDEX('Distributed Assets'!$B$1:$AZ$102,SMALL(IF('Distributed Assets'!$AF$28:$AF$102&lt;&gt;"",ROW('Distributed Assets'!$AC$28:$AC$102)),ROW(38:38)),28))</f>
        <v/>
      </c>
      <c r="D47" s="2008" t="str">
        <f t="shared" si="4"/>
        <v/>
      </c>
      <c r="E47" s="69" t="s">
        <v>5626</v>
      </c>
      <c r="F47" s="69" t="s">
        <v>5626</v>
      </c>
      <c r="G47" s="69" t="s">
        <v>5626</v>
      </c>
      <c r="H47" s="1553"/>
      <c r="I47" s="1531"/>
      <c r="J47" s="1516"/>
      <c r="K47" s="1544"/>
    </row>
    <row r="48" spans="1:11" s="931" customFormat="1" hidden="1">
      <c r="A48" s="600" t="str">
        <f t="shared" si="3"/>
        <v/>
      </c>
      <c r="B48" s="1511"/>
      <c r="C48" s="71" t="str">
        <f t="array" ref="C48">IF(ISERROR(INDEX('Distributed Assets'!$B$1:$AZ$102,SMALL(IF('Distributed Assets'!$AF$28:$AF$102&lt;&gt;"",ROW('Distributed Assets'!$AC$28:$AC$102)),ROW(39:39)),28)),"",INDEX('Distributed Assets'!$B$1:$AZ$102,SMALL(IF('Distributed Assets'!$AF$28:$AF$102&lt;&gt;"",ROW('Distributed Assets'!$AC$28:$AC$102)),ROW(39:39)),28))</f>
        <v/>
      </c>
      <c r="D48" s="2008" t="str">
        <f t="shared" si="4"/>
        <v/>
      </c>
      <c r="E48" s="69" t="s">
        <v>5626</v>
      </c>
      <c r="F48" s="69" t="s">
        <v>5626</v>
      </c>
      <c r="G48" s="69" t="s">
        <v>5626</v>
      </c>
      <c r="H48" s="1553"/>
      <c r="I48" s="1531"/>
      <c r="J48" s="1516"/>
      <c r="K48" s="1544"/>
    </row>
    <row r="49" spans="1:11" s="931" customFormat="1" hidden="1">
      <c r="A49" s="600" t="str">
        <f t="shared" si="3"/>
        <v/>
      </c>
      <c r="B49" s="1511"/>
      <c r="C49" s="71" t="str">
        <f t="array" ref="C49">IF(ISERROR(INDEX('Distributed Assets'!$B$1:$AZ$102,SMALL(IF('Distributed Assets'!$AF$28:$AF$102&lt;&gt;"",ROW('Distributed Assets'!$AC$28:$AC$102)),ROW(40:40)),28)),"",INDEX('Distributed Assets'!$B$1:$AZ$102,SMALL(IF('Distributed Assets'!$AF$28:$AF$102&lt;&gt;"",ROW('Distributed Assets'!$AC$28:$AC$102)),ROW(40:40)),28))</f>
        <v/>
      </c>
      <c r="D49" s="2008" t="str">
        <f t="shared" si="4"/>
        <v/>
      </c>
      <c r="E49" s="69" t="s">
        <v>5626</v>
      </c>
      <c r="F49" s="69" t="s">
        <v>5626</v>
      </c>
      <c r="G49" s="69" t="s">
        <v>5626</v>
      </c>
      <c r="H49" s="1553"/>
      <c r="I49" s="1531"/>
      <c r="J49" s="1516"/>
      <c r="K49" s="1544"/>
    </row>
    <row r="50" spans="1:11" s="931" customFormat="1" hidden="1">
      <c r="A50" s="600" t="str">
        <f t="shared" si="3"/>
        <v/>
      </c>
      <c r="B50" s="1511"/>
      <c r="C50" s="71" t="str">
        <f t="array" ref="C50">IF(ISERROR(INDEX('Distributed Assets'!$B$1:$AZ$102,SMALL(IF('Distributed Assets'!$AF$28:$AF$102&lt;&gt;"",ROW('Distributed Assets'!$AC$28:$AC$102)),ROW(41:41)),28)),"",INDEX('Distributed Assets'!$B$1:$AZ$102,SMALL(IF('Distributed Assets'!$AF$28:$AF$102&lt;&gt;"",ROW('Distributed Assets'!$AC$28:$AC$102)),ROW(41:41)),28))</f>
        <v/>
      </c>
      <c r="D50" s="2008" t="str">
        <f t="shared" si="4"/>
        <v/>
      </c>
      <c r="E50" s="69" t="s">
        <v>5626</v>
      </c>
      <c r="F50" s="69" t="s">
        <v>5626</v>
      </c>
      <c r="G50" s="69" t="s">
        <v>5626</v>
      </c>
      <c r="H50" s="1553"/>
      <c r="I50" s="1531"/>
      <c r="J50" s="1516"/>
      <c r="K50" s="1544"/>
    </row>
    <row r="51" spans="1:11" s="931" customFormat="1" hidden="1">
      <c r="A51" s="600" t="str">
        <f t="shared" si="3"/>
        <v/>
      </c>
      <c r="B51" s="1511"/>
      <c r="C51" s="71" t="str">
        <f t="array" ref="C51">IF(ISERROR(INDEX('Distributed Assets'!$B$1:$AZ$102,SMALL(IF('Distributed Assets'!$AF$28:$AF$102&lt;&gt;"",ROW('Distributed Assets'!$AC$28:$AC$102)),ROW(42:42)),28)),"",INDEX('Distributed Assets'!$B$1:$AZ$102,SMALL(IF('Distributed Assets'!$AF$28:$AF$102&lt;&gt;"",ROW('Distributed Assets'!$AC$28:$AC$102)),ROW(42:42)),28))</f>
        <v/>
      </c>
      <c r="D51" s="2008" t="str">
        <f t="shared" si="4"/>
        <v/>
      </c>
      <c r="E51" s="69" t="s">
        <v>5626</v>
      </c>
      <c r="F51" s="69" t="s">
        <v>5626</v>
      </c>
      <c r="G51" s="69" t="s">
        <v>5626</v>
      </c>
      <c r="H51" s="1553"/>
      <c r="I51" s="1531"/>
      <c r="J51" s="1516"/>
      <c r="K51" s="1544"/>
    </row>
    <row r="52" spans="1:11" s="931" customFormat="1" hidden="1">
      <c r="A52" s="600" t="str">
        <f t="shared" si="3"/>
        <v/>
      </c>
      <c r="B52" s="1511"/>
      <c r="C52" s="71" t="str">
        <f t="array" ref="C52">IF(ISERROR(INDEX('Distributed Assets'!$B$1:$AZ$102,SMALL(IF('Distributed Assets'!$AF$28:$AF$102&lt;&gt;"",ROW('Distributed Assets'!$AC$28:$AC$102)),ROW(43:43)),28)),"",INDEX('Distributed Assets'!$B$1:$AZ$102,SMALL(IF('Distributed Assets'!$AF$28:$AF$102&lt;&gt;"",ROW('Distributed Assets'!$AC$28:$AC$102)),ROW(43:43)),28))</f>
        <v/>
      </c>
      <c r="D52" s="2008" t="str">
        <f t="shared" si="4"/>
        <v/>
      </c>
      <c r="E52" s="69" t="s">
        <v>5626</v>
      </c>
      <c r="F52" s="69" t="s">
        <v>5626</v>
      </c>
      <c r="G52" s="69" t="s">
        <v>5626</v>
      </c>
      <c r="H52" s="1553"/>
      <c r="I52" s="1531"/>
      <c r="J52" s="1516"/>
      <c r="K52" s="1544"/>
    </row>
    <row r="53" spans="1:11" s="931" customFormat="1" hidden="1">
      <c r="A53" s="600" t="str">
        <f t="shared" si="3"/>
        <v/>
      </c>
      <c r="B53" s="1511"/>
      <c r="C53" s="71" t="str">
        <f t="array" ref="C53">IF(ISERROR(INDEX('Distributed Assets'!$B$1:$AZ$102,SMALL(IF('Distributed Assets'!$AF$28:$AF$102&lt;&gt;"",ROW('Distributed Assets'!$AC$28:$AC$102)),ROW(44:44)),28)),"",INDEX('Distributed Assets'!$B$1:$AZ$102,SMALL(IF('Distributed Assets'!$AF$28:$AF$102&lt;&gt;"",ROW('Distributed Assets'!$AC$28:$AC$102)),ROW(44:44)),28))</f>
        <v/>
      </c>
      <c r="D53" s="2008" t="str">
        <f t="shared" si="4"/>
        <v/>
      </c>
      <c r="E53" s="69" t="s">
        <v>5626</v>
      </c>
      <c r="F53" s="69" t="s">
        <v>5626</v>
      </c>
      <c r="G53" s="69" t="s">
        <v>5626</v>
      </c>
      <c r="H53" s="1553"/>
      <c r="I53" s="1531"/>
      <c r="J53" s="1516"/>
      <c r="K53" s="1544"/>
    </row>
    <row r="54" spans="1:11" s="931" customFormat="1" hidden="1">
      <c r="A54" s="600" t="str">
        <f t="shared" si="3"/>
        <v/>
      </c>
      <c r="B54" s="1511"/>
      <c r="C54" s="71" t="str">
        <f t="array" ref="C54">IF(ISERROR(INDEX('Distributed Assets'!$B$1:$AZ$102,SMALL(IF('Distributed Assets'!$AF$28:$AF$102&lt;&gt;"",ROW('Distributed Assets'!$AC$28:$AC$102)),ROW(45:45)),28)),"",INDEX('Distributed Assets'!$B$1:$AZ$102,SMALL(IF('Distributed Assets'!$AF$28:$AF$102&lt;&gt;"",ROW('Distributed Assets'!$AC$28:$AC$102)),ROW(45:45)),28))</f>
        <v/>
      </c>
      <c r="D54" s="2008" t="str">
        <f t="shared" si="4"/>
        <v/>
      </c>
      <c r="E54" s="69" t="s">
        <v>5626</v>
      </c>
      <c r="F54" s="69" t="s">
        <v>5626</v>
      </c>
      <c r="G54" s="69" t="s">
        <v>5626</v>
      </c>
      <c r="H54" s="1553"/>
      <c r="I54" s="1531"/>
      <c r="J54" s="1516"/>
      <c r="K54" s="1544"/>
    </row>
    <row r="55" spans="1:11" s="931" customFormat="1" hidden="1">
      <c r="A55" s="600" t="str">
        <f t="shared" si="3"/>
        <v/>
      </c>
      <c r="B55" s="1511"/>
      <c r="C55" s="71" t="str">
        <f t="array" ref="C55">IF(ISERROR(INDEX('Distributed Assets'!$B$1:$AZ$102,SMALL(IF('Distributed Assets'!$AF$28:$AF$102&lt;&gt;"",ROW('Distributed Assets'!$AC$28:$AC$102)),ROW(46:46)),28)),"",INDEX('Distributed Assets'!$B$1:$AZ$102,SMALL(IF('Distributed Assets'!$AF$28:$AF$102&lt;&gt;"",ROW('Distributed Assets'!$AC$28:$AC$102)),ROW(46:46)),28))</f>
        <v/>
      </c>
      <c r="D55" s="2008" t="str">
        <f t="shared" si="4"/>
        <v/>
      </c>
      <c r="E55" s="69" t="s">
        <v>5626</v>
      </c>
      <c r="F55" s="69" t="s">
        <v>5626</v>
      </c>
      <c r="G55" s="69" t="s">
        <v>5626</v>
      </c>
      <c r="H55" s="1553"/>
      <c r="I55" s="1531"/>
      <c r="J55" s="1516"/>
      <c r="K55" s="1544"/>
    </row>
    <row r="56" spans="1:11" s="931" customFormat="1" hidden="1">
      <c r="A56" s="600" t="str">
        <f t="shared" si="3"/>
        <v/>
      </c>
      <c r="B56" s="1511"/>
      <c r="C56" s="71" t="str">
        <f t="array" ref="C56">IF(ISERROR(INDEX('Distributed Assets'!$B$1:$AZ$102,SMALL(IF('Distributed Assets'!$AF$28:$AF$102&lt;&gt;"",ROW('Distributed Assets'!$AC$28:$AC$102)),ROW(47:47)),28)),"",INDEX('Distributed Assets'!$B$1:$AZ$102,SMALL(IF('Distributed Assets'!$AF$28:$AF$102&lt;&gt;"",ROW('Distributed Assets'!$AC$28:$AC$102)),ROW(47:47)),28))</f>
        <v/>
      </c>
      <c r="D56" s="2008" t="str">
        <f t="shared" si="4"/>
        <v/>
      </c>
      <c r="E56" s="69" t="s">
        <v>5626</v>
      </c>
      <c r="F56" s="69" t="s">
        <v>5626</v>
      </c>
      <c r="G56" s="69" t="s">
        <v>5626</v>
      </c>
      <c r="H56" s="1553"/>
      <c r="I56" s="1531"/>
      <c r="J56" s="1516"/>
      <c r="K56" s="1544"/>
    </row>
    <row r="57" spans="1:11" s="931" customFormat="1" hidden="1">
      <c r="A57" s="600" t="str">
        <f t="shared" si="3"/>
        <v/>
      </c>
      <c r="B57" s="1511"/>
      <c r="C57" s="71" t="str">
        <f t="array" ref="C57">IF(ISERROR(INDEX('Distributed Assets'!$B$1:$AZ$102,SMALL(IF('Distributed Assets'!$AF$28:$AF$102&lt;&gt;"",ROW('Distributed Assets'!$AC$28:$AC$102)),ROW(48:48)),28)),"",INDEX('Distributed Assets'!$B$1:$AZ$102,SMALL(IF('Distributed Assets'!$AF$28:$AF$102&lt;&gt;"",ROW('Distributed Assets'!$AC$28:$AC$102)),ROW(48:48)),28))</f>
        <v/>
      </c>
      <c r="D57" s="2008" t="str">
        <f t="shared" si="4"/>
        <v/>
      </c>
      <c r="E57" s="69" t="s">
        <v>5626</v>
      </c>
      <c r="F57" s="69" t="s">
        <v>5626</v>
      </c>
      <c r="G57" s="69" t="s">
        <v>5626</v>
      </c>
      <c r="H57" s="1553"/>
      <c r="I57" s="1531"/>
      <c r="J57" s="1516"/>
      <c r="K57" s="1544"/>
    </row>
    <row r="58" spans="1:11" s="931" customFormat="1" hidden="1">
      <c r="A58" s="600" t="str">
        <f t="shared" si="3"/>
        <v/>
      </c>
      <c r="B58" s="1511"/>
      <c r="C58" s="71" t="str">
        <f t="array" ref="C58">IF(ISERROR(INDEX('Distributed Assets'!$B$1:$AZ$102,SMALL(IF('Distributed Assets'!$AF$28:$AF$102&lt;&gt;"",ROW('Distributed Assets'!$AC$28:$AC$102)),ROW(49:49)),28)),"",INDEX('Distributed Assets'!$B$1:$AZ$102,SMALL(IF('Distributed Assets'!$AF$28:$AF$102&lt;&gt;"",ROW('Distributed Assets'!$AC$28:$AC$102)),ROW(49:49)),28))</f>
        <v/>
      </c>
      <c r="D58" s="2008" t="str">
        <f t="shared" si="4"/>
        <v/>
      </c>
      <c r="E58" s="69" t="s">
        <v>5626</v>
      </c>
      <c r="F58" s="69" t="s">
        <v>5626</v>
      </c>
      <c r="G58" s="69" t="s">
        <v>5626</v>
      </c>
      <c r="H58" s="1553"/>
      <c r="I58" s="1531"/>
      <c r="J58" s="1516"/>
      <c r="K58" s="1544"/>
    </row>
    <row r="59" spans="1:11" s="931" customFormat="1" hidden="1">
      <c r="A59" s="600" t="str">
        <f t="shared" si="3"/>
        <v/>
      </c>
      <c r="B59" s="1511"/>
      <c r="C59" s="71" t="str">
        <f t="array" ref="C59">IF(ISERROR(INDEX('Distributed Assets'!$B$1:$AZ$102,SMALL(IF('Distributed Assets'!$AF$28:$AF$102&lt;&gt;"",ROW('Distributed Assets'!$AC$28:$AC$102)),ROW(50:50)),28)),"",INDEX('Distributed Assets'!$B$1:$AZ$102,SMALL(IF('Distributed Assets'!$AF$28:$AF$102&lt;&gt;"",ROW('Distributed Assets'!$AC$28:$AC$102)),ROW(50:50)),28))</f>
        <v/>
      </c>
      <c r="D59" s="2008" t="str">
        <f t="shared" si="4"/>
        <v/>
      </c>
      <c r="E59" s="69" t="s">
        <v>5626</v>
      </c>
      <c r="F59" s="69" t="s">
        <v>5626</v>
      </c>
      <c r="G59" s="69" t="s">
        <v>5626</v>
      </c>
      <c r="H59" s="1553"/>
      <c r="I59" s="1531"/>
      <c r="J59" s="1516"/>
      <c r="K59" s="1544"/>
    </row>
    <row r="60" spans="1:11" s="931" customFormat="1" hidden="1">
      <c r="A60" s="600" t="str">
        <f t="shared" si="3"/>
        <v/>
      </c>
      <c r="B60" s="1511"/>
      <c r="C60" s="71" t="str">
        <f t="array" ref="C60">IF(ISERROR(INDEX('Distributed Assets'!$B$1:$AZ$102,SMALL(IF('Distributed Assets'!$AF$28:$AF$102&lt;&gt;"",ROW('Distributed Assets'!$AC$28:$AC$102)),ROW(51:51)),28)),"",INDEX('Distributed Assets'!$B$1:$AZ$102,SMALL(IF('Distributed Assets'!$AF$28:$AF$102&lt;&gt;"",ROW('Distributed Assets'!$AC$28:$AC$102)),ROW(51:51)),28))</f>
        <v/>
      </c>
      <c r="D60" s="2008" t="str">
        <f t="shared" si="4"/>
        <v/>
      </c>
      <c r="E60" s="69" t="s">
        <v>5626</v>
      </c>
      <c r="F60" s="69" t="s">
        <v>5626</v>
      </c>
      <c r="G60" s="69" t="s">
        <v>5626</v>
      </c>
      <c r="H60" s="1553"/>
      <c r="I60" s="1531"/>
      <c r="J60" s="1516"/>
      <c r="K60" s="1544"/>
    </row>
    <row r="61" spans="1:11" s="931" customFormat="1" hidden="1">
      <c r="A61" s="600" t="str">
        <f t="shared" si="3"/>
        <v/>
      </c>
      <c r="B61" s="1511"/>
      <c r="C61" s="71" t="str">
        <f t="array" ref="C61">IF(ISERROR(INDEX('Distributed Assets'!$B$1:$AZ$102,SMALL(IF('Distributed Assets'!$AF$28:$AF$102&lt;&gt;"",ROW('Distributed Assets'!$AC$28:$AC$102)),ROW(52:52)),28)),"",INDEX('Distributed Assets'!$B$1:$AZ$102,SMALL(IF('Distributed Assets'!$AF$28:$AF$102&lt;&gt;"",ROW('Distributed Assets'!$AC$28:$AC$102)),ROW(52:52)),28))</f>
        <v/>
      </c>
      <c r="D61" s="2008" t="str">
        <f t="shared" si="4"/>
        <v/>
      </c>
      <c r="E61" s="69" t="s">
        <v>5626</v>
      </c>
      <c r="F61" s="69" t="s">
        <v>5626</v>
      </c>
      <c r="G61" s="69" t="s">
        <v>5626</v>
      </c>
      <c r="H61" s="1553"/>
      <c r="I61" s="1531"/>
      <c r="J61" s="1516"/>
      <c r="K61" s="1544"/>
    </row>
    <row r="62" spans="1:11" s="931" customFormat="1" hidden="1">
      <c r="A62" s="600" t="str">
        <f t="shared" si="3"/>
        <v/>
      </c>
      <c r="B62" s="1511"/>
      <c r="C62" s="71" t="str">
        <f t="array" ref="C62">IF(ISERROR(INDEX('Distributed Assets'!$B$1:$AZ$102,SMALL(IF('Distributed Assets'!$AF$28:$AF$102&lt;&gt;"",ROW('Distributed Assets'!$AC$28:$AC$102)),ROW(53:53)),28)),"",INDEX('Distributed Assets'!$B$1:$AZ$102,SMALL(IF('Distributed Assets'!$AF$28:$AF$102&lt;&gt;"",ROW('Distributed Assets'!$AC$28:$AC$102)),ROW(53:53)),28))</f>
        <v/>
      </c>
      <c r="D62" s="2008" t="str">
        <f t="shared" si="4"/>
        <v/>
      </c>
      <c r="E62" s="69" t="s">
        <v>5626</v>
      </c>
      <c r="F62" s="69" t="s">
        <v>5626</v>
      </c>
      <c r="G62" s="69" t="s">
        <v>5626</v>
      </c>
      <c r="H62" s="1553"/>
      <c r="I62" s="1531"/>
      <c r="J62" s="1516"/>
      <c r="K62" s="1544"/>
    </row>
    <row r="63" spans="1:11" s="931" customFormat="1" hidden="1">
      <c r="A63" s="600" t="str">
        <f t="shared" si="3"/>
        <v/>
      </c>
      <c r="B63" s="1511"/>
      <c r="C63" s="71" t="str">
        <f t="array" ref="C63">IF(ISERROR(INDEX('Distributed Assets'!$B$1:$AZ$102,SMALL(IF('Distributed Assets'!$AF$28:$AF$102&lt;&gt;"",ROW('Distributed Assets'!$AC$28:$AC$102)),ROW(54:54)),28)),"",INDEX('Distributed Assets'!$B$1:$AZ$102,SMALL(IF('Distributed Assets'!$AF$28:$AF$102&lt;&gt;"",ROW('Distributed Assets'!$AC$28:$AC$102)),ROW(54:54)),28))</f>
        <v/>
      </c>
      <c r="D63" s="2008" t="str">
        <f t="shared" si="4"/>
        <v/>
      </c>
      <c r="E63" s="69" t="s">
        <v>5626</v>
      </c>
      <c r="F63" s="69" t="s">
        <v>5626</v>
      </c>
      <c r="G63" s="69" t="s">
        <v>5626</v>
      </c>
      <c r="H63" s="1553"/>
      <c r="I63" s="1531"/>
      <c r="J63" s="1516"/>
      <c r="K63" s="1544"/>
    </row>
    <row r="64" spans="1:11" s="931" customFormat="1" hidden="1">
      <c r="A64" s="600" t="str">
        <f t="shared" si="3"/>
        <v/>
      </c>
      <c r="B64" s="1511"/>
      <c r="C64" s="71" t="str">
        <f t="array" ref="C64">IF(ISERROR(INDEX('Distributed Assets'!$B$1:$AZ$102,SMALL(IF('Distributed Assets'!$AF$28:$AF$102&lt;&gt;"",ROW('Distributed Assets'!$AC$28:$AC$102)),ROW(55:55)),28)),"",INDEX('Distributed Assets'!$B$1:$AZ$102,SMALL(IF('Distributed Assets'!$AF$28:$AF$102&lt;&gt;"",ROW('Distributed Assets'!$AC$28:$AC$102)),ROW(55:55)),28))</f>
        <v/>
      </c>
      <c r="D64" s="2008" t="str">
        <f t="shared" si="4"/>
        <v/>
      </c>
      <c r="E64" s="69" t="s">
        <v>5626</v>
      </c>
      <c r="F64" s="69" t="s">
        <v>5626</v>
      </c>
      <c r="G64" s="69" t="s">
        <v>5626</v>
      </c>
      <c r="H64" s="1553"/>
      <c r="I64" s="1531"/>
      <c r="J64" s="1516"/>
      <c r="K64" s="1544"/>
    </row>
    <row r="65" spans="1:11" s="931" customFormat="1" hidden="1">
      <c r="A65" s="600" t="str">
        <f t="shared" si="3"/>
        <v/>
      </c>
      <c r="B65" s="1511"/>
      <c r="C65" s="71" t="str">
        <f t="array" ref="C65">IF(ISERROR(INDEX('Distributed Assets'!$B$1:$AZ$102,SMALL(IF('Distributed Assets'!$AF$28:$AF$102&lt;&gt;"",ROW('Distributed Assets'!$AC$28:$AC$102)),ROW(56:56)),28)),"",INDEX('Distributed Assets'!$B$1:$AZ$102,SMALL(IF('Distributed Assets'!$AF$28:$AF$102&lt;&gt;"",ROW('Distributed Assets'!$AC$28:$AC$102)),ROW(56:56)),28))</f>
        <v/>
      </c>
      <c r="D65" s="2008" t="str">
        <f t="shared" si="4"/>
        <v/>
      </c>
      <c r="E65" s="69" t="s">
        <v>5626</v>
      </c>
      <c r="F65" s="69" t="s">
        <v>5626</v>
      </c>
      <c r="G65" s="69" t="s">
        <v>5626</v>
      </c>
      <c r="H65" s="1553"/>
      <c r="I65" s="1531"/>
      <c r="J65" s="1516"/>
      <c r="K65" s="1544"/>
    </row>
    <row r="66" spans="1:11" s="931" customFormat="1" hidden="1">
      <c r="A66" s="600" t="str">
        <f t="shared" si="3"/>
        <v/>
      </c>
      <c r="B66" s="1511"/>
      <c r="C66" s="71" t="str">
        <f t="array" ref="C66">IF(ISERROR(INDEX('Distributed Assets'!$B$1:$AZ$102,SMALL(IF('Distributed Assets'!$AF$28:$AF$102&lt;&gt;"",ROW('Distributed Assets'!$AC$28:$AC$102)),ROW(57:57)),28)),"",INDEX('Distributed Assets'!$B$1:$AZ$102,SMALL(IF('Distributed Assets'!$AF$28:$AF$102&lt;&gt;"",ROW('Distributed Assets'!$AC$28:$AC$102)),ROW(57:57)),28))</f>
        <v/>
      </c>
      <c r="D66" s="2008" t="str">
        <f t="shared" si="4"/>
        <v/>
      </c>
      <c r="E66" s="69" t="s">
        <v>5626</v>
      </c>
      <c r="F66" s="69" t="s">
        <v>5626</v>
      </c>
      <c r="G66" s="69" t="s">
        <v>5626</v>
      </c>
      <c r="H66" s="1553"/>
      <c r="I66" s="1531"/>
      <c r="J66" s="1516"/>
      <c r="K66" s="1544"/>
    </row>
    <row r="67" spans="1:11" s="931" customFormat="1" hidden="1">
      <c r="A67" s="600" t="str">
        <f t="shared" si="3"/>
        <v/>
      </c>
      <c r="B67" s="1511"/>
      <c r="C67" s="71" t="str">
        <f t="array" ref="C67">IF(ISERROR(INDEX('Distributed Assets'!$B$1:$AZ$102,SMALL(IF('Distributed Assets'!$AF$28:$AF$102&lt;&gt;"",ROW('Distributed Assets'!$AC$28:$AC$102)),ROW(58:58)),28)),"",INDEX('Distributed Assets'!$B$1:$AZ$102,SMALL(IF('Distributed Assets'!$AF$28:$AF$102&lt;&gt;"",ROW('Distributed Assets'!$AC$28:$AC$102)),ROW(58:58)),28))</f>
        <v/>
      </c>
      <c r="D67" s="2008" t="str">
        <f t="shared" si="4"/>
        <v/>
      </c>
      <c r="E67" s="69" t="s">
        <v>5626</v>
      </c>
      <c r="F67" s="69" t="s">
        <v>5626</v>
      </c>
      <c r="G67" s="69" t="s">
        <v>5626</v>
      </c>
      <c r="H67" s="1553"/>
      <c r="I67" s="1531"/>
      <c r="J67" s="1516"/>
      <c r="K67" s="1544"/>
    </row>
    <row r="68" spans="1:11" s="931" customFormat="1" hidden="1">
      <c r="A68" s="600" t="str">
        <f t="shared" si="3"/>
        <v/>
      </c>
      <c r="B68" s="1511"/>
      <c r="C68" s="71" t="str">
        <f t="array" ref="C68">IF(ISERROR(INDEX('Distributed Assets'!$B$1:$AZ$102,SMALL(IF('Distributed Assets'!$AF$28:$AF$102&lt;&gt;"",ROW('Distributed Assets'!$AC$28:$AC$102)),ROW(59:59)),28)),"",INDEX('Distributed Assets'!$B$1:$AZ$102,SMALL(IF('Distributed Assets'!$AF$28:$AF$102&lt;&gt;"",ROW('Distributed Assets'!$AC$28:$AC$102)),ROW(59:59)),28))</f>
        <v/>
      </c>
      <c r="D68" s="2008" t="str">
        <f t="shared" si="4"/>
        <v/>
      </c>
      <c r="E68" s="69" t="s">
        <v>5626</v>
      </c>
      <c r="F68" s="69" t="s">
        <v>5626</v>
      </c>
      <c r="G68" s="69" t="s">
        <v>5626</v>
      </c>
      <c r="H68" s="1553"/>
      <c r="I68" s="1531"/>
      <c r="J68" s="1516"/>
      <c r="K68" s="1544"/>
    </row>
    <row r="69" spans="1:11" s="931" customFormat="1" hidden="1">
      <c r="A69" s="600" t="str">
        <f t="shared" si="3"/>
        <v/>
      </c>
      <c r="B69" s="1511"/>
      <c r="C69" s="71" t="str">
        <f t="array" ref="C69">IF(ISERROR(INDEX('Distributed Assets'!$B$1:$AZ$102,SMALL(IF('Distributed Assets'!$AF$28:$AF$102&lt;&gt;"",ROW('Distributed Assets'!$AC$28:$AC$102)),ROW(60:60)),28)),"",INDEX('Distributed Assets'!$B$1:$AZ$102,SMALL(IF('Distributed Assets'!$AF$28:$AF$102&lt;&gt;"",ROW('Distributed Assets'!$AC$28:$AC$102)),ROW(60:60)),28))</f>
        <v/>
      </c>
      <c r="D69" s="2008" t="str">
        <f t="shared" si="4"/>
        <v/>
      </c>
      <c r="E69" s="69" t="s">
        <v>5626</v>
      </c>
      <c r="F69" s="69" t="s">
        <v>5626</v>
      </c>
      <c r="G69" s="69" t="s">
        <v>5626</v>
      </c>
      <c r="H69" s="1553"/>
      <c r="I69" s="1531"/>
      <c r="J69" s="1516"/>
      <c r="K69" s="1544"/>
    </row>
    <row r="70" spans="1:11" s="931" customFormat="1" hidden="1">
      <c r="A70" s="600" t="str">
        <f t="shared" si="3"/>
        <v/>
      </c>
      <c r="B70" s="1511"/>
      <c r="C70" s="71" t="str">
        <f t="array" ref="C70">IF(ISERROR(INDEX('Distributed Assets'!$B$1:$AZ$102,SMALL(IF('Distributed Assets'!$AF$28:$AF$102&lt;&gt;"",ROW('Distributed Assets'!$AC$28:$AC$102)),ROW(61:61)),28)),"",INDEX('Distributed Assets'!$B$1:$AZ$102,SMALL(IF('Distributed Assets'!$AF$28:$AF$102&lt;&gt;"",ROW('Distributed Assets'!$AC$28:$AC$102)),ROW(61:61)),28))</f>
        <v/>
      </c>
      <c r="D70" s="2008" t="str">
        <f t="shared" si="4"/>
        <v/>
      </c>
      <c r="E70" s="69" t="s">
        <v>5626</v>
      </c>
      <c r="F70" s="69" t="s">
        <v>5626</v>
      </c>
      <c r="G70" s="69" t="s">
        <v>5626</v>
      </c>
      <c r="H70" s="1553"/>
      <c r="I70" s="1531"/>
      <c r="J70" s="1516"/>
      <c r="K70" s="1544"/>
    </row>
    <row r="71" spans="1:11" s="931" customFormat="1" hidden="1">
      <c r="A71" s="600" t="str">
        <f t="shared" si="3"/>
        <v/>
      </c>
      <c r="B71" s="1511"/>
      <c r="C71" s="71" t="str">
        <f t="array" ref="C71">IF(ISERROR(INDEX('Distributed Assets'!$B$1:$AZ$102,SMALL(IF('Distributed Assets'!$AF$28:$AF$102&lt;&gt;"",ROW('Distributed Assets'!$AC$28:$AC$102)),ROW(62:62)),28)),"",INDEX('Distributed Assets'!$B$1:$AZ$102,SMALL(IF('Distributed Assets'!$AF$28:$AF$102&lt;&gt;"",ROW('Distributed Assets'!$AC$28:$AC$102)),ROW(62:62)),28))</f>
        <v/>
      </c>
      <c r="D71" s="2008" t="str">
        <f t="shared" si="4"/>
        <v/>
      </c>
      <c r="E71" s="69" t="s">
        <v>5626</v>
      </c>
      <c r="F71" s="69" t="s">
        <v>5626</v>
      </c>
      <c r="G71" s="69" t="s">
        <v>5626</v>
      </c>
      <c r="H71" s="1553"/>
      <c r="I71" s="1531"/>
      <c r="J71" s="1516"/>
      <c r="K71" s="1544"/>
    </row>
    <row r="72" spans="1:11" s="931" customFormat="1" hidden="1">
      <c r="A72" s="600" t="str">
        <f t="shared" si="3"/>
        <v/>
      </c>
      <c r="B72" s="1511"/>
      <c r="C72" s="71" t="str">
        <f t="array" ref="C72">IF(ISERROR(INDEX('Distributed Assets'!$B$1:$AZ$102,SMALL(IF('Distributed Assets'!$AF$28:$AF$102&lt;&gt;"",ROW('Distributed Assets'!$AC$28:$AC$102)),ROW(63:63)),28)),"",INDEX('Distributed Assets'!$B$1:$AZ$102,SMALL(IF('Distributed Assets'!$AF$28:$AF$102&lt;&gt;"",ROW('Distributed Assets'!$AC$28:$AC$102)),ROW(63:63)),28))</f>
        <v/>
      </c>
      <c r="D72" s="2008" t="str">
        <f t="shared" si="4"/>
        <v/>
      </c>
      <c r="E72" s="69" t="s">
        <v>5626</v>
      </c>
      <c r="F72" s="69" t="s">
        <v>5626</v>
      </c>
      <c r="G72" s="69" t="s">
        <v>5626</v>
      </c>
      <c r="H72" s="1553"/>
      <c r="I72" s="1531"/>
      <c r="J72" s="1516"/>
      <c r="K72" s="1544"/>
    </row>
    <row r="73" spans="1:11" s="931" customFormat="1" hidden="1">
      <c r="A73" s="600" t="str">
        <f t="shared" si="3"/>
        <v/>
      </c>
      <c r="B73" s="1511"/>
      <c r="C73" s="71" t="str">
        <f t="array" ref="C73">IF(ISERROR(INDEX('Distributed Assets'!$B$1:$AZ$102,SMALL(IF('Distributed Assets'!$AF$28:$AF$102&lt;&gt;"",ROW('Distributed Assets'!$AC$28:$AC$102)),ROW(64:64)),28)),"",INDEX('Distributed Assets'!$B$1:$AZ$102,SMALL(IF('Distributed Assets'!$AF$28:$AF$102&lt;&gt;"",ROW('Distributed Assets'!$AC$28:$AC$102)),ROW(64:64)),28))</f>
        <v/>
      </c>
      <c r="D73" s="2008" t="str">
        <f t="shared" si="4"/>
        <v/>
      </c>
      <c r="E73" s="69" t="s">
        <v>5626</v>
      </c>
      <c r="F73" s="69" t="s">
        <v>5626</v>
      </c>
      <c r="G73" s="69" t="s">
        <v>5626</v>
      </c>
      <c r="H73" s="1553"/>
      <c r="I73" s="1531"/>
      <c r="J73" s="1516"/>
      <c r="K73" s="1544"/>
    </row>
    <row r="74" spans="1:11" s="931" customFormat="1" hidden="1">
      <c r="A74" s="600" t="str">
        <f t="shared" si="3"/>
        <v/>
      </c>
      <c r="B74" s="1511"/>
      <c r="C74" s="71" t="str">
        <f t="array" ref="C74">IF(ISERROR(INDEX('Distributed Assets'!$B$1:$AZ$102,SMALL(IF('Distributed Assets'!$AF$28:$AF$102&lt;&gt;"",ROW('Distributed Assets'!$AC$28:$AC$102)),ROW(65:65)),28)),"",INDEX('Distributed Assets'!$B$1:$AZ$102,SMALL(IF('Distributed Assets'!$AF$28:$AF$102&lt;&gt;"",ROW('Distributed Assets'!$AC$28:$AC$102)),ROW(65:65)),28))</f>
        <v/>
      </c>
      <c r="D74" s="2008" t="str">
        <f t="shared" si="4"/>
        <v/>
      </c>
      <c r="E74" s="69" t="s">
        <v>5626</v>
      </c>
      <c r="F74" s="69" t="s">
        <v>5626</v>
      </c>
      <c r="G74" s="69" t="s">
        <v>5626</v>
      </c>
      <c r="H74" s="1553"/>
      <c r="I74" s="1531"/>
      <c r="J74" s="1516"/>
      <c r="K74" s="1544"/>
    </row>
    <row r="75" spans="1:11" s="931" customFormat="1" hidden="1">
      <c r="A75" s="600" t="str">
        <f t="shared" ref="A75:A101" si="5">IF(C75&lt;&gt;"",CONCATENATE("D" &amp; lbom_number &amp; "-"&amp; TEXT(ROW(C75)-9,"000")),"")</f>
        <v/>
      </c>
      <c r="B75" s="1511"/>
      <c r="C75" s="71" t="str">
        <f t="array" ref="C75">IF(ISERROR(INDEX('Distributed Assets'!$B$1:$AZ$102,SMALL(IF('Distributed Assets'!$AF$28:$AF$102&lt;&gt;"",ROW('Distributed Assets'!$AC$28:$AC$102)),ROW(66:66)),28)),"",INDEX('Distributed Assets'!$B$1:$AZ$102,SMALL(IF('Distributed Assets'!$AF$28:$AF$102&lt;&gt;"",ROW('Distributed Assets'!$AC$28:$AC$102)),ROW(66:66)),28))</f>
        <v/>
      </c>
      <c r="D75" s="2008" t="str">
        <f t="shared" ref="D75:D101" si="6" xml:space="preserve"> IF(B75 &lt;&gt; "", VLOOKUP(C75,decom_array, 2, FALSE), "")</f>
        <v/>
      </c>
      <c r="E75" s="69" t="s">
        <v>5626</v>
      </c>
      <c r="F75" s="69" t="s">
        <v>5626</v>
      </c>
      <c r="G75" s="69" t="s">
        <v>5626</v>
      </c>
      <c r="H75" s="1553"/>
      <c r="I75" s="1531"/>
      <c r="J75" s="1516"/>
      <c r="K75" s="1544"/>
    </row>
    <row r="76" spans="1:11" s="931" customFormat="1" hidden="1">
      <c r="A76" s="600" t="str">
        <f t="shared" si="5"/>
        <v/>
      </c>
      <c r="B76" s="1511"/>
      <c r="C76" s="71" t="str">
        <f t="array" ref="C76">IF(ISERROR(INDEX('Distributed Assets'!$B$1:$AZ$102,SMALL(IF('Distributed Assets'!$AF$28:$AF$102&lt;&gt;"",ROW('Distributed Assets'!$AC$28:$AC$102)),ROW(67:67)),28)),"",INDEX('Distributed Assets'!$B$1:$AZ$102,SMALL(IF('Distributed Assets'!$AF$28:$AF$102&lt;&gt;"",ROW('Distributed Assets'!$AC$28:$AC$102)),ROW(67:67)),28))</f>
        <v/>
      </c>
      <c r="D76" s="2008" t="str">
        <f t="shared" si="6"/>
        <v/>
      </c>
      <c r="E76" s="69" t="s">
        <v>5626</v>
      </c>
      <c r="F76" s="69" t="s">
        <v>5626</v>
      </c>
      <c r="G76" s="69" t="s">
        <v>5626</v>
      </c>
      <c r="H76" s="1553"/>
      <c r="I76" s="1531"/>
      <c r="J76" s="1516"/>
      <c r="K76" s="1544"/>
    </row>
    <row r="77" spans="1:11" s="931" customFormat="1" hidden="1">
      <c r="A77" s="600" t="str">
        <f t="shared" si="5"/>
        <v/>
      </c>
      <c r="B77" s="1511"/>
      <c r="C77" s="71" t="str">
        <f t="array" ref="C77">IF(ISERROR(INDEX('Distributed Assets'!$B$1:$AZ$102,SMALL(IF('Distributed Assets'!$AF$28:$AF$102&lt;&gt;"",ROW('Distributed Assets'!$AC$28:$AC$102)),ROW(68:68)),28)),"",INDEX('Distributed Assets'!$B$1:$AZ$102,SMALL(IF('Distributed Assets'!$AF$28:$AF$102&lt;&gt;"",ROW('Distributed Assets'!$AC$28:$AC$102)),ROW(68:68)),28))</f>
        <v/>
      </c>
      <c r="D77" s="2008" t="str">
        <f t="shared" si="6"/>
        <v/>
      </c>
      <c r="E77" s="69" t="s">
        <v>5626</v>
      </c>
      <c r="F77" s="69" t="s">
        <v>5626</v>
      </c>
      <c r="G77" s="69" t="s">
        <v>5626</v>
      </c>
      <c r="H77" s="1553"/>
      <c r="I77" s="1531"/>
      <c r="J77" s="1516"/>
      <c r="K77" s="1544"/>
    </row>
    <row r="78" spans="1:11" s="931" customFormat="1" hidden="1">
      <c r="A78" s="600" t="str">
        <f t="shared" si="5"/>
        <v/>
      </c>
      <c r="B78" s="1511"/>
      <c r="C78" s="71" t="str">
        <f t="array" ref="C78">IF(ISERROR(INDEX('Distributed Assets'!$B$1:$AZ$102,SMALL(IF('Distributed Assets'!$AF$28:$AF$102&lt;&gt;"",ROW('Distributed Assets'!$AC$28:$AC$102)),ROW(69:69)),28)),"",INDEX('Distributed Assets'!$B$1:$AZ$102,SMALL(IF('Distributed Assets'!$AF$28:$AF$102&lt;&gt;"",ROW('Distributed Assets'!$AC$28:$AC$102)),ROW(69:69)),28))</f>
        <v/>
      </c>
      <c r="D78" s="2008" t="str">
        <f t="shared" si="6"/>
        <v/>
      </c>
      <c r="E78" s="69" t="s">
        <v>5626</v>
      </c>
      <c r="F78" s="69" t="s">
        <v>5626</v>
      </c>
      <c r="G78" s="69" t="s">
        <v>5626</v>
      </c>
      <c r="H78" s="1553"/>
      <c r="I78" s="1531"/>
      <c r="J78" s="1516"/>
      <c r="K78" s="1544"/>
    </row>
    <row r="79" spans="1:11" s="931" customFormat="1" hidden="1">
      <c r="A79" s="600" t="str">
        <f t="shared" si="5"/>
        <v/>
      </c>
      <c r="B79" s="1511"/>
      <c r="C79" s="71" t="str">
        <f t="array" ref="C79">IF(ISERROR(INDEX('Distributed Assets'!$B$1:$AZ$102,SMALL(IF('Distributed Assets'!$AF$28:$AF$102&lt;&gt;"",ROW('Distributed Assets'!$AC$28:$AC$102)),ROW(70:70)),28)),"",INDEX('Distributed Assets'!$B$1:$AZ$102,SMALL(IF('Distributed Assets'!$AF$28:$AF$102&lt;&gt;"",ROW('Distributed Assets'!$AC$28:$AC$102)),ROW(70:70)),28))</f>
        <v/>
      </c>
      <c r="D79" s="2008" t="str">
        <f t="shared" si="6"/>
        <v/>
      </c>
      <c r="E79" s="69" t="s">
        <v>5626</v>
      </c>
      <c r="F79" s="69" t="s">
        <v>5626</v>
      </c>
      <c r="G79" s="69" t="s">
        <v>5626</v>
      </c>
      <c r="H79" s="1553"/>
      <c r="I79" s="1531"/>
      <c r="J79" s="1516"/>
      <c r="K79" s="1544"/>
    </row>
    <row r="80" spans="1:11" s="931" customFormat="1" hidden="1">
      <c r="A80" s="600" t="str">
        <f t="shared" si="5"/>
        <v/>
      </c>
      <c r="B80" s="1511"/>
      <c r="C80" s="71" t="str">
        <f t="array" ref="C80">IF(ISERROR(INDEX('Distributed Assets'!$B$1:$AZ$102,SMALL(IF('Distributed Assets'!$AF$28:$AF$102&lt;&gt;"",ROW('Distributed Assets'!$AC$28:$AC$102)),ROW(71:71)),28)),"",INDEX('Distributed Assets'!$B$1:$AZ$102,SMALL(IF('Distributed Assets'!$AF$28:$AF$102&lt;&gt;"",ROW('Distributed Assets'!$AC$28:$AC$102)),ROW(71:71)),28))</f>
        <v/>
      </c>
      <c r="D80" s="2008" t="str">
        <f t="shared" si="6"/>
        <v/>
      </c>
      <c r="E80" s="69" t="s">
        <v>5626</v>
      </c>
      <c r="F80" s="69" t="s">
        <v>5626</v>
      </c>
      <c r="G80" s="69" t="s">
        <v>5626</v>
      </c>
      <c r="H80" s="1553"/>
      <c r="I80" s="1531"/>
      <c r="J80" s="1516"/>
      <c r="K80" s="1544"/>
    </row>
    <row r="81" spans="1:11" s="931" customFormat="1" hidden="1">
      <c r="A81" s="600" t="str">
        <f t="shared" si="5"/>
        <v/>
      </c>
      <c r="B81" s="1511"/>
      <c r="C81" s="71" t="str">
        <f t="array" ref="C81">IF(ISERROR(INDEX('Distributed Assets'!$B$1:$AZ$102,SMALL(IF('Distributed Assets'!$AF$28:$AF$102&lt;&gt;"",ROW('Distributed Assets'!$AC$28:$AC$102)),ROW(72:72)),28)),"",INDEX('Distributed Assets'!$B$1:$AZ$102,SMALL(IF('Distributed Assets'!$AF$28:$AF$102&lt;&gt;"",ROW('Distributed Assets'!$AC$28:$AC$102)),ROW(72:72)),28))</f>
        <v/>
      </c>
      <c r="D81" s="2008" t="str">
        <f t="shared" si="6"/>
        <v/>
      </c>
      <c r="E81" s="69" t="s">
        <v>5626</v>
      </c>
      <c r="F81" s="69" t="s">
        <v>5626</v>
      </c>
      <c r="G81" s="69" t="s">
        <v>5626</v>
      </c>
      <c r="H81" s="1553"/>
      <c r="I81" s="1531"/>
      <c r="J81" s="1516"/>
      <c r="K81" s="1544"/>
    </row>
    <row r="82" spans="1:11" s="931" customFormat="1" hidden="1">
      <c r="A82" s="600" t="str">
        <f t="shared" si="5"/>
        <v/>
      </c>
      <c r="B82" s="1511"/>
      <c r="C82" s="71" t="str">
        <f t="array" ref="C82">IF(ISERROR(INDEX('Distributed Assets'!$B$1:$AZ$102,SMALL(IF('Distributed Assets'!$AF$28:$AF$102&lt;&gt;"",ROW('Distributed Assets'!$AC$28:$AC$102)),ROW(73:73)),28)),"",INDEX('Distributed Assets'!$B$1:$AZ$102,SMALL(IF('Distributed Assets'!$AF$28:$AF$102&lt;&gt;"",ROW('Distributed Assets'!$AC$28:$AC$102)),ROW(73:73)),28))</f>
        <v/>
      </c>
      <c r="D82" s="2008" t="str">
        <f t="shared" si="6"/>
        <v/>
      </c>
      <c r="E82" s="69" t="s">
        <v>5626</v>
      </c>
      <c r="F82" s="69" t="s">
        <v>5626</v>
      </c>
      <c r="G82" s="69" t="s">
        <v>5626</v>
      </c>
      <c r="H82" s="1553"/>
      <c r="I82" s="1531"/>
      <c r="J82" s="1516"/>
      <c r="K82" s="1544"/>
    </row>
    <row r="83" spans="1:11" s="931" customFormat="1" hidden="1">
      <c r="A83" s="600" t="str">
        <f t="shared" si="5"/>
        <v/>
      </c>
      <c r="B83" s="1511"/>
      <c r="C83" s="71" t="str">
        <f t="array" ref="C83">IF(ISERROR(INDEX('Distributed Assets'!$B$1:$AZ$102,SMALL(IF('Distributed Assets'!$AF$28:$AF$102&lt;&gt;"",ROW('Distributed Assets'!$AC$28:$AC$102)),ROW(74:74)),28)),"",INDEX('Distributed Assets'!$B$1:$AZ$102,SMALL(IF('Distributed Assets'!$AF$28:$AF$102&lt;&gt;"",ROW('Distributed Assets'!$AC$28:$AC$102)),ROW(74:74)),28))</f>
        <v/>
      </c>
      <c r="D83" s="2008" t="str">
        <f t="shared" si="6"/>
        <v/>
      </c>
      <c r="E83" s="69" t="s">
        <v>5626</v>
      </c>
      <c r="F83" s="69" t="s">
        <v>5626</v>
      </c>
      <c r="G83" s="69" t="s">
        <v>5626</v>
      </c>
      <c r="H83" s="1553"/>
      <c r="I83" s="1531"/>
      <c r="J83" s="1516"/>
      <c r="K83" s="1544"/>
    </row>
    <row r="84" spans="1:11" s="931" customFormat="1" hidden="1">
      <c r="A84" s="600" t="str">
        <f t="shared" si="5"/>
        <v/>
      </c>
      <c r="B84" s="1511"/>
      <c r="C84" s="71" t="str">
        <f t="array" ref="C84">IF(ISERROR(INDEX('Distributed Assets'!$B$1:$AZ$102,SMALL(IF('Distributed Assets'!$AF$28:$AF$102&lt;&gt;"",ROW('Distributed Assets'!$AC$28:$AC$102)),ROW(75:75)),28)),"",INDEX('Distributed Assets'!$B$1:$AZ$102,SMALL(IF('Distributed Assets'!$AF$28:$AF$102&lt;&gt;"",ROW('Distributed Assets'!$AC$28:$AC$102)),ROW(75:75)),28))</f>
        <v/>
      </c>
      <c r="D84" s="2008" t="str">
        <f t="shared" si="6"/>
        <v/>
      </c>
      <c r="E84" s="69" t="s">
        <v>5626</v>
      </c>
      <c r="F84" s="69" t="s">
        <v>5626</v>
      </c>
      <c r="G84" s="69" t="s">
        <v>5626</v>
      </c>
      <c r="H84" s="1553"/>
      <c r="I84" s="1531"/>
      <c r="J84" s="1516"/>
      <c r="K84" s="1544"/>
    </row>
    <row r="85" spans="1:11" s="931" customFormat="1" hidden="1">
      <c r="A85" s="600" t="str">
        <f t="shared" si="5"/>
        <v/>
      </c>
      <c r="B85" s="1511"/>
      <c r="C85" s="71" t="str">
        <f t="array" ref="C85">IF(ISERROR(INDEX('Distributed Assets'!$B$1:$AZ$102,SMALL(IF('Distributed Assets'!$AF$28:$AF$102&lt;&gt;"",ROW('Distributed Assets'!$AC$28:$AC$102)),ROW(76:76)),28)),"",INDEX('Distributed Assets'!$B$1:$AZ$102,SMALL(IF('Distributed Assets'!$AF$28:$AF$102&lt;&gt;"",ROW('Distributed Assets'!$AC$28:$AC$102)),ROW(76:76)),28))</f>
        <v/>
      </c>
      <c r="D85" s="2008" t="str">
        <f t="shared" si="6"/>
        <v/>
      </c>
      <c r="E85" s="69" t="s">
        <v>5626</v>
      </c>
      <c r="F85" s="69" t="s">
        <v>5626</v>
      </c>
      <c r="G85" s="69" t="s">
        <v>5626</v>
      </c>
      <c r="H85" s="1553"/>
      <c r="I85" s="1531"/>
      <c r="J85" s="1516"/>
      <c r="K85" s="1544"/>
    </row>
    <row r="86" spans="1:11" s="931" customFormat="1" hidden="1">
      <c r="A86" s="600" t="str">
        <f t="shared" si="5"/>
        <v/>
      </c>
      <c r="B86" s="1511"/>
      <c r="C86" s="71" t="str">
        <f t="array" ref="C86">IF(ISERROR(INDEX('Distributed Assets'!$B$1:$AZ$102,SMALL(IF('Distributed Assets'!$AF$28:$AF$102&lt;&gt;"",ROW('Distributed Assets'!$AC$28:$AC$102)),ROW(77:77)),28)),"",INDEX('Distributed Assets'!$B$1:$AZ$102,SMALL(IF('Distributed Assets'!$AF$28:$AF$102&lt;&gt;"",ROW('Distributed Assets'!$AC$28:$AC$102)),ROW(77:77)),28))</f>
        <v/>
      </c>
      <c r="D86" s="2008" t="str">
        <f t="shared" si="6"/>
        <v/>
      </c>
      <c r="E86" s="69" t="s">
        <v>5626</v>
      </c>
      <c r="F86" s="69" t="s">
        <v>5626</v>
      </c>
      <c r="G86" s="69" t="s">
        <v>5626</v>
      </c>
      <c r="H86" s="1553"/>
      <c r="I86" s="1531"/>
      <c r="J86" s="1516"/>
      <c r="K86" s="1544"/>
    </row>
    <row r="87" spans="1:11" hidden="1">
      <c r="A87" s="600" t="str">
        <f t="shared" si="5"/>
        <v/>
      </c>
      <c r="B87" s="1511"/>
      <c r="C87" s="71" t="str">
        <f t="array" ref="C87">IF(ISERROR(INDEX('Distributed Assets'!$B$1:$AZ$102,SMALL(IF('Distributed Assets'!$AF$28:$AF$102&lt;&gt;"",ROW('Distributed Assets'!$AC$28:$AC$102)),ROW(78:78)),28)),"",INDEX('Distributed Assets'!$B$1:$AZ$102,SMALL(IF('Distributed Assets'!$AF$28:$AF$102&lt;&gt;"",ROW('Distributed Assets'!$AC$28:$AC$102)),ROW(78:78)),28))</f>
        <v/>
      </c>
      <c r="D87" s="2008" t="str">
        <f t="shared" si="6"/>
        <v/>
      </c>
      <c r="E87" s="69" t="s">
        <v>5626</v>
      </c>
      <c r="F87" s="69" t="s">
        <v>5626</v>
      </c>
      <c r="G87" s="69" t="s">
        <v>5626</v>
      </c>
      <c r="H87" s="1553"/>
      <c r="I87" s="1531"/>
      <c r="J87" s="1516"/>
      <c r="K87" s="1544"/>
    </row>
    <row r="88" spans="1:11" hidden="1">
      <c r="A88" s="600" t="str">
        <f t="shared" si="5"/>
        <v/>
      </c>
      <c r="B88" s="1511"/>
      <c r="C88" s="71" t="str">
        <f t="array" ref="C88">IF(ISERROR(INDEX('Distributed Assets'!$B$1:$AZ$102,SMALL(IF('Distributed Assets'!$AF$28:$AF$102&lt;&gt;"",ROW('Distributed Assets'!$AC$28:$AC$102)),ROW(79:79)),28)),"",INDEX('Distributed Assets'!$B$1:$AZ$102,SMALL(IF('Distributed Assets'!$AF$28:$AF$102&lt;&gt;"",ROW('Distributed Assets'!$AC$28:$AC$102)),ROW(79:79)),28))</f>
        <v/>
      </c>
      <c r="D88" s="2008" t="str">
        <f t="shared" si="6"/>
        <v/>
      </c>
      <c r="E88" s="69" t="s">
        <v>5626</v>
      </c>
      <c r="F88" s="69" t="s">
        <v>5626</v>
      </c>
      <c r="G88" s="69" t="s">
        <v>5626</v>
      </c>
      <c r="H88" s="1553"/>
      <c r="I88" s="1531"/>
      <c r="J88" s="1516"/>
      <c r="K88" s="1544"/>
    </row>
    <row r="89" spans="1:11" s="931" customFormat="1" hidden="1">
      <c r="A89" s="600" t="str">
        <f t="shared" si="5"/>
        <v/>
      </c>
      <c r="B89" s="1511"/>
      <c r="C89" s="71" t="str">
        <f t="array" ref="C89">IF(ISERROR(INDEX('Distributed Assets'!$B$1:$AZ$102,SMALL(IF('Distributed Assets'!$AF$28:$AF$102&lt;&gt;"",ROW('Distributed Assets'!$AC$28:$AC$102)),ROW(80:80)),28)),"",INDEX('Distributed Assets'!$B$1:$AZ$102,SMALL(IF('Distributed Assets'!$AF$28:$AF$102&lt;&gt;"",ROW('Distributed Assets'!$AC$28:$AC$102)),ROW(80:80)),28))</f>
        <v/>
      </c>
      <c r="D89" s="2008" t="str">
        <f t="shared" si="6"/>
        <v/>
      </c>
      <c r="E89" s="69" t="s">
        <v>5626</v>
      </c>
      <c r="F89" s="69" t="s">
        <v>5626</v>
      </c>
      <c r="G89" s="69" t="s">
        <v>5626</v>
      </c>
      <c r="H89" s="1553"/>
      <c r="I89" s="1531"/>
      <c r="J89" s="1516"/>
      <c r="K89" s="1544"/>
    </row>
    <row r="90" spans="1:11" s="931" customFormat="1" hidden="1">
      <c r="A90" s="600" t="str">
        <f t="shared" si="5"/>
        <v/>
      </c>
      <c r="B90" s="1511"/>
      <c r="C90" s="71" t="str">
        <f t="array" ref="C90">IF(ISERROR(INDEX('Distributed Assets'!$B$1:$AZ$102,SMALL(IF('Distributed Assets'!$AF$28:$AF$102&lt;&gt;"",ROW('Distributed Assets'!$AC$28:$AC$102)),ROW(81:81)),28)),"",INDEX('Distributed Assets'!$B$1:$AZ$102,SMALL(IF('Distributed Assets'!$AF$28:$AF$102&lt;&gt;"",ROW('Distributed Assets'!$AC$28:$AC$102)),ROW(81:81)),28))</f>
        <v/>
      </c>
      <c r="D90" s="2008" t="str">
        <f t="shared" si="6"/>
        <v/>
      </c>
      <c r="E90" s="69" t="s">
        <v>5626</v>
      </c>
      <c r="F90" s="69" t="s">
        <v>5626</v>
      </c>
      <c r="G90" s="69" t="s">
        <v>5626</v>
      </c>
      <c r="H90" s="1553"/>
      <c r="I90" s="1531"/>
      <c r="J90" s="1516"/>
      <c r="K90" s="1544"/>
    </row>
    <row r="91" spans="1:11" s="931" customFormat="1" hidden="1">
      <c r="A91" s="600" t="str">
        <f t="shared" si="5"/>
        <v/>
      </c>
      <c r="B91" s="1511"/>
      <c r="C91" s="71" t="str">
        <f t="array" ref="C91">IF(ISERROR(INDEX('Distributed Assets'!$B$1:$AZ$102,SMALL(IF('Distributed Assets'!$AF$28:$AF$102&lt;&gt;"",ROW('Distributed Assets'!$AC$28:$AC$102)),ROW(82:82)),28)),"",INDEX('Distributed Assets'!$B$1:$AZ$102,SMALL(IF('Distributed Assets'!$AF$28:$AF$102&lt;&gt;"",ROW('Distributed Assets'!$AC$28:$AC$102)),ROW(82:82)),28))</f>
        <v/>
      </c>
      <c r="D91" s="2008" t="str">
        <f t="shared" si="6"/>
        <v/>
      </c>
      <c r="E91" s="69" t="s">
        <v>5626</v>
      </c>
      <c r="F91" s="69" t="s">
        <v>5626</v>
      </c>
      <c r="G91" s="69" t="s">
        <v>5626</v>
      </c>
      <c r="H91" s="1553"/>
      <c r="I91" s="1531"/>
      <c r="J91" s="1516"/>
      <c r="K91" s="1544"/>
    </row>
    <row r="92" spans="1:11" s="931" customFormat="1" hidden="1">
      <c r="A92" s="600" t="str">
        <f t="shared" si="5"/>
        <v/>
      </c>
      <c r="B92" s="1511"/>
      <c r="C92" s="71" t="str">
        <f t="array" ref="C92">IF(ISERROR(INDEX('Distributed Assets'!$B$1:$AZ$102,SMALL(IF('Distributed Assets'!$AF$28:$AF$102&lt;&gt;"",ROW('Distributed Assets'!$AC$28:$AC$102)),ROW(83:83)),28)),"",INDEX('Distributed Assets'!$B$1:$AZ$102,SMALL(IF('Distributed Assets'!$AF$28:$AF$102&lt;&gt;"",ROW('Distributed Assets'!$AC$28:$AC$102)),ROW(83:83)),28))</f>
        <v/>
      </c>
      <c r="D92" s="2008" t="str">
        <f t="shared" si="6"/>
        <v/>
      </c>
      <c r="E92" s="69" t="s">
        <v>5626</v>
      </c>
      <c r="F92" s="69" t="s">
        <v>5626</v>
      </c>
      <c r="G92" s="69" t="s">
        <v>5626</v>
      </c>
      <c r="H92" s="1553"/>
      <c r="I92" s="1531"/>
      <c r="J92" s="1516"/>
      <c r="K92" s="1544"/>
    </row>
    <row r="93" spans="1:11" hidden="1">
      <c r="A93" s="600" t="str">
        <f t="shared" si="5"/>
        <v/>
      </c>
      <c r="B93" s="1511"/>
      <c r="C93" s="71" t="str">
        <f t="array" ref="C93">IF(ISERROR(INDEX('Distributed Assets'!$B$1:$AZ$102,SMALL(IF('Distributed Assets'!$AF$28:$AF$102&lt;&gt;"",ROW('Distributed Assets'!$AC$28:$AC$102)),ROW(84:84)),28)),"",INDEX('Distributed Assets'!$B$1:$AZ$102,SMALL(IF('Distributed Assets'!$AF$28:$AF$102&lt;&gt;"",ROW('Distributed Assets'!$AC$28:$AC$102)),ROW(84:84)),28))</f>
        <v/>
      </c>
      <c r="D93" s="2008" t="str">
        <f t="shared" si="6"/>
        <v/>
      </c>
      <c r="E93" s="69" t="s">
        <v>5626</v>
      </c>
      <c r="F93" s="69" t="s">
        <v>5626</v>
      </c>
      <c r="G93" s="69" t="s">
        <v>5626</v>
      </c>
      <c r="H93" s="1553"/>
      <c r="I93" s="1531"/>
      <c r="J93" s="1516"/>
      <c r="K93" s="1544"/>
    </row>
    <row r="94" spans="1:11" hidden="1">
      <c r="A94" s="600" t="str">
        <f t="shared" si="5"/>
        <v/>
      </c>
      <c r="B94" s="1511"/>
      <c r="C94" s="71" t="str">
        <f t="array" ref="C94">IF(ISERROR(INDEX('Distributed Assets'!$B$1:$AZ$102,SMALL(IF('Distributed Assets'!$AF$28:$AF$102&lt;&gt;"",ROW('Distributed Assets'!$AC$28:$AC$102)),ROW(85:85)),28)),"",INDEX('Distributed Assets'!$B$1:$AZ$102,SMALL(IF('Distributed Assets'!$AF$28:$AF$102&lt;&gt;"",ROW('Distributed Assets'!$AC$28:$AC$102)),ROW(85:85)),28))</f>
        <v/>
      </c>
      <c r="D94" s="2008" t="str">
        <f t="shared" si="6"/>
        <v/>
      </c>
      <c r="E94" s="69" t="s">
        <v>5626</v>
      </c>
      <c r="F94" s="69" t="s">
        <v>5626</v>
      </c>
      <c r="G94" s="69" t="s">
        <v>5626</v>
      </c>
      <c r="H94" s="1553"/>
      <c r="I94" s="1531"/>
      <c r="J94" s="1516"/>
      <c r="K94" s="1544"/>
    </row>
    <row r="95" spans="1:11" hidden="1">
      <c r="A95" s="600" t="str">
        <f t="shared" si="5"/>
        <v/>
      </c>
      <c r="B95" s="1511"/>
      <c r="C95" s="71" t="str">
        <f t="array" ref="C95">IF(ISERROR(INDEX('Distributed Assets'!$B$1:$AZ$102,SMALL(IF('Distributed Assets'!$AF$28:$AF$102&lt;&gt;"",ROW('Distributed Assets'!$AC$28:$AC$102)),ROW(86:86)),28)),"",INDEX('Distributed Assets'!$B$1:$AZ$102,SMALL(IF('Distributed Assets'!$AF$28:$AF$102&lt;&gt;"",ROW('Distributed Assets'!$AC$28:$AC$102)),ROW(86:86)),28))</f>
        <v/>
      </c>
      <c r="D95" s="2008" t="str">
        <f t="shared" si="6"/>
        <v/>
      </c>
      <c r="E95" s="69" t="s">
        <v>5626</v>
      </c>
      <c r="F95" s="69" t="s">
        <v>5626</v>
      </c>
      <c r="G95" s="69" t="s">
        <v>5626</v>
      </c>
      <c r="H95" s="1553"/>
      <c r="I95" s="1531"/>
      <c r="J95" s="1516"/>
      <c r="K95" s="1544"/>
    </row>
    <row r="96" spans="1:11" hidden="1">
      <c r="A96" s="600" t="str">
        <f t="shared" si="5"/>
        <v/>
      </c>
      <c r="B96" s="1511"/>
      <c r="C96" s="71" t="str">
        <f t="array" ref="C96">IF(ISERROR(INDEX('Distributed Assets'!$B$1:$AZ$102,SMALL(IF('Distributed Assets'!$AF$28:$AF$102&lt;&gt;"",ROW('Distributed Assets'!$AC$28:$AC$102)),ROW(87:87)),28)),"",INDEX('Distributed Assets'!$B$1:$AZ$102,SMALL(IF('Distributed Assets'!$AF$28:$AF$102&lt;&gt;"",ROW('Distributed Assets'!$AC$28:$AC$102)),ROW(87:87)),28))</f>
        <v/>
      </c>
      <c r="D96" s="2008" t="str">
        <f t="shared" si="6"/>
        <v/>
      </c>
      <c r="E96" s="69" t="s">
        <v>5626</v>
      </c>
      <c r="F96" s="69" t="s">
        <v>5626</v>
      </c>
      <c r="G96" s="69" t="s">
        <v>5626</v>
      </c>
      <c r="H96" s="1553"/>
      <c r="I96" s="1531"/>
      <c r="J96" s="1516"/>
      <c r="K96" s="1544"/>
    </row>
    <row r="97" spans="1:11" hidden="1">
      <c r="A97" s="600" t="str">
        <f t="shared" si="5"/>
        <v/>
      </c>
      <c r="B97" s="1511"/>
      <c r="C97" s="71" t="str">
        <f t="array" ref="C97">IF(ISERROR(INDEX('Distributed Assets'!$B$1:$AZ$102,SMALL(IF('Distributed Assets'!$AF$28:$AF$102&lt;&gt;"",ROW('Distributed Assets'!$AC$28:$AC$102)),ROW(88:88)),28)),"",INDEX('Distributed Assets'!$B$1:$AZ$102,SMALL(IF('Distributed Assets'!$AF$28:$AF$102&lt;&gt;"",ROW('Distributed Assets'!$AC$28:$AC$102)),ROW(88:88)),28))</f>
        <v/>
      </c>
      <c r="D97" s="2008" t="str">
        <f t="shared" si="6"/>
        <v/>
      </c>
      <c r="E97" s="69" t="s">
        <v>5626</v>
      </c>
      <c r="F97" s="69" t="s">
        <v>5626</v>
      </c>
      <c r="G97" s="69" t="s">
        <v>5626</v>
      </c>
      <c r="H97" s="1553"/>
      <c r="I97" s="1531"/>
      <c r="J97" s="1516"/>
      <c r="K97" s="1544"/>
    </row>
    <row r="98" spans="1:11" hidden="1">
      <c r="A98" s="600" t="str">
        <f t="shared" si="5"/>
        <v/>
      </c>
      <c r="B98" s="1511"/>
      <c r="C98" s="71" t="str">
        <f t="array" ref="C98">IF(ISERROR(INDEX('Distributed Assets'!$B$1:$AZ$102,SMALL(IF('Distributed Assets'!$AF$28:$AF$102&lt;&gt;"",ROW('Distributed Assets'!$AC$28:$AC$102)),ROW(89:89)),28)),"",INDEX('Distributed Assets'!$B$1:$AZ$102,SMALL(IF('Distributed Assets'!$AF$28:$AF$102&lt;&gt;"",ROW('Distributed Assets'!$AC$28:$AC$102)),ROW(89:89)),28))</f>
        <v/>
      </c>
      <c r="D98" s="2008" t="str">
        <f t="shared" si="6"/>
        <v/>
      </c>
      <c r="E98" s="69" t="s">
        <v>5626</v>
      </c>
      <c r="F98" s="69" t="s">
        <v>5626</v>
      </c>
      <c r="G98" s="69" t="s">
        <v>5626</v>
      </c>
      <c r="H98" s="1553"/>
      <c r="I98" s="1531"/>
      <c r="J98" s="1516"/>
      <c r="K98" s="1544"/>
    </row>
    <row r="99" spans="1:11" hidden="1">
      <c r="A99" s="600" t="str">
        <f t="shared" si="5"/>
        <v/>
      </c>
      <c r="B99" s="1511"/>
      <c r="C99" s="71" t="str">
        <f t="array" ref="C99">IF(ISERROR(INDEX('Distributed Assets'!$B$1:$AZ$102,SMALL(IF('Distributed Assets'!$AF$28:$AF$102&lt;&gt;"",ROW('Distributed Assets'!$AC$28:$AC$102)),ROW(90:90)),28)),"",INDEX('Distributed Assets'!$B$1:$AZ$102,SMALL(IF('Distributed Assets'!$AF$28:$AF$102&lt;&gt;"",ROW('Distributed Assets'!$AC$28:$AC$102)),ROW(90:90)),28))</f>
        <v/>
      </c>
      <c r="D99" s="2008" t="str">
        <f t="shared" si="6"/>
        <v/>
      </c>
      <c r="E99" s="69" t="s">
        <v>5626</v>
      </c>
      <c r="F99" s="69" t="s">
        <v>5626</v>
      </c>
      <c r="G99" s="69" t="s">
        <v>5626</v>
      </c>
      <c r="H99" s="1553"/>
      <c r="I99" s="1531"/>
      <c r="J99" s="1516"/>
      <c r="K99" s="1544"/>
    </row>
    <row r="100" spans="1:11" hidden="1">
      <c r="A100" s="600" t="str">
        <f t="shared" si="5"/>
        <v/>
      </c>
      <c r="B100" s="1511"/>
      <c r="C100" s="71" t="str">
        <f t="array" ref="C100">IF(ISERROR(INDEX('Distributed Assets'!$B$1:$AZ$102,SMALL(IF('Distributed Assets'!$AF$28:$AF$102&lt;&gt;"",ROW('Distributed Assets'!$AC$28:$AC$102)),ROW(91:91)),28)),"",INDEX('Distributed Assets'!$B$1:$AZ$102,SMALL(IF('Distributed Assets'!$AF$28:$AF$102&lt;&gt;"",ROW('Distributed Assets'!$AC$28:$AC$102)),ROW(91:91)),28))</f>
        <v/>
      </c>
      <c r="D100" s="2008" t="str">
        <f t="shared" si="6"/>
        <v/>
      </c>
      <c r="E100" s="69" t="s">
        <v>5626</v>
      </c>
      <c r="F100" s="69" t="s">
        <v>5626</v>
      </c>
      <c r="G100" s="69" t="s">
        <v>5626</v>
      </c>
      <c r="H100" s="1553"/>
      <c r="I100" s="1531"/>
      <c r="J100" s="1516"/>
      <c r="K100" s="1544"/>
    </row>
    <row r="101" spans="1:11" hidden="1">
      <c r="A101" s="3226" t="str">
        <f t="shared" si="5"/>
        <v/>
      </c>
      <c r="B101" s="3227"/>
      <c r="C101" s="3228" t="str">
        <f t="array" ref="C101">IF(ISERROR(INDEX('Distributed Assets'!$B$1:$AZ$102,SMALL(IF('Distributed Assets'!$AF$28:$AF$102&lt;&gt;"",ROW('Distributed Assets'!$AC$28:$AC$102)),ROW(92:92)),28)),"",INDEX('Distributed Assets'!$B$1:$AZ$102,SMALL(IF('Distributed Assets'!$AF$28:$AF$102&lt;&gt;"",ROW('Distributed Assets'!$AC$28:$AC$102)),ROW(92:92)),28))</f>
        <v/>
      </c>
      <c r="D101" s="3229" t="str">
        <f t="shared" si="6"/>
        <v/>
      </c>
      <c r="E101" s="3229" t="s">
        <v>5626</v>
      </c>
      <c r="F101" s="3229" t="s">
        <v>5626</v>
      </c>
      <c r="G101" s="3229" t="s">
        <v>5626</v>
      </c>
      <c r="H101" s="2292"/>
      <c r="I101" s="2292"/>
      <c r="J101" s="2292"/>
      <c r="K101" s="3230"/>
    </row>
    <row r="102" spans="1:11" s="931" customFormat="1" hidden="1">
      <c r="A102" s="600" t="str">
        <f t="shared" ref="A102:A111" si="7">IF(C102&lt;&gt;"",CONCATENATE("D" &amp; lbom_number &amp; "-"&amp; TEXT(ROW(C102)-9,"000")),"")</f>
        <v/>
      </c>
      <c r="B102" s="1511"/>
      <c r="C102" s="71" t="str">
        <f t="array" ref="C102">IF(ISERROR(INDEX('Distributed Assets'!$B$1:$AZ$102,SMALL(IF('Distributed Assets'!$AF$28:$AF$102&lt;&gt;"",ROW('Distributed Assets'!$AC$28:$AC$102)),ROW(93:93)),28)),"",INDEX('Distributed Assets'!$B$1:$AZ$102,SMALL(IF('Distributed Assets'!$AF$28:$AF$102&lt;&gt;"",ROW('Distributed Assets'!$AC$28:$AC$102)),ROW(93:93)),28))</f>
        <v/>
      </c>
      <c r="D102" s="2008" t="str">
        <f t="shared" ref="D102:D111" si="8" xml:space="preserve"> IF(B102 &lt;&gt; "", VLOOKUP(C102,decom_array, 2, FALSE), "")</f>
        <v/>
      </c>
      <c r="E102" s="69" t="str">
        <f t="array" ref="E102">IF($C102&lt;&gt;"",
       INDEX('Distributed Assets'!$B$28:$AZ$187,MATCH($C102,'Distributed Assets'!$AC$28:$AC$187,0),21),"")</f>
        <v/>
      </c>
      <c r="F102" s="69" t="str">
        <f>IF(AND($C102&lt;&gt;"",$E102&lt;&gt;""),VLOOKUP(E102,IP!$D$4:$N$153,11,FALSE),"")</f>
        <v/>
      </c>
      <c r="G102" s="69" t="str">
        <f t="array" ref="G102">IF($C102&lt;&gt;"",
       INDEX('Distributed Assets'!$B$28:$AZ$187,MATCH($C102,'Distributed Assets'!$AC$28:$AC$187,0),31),"")</f>
        <v/>
      </c>
      <c r="H102" s="1553"/>
      <c r="I102" s="1553"/>
      <c r="J102" s="1553"/>
      <c r="K102" s="1544"/>
    </row>
    <row r="103" spans="1:11" s="931" customFormat="1" hidden="1">
      <c r="A103" s="600" t="str">
        <f t="shared" si="7"/>
        <v/>
      </c>
      <c r="B103" s="1511"/>
      <c r="C103" s="71" t="str">
        <f t="array" ref="C103">IF(ISERROR(INDEX('Distributed Assets'!$B$1:$AZ$102,SMALL(IF('Distributed Assets'!$AF$28:$AF$102&lt;&gt;"",ROW('Distributed Assets'!$AC$28:$AC$102)),ROW(94:94)),28)),"",INDEX('Distributed Assets'!$B$1:$AZ$102,SMALL(IF('Distributed Assets'!$AF$28:$AF$102&lt;&gt;"",ROW('Distributed Assets'!$AC$28:$AC$102)),ROW(94:94)),28))</f>
        <v/>
      </c>
      <c r="D103" s="2008" t="str">
        <f t="shared" si="8"/>
        <v/>
      </c>
      <c r="E103" s="69" t="str">
        <f t="array" ref="E103">IF($C103&lt;&gt;"",
       INDEX('Distributed Assets'!$B$28:$AZ$187,MATCH($C103,'Distributed Assets'!$AC$28:$AC$187,0),21),"")</f>
        <v/>
      </c>
      <c r="F103" s="69" t="str">
        <f>IF(AND($C103&lt;&gt;"",$E103&lt;&gt;""),VLOOKUP(E103,IP!$D$4:$N$153,11,FALSE),"")</f>
        <v/>
      </c>
      <c r="G103" s="69" t="str">
        <f t="array" ref="G103">IF($C103&lt;&gt;"",
       INDEX('Distributed Assets'!$B$28:$AZ$187,MATCH($C103,'Distributed Assets'!$AC$28:$AC$187,0),31),"")</f>
        <v/>
      </c>
      <c r="H103" s="1553"/>
      <c r="I103" s="1553"/>
      <c r="J103" s="1553"/>
      <c r="K103" s="1544"/>
    </row>
    <row r="104" spans="1:11" s="931" customFormat="1" hidden="1">
      <c r="A104" s="600" t="str">
        <f t="shared" si="7"/>
        <v/>
      </c>
      <c r="B104" s="1511"/>
      <c r="C104" s="71" t="str">
        <f t="array" ref="C104">IF(ISERROR(INDEX('Distributed Assets'!$B$1:$AZ$102,SMALL(IF('Distributed Assets'!$AF$28:$AF$102&lt;&gt;"",ROW('Distributed Assets'!$AC$28:$AC$102)),ROW(95:95)),28)),"",INDEX('Distributed Assets'!$B$1:$AZ$102,SMALL(IF('Distributed Assets'!$AF$28:$AF$102&lt;&gt;"",ROW('Distributed Assets'!$AC$28:$AC$102)),ROW(95:95)),28))</f>
        <v/>
      </c>
      <c r="D104" s="2008" t="str">
        <f t="shared" si="8"/>
        <v/>
      </c>
      <c r="E104" s="69" t="str">
        <f t="array" ref="E104">IF($C104&lt;&gt;"",
       INDEX('Distributed Assets'!$B$28:$AZ$187,MATCH($C104,'Distributed Assets'!$AC$28:$AC$187,0),21),"")</f>
        <v/>
      </c>
      <c r="F104" s="69" t="str">
        <f>IF(AND($C104&lt;&gt;"",$E104&lt;&gt;""),VLOOKUP(E104,IP!$D$4:$N$153,11,FALSE),"")</f>
        <v/>
      </c>
      <c r="G104" s="69" t="str">
        <f t="array" ref="G104">IF($C104&lt;&gt;"",
       INDEX('Distributed Assets'!$B$28:$AZ$187,MATCH($C104,'Distributed Assets'!$AC$28:$AC$187,0),31),"")</f>
        <v/>
      </c>
      <c r="H104" s="1553"/>
      <c r="I104" s="1553"/>
      <c r="J104" s="1553"/>
      <c r="K104" s="1544"/>
    </row>
    <row r="105" spans="1:11" s="931" customFormat="1" hidden="1">
      <c r="A105" s="600" t="str">
        <f t="shared" si="7"/>
        <v/>
      </c>
      <c r="B105" s="1511"/>
      <c r="C105" s="71" t="str">
        <f t="array" ref="C105">IF(ISERROR(INDEX('Distributed Assets'!$B$1:$AZ$102,SMALL(IF('Distributed Assets'!$AF$28:$AF$102&lt;&gt;"",ROW('Distributed Assets'!$AC$28:$AC$102)),ROW(96:96)),28)),"",INDEX('Distributed Assets'!$B$1:$AZ$102,SMALL(IF('Distributed Assets'!$AF$28:$AF$102&lt;&gt;"",ROW('Distributed Assets'!$AC$28:$AC$102)),ROW(96:96)),28))</f>
        <v/>
      </c>
      <c r="D105" s="2008" t="str">
        <f t="shared" si="8"/>
        <v/>
      </c>
      <c r="E105" s="69" t="str">
        <f t="array" ref="E105">IF($C105&lt;&gt;"",
       INDEX('Distributed Assets'!$B$28:$AZ$187,MATCH($C105,'Distributed Assets'!$AC$28:$AC$187,0),21),"")</f>
        <v/>
      </c>
      <c r="F105" s="69" t="str">
        <f>IF(AND($C105&lt;&gt;"",$E105&lt;&gt;""),VLOOKUP(E105,IP!$D$4:$N$153,11,FALSE),"")</f>
        <v/>
      </c>
      <c r="G105" s="69" t="str">
        <f t="array" ref="G105">IF($C105&lt;&gt;"",
       INDEX('Distributed Assets'!$B$28:$AZ$187,MATCH($C105,'Distributed Assets'!$AC$28:$AC$187,0),31),"")</f>
        <v/>
      </c>
      <c r="H105" s="1553"/>
      <c r="I105" s="1553"/>
      <c r="J105" s="1553"/>
      <c r="K105" s="1544"/>
    </row>
    <row r="106" spans="1:11" s="931" customFormat="1" hidden="1">
      <c r="A106" s="600" t="str">
        <f t="shared" si="7"/>
        <v/>
      </c>
      <c r="B106" s="1511"/>
      <c r="C106" s="71" t="str">
        <f t="array" ref="C106">IF(ISERROR(INDEX('Distributed Assets'!$B$1:$AZ$102,SMALL(IF('Distributed Assets'!$AF$28:$AF$102&lt;&gt;"",ROW('Distributed Assets'!$AC$28:$AC$102)),ROW(97:97)),28)),"",INDEX('Distributed Assets'!$B$1:$AZ$102,SMALL(IF('Distributed Assets'!$AF$28:$AF$102&lt;&gt;"",ROW('Distributed Assets'!$AC$28:$AC$102)),ROW(97:97)),28))</f>
        <v/>
      </c>
      <c r="D106" s="2008" t="str">
        <f t="shared" si="8"/>
        <v/>
      </c>
      <c r="E106" s="69" t="str">
        <f t="array" ref="E106">IF($C106&lt;&gt;"",
       INDEX('Distributed Assets'!$B$28:$AZ$187,MATCH($C106,'Distributed Assets'!$AC$28:$AC$187,0),21),"")</f>
        <v/>
      </c>
      <c r="F106" s="69" t="str">
        <f>IF(AND($C106&lt;&gt;"",$E106&lt;&gt;""),VLOOKUP(E106,IP!$D$4:$N$153,11,FALSE),"")</f>
        <v/>
      </c>
      <c r="G106" s="69" t="str">
        <f t="array" ref="G106">IF($C106&lt;&gt;"",
       INDEX('Distributed Assets'!$B$28:$AZ$187,MATCH($C106,'Distributed Assets'!$AC$28:$AC$187,0),31),"")</f>
        <v/>
      </c>
      <c r="H106" s="1553"/>
      <c r="I106" s="1553"/>
      <c r="J106" s="1553"/>
      <c r="K106" s="1544"/>
    </row>
    <row r="107" spans="1:11" s="931" customFormat="1" hidden="1">
      <c r="A107" s="600" t="str">
        <f t="shared" si="7"/>
        <v/>
      </c>
      <c r="B107" s="1511"/>
      <c r="C107" s="71" t="str">
        <f t="array" ref="C107">IF(ISERROR(INDEX('Distributed Assets'!$B$1:$AZ$102,SMALL(IF('Distributed Assets'!$AF$28:$AF$102&lt;&gt;"",ROW('Distributed Assets'!$AC$28:$AC$102)),ROW(98:98)),28)),"",INDEX('Distributed Assets'!$B$1:$AZ$102,SMALL(IF('Distributed Assets'!$AF$28:$AF$102&lt;&gt;"",ROW('Distributed Assets'!$AC$28:$AC$102)),ROW(98:98)),28))</f>
        <v/>
      </c>
      <c r="D107" s="2008" t="str">
        <f t="shared" si="8"/>
        <v/>
      </c>
      <c r="E107" s="69" t="str">
        <f t="array" ref="E107">IF($C107&lt;&gt;"",
       INDEX('Distributed Assets'!$B$28:$AZ$187,MATCH($C107,'Distributed Assets'!$AC$28:$AC$187,0),21),"")</f>
        <v/>
      </c>
      <c r="F107" s="69" t="str">
        <f>IF(AND($C107&lt;&gt;"",$E107&lt;&gt;""),VLOOKUP(E107,IP!$D$4:$N$153,11,FALSE),"")</f>
        <v/>
      </c>
      <c r="G107" s="69" t="str">
        <f t="array" ref="G107">IF($C107&lt;&gt;"",
       INDEX('Distributed Assets'!$B$28:$AZ$187,MATCH($C107,'Distributed Assets'!$AC$28:$AC$187,0),31),"")</f>
        <v/>
      </c>
      <c r="H107" s="1553"/>
      <c r="I107" s="1553"/>
      <c r="J107" s="1553"/>
      <c r="K107" s="1544"/>
    </row>
    <row r="108" spans="1:11" s="931" customFormat="1" hidden="1">
      <c r="A108" s="600" t="str">
        <f t="shared" si="7"/>
        <v/>
      </c>
      <c r="B108" s="1511"/>
      <c r="C108" s="71" t="str">
        <f t="array" ref="C108">IF(ISERROR(INDEX('Distributed Assets'!$B$1:$AZ$102,SMALL(IF('Distributed Assets'!$AF$28:$AF$102&lt;&gt;"",ROW('Distributed Assets'!$AC$28:$AC$102)),ROW(99:99)),28)),"",INDEX('Distributed Assets'!$B$1:$AZ$102,SMALL(IF('Distributed Assets'!$AF$28:$AF$102&lt;&gt;"",ROW('Distributed Assets'!$AC$28:$AC$102)),ROW(99:99)),28))</f>
        <v/>
      </c>
      <c r="D108" s="2008" t="str">
        <f t="shared" si="8"/>
        <v/>
      </c>
      <c r="E108" s="69" t="str">
        <f t="array" ref="E108">IF($C108&lt;&gt;"",
       INDEX('Distributed Assets'!$B$28:$AZ$187,MATCH($C108,'Distributed Assets'!$AC$28:$AC$187,0),21),"")</f>
        <v/>
      </c>
      <c r="F108" s="69" t="str">
        <f>IF(AND($C108&lt;&gt;"",$E108&lt;&gt;""),VLOOKUP(E108,IP!$D$4:$N$153,11,FALSE),"")</f>
        <v/>
      </c>
      <c r="G108" s="69" t="str">
        <f t="array" ref="G108">IF($C108&lt;&gt;"",
       INDEX('Distributed Assets'!$B$28:$AZ$187,MATCH($C108,'Distributed Assets'!$AC$28:$AC$187,0),31),"")</f>
        <v/>
      </c>
      <c r="H108" s="1553"/>
      <c r="I108" s="1553"/>
      <c r="J108" s="1553"/>
      <c r="K108" s="1544"/>
    </row>
    <row r="109" spans="1:11" s="931" customFormat="1" hidden="1">
      <c r="A109" s="600" t="str">
        <f t="shared" si="7"/>
        <v/>
      </c>
      <c r="B109" s="1511"/>
      <c r="C109" s="71" t="str">
        <f t="array" ref="C109">IF(ISERROR(INDEX('Distributed Assets'!$B$1:$AZ$102,SMALL(IF('Distributed Assets'!$AF$28:$AF$102&lt;&gt;"",ROW('Distributed Assets'!$AC$28:$AC$102)),ROW(100:100)),28)),"",INDEX('Distributed Assets'!$B$1:$AZ$102,SMALL(IF('Distributed Assets'!$AF$28:$AF$102&lt;&gt;"",ROW('Distributed Assets'!$AC$28:$AC$102)),ROW(100:100)),28))</f>
        <v/>
      </c>
      <c r="D109" s="2008" t="str">
        <f t="shared" si="8"/>
        <v/>
      </c>
      <c r="E109" s="69" t="str">
        <f t="array" ref="E109">IF($C109&lt;&gt;"",
       INDEX('Distributed Assets'!$B$28:$AZ$187,MATCH($C109,'Distributed Assets'!$AC$28:$AC$187,0),21),"")</f>
        <v/>
      </c>
      <c r="F109" s="69" t="str">
        <f>IF(AND($C109&lt;&gt;"",$E109&lt;&gt;""),VLOOKUP(E109,IP!$D$4:$N$153,11,FALSE),"")</f>
        <v/>
      </c>
      <c r="G109" s="69" t="str">
        <f t="array" ref="G109">IF($C109&lt;&gt;"",
       INDEX('Distributed Assets'!$B$28:$AZ$187,MATCH($C109,'Distributed Assets'!$AC$28:$AC$187,0),31),"")</f>
        <v/>
      </c>
      <c r="H109" s="1553"/>
      <c r="I109" s="1553"/>
      <c r="J109" s="1553"/>
      <c r="K109" s="1544"/>
    </row>
    <row r="110" spans="1:11" s="931" customFormat="1" hidden="1">
      <c r="A110" s="600" t="str">
        <f t="shared" si="7"/>
        <v/>
      </c>
      <c r="B110" s="1511"/>
      <c r="C110" s="71" t="str">
        <f t="array" ref="C110">IF(ISERROR(INDEX('Distributed Assets'!$B$1:$AZ$102,SMALL(IF('Distributed Assets'!$AF$28:$AF$102&lt;&gt;"",ROW('Distributed Assets'!$AC$28:$AC$102)),ROW(101:101)),28)),"",INDEX('Distributed Assets'!$B$1:$AZ$102,SMALL(IF('Distributed Assets'!$AF$28:$AF$102&lt;&gt;"",ROW('Distributed Assets'!$AC$28:$AC$102)),ROW(101:101)),28))</f>
        <v/>
      </c>
      <c r="D110" s="2008" t="str">
        <f t="shared" si="8"/>
        <v/>
      </c>
      <c r="E110" s="69" t="str">
        <f t="array" ref="E110">IF($C110&lt;&gt;"",
       INDEX('Distributed Assets'!$B$28:$AZ$187,MATCH($C110,'Distributed Assets'!$AC$28:$AC$187,0),21),"")</f>
        <v/>
      </c>
      <c r="F110" s="69" t="str">
        <f>IF(AND($C110&lt;&gt;"",$E110&lt;&gt;""),VLOOKUP(E110,IP!$D$4:$N$153,11,FALSE),"")</f>
        <v/>
      </c>
      <c r="G110" s="69" t="str">
        <f t="array" ref="G110">IF($C110&lt;&gt;"",
       INDEX('Distributed Assets'!$B$28:$AZ$187,MATCH($C110,'Distributed Assets'!$AC$28:$AC$187,0),31),"")</f>
        <v/>
      </c>
      <c r="H110" s="1553"/>
      <c r="I110" s="1553"/>
      <c r="J110" s="1553"/>
      <c r="K110" s="1544"/>
    </row>
    <row r="111" spans="1:11" s="931" customFormat="1">
      <c r="A111" s="600" t="str">
        <f t="shared" si="7"/>
        <v/>
      </c>
      <c r="B111" s="1511"/>
      <c r="C111" s="71" t="str">
        <f t="array" ref="C111">IF(ISERROR(INDEX('Distributed Assets'!$B$1:$AZ$102,SMALL(IF('Distributed Assets'!$AF$28:$AF$102&lt;&gt;"",ROW('Distributed Assets'!$AC$28:$AC$102)),ROW(102:102)),28)),"",INDEX('Distributed Assets'!$B$1:$AZ$102,SMALL(IF('Distributed Assets'!$AF$28:$AF$102&lt;&gt;"",ROW('Distributed Assets'!$AC$28:$AC$102)),ROW(102:102)),28))</f>
        <v/>
      </c>
      <c r="D111" s="2008" t="str">
        <f t="shared" si="8"/>
        <v/>
      </c>
      <c r="E111" s="69" t="str">
        <f t="array" ref="E111">IF($C111&lt;&gt;"",
       INDEX('Distributed Assets'!$B$28:$AZ$187,MATCH($C111,'Distributed Assets'!$AC$28:$AC$187,0),21),"")</f>
        <v/>
      </c>
      <c r="F111" s="69" t="str">
        <f>IF(AND($C111&lt;&gt;"",$E111&lt;&gt;""),VLOOKUP(E111,IP!$D$4:$N$153,11,FALSE),"")</f>
        <v/>
      </c>
      <c r="G111" s="69" t="str">
        <f t="array" ref="G111">IF($C111&lt;&gt;"",
       INDEX('Distributed Assets'!$B$28:$AZ$187,MATCH($C111,'Distributed Assets'!$AC$28:$AC$187,0),31),"")</f>
        <v/>
      </c>
      <c r="H111" s="1553"/>
      <c r="I111" s="1553"/>
      <c r="J111" s="1553"/>
      <c r="K111" s="1544"/>
    </row>
    <row r="112" spans="1:11" ht="15" customHeight="1" thickBot="1">
      <c r="A112" s="3969" t="s">
        <v>3921</v>
      </c>
      <c r="B112" s="3979"/>
      <c r="C112" s="3979"/>
      <c r="D112" s="3979"/>
      <c r="E112" s="3979"/>
      <c r="F112" s="3979"/>
      <c r="G112" s="3979"/>
      <c r="H112" s="3979"/>
      <c r="I112" s="3979"/>
      <c r="J112" s="3979"/>
      <c r="K112" s="3980"/>
    </row>
    <row r="113" spans="1:12" ht="26.25" customHeight="1" thickBot="1">
      <c r="A113" s="2475" t="s">
        <v>5483</v>
      </c>
      <c r="B113" s="2474" t="s">
        <v>3316</v>
      </c>
      <c r="C113" s="2467" t="s">
        <v>5627</v>
      </c>
      <c r="D113" s="2467" t="s">
        <v>11</v>
      </c>
      <c r="E113" s="2467" t="s">
        <v>2652</v>
      </c>
      <c r="F113" s="2467" t="s">
        <v>3311</v>
      </c>
      <c r="G113" s="2468" t="s">
        <v>5481</v>
      </c>
      <c r="H113" s="2468" t="s">
        <v>3320</v>
      </c>
      <c r="I113" s="2472" t="s">
        <v>3923</v>
      </c>
      <c r="J113" s="2473" t="s">
        <v>3922</v>
      </c>
      <c r="K113" s="2472" t="s">
        <v>5482</v>
      </c>
      <c r="L113" s="820" t="s">
        <v>480</v>
      </c>
    </row>
    <row r="114" spans="1:12" ht="12.75" customHeight="1">
      <c r="A114" s="3233" t="str">
        <f t="shared" ref="A114:A131" si="9">IF(B114&lt;&gt;"",CONCATENATE("D"&amp;lbom_number&amp;"-VIP"&amp;TEXT(ROW(B114)-112,"000")),"")</f>
        <v/>
      </c>
      <c r="B114" s="1712"/>
      <c r="C114" s="590" t="str">
        <f>IF(AND(B114&lt;&gt;"",LEFT(B114,4)="vip-"),
SUBSTITUTE(SUBSTITUTE(SUBSTITUTE(LEFT(B114,SEARCH(".",B114,1)),"vip-","",1),".",""),"-","."),"")</f>
        <v/>
      </c>
      <c r="D114" s="1542"/>
      <c r="E114" s="1542"/>
      <c r="F114" s="1542"/>
      <c r="G114" s="875"/>
      <c r="H114" s="1542"/>
      <c r="I114" s="2471"/>
      <c r="J114" s="2471"/>
      <c r="K114" s="3225"/>
      <c r="L114" s="2291"/>
    </row>
    <row r="115" spans="1:12" ht="12.75" hidden="1" customHeight="1">
      <c r="A115" s="3234" t="str">
        <f t="shared" si="9"/>
        <v/>
      </c>
      <c r="B115" s="2428"/>
      <c r="C115" s="590" t="str">
        <f t="shared" ref="C115:C131" si="10">IF(AND(B115&lt;&gt;"",LEFT(B115,4)="vip-"),
SUBSTITUTE(SUBSTITUTE(SUBSTITUTE(LEFT(B115,SEARCH(".",B115,1)),"vip-","",1),".",""),"-","."),"")</f>
        <v/>
      </c>
      <c r="D115" s="1542"/>
      <c r="E115" s="1542"/>
      <c r="F115" s="1543"/>
      <c r="G115" s="1587"/>
      <c r="H115" s="1543"/>
      <c r="I115" s="2471"/>
      <c r="J115" s="2469"/>
      <c r="K115" s="2470"/>
      <c r="L115" s="3217"/>
    </row>
    <row r="116" spans="1:12" ht="12.75" hidden="1" customHeight="1">
      <c r="A116" s="3234" t="str">
        <f t="shared" si="9"/>
        <v/>
      </c>
      <c r="B116" s="2428"/>
      <c r="C116" s="590" t="str">
        <f t="shared" si="10"/>
        <v/>
      </c>
      <c r="D116" s="1542"/>
      <c r="E116" s="1542"/>
      <c r="F116" s="1543"/>
      <c r="G116" s="1587"/>
      <c r="H116" s="1543"/>
      <c r="I116" s="2471"/>
      <c r="J116" s="2469"/>
      <c r="K116" s="2470"/>
      <c r="L116" s="3217"/>
    </row>
    <row r="117" spans="1:12" ht="12.75" hidden="1" customHeight="1">
      <c r="A117" s="3234" t="str">
        <f t="shared" si="9"/>
        <v/>
      </c>
      <c r="B117" s="2428"/>
      <c r="C117" s="590" t="str">
        <f t="shared" si="10"/>
        <v/>
      </c>
      <c r="D117" s="1542"/>
      <c r="E117" s="1542"/>
      <c r="F117" s="1543"/>
      <c r="G117" s="1587"/>
      <c r="H117" s="1543"/>
      <c r="I117" s="2471"/>
      <c r="J117" s="2469"/>
      <c r="K117" s="2470"/>
      <c r="L117" s="3217"/>
    </row>
    <row r="118" spans="1:12" ht="12.75" hidden="1" customHeight="1">
      <c r="A118" s="3234" t="str">
        <f t="shared" si="9"/>
        <v/>
      </c>
      <c r="B118" s="2428"/>
      <c r="C118" s="590" t="str">
        <f t="shared" si="10"/>
        <v/>
      </c>
      <c r="D118" s="1542"/>
      <c r="E118" s="1542"/>
      <c r="F118" s="1543"/>
      <c r="G118" s="1587"/>
      <c r="H118" s="1543"/>
      <c r="I118" s="2471"/>
      <c r="J118" s="2469"/>
      <c r="K118" s="2470"/>
      <c r="L118" s="3217"/>
    </row>
    <row r="119" spans="1:12" ht="12.75" hidden="1" customHeight="1">
      <c r="A119" s="3234" t="str">
        <f t="shared" si="9"/>
        <v/>
      </c>
      <c r="B119" s="2428"/>
      <c r="C119" s="590" t="str">
        <f t="shared" si="10"/>
        <v/>
      </c>
      <c r="D119" s="1542"/>
      <c r="E119" s="1542"/>
      <c r="F119" s="1543"/>
      <c r="G119" s="1587"/>
      <c r="H119" s="1543"/>
      <c r="I119" s="2471"/>
      <c r="J119" s="2469"/>
      <c r="K119" s="2470"/>
      <c r="L119" s="3217"/>
    </row>
    <row r="120" spans="1:12" ht="12.75" hidden="1" customHeight="1">
      <c r="A120" s="3234" t="str">
        <f t="shared" si="9"/>
        <v/>
      </c>
      <c r="B120" s="2428"/>
      <c r="C120" s="590" t="str">
        <f t="shared" si="10"/>
        <v/>
      </c>
      <c r="D120" s="1542"/>
      <c r="E120" s="1542"/>
      <c r="F120" s="1543"/>
      <c r="G120" s="1587"/>
      <c r="H120" s="1543"/>
      <c r="I120" s="2471"/>
      <c r="J120" s="2469"/>
      <c r="K120" s="2470"/>
      <c r="L120" s="3217"/>
    </row>
    <row r="121" spans="1:12" ht="12.75" hidden="1" customHeight="1">
      <c r="A121" s="3234" t="str">
        <f t="shared" si="9"/>
        <v/>
      </c>
      <c r="B121" s="2428"/>
      <c r="C121" s="590" t="str">
        <f t="shared" si="10"/>
        <v/>
      </c>
      <c r="D121" s="1542"/>
      <c r="E121" s="1542"/>
      <c r="F121" s="1543"/>
      <c r="G121" s="1587"/>
      <c r="H121" s="1543"/>
      <c r="I121" s="2471"/>
      <c r="J121" s="2469"/>
      <c r="K121" s="2470"/>
      <c r="L121" s="3217"/>
    </row>
    <row r="122" spans="1:12" s="931" customFormat="1" ht="12.75" hidden="1" customHeight="1">
      <c r="A122" s="3234" t="str">
        <f t="shared" si="9"/>
        <v/>
      </c>
      <c r="B122" s="2428"/>
      <c r="C122" s="590" t="str">
        <f t="shared" si="10"/>
        <v/>
      </c>
      <c r="D122" s="1542"/>
      <c r="E122" s="1542"/>
      <c r="F122" s="1543"/>
      <c r="G122" s="1587"/>
      <c r="H122" s="1543"/>
      <c r="I122" s="2471"/>
      <c r="J122" s="2469"/>
      <c r="K122" s="2470"/>
      <c r="L122" s="3217"/>
    </row>
    <row r="123" spans="1:12" s="931" customFormat="1" ht="12.75" hidden="1" customHeight="1">
      <c r="A123" s="3234" t="str">
        <f t="shared" si="9"/>
        <v/>
      </c>
      <c r="B123" s="2428"/>
      <c r="C123" s="590" t="str">
        <f t="shared" si="10"/>
        <v/>
      </c>
      <c r="D123" s="1542"/>
      <c r="E123" s="1542"/>
      <c r="F123" s="1543"/>
      <c r="G123" s="1587"/>
      <c r="H123" s="1543"/>
      <c r="I123" s="2471"/>
      <c r="J123" s="2469"/>
      <c r="K123" s="2470"/>
      <c r="L123" s="3217"/>
    </row>
    <row r="124" spans="1:12" s="931" customFormat="1" ht="12.75" hidden="1" customHeight="1">
      <c r="A124" s="3234" t="str">
        <f t="shared" si="9"/>
        <v/>
      </c>
      <c r="B124" s="2428"/>
      <c r="C124" s="590" t="str">
        <f t="shared" si="10"/>
        <v/>
      </c>
      <c r="D124" s="1542"/>
      <c r="E124" s="1542"/>
      <c r="F124" s="1543"/>
      <c r="G124" s="1587"/>
      <c r="H124" s="1543"/>
      <c r="I124" s="2471"/>
      <c r="J124" s="2469"/>
      <c r="K124" s="2470"/>
      <c r="L124" s="3217"/>
    </row>
    <row r="125" spans="1:12" s="931" customFormat="1" ht="12.75" hidden="1" customHeight="1">
      <c r="A125" s="3234" t="str">
        <f t="shared" si="9"/>
        <v/>
      </c>
      <c r="B125" s="2428"/>
      <c r="C125" s="590" t="str">
        <f t="shared" si="10"/>
        <v/>
      </c>
      <c r="D125" s="1542"/>
      <c r="E125" s="1542"/>
      <c r="F125" s="1543"/>
      <c r="G125" s="1587"/>
      <c r="H125" s="1543"/>
      <c r="I125" s="2471"/>
      <c r="J125" s="2469"/>
      <c r="K125" s="2470"/>
      <c r="L125" s="3217"/>
    </row>
    <row r="126" spans="1:12" s="931" customFormat="1" ht="12.75" hidden="1" customHeight="1">
      <c r="A126" s="3234" t="str">
        <f t="shared" si="9"/>
        <v/>
      </c>
      <c r="B126" s="2428"/>
      <c r="C126" s="590" t="str">
        <f t="shared" si="10"/>
        <v/>
      </c>
      <c r="D126" s="1542"/>
      <c r="E126" s="1542"/>
      <c r="F126" s="1543"/>
      <c r="G126" s="1587"/>
      <c r="H126" s="1543"/>
      <c r="I126" s="2471"/>
      <c r="J126" s="2469"/>
      <c r="K126" s="2470"/>
      <c r="L126" s="3217"/>
    </row>
    <row r="127" spans="1:12" s="931" customFormat="1" ht="12.75" hidden="1" customHeight="1">
      <c r="A127" s="3234" t="str">
        <f t="shared" si="9"/>
        <v/>
      </c>
      <c r="B127" s="2428"/>
      <c r="C127" s="590" t="str">
        <f t="shared" si="10"/>
        <v/>
      </c>
      <c r="D127" s="1542"/>
      <c r="E127" s="1542"/>
      <c r="F127" s="1543"/>
      <c r="G127" s="1587"/>
      <c r="H127" s="1543"/>
      <c r="I127" s="2471"/>
      <c r="J127" s="2469"/>
      <c r="K127" s="2470"/>
      <c r="L127" s="3217"/>
    </row>
    <row r="128" spans="1:12" s="931" customFormat="1" ht="12.75" hidden="1" customHeight="1">
      <c r="A128" s="3234" t="str">
        <f t="shared" si="9"/>
        <v/>
      </c>
      <c r="B128" s="2428"/>
      <c r="C128" s="590" t="str">
        <f t="shared" si="10"/>
        <v/>
      </c>
      <c r="D128" s="1542"/>
      <c r="E128" s="1542"/>
      <c r="F128" s="1543"/>
      <c r="G128" s="1587"/>
      <c r="H128" s="1543"/>
      <c r="I128" s="2471"/>
      <c r="J128" s="2469"/>
      <c r="K128" s="2470"/>
      <c r="L128" s="3217"/>
    </row>
    <row r="129" spans="1:12" s="931" customFormat="1" ht="12.75" hidden="1" customHeight="1">
      <c r="A129" s="3234" t="str">
        <f t="shared" si="9"/>
        <v/>
      </c>
      <c r="B129" s="2428"/>
      <c r="C129" s="590" t="str">
        <f t="shared" si="10"/>
        <v/>
      </c>
      <c r="D129" s="1542"/>
      <c r="E129" s="1542"/>
      <c r="F129" s="1543"/>
      <c r="G129" s="1587"/>
      <c r="H129" s="1543"/>
      <c r="I129" s="2471"/>
      <c r="J129" s="2469"/>
      <c r="K129" s="2470"/>
      <c r="L129" s="3217"/>
    </row>
    <row r="130" spans="1:12" s="931" customFormat="1" ht="12.75" hidden="1" customHeight="1">
      <c r="A130" s="3234" t="str">
        <f t="shared" si="9"/>
        <v/>
      </c>
      <c r="B130" s="2428"/>
      <c r="C130" s="590" t="str">
        <f t="shared" si="10"/>
        <v/>
      </c>
      <c r="D130" s="1542"/>
      <c r="E130" s="1542"/>
      <c r="F130" s="1543"/>
      <c r="G130" s="1587"/>
      <c r="H130" s="1543"/>
      <c r="I130" s="2471"/>
      <c r="J130" s="2469"/>
      <c r="K130" s="2470"/>
      <c r="L130" s="3217"/>
    </row>
    <row r="131" spans="1:12" s="931" customFormat="1" ht="12.75" customHeight="1" thickBot="1">
      <c r="A131" s="3235" t="str">
        <f t="shared" si="9"/>
        <v/>
      </c>
      <c r="B131" s="2428"/>
      <c r="C131" s="590" t="str">
        <f t="shared" si="10"/>
        <v/>
      </c>
      <c r="D131" s="1542"/>
      <c r="E131" s="1542"/>
      <c r="F131" s="1543"/>
      <c r="G131" s="1587"/>
      <c r="H131" s="1543"/>
      <c r="I131" s="2471"/>
      <c r="J131" s="2469"/>
      <c r="K131" s="2470"/>
      <c r="L131" s="3217"/>
    </row>
    <row r="132" spans="1:12" ht="15.75" thickBot="1">
      <c r="A132" s="3969" t="s">
        <v>3924</v>
      </c>
      <c r="B132" s="3970"/>
      <c r="C132" s="3970"/>
      <c r="D132" s="3970"/>
      <c r="E132" s="3970"/>
      <c r="F132" s="3970"/>
      <c r="G132" s="3970"/>
      <c r="H132" s="3970"/>
      <c r="I132" s="3970"/>
      <c r="J132" s="3970"/>
      <c r="K132" s="3970"/>
      <c r="L132" s="3971"/>
    </row>
    <row r="133" spans="1:12" ht="26.25" thickBot="1">
      <c r="A133" s="1920" t="s">
        <v>3833</v>
      </c>
      <c r="B133" s="2474" t="s">
        <v>3321</v>
      </c>
      <c r="C133" s="1092" t="s">
        <v>3000</v>
      </c>
      <c r="D133" s="137" t="s">
        <v>3321</v>
      </c>
      <c r="E133" s="137" t="s">
        <v>3317</v>
      </c>
      <c r="F133" s="137" t="s">
        <v>3322</v>
      </c>
      <c r="G133" s="2467" t="s">
        <v>11</v>
      </c>
      <c r="H133" s="2467" t="s">
        <v>3925</v>
      </c>
      <c r="I133" s="2467" t="s">
        <v>3323</v>
      </c>
      <c r="J133" s="2467" t="s">
        <v>816</v>
      </c>
      <c r="K133" s="137" t="s">
        <v>3324</v>
      </c>
      <c r="L133" s="2480" t="s">
        <v>480</v>
      </c>
    </row>
    <row r="134" spans="1:12">
      <c r="A134" s="3265" t="str">
        <f>IF($B134&lt;&gt;"",$B134&amp;"  (IP"&amp;TEXT($C134,"00")&amp;")","")</f>
        <v>D20213598-001  (IP01)</v>
      </c>
      <c r="B134" s="3220" t="s">
        <v>5633</v>
      </c>
      <c r="C134" s="3222">
        <f>IF(B134&lt;&gt;"",IF(B134=B133,C133+1,1),"")</f>
        <v>1</v>
      </c>
      <c r="D134" s="3223" t="str">
        <f t="shared" ref="D134:D165" si="11">IF($B134&lt;&gt;"",
IF(MID($B134,11,3)="VIP",LEFT($E134,FIND(".",$E134)-1),VLOOKUP($B134,Import_list,3,FALSE)),"")</f>
        <v>dchislmgt02</v>
      </c>
      <c r="E134" s="590" t="str">
        <f t="shared" ref="E134:E165" si="12">IF($B134&lt;&gt;"",IF(ISNUMBER(SEARCH("oob",$H134))=TRUE,IF(LEFT($H134,3)="def",MID($H134,9,LEN($H134)-8),$H134),VLOOKUP($B134,Import_list,2,FALSE)),"")</f>
        <v>dchislmgt02.app.test.hcscint.net</v>
      </c>
      <c r="F134" s="590" t="str">
        <f t="shared" ref="F134:F165" si="13">IF($B134&lt;&gt;"",
       IF(ISNUMBER(SEARCH("oob",$H134))=TRUE,"",IF(MID($B134,11,3)="VIP",VLOOKUP($B134,Import_list,3,FALSE),VLOOKUP($B134,Import_list,4,FALSE))),"")</f>
        <v>10.130.133.40</v>
      </c>
      <c r="G134" s="875" t="s">
        <v>5634</v>
      </c>
      <c r="H134" s="875" t="s">
        <v>5630</v>
      </c>
      <c r="I134" s="875" t="s">
        <v>25</v>
      </c>
      <c r="J134" s="875" t="s">
        <v>5635</v>
      </c>
      <c r="K134" s="590" t="str">
        <f t="shared" ref="K134:K165" si="14">IF(B134&lt;&gt;"",
     IF(MID($B134,10,3)="VIP","Full Decom",VLOOKUP(B134,Import_list,7,FALSE)),"")</f>
        <v>Full Decom</v>
      </c>
      <c r="L134" s="2479" t="str">
        <f>IF((OR($B134={"twauslihspxy03","twauslihspxy04","twauslihspxy01"," twauslihspxy02","pwauslihspxy03","pwauslihspxy04","pwauslihspxy01","pwauslihspxy02"})), "Please list the Reverse Proxy instances here", "")</f>
        <v/>
      </c>
    </row>
    <row r="135" spans="1:12">
      <c r="A135" s="3263" t="str">
        <f t="shared" ref="A135:A198" si="15">IF($B135&lt;&gt;"",$B135&amp;"  (IP"&amp;TEXT($C135,"00")&amp;")","")</f>
        <v>D20213598-002  (IP01)</v>
      </c>
      <c r="B135" s="1712" t="s">
        <v>5636</v>
      </c>
      <c r="C135" s="3223">
        <f t="shared" ref="C135:C198" si="16">IF(B135&lt;&gt;"",IF(B135=B134,C134+1,1),"")</f>
        <v>1</v>
      </c>
      <c r="D135" s="3231" t="str">
        <f t="shared" si="11"/>
        <v>pwauslrhmgt01</v>
      </c>
      <c r="E135" s="2008" t="str">
        <f t="shared" si="12"/>
        <v>pwauslrhmgt01.app.hcscint.net</v>
      </c>
      <c r="F135" s="2008" t="str">
        <f t="shared" si="13"/>
        <v>10.136.234.41</v>
      </c>
      <c r="G135" s="1587" t="s">
        <v>66</v>
      </c>
      <c r="H135" s="1587" t="s">
        <v>5631</v>
      </c>
      <c r="I135" s="1587" t="s">
        <v>1055</v>
      </c>
      <c r="J135" s="1587" t="s">
        <v>5635</v>
      </c>
      <c r="K135" s="2008" t="str">
        <f t="shared" si="14"/>
        <v>Full Decom</v>
      </c>
      <c r="L135" s="2477" t="str">
        <f>IF((OR($B135={"twauslihspxy03","twauslihspxy04","twauslihspxy01"," twauslihspxy02","pwauslihspxy03","pwauslihspxy04","pwauslihspxy01","pwauslihspxy02"})), "Please list the Reverse Proxy instances here", "")</f>
        <v/>
      </c>
    </row>
    <row r="136" spans="1:12" s="931" customFormat="1">
      <c r="A136" s="3263" t="str">
        <f t="shared" si="15"/>
        <v>D20213598-003  (IP01)</v>
      </c>
      <c r="B136" s="1712" t="s">
        <v>5637</v>
      </c>
      <c r="C136" s="3223">
        <f t="shared" si="16"/>
        <v>1</v>
      </c>
      <c r="D136" s="3231" t="str">
        <f t="shared" si="11"/>
        <v>pwauslosmgt01</v>
      </c>
      <c r="E136" s="2008" t="str">
        <f t="shared" si="12"/>
        <v>pwauslosmgt01.app.hcscint.net</v>
      </c>
      <c r="F136" s="2008" t="str">
        <f t="shared" si="13"/>
        <v>10.136.234.49</v>
      </c>
      <c r="G136" s="1587" t="s">
        <v>66</v>
      </c>
      <c r="H136" s="1587" t="s">
        <v>5632</v>
      </c>
      <c r="I136" s="1587" t="s">
        <v>25</v>
      </c>
      <c r="J136" s="1587" t="s">
        <v>5635</v>
      </c>
      <c r="K136" s="2008" t="str">
        <f t="shared" si="14"/>
        <v>Full Decom</v>
      </c>
      <c r="L136" s="2477" t="str">
        <f>IF((OR($B136={"twauslihspxy03","twauslihspxy04","twauslihspxy01"," twauslihspxy02","pwauslihspxy03","pwauslihspxy04","pwauslihspxy01","pwauslihspxy02"})), "Please list the Reverse Proxy instances here", "")</f>
        <v/>
      </c>
    </row>
    <row r="137" spans="1:12" s="931" customFormat="1">
      <c r="A137" s="3263" t="str">
        <f t="shared" si="15"/>
        <v>D20213598-003  (IP02)</v>
      </c>
      <c r="B137" s="1712" t="s">
        <v>5637</v>
      </c>
      <c r="C137" s="3223">
        <f t="shared" si="16"/>
        <v>2</v>
      </c>
      <c r="D137" s="3231" t="str">
        <f t="shared" si="11"/>
        <v>pwauslosmgt01</v>
      </c>
      <c r="E137" s="2008" t="str">
        <f t="shared" si="12"/>
        <v>pwauslosmgt01.oob.hcscint.net</v>
      </c>
      <c r="F137" s="2566" t="s">
        <v>5641</v>
      </c>
      <c r="G137" s="1587" t="s">
        <v>66</v>
      </c>
      <c r="H137" s="1696" t="s">
        <v>5640</v>
      </c>
      <c r="I137" s="1587" t="s">
        <v>25</v>
      </c>
      <c r="J137" s="1587" t="s">
        <v>5635</v>
      </c>
      <c r="K137" s="2008" t="str">
        <f t="shared" si="14"/>
        <v>Full Decom</v>
      </c>
      <c r="L137" s="2477" t="str">
        <f>IF((OR($B137={"twauslihspxy03","twauslihspxy04","twauslihspxy01"," twauslihspxy02","pwauslihspxy03","pwauslihspxy04","pwauslihspxy01","pwauslihspxy02"})), "Please list the Reverse Proxy instances here", "")</f>
        <v/>
      </c>
    </row>
    <row r="138" spans="1:12" s="931" customFormat="1">
      <c r="A138" s="3263" t="str">
        <f t="shared" si="15"/>
        <v>D20213598-003  (IP03)</v>
      </c>
      <c r="B138" s="1712" t="s">
        <v>5637</v>
      </c>
      <c r="C138" s="3223">
        <f t="shared" si="16"/>
        <v>3</v>
      </c>
      <c r="D138" s="3231" t="str">
        <f t="shared" si="11"/>
        <v>pwauslosmgt01</v>
      </c>
      <c r="E138" s="2008" t="str">
        <f t="shared" si="12"/>
        <v>pwauslosmgt01.app.hcscint.net</v>
      </c>
      <c r="F138" s="2008" t="str">
        <f t="shared" si="13"/>
        <v>10.136.234.49</v>
      </c>
      <c r="G138" s="1587" t="s">
        <v>66</v>
      </c>
      <c r="H138" s="1587" t="s">
        <v>5642</v>
      </c>
      <c r="I138" s="1587" t="s">
        <v>25</v>
      </c>
      <c r="J138" s="1587" t="s">
        <v>2533</v>
      </c>
      <c r="K138" s="2008" t="str">
        <f t="shared" si="14"/>
        <v>Full Decom</v>
      </c>
      <c r="L138" s="2477" t="str">
        <f>IF((OR($B138={"twauslihspxy03","twauslihspxy04","twauslihspxy01"," twauslihspxy02","pwauslihspxy03","pwauslihspxy04","pwauslihspxy01","pwauslihspxy02"})), "Please list the Reverse Proxy instances here", "")</f>
        <v/>
      </c>
    </row>
    <row r="139" spans="1:12" s="931" customFormat="1">
      <c r="A139" s="3263" t="str">
        <f t="shared" si="15"/>
        <v/>
      </c>
      <c r="B139" s="1712"/>
      <c r="C139" s="3223" t="str">
        <f t="shared" si="16"/>
        <v/>
      </c>
      <c r="D139" s="3231" t="str">
        <f t="shared" si="11"/>
        <v/>
      </c>
      <c r="E139" s="2008" t="str">
        <f t="shared" si="12"/>
        <v/>
      </c>
      <c r="F139" s="2008" t="str">
        <f t="shared" si="13"/>
        <v/>
      </c>
      <c r="G139" s="1587"/>
      <c r="H139" s="1696"/>
      <c r="I139" s="1587"/>
      <c r="J139" s="1587"/>
      <c r="K139" s="2008" t="str">
        <f t="shared" si="14"/>
        <v/>
      </c>
      <c r="L139" s="2477" t="str">
        <f>IF((OR($B139={"twauslihspxy03","twauslihspxy04","twauslihspxy01"," twauslihspxy02","pwauslihspxy03","pwauslihspxy04","pwauslihspxy01","pwauslihspxy02"})), "Please list the Reverse Proxy instances here", "")</f>
        <v/>
      </c>
    </row>
    <row r="140" spans="1:12" s="931" customFormat="1">
      <c r="A140" s="3263" t="str">
        <f t="shared" si="15"/>
        <v/>
      </c>
      <c r="B140" s="1712"/>
      <c r="C140" s="3223" t="str">
        <f t="shared" si="16"/>
        <v/>
      </c>
      <c r="D140" s="3231" t="str">
        <f t="shared" si="11"/>
        <v/>
      </c>
      <c r="E140" s="2008" t="str">
        <f t="shared" si="12"/>
        <v/>
      </c>
      <c r="F140" s="2008" t="str">
        <f t="shared" si="13"/>
        <v/>
      </c>
      <c r="G140" s="1587"/>
      <c r="H140" s="1587"/>
      <c r="I140" s="1587"/>
      <c r="J140" s="1587"/>
      <c r="K140" s="2008" t="str">
        <f t="shared" si="14"/>
        <v/>
      </c>
      <c r="L140" s="2477" t="str">
        <f>IF((OR($B140={"twauslihspxy03","twauslihspxy04","twauslihspxy01"," twauslihspxy02","pwauslihspxy03","pwauslihspxy04","pwauslihspxy01","pwauslihspxy02"})), "Please list the Reverse Proxy instances here", "")</f>
        <v/>
      </c>
    </row>
    <row r="141" spans="1:12" s="931" customFormat="1">
      <c r="A141" s="3263" t="str">
        <f t="shared" si="15"/>
        <v/>
      </c>
      <c r="B141" s="1712"/>
      <c r="C141" s="3223" t="str">
        <f t="shared" si="16"/>
        <v/>
      </c>
      <c r="D141" s="3231" t="str">
        <f t="shared" si="11"/>
        <v/>
      </c>
      <c r="E141" s="2008" t="str">
        <f t="shared" si="12"/>
        <v/>
      </c>
      <c r="F141" s="2008" t="str">
        <f t="shared" si="13"/>
        <v/>
      </c>
      <c r="G141" s="1587"/>
      <c r="H141" s="1587"/>
      <c r="I141" s="1587"/>
      <c r="J141" s="1587"/>
      <c r="K141" s="2008" t="str">
        <f t="shared" si="14"/>
        <v/>
      </c>
      <c r="L141" s="2477" t="str">
        <f>IF((OR($B141={"twauslihspxy03","twauslihspxy04","twauslihspxy01"," twauslihspxy02","pwauslihspxy03","pwauslihspxy04","pwauslihspxy01","pwauslihspxy02"})), "Please list the Reverse Proxy instances here", "")</f>
        <v/>
      </c>
    </row>
    <row r="142" spans="1:12" s="931" customFormat="1">
      <c r="A142" s="3263" t="str">
        <f t="shared" si="15"/>
        <v/>
      </c>
      <c r="B142" s="1712"/>
      <c r="C142" s="3223" t="str">
        <f t="shared" si="16"/>
        <v/>
      </c>
      <c r="D142" s="3231" t="str">
        <f t="shared" si="11"/>
        <v/>
      </c>
      <c r="E142" s="2008" t="str">
        <f t="shared" si="12"/>
        <v/>
      </c>
      <c r="F142" s="2008" t="str">
        <f t="shared" si="13"/>
        <v/>
      </c>
      <c r="G142" s="1587"/>
      <c r="H142" s="1587"/>
      <c r="I142" s="1587"/>
      <c r="J142" s="1587"/>
      <c r="K142" s="2008" t="str">
        <f t="shared" si="14"/>
        <v/>
      </c>
      <c r="L142" s="2477" t="str">
        <f>IF((OR($B142={"twauslihspxy03","twauslihspxy04","twauslihspxy01"," twauslihspxy02","pwauslihspxy03","pwauslihspxy04","pwauslihspxy01","pwauslihspxy02"})), "Please list the Reverse Proxy instances here", "")</f>
        <v/>
      </c>
    </row>
    <row r="143" spans="1:12" s="931" customFormat="1">
      <c r="A143" s="3263" t="str">
        <f t="shared" si="15"/>
        <v/>
      </c>
      <c r="B143" s="1712"/>
      <c r="C143" s="3223" t="str">
        <f t="shared" si="16"/>
        <v/>
      </c>
      <c r="D143" s="3231" t="str">
        <f t="shared" si="11"/>
        <v/>
      </c>
      <c r="E143" s="2008" t="str">
        <f t="shared" si="12"/>
        <v/>
      </c>
      <c r="F143" s="2008" t="str">
        <f t="shared" si="13"/>
        <v/>
      </c>
      <c r="G143" s="1587"/>
      <c r="H143" s="1587"/>
      <c r="I143" s="1587"/>
      <c r="J143" s="1587"/>
      <c r="K143" s="2008" t="str">
        <f t="shared" si="14"/>
        <v/>
      </c>
      <c r="L143" s="2477" t="str">
        <f>IF((OR($B143={"twauslihspxy03","twauslihspxy04","twauslihspxy01"," twauslihspxy02","pwauslihspxy03","pwauslihspxy04","pwauslihspxy01","pwauslihspxy02"})), "Please list the Reverse Proxy instances here", "")</f>
        <v/>
      </c>
    </row>
    <row r="144" spans="1:12" s="931" customFormat="1">
      <c r="A144" s="3263" t="str">
        <f t="shared" si="15"/>
        <v/>
      </c>
      <c r="B144" s="1712"/>
      <c r="C144" s="3223" t="str">
        <f t="shared" si="16"/>
        <v/>
      </c>
      <c r="D144" s="3231" t="str">
        <f t="shared" si="11"/>
        <v/>
      </c>
      <c r="E144" s="2008" t="str">
        <f t="shared" si="12"/>
        <v/>
      </c>
      <c r="F144" s="2008" t="str">
        <f t="shared" si="13"/>
        <v/>
      </c>
      <c r="G144" s="1587"/>
      <c r="H144" s="1587"/>
      <c r="I144" s="1587"/>
      <c r="J144" s="1587"/>
      <c r="K144" s="2008" t="str">
        <f t="shared" si="14"/>
        <v/>
      </c>
      <c r="L144" s="2477" t="str">
        <f>IF((OR($B144={"twauslihspxy03","twauslihspxy04","twauslihspxy01"," twauslihspxy02","pwauslihspxy03","pwauslihspxy04","pwauslihspxy01","pwauslihspxy02"})), "Please list the Reverse Proxy instances here", "")</f>
        <v/>
      </c>
    </row>
    <row r="145" spans="1:12" s="931" customFormat="1">
      <c r="A145" s="3263" t="str">
        <f t="shared" si="15"/>
        <v/>
      </c>
      <c r="B145" s="1712"/>
      <c r="C145" s="3223" t="str">
        <f t="shared" si="16"/>
        <v/>
      </c>
      <c r="D145" s="3231" t="str">
        <f t="shared" si="11"/>
        <v/>
      </c>
      <c r="E145" s="2008" t="str">
        <f t="shared" si="12"/>
        <v/>
      </c>
      <c r="F145" s="2008" t="str">
        <f t="shared" si="13"/>
        <v/>
      </c>
      <c r="G145" s="1587"/>
      <c r="H145" s="1587"/>
      <c r="I145" s="1587"/>
      <c r="J145" s="1587"/>
      <c r="K145" s="2008" t="str">
        <f t="shared" si="14"/>
        <v/>
      </c>
      <c r="L145" s="2477" t="str">
        <f>IF((OR($B145={"twauslihspxy03","twauslihspxy04","twauslihspxy01"," twauslihspxy02","pwauslihspxy03","pwauslihspxy04","pwauslihspxy01","pwauslihspxy02"})), "Please list the Reverse Proxy instances here", "")</f>
        <v/>
      </c>
    </row>
    <row r="146" spans="1:12" s="931" customFormat="1">
      <c r="A146" s="3263" t="str">
        <f t="shared" si="15"/>
        <v/>
      </c>
      <c r="B146" s="1712"/>
      <c r="C146" s="3223" t="str">
        <f t="shared" si="16"/>
        <v/>
      </c>
      <c r="D146" s="3231" t="str">
        <f t="shared" si="11"/>
        <v/>
      </c>
      <c r="E146" s="2008" t="str">
        <f t="shared" si="12"/>
        <v/>
      </c>
      <c r="F146" s="2008" t="str">
        <f t="shared" si="13"/>
        <v/>
      </c>
      <c r="G146" s="1587"/>
      <c r="H146" s="1587"/>
      <c r="I146" s="1587"/>
      <c r="J146" s="1587"/>
      <c r="K146" s="2008" t="str">
        <f t="shared" si="14"/>
        <v/>
      </c>
      <c r="L146" s="2477" t="str">
        <f>IF((OR($B146={"twauslihspxy03","twauslihspxy04","twauslihspxy01"," twauslihspxy02","pwauslihspxy03","pwauslihspxy04","pwauslihspxy01","pwauslihspxy02"})), "Please list the Reverse Proxy instances here", "")</f>
        <v/>
      </c>
    </row>
    <row r="147" spans="1:12" s="931" customFormat="1">
      <c r="A147" s="3263" t="str">
        <f t="shared" si="15"/>
        <v/>
      </c>
      <c r="B147" s="1712"/>
      <c r="C147" s="3223" t="str">
        <f t="shared" si="16"/>
        <v/>
      </c>
      <c r="D147" s="3231" t="str">
        <f t="shared" si="11"/>
        <v/>
      </c>
      <c r="E147" s="2008" t="str">
        <f t="shared" si="12"/>
        <v/>
      </c>
      <c r="F147" s="2008" t="str">
        <f t="shared" si="13"/>
        <v/>
      </c>
      <c r="G147" s="1587"/>
      <c r="H147" s="1587"/>
      <c r="I147" s="1587"/>
      <c r="J147" s="1587"/>
      <c r="K147" s="2008" t="str">
        <f t="shared" si="14"/>
        <v/>
      </c>
      <c r="L147" s="2477" t="str">
        <f>IF((OR($B147={"twauslihspxy03","twauslihspxy04","twauslihspxy01"," twauslihspxy02","pwauslihspxy03","pwauslihspxy04","pwauslihspxy01","pwauslihspxy02"})), "Please list the Reverse Proxy instances here", "")</f>
        <v/>
      </c>
    </row>
    <row r="148" spans="1:12" s="931" customFormat="1">
      <c r="A148" s="3263" t="str">
        <f t="shared" si="15"/>
        <v/>
      </c>
      <c r="B148" s="1712"/>
      <c r="C148" s="3223" t="str">
        <f t="shared" si="16"/>
        <v/>
      </c>
      <c r="D148" s="3231" t="str">
        <f t="shared" si="11"/>
        <v/>
      </c>
      <c r="E148" s="2008" t="str">
        <f t="shared" si="12"/>
        <v/>
      </c>
      <c r="F148" s="2008" t="str">
        <f t="shared" si="13"/>
        <v/>
      </c>
      <c r="G148" s="1587"/>
      <c r="H148" s="1587"/>
      <c r="I148" s="1587"/>
      <c r="J148" s="1587"/>
      <c r="K148" s="2008" t="str">
        <f t="shared" si="14"/>
        <v/>
      </c>
      <c r="L148" s="2477" t="str">
        <f>IF((OR($B148={"twauslihspxy03","twauslihspxy04","twauslihspxy01"," twauslihspxy02","pwauslihspxy03","pwauslihspxy04","pwauslihspxy01","pwauslihspxy02"})), "Please list the Reverse Proxy instances here", "")</f>
        <v/>
      </c>
    </row>
    <row r="149" spans="1:12" s="931" customFormat="1">
      <c r="A149" s="3263" t="str">
        <f t="shared" si="15"/>
        <v/>
      </c>
      <c r="B149" s="1712"/>
      <c r="C149" s="3223" t="str">
        <f t="shared" si="16"/>
        <v/>
      </c>
      <c r="D149" s="3231" t="str">
        <f t="shared" si="11"/>
        <v/>
      </c>
      <c r="E149" s="2008" t="str">
        <f t="shared" si="12"/>
        <v/>
      </c>
      <c r="F149" s="2008" t="str">
        <f t="shared" si="13"/>
        <v/>
      </c>
      <c r="G149" s="1587"/>
      <c r="H149" s="1587"/>
      <c r="I149" s="1587"/>
      <c r="J149" s="1587"/>
      <c r="K149" s="2008" t="str">
        <f t="shared" si="14"/>
        <v/>
      </c>
      <c r="L149" s="2477" t="str">
        <f>IF((OR($B149={"twauslihspxy03","twauslihspxy04","twauslihspxy01"," twauslihspxy02","pwauslihspxy03","pwauslihspxy04","pwauslihspxy01","pwauslihspxy02"})), "Please list the Reverse Proxy instances here", "")</f>
        <v/>
      </c>
    </row>
    <row r="150" spans="1:12" s="931" customFormat="1">
      <c r="A150" s="3263" t="str">
        <f t="shared" si="15"/>
        <v/>
      </c>
      <c r="B150" s="1712"/>
      <c r="C150" s="3223" t="str">
        <f t="shared" si="16"/>
        <v/>
      </c>
      <c r="D150" s="3231" t="str">
        <f t="shared" si="11"/>
        <v/>
      </c>
      <c r="E150" s="2008" t="str">
        <f t="shared" si="12"/>
        <v/>
      </c>
      <c r="F150" s="2008" t="str">
        <f t="shared" si="13"/>
        <v/>
      </c>
      <c r="G150" s="1587"/>
      <c r="H150" s="1587"/>
      <c r="I150" s="1587"/>
      <c r="J150" s="1587"/>
      <c r="K150" s="2008" t="str">
        <f t="shared" si="14"/>
        <v/>
      </c>
      <c r="L150" s="2477" t="str">
        <f>IF((OR($B150={"twauslihspxy03","twauslihspxy04","twauslihspxy01"," twauslihspxy02","pwauslihspxy03","pwauslihspxy04","pwauslihspxy01","pwauslihspxy02"})), "Please list the Reverse Proxy instances here", "")</f>
        <v/>
      </c>
    </row>
    <row r="151" spans="1:12" s="931" customFormat="1">
      <c r="A151" s="3263" t="str">
        <f t="shared" si="15"/>
        <v/>
      </c>
      <c r="B151" s="1712"/>
      <c r="C151" s="3223" t="str">
        <f t="shared" si="16"/>
        <v/>
      </c>
      <c r="D151" s="3231" t="str">
        <f t="shared" si="11"/>
        <v/>
      </c>
      <c r="E151" s="2008" t="str">
        <f t="shared" si="12"/>
        <v/>
      </c>
      <c r="F151" s="2008" t="str">
        <f t="shared" si="13"/>
        <v/>
      </c>
      <c r="G151" s="1587"/>
      <c r="H151" s="1587"/>
      <c r="I151" s="1587"/>
      <c r="J151" s="1587"/>
      <c r="K151" s="2008" t="str">
        <f t="shared" si="14"/>
        <v/>
      </c>
      <c r="L151" s="2477" t="str">
        <f>IF((OR($B151={"twauslihspxy03","twauslihspxy04","twauslihspxy01"," twauslihspxy02","pwauslihspxy03","pwauslihspxy04","pwauslihspxy01","pwauslihspxy02"})), "Please list the Reverse Proxy instances here", "")</f>
        <v/>
      </c>
    </row>
    <row r="152" spans="1:12" s="931" customFormat="1">
      <c r="A152" s="3263" t="str">
        <f t="shared" si="15"/>
        <v/>
      </c>
      <c r="B152" s="1712"/>
      <c r="C152" s="3223" t="str">
        <f t="shared" si="16"/>
        <v/>
      </c>
      <c r="D152" s="3231" t="str">
        <f t="shared" si="11"/>
        <v/>
      </c>
      <c r="E152" s="2008" t="str">
        <f t="shared" si="12"/>
        <v/>
      </c>
      <c r="F152" s="2008" t="str">
        <f t="shared" si="13"/>
        <v/>
      </c>
      <c r="G152" s="1587"/>
      <c r="H152" s="1587"/>
      <c r="I152" s="1587"/>
      <c r="J152" s="1587"/>
      <c r="K152" s="2008" t="str">
        <f t="shared" si="14"/>
        <v/>
      </c>
      <c r="L152" s="2477" t="str">
        <f>IF((OR($B152={"twauslihspxy03","twauslihspxy04","twauslihspxy01"," twauslihspxy02","pwauslihspxy03","pwauslihspxy04","pwauslihspxy01","pwauslihspxy02"})), "Please list the Reverse Proxy instances here", "")</f>
        <v/>
      </c>
    </row>
    <row r="153" spans="1:12" s="931" customFormat="1">
      <c r="A153" s="3263" t="str">
        <f t="shared" si="15"/>
        <v/>
      </c>
      <c r="B153" s="1712"/>
      <c r="C153" s="3223" t="str">
        <f t="shared" si="16"/>
        <v/>
      </c>
      <c r="D153" s="3231" t="str">
        <f t="shared" si="11"/>
        <v/>
      </c>
      <c r="E153" s="2008" t="str">
        <f t="shared" si="12"/>
        <v/>
      </c>
      <c r="F153" s="2008" t="str">
        <f t="shared" si="13"/>
        <v/>
      </c>
      <c r="G153" s="1587"/>
      <c r="H153" s="1587"/>
      <c r="I153" s="1587"/>
      <c r="J153" s="1587"/>
      <c r="K153" s="2008" t="str">
        <f t="shared" si="14"/>
        <v/>
      </c>
      <c r="L153" s="2477" t="str">
        <f>IF((OR($B153={"twauslihspxy03","twauslihspxy04","twauslihspxy01"," twauslihspxy02","pwauslihspxy03","pwauslihspxy04","pwauslihspxy01","pwauslihspxy02"})), "Please list the Reverse Proxy instances here", "")</f>
        <v/>
      </c>
    </row>
    <row r="154" spans="1:12" s="931" customFormat="1">
      <c r="A154" s="3263" t="str">
        <f t="shared" si="15"/>
        <v/>
      </c>
      <c r="B154" s="1712"/>
      <c r="C154" s="3223" t="str">
        <f t="shared" si="16"/>
        <v/>
      </c>
      <c r="D154" s="3231" t="str">
        <f t="shared" si="11"/>
        <v/>
      </c>
      <c r="E154" s="2008" t="str">
        <f t="shared" si="12"/>
        <v/>
      </c>
      <c r="F154" s="2008" t="str">
        <f t="shared" si="13"/>
        <v/>
      </c>
      <c r="G154" s="1587"/>
      <c r="H154" s="1587"/>
      <c r="I154" s="1587"/>
      <c r="J154" s="1587"/>
      <c r="K154" s="2008" t="str">
        <f t="shared" si="14"/>
        <v/>
      </c>
      <c r="L154" s="2477" t="str">
        <f>IF((OR($B154={"twauslihspxy03","twauslihspxy04","twauslihspxy01"," twauslihspxy02","pwauslihspxy03","pwauslihspxy04","pwauslihspxy01","pwauslihspxy02"})), "Please list the Reverse Proxy instances here", "")</f>
        <v/>
      </c>
    </row>
    <row r="155" spans="1:12" s="931" customFormat="1">
      <c r="A155" s="3263" t="str">
        <f t="shared" si="15"/>
        <v/>
      </c>
      <c r="B155" s="1712"/>
      <c r="C155" s="3223" t="str">
        <f t="shared" si="16"/>
        <v/>
      </c>
      <c r="D155" s="3231" t="str">
        <f t="shared" si="11"/>
        <v/>
      </c>
      <c r="E155" s="2008" t="str">
        <f t="shared" si="12"/>
        <v/>
      </c>
      <c r="F155" s="2008" t="str">
        <f t="shared" si="13"/>
        <v/>
      </c>
      <c r="G155" s="1587"/>
      <c r="H155" s="1587"/>
      <c r="I155" s="1587"/>
      <c r="J155" s="1587"/>
      <c r="K155" s="2008" t="str">
        <f t="shared" si="14"/>
        <v/>
      </c>
      <c r="L155" s="2477" t="str">
        <f>IF((OR($B155={"twauslihspxy03","twauslihspxy04","twauslihspxy01"," twauslihspxy02","pwauslihspxy03","pwauslihspxy04","pwauslihspxy01","pwauslihspxy02"})), "Please list the Reverse Proxy instances here", "")</f>
        <v/>
      </c>
    </row>
    <row r="156" spans="1:12" s="931" customFormat="1">
      <c r="A156" s="3263" t="str">
        <f t="shared" si="15"/>
        <v/>
      </c>
      <c r="B156" s="1712"/>
      <c r="C156" s="3223" t="str">
        <f t="shared" si="16"/>
        <v/>
      </c>
      <c r="D156" s="3231" t="str">
        <f t="shared" si="11"/>
        <v/>
      </c>
      <c r="E156" s="2008" t="str">
        <f t="shared" si="12"/>
        <v/>
      </c>
      <c r="F156" s="2008" t="str">
        <f t="shared" si="13"/>
        <v/>
      </c>
      <c r="G156" s="1587"/>
      <c r="H156" s="1587"/>
      <c r="I156" s="1587"/>
      <c r="J156" s="1587"/>
      <c r="K156" s="2008" t="str">
        <f t="shared" si="14"/>
        <v/>
      </c>
      <c r="L156" s="2477" t="str">
        <f>IF((OR($B156={"twauslihspxy03","twauslihspxy04","twauslihspxy01"," twauslihspxy02","pwauslihspxy03","pwauslihspxy04","pwauslihspxy01","pwauslihspxy02"})), "Please list the Reverse Proxy instances here", "")</f>
        <v/>
      </c>
    </row>
    <row r="157" spans="1:12" s="931" customFormat="1">
      <c r="A157" s="3263" t="str">
        <f t="shared" si="15"/>
        <v/>
      </c>
      <c r="B157" s="1712"/>
      <c r="C157" s="3223" t="str">
        <f t="shared" si="16"/>
        <v/>
      </c>
      <c r="D157" s="3231" t="str">
        <f t="shared" si="11"/>
        <v/>
      </c>
      <c r="E157" s="2008" t="str">
        <f t="shared" si="12"/>
        <v/>
      </c>
      <c r="F157" s="2008" t="str">
        <f t="shared" si="13"/>
        <v/>
      </c>
      <c r="G157" s="1587"/>
      <c r="H157" s="1587"/>
      <c r="I157" s="1587"/>
      <c r="J157" s="1587"/>
      <c r="K157" s="2008" t="str">
        <f t="shared" si="14"/>
        <v/>
      </c>
      <c r="L157" s="2477" t="str">
        <f>IF((OR($B157={"twauslihspxy03","twauslihspxy04","twauslihspxy01"," twauslihspxy02","pwauslihspxy03","pwauslihspxy04","pwauslihspxy01","pwauslihspxy02"})), "Please list the Reverse Proxy instances here", "")</f>
        <v/>
      </c>
    </row>
    <row r="158" spans="1:12" s="931" customFormat="1">
      <c r="A158" s="3263" t="str">
        <f t="shared" si="15"/>
        <v/>
      </c>
      <c r="B158" s="1712"/>
      <c r="C158" s="3223" t="str">
        <f t="shared" si="16"/>
        <v/>
      </c>
      <c r="D158" s="3231" t="str">
        <f t="shared" si="11"/>
        <v/>
      </c>
      <c r="E158" s="2008" t="str">
        <f t="shared" si="12"/>
        <v/>
      </c>
      <c r="F158" s="2008" t="str">
        <f t="shared" si="13"/>
        <v/>
      </c>
      <c r="G158" s="1587"/>
      <c r="H158" s="1587"/>
      <c r="I158" s="1587"/>
      <c r="J158" s="1587"/>
      <c r="K158" s="2008" t="str">
        <f t="shared" si="14"/>
        <v/>
      </c>
      <c r="L158" s="2477" t="str">
        <f>IF((OR($B158={"twauslihspxy03","twauslihspxy04","twauslihspxy01"," twauslihspxy02","pwauslihspxy03","pwauslihspxy04","pwauslihspxy01","pwauslihspxy02"})), "Please list the Reverse Proxy instances here", "")</f>
        <v/>
      </c>
    </row>
    <row r="159" spans="1:12" s="931" customFormat="1">
      <c r="A159" s="3263" t="str">
        <f t="shared" si="15"/>
        <v/>
      </c>
      <c r="B159" s="1712"/>
      <c r="C159" s="3223" t="str">
        <f t="shared" si="16"/>
        <v/>
      </c>
      <c r="D159" s="3231" t="str">
        <f t="shared" si="11"/>
        <v/>
      </c>
      <c r="E159" s="2008" t="str">
        <f t="shared" si="12"/>
        <v/>
      </c>
      <c r="F159" s="2008" t="str">
        <f t="shared" si="13"/>
        <v/>
      </c>
      <c r="G159" s="1587"/>
      <c r="H159" s="1587"/>
      <c r="I159" s="1587"/>
      <c r="J159" s="1587"/>
      <c r="K159" s="2008" t="str">
        <f t="shared" si="14"/>
        <v/>
      </c>
      <c r="L159" s="2477" t="str">
        <f>IF((OR($B159={"twauslihspxy03","twauslihspxy04","twauslihspxy01"," twauslihspxy02","pwauslihspxy03","pwauslihspxy04","pwauslihspxy01","pwauslihspxy02"})), "Please list the Reverse Proxy instances here", "")</f>
        <v/>
      </c>
    </row>
    <row r="160" spans="1:12" s="931" customFormat="1">
      <c r="A160" s="3263" t="str">
        <f t="shared" si="15"/>
        <v/>
      </c>
      <c r="B160" s="1712"/>
      <c r="C160" s="3223" t="str">
        <f t="shared" si="16"/>
        <v/>
      </c>
      <c r="D160" s="3231" t="str">
        <f t="shared" si="11"/>
        <v/>
      </c>
      <c r="E160" s="2008" t="str">
        <f t="shared" si="12"/>
        <v/>
      </c>
      <c r="F160" s="2008" t="str">
        <f t="shared" si="13"/>
        <v/>
      </c>
      <c r="G160" s="1587"/>
      <c r="H160" s="1587"/>
      <c r="I160" s="1587"/>
      <c r="J160" s="1587"/>
      <c r="K160" s="2008" t="str">
        <f t="shared" si="14"/>
        <v/>
      </c>
      <c r="L160" s="2477" t="str">
        <f>IF((OR($B160={"twauslihspxy03","twauslihspxy04","twauslihspxy01"," twauslihspxy02","pwauslihspxy03","pwauslihspxy04","pwauslihspxy01","pwauslihspxy02"})), "Please list the Reverse Proxy instances here", "")</f>
        <v/>
      </c>
    </row>
    <row r="161" spans="1:12" s="931" customFormat="1">
      <c r="A161" s="3263" t="str">
        <f t="shared" si="15"/>
        <v/>
      </c>
      <c r="B161" s="1712"/>
      <c r="C161" s="3223" t="str">
        <f t="shared" si="16"/>
        <v/>
      </c>
      <c r="D161" s="3231" t="str">
        <f t="shared" si="11"/>
        <v/>
      </c>
      <c r="E161" s="2008" t="str">
        <f t="shared" si="12"/>
        <v/>
      </c>
      <c r="F161" s="2008" t="str">
        <f t="shared" si="13"/>
        <v/>
      </c>
      <c r="G161" s="1587"/>
      <c r="H161" s="1587"/>
      <c r="I161" s="1587"/>
      <c r="J161" s="1587"/>
      <c r="K161" s="2008" t="str">
        <f t="shared" si="14"/>
        <v/>
      </c>
      <c r="L161" s="2477" t="str">
        <f>IF((OR($B161={"twauslihspxy03","twauslihspxy04","twauslihspxy01"," twauslihspxy02","pwauslihspxy03","pwauslihspxy04","pwauslihspxy01","pwauslihspxy02"})), "Please list the Reverse Proxy instances here", "")</f>
        <v/>
      </c>
    </row>
    <row r="162" spans="1:12" s="931" customFormat="1">
      <c r="A162" s="3263" t="str">
        <f t="shared" si="15"/>
        <v/>
      </c>
      <c r="B162" s="1712"/>
      <c r="C162" s="3223" t="str">
        <f t="shared" si="16"/>
        <v/>
      </c>
      <c r="D162" s="3231" t="str">
        <f t="shared" si="11"/>
        <v/>
      </c>
      <c r="E162" s="2008" t="str">
        <f t="shared" si="12"/>
        <v/>
      </c>
      <c r="F162" s="2008" t="str">
        <f t="shared" si="13"/>
        <v/>
      </c>
      <c r="G162" s="1587"/>
      <c r="H162" s="1587"/>
      <c r="I162" s="1587"/>
      <c r="J162" s="1587"/>
      <c r="K162" s="2008" t="str">
        <f t="shared" si="14"/>
        <v/>
      </c>
      <c r="L162" s="2477" t="str">
        <f>IF((OR($B162={"twauslihspxy03","twauslihspxy04","twauslihspxy01"," twauslihspxy02","pwauslihspxy03","pwauslihspxy04","pwauslihspxy01","pwauslihspxy02"})), "Please list the Reverse Proxy instances here", "")</f>
        <v/>
      </c>
    </row>
    <row r="163" spans="1:12" s="931" customFormat="1">
      <c r="A163" s="3263" t="str">
        <f t="shared" si="15"/>
        <v/>
      </c>
      <c r="B163" s="1712"/>
      <c r="C163" s="3223" t="str">
        <f t="shared" si="16"/>
        <v/>
      </c>
      <c r="D163" s="3231" t="str">
        <f t="shared" si="11"/>
        <v/>
      </c>
      <c r="E163" s="2008" t="str">
        <f t="shared" si="12"/>
        <v/>
      </c>
      <c r="F163" s="2008" t="str">
        <f t="shared" si="13"/>
        <v/>
      </c>
      <c r="G163" s="1587"/>
      <c r="H163" s="1587"/>
      <c r="I163" s="1587"/>
      <c r="J163" s="1587"/>
      <c r="K163" s="2008" t="str">
        <f t="shared" si="14"/>
        <v/>
      </c>
      <c r="L163" s="2478" t="str">
        <f>IF((OR($B163={"twauslihspxy03","twauslihspxy04","twauslihspxy01"," twauslihspxy02","pwauslihspxy03","pwauslihspxy04","pwauslihspxy01","pwauslihspxy02"})), "Please list the Reverse Proxy instances here", "")</f>
        <v/>
      </c>
    </row>
    <row r="164" spans="1:12" s="931" customFormat="1">
      <c r="A164" s="3263" t="str">
        <f t="shared" si="15"/>
        <v/>
      </c>
      <c r="B164" s="1712"/>
      <c r="C164" s="3223" t="str">
        <f t="shared" si="16"/>
        <v/>
      </c>
      <c r="D164" s="3231" t="str">
        <f t="shared" si="11"/>
        <v/>
      </c>
      <c r="E164" s="2008" t="str">
        <f t="shared" si="12"/>
        <v/>
      </c>
      <c r="F164" s="2008" t="str">
        <f t="shared" si="13"/>
        <v/>
      </c>
      <c r="G164" s="1587"/>
      <c r="H164" s="1587"/>
      <c r="I164" s="1587"/>
      <c r="J164" s="1587"/>
      <c r="K164" s="2008" t="str">
        <f t="shared" si="14"/>
        <v/>
      </c>
      <c r="L164" s="2478" t="str">
        <f>IF((OR($B164={"twauslihspxy03","twauslihspxy04","twauslihspxy01"," twauslihspxy02","pwauslihspxy03","pwauslihspxy04","pwauslihspxy01","pwauslihspxy02"})), "Please list the Reverse Proxy instances here", "")</f>
        <v/>
      </c>
    </row>
    <row r="165" spans="1:12" s="931" customFormat="1">
      <c r="A165" s="3263" t="str">
        <f t="shared" si="15"/>
        <v/>
      </c>
      <c r="B165" s="1712"/>
      <c r="C165" s="3223" t="str">
        <f t="shared" si="16"/>
        <v/>
      </c>
      <c r="D165" s="3231" t="str">
        <f t="shared" si="11"/>
        <v/>
      </c>
      <c r="E165" s="2008" t="str">
        <f t="shared" si="12"/>
        <v/>
      </c>
      <c r="F165" s="2008" t="str">
        <f t="shared" si="13"/>
        <v/>
      </c>
      <c r="G165" s="1587"/>
      <c r="H165" s="1587"/>
      <c r="I165" s="1587"/>
      <c r="J165" s="1587"/>
      <c r="K165" s="2008" t="str">
        <f t="shared" si="14"/>
        <v/>
      </c>
      <c r="L165" s="2478" t="str">
        <f>IF((OR($B165={"twauslihspxy03","twauslihspxy04","twauslihspxy01"," twauslihspxy02","pwauslihspxy03","pwauslihspxy04","pwauslihspxy01","pwauslihspxy02"})), "Please list the Reverse Proxy instances here", "")</f>
        <v/>
      </c>
    </row>
    <row r="166" spans="1:12" s="931" customFormat="1">
      <c r="A166" s="3263" t="str">
        <f t="shared" si="15"/>
        <v/>
      </c>
      <c r="B166" s="1712"/>
      <c r="C166" s="3223" t="str">
        <f t="shared" si="16"/>
        <v/>
      </c>
      <c r="D166" s="3231" t="str">
        <f t="shared" ref="D166:D197" si="17">IF($B166&lt;&gt;"",
IF(MID($B166,11,3)="VIP",LEFT($E166,FIND(".",$E166)-1),VLOOKUP($B166,Import_list,3,FALSE)),"")</f>
        <v/>
      </c>
      <c r="E166" s="2008" t="str">
        <f t="shared" ref="E166:E197" si="18">IF($B166&lt;&gt;"",IF(ISNUMBER(SEARCH("oob",$H166))=TRUE,IF(LEFT($H166,3)="def",MID($H166,9,LEN($H166)-8),$H166),VLOOKUP($B166,Import_list,2,FALSE)),"")</f>
        <v/>
      </c>
      <c r="F166" s="2008" t="str">
        <f t="shared" ref="F166:F197" si="19">IF($B166&lt;&gt;"",
       IF(ISNUMBER(SEARCH("oob",$H166))=TRUE,"",IF(MID($B166,11,3)="VIP",VLOOKUP($B166,Import_list,3,FALSE),VLOOKUP($B166,Import_list,4,FALSE))),"")</f>
        <v/>
      </c>
      <c r="G166" s="1587"/>
      <c r="H166" s="1587"/>
      <c r="I166" s="1587"/>
      <c r="J166" s="1587"/>
      <c r="K166" s="2008" t="str">
        <f t="shared" ref="K166:K197" si="20">IF(B166&lt;&gt;"",
     IF(MID($B166,10,3)="VIP","Full Decom",VLOOKUP(B166,Import_list,7,FALSE)),"")</f>
        <v/>
      </c>
      <c r="L166" s="2478" t="str">
        <f>IF((OR($B166={"twauslihspxy03","twauslihspxy04","twauslihspxy01"," twauslihspxy02","pwauslihspxy03","pwauslihspxy04","pwauslihspxy01","pwauslihspxy02"})), "Please list the Reverse Proxy instances here", "")</f>
        <v/>
      </c>
    </row>
    <row r="167" spans="1:12" s="931" customFormat="1">
      <c r="A167" s="3263" t="str">
        <f t="shared" si="15"/>
        <v/>
      </c>
      <c r="B167" s="1712"/>
      <c r="C167" s="3223" t="str">
        <f t="shared" si="16"/>
        <v/>
      </c>
      <c r="D167" s="3231" t="str">
        <f t="shared" si="17"/>
        <v/>
      </c>
      <c r="E167" s="2008" t="str">
        <f t="shared" si="18"/>
        <v/>
      </c>
      <c r="F167" s="2008" t="str">
        <f t="shared" si="19"/>
        <v/>
      </c>
      <c r="G167" s="1587"/>
      <c r="H167" s="1587"/>
      <c r="I167" s="1587"/>
      <c r="J167" s="1587"/>
      <c r="K167" s="2008" t="str">
        <f t="shared" si="20"/>
        <v/>
      </c>
      <c r="L167" s="2478" t="str">
        <f>IF((OR($B167={"twauslihspxy03","twauslihspxy04","twauslihspxy01"," twauslihspxy02","pwauslihspxy03","pwauslihspxy04","pwauslihspxy01","pwauslihspxy02"})), "Please list the Reverse Proxy instances here", "")</f>
        <v/>
      </c>
    </row>
    <row r="168" spans="1:12" s="931" customFormat="1">
      <c r="A168" s="3263" t="str">
        <f t="shared" si="15"/>
        <v/>
      </c>
      <c r="B168" s="1712"/>
      <c r="C168" s="3223" t="str">
        <f t="shared" si="16"/>
        <v/>
      </c>
      <c r="D168" s="3231" t="str">
        <f t="shared" si="17"/>
        <v/>
      </c>
      <c r="E168" s="2008" t="str">
        <f t="shared" si="18"/>
        <v/>
      </c>
      <c r="F168" s="2008" t="str">
        <f t="shared" si="19"/>
        <v/>
      </c>
      <c r="G168" s="1587"/>
      <c r="H168" s="1587"/>
      <c r="I168" s="1587"/>
      <c r="J168" s="1587"/>
      <c r="K168" s="2008" t="str">
        <f t="shared" si="20"/>
        <v/>
      </c>
      <c r="L168" s="2478" t="str">
        <f>IF((OR($B168={"twauslihspxy03","twauslihspxy04","twauslihspxy01"," twauslihspxy02","pwauslihspxy03","pwauslihspxy04","pwauslihspxy01","pwauslihspxy02"})), "Please list the Reverse Proxy instances here", "")</f>
        <v/>
      </c>
    </row>
    <row r="169" spans="1:12" s="931" customFormat="1">
      <c r="A169" s="3263" t="str">
        <f t="shared" si="15"/>
        <v/>
      </c>
      <c r="B169" s="1712"/>
      <c r="C169" s="3223" t="str">
        <f t="shared" si="16"/>
        <v/>
      </c>
      <c r="D169" s="3231" t="str">
        <f t="shared" si="17"/>
        <v/>
      </c>
      <c r="E169" s="2008" t="str">
        <f t="shared" si="18"/>
        <v/>
      </c>
      <c r="F169" s="2008" t="str">
        <f t="shared" si="19"/>
        <v/>
      </c>
      <c r="G169" s="1587"/>
      <c r="H169" s="1587"/>
      <c r="I169" s="1587"/>
      <c r="J169" s="1587"/>
      <c r="K169" s="2008" t="str">
        <f t="shared" si="20"/>
        <v/>
      </c>
      <c r="L169" s="2478" t="str">
        <f>IF((OR($B169={"twauslihspxy03","twauslihspxy04","twauslihspxy01"," twauslihspxy02","pwauslihspxy03","pwauslihspxy04","pwauslihspxy01","pwauslihspxy02"})), "Please list the Reverse Proxy instances here", "")</f>
        <v/>
      </c>
    </row>
    <row r="170" spans="1:12" s="931" customFormat="1">
      <c r="A170" s="3263" t="str">
        <f t="shared" si="15"/>
        <v/>
      </c>
      <c r="B170" s="1712"/>
      <c r="C170" s="3223" t="str">
        <f t="shared" si="16"/>
        <v/>
      </c>
      <c r="D170" s="3231" t="str">
        <f t="shared" si="17"/>
        <v/>
      </c>
      <c r="E170" s="2008" t="str">
        <f t="shared" si="18"/>
        <v/>
      </c>
      <c r="F170" s="2008" t="str">
        <f t="shared" si="19"/>
        <v/>
      </c>
      <c r="G170" s="1587"/>
      <c r="H170" s="1587"/>
      <c r="I170" s="1587"/>
      <c r="J170" s="1587"/>
      <c r="K170" s="2008" t="str">
        <f t="shared" si="20"/>
        <v/>
      </c>
      <c r="L170" s="2478" t="str">
        <f>IF((OR($B170={"twauslihspxy03","twauslihspxy04","twauslihspxy01"," twauslihspxy02","pwauslihspxy03","pwauslihspxy04","pwauslihspxy01","pwauslihspxy02"})), "Please list the Reverse Proxy instances here", "")</f>
        <v/>
      </c>
    </row>
    <row r="171" spans="1:12" s="931" customFormat="1">
      <c r="A171" s="3263" t="str">
        <f t="shared" si="15"/>
        <v/>
      </c>
      <c r="B171" s="1712"/>
      <c r="C171" s="3223" t="str">
        <f t="shared" si="16"/>
        <v/>
      </c>
      <c r="D171" s="3231" t="str">
        <f t="shared" si="17"/>
        <v/>
      </c>
      <c r="E171" s="2008" t="str">
        <f t="shared" si="18"/>
        <v/>
      </c>
      <c r="F171" s="2008" t="str">
        <f t="shared" si="19"/>
        <v/>
      </c>
      <c r="G171" s="1587"/>
      <c r="H171" s="1587"/>
      <c r="I171" s="1587"/>
      <c r="J171" s="1587"/>
      <c r="K171" s="2008" t="str">
        <f t="shared" si="20"/>
        <v/>
      </c>
      <c r="L171" s="2478" t="str">
        <f>IF((OR($B171={"twauslihspxy03","twauslihspxy04","twauslihspxy01"," twauslihspxy02","pwauslihspxy03","pwauslihspxy04","pwauslihspxy01","pwauslihspxy02"})), "Please list the Reverse Proxy instances here", "")</f>
        <v/>
      </c>
    </row>
    <row r="172" spans="1:12" s="931" customFormat="1">
      <c r="A172" s="3263" t="str">
        <f t="shared" si="15"/>
        <v/>
      </c>
      <c r="B172" s="1712"/>
      <c r="C172" s="3223" t="str">
        <f t="shared" si="16"/>
        <v/>
      </c>
      <c r="D172" s="3231" t="str">
        <f t="shared" si="17"/>
        <v/>
      </c>
      <c r="E172" s="2008" t="str">
        <f t="shared" si="18"/>
        <v/>
      </c>
      <c r="F172" s="2008" t="str">
        <f t="shared" si="19"/>
        <v/>
      </c>
      <c r="G172" s="1587"/>
      <c r="H172" s="1587"/>
      <c r="I172" s="1587"/>
      <c r="J172" s="1587"/>
      <c r="K172" s="2008" t="str">
        <f t="shared" si="20"/>
        <v/>
      </c>
      <c r="L172" s="2478" t="str">
        <f>IF((OR($B172={"twauslihspxy03","twauslihspxy04","twauslihspxy01"," twauslihspxy02","pwauslihspxy03","pwauslihspxy04","pwauslihspxy01","pwauslihspxy02"})), "Please list the Reverse Proxy instances here", "")</f>
        <v/>
      </c>
    </row>
    <row r="173" spans="1:12" s="931" customFormat="1">
      <c r="A173" s="3263" t="str">
        <f t="shared" si="15"/>
        <v/>
      </c>
      <c r="B173" s="1712"/>
      <c r="C173" s="3223" t="str">
        <f t="shared" si="16"/>
        <v/>
      </c>
      <c r="D173" s="3231" t="str">
        <f t="shared" si="17"/>
        <v/>
      </c>
      <c r="E173" s="2008" t="str">
        <f t="shared" si="18"/>
        <v/>
      </c>
      <c r="F173" s="2008" t="str">
        <f t="shared" si="19"/>
        <v/>
      </c>
      <c r="G173" s="1587"/>
      <c r="H173" s="1587"/>
      <c r="I173" s="1587"/>
      <c r="J173" s="1587"/>
      <c r="K173" s="2008" t="str">
        <f t="shared" si="20"/>
        <v/>
      </c>
      <c r="L173" s="2478" t="str">
        <f>IF((OR($B173={"twauslihspxy03","twauslihspxy04","twauslihspxy01"," twauslihspxy02","pwauslihspxy03","pwauslihspxy04","pwauslihspxy01","pwauslihspxy02"})), "Please list the Reverse Proxy instances here", "")</f>
        <v/>
      </c>
    </row>
    <row r="174" spans="1:12" s="931" customFormat="1">
      <c r="A174" s="3263" t="str">
        <f t="shared" si="15"/>
        <v/>
      </c>
      <c r="B174" s="1712"/>
      <c r="C174" s="3223" t="str">
        <f t="shared" si="16"/>
        <v/>
      </c>
      <c r="D174" s="3231" t="str">
        <f t="shared" si="17"/>
        <v/>
      </c>
      <c r="E174" s="2008" t="str">
        <f t="shared" si="18"/>
        <v/>
      </c>
      <c r="F174" s="2008" t="str">
        <f t="shared" si="19"/>
        <v/>
      </c>
      <c r="G174" s="1587"/>
      <c r="H174" s="1587"/>
      <c r="I174" s="1587"/>
      <c r="J174" s="1587"/>
      <c r="K174" s="2008" t="str">
        <f t="shared" si="20"/>
        <v/>
      </c>
      <c r="L174" s="2478" t="str">
        <f>IF((OR($B174={"twauslihspxy03","twauslihspxy04","twauslihspxy01"," twauslihspxy02","pwauslihspxy03","pwauslihspxy04","pwauslihspxy01","pwauslihspxy02"})), "Please list the Reverse Proxy instances here", "")</f>
        <v/>
      </c>
    </row>
    <row r="175" spans="1:12" s="931" customFormat="1">
      <c r="A175" s="3263" t="str">
        <f t="shared" si="15"/>
        <v/>
      </c>
      <c r="B175" s="1712"/>
      <c r="C175" s="3223" t="str">
        <f t="shared" si="16"/>
        <v/>
      </c>
      <c r="D175" s="3231" t="str">
        <f t="shared" si="17"/>
        <v/>
      </c>
      <c r="E175" s="2008" t="str">
        <f t="shared" si="18"/>
        <v/>
      </c>
      <c r="F175" s="2008" t="str">
        <f t="shared" si="19"/>
        <v/>
      </c>
      <c r="G175" s="1587"/>
      <c r="H175" s="1587"/>
      <c r="I175" s="1587"/>
      <c r="J175" s="1587"/>
      <c r="K175" s="2008" t="str">
        <f t="shared" si="20"/>
        <v/>
      </c>
      <c r="L175" s="2478" t="str">
        <f>IF((OR($B175={"twauslihspxy03","twauslihspxy04","twauslihspxy01"," twauslihspxy02","pwauslihspxy03","pwauslihspxy04","pwauslihspxy01","pwauslihspxy02"})), "Please list the Reverse Proxy instances here", "")</f>
        <v/>
      </c>
    </row>
    <row r="176" spans="1:12" s="931" customFormat="1">
      <c r="A176" s="3263" t="str">
        <f t="shared" si="15"/>
        <v/>
      </c>
      <c r="B176" s="1712"/>
      <c r="C176" s="3223" t="str">
        <f t="shared" si="16"/>
        <v/>
      </c>
      <c r="D176" s="3231" t="str">
        <f t="shared" si="17"/>
        <v/>
      </c>
      <c r="E176" s="2008" t="str">
        <f t="shared" si="18"/>
        <v/>
      </c>
      <c r="F176" s="2008" t="str">
        <f t="shared" si="19"/>
        <v/>
      </c>
      <c r="G176" s="1587"/>
      <c r="H176" s="1587"/>
      <c r="I176" s="1587"/>
      <c r="J176" s="1587"/>
      <c r="K176" s="2008" t="str">
        <f t="shared" si="20"/>
        <v/>
      </c>
      <c r="L176" s="2478" t="str">
        <f>IF((OR($B176={"twauslihspxy03","twauslihspxy04","twauslihspxy01"," twauslihspxy02","pwauslihspxy03","pwauslihspxy04","pwauslihspxy01","pwauslihspxy02"})), "Please list the Reverse Proxy instances here", "")</f>
        <v/>
      </c>
    </row>
    <row r="177" spans="1:12" s="931" customFormat="1">
      <c r="A177" s="3263" t="str">
        <f t="shared" si="15"/>
        <v/>
      </c>
      <c r="B177" s="1712"/>
      <c r="C177" s="3223" t="str">
        <f t="shared" si="16"/>
        <v/>
      </c>
      <c r="D177" s="3231" t="str">
        <f t="shared" si="17"/>
        <v/>
      </c>
      <c r="E177" s="2008" t="str">
        <f t="shared" si="18"/>
        <v/>
      </c>
      <c r="F177" s="2008" t="str">
        <f t="shared" si="19"/>
        <v/>
      </c>
      <c r="G177" s="1587"/>
      <c r="H177" s="1587"/>
      <c r="I177" s="1587"/>
      <c r="J177" s="1587"/>
      <c r="K177" s="2008" t="str">
        <f t="shared" si="20"/>
        <v/>
      </c>
      <c r="L177" s="2478" t="str">
        <f>IF((OR($B177={"twauslihspxy03","twauslihspxy04","twauslihspxy01"," twauslihspxy02","pwauslihspxy03","pwauslihspxy04","pwauslihspxy01","pwauslihspxy02"})), "Please list the Reverse Proxy instances here", "")</f>
        <v/>
      </c>
    </row>
    <row r="178" spans="1:12" s="931" customFormat="1">
      <c r="A178" s="3263" t="str">
        <f t="shared" si="15"/>
        <v/>
      </c>
      <c r="B178" s="1712"/>
      <c r="C178" s="3223" t="str">
        <f t="shared" si="16"/>
        <v/>
      </c>
      <c r="D178" s="3231" t="str">
        <f t="shared" si="17"/>
        <v/>
      </c>
      <c r="E178" s="2008" t="str">
        <f t="shared" si="18"/>
        <v/>
      </c>
      <c r="F178" s="2008" t="str">
        <f t="shared" si="19"/>
        <v/>
      </c>
      <c r="G178" s="1587"/>
      <c r="H178" s="1587"/>
      <c r="I178" s="1587"/>
      <c r="J178" s="1587"/>
      <c r="K178" s="2008" t="str">
        <f t="shared" si="20"/>
        <v/>
      </c>
      <c r="L178" s="2478" t="str">
        <f>IF((OR($B178={"twauslihspxy03","twauslihspxy04","twauslihspxy01"," twauslihspxy02","pwauslihspxy03","pwauslihspxy04","pwauslihspxy01","pwauslihspxy02"})), "Please list the Reverse Proxy instances here", "")</f>
        <v/>
      </c>
    </row>
    <row r="179" spans="1:12" s="931" customFormat="1">
      <c r="A179" s="3263" t="str">
        <f t="shared" si="15"/>
        <v/>
      </c>
      <c r="B179" s="1712"/>
      <c r="C179" s="3223" t="str">
        <f t="shared" si="16"/>
        <v/>
      </c>
      <c r="D179" s="3231" t="str">
        <f t="shared" si="17"/>
        <v/>
      </c>
      <c r="E179" s="2008" t="str">
        <f t="shared" si="18"/>
        <v/>
      </c>
      <c r="F179" s="2008" t="str">
        <f t="shared" si="19"/>
        <v/>
      </c>
      <c r="G179" s="1587"/>
      <c r="H179" s="1587"/>
      <c r="I179" s="1587"/>
      <c r="J179" s="1587"/>
      <c r="K179" s="2008" t="str">
        <f t="shared" si="20"/>
        <v/>
      </c>
      <c r="L179" s="2478" t="str">
        <f>IF((OR($B179={"twauslihspxy03","twauslihspxy04","twauslihspxy01"," twauslihspxy02","pwauslihspxy03","pwauslihspxy04","pwauslihspxy01","pwauslihspxy02"})), "Please list the Reverse Proxy instances here", "")</f>
        <v/>
      </c>
    </row>
    <row r="180" spans="1:12" s="931" customFormat="1">
      <c r="A180" s="3263" t="str">
        <f t="shared" si="15"/>
        <v/>
      </c>
      <c r="B180" s="1712"/>
      <c r="C180" s="3223" t="str">
        <f t="shared" si="16"/>
        <v/>
      </c>
      <c r="D180" s="3231" t="str">
        <f t="shared" si="17"/>
        <v/>
      </c>
      <c r="E180" s="2008" t="str">
        <f t="shared" si="18"/>
        <v/>
      </c>
      <c r="F180" s="2008" t="str">
        <f t="shared" si="19"/>
        <v/>
      </c>
      <c r="G180" s="1587"/>
      <c r="H180" s="1587"/>
      <c r="I180" s="1587"/>
      <c r="J180" s="1587"/>
      <c r="K180" s="2008" t="str">
        <f t="shared" si="20"/>
        <v/>
      </c>
      <c r="L180" s="2478" t="str">
        <f>IF((OR($B180={"twauslihspxy03","twauslihspxy04","twauslihspxy01"," twauslihspxy02","pwauslihspxy03","pwauslihspxy04","pwauslihspxy01","pwauslihspxy02"})), "Please list the Reverse Proxy instances here", "")</f>
        <v/>
      </c>
    </row>
    <row r="181" spans="1:12" s="931" customFormat="1">
      <c r="A181" s="3263" t="str">
        <f t="shared" si="15"/>
        <v/>
      </c>
      <c r="B181" s="1712"/>
      <c r="C181" s="3223" t="str">
        <f t="shared" si="16"/>
        <v/>
      </c>
      <c r="D181" s="3231" t="str">
        <f t="shared" si="17"/>
        <v/>
      </c>
      <c r="E181" s="2008" t="str">
        <f t="shared" si="18"/>
        <v/>
      </c>
      <c r="F181" s="2008" t="str">
        <f t="shared" si="19"/>
        <v/>
      </c>
      <c r="G181" s="1587"/>
      <c r="H181" s="1587"/>
      <c r="I181" s="1587"/>
      <c r="J181" s="1587"/>
      <c r="K181" s="2008" t="str">
        <f t="shared" si="20"/>
        <v/>
      </c>
      <c r="L181" s="2478" t="str">
        <f>IF((OR($B181={"twauslihspxy03","twauslihspxy04","twauslihspxy01"," twauslihspxy02","pwauslihspxy03","pwauslihspxy04","pwauslihspxy01","pwauslihspxy02"})), "Please list the Reverse Proxy instances here", "")</f>
        <v/>
      </c>
    </row>
    <row r="182" spans="1:12" s="931" customFormat="1">
      <c r="A182" s="3263" t="str">
        <f t="shared" si="15"/>
        <v/>
      </c>
      <c r="B182" s="1712"/>
      <c r="C182" s="3223" t="str">
        <f t="shared" si="16"/>
        <v/>
      </c>
      <c r="D182" s="3231" t="str">
        <f t="shared" si="17"/>
        <v/>
      </c>
      <c r="E182" s="2008" t="str">
        <f t="shared" si="18"/>
        <v/>
      </c>
      <c r="F182" s="2008" t="str">
        <f t="shared" si="19"/>
        <v/>
      </c>
      <c r="G182" s="1587"/>
      <c r="H182" s="1587"/>
      <c r="I182" s="1587"/>
      <c r="J182" s="1587"/>
      <c r="K182" s="2008" t="str">
        <f t="shared" si="20"/>
        <v/>
      </c>
      <c r="L182" s="2478" t="str">
        <f>IF((OR($B182={"twauslihspxy03","twauslihspxy04","twauslihspxy01"," twauslihspxy02","pwauslihspxy03","pwauslihspxy04","pwauslihspxy01","pwauslihspxy02"})), "Please list the Reverse Proxy instances here", "")</f>
        <v/>
      </c>
    </row>
    <row r="183" spans="1:12" s="931" customFormat="1">
      <c r="A183" s="3263" t="str">
        <f t="shared" si="15"/>
        <v/>
      </c>
      <c r="B183" s="1712"/>
      <c r="C183" s="3223" t="str">
        <f t="shared" si="16"/>
        <v/>
      </c>
      <c r="D183" s="3231" t="str">
        <f t="shared" si="17"/>
        <v/>
      </c>
      <c r="E183" s="2008" t="str">
        <f t="shared" si="18"/>
        <v/>
      </c>
      <c r="F183" s="2008" t="str">
        <f t="shared" si="19"/>
        <v/>
      </c>
      <c r="G183" s="1587"/>
      <c r="H183" s="1587"/>
      <c r="I183" s="1587"/>
      <c r="J183" s="1587"/>
      <c r="K183" s="2008" t="str">
        <f t="shared" si="20"/>
        <v/>
      </c>
      <c r="L183" s="2478" t="str">
        <f>IF((OR($B183={"twauslihspxy03","twauslihspxy04","twauslihspxy01"," twauslihspxy02","pwauslihspxy03","pwauslihspxy04","pwauslihspxy01","pwauslihspxy02"})), "Please list the Reverse Proxy instances here", "")</f>
        <v/>
      </c>
    </row>
    <row r="184" spans="1:12" s="931" customFormat="1">
      <c r="A184" s="3263" t="str">
        <f t="shared" si="15"/>
        <v/>
      </c>
      <c r="B184" s="1712"/>
      <c r="C184" s="3223" t="str">
        <f t="shared" si="16"/>
        <v/>
      </c>
      <c r="D184" s="3231" t="str">
        <f t="shared" si="17"/>
        <v/>
      </c>
      <c r="E184" s="2008" t="str">
        <f t="shared" si="18"/>
        <v/>
      </c>
      <c r="F184" s="2008" t="str">
        <f t="shared" si="19"/>
        <v/>
      </c>
      <c r="G184" s="1587"/>
      <c r="H184" s="1587"/>
      <c r="I184" s="1587"/>
      <c r="J184" s="1587"/>
      <c r="K184" s="2008" t="str">
        <f t="shared" si="20"/>
        <v/>
      </c>
      <c r="L184" s="2478" t="str">
        <f>IF((OR($B184={"twauslihspxy03","twauslihspxy04","twauslihspxy01"," twauslihspxy02","pwauslihspxy03","pwauslihspxy04","pwauslihspxy01","pwauslihspxy02"})), "Please list the Reverse Proxy instances here", "")</f>
        <v/>
      </c>
    </row>
    <row r="185" spans="1:12" s="931" customFormat="1">
      <c r="A185" s="3263" t="str">
        <f t="shared" si="15"/>
        <v/>
      </c>
      <c r="B185" s="1712"/>
      <c r="C185" s="3223" t="str">
        <f t="shared" si="16"/>
        <v/>
      </c>
      <c r="D185" s="3231" t="str">
        <f t="shared" si="17"/>
        <v/>
      </c>
      <c r="E185" s="2008" t="str">
        <f t="shared" si="18"/>
        <v/>
      </c>
      <c r="F185" s="2008" t="str">
        <f t="shared" si="19"/>
        <v/>
      </c>
      <c r="G185" s="1587"/>
      <c r="H185" s="1587"/>
      <c r="I185" s="1587"/>
      <c r="J185" s="1587"/>
      <c r="K185" s="2008" t="str">
        <f t="shared" si="20"/>
        <v/>
      </c>
      <c r="L185" s="2478" t="str">
        <f>IF((OR($B185={"twauslihspxy03","twauslihspxy04","twauslihspxy01"," twauslihspxy02","pwauslihspxy03","pwauslihspxy04","pwauslihspxy01","pwauslihspxy02"})), "Please list the Reverse Proxy instances here", "")</f>
        <v/>
      </c>
    </row>
    <row r="186" spans="1:12" s="931" customFormat="1">
      <c r="A186" s="3263" t="str">
        <f t="shared" si="15"/>
        <v/>
      </c>
      <c r="B186" s="1712"/>
      <c r="C186" s="3223" t="str">
        <f t="shared" si="16"/>
        <v/>
      </c>
      <c r="D186" s="3231" t="str">
        <f t="shared" si="17"/>
        <v/>
      </c>
      <c r="E186" s="2008" t="str">
        <f t="shared" si="18"/>
        <v/>
      </c>
      <c r="F186" s="2008" t="str">
        <f t="shared" si="19"/>
        <v/>
      </c>
      <c r="G186" s="1587"/>
      <c r="H186" s="1587"/>
      <c r="I186" s="1587"/>
      <c r="J186" s="1587"/>
      <c r="K186" s="2008" t="str">
        <f t="shared" si="20"/>
        <v/>
      </c>
      <c r="L186" s="2478" t="str">
        <f>IF((OR($B186={"twauslihspxy03","twauslihspxy04","twauslihspxy01"," twauslihspxy02","pwauslihspxy03","pwauslihspxy04","pwauslihspxy01","pwauslihspxy02"})), "Please list the Reverse Proxy instances here", "")</f>
        <v/>
      </c>
    </row>
    <row r="187" spans="1:12" s="931" customFormat="1">
      <c r="A187" s="3263" t="str">
        <f t="shared" si="15"/>
        <v/>
      </c>
      <c r="B187" s="1712"/>
      <c r="C187" s="3223" t="str">
        <f t="shared" si="16"/>
        <v/>
      </c>
      <c r="D187" s="3231" t="str">
        <f t="shared" si="17"/>
        <v/>
      </c>
      <c r="E187" s="2008" t="str">
        <f t="shared" si="18"/>
        <v/>
      </c>
      <c r="F187" s="2008" t="str">
        <f t="shared" si="19"/>
        <v/>
      </c>
      <c r="G187" s="1587"/>
      <c r="H187" s="1587"/>
      <c r="I187" s="1587"/>
      <c r="J187" s="1587"/>
      <c r="K187" s="2008" t="str">
        <f t="shared" si="20"/>
        <v/>
      </c>
      <c r="L187" s="2478" t="str">
        <f>IF((OR($B187={"twauslihspxy03","twauslihspxy04","twauslihspxy01"," twauslihspxy02","pwauslihspxy03","pwauslihspxy04","pwauslihspxy01","pwauslihspxy02"})), "Please list the Reverse Proxy instances here", "")</f>
        <v/>
      </c>
    </row>
    <row r="188" spans="1:12" s="931" customFormat="1">
      <c r="A188" s="3263" t="str">
        <f t="shared" si="15"/>
        <v/>
      </c>
      <c r="B188" s="1712"/>
      <c r="C188" s="3223" t="str">
        <f t="shared" si="16"/>
        <v/>
      </c>
      <c r="D188" s="3231" t="str">
        <f t="shared" si="17"/>
        <v/>
      </c>
      <c r="E188" s="2008" t="str">
        <f t="shared" si="18"/>
        <v/>
      </c>
      <c r="F188" s="2008" t="str">
        <f t="shared" si="19"/>
        <v/>
      </c>
      <c r="G188" s="1587"/>
      <c r="H188" s="1587"/>
      <c r="I188" s="1587"/>
      <c r="J188" s="1587"/>
      <c r="K188" s="2008" t="str">
        <f t="shared" si="20"/>
        <v/>
      </c>
      <c r="L188" s="2478" t="str">
        <f>IF((OR($B188={"twauslihspxy03","twauslihspxy04","twauslihspxy01"," twauslihspxy02","pwauslihspxy03","pwauslihspxy04","pwauslihspxy01","pwauslihspxy02"})), "Please list the Reverse Proxy instances here", "")</f>
        <v/>
      </c>
    </row>
    <row r="189" spans="1:12" s="931" customFormat="1">
      <c r="A189" s="3263" t="str">
        <f t="shared" si="15"/>
        <v/>
      </c>
      <c r="B189" s="1712"/>
      <c r="C189" s="3223" t="str">
        <f t="shared" si="16"/>
        <v/>
      </c>
      <c r="D189" s="3231" t="str">
        <f t="shared" si="17"/>
        <v/>
      </c>
      <c r="E189" s="2008" t="str">
        <f t="shared" si="18"/>
        <v/>
      </c>
      <c r="F189" s="2008" t="str">
        <f t="shared" si="19"/>
        <v/>
      </c>
      <c r="G189" s="1587"/>
      <c r="H189" s="1587"/>
      <c r="I189" s="1587"/>
      <c r="J189" s="1587"/>
      <c r="K189" s="2008" t="str">
        <f t="shared" si="20"/>
        <v/>
      </c>
      <c r="L189" s="2478" t="str">
        <f>IF((OR($B189={"twauslihspxy03","twauslihspxy04","twauslihspxy01"," twauslihspxy02","pwauslihspxy03","pwauslihspxy04","pwauslihspxy01","pwauslihspxy02"})), "Please list the Reverse Proxy instances here", "")</f>
        <v/>
      </c>
    </row>
    <row r="190" spans="1:12" s="931" customFormat="1">
      <c r="A190" s="3263" t="str">
        <f t="shared" si="15"/>
        <v/>
      </c>
      <c r="B190" s="1712"/>
      <c r="C190" s="3223" t="str">
        <f t="shared" si="16"/>
        <v/>
      </c>
      <c r="D190" s="3231" t="str">
        <f t="shared" si="17"/>
        <v/>
      </c>
      <c r="E190" s="2008" t="str">
        <f t="shared" si="18"/>
        <v/>
      </c>
      <c r="F190" s="2008" t="str">
        <f t="shared" si="19"/>
        <v/>
      </c>
      <c r="G190" s="1587"/>
      <c r="H190" s="1587"/>
      <c r="I190" s="1587"/>
      <c r="J190" s="1587"/>
      <c r="K190" s="2008" t="str">
        <f t="shared" si="20"/>
        <v/>
      </c>
      <c r="L190" s="2478" t="str">
        <f>IF((OR($B190={"twauslihspxy03","twauslihspxy04","twauslihspxy01"," twauslihspxy02","pwauslihspxy03","pwauslihspxy04","pwauslihspxy01","pwauslihspxy02"})), "Please list the Reverse Proxy instances here", "")</f>
        <v/>
      </c>
    </row>
    <row r="191" spans="1:12" s="931" customFormat="1">
      <c r="A191" s="3263" t="str">
        <f t="shared" si="15"/>
        <v/>
      </c>
      <c r="B191" s="1712"/>
      <c r="C191" s="3223" t="str">
        <f t="shared" si="16"/>
        <v/>
      </c>
      <c r="D191" s="3231" t="str">
        <f t="shared" si="17"/>
        <v/>
      </c>
      <c r="E191" s="2008" t="str">
        <f t="shared" si="18"/>
        <v/>
      </c>
      <c r="F191" s="2008" t="str">
        <f t="shared" si="19"/>
        <v/>
      </c>
      <c r="G191" s="1587"/>
      <c r="H191" s="1587"/>
      <c r="I191" s="1587"/>
      <c r="J191" s="1587"/>
      <c r="K191" s="2008" t="str">
        <f t="shared" si="20"/>
        <v/>
      </c>
      <c r="L191" s="2478" t="str">
        <f>IF((OR($B191={"twauslihspxy03","twauslihspxy04","twauslihspxy01"," twauslihspxy02","pwauslihspxy03","pwauslihspxy04","pwauslihspxy01","pwauslihspxy02"})), "Please list the Reverse Proxy instances here", "")</f>
        <v/>
      </c>
    </row>
    <row r="192" spans="1:12" s="931" customFormat="1">
      <c r="A192" s="3263" t="str">
        <f t="shared" si="15"/>
        <v/>
      </c>
      <c r="B192" s="1712"/>
      <c r="C192" s="3223" t="str">
        <f t="shared" si="16"/>
        <v/>
      </c>
      <c r="D192" s="3231" t="str">
        <f t="shared" si="17"/>
        <v/>
      </c>
      <c r="E192" s="2008" t="str">
        <f t="shared" si="18"/>
        <v/>
      </c>
      <c r="F192" s="2008" t="str">
        <f t="shared" si="19"/>
        <v/>
      </c>
      <c r="G192" s="1587"/>
      <c r="H192" s="1587"/>
      <c r="I192" s="1587"/>
      <c r="J192" s="1587"/>
      <c r="K192" s="2008" t="str">
        <f t="shared" si="20"/>
        <v/>
      </c>
      <c r="L192" s="2478" t="str">
        <f>IF((OR($B192={"twauslihspxy03","twauslihspxy04","twauslihspxy01"," twauslihspxy02","pwauslihspxy03","pwauslihspxy04","pwauslihspxy01","pwauslihspxy02"})), "Please list the Reverse Proxy instances here", "")</f>
        <v/>
      </c>
    </row>
    <row r="193" spans="1:12" s="931" customFormat="1">
      <c r="A193" s="3263" t="str">
        <f t="shared" si="15"/>
        <v/>
      </c>
      <c r="B193" s="1712"/>
      <c r="C193" s="3223" t="str">
        <f t="shared" si="16"/>
        <v/>
      </c>
      <c r="D193" s="3231" t="str">
        <f t="shared" si="17"/>
        <v/>
      </c>
      <c r="E193" s="2008" t="str">
        <f t="shared" si="18"/>
        <v/>
      </c>
      <c r="F193" s="2008" t="str">
        <f t="shared" si="19"/>
        <v/>
      </c>
      <c r="G193" s="1587"/>
      <c r="H193" s="1587"/>
      <c r="I193" s="1587"/>
      <c r="J193" s="1587"/>
      <c r="K193" s="2008" t="str">
        <f t="shared" si="20"/>
        <v/>
      </c>
      <c r="L193" s="2478" t="str">
        <f>IF((OR($B193={"twauslihspxy03","twauslihspxy04","twauslihspxy01"," twauslihspxy02","pwauslihspxy03","pwauslihspxy04","pwauslihspxy01","pwauslihspxy02"})), "Please list the Reverse Proxy instances here", "")</f>
        <v/>
      </c>
    </row>
    <row r="194" spans="1:12" s="931" customFormat="1">
      <c r="A194" s="3263" t="str">
        <f t="shared" si="15"/>
        <v/>
      </c>
      <c r="B194" s="1712"/>
      <c r="C194" s="3223" t="str">
        <f t="shared" si="16"/>
        <v/>
      </c>
      <c r="D194" s="3231" t="str">
        <f t="shared" si="17"/>
        <v/>
      </c>
      <c r="E194" s="2008" t="str">
        <f t="shared" si="18"/>
        <v/>
      </c>
      <c r="F194" s="2008" t="str">
        <f t="shared" si="19"/>
        <v/>
      </c>
      <c r="G194" s="1587"/>
      <c r="H194" s="1587"/>
      <c r="I194" s="1587"/>
      <c r="J194" s="1587"/>
      <c r="K194" s="2008" t="str">
        <f t="shared" si="20"/>
        <v/>
      </c>
      <c r="L194" s="2478" t="str">
        <f>IF((OR($B194={"twauslihspxy03","twauslihspxy04","twauslihspxy01"," twauslihspxy02","pwauslihspxy03","pwauslihspxy04","pwauslihspxy01","pwauslihspxy02"})), "Please list the Reverse Proxy instances here", "")</f>
        <v/>
      </c>
    </row>
    <row r="195" spans="1:12" s="931" customFormat="1">
      <c r="A195" s="3263" t="str">
        <f t="shared" si="15"/>
        <v/>
      </c>
      <c r="B195" s="1712"/>
      <c r="C195" s="3223" t="str">
        <f t="shared" si="16"/>
        <v/>
      </c>
      <c r="D195" s="3231" t="str">
        <f t="shared" si="17"/>
        <v/>
      </c>
      <c r="E195" s="2008" t="str">
        <f t="shared" si="18"/>
        <v/>
      </c>
      <c r="F195" s="2008" t="str">
        <f t="shared" si="19"/>
        <v/>
      </c>
      <c r="G195" s="1587"/>
      <c r="H195" s="1587"/>
      <c r="I195" s="1587"/>
      <c r="J195" s="1587"/>
      <c r="K195" s="2008" t="str">
        <f t="shared" si="20"/>
        <v/>
      </c>
      <c r="L195" s="2478" t="str">
        <f>IF((OR($B195={"twauslihspxy03","twauslihspxy04","twauslihspxy01"," twauslihspxy02","pwauslihspxy03","pwauslihspxy04","pwauslihspxy01","pwauslihspxy02"})), "Please list the Reverse Proxy instances here", "")</f>
        <v/>
      </c>
    </row>
    <row r="196" spans="1:12" s="931" customFormat="1">
      <c r="A196" s="3263" t="str">
        <f t="shared" si="15"/>
        <v/>
      </c>
      <c r="B196" s="1712"/>
      <c r="C196" s="3223" t="str">
        <f t="shared" si="16"/>
        <v/>
      </c>
      <c r="D196" s="3231" t="str">
        <f t="shared" si="17"/>
        <v/>
      </c>
      <c r="E196" s="2008" t="str">
        <f t="shared" si="18"/>
        <v/>
      </c>
      <c r="F196" s="2008" t="str">
        <f t="shared" si="19"/>
        <v/>
      </c>
      <c r="G196" s="1587"/>
      <c r="H196" s="1587"/>
      <c r="I196" s="1587"/>
      <c r="J196" s="1587"/>
      <c r="K196" s="2008" t="str">
        <f t="shared" si="20"/>
        <v/>
      </c>
      <c r="L196" s="2478" t="str">
        <f>IF((OR($B196={"twauslihspxy03","twauslihspxy04","twauslihspxy01"," twauslihspxy02","pwauslihspxy03","pwauslihspxy04","pwauslihspxy01","pwauslihspxy02"})), "Please list the Reverse Proxy instances here", "")</f>
        <v/>
      </c>
    </row>
    <row r="197" spans="1:12" s="931" customFormat="1">
      <c r="A197" s="3263" t="str">
        <f t="shared" si="15"/>
        <v/>
      </c>
      <c r="B197" s="1712"/>
      <c r="C197" s="3223" t="str">
        <f t="shared" si="16"/>
        <v/>
      </c>
      <c r="D197" s="3231" t="str">
        <f t="shared" si="17"/>
        <v/>
      </c>
      <c r="E197" s="2008" t="str">
        <f t="shared" si="18"/>
        <v/>
      </c>
      <c r="F197" s="2008" t="str">
        <f t="shared" si="19"/>
        <v/>
      </c>
      <c r="G197" s="1587"/>
      <c r="H197" s="1587"/>
      <c r="I197" s="1587"/>
      <c r="J197" s="1587"/>
      <c r="K197" s="2008" t="str">
        <f t="shared" si="20"/>
        <v/>
      </c>
      <c r="L197" s="2478" t="str">
        <f>IF((OR($B197={"twauslihspxy03","twauslihspxy04","twauslihspxy01"," twauslihspxy02","pwauslihspxy03","pwauslihspxy04","pwauslihspxy01","pwauslihspxy02"})), "Please list the Reverse Proxy instances here", "")</f>
        <v/>
      </c>
    </row>
    <row r="198" spans="1:12" s="931" customFormat="1">
      <c r="A198" s="3263" t="str">
        <f t="shared" si="15"/>
        <v/>
      </c>
      <c r="B198" s="1712"/>
      <c r="C198" s="3223" t="str">
        <f t="shared" si="16"/>
        <v/>
      </c>
      <c r="D198" s="3231" t="str">
        <f t="shared" ref="D198:D234" si="21">IF($B198&lt;&gt;"",
IF(MID($B198,11,3)="VIP",LEFT($E198,FIND(".",$E198)-1),VLOOKUP($B198,Import_list,3,FALSE)),"")</f>
        <v/>
      </c>
      <c r="E198" s="2008" t="str">
        <f t="shared" ref="E198:E234" si="22">IF($B198&lt;&gt;"",IF(ISNUMBER(SEARCH("oob",$H198))=TRUE,IF(LEFT($H198,3)="def",MID($H198,9,LEN($H198)-8),$H198),VLOOKUP($B198,Import_list,2,FALSE)),"")</f>
        <v/>
      </c>
      <c r="F198" s="2008" t="str">
        <f t="shared" ref="F198:F234" si="23">IF($B198&lt;&gt;"",
       IF(ISNUMBER(SEARCH("oob",$H198))=TRUE,"",IF(MID($B198,11,3)="VIP",VLOOKUP($B198,Import_list,3,FALSE),VLOOKUP($B198,Import_list,4,FALSE))),"")</f>
        <v/>
      </c>
      <c r="G198" s="1587"/>
      <c r="H198" s="1587"/>
      <c r="I198" s="1587"/>
      <c r="J198" s="1587"/>
      <c r="K198" s="2008" t="str">
        <f t="shared" ref="K198:K234" si="24">IF(B198&lt;&gt;"",
     IF(MID($B198,10,3)="VIP","Full Decom",VLOOKUP(B198,Import_list,7,FALSE)),"")</f>
        <v/>
      </c>
      <c r="L198" s="2478" t="str">
        <f>IF((OR($B198={"twauslihspxy03","twauslihspxy04","twauslihspxy01"," twauslihspxy02","pwauslihspxy03","pwauslihspxy04","pwauslihspxy01","pwauslihspxy02"})), "Please list the Reverse Proxy instances here", "")</f>
        <v/>
      </c>
    </row>
    <row r="199" spans="1:12" s="931" customFormat="1">
      <c r="A199" s="3263" t="str">
        <f t="shared" ref="A199:A234" si="25">IF($B199&lt;&gt;"",$B199&amp;"  (IP"&amp;TEXT($C199,"00")&amp;")","")</f>
        <v/>
      </c>
      <c r="B199" s="1712"/>
      <c r="C199" s="3223" t="str">
        <f t="shared" ref="C199:C234" si="26">IF(B199&lt;&gt;"",IF(B199=B198,C198+1,1),"")</f>
        <v/>
      </c>
      <c r="D199" s="3231" t="str">
        <f t="shared" si="21"/>
        <v/>
      </c>
      <c r="E199" s="2008" t="str">
        <f t="shared" si="22"/>
        <v/>
      </c>
      <c r="F199" s="2008" t="str">
        <f t="shared" si="23"/>
        <v/>
      </c>
      <c r="G199" s="1587"/>
      <c r="H199" s="1587"/>
      <c r="I199" s="1587"/>
      <c r="J199" s="1587"/>
      <c r="K199" s="2008" t="str">
        <f t="shared" si="24"/>
        <v/>
      </c>
      <c r="L199" s="2478" t="str">
        <f>IF((OR($B199={"twauslihspxy03","twauslihspxy04","twauslihspxy01"," twauslihspxy02","pwauslihspxy03","pwauslihspxy04","pwauslihspxy01","pwauslihspxy02"})), "Please list the Reverse Proxy instances here", "")</f>
        <v/>
      </c>
    </row>
    <row r="200" spans="1:12" s="931" customFormat="1">
      <c r="A200" s="3263" t="str">
        <f t="shared" si="25"/>
        <v/>
      </c>
      <c r="B200" s="1712"/>
      <c r="C200" s="3223" t="str">
        <f t="shared" si="26"/>
        <v/>
      </c>
      <c r="D200" s="3231" t="str">
        <f t="shared" si="21"/>
        <v/>
      </c>
      <c r="E200" s="2008" t="str">
        <f t="shared" si="22"/>
        <v/>
      </c>
      <c r="F200" s="2008" t="str">
        <f t="shared" si="23"/>
        <v/>
      </c>
      <c r="G200" s="1587"/>
      <c r="H200" s="1587"/>
      <c r="I200" s="1587"/>
      <c r="J200" s="1587"/>
      <c r="K200" s="2008" t="str">
        <f t="shared" si="24"/>
        <v/>
      </c>
      <c r="L200" s="2478" t="str">
        <f>IF((OR($B200={"twauslihspxy03","twauslihspxy04","twauslihspxy01"," twauslihspxy02","pwauslihspxy03","pwauslihspxy04","pwauslihspxy01","pwauslihspxy02"})), "Please list the Reverse Proxy instances here", "")</f>
        <v/>
      </c>
    </row>
    <row r="201" spans="1:12" s="931" customFormat="1">
      <c r="A201" s="3263" t="str">
        <f t="shared" si="25"/>
        <v/>
      </c>
      <c r="B201" s="1712"/>
      <c r="C201" s="3223" t="str">
        <f t="shared" si="26"/>
        <v/>
      </c>
      <c r="D201" s="3231" t="str">
        <f t="shared" si="21"/>
        <v/>
      </c>
      <c r="E201" s="2008" t="str">
        <f t="shared" si="22"/>
        <v/>
      </c>
      <c r="F201" s="2008" t="str">
        <f t="shared" si="23"/>
        <v/>
      </c>
      <c r="G201" s="1587"/>
      <c r="H201" s="1587"/>
      <c r="I201" s="1587"/>
      <c r="J201" s="1587"/>
      <c r="K201" s="2008" t="str">
        <f t="shared" si="24"/>
        <v/>
      </c>
      <c r="L201" s="2478" t="str">
        <f>IF((OR($B201={"twauslihspxy03","twauslihspxy04","twauslihspxy01"," twauslihspxy02","pwauslihspxy03","pwauslihspxy04","pwauslihspxy01","pwauslihspxy02"})), "Please list the Reverse Proxy instances here", "")</f>
        <v/>
      </c>
    </row>
    <row r="202" spans="1:12" s="931" customFormat="1">
      <c r="A202" s="3263" t="str">
        <f t="shared" si="25"/>
        <v/>
      </c>
      <c r="B202" s="1712"/>
      <c r="C202" s="3223" t="str">
        <f t="shared" si="26"/>
        <v/>
      </c>
      <c r="D202" s="3231" t="str">
        <f t="shared" si="21"/>
        <v/>
      </c>
      <c r="E202" s="2008" t="str">
        <f t="shared" si="22"/>
        <v/>
      </c>
      <c r="F202" s="2008" t="str">
        <f t="shared" si="23"/>
        <v/>
      </c>
      <c r="G202" s="1587"/>
      <c r="H202" s="1587"/>
      <c r="I202" s="1587"/>
      <c r="J202" s="1587"/>
      <c r="K202" s="2008" t="str">
        <f t="shared" si="24"/>
        <v/>
      </c>
      <c r="L202" s="2478" t="str">
        <f>IF((OR($B202={"twauslihspxy03","twauslihspxy04","twauslihspxy01"," twauslihspxy02","pwauslihspxy03","pwauslihspxy04","pwauslihspxy01","pwauslihspxy02"})), "Please list the Reverse Proxy instances here", "")</f>
        <v/>
      </c>
    </row>
    <row r="203" spans="1:12" s="931" customFormat="1">
      <c r="A203" s="3263" t="str">
        <f t="shared" si="25"/>
        <v/>
      </c>
      <c r="B203" s="1712"/>
      <c r="C203" s="3223" t="str">
        <f t="shared" si="26"/>
        <v/>
      </c>
      <c r="D203" s="3231" t="str">
        <f t="shared" si="21"/>
        <v/>
      </c>
      <c r="E203" s="2008" t="str">
        <f t="shared" si="22"/>
        <v/>
      </c>
      <c r="F203" s="2008" t="str">
        <f t="shared" si="23"/>
        <v/>
      </c>
      <c r="G203" s="1587"/>
      <c r="H203" s="1587"/>
      <c r="I203" s="1587"/>
      <c r="J203" s="1587"/>
      <c r="K203" s="2008" t="str">
        <f t="shared" si="24"/>
        <v/>
      </c>
      <c r="L203" s="2478" t="str">
        <f>IF((OR($B203={"twauslihspxy03","twauslihspxy04","twauslihspxy01"," twauslihspxy02","pwauslihspxy03","pwauslihspxy04","pwauslihspxy01","pwauslihspxy02"})), "Please list the Reverse Proxy instances here", "")</f>
        <v/>
      </c>
    </row>
    <row r="204" spans="1:12" s="931" customFormat="1">
      <c r="A204" s="3263" t="str">
        <f t="shared" si="25"/>
        <v/>
      </c>
      <c r="B204" s="1712"/>
      <c r="C204" s="3223" t="str">
        <f t="shared" si="26"/>
        <v/>
      </c>
      <c r="D204" s="3231" t="str">
        <f t="shared" si="21"/>
        <v/>
      </c>
      <c r="E204" s="2008" t="str">
        <f t="shared" si="22"/>
        <v/>
      </c>
      <c r="F204" s="2008" t="str">
        <f t="shared" si="23"/>
        <v/>
      </c>
      <c r="G204" s="1587"/>
      <c r="H204" s="1587"/>
      <c r="I204" s="1587"/>
      <c r="J204" s="1587"/>
      <c r="K204" s="2008" t="str">
        <f t="shared" si="24"/>
        <v/>
      </c>
      <c r="L204" s="2478" t="str">
        <f>IF((OR($B204={"twauslihspxy03","twauslihspxy04","twauslihspxy01"," twauslihspxy02","pwauslihspxy03","pwauslihspxy04","pwauslihspxy01","pwauslihspxy02"})), "Please list the Reverse Proxy instances here", "")</f>
        <v/>
      </c>
    </row>
    <row r="205" spans="1:12" s="931" customFormat="1">
      <c r="A205" s="3263" t="str">
        <f t="shared" si="25"/>
        <v/>
      </c>
      <c r="B205" s="1712"/>
      <c r="C205" s="3223" t="str">
        <f t="shared" si="26"/>
        <v/>
      </c>
      <c r="D205" s="3231" t="str">
        <f t="shared" si="21"/>
        <v/>
      </c>
      <c r="E205" s="2008" t="str">
        <f t="shared" si="22"/>
        <v/>
      </c>
      <c r="F205" s="2008" t="str">
        <f t="shared" si="23"/>
        <v/>
      </c>
      <c r="G205" s="1587"/>
      <c r="H205" s="1587"/>
      <c r="I205" s="1587"/>
      <c r="J205" s="1587"/>
      <c r="K205" s="2008" t="str">
        <f t="shared" si="24"/>
        <v/>
      </c>
      <c r="L205" s="2478" t="str">
        <f>IF((OR($B205={"twauslihspxy03","twauslihspxy04","twauslihspxy01"," twauslihspxy02","pwauslihspxy03","pwauslihspxy04","pwauslihspxy01","pwauslihspxy02"})), "Please list the Reverse Proxy instances here", "")</f>
        <v/>
      </c>
    </row>
    <row r="206" spans="1:12" s="931" customFormat="1">
      <c r="A206" s="3263" t="str">
        <f t="shared" si="25"/>
        <v/>
      </c>
      <c r="B206" s="1712"/>
      <c r="C206" s="3223" t="str">
        <f t="shared" si="26"/>
        <v/>
      </c>
      <c r="D206" s="3231" t="str">
        <f t="shared" si="21"/>
        <v/>
      </c>
      <c r="E206" s="2008" t="str">
        <f t="shared" si="22"/>
        <v/>
      </c>
      <c r="F206" s="2008" t="str">
        <f t="shared" si="23"/>
        <v/>
      </c>
      <c r="G206" s="1587"/>
      <c r="H206" s="1587"/>
      <c r="I206" s="1587"/>
      <c r="J206" s="1587"/>
      <c r="K206" s="2008" t="str">
        <f t="shared" si="24"/>
        <v/>
      </c>
      <c r="L206" s="2478" t="str">
        <f>IF((OR($B206={"twauslihspxy03","twauslihspxy04","twauslihspxy01"," twauslihspxy02","pwauslihspxy03","pwauslihspxy04","pwauslihspxy01","pwauslihspxy02"})), "Please list the Reverse Proxy instances here", "")</f>
        <v/>
      </c>
    </row>
    <row r="207" spans="1:12" s="931" customFormat="1">
      <c r="A207" s="3263" t="str">
        <f t="shared" si="25"/>
        <v/>
      </c>
      <c r="B207" s="1712"/>
      <c r="C207" s="3223" t="str">
        <f t="shared" si="26"/>
        <v/>
      </c>
      <c r="D207" s="3231" t="str">
        <f t="shared" si="21"/>
        <v/>
      </c>
      <c r="E207" s="2008" t="str">
        <f t="shared" si="22"/>
        <v/>
      </c>
      <c r="F207" s="2008" t="str">
        <f t="shared" si="23"/>
        <v/>
      </c>
      <c r="G207" s="1587"/>
      <c r="H207" s="1587"/>
      <c r="I207" s="1587"/>
      <c r="J207" s="1587"/>
      <c r="K207" s="2008" t="str">
        <f t="shared" si="24"/>
        <v/>
      </c>
      <c r="L207" s="2478" t="str">
        <f>IF((OR($B207={"twauslihspxy03","twauslihspxy04","twauslihspxy01"," twauslihspxy02","pwauslihspxy03","pwauslihspxy04","pwauslihspxy01","pwauslihspxy02"})), "Please list the Reverse Proxy instances here", "")</f>
        <v/>
      </c>
    </row>
    <row r="208" spans="1:12" s="931" customFormat="1">
      <c r="A208" s="3263" t="str">
        <f t="shared" si="25"/>
        <v/>
      </c>
      <c r="B208" s="1712"/>
      <c r="C208" s="3223" t="str">
        <f t="shared" si="26"/>
        <v/>
      </c>
      <c r="D208" s="3231" t="str">
        <f t="shared" si="21"/>
        <v/>
      </c>
      <c r="E208" s="2008" t="str">
        <f t="shared" si="22"/>
        <v/>
      </c>
      <c r="F208" s="2008" t="str">
        <f t="shared" si="23"/>
        <v/>
      </c>
      <c r="G208" s="1587"/>
      <c r="H208" s="1587"/>
      <c r="I208" s="1587"/>
      <c r="J208" s="1587"/>
      <c r="K208" s="2008" t="str">
        <f t="shared" si="24"/>
        <v/>
      </c>
      <c r="L208" s="2478" t="str">
        <f>IF((OR($B208={"twauslihspxy03","twauslihspxy04","twauslihspxy01"," twauslihspxy02","pwauslihspxy03","pwauslihspxy04","pwauslihspxy01","pwauslihspxy02"})), "Please list the Reverse Proxy instances here", "")</f>
        <v/>
      </c>
    </row>
    <row r="209" spans="1:12" s="931" customFormat="1">
      <c r="A209" s="3263" t="str">
        <f t="shared" si="25"/>
        <v/>
      </c>
      <c r="B209" s="1712"/>
      <c r="C209" s="3223" t="str">
        <f t="shared" si="26"/>
        <v/>
      </c>
      <c r="D209" s="3231" t="str">
        <f t="shared" si="21"/>
        <v/>
      </c>
      <c r="E209" s="2008" t="str">
        <f t="shared" si="22"/>
        <v/>
      </c>
      <c r="F209" s="2008" t="str">
        <f t="shared" si="23"/>
        <v/>
      </c>
      <c r="G209" s="1587"/>
      <c r="H209" s="1587"/>
      <c r="I209" s="1587"/>
      <c r="J209" s="1587"/>
      <c r="K209" s="2008" t="str">
        <f t="shared" si="24"/>
        <v/>
      </c>
      <c r="L209" s="2478" t="str">
        <f>IF((OR($B209={"twauslihspxy03","twauslihspxy04","twauslihspxy01"," twauslihspxy02","pwauslihspxy03","pwauslihspxy04","pwauslihspxy01","pwauslihspxy02"})), "Please list the Reverse Proxy instances here", "")</f>
        <v/>
      </c>
    </row>
    <row r="210" spans="1:12" s="931" customFormat="1">
      <c r="A210" s="3263" t="str">
        <f t="shared" si="25"/>
        <v/>
      </c>
      <c r="B210" s="1712"/>
      <c r="C210" s="3223" t="str">
        <f t="shared" si="26"/>
        <v/>
      </c>
      <c r="D210" s="3231" t="str">
        <f t="shared" si="21"/>
        <v/>
      </c>
      <c r="E210" s="2008" t="str">
        <f t="shared" si="22"/>
        <v/>
      </c>
      <c r="F210" s="2008" t="str">
        <f t="shared" si="23"/>
        <v/>
      </c>
      <c r="G210" s="1587"/>
      <c r="H210" s="1587"/>
      <c r="I210" s="1587"/>
      <c r="J210" s="1587"/>
      <c r="K210" s="2008" t="str">
        <f t="shared" si="24"/>
        <v/>
      </c>
      <c r="L210" s="2478" t="str">
        <f>IF((OR($B210={"twauslihspxy03","twauslihspxy04","twauslihspxy01"," twauslihspxy02","pwauslihspxy03","pwauslihspxy04","pwauslihspxy01","pwauslihspxy02"})), "Please list the Reverse Proxy instances here", "")</f>
        <v/>
      </c>
    </row>
    <row r="211" spans="1:12" s="931" customFormat="1">
      <c r="A211" s="3263" t="str">
        <f t="shared" si="25"/>
        <v/>
      </c>
      <c r="B211" s="1712"/>
      <c r="C211" s="3223" t="str">
        <f t="shared" si="26"/>
        <v/>
      </c>
      <c r="D211" s="3231" t="str">
        <f t="shared" si="21"/>
        <v/>
      </c>
      <c r="E211" s="2008" t="str">
        <f t="shared" si="22"/>
        <v/>
      </c>
      <c r="F211" s="2008" t="str">
        <f t="shared" si="23"/>
        <v/>
      </c>
      <c r="G211" s="1587"/>
      <c r="H211" s="1587"/>
      <c r="I211" s="1587"/>
      <c r="J211" s="1587"/>
      <c r="K211" s="2008" t="str">
        <f t="shared" si="24"/>
        <v/>
      </c>
      <c r="L211" s="2478" t="str">
        <f>IF((OR($B211={"twauslihspxy03","twauslihspxy04","twauslihspxy01"," twauslihspxy02","pwauslihspxy03","pwauslihspxy04","pwauslihspxy01","pwauslihspxy02"})), "Please list the Reverse Proxy instances here", "")</f>
        <v/>
      </c>
    </row>
    <row r="212" spans="1:12" s="931" customFormat="1">
      <c r="A212" s="3263" t="str">
        <f t="shared" si="25"/>
        <v/>
      </c>
      <c r="B212" s="1712"/>
      <c r="C212" s="3223" t="str">
        <f t="shared" si="26"/>
        <v/>
      </c>
      <c r="D212" s="3231" t="str">
        <f t="shared" si="21"/>
        <v/>
      </c>
      <c r="E212" s="2008" t="str">
        <f t="shared" si="22"/>
        <v/>
      </c>
      <c r="F212" s="2008" t="str">
        <f t="shared" si="23"/>
        <v/>
      </c>
      <c r="G212" s="1587"/>
      <c r="H212" s="1587"/>
      <c r="I212" s="1587"/>
      <c r="J212" s="1587"/>
      <c r="K212" s="2008" t="str">
        <f t="shared" si="24"/>
        <v/>
      </c>
      <c r="L212" s="2478" t="str">
        <f>IF((OR($B212={"twauslihspxy03","twauslihspxy04","twauslihspxy01"," twauslihspxy02","pwauslihspxy03","pwauslihspxy04","pwauslihspxy01","pwauslihspxy02"})), "Please list the Reverse Proxy instances here", "")</f>
        <v/>
      </c>
    </row>
    <row r="213" spans="1:12" s="931" customFormat="1">
      <c r="A213" s="3263" t="str">
        <f t="shared" si="25"/>
        <v/>
      </c>
      <c r="B213" s="1712"/>
      <c r="C213" s="3223" t="str">
        <f t="shared" si="26"/>
        <v/>
      </c>
      <c r="D213" s="3231" t="str">
        <f t="shared" si="21"/>
        <v/>
      </c>
      <c r="E213" s="2008" t="str">
        <f t="shared" si="22"/>
        <v/>
      </c>
      <c r="F213" s="2008" t="str">
        <f t="shared" si="23"/>
        <v/>
      </c>
      <c r="G213" s="1587"/>
      <c r="H213" s="1587"/>
      <c r="I213" s="1587"/>
      <c r="J213" s="1587"/>
      <c r="K213" s="2008" t="str">
        <f t="shared" si="24"/>
        <v/>
      </c>
      <c r="L213" s="2478" t="str">
        <f>IF((OR($B213={"twauslihspxy03","twauslihspxy04","twauslihspxy01"," twauslihspxy02","pwauslihspxy03","pwauslihspxy04","pwauslihspxy01","pwauslihspxy02"})), "Please list the Reverse Proxy instances here", "")</f>
        <v/>
      </c>
    </row>
    <row r="214" spans="1:12" s="931" customFormat="1">
      <c r="A214" s="3263" t="str">
        <f t="shared" si="25"/>
        <v/>
      </c>
      <c r="B214" s="1712"/>
      <c r="C214" s="3223" t="str">
        <f t="shared" si="26"/>
        <v/>
      </c>
      <c r="D214" s="3231" t="str">
        <f t="shared" si="21"/>
        <v/>
      </c>
      <c r="E214" s="2008" t="str">
        <f t="shared" si="22"/>
        <v/>
      </c>
      <c r="F214" s="2008" t="str">
        <f t="shared" si="23"/>
        <v/>
      </c>
      <c r="G214" s="1587"/>
      <c r="H214" s="1587"/>
      <c r="I214" s="1587"/>
      <c r="J214" s="1587"/>
      <c r="K214" s="2008" t="str">
        <f t="shared" si="24"/>
        <v/>
      </c>
      <c r="L214" s="2478" t="str">
        <f>IF((OR($B214={"twauslihspxy03","twauslihspxy04","twauslihspxy01"," twauslihspxy02","pwauslihspxy03","pwauslihspxy04","pwauslihspxy01","pwauslihspxy02"})), "Please list the Reverse Proxy instances here", "")</f>
        <v/>
      </c>
    </row>
    <row r="215" spans="1:12" s="931" customFormat="1">
      <c r="A215" s="3263" t="str">
        <f t="shared" si="25"/>
        <v/>
      </c>
      <c r="B215" s="1712"/>
      <c r="C215" s="3223" t="str">
        <f t="shared" si="26"/>
        <v/>
      </c>
      <c r="D215" s="3231" t="str">
        <f t="shared" si="21"/>
        <v/>
      </c>
      <c r="E215" s="2008" t="str">
        <f t="shared" si="22"/>
        <v/>
      </c>
      <c r="F215" s="2008" t="str">
        <f t="shared" si="23"/>
        <v/>
      </c>
      <c r="G215" s="1587"/>
      <c r="H215" s="1587"/>
      <c r="I215" s="1587"/>
      <c r="J215" s="1587"/>
      <c r="K215" s="2008" t="str">
        <f t="shared" si="24"/>
        <v/>
      </c>
      <c r="L215" s="2478" t="str">
        <f>IF((OR($B215={"twauslihspxy03","twauslihspxy04","twauslihspxy01"," twauslihspxy02","pwauslihspxy03","pwauslihspxy04","pwauslihspxy01","pwauslihspxy02"})), "Please list the Reverse Proxy instances here", "")</f>
        <v/>
      </c>
    </row>
    <row r="216" spans="1:12" s="931" customFormat="1">
      <c r="A216" s="3263" t="str">
        <f t="shared" si="25"/>
        <v/>
      </c>
      <c r="B216" s="1712"/>
      <c r="C216" s="3223" t="str">
        <f t="shared" si="26"/>
        <v/>
      </c>
      <c r="D216" s="3231" t="str">
        <f t="shared" si="21"/>
        <v/>
      </c>
      <c r="E216" s="2008" t="str">
        <f t="shared" si="22"/>
        <v/>
      </c>
      <c r="F216" s="2008" t="str">
        <f t="shared" si="23"/>
        <v/>
      </c>
      <c r="G216" s="1587"/>
      <c r="H216" s="1587"/>
      <c r="I216" s="1587"/>
      <c r="J216" s="1587"/>
      <c r="K216" s="2008" t="str">
        <f t="shared" si="24"/>
        <v/>
      </c>
      <c r="L216" s="2478" t="str">
        <f>IF((OR($B216={"twauslihspxy03","twauslihspxy04","twauslihspxy01"," twauslihspxy02","pwauslihspxy03","pwauslihspxy04","pwauslihspxy01","pwauslihspxy02"})), "Please list the Reverse Proxy instances here", "")</f>
        <v/>
      </c>
    </row>
    <row r="217" spans="1:12" s="931" customFormat="1">
      <c r="A217" s="3263" t="str">
        <f t="shared" si="25"/>
        <v/>
      </c>
      <c r="B217" s="1712"/>
      <c r="C217" s="3223" t="str">
        <f t="shared" si="26"/>
        <v/>
      </c>
      <c r="D217" s="3231" t="str">
        <f t="shared" si="21"/>
        <v/>
      </c>
      <c r="E217" s="2008" t="str">
        <f t="shared" si="22"/>
        <v/>
      </c>
      <c r="F217" s="2008" t="str">
        <f t="shared" si="23"/>
        <v/>
      </c>
      <c r="G217" s="1587"/>
      <c r="H217" s="1587"/>
      <c r="I217" s="1587"/>
      <c r="J217" s="1587"/>
      <c r="K217" s="2008" t="str">
        <f t="shared" si="24"/>
        <v/>
      </c>
      <c r="L217" s="2478" t="str">
        <f>IF((OR($B217={"twauslihspxy03","twauslihspxy04","twauslihspxy01"," twauslihspxy02","pwauslihspxy03","pwauslihspxy04","pwauslihspxy01","pwauslihspxy02"})), "Please list the Reverse Proxy instances here", "")</f>
        <v/>
      </c>
    </row>
    <row r="218" spans="1:12" s="931" customFormat="1">
      <c r="A218" s="3263" t="str">
        <f t="shared" si="25"/>
        <v/>
      </c>
      <c r="B218" s="1712"/>
      <c r="C218" s="3223" t="str">
        <f t="shared" si="26"/>
        <v/>
      </c>
      <c r="D218" s="3231" t="str">
        <f t="shared" si="21"/>
        <v/>
      </c>
      <c r="E218" s="2008" t="str">
        <f t="shared" si="22"/>
        <v/>
      </c>
      <c r="F218" s="2008" t="str">
        <f t="shared" si="23"/>
        <v/>
      </c>
      <c r="G218" s="1587"/>
      <c r="H218" s="1587"/>
      <c r="I218" s="1587"/>
      <c r="J218" s="1587"/>
      <c r="K218" s="2008" t="str">
        <f t="shared" si="24"/>
        <v/>
      </c>
      <c r="L218" s="2478" t="str">
        <f>IF((OR($B218={"twauslihspxy03","twauslihspxy04","twauslihspxy01"," twauslihspxy02","pwauslihspxy03","pwauslihspxy04","pwauslihspxy01","pwauslihspxy02"})), "Please list the Reverse Proxy instances here", "")</f>
        <v/>
      </c>
    </row>
    <row r="219" spans="1:12" s="931" customFormat="1">
      <c r="A219" s="3263" t="str">
        <f t="shared" si="25"/>
        <v/>
      </c>
      <c r="B219" s="1712"/>
      <c r="C219" s="3223" t="str">
        <f t="shared" si="26"/>
        <v/>
      </c>
      <c r="D219" s="3231" t="str">
        <f t="shared" si="21"/>
        <v/>
      </c>
      <c r="E219" s="2008" t="str">
        <f t="shared" si="22"/>
        <v/>
      </c>
      <c r="F219" s="2008" t="str">
        <f t="shared" si="23"/>
        <v/>
      </c>
      <c r="G219" s="1587"/>
      <c r="H219" s="1587"/>
      <c r="I219" s="1587"/>
      <c r="J219" s="1587"/>
      <c r="K219" s="2008" t="str">
        <f t="shared" si="24"/>
        <v/>
      </c>
      <c r="L219" s="2478" t="str">
        <f>IF((OR($B219={"twauslihspxy03","twauslihspxy04","twauslihspxy01"," twauslihspxy02","pwauslihspxy03","pwauslihspxy04","pwauslihspxy01","pwauslihspxy02"})), "Please list the Reverse Proxy instances here", "")</f>
        <v/>
      </c>
    </row>
    <row r="220" spans="1:12" s="931" customFormat="1">
      <c r="A220" s="3263" t="str">
        <f t="shared" si="25"/>
        <v/>
      </c>
      <c r="B220" s="1712"/>
      <c r="C220" s="3223" t="str">
        <f t="shared" si="26"/>
        <v/>
      </c>
      <c r="D220" s="3231" t="str">
        <f t="shared" si="21"/>
        <v/>
      </c>
      <c r="E220" s="2008" t="str">
        <f t="shared" si="22"/>
        <v/>
      </c>
      <c r="F220" s="2008" t="str">
        <f t="shared" si="23"/>
        <v/>
      </c>
      <c r="G220" s="1587"/>
      <c r="H220" s="1587"/>
      <c r="I220" s="1587"/>
      <c r="J220" s="1587"/>
      <c r="K220" s="2008" t="str">
        <f t="shared" si="24"/>
        <v/>
      </c>
      <c r="L220" s="2478" t="str">
        <f>IF((OR($B220={"twauslihspxy03","twauslihspxy04","twauslihspxy01"," twauslihspxy02","pwauslihspxy03","pwauslihspxy04","pwauslihspxy01","pwauslihspxy02"})), "Please list the Reverse Proxy instances here", "")</f>
        <v/>
      </c>
    </row>
    <row r="221" spans="1:12" s="931" customFormat="1">
      <c r="A221" s="3263" t="str">
        <f t="shared" si="25"/>
        <v/>
      </c>
      <c r="B221" s="1712"/>
      <c r="C221" s="3223" t="str">
        <f t="shared" si="26"/>
        <v/>
      </c>
      <c r="D221" s="3231" t="str">
        <f t="shared" si="21"/>
        <v/>
      </c>
      <c r="E221" s="2008" t="str">
        <f t="shared" si="22"/>
        <v/>
      </c>
      <c r="F221" s="2008" t="str">
        <f t="shared" si="23"/>
        <v/>
      </c>
      <c r="G221" s="1587"/>
      <c r="H221" s="1587"/>
      <c r="I221" s="1587"/>
      <c r="J221" s="1587"/>
      <c r="K221" s="2008" t="str">
        <f t="shared" si="24"/>
        <v/>
      </c>
      <c r="L221" s="2478" t="str">
        <f>IF((OR($B221={"twauslihspxy03","twauslihspxy04","twauslihspxy01"," twauslihspxy02","pwauslihspxy03","pwauslihspxy04","pwauslihspxy01","pwauslihspxy02"})), "Please list the Reverse Proxy instances here", "")</f>
        <v/>
      </c>
    </row>
    <row r="222" spans="1:12" s="931" customFormat="1">
      <c r="A222" s="3263" t="str">
        <f t="shared" si="25"/>
        <v/>
      </c>
      <c r="B222" s="1712"/>
      <c r="C222" s="3223" t="str">
        <f t="shared" si="26"/>
        <v/>
      </c>
      <c r="D222" s="3231" t="str">
        <f t="shared" si="21"/>
        <v/>
      </c>
      <c r="E222" s="2008" t="str">
        <f t="shared" si="22"/>
        <v/>
      </c>
      <c r="F222" s="2008" t="str">
        <f t="shared" si="23"/>
        <v/>
      </c>
      <c r="G222" s="1587"/>
      <c r="H222" s="1587"/>
      <c r="I222" s="1587"/>
      <c r="J222" s="1587"/>
      <c r="K222" s="2008" t="str">
        <f t="shared" si="24"/>
        <v/>
      </c>
      <c r="L222" s="2478" t="str">
        <f>IF((OR($B222={"twauslihspxy03","twauslihspxy04","twauslihspxy01"," twauslihspxy02","pwauslihspxy03","pwauslihspxy04","pwauslihspxy01","pwauslihspxy02"})), "Please list the Reverse Proxy instances here", "")</f>
        <v/>
      </c>
    </row>
    <row r="223" spans="1:12" s="931" customFormat="1">
      <c r="A223" s="3263" t="str">
        <f t="shared" si="25"/>
        <v/>
      </c>
      <c r="B223" s="1712"/>
      <c r="C223" s="3223" t="str">
        <f t="shared" si="26"/>
        <v/>
      </c>
      <c r="D223" s="3231" t="str">
        <f t="shared" si="21"/>
        <v/>
      </c>
      <c r="E223" s="2008" t="str">
        <f t="shared" si="22"/>
        <v/>
      </c>
      <c r="F223" s="2008" t="str">
        <f t="shared" si="23"/>
        <v/>
      </c>
      <c r="G223" s="1587"/>
      <c r="H223" s="1587"/>
      <c r="I223" s="1587"/>
      <c r="J223" s="1587"/>
      <c r="K223" s="2008" t="str">
        <f t="shared" si="24"/>
        <v/>
      </c>
      <c r="L223" s="2478" t="str">
        <f>IF((OR($B223={"twauslihspxy03","twauslihspxy04","twauslihspxy01"," twauslihspxy02","pwauslihspxy03","pwauslihspxy04","pwauslihspxy01","pwauslihspxy02"})), "Please list the Reverse Proxy instances here", "")</f>
        <v/>
      </c>
    </row>
    <row r="224" spans="1:12" s="931" customFormat="1">
      <c r="A224" s="3263" t="str">
        <f t="shared" si="25"/>
        <v/>
      </c>
      <c r="B224" s="1712"/>
      <c r="C224" s="3223" t="str">
        <f t="shared" si="26"/>
        <v/>
      </c>
      <c r="D224" s="3231" t="str">
        <f t="shared" si="21"/>
        <v/>
      </c>
      <c r="E224" s="2008" t="str">
        <f t="shared" si="22"/>
        <v/>
      </c>
      <c r="F224" s="2008" t="str">
        <f t="shared" si="23"/>
        <v/>
      </c>
      <c r="G224" s="1587"/>
      <c r="H224" s="1587"/>
      <c r="I224" s="1587"/>
      <c r="J224" s="1587"/>
      <c r="K224" s="2008" t="str">
        <f t="shared" si="24"/>
        <v/>
      </c>
      <c r="L224" s="2478" t="str">
        <f>IF((OR($B224={"twauslihspxy03","twauslihspxy04","twauslihspxy01"," twauslihspxy02","pwauslihspxy03","pwauslihspxy04","pwauslihspxy01","pwauslihspxy02"})), "Please list the Reverse Proxy instances here", "")</f>
        <v/>
      </c>
    </row>
    <row r="225" spans="1:12" s="931" customFormat="1">
      <c r="A225" s="3263" t="str">
        <f t="shared" si="25"/>
        <v/>
      </c>
      <c r="B225" s="1712"/>
      <c r="C225" s="3223" t="str">
        <f t="shared" si="26"/>
        <v/>
      </c>
      <c r="D225" s="3231" t="str">
        <f t="shared" si="21"/>
        <v/>
      </c>
      <c r="E225" s="2008" t="str">
        <f t="shared" si="22"/>
        <v/>
      </c>
      <c r="F225" s="2008" t="str">
        <f t="shared" si="23"/>
        <v/>
      </c>
      <c r="G225" s="1587"/>
      <c r="H225" s="1587"/>
      <c r="I225" s="1587"/>
      <c r="J225" s="1587"/>
      <c r="K225" s="2008" t="str">
        <f t="shared" si="24"/>
        <v/>
      </c>
      <c r="L225" s="2478" t="str">
        <f>IF((OR($B225={"twauslihspxy03","twauslihspxy04","twauslihspxy01"," twauslihspxy02","pwauslihspxy03","pwauslihspxy04","pwauslihspxy01","pwauslihspxy02"})), "Please list the Reverse Proxy instances here", "")</f>
        <v/>
      </c>
    </row>
    <row r="226" spans="1:12" s="931" customFormat="1">
      <c r="A226" s="3263" t="str">
        <f t="shared" si="25"/>
        <v/>
      </c>
      <c r="B226" s="1712"/>
      <c r="C226" s="3223" t="str">
        <f t="shared" si="26"/>
        <v/>
      </c>
      <c r="D226" s="3231" t="str">
        <f t="shared" si="21"/>
        <v/>
      </c>
      <c r="E226" s="2008" t="str">
        <f t="shared" si="22"/>
        <v/>
      </c>
      <c r="F226" s="2008" t="str">
        <f t="shared" si="23"/>
        <v/>
      </c>
      <c r="G226" s="1587"/>
      <c r="H226" s="1587"/>
      <c r="I226" s="1587"/>
      <c r="J226" s="1587"/>
      <c r="K226" s="2008" t="str">
        <f t="shared" si="24"/>
        <v/>
      </c>
      <c r="L226" s="2478" t="str">
        <f>IF((OR($B226={"twauslihspxy03","twauslihspxy04","twauslihspxy01"," twauslihspxy02","pwauslihspxy03","pwauslihspxy04","pwauslihspxy01","pwauslihspxy02"})), "Please list the Reverse Proxy instances here", "")</f>
        <v/>
      </c>
    </row>
    <row r="227" spans="1:12" s="931" customFormat="1">
      <c r="A227" s="3263" t="str">
        <f t="shared" si="25"/>
        <v/>
      </c>
      <c r="B227" s="1712"/>
      <c r="C227" s="3223" t="str">
        <f t="shared" si="26"/>
        <v/>
      </c>
      <c r="D227" s="3231" t="str">
        <f t="shared" si="21"/>
        <v/>
      </c>
      <c r="E227" s="2008" t="str">
        <f t="shared" si="22"/>
        <v/>
      </c>
      <c r="F227" s="2008" t="str">
        <f t="shared" si="23"/>
        <v/>
      </c>
      <c r="G227" s="1587"/>
      <c r="H227" s="1587"/>
      <c r="I227" s="1587"/>
      <c r="J227" s="1587"/>
      <c r="K227" s="2008" t="str">
        <f t="shared" si="24"/>
        <v/>
      </c>
      <c r="L227" s="2478" t="str">
        <f>IF((OR($B227={"twauslihspxy03","twauslihspxy04","twauslihspxy01"," twauslihspxy02","pwauslihspxy03","pwauslihspxy04","pwauslihspxy01","pwauslihspxy02"})), "Please list the Reverse Proxy instances here", "")</f>
        <v/>
      </c>
    </row>
    <row r="228" spans="1:12" s="931" customFormat="1">
      <c r="A228" s="3263" t="str">
        <f t="shared" si="25"/>
        <v/>
      </c>
      <c r="B228" s="1712"/>
      <c r="C228" s="3223" t="str">
        <f t="shared" si="26"/>
        <v/>
      </c>
      <c r="D228" s="3231" t="str">
        <f t="shared" si="21"/>
        <v/>
      </c>
      <c r="E228" s="2008" t="str">
        <f t="shared" si="22"/>
        <v/>
      </c>
      <c r="F228" s="2008" t="str">
        <f t="shared" si="23"/>
        <v/>
      </c>
      <c r="G228" s="1587"/>
      <c r="H228" s="1587"/>
      <c r="I228" s="1587"/>
      <c r="J228" s="1587"/>
      <c r="K228" s="2008" t="str">
        <f t="shared" si="24"/>
        <v/>
      </c>
      <c r="L228" s="2478" t="str">
        <f>IF((OR($B228={"twauslihspxy03","twauslihspxy04","twauslihspxy01"," twauslihspxy02","pwauslihspxy03","pwauslihspxy04","pwauslihspxy01","pwauslihspxy02"})), "Please list the Reverse Proxy instances here", "")</f>
        <v/>
      </c>
    </row>
    <row r="229" spans="1:12" s="931" customFormat="1">
      <c r="A229" s="3263" t="str">
        <f t="shared" si="25"/>
        <v/>
      </c>
      <c r="B229" s="1712"/>
      <c r="C229" s="3223" t="str">
        <f t="shared" si="26"/>
        <v/>
      </c>
      <c r="D229" s="3231" t="str">
        <f t="shared" si="21"/>
        <v/>
      </c>
      <c r="E229" s="2008" t="str">
        <f t="shared" si="22"/>
        <v/>
      </c>
      <c r="F229" s="2008" t="str">
        <f t="shared" si="23"/>
        <v/>
      </c>
      <c r="G229" s="1587"/>
      <c r="H229" s="1587"/>
      <c r="I229" s="1587"/>
      <c r="J229" s="1587"/>
      <c r="K229" s="2008" t="str">
        <f t="shared" si="24"/>
        <v/>
      </c>
      <c r="L229" s="2478" t="str">
        <f>IF((OR($B229={"twauslihspxy03","twauslihspxy04","twauslihspxy01"," twauslihspxy02","pwauslihspxy03","pwauslihspxy04","pwauslihspxy01","pwauslihspxy02"})), "Please list the Reverse Proxy instances here", "")</f>
        <v/>
      </c>
    </row>
    <row r="230" spans="1:12" s="931" customFormat="1">
      <c r="A230" s="3263" t="str">
        <f t="shared" si="25"/>
        <v/>
      </c>
      <c r="B230" s="1712"/>
      <c r="C230" s="3223" t="str">
        <f t="shared" si="26"/>
        <v/>
      </c>
      <c r="D230" s="3231" t="str">
        <f t="shared" si="21"/>
        <v/>
      </c>
      <c r="E230" s="2008" t="str">
        <f t="shared" si="22"/>
        <v/>
      </c>
      <c r="F230" s="2008" t="str">
        <f t="shared" si="23"/>
        <v/>
      </c>
      <c r="G230" s="1587"/>
      <c r="H230" s="1587"/>
      <c r="I230" s="1587"/>
      <c r="J230" s="1587"/>
      <c r="K230" s="2008" t="str">
        <f t="shared" si="24"/>
        <v/>
      </c>
      <c r="L230" s="2478" t="str">
        <f>IF((OR($B230={"twauslihspxy03","twauslihspxy04","twauslihspxy01"," twauslihspxy02","pwauslihspxy03","pwauslihspxy04","pwauslihspxy01","pwauslihspxy02"})), "Please list the Reverse Proxy instances here", "")</f>
        <v/>
      </c>
    </row>
    <row r="231" spans="1:12" s="931" customFormat="1">
      <c r="A231" s="3263" t="str">
        <f t="shared" si="25"/>
        <v/>
      </c>
      <c r="B231" s="1712"/>
      <c r="C231" s="3223" t="str">
        <f t="shared" si="26"/>
        <v/>
      </c>
      <c r="D231" s="3231" t="str">
        <f t="shared" si="21"/>
        <v/>
      </c>
      <c r="E231" s="2008" t="str">
        <f t="shared" si="22"/>
        <v/>
      </c>
      <c r="F231" s="2008" t="str">
        <f t="shared" si="23"/>
        <v/>
      </c>
      <c r="G231" s="1587"/>
      <c r="H231" s="1587"/>
      <c r="I231" s="1587"/>
      <c r="J231" s="1587"/>
      <c r="K231" s="2008" t="str">
        <f t="shared" si="24"/>
        <v/>
      </c>
      <c r="L231" s="2478" t="str">
        <f>IF((OR($B231={"twauslihspxy03","twauslihspxy04","twauslihspxy01"," twauslihspxy02","pwauslihspxy03","pwauslihspxy04","pwauslihspxy01","pwauslihspxy02"})), "Please list the Reverse Proxy instances here", "")</f>
        <v/>
      </c>
    </row>
    <row r="232" spans="1:12" s="931" customFormat="1">
      <c r="A232" s="3263" t="str">
        <f t="shared" si="25"/>
        <v/>
      </c>
      <c r="B232" s="1712"/>
      <c r="C232" s="3223" t="str">
        <f t="shared" si="26"/>
        <v/>
      </c>
      <c r="D232" s="3231" t="str">
        <f t="shared" si="21"/>
        <v/>
      </c>
      <c r="E232" s="2008" t="str">
        <f t="shared" si="22"/>
        <v/>
      </c>
      <c r="F232" s="2008" t="str">
        <f t="shared" si="23"/>
        <v/>
      </c>
      <c r="G232" s="1587"/>
      <c r="H232" s="1587"/>
      <c r="I232" s="1587"/>
      <c r="J232" s="1587"/>
      <c r="K232" s="2008" t="str">
        <f t="shared" si="24"/>
        <v/>
      </c>
      <c r="L232" s="2478" t="str">
        <f>IF((OR($B232={"twauslihspxy03","twauslihspxy04","twauslihspxy01"," twauslihspxy02","pwauslihspxy03","pwauslihspxy04","pwauslihspxy01","pwauslihspxy02"})), "Please list the Reverse Proxy instances here", "")</f>
        <v/>
      </c>
    </row>
    <row r="233" spans="1:12" s="931" customFormat="1">
      <c r="A233" s="3263" t="str">
        <f t="shared" si="25"/>
        <v/>
      </c>
      <c r="B233" s="1712"/>
      <c r="C233" s="3223" t="str">
        <f t="shared" si="26"/>
        <v/>
      </c>
      <c r="D233" s="3231" t="str">
        <f t="shared" si="21"/>
        <v/>
      </c>
      <c r="E233" s="2008" t="str">
        <f t="shared" si="22"/>
        <v/>
      </c>
      <c r="F233" s="2008" t="str">
        <f t="shared" si="23"/>
        <v/>
      </c>
      <c r="G233" s="1587"/>
      <c r="H233" s="1587"/>
      <c r="I233" s="1587"/>
      <c r="J233" s="1587"/>
      <c r="K233" s="2008" t="str">
        <f t="shared" si="24"/>
        <v/>
      </c>
      <c r="L233" s="2478" t="str">
        <f>IF((OR($B233={"twauslihspxy03","twauslihspxy04","twauslihspxy01"," twauslihspxy02","pwauslihspxy03","pwauslihspxy04","pwauslihspxy01","pwauslihspxy02"})), "Please list the Reverse Proxy instances here", "")</f>
        <v/>
      </c>
    </row>
    <row r="234" spans="1:12" s="931" customFormat="1" ht="13.5" thickBot="1">
      <c r="A234" s="3264" t="str">
        <f t="shared" si="25"/>
        <v/>
      </c>
      <c r="B234" s="3221"/>
      <c r="C234" s="3224" t="str">
        <f t="shared" si="26"/>
        <v/>
      </c>
      <c r="D234" s="3232" t="str">
        <f t="shared" si="21"/>
        <v/>
      </c>
      <c r="E234" s="3114" t="str">
        <f t="shared" si="22"/>
        <v/>
      </c>
      <c r="F234" s="3114" t="str">
        <f t="shared" si="23"/>
        <v/>
      </c>
      <c r="G234" s="1514"/>
      <c r="H234" s="1514"/>
      <c r="I234" s="1514"/>
      <c r="J234" s="1514"/>
      <c r="K234" s="3114" t="str">
        <f t="shared" si="24"/>
        <v/>
      </c>
      <c r="L234" s="2476" t="str">
        <f>IF((OR($B234={"twauslihspxy03","twauslihspxy04","twauslihspxy01"," twauslihspxy02","pwauslihspxy03","pwauslihspxy04","pwauslihspxy01","pwauslihspxy02"})), "Please list the Reverse Proxy instances here", "")</f>
        <v/>
      </c>
    </row>
  </sheetData>
  <mergeCells count="6">
    <mergeCell ref="A132:L132"/>
    <mergeCell ref="B3:D3"/>
    <mergeCell ref="B4:D4"/>
    <mergeCell ref="B6:D6"/>
    <mergeCell ref="A8:K8"/>
    <mergeCell ref="A112:K112"/>
  </mergeCells>
  <conditionalFormatting sqref="B2:B7">
    <cfRule type="cellIs" dxfId="28" priority="13" stopIfTrue="1" operator="equal">
      <formula>"Undetermined"</formula>
    </cfRule>
    <cfRule type="cellIs" dxfId="27" priority="14" stopIfTrue="1" operator="equal">
      <formula>"REQUIRED"</formula>
    </cfRule>
  </conditionalFormatting>
  <conditionalFormatting sqref="E114:E131">
    <cfRule type="expression" dxfId="26" priority="10">
      <formula>$F114="YES"</formula>
    </cfRule>
  </conditionalFormatting>
  <conditionalFormatting sqref="K10:K11 K13:K111">
    <cfRule type="expression" dxfId="25" priority="8">
      <formula>$G10="Yes - Partial Decom"</formula>
    </cfRule>
  </conditionalFormatting>
  <conditionalFormatting sqref="H114:H131">
    <cfRule type="expression" dxfId="24" priority="6">
      <formula>$F114="No"</formula>
    </cfRule>
  </conditionalFormatting>
  <conditionalFormatting sqref="D134:D234">
    <cfRule type="notContainsBlanks" dxfId="23" priority="15">
      <formula>LEN(TRIM(D134))&gt;0</formula>
    </cfRule>
  </conditionalFormatting>
  <conditionalFormatting sqref="C134:C234">
    <cfRule type="notContainsBlanks" dxfId="22" priority="4">
      <formula>LEN(TRIM(C134))&gt;0</formula>
    </cfRule>
  </conditionalFormatting>
  <conditionalFormatting sqref="K12">
    <cfRule type="expression" dxfId="21" priority="1">
      <formula>$G12="Yes - Partial Decom"</formula>
    </cfRule>
  </conditionalFormatting>
  <dataValidations count="10">
    <dataValidation type="list" allowBlank="1" showInputMessage="1" showErrorMessage="1" sqref="J134:J234" xr:uid="{00000000-0002-0000-1E00-000000000000}">
      <formula1>"Host,A,Alias,CNAME,PTR,MX,SRV,SOA,NS"</formula1>
    </dataValidation>
    <dataValidation type="list" allowBlank="1" showInputMessage="1" showErrorMessage="1" sqref="I10:I111" xr:uid="{00000000-0002-0000-1E00-000001000000}">
      <formula1>"Windows, OpenSystems"</formula1>
    </dataValidation>
    <dataValidation type="list" allowBlank="1" showInputMessage="1" showErrorMessage="1" sqref="I134:I234 F114:F131 H114:H131" xr:uid="{00000000-0002-0000-1E00-000002000000}">
      <formula1>"No, Yes"</formula1>
    </dataValidation>
    <dataValidation type="list" allowBlank="1" showInputMessage="1" showErrorMessage="1" sqref="D114:D131 G134:G234" xr:uid="{00000000-0002-0000-1E00-000003000000}">
      <formula1>"Prod 2.0, Prod 1.0, Test 2.0, Test 1.0, DEV (Chi), DEV (Wau), DR - Steady State, Prod FTW"</formula1>
    </dataValidation>
    <dataValidation type="list" allowBlank="1" showInputMessage="1" showErrorMessage="1" sqref="J10:J111" xr:uid="{00000000-0002-0000-1E00-000004000000}">
      <formula1>"Physical, Virtual, Blade"</formula1>
    </dataValidation>
    <dataValidation type="list" allowBlank="1" showInputMessage="1" showErrorMessage="1" sqref="H13:H111" xr:uid="{00000000-0002-0000-1E00-000005000000}">
      <formula1>"Websphere App, Websphere IHS, SQL, DB2, Oracle, MySQL, Oracle RAC, Informix, Other"</formula1>
    </dataValidation>
    <dataValidation type="list" allowBlank="1" showInputMessage="1" showErrorMessage="1" sqref="H10:H12" xr:uid="{00000000-0002-0000-1E00-000006000000}">
      <formula1>"Websphere App, Websphere IHS, SQL, DB2, Oracle, MySQL, Oracle RAC, Informix, Proxy, Other"</formula1>
    </dataValidation>
    <dataValidation type="list" allowBlank="1" showInputMessage="1" showErrorMessage="1" sqref="I114:I131" xr:uid="{00000000-0002-0000-1E00-000007000000}">
      <formula1>"Yes, No"</formula1>
    </dataValidation>
    <dataValidation type="list" allowBlank="1" showInputMessage="1" showErrorMessage="1" sqref="B134:B234" xr:uid="{00000000-0002-0000-1E00-000008000000}">
      <formula1>list_All_decom_IPs</formula1>
    </dataValidation>
    <dataValidation type="list" allowBlank="1" showInputMessage="1" showErrorMessage="1" sqref="G114:G131" xr:uid="{00000000-0002-0000-1E00-000009000000}">
      <formula1>"No, Yes - Full Decom, Yes - Partial Decom"</formula1>
    </dataValidation>
  </dataValidations>
  <pageMargins left="0.7" right="0.7" top="0.75" bottom="0.75" header="0.3" footer="0.3"/>
  <pageSetup paperSize="17" orientation="portrait" r:id="rId1"/>
  <ignoredErrors>
    <ignoredError sqref="L134 L135:L162 L163:L234 C134" unlockedFormula="1"/>
  </ignoredErrors>
  <drawing r:id="rId2"/>
  <legacyDrawing r:id="rId3"/>
  <oleObjects>
    <mc:AlternateContent xmlns:mc="http://schemas.openxmlformats.org/markup-compatibility/2006">
      <mc:Choice Requires="x14">
        <oleObject progId="Word.Document.12" shapeId="443405" r:id="rId4">
          <objectPr defaultSize="0" r:id="rId5">
            <anchor moveWithCells="1">
              <from>
                <xdr:col>105</xdr:col>
                <xdr:colOff>0</xdr:colOff>
                <xdr:row>1</xdr:row>
                <xdr:rowOff>0</xdr:rowOff>
              </from>
              <to>
                <xdr:col>122</xdr:col>
                <xdr:colOff>85725</xdr:colOff>
                <xdr:row>131</xdr:row>
                <xdr:rowOff>38100</xdr:rowOff>
              </to>
            </anchor>
          </objectPr>
        </oleObject>
      </mc:Choice>
      <mc:Fallback>
        <oleObject progId="Word.Document.12" shapeId="443405" r:id="rId4"/>
      </mc:Fallback>
    </mc:AlternateContent>
  </oleObjects>
  <extLst>
    <ext xmlns:x14="http://schemas.microsoft.com/office/spreadsheetml/2009/9/main" uri="{78C0D931-6437-407d-A8EE-F0AAD7539E65}">
      <x14:conditionalFormattings>
        <x14:conditionalFormatting xmlns:xm="http://schemas.microsoft.com/office/excel/2006/main">
          <x14:cfRule type="expression" priority="3" id="{AC0F72BB-E799-47F9-BDF0-4CC8E9DE6751}">
            <xm:f>'Table of Contents'!$C$54="YES"</xm:f>
            <x14:dxf>
              <font>
                <color auto="1"/>
              </font>
              <fill>
                <patternFill>
                  <bgColor rgb="FFFFFF00"/>
                </patternFill>
              </fill>
            </x14:dxf>
          </x14:cfRule>
          <xm:sqref>G7</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8">
    <tabColor theme="6" tint="-0.499984740745262"/>
  </sheetPr>
  <dimension ref="A1:K22"/>
  <sheetViews>
    <sheetView showGridLines="0" workbookViewId="0"/>
  </sheetViews>
  <sheetFormatPr defaultColWidth="9.140625" defaultRowHeight="12.75"/>
  <cols>
    <col min="1" max="1" width="14.7109375" style="931" customWidth="1"/>
    <col min="2" max="2" width="15.5703125" style="931" bestFit="1" customWidth="1"/>
    <col min="3" max="3" width="14.85546875" style="931" customWidth="1"/>
    <col min="4" max="4" width="3.7109375" style="931" customWidth="1"/>
    <col min="5" max="5" width="25.5703125" style="931" customWidth="1"/>
    <col min="6" max="6" width="8.7109375" style="931" customWidth="1"/>
    <col min="7" max="7" width="3.7109375" style="931" customWidth="1"/>
    <col min="8" max="9" width="14.85546875" style="931" customWidth="1"/>
    <col min="10" max="10" width="16" style="931" customWidth="1"/>
    <col min="11" max="11" width="13.42578125" style="931" customWidth="1"/>
    <col min="12" max="16384" width="9.140625" style="931"/>
  </cols>
  <sheetData>
    <row r="1" spans="1:11" ht="32.25" customHeight="1" thickBot="1">
      <c r="A1" s="1125"/>
      <c r="B1" s="1829"/>
      <c r="C1" s="604" t="str">
        <f>IF(MF="YES","REQUIRED",IF(MF="NO","This Tab is Not Required","Undetermined"))</f>
        <v>Undetermined</v>
      </c>
      <c r="D1" s="4015" t="str">
        <f>ProjDet_AppNameCol &amp;" - Mainframe Scope of Work"</f>
        <v>Linux Infrastructure Management - Mainframe Scope of Work</v>
      </c>
      <c r="E1" s="4016"/>
      <c r="F1" s="4016"/>
      <c r="G1" s="4016"/>
      <c r="H1" s="4016"/>
      <c r="I1" s="4016"/>
      <c r="J1" s="4016"/>
      <c r="K1" s="4017"/>
    </row>
    <row r="2" spans="1:11" ht="26.25" thickBot="1">
      <c r="A2" s="4009" t="s">
        <v>3062</v>
      </c>
      <c r="B2" s="4010"/>
      <c r="C2" s="4011"/>
      <c r="E2" s="1129" t="s">
        <v>3063</v>
      </c>
      <c r="F2" s="1130" t="s">
        <v>3064</v>
      </c>
      <c r="H2" s="4012" t="s">
        <v>3065</v>
      </c>
      <c r="I2" s="4013"/>
      <c r="J2" s="4013"/>
      <c r="K2" s="4014"/>
    </row>
    <row r="3" spans="1:11" ht="15.75" thickBot="1">
      <c r="A3" s="688" t="s">
        <v>1814</v>
      </c>
      <c r="B3" s="689" t="s">
        <v>1815</v>
      </c>
      <c r="C3" s="690" t="s">
        <v>1816</v>
      </c>
      <c r="E3" s="1131" t="s">
        <v>53</v>
      </c>
      <c r="F3" s="1132" t="str">
        <f>IF(MF_DB2&lt;&gt;"",MF_DB2,"")</f>
        <v>No</v>
      </c>
      <c r="H3" s="3981" t="s">
        <v>3066</v>
      </c>
      <c r="I3" s="3982"/>
      <c r="J3" s="3983" t="s">
        <v>3067</v>
      </c>
      <c r="K3" s="3984"/>
    </row>
    <row r="4" spans="1:11" ht="15">
      <c r="A4" s="1954" t="str">
        <f>IF(MF="YES",
       IF(ISBLANK('Distributed Assets'!$C7),"",IF(VLOOKUP('Distributed Assets'!$C7,'Distributed Assets'!$C$7:$F$22,3,FALSE)="Test",'Distributed Assets'!$C7,"")),
       "")</f>
        <v/>
      </c>
      <c r="B4" s="1955" t="str">
        <f>IF(MF="YES",
       IF(ISBLANK('Distributed Assets'!$C7),"",IF(VLOOKUP('Distributed Assets'!$C7,'Distributed Assets'!$C$7:$F$22,3,FALSE)="Cycle",'Distributed Assets'!$C7,"")),
       "")</f>
        <v/>
      </c>
      <c r="C4" s="1959" t="str">
        <f>IF(MF="YES",
IF(COUNTIF('Distributed Assets'!$F$7:$F$22,"Prod 2.0")&gt;0,"Prod",""),
"")</f>
        <v/>
      </c>
      <c r="E4" s="1131" t="s">
        <v>2146</v>
      </c>
      <c r="F4" s="1132" t="str">
        <f>IF(MF_CICS&lt;&gt;"",MF_CICS,"")</f>
        <v>No</v>
      </c>
      <c r="H4" s="3981" t="s">
        <v>3068</v>
      </c>
      <c r="I4" s="3982"/>
      <c r="J4" s="3983" t="s">
        <v>3069</v>
      </c>
      <c r="K4" s="3984"/>
    </row>
    <row r="5" spans="1:11" ht="15">
      <c r="A5" s="1954" t="str">
        <f>IF(MF="YES",
       IF(ISBLANK('Distributed Assets'!$C8),"",IF(VLOOKUP('Distributed Assets'!$C8,'Distributed Assets'!$C$7:$F$22,3,FALSE)="Test",'Distributed Assets'!$C8,"")),
       "")</f>
        <v/>
      </c>
      <c r="B5" s="1956" t="str">
        <f>IF(MF="YES",
       IF(ISBLANK('Distributed Assets'!$C8),"",IF(VLOOKUP('Distributed Assets'!$C8,'Distributed Assets'!$C$7:$F$22,3,FALSE)="Cycle",'Distributed Assets'!$C8,"")),
       "")</f>
        <v/>
      </c>
      <c r="C5" s="1952"/>
      <c r="E5" s="1131" t="s">
        <v>3070</v>
      </c>
      <c r="F5" s="1132"/>
      <c r="H5" s="4004" t="s">
        <v>3071</v>
      </c>
      <c r="I5" s="4005"/>
      <c r="J5" s="3983" t="s">
        <v>3072</v>
      </c>
      <c r="K5" s="3984"/>
    </row>
    <row r="6" spans="1:11" ht="15">
      <c r="A6" s="1954" t="str">
        <f>IF(MF="YES",
       IF(ISBLANK('Distributed Assets'!$C9),"",IF(VLOOKUP('Distributed Assets'!$C9,'Distributed Assets'!$C$7:$F$22,3,FALSE)="Test",'Distributed Assets'!$C9,"")),
       "")</f>
        <v/>
      </c>
      <c r="B6" s="1956" t="str">
        <f>IF(MF="YES",
       IF(ISBLANK('Distributed Assets'!$C9),"",IF(VLOOKUP('Distributed Assets'!$C9,'Distributed Assets'!$C$7:$F$22,3,FALSE)="Cycle",'Distributed Assets'!$C9,"")),
       "")</f>
        <v/>
      </c>
      <c r="C6" s="1952"/>
      <c r="E6" s="1131" t="s">
        <v>56</v>
      </c>
      <c r="F6" s="1132"/>
      <c r="H6" s="3997" t="s">
        <v>3073</v>
      </c>
      <c r="I6" s="3998"/>
      <c r="J6" s="3998"/>
      <c r="K6" s="4003"/>
    </row>
    <row r="7" spans="1:11" ht="15">
      <c r="A7" s="1954" t="str">
        <f>IF(MF="YES",
       IF(ISBLANK('Distributed Assets'!$C10),"",IF(VLOOKUP('Distributed Assets'!$C10,'Distributed Assets'!$C$7:$F$22,3,FALSE)="Test",'Distributed Assets'!$C10,"")),
       "")</f>
        <v/>
      </c>
      <c r="B7" s="1956" t="str">
        <f>IF(MF="YES",
       IF(ISBLANK('Distributed Assets'!$C10),"",IF(VLOOKUP('Distributed Assets'!$C10,'Distributed Assets'!$C$7:$F$22,3,FALSE)="Cycle",'Distributed Assets'!$C10,"")),
       "")</f>
        <v/>
      </c>
      <c r="C7" s="1952"/>
      <c r="E7" s="1133" t="s">
        <v>3074</v>
      </c>
      <c r="F7" s="1132"/>
      <c r="H7" s="4006"/>
      <c r="I7" s="4007"/>
      <c r="J7" s="4008" t="s">
        <v>3075</v>
      </c>
      <c r="K7" s="3984"/>
    </row>
    <row r="8" spans="1:11" ht="15">
      <c r="A8" s="1954" t="str">
        <f>IF(MF="YES",
       IF(ISBLANK('Distributed Assets'!$C11),"",IF(VLOOKUP('Distributed Assets'!$C11,'Distributed Assets'!$C$7:$F$22,3,FALSE)="Test",'Distributed Assets'!$C11,"")),
       "")</f>
        <v/>
      </c>
      <c r="B8" s="1956" t="str">
        <f>IF(MF="YES",
       IF(ISBLANK('Distributed Assets'!$C11),"",IF(VLOOKUP('Distributed Assets'!$C11,'Distributed Assets'!$C$7:$F$22,3,FALSE)="Cycle",'Distributed Assets'!$C11,"")),
       "")</f>
        <v/>
      </c>
      <c r="C8" s="1952"/>
      <c r="E8" s="1133" t="s">
        <v>3076</v>
      </c>
      <c r="F8" s="1132"/>
      <c r="H8" s="3997" t="s">
        <v>3077</v>
      </c>
      <c r="I8" s="3998"/>
      <c r="J8" s="3998"/>
      <c r="K8" s="4003"/>
    </row>
    <row r="9" spans="1:11" ht="15">
      <c r="A9" s="1954" t="str">
        <f>IF(MF="YES",
       IF(ISBLANK('Distributed Assets'!$C12),"",IF(VLOOKUP('Distributed Assets'!$C12,'Distributed Assets'!$C$7:$F$22,3,FALSE)="Test",'Distributed Assets'!$C12,"")),
       "")</f>
        <v/>
      </c>
      <c r="B9" s="1956" t="str">
        <f>IF(MF="YES",
       IF(ISBLANK('Distributed Assets'!$C12),"",IF(VLOOKUP('Distributed Assets'!$C12,'Distributed Assets'!$C$7:$F$22,3,FALSE)="Cycle",'Distributed Assets'!$C12,"")),
       "")</f>
        <v/>
      </c>
      <c r="C9" s="1952"/>
      <c r="E9" s="1131" t="s">
        <v>3078</v>
      </c>
      <c r="F9" s="1132"/>
      <c r="H9" s="4006"/>
      <c r="I9" s="4007"/>
      <c r="J9" s="4008" t="s">
        <v>3079</v>
      </c>
      <c r="K9" s="3984"/>
    </row>
    <row r="10" spans="1:11" ht="15">
      <c r="A10" s="1954" t="str">
        <f>IF(MF="YES",
       IF(ISBLANK('Distributed Assets'!$C13),"",IF(VLOOKUP('Distributed Assets'!$C13,'Distributed Assets'!$C$7:$F$22,3,FALSE)="Test",'Distributed Assets'!$C13,"")),
       "")</f>
        <v/>
      </c>
      <c r="B10" s="1956" t="str">
        <f>IF(MF="YES",
       IF(ISBLANK('Distributed Assets'!$C13),"",IF(VLOOKUP('Distributed Assets'!$C13,'Distributed Assets'!$C$7:$F$22,3,FALSE)="Cycle",'Distributed Assets'!$C13,"")),
       "")</f>
        <v/>
      </c>
      <c r="C10" s="1952"/>
      <c r="E10" s="1131" t="s">
        <v>3080</v>
      </c>
      <c r="F10" s="1132"/>
      <c r="H10" s="3997" t="s">
        <v>3081</v>
      </c>
      <c r="I10" s="3998"/>
      <c r="J10" s="3998"/>
      <c r="K10" s="4003"/>
    </row>
    <row r="11" spans="1:11" ht="15">
      <c r="A11" s="1954" t="str">
        <f>IF(MF="YES",
       IF(ISBLANK('Distributed Assets'!$C14),"",IF(VLOOKUP('Distributed Assets'!$C14,'Distributed Assets'!$C$7:$F$22,3,FALSE)="Test",'Distributed Assets'!$C14,"")),
       "")</f>
        <v/>
      </c>
      <c r="B11" s="1956" t="str">
        <f>IF(MF="YES",
       IF(ISBLANK('Distributed Assets'!$C14),"",IF(VLOOKUP('Distributed Assets'!$C14,'Distributed Assets'!$C$7:$F$22,3,FALSE)="Cycle",'Distributed Assets'!$C14,"")),
       "")</f>
        <v/>
      </c>
      <c r="C11" s="1952"/>
      <c r="E11" s="1133"/>
      <c r="F11" s="1132"/>
      <c r="H11" s="4006"/>
      <c r="I11" s="4007"/>
      <c r="J11" s="4008" t="s">
        <v>3082</v>
      </c>
      <c r="K11" s="3984"/>
    </row>
    <row r="12" spans="1:11" ht="15">
      <c r="A12" s="1954" t="str">
        <f>IF(MF="YES",
       IF(ISBLANK('Distributed Assets'!$C15),"",IF(VLOOKUP('Distributed Assets'!$C15,'Distributed Assets'!$C$7:$F$22,3,FALSE)="Test",'Distributed Assets'!$C15,"")),
       "")</f>
        <v/>
      </c>
      <c r="B12" s="1956" t="str">
        <f>IF(MF="YES",
       IF(ISBLANK('Distributed Assets'!$C15),"",IF(VLOOKUP('Distributed Assets'!$C15,'Distributed Assets'!$C$7:$F$22,3,FALSE)="Cycle",'Distributed Assets'!$C15,"")),
       "")</f>
        <v/>
      </c>
      <c r="C12" s="1952"/>
      <c r="E12" s="1134" t="s">
        <v>70</v>
      </c>
      <c r="F12" s="1135"/>
      <c r="H12" s="3997" t="s">
        <v>3083</v>
      </c>
      <c r="I12" s="3998"/>
      <c r="J12" s="3998"/>
      <c r="K12" s="4003"/>
    </row>
    <row r="13" spans="1:11" ht="15.75" thickBot="1">
      <c r="A13" s="1954" t="str">
        <f>IF(MF="YES",
       IF(ISBLANK('Distributed Assets'!$C16),"",IF(VLOOKUP('Distributed Assets'!$C16,'Distributed Assets'!$C$7:$F$22,3,FALSE)="Test",'Distributed Assets'!$C16,"")),
       "")</f>
        <v/>
      </c>
      <c r="B13" s="1956" t="str">
        <f>IF(MF="YES",
       IF(ISBLANK('Distributed Assets'!$C16),"",IF(VLOOKUP('Distributed Assets'!$C16,'Distributed Assets'!$C$7:$F$22,3,FALSE)="Cycle",'Distributed Assets'!$C16,"")),
       "")</f>
        <v/>
      </c>
      <c r="C13" s="1952"/>
      <c r="E13" s="1136"/>
      <c r="F13" s="1132"/>
      <c r="H13" s="3990"/>
      <c r="I13" s="3991"/>
      <c r="J13" s="3992" t="s">
        <v>3079</v>
      </c>
      <c r="K13" s="3993"/>
    </row>
    <row r="14" spans="1:11" ht="15">
      <c r="A14" s="1954" t="str">
        <f>IF(MF="YES",
       IF(ISBLANK('Distributed Assets'!$C17),"",IF(VLOOKUP('Distributed Assets'!$C17,'Distributed Assets'!$C$7:$F$22,3,FALSE)="Test",'Distributed Assets'!$C17,"")),
       "")</f>
        <v/>
      </c>
      <c r="B14" s="1956" t="str">
        <f>IF(MF="YES",
       IF(ISBLANK('Distributed Assets'!$C17),"",IF(VLOOKUP('Distributed Assets'!$C17,'Distributed Assets'!$C$7:$F$22,3,FALSE)="Cycle",'Distributed Assets'!$C17,"")),
       "")</f>
        <v/>
      </c>
      <c r="C14" s="1952"/>
      <c r="E14" s="1136"/>
      <c r="F14" s="1132"/>
      <c r="H14" s="1137"/>
      <c r="I14" s="1137"/>
      <c r="J14" s="1137"/>
      <c r="K14" s="1137"/>
    </row>
    <row r="15" spans="1:11" ht="15">
      <c r="A15" s="1954" t="str">
        <f>IF(MF="YES",
       IF(ISBLANK('Distributed Assets'!$C18),"",IF(VLOOKUP('Distributed Assets'!$C18,'Distributed Assets'!$C$7:$F$22,3,FALSE)="Test",'Distributed Assets'!$C18,"")),
       "")</f>
        <v/>
      </c>
      <c r="B15" s="1956" t="str">
        <f>IF(MF="YES",
       IF(ISBLANK('Distributed Assets'!$C18),"",IF(VLOOKUP('Distributed Assets'!$C18,'Distributed Assets'!$C$7:$F$22,3,FALSE)="Cycle",'Distributed Assets'!$C18,"")),
       "")</f>
        <v/>
      </c>
      <c r="C15" s="1952"/>
      <c r="E15" s="1136"/>
      <c r="F15" s="1132"/>
      <c r="H15" s="1137"/>
      <c r="I15" s="1137"/>
      <c r="J15" s="1137"/>
      <c r="K15" s="1137"/>
    </row>
    <row r="16" spans="1:11" ht="15.75" thickBot="1">
      <c r="A16" s="1954" t="str">
        <f>IF(MF="YES",
       IF(ISBLANK('Distributed Assets'!$C19),"",IF(VLOOKUP('Distributed Assets'!$C19,'Distributed Assets'!$C$7:$F$22,3,FALSE)="Test",'Distributed Assets'!$C19,"")),
       "")</f>
        <v/>
      </c>
      <c r="B16" s="1956" t="str">
        <f>IF(MF="YES",
       IF(ISBLANK('Distributed Assets'!$C19),"",IF(VLOOKUP('Distributed Assets'!$C19,'Distributed Assets'!$C$7:$F$22,3,FALSE)="Cycle",'Distributed Assets'!$C19,"")),
       "")</f>
        <v/>
      </c>
      <c r="C16" s="1952"/>
      <c r="E16" s="1136"/>
      <c r="F16" s="1132"/>
      <c r="H16" s="1137"/>
      <c r="I16" s="1137"/>
      <c r="J16" s="1137"/>
      <c r="K16" s="1137"/>
    </row>
    <row r="17" spans="1:11" ht="15">
      <c r="A17" s="1954" t="str">
        <f>IF(MF="YES",
       IF(ISBLANK('Distributed Assets'!$C20),"",IF(VLOOKUP('Distributed Assets'!$C20,'Distributed Assets'!$C$7:$F$22,3,FALSE)="Test",'Distributed Assets'!$C20,"")),
       "")</f>
        <v/>
      </c>
      <c r="B17" s="1956" t="str">
        <f>IF(MF="YES",
       IF(ISBLANK('Distributed Assets'!$C20),"",IF(VLOOKUP('Distributed Assets'!$C20,'Distributed Assets'!$C$7:$F$22,3,FALSE)="Cycle",'Distributed Assets'!$C20,"")),
       "")</f>
        <v/>
      </c>
      <c r="C17" s="1952"/>
      <c r="E17" s="1136"/>
      <c r="F17" s="1132"/>
      <c r="H17" s="3994" t="s">
        <v>3084</v>
      </c>
      <c r="I17" s="3995"/>
      <c r="J17" s="3995"/>
      <c r="K17" s="3996"/>
    </row>
    <row r="18" spans="1:11" ht="15">
      <c r="A18" s="1954" t="str">
        <f>IF(MF="YES",
       IF(ISBLANK('Distributed Assets'!$C21),"",IF(VLOOKUP('Distributed Assets'!$C21,'Distributed Assets'!$C$7:$F$22,3,FALSE)="Test",'Distributed Assets'!$C21,"")),
       "")</f>
        <v/>
      </c>
      <c r="B18" s="1956" t="str">
        <f>IF(MF="YES",
       IF(ISBLANK('Distributed Assets'!$C21),"",IF(VLOOKUP('Distributed Assets'!$C21,'Distributed Assets'!$C$7:$F$22,3,FALSE)="Cycle",'Distributed Assets'!$C21,"")),
       "")</f>
        <v/>
      </c>
      <c r="C18" s="1952"/>
      <c r="E18" s="1136"/>
      <c r="F18" s="1132"/>
      <c r="H18" s="3997" t="s">
        <v>3085</v>
      </c>
      <c r="I18" s="3998"/>
      <c r="J18" s="1240" t="s">
        <v>3086</v>
      </c>
      <c r="K18" s="1241" t="s">
        <v>3087</v>
      </c>
    </row>
    <row r="19" spans="1:11" ht="15">
      <c r="A19" s="1954" t="str">
        <f>IF(MF="YES",
       IF(ISBLANK('Distributed Assets'!$C22),"",IF(VLOOKUP('Distributed Assets'!$C22,'Distributed Assets'!$C$7:$F$22,3,FALSE)="Test",'Distributed Assets'!$C22,"")),
       "")</f>
        <v/>
      </c>
      <c r="B19" s="1956" t="str">
        <f>IF(MF="YES",
       IF(ISBLANK('Distributed Assets'!$C22),"",IF(VLOOKUP('Distributed Assets'!$C22,'Distributed Assets'!$C$7:$F$22,3,FALSE)="Cycle",'Distributed Assets'!$C22,"")),
       "")</f>
        <v/>
      </c>
      <c r="C19" s="1952"/>
      <c r="E19" s="1136"/>
      <c r="F19" s="1132"/>
      <c r="H19" s="3999" t="s">
        <v>3088</v>
      </c>
      <c r="I19" s="4000"/>
      <c r="J19" s="1138"/>
      <c r="K19" s="1139"/>
    </row>
    <row r="20" spans="1:11" ht="15">
      <c r="A20" s="1954" t="str">
        <f>IF(MF="YES",
       IF(ISBLANK('Distributed Assets'!$C23),"",IF(VLOOKUP('Distributed Assets'!$C23,'Distributed Assets'!$C$7:$F$22,3,FALSE)="Test",'Distributed Assets'!$C23,"")),
       "")</f>
        <v/>
      </c>
      <c r="B20" s="1956" t="str">
        <f>IF(MF="YES",
       IF(ISBLANK('Distributed Assets'!$C23),"",IF(VLOOKUP('Distributed Assets'!$C23,'Distributed Assets'!$C$7:$F$22,3,FALSE)="Cycle",'Distributed Assets'!$C23,"")),
       "")</f>
        <v/>
      </c>
      <c r="C20" s="1952"/>
      <c r="E20" s="1136"/>
      <c r="F20" s="1132"/>
      <c r="H20" s="4001" t="s">
        <v>3089</v>
      </c>
      <c r="I20" s="4002"/>
      <c r="J20" s="1138"/>
      <c r="K20" s="1139"/>
    </row>
    <row r="21" spans="1:11" ht="15.75" thickBot="1">
      <c r="A21" s="1957" t="str">
        <f>IF(MF="YES",
       IF(ISBLANK('Distributed Assets'!$C24),"",IF(VLOOKUP('Distributed Assets'!$C24,'Distributed Assets'!$C$7:$F$22,3,FALSE)="Test",'Distributed Assets'!$C24,"")),
       "")</f>
        <v/>
      </c>
      <c r="B21" s="1958" t="str">
        <f>IF(MF="YES",
       IF(ISBLANK('Distributed Assets'!$C24),"",IF(VLOOKUP('Distributed Assets'!$C24,'Distributed Assets'!$C$7:$F$22,3,FALSE)="Cycle",'Distributed Assets'!$C24,"")),
       "")</f>
        <v/>
      </c>
      <c r="C21" s="1953"/>
      <c r="E21" s="1140"/>
      <c r="F21" s="1141"/>
      <c r="H21" s="3988" t="s">
        <v>3090</v>
      </c>
      <c r="I21" s="3989"/>
      <c r="J21" s="1243"/>
      <c r="K21" s="1244"/>
    </row>
    <row r="22" spans="1:11" ht="15.75" thickBot="1">
      <c r="E22" s="1143" t="s">
        <v>3091</v>
      </c>
      <c r="F22" s="1143"/>
      <c r="H22" s="3985" t="s">
        <v>3221</v>
      </c>
      <c r="I22" s="3986"/>
      <c r="J22" s="3987"/>
      <c r="K22" s="1245"/>
    </row>
  </sheetData>
  <mergeCells count="27">
    <mergeCell ref="A2:C2"/>
    <mergeCell ref="H2:K2"/>
    <mergeCell ref="H3:I3"/>
    <mergeCell ref="J3:K3"/>
    <mergeCell ref="D1:K1"/>
    <mergeCell ref="H8:K8"/>
    <mergeCell ref="H9:I9"/>
    <mergeCell ref="J9:K9"/>
    <mergeCell ref="H10:K10"/>
    <mergeCell ref="H11:I11"/>
    <mergeCell ref="J11:K11"/>
    <mergeCell ref="H4:I4"/>
    <mergeCell ref="J4:K4"/>
    <mergeCell ref="H22:J22"/>
    <mergeCell ref="H21:I21"/>
    <mergeCell ref="H13:I13"/>
    <mergeCell ref="J13:K13"/>
    <mergeCell ref="H17:K17"/>
    <mergeCell ref="H18:I18"/>
    <mergeCell ref="H19:I19"/>
    <mergeCell ref="H20:I20"/>
    <mergeCell ref="H12:K12"/>
    <mergeCell ref="H5:I5"/>
    <mergeCell ref="J5:K5"/>
    <mergeCell ref="H6:K6"/>
    <mergeCell ref="H7:I7"/>
    <mergeCell ref="J7:K7"/>
  </mergeCells>
  <conditionalFormatting sqref="C1">
    <cfRule type="expression" dxfId="19" priority="1">
      <formula>$C$1="Undetermined"</formula>
    </cfRule>
    <cfRule type="expression" dxfId="18" priority="2">
      <formula>$C$1="Required"</formula>
    </cfRule>
  </conditionalFormatting>
  <dataValidations count="1">
    <dataValidation type="list" allowBlank="1" showInputMessage="1" showErrorMessage="1" sqref="K22 F13:F21 F3:F11" xr:uid="{00000000-0002-0000-1F00-000000000000}">
      <formula1>"Yes, No"</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414727" r:id="rId4">
          <objectPr defaultSize="0" r:id="rId5">
            <anchor moveWithCells="1">
              <from>
                <xdr:col>106</xdr:col>
                <xdr:colOff>0</xdr:colOff>
                <xdr:row>0</xdr:row>
                <xdr:rowOff>85725</xdr:rowOff>
              </from>
              <to>
                <xdr:col>123</xdr:col>
                <xdr:colOff>190500</xdr:colOff>
                <xdr:row>16</xdr:row>
                <xdr:rowOff>161925</xdr:rowOff>
              </to>
            </anchor>
          </objectPr>
        </oleObject>
      </mc:Choice>
      <mc:Fallback>
        <oleObject progId="Word.Document.12" shapeId="414727" r:id="rId4"/>
      </mc:Fallback>
    </mc:AlternateContent>
  </oleObjec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4">
    <tabColor theme="6" tint="-0.499984740745262"/>
  </sheetPr>
  <dimension ref="A1:K116"/>
  <sheetViews>
    <sheetView showGridLines="0" workbookViewId="0"/>
  </sheetViews>
  <sheetFormatPr defaultColWidth="9.140625" defaultRowHeight="12.75"/>
  <cols>
    <col min="1" max="1" width="12.7109375" style="931" customWidth="1"/>
    <col min="2" max="2" width="13.5703125" style="931" customWidth="1"/>
    <col min="3" max="3" width="12.7109375" style="931" customWidth="1"/>
    <col min="4" max="4" width="14.7109375" style="931" customWidth="1"/>
    <col min="5" max="7" width="12.7109375" style="931" customWidth="1"/>
    <col min="8" max="8" width="15" style="931" customWidth="1"/>
    <col min="9" max="9" width="18.42578125" style="931" customWidth="1"/>
    <col min="10" max="10" width="41.85546875" style="931" customWidth="1"/>
    <col min="11" max="16384" width="9.140625" style="931"/>
  </cols>
  <sheetData>
    <row r="1" spans="1:11" ht="27.75" customHeight="1" thickBot="1">
      <c r="A1" s="1125"/>
      <c r="B1" s="4043" t="str">
        <f>IF(MF_CICS="YES","REQUIRED",IF(MF_CICS="NO","This Tab is Not Required","Undetermined"))</f>
        <v>This Tab is Not Required</v>
      </c>
      <c r="C1" s="4044"/>
      <c r="D1" s="1147" t="str">
        <f>ProjDet_AppNameCol &amp;" - Mainframe CICS"</f>
        <v>Linux Infrastructure Management - Mainframe CICS</v>
      </c>
      <c r="E1" s="1147"/>
      <c r="F1" s="1147"/>
      <c r="G1" s="1126"/>
      <c r="H1" s="1126"/>
      <c r="I1" s="1126"/>
      <c r="J1" s="1126"/>
      <c r="K1" s="1127"/>
    </row>
    <row r="2" spans="1:11" ht="15">
      <c r="E2" s="1143"/>
      <c r="F2" s="1143"/>
      <c r="G2" s="1143"/>
      <c r="H2" s="1143"/>
      <c r="I2" s="1143"/>
      <c r="J2" s="1143"/>
    </row>
    <row r="3" spans="1:11" ht="15">
      <c r="A3" s="1143"/>
      <c r="B3" s="1143"/>
      <c r="C3" s="1143"/>
      <c r="D3" s="1143"/>
      <c r="E3" s="1143"/>
      <c r="F3" s="1143"/>
      <c r="G3" s="1143"/>
      <c r="H3" s="1143"/>
      <c r="I3" s="1143"/>
      <c r="J3" s="1143"/>
    </row>
    <row r="4" spans="1:11" ht="15">
      <c r="A4" s="4045" t="s">
        <v>3104</v>
      </c>
      <c r="B4" s="4045"/>
      <c r="C4" s="4045"/>
      <c r="D4" s="4045"/>
      <c r="E4" s="4046"/>
      <c r="F4" s="4047"/>
      <c r="G4" s="4048"/>
      <c r="H4" s="1150"/>
      <c r="I4" s="1150"/>
      <c r="J4" s="1137"/>
    </row>
    <row r="5" spans="1:11" ht="15">
      <c r="A5" s="4045" t="s">
        <v>3093</v>
      </c>
      <c r="B5" s="4045"/>
      <c r="C5" s="4045"/>
      <c r="D5" s="4045"/>
      <c r="E5" s="4049" t="s">
        <v>2146</v>
      </c>
      <c r="F5" s="4050"/>
      <c r="G5" s="4051"/>
      <c r="H5" s="1150"/>
      <c r="I5" s="1150"/>
      <c r="J5" s="1137"/>
    </row>
    <row r="6" spans="1:11" ht="15">
      <c r="A6" s="1162"/>
      <c r="B6" s="1163"/>
      <c r="C6" s="1163"/>
      <c r="D6" s="1163"/>
      <c r="E6" s="1163"/>
      <c r="F6" s="1164"/>
      <c r="G6" s="1164"/>
      <c r="H6" s="1164"/>
      <c r="I6" s="1152"/>
      <c r="J6" s="1162"/>
    </row>
    <row r="7" spans="1:11" ht="15.75" thickBot="1">
      <c r="A7" s="1165" t="s">
        <v>3105</v>
      </c>
      <c r="B7" s="1163"/>
      <c r="C7" s="1163"/>
      <c r="D7" s="1163"/>
      <c r="E7" s="1163"/>
      <c r="F7" s="1164"/>
      <c r="G7" s="1164"/>
      <c r="H7" s="1164"/>
      <c r="I7" s="1152"/>
      <c r="J7" s="1162"/>
    </row>
    <row r="8" spans="1:11" ht="15">
      <c r="A8" s="1246" t="s">
        <v>3106</v>
      </c>
      <c r="B8" s="1247" t="s">
        <v>3107</v>
      </c>
      <c r="C8" s="1247" t="s">
        <v>1819</v>
      </c>
      <c r="D8" s="1247" t="s">
        <v>3108</v>
      </c>
      <c r="E8" s="1247" t="s">
        <v>3109</v>
      </c>
      <c r="F8" s="1247" t="s">
        <v>3110</v>
      </c>
      <c r="G8" s="1248" t="s">
        <v>3111</v>
      </c>
      <c r="H8" s="1247" t="s">
        <v>3112</v>
      </c>
      <c r="I8" s="4041" t="s">
        <v>3113</v>
      </c>
      <c r="J8" s="4042"/>
    </row>
    <row r="9" spans="1:11" ht="15">
      <c r="A9" s="1249"/>
      <c r="B9" s="1168"/>
      <c r="C9" s="1169"/>
      <c r="D9" s="1169"/>
      <c r="E9" s="1169"/>
      <c r="F9" s="1169"/>
      <c r="G9" s="1170"/>
      <c r="H9" s="1170"/>
      <c r="I9" s="1171"/>
      <c r="J9" s="1250"/>
    </row>
    <row r="10" spans="1:11" ht="15">
      <c r="A10" s="1249"/>
      <c r="B10" s="1168"/>
      <c r="C10" s="1169"/>
      <c r="D10" s="1169"/>
      <c r="E10" s="1169"/>
      <c r="F10" s="1169"/>
      <c r="G10" s="1170"/>
      <c r="H10" s="1170"/>
      <c r="I10" s="1171"/>
      <c r="J10" s="1250"/>
    </row>
    <row r="11" spans="1:11" ht="15">
      <c r="A11" s="1249"/>
      <c r="B11" s="1168"/>
      <c r="C11" s="1169"/>
      <c r="D11" s="1169"/>
      <c r="E11" s="1169"/>
      <c r="F11" s="1169"/>
      <c r="G11" s="1170"/>
      <c r="H11" s="1170"/>
      <c r="I11" s="1171"/>
      <c r="J11" s="1250"/>
    </row>
    <row r="12" spans="1:11" ht="15">
      <c r="A12" s="1249"/>
      <c r="B12" s="1168"/>
      <c r="C12" s="1169"/>
      <c r="D12" s="1169"/>
      <c r="E12" s="1169"/>
      <c r="F12" s="1169"/>
      <c r="G12" s="1170"/>
      <c r="H12" s="1170"/>
      <c r="I12" s="1171"/>
      <c r="J12" s="1250"/>
    </row>
    <row r="13" spans="1:11" ht="15">
      <c r="A13" s="1249"/>
      <c r="B13" s="1168"/>
      <c r="C13" s="1169"/>
      <c r="D13" s="1169"/>
      <c r="E13" s="1169"/>
      <c r="F13" s="1169"/>
      <c r="G13" s="1170"/>
      <c r="H13" s="1170"/>
      <c r="I13" s="1171"/>
      <c r="J13" s="1250"/>
    </row>
    <row r="14" spans="1:11" ht="15">
      <c r="A14" s="1249"/>
      <c r="B14" s="1168"/>
      <c r="C14" s="1169"/>
      <c r="D14" s="1169"/>
      <c r="E14" s="1169"/>
      <c r="F14" s="1169"/>
      <c r="G14" s="1170"/>
      <c r="H14" s="1170"/>
      <c r="I14" s="1171"/>
      <c r="J14" s="1250"/>
    </row>
    <row r="15" spans="1:11" ht="15">
      <c r="A15" s="1249"/>
      <c r="B15" s="1168"/>
      <c r="C15" s="1169"/>
      <c r="D15" s="1169"/>
      <c r="E15" s="1169"/>
      <c r="F15" s="1169"/>
      <c r="G15" s="1170"/>
      <c r="H15" s="1170"/>
      <c r="I15" s="1171"/>
      <c r="J15" s="1250"/>
    </row>
    <row r="16" spans="1:11" ht="15.75" thickBot="1">
      <c r="A16" s="1251"/>
      <c r="B16" s="1252"/>
      <c r="C16" s="1253"/>
      <c r="D16" s="1253"/>
      <c r="E16" s="1253"/>
      <c r="F16" s="1253"/>
      <c r="G16" s="1254"/>
      <c r="H16" s="1254"/>
      <c r="I16" s="1255"/>
      <c r="J16" s="1256"/>
    </row>
    <row r="17" spans="1:10" ht="15">
      <c r="A17" s="1172"/>
      <c r="B17" s="1172"/>
      <c r="C17" s="1173"/>
      <c r="D17" s="1173"/>
      <c r="E17" s="1173"/>
      <c r="F17" s="1173"/>
      <c r="G17" s="1174"/>
      <c r="H17" s="1174"/>
      <c r="I17" s="1174"/>
      <c r="J17" s="1174"/>
    </row>
    <row r="18" spans="1:10" ht="15">
      <c r="A18" s="1143"/>
      <c r="B18" s="1143"/>
      <c r="C18" s="1143"/>
      <c r="D18" s="1143"/>
      <c r="E18" s="1143"/>
      <c r="F18" s="1143"/>
      <c r="G18" s="1143"/>
      <c r="H18" s="1143"/>
      <c r="I18" s="1143"/>
      <c r="J18" s="1143"/>
    </row>
    <row r="19" spans="1:10" ht="15.75" thickBot="1">
      <c r="A19" s="1143"/>
      <c r="B19" s="1143"/>
      <c r="C19" s="1143"/>
      <c r="D19" s="1143"/>
      <c r="E19" s="1143"/>
      <c r="F19" s="1143"/>
      <c r="G19" s="1143"/>
      <c r="H19" s="1143"/>
      <c r="I19" s="1143"/>
      <c r="J19" s="1143"/>
    </row>
    <row r="20" spans="1:10" ht="24" thickBot="1">
      <c r="A20" s="4052" t="s">
        <v>3114</v>
      </c>
      <c r="B20" s="4053"/>
      <c r="C20" s="4054"/>
      <c r="D20" s="4054"/>
      <c r="E20" s="4054"/>
      <c r="F20" s="4055"/>
      <c r="G20" s="4056" t="s">
        <v>3115</v>
      </c>
      <c r="H20" s="4057"/>
      <c r="I20" s="4058"/>
      <c r="J20" s="1310" t="s">
        <v>3116</v>
      </c>
    </row>
    <row r="21" spans="1:10" ht="13.5" thickBot="1">
      <c r="A21" s="1175" t="s">
        <v>3117</v>
      </c>
      <c r="B21" s="1176" t="s">
        <v>3112</v>
      </c>
      <c r="C21" s="1177" t="s">
        <v>1817</v>
      </c>
      <c r="D21" s="1178" t="s">
        <v>3118</v>
      </c>
      <c r="E21" s="1178" t="s">
        <v>3119</v>
      </c>
      <c r="F21" s="1179" t="s">
        <v>1819</v>
      </c>
      <c r="G21" s="1180" t="s">
        <v>3120</v>
      </c>
      <c r="H21" s="1181" t="s">
        <v>3121</v>
      </c>
      <c r="I21" s="1182" t="s">
        <v>1818</v>
      </c>
      <c r="J21" s="1183" t="s">
        <v>3122</v>
      </c>
    </row>
    <row r="22" spans="1:10" ht="15">
      <c r="A22" s="1257"/>
      <c r="B22" s="1185"/>
      <c r="C22" s="1184"/>
      <c r="D22" s="1186"/>
      <c r="E22" s="377"/>
      <c r="F22" s="1167"/>
      <c r="G22" s="1167"/>
      <c r="H22" s="1184"/>
      <c r="I22" s="1184"/>
      <c r="J22" s="1258"/>
    </row>
    <row r="23" spans="1:10" ht="15">
      <c r="A23" s="1136"/>
      <c r="B23" s="1170"/>
      <c r="C23" s="1142"/>
      <c r="D23" s="1142"/>
      <c r="E23" s="1128"/>
      <c r="F23" s="1142"/>
      <c r="G23" s="1184"/>
      <c r="H23" s="1184"/>
      <c r="I23" s="1142"/>
      <c r="J23" s="1132"/>
    </row>
    <row r="24" spans="1:10" ht="15">
      <c r="A24" s="1136"/>
      <c r="B24" s="1170"/>
      <c r="C24" s="1142"/>
      <c r="D24" s="1142"/>
      <c r="E24" s="1128"/>
      <c r="F24" s="1142"/>
      <c r="G24" s="1184"/>
      <c r="H24" s="1184"/>
      <c r="I24" s="1142"/>
      <c r="J24" s="1132"/>
    </row>
    <row r="25" spans="1:10" ht="15">
      <c r="A25" s="1136"/>
      <c r="B25" s="1170"/>
      <c r="C25" s="1142"/>
      <c r="D25" s="1142"/>
      <c r="E25" s="1128"/>
      <c r="F25" s="1142"/>
      <c r="G25" s="1184"/>
      <c r="H25" s="1184" t="s">
        <v>2653</v>
      </c>
      <c r="I25" s="1142"/>
      <c r="J25" s="1132"/>
    </row>
    <row r="26" spans="1:10" ht="15">
      <c r="A26" s="1136"/>
      <c r="B26" s="1170"/>
      <c r="C26" s="1142"/>
      <c r="D26" s="1142"/>
      <c r="E26" s="1128"/>
      <c r="F26" s="1142"/>
      <c r="G26" s="1184"/>
      <c r="H26" s="1184" t="s">
        <v>2653</v>
      </c>
      <c r="I26" s="1142"/>
      <c r="J26" s="1132"/>
    </row>
    <row r="27" spans="1:10" ht="15">
      <c r="A27" s="1136"/>
      <c r="B27" s="1170"/>
      <c r="C27" s="1142"/>
      <c r="D27" s="1142"/>
      <c r="E27" s="1128"/>
      <c r="F27" s="1142"/>
      <c r="G27" s="1184"/>
      <c r="H27" s="1184"/>
      <c r="I27" s="1142"/>
      <c r="J27" s="1132"/>
    </row>
    <row r="28" spans="1:10" ht="15">
      <c r="A28" s="1136"/>
      <c r="B28" s="1170"/>
      <c r="C28" s="1142"/>
      <c r="D28" s="1142"/>
      <c r="E28" s="1128"/>
      <c r="F28" s="1142"/>
      <c r="G28" s="1184"/>
      <c r="H28" s="1184"/>
      <c r="I28" s="1142"/>
      <c r="J28" s="1132"/>
    </row>
    <row r="29" spans="1:10" ht="15">
      <c r="A29" s="1136"/>
      <c r="B29" s="1170"/>
      <c r="C29" s="1142"/>
      <c r="D29" s="1142"/>
      <c r="E29" s="1128"/>
      <c r="F29" s="1142"/>
      <c r="G29" s="1184"/>
      <c r="H29" s="1184"/>
      <c r="I29" s="1142"/>
      <c r="J29" s="1132"/>
    </row>
    <row r="30" spans="1:10" ht="15">
      <c r="A30" s="1136"/>
      <c r="B30" s="1170"/>
      <c r="C30" s="1142"/>
      <c r="D30" s="1142"/>
      <c r="E30" s="1128"/>
      <c r="F30" s="1142"/>
      <c r="G30" s="1184"/>
      <c r="H30" s="1184"/>
      <c r="I30" s="1142"/>
      <c r="J30" s="1132"/>
    </row>
    <row r="31" spans="1:10" ht="15.75" thickBot="1">
      <c r="A31" s="1140"/>
      <c r="B31" s="1254"/>
      <c r="C31" s="1209"/>
      <c r="D31" s="1209"/>
      <c r="E31" s="428"/>
      <c r="F31" s="1209"/>
      <c r="G31" s="1259"/>
      <c r="H31" s="1259"/>
      <c r="I31" s="1209"/>
      <c r="J31" s="1141"/>
    </row>
    <row r="32" spans="1:10" ht="15">
      <c r="A32" s="1206" t="s">
        <v>3123</v>
      </c>
      <c r="B32" s="1206"/>
      <c r="C32" s="1206"/>
      <c r="D32" s="1206"/>
      <c r="E32" s="1206"/>
      <c r="F32" s="1206"/>
      <c r="G32" s="1206"/>
      <c r="H32" s="1206"/>
      <c r="I32" s="1206"/>
      <c r="J32" s="1206"/>
    </row>
    <row r="33" spans="1:10" ht="15">
      <c r="A33" s="1158"/>
      <c r="B33" s="1158"/>
      <c r="C33" s="1158"/>
      <c r="D33" s="1158"/>
      <c r="E33" s="1158"/>
      <c r="F33" s="1158"/>
      <c r="G33" s="1158"/>
      <c r="H33" s="1143"/>
      <c r="I33" s="1143"/>
      <c r="J33" s="1143"/>
    </row>
    <row r="34" spans="1:10" ht="15">
      <c r="A34" s="1143"/>
      <c r="B34" s="1143"/>
      <c r="C34" s="1143"/>
      <c r="D34" s="1143"/>
      <c r="E34" s="1143"/>
      <c r="F34" s="1143"/>
      <c r="G34" s="1143"/>
      <c r="H34" s="1143"/>
      <c r="I34" s="1143"/>
      <c r="J34" s="1143"/>
    </row>
    <row r="35" spans="1:10" ht="15.75" thickBot="1">
      <c r="A35" s="1260" t="s">
        <v>3124</v>
      </c>
      <c r="B35" s="572"/>
      <c r="C35" s="1261"/>
      <c r="D35" s="583"/>
      <c r="E35" s="583"/>
      <c r="F35" s="583"/>
      <c r="G35" s="583"/>
      <c r="H35" s="4059" t="s">
        <v>3125</v>
      </c>
      <c r="I35" s="4060"/>
      <c r="J35" s="1262" t="s">
        <v>480</v>
      </c>
    </row>
    <row r="36" spans="1:10" ht="15">
      <c r="A36" s="1246" t="s">
        <v>3121</v>
      </c>
      <c r="B36" s="1247" t="s">
        <v>3126</v>
      </c>
      <c r="C36" s="1247" t="s">
        <v>1819</v>
      </c>
      <c r="D36" s="1263" t="s">
        <v>3127</v>
      </c>
      <c r="E36" s="4061" t="s">
        <v>3128</v>
      </c>
      <c r="F36" s="4061"/>
      <c r="G36" s="4061"/>
      <c r="H36" s="1247" t="s">
        <v>3129</v>
      </c>
      <c r="I36" s="1264" t="s">
        <v>3130</v>
      </c>
      <c r="J36" s="1265"/>
    </row>
    <row r="37" spans="1:10" ht="15">
      <c r="A37" s="1234"/>
      <c r="B37" s="1128"/>
      <c r="C37" s="1128"/>
      <c r="D37" s="1128"/>
      <c r="E37" s="4062"/>
      <c r="F37" s="4062"/>
      <c r="G37" s="4062"/>
      <c r="H37" s="377"/>
      <c r="I37" s="1138"/>
      <c r="J37" s="1139"/>
    </row>
    <row r="38" spans="1:10" ht="15">
      <c r="A38" s="426"/>
      <c r="B38" s="1128"/>
      <c r="C38" s="1128"/>
      <c r="D38" s="1128"/>
      <c r="E38" s="4040"/>
      <c r="F38" s="4040"/>
      <c r="G38" s="4040"/>
      <c r="H38" s="1128"/>
      <c r="I38" s="1138"/>
      <c r="J38" s="1139"/>
    </row>
    <row r="39" spans="1:10" ht="15">
      <c r="A39" s="426"/>
      <c r="B39" s="1128"/>
      <c r="C39" s="1128"/>
      <c r="D39" s="1128"/>
      <c r="E39" s="4040"/>
      <c r="F39" s="4040"/>
      <c r="G39" s="4040"/>
      <c r="H39" s="1128"/>
      <c r="I39" s="1138"/>
      <c r="J39" s="1139"/>
    </row>
    <row r="40" spans="1:10" ht="15">
      <c r="A40" s="1266"/>
      <c r="B40" s="1128"/>
      <c r="C40" s="1128"/>
      <c r="D40" s="1128"/>
      <c r="E40" s="4040"/>
      <c r="F40" s="4040"/>
      <c r="G40" s="4040"/>
      <c r="H40" s="1128"/>
      <c r="I40" s="1138"/>
      <c r="J40" s="1139"/>
    </row>
    <row r="41" spans="1:10" ht="15">
      <c r="A41" s="1266"/>
      <c r="B41" s="1128"/>
      <c r="C41" s="1128"/>
      <c r="D41" s="1128"/>
      <c r="E41" s="4040"/>
      <c r="F41" s="4040"/>
      <c r="G41" s="4040"/>
      <c r="H41" s="1128"/>
      <c r="I41" s="1138"/>
      <c r="J41" s="1267"/>
    </row>
    <row r="42" spans="1:10" ht="15">
      <c r="A42" s="1266"/>
      <c r="B42" s="1128"/>
      <c r="C42" s="1128"/>
      <c r="D42" s="1128"/>
      <c r="E42" s="4040"/>
      <c r="F42" s="4040"/>
      <c r="G42" s="4040"/>
      <c r="H42" s="1128"/>
      <c r="I42" s="1138"/>
      <c r="J42" s="1139"/>
    </row>
    <row r="43" spans="1:10" ht="15">
      <c r="A43" s="1266"/>
      <c r="B43" s="1128"/>
      <c r="C43" s="1128"/>
      <c r="D43" s="1128"/>
      <c r="E43" s="4040"/>
      <c r="F43" s="4040"/>
      <c r="G43" s="4040"/>
      <c r="H43" s="1128"/>
      <c r="I43" s="1138"/>
      <c r="J43" s="1139"/>
    </row>
    <row r="44" spans="1:10" ht="15">
      <c r="A44" s="1266"/>
      <c r="B44" s="1128"/>
      <c r="C44" s="1128"/>
      <c r="D44" s="1128"/>
      <c r="E44" s="4040"/>
      <c r="F44" s="4040"/>
      <c r="G44" s="4040"/>
      <c r="H44" s="1128"/>
      <c r="I44" s="1138"/>
      <c r="J44" s="1139"/>
    </row>
    <row r="45" spans="1:10" ht="15">
      <c r="A45" s="1266"/>
      <c r="B45" s="1128"/>
      <c r="C45" s="1128"/>
      <c r="D45" s="1128"/>
      <c r="E45" s="4040"/>
      <c r="F45" s="4040"/>
      <c r="G45" s="4040"/>
      <c r="H45" s="1128"/>
      <c r="I45" s="1138"/>
      <c r="J45" s="1139"/>
    </row>
    <row r="46" spans="1:10" ht="15">
      <c r="A46" s="1266"/>
      <c r="B46" s="1128"/>
      <c r="C46" s="1128"/>
      <c r="D46" s="1128"/>
      <c r="E46" s="4040"/>
      <c r="F46" s="4040"/>
      <c r="G46" s="4040"/>
      <c r="H46" s="1128"/>
      <c r="I46" s="1138"/>
      <c r="J46" s="1139"/>
    </row>
    <row r="47" spans="1:10" ht="15">
      <c r="A47" s="1266"/>
      <c r="B47" s="1128"/>
      <c r="C47" s="1128"/>
      <c r="D47" s="1128"/>
      <c r="E47" s="4040"/>
      <c r="F47" s="4040"/>
      <c r="G47" s="4040"/>
      <c r="H47" s="1128"/>
      <c r="I47" s="1138"/>
      <c r="J47" s="1139"/>
    </row>
    <row r="48" spans="1:10" ht="15">
      <c r="A48" s="1266"/>
      <c r="B48" s="1128"/>
      <c r="C48" s="1128"/>
      <c r="D48" s="1128"/>
      <c r="E48" s="4040"/>
      <c r="F48" s="4040"/>
      <c r="G48" s="4040"/>
      <c r="H48" s="1128"/>
      <c r="I48" s="1138"/>
      <c r="J48" s="1139"/>
    </row>
    <row r="49" spans="1:10" ht="15">
      <c r="A49" s="1266"/>
      <c r="B49" s="1128"/>
      <c r="C49" s="1128"/>
      <c r="D49" s="1128"/>
      <c r="E49" s="4040"/>
      <c r="F49" s="4040"/>
      <c r="G49" s="4040"/>
      <c r="H49" s="1128"/>
      <c r="I49" s="1138"/>
      <c r="J49" s="1139"/>
    </row>
    <row r="50" spans="1:10" ht="15">
      <c r="A50" s="1266"/>
      <c r="B50" s="1128"/>
      <c r="C50" s="1128"/>
      <c r="D50" s="1128"/>
      <c r="E50" s="4040"/>
      <c r="F50" s="4040"/>
      <c r="G50" s="4040"/>
      <c r="H50" s="1128"/>
      <c r="I50" s="1138"/>
      <c r="J50" s="1139"/>
    </row>
    <row r="51" spans="1:10" ht="15.75" thickBot="1">
      <c r="A51" s="1268"/>
      <c r="B51" s="428"/>
      <c r="C51" s="428"/>
      <c r="D51" s="428"/>
      <c r="E51" s="4024"/>
      <c r="F51" s="4024"/>
      <c r="G51" s="4024"/>
      <c r="H51" s="428"/>
      <c r="I51" s="1269"/>
      <c r="J51" s="1144"/>
    </row>
    <row r="52" spans="1:10" ht="15">
      <c r="A52" s="1143"/>
      <c r="B52" s="1143"/>
      <c r="C52" s="1143"/>
      <c r="D52" s="1143"/>
      <c r="E52" s="1143"/>
      <c r="F52" s="1143"/>
      <c r="G52" s="1158"/>
      <c r="H52" s="1143"/>
      <c r="I52" s="1143"/>
      <c r="J52" s="1143"/>
    </row>
    <row r="55" spans="1:10" ht="15">
      <c r="A55" s="4025" t="s">
        <v>3131</v>
      </c>
      <c r="B55" s="4025"/>
      <c r="C55" s="1137"/>
      <c r="D55" s="1137"/>
      <c r="E55" s="1137"/>
      <c r="F55" s="1137"/>
      <c r="G55" s="1137"/>
      <c r="H55" s="1137"/>
      <c r="I55" s="1137"/>
      <c r="J55" s="1137"/>
    </row>
    <row r="57" spans="1:10" ht="13.5" thickBot="1"/>
    <row r="58" spans="1:10" ht="15">
      <c r="A58" s="1270" t="s">
        <v>3132</v>
      </c>
      <c r="B58" s="1211"/>
      <c r="C58" s="1271" t="s">
        <v>3133</v>
      </c>
      <c r="D58" s="1272"/>
      <c r="E58" s="1273" t="s">
        <v>3134</v>
      </c>
      <c r="F58" s="4026"/>
      <c r="G58" s="4027"/>
      <c r="H58" s="4027"/>
      <c r="I58" s="4028"/>
      <c r="J58" s="1280"/>
    </row>
    <row r="59" spans="1:10" ht="15">
      <c r="A59" s="1274" t="s">
        <v>3135</v>
      </c>
      <c r="B59" s="1142"/>
      <c r="C59" s="1187" t="s">
        <v>11</v>
      </c>
      <c r="D59" s="1188"/>
      <c r="E59" s="585" t="s">
        <v>1822</v>
      </c>
      <c r="F59" s="1184"/>
      <c r="G59" s="1279" t="s">
        <v>3136</v>
      </c>
      <c r="H59" s="4037" t="s">
        <v>3137</v>
      </c>
      <c r="I59" s="4038"/>
      <c r="J59" s="4039"/>
    </row>
    <row r="60" spans="1:10" ht="15">
      <c r="A60" s="1275"/>
      <c r="B60" s="1142"/>
      <c r="C60" s="1189"/>
      <c r="D60" s="1142"/>
      <c r="E60" s="1190" t="s">
        <v>3138</v>
      </c>
      <c r="F60" s="1142"/>
      <c r="G60" s="1191" t="s">
        <v>1823</v>
      </c>
      <c r="H60" s="1184"/>
      <c r="I60" s="1276"/>
      <c r="J60" s="1281"/>
    </row>
    <row r="61" spans="1:10" ht="15">
      <c r="A61" s="4029" t="s">
        <v>3139</v>
      </c>
      <c r="B61" s="4030"/>
      <c r="C61" s="4030"/>
      <c r="D61" s="4030"/>
      <c r="E61" s="4030"/>
      <c r="F61" s="4031"/>
      <c r="G61" s="1191" t="s">
        <v>1824</v>
      </c>
      <c r="H61" s="1142"/>
      <c r="I61" s="1276"/>
      <c r="J61" s="1281"/>
    </row>
    <row r="62" spans="1:10" ht="15">
      <c r="A62" s="1136"/>
      <c r="B62" s="1142"/>
      <c r="C62" s="1142"/>
      <c r="D62" s="1142"/>
      <c r="E62" s="1142"/>
      <c r="F62" s="1142"/>
      <c r="G62" s="1192" t="s">
        <v>1826</v>
      </c>
      <c r="H62" s="1142"/>
      <c r="I62" s="1276"/>
      <c r="J62" s="1281"/>
    </row>
    <row r="63" spans="1:10" ht="15">
      <c r="A63" s="1136"/>
      <c r="B63" s="1142"/>
      <c r="C63" s="1142"/>
      <c r="D63" s="1142"/>
      <c r="E63" s="1142"/>
      <c r="F63" s="1142"/>
      <c r="G63" s="1192" t="s">
        <v>1825</v>
      </c>
      <c r="H63" s="1142"/>
      <c r="I63" s="1276"/>
      <c r="J63" s="1281"/>
    </row>
    <row r="64" spans="1:10" ht="15">
      <c r="A64" s="1136"/>
      <c r="B64" s="1142"/>
      <c r="C64" s="1142"/>
      <c r="D64" s="1142"/>
      <c r="E64" s="1142"/>
      <c r="F64" s="1142"/>
      <c r="G64" s="1166" t="s">
        <v>3140</v>
      </c>
      <c r="H64" s="1142"/>
      <c r="I64" s="1276"/>
      <c r="J64" s="1281"/>
    </row>
    <row r="65" spans="1:10" ht="15.75" thickBot="1">
      <c r="A65" s="1140"/>
      <c r="B65" s="1209"/>
      <c r="C65" s="1209"/>
      <c r="D65" s="1209"/>
      <c r="E65" s="1209"/>
      <c r="F65" s="1209"/>
      <c r="G65" s="1277"/>
      <c r="H65" s="1209"/>
      <c r="I65" s="1278"/>
      <c r="J65" s="1282"/>
    </row>
    <row r="69" spans="1:10" ht="13.5" thickBot="1"/>
    <row r="70" spans="1:10" ht="15">
      <c r="A70" s="1283" t="s">
        <v>1820</v>
      </c>
      <c r="B70" s="1284"/>
      <c r="C70" s="1143"/>
      <c r="D70" s="1143"/>
      <c r="E70" s="1143"/>
      <c r="F70" s="1143"/>
      <c r="G70" s="1143"/>
      <c r="H70" s="1143"/>
      <c r="I70" s="1143"/>
      <c r="J70" s="1143"/>
    </row>
    <row r="71" spans="1:10" ht="15">
      <c r="A71" s="573" t="s">
        <v>1821</v>
      </c>
      <c r="B71" s="578" t="s">
        <v>1819</v>
      </c>
      <c r="C71" s="1143"/>
      <c r="D71" s="1143"/>
      <c r="E71" s="1143"/>
      <c r="F71" s="1143"/>
      <c r="G71" s="1143"/>
      <c r="H71" s="1143"/>
      <c r="I71" s="1143"/>
      <c r="J71" s="1143"/>
    </row>
    <row r="72" spans="1:10" ht="15">
      <c r="A72" s="1136"/>
      <c r="B72" s="1132"/>
      <c r="C72" s="1143"/>
      <c r="D72" s="1143"/>
      <c r="E72" s="1143"/>
      <c r="F72" s="1143"/>
      <c r="G72" s="1143"/>
      <c r="H72" s="1143"/>
      <c r="I72" s="1143"/>
      <c r="J72" s="1143"/>
    </row>
    <row r="73" spans="1:10" ht="15">
      <c r="A73" s="1136"/>
      <c r="B73" s="1132"/>
      <c r="C73" s="1143"/>
      <c r="D73" s="1143"/>
      <c r="E73" s="1143"/>
      <c r="F73" s="1143"/>
      <c r="G73" s="1143"/>
      <c r="H73" s="1143"/>
      <c r="I73" s="1143"/>
      <c r="J73" s="1143"/>
    </row>
    <row r="74" spans="1:10" ht="15">
      <c r="A74" s="1136"/>
      <c r="B74" s="1132"/>
      <c r="C74" s="1143"/>
      <c r="D74" s="1143"/>
      <c r="E74" s="1143"/>
      <c r="F74" s="1143"/>
      <c r="G74" s="1143"/>
      <c r="H74" s="1143"/>
      <c r="I74" s="1143"/>
      <c r="J74" s="1143"/>
    </row>
    <row r="75" spans="1:10" ht="15">
      <c r="A75" s="1136"/>
      <c r="B75" s="1132"/>
      <c r="C75" s="1143"/>
      <c r="D75" s="1143"/>
      <c r="E75" s="1143"/>
      <c r="F75" s="1143"/>
      <c r="G75" s="1143"/>
      <c r="H75" s="1143"/>
      <c r="I75" s="1143"/>
      <c r="J75" s="1143"/>
    </row>
    <row r="76" spans="1:10" ht="15">
      <c r="A76" s="1136"/>
      <c r="B76" s="1132"/>
      <c r="C76" s="1143"/>
      <c r="D76" s="1143"/>
      <c r="E76" s="1143"/>
      <c r="F76" s="1143"/>
      <c r="G76" s="1143"/>
      <c r="H76" s="1143"/>
      <c r="I76" s="1143"/>
      <c r="J76" s="1143"/>
    </row>
    <row r="77" spans="1:10" ht="15">
      <c r="A77" s="1136"/>
      <c r="B77" s="1132"/>
      <c r="C77" s="1143"/>
      <c r="D77" s="1143"/>
      <c r="E77" s="1143"/>
      <c r="F77" s="1143"/>
      <c r="G77" s="1143"/>
      <c r="H77" s="1143"/>
      <c r="I77" s="1143"/>
      <c r="J77" s="1143"/>
    </row>
    <row r="78" spans="1:10" ht="15">
      <c r="A78" s="1136"/>
      <c r="B78" s="1132"/>
      <c r="C78" s="1143"/>
      <c r="D78" s="1143"/>
      <c r="E78" s="1143"/>
      <c r="F78" s="1143"/>
      <c r="G78" s="1143"/>
      <c r="H78" s="1143"/>
      <c r="I78" s="1143"/>
      <c r="J78" s="1143"/>
    </row>
    <row r="79" spans="1:10" ht="15">
      <c r="A79" s="1136"/>
      <c r="B79" s="1132"/>
      <c r="C79" s="1143"/>
      <c r="D79" s="1143"/>
      <c r="E79" s="1143"/>
      <c r="F79" s="1143"/>
      <c r="G79" s="1143"/>
      <c r="H79" s="1143"/>
      <c r="I79" s="1143"/>
      <c r="J79" s="1143"/>
    </row>
    <row r="80" spans="1:10" ht="15">
      <c r="A80" s="1136"/>
      <c r="B80" s="1132"/>
      <c r="C80" s="1143"/>
      <c r="D80" s="1143"/>
      <c r="E80" s="1143"/>
      <c r="F80" s="1143"/>
      <c r="G80" s="1143"/>
      <c r="H80" s="1143"/>
      <c r="I80" s="1143"/>
      <c r="J80" s="1143"/>
    </row>
    <row r="81" spans="1:10" ht="15">
      <c r="A81" s="1285"/>
      <c r="B81" s="1132"/>
      <c r="C81" s="1143"/>
      <c r="D81" s="1143"/>
      <c r="E81" s="1143"/>
      <c r="F81" s="1143"/>
      <c r="G81" s="1143"/>
      <c r="H81" s="1143"/>
      <c r="I81" s="1143"/>
      <c r="J81" s="1143"/>
    </row>
    <row r="82" spans="1:10" ht="15.75" thickBot="1">
      <c r="A82" s="1140"/>
      <c r="B82" s="1141"/>
      <c r="C82" s="1143"/>
      <c r="D82" s="1143"/>
      <c r="E82" s="1143"/>
      <c r="F82" s="1143"/>
      <c r="G82" s="1143"/>
      <c r="H82" s="1143"/>
      <c r="I82" s="1143"/>
      <c r="J82" s="1143"/>
    </row>
    <row r="84" spans="1:10" ht="15.75" thickBot="1">
      <c r="A84" s="581" t="s">
        <v>1827</v>
      </c>
      <c r="B84" s="574"/>
      <c r="C84" s="1286"/>
      <c r="D84" s="583"/>
      <c r="E84" s="4032" t="s">
        <v>1828</v>
      </c>
      <c r="F84" s="4033"/>
      <c r="G84" s="4033"/>
      <c r="H84" s="1137"/>
      <c r="I84" s="582"/>
      <c r="J84" s="1143"/>
    </row>
    <row r="85" spans="1:10" ht="15">
      <c r="A85" s="1287" t="s">
        <v>1829</v>
      </c>
      <c r="B85" s="1288" t="s">
        <v>1819</v>
      </c>
      <c r="C85" s="1289" t="s">
        <v>1830</v>
      </c>
      <c r="D85" s="577"/>
      <c r="E85" s="1287" t="s">
        <v>1831</v>
      </c>
      <c r="F85" s="1288" t="s">
        <v>1819</v>
      </c>
      <c r="G85" s="1289" t="s">
        <v>1832</v>
      </c>
      <c r="H85" s="1137"/>
      <c r="I85" s="1143"/>
      <c r="J85" s="1143"/>
    </row>
    <row r="86" spans="1:10" ht="15">
      <c r="A86" s="426"/>
      <c r="B86" s="1128"/>
      <c r="C86" s="1290"/>
      <c r="D86" s="582"/>
      <c r="E86" s="1295"/>
      <c r="F86" s="377"/>
      <c r="G86" s="1296"/>
      <c r="H86" s="1137"/>
      <c r="I86" s="582"/>
      <c r="J86" s="1143"/>
    </row>
    <row r="87" spans="1:10" ht="15">
      <c r="A87" s="426"/>
      <c r="B87" s="1128"/>
      <c r="C87" s="1290"/>
      <c r="D87" s="582"/>
      <c r="E87" s="1295"/>
      <c r="F87" s="377"/>
      <c r="G87" s="1296"/>
      <c r="H87" s="1137"/>
      <c r="I87" s="582"/>
      <c r="J87" s="1143"/>
    </row>
    <row r="88" spans="1:10" ht="15">
      <c r="A88" s="426"/>
      <c r="B88" s="1128"/>
      <c r="C88" s="1290"/>
      <c r="D88" s="582"/>
      <c r="E88" s="1295"/>
      <c r="F88" s="377"/>
      <c r="G88" s="1296"/>
      <c r="H88" s="1137"/>
      <c r="I88" s="582"/>
      <c r="J88" s="1143"/>
    </row>
    <row r="89" spans="1:10" ht="15">
      <c r="A89" s="1291"/>
      <c r="B89" s="1128"/>
      <c r="C89" s="1290"/>
      <c r="D89" s="582"/>
      <c r="E89" s="1295"/>
      <c r="F89" s="377"/>
      <c r="G89" s="1296"/>
      <c r="H89" s="1137"/>
      <c r="I89" s="582"/>
      <c r="J89" s="1143"/>
    </row>
    <row r="90" spans="1:10" ht="15">
      <c r="A90" s="1291"/>
      <c r="B90" s="1128"/>
      <c r="C90" s="1290"/>
      <c r="D90" s="582"/>
      <c r="E90" s="1295"/>
      <c r="F90" s="377"/>
      <c r="G90" s="1296"/>
      <c r="H90" s="1137"/>
      <c r="I90" s="582"/>
      <c r="J90" s="1143"/>
    </row>
    <row r="91" spans="1:10" ht="15">
      <c r="A91" s="1291"/>
      <c r="B91" s="1128"/>
      <c r="C91" s="1290"/>
      <c r="D91" s="582"/>
      <c r="E91" s="1295"/>
      <c r="F91" s="377"/>
      <c r="G91" s="1296"/>
      <c r="H91" s="1137"/>
      <c r="I91" s="582"/>
      <c r="J91" s="1143"/>
    </row>
    <row r="92" spans="1:10" ht="15">
      <c r="A92" s="1291"/>
      <c r="B92" s="1128"/>
      <c r="C92" s="1290"/>
      <c r="D92" s="582"/>
      <c r="E92" s="1295"/>
      <c r="F92" s="377"/>
      <c r="G92" s="1296"/>
      <c r="H92" s="1137"/>
      <c r="I92" s="582"/>
      <c r="J92" s="1143"/>
    </row>
    <row r="93" spans="1:10" ht="15">
      <c r="A93" s="1291"/>
      <c r="B93" s="1128"/>
      <c r="C93" s="1290"/>
      <c r="D93" s="582"/>
      <c r="E93" s="1295"/>
      <c r="F93" s="377"/>
      <c r="G93" s="1296"/>
      <c r="H93" s="1137"/>
      <c r="I93" s="582"/>
      <c r="J93" s="1143"/>
    </row>
    <row r="94" spans="1:10" ht="15">
      <c r="A94" s="1291"/>
      <c r="B94" s="1128"/>
      <c r="C94" s="1290"/>
      <c r="D94" s="582"/>
      <c r="E94" s="1295"/>
      <c r="F94" s="377"/>
      <c r="G94" s="1296"/>
      <c r="H94" s="1137"/>
      <c r="I94" s="582"/>
      <c r="J94" s="1143"/>
    </row>
    <row r="95" spans="1:10" ht="15">
      <c r="A95" s="1291"/>
      <c r="B95" s="1128"/>
      <c r="C95" s="1290"/>
      <c r="D95" s="582"/>
      <c r="E95" s="1295"/>
      <c r="F95" s="377"/>
      <c r="G95" s="1296"/>
      <c r="H95" s="1137"/>
      <c r="I95" s="582"/>
      <c r="J95" s="1143"/>
    </row>
    <row r="96" spans="1:10" ht="15">
      <c r="A96" s="1291"/>
      <c r="B96" s="1128"/>
      <c r="C96" s="1290"/>
      <c r="D96" s="582"/>
      <c r="E96" s="1295"/>
      <c r="F96" s="377"/>
      <c r="G96" s="1296"/>
      <c r="H96" s="1137"/>
      <c r="I96" s="582"/>
      <c r="J96" s="1143"/>
    </row>
    <row r="97" spans="1:10" ht="15">
      <c r="A97" s="1291"/>
      <c r="B97" s="1128"/>
      <c r="C97" s="1290"/>
      <c r="D97" s="582"/>
      <c r="E97" s="1295"/>
      <c r="F97" s="377"/>
      <c r="G97" s="1296"/>
      <c r="H97" s="1137"/>
      <c r="I97" s="582"/>
      <c r="J97" s="1143"/>
    </row>
    <row r="98" spans="1:10" ht="15">
      <c r="A98" s="1291"/>
      <c r="B98" s="1128"/>
      <c r="C98" s="1290"/>
      <c r="D98" s="582"/>
      <c r="E98" s="1295"/>
      <c r="F98" s="377"/>
      <c r="G98" s="1296"/>
      <c r="H98" s="1137"/>
      <c r="I98" s="582"/>
      <c r="J98" s="1143"/>
    </row>
    <row r="99" spans="1:10" ht="15">
      <c r="A99" s="1291"/>
      <c r="B99" s="1128"/>
      <c r="C99" s="1290"/>
      <c r="D99" s="582"/>
      <c r="E99" s="1295"/>
      <c r="F99" s="377"/>
      <c r="G99" s="1296"/>
      <c r="H99" s="1137"/>
      <c r="I99" s="582"/>
      <c r="J99" s="1143"/>
    </row>
    <row r="100" spans="1:10" ht="15.75" thickBot="1">
      <c r="A100" s="1292"/>
      <c r="B100" s="428"/>
      <c r="C100" s="1293"/>
      <c r="D100" s="582"/>
      <c r="E100" s="1297"/>
      <c r="F100" s="1298"/>
      <c r="G100" s="1299"/>
      <c r="H100" s="1137"/>
      <c r="I100" s="582"/>
      <c r="J100" s="1143"/>
    </row>
    <row r="101" spans="1:10" ht="15">
      <c r="A101" s="1143"/>
      <c r="B101" s="583"/>
      <c r="C101" s="583"/>
      <c r="D101" s="582"/>
      <c r="E101" s="1143"/>
      <c r="F101" s="1294"/>
      <c r="G101" s="583"/>
      <c r="H101" s="582"/>
      <c r="I101" s="582"/>
      <c r="J101" s="1143"/>
    </row>
    <row r="102" spans="1:10" ht="15.75" thickBot="1">
      <c r="A102" s="1143"/>
      <c r="B102" s="1143"/>
      <c r="C102" s="1143"/>
      <c r="D102" s="1143"/>
      <c r="E102" s="1143"/>
      <c r="F102" s="1143"/>
      <c r="G102" s="1143"/>
      <c r="H102" s="1143"/>
      <c r="I102" s="1143"/>
      <c r="J102" s="1143"/>
    </row>
    <row r="103" spans="1:10" ht="13.5" thickBot="1">
      <c r="A103" s="1193" t="s">
        <v>1833</v>
      </c>
      <c r="B103" s="1194"/>
      <c r="C103" s="582"/>
      <c r="D103" s="576"/>
      <c r="E103" s="582"/>
      <c r="F103" s="582"/>
      <c r="G103" s="582"/>
      <c r="H103" s="576"/>
      <c r="I103" s="579"/>
      <c r="J103" s="579"/>
    </row>
    <row r="104" spans="1:10">
      <c r="A104" s="1195" t="s">
        <v>3141</v>
      </c>
      <c r="B104" s="1196" t="s">
        <v>3142</v>
      </c>
      <c r="C104" s="4034" t="s">
        <v>1834</v>
      </c>
      <c r="D104" s="4035"/>
      <c r="E104" s="4035"/>
      <c r="F104" s="4035"/>
      <c r="G104" s="4035"/>
      <c r="H104" s="4035"/>
      <c r="I104" s="4036"/>
      <c r="J104" s="1197"/>
    </row>
    <row r="105" spans="1:10" ht="15">
      <c r="A105" s="1136"/>
      <c r="B105" s="1142"/>
      <c r="C105" s="4021"/>
      <c r="D105" s="4022"/>
      <c r="E105" s="4022"/>
      <c r="F105" s="4022"/>
      <c r="G105" s="4022"/>
      <c r="H105" s="4022"/>
      <c r="I105" s="4023"/>
      <c r="J105" s="1137"/>
    </row>
    <row r="106" spans="1:10" ht="15">
      <c r="A106" s="1136"/>
      <c r="B106" s="1142"/>
      <c r="C106" s="4021"/>
      <c r="D106" s="4022"/>
      <c r="E106" s="4022"/>
      <c r="F106" s="4022"/>
      <c r="G106" s="4022"/>
      <c r="H106" s="4022"/>
      <c r="I106" s="4023"/>
      <c r="J106" s="1137"/>
    </row>
    <row r="107" spans="1:10" ht="15">
      <c r="A107" s="1136"/>
      <c r="B107" s="1142"/>
      <c r="C107" s="4021"/>
      <c r="D107" s="4022"/>
      <c r="E107" s="4022"/>
      <c r="F107" s="4022"/>
      <c r="G107" s="4022"/>
      <c r="H107" s="4022"/>
      <c r="I107" s="4023"/>
      <c r="J107" s="1137"/>
    </row>
    <row r="108" spans="1:10" ht="15">
      <c r="A108" s="1136"/>
      <c r="B108" s="1142"/>
      <c r="C108" s="4021"/>
      <c r="D108" s="4022"/>
      <c r="E108" s="4022"/>
      <c r="F108" s="4022"/>
      <c r="G108" s="4022"/>
      <c r="H108" s="4022"/>
      <c r="I108" s="4023"/>
      <c r="J108" s="1137"/>
    </row>
    <row r="109" spans="1:10" ht="15">
      <c r="A109" s="1136"/>
      <c r="B109" s="1142"/>
      <c r="C109" s="4021"/>
      <c r="D109" s="4022"/>
      <c r="E109" s="4022"/>
      <c r="F109" s="4022"/>
      <c r="G109" s="4022"/>
      <c r="H109" s="4022"/>
      <c r="I109" s="4023"/>
      <c r="J109" s="1137"/>
    </row>
    <row r="110" spans="1:10" ht="15">
      <c r="A110" s="1136"/>
      <c r="B110" s="1142"/>
      <c r="C110" s="4021"/>
      <c r="D110" s="4022"/>
      <c r="E110" s="4022"/>
      <c r="F110" s="4022"/>
      <c r="G110" s="4022"/>
      <c r="H110" s="4022"/>
      <c r="I110" s="4023"/>
      <c r="J110" s="1137"/>
    </row>
    <row r="111" spans="1:10" ht="15">
      <c r="A111" s="1136"/>
      <c r="B111" s="1142"/>
      <c r="C111" s="4021"/>
      <c r="D111" s="4022"/>
      <c r="E111" s="4022"/>
      <c r="F111" s="4022"/>
      <c r="G111" s="4022"/>
      <c r="H111" s="4022"/>
      <c r="I111" s="4023"/>
      <c r="J111" s="1137"/>
    </row>
    <row r="112" spans="1:10" ht="15">
      <c r="A112" s="1136"/>
      <c r="B112" s="1142"/>
      <c r="C112" s="4021"/>
      <c r="D112" s="4022"/>
      <c r="E112" s="4022"/>
      <c r="F112" s="4022"/>
      <c r="G112" s="4022"/>
      <c r="H112" s="4022"/>
      <c r="I112" s="4023"/>
      <c r="J112" s="1137"/>
    </row>
    <row r="113" spans="1:10" ht="15">
      <c r="A113" s="1136"/>
      <c r="B113" s="1142"/>
      <c r="C113" s="4021"/>
      <c r="D113" s="4022"/>
      <c r="E113" s="4022"/>
      <c r="F113" s="4022"/>
      <c r="G113" s="4022"/>
      <c r="H113" s="4022"/>
      <c r="I113" s="4023"/>
      <c r="J113" s="1137"/>
    </row>
    <row r="114" spans="1:10" ht="15">
      <c r="A114" s="1136"/>
      <c r="B114" s="1142"/>
      <c r="C114" s="4021"/>
      <c r="D114" s="4022"/>
      <c r="E114" s="4022"/>
      <c r="F114" s="4022"/>
      <c r="G114" s="4022"/>
      <c r="H114" s="4022"/>
      <c r="I114" s="4023"/>
    </row>
    <row r="115" spans="1:10" ht="15">
      <c r="A115" s="1136"/>
      <c r="B115" s="1142"/>
      <c r="C115" s="4021"/>
      <c r="D115" s="4022"/>
      <c r="E115" s="4022"/>
      <c r="F115" s="4022"/>
      <c r="G115" s="4022"/>
      <c r="H115" s="4022"/>
      <c r="I115" s="4023"/>
    </row>
    <row r="116" spans="1:10" ht="15.75" thickBot="1">
      <c r="A116" s="1140"/>
      <c r="B116" s="1209"/>
      <c r="C116" s="4018"/>
      <c r="D116" s="4019"/>
      <c r="E116" s="4019"/>
      <c r="F116" s="4019"/>
      <c r="G116" s="4019"/>
      <c r="H116" s="4019"/>
      <c r="I116" s="4020"/>
    </row>
  </sheetData>
  <mergeCells count="43">
    <mergeCell ref="I8:J8"/>
    <mergeCell ref="E38:G38"/>
    <mergeCell ref="B1:C1"/>
    <mergeCell ref="A4:D4"/>
    <mergeCell ref="E4:G4"/>
    <mergeCell ref="A5:D5"/>
    <mergeCell ref="E5:G5"/>
    <mergeCell ref="A20:F20"/>
    <mergeCell ref="G20:I20"/>
    <mergeCell ref="H35:I35"/>
    <mergeCell ref="E36:G36"/>
    <mergeCell ref="E37:G37"/>
    <mergeCell ref="E50:G50"/>
    <mergeCell ref="E39:G39"/>
    <mergeCell ref="E40:G40"/>
    <mergeCell ref="E41:G41"/>
    <mergeCell ref="E42:G42"/>
    <mergeCell ref="E43:G43"/>
    <mergeCell ref="E44:G44"/>
    <mergeCell ref="E45:G45"/>
    <mergeCell ref="E46:G46"/>
    <mergeCell ref="E47:G47"/>
    <mergeCell ref="E48:G48"/>
    <mergeCell ref="E49:G49"/>
    <mergeCell ref="C109:I109"/>
    <mergeCell ref="E51:G51"/>
    <mergeCell ref="A55:B55"/>
    <mergeCell ref="F58:I58"/>
    <mergeCell ref="A61:F61"/>
    <mergeCell ref="E84:G84"/>
    <mergeCell ref="C104:I104"/>
    <mergeCell ref="C105:I105"/>
    <mergeCell ref="C106:I106"/>
    <mergeCell ref="C107:I107"/>
    <mergeCell ref="C108:I108"/>
    <mergeCell ref="H59:J59"/>
    <mergeCell ref="C116:I116"/>
    <mergeCell ref="C110:I110"/>
    <mergeCell ref="C111:I111"/>
    <mergeCell ref="C112:I112"/>
    <mergeCell ref="C113:I113"/>
    <mergeCell ref="C114:I114"/>
    <mergeCell ref="C115:I115"/>
  </mergeCells>
  <conditionalFormatting sqref="B1">
    <cfRule type="expression" dxfId="17" priority="1">
      <formula>$B$1="Undetermined"</formula>
    </cfRule>
    <cfRule type="expression" dxfId="16" priority="2">
      <formula>$B$1="Required"</formula>
    </cfRule>
  </conditionalFormatting>
  <dataValidations count="5">
    <dataValidation type="list" allowBlank="1" showInputMessage="1" showErrorMessage="1" sqref="A9:A16" xr:uid="{00000000-0002-0000-2000-000000000000}">
      <formula1>"Test,Cycle,Prod, HVEE"</formula1>
    </dataValidation>
    <dataValidation type="list" allowBlank="1" showInputMessage="1" showErrorMessage="1" sqref="H9:H16 B22:B31" xr:uid="{00000000-0002-0000-2000-000001000000}">
      <formula1>"1,2,3"</formula1>
    </dataValidation>
    <dataValidation type="list" allowBlank="1" showInputMessage="1" showErrorMessage="1" sqref="D22:D31" xr:uid="{00000000-0002-0000-2000-000002000000}">
      <formula1>"1-11 / hr, 12 - 99 / hr, over 99 / hr"</formula1>
    </dataValidation>
    <dataValidation type="list" allowBlank="1" showInputMessage="1" showErrorMessage="1" sqref="E22:E31 H37:H51" xr:uid="{00000000-0002-0000-2000-000003000000}">
      <formula1>"Yes, No"</formula1>
    </dataValidation>
    <dataValidation type="list" allowBlank="1" showInputMessage="1" showErrorMessage="1" sqref="G22:G31" xr:uid="{00000000-0002-0000-2000-000004000000}">
      <formula1>"CTG,MQ,TOR,DPL"</formula1>
    </dataValidation>
  </dataValidation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3">
    <tabColor theme="6" tint="-0.499984740745262"/>
  </sheetPr>
  <dimension ref="A1:W21"/>
  <sheetViews>
    <sheetView showGridLines="0" workbookViewId="0"/>
  </sheetViews>
  <sheetFormatPr defaultColWidth="9.140625" defaultRowHeight="12.75"/>
  <cols>
    <col min="1" max="1" width="54.7109375" style="931" customWidth="1"/>
    <col min="2" max="2" width="9.85546875" style="931" customWidth="1"/>
    <col min="3" max="16384" width="9.140625" style="931"/>
  </cols>
  <sheetData>
    <row r="1" spans="1:23" ht="22.5" customHeight="1" thickBot="1">
      <c r="A1" s="1125"/>
      <c r="B1" s="4043" t="str">
        <f>IF(MF_DB2="YES","REQUIRED",IF(MF_DB2="NO","This Tab is Not Required","Undetermined"))</f>
        <v>This Tab is Not Required</v>
      </c>
      <c r="C1" s="4044"/>
      <c r="D1" s="1147" t="str">
        <f>ProjDet_AppNameCol &amp;" - Mainframe DB2"</f>
        <v>Linux Infrastructure Management - Mainframe DB2</v>
      </c>
      <c r="E1" s="1147"/>
      <c r="F1" s="1147"/>
      <c r="G1" s="1126"/>
      <c r="H1" s="1126"/>
      <c r="I1" s="1126"/>
      <c r="J1" s="1126"/>
      <c r="K1" s="1127"/>
    </row>
    <row r="3" spans="1:23" ht="15.75">
      <c r="A3" s="1148" t="s">
        <v>3092</v>
      </c>
      <c r="B3" s="4063"/>
      <c r="C3" s="4063"/>
      <c r="D3" s="4063"/>
      <c r="E3" s="1149"/>
      <c r="F3" s="1137"/>
      <c r="G3" s="1137"/>
      <c r="H3" s="1137"/>
      <c r="I3" s="1150"/>
      <c r="J3" s="1137"/>
      <c r="K3" s="1137"/>
      <c r="L3" s="1137"/>
      <c r="M3" s="1137"/>
      <c r="N3" s="1137"/>
      <c r="O3" s="1137"/>
      <c r="P3" s="1137"/>
      <c r="Q3" s="1137"/>
      <c r="R3" s="1137"/>
      <c r="S3" s="1137"/>
      <c r="T3" s="1137"/>
      <c r="U3" s="1137"/>
      <c r="V3" s="1137"/>
      <c r="W3" s="1137"/>
    </row>
    <row r="4" spans="1:23" ht="15">
      <c r="A4" s="1148" t="s">
        <v>3093</v>
      </c>
      <c r="B4" s="4064" t="s">
        <v>3094</v>
      </c>
      <c r="C4" s="4064"/>
      <c r="D4" s="4064"/>
      <c r="E4" s="1151"/>
      <c r="F4" s="1152"/>
      <c r="G4" s="1137"/>
      <c r="H4" s="1137"/>
      <c r="I4" s="1150"/>
      <c r="J4" s="1137"/>
      <c r="K4" s="1137"/>
      <c r="L4" s="1137"/>
      <c r="M4" s="1137"/>
      <c r="N4" s="1137"/>
      <c r="O4" s="1137"/>
      <c r="P4" s="1137"/>
      <c r="Q4" s="1137"/>
      <c r="R4" s="1137"/>
      <c r="S4" s="1137"/>
      <c r="T4" s="1137"/>
      <c r="U4" s="1137"/>
      <c r="V4" s="1137"/>
      <c r="W4" s="1137"/>
    </row>
    <row r="5" spans="1:23" ht="15">
      <c r="A5" s="1148"/>
      <c r="B5" s="1153"/>
      <c r="C5" s="1153"/>
      <c r="D5" s="1153"/>
      <c r="E5" s="1151"/>
      <c r="F5" s="1137"/>
      <c r="G5" s="1137"/>
      <c r="H5" s="1137"/>
      <c r="I5" s="1150"/>
      <c r="J5" s="1137"/>
      <c r="K5" s="1137"/>
      <c r="L5" s="1137"/>
      <c r="M5" s="1137"/>
      <c r="N5" s="1137"/>
      <c r="O5" s="1137"/>
      <c r="P5" s="1137"/>
      <c r="Q5" s="1137"/>
      <c r="R5" s="1137"/>
      <c r="S5" s="1137"/>
      <c r="T5" s="1137"/>
      <c r="U5" s="1137"/>
      <c r="V5" s="1137"/>
      <c r="W5" s="1137"/>
    </row>
    <row r="6" spans="1:23" ht="15">
      <c r="A6" s="1143"/>
      <c r="B6" s="1137"/>
      <c r="C6" s="1137"/>
      <c r="D6" s="1137"/>
      <c r="E6" s="1137"/>
      <c r="F6" s="1137"/>
      <c r="G6" s="1137"/>
      <c r="H6" s="1137"/>
      <c r="I6" s="1143"/>
      <c r="J6" s="1143"/>
      <c r="K6" s="1143"/>
      <c r="L6" s="1143"/>
      <c r="M6" s="1143"/>
      <c r="N6" s="1143"/>
      <c r="O6" s="1143"/>
      <c r="P6" s="1143"/>
      <c r="Q6" s="1143"/>
      <c r="R6" s="1143"/>
      <c r="S6" s="1143"/>
      <c r="T6" s="1143"/>
      <c r="U6" s="1143"/>
      <c r="V6" s="1143"/>
      <c r="W6" s="1143"/>
    </row>
    <row r="7" spans="1:23" ht="24">
      <c r="A7" s="1154" t="s">
        <v>3095</v>
      </c>
      <c r="B7" s="4065" t="s">
        <v>3096</v>
      </c>
      <c r="C7" s="4066"/>
      <c r="D7" s="4066"/>
      <c r="E7" s="4066"/>
      <c r="F7" s="4066"/>
      <c r="G7" s="4066"/>
      <c r="H7" s="4066"/>
      <c r="I7" s="4066"/>
      <c r="J7" s="4066"/>
      <c r="K7" s="4067"/>
      <c r="L7" s="1143"/>
      <c r="M7" s="1143"/>
      <c r="N7" s="1143"/>
      <c r="O7" s="1143"/>
      <c r="P7" s="1143"/>
      <c r="Q7" s="1143"/>
      <c r="R7" s="1143"/>
      <c r="S7" s="1143"/>
      <c r="T7" s="1143"/>
      <c r="U7" s="1143"/>
      <c r="V7" s="1143"/>
      <c r="W7" s="1143"/>
    </row>
    <row r="8" spans="1:23" ht="15">
      <c r="A8" s="1154"/>
      <c r="B8" s="1155" t="str">
        <f>IF('Middleware - Web'!C$18&lt;&gt;"",'Middleware - Web'!C$18,"")</f>
        <v/>
      </c>
      <c r="C8" s="1155" t="str">
        <f>IF('Middleware - Web'!D$18&lt;&gt;"",'Middleware - Web'!D$18,"")</f>
        <v/>
      </c>
      <c r="D8" s="1155" t="str">
        <f>IF('Middleware - Web'!E$18&lt;&gt;"",'Middleware - Web'!E$18,"")</f>
        <v/>
      </c>
      <c r="E8" s="1155" t="str">
        <f>IF('Middleware - Web'!F$18&lt;&gt;"",'Middleware - Web'!F$18,"")</f>
        <v/>
      </c>
      <c r="F8" s="1155" t="str">
        <f>IF('Middleware - Web'!G$18&lt;&gt;"",'Middleware - Web'!G$18,"")</f>
        <v/>
      </c>
      <c r="G8" s="1155" t="str">
        <f>IF('Middleware - Web'!H$18&lt;&gt;"",'Middleware - Web'!H$18,"")</f>
        <v/>
      </c>
      <c r="H8" s="1155" t="str">
        <f>IF('Middleware - Web'!I$18&lt;&gt;"",'Middleware - Web'!I$18,"")</f>
        <v/>
      </c>
      <c r="I8" s="1155" t="str">
        <f>IF('Middleware - Web'!J$18&lt;&gt;"",'Middleware - Web'!J$18,"")</f>
        <v/>
      </c>
      <c r="J8" s="1155" t="str">
        <f>IF('Middleware - Web'!K$18&lt;&gt;"",'Middleware - Web'!K$18,"")</f>
        <v/>
      </c>
      <c r="K8" s="1155" t="str">
        <f>IF('Middleware - Web'!L$18&lt;&gt;"",'Middleware - Web'!L$18,"")</f>
        <v/>
      </c>
      <c r="L8" s="1143"/>
      <c r="M8" s="1143"/>
      <c r="N8" s="1143"/>
      <c r="O8" s="1143"/>
      <c r="P8" s="1143"/>
      <c r="Q8" s="1143"/>
      <c r="R8" s="1143"/>
      <c r="S8" s="1143"/>
      <c r="T8" s="1143"/>
      <c r="U8" s="1143"/>
      <c r="V8" s="1143"/>
      <c r="W8" s="1143"/>
    </row>
    <row r="9" spans="1:23" ht="15">
      <c r="A9" s="1156" t="s">
        <v>161</v>
      </c>
      <c r="B9" s="1242" t="str">
        <f>IF('Middleware - Web'!$C44&lt;&gt;"",'Middleware - Web'!$C44,"")</f>
        <v/>
      </c>
      <c r="C9" s="1242" t="str">
        <f>IF('Middleware - Web'!D$44&lt;&gt;"",'Middleware - Web'!D$44,"")</f>
        <v/>
      </c>
      <c r="D9" s="1242" t="str">
        <f>IF('Middleware - Web'!E$44&lt;&gt;"",'Middleware - Web'!E$44,"")</f>
        <v/>
      </c>
      <c r="E9" s="1242" t="str">
        <f>IF('Middleware - Web'!F$44&lt;&gt;"",'Middleware - Web'!F$44,"")</f>
        <v/>
      </c>
      <c r="F9" s="1242" t="str">
        <f>IF('Middleware - Web'!G$44&lt;&gt;"",'Middleware - Web'!G$44,"")</f>
        <v/>
      </c>
      <c r="G9" s="1242" t="str">
        <f>IF('Middleware - Web'!H$44&lt;&gt;"",'Middleware - Web'!H$44,"")</f>
        <v/>
      </c>
      <c r="H9" s="1242" t="str">
        <f>IF('Middleware - Web'!I$44&lt;&gt;"",'Middleware - Web'!I$44,"")</f>
        <v/>
      </c>
      <c r="I9" s="1242" t="str">
        <f>IF('Middleware - Web'!J$44&lt;&gt;"",'Middleware - Web'!J$44,"")</f>
        <v/>
      </c>
      <c r="J9" s="1242" t="str">
        <f>IF('Middleware - Web'!K$44&lt;&gt;"",'Middleware - Web'!K$44,"")</f>
        <v/>
      </c>
      <c r="K9" s="1242" t="str">
        <f>IF('Middleware - Web'!L$44&lt;&gt;"",'Middleware - Web'!L$44,"")</f>
        <v/>
      </c>
      <c r="L9" s="1158"/>
      <c r="M9" s="1143"/>
      <c r="N9" s="1143"/>
      <c r="O9" s="1143"/>
      <c r="P9" s="1143"/>
      <c r="Q9" s="1143"/>
      <c r="R9" s="1143"/>
      <c r="S9" s="1143"/>
      <c r="T9" s="1143"/>
      <c r="U9" s="1143"/>
      <c r="V9" s="1143"/>
      <c r="W9" s="1143"/>
    </row>
    <row r="10" spans="1:23" ht="25.5">
      <c r="A10" s="1159" t="s">
        <v>162</v>
      </c>
      <c r="B10" s="1242" t="str">
        <f>IF('Middleware - Web'!$C45&lt;&gt;"",'Middleware - Web'!$C45,"")</f>
        <v/>
      </c>
      <c r="C10" s="1242" t="str">
        <f>IF('Middleware - Web'!D$44&lt;&gt;"",'Middleware - Web'!D$44,"")</f>
        <v/>
      </c>
      <c r="D10" s="1242" t="str">
        <f>IF('Middleware - Web'!E$44&lt;&gt;"",'Middleware - Web'!E$44,"")</f>
        <v/>
      </c>
      <c r="E10" s="1242" t="str">
        <f>IF('Middleware - Web'!F$44&lt;&gt;"",'Middleware - Web'!F$44,"")</f>
        <v/>
      </c>
      <c r="F10" s="1242" t="str">
        <f>IF('Middleware - Web'!G$44&lt;&gt;"",'Middleware - Web'!G$44,"")</f>
        <v/>
      </c>
      <c r="G10" s="1242" t="str">
        <f>IF('Middleware - Web'!H$44&lt;&gt;"",'Middleware - Web'!H$44,"")</f>
        <v/>
      </c>
      <c r="H10" s="1242" t="str">
        <f>IF('Middleware - Web'!I$44&lt;&gt;"",'Middleware - Web'!I$44,"")</f>
        <v/>
      </c>
      <c r="I10" s="1242" t="str">
        <f>IF('Middleware - Web'!J$44&lt;&gt;"",'Middleware - Web'!J$44,"")</f>
        <v/>
      </c>
      <c r="J10" s="1242" t="str">
        <f>IF('Middleware - Web'!K$44&lt;&gt;"",'Middleware - Web'!K$44,"")</f>
        <v/>
      </c>
      <c r="K10" s="1242" t="str">
        <f>IF('Middleware - Web'!L$44&lt;&gt;"",'Middleware - Web'!L$44,"")</f>
        <v/>
      </c>
      <c r="L10" s="1158"/>
      <c r="M10" s="1143"/>
      <c r="N10" s="1143"/>
      <c r="O10" s="1143"/>
      <c r="P10" s="1143"/>
      <c r="Q10" s="1143"/>
      <c r="R10" s="1143"/>
      <c r="S10" s="1143"/>
      <c r="T10" s="1143"/>
      <c r="U10" s="1143"/>
      <c r="V10" s="1143"/>
      <c r="W10" s="1143"/>
    </row>
    <row r="11" spans="1:23" ht="15">
      <c r="A11" s="1159" t="s">
        <v>163</v>
      </c>
      <c r="B11" s="1242" t="e">
        <f>IF('Middleware - Web'!#REF!&lt;&gt;"",'Middleware - Web'!#REF!,"")</f>
        <v>#REF!</v>
      </c>
      <c r="C11" s="1242" t="str">
        <f>IF('Middleware - Web'!D$44&lt;&gt;"",'Middleware - Web'!D$44,"")</f>
        <v/>
      </c>
      <c r="D11" s="1242" t="str">
        <f>IF('Middleware - Web'!E$44&lt;&gt;"",'Middleware - Web'!E$44,"")</f>
        <v/>
      </c>
      <c r="E11" s="1242" t="str">
        <f>IF('Middleware - Web'!F$44&lt;&gt;"",'Middleware - Web'!F$44,"")</f>
        <v/>
      </c>
      <c r="F11" s="1242" t="str">
        <f>IF('Middleware - Web'!G$44&lt;&gt;"",'Middleware - Web'!G$44,"")</f>
        <v/>
      </c>
      <c r="G11" s="1242" t="str">
        <f>IF('Middleware - Web'!H$44&lt;&gt;"",'Middleware - Web'!H$44,"")</f>
        <v/>
      </c>
      <c r="H11" s="1242" t="str">
        <f>IF('Middleware - Web'!I$44&lt;&gt;"",'Middleware - Web'!I$44,"")</f>
        <v/>
      </c>
      <c r="I11" s="1242" t="str">
        <f>IF('Middleware - Web'!J$44&lt;&gt;"",'Middleware - Web'!J$44,"")</f>
        <v/>
      </c>
      <c r="J11" s="1242" t="str">
        <f>IF('Middleware - Web'!K$44&lt;&gt;"",'Middleware - Web'!K$44,"")</f>
        <v/>
      </c>
      <c r="K11" s="1242" t="str">
        <f>IF('Middleware - Web'!L$44&lt;&gt;"",'Middleware - Web'!L$44,"")</f>
        <v/>
      </c>
      <c r="L11" s="1158"/>
      <c r="M11" s="1143"/>
      <c r="N11" s="1143"/>
      <c r="O11" s="1143"/>
      <c r="P11" s="1143"/>
      <c r="Q11" s="1143"/>
      <c r="R11" s="1143"/>
      <c r="S11" s="1143"/>
      <c r="T11" s="1143"/>
      <c r="U11" s="1143"/>
      <c r="V11" s="1143"/>
      <c r="W11" s="1143"/>
    </row>
    <row r="12" spans="1:23" ht="15">
      <c r="A12" s="1159" t="s">
        <v>164</v>
      </c>
      <c r="B12" s="1242" t="e">
        <f>IF('Middleware - Web'!#REF!&lt;&gt;"",'Middleware - Web'!#REF!,"")</f>
        <v>#REF!</v>
      </c>
      <c r="C12" s="1242" t="str">
        <f>IF('Middleware - Web'!D$44&lt;&gt;"",'Middleware - Web'!D$44,"")</f>
        <v/>
      </c>
      <c r="D12" s="1242" t="str">
        <f>IF('Middleware - Web'!E$44&lt;&gt;"",'Middleware - Web'!E$44,"")</f>
        <v/>
      </c>
      <c r="E12" s="1242" t="str">
        <f>IF('Middleware - Web'!F$44&lt;&gt;"",'Middleware - Web'!F$44,"")</f>
        <v/>
      </c>
      <c r="F12" s="1242" t="str">
        <f>IF('Middleware - Web'!G$44&lt;&gt;"",'Middleware - Web'!G$44,"")</f>
        <v/>
      </c>
      <c r="G12" s="1242" t="str">
        <f>IF('Middleware - Web'!H$44&lt;&gt;"",'Middleware - Web'!H$44,"")</f>
        <v/>
      </c>
      <c r="H12" s="1242" t="str">
        <f>IF('Middleware - Web'!I$44&lt;&gt;"",'Middleware - Web'!I$44,"")</f>
        <v/>
      </c>
      <c r="I12" s="1242" t="str">
        <f>IF('Middleware - Web'!J$44&lt;&gt;"",'Middleware - Web'!J$44,"")</f>
        <v/>
      </c>
      <c r="J12" s="1242" t="str">
        <f>IF('Middleware - Web'!K$44&lt;&gt;"",'Middleware - Web'!K$44,"")</f>
        <v/>
      </c>
      <c r="K12" s="1242" t="str">
        <f>IF('Middleware - Web'!L$44&lt;&gt;"",'Middleware - Web'!L$44,"")</f>
        <v/>
      </c>
      <c r="L12" s="1158"/>
      <c r="M12" s="1143"/>
      <c r="N12" s="1143"/>
      <c r="O12" s="1143"/>
      <c r="P12" s="1143"/>
      <c r="Q12" s="1143"/>
      <c r="R12" s="1143"/>
      <c r="S12" s="1143"/>
      <c r="T12" s="1143"/>
      <c r="U12" s="1143"/>
      <c r="V12" s="1143"/>
      <c r="W12" s="1143"/>
    </row>
    <row r="13" spans="1:23" ht="15">
      <c r="A13" s="1159" t="s">
        <v>165</v>
      </c>
      <c r="B13" s="1242" t="e">
        <f>IF('Middleware - Web'!#REF!&lt;&gt;"",'Middleware - Web'!#REF!,"")</f>
        <v>#REF!</v>
      </c>
      <c r="C13" s="1242" t="str">
        <f>IF('Middleware - Web'!D$44&lt;&gt;"",'Middleware - Web'!D$44,"")</f>
        <v/>
      </c>
      <c r="D13" s="1242" t="str">
        <f>IF('Middleware - Web'!E$44&lt;&gt;"",'Middleware - Web'!E$44,"")</f>
        <v/>
      </c>
      <c r="E13" s="1242" t="str">
        <f>IF('Middleware - Web'!F$44&lt;&gt;"",'Middleware - Web'!F$44,"")</f>
        <v/>
      </c>
      <c r="F13" s="1242" t="str">
        <f>IF('Middleware - Web'!G$44&lt;&gt;"",'Middleware - Web'!G$44,"")</f>
        <v/>
      </c>
      <c r="G13" s="1242" t="str">
        <f>IF('Middleware - Web'!H$44&lt;&gt;"",'Middleware - Web'!H$44,"")</f>
        <v/>
      </c>
      <c r="H13" s="1242" t="str">
        <f>IF('Middleware - Web'!I$44&lt;&gt;"",'Middleware - Web'!I$44,"")</f>
        <v/>
      </c>
      <c r="I13" s="1242" t="str">
        <f>IF('Middleware - Web'!J$44&lt;&gt;"",'Middleware - Web'!J$44,"")</f>
        <v/>
      </c>
      <c r="J13" s="1242" t="str">
        <f>IF('Middleware - Web'!K$44&lt;&gt;"",'Middleware - Web'!K$44,"")</f>
        <v/>
      </c>
      <c r="K13" s="1242" t="str">
        <f>IF('Middleware - Web'!L$44&lt;&gt;"",'Middleware - Web'!L$44,"")</f>
        <v/>
      </c>
      <c r="L13" s="1158"/>
      <c r="M13" s="1143"/>
      <c r="N13" s="1143"/>
      <c r="O13" s="1143"/>
      <c r="P13" s="1143"/>
      <c r="Q13" s="1143"/>
      <c r="R13" s="1143"/>
      <c r="S13" s="1143"/>
      <c r="T13" s="1143"/>
      <c r="U13" s="1143"/>
      <c r="V13" s="1143"/>
      <c r="W13" s="1143"/>
    </row>
    <row r="14" spans="1:23" ht="25.5">
      <c r="A14" s="1159" t="s">
        <v>2694</v>
      </c>
      <c r="B14" s="1242" t="e">
        <f>IF('Middleware - Web'!#REF!&lt;&gt;"",'Middleware - Web'!#REF!,"")</f>
        <v>#REF!</v>
      </c>
      <c r="C14" s="1242" t="str">
        <f>IF('Middleware - Web'!D$44&lt;&gt;"",'Middleware - Web'!D$44,"")</f>
        <v/>
      </c>
      <c r="D14" s="1242" t="str">
        <f>IF('Middleware - Web'!E$44&lt;&gt;"",'Middleware - Web'!E$44,"")</f>
        <v/>
      </c>
      <c r="E14" s="1242" t="str">
        <f>IF('Middleware - Web'!F$44&lt;&gt;"",'Middleware - Web'!F$44,"")</f>
        <v/>
      </c>
      <c r="F14" s="1242" t="str">
        <f>IF('Middleware - Web'!G$44&lt;&gt;"",'Middleware - Web'!G$44,"")</f>
        <v/>
      </c>
      <c r="G14" s="1242" t="str">
        <f>IF('Middleware - Web'!H$44&lt;&gt;"",'Middleware - Web'!H$44,"")</f>
        <v/>
      </c>
      <c r="H14" s="1242" t="str">
        <f>IF('Middleware - Web'!I$44&lt;&gt;"",'Middleware - Web'!I$44,"")</f>
        <v/>
      </c>
      <c r="I14" s="1242" t="str">
        <f>IF('Middleware - Web'!J$44&lt;&gt;"",'Middleware - Web'!J$44,"")</f>
        <v/>
      </c>
      <c r="J14" s="1242" t="str">
        <f>IF('Middleware - Web'!K$44&lt;&gt;"",'Middleware - Web'!K$44,"")</f>
        <v/>
      </c>
      <c r="K14" s="1242" t="str">
        <f>IF('Middleware - Web'!L$44&lt;&gt;"",'Middleware - Web'!L$44,"")</f>
        <v/>
      </c>
      <c r="L14" s="1158"/>
      <c r="M14" s="1143"/>
      <c r="N14" s="1143"/>
      <c r="O14" s="1143"/>
      <c r="P14" s="1143"/>
      <c r="Q14" s="1143"/>
      <c r="R14" s="1143"/>
      <c r="S14" s="1143"/>
      <c r="T14" s="1143"/>
      <c r="U14" s="1143"/>
      <c r="V14" s="1143"/>
      <c r="W14" s="1143"/>
    </row>
    <row r="15" spans="1:23" ht="15">
      <c r="A15" s="1160" t="s">
        <v>3097</v>
      </c>
      <c r="B15" s="4068"/>
      <c r="C15" s="4068"/>
      <c r="D15" s="4068"/>
      <c r="E15" s="4068"/>
      <c r="F15" s="4068"/>
      <c r="G15" s="4068"/>
      <c r="H15" s="4068"/>
      <c r="I15" s="4068"/>
      <c r="J15" s="4068"/>
      <c r="K15" s="4068"/>
      <c r="L15" s="1158"/>
      <c r="M15" s="1143"/>
      <c r="N15" s="1143"/>
      <c r="O15" s="1143"/>
      <c r="P15" s="1143"/>
      <c r="Q15" s="1143"/>
      <c r="R15" s="1143"/>
      <c r="S15" s="1143"/>
      <c r="T15" s="1143"/>
      <c r="U15" s="1143"/>
      <c r="V15" s="1143"/>
      <c r="W15" s="1143"/>
    </row>
    <row r="16" spans="1:23" ht="15">
      <c r="A16" s="1161" t="s">
        <v>3098</v>
      </c>
      <c r="B16" s="1157"/>
      <c r="C16" s="1157"/>
      <c r="D16" s="1157"/>
      <c r="E16" s="1157"/>
      <c r="F16" s="1157"/>
      <c r="G16" s="1157"/>
      <c r="H16" s="1157"/>
      <c r="I16" s="1146"/>
      <c r="J16" s="1146"/>
      <c r="K16" s="1146"/>
      <c r="L16" s="1158"/>
      <c r="M16" s="1143"/>
      <c r="N16" s="1143"/>
      <c r="O16" s="1143"/>
      <c r="P16" s="1143"/>
      <c r="Q16" s="1143"/>
      <c r="R16" s="1143"/>
      <c r="S16" s="1143"/>
      <c r="T16" s="1143"/>
      <c r="U16" s="1143"/>
      <c r="V16" s="1143"/>
      <c r="W16" s="1143"/>
    </row>
    <row r="17" spans="1:23" ht="15">
      <c r="A17" s="1161" t="s">
        <v>3099</v>
      </c>
      <c r="B17" s="1157"/>
      <c r="C17" s="1157"/>
      <c r="D17" s="1157"/>
      <c r="E17" s="1157"/>
      <c r="F17" s="1157"/>
      <c r="G17" s="1157"/>
      <c r="H17" s="1157"/>
      <c r="I17" s="1146"/>
      <c r="J17" s="1146"/>
      <c r="K17" s="1146"/>
      <c r="L17" s="1158"/>
      <c r="M17" s="1143"/>
      <c r="N17" s="1143"/>
      <c r="O17" s="1143"/>
      <c r="P17" s="1143"/>
      <c r="Q17" s="1143"/>
      <c r="R17" s="1143"/>
      <c r="S17" s="1143"/>
      <c r="T17" s="1143"/>
      <c r="U17" s="1143"/>
      <c r="V17" s="1143"/>
      <c r="W17" s="1143"/>
    </row>
    <row r="18" spans="1:23" ht="15">
      <c r="A18" s="1161" t="s">
        <v>3100</v>
      </c>
      <c r="B18" s="1157"/>
      <c r="C18" s="1157"/>
      <c r="D18" s="1157"/>
      <c r="E18" s="1157"/>
      <c r="F18" s="1157"/>
      <c r="G18" s="1157"/>
      <c r="H18" s="1157"/>
      <c r="I18" s="1146"/>
      <c r="J18" s="1146"/>
      <c r="K18" s="1146"/>
      <c r="L18" s="1158"/>
      <c r="M18" s="1143"/>
      <c r="N18" s="1143"/>
      <c r="O18" s="1143"/>
      <c r="P18" s="1143"/>
      <c r="Q18" s="1143"/>
      <c r="R18" s="1143"/>
      <c r="S18" s="1143"/>
      <c r="T18" s="1143"/>
      <c r="U18" s="1143"/>
      <c r="V18" s="1143"/>
      <c r="W18" s="1143"/>
    </row>
    <row r="19" spans="1:23" ht="15">
      <c r="A19" s="1161" t="s">
        <v>3101</v>
      </c>
      <c r="B19" s="1157"/>
      <c r="C19" s="1157"/>
      <c r="D19" s="1157"/>
      <c r="E19" s="1157"/>
      <c r="F19" s="1157"/>
      <c r="G19" s="1157"/>
      <c r="H19" s="1157"/>
      <c r="I19" s="1146"/>
      <c r="J19" s="1146"/>
      <c r="K19" s="1146"/>
      <c r="L19" s="1158"/>
      <c r="M19" s="1143"/>
      <c r="N19" s="1143"/>
      <c r="O19" s="1143"/>
      <c r="P19" s="1143"/>
      <c r="Q19" s="1143"/>
      <c r="R19" s="1143"/>
      <c r="S19" s="1143"/>
      <c r="T19" s="1143"/>
      <c r="U19" s="1143"/>
      <c r="V19" s="1143"/>
      <c r="W19" s="1143"/>
    </row>
    <row r="20" spans="1:23" ht="15">
      <c r="A20" s="1161" t="s">
        <v>3102</v>
      </c>
      <c r="B20" s="1157"/>
      <c r="C20" s="1157"/>
      <c r="D20" s="1157"/>
      <c r="E20" s="1157"/>
      <c r="F20" s="1157"/>
      <c r="G20" s="1157"/>
      <c r="H20" s="1157"/>
      <c r="I20" s="1146"/>
      <c r="J20" s="1146"/>
      <c r="K20" s="1146"/>
      <c r="L20" s="1158"/>
      <c r="M20" s="1143"/>
      <c r="N20" s="1143"/>
      <c r="O20" s="1143"/>
      <c r="P20" s="1143"/>
      <c r="Q20" s="1143"/>
      <c r="R20" s="1143"/>
      <c r="S20" s="1143"/>
      <c r="T20" s="1143"/>
      <c r="U20" s="1143"/>
      <c r="V20" s="1143"/>
      <c r="W20" s="1143"/>
    </row>
    <row r="21" spans="1:23" ht="15">
      <c r="A21" s="1322" t="s">
        <v>3103</v>
      </c>
      <c r="B21" s="1157"/>
      <c r="C21" s="1157"/>
      <c r="D21" s="1157"/>
      <c r="E21" s="1157"/>
      <c r="F21" s="1157"/>
      <c r="G21" s="1157"/>
      <c r="H21" s="1157"/>
      <c r="I21" s="1146"/>
      <c r="J21" s="1146"/>
      <c r="K21" s="1146"/>
      <c r="L21" s="1158"/>
      <c r="M21" s="1143"/>
      <c r="N21" s="1143"/>
      <c r="O21" s="1143"/>
      <c r="P21" s="1143"/>
      <c r="Q21" s="1143"/>
      <c r="R21" s="1143"/>
      <c r="S21" s="1143"/>
      <c r="T21" s="1143"/>
      <c r="U21" s="1143"/>
      <c r="V21" s="1143"/>
      <c r="W21" s="1143"/>
    </row>
  </sheetData>
  <mergeCells count="5">
    <mergeCell ref="B1:C1"/>
    <mergeCell ref="B3:D3"/>
    <mergeCell ref="B4:D4"/>
    <mergeCell ref="B7:K7"/>
    <mergeCell ref="B15:K15"/>
  </mergeCells>
  <conditionalFormatting sqref="B1">
    <cfRule type="expression" dxfId="15" priority="1">
      <formula>$B$1="Undetermined"</formula>
    </cfRule>
    <cfRule type="expression" dxfId="14" priority="2">
      <formula>$B$1="Required"</formula>
    </cfRule>
  </conditionalFormatting>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5">
    <tabColor theme="6" tint="-0.499984740745262"/>
  </sheetPr>
  <dimension ref="A1:K22"/>
  <sheetViews>
    <sheetView showGridLines="0" workbookViewId="0"/>
  </sheetViews>
  <sheetFormatPr defaultColWidth="9.140625" defaultRowHeight="12.75"/>
  <cols>
    <col min="1" max="1" width="56.7109375" style="931" customWidth="1"/>
    <col min="2" max="2" width="16.140625" style="931" customWidth="1"/>
    <col min="3" max="3" width="17.5703125" style="931" customWidth="1"/>
    <col min="4" max="16384" width="9.140625" style="931"/>
  </cols>
  <sheetData>
    <row r="1" spans="1:11" ht="23.25" customHeight="1" thickBot="1">
      <c r="A1" s="1125"/>
      <c r="B1" s="4043" t="str">
        <f>IF(MF_CICS="YES","REQUIRED",IF(MF_CICS="NO","This Tab is Not Required","Undetermined"))</f>
        <v>This Tab is Not Required</v>
      </c>
      <c r="C1" s="4044"/>
      <c r="D1" s="1147" t="str">
        <f>ProjDet_AppNameCol &amp;" - Mainframe DB1"</f>
        <v>Linux Infrastructure Management - Mainframe DB1</v>
      </c>
      <c r="E1" s="1147"/>
      <c r="F1" s="1147"/>
      <c r="G1" s="1126"/>
      <c r="H1" s="1126"/>
      <c r="I1" s="1126"/>
      <c r="J1" s="1126"/>
      <c r="K1" s="1127"/>
    </row>
    <row r="3" spans="1:11" ht="15">
      <c r="A3" s="1198" t="s">
        <v>3143</v>
      </c>
      <c r="B3" s="4000"/>
      <c r="C3" s="4000"/>
      <c r="D3" s="1143"/>
      <c r="E3" s="1143"/>
      <c r="F3" s="1143"/>
      <c r="G3" s="1143"/>
      <c r="H3" s="1143"/>
      <c r="I3" s="1143"/>
    </row>
    <row r="4" spans="1:11" ht="15">
      <c r="A4" s="1199" t="s">
        <v>3144</v>
      </c>
      <c r="B4" s="4068" t="s">
        <v>3145</v>
      </c>
      <c r="C4" s="4068"/>
      <c r="D4" s="4070" t="s">
        <v>3146</v>
      </c>
      <c r="E4" s="4071"/>
      <c r="F4" s="4071"/>
      <c r="G4" s="4071"/>
      <c r="H4" s="4071"/>
      <c r="I4" s="4071"/>
      <c r="J4" s="4071"/>
      <c r="K4" s="4071"/>
    </row>
    <row r="5" spans="1:11" ht="15">
      <c r="A5" s="1143"/>
      <c r="B5" s="1143"/>
      <c r="C5" s="1143"/>
      <c r="D5" s="1143"/>
      <c r="E5" s="1143"/>
      <c r="F5" s="1143"/>
      <c r="G5" s="1143"/>
      <c r="H5" s="1143"/>
      <c r="I5" s="1143"/>
    </row>
    <row r="6" spans="1:11" ht="15">
      <c r="A6" s="1200" t="s">
        <v>3147</v>
      </c>
      <c r="B6" s="1200" t="s">
        <v>3148</v>
      </c>
      <c r="C6" s="1137"/>
      <c r="D6" s="1143"/>
      <c r="E6" s="1143"/>
      <c r="F6" s="1143"/>
      <c r="G6" s="1143"/>
      <c r="H6" s="1143"/>
      <c r="I6" s="1143"/>
    </row>
    <row r="7" spans="1:11" ht="15">
      <c r="A7" s="1161" t="s">
        <v>3149</v>
      </c>
      <c r="B7" s="1138"/>
      <c r="C7" s="1158"/>
      <c r="D7" s="1143"/>
      <c r="E7" s="1143"/>
      <c r="F7" s="1143"/>
      <c r="G7" s="1143"/>
      <c r="H7" s="1143"/>
      <c r="I7" s="1143"/>
    </row>
    <row r="8" spans="1:11" ht="15">
      <c r="A8" s="1161" t="s">
        <v>3150</v>
      </c>
      <c r="B8" s="1138"/>
      <c r="C8" s="1158"/>
      <c r="D8" s="1143"/>
      <c r="E8" s="1143"/>
      <c r="F8" s="1143"/>
      <c r="G8" s="1143"/>
      <c r="H8" s="1143"/>
      <c r="I8" s="1143"/>
    </row>
    <row r="9" spans="1:11" ht="15">
      <c r="A9" s="1201"/>
      <c r="B9" s="1143"/>
      <c r="C9" s="1202"/>
      <c r="D9" s="1143"/>
      <c r="E9" s="1143"/>
      <c r="F9" s="1143"/>
      <c r="G9" s="1143"/>
      <c r="H9" s="1143"/>
      <c r="I9" s="1143"/>
    </row>
    <row r="10" spans="1:11" ht="15">
      <c r="A10" s="1200" t="s">
        <v>3151</v>
      </c>
      <c r="B10" s="1143"/>
      <c r="C10" s="1143"/>
      <c r="D10" s="1143"/>
      <c r="E10" s="1143"/>
      <c r="F10" s="1143"/>
      <c r="G10" s="1143"/>
      <c r="H10" s="1143"/>
      <c r="I10" s="1143"/>
    </row>
    <row r="11" spans="1:11" ht="15">
      <c r="A11" s="1161" t="s">
        <v>3152</v>
      </c>
      <c r="B11" s="1138"/>
      <c r="C11" s="1203"/>
      <c r="D11" s="1143"/>
      <c r="E11" s="1143"/>
      <c r="F11" s="1143"/>
      <c r="G11" s="1143"/>
      <c r="H11" s="1143"/>
      <c r="I11" s="1143"/>
    </row>
    <row r="12" spans="1:11" ht="15">
      <c r="A12" s="1161" t="s">
        <v>3153</v>
      </c>
      <c r="B12" s="1138"/>
      <c r="C12" s="1203"/>
      <c r="D12" s="1143"/>
      <c r="E12" s="1143"/>
      <c r="F12" s="1143"/>
      <c r="G12" s="1143"/>
      <c r="H12" s="1143"/>
      <c r="I12" s="1143"/>
    </row>
    <row r="13" spans="1:11" ht="15">
      <c r="A13" s="1201"/>
      <c r="B13" s="1143"/>
      <c r="C13" s="1143"/>
      <c r="D13" s="1143"/>
      <c r="E13" s="1143"/>
      <c r="F13" s="1143"/>
      <c r="G13" s="1143"/>
      <c r="H13" s="1143"/>
      <c r="I13" s="1143"/>
    </row>
    <row r="14" spans="1:11" ht="15">
      <c r="A14" s="1201"/>
      <c r="B14" s="1143"/>
      <c r="C14" s="1143"/>
      <c r="D14" s="1143"/>
      <c r="E14" s="1143"/>
      <c r="F14" s="1143"/>
      <c r="G14" s="1143"/>
      <c r="H14" s="1143"/>
      <c r="I14" s="1143"/>
    </row>
    <row r="15" spans="1:11" ht="15">
      <c r="A15" s="1143"/>
      <c r="B15" s="1143"/>
      <c r="C15" s="1143"/>
      <c r="D15" s="1143"/>
      <c r="E15" s="1143"/>
      <c r="F15" s="1143"/>
      <c r="G15" s="1143"/>
      <c r="H15" s="1143"/>
      <c r="I15" s="1137"/>
    </row>
    <row r="16" spans="1:11" ht="15">
      <c r="A16" s="4069"/>
      <c r="B16" s="4069"/>
      <c r="C16" s="4069"/>
      <c r="D16" s="4069"/>
      <c r="E16" s="1143"/>
      <c r="F16" s="1143"/>
      <c r="G16" s="1143"/>
      <c r="H16" s="1143"/>
      <c r="I16" s="1143"/>
    </row>
    <row r="17" spans="1:9" ht="15">
      <c r="A17" s="1143" t="s">
        <v>3154</v>
      </c>
      <c r="B17" s="1143"/>
      <c r="C17" s="1143"/>
      <c r="D17" s="1143"/>
      <c r="E17" s="1143"/>
      <c r="F17" s="1143"/>
      <c r="G17" s="1143"/>
      <c r="H17" s="1143"/>
      <c r="I17" s="1137"/>
    </row>
    <row r="18" spans="1:9" ht="15">
      <c r="A18" s="1322" t="s">
        <v>3220</v>
      </c>
      <c r="B18" s="1142"/>
      <c r="C18" s="1203"/>
      <c r="D18" s="1143"/>
      <c r="E18" s="1143"/>
      <c r="F18" s="1143"/>
      <c r="G18" s="1143"/>
      <c r="H18" s="1143"/>
      <c r="I18" s="1143"/>
    </row>
    <row r="19" spans="1:9" ht="15">
      <c r="A19" s="1322" t="s">
        <v>3155</v>
      </c>
      <c r="B19" s="1142"/>
      <c r="C19" s="1203"/>
      <c r="D19" s="1143"/>
      <c r="E19" s="1143"/>
      <c r="F19" s="1143"/>
      <c r="G19" s="1143"/>
      <c r="H19" s="1143"/>
      <c r="I19" s="1143"/>
    </row>
    <row r="20" spans="1:9" ht="15">
      <c r="A20" s="1204" t="s">
        <v>3156</v>
      </c>
      <c r="B20" s="1142"/>
      <c r="C20" s="1203"/>
      <c r="D20" s="1143"/>
      <c r="E20" s="1143"/>
      <c r="F20" s="1143"/>
      <c r="G20" s="1143"/>
      <c r="H20" s="1143"/>
      <c r="I20" s="1143"/>
    </row>
    <row r="21" spans="1:9" ht="15">
      <c r="A21" s="1205" t="s">
        <v>3157</v>
      </c>
      <c r="B21" s="1138"/>
      <c r="C21" s="1203"/>
      <c r="D21" s="1206"/>
      <c r="E21" s="1206"/>
      <c r="F21" s="1206"/>
      <c r="G21" s="1143"/>
      <c r="H21" s="1143"/>
      <c r="I21" s="1143"/>
    </row>
    <row r="22" spans="1:9" ht="15">
      <c r="A22" s="1205" t="s">
        <v>3158</v>
      </c>
      <c r="B22" s="1138"/>
      <c r="C22" s="1203"/>
      <c r="D22" s="1206"/>
      <c r="E22" s="1206"/>
      <c r="F22" s="1206"/>
      <c r="G22" s="1143"/>
      <c r="H22" s="1143"/>
      <c r="I22" s="1143"/>
    </row>
  </sheetData>
  <mergeCells count="5">
    <mergeCell ref="B1:C1"/>
    <mergeCell ref="B3:C3"/>
    <mergeCell ref="B4:C4"/>
    <mergeCell ref="A16:D16"/>
    <mergeCell ref="D4:K4"/>
  </mergeCells>
  <conditionalFormatting sqref="B1">
    <cfRule type="expression" dxfId="13" priority="1">
      <formula>$B$1="Undetermined"</formula>
    </cfRule>
    <cfRule type="expression" dxfId="12" priority="2">
      <formula>$B$1="Required"</formula>
    </cfRule>
  </conditionalFormatting>
  <dataValidations count="1">
    <dataValidation type="list" allowBlank="1" showInputMessage="1" showErrorMessage="1" sqref="B7:B8 B11:B12 B19:B22" xr:uid="{00000000-0002-0000-2200-000000000000}">
      <formula1>"Yes, No"</formula1>
    </dataValidation>
  </dataValidation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6">
    <tabColor theme="6" tint="-0.499984740745262"/>
  </sheetPr>
  <dimension ref="A1:L20"/>
  <sheetViews>
    <sheetView showGridLines="0" zoomScale="90" zoomScaleNormal="90" workbookViewId="0">
      <selection activeCell="K25" sqref="K25"/>
    </sheetView>
  </sheetViews>
  <sheetFormatPr defaultColWidth="9.140625" defaultRowHeight="23.25" customHeight="1"/>
  <cols>
    <col min="1" max="1" width="45.7109375" style="931" customWidth="1"/>
    <col min="2" max="2" width="11" style="931" customWidth="1"/>
    <col min="3" max="3" width="11.28515625" style="931" customWidth="1"/>
    <col min="4" max="4" width="10.85546875" style="931" customWidth="1"/>
    <col min="5" max="5" width="12.140625" style="931" customWidth="1"/>
    <col min="6" max="16384" width="9.140625" style="931"/>
  </cols>
  <sheetData>
    <row r="1" spans="1:12" ht="23.25" customHeight="1" thickBot="1">
      <c r="A1" s="1125"/>
      <c r="B1" s="4043" t="str">
        <f>IF(MF_CICS="YES","REQUIRED",IF(MF_CICS="NO","This Tab is Not Required","Undetermined"))</f>
        <v>This Tab is Not Required</v>
      </c>
      <c r="C1" s="4044"/>
      <c r="D1" s="1147" t="str">
        <f>ProjDet_AppNameCol &amp;" - Mainframe Work Load Manager  (WLM)"</f>
        <v>Linux Infrastructure Management - Mainframe Work Load Manager  (WLM)</v>
      </c>
      <c r="E1" s="1147"/>
      <c r="F1" s="1147"/>
      <c r="G1" s="1126"/>
      <c r="H1" s="1126"/>
      <c r="I1" s="1126"/>
      <c r="J1" s="1126"/>
      <c r="K1" s="1127"/>
    </row>
    <row r="3" spans="1:12" ht="23.25" customHeight="1">
      <c r="A3" s="1148" t="s">
        <v>3159</v>
      </c>
      <c r="B3" s="4072"/>
      <c r="C3" s="4073"/>
      <c r="D3" s="4074"/>
      <c r="E3" s="1162"/>
    </row>
    <row r="4" spans="1:12" ht="23.25" customHeight="1">
      <c r="A4" s="1148" t="s">
        <v>3093</v>
      </c>
      <c r="B4" s="4075" t="s">
        <v>3160</v>
      </c>
      <c r="C4" s="4076"/>
      <c r="D4" s="4077"/>
      <c r="E4" s="1162"/>
    </row>
    <row r="5" spans="1:12" ht="23.25" customHeight="1">
      <c r="A5" s="1207"/>
      <c r="B5" s="1162"/>
      <c r="C5" s="1162"/>
      <c r="D5" s="1162"/>
      <c r="E5" s="1162"/>
    </row>
    <row r="6" spans="1:12" ht="23.25" customHeight="1" thickBot="1">
      <c r="A6" s="1208"/>
      <c r="B6" s="1162"/>
      <c r="C6" s="1162"/>
      <c r="D6" s="1162"/>
      <c r="E6" s="1162"/>
    </row>
    <row r="7" spans="1:12" ht="23.25" customHeight="1" thickBot="1">
      <c r="A7" s="1208"/>
      <c r="B7" s="4078" t="s">
        <v>3096</v>
      </c>
      <c r="C7" s="4079"/>
      <c r="D7" s="4079"/>
      <c r="E7" s="4079"/>
      <c r="F7" s="4079"/>
      <c r="G7" s="4079"/>
      <c r="H7" s="4079"/>
      <c r="I7" s="4079"/>
      <c r="J7" s="4079"/>
      <c r="K7" s="4080"/>
    </row>
    <row r="8" spans="1:12" ht="23.25" customHeight="1" thickBot="1">
      <c r="A8" s="1305" t="s">
        <v>3161</v>
      </c>
      <c r="B8" s="1306" t="str">
        <f>IF('Middleware - Web'!C$18&lt;&gt;"",'Middleware - Web'!C$18,"")</f>
        <v/>
      </c>
      <c r="C8" s="1307" t="str">
        <f>IF('Middleware - Web'!D$18&lt;&gt;"",'Middleware - Web'!D$18,"")</f>
        <v/>
      </c>
      <c r="D8" s="1307" t="str">
        <f>IF('Middleware - Web'!E$18&lt;&gt;"",'Middleware - Web'!E$18,"")</f>
        <v/>
      </c>
      <c r="E8" s="1307" t="str">
        <f>IF('Middleware - Web'!F$18&lt;&gt;"",'Middleware - Web'!F$18,"")</f>
        <v/>
      </c>
      <c r="F8" s="1307" t="str">
        <f>IF('Middleware - Web'!G$18&lt;&gt;"",'Middleware - Web'!G$18,"")</f>
        <v/>
      </c>
      <c r="G8" s="1307" t="str">
        <f>IF('Middleware - Web'!H$18&lt;&gt;"",'Middleware - Web'!H$18,"")</f>
        <v/>
      </c>
      <c r="H8" s="1307" t="str">
        <f>IF('Middleware - Web'!I$18&lt;&gt;"",'Middleware - Web'!I$18,"")</f>
        <v/>
      </c>
      <c r="I8" s="1307" t="str">
        <f>IF('Middleware - Web'!J$18&lt;&gt;"",'Middleware - Web'!J$18,"")</f>
        <v/>
      </c>
      <c r="J8" s="1307" t="str">
        <f>IF('Middleware - Web'!K$18&lt;&gt;"",'Middleware - Web'!K$18,"")</f>
        <v/>
      </c>
      <c r="K8" s="1308" t="str">
        <f>IF('Middleware - Web'!L$18&lt;&gt;"",'Middleware - Web'!L$18,"")</f>
        <v/>
      </c>
    </row>
    <row r="9" spans="1:12" ht="23.25" customHeight="1">
      <c r="A9" s="1304" t="s">
        <v>3162</v>
      </c>
      <c r="B9" s="1319"/>
      <c r="C9" s="1320"/>
      <c r="D9" s="1320"/>
      <c r="E9" s="1320"/>
      <c r="F9" s="960"/>
      <c r="G9" s="960"/>
      <c r="H9" s="960"/>
      <c r="I9" s="960"/>
      <c r="J9" s="960"/>
      <c r="K9" s="422"/>
    </row>
    <row r="10" spans="1:12" ht="23.25" customHeight="1" thickBot="1">
      <c r="A10" s="1301" t="s">
        <v>3163</v>
      </c>
      <c r="B10" s="1338" t="str">
        <f>IF('MF-DB2'!B$10&lt;&gt;"",'MF-DB2'!B$10,"")</f>
        <v/>
      </c>
      <c r="C10" s="1339" t="str">
        <f>IF('MF-DB2'!C$10&lt;&gt;"",'MF-DB2'!C$10,"")</f>
        <v/>
      </c>
      <c r="D10" s="1339" t="str">
        <f>IF('MF-DB2'!D$10&lt;&gt;"",'MF-DB2'!D$10,"")</f>
        <v/>
      </c>
      <c r="E10" s="1339" t="str">
        <f>IF('MF-DB2'!E$10&lt;&gt;"",'MF-DB2'!E$10,"")</f>
        <v/>
      </c>
      <c r="F10" s="1339" t="str">
        <f>IF('MF-DB2'!F$10&lt;&gt;"",'MF-DB2'!F$10,"")</f>
        <v/>
      </c>
      <c r="G10" s="1339" t="str">
        <f>IF('MF-DB2'!G$10&lt;&gt;"",'MF-DB2'!G$10,"")</f>
        <v/>
      </c>
      <c r="H10" s="1339" t="str">
        <f>IF('MF-DB2'!H$10&lt;&gt;"",'MF-DB2'!H$10,"")</f>
        <v/>
      </c>
      <c r="I10" s="1339" t="str">
        <f>IF('MF-DB2'!I$10&lt;&gt;"",'MF-DB2'!I$10,"")</f>
        <v/>
      </c>
      <c r="J10" s="1339" t="str">
        <f>IF('MF-DB2'!J$10&lt;&gt;"",'MF-DB2'!J$10,"")</f>
        <v/>
      </c>
      <c r="K10" s="1340" t="str">
        <f>IF('MF-DB2'!K$10&lt;&gt;"",'MF-DB2'!K$10,"")</f>
        <v/>
      </c>
    </row>
    <row r="11" spans="1:12" ht="23.25" customHeight="1" thickBot="1">
      <c r="A11" s="1300" t="s">
        <v>3164</v>
      </c>
      <c r="B11" s="4081"/>
      <c r="C11" s="4082"/>
      <c r="D11" s="4082"/>
      <c r="E11" s="4082"/>
      <c r="F11" s="4082"/>
      <c r="G11" s="4082"/>
      <c r="H11" s="4082"/>
      <c r="I11" s="4082"/>
      <c r="J11" s="4082"/>
      <c r="K11" s="4083"/>
    </row>
    <row r="12" spans="1:12" ht="23.25" customHeight="1">
      <c r="A12" s="1302" t="s">
        <v>3165</v>
      </c>
      <c r="B12" s="1341"/>
      <c r="C12" s="1342"/>
      <c r="D12" s="1342"/>
      <c r="E12" s="1342"/>
      <c r="F12" s="1343"/>
      <c r="G12" s="1343"/>
      <c r="H12" s="1343"/>
      <c r="I12" s="1343"/>
      <c r="J12" s="1343"/>
      <c r="K12" s="1344"/>
    </row>
    <row r="13" spans="1:12" ht="23.25" customHeight="1">
      <c r="A13" s="1302" t="s">
        <v>3166</v>
      </c>
      <c r="B13" s="1317"/>
      <c r="C13" s="1138"/>
      <c r="D13" s="1138"/>
      <c r="E13" s="1138"/>
      <c r="F13" s="430"/>
      <c r="G13" s="430"/>
      <c r="H13" s="430"/>
      <c r="I13" s="430"/>
      <c r="J13" s="430"/>
      <c r="K13" s="432"/>
    </row>
    <row r="14" spans="1:12" ht="23.25" customHeight="1">
      <c r="A14" s="1302" t="s">
        <v>3167</v>
      </c>
      <c r="B14" s="1309" t="str">
        <f>IF('MF-DB2'!B$30&lt;&gt;"",'MF-DB2'!B$30,"")</f>
        <v/>
      </c>
      <c r="C14" s="1318" t="str">
        <f>IF('MF-DB2'!C$30&lt;&gt;"",'MF-DB2'!C$30,"")</f>
        <v/>
      </c>
      <c r="D14" s="1318" t="str">
        <f>IF('MF-DB2'!D$30&lt;&gt;"",'MF-DB2'!D$30,"")</f>
        <v/>
      </c>
      <c r="E14" s="1318" t="str">
        <f>IF('MF-DB2'!E$30&lt;&gt;"",'MF-DB2'!E$30,"")</f>
        <v/>
      </c>
      <c r="F14" s="1318" t="str">
        <f>IF('MF-DB2'!F$30&lt;&gt;"",'MF-DB2'!F$30,"")</f>
        <v/>
      </c>
      <c r="G14" s="1318" t="str">
        <f>IF('MF-DB2'!G$30&lt;&gt;"",'MF-DB2'!G$30,"")</f>
        <v/>
      </c>
      <c r="H14" s="1318" t="str">
        <f>IF('MF-DB2'!H$30&lt;&gt;"",'MF-DB2'!H$30,"")</f>
        <v/>
      </c>
      <c r="I14" s="1318" t="str">
        <f>IF('MF-DB2'!I$30&lt;&gt;"",'MF-DB2'!I$30,"")</f>
        <v/>
      </c>
      <c r="J14" s="1318" t="str">
        <f>IF('MF-DB2'!J$30&lt;&gt;"",'MF-DB2'!J$30,"")</f>
        <v/>
      </c>
      <c r="K14" s="1321" t="str">
        <f>IF('MF-DB2'!K$30&lt;&gt;"",'MF-DB2'!K$30,"")</f>
        <v/>
      </c>
      <c r="L14" s="405" t="s">
        <v>3214</v>
      </c>
    </row>
    <row r="15" spans="1:12" ht="23.25" customHeight="1" thickBot="1">
      <c r="A15" s="1303" t="s">
        <v>3168</v>
      </c>
      <c r="B15" s="1323" t="e">
        <f>IF('Middleware - Web'!#REF!,'Middleware - Web'!#REF!,"")</f>
        <v>#REF!</v>
      </c>
      <c r="C15" s="1324" t="e">
        <f>IF('Middleware - Web'!#REF!,'Middleware - Web'!#REF!,"")</f>
        <v>#REF!</v>
      </c>
      <c r="D15" s="1324" t="e">
        <f>IF('Middleware - Web'!#REF!,'Middleware - Web'!#REF!,"")</f>
        <v>#REF!</v>
      </c>
      <c r="E15" s="1324" t="e">
        <f>IF('Middleware - Web'!#REF!,'Middleware - Web'!#REF!,"")</f>
        <v>#REF!</v>
      </c>
      <c r="F15" s="1324" t="e">
        <f>IF('Middleware - Web'!#REF!,'Middleware - Web'!#REF!,"")</f>
        <v>#REF!</v>
      </c>
      <c r="G15" s="1324" t="e">
        <f>IF('Middleware - Web'!#REF!,'Middleware - Web'!#REF!,"")</f>
        <v>#REF!</v>
      </c>
      <c r="H15" s="1324" t="e">
        <f>IF('Middleware - Web'!#REF!,'Middleware - Web'!#REF!,"")</f>
        <v>#REF!</v>
      </c>
      <c r="I15" s="1324" t="e">
        <f>IF('Middleware - Web'!#REF!,'Middleware - Web'!#REF!,"")</f>
        <v>#REF!</v>
      </c>
      <c r="J15" s="1324" t="e">
        <f>IF('Middleware - Web'!#REF!,'Middleware - Web'!#REF!,"")</f>
        <v>#REF!</v>
      </c>
      <c r="K15" s="1325" t="e">
        <f>IF('Middleware - Web'!#REF!,'Middleware - Web'!#REF!,"")</f>
        <v>#REF!</v>
      </c>
      <c r="L15" s="405" t="s">
        <v>3215</v>
      </c>
    </row>
    <row r="16" spans="1:12" ht="23.25" customHeight="1" thickBot="1">
      <c r="A16" s="1210"/>
      <c r="B16" s="1137"/>
      <c r="C16" s="1137"/>
      <c r="D16" s="1137"/>
      <c r="E16" s="1137"/>
    </row>
    <row r="17" spans="1:11" ht="23.25" customHeight="1">
      <c r="A17" s="1329" t="s">
        <v>3169</v>
      </c>
      <c r="B17" s="1326" t="str">
        <f>IF('Middleware - Web'!C$18&lt;&gt;"",'Middleware - Web'!C$18,"")</f>
        <v/>
      </c>
      <c r="C17" s="1327" t="str">
        <f>IF('Middleware - Web'!D$18&lt;&gt;"",'Middleware - Web'!D$18,"")</f>
        <v/>
      </c>
      <c r="D17" s="1327" t="str">
        <f>IF('Middleware - Web'!E$18&lt;&gt;"",'Middleware - Web'!E$18,"")</f>
        <v/>
      </c>
      <c r="E17" s="1327" t="str">
        <f>IF('Middleware - Web'!F$18&lt;&gt;"",'Middleware - Web'!F$18,"")</f>
        <v/>
      </c>
      <c r="F17" s="1327" t="str">
        <f>IF('Middleware - Web'!G$18&lt;&gt;"",'Middleware - Web'!G$18,"")</f>
        <v/>
      </c>
      <c r="G17" s="1327" t="str">
        <f>IF('Middleware - Web'!H$18&lt;&gt;"",'Middleware - Web'!H$18,"")</f>
        <v/>
      </c>
      <c r="H17" s="1327" t="str">
        <f>IF('Middleware - Web'!I$18&lt;&gt;"",'Middleware - Web'!I$18,"")</f>
        <v/>
      </c>
      <c r="I17" s="1327" t="str">
        <f>IF('Middleware - Web'!J$18&lt;&gt;"",'Middleware - Web'!J$18,"")</f>
        <v/>
      </c>
      <c r="J17" s="1327" t="str">
        <f>IF('Middleware - Web'!K$18&lt;&gt;"",'Middleware - Web'!K$18,"")</f>
        <v/>
      </c>
      <c r="K17" s="1328" t="str">
        <f>IF('Middleware - Web'!L$18&lt;&gt;"",'Middleware - Web'!L$18,"")</f>
        <v/>
      </c>
    </row>
    <row r="18" spans="1:11" ht="23.25" customHeight="1">
      <c r="A18" s="1212" t="s">
        <v>3170</v>
      </c>
      <c r="B18" s="1136"/>
      <c r="C18" s="1142"/>
      <c r="D18" s="1142"/>
      <c r="E18" s="1142"/>
      <c r="F18" s="1142"/>
      <c r="G18" s="1142"/>
      <c r="H18" s="1142"/>
      <c r="I18" s="1142"/>
      <c r="J18" s="1142"/>
      <c r="K18" s="1132"/>
    </row>
    <row r="19" spans="1:11" ht="23.25" customHeight="1">
      <c r="A19" s="1213" t="s">
        <v>3171</v>
      </c>
      <c r="B19" s="1136"/>
      <c r="C19" s="1142"/>
      <c r="D19" s="1142"/>
      <c r="E19" s="1142"/>
      <c r="F19" s="1142"/>
      <c r="G19" s="1142"/>
      <c r="H19" s="1142"/>
      <c r="I19" s="1142"/>
      <c r="J19" s="1142"/>
      <c r="K19" s="1132"/>
    </row>
    <row r="20" spans="1:11" ht="23.25" customHeight="1" thickBot="1">
      <c r="A20" s="1214" t="s">
        <v>3172</v>
      </c>
      <c r="B20" s="1140"/>
      <c r="C20" s="1209"/>
      <c r="D20" s="1209"/>
      <c r="E20" s="1209"/>
      <c r="F20" s="1209"/>
      <c r="G20" s="1209"/>
      <c r="H20" s="1209"/>
      <c r="I20" s="1209"/>
      <c r="J20" s="1209"/>
      <c r="K20" s="1141"/>
    </row>
  </sheetData>
  <mergeCells count="5">
    <mergeCell ref="B1:C1"/>
    <mergeCell ref="B3:D3"/>
    <mergeCell ref="B4:D4"/>
    <mergeCell ref="B7:K7"/>
    <mergeCell ref="B11:K11"/>
  </mergeCells>
  <conditionalFormatting sqref="B1">
    <cfRule type="expression" dxfId="11" priority="1">
      <formula>$B$1="Undetermined"</formula>
    </cfRule>
    <cfRule type="expression" dxfId="10" priority="2">
      <formula>$B$1="Required"</formula>
    </cfRule>
  </conditionalFormatting>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7">
    <tabColor theme="6" tint="-0.499984740745262"/>
  </sheetPr>
  <dimension ref="A1:Q36"/>
  <sheetViews>
    <sheetView showGridLines="0" workbookViewId="0"/>
  </sheetViews>
  <sheetFormatPr defaultColWidth="9.140625" defaultRowHeight="12.75"/>
  <cols>
    <col min="1" max="1" width="30.140625" style="931" customWidth="1"/>
    <col min="2" max="2" width="13.42578125" style="931" customWidth="1"/>
    <col min="3" max="4" width="12.85546875" style="931" customWidth="1"/>
    <col min="5" max="5" width="14.42578125" style="931" customWidth="1"/>
    <col min="6" max="16384" width="9.140625" style="931"/>
  </cols>
  <sheetData>
    <row r="1" spans="1:17" ht="27.75" customHeight="1" thickBot="1">
      <c r="A1" s="1125"/>
      <c r="B1" s="4043" t="str">
        <f>IF(MF_CICS="YES","REQUIRED",IF(MF_CICS="NO","This Tab is Not Required","Undetermined"))</f>
        <v>This Tab is Not Required</v>
      </c>
      <c r="C1" s="4044"/>
      <c r="D1" s="1147" t="str">
        <f>ProjDet_AppNameCol &amp;" - Mainframe Communications"</f>
        <v>Linux Infrastructure Management - Mainframe Communications</v>
      </c>
      <c r="E1" s="1147"/>
      <c r="F1" s="1147"/>
      <c r="G1" s="1126"/>
      <c r="H1" s="1126"/>
      <c r="I1" s="1126"/>
      <c r="J1" s="1126"/>
      <c r="K1" s="1127"/>
    </row>
    <row r="3" spans="1:17" ht="15">
      <c r="A3" s="4100" t="s">
        <v>3173</v>
      </c>
      <c r="B3" s="4100"/>
      <c r="C3" s="4100"/>
      <c r="D3" s="4101"/>
      <c r="E3" s="4102"/>
      <c r="F3" s="1143"/>
      <c r="G3" s="1143"/>
      <c r="H3" s="1143"/>
      <c r="I3" s="1143"/>
      <c r="J3" s="1143"/>
      <c r="K3" s="1137"/>
      <c r="L3" s="1137"/>
      <c r="M3" s="1137"/>
      <c r="N3" s="1143"/>
      <c r="O3" s="1143"/>
      <c r="P3" s="1143"/>
      <c r="Q3" s="1143"/>
    </row>
    <row r="4" spans="1:17" ht="15">
      <c r="A4" s="4100" t="s">
        <v>3093</v>
      </c>
      <c r="B4" s="4100"/>
      <c r="C4" s="4100"/>
      <c r="D4" s="4103" t="s">
        <v>3174</v>
      </c>
      <c r="E4" s="4103"/>
      <c r="F4" s="1143"/>
      <c r="G4" s="1143"/>
      <c r="H4" s="1143"/>
      <c r="I4" s="1143"/>
      <c r="J4" s="1143"/>
      <c r="K4" s="1137"/>
      <c r="L4" s="1137"/>
      <c r="M4" s="1137"/>
      <c r="N4" s="1143"/>
      <c r="O4" s="1143"/>
      <c r="P4" s="1143"/>
      <c r="Q4" s="1143"/>
    </row>
    <row r="5" spans="1:17" ht="15">
      <c r="A5" s="1215"/>
      <c r="B5" s="1215"/>
      <c r="C5" s="1215"/>
      <c r="D5" s="1215"/>
      <c r="E5" s="1143"/>
      <c r="F5" s="1143"/>
      <c r="G5" s="1143"/>
      <c r="H5" s="1143"/>
      <c r="I5" s="1143"/>
      <c r="J5" s="1143"/>
      <c r="K5" s="1137"/>
      <c r="L5" s="1137"/>
      <c r="M5" s="1137"/>
      <c r="N5" s="1143"/>
      <c r="O5" s="1143"/>
      <c r="P5" s="1143"/>
      <c r="Q5" s="1143"/>
    </row>
    <row r="6" spans="1:17" ht="15">
      <c r="A6" s="1137"/>
      <c r="B6" s="1137"/>
      <c r="C6" s="1137"/>
      <c r="D6" s="1137"/>
      <c r="E6" s="1137"/>
      <c r="F6" s="1137"/>
      <c r="G6" s="1137"/>
      <c r="H6" s="1137"/>
      <c r="I6" s="1137"/>
      <c r="J6" s="1137"/>
      <c r="K6" s="1137"/>
      <c r="L6" s="1137"/>
      <c r="M6" s="1137"/>
      <c r="N6" s="1143"/>
      <c r="O6" s="1143"/>
      <c r="P6" s="1143"/>
      <c r="Q6" s="1143"/>
    </row>
    <row r="7" spans="1:17" ht="15.75" thickBot="1">
      <c r="A7" s="4099" t="s">
        <v>3175</v>
      </c>
      <c r="B7" s="4099"/>
      <c r="C7" s="4099"/>
      <c r="D7" s="4099"/>
      <c r="E7" s="4099"/>
      <c r="F7" s="4099"/>
      <c r="G7" s="4099"/>
      <c r="H7" s="4099"/>
      <c r="I7" s="4099"/>
      <c r="J7" s="4099"/>
      <c r="K7" s="1137"/>
      <c r="L7" s="1137"/>
      <c r="M7" s="1137"/>
      <c r="N7" s="1143"/>
      <c r="O7" s="1143"/>
      <c r="P7" s="1143"/>
      <c r="Q7" s="1143"/>
    </row>
    <row r="8" spans="1:17" ht="15">
      <c r="A8" s="1216" t="s">
        <v>3176</v>
      </c>
      <c r="B8" s="1217" t="s">
        <v>3177</v>
      </c>
      <c r="C8" s="4095" t="s">
        <v>1122</v>
      </c>
      <c r="D8" s="4096"/>
      <c r="E8" s="4096"/>
      <c r="F8" s="4096"/>
      <c r="G8" s="4096"/>
      <c r="H8" s="4096"/>
      <c r="I8" s="4096"/>
      <c r="J8" s="4097"/>
      <c r="K8" s="4095" t="s">
        <v>3178</v>
      </c>
      <c r="L8" s="4096"/>
      <c r="M8" s="4098"/>
      <c r="N8" s="1143"/>
      <c r="O8" s="1143"/>
      <c r="P8" s="1143"/>
      <c r="Q8" s="1143"/>
    </row>
    <row r="9" spans="1:17" ht="15">
      <c r="A9" s="1218" t="s">
        <v>3179</v>
      </c>
      <c r="B9" s="1142"/>
      <c r="C9" s="4090"/>
      <c r="D9" s="4090"/>
      <c r="E9" s="4090"/>
      <c r="F9" s="4090"/>
      <c r="G9" s="4090"/>
      <c r="H9" s="4090"/>
      <c r="I9" s="4090"/>
      <c r="J9" s="4090"/>
      <c r="K9" s="4063"/>
      <c r="L9" s="4063"/>
      <c r="M9" s="4091"/>
      <c r="N9" s="1143"/>
      <c r="O9" s="1143"/>
      <c r="P9" s="1143"/>
      <c r="Q9" s="1143"/>
    </row>
    <row r="10" spans="1:17" ht="15.75" thickBot="1">
      <c r="A10" s="1219" t="s">
        <v>3180</v>
      </c>
      <c r="B10" s="1209"/>
      <c r="C10" s="3991"/>
      <c r="D10" s="3991"/>
      <c r="E10" s="3991"/>
      <c r="F10" s="3991"/>
      <c r="G10" s="3991"/>
      <c r="H10" s="3991"/>
      <c r="I10" s="3991"/>
      <c r="J10" s="3991"/>
      <c r="K10" s="4085"/>
      <c r="L10" s="4085"/>
      <c r="M10" s="4086"/>
      <c r="N10" s="1143"/>
      <c r="O10" s="1143"/>
      <c r="P10" s="1143"/>
      <c r="Q10" s="1143"/>
    </row>
    <row r="11" spans="1:17" ht="15.75" thickBot="1">
      <c r="A11" s="1220"/>
      <c r="B11" s="1220"/>
      <c r="C11" s="1220"/>
      <c r="D11" s="1220"/>
      <c r="E11" s="1220"/>
      <c r="F11" s="1220"/>
      <c r="G11" s="1220"/>
      <c r="H11" s="1220"/>
      <c r="I11" s="1220"/>
      <c r="J11" s="1220"/>
      <c r="K11" s="1220"/>
      <c r="L11" s="1220"/>
      <c r="M11" s="1220"/>
      <c r="N11" s="1143"/>
      <c r="O11" s="1143"/>
      <c r="P11" s="1143"/>
      <c r="Q11" s="1143"/>
    </row>
    <row r="12" spans="1:17" ht="15">
      <c r="A12" s="1221" t="s">
        <v>3181</v>
      </c>
      <c r="B12" s="1217" t="s">
        <v>3177</v>
      </c>
      <c r="C12" s="4092" t="s">
        <v>1122</v>
      </c>
      <c r="D12" s="4092"/>
      <c r="E12" s="4092"/>
      <c r="F12" s="4092"/>
      <c r="G12" s="4092"/>
      <c r="H12" s="4092"/>
      <c r="I12" s="4092"/>
      <c r="J12" s="4092"/>
      <c r="K12" s="4092" t="s">
        <v>3178</v>
      </c>
      <c r="L12" s="4092"/>
      <c r="M12" s="4093"/>
      <c r="N12" s="1143"/>
      <c r="O12" s="1143"/>
      <c r="P12" s="1143"/>
      <c r="Q12" s="1143"/>
    </row>
    <row r="13" spans="1:17" ht="15">
      <c r="A13" s="1131" t="s">
        <v>3182</v>
      </c>
      <c r="B13" s="1142"/>
      <c r="C13" s="4090"/>
      <c r="D13" s="4090"/>
      <c r="E13" s="4090"/>
      <c r="F13" s="4090"/>
      <c r="G13" s="4090"/>
      <c r="H13" s="4090"/>
      <c r="I13" s="4090"/>
      <c r="J13" s="4090"/>
      <c r="K13" s="4063"/>
      <c r="L13" s="4063"/>
      <c r="M13" s="4091"/>
      <c r="N13" s="1143"/>
      <c r="O13" s="1143"/>
      <c r="P13" s="1143"/>
      <c r="Q13" s="1143"/>
    </row>
    <row r="14" spans="1:17" ht="15.75" thickBot="1">
      <c r="A14" s="1222" t="s">
        <v>3183</v>
      </c>
      <c r="B14" s="1209"/>
      <c r="C14" s="3991"/>
      <c r="D14" s="3991"/>
      <c r="E14" s="3991"/>
      <c r="F14" s="3991"/>
      <c r="G14" s="3991"/>
      <c r="H14" s="3991"/>
      <c r="I14" s="3991"/>
      <c r="J14" s="3991"/>
      <c r="K14" s="4085"/>
      <c r="L14" s="4085"/>
      <c r="M14" s="4086"/>
      <c r="N14" s="1143"/>
      <c r="O14" s="1143"/>
      <c r="P14" s="1143"/>
      <c r="Q14" s="1143"/>
    </row>
    <row r="15" spans="1:17" ht="15.75" thickBot="1">
      <c r="A15" s="1223"/>
      <c r="B15" s="1220"/>
      <c r="C15" s="1220"/>
      <c r="D15" s="1220"/>
      <c r="E15" s="1220"/>
      <c r="F15" s="1220"/>
      <c r="G15" s="1220"/>
      <c r="H15" s="1220"/>
      <c r="I15" s="1220"/>
      <c r="J15" s="1220"/>
      <c r="K15" s="4094"/>
      <c r="L15" s="4094"/>
      <c r="M15" s="4094"/>
      <c r="N15" s="1143"/>
      <c r="O15" s="1143"/>
      <c r="P15" s="1143"/>
      <c r="Q15" s="1143"/>
    </row>
    <row r="16" spans="1:17" ht="15">
      <c r="A16" s="1216" t="s">
        <v>3184</v>
      </c>
      <c r="B16" s="1217" t="s">
        <v>3177</v>
      </c>
      <c r="C16" s="4095" t="s">
        <v>1122</v>
      </c>
      <c r="D16" s="4096"/>
      <c r="E16" s="4096"/>
      <c r="F16" s="4096"/>
      <c r="G16" s="4096"/>
      <c r="H16" s="4096"/>
      <c r="I16" s="4096"/>
      <c r="J16" s="4097"/>
      <c r="K16" s="4095" t="s">
        <v>3178</v>
      </c>
      <c r="L16" s="4096"/>
      <c r="M16" s="4098"/>
      <c r="N16" s="1143"/>
      <c r="O16" s="1143"/>
      <c r="P16" s="1143"/>
      <c r="Q16" s="1143"/>
    </row>
    <row r="17" spans="1:17" ht="15">
      <c r="A17" s="1218" t="s">
        <v>3185</v>
      </c>
      <c r="B17" s="1142"/>
      <c r="C17" s="4090"/>
      <c r="D17" s="4090"/>
      <c r="E17" s="4090"/>
      <c r="F17" s="4090"/>
      <c r="G17" s="4090"/>
      <c r="H17" s="4090"/>
      <c r="I17" s="4090"/>
      <c r="J17" s="4090"/>
      <c r="K17" s="4063"/>
      <c r="L17" s="4063"/>
      <c r="M17" s="4091"/>
      <c r="N17" s="1143"/>
      <c r="O17" s="1143"/>
      <c r="P17" s="1143"/>
      <c r="Q17" s="1143"/>
    </row>
    <row r="18" spans="1:17" ht="15">
      <c r="A18" s="1218" t="s">
        <v>3186</v>
      </c>
      <c r="B18" s="1142"/>
      <c r="C18" s="4090"/>
      <c r="D18" s="4090"/>
      <c r="E18" s="4090"/>
      <c r="F18" s="4090"/>
      <c r="G18" s="4090"/>
      <c r="H18" s="4090"/>
      <c r="I18" s="4090"/>
      <c r="J18" s="4090"/>
      <c r="K18" s="4063"/>
      <c r="L18" s="4063"/>
      <c r="M18" s="4091"/>
      <c r="N18" s="1143"/>
      <c r="O18" s="1143"/>
      <c r="P18" s="1143"/>
      <c r="Q18" s="1143"/>
    </row>
    <row r="19" spans="1:17" ht="15">
      <c r="A19" s="1218" t="s">
        <v>3187</v>
      </c>
      <c r="B19" s="1142"/>
      <c r="C19" s="4090"/>
      <c r="D19" s="4090"/>
      <c r="E19" s="4090"/>
      <c r="F19" s="4090"/>
      <c r="G19" s="4090"/>
      <c r="H19" s="4090"/>
      <c r="I19" s="4090"/>
      <c r="J19" s="4090"/>
      <c r="K19" s="4063"/>
      <c r="L19" s="4063"/>
      <c r="M19" s="4091"/>
      <c r="N19" s="1143"/>
      <c r="O19" s="1143"/>
      <c r="P19" s="1143"/>
      <c r="Q19" s="1143"/>
    </row>
    <row r="20" spans="1:17" ht="15">
      <c r="A20" s="1218" t="s">
        <v>3188</v>
      </c>
      <c r="B20" s="1142"/>
      <c r="C20" s="4090"/>
      <c r="D20" s="4090"/>
      <c r="E20" s="4090"/>
      <c r="F20" s="4090"/>
      <c r="G20" s="4090"/>
      <c r="H20" s="4090"/>
      <c r="I20" s="4090"/>
      <c r="J20" s="4090"/>
      <c r="K20" s="4063"/>
      <c r="L20" s="4063"/>
      <c r="M20" s="4091"/>
      <c r="N20" s="1143"/>
      <c r="O20" s="1143"/>
      <c r="P20" s="1143"/>
      <c r="Q20" s="1143"/>
    </row>
    <row r="21" spans="1:17" ht="15">
      <c r="A21" s="1218" t="s">
        <v>3189</v>
      </c>
      <c r="B21" s="1142"/>
      <c r="C21" s="4090"/>
      <c r="D21" s="4090"/>
      <c r="E21" s="4090"/>
      <c r="F21" s="4090"/>
      <c r="G21" s="4090"/>
      <c r="H21" s="4090"/>
      <c r="I21" s="4090"/>
      <c r="J21" s="4090"/>
      <c r="K21" s="4063"/>
      <c r="L21" s="4063"/>
      <c r="M21" s="4091"/>
      <c r="N21" s="1143"/>
      <c r="O21" s="1143"/>
      <c r="P21" s="1143"/>
      <c r="Q21" s="1143"/>
    </row>
    <row r="22" spans="1:17" ht="15.75" thickBot="1">
      <c r="A22" s="1219" t="s">
        <v>3190</v>
      </c>
      <c r="B22" s="1145"/>
      <c r="C22" s="4084"/>
      <c r="D22" s="4084"/>
      <c r="E22" s="4084"/>
      <c r="F22" s="4084"/>
      <c r="G22" s="4084"/>
      <c r="H22" s="4084"/>
      <c r="I22" s="4084"/>
      <c r="J22" s="4084"/>
      <c r="K22" s="4085"/>
      <c r="L22" s="4085"/>
      <c r="M22" s="4086"/>
      <c r="N22" s="1143"/>
      <c r="O22" s="1143"/>
      <c r="P22" s="1143"/>
      <c r="Q22" s="1143"/>
    </row>
    <row r="23" spans="1:17" ht="15">
      <c r="A23" s="1143"/>
      <c r="B23" s="1143"/>
      <c r="C23" s="1143"/>
      <c r="D23" s="1143"/>
      <c r="E23" s="1143"/>
      <c r="F23" s="1143"/>
      <c r="G23" s="1143"/>
      <c r="H23" s="1143"/>
      <c r="I23" s="1143"/>
      <c r="J23" s="1143"/>
      <c r="K23" s="1137"/>
      <c r="L23" s="1137"/>
      <c r="M23" s="1137"/>
      <c r="N23" s="1143"/>
      <c r="O23" s="1143"/>
      <c r="P23" s="1143"/>
      <c r="Q23" s="1143"/>
    </row>
    <row r="24" spans="1:17" ht="15">
      <c r="A24" s="1143"/>
      <c r="B24" s="1143"/>
      <c r="C24" s="1143"/>
      <c r="D24" s="1143"/>
      <c r="E24" s="1143"/>
      <c r="F24" s="1143"/>
      <c r="G24" s="1143"/>
      <c r="H24" s="1143"/>
      <c r="I24" s="1143"/>
      <c r="J24" s="1143"/>
      <c r="K24" s="1137"/>
      <c r="L24" s="1137"/>
      <c r="M24" s="1137"/>
      <c r="N24" s="1143"/>
      <c r="O24" s="1143"/>
      <c r="P24" s="1143"/>
      <c r="Q24" s="1143"/>
    </row>
    <row r="25" spans="1:17" ht="15">
      <c r="A25" s="1143"/>
      <c r="B25" s="1143"/>
      <c r="C25" s="1143"/>
      <c r="D25" s="1143"/>
      <c r="E25" s="1143"/>
      <c r="F25" s="1143"/>
      <c r="G25" s="1143"/>
      <c r="H25" s="1143"/>
      <c r="I25" s="1143"/>
      <c r="J25" s="1143"/>
      <c r="K25" s="1137"/>
      <c r="L25" s="1137"/>
      <c r="M25" s="1137"/>
      <c r="N25" s="1143"/>
      <c r="O25" s="1143"/>
      <c r="P25" s="1143"/>
      <c r="Q25" s="1143"/>
    </row>
    <row r="26" spans="1:17" ht="18">
      <c r="A26" s="4087" t="s">
        <v>3191</v>
      </c>
      <c r="B26" s="4088"/>
      <c r="C26" s="4088"/>
      <c r="D26" s="4088"/>
      <c r="E26" s="1224"/>
      <c r="F26" s="1143"/>
      <c r="G26" s="1143"/>
      <c r="H26" s="1143"/>
      <c r="I26" s="1143"/>
      <c r="J26" s="1137"/>
      <c r="K26" s="1137"/>
      <c r="L26" s="1137"/>
      <c r="M26" s="1137"/>
      <c r="N26" s="1143"/>
      <c r="O26" s="1143"/>
      <c r="P26" s="1143"/>
      <c r="Q26" s="1143"/>
    </row>
    <row r="27" spans="1:17" ht="18.75" thickBot="1">
      <c r="A27" s="1225"/>
      <c r="B27" s="1225"/>
      <c r="C27" s="1225"/>
      <c r="D27" s="1225"/>
      <c r="E27" s="1143"/>
      <c r="F27" s="1143"/>
      <c r="G27" s="1143"/>
      <c r="H27" s="1143"/>
      <c r="I27" s="1143"/>
      <c r="J27" s="1143"/>
      <c r="K27" s="1137"/>
      <c r="L27" s="1137"/>
      <c r="M27" s="1137"/>
      <c r="N27" s="1143"/>
      <c r="O27" s="1143"/>
      <c r="P27" s="1143"/>
      <c r="Q27" s="1143"/>
    </row>
    <row r="28" spans="1:17" ht="15">
      <c r="A28" s="1221" t="s">
        <v>3192</v>
      </c>
      <c r="B28" s="4089" t="s">
        <v>1812</v>
      </c>
      <c r="C28" s="4089"/>
      <c r="D28" s="4089"/>
      <c r="E28" s="1226"/>
      <c r="F28" s="1143"/>
      <c r="G28" s="1143"/>
      <c r="H28" s="1143"/>
      <c r="I28" s="1143"/>
      <c r="J28" s="1143"/>
      <c r="K28" s="1137"/>
      <c r="L28" s="1137"/>
      <c r="M28" s="1137"/>
      <c r="N28" s="1143"/>
      <c r="O28" s="1143"/>
      <c r="P28" s="1143"/>
      <c r="Q28" s="1143"/>
    </row>
    <row r="29" spans="1:17">
      <c r="A29" s="1131" t="s">
        <v>3193</v>
      </c>
      <c r="B29" s="1227" t="s">
        <v>3194</v>
      </c>
      <c r="C29" s="1227" t="s">
        <v>3195</v>
      </c>
      <c r="D29" s="1227" t="s">
        <v>3196</v>
      </c>
      <c r="E29" s="1228" t="s">
        <v>3197</v>
      </c>
      <c r="F29" s="1200"/>
      <c r="G29" s="1200"/>
      <c r="H29" s="1200"/>
      <c r="I29" s="1200"/>
      <c r="J29" s="1200"/>
      <c r="K29" s="1200"/>
      <c r="L29" s="1200"/>
      <c r="M29" s="1200"/>
      <c r="N29" s="1200"/>
      <c r="O29" s="1200"/>
      <c r="P29" s="1200"/>
      <c r="Q29" s="1200"/>
    </row>
    <row r="30" spans="1:17" ht="15">
      <c r="A30" s="1133"/>
      <c r="B30" s="1239"/>
      <c r="C30" s="1237"/>
      <c r="D30" s="1237"/>
      <c r="E30" s="1229"/>
      <c r="F30" s="1143"/>
      <c r="G30" s="1143"/>
      <c r="H30" s="1143"/>
      <c r="I30" s="1143"/>
      <c r="J30" s="1143"/>
      <c r="K30" s="1137"/>
      <c r="L30" s="1137"/>
      <c r="M30" s="1137"/>
      <c r="N30" s="1143"/>
      <c r="O30" s="1143"/>
      <c r="P30" s="1143"/>
      <c r="Q30" s="1143"/>
    </row>
    <row r="31" spans="1:17" ht="15">
      <c r="A31" s="1133"/>
      <c r="B31" s="1237"/>
      <c r="C31" s="1237"/>
      <c r="D31" s="1237"/>
      <c r="E31" s="1229"/>
      <c r="F31" s="1143"/>
      <c r="G31" s="1143"/>
      <c r="H31" s="1143"/>
      <c r="I31" s="1143"/>
      <c r="J31" s="1143"/>
      <c r="K31" s="1137"/>
      <c r="L31" s="1137"/>
      <c r="M31" s="1137"/>
      <c r="N31" s="1143"/>
      <c r="O31" s="1143"/>
      <c r="P31" s="1143"/>
      <c r="Q31" s="1143"/>
    </row>
    <row r="32" spans="1:17" ht="15">
      <c r="A32" s="1133"/>
      <c r="B32" s="1237"/>
      <c r="C32" s="1237"/>
      <c r="D32" s="1237"/>
      <c r="E32" s="1229"/>
      <c r="F32" s="1143"/>
      <c r="G32" s="1143"/>
      <c r="H32" s="1143"/>
      <c r="I32" s="1143"/>
      <c r="J32" s="1143"/>
      <c r="K32" s="1137"/>
      <c r="L32" s="1137"/>
      <c r="M32" s="1137"/>
      <c r="N32" s="1143"/>
      <c r="O32" s="1143"/>
      <c r="P32" s="1143"/>
      <c r="Q32" s="1143"/>
    </row>
    <row r="33" spans="1:17" ht="15">
      <c r="A33" s="1133"/>
      <c r="B33" s="1237"/>
      <c r="C33" s="1237"/>
      <c r="D33" s="1237"/>
      <c r="E33" s="1229"/>
      <c r="F33" s="1143"/>
      <c r="G33" s="1143"/>
      <c r="H33" s="1143"/>
      <c r="I33" s="1143"/>
      <c r="J33" s="1143"/>
      <c r="K33" s="1137"/>
      <c r="L33" s="1137"/>
      <c r="M33" s="1137"/>
      <c r="N33" s="1143"/>
      <c r="O33" s="1143"/>
      <c r="P33" s="1143"/>
      <c r="Q33" s="1143"/>
    </row>
    <row r="34" spans="1:17" ht="15">
      <c r="A34" s="1133"/>
      <c r="B34" s="1237"/>
      <c r="C34" s="1237"/>
      <c r="D34" s="1237"/>
      <c r="E34" s="1229"/>
      <c r="F34" s="1143"/>
      <c r="G34" s="1143"/>
      <c r="H34" s="1143"/>
      <c r="I34" s="1143"/>
      <c r="J34" s="1143"/>
      <c r="K34" s="1137"/>
      <c r="L34" s="1137"/>
      <c r="M34" s="1137"/>
      <c r="N34" s="1143"/>
      <c r="O34" s="1143"/>
      <c r="P34" s="1143"/>
      <c r="Q34" s="1143"/>
    </row>
    <row r="35" spans="1:17" ht="15">
      <c r="A35" s="1133"/>
      <c r="B35" s="1237"/>
      <c r="C35" s="1237"/>
      <c r="D35" s="1237"/>
      <c r="E35" s="1229"/>
      <c r="F35" s="1143"/>
      <c r="G35" s="1143"/>
      <c r="H35" s="1143"/>
      <c r="I35" s="1143"/>
      <c r="J35" s="1143"/>
      <c r="K35" s="1137"/>
      <c r="L35" s="1137"/>
      <c r="M35" s="1137"/>
      <c r="N35" s="1143"/>
      <c r="O35" s="1143"/>
      <c r="P35" s="1143"/>
      <c r="Q35" s="1143"/>
    </row>
    <row r="36" spans="1:17" ht="15.75" thickBot="1">
      <c r="A36" s="1230"/>
      <c r="B36" s="1238"/>
      <c r="C36" s="1238"/>
      <c r="D36" s="1238"/>
      <c r="E36" s="1231"/>
      <c r="F36" s="1143"/>
      <c r="G36" s="1143"/>
      <c r="H36" s="1143"/>
      <c r="I36" s="1143"/>
      <c r="J36" s="1143"/>
      <c r="K36" s="1137"/>
      <c r="L36" s="1137"/>
      <c r="M36" s="1137"/>
      <c r="N36" s="1143"/>
      <c r="O36" s="1143"/>
      <c r="P36" s="1143"/>
      <c r="Q36" s="1143"/>
    </row>
  </sheetData>
  <mergeCells count="35">
    <mergeCell ref="A7:J7"/>
    <mergeCell ref="B1:C1"/>
    <mergeCell ref="A3:C3"/>
    <mergeCell ref="D3:E3"/>
    <mergeCell ref="A4:C4"/>
    <mergeCell ref="D4:E4"/>
    <mergeCell ref="C8:J8"/>
    <mergeCell ref="K8:M8"/>
    <mergeCell ref="C9:J9"/>
    <mergeCell ref="K9:M9"/>
    <mergeCell ref="C10:J10"/>
    <mergeCell ref="K10:M10"/>
    <mergeCell ref="C18:J18"/>
    <mergeCell ref="K18:M18"/>
    <mergeCell ref="C12:J12"/>
    <mergeCell ref="K12:M12"/>
    <mergeCell ref="C13:J13"/>
    <mergeCell ref="K13:M13"/>
    <mergeCell ref="C14:J14"/>
    <mergeCell ref="K14:M14"/>
    <mergeCell ref="K15:M15"/>
    <mergeCell ref="C16:J16"/>
    <mergeCell ref="K16:M16"/>
    <mergeCell ref="C17:J17"/>
    <mergeCell ref="K17:M17"/>
    <mergeCell ref="C22:J22"/>
    <mergeCell ref="K22:M22"/>
    <mergeCell ref="A26:D26"/>
    <mergeCell ref="B28:D28"/>
    <mergeCell ref="C19:J19"/>
    <mergeCell ref="K19:M19"/>
    <mergeCell ref="C20:J20"/>
    <mergeCell ref="K20:M20"/>
    <mergeCell ref="C21:J21"/>
    <mergeCell ref="K21:M21"/>
  </mergeCells>
  <conditionalFormatting sqref="B1">
    <cfRule type="expression" dxfId="9" priority="1">
      <formula>$B$1="Undetermined"</formula>
    </cfRule>
    <cfRule type="expression" dxfId="8" priority="2">
      <formula>$B$1="Required"</formula>
    </cfRule>
  </conditionalFormatting>
  <dataValidations count="2">
    <dataValidation type="list" allowBlank="1" showInputMessage="1" showErrorMessage="1" sqref="B30:D36" xr:uid="{00000000-0002-0000-2400-000000000000}">
      <formula1>$A$17:$A$22</formula1>
    </dataValidation>
    <dataValidation type="list" allowBlank="1" showInputMessage="1" showErrorMessage="1" sqref="A30:A36 K9:M10 K13:M14 K17:M22" xr:uid="{00000000-0002-0000-2400-000001000000}">
      <formula1>"CTG, CICS, DB2, MQ, FTP, 3270,WAS/z"</formula1>
    </dataValidation>
  </dataValidation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8">
    <tabColor theme="6" tint="-0.499984740745262"/>
  </sheetPr>
  <dimension ref="A1:O21"/>
  <sheetViews>
    <sheetView showGridLines="0" workbookViewId="0"/>
  </sheetViews>
  <sheetFormatPr defaultColWidth="9.140625" defaultRowHeight="12.75"/>
  <cols>
    <col min="1" max="1" width="22.28515625" style="931" customWidth="1"/>
    <col min="2" max="14" width="9.140625" style="931"/>
    <col min="15" max="15" width="25.28515625" style="931" customWidth="1"/>
    <col min="16" max="16384" width="9.140625" style="931"/>
  </cols>
  <sheetData>
    <row r="1" spans="1:15" ht="25.5" customHeight="1" thickBot="1">
      <c r="A1" s="1125"/>
      <c r="B1" s="4043" t="str">
        <f>IF(MF_CICS="YES","REQUIRED",IF(MF_CICS="NO","This Tab is Not Required","Undetermined"))</f>
        <v>This Tab is Not Required</v>
      </c>
      <c r="C1" s="4044"/>
      <c r="D1" s="1147" t="str">
        <f>ProjDet_AppNameCol &amp;" - Mainframe OSSP"</f>
        <v>Linux Infrastructure Management - Mainframe OSSP</v>
      </c>
      <c r="E1" s="1147"/>
      <c r="F1" s="1147"/>
      <c r="G1" s="1126"/>
      <c r="H1" s="1126"/>
      <c r="I1" s="1126"/>
      <c r="J1" s="1126"/>
      <c r="K1" s="1127"/>
    </row>
    <row r="3" spans="1:15" ht="15">
      <c r="A3" s="4100" t="s">
        <v>3198</v>
      </c>
      <c r="B3" s="4100"/>
      <c r="C3" s="4100"/>
      <c r="D3" s="4107"/>
      <c r="E3" s="4107"/>
      <c r="F3" s="4107"/>
      <c r="G3" s="4107"/>
      <c r="H3" s="1143"/>
      <c r="I3" s="1143"/>
      <c r="J3" s="1143"/>
      <c r="K3" s="1143"/>
      <c r="L3" s="1143"/>
      <c r="M3" s="1143"/>
      <c r="N3" s="1143"/>
      <c r="O3" s="1143"/>
    </row>
    <row r="4" spans="1:15" ht="15">
      <c r="A4" s="4100" t="s">
        <v>3093</v>
      </c>
      <c r="B4" s="4100"/>
      <c r="C4" s="4100"/>
      <c r="D4" s="4108" t="s">
        <v>3174</v>
      </c>
      <c r="E4" s="4109"/>
      <c r="F4" s="4109"/>
      <c r="G4" s="4110"/>
      <c r="H4" s="1143"/>
      <c r="I4" s="1143"/>
      <c r="J4" s="1143"/>
      <c r="K4" s="1143"/>
      <c r="L4" s="1143"/>
      <c r="M4" s="1143"/>
      <c r="N4" s="1143"/>
      <c r="O4" s="1143"/>
    </row>
    <row r="5" spans="1:15" ht="15">
      <c r="A5" s="1232"/>
      <c r="B5" s="1233"/>
      <c r="C5" s="1143"/>
      <c r="D5" s="1143"/>
      <c r="E5" s="1143"/>
      <c r="F5" s="1143"/>
      <c r="G5" s="1143"/>
      <c r="H5" s="1143"/>
      <c r="I5" s="1143"/>
      <c r="J5" s="1143"/>
      <c r="K5" s="1143"/>
      <c r="L5" s="1143"/>
      <c r="M5" s="1143"/>
      <c r="N5" s="1143"/>
      <c r="O5" s="1143"/>
    </row>
    <row r="6" spans="1:15" ht="15.75" thickBot="1">
      <c r="A6" s="1158"/>
      <c r="B6" s="1158"/>
      <c r="C6" s="1158"/>
      <c r="D6" s="1158"/>
      <c r="E6" s="1158"/>
      <c r="F6" s="1158"/>
      <c r="G6" s="1158"/>
      <c r="H6" s="1158"/>
      <c r="I6" s="1158"/>
      <c r="J6" s="1158"/>
      <c r="K6" s="1158"/>
      <c r="L6" s="1158"/>
      <c r="M6" s="1158"/>
      <c r="N6" s="1158"/>
      <c r="O6" s="1143"/>
    </row>
    <row r="7" spans="1:15" ht="15" customHeight="1" thickBot="1">
      <c r="A7" s="4118" t="s">
        <v>3199</v>
      </c>
      <c r="B7" s="4111" t="s">
        <v>3200</v>
      </c>
      <c r="C7" s="4112"/>
      <c r="D7" s="4112"/>
      <c r="E7" s="4112"/>
      <c r="F7" s="4112"/>
      <c r="G7" s="4112"/>
      <c r="H7" s="4113" t="s">
        <v>3201</v>
      </c>
      <c r="I7" s="4114"/>
      <c r="J7" s="4114"/>
      <c r="K7" s="4114"/>
      <c r="L7" s="4114"/>
      <c r="M7" s="4115"/>
      <c r="N7" s="1330" t="s">
        <v>1812</v>
      </c>
      <c r="O7" s="1331" t="s">
        <v>3222</v>
      </c>
    </row>
    <row r="8" spans="1:15" ht="15">
      <c r="A8" s="4119"/>
      <c r="B8" s="4116"/>
      <c r="C8" s="4117"/>
      <c r="D8" s="4117"/>
      <c r="E8" s="4117"/>
      <c r="F8" s="4117"/>
      <c r="G8" s="4117"/>
      <c r="H8" s="4117"/>
      <c r="I8" s="4117"/>
      <c r="J8" s="4117"/>
      <c r="K8" s="4117"/>
      <c r="L8" s="4117"/>
      <c r="M8" s="4117"/>
      <c r="N8" s="1320"/>
      <c r="O8" s="1332"/>
    </row>
    <row r="9" spans="1:15" ht="15">
      <c r="A9" s="4119"/>
      <c r="B9" s="4106"/>
      <c r="C9" s="4090"/>
      <c r="D9" s="4090"/>
      <c r="E9" s="4090"/>
      <c r="F9" s="4090"/>
      <c r="G9" s="4090"/>
      <c r="H9" s="4090"/>
      <c r="I9" s="4090"/>
      <c r="J9" s="4090"/>
      <c r="K9" s="4090"/>
      <c r="L9" s="4090"/>
      <c r="M9" s="4090"/>
      <c r="N9" s="1138"/>
      <c r="O9" s="1139"/>
    </row>
    <row r="10" spans="1:15" ht="15">
      <c r="A10" s="4119"/>
      <c r="B10" s="4106"/>
      <c r="C10" s="4090"/>
      <c r="D10" s="4090"/>
      <c r="E10" s="4090"/>
      <c r="F10" s="4090"/>
      <c r="G10" s="4090"/>
      <c r="H10" s="4090"/>
      <c r="I10" s="4090"/>
      <c r="J10" s="4090"/>
      <c r="K10" s="4090"/>
      <c r="L10" s="4090"/>
      <c r="M10" s="4090"/>
      <c r="N10" s="1138"/>
      <c r="O10" s="1139"/>
    </row>
    <row r="11" spans="1:15" ht="15">
      <c r="A11" s="4119"/>
      <c r="B11" s="4106"/>
      <c r="C11" s="4090"/>
      <c r="D11" s="4090"/>
      <c r="E11" s="4090"/>
      <c r="F11" s="4090"/>
      <c r="G11" s="4090"/>
      <c r="H11" s="4090"/>
      <c r="I11" s="4090"/>
      <c r="J11" s="4090"/>
      <c r="K11" s="4090"/>
      <c r="L11" s="4090"/>
      <c r="M11" s="4090"/>
      <c r="N11" s="1138"/>
      <c r="O11" s="1139"/>
    </row>
    <row r="12" spans="1:15" ht="15">
      <c r="A12" s="1235"/>
      <c r="B12" s="4106"/>
      <c r="C12" s="4090"/>
      <c r="D12" s="4090"/>
      <c r="E12" s="4090"/>
      <c r="F12" s="4090"/>
      <c r="G12" s="4090"/>
      <c r="H12" s="4090"/>
      <c r="I12" s="4090"/>
      <c r="J12" s="4090"/>
      <c r="K12" s="4090"/>
      <c r="L12" s="4090"/>
      <c r="M12" s="4090"/>
      <c r="N12" s="1138"/>
      <c r="O12" s="1139"/>
    </row>
    <row r="13" spans="1:15" ht="15">
      <c r="A13" s="1235"/>
      <c r="B13" s="4106"/>
      <c r="C13" s="4090"/>
      <c r="D13" s="4090"/>
      <c r="E13" s="4090"/>
      <c r="F13" s="4090"/>
      <c r="G13" s="4090"/>
      <c r="H13" s="4090"/>
      <c r="I13" s="4090"/>
      <c r="J13" s="4090"/>
      <c r="K13" s="4090"/>
      <c r="L13" s="4090"/>
      <c r="M13" s="4090"/>
      <c r="N13" s="1138"/>
      <c r="O13" s="1139"/>
    </row>
    <row r="14" spans="1:15" ht="15">
      <c r="A14" s="1235"/>
      <c r="B14" s="4106"/>
      <c r="C14" s="4090"/>
      <c r="D14" s="4090"/>
      <c r="E14" s="4090"/>
      <c r="F14" s="4090"/>
      <c r="G14" s="4090"/>
      <c r="H14" s="4090"/>
      <c r="I14" s="4090"/>
      <c r="J14" s="4090"/>
      <c r="K14" s="4090"/>
      <c r="L14" s="4090"/>
      <c r="M14" s="4090"/>
      <c r="N14" s="1138"/>
      <c r="O14" s="1139"/>
    </row>
    <row r="15" spans="1:15" ht="15">
      <c r="A15" s="1235"/>
      <c r="B15" s="4106"/>
      <c r="C15" s="4090"/>
      <c r="D15" s="4090"/>
      <c r="E15" s="4090"/>
      <c r="F15" s="4090"/>
      <c r="G15" s="4090"/>
      <c r="H15" s="4090"/>
      <c r="I15" s="4090"/>
      <c r="J15" s="4090"/>
      <c r="K15" s="4090"/>
      <c r="L15" s="4090"/>
      <c r="M15" s="4090"/>
      <c r="N15" s="1138"/>
      <c r="O15" s="1139"/>
    </row>
    <row r="16" spans="1:15" ht="15">
      <c r="A16" s="1235"/>
      <c r="B16" s="4106"/>
      <c r="C16" s="4090"/>
      <c r="D16" s="4090"/>
      <c r="E16" s="4090"/>
      <c r="F16" s="4090"/>
      <c r="G16" s="4090"/>
      <c r="H16" s="4090"/>
      <c r="I16" s="4090"/>
      <c r="J16" s="4090"/>
      <c r="K16" s="4090"/>
      <c r="L16" s="4090"/>
      <c r="M16" s="4090"/>
      <c r="N16" s="1138"/>
      <c r="O16" s="1139"/>
    </row>
    <row r="17" spans="1:15" ht="15">
      <c r="A17" s="1235"/>
      <c r="B17" s="4106"/>
      <c r="C17" s="4090"/>
      <c r="D17" s="4090"/>
      <c r="E17" s="4090"/>
      <c r="F17" s="4090"/>
      <c r="G17" s="4090"/>
      <c r="H17" s="4090"/>
      <c r="I17" s="4090"/>
      <c r="J17" s="4090"/>
      <c r="K17" s="4090"/>
      <c r="L17" s="4090"/>
      <c r="M17" s="4090"/>
      <c r="N17" s="1138"/>
      <c r="O17" s="1139"/>
    </row>
    <row r="18" spans="1:15" ht="15">
      <c r="A18" s="1235"/>
      <c r="B18" s="4106"/>
      <c r="C18" s="4090"/>
      <c r="D18" s="4090"/>
      <c r="E18" s="4090"/>
      <c r="F18" s="4090"/>
      <c r="G18" s="4090"/>
      <c r="H18" s="4090"/>
      <c r="I18" s="4090"/>
      <c r="J18" s="4090"/>
      <c r="K18" s="4090"/>
      <c r="L18" s="4090"/>
      <c r="M18" s="4090"/>
      <c r="N18" s="1138"/>
      <c r="O18" s="1139"/>
    </row>
    <row r="19" spans="1:15" ht="15">
      <c r="A19" s="1235"/>
      <c r="B19" s="4106"/>
      <c r="C19" s="4090"/>
      <c r="D19" s="4090"/>
      <c r="E19" s="4090"/>
      <c r="F19" s="4090"/>
      <c r="G19" s="4090"/>
      <c r="H19" s="4090"/>
      <c r="I19" s="4090"/>
      <c r="J19" s="4090"/>
      <c r="K19" s="4090"/>
      <c r="L19" s="4090"/>
      <c r="M19" s="4090"/>
      <c r="N19" s="1138"/>
      <c r="O19" s="1139"/>
    </row>
    <row r="20" spans="1:15" ht="15">
      <c r="A20" s="1235"/>
      <c r="B20" s="4106"/>
      <c r="C20" s="4090"/>
      <c r="D20" s="4090"/>
      <c r="E20" s="4090"/>
      <c r="F20" s="4090"/>
      <c r="G20" s="4090"/>
      <c r="H20" s="4090"/>
      <c r="I20" s="4090"/>
      <c r="J20" s="4090"/>
      <c r="K20" s="4090"/>
      <c r="L20" s="4090"/>
      <c r="M20" s="4090"/>
      <c r="N20" s="1138"/>
      <c r="O20" s="1139"/>
    </row>
    <row r="21" spans="1:15" ht="15.75" thickBot="1">
      <c r="A21" s="1236"/>
      <c r="B21" s="4104" t="s">
        <v>3202</v>
      </c>
      <c r="C21" s="4105"/>
      <c r="D21" s="4105"/>
      <c r="E21" s="4105"/>
      <c r="F21" s="4105"/>
      <c r="G21" s="4105"/>
      <c r="H21" s="4105"/>
      <c r="I21" s="4105"/>
      <c r="J21" s="4105"/>
      <c r="K21" s="4105"/>
      <c r="L21" s="4105"/>
      <c r="M21" s="4105"/>
      <c r="N21" s="1209"/>
      <c r="O21" s="1141"/>
    </row>
  </sheetData>
  <mergeCells count="35">
    <mergeCell ref="B10:G10"/>
    <mergeCell ref="H10:M10"/>
    <mergeCell ref="B1:C1"/>
    <mergeCell ref="A3:C3"/>
    <mergeCell ref="D3:G3"/>
    <mergeCell ref="A4:C4"/>
    <mergeCell ref="D4:G4"/>
    <mergeCell ref="B7:G7"/>
    <mergeCell ref="H7:M7"/>
    <mergeCell ref="B8:G8"/>
    <mergeCell ref="H8:M8"/>
    <mergeCell ref="B9:G9"/>
    <mergeCell ref="H9:M9"/>
    <mergeCell ref="A7:A11"/>
    <mergeCell ref="B11:G11"/>
    <mergeCell ref="H11:M11"/>
    <mergeCell ref="B12:G12"/>
    <mergeCell ref="H12:M12"/>
    <mergeCell ref="B13:G13"/>
    <mergeCell ref="H13:M13"/>
    <mergeCell ref="B14:G14"/>
    <mergeCell ref="H14:M14"/>
    <mergeCell ref="B15:G15"/>
    <mergeCell ref="H15:M15"/>
    <mergeCell ref="B16:G16"/>
    <mergeCell ref="H16:M16"/>
    <mergeCell ref="B20:G20"/>
    <mergeCell ref="H20:M20"/>
    <mergeCell ref="B21:M21"/>
    <mergeCell ref="B17:G17"/>
    <mergeCell ref="H17:M17"/>
    <mergeCell ref="B18:G18"/>
    <mergeCell ref="H18:M18"/>
    <mergeCell ref="B19:G19"/>
    <mergeCell ref="H19:M19"/>
  </mergeCells>
  <conditionalFormatting sqref="B1">
    <cfRule type="expression" dxfId="7" priority="1">
      <formula>$B$1="Undetermined"</formula>
    </cfRule>
    <cfRule type="expression" dxfId="6" priority="2">
      <formula>$B$1="Required"</formula>
    </cfRule>
  </conditionalFormatting>
  <dataValidations count="1">
    <dataValidation type="list" allowBlank="1" showInputMessage="1" showErrorMessage="1" sqref="O8:O21" xr:uid="{00000000-0002-0000-2500-000000000000}">
      <formula1>"Yes, No"</formula1>
    </dataValidation>
  </dataValidations>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2">
    <tabColor rgb="FF00B0F0"/>
  </sheetPr>
  <dimension ref="A1:F479"/>
  <sheetViews>
    <sheetView showGridLines="0" zoomScaleNormal="100" workbookViewId="0">
      <selection activeCell="D4" sqref="D4"/>
    </sheetView>
  </sheetViews>
  <sheetFormatPr defaultRowHeight="12.75"/>
  <cols>
    <col min="1" max="1" width="11" style="91" customWidth="1"/>
    <col min="2" max="2" width="4.85546875" style="119" bestFit="1" customWidth="1"/>
    <col min="3" max="3" width="8.28515625" style="353" customWidth="1"/>
    <col min="4" max="4" width="138" customWidth="1"/>
    <col min="5" max="5" width="35.28515625" bestFit="1" customWidth="1"/>
    <col min="6" max="6" width="20.85546875" customWidth="1"/>
  </cols>
  <sheetData>
    <row r="1" spans="1:6" ht="40.5" customHeight="1">
      <c r="A1" s="801"/>
      <c r="B1" s="802"/>
      <c r="C1" s="1566" t="str">
        <f ca="1">version_main_number&amp;"."&amp;OFFSET(version_number,3,0)</f>
        <v>R20.0.12</v>
      </c>
      <c r="D1" s="800" t="s">
        <v>642</v>
      </c>
      <c r="E1" s="1475" t="s">
        <v>3293</v>
      </c>
      <c r="F1" s="516" t="s">
        <v>4236</v>
      </c>
    </row>
    <row r="2" spans="1:6" s="931" customFormat="1" ht="33.75" customHeight="1">
      <c r="A2" s="1842"/>
      <c r="B2" s="1842"/>
      <c r="C2" s="1848" t="s">
        <v>5185</v>
      </c>
      <c r="D2" s="1849" t="s">
        <v>2337</v>
      </c>
      <c r="E2" s="560"/>
      <c r="F2" s="516"/>
    </row>
    <row r="3" spans="1:6" s="931" customFormat="1" ht="12.75" customHeight="1">
      <c r="A3" s="2573"/>
      <c r="B3" s="2573"/>
      <c r="C3" s="2574"/>
      <c r="D3" s="1845"/>
      <c r="E3" s="2452"/>
      <c r="F3" s="2453"/>
    </row>
    <row r="4" spans="1:6" s="931" customFormat="1" ht="114.75">
      <c r="A4" s="2573"/>
      <c r="B4" s="3120" t="s">
        <v>5225</v>
      </c>
      <c r="C4" s="2574">
        <v>12</v>
      </c>
      <c r="D4" s="2003" t="s">
        <v>5581</v>
      </c>
      <c r="E4" s="2452"/>
      <c r="F4" s="2453"/>
    </row>
    <row r="5" spans="1:6" s="931" customFormat="1" ht="63.75">
      <c r="A5" s="2573"/>
      <c r="B5" s="2573" t="s">
        <v>2738</v>
      </c>
      <c r="C5" s="2574">
        <v>11</v>
      </c>
      <c r="D5" s="2003" t="s">
        <v>5529</v>
      </c>
      <c r="E5" s="2452"/>
      <c r="F5" s="2453"/>
    </row>
    <row r="6" spans="1:6" s="931" customFormat="1" ht="89.25">
      <c r="A6" s="2573"/>
      <c r="B6" s="3120" t="s">
        <v>5225</v>
      </c>
      <c r="C6" s="2574">
        <v>10</v>
      </c>
      <c r="D6" s="2003" t="s">
        <v>5524</v>
      </c>
      <c r="E6" s="2452"/>
      <c r="F6" s="2453"/>
    </row>
    <row r="7" spans="1:6" s="931" customFormat="1" ht="51">
      <c r="A7" s="2573"/>
      <c r="B7" s="3120" t="s">
        <v>5225</v>
      </c>
      <c r="C7" s="2574">
        <v>9</v>
      </c>
      <c r="D7" s="2003" t="s">
        <v>5484</v>
      </c>
      <c r="E7" s="2452"/>
      <c r="F7" s="2453"/>
    </row>
    <row r="8" spans="1:6" s="931" customFormat="1" ht="127.5">
      <c r="A8" s="2573"/>
      <c r="B8" s="3120" t="s">
        <v>5225</v>
      </c>
      <c r="C8" s="2574">
        <v>8</v>
      </c>
      <c r="D8" s="3210" t="s">
        <v>5478</v>
      </c>
      <c r="E8" s="2452"/>
      <c r="F8" s="2453"/>
    </row>
    <row r="9" spans="1:6" s="931" customFormat="1" ht="25.5">
      <c r="A9" s="2573"/>
      <c r="B9" s="3120" t="s">
        <v>5225</v>
      </c>
      <c r="C9" s="2574">
        <v>7</v>
      </c>
      <c r="D9" s="2003" t="s">
        <v>5425</v>
      </c>
      <c r="E9" s="2452"/>
      <c r="F9" s="2453"/>
    </row>
    <row r="10" spans="1:6" s="931" customFormat="1" ht="64.5" customHeight="1">
      <c r="A10" s="2573"/>
      <c r="B10" s="3120" t="s">
        <v>5225</v>
      </c>
      <c r="C10" s="2574">
        <v>6</v>
      </c>
      <c r="D10" s="2003" t="s">
        <v>5421</v>
      </c>
      <c r="E10" s="2452"/>
      <c r="F10" s="2453"/>
    </row>
    <row r="11" spans="1:6" s="931" customFormat="1" ht="102">
      <c r="A11" s="2573"/>
      <c r="B11" s="3120" t="s">
        <v>5225</v>
      </c>
      <c r="C11" s="2574">
        <v>5</v>
      </c>
      <c r="D11" s="2003" t="s">
        <v>5354</v>
      </c>
      <c r="E11" s="2452"/>
      <c r="F11" s="2453"/>
    </row>
    <row r="12" spans="1:6" s="931" customFormat="1" ht="102">
      <c r="A12" s="2573"/>
      <c r="B12" s="3120" t="s">
        <v>5225</v>
      </c>
      <c r="C12" s="2574">
        <v>4</v>
      </c>
      <c r="D12" s="2003" t="s">
        <v>5326</v>
      </c>
      <c r="E12" s="2452"/>
      <c r="F12" s="2453"/>
    </row>
    <row r="13" spans="1:6" s="931" customFormat="1" ht="137.25" customHeight="1">
      <c r="A13" s="2573"/>
      <c r="B13" s="3120" t="s">
        <v>5225</v>
      </c>
      <c r="C13" s="2574">
        <v>3</v>
      </c>
      <c r="D13" s="2003" t="s">
        <v>5319</v>
      </c>
      <c r="E13" s="2452"/>
      <c r="F13" s="2453"/>
    </row>
    <row r="14" spans="1:6" s="931" customFormat="1" ht="134.25" customHeight="1">
      <c r="A14" s="2573"/>
      <c r="B14" s="3120" t="s">
        <v>5225</v>
      </c>
      <c r="C14" s="2574">
        <v>2</v>
      </c>
      <c r="D14" s="2003" t="s">
        <v>5258</v>
      </c>
      <c r="E14" s="2452"/>
      <c r="F14" s="2453"/>
    </row>
    <row r="15" spans="1:6" s="931" customFormat="1" ht="63.75">
      <c r="A15" s="2573"/>
      <c r="B15" s="3120" t="s">
        <v>5225</v>
      </c>
      <c r="C15" s="2574">
        <v>1</v>
      </c>
      <c r="D15" s="2003" t="s">
        <v>5224</v>
      </c>
      <c r="E15" s="2452"/>
      <c r="F15" s="2453"/>
    </row>
    <row r="16" spans="1:6" s="931" customFormat="1" ht="114.75">
      <c r="A16" s="2573"/>
      <c r="B16" s="2573"/>
      <c r="C16" s="2574">
        <v>13</v>
      </c>
      <c r="D16" s="2003" t="s">
        <v>5186</v>
      </c>
      <c r="E16" s="2452"/>
      <c r="F16" s="2453"/>
    </row>
    <row r="17" spans="1:6" s="931" customFormat="1" ht="236.25" customHeight="1">
      <c r="A17" s="2573"/>
      <c r="B17" s="2573" t="s">
        <v>2738</v>
      </c>
      <c r="C17" s="2574">
        <v>12</v>
      </c>
      <c r="D17" s="2003" t="s">
        <v>5365</v>
      </c>
      <c r="E17" s="2452"/>
      <c r="F17" s="2453"/>
    </row>
    <row r="18" spans="1:6" s="931" customFormat="1" ht="185.25" customHeight="1">
      <c r="A18" s="2572">
        <v>43738</v>
      </c>
      <c r="B18" s="2573" t="s">
        <v>2738</v>
      </c>
      <c r="C18" s="2574">
        <v>11</v>
      </c>
      <c r="D18" s="2003" t="s">
        <v>5105</v>
      </c>
      <c r="E18" s="2452"/>
      <c r="F18" s="2453"/>
    </row>
    <row r="19" spans="1:6" s="931" customFormat="1" ht="127.5">
      <c r="A19" s="2573"/>
      <c r="B19" s="2573" t="s">
        <v>2738</v>
      </c>
      <c r="C19" s="2574">
        <v>10</v>
      </c>
      <c r="D19" s="2003" t="s">
        <v>4631</v>
      </c>
      <c r="E19" s="2452"/>
      <c r="F19" s="2453"/>
    </row>
    <row r="20" spans="1:6" s="931" customFormat="1" ht="156">
      <c r="A20" s="2572">
        <v>43614</v>
      </c>
      <c r="B20" s="2573" t="s">
        <v>2738</v>
      </c>
      <c r="C20" s="2574">
        <v>9</v>
      </c>
      <c r="D20" s="2837" t="s">
        <v>5366</v>
      </c>
      <c r="E20" s="2452"/>
      <c r="F20" s="2453"/>
    </row>
    <row r="21" spans="1:6" s="931" customFormat="1" ht="252">
      <c r="A21" s="2572">
        <v>43578</v>
      </c>
      <c r="B21" s="2838" t="s">
        <v>2738</v>
      </c>
      <c r="C21" s="2839">
        <v>8</v>
      </c>
      <c r="D21" s="2837" t="s">
        <v>5367</v>
      </c>
      <c r="E21" s="2452"/>
      <c r="F21" s="2453"/>
    </row>
    <row r="22" spans="1:6" s="931" customFormat="1" ht="33.75" customHeight="1">
      <c r="A22" s="2572">
        <v>43569</v>
      </c>
      <c r="B22" s="2838" t="s">
        <v>2738</v>
      </c>
      <c r="C22" s="2839">
        <v>7</v>
      </c>
      <c r="D22" s="2837" t="s">
        <v>5368</v>
      </c>
      <c r="E22" s="2452"/>
      <c r="F22" s="2453"/>
    </row>
    <row r="23" spans="1:6" s="931" customFormat="1" ht="120">
      <c r="A23" s="2572">
        <v>43553</v>
      </c>
      <c r="B23" s="2838" t="s">
        <v>2738</v>
      </c>
      <c r="C23" s="2839">
        <v>6</v>
      </c>
      <c r="D23" s="2837" t="s">
        <v>4438</v>
      </c>
      <c r="E23" s="2452"/>
      <c r="F23" s="2453"/>
    </row>
    <row r="24" spans="1:6" s="931" customFormat="1" ht="140.25" customHeight="1">
      <c r="A24" s="2572">
        <v>43481</v>
      </c>
      <c r="B24" s="2573"/>
      <c r="C24" s="2574">
        <v>5</v>
      </c>
      <c r="D24" s="2003" t="s">
        <v>5369</v>
      </c>
      <c r="E24" s="2452"/>
      <c r="F24" s="2453"/>
    </row>
    <row r="25" spans="1:6" s="931" customFormat="1" ht="12.75" customHeight="1">
      <c r="A25" s="2572">
        <v>43479</v>
      </c>
      <c r="B25" s="2573"/>
      <c r="C25" s="2574">
        <v>4</v>
      </c>
      <c r="D25" s="2634" t="s">
        <v>4278</v>
      </c>
      <c r="E25" s="2452"/>
      <c r="F25" s="2453"/>
    </row>
    <row r="26" spans="1:6" s="931" customFormat="1" ht="45" customHeight="1">
      <c r="A26" s="2572">
        <v>43474</v>
      </c>
      <c r="B26" s="2573"/>
      <c r="C26" s="2574">
        <v>3</v>
      </c>
      <c r="D26" s="2003" t="s">
        <v>4272</v>
      </c>
      <c r="E26" s="2452"/>
      <c r="F26" s="2453"/>
    </row>
    <row r="27" spans="1:6" s="931" customFormat="1" ht="12.75" customHeight="1">
      <c r="A27" s="2572">
        <v>43469</v>
      </c>
      <c r="B27" s="2573"/>
      <c r="C27" s="2574">
        <v>2</v>
      </c>
      <c r="D27" s="2634" t="s">
        <v>4265</v>
      </c>
      <c r="E27" s="2452"/>
      <c r="F27" s="2453"/>
    </row>
    <row r="28" spans="1:6" s="931" customFormat="1" ht="127.5">
      <c r="A28" s="2572">
        <v>43468</v>
      </c>
      <c r="B28" s="2573"/>
      <c r="C28" s="2574">
        <v>1</v>
      </c>
      <c r="D28" s="2003" t="s">
        <v>4257</v>
      </c>
      <c r="E28" s="2452"/>
      <c r="F28" s="2453"/>
    </row>
    <row r="29" spans="1:6" s="931" customFormat="1">
      <c r="A29" s="2572"/>
      <c r="B29" s="2573"/>
      <c r="C29" s="2574"/>
      <c r="D29" s="2003"/>
      <c r="E29" s="2452"/>
      <c r="F29" s="2453"/>
    </row>
    <row r="30" spans="1:6" s="931" customFormat="1" ht="18">
      <c r="A30" s="1842"/>
      <c r="B30" s="1842"/>
      <c r="C30" s="1848" t="s">
        <v>4273</v>
      </c>
      <c r="D30" s="1849" t="s">
        <v>2337</v>
      </c>
      <c r="E30" s="560"/>
      <c r="F30" s="516"/>
    </row>
    <row r="31" spans="1:6" s="931" customFormat="1" ht="89.25">
      <c r="A31" s="2572">
        <v>43406</v>
      </c>
      <c r="B31" s="2573" t="s">
        <v>2738</v>
      </c>
      <c r="C31" s="2574">
        <v>11</v>
      </c>
      <c r="D31" s="2003" t="s">
        <v>4237</v>
      </c>
      <c r="E31" s="2452"/>
      <c r="F31" s="2453"/>
    </row>
    <row r="32" spans="1:6" s="931" customFormat="1" ht="25.5">
      <c r="A32" s="2572">
        <v>43396</v>
      </c>
      <c r="B32" s="2573" t="s">
        <v>2738</v>
      </c>
      <c r="C32" s="2574">
        <v>10</v>
      </c>
      <c r="D32" s="2003" t="s">
        <v>4232</v>
      </c>
      <c r="E32" s="2452"/>
      <c r="F32" s="2453"/>
    </row>
    <row r="33" spans="1:6" s="931" customFormat="1" ht="51">
      <c r="A33" s="2572">
        <v>43368</v>
      </c>
      <c r="B33" s="2573" t="s">
        <v>2738</v>
      </c>
      <c r="C33" s="2574">
        <v>9</v>
      </c>
      <c r="D33" s="2003" t="s">
        <v>4207</v>
      </c>
      <c r="E33" s="2452"/>
      <c r="F33" s="2453"/>
    </row>
    <row r="34" spans="1:6" s="931" customFormat="1" ht="51">
      <c r="A34" s="2572">
        <v>43311</v>
      </c>
      <c r="B34" s="2573" t="s">
        <v>2738</v>
      </c>
      <c r="C34" s="2574">
        <v>8</v>
      </c>
      <c r="D34" s="2003" t="s">
        <v>4162</v>
      </c>
      <c r="E34" s="2452"/>
      <c r="F34" s="2453"/>
    </row>
    <row r="35" spans="1:6" s="931" customFormat="1" ht="102">
      <c r="A35" s="2572">
        <v>43304</v>
      </c>
      <c r="B35" s="2573" t="s">
        <v>2738</v>
      </c>
      <c r="C35" s="2574">
        <v>7</v>
      </c>
      <c r="D35" s="2003" t="s">
        <v>4148</v>
      </c>
      <c r="E35" s="2452"/>
      <c r="F35" s="2453"/>
    </row>
    <row r="36" spans="1:6" s="931" customFormat="1" ht="114.75">
      <c r="A36" s="2572">
        <v>43220</v>
      </c>
      <c r="B36" s="2573" t="s">
        <v>2738</v>
      </c>
      <c r="C36" s="2574">
        <v>6</v>
      </c>
      <c r="D36" s="2003" t="s">
        <v>4134</v>
      </c>
      <c r="E36" s="2452"/>
      <c r="F36" s="2453"/>
    </row>
    <row r="37" spans="1:6" s="931" customFormat="1" ht="12.75" customHeight="1">
      <c r="A37" s="2572">
        <v>43187</v>
      </c>
      <c r="B37" s="2573" t="s">
        <v>1005</v>
      </c>
      <c r="C37" s="2574">
        <v>5</v>
      </c>
      <c r="D37" s="1845" t="s">
        <v>4097</v>
      </c>
      <c r="E37" s="2452"/>
      <c r="F37" s="2453"/>
    </row>
    <row r="38" spans="1:6" s="931" customFormat="1" ht="89.25">
      <c r="A38" s="1838">
        <v>43159</v>
      </c>
      <c r="B38" s="1838" t="s">
        <v>2738</v>
      </c>
      <c r="C38" s="2574">
        <v>4</v>
      </c>
      <c r="D38" s="2003" t="s">
        <v>4095</v>
      </c>
      <c r="E38" s="2452"/>
      <c r="F38" s="2453"/>
    </row>
    <row r="39" spans="1:6" s="931" customFormat="1" ht="12.75" customHeight="1">
      <c r="A39" s="1838">
        <v>43147</v>
      </c>
      <c r="B39" s="1838" t="s">
        <v>1005</v>
      </c>
      <c r="C39" s="2574">
        <v>3</v>
      </c>
      <c r="D39" s="1845" t="s">
        <v>4092</v>
      </c>
      <c r="E39" s="2452"/>
      <c r="F39" s="2453"/>
    </row>
    <row r="40" spans="1:6" s="931" customFormat="1" ht="38.25">
      <c r="A40" s="1838">
        <v>43034</v>
      </c>
      <c r="B40" s="1838" t="s">
        <v>2738</v>
      </c>
      <c r="C40" s="2574">
        <v>2</v>
      </c>
      <c r="D40" s="1844" t="s">
        <v>3926</v>
      </c>
      <c r="E40" s="2452"/>
      <c r="F40" s="2453"/>
    </row>
    <row r="41" spans="1:6" s="931" customFormat="1" ht="33.75" customHeight="1">
      <c r="A41" s="1838">
        <v>43038</v>
      </c>
      <c r="B41" s="1838" t="s">
        <v>1005</v>
      </c>
      <c r="C41" s="2481">
        <v>1</v>
      </c>
      <c r="D41" s="2451" t="s">
        <v>3917</v>
      </c>
      <c r="E41" s="1475"/>
      <c r="F41" s="516"/>
    </row>
    <row r="42" spans="1:6" s="931" customFormat="1" ht="13.5" customHeight="1">
      <c r="A42" s="1838"/>
      <c r="B42" s="1838"/>
      <c r="C42" s="2451"/>
      <c r="D42" s="2451"/>
      <c r="E42" s="1475"/>
      <c r="F42" s="516"/>
    </row>
    <row r="43" spans="1:6" s="931" customFormat="1" ht="18">
      <c r="A43" s="1842"/>
      <c r="B43" s="1842"/>
      <c r="C43" s="1848" t="s">
        <v>3543</v>
      </c>
      <c r="D43" s="1849" t="s">
        <v>2337</v>
      </c>
      <c r="E43" s="560"/>
      <c r="F43" s="516"/>
    </row>
    <row r="44" spans="1:6" s="931" customFormat="1" ht="63.75">
      <c r="A44" s="1838"/>
      <c r="B44" s="1839" t="s">
        <v>1005</v>
      </c>
      <c r="C44" s="2268">
        <v>16</v>
      </c>
      <c r="D44" s="2377" t="s">
        <v>3901</v>
      </c>
      <c r="E44" s="2004"/>
      <c r="F44" s="516"/>
    </row>
    <row r="45" spans="1:6" s="931" customFormat="1" ht="102">
      <c r="A45" s="1838">
        <v>42859</v>
      </c>
      <c r="B45" s="1839" t="s">
        <v>1005</v>
      </c>
      <c r="C45" s="2268">
        <v>15</v>
      </c>
      <c r="D45" s="2336" t="s">
        <v>3843</v>
      </c>
      <c r="E45" s="2004"/>
      <c r="F45" s="516"/>
    </row>
    <row r="46" spans="1:6" s="931" customFormat="1" ht="63.75">
      <c r="A46" s="1838">
        <v>42816</v>
      </c>
      <c r="B46" s="1839" t="s">
        <v>1005</v>
      </c>
      <c r="C46" s="2268">
        <v>14</v>
      </c>
      <c r="D46" s="2301" t="s">
        <v>3815</v>
      </c>
      <c r="E46" s="2004"/>
      <c r="F46" s="516"/>
    </row>
    <row r="47" spans="1:6" s="931" customFormat="1" ht="76.5">
      <c r="A47" s="1838">
        <v>42804</v>
      </c>
      <c r="B47" s="1839" t="s">
        <v>2738</v>
      </c>
      <c r="C47" s="2268">
        <v>13</v>
      </c>
      <c r="D47" s="1856" t="s">
        <v>3760</v>
      </c>
      <c r="E47" s="2004"/>
      <c r="F47" s="516"/>
    </row>
    <row r="48" spans="1:6" s="931" customFormat="1" ht="140.25">
      <c r="A48" s="1838">
        <v>42647</v>
      </c>
      <c r="B48" s="1839" t="s">
        <v>1005</v>
      </c>
      <c r="C48" s="2268">
        <v>12</v>
      </c>
      <c r="D48" s="2297" t="s">
        <v>3743</v>
      </c>
      <c r="E48" s="2269"/>
      <c r="F48" s="516"/>
    </row>
    <row r="49" spans="1:6" s="931" customFormat="1" ht="25.5">
      <c r="A49" s="1838">
        <v>42613</v>
      </c>
      <c r="B49" s="1841" t="s">
        <v>3684</v>
      </c>
      <c r="C49" s="2268">
        <v>11</v>
      </c>
      <c r="D49" s="2263" t="s">
        <v>3703</v>
      </c>
      <c r="E49" s="2263"/>
      <c r="F49" s="516"/>
    </row>
    <row r="50" spans="1:6" s="931" customFormat="1" ht="38.25">
      <c r="A50" s="2265">
        <v>42597</v>
      </c>
      <c r="B50" s="2266" t="s">
        <v>1005</v>
      </c>
      <c r="C50" s="2267">
        <v>10</v>
      </c>
      <c r="D50" s="458" t="s">
        <v>3702</v>
      </c>
      <c r="E50" s="2004"/>
      <c r="F50" s="516"/>
    </row>
    <row r="51" spans="1:6" s="931" customFormat="1" ht="63.75">
      <c r="A51" s="1838">
        <v>42558</v>
      </c>
      <c r="B51" s="1841" t="s">
        <v>1005</v>
      </c>
      <c r="C51" s="1840">
        <v>9</v>
      </c>
      <c r="D51" s="2251" t="s">
        <v>3693</v>
      </c>
      <c r="E51" s="1845"/>
      <c r="F51" s="516"/>
    </row>
    <row r="52" spans="1:6" s="931" customFormat="1" ht="140.25">
      <c r="A52" s="1838">
        <v>42516</v>
      </c>
      <c r="B52" s="1841" t="s">
        <v>3684</v>
      </c>
      <c r="C52" s="1840">
        <v>8</v>
      </c>
      <c r="D52" s="2003" t="s">
        <v>3689</v>
      </c>
      <c r="E52" s="1845"/>
      <c r="F52" s="516"/>
    </row>
    <row r="53" spans="1:6" s="931" customFormat="1" ht="140.25">
      <c r="A53" s="1838">
        <v>42481</v>
      </c>
      <c r="B53" s="1839" t="s">
        <v>1005</v>
      </c>
      <c r="C53" s="1840">
        <v>7</v>
      </c>
      <c r="D53" s="2003" t="s">
        <v>3651</v>
      </c>
      <c r="E53" s="1845"/>
      <c r="F53" s="516"/>
    </row>
    <row r="54" spans="1:6" s="931" customFormat="1" ht="127.5">
      <c r="A54" s="1838">
        <v>42461</v>
      </c>
      <c r="B54" s="1839" t="s">
        <v>2738</v>
      </c>
      <c r="C54" s="1840">
        <v>6</v>
      </c>
      <c r="D54" s="2003" t="s">
        <v>3643</v>
      </c>
      <c r="E54" s="1845"/>
      <c r="F54" s="1565"/>
    </row>
    <row r="55" spans="1:6" s="931" customFormat="1" ht="102">
      <c r="A55" s="1838">
        <v>42412</v>
      </c>
      <c r="B55" s="1839" t="s">
        <v>1005</v>
      </c>
      <c r="C55" s="1840">
        <v>5</v>
      </c>
      <c r="D55" s="1844" t="s">
        <v>3618</v>
      </c>
      <c r="E55" s="1845"/>
      <c r="F55" s="516"/>
    </row>
    <row r="56" spans="1:6" s="931" customFormat="1" ht="63.75">
      <c r="A56" s="1838">
        <v>42398</v>
      </c>
      <c r="B56" s="1839" t="s">
        <v>1005</v>
      </c>
      <c r="C56" s="1840">
        <v>4</v>
      </c>
      <c r="D56" s="1841" t="s">
        <v>3587</v>
      </c>
      <c r="E56" s="1842"/>
      <c r="F56" s="516"/>
    </row>
    <row r="57" spans="1:6" s="931" customFormat="1" ht="76.5">
      <c r="A57" s="1838">
        <v>42389</v>
      </c>
      <c r="B57" s="1839" t="s">
        <v>1005</v>
      </c>
      <c r="C57" s="1843">
        <v>3</v>
      </c>
      <c r="D57" s="1844" t="s">
        <v>3553</v>
      </c>
      <c r="E57" s="1845"/>
      <c r="F57" s="516"/>
    </row>
    <row r="58" spans="1:6" s="931" customFormat="1" ht="38.25">
      <c r="A58" s="1838">
        <v>42384</v>
      </c>
      <c r="B58" s="1839" t="s">
        <v>1005</v>
      </c>
      <c r="C58" s="1843">
        <v>2</v>
      </c>
      <c r="D58" s="1844" t="s">
        <v>3550</v>
      </c>
      <c r="E58" s="1845"/>
      <c r="F58" s="516"/>
    </row>
    <row r="59" spans="1:6" s="931" customFormat="1" ht="51">
      <c r="A59" s="1838">
        <v>42377</v>
      </c>
      <c r="B59" s="1839" t="s">
        <v>1005</v>
      </c>
      <c r="C59" s="1840">
        <v>1</v>
      </c>
      <c r="D59" s="1846" t="s">
        <v>3547</v>
      </c>
      <c r="E59" s="1847"/>
      <c r="F59" s="516"/>
    </row>
    <row r="60" spans="1:6" s="931" customFormat="1" ht="18">
      <c r="A60" s="1842"/>
      <c r="B60" s="1842"/>
      <c r="C60" s="1848" t="s">
        <v>3517</v>
      </c>
      <c r="D60" s="1849" t="s">
        <v>2441</v>
      </c>
      <c r="E60" s="1849"/>
      <c r="F60" s="516"/>
    </row>
    <row r="61" spans="1:6" s="931" customFormat="1" ht="76.5">
      <c r="A61" s="1838">
        <v>42347</v>
      </c>
      <c r="B61" s="1839" t="s">
        <v>1005</v>
      </c>
      <c r="C61" s="1840">
        <v>1</v>
      </c>
      <c r="D61" s="1846" t="s">
        <v>3586</v>
      </c>
      <c r="E61" s="1847"/>
      <c r="F61" s="516"/>
    </row>
    <row r="62" spans="1:6" s="931" customFormat="1" ht="18">
      <c r="A62" s="1842"/>
      <c r="B62" s="1842"/>
      <c r="C62" s="1848" t="s">
        <v>3493</v>
      </c>
      <c r="D62" s="1849" t="s">
        <v>2441</v>
      </c>
      <c r="E62" s="1849"/>
      <c r="F62" s="516"/>
    </row>
    <row r="63" spans="1:6" s="931" customFormat="1" ht="89.25">
      <c r="A63" s="1838">
        <v>42291</v>
      </c>
      <c r="B63" s="1839" t="s">
        <v>1005</v>
      </c>
      <c r="C63" s="1840">
        <v>1</v>
      </c>
      <c r="D63" s="1846" t="s">
        <v>3504</v>
      </c>
      <c r="E63" s="1847"/>
      <c r="F63" s="516"/>
    </row>
    <row r="64" spans="1:6" s="931" customFormat="1" ht="18">
      <c r="A64" s="1842"/>
      <c r="B64" s="1842"/>
      <c r="C64" s="1848" t="s">
        <v>3442</v>
      </c>
      <c r="D64" s="1849" t="s">
        <v>2441</v>
      </c>
      <c r="E64" s="1849"/>
      <c r="F64" s="516"/>
    </row>
    <row r="65" spans="1:6" s="931" customFormat="1" ht="13.5" customHeight="1">
      <c r="A65" s="1838">
        <v>42277</v>
      </c>
      <c r="B65" s="1839" t="s">
        <v>2738</v>
      </c>
      <c r="C65" s="1840">
        <v>2</v>
      </c>
      <c r="D65" s="1846" t="s">
        <v>3475</v>
      </c>
      <c r="E65" s="1847"/>
      <c r="F65" s="405"/>
    </row>
    <row r="66" spans="1:6" s="931" customFormat="1" ht="13.5" customHeight="1">
      <c r="A66" s="1838">
        <v>42269</v>
      </c>
      <c r="B66" s="1839" t="s">
        <v>1238</v>
      </c>
      <c r="C66" s="1840">
        <v>1</v>
      </c>
      <c r="D66" s="1846" t="s">
        <v>3476</v>
      </c>
      <c r="E66" s="1847"/>
      <c r="F66" s="405"/>
    </row>
    <row r="67" spans="1:6" s="931" customFormat="1" ht="13.5" customHeight="1">
      <c r="A67" s="1850"/>
      <c r="B67" s="1851"/>
      <c r="C67" s="1848" t="s">
        <v>3394</v>
      </c>
      <c r="D67" s="1849" t="s">
        <v>2441</v>
      </c>
      <c r="E67" s="1849"/>
      <c r="F67" s="405"/>
    </row>
    <row r="68" spans="1:6" s="931" customFormat="1">
      <c r="A68" s="1850">
        <v>42242</v>
      </c>
      <c r="B68" s="1851" t="s">
        <v>2738</v>
      </c>
      <c r="C68" s="1852">
        <v>4</v>
      </c>
      <c r="D68" s="1831" t="s">
        <v>3417</v>
      </c>
      <c r="E68" s="1831" t="s">
        <v>3418</v>
      </c>
      <c r="F68" s="405"/>
    </row>
    <row r="69" spans="1:6" s="931" customFormat="1">
      <c r="A69" s="1850">
        <v>42235</v>
      </c>
      <c r="B69" s="1851" t="s">
        <v>1005</v>
      </c>
      <c r="C69" s="1852">
        <v>3</v>
      </c>
      <c r="D69" s="1831" t="s">
        <v>3478</v>
      </c>
      <c r="E69" s="1831"/>
      <c r="F69" s="827"/>
    </row>
    <row r="70" spans="1:6" s="931" customFormat="1" ht="38.25">
      <c r="A70" s="1850">
        <v>42220</v>
      </c>
      <c r="B70" s="1851"/>
      <c r="C70" s="1852">
        <v>2</v>
      </c>
      <c r="D70" s="1832" t="s">
        <v>3396</v>
      </c>
      <c r="E70" s="1832" t="s">
        <v>3395</v>
      </c>
      <c r="F70" s="405"/>
    </row>
    <row r="71" spans="1:6" s="931" customFormat="1" ht="25.5">
      <c r="A71" s="1850">
        <v>42215</v>
      </c>
      <c r="B71" s="1850"/>
      <c r="C71" s="1852">
        <v>1</v>
      </c>
      <c r="D71" s="1853" t="s">
        <v>3477</v>
      </c>
      <c r="E71" s="1850"/>
      <c r="F71" s="405"/>
    </row>
    <row r="72" spans="1:6" s="931" customFormat="1">
      <c r="A72" s="1854"/>
      <c r="B72" s="1850"/>
      <c r="C72" s="1848" t="s">
        <v>3292</v>
      </c>
      <c r="D72" s="1849" t="s">
        <v>2441</v>
      </c>
      <c r="E72" s="1855"/>
      <c r="F72" s="405"/>
    </row>
    <row r="73" spans="1:6" s="931" customFormat="1" ht="138.75" customHeight="1">
      <c r="A73" s="1850">
        <v>42206</v>
      </c>
      <c r="B73" s="1851"/>
      <c r="C73" s="1852">
        <v>11</v>
      </c>
      <c r="D73" s="1856" t="s">
        <v>3359</v>
      </c>
      <c r="E73" s="1831" t="s">
        <v>3350</v>
      </c>
      <c r="F73" s="405"/>
    </row>
    <row r="74" spans="1:6" s="931" customFormat="1" ht="63.75">
      <c r="A74" s="1850">
        <v>42172</v>
      </c>
      <c r="B74" s="1851" t="s">
        <v>2738</v>
      </c>
      <c r="C74" s="1852">
        <v>10</v>
      </c>
      <c r="D74" s="1856" t="s">
        <v>3347</v>
      </c>
      <c r="E74" s="1831" t="s">
        <v>2254</v>
      </c>
      <c r="F74" s="405"/>
    </row>
    <row r="75" spans="1:6" s="931" customFormat="1" ht="127.5">
      <c r="A75" s="1857">
        <v>42151</v>
      </c>
      <c r="B75" s="1858" t="s">
        <v>3343</v>
      </c>
      <c r="C75" s="1852">
        <v>9</v>
      </c>
      <c r="D75" s="1856" t="s">
        <v>3346</v>
      </c>
      <c r="E75" s="1832" t="s">
        <v>3342</v>
      </c>
      <c r="F75" s="405"/>
    </row>
    <row r="76" spans="1:6" s="931" customFormat="1" ht="60.75" customHeight="1">
      <c r="A76" s="1857">
        <v>42145</v>
      </c>
      <c r="B76" s="1858" t="s">
        <v>1005</v>
      </c>
      <c r="C76" s="1852">
        <v>8</v>
      </c>
      <c r="D76" s="1830" t="s">
        <v>3338</v>
      </c>
      <c r="E76" s="1832" t="s">
        <v>3336</v>
      </c>
      <c r="F76" s="405"/>
    </row>
    <row r="77" spans="1:6" s="931" customFormat="1" ht="111.75" customHeight="1">
      <c r="A77" s="1854">
        <v>42130</v>
      </c>
      <c r="B77" s="1850" t="s">
        <v>2738</v>
      </c>
      <c r="C77" s="1859">
        <v>7</v>
      </c>
      <c r="D77" s="1860" t="s">
        <v>3328</v>
      </c>
      <c r="E77" s="1850" t="s">
        <v>2254</v>
      </c>
      <c r="F77" s="405"/>
    </row>
    <row r="78" spans="1:6" s="931" customFormat="1" ht="99.75" customHeight="1">
      <c r="A78" s="1854">
        <v>42124</v>
      </c>
      <c r="B78" s="1854" t="s">
        <v>2738</v>
      </c>
      <c r="C78" s="1859">
        <v>6</v>
      </c>
      <c r="D78" s="1860" t="s">
        <v>3325</v>
      </c>
      <c r="E78" s="1854" t="s">
        <v>2254</v>
      </c>
      <c r="F78" s="405"/>
    </row>
    <row r="79" spans="1:6" s="931" customFormat="1" ht="31.5" customHeight="1">
      <c r="A79" s="1854">
        <v>42110</v>
      </c>
      <c r="B79" s="1850" t="s">
        <v>2738</v>
      </c>
      <c r="C79" s="1859">
        <v>5</v>
      </c>
      <c r="D79" s="1861" t="s">
        <v>3314</v>
      </c>
      <c r="E79" s="1853" t="s">
        <v>3313</v>
      </c>
      <c r="F79" s="405"/>
    </row>
    <row r="80" spans="1:6" s="931" customFormat="1" ht="255.75" customHeight="1">
      <c r="A80" s="1854"/>
      <c r="B80" s="1850" t="s">
        <v>2738</v>
      </c>
      <c r="C80" s="1859">
        <v>4</v>
      </c>
      <c r="D80" s="1861" t="s">
        <v>3315</v>
      </c>
      <c r="E80" s="1850" t="s">
        <v>2400</v>
      </c>
      <c r="F80" s="405"/>
    </row>
    <row r="81" spans="1:6" ht="13.5" customHeight="1">
      <c r="A81" s="1854">
        <v>42102</v>
      </c>
      <c r="B81" s="1850" t="s">
        <v>2738</v>
      </c>
      <c r="C81" s="1859">
        <v>3</v>
      </c>
      <c r="D81" s="1860" t="s">
        <v>3307</v>
      </c>
      <c r="E81" s="1853" t="s">
        <v>3308</v>
      </c>
      <c r="F81" s="405"/>
    </row>
    <row r="82" spans="1:6" s="931" customFormat="1" ht="229.5">
      <c r="A82" s="1854">
        <v>42095</v>
      </c>
      <c r="B82" s="1850" t="s">
        <v>2738</v>
      </c>
      <c r="C82" s="1859">
        <v>2</v>
      </c>
      <c r="D82" s="1860" t="s">
        <v>3309</v>
      </c>
      <c r="E82" s="1853" t="s">
        <v>3305</v>
      </c>
      <c r="F82" s="405"/>
    </row>
    <row r="83" spans="1:6" s="931" customFormat="1" ht="190.5" customHeight="1">
      <c r="A83" s="1850">
        <f>A85</f>
        <v>42076</v>
      </c>
      <c r="B83" s="1851"/>
      <c r="C83" s="1848" t="s">
        <v>3327</v>
      </c>
      <c r="D83" s="1849" t="s">
        <v>2441</v>
      </c>
      <c r="E83" s="1849"/>
      <c r="F83" s="405"/>
    </row>
    <row r="84" spans="1:6" s="931" customFormat="1">
      <c r="A84" s="1666"/>
      <c r="B84" s="1666"/>
      <c r="C84" s="1666"/>
      <c r="D84" s="1666"/>
      <c r="E84" s="1666"/>
      <c r="F84" s="405"/>
    </row>
    <row r="85" spans="1:6" s="931" customFormat="1" ht="178.5">
      <c r="A85" s="1854">
        <v>42076</v>
      </c>
      <c r="B85" s="1850" t="s">
        <v>1005</v>
      </c>
      <c r="C85" s="1859">
        <v>1</v>
      </c>
      <c r="D85" s="1853" t="s">
        <v>3297</v>
      </c>
      <c r="E85" s="1850" t="s">
        <v>3208</v>
      </c>
      <c r="F85" s="405"/>
    </row>
    <row r="86" spans="1:6" s="931" customFormat="1">
      <c r="A86" s="1854"/>
      <c r="B86" s="1850"/>
      <c r="C86" s="1848" t="s">
        <v>3209</v>
      </c>
      <c r="D86" s="1849" t="s">
        <v>2441</v>
      </c>
      <c r="E86" s="1855"/>
      <c r="F86" s="405"/>
    </row>
    <row r="87" spans="1:6" s="931" customFormat="1" ht="38.25">
      <c r="A87" s="1854">
        <v>42024</v>
      </c>
      <c r="B87" s="1854"/>
      <c r="C87" s="1859">
        <v>9</v>
      </c>
      <c r="D87" s="1853" t="s">
        <v>3206</v>
      </c>
      <c r="E87" s="1853" t="s">
        <v>3207</v>
      </c>
      <c r="F87" s="405"/>
    </row>
    <row r="88" spans="1:6" s="931" customFormat="1" ht="51">
      <c r="A88" s="1854">
        <v>41968</v>
      </c>
      <c r="B88" s="1850" t="s">
        <v>1005</v>
      </c>
      <c r="C88" s="1859">
        <v>9</v>
      </c>
      <c r="D88" s="1853" t="s">
        <v>3041</v>
      </c>
      <c r="E88" s="1853" t="s">
        <v>3040</v>
      </c>
      <c r="F88" s="405"/>
    </row>
    <row r="89" spans="1:6" s="931" customFormat="1" ht="174" customHeight="1">
      <c r="A89" s="1854">
        <v>41955</v>
      </c>
      <c r="B89" s="1850" t="s">
        <v>1005</v>
      </c>
      <c r="C89" s="1859">
        <v>8</v>
      </c>
      <c r="D89" s="1853" t="s">
        <v>3038</v>
      </c>
      <c r="E89" s="1854"/>
      <c r="F89" s="405"/>
    </row>
    <row r="90" spans="1:6" s="931" customFormat="1" ht="38.25">
      <c r="A90" s="1854">
        <v>41943</v>
      </c>
      <c r="B90" s="1850" t="s">
        <v>2738</v>
      </c>
      <c r="C90" s="1859">
        <v>7</v>
      </c>
      <c r="D90" s="1853" t="s">
        <v>3034</v>
      </c>
      <c r="E90" s="1850" t="s">
        <v>2254</v>
      </c>
      <c r="F90" s="405"/>
    </row>
    <row r="91" spans="1:6" s="931" customFormat="1" ht="178.5">
      <c r="A91" s="1850">
        <v>41925</v>
      </c>
      <c r="B91" s="1850" t="s">
        <v>1005</v>
      </c>
      <c r="C91" s="1859">
        <v>6</v>
      </c>
      <c r="D91" s="1862" t="s">
        <v>3033</v>
      </c>
      <c r="E91" s="1854"/>
      <c r="F91" s="405"/>
    </row>
    <row r="92" spans="1:6" s="931" customFormat="1" ht="25.5">
      <c r="A92" s="1854">
        <v>41905</v>
      </c>
      <c r="B92" s="1854" t="s">
        <v>1005</v>
      </c>
      <c r="C92" s="1859">
        <v>5</v>
      </c>
      <c r="D92" s="1863" t="s">
        <v>3002</v>
      </c>
      <c r="E92" s="1854"/>
      <c r="F92" s="405"/>
    </row>
    <row r="93" spans="1:6" s="931" customFormat="1">
      <c r="A93" s="1854">
        <v>41904</v>
      </c>
      <c r="B93" s="1850" t="s">
        <v>1005</v>
      </c>
      <c r="C93" s="1859">
        <v>4</v>
      </c>
      <c r="D93" s="1863" t="s">
        <v>2996</v>
      </c>
      <c r="E93" s="1854" t="s">
        <v>2997</v>
      </c>
      <c r="F93" s="405"/>
    </row>
    <row r="94" spans="1:6" s="931" customFormat="1">
      <c r="A94" s="1854">
        <v>41904</v>
      </c>
      <c r="B94" s="1850" t="s">
        <v>1005</v>
      </c>
      <c r="C94" s="1864">
        <v>3</v>
      </c>
      <c r="D94" s="1853" t="s">
        <v>2998</v>
      </c>
      <c r="E94" s="1853" t="s">
        <v>2995</v>
      </c>
      <c r="F94" s="405"/>
    </row>
    <row r="95" spans="1:6" s="931" customFormat="1" ht="13.5" customHeight="1">
      <c r="A95" s="1851">
        <v>41898</v>
      </c>
      <c r="B95" s="1851" t="s">
        <v>2738</v>
      </c>
      <c r="C95" s="1859">
        <v>2</v>
      </c>
      <c r="D95" s="1860" t="s">
        <v>2991</v>
      </c>
      <c r="E95" s="1850" t="s">
        <v>2254</v>
      </c>
      <c r="F95" s="405"/>
    </row>
    <row r="96" spans="1:6" s="931" customFormat="1" ht="13.5" customHeight="1">
      <c r="A96" s="1854">
        <v>41897</v>
      </c>
      <c r="B96" s="1850" t="s">
        <v>1005</v>
      </c>
      <c r="C96" s="1864">
        <v>1</v>
      </c>
      <c r="D96" s="1853" t="s">
        <v>2990</v>
      </c>
      <c r="E96" s="1854"/>
      <c r="F96" s="405"/>
    </row>
    <row r="97" spans="1:6" s="931" customFormat="1" ht="39.75" customHeight="1">
      <c r="A97" s="1850"/>
      <c r="B97" s="1850"/>
      <c r="C97" s="1848" t="s">
        <v>2559</v>
      </c>
      <c r="D97" s="1849" t="s">
        <v>2441</v>
      </c>
      <c r="E97" s="1854"/>
      <c r="F97" s="405"/>
    </row>
    <row r="98" spans="1:6" s="931" customFormat="1">
      <c r="A98" s="1854">
        <v>41884</v>
      </c>
      <c r="B98" s="1850" t="s">
        <v>1005</v>
      </c>
      <c r="C98" s="1850" t="s">
        <v>2975</v>
      </c>
      <c r="D98" s="1850" t="s">
        <v>2976</v>
      </c>
      <c r="E98" s="1854"/>
      <c r="F98" s="405"/>
    </row>
    <row r="99" spans="1:6" s="684" customFormat="1" ht="38.25">
      <c r="A99" s="1854">
        <v>41877</v>
      </c>
      <c r="B99" s="1850" t="s">
        <v>1005</v>
      </c>
      <c r="C99" s="1850" t="s">
        <v>2971</v>
      </c>
      <c r="D99" s="1853" t="s">
        <v>2972</v>
      </c>
      <c r="E99" s="1854"/>
      <c r="F99" s="405"/>
    </row>
    <row r="100" spans="1:6" s="931" customFormat="1" ht="38.25">
      <c r="A100" s="1865">
        <v>41869</v>
      </c>
      <c r="B100" s="1865" t="s">
        <v>1005</v>
      </c>
      <c r="C100" s="1866" t="s">
        <v>2963</v>
      </c>
      <c r="D100" s="1853" t="s">
        <v>2965</v>
      </c>
      <c r="E100" s="1850" t="s">
        <v>2973</v>
      </c>
      <c r="F100" s="405"/>
    </row>
    <row r="101" spans="1:6" s="931" customFormat="1">
      <c r="A101" s="1854">
        <v>41852</v>
      </c>
      <c r="B101" s="1851" t="s">
        <v>1005</v>
      </c>
      <c r="C101" s="1859">
        <v>30.2</v>
      </c>
      <c r="D101" s="1853" t="s">
        <v>2957</v>
      </c>
      <c r="E101" s="1854"/>
      <c r="F101" s="405"/>
    </row>
    <row r="102" spans="1:6" s="931" customFormat="1" ht="51">
      <c r="A102" s="1854">
        <v>41851</v>
      </c>
      <c r="B102" s="1851" t="s">
        <v>2738</v>
      </c>
      <c r="C102" s="1859">
        <v>30.1</v>
      </c>
      <c r="D102" s="1853" t="s">
        <v>2956</v>
      </c>
      <c r="E102" s="1853" t="s">
        <v>2955</v>
      </c>
      <c r="F102" s="405"/>
    </row>
    <row r="103" spans="1:6" s="931" customFormat="1" ht="13.5" customHeight="1">
      <c r="A103" s="1850">
        <v>41842</v>
      </c>
      <c r="B103" s="1851" t="s">
        <v>1005</v>
      </c>
      <c r="C103" s="1859">
        <v>30</v>
      </c>
      <c r="D103" s="1853" t="s">
        <v>2951</v>
      </c>
      <c r="E103" s="1862" t="s">
        <v>2953</v>
      </c>
      <c r="F103" s="405"/>
    </row>
    <row r="104" spans="1:6" s="931" customFormat="1" ht="63.75">
      <c r="A104" s="1854">
        <v>41814</v>
      </c>
      <c r="B104" s="1851" t="s">
        <v>1005</v>
      </c>
      <c r="C104" s="1859">
        <v>29</v>
      </c>
      <c r="D104" s="1853" t="s">
        <v>2791</v>
      </c>
      <c r="E104" s="1854"/>
      <c r="F104" s="405"/>
    </row>
    <row r="105" spans="1:6" s="931" customFormat="1" ht="13.5" customHeight="1">
      <c r="A105" s="1854">
        <v>41810</v>
      </c>
      <c r="B105" s="1851" t="s">
        <v>1005</v>
      </c>
      <c r="C105" s="1859">
        <v>28</v>
      </c>
      <c r="D105" s="1853" t="s">
        <v>2743</v>
      </c>
      <c r="E105" s="1850" t="s">
        <v>2744</v>
      </c>
      <c r="F105" s="405"/>
    </row>
    <row r="106" spans="1:6" s="931" customFormat="1" ht="13.5" customHeight="1">
      <c r="A106" s="1854">
        <v>41807</v>
      </c>
      <c r="B106" s="1851" t="s">
        <v>2738</v>
      </c>
      <c r="C106" s="1859">
        <v>27</v>
      </c>
      <c r="D106" s="1853" t="s">
        <v>2741</v>
      </c>
      <c r="E106" s="1850" t="s">
        <v>2742</v>
      </c>
      <c r="F106" s="405"/>
    </row>
    <row r="107" spans="1:6" s="931" customFormat="1" ht="13.5" customHeight="1">
      <c r="A107" s="1854">
        <v>41801</v>
      </c>
      <c r="B107" s="1851" t="s">
        <v>1005</v>
      </c>
      <c r="C107" s="1859">
        <v>26</v>
      </c>
      <c r="D107" s="1853" t="s">
        <v>2729</v>
      </c>
      <c r="E107" s="1854" t="s">
        <v>2728</v>
      </c>
      <c r="F107" s="405"/>
    </row>
    <row r="108" spans="1:6" s="931" customFormat="1" ht="13.5" customHeight="1">
      <c r="A108" s="1854">
        <v>41796</v>
      </c>
      <c r="B108" s="1851" t="s">
        <v>1005</v>
      </c>
      <c r="C108" s="1859">
        <v>25</v>
      </c>
      <c r="D108" s="1853" t="s">
        <v>2713</v>
      </c>
      <c r="E108" s="1850" t="s">
        <v>2714</v>
      </c>
      <c r="F108" s="405"/>
    </row>
    <row r="109" spans="1:6" s="931" customFormat="1">
      <c r="A109" s="1854">
        <v>41787</v>
      </c>
      <c r="B109" s="1851" t="s">
        <v>1005</v>
      </c>
      <c r="C109" s="1859">
        <v>24</v>
      </c>
      <c r="D109" s="1853" t="s">
        <v>2698</v>
      </c>
      <c r="E109" s="1854"/>
      <c r="F109" s="405"/>
    </row>
    <row r="110" spans="1:6" s="931" customFormat="1" ht="13.5" customHeight="1">
      <c r="A110" s="1854">
        <v>41774</v>
      </c>
      <c r="B110" s="1851" t="s">
        <v>1005</v>
      </c>
      <c r="C110" s="1859">
        <v>23</v>
      </c>
      <c r="D110" s="1853" t="s">
        <v>2697</v>
      </c>
      <c r="E110" s="1854"/>
      <c r="F110" s="405"/>
    </row>
    <row r="111" spans="1:6" s="931" customFormat="1" ht="13.5" customHeight="1">
      <c r="A111" s="1854">
        <v>41774</v>
      </c>
      <c r="B111" s="1851" t="s">
        <v>1005</v>
      </c>
      <c r="C111" s="1859">
        <v>22</v>
      </c>
      <c r="D111" s="1853" t="s">
        <v>2695</v>
      </c>
      <c r="E111" s="1850" t="s">
        <v>2696</v>
      </c>
      <c r="F111" s="405"/>
    </row>
    <row r="112" spans="1:6" s="931" customFormat="1" ht="13.5" customHeight="1">
      <c r="A112" s="1854">
        <v>41768</v>
      </c>
      <c r="B112" s="1851" t="s">
        <v>1005</v>
      </c>
      <c r="C112" s="1859">
        <v>21</v>
      </c>
      <c r="D112" s="1853" t="s">
        <v>2692</v>
      </c>
      <c r="E112" s="1850" t="s">
        <v>2690</v>
      </c>
      <c r="F112" s="405"/>
    </row>
    <row r="113" spans="1:6" s="931" customFormat="1" ht="13.5" customHeight="1">
      <c r="A113" s="1854">
        <v>41761</v>
      </c>
      <c r="B113" s="1851" t="s">
        <v>1005</v>
      </c>
      <c r="C113" s="1859">
        <v>20</v>
      </c>
      <c r="D113" s="1853" t="s">
        <v>2687</v>
      </c>
      <c r="E113" s="1850" t="s">
        <v>2688</v>
      </c>
      <c r="F113" s="405"/>
    </row>
    <row r="114" spans="1:6" s="931" customFormat="1" ht="13.5" customHeight="1">
      <c r="A114" s="1854">
        <v>41761</v>
      </c>
      <c r="B114" s="1851" t="s">
        <v>1005</v>
      </c>
      <c r="C114" s="1859">
        <v>19</v>
      </c>
      <c r="D114" s="1853" t="s">
        <v>2685</v>
      </c>
      <c r="E114" s="1854"/>
      <c r="F114" s="405"/>
    </row>
    <row r="115" spans="1:6" s="931" customFormat="1" ht="13.5" customHeight="1">
      <c r="A115" s="1854">
        <v>41759</v>
      </c>
      <c r="B115" s="1851" t="s">
        <v>1005</v>
      </c>
      <c r="C115" s="1859">
        <v>18</v>
      </c>
      <c r="D115" s="1853" t="s">
        <v>2665</v>
      </c>
      <c r="E115" s="1850" t="s">
        <v>2221</v>
      </c>
      <c r="F115" s="405"/>
    </row>
    <row r="116" spans="1:6" s="931" customFormat="1" ht="13.5" customHeight="1">
      <c r="A116" s="1854">
        <v>772237</v>
      </c>
      <c r="B116" s="1851" t="s">
        <v>1005</v>
      </c>
      <c r="C116" s="1859">
        <v>17</v>
      </c>
      <c r="D116" s="1853" t="s">
        <v>2662</v>
      </c>
      <c r="E116" s="1854"/>
      <c r="F116" s="405"/>
    </row>
    <row r="117" spans="1:6" s="931" customFormat="1" ht="13.5" customHeight="1">
      <c r="A117" s="1854">
        <v>41752</v>
      </c>
      <c r="B117" s="1851" t="s">
        <v>1005</v>
      </c>
      <c r="C117" s="1859">
        <v>16</v>
      </c>
      <c r="D117" s="1853" t="s">
        <v>2661</v>
      </c>
      <c r="E117" s="1850" t="s">
        <v>2657</v>
      </c>
      <c r="F117" s="405"/>
    </row>
    <row r="118" spans="1:6" s="931" customFormat="1" ht="13.5" customHeight="1">
      <c r="A118" s="1854">
        <v>41751</v>
      </c>
      <c r="B118" s="1851" t="s">
        <v>1005</v>
      </c>
      <c r="C118" s="1859">
        <v>15</v>
      </c>
      <c r="D118" s="1853" t="s">
        <v>2660</v>
      </c>
      <c r="E118" s="1854"/>
      <c r="F118" s="405"/>
    </row>
    <row r="119" spans="1:6" s="931" customFormat="1" ht="13.5" customHeight="1">
      <c r="A119" s="1854">
        <v>41745</v>
      </c>
      <c r="B119" s="1851" t="s">
        <v>1005</v>
      </c>
      <c r="C119" s="1859">
        <v>14</v>
      </c>
      <c r="D119" s="1853" t="s">
        <v>2659</v>
      </c>
      <c r="E119" s="1850" t="s">
        <v>2393</v>
      </c>
      <c r="F119" s="405"/>
    </row>
    <row r="120" spans="1:6" s="931" customFormat="1" ht="13.5" customHeight="1">
      <c r="A120" s="1854">
        <v>41743</v>
      </c>
      <c r="B120" s="1851" t="s">
        <v>1005</v>
      </c>
      <c r="C120" s="1859">
        <v>13</v>
      </c>
      <c r="D120" s="1853" t="s">
        <v>2658</v>
      </c>
      <c r="E120" s="1850" t="s">
        <v>2393</v>
      </c>
      <c r="F120" s="405"/>
    </row>
    <row r="121" spans="1:6" s="684" customFormat="1">
      <c r="A121" s="1854">
        <v>41739</v>
      </c>
      <c r="B121" s="1851" t="s">
        <v>1005</v>
      </c>
      <c r="C121" s="1859">
        <v>12</v>
      </c>
      <c r="D121" s="1853" t="s">
        <v>2656</v>
      </c>
      <c r="E121" s="1850" t="s">
        <v>2657</v>
      </c>
      <c r="F121" s="405"/>
    </row>
    <row r="122" spans="1:6" s="684" customFormat="1" ht="12.75" customHeight="1">
      <c r="A122" s="1854">
        <v>41738</v>
      </c>
      <c r="B122" s="1851" t="s">
        <v>1005</v>
      </c>
      <c r="C122" s="1859">
        <v>11</v>
      </c>
      <c r="D122" s="1853" t="s">
        <v>2654</v>
      </c>
      <c r="E122" s="1850" t="s">
        <v>2655</v>
      </c>
      <c r="F122" s="405"/>
    </row>
    <row r="123" spans="1:6" s="684" customFormat="1" ht="13.5" customHeight="1">
      <c r="A123" s="1854">
        <v>41724</v>
      </c>
      <c r="B123" s="1851" t="s">
        <v>1005</v>
      </c>
      <c r="C123" s="1859">
        <v>10</v>
      </c>
      <c r="D123" s="1867" t="s">
        <v>2650</v>
      </c>
      <c r="E123" s="1850" t="s">
        <v>2393</v>
      </c>
      <c r="F123" s="405"/>
    </row>
    <row r="124" spans="1:6" s="684" customFormat="1" ht="13.5" customHeight="1">
      <c r="A124" s="1854">
        <v>41719</v>
      </c>
      <c r="B124" s="1851" t="s">
        <v>1005</v>
      </c>
      <c r="C124" s="1859">
        <v>9</v>
      </c>
      <c r="D124" s="1853" t="s">
        <v>2626</v>
      </c>
      <c r="E124" s="1850" t="s">
        <v>2627</v>
      </c>
      <c r="F124" s="405"/>
    </row>
    <row r="125" spans="1:6" s="684" customFormat="1" ht="13.5" customHeight="1">
      <c r="A125" s="1854">
        <v>41705</v>
      </c>
      <c r="B125" s="1851" t="s">
        <v>1005</v>
      </c>
      <c r="C125" s="1859">
        <v>9</v>
      </c>
      <c r="D125" s="1853" t="s">
        <v>2625</v>
      </c>
      <c r="E125" s="1850" t="s">
        <v>2225</v>
      </c>
      <c r="F125" s="405"/>
    </row>
    <row r="126" spans="1:6" s="684" customFormat="1" ht="13.5" customHeight="1">
      <c r="A126" s="1854">
        <v>41705</v>
      </c>
      <c r="B126" s="1851" t="s">
        <v>1005</v>
      </c>
      <c r="C126" s="1859">
        <v>8</v>
      </c>
      <c r="D126" s="1853" t="s">
        <v>2616</v>
      </c>
      <c r="E126" s="1850" t="s">
        <v>2617</v>
      </c>
      <c r="F126" s="405"/>
    </row>
    <row r="127" spans="1:6" s="684" customFormat="1" ht="13.5" customHeight="1">
      <c r="A127" s="1854">
        <v>41704</v>
      </c>
      <c r="B127" s="1851" t="s">
        <v>1005</v>
      </c>
      <c r="C127" s="1859">
        <v>7</v>
      </c>
      <c r="D127" s="1853" t="s">
        <v>2615</v>
      </c>
      <c r="E127" s="1854"/>
      <c r="F127" s="405"/>
    </row>
    <row r="128" spans="1:6" s="684" customFormat="1" ht="13.5" customHeight="1">
      <c r="A128" s="1854">
        <v>41701</v>
      </c>
      <c r="B128" s="1851" t="s">
        <v>1005</v>
      </c>
      <c r="C128" s="1859">
        <v>6</v>
      </c>
      <c r="D128" s="1853" t="s">
        <v>2604</v>
      </c>
      <c r="E128" s="1850" t="s">
        <v>2225</v>
      </c>
      <c r="F128" s="405"/>
    </row>
    <row r="129" spans="1:6" s="684" customFormat="1" ht="13.5" customHeight="1">
      <c r="A129" s="1854">
        <v>41697</v>
      </c>
      <c r="B129" s="1851" t="s">
        <v>1005</v>
      </c>
      <c r="C129" s="1859">
        <v>5</v>
      </c>
      <c r="D129" s="1853" t="s">
        <v>2570</v>
      </c>
      <c r="E129" s="1850" t="s">
        <v>2571</v>
      </c>
      <c r="F129" s="405"/>
    </row>
    <row r="130" spans="1:6" s="684" customFormat="1" ht="13.5" customHeight="1">
      <c r="A130" s="1854">
        <v>41696</v>
      </c>
      <c r="B130" s="1851" t="s">
        <v>1005</v>
      </c>
      <c r="C130" s="1859">
        <v>4</v>
      </c>
      <c r="D130" s="1863" t="s">
        <v>2569</v>
      </c>
      <c r="E130" s="1854" t="s">
        <v>2225</v>
      </c>
      <c r="F130" s="405"/>
    </row>
    <row r="131" spans="1:6" s="684" customFormat="1">
      <c r="A131" s="1854">
        <v>41695</v>
      </c>
      <c r="B131" s="1851" t="s">
        <v>1005</v>
      </c>
      <c r="C131" s="1859">
        <v>3</v>
      </c>
      <c r="D131" s="1853" t="s">
        <v>2566</v>
      </c>
      <c r="E131" s="1850" t="s">
        <v>2400</v>
      </c>
      <c r="F131" s="405"/>
    </row>
    <row r="132" spans="1:6" s="684" customFormat="1">
      <c r="A132" s="1854">
        <v>43155</v>
      </c>
      <c r="B132" s="1851" t="s">
        <v>1005</v>
      </c>
      <c r="C132" s="1859">
        <v>2</v>
      </c>
      <c r="D132" s="1853" t="s">
        <v>2561</v>
      </c>
      <c r="E132" s="1850" t="s">
        <v>2562</v>
      </c>
      <c r="F132" s="405"/>
    </row>
    <row r="133" spans="1:6" s="684" customFormat="1">
      <c r="A133" s="1854">
        <v>41688</v>
      </c>
      <c r="B133" s="1850" t="s">
        <v>1005</v>
      </c>
      <c r="C133" s="1859">
        <v>1</v>
      </c>
      <c r="D133" s="1853" t="s">
        <v>2647</v>
      </c>
      <c r="E133" s="1850" t="s">
        <v>2560</v>
      </c>
      <c r="F133" s="405"/>
    </row>
    <row r="134" spans="1:6" s="684" customFormat="1">
      <c r="A134" s="1854"/>
      <c r="B134" s="1854"/>
      <c r="C134" s="1848" t="s">
        <v>2497</v>
      </c>
      <c r="D134" s="1849" t="s">
        <v>2441</v>
      </c>
      <c r="E134" s="1854"/>
      <c r="F134" s="405"/>
    </row>
    <row r="135" spans="1:6" s="684" customFormat="1" ht="25.5">
      <c r="A135" s="1854">
        <v>41684</v>
      </c>
      <c r="B135" s="1854" t="s">
        <v>1005</v>
      </c>
      <c r="C135" s="1859">
        <v>8</v>
      </c>
      <c r="D135" s="1863" t="s">
        <v>2539</v>
      </c>
      <c r="E135" s="1854"/>
      <c r="F135" s="405"/>
    </row>
    <row r="136" spans="1:6" s="684" customFormat="1" ht="25.5">
      <c r="A136" s="1854">
        <v>41683</v>
      </c>
      <c r="B136" s="1850" t="s">
        <v>1005</v>
      </c>
      <c r="C136" s="1859">
        <v>7</v>
      </c>
      <c r="D136" s="1853" t="s">
        <v>2537</v>
      </c>
      <c r="E136" s="1854" t="s">
        <v>2538</v>
      </c>
      <c r="F136" s="405"/>
    </row>
    <row r="137" spans="1:6" s="684" customFormat="1">
      <c r="A137" s="1854">
        <v>41681</v>
      </c>
      <c r="B137" s="1850" t="s">
        <v>1005</v>
      </c>
      <c r="C137" s="1859">
        <v>6</v>
      </c>
      <c r="D137" s="1853" t="s">
        <v>2529</v>
      </c>
      <c r="E137" s="1850" t="s">
        <v>2225</v>
      </c>
      <c r="F137" s="405"/>
    </row>
    <row r="138" spans="1:6" s="684" customFormat="1" ht="48">
      <c r="A138" s="1854">
        <v>41681</v>
      </c>
      <c r="B138" s="1850" t="s">
        <v>1005</v>
      </c>
      <c r="C138" s="1859">
        <v>5</v>
      </c>
      <c r="D138" s="1867" t="s">
        <v>2528</v>
      </c>
      <c r="E138" s="1850" t="s">
        <v>2225</v>
      </c>
      <c r="F138" s="405"/>
    </row>
    <row r="139" spans="1:6" s="684" customFormat="1">
      <c r="A139" s="1854">
        <v>41680</v>
      </c>
      <c r="B139" s="1850" t="s">
        <v>1005</v>
      </c>
      <c r="C139" s="1859">
        <v>4</v>
      </c>
      <c r="D139" s="1853" t="s">
        <v>2526</v>
      </c>
      <c r="E139" s="1850" t="s">
        <v>2254</v>
      </c>
      <c r="F139" s="405"/>
    </row>
    <row r="140" spans="1:6" s="684" customFormat="1">
      <c r="A140" s="1854">
        <v>41642</v>
      </c>
      <c r="B140" s="1850" t="s">
        <v>1005</v>
      </c>
      <c r="C140" s="1859">
        <v>3</v>
      </c>
      <c r="D140" s="1853" t="s">
        <v>2501</v>
      </c>
      <c r="E140" s="1850" t="s">
        <v>2236</v>
      </c>
      <c r="F140" s="405"/>
    </row>
    <row r="141" spans="1:6" s="684" customFormat="1" ht="13.5" customHeight="1">
      <c r="A141" s="1854">
        <v>41669</v>
      </c>
      <c r="B141" s="1851" t="s">
        <v>1005</v>
      </c>
      <c r="C141" s="1859">
        <v>2</v>
      </c>
      <c r="D141" s="1868" t="s">
        <v>2500</v>
      </c>
      <c r="E141" s="1851" t="s">
        <v>2499</v>
      </c>
      <c r="F141" s="405"/>
    </row>
    <row r="142" spans="1:6" s="684" customFormat="1" ht="13.5" customHeight="1">
      <c r="A142" s="1869">
        <v>41669</v>
      </c>
      <c r="B142" s="1851" t="s">
        <v>1005</v>
      </c>
      <c r="C142" s="1870">
        <v>1</v>
      </c>
      <c r="D142" s="1871" t="s">
        <v>2498</v>
      </c>
      <c r="E142" s="1851" t="s">
        <v>2393</v>
      </c>
      <c r="F142" s="405"/>
    </row>
    <row r="143" spans="1:6" s="684" customFormat="1" ht="13.5" customHeight="1">
      <c r="A143" s="1854"/>
      <c r="B143" s="1851"/>
      <c r="C143" s="1848" t="s">
        <v>2474</v>
      </c>
      <c r="D143" s="1849" t="s">
        <v>2441</v>
      </c>
      <c r="E143" s="1851"/>
      <c r="F143" s="405"/>
    </row>
    <row r="144" spans="1:6" s="684" customFormat="1" ht="13.5" customHeight="1">
      <c r="A144" s="1854">
        <v>41652</v>
      </c>
      <c r="B144" s="1851" t="s">
        <v>1005</v>
      </c>
      <c r="C144" s="1859">
        <v>10</v>
      </c>
      <c r="D144" s="1851" t="s">
        <v>2495</v>
      </c>
      <c r="E144" s="1851" t="s">
        <v>2400</v>
      </c>
      <c r="F144" s="405"/>
    </row>
    <row r="145" spans="1:6" s="684" customFormat="1" ht="13.5" customHeight="1">
      <c r="A145" s="1854">
        <v>41649</v>
      </c>
      <c r="B145" s="1851" t="s">
        <v>1005</v>
      </c>
      <c r="C145" s="1859">
        <v>9</v>
      </c>
      <c r="D145" s="1851" t="s">
        <v>2492</v>
      </c>
      <c r="E145" s="1851" t="s">
        <v>2225</v>
      </c>
      <c r="F145" s="405"/>
    </row>
    <row r="146" spans="1:6" s="684" customFormat="1" ht="13.5" customHeight="1">
      <c r="A146" s="1854">
        <v>41627</v>
      </c>
      <c r="B146" s="1851" t="s">
        <v>1005</v>
      </c>
      <c r="C146" s="1859">
        <v>8</v>
      </c>
      <c r="D146" s="1851" t="s">
        <v>2491</v>
      </c>
      <c r="E146" s="1851"/>
      <c r="F146" s="405"/>
    </row>
    <row r="147" spans="1:6" s="684" customFormat="1" ht="13.5" customHeight="1">
      <c r="A147" s="1854">
        <v>41617</v>
      </c>
      <c r="B147" s="1851" t="s">
        <v>1005</v>
      </c>
      <c r="C147" s="1859">
        <v>7</v>
      </c>
      <c r="D147" s="1851" t="s">
        <v>2490</v>
      </c>
      <c r="E147" s="1851" t="s">
        <v>1705</v>
      </c>
      <c r="F147" s="405"/>
    </row>
    <row r="148" spans="1:6" s="684" customFormat="1" ht="13.5" customHeight="1">
      <c r="A148" s="1854">
        <v>41615</v>
      </c>
      <c r="B148" s="1851" t="s">
        <v>1005</v>
      </c>
      <c r="C148" s="1859">
        <v>6</v>
      </c>
      <c r="D148" s="1851" t="s">
        <v>2486</v>
      </c>
      <c r="E148" s="1851" t="s">
        <v>2487</v>
      </c>
      <c r="F148" s="405"/>
    </row>
    <row r="149" spans="1:6" s="684" customFormat="1" ht="13.5" customHeight="1">
      <c r="A149" s="1854">
        <v>41614</v>
      </c>
      <c r="B149" s="1851" t="s">
        <v>1005</v>
      </c>
      <c r="C149" s="1859">
        <v>5</v>
      </c>
      <c r="D149" s="1851" t="s">
        <v>2483</v>
      </c>
      <c r="E149" s="1851" t="s">
        <v>2484</v>
      </c>
      <c r="F149" s="405"/>
    </row>
    <row r="150" spans="1:6" s="684" customFormat="1" ht="13.5" customHeight="1">
      <c r="A150" s="1854">
        <v>41612</v>
      </c>
      <c r="B150" s="1851" t="s">
        <v>1005</v>
      </c>
      <c r="C150" s="1872">
        <v>4</v>
      </c>
      <c r="D150" s="1851" t="s">
        <v>2481</v>
      </c>
      <c r="E150" s="1851" t="s">
        <v>2400</v>
      </c>
      <c r="F150" s="405"/>
    </row>
    <row r="151" spans="1:6" s="433" customFormat="1" ht="13.5" customHeight="1">
      <c r="A151" s="1854">
        <v>41610</v>
      </c>
      <c r="B151" s="1851" t="s">
        <v>1005</v>
      </c>
      <c r="C151" s="1872">
        <v>3</v>
      </c>
      <c r="D151" s="1851" t="s">
        <v>2480</v>
      </c>
      <c r="E151" s="1851" t="s">
        <v>2393</v>
      </c>
      <c r="F151" s="405"/>
    </row>
    <row r="152" spans="1:6" s="684" customFormat="1" ht="13.5" customHeight="1">
      <c r="A152" s="1850">
        <v>41600</v>
      </c>
      <c r="B152" s="1850" t="s">
        <v>1005</v>
      </c>
      <c r="C152" s="1872">
        <v>2</v>
      </c>
      <c r="D152" s="1850" t="s">
        <v>2477</v>
      </c>
      <c r="E152" s="1850" t="s">
        <v>2478</v>
      </c>
      <c r="F152" s="405"/>
    </row>
    <row r="153" spans="1:6" s="684" customFormat="1" ht="13.5" customHeight="1">
      <c r="A153" s="1869">
        <v>41581</v>
      </c>
      <c r="B153" s="1873" t="s">
        <v>1005</v>
      </c>
      <c r="C153" s="1874">
        <v>1</v>
      </c>
      <c r="D153" s="1873" t="s">
        <v>2475</v>
      </c>
      <c r="E153" s="1875"/>
      <c r="F153" s="405"/>
    </row>
    <row r="154" spans="1:6" s="684" customFormat="1" ht="13.5" customHeight="1">
      <c r="A154" s="1876"/>
      <c r="B154" s="1875"/>
      <c r="C154" s="1848" t="s">
        <v>2440</v>
      </c>
      <c r="D154" s="1849" t="s">
        <v>2441</v>
      </c>
      <c r="E154" s="1875"/>
      <c r="F154" s="405"/>
    </row>
    <row r="155" spans="1:6" s="684" customFormat="1" ht="13.5" customHeight="1">
      <c r="A155" s="1876">
        <v>41577</v>
      </c>
      <c r="B155" s="1875" t="s">
        <v>1005</v>
      </c>
      <c r="C155" s="1877">
        <v>14</v>
      </c>
      <c r="D155" s="1875" t="s">
        <v>2473</v>
      </c>
      <c r="E155" s="1875" t="s">
        <v>2225</v>
      </c>
      <c r="F155" s="405"/>
    </row>
    <row r="156" spans="1:6" s="684" customFormat="1" ht="13.5" customHeight="1">
      <c r="A156" s="1876">
        <v>41575</v>
      </c>
      <c r="B156" s="1875" t="s">
        <v>1005</v>
      </c>
      <c r="C156" s="1877">
        <v>13</v>
      </c>
      <c r="D156" s="1875" t="s">
        <v>2472</v>
      </c>
      <c r="E156" s="1875"/>
      <c r="F156" s="405"/>
    </row>
    <row r="157" spans="1:6" s="684" customFormat="1" ht="13.5" customHeight="1">
      <c r="A157" s="1876">
        <v>41575</v>
      </c>
      <c r="B157" s="1875" t="s">
        <v>1005</v>
      </c>
      <c r="C157" s="1877">
        <v>12</v>
      </c>
      <c r="D157" s="1875" t="s">
        <v>2470</v>
      </c>
      <c r="E157" s="1875" t="s">
        <v>2471</v>
      </c>
      <c r="F157" s="405"/>
    </row>
    <row r="158" spans="1:6" s="684" customFormat="1" ht="13.5" customHeight="1">
      <c r="A158" s="1876">
        <v>41569</v>
      </c>
      <c r="B158" s="1875" t="s">
        <v>1005</v>
      </c>
      <c r="C158" s="1877">
        <v>11</v>
      </c>
      <c r="D158" s="1875" t="s">
        <v>2468</v>
      </c>
      <c r="E158" s="1875" t="s">
        <v>1947</v>
      </c>
      <c r="F158" s="405"/>
    </row>
    <row r="159" spans="1:6" s="684" customFormat="1" ht="13.5" customHeight="1">
      <c r="A159" s="1876">
        <v>41565</v>
      </c>
      <c r="B159" s="1875" t="s">
        <v>1005</v>
      </c>
      <c r="C159" s="1877">
        <v>10</v>
      </c>
      <c r="D159" s="1875" t="s">
        <v>2465</v>
      </c>
      <c r="E159" s="1875" t="s">
        <v>2225</v>
      </c>
      <c r="F159" s="405"/>
    </row>
    <row r="160" spans="1:6" s="684" customFormat="1" ht="13.5" customHeight="1">
      <c r="A160" s="1876">
        <v>41565</v>
      </c>
      <c r="B160" s="1875" t="s">
        <v>1005</v>
      </c>
      <c r="C160" s="1877">
        <v>9</v>
      </c>
      <c r="D160" s="1875" t="s">
        <v>2466</v>
      </c>
      <c r="E160" s="1875" t="s">
        <v>2467</v>
      </c>
      <c r="F160" s="405"/>
    </row>
    <row r="161" spans="1:6" s="684" customFormat="1" ht="13.5" customHeight="1">
      <c r="A161" s="1876">
        <v>41564</v>
      </c>
      <c r="B161" s="1875" t="s">
        <v>1005</v>
      </c>
      <c r="C161" s="1877">
        <v>8</v>
      </c>
      <c r="D161" s="1875" t="s">
        <v>2462</v>
      </c>
      <c r="E161" s="1875" t="s">
        <v>2225</v>
      </c>
      <c r="F161" s="405"/>
    </row>
    <row r="162" spans="1:6" s="684" customFormat="1" ht="13.5" customHeight="1">
      <c r="A162" s="1876">
        <v>41564</v>
      </c>
      <c r="B162" s="1875" t="s">
        <v>1005</v>
      </c>
      <c r="C162" s="1877">
        <v>7</v>
      </c>
      <c r="D162" s="1875" t="s">
        <v>2460</v>
      </c>
      <c r="E162" s="1875"/>
      <c r="F162" s="405"/>
    </row>
    <row r="163" spans="1:6" s="684" customFormat="1" ht="13.5" customHeight="1">
      <c r="A163" s="1876">
        <v>41562</v>
      </c>
      <c r="B163" s="1875" t="s">
        <v>1005</v>
      </c>
      <c r="C163" s="1877">
        <v>6</v>
      </c>
      <c r="D163" s="1875" t="s">
        <v>2450</v>
      </c>
      <c r="E163" s="1875" t="s">
        <v>2236</v>
      </c>
      <c r="F163" s="405"/>
    </row>
    <row r="164" spans="1:6" s="684" customFormat="1" ht="13.5" customHeight="1">
      <c r="A164" s="1876">
        <v>41562</v>
      </c>
      <c r="B164" s="1875" t="s">
        <v>1005</v>
      </c>
      <c r="C164" s="1877">
        <v>5</v>
      </c>
      <c r="D164" s="1875" t="s">
        <v>2449</v>
      </c>
      <c r="E164" s="1875" t="s">
        <v>2254</v>
      </c>
      <c r="F164" s="405"/>
    </row>
    <row r="165" spans="1:6" s="684" customFormat="1" ht="13.5" customHeight="1">
      <c r="A165" s="1876">
        <v>41557</v>
      </c>
      <c r="B165" s="1875" t="s">
        <v>1005</v>
      </c>
      <c r="C165" s="1877">
        <v>4</v>
      </c>
      <c r="D165" s="1875" t="s">
        <v>2447</v>
      </c>
      <c r="E165" s="1875" t="s">
        <v>2448</v>
      </c>
      <c r="F165" s="405"/>
    </row>
    <row r="166" spans="1:6" s="684" customFormat="1" ht="13.5" customHeight="1">
      <c r="A166" s="1876">
        <v>41555</v>
      </c>
      <c r="B166" s="1875" t="s">
        <v>1005</v>
      </c>
      <c r="C166" s="1877">
        <v>3</v>
      </c>
      <c r="D166" s="1875" t="s">
        <v>2445</v>
      </c>
      <c r="E166" s="1875" t="s">
        <v>2225</v>
      </c>
      <c r="F166" s="405"/>
    </row>
    <row r="167" spans="1:6" s="684" customFormat="1" ht="13.5" customHeight="1">
      <c r="A167" s="1876">
        <v>41555</v>
      </c>
      <c r="B167" s="1875" t="s">
        <v>1005</v>
      </c>
      <c r="C167" s="1877">
        <v>2</v>
      </c>
      <c r="D167" s="1875" t="s">
        <v>2444</v>
      </c>
      <c r="E167" s="1875"/>
      <c r="F167" s="405"/>
    </row>
    <row r="168" spans="1:6" s="684" customFormat="1" ht="13.5" customHeight="1">
      <c r="A168" s="1876">
        <v>41551</v>
      </c>
      <c r="B168" s="1875" t="s">
        <v>1005</v>
      </c>
      <c r="C168" s="1877">
        <v>1</v>
      </c>
      <c r="D168" s="1875" t="s">
        <v>2442</v>
      </c>
      <c r="E168" s="1875" t="s">
        <v>2443</v>
      </c>
      <c r="F168" s="405"/>
    </row>
    <row r="169" spans="1:6" s="684" customFormat="1" ht="13.5" customHeight="1">
      <c r="A169" s="1869">
        <v>41551</v>
      </c>
      <c r="B169" s="1873" t="s">
        <v>1005</v>
      </c>
      <c r="C169" s="1878">
        <v>0</v>
      </c>
      <c r="D169" s="1873" t="s">
        <v>2439</v>
      </c>
      <c r="E169" s="1875"/>
      <c r="F169" s="405"/>
    </row>
    <row r="170" spans="1:6" s="684" customFormat="1" ht="13.5" customHeight="1">
      <c r="A170" s="1876"/>
      <c r="B170" s="1875"/>
      <c r="C170" s="1848" t="s">
        <v>1948</v>
      </c>
      <c r="D170" s="1849" t="s">
        <v>2337</v>
      </c>
      <c r="E170" s="1875"/>
      <c r="F170" s="405"/>
    </row>
    <row r="171" spans="1:6" s="684" customFormat="1" ht="13.5" customHeight="1">
      <c r="A171" s="1666"/>
      <c r="B171" s="1666"/>
      <c r="C171" s="1666"/>
      <c r="D171" s="1666"/>
      <c r="E171" s="1875"/>
      <c r="F171" s="405"/>
    </row>
    <row r="172" spans="1:6" s="684" customFormat="1" ht="13.5" customHeight="1">
      <c r="A172" s="1876">
        <v>41548</v>
      </c>
      <c r="B172" s="1875" t="s">
        <v>1005</v>
      </c>
      <c r="C172" s="1877">
        <v>32</v>
      </c>
      <c r="D172" s="1875" t="s">
        <v>2434</v>
      </c>
      <c r="E172" s="1875" t="s">
        <v>2400</v>
      </c>
      <c r="F172" s="405"/>
    </row>
    <row r="173" spans="1:6" s="684" customFormat="1" ht="13.5" customHeight="1">
      <c r="A173" s="1876">
        <v>41543</v>
      </c>
      <c r="B173" s="1875" t="s">
        <v>1005</v>
      </c>
      <c r="C173" s="1877">
        <v>31</v>
      </c>
      <c r="D173" s="1875" t="s">
        <v>2399</v>
      </c>
      <c r="E173" s="1875" t="s">
        <v>2400</v>
      </c>
      <c r="F173" s="405"/>
    </row>
    <row r="174" spans="1:6" s="684" customFormat="1" ht="13.5" customHeight="1">
      <c r="A174" s="1876">
        <v>41541</v>
      </c>
      <c r="B174" s="1875" t="s">
        <v>1005</v>
      </c>
      <c r="C174" s="1877">
        <v>30</v>
      </c>
      <c r="D174" s="1875" t="s">
        <v>2397</v>
      </c>
      <c r="E174" s="1875"/>
      <c r="F174" s="405"/>
    </row>
    <row r="175" spans="1:6" s="684" customFormat="1" ht="13.5" customHeight="1">
      <c r="A175" s="1876">
        <v>41540</v>
      </c>
      <c r="B175" s="1875" t="s">
        <v>1005</v>
      </c>
      <c r="C175" s="1877">
        <v>29</v>
      </c>
      <c r="D175" s="1875" t="s">
        <v>2396</v>
      </c>
      <c r="E175" s="1875" t="s">
        <v>1796</v>
      </c>
      <c r="F175" s="405"/>
    </row>
    <row r="176" spans="1:6" s="684" customFormat="1" ht="13.5" customHeight="1">
      <c r="A176" s="1876">
        <v>41540</v>
      </c>
      <c r="B176" s="1875" t="s">
        <v>1005</v>
      </c>
      <c r="C176" s="1877">
        <v>28</v>
      </c>
      <c r="D176" s="1875" t="s">
        <v>2394</v>
      </c>
      <c r="E176" s="1875" t="s">
        <v>2393</v>
      </c>
      <c r="F176" s="405"/>
    </row>
    <row r="177" spans="1:6" s="684" customFormat="1" ht="13.5" customHeight="1">
      <c r="A177" s="1876">
        <v>41538</v>
      </c>
      <c r="B177" s="1875"/>
      <c r="C177" s="1877">
        <v>27</v>
      </c>
      <c r="D177" s="1875" t="s">
        <v>2336</v>
      </c>
      <c r="E177" s="1875" t="s">
        <v>2328</v>
      </c>
      <c r="F177" s="405"/>
    </row>
    <row r="178" spans="1:6" s="684" customFormat="1" ht="13.5" customHeight="1">
      <c r="A178" s="1876">
        <v>41538</v>
      </c>
      <c r="B178" s="1875" t="s">
        <v>1005</v>
      </c>
      <c r="C178" s="1877">
        <v>26</v>
      </c>
      <c r="D178" s="1875" t="s">
        <v>2327</v>
      </c>
      <c r="E178" s="1875" t="s">
        <v>2328</v>
      </c>
      <c r="F178" s="405"/>
    </row>
    <row r="179" spans="1:6" s="684" customFormat="1" ht="13.5" customHeight="1">
      <c r="A179" s="1876">
        <v>41538</v>
      </c>
      <c r="B179" s="1875" t="s">
        <v>1005</v>
      </c>
      <c r="C179" s="1877">
        <v>25</v>
      </c>
      <c r="D179" s="1875" t="s">
        <v>2268</v>
      </c>
      <c r="E179" s="1875"/>
      <c r="F179" s="405"/>
    </row>
    <row r="180" spans="1:6" s="684" customFormat="1" ht="13.5" customHeight="1">
      <c r="A180" s="1876">
        <v>41538</v>
      </c>
      <c r="B180" s="1875" t="s">
        <v>1005</v>
      </c>
      <c r="C180" s="1877">
        <v>24</v>
      </c>
      <c r="D180" s="1875" t="s">
        <v>2267</v>
      </c>
      <c r="E180" s="1875"/>
      <c r="F180" s="405"/>
    </row>
    <row r="181" spans="1:6" s="684" customFormat="1" ht="13.5" customHeight="1">
      <c r="A181" s="1876">
        <v>41536</v>
      </c>
      <c r="B181" s="1875" t="s">
        <v>1005</v>
      </c>
      <c r="C181" s="1877">
        <v>23</v>
      </c>
      <c r="D181" s="1875" t="s">
        <v>2255</v>
      </c>
      <c r="E181" s="1875" t="s">
        <v>2256</v>
      </c>
      <c r="F181" s="405"/>
    </row>
    <row r="182" spans="1:6" s="684" customFormat="1" ht="13.5" customHeight="1">
      <c r="A182" s="1869">
        <v>41533</v>
      </c>
      <c r="B182" s="1873" t="s">
        <v>1005</v>
      </c>
      <c r="C182" s="1878">
        <v>22</v>
      </c>
      <c r="D182" s="1873" t="s">
        <v>2253</v>
      </c>
      <c r="E182" s="1873" t="s">
        <v>2254</v>
      </c>
      <c r="F182" s="405"/>
    </row>
    <row r="183" spans="1:6" s="684" customFormat="1" ht="13.5" customHeight="1">
      <c r="A183" s="1876">
        <v>41532</v>
      </c>
      <c r="B183" s="1875" t="s">
        <v>1005</v>
      </c>
      <c r="C183" s="1877">
        <v>21</v>
      </c>
      <c r="D183" s="1875" t="s">
        <v>2250</v>
      </c>
      <c r="E183" s="1875"/>
      <c r="F183" s="405"/>
    </row>
    <row r="184" spans="1:6" s="680" customFormat="1" ht="13.5" customHeight="1">
      <c r="A184" s="1876">
        <v>41531</v>
      </c>
      <c r="B184" s="1875" t="s">
        <v>1005</v>
      </c>
      <c r="C184" s="1877">
        <v>20</v>
      </c>
      <c r="D184" s="1875" t="s">
        <v>2252</v>
      </c>
      <c r="E184" s="1875"/>
      <c r="F184" s="405"/>
    </row>
    <row r="185" spans="1:6" s="680" customFormat="1" ht="13.5" customHeight="1">
      <c r="A185" s="1876">
        <v>41531</v>
      </c>
      <c r="B185" s="1875" t="s">
        <v>1005</v>
      </c>
      <c r="C185" s="1877">
        <v>19</v>
      </c>
      <c r="D185" s="1875" t="s">
        <v>2251</v>
      </c>
      <c r="E185" s="1875"/>
      <c r="F185" s="405"/>
    </row>
    <row r="186" spans="1:6" s="679" customFormat="1" ht="13.5" customHeight="1">
      <c r="A186" s="1876">
        <v>41527</v>
      </c>
      <c r="B186" s="1875" t="s">
        <v>1005</v>
      </c>
      <c r="C186" s="1877">
        <v>18</v>
      </c>
      <c r="D186" s="1875" t="s">
        <v>2246</v>
      </c>
      <c r="E186" s="1875" t="s">
        <v>2247</v>
      </c>
      <c r="F186" s="405"/>
    </row>
    <row r="187" spans="1:6" s="674" customFormat="1" ht="13.5" customHeight="1">
      <c r="A187" s="1876">
        <v>41526</v>
      </c>
      <c r="B187" s="1875" t="s">
        <v>1005</v>
      </c>
      <c r="C187" s="1877">
        <v>17</v>
      </c>
      <c r="D187" s="1875" t="s">
        <v>2235</v>
      </c>
      <c r="E187" s="1875" t="s">
        <v>2236</v>
      </c>
      <c r="F187" s="405"/>
    </row>
    <row r="188" spans="1:6" s="670" customFormat="1" ht="13.5" customHeight="1">
      <c r="A188" s="1879" t="s">
        <v>2232</v>
      </c>
      <c r="B188" s="1875" t="s">
        <v>1005</v>
      </c>
      <c r="C188" s="1877">
        <v>16</v>
      </c>
      <c r="D188" s="1875" t="s">
        <v>2233</v>
      </c>
      <c r="E188" s="1875" t="s">
        <v>2234</v>
      </c>
      <c r="F188" s="405"/>
    </row>
    <row r="189" spans="1:6" s="669" customFormat="1" ht="13.5" customHeight="1">
      <c r="A189" s="1876">
        <v>41522</v>
      </c>
      <c r="B189" s="1875" t="s">
        <v>1005</v>
      </c>
      <c r="C189" s="1877">
        <v>15</v>
      </c>
      <c r="D189" s="1875" t="s">
        <v>2224</v>
      </c>
      <c r="E189" s="1875" t="s">
        <v>2225</v>
      </c>
      <c r="F189" s="405"/>
    </row>
    <row r="190" spans="1:6" s="669" customFormat="1" ht="13.5" customHeight="1">
      <c r="A190" s="1876">
        <v>41520</v>
      </c>
      <c r="B190" s="1875" t="s">
        <v>1005</v>
      </c>
      <c r="C190" s="1877">
        <v>14</v>
      </c>
      <c r="D190" s="1875" t="s">
        <v>2220</v>
      </c>
      <c r="E190" s="1875" t="s">
        <v>2221</v>
      </c>
      <c r="F190" s="405"/>
    </row>
    <row r="191" spans="1:6" s="647" customFormat="1" ht="13.5" customHeight="1">
      <c r="A191" s="1876">
        <v>41517</v>
      </c>
      <c r="B191" s="1875" t="s">
        <v>1005</v>
      </c>
      <c r="C191" s="1877">
        <v>13</v>
      </c>
      <c r="D191" s="1875" t="s">
        <v>2216</v>
      </c>
      <c r="E191" s="1875"/>
      <c r="F191" s="405"/>
    </row>
    <row r="192" spans="1:6" s="647" customFormat="1">
      <c r="A192" s="1876">
        <v>41517</v>
      </c>
      <c r="B192" s="1875" t="s">
        <v>1005</v>
      </c>
      <c r="C192" s="1877">
        <v>12</v>
      </c>
      <c r="D192" s="1875" t="s">
        <v>2213</v>
      </c>
      <c r="E192" s="1875" t="s">
        <v>2214</v>
      </c>
      <c r="F192" s="405"/>
    </row>
    <row r="193" spans="1:6" s="433" customFormat="1">
      <c r="A193" s="1876">
        <v>41517</v>
      </c>
      <c r="B193" s="1875" t="s">
        <v>1005</v>
      </c>
      <c r="C193" s="1877">
        <v>11</v>
      </c>
      <c r="D193" s="1875" t="s">
        <v>2208</v>
      </c>
      <c r="E193" s="1875" t="s">
        <v>2201</v>
      </c>
      <c r="F193" s="405"/>
    </row>
    <row r="194" spans="1:6" s="433" customFormat="1" ht="13.5" customHeight="1">
      <c r="A194" s="1876">
        <v>41514</v>
      </c>
      <c r="B194" s="1875" t="s">
        <v>1005</v>
      </c>
      <c r="C194" s="1877">
        <v>10</v>
      </c>
      <c r="D194" s="1875" t="s">
        <v>2207</v>
      </c>
      <c r="E194" s="1875" t="s">
        <v>2201</v>
      </c>
      <c r="F194" s="405"/>
    </row>
    <row r="195" spans="1:6" s="433" customFormat="1" ht="13.5" customHeight="1">
      <c r="A195" s="1880">
        <v>41514</v>
      </c>
      <c r="B195" s="1881" t="s">
        <v>1005</v>
      </c>
      <c r="C195" s="1882">
        <v>9</v>
      </c>
      <c r="D195" s="1883" t="s">
        <v>2200</v>
      </c>
      <c r="E195" s="1875"/>
      <c r="F195" s="405"/>
    </row>
    <row r="196" spans="1:6" s="433" customFormat="1">
      <c r="A196" s="1876">
        <v>41512</v>
      </c>
      <c r="B196" s="1875" t="s">
        <v>1005</v>
      </c>
      <c r="C196" s="1877">
        <v>8</v>
      </c>
      <c r="D196" s="1875" t="s">
        <v>1956</v>
      </c>
      <c r="E196" s="1875" t="s">
        <v>1957</v>
      </c>
      <c r="F196" s="405"/>
    </row>
    <row r="197" spans="1:6" s="433" customFormat="1">
      <c r="A197" s="1876">
        <v>41509</v>
      </c>
      <c r="B197" s="1875" t="s">
        <v>1005</v>
      </c>
      <c r="C197" s="1877">
        <v>7</v>
      </c>
      <c r="D197" s="1875" t="s">
        <v>1954</v>
      </c>
      <c r="E197" s="1875"/>
      <c r="F197" s="405"/>
    </row>
    <row r="198" spans="1:6" s="433" customFormat="1">
      <c r="A198" s="1876">
        <v>41509</v>
      </c>
      <c r="B198" s="1875" t="s">
        <v>1005</v>
      </c>
      <c r="C198" s="1877">
        <v>6</v>
      </c>
      <c r="D198" s="1875" t="s">
        <v>1952</v>
      </c>
      <c r="E198" s="1875" t="s">
        <v>1953</v>
      </c>
      <c r="F198" s="405"/>
    </row>
    <row r="199" spans="1:6" s="433" customFormat="1">
      <c r="A199" s="1876">
        <v>41507</v>
      </c>
      <c r="B199" s="1875" t="s">
        <v>1005</v>
      </c>
      <c r="C199" s="1877">
        <v>5</v>
      </c>
      <c r="D199" s="1875" t="s">
        <v>1955</v>
      </c>
      <c r="E199" s="1875"/>
      <c r="F199" s="405"/>
    </row>
    <row r="200" spans="1:6" s="433" customFormat="1">
      <c r="A200" s="1876">
        <v>41507</v>
      </c>
      <c r="B200" s="1875" t="s">
        <v>1005</v>
      </c>
      <c r="C200" s="1877">
        <v>4</v>
      </c>
      <c r="D200" s="1875" t="s">
        <v>1950</v>
      </c>
      <c r="E200" s="1875" t="s">
        <v>1951</v>
      </c>
      <c r="F200" s="405"/>
    </row>
    <row r="201" spans="1:6" s="433" customFormat="1">
      <c r="A201" s="1876">
        <v>41507</v>
      </c>
      <c r="B201" s="1875" t="s">
        <v>1005</v>
      </c>
      <c r="C201" s="1877">
        <v>3</v>
      </c>
      <c r="D201" s="1875" t="s">
        <v>1946</v>
      </c>
      <c r="E201" s="1875" t="s">
        <v>1947</v>
      </c>
      <c r="F201" s="405"/>
    </row>
    <row r="202" spans="1:6" s="433" customFormat="1">
      <c r="A202" s="1876">
        <v>41507</v>
      </c>
      <c r="B202" s="1875" t="s">
        <v>1005</v>
      </c>
      <c r="C202" s="1877">
        <v>2</v>
      </c>
      <c r="D202" s="1875" t="s">
        <v>1944</v>
      </c>
      <c r="E202" s="1875" t="s">
        <v>1945</v>
      </c>
      <c r="F202" s="405"/>
    </row>
    <row r="203" spans="1:6" s="433" customFormat="1">
      <c r="A203" s="1876">
        <v>41507</v>
      </c>
      <c r="B203" s="1875" t="s">
        <v>1005</v>
      </c>
      <c r="C203" s="1877">
        <v>1</v>
      </c>
      <c r="D203" s="1875" t="s">
        <v>1813</v>
      </c>
      <c r="E203" s="1875" t="s">
        <v>1945</v>
      </c>
      <c r="F203" s="405"/>
    </row>
    <row r="204" spans="1:6" s="433" customFormat="1">
      <c r="A204" s="1873"/>
      <c r="B204" s="1873"/>
      <c r="C204" s="1848" t="s">
        <v>1800</v>
      </c>
      <c r="D204" s="4121" t="s">
        <v>2248</v>
      </c>
      <c r="E204" s="4121"/>
      <c r="F204" s="405"/>
    </row>
    <row r="205" spans="1:6" s="433" customFormat="1">
      <c r="A205" s="1850">
        <v>41506</v>
      </c>
      <c r="B205" s="1884" t="s">
        <v>1005</v>
      </c>
      <c r="C205" s="1852">
        <v>3</v>
      </c>
      <c r="D205" s="1884" t="s">
        <v>1811</v>
      </c>
      <c r="E205" s="1873"/>
      <c r="F205" s="405"/>
    </row>
    <row r="206" spans="1:6" s="433" customFormat="1">
      <c r="A206" s="1854">
        <v>41141</v>
      </c>
      <c r="B206" s="1851" t="s">
        <v>1005</v>
      </c>
      <c r="C206" s="1852">
        <v>2</v>
      </c>
      <c r="D206" s="1885" t="s">
        <v>1809</v>
      </c>
      <c r="E206" s="1873" t="s">
        <v>1810</v>
      </c>
      <c r="F206" s="405"/>
    </row>
    <row r="207" spans="1:6" s="433" customFormat="1" ht="25.5">
      <c r="A207" s="1854">
        <v>370219</v>
      </c>
      <c r="B207" s="1851" t="s">
        <v>1005</v>
      </c>
      <c r="C207" s="1852">
        <v>1</v>
      </c>
      <c r="D207" s="1885" t="s">
        <v>1801</v>
      </c>
      <c r="E207" s="1873" t="s">
        <v>1796</v>
      </c>
      <c r="F207" s="405"/>
    </row>
    <row r="208" spans="1:6" s="433" customFormat="1">
      <c r="A208" s="1854"/>
      <c r="B208" s="1851"/>
      <c r="C208" s="1848" t="s">
        <v>1769</v>
      </c>
      <c r="D208" s="1886" t="s">
        <v>2249</v>
      </c>
      <c r="E208" s="1887"/>
      <c r="F208" s="405"/>
    </row>
    <row r="209" spans="1:6" s="433" customFormat="1" ht="13.5" customHeight="1">
      <c r="A209" s="1854">
        <v>41499</v>
      </c>
      <c r="B209" s="1851" t="s">
        <v>1005</v>
      </c>
      <c r="C209" s="1852">
        <v>5</v>
      </c>
      <c r="D209" s="1832" t="s">
        <v>1795</v>
      </c>
      <c r="E209" s="1666"/>
      <c r="F209" s="405"/>
    </row>
    <row r="210" spans="1:6" s="433" customFormat="1" ht="13.5" customHeight="1">
      <c r="A210" s="1854">
        <v>41499</v>
      </c>
      <c r="B210" s="1851" t="s">
        <v>1005</v>
      </c>
      <c r="C210" s="1852">
        <v>5</v>
      </c>
      <c r="D210" s="1832" t="s">
        <v>1794</v>
      </c>
      <c r="E210" s="1666"/>
      <c r="F210" s="405"/>
    </row>
    <row r="211" spans="1:6" s="433" customFormat="1" ht="13.5" customHeight="1">
      <c r="A211" s="1854">
        <v>41495</v>
      </c>
      <c r="B211" s="1851" t="s">
        <v>1005</v>
      </c>
      <c r="C211" s="1852">
        <v>4</v>
      </c>
      <c r="D211" s="1832" t="s">
        <v>1779</v>
      </c>
      <c r="E211" s="1666"/>
      <c r="F211" s="405"/>
    </row>
    <row r="212" spans="1:6" s="397" customFormat="1" ht="13.5" customHeight="1">
      <c r="A212" s="1854">
        <v>41495</v>
      </c>
      <c r="B212" s="1851" t="s">
        <v>1005</v>
      </c>
      <c r="C212" s="1852">
        <v>4</v>
      </c>
      <c r="D212" s="1832" t="s">
        <v>1780</v>
      </c>
      <c r="E212" s="1666"/>
    </row>
    <row r="213" spans="1:6" s="433" customFormat="1" ht="13.5" customHeight="1">
      <c r="A213" s="1854">
        <v>41495</v>
      </c>
      <c r="B213" s="1851" t="s">
        <v>1005</v>
      </c>
      <c r="C213" s="1852">
        <v>4</v>
      </c>
      <c r="D213" s="1832" t="s">
        <v>1778</v>
      </c>
      <c r="E213" s="1666"/>
    </row>
    <row r="214" spans="1:6" s="433" customFormat="1" ht="13.5" customHeight="1">
      <c r="A214" s="1854">
        <v>41495</v>
      </c>
      <c r="B214" s="1851" t="s">
        <v>1005</v>
      </c>
      <c r="C214" s="1852">
        <v>3</v>
      </c>
      <c r="D214" s="1832" t="s">
        <v>1773</v>
      </c>
      <c r="E214" s="1873" t="s">
        <v>1797</v>
      </c>
    </row>
    <row r="215" spans="1:6" s="433" customFormat="1" ht="13.5" customHeight="1">
      <c r="A215" s="1854">
        <v>41495</v>
      </c>
      <c r="B215" s="1851" t="s">
        <v>1772</v>
      </c>
      <c r="C215" s="1852">
        <v>2</v>
      </c>
      <c r="D215" s="1832" t="s">
        <v>1771</v>
      </c>
      <c r="E215" s="1666"/>
    </row>
    <row r="216" spans="1:6" s="433" customFormat="1" ht="13.5" customHeight="1">
      <c r="A216" s="1869">
        <v>41495</v>
      </c>
      <c r="B216" s="1888" t="s">
        <v>1005</v>
      </c>
      <c r="C216" s="1889">
        <v>1</v>
      </c>
      <c r="D216" s="1885" t="s">
        <v>1770</v>
      </c>
      <c r="E216" s="1666"/>
    </row>
    <row r="217" spans="1:6" s="397" customFormat="1" ht="13.5" customHeight="1">
      <c r="A217" s="1854"/>
      <c r="B217" s="1851"/>
      <c r="C217" s="1848" t="s">
        <v>1747</v>
      </c>
      <c r="D217" s="1886" t="s">
        <v>1371</v>
      </c>
      <c r="E217" s="1887"/>
    </row>
    <row r="218" spans="1:6" s="397" customFormat="1" ht="13.5" customHeight="1">
      <c r="A218" s="1854">
        <v>41493</v>
      </c>
      <c r="B218" s="1851" t="s">
        <v>1005</v>
      </c>
      <c r="C218" s="1852">
        <v>6</v>
      </c>
      <c r="D218" s="1832" t="s">
        <v>1761</v>
      </c>
      <c r="E218" s="1666"/>
    </row>
    <row r="219" spans="1:6" s="397" customFormat="1" ht="13.5" customHeight="1">
      <c r="A219" s="1854">
        <v>41492</v>
      </c>
      <c r="B219" s="1851" t="s">
        <v>1005</v>
      </c>
      <c r="C219" s="1852">
        <v>5</v>
      </c>
      <c r="D219" s="1832" t="s">
        <v>1757</v>
      </c>
      <c r="E219" s="1666"/>
    </row>
    <row r="220" spans="1:6" s="397" customFormat="1" ht="13.5" customHeight="1">
      <c r="A220" s="1854">
        <v>41488</v>
      </c>
      <c r="B220" s="1851" t="s">
        <v>1005</v>
      </c>
      <c r="C220" s="1852">
        <v>4</v>
      </c>
      <c r="D220" s="1832" t="s">
        <v>1756</v>
      </c>
      <c r="E220" s="1666"/>
    </row>
    <row r="221" spans="1:6" s="397" customFormat="1" ht="13.5" customHeight="1">
      <c r="A221" s="1854">
        <v>41488</v>
      </c>
      <c r="B221" s="1851" t="s">
        <v>1005</v>
      </c>
      <c r="C221" s="1852">
        <v>3</v>
      </c>
      <c r="D221" s="1832" t="s">
        <v>1753</v>
      </c>
      <c r="E221" s="1666"/>
    </row>
    <row r="222" spans="1:6" s="397" customFormat="1" ht="13.5" customHeight="1">
      <c r="A222" s="1854">
        <v>41488</v>
      </c>
      <c r="B222" s="1851" t="s">
        <v>1005</v>
      </c>
      <c r="C222" s="1852">
        <v>2</v>
      </c>
      <c r="D222" s="1832" t="s">
        <v>1752</v>
      </c>
      <c r="E222" s="1666"/>
      <c r="F222" s="519"/>
    </row>
    <row r="223" spans="1:6" s="397" customFormat="1" ht="13.5" customHeight="1">
      <c r="A223" s="1854">
        <v>41486</v>
      </c>
      <c r="B223" s="1851" t="s">
        <v>1005</v>
      </c>
      <c r="C223" s="1852">
        <v>1</v>
      </c>
      <c r="D223" s="1832" t="s">
        <v>1748</v>
      </c>
      <c r="E223" s="1666"/>
    </row>
    <row r="224" spans="1:6" s="397" customFormat="1" ht="13.5" customHeight="1">
      <c r="A224" s="1890"/>
      <c r="B224" s="1858"/>
      <c r="C224" s="1848" t="s">
        <v>1723</v>
      </c>
      <c r="D224" s="1849" t="s">
        <v>1371</v>
      </c>
      <c r="E224" s="1849"/>
    </row>
    <row r="225" spans="1:5" s="397" customFormat="1" ht="13.5" customHeight="1">
      <c r="A225" s="1890">
        <v>41485</v>
      </c>
      <c r="B225" s="1858" t="s">
        <v>1005</v>
      </c>
      <c r="C225" s="1852">
        <v>4</v>
      </c>
      <c r="D225" s="1832" t="s">
        <v>1745</v>
      </c>
      <c r="E225" s="1666"/>
    </row>
    <row r="226" spans="1:5" s="397" customFormat="1" ht="13.5" customHeight="1">
      <c r="A226" s="1891">
        <v>41485</v>
      </c>
      <c r="B226" s="1858" t="s">
        <v>1005</v>
      </c>
      <c r="C226" s="1852">
        <v>3</v>
      </c>
      <c r="D226" s="1885" t="s">
        <v>1726</v>
      </c>
      <c r="E226" s="1873" t="s">
        <v>1798</v>
      </c>
    </row>
    <row r="227" spans="1:5" s="397" customFormat="1" ht="13.5" customHeight="1">
      <c r="A227" s="1891">
        <v>41481</v>
      </c>
      <c r="B227" s="1858" t="s">
        <v>1005</v>
      </c>
      <c r="C227" s="1852">
        <v>2</v>
      </c>
      <c r="D227" s="1885" t="s">
        <v>1725</v>
      </c>
      <c r="E227" s="1873" t="s">
        <v>1799</v>
      </c>
    </row>
    <row r="228" spans="1:5" s="397" customFormat="1" ht="13.5" customHeight="1">
      <c r="A228" s="1890">
        <v>41478</v>
      </c>
      <c r="B228" s="1858" t="s">
        <v>1005</v>
      </c>
      <c r="C228" s="1852">
        <v>1</v>
      </c>
      <c r="D228" s="1832" t="s">
        <v>1722</v>
      </c>
      <c r="E228" s="1666"/>
    </row>
    <row r="229" spans="1:5" s="397" customFormat="1" ht="13.5" customHeight="1">
      <c r="A229" s="1666"/>
      <c r="B229" s="1666"/>
      <c r="C229" s="1848" t="s">
        <v>1707</v>
      </c>
      <c r="D229" s="4120" t="s">
        <v>1371</v>
      </c>
      <c r="E229" s="4120"/>
    </row>
    <row r="230" spans="1:5" s="397" customFormat="1" ht="13.5" customHeight="1">
      <c r="A230" s="1890">
        <v>41478</v>
      </c>
      <c r="B230" s="1858" t="s">
        <v>1005</v>
      </c>
      <c r="C230" s="1852">
        <v>5</v>
      </c>
      <c r="D230" s="1832" t="s">
        <v>1717</v>
      </c>
      <c r="E230" s="1892" t="s">
        <v>1749</v>
      </c>
    </row>
    <row r="231" spans="1:5" s="397" customFormat="1" ht="13.5" customHeight="1">
      <c r="A231" s="1890">
        <v>41474</v>
      </c>
      <c r="B231" s="1858" t="s">
        <v>1005</v>
      </c>
      <c r="C231" s="1852">
        <v>4</v>
      </c>
      <c r="D231" s="1832" t="s">
        <v>1710</v>
      </c>
      <c r="E231" s="1666"/>
    </row>
    <row r="232" spans="1:5" s="397" customFormat="1" ht="13.5" customHeight="1">
      <c r="A232" s="1890">
        <v>41474</v>
      </c>
      <c r="B232" s="1858" t="s">
        <v>1005</v>
      </c>
      <c r="C232" s="1852">
        <v>3</v>
      </c>
      <c r="D232" s="1832" t="s">
        <v>1709</v>
      </c>
      <c r="E232" s="1666"/>
    </row>
    <row r="233" spans="1:5" s="397" customFormat="1" ht="13.5" customHeight="1">
      <c r="A233" s="1890">
        <v>41474</v>
      </c>
      <c r="B233" s="1858" t="s">
        <v>1005</v>
      </c>
      <c r="C233" s="1852">
        <v>2</v>
      </c>
      <c r="D233" s="1832" t="s">
        <v>1708</v>
      </c>
      <c r="E233" s="1666"/>
    </row>
    <row r="234" spans="1:5" s="397" customFormat="1" ht="13.5" customHeight="1">
      <c r="A234" s="1891">
        <v>41447</v>
      </c>
      <c r="B234" s="1858" t="s">
        <v>1005</v>
      </c>
      <c r="C234" s="1852">
        <v>1</v>
      </c>
      <c r="D234" s="1885" t="s">
        <v>1700</v>
      </c>
      <c r="E234" s="1873" t="s">
        <v>1799</v>
      </c>
    </row>
    <row r="235" spans="1:5" ht="13.5" customHeight="1">
      <c r="A235" s="1854"/>
      <c r="B235" s="1851"/>
      <c r="C235" s="1848" t="s">
        <v>1693</v>
      </c>
      <c r="D235" s="1886" t="s">
        <v>1371</v>
      </c>
      <c r="E235" s="1666"/>
    </row>
    <row r="236" spans="1:5" ht="13.5" customHeight="1">
      <c r="A236" s="1854">
        <v>41417</v>
      </c>
      <c r="B236" s="1851" t="s">
        <v>1005</v>
      </c>
      <c r="C236" s="1872">
        <v>2</v>
      </c>
      <c r="D236" s="1851" t="s">
        <v>1696</v>
      </c>
      <c r="E236" s="1666"/>
    </row>
    <row r="237" spans="1:5" ht="13.5" customHeight="1">
      <c r="A237" s="1869">
        <v>41415</v>
      </c>
      <c r="B237" s="1888" t="s">
        <v>1005</v>
      </c>
      <c r="C237" s="1874">
        <v>1</v>
      </c>
      <c r="D237" s="1869" t="s">
        <v>1694</v>
      </c>
      <c r="E237" s="1666"/>
    </row>
    <row r="238" spans="1:5" ht="13.5" customHeight="1">
      <c r="A238" s="1854"/>
      <c r="B238" s="1666"/>
      <c r="C238" s="1848" t="s">
        <v>1370</v>
      </c>
      <c r="D238" s="1886" t="s">
        <v>1371</v>
      </c>
      <c r="E238" s="1666"/>
    </row>
    <row r="239" spans="1:5" ht="13.5" customHeight="1">
      <c r="A239" s="1850">
        <v>41408</v>
      </c>
      <c r="B239" s="1884" t="s">
        <v>1005</v>
      </c>
      <c r="C239" s="1893">
        <v>44</v>
      </c>
      <c r="D239" s="1884" t="s">
        <v>1690</v>
      </c>
      <c r="E239" s="1666"/>
    </row>
    <row r="240" spans="1:5" ht="13.5" customHeight="1">
      <c r="A240" s="1850">
        <v>41408</v>
      </c>
      <c r="B240" s="1884" t="s">
        <v>1005</v>
      </c>
      <c r="C240" s="1893">
        <v>43</v>
      </c>
      <c r="D240" s="1884" t="s">
        <v>1689</v>
      </c>
      <c r="E240" s="1666"/>
    </row>
    <row r="241" spans="1:6" ht="13.5" customHeight="1">
      <c r="A241" s="1850">
        <v>41393</v>
      </c>
      <c r="B241" s="1884" t="s">
        <v>1005</v>
      </c>
      <c r="C241" s="1893">
        <v>42</v>
      </c>
      <c r="D241" s="1884" t="s">
        <v>1639</v>
      </c>
      <c r="E241" s="1666"/>
      <c r="F241" s="126"/>
    </row>
    <row r="242" spans="1:6" ht="13.5" customHeight="1">
      <c r="A242" s="1869">
        <v>41393</v>
      </c>
      <c r="B242" s="1873" t="s">
        <v>1005</v>
      </c>
      <c r="C242" s="1878">
        <v>41</v>
      </c>
      <c r="D242" s="1873" t="s">
        <v>1688</v>
      </c>
      <c r="E242" s="1666"/>
    </row>
    <row r="243" spans="1:6" ht="13.5" customHeight="1">
      <c r="A243" s="1869">
        <v>41390</v>
      </c>
      <c r="B243" s="1873" t="s">
        <v>1005</v>
      </c>
      <c r="C243" s="1878">
        <v>40</v>
      </c>
      <c r="D243" s="1873" t="s">
        <v>1637</v>
      </c>
      <c r="E243" s="1666"/>
    </row>
    <row r="244" spans="1:6" ht="13.5" customHeight="1">
      <c r="A244" s="1869">
        <v>41390</v>
      </c>
      <c r="B244" s="1873" t="s">
        <v>1005</v>
      </c>
      <c r="C244" s="1878">
        <v>39</v>
      </c>
      <c r="D244" s="1873" t="s">
        <v>1636</v>
      </c>
      <c r="E244" s="1666"/>
    </row>
    <row r="245" spans="1:6" ht="13.5" customHeight="1">
      <c r="A245" s="1869">
        <v>41390</v>
      </c>
      <c r="B245" s="1873" t="s">
        <v>1005</v>
      </c>
      <c r="C245" s="1878">
        <v>38</v>
      </c>
      <c r="D245" s="1873" t="s">
        <v>1635</v>
      </c>
      <c r="E245" s="1666"/>
    </row>
    <row r="246" spans="1:6" ht="13.5" customHeight="1">
      <c r="A246" s="1869">
        <v>41380</v>
      </c>
      <c r="B246" s="1873" t="s">
        <v>1005</v>
      </c>
      <c r="C246" s="1878">
        <v>37</v>
      </c>
      <c r="D246" s="1873" t="s">
        <v>1617</v>
      </c>
      <c r="E246" s="1666"/>
    </row>
    <row r="247" spans="1:6" s="352" customFormat="1" ht="13.5" customHeight="1">
      <c r="A247" s="1850">
        <v>41380</v>
      </c>
      <c r="B247" s="1884" t="s">
        <v>1005</v>
      </c>
      <c r="C247" s="1893">
        <v>36</v>
      </c>
      <c r="D247" s="1884" t="s">
        <v>1616</v>
      </c>
      <c r="E247" s="1666"/>
    </row>
    <row r="248" spans="1:6" s="352" customFormat="1" ht="13.5" customHeight="1">
      <c r="A248" s="1869">
        <v>41374</v>
      </c>
      <c r="B248" s="1873" t="s">
        <v>1005</v>
      </c>
      <c r="C248" s="1878">
        <v>35</v>
      </c>
      <c r="D248" s="1873" t="s">
        <v>1605</v>
      </c>
      <c r="E248" s="1666"/>
    </row>
    <row r="249" spans="1:6" s="352" customFormat="1" ht="13.5" customHeight="1">
      <c r="A249" s="1850">
        <v>41374</v>
      </c>
      <c r="B249" s="1884" t="s">
        <v>1005</v>
      </c>
      <c r="C249" s="1893">
        <v>34</v>
      </c>
      <c r="D249" s="1884" t="s">
        <v>1604</v>
      </c>
      <c r="E249" s="1666"/>
    </row>
    <row r="250" spans="1:6" s="352" customFormat="1" ht="13.5" customHeight="1">
      <c r="A250" s="1850">
        <v>41367</v>
      </c>
      <c r="B250" s="1884" t="s">
        <v>1005</v>
      </c>
      <c r="C250" s="1893">
        <v>33</v>
      </c>
      <c r="D250" s="1884" t="s">
        <v>1578</v>
      </c>
      <c r="E250" s="1666"/>
    </row>
    <row r="251" spans="1:6" s="352" customFormat="1" ht="13.5" customHeight="1">
      <c r="A251" s="1850">
        <v>41366</v>
      </c>
      <c r="B251" s="1884" t="s">
        <v>1005</v>
      </c>
      <c r="C251" s="1893">
        <v>32</v>
      </c>
      <c r="D251" s="1884" t="s">
        <v>1576</v>
      </c>
      <c r="E251" s="1666"/>
    </row>
    <row r="252" spans="1:6" s="352" customFormat="1" ht="13.5" customHeight="1">
      <c r="A252" s="1850">
        <v>41353</v>
      </c>
      <c r="B252" s="1884" t="s">
        <v>1005</v>
      </c>
      <c r="C252" s="1893">
        <v>31</v>
      </c>
      <c r="D252" s="1884" t="s">
        <v>1575</v>
      </c>
      <c r="E252" s="1666"/>
    </row>
    <row r="253" spans="1:6" s="352" customFormat="1" ht="13.5" customHeight="1">
      <c r="A253" s="1850">
        <v>41352</v>
      </c>
      <c r="B253" s="1884" t="s">
        <v>1005</v>
      </c>
      <c r="C253" s="1893">
        <v>30</v>
      </c>
      <c r="D253" s="1884" t="s">
        <v>1574</v>
      </c>
      <c r="E253" s="1666"/>
    </row>
    <row r="254" spans="1:6" s="352" customFormat="1" ht="13.5" customHeight="1">
      <c r="A254" s="1850">
        <v>41351</v>
      </c>
      <c r="B254" s="1884" t="s">
        <v>1005</v>
      </c>
      <c r="C254" s="1893">
        <v>29</v>
      </c>
      <c r="D254" s="1884" t="s">
        <v>1573</v>
      </c>
      <c r="E254" s="1666"/>
    </row>
    <row r="255" spans="1:6" ht="13.5" customHeight="1">
      <c r="A255" s="1850">
        <v>41339</v>
      </c>
      <c r="B255" s="1884" t="s">
        <v>1005</v>
      </c>
      <c r="C255" s="1893">
        <v>27</v>
      </c>
      <c r="D255" s="1884" t="s">
        <v>1572</v>
      </c>
      <c r="E255" s="1666"/>
    </row>
    <row r="256" spans="1:6" ht="12.75" customHeight="1">
      <c r="A256" s="1869">
        <v>41339</v>
      </c>
      <c r="B256" s="1873" t="s">
        <v>1005</v>
      </c>
      <c r="C256" s="1878">
        <v>26</v>
      </c>
      <c r="D256" s="1873" t="s">
        <v>1571</v>
      </c>
      <c r="E256" s="1666"/>
    </row>
    <row r="257" spans="1:5" ht="12.75" customHeight="1">
      <c r="A257" s="1850">
        <v>41334</v>
      </c>
      <c r="B257" s="1884" t="s">
        <v>1005</v>
      </c>
      <c r="C257" s="1893">
        <v>25</v>
      </c>
      <c r="D257" s="1884" t="s">
        <v>1570</v>
      </c>
      <c r="E257" s="1666"/>
    </row>
    <row r="258" spans="1:5" ht="12.75" customHeight="1">
      <c r="A258" s="1850">
        <v>41332</v>
      </c>
      <c r="B258" s="1884" t="s">
        <v>1005</v>
      </c>
      <c r="C258" s="1893">
        <v>24</v>
      </c>
      <c r="D258" s="1884" t="s">
        <v>1568</v>
      </c>
      <c r="E258" s="1666"/>
    </row>
    <row r="259" spans="1:5" ht="12.75" customHeight="1">
      <c r="A259" s="1850">
        <v>41332</v>
      </c>
      <c r="B259" s="1884" t="s">
        <v>1005</v>
      </c>
      <c r="C259" s="1893">
        <v>23</v>
      </c>
      <c r="D259" s="1884" t="s">
        <v>1567</v>
      </c>
      <c r="E259" s="1666"/>
    </row>
    <row r="260" spans="1:5" ht="12.75" customHeight="1">
      <c r="A260" s="1869">
        <v>41325</v>
      </c>
      <c r="B260" s="1873" t="s">
        <v>1005</v>
      </c>
      <c r="C260" s="1878">
        <v>22</v>
      </c>
      <c r="D260" s="1873" t="s">
        <v>1559</v>
      </c>
      <c r="E260" s="1666"/>
    </row>
    <row r="261" spans="1:5" ht="12.75" customHeight="1">
      <c r="A261" s="1854">
        <v>41319</v>
      </c>
      <c r="B261" s="1884" t="s">
        <v>1005</v>
      </c>
      <c r="C261" s="1894">
        <v>21</v>
      </c>
      <c r="D261" s="1884" t="s">
        <v>1558</v>
      </c>
      <c r="E261" s="1666"/>
    </row>
    <row r="262" spans="1:5" ht="12.75" customHeight="1">
      <c r="A262" s="1854">
        <v>41317</v>
      </c>
      <c r="B262" s="1851" t="s">
        <v>1005</v>
      </c>
      <c r="C262" s="1894">
        <v>20</v>
      </c>
      <c r="D262" s="1884" t="s">
        <v>1505</v>
      </c>
      <c r="E262" s="1666"/>
    </row>
    <row r="263" spans="1:5" ht="12.75" customHeight="1">
      <c r="A263" s="1854">
        <v>41317</v>
      </c>
      <c r="B263" s="1851" t="s">
        <v>1005</v>
      </c>
      <c r="C263" s="1894">
        <v>19</v>
      </c>
      <c r="D263" s="1884" t="s">
        <v>1504</v>
      </c>
      <c r="E263" s="1666"/>
    </row>
    <row r="264" spans="1:5" ht="12.75" customHeight="1">
      <c r="A264" s="1854">
        <v>41305</v>
      </c>
      <c r="B264" s="1851" t="s">
        <v>1005</v>
      </c>
      <c r="C264" s="1894">
        <v>18</v>
      </c>
      <c r="D264" s="1884" t="s">
        <v>1502</v>
      </c>
      <c r="E264" s="1666"/>
    </row>
    <row r="265" spans="1:5" ht="12.75" customHeight="1">
      <c r="A265" s="1854">
        <v>41304</v>
      </c>
      <c r="B265" s="1851" t="s">
        <v>1005</v>
      </c>
      <c r="C265" s="1894">
        <v>17</v>
      </c>
      <c r="D265" s="1884" t="s">
        <v>1487</v>
      </c>
      <c r="E265" s="1666"/>
    </row>
    <row r="266" spans="1:5" ht="12.75" customHeight="1">
      <c r="A266" s="1854">
        <v>41304</v>
      </c>
      <c r="B266" s="1851" t="s">
        <v>1005</v>
      </c>
      <c r="C266" s="1894">
        <v>16</v>
      </c>
      <c r="D266" s="1884" t="s">
        <v>1485</v>
      </c>
      <c r="E266" s="1666"/>
    </row>
    <row r="267" spans="1:5" ht="12.75" customHeight="1">
      <c r="A267" s="1854">
        <v>41304</v>
      </c>
      <c r="B267" s="1851" t="s">
        <v>1005</v>
      </c>
      <c r="C267" s="1894">
        <v>15</v>
      </c>
      <c r="D267" s="1884" t="s">
        <v>1486</v>
      </c>
      <c r="E267" s="1666"/>
    </row>
    <row r="268" spans="1:5" ht="12.75" customHeight="1">
      <c r="A268" s="1869">
        <v>41285</v>
      </c>
      <c r="B268" s="1888" t="s">
        <v>1005</v>
      </c>
      <c r="C268" s="1878">
        <v>14</v>
      </c>
      <c r="D268" s="1873" t="s">
        <v>1469</v>
      </c>
      <c r="E268" s="1666"/>
    </row>
    <row r="269" spans="1:5" ht="12.75" customHeight="1">
      <c r="A269" s="1854">
        <v>41282</v>
      </c>
      <c r="B269" s="1851" t="s">
        <v>1005</v>
      </c>
      <c r="C269" s="1894">
        <v>13</v>
      </c>
      <c r="D269" s="1884" t="s">
        <v>1463</v>
      </c>
      <c r="E269" s="1666"/>
    </row>
    <row r="270" spans="1:5" ht="12.75" customHeight="1">
      <c r="A270" s="1854" t="s">
        <v>1460</v>
      </c>
      <c r="B270" s="1851" t="s">
        <v>1005</v>
      </c>
      <c r="C270" s="1894">
        <v>12</v>
      </c>
      <c r="D270" s="1884" t="s">
        <v>1461</v>
      </c>
      <c r="E270" s="1666"/>
    </row>
    <row r="271" spans="1:5" ht="12.75" customHeight="1">
      <c r="A271" s="1895">
        <v>41277</v>
      </c>
      <c r="B271" s="1851" t="s">
        <v>1005</v>
      </c>
      <c r="C271" s="1894">
        <v>11</v>
      </c>
      <c r="D271" s="1884" t="s">
        <v>1462</v>
      </c>
      <c r="E271" s="1666"/>
    </row>
    <row r="272" spans="1:5" ht="12.75" customHeight="1">
      <c r="A272" s="1854">
        <v>41257</v>
      </c>
      <c r="B272" s="1851" t="s">
        <v>1005</v>
      </c>
      <c r="C272" s="1894">
        <v>10</v>
      </c>
      <c r="D272" s="1884" t="s">
        <v>1450</v>
      </c>
      <c r="E272" s="1666"/>
    </row>
    <row r="273" spans="1:5" ht="12.75" customHeight="1">
      <c r="A273" s="1854">
        <v>41256</v>
      </c>
      <c r="B273" s="1851" t="s">
        <v>1005</v>
      </c>
      <c r="C273" s="1894">
        <v>9</v>
      </c>
      <c r="D273" s="1884" t="s">
        <v>1449</v>
      </c>
      <c r="E273" s="1666"/>
    </row>
    <row r="274" spans="1:5" ht="12.75" customHeight="1">
      <c r="A274" s="1854">
        <v>41249</v>
      </c>
      <c r="B274" s="1851" t="s">
        <v>1005</v>
      </c>
      <c r="C274" s="1894">
        <v>8</v>
      </c>
      <c r="D274" s="1884" t="s">
        <v>1442</v>
      </c>
      <c r="E274" s="1666"/>
    </row>
    <row r="275" spans="1:5" ht="12.75" customHeight="1">
      <c r="A275" s="1854">
        <v>41249</v>
      </c>
      <c r="B275" s="1851" t="s">
        <v>1005</v>
      </c>
      <c r="C275" s="1894">
        <v>7</v>
      </c>
      <c r="D275" s="1884" t="s">
        <v>1396</v>
      </c>
      <c r="E275" s="1666"/>
    </row>
    <row r="276" spans="1:5" ht="12.75" customHeight="1">
      <c r="A276" s="1854">
        <v>41246</v>
      </c>
      <c r="B276" s="1851" t="s">
        <v>1005</v>
      </c>
      <c r="C276" s="1894">
        <v>6</v>
      </c>
      <c r="D276" s="1884" t="s">
        <v>1394</v>
      </c>
      <c r="E276" s="1666"/>
    </row>
    <row r="277" spans="1:5" ht="12.75" customHeight="1">
      <c r="A277" s="1854">
        <v>41233</v>
      </c>
      <c r="B277" s="1851" t="s">
        <v>1005</v>
      </c>
      <c r="C277" s="1894">
        <v>5</v>
      </c>
      <c r="D277" s="1884" t="s">
        <v>1393</v>
      </c>
      <c r="E277" s="1666"/>
    </row>
    <row r="278" spans="1:5" ht="12.75" customHeight="1">
      <c r="A278" s="1854">
        <v>41233</v>
      </c>
      <c r="B278" s="1851" t="s">
        <v>1005</v>
      </c>
      <c r="C278" s="1894">
        <v>4</v>
      </c>
      <c r="D278" s="1884" t="s">
        <v>1392</v>
      </c>
      <c r="E278" s="1666"/>
    </row>
    <row r="279" spans="1:5" ht="12.75" customHeight="1">
      <c r="A279" s="1854">
        <v>41226</v>
      </c>
      <c r="B279" s="1851" t="s">
        <v>1005</v>
      </c>
      <c r="C279" s="1894">
        <v>3</v>
      </c>
      <c r="D279" s="1884" t="s">
        <v>1506</v>
      </c>
      <c r="E279" s="1666"/>
    </row>
    <row r="280" spans="1:5" ht="12.75" customHeight="1">
      <c r="A280" s="1854">
        <v>41226</v>
      </c>
      <c r="B280" s="1851" t="s">
        <v>1005</v>
      </c>
      <c r="C280" s="1894">
        <v>2</v>
      </c>
      <c r="D280" s="1884" t="s">
        <v>1377</v>
      </c>
      <c r="E280" s="1666"/>
    </row>
    <row r="281" spans="1:5" ht="12.75" customHeight="1">
      <c r="A281" s="1854">
        <v>41223</v>
      </c>
      <c r="B281" s="1851" t="s">
        <v>1005</v>
      </c>
      <c r="C281" s="1894">
        <v>1</v>
      </c>
      <c r="D281" s="1884" t="s">
        <v>1372</v>
      </c>
      <c r="E281" s="1666"/>
    </row>
    <row r="282" spans="1:5" ht="12.75" customHeight="1">
      <c r="A282" s="1854"/>
      <c r="B282" s="1851"/>
      <c r="C282" s="1894"/>
      <c r="D282" s="1884"/>
      <c r="E282" s="1666"/>
    </row>
    <row r="283" spans="1:5" ht="12.75" customHeight="1">
      <c r="A283" s="1854"/>
      <c r="B283" s="1851"/>
      <c r="C283" s="1894"/>
      <c r="D283" s="1884"/>
      <c r="E283" s="1666"/>
    </row>
    <row r="284" spans="1:5" ht="13.5" customHeight="1">
      <c r="A284" s="1854"/>
      <c r="B284" s="1851" t="s">
        <v>1005</v>
      </c>
      <c r="C284" s="1848" t="s">
        <v>1059</v>
      </c>
      <c r="D284" s="1886" t="s">
        <v>1010</v>
      </c>
      <c r="E284" s="1666"/>
    </row>
    <row r="285" spans="1:5" ht="12.75" customHeight="1">
      <c r="A285" s="1854">
        <v>41130</v>
      </c>
      <c r="B285" s="1884" t="s">
        <v>1005</v>
      </c>
      <c r="C285" s="1894">
        <v>1</v>
      </c>
      <c r="D285" s="1884" t="s">
        <v>1307</v>
      </c>
      <c r="E285" s="1666"/>
    </row>
    <row r="286" spans="1:5" ht="12.75" customHeight="1">
      <c r="A286" s="1854">
        <v>41133</v>
      </c>
      <c r="B286" s="1884" t="s">
        <v>1005</v>
      </c>
      <c r="C286" s="1894">
        <v>2</v>
      </c>
      <c r="D286" s="1884" t="s">
        <v>1308</v>
      </c>
      <c r="E286" s="1666"/>
    </row>
    <row r="287" spans="1:5" ht="12.75" customHeight="1">
      <c r="A287" s="1854">
        <v>41133</v>
      </c>
      <c r="B287" s="1884" t="s">
        <v>1005</v>
      </c>
      <c r="C287" s="1894">
        <v>3</v>
      </c>
      <c r="D287" s="1884" t="s">
        <v>1309</v>
      </c>
      <c r="E287" s="1666"/>
    </row>
    <row r="288" spans="1:5" ht="12.75" customHeight="1">
      <c r="A288" s="1854">
        <v>41137</v>
      </c>
      <c r="B288" s="1884" t="s">
        <v>1005</v>
      </c>
      <c r="C288" s="1894">
        <v>4</v>
      </c>
      <c r="D288" s="1884" t="s">
        <v>1310</v>
      </c>
      <c r="E288" s="1666"/>
    </row>
    <row r="289" spans="1:5" ht="12.75" customHeight="1">
      <c r="A289" s="1854">
        <v>41144</v>
      </c>
      <c r="B289" s="1884" t="s">
        <v>1005</v>
      </c>
      <c r="C289" s="1894">
        <v>5</v>
      </c>
      <c r="D289" s="1884" t="s">
        <v>1311</v>
      </c>
      <c r="E289" s="1666"/>
    </row>
    <row r="290" spans="1:5" ht="12.75" customHeight="1">
      <c r="A290" s="1854">
        <v>41144</v>
      </c>
      <c r="B290" s="1884" t="s">
        <v>1005</v>
      </c>
      <c r="C290" s="1894">
        <v>6</v>
      </c>
      <c r="D290" s="1884" t="s">
        <v>1314</v>
      </c>
      <c r="E290" s="1666"/>
    </row>
    <row r="291" spans="1:5" ht="12.75" customHeight="1">
      <c r="A291" s="1854">
        <v>41144</v>
      </c>
      <c r="B291" s="1884" t="s">
        <v>1005</v>
      </c>
      <c r="C291" s="1894">
        <v>7</v>
      </c>
      <c r="D291" s="1884" t="s">
        <v>1313</v>
      </c>
      <c r="E291" s="1666"/>
    </row>
    <row r="292" spans="1:5" ht="12.75" customHeight="1">
      <c r="A292" s="1854">
        <v>41144</v>
      </c>
      <c r="B292" s="1884" t="s">
        <v>1005</v>
      </c>
      <c r="C292" s="1894">
        <v>8</v>
      </c>
      <c r="D292" s="1884" t="s">
        <v>1315</v>
      </c>
      <c r="E292" s="1666"/>
    </row>
    <row r="293" spans="1:5" ht="12.75" customHeight="1">
      <c r="A293" s="1854">
        <v>41145</v>
      </c>
      <c r="B293" s="1884" t="s">
        <v>1005</v>
      </c>
      <c r="C293" s="1894">
        <v>9</v>
      </c>
      <c r="D293" s="1884" t="s">
        <v>1312</v>
      </c>
      <c r="E293" s="1666"/>
    </row>
    <row r="294" spans="1:5" ht="12.75" customHeight="1">
      <c r="A294" s="1854">
        <v>41148</v>
      </c>
      <c r="B294" s="1884" t="s">
        <v>1005</v>
      </c>
      <c r="C294" s="1894">
        <v>10</v>
      </c>
      <c r="D294" s="1884" t="s">
        <v>1316</v>
      </c>
      <c r="E294" s="1666"/>
    </row>
    <row r="295" spans="1:5" ht="12.75" customHeight="1">
      <c r="A295" s="1854">
        <v>41179</v>
      </c>
      <c r="B295" s="1884" t="s">
        <v>1005</v>
      </c>
      <c r="C295" s="1894">
        <v>11</v>
      </c>
      <c r="D295" s="1884" t="s">
        <v>1319</v>
      </c>
      <c r="E295" s="1666"/>
    </row>
    <row r="296" spans="1:5" ht="12.75" customHeight="1">
      <c r="A296" s="1854">
        <v>41179</v>
      </c>
      <c r="B296" s="1884" t="s">
        <v>1005</v>
      </c>
      <c r="C296" s="1894">
        <v>12</v>
      </c>
      <c r="D296" s="1884" t="s">
        <v>1320</v>
      </c>
      <c r="E296" s="1666"/>
    </row>
    <row r="297" spans="1:5" ht="12.75" customHeight="1">
      <c r="A297" s="1854">
        <v>41179</v>
      </c>
      <c r="B297" s="1884" t="s">
        <v>1005</v>
      </c>
      <c r="C297" s="1894">
        <v>13</v>
      </c>
      <c r="D297" s="1884" t="s">
        <v>575</v>
      </c>
      <c r="E297" s="1666"/>
    </row>
    <row r="298" spans="1:5" ht="12.75" customHeight="1">
      <c r="A298" s="1854">
        <v>41179</v>
      </c>
      <c r="B298" s="1884" t="s">
        <v>1005</v>
      </c>
      <c r="C298" s="1894">
        <v>14</v>
      </c>
      <c r="D298" s="1884" t="s">
        <v>1321</v>
      </c>
      <c r="E298" s="1666"/>
    </row>
    <row r="299" spans="1:5" ht="12.75" customHeight="1">
      <c r="A299" s="1854">
        <v>41184</v>
      </c>
      <c r="B299" s="1884" t="s">
        <v>1005</v>
      </c>
      <c r="C299" s="1894">
        <v>15</v>
      </c>
      <c r="D299" s="1884" t="s">
        <v>1322</v>
      </c>
      <c r="E299" s="1666"/>
    </row>
    <row r="300" spans="1:5" ht="12.75" customHeight="1">
      <c r="A300" s="1854">
        <v>41184</v>
      </c>
      <c r="B300" s="1884" t="s">
        <v>1005</v>
      </c>
      <c r="C300" s="1894">
        <v>16</v>
      </c>
      <c r="D300" s="1884" t="s">
        <v>1323</v>
      </c>
      <c r="E300" s="1666"/>
    </row>
    <row r="301" spans="1:5" ht="12.75" customHeight="1">
      <c r="A301" s="1854">
        <v>41193</v>
      </c>
      <c r="B301" s="1884" t="s">
        <v>1005</v>
      </c>
      <c r="C301" s="1894">
        <v>17</v>
      </c>
      <c r="D301" s="1884" t="s">
        <v>1324</v>
      </c>
      <c r="E301" s="1666"/>
    </row>
    <row r="302" spans="1:5" ht="12.75" customHeight="1">
      <c r="A302" s="1854">
        <v>41193</v>
      </c>
      <c r="B302" s="1884" t="s">
        <v>1005</v>
      </c>
      <c r="C302" s="1894">
        <v>18</v>
      </c>
      <c r="D302" s="1884" t="s">
        <v>1325</v>
      </c>
      <c r="E302" s="1666"/>
    </row>
    <row r="303" spans="1:5" ht="12.75" customHeight="1">
      <c r="A303" s="1854">
        <v>41194</v>
      </c>
      <c r="B303" s="1884" t="s">
        <v>1005</v>
      </c>
      <c r="C303" s="1894">
        <v>19</v>
      </c>
      <c r="D303" s="1884" t="s">
        <v>1328</v>
      </c>
      <c r="E303" s="1666"/>
    </row>
    <row r="304" spans="1:5" ht="12.75" customHeight="1">
      <c r="A304" s="1854">
        <v>41194</v>
      </c>
      <c r="B304" s="1884" t="s">
        <v>1005</v>
      </c>
      <c r="C304" s="1894">
        <v>20</v>
      </c>
      <c r="D304" s="1884" t="s">
        <v>1329</v>
      </c>
      <c r="E304" s="1666"/>
    </row>
    <row r="305" spans="1:5" ht="12.75" customHeight="1">
      <c r="A305" s="1854">
        <v>41194</v>
      </c>
      <c r="B305" s="1884" t="s">
        <v>1005</v>
      </c>
      <c r="C305" s="1894">
        <v>21</v>
      </c>
      <c r="D305" s="1884" t="s">
        <v>1330</v>
      </c>
      <c r="E305" s="1666"/>
    </row>
    <row r="306" spans="1:5" ht="12.75" customHeight="1">
      <c r="A306" s="1854">
        <v>41197</v>
      </c>
      <c r="B306" s="1884" t="s">
        <v>1005</v>
      </c>
      <c r="C306" s="1894">
        <v>22</v>
      </c>
      <c r="D306" s="1884" t="s">
        <v>1332</v>
      </c>
      <c r="E306" s="1666"/>
    </row>
    <row r="307" spans="1:5" ht="12.75" customHeight="1">
      <c r="A307" s="1854">
        <v>41197</v>
      </c>
      <c r="B307" s="1884" t="s">
        <v>1005</v>
      </c>
      <c r="C307" s="1894">
        <v>23</v>
      </c>
      <c r="D307" s="1884" t="s">
        <v>1333</v>
      </c>
      <c r="E307" s="1666"/>
    </row>
    <row r="308" spans="1:5" ht="12.75" customHeight="1">
      <c r="A308" s="1854">
        <v>41199</v>
      </c>
      <c r="B308" s="1884" t="s">
        <v>1005</v>
      </c>
      <c r="C308" s="1894">
        <v>24</v>
      </c>
      <c r="D308" s="1884" t="s">
        <v>1337</v>
      </c>
      <c r="E308" s="1666"/>
    </row>
    <row r="309" spans="1:5" ht="12.75" customHeight="1">
      <c r="A309" s="1854">
        <v>41200</v>
      </c>
      <c r="B309" s="1884" t="s">
        <v>1005</v>
      </c>
      <c r="C309" s="1894">
        <v>25</v>
      </c>
      <c r="D309" s="1884" t="s">
        <v>1358</v>
      </c>
      <c r="E309" s="1666"/>
    </row>
    <row r="310" spans="1:5" ht="12.75" customHeight="1">
      <c r="A310" s="1854">
        <v>41219</v>
      </c>
      <c r="B310" s="1884" t="s">
        <v>1005</v>
      </c>
      <c r="C310" s="1894">
        <v>26</v>
      </c>
      <c r="D310" s="1884" t="s">
        <v>1369</v>
      </c>
      <c r="E310" s="1666"/>
    </row>
    <row r="311" spans="1:5" ht="12.75" customHeight="1">
      <c r="A311" s="1854"/>
      <c r="B311" s="1884"/>
      <c r="C311" s="1894"/>
      <c r="D311" s="1884"/>
      <c r="E311" s="1666"/>
    </row>
    <row r="312" spans="1:5" ht="12.75" customHeight="1">
      <c r="A312" s="1854"/>
      <c r="B312" s="1884"/>
      <c r="C312" s="1894"/>
      <c r="D312" s="1884"/>
      <c r="E312" s="1666"/>
    </row>
    <row r="313" spans="1:5" ht="12.75" customHeight="1">
      <c r="A313" s="1854">
        <v>41121</v>
      </c>
      <c r="B313" s="1851" t="s">
        <v>1005</v>
      </c>
      <c r="C313" s="1848" t="s">
        <v>1059</v>
      </c>
      <c r="D313" s="1886" t="s">
        <v>1060</v>
      </c>
      <c r="E313" s="1666"/>
    </row>
    <row r="314" spans="1:5" ht="12.75" customHeight="1">
      <c r="A314" s="1666"/>
      <c r="B314" s="1884" t="s">
        <v>1005</v>
      </c>
      <c r="C314" s="1894">
        <v>1</v>
      </c>
      <c r="D314" s="1884" t="s">
        <v>1061</v>
      </c>
      <c r="E314" s="1666"/>
    </row>
    <row r="315" spans="1:5" ht="12.75" customHeight="1">
      <c r="A315" s="1666"/>
      <c r="B315" s="1884" t="s">
        <v>1005</v>
      </c>
      <c r="C315" s="1894">
        <v>2</v>
      </c>
      <c r="D315" s="1884" t="s">
        <v>1156</v>
      </c>
      <c r="E315" s="1666"/>
    </row>
    <row r="316" spans="1:5" ht="12.75" customHeight="1">
      <c r="A316" s="1666"/>
      <c r="B316" s="1884" t="s">
        <v>1005</v>
      </c>
      <c r="C316" s="1894">
        <v>3</v>
      </c>
      <c r="D316" s="1884" t="s">
        <v>1062</v>
      </c>
      <c r="E316" s="1666"/>
    </row>
    <row r="317" spans="1:5" ht="12.75" customHeight="1">
      <c r="A317" s="1666"/>
      <c r="B317" s="1884" t="s">
        <v>1005</v>
      </c>
      <c r="C317" s="1894">
        <v>4</v>
      </c>
      <c r="D317" s="1884" t="s">
        <v>1118</v>
      </c>
      <c r="E317" s="1666"/>
    </row>
    <row r="318" spans="1:5" ht="12.75" customHeight="1">
      <c r="A318" s="1666"/>
      <c r="B318" s="1884" t="s">
        <v>1005</v>
      </c>
      <c r="C318" s="1894">
        <v>5</v>
      </c>
      <c r="D318" s="1884" t="s">
        <v>1063</v>
      </c>
      <c r="E318" s="1666"/>
    </row>
    <row r="319" spans="1:5" ht="12.75" customHeight="1">
      <c r="A319" s="1666"/>
      <c r="B319" s="1884" t="s">
        <v>1005</v>
      </c>
      <c r="C319" s="1894">
        <v>6</v>
      </c>
      <c r="D319" s="1884" t="s">
        <v>1119</v>
      </c>
      <c r="E319" s="1666"/>
    </row>
    <row r="320" spans="1:5" ht="12.75" customHeight="1">
      <c r="A320" s="1666"/>
      <c r="B320" s="1884" t="s">
        <v>1005</v>
      </c>
      <c r="C320" s="1894">
        <v>7</v>
      </c>
      <c r="D320" s="1884" t="s">
        <v>1125</v>
      </c>
      <c r="E320" s="1666"/>
    </row>
    <row r="321" spans="1:5" ht="12.75" customHeight="1">
      <c r="A321" s="1666"/>
      <c r="B321" s="1884" t="s">
        <v>1005</v>
      </c>
      <c r="C321" s="1894">
        <v>8</v>
      </c>
      <c r="D321" s="1884" t="s">
        <v>1155</v>
      </c>
      <c r="E321" s="1666"/>
    </row>
    <row r="322" spans="1:5" ht="12.75" customHeight="1">
      <c r="A322" s="1666"/>
      <c r="B322" s="1884" t="s">
        <v>1005</v>
      </c>
      <c r="C322" s="1894">
        <v>9</v>
      </c>
      <c r="D322" s="1884" t="s">
        <v>1251</v>
      </c>
      <c r="E322" s="1666"/>
    </row>
    <row r="323" spans="1:5" ht="12.75" customHeight="1">
      <c r="A323" s="1854">
        <v>41012</v>
      </c>
      <c r="B323" s="1851" t="s">
        <v>1005</v>
      </c>
      <c r="C323" s="1848" t="s">
        <v>1009</v>
      </c>
      <c r="D323" s="1887" t="s">
        <v>1010</v>
      </c>
      <c r="E323" s="1666"/>
    </row>
    <row r="324" spans="1:5" ht="12.75" customHeight="1">
      <c r="A324" s="1896"/>
      <c r="B324" s="1851" t="s">
        <v>1006</v>
      </c>
      <c r="C324" s="1897">
        <v>1</v>
      </c>
      <c r="D324" s="1898" t="s">
        <v>1011</v>
      </c>
      <c r="E324" s="1666"/>
    </row>
    <row r="325" spans="1:5" ht="12.75" customHeight="1">
      <c r="A325" s="1896"/>
      <c r="B325" s="1851" t="s">
        <v>1006</v>
      </c>
      <c r="C325" s="1897">
        <v>2</v>
      </c>
      <c r="D325" s="1898" t="s">
        <v>1012</v>
      </c>
      <c r="E325" s="1666"/>
    </row>
    <row r="326" spans="1:5" ht="12.75" customHeight="1">
      <c r="A326" s="1899">
        <v>41022</v>
      </c>
      <c r="B326" s="1851" t="s">
        <v>1005</v>
      </c>
      <c r="C326" s="1897">
        <v>3</v>
      </c>
      <c r="D326" s="1898" t="s">
        <v>1016</v>
      </c>
      <c r="E326" s="1666"/>
    </row>
    <row r="327" spans="1:5" ht="12.75" customHeight="1">
      <c r="A327" s="1899">
        <v>41022</v>
      </c>
      <c r="B327" s="1851" t="s">
        <v>1005</v>
      </c>
      <c r="C327" s="1897">
        <v>4</v>
      </c>
      <c r="D327" s="1898" t="s">
        <v>1017</v>
      </c>
      <c r="E327" s="1666"/>
    </row>
    <row r="328" spans="1:5" ht="12.75" customHeight="1">
      <c r="A328" s="1899">
        <v>41023</v>
      </c>
      <c r="B328" s="1851" t="s">
        <v>1005</v>
      </c>
      <c r="C328" s="1897">
        <v>5</v>
      </c>
      <c r="D328" s="1898" t="s">
        <v>1018</v>
      </c>
      <c r="E328" s="1666"/>
    </row>
    <row r="329" spans="1:5" ht="12.75" customHeight="1">
      <c r="A329" s="1899">
        <v>41024</v>
      </c>
      <c r="B329" s="1851" t="s">
        <v>1034</v>
      </c>
      <c r="C329" s="1897">
        <v>6</v>
      </c>
      <c r="D329" s="1898" t="s">
        <v>1035</v>
      </c>
      <c r="E329" s="1666"/>
    </row>
    <row r="330" spans="1:5" ht="12.75" customHeight="1">
      <c r="A330" s="1899">
        <v>41026</v>
      </c>
      <c r="B330" s="1851" t="s">
        <v>1040</v>
      </c>
      <c r="C330" s="1897">
        <v>7</v>
      </c>
      <c r="D330" s="1898" t="s">
        <v>1041</v>
      </c>
      <c r="E330" s="1666"/>
    </row>
    <row r="331" spans="1:5" ht="12.75" customHeight="1">
      <c r="A331" s="1899">
        <v>41026</v>
      </c>
      <c r="B331" s="1851" t="s">
        <v>1040</v>
      </c>
      <c r="C331" s="1897">
        <v>8</v>
      </c>
      <c r="D331" s="1898" t="s">
        <v>1042</v>
      </c>
      <c r="E331" s="1666"/>
    </row>
    <row r="332" spans="1:5" ht="12.75" customHeight="1">
      <c r="A332" s="1899">
        <v>41026</v>
      </c>
      <c r="B332" s="1851" t="s">
        <v>1040</v>
      </c>
      <c r="C332" s="1897">
        <v>9</v>
      </c>
      <c r="D332" s="1898" t="s">
        <v>1046</v>
      </c>
      <c r="E332" s="1666"/>
    </row>
    <row r="333" spans="1:5" ht="12.75" customHeight="1">
      <c r="A333" s="1899"/>
      <c r="B333" s="1851"/>
      <c r="C333" s="1897"/>
      <c r="D333" s="1898" t="s">
        <v>1049</v>
      </c>
      <c r="E333" s="1666"/>
    </row>
    <row r="334" spans="1:5" ht="12.75" customHeight="1">
      <c r="A334" s="1899">
        <v>41026</v>
      </c>
      <c r="B334" s="1851" t="s">
        <v>1005</v>
      </c>
      <c r="C334" s="1897">
        <v>10</v>
      </c>
      <c r="D334" s="1898" t="s">
        <v>1048</v>
      </c>
      <c r="E334" s="1666"/>
    </row>
    <row r="335" spans="1:5" ht="12.75" customHeight="1">
      <c r="A335" s="1899">
        <v>41037</v>
      </c>
      <c r="B335" s="1851" t="s">
        <v>1005</v>
      </c>
      <c r="C335" s="1897">
        <v>11</v>
      </c>
      <c r="D335" s="1898" t="s">
        <v>1051</v>
      </c>
      <c r="E335" s="1666"/>
    </row>
    <row r="336" spans="1:5" ht="12.75" customHeight="1">
      <c r="A336" s="1900">
        <v>40956</v>
      </c>
      <c r="B336" s="1851" t="s">
        <v>1005</v>
      </c>
      <c r="C336" s="1848" t="s">
        <v>1008</v>
      </c>
      <c r="D336" s="1887" t="s">
        <v>471</v>
      </c>
      <c r="E336" s="1666"/>
    </row>
    <row r="337" spans="1:5" ht="12.75" customHeight="1">
      <c r="A337" s="1896"/>
      <c r="B337" s="1851" t="s">
        <v>1005</v>
      </c>
      <c r="C337" s="1897">
        <v>1</v>
      </c>
      <c r="D337" s="1901" t="s">
        <v>955</v>
      </c>
      <c r="E337" s="1666"/>
    </row>
    <row r="338" spans="1:5" ht="12.75" customHeight="1">
      <c r="A338" s="1896"/>
      <c r="B338" s="1851" t="s">
        <v>1005</v>
      </c>
      <c r="C338" s="1897">
        <v>2</v>
      </c>
      <c r="D338" s="1901" t="s">
        <v>954</v>
      </c>
      <c r="E338" s="1666"/>
    </row>
    <row r="339" spans="1:5" ht="12.75" customHeight="1">
      <c r="A339" s="1896"/>
      <c r="B339" s="1851" t="s">
        <v>1005</v>
      </c>
      <c r="C339" s="1897">
        <v>3</v>
      </c>
      <c r="D339" s="1901" t="s">
        <v>945</v>
      </c>
      <c r="E339" s="1666"/>
    </row>
    <row r="340" spans="1:5" ht="12.75" customHeight="1">
      <c r="A340" s="1896"/>
      <c r="B340" s="1851" t="s">
        <v>1005</v>
      </c>
      <c r="C340" s="1897">
        <v>4</v>
      </c>
      <c r="D340" s="1901" t="s">
        <v>953</v>
      </c>
      <c r="E340" s="1666"/>
    </row>
    <row r="341" spans="1:5" ht="12.75" customHeight="1">
      <c r="A341" s="1896"/>
      <c r="B341" s="1851" t="s">
        <v>1006</v>
      </c>
      <c r="C341" s="1897">
        <v>5</v>
      </c>
      <c r="D341" s="1901" t="s">
        <v>952</v>
      </c>
      <c r="E341" s="1666"/>
    </row>
    <row r="342" spans="1:5" ht="12.75" customHeight="1">
      <c r="A342" s="1896"/>
      <c r="B342" s="1851" t="s">
        <v>1006</v>
      </c>
      <c r="C342" s="1897">
        <v>6</v>
      </c>
      <c r="D342" s="1901" t="s">
        <v>946</v>
      </c>
      <c r="E342" s="1666"/>
    </row>
    <row r="343" spans="1:5" ht="12.75" customHeight="1">
      <c r="A343" s="1896"/>
      <c r="B343" s="1851" t="s">
        <v>1005</v>
      </c>
      <c r="C343" s="1897">
        <v>7</v>
      </c>
      <c r="D343" s="1901" t="s">
        <v>950</v>
      </c>
      <c r="E343" s="1666"/>
    </row>
    <row r="344" spans="1:5">
      <c r="A344" s="1896"/>
      <c r="B344" s="1851" t="s">
        <v>1006</v>
      </c>
      <c r="C344" s="1897">
        <v>8</v>
      </c>
      <c r="D344" s="1901" t="s">
        <v>951</v>
      </c>
      <c r="E344" s="1666"/>
    </row>
    <row r="345" spans="1:5">
      <c r="A345" s="1896"/>
      <c r="B345" s="1851" t="s">
        <v>1005</v>
      </c>
      <c r="C345" s="1897">
        <v>9</v>
      </c>
      <c r="D345" s="1901" t="s">
        <v>956</v>
      </c>
      <c r="E345" s="1666"/>
    </row>
    <row r="346" spans="1:5">
      <c r="A346" s="1896"/>
      <c r="B346" s="1851" t="s">
        <v>1005</v>
      </c>
      <c r="C346" s="1897">
        <v>10</v>
      </c>
      <c r="D346" s="1901" t="s">
        <v>957</v>
      </c>
      <c r="E346" s="1666"/>
    </row>
    <row r="347" spans="1:5">
      <c r="A347" s="1896">
        <v>41012</v>
      </c>
      <c r="B347" s="1851" t="s">
        <v>1005</v>
      </c>
      <c r="C347" s="1897">
        <v>11</v>
      </c>
      <c r="D347" s="1898" t="s">
        <v>1004</v>
      </c>
      <c r="E347" s="1666"/>
    </row>
    <row r="348" spans="1:5">
      <c r="A348" s="1896"/>
      <c r="B348" s="1851" t="s">
        <v>1005</v>
      </c>
      <c r="C348" s="1897">
        <v>11</v>
      </c>
      <c r="D348" s="1898" t="s">
        <v>1007</v>
      </c>
      <c r="E348" s="1666"/>
    </row>
    <row r="349" spans="1:5">
      <c r="A349" s="1854">
        <v>40956</v>
      </c>
      <c r="B349" s="1851" t="s">
        <v>1005</v>
      </c>
      <c r="C349" s="1848" t="s">
        <v>913</v>
      </c>
      <c r="D349" s="1887" t="s">
        <v>471</v>
      </c>
      <c r="E349" s="1666"/>
    </row>
    <row r="350" spans="1:5">
      <c r="A350" s="1896"/>
      <c r="B350" s="1851" t="s">
        <v>1005</v>
      </c>
      <c r="C350" s="1897">
        <v>1</v>
      </c>
      <c r="D350" s="1901" t="s">
        <v>910</v>
      </c>
      <c r="E350" s="1666"/>
    </row>
    <row r="351" spans="1:5">
      <c r="A351" s="1896"/>
      <c r="B351" s="1851" t="s">
        <v>1005</v>
      </c>
      <c r="C351" s="1897">
        <v>2</v>
      </c>
      <c r="D351" s="1901" t="s">
        <v>911</v>
      </c>
      <c r="E351" s="1666"/>
    </row>
    <row r="352" spans="1:5">
      <c r="A352" s="1896"/>
      <c r="B352" s="1851" t="s">
        <v>1005</v>
      </c>
      <c r="C352" s="1897">
        <v>3</v>
      </c>
      <c r="D352" s="1901" t="s">
        <v>912</v>
      </c>
      <c r="E352" s="1666"/>
    </row>
    <row r="353" spans="1:5">
      <c r="A353" s="1896"/>
      <c r="B353" s="1851" t="s">
        <v>1005</v>
      </c>
      <c r="C353" s="1897">
        <v>4</v>
      </c>
      <c r="D353" s="1901" t="s">
        <v>914</v>
      </c>
      <c r="E353" s="1666"/>
    </row>
    <row r="354" spans="1:5">
      <c r="A354" s="1854">
        <v>40932</v>
      </c>
      <c r="B354" s="1851" t="s">
        <v>1005</v>
      </c>
      <c r="C354" s="1848" t="s">
        <v>884</v>
      </c>
      <c r="D354" s="1887" t="s">
        <v>471</v>
      </c>
      <c r="E354" s="1666"/>
    </row>
    <row r="355" spans="1:5">
      <c r="A355" s="1896"/>
      <c r="B355" s="1851" t="s">
        <v>1005</v>
      </c>
      <c r="C355" s="1897">
        <v>1</v>
      </c>
      <c r="D355" s="1901" t="s">
        <v>885</v>
      </c>
      <c r="E355" s="1666"/>
    </row>
    <row r="356" spans="1:5">
      <c r="A356" s="1896"/>
      <c r="B356" s="1851" t="s">
        <v>1005</v>
      </c>
      <c r="C356" s="1897">
        <v>2</v>
      </c>
      <c r="D356" s="1901" t="s">
        <v>886</v>
      </c>
      <c r="E356" s="1666"/>
    </row>
    <row r="357" spans="1:5">
      <c r="A357" s="1896"/>
      <c r="B357" s="1851" t="s">
        <v>1005</v>
      </c>
      <c r="C357" s="1897">
        <v>3</v>
      </c>
      <c r="D357" s="1901" t="s">
        <v>887</v>
      </c>
      <c r="E357" s="1666"/>
    </row>
    <row r="358" spans="1:5">
      <c r="A358" s="1896"/>
      <c r="B358" s="1851" t="s">
        <v>1005</v>
      </c>
      <c r="C358" s="1897">
        <v>4</v>
      </c>
      <c r="D358" s="1901" t="s">
        <v>888</v>
      </c>
      <c r="E358" s="1666"/>
    </row>
    <row r="359" spans="1:5">
      <c r="A359" s="1896"/>
      <c r="B359" s="1851" t="s">
        <v>1005</v>
      </c>
      <c r="C359" s="1897">
        <v>5</v>
      </c>
      <c r="D359" s="1901" t="s">
        <v>889</v>
      </c>
      <c r="E359" s="1666"/>
    </row>
    <row r="360" spans="1:5">
      <c r="A360" s="1896"/>
      <c r="B360" s="1851" t="s">
        <v>1005</v>
      </c>
      <c r="C360" s="1897">
        <v>6</v>
      </c>
      <c r="D360" s="1901" t="s">
        <v>890</v>
      </c>
      <c r="E360" s="1666"/>
    </row>
    <row r="361" spans="1:5">
      <c r="A361" s="1896"/>
      <c r="B361" s="1851" t="s">
        <v>1005</v>
      </c>
      <c r="C361" s="1897">
        <v>7</v>
      </c>
      <c r="D361" s="1901" t="s">
        <v>891</v>
      </c>
      <c r="E361" s="1666"/>
    </row>
    <row r="362" spans="1:5">
      <c r="A362" s="1896"/>
      <c r="B362" s="1851" t="s">
        <v>1005</v>
      </c>
      <c r="C362" s="1897">
        <v>8</v>
      </c>
      <c r="D362" s="1901" t="s">
        <v>892</v>
      </c>
      <c r="E362" s="1666"/>
    </row>
    <row r="363" spans="1:5">
      <c r="A363" s="1896"/>
      <c r="B363" s="1851" t="s">
        <v>1005</v>
      </c>
      <c r="C363" s="1897">
        <v>9</v>
      </c>
      <c r="D363" s="1901" t="s">
        <v>893</v>
      </c>
      <c r="E363" s="1666"/>
    </row>
    <row r="364" spans="1:5">
      <c r="A364" s="1854">
        <v>40932</v>
      </c>
      <c r="B364" s="1851" t="s">
        <v>1005</v>
      </c>
      <c r="C364" s="1848" t="s">
        <v>813</v>
      </c>
      <c r="D364" s="1887" t="s">
        <v>471</v>
      </c>
      <c r="E364" s="1666"/>
    </row>
    <row r="365" spans="1:5">
      <c r="A365" s="1896"/>
      <c r="B365" s="1851" t="s">
        <v>1005</v>
      </c>
      <c r="C365" s="1897">
        <v>1</v>
      </c>
      <c r="D365" s="1901" t="s">
        <v>814</v>
      </c>
      <c r="E365" s="1666"/>
    </row>
    <row r="366" spans="1:5">
      <c r="A366" s="1896"/>
      <c r="B366" s="1851" t="s">
        <v>1005</v>
      </c>
      <c r="C366" s="1897">
        <v>2</v>
      </c>
      <c r="D366" s="1901" t="s">
        <v>815</v>
      </c>
      <c r="E366" s="1666"/>
    </row>
    <row r="367" spans="1:5">
      <c r="A367" s="1896"/>
      <c r="B367" s="1851" t="s">
        <v>1005</v>
      </c>
      <c r="C367" s="1897">
        <v>3</v>
      </c>
      <c r="D367" s="1901" t="s">
        <v>819</v>
      </c>
      <c r="E367" s="1666"/>
    </row>
    <row r="368" spans="1:5">
      <c r="A368" s="1896"/>
      <c r="B368" s="1851" t="s">
        <v>1005</v>
      </c>
      <c r="C368" s="1897">
        <v>4</v>
      </c>
      <c r="D368" s="1901" t="s">
        <v>821</v>
      </c>
      <c r="E368" s="1666"/>
    </row>
    <row r="369" spans="1:5">
      <c r="A369" s="1896"/>
      <c r="B369" s="1851" t="s">
        <v>1005</v>
      </c>
      <c r="C369" s="1897">
        <v>5</v>
      </c>
      <c r="D369" s="1901" t="s">
        <v>822</v>
      </c>
      <c r="E369" s="1666"/>
    </row>
    <row r="370" spans="1:5">
      <c r="A370" s="1854">
        <v>40856</v>
      </c>
      <c r="B370" s="1851" t="s">
        <v>1005</v>
      </c>
      <c r="C370" s="1848" t="s">
        <v>786</v>
      </c>
      <c r="D370" s="1887" t="s">
        <v>471</v>
      </c>
      <c r="E370" s="1666"/>
    </row>
    <row r="371" spans="1:5">
      <c r="A371" s="1896"/>
      <c r="B371" s="1851" t="s">
        <v>1005</v>
      </c>
      <c r="C371" s="1897">
        <v>1</v>
      </c>
      <c r="D371" s="1901" t="s">
        <v>787</v>
      </c>
      <c r="E371" s="1666"/>
    </row>
    <row r="372" spans="1:5">
      <c r="A372" s="1896"/>
      <c r="B372" s="1851" t="s">
        <v>1005</v>
      </c>
      <c r="C372" s="1897">
        <v>2</v>
      </c>
      <c r="D372" s="1901" t="s">
        <v>788</v>
      </c>
      <c r="E372" s="1666"/>
    </row>
    <row r="373" spans="1:5">
      <c r="A373" s="1896"/>
      <c r="B373" s="1851" t="s">
        <v>1005</v>
      </c>
      <c r="C373" s="1897">
        <v>3</v>
      </c>
      <c r="D373" s="1901" t="s">
        <v>789</v>
      </c>
      <c r="E373" s="1666"/>
    </row>
    <row r="374" spans="1:5">
      <c r="A374" s="1896"/>
      <c r="B374" s="1851" t="s">
        <v>1005</v>
      </c>
      <c r="C374" s="1897">
        <v>4</v>
      </c>
      <c r="D374" s="1901" t="s">
        <v>790</v>
      </c>
      <c r="E374" s="1666"/>
    </row>
    <row r="375" spans="1:5">
      <c r="A375" s="1896"/>
      <c r="B375" s="1851" t="s">
        <v>1005</v>
      </c>
      <c r="C375" s="1897">
        <v>5</v>
      </c>
      <c r="D375" s="1901" t="s">
        <v>788</v>
      </c>
      <c r="E375" s="1666"/>
    </row>
    <row r="376" spans="1:5">
      <c r="A376" s="1896"/>
      <c r="B376" s="1851" t="s">
        <v>1005</v>
      </c>
      <c r="C376" s="1897">
        <v>6</v>
      </c>
      <c r="D376" s="1901" t="s">
        <v>792</v>
      </c>
      <c r="E376" s="1666"/>
    </row>
    <row r="377" spans="1:5">
      <c r="A377" s="1896"/>
      <c r="B377" s="1851" t="s">
        <v>1005</v>
      </c>
      <c r="C377" s="1897"/>
      <c r="D377" s="1901" t="s">
        <v>793</v>
      </c>
      <c r="E377" s="1666"/>
    </row>
    <row r="378" spans="1:5" ht="18" customHeight="1">
      <c r="A378" s="1896"/>
      <c r="B378" s="1851" t="s">
        <v>1005</v>
      </c>
      <c r="C378" s="1897">
        <v>7</v>
      </c>
      <c r="D378" s="1901" t="s">
        <v>795</v>
      </c>
      <c r="E378" s="1666"/>
    </row>
    <row r="379" spans="1:5">
      <c r="A379" s="1896"/>
      <c r="B379" s="1851" t="s">
        <v>1005</v>
      </c>
      <c r="C379" s="1897">
        <v>8</v>
      </c>
      <c r="D379" s="1901" t="s">
        <v>803</v>
      </c>
      <c r="E379" s="1666"/>
    </row>
    <row r="380" spans="1:5">
      <c r="A380" s="1896"/>
      <c r="B380" s="1851" t="s">
        <v>1005</v>
      </c>
      <c r="C380" s="1897">
        <v>9</v>
      </c>
      <c r="D380" s="1901" t="s">
        <v>804</v>
      </c>
      <c r="E380" s="1666"/>
    </row>
    <row r="381" spans="1:5">
      <c r="A381" s="1896"/>
      <c r="B381" s="1851" t="s">
        <v>1005</v>
      </c>
      <c r="C381" s="1897">
        <v>10</v>
      </c>
      <c r="D381" s="1901" t="s">
        <v>820</v>
      </c>
      <c r="E381" s="1666"/>
    </row>
    <row r="382" spans="1:5">
      <c r="A382" s="1896"/>
      <c r="B382" s="1851" t="s">
        <v>1005</v>
      </c>
      <c r="C382" s="1897">
        <v>11</v>
      </c>
      <c r="D382" s="1901" t="s">
        <v>810</v>
      </c>
      <c r="E382" s="1666"/>
    </row>
    <row r="383" spans="1:5">
      <c r="A383" s="1896"/>
      <c r="B383" s="1851" t="s">
        <v>1005</v>
      </c>
      <c r="C383" s="1897">
        <v>12</v>
      </c>
      <c r="D383" s="1901" t="s">
        <v>811</v>
      </c>
      <c r="E383" s="1666"/>
    </row>
    <row r="384" spans="1:5">
      <c r="A384" s="1854">
        <v>40704</v>
      </c>
      <c r="B384" s="1851" t="s">
        <v>1005</v>
      </c>
      <c r="C384" s="1848" t="s">
        <v>756</v>
      </c>
      <c r="D384" s="1887" t="s">
        <v>471</v>
      </c>
      <c r="E384" s="1666"/>
    </row>
    <row r="385" spans="1:5">
      <c r="A385" s="1902"/>
      <c r="B385" s="1851" t="s">
        <v>1005</v>
      </c>
      <c r="C385" s="1903">
        <v>1</v>
      </c>
      <c r="D385" s="1904" t="s">
        <v>661</v>
      </c>
      <c r="E385" s="1666"/>
    </row>
    <row r="386" spans="1:5">
      <c r="A386" s="1902"/>
      <c r="B386" s="1851" t="s">
        <v>1005</v>
      </c>
      <c r="C386" s="1903">
        <v>2</v>
      </c>
      <c r="D386" s="1904" t="s">
        <v>662</v>
      </c>
      <c r="E386" s="1666"/>
    </row>
    <row r="387" spans="1:5">
      <c r="A387" s="1902"/>
      <c r="B387" s="1851" t="s">
        <v>1005</v>
      </c>
      <c r="C387" s="1903">
        <v>3</v>
      </c>
      <c r="D387" s="1904" t="s">
        <v>685</v>
      </c>
      <c r="E387" s="1666"/>
    </row>
    <row r="388" spans="1:5">
      <c r="A388" s="1902"/>
      <c r="B388" s="1851" t="s">
        <v>1005</v>
      </c>
      <c r="C388" s="1903">
        <v>4</v>
      </c>
      <c r="D388" s="1904" t="s">
        <v>664</v>
      </c>
      <c r="E388" s="1666"/>
    </row>
    <row r="389" spans="1:5">
      <c r="A389" s="1902"/>
      <c r="B389" s="1851" t="s">
        <v>1005</v>
      </c>
      <c r="C389" s="1903">
        <v>5</v>
      </c>
      <c r="D389" s="1904" t="s">
        <v>666</v>
      </c>
      <c r="E389" s="1666"/>
    </row>
    <row r="390" spans="1:5">
      <c r="A390" s="1902"/>
      <c r="B390" s="1851" t="s">
        <v>1005</v>
      </c>
      <c r="C390" s="1903">
        <v>6</v>
      </c>
      <c r="D390" s="1904" t="s">
        <v>717</v>
      </c>
      <c r="E390" s="1666"/>
    </row>
    <row r="391" spans="1:5">
      <c r="A391" s="1902"/>
      <c r="B391" s="1851" t="s">
        <v>1005</v>
      </c>
      <c r="C391" s="1903">
        <v>7</v>
      </c>
      <c r="D391" s="1904" t="s">
        <v>683</v>
      </c>
      <c r="E391" s="1666"/>
    </row>
    <row r="392" spans="1:5">
      <c r="A392" s="1902"/>
      <c r="B392" s="1851" t="s">
        <v>1005</v>
      </c>
      <c r="C392" s="1903">
        <v>8</v>
      </c>
      <c r="D392" s="1904" t="s">
        <v>684</v>
      </c>
      <c r="E392" s="1666"/>
    </row>
    <row r="393" spans="1:5">
      <c r="A393" s="1902"/>
      <c r="B393" s="1851" t="s">
        <v>1005</v>
      </c>
      <c r="C393" s="1903">
        <v>9</v>
      </c>
      <c r="D393" s="1904" t="s">
        <v>686</v>
      </c>
      <c r="E393" s="1666"/>
    </row>
    <row r="394" spans="1:5">
      <c r="A394" s="1902"/>
      <c r="B394" s="1851" t="s">
        <v>1005</v>
      </c>
      <c r="C394" s="1903">
        <v>10</v>
      </c>
      <c r="D394" s="1904" t="s">
        <v>694</v>
      </c>
      <c r="E394" s="1666"/>
    </row>
    <row r="395" spans="1:5">
      <c r="A395" s="1902"/>
      <c r="B395" s="1851" t="s">
        <v>1005</v>
      </c>
      <c r="C395" s="1903">
        <v>11</v>
      </c>
      <c r="D395" s="1904" t="s">
        <v>708</v>
      </c>
      <c r="E395" s="1666"/>
    </row>
    <row r="396" spans="1:5">
      <c r="A396" s="1902"/>
      <c r="B396" s="1851" t="s">
        <v>1005</v>
      </c>
      <c r="C396" s="1903">
        <v>12</v>
      </c>
      <c r="D396" s="1904" t="s">
        <v>709</v>
      </c>
      <c r="E396" s="1666"/>
    </row>
    <row r="397" spans="1:5">
      <c r="A397" s="1902"/>
      <c r="B397" s="1851" t="s">
        <v>1005</v>
      </c>
      <c r="C397" s="1903">
        <v>13</v>
      </c>
      <c r="D397" s="1904" t="s">
        <v>719</v>
      </c>
      <c r="E397" s="1666"/>
    </row>
    <row r="398" spans="1:5">
      <c r="A398" s="1902"/>
      <c r="B398" s="1851" t="s">
        <v>1005</v>
      </c>
      <c r="C398" s="1903">
        <v>14</v>
      </c>
      <c r="D398" s="1904" t="s">
        <v>744</v>
      </c>
      <c r="E398" s="1666"/>
    </row>
    <row r="399" spans="1:5">
      <c r="A399" s="1902"/>
      <c r="B399" s="1851" t="s">
        <v>1005</v>
      </c>
      <c r="C399" s="1903">
        <v>15</v>
      </c>
      <c r="D399" s="1904" t="s">
        <v>749</v>
      </c>
      <c r="E399" s="1666"/>
    </row>
    <row r="400" spans="1:5">
      <c r="A400" s="1902"/>
      <c r="B400" s="1851" t="s">
        <v>1005</v>
      </c>
      <c r="C400" s="1903">
        <v>16</v>
      </c>
      <c r="D400" s="1904" t="s">
        <v>753</v>
      </c>
      <c r="E400" s="1666"/>
    </row>
    <row r="401" spans="1:5">
      <c r="A401" s="1902"/>
      <c r="B401" s="1851" t="s">
        <v>1005</v>
      </c>
      <c r="C401" s="1903">
        <v>17</v>
      </c>
      <c r="D401" s="1904" t="s">
        <v>757</v>
      </c>
      <c r="E401" s="1666"/>
    </row>
    <row r="402" spans="1:5">
      <c r="A402" s="1902"/>
      <c r="B402" s="1851" t="s">
        <v>1005</v>
      </c>
      <c r="C402" s="1903">
        <v>18</v>
      </c>
      <c r="D402" s="1904" t="s">
        <v>758</v>
      </c>
      <c r="E402" s="1666"/>
    </row>
    <row r="403" spans="1:5">
      <c r="A403" s="1854">
        <v>40704</v>
      </c>
      <c r="B403" s="1851" t="s">
        <v>1005</v>
      </c>
      <c r="C403" s="1848" t="s">
        <v>643</v>
      </c>
      <c r="D403" s="1887" t="s">
        <v>471</v>
      </c>
      <c r="E403" s="1666"/>
    </row>
    <row r="404" spans="1:5">
      <c r="A404" s="1854"/>
      <c r="B404" s="1851" t="s">
        <v>1005</v>
      </c>
      <c r="C404" s="1894">
        <v>1</v>
      </c>
      <c r="D404" s="1904" t="s">
        <v>654</v>
      </c>
      <c r="E404" s="1666"/>
    </row>
    <row r="405" spans="1:5">
      <c r="A405" s="1854"/>
      <c r="B405" s="1851" t="s">
        <v>1005</v>
      </c>
      <c r="C405" s="1894">
        <v>2</v>
      </c>
      <c r="D405" s="1904" t="s">
        <v>647</v>
      </c>
      <c r="E405" s="1666"/>
    </row>
    <row r="406" spans="1:5">
      <c r="A406" s="1854"/>
      <c r="B406" s="1851" t="s">
        <v>1005</v>
      </c>
      <c r="C406" s="1894">
        <v>3</v>
      </c>
      <c r="D406" s="1904" t="s">
        <v>657</v>
      </c>
      <c r="E406" s="1666"/>
    </row>
    <row r="407" spans="1:5">
      <c r="A407" s="1854"/>
      <c r="B407" s="1851" t="s">
        <v>1005</v>
      </c>
      <c r="C407" s="1894"/>
      <c r="D407" s="1666"/>
      <c r="E407" s="1666"/>
    </row>
    <row r="408" spans="1:5">
      <c r="A408" s="1854">
        <v>40675</v>
      </c>
      <c r="B408" s="1851" t="s">
        <v>1005</v>
      </c>
      <c r="C408" s="1848" t="s">
        <v>641</v>
      </c>
      <c r="D408" s="1887" t="s">
        <v>471</v>
      </c>
      <c r="E408" s="1666"/>
    </row>
    <row r="409" spans="1:5">
      <c r="A409" s="1854"/>
      <c r="B409" s="1851" t="s">
        <v>1005</v>
      </c>
      <c r="C409" s="1894">
        <v>1</v>
      </c>
      <c r="D409" s="1904" t="s">
        <v>630</v>
      </c>
      <c r="E409" s="1666"/>
    </row>
    <row r="410" spans="1:5">
      <c r="A410" s="1854"/>
      <c r="B410" s="1851" t="s">
        <v>1005</v>
      </c>
      <c r="C410" s="1894">
        <v>2</v>
      </c>
      <c r="D410" s="1904" t="s">
        <v>631</v>
      </c>
      <c r="E410" s="1666"/>
    </row>
    <row r="411" spans="1:5">
      <c r="A411" s="1854"/>
      <c r="B411" s="1851" t="s">
        <v>1005</v>
      </c>
      <c r="C411" s="1894">
        <v>3</v>
      </c>
      <c r="D411" s="1904" t="s">
        <v>632</v>
      </c>
      <c r="E411" s="1666"/>
    </row>
    <row r="412" spans="1:5">
      <c r="A412" s="1854"/>
      <c r="B412" s="1851" t="s">
        <v>1005</v>
      </c>
      <c r="C412" s="1894">
        <v>4</v>
      </c>
      <c r="D412" s="1904" t="s">
        <v>639</v>
      </c>
      <c r="E412" s="1666"/>
    </row>
    <row r="413" spans="1:5">
      <c r="A413" s="1854"/>
      <c r="B413" s="1851" t="s">
        <v>1005</v>
      </c>
      <c r="C413" s="1894">
        <v>5</v>
      </c>
      <c r="D413" s="1904" t="s">
        <v>645</v>
      </c>
      <c r="E413" s="1666"/>
    </row>
    <row r="414" spans="1:5">
      <c r="A414" s="1854"/>
      <c r="B414" s="1851" t="s">
        <v>1005</v>
      </c>
      <c r="C414" s="1894">
        <v>6</v>
      </c>
      <c r="D414" s="1904" t="s">
        <v>646</v>
      </c>
      <c r="E414" s="1666"/>
    </row>
    <row r="415" spans="1:5">
      <c r="A415" s="1854">
        <v>40672</v>
      </c>
      <c r="B415" s="1851" t="s">
        <v>1005</v>
      </c>
      <c r="C415" s="1905" t="s">
        <v>108</v>
      </c>
      <c r="D415" s="1906" t="s">
        <v>471</v>
      </c>
      <c r="E415" s="1666"/>
    </row>
    <row r="416" spans="1:5">
      <c r="A416" s="1854"/>
      <c r="B416" s="1851" t="s">
        <v>1005</v>
      </c>
      <c r="C416" s="1907" t="s">
        <v>115</v>
      </c>
      <c r="D416" s="1666"/>
      <c r="E416" s="1666"/>
    </row>
    <row r="417" spans="1:5">
      <c r="A417" s="1666"/>
      <c r="B417" s="1851" t="s">
        <v>1005</v>
      </c>
      <c r="C417" s="1894">
        <v>1</v>
      </c>
      <c r="D417" s="1664" t="s">
        <v>109</v>
      </c>
      <c r="E417" s="1666"/>
    </row>
    <row r="418" spans="1:5">
      <c r="A418" s="1666"/>
      <c r="B418" s="1851" t="s">
        <v>1005</v>
      </c>
      <c r="C418" s="1894">
        <v>2</v>
      </c>
      <c r="D418" s="1908" t="s">
        <v>596</v>
      </c>
      <c r="E418" s="1666"/>
    </row>
    <row r="419" spans="1:5">
      <c r="A419" s="1666"/>
      <c r="B419" s="1851" t="s">
        <v>1005</v>
      </c>
      <c r="C419" s="1894">
        <v>3</v>
      </c>
      <c r="D419" s="1909" t="s">
        <v>436</v>
      </c>
      <c r="E419" s="1666"/>
    </row>
    <row r="420" spans="1:5">
      <c r="A420" s="1666"/>
      <c r="B420" s="1851" t="s">
        <v>1005</v>
      </c>
      <c r="C420" s="1894">
        <v>4</v>
      </c>
      <c r="D420" s="1909" t="s">
        <v>597</v>
      </c>
      <c r="E420" s="1666"/>
    </row>
    <row r="421" spans="1:5">
      <c r="A421" s="1666"/>
      <c r="B421" s="1851" t="s">
        <v>1005</v>
      </c>
      <c r="C421" s="1894">
        <v>5</v>
      </c>
      <c r="D421" s="1909" t="s">
        <v>598</v>
      </c>
      <c r="E421" s="1666"/>
    </row>
    <row r="422" spans="1:5">
      <c r="A422" s="1666"/>
      <c r="B422" s="1851" t="s">
        <v>1005</v>
      </c>
      <c r="C422" s="1894">
        <v>6</v>
      </c>
      <c r="D422" s="1909" t="s">
        <v>450</v>
      </c>
      <c r="E422" s="1666"/>
    </row>
    <row r="423" spans="1:5">
      <c r="A423" s="1666"/>
      <c r="B423" s="1851" t="s">
        <v>1005</v>
      </c>
      <c r="C423" s="1903" t="s">
        <v>447</v>
      </c>
      <c r="D423" s="1909" t="s">
        <v>451</v>
      </c>
      <c r="E423" s="1666"/>
    </row>
    <row r="424" spans="1:5">
      <c r="A424" s="1666"/>
      <c r="B424" s="1851" t="s">
        <v>1005</v>
      </c>
      <c r="C424" s="1903" t="s">
        <v>448</v>
      </c>
      <c r="D424" s="1909" t="s">
        <v>599</v>
      </c>
      <c r="E424" s="1666"/>
    </row>
    <row r="425" spans="1:5">
      <c r="A425" s="1666"/>
      <c r="B425" s="1851" t="s">
        <v>1005</v>
      </c>
      <c r="C425" s="1903" t="s">
        <v>449</v>
      </c>
      <c r="D425" s="1909" t="s">
        <v>446</v>
      </c>
      <c r="E425" s="1666"/>
    </row>
    <row r="426" spans="1:5">
      <c r="A426" s="1666"/>
      <c r="B426" s="1851" t="s">
        <v>1005</v>
      </c>
      <c r="C426" s="1903">
        <v>7</v>
      </c>
      <c r="D426" s="1909" t="s">
        <v>453</v>
      </c>
      <c r="E426" s="1666"/>
    </row>
    <row r="427" spans="1:5">
      <c r="A427" s="1666"/>
      <c r="B427" s="1851" t="s">
        <v>1005</v>
      </c>
      <c r="C427" s="1903" t="s">
        <v>456</v>
      </c>
      <c r="D427" s="1909" t="s">
        <v>600</v>
      </c>
      <c r="E427" s="1666"/>
    </row>
    <row r="428" spans="1:5">
      <c r="A428" s="1666"/>
      <c r="B428" s="1851" t="s">
        <v>1005</v>
      </c>
      <c r="C428" s="1903" t="s">
        <v>457</v>
      </c>
      <c r="D428" s="1909" t="s">
        <v>601</v>
      </c>
      <c r="E428" s="1666"/>
    </row>
    <row r="429" spans="1:5">
      <c r="A429" s="1666"/>
      <c r="B429" s="1851" t="s">
        <v>1005</v>
      </c>
      <c r="C429" s="1903" t="s">
        <v>458</v>
      </c>
      <c r="D429" s="1909" t="s">
        <v>602</v>
      </c>
      <c r="E429" s="1666"/>
    </row>
    <row r="430" spans="1:5">
      <c r="A430" s="1666"/>
      <c r="B430" s="1851" t="s">
        <v>1005</v>
      </c>
      <c r="C430" s="1903">
        <v>8</v>
      </c>
      <c r="D430" s="1909" t="s">
        <v>463</v>
      </c>
      <c r="E430" s="1666"/>
    </row>
    <row r="431" spans="1:5">
      <c r="A431" s="1666"/>
      <c r="B431" s="1851" t="s">
        <v>1005</v>
      </c>
      <c r="C431" s="1903">
        <v>9</v>
      </c>
      <c r="D431" s="1909" t="s">
        <v>603</v>
      </c>
      <c r="E431" s="1666"/>
    </row>
    <row r="432" spans="1:5">
      <c r="A432" s="1666"/>
      <c r="B432" s="1851" t="s">
        <v>1005</v>
      </c>
      <c r="C432" s="1903" t="s">
        <v>464</v>
      </c>
      <c r="D432" s="1909" t="s">
        <v>465</v>
      </c>
      <c r="E432" s="1666"/>
    </row>
    <row r="433" spans="1:5">
      <c r="A433" s="1854"/>
      <c r="B433" s="1851" t="s">
        <v>1005</v>
      </c>
      <c r="C433" s="1903">
        <v>10</v>
      </c>
      <c r="D433" s="1909" t="s">
        <v>470</v>
      </c>
      <c r="E433" s="1666"/>
    </row>
    <row r="434" spans="1:5">
      <c r="A434" s="1854"/>
      <c r="B434" s="1851" t="s">
        <v>1005</v>
      </c>
      <c r="C434" s="1903">
        <v>11</v>
      </c>
      <c r="D434" s="1909" t="s">
        <v>472</v>
      </c>
      <c r="E434" s="1666"/>
    </row>
    <row r="435" spans="1:5">
      <c r="A435" s="1854"/>
      <c r="B435" s="1851" t="s">
        <v>1005</v>
      </c>
      <c r="C435" s="1903">
        <v>12</v>
      </c>
      <c r="D435" s="1909" t="s">
        <v>513</v>
      </c>
      <c r="E435" s="1666"/>
    </row>
    <row r="436" spans="1:5">
      <c r="A436" s="1854"/>
      <c r="B436" s="1851" t="s">
        <v>1005</v>
      </c>
      <c r="C436" s="1903" t="s">
        <v>514</v>
      </c>
      <c r="D436" s="1909" t="s">
        <v>515</v>
      </c>
      <c r="E436" s="1666"/>
    </row>
    <row r="437" spans="1:5">
      <c r="A437" s="1854"/>
      <c r="B437" s="1851" t="s">
        <v>1005</v>
      </c>
      <c r="C437" s="1903" t="s">
        <v>516</v>
      </c>
      <c r="D437" s="1909" t="s">
        <v>562</v>
      </c>
      <c r="E437" s="1666"/>
    </row>
    <row r="438" spans="1:5">
      <c r="A438" s="1854"/>
      <c r="B438" s="1851" t="s">
        <v>1005</v>
      </c>
      <c r="C438" s="1903" t="s">
        <v>561</v>
      </c>
      <c r="D438" s="1909" t="s">
        <v>563</v>
      </c>
      <c r="E438" s="1666"/>
    </row>
    <row r="439" spans="1:5">
      <c r="A439" s="1854"/>
      <c r="B439" s="1851" t="s">
        <v>1005</v>
      </c>
      <c r="C439" s="1903">
        <v>13</v>
      </c>
      <c r="D439" s="1909" t="s">
        <v>570</v>
      </c>
      <c r="E439" s="1666"/>
    </row>
    <row r="440" spans="1:5">
      <c r="A440" s="1854"/>
      <c r="B440" s="1851" t="s">
        <v>1005</v>
      </c>
      <c r="C440" s="1903">
        <v>14</v>
      </c>
      <c r="D440" s="1909" t="s">
        <v>574</v>
      </c>
      <c r="E440" s="1666"/>
    </row>
    <row r="441" spans="1:5">
      <c r="A441" s="1854"/>
      <c r="B441" s="1851" t="s">
        <v>1005</v>
      </c>
      <c r="C441" s="1903">
        <v>15</v>
      </c>
      <c r="D441" s="1909" t="s">
        <v>575</v>
      </c>
      <c r="E441" s="1666"/>
    </row>
    <row r="442" spans="1:5">
      <c r="A442" s="1854"/>
      <c r="B442" s="1851" t="s">
        <v>1005</v>
      </c>
      <c r="C442" s="1903">
        <v>16</v>
      </c>
      <c r="D442" s="1909" t="s">
        <v>577</v>
      </c>
      <c r="E442" s="1666"/>
    </row>
    <row r="443" spans="1:5">
      <c r="A443" s="1854"/>
      <c r="B443" s="1851" t="s">
        <v>1005</v>
      </c>
      <c r="C443" s="1903">
        <v>17</v>
      </c>
      <c r="D443" s="1909" t="s">
        <v>593</v>
      </c>
      <c r="E443" s="1666"/>
    </row>
    <row r="444" spans="1:5">
      <c r="A444" s="1854"/>
      <c r="B444" s="1851" t="s">
        <v>1005</v>
      </c>
      <c r="C444" s="1903">
        <v>18</v>
      </c>
      <c r="D444" s="1909" t="s">
        <v>595</v>
      </c>
      <c r="E444" s="1666"/>
    </row>
    <row r="445" spans="1:5">
      <c r="A445" s="1854"/>
      <c r="B445" s="1851" t="s">
        <v>1005</v>
      </c>
      <c r="C445" s="1903">
        <v>19</v>
      </c>
      <c r="D445" s="1909" t="s">
        <v>605</v>
      </c>
      <c r="E445" s="1666"/>
    </row>
    <row r="446" spans="1:5">
      <c r="A446" s="1854">
        <v>40620</v>
      </c>
      <c r="B446" s="1851" t="s">
        <v>1005</v>
      </c>
      <c r="C446" s="1905" t="s">
        <v>111</v>
      </c>
      <c r="D446" s="1906" t="s">
        <v>113</v>
      </c>
      <c r="E446" s="1666"/>
    </row>
    <row r="447" spans="1:5">
      <c r="A447" s="1910"/>
      <c r="B447" s="1851" t="s">
        <v>1005</v>
      </c>
      <c r="C447" s="1907" t="s">
        <v>115</v>
      </c>
      <c r="D447" s="1911"/>
      <c r="E447" s="1666"/>
    </row>
    <row r="448" spans="1:5">
      <c r="A448" s="1910"/>
      <c r="B448" s="1851" t="s">
        <v>1005</v>
      </c>
      <c r="C448" s="1907">
        <v>1</v>
      </c>
      <c r="D448" s="1911" t="s">
        <v>33</v>
      </c>
      <c r="E448" s="1666"/>
    </row>
    <row r="449" spans="1:5">
      <c r="A449" s="1910"/>
      <c r="B449" s="1851" t="s">
        <v>1005</v>
      </c>
      <c r="C449" s="1907">
        <v>2</v>
      </c>
      <c r="D449" s="1911" t="s">
        <v>27</v>
      </c>
      <c r="E449" s="1666"/>
    </row>
    <row r="450" spans="1:5">
      <c r="A450" s="1910"/>
      <c r="B450" s="1851" t="s">
        <v>1005</v>
      </c>
      <c r="C450" s="1907">
        <v>3</v>
      </c>
      <c r="D450" s="1911" t="s">
        <v>29</v>
      </c>
      <c r="E450" s="1666"/>
    </row>
    <row r="451" spans="1:5">
      <c r="A451" s="1910"/>
      <c r="B451" s="1851" t="s">
        <v>1005</v>
      </c>
      <c r="C451" s="1907" t="s">
        <v>112</v>
      </c>
      <c r="D451" s="1911" t="s">
        <v>30</v>
      </c>
      <c r="E451" s="1666"/>
    </row>
    <row r="452" spans="1:5">
      <c r="A452" s="1910"/>
      <c r="B452" s="1851" t="s">
        <v>1005</v>
      </c>
      <c r="C452" s="1907">
        <v>4</v>
      </c>
      <c r="D452" s="1911" t="s">
        <v>28</v>
      </c>
      <c r="E452" s="1666"/>
    </row>
    <row r="453" spans="1:5">
      <c r="A453" s="1910"/>
      <c r="B453" s="1851" t="s">
        <v>1005</v>
      </c>
      <c r="C453" s="1907">
        <v>5</v>
      </c>
      <c r="D453" s="1911" t="s">
        <v>114</v>
      </c>
      <c r="E453" s="1666"/>
    </row>
    <row r="454" spans="1:5">
      <c r="A454" s="1854"/>
      <c r="B454" s="1851" t="s">
        <v>1005</v>
      </c>
      <c r="C454" s="1907">
        <v>6</v>
      </c>
      <c r="D454" s="1912" t="s">
        <v>31</v>
      </c>
      <c r="E454" s="1666"/>
    </row>
    <row r="455" spans="1:5">
      <c r="A455" s="1854"/>
      <c r="B455" s="1851" t="s">
        <v>1005</v>
      </c>
      <c r="C455" s="1907">
        <v>7</v>
      </c>
      <c r="D455" s="1912" t="s">
        <v>32</v>
      </c>
      <c r="E455" s="1666"/>
    </row>
    <row r="456" spans="1:5">
      <c r="A456" s="1854">
        <v>40613</v>
      </c>
      <c r="B456" s="1851" t="s">
        <v>1005</v>
      </c>
      <c r="C456" s="1905" t="s">
        <v>369</v>
      </c>
      <c r="D456" s="1906"/>
      <c r="E456" s="1666"/>
    </row>
    <row r="457" spans="1:5">
      <c r="A457" s="1910"/>
      <c r="B457" s="1851" t="s">
        <v>1005</v>
      </c>
      <c r="C457" s="1907" t="s">
        <v>370</v>
      </c>
      <c r="D457" s="1911"/>
      <c r="E457" s="1666"/>
    </row>
    <row r="458" spans="1:5">
      <c r="A458" s="1910"/>
      <c r="B458" s="1851" t="s">
        <v>1005</v>
      </c>
      <c r="C458" s="1907">
        <v>1</v>
      </c>
      <c r="D458" s="1911" t="s">
        <v>371</v>
      </c>
      <c r="E458" s="1666"/>
    </row>
    <row r="459" spans="1:5">
      <c r="A459" s="1910"/>
      <c r="B459" s="1851" t="s">
        <v>1005</v>
      </c>
      <c r="C459" s="1907">
        <v>2</v>
      </c>
      <c r="D459" s="1911" t="s">
        <v>372</v>
      </c>
      <c r="E459" s="1666"/>
    </row>
    <row r="460" spans="1:5">
      <c r="A460" s="1910"/>
      <c r="B460" s="1851" t="s">
        <v>1005</v>
      </c>
      <c r="C460" s="1907">
        <v>3</v>
      </c>
      <c r="D460" s="1911" t="s">
        <v>373</v>
      </c>
      <c r="E460" s="1666"/>
    </row>
    <row r="461" spans="1:5">
      <c r="A461" s="1910"/>
      <c r="B461" s="1851" t="s">
        <v>1005</v>
      </c>
      <c r="C461" s="1907">
        <v>4</v>
      </c>
      <c r="D461" s="1911" t="s">
        <v>374</v>
      </c>
      <c r="E461" s="1666"/>
    </row>
    <row r="462" spans="1:5">
      <c r="A462" s="1910"/>
      <c r="B462" s="1851" t="s">
        <v>1005</v>
      </c>
      <c r="C462" s="1907">
        <v>5</v>
      </c>
      <c r="D462" s="1911" t="s">
        <v>375</v>
      </c>
      <c r="E462" s="1666"/>
    </row>
    <row r="463" spans="1:5">
      <c r="A463" s="1910"/>
      <c r="B463" s="1851" t="s">
        <v>1005</v>
      </c>
      <c r="C463" s="1907">
        <v>6</v>
      </c>
      <c r="D463" s="1911" t="s">
        <v>376</v>
      </c>
      <c r="E463" s="1666"/>
    </row>
    <row r="464" spans="1:5" ht="25.5">
      <c r="A464" s="1910"/>
      <c r="B464" s="1851" t="s">
        <v>1005</v>
      </c>
      <c r="C464" s="1907">
        <v>7</v>
      </c>
      <c r="D464" s="1911" t="s">
        <v>381</v>
      </c>
      <c r="E464" s="1666"/>
    </row>
    <row r="465" spans="1:5">
      <c r="A465" s="1910"/>
      <c r="B465" s="1851" t="s">
        <v>1005</v>
      </c>
      <c r="C465" s="1907">
        <v>8</v>
      </c>
      <c r="D465" s="1911" t="s">
        <v>382</v>
      </c>
      <c r="E465" s="1666"/>
    </row>
    <row r="466" spans="1:5" ht="25.5">
      <c r="A466" s="1910"/>
      <c r="B466" s="1851" t="s">
        <v>1005</v>
      </c>
      <c r="C466" s="1907">
        <v>9</v>
      </c>
      <c r="D466" s="1913" t="s">
        <v>389</v>
      </c>
      <c r="E466" s="1666"/>
    </row>
    <row r="467" spans="1:5" ht="25.5">
      <c r="A467" s="1910"/>
      <c r="B467" s="1851" t="s">
        <v>1005</v>
      </c>
      <c r="C467" s="1907">
        <v>10</v>
      </c>
      <c r="D467" s="1911" t="s">
        <v>383</v>
      </c>
      <c r="E467" s="1666"/>
    </row>
    <row r="468" spans="1:5">
      <c r="A468" s="1910"/>
      <c r="B468" s="1851" t="s">
        <v>1005</v>
      </c>
      <c r="C468" s="1907">
        <v>11</v>
      </c>
      <c r="D468" s="1911" t="s">
        <v>391</v>
      </c>
      <c r="E468" s="1666"/>
    </row>
    <row r="469" spans="1:5">
      <c r="A469" s="1910"/>
      <c r="B469" s="1851" t="s">
        <v>1005</v>
      </c>
      <c r="C469" s="1907">
        <v>12</v>
      </c>
      <c r="D469" s="1911" t="s">
        <v>378</v>
      </c>
      <c r="E469" s="1666"/>
    </row>
    <row r="470" spans="1:5">
      <c r="A470" s="1910"/>
      <c r="B470" s="1851" t="s">
        <v>1005</v>
      </c>
      <c r="C470" s="1907">
        <v>13</v>
      </c>
      <c r="D470" s="1911" t="s">
        <v>377</v>
      </c>
      <c r="E470" s="1666"/>
    </row>
    <row r="471" spans="1:5">
      <c r="A471" s="1910"/>
      <c r="B471" s="1851" t="s">
        <v>1005</v>
      </c>
      <c r="C471" s="1907">
        <v>14</v>
      </c>
      <c r="D471" s="1911" t="s">
        <v>243</v>
      </c>
      <c r="E471" s="1666"/>
    </row>
    <row r="472" spans="1:5">
      <c r="A472" s="1910"/>
      <c r="B472" s="1914"/>
      <c r="C472" s="1907"/>
      <c r="D472" s="1911"/>
      <c r="E472" s="1666"/>
    </row>
    <row r="473" spans="1:5">
      <c r="A473" s="1910"/>
      <c r="B473" s="1914"/>
      <c r="C473" s="1907"/>
      <c r="D473" s="1915" t="s">
        <v>384</v>
      </c>
      <c r="E473" s="1666"/>
    </row>
    <row r="474" spans="1:5">
      <c r="A474" s="1910"/>
      <c r="B474" s="1914"/>
      <c r="C474" s="1907"/>
      <c r="D474" s="1911" t="s">
        <v>385</v>
      </c>
      <c r="E474" s="1666"/>
    </row>
    <row r="475" spans="1:5">
      <c r="A475" s="1910"/>
      <c r="B475" s="1914"/>
      <c r="C475" s="1907"/>
      <c r="D475" s="1911" t="s">
        <v>386</v>
      </c>
      <c r="E475" s="1666"/>
    </row>
    <row r="476" spans="1:5">
      <c r="A476" s="1910"/>
      <c r="B476" s="1914"/>
      <c r="C476" s="1907"/>
      <c r="D476" s="1911" t="s">
        <v>387</v>
      </c>
      <c r="E476" s="1666"/>
    </row>
    <row r="477" spans="1:5">
      <c r="A477" s="1910"/>
      <c r="B477" s="1914"/>
      <c r="C477" s="1907"/>
      <c r="D477" s="1911" t="s">
        <v>388</v>
      </c>
      <c r="E477" s="1666"/>
    </row>
    <row r="478" spans="1:5">
      <c r="A478" s="1910"/>
      <c r="B478" s="1914"/>
      <c r="C478" s="1907"/>
      <c r="D478" s="1912"/>
      <c r="E478" s="1666"/>
    </row>
    <row r="479" spans="1:5">
      <c r="A479" s="1916"/>
      <c r="B479" s="1917"/>
      <c r="C479" s="1918"/>
      <c r="D479" s="1887"/>
      <c r="E479" s="1666"/>
    </row>
  </sheetData>
  <sortState xmlns:xlrd2="http://schemas.microsoft.com/office/spreadsheetml/2017/richdata2" ref="A43:D59">
    <sortCondition descending="1" ref="C43:C59"/>
  </sortState>
  <mergeCells count="2">
    <mergeCell ref="D229:E229"/>
    <mergeCell ref="D204:E204"/>
  </mergeCells>
  <phoneticPr fontId="68" type="noConversion"/>
  <pageMargins left="0.7" right="0.7" top="0.75" bottom="0.75" header="0.3" footer="0.3"/>
  <pageSetup orientation="portrait" r:id="rId1"/>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6">
    <tabColor indexed="63"/>
  </sheetPr>
  <dimension ref="A1:FW647"/>
  <sheetViews>
    <sheetView topLeftCell="O1" zoomScale="90" zoomScaleNormal="90" workbookViewId="0">
      <pane ySplit="5" topLeftCell="A24" activePane="bottomLeft" state="frozenSplit"/>
      <selection activeCell="A32" sqref="A32"/>
      <selection pane="bottomLeft" activeCell="Z46" sqref="Z46"/>
    </sheetView>
  </sheetViews>
  <sheetFormatPr defaultColWidth="102.140625" defaultRowHeight="12.75"/>
  <cols>
    <col min="1" max="1" width="26" customWidth="1"/>
    <col min="2" max="2" width="12.28515625" bestFit="1" customWidth="1"/>
    <col min="3" max="3" width="2" bestFit="1" customWidth="1"/>
    <col min="4" max="4" width="20" bestFit="1" customWidth="1"/>
    <col min="5" max="5" width="16.5703125" bestFit="1" customWidth="1"/>
    <col min="6" max="6" width="20.140625" bestFit="1" customWidth="1"/>
    <col min="7" max="7" width="28.5703125" bestFit="1" customWidth="1"/>
    <col min="8" max="8" width="16.85546875" bestFit="1" customWidth="1"/>
    <col min="9" max="9" width="15.28515625" bestFit="1" customWidth="1"/>
    <col min="10" max="10" width="23.5703125" customWidth="1"/>
    <col min="11" max="11" width="19.7109375" customWidth="1"/>
    <col min="12" max="12" width="12.85546875" bestFit="1" customWidth="1"/>
    <col min="13" max="13" width="12.5703125" customWidth="1"/>
    <col min="14" max="14" width="22.5703125" customWidth="1"/>
    <col min="15" max="15" width="27.140625" customWidth="1"/>
    <col min="16" max="16" width="37.140625" customWidth="1"/>
    <col min="17" max="17" width="23" bestFit="1" customWidth="1"/>
    <col min="18" max="18" width="21.85546875" hidden="1" customWidth="1"/>
    <col min="19" max="19" width="18.28515625" hidden="1" customWidth="1"/>
    <col min="20" max="20" width="38" hidden="1" customWidth="1"/>
    <col min="21" max="21" width="13.28515625" hidden="1" customWidth="1"/>
    <col min="22" max="22" width="50.7109375" hidden="1" customWidth="1"/>
    <col min="23" max="23" width="20.85546875" customWidth="1"/>
    <col min="24" max="24" width="50.42578125" hidden="1" customWidth="1"/>
    <col min="25" max="25" width="13.7109375" style="433" customWidth="1"/>
    <col min="26" max="26" width="56.85546875" customWidth="1"/>
    <col min="27" max="27" width="6" bestFit="1" customWidth="1"/>
    <col min="28" max="28" width="56" customWidth="1"/>
    <col min="29" max="29" width="18.85546875" customWidth="1"/>
    <col min="30" max="30" width="15.5703125" bestFit="1" customWidth="1"/>
    <col min="31" max="31" width="25.140625" bestFit="1" customWidth="1"/>
    <col min="32" max="32" width="19.140625" bestFit="1" customWidth="1"/>
    <col min="33" max="33" width="44.140625" customWidth="1"/>
    <col min="34" max="34" width="30" style="684" customWidth="1"/>
    <col min="35" max="35" width="15.42578125" bestFit="1" customWidth="1"/>
    <col min="36" max="36" width="24.85546875" customWidth="1"/>
    <col min="37" max="37" width="14.85546875" bestFit="1" customWidth="1"/>
    <col min="38" max="38" width="14" hidden="1" customWidth="1"/>
    <col min="39" max="39" width="27.7109375" hidden="1" customWidth="1"/>
    <col min="40" max="40" width="14.5703125" bestFit="1" customWidth="1"/>
    <col min="41" max="41" width="42.5703125" bestFit="1" customWidth="1"/>
    <col min="42" max="42" width="10.7109375" bestFit="1" customWidth="1"/>
    <col min="43" max="43" width="10.28515625" bestFit="1" customWidth="1"/>
    <col min="44" max="44" width="24.85546875" bestFit="1" customWidth="1"/>
    <col min="45" max="45" width="46.5703125" bestFit="1" customWidth="1"/>
    <col min="46" max="46" width="20" customWidth="1"/>
    <col min="47" max="47" width="20.28515625" customWidth="1"/>
    <col min="48" max="48" width="35.7109375" bestFit="1" customWidth="1"/>
    <col min="49" max="49" width="27.28515625" bestFit="1" customWidth="1"/>
    <col min="50" max="50" width="23.7109375" customWidth="1"/>
    <col min="51" max="51" width="16.5703125" bestFit="1" customWidth="1"/>
    <col min="52" max="52" width="11.42578125" bestFit="1" customWidth="1"/>
    <col min="53" max="53" width="44.28515625" customWidth="1"/>
    <col min="54" max="54" width="29.42578125" bestFit="1" customWidth="1"/>
    <col min="55" max="55" width="29.42578125" style="684" customWidth="1"/>
    <col min="56" max="56" width="11.42578125" bestFit="1" customWidth="1"/>
    <col min="57" max="57" width="7.42578125" customWidth="1"/>
    <col min="58" max="58" width="7.5703125" customWidth="1"/>
    <col min="59" max="59" width="8" customWidth="1"/>
    <col min="60" max="60" width="7.42578125" customWidth="1"/>
    <col min="61" max="61" width="29.140625" style="684" customWidth="1"/>
    <col min="62" max="62" width="17" bestFit="1" customWidth="1"/>
    <col min="63" max="63" width="20" bestFit="1" customWidth="1"/>
    <col min="64" max="64" width="16.7109375" bestFit="1" customWidth="1"/>
    <col min="65" max="65" width="13.5703125" bestFit="1" customWidth="1"/>
    <col min="66" max="66" width="15" bestFit="1" customWidth="1"/>
    <col min="67" max="67" width="12.28515625" style="684" customWidth="1"/>
    <col min="68" max="68" width="49.28515625" hidden="1" customWidth="1"/>
    <col min="69" max="69" width="39.5703125" hidden="1" customWidth="1"/>
    <col min="70" max="70" width="24.7109375" hidden="1" customWidth="1"/>
    <col min="71" max="71" width="43.7109375" hidden="1" customWidth="1"/>
    <col min="72" max="72" width="24.7109375" hidden="1" customWidth="1"/>
    <col min="73" max="73" width="49.85546875" hidden="1" customWidth="1"/>
    <col min="74" max="74" width="31" bestFit="1" customWidth="1"/>
    <col min="75" max="75" width="57.5703125" customWidth="1"/>
    <col min="76" max="76" width="15" bestFit="1" customWidth="1"/>
    <col min="77" max="89" width="24.7109375" customWidth="1"/>
    <col min="90" max="90" width="24.7109375" hidden="1" customWidth="1"/>
    <col min="91" max="91" width="26.7109375" customWidth="1"/>
    <col min="92" max="92" width="24.7109375" hidden="1" customWidth="1"/>
    <col min="93" max="100" width="24.7109375" customWidth="1"/>
    <col min="101" max="101" width="33" bestFit="1" customWidth="1"/>
    <col min="102" max="104" width="24.7109375" customWidth="1"/>
    <col min="105" max="105" width="27.140625" customWidth="1"/>
    <col min="106" max="114" width="24.7109375" hidden="1" customWidth="1"/>
    <col min="115" max="115" width="24.7109375" customWidth="1"/>
    <col min="116" max="116" width="55.28515625" customWidth="1"/>
    <col min="117" max="117" width="26.140625" customWidth="1"/>
    <col min="118" max="118" width="39.42578125" customWidth="1"/>
    <col min="119" max="119" width="24.7109375" customWidth="1"/>
    <col min="120" max="121" width="24.7109375" hidden="1" customWidth="1"/>
    <col min="122" max="122" width="58.7109375" hidden="1" customWidth="1"/>
    <col min="123" max="123" width="62.140625" hidden="1" customWidth="1"/>
    <col min="124" max="125" width="24.7109375" hidden="1" customWidth="1"/>
    <col min="126" max="126" width="33.28515625" customWidth="1"/>
    <col min="127" max="127" width="60" customWidth="1"/>
    <col min="128" max="128" width="20.28515625" customWidth="1"/>
    <col min="129" max="134" width="24.7109375" customWidth="1"/>
    <col min="135" max="135" width="28" customWidth="1"/>
    <col min="136" max="137" width="24.7109375" customWidth="1"/>
    <col min="138" max="138" width="27" bestFit="1" customWidth="1"/>
    <col min="139" max="139" width="29.140625" customWidth="1"/>
    <col min="140" max="140" width="25" customWidth="1"/>
    <col min="141" max="141" width="44.7109375" customWidth="1"/>
    <col min="142" max="142" width="30.5703125" customWidth="1"/>
    <col min="143" max="143" width="22.42578125" customWidth="1"/>
    <col min="144" max="144" width="14.28515625" customWidth="1"/>
    <col min="145" max="145" width="16.140625" customWidth="1"/>
    <col min="146" max="147" width="15.7109375" customWidth="1"/>
    <col min="148" max="148" width="19.140625" customWidth="1"/>
    <col min="149" max="149" width="19.7109375" customWidth="1"/>
    <col min="150" max="150" width="18.7109375" customWidth="1"/>
    <col min="151" max="151" width="18.42578125" customWidth="1"/>
    <col min="152" max="152" width="54.7109375" customWidth="1"/>
    <col min="153" max="157" width="24.7109375" customWidth="1"/>
    <col min="158" max="158" width="58" customWidth="1"/>
    <col min="159" max="159" width="24.7109375" customWidth="1"/>
    <col min="160" max="160" width="39.85546875" customWidth="1"/>
    <col min="161" max="161" width="37" bestFit="1" customWidth="1"/>
    <col min="162" max="162" width="14.42578125" hidden="1" customWidth="1"/>
    <col min="163" max="163" width="5.85546875" hidden="1" customWidth="1"/>
    <col min="164" max="164" width="7.85546875" hidden="1" customWidth="1"/>
    <col min="165" max="165" width="5.85546875" hidden="1" customWidth="1"/>
    <col min="166" max="166" width="7.85546875" hidden="1" customWidth="1"/>
    <col min="167" max="167" width="5.85546875" hidden="1" customWidth="1"/>
    <col min="168" max="168" width="7.85546875" hidden="1" customWidth="1"/>
    <col min="169" max="169" width="5.85546875" hidden="1" customWidth="1"/>
    <col min="170" max="170" width="7.85546875" hidden="1" customWidth="1"/>
    <col min="171" max="171" width="5.85546875" hidden="1" customWidth="1"/>
    <col min="172" max="172" width="7.85546875" hidden="1" customWidth="1"/>
    <col min="173" max="173" width="9" hidden="1" customWidth="1"/>
    <col min="174" max="174" width="8" hidden="1" customWidth="1"/>
    <col min="175" max="177" width="24.7109375" customWidth="1"/>
    <col min="178" max="178" width="35.140625" customWidth="1"/>
    <col min="179" max="179" width="28.85546875" customWidth="1"/>
    <col min="180" max="181" width="24.7109375" customWidth="1"/>
  </cols>
  <sheetData>
    <row r="1" spans="1:179" s="10" customFormat="1" ht="26.25" customHeight="1">
      <c r="A1" s="4150" t="s">
        <v>64</v>
      </c>
      <c r="B1" s="4150"/>
      <c r="C1" s="4150"/>
      <c r="D1" s="4150"/>
      <c r="E1" s="4150"/>
      <c r="F1" s="4150"/>
      <c r="G1" s="4150"/>
      <c r="H1" s="4150"/>
      <c r="I1" s="4150"/>
      <c r="J1" s="4150"/>
      <c r="K1" s="4150"/>
      <c r="L1" s="4150"/>
      <c r="M1" s="4150"/>
      <c r="N1" s="4150"/>
      <c r="O1" s="4150"/>
      <c r="P1" s="4150"/>
      <c r="Q1" s="4150"/>
      <c r="R1" s="4150"/>
      <c r="S1" s="4150"/>
      <c r="T1" s="4150"/>
      <c r="U1" s="4150"/>
      <c r="V1" s="4150"/>
      <c r="W1"/>
      <c r="X1"/>
      <c r="Y1" s="433"/>
      <c r="AA1"/>
      <c r="AB1"/>
      <c r="AC1"/>
      <c r="AD1"/>
      <c r="AE1" s="354"/>
      <c r="AF1"/>
      <c r="AG1"/>
      <c r="AH1" s="684"/>
      <c r="AI1"/>
      <c r="AJ1"/>
      <c r="AK1"/>
      <c r="AL1"/>
      <c r="AM1"/>
      <c r="AN1"/>
      <c r="AO1"/>
      <c r="AP1"/>
      <c r="AQ1"/>
      <c r="AR1"/>
      <c r="AS1"/>
      <c r="AT1"/>
      <c r="AU1"/>
      <c r="AV1"/>
      <c r="AW1"/>
      <c r="AX1"/>
      <c r="AY1"/>
      <c r="AZ1"/>
      <c r="BA1"/>
      <c r="BB1"/>
      <c r="BC1" s="684"/>
      <c r="BD1"/>
      <c r="BE1"/>
      <c r="BF1"/>
      <c r="BG1"/>
      <c r="BH1"/>
      <c r="BI1" s="684"/>
      <c r="BJ1"/>
      <c r="BK1"/>
      <c r="BL1"/>
      <c r="BM1"/>
      <c r="BN1"/>
      <c r="BO1" s="684"/>
      <c r="CC1" s="126"/>
      <c r="CD1" s="126"/>
      <c r="CE1" s="126"/>
      <c r="CG1" s="126"/>
      <c r="CH1" s="824" t="b">
        <f>IF(COUNTIFS('Distributed Assets'!$J$28:$J$102,"AIX",'Distributed Assets'!$Q$28:$Q$102,"Active / Passive")
+  COUNTIFS('Distributed Assets'!$J$28:$J$102,"AIX",'Distributed Assets'!$Q$28:$Q$102,"Active / Active")&gt;0,TRUE,FALSE)</f>
        <v>0</v>
      </c>
      <c r="DI1" s="503"/>
    </row>
    <row r="2" spans="1:179" s="10" customFormat="1" ht="27.75" thickBot="1">
      <c r="A2" s="19" t="s">
        <v>65</v>
      </c>
      <c r="B2" s="19"/>
      <c r="C2" s="19"/>
      <c r="D2" s="19"/>
      <c r="E2" s="19"/>
      <c r="F2" s="19"/>
      <c r="G2" s="19"/>
      <c r="H2" s="19"/>
      <c r="I2" s="19"/>
      <c r="J2" s="19"/>
      <c r="K2" s="19"/>
      <c r="L2" s="19"/>
      <c r="M2" s="20"/>
      <c r="N2" s="20"/>
      <c r="O2" s="20"/>
      <c r="P2" s="20"/>
      <c r="Q2" s="20"/>
      <c r="R2" s="20"/>
      <c r="S2" s="20"/>
      <c r="T2" s="20"/>
      <c r="U2" s="20"/>
      <c r="V2" s="20"/>
      <c r="W2"/>
      <c r="X2"/>
      <c r="Y2" s="433"/>
      <c r="Z2"/>
      <c r="AA2"/>
      <c r="AB2"/>
      <c r="AC2"/>
      <c r="AD2"/>
      <c r="AE2" s="28" t="str">
        <f ca="1">Named_Range_Address(list_aixver,TRUE)</f>
        <v>'BOM FUNCTIONS'!$AE$6:$AE$9</v>
      </c>
      <c r="AF2" s="28" t="str">
        <f ca="1">Named_Range_Address(list_linver,TRUE)</f>
        <v>'BOM FUNCTIONS'!$AF$6:$AF$10</v>
      </c>
      <c r="AG2" s="28" t="str">
        <f ca="1">Named_Range_Address(list_winver,TRUE)</f>
        <v>'BOM FUNCTIONS'!$AG$6:$AG$7</v>
      </c>
      <c r="AH2" s="28"/>
      <c r="AI2" s="28" t="str">
        <f ca="1">Named_Range_Address(list_solver,TRUE)</f>
        <v>'BOM FUNCTIONS'!$AI$6:$AI$9</v>
      </c>
      <c r="AJ2" s="28" t="e">
        <f>Named_Range_Address(list_nover,TRUE)</f>
        <v>#VALUE!</v>
      </c>
      <c r="AK2" s="28" t="str">
        <f ca="1">Named_Range_Address(list_zosver,TRUE)</f>
        <v>'BOM FUNCTIONS'!$AK$6:$AK$9</v>
      </c>
      <c r="AL2" s="28"/>
      <c r="AM2" s="28"/>
      <c r="AN2" s="28"/>
      <c r="AO2"/>
      <c r="AP2"/>
      <c r="AQ2"/>
      <c r="AR2"/>
      <c r="AS2"/>
      <c r="AT2"/>
      <c r="AU2"/>
      <c r="AV2"/>
      <c r="AW2"/>
      <c r="AX2"/>
      <c r="AY2"/>
      <c r="AZ2"/>
      <c r="BA2"/>
      <c r="BB2"/>
      <c r="BC2" s="684"/>
      <c r="BD2"/>
      <c r="BE2"/>
      <c r="BF2"/>
      <c r="BG2"/>
      <c r="BH2"/>
      <c r="BI2" s="684"/>
      <c r="BJ2"/>
      <c r="BK2"/>
      <c r="BL2"/>
      <c r="BM2"/>
      <c r="BN2"/>
      <c r="BO2" s="684"/>
      <c r="CC2" s="126"/>
      <c r="CD2" s="126"/>
      <c r="CE2" s="126"/>
      <c r="CG2" s="126"/>
      <c r="CH2" s="126"/>
    </row>
    <row r="3" spans="1:179" s="10" customFormat="1" ht="13.5" thickBot="1">
      <c r="A3" s="23" t="s">
        <v>77</v>
      </c>
      <c r="B3" s="23"/>
      <c r="C3" s="23"/>
      <c r="D3" s="4151" t="s">
        <v>78</v>
      </c>
      <c r="E3" s="4151"/>
      <c r="F3" s="4151"/>
      <c r="G3" s="4151"/>
      <c r="H3" s="4151"/>
      <c r="I3" s="4151"/>
      <c r="J3" s="4151"/>
      <c r="K3" s="4151"/>
      <c r="L3" s="4151"/>
      <c r="M3" s="4155" t="s">
        <v>4285</v>
      </c>
      <c r="N3" s="4155"/>
      <c r="O3" s="4155"/>
      <c r="P3" s="4155"/>
      <c r="Q3" s="4155"/>
      <c r="R3" s="3218"/>
      <c r="S3" s="3218"/>
      <c r="T3" s="3218"/>
      <c r="U3" s="3218"/>
      <c r="V3" s="3218"/>
      <c r="W3" s="3219" t="s">
        <v>5479</v>
      </c>
      <c r="X3" s="3218"/>
      <c r="Y3" s="4154" t="s">
        <v>4286</v>
      </c>
      <c r="Z3" s="4154"/>
      <c r="AA3" s="4154"/>
      <c r="AB3" s="4154"/>
      <c r="AC3" s="4154"/>
      <c r="AD3" s="4154"/>
      <c r="AE3" s="4153" t="s">
        <v>4284</v>
      </c>
      <c r="AF3" s="4153"/>
      <c r="AG3" s="4153"/>
      <c r="AH3" s="4153"/>
      <c r="AI3" s="4153"/>
      <c r="AJ3" s="4153"/>
      <c r="AK3" s="4153"/>
      <c r="AL3" s="4153"/>
      <c r="AM3" s="4153"/>
      <c r="AN3" s="4153"/>
      <c r="AO3" s="4152" t="s">
        <v>281</v>
      </c>
      <c r="AP3" s="4152"/>
      <c r="AQ3" s="4152"/>
      <c r="AR3" s="32"/>
      <c r="AS3" s="32"/>
      <c r="AT3" s="4166" t="s">
        <v>282</v>
      </c>
      <c r="AU3" s="4166"/>
      <c r="AV3" s="2842" t="s">
        <v>4488</v>
      </c>
      <c r="AW3" s="4171" t="s">
        <v>5496</v>
      </c>
      <c r="AX3" s="4172"/>
      <c r="AY3" s="4167" t="s">
        <v>715</v>
      </c>
      <c r="AZ3" s="4168"/>
      <c r="BA3" s="4168"/>
      <c r="BB3" s="4168"/>
      <c r="BC3" s="4168"/>
      <c r="BD3" s="4168"/>
      <c r="BE3" s="4168"/>
      <c r="BF3" s="4168"/>
      <c r="BG3" s="4168"/>
      <c r="BH3" s="4169"/>
      <c r="BI3" s="725"/>
      <c r="BJ3" s="4170" t="s">
        <v>716</v>
      </c>
      <c r="BK3" s="4170"/>
      <c r="BL3" s="4162" t="s">
        <v>777</v>
      </c>
      <c r="BM3" s="4162"/>
      <c r="BN3" s="92"/>
      <c r="BO3" s="92"/>
      <c r="BP3" s="4163"/>
      <c r="BQ3" s="4164"/>
      <c r="BR3" s="4164"/>
      <c r="BS3" s="4164"/>
      <c r="BT3" s="4164"/>
      <c r="BU3" s="4165"/>
      <c r="BV3" s="85" t="s">
        <v>800</v>
      </c>
      <c r="BW3" s="86"/>
      <c r="CC3" s="126"/>
      <c r="CD3" s="126"/>
      <c r="CE3" s="126"/>
      <c r="CG3" s="126"/>
      <c r="CH3" s="456" t="s">
        <v>1692</v>
      </c>
      <c r="EJ3" s="4173" t="s">
        <v>4298</v>
      </c>
      <c r="EK3" s="4174"/>
      <c r="EL3" s="4174"/>
      <c r="EM3" s="4174"/>
      <c r="EN3" s="4174"/>
      <c r="EO3" s="4174"/>
      <c r="EP3" s="4174"/>
      <c r="EQ3" s="4174"/>
      <c r="ER3" s="4174"/>
      <c r="ES3" s="1545"/>
      <c r="ET3" s="126"/>
      <c r="FF3" s="4124" t="s">
        <v>3654</v>
      </c>
      <c r="FG3" s="4125"/>
      <c r="FH3" s="4126"/>
      <c r="FI3" s="4130" t="s">
        <v>3655</v>
      </c>
      <c r="FJ3" s="4131"/>
      <c r="FK3" s="4134" t="s">
        <v>3656</v>
      </c>
      <c r="FL3" s="4135"/>
      <c r="FM3" s="4134" t="s">
        <v>1197</v>
      </c>
      <c r="FN3" s="4135"/>
      <c r="FO3" s="4138" t="s">
        <v>3657</v>
      </c>
      <c r="FP3" s="4139"/>
      <c r="FQ3" s="4142" t="s">
        <v>3673</v>
      </c>
      <c r="FR3" s="4143"/>
      <c r="FT3" s="4122" t="s">
        <v>3812</v>
      </c>
      <c r="FU3" s="4123"/>
    </row>
    <row r="4" spans="1:179" s="83" customFormat="1" ht="13.5" customHeight="1" thickBot="1">
      <c r="A4" s="6" t="s">
        <v>121</v>
      </c>
      <c r="B4" s="6" t="s">
        <v>81</v>
      </c>
      <c r="C4" s="6"/>
      <c r="D4" s="6"/>
      <c r="E4" s="6" t="s">
        <v>82</v>
      </c>
      <c r="F4" s="6" t="s">
        <v>222</v>
      </c>
      <c r="G4" s="6" t="s">
        <v>83</v>
      </c>
      <c r="H4" s="6" t="s">
        <v>94</v>
      </c>
      <c r="I4" s="6" t="s">
        <v>99</v>
      </c>
      <c r="J4" s="6" t="s">
        <v>124</v>
      </c>
      <c r="K4" s="6" t="s">
        <v>4302</v>
      </c>
      <c r="L4" s="6" t="s">
        <v>36</v>
      </c>
      <c r="M4" s="6" t="s">
        <v>80</v>
      </c>
      <c r="N4" s="6" t="s">
        <v>79</v>
      </c>
      <c r="O4" s="6" t="s">
        <v>89</v>
      </c>
      <c r="P4" s="6" t="s">
        <v>90</v>
      </c>
      <c r="Q4" s="6" t="s">
        <v>91</v>
      </c>
      <c r="R4" s="6" t="s">
        <v>11</v>
      </c>
      <c r="S4" s="6" t="s">
        <v>93</v>
      </c>
      <c r="T4" s="6"/>
      <c r="U4" s="6" t="s">
        <v>294</v>
      </c>
      <c r="V4" s="6"/>
      <c r="W4" s="6"/>
      <c r="X4" s="6"/>
      <c r="Y4" s="6" t="s">
        <v>1781</v>
      </c>
      <c r="Z4" s="6" t="s">
        <v>133</v>
      </c>
      <c r="AA4" s="6" t="s">
        <v>131</v>
      </c>
      <c r="AB4" s="6" t="s">
        <v>13</v>
      </c>
      <c r="AC4" s="6" t="s">
        <v>132</v>
      </c>
      <c r="AD4" s="6" t="s">
        <v>429</v>
      </c>
      <c r="AE4" s="6" t="s">
        <v>37</v>
      </c>
      <c r="AF4" s="6" t="s">
        <v>38</v>
      </c>
      <c r="AG4" s="6" t="s">
        <v>40</v>
      </c>
      <c r="AH4" s="6"/>
      <c r="AI4" s="6" t="s">
        <v>39</v>
      </c>
      <c r="AJ4" s="6"/>
      <c r="AK4" s="6" t="s">
        <v>84</v>
      </c>
      <c r="AL4" s="6"/>
      <c r="AM4" s="6"/>
      <c r="AN4" s="6" t="s">
        <v>170</v>
      </c>
      <c r="AO4" s="6" t="s">
        <v>224</v>
      </c>
      <c r="AP4" s="6" t="s">
        <v>228</v>
      </c>
      <c r="AQ4" s="6" t="s">
        <v>234</v>
      </c>
      <c r="AR4" s="6" t="s">
        <v>352</v>
      </c>
      <c r="AS4" s="6" t="s">
        <v>355</v>
      </c>
      <c r="AT4" s="6" t="s">
        <v>11</v>
      </c>
      <c r="AU4" s="6" t="s">
        <v>283</v>
      </c>
      <c r="AV4" s="6"/>
      <c r="AW4" s="1667"/>
      <c r="AX4" s="1667"/>
      <c r="AY4" s="1668" t="s">
        <v>490</v>
      </c>
      <c r="AZ4" s="1669" t="s">
        <v>495</v>
      </c>
      <c r="BA4" s="1669" t="s">
        <v>504</v>
      </c>
      <c r="BB4" s="83" t="s">
        <v>520</v>
      </c>
      <c r="BC4" s="1670" t="s">
        <v>478</v>
      </c>
      <c r="BD4" s="1669" t="s">
        <v>537</v>
      </c>
      <c r="BE4" s="1669" t="s">
        <v>538</v>
      </c>
      <c r="BF4" s="1669" t="s">
        <v>539</v>
      </c>
      <c r="BG4" s="1669" t="s">
        <v>540</v>
      </c>
      <c r="BH4" s="1669" t="s">
        <v>541</v>
      </c>
      <c r="BI4" s="1671" t="s">
        <v>2269</v>
      </c>
      <c r="BJ4" s="1672" t="s">
        <v>687</v>
      </c>
      <c r="BK4" s="1673" t="s">
        <v>688</v>
      </c>
      <c r="BL4" s="1674" t="s">
        <v>11</v>
      </c>
      <c r="BM4" s="1675" t="s">
        <v>724</v>
      </c>
      <c r="BN4" s="1675" t="s">
        <v>873</v>
      </c>
      <c r="BO4" s="1676" t="s">
        <v>2488</v>
      </c>
      <c r="BP4" s="1677"/>
      <c r="BQ4" s="1677"/>
      <c r="BR4" s="1677"/>
      <c r="BS4" s="1677"/>
      <c r="BT4" s="1677"/>
      <c r="BU4" s="1677"/>
      <c r="BV4" s="1678" t="s">
        <v>801</v>
      </c>
      <c r="BW4" s="1679"/>
      <c r="BX4" s="1680"/>
      <c r="BY4" s="1681" t="s">
        <v>982</v>
      </c>
      <c r="BZ4" s="1682"/>
      <c r="CA4" s="1682"/>
      <c r="CB4" s="1682"/>
      <c r="CC4" s="1682"/>
      <c r="CD4" s="1682"/>
      <c r="CE4" s="1682"/>
      <c r="CF4" s="1682"/>
      <c r="CG4" s="760"/>
      <c r="CH4" s="83" t="s">
        <v>1044</v>
      </c>
      <c r="CI4" s="759" t="s">
        <v>1375</v>
      </c>
      <c r="CJ4" s="760"/>
      <c r="CO4" s="4177" t="s">
        <v>1587</v>
      </c>
      <c r="CP4" s="4178"/>
      <c r="CQ4" s="4178"/>
      <c r="CR4" s="4178"/>
      <c r="CS4" s="4178"/>
      <c r="CT4" s="4178"/>
      <c r="CU4" s="4178"/>
      <c r="CV4" s="4178"/>
      <c r="CW4" s="4179"/>
      <c r="CX4" s="4175" t="s">
        <v>1607</v>
      </c>
      <c r="CY4" s="4176"/>
      <c r="CZ4" s="4176"/>
      <c r="DA4" s="517" t="s">
        <v>4297</v>
      </c>
      <c r="DB4" s="518"/>
      <c r="DC4" s="4147" t="s">
        <v>1882</v>
      </c>
      <c r="DD4" s="4148"/>
      <c r="DE4" s="4148"/>
      <c r="DF4" s="4148"/>
      <c r="DG4" s="4148"/>
      <c r="DH4" s="4148"/>
      <c r="DI4" s="4148"/>
      <c r="DJ4" s="4148"/>
      <c r="DK4" s="4146" t="s">
        <v>2197</v>
      </c>
      <c r="DL4" s="4146"/>
      <c r="DM4" s="4184" t="s">
        <v>2205</v>
      </c>
      <c r="DN4" s="4185"/>
      <c r="DO4" s="4185"/>
      <c r="DP4" s="1683"/>
      <c r="DQ4" s="4181"/>
      <c r="DR4" s="4182"/>
      <c r="DS4" s="4183"/>
      <c r="DT4" s="2680"/>
      <c r="DU4" s="2681"/>
      <c r="DV4" s="4180" t="s">
        <v>3288</v>
      </c>
      <c r="DW4" s="4180"/>
      <c r="DX4" s="872" t="s">
        <v>2531</v>
      </c>
      <c r="DY4" s="1684" t="s">
        <v>2806</v>
      </c>
      <c r="DZ4" s="1685"/>
      <c r="EA4" s="1686"/>
      <c r="EB4" s="1687" t="s">
        <v>2807</v>
      </c>
      <c r="EC4" s="1688"/>
      <c r="ED4" s="1689"/>
      <c r="EE4" s="83" t="s">
        <v>2968</v>
      </c>
      <c r="EG4" s="83" t="s">
        <v>4276</v>
      </c>
      <c r="EH4" s="83" t="s">
        <v>3225</v>
      </c>
      <c r="EI4" s="83" t="s">
        <v>3280</v>
      </c>
      <c r="EJ4" s="1681" t="s">
        <v>3330</v>
      </c>
      <c r="EK4" s="1682" t="s">
        <v>4642</v>
      </c>
      <c r="EL4" s="1682" t="s">
        <v>4643</v>
      </c>
      <c r="EM4" s="1682" t="s">
        <v>4644</v>
      </c>
      <c r="EN4" s="4160" t="s">
        <v>3331</v>
      </c>
      <c r="EO4" s="4160"/>
      <c r="EP4" s="4149" t="s">
        <v>5570</v>
      </c>
      <c r="EQ4" s="4149"/>
      <c r="ER4" s="4149"/>
      <c r="ES4" s="83" t="s">
        <v>5571</v>
      </c>
      <c r="ET4" s="4149" t="s">
        <v>3332</v>
      </c>
      <c r="EU4" s="4156"/>
      <c r="EV4" s="2768" t="s">
        <v>3344</v>
      </c>
      <c r="EW4" s="4157" t="s">
        <v>4287</v>
      </c>
      <c r="EX4" s="4158"/>
      <c r="EY4" s="4158"/>
      <c r="EZ4" s="4158"/>
      <c r="FA4" s="4158"/>
      <c r="FB4" s="4158"/>
      <c r="FC4" s="4159"/>
      <c r="FD4" s="2141"/>
      <c r="FE4" s="2142" t="s">
        <v>3653</v>
      </c>
      <c r="FF4" s="4127"/>
      <c r="FG4" s="4128"/>
      <c r="FH4" s="4129"/>
      <c r="FI4" s="4132"/>
      <c r="FJ4" s="4133"/>
      <c r="FK4" s="4136"/>
      <c r="FL4" s="4137"/>
      <c r="FM4" s="4136"/>
      <c r="FN4" s="4137"/>
      <c r="FO4" s="4140"/>
      <c r="FP4" s="4141"/>
      <c r="FQ4" s="4144"/>
      <c r="FR4" s="4145"/>
      <c r="FT4" s="4123"/>
      <c r="FU4" s="4123"/>
    </row>
    <row r="5" spans="1:179" s="84" customFormat="1" ht="15.75" thickBot="1">
      <c r="A5" s="1722" t="s">
        <v>122</v>
      </c>
      <c r="B5" s="1723"/>
      <c r="C5" s="1723"/>
      <c r="D5" s="1723" t="s">
        <v>85</v>
      </c>
      <c r="E5" s="1723" t="s">
        <v>86</v>
      </c>
      <c r="F5" s="1723" t="s">
        <v>223</v>
      </c>
      <c r="G5" s="1723" t="s">
        <v>87</v>
      </c>
      <c r="H5" s="1723" t="s">
        <v>95</v>
      </c>
      <c r="I5" s="1723" t="s">
        <v>100</v>
      </c>
      <c r="J5" s="1723" t="s">
        <v>125</v>
      </c>
      <c r="K5" s="1740" t="s">
        <v>4303</v>
      </c>
      <c r="L5" s="1740" t="s">
        <v>88</v>
      </c>
      <c r="M5" s="1740" t="s">
        <v>4428</v>
      </c>
      <c r="N5" s="1740" t="s">
        <v>4429</v>
      </c>
      <c r="O5" s="1740" t="s">
        <v>4426</v>
      </c>
      <c r="P5" s="1740" t="s">
        <v>4427</v>
      </c>
      <c r="Q5" s="1740" t="s">
        <v>92</v>
      </c>
      <c r="R5" s="1723"/>
      <c r="S5" s="1723"/>
      <c r="T5" s="1723"/>
      <c r="U5" s="1738"/>
      <c r="V5" s="1723"/>
      <c r="W5" s="1723" t="s">
        <v>5480</v>
      </c>
      <c r="X5" s="1723"/>
      <c r="Y5" s="1740"/>
      <c r="Z5" s="2972" t="s">
        <v>3379</v>
      </c>
      <c r="AA5" s="2973"/>
      <c r="AB5" s="2973"/>
      <c r="AC5" s="2973"/>
      <c r="AD5" s="2973"/>
      <c r="AE5" s="1723" t="s">
        <v>179</v>
      </c>
      <c r="AF5" s="1723" t="s">
        <v>180</v>
      </c>
      <c r="AG5" s="1740" t="s">
        <v>181</v>
      </c>
      <c r="AH5" s="1740" t="s">
        <v>2618</v>
      </c>
      <c r="AI5" s="1723" t="s">
        <v>182</v>
      </c>
      <c r="AJ5" s="1740" t="s">
        <v>4469</v>
      </c>
      <c r="AK5" s="1723" t="s">
        <v>183</v>
      </c>
      <c r="AL5" s="1723"/>
      <c r="AM5" s="1723"/>
      <c r="AN5" s="1723" t="s">
        <v>171</v>
      </c>
      <c r="AO5" s="1723" t="s">
        <v>225</v>
      </c>
      <c r="AP5" s="1723" t="s">
        <v>229</v>
      </c>
      <c r="AQ5" s="1723" t="s">
        <v>235</v>
      </c>
      <c r="AR5" s="1723" t="s">
        <v>353</v>
      </c>
      <c r="AS5" s="1723" t="s">
        <v>356</v>
      </c>
      <c r="AT5" s="4161" t="s">
        <v>284</v>
      </c>
      <c r="AU5" s="4161"/>
      <c r="AV5" s="1723" t="s">
        <v>4489</v>
      </c>
      <c r="AW5" s="3251" t="s">
        <v>5497</v>
      </c>
      <c r="AX5" s="3251" t="s">
        <v>5498</v>
      </c>
      <c r="AY5" s="1724" t="s">
        <v>410</v>
      </c>
      <c r="AZ5" s="1725" t="s">
        <v>500</v>
      </c>
      <c r="BA5" s="1725" t="s">
        <v>505</v>
      </c>
      <c r="BB5" s="1725" t="s">
        <v>521</v>
      </c>
      <c r="BC5" s="1726" t="s">
        <v>2270</v>
      </c>
      <c r="BD5" s="1727" t="s">
        <v>500</v>
      </c>
      <c r="BE5" s="1728"/>
      <c r="BF5" s="1728"/>
      <c r="BG5" s="1728"/>
      <c r="BH5" s="1728"/>
      <c r="BI5" s="1729"/>
      <c r="BJ5" s="1730"/>
      <c r="BK5" s="1731"/>
      <c r="BL5" s="1723" t="s">
        <v>776</v>
      </c>
      <c r="BM5" s="1723" t="s">
        <v>775</v>
      </c>
      <c r="BN5" s="1723"/>
      <c r="BO5" s="1723"/>
      <c r="BP5" s="1723"/>
      <c r="BQ5" s="1723"/>
      <c r="BR5" s="1723"/>
      <c r="BS5" s="1723"/>
      <c r="BT5" s="1723"/>
      <c r="BU5" s="1723"/>
      <c r="BV5" s="1723" t="s">
        <v>1013</v>
      </c>
      <c r="BW5" s="1723" t="s">
        <v>1014</v>
      </c>
      <c r="BX5" s="1740" t="s">
        <v>5114</v>
      </c>
      <c r="BY5" s="1723" t="s">
        <v>1420</v>
      </c>
      <c r="BZ5" s="1732" t="s">
        <v>995</v>
      </c>
      <c r="CA5" s="1723" t="s">
        <v>981</v>
      </c>
      <c r="CB5" s="1723" t="s">
        <v>1421</v>
      </c>
      <c r="CC5" s="1723" t="s">
        <v>1379</v>
      </c>
      <c r="CD5" s="1723" t="s">
        <v>19</v>
      </c>
      <c r="CE5" s="1723" t="s">
        <v>1397</v>
      </c>
      <c r="CF5" s="1723" t="s">
        <v>1398</v>
      </c>
      <c r="CG5" s="1723" t="s">
        <v>1437</v>
      </c>
      <c r="CH5" s="1723" t="s">
        <v>1045</v>
      </c>
      <c r="CI5" s="1733" t="s">
        <v>1056</v>
      </c>
      <c r="CJ5" s="1733" t="s">
        <v>1376</v>
      </c>
      <c r="CK5" s="1740" t="s">
        <v>1446</v>
      </c>
      <c r="CL5" s="1723"/>
      <c r="CM5" s="1723" t="s">
        <v>1476</v>
      </c>
      <c r="CN5" s="1723"/>
      <c r="CO5" s="1723" t="s">
        <v>1588</v>
      </c>
      <c r="CP5" s="1723" t="s">
        <v>1580</v>
      </c>
      <c r="CQ5" s="1723" t="s">
        <v>1581</v>
      </c>
      <c r="CR5" s="1723" t="s">
        <v>1589</v>
      </c>
      <c r="CS5" s="1723" t="s">
        <v>1582</v>
      </c>
      <c r="CT5" s="1723" t="s">
        <v>1590</v>
      </c>
      <c r="CU5" s="1723" t="s">
        <v>1584</v>
      </c>
      <c r="CV5" s="1723" t="s">
        <v>1475</v>
      </c>
      <c r="CW5" s="1723" t="s">
        <v>1591</v>
      </c>
      <c r="CX5" s="2177" t="s">
        <v>1608</v>
      </c>
      <c r="CY5" s="2177" t="s">
        <v>1609</v>
      </c>
      <c r="CZ5" s="2177" t="s">
        <v>1610</v>
      </c>
      <c r="DA5" s="1740" t="s">
        <v>1777</v>
      </c>
      <c r="DB5" s="1723"/>
      <c r="DC5" s="1734" t="s">
        <v>1867</v>
      </c>
      <c r="DD5" s="1735" t="s">
        <v>1868</v>
      </c>
      <c r="DE5" s="1734" t="s">
        <v>1869</v>
      </c>
      <c r="DF5" s="1734" t="s">
        <v>1870</v>
      </c>
      <c r="DG5" s="1736" t="s">
        <v>1883</v>
      </c>
      <c r="DH5" s="1736" t="s">
        <v>1884</v>
      </c>
      <c r="DI5" s="1736" t="s">
        <v>1885</v>
      </c>
      <c r="DJ5" s="1736" t="s">
        <v>1886</v>
      </c>
      <c r="DK5" s="1723" t="s">
        <v>2194</v>
      </c>
      <c r="DL5" s="1723" t="s">
        <v>2195</v>
      </c>
      <c r="DM5" s="1723" t="s">
        <v>2202</v>
      </c>
      <c r="DN5" s="1723" t="s">
        <v>2203</v>
      </c>
      <c r="DO5" s="1723" t="s">
        <v>2204</v>
      </c>
      <c r="DP5" s="1740"/>
      <c r="DQ5" s="1740"/>
      <c r="DR5" s="1740"/>
      <c r="DS5" s="1740"/>
      <c r="DT5" s="1740"/>
      <c r="DU5" s="1740"/>
      <c r="DV5" s="1723" t="s">
        <v>3289</v>
      </c>
      <c r="DW5" s="1723" t="s">
        <v>3290</v>
      </c>
      <c r="DX5" s="1723" t="s">
        <v>2532</v>
      </c>
      <c r="DY5" s="1723" t="s">
        <v>2808</v>
      </c>
      <c r="DZ5" s="1723" t="s">
        <v>2820</v>
      </c>
      <c r="EA5" s="1723" t="s">
        <v>2843</v>
      </c>
      <c r="EB5" s="1723" t="s">
        <v>2819</v>
      </c>
      <c r="EC5" s="1723" t="s">
        <v>2820</v>
      </c>
      <c r="ED5" s="1723" t="s">
        <v>2843</v>
      </c>
      <c r="EE5" s="1723" t="s">
        <v>2967</v>
      </c>
      <c r="EF5" s="1723" t="s">
        <v>3028</v>
      </c>
      <c r="EG5" s="1737" t="s">
        <v>3224</v>
      </c>
      <c r="EH5" s="1737" t="s">
        <v>3224</v>
      </c>
      <c r="EI5" s="1723" t="s">
        <v>3281</v>
      </c>
      <c r="EJ5" s="1723" t="s">
        <v>4289</v>
      </c>
      <c r="EK5" s="1723" t="s">
        <v>4440</v>
      </c>
      <c r="EL5" s="1723" t="s">
        <v>4327</v>
      </c>
      <c r="EM5" s="1723" t="s">
        <v>4326</v>
      </c>
      <c r="EN5" s="1740"/>
      <c r="EO5" s="1740"/>
      <c r="EP5" s="1740"/>
      <c r="EQ5" s="1740"/>
      <c r="ER5" s="1740"/>
      <c r="ES5" s="1740"/>
      <c r="ET5" s="1740"/>
      <c r="EU5" s="1740"/>
      <c r="EV5" s="1723" t="s">
        <v>3345</v>
      </c>
      <c r="EW5" s="2706" t="s">
        <v>3496</v>
      </c>
      <c r="EX5" s="1723" t="s">
        <v>3491</v>
      </c>
      <c r="EY5" s="1723" t="s">
        <v>3489</v>
      </c>
      <c r="EZ5" s="1723" t="s">
        <v>3492</v>
      </c>
      <c r="FA5" s="1723" t="s">
        <v>3490</v>
      </c>
      <c r="FB5" s="1723" t="s">
        <v>3495</v>
      </c>
      <c r="FC5" s="1739" t="s">
        <v>3494</v>
      </c>
      <c r="FD5" s="84" t="s">
        <v>3608</v>
      </c>
      <c r="FE5" s="355"/>
      <c r="FF5" s="2118" t="s">
        <v>3658</v>
      </c>
      <c r="FG5" s="2119" t="s">
        <v>3659</v>
      </c>
      <c r="FH5" s="2119" t="s">
        <v>3660</v>
      </c>
      <c r="FI5" s="2119" t="s">
        <v>3659</v>
      </c>
      <c r="FJ5" s="2119" t="s">
        <v>3660</v>
      </c>
      <c r="FK5" s="2119" t="s">
        <v>3659</v>
      </c>
      <c r="FL5" s="2119" t="s">
        <v>3660</v>
      </c>
      <c r="FM5" s="2119" t="s">
        <v>3659</v>
      </c>
      <c r="FN5" s="2119" t="s">
        <v>3660</v>
      </c>
      <c r="FO5" s="2119" t="s">
        <v>3659</v>
      </c>
      <c r="FP5" s="2120" t="s">
        <v>3660</v>
      </c>
      <c r="FQ5" s="2127" t="s">
        <v>3659</v>
      </c>
      <c r="FR5" s="2128" t="s">
        <v>3660</v>
      </c>
      <c r="FS5" s="84" t="s">
        <v>3761</v>
      </c>
      <c r="FT5" s="83" t="s">
        <v>3804</v>
      </c>
      <c r="FU5" s="83" t="s">
        <v>3805</v>
      </c>
      <c r="FV5" s="84" t="s">
        <v>3830</v>
      </c>
      <c r="FW5" s="2576" t="s">
        <v>4106</v>
      </c>
    </row>
    <row r="6" spans="1:179" s="10" customFormat="1" ht="136.5" thickBot="1">
      <c r="A6" s="1758" t="str">
        <f ca="1">IF(ISERROR(INDEX(IPList,ROWS($A$6:A6))),
         IF(ISERROR(INDEX(VIP_InstanceList,ROWS($A$6:A6)-ROWS(IPList))),
                IF(ISERROR(INDEX(GTMLIST,ROWS($A$6:A6)-(ROWS(IPList)+(ROWS(VIP_InstanceList))))),"",
                      INDEX(GTMLIST,ROWS($A$6:A6)-(ROWS(IPList)+(ROWS(VIP_InstanceList))))),
                                  INDEX(VIP_InstanceList,ROWS($A$6:A6)-ROWS(IPList))),
                                             INDEX(IPList,ROWS($A$6:A6)))</f>
        <v>20213598-001  (IP01)</v>
      </c>
      <c r="B6">
        <v>0</v>
      </c>
      <c r="C6">
        <f>COUNTA(AE8:AE198)</f>
        <v>0</v>
      </c>
      <c r="D6" t="s">
        <v>37</v>
      </c>
      <c r="E6" t="s">
        <v>452</v>
      </c>
      <c r="F6" t="s">
        <v>20</v>
      </c>
      <c r="G6" s="2787"/>
      <c r="H6" t="s">
        <v>96</v>
      </c>
      <c r="I6" t="s">
        <v>101</v>
      </c>
      <c r="J6" s="355"/>
      <c r="K6" s="2762" t="str">
        <f ca="1">IF(ISERROR(INDEX(Assetlist,ROWS($A$6:A6))),
            IF(ISERROR(INDEX(VMList,ROWS($A$6:A6)-ROWS(Assetlist))),"",
                                   INDEX(VMList,ROWS($A$6:A6)-ROWS(Assetlist))),
                                                        INDEX(Assetlist,ROWS($A$6:A6)))</f>
        <v>20213598-001</v>
      </c>
      <c r="L6" s="50" t="s">
        <v>57</v>
      </c>
      <c r="M6" s="2764" t="s">
        <v>7</v>
      </c>
      <c r="N6" s="1666" t="s">
        <v>4369</v>
      </c>
      <c r="O6" s="1666" t="s">
        <v>1472</v>
      </c>
      <c r="P6" s="2343" t="s">
        <v>4370</v>
      </c>
      <c r="Q6" s="2760" t="s">
        <v>3</v>
      </c>
      <c r="R6" s="3"/>
      <c r="S6" s="2646"/>
      <c r="T6" s="2647"/>
      <c r="U6" s="2646"/>
      <c r="V6" s="2649"/>
      <c r="W6" s="2646" t="str">
        <f ca="1">IF(ISERROR(INDEX(AssetDecomList,ROWS($A$6:A6))),
IF(ISERROR(INDEX(AssetDecomVIPs,ROWS($A$6:A6)-ROWS(AssetDecomList))),"",INDEX(AssetDecomVIPs,ROWS($A$6:A6)-ROWS(AssetDecomList))),
INDEX(AssetDecomList,ROWS($A$6:A6)))</f>
        <v>D20213598-001</v>
      </c>
      <c r="X6" s="2648"/>
      <c r="Y6" s="2991" t="s">
        <v>1196</v>
      </c>
      <c r="Z6" s="2991" t="s">
        <v>1037</v>
      </c>
      <c r="AA6" s="2992">
        <v>516</v>
      </c>
      <c r="AB6" s="2991" t="s">
        <v>4661</v>
      </c>
      <c r="AC6" s="2991" t="s">
        <v>454</v>
      </c>
      <c r="AD6" s="2991" t="s">
        <v>455</v>
      </c>
      <c r="AE6" s="2970" t="s">
        <v>2476</v>
      </c>
      <c r="AF6" s="3200" t="s">
        <v>5528</v>
      </c>
      <c r="AG6" s="763" t="s">
        <v>4463</v>
      </c>
      <c r="AH6" s="3064" t="s">
        <v>4464</v>
      </c>
      <c r="AI6" s="3063" t="s">
        <v>169</v>
      </c>
      <c r="AJ6" s="2802" t="s">
        <v>4470</v>
      </c>
      <c r="AK6" s="2639" t="s">
        <v>178</v>
      </c>
      <c r="AL6" s="3"/>
      <c r="AM6" s="1656"/>
      <c r="AN6" s="2627" t="s">
        <v>4233</v>
      </c>
      <c r="AO6" s="354" t="s">
        <v>3515</v>
      </c>
      <c r="AP6" t="s">
        <v>231</v>
      </c>
      <c r="AQ6" t="s">
        <v>236</v>
      </c>
      <c r="AR6" t="s">
        <v>354</v>
      </c>
      <c r="AS6" t="s">
        <v>357</v>
      </c>
      <c r="AT6" s="2636" t="s">
        <v>3705</v>
      </c>
      <c r="AU6" s="2636" t="s">
        <v>3706</v>
      </c>
      <c r="AV6" s="2843"/>
      <c r="AW6" s="354" t="s">
        <v>5499</v>
      </c>
      <c r="AX6" s="931" t="s">
        <v>5504</v>
      </c>
      <c r="AY6" s="1690" t="s">
        <v>411</v>
      </c>
      <c r="AZ6" s="1691" t="s">
        <v>501</v>
      </c>
      <c r="BA6" s="1691" t="s">
        <v>506</v>
      </c>
      <c r="BB6" s="1587" t="s">
        <v>522</v>
      </c>
      <c r="BC6" s="1587" t="s">
        <v>2271</v>
      </c>
      <c r="BD6" s="30" t="s">
        <v>633</v>
      </c>
      <c r="BE6" s="1692"/>
      <c r="BF6" s="1692"/>
      <c r="BG6" s="1692"/>
      <c r="BH6" s="294"/>
      <c r="BI6" s="2751" t="s">
        <v>2273</v>
      </c>
      <c r="BJ6" s="2752"/>
      <c r="BK6" s="2755"/>
      <c r="BL6" s="3123" t="s">
        <v>5246</v>
      </c>
      <c r="BM6" s="3124" t="s">
        <v>5247</v>
      </c>
      <c r="BN6" s="3124" t="s">
        <v>5248</v>
      </c>
      <c r="BO6" s="3125" t="s">
        <v>5246</v>
      </c>
      <c r="BP6" s="2651"/>
      <c r="BQ6" s="2652"/>
      <c r="BR6" s="30"/>
      <c r="BS6" s="30"/>
      <c r="BT6" s="30"/>
      <c r="BU6" s="2653"/>
      <c r="BV6" s="1693"/>
      <c r="BW6" s="1694"/>
      <c r="BX6" s="1666"/>
      <c r="BY6" s="3074" t="s">
        <v>996</v>
      </c>
      <c r="BZ6" s="1695" t="s">
        <v>1422</v>
      </c>
      <c r="CA6" s="1696" t="s">
        <v>961</v>
      </c>
      <c r="CB6" s="1696" t="s">
        <v>962</v>
      </c>
      <c r="CC6" s="1696" t="s">
        <v>983</v>
      </c>
      <c r="CD6" s="1696" t="s">
        <v>1384</v>
      </c>
      <c r="CE6" s="1469" t="s">
        <v>26</v>
      </c>
      <c r="CF6" s="1469" t="s">
        <v>26</v>
      </c>
      <c r="CG6" s="1697" t="s">
        <v>26</v>
      </c>
      <c r="CH6" s="1698"/>
      <c r="CI6" s="167"/>
      <c r="CJ6" s="1771" t="s">
        <v>1373</v>
      </c>
      <c r="CK6" s="1772"/>
      <c r="CL6" s="2661"/>
      <c r="CM6" s="1699" t="s">
        <v>1477</v>
      </c>
      <c r="CN6" s="2664"/>
      <c r="CO6" s="2748" t="s">
        <v>3705</v>
      </c>
      <c r="CP6" s="2749" t="b">
        <v>1</v>
      </c>
      <c r="CQ6" s="2749" t="b">
        <v>1</v>
      </c>
      <c r="CR6" s="2749">
        <v>443</v>
      </c>
      <c r="CS6" s="2749" t="s">
        <v>3646</v>
      </c>
      <c r="CT6" s="2750" t="s">
        <v>1472</v>
      </c>
      <c r="CU6" s="2750" t="s">
        <v>1597</v>
      </c>
      <c r="CV6" s="2750" t="s">
        <v>1477</v>
      </c>
      <c r="CW6" s="961" t="s">
        <v>3649</v>
      </c>
      <c r="CX6" s="2178" t="s">
        <v>37</v>
      </c>
      <c r="CY6" s="2930" t="s">
        <v>4624</v>
      </c>
      <c r="CZ6" s="2179" t="s">
        <v>4651</v>
      </c>
      <c r="DA6" s="2955" t="s">
        <v>5419</v>
      </c>
      <c r="DB6" s="1704"/>
      <c r="DC6" s="1705" t="s">
        <v>1835</v>
      </c>
      <c r="DD6" s="1706" t="s">
        <v>1836</v>
      </c>
      <c r="DE6" s="1707" t="s">
        <v>1055</v>
      </c>
      <c r="DF6" s="1707" t="s">
        <v>1837</v>
      </c>
      <c r="DG6" s="1708" t="s">
        <v>1871</v>
      </c>
      <c r="DH6" s="1709" t="s">
        <v>56</v>
      </c>
      <c r="DI6" s="1710" t="s">
        <v>1872</v>
      </c>
      <c r="DJ6" s="1711" t="s">
        <v>1873</v>
      </c>
      <c r="DK6" s="1665" t="s">
        <v>726</v>
      </c>
      <c r="DL6" s="3" t="s">
        <v>4316</v>
      </c>
      <c r="DM6" s="2640" t="s">
        <v>1774</v>
      </c>
      <c r="DN6" s="2641" t="e">
        <f xml:space="preserve">
"/data        "&amp; Dev_db_size*0.7 &amp; "GB"&amp;CHAR(10)&amp;
"/indx         "&amp; Dev_db_size*0.3 &amp; "GB"&amp;CHAR(10)&amp;
"/temp        "&amp; Dev_db_size*0.1  &amp; "GB"&amp;CHAR(10)&amp;
"/undo        "&amp; Dev_db_size*0.1 &amp;  "GB"&amp;CHAR(10)&amp;
"/oracle      50 GB"&amp;CHAR(10)&amp;
"/redo        "&amp; Dev_db_size*0.1 &amp;   "GB"&amp;CHAR(10)&amp;
"/backup    "&amp; Dev_db_size*2.2 &amp;    "GB"</f>
        <v>#REF!</v>
      </c>
      <c r="DO6" s="2678" t="e">
        <f xml:space="preserve">
Dev_db_size*0.7&amp;" GB LUN"&amp;CHAR(10)&amp;
"----------------"&amp;CHAR(10)&amp;
Dev_db_size*0.73&amp;"  GB LUN"&amp;CHAR(10)&amp;
"  ----------------"&amp;CHAR(10)&amp;
Dev_db_size*0.3&amp;"  GB LUN"&amp;CHAR(10)&amp;
"  ----------------"&amp;CHAR(10)&amp;
Dev_db_size*0.3&amp;"  GB LUN"&amp;CHAR(10)&amp;
"  ----------------"&amp;CHAR(10)&amp;
Dev_db_size*0.3&amp;"  GB LUN"&amp;CHAR(10)&amp;
"  ----------------"&amp;CHAR(10)&amp;
" 50 GB LUN"&amp;CHAR(10)&amp;
"  ----------------"&amp;CHAR(10)&amp;
Dev_db_size*2.2&amp;" GB LUN"</f>
        <v>#REF!</v>
      </c>
      <c r="DP6" s="4"/>
      <c r="DQ6" s="1644"/>
      <c r="DR6" s="1644"/>
      <c r="DS6" s="1644"/>
      <c r="DT6" s="1644"/>
      <c r="DU6" s="2676"/>
      <c r="DV6" s="2669" t="s">
        <v>726</v>
      </c>
      <c r="DW6" s="2918" t="s">
        <v>4316</v>
      </c>
      <c r="DX6" s="1714" t="s">
        <v>2533</v>
      </c>
      <c r="DY6" s="1715" t="s">
        <v>2809</v>
      </c>
      <c r="DZ6" s="1716" t="s">
        <v>2821</v>
      </c>
      <c r="EA6" s="1717" t="s">
        <v>2841</v>
      </c>
      <c r="EB6" s="996" t="s">
        <v>2814</v>
      </c>
      <c r="EC6" s="997" t="s">
        <v>2882</v>
      </c>
      <c r="ED6" s="1718" t="s">
        <v>2902</v>
      </c>
      <c r="EE6" s="2757" t="s">
        <v>1123</v>
      </c>
      <c r="EF6" s="2756" t="s">
        <v>26</v>
      </c>
      <c r="EG6" s="1720" t="b">
        <v>0</v>
      </c>
      <c r="EH6" s="1721" t="b">
        <v>1</v>
      </c>
      <c r="EI6" s="1713"/>
      <c r="EJ6" s="3393" t="s">
        <v>4326</v>
      </c>
      <c r="EK6" s="3391" t="s">
        <v>5416</v>
      </c>
      <c r="EL6" s="2923" t="s">
        <v>5139</v>
      </c>
      <c r="EM6" s="2922" t="s">
        <v>4299</v>
      </c>
      <c r="EN6" s="3375" t="s">
        <v>4336</v>
      </c>
      <c r="EO6" s="3354" t="s">
        <v>5522</v>
      </c>
      <c r="EP6" s="3373" t="s">
        <v>5336</v>
      </c>
      <c r="EQ6" s="3356" t="s">
        <v>5556</v>
      </c>
      <c r="ER6" s="3358" t="s">
        <v>5494</v>
      </c>
      <c r="ES6" s="3352" t="s">
        <v>4309</v>
      </c>
      <c r="ET6" s="3356" t="s">
        <v>4310</v>
      </c>
      <c r="EU6" s="3363" t="s">
        <v>4330</v>
      </c>
      <c r="EV6" s="3360" t="s">
        <v>5143</v>
      </c>
      <c r="EW6" s="2707" t="s">
        <v>3491</v>
      </c>
      <c r="EX6" s="2703" t="s">
        <v>3483</v>
      </c>
      <c r="EY6" s="2683">
        <v>120</v>
      </c>
      <c r="EZ6" s="2682" t="s">
        <v>3486</v>
      </c>
      <c r="FA6" s="2684">
        <v>120</v>
      </c>
      <c r="FB6" s="2685" t="s">
        <v>3501</v>
      </c>
      <c r="FC6" s="2684">
        <v>120</v>
      </c>
      <c r="FD6" s="2309" t="s">
        <v>3609</v>
      </c>
      <c r="FE6" s="2089"/>
      <c r="FF6" s="2090" t="s">
        <v>3661</v>
      </c>
      <c r="FG6" s="2091">
        <v>1</v>
      </c>
      <c r="FH6" s="2092">
        <v>1</v>
      </c>
      <c r="FI6" s="2093" t="s">
        <v>26</v>
      </c>
      <c r="FJ6" s="2094" t="s">
        <v>26</v>
      </c>
      <c r="FK6" s="2095" t="s">
        <v>26</v>
      </c>
      <c r="FL6" s="2096" t="s">
        <v>26</v>
      </c>
      <c r="FM6" s="2097" t="s">
        <v>26</v>
      </c>
      <c r="FN6" s="2098" t="s">
        <v>26</v>
      </c>
      <c r="FO6" s="2099" t="s">
        <v>26</v>
      </c>
      <c r="FP6" s="2124" t="s">
        <v>26</v>
      </c>
      <c r="FQ6" s="2129" t="s">
        <v>26</v>
      </c>
      <c r="FR6" s="2302" t="s">
        <v>26</v>
      </c>
      <c r="FS6" s="2304" t="b">
        <v>1</v>
      </c>
      <c r="FT6" s="2325" t="s">
        <v>3806</v>
      </c>
      <c r="FU6" s="2330" t="s">
        <v>3807</v>
      </c>
      <c r="FV6" s="2333" t="s">
        <v>3828</v>
      </c>
      <c r="FW6" s="503" t="s">
        <v>4107</v>
      </c>
    </row>
    <row r="7" spans="1:179" s="10" customFormat="1" ht="205.5" customHeight="1" thickBot="1">
      <c r="A7" s="1758" t="str">
        <f ca="1">IF(ISERROR(INDEX(IPList,ROWS($A$6:A7))),
         IF(ISERROR(INDEX(VIP_InstanceList,ROWS($A$6:A7)-ROWS(IPList))),
                IF(ISERROR(INDEX(GTMLIST,ROWS($A$6:A7)-(ROWS(IPList)+(ROWS(VIP_InstanceList))))),"",
                      INDEX(GTMLIST,ROWS($A$6:A7)-(ROWS(IPList)+(ROWS(VIP_InstanceList))))),
                                  INDEX(VIP_InstanceList,ROWS($A$6:A7)-ROWS(IPList))),
                                             INDEX(IPList,ROWS($A$6:A7)))</f>
        <v>20213598-001  (IP02)</v>
      </c>
      <c r="B7">
        <v>1</v>
      </c>
      <c r="C7">
        <f>COUNTA(AF10:AF192)</f>
        <v>1</v>
      </c>
      <c r="D7" t="s">
        <v>38</v>
      </c>
      <c r="E7" t="s">
        <v>67</v>
      </c>
      <c r="F7" t="s">
        <v>21</v>
      </c>
      <c r="G7" s="1758" t="s">
        <v>2392</v>
      </c>
      <c r="H7" t="s">
        <v>97</v>
      </c>
      <c r="I7" t="s">
        <v>102</v>
      </c>
      <c r="J7" s="93" t="s">
        <v>126</v>
      </c>
      <c r="K7" s="2763" t="str">
        <f ca="1">IF(ISERROR(INDEX(Assetlist,ROWS($A$6:A7))),
            IF(ISERROR(INDEX(VMList,ROWS($A$6:A7)-ROWS(Assetlist))),"",
                                   INDEX(VMList,ROWS($A$6:A7)-ROWS(Assetlist))),
                                                        INDEX(Assetlist,ROWS($A$6:A7)))</f>
        <v>20213598-002</v>
      </c>
      <c r="L7" s="50" t="s">
        <v>53</v>
      </c>
      <c r="M7" s="2764" t="s">
        <v>4371</v>
      </c>
      <c r="N7" s="1666" t="s">
        <v>4372</v>
      </c>
      <c r="O7" s="1666" t="s">
        <v>4373</v>
      </c>
      <c r="P7" s="2343" t="s">
        <v>1594</v>
      </c>
      <c r="Q7" s="2760" t="s">
        <v>68</v>
      </c>
      <c r="R7" s="3"/>
      <c r="S7" s="3"/>
      <c r="T7" s="2646"/>
      <c r="U7" s="2646"/>
      <c r="V7" s="2650"/>
      <c r="W7" s="2646" t="str">
        <f ca="1">IF(ISERROR(INDEX(AssetDecomList,ROWS($A$6:A7))),
IF(ISERROR(INDEX(AssetDecomVIPs,ROWS($A$6:A7)-ROWS(AssetDecomList))),"",INDEX(AssetDecomVIPs,ROWS($A$6:A7)-ROWS(AssetDecomList))),
INDEX(AssetDecomList,ROWS($A$6:A7)))</f>
        <v>D20213598-002</v>
      </c>
      <c r="X7" s="3"/>
      <c r="Y7" s="2993" t="s">
        <v>1196</v>
      </c>
      <c r="Z7" s="2993" t="s">
        <v>782</v>
      </c>
      <c r="AA7" s="2993">
        <v>525</v>
      </c>
      <c r="AB7" s="2993" t="s">
        <v>1038</v>
      </c>
      <c r="AC7" s="2993" t="s">
        <v>959</v>
      </c>
      <c r="AD7" s="2993" t="s">
        <v>960</v>
      </c>
      <c r="AE7" s="2971" t="s">
        <v>168</v>
      </c>
      <c r="AF7" s="3200" t="s">
        <v>5321</v>
      </c>
      <c r="AG7" s="3062"/>
      <c r="AH7" s="3065" t="s">
        <v>4641</v>
      </c>
      <c r="AI7"/>
      <c r="AJ7" s="772" t="s">
        <v>4471</v>
      </c>
      <c r="AK7"/>
      <c r="AL7" s="3"/>
      <c r="AM7" s="1656"/>
      <c r="AN7" t="s">
        <v>172</v>
      </c>
      <c r="AO7" s="354" t="s">
        <v>3516</v>
      </c>
      <c r="AP7" s="354" t="s">
        <v>5140</v>
      </c>
      <c r="AQ7" t="s">
        <v>237</v>
      </c>
      <c r="AR7" t="s">
        <v>361</v>
      </c>
      <c r="AS7" t="s">
        <v>572</v>
      </c>
      <c r="AT7" t="s">
        <v>1592</v>
      </c>
      <c r="AU7" t="s">
        <v>311</v>
      </c>
      <c r="AV7" s="2843" t="s">
        <v>3846</v>
      </c>
      <c r="AW7" s="931" t="s">
        <v>5500</v>
      </c>
      <c r="AX7" s="931" t="s">
        <v>5505</v>
      </c>
      <c r="AY7" s="726" t="s">
        <v>412</v>
      </c>
      <c r="AZ7" s="57" t="s">
        <v>502</v>
      </c>
      <c r="BA7" s="57" t="s">
        <v>507</v>
      </c>
      <c r="BB7" s="714" t="s">
        <v>523</v>
      </c>
      <c r="BC7" s="714" t="s">
        <v>2272</v>
      </c>
      <c r="BD7" s="18" t="s">
        <v>634</v>
      </c>
      <c r="BE7" s="60"/>
      <c r="BF7" s="60"/>
      <c r="BG7" s="60"/>
      <c r="BH7" s="77"/>
      <c r="BI7" s="2751" t="s">
        <v>2273</v>
      </c>
      <c r="BJ7" s="2753">
        <v>1</v>
      </c>
      <c r="BK7" s="2754" t="s">
        <v>1443</v>
      </c>
      <c r="BL7" s="3126" t="s">
        <v>452</v>
      </c>
      <c r="BM7" s="2439" t="s">
        <v>718</v>
      </c>
      <c r="BN7" s="2439" t="s">
        <v>59</v>
      </c>
      <c r="BO7" s="2440" t="s">
        <v>723</v>
      </c>
      <c r="BP7" s="2654"/>
      <c r="BQ7" s="280"/>
      <c r="BR7" s="18"/>
      <c r="BS7" s="18"/>
      <c r="BT7" s="18"/>
      <c r="BU7" s="2655"/>
      <c r="BV7" s="1693" t="s">
        <v>4103</v>
      </c>
      <c r="BW7" s="1694"/>
      <c r="BX7" s="3080"/>
      <c r="BY7" s="3075" t="s">
        <v>997</v>
      </c>
      <c r="BZ7" s="325" t="s">
        <v>1423</v>
      </c>
      <c r="CA7" s="116" t="s">
        <v>963</v>
      </c>
      <c r="CB7" s="116" t="s">
        <v>964</v>
      </c>
      <c r="CC7" s="116" t="s">
        <v>984</v>
      </c>
      <c r="CD7" s="116" t="s">
        <v>1385</v>
      </c>
      <c r="CE7" s="305" t="s">
        <v>26</v>
      </c>
      <c r="CF7" s="305" t="s">
        <v>26</v>
      </c>
      <c r="CG7" s="330" t="s">
        <v>26</v>
      </c>
      <c r="CH7" s="355" t="s">
        <v>1691</v>
      </c>
      <c r="CI7" s="757" t="s">
        <v>1055</v>
      </c>
      <c r="CK7" s="50" t="s">
        <v>1444</v>
      </c>
      <c r="CL7" s="2662"/>
      <c r="CM7" s="1547" t="s">
        <v>1478</v>
      </c>
      <c r="CN7" s="2665"/>
      <c r="CO7" s="1700" t="s">
        <v>1592</v>
      </c>
      <c r="CP7" s="1701" t="b">
        <v>1</v>
      </c>
      <c r="CQ7" s="1701" t="b">
        <v>1</v>
      </c>
      <c r="CR7" s="1702">
        <v>443</v>
      </c>
      <c r="CS7" s="1703" t="s">
        <v>1593</v>
      </c>
      <c r="CT7" s="1702" t="s">
        <v>1472</v>
      </c>
      <c r="CU7" s="1702" t="s">
        <v>4380</v>
      </c>
      <c r="CV7" s="1702" t="s">
        <v>1477</v>
      </c>
      <c r="CW7" s="2174" t="s">
        <v>303</v>
      </c>
      <c r="CX7" s="2180" t="s">
        <v>3205</v>
      </c>
      <c r="CY7" s="2181" t="s">
        <v>5320</v>
      </c>
      <c r="CZ7" s="2615" t="s">
        <v>4651</v>
      </c>
      <c r="DA7" s="3104" t="s">
        <v>5144</v>
      </c>
      <c r="DB7" s="608"/>
      <c r="DC7" s="562" t="s">
        <v>1838</v>
      </c>
      <c r="DD7" s="569" t="s">
        <v>1839</v>
      </c>
      <c r="DE7" s="566" t="s">
        <v>25</v>
      </c>
      <c r="DF7" s="566" t="s">
        <v>1840</v>
      </c>
      <c r="DG7" s="564" t="s">
        <v>1874</v>
      </c>
      <c r="DH7" s="568" t="s">
        <v>1875</v>
      </c>
      <c r="DI7" s="575" t="s">
        <v>1876</v>
      </c>
      <c r="DJ7" s="646" t="s">
        <v>1877</v>
      </c>
      <c r="DK7" s="1665" t="s">
        <v>726</v>
      </c>
      <c r="DL7" s="3" t="s">
        <v>4316</v>
      </c>
      <c r="DM7" s="2642" t="s">
        <v>1775</v>
      </c>
      <c r="DN7" s="2643" t="e">
        <f xml:space="preserve">
"/data1        "&amp; Test_db_size*0.7 &amp; "GB"&amp;CHAR(10)&amp;
"/indx1         "&amp; Test_db_size*0.3 &amp; "GB"&amp;CHAR(10)&amp;
"/temp1        "&amp; Test_db_size*0.1  &amp; "GB"&amp;CHAR(10)&amp;
"/undo1        "&amp; Test_db_size*0.1 &amp;  "GB"&amp;CHAR(10)&amp;
"/oracle      50 GB"&amp;CHAR(10)&amp;
"/redo1        "&amp; Test_db_size*0.1 &amp;   "GB"&amp;CHAR(10)&amp;
"/backup1    "&amp; Test_db_size*2.2 &amp;    "GB"</f>
        <v>#REF!</v>
      </c>
      <c r="DO7" s="2679" t="e">
        <f xml:space="preserve">
Test_db_size*0.7 &amp; " GB LUN"&amp;CHAR(10)&amp;
  "----------------"&amp;CHAR(10)&amp;
Test_db_size*0.73 &amp; "  GB LUN"&amp;CHAR(10)&amp;
"  ----------------"&amp;CHAR(10)&amp;
Test_db_size*0.3 &amp; "  GB LUN"&amp;CHAR(10)&amp;
"  ----------------"&amp;CHAR(10)&amp;
Test_db_size*0.3 &amp; "  GB LUN"&amp;CHAR(10)&amp;
"  ----------------"&amp;CHAR(10)&amp;
Test_db_size*0.3 &amp; "  GB LUN"&amp;CHAR(10)&amp;
"  ----------------"&amp;CHAR(10)&amp;
"50 GB LUN"&amp;CHAR(10)&amp;
"  ----------------"&amp;CHAR(10)&amp;
Test_db_size*2.2 &amp; " GB LUN"</f>
        <v>#REF!</v>
      </c>
      <c r="DP7" s="4"/>
      <c r="DQ7" s="1644"/>
      <c r="DR7" s="1644"/>
      <c r="DS7" s="1644"/>
      <c r="DT7" s="1644"/>
      <c r="DU7" s="2677"/>
      <c r="DV7" s="2669" t="s">
        <v>726</v>
      </c>
      <c r="DW7" s="2918" t="s">
        <v>4316</v>
      </c>
      <c r="DX7" s="964" t="s">
        <v>2534</v>
      </c>
      <c r="DY7" s="970" t="s">
        <v>2810</v>
      </c>
      <c r="DZ7" s="969" t="s">
        <v>2822</v>
      </c>
      <c r="EA7" s="981" t="s">
        <v>2842</v>
      </c>
      <c r="EB7" s="993" t="s">
        <v>2815</v>
      </c>
      <c r="EC7" s="998" t="s">
        <v>2883</v>
      </c>
      <c r="ED7" s="1029" t="s">
        <v>2903</v>
      </c>
      <c r="EE7" s="1719" t="s">
        <v>1183</v>
      </c>
      <c r="EF7" s="1335" t="s">
        <v>3029</v>
      </c>
      <c r="EG7" s="1336" t="b">
        <v>0</v>
      </c>
      <c r="EH7" s="1360" t="b">
        <v>1</v>
      </c>
      <c r="EI7" s="1524" t="s">
        <v>3282</v>
      </c>
      <c r="EJ7" s="3394" t="s">
        <v>4327</v>
      </c>
      <c r="EK7" s="3392" t="s">
        <v>4442</v>
      </c>
      <c r="EL7" s="2769" t="s">
        <v>4334</v>
      </c>
      <c r="EM7" s="3371" t="s">
        <v>4300</v>
      </c>
      <c r="EN7" s="3364" t="s">
        <v>4443</v>
      </c>
      <c r="EO7" s="3376" t="s">
        <v>4444</v>
      </c>
      <c r="EP7" s="3374" t="s">
        <v>5493</v>
      </c>
      <c r="EQ7" s="3353" t="s">
        <v>5521</v>
      </c>
      <c r="ER7" s="3359" t="s">
        <v>4335</v>
      </c>
      <c r="ES7" s="3368" t="s">
        <v>4610</v>
      </c>
      <c r="ET7" s="3355" t="s">
        <v>3694</v>
      </c>
      <c r="EU7" s="3365" t="s">
        <v>4332</v>
      </c>
      <c r="EV7" s="3361" t="s">
        <v>4130</v>
      </c>
      <c r="EW7" s="2708" t="s">
        <v>3492</v>
      </c>
      <c r="EX7" s="2704" t="s">
        <v>3484</v>
      </c>
      <c r="EY7" s="2686">
        <v>100</v>
      </c>
      <c r="EZ7" s="2687" t="s">
        <v>3487</v>
      </c>
      <c r="FA7" s="2688">
        <v>100</v>
      </c>
      <c r="FB7" s="2689" t="s">
        <v>3502</v>
      </c>
      <c r="FC7" s="2690">
        <v>100</v>
      </c>
      <c r="FD7" s="1928" t="s">
        <v>3610</v>
      </c>
      <c r="FE7" s="2307" t="s">
        <v>3662</v>
      </c>
      <c r="FF7" s="2100" t="s">
        <v>3663</v>
      </c>
      <c r="FG7" s="2101">
        <v>1</v>
      </c>
      <c r="FH7" s="2102">
        <v>2</v>
      </c>
      <c r="FI7" s="2103">
        <v>2</v>
      </c>
      <c r="FJ7" s="2104">
        <v>4</v>
      </c>
      <c r="FK7" s="2105">
        <v>2</v>
      </c>
      <c r="FL7" s="2106">
        <v>4</v>
      </c>
      <c r="FM7" s="2107">
        <v>2</v>
      </c>
      <c r="FN7" s="2108">
        <v>4</v>
      </c>
      <c r="FO7" s="2109">
        <v>2</v>
      </c>
      <c r="FP7" s="2125">
        <v>4</v>
      </c>
      <c r="FQ7" s="2130">
        <v>2</v>
      </c>
      <c r="FR7" s="2303">
        <v>4</v>
      </c>
      <c r="FS7" s="51" t="b">
        <v>0</v>
      </c>
      <c r="FT7" s="2326" t="s">
        <v>3808</v>
      </c>
      <c r="FU7" s="2331" t="s">
        <v>3809</v>
      </c>
      <c r="FV7" s="2334" t="s">
        <v>3829</v>
      </c>
      <c r="FW7" s="503" t="s">
        <v>4256</v>
      </c>
    </row>
    <row r="8" spans="1:179" s="10" customFormat="1" ht="136.5" thickBot="1">
      <c r="A8" s="1758" t="str">
        <f ca="1">IF(ISERROR(INDEX(IPList,ROWS($A$6:A8))),
         IF(ISERROR(INDEX(VIP_InstanceList,ROWS($A$6:A8)-ROWS(IPList))),
                IF(ISERROR(INDEX(GTMLIST,ROWS($A$6:A8)-(ROWS(IPList)+(ROWS(VIP_InstanceList))))),"",
                      INDEX(GTMLIST,ROWS($A$6:A8)-(ROWS(IPList)+(ROWS(VIP_InstanceList))))),
                                  INDEX(VIP_InstanceList,ROWS($A$6:A8)-ROWS(IPList))),
                                             INDEX(IPList,ROWS($A$6:A8)))</f>
        <v>20213598-002  (IP01)</v>
      </c>
      <c r="B8">
        <v>2</v>
      </c>
      <c r="C8">
        <f>COUNTA(AG11:AG198)</f>
        <v>0</v>
      </c>
      <c r="D8" t="s">
        <v>39</v>
      </c>
      <c r="E8" t="s">
        <v>66</v>
      </c>
      <c r="F8" s="503" t="s">
        <v>3644</v>
      </c>
      <c r="G8" s="1548" t="s">
        <v>1606</v>
      </c>
      <c r="H8" t="s">
        <v>98</v>
      </c>
      <c r="I8" t="s">
        <v>103</v>
      </c>
      <c r="J8" s="93" t="s">
        <v>824</v>
      </c>
      <c r="K8" s="2763" t="str">
        <f ca="1">IF(ISERROR(INDEX(Assetlist,ROWS($A$6:A8))),
            IF(ISERROR(INDEX(VMList,ROWS($A$6:A8)-ROWS(Assetlist))),"",
                                   INDEX(VMList,ROWS($A$6:A8)-ROWS(Assetlist))),
                                                        INDEX(Assetlist,ROWS($A$6:A8)))</f>
        <v>20213598-003</v>
      </c>
      <c r="L8" s="50" t="s">
        <v>54</v>
      </c>
      <c r="M8" s="2428" t="s">
        <v>4374</v>
      </c>
      <c r="N8" s="1666" t="s">
        <v>4375</v>
      </c>
      <c r="O8" s="1666" t="s">
        <v>4376</v>
      </c>
      <c r="P8" s="2761" t="s">
        <v>4377</v>
      </c>
      <c r="Q8" s="2765" t="s">
        <v>3650</v>
      </c>
      <c r="R8" s="3"/>
      <c r="S8" s="3"/>
      <c r="T8" s="3"/>
      <c r="U8" s="2646"/>
      <c r="V8" s="2650"/>
      <c r="W8" s="2646" t="str">
        <f ca="1">IF(ISERROR(INDEX(AssetDecomList,ROWS($A$6:A8))),
IF(ISERROR(INDEX(AssetDecomVIPs,ROWS($A$6:A8)-ROWS(AssetDecomList))),"",INDEX(AssetDecomVIPs,ROWS($A$6:A8)-ROWS(AssetDecomList))),
INDEX(AssetDecomList,ROWS($A$6:A8)))</f>
        <v>D20213598-003</v>
      </c>
      <c r="X8" s="3"/>
      <c r="Y8" s="2993" t="s">
        <v>1196</v>
      </c>
      <c r="Z8" s="2993" t="s">
        <v>805</v>
      </c>
      <c r="AA8" s="2993">
        <v>515</v>
      </c>
      <c r="AB8" s="2993" t="s">
        <v>806</v>
      </c>
      <c r="AC8" s="2993" t="s">
        <v>807</v>
      </c>
      <c r="AD8" s="2993" t="s">
        <v>808</v>
      </c>
      <c r="AE8"/>
      <c r="AF8" s="3199" t="s">
        <v>5067</v>
      </c>
      <c r="AG8" s="763"/>
      <c r="AH8" s="3066" t="s">
        <v>4527</v>
      </c>
      <c r="AI8"/>
      <c r="AJ8" s="772" t="s">
        <v>4472</v>
      </c>
      <c r="AK8"/>
      <c r="AL8" s="3"/>
      <c r="AM8" s="1656"/>
      <c r="AN8" t="s">
        <v>173</v>
      </c>
      <c r="AO8" s="354" t="s">
        <v>2970</v>
      </c>
      <c r="AP8" s="354" t="s">
        <v>4323</v>
      </c>
      <c r="AQ8" t="s">
        <v>238</v>
      </c>
      <c r="AR8"/>
      <c r="AS8" t="s">
        <v>573</v>
      </c>
      <c r="AT8" s="354" t="s">
        <v>3699</v>
      </c>
      <c r="AU8" s="931" t="s">
        <v>311</v>
      </c>
      <c r="AV8" s="2843" t="s">
        <v>4492</v>
      </c>
      <c r="AW8" s="931" t="s">
        <v>5501</v>
      </c>
      <c r="AX8" s="931" t="s">
        <v>5506</v>
      </c>
      <c r="AY8" s="726" t="s">
        <v>413</v>
      </c>
      <c r="AZ8" s="57" t="s">
        <v>503</v>
      </c>
      <c r="BA8" s="57" t="s">
        <v>508</v>
      </c>
      <c r="BB8" s="714" t="s">
        <v>524</v>
      </c>
      <c r="BC8" s="722" t="s">
        <v>2332</v>
      </c>
      <c r="BD8" s="18" t="s">
        <v>635</v>
      </c>
      <c r="BE8" s="60"/>
      <c r="BF8" s="60"/>
      <c r="BG8" s="60"/>
      <c r="BH8" s="77"/>
      <c r="BI8" s="2751" t="s">
        <v>2273</v>
      </c>
      <c r="BJ8" s="2753">
        <v>2</v>
      </c>
      <c r="BK8" s="2436" t="s">
        <v>689</v>
      </c>
      <c r="BL8" s="2739" t="s">
        <v>5370</v>
      </c>
      <c r="BM8" s="2740" t="s">
        <v>718</v>
      </c>
      <c r="BN8" s="2740" t="s">
        <v>5371</v>
      </c>
      <c r="BO8" s="2738" t="s">
        <v>723</v>
      </c>
      <c r="BP8" s="2654"/>
      <c r="BQ8" s="18"/>
      <c r="BR8" s="18"/>
      <c r="BS8" s="18"/>
      <c r="BT8" s="18"/>
      <c r="BU8" s="2656"/>
      <c r="BV8" s="1693" t="s">
        <v>4102</v>
      </c>
      <c r="BW8" s="1694"/>
      <c r="BX8" s="3080"/>
      <c r="BY8" s="3076" t="s">
        <v>998</v>
      </c>
      <c r="BZ8" s="326" t="s">
        <v>1424</v>
      </c>
      <c r="CA8" s="116" t="s">
        <v>965</v>
      </c>
      <c r="CB8" s="116" t="s">
        <v>966</v>
      </c>
      <c r="CC8" s="116" t="s">
        <v>985</v>
      </c>
      <c r="CD8" s="116" t="s">
        <v>1382</v>
      </c>
      <c r="CE8" s="305" t="s">
        <v>26</v>
      </c>
      <c r="CF8" s="305" t="s">
        <v>26</v>
      </c>
      <c r="CG8" s="457" t="s">
        <v>26</v>
      </c>
      <c r="CH8" s="756" t="b">
        <v>1</v>
      </c>
      <c r="CI8" s="758" t="s">
        <v>25</v>
      </c>
      <c r="CK8" s="50" t="s">
        <v>1445</v>
      </c>
      <c r="CL8" s="2662"/>
      <c r="CM8" s="1547" t="s">
        <v>1479</v>
      </c>
      <c r="CN8" s="2666"/>
      <c r="CO8" s="1700" t="s">
        <v>3699</v>
      </c>
      <c r="CP8" s="1701" t="b">
        <v>1</v>
      </c>
      <c r="CQ8" s="1701" t="b">
        <v>1</v>
      </c>
      <c r="CR8" s="1702">
        <v>443</v>
      </c>
      <c r="CS8" s="1703" t="s">
        <v>1593</v>
      </c>
      <c r="CT8" s="1702" t="s">
        <v>1472</v>
      </c>
      <c r="CU8" s="1702" t="s">
        <v>4380</v>
      </c>
      <c r="CV8" s="1702" t="s">
        <v>1477</v>
      </c>
      <c r="CW8" s="2260" t="s">
        <v>3695</v>
      </c>
      <c r="CX8" s="2180" t="s">
        <v>5125</v>
      </c>
      <c r="CY8" s="2181" t="s">
        <v>5363</v>
      </c>
      <c r="CZ8" s="2131">
        <v>100</v>
      </c>
      <c r="DA8" s="3104" t="s">
        <v>4640</v>
      </c>
      <c r="DB8" s="608"/>
      <c r="DC8" s="562" t="s">
        <v>1841</v>
      </c>
      <c r="DD8" s="569" t="s">
        <v>1842</v>
      </c>
      <c r="DE8" s="580"/>
      <c r="DF8" s="566" t="s">
        <v>1843</v>
      </c>
      <c r="DG8" s="571"/>
      <c r="DH8" s="568" t="s">
        <v>1878</v>
      </c>
      <c r="DI8" s="568" t="s">
        <v>1879</v>
      </c>
      <c r="DJ8" s="646" t="s">
        <v>70</v>
      </c>
      <c r="DK8" s="3205" t="s">
        <v>770</v>
      </c>
      <c r="DL8" s="3" t="s">
        <v>4317</v>
      </c>
      <c r="DM8" s="2642" t="s">
        <v>1776</v>
      </c>
      <c r="DN8" s="2643" t="e">
        <f xml:space="preserve">
"/data2        "&amp; Test_db_size*0.7 &amp; "GB"&amp;CHAR(10)&amp;
"/indx2         "&amp; Test_db_size*0.3 &amp; "GB"&amp;CHAR(10)&amp;
"/temp2        "&amp; Test_db_size*0.1  &amp; "GB"&amp;CHAR(10)&amp;
"/undo2        "&amp; Test_db_size*0.1 &amp;  "GB"&amp;CHAR(10)&amp;
"/oracle2      "&amp; Test_db_size*0.5 &amp;  "GB"&amp;CHAR(10)&amp;
"/oracle2      50 GB"&amp;CHAR(10)&amp;
"/backup2    "&amp; Test_db_size*2.2 &amp;    "GB"</f>
        <v>#REF!</v>
      </c>
      <c r="DO8" s="2679" t="e">
        <f xml:space="preserve">
Test_db_size*0.7 &amp; " GB LUN"&amp;CHAR(10)&amp;
  "----------------"&amp;CHAR(10)&amp;
Test_db_size*0.73 &amp; "  GB LUN"&amp;CHAR(10)&amp;
"  ----------------"&amp;CHAR(10)&amp;
Test_db_size*0.3 &amp; "  GB LUN"&amp;CHAR(10)&amp;
"  ----------------"&amp;CHAR(10)&amp;
Test_db_size*0.3 &amp; "  GB LUN"&amp;CHAR(10)&amp;
"  ----------------"&amp;CHAR(10)&amp;
Test_db_size*0.3 &amp; "  GB LUN"&amp;CHAR(10)&amp;
"  ----------------"&amp;CHAR(10)&amp;
"50 GB LUN"&amp;CHAR(10)&amp;
"  ----------------"&amp;CHAR(10)&amp;
Test_db_size*2.2 &amp; " GB LUN"</f>
        <v>#REF!</v>
      </c>
      <c r="DP8" s="4"/>
      <c r="DQ8" s="1644"/>
      <c r="DR8" s="1644"/>
      <c r="DS8" s="1644"/>
      <c r="DT8" s="1644"/>
      <c r="DU8" s="2677"/>
      <c r="DV8" s="2670" t="s">
        <v>770</v>
      </c>
      <c r="DW8" s="2918" t="s">
        <v>4317</v>
      </c>
      <c r="DX8" s="964" t="s">
        <v>2535</v>
      </c>
      <c r="DY8" s="968" t="s">
        <v>2811</v>
      </c>
      <c r="DZ8" s="969" t="s">
        <v>2823</v>
      </c>
      <c r="EA8" s="976" t="s">
        <v>2844</v>
      </c>
      <c r="EB8" s="994" t="s">
        <v>2816</v>
      </c>
      <c r="EC8" s="998" t="s">
        <v>2884</v>
      </c>
      <c r="ED8" s="1030" t="s">
        <v>2904</v>
      </c>
      <c r="EE8" s="1038" t="s">
        <v>18</v>
      </c>
      <c r="EF8" s="1335" t="s">
        <v>3030</v>
      </c>
      <c r="EG8" s="1337" t="b">
        <v>1</v>
      </c>
      <c r="EH8" s="3130" t="b">
        <v>0</v>
      </c>
      <c r="EI8" s="1524" t="s">
        <v>3283</v>
      </c>
      <c r="EJ8" s="3394" t="s">
        <v>4440</v>
      </c>
      <c r="EK8" s="3351" t="s">
        <v>4441</v>
      </c>
      <c r="EL8" s="3236" t="s">
        <v>5492</v>
      </c>
      <c r="EM8" s="3372" t="s">
        <v>4301</v>
      </c>
      <c r="EN8" s="3364" t="s">
        <v>5547</v>
      </c>
      <c r="EO8" s="3376" t="s">
        <v>5546</v>
      </c>
      <c r="EQ8" s="3244"/>
      <c r="ER8" s="3244"/>
      <c r="ES8" s="3357" t="s">
        <v>5568</v>
      </c>
      <c r="ET8" s="3353" t="s">
        <v>4328</v>
      </c>
      <c r="EU8" s="3367"/>
      <c r="EV8" s="3362" t="s">
        <v>4093</v>
      </c>
      <c r="EW8" s="2708" t="s">
        <v>3495</v>
      </c>
      <c r="EX8" s="2705" t="s">
        <v>3485</v>
      </c>
      <c r="EY8" s="2686">
        <v>70</v>
      </c>
      <c r="EZ8" s="2687" t="s">
        <v>3488</v>
      </c>
      <c r="FA8" s="2688">
        <v>70</v>
      </c>
      <c r="FB8" s="2691" t="s">
        <v>3500</v>
      </c>
      <c r="FC8" s="2692">
        <v>70</v>
      </c>
      <c r="FD8" s="1928" t="s">
        <v>3611</v>
      </c>
      <c r="FE8" s="2307" t="s">
        <v>3655</v>
      </c>
      <c r="FF8" s="2100" t="s">
        <v>3664</v>
      </c>
      <c r="FG8" s="2101">
        <v>1</v>
      </c>
      <c r="FH8" s="2102">
        <v>4</v>
      </c>
      <c r="FI8" s="2103">
        <v>4</v>
      </c>
      <c r="FJ8" s="2104">
        <v>8</v>
      </c>
      <c r="FK8" s="2105">
        <v>4</v>
      </c>
      <c r="FL8" s="2106">
        <v>8</v>
      </c>
      <c r="FM8" s="2107">
        <v>4</v>
      </c>
      <c r="FN8" s="2108">
        <v>8</v>
      </c>
      <c r="FO8" s="2109">
        <v>2</v>
      </c>
      <c r="FP8" s="2125">
        <v>8</v>
      </c>
      <c r="FQ8" s="2130">
        <v>2</v>
      </c>
      <c r="FR8" s="2131">
        <v>8</v>
      </c>
      <c r="FT8" s="2327" t="s">
        <v>3810</v>
      </c>
      <c r="FU8" s="2332" t="s">
        <v>3811</v>
      </c>
      <c r="FV8" s="50" t="s">
        <v>3823</v>
      </c>
      <c r="FW8" s="1644" t="s">
        <v>5582</v>
      </c>
    </row>
    <row r="9" spans="1:179" s="10" customFormat="1" ht="205.5" customHeight="1" thickBot="1">
      <c r="A9" s="1758" t="str">
        <f ca="1">IF(ISERROR(INDEX(IPList,ROWS($A$6:A9))),
         IF(ISERROR(INDEX(VIP_InstanceList,ROWS($A$6:A9)-ROWS(IPList))),
                IF(ISERROR(INDEX(GTMLIST,ROWS($A$6:A9)-(ROWS(IPList)+(ROWS(VIP_InstanceList))))),"",
                      INDEX(GTMLIST,ROWS($A$6:A9)-(ROWS(IPList)+(ROWS(VIP_InstanceList))))),
                                  INDEX(VIP_InstanceList,ROWS($A$6:A9)-ROWS(IPList))),
                                             INDEX(IPList,ROWS($A$6:A9)))</f>
        <v>20213598-002  (IP02)</v>
      </c>
      <c r="B9">
        <v>4</v>
      </c>
      <c r="C9">
        <f>COUNTA(AI6:AI197)</f>
        <v>1</v>
      </c>
      <c r="D9" t="s">
        <v>40</v>
      </c>
      <c r="E9" t="s">
        <v>798</v>
      </c>
      <c r="F9" s="111" t="s">
        <v>1451</v>
      </c>
      <c r="G9" s="1553" t="s">
        <v>3686</v>
      </c>
      <c r="H9"/>
      <c r="I9" s="354" t="s">
        <v>5322</v>
      </c>
      <c r="J9" t="s">
        <v>127</v>
      </c>
      <c r="K9" s="2763" t="str">
        <f ca="1">IF(ISERROR(INDEX(Assetlist,ROWS($A$6:A9))),
            IF(ISERROR(INDEX(VMList,ROWS($A$6:A9)-ROWS(Assetlist))),"",
                                   INDEX(VMList,ROWS($A$6:A9)-ROWS(Assetlist))),
                                                        INDEX(Assetlist,ROWS($A$6:A9)))</f>
        <v>20213598-004</v>
      </c>
      <c r="L9" s="51" t="s">
        <v>55</v>
      </c>
      <c r="M9"/>
      <c r="N9" t="s">
        <v>4378</v>
      </c>
      <c r="O9" s="684" t="s">
        <v>4379</v>
      </c>
      <c r="P9" s="480" t="s">
        <v>4380</v>
      </c>
      <c r="Q9" s="22"/>
      <c r="R9" s="3"/>
      <c r="S9" s="3"/>
      <c r="T9" s="2648"/>
      <c r="U9" s="2646"/>
      <c r="V9" s="2648"/>
      <c r="W9" s="2646" t="str">
        <f ca="1">IF(ISERROR(INDEX(AssetDecomList,ROWS($A$6:A9))),
IF(ISERROR(INDEX(AssetDecomVIPs,ROWS($A$6:A9)-ROWS(AssetDecomList))),"",INDEX(AssetDecomVIPs,ROWS($A$6:A9)-ROWS(AssetDecomList))),
INDEX(AssetDecomList,ROWS($A$6:A9)))</f>
        <v/>
      </c>
      <c r="X9" s="3"/>
      <c r="Y9" s="2993" t="s">
        <v>1196</v>
      </c>
      <c r="Z9" s="2993" t="s">
        <v>2745</v>
      </c>
      <c r="AA9" s="2993">
        <v>604</v>
      </c>
      <c r="AB9" s="2993" t="s">
        <v>2746</v>
      </c>
      <c r="AC9" s="2993" t="s">
        <v>2747</v>
      </c>
      <c r="AD9" s="2993" t="s">
        <v>2748</v>
      </c>
      <c r="AE9"/>
      <c r="AF9" s="3040" t="s">
        <v>4308</v>
      </c>
      <c r="AG9" s="1643"/>
      <c r="AH9" s="2759" t="s">
        <v>4528</v>
      </c>
      <c r="AI9"/>
      <c r="AJ9" s="758" t="s">
        <v>4473</v>
      </c>
      <c r="AK9"/>
      <c r="AL9" s="3"/>
      <c r="AM9" s="1656"/>
      <c r="AN9" s="354" t="s">
        <v>2952</v>
      </c>
      <c r="AO9" s="354" t="s">
        <v>2969</v>
      </c>
      <c r="AP9" t="s">
        <v>232</v>
      </c>
      <c r="AQ9" t="s">
        <v>70</v>
      </c>
      <c r="AR9"/>
      <c r="AS9" t="s">
        <v>358</v>
      </c>
      <c r="AT9" t="s">
        <v>1595</v>
      </c>
      <c r="AU9" s="433" t="s">
        <v>311</v>
      </c>
      <c r="AV9" s="2843" t="s">
        <v>4490</v>
      </c>
      <c r="AW9" s="931" t="s">
        <v>5502</v>
      </c>
      <c r="AX9" s="931" t="s">
        <v>5507</v>
      </c>
      <c r="AY9" s="728" t="s">
        <v>1967</v>
      </c>
      <c r="AZ9" s="720" t="s">
        <v>2169</v>
      </c>
      <c r="BA9" s="721" t="s">
        <v>2274</v>
      </c>
      <c r="BB9" s="430" t="s">
        <v>1255</v>
      </c>
      <c r="BC9" s="722" t="s">
        <v>2333</v>
      </c>
      <c r="BD9" s="430" t="s">
        <v>2169</v>
      </c>
      <c r="BE9" s="60"/>
      <c r="BF9" s="60"/>
      <c r="BG9" s="60"/>
      <c r="BH9" s="77"/>
      <c r="BI9" s="215" t="s">
        <v>2273</v>
      </c>
      <c r="BJ9" s="2753">
        <v>3</v>
      </c>
      <c r="BK9" s="2436" t="s">
        <v>690</v>
      </c>
      <c r="BL9" s="2438" t="s">
        <v>71</v>
      </c>
      <c r="BM9" s="2439" t="s">
        <v>882</v>
      </c>
      <c r="BN9" s="2439" t="s">
        <v>71</v>
      </c>
      <c r="BO9" s="2440" t="s">
        <v>71</v>
      </c>
      <c r="BP9" s="2654"/>
      <c r="BQ9" s="1556"/>
      <c r="BR9" s="18"/>
      <c r="BS9" s="18"/>
      <c r="BT9" s="18"/>
      <c r="BU9" s="2657"/>
      <c r="BV9" s="470" t="s">
        <v>3619</v>
      </c>
      <c r="BW9" s="3068" t="s">
        <v>3681</v>
      </c>
      <c r="BX9" s="3080">
        <v>5</v>
      </c>
      <c r="BY9" s="3076" t="s">
        <v>999</v>
      </c>
      <c r="BZ9" s="326" t="s">
        <v>1425</v>
      </c>
      <c r="CA9" s="116" t="s">
        <v>967</v>
      </c>
      <c r="CB9" s="116" t="s">
        <v>968</v>
      </c>
      <c r="CC9" s="116" t="s">
        <v>986</v>
      </c>
      <c r="CD9" s="116" t="s">
        <v>1383</v>
      </c>
      <c r="CE9" s="305" t="s">
        <v>26</v>
      </c>
      <c r="CF9" s="305" t="s">
        <v>26</v>
      </c>
      <c r="CG9" s="457" t="s">
        <v>26</v>
      </c>
      <c r="CH9" s="51" t="b">
        <v>0</v>
      </c>
      <c r="CK9" s="772" t="s">
        <v>2226</v>
      </c>
      <c r="CL9" s="2662"/>
      <c r="CM9" s="1547" t="s">
        <v>1480</v>
      </c>
      <c r="CN9" s="2666"/>
      <c r="CO9" s="426" t="s">
        <v>1595</v>
      </c>
      <c r="CP9" s="424" t="b">
        <v>1</v>
      </c>
      <c r="CQ9" s="424" t="b">
        <v>1</v>
      </c>
      <c r="CR9" s="425">
        <v>443</v>
      </c>
      <c r="CS9" s="423" t="s">
        <v>1593</v>
      </c>
      <c r="CT9" s="425" t="s">
        <v>1472</v>
      </c>
      <c r="CU9" s="425" t="s">
        <v>4380</v>
      </c>
      <c r="CV9" s="425" t="s">
        <v>1477</v>
      </c>
      <c r="CW9" s="2175" t="s">
        <v>304</v>
      </c>
      <c r="CX9" s="2182" t="s">
        <v>3690</v>
      </c>
      <c r="CY9" s="2181" t="s">
        <v>4118</v>
      </c>
      <c r="CZ9" s="2615">
        <v>100</v>
      </c>
      <c r="DA9" s="2863" t="s">
        <v>5362</v>
      </c>
      <c r="DB9" s="608"/>
      <c r="DC9" s="562" t="s">
        <v>1844</v>
      </c>
      <c r="DD9" s="569" t="s">
        <v>1845</v>
      </c>
      <c r="DE9" s="580"/>
      <c r="DF9" s="580"/>
      <c r="DG9" s="571"/>
      <c r="DH9" s="568" t="s">
        <v>1880</v>
      </c>
      <c r="DI9" s="584"/>
      <c r="DJ9" s="565"/>
      <c r="DM9" s="2644" t="s">
        <v>2607</v>
      </c>
      <c r="DN9" s="2645" t="s">
        <v>2606</v>
      </c>
      <c r="DO9" s="2679"/>
      <c r="DP9" s="1644"/>
      <c r="DQ9" s="1644"/>
      <c r="DR9" s="1644"/>
      <c r="DS9" s="1644"/>
      <c r="DT9" s="1644"/>
      <c r="DU9" s="2677"/>
      <c r="DV9" s="1644" t="s">
        <v>2614</v>
      </c>
      <c r="DW9" s="126"/>
      <c r="DX9" s="965" t="s">
        <v>2536</v>
      </c>
      <c r="DY9" s="971" t="s">
        <v>2812</v>
      </c>
      <c r="DZ9" s="980" t="s">
        <v>2824</v>
      </c>
      <c r="EA9" s="982" t="s">
        <v>2845</v>
      </c>
      <c r="EB9" s="995" t="s">
        <v>2817</v>
      </c>
      <c r="EC9" s="999" t="s">
        <v>2885</v>
      </c>
      <c r="ED9" s="1031" t="s">
        <v>2905</v>
      </c>
      <c r="EE9" s="1038" t="s">
        <v>1741</v>
      </c>
      <c r="EF9" s="1335" t="s">
        <v>3031</v>
      </c>
      <c r="EG9" s="1337" t="b">
        <v>0</v>
      </c>
      <c r="EH9" s="1360" t="b">
        <v>1</v>
      </c>
      <c r="EI9" s="50" t="s">
        <v>3284</v>
      </c>
      <c r="EJ9" s="3395" t="s">
        <v>4421</v>
      </c>
      <c r="EK9" s="3351" t="s">
        <v>5545</v>
      </c>
      <c r="EL9" s="3236" t="s">
        <v>5520</v>
      </c>
      <c r="EM9" s="3369" t="s">
        <v>4329</v>
      </c>
      <c r="EN9" s="3366" t="s">
        <v>5551</v>
      </c>
      <c r="EO9" s="3377" t="s">
        <v>5495</v>
      </c>
      <c r="EP9" s="3244"/>
      <c r="EQ9" s="3244"/>
      <c r="ER9" s="3244"/>
      <c r="ES9" s="3244"/>
      <c r="EU9" s="3244"/>
      <c r="EV9" s="2766" t="s">
        <v>3642</v>
      </c>
      <c r="EW9" s="2693"/>
      <c r="EX9" s="2687" t="s">
        <v>3486</v>
      </c>
      <c r="EY9" s="2686">
        <v>120</v>
      </c>
      <c r="EZ9" s="2694"/>
      <c r="FA9" s="2695"/>
      <c r="FB9" s="631" t="s">
        <v>3499</v>
      </c>
      <c r="FC9" s="2696">
        <v>50</v>
      </c>
      <c r="FD9" s="1928" t="s">
        <v>3612</v>
      </c>
      <c r="FE9" s="2307" t="s">
        <v>3657</v>
      </c>
      <c r="FF9" s="2100" t="s">
        <v>3665</v>
      </c>
      <c r="FG9" s="2101">
        <v>2</v>
      </c>
      <c r="FH9" s="2102">
        <v>6</v>
      </c>
      <c r="FI9" s="2103">
        <v>8</v>
      </c>
      <c r="FJ9" s="2104">
        <v>16</v>
      </c>
      <c r="FK9" s="2105">
        <v>8</v>
      </c>
      <c r="FL9" s="2106">
        <v>16</v>
      </c>
      <c r="FM9" s="2107">
        <v>8</v>
      </c>
      <c r="FN9" s="2108">
        <v>16</v>
      </c>
      <c r="FO9" s="2109">
        <v>2</v>
      </c>
      <c r="FP9" s="2125">
        <v>16</v>
      </c>
      <c r="FQ9" s="2130">
        <v>2</v>
      </c>
      <c r="FR9" s="2131">
        <v>16</v>
      </c>
      <c r="FV9" s="50" t="s">
        <v>3824</v>
      </c>
      <c r="FW9" s="1644" t="s">
        <v>5583</v>
      </c>
    </row>
    <row r="10" spans="1:179" s="10" customFormat="1" ht="207" customHeight="1" thickBot="1">
      <c r="A10" s="1758" t="str">
        <f ca="1">IF(ISERROR(INDEX(IPList,ROWS($A$6:A10))),
         IF(ISERROR(INDEX(VIP_InstanceList,ROWS($A$6:A10)-ROWS(IPList))),
                IF(ISERROR(INDEX(GTMLIST,ROWS($A$6:A10)-(ROWS(IPList)+(ROWS(VIP_InstanceList))))),"",
                      INDEX(GTMLIST,ROWS($A$6:A10)-(ROWS(IPList)+(ROWS(VIP_InstanceList))))),
                                  INDEX(VIP_InstanceList,ROWS($A$6:A10)-ROWS(IPList))),
                                             INDEX(IPList,ROWS($A$6:A10)))</f>
        <v>20213598-003  (IP01)</v>
      </c>
      <c r="B10">
        <v>4</v>
      </c>
      <c r="C10">
        <f>COUNTA(AJ6:AJ197)</f>
        <v>4</v>
      </c>
      <c r="D10" s="354" t="s">
        <v>1204</v>
      </c>
      <c r="E10" t="s">
        <v>799</v>
      </c>
      <c r="F10"/>
      <c r="G10" s="1548" t="s">
        <v>2257</v>
      </c>
      <c r="H10"/>
      <c r="I10" s="31" t="s">
        <v>948</v>
      </c>
      <c r="J10" s="1644" t="s">
        <v>5372</v>
      </c>
      <c r="K10" s="2725" t="str">
        <f ca="1">IF(ISERROR(INDEX(Assetlist,ROWS($A$6:A10))),
            IF(ISERROR(INDEX(VMList,ROWS($A$6:A10)-ROWS(Assetlist))),"",
                                   INDEX(VMList,ROWS($A$6:A10)-ROWS(Assetlist))),
                                                        INDEX(Assetlist,ROWS($A$6:A10)))</f>
        <v>20213598-VM001</v>
      </c>
      <c r="L10"/>
      <c r="M10"/>
      <c r="N10" t="s">
        <v>4381</v>
      </c>
      <c r="O10" s="684" t="s">
        <v>4382</v>
      </c>
      <c r="P10" s="480" t="s">
        <v>4383</v>
      </c>
      <c r="Q10" s="22"/>
      <c r="R10" s="3"/>
      <c r="S10" s="3"/>
      <c r="T10" s="3"/>
      <c r="U10" s="3"/>
      <c r="V10" s="1656"/>
      <c r="W10" s="2646" t="str">
        <f ca="1">IF(ISERROR(INDEX(AssetDecomList,ROWS($A$6:A10))),
IF(ISERROR(INDEX(AssetDecomVIPs,ROWS($A$6:A10)-ROWS(AssetDecomList))),"",INDEX(AssetDecomVIPs,ROWS($A$6:A10)-ROWS(AssetDecomList))),
INDEX(AssetDecomList,ROWS($A$6:A10)))</f>
        <v/>
      </c>
      <c r="X10" s="3"/>
      <c r="Y10" s="2993" t="s">
        <v>1196</v>
      </c>
      <c r="Z10" s="2993" t="s">
        <v>2749</v>
      </c>
      <c r="AA10" s="2993">
        <v>605</v>
      </c>
      <c r="AB10" s="2993" t="s">
        <v>2750</v>
      </c>
      <c r="AC10" s="2993" t="s">
        <v>2751</v>
      </c>
      <c r="AD10" s="2993" t="s">
        <v>2752</v>
      </c>
      <c r="AE10"/>
      <c r="AF10" s="3041" t="s">
        <v>167</v>
      </c>
      <c r="AG10" s="2758"/>
      <c r="AH10" s="2758" t="s">
        <v>4529</v>
      </c>
      <c r="AI10"/>
      <c r="AJ10"/>
      <c r="AK10"/>
      <c r="AL10" s="3"/>
      <c r="AM10" s="1656"/>
      <c r="AN10" s="354" t="s">
        <v>4479</v>
      </c>
      <c r="AO10"/>
      <c r="AP10" t="s">
        <v>230</v>
      </c>
      <c r="AQ10"/>
      <c r="AR10"/>
      <c r="AS10" s="31" t="s">
        <v>360</v>
      </c>
      <c r="AT10" t="s">
        <v>1596</v>
      </c>
      <c r="AU10" s="433" t="s">
        <v>311</v>
      </c>
      <c r="AV10" s="1658" t="s">
        <v>3817</v>
      </c>
      <c r="AW10" s="931" t="s">
        <v>5503</v>
      </c>
      <c r="AX10" s="931" t="s">
        <v>5508</v>
      </c>
      <c r="AY10" s="728" t="s">
        <v>1989</v>
      </c>
      <c r="AZ10" s="720" t="s">
        <v>2165</v>
      </c>
      <c r="BA10" s="721" t="s">
        <v>2275</v>
      </c>
      <c r="BB10" s="430" t="s">
        <v>1255</v>
      </c>
      <c r="BC10" s="722" t="s">
        <v>2334</v>
      </c>
      <c r="BD10" s="430" t="s">
        <v>2165</v>
      </c>
      <c r="BE10" s="60"/>
      <c r="BF10" s="60"/>
      <c r="BG10" s="60"/>
      <c r="BH10" s="77"/>
      <c r="BI10" s="215" t="s">
        <v>2273</v>
      </c>
      <c r="BJ10" s="2753">
        <v>4</v>
      </c>
      <c r="BK10" s="2436" t="s">
        <v>1766</v>
      </c>
      <c r="BL10" s="2441" t="s">
        <v>721</v>
      </c>
      <c r="BM10" s="2439" t="s">
        <v>725</v>
      </c>
      <c r="BN10" s="2439" t="s">
        <v>67</v>
      </c>
      <c r="BO10" s="2440" t="s">
        <v>2489</v>
      </c>
      <c r="BP10" s="2654"/>
      <c r="BQ10" s="18"/>
      <c r="BR10" s="18"/>
      <c r="BS10" s="18"/>
      <c r="BT10" s="18"/>
      <c r="BU10" s="896"/>
      <c r="BV10" s="470" t="s">
        <v>3508</v>
      </c>
      <c r="BW10" s="3068" t="s">
        <v>5137</v>
      </c>
      <c r="BX10" s="3080">
        <v>60</v>
      </c>
      <c r="BY10" s="3076" t="s">
        <v>1000</v>
      </c>
      <c r="BZ10" s="326" t="s">
        <v>1426</v>
      </c>
      <c r="CA10" s="116" t="s">
        <v>969</v>
      </c>
      <c r="CB10" s="116" t="s">
        <v>970</v>
      </c>
      <c r="CC10" s="116" t="s">
        <v>987</v>
      </c>
      <c r="CD10" s="116" t="s">
        <v>1386</v>
      </c>
      <c r="CE10" s="305" t="s">
        <v>26</v>
      </c>
      <c r="CF10" s="305" t="s">
        <v>26</v>
      </c>
      <c r="CG10" s="330" t="s">
        <v>26</v>
      </c>
      <c r="CH10" s="761" t="b">
        <f>IF(COUNTIF('Distributed Assets'!$Q$28:$Q$102,"Active / Passive")&gt;0,TRUE,FALSE)</f>
        <v>0</v>
      </c>
      <c r="CK10" s="772" t="s">
        <v>2227</v>
      </c>
      <c r="CL10" s="2662"/>
      <c r="CM10" s="1547" t="s">
        <v>1481</v>
      </c>
      <c r="CN10" s="2666"/>
      <c r="CO10" s="426" t="s">
        <v>1596</v>
      </c>
      <c r="CP10" s="424" t="b">
        <v>0</v>
      </c>
      <c r="CQ10" s="424" t="b">
        <v>0</v>
      </c>
      <c r="CR10" s="425">
        <v>81</v>
      </c>
      <c r="CS10" s="425">
        <v>81</v>
      </c>
      <c r="CT10" s="425" t="s">
        <v>1472</v>
      </c>
      <c r="CU10" s="423" t="s">
        <v>1597</v>
      </c>
      <c r="CV10" s="425" t="s">
        <v>1477</v>
      </c>
      <c r="CW10" s="2176" t="s">
        <v>2479</v>
      </c>
      <c r="CX10" s="3072" t="s">
        <v>3551</v>
      </c>
      <c r="CY10" s="2181" t="s">
        <v>4118</v>
      </c>
      <c r="CZ10" s="2131">
        <v>100</v>
      </c>
      <c r="DA10" s="2863" t="s">
        <v>5360</v>
      </c>
      <c r="DB10" s="609"/>
      <c r="DC10" s="562" t="s">
        <v>1846</v>
      </c>
      <c r="DD10" s="569" t="s">
        <v>1847</v>
      </c>
      <c r="DE10" s="580"/>
      <c r="DF10" s="580"/>
      <c r="DG10" s="570"/>
      <c r="DH10" s="563" t="s">
        <v>1881</v>
      </c>
      <c r="DI10" s="567"/>
      <c r="DJ10" s="567"/>
      <c r="DK10" s="809" t="b">
        <v>0</v>
      </c>
      <c r="DM10" s="126"/>
      <c r="DN10" s="126"/>
      <c r="DO10" s="764"/>
      <c r="DP10" s="1644"/>
      <c r="DQ10" s="1644"/>
      <c r="DR10" s="1644"/>
      <c r="DS10" s="1644"/>
      <c r="DT10" s="1644"/>
      <c r="DU10" s="2677"/>
      <c r="DV10" s="2671" t="b">
        <v>1</v>
      </c>
      <c r="DW10" s="126"/>
      <c r="DX10" s="2627" t="s">
        <v>4437</v>
      </c>
      <c r="DY10" s="972" t="s">
        <v>2813</v>
      </c>
      <c r="DZ10" s="967" t="s">
        <v>2825</v>
      </c>
      <c r="EA10" s="978" t="s">
        <v>2846</v>
      </c>
      <c r="EB10" s="992" t="s">
        <v>2818</v>
      </c>
      <c r="EC10" s="1000" t="s">
        <v>2886</v>
      </c>
      <c r="ED10" s="1028" t="s">
        <v>2906</v>
      </c>
      <c r="EE10" s="1038" t="s">
        <v>3700</v>
      </c>
      <c r="EF10" s="956" t="s">
        <v>3032</v>
      </c>
      <c r="EG10" s="1337" t="b">
        <v>0</v>
      </c>
      <c r="EH10" s="1360" t="b">
        <v>0</v>
      </c>
      <c r="EI10" s="50" t="s">
        <v>3285</v>
      </c>
      <c r="EJ10" s="3394" t="s">
        <v>4615</v>
      </c>
      <c r="EK10" s="3351" t="s">
        <v>5549</v>
      </c>
      <c r="EL10" s="3238" t="s">
        <v>4645</v>
      </c>
      <c r="EM10" s="3370" t="s">
        <v>4331</v>
      </c>
      <c r="EN10" s="3379" t="s">
        <v>4338</v>
      </c>
      <c r="EO10" s="3380" t="s">
        <v>4339</v>
      </c>
      <c r="EP10" s="3244"/>
      <c r="EQ10" s="3244"/>
      <c r="ER10" s="3244"/>
      <c r="ES10" s="3244"/>
      <c r="EU10" s="3244"/>
      <c r="EV10" s="2766" t="s">
        <v>4320</v>
      </c>
      <c r="EW10" s="2693"/>
      <c r="EX10" s="2687" t="s">
        <v>3487</v>
      </c>
      <c r="EY10" s="2686">
        <v>100</v>
      </c>
      <c r="EZ10" s="2697"/>
      <c r="FA10" s="2698"/>
      <c r="FB10" s="2693"/>
      <c r="FC10" s="2693"/>
      <c r="FD10" s="1928" t="s">
        <v>3676</v>
      </c>
      <c r="FE10" s="2308" t="s">
        <v>3673</v>
      </c>
      <c r="FF10" s="2100" t="s">
        <v>3666</v>
      </c>
      <c r="FG10" s="2101">
        <v>2</v>
      </c>
      <c r="FH10" s="2102">
        <v>8</v>
      </c>
      <c r="FI10" s="2110" t="s">
        <v>26</v>
      </c>
      <c r="FJ10" s="2111" t="s">
        <v>26</v>
      </c>
      <c r="FK10" s="2112" t="s">
        <v>26</v>
      </c>
      <c r="FL10" s="2113" t="s">
        <v>26</v>
      </c>
      <c r="FM10" s="2114" t="s">
        <v>26</v>
      </c>
      <c r="FN10" s="2115" t="s">
        <v>26</v>
      </c>
      <c r="FO10" s="2116" t="s">
        <v>26</v>
      </c>
      <c r="FP10" s="2126" t="s">
        <v>26</v>
      </c>
      <c r="FQ10" s="2132" t="s">
        <v>26</v>
      </c>
      <c r="FR10" s="2133" t="s">
        <v>26</v>
      </c>
      <c r="FV10" s="50" t="s">
        <v>3825</v>
      </c>
      <c r="FW10" s="1644" t="s">
        <v>4109</v>
      </c>
    </row>
    <row r="11" spans="1:179" s="10" customFormat="1" ht="69" thickBot="1">
      <c r="A11" s="1758" t="str">
        <f ca="1">IF(ISERROR(INDEX(IPList,ROWS($A$6:A11))),
         IF(ISERROR(INDEX(VIP_InstanceList,ROWS($A$6:A11)-ROWS(IPList))),
                IF(ISERROR(INDEX(GTMLIST,ROWS($A$6:A11)-(ROWS(IPList)+(ROWS(VIP_InstanceList))))),"",
                      INDEX(GTMLIST,ROWS($A$6:A11)-(ROWS(IPList)+(ROWS(VIP_InstanceList))))),
                                  INDEX(VIP_InstanceList,ROWS($A$6:A11)-ROWS(IPList))),
                                             INDEX(IPList,ROWS($A$6:A11)))</f>
        <v>20213598-003  (IP02)</v>
      </c>
      <c r="B11">
        <v>5</v>
      </c>
      <c r="C11">
        <f>COUNTA(AK6:AK197)</f>
        <v>1</v>
      </c>
      <c r="D11" s="354" t="s">
        <v>3294</v>
      </c>
      <c r="E11"/>
      <c r="F11"/>
      <c r="G11" s="1548" t="s">
        <v>2258</v>
      </c>
      <c r="H11"/>
      <c r="I11" s="31" t="s">
        <v>949</v>
      </c>
      <c r="J11" t="s">
        <v>128</v>
      </c>
      <c r="K11" s="2725" t="str">
        <f ca="1">IF(ISERROR(INDEX(Assetlist,ROWS($A$6:A11))),
            IF(ISERROR(INDEX(VMList,ROWS($A$6:A11)-ROWS(Assetlist))),"",
                                   INDEX(VMList,ROWS($A$6:A11)-ROWS(Assetlist))),
                                                        INDEX(Assetlist,ROWS($A$6:A11)))</f>
        <v>20213598-VM002</v>
      </c>
      <c r="L11"/>
      <c r="M11"/>
      <c r="N11" t="s">
        <v>4384</v>
      </c>
      <c r="O11" s="684" t="s">
        <v>4385</v>
      </c>
      <c r="P11" s="480" t="s">
        <v>1597</v>
      </c>
      <c r="Q11" s="22"/>
      <c r="R11" s="3"/>
      <c r="S11" s="3"/>
      <c r="T11" s="3"/>
      <c r="U11" s="3"/>
      <c r="V11" s="3"/>
      <c r="W11" s="2646" t="str">
        <f ca="1">IF(ISERROR(INDEX(AssetDecomList,ROWS($A$6:A11))),
IF(ISERROR(INDEX(AssetDecomVIPs,ROWS($A$6:A11)-ROWS(AssetDecomList))),"",INDEX(AssetDecomVIPs,ROWS($A$6:A11)-ROWS(AssetDecomList))),
INDEX(AssetDecomList,ROWS($A$6:A11)))</f>
        <v/>
      </c>
      <c r="X11" s="3"/>
      <c r="Y11" s="2993" t="s">
        <v>1196</v>
      </c>
      <c r="Z11" s="2993" t="s">
        <v>2753</v>
      </c>
      <c r="AA11" s="2993">
        <v>606</v>
      </c>
      <c r="AB11" s="2993" t="s">
        <v>2754</v>
      </c>
      <c r="AC11" s="2993" t="s">
        <v>2755</v>
      </c>
      <c r="AD11" s="2993" t="s">
        <v>2756</v>
      </c>
      <c r="AE11"/>
      <c r="AF11" s="366"/>
      <c r="AG11" s="2758"/>
      <c r="AH11" s="2758" t="s">
        <v>4530</v>
      </c>
      <c r="AI11"/>
      <c r="AJ11"/>
      <c r="AK11"/>
      <c r="AL11"/>
      <c r="AM11" s="1656"/>
      <c r="AN11" t="s">
        <v>174</v>
      </c>
      <c r="AO11"/>
      <c r="AP11"/>
      <c r="AQ11"/>
      <c r="AR11"/>
      <c r="AS11" s="31" t="s">
        <v>692</v>
      </c>
      <c r="AT11" t="s">
        <v>1598</v>
      </c>
      <c r="AU11" s="433" t="s">
        <v>311</v>
      </c>
      <c r="AV11" s="1658" t="s">
        <v>4496</v>
      </c>
      <c r="AW11" s="931"/>
      <c r="AX11" s="931"/>
      <c r="AY11" s="728" t="s">
        <v>2010</v>
      </c>
      <c r="AZ11" s="720" t="s">
        <v>2166</v>
      </c>
      <c r="BA11" s="721" t="s">
        <v>2276</v>
      </c>
      <c r="BB11" s="430" t="s">
        <v>1255</v>
      </c>
      <c r="BC11" s="722" t="s">
        <v>2335</v>
      </c>
      <c r="BD11" s="430" t="s">
        <v>2166</v>
      </c>
      <c r="BE11" s="60"/>
      <c r="BF11" s="60"/>
      <c r="BG11" s="60"/>
      <c r="BH11" s="77"/>
      <c r="BI11" s="729" t="s">
        <v>2273</v>
      </c>
      <c r="BJ11" s="724" t="s">
        <v>1768</v>
      </c>
      <c r="BK11" s="2437" t="s">
        <v>1767</v>
      </c>
      <c r="BL11" s="2442" t="s">
        <v>1326</v>
      </c>
      <c r="BM11" s="2443" t="s">
        <v>5317</v>
      </c>
      <c r="BN11" s="2443" t="s">
        <v>67</v>
      </c>
      <c r="BO11" s="2440" t="s">
        <v>2489</v>
      </c>
      <c r="BP11" s="2654"/>
      <c r="BQ11" s="18"/>
      <c r="BR11" s="18"/>
      <c r="BS11" s="18"/>
      <c r="BT11" s="18"/>
      <c r="BU11" s="896"/>
      <c r="BV11" s="470" t="s">
        <v>3511</v>
      </c>
      <c r="BW11" s="3068" t="s">
        <v>5113</v>
      </c>
      <c r="BX11" s="3080">
        <v>30</v>
      </c>
      <c r="BY11" s="3076" t="s">
        <v>1001</v>
      </c>
      <c r="BZ11" s="326" t="s">
        <v>1427</v>
      </c>
      <c r="CA11" s="116" t="s">
        <v>971</v>
      </c>
      <c r="CB11" s="116" t="s">
        <v>972</v>
      </c>
      <c r="CC11" s="116" t="s">
        <v>988</v>
      </c>
      <c r="CD11" s="116" t="s">
        <v>1387</v>
      </c>
      <c r="CE11" s="305" t="s">
        <v>26</v>
      </c>
      <c r="CF11" s="305" t="s">
        <v>26</v>
      </c>
      <c r="CG11" s="330" t="s">
        <v>26</v>
      </c>
      <c r="CH11" s="761" t="b">
        <f>IF(COUNTIF('Distributed Assets'!$Q$28:$Q$102,"Active / Active")&gt;0,TRUE,FALSE)</f>
        <v>0</v>
      </c>
      <c r="CK11" s="772" t="s">
        <v>3530</v>
      </c>
      <c r="CL11" s="2662"/>
      <c r="CM11" s="1547" t="s">
        <v>1474</v>
      </c>
      <c r="CN11" s="2665"/>
      <c r="CO11" s="426" t="s">
        <v>1598</v>
      </c>
      <c r="CP11" s="424" t="b">
        <v>0</v>
      </c>
      <c r="CQ11" s="424" t="b">
        <v>0</v>
      </c>
      <c r="CR11" s="425"/>
      <c r="CS11" s="425"/>
      <c r="CT11" s="425" t="s">
        <v>1472</v>
      </c>
      <c r="CU11" s="423"/>
      <c r="CV11" s="425" t="s">
        <v>1477</v>
      </c>
      <c r="CW11" s="421" t="s">
        <v>1317</v>
      </c>
      <c r="CX11" s="3069" t="s">
        <v>5110</v>
      </c>
      <c r="CY11" s="3070" t="s">
        <v>5111</v>
      </c>
      <c r="CZ11" s="3071">
        <v>100</v>
      </c>
      <c r="DA11" s="2863" t="s">
        <v>5361</v>
      </c>
      <c r="DB11" s="609"/>
      <c r="DC11" s="562" t="s">
        <v>1848</v>
      </c>
      <c r="DD11" s="569" t="s">
        <v>1849</v>
      </c>
      <c r="DE11" s="580"/>
      <c r="DF11" s="580"/>
      <c r="DK11" s="810" t="s">
        <v>2461</v>
      </c>
      <c r="DM11" s="126"/>
      <c r="DN11" s="126"/>
      <c r="DO11" s="126"/>
      <c r="DP11" s="4"/>
      <c r="DQ11" s="1644"/>
      <c r="DR11" s="1644"/>
      <c r="DS11" s="1644"/>
      <c r="DT11" s="1644"/>
      <c r="DU11" s="2677"/>
      <c r="DV11" s="2672" t="s">
        <v>2461</v>
      </c>
      <c r="DW11" s="126"/>
      <c r="DZ11" s="970" t="s">
        <v>2826</v>
      </c>
      <c r="EA11" s="981" t="s">
        <v>2847</v>
      </c>
      <c r="EC11" s="1001" t="s">
        <v>2887</v>
      </c>
      <c r="ED11" s="1029" t="s">
        <v>2907</v>
      </c>
      <c r="EE11" s="1038" t="s">
        <v>241</v>
      </c>
      <c r="EF11" s="956"/>
      <c r="EG11" s="1592" t="b">
        <v>0</v>
      </c>
      <c r="EH11" s="1593" t="b">
        <v>0</v>
      </c>
      <c r="EI11" s="1589" t="s">
        <v>3286</v>
      </c>
      <c r="EJ11" s="3396" t="s">
        <v>4616</v>
      </c>
      <c r="EK11" s="3351" t="s">
        <v>5548</v>
      </c>
      <c r="EL11" s="3241" t="s">
        <v>4646</v>
      </c>
      <c r="EM11" s="3378" t="s">
        <v>4333</v>
      </c>
      <c r="EN11" s="3383" t="s">
        <v>5572</v>
      </c>
      <c r="EO11" s="3384" t="s">
        <v>4337</v>
      </c>
      <c r="EP11" s="3244"/>
      <c r="EQ11" s="3244"/>
      <c r="ER11" s="3244"/>
      <c r="ES11" s="3244"/>
      <c r="ET11" s="3244"/>
      <c r="EU11" s="3244"/>
      <c r="EV11" s="2767" t="s">
        <v>4253</v>
      </c>
      <c r="EW11" s="2693"/>
      <c r="EX11" s="2699" t="s">
        <v>3488</v>
      </c>
      <c r="EY11" s="2700">
        <v>70</v>
      </c>
      <c r="EZ11" s="2701"/>
      <c r="FA11" s="2702"/>
      <c r="FB11" s="2693"/>
      <c r="FC11" s="2693"/>
      <c r="FD11" s="1928" t="s">
        <v>3613</v>
      </c>
      <c r="FE11" s="2307" t="s">
        <v>3671</v>
      </c>
      <c r="FF11" s="126"/>
      <c r="FG11" s="126"/>
      <c r="FH11" s="126"/>
      <c r="FI11" s="126"/>
      <c r="FJ11" s="126"/>
      <c r="FK11" s="126"/>
      <c r="FL11" s="126"/>
      <c r="FM11" s="126"/>
      <c r="FN11" s="126"/>
      <c r="FO11" s="126"/>
      <c r="FP11" s="126"/>
      <c r="FV11" s="50" t="s">
        <v>3826</v>
      </c>
      <c r="FW11" s="1644" t="s">
        <v>4110</v>
      </c>
    </row>
    <row r="12" spans="1:179" s="10" customFormat="1" ht="138.75" customHeight="1" thickBot="1">
      <c r="A12" s="1758" t="str">
        <f ca="1">IF(ISERROR(INDEX(IPList,ROWS($A$6:A12))),
         IF(ISERROR(INDEX(VIP_InstanceList,ROWS($A$6:A12)-ROWS(IPList))),
                IF(ISERROR(INDEX(GTMLIST,ROWS($A$6:A12)-(ROWS(IPList)+(ROWS(VIP_InstanceList))))),"",
                      INDEX(GTMLIST,ROWS($A$6:A12)-(ROWS(IPList)+(ROWS(VIP_InstanceList))))),
                                  INDEX(VIP_InstanceList,ROWS($A$6:A12)-ROWS(IPList))),
                                             INDEX(IPList,ROWS($A$6:A12)))</f>
        <v>20213598-004  (IP01)</v>
      </c>
      <c r="B12"/>
      <c r="C12"/>
      <c r="D12" s="354" t="s">
        <v>4475</v>
      </c>
      <c r="E12"/>
      <c r="F12"/>
      <c r="G12" s="1548" t="s">
        <v>2259</v>
      </c>
      <c r="H12"/>
      <c r="I12" t="s">
        <v>104</v>
      </c>
      <c r="J12" s="354" t="s">
        <v>3523</v>
      </c>
      <c r="K12" s="2725" t="str">
        <f ca="1">IF(ISERROR(INDEX(Assetlist,ROWS($A$6:A12))),
            IF(ISERROR(INDEX(VMList,ROWS($A$6:A12)-ROWS(Assetlist))),"",
                                   INDEX(VMList,ROWS($A$6:A12)-ROWS(Assetlist))),
                                                        INDEX(Assetlist,ROWS($A$6:A12)))</f>
        <v>20213598-VM003</v>
      </c>
      <c r="L12"/>
      <c r="M12"/>
      <c r="N12"/>
      <c r="O12" s="684" t="s">
        <v>4386</v>
      </c>
      <c r="P12" t="s">
        <v>4387</v>
      </c>
      <c r="Q12" s="354"/>
      <c r="R12" s="3"/>
      <c r="S12" s="3"/>
      <c r="T12" s="2648"/>
      <c r="U12" s="3"/>
      <c r="V12" s="2648"/>
      <c r="W12" s="2646" t="str">
        <f ca="1">IF(ISERROR(INDEX(AssetDecomList,ROWS($A$6:A12))),
IF(ISERROR(INDEX(AssetDecomVIPs,ROWS($A$6:A12)-ROWS(AssetDecomList))),"",INDEX(AssetDecomVIPs,ROWS($A$6:A12)-ROWS(AssetDecomList))),
INDEX(AssetDecomList,ROWS($A$6:A12)))</f>
        <v/>
      </c>
      <c r="X12" s="3"/>
      <c r="Y12" s="2993" t="s">
        <v>1196</v>
      </c>
      <c r="Z12" s="2993" t="s">
        <v>2689</v>
      </c>
      <c r="AA12" s="2993">
        <v>2002</v>
      </c>
      <c r="AB12" s="2993" t="s">
        <v>783</v>
      </c>
      <c r="AC12" s="2993" t="s">
        <v>784</v>
      </c>
      <c r="AD12" s="2993" t="s">
        <v>455</v>
      </c>
      <c r="AE12"/>
      <c r="AF12" s="126"/>
      <c r="AG12" s="2758"/>
      <c r="AH12" s="2758" t="s">
        <v>4528</v>
      </c>
      <c r="AI12"/>
      <c r="AJ12"/>
      <c r="AK12"/>
      <c r="AL12"/>
      <c r="AM12" s="1656"/>
      <c r="AN12"/>
      <c r="AO12"/>
      <c r="AP12"/>
      <c r="AQ12"/>
      <c r="AR12"/>
      <c r="AS12"/>
      <c r="AT12" s="354" t="s">
        <v>5264</v>
      </c>
      <c r="AU12" s="354" t="s">
        <v>5244</v>
      </c>
      <c r="AV12" s="1658" t="s">
        <v>4491</v>
      </c>
      <c r="AW12" s="931"/>
      <c r="AX12" s="931"/>
      <c r="AY12" s="728" t="s">
        <v>1995</v>
      </c>
      <c r="AZ12" s="720" t="s">
        <v>2164</v>
      </c>
      <c r="BA12" s="721" t="s">
        <v>2277</v>
      </c>
      <c r="BB12" s="430" t="s">
        <v>1255</v>
      </c>
      <c r="BC12" s="722" t="s">
        <v>2281</v>
      </c>
      <c r="BD12" s="430" t="s">
        <v>2164</v>
      </c>
      <c r="BE12" s="60"/>
      <c r="BF12" s="60"/>
      <c r="BG12" s="60"/>
      <c r="BH12" s="77"/>
      <c r="BI12" s="729" t="s">
        <v>2273</v>
      </c>
      <c r="BL12" s="2441" t="s">
        <v>66</v>
      </c>
      <c r="BM12" s="2439" t="s">
        <v>726</v>
      </c>
      <c r="BN12" s="2439" t="s">
        <v>66</v>
      </c>
      <c r="BO12" s="2440" t="s">
        <v>2238</v>
      </c>
      <c r="BP12" s="2654"/>
      <c r="BQ12" s="1556"/>
      <c r="BR12" s="18"/>
      <c r="BS12" s="470"/>
      <c r="BT12" s="18"/>
      <c r="BU12" s="2657"/>
      <c r="BV12" s="470" t="s">
        <v>3509</v>
      </c>
      <c r="BW12" s="3068" t="s">
        <v>5136</v>
      </c>
      <c r="BX12" s="3080">
        <v>35</v>
      </c>
      <c r="BY12" s="3077" t="s">
        <v>1805</v>
      </c>
      <c r="BZ12" s="327" t="s">
        <v>1428</v>
      </c>
      <c r="CA12" s="429" t="s">
        <v>1804</v>
      </c>
      <c r="CB12" s="116" t="s">
        <v>973</v>
      </c>
      <c r="CC12" s="116" t="s">
        <v>989</v>
      </c>
      <c r="CD12" s="116" t="s">
        <v>1388</v>
      </c>
      <c r="CE12" s="320" t="s">
        <v>1399</v>
      </c>
      <c r="CF12" s="318" t="s">
        <v>1407</v>
      </c>
      <c r="CG12" s="331" t="s">
        <v>1438</v>
      </c>
      <c r="CH12" s="761" t="b">
        <f>IF(COUNTIF('Distributed Assets'!$Q$28:$Q$102,"oracle rac")&gt;0,TRUE,FALSE)</f>
        <v>0</v>
      </c>
      <c r="CK12" s="772" t="s">
        <v>3531</v>
      </c>
      <c r="CL12" s="2662"/>
      <c r="CM12" s="1547" t="s">
        <v>1482</v>
      </c>
      <c r="CN12" s="2667"/>
      <c r="CO12" s="3002" t="s">
        <v>5031</v>
      </c>
      <c r="CP12" s="424" t="b">
        <v>1</v>
      </c>
      <c r="CQ12" s="424" t="b">
        <v>1</v>
      </c>
      <c r="CR12" s="425">
        <v>443</v>
      </c>
      <c r="CS12" s="423">
        <v>443</v>
      </c>
      <c r="CT12" s="425" t="s">
        <v>1472</v>
      </c>
      <c r="CU12" s="425" t="s">
        <v>4380</v>
      </c>
      <c r="CV12" s="425" t="s">
        <v>1477</v>
      </c>
      <c r="CW12" s="2314" t="s">
        <v>5064</v>
      </c>
      <c r="CY12" s="126"/>
      <c r="CZ12" s="70"/>
      <c r="DA12" s="1741" t="s">
        <v>3845</v>
      </c>
      <c r="DB12" s="609"/>
      <c r="DC12" s="562" t="s">
        <v>1850</v>
      </c>
      <c r="DD12" s="569" t="s">
        <v>1851</v>
      </c>
      <c r="DE12" s="580"/>
      <c r="DF12" s="580"/>
      <c r="DM12" s="126"/>
      <c r="DN12" s="126"/>
      <c r="DO12" s="126"/>
      <c r="DP12" s="4"/>
      <c r="DQ12" s="1644"/>
      <c r="DR12" s="1644"/>
      <c r="DS12" s="1644"/>
      <c r="DT12" s="1644"/>
      <c r="DU12" s="2677"/>
      <c r="DV12" s="2673" t="s">
        <v>2691</v>
      </c>
      <c r="DZ12" s="970" t="s">
        <v>2827</v>
      </c>
      <c r="EA12" s="976" t="s">
        <v>2848</v>
      </c>
      <c r="EC12" s="1001" t="s">
        <v>2888</v>
      </c>
      <c r="ED12" s="1030" t="s">
        <v>2908</v>
      </c>
      <c r="EE12" s="1038" t="s">
        <v>434</v>
      </c>
      <c r="EG12" s="10" t="b">
        <v>0</v>
      </c>
      <c r="EH12" s="1594" t="b">
        <v>0</v>
      </c>
      <c r="EI12" s="1590" t="s">
        <v>3287</v>
      </c>
      <c r="EJ12" s="2921"/>
      <c r="EK12" s="3236" t="s">
        <v>5550</v>
      </c>
      <c r="EL12" s="3242" t="s">
        <v>4534</v>
      </c>
      <c r="EM12" s="3397" t="s">
        <v>4611</v>
      </c>
      <c r="EN12" s="3381" t="s">
        <v>4621</v>
      </c>
      <c r="EO12" s="3382" t="s">
        <v>4620</v>
      </c>
      <c r="EP12" s="3244"/>
      <c r="EQ12" s="3244"/>
      <c r="ER12" s="3244"/>
      <c r="ES12" s="3244"/>
      <c r="ET12" s="3244"/>
      <c r="EU12" s="3244"/>
      <c r="EV12" s="2767" t="s">
        <v>5426</v>
      </c>
      <c r="FD12" s="1928" t="s">
        <v>3614</v>
      </c>
      <c r="FE12" s="2308" t="s">
        <v>3672</v>
      </c>
      <c r="FV12" s="50" t="s">
        <v>3827</v>
      </c>
      <c r="FW12" s="1644" t="s">
        <v>4108</v>
      </c>
    </row>
    <row r="13" spans="1:179" s="10" customFormat="1" ht="165.75" customHeight="1" thickBot="1">
      <c r="A13" s="1758" t="str">
        <f ca="1">IF(ISERROR(INDEX(IPList,ROWS($A$6:A13))),
         IF(ISERROR(INDEX(VIP_InstanceList,ROWS($A$6:A13)-ROWS(IPList))),
                IF(ISERROR(INDEX(GTMLIST,ROWS($A$6:A13)-(ROWS(IPList)+(ROWS(VIP_InstanceList))))),"",
                      INDEX(GTMLIST,ROWS($A$6:A13)-(ROWS(IPList)+(ROWS(VIP_InstanceList))))),
                                  INDEX(VIP_InstanceList,ROWS($A$6:A13)-ROWS(IPList))),
                                             INDEX(IPList,ROWS($A$6:A13)))</f>
        <v>20213598-004  (IP02)</v>
      </c>
      <c r="B13"/>
      <c r="C13"/>
      <c r="D13" t="s">
        <v>435</v>
      </c>
      <c r="E13"/>
      <c r="F13"/>
      <c r="G13" s="1548" t="s">
        <v>640</v>
      </c>
      <c r="H13" s="931"/>
      <c r="I13" s="111" t="s">
        <v>1378</v>
      </c>
      <c r="J13" s="354" t="s">
        <v>4364</v>
      </c>
      <c r="K13" s="2725" t="str">
        <f ca="1">IF(ISERROR(INDEX(Assetlist,ROWS($A$6:A13))),
            IF(ISERROR(INDEX(VMList,ROWS($A$6:A13)-ROWS(Assetlist))),"",
                                   INDEX(VMList,ROWS($A$6:A13)-ROWS(Assetlist))),
                                                        INDEX(Assetlist,ROWS($A$6:A13)))</f>
        <v/>
      </c>
      <c r="L13"/>
      <c r="M13"/>
      <c r="N13"/>
      <c r="O13" s="684" t="s">
        <v>4388</v>
      </c>
      <c r="P13" s="22" t="s">
        <v>1473</v>
      </c>
      <c r="Q13"/>
      <c r="R13" s="3"/>
      <c r="S13" s="3"/>
      <c r="T13" s="3"/>
      <c r="U13" s="3"/>
      <c r="V13" s="3"/>
      <c r="W13" s="2646" t="str">
        <f ca="1">IF(ISERROR(INDEX(AssetDecomList,ROWS($A$6:A13))),
IF(ISERROR(INDEX(AssetDecomVIPs,ROWS($A$6:A13)-ROWS(AssetDecomList))),"",INDEX(AssetDecomVIPs,ROWS($A$6:A13)-ROWS(AssetDecomList))),
INDEX(AssetDecomList,ROWS($A$6:A13)))</f>
        <v/>
      </c>
      <c r="X13" s="2648"/>
      <c r="Y13" s="2994" t="s">
        <v>1782</v>
      </c>
      <c r="Z13" s="2994" t="s">
        <v>3296</v>
      </c>
      <c r="AA13" s="2994">
        <v>2401</v>
      </c>
      <c r="AB13" s="2994" t="s">
        <v>3236</v>
      </c>
      <c r="AC13" s="2994" t="s">
        <v>3011</v>
      </c>
      <c r="AD13" s="2994" t="s">
        <v>3017</v>
      </c>
      <c r="AE13"/>
      <c r="AF13"/>
      <c r="AG13" s="2758"/>
      <c r="AH13" s="2758" t="s">
        <v>2619</v>
      </c>
      <c r="AI13"/>
      <c r="AJ13"/>
      <c r="AK13"/>
      <c r="AL13"/>
      <c r="AM13" s="1656"/>
      <c r="AN13"/>
      <c r="AO13"/>
      <c r="AP13"/>
      <c r="AQ13"/>
      <c r="AR13"/>
      <c r="AS13"/>
      <c r="AT13" s="354" t="s">
        <v>5243</v>
      </c>
      <c r="AU13" s="354" t="s">
        <v>5244</v>
      </c>
      <c r="AV13" s="1658" t="s">
        <v>4497</v>
      </c>
      <c r="AW13" s="931"/>
      <c r="AX13" s="931"/>
      <c r="AY13" s="728" t="s">
        <v>2278</v>
      </c>
      <c r="AZ13" s="720" t="s">
        <v>2279</v>
      </c>
      <c r="BA13" s="721" t="s">
        <v>2280</v>
      </c>
      <c r="BB13" s="430" t="s">
        <v>1255</v>
      </c>
      <c r="BC13" s="722" t="s">
        <v>2285</v>
      </c>
      <c r="BD13" s="720" t="s">
        <v>2279</v>
      </c>
      <c r="BE13" s="60"/>
      <c r="BF13" s="60"/>
      <c r="BG13" s="60"/>
      <c r="BH13" s="77"/>
      <c r="BI13" s="729" t="s">
        <v>2273</v>
      </c>
      <c r="BJ13"/>
      <c r="BK13"/>
      <c r="BL13" s="2442" t="s">
        <v>5373</v>
      </c>
      <c r="BM13" s="2443" t="s">
        <v>726</v>
      </c>
      <c r="BN13" s="2443" t="s">
        <v>5374</v>
      </c>
      <c r="BO13" s="2440" t="s">
        <v>2238</v>
      </c>
      <c r="BP13" s="2658"/>
      <c r="BQ13" s="18"/>
      <c r="BR13" s="18"/>
      <c r="BS13" s="18"/>
      <c r="BT13" s="18"/>
      <c r="BU13" s="896"/>
      <c r="BV13" s="1553" t="s">
        <v>3510</v>
      </c>
      <c r="BW13" s="3068" t="s">
        <v>5135</v>
      </c>
      <c r="BX13" s="3080">
        <v>40</v>
      </c>
      <c r="BY13" s="3077" t="s">
        <v>1806</v>
      </c>
      <c r="BZ13" s="327" t="s">
        <v>1429</v>
      </c>
      <c r="CA13" s="429" t="s">
        <v>1804</v>
      </c>
      <c r="CB13" s="116" t="s">
        <v>974</v>
      </c>
      <c r="CC13" s="116" t="s">
        <v>990</v>
      </c>
      <c r="CD13" s="116" t="s">
        <v>1389</v>
      </c>
      <c r="CE13" s="320" t="s">
        <v>1400</v>
      </c>
      <c r="CF13" s="320" t="s">
        <v>1408</v>
      </c>
      <c r="CG13" s="332" t="s">
        <v>1439</v>
      </c>
      <c r="CH13" s="762" t="b">
        <f>IF(COUNTIFS('Distributed Assets'!$J$28:$J$102,"AIX",'Distributed Assets'!$Q$28:$Q$102,"Active / Passive")
+  COUNTIFS('Distributed Assets'!$J$28:$J$102,"AIX",'Distributed Assets'!$Q$28:$Q$102,"Active / Active")
 &gt;0,TRUE,FALSE)</f>
        <v>0</v>
      </c>
      <c r="CK13" s="772" t="s">
        <v>3532</v>
      </c>
      <c r="CL13" s="2662"/>
      <c r="CM13" s="1547" t="s">
        <v>1483</v>
      </c>
      <c r="CN13" s="2666"/>
      <c r="CO13" s="3002" t="s">
        <v>5327</v>
      </c>
      <c r="CP13" s="3038" t="b">
        <v>1</v>
      </c>
      <c r="CQ13" s="3038" t="b">
        <v>1</v>
      </c>
      <c r="CR13" s="3039">
        <v>443</v>
      </c>
      <c r="CS13" s="3203" t="s">
        <v>1593</v>
      </c>
      <c r="CT13" s="3039" t="s">
        <v>1472</v>
      </c>
      <c r="CU13" s="3039" t="s">
        <v>4380</v>
      </c>
      <c r="CV13" s="3039" t="s">
        <v>1477</v>
      </c>
      <c r="CW13" s="2314" t="s">
        <v>5328</v>
      </c>
      <c r="CY13" s="126"/>
      <c r="CZ13" s="126"/>
      <c r="DA13" s="1741" t="s">
        <v>3740</v>
      </c>
      <c r="DB13" s="610"/>
      <c r="DC13" s="562" t="s">
        <v>1852</v>
      </c>
      <c r="DD13" s="569" t="s">
        <v>1853</v>
      </c>
      <c r="DE13" s="580"/>
      <c r="DF13" s="580"/>
      <c r="DM13" s="126"/>
      <c r="DN13" s="126"/>
      <c r="DO13" s="126"/>
      <c r="DP13" s="4"/>
      <c r="DQ13" s="4"/>
      <c r="DR13" s="1644"/>
      <c r="DS13" s="1644"/>
      <c r="DT13" s="1644"/>
      <c r="DU13" s="2677"/>
      <c r="DV13" s="2673" t="s">
        <v>2496</v>
      </c>
      <c r="DZ13" s="983" t="s">
        <v>2828</v>
      </c>
      <c r="EA13" s="982" t="s">
        <v>2849</v>
      </c>
      <c r="EC13" s="1002" t="s">
        <v>2889</v>
      </c>
      <c r="ED13" s="1032" t="s">
        <v>2909</v>
      </c>
      <c r="EE13" s="1038" t="s">
        <v>40</v>
      </c>
      <c r="EG13" s="10" t="b">
        <v>0</v>
      </c>
      <c r="EH13" s="1594" t="b">
        <v>0</v>
      </c>
      <c r="EI13" s="126"/>
      <c r="EJ13" s="2921"/>
      <c r="EK13" s="3237" t="s">
        <v>4340</v>
      </c>
      <c r="EL13" s="3244"/>
      <c r="EM13" s="3398" t="s">
        <v>4612</v>
      </c>
      <c r="EN13" s="3385" t="s">
        <v>4622</v>
      </c>
      <c r="EO13" s="3386" t="s">
        <v>5573</v>
      </c>
      <c r="EP13" s="3244"/>
      <c r="EQ13" s="3244"/>
      <c r="ER13" s="3244"/>
      <c r="ES13" s="3244"/>
      <c r="ET13" s="3244"/>
      <c r="EU13" s="3244"/>
      <c r="FD13" s="1928" t="s">
        <v>3675</v>
      </c>
      <c r="FE13" s="126"/>
      <c r="FV13" s="773" t="s">
        <v>4277</v>
      </c>
      <c r="FW13" s="1644" t="s">
        <v>4113</v>
      </c>
    </row>
    <row r="14" spans="1:179" s="10" customFormat="1" ht="136.5" thickBot="1">
      <c r="A14" s="1758" t="str">
        <f ca="1">IF(ISERROR(INDEX(IPList,ROWS($A$6:A14))),
         IF(ISERROR(INDEX(VIP_InstanceList,ROWS($A$6:A14)-ROWS(IPList))),
                IF(ISERROR(INDEX(GTMLIST,ROWS($A$6:A14)-(ROWS(IPList)+(ROWS(VIP_InstanceList))))),"",
                      INDEX(GTMLIST,ROWS($A$6:A14)-(ROWS(IPList)+(ROWS(VIP_InstanceList))))),
                                  INDEX(VIP_InstanceList,ROWS($A$6:A14)-ROWS(IPList))),
                                             INDEX(IPList,ROWS($A$6:A14)))</f>
        <v/>
      </c>
      <c r="B14"/>
      <c r="C14"/>
      <c r="D14" s="354" t="s">
        <v>1378</v>
      </c>
      <c r="E14"/>
      <c r="F14"/>
      <c r="G14" s="1548" t="s">
        <v>1036</v>
      </c>
      <c r="H14" s="931"/>
      <c r="I14"/>
      <c r="J14" s="31" t="s">
        <v>947</v>
      </c>
      <c r="K14" s="2725" t="str">
        <f ca="1">IF(ISERROR(INDEX(Assetlist,ROWS($A$6:A14))),
            IF(ISERROR(INDEX(VMList,ROWS($A$6:A14)-ROWS(Assetlist))),"",
                                   INDEX(VMList,ROWS($A$6:A14)-ROWS(Assetlist))),
                                                        INDEX(Assetlist,ROWS($A$6:A14)))</f>
        <v/>
      </c>
      <c r="L14"/>
      <c r="M14"/>
      <c r="N14"/>
      <c r="O14" s="684" t="s">
        <v>4389</v>
      </c>
      <c r="P14" s="22" t="s">
        <v>4390</v>
      </c>
      <c r="Q14"/>
      <c r="R14" s="3"/>
      <c r="S14" s="3"/>
      <c r="T14" s="3"/>
      <c r="U14" s="3"/>
      <c r="V14" s="3"/>
      <c r="W14" s="2646" t="str">
        <f ca="1">IF(ISERROR(INDEX(AssetDecomList,ROWS($A$6:A14))),
IF(ISERROR(INDEX(AssetDecomVIPs,ROWS($A$6:A14)-ROWS(AssetDecomList))),"",INDEX(AssetDecomVIPs,ROWS($A$6:A14)-ROWS(AssetDecomList))),
INDEX(AssetDecomList,ROWS($A$6:A14)))</f>
        <v/>
      </c>
      <c r="X14" s="3"/>
      <c r="Y14" s="2994" t="s">
        <v>1782</v>
      </c>
      <c r="Z14" s="2994" t="s">
        <v>4662</v>
      </c>
      <c r="AA14" s="2994">
        <v>2402</v>
      </c>
      <c r="AB14" s="2994" t="s">
        <v>3237</v>
      </c>
      <c r="AC14" s="2994" t="s">
        <v>3012</v>
      </c>
      <c r="AD14" s="2994" t="s">
        <v>3018</v>
      </c>
      <c r="AE14"/>
      <c r="AF14"/>
      <c r="AG14" s="2758"/>
      <c r="AH14" s="2758"/>
      <c r="AI14"/>
      <c r="AJ14"/>
      <c r="AK14"/>
      <c r="AL14"/>
      <c r="AM14" s="1656"/>
      <c r="AN14"/>
      <c r="AO14"/>
      <c r="AP14"/>
      <c r="AQ14"/>
      <c r="AR14"/>
      <c r="AS14"/>
      <c r="AT14" s="354" t="s">
        <v>5245</v>
      </c>
      <c r="AU14" s="354" t="s">
        <v>5244</v>
      </c>
      <c r="AV14" s="1658" t="s">
        <v>4499</v>
      </c>
      <c r="AW14" s="931"/>
      <c r="AX14" s="931"/>
      <c r="AY14" s="728" t="s">
        <v>2282</v>
      </c>
      <c r="AZ14" s="720" t="s">
        <v>2283</v>
      </c>
      <c r="BA14" s="721" t="s">
        <v>2284</v>
      </c>
      <c r="BB14" s="430" t="s">
        <v>1255</v>
      </c>
      <c r="BC14" s="722" t="s">
        <v>2289</v>
      </c>
      <c r="BD14" s="720" t="s">
        <v>2283</v>
      </c>
      <c r="BE14" s="60"/>
      <c r="BF14" s="60"/>
      <c r="BG14" s="60"/>
      <c r="BH14" s="77"/>
      <c r="BI14" s="729" t="s">
        <v>2273</v>
      </c>
      <c r="BJ14"/>
      <c r="BK14"/>
      <c r="BL14" s="2441" t="s">
        <v>779</v>
      </c>
      <c r="BM14" s="2439" t="s">
        <v>780</v>
      </c>
      <c r="BN14" s="2439" t="s">
        <v>874</v>
      </c>
      <c r="BO14" s="2440" t="s">
        <v>2238</v>
      </c>
      <c r="BP14" s="2654"/>
      <c r="BQ14" s="18"/>
      <c r="BR14" s="18"/>
      <c r="BS14" s="18"/>
      <c r="BT14" s="18"/>
      <c r="BU14" s="896"/>
      <c r="BV14" s="1553" t="s">
        <v>3512</v>
      </c>
      <c r="BW14" s="3068" t="s">
        <v>5134</v>
      </c>
      <c r="BX14" s="3080">
        <v>45</v>
      </c>
      <c r="BY14" s="3077" t="s">
        <v>1002</v>
      </c>
      <c r="BZ14" s="327" t="s">
        <v>1430</v>
      </c>
      <c r="CA14" s="429" t="s">
        <v>975</v>
      </c>
      <c r="CB14" s="116" t="s">
        <v>976</v>
      </c>
      <c r="CC14" s="116" t="s">
        <v>991</v>
      </c>
      <c r="CD14" s="116" t="s">
        <v>1380</v>
      </c>
      <c r="CE14" s="320" t="s">
        <v>1401</v>
      </c>
      <c r="CF14" s="320" t="s">
        <v>1407</v>
      </c>
      <c r="CG14" s="331" t="s">
        <v>1438</v>
      </c>
      <c r="CH14" s="10" t="b">
        <v>1</v>
      </c>
      <c r="CK14" s="772" t="s">
        <v>3533</v>
      </c>
      <c r="CL14" s="2662"/>
      <c r="CM14" s="1547" t="s">
        <v>1484</v>
      </c>
      <c r="CN14" s="2668"/>
      <c r="CO14" s="3002" t="s">
        <v>5329</v>
      </c>
      <c r="CP14" s="3038" t="b">
        <v>0</v>
      </c>
      <c r="CQ14" s="3038" t="b">
        <v>0</v>
      </c>
      <c r="CR14" s="3039">
        <v>81</v>
      </c>
      <c r="CS14" s="3203">
        <v>81</v>
      </c>
      <c r="CT14" s="3039" t="s">
        <v>1472</v>
      </c>
      <c r="CU14" s="3039" t="s">
        <v>1597</v>
      </c>
      <c r="CV14" s="3039" t="s">
        <v>1477</v>
      </c>
      <c r="CW14" s="2314" t="s">
        <v>5330</v>
      </c>
      <c r="CY14" s="126"/>
      <c r="CZ14" s="126"/>
      <c r="DA14" s="1741" t="s">
        <v>3741</v>
      </c>
      <c r="DC14" s="562" t="s">
        <v>1854</v>
      </c>
      <c r="DD14" s="569" t="s">
        <v>1855</v>
      </c>
      <c r="DE14" s="580"/>
      <c r="DF14" s="580"/>
      <c r="DM14" s="126"/>
      <c r="DO14" s="126"/>
      <c r="DP14" s="4"/>
      <c r="DQ14" s="4"/>
      <c r="DR14" s="4"/>
      <c r="DS14" s="1644"/>
      <c r="DT14" s="4"/>
      <c r="DU14" s="2677"/>
      <c r="DV14" s="2674" t="s">
        <v>2612</v>
      </c>
      <c r="DZ14" s="1096" t="s">
        <v>2829</v>
      </c>
      <c r="EA14" s="975" t="s">
        <v>2850</v>
      </c>
      <c r="EC14" s="1003" t="s">
        <v>2890</v>
      </c>
      <c r="ED14" s="1033" t="s">
        <v>2910</v>
      </c>
      <c r="EE14" s="1038" t="s">
        <v>1259</v>
      </c>
      <c r="EG14" s="10" t="b">
        <v>0</v>
      </c>
      <c r="EH14" s="1594" t="b">
        <v>0</v>
      </c>
      <c r="EI14" s="126"/>
      <c r="EJ14" s="2921"/>
      <c r="EK14" s="3243" t="s">
        <v>4650</v>
      </c>
      <c r="EL14" s="3244"/>
      <c r="EM14" s="2921"/>
      <c r="EN14" s="3387" t="s">
        <v>5417</v>
      </c>
      <c r="EO14" s="3388" t="s">
        <v>5555</v>
      </c>
      <c r="EP14" s="3244"/>
      <c r="EQ14" s="3244"/>
      <c r="ER14" s="3244"/>
      <c r="ES14" s="3244"/>
      <c r="ET14" s="3244"/>
      <c r="EU14" s="3244"/>
      <c r="FD14" s="1928" t="s">
        <v>3615</v>
      </c>
      <c r="FE14" s="126"/>
      <c r="FW14" s="1644" t="s">
        <v>4111</v>
      </c>
    </row>
    <row r="15" spans="1:179" s="10" customFormat="1" ht="103.5" thickBot="1">
      <c r="A15" s="1758" t="str">
        <f ca="1">IF(ISERROR(INDEX(IPList,ROWS($A$6:A15))),
         IF(ISERROR(INDEX(VIP_InstanceList,ROWS($A$6:A15)-ROWS(IPList))),
                IF(ISERROR(INDEX(GTMLIST,ROWS($A$6:A15)-(ROWS(IPList)+(ROWS(VIP_InstanceList))))),"",
                      INDEX(GTMLIST,ROWS($A$6:A15)-(ROWS(IPList)+(ROWS(VIP_InstanceList))))),
                                  INDEX(VIP_InstanceList,ROWS($A$6:A15)-ROWS(IPList))),
                                             INDEX(IPList,ROWS($A$6:A15)))</f>
        <v/>
      </c>
      <c r="B15"/>
      <c r="C15"/>
      <c r="D15" t="s">
        <v>84</v>
      </c>
      <c r="E15"/>
      <c r="F15"/>
      <c r="G15" s="52" t="s">
        <v>320</v>
      </c>
      <c r="H15" s="931"/>
      <c r="I15"/>
      <c r="J15" t="s">
        <v>129</v>
      </c>
      <c r="K15" s="2725" t="str">
        <f ca="1">IF(ISERROR(INDEX(Assetlist,ROWS($A$6:A15))),
            IF(ISERROR(INDEX(VMList,ROWS($A$6:A15)-ROWS(Assetlist))),"",
                                   INDEX(VMList,ROWS($A$6:A15)-ROWS(Assetlist))),
                                                        INDEX(Assetlist,ROWS($A$6:A15)))</f>
        <v/>
      </c>
      <c r="L15"/>
      <c r="M15"/>
      <c r="N15"/>
      <c r="O15" s="684" t="s">
        <v>4391</v>
      </c>
      <c r="P15" t="s">
        <v>4392</v>
      </c>
      <c r="Q15"/>
      <c r="R15" s="3"/>
      <c r="S15" s="3"/>
      <c r="T15" s="3"/>
      <c r="U15" s="3"/>
      <c r="V15" s="2648"/>
      <c r="W15" s="2646" t="str">
        <f ca="1">IF(ISERROR(INDEX(AssetDecomList,ROWS($A$6:A15))),
IF(ISERROR(INDEX(AssetDecomVIPs,ROWS($A$6:A15)-ROWS(AssetDecomList))),"",INDEX(AssetDecomVIPs,ROWS($A$6:A15)-ROWS(AssetDecomList))),
INDEX(AssetDecomList,ROWS($A$6:A15)))</f>
        <v/>
      </c>
      <c r="X15" s="3"/>
      <c r="Y15" s="2994" t="s">
        <v>1782</v>
      </c>
      <c r="Z15" s="2994" t="s">
        <v>4663</v>
      </c>
      <c r="AA15" s="2994">
        <v>2403</v>
      </c>
      <c r="AB15" s="2994" t="s">
        <v>3238</v>
      </c>
      <c r="AC15" s="2994" t="s">
        <v>3253</v>
      </c>
      <c r="AD15" s="2994" t="s">
        <v>3254</v>
      </c>
      <c r="AE15"/>
      <c r="AF15"/>
      <c r="AG15" s="2758"/>
      <c r="AH15" s="2758"/>
      <c r="AI15"/>
      <c r="AJ15"/>
      <c r="AK15"/>
      <c r="AL15"/>
      <c r="AM15" s="1656"/>
      <c r="AN15"/>
      <c r="AO15"/>
      <c r="AP15"/>
      <c r="AQ15"/>
      <c r="AR15"/>
      <c r="AS15"/>
      <c r="AT15" t="s">
        <v>1599</v>
      </c>
      <c r="AU15" t="s">
        <v>312</v>
      </c>
      <c r="AV15" s="1658" t="s">
        <v>3820</v>
      </c>
      <c r="AW15" s="931"/>
      <c r="AX15" s="931"/>
      <c r="AY15" s="728" t="s">
        <v>2286</v>
      </c>
      <c r="AZ15" s="720" t="s">
        <v>2287</v>
      </c>
      <c r="BA15" s="721" t="s">
        <v>2288</v>
      </c>
      <c r="BB15" s="430" t="s">
        <v>1255</v>
      </c>
      <c r="BC15" s="722" t="s">
        <v>2293</v>
      </c>
      <c r="BD15" s="720" t="s">
        <v>2287</v>
      </c>
      <c r="BE15" s="60"/>
      <c r="BF15" s="60"/>
      <c r="BG15" s="60"/>
      <c r="BH15" s="77"/>
      <c r="BI15" s="729" t="s">
        <v>2273</v>
      </c>
      <c r="BJ15"/>
      <c r="BK15"/>
      <c r="BL15" s="2442" t="s">
        <v>4604</v>
      </c>
      <c r="BM15" s="2899" t="s">
        <v>4605</v>
      </c>
      <c r="BN15" s="2899" t="s">
        <v>66</v>
      </c>
      <c r="BO15" s="2898" t="s">
        <v>2238</v>
      </c>
      <c r="BP15" s="2654"/>
      <c r="BQ15" s="18"/>
      <c r="BR15" s="18"/>
      <c r="BS15" s="18"/>
      <c r="BT15" s="18"/>
      <c r="BU15" s="2659"/>
      <c r="BV15" s="1884" t="s">
        <v>4227</v>
      </c>
      <c r="BW15" s="1847" t="s">
        <v>5133</v>
      </c>
      <c r="BX15" s="1666">
        <v>75</v>
      </c>
      <c r="BY15" s="3077" t="s">
        <v>1003</v>
      </c>
      <c r="BZ15" s="327" t="s">
        <v>1431</v>
      </c>
      <c r="CA15" s="429" t="s">
        <v>977</v>
      </c>
      <c r="CB15" s="116" t="s">
        <v>978</v>
      </c>
      <c r="CC15" s="116" t="s">
        <v>992</v>
      </c>
      <c r="CD15" s="116" t="s">
        <v>1381</v>
      </c>
      <c r="CE15" s="320" t="s">
        <v>1402</v>
      </c>
      <c r="CF15" s="318" t="s">
        <v>1408</v>
      </c>
      <c r="CG15" s="332" t="s">
        <v>1439</v>
      </c>
      <c r="CH15" s="10" t="b">
        <v>0</v>
      </c>
      <c r="CK15" s="772" t="s">
        <v>3534</v>
      </c>
      <c r="CL15" s="2662"/>
      <c r="CM15" s="126"/>
      <c r="CN15" s="4"/>
      <c r="CO15" s="426" t="s">
        <v>5331</v>
      </c>
      <c r="CP15" s="424" t="b">
        <v>1</v>
      </c>
      <c r="CQ15" s="424" t="b">
        <v>1</v>
      </c>
      <c r="CR15" s="425">
        <v>443</v>
      </c>
      <c r="CS15" s="423">
        <v>443</v>
      </c>
      <c r="CT15" s="425" t="s">
        <v>1472</v>
      </c>
      <c r="CU15" s="425" t="s">
        <v>4380</v>
      </c>
      <c r="CV15" s="425" t="s">
        <v>1477</v>
      </c>
      <c r="CW15" s="417" t="s">
        <v>5332</v>
      </c>
      <c r="DA15" s="1741" t="s">
        <v>3742</v>
      </c>
      <c r="DC15" s="562" t="s">
        <v>1856</v>
      </c>
      <c r="DD15" s="569" t="s">
        <v>1857</v>
      </c>
      <c r="DE15" s="580"/>
      <c r="DF15" s="580"/>
      <c r="DM15" s="126"/>
      <c r="DP15" s="4"/>
      <c r="DQ15" s="4"/>
      <c r="DR15" s="4"/>
      <c r="DS15" s="4"/>
      <c r="DT15" s="4"/>
      <c r="DU15" s="2677"/>
      <c r="DV15" s="2674" t="s">
        <v>2613</v>
      </c>
      <c r="DZ15" s="968" t="s">
        <v>2830</v>
      </c>
      <c r="EA15" s="987" t="s">
        <v>2851</v>
      </c>
      <c r="EC15" s="1006" t="s">
        <v>2891</v>
      </c>
      <c r="ED15" s="1034" t="s">
        <v>2911</v>
      </c>
      <c r="EE15" s="1038" t="s">
        <v>1044</v>
      </c>
      <c r="EG15" s="10" t="b">
        <v>0</v>
      </c>
      <c r="EH15" s="1594" t="b">
        <v>0</v>
      </c>
      <c r="EI15" s="126"/>
      <c r="EJ15" s="2921"/>
      <c r="EK15" s="3239" t="s">
        <v>4647</v>
      </c>
      <c r="EL15" s="3244"/>
      <c r="EM15" s="2921"/>
      <c r="EN15" s="3389" t="s">
        <v>5554</v>
      </c>
      <c r="EO15" s="3390"/>
      <c r="EP15" s="3244"/>
      <c r="EQ15" s="3244"/>
      <c r="ER15" s="3244"/>
      <c r="ES15" s="3244"/>
      <c r="ET15" s="3244"/>
      <c r="EU15" s="3244"/>
      <c r="FD15" s="1928" t="s">
        <v>3616</v>
      </c>
      <c r="FE15" s="126"/>
      <c r="FW15" s="1644" t="s">
        <v>4112</v>
      </c>
    </row>
    <row r="16" spans="1:179" s="10" customFormat="1" ht="161.25" customHeight="1" thickBot="1">
      <c r="A16" s="1758" t="str">
        <f ca="1">IF(ISERROR(INDEX(IPList,ROWS($A$6:A16))),
         IF(ISERROR(INDEX(VIP_InstanceList,ROWS($A$6:A16)-ROWS(IPList))),
                IF(ISERROR(INDEX(GTMLIST,ROWS($A$6:A16)-(ROWS(IPList)+(ROWS(VIP_InstanceList))))),"",
                      INDEX(GTMLIST,ROWS($A$6:A16)-(ROWS(IPList)+(ROWS(VIP_InstanceList))))),
                                  INDEX(VIP_InstanceList,ROWS($A$6:A16)-ROWS(IPList))),
                                             INDEX(IPList,ROWS($A$6:A16)))</f>
        <v/>
      </c>
      <c r="B16"/>
      <c r="C16"/>
      <c r="D16" t="s">
        <v>1436</v>
      </c>
      <c r="E16"/>
      <c r="F16"/>
      <c r="G16" s="1553" t="s">
        <v>3572</v>
      </c>
      <c r="H16" s="931"/>
      <c r="I16"/>
      <c r="J16" s="354" t="s">
        <v>5285</v>
      </c>
      <c r="K16" s="2725" t="str">
        <f ca="1">IF(ISERROR(INDEX(Assetlist,ROWS($A$6:A16))),
            IF(ISERROR(INDEX(VMList,ROWS($A$6:A16)-ROWS(Assetlist))),"",
                                   INDEX(VMList,ROWS($A$6:A16)-ROWS(Assetlist))),
                                                        INDEX(Assetlist,ROWS($A$6:A16)))</f>
        <v/>
      </c>
      <c r="L16"/>
      <c r="M16" s="3"/>
      <c r="N16" s="3"/>
      <c r="O16" s="3" t="s">
        <v>4393</v>
      </c>
      <c r="P16" s="3" t="s">
        <v>4394</v>
      </c>
      <c r="Q16" s="3"/>
      <c r="R16" s="3"/>
      <c r="S16" s="3"/>
      <c r="T16" s="2648"/>
      <c r="U16" s="3"/>
      <c r="V16" s="3"/>
      <c r="W16" s="2646" t="str">
        <f ca="1">IF(ISERROR(INDEX(AssetDecomList,ROWS($A$6:A16))),
IF(ISERROR(INDEX(AssetDecomVIPs,ROWS($A$6:A16)-ROWS(AssetDecomList))),"",INDEX(AssetDecomVIPs,ROWS($A$6:A16)-ROWS(AssetDecomList))),
INDEX(AssetDecomList,ROWS($A$6:A16)))</f>
        <v/>
      </c>
      <c r="X16" s="3"/>
      <c r="Y16" s="2994" t="s">
        <v>1782</v>
      </c>
      <c r="Z16" s="2994" t="s">
        <v>4664</v>
      </c>
      <c r="AA16" s="2994">
        <v>2404</v>
      </c>
      <c r="AB16" s="2994" t="s">
        <v>3239</v>
      </c>
      <c r="AC16" s="2994" t="s">
        <v>3255</v>
      </c>
      <c r="AD16" s="2994" t="s">
        <v>3267</v>
      </c>
      <c r="AE16"/>
      <c r="AF16"/>
      <c r="AG16" s="2758"/>
      <c r="AH16" s="2758"/>
      <c r="AI16"/>
      <c r="AJ16"/>
      <c r="AK16"/>
      <c r="AL16"/>
      <c r="AM16" s="1656"/>
      <c r="AN16"/>
      <c r="AO16"/>
      <c r="AP16"/>
      <c r="AQ16"/>
      <c r="AR16"/>
      <c r="AS16"/>
      <c r="AT16" t="s">
        <v>1600</v>
      </c>
      <c r="AU16" t="s">
        <v>312</v>
      </c>
      <c r="AV16" s="1658" t="s">
        <v>4494</v>
      </c>
      <c r="AW16" s="931"/>
      <c r="AX16" s="931"/>
      <c r="AY16" s="728" t="s">
        <v>2290</v>
      </c>
      <c r="AZ16" s="720" t="s">
        <v>2291</v>
      </c>
      <c r="BA16" s="721" t="s">
        <v>2292</v>
      </c>
      <c r="BB16" s="430" t="s">
        <v>1255</v>
      </c>
      <c r="BC16" s="714" t="s">
        <v>2294</v>
      </c>
      <c r="BD16" s="720" t="s">
        <v>2291</v>
      </c>
      <c r="BE16" s="60"/>
      <c r="BF16" s="60"/>
      <c r="BG16" s="60"/>
      <c r="BH16" s="77"/>
      <c r="BI16" s="729" t="s">
        <v>2273</v>
      </c>
      <c r="BJ16"/>
      <c r="BK16"/>
      <c r="BL16" s="2441" t="s">
        <v>722</v>
      </c>
      <c r="BM16" s="2439" t="s">
        <v>767</v>
      </c>
      <c r="BN16" s="2443" t="s">
        <v>67</v>
      </c>
      <c r="BO16" s="2440" t="s">
        <v>723</v>
      </c>
      <c r="BP16" s="2654"/>
      <c r="BQ16" s="1556"/>
      <c r="BR16" s="18"/>
      <c r="BS16" s="18"/>
      <c r="BT16" s="18"/>
      <c r="BU16" s="2660"/>
      <c r="BV16" s="1884" t="s">
        <v>4229</v>
      </c>
      <c r="BW16" s="1847" t="s">
        <v>5138</v>
      </c>
      <c r="BX16" s="1666">
        <v>35</v>
      </c>
      <c r="BY16" s="3077" t="s">
        <v>1807</v>
      </c>
      <c r="BZ16" s="327" t="s">
        <v>1432</v>
      </c>
      <c r="CA16" s="429" t="s">
        <v>1802</v>
      </c>
      <c r="CB16" s="116" t="s">
        <v>979</v>
      </c>
      <c r="CC16" s="116" t="s">
        <v>993</v>
      </c>
      <c r="CD16" s="116" t="s">
        <v>1390</v>
      </c>
      <c r="CE16" s="320" t="s">
        <v>1403</v>
      </c>
      <c r="CF16" s="320" t="s">
        <v>1407</v>
      </c>
      <c r="CG16" s="331" t="s">
        <v>1438</v>
      </c>
      <c r="CH16" s="3011" t="s">
        <v>5061</v>
      </c>
      <c r="CK16" s="50" t="s">
        <v>1447</v>
      </c>
      <c r="CL16" s="2662"/>
      <c r="CM16" s="126"/>
      <c r="CO16" s="3002" t="s">
        <v>1599</v>
      </c>
      <c r="CP16" s="3038" t="b">
        <v>1</v>
      </c>
      <c r="CQ16" s="3038" t="b">
        <v>1</v>
      </c>
      <c r="CR16" s="3039">
        <v>443</v>
      </c>
      <c r="CS16" s="3203" t="s">
        <v>1593</v>
      </c>
      <c r="CT16" s="3039" t="s">
        <v>1472</v>
      </c>
      <c r="CU16" s="3039" t="s">
        <v>4380</v>
      </c>
      <c r="CV16" s="3039" t="s">
        <v>1477</v>
      </c>
      <c r="CW16" s="2314" t="s">
        <v>301</v>
      </c>
      <c r="DA16" s="1741" t="s">
        <v>3847</v>
      </c>
      <c r="DC16" s="562" t="s">
        <v>1858</v>
      </c>
      <c r="DD16" s="569" t="s">
        <v>1859</v>
      </c>
      <c r="DE16" s="580"/>
      <c r="DF16" s="580"/>
      <c r="DM16" s="126"/>
      <c r="DP16" s="4"/>
      <c r="DQ16" s="4"/>
      <c r="DR16" s="4"/>
      <c r="DS16" s="4"/>
      <c r="DT16" s="4"/>
      <c r="DU16" s="2677"/>
      <c r="DV16" s="2428" t="s">
        <v>2568</v>
      </c>
      <c r="DZ16" s="968" t="s">
        <v>2831</v>
      </c>
      <c r="EA16" s="984" t="s">
        <v>2852</v>
      </c>
      <c r="EC16" s="1006" t="s">
        <v>2892</v>
      </c>
      <c r="ED16" s="1035" t="s">
        <v>2912</v>
      </c>
      <c r="EE16" s="1039"/>
      <c r="EG16" s="10" t="b">
        <v>0</v>
      </c>
      <c r="EH16" s="1594" t="b">
        <v>0</v>
      </c>
      <c r="EI16" s="126"/>
      <c r="EJ16" s="2921"/>
      <c r="EK16" s="3239" t="s">
        <v>4648</v>
      </c>
      <c r="EL16" s="3244"/>
      <c r="EM16" s="2921"/>
      <c r="EO16" s="2921"/>
      <c r="EP16" s="2921"/>
      <c r="EQ16" s="2921"/>
      <c r="ER16" s="2921"/>
      <c r="ES16" s="2921"/>
      <c r="ET16" s="3244"/>
      <c r="EU16" s="2921"/>
      <c r="FD16" s="2616" t="s">
        <v>4168</v>
      </c>
      <c r="FE16" s="126"/>
      <c r="FW16" s="126"/>
    </row>
    <row r="17" spans="1:179" s="10" customFormat="1" ht="198.75" customHeight="1" thickBot="1">
      <c r="A17" s="1758" t="str">
        <f ca="1">IF(ISERROR(INDEX(IPList,ROWS($A$6:A17))),
         IF(ISERROR(INDEX(VIP_InstanceList,ROWS($A$6:A17)-ROWS(IPList))),
                IF(ISERROR(INDEX(GTMLIST,ROWS($A$6:A17)-(ROWS(IPList)+(ROWS(VIP_InstanceList))))),"",
                      INDEX(GTMLIST,ROWS($A$6:A17)-(ROWS(IPList)+(ROWS(VIP_InstanceList))))),
                                  INDEX(VIP_InstanceList,ROWS($A$6:A17)-ROWS(IPList))),
                                             INDEX(IPList,ROWS($A$6:A17)))</f>
        <v/>
      </c>
      <c r="B17"/>
      <c r="C17"/>
      <c r="D17" t="s">
        <v>242</v>
      </c>
      <c r="E17"/>
      <c r="F17"/>
      <c r="G17" s="1553" t="s">
        <v>3571</v>
      </c>
      <c r="H17" s="931"/>
      <c r="I17"/>
      <c r="J17" s="354" t="s">
        <v>5286</v>
      </c>
      <c r="K17" s="2725" t="str">
        <f ca="1">IF(ISERROR(INDEX(Assetlist,ROWS($A$6:A17))),
            IF(ISERROR(INDEX(VMList,ROWS($A$6:A17)-ROWS(Assetlist))),"",
                                   INDEX(VMList,ROWS($A$6:A17)-ROWS(Assetlist))),
                                                        INDEX(Assetlist,ROWS($A$6:A17)))</f>
        <v/>
      </c>
      <c r="L17"/>
      <c r="M17" s="3"/>
      <c r="N17" s="3"/>
      <c r="O17" s="3" t="s">
        <v>4395</v>
      </c>
      <c r="P17" s="3" t="s">
        <v>4396</v>
      </c>
      <c r="Q17" s="3"/>
      <c r="R17" s="3"/>
      <c r="S17"/>
      <c r="T17"/>
      <c r="U17" s="3"/>
      <c r="V17" s="3"/>
      <c r="W17" s="2646" t="str">
        <f ca="1">IF(ISERROR(INDEX(AssetDecomList,ROWS($A$6:A17))),
IF(ISERROR(INDEX(AssetDecomVIPs,ROWS($A$6:A17)-ROWS(AssetDecomList))),"",INDEX(AssetDecomVIPs,ROWS($A$6:A17)-ROWS(AssetDecomList))),
INDEX(AssetDecomList,ROWS($A$6:A17)))</f>
        <v/>
      </c>
      <c r="X17" s="3"/>
      <c r="Y17" s="2994" t="s">
        <v>1782</v>
      </c>
      <c r="Z17" s="2994" t="s">
        <v>3295</v>
      </c>
      <c r="AA17" s="2994">
        <v>2405</v>
      </c>
      <c r="AB17" s="2994" t="s">
        <v>3240</v>
      </c>
      <c r="AC17" s="2994" t="s">
        <v>3256</v>
      </c>
      <c r="AD17" s="2994" t="s">
        <v>3268</v>
      </c>
      <c r="AE17"/>
      <c r="AF17"/>
      <c r="AG17" s="2758"/>
      <c r="AH17" s="2758"/>
      <c r="AI17"/>
      <c r="AJ17"/>
      <c r="AK17"/>
      <c r="AL17"/>
      <c r="AM17" s="1656"/>
      <c r="AN17"/>
      <c r="AO17"/>
      <c r="AP17"/>
      <c r="AQ17"/>
      <c r="AR17"/>
      <c r="AS17"/>
      <c r="AT17" t="s">
        <v>1601</v>
      </c>
      <c r="AU17" t="s">
        <v>312</v>
      </c>
      <c r="AV17" s="1658" t="s">
        <v>4495</v>
      </c>
      <c r="AW17" s="931"/>
      <c r="AX17" s="931"/>
      <c r="AY17" s="726" t="s">
        <v>491</v>
      </c>
      <c r="AZ17" s="57" t="s">
        <v>496</v>
      </c>
      <c r="BA17" s="714" t="s">
        <v>509</v>
      </c>
      <c r="BB17" s="714" t="s">
        <v>525</v>
      </c>
      <c r="BC17" s="714" t="s">
        <v>2295</v>
      </c>
      <c r="BD17" s="18" t="s">
        <v>496</v>
      </c>
      <c r="BE17" s="60"/>
      <c r="BF17" s="60"/>
      <c r="BG17" s="60"/>
      <c r="BH17" s="77"/>
      <c r="BI17" s="727" t="s">
        <v>2273</v>
      </c>
      <c r="BJ17"/>
      <c r="BK17"/>
      <c r="BL17" s="2441" t="s">
        <v>764</v>
      </c>
      <c r="BM17" s="2439" t="s">
        <v>765</v>
      </c>
      <c r="BN17" s="2439" t="s">
        <v>59</v>
      </c>
      <c r="BO17" s="2440" t="s">
        <v>26</v>
      </c>
      <c r="BP17" s="2654"/>
      <c r="BQ17" s="18"/>
      <c r="BR17" s="18"/>
      <c r="BS17" s="18"/>
      <c r="BT17" s="18"/>
      <c r="BU17" s="2660"/>
      <c r="BV17" s="1884" t="s">
        <v>4228</v>
      </c>
      <c r="BW17" s="1847" t="s">
        <v>5112</v>
      </c>
      <c r="BX17" s="1666">
        <v>40</v>
      </c>
      <c r="BY17" s="3077" t="s">
        <v>1808</v>
      </c>
      <c r="BZ17" s="327" t="s">
        <v>1433</v>
      </c>
      <c r="CA17" s="429" t="s">
        <v>1803</v>
      </c>
      <c r="CB17" s="116" t="s">
        <v>980</v>
      </c>
      <c r="CC17" s="116" t="s">
        <v>994</v>
      </c>
      <c r="CD17" s="116" t="s">
        <v>1391</v>
      </c>
      <c r="CE17" s="320" t="s">
        <v>1404</v>
      </c>
      <c r="CF17" s="318" t="s">
        <v>1408</v>
      </c>
      <c r="CG17" s="332" t="s">
        <v>1439</v>
      </c>
      <c r="CK17" s="50" t="s">
        <v>1448</v>
      </c>
      <c r="CL17" s="2662"/>
      <c r="CM17" s="126"/>
      <c r="CO17" s="426" t="s">
        <v>1600</v>
      </c>
      <c r="CP17" s="424" t="b">
        <v>1</v>
      </c>
      <c r="CQ17" s="424" t="b">
        <v>1</v>
      </c>
      <c r="CR17" s="425">
        <v>443</v>
      </c>
      <c r="CS17" s="423" t="s">
        <v>1593</v>
      </c>
      <c r="CT17" s="425" t="s">
        <v>1472</v>
      </c>
      <c r="CU17" s="1128" t="s">
        <v>4380</v>
      </c>
      <c r="CV17" s="425" t="s">
        <v>1477</v>
      </c>
      <c r="CW17" s="431" t="s">
        <v>302</v>
      </c>
      <c r="DA17" s="2863" t="s">
        <v>1774</v>
      </c>
      <c r="DC17" s="562" t="s">
        <v>1860</v>
      </c>
      <c r="DD17" s="569" t="s">
        <v>1861</v>
      </c>
      <c r="DE17" s="580"/>
      <c r="DF17" s="580"/>
      <c r="DP17" s="4"/>
      <c r="DQ17" s="4"/>
      <c r="DR17" s="4"/>
      <c r="DS17" s="4"/>
      <c r="DT17" s="4"/>
      <c r="DU17" s="4"/>
      <c r="DV17" s="2675" t="s">
        <v>726</v>
      </c>
      <c r="DW17" s="3" t="s">
        <v>4316</v>
      </c>
      <c r="DZ17" s="986" t="s">
        <v>2832</v>
      </c>
      <c r="EA17" s="988" t="s">
        <v>2853</v>
      </c>
      <c r="EC17" s="1007" t="s">
        <v>2893</v>
      </c>
      <c r="ED17" s="1036" t="s">
        <v>2913</v>
      </c>
      <c r="EE17" s="2261"/>
      <c r="EG17" s="4" t="b">
        <v>0</v>
      </c>
      <c r="EH17" s="1594" t="b">
        <v>0</v>
      </c>
      <c r="EJ17" s="2921"/>
      <c r="EK17" s="3240" t="s">
        <v>5491</v>
      </c>
      <c r="EL17" s="3244"/>
      <c r="EM17" s="2921"/>
      <c r="EN17" s="2921"/>
      <c r="EO17" s="2921"/>
      <c r="EP17" s="2921"/>
      <c r="EQ17" s="2921"/>
      <c r="ER17" s="2921"/>
      <c r="ES17" s="2921"/>
      <c r="ET17" s="2921"/>
      <c r="EU17" s="2921"/>
      <c r="FD17" s="1928" t="s">
        <v>3762</v>
      </c>
      <c r="FE17" s="126"/>
      <c r="FW17" s="126"/>
    </row>
    <row r="18" spans="1:179" s="10" customFormat="1" ht="198" customHeight="1" thickBot="1">
      <c r="A18" s="1758" t="str">
        <f ca="1">IF(ISERROR(INDEX(IPList,ROWS($A$6:A18))),
         IF(ISERROR(INDEX(VIP_InstanceList,ROWS($A$6:A18)-ROWS(IPList))),
                IF(ISERROR(INDEX(GTMLIST,ROWS($A$6:A18)-(ROWS(IPList)+(ROWS(VIP_InstanceList))))),"",
                      INDEX(GTMLIST,ROWS($A$6:A18)-(ROWS(IPList)+(ROWS(VIP_InstanceList))))),
                                  INDEX(VIP_InstanceList,ROWS($A$6:A18)-ROWS(IPList))),
                                             INDEX(IPList,ROWS($A$6:A18)))</f>
        <v/>
      </c>
      <c r="B18"/>
      <c r="C18"/>
      <c r="D18"/>
      <c r="E18"/>
      <c r="F18"/>
      <c r="G18" s="1553" t="s">
        <v>3573</v>
      </c>
      <c r="H18" s="931"/>
      <c r="I18"/>
      <c r="J18" s="354" t="s">
        <v>5287</v>
      </c>
      <c r="K18" s="2725" t="str">
        <f ca="1">IF(ISERROR(INDEX(Assetlist,ROWS($A$6:A18))),
            IF(ISERROR(INDEX(VMList,ROWS($A$6:A18)-ROWS(Assetlist))),"",
                                   INDEX(VMList,ROWS($A$6:A18)-ROWS(Assetlist))),
                                                        INDEX(Assetlist,ROWS($A$6:A18)))</f>
        <v/>
      </c>
      <c r="L18"/>
      <c r="M18" s="3"/>
      <c r="N18" s="3"/>
      <c r="O18" s="3" t="s">
        <v>4397</v>
      </c>
      <c r="P18" s="3" t="s">
        <v>4398</v>
      </c>
      <c r="Q18" s="3"/>
      <c r="R18" s="3"/>
      <c r="S18"/>
      <c r="T18"/>
      <c r="U18" s="3"/>
      <c r="V18" s="3"/>
      <c r="W18" s="2646" t="str">
        <f ca="1">IF(ISERROR(INDEX(AssetDecomList,ROWS($A$6:A18))),
IF(ISERROR(INDEX(AssetDecomVIPs,ROWS($A$6:A18)-ROWS(AssetDecomList))),"",INDEX(AssetDecomVIPs,ROWS($A$6:A18)-ROWS(AssetDecomList))),
INDEX(AssetDecomList,ROWS($A$6:A18)))</f>
        <v/>
      </c>
      <c r="X18" s="3"/>
      <c r="Y18" s="2994" t="s">
        <v>1782</v>
      </c>
      <c r="Z18" s="2994" t="s">
        <v>4665</v>
      </c>
      <c r="AA18" s="2994">
        <v>2406</v>
      </c>
      <c r="AB18" s="2994" t="s">
        <v>3241</v>
      </c>
      <c r="AC18" s="2994" t="s">
        <v>3257</v>
      </c>
      <c r="AD18" s="2994" t="s">
        <v>3269</v>
      </c>
      <c r="AE18"/>
      <c r="AF18"/>
      <c r="AG18" s="2758"/>
      <c r="AH18" s="2758"/>
      <c r="AI18"/>
      <c r="AJ18"/>
      <c r="AK18"/>
      <c r="AL18"/>
      <c r="AM18" s="1656"/>
      <c r="AN18"/>
      <c r="AO18"/>
      <c r="AP18"/>
      <c r="AQ18"/>
      <c r="AR18"/>
      <c r="AS18"/>
      <c r="AT18" t="s">
        <v>1602</v>
      </c>
      <c r="AU18" t="s">
        <v>312</v>
      </c>
      <c r="AV18" s="1658" t="s">
        <v>4493</v>
      </c>
      <c r="AW18" s="931"/>
      <c r="AX18" s="931"/>
      <c r="AY18" s="726" t="s">
        <v>492</v>
      </c>
      <c r="AZ18" s="57" t="s">
        <v>497</v>
      </c>
      <c r="BA18" s="52" t="s">
        <v>510</v>
      </c>
      <c r="BB18" s="714" t="s">
        <v>526</v>
      </c>
      <c r="BC18" s="714" t="s">
        <v>2296</v>
      </c>
      <c r="BD18" s="18" t="s">
        <v>636</v>
      </c>
      <c r="BE18" s="60"/>
      <c r="BF18" s="60"/>
      <c r="BG18" s="60"/>
      <c r="BH18" s="77"/>
      <c r="BI18" s="730" t="s">
        <v>2273</v>
      </c>
      <c r="BJ18"/>
      <c r="BK18"/>
      <c r="BL18" s="2441" t="s">
        <v>739</v>
      </c>
      <c r="BM18" s="2439" t="s">
        <v>727</v>
      </c>
      <c r="BN18" s="2439" t="s">
        <v>59</v>
      </c>
      <c r="BO18" s="2440" t="s">
        <v>2489</v>
      </c>
      <c r="BP18" s="2654"/>
      <c r="BQ18" s="18"/>
      <c r="BR18" s="18"/>
      <c r="BS18" s="18"/>
      <c r="BT18" s="18"/>
      <c r="BU18" s="2660"/>
      <c r="BV18" s="1884" t="s">
        <v>5109</v>
      </c>
      <c r="BW18" s="1847" t="s">
        <v>5132</v>
      </c>
      <c r="BX18" s="1666">
        <v>50</v>
      </c>
      <c r="BY18" s="3078" t="s">
        <v>1411</v>
      </c>
      <c r="BZ18" s="328" t="s">
        <v>1434</v>
      </c>
      <c r="CA18" s="322" t="s">
        <v>1413</v>
      </c>
      <c r="CB18" s="323" t="s">
        <v>1414</v>
      </c>
      <c r="CC18" s="323" t="s">
        <v>1416</v>
      </c>
      <c r="CD18" s="323" t="s">
        <v>1418</v>
      </c>
      <c r="CE18" s="320" t="s">
        <v>1405</v>
      </c>
      <c r="CF18" s="320" t="s">
        <v>1409</v>
      </c>
      <c r="CG18" s="332" t="s">
        <v>1440</v>
      </c>
      <c r="CK18" s="772" t="s">
        <v>3535</v>
      </c>
      <c r="CL18" s="2663"/>
      <c r="CM18" s="126"/>
      <c r="CO18" s="426" t="s">
        <v>1601</v>
      </c>
      <c r="CP18" s="424" t="b">
        <v>0</v>
      </c>
      <c r="CQ18" s="424" t="b">
        <v>0</v>
      </c>
      <c r="CR18" s="425">
        <v>81</v>
      </c>
      <c r="CS18" s="425">
        <v>81</v>
      </c>
      <c r="CT18" s="425" t="s">
        <v>1472</v>
      </c>
      <c r="CU18" s="423" t="s">
        <v>1597</v>
      </c>
      <c r="CV18" s="425" t="s">
        <v>1477</v>
      </c>
      <c r="CW18" s="431" t="s">
        <v>2358</v>
      </c>
      <c r="DA18" s="1741" t="s">
        <v>1775</v>
      </c>
      <c r="DC18" s="562" t="s">
        <v>1862</v>
      </c>
      <c r="DD18" s="569" t="s">
        <v>1863</v>
      </c>
      <c r="DE18" s="580"/>
      <c r="DF18" s="580"/>
      <c r="DP18" s="4"/>
      <c r="DQ18" s="4"/>
      <c r="DR18" s="4"/>
      <c r="DS18" s="4"/>
      <c r="DT18" s="4"/>
      <c r="DU18" s="4"/>
      <c r="DV18" s="2428" t="s">
        <v>726</v>
      </c>
      <c r="DW18" s="2918" t="s">
        <v>4316</v>
      </c>
      <c r="DZ18" s="966" t="s">
        <v>2833</v>
      </c>
      <c r="EA18" s="975" t="s">
        <v>2854</v>
      </c>
      <c r="EC18" s="1008" t="s">
        <v>2894</v>
      </c>
      <c r="ED18" s="1033" t="s">
        <v>2914</v>
      </c>
      <c r="EE18" s="2261"/>
      <c r="EH18" s="1594" t="b">
        <v>0</v>
      </c>
      <c r="EJ18" s="2921"/>
      <c r="EK18" s="3243" t="s">
        <v>4649</v>
      </c>
      <c r="EL18" s="3244"/>
      <c r="EM18" s="2921"/>
      <c r="EN18" s="2921"/>
      <c r="EO18" s="2921"/>
      <c r="EP18" s="2921"/>
      <c r="EQ18" s="2921"/>
      <c r="ER18" s="2921"/>
      <c r="ES18" s="2921"/>
      <c r="ET18" s="2921"/>
      <c r="EU18" s="2921"/>
      <c r="FD18" s="2616" t="s">
        <v>4165</v>
      </c>
      <c r="FE18" s="126"/>
      <c r="FW18" s="126"/>
    </row>
    <row r="19" spans="1:179" s="10" customFormat="1" ht="51.75" thickBot="1">
      <c r="A19" s="1758" t="str">
        <f ca="1">IF(ISERROR(INDEX(IPList,ROWS($A$6:A19))),
         IF(ISERROR(INDEX(VIP_InstanceList,ROWS($A$6:A19)-ROWS(IPList))),
                IF(ISERROR(INDEX(GTMLIST,ROWS($A$6:A19)-(ROWS(IPList)+(ROWS(VIP_InstanceList))))),"",
                      INDEX(GTMLIST,ROWS($A$6:A19)-(ROWS(IPList)+(ROWS(VIP_InstanceList))))),
                                  INDEX(VIP_InstanceList,ROWS($A$6:A19)-ROWS(IPList))),
                                             INDEX(IPList,ROWS($A$6:A19)))</f>
        <v/>
      </c>
      <c r="B19"/>
      <c r="C19"/>
      <c r="D19"/>
      <c r="E19"/>
      <c r="F19"/>
      <c r="G19" s="1553" t="s">
        <v>3574</v>
      </c>
      <c r="H19" s="931"/>
      <c r="I19"/>
      <c r="J19" s="397" t="s">
        <v>1554</v>
      </c>
      <c r="K19" s="2725" t="str">
        <f ca="1">IF(ISERROR(INDEX(Assetlist,ROWS($A$6:A19))),
            IF(ISERROR(INDEX(VMList,ROWS($A$6:A19)-ROWS(Assetlist))),"",
                                   INDEX(VMList,ROWS($A$6:A19)-ROWS(Assetlist))),
                                                        INDEX(Assetlist,ROWS($A$6:A19)))</f>
        <v/>
      </c>
      <c r="L19"/>
      <c r="M19" s="3"/>
      <c r="N19" s="3"/>
      <c r="O19" s="3" t="s">
        <v>4399</v>
      </c>
      <c r="P19" s="3" t="s">
        <v>4400</v>
      </c>
      <c r="Q19" s="3"/>
      <c r="R19" s="3"/>
      <c r="S19"/>
      <c r="T19"/>
      <c r="U19" s="3"/>
      <c r="V19" s="3"/>
      <c r="W19" s="2646" t="str">
        <f ca="1">IF(ISERROR(INDEX(AssetDecomList,ROWS($A$6:A19))),
IF(ISERROR(INDEX(AssetDecomVIPs,ROWS($A$6:A19)-ROWS(AssetDecomList))),"",INDEX(AssetDecomVIPs,ROWS($A$6:A19)-ROWS(AssetDecomList))),
INDEX(AssetDecomList,ROWS($A$6:A19)))</f>
        <v/>
      </c>
      <c r="X19" s="3"/>
      <c r="Y19" s="2994" t="s">
        <v>1782</v>
      </c>
      <c r="Z19" s="2994" t="s">
        <v>4666</v>
      </c>
      <c r="AA19" s="2994">
        <v>2407</v>
      </c>
      <c r="AB19" s="2994" t="s">
        <v>3242</v>
      </c>
      <c r="AC19" s="2994" t="s">
        <v>3258</v>
      </c>
      <c r="AD19" s="2994" t="s">
        <v>3270</v>
      </c>
      <c r="AE19"/>
      <c r="AF19"/>
      <c r="AG19" s="126"/>
      <c r="AH19" s="684"/>
      <c r="AI19"/>
      <c r="AJ19"/>
      <c r="AK19"/>
      <c r="AL19"/>
      <c r="AM19" s="1656"/>
      <c r="AN19"/>
      <c r="AO19"/>
      <c r="AP19"/>
      <c r="AQ19"/>
      <c r="AR19"/>
      <c r="AS19"/>
      <c r="AT19" t="s">
        <v>1618</v>
      </c>
      <c r="AU19" t="s">
        <v>312</v>
      </c>
      <c r="AV19" s="1658" t="s">
        <v>4498</v>
      </c>
      <c r="AW19" s="931"/>
      <c r="AX19" s="931"/>
      <c r="AY19" s="726" t="s">
        <v>493</v>
      </c>
      <c r="AZ19" s="57" t="s">
        <v>498</v>
      </c>
      <c r="BA19" s="52" t="s">
        <v>511</v>
      </c>
      <c r="BB19" s="714" t="s">
        <v>527</v>
      </c>
      <c r="BC19" s="59" t="s">
        <v>2296</v>
      </c>
      <c r="BD19" s="18" t="s">
        <v>637</v>
      </c>
      <c r="BE19" s="60"/>
      <c r="BF19" s="60"/>
      <c r="BG19" s="60"/>
      <c r="BH19" s="77"/>
      <c r="BI19" s="715" t="s">
        <v>2273</v>
      </c>
      <c r="BJ19"/>
      <c r="BK19"/>
      <c r="BL19" s="2441" t="s">
        <v>740</v>
      </c>
      <c r="BM19" s="2439" t="s">
        <v>728</v>
      </c>
      <c r="BN19" s="2439" t="s">
        <v>59</v>
      </c>
      <c r="BO19" s="2440" t="s">
        <v>2489</v>
      </c>
      <c r="BP19" s="2654"/>
      <c r="BQ19" s="18"/>
      <c r="BR19" s="18"/>
      <c r="BS19" s="18"/>
      <c r="BT19" s="18"/>
      <c r="BU19" s="2660"/>
      <c r="BV19" s="1884" t="s">
        <v>5106</v>
      </c>
      <c r="BW19" s="1847" t="s">
        <v>5118</v>
      </c>
      <c r="BX19" s="1666">
        <v>35</v>
      </c>
      <c r="BY19" s="3079" t="s">
        <v>1412</v>
      </c>
      <c r="BZ19" s="333" t="s">
        <v>1435</v>
      </c>
      <c r="CA19" s="334" t="s">
        <v>1413</v>
      </c>
      <c r="CB19" s="324" t="s">
        <v>1415</v>
      </c>
      <c r="CC19" s="324" t="s">
        <v>1417</v>
      </c>
      <c r="CD19" s="324" t="s">
        <v>1419</v>
      </c>
      <c r="CE19" s="321" t="s">
        <v>1406</v>
      </c>
      <c r="CF19" s="319" t="s">
        <v>1409</v>
      </c>
      <c r="CG19" s="335" t="s">
        <v>1440</v>
      </c>
      <c r="CK19" s="772" t="s">
        <v>3536</v>
      </c>
      <c r="CM19" s="126"/>
      <c r="CO19" s="426" t="s">
        <v>1602</v>
      </c>
      <c r="CP19" s="424" t="b">
        <v>0</v>
      </c>
      <c r="CQ19" s="424" t="b">
        <v>0</v>
      </c>
      <c r="CR19" s="425"/>
      <c r="CS19" s="423"/>
      <c r="CT19" s="425" t="s">
        <v>1472</v>
      </c>
      <c r="CU19" s="425"/>
      <c r="CV19" s="425" t="s">
        <v>1477</v>
      </c>
      <c r="CW19" s="417" t="s">
        <v>1603</v>
      </c>
      <c r="DA19" s="1741" t="s">
        <v>1776</v>
      </c>
      <c r="DC19" s="579"/>
      <c r="DD19" s="569" t="s">
        <v>1864</v>
      </c>
      <c r="DE19" s="580"/>
      <c r="DF19" s="580"/>
      <c r="DP19" s="4"/>
      <c r="DQ19" s="4"/>
      <c r="DR19" s="4"/>
      <c r="DS19" s="4"/>
      <c r="DT19" s="4"/>
      <c r="DU19" s="4"/>
      <c r="DV19" s="2447" t="s">
        <v>770</v>
      </c>
      <c r="DW19" s="2918" t="s">
        <v>4317</v>
      </c>
      <c r="DZ19" s="971" t="s">
        <v>2834</v>
      </c>
      <c r="EA19" s="987" t="s">
        <v>2855</v>
      </c>
      <c r="EC19" s="1004" t="s">
        <v>2895</v>
      </c>
      <c r="ED19" s="1034" t="s">
        <v>2915</v>
      </c>
      <c r="EE19" s="2262"/>
      <c r="EH19" s="1594" t="b">
        <v>0</v>
      </c>
      <c r="EJ19" s="2921"/>
      <c r="EK19" s="3245" t="s">
        <v>5418</v>
      </c>
      <c r="EL19" s="3244"/>
      <c r="EM19" s="2921"/>
      <c r="EN19" s="2921"/>
      <c r="EO19" s="2921"/>
      <c r="EP19" s="2921"/>
      <c r="EQ19" s="2921"/>
      <c r="ER19" s="2921"/>
      <c r="ES19" s="2921"/>
      <c r="ET19" s="2921"/>
      <c r="EU19" s="2921"/>
      <c r="FD19" s="1928" t="s">
        <v>3765</v>
      </c>
      <c r="FE19" s="126"/>
      <c r="FW19" s="126"/>
    </row>
    <row r="20" spans="1:179" s="10" customFormat="1" ht="102.75" thickBot="1">
      <c r="A20" s="1758" t="str">
        <f ca="1">IF(ISERROR(INDEX(IPList,ROWS($A$6:A20))),
         IF(ISERROR(INDEX(VIP_InstanceList,ROWS($A$6:A20)-ROWS(IPList))),
                IF(ISERROR(INDEX(GTMLIST,ROWS($A$6:A20)-(ROWS(IPList)+(ROWS(VIP_InstanceList))))),"",
                      INDEX(GTMLIST,ROWS($A$6:A20)-(ROWS(IPList)+(ROWS(VIP_InstanceList))))),
                                  INDEX(VIP_InstanceList,ROWS($A$6:A20)-ROWS(IPList))),
                                             INDEX(IPList,ROWS($A$6:A20)))</f>
        <v/>
      </c>
      <c r="B20"/>
      <c r="C20"/>
      <c r="D20"/>
      <c r="E20"/>
      <c r="F20"/>
      <c r="G20" s="1884" t="s">
        <v>3871</v>
      </c>
      <c r="H20" s="931"/>
      <c r="I20"/>
      <c r="J20" s="354" t="s">
        <v>5355</v>
      </c>
      <c r="K20" s="2725" t="str">
        <f ca="1">IF(ISERROR(INDEX(Assetlist,ROWS($A$6:A20))),
            IF(ISERROR(INDEX(VMList,ROWS($A$6:A20)-ROWS(Assetlist))),"",
                                   INDEX(VMList,ROWS($A$6:A20)-ROWS(Assetlist))),
                                                        INDEX(Assetlist,ROWS($A$6:A20)))</f>
        <v/>
      </c>
      <c r="L20"/>
      <c r="M20" s="3"/>
      <c r="N20" s="3"/>
      <c r="O20" s="3" t="s">
        <v>4401</v>
      </c>
      <c r="P20" s="3097" t="s">
        <v>5127</v>
      </c>
      <c r="Q20" s="3"/>
      <c r="R20" s="3"/>
      <c r="S20"/>
      <c r="T20"/>
      <c r="U20" s="3"/>
      <c r="V20" s="3"/>
      <c r="W20" s="2646" t="str">
        <f ca="1">IF(ISERROR(INDEX(AssetDecomList,ROWS($A$6:A20))),
IF(ISERROR(INDEX(AssetDecomVIPs,ROWS($A$6:A20)-ROWS(AssetDecomList))),"",INDEX(AssetDecomVIPs,ROWS($A$6:A20)-ROWS(AssetDecomList))),
INDEX(AssetDecomList,ROWS($A$6:A20)))</f>
        <v/>
      </c>
      <c r="X20" s="3"/>
      <c r="Y20" s="2994" t="s">
        <v>1782</v>
      </c>
      <c r="Z20" s="2994" t="s">
        <v>4667</v>
      </c>
      <c r="AA20" s="2994">
        <v>2408</v>
      </c>
      <c r="AB20" s="2994" t="s">
        <v>3243</v>
      </c>
      <c r="AC20" s="2994" t="s">
        <v>3259</v>
      </c>
      <c r="AD20" s="2994" t="s">
        <v>3271</v>
      </c>
      <c r="AE20"/>
      <c r="AF20"/>
      <c r="AG20" s="126"/>
      <c r="AH20" s="684"/>
      <c r="AI20"/>
      <c r="AJ20"/>
      <c r="AK20"/>
      <c r="AL20"/>
      <c r="AM20" s="1656"/>
      <c r="AN20"/>
      <c r="AO20" s="33"/>
      <c r="AP20"/>
      <c r="AQ20"/>
      <c r="AR20"/>
      <c r="AS20"/>
      <c r="AT20" t="s">
        <v>1620</v>
      </c>
      <c r="AU20" t="s">
        <v>312</v>
      </c>
      <c r="AV20" s="1655" t="s">
        <v>4500</v>
      </c>
      <c r="AW20" s="931"/>
      <c r="AX20" s="931"/>
      <c r="AY20" s="726" t="s">
        <v>494</v>
      </c>
      <c r="AZ20" s="57" t="s">
        <v>499</v>
      </c>
      <c r="BA20" s="52" t="s">
        <v>512</v>
      </c>
      <c r="BB20" s="714" t="s">
        <v>528</v>
      </c>
      <c r="BC20" s="59" t="s">
        <v>2297</v>
      </c>
      <c r="BD20" s="61" t="s">
        <v>638</v>
      </c>
      <c r="BE20" s="62"/>
      <c r="BF20" s="62"/>
      <c r="BG20" s="62"/>
      <c r="BH20" s="62"/>
      <c r="BI20" s="715" t="s">
        <v>2273</v>
      </c>
      <c r="BJ20"/>
      <c r="BK20"/>
      <c r="BL20" s="2441" t="s">
        <v>741</v>
      </c>
      <c r="BM20" s="2439" t="s">
        <v>729</v>
      </c>
      <c r="BN20" s="2439" t="s">
        <v>59</v>
      </c>
      <c r="BO20" s="2440" t="s">
        <v>2489</v>
      </c>
      <c r="BP20" s="2654"/>
      <c r="BQ20" s="18"/>
      <c r="BR20" s="18"/>
      <c r="BS20" s="18"/>
      <c r="BT20" s="18"/>
      <c r="BU20" s="2660"/>
      <c r="BV20" s="1884" t="s">
        <v>5107</v>
      </c>
      <c r="BW20" s="1847" t="s">
        <v>5128</v>
      </c>
      <c r="BX20" s="1666">
        <v>60</v>
      </c>
      <c r="CB20" s="110"/>
      <c r="CC20" s="126"/>
      <c r="CD20" s="126"/>
      <c r="CE20" s="126"/>
      <c r="CG20" s="126"/>
      <c r="CK20" s="772" t="s">
        <v>3537</v>
      </c>
      <c r="CM20" s="126"/>
      <c r="CO20" s="3002" t="s">
        <v>5032</v>
      </c>
      <c r="CP20" s="424" t="b">
        <v>1</v>
      </c>
      <c r="CQ20" s="424" t="b">
        <v>1</v>
      </c>
      <c r="CR20" s="425">
        <v>443</v>
      </c>
      <c r="CS20" s="423">
        <v>443</v>
      </c>
      <c r="CT20" s="425" t="s">
        <v>1472</v>
      </c>
      <c r="CU20" s="425" t="s">
        <v>4380</v>
      </c>
      <c r="CV20" s="425" t="s">
        <v>1477</v>
      </c>
      <c r="CW20" s="3037" t="s">
        <v>5065</v>
      </c>
      <c r="DA20" s="1742" t="s">
        <v>2607</v>
      </c>
      <c r="DC20" s="579"/>
      <c r="DD20" s="569" t="s">
        <v>1865</v>
      </c>
      <c r="DE20" s="580"/>
      <c r="DF20" s="580"/>
      <c r="DP20" s="4"/>
      <c r="DQ20" s="4"/>
      <c r="DR20" s="4"/>
      <c r="DS20" s="4"/>
      <c r="DT20" s="4"/>
      <c r="DU20" s="4"/>
      <c r="DZ20" s="1095" t="s">
        <v>2835</v>
      </c>
      <c r="EA20" s="984" t="s">
        <v>2856</v>
      </c>
      <c r="EC20" s="1004" t="s">
        <v>2896</v>
      </c>
      <c r="ED20" s="1035" t="s">
        <v>2916</v>
      </c>
      <c r="EH20" s="1594" t="b">
        <v>0</v>
      </c>
      <c r="EJ20" s="2921"/>
      <c r="EK20" s="3245" t="s">
        <v>5552</v>
      </c>
      <c r="EL20" s="3244"/>
      <c r="EM20" s="2921"/>
      <c r="EN20" s="2921"/>
      <c r="EO20" s="2921"/>
      <c r="EP20" s="2921"/>
      <c r="EQ20" s="2921"/>
      <c r="ER20" s="2921"/>
      <c r="ES20" s="2921"/>
      <c r="ET20" s="2921"/>
      <c r="EU20" s="2921"/>
      <c r="FD20" s="1928" t="s">
        <v>3766</v>
      </c>
      <c r="FE20" s="126"/>
      <c r="FW20" s="126"/>
    </row>
    <row r="21" spans="1:179" s="10" customFormat="1" ht="115.5" thickBot="1">
      <c r="A21" s="1758" t="str">
        <f ca="1">IF(ISERROR(INDEX(IPList,ROWS($A$6:A21))),
         IF(ISERROR(INDEX(VIP_InstanceList,ROWS($A$6:A21)-ROWS(IPList))),
                IF(ISERROR(INDEX(GTMLIST,ROWS($A$6:A21)-(ROWS(IPList)+(ROWS(VIP_InstanceList))))),"",
                      INDEX(GTMLIST,ROWS($A$6:A21)-(ROWS(IPList)+(ROWS(VIP_InstanceList))))),
                                  INDEX(VIP_InstanceList,ROWS($A$6:A21)-ROWS(IPList))),
                                             INDEX(IPList,ROWS($A$6:A21)))</f>
        <v/>
      </c>
      <c r="B21"/>
      <c r="C21"/>
      <c r="D21"/>
      <c r="E21"/>
      <c r="F21"/>
      <c r="G21" s="1884" t="s">
        <v>3604</v>
      </c>
      <c r="H21" s="931"/>
      <c r="I21"/>
      <c r="J21" s="354" t="s">
        <v>5344</v>
      </c>
      <c r="K21" s="2725" t="str">
        <f ca="1">IF(ISERROR(INDEX(Assetlist,ROWS($A$6:A21))),
            IF(ISERROR(INDEX(VMList,ROWS($A$6:A21)-ROWS(Assetlist))),"",
                                   INDEX(VMList,ROWS($A$6:A21)-ROWS(Assetlist))),
                                                        INDEX(Assetlist,ROWS($A$6:A21)))</f>
        <v/>
      </c>
      <c r="L21"/>
      <c r="M21" s="3"/>
      <c r="N21" s="3"/>
      <c r="O21" s="3" t="s">
        <v>4403</v>
      </c>
      <c r="P21" s="3" t="s">
        <v>4402</v>
      </c>
      <c r="Q21" s="3"/>
      <c r="R21" s="3"/>
      <c r="S21"/>
      <c r="T21"/>
      <c r="U21" s="3"/>
      <c r="V21" s="3"/>
      <c r="W21" s="2646" t="str">
        <f ca="1">IF(ISERROR(INDEX(AssetDecomList,ROWS($A$6:A21))),
IF(ISERROR(INDEX(AssetDecomVIPs,ROWS($A$6:A21)-ROWS(AssetDecomList))),"",INDEX(AssetDecomVIPs,ROWS($A$6:A21)-ROWS(AssetDecomList))),
INDEX(AssetDecomList,ROWS($A$6:A21)))</f>
        <v/>
      </c>
      <c r="X21" s="3"/>
      <c r="Y21" s="2994" t="s">
        <v>1782</v>
      </c>
      <c r="Z21" s="2994" t="s">
        <v>3244</v>
      </c>
      <c r="AA21" s="2994">
        <v>2409</v>
      </c>
      <c r="AB21" s="2994" t="s">
        <v>3245</v>
      </c>
      <c r="AC21" s="2994" t="s">
        <v>3260</v>
      </c>
      <c r="AD21" s="2994" t="s">
        <v>3272</v>
      </c>
      <c r="AE21"/>
      <c r="AF21"/>
      <c r="AG21" s="126"/>
      <c r="AH21" s="684"/>
      <c r="AI21"/>
      <c r="AJ21"/>
      <c r="AK21"/>
      <c r="AL21"/>
      <c r="AM21" s="1656"/>
      <c r="AN21"/>
      <c r="AO21"/>
      <c r="AP21"/>
      <c r="AQ21"/>
      <c r="AR21"/>
      <c r="AS21"/>
      <c r="AT21" t="s">
        <v>1622</v>
      </c>
      <c r="AU21" t="s">
        <v>312</v>
      </c>
      <c r="AV21" s="1655" t="s">
        <v>5337</v>
      </c>
      <c r="AW21" s="931"/>
      <c r="AX21" s="931"/>
      <c r="AY21" s="717" t="s">
        <v>1560</v>
      </c>
      <c r="AZ21" s="57" t="s">
        <v>1561</v>
      </c>
      <c r="BA21" s="52" t="s">
        <v>1563</v>
      </c>
      <c r="BB21" s="714" t="s">
        <v>1565</v>
      </c>
      <c r="BC21" s="59" t="s">
        <v>2298</v>
      </c>
      <c r="BD21" s="61" t="s">
        <v>1561</v>
      </c>
      <c r="BE21" s="62"/>
      <c r="BF21" s="62"/>
      <c r="BG21" s="62"/>
      <c r="BH21" s="62"/>
      <c r="BI21" s="715" t="s">
        <v>2273</v>
      </c>
      <c r="BJ21"/>
      <c r="BK21"/>
      <c r="BL21" s="2441" t="s">
        <v>849</v>
      </c>
      <c r="BM21" s="2439" t="s">
        <v>855</v>
      </c>
      <c r="BN21" s="2439" t="s">
        <v>59</v>
      </c>
      <c r="BO21" s="2440" t="s">
        <v>723</v>
      </c>
      <c r="BP21" s="2654"/>
      <c r="BQ21" s="18"/>
      <c r="BR21" s="18"/>
      <c r="BS21" s="18"/>
      <c r="BT21" s="18"/>
      <c r="BU21" s="2660"/>
      <c r="BV21" s="1884" t="s">
        <v>4231</v>
      </c>
      <c r="BW21" s="1847" t="s">
        <v>5129</v>
      </c>
      <c r="BX21" s="1666">
        <v>65</v>
      </c>
      <c r="CB21" s="110"/>
      <c r="CC21" s="126"/>
      <c r="CD21" s="126"/>
      <c r="CE21" s="126"/>
      <c r="CG21" s="126"/>
      <c r="CK21" s="772" t="s">
        <v>3538</v>
      </c>
      <c r="CM21" s="126"/>
      <c r="CO21" s="426" t="s">
        <v>1618</v>
      </c>
      <c r="CP21" s="424" t="b">
        <v>1</v>
      </c>
      <c r="CQ21" s="424" t="b">
        <v>1</v>
      </c>
      <c r="CR21" s="1128">
        <v>443</v>
      </c>
      <c r="CS21" s="425">
        <v>443</v>
      </c>
      <c r="CT21" s="425" t="s">
        <v>1472</v>
      </c>
      <c r="CU21" s="1128" t="s">
        <v>4380</v>
      </c>
      <c r="CV21" s="425" t="s">
        <v>1477</v>
      </c>
      <c r="CW21" s="420" t="s">
        <v>1619</v>
      </c>
      <c r="DC21" s="579"/>
      <c r="DD21" s="569" t="s">
        <v>721</v>
      </c>
      <c r="DE21" s="580"/>
      <c r="DF21" s="580"/>
      <c r="DP21" s="4"/>
      <c r="DQ21" s="4"/>
      <c r="DR21" s="4"/>
      <c r="DS21" s="4"/>
      <c r="DT21" s="4"/>
      <c r="DU21" s="4"/>
      <c r="DZ21" s="989" t="s">
        <v>2836</v>
      </c>
      <c r="EA21" s="988" t="s">
        <v>2857</v>
      </c>
      <c r="EC21" s="1005" t="s">
        <v>2897</v>
      </c>
      <c r="ED21" s="1037" t="s">
        <v>2917</v>
      </c>
      <c r="EH21" s="1594" t="b">
        <v>0</v>
      </c>
      <c r="EJ21" s="2921"/>
      <c r="EK21" s="3245" t="s">
        <v>5553</v>
      </c>
      <c r="EM21" s="2921"/>
      <c r="EN21" s="2921"/>
      <c r="EO21" s="2921"/>
      <c r="EP21" s="2921"/>
      <c r="EQ21" s="2921"/>
      <c r="ER21" s="2921"/>
      <c r="ES21" s="2921"/>
      <c r="ET21" s="2921"/>
      <c r="EU21" s="2921"/>
      <c r="FD21" s="1928" t="s">
        <v>4166</v>
      </c>
      <c r="FE21" s="126"/>
    </row>
    <row r="22" spans="1:179" s="10" customFormat="1" ht="76.5">
      <c r="A22" s="1758" t="str">
        <f ca="1">IF(ISERROR(INDEX(IPList,ROWS($A$6:A22))),
         IF(ISERROR(INDEX(VIP_InstanceList,ROWS($A$6:A22)-ROWS(IPList))),
                IF(ISERROR(INDEX(GTMLIST,ROWS($A$6:A22)-(ROWS(IPList)+(ROWS(VIP_InstanceList))))),"",
                      INDEX(GTMLIST,ROWS($A$6:A22)-(ROWS(IPList)+(ROWS(VIP_InstanceList))))),
                                  INDEX(VIP_InstanceList,ROWS($A$6:A22)-ROWS(IPList))),
                                             INDEX(IPList,ROWS($A$6:A22)))</f>
        <v/>
      </c>
      <c r="B22"/>
      <c r="C22"/>
      <c r="D22"/>
      <c r="E22"/>
      <c r="F22"/>
      <c r="G22" s="1884" t="s">
        <v>3605</v>
      </c>
      <c r="H22"/>
      <c r="I22"/>
      <c r="J22" s="111" t="s">
        <v>248</v>
      </c>
      <c r="K22" s="2725" t="str">
        <f ca="1">IF(ISERROR(INDEX(Assetlist,ROWS($A$6:A22))),
            IF(ISERROR(INDEX(VMList,ROWS($A$6:A22)-ROWS(Assetlist))),"",
                                   INDEX(VMList,ROWS($A$6:A22)-ROWS(Assetlist))),
                                                        INDEX(Assetlist,ROWS($A$6:A22)))</f>
        <v/>
      </c>
      <c r="L22"/>
      <c r="M22" s="3"/>
      <c r="N22" s="3"/>
      <c r="O22" s="3" t="s">
        <v>4405</v>
      </c>
      <c r="P22" s="3" t="s">
        <v>4404</v>
      </c>
      <c r="Q22" s="3"/>
      <c r="R22" s="3"/>
      <c r="S22"/>
      <c r="T22"/>
      <c r="U22" s="3"/>
      <c r="V22" s="3"/>
      <c r="W22" s="2646" t="str">
        <f ca="1">IF(ISERROR(INDEX(AssetDecomList,ROWS($A$6:A22))),
IF(ISERROR(INDEX(AssetDecomVIPs,ROWS($A$6:A22)-ROWS(AssetDecomList))),"",INDEX(AssetDecomVIPs,ROWS($A$6:A22)-ROWS(AssetDecomList))),
INDEX(AssetDecomList,ROWS($A$6:A22)))</f>
        <v/>
      </c>
      <c r="X22" s="3"/>
      <c r="Y22" s="2994" t="s">
        <v>1782</v>
      </c>
      <c r="Z22" s="2994" t="s">
        <v>3648</v>
      </c>
      <c r="AA22" s="2994">
        <v>2411</v>
      </c>
      <c r="AB22" s="2994" t="s">
        <v>3647</v>
      </c>
      <c r="AC22" s="2994" t="s">
        <v>3262</v>
      </c>
      <c r="AD22" s="2994" t="s">
        <v>3274</v>
      </c>
      <c r="AE22"/>
      <c r="AF22"/>
      <c r="AG22" s="126"/>
      <c r="AH22" s="684"/>
      <c r="AI22"/>
      <c r="AJ22"/>
      <c r="AK22"/>
      <c r="AL22"/>
      <c r="AM22" s="1656"/>
      <c r="AN22"/>
      <c r="AO22"/>
      <c r="AP22"/>
      <c r="AQ22"/>
      <c r="AR22"/>
      <c r="AS22" s="33"/>
      <c r="AT22" t="s">
        <v>1623</v>
      </c>
      <c r="AU22" t="s">
        <v>312</v>
      </c>
      <c r="AV22" s="1655" t="s">
        <v>5340</v>
      </c>
      <c r="AW22" s="931"/>
      <c r="AX22" s="931"/>
      <c r="AY22" s="606" t="s">
        <v>2300</v>
      </c>
      <c r="AZ22" s="723" t="s">
        <v>1562</v>
      </c>
      <c r="BA22" s="64" t="s">
        <v>1564</v>
      </c>
      <c r="BB22" s="59" t="s">
        <v>1566</v>
      </c>
      <c r="BC22" s="104" t="s">
        <v>2299</v>
      </c>
      <c r="BD22" s="61" t="s">
        <v>1562</v>
      </c>
      <c r="BE22" s="62"/>
      <c r="BF22" s="62"/>
      <c r="BG22" s="62"/>
      <c r="BH22" s="62"/>
      <c r="BI22" s="715" t="s">
        <v>2273</v>
      </c>
      <c r="BJ22"/>
      <c r="BK22"/>
      <c r="BL22" s="2441" t="s">
        <v>850</v>
      </c>
      <c r="BM22" s="2439" t="s">
        <v>856</v>
      </c>
      <c r="BN22" s="2439" t="s">
        <v>59</v>
      </c>
      <c r="BO22" s="2440" t="s">
        <v>723</v>
      </c>
      <c r="BP22" s="2654"/>
      <c r="BQ22" s="18"/>
      <c r="BR22" s="18"/>
      <c r="BS22" s="18"/>
      <c r="BT22" s="18"/>
      <c r="BU22" s="2660"/>
      <c r="BV22" s="1884" t="s">
        <v>4230</v>
      </c>
      <c r="BW22" s="1847" t="s">
        <v>5130</v>
      </c>
      <c r="BX22" s="1666">
        <v>50</v>
      </c>
      <c r="CB22" s="110"/>
      <c r="CC22" s="126"/>
      <c r="CD22" s="126"/>
      <c r="CE22" s="126"/>
      <c r="CG22" s="126"/>
      <c r="CK22" s="772" t="s">
        <v>3539</v>
      </c>
      <c r="CM22" s="126"/>
      <c r="CO22" s="426" t="s">
        <v>1620</v>
      </c>
      <c r="CP22" s="424" t="b">
        <v>1</v>
      </c>
      <c r="CQ22" s="424" t="b">
        <v>1</v>
      </c>
      <c r="CR22" s="1128">
        <v>443</v>
      </c>
      <c r="CS22" s="425">
        <v>443</v>
      </c>
      <c r="CT22" s="425" t="s">
        <v>1472</v>
      </c>
      <c r="CU22" s="1128" t="s">
        <v>4380</v>
      </c>
      <c r="CV22" s="425" t="s">
        <v>1477</v>
      </c>
      <c r="CW22" s="419" t="s">
        <v>1621</v>
      </c>
      <c r="DC22" s="579"/>
      <c r="DD22" s="569" t="s">
        <v>773</v>
      </c>
      <c r="DE22" s="580"/>
      <c r="DF22" s="580"/>
      <c r="DP22" s="4"/>
      <c r="DQ22" s="4"/>
      <c r="DR22" s="4"/>
      <c r="DS22" s="4"/>
      <c r="DT22" s="4"/>
      <c r="DU22" s="4"/>
      <c r="DZ22" s="990" t="s">
        <v>2837</v>
      </c>
      <c r="EA22" s="976" t="s">
        <v>2858</v>
      </c>
      <c r="EC22" s="1009" t="s">
        <v>2898</v>
      </c>
      <c r="ED22" s="976" t="s">
        <v>2918</v>
      </c>
      <c r="EH22" s="1594" t="b">
        <v>0</v>
      </c>
      <c r="EJ22" s="2921"/>
      <c r="EK22" s="3246" t="s">
        <v>4617</v>
      </c>
      <c r="EM22" s="2921"/>
      <c r="EO22" s="2921"/>
      <c r="EP22" s="2921"/>
      <c r="EQ22" s="2921"/>
      <c r="ER22" s="2921"/>
      <c r="ES22" s="2921"/>
      <c r="ET22" s="2921"/>
      <c r="EU22" s="2921"/>
      <c r="FD22" s="1928" t="s">
        <v>3769</v>
      </c>
      <c r="FE22" s="126"/>
    </row>
    <row r="23" spans="1:179" s="10" customFormat="1" ht="78" thickBot="1">
      <c r="A23" s="1758" t="str">
        <f ca="1">IF(ISERROR(INDEX(IPList,ROWS($A$6:A23))),
         IF(ISERROR(INDEX(VIP_InstanceList,ROWS($A$6:A23)-ROWS(IPList))),
                IF(ISERROR(INDEX(GTMLIST,ROWS($A$6:A23)-(ROWS(IPList)+(ROWS(VIP_InstanceList))))),"",
                      INDEX(GTMLIST,ROWS($A$6:A23)-(ROWS(IPList)+(ROWS(VIP_InstanceList))))),
                                  INDEX(VIP_InstanceList,ROWS($A$6:A23)-ROWS(IPList))),
                                             INDEX(IPList,ROWS($A$6:A23)))</f>
        <v/>
      </c>
      <c r="B23" s="931"/>
      <c r="C23"/>
      <c r="D23"/>
      <c r="E23"/>
      <c r="F23"/>
      <c r="G23" s="1884" t="s">
        <v>3606</v>
      </c>
      <c r="H23"/>
      <c r="I23"/>
      <c r="J23" s="354" t="s">
        <v>3004</v>
      </c>
      <c r="K23" s="2725" t="str">
        <f ca="1">IF(ISERROR(INDEX(Assetlist,ROWS($A$6:A23))),
            IF(ISERROR(INDEX(VMList,ROWS($A$6:A23)-ROWS(Assetlist))),"",
                                   INDEX(VMList,ROWS($A$6:A23)-ROWS(Assetlist))),
                                                        INDEX(Assetlist,ROWS($A$6:A23)))</f>
        <v/>
      </c>
      <c r="L23"/>
      <c r="M23" s="3"/>
      <c r="N23" s="3"/>
      <c r="O23" s="3" t="s">
        <v>4407</v>
      </c>
      <c r="P23" s="3" t="s">
        <v>4406</v>
      </c>
      <c r="Q23" s="3"/>
      <c r="R23" s="3"/>
      <c r="S23"/>
      <c r="T23"/>
      <c r="U23" s="3"/>
      <c r="V23" s="3"/>
      <c r="W23" s="2646" t="str">
        <f ca="1">IF(ISERROR(INDEX(AssetDecomList,ROWS($A$6:A23))),
IF(ISERROR(INDEX(AssetDecomVIPs,ROWS($A$6:A23)-ROWS(AssetDecomList))),"",INDEX(AssetDecomVIPs,ROWS($A$6:A23)-ROWS(AssetDecomList))),
INDEX(AssetDecomList,ROWS($A$6:A23)))</f>
        <v/>
      </c>
      <c r="X23" s="3"/>
      <c r="Y23" s="2994" t="s">
        <v>1782</v>
      </c>
      <c r="Z23" s="2994" t="s">
        <v>3351</v>
      </c>
      <c r="AA23" s="2994">
        <v>2413</v>
      </c>
      <c r="AB23" s="2994" t="s">
        <v>3247</v>
      </c>
      <c r="AC23" s="2994" t="s">
        <v>3263</v>
      </c>
      <c r="AD23" s="2994" t="s">
        <v>3020</v>
      </c>
      <c r="AE23"/>
      <c r="AF23"/>
      <c r="AG23" s="126"/>
      <c r="AH23" s="684"/>
      <c r="AI23"/>
      <c r="AJ23"/>
      <c r="AK23"/>
      <c r="AL23"/>
      <c r="AM23" s="1656"/>
      <c r="AN23"/>
      <c r="AO23"/>
      <c r="AP23"/>
      <c r="AQ23"/>
      <c r="AR23"/>
      <c r="AS23"/>
      <c r="AT23" s="354" t="s">
        <v>5530</v>
      </c>
      <c r="AU23" s="354" t="s">
        <v>311</v>
      </c>
      <c r="AV23" s="1655"/>
      <c r="AW23" s="931"/>
      <c r="AX23" s="931"/>
      <c r="AY23" s="731" t="s">
        <v>549</v>
      </c>
      <c r="AZ23" s="57" t="s">
        <v>550</v>
      </c>
      <c r="BA23" s="58" t="s">
        <v>481</v>
      </c>
      <c r="BB23" s="67" t="s">
        <v>2301</v>
      </c>
      <c r="BC23" s="18" t="s">
        <v>2302</v>
      </c>
      <c r="BD23" s="714" t="s">
        <v>550</v>
      </c>
      <c r="BE23" s="52"/>
      <c r="BF23" s="714"/>
      <c r="BG23" s="714"/>
      <c r="BH23" s="714"/>
      <c r="BI23" s="715" t="s">
        <v>2273</v>
      </c>
      <c r="BJ23"/>
      <c r="BK23"/>
      <c r="BL23" s="2441" t="s">
        <v>851</v>
      </c>
      <c r="BM23" s="2439" t="s">
        <v>857</v>
      </c>
      <c r="BN23" s="2439" t="s">
        <v>59</v>
      </c>
      <c r="BO23" s="2440" t="s">
        <v>723</v>
      </c>
      <c r="BP23" s="2654"/>
      <c r="BQ23" s="18"/>
      <c r="BR23" s="18"/>
      <c r="BS23" s="18"/>
      <c r="BT23" s="18"/>
      <c r="BU23" s="18"/>
      <c r="BV23" s="1884" t="s">
        <v>5108</v>
      </c>
      <c r="BW23" s="1847" t="s">
        <v>5131</v>
      </c>
      <c r="BX23" s="1884">
        <v>65</v>
      </c>
      <c r="CB23" s="110"/>
      <c r="CC23" s="126"/>
      <c r="CD23" s="126"/>
      <c r="CE23" s="126"/>
      <c r="CG23" s="126"/>
      <c r="CK23" s="49" t="s">
        <v>1454</v>
      </c>
      <c r="CM23" s="126"/>
      <c r="CO23" s="426" t="s">
        <v>1622</v>
      </c>
      <c r="CP23" s="2745" t="b">
        <v>0</v>
      </c>
      <c r="CQ23" s="2745" t="b">
        <v>0</v>
      </c>
      <c r="CR23" s="2746">
        <v>81</v>
      </c>
      <c r="CS23" s="2746">
        <v>81</v>
      </c>
      <c r="CT23" s="2746" t="s">
        <v>1472</v>
      </c>
      <c r="CU23" s="2747" t="s">
        <v>1597</v>
      </c>
      <c r="CV23" s="2746" t="s">
        <v>1477</v>
      </c>
      <c r="CW23" s="3154" t="s">
        <v>4956</v>
      </c>
      <c r="DC23" s="579"/>
      <c r="DD23" s="569" t="s">
        <v>1866</v>
      </c>
      <c r="DE23" s="580"/>
      <c r="DF23" s="580"/>
      <c r="DP23" s="4"/>
      <c r="DQ23" s="4"/>
      <c r="DR23" s="4"/>
      <c r="DS23" s="4"/>
      <c r="DT23" s="4"/>
      <c r="DU23" s="4"/>
      <c r="DZ23" s="991" t="s">
        <v>2838</v>
      </c>
      <c r="EA23" s="982" t="s">
        <v>2859</v>
      </c>
      <c r="EC23" s="1010" t="s">
        <v>2899</v>
      </c>
      <c r="ED23" s="977" t="s">
        <v>2919</v>
      </c>
      <c r="EJ23" s="2921"/>
      <c r="EK23" s="3246" t="s">
        <v>4618</v>
      </c>
      <c r="EM23" s="2921"/>
      <c r="EP23" s="2921"/>
      <c r="EQ23" s="2921"/>
      <c r="ER23" s="2921"/>
      <c r="ES23" s="2921"/>
      <c r="ET23" s="2921"/>
      <c r="EU23" s="2921"/>
      <c r="FD23" s="1928" t="s">
        <v>3770</v>
      </c>
      <c r="FE23" s="126"/>
    </row>
    <row r="24" spans="1:179" s="10" customFormat="1" ht="15">
      <c r="A24" s="1758" t="str">
        <f ca="1">IF(ISERROR(INDEX(IPList,ROWS($A$6:A24))),
         IF(ISERROR(INDEX(VIP_InstanceList,ROWS($A$6:A24)-ROWS(IPList))),
                IF(ISERROR(INDEX(GTMLIST,ROWS($A$6:A24)-(ROWS(IPList)+(ROWS(VIP_InstanceList))))),"",
                      INDEX(GTMLIST,ROWS($A$6:A24)-(ROWS(IPList)+(ROWS(VIP_InstanceList))))),
                                  INDEX(VIP_InstanceList,ROWS($A$6:A24)-ROWS(IPList))),
                                             INDEX(IPList,ROWS($A$6:A24)))</f>
        <v/>
      </c>
      <c r="B24" s="931"/>
      <c r="C24"/>
      <c r="D24"/>
      <c r="E24"/>
      <c r="F24"/>
      <c r="G24" s="1884" t="s">
        <v>3607</v>
      </c>
      <c r="H24"/>
      <c r="I24"/>
      <c r="J24" t="s">
        <v>249</v>
      </c>
      <c r="K24" s="2725" t="str">
        <f ca="1">IF(ISERROR(INDEX(Assetlist,ROWS($A$6:A24))),
            IF(ISERROR(INDEX(VMList,ROWS($A$6:A24)-ROWS(Assetlist))),"",
                                   INDEX(VMList,ROWS($A$6:A24)-ROWS(Assetlist))),
                                                        INDEX(Assetlist,ROWS($A$6:A24)))</f>
        <v/>
      </c>
      <c r="L24"/>
      <c r="M24" s="3"/>
      <c r="N24" s="3"/>
      <c r="O24" s="3"/>
      <c r="P24" s="3" t="s">
        <v>4408</v>
      </c>
      <c r="Q24" s="3"/>
      <c r="R24" s="3"/>
      <c r="S24"/>
      <c r="T24"/>
      <c r="U24" s="3"/>
      <c r="V24" s="3"/>
      <c r="W24" s="2646" t="str">
        <f ca="1">IF(ISERROR(INDEX(AssetDecomList,ROWS($A$6:A24))),
IF(ISERROR(INDEX(AssetDecomVIPs,ROWS($A$6:A24)-ROWS(AssetDecomList))),"",INDEX(AssetDecomVIPs,ROWS($A$6:A24)-ROWS(AssetDecomList))),
INDEX(AssetDecomList,ROWS($A$6:A24)))</f>
        <v/>
      </c>
      <c r="X24" s="3"/>
      <c r="Y24" s="2994" t="s">
        <v>1782</v>
      </c>
      <c r="Z24" s="2994" t="s">
        <v>4668</v>
      </c>
      <c r="AA24" s="2994">
        <v>2413</v>
      </c>
      <c r="AB24" s="2994" t="s">
        <v>3247</v>
      </c>
      <c r="AC24" s="2994" t="s">
        <v>3263</v>
      </c>
      <c r="AD24" s="2994" t="s">
        <v>3020</v>
      </c>
      <c r="AE24"/>
      <c r="AF24"/>
      <c r="AG24" s="126"/>
      <c r="AH24" s="684"/>
      <c r="AI24"/>
      <c r="AJ24"/>
      <c r="AK24"/>
      <c r="AL24"/>
      <c r="AM24" s="1656"/>
      <c r="AN24"/>
      <c r="AO24"/>
      <c r="AP24"/>
      <c r="AQ24"/>
      <c r="AR24"/>
      <c r="AS24"/>
      <c r="AT24" s="354" t="s">
        <v>5532</v>
      </c>
      <c r="AU24" s="354" t="s">
        <v>312</v>
      </c>
      <c r="AV24" s="1655"/>
      <c r="AW24" s="931"/>
      <c r="AX24" s="931"/>
      <c r="AY24" s="731" t="s">
        <v>549</v>
      </c>
      <c r="AZ24" s="714" t="s">
        <v>551</v>
      </c>
      <c r="BA24" s="58" t="s">
        <v>481</v>
      </c>
      <c r="BB24" s="18" t="s">
        <v>2303</v>
      </c>
      <c r="BC24" s="18" t="s">
        <v>2302</v>
      </c>
      <c r="BD24" s="714" t="s">
        <v>551</v>
      </c>
      <c r="BE24" s="714"/>
      <c r="BF24" s="714"/>
      <c r="BG24" s="714"/>
      <c r="BH24" s="714"/>
      <c r="BI24" s="715" t="s">
        <v>2273</v>
      </c>
      <c r="BJ24"/>
      <c r="BK24"/>
      <c r="BL24" s="2441" t="s">
        <v>852</v>
      </c>
      <c r="BM24" s="2439" t="s">
        <v>858</v>
      </c>
      <c r="BN24" s="2439" t="s">
        <v>59</v>
      </c>
      <c r="BO24" s="2440" t="s">
        <v>723</v>
      </c>
      <c r="BP24" s="2654"/>
      <c r="BQ24" s="18"/>
      <c r="BR24" s="18"/>
      <c r="BS24" s="18"/>
      <c r="BT24" s="18"/>
      <c r="BU24" s="18"/>
      <c r="BV24" s="1884" t="s">
        <v>4164</v>
      </c>
      <c r="BW24" s="2626"/>
      <c r="BX24" s="1666"/>
      <c r="CB24" s="110"/>
      <c r="CC24" s="126"/>
      <c r="CD24" s="126"/>
      <c r="CE24" s="126"/>
      <c r="CG24" s="126"/>
      <c r="CK24" s="772" t="s">
        <v>5255</v>
      </c>
      <c r="CM24" s="126"/>
      <c r="CO24" s="426" t="s">
        <v>1623</v>
      </c>
      <c r="CP24" s="2745" t="b">
        <v>0</v>
      </c>
      <c r="CQ24" s="2745" t="b">
        <v>0</v>
      </c>
      <c r="CR24" s="2746"/>
      <c r="CS24" s="2746"/>
      <c r="CT24" s="2746" t="s">
        <v>1472</v>
      </c>
      <c r="CU24" s="2747"/>
      <c r="CV24" s="2746" t="s">
        <v>1477</v>
      </c>
      <c r="CW24" s="417" t="s">
        <v>1624</v>
      </c>
      <c r="DP24" s="4"/>
      <c r="DQ24" s="4"/>
      <c r="DR24" s="4"/>
      <c r="DS24" s="4"/>
      <c r="DT24" s="4"/>
      <c r="DU24" s="4"/>
      <c r="DZ24" s="991" t="s">
        <v>2839</v>
      </c>
      <c r="EA24" s="978" t="s">
        <v>2860</v>
      </c>
      <c r="EC24" s="1010" t="s">
        <v>2900</v>
      </c>
      <c r="ED24" s="978" t="s">
        <v>2920</v>
      </c>
      <c r="EJ24" s="2921"/>
      <c r="EK24" s="3247" t="s">
        <v>4619</v>
      </c>
      <c r="EM24" s="2921"/>
      <c r="EP24" s="2921"/>
      <c r="ER24" s="2921"/>
      <c r="ES24" s="2921"/>
      <c r="ET24" s="2921"/>
      <c r="EU24" s="2921"/>
      <c r="FD24" s="1928" t="s">
        <v>3771</v>
      </c>
      <c r="FE24" s="126"/>
    </row>
    <row r="25" spans="1:179" s="10" customFormat="1" ht="15.75" thickBot="1">
      <c r="A25" s="1758" t="str">
        <f ca="1">IF(ISERROR(INDEX(IPList,ROWS($A$6:A25))),
         IF(ISERROR(INDEX(VIP_InstanceList,ROWS($A$6:A25)-ROWS(IPList))),
                IF(ISERROR(INDEX(GTMLIST,ROWS($A$6:A25)-(ROWS(IPList)+(ROWS(VIP_InstanceList))))),"",
                      INDEX(GTMLIST,ROWS($A$6:A25)-(ROWS(IPList)+(ROWS(VIP_InstanceList))))),
                                  INDEX(VIP_InstanceList,ROWS($A$6:A25)-ROWS(IPList))),
                                             INDEX(IPList,ROWS($A$6:A25)))</f>
        <v/>
      </c>
      <c r="B25" s="931"/>
      <c r="C25"/>
      <c r="D25"/>
      <c r="E25"/>
      <c r="F25"/>
      <c r="G25" s="1588" t="s">
        <v>134</v>
      </c>
      <c r="H25"/>
      <c r="I25"/>
      <c r="J25" s="354" t="s">
        <v>4450</v>
      </c>
      <c r="K25" s="2725" t="str">
        <f ca="1">IF(ISERROR(INDEX(Assetlist,ROWS($A$6:A25))),
            IF(ISERROR(INDEX(VMList,ROWS($A$6:A25)-ROWS(Assetlist))),"",
                                   INDEX(VMList,ROWS($A$6:A25)-ROWS(Assetlist))),
                                                        INDEX(Assetlist,ROWS($A$6:A25)))</f>
        <v/>
      </c>
      <c r="L25"/>
      <c r="M25" s="3"/>
      <c r="N25" s="3"/>
      <c r="O25" s="3"/>
      <c r="P25" s="3" t="s">
        <v>4409</v>
      </c>
      <c r="Q25" s="3"/>
      <c r="R25" s="3"/>
      <c r="S25"/>
      <c r="T25"/>
      <c r="U25" s="3"/>
      <c r="V25" s="3"/>
      <c r="W25" s="2646" t="str">
        <f ca="1">IF(ISERROR(INDEX(AssetDecomList,ROWS($A$6:A25))),
IF(ISERROR(INDEX(AssetDecomVIPs,ROWS($A$6:A25)-ROWS(AssetDecomList))),"",INDEX(AssetDecomVIPs,ROWS($A$6:A25)-ROWS(AssetDecomList))),
INDEX(AssetDecomList,ROWS($A$6:A25)))</f>
        <v/>
      </c>
      <c r="X25" s="3"/>
      <c r="Y25" s="2994" t="s">
        <v>1782</v>
      </c>
      <c r="Z25" s="2994" t="s">
        <v>3352</v>
      </c>
      <c r="AA25" s="2994">
        <v>2413</v>
      </c>
      <c r="AB25" s="2994" t="s">
        <v>3247</v>
      </c>
      <c r="AC25" s="2994" t="s">
        <v>3263</v>
      </c>
      <c r="AD25" s="2994" t="s">
        <v>3020</v>
      </c>
      <c r="AE25"/>
      <c r="AF25"/>
      <c r="AG25" s="126"/>
      <c r="AH25" s="684"/>
      <c r="AI25"/>
      <c r="AJ25"/>
      <c r="AK25"/>
      <c r="AL25"/>
      <c r="AM25" s="1656"/>
      <c r="AN25"/>
      <c r="AO25"/>
      <c r="AP25"/>
      <c r="AQ25"/>
      <c r="AR25"/>
      <c r="AS25"/>
      <c r="AT25" t="s">
        <v>70</v>
      </c>
      <c r="AU25"/>
      <c r="AV25" s="1655"/>
      <c r="AW25" s="931"/>
      <c r="AX25" s="931"/>
      <c r="AY25" s="731" t="s">
        <v>549</v>
      </c>
      <c r="AZ25" s="714" t="s">
        <v>552</v>
      </c>
      <c r="BA25" s="58" t="s">
        <v>481</v>
      </c>
      <c r="BB25" s="18" t="s">
        <v>2304</v>
      </c>
      <c r="BC25" s="18" t="s">
        <v>2302</v>
      </c>
      <c r="BD25" s="714" t="s">
        <v>552</v>
      </c>
      <c r="BE25" s="714"/>
      <c r="BF25" s="714"/>
      <c r="BG25" s="714"/>
      <c r="BH25" s="714"/>
      <c r="BI25" s="715" t="s">
        <v>2273</v>
      </c>
      <c r="BJ25"/>
      <c r="BK25"/>
      <c r="BL25" s="2441" t="s">
        <v>853</v>
      </c>
      <c r="BM25" s="2439" t="s">
        <v>859</v>
      </c>
      <c r="BN25" s="2439" t="s">
        <v>59</v>
      </c>
      <c r="BO25" s="2440" t="s">
        <v>723</v>
      </c>
      <c r="BP25" s="2654"/>
      <c r="BQ25" s="18"/>
      <c r="BR25" s="18"/>
      <c r="BS25" s="18"/>
      <c r="BT25" s="18"/>
      <c r="BU25" s="18"/>
      <c r="BV25" s="1884" t="s">
        <v>3507</v>
      </c>
      <c r="BW25" s="2626"/>
      <c r="BX25" s="1666"/>
      <c r="CC25" s="126"/>
      <c r="CD25" s="126"/>
      <c r="CE25" s="126"/>
      <c r="CG25" s="126"/>
      <c r="CK25" s="772" t="s">
        <v>5256</v>
      </c>
      <c r="CM25" s="126"/>
      <c r="CO25" s="2744" t="s">
        <v>5033</v>
      </c>
      <c r="CP25" s="2745" t="b">
        <v>1</v>
      </c>
      <c r="CQ25" s="2745" t="b">
        <v>1</v>
      </c>
      <c r="CR25" s="2746">
        <v>443</v>
      </c>
      <c r="CS25" s="2746">
        <v>443</v>
      </c>
      <c r="CT25" s="2746" t="s">
        <v>1472</v>
      </c>
      <c r="CU25" s="1128" t="s">
        <v>4380</v>
      </c>
      <c r="CV25" s="2746" t="s">
        <v>1477</v>
      </c>
      <c r="CW25" s="3037" t="s">
        <v>5066</v>
      </c>
      <c r="DP25" s="4"/>
      <c r="DQ25" s="4"/>
      <c r="DR25" s="4"/>
      <c r="DS25" s="4"/>
      <c r="DT25" s="4"/>
      <c r="DU25" s="4"/>
      <c r="DZ25" s="972" t="s">
        <v>2840</v>
      </c>
      <c r="EA25" s="981" t="s">
        <v>2861</v>
      </c>
      <c r="EC25" s="1011" t="s">
        <v>2901</v>
      </c>
      <c r="ED25" s="979" t="s">
        <v>2921</v>
      </c>
      <c r="EJ25" s="2921"/>
      <c r="EK25" s="3248" t="s">
        <v>4623</v>
      </c>
      <c r="EM25" s="2921"/>
      <c r="EP25" s="2921"/>
      <c r="ES25" s="2921"/>
      <c r="ET25" s="2921"/>
      <c r="EU25" s="2921"/>
      <c r="FD25" s="1928" t="s">
        <v>3773</v>
      </c>
      <c r="FE25" s="126"/>
    </row>
    <row r="26" spans="1:179" s="10" customFormat="1" ht="15">
      <c r="A26" s="1758" t="str">
        <f ca="1">IF(ISERROR(INDEX(IPList,ROWS($A$6:A26))),
         IF(ISERROR(INDEX(VIP_InstanceList,ROWS($A$6:A26)-ROWS(IPList))),
                IF(ISERROR(INDEX(GTMLIST,ROWS($A$6:A26)-(ROWS(IPList)+(ROWS(VIP_InstanceList))))),"",
                      INDEX(GTMLIST,ROWS($A$6:A26)-(ROWS(IPList)+(ROWS(VIP_InstanceList))))),
                                  INDEX(VIP_InstanceList,ROWS($A$6:A26)-ROWS(IPList))),
                                             INDEX(IPList,ROWS($A$6:A26)))</f>
        <v/>
      </c>
      <c r="B26" s="931"/>
      <c r="C26"/>
      <c r="D26"/>
      <c r="E26"/>
      <c r="F26"/>
      <c r="G26" s="1588" t="s">
        <v>135</v>
      </c>
      <c r="H26"/>
      <c r="I26"/>
      <c r="J26" t="s">
        <v>300</v>
      </c>
      <c r="K26" s="2725" t="str">
        <f ca="1">IF(ISERROR(INDEX(Assetlist,ROWS($A$6:A26))),
            IF(ISERROR(INDEX(VMList,ROWS($A$6:A26)-ROWS(Assetlist))),"",
                                   INDEX(VMList,ROWS($A$6:A26)-ROWS(Assetlist))),
                                                        INDEX(Assetlist,ROWS($A$6:A26)))</f>
        <v/>
      </c>
      <c r="L26"/>
      <c r="M26" s="3"/>
      <c r="N26" s="3"/>
      <c r="O26" s="3"/>
      <c r="P26" s="3" t="s">
        <v>4410</v>
      </c>
      <c r="Q26" s="3"/>
      <c r="R26" s="3"/>
      <c r="S26"/>
      <c r="T26"/>
      <c r="U26" s="3"/>
      <c r="V26" s="3"/>
      <c r="W26" s="2646" t="str">
        <f ca="1">IF(ISERROR(INDEX(AssetDecomList,ROWS($A$6:A26))),
IF(ISERROR(INDEX(AssetDecomVIPs,ROWS($A$6:A26)-ROWS(AssetDecomList))),"",INDEX(AssetDecomVIPs,ROWS($A$6:A26)-ROWS(AssetDecomList))),
INDEX(AssetDecomList,ROWS($A$6:A26)))</f>
        <v/>
      </c>
      <c r="X26" s="3"/>
      <c r="Y26" s="2994" t="s">
        <v>1782</v>
      </c>
      <c r="Z26" s="2994" t="s">
        <v>4669</v>
      </c>
      <c r="AA26" s="2994">
        <v>2413</v>
      </c>
      <c r="AB26" s="2994" t="s">
        <v>3247</v>
      </c>
      <c r="AC26" s="2994" t="s">
        <v>3263</v>
      </c>
      <c r="AD26" s="2994" t="s">
        <v>3020</v>
      </c>
      <c r="AE26"/>
      <c r="AF26"/>
      <c r="AG26" s="126"/>
      <c r="AH26" s="684"/>
      <c r="AI26"/>
      <c r="AJ26"/>
      <c r="AK26"/>
      <c r="AL26"/>
      <c r="AM26" s="1656"/>
      <c r="AN26"/>
      <c r="AO26"/>
      <c r="AP26"/>
      <c r="AQ26"/>
      <c r="AR26"/>
      <c r="AS26"/>
      <c r="AT26"/>
      <c r="AU26"/>
      <c r="AV26" s="1655"/>
      <c r="AW26" s="931"/>
      <c r="AX26" s="931"/>
      <c r="AY26" s="731" t="s">
        <v>549</v>
      </c>
      <c r="AZ26" s="714" t="s">
        <v>553</v>
      </c>
      <c r="BA26" s="58" t="s">
        <v>481</v>
      </c>
      <c r="BB26" s="18" t="s">
        <v>2305</v>
      </c>
      <c r="BC26" s="18" t="s">
        <v>2302</v>
      </c>
      <c r="BD26" s="714" t="s">
        <v>553</v>
      </c>
      <c r="BE26" s="714"/>
      <c r="BF26" s="714"/>
      <c r="BG26" s="714"/>
      <c r="BH26" s="714"/>
      <c r="BI26" s="715" t="s">
        <v>2273</v>
      </c>
      <c r="BJ26"/>
      <c r="BK26"/>
      <c r="BL26" s="2441" t="s">
        <v>854</v>
      </c>
      <c r="BM26" s="2439" t="s">
        <v>860</v>
      </c>
      <c r="BN26" s="2439" t="s">
        <v>59</v>
      </c>
      <c r="BO26" s="2440" t="s">
        <v>723</v>
      </c>
      <c r="BP26" s="2654"/>
      <c r="BQ26" s="18"/>
      <c r="BR26" s="18"/>
      <c r="BS26" s="18"/>
      <c r="BT26" s="18"/>
      <c r="BU26" s="18"/>
      <c r="BV26" s="1666" t="s">
        <v>1712</v>
      </c>
      <c r="BW26" s="2626"/>
      <c r="BX26" s="1666"/>
      <c r="CC26" s="126"/>
      <c r="CD26" s="126"/>
      <c r="CE26" s="126"/>
      <c r="CG26" s="126"/>
      <c r="CK26" s="772" t="s">
        <v>3754</v>
      </c>
      <c r="CM26" s="126"/>
      <c r="CO26" s="2744" t="s">
        <v>5375</v>
      </c>
      <c r="CP26" s="2745" t="b">
        <v>0</v>
      </c>
      <c r="CQ26" s="2745" t="b">
        <v>0</v>
      </c>
      <c r="CR26" s="2746">
        <v>81</v>
      </c>
      <c r="CS26" s="2746">
        <v>81</v>
      </c>
      <c r="CT26" s="2746" t="s">
        <v>1472</v>
      </c>
      <c r="CU26" s="2747" t="s">
        <v>1597</v>
      </c>
      <c r="CV26" s="2746" t="s">
        <v>1477</v>
      </c>
      <c r="CW26" s="431" t="s">
        <v>5376</v>
      </c>
      <c r="DP26" s="4"/>
      <c r="DQ26" s="4"/>
      <c r="DR26" s="4"/>
      <c r="DS26" s="4"/>
      <c r="DT26" s="4"/>
      <c r="DU26" s="4"/>
      <c r="EA26" s="976" t="s">
        <v>2862</v>
      </c>
      <c r="ED26" s="976" t="s">
        <v>2922</v>
      </c>
      <c r="EJ26" s="2921"/>
      <c r="EK26" s="126"/>
      <c r="EM26" s="2921"/>
      <c r="ES26" s="2921"/>
      <c r="ET26" s="2921"/>
      <c r="EU26" s="2921"/>
      <c r="FD26" s="1928" t="s">
        <v>4167</v>
      </c>
      <c r="FE26" s="126"/>
    </row>
    <row r="27" spans="1:179" s="10" customFormat="1" ht="15.75" thickBot="1">
      <c r="A27" s="1758" t="str">
        <f ca="1">IF(ISERROR(INDEX(IPList,ROWS($A$6:A27))),
         IF(ISERROR(INDEX(VIP_InstanceList,ROWS($A$6:A27)-ROWS(IPList))),
                IF(ISERROR(INDEX(GTMLIST,ROWS($A$6:A27)-(ROWS(IPList)+(ROWS(VIP_InstanceList))))),"",
                      INDEX(GTMLIST,ROWS($A$6:A27)-(ROWS(IPList)+(ROWS(VIP_InstanceList))))),
                                  INDEX(VIP_InstanceList,ROWS($A$6:A27)-ROWS(IPList))),
                                             INDEX(IPList,ROWS($A$6:A27)))</f>
        <v/>
      </c>
      <c r="B27"/>
      <c r="C27"/>
      <c r="D27"/>
      <c r="E27"/>
      <c r="F27"/>
      <c r="G27" s="52" t="s">
        <v>658</v>
      </c>
      <c r="H27"/>
      <c r="I27"/>
      <c r="J27" s="31" t="s">
        <v>445</v>
      </c>
      <c r="K27" s="2725" t="str">
        <f ca="1">IF(ISERROR(INDEX(Assetlist,ROWS($A$6:A27))),
            IF(ISERROR(INDEX(VMList,ROWS($A$6:A27)-ROWS(Assetlist))),"",
                                   INDEX(VMList,ROWS($A$6:A27)-ROWS(Assetlist))),
                                                        INDEX(Assetlist,ROWS($A$6:A27)))</f>
        <v/>
      </c>
      <c r="L27"/>
      <c r="M27" s="3"/>
      <c r="N27" s="3"/>
      <c r="O27" s="3"/>
      <c r="P27" s="3" t="s">
        <v>4411</v>
      </c>
      <c r="Q27" s="3"/>
      <c r="R27" s="3"/>
      <c r="S27"/>
      <c r="T27"/>
      <c r="U27" s="3"/>
      <c r="V27" s="3"/>
      <c r="W27" s="2646" t="str">
        <f ca="1">IF(ISERROR(INDEX(AssetDecomList,ROWS($A$6:A27))),
IF(ISERROR(INDEX(AssetDecomVIPs,ROWS($A$6:A27)-ROWS(AssetDecomList))),"",INDEX(AssetDecomVIPs,ROWS($A$6:A27)-ROWS(AssetDecomList))),
INDEX(AssetDecomList,ROWS($A$6:A27)))</f>
        <v/>
      </c>
      <c r="X27" s="3"/>
      <c r="Y27" s="2994" t="s">
        <v>1782</v>
      </c>
      <c r="Z27" s="2994" t="s">
        <v>3357</v>
      </c>
      <c r="AA27" s="2994">
        <v>2422</v>
      </c>
      <c r="AB27" s="2994" t="s">
        <v>3027</v>
      </c>
      <c r="AC27" s="2994" t="s">
        <v>3016</v>
      </c>
      <c r="AD27" s="2994" t="s">
        <v>3023</v>
      </c>
      <c r="AE27"/>
      <c r="AF27"/>
      <c r="AG27" s="126"/>
      <c r="AH27" s="684"/>
      <c r="AI27"/>
      <c r="AJ27"/>
      <c r="AK27"/>
      <c r="AL27"/>
      <c r="AM27" s="1656"/>
      <c r="AN27"/>
      <c r="AO27"/>
      <c r="AP27"/>
      <c r="AQ27"/>
      <c r="AR27"/>
      <c r="AS27"/>
      <c r="AT27"/>
      <c r="AU27"/>
      <c r="AV27" s="1655"/>
      <c r="AW27" s="931"/>
      <c r="AX27" s="931"/>
      <c r="AY27" s="731" t="s">
        <v>542</v>
      </c>
      <c r="AZ27" s="714" t="s">
        <v>532</v>
      </c>
      <c r="BA27" s="58" t="s">
        <v>482</v>
      </c>
      <c r="BB27" s="18" t="s">
        <v>2306</v>
      </c>
      <c r="BC27" s="18" t="s">
        <v>2307</v>
      </c>
      <c r="BD27" s="714" t="s">
        <v>532</v>
      </c>
      <c r="BE27" s="52"/>
      <c r="BF27" s="714"/>
      <c r="BG27" s="714"/>
      <c r="BH27" s="714"/>
      <c r="BI27" s="715" t="s">
        <v>2273</v>
      </c>
      <c r="BJ27"/>
      <c r="BK27"/>
      <c r="BL27" s="2441" t="s">
        <v>723</v>
      </c>
      <c r="BM27" s="2439" t="s">
        <v>770</v>
      </c>
      <c r="BN27" s="2439" t="s">
        <v>67</v>
      </c>
      <c r="BO27" s="2440" t="s">
        <v>2489</v>
      </c>
      <c r="BP27" s="2654"/>
      <c r="BQ27" s="18"/>
      <c r="BR27" s="18"/>
      <c r="BS27" s="18"/>
      <c r="BT27" s="18"/>
      <c r="BU27" s="18"/>
      <c r="BW27" s="87"/>
      <c r="CC27" s="126"/>
      <c r="CD27" s="126"/>
      <c r="CE27" s="126"/>
      <c r="CG27" s="126"/>
      <c r="CK27" s="772" t="s">
        <v>3755</v>
      </c>
      <c r="CM27" s="126"/>
      <c r="CO27" s="2744" t="s">
        <v>5377</v>
      </c>
      <c r="CP27" s="2745" t="b">
        <v>1</v>
      </c>
      <c r="CQ27" s="2745" t="b">
        <v>1</v>
      </c>
      <c r="CR27" s="2746">
        <v>443</v>
      </c>
      <c r="CS27" s="2746">
        <v>80</v>
      </c>
      <c r="CT27" s="2746" t="s">
        <v>1472</v>
      </c>
      <c r="CU27" s="1128" t="s">
        <v>4380</v>
      </c>
      <c r="CV27" s="2746" t="s">
        <v>1477</v>
      </c>
      <c r="CW27" s="2314" t="s">
        <v>5378</v>
      </c>
      <c r="DP27" s="4"/>
      <c r="DQ27" s="4"/>
      <c r="DR27" s="4"/>
      <c r="DS27" s="4"/>
      <c r="DT27" s="4"/>
      <c r="DU27" s="4"/>
      <c r="EA27" s="982" t="s">
        <v>2863</v>
      </c>
      <c r="ED27" s="977" t="s">
        <v>2923</v>
      </c>
      <c r="EJ27" s="2921"/>
      <c r="EK27" s="126"/>
      <c r="EM27" s="2921"/>
      <c r="ES27" s="2921"/>
      <c r="ET27" s="2921"/>
      <c r="EU27" s="2921"/>
      <c r="FD27" s="1928" t="s">
        <v>3772</v>
      </c>
      <c r="FE27" s="126"/>
    </row>
    <row r="28" spans="1:179" s="10" customFormat="1" ht="15">
      <c r="A28" s="1758" t="str">
        <f ca="1">IF(ISERROR(INDEX(IPList,ROWS($A$6:A28))),
         IF(ISERROR(INDEX(VIP_InstanceList,ROWS($A$6:A28)-ROWS(IPList))),
                IF(ISERROR(INDEX(GTMLIST,ROWS($A$6:A28)-(ROWS(IPList)+(ROWS(VIP_InstanceList))))),"",
                      INDEX(GTMLIST,ROWS($A$6:A28)-(ROWS(IPList)+(ROWS(VIP_InstanceList))))),
                                  INDEX(VIP_InstanceList,ROWS($A$6:A28)-ROWS(IPList))),
                                             INDEX(IPList,ROWS($A$6:A28)))</f>
        <v/>
      </c>
      <c r="B28"/>
      <c r="C28"/>
      <c r="D28"/>
      <c r="E28"/>
      <c r="F28"/>
      <c r="G28" s="1553" t="s">
        <v>4282</v>
      </c>
      <c r="H28"/>
      <c r="I28"/>
      <c r="J28" s="354" t="s">
        <v>5345</v>
      </c>
      <c r="K28" s="2725" t="str">
        <f ca="1">IF(ISERROR(INDEX(Assetlist,ROWS($A$6:A28))),
            IF(ISERROR(INDEX(VMList,ROWS($A$6:A28)-ROWS(Assetlist))),"",
                                   INDEX(VMList,ROWS($A$6:A28)-ROWS(Assetlist))),
                                                        INDEX(Assetlist,ROWS($A$6:A28)))</f>
        <v/>
      </c>
      <c r="L28"/>
      <c r="M28" s="3"/>
      <c r="N28" s="3"/>
      <c r="O28" s="3"/>
      <c r="P28" s="3" t="s">
        <v>4412</v>
      </c>
      <c r="Q28" s="3"/>
      <c r="R28" s="3"/>
      <c r="S28"/>
      <c r="T28"/>
      <c r="U28" s="3"/>
      <c r="V28" s="3"/>
      <c r="W28" s="2646" t="str">
        <f ca="1">IF(ISERROR(INDEX(AssetDecomList,ROWS($A$6:A28))),
IF(ISERROR(INDEX(AssetDecomVIPs,ROWS($A$6:A28)-ROWS(AssetDecomList))),"",INDEX(AssetDecomVIPs,ROWS($A$6:A28)-ROWS(AssetDecomList))),
INDEX(AssetDecomList,ROWS($A$6:A28)))</f>
        <v/>
      </c>
      <c r="X28" s="3"/>
      <c r="Y28" s="2994" t="s">
        <v>1782</v>
      </c>
      <c r="Z28" s="2994" t="s">
        <v>4670</v>
      </c>
      <c r="AA28" s="2994">
        <v>2422</v>
      </c>
      <c r="AB28" s="2994" t="s">
        <v>3027</v>
      </c>
      <c r="AC28" s="2994" t="s">
        <v>3016</v>
      </c>
      <c r="AD28" s="2994" t="s">
        <v>3023</v>
      </c>
      <c r="AE28"/>
      <c r="AF28"/>
      <c r="AG28" s="126"/>
      <c r="AH28" s="684"/>
      <c r="AI28"/>
      <c r="AJ28"/>
      <c r="AK28"/>
      <c r="AL28"/>
      <c r="AM28" s="1656"/>
      <c r="AN28"/>
      <c r="AO28"/>
      <c r="AP28"/>
      <c r="AQ28"/>
      <c r="AR28"/>
      <c r="AS28"/>
      <c r="AT28"/>
      <c r="AU28"/>
      <c r="AV28" s="1655"/>
      <c r="AW28" s="931"/>
      <c r="AX28" s="931"/>
      <c r="AY28" s="732" t="s">
        <v>543</v>
      </c>
      <c r="AZ28" s="714" t="s">
        <v>533</v>
      </c>
      <c r="BA28" s="66" t="s">
        <v>483</v>
      </c>
      <c r="BB28" s="18" t="s">
        <v>2308</v>
      </c>
      <c r="BC28" s="18" t="s">
        <v>2309</v>
      </c>
      <c r="BD28" s="714" t="s">
        <v>533</v>
      </c>
      <c r="BE28" s="52"/>
      <c r="BF28" s="52"/>
      <c r="BG28" s="52"/>
      <c r="BH28" s="714"/>
      <c r="BI28" s="715" t="s">
        <v>2273</v>
      </c>
      <c r="BJ28"/>
      <c r="BK28"/>
      <c r="BL28" s="2739" t="s">
        <v>5381</v>
      </c>
      <c r="BM28" s="2740" t="s">
        <v>770</v>
      </c>
      <c r="BN28" s="2740" t="s">
        <v>5371</v>
      </c>
      <c r="BO28" s="2738" t="s">
        <v>2489</v>
      </c>
      <c r="BP28" s="2654"/>
      <c r="BQ28" s="18"/>
      <c r="BR28" s="18"/>
      <c r="BS28" s="18"/>
      <c r="BT28" s="18"/>
      <c r="BU28" s="18"/>
      <c r="BW28" s="87"/>
      <c r="CC28" s="126"/>
      <c r="CD28" s="126"/>
      <c r="CE28" s="126"/>
      <c r="CG28" s="126"/>
      <c r="CK28" s="772" t="s">
        <v>3756</v>
      </c>
      <c r="CM28" s="126"/>
      <c r="CO28" s="2744" t="s">
        <v>5379</v>
      </c>
      <c r="CP28" s="2745" t="b">
        <v>1</v>
      </c>
      <c r="CQ28" s="2745" t="b">
        <v>1</v>
      </c>
      <c r="CR28" s="2746">
        <v>443</v>
      </c>
      <c r="CS28" s="2746">
        <v>80</v>
      </c>
      <c r="CT28" s="2746" t="s">
        <v>1472</v>
      </c>
      <c r="CU28" s="1128" t="s">
        <v>4380</v>
      </c>
      <c r="CV28" s="2746" t="s">
        <v>1477</v>
      </c>
      <c r="CW28" s="2314" t="s">
        <v>5380</v>
      </c>
      <c r="DP28" s="4"/>
      <c r="DQ28" s="4"/>
      <c r="DR28" s="4"/>
      <c r="DS28" s="4"/>
      <c r="DT28" s="4"/>
      <c r="DU28" s="4"/>
      <c r="EA28" s="978" t="s">
        <v>2864</v>
      </c>
      <c r="ED28" s="978" t="s">
        <v>2924</v>
      </c>
      <c r="EJ28" s="2921"/>
      <c r="EK28" s="126"/>
      <c r="EM28" s="2921"/>
      <c r="ES28" s="2921"/>
      <c r="ET28" s="2921"/>
      <c r="EU28" s="2921"/>
      <c r="FD28" s="1928" t="s">
        <v>3767</v>
      </c>
      <c r="FE28" s="126"/>
    </row>
    <row r="29" spans="1:179" s="10" customFormat="1" ht="15.75" thickBot="1">
      <c r="A29" s="1758" t="str">
        <f ca="1">IF(ISERROR(INDEX(IPList,ROWS($A$6:A29))),
         IF(ISERROR(INDEX(VIP_InstanceList,ROWS($A$6:A29)-ROWS(IPList))),
                IF(ISERROR(INDEX(GTMLIST,ROWS($A$6:A29)-(ROWS(IPList)+(ROWS(VIP_InstanceList))))),"",
                      INDEX(GTMLIST,ROWS($A$6:A29)-(ROWS(IPList)+(ROWS(VIP_InstanceList))))),
                                  INDEX(VIP_InstanceList,ROWS($A$6:A29)-ROWS(IPList))),
                                             INDEX(IPList,ROWS($A$6:A29)))</f>
        <v/>
      </c>
      <c r="B29"/>
      <c r="C29"/>
      <c r="D29"/>
      <c r="E29"/>
      <c r="F29"/>
      <c r="G29" s="52" t="s">
        <v>848</v>
      </c>
      <c r="H29"/>
      <c r="I29"/>
      <c r="J29"/>
      <c r="K29" s="2725" t="str">
        <f ca="1">IF(ISERROR(INDEX(Assetlist,ROWS($A$6:A29))),
            IF(ISERROR(INDEX(VMList,ROWS($A$6:A29)-ROWS(Assetlist))),"",
                                   INDEX(VMList,ROWS($A$6:A29)-ROWS(Assetlist))),
                                                        INDEX(Assetlist,ROWS($A$6:A29)))</f>
        <v/>
      </c>
      <c r="L29"/>
      <c r="M29" s="3"/>
      <c r="N29" s="3"/>
      <c r="O29" s="3"/>
      <c r="P29" s="3" t="s">
        <v>4413</v>
      </c>
      <c r="Q29" s="3"/>
      <c r="R29" s="3"/>
      <c r="S29"/>
      <c r="T29"/>
      <c r="U29"/>
      <c r="V29"/>
      <c r="W29" s="2646" t="str">
        <f ca="1">IF(ISERROR(INDEX(AssetDecomList,ROWS($A$6:A29))),
IF(ISERROR(INDEX(AssetDecomVIPs,ROWS($A$6:A29)-ROWS(AssetDecomList))),"",INDEX(AssetDecomVIPs,ROWS($A$6:A29)-ROWS(AssetDecomList))),
INDEX(AssetDecomList,ROWS($A$6:A29)))</f>
        <v/>
      </c>
      <c r="X29"/>
      <c r="Y29" s="2994" t="s">
        <v>1782</v>
      </c>
      <c r="Z29" s="2994" t="s">
        <v>3358</v>
      </c>
      <c r="AA29" s="2994">
        <v>2422</v>
      </c>
      <c r="AB29" s="2994" t="s">
        <v>3027</v>
      </c>
      <c r="AC29" s="2994" t="s">
        <v>3016</v>
      </c>
      <c r="AD29" s="2994" t="s">
        <v>3023</v>
      </c>
      <c r="AE29"/>
      <c r="AF29"/>
      <c r="AG29" s="126"/>
      <c r="AH29" s="684"/>
      <c r="AI29"/>
      <c r="AJ29"/>
      <c r="AK29"/>
      <c r="AL29"/>
      <c r="AM29" s="1656"/>
      <c r="AN29"/>
      <c r="AO29"/>
      <c r="AP29"/>
      <c r="AQ29"/>
      <c r="AR29"/>
      <c r="AS29"/>
      <c r="AT29"/>
      <c r="AU29"/>
      <c r="AV29" s="1655"/>
      <c r="AW29" s="931"/>
      <c r="AX29" s="931"/>
      <c r="AY29" s="731" t="s">
        <v>544</v>
      </c>
      <c r="AZ29" s="714" t="s">
        <v>534</v>
      </c>
      <c r="BA29" s="58" t="s">
        <v>484</v>
      </c>
      <c r="BB29" s="18" t="s">
        <v>2310</v>
      </c>
      <c r="BC29" s="18" t="s">
        <v>2311</v>
      </c>
      <c r="BD29" s="714" t="s">
        <v>534</v>
      </c>
      <c r="BE29" s="52"/>
      <c r="BF29" s="52"/>
      <c r="BG29" s="714"/>
      <c r="BH29" s="714"/>
      <c r="BI29" s="715" t="s">
        <v>2273</v>
      </c>
      <c r="BJ29"/>
      <c r="BK29"/>
      <c r="BL29" s="2442" t="s">
        <v>3402</v>
      </c>
      <c r="BM29" s="2443" t="s">
        <v>3403</v>
      </c>
      <c r="BN29" s="2443" t="s">
        <v>3404</v>
      </c>
      <c r="BO29" s="2440" t="s">
        <v>2489</v>
      </c>
      <c r="BP29" s="2654"/>
      <c r="BQ29" s="18"/>
      <c r="BR29" s="18"/>
      <c r="BS29" s="18"/>
      <c r="BT29" s="18"/>
      <c r="BU29" s="18"/>
      <c r="BW29" s="87" t="s">
        <v>1611</v>
      </c>
      <c r="CC29" s="126"/>
      <c r="CD29" s="126"/>
      <c r="CE29" s="126"/>
      <c r="CG29" s="126"/>
      <c r="CK29" s="772" t="s">
        <v>3757</v>
      </c>
      <c r="CM29" s="126"/>
      <c r="CO29" s="2744" t="s">
        <v>5382</v>
      </c>
      <c r="CP29" s="2745" t="b">
        <v>0</v>
      </c>
      <c r="CQ29" s="2745" t="b">
        <v>0</v>
      </c>
      <c r="CR29" s="2746">
        <v>81</v>
      </c>
      <c r="CS29" s="2746">
        <v>81</v>
      </c>
      <c r="CT29" s="2746" t="s">
        <v>1472</v>
      </c>
      <c r="CU29" s="2747" t="s">
        <v>1597</v>
      </c>
      <c r="CV29" s="2746" t="s">
        <v>1477</v>
      </c>
      <c r="CW29" s="431" t="s">
        <v>5383</v>
      </c>
      <c r="DP29" s="4"/>
      <c r="DQ29" s="4"/>
      <c r="DR29" s="4"/>
      <c r="DS29" s="4"/>
      <c r="DT29" s="4"/>
      <c r="DU29" s="4"/>
      <c r="EA29" s="981" t="s">
        <v>2865</v>
      </c>
      <c r="ED29" s="981" t="s">
        <v>2925</v>
      </c>
      <c r="EE29" s="931"/>
      <c r="EJ29" s="2921"/>
      <c r="EK29" s="126"/>
      <c r="ES29" s="2921"/>
      <c r="ET29" s="2921"/>
      <c r="EU29" s="2921"/>
      <c r="FD29" s="2616" t="s">
        <v>3768</v>
      </c>
      <c r="FE29" s="126"/>
    </row>
    <row r="30" spans="1:179" s="10" customFormat="1" ht="15">
      <c r="A30" s="1758" t="str">
        <f ca="1">IF(ISERROR(INDEX(IPList,ROWS($A$6:A30))),
         IF(ISERROR(INDEX(VIP_InstanceList,ROWS($A$6:A30)-ROWS(IPList))),
                IF(ISERROR(INDEX(GTMLIST,ROWS($A$6:A30)-(ROWS(IPList)+(ROWS(VIP_InstanceList))))),"",
                      INDEX(GTMLIST,ROWS($A$6:A30)-(ROWS(IPList)+(ROWS(VIP_InstanceList))))),
                                  INDEX(VIP_InstanceList,ROWS($A$6:A30)-ROWS(IPList))),
                                             INDEX(IPList,ROWS($A$6:A30)))</f>
        <v/>
      </c>
      <c r="B30"/>
      <c r="C30"/>
      <c r="D30"/>
      <c r="E30"/>
      <c r="F30"/>
      <c r="G30" s="1553" t="s">
        <v>1793</v>
      </c>
      <c r="H30"/>
      <c r="I30"/>
      <c r="J30"/>
      <c r="K30" s="2725" t="str">
        <f ca="1">IF(ISERROR(INDEX(Assetlist,ROWS($A$6:A30))),
            IF(ISERROR(INDEX(VMList,ROWS($A$6:A30)-ROWS(Assetlist))),"",
                                   INDEX(VMList,ROWS($A$6:A30)-ROWS(Assetlist))),
                                                        INDEX(Assetlist,ROWS($A$6:A30)))</f>
        <v/>
      </c>
      <c r="L30"/>
      <c r="M30" s="3"/>
      <c r="N30" s="3"/>
      <c r="O30" s="3"/>
      <c r="P30" s="3" t="s">
        <v>4414</v>
      </c>
      <c r="Q30" s="3"/>
      <c r="R30" s="3"/>
      <c r="S30"/>
      <c r="T30"/>
      <c r="U30"/>
      <c r="V30"/>
      <c r="W30" s="2646" t="str">
        <f ca="1">IF(ISERROR(INDEX(AssetDecomList,ROWS($A$6:A30))),
IF(ISERROR(INDEX(AssetDecomVIPs,ROWS($A$6:A30)-ROWS(AssetDecomList))),"",INDEX(AssetDecomVIPs,ROWS($A$6:A30)-ROWS(AssetDecomList))),
INDEX(AssetDecomList,ROWS($A$6:A30)))</f>
        <v/>
      </c>
      <c r="X30"/>
      <c r="Y30" s="2994" t="s">
        <v>1782</v>
      </c>
      <c r="Z30" s="2994" t="s">
        <v>4671</v>
      </c>
      <c r="AA30" s="2994">
        <v>2422</v>
      </c>
      <c r="AB30" s="2994" t="s">
        <v>3027</v>
      </c>
      <c r="AC30" s="2994" t="s">
        <v>3016</v>
      </c>
      <c r="AD30" s="2994" t="s">
        <v>3023</v>
      </c>
      <c r="AE30"/>
      <c r="AF30"/>
      <c r="AG30"/>
      <c r="AH30" s="684"/>
      <c r="AI30"/>
      <c r="AJ30"/>
      <c r="AK30"/>
      <c r="AL30"/>
      <c r="AM30" s="1656"/>
      <c r="AN30"/>
      <c r="AO30"/>
      <c r="AP30"/>
      <c r="AQ30"/>
      <c r="AR30"/>
      <c r="AS30"/>
      <c r="AT30"/>
      <c r="AU30"/>
      <c r="AV30" s="1655"/>
      <c r="AW30" s="931"/>
      <c r="AX30" s="931"/>
      <c r="AY30" s="731" t="s">
        <v>545</v>
      </c>
      <c r="AZ30" s="714" t="s">
        <v>535</v>
      </c>
      <c r="BA30" s="58" t="s">
        <v>485</v>
      </c>
      <c r="BB30" s="18" t="s">
        <v>2312</v>
      </c>
      <c r="BC30" s="18" t="s">
        <v>2313</v>
      </c>
      <c r="BD30" s="714" t="s">
        <v>535</v>
      </c>
      <c r="BE30" s="52"/>
      <c r="BF30" s="714"/>
      <c r="BG30" s="714"/>
      <c r="BH30" s="714"/>
      <c r="BI30" s="715" t="s">
        <v>2273</v>
      </c>
      <c r="BJ30"/>
      <c r="BK30"/>
      <c r="BL30" s="2441" t="s">
        <v>773</v>
      </c>
      <c r="BM30" s="2439" t="s">
        <v>774</v>
      </c>
      <c r="BN30" s="2439" t="s">
        <v>67</v>
      </c>
      <c r="BO30" s="2440" t="s">
        <v>2489</v>
      </c>
      <c r="BP30" s="2654"/>
      <c r="BQ30" s="18"/>
      <c r="BR30" s="18"/>
      <c r="BS30" s="18"/>
      <c r="BT30" s="18"/>
      <c r="BU30" s="18"/>
      <c r="BW30" s="87"/>
      <c r="CC30" s="126"/>
      <c r="CD30" s="126"/>
      <c r="CE30" s="126"/>
      <c r="CG30" s="126"/>
      <c r="CK30" s="772" t="s">
        <v>3758</v>
      </c>
      <c r="CM30" s="126"/>
      <c r="CO30" s="2744" t="s">
        <v>5384</v>
      </c>
      <c r="CP30" s="3038" t="b">
        <v>1</v>
      </c>
      <c r="CQ30" s="3038" t="b">
        <v>1</v>
      </c>
      <c r="CR30" s="3039">
        <v>443</v>
      </c>
      <c r="CS30" s="3039">
        <v>80</v>
      </c>
      <c r="CT30" s="3039" t="s">
        <v>1472</v>
      </c>
      <c r="CU30" s="3039" t="s">
        <v>4380</v>
      </c>
      <c r="CV30" s="3039" t="s">
        <v>1477</v>
      </c>
      <c r="CW30" s="2314" t="s">
        <v>5385</v>
      </c>
      <c r="DP30" s="4"/>
      <c r="DQ30" s="4"/>
      <c r="DR30" s="4"/>
      <c r="DS30" s="4"/>
      <c r="DT30" s="4"/>
      <c r="DU30" s="4"/>
      <c r="EA30" s="973" t="s">
        <v>2866</v>
      </c>
      <c r="ED30" s="973" t="s">
        <v>2926</v>
      </c>
      <c r="EJ30" s="2921"/>
      <c r="EK30" s="126"/>
      <c r="ES30" s="2921"/>
      <c r="ET30" s="2921"/>
      <c r="FD30" s="1928" t="s">
        <v>3763</v>
      </c>
      <c r="FE30" s="126"/>
    </row>
    <row r="31" spans="1:179" s="10" customFormat="1" ht="15.75" thickBot="1">
      <c r="A31" s="1758" t="str">
        <f ca="1">IF(ISERROR(INDEX(IPList,ROWS($A$6:A31))),
         IF(ISERROR(INDEX(VIP_InstanceList,ROWS($A$6:A31)-ROWS(IPList))),
                IF(ISERROR(INDEX(GTMLIST,ROWS($A$6:A31)-(ROWS(IPList)+(ROWS(VIP_InstanceList))))),"",
                      INDEX(GTMLIST,ROWS($A$6:A31)-(ROWS(IPList)+(ROWS(VIP_InstanceList))))),
                                  INDEX(VIP_InstanceList,ROWS($A$6:A31)-ROWS(IPList))),
                                             INDEX(IPList,ROWS($A$6:A31)))</f>
        <v/>
      </c>
      <c r="B31"/>
      <c r="C31"/>
      <c r="D31"/>
      <c r="E31"/>
      <c r="F31"/>
      <c r="G31" s="1884" t="s">
        <v>5124</v>
      </c>
      <c r="H31"/>
      <c r="I31"/>
      <c r="J31"/>
      <c r="K31" s="2725" t="str">
        <f ca="1">IF(ISERROR(INDEX(Assetlist,ROWS($A$6:A31))),
            IF(ISERROR(INDEX(VMList,ROWS($A$6:A31)-ROWS(Assetlist))),"",
                                   INDEX(VMList,ROWS($A$6:A31)-ROWS(Assetlist))),
                                                        INDEX(Assetlist,ROWS($A$6:A31)))</f>
        <v/>
      </c>
      <c r="L31"/>
      <c r="M31" s="3"/>
      <c r="N31" s="3"/>
      <c r="O31" s="3"/>
      <c r="P31" s="3" t="s">
        <v>4415</v>
      </c>
      <c r="Q31" s="3"/>
      <c r="R31" s="3"/>
      <c r="S31"/>
      <c r="T31"/>
      <c r="U31"/>
      <c r="V31"/>
      <c r="W31" s="2646" t="str">
        <f ca="1">IF(ISERROR(INDEX(AssetDecomList,ROWS($A$6:A31))),
IF(ISERROR(INDEX(AssetDecomVIPs,ROWS($A$6:A31)-ROWS(AssetDecomList))),"",INDEX(AssetDecomVIPs,ROWS($A$6:A31)-ROWS(AssetDecomList))),
INDEX(AssetDecomList,ROWS($A$6:A31)))</f>
        <v/>
      </c>
      <c r="X31"/>
      <c r="Y31" s="2994" t="s">
        <v>1782</v>
      </c>
      <c r="Z31" s="3277" t="s">
        <v>5543</v>
      </c>
      <c r="AA31" s="2994">
        <v>2486</v>
      </c>
      <c r="AB31" s="3277" t="s">
        <v>5540</v>
      </c>
      <c r="AC31" s="3277" t="s">
        <v>5541</v>
      </c>
      <c r="AD31" s="3277" t="s">
        <v>5542</v>
      </c>
      <c r="AE31"/>
      <c r="AF31"/>
      <c r="AG31"/>
      <c r="AH31" s="684"/>
      <c r="AI31"/>
      <c r="AJ31"/>
      <c r="AK31"/>
      <c r="AL31"/>
      <c r="AM31" s="1656"/>
      <c r="AN31"/>
      <c r="AO31"/>
      <c r="AP31"/>
      <c r="AQ31"/>
      <c r="AR31"/>
      <c r="AS31"/>
      <c r="AT31"/>
      <c r="AU31"/>
      <c r="AV31" s="1655"/>
      <c r="AW31" s="931"/>
      <c r="AX31" s="931"/>
      <c r="AY31" s="731" t="s">
        <v>545</v>
      </c>
      <c r="AZ31" s="714" t="s">
        <v>564</v>
      </c>
      <c r="BA31" s="58" t="s">
        <v>485</v>
      </c>
      <c r="BB31" s="18" t="s">
        <v>2314</v>
      </c>
      <c r="BC31" s="18" t="s">
        <v>2313</v>
      </c>
      <c r="BD31" s="714" t="s">
        <v>564</v>
      </c>
      <c r="BE31" s="714"/>
      <c r="BF31" s="714"/>
      <c r="BG31" s="714"/>
      <c r="BH31" s="714"/>
      <c r="BI31" s="715" t="s">
        <v>2273</v>
      </c>
      <c r="BJ31"/>
      <c r="BK31"/>
      <c r="BL31" s="2441" t="s">
        <v>763</v>
      </c>
      <c r="BM31" s="2439" t="s">
        <v>766</v>
      </c>
      <c r="BN31" s="2439" t="s">
        <v>67</v>
      </c>
      <c r="BO31" s="2440" t="s">
        <v>2489</v>
      </c>
      <c r="BP31" s="2654"/>
      <c r="BQ31" s="18"/>
      <c r="BR31" s="18"/>
      <c r="BS31" s="18"/>
      <c r="BT31" s="18"/>
      <c r="BU31" s="18"/>
      <c r="BW31" s="87"/>
      <c r="CC31" s="126"/>
      <c r="CD31" s="126"/>
      <c r="CE31" s="126"/>
      <c r="CG31" s="126"/>
      <c r="CK31" s="49" t="s">
        <v>1455</v>
      </c>
      <c r="CM31" s="126"/>
      <c r="CO31" s="2744" t="s">
        <v>5386</v>
      </c>
      <c r="CP31" s="3038" t="b">
        <v>1</v>
      </c>
      <c r="CQ31" s="3038" t="b">
        <v>1</v>
      </c>
      <c r="CR31" s="3039">
        <v>443</v>
      </c>
      <c r="CS31" s="3039">
        <v>80</v>
      </c>
      <c r="CT31" s="3039" t="s">
        <v>1472</v>
      </c>
      <c r="CU31" s="3039" t="s">
        <v>4380</v>
      </c>
      <c r="CV31" s="3039" t="s">
        <v>1477</v>
      </c>
      <c r="CW31" s="2314" t="s">
        <v>5387</v>
      </c>
      <c r="DP31" s="4"/>
      <c r="DQ31" s="4"/>
      <c r="DR31" s="4"/>
      <c r="DS31" s="4"/>
      <c r="DT31" s="4"/>
      <c r="DU31" s="4"/>
      <c r="EA31" s="974" t="s">
        <v>2867</v>
      </c>
      <c r="ED31" s="974" t="s">
        <v>2927</v>
      </c>
      <c r="EE31" s="931"/>
      <c r="EK31" s="126"/>
      <c r="FD31" s="1928" t="s">
        <v>3764</v>
      </c>
      <c r="FE31" s="126"/>
    </row>
    <row r="32" spans="1:179" s="10" customFormat="1">
      <c r="A32" s="1758" t="str">
        <f ca="1">IF(ISERROR(INDEX(IPList,ROWS($A$6:A32))),
         IF(ISERROR(INDEX(VIP_InstanceList,ROWS($A$6:A32)-ROWS(IPList))),
                IF(ISERROR(INDEX(GTMLIST,ROWS($A$6:A32)-(ROWS(IPList)+(ROWS(VIP_InstanceList))))),"",
                      INDEX(GTMLIST,ROWS($A$6:A32)-(ROWS(IPList)+(ROWS(VIP_InstanceList))))),
                                  INDEX(VIP_InstanceList,ROWS($A$6:A32)-ROWS(IPList))),
                                             INDEX(IPList,ROWS($A$6:A32)))</f>
        <v/>
      </c>
      <c r="B32"/>
      <c r="C32"/>
      <c r="D32"/>
      <c r="E32"/>
      <c r="F32"/>
      <c r="G32" s="1553" t="s">
        <v>22</v>
      </c>
      <c r="H32"/>
      <c r="I32"/>
      <c r="J32"/>
      <c r="K32" s="2725" t="str">
        <f ca="1">IF(ISERROR(INDEX(Assetlist,ROWS($A$6:A32))),
            IF(ISERROR(INDEX(VMList,ROWS($A$6:A32)-ROWS(Assetlist))),"",
                                   INDEX(VMList,ROWS($A$6:A32)-ROWS(Assetlist))),
                                                        INDEX(Assetlist,ROWS($A$6:A32)))</f>
        <v/>
      </c>
      <c r="L32"/>
      <c r="M32" s="3"/>
      <c r="N32" s="3"/>
      <c r="O32" s="3"/>
      <c r="P32" s="3" t="s">
        <v>4416</v>
      </c>
      <c r="Q32" s="3"/>
      <c r="R32" s="3"/>
      <c r="S32"/>
      <c r="T32"/>
      <c r="U32"/>
      <c r="V32"/>
      <c r="W32" s="2646" t="str">
        <f ca="1">IF(ISERROR(INDEX(AssetDecomList,ROWS($A$6:A32))),
IF(ISERROR(INDEX(AssetDecomVIPs,ROWS($A$6:A32)-ROWS(AssetDecomList))),"",INDEX(AssetDecomVIPs,ROWS($A$6:A32)-ROWS(AssetDecomList))),
INDEX(AssetDecomList,ROWS($A$6:A32)))</f>
        <v/>
      </c>
      <c r="X32"/>
      <c r="Y32" s="2994" t="s">
        <v>1782</v>
      </c>
      <c r="Z32" s="3277" t="s">
        <v>5544</v>
      </c>
      <c r="AA32" s="2994">
        <v>2486</v>
      </c>
      <c r="AB32" s="3277" t="s">
        <v>5540</v>
      </c>
      <c r="AC32" s="3277" t="s">
        <v>5541</v>
      </c>
      <c r="AD32" s="3277" t="s">
        <v>5542</v>
      </c>
      <c r="AE32"/>
      <c r="AF32"/>
      <c r="AG32"/>
      <c r="AH32" s="684"/>
      <c r="AI32"/>
      <c r="AJ32"/>
      <c r="AK32"/>
      <c r="AL32"/>
      <c r="AM32" s="1656"/>
      <c r="AN32"/>
      <c r="AO32"/>
      <c r="AP32"/>
      <c r="AQ32"/>
      <c r="AR32"/>
      <c r="AS32"/>
      <c r="AT32"/>
      <c r="AU32"/>
      <c r="AV32" s="1655"/>
      <c r="AW32" s="931"/>
      <c r="AX32" s="931"/>
      <c r="AY32" s="713" t="s">
        <v>546</v>
      </c>
      <c r="AZ32" s="714" t="s">
        <v>529</v>
      </c>
      <c r="BA32" s="714" t="s">
        <v>486</v>
      </c>
      <c r="BB32" s="714"/>
      <c r="BC32" s="714" t="s">
        <v>2315</v>
      </c>
      <c r="BD32" s="714" t="s">
        <v>529</v>
      </c>
      <c r="BE32" s="714"/>
      <c r="BF32" s="714"/>
      <c r="BG32" s="714"/>
      <c r="BH32" s="714"/>
      <c r="BI32" s="715" t="s">
        <v>2273</v>
      </c>
      <c r="BJ32"/>
      <c r="BK32"/>
      <c r="BL32" s="2441" t="s">
        <v>742</v>
      </c>
      <c r="BM32" s="2439" t="s">
        <v>730</v>
      </c>
      <c r="BN32" s="2439" t="s">
        <v>67</v>
      </c>
      <c r="BO32" s="2440" t="s">
        <v>2489</v>
      </c>
      <c r="BP32" s="2654"/>
      <c r="BQ32" s="18"/>
      <c r="BR32" s="18"/>
      <c r="BS32" s="18"/>
      <c r="BT32" s="18"/>
      <c r="BU32" s="18"/>
      <c r="BW32" s="87"/>
      <c r="CC32" s="126"/>
      <c r="CD32" s="126"/>
      <c r="CE32" s="126"/>
      <c r="CG32" s="126"/>
      <c r="CK32" s="1773" t="s">
        <v>4161</v>
      </c>
      <c r="CM32" s="126"/>
      <c r="CO32" s="2744" t="s">
        <v>5530</v>
      </c>
      <c r="CP32" s="2745" t="b">
        <v>1</v>
      </c>
      <c r="CQ32" s="2745" t="b">
        <v>1</v>
      </c>
      <c r="CR32" s="2746">
        <v>443</v>
      </c>
      <c r="CS32" s="2746">
        <v>8443</v>
      </c>
      <c r="CT32" s="2746" t="s">
        <v>1472</v>
      </c>
      <c r="CU32" s="2746" t="s">
        <v>4380</v>
      </c>
      <c r="CV32" s="2746" t="s">
        <v>1477</v>
      </c>
      <c r="CW32" s="3274" t="s">
        <v>5531</v>
      </c>
      <c r="DP32" s="4"/>
      <c r="DQ32" s="4"/>
      <c r="DR32" s="4"/>
      <c r="DS32" s="4"/>
      <c r="DT32" s="4"/>
      <c r="DU32" s="4"/>
      <c r="EA32" s="984" t="s">
        <v>2868</v>
      </c>
      <c r="ED32" s="984" t="s">
        <v>2928</v>
      </c>
      <c r="EK32" s="126"/>
      <c r="FD32" s="1928"/>
      <c r="FE32" s="126"/>
    </row>
    <row r="33" spans="1:161" s="10" customFormat="1" ht="15.75" thickBot="1">
      <c r="A33" s="1758" t="str">
        <f ca="1">IF(ISERROR(INDEX(IPList,ROWS($A$6:A33))),
         IF(ISERROR(INDEX(VIP_InstanceList,ROWS($A$6:A33)-ROWS(IPList))),
                IF(ISERROR(INDEX(GTMLIST,ROWS($A$6:A33)-(ROWS(IPList)+(ROWS(VIP_InstanceList))))),"",
                      INDEX(GTMLIST,ROWS($A$6:A33)-(ROWS(IPList)+(ROWS(VIP_InstanceList))))),
                                  INDEX(VIP_InstanceList,ROWS($A$6:A33)-ROWS(IPList))),
                                             INDEX(IPList,ROWS($A$6:A33)))</f>
        <v/>
      </c>
      <c r="B33"/>
      <c r="C33"/>
      <c r="D33"/>
      <c r="E33"/>
      <c r="F33"/>
      <c r="G33" s="52" t="s">
        <v>1031</v>
      </c>
      <c r="H33"/>
      <c r="I33"/>
      <c r="J33"/>
      <c r="K33" s="2725" t="str">
        <f ca="1">IF(ISERROR(INDEX(Assetlist,ROWS($A$6:A33))),
            IF(ISERROR(INDEX(VMList,ROWS($A$6:A33)-ROWS(Assetlist))),"",
                                   INDEX(VMList,ROWS($A$6:A33)-ROWS(Assetlist))),
                                                        INDEX(Assetlist,ROWS($A$6:A33)))</f>
        <v/>
      </c>
      <c r="L33"/>
      <c r="M33" s="3"/>
      <c r="N33" s="3"/>
      <c r="O33" s="3"/>
      <c r="P33" s="3" t="s">
        <v>4417</v>
      </c>
      <c r="Q33" s="3"/>
      <c r="R33" s="3"/>
      <c r="S33"/>
      <c r="T33"/>
      <c r="U33"/>
      <c r="V33"/>
      <c r="W33" s="2646" t="str">
        <f ca="1">IF(ISERROR(INDEX(AssetDecomList,ROWS($A$6:A33))),
IF(ISERROR(INDEX(AssetDecomVIPs,ROWS($A$6:A33)-ROWS(AssetDecomList))),"",INDEX(AssetDecomVIPs,ROWS($A$6:A33)-ROWS(AssetDecomList))),
INDEX(AssetDecomList,ROWS($A$6:A33)))</f>
        <v/>
      </c>
      <c r="X33"/>
      <c r="Y33" s="2974"/>
      <c r="Z33" s="2975" t="s">
        <v>4672</v>
      </c>
      <c r="AA33" s="2974"/>
      <c r="AB33" s="2974"/>
      <c r="AC33" s="2974"/>
      <c r="AD33" s="2974"/>
      <c r="AE33"/>
      <c r="AF33"/>
      <c r="AG33"/>
      <c r="AH33" s="684"/>
      <c r="AI33"/>
      <c r="AJ33"/>
      <c r="AK33"/>
      <c r="AL33"/>
      <c r="AM33"/>
      <c r="AN33"/>
      <c r="AO33"/>
      <c r="AP33"/>
      <c r="AQ33"/>
      <c r="AR33"/>
      <c r="AS33"/>
      <c r="AT33"/>
      <c r="AU33"/>
      <c r="AV33" s="1655"/>
      <c r="AW33" s="931"/>
      <c r="AX33" s="931"/>
      <c r="AY33" s="713" t="s">
        <v>546</v>
      </c>
      <c r="AZ33" s="714" t="s">
        <v>565</v>
      </c>
      <c r="BA33" s="714" t="s">
        <v>486</v>
      </c>
      <c r="BB33" s="714"/>
      <c r="BC33" s="714" t="s">
        <v>2315</v>
      </c>
      <c r="BD33" s="714" t="s">
        <v>565</v>
      </c>
      <c r="BE33" s="714"/>
      <c r="BF33" s="714"/>
      <c r="BG33" s="714"/>
      <c r="BH33" s="714"/>
      <c r="BI33" s="715" t="s">
        <v>2273</v>
      </c>
      <c r="BJ33"/>
      <c r="BK33"/>
      <c r="BL33" s="2441" t="s">
        <v>706</v>
      </c>
      <c r="BM33" s="2439" t="s">
        <v>731</v>
      </c>
      <c r="BN33" s="2439" t="s">
        <v>67</v>
      </c>
      <c r="BO33" s="2440" t="s">
        <v>2489</v>
      </c>
      <c r="BP33" s="2654"/>
      <c r="BQ33" s="18"/>
      <c r="BR33" s="18"/>
      <c r="BS33" s="18"/>
      <c r="BT33" s="18"/>
      <c r="BU33" s="18"/>
      <c r="BW33" s="87"/>
      <c r="CC33" s="126"/>
      <c r="CD33" s="126"/>
      <c r="CE33" s="126"/>
      <c r="CG33" s="126"/>
      <c r="CK33" s="1773" t="s">
        <v>3541</v>
      </c>
      <c r="CM33" s="126"/>
      <c r="CO33" s="2744" t="s">
        <v>5532</v>
      </c>
      <c r="CP33" s="2745" t="b">
        <v>1</v>
      </c>
      <c r="CQ33" s="2745" t="b">
        <v>1</v>
      </c>
      <c r="CR33" s="2746">
        <v>443</v>
      </c>
      <c r="CS33" s="2746">
        <v>8443</v>
      </c>
      <c r="CT33" s="2746" t="s">
        <v>1472</v>
      </c>
      <c r="CU33" s="2746" t="s">
        <v>4380</v>
      </c>
      <c r="CV33" s="2746" t="s">
        <v>1477</v>
      </c>
      <c r="CW33" s="3274" t="s">
        <v>5533</v>
      </c>
      <c r="EA33" s="985" t="s">
        <v>2869</v>
      </c>
      <c r="ED33" s="985" t="s">
        <v>2929</v>
      </c>
      <c r="EE33" s="931"/>
      <c r="EK33" s="126"/>
      <c r="FD33" s="1929"/>
      <c r="FE33" s="126"/>
    </row>
    <row r="34" spans="1:161" s="10" customFormat="1" ht="13.5" thickBot="1">
      <c r="A34" s="1758" t="str">
        <f ca="1">IF(ISERROR(INDEX(IPList,ROWS($A$6:A34))),
         IF(ISERROR(INDEX(VIP_InstanceList,ROWS($A$6:A34)-ROWS(IPList))),
                IF(ISERROR(INDEX(GTMLIST,ROWS($A$6:A34)-(ROWS(IPList)+(ROWS(VIP_InstanceList))))),"",
                      INDEX(GTMLIST,ROWS($A$6:A34)-(ROWS(IPList)+(ROWS(VIP_InstanceList))))),
                                  INDEX(VIP_InstanceList,ROWS($A$6:A34)-ROWS(IPList))),
                                             INDEX(IPList,ROWS($A$6:A34)))</f>
        <v/>
      </c>
      <c r="B34"/>
      <c r="C34"/>
      <c r="D34"/>
      <c r="E34"/>
      <c r="F34"/>
      <c r="G34" s="1553" t="s">
        <v>2726</v>
      </c>
      <c r="H34"/>
      <c r="I34"/>
      <c r="J34"/>
      <c r="K34" s="2725" t="str">
        <f ca="1">IF(ISERROR(INDEX(Assetlist,ROWS($A$6:A34))),
            IF(ISERROR(INDEX(VMList,ROWS($A$6:A34)-ROWS(Assetlist))),"",
                                   INDEX(VMList,ROWS($A$6:A34)-ROWS(Assetlist))),
                                                        INDEX(Assetlist,ROWS($A$6:A34)))</f>
        <v/>
      </c>
      <c r="L34"/>
      <c r="M34" s="3"/>
      <c r="N34" s="3"/>
      <c r="O34" s="3"/>
      <c r="P34" s="3097" t="s">
        <v>5126</v>
      </c>
      <c r="Q34" s="3"/>
      <c r="R34" s="3"/>
      <c r="S34"/>
      <c r="T34"/>
      <c r="U34"/>
      <c r="V34"/>
      <c r="W34" s="2646" t="str">
        <f ca="1">IF(ISERROR(INDEX(AssetDecomList,ROWS($A$6:A34))),
IF(ISERROR(INDEX(AssetDecomVIPs,ROWS($A$6:A34)-ROWS(AssetDecomList))),"",INDEX(AssetDecomVIPs,ROWS($A$6:A34)-ROWS(AssetDecomList))),
INDEX(AssetDecomList,ROWS($A$6:A34)))</f>
        <v/>
      </c>
      <c r="X34"/>
      <c r="Y34" s="1927" t="s">
        <v>1782</v>
      </c>
      <c r="Z34" s="1927" t="s">
        <v>3575</v>
      </c>
      <c r="AA34" s="1927">
        <v>1320</v>
      </c>
      <c r="AB34" s="1927" t="s">
        <v>1546</v>
      </c>
      <c r="AC34" s="1927" t="s">
        <v>1549</v>
      </c>
      <c r="AD34" s="1927" t="s">
        <v>1552</v>
      </c>
      <c r="AE34"/>
      <c r="AF34"/>
      <c r="AG34"/>
      <c r="AH34" s="684"/>
      <c r="AI34"/>
      <c r="AJ34"/>
      <c r="AK34"/>
      <c r="AL34"/>
      <c r="AM34"/>
      <c r="AN34"/>
      <c r="AO34"/>
      <c r="AP34"/>
      <c r="AQ34"/>
      <c r="AR34"/>
      <c r="AS34"/>
      <c r="AT34"/>
      <c r="AU34"/>
      <c r="AV34" s="1655"/>
      <c r="AW34" s="931"/>
      <c r="AX34" s="931"/>
      <c r="AY34" s="713" t="s">
        <v>546</v>
      </c>
      <c r="AZ34" s="714" t="s">
        <v>568</v>
      </c>
      <c r="BA34" s="714" t="s">
        <v>486</v>
      </c>
      <c r="BB34" s="714"/>
      <c r="BC34" s="714" t="s">
        <v>2315</v>
      </c>
      <c r="BD34" s="714" t="s">
        <v>568</v>
      </c>
      <c r="BE34" s="714"/>
      <c r="BF34" s="714"/>
      <c r="BG34" s="714"/>
      <c r="BH34" s="714"/>
      <c r="BI34" s="715" t="s">
        <v>2273</v>
      </c>
      <c r="BJ34"/>
      <c r="BK34"/>
      <c r="BL34" s="2441" t="s">
        <v>707</v>
      </c>
      <c r="BM34" s="2439" t="s">
        <v>732</v>
      </c>
      <c r="BN34" s="2439" t="s">
        <v>67</v>
      </c>
      <c r="BO34" s="2440" t="s">
        <v>2489</v>
      </c>
      <c r="BP34" s="2654"/>
      <c r="BQ34" s="18"/>
      <c r="BR34" s="18"/>
      <c r="BS34" s="18"/>
      <c r="BT34" s="18"/>
      <c r="BU34" s="18"/>
      <c r="BW34" s="87"/>
      <c r="CC34" s="126"/>
      <c r="CD34" s="126"/>
      <c r="CE34" s="126"/>
      <c r="CG34" s="126"/>
      <c r="CK34" s="1773" t="s">
        <v>5259</v>
      </c>
      <c r="CO34" s="427" t="s">
        <v>70</v>
      </c>
      <c r="CP34" s="2925"/>
      <c r="CQ34" s="2925"/>
      <c r="CR34" s="2925"/>
      <c r="CS34" s="2925"/>
      <c r="CT34" s="2925"/>
      <c r="CU34" s="2925"/>
      <c r="CV34" s="2925"/>
      <c r="CW34" s="418"/>
      <c r="EA34" s="973" t="s">
        <v>2870</v>
      </c>
      <c r="ED34" s="973" t="s">
        <v>2930</v>
      </c>
      <c r="EK34" s="126"/>
    </row>
    <row r="35" spans="1:161" s="10" customFormat="1" ht="13.5" thickBot="1">
      <c r="A35" s="1758" t="str">
        <f ca="1">IF(ISERROR(INDEX(IPList,ROWS($A$6:A35))),
         IF(ISERROR(INDEX(VIP_InstanceList,ROWS($A$6:A35)-ROWS(IPList))),
                IF(ISERROR(INDEX(GTMLIST,ROWS($A$6:A35)-(ROWS(IPList)+(ROWS(VIP_InstanceList))))),"",
                      INDEX(GTMLIST,ROWS($A$6:A35)-(ROWS(IPList)+(ROWS(VIP_InstanceList))))),
                                  INDEX(VIP_InstanceList,ROWS($A$6:A35)-ROWS(IPList))),
                                             INDEX(IPList,ROWS($A$6:A35)))</f>
        <v/>
      </c>
      <c r="B35"/>
      <c r="C35"/>
      <c r="D35"/>
      <c r="E35"/>
      <c r="F35"/>
      <c r="G35" s="1553" t="s">
        <v>3590</v>
      </c>
      <c r="H35"/>
      <c r="I35"/>
      <c r="J35"/>
      <c r="K35" s="2725" t="str">
        <f ca="1">IF(ISERROR(INDEX(Assetlist,ROWS($A$6:A35))),
            IF(ISERROR(INDEX(VMList,ROWS($A$6:A35)-ROWS(Assetlist))),"",
                                   INDEX(VMList,ROWS($A$6:A35)-ROWS(Assetlist))),
                                                        INDEX(Assetlist,ROWS($A$6:A35)))</f>
        <v/>
      </c>
      <c r="L35"/>
      <c r="M35" s="3"/>
      <c r="N35" s="3"/>
      <c r="O35" s="3"/>
      <c r="P35" s="3" t="s">
        <v>4418</v>
      </c>
      <c r="Q35" s="3"/>
      <c r="R35" s="3"/>
      <c r="S35"/>
      <c r="T35"/>
      <c r="U35"/>
      <c r="V35"/>
      <c r="W35" s="2646" t="str">
        <f ca="1">IF(ISERROR(INDEX(AssetDecomList,ROWS($A$6:A35))),
IF(ISERROR(INDEX(AssetDecomVIPs,ROWS($A$6:A35)-ROWS(AssetDecomList))),"",INDEX(AssetDecomVIPs,ROWS($A$6:A35)-ROWS(AssetDecomList))),
INDEX(AssetDecomList,ROWS($A$6:A35)))</f>
        <v/>
      </c>
      <c r="X35"/>
      <c r="Y35" s="1927" t="s">
        <v>1782</v>
      </c>
      <c r="Z35" s="1927" t="s">
        <v>3576</v>
      </c>
      <c r="AA35" s="1927">
        <v>1321</v>
      </c>
      <c r="AB35" s="1927" t="s">
        <v>1547</v>
      </c>
      <c r="AC35" s="1927" t="s">
        <v>1550</v>
      </c>
      <c r="AD35" s="1927" t="s">
        <v>1553</v>
      </c>
      <c r="AE35"/>
      <c r="AF35"/>
      <c r="AG35"/>
      <c r="AH35" s="684"/>
      <c r="AI35"/>
      <c r="AJ35"/>
      <c r="AK35"/>
      <c r="AL35"/>
      <c r="AM35"/>
      <c r="AN35"/>
      <c r="AO35"/>
      <c r="AP35"/>
      <c r="AQ35"/>
      <c r="AR35"/>
      <c r="AS35"/>
      <c r="AT35"/>
      <c r="AU35"/>
      <c r="AV35" s="1655"/>
      <c r="AW35" s="931"/>
      <c r="AX35" s="931"/>
      <c r="AY35" s="713" t="s">
        <v>546</v>
      </c>
      <c r="AZ35" s="714" t="s">
        <v>569</v>
      </c>
      <c r="BA35" s="714" t="s">
        <v>486</v>
      </c>
      <c r="BB35" s="714"/>
      <c r="BC35" s="714" t="s">
        <v>2315</v>
      </c>
      <c r="BD35" s="714" t="s">
        <v>568</v>
      </c>
      <c r="BE35" s="714"/>
      <c r="BF35" s="714"/>
      <c r="BG35" s="714"/>
      <c r="BH35" s="714"/>
      <c r="BI35" s="715" t="s">
        <v>2273</v>
      </c>
      <c r="BJ35"/>
      <c r="BK35"/>
      <c r="BL35" s="2441" t="s">
        <v>771</v>
      </c>
      <c r="BM35" s="2439" t="s">
        <v>772</v>
      </c>
      <c r="BN35" s="2439" t="s">
        <v>59</v>
      </c>
      <c r="BO35" s="2440" t="s">
        <v>26</v>
      </c>
      <c r="BP35" s="2654"/>
      <c r="BQ35" s="18"/>
      <c r="BR35" s="18"/>
      <c r="BS35" s="18"/>
      <c r="BT35" s="18"/>
      <c r="BU35" s="18"/>
      <c r="BW35" s="87"/>
      <c r="CC35" s="126"/>
      <c r="CD35" s="126"/>
      <c r="CE35" s="126"/>
      <c r="CG35" s="126"/>
      <c r="CK35" s="1773" t="s">
        <v>3542</v>
      </c>
      <c r="EA35" s="974" t="s">
        <v>2871</v>
      </c>
      <c r="ED35" s="974" t="s">
        <v>2931</v>
      </c>
      <c r="EK35" s="126"/>
    </row>
    <row r="36" spans="1:161" s="10" customFormat="1" ht="13.5" thickBot="1">
      <c r="A36" s="1758" t="str">
        <f ca="1">IF(ISERROR(INDEX(IPList,ROWS($A$6:A36))),
         IF(ISERROR(INDEX(VIP_InstanceList,ROWS($A$6:A36)-ROWS(IPList))),
                IF(ISERROR(INDEX(GTMLIST,ROWS($A$6:A36)-(ROWS(IPList)+(ROWS(VIP_InstanceList))))),"",
                      INDEX(GTMLIST,ROWS($A$6:A36)-(ROWS(IPList)+(ROWS(VIP_InstanceList))))),
                                  INDEX(VIP_InstanceList,ROWS($A$6:A36)-ROWS(IPList))),
                                             INDEX(IPList,ROWS($A$6:A36)))</f>
        <v/>
      </c>
      <c r="B36"/>
      <c r="C36"/>
      <c r="D36"/>
      <c r="E36"/>
      <c r="F36"/>
      <c r="G36" s="1553" t="s">
        <v>2727</v>
      </c>
      <c r="H36"/>
      <c r="I36"/>
      <c r="J36"/>
      <c r="K36" s="2725" t="str">
        <f ca="1">IF(ISERROR(INDEX(Assetlist,ROWS($A$6:A36))),
            IF(ISERROR(INDEX(VMList,ROWS($A$6:A36)-ROWS(Assetlist))),"",
                                   INDEX(VMList,ROWS($A$6:A36)-ROWS(Assetlist))),
                                                        INDEX(Assetlist,ROWS($A$6:A36)))</f>
        <v/>
      </c>
      <c r="L36"/>
      <c r="M36" s="3"/>
      <c r="N36" s="3"/>
      <c r="O36" s="3"/>
      <c r="P36" s="3" t="s">
        <v>1724</v>
      </c>
      <c r="Q36" s="3"/>
      <c r="R36" s="3"/>
      <c r="S36"/>
      <c r="T36"/>
      <c r="U36"/>
      <c r="V36"/>
      <c r="W36" s="2646" t="str">
        <f ca="1">IF(ISERROR(INDEX(AssetDecomList,ROWS($A$6:A36))),
IF(ISERROR(INDEX(AssetDecomVIPs,ROWS($A$6:A36)-ROWS(AssetDecomList))),"",INDEX(AssetDecomVIPs,ROWS($A$6:A36)-ROWS(AssetDecomList))),
INDEX(AssetDecomList,ROWS($A$6:A36)))</f>
        <v/>
      </c>
      <c r="X36"/>
      <c r="Y36" s="1927" t="s">
        <v>1782</v>
      </c>
      <c r="Z36" s="1927" t="s">
        <v>3577</v>
      </c>
      <c r="AA36" s="1927">
        <v>1322</v>
      </c>
      <c r="AB36" s="1927" t="s">
        <v>1548</v>
      </c>
      <c r="AC36" s="1927" t="s">
        <v>1551</v>
      </c>
      <c r="AD36" s="1927" t="s">
        <v>1553</v>
      </c>
      <c r="AE36"/>
      <c r="AF36"/>
      <c r="AG36"/>
      <c r="AH36" s="684"/>
      <c r="AI36"/>
      <c r="AJ36"/>
      <c r="AK36"/>
      <c r="AL36"/>
      <c r="AM36"/>
      <c r="AN36"/>
      <c r="AO36"/>
      <c r="AP36"/>
      <c r="AQ36"/>
      <c r="AR36"/>
      <c r="AS36"/>
      <c r="AT36"/>
      <c r="AU36"/>
      <c r="AV36" s="1655"/>
      <c r="AW36" s="931"/>
      <c r="AX36" s="931"/>
      <c r="AY36" s="713" t="s">
        <v>547</v>
      </c>
      <c r="AZ36" s="714" t="s">
        <v>530</v>
      </c>
      <c r="BA36" s="714" t="s">
        <v>487</v>
      </c>
      <c r="BB36" s="714" t="s">
        <v>2316</v>
      </c>
      <c r="BC36" s="714" t="s">
        <v>2317</v>
      </c>
      <c r="BD36" s="714" t="s">
        <v>530</v>
      </c>
      <c r="BE36" s="714"/>
      <c r="BF36" s="714"/>
      <c r="BG36" s="714"/>
      <c r="BH36" s="714"/>
      <c r="BI36" s="715" t="s">
        <v>2273</v>
      </c>
      <c r="BJ36"/>
      <c r="BK36"/>
      <c r="BL36" s="2441" t="s">
        <v>733</v>
      </c>
      <c r="BM36" s="2439" t="s">
        <v>736</v>
      </c>
      <c r="BN36" s="2439" t="s">
        <v>59</v>
      </c>
      <c r="BO36" s="2440" t="s">
        <v>723</v>
      </c>
      <c r="BP36" s="2654"/>
      <c r="BQ36" s="18"/>
      <c r="BR36" s="18"/>
      <c r="BS36" s="18"/>
      <c r="BT36" s="18"/>
      <c r="BU36" s="18"/>
      <c r="BW36" s="87"/>
      <c r="CC36" s="126"/>
      <c r="CD36" s="126"/>
      <c r="CE36" s="126"/>
      <c r="CG36" s="126"/>
      <c r="CK36" s="758" t="s">
        <v>3540</v>
      </c>
      <c r="EA36" s="984" t="s">
        <v>2872</v>
      </c>
      <c r="ED36" s="984" t="s">
        <v>2932</v>
      </c>
      <c r="EK36" s="126"/>
    </row>
    <row r="37" spans="1:161" s="10" customFormat="1" ht="13.5" thickBot="1">
      <c r="A37" s="1758" t="str">
        <f ca="1">IF(ISERROR(INDEX(IPList,ROWS($A$6:A37))),
         IF(ISERROR(INDEX(VIP_InstanceList,ROWS($A$6:A37)-ROWS(IPList))),
                IF(ISERROR(INDEX(GTMLIST,ROWS($A$6:A37)-(ROWS(IPList)+(ROWS(VIP_InstanceList))))),"",
                      INDEX(GTMLIST,ROWS($A$6:A37)-(ROWS(IPList)+(ROWS(VIP_InstanceList))))),
                                  INDEX(VIP_InstanceList,ROWS($A$6:A37)-ROWS(IPList))),
                                             INDEX(IPList,ROWS($A$6:A37)))</f>
        <v/>
      </c>
      <c r="B37"/>
      <c r="C37"/>
      <c r="D37"/>
      <c r="E37"/>
      <c r="F37"/>
      <c r="G37" s="1588" t="s">
        <v>1032</v>
      </c>
      <c r="H37"/>
      <c r="I37"/>
      <c r="J37"/>
      <c r="K37" s="2725" t="str">
        <f ca="1">IF(ISERROR(INDEX(Assetlist,ROWS($A$6:A37))),
            IF(ISERROR(INDEX(VMList,ROWS($A$6:A37)-ROWS(Assetlist))),"",
                                   INDEX(VMList,ROWS($A$6:A37)-ROWS(Assetlist))),
                                                        INDEX(Assetlist,ROWS($A$6:A37)))</f>
        <v/>
      </c>
      <c r="L37"/>
      <c r="M37" s="3"/>
      <c r="N37" s="3"/>
      <c r="O37" s="3"/>
      <c r="P37" s="3" t="s">
        <v>4419</v>
      </c>
      <c r="Q37" s="3"/>
      <c r="R37" s="3"/>
      <c r="S37"/>
      <c r="T37"/>
      <c r="U37"/>
      <c r="V37"/>
      <c r="W37" s="2646" t="str">
        <f ca="1">IF(ISERROR(INDEX(AssetDecomList,ROWS($A$6:A37))),
IF(ISERROR(INDEX(AssetDecomVIPs,ROWS($A$6:A37)-ROWS(AssetDecomList))),"",INDEX(AssetDecomVIPs,ROWS($A$6:A37)-ROWS(AssetDecomList))),
INDEX(AssetDecomList,ROWS($A$6:A37)))</f>
        <v/>
      </c>
      <c r="X37"/>
      <c r="Y37" s="1927" t="s">
        <v>1782</v>
      </c>
      <c r="Z37" s="1927" t="s">
        <v>3863</v>
      </c>
      <c r="AA37" s="1927">
        <v>1345</v>
      </c>
      <c r="AB37" s="1927" t="s">
        <v>3864</v>
      </c>
      <c r="AC37" s="1927" t="s">
        <v>3865</v>
      </c>
      <c r="AD37" s="1927" t="s">
        <v>3866</v>
      </c>
      <c r="AE37"/>
      <c r="AF37"/>
      <c r="AG37"/>
      <c r="AH37" s="684"/>
      <c r="AI37"/>
      <c r="AJ37"/>
      <c r="AK37"/>
      <c r="AL37"/>
      <c r="AM37"/>
      <c r="AN37"/>
      <c r="AO37"/>
      <c r="AP37"/>
      <c r="AQ37"/>
      <c r="AR37"/>
      <c r="AS37"/>
      <c r="AT37"/>
      <c r="AU37"/>
      <c r="AV37" s="1655"/>
      <c r="AW37" s="931"/>
      <c r="AX37" s="931"/>
      <c r="AY37" s="713" t="s">
        <v>547</v>
      </c>
      <c r="AZ37" s="714" t="s">
        <v>566</v>
      </c>
      <c r="BA37" s="714" t="s">
        <v>487</v>
      </c>
      <c r="BB37" s="714"/>
      <c r="BC37" s="714" t="s">
        <v>2317</v>
      </c>
      <c r="BD37" s="714" t="s">
        <v>566</v>
      </c>
      <c r="BE37" s="714"/>
      <c r="BF37" s="714"/>
      <c r="BG37" s="714"/>
      <c r="BH37" s="714"/>
      <c r="BI37" s="715" t="s">
        <v>2273</v>
      </c>
      <c r="BJ37"/>
      <c r="BK37"/>
      <c r="BL37" s="2441" t="s">
        <v>734</v>
      </c>
      <c r="BM37" s="2439" t="s">
        <v>737</v>
      </c>
      <c r="BN37" s="2439" t="s">
        <v>59</v>
      </c>
      <c r="BO37" s="2440" t="s">
        <v>723</v>
      </c>
      <c r="BP37" s="2654"/>
      <c r="BQ37" s="18"/>
      <c r="BR37" s="18"/>
      <c r="BS37" s="18"/>
      <c r="BT37" s="18"/>
      <c r="BU37" s="18"/>
      <c r="BW37" s="87"/>
      <c r="CC37" s="126"/>
      <c r="CD37" s="126"/>
      <c r="CE37" s="126"/>
      <c r="CG37" s="126"/>
      <c r="CK37" s="2299"/>
      <c r="EA37" s="988" t="s">
        <v>2873</v>
      </c>
      <c r="ED37" s="988" t="s">
        <v>2933</v>
      </c>
      <c r="EE37" s="126"/>
      <c r="EK37" s="126"/>
    </row>
    <row r="38" spans="1:161" s="10" customFormat="1">
      <c r="A38" s="1758" t="str">
        <f ca="1">IF(ISERROR(INDEX(IPList,ROWS($A$6:A38))),
         IF(ISERROR(INDEX(VIP_InstanceList,ROWS($A$6:A38)-ROWS(IPList))),
                IF(ISERROR(INDEX(GTMLIST,ROWS($A$6:A38)-(ROWS(IPList)+(ROWS(VIP_InstanceList))))),"",
                      INDEX(GTMLIST,ROWS($A$6:A38)-(ROWS(IPList)+(ROWS(VIP_InstanceList))))),
                                  INDEX(VIP_InstanceList,ROWS($A$6:A38)-ROWS(IPList))),
                                             INDEX(IPList,ROWS($A$6:A38)))</f>
        <v/>
      </c>
      <c r="B38"/>
      <c r="C38"/>
      <c r="D38"/>
      <c r="E38"/>
      <c r="F38"/>
      <c r="G38" s="1588" t="s">
        <v>1033</v>
      </c>
      <c r="H38"/>
      <c r="I38"/>
      <c r="J38"/>
      <c r="K38" s="2725" t="str">
        <f ca="1">IF(ISERROR(INDEX(Assetlist,ROWS($A$6:A38))),
            IF(ISERROR(INDEX(VMList,ROWS($A$6:A38)-ROWS(Assetlist))),"",
                                   INDEX(VMList,ROWS($A$6:A38)-ROWS(Assetlist))),
                                                        INDEX(Assetlist,ROWS($A$6:A38)))</f>
        <v/>
      </c>
      <c r="L38"/>
      <c r="M38" s="3"/>
      <c r="N38" s="3"/>
      <c r="O38" s="3"/>
      <c r="P38" s="3" t="s">
        <v>4420</v>
      </c>
      <c r="Q38" s="3"/>
      <c r="R38" s="3"/>
      <c r="S38"/>
      <c r="T38"/>
      <c r="U38"/>
      <c r="V38"/>
      <c r="W38" s="2646" t="str">
        <f ca="1">IF(ISERROR(INDEX(AssetDecomList,ROWS($A$6:A38))),
IF(ISERROR(INDEX(AssetDecomVIPs,ROWS($A$6:A38)-ROWS(AssetDecomList))),"",INDEX(AssetDecomVIPs,ROWS($A$6:A38)-ROWS(AssetDecomList))),
INDEX(AssetDecomList,ROWS($A$6:A38)))</f>
        <v/>
      </c>
      <c r="X38"/>
      <c r="Y38" s="1927" t="s">
        <v>1782</v>
      </c>
      <c r="Z38" s="1927" t="s">
        <v>414</v>
      </c>
      <c r="AA38" s="1927">
        <v>1601</v>
      </c>
      <c r="AB38" s="1927" t="s">
        <v>184</v>
      </c>
      <c r="AC38" s="1927" t="s">
        <v>185</v>
      </c>
      <c r="AD38" s="1927" t="s">
        <v>186</v>
      </c>
      <c r="AE38"/>
      <c r="AF38"/>
      <c r="AG38"/>
      <c r="AH38" s="684"/>
      <c r="AI38"/>
      <c r="AJ38"/>
      <c r="AK38"/>
      <c r="AL38"/>
      <c r="AM38"/>
      <c r="AN38"/>
      <c r="AO38"/>
      <c r="AP38"/>
      <c r="AQ38"/>
      <c r="AR38"/>
      <c r="AS38"/>
      <c r="AT38"/>
      <c r="AU38"/>
      <c r="AV38" s="1655"/>
      <c r="AW38" s="931"/>
      <c r="AX38" s="931"/>
      <c r="AY38" s="713" t="s">
        <v>547</v>
      </c>
      <c r="AZ38" s="714" t="s">
        <v>567</v>
      </c>
      <c r="BA38" s="714" t="s">
        <v>487</v>
      </c>
      <c r="BB38" s="714"/>
      <c r="BC38" s="714" t="s">
        <v>2317</v>
      </c>
      <c r="BD38" s="714" t="s">
        <v>567</v>
      </c>
      <c r="BE38" s="714"/>
      <c r="BF38" s="714"/>
      <c r="BG38" s="714"/>
      <c r="BH38" s="714"/>
      <c r="BI38" s="715" t="s">
        <v>2273</v>
      </c>
      <c r="BJ38"/>
      <c r="BK38"/>
      <c r="BL38" s="2441" t="s">
        <v>735</v>
      </c>
      <c r="BM38" s="2439" t="s">
        <v>738</v>
      </c>
      <c r="BN38" s="2439" t="s">
        <v>59</v>
      </c>
      <c r="BO38" s="2440" t="s">
        <v>723</v>
      </c>
      <c r="BP38" s="2654"/>
      <c r="BQ38" s="18"/>
      <c r="BR38" s="18"/>
      <c r="BS38" s="18"/>
      <c r="BT38" s="18"/>
      <c r="BU38" s="18"/>
      <c r="BW38" s="87"/>
      <c r="CC38" s="126"/>
      <c r="CD38" s="126"/>
      <c r="CE38" s="126"/>
      <c r="CG38" s="126"/>
      <c r="EA38" s="976" t="s">
        <v>2874</v>
      </c>
      <c r="ED38" s="976" t="s">
        <v>2934</v>
      </c>
      <c r="EK38" s="126"/>
    </row>
    <row r="39" spans="1:161" s="10" customFormat="1" ht="13.5" thickBot="1">
      <c r="A39" s="1758" t="str">
        <f ca="1">IF(ISERROR(INDEX(IPList,ROWS($A$6:A39))),
         IF(ISERROR(INDEX(VIP_InstanceList,ROWS($A$6:A39)-ROWS(IPList))),
                IF(ISERROR(INDEX(GTMLIST,ROWS($A$6:A39)-(ROWS(IPList)+(ROWS(VIP_InstanceList))))),"",
                      INDEX(GTMLIST,ROWS($A$6:A39)-(ROWS(IPList)+(ROWS(VIP_InstanceList))))),
                                  INDEX(VIP_InstanceList,ROWS($A$6:A39)-ROWS(IPList))),
                                             INDEX(IPList,ROWS($A$6:A39)))</f>
        <v/>
      </c>
      <c r="B39"/>
      <c r="C39"/>
      <c r="D39"/>
      <c r="E39"/>
      <c r="F39"/>
      <c r="G39" s="2786" t="s">
        <v>4425</v>
      </c>
      <c r="H39"/>
      <c r="I39"/>
      <c r="J39"/>
      <c r="K39" s="2725" t="str">
        <f ca="1">IF(ISERROR(INDEX(Assetlist,ROWS($A$6:A39))),
            IF(ISERROR(INDEX(VMList,ROWS($A$6:A39)-ROWS(Assetlist))),"",
                                   INDEX(VMList,ROWS($A$6:A39)-ROWS(Assetlist))),
                                                        INDEX(Assetlist,ROWS($A$6:A39)))</f>
        <v/>
      </c>
      <c r="L39"/>
      <c r="M39" s="3"/>
      <c r="N39" s="3"/>
      <c r="O39" s="3"/>
      <c r="P39" s="3"/>
      <c r="Q39" s="3"/>
      <c r="R39" s="3"/>
      <c r="S39"/>
      <c r="T39"/>
      <c r="U39"/>
      <c r="V39"/>
      <c r="W39" s="2646" t="str">
        <f ca="1">IF(ISERROR(INDEX(AssetDecomList,ROWS($A$6:A39))),
IF(ISERROR(INDEX(AssetDecomVIPs,ROWS($A$6:A39)-ROWS(AssetDecomList))),"",INDEX(AssetDecomVIPs,ROWS($A$6:A39)-ROWS(AssetDecomList))),
INDEX(AssetDecomList,ROWS($A$6:A39)))</f>
        <v/>
      </c>
      <c r="X39"/>
      <c r="Y39" s="3003" t="s">
        <v>1782</v>
      </c>
      <c r="Z39" s="1927" t="s">
        <v>669</v>
      </c>
      <c r="AA39" s="1927">
        <v>1614</v>
      </c>
      <c r="AB39" s="1927" t="s">
        <v>670</v>
      </c>
      <c r="AC39" s="1927" t="s">
        <v>712</v>
      </c>
      <c r="AD39" s="1927" t="s">
        <v>713</v>
      </c>
      <c r="AE39"/>
      <c r="AF39"/>
      <c r="AG39"/>
      <c r="AH39" s="684"/>
      <c r="AI39"/>
      <c r="AJ39"/>
      <c r="AK39"/>
      <c r="AL39"/>
      <c r="AM39"/>
      <c r="AN39"/>
      <c r="AO39"/>
      <c r="AP39"/>
      <c r="AQ39"/>
      <c r="AR39"/>
      <c r="AS39"/>
      <c r="AT39"/>
      <c r="AU39"/>
      <c r="AV39" s="1655"/>
      <c r="AW39" s="931"/>
      <c r="AX39" s="931"/>
      <c r="AY39" s="713" t="s">
        <v>547</v>
      </c>
      <c r="AZ39" s="714" t="s">
        <v>531</v>
      </c>
      <c r="BA39" s="714" t="s">
        <v>487</v>
      </c>
      <c r="BB39" s="714"/>
      <c r="BC39" s="714" t="s">
        <v>2317</v>
      </c>
      <c r="BD39" s="714" t="s">
        <v>531</v>
      </c>
      <c r="BE39" s="714"/>
      <c r="BF39" s="714"/>
      <c r="BG39" s="714"/>
      <c r="BH39" s="714"/>
      <c r="BI39" s="715" t="s">
        <v>2273</v>
      </c>
      <c r="BJ39"/>
      <c r="BK39"/>
      <c r="BL39" s="2441" t="s">
        <v>861</v>
      </c>
      <c r="BM39" s="2439" t="s">
        <v>862</v>
      </c>
      <c r="BN39" s="2439" t="s">
        <v>59</v>
      </c>
      <c r="BO39" s="2440" t="s">
        <v>723</v>
      </c>
      <c r="BP39" s="2654"/>
      <c r="BQ39" s="18"/>
      <c r="BR39" s="18"/>
      <c r="BS39" s="18"/>
      <c r="BT39" s="18"/>
      <c r="BU39" s="18"/>
      <c r="BW39" s="87"/>
      <c r="CC39" s="126"/>
      <c r="CD39" s="126"/>
      <c r="CE39" s="126"/>
      <c r="CG39" s="126"/>
      <c r="EA39" s="977" t="s">
        <v>2875</v>
      </c>
      <c r="ED39" s="977" t="s">
        <v>2935</v>
      </c>
      <c r="EE39" s="126"/>
      <c r="EK39" s="126"/>
    </row>
    <row r="40" spans="1:161" s="10" customFormat="1" ht="15">
      <c r="A40" s="1758" t="str">
        <f ca="1">IF(ISERROR(INDEX(IPList,ROWS($A$6:A40))),
         IF(ISERROR(INDEX(VIP_InstanceList,ROWS($A$6:A40)-ROWS(IPList))),
                IF(ISERROR(INDEX(GTMLIST,ROWS($A$6:A40)-(ROWS(IPList)+(ROWS(VIP_InstanceList))))),"",
                      INDEX(GTMLIST,ROWS($A$6:A40)-(ROWS(IPList)+(ROWS(VIP_InstanceList))))),
                                  INDEX(VIP_InstanceList,ROWS($A$6:A40)-ROWS(IPList))),
                                             INDEX(IPList,ROWS($A$6:A40)))</f>
        <v/>
      </c>
      <c r="B40"/>
      <c r="C40"/>
      <c r="D40"/>
      <c r="E40"/>
      <c r="F40"/>
      <c r="G40" s="2445" t="s">
        <v>801</v>
      </c>
      <c r="H40"/>
      <c r="I40"/>
      <c r="J40"/>
      <c r="K40" s="2725" t="str">
        <f ca="1">IF(ISERROR(INDEX(Assetlist,ROWS($A$6:A40))),
            IF(ISERROR(INDEX(VMList,ROWS($A$6:A40)-ROWS(Assetlist))),"",
                                   INDEX(VMList,ROWS($A$6:A40)-ROWS(Assetlist))),
                                                        INDEX(Assetlist,ROWS($A$6:A40)))</f>
        <v/>
      </c>
      <c r="L40"/>
      <c r="M40" s="3"/>
      <c r="N40" s="3"/>
      <c r="O40" s="3"/>
      <c r="P40" s="3"/>
      <c r="Q40" s="3"/>
      <c r="R40" s="3"/>
      <c r="S40"/>
      <c r="T40"/>
      <c r="U40"/>
      <c r="V40"/>
      <c r="W40" s="2646" t="str">
        <f ca="1">IF(ISERROR(INDEX(AssetDecomList,ROWS($A$6:A40))),
IF(ISERROR(INDEX(AssetDecomVIPs,ROWS($A$6:A40)-ROWS(AssetDecomList))),"",INDEX(AssetDecomVIPs,ROWS($A$6:A40)-ROWS(AssetDecomList))),
INDEX(AssetDecomList,ROWS($A$6:A40)))</f>
        <v/>
      </c>
      <c r="X40"/>
      <c r="Y40" s="3003" t="s">
        <v>1782</v>
      </c>
      <c r="Z40" s="3003" t="s">
        <v>420</v>
      </c>
      <c r="AA40" s="1927">
        <v>1715</v>
      </c>
      <c r="AB40" s="1927" t="s">
        <v>326</v>
      </c>
      <c r="AC40" s="3003" t="s">
        <v>195</v>
      </c>
      <c r="AD40" s="3003" t="s">
        <v>196</v>
      </c>
      <c r="AE40"/>
      <c r="AF40"/>
      <c r="AG40"/>
      <c r="AH40" s="684"/>
      <c r="AI40"/>
      <c r="AJ40"/>
      <c r="AK40"/>
      <c r="AL40"/>
      <c r="AM40"/>
      <c r="AN40"/>
      <c r="AO40"/>
      <c r="AP40"/>
      <c r="AQ40"/>
      <c r="AR40"/>
      <c r="AS40"/>
      <c r="AT40"/>
      <c r="AU40"/>
      <c r="AV40" s="1655"/>
      <c r="AW40" s="931"/>
      <c r="AX40" s="931"/>
      <c r="AY40" s="713" t="s">
        <v>548</v>
      </c>
      <c r="AZ40" s="714" t="s">
        <v>536</v>
      </c>
      <c r="BA40" s="714" t="s">
        <v>488</v>
      </c>
      <c r="BB40" s="714" t="s">
        <v>2318</v>
      </c>
      <c r="BC40" s="714" t="s">
        <v>2319</v>
      </c>
      <c r="BD40" s="714" t="s">
        <v>536</v>
      </c>
      <c r="BE40" s="714"/>
      <c r="BF40" s="714"/>
      <c r="BG40" s="714"/>
      <c r="BH40" s="714"/>
      <c r="BI40" s="715" t="s">
        <v>2273</v>
      </c>
      <c r="BJ40"/>
      <c r="BK40"/>
      <c r="BL40" s="2441" t="s">
        <v>863</v>
      </c>
      <c r="BM40" s="2439" t="s">
        <v>864</v>
      </c>
      <c r="BN40" s="2439" t="s">
        <v>59</v>
      </c>
      <c r="BO40" s="2440" t="s">
        <v>723</v>
      </c>
      <c r="BP40" s="2654"/>
      <c r="BQ40" s="18"/>
      <c r="BR40" s="18"/>
      <c r="BS40" s="18"/>
      <c r="BT40" s="18"/>
      <c r="BU40" s="18"/>
      <c r="BW40" s="87"/>
      <c r="CC40" s="126"/>
      <c r="CD40" s="126"/>
      <c r="CE40" s="126"/>
      <c r="CG40" s="126"/>
      <c r="EA40" s="978" t="s">
        <v>2876</v>
      </c>
      <c r="ED40" s="978" t="s">
        <v>2936</v>
      </c>
      <c r="EK40" s="126"/>
    </row>
    <row r="41" spans="1:161" s="10" customFormat="1" ht="15.75" thickBot="1">
      <c r="A41" s="1758" t="str">
        <f ca="1">IF(ISERROR(INDEX(IPList,ROWS($A$6:A41))),
         IF(ISERROR(INDEX(VIP_InstanceList,ROWS($A$6:A41)-ROWS(IPList))),
                IF(ISERROR(INDEX(GTMLIST,ROWS($A$6:A41)-(ROWS(IPList)+(ROWS(VIP_InstanceList))))),"",
                      INDEX(GTMLIST,ROWS($A$6:A41)-(ROWS(IPList)+(ROWS(VIP_InstanceList))))),
                                  INDEX(VIP_InstanceList,ROWS($A$6:A41)-ROWS(IPList))),
                                             INDEX(IPList,ROWS($A$6:A41)))</f>
        <v/>
      </c>
      <c r="B41"/>
      <c r="C41"/>
      <c r="D41"/>
      <c r="E41"/>
      <c r="F41"/>
      <c r="G41" s="2446" t="s">
        <v>5388</v>
      </c>
      <c r="H41"/>
      <c r="I41"/>
      <c r="J41"/>
      <c r="K41" s="2725" t="str">
        <f ca="1">IF(ISERROR(INDEX(Assetlist,ROWS($A$6:A41))),
            IF(ISERROR(INDEX(VMList,ROWS($A$6:A41)-ROWS(Assetlist))),"",
                                   INDEX(VMList,ROWS($A$6:A41)-ROWS(Assetlist))),
                                                        INDEX(Assetlist,ROWS($A$6:A41)))</f>
        <v/>
      </c>
      <c r="L41"/>
      <c r="M41" s="3"/>
      <c r="N41" s="3"/>
      <c r="O41" s="3"/>
      <c r="P41" s="3"/>
      <c r="Q41" s="3"/>
      <c r="R41" s="3"/>
      <c r="S41"/>
      <c r="T41"/>
      <c r="U41"/>
      <c r="V41"/>
      <c r="W41" s="2646" t="str">
        <f ca="1">IF(ISERROR(INDEX(AssetDecomList,ROWS($A$6:A41))),
IF(ISERROR(INDEX(AssetDecomVIPs,ROWS($A$6:A41)-ROWS(AssetDecomList))),"",INDEX(AssetDecomVIPs,ROWS($A$6:A41)-ROWS(AssetDecomList))),
INDEX(AssetDecomList,ROWS($A$6:A41)))</f>
        <v/>
      </c>
      <c r="X41"/>
      <c r="Y41" s="3003" t="s">
        <v>1782</v>
      </c>
      <c r="Z41" s="1927" t="s">
        <v>259</v>
      </c>
      <c r="AA41" s="1927">
        <v>1717</v>
      </c>
      <c r="AB41" s="1927" t="s">
        <v>327</v>
      </c>
      <c r="AC41" s="1927" t="s">
        <v>137</v>
      </c>
      <c r="AD41" s="1927" t="s">
        <v>138</v>
      </c>
      <c r="AE41"/>
      <c r="AF41"/>
      <c r="AG41"/>
      <c r="AH41" s="684"/>
      <c r="AI41"/>
      <c r="AJ41"/>
      <c r="AK41"/>
      <c r="AL41"/>
      <c r="AM41"/>
      <c r="AN41"/>
      <c r="AO41"/>
      <c r="AP41"/>
      <c r="AQ41"/>
      <c r="AR41"/>
      <c r="AS41"/>
      <c r="AT41"/>
      <c r="AU41"/>
      <c r="AV41" s="1655"/>
      <c r="AW41" s="931"/>
      <c r="AX41" s="931"/>
      <c r="AY41" s="713" t="s">
        <v>548</v>
      </c>
      <c r="AZ41" s="714" t="s">
        <v>2161</v>
      </c>
      <c r="BA41" s="714" t="s">
        <v>488</v>
      </c>
      <c r="BB41" s="714" t="s">
        <v>2320</v>
      </c>
      <c r="BC41" s="714" t="s">
        <v>2319</v>
      </c>
      <c r="BD41" s="714" t="s">
        <v>2161</v>
      </c>
      <c r="BE41" s="714"/>
      <c r="BF41" s="714"/>
      <c r="BG41" s="714"/>
      <c r="BH41" s="714"/>
      <c r="BI41" s="715" t="s">
        <v>2273</v>
      </c>
      <c r="BJ41"/>
      <c r="BK41"/>
      <c r="BL41" s="2441" t="s">
        <v>865</v>
      </c>
      <c r="BM41" s="2439" t="s">
        <v>866</v>
      </c>
      <c r="BN41" s="2439" t="s">
        <v>59</v>
      </c>
      <c r="BO41" s="2440" t="s">
        <v>723</v>
      </c>
      <c r="BP41" s="2654"/>
      <c r="BQ41" s="18"/>
      <c r="BR41" s="18"/>
      <c r="BS41" s="18"/>
      <c r="BT41" s="18"/>
      <c r="BU41" s="18"/>
      <c r="BW41" s="87"/>
      <c r="CC41" s="126"/>
      <c r="CD41" s="126"/>
      <c r="CE41" s="126"/>
      <c r="CG41" s="126"/>
      <c r="EA41" s="979" t="s">
        <v>2877</v>
      </c>
      <c r="ED41" s="979" t="s">
        <v>2937</v>
      </c>
      <c r="EE41" s="126"/>
      <c r="EK41" s="126"/>
    </row>
    <row r="42" spans="1:161" s="10" customFormat="1" ht="15">
      <c r="A42" s="1758" t="str">
        <f ca="1">IF(ISERROR(INDEX(IPList,ROWS($A$6:A42))),
         IF(ISERROR(INDEX(VIP_InstanceList,ROWS($A$6:A42)-ROWS(IPList))),
                IF(ISERROR(INDEX(GTMLIST,ROWS($A$6:A42)-(ROWS(IPList)+(ROWS(VIP_InstanceList))))),"",
                      INDEX(GTMLIST,ROWS($A$6:A42)-(ROWS(IPList)+(ROWS(VIP_InstanceList))))),
                                  INDEX(VIP_InstanceList,ROWS($A$6:A42)-ROWS(IPList))),
                                             INDEX(IPList,ROWS($A$6:A42)))</f>
        <v/>
      </c>
      <c r="B42"/>
      <c r="C42"/>
      <c r="D42"/>
      <c r="E42"/>
      <c r="F42"/>
      <c r="G42" s="2446" t="s">
        <v>5389</v>
      </c>
      <c r="H42" s="931"/>
      <c r="I42"/>
      <c r="J42"/>
      <c r="K42" s="2725" t="str">
        <f ca="1">IF(ISERROR(INDEX(Assetlist,ROWS($A$6:A42))),
            IF(ISERROR(INDEX(VMList,ROWS($A$6:A42)-ROWS(Assetlist))),"",
                                   INDEX(VMList,ROWS($A$6:A42)-ROWS(Assetlist))),
                                                        INDEX(Assetlist,ROWS($A$6:A42)))</f>
        <v/>
      </c>
      <c r="L42"/>
      <c r="M42" s="3"/>
      <c r="N42" s="3"/>
      <c r="O42" s="3"/>
      <c r="P42" s="3"/>
      <c r="Q42" s="3"/>
      <c r="R42" s="3"/>
      <c r="S42"/>
      <c r="T42"/>
      <c r="U42"/>
      <c r="V42"/>
      <c r="W42" s="2646" t="str">
        <f ca="1">IF(ISERROR(INDEX(AssetDecomList,ROWS($A$6:A42))),
IF(ISERROR(INDEX(AssetDecomVIPs,ROWS($A$6:A42)-ROWS(AssetDecomList))),"",INDEX(AssetDecomVIPs,ROWS($A$6:A42)-ROWS(AssetDecomList))),
INDEX(AssetDecomList,ROWS($A$6:A42)))</f>
        <v/>
      </c>
      <c r="X42"/>
      <c r="Y42" s="1927" t="s">
        <v>1782</v>
      </c>
      <c r="Z42" s="1927" t="s">
        <v>258</v>
      </c>
      <c r="AA42" s="1927">
        <v>1719</v>
      </c>
      <c r="AB42" s="1927" t="s">
        <v>328</v>
      </c>
      <c r="AC42" s="1927" t="s">
        <v>136</v>
      </c>
      <c r="AD42" s="1927" t="s">
        <v>139</v>
      </c>
      <c r="AE42"/>
      <c r="AF42"/>
      <c r="AG42"/>
      <c r="AH42" s="684"/>
      <c r="AI42"/>
      <c r="AJ42"/>
      <c r="AK42"/>
      <c r="AL42"/>
      <c r="AM42"/>
      <c r="AN42"/>
      <c r="AO42"/>
      <c r="AP42"/>
      <c r="AQ42"/>
      <c r="AR42"/>
      <c r="AS42"/>
      <c r="AT42"/>
      <c r="AU42"/>
      <c r="AV42" s="1655"/>
      <c r="AW42" s="931"/>
      <c r="AX42" s="931"/>
      <c r="AY42" s="713" t="s">
        <v>554</v>
      </c>
      <c r="AZ42" s="714" t="s">
        <v>555</v>
      </c>
      <c r="BA42" s="714" t="s">
        <v>489</v>
      </c>
      <c r="BB42" s="714" t="s">
        <v>2321</v>
      </c>
      <c r="BC42" s="714" t="s">
        <v>2322</v>
      </c>
      <c r="BD42" s="714" t="s">
        <v>555</v>
      </c>
      <c r="BE42" s="714"/>
      <c r="BF42" s="714"/>
      <c r="BG42" s="714"/>
      <c r="BH42" s="714"/>
      <c r="BI42" s="715" t="s">
        <v>2273</v>
      </c>
      <c r="BJ42"/>
      <c r="BK42"/>
      <c r="BL42" s="2441" t="s">
        <v>867</v>
      </c>
      <c r="BM42" s="2439" t="s">
        <v>868</v>
      </c>
      <c r="BN42" s="2439" t="s">
        <v>59</v>
      </c>
      <c r="BO42" s="2440" t="s">
        <v>723</v>
      </c>
      <c r="BP42" s="2654"/>
      <c r="BQ42" s="18"/>
      <c r="BR42" s="18"/>
      <c r="BS42" s="18"/>
      <c r="BT42" s="18"/>
      <c r="BU42" s="18"/>
      <c r="BW42" s="87"/>
      <c r="CC42" s="126"/>
      <c r="CD42" s="126"/>
      <c r="CE42" s="126"/>
      <c r="CG42" s="126"/>
      <c r="EA42" s="976" t="s">
        <v>2878</v>
      </c>
      <c r="ED42" s="976" t="s">
        <v>2938</v>
      </c>
      <c r="EK42" s="126"/>
    </row>
    <row r="43" spans="1:161" s="10" customFormat="1" ht="15.75" thickBot="1">
      <c r="A43" s="1758" t="str">
        <f ca="1">IF(ISERROR(INDEX(IPList,ROWS($A$6:A43))),
         IF(ISERROR(INDEX(VIP_InstanceList,ROWS($A$6:A43)-ROWS(IPList))),
                IF(ISERROR(INDEX(GTMLIST,ROWS($A$6:A43)-(ROWS(IPList)+(ROWS(VIP_InstanceList))))),"",
                      INDEX(GTMLIST,ROWS($A$6:A43)-(ROWS(IPList)+(ROWS(VIP_InstanceList))))),
                                  INDEX(VIP_InstanceList,ROWS($A$6:A43)-ROWS(IPList))),
                                             INDEX(IPList,ROWS($A$6:A43)))</f>
        <v/>
      </c>
      <c r="B43"/>
      <c r="C43"/>
      <c r="D43"/>
      <c r="E43"/>
      <c r="F43"/>
      <c r="G43" s="2446" t="s">
        <v>1198</v>
      </c>
      <c r="H43" s="931"/>
      <c r="I43"/>
      <c r="J43"/>
      <c r="K43" s="2725" t="str">
        <f ca="1">IF(ISERROR(INDEX(Assetlist,ROWS($A$6:A43))),
            IF(ISERROR(INDEX(VMList,ROWS($A$6:A43)-ROWS(Assetlist))),"",
                                   INDEX(VMList,ROWS($A$6:A43)-ROWS(Assetlist))),
                                                        INDEX(Assetlist,ROWS($A$6:A43)))</f>
        <v/>
      </c>
      <c r="L43"/>
      <c r="M43" s="3"/>
      <c r="N43" s="3"/>
      <c r="O43" s="3"/>
      <c r="P43" s="3"/>
      <c r="Q43" s="3"/>
      <c r="R43" s="3"/>
      <c r="S43"/>
      <c r="T43"/>
      <c r="U43"/>
      <c r="V43"/>
      <c r="W43" s="2646" t="str">
        <f ca="1">IF(ISERROR(INDEX(AssetDecomList,ROWS($A$6:A43))),
IF(ISERROR(INDEX(AssetDecomVIPs,ROWS($A$6:A43)-ROWS(AssetDecomList))),"",INDEX(AssetDecomVIPs,ROWS($A$6:A43)-ROWS(AssetDecomList))),
INDEX(AssetDecomList,ROWS($A$6:A43)))</f>
        <v/>
      </c>
      <c r="X43"/>
      <c r="Y43" s="1927" t="s">
        <v>1782</v>
      </c>
      <c r="Z43" s="1927" t="s">
        <v>2719</v>
      </c>
      <c r="AA43" s="1927">
        <v>1747</v>
      </c>
      <c r="AB43" s="1927" t="s">
        <v>4673</v>
      </c>
      <c r="AC43" s="1927" t="s">
        <v>2720</v>
      </c>
      <c r="AD43" s="1927" t="s">
        <v>2721</v>
      </c>
      <c r="AE43"/>
      <c r="AF43"/>
      <c r="AG43"/>
      <c r="AH43" s="684"/>
      <c r="AI43"/>
      <c r="AJ43"/>
      <c r="AK43"/>
      <c r="AL43"/>
      <c r="AM43"/>
      <c r="AN43"/>
      <c r="AO43"/>
      <c r="AP43"/>
      <c r="AQ43"/>
      <c r="AR43"/>
      <c r="AS43"/>
      <c r="AT43"/>
      <c r="AU43"/>
      <c r="AV43" s="1655"/>
      <c r="AW43" s="931"/>
      <c r="AX43" s="931"/>
      <c r="AY43" s="713" t="s">
        <v>554</v>
      </c>
      <c r="AZ43" s="714" t="s">
        <v>556</v>
      </c>
      <c r="BA43" s="714" t="s">
        <v>489</v>
      </c>
      <c r="BB43" s="714" t="s">
        <v>2323</v>
      </c>
      <c r="BC43" s="714" t="s">
        <v>2322</v>
      </c>
      <c r="BD43" s="714" t="s">
        <v>556</v>
      </c>
      <c r="BE43" s="714"/>
      <c r="BF43" s="714"/>
      <c r="BG43" s="714"/>
      <c r="BH43" s="714"/>
      <c r="BI43" s="715" t="s">
        <v>2273</v>
      </c>
      <c r="BJ43"/>
      <c r="BK43"/>
      <c r="BL43" s="2441" t="s">
        <v>869</v>
      </c>
      <c r="BM43" s="2439" t="s">
        <v>870</v>
      </c>
      <c r="BN43" s="2439" t="s">
        <v>59</v>
      </c>
      <c r="BO43" s="2440" t="s">
        <v>723</v>
      </c>
      <c r="BW43" s="87"/>
      <c r="CC43" s="126"/>
      <c r="CD43" s="126"/>
      <c r="CE43" s="126"/>
      <c r="CG43" s="126"/>
      <c r="EA43" s="977" t="s">
        <v>2879</v>
      </c>
      <c r="ED43" s="977" t="s">
        <v>2939</v>
      </c>
      <c r="EK43" s="126"/>
    </row>
    <row r="44" spans="1:161" s="10" customFormat="1">
      <c r="A44" s="1758" t="str">
        <f ca="1">IF(ISERROR(INDEX(IPList,ROWS($A$6:A44))),
         IF(ISERROR(INDEX(VIP_InstanceList,ROWS($A$6:A44)-ROWS(IPList))),
                IF(ISERROR(INDEX(GTMLIST,ROWS($A$6:A44)-(ROWS(IPList)+(ROWS(VIP_InstanceList))))),"",
                      INDEX(GTMLIST,ROWS($A$6:A44)-(ROWS(IPList)+(ROWS(VIP_InstanceList))))),
                                  INDEX(VIP_InstanceList,ROWS($A$6:A44)-ROWS(IPList))),
                                             INDEX(IPList,ROWS($A$6:A44)))</f>
        <v/>
      </c>
      <c r="B44"/>
      <c r="C44"/>
      <c r="D44"/>
      <c r="E44"/>
      <c r="F44"/>
      <c r="G44" s="931"/>
      <c r="H44"/>
      <c r="I44"/>
      <c r="J44"/>
      <c r="K44" s="2725" t="str">
        <f ca="1">IF(ISERROR(INDEX(Assetlist,ROWS($A$6:A44))),
            IF(ISERROR(INDEX(VMList,ROWS($A$6:A44)-ROWS(Assetlist))),"",
                                   INDEX(VMList,ROWS($A$6:A44)-ROWS(Assetlist))),
                                                        INDEX(Assetlist,ROWS($A$6:A44)))</f>
        <v/>
      </c>
      <c r="L44"/>
      <c r="M44" s="3"/>
      <c r="N44" s="3"/>
      <c r="O44" s="3"/>
      <c r="P44" s="3"/>
      <c r="Q44" s="3"/>
      <c r="R44" s="3"/>
      <c r="S44"/>
      <c r="T44"/>
      <c r="U44"/>
      <c r="V44"/>
      <c r="W44" s="2646" t="str">
        <f ca="1">IF(ISERROR(INDEX(AssetDecomList,ROWS($A$6:A44))),
IF(ISERROR(INDEX(AssetDecomVIPs,ROWS($A$6:A44)-ROWS(AssetDecomList))),"",INDEX(AssetDecomVIPs,ROWS($A$6:A44)-ROWS(AssetDecomList))),
INDEX(AssetDecomList,ROWS($A$6:A44)))</f>
        <v/>
      </c>
      <c r="X44"/>
      <c r="Y44" s="1927" t="s">
        <v>1782</v>
      </c>
      <c r="Z44" s="1927" t="s">
        <v>4674</v>
      </c>
      <c r="AA44" s="1927">
        <v>1784</v>
      </c>
      <c r="AB44" s="1927" t="s">
        <v>839</v>
      </c>
      <c r="AC44" s="1927" t="s">
        <v>837</v>
      </c>
      <c r="AD44" s="1927" t="s">
        <v>838</v>
      </c>
      <c r="AE44"/>
      <c r="AF44"/>
      <c r="AG44"/>
      <c r="AH44" s="684"/>
      <c r="AI44"/>
      <c r="AJ44"/>
      <c r="AK44"/>
      <c r="AL44"/>
      <c r="AM44"/>
      <c r="AN44"/>
      <c r="AO44"/>
      <c r="AP44"/>
      <c r="AQ44"/>
      <c r="AR44"/>
      <c r="AS44"/>
      <c r="AT44"/>
      <c r="AU44"/>
      <c r="AV44" s="1655"/>
      <c r="AW44" s="931"/>
      <c r="AX44" s="931"/>
      <c r="AY44" s="713" t="s">
        <v>554</v>
      </c>
      <c r="AZ44" s="714" t="s">
        <v>557</v>
      </c>
      <c r="BA44" s="714" t="s">
        <v>489</v>
      </c>
      <c r="BB44" s="714" t="s">
        <v>2324</v>
      </c>
      <c r="BC44" s="714" t="s">
        <v>2322</v>
      </c>
      <c r="BD44" s="714" t="s">
        <v>557</v>
      </c>
      <c r="BE44" s="714"/>
      <c r="BF44" s="714"/>
      <c r="BG44" s="714"/>
      <c r="BH44" s="714"/>
      <c r="BI44" s="715" t="s">
        <v>2273</v>
      </c>
      <c r="BJ44"/>
      <c r="BK44"/>
      <c r="BL44" s="2441" t="s">
        <v>871</v>
      </c>
      <c r="BM44" s="2439" t="s">
        <v>872</v>
      </c>
      <c r="BN44" s="2439" t="s">
        <v>59</v>
      </c>
      <c r="BO44" s="2440" t="s">
        <v>723</v>
      </c>
      <c r="BW44" s="55"/>
      <c r="CC44" s="126"/>
      <c r="CD44" s="126"/>
      <c r="CE44" s="126"/>
      <c r="CG44" s="126"/>
      <c r="EA44" s="978" t="s">
        <v>2880</v>
      </c>
      <c r="ED44" s="978" t="s">
        <v>2940</v>
      </c>
      <c r="EK44" s="126"/>
    </row>
    <row r="45" spans="1:161" s="10" customFormat="1" ht="13.5" thickBot="1">
      <c r="A45" s="1758" t="str">
        <f ca="1">IF(ISERROR(INDEX(IPList,ROWS($A$6:A45))),
         IF(ISERROR(INDEX(VIP_InstanceList,ROWS($A$6:A45)-ROWS(IPList))),
                IF(ISERROR(INDEX(GTMLIST,ROWS($A$6:A45)-(ROWS(IPList)+(ROWS(VIP_InstanceList))))),"",
                      INDEX(GTMLIST,ROWS($A$6:A45)-(ROWS(IPList)+(ROWS(VIP_InstanceList))))),
                                  INDEX(VIP_InstanceList,ROWS($A$6:A45)-ROWS(IPList))),
                                             INDEX(IPList,ROWS($A$6:A45)))</f>
        <v/>
      </c>
      <c r="B45"/>
      <c r="C45"/>
      <c r="D45"/>
      <c r="E45"/>
      <c r="F45"/>
      <c r="G45" s="931"/>
      <c r="H45"/>
      <c r="I45"/>
      <c r="J45"/>
      <c r="K45" s="2725" t="str">
        <f ca="1">IF(ISERROR(INDEX(Assetlist,ROWS($A$6:A45))),
            IF(ISERROR(INDEX(VMList,ROWS($A$6:A45)-ROWS(Assetlist))),"",
                                   INDEX(VMList,ROWS($A$6:A45)-ROWS(Assetlist))),
                                                        INDEX(Assetlist,ROWS($A$6:A45)))</f>
        <v/>
      </c>
      <c r="L45"/>
      <c r="M45" s="3"/>
      <c r="N45" s="3"/>
      <c r="O45" s="3"/>
      <c r="P45" s="3"/>
      <c r="Q45" s="3"/>
      <c r="R45" s="3"/>
      <c r="S45"/>
      <c r="T45"/>
      <c r="U45"/>
      <c r="V45"/>
      <c r="W45" s="2646" t="str">
        <f ca="1">IF(ISERROR(INDEX(AssetDecomList,ROWS($A$6:A45))),
IF(ISERROR(INDEX(AssetDecomVIPs,ROWS($A$6:A45)-ROWS(AssetDecomList))),"",INDEX(AssetDecomVIPs,ROWS($A$6:A45)-ROWS(AssetDecomList))),
INDEX(AssetDecomList,ROWS($A$6:A45)))</f>
        <v/>
      </c>
      <c r="X45"/>
      <c r="Y45" s="1927" t="s">
        <v>1782</v>
      </c>
      <c r="Z45" s="3003" t="s">
        <v>5465</v>
      </c>
      <c r="AA45" s="1927">
        <v>1720</v>
      </c>
      <c r="AB45" s="1927" t="s">
        <v>4675</v>
      </c>
      <c r="AC45" s="1927" t="s">
        <v>466</v>
      </c>
      <c r="AD45" s="1927" t="s">
        <v>467</v>
      </c>
      <c r="AE45"/>
      <c r="AF45"/>
      <c r="AG45"/>
      <c r="AH45" s="684"/>
      <c r="AI45"/>
      <c r="AJ45"/>
      <c r="AK45"/>
      <c r="AL45"/>
      <c r="AM45"/>
      <c r="AN45"/>
      <c r="AO45"/>
      <c r="AP45"/>
      <c r="AQ45"/>
      <c r="AR45"/>
      <c r="AS45"/>
      <c r="AT45"/>
      <c r="AU45"/>
      <c r="AV45" s="1655"/>
      <c r="AW45" s="931"/>
      <c r="AX45" s="931"/>
      <c r="AY45" s="713" t="s">
        <v>554</v>
      </c>
      <c r="AZ45" s="714" t="s">
        <v>558</v>
      </c>
      <c r="BA45" s="714" t="s">
        <v>489</v>
      </c>
      <c r="BB45" s="714" t="s">
        <v>2325</v>
      </c>
      <c r="BC45" s="714" t="s">
        <v>2322</v>
      </c>
      <c r="BD45" s="714" t="s">
        <v>558</v>
      </c>
      <c r="BE45" s="714"/>
      <c r="BF45" s="714"/>
      <c r="BG45" s="714"/>
      <c r="BH45" s="714"/>
      <c r="BI45" s="715" t="s">
        <v>2273</v>
      </c>
      <c r="BJ45"/>
      <c r="BK45"/>
      <c r="BL45" s="2441" t="s">
        <v>901</v>
      </c>
      <c r="BM45" s="2439" t="s">
        <v>903</v>
      </c>
      <c r="BN45" s="2439" t="s">
        <v>66</v>
      </c>
      <c r="BO45" s="2440" t="s">
        <v>26</v>
      </c>
      <c r="BW45" s="55"/>
      <c r="CC45" s="126"/>
      <c r="CD45" s="126"/>
      <c r="CE45" s="126"/>
      <c r="CG45" s="126"/>
      <c r="EA45" s="979" t="s">
        <v>2881</v>
      </c>
      <c r="ED45" s="979" t="s">
        <v>2941</v>
      </c>
    </row>
    <row r="46" spans="1:161" s="10" customFormat="1" ht="13.5" thickBot="1">
      <c r="A46" s="1758" t="str">
        <f ca="1">IF(ISERROR(INDEX(IPList,ROWS($A$6:A46))),
         IF(ISERROR(INDEX(VIP_InstanceList,ROWS($A$6:A46)-ROWS(IPList))),
                IF(ISERROR(INDEX(GTMLIST,ROWS($A$6:A46)-(ROWS(IPList)+(ROWS(VIP_InstanceList))))),"",
                      INDEX(GTMLIST,ROWS($A$6:A46)-(ROWS(IPList)+(ROWS(VIP_InstanceList))))),
                                  INDEX(VIP_InstanceList,ROWS($A$6:A46)-ROWS(IPList))),
                                             INDEX(IPList,ROWS($A$6:A46)))</f>
        <v/>
      </c>
      <c r="B46"/>
      <c r="C46"/>
      <c r="D46"/>
      <c r="E46"/>
      <c r="F46"/>
      <c r="G46" s="931"/>
      <c r="H46"/>
      <c r="I46"/>
      <c r="J46"/>
      <c r="K46" s="2725" t="str">
        <f ca="1">IF(ISERROR(INDEX(Assetlist,ROWS($A$6:A46))),
            IF(ISERROR(INDEX(VMList,ROWS($A$6:A46)-ROWS(Assetlist))),"",
                                   INDEX(VMList,ROWS($A$6:A46)-ROWS(Assetlist))),
                                                        INDEX(Assetlist,ROWS($A$6:A46)))</f>
        <v/>
      </c>
      <c r="L46"/>
      <c r="M46" s="3"/>
      <c r="N46" s="3"/>
      <c r="O46" s="3"/>
      <c r="P46" s="3"/>
      <c r="Q46" s="3"/>
      <c r="R46" s="3"/>
      <c r="S46"/>
      <c r="T46"/>
      <c r="U46"/>
      <c r="V46"/>
      <c r="W46" s="2646" t="str">
        <f ca="1">IF(ISERROR(INDEX(AssetDecomList,ROWS($A$6:A46))),
IF(ISERROR(INDEX(AssetDecomVIPs,ROWS($A$6:A46)-ROWS(AssetDecomList))),"",INDEX(AssetDecomVIPs,ROWS($A$6:A46)-ROWS(AssetDecomList))),
INDEX(AssetDecomList,ROWS($A$6:A46)))</f>
        <v/>
      </c>
      <c r="X46"/>
      <c r="Y46" s="1927" t="s">
        <v>1782</v>
      </c>
      <c r="Z46" s="1927" t="s">
        <v>4676</v>
      </c>
      <c r="AA46" s="1927">
        <v>1721</v>
      </c>
      <c r="AB46" s="1927" t="s">
        <v>4677</v>
      </c>
      <c r="AC46" s="1927" t="s">
        <v>1143</v>
      </c>
      <c r="AD46" s="1927" t="s">
        <v>1144</v>
      </c>
      <c r="AE46"/>
      <c r="AF46"/>
      <c r="AG46"/>
      <c r="AH46" s="684"/>
      <c r="AI46"/>
      <c r="AJ46"/>
      <c r="AK46"/>
      <c r="AL46"/>
      <c r="AM46"/>
      <c r="AN46"/>
      <c r="AO46"/>
      <c r="AP46"/>
      <c r="AQ46"/>
      <c r="AR46"/>
      <c r="AS46"/>
      <c r="AT46"/>
      <c r="AU46"/>
      <c r="AV46" s="1655"/>
      <c r="AW46" s="931"/>
      <c r="AX46" s="931"/>
      <c r="AY46" s="711" t="s">
        <v>554</v>
      </c>
      <c r="AZ46" s="712" t="s">
        <v>559</v>
      </c>
      <c r="BA46" s="712" t="s">
        <v>489</v>
      </c>
      <c r="BB46" s="712" t="s">
        <v>2326</v>
      </c>
      <c r="BC46" s="712" t="s">
        <v>2322</v>
      </c>
      <c r="BD46" s="712" t="s">
        <v>559</v>
      </c>
      <c r="BE46" s="712"/>
      <c r="BF46" s="712"/>
      <c r="BG46" s="712"/>
      <c r="BH46" s="712"/>
      <c r="BI46" s="418" t="s">
        <v>2273</v>
      </c>
      <c r="BJ46"/>
      <c r="BK46"/>
      <c r="BL46" s="3196" t="s">
        <v>902</v>
      </c>
      <c r="BM46" s="3197" t="s">
        <v>904</v>
      </c>
      <c r="BN46" s="3197" t="s">
        <v>66</v>
      </c>
      <c r="BO46" s="2444" t="s">
        <v>26</v>
      </c>
      <c r="CC46" s="126"/>
      <c r="CD46" s="126"/>
      <c r="CE46" s="126"/>
      <c r="CG46" s="126"/>
    </row>
    <row r="47" spans="1:161" s="10" customFormat="1">
      <c r="A47" s="1758" t="str">
        <f ca="1">IF(ISERROR(INDEX(IPList,ROWS($A$6:A47))),
         IF(ISERROR(INDEX(VIP_InstanceList,ROWS($A$6:A47)-ROWS(IPList))),
                IF(ISERROR(INDEX(GTMLIST,ROWS($A$6:A47)-(ROWS(IPList)+(ROWS(VIP_InstanceList))))),"",
                      INDEX(GTMLIST,ROWS($A$6:A47)-(ROWS(IPList)+(ROWS(VIP_InstanceList))))),
                                  INDEX(VIP_InstanceList,ROWS($A$6:A47)-ROWS(IPList))),
                                             INDEX(IPList,ROWS($A$6:A47)))</f>
        <v/>
      </c>
      <c r="B47"/>
      <c r="C47"/>
      <c r="D47"/>
      <c r="E47"/>
      <c r="F47"/>
      <c r="G47" s="931"/>
      <c r="H47"/>
      <c r="I47"/>
      <c r="J47"/>
      <c r="K47" s="2725" t="str">
        <f ca="1">IF(ISERROR(INDEX(Assetlist,ROWS($A$6:A47))),
            IF(ISERROR(INDEX(VMList,ROWS($A$6:A47)-ROWS(Assetlist))),"",
                                   INDEX(VMList,ROWS($A$6:A47)-ROWS(Assetlist))),
                                                        INDEX(Assetlist,ROWS($A$6:A47)))</f>
        <v/>
      </c>
      <c r="L47"/>
      <c r="M47" s="3"/>
      <c r="N47" s="3"/>
      <c r="O47" s="3"/>
      <c r="P47" s="3"/>
      <c r="Q47" s="3"/>
      <c r="R47" s="3"/>
      <c r="S47"/>
      <c r="T47"/>
      <c r="U47"/>
      <c r="V47"/>
      <c r="W47" s="2646" t="str">
        <f ca="1">IF(ISERROR(INDEX(AssetDecomList,ROWS($A$6:A47))),
IF(ISERROR(INDEX(AssetDecomVIPs,ROWS($A$6:A47)-ROWS(AssetDecomList))),"",INDEX(AssetDecomVIPs,ROWS($A$6:A47)-ROWS(AssetDecomList))),
INDEX(AssetDecomList,ROWS($A$6:A47)))</f>
        <v/>
      </c>
      <c r="X47"/>
      <c r="Y47" s="1927" t="s">
        <v>1782</v>
      </c>
      <c r="Z47" s="1927" t="s">
        <v>2374</v>
      </c>
      <c r="AA47" s="1927">
        <v>1722</v>
      </c>
      <c r="AB47" s="1927" t="s">
        <v>2366</v>
      </c>
      <c r="AC47" s="1927" t="s">
        <v>1145</v>
      </c>
      <c r="AD47" s="1927" t="s">
        <v>1146</v>
      </c>
      <c r="AE47"/>
      <c r="AF47"/>
      <c r="AG47"/>
      <c r="AH47" s="684"/>
      <c r="AI47"/>
      <c r="AJ47"/>
      <c r="AK47"/>
      <c r="AL47"/>
      <c r="AM47"/>
      <c r="AN47"/>
      <c r="AO47"/>
      <c r="AP47"/>
      <c r="AQ47"/>
      <c r="AR47"/>
      <c r="AS47"/>
      <c r="AT47"/>
      <c r="AU47"/>
      <c r="AV47" s="1655"/>
      <c r="AW47" s="931"/>
      <c r="AX47" s="931"/>
      <c r="AY47"/>
      <c r="AZ47"/>
      <c r="BA47"/>
      <c r="BB47"/>
      <c r="BC47" s="684"/>
      <c r="BD47"/>
      <c r="BE47"/>
      <c r="BF47"/>
      <c r="BG47"/>
      <c r="BH47"/>
      <c r="BI47" s="684"/>
      <c r="BJ47"/>
      <c r="BK47"/>
      <c r="BL47"/>
      <c r="BM47"/>
      <c r="BN47"/>
      <c r="BO47" s="684"/>
      <c r="CC47" s="126"/>
      <c r="CD47" s="126"/>
      <c r="CE47" s="126"/>
      <c r="CG47" s="126"/>
    </row>
    <row r="48" spans="1:161" s="10" customFormat="1">
      <c r="A48" s="1758" t="str">
        <f ca="1">IF(ISERROR(INDEX(IPList,ROWS($A$6:A48))),
         IF(ISERROR(INDEX(VIP_InstanceList,ROWS($A$6:A48)-ROWS(IPList))),
                IF(ISERROR(INDEX(GTMLIST,ROWS($A$6:A48)-(ROWS(IPList)+(ROWS(VIP_InstanceList))))),"",
                      INDEX(GTMLIST,ROWS($A$6:A48)-(ROWS(IPList)+(ROWS(VIP_InstanceList))))),
                                  INDEX(VIP_InstanceList,ROWS($A$6:A48)-ROWS(IPList))),
                                             INDEX(IPList,ROWS($A$6:A48)))</f>
        <v/>
      </c>
      <c r="B48"/>
      <c r="C48"/>
      <c r="D48"/>
      <c r="E48"/>
      <c r="F48"/>
      <c r="G48"/>
      <c r="H48"/>
      <c r="I48"/>
      <c r="J48"/>
      <c r="K48" s="2725" t="str">
        <f ca="1">IF(ISERROR(INDEX(Assetlist,ROWS($A$6:A48))),
            IF(ISERROR(INDEX(VMList,ROWS($A$6:A48)-ROWS(Assetlist))),"",
                                   INDEX(VMList,ROWS($A$6:A48)-ROWS(Assetlist))),
                                                        INDEX(Assetlist,ROWS($A$6:A48)))</f>
        <v/>
      </c>
      <c r="L48"/>
      <c r="M48" s="3"/>
      <c r="N48" s="3"/>
      <c r="O48" s="3"/>
      <c r="P48" s="3"/>
      <c r="Q48" s="3"/>
      <c r="R48" s="3"/>
      <c r="S48"/>
      <c r="T48"/>
      <c r="U48"/>
      <c r="V48"/>
      <c r="W48" s="2646" t="str">
        <f ca="1">IF(ISERROR(INDEX(AssetDecomList,ROWS($A$6:A48))),
IF(ISERROR(INDEX(AssetDecomVIPs,ROWS($A$6:A48)-ROWS(AssetDecomList))),"",INDEX(AssetDecomVIPs,ROWS($A$6:A48)-ROWS(AssetDecomList))),
INDEX(AssetDecomList,ROWS($A$6:A48)))</f>
        <v/>
      </c>
      <c r="X48"/>
      <c r="Y48" s="1927" t="s">
        <v>1782</v>
      </c>
      <c r="Z48" s="1927" t="s">
        <v>4678</v>
      </c>
      <c r="AA48" s="1927">
        <v>1723</v>
      </c>
      <c r="AB48" s="1927" t="s">
        <v>2367</v>
      </c>
      <c r="AC48" s="1927" t="s">
        <v>1147</v>
      </c>
      <c r="AD48" s="1927" t="s">
        <v>1148</v>
      </c>
      <c r="AE48"/>
      <c r="AF48"/>
      <c r="AG48"/>
      <c r="AH48" s="684"/>
      <c r="AI48"/>
      <c r="AJ48"/>
      <c r="AK48"/>
      <c r="AL48"/>
      <c r="AM48"/>
      <c r="AN48"/>
      <c r="AO48"/>
      <c r="AP48"/>
      <c r="AQ48"/>
      <c r="AR48"/>
      <c r="AS48"/>
      <c r="AT48"/>
      <c r="AU48"/>
      <c r="AV48" s="1655"/>
      <c r="AW48" s="931"/>
      <c r="AX48" s="931"/>
      <c r="AY48"/>
      <c r="AZ48"/>
      <c r="BA48"/>
      <c r="BB48"/>
      <c r="BC48" s="684"/>
      <c r="BD48"/>
      <c r="BE48"/>
      <c r="BF48"/>
      <c r="BG48"/>
      <c r="BH48"/>
      <c r="BI48" s="684"/>
      <c r="BJ48"/>
      <c r="BK48"/>
      <c r="BL48"/>
      <c r="BM48"/>
      <c r="BN48"/>
      <c r="BO48" s="684"/>
      <c r="CC48" s="126"/>
      <c r="CD48" s="126"/>
      <c r="CE48" s="126"/>
      <c r="CG48" s="126"/>
    </row>
    <row r="49" spans="1:178" s="10" customFormat="1">
      <c r="A49" s="1758" t="str">
        <f ca="1">IF(ISERROR(INDEX(IPList,ROWS($A$6:A49))),
         IF(ISERROR(INDEX(VIP_InstanceList,ROWS($A$6:A49)-ROWS(IPList))),
                IF(ISERROR(INDEX(GTMLIST,ROWS($A$6:A49)-(ROWS(IPList)+(ROWS(VIP_InstanceList))))),"",
                      INDEX(GTMLIST,ROWS($A$6:A49)-(ROWS(IPList)+(ROWS(VIP_InstanceList))))),
                                  INDEX(VIP_InstanceList,ROWS($A$6:A49)-ROWS(IPList))),
                                             INDEX(IPList,ROWS($A$6:A49)))</f>
        <v/>
      </c>
      <c r="B49"/>
      <c r="C49"/>
      <c r="D49"/>
      <c r="E49"/>
      <c r="F49"/>
      <c r="G49"/>
      <c r="H49"/>
      <c r="I49"/>
      <c r="J49"/>
      <c r="K49" s="2725" t="str">
        <f ca="1">IF(ISERROR(INDEX(Assetlist,ROWS($A$6:A49))),
            IF(ISERROR(INDEX(VMList,ROWS($A$6:A49)-ROWS(Assetlist))),"",
                                   INDEX(VMList,ROWS($A$6:A49)-ROWS(Assetlist))),
                                                        INDEX(Assetlist,ROWS($A$6:A49)))</f>
        <v/>
      </c>
      <c r="L49"/>
      <c r="M49" s="3"/>
      <c r="N49" s="3"/>
      <c r="O49" s="3"/>
      <c r="P49" s="3"/>
      <c r="Q49" s="3"/>
      <c r="R49" s="3"/>
      <c r="S49"/>
      <c r="T49"/>
      <c r="U49"/>
      <c r="V49"/>
      <c r="W49" s="2646" t="str">
        <f ca="1">IF(ISERROR(INDEX(AssetDecomList,ROWS($A$6:A49))),
IF(ISERROR(INDEX(AssetDecomVIPs,ROWS($A$6:A49)-ROWS(AssetDecomList))),"",INDEX(AssetDecomVIPs,ROWS($A$6:A49)-ROWS(AssetDecomList))),
INDEX(AssetDecomList,ROWS($A$6:A49)))</f>
        <v/>
      </c>
      <c r="X49"/>
      <c r="Y49" s="1927" t="s">
        <v>1782</v>
      </c>
      <c r="Z49" s="1927" t="s">
        <v>4679</v>
      </c>
      <c r="AA49" s="1927">
        <v>1724</v>
      </c>
      <c r="AB49" s="1927" t="s">
        <v>2368</v>
      </c>
      <c r="AC49" s="1927" t="s">
        <v>1149</v>
      </c>
      <c r="AD49" s="1927" t="s">
        <v>1150</v>
      </c>
      <c r="AE49"/>
      <c r="AF49"/>
      <c r="AG49"/>
      <c r="AH49" s="684"/>
      <c r="AI49"/>
      <c r="AJ49"/>
      <c r="AK49"/>
      <c r="AL49"/>
      <c r="AM49"/>
      <c r="AN49"/>
      <c r="AO49"/>
      <c r="AP49"/>
      <c r="AQ49"/>
      <c r="AR49"/>
      <c r="AS49"/>
      <c r="AT49"/>
      <c r="AU49"/>
      <c r="AV49" s="1655"/>
      <c r="AW49" s="931"/>
      <c r="AX49" s="931"/>
      <c r="AY49"/>
      <c r="AZ49"/>
      <c r="BA49"/>
      <c r="BB49"/>
      <c r="BC49" s="684"/>
      <c r="BD49"/>
      <c r="BE49"/>
      <c r="BF49"/>
      <c r="BG49"/>
      <c r="BH49"/>
      <c r="BI49" s="684"/>
      <c r="BJ49"/>
      <c r="BK49"/>
      <c r="BL49"/>
      <c r="BM49"/>
      <c r="BN49"/>
      <c r="BO49" s="684"/>
      <c r="CC49" s="126"/>
      <c r="CD49" s="126"/>
      <c r="CE49" s="126"/>
      <c r="CG49" s="126"/>
    </row>
    <row r="50" spans="1:178" s="10" customFormat="1">
      <c r="A50" s="1758" t="str">
        <f ca="1">IF(ISERROR(INDEX(IPList,ROWS($A$6:A50))),
         IF(ISERROR(INDEX(VIP_InstanceList,ROWS($A$6:A50)-ROWS(IPList))),
                IF(ISERROR(INDEX(GTMLIST,ROWS($A$6:A50)-(ROWS(IPList)+(ROWS(VIP_InstanceList))))),"",
                      INDEX(GTMLIST,ROWS($A$6:A50)-(ROWS(IPList)+(ROWS(VIP_InstanceList))))),
                                  INDEX(VIP_InstanceList,ROWS($A$6:A50)-ROWS(IPList))),
                                             INDEX(IPList,ROWS($A$6:A50)))</f>
        <v/>
      </c>
      <c r="B50"/>
      <c r="C50"/>
      <c r="D50"/>
      <c r="E50"/>
      <c r="F50"/>
      <c r="G50"/>
      <c r="H50"/>
      <c r="I50"/>
      <c r="J50"/>
      <c r="K50" s="2725" t="str">
        <f ca="1">IF(ISERROR(INDEX(Assetlist,ROWS($A$6:A50))),
            IF(ISERROR(INDEX(VMList,ROWS($A$6:A50)-ROWS(Assetlist))),"",
                                   INDEX(VMList,ROWS($A$6:A50)-ROWS(Assetlist))),
                                                        INDEX(Assetlist,ROWS($A$6:A50)))</f>
        <v/>
      </c>
      <c r="L50"/>
      <c r="M50" s="3"/>
      <c r="N50" s="3"/>
      <c r="O50" s="3"/>
      <c r="P50" s="3"/>
      <c r="Q50" s="3"/>
      <c r="R50" s="3"/>
      <c r="S50"/>
      <c r="T50"/>
      <c r="U50"/>
      <c r="V50"/>
      <c r="W50" s="2646" t="str">
        <f ca="1">IF(ISERROR(INDEX(AssetDecomList,ROWS($A$6:A50))),
IF(ISERROR(INDEX(AssetDecomVIPs,ROWS($A$6:A50)-ROWS(AssetDecomList))),"",INDEX(AssetDecomVIPs,ROWS($A$6:A50)-ROWS(AssetDecomList))),
INDEX(AssetDecomList,ROWS($A$6:A50)))</f>
        <v/>
      </c>
      <c r="X50"/>
      <c r="Y50" s="1927" t="s">
        <v>1782</v>
      </c>
      <c r="Z50" s="1927" t="s">
        <v>4680</v>
      </c>
      <c r="AA50" s="1927">
        <v>1725</v>
      </c>
      <c r="AB50" s="1927" t="s">
        <v>2369</v>
      </c>
      <c r="AC50" s="1927" t="s">
        <v>1151</v>
      </c>
      <c r="AD50" s="1927" t="s">
        <v>1152</v>
      </c>
      <c r="AE50"/>
      <c r="AF50"/>
      <c r="AG50"/>
      <c r="AH50" s="684"/>
      <c r="AI50"/>
      <c r="AJ50"/>
      <c r="AK50"/>
      <c r="AL50"/>
      <c r="AM50"/>
      <c r="AN50"/>
      <c r="AO50"/>
      <c r="AP50"/>
      <c r="AQ50"/>
      <c r="AR50"/>
      <c r="AS50"/>
      <c r="AT50"/>
      <c r="AU50"/>
      <c r="AV50" s="1655"/>
      <c r="AW50" s="931"/>
      <c r="AX50" s="931"/>
      <c r="AY50"/>
      <c r="AZ50"/>
      <c r="BA50"/>
      <c r="BB50"/>
      <c r="BC50" s="684"/>
      <c r="BD50"/>
      <c r="BE50"/>
      <c r="BF50"/>
      <c r="BG50"/>
      <c r="BH50"/>
      <c r="BI50" s="684"/>
      <c r="BJ50"/>
      <c r="BK50"/>
      <c r="BL50"/>
      <c r="BM50"/>
      <c r="BN50"/>
      <c r="BO50" s="684"/>
      <c r="CC50" s="126"/>
      <c r="CD50" s="126"/>
      <c r="CE50" s="126"/>
      <c r="CG50" s="126"/>
    </row>
    <row r="51" spans="1:178" s="10" customFormat="1">
      <c r="A51" s="1758" t="str">
        <f ca="1">IF(ISERROR(INDEX(IPList,ROWS($A$6:A51))),
         IF(ISERROR(INDEX(VIP_InstanceList,ROWS($A$6:A51)-ROWS(IPList))),
                IF(ISERROR(INDEX(GTMLIST,ROWS($A$6:A51)-(ROWS(IPList)+(ROWS(VIP_InstanceList))))),"",
                      INDEX(GTMLIST,ROWS($A$6:A51)-(ROWS(IPList)+(ROWS(VIP_InstanceList))))),
                                  INDEX(VIP_InstanceList,ROWS($A$6:A51)-ROWS(IPList))),
                                             INDEX(IPList,ROWS($A$6:A51)))</f>
        <v/>
      </c>
      <c r="B51"/>
      <c r="C51"/>
      <c r="D51"/>
      <c r="E51"/>
      <c r="F51"/>
      <c r="G51"/>
      <c r="H51"/>
      <c r="I51"/>
      <c r="J51"/>
      <c r="K51" s="2725" t="str">
        <f ca="1">IF(ISERROR(INDEX(Assetlist,ROWS($A$6:A51))),
            IF(ISERROR(INDEX(VMList,ROWS($A$6:A51)-ROWS(Assetlist))),"",
                                   INDEX(VMList,ROWS($A$6:A51)-ROWS(Assetlist))),
                                                        INDEX(Assetlist,ROWS($A$6:A51)))</f>
        <v/>
      </c>
      <c r="L51"/>
      <c r="M51" s="3"/>
      <c r="N51" s="3"/>
      <c r="O51" s="3"/>
      <c r="P51" s="3"/>
      <c r="Q51" s="3"/>
      <c r="R51" s="3"/>
      <c r="S51"/>
      <c r="T51"/>
      <c r="U51"/>
      <c r="V51"/>
      <c r="W51" s="2646" t="str">
        <f ca="1">IF(ISERROR(INDEX(AssetDecomList,ROWS($A$6:A51))),
IF(ISERROR(INDEX(AssetDecomVIPs,ROWS($A$6:A51)-ROWS(AssetDecomList))),"",INDEX(AssetDecomVIPs,ROWS($A$6:A51)-ROWS(AssetDecomList))),
INDEX(AssetDecomList,ROWS($A$6:A51)))</f>
        <v/>
      </c>
      <c r="X51"/>
      <c r="Y51" s="1927" t="s">
        <v>1782</v>
      </c>
      <c r="Z51" s="1927" t="s">
        <v>4681</v>
      </c>
      <c r="AA51" s="1927">
        <v>1726</v>
      </c>
      <c r="AB51" s="1927" t="s">
        <v>2370</v>
      </c>
      <c r="AC51" s="1927" t="s">
        <v>1153</v>
      </c>
      <c r="AD51" s="1927" t="s">
        <v>1154</v>
      </c>
      <c r="AE51"/>
      <c r="AF51"/>
      <c r="AG51"/>
      <c r="AH51" s="684"/>
      <c r="AI51"/>
      <c r="AJ51"/>
      <c r="AK51"/>
      <c r="AL51"/>
      <c r="AM51"/>
      <c r="AN51"/>
      <c r="AO51"/>
      <c r="AP51"/>
      <c r="AQ51"/>
      <c r="AR51"/>
      <c r="AS51"/>
      <c r="AT51"/>
      <c r="AU51"/>
      <c r="AV51" s="1655"/>
      <c r="AW51" s="931"/>
      <c r="AX51" s="931"/>
      <c r="AY51"/>
      <c r="AZ51"/>
      <c r="BA51"/>
      <c r="BB51"/>
      <c r="BC51" s="684"/>
      <c r="BD51"/>
      <c r="BE51"/>
      <c r="BF51"/>
      <c r="BG51"/>
      <c r="BH51"/>
      <c r="BI51" s="684"/>
      <c r="BJ51"/>
      <c r="BK51"/>
      <c r="BL51"/>
      <c r="BM51"/>
      <c r="BN51"/>
      <c r="BO51" s="684"/>
      <c r="CC51" s="126"/>
      <c r="CD51" s="126"/>
      <c r="CE51" s="126"/>
      <c r="CG51" s="126"/>
      <c r="EL51"/>
    </row>
    <row r="52" spans="1:178" s="10" customFormat="1">
      <c r="A52" s="1758" t="str">
        <f ca="1">IF(ISERROR(INDEX(IPList,ROWS($A$6:A52))),
         IF(ISERROR(INDEX(VIP_InstanceList,ROWS($A$6:A52)-ROWS(IPList))),
                IF(ISERROR(INDEX(GTMLIST,ROWS($A$6:A52)-(ROWS(IPList)+(ROWS(VIP_InstanceList))))),"",
                      INDEX(GTMLIST,ROWS($A$6:A52)-(ROWS(IPList)+(ROWS(VIP_InstanceList))))),
                                  INDEX(VIP_InstanceList,ROWS($A$6:A52)-ROWS(IPList))),
                                             INDEX(IPList,ROWS($A$6:A52)))</f>
        <v/>
      </c>
      <c r="B52"/>
      <c r="C52"/>
      <c r="D52"/>
      <c r="E52"/>
      <c r="F52"/>
      <c r="G52"/>
      <c r="H52"/>
      <c r="I52"/>
      <c r="J52"/>
      <c r="K52" s="2725" t="str">
        <f ca="1">IF(ISERROR(INDEX(Assetlist,ROWS($A$6:A52))),
            IF(ISERROR(INDEX(VMList,ROWS($A$6:A52)-ROWS(Assetlist))),"",
                                   INDEX(VMList,ROWS($A$6:A52)-ROWS(Assetlist))),
                                                        INDEX(Assetlist,ROWS($A$6:A52)))</f>
        <v/>
      </c>
      <c r="L52"/>
      <c r="M52" s="3"/>
      <c r="N52" s="3"/>
      <c r="O52" s="3"/>
      <c r="P52" s="3"/>
      <c r="Q52" s="3"/>
      <c r="R52" s="3"/>
      <c r="S52"/>
      <c r="T52"/>
      <c r="U52"/>
      <c r="V52"/>
      <c r="W52" s="2646" t="str">
        <f ca="1">IF(ISERROR(INDEX(AssetDecomList,ROWS($A$6:A52))),
IF(ISERROR(INDEX(AssetDecomVIPs,ROWS($A$6:A52)-ROWS(AssetDecomList))),"",INDEX(AssetDecomVIPs,ROWS($A$6:A52)-ROWS(AssetDecomList))),
INDEX(AssetDecomList,ROWS($A$6:A52)))</f>
        <v/>
      </c>
      <c r="X52"/>
      <c r="Y52" s="1927" t="s">
        <v>1782</v>
      </c>
      <c r="Z52" s="1927" t="s">
        <v>4682</v>
      </c>
      <c r="AA52" s="1927">
        <v>1727</v>
      </c>
      <c r="AB52" s="1927" t="s">
        <v>2371</v>
      </c>
      <c r="AC52" s="1927" t="s">
        <v>1141</v>
      </c>
      <c r="AD52" s="1927" t="s">
        <v>1142</v>
      </c>
      <c r="AE52"/>
      <c r="AF52"/>
      <c r="AG52"/>
      <c r="AH52" s="684"/>
      <c r="AI52"/>
      <c r="AJ52"/>
      <c r="AK52"/>
      <c r="AL52"/>
      <c r="AM52"/>
      <c r="AN52"/>
      <c r="AO52"/>
      <c r="AP52"/>
      <c r="AQ52"/>
      <c r="AR52"/>
      <c r="AS52"/>
      <c r="AT52"/>
      <c r="AU52"/>
      <c r="AV52" s="1655"/>
      <c r="AW52" s="931"/>
      <c r="AX52" s="931"/>
      <c r="AY52"/>
      <c r="AZ52"/>
      <c r="BA52"/>
      <c r="BB52"/>
      <c r="BC52" s="684"/>
      <c r="BD52"/>
      <c r="BE52"/>
      <c r="BF52"/>
      <c r="BG52"/>
      <c r="BH52"/>
      <c r="BI52" s="684"/>
      <c r="BJ52"/>
      <c r="BK52"/>
      <c r="BL52"/>
      <c r="BM52"/>
      <c r="BN52"/>
      <c r="BO52" s="684"/>
      <c r="CC52" s="126"/>
      <c r="CD52" s="126"/>
      <c r="CE52" s="126"/>
      <c r="CG52" s="126"/>
      <c r="EL52"/>
    </row>
    <row r="53" spans="1:178" s="10" customFormat="1">
      <c r="A53" s="1758" t="str">
        <f ca="1">IF(ISERROR(INDEX(IPList,ROWS($A$6:A53))),
         IF(ISERROR(INDEX(VIP_InstanceList,ROWS($A$6:A53)-ROWS(IPList))),
                IF(ISERROR(INDEX(GTMLIST,ROWS($A$6:A53)-(ROWS(IPList)+(ROWS(VIP_InstanceList))))),"",
                      INDEX(GTMLIST,ROWS($A$6:A53)-(ROWS(IPList)+(ROWS(VIP_InstanceList))))),
                                  INDEX(VIP_InstanceList,ROWS($A$6:A53)-ROWS(IPList))),
                                             INDEX(IPList,ROWS($A$6:A53)))</f>
        <v/>
      </c>
      <c r="B53"/>
      <c r="C53"/>
      <c r="D53"/>
      <c r="E53"/>
      <c r="F53"/>
      <c r="G53"/>
      <c r="H53"/>
      <c r="I53"/>
      <c r="J53"/>
      <c r="K53" s="2725" t="str">
        <f ca="1">IF(ISERROR(INDEX(Assetlist,ROWS($A$6:A53))),
            IF(ISERROR(INDEX(VMList,ROWS($A$6:A53)-ROWS(Assetlist))),"",
                                   INDEX(VMList,ROWS($A$6:A53)-ROWS(Assetlist))),
                                                        INDEX(Assetlist,ROWS($A$6:A53)))</f>
        <v/>
      </c>
      <c r="L53"/>
      <c r="M53" s="3"/>
      <c r="N53" s="3"/>
      <c r="O53" s="3"/>
      <c r="P53" s="3"/>
      <c r="Q53" s="3"/>
      <c r="R53" s="3"/>
      <c r="S53"/>
      <c r="T53"/>
      <c r="U53"/>
      <c r="V53"/>
      <c r="W53" s="2646" t="str">
        <f ca="1">IF(ISERROR(INDEX(AssetDecomList,ROWS($A$6:A53))),
IF(ISERROR(INDEX(AssetDecomVIPs,ROWS($A$6:A53)-ROWS(AssetDecomList))),"",INDEX(AssetDecomVIPs,ROWS($A$6:A53)-ROWS(AssetDecomList))),
INDEX(AssetDecomList,ROWS($A$6:A53)))</f>
        <v/>
      </c>
      <c r="X53"/>
      <c r="Y53" s="1927" t="s">
        <v>1782</v>
      </c>
      <c r="Z53" s="1927" t="s">
        <v>4683</v>
      </c>
      <c r="AA53" s="1927">
        <v>1728</v>
      </c>
      <c r="AB53" s="1927" t="s">
        <v>4684</v>
      </c>
      <c r="AC53" s="1927" t="s">
        <v>585</v>
      </c>
      <c r="AD53" s="1927" t="s">
        <v>586</v>
      </c>
      <c r="AE53"/>
      <c r="AF53"/>
      <c r="AG53"/>
      <c r="AH53" s="684"/>
      <c r="AI53"/>
      <c r="AJ53"/>
      <c r="AK53"/>
      <c r="AL53"/>
      <c r="AM53"/>
      <c r="AN53"/>
      <c r="AO53"/>
      <c r="AP53"/>
      <c r="AQ53"/>
      <c r="AR53"/>
      <c r="AS53"/>
      <c r="AT53"/>
      <c r="AU53"/>
      <c r="AV53" s="1655"/>
      <c r="AW53" s="931"/>
      <c r="AX53" s="931"/>
      <c r="AY53"/>
      <c r="AZ53"/>
      <c r="BA53"/>
      <c r="BB53"/>
      <c r="BC53" s="684"/>
      <c r="BD53"/>
      <c r="BE53"/>
      <c r="BF53"/>
      <c r="BG53"/>
      <c r="BH53"/>
      <c r="BI53" s="684"/>
      <c r="BJ53"/>
      <c r="BK53"/>
      <c r="BL53"/>
      <c r="BM53"/>
      <c r="BN53"/>
      <c r="BO53" s="684"/>
      <c r="CC53" s="126"/>
      <c r="CD53" s="126"/>
      <c r="CE53" s="126"/>
      <c r="CG53" s="126"/>
      <c r="EL53"/>
    </row>
    <row r="54" spans="1:178" s="10" customFormat="1">
      <c r="A54" s="1758" t="str">
        <f ca="1">IF(ISERROR(INDEX(IPList,ROWS($A$6:A54))),
         IF(ISERROR(INDEX(VIP_InstanceList,ROWS($A$6:A54)-ROWS(IPList))),
                IF(ISERROR(INDEX(GTMLIST,ROWS($A$6:A54)-(ROWS(IPList)+(ROWS(VIP_InstanceList))))),"",
                      INDEX(GTMLIST,ROWS($A$6:A54)-(ROWS(IPList)+(ROWS(VIP_InstanceList))))),
                                  INDEX(VIP_InstanceList,ROWS($A$6:A54)-ROWS(IPList))),
                                             INDEX(IPList,ROWS($A$6:A54)))</f>
        <v/>
      </c>
      <c r="B54"/>
      <c r="C54"/>
      <c r="D54"/>
      <c r="E54"/>
      <c r="F54"/>
      <c r="G54"/>
      <c r="H54"/>
      <c r="I54"/>
      <c r="J54"/>
      <c r="K54" s="2725" t="str">
        <f ca="1">IF(ISERROR(INDEX(Assetlist,ROWS($A$6:A54))),
            IF(ISERROR(INDEX(VMList,ROWS($A$6:A54)-ROWS(Assetlist))),"",
                                   INDEX(VMList,ROWS($A$6:A54)-ROWS(Assetlist))),
                                                        INDEX(Assetlist,ROWS($A$6:A54)))</f>
        <v/>
      </c>
      <c r="L54"/>
      <c r="M54" s="3"/>
      <c r="N54" s="3"/>
      <c r="O54" s="3"/>
      <c r="P54" s="3"/>
      <c r="Q54" s="3"/>
      <c r="R54" s="3"/>
      <c r="S54"/>
      <c r="T54"/>
      <c r="U54"/>
      <c r="V54"/>
      <c r="W54" s="2646" t="str">
        <f ca="1">IF(ISERROR(INDEX(AssetDecomList,ROWS($A$6:A54))),
IF(ISERROR(INDEX(AssetDecomVIPs,ROWS($A$6:A54)-ROWS(AssetDecomList))),"",INDEX(AssetDecomVIPs,ROWS($A$6:A54)-ROWS(AssetDecomList))),
INDEX(AssetDecomList,ROWS($A$6:A54)))</f>
        <v/>
      </c>
      <c r="X54"/>
      <c r="Y54" s="1927" t="s">
        <v>1782</v>
      </c>
      <c r="Z54" s="1927" t="s">
        <v>2260</v>
      </c>
      <c r="AA54" s="1927">
        <v>1729</v>
      </c>
      <c r="AB54" s="1927" t="s">
        <v>2375</v>
      </c>
      <c r="AC54" s="1927" t="s">
        <v>2228</v>
      </c>
      <c r="AD54" s="1927" t="s">
        <v>2229</v>
      </c>
      <c r="AE54"/>
      <c r="AF54"/>
      <c r="AG54"/>
      <c r="AH54" s="684"/>
      <c r="AI54"/>
      <c r="AJ54"/>
      <c r="AK54"/>
      <c r="AL54"/>
      <c r="AM54"/>
      <c r="AN54"/>
      <c r="AO54"/>
      <c r="AP54"/>
      <c r="AQ54"/>
      <c r="AR54"/>
      <c r="AS54"/>
      <c r="AT54"/>
      <c r="AU54"/>
      <c r="AV54" s="1655"/>
      <c r="AW54" s="931"/>
      <c r="AX54" s="931"/>
      <c r="AY54"/>
      <c r="AZ54"/>
      <c r="BA54"/>
      <c r="BB54"/>
      <c r="BC54" s="684"/>
      <c r="BD54"/>
      <c r="BE54"/>
      <c r="BF54"/>
      <c r="BG54"/>
      <c r="BH54"/>
      <c r="BI54" s="684"/>
      <c r="BJ54"/>
      <c r="BK54"/>
      <c r="BL54"/>
      <c r="BM54"/>
      <c r="BN54"/>
      <c r="BO54" s="684"/>
      <c r="CC54" s="126"/>
      <c r="CD54" s="126"/>
      <c r="CE54" s="126"/>
      <c r="CG54" s="126"/>
      <c r="EL54"/>
    </row>
    <row r="55" spans="1:178" s="10" customFormat="1">
      <c r="A55" s="1758" t="str">
        <f ca="1">IF(ISERROR(INDEX(IPList,ROWS($A$6:A55))),
         IF(ISERROR(INDEX(VIP_InstanceList,ROWS($A$6:A55)-ROWS(IPList))),
                IF(ISERROR(INDEX(GTMLIST,ROWS($A$6:A55)-(ROWS(IPList)+(ROWS(VIP_InstanceList))))),"",
                      INDEX(GTMLIST,ROWS($A$6:A55)-(ROWS(IPList)+(ROWS(VIP_InstanceList))))),
                                  INDEX(VIP_InstanceList,ROWS($A$6:A55)-ROWS(IPList))),
                                             INDEX(IPList,ROWS($A$6:A55)))</f>
        <v/>
      </c>
      <c r="B55"/>
      <c r="C55"/>
      <c r="D55"/>
      <c r="E55"/>
      <c r="F55"/>
      <c r="G55"/>
      <c r="H55"/>
      <c r="I55"/>
      <c r="J55"/>
      <c r="K55" s="2725" t="str">
        <f ca="1">IF(ISERROR(INDEX(Assetlist,ROWS($A$6:A55))),
            IF(ISERROR(INDEX(VMList,ROWS($A$6:A55)-ROWS(Assetlist))),"",
                                   INDEX(VMList,ROWS($A$6:A55)-ROWS(Assetlist))),
                                                        INDEX(Assetlist,ROWS($A$6:A55)))</f>
        <v/>
      </c>
      <c r="L55"/>
      <c r="M55" s="3"/>
      <c r="N55" s="3"/>
      <c r="O55" s="3"/>
      <c r="P55" s="3"/>
      <c r="Q55" s="3"/>
      <c r="R55" s="3"/>
      <c r="S55"/>
      <c r="T55"/>
      <c r="U55"/>
      <c r="V55"/>
      <c r="W55" s="2646" t="str">
        <f ca="1">IF(ISERROR(INDEX(AssetDecomList,ROWS($A$6:A55))),
IF(ISERROR(INDEX(AssetDecomVIPs,ROWS($A$6:A55)-ROWS(AssetDecomList))),"",INDEX(AssetDecomVIPs,ROWS($A$6:A55)-ROWS(AssetDecomList))),
INDEX(AssetDecomList,ROWS($A$6:A55)))</f>
        <v/>
      </c>
      <c r="X55"/>
      <c r="Y55" s="1927" t="s">
        <v>1782</v>
      </c>
      <c r="Z55" s="1927" t="s">
        <v>4685</v>
      </c>
      <c r="AA55" s="1927">
        <v>1730</v>
      </c>
      <c r="AB55" s="1927" t="s">
        <v>4686</v>
      </c>
      <c r="AC55" s="1927" t="s">
        <v>2376</v>
      </c>
      <c r="AD55" s="1927" t="s">
        <v>2377</v>
      </c>
      <c r="AE55"/>
      <c r="AF55"/>
      <c r="AG55"/>
      <c r="AH55" s="684"/>
      <c r="AI55"/>
      <c r="AJ55"/>
      <c r="AK55"/>
      <c r="AL55"/>
      <c r="AM55"/>
      <c r="AN55"/>
      <c r="AO55"/>
      <c r="AP55"/>
      <c r="AQ55"/>
      <c r="AR55"/>
      <c r="AS55"/>
      <c r="AT55"/>
      <c r="AU55"/>
      <c r="AV55" s="1655"/>
      <c r="AW55" s="931"/>
      <c r="AX55" s="931"/>
      <c r="AY55"/>
      <c r="AZ55"/>
      <c r="BA55"/>
      <c r="BB55"/>
      <c r="BC55" s="684"/>
      <c r="BD55"/>
      <c r="BE55"/>
      <c r="BF55"/>
      <c r="BG55"/>
      <c r="BH55"/>
      <c r="BI55" s="684"/>
      <c r="BJ55"/>
      <c r="BK55"/>
      <c r="BL55"/>
      <c r="BM55"/>
      <c r="BN55"/>
      <c r="BO55" s="684"/>
      <c r="CC55" s="126"/>
      <c r="CD55" s="126"/>
      <c r="CE55" s="126"/>
      <c r="CG55" s="126"/>
      <c r="EL55"/>
    </row>
    <row r="56" spans="1:178" s="10" customFormat="1">
      <c r="A56" s="1758" t="str">
        <f ca="1">IF(ISERROR(INDEX(IPList,ROWS($A$6:A56))),
         IF(ISERROR(INDEX(VIP_InstanceList,ROWS($A$6:A56)-ROWS(IPList))),
                IF(ISERROR(INDEX(GTMLIST,ROWS($A$6:A56)-(ROWS(IPList)+(ROWS(VIP_InstanceList))))),"",
                      INDEX(GTMLIST,ROWS($A$6:A56)-(ROWS(IPList)+(ROWS(VIP_InstanceList))))),
                                  INDEX(VIP_InstanceList,ROWS($A$6:A56)-ROWS(IPList))),
                                             INDEX(IPList,ROWS($A$6:A56)))</f>
        <v/>
      </c>
      <c r="B56"/>
      <c r="C56"/>
      <c r="D56"/>
      <c r="E56"/>
      <c r="F56"/>
      <c r="G56"/>
      <c r="H56"/>
      <c r="I56"/>
      <c r="J56"/>
      <c r="K56" s="2725" t="str">
        <f ca="1">IF(ISERROR(INDEX(Assetlist,ROWS($A$6:A56))),
            IF(ISERROR(INDEX(VMList,ROWS($A$6:A56)-ROWS(Assetlist))),"",
                                   INDEX(VMList,ROWS($A$6:A56)-ROWS(Assetlist))),
                                                        INDEX(Assetlist,ROWS($A$6:A56)))</f>
        <v/>
      </c>
      <c r="L56"/>
      <c r="M56" s="3"/>
      <c r="N56" s="3"/>
      <c r="O56" s="3"/>
      <c r="P56" s="3"/>
      <c r="Q56" s="3"/>
      <c r="R56" s="3"/>
      <c r="S56"/>
      <c r="T56"/>
      <c r="U56"/>
      <c r="V56"/>
      <c r="W56" s="2646" t="str">
        <f ca="1">IF(ISERROR(INDEX(AssetDecomList,ROWS($A$6:A56))),
IF(ISERROR(INDEX(AssetDecomVIPs,ROWS($A$6:A56)-ROWS(AssetDecomList))),"",INDEX(AssetDecomVIPs,ROWS($A$6:A56)-ROWS(AssetDecomList))),
INDEX(AssetDecomList,ROWS($A$6:A56)))</f>
        <v/>
      </c>
      <c r="X56"/>
      <c r="Y56" s="1927" t="s">
        <v>1782</v>
      </c>
      <c r="Z56" s="1927" t="s">
        <v>4687</v>
      </c>
      <c r="AA56" s="1927">
        <v>1732</v>
      </c>
      <c r="AB56" s="1927" t="s">
        <v>4688</v>
      </c>
      <c r="AC56" s="1927" t="s">
        <v>2230</v>
      </c>
      <c r="AD56" s="1927" t="s">
        <v>2231</v>
      </c>
      <c r="AE56"/>
      <c r="AF56"/>
      <c r="AG56"/>
      <c r="AH56" s="684"/>
      <c r="AI56"/>
      <c r="AJ56"/>
      <c r="AK56"/>
      <c r="AL56"/>
      <c r="AM56"/>
      <c r="AN56"/>
      <c r="AO56"/>
      <c r="AP56"/>
      <c r="AQ56"/>
      <c r="AR56"/>
      <c r="AS56"/>
      <c r="AT56"/>
      <c r="AU56"/>
      <c r="AV56" s="1655"/>
      <c r="AW56" s="931"/>
      <c r="AX56" s="931"/>
      <c r="AY56"/>
      <c r="AZ56"/>
      <c r="BA56"/>
      <c r="BB56"/>
      <c r="BC56" s="684"/>
      <c r="BD56"/>
      <c r="BE56"/>
      <c r="BF56"/>
      <c r="BG56"/>
      <c r="BH56"/>
      <c r="BI56" s="684"/>
      <c r="BJ56"/>
      <c r="BK56"/>
      <c r="BL56"/>
      <c r="BM56"/>
      <c r="BN56"/>
      <c r="BO56" s="684"/>
      <c r="BY56"/>
      <c r="BZ56"/>
      <c r="CA56"/>
      <c r="CC56" s="126"/>
      <c r="CD56" s="126"/>
      <c r="CE56" s="126"/>
      <c r="CG56" s="126"/>
      <c r="EL56"/>
      <c r="EN56"/>
    </row>
    <row r="57" spans="1:178" s="10" customFormat="1">
      <c r="A57" s="1758" t="str">
        <f ca="1">IF(ISERROR(INDEX(IPList,ROWS($A$6:A57))),
         IF(ISERROR(INDEX(VIP_InstanceList,ROWS($A$6:A57)-ROWS(IPList))),
                IF(ISERROR(INDEX(GTMLIST,ROWS($A$6:A57)-(ROWS(IPList)+(ROWS(VIP_InstanceList))))),"",
                      INDEX(GTMLIST,ROWS($A$6:A57)-(ROWS(IPList)+(ROWS(VIP_InstanceList))))),
                                  INDEX(VIP_InstanceList,ROWS($A$6:A57)-ROWS(IPList))),
                                             INDEX(IPList,ROWS($A$6:A57)))</f>
        <v/>
      </c>
      <c r="B57"/>
      <c r="C57"/>
      <c r="D57"/>
      <c r="E57"/>
      <c r="F57"/>
      <c r="G57"/>
      <c r="H57"/>
      <c r="I57"/>
      <c r="J57"/>
      <c r="K57" s="2725" t="str">
        <f ca="1">IF(ISERROR(INDEX(Assetlist,ROWS($A$6:A57))),
            IF(ISERROR(INDEX(VMList,ROWS($A$6:A57)-ROWS(Assetlist))),"",
                                   INDEX(VMList,ROWS($A$6:A57)-ROWS(Assetlist))),
                                                        INDEX(Assetlist,ROWS($A$6:A57)))</f>
        <v/>
      </c>
      <c r="L57"/>
      <c r="M57"/>
      <c r="N57"/>
      <c r="O57"/>
      <c r="P57" s="3"/>
      <c r="Q57"/>
      <c r="R57"/>
      <c r="S57"/>
      <c r="T57"/>
      <c r="U57"/>
      <c r="V57"/>
      <c r="W57" s="2646" t="str">
        <f ca="1">IF(ISERROR(INDEX(AssetDecomList,ROWS($A$6:A57))),
IF(ISERROR(INDEX(AssetDecomVIPs,ROWS($A$6:A57)-ROWS(AssetDecomList))),"",INDEX(AssetDecomVIPs,ROWS($A$6:A57)-ROWS(AssetDecomList))),
INDEX(AssetDecomList,ROWS($A$6:A57)))</f>
        <v/>
      </c>
      <c r="X57"/>
      <c r="Y57" s="1927" t="s">
        <v>1782</v>
      </c>
      <c r="Z57" s="1927" t="s">
        <v>4689</v>
      </c>
      <c r="AA57" s="1927">
        <v>1734</v>
      </c>
      <c r="AB57" s="1927" t="s">
        <v>4690</v>
      </c>
      <c r="AC57" s="1927" t="s">
        <v>2378</v>
      </c>
      <c r="AD57" s="1927" t="s">
        <v>2379</v>
      </c>
      <c r="AE57"/>
      <c r="AF57"/>
      <c r="AG57"/>
      <c r="AH57" s="684"/>
      <c r="AI57"/>
      <c r="AJ57"/>
      <c r="AK57"/>
      <c r="AL57"/>
      <c r="AM57"/>
      <c r="AN57"/>
      <c r="AO57"/>
      <c r="AP57"/>
      <c r="AQ57"/>
      <c r="AR57"/>
      <c r="AS57"/>
      <c r="AT57"/>
      <c r="AU57"/>
      <c r="AV57" s="1655"/>
      <c r="AW57" s="931"/>
      <c r="AX57" s="931"/>
      <c r="AY57"/>
      <c r="AZ57"/>
      <c r="BA57"/>
      <c r="BB57"/>
      <c r="BC57" s="684"/>
      <c r="BD57"/>
      <c r="BE57"/>
      <c r="BF57"/>
      <c r="BG57"/>
      <c r="BH57"/>
      <c r="BI57" s="684"/>
      <c r="BJ57"/>
      <c r="BK57"/>
      <c r="BL57"/>
      <c r="BM57"/>
      <c r="BN57"/>
      <c r="BO57" s="684"/>
      <c r="BY57"/>
      <c r="BZ57"/>
      <c r="CA57"/>
      <c r="CC57" s="126"/>
      <c r="CD57" s="126"/>
      <c r="CE57" s="126"/>
      <c r="CG57" s="126"/>
      <c r="EL57"/>
      <c r="EN57"/>
      <c r="EO57"/>
      <c r="EQ57"/>
    </row>
    <row r="58" spans="1:178" s="10" customFormat="1">
      <c r="A58" s="1758" t="str">
        <f ca="1">IF(ISERROR(INDEX(IPList,ROWS($A$6:A58))),
         IF(ISERROR(INDEX(VIP_InstanceList,ROWS($A$6:A58)-ROWS(IPList))),
                IF(ISERROR(INDEX(GTMLIST,ROWS($A$6:A58)-(ROWS(IPList)+(ROWS(VIP_InstanceList))))),"",
                      INDEX(GTMLIST,ROWS($A$6:A58)-(ROWS(IPList)+(ROWS(VIP_InstanceList))))),
                                  INDEX(VIP_InstanceList,ROWS($A$6:A58)-ROWS(IPList))),
                                             INDEX(IPList,ROWS($A$6:A58)))</f>
        <v/>
      </c>
      <c r="B58"/>
      <c r="C58"/>
      <c r="D58"/>
      <c r="E58"/>
      <c r="F58"/>
      <c r="G58"/>
      <c r="H58"/>
      <c r="I58"/>
      <c r="J58"/>
      <c r="K58" s="2725" t="str">
        <f ca="1">IF(ISERROR(INDEX(Assetlist,ROWS($A$6:A58))),
            IF(ISERROR(INDEX(VMList,ROWS($A$6:A58)-ROWS(Assetlist))),"",
                                   INDEX(VMList,ROWS($A$6:A58)-ROWS(Assetlist))),
                                                        INDEX(Assetlist,ROWS($A$6:A58)))</f>
        <v/>
      </c>
      <c r="L58"/>
      <c r="M58"/>
      <c r="N58"/>
      <c r="O58"/>
      <c r="P58" s="3"/>
      <c r="Q58"/>
      <c r="R58"/>
      <c r="S58"/>
      <c r="T58"/>
      <c r="U58"/>
      <c r="V58"/>
      <c r="W58" s="2646" t="str">
        <f ca="1">IF(ISERROR(INDEX(AssetDecomList,ROWS($A$6:A58))),
IF(ISERROR(INDEX(AssetDecomVIPs,ROWS($A$6:A58)-ROWS(AssetDecomList))),"",INDEX(AssetDecomVIPs,ROWS($A$6:A58)-ROWS(AssetDecomList))),
INDEX(AssetDecomList,ROWS($A$6:A58)))</f>
        <v/>
      </c>
      <c r="X58"/>
      <c r="Y58" s="1927" t="s">
        <v>1782</v>
      </c>
      <c r="Z58" s="1927" t="s">
        <v>659</v>
      </c>
      <c r="AA58" s="1927">
        <v>1746</v>
      </c>
      <c r="AB58" s="1927" t="s">
        <v>199</v>
      </c>
      <c r="AC58" s="1927" t="s">
        <v>200</v>
      </c>
      <c r="AD58" s="1927" t="s">
        <v>663</v>
      </c>
      <c r="AE58"/>
      <c r="AF58"/>
      <c r="AG58"/>
      <c r="AH58" s="684"/>
      <c r="AI58"/>
      <c r="AJ58"/>
      <c r="AK58"/>
      <c r="AL58"/>
      <c r="AM58"/>
      <c r="AN58"/>
      <c r="AO58"/>
      <c r="AP58"/>
      <c r="AQ58"/>
      <c r="AR58"/>
      <c r="AS58"/>
      <c r="AT58"/>
      <c r="AU58"/>
      <c r="AV58" s="1655"/>
      <c r="AW58" s="931"/>
      <c r="AX58" s="931"/>
      <c r="AY58"/>
      <c r="AZ58"/>
      <c r="BA58"/>
      <c r="BB58"/>
      <c r="BC58" s="684"/>
      <c r="BD58"/>
      <c r="BE58"/>
      <c r="BF58"/>
      <c r="BG58"/>
      <c r="BH58"/>
      <c r="BI58" s="684"/>
      <c r="BJ58"/>
      <c r="BK58"/>
      <c r="BL58"/>
      <c r="BM58"/>
      <c r="BN58"/>
      <c r="BO58" s="684"/>
      <c r="BY58"/>
      <c r="BZ58"/>
      <c r="CA58"/>
      <c r="CC58" s="126"/>
      <c r="CD58" s="126"/>
      <c r="CE58" s="126"/>
      <c r="CG58" s="126"/>
      <c r="EL58"/>
      <c r="EN58"/>
      <c r="EO58"/>
      <c r="EQ58"/>
      <c r="ER58"/>
    </row>
    <row r="59" spans="1:178" s="10" customFormat="1">
      <c r="A59" s="1758" t="str">
        <f ca="1">IF(ISERROR(INDEX(IPList,ROWS($A$6:A59))),
         IF(ISERROR(INDEX(VIP_InstanceList,ROWS($A$6:A59)-ROWS(IPList))),
                IF(ISERROR(INDEX(GTMLIST,ROWS($A$6:A59)-(ROWS(IPList)+(ROWS(VIP_InstanceList))))),"",
                      INDEX(GTMLIST,ROWS($A$6:A59)-(ROWS(IPList)+(ROWS(VIP_InstanceList))))),
                                  INDEX(VIP_InstanceList,ROWS($A$6:A59)-ROWS(IPList))),
                                             INDEX(IPList,ROWS($A$6:A59)))</f>
        <v/>
      </c>
      <c r="B59"/>
      <c r="C59"/>
      <c r="D59"/>
      <c r="E59"/>
      <c r="F59"/>
      <c r="G59"/>
      <c r="H59"/>
      <c r="I59"/>
      <c r="J59"/>
      <c r="K59" s="2725" t="str">
        <f ca="1">IF(ISERROR(INDEX(Assetlist,ROWS($A$6:A59))),
            IF(ISERROR(INDEX(VMList,ROWS($A$6:A59)-ROWS(Assetlist))),"",
                                   INDEX(VMList,ROWS($A$6:A59)-ROWS(Assetlist))),
                                                        INDEX(Assetlist,ROWS($A$6:A59)))</f>
        <v/>
      </c>
      <c r="L59"/>
      <c r="M59"/>
      <c r="N59"/>
      <c r="O59"/>
      <c r="P59"/>
      <c r="Q59"/>
      <c r="R59"/>
      <c r="S59"/>
      <c r="T59"/>
      <c r="U59"/>
      <c r="V59"/>
      <c r="W59" s="2646" t="str">
        <f ca="1">IF(ISERROR(INDEX(AssetDecomList,ROWS($A$6:A59))),
IF(ISERROR(INDEX(AssetDecomVIPs,ROWS($A$6:A59)-ROWS(AssetDecomList))),"",INDEX(AssetDecomVIPs,ROWS($A$6:A59)-ROWS(AssetDecomList))),
INDEX(AssetDecomList,ROWS($A$6:A59)))</f>
        <v/>
      </c>
      <c r="X59"/>
      <c r="Y59" s="1927" t="s">
        <v>1782</v>
      </c>
      <c r="Z59" s="1927" t="s">
        <v>4691</v>
      </c>
      <c r="AA59" s="1927">
        <v>1782</v>
      </c>
      <c r="AB59" s="1927" t="s">
        <v>4692</v>
      </c>
      <c r="AC59" s="1927" t="s">
        <v>4151</v>
      </c>
      <c r="AD59" s="1927" t="s">
        <v>4152</v>
      </c>
      <c r="AE59"/>
      <c r="AF59"/>
      <c r="AG59"/>
      <c r="AH59" s="684"/>
      <c r="AI59"/>
      <c r="AJ59"/>
      <c r="AK59"/>
      <c r="AL59"/>
      <c r="AM59"/>
      <c r="AN59"/>
      <c r="AO59"/>
      <c r="AP59"/>
      <c r="AQ59"/>
      <c r="AR59"/>
      <c r="AS59"/>
      <c r="AT59"/>
      <c r="AU59"/>
      <c r="AV59" s="1655"/>
      <c r="AW59" s="931"/>
      <c r="AX59" s="931"/>
      <c r="AY59"/>
      <c r="AZ59"/>
      <c r="BA59"/>
      <c r="BB59"/>
      <c r="BC59" s="684"/>
      <c r="BD59"/>
      <c r="BE59"/>
      <c r="BF59"/>
      <c r="BG59"/>
      <c r="BH59"/>
      <c r="BI59" s="684"/>
      <c r="BJ59"/>
      <c r="BK59"/>
      <c r="BL59"/>
      <c r="BM59"/>
      <c r="BN59"/>
      <c r="BO59" s="684"/>
      <c r="BY59"/>
      <c r="BZ59"/>
      <c r="CA59"/>
      <c r="CC59" s="126"/>
      <c r="CD59" s="126"/>
      <c r="CE59" s="126"/>
      <c r="CG59" s="126"/>
      <c r="EL59"/>
      <c r="EN59"/>
      <c r="EO59"/>
      <c r="EP59"/>
      <c r="EQ59"/>
      <c r="ER59"/>
    </row>
    <row r="60" spans="1:178" s="10" customFormat="1">
      <c r="A60" s="1758" t="str">
        <f ca="1">IF(ISERROR(INDEX(IPList,ROWS($A$6:A60))),
         IF(ISERROR(INDEX(VIP_InstanceList,ROWS($A$6:A60)-ROWS(IPList))),
                IF(ISERROR(INDEX(GTMLIST,ROWS($A$6:A60)-(ROWS(IPList)+(ROWS(VIP_InstanceList))))),"",
                      INDEX(GTMLIST,ROWS($A$6:A60)-(ROWS(IPList)+(ROWS(VIP_InstanceList))))),
                                  INDEX(VIP_InstanceList,ROWS($A$6:A60)-ROWS(IPList))),
                                             INDEX(IPList,ROWS($A$6:A60)))</f>
        <v/>
      </c>
      <c r="B60"/>
      <c r="C60"/>
      <c r="D60"/>
      <c r="E60"/>
      <c r="F60"/>
      <c r="G60"/>
      <c r="H60"/>
      <c r="I60"/>
      <c r="J60"/>
      <c r="K60" s="2725" t="str">
        <f ca="1">IF(ISERROR(INDEX(Assetlist,ROWS($A$6:A60))),
            IF(ISERROR(INDEX(VMList,ROWS($A$6:A60)-ROWS(Assetlist))),"",
                                   INDEX(VMList,ROWS($A$6:A60)-ROWS(Assetlist))),
                                                        INDEX(Assetlist,ROWS($A$6:A60)))</f>
        <v/>
      </c>
      <c r="L60"/>
      <c r="M60"/>
      <c r="N60"/>
      <c r="O60"/>
      <c r="P60"/>
      <c r="Q60"/>
      <c r="R60"/>
      <c r="S60"/>
      <c r="T60"/>
      <c r="U60"/>
      <c r="V60"/>
      <c r="W60" s="2646" t="str">
        <f ca="1">IF(ISERROR(INDEX(AssetDecomList,ROWS($A$6:A60))),
IF(ISERROR(INDEX(AssetDecomVIPs,ROWS($A$6:A60)-ROWS(AssetDecomList))),"",INDEX(AssetDecomVIPs,ROWS($A$6:A60)-ROWS(AssetDecomList))),
INDEX(AssetDecomList,ROWS($A$6:A60)))</f>
        <v/>
      </c>
      <c r="X60"/>
      <c r="Y60" s="1927" t="s">
        <v>1782</v>
      </c>
      <c r="Z60" s="1927" t="s">
        <v>1019</v>
      </c>
      <c r="AA60" s="1927">
        <v>1787</v>
      </c>
      <c r="AB60" s="1927" t="s">
        <v>4693</v>
      </c>
      <c r="AC60" s="1927" t="s">
        <v>1020</v>
      </c>
      <c r="AD60" s="1927" t="s">
        <v>1021</v>
      </c>
      <c r="AE60"/>
      <c r="AF60"/>
      <c r="AG60"/>
      <c r="AH60" s="684"/>
      <c r="AI60"/>
      <c r="AJ60"/>
      <c r="AK60"/>
      <c r="AL60"/>
      <c r="AM60"/>
      <c r="AN60"/>
      <c r="AO60"/>
      <c r="AP60"/>
      <c r="AQ60"/>
      <c r="AR60"/>
      <c r="AS60"/>
      <c r="AT60"/>
      <c r="AU60"/>
      <c r="AV60" s="1655"/>
      <c r="AW60" s="931"/>
      <c r="AX60" s="931"/>
      <c r="AY60"/>
      <c r="AZ60"/>
      <c r="BA60"/>
      <c r="BB60"/>
      <c r="BC60" s="684"/>
      <c r="BD60"/>
      <c r="BE60"/>
      <c r="BF60"/>
      <c r="BG60"/>
      <c r="BH60"/>
      <c r="BI60" s="684"/>
      <c r="BJ60"/>
      <c r="BK60"/>
      <c r="BL60"/>
      <c r="BM60"/>
      <c r="BN60"/>
      <c r="BO60" s="684"/>
      <c r="BY60"/>
      <c r="BZ60"/>
      <c r="CA60"/>
      <c r="CC60" s="126"/>
      <c r="CD60" s="126"/>
      <c r="CE60" s="126"/>
      <c r="CG60" s="126"/>
      <c r="EK60"/>
      <c r="EL60"/>
      <c r="EN60"/>
      <c r="EO60"/>
      <c r="EP60"/>
      <c r="EQ60"/>
      <c r="ER60"/>
      <c r="FV60"/>
    </row>
    <row r="61" spans="1:178" s="10" customFormat="1">
      <c r="A61" s="1758" t="str">
        <f ca="1">IF(ISERROR(INDEX(IPList,ROWS($A$6:A61))),
         IF(ISERROR(INDEX(VIP_InstanceList,ROWS($A$6:A61)-ROWS(IPList))),
                IF(ISERROR(INDEX(GTMLIST,ROWS($A$6:A61)-(ROWS(IPList)+(ROWS(VIP_InstanceList))))),"",
                      INDEX(GTMLIST,ROWS($A$6:A61)-(ROWS(IPList)+(ROWS(VIP_InstanceList))))),
                                  INDEX(VIP_InstanceList,ROWS($A$6:A61)-ROWS(IPList))),
                                             INDEX(IPList,ROWS($A$6:A61)))</f>
        <v/>
      </c>
      <c r="B61"/>
      <c r="C61"/>
      <c r="D61"/>
      <c r="E61"/>
      <c r="F61"/>
      <c r="G61"/>
      <c r="H61"/>
      <c r="I61"/>
      <c r="J61"/>
      <c r="K61" s="2726"/>
      <c r="L61"/>
      <c r="M61"/>
      <c r="N61"/>
      <c r="O61"/>
      <c r="P61"/>
      <c r="Q61"/>
      <c r="R61"/>
      <c r="S61"/>
      <c r="T61"/>
      <c r="U61"/>
      <c r="V61"/>
      <c r="W61" s="2646" t="str">
        <f ca="1">IF(ISERROR(INDEX(AssetDecomList,ROWS($A$6:A61))),
IF(ISERROR(INDEX(AssetDecomVIPs,ROWS($A$6:A61)-ROWS(AssetDecomList))),"",INDEX(AssetDecomVIPs,ROWS($A$6:A61)-ROWS(AssetDecomList))),
INDEX(AssetDecomList,ROWS($A$6:A61)))</f>
        <v/>
      </c>
      <c r="X61"/>
      <c r="Y61" s="1927" t="s">
        <v>1782</v>
      </c>
      <c r="Z61" s="1927" t="s">
        <v>3744</v>
      </c>
      <c r="AA61" s="1927">
        <v>1837</v>
      </c>
      <c r="AB61" s="1927" t="s">
        <v>4694</v>
      </c>
      <c r="AC61" s="1927" t="s">
        <v>3373</v>
      </c>
      <c r="AD61" s="1927" t="s">
        <v>3374</v>
      </c>
      <c r="AE61"/>
      <c r="AF61"/>
      <c r="AG61"/>
      <c r="AH61" s="684"/>
      <c r="AI61"/>
      <c r="AJ61"/>
      <c r="AK61"/>
      <c r="AL61"/>
      <c r="AM61"/>
      <c r="AN61"/>
      <c r="AO61"/>
      <c r="AP61"/>
      <c r="AQ61"/>
      <c r="AR61"/>
      <c r="AS61"/>
      <c r="AT61"/>
      <c r="AU61"/>
      <c r="AV61" s="1655"/>
      <c r="AW61" s="931"/>
      <c r="AX61" s="931"/>
      <c r="AY61"/>
      <c r="AZ61"/>
      <c r="BA61"/>
      <c r="BB61"/>
      <c r="BC61" s="684"/>
      <c r="BD61"/>
      <c r="BE61"/>
      <c r="BF61"/>
      <c r="BG61"/>
      <c r="BH61"/>
      <c r="BI61" s="684"/>
      <c r="BJ61"/>
      <c r="BK61"/>
      <c r="BL61"/>
      <c r="BM61"/>
      <c r="BN61"/>
      <c r="BO61" s="684"/>
      <c r="BY61"/>
      <c r="BZ61"/>
      <c r="CA61"/>
      <c r="CC61" s="126"/>
      <c r="CD61" s="126"/>
      <c r="CE61" s="126"/>
      <c r="CG61" s="126"/>
      <c r="EK61"/>
      <c r="EL61"/>
      <c r="EN61"/>
      <c r="EO61"/>
      <c r="EP61"/>
      <c r="EQ61"/>
      <c r="ER61"/>
      <c r="FV61"/>
    </row>
    <row r="62" spans="1:178" s="10" customFormat="1">
      <c r="A62" s="1758" t="str">
        <f ca="1">IF(ISERROR(INDEX(IPList,ROWS($A$6:A62))),
         IF(ISERROR(INDEX(VIP_InstanceList,ROWS($A$6:A62)-ROWS(IPList))),
                IF(ISERROR(INDEX(GTMLIST,ROWS($A$6:A62)-(ROWS(IPList)+(ROWS(VIP_InstanceList))))),"",
                      INDEX(GTMLIST,ROWS($A$6:A62)-(ROWS(IPList)+(ROWS(VIP_InstanceList))))),
                                  INDEX(VIP_InstanceList,ROWS($A$6:A62)-ROWS(IPList))),
                                             INDEX(IPList,ROWS($A$6:A62)))</f>
        <v/>
      </c>
      <c r="B62"/>
      <c r="C62"/>
      <c r="D62"/>
      <c r="E62"/>
      <c r="F62"/>
      <c r="G62"/>
      <c r="H62"/>
      <c r="I62"/>
      <c r="J62"/>
      <c r="K62" s="2726"/>
      <c r="L62"/>
      <c r="M62"/>
      <c r="N62"/>
      <c r="O62"/>
      <c r="P62"/>
      <c r="Q62"/>
      <c r="R62"/>
      <c r="S62"/>
      <c r="T62"/>
      <c r="U62"/>
      <c r="V62"/>
      <c r="W62" s="2646" t="str">
        <f ca="1">IF(ISERROR(INDEX(AssetDecomList,ROWS($A$6:A62))),
IF(ISERROR(INDEX(AssetDecomVIPs,ROWS($A$6:A62)-ROWS(AssetDecomList))),"",INDEX(AssetDecomVIPs,ROWS($A$6:A62)-ROWS(AssetDecomList))),
INDEX(AssetDecomList,ROWS($A$6:A62)))</f>
        <v/>
      </c>
      <c r="X62"/>
      <c r="Y62" s="1927" t="s">
        <v>1782</v>
      </c>
      <c r="Z62" s="1927" t="s">
        <v>1030</v>
      </c>
      <c r="AA62" s="1927">
        <v>1788</v>
      </c>
      <c r="AB62" s="1927" t="s">
        <v>4695</v>
      </c>
      <c r="AC62" s="1927" t="s">
        <v>1026</v>
      </c>
      <c r="AD62" s="1927" t="s">
        <v>1022</v>
      </c>
      <c r="AE62"/>
      <c r="AF62"/>
      <c r="AG62"/>
      <c r="AH62" s="684"/>
      <c r="AI62"/>
      <c r="AJ62"/>
      <c r="AK62"/>
      <c r="AL62"/>
      <c r="AM62"/>
      <c r="AN62"/>
      <c r="AO62"/>
      <c r="AP62"/>
      <c r="AQ62"/>
      <c r="AR62"/>
      <c r="AS62"/>
      <c r="AT62"/>
      <c r="AU62"/>
      <c r="AV62" s="1655"/>
      <c r="AW62" s="931"/>
      <c r="AX62" s="931"/>
      <c r="AY62"/>
      <c r="AZ62"/>
      <c r="BA62"/>
      <c r="BB62"/>
      <c r="BC62" s="684"/>
      <c r="BD62"/>
      <c r="BE62"/>
      <c r="BF62"/>
      <c r="BG62"/>
      <c r="BH62"/>
      <c r="BI62" s="684"/>
      <c r="BJ62"/>
      <c r="BK62"/>
      <c r="BL62"/>
      <c r="BM62"/>
      <c r="BN62"/>
      <c r="BO62" s="684"/>
      <c r="BY62"/>
      <c r="BZ62"/>
      <c r="CA62"/>
      <c r="CC62" s="126"/>
      <c r="CD62" s="126"/>
      <c r="CE62" s="126"/>
      <c r="CG62" s="126"/>
      <c r="EK62"/>
      <c r="EL62"/>
      <c r="EN62"/>
      <c r="EO62"/>
      <c r="EP62"/>
      <c r="EQ62"/>
      <c r="ER62"/>
      <c r="FV62"/>
    </row>
    <row r="63" spans="1:178" s="10" customFormat="1">
      <c r="A63" s="1758" t="str">
        <f ca="1">IF(ISERROR(INDEX(IPList,ROWS($A$6:A63))),
         IF(ISERROR(INDEX(VIP_InstanceList,ROWS($A$6:A63)-ROWS(IPList))),
                IF(ISERROR(INDEX(GTMLIST,ROWS($A$6:A63)-(ROWS(IPList)+(ROWS(VIP_InstanceList))))),"",
                      INDEX(GTMLIST,ROWS($A$6:A63)-(ROWS(IPList)+(ROWS(VIP_InstanceList))))),
                                  INDEX(VIP_InstanceList,ROWS($A$6:A63)-ROWS(IPList))),
                                             INDEX(IPList,ROWS($A$6:A63)))</f>
        <v/>
      </c>
      <c r="B63"/>
      <c r="C63"/>
      <c r="D63"/>
      <c r="E63"/>
      <c r="F63"/>
      <c r="G63"/>
      <c r="H63"/>
      <c r="I63"/>
      <c r="J63"/>
      <c r="K63" s="2726"/>
      <c r="L63"/>
      <c r="M63"/>
      <c r="N63"/>
      <c r="O63"/>
      <c r="P63"/>
      <c r="Q63"/>
      <c r="R63"/>
      <c r="S63"/>
      <c r="T63"/>
      <c r="U63"/>
      <c r="V63"/>
      <c r="W63" s="2646" t="str">
        <f ca="1">IF(ISERROR(INDEX(AssetDecomList,ROWS($A$6:A63))),
IF(ISERROR(INDEX(AssetDecomVIPs,ROWS($A$6:A63)-ROWS(AssetDecomList))),"",INDEX(AssetDecomVIPs,ROWS($A$6:A63)-ROWS(AssetDecomList))),
INDEX(AssetDecomList,ROWS($A$6:A63)))</f>
        <v/>
      </c>
      <c r="X63"/>
      <c r="Y63" s="1927" t="s">
        <v>1782</v>
      </c>
      <c r="Z63" s="1927" t="s">
        <v>1028</v>
      </c>
      <c r="AA63" s="1927">
        <v>1789</v>
      </c>
      <c r="AB63" s="1927" t="s">
        <v>4696</v>
      </c>
      <c r="AC63" s="1927" t="s">
        <v>1023</v>
      </c>
      <c r="AD63" s="1927" t="s">
        <v>1024</v>
      </c>
      <c r="AE63"/>
      <c r="AF63"/>
      <c r="AG63"/>
      <c r="AH63" s="684"/>
      <c r="AI63"/>
      <c r="AJ63"/>
      <c r="AK63"/>
      <c r="AL63"/>
      <c r="AM63"/>
      <c r="AN63"/>
      <c r="AO63"/>
      <c r="AP63"/>
      <c r="AQ63"/>
      <c r="AR63"/>
      <c r="AS63"/>
      <c r="AT63"/>
      <c r="AU63"/>
      <c r="AV63" s="1655"/>
      <c r="AW63" s="931"/>
      <c r="AX63" s="931"/>
      <c r="AY63"/>
      <c r="AZ63"/>
      <c r="BA63"/>
      <c r="BB63"/>
      <c r="BC63" s="684"/>
      <c r="BD63"/>
      <c r="BE63"/>
      <c r="BF63"/>
      <c r="BG63"/>
      <c r="BH63"/>
      <c r="BI63" s="684"/>
      <c r="BJ63"/>
      <c r="BK63"/>
      <c r="BL63"/>
      <c r="BM63"/>
      <c r="BN63"/>
      <c r="BO63" s="684"/>
      <c r="BY63"/>
      <c r="BZ63"/>
      <c r="CA63"/>
      <c r="CB63"/>
      <c r="CC63"/>
      <c r="CD63"/>
      <c r="CE63"/>
      <c r="CG63" s="126"/>
      <c r="EK63"/>
      <c r="EL63"/>
      <c r="EM63"/>
      <c r="EN63"/>
      <c r="EO63"/>
      <c r="EP63"/>
      <c r="EQ63"/>
      <c r="ER63"/>
      <c r="FV63"/>
    </row>
    <row r="64" spans="1:178" s="10" customFormat="1">
      <c r="A64" s="1758" t="str">
        <f ca="1">IF(ISERROR(INDEX(IPList,ROWS($A$6:A64))),
         IF(ISERROR(INDEX(VIP_InstanceList,ROWS($A$6:A64)-ROWS(IPList))),
                IF(ISERROR(INDEX(GTMLIST,ROWS($A$6:A64)-(ROWS(IPList)+(ROWS(VIP_InstanceList))))),"",
                      INDEX(GTMLIST,ROWS($A$6:A64)-(ROWS(IPList)+(ROWS(VIP_InstanceList))))),
                                  INDEX(VIP_InstanceList,ROWS($A$6:A64)-ROWS(IPList))),
                                             INDEX(IPList,ROWS($A$6:A64)))</f>
        <v/>
      </c>
      <c r="B64"/>
      <c r="C64"/>
      <c r="D64"/>
      <c r="E64"/>
      <c r="F64"/>
      <c r="G64"/>
      <c r="H64"/>
      <c r="I64"/>
      <c r="J64"/>
      <c r="K64" s="2726"/>
      <c r="L64"/>
      <c r="M64"/>
      <c r="N64"/>
      <c r="O64"/>
      <c r="P64"/>
      <c r="Q64"/>
      <c r="R64"/>
      <c r="S64"/>
      <c r="T64"/>
      <c r="U64"/>
      <c r="V64"/>
      <c r="W64" s="2646" t="str">
        <f ca="1">IF(ISERROR(INDEX(AssetDecomList,ROWS($A$6:A64))),
IF(ISERROR(INDEX(AssetDecomVIPs,ROWS($A$6:A64)-ROWS(AssetDecomList))),"",INDEX(AssetDecomVIPs,ROWS($A$6:A64)-ROWS(AssetDecomList))),
INDEX(AssetDecomList,ROWS($A$6:A64)))</f>
        <v/>
      </c>
      <c r="X64"/>
      <c r="Y64" s="1927" t="s">
        <v>1782</v>
      </c>
      <c r="Z64" s="1927" t="s">
        <v>1029</v>
      </c>
      <c r="AA64" s="1927">
        <v>1790</v>
      </c>
      <c r="AB64" s="1927" t="s">
        <v>4697</v>
      </c>
      <c r="AC64" s="1927" t="s">
        <v>1027</v>
      </c>
      <c r="AD64" s="1927" t="s">
        <v>1025</v>
      </c>
      <c r="AE64"/>
      <c r="AF64"/>
      <c r="AG64"/>
      <c r="AH64" s="684"/>
      <c r="AI64"/>
      <c r="AJ64"/>
      <c r="AK64"/>
      <c r="AL64"/>
      <c r="AM64"/>
      <c r="AN64"/>
      <c r="AO64"/>
      <c r="AP64"/>
      <c r="AQ64"/>
      <c r="AR64"/>
      <c r="AS64"/>
      <c r="AT64"/>
      <c r="AU64"/>
      <c r="AV64" s="1655"/>
      <c r="AW64" s="931"/>
      <c r="AX64" s="931"/>
      <c r="AY64"/>
      <c r="AZ64"/>
      <c r="BA64"/>
      <c r="BB64"/>
      <c r="BC64" s="684"/>
      <c r="BD64"/>
      <c r="BE64"/>
      <c r="BF64"/>
      <c r="BG64"/>
      <c r="BH64"/>
      <c r="BI64" s="684"/>
      <c r="BJ64"/>
      <c r="BK64"/>
      <c r="BL64"/>
      <c r="BM64"/>
      <c r="BN64"/>
      <c r="BO64" s="684"/>
      <c r="BY64"/>
      <c r="BZ64"/>
      <c r="CA64"/>
      <c r="CB64"/>
      <c r="CC64"/>
      <c r="CD64"/>
      <c r="CE64"/>
      <c r="CG64" s="126"/>
      <c r="EK64"/>
      <c r="EL64"/>
      <c r="EM64"/>
      <c r="EN64"/>
      <c r="EO64"/>
      <c r="EP64"/>
      <c r="EQ64"/>
      <c r="ER64"/>
      <c r="ET64"/>
      <c r="EU64"/>
      <c r="FV64"/>
    </row>
    <row r="65" spans="1:179" ht="15">
      <c r="A65" s="1758" t="str">
        <f ca="1">IF(ISERROR(INDEX(IPList,ROWS($A$6:A65))),
         IF(ISERROR(INDEX(VIP_InstanceList,ROWS($A$6:A65)-ROWS(IPList))),
                IF(ISERROR(INDEX(GTMLIST,ROWS($A$6:A65)-(ROWS(IPList)+(ROWS(VIP_InstanceList))))),"",
                      INDEX(GTMLIST,ROWS($A$6:A65)-(ROWS(IPList)+(ROWS(VIP_InstanceList))))),
                                  INDEX(VIP_InstanceList,ROWS($A$6:A65)-ROWS(IPList))),
                                             INDEX(IPList,ROWS($A$6:A65)))</f>
        <v/>
      </c>
      <c r="K65" s="2726"/>
      <c r="W65" s="2646" t="str">
        <f ca="1">IF(ISERROR(INDEX(AssetDecomList,ROWS($A$6:A65))),
IF(ISERROR(INDEX(AssetDecomVIPs,ROWS($A$6:A65)-ROWS(AssetDecomList))),"",INDEX(AssetDecomVIPs,ROWS($A$6:A65)-ROWS(AssetDecomList))),
INDEX(AssetDecomList,ROWS($A$6:A65)))</f>
        <v/>
      </c>
      <c r="Y65" s="1927" t="s">
        <v>1782</v>
      </c>
      <c r="Z65" s="1927" t="s">
        <v>4698</v>
      </c>
      <c r="AA65" s="2977">
        <v>1844</v>
      </c>
      <c r="AB65" s="1927" t="s">
        <v>4699</v>
      </c>
      <c r="AC65" s="1927" t="s">
        <v>3377</v>
      </c>
      <c r="AD65" s="1927" t="s">
        <v>3378</v>
      </c>
      <c r="AV65" s="1655"/>
      <c r="AW65" s="931"/>
      <c r="AX65" s="931"/>
      <c r="BV65" s="10"/>
      <c r="BW65" s="10"/>
      <c r="CH65" s="10"/>
      <c r="CK65" s="10"/>
      <c r="CL65" s="10"/>
      <c r="CN65" s="10"/>
      <c r="CO65" s="10"/>
      <c r="CP65" s="10"/>
      <c r="CQ65" s="10"/>
      <c r="CR65" s="10"/>
      <c r="CS65" s="10"/>
      <c r="CT65" s="10"/>
      <c r="CU65" s="10"/>
      <c r="CV65" s="10"/>
      <c r="CW65" s="10"/>
      <c r="CX65" s="10"/>
      <c r="CY65" s="10"/>
      <c r="CZ65" s="10"/>
      <c r="DA65" s="10"/>
      <c r="DB65" s="10"/>
      <c r="DM65" s="10"/>
      <c r="DN65" s="10"/>
      <c r="DO65" s="10"/>
      <c r="DQ65" s="10"/>
      <c r="DS65" s="10"/>
      <c r="DT65" s="10"/>
      <c r="DU65" s="10"/>
      <c r="ED65" s="10"/>
      <c r="EE65" s="10"/>
      <c r="EH65" s="10"/>
      <c r="EV65" s="10"/>
      <c r="FD65" s="10"/>
      <c r="FE65" s="10"/>
      <c r="FW65" s="10"/>
    </row>
    <row r="66" spans="1:179">
      <c r="A66" s="1758" t="str">
        <f ca="1">IF(ISERROR(INDEX(IPList,ROWS($A$6:A66))),
         IF(ISERROR(INDEX(VIP_InstanceList,ROWS($A$6:A66)-ROWS(IPList))),
                IF(ISERROR(INDEX(GTMLIST,ROWS($A$6:A66)-(ROWS(IPList)+(ROWS(VIP_InstanceList))))),"",
                      INDEX(GTMLIST,ROWS($A$6:A66)-(ROWS(IPList)+(ROWS(VIP_InstanceList))))),
                                  INDEX(VIP_InstanceList,ROWS($A$6:A66)-ROWS(IPList))),
                                             INDEX(IPList,ROWS($A$6:A66)))</f>
        <v/>
      </c>
      <c r="K66" s="2726"/>
      <c r="W66" s="2646" t="str">
        <f ca="1">IF(ISERROR(INDEX(AssetDecomList,ROWS($A$6:A66))),
IF(ISERROR(INDEX(AssetDecomVIPs,ROWS($A$6:A66)-ROWS(AssetDecomList))),"",INDEX(AssetDecomVIPs,ROWS($A$6:A66)-ROWS(AssetDecomList))),
INDEX(AssetDecomList,ROWS($A$6:A66)))</f>
        <v/>
      </c>
      <c r="Y66" s="1927" t="s">
        <v>1782</v>
      </c>
      <c r="Z66" s="1927" t="s">
        <v>4127</v>
      </c>
      <c r="AA66" s="1927">
        <v>1848</v>
      </c>
      <c r="AB66" s="1927" t="s">
        <v>4700</v>
      </c>
      <c r="AC66" s="1927" t="s">
        <v>4128</v>
      </c>
      <c r="AD66" s="1927" t="s">
        <v>4129</v>
      </c>
      <c r="AV66" s="1655"/>
      <c r="AW66" s="931"/>
      <c r="AX66" s="931"/>
      <c r="BV66" s="10"/>
      <c r="BW66" s="10"/>
      <c r="CK66" s="10"/>
      <c r="CL66" s="10"/>
      <c r="CN66" s="10"/>
      <c r="CO66" s="10"/>
      <c r="CP66" s="10"/>
      <c r="CQ66" s="10"/>
      <c r="CR66" s="10"/>
      <c r="CS66" s="10"/>
      <c r="CT66" s="10"/>
      <c r="CU66" s="10"/>
      <c r="CV66" s="10"/>
      <c r="CW66" s="10"/>
      <c r="CX66" s="10"/>
      <c r="CY66" s="10"/>
      <c r="CZ66" s="10"/>
      <c r="DA66" s="10"/>
      <c r="DB66" s="10"/>
      <c r="DO66" s="10"/>
      <c r="ED66" s="10"/>
      <c r="EE66" s="10"/>
      <c r="EV66" s="10"/>
      <c r="FD66" s="10"/>
      <c r="FW66" s="10"/>
    </row>
    <row r="67" spans="1:179">
      <c r="A67" s="1758" t="str">
        <f ca="1">IF(ISERROR(INDEX(IPList,ROWS($A$6:A67))),
         IF(ISERROR(INDEX(VIP_InstanceList,ROWS($A$6:A67)-ROWS(IPList))),
                IF(ISERROR(INDEX(GTMLIST,ROWS($A$6:A67)-(ROWS(IPList)+(ROWS(VIP_InstanceList))))),"",
                      INDEX(GTMLIST,ROWS($A$6:A67)-(ROWS(IPList)+(ROWS(VIP_InstanceList))))),
                                  INDEX(VIP_InstanceList,ROWS($A$6:A67)-ROWS(IPList))),
                                             INDEX(IPList,ROWS($A$6:A67)))</f>
        <v/>
      </c>
      <c r="K67" s="2726"/>
      <c r="W67" s="2646" t="str">
        <f ca="1">IF(ISERROR(INDEX(AssetDecomList,ROWS($A$6:A67))),
IF(ISERROR(INDEX(AssetDecomVIPs,ROWS($A$6:A67)-ROWS(AssetDecomList))),"",INDEX(AssetDecomVIPs,ROWS($A$6:A67)-ROWS(AssetDecomList))),
INDEX(AssetDecomList,ROWS($A$6:A67)))</f>
        <v/>
      </c>
      <c r="Y67" s="1927" t="s">
        <v>1782</v>
      </c>
      <c r="Z67" s="1927" t="s">
        <v>4701</v>
      </c>
      <c r="AA67" s="1927">
        <v>1861</v>
      </c>
      <c r="AB67" s="1927" t="s">
        <v>4702</v>
      </c>
      <c r="AC67" s="1927" t="s">
        <v>4703</v>
      </c>
      <c r="AD67" s="1927" t="s">
        <v>4704</v>
      </c>
      <c r="AV67" s="1655"/>
      <c r="AW67" s="931"/>
      <c r="AX67" s="931"/>
      <c r="BV67" s="10"/>
      <c r="BW67" s="10"/>
      <c r="CK67" s="10"/>
      <c r="CN67" s="10"/>
      <c r="CO67" s="10"/>
      <c r="CP67" s="10"/>
      <c r="CQ67" s="10"/>
      <c r="CR67" s="10"/>
      <c r="CS67" s="10"/>
      <c r="CT67" s="10"/>
      <c r="CU67" s="10"/>
      <c r="CV67" s="10"/>
      <c r="CW67" s="10"/>
      <c r="CX67" s="10"/>
      <c r="CY67" s="10"/>
      <c r="CZ67" s="10"/>
      <c r="DA67" s="10"/>
      <c r="DB67" s="10"/>
      <c r="ED67" s="10"/>
      <c r="EE67" s="10"/>
      <c r="EV67" s="10"/>
      <c r="FD67" s="10"/>
      <c r="FW67" s="10"/>
    </row>
    <row r="68" spans="1:179">
      <c r="A68" s="1758" t="str">
        <f ca="1">IF(ISERROR(INDEX(IPList,ROWS($A$6:A68))),
         IF(ISERROR(INDEX(VIP_InstanceList,ROWS($A$6:A68)-ROWS(IPList))),
                IF(ISERROR(INDEX(GTMLIST,ROWS($A$6:A68)-(ROWS(IPList)+(ROWS(VIP_InstanceList))))),"",
                      INDEX(GTMLIST,ROWS($A$6:A68)-(ROWS(IPList)+(ROWS(VIP_InstanceList))))),
                                  INDEX(VIP_InstanceList,ROWS($A$6:A68)-ROWS(IPList))),
                                             INDEX(IPList,ROWS($A$6:A68)))</f>
        <v/>
      </c>
      <c r="K68" s="2726"/>
      <c r="W68" s="2646" t="str">
        <f ca="1">IF(ISERROR(INDEX(AssetDecomList,ROWS($A$6:A68))),
IF(ISERROR(INDEX(AssetDecomVIPs,ROWS($A$6:A68)-ROWS(AssetDecomList))),"",INDEX(AssetDecomVIPs,ROWS($A$6:A68)-ROWS(AssetDecomList))),
INDEX(AssetDecomList,ROWS($A$6:A68)))</f>
        <v/>
      </c>
      <c r="Y68" s="1927" t="s">
        <v>1782</v>
      </c>
      <c r="Z68" s="1927" t="s">
        <v>4705</v>
      </c>
      <c r="AA68" s="1927">
        <v>1862</v>
      </c>
      <c r="AB68" s="1927" t="s">
        <v>4706</v>
      </c>
      <c r="AC68" s="1927" t="s">
        <v>4707</v>
      </c>
      <c r="AD68" s="1927" t="s">
        <v>4708</v>
      </c>
      <c r="AV68" s="1655"/>
      <c r="AW68" s="931"/>
      <c r="AX68" s="931"/>
      <c r="BV68" s="10"/>
      <c r="CK68" s="10"/>
      <c r="CN68" s="10"/>
      <c r="CO68" s="10"/>
      <c r="CP68" s="10"/>
      <c r="CQ68" s="10"/>
      <c r="CR68" s="10"/>
      <c r="CS68" s="10"/>
      <c r="CT68" s="10"/>
      <c r="CU68" s="10"/>
      <c r="CV68" s="10"/>
      <c r="CW68" s="10"/>
      <c r="DA68" s="10"/>
      <c r="DB68" s="10"/>
      <c r="ED68" s="10"/>
      <c r="EE68" s="10"/>
      <c r="FD68" s="10"/>
      <c r="FW68" s="10"/>
    </row>
    <row r="69" spans="1:179">
      <c r="A69" s="1758" t="str">
        <f ca="1">IF(ISERROR(INDEX(IPList,ROWS($A$6:A69))),
         IF(ISERROR(INDEX(VIP_InstanceList,ROWS($A$6:A69)-ROWS(IPList))),
                IF(ISERROR(INDEX(GTMLIST,ROWS($A$6:A69)-(ROWS(IPList)+(ROWS(VIP_InstanceList))))),"",
                      INDEX(GTMLIST,ROWS($A$6:A69)-(ROWS(IPList)+(ROWS(VIP_InstanceList))))),
                                  INDEX(VIP_InstanceList,ROWS($A$6:A69)-ROWS(IPList))),
                                             INDEX(IPList,ROWS($A$6:A69)))</f>
        <v/>
      </c>
      <c r="K69" s="2726"/>
      <c r="W69" s="2646" t="str">
        <f ca="1">IF(ISERROR(INDEX(AssetDecomList,ROWS($A$6:A69))),
IF(ISERROR(INDEX(AssetDecomVIPs,ROWS($A$6:A69)-ROWS(AssetDecomList))),"",INDEX(AssetDecomVIPs,ROWS($A$6:A69)-ROWS(AssetDecomList))),
INDEX(AssetDecomList,ROWS($A$6:A69)))</f>
        <v/>
      </c>
      <c r="Y69" s="1927" t="s">
        <v>1782</v>
      </c>
      <c r="Z69" s="1927" t="s">
        <v>4709</v>
      </c>
      <c r="AA69" s="1927">
        <v>1851</v>
      </c>
      <c r="AB69" s="1927" t="s">
        <v>4710</v>
      </c>
      <c r="AC69" s="1927" t="s">
        <v>4711</v>
      </c>
      <c r="AD69" s="1927" t="s">
        <v>4712</v>
      </c>
      <c r="AV69" s="1655"/>
      <c r="AW69" s="931"/>
      <c r="AX69" s="931"/>
      <c r="BV69" s="10"/>
      <c r="CK69" s="10"/>
      <c r="CO69" s="10"/>
      <c r="CP69" s="10"/>
      <c r="CQ69" s="10"/>
      <c r="CR69" s="10"/>
      <c r="CS69" s="10"/>
      <c r="CT69" s="10"/>
      <c r="CU69" s="10"/>
      <c r="CV69" s="10"/>
      <c r="CW69" s="10"/>
      <c r="DA69" s="10"/>
      <c r="ED69" s="10"/>
      <c r="FD69" s="10"/>
    </row>
    <row r="70" spans="1:179">
      <c r="A70" s="1758" t="str">
        <f ca="1">IF(ISERROR(INDEX(IPList,ROWS($A$6:A70))),
         IF(ISERROR(INDEX(VIP_InstanceList,ROWS($A$6:A70)-ROWS(IPList))),
                IF(ISERROR(INDEX(GTMLIST,ROWS($A$6:A70)-(ROWS(IPList)+(ROWS(VIP_InstanceList))))),"",
                      INDEX(GTMLIST,ROWS($A$6:A70)-(ROWS(IPList)+(ROWS(VIP_InstanceList))))),
                                  INDEX(VIP_InstanceList,ROWS($A$6:A70)-ROWS(IPList))),
                                             INDEX(IPList,ROWS($A$6:A70)))</f>
        <v/>
      </c>
      <c r="K70" s="2726"/>
      <c r="W70" s="2646" t="str">
        <f ca="1">IF(ISERROR(INDEX(AssetDecomList,ROWS($A$6:A70))),
IF(ISERROR(INDEX(AssetDecomVIPs,ROWS($A$6:A70)-ROWS(AssetDecomList))),"",INDEX(AssetDecomVIPs,ROWS($A$6:A70)-ROWS(AssetDecomList))),
INDEX(AssetDecomList,ROWS($A$6:A70)))</f>
        <v/>
      </c>
      <c r="Y70" s="1927" t="s">
        <v>1782</v>
      </c>
      <c r="Z70" s="1927" t="s">
        <v>4713</v>
      </c>
      <c r="AA70" s="1927">
        <v>1720</v>
      </c>
      <c r="AB70" s="1927" t="s">
        <v>4675</v>
      </c>
      <c r="AC70" s="1927" t="s">
        <v>466</v>
      </c>
      <c r="AD70" s="1927" t="s">
        <v>467</v>
      </c>
      <c r="AV70" s="1655"/>
      <c r="AW70" s="931"/>
      <c r="AX70" s="931"/>
      <c r="BV70" s="10"/>
      <c r="CK70" s="10"/>
      <c r="CO70" s="10"/>
      <c r="CP70" s="10"/>
      <c r="CQ70" s="10"/>
      <c r="CR70" s="10"/>
      <c r="CS70" s="10"/>
      <c r="CT70" s="10"/>
      <c r="CU70" s="10"/>
      <c r="CV70" s="10"/>
      <c r="CW70" s="10"/>
      <c r="DA70" s="10"/>
      <c r="ED70" s="10"/>
      <c r="FD70" s="10"/>
    </row>
    <row r="71" spans="1:179">
      <c r="A71" s="1758" t="str">
        <f ca="1">IF(ISERROR(INDEX(IPList,ROWS($A$6:A71))),
         IF(ISERROR(INDEX(VIP_InstanceList,ROWS($A$6:A71)-ROWS(IPList))),
                IF(ISERROR(INDEX(GTMLIST,ROWS($A$6:A71)-(ROWS(IPList)+(ROWS(VIP_InstanceList))))),"",
                      INDEX(GTMLIST,ROWS($A$6:A71)-(ROWS(IPList)+(ROWS(VIP_InstanceList))))),
                                  INDEX(VIP_InstanceList,ROWS($A$6:A71)-ROWS(IPList))),
                                             INDEX(IPList,ROWS($A$6:A71)))</f>
        <v/>
      </c>
      <c r="K71" s="2726"/>
      <c r="W71" s="2646" t="str">
        <f ca="1">IF(ISERROR(INDEX(AssetDecomList,ROWS($A$6:A71))),
IF(ISERROR(INDEX(AssetDecomVIPs,ROWS($A$6:A71)-ROWS(AssetDecomList))),"",INDEX(AssetDecomVIPs,ROWS($A$6:A71)-ROWS(AssetDecomList))),
INDEX(AssetDecomList,ROWS($A$6:A71)))</f>
        <v/>
      </c>
      <c r="Y71" s="1927" t="s">
        <v>1782</v>
      </c>
      <c r="Z71" s="1927" t="s">
        <v>4714</v>
      </c>
      <c r="AA71" s="1927">
        <v>1721</v>
      </c>
      <c r="AB71" s="1927" t="s">
        <v>4675</v>
      </c>
      <c r="AC71" s="1927" t="s">
        <v>1143</v>
      </c>
      <c r="AD71" s="1927" t="s">
        <v>1144</v>
      </c>
      <c r="AV71" s="1655"/>
      <c r="AW71" s="931"/>
      <c r="AX71" s="931"/>
      <c r="CK71" s="10"/>
      <c r="CO71" s="10"/>
      <c r="CP71" s="10"/>
      <c r="CQ71" s="10"/>
      <c r="CR71" s="10"/>
      <c r="CS71" s="10"/>
      <c r="CT71" s="10"/>
      <c r="CU71" s="10"/>
      <c r="CV71" s="10"/>
      <c r="CW71" s="10"/>
      <c r="DA71" s="10"/>
      <c r="FD71" s="10"/>
    </row>
    <row r="72" spans="1:179">
      <c r="A72" s="1758" t="str">
        <f ca="1">IF(ISERROR(INDEX(IPList,ROWS($A$6:A72))),
         IF(ISERROR(INDEX(VIP_InstanceList,ROWS($A$6:A72)-ROWS(IPList))),
                IF(ISERROR(INDEX(GTMLIST,ROWS($A$6:A72)-(ROWS(IPList)+(ROWS(VIP_InstanceList))))),"",
                      INDEX(GTMLIST,ROWS($A$6:A72)-(ROWS(IPList)+(ROWS(VIP_InstanceList))))),
                                  INDEX(VIP_InstanceList,ROWS($A$6:A72)-ROWS(IPList))),
                                             INDEX(IPList,ROWS($A$6:A72)))</f>
        <v/>
      </c>
      <c r="K72" s="2726"/>
      <c r="W72" s="2646" t="str">
        <f ca="1">IF(ISERROR(INDEX(AssetDecomList,ROWS($A$6:A72))),
IF(ISERROR(INDEX(AssetDecomVIPs,ROWS($A$6:A72)-ROWS(AssetDecomList))),"",INDEX(AssetDecomVIPs,ROWS($A$6:A72)-ROWS(AssetDecomList))),
INDEX(AssetDecomList,ROWS($A$6:A72)))</f>
        <v/>
      </c>
      <c r="Y72" s="1927" t="s">
        <v>1782</v>
      </c>
      <c r="Z72" s="1927" t="s">
        <v>4715</v>
      </c>
      <c r="AA72" s="1927">
        <v>1728</v>
      </c>
      <c r="AB72" s="1927" t="s">
        <v>4684</v>
      </c>
      <c r="AC72" s="1927" t="s">
        <v>585</v>
      </c>
      <c r="AD72" s="1927" t="s">
        <v>586</v>
      </c>
      <c r="AV72" s="1655"/>
      <c r="AW72" s="931"/>
      <c r="AX72" s="931"/>
      <c r="CK72" s="10"/>
      <c r="CO72" s="10"/>
      <c r="CP72" s="10"/>
      <c r="CQ72" s="10"/>
      <c r="CR72" s="10"/>
      <c r="CS72" s="10"/>
      <c r="CT72" s="10"/>
      <c r="CU72" s="10"/>
      <c r="CV72" s="10"/>
      <c r="CW72" s="10"/>
      <c r="DA72" s="10"/>
      <c r="FD72" s="10"/>
    </row>
    <row r="73" spans="1:179">
      <c r="A73" s="1758" t="str">
        <f ca="1">IF(ISERROR(INDEX(IPList,ROWS($A$6:A73))),
         IF(ISERROR(INDEX(VIP_InstanceList,ROWS($A$6:A73)-ROWS(IPList))),
                IF(ISERROR(INDEX(GTMLIST,ROWS($A$6:A73)-(ROWS(IPList)+(ROWS(VIP_InstanceList))))),"",
                      INDEX(GTMLIST,ROWS($A$6:A73)-(ROWS(IPList)+(ROWS(VIP_InstanceList))))),
                                  INDEX(VIP_InstanceList,ROWS($A$6:A73)-ROWS(IPList))),
                                             INDEX(IPList,ROWS($A$6:A73)))</f>
        <v/>
      </c>
      <c r="K73" s="2726"/>
      <c r="W73" s="2646" t="str">
        <f ca="1">IF(ISERROR(INDEX(AssetDecomList,ROWS($A$6:A73))),
IF(ISERROR(INDEX(AssetDecomVIPs,ROWS($A$6:A73)-ROWS(AssetDecomList))),"",INDEX(AssetDecomVIPs,ROWS($A$6:A73)-ROWS(AssetDecomList))),
INDEX(AssetDecomList,ROWS($A$6:A73)))</f>
        <v/>
      </c>
      <c r="Y73" s="1927" t="s">
        <v>1782</v>
      </c>
      <c r="Z73" s="1927" t="s">
        <v>2261</v>
      </c>
      <c r="AA73" s="1927">
        <v>1729</v>
      </c>
      <c r="AB73" s="1927" t="s">
        <v>2375</v>
      </c>
      <c r="AC73" s="1927" t="s">
        <v>2228</v>
      </c>
      <c r="AD73" s="1927" t="s">
        <v>2229</v>
      </c>
      <c r="AV73" s="1655"/>
      <c r="AW73" s="931"/>
      <c r="AX73" s="931"/>
      <c r="CK73" s="10"/>
      <c r="CO73" s="10"/>
      <c r="CP73" s="10"/>
      <c r="CQ73" s="10"/>
      <c r="CR73" s="10"/>
      <c r="CS73" s="10"/>
      <c r="CT73" s="10"/>
      <c r="CU73" s="10"/>
      <c r="CV73" s="10"/>
      <c r="CW73" s="10"/>
      <c r="DA73" s="10"/>
      <c r="FD73" s="10"/>
    </row>
    <row r="74" spans="1:179">
      <c r="A74" s="1758" t="str">
        <f ca="1">IF(ISERROR(INDEX(IPList,ROWS($A$6:A74))),
         IF(ISERROR(INDEX(VIP_InstanceList,ROWS($A$6:A74)-ROWS(IPList))),
                IF(ISERROR(INDEX(GTMLIST,ROWS($A$6:A74)-(ROWS(IPList)+(ROWS(VIP_InstanceList))))),"",
                      INDEX(GTMLIST,ROWS($A$6:A74)-(ROWS(IPList)+(ROWS(VIP_InstanceList))))),
                                  INDEX(VIP_InstanceList,ROWS($A$6:A74)-ROWS(IPList))),
                                             INDEX(IPList,ROWS($A$6:A74)))</f>
        <v/>
      </c>
      <c r="K74" s="2726"/>
      <c r="W74" s="2646" t="str">
        <f ca="1">IF(ISERROR(INDEX(AssetDecomList,ROWS($A$6:A74))),
IF(ISERROR(INDEX(AssetDecomVIPs,ROWS($A$6:A74)-ROWS(AssetDecomList))),"",INDEX(AssetDecomVIPs,ROWS($A$6:A74)-ROWS(AssetDecomList))),
INDEX(AssetDecomList,ROWS($A$6:A74)))</f>
        <v/>
      </c>
      <c r="Y74" s="1927" t="s">
        <v>1782</v>
      </c>
      <c r="Z74" s="1927" t="s">
        <v>1317</v>
      </c>
      <c r="AA74" s="1927">
        <v>1602</v>
      </c>
      <c r="AB74" s="1927" t="s">
        <v>1318</v>
      </c>
      <c r="AC74" s="1927" t="s">
        <v>1626</v>
      </c>
      <c r="AD74" s="1927" t="s">
        <v>1627</v>
      </c>
      <c r="AV74" s="1655"/>
      <c r="AW74" s="931"/>
      <c r="AX74" s="931"/>
      <c r="CK74" s="10"/>
      <c r="CO74" s="10"/>
      <c r="CP74" s="10"/>
      <c r="CQ74" s="10"/>
      <c r="CR74" s="10"/>
      <c r="CS74" s="10"/>
      <c r="CT74" s="10"/>
      <c r="CU74" s="10"/>
      <c r="CV74" s="10"/>
      <c r="CW74" s="10"/>
      <c r="DA74" s="10"/>
      <c r="FD74" s="10"/>
    </row>
    <row r="75" spans="1:179">
      <c r="A75" s="1758" t="str">
        <f ca="1">IF(ISERROR(INDEX(IPList,ROWS($A$6:A75))),
         IF(ISERROR(INDEX(VIP_InstanceList,ROWS($A$6:A75)-ROWS(IPList))),
                IF(ISERROR(INDEX(GTMLIST,ROWS($A$6:A75)-(ROWS(IPList)+(ROWS(VIP_InstanceList))))),"",
                      INDEX(GTMLIST,ROWS($A$6:A75)-(ROWS(IPList)+(ROWS(VIP_InstanceList))))),
                                  INDEX(VIP_InstanceList,ROWS($A$6:A75)-ROWS(IPList))),
                                             INDEX(IPList,ROWS($A$6:A75)))</f>
        <v/>
      </c>
      <c r="K75" s="2726"/>
      <c r="W75" s="2646" t="str">
        <f ca="1">IF(ISERROR(INDEX(AssetDecomList,ROWS($A$6:A75))),
IF(ISERROR(INDEX(AssetDecomVIPs,ROWS($A$6:A75)-ROWS(AssetDecomList))),"",INDEX(AssetDecomVIPs,ROWS($A$6:A75)-ROWS(AssetDecomList))),
INDEX(AssetDecomList,ROWS($A$6:A75)))</f>
        <v/>
      </c>
      <c r="Y75" s="1927" t="s">
        <v>1782</v>
      </c>
      <c r="Z75" s="1927" t="s">
        <v>415</v>
      </c>
      <c r="AA75" s="1927">
        <v>1711</v>
      </c>
      <c r="AB75" s="1927" t="s">
        <v>416</v>
      </c>
      <c r="AC75" s="1927" t="s">
        <v>417</v>
      </c>
      <c r="AD75" s="1927" t="s">
        <v>418</v>
      </c>
      <c r="AV75" s="1655"/>
      <c r="AW75" s="931"/>
      <c r="AX75" s="931"/>
      <c r="CK75" s="10"/>
      <c r="CO75" s="10"/>
      <c r="CP75" s="10"/>
      <c r="CQ75" s="10"/>
      <c r="CR75" s="10"/>
      <c r="CS75" s="10"/>
      <c r="CT75" s="10"/>
      <c r="CU75" s="10"/>
      <c r="CV75" s="10"/>
      <c r="CW75" s="10"/>
      <c r="DA75" s="10"/>
      <c r="FD75" s="10"/>
    </row>
    <row r="76" spans="1:179">
      <c r="A76" s="1758" t="str">
        <f ca="1">IF(ISERROR(INDEX(IPList,ROWS($A$6:A76))),
         IF(ISERROR(INDEX(VIP_InstanceList,ROWS($A$6:A76)-ROWS(IPList))),
                IF(ISERROR(INDEX(GTMLIST,ROWS($A$6:A76)-(ROWS(IPList)+(ROWS(VIP_InstanceList))))),"",
                      INDEX(GTMLIST,ROWS($A$6:A76)-(ROWS(IPList)+(ROWS(VIP_InstanceList))))),
                                  INDEX(VIP_InstanceList,ROWS($A$6:A76)-ROWS(IPList))),
                                             INDEX(IPList,ROWS($A$6:A76)))</f>
        <v/>
      </c>
      <c r="K76" s="2726"/>
      <c r="W76" s="2646" t="str">
        <f ca="1">IF(ISERROR(INDEX(AssetDecomList,ROWS($A$6:A76))),
IF(ISERROR(INDEX(AssetDecomVIPs,ROWS($A$6:A76)-ROWS(AssetDecomList))),"",INDEX(AssetDecomVIPs,ROWS($A$6:A76)-ROWS(AssetDecomList))),
INDEX(AssetDecomList,ROWS($A$6:A76)))</f>
        <v/>
      </c>
      <c r="Y76" s="1927" t="s">
        <v>1782</v>
      </c>
      <c r="Z76" s="3003" t="s">
        <v>5064</v>
      </c>
      <c r="AA76" s="1927">
        <v>1712</v>
      </c>
      <c r="AB76" s="1927" t="s">
        <v>4716</v>
      </c>
      <c r="AC76" s="1927" t="s">
        <v>187</v>
      </c>
      <c r="AD76" s="1927" t="s">
        <v>188</v>
      </c>
      <c r="AV76" s="1655"/>
      <c r="AW76" s="931"/>
      <c r="AX76" s="931"/>
      <c r="CK76" s="10"/>
      <c r="CO76" s="10"/>
      <c r="CP76" s="10"/>
      <c r="CQ76" s="10"/>
      <c r="CR76" s="10"/>
      <c r="CS76" s="10"/>
      <c r="CT76" s="10"/>
      <c r="CU76" s="10"/>
      <c r="CV76" s="10"/>
      <c r="CW76" s="10"/>
      <c r="FD76" s="10"/>
    </row>
    <row r="77" spans="1:179">
      <c r="A77" s="1758" t="str">
        <f ca="1">IF(ISERROR(INDEX(IPList,ROWS($A$6:A77))),
         IF(ISERROR(INDEX(VIP_InstanceList,ROWS($A$6:A77)-ROWS(IPList))),
                IF(ISERROR(INDEX(GTMLIST,ROWS($A$6:A77)-(ROWS(IPList)+(ROWS(VIP_InstanceList))))),"",
                      INDEX(GTMLIST,ROWS($A$6:A77)-(ROWS(IPList)+(ROWS(VIP_InstanceList))))),
                                  INDEX(VIP_InstanceList,ROWS($A$6:A77)-ROWS(IPList))),
                                             INDEX(IPList,ROWS($A$6:A77)))</f>
        <v/>
      </c>
      <c r="K77" s="2726"/>
      <c r="W77" s="2646" t="str">
        <f ca="1">IF(ISERROR(INDEX(AssetDecomList,ROWS($A$6:A77))),
IF(ISERROR(INDEX(AssetDecomVIPs,ROWS($A$6:A77)-ROWS(AssetDecomList))),"",INDEX(AssetDecomVIPs,ROWS($A$6:A77)-ROWS(AssetDecomList))),
INDEX(AssetDecomList,ROWS($A$6:A77)))</f>
        <v/>
      </c>
      <c r="Y77" s="1927" t="s">
        <v>1782</v>
      </c>
      <c r="Z77" s="1927" t="s">
        <v>303</v>
      </c>
      <c r="AA77" s="1927">
        <v>1716</v>
      </c>
      <c r="AB77" s="1927" t="s">
        <v>285</v>
      </c>
      <c r="AC77" s="1927" t="s">
        <v>287</v>
      </c>
      <c r="AD77" s="1927" t="s">
        <v>295</v>
      </c>
      <c r="AV77" s="1655"/>
      <c r="AW77" s="931"/>
      <c r="AX77" s="931"/>
      <c r="CK77" s="10"/>
      <c r="CO77" s="10"/>
      <c r="CP77" s="10"/>
      <c r="CQ77" s="10"/>
      <c r="CR77" s="10"/>
      <c r="CS77" s="10"/>
      <c r="CT77" s="10"/>
      <c r="CU77" s="10"/>
      <c r="CV77" s="10"/>
      <c r="CW77" s="10"/>
      <c r="FD77" s="10"/>
    </row>
    <row r="78" spans="1:179">
      <c r="A78" s="1758" t="str">
        <f ca="1">IF(ISERROR(INDEX(IPList,ROWS($A$6:A78))),
         IF(ISERROR(INDEX(VIP_InstanceList,ROWS($A$6:A78)-ROWS(IPList))),
                IF(ISERROR(INDEX(GTMLIST,ROWS($A$6:A78)-(ROWS(IPList)+(ROWS(VIP_InstanceList))))),"",
                      INDEX(GTMLIST,ROWS($A$6:A78)-(ROWS(IPList)+(ROWS(VIP_InstanceList))))),
                                  INDEX(VIP_InstanceList,ROWS($A$6:A78)-ROWS(IPList))),
                                             INDEX(IPList,ROWS($A$6:A78)))</f>
        <v/>
      </c>
      <c r="K78" s="2726"/>
      <c r="W78" s="2646" t="str">
        <f ca="1">IF(ISERROR(INDEX(AssetDecomList,ROWS($A$6:A78))),
IF(ISERROR(INDEX(AssetDecomVIPs,ROWS($A$6:A78)-ROWS(AssetDecomList))),"",INDEX(AssetDecomVIPs,ROWS($A$6:A78)-ROWS(AssetDecomList))),
INDEX(AssetDecomList,ROWS($A$6:A78)))</f>
        <v/>
      </c>
      <c r="Y78" s="1927" t="s">
        <v>1782</v>
      </c>
      <c r="Z78" s="1927" t="s">
        <v>3695</v>
      </c>
      <c r="AA78" s="1927">
        <v>1716</v>
      </c>
      <c r="AB78" s="1927" t="s">
        <v>3696</v>
      </c>
      <c r="AC78" s="1927" t="s">
        <v>3697</v>
      </c>
      <c r="AD78" s="1927" t="s">
        <v>3698</v>
      </c>
      <c r="AV78" s="1655"/>
      <c r="AW78" s="931"/>
      <c r="AX78" s="931"/>
      <c r="CK78" s="10"/>
      <c r="CO78" s="10"/>
      <c r="CP78" s="10"/>
      <c r="CQ78" s="10"/>
      <c r="CR78" s="10"/>
      <c r="CS78" s="10"/>
      <c r="CT78" s="10"/>
      <c r="CU78" s="10"/>
      <c r="CV78" s="10"/>
      <c r="CW78" s="10"/>
      <c r="FD78" s="10"/>
    </row>
    <row r="79" spans="1:179">
      <c r="A79" s="1758" t="str">
        <f ca="1">IF(ISERROR(INDEX(IPList,ROWS($A$6:A79))),
         IF(ISERROR(INDEX(VIP_InstanceList,ROWS($A$6:A79)-ROWS(IPList))),
                IF(ISERROR(INDEX(GTMLIST,ROWS($A$6:A79)-(ROWS(IPList)+(ROWS(VIP_InstanceList))))),"",
                      INDEX(GTMLIST,ROWS($A$6:A79)-(ROWS(IPList)+(ROWS(VIP_InstanceList))))),
                                  INDEX(VIP_InstanceList,ROWS($A$6:A79)-ROWS(IPList))),
                                             INDEX(IPList,ROWS($A$6:A79)))</f>
        <v/>
      </c>
      <c r="K79" s="2726"/>
      <c r="W79" s="2646" t="str">
        <f ca="1">IF(ISERROR(INDEX(AssetDecomList,ROWS($A$6:A79))),
IF(ISERROR(INDEX(AssetDecomVIPs,ROWS($A$6:A79)-ROWS(AssetDecomList))),"",INDEX(AssetDecomVIPs,ROWS($A$6:A79)-ROWS(AssetDecomList))),
INDEX(AssetDecomList,ROWS($A$6:A79)))</f>
        <v/>
      </c>
      <c r="Y79" s="1927" t="s">
        <v>1782</v>
      </c>
      <c r="Z79" s="1927" t="s">
        <v>304</v>
      </c>
      <c r="AA79" s="1927">
        <v>1718</v>
      </c>
      <c r="AB79" s="1927" t="s">
        <v>286</v>
      </c>
      <c r="AC79" s="1927" t="s">
        <v>288</v>
      </c>
      <c r="AD79" s="1927" t="s">
        <v>296</v>
      </c>
      <c r="AV79" s="1655"/>
      <c r="AW79" s="931"/>
      <c r="AX79" s="931"/>
      <c r="CK79" s="10"/>
      <c r="CO79" s="10"/>
      <c r="CP79" s="10"/>
      <c r="CQ79" s="10"/>
      <c r="CR79" s="10"/>
      <c r="CS79" s="10"/>
      <c r="CT79" s="10"/>
      <c r="CU79" s="10"/>
      <c r="CV79" s="10"/>
      <c r="CW79" s="10"/>
      <c r="FD79" s="10"/>
    </row>
    <row r="80" spans="1:179">
      <c r="A80" s="1758" t="str">
        <f ca="1">IF(ISERROR(INDEX(IPList,ROWS($A$6:A80))),
         IF(ISERROR(INDEX(VIP_InstanceList,ROWS($A$6:A80)-ROWS(IPList))),
                IF(ISERROR(INDEX(GTMLIST,ROWS($A$6:A80)-(ROWS(IPList)+(ROWS(VIP_InstanceList))))),"",
                      INDEX(GTMLIST,ROWS($A$6:A80)-(ROWS(IPList)+(ROWS(VIP_InstanceList))))),
                                  INDEX(VIP_InstanceList,ROWS($A$6:A80)-ROWS(IPList))),
                                             INDEX(IPList,ROWS($A$6:A80)))</f>
        <v/>
      </c>
      <c r="K80" s="2726"/>
      <c r="W80" s="2646" t="str">
        <f ca="1">IF(ISERROR(INDEX(AssetDecomList,ROWS($A$6:A80))),
IF(ISERROR(INDEX(AssetDecomVIPs,ROWS($A$6:A80)-ROWS(AssetDecomList))),"",INDEX(AssetDecomVIPs,ROWS($A$6:A80)-ROWS(AssetDecomList))),
INDEX(AssetDecomList,ROWS($A$6:A80)))</f>
        <v/>
      </c>
      <c r="Y80" s="1927" t="s">
        <v>1782</v>
      </c>
      <c r="Z80" s="1927" t="s">
        <v>2479</v>
      </c>
      <c r="AA80" s="1927">
        <v>1736</v>
      </c>
      <c r="AB80" s="1927" t="s">
        <v>329</v>
      </c>
      <c r="AC80" s="1927" t="s">
        <v>197</v>
      </c>
      <c r="AD80" s="1927" t="s">
        <v>198</v>
      </c>
      <c r="AV80" s="1655"/>
      <c r="AW80" s="931"/>
      <c r="AX80" s="931"/>
      <c r="CK80" s="10"/>
      <c r="CO80" s="10"/>
      <c r="CW80" s="10"/>
      <c r="FD80" s="10"/>
    </row>
    <row r="81" spans="1:160">
      <c r="A81" s="1758" t="str">
        <f ca="1">IF(ISERROR(INDEX(IPList,ROWS($A$6:A81))),
         IF(ISERROR(INDEX(VIP_InstanceList,ROWS($A$6:A81)-ROWS(IPList))),
                IF(ISERROR(INDEX(GTMLIST,ROWS($A$6:A81)-(ROWS(IPList)+(ROWS(VIP_InstanceList))))),"",
                      INDEX(GTMLIST,ROWS($A$6:A81)-(ROWS(IPList)+(ROWS(VIP_InstanceList))))),
                                  INDEX(VIP_InstanceList,ROWS($A$6:A81)-ROWS(IPList))),
                                             INDEX(IPList,ROWS($A$6:A81)))</f>
        <v/>
      </c>
      <c r="K81" s="2726"/>
      <c r="W81" s="2646" t="str">
        <f ca="1">IF(ISERROR(INDEX(AssetDecomList,ROWS($A$6:A81))),
IF(ISERROR(INDEX(AssetDecomVIPs,ROWS($A$6:A81)-ROWS(AssetDecomList))),"",INDEX(AssetDecomVIPs,ROWS($A$6:A81)-ROWS(AssetDecomList))),
INDEX(AssetDecomList,ROWS($A$6:A81)))</f>
        <v/>
      </c>
      <c r="Y81" s="1927" t="s">
        <v>1782</v>
      </c>
      <c r="Z81" s="1927" t="s">
        <v>4717</v>
      </c>
      <c r="AA81" s="1927">
        <v>1785</v>
      </c>
      <c r="AB81" s="1927" t="s">
        <v>4717</v>
      </c>
      <c r="AC81" s="1927" t="s">
        <v>840</v>
      </c>
      <c r="AD81" s="1927" t="s">
        <v>841</v>
      </c>
      <c r="AV81" s="1655"/>
      <c r="AW81" s="931"/>
      <c r="AX81" s="931"/>
      <c r="CK81" s="10"/>
      <c r="FD81" s="10"/>
    </row>
    <row r="82" spans="1:160" ht="15">
      <c r="A82" s="1758" t="str">
        <f ca="1">IF(ISERROR(INDEX(IPList,ROWS($A$6:A82))),
         IF(ISERROR(INDEX(VIP_InstanceList,ROWS($A$6:A82)-ROWS(IPList))),
                IF(ISERROR(INDEX(GTMLIST,ROWS($A$6:A82)-(ROWS(IPList)+(ROWS(VIP_InstanceList))))),"",
                      INDEX(GTMLIST,ROWS($A$6:A82)-(ROWS(IPList)+(ROWS(VIP_InstanceList))))),
                                  INDEX(VIP_InstanceList,ROWS($A$6:A82)-ROWS(IPList))),
                                             INDEX(IPList,ROWS($A$6:A82)))</f>
        <v/>
      </c>
      <c r="K82" s="2726"/>
      <c r="W82" s="2646" t="str">
        <f ca="1">IF(ISERROR(INDEX(AssetDecomList,ROWS($A$6:A82))),
IF(ISERROR(INDEX(AssetDecomVIPs,ROWS($A$6:A82)-ROWS(AssetDecomList))),"",INDEX(AssetDecomVIPs,ROWS($A$6:A82)-ROWS(AssetDecomList))),
INDEX(AssetDecomList,ROWS($A$6:A82)))</f>
        <v/>
      </c>
      <c r="Y82" s="2974"/>
      <c r="Z82" s="2975" t="s">
        <v>4718</v>
      </c>
      <c r="AA82" s="2974"/>
      <c r="AB82" s="2974"/>
      <c r="AC82" s="2974"/>
      <c r="AD82" s="2974"/>
      <c r="AV82" s="1655"/>
      <c r="AW82" s="931"/>
      <c r="AX82" s="931"/>
      <c r="CK82" s="10"/>
      <c r="FD82" s="10"/>
    </row>
    <row r="83" spans="1:160" ht="15">
      <c r="A83" s="1758" t="str">
        <f ca="1">IF(ISERROR(INDEX(IPList,ROWS($A$6:A83))),
         IF(ISERROR(INDEX(VIP_InstanceList,ROWS($A$6:A83)-ROWS(IPList))),
                IF(ISERROR(INDEX(GTMLIST,ROWS($A$6:A83)-(ROWS(IPList)+(ROWS(VIP_InstanceList))))),"",
                      INDEX(GTMLIST,ROWS($A$6:A83)-(ROWS(IPList)+(ROWS(VIP_InstanceList))))),
                                  INDEX(VIP_InstanceList,ROWS($A$6:A83)-ROWS(IPList))),
                                             INDEX(IPList,ROWS($A$6:A83)))</f>
        <v/>
      </c>
      <c r="K83" s="2726"/>
      <c r="W83" s="2646" t="str">
        <f ca="1">IF(ISERROR(INDEX(AssetDecomList,ROWS($A$6:A83))),
IF(ISERROR(INDEX(AssetDecomVIPs,ROWS($A$6:A83)-ROWS(AssetDecomList))),"",INDEX(AssetDecomVIPs,ROWS($A$6:A83)-ROWS(AssetDecomList))),
INDEX(AssetDecomList,ROWS($A$6:A83)))</f>
        <v/>
      </c>
      <c r="Y83" s="2978" t="s">
        <v>1782</v>
      </c>
      <c r="Z83" s="2978" t="s">
        <v>262</v>
      </c>
      <c r="AA83" s="2979">
        <v>1744</v>
      </c>
      <c r="AB83" s="2978" t="s">
        <v>141</v>
      </c>
      <c r="AC83" s="2978" t="s">
        <v>142</v>
      </c>
      <c r="AD83" s="2978" t="s">
        <v>143</v>
      </c>
      <c r="AV83" s="1655"/>
      <c r="AW83" s="931"/>
      <c r="AX83" s="931"/>
      <c r="CK83" s="10"/>
    </row>
    <row r="84" spans="1:160" ht="15">
      <c r="A84" s="1758" t="str">
        <f ca="1">IF(ISERROR(INDEX(IPList,ROWS($A$6:A84))),
         IF(ISERROR(INDEX(VIP_InstanceList,ROWS($A$6:A84)-ROWS(IPList))),
                IF(ISERROR(INDEX(GTMLIST,ROWS($A$6:A84)-(ROWS(IPList)+(ROWS(VIP_InstanceList))))),"",
                      INDEX(GTMLIST,ROWS($A$6:A84)-(ROWS(IPList)+(ROWS(VIP_InstanceList))))),
                                  INDEX(VIP_InstanceList,ROWS($A$6:A84)-ROWS(IPList))),
                                             INDEX(IPList,ROWS($A$6:A84)))</f>
        <v/>
      </c>
      <c r="K84" s="2726"/>
      <c r="W84" s="2646" t="str">
        <f ca="1">IF(ISERROR(INDEX(AssetDecomList,ROWS($A$6:A84))),
IF(ISERROR(INDEX(AssetDecomVIPs,ROWS($A$6:A84)-ROWS(AssetDecomList))),"",INDEX(AssetDecomVIPs,ROWS($A$6:A84)-ROWS(AssetDecomList))),
INDEX(AssetDecomList,ROWS($A$6:A84)))</f>
        <v/>
      </c>
      <c r="Y84" s="2978" t="s">
        <v>1782</v>
      </c>
      <c r="Z84" s="2978" t="s">
        <v>4719</v>
      </c>
      <c r="AA84" s="2979">
        <v>1744</v>
      </c>
      <c r="AB84" s="2978" t="s">
        <v>141</v>
      </c>
      <c r="AC84" s="2978" t="s">
        <v>142</v>
      </c>
      <c r="AD84" s="2978" t="s">
        <v>143</v>
      </c>
      <c r="AV84" s="1655"/>
      <c r="AW84" s="931"/>
      <c r="AX84" s="931"/>
      <c r="CK84" s="10"/>
    </row>
    <row r="85" spans="1:160" ht="15">
      <c r="A85" s="1758" t="str">
        <f ca="1">IF(ISERROR(INDEX(IPList,ROWS($A$6:A85))),
         IF(ISERROR(INDEX(VIP_InstanceList,ROWS($A$6:A85)-ROWS(IPList))),
                IF(ISERROR(INDEX(GTMLIST,ROWS($A$6:A85)-(ROWS(IPList)+(ROWS(VIP_InstanceList))))),"",
                      INDEX(GTMLIST,ROWS($A$6:A85)-(ROWS(IPList)+(ROWS(VIP_InstanceList))))),
                                  INDEX(VIP_InstanceList,ROWS($A$6:A85)-ROWS(IPList))),
                                             INDEX(IPList,ROWS($A$6:A85)))</f>
        <v/>
      </c>
      <c r="K85" s="2726"/>
      <c r="W85" s="2646" t="str">
        <f ca="1">IF(ISERROR(INDEX(AssetDecomList,ROWS($A$6:A85))),
IF(ISERROR(INDEX(AssetDecomVIPs,ROWS($A$6:A85)-ROWS(AssetDecomList))),"",INDEX(AssetDecomVIPs,ROWS($A$6:A85)-ROWS(AssetDecomList))),
INDEX(AssetDecomList,ROWS($A$6:A85)))</f>
        <v/>
      </c>
      <c r="Y85" s="2978" t="s">
        <v>1782</v>
      </c>
      <c r="Z85" s="2978" t="s">
        <v>2942</v>
      </c>
      <c r="AA85" s="2979">
        <v>1744</v>
      </c>
      <c r="AB85" s="2978" t="s">
        <v>141</v>
      </c>
      <c r="AC85" s="2978" t="s">
        <v>142</v>
      </c>
      <c r="AD85" s="2978" t="s">
        <v>143</v>
      </c>
      <c r="AV85" s="1655"/>
      <c r="AW85" s="931"/>
      <c r="AX85" s="931"/>
      <c r="CK85" s="10"/>
    </row>
    <row r="86" spans="1:160" ht="15">
      <c r="A86" s="1758" t="str">
        <f ca="1">IF(ISERROR(INDEX(IPList,ROWS($A$6:A86))),
         IF(ISERROR(INDEX(VIP_InstanceList,ROWS($A$6:A86)-ROWS(IPList))),
                IF(ISERROR(INDEX(GTMLIST,ROWS($A$6:A86)-(ROWS(IPList)+(ROWS(VIP_InstanceList))))),"",
                      INDEX(GTMLIST,ROWS($A$6:A86)-(ROWS(IPList)+(ROWS(VIP_InstanceList))))),
                                  INDEX(VIP_InstanceList,ROWS($A$6:A86)-ROWS(IPList))),
                                             INDEX(IPList,ROWS($A$6:A86)))</f>
        <v/>
      </c>
      <c r="K86" s="2726"/>
      <c r="W86" s="2646" t="str">
        <f ca="1">IF(ISERROR(INDEX(AssetDecomList,ROWS($A$6:A86))),
IF(ISERROR(INDEX(AssetDecomVIPs,ROWS($A$6:A86)-ROWS(AssetDecomList))),"",INDEX(AssetDecomVIPs,ROWS($A$6:A86)-ROWS(AssetDecomList))),
INDEX(AssetDecomList,ROWS($A$6:A86)))</f>
        <v/>
      </c>
      <c r="Y86" s="2978" t="s">
        <v>1782</v>
      </c>
      <c r="Z86" s="2978" t="s">
        <v>2945</v>
      </c>
      <c r="AA86" s="2979">
        <v>1744</v>
      </c>
      <c r="AB86" s="2978" t="s">
        <v>141</v>
      </c>
      <c r="AC86" s="2978" t="s">
        <v>142</v>
      </c>
      <c r="AD86" s="2978" t="s">
        <v>143</v>
      </c>
      <c r="AV86" s="1655"/>
      <c r="AW86" s="931"/>
      <c r="AX86" s="931"/>
      <c r="CK86" s="10"/>
    </row>
    <row r="87" spans="1:160" ht="15">
      <c r="A87" s="1758" t="str">
        <f ca="1">IF(ISERROR(INDEX(IPList,ROWS($A$6:A87))),
         IF(ISERROR(INDEX(VIP_InstanceList,ROWS($A$6:A87)-ROWS(IPList))),
                IF(ISERROR(INDEX(GTMLIST,ROWS($A$6:A87)-(ROWS(IPList)+(ROWS(VIP_InstanceList))))),"",
                      INDEX(GTMLIST,ROWS($A$6:A87)-(ROWS(IPList)+(ROWS(VIP_InstanceList))))),
                                  INDEX(VIP_InstanceList,ROWS($A$6:A87)-ROWS(IPList))),
                                             INDEX(IPList,ROWS($A$6:A87)))</f>
        <v/>
      </c>
      <c r="K87" s="2726"/>
      <c r="W87" s="2646" t="str">
        <f ca="1">IF(ISERROR(INDEX(AssetDecomList,ROWS($A$6:A87))),
IF(ISERROR(INDEX(AssetDecomVIPs,ROWS($A$6:A87)-ROWS(AssetDecomList))),"",INDEX(AssetDecomVIPs,ROWS($A$6:A87)-ROWS(AssetDecomList))),
INDEX(AssetDecomList,ROWS($A$6:A87)))</f>
        <v/>
      </c>
      <c r="Y87" s="2978" t="s">
        <v>1782</v>
      </c>
      <c r="Z87" s="2978" t="s">
        <v>4720</v>
      </c>
      <c r="AA87" s="2979">
        <v>1744</v>
      </c>
      <c r="AB87" s="2978" t="s">
        <v>141</v>
      </c>
      <c r="AC87" s="2978" t="s">
        <v>142</v>
      </c>
      <c r="AD87" s="2978" t="s">
        <v>143</v>
      </c>
      <c r="AV87" s="1655"/>
      <c r="AW87" s="931"/>
      <c r="AX87" s="931"/>
    </row>
    <row r="88" spans="1:160" ht="15">
      <c r="A88" s="1758" t="str">
        <f ca="1">IF(ISERROR(INDEX(IPList,ROWS($A$6:A88))),
         IF(ISERROR(INDEX(VIP_InstanceList,ROWS($A$6:A88)-ROWS(IPList))),
                IF(ISERROR(INDEX(GTMLIST,ROWS($A$6:A88)-(ROWS(IPList)+(ROWS(VIP_InstanceList))))),"",
                      INDEX(GTMLIST,ROWS($A$6:A88)-(ROWS(IPList)+(ROWS(VIP_InstanceList))))),
                                  INDEX(VIP_InstanceList,ROWS($A$6:A88)-ROWS(IPList))),
                                             INDEX(IPList,ROWS($A$6:A88)))</f>
        <v/>
      </c>
      <c r="K88" s="2726"/>
      <c r="W88" s="2646" t="str">
        <f ca="1">IF(ISERROR(INDEX(AssetDecomList,ROWS($A$6:A88))),
IF(ISERROR(INDEX(AssetDecomVIPs,ROWS($A$6:A88)-ROWS(AssetDecomList))),"",INDEX(AssetDecomVIPs,ROWS($A$6:A88)-ROWS(AssetDecomList))),
INDEX(AssetDecomList,ROWS($A$6:A88)))</f>
        <v/>
      </c>
      <c r="Y88" s="2978" t="s">
        <v>1782</v>
      </c>
      <c r="Z88" s="2978" t="s">
        <v>5049</v>
      </c>
      <c r="AA88" s="2979">
        <v>1744</v>
      </c>
      <c r="AB88" s="2978" t="s">
        <v>141</v>
      </c>
      <c r="AC88" s="2978" t="s">
        <v>142</v>
      </c>
      <c r="AD88" s="2978" t="s">
        <v>143</v>
      </c>
      <c r="AV88" s="1655"/>
      <c r="AW88" s="931"/>
      <c r="AX88" s="931"/>
    </row>
    <row r="89" spans="1:160" ht="15">
      <c r="A89" s="1758" t="str">
        <f ca="1">IF(ISERROR(INDEX(IPList,ROWS($A$6:A89))),
         IF(ISERROR(INDEX(VIP_InstanceList,ROWS($A$6:A89)-ROWS(IPList))),
                IF(ISERROR(INDEX(GTMLIST,ROWS($A$6:A89)-(ROWS(IPList)+(ROWS(VIP_InstanceList))))),"",
                      INDEX(GTMLIST,ROWS($A$6:A89)-(ROWS(IPList)+(ROWS(VIP_InstanceList))))),
                                  INDEX(VIP_InstanceList,ROWS($A$6:A89)-ROWS(IPList))),
                                             INDEX(IPList,ROWS($A$6:A89)))</f>
        <v/>
      </c>
      <c r="K89" s="2726"/>
      <c r="W89" s="2646" t="str">
        <f ca="1">IF(ISERROR(INDEX(AssetDecomList,ROWS($A$6:A89))),
IF(ISERROR(INDEX(AssetDecomVIPs,ROWS($A$6:A89)-ROWS(AssetDecomList))),"",INDEX(AssetDecomVIPs,ROWS($A$6:A89)-ROWS(AssetDecomList))),
INDEX(AssetDecomList,ROWS($A$6:A89)))</f>
        <v/>
      </c>
      <c r="Y89" s="2978" t="s">
        <v>1782</v>
      </c>
      <c r="Z89" s="2978" t="s">
        <v>5050</v>
      </c>
      <c r="AA89" s="2979">
        <v>1744</v>
      </c>
      <c r="AB89" s="2978" t="s">
        <v>141</v>
      </c>
      <c r="AC89" s="2978" t="s">
        <v>142</v>
      </c>
      <c r="AD89" s="2978" t="s">
        <v>143</v>
      </c>
      <c r="AV89" s="1655"/>
      <c r="AW89" s="931"/>
      <c r="AX89" s="931"/>
    </row>
    <row r="90" spans="1:160" ht="15">
      <c r="A90" s="1758" t="str">
        <f ca="1">IF(ISERROR(INDEX(IPList,ROWS($A$6:A90))),
         IF(ISERROR(INDEX(VIP_InstanceList,ROWS($A$6:A90)-ROWS(IPList))),
                IF(ISERROR(INDEX(GTMLIST,ROWS($A$6:A90)-(ROWS(IPList)+(ROWS(VIP_InstanceList))))),"",
                      INDEX(GTMLIST,ROWS($A$6:A90)-(ROWS(IPList)+(ROWS(VIP_InstanceList))))),
                                  INDEX(VIP_InstanceList,ROWS($A$6:A90)-ROWS(IPList))),
                                             INDEX(IPList,ROWS($A$6:A90)))</f>
        <v/>
      </c>
      <c r="K90" s="2726"/>
      <c r="W90" s="2646" t="str">
        <f ca="1">IF(ISERROR(INDEX(AssetDecomList,ROWS($A$6:A90))),
IF(ISERROR(INDEX(AssetDecomVIPs,ROWS($A$6:A90)-ROWS(AssetDecomList))),"",INDEX(AssetDecomVIPs,ROWS($A$6:A90)-ROWS(AssetDecomList))),
INDEX(AssetDecomList,ROWS($A$6:A90)))</f>
        <v/>
      </c>
      <c r="Y90" s="2978" t="s">
        <v>1782</v>
      </c>
      <c r="Z90" s="2978" t="s">
        <v>5051</v>
      </c>
      <c r="AA90" s="2979">
        <v>1744</v>
      </c>
      <c r="AB90" s="2978" t="s">
        <v>141</v>
      </c>
      <c r="AC90" s="2978" t="s">
        <v>142</v>
      </c>
      <c r="AD90" s="2978" t="s">
        <v>143</v>
      </c>
      <c r="AV90" s="1655"/>
      <c r="AW90" s="931"/>
      <c r="AX90" s="931"/>
    </row>
    <row r="91" spans="1:160" ht="15">
      <c r="A91" s="1758" t="str">
        <f ca="1">IF(ISERROR(INDEX(IPList,ROWS($A$6:A91))),
         IF(ISERROR(INDEX(VIP_InstanceList,ROWS($A$6:A91)-ROWS(IPList))),
                IF(ISERROR(INDEX(GTMLIST,ROWS($A$6:A91)-(ROWS(IPList)+(ROWS(VIP_InstanceList))))),"",
                      INDEX(GTMLIST,ROWS($A$6:A91)-(ROWS(IPList)+(ROWS(VIP_InstanceList))))),
                                  INDEX(VIP_InstanceList,ROWS($A$6:A91)-ROWS(IPList))),
                                             INDEX(IPList,ROWS($A$6:A91)))</f>
        <v/>
      </c>
      <c r="K91" s="2726"/>
      <c r="W91" s="2646" t="str">
        <f ca="1">IF(ISERROR(INDEX(AssetDecomList,ROWS($A$6:A91))),
IF(ISERROR(INDEX(AssetDecomVIPs,ROWS($A$6:A91)-ROWS(AssetDecomList))),"",INDEX(AssetDecomVIPs,ROWS($A$6:A91)-ROWS(AssetDecomList))),
INDEX(AssetDecomList,ROWS($A$6:A91)))</f>
        <v/>
      </c>
      <c r="Y91" s="2978" t="s">
        <v>1782</v>
      </c>
      <c r="Z91" s="2978" t="s">
        <v>5052</v>
      </c>
      <c r="AA91" s="2979">
        <v>1744</v>
      </c>
      <c r="AB91" s="2978" t="s">
        <v>141</v>
      </c>
      <c r="AC91" s="2978" t="s">
        <v>142</v>
      </c>
      <c r="AD91" s="2978" t="s">
        <v>143</v>
      </c>
      <c r="AV91" s="1655"/>
      <c r="AW91" s="931"/>
      <c r="AX91" s="931"/>
    </row>
    <row r="92" spans="1:160" ht="15">
      <c r="A92" s="1758" t="str">
        <f ca="1">IF(ISERROR(INDEX(IPList,ROWS($A$6:A92))),
         IF(ISERROR(INDEX(VIP_InstanceList,ROWS($A$6:A92)-ROWS(IPList))),
                IF(ISERROR(INDEX(GTMLIST,ROWS($A$6:A92)-(ROWS(IPList)+(ROWS(VIP_InstanceList))))),"",
                      INDEX(GTMLIST,ROWS($A$6:A92)-(ROWS(IPList)+(ROWS(VIP_InstanceList))))),
                                  INDEX(VIP_InstanceList,ROWS($A$6:A92)-ROWS(IPList))),
                                             INDEX(IPList,ROWS($A$6:A92)))</f>
        <v/>
      </c>
      <c r="K92" s="2726"/>
      <c r="W92" s="2646" t="str">
        <f ca="1">IF(ISERROR(INDEX(AssetDecomList,ROWS($A$6:A92))),
IF(ISERROR(INDEX(AssetDecomVIPs,ROWS($A$6:A92)-ROWS(AssetDecomList))),"",INDEX(AssetDecomVIPs,ROWS($A$6:A92)-ROWS(AssetDecomList))),
INDEX(AssetDecomList,ROWS($A$6:A92)))</f>
        <v/>
      </c>
      <c r="Y92" s="2978" t="s">
        <v>1782</v>
      </c>
      <c r="Z92" s="2978" t="s">
        <v>5053</v>
      </c>
      <c r="AA92" s="2979">
        <v>1744</v>
      </c>
      <c r="AB92" s="2978" t="s">
        <v>141</v>
      </c>
      <c r="AC92" s="2978" t="s">
        <v>142</v>
      </c>
      <c r="AD92" s="2978" t="s">
        <v>143</v>
      </c>
      <c r="AV92" s="1655"/>
      <c r="AW92" s="931"/>
      <c r="AX92" s="931"/>
    </row>
    <row r="93" spans="1:160" ht="15">
      <c r="A93" s="1758" t="str">
        <f ca="1">IF(ISERROR(INDEX(IPList,ROWS($A$6:A93))),
         IF(ISERROR(INDEX(VIP_InstanceList,ROWS($A$6:A93)-ROWS(IPList))),
                IF(ISERROR(INDEX(GTMLIST,ROWS($A$6:A93)-(ROWS(IPList)+(ROWS(VIP_InstanceList))))),"",
                      INDEX(GTMLIST,ROWS($A$6:A93)-(ROWS(IPList)+(ROWS(VIP_InstanceList))))),
                                  INDEX(VIP_InstanceList,ROWS($A$6:A93)-ROWS(IPList))),
                                             INDEX(IPList,ROWS($A$6:A93)))</f>
        <v/>
      </c>
      <c r="K93" s="2726"/>
      <c r="W93" s="2646" t="str">
        <f ca="1">IF(ISERROR(INDEX(AssetDecomList,ROWS($A$6:A93))),
IF(ISERROR(INDEX(AssetDecomVIPs,ROWS($A$6:A93)-ROWS(AssetDecomList))),"",INDEX(AssetDecomVIPs,ROWS($A$6:A93)-ROWS(AssetDecomList))),
INDEX(AssetDecomList,ROWS($A$6:A93)))</f>
        <v/>
      </c>
      <c r="Y93" s="2978" t="s">
        <v>1782</v>
      </c>
      <c r="Z93" s="2978" t="s">
        <v>3872</v>
      </c>
      <c r="AA93" s="2979">
        <v>1744</v>
      </c>
      <c r="AB93" s="2978" t="s">
        <v>141</v>
      </c>
      <c r="AC93" s="2978" t="s">
        <v>142</v>
      </c>
      <c r="AD93" s="2978" t="s">
        <v>143</v>
      </c>
      <c r="AV93" s="1655"/>
      <c r="AW93" s="931"/>
      <c r="AX93" s="931"/>
    </row>
    <row r="94" spans="1:160" ht="15">
      <c r="A94" s="1758" t="str">
        <f ca="1">IF(ISERROR(INDEX(IPList,ROWS($A$6:A94))),
         IF(ISERROR(INDEX(VIP_InstanceList,ROWS($A$6:A94)-ROWS(IPList))),
                IF(ISERROR(INDEX(GTMLIST,ROWS($A$6:A94)-(ROWS(IPList)+(ROWS(VIP_InstanceList))))),"",
                      INDEX(GTMLIST,ROWS($A$6:A94)-(ROWS(IPList)+(ROWS(VIP_InstanceList))))),
                                  INDEX(VIP_InstanceList,ROWS($A$6:A94)-ROWS(IPList))),
                                             INDEX(IPList,ROWS($A$6:A94)))</f>
        <v/>
      </c>
      <c r="K94" s="2726"/>
      <c r="W94" s="2646" t="str">
        <f ca="1">IF(ISERROR(INDEX(AssetDecomList,ROWS($A$6:A94))),
IF(ISERROR(INDEX(AssetDecomVIPs,ROWS($A$6:A94)-ROWS(AssetDecomList))),"",INDEX(AssetDecomVIPs,ROWS($A$6:A94)-ROWS(AssetDecomList))),
INDEX(AssetDecomList,ROWS($A$6:A94)))</f>
        <v/>
      </c>
      <c r="Y94" s="2978" t="s">
        <v>1782</v>
      </c>
      <c r="Z94" s="2978" t="s">
        <v>4721</v>
      </c>
      <c r="AA94" s="2979">
        <v>1744</v>
      </c>
      <c r="AB94" s="2978" t="s">
        <v>141</v>
      </c>
      <c r="AC94" s="2978" t="s">
        <v>142</v>
      </c>
      <c r="AD94" s="2978" t="s">
        <v>143</v>
      </c>
      <c r="AW94" s="931"/>
      <c r="AX94" s="931"/>
    </row>
    <row r="95" spans="1:160" ht="15">
      <c r="A95" s="1758" t="str">
        <f ca="1">IF(ISERROR(INDEX(IPList,ROWS($A$6:A95))),
         IF(ISERROR(INDEX(VIP_InstanceList,ROWS($A$6:A95)-ROWS(IPList))),
                IF(ISERROR(INDEX(GTMLIST,ROWS($A$6:A95)-(ROWS(IPList)+(ROWS(VIP_InstanceList))))),"",
                      INDEX(GTMLIST,ROWS($A$6:A95)-(ROWS(IPList)+(ROWS(VIP_InstanceList))))),
                                  INDEX(VIP_InstanceList,ROWS($A$6:A95)-ROWS(IPList))),
                                             INDEX(IPList,ROWS($A$6:A95)))</f>
        <v/>
      </c>
      <c r="K95" s="2726"/>
      <c r="W95" s="2646" t="str">
        <f ca="1">IF(ISERROR(INDEX(AssetDecomList,ROWS($A$6:A95))),
IF(ISERROR(INDEX(AssetDecomVIPs,ROWS($A$6:A95)-ROWS(AssetDecomList))),"",INDEX(AssetDecomVIPs,ROWS($A$6:A95)-ROWS(AssetDecomList))),
INDEX(AssetDecomList,ROWS($A$6:A95)))</f>
        <v/>
      </c>
      <c r="Y95" s="2978" t="s">
        <v>1782</v>
      </c>
      <c r="Z95" s="2978" t="s">
        <v>4722</v>
      </c>
      <c r="AA95" s="2979">
        <v>1744</v>
      </c>
      <c r="AB95" s="2978" t="s">
        <v>141</v>
      </c>
      <c r="AC95" s="2978" t="s">
        <v>142</v>
      </c>
      <c r="AD95" s="2978" t="s">
        <v>143</v>
      </c>
      <c r="AW95" s="931"/>
      <c r="AX95" s="931"/>
    </row>
    <row r="96" spans="1:160" ht="15">
      <c r="A96" s="1758" t="str">
        <f ca="1">IF(ISERROR(INDEX(IPList,ROWS($A$6:A96))),
         IF(ISERROR(INDEX(VIP_InstanceList,ROWS($A$6:A96)-ROWS(IPList))),
                IF(ISERROR(INDEX(GTMLIST,ROWS($A$6:A96)-(ROWS(IPList)+(ROWS(VIP_InstanceList))))),"",
                      INDEX(GTMLIST,ROWS($A$6:A96)-(ROWS(IPList)+(ROWS(VIP_InstanceList))))),
                                  INDEX(VIP_InstanceList,ROWS($A$6:A96)-ROWS(IPList))),
                                             INDEX(IPList,ROWS($A$6:A96)))</f>
        <v/>
      </c>
      <c r="K96" s="2726"/>
      <c r="W96" s="2646" t="str">
        <f ca="1">IF(ISERROR(INDEX(AssetDecomList,ROWS($A$6:A96))),
IF(ISERROR(INDEX(AssetDecomVIPs,ROWS($A$6:A96)-ROWS(AssetDecomList))),"",INDEX(AssetDecomVIPs,ROWS($A$6:A96)-ROWS(AssetDecomList))),
INDEX(AssetDecomList,ROWS($A$6:A96)))</f>
        <v/>
      </c>
      <c r="Y96" s="2978" t="s">
        <v>1782</v>
      </c>
      <c r="Z96" s="2978" t="s">
        <v>4723</v>
      </c>
      <c r="AA96" s="2979">
        <v>1744</v>
      </c>
      <c r="AB96" s="2978" t="s">
        <v>141</v>
      </c>
      <c r="AC96" s="2978" t="s">
        <v>142</v>
      </c>
      <c r="AD96" s="2978" t="s">
        <v>143</v>
      </c>
      <c r="AW96" s="931"/>
      <c r="AX96" s="931"/>
    </row>
    <row r="97" spans="1:50" ht="15">
      <c r="A97" s="1758" t="str">
        <f ca="1">IF(ISERROR(INDEX(IPList,ROWS($A$6:A97))),
         IF(ISERROR(INDEX(VIP_InstanceList,ROWS($A$6:A97)-ROWS(IPList))),
                IF(ISERROR(INDEX(GTMLIST,ROWS($A$6:A97)-(ROWS(IPList)+(ROWS(VIP_InstanceList))))),"",
                      INDEX(GTMLIST,ROWS($A$6:A97)-(ROWS(IPList)+(ROWS(VIP_InstanceList))))),
                                  INDEX(VIP_InstanceList,ROWS($A$6:A97)-ROWS(IPList))),
                                             INDEX(IPList,ROWS($A$6:A97)))</f>
        <v/>
      </c>
      <c r="K97" s="2726"/>
      <c r="W97" s="2646" t="str">
        <f ca="1">IF(ISERROR(INDEX(AssetDecomList,ROWS($A$6:A97))),
IF(ISERROR(INDEX(AssetDecomVIPs,ROWS($A$6:A97)-ROWS(AssetDecomList))),"",INDEX(AssetDecomVIPs,ROWS($A$6:A97)-ROWS(AssetDecomList))),
INDEX(AssetDecomList,ROWS($A$6:A97)))</f>
        <v/>
      </c>
      <c r="Y97" s="2978" t="s">
        <v>1782</v>
      </c>
      <c r="Z97" s="2978" t="s">
        <v>4724</v>
      </c>
      <c r="AA97" s="2979">
        <v>1744</v>
      </c>
      <c r="AB97" s="2978" t="s">
        <v>141</v>
      </c>
      <c r="AC97" s="2978" t="s">
        <v>142</v>
      </c>
      <c r="AD97" s="2978" t="s">
        <v>143</v>
      </c>
      <c r="AW97" s="931"/>
      <c r="AX97" s="931"/>
    </row>
    <row r="98" spans="1:50" ht="15">
      <c r="A98" s="1758" t="str">
        <f ca="1">IF(ISERROR(INDEX(IPList,ROWS($A$6:A98))),
         IF(ISERROR(INDEX(VIP_InstanceList,ROWS($A$6:A98)-ROWS(IPList))),
                IF(ISERROR(INDEX(GTMLIST,ROWS($A$6:A98)-(ROWS(IPList)+(ROWS(VIP_InstanceList))))),"",
                      INDEX(GTMLIST,ROWS($A$6:A98)-(ROWS(IPList)+(ROWS(VIP_InstanceList))))),
                                  INDEX(VIP_InstanceList,ROWS($A$6:A98)-ROWS(IPList))),
                                             INDEX(IPList,ROWS($A$6:A98)))</f>
        <v/>
      </c>
      <c r="K98" s="2726"/>
      <c r="W98" s="2646" t="str">
        <f ca="1">IF(ISERROR(INDEX(AssetDecomList,ROWS($A$6:A98))),
IF(ISERROR(INDEX(AssetDecomVIPs,ROWS($A$6:A98)-ROWS(AssetDecomList))),"",INDEX(AssetDecomVIPs,ROWS($A$6:A98)-ROWS(AssetDecomList))),
INDEX(AssetDecomList,ROWS($A$6:A98)))</f>
        <v/>
      </c>
      <c r="Y98" s="2978" t="s">
        <v>1782</v>
      </c>
      <c r="Z98" s="2978" t="s">
        <v>4725</v>
      </c>
      <c r="AA98" s="2979">
        <v>1744</v>
      </c>
      <c r="AB98" s="2978" t="s">
        <v>141</v>
      </c>
      <c r="AC98" s="2978" t="s">
        <v>142</v>
      </c>
      <c r="AD98" s="2978" t="s">
        <v>143</v>
      </c>
      <c r="AW98" s="931"/>
      <c r="AX98" s="931"/>
    </row>
    <row r="99" spans="1:50" ht="15">
      <c r="A99" s="1758" t="str">
        <f ca="1">IF(ISERROR(INDEX(IPList,ROWS($A$6:A99))),
         IF(ISERROR(INDEX(VIP_InstanceList,ROWS($A$6:A99)-ROWS(IPList))),
                IF(ISERROR(INDEX(GTMLIST,ROWS($A$6:A99)-(ROWS(IPList)+(ROWS(VIP_InstanceList))))),"",
                      INDEX(GTMLIST,ROWS($A$6:A99)-(ROWS(IPList)+(ROWS(VIP_InstanceList))))),
                                  INDEX(VIP_InstanceList,ROWS($A$6:A99)-ROWS(IPList))),
                                             INDEX(IPList,ROWS($A$6:A99)))</f>
        <v/>
      </c>
      <c r="K99" s="2726"/>
      <c r="W99" s="2646" t="str">
        <f ca="1">IF(ISERROR(INDEX(AssetDecomList,ROWS($A$6:A99))),
IF(ISERROR(INDEX(AssetDecomVIPs,ROWS($A$6:A99)-ROWS(AssetDecomList))),"",INDEX(AssetDecomVIPs,ROWS($A$6:A99)-ROWS(AssetDecomList))),
INDEX(AssetDecomList,ROWS($A$6:A99)))</f>
        <v/>
      </c>
      <c r="Y99" s="2978" t="s">
        <v>1782</v>
      </c>
      <c r="Z99" s="2978" t="s">
        <v>4726</v>
      </c>
      <c r="AA99" s="2979">
        <v>1744</v>
      </c>
      <c r="AB99" s="2978" t="s">
        <v>141</v>
      </c>
      <c r="AC99" s="2978" t="s">
        <v>142</v>
      </c>
      <c r="AD99" s="2978" t="s">
        <v>143</v>
      </c>
      <c r="AW99" s="931"/>
      <c r="AX99" s="931"/>
    </row>
    <row r="100" spans="1:50" ht="15">
      <c r="A100" s="1758" t="str">
        <f ca="1">IF(ISERROR(INDEX(IPList,ROWS($A$6:A100))),
         IF(ISERROR(INDEX(VIP_InstanceList,ROWS($A$6:A100)-ROWS(IPList))),
                IF(ISERROR(INDEX(GTMLIST,ROWS($A$6:A100)-(ROWS(IPList)+(ROWS(VIP_InstanceList))))),"",
                      INDEX(GTMLIST,ROWS($A$6:A100)-(ROWS(IPList)+(ROWS(VIP_InstanceList))))),
                                  INDEX(VIP_InstanceList,ROWS($A$6:A100)-ROWS(IPList))),
                                             INDEX(IPList,ROWS($A$6:A100)))</f>
        <v/>
      </c>
      <c r="K100" s="1587"/>
      <c r="W100" s="2646" t="str">
        <f ca="1">IF(ISERROR(INDEX(AssetDecomList,ROWS($A$6:A100))),
IF(ISERROR(INDEX(AssetDecomVIPs,ROWS($A$6:A100)-ROWS(AssetDecomList))),"",INDEX(AssetDecomVIPs,ROWS($A$6:A100)-ROWS(AssetDecomList))),
INDEX(AssetDecomList,ROWS($A$6:A100)))</f>
        <v/>
      </c>
      <c r="Y100" s="2978" t="s">
        <v>1782</v>
      </c>
      <c r="Z100" s="2978" t="s">
        <v>5042</v>
      </c>
      <c r="AA100" s="2979">
        <v>1744</v>
      </c>
      <c r="AB100" s="2978" t="s">
        <v>141</v>
      </c>
      <c r="AC100" s="2978" t="s">
        <v>142</v>
      </c>
      <c r="AD100" s="2978" t="s">
        <v>143</v>
      </c>
      <c r="AW100" s="931"/>
      <c r="AX100" s="931"/>
    </row>
    <row r="101" spans="1:50" ht="15">
      <c r="A101" s="1758" t="str">
        <f ca="1">IF(ISERROR(INDEX(IPList,ROWS($A$6:A101))),
         IF(ISERROR(INDEX(VIP_InstanceList,ROWS($A$6:A101)-ROWS(IPList))),
                IF(ISERROR(INDEX(GTMLIST,ROWS($A$6:A101)-(ROWS(IPList)+(ROWS(VIP_InstanceList))))),"",
                      INDEX(GTMLIST,ROWS($A$6:A101)-(ROWS(IPList)+(ROWS(VIP_InstanceList))))),
                                  INDEX(VIP_InstanceList,ROWS($A$6:A101)-ROWS(IPList))),
                                             INDEX(IPList,ROWS($A$6:A101)))</f>
        <v/>
      </c>
      <c r="W101" s="2646" t="str">
        <f ca="1">IF(ISERROR(INDEX(AssetDecomList,ROWS($A$6:A101))),
IF(ISERROR(INDEX(AssetDecomVIPs,ROWS($A$6:A101)-ROWS(AssetDecomList))),"",INDEX(AssetDecomVIPs,ROWS($A$6:A101)-ROWS(AssetDecomList))),
INDEX(AssetDecomList,ROWS($A$6:A101)))</f>
        <v/>
      </c>
      <c r="Y101" s="2976" t="s">
        <v>1782</v>
      </c>
      <c r="Z101" s="2976" t="s">
        <v>4727</v>
      </c>
      <c r="AA101" s="2976">
        <v>1745</v>
      </c>
      <c r="AB101" s="2976" t="s">
        <v>2946</v>
      </c>
      <c r="AC101" s="2976" t="s">
        <v>2943</v>
      </c>
      <c r="AD101" s="2976" t="s">
        <v>2944</v>
      </c>
      <c r="AW101" s="931"/>
      <c r="AX101" s="931"/>
    </row>
    <row r="102" spans="1:50" ht="15">
      <c r="A102" s="1758" t="str">
        <f ca="1">IF(ISERROR(INDEX(IPList,ROWS($A$6:A102))),
         IF(ISERROR(INDEX(VIP_InstanceList,ROWS($A$6:A102)-ROWS(IPList))),
                IF(ISERROR(INDEX(GTMLIST,ROWS($A$6:A102)-(ROWS(IPList)+(ROWS(VIP_InstanceList))))),"",
                      INDEX(GTMLIST,ROWS($A$6:A102)-(ROWS(IPList)+(ROWS(VIP_InstanceList))))),
                                  INDEX(VIP_InstanceList,ROWS($A$6:A102)-ROWS(IPList))),
                                             INDEX(IPList,ROWS($A$6:A102)))</f>
        <v/>
      </c>
      <c r="W102" s="2646" t="str">
        <f ca="1">IF(ISERROR(INDEX(AssetDecomList,ROWS($A$6:A102))),
IF(ISERROR(INDEX(AssetDecomVIPs,ROWS($A$6:A102)-ROWS(AssetDecomList))),"",INDEX(AssetDecomVIPs,ROWS($A$6:A102)-ROWS(AssetDecomList))),
INDEX(AssetDecomList,ROWS($A$6:A102)))</f>
        <v/>
      </c>
      <c r="Y102" s="2976" t="s">
        <v>1782</v>
      </c>
      <c r="Z102" s="2976" t="s">
        <v>4728</v>
      </c>
      <c r="AA102" s="2976">
        <v>1745</v>
      </c>
      <c r="AB102" s="2976" t="s">
        <v>2946</v>
      </c>
      <c r="AC102" s="2976" t="s">
        <v>2943</v>
      </c>
      <c r="AD102" s="2976" t="s">
        <v>2944</v>
      </c>
      <c r="AW102" s="931"/>
      <c r="AX102" s="931"/>
    </row>
    <row r="103" spans="1:50" ht="15">
      <c r="A103" s="1758" t="str">
        <f ca="1">IF(ISERROR(INDEX(IPList,ROWS($A$6:A103))),
         IF(ISERROR(INDEX(VIP_InstanceList,ROWS($A$6:A103)-ROWS(IPList))),
                IF(ISERROR(INDEX(GTMLIST,ROWS($A$6:A103)-(ROWS(IPList)+(ROWS(VIP_InstanceList))))),"",
                      INDEX(GTMLIST,ROWS($A$6:A103)-(ROWS(IPList)+(ROWS(VIP_InstanceList))))),
                                  INDEX(VIP_InstanceList,ROWS($A$6:A103)-ROWS(IPList))),
                                             INDEX(IPList,ROWS($A$6:A103)))</f>
        <v/>
      </c>
      <c r="W103" s="2646" t="str">
        <f ca="1">IF(ISERROR(INDEX(AssetDecomList,ROWS($A$6:A103))),
IF(ISERROR(INDEX(AssetDecomVIPs,ROWS($A$6:A103)-ROWS(AssetDecomList))),"",INDEX(AssetDecomVIPs,ROWS($A$6:A103)-ROWS(AssetDecomList))),
INDEX(AssetDecomList,ROWS($A$6:A103)))</f>
        <v/>
      </c>
      <c r="Y103" s="2976" t="s">
        <v>1782</v>
      </c>
      <c r="Z103" s="2976" t="s">
        <v>4729</v>
      </c>
      <c r="AA103" s="2976">
        <v>1745</v>
      </c>
      <c r="AB103" s="2976" t="s">
        <v>2946</v>
      </c>
      <c r="AC103" s="2976" t="s">
        <v>2943</v>
      </c>
      <c r="AD103" s="2976" t="s">
        <v>2944</v>
      </c>
      <c r="AW103" s="931"/>
      <c r="AX103" s="931"/>
    </row>
    <row r="104" spans="1:50" ht="15">
      <c r="A104" s="1758" t="str">
        <f ca="1">IF(ISERROR(INDEX(IPList,ROWS($A$6:A104))),
         IF(ISERROR(INDEX(VIP_InstanceList,ROWS($A$6:A104)-ROWS(IPList))),
                IF(ISERROR(INDEX(GTMLIST,ROWS($A$6:A104)-(ROWS(IPList)+(ROWS(VIP_InstanceList))))),"",
                      INDEX(GTMLIST,ROWS($A$6:A104)-(ROWS(IPList)+(ROWS(VIP_InstanceList))))),
                                  INDEX(VIP_InstanceList,ROWS($A$6:A104)-ROWS(IPList))),
                                             INDEX(IPList,ROWS($A$6:A104)))</f>
        <v/>
      </c>
      <c r="W104" s="2646" t="str">
        <f ca="1">IF(ISERROR(INDEX(AssetDecomList,ROWS($A$6:A104))),
IF(ISERROR(INDEX(AssetDecomVIPs,ROWS($A$6:A104)-ROWS(AssetDecomList))),"",INDEX(AssetDecomVIPs,ROWS($A$6:A104)-ROWS(AssetDecomList))),
INDEX(AssetDecomList,ROWS($A$6:A104)))</f>
        <v/>
      </c>
      <c r="Y104" s="2976" t="s">
        <v>1782</v>
      </c>
      <c r="Z104" s="2976" t="s">
        <v>4730</v>
      </c>
      <c r="AA104" s="2976">
        <v>1745</v>
      </c>
      <c r="AB104" s="2976" t="s">
        <v>2946</v>
      </c>
      <c r="AC104" s="2976" t="s">
        <v>2943</v>
      </c>
      <c r="AD104" s="2976" t="s">
        <v>2944</v>
      </c>
      <c r="AW104" s="931"/>
      <c r="AX104" s="931"/>
    </row>
    <row r="105" spans="1:50" ht="15">
      <c r="A105" s="1758" t="str">
        <f ca="1">IF(ISERROR(INDEX(IPList,ROWS($A$6:A105))),
         IF(ISERROR(INDEX(VIP_InstanceList,ROWS($A$6:A105)-ROWS(IPList))),
                IF(ISERROR(INDEX(GTMLIST,ROWS($A$6:A105)-(ROWS(IPList)+(ROWS(VIP_InstanceList))))),"",
                      INDEX(GTMLIST,ROWS($A$6:A105)-(ROWS(IPList)+(ROWS(VIP_InstanceList))))),
                                  INDEX(VIP_InstanceList,ROWS($A$6:A105)-ROWS(IPList))),
                                             INDEX(IPList,ROWS($A$6:A105)))</f>
        <v/>
      </c>
      <c r="W105" s="2646" t="str">
        <f ca="1">IF(ISERROR(INDEX(AssetDecomList,ROWS($A$6:A105))),
IF(ISERROR(INDEX(AssetDecomVIPs,ROWS($A$6:A105)-ROWS(AssetDecomList))),"",INDEX(AssetDecomVIPs,ROWS($A$6:A105)-ROWS(AssetDecomList))),
INDEX(AssetDecomList,ROWS($A$6:A105)))</f>
        <v/>
      </c>
      <c r="Y105" s="2976" t="s">
        <v>1782</v>
      </c>
      <c r="Z105" s="2976" t="s">
        <v>4731</v>
      </c>
      <c r="AA105" s="2976">
        <v>1745</v>
      </c>
      <c r="AB105" s="2976" t="s">
        <v>2946</v>
      </c>
      <c r="AC105" s="2976" t="s">
        <v>2943</v>
      </c>
      <c r="AD105" s="2976" t="s">
        <v>2944</v>
      </c>
      <c r="AW105" s="931"/>
      <c r="AX105" s="931"/>
    </row>
    <row r="106" spans="1:50" ht="15">
      <c r="A106" s="1758" t="str">
        <f ca="1">IF(ISERROR(INDEX(IPList,ROWS($A$6:A106))),
         IF(ISERROR(INDEX(VIP_InstanceList,ROWS($A$6:A106)-ROWS(IPList))),
                IF(ISERROR(INDEX(GTMLIST,ROWS($A$6:A106)-(ROWS(IPList)+(ROWS(VIP_InstanceList))))),"",
                      INDEX(GTMLIST,ROWS($A$6:A106)-(ROWS(IPList)+(ROWS(VIP_InstanceList))))),
                                  INDEX(VIP_InstanceList,ROWS($A$6:A106)-ROWS(IPList))),
                                             INDEX(IPList,ROWS($A$6:A106)))</f>
        <v/>
      </c>
      <c r="W106" s="2646" t="str">
        <f ca="1">IF(ISERROR(INDEX(AssetDecomList,ROWS($A$6:A106))),
IF(ISERROR(INDEX(AssetDecomVIPs,ROWS($A$6:A106)-ROWS(AssetDecomList))),"",INDEX(AssetDecomVIPs,ROWS($A$6:A106)-ROWS(AssetDecomList))),
INDEX(AssetDecomList,ROWS($A$6:A106)))</f>
        <v/>
      </c>
      <c r="Y106" s="2976" t="s">
        <v>1782</v>
      </c>
      <c r="Z106" s="2976" t="s">
        <v>4732</v>
      </c>
      <c r="AA106" s="2976">
        <v>1745</v>
      </c>
      <c r="AB106" s="2976" t="s">
        <v>2946</v>
      </c>
      <c r="AC106" s="2976" t="s">
        <v>2943</v>
      </c>
      <c r="AD106" s="2976" t="s">
        <v>2944</v>
      </c>
      <c r="AW106" s="931"/>
      <c r="AX106" s="931"/>
    </row>
    <row r="107" spans="1:50" ht="15">
      <c r="A107" s="1758" t="str">
        <f ca="1">IF(ISERROR(INDEX(IPList,ROWS($A$6:A107))),
         IF(ISERROR(INDEX(VIP_InstanceList,ROWS($A$6:A107)-ROWS(IPList))),
                IF(ISERROR(INDEX(GTMLIST,ROWS($A$6:A107)-(ROWS(IPList)+(ROWS(VIP_InstanceList))))),"",
                      INDEX(GTMLIST,ROWS($A$6:A107)-(ROWS(IPList)+(ROWS(VIP_InstanceList))))),
                                  INDEX(VIP_InstanceList,ROWS($A$6:A107)-ROWS(IPList))),
                                             INDEX(IPList,ROWS($A$6:A107)))</f>
        <v/>
      </c>
      <c r="W107" s="2646" t="str">
        <f ca="1">IF(ISERROR(INDEX(AssetDecomList,ROWS($A$6:A107))),
IF(ISERROR(INDEX(AssetDecomVIPs,ROWS($A$6:A107)-ROWS(AssetDecomList))),"",INDEX(AssetDecomVIPs,ROWS($A$6:A107)-ROWS(AssetDecomList))),
INDEX(AssetDecomList,ROWS($A$6:A107)))</f>
        <v/>
      </c>
      <c r="Y107" s="2976" t="s">
        <v>1782</v>
      </c>
      <c r="Z107" s="2976" t="s">
        <v>4733</v>
      </c>
      <c r="AA107" s="2976">
        <v>1745</v>
      </c>
      <c r="AB107" s="2976" t="s">
        <v>2946</v>
      </c>
      <c r="AC107" s="2976" t="s">
        <v>2943</v>
      </c>
      <c r="AD107" s="2976" t="s">
        <v>2944</v>
      </c>
      <c r="AW107" s="931"/>
      <c r="AX107" s="931"/>
    </row>
    <row r="108" spans="1:50" ht="15">
      <c r="A108" s="1758" t="str">
        <f ca="1">IF(ISERROR(INDEX(IPList,ROWS($A$6:A108))),
         IF(ISERROR(INDEX(VIP_InstanceList,ROWS($A$6:A108)-ROWS(IPList))),
                IF(ISERROR(INDEX(GTMLIST,ROWS($A$6:A108)-(ROWS(IPList)+(ROWS(VIP_InstanceList))))),"",
                      INDEX(GTMLIST,ROWS($A$6:A108)-(ROWS(IPList)+(ROWS(VIP_InstanceList))))),
                                  INDEX(VIP_InstanceList,ROWS($A$6:A108)-ROWS(IPList))),
                                             INDEX(IPList,ROWS($A$6:A108)))</f>
        <v/>
      </c>
      <c r="W108" s="2646" t="str">
        <f ca="1">IF(ISERROR(INDEX(AssetDecomList,ROWS($A$6:A108))),
IF(ISERROR(INDEX(AssetDecomVIPs,ROWS($A$6:A108)-ROWS(AssetDecomList))),"",INDEX(AssetDecomVIPs,ROWS($A$6:A108)-ROWS(AssetDecomList))),
INDEX(AssetDecomList,ROWS($A$6:A108)))</f>
        <v/>
      </c>
      <c r="Y108" s="2976" t="s">
        <v>1782</v>
      </c>
      <c r="Z108" s="2976" t="s">
        <v>4734</v>
      </c>
      <c r="AA108" s="2976">
        <v>1745</v>
      </c>
      <c r="AB108" s="2976" t="s">
        <v>2946</v>
      </c>
      <c r="AC108" s="2976" t="s">
        <v>2943</v>
      </c>
      <c r="AD108" s="2976" t="s">
        <v>2944</v>
      </c>
      <c r="AW108" s="931"/>
      <c r="AX108" s="931"/>
    </row>
    <row r="109" spans="1:50" ht="15">
      <c r="A109" s="1758" t="str">
        <f ca="1">IF(ISERROR(INDEX(IPList,ROWS($A$6:A109))),
         IF(ISERROR(INDEX(VIP_InstanceList,ROWS($A$6:A109)-ROWS(IPList))),
                IF(ISERROR(INDEX(GTMLIST,ROWS($A$6:A109)-(ROWS(IPList)+(ROWS(VIP_InstanceList))))),"",
                      INDEX(GTMLIST,ROWS($A$6:A109)-(ROWS(IPList)+(ROWS(VIP_InstanceList))))),
                                  INDEX(VIP_InstanceList,ROWS($A$6:A109)-ROWS(IPList))),
                                             INDEX(IPList,ROWS($A$6:A109)))</f>
        <v/>
      </c>
      <c r="W109" s="2646" t="str">
        <f ca="1">IF(ISERROR(INDEX(AssetDecomList,ROWS($A$6:A109))),
IF(ISERROR(INDEX(AssetDecomVIPs,ROWS($A$6:A109)-ROWS(AssetDecomList))),"",INDEX(AssetDecomVIPs,ROWS($A$6:A109)-ROWS(AssetDecomList))),
INDEX(AssetDecomList,ROWS($A$6:A109)))</f>
        <v/>
      </c>
      <c r="Y109" s="2976" t="s">
        <v>1782</v>
      </c>
      <c r="Z109" s="2976" t="s">
        <v>4735</v>
      </c>
      <c r="AA109" s="2976">
        <v>1745</v>
      </c>
      <c r="AB109" s="2976" t="s">
        <v>2946</v>
      </c>
      <c r="AC109" s="2976" t="s">
        <v>2943</v>
      </c>
      <c r="AD109" s="2976" t="s">
        <v>2944</v>
      </c>
      <c r="AW109" s="931"/>
      <c r="AX109" s="931"/>
    </row>
    <row r="110" spans="1:50" ht="15">
      <c r="A110" s="1758" t="str">
        <f ca="1">IF(ISERROR(INDEX(IPList,ROWS($A$6:A110))),
         IF(ISERROR(INDEX(VIP_InstanceList,ROWS($A$6:A110)-ROWS(IPList))),
                IF(ISERROR(INDEX(GTMLIST,ROWS($A$6:A110)-(ROWS(IPList)+(ROWS(VIP_InstanceList))))),"",
                      INDEX(GTMLIST,ROWS($A$6:A110)-(ROWS(IPList)+(ROWS(VIP_InstanceList))))),
                                  INDEX(VIP_InstanceList,ROWS($A$6:A110)-ROWS(IPList))),
                                             INDEX(IPList,ROWS($A$6:A110)))</f>
        <v/>
      </c>
      <c r="W110" s="2646" t="str">
        <f ca="1">IF(ISERROR(INDEX(AssetDecomList,ROWS($A$6:A110))),
IF(ISERROR(INDEX(AssetDecomVIPs,ROWS($A$6:A110)-ROWS(AssetDecomList))),"",INDEX(AssetDecomVIPs,ROWS($A$6:A110)-ROWS(AssetDecomList))),
INDEX(AssetDecomList,ROWS($A$6:A110)))</f>
        <v/>
      </c>
      <c r="Y110" s="2976" t="s">
        <v>1782</v>
      </c>
      <c r="Z110" s="2976" t="s">
        <v>4736</v>
      </c>
      <c r="AA110" s="2976">
        <v>1745</v>
      </c>
      <c r="AB110" s="2976" t="s">
        <v>2946</v>
      </c>
      <c r="AC110" s="2976" t="s">
        <v>2943</v>
      </c>
      <c r="AD110" s="2976" t="s">
        <v>2944</v>
      </c>
      <c r="AW110" s="931"/>
      <c r="AX110" s="931"/>
    </row>
    <row r="111" spans="1:50" ht="15">
      <c r="A111" s="1758" t="str">
        <f ca="1">IF(ISERROR(INDEX(IPList,ROWS($A$6:A111))),
         IF(ISERROR(INDEX(VIP_InstanceList,ROWS($A$6:A111)-ROWS(IPList))),
                IF(ISERROR(INDEX(GTMLIST,ROWS($A$6:A111)-(ROWS(IPList)+(ROWS(VIP_InstanceList))))),"",
                      INDEX(GTMLIST,ROWS($A$6:A111)-(ROWS(IPList)+(ROWS(VIP_InstanceList))))),
                                  INDEX(VIP_InstanceList,ROWS($A$6:A111)-ROWS(IPList))),
                                             INDEX(IPList,ROWS($A$6:A111)))</f>
        <v/>
      </c>
      <c r="W111" s="2646" t="str">
        <f ca="1">IF(ISERROR(INDEX(AssetDecomList,ROWS($A$6:A111))),
IF(ISERROR(INDEX(AssetDecomVIPs,ROWS($A$6:A111)-ROWS(AssetDecomList))),"",INDEX(AssetDecomVIPs,ROWS($A$6:A111)-ROWS(AssetDecomList))),
INDEX(AssetDecomList,ROWS($A$6:A111)))</f>
        <v/>
      </c>
      <c r="Y111" s="2976" t="s">
        <v>1782</v>
      </c>
      <c r="Z111" s="2976" t="s">
        <v>4737</v>
      </c>
      <c r="AA111" s="2976">
        <v>1745</v>
      </c>
      <c r="AB111" s="2976" t="s">
        <v>3873</v>
      </c>
      <c r="AC111" s="2976" t="s">
        <v>2943</v>
      </c>
      <c r="AD111" s="2976" t="s">
        <v>2944</v>
      </c>
      <c r="AW111" s="931"/>
      <c r="AX111" s="931"/>
    </row>
    <row r="112" spans="1:50" ht="15">
      <c r="A112" s="1758" t="str">
        <f ca="1">IF(ISERROR(INDEX(IPList,ROWS($A$6:A112))),
         IF(ISERROR(INDEX(VIP_InstanceList,ROWS($A$6:A112)-ROWS(IPList))),
                IF(ISERROR(INDEX(GTMLIST,ROWS($A$6:A112)-(ROWS(IPList)+(ROWS(VIP_InstanceList))))),"",
                      INDEX(GTMLIST,ROWS($A$6:A112)-(ROWS(IPList)+(ROWS(VIP_InstanceList))))),
                                  INDEX(VIP_InstanceList,ROWS($A$6:A112)-ROWS(IPList))),
                                             INDEX(IPList,ROWS($A$6:A112)))</f>
        <v/>
      </c>
      <c r="W112" s="2646" t="str">
        <f ca="1">IF(ISERROR(INDEX(AssetDecomList,ROWS($A$6:A112))),
IF(ISERROR(INDEX(AssetDecomVIPs,ROWS($A$6:A112)-ROWS(AssetDecomList))),"",INDEX(AssetDecomVIPs,ROWS($A$6:A112)-ROWS(AssetDecomList))),
INDEX(AssetDecomList,ROWS($A$6:A112)))</f>
        <v/>
      </c>
      <c r="Y112" s="2976" t="s">
        <v>1782</v>
      </c>
      <c r="Z112" s="2976" t="s">
        <v>4738</v>
      </c>
      <c r="AA112" s="2976">
        <v>1745</v>
      </c>
      <c r="AB112" s="2976" t="s">
        <v>3873</v>
      </c>
      <c r="AC112" s="2976" t="s">
        <v>2943</v>
      </c>
      <c r="AD112" s="2976" t="s">
        <v>2944</v>
      </c>
      <c r="AW112" s="931"/>
      <c r="AX112" s="931"/>
    </row>
    <row r="113" spans="1:50" ht="15">
      <c r="A113" s="1758" t="str">
        <f ca="1">IF(ISERROR(INDEX(IPList,ROWS($A$6:A113))),
         IF(ISERROR(INDEX(VIP_InstanceList,ROWS($A$6:A113)-ROWS(IPList))),
                IF(ISERROR(INDEX(GTMLIST,ROWS($A$6:A113)-(ROWS(IPList)+(ROWS(VIP_InstanceList))))),"",
                      INDEX(GTMLIST,ROWS($A$6:A113)-(ROWS(IPList)+(ROWS(VIP_InstanceList))))),
                                  INDEX(VIP_InstanceList,ROWS($A$6:A113)-ROWS(IPList))),
                                             INDEX(IPList,ROWS($A$6:A113)))</f>
        <v/>
      </c>
      <c r="W113" s="2646" t="str">
        <f ca="1">IF(ISERROR(INDEX(AssetDecomList,ROWS($A$6:A113))),
IF(ISERROR(INDEX(AssetDecomVIPs,ROWS($A$6:A113)-ROWS(AssetDecomList))),"",INDEX(AssetDecomVIPs,ROWS($A$6:A113)-ROWS(AssetDecomList))),
INDEX(AssetDecomList,ROWS($A$6:A113)))</f>
        <v/>
      </c>
      <c r="Y113" s="2976" t="s">
        <v>1782</v>
      </c>
      <c r="Z113" s="2976" t="s">
        <v>4739</v>
      </c>
      <c r="AA113" s="2976">
        <v>1745</v>
      </c>
      <c r="AB113" s="2976" t="s">
        <v>3873</v>
      </c>
      <c r="AC113" s="2976" t="s">
        <v>2943</v>
      </c>
      <c r="AD113" s="2976" t="s">
        <v>2944</v>
      </c>
      <c r="AW113" s="931"/>
      <c r="AX113" s="931"/>
    </row>
    <row r="114" spans="1:50" ht="15">
      <c r="A114" s="1758" t="str">
        <f ca="1">IF(ISERROR(INDEX(IPList,ROWS($A$6:A114))),
         IF(ISERROR(INDEX(VIP_InstanceList,ROWS($A$6:A114)-ROWS(IPList))),
                IF(ISERROR(INDEX(GTMLIST,ROWS($A$6:A114)-(ROWS(IPList)+(ROWS(VIP_InstanceList))))),"",
                      INDEX(GTMLIST,ROWS($A$6:A114)-(ROWS(IPList)+(ROWS(VIP_InstanceList))))),
                                  INDEX(VIP_InstanceList,ROWS($A$6:A114)-ROWS(IPList))),
                                             INDEX(IPList,ROWS($A$6:A114)))</f>
        <v/>
      </c>
      <c r="W114" s="2646" t="str">
        <f ca="1">IF(ISERROR(INDEX(AssetDecomList,ROWS($A$6:A114))),
IF(ISERROR(INDEX(AssetDecomVIPs,ROWS($A$6:A114)-ROWS(AssetDecomList))),"",INDEX(AssetDecomVIPs,ROWS($A$6:A114)-ROWS(AssetDecomList))),
INDEX(AssetDecomList,ROWS($A$6:A114)))</f>
        <v/>
      </c>
      <c r="Y114" s="2976" t="s">
        <v>1782</v>
      </c>
      <c r="Z114" s="2976" t="s">
        <v>4740</v>
      </c>
      <c r="AA114" s="2976">
        <v>1745</v>
      </c>
      <c r="AB114" s="2976" t="s">
        <v>3873</v>
      </c>
      <c r="AC114" s="2976" t="s">
        <v>2943</v>
      </c>
      <c r="AD114" s="2976" t="s">
        <v>2944</v>
      </c>
      <c r="AW114" s="931"/>
      <c r="AX114" s="931"/>
    </row>
    <row r="115" spans="1:50" ht="15">
      <c r="A115" s="1758" t="str">
        <f ca="1">IF(ISERROR(INDEX(IPList,ROWS($A$6:A115))),
         IF(ISERROR(INDEX(VIP_InstanceList,ROWS($A$6:A115)-ROWS(IPList))),
                IF(ISERROR(INDEX(GTMLIST,ROWS($A$6:A115)-(ROWS(IPList)+(ROWS(VIP_InstanceList))))),"",
                      INDEX(GTMLIST,ROWS($A$6:A115)-(ROWS(IPList)+(ROWS(VIP_InstanceList))))),
                                  INDEX(VIP_InstanceList,ROWS($A$6:A115)-ROWS(IPList))),
                                             INDEX(IPList,ROWS($A$6:A115)))</f>
        <v/>
      </c>
      <c r="W115" s="2646" t="str">
        <f ca="1">IF(ISERROR(INDEX(AssetDecomList,ROWS($A$6:A115))),
IF(ISERROR(INDEX(AssetDecomVIPs,ROWS($A$6:A115)-ROWS(AssetDecomList))),"",INDEX(AssetDecomVIPs,ROWS($A$6:A115)-ROWS(AssetDecomList))),
INDEX(AssetDecomList,ROWS($A$6:A115)))</f>
        <v/>
      </c>
      <c r="Y115" s="2976" t="s">
        <v>1782</v>
      </c>
      <c r="Z115" s="2976" t="s">
        <v>4741</v>
      </c>
      <c r="AA115" s="1927">
        <v>1745</v>
      </c>
      <c r="AB115" s="1927" t="s">
        <v>3873</v>
      </c>
      <c r="AC115" s="1927" t="s">
        <v>2943</v>
      </c>
      <c r="AD115" s="1927" t="s">
        <v>2944</v>
      </c>
      <c r="AW115" s="931"/>
      <c r="AX115" s="931"/>
    </row>
    <row r="116" spans="1:50" ht="15">
      <c r="A116" s="1758" t="str">
        <f ca="1">IF(ISERROR(INDEX(IPList,ROWS($A$6:A116))),
         IF(ISERROR(INDEX(VIP_InstanceList,ROWS($A$6:A116)-ROWS(IPList))),
                IF(ISERROR(INDEX(GTMLIST,ROWS($A$6:A116)-(ROWS(IPList)+(ROWS(VIP_InstanceList))))),"",
                      INDEX(GTMLIST,ROWS($A$6:A116)-(ROWS(IPList)+(ROWS(VIP_InstanceList))))),
                                  INDEX(VIP_InstanceList,ROWS($A$6:A116)-ROWS(IPList))),
                                             INDEX(IPList,ROWS($A$6:A116)))</f>
        <v/>
      </c>
      <c r="W116" s="2646" t="str">
        <f ca="1">IF(ISERROR(INDEX(AssetDecomList,ROWS($A$6:A116))),
IF(ISERROR(INDEX(AssetDecomVIPs,ROWS($A$6:A116)-ROWS(AssetDecomList))),"",INDEX(AssetDecomVIPs,ROWS($A$6:A116)-ROWS(AssetDecomList))),
INDEX(AssetDecomList,ROWS($A$6:A116)))</f>
        <v/>
      </c>
      <c r="Y116" s="2976" t="s">
        <v>1782</v>
      </c>
      <c r="Z116" s="2976" t="s">
        <v>4742</v>
      </c>
      <c r="AA116" s="2976">
        <v>1745</v>
      </c>
      <c r="AB116" s="2976" t="s">
        <v>141</v>
      </c>
      <c r="AC116" s="2976" t="s">
        <v>2943</v>
      </c>
      <c r="AD116" s="2976" t="s">
        <v>2944</v>
      </c>
      <c r="AW116" s="931"/>
      <c r="AX116" s="931"/>
    </row>
    <row r="117" spans="1:50" ht="15">
      <c r="A117" s="1758" t="str">
        <f ca="1">IF(ISERROR(INDEX(IPList,ROWS($A$6:A117))),
         IF(ISERROR(INDEX(VIP_InstanceList,ROWS($A$6:A117)-ROWS(IPList))),
                IF(ISERROR(INDEX(GTMLIST,ROWS($A$6:A117)-(ROWS(IPList)+(ROWS(VIP_InstanceList))))),"",
                      INDEX(GTMLIST,ROWS($A$6:A117)-(ROWS(IPList)+(ROWS(VIP_InstanceList))))),
                                  INDEX(VIP_InstanceList,ROWS($A$6:A117)-ROWS(IPList))),
                                             INDEX(IPList,ROWS($A$6:A117)))</f>
        <v/>
      </c>
      <c r="W117" s="2646" t="str">
        <f ca="1">IF(ISERROR(INDEX(AssetDecomList,ROWS($A$6:A117))),
IF(ISERROR(INDEX(AssetDecomVIPs,ROWS($A$6:A117)-ROWS(AssetDecomList))),"",INDEX(AssetDecomVIPs,ROWS($A$6:A117)-ROWS(AssetDecomList))),
INDEX(AssetDecomList,ROWS($A$6:A117)))</f>
        <v/>
      </c>
      <c r="Y117" s="2976" t="s">
        <v>1782</v>
      </c>
      <c r="Z117" s="2976" t="s">
        <v>4743</v>
      </c>
      <c r="AA117" s="2976">
        <v>1745</v>
      </c>
      <c r="AB117" s="2976" t="s">
        <v>141</v>
      </c>
      <c r="AC117" s="2976" t="s">
        <v>2943</v>
      </c>
      <c r="AD117" s="2976" t="s">
        <v>2944</v>
      </c>
      <c r="AW117" s="931"/>
      <c r="AX117" s="931"/>
    </row>
    <row r="118" spans="1:50" ht="15">
      <c r="A118" s="1758" t="str">
        <f ca="1">IF(ISERROR(INDEX(IPList,ROWS($A$6:A118))),
         IF(ISERROR(INDEX(VIP_InstanceList,ROWS($A$6:A118)-ROWS(IPList))),
                IF(ISERROR(INDEX(GTMLIST,ROWS($A$6:A118)-(ROWS(IPList)+(ROWS(VIP_InstanceList))))),"",
                      INDEX(GTMLIST,ROWS($A$6:A118)-(ROWS(IPList)+(ROWS(VIP_InstanceList))))),
                                  INDEX(VIP_InstanceList,ROWS($A$6:A118)-ROWS(IPList))),
                                             INDEX(IPList,ROWS($A$6:A118)))</f>
        <v/>
      </c>
      <c r="W118" s="2646" t="str">
        <f ca="1">IF(ISERROR(INDEX(AssetDecomList,ROWS($A$6:A118))),
IF(ISERROR(INDEX(AssetDecomVIPs,ROWS($A$6:A118)-ROWS(AssetDecomList))),"",INDEX(AssetDecomVIPs,ROWS($A$6:A118)-ROWS(AssetDecomList))),
INDEX(AssetDecomList,ROWS($A$6:A118)))</f>
        <v/>
      </c>
      <c r="Y118" s="2976" t="s">
        <v>1782</v>
      </c>
      <c r="Z118" s="2976" t="s">
        <v>5043</v>
      </c>
      <c r="AA118" s="2976">
        <v>1745</v>
      </c>
      <c r="AB118" s="2976" t="s">
        <v>141</v>
      </c>
      <c r="AC118" s="2976" t="s">
        <v>2943</v>
      </c>
      <c r="AD118" s="2976" t="s">
        <v>2944</v>
      </c>
      <c r="AW118" s="931"/>
      <c r="AX118" s="931"/>
    </row>
    <row r="119" spans="1:50" ht="15">
      <c r="A119" s="1758" t="str">
        <f ca="1">IF(ISERROR(INDEX(IPList,ROWS($A$6:A119))),
         IF(ISERROR(INDEX(VIP_InstanceList,ROWS($A$6:A119)-ROWS(IPList))),
                IF(ISERROR(INDEX(GTMLIST,ROWS($A$6:A119)-(ROWS(IPList)+(ROWS(VIP_InstanceList))))),"",
                      INDEX(GTMLIST,ROWS($A$6:A119)-(ROWS(IPList)+(ROWS(VIP_InstanceList))))),
                                  INDEX(VIP_InstanceList,ROWS($A$6:A119)-ROWS(IPList))),
                                             INDEX(IPList,ROWS($A$6:A119)))</f>
        <v/>
      </c>
      <c r="W119" s="2646" t="str">
        <f ca="1">IF(ISERROR(INDEX(AssetDecomList,ROWS($A$6:A119))),
IF(ISERROR(INDEX(AssetDecomVIPs,ROWS($A$6:A119)-ROWS(AssetDecomList))),"",INDEX(AssetDecomVIPs,ROWS($A$6:A119)-ROWS(AssetDecomList))),
INDEX(AssetDecomList,ROWS($A$6:A119)))</f>
        <v/>
      </c>
      <c r="Y119" s="2976" t="s">
        <v>1782</v>
      </c>
      <c r="Z119" s="2976" t="s">
        <v>4744</v>
      </c>
      <c r="AA119" s="2976">
        <v>1801</v>
      </c>
      <c r="AB119" s="2976" t="s">
        <v>4348</v>
      </c>
      <c r="AC119" s="2976" t="s">
        <v>4349</v>
      </c>
      <c r="AD119" s="2976" t="s">
        <v>4350</v>
      </c>
      <c r="AE119" s="931"/>
      <c r="AW119" s="931"/>
      <c r="AX119" s="931"/>
    </row>
    <row r="120" spans="1:50" ht="15">
      <c r="A120" s="1758" t="str">
        <f ca="1">IF(ISERROR(INDEX(IPList,ROWS($A$6:A120))),
         IF(ISERROR(INDEX(VIP_InstanceList,ROWS($A$6:A120)-ROWS(IPList))),
                IF(ISERROR(INDEX(GTMLIST,ROWS($A$6:A120)-(ROWS(IPList)+(ROWS(VIP_InstanceList))))),"",
                      INDEX(GTMLIST,ROWS($A$6:A120)-(ROWS(IPList)+(ROWS(VIP_InstanceList))))),
                                  INDEX(VIP_InstanceList,ROWS($A$6:A120)-ROWS(IPList))),
                                             INDEX(IPList,ROWS($A$6:A120)))</f>
        <v/>
      </c>
      <c r="W120" s="2646" t="str">
        <f ca="1">IF(ISERROR(INDEX(AssetDecomList,ROWS($A$6:A120))),
IF(ISERROR(INDEX(AssetDecomVIPs,ROWS($A$6:A120)-ROWS(AssetDecomList))),"",INDEX(AssetDecomVIPs,ROWS($A$6:A120)-ROWS(AssetDecomList))),
INDEX(AssetDecomList,ROWS($A$6:A120)))</f>
        <v/>
      </c>
      <c r="Y120" s="2976" t="s">
        <v>1782</v>
      </c>
      <c r="Z120" s="2976" t="s">
        <v>4745</v>
      </c>
      <c r="AA120" s="2976">
        <v>1801</v>
      </c>
      <c r="AB120" s="2976" t="s">
        <v>4348</v>
      </c>
      <c r="AC120" s="2976" t="s">
        <v>4349</v>
      </c>
      <c r="AD120" s="2976" t="s">
        <v>4350</v>
      </c>
      <c r="AW120" s="931"/>
      <c r="AX120" s="931"/>
    </row>
    <row r="121" spans="1:50" ht="15">
      <c r="A121" s="1758" t="str">
        <f ca="1">IF(ISERROR(INDEX(IPList,ROWS($A$6:A121))),
         IF(ISERROR(INDEX(VIP_InstanceList,ROWS($A$6:A121)-ROWS(IPList))),
                IF(ISERROR(INDEX(GTMLIST,ROWS($A$6:A121)-(ROWS(IPList)+(ROWS(VIP_InstanceList))))),"",
                      INDEX(GTMLIST,ROWS($A$6:A121)-(ROWS(IPList)+(ROWS(VIP_InstanceList))))),
                                  INDEX(VIP_InstanceList,ROWS($A$6:A121)-ROWS(IPList))),
                                             INDEX(IPList,ROWS($A$6:A121)))</f>
        <v/>
      </c>
      <c r="W121" s="2646" t="str">
        <f ca="1">IF(ISERROR(INDEX(AssetDecomList,ROWS($A$6:A121))),
IF(ISERROR(INDEX(AssetDecomVIPs,ROWS($A$6:A121)-ROWS(AssetDecomList))),"",INDEX(AssetDecomVIPs,ROWS($A$6:A121)-ROWS(AssetDecomList))),
INDEX(AssetDecomList,ROWS($A$6:A121)))</f>
        <v/>
      </c>
      <c r="Y121" s="2976" t="s">
        <v>1782</v>
      </c>
      <c r="Z121" s="2976" t="s">
        <v>4746</v>
      </c>
      <c r="AA121" s="2976">
        <v>1801</v>
      </c>
      <c r="AB121" s="2976" t="s">
        <v>4348</v>
      </c>
      <c r="AC121" s="2976" t="s">
        <v>4349</v>
      </c>
      <c r="AD121" s="2976" t="s">
        <v>4350</v>
      </c>
      <c r="AW121" s="931"/>
      <c r="AX121" s="931"/>
    </row>
    <row r="122" spans="1:50" ht="15">
      <c r="A122" s="1758" t="str">
        <f ca="1">IF(ISERROR(INDEX(IPList,ROWS($A$6:A122))),
         IF(ISERROR(INDEX(VIP_InstanceList,ROWS($A$6:A122)-ROWS(IPList))),
                IF(ISERROR(INDEX(GTMLIST,ROWS($A$6:A122)-(ROWS(IPList)+(ROWS(VIP_InstanceList))))),"",
                      INDEX(GTMLIST,ROWS($A$6:A122)-(ROWS(IPList)+(ROWS(VIP_InstanceList))))),
                                  INDEX(VIP_InstanceList,ROWS($A$6:A122)-ROWS(IPList))),
                                             INDEX(IPList,ROWS($A$6:A122)))</f>
        <v/>
      </c>
      <c r="W122" s="2646" t="str">
        <f ca="1">IF(ISERROR(INDEX(AssetDecomList,ROWS($A$6:A122))),
IF(ISERROR(INDEX(AssetDecomVIPs,ROWS($A$6:A122)-ROWS(AssetDecomList))),"",INDEX(AssetDecomVIPs,ROWS($A$6:A122)-ROWS(AssetDecomList))),
INDEX(AssetDecomList,ROWS($A$6:A122)))</f>
        <v/>
      </c>
      <c r="Y122" s="2976" t="s">
        <v>1782</v>
      </c>
      <c r="Z122" s="2976" t="s">
        <v>4747</v>
      </c>
      <c r="AA122" s="2976">
        <v>1801</v>
      </c>
      <c r="AB122" s="2976" t="s">
        <v>4348</v>
      </c>
      <c r="AC122" s="2976" t="s">
        <v>4349</v>
      </c>
      <c r="AD122" s="2976" t="s">
        <v>4350</v>
      </c>
      <c r="AW122" s="931"/>
      <c r="AX122" s="931"/>
    </row>
    <row r="123" spans="1:50" ht="15">
      <c r="A123" s="1758" t="str">
        <f ca="1">IF(ISERROR(INDEX(IPList,ROWS($A$6:A123))),
         IF(ISERROR(INDEX(VIP_InstanceList,ROWS($A$6:A123)-ROWS(IPList))),
                IF(ISERROR(INDEX(GTMLIST,ROWS($A$6:A123)-(ROWS(IPList)+(ROWS(VIP_InstanceList))))),"",
                      INDEX(GTMLIST,ROWS($A$6:A123)-(ROWS(IPList)+(ROWS(VIP_InstanceList))))),
                                  INDEX(VIP_InstanceList,ROWS($A$6:A123)-ROWS(IPList))),
                                             INDEX(IPList,ROWS($A$6:A123)))</f>
        <v/>
      </c>
      <c r="W123" s="2646" t="str">
        <f ca="1">IF(ISERROR(INDEX(AssetDecomList,ROWS($A$6:A123))),
IF(ISERROR(INDEX(AssetDecomVIPs,ROWS($A$6:A123)-ROWS(AssetDecomList))),"",INDEX(AssetDecomVIPs,ROWS($A$6:A123)-ROWS(AssetDecomList))),
INDEX(AssetDecomList,ROWS($A$6:A123)))</f>
        <v/>
      </c>
      <c r="Y123" s="2976" t="s">
        <v>1782</v>
      </c>
      <c r="Z123" s="2976" t="s">
        <v>4748</v>
      </c>
      <c r="AA123" s="2976">
        <v>1801</v>
      </c>
      <c r="AB123" s="2976" t="s">
        <v>4348</v>
      </c>
      <c r="AC123" s="2976" t="s">
        <v>4349</v>
      </c>
      <c r="AD123" s="2976" t="s">
        <v>4350</v>
      </c>
      <c r="AW123" s="931"/>
      <c r="AX123" s="931"/>
    </row>
    <row r="124" spans="1:50" ht="15">
      <c r="A124" s="1758" t="str">
        <f ca="1">IF(ISERROR(INDEX(IPList,ROWS($A$6:A124))),
         IF(ISERROR(INDEX(VIP_InstanceList,ROWS($A$6:A124)-ROWS(IPList))),
                IF(ISERROR(INDEX(GTMLIST,ROWS($A$6:A124)-(ROWS(IPList)+(ROWS(VIP_InstanceList))))),"",
                      INDEX(GTMLIST,ROWS($A$6:A124)-(ROWS(IPList)+(ROWS(VIP_InstanceList))))),
                                  INDEX(VIP_InstanceList,ROWS($A$6:A124)-ROWS(IPList))),
                                             INDEX(IPList,ROWS($A$6:A124)))</f>
        <v/>
      </c>
      <c r="W124" s="2646" t="str">
        <f ca="1">IF(ISERROR(INDEX(AssetDecomList,ROWS($A$6:A124))),
IF(ISERROR(INDEX(AssetDecomVIPs,ROWS($A$6:A124)-ROWS(AssetDecomList))),"",INDEX(AssetDecomVIPs,ROWS($A$6:A124)-ROWS(AssetDecomList))),
INDEX(AssetDecomList,ROWS($A$6:A124)))</f>
        <v/>
      </c>
      <c r="Y124" s="2976" t="s">
        <v>1782</v>
      </c>
      <c r="Z124" s="2976" t="s">
        <v>4749</v>
      </c>
      <c r="AA124" s="2976">
        <v>1801</v>
      </c>
      <c r="AB124" s="2976" t="s">
        <v>4348</v>
      </c>
      <c r="AC124" s="2976" t="s">
        <v>4349</v>
      </c>
      <c r="AD124" s="2976" t="s">
        <v>4350</v>
      </c>
      <c r="AW124" s="931"/>
      <c r="AX124" s="931"/>
    </row>
    <row r="125" spans="1:50" ht="15">
      <c r="A125" s="1758" t="str">
        <f ca="1">IF(ISERROR(INDEX(IPList,ROWS($A$6:A125))),
         IF(ISERROR(INDEX(VIP_InstanceList,ROWS($A$6:A125)-ROWS(IPList))),
                IF(ISERROR(INDEX(GTMLIST,ROWS($A$6:A125)-(ROWS(IPList)+(ROWS(VIP_InstanceList))))),"",
                      INDEX(GTMLIST,ROWS($A$6:A125)-(ROWS(IPList)+(ROWS(VIP_InstanceList))))),
                                  INDEX(VIP_InstanceList,ROWS($A$6:A125)-ROWS(IPList))),
                                             INDEX(IPList,ROWS($A$6:A125)))</f>
        <v/>
      </c>
      <c r="W125" s="2646" t="str">
        <f ca="1">IF(ISERROR(INDEX(AssetDecomList,ROWS($A$6:A125))),
IF(ISERROR(INDEX(AssetDecomVIPs,ROWS($A$6:A125)-ROWS(AssetDecomList))),"",INDEX(AssetDecomVIPs,ROWS($A$6:A125)-ROWS(AssetDecomList))),
INDEX(AssetDecomList,ROWS($A$6:A125)))</f>
        <v/>
      </c>
      <c r="Y125" s="2976" t="s">
        <v>1782</v>
      </c>
      <c r="Z125" s="2976" t="s">
        <v>4750</v>
      </c>
      <c r="AA125" s="2976">
        <v>1801</v>
      </c>
      <c r="AB125" s="2976" t="s">
        <v>4348</v>
      </c>
      <c r="AC125" s="2976" t="s">
        <v>4349</v>
      </c>
      <c r="AD125" s="2976" t="s">
        <v>4350</v>
      </c>
      <c r="AW125" s="931"/>
      <c r="AX125" s="931"/>
    </row>
    <row r="126" spans="1:50" ht="15">
      <c r="A126" s="1758" t="str">
        <f ca="1">IF(ISERROR(INDEX(IPList,ROWS($A$6:A126))),
         IF(ISERROR(INDEX(VIP_InstanceList,ROWS($A$6:A126)-ROWS(IPList))),
                IF(ISERROR(INDEX(GTMLIST,ROWS($A$6:A126)-(ROWS(IPList)+(ROWS(VIP_InstanceList))))),"",
                      INDEX(GTMLIST,ROWS($A$6:A126)-(ROWS(IPList)+(ROWS(VIP_InstanceList))))),
                                  INDEX(VIP_InstanceList,ROWS($A$6:A126)-ROWS(IPList))),
                                             INDEX(IPList,ROWS($A$6:A126)))</f>
        <v/>
      </c>
      <c r="W126" s="2646" t="str">
        <f ca="1">IF(ISERROR(INDEX(AssetDecomList,ROWS($A$6:A126))),
IF(ISERROR(INDEX(AssetDecomVIPs,ROWS($A$6:A126)-ROWS(AssetDecomList))),"",INDEX(AssetDecomVIPs,ROWS($A$6:A126)-ROWS(AssetDecomList))),
INDEX(AssetDecomList,ROWS($A$6:A126)))</f>
        <v/>
      </c>
      <c r="Y126" s="2976" t="s">
        <v>1782</v>
      </c>
      <c r="Z126" s="2976" t="s">
        <v>4751</v>
      </c>
      <c r="AA126" s="2976">
        <v>1801</v>
      </c>
      <c r="AB126" s="2976" t="s">
        <v>4348</v>
      </c>
      <c r="AC126" s="2976" t="s">
        <v>4349</v>
      </c>
      <c r="AD126" s="2976" t="s">
        <v>4350</v>
      </c>
      <c r="AW126" s="931"/>
      <c r="AX126" s="931"/>
    </row>
    <row r="127" spans="1:50" ht="15">
      <c r="A127" s="1758" t="str">
        <f ca="1">IF(ISERROR(INDEX(IPList,ROWS($A$6:A127))),
         IF(ISERROR(INDEX(VIP_InstanceList,ROWS($A$6:A127)-ROWS(IPList))),
                IF(ISERROR(INDEX(GTMLIST,ROWS($A$6:A127)-(ROWS(IPList)+(ROWS(VIP_InstanceList))))),"",
                      INDEX(GTMLIST,ROWS($A$6:A127)-(ROWS(IPList)+(ROWS(VIP_InstanceList))))),
                                  INDEX(VIP_InstanceList,ROWS($A$6:A127)-ROWS(IPList))),
                                             INDEX(IPList,ROWS($A$6:A127)))</f>
        <v/>
      </c>
      <c r="W127" s="2646" t="str">
        <f ca="1">IF(ISERROR(INDEX(AssetDecomList,ROWS($A$6:A127))),
IF(ISERROR(INDEX(AssetDecomVIPs,ROWS($A$6:A127)-ROWS(AssetDecomList))),"",INDEX(AssetDecomVIPs,ROWS($A$6:A127)-ROWS(AssetDecomList))),
INDEX(AssetDecomList,ROWS($A$6:A127)))</f>
        <v/>
      </c>
      <c r="Y127" s="2976" t="s">
        <v>1782</v>
      </c>
      <c r="Z127" s="2976" t="s">
        <v>4752</v>
      </c>
      <c r="AA127" s="2976">
        <v>1801</v>
      </c>
      <c r="AB127" s="2976" t="s">
        <v>4348</v>
      </c>
      <c r="AC127" s="2976" t="s">
        <v>4349</v>
      </c>
      <c r="AD127" s="2976" t="s">
        <v>4350</v>
      </c>
      <c r="AW127" s="931"/>
      <c r="AX127" s="931"/>
    </row>
    <row r="128" spans="1:50" ht="15">
      <c r="A128" s="1758" t="str">
        <f ca="1">IF(ISERROR(INDEX(IPList,ROWS($A$6:A128))),
         IF(ISERROR(INDEX(VIP_InstanceList,ROWS($A$6:A128)-ROWS(IPList))),
                IF(ISERROR(INDEX(GTMLIST,ROWS($A$6:A128)-(ROWS(IPList)+(ROWS(VIP_InstanceList))))),"",
                      INDEX(GTMLIST,ROWS($A$6:A128)-(ROWS(IPList)+(ROWS(VIP_InstanceList))))),
                                  INDEX(VIP_InstanceList,ROWS($A$6:A128)-ROWS(IPList))),
                                             INDEX(IPList,ROWS($A$6:A128)))</f>
        <v/>
      </c>
      <c r="W128" s="2646" t="str">
        <f ca="1">IF(ISERROR(INDEX(AssetDecomList,ROWS($A$6:A128))),
IF(ISERROR(INDEX(AssetDecomVIPs,ROWS($A$6:A128)-ROWS(AssetDecomList))),"",INDEX(AssetDecomVIPs,ROWS($A$6:A128)-ROWS(AssetDecomList))),
INDEX(AssetDecomList,ROWS($A$6:A128)))</f>
        <v/>
      </c>
      <c r="Y128" s="2976" t="s">
        <v>1782</v>
      </c>
      <c r="Z128" s="2976" t="s">
        <v>4753</v>
      </c>
      <c r="AA128" s="2976">
        <v>1801</v>
      </c>
      <c r="AB128" s="2976" t="s">
        <v>4348</v>
      </c>
      <c r="AC128" s="2976" t="s">
        <v>4349</v>
      </c>
      <c r="AD128" s="2976" t="s">
        <v>4350</v>
      </c>
      <c r="AW128" s="931"/>
      <c r="AX128" s="931"/>
    </row>
    <row r="129" spans="1:50" ht="15">
      <c r="A129" s="1758" t="str">
        <f ca="1">IF(ISERROR(INDEX(IPList,ROWS($A$6:A129))),
         IF(ISERROR(INDEX(VIP_InstanceList,ROWS($A$6:A129)-ROWS(IPList))),
                IF(ISERROR(INDEX(GTMLIST,ROWS($A$6:A129)-(ROWS(IPList)+(ROWS(VIP_InstanceList))))),"",
                      INDEX(GTMLIST,ROWS($A$6:A129)-(ROWS(IPList)+(ROWS(VIP_InstanceList))))),
                                  INDEX(VIP_InstanceList,ROWS($A$6:A129)-ROWS(IPList))),
                                             INDEX(IPList,ROWS($A$6:A129)))</f>
        <v/>
      </c>
      <c r="W129" s="2646" t="str">
        <f ca="1">IF(ISERROR(INDEX(AssetDecomList,ROWS($A$6:A129))),
IF(ISERROR(INDEX(AssetDecomVIPs,ROWS($A$6:A129)-ROWS(AssetDecomList))),"",INDEX(AssetDecomVIPs,ROWS($A$6:A129)-ROWS(AssetDecomList))),
INDEX(AssetDecomList,ROWS($A$6:A129)))</f>
        <v/>
      </c>
      <c r="Y129" s="2976" t="s">
        <v>1782</v>
      </c>
      <c r="Z129" s="2976" t="s">
        <v>4754</v>
      </c>
      <c r="AA129" s="2976">
        <v>1801</v>
      </c>
      <c r="AB129" s="2976" t="s">
        <v>4348</v>
      </c>
      <c r="AC129" s="2976" t="s">
        <v>4349</v>
      </c>
      <c r="AD129" s="2976" t="s">
        <v>4350</v>
      </c>
      <c r="AW129" s="931"/>
      <c r="AX129" s="931"/>
    </row>
    <row r="130" spans="1:50" ht="15">
      <c r="A130" s="1758" t="str">
        <f ca="1">IF(ISERROR(INDEX(IPList,ROWS($A$6:A130))),
         IF(ISERROR(INDEX(VIP_InstanceList,ROWS($A$6:A130)-ROWS(IPList))),
                IF(ISERROR(INDEX(GTMLIST,ROWS($A$6:A130)-(ROWS(IPList)+(ROWS(VIP_InstanceList))))),"",
                      INDEX(GTMLIST,ROWS($A$6:A130)-(ROWS(IPList)+(ROWS(VIP_InstanceList))))),
                                  INDEX(VIP_InstanceList,ROWS($A$6:A130)-ROWS(IPList))),
                                             INDEX(IPList,ROWS($A$6:A130)))</f>
        <v/>
      </c>
      <c r="W130" s="2646" t="str">
        <f ca="1">IF(ISERROR(INDEX(AssetDecomList,ROWS($A$6:A130))),
IF(ISERROR(INDEX(AssetDecomVIPs,ROWS($A$6:A130)-ROWS(AssetDecomList))),"",INDEX(AssetDecomVIPs,ROWS($A$6:A130)-ROWS(AssetDecomList))),
INDEX(AssetDecomList,ROWS($A$6:A130)))</f>
        <v/>
      </c>
      <c r="Y130" s="2976" t="s">
        <v>1782</v>
      </c>
      <c r="Z130" s="2976" t="s">
        <v>4755</v>
      </c>
      <c r="AA130" s="2976">
        <v>1801</v>
      </c>
      <c r="AB130" s="2976" t="s">
        <v>4348</v>
      </c>
      <c r="AC130" s="2976" t="s">
        <v>4349</v>
      </c>
      <c r="AD130" s="2976" t="s">
        <v>4350</v>
      </c>
      <c r="AW130" s="931"/>
      <c r="AX130" s="931"/>
    </row>
    <row r="131" spans="1:50" ht="15">
      <c r="A131" s="1758" t="str">
        <f ca="1">IF(ISERROR(INDEX(IPList,ROWS($A$6:A131))),
         IF(ISERROR(INDEX(VIP_InstanceList,ROWS($A$6:A131)-ROWS(IPList))),
                IF(ISERROR(INDEX(GTMLIST,ROWS($A$6:A131)-(ROWS(IPList)+(ROWS(VIP_InstanceList))))),"",
                      INDEX(GTMLIST,ROWS($A$6:A131)-(ROWS(IPList)+(ROWS(VIP_InstanceList))))),
                                  INDEX(VIP_InstanceList,ROWS($A$6:A131)-ROWS(IPList))),
                                             INDEX(IPList,ROWS($A$6:A131)))</f>
        <v/>
      </c>
      <c r="W131" s="2646" t="str">
        <f ca="1">IF(ISERROR(INDEX(AssetDecomList,ROWS($A$6:A131))),
IF(ISERROR(INDEX(AssetDecomVIPs,ROWS($A$6:A131)-ROWS(AssetDecomList))),"",INDEX(AssetDecomVIPs,ROWS($A$6:A131)-ROWS(AssetDecomList))),
INDEX(AssetDecomList,ROWS($A$6:A131)))</f>
        <v/>
      </c>
      <c r="Y131" s="2976" t="s">
        <v>1782</v>
      </c>
      <c r="Z131" s="2976" t="s">
        <v>4756</v>
      </c>
      <c r="AA131" s="2976">
        <v>1801</v>
      </c>
      <c r="AB131" s="2976" t="s">
        <v>4348</v>
      </c>
      <c r="AC131" s="2976" t="s">
        <v>4349</v>
      </c>
      <c r="AD131" s="2976" t="s">
        <v>4350</v>
      </c>
      <c r="AW131" s="931"/>
      <c r="AX131" s="931"/>
    </row>
    <row r="132" spans="1:50" ht="15">
      <c r="A132" s="1758" t="str">
        <f ca="1">IF(ISERROR(INDEX(IPList,ROWS($A$6:A132))),
         IF(ISERROR(INDEX(VIP_InstanceList,ROWS($A$6:A132)-ROWS(IPList))),
                IF(ISERROR(INDEX(GTMLIST,ROWS($A$6:A132)-(ROWS(IPList)+(ROWS(VIP_InstanceList))))),"",
                      INDEX(GTMLIST,ROWS($A$6:A132)-(ROWS(IPList)+(ROWS(VIP_InstanceList))))),
                                  INDEX(VIP_InstanceList,ROWS($A$6:A132)-ROWS(IPList))),
                                             INDEX(IPList,ROWS($A$6:A132)))</f>
        <v/>
      </c>
      <c r="W132" s="2646" t="str">
        <f ca="1">IF(ISERROR(INDEX(AssetDecomList,ROWS($A$6:A132))),
IF(ISERROR(INDEX(AssetDecomVIPs,ROWS($A$6:A132)-ROWS(AssetDecomList))),"",INDEX(AssetDecomVIPs,ROWS($A$6:A132)-ROWS(AssetDecomList))),
INDEX(AssetDecomList,ROWS($A$6:A132)))</f>
        <v/>
      </c>
      <c r="Y132" s="2976" t="s">
        <v>1782</v>
      </c>
      <c r="Z132" s="2976" t="s">
        <v>4757</v>
      </c>
      <c r="AA132" s="2976">
        <v>1801</v>
      </c>
      <c r="AB132" s="2976" t="s">
        <v>4348</v>
      </c>
      <c r="AC132" s="2976" t="s">
        <v>4349</v>
      </c>
      <c r="AD132" s="2976" t="s">
        <v>4350</v>
      </c>
      <c r="AW132" s="931"/>
      <c r="AX132" s="931"/>
    </row>
    <row r="133" spans="1:50" ht="15">
      <c r="A133" s="1758" t="str">
        <f ca="1">IF(ISERROR(INDEX(IPList,ROWS($A$6:A133))),
         IF(ISERROR(INDEX(VIP_InstanceList,ROWS($A$6:A133)-ROWS(IPList))),
                IF(ISERROR(INDEX(GTMLIST,ROWS($A$6:A133)-(ROWS(IPList)+(ROWS(VIP_InstanceList))))),"",
                      INDEX(GTMLIST,ROWS($A$6:A133)-(ROWS(IPList)+(ROWS(VIP_InstanceList))))),
                                  INDEX(VIP_InstanceList,ROWS($A$6:A133)-ROWS(IPList))),
                                             INDEX(IPList,ROWS($A$6:A133)))</f>
        <v/>
      </c>
      <c r="W133" s="2646" t="str">
        <f ca="1">IF(ISERROR(INDEX(AssetDecomList,ROWS($A$6:A133))),
IF(ISERROR(INDEX(AssetDecomVIPs,ROWS($A$6:A133)-ROWS(AssetDecomList))),"",INDEX(AssetDecomVIPs,ROWS($A$6:A133)-ROWS(AssetDecomList))),
INDEX(AssetDecomList,ROWS($A$6:A133)))</f>
        <v/>
      </c>
      <c r="Y133" s="2976" t="s">
        <v>1782</v>
      </c>
      <c r="Z133" s="2976" t="s">
        <v>4758</v>
      </c>
      <c r="AA133" s="2976">
        <v>1801</v>
      </c>
      <c r="AB133" s="2976" t="s">
        <v>4348</v>
      </c>
      <c r="AC133" s="2976" t="s">
        <v>4349</v>
      </c>
      <c r="AD133" s="2976" t="s">
        <v>4350</v>
      </c>
      <c r="AW133" s="931"/>
      <c r="AX133" s="931"/>
    </row>
    <row r="134" spans="1:50" ht="15">
      <c r="A134" s="1758" t="str">
        <f ca="1">IF(ISERROR(INDEX(IPList,ROWS($A$6:A134))),
         IF(ISERROR(INDEX(VIP_InstanceList,ROWS($A$6:A134)-ROWS(IPList))),
                IF(ISERROR(INDEX(GTMLIST,ROWS($A$6:A134)-(ROWS(IPList)+(ROWS(VIP_InstanceList))))),"",
                      INDEX(GTMLIST,ROWS($A$6:A134)-(ROWS(IPList)+(ROWS(VIP_InstanceList))))),
                                  INDEX(VIP_InstanceList,ROWS($A$6:A134)-ROWS(IPList))),
                                             INDEX(IPList,ROWS($A$6:A134)))</f>
        <v/>
      </c>
      <c r="W134" s="2646" t="str">
        <f ca="1">IF(ISERROR(INDEX(AssetDecomList,ROWS($A$6:A134))),
IF(ISERROR(INDEX(AssetDecomVIPs,ROWS($A$6:A134)-ROWS(AssetDecomList))),"",INDEX(AssetDecomVIPs,ROWS($A$6:A134)-ROWS(AssetDecomList))),
INDEX(AssetDecomList,ROWS($A$6:A134)))</f>
        <v/>
      </c>
      <c r="Y134" s="2976" t="s">
        <v>1782</v>
      </c>
      <c r="Z134" s="2976" t="s">
        <v>4759</v>
      </c>
      <c r="AA134" s="2976">
        <v>1801</v>
      </c>
      <c r="AB134" s="2976" t="s">
        <v>141</v>
      </c>
      <c r="AC134" s="2976" t="s">
        <v>4349</v>
      </c>
      <c r="AD134" s="2976" t="s">
        <v>4350</v>
      </c>
      <c r="AW134" s="931"/>
      <c r="AX134" s="931"/>
    </row>
    <row r="135" spans="1:50" ht="15">
      <c r="A135" s="1758" t="str">
        <f ca="1">IF(ISERROR(INDEX(IPList,ROWS($A$6:A135))),
         IF(ISERROR(INDEX(VIP_InstanceList,ROWS($A$6:A135)-ROWS(IPList))),
                IF(ISERROR(INDEX(GTMLIST,ROWS($A$6:A135)-(ROWS(IPList)+(ROWS(VIP_InstanceList))))),"",
                      INDEX(GTMLIST,ROWS($A$6:A135)-(ROWS(IPList)+(ROWS(VIP_InstanceList))))),
                                  INDEX(VIP_InstanceList,ROWS($A$6:A135)-ROWS(IPList))),
                                             INDEX(IPList,ROWS($A$6:A135)))</f>
        <v/>
      </c>
      <c r="W135" s="2646" t="str">
        <f ca="1">IF(ISERROR(INDEX(AssetDecomList,ROWS($A$6:A135))),
IF(ISERROR(INDEX(AssetDecomVIPs,ROWS($A$6:A135)-ROWS(AssetDecomList))),"",INDEX(AssetDecomVIPs,ROWS($A$6:A135)-ROWS(AssetDecomList))),
INDEX(AssetDecomList,ROWS($A$6:A135)))</f>
        <v/>
      </c>
      <c r="Y135" s="2976" t="s">
        <v>1782</v>
      </c>
      <c r="Z135" s="2976" t="s">
        <v>4760</v>
      </c>
      <c r="AA135" s="2976">
        <v>1801</v>
      </c>
      <c r="AB135" s="2976" t="s">
        <v>141</v>
      </c>
      <c r="AC135" s="2976" t="s">
        <v>4349</v>
      </c>
      <c r="AD135" s="2976" t="s">
        <v>4350</v>
      </c>
      <c r="AW135" s="931"/>
      <c r="AX135" s="931"/>
    </row>
    <row r="136" spans="1:50" ht="15">
      <c r="A136" s="1758" t="str">
        <f ca="1">IF(ISERROR(INDEX(IPList,ROWS($A$6:A136))),
         IF(ISERROR(INDEX(VIP_InstanceList,ROWS($A$6:A136)-ROWS(IPList))),
                IF(ISERROR(INDEX(GTMLIST,ROWS($A$6:A136)-(ROWS(IPList)+(ROWS(VIP_InstanceList))))),"",
                      INDEX(GTMLIST,ROWS($A$6:A136)-(ROWS(IPList)+(ROWS(VIP_InstanceList))))),
                                  INDEX(VIP_InstanceList,ROWS($A$6:A136)-ROWS(IPList))),
                                             INDEX(IPList,ROWS($A$6:A136)))</f>
        <v/>
      </c>
      <c r="W136" s="2646" t="str">
        <f ca="1">IF(ISERROR(INDEX(AssetDecomList,ROWS($A$6:A136))),
IF(ISERROR(INDEX(AssetDecomVIPs,ROWS($A$6:A136)-ROWS(AssetDecomList))),"",INDEX(AssetDecomVIPs,ROWS($A$6:A136)-ROWS(AssetDecomList))),
INDEX(AssetDecomList,ROWS($A$6:A136)))</f>
        <v/>
      </c>
      <c r="Y136" s="2976" t="s">
        <v>1782</v>
      </c>
      <c r="Z136" s="2976" t="s">
        <v>5044</v>
      </c>
      <c r="AA136" s="2976">
        <v>1801</v>
      </c>
      <c r="AB136" s="2976" t="s">
        <v>141</v>
      </c>
      <c r="AC136" s="2976" t="s">
        <v>4349</v>
      </c>
      <c r="AD136" s="2976" t="s">
        <v>4350</v>
      </c>
      <c r="AW136" s="931"/>
      <c r="AX136" s="931"/>
    </row>
    <row r="137" spans="1:50" ht="15">
      <c r="A137" s="1758" t="str">
        <f ca="1">IF(ISERROR(INDEX(IPList,ROWS($A$6:A137))),
         IF(ISERROR(INDEX(VIP_InstanceList,ROWS($A$6:A137)-ROWS(IPList))),
                IF(ISERROR(INDEX(GTMLIST,ROWS($A$6:A137)-(ROWS(IPList)+(ROWS(VIP_InstanceList))))),"",
                      INDEX(GTMLIST,ROWS($A$6:A137)-(ROWS(IPList)+(ROWS(VIP_InstanceList))))),
                                  INDEX(VIP_InstanceList,ROWS($A$6:A137)-ROWS(IPList))),
                                             INDEX(IPList,ROWS($A$6:A137)))</f>
        <v/>
      </c>
      <c r="W137" s="2646" t="str">
        <f ca="1">IF(ISERROR(INDEX(AssetDecomList,ROWS($A$6:A137))),
IF(ISERROR(INDEX(AssetDecomVIPs,ROWS($A$6:A137)-ROWS(AssetDecomList))),"",INDEX(AssetDecomVIPs,ROWS($A$6:A137)-ROWS(AssetDecomList))),
INDEX(AssetDecomList,ROWS($A$6:A137)))</f>
        <v/>
      </c>
      <c r="Y137" s="2976" t="s">
        <v>1782</v>
      </c>
      <c r="Z137" s="2976" t="s">
        <v>5297</v>
      </c>
      <c r="AA137" s="2976">
        <v>1259</v>
      </c>
      <c r="AB137" s="2976" t="s">
        <v>5489</v>
      </c>
      <c r="AC137" s="2976" t="s">
        <v>5315</v>
      </c>
      <c r="AD137" s="2976" t="s">
        <v>5316</v>
      </c>
      <c r="AW137" s="931"/>
      <c r="AX137" s="931"/>
    </row>
    <row r="138" spans="1:50" ht="15">
      <c r="A138" s="1758" t="str">
        <f ca="1">IF(ISERROR(INDEX(IPList,ROWS($A$6:A138))),
         IF(ISERROR(INDEX(VIP_InstanceList,ROWS($A$6:A138)-ROWS(IPList))),
                IF(ISERROR(INDEX(GTMLIST,ROWS($A$6:A138)-(ROWS(IPList)+(ROWS(VIP_InstanceList))))),"",
                      INDEX(GTMLIST,ROWS($A$6:A138)-(ROWS(IPList)+(ROWS(VIP_InstanceList))))),
                                  INDEX(VIP_InstanceList,ROWS($A$6:A138)-ROWS(IPList))),
                                             INDEX(IPList,ROWS($A$6:A138)))</f>
        <v/>
      </c>
      <c r="W138" s="2646" t="str">
        <f ca="1">IF(ISERROR(INDEX(AssetDecomList,ROWS($A$6:A138))),
IF(ISERROR(INDEX(AssetDecomVIPs,ROWS($A$6:A138)-ROWS(AssetDecomList))),"",INDEX(AssetDecomVIPs,ROWS($A$6:A138)-ROWS(AssetDecomList))),
INDEX(AssetDecomList,ROWS($A$6:A138)))</f>
        <v/>
      </c>
      <c r="Y138" s="2976" t="s">
        <v>1782</v>
      </c>
      <c r="Z138" s="2976" t="s">
        <v>5298</v>
      </c>
      <c r="AA138" s="2976">
        <v>1259</v>
      </c>
      <c r="AB138" s="2976" t="s">
        <v>5489</v>
      </c>
      <c r="AC138" s="2976" t="s">
        <v>5315</v>
      </c>
      <c r="AD138" s="2976" t="s">
        <v>5316</v>
      </c>
      <c r="AW138" s="931"/>
      <c r="AX138" s="931"/>
    </row>
    <row r="139" spans="1:50" ht="15">
      <c r="A139" s="1758" t="str">
        <f ca="1">IF(ISERROR(INDEX(IPList,ROWS($A$6:A139))),
         IF(ISERROR(INDEX(VIP_InstanceList,ROWS($A$6:A139)-ROWS(IPList))),
                IF(ISERROR(INDEX(GTMLIST,ROWS($A$6:A139)-(ROWS(IPList)+(ROWS(VIP_InstanceList))))),"",
                      INDEX(GTMLIST,ROWS($A$6:A139)-(ROWS(IPList)+(ROWS(VIP_InstanceList))))),
                                  INDEX(VIP_InstanceList,ROWS($A$6:A139)-ROWS(IPList))),
                                             INDEX(IPList,ROWS($A$6:A139)))</f>
        <v/>
      </c>
      <c r="W139" s="2646" t="str">
        <f ca="1">IF(ISERROR(INDEX(AssetDecomList,ROWS($A$6:A139))),
IF(ISERROR(INDEX(AssetDecomVIPs,ROWS($A$6:A139)-ROWS(AssetDecomList))),"",INDEX(AssetDecomVIPs,ROWS($A$6:A139)-ROWS(AssetDecomList))),
INDEX(AssetDecomList,ROWS($A$6:A139)))</f>
        <v/>
      </c>
      <c r="Y139" s="2976" t="s">
        <v>1782</v>
      </c>
      <c r="Z139" s="2976" t="s">
        <v>5299</v>
      </c>
      <c r="AA139" s="2976">
        <v>1259</v>
      </c>
      <c r="AB139" s="2976" t="s">
        <v>5489</v>
      </c>
      <c r="AC139" s="2976" t="s">
        <v>5315</v>
      </c>
      <c r="AD139" s="2976" t="s">
        <v>5316</v>
      </c>
      <c r="AW139" s="931"/>
      <c r="AX139" s="931"/>
    </row>
    <row r="140" spans="1:50" ht="15">
      <c r="A140" s="1758" t="str">
        <f ca="1">IF(ISERROR(INDEX(IPList,ROWS($A$6:A140))),
         IF(ISERROR(INDEX(VIP_InstanceList,ROWS($A$6:A140)-ROWS(IPList))),
                IF(ISERROR(INDEX(GTMLIST,ROWS($A$6:A140)-(ROWS(IPList)+(ROWS(VIP_InstanceList))))),"",
                      INDEX(GTMLIST,ROWS($A$6:A140)-(ROWS(IPList)+(ROWS(VIP_InstanceList))))),
                                  INDEX(VIP_InstanceList,ROWS($A$6:A140)-ROWS(IPList))),
                                             INDEX(IPList,ROWS($A$6:A140)))</f>
        <v/>
      </c>
      <c r="W140" s="2646" t="str">
        <f ca="1">IF(ISERROR(INDEX(AssetDecomList,ROWS($A$6:A140))),
IF(ISERROR(INDEX(AssetDecomVIPs,ROWS($A$6:A140)-ROWS(AssetDecomList))),"",INDEX(AssetDecomVIPs,ROWS($A$6:A140)-ROWS(AssetDecomList))),
INDEX(AssetDecomList,ROWS($A$6:A140)))</f>
        <v/>
      </c>
      <c r="Y140" s="2976" t="s">
        <v>1782</v>
      </c>
      <c r="Z140" s="2976" t="s">
        <v>5300</v>
      </c>
      <c r="AA140" s="2976">
        <v>1259</v>
      </c>
      <c r="AB140" s="2976" t="s">
        <v>5489</v>
      </c>
      <c r="AC140" s="2976" t="s">
        <v>5315</v>
      </c>
      <c r="AD140" s="2976" t="s">
        <v>5316</v>
      </c>
      <c r="AW140" s="931"/>
      <c r="AX140" s="931"/>
    </row>
    <row r="141" spans="1:50" ht="15">
      <c r="A141" s="1758" t="str">
        <f ca="1">IF(ISERROR(INDEX(IPList,ROWS($A$6:A141))),
         IF(ISERROR(INDEX(VIP_InstanceList,ROWS($A$6:A141)-ROWS(IPList))),
                IF(ISERROR(INDEX(GTMLIST,ROWS($A$6:A141)-(ROWS(IPList)+(ROWS(VIP_InstanceList))))),"",
                      INDEX(GTMLIST,ROWS($A$6:A141)-(ROWS(IPList)+(ROWS(VIP_InstanceList))))),
                                  INDEX(VIP_InstanceList,ROWS($A$6:A141)-ROWS(IPList))),
                                             INDEX(IPList,ROWS($A$6:A141)))</f>
        <v/>
      </c>
      <c r="W141" s="2646" t="str">
        <f ca="1">IF(ISERROR(INDEX(AssetDecomList,ROWS($A$6:A141))),
IF(ISERROR(INDEX(AssetDecomVIPs,ROWS($A$6:A141)-ROWS(AssetDecomList))),"",INDEX(AssetDecomVIPs,ROWS($A$6:A141)-ROWS(AssetDecomList))),
INDEX(AssetDecomList,ROWS($A$6:A141)))</f>
        <v/>
      </c>
      <c r="Y141" s="2976" t="s">
        <v>1782</v>
      </c>
      <c r="Z141" s="2976" t="s">
        <v>5301</v>
      </c>
      <c r="AA141" s="2976">
        <v>1259</v>
      </c>
      <c r="AB141" s="2976" t="s">
        <v>5489</v>
      </c>
      <c r="AC141" s="2976" t="s">
        <v>5315</v>
      </c>
      <c r="AD141" s="2976" t="s">
        <v>5316</v>
      </c>
      <c r="AW141" s="931"/>
      <c r="AX141" s="931"/>
    </row>
    <row r="142" spans="1:50" ht="15">
      <c r="A142" s="1758" t="str">
        <f ca="1">IF(ISERROR(INDEX(IPList,ROWS($A$6:A142))),
         IF(ISERROR(INDEX(VIP_InstanceList,ROWS($A$6:A142)-ROWS(IPList))),
                IF(ISERROR(INDEX(GTMLIST,ROWS($A$6:A142)-(ROWS(IPList)+(ROWS(VIP_InstanceList))))),"",
                      INDEX(GTMLIST,ROWS($A$6:A142)-(ROWS(IPList)+(ROWS(VIP_InstanceList))))),
                                  INDEX(VIP_InstanceList,ROWS($A$6:A142)-ROWS(IPList))),
                                             INDEX(IPList,ROWS($A$6:A142)))</f>
        <v/>
      </c>
      <c r="W142" s="2646" t="str">
        <f ca="1">IF(ISERROR(INDEX(AssetDecomList,ROWS($A$6:A142))),
IF(ISERROR(INDEX(AssetDecomVIPs,ROWS($A$6:A142)-ROWS(AssetDecomList))),"",INDEX(AssetDecomVIPs,ROWS($A$6:A142)-ROWS(AssetDecomList))),
INDEX(AssetDecomList,ROWS($A$6:A142)))</f>
        <v/>
      </c>
      <c r="Y142" s="2976" t="s">
        <v>1782</v>
      </c>
      <c r="Z142" s="2976" t="s">
        <v>5302</v>
      </c>
      <c r="AA142" s="2976">
        <v>1259</v>
      </c>
      <c r="AB142" s="2976" t="s">
        <v>5489</v>
      </c>
      <c r="AC142" s="2976" t="s">
        <v>5315</v>
      </c>
      <c r="AD142" s="2976" t="s">
        <v>5316</v>
      </c>
      <c r="AW142" s="931"/>
      <c r="AX142" s="931"/>
    </row>
    <row r="143" spans="1:50" ht="15">
      <c r="A143" s="1758" t="str">
        <f ca="1">IF(ISERROR(INDEX(IPList,ROWS($A$6:A143))),
         IF(ISERROR(INDEX(VIP_InstanceList,ROWS($A$6:A143)-ROWS(IPList))),
                IF(ISERROR(INDEX(GTMLIST,ROWS($A$6:A143)-(ROWS(IPList)+(ROWS(VIP_InstanceList))))),"",
                      INDEX(GTMLIST,ROWS($A$6:A143)-(ROWS(IPList)+(ROWS(VIP_InstanceList))))),
                                  INDEX(VIP_InstanceList,ROWS($A$6:A143)-ROWS(IPList))),
                                             INDEX(IPList,ROWS($A$6:A143)))</f>
        <v/>
      </c>
      <c r="W143" s="2646" t="str">
        <f ca="1">IF(ISERROR(INDEX(AssetDecomList,ROWS($A$6:A143))),
IF(ISERROR(INDEX(AssetDecomVIPs,ROWS($A$6:A143)-ROWS(AssetDecomList))),"",INDEX(AssetDecomVIPs,ROWS($A$6:A143)-ROWS(AssetDecomList))),
INDEX(AssetDecomList,ROWS($A$6:A143)))</f>
        <v/>
      </c>
      <c r="Y143" s="2976" t="s">
        <v>1782</v>
      </c>
      <c r="Z143" s="2976" t="s">
        <v>5303</v>
      </c>
      <c r="AA143" s="2976">
        <v>1259</v>
      </c>
      <c r="AB143" s="2976" t="s">
        <v>5489</v>
      </c>
      <c r="AC143" s="2976" t="s">
        <v>5315</v>
      </c>
      <c r="AD143" s="2976" t="s">
        <v>5316</v>
      </c>
      <c r="AW143" s="931"/>
      <c r="AX143" s="931"/>
    </row>
    <row r="144" spans="1:50" ht="15">
      <c r="A144" s="1758" t="str">
        <f ca="1">IF(ISERROR(INDEX(IPList,ROWS($A$6:A144))),
         IF(ISERROR(INDEX(VIP_InstanceList,ROWS($A$6:A144)-ROWS(IPList))),
                IF(ISERROR(INDEX(GTMLIST,ROWS($A$6:A144)-(ROWS(IPList)+(ROWS(VIP_InstanceList))))),"",
                      INDEX(GTMLIST,ROWS($A$6:A144)-(ROWS(IPList)+(ROWS(VIP_InstanceList))))),
                                  INDEX(VIP_InstanceList,ROWS($A$6:A144)-ROWS(IPList))),
                                             INDEX(IPList,ROWS($A$6:A144)))</f>
        <v/>
      </c>
      <c r="W144" s="2646" t="str">
        <f ca="1">IF(ISERROR(INDEX(AssetDecomList,ROWS($A$6:A144))),
IF(ISERROR(INDEX(AssetDecomVIPs,ROWS($A$6:A144)-ROWS(AssetDecomList))),"",INDEX(AssetDecomVIPs,ROWS($A$6:A144)-ROWS(AssetDecomList))),
INDEX(AssetDecomList,ROWS($A$6:A144)))</f>
        <v/>
      </c>
      <c r="Y144" s="2976" t="s">
        <v>1782</v>
      </c>
      <c r="Z144" s="2976" t="s">
        <v>5304</v>
      </c>
      <c r="AA144" s="2976">
        <v>1259</v>
      </c>
      <c r="AB144" s="2976" t="s">
        <v>5489</v>
      </c>
      <c r="AC144" s="2976" t="s">
        <v>5315</v>
      </c>
      <c r="AD144" s="2976" t="s">
        <v>5316</v>
      </c>
      <c r="AW144" s="931"/>
      <c r="AX144" s="931"/>
    </row>
    <row r="145" spans="1:50" ht="15">
      <c r="A145" s="1758" t="str">
        <f ca="1">IF(ISERROR(INDEX(IPList,ROWS($A$6:A145))),
         IF(ISERROR(INDEX(VIP_InstanceList,ROWS($A$6:A145)-ROWS(IPList))),
                IF(ISERROR(INDEX(GTMLIST,ROWS($A$6:A145)-(ROWS(IPList)+(ROWS(VIP_InstanceList))))),"",
                      INDEX(GTMLIST,ROWS($A$6:A145)-(ROWS(IPList)+(ROWS(VIP_InstanceList))))),
                                  INDEX(VIP_InstanceList,ROWS($A$6:A145)-ROWS(IPList))),
                                             INDEX(IPList,ROWS($A$6:A145)))</f>
        <v/>
      </c>
      <c r="W145" s="2646" t="str">
        <f ca="1">IF(ISERROR(INDEX(AssetDecomList,ROWS($A$6:A145))),
IF(ISERROR(INDEX(AssetDecomVIPs,ROWS($A$6:A145)-ROWS(AssetDecomList))),"",INDEX(AssetDecomVIPs,ROWS($A$6:A145)-ROWS(AssetDecomList))),
INDEX(AssetDecomList,ROWS($A$6:A145)))</f>
        <v/>
      </c>
      <c r="Y145" s="2976" t="s">
        <v>1782</v>
      </c>
      <c r="Z145" s="2976" t="s">
        <v>5305</v>
      </c>
      <c r="AA145" s="2976">
        <v>1259</v>
      </c>
      <c r="AB145" s="2976" t="s">
        <v>5489</v>
      </c>
      <c r="AC145" s="2976" t="s">
        <v>5315</v>
      </c>
      <c r="AD145" s="2976" t="s">
        <v>5316</v>
      </c>
      <c r="AW145" s="931"/>
      <c r="AX145" s="931"/>
    </row>
    <row r="146" spans="1:50" ht="15">
      <c r="A146" s="1758" t="str">
        <f ca="1">IF(ISERROR(INDEX(IPList,ROWS($A$6:A146))),
         IF(ISERROR(INDEX(VIP_InstanceList,ROWS($A$6:A146)-ROWS(IPList))),
                IF(ISERROR(INDEX(GTMLIST,ROWS($A$6:A146)-(ROWS(IPList)+(ROWS(VIP_InstanceList))))),"",
                      INDEX(GTMLIST,ROWS($A$6:A146)-(ROWS(IPList)+(ROWS(VIP_InstanceList))))),
                                  INDEX(VIP_InstanceList,ROWS($A$6:A146)-ROWS(IPList))),
                                             INDEX(IPList,ROWS($A$6:A146)))</f>
        <v/>
      </c>
      <c r="W146" s="2646" t="str">
        <f ca="1">IF(ISERROR(INDEX(AssetDecomList,ROWS($A$6:A146))),
IF(ISERROR(INDEX(AssetDecomVIPs,ROWS($A$6:A146)-ROWS(AssetDecomList))),"",INDEX(AssetDecomVIPs,ROWS($A$6:A146)-ROWS(AssetDecomList))),
INDEX(AssetDecomList,ROWS($A$6:A146)))</f>
        <v/>
      </c>
      <c r="Y146" s="2976" t="s">
        <v>1782</v>
      </c>
      <c r="Z146" s="2976" t="s">
        <v>5306</v>
      </c>
      <c r="AA146" s="2976">
        <v>1259</v>
      </c>
      <c r="AB146" s="2976" t="s">
        <v>5489</v>
      </c>
      <c r="AC146" s="2976" t="s">
        <v>5315</v>
      </c>
      <c r="AD146" s="2976" t="s">
        <v>5316</v>
      </c>
      <c r="AW146" s="931"/>
      <c r="AX146" s="931"/>
    </row>
    <row r="147" spans="1:50" ht="15">
      <c r="A147" s="1758" t="str">
        <f ca="1">IF(ISERROR(INDEX(IPList,ROWS($A$6:A147))),
         IF(ISERROR(INDEX(VIP_InstanceList,ROWS($A$6:A147)-ROWS(IPList))),
                IF(ISERROR(INDEX(GTMLIST,ROWS($A$6:A147)-(ROWS(IPList)+(ROWS(VIP_InstanceList))))),"",
                      INDEX(GTMLIST,ROWS($A$6:A147)-(ROWS(IPList)+(ROWS(VIP_InstanceList))))),
                                  INDEX(VIP_InstanceList,ROWS($A$6:A147)-ROWS(IPList))),
                                             INDEX(IPList,ROWS($A$6:A147)))</f>
        <v/>
      </c>
      <c r="W147" s="2646" t="str">
        <f ca="1">IF(ISERROR(INDEX(AssetDecomList,ROWS($A$6:A147))),
IF(ISERROR(INDEX(AssetDecomVIPs,ROWS($A$6:A147)-ROWS(AssetDecomList))),"",INDEX(AssetDecomVIPs,ROWS($A$6:A147)-ROWS(AssetDecomList))),
INDEX(AssetDecomList,ROWS($A$6:A147)))</f>
        <v/>
      </c>
      <c r="Y147" s="2976" t="s">
        <v>1782</v>
      </c>
      <c r="Z147" s="2976" t="s">
        <v>5307</v>
      </c>
      <c r="AA147" s="2976">
        <v>1259</v>
      </c>
      <c r="AB147" s="2976" t="s">
        <v>5489</v>
      </c>
      <c r="AC147" s="2976" t="s">
        <v>5315</v>
      </c>
      <c r="AD147" s="2976" t="s">
        <v>5316</v>
      </c>
      <c r="AW147" s="931"/>
      <c r="AX147" s="931"/>
    </row>
    <row r="148" spans="1:50" ht="15">
      <c r="A148" s="1758" t="str">
        <f ca="1">IF(ISERROR(INDEX(IPList,ROWS($A$6:A148))),
         IF(ISERROR(INDEX(VIP_InstanceList,ROWS($A$6:A148)-ROWS(IPList))),
                IF(ISERROR(INDEX(GTMLIST,ROWS($A$6:A148)-(ROWS(IPList)+(ROWS(VIP_InstanceList))))),"",
                      INDEX(GTMLIST,ROWS($A$6:A148)-(ROWS(IPList)+(ROWS(VIP_InstanceList))))),
                                  INDEX(VIP_InstanceList,ROWS($A$6:A148)-ROWS(IPList))),
                                             INDEX(IPList,ROWS($A$6:A148)))</f>
        <v/>
      </c>
      <c r="W148" s="2646" t="str">
        <f ca="1">IF(ISERROR(INDEX(AssetDecomList,ROWS($A$6:A148))),
IF(ISERROR(INDEX(AssetDecomVIPs,ROWS($A$6:A148)-ROWS(AssetDecomList))),"",INDEX(AssetDecomVIPs,ROWS($A$6:A148)-ROWS(AssetDecomList))),
INDEX(AssetDecomList,ROWS($A$6:A148)))</f>
        <v/>
      </c>
      <c r="Y148" s="2976" t="s">
        <v>1782</v>
      </c>
      <c r="Z148" s="2976" t="s">
        <v>5308</v>
      </c>
      <c r="AA148" s="2976">
        <v>1259</v>
      </c>
      <c r="AB148" s="2976" t="s">
        <v>5489</v>
      </c>
      <c r="AC148" s="2976" t="s">
        <v>5315</v>
      </c>
      <c r="AD148" s="2976" t="s">
        <v>5316</v>
      </c>
      <c r="AW148" s="931"/>
      <c r="AX148" s="931"/>
    </row>
    <row r="149" spans="1:50" ht="15">
      <c r="A149" s="1758" t="str">
        <f ca="1">IF(ISERROR(INDEX(IPList,ROWS($A$6:A149))),
         IF(ISERROR(INDEX(VIP_InstanceList,ROWS($A$6:A149)-ROWS(IPList))),
                IF(ISERROR(INDEX(GTMLIST,ROWS($A$6:A149)-(ROWS(IPList)+(ROWS(VIP_InstanceList))))),"",
                      INDEX(GTMLIST,ROWS($A$6:A149)-(ROWS(IPList)+(ROWS(VIP_InstanceList))))),
                                  INDEX(VIP_InstanceList,ROWS($A$6:A149)-ROWS(IPList))),
                                             INDEX(IPList,ROWS($A$6:A149)))</f>
        <v/>
      </c>
      <c r="W149" s="2646" t="str">
        <f ca="1">IF(ISERROR(INDEX(AssetDecomList,ROWS($A$6:A149))),
IF(ISERROR(INDEX(AssetDecomVIPs,ROWS($A$6:A149)-ROWS(AssetDecomList))),"",INDEX(AssetDecomVIPs,ROWS($A$6:A149)-ROWS(AssetDecomList))),
INDEX(AssetDecomList,ROWS($A$6:A149)))</f>
        <v/>
      </c>
      <c r="Y149" s="2976" t="s">
        <v>1782</v>
      </c>
      <c r="Z149" s="2976" t="s">
        <v>5309</v>
      </c>
      <c r="AA149" s="2976">
        <v>1259</v>
      </c>
      <c r="AB149" s="2976" t="s">
        <v>5489</v>
      </c>
      <c r="AC149" s="2976" t="s">
        <v>5315</v>
      </c>
      <c r="AD149" s="2976" t="s">
        <v>5316</v>
      </c>
      <c r="AW149" s="931"/>
      <c r="AX149" s="931"/>
    </row>
    <row r="150" spans="1:50" ht="15">
      <c r="A150" s="1758" t="str">
        <f ca="1">IF(ISERROR(INDEX(IPList,ROWS($A$6:A150))),
         IF(ISERROR(INDEX(VIP_InstanceList,ROWS($A$6:A150)-ROWS(IPList))),
                IF(ISERROR(INDEX(GTMLIST,ROWS($A$6:A150)-(ROWS(IPList)+(ROWS(VIP_InstanceList))))),"",
                      INDEX(GTMLIST,ROWS($A$6:A150)-(ROWS(IPList)+(ROWS(VIP_InstanceList))))),
                                  INDEX(VIP_InstanceList,ROWS($A$6:A150)-ROWS(IPList))),
                                             INDEX(IPList,ROWS($A$6:A150)))</f>
        <v/>
      </c>
      <c r="W150" s="2646" t="str">
        <f ca="1">IF(ISERROR(INDEX(AssetDecomList,ROWS($A$6:A150))),
IF(ISERROR(INDEX(AssetDecomVIPs,ROWS($A$6:A150)-ROWS(AssetDecomList))),"",INDEX(AssetDecomVIPs,ROWS($A$6:A150)-ROWS(AssetDecomList))),
INDEX(AssetDecomList,ROWS($A$6:A150)))</f>
        <v/>
      </c>
      <c r="Y150" s="2976" t="s">
        <v>1782</v>
      </c>
      <c r="Z150" s="2976" t="s">
        <v>5310</v>
      </c>
      <c r="AA150" s="2976">
        <v>1259</v>
      </c>
      <c r="AB150" s="2976" t="s">
        <v>5489</v>
      </c>
      <c r="AC150" s="2976" t="s">
        <v>5315</v>
      </c>
      <c r="AD150" s="2976" t="s">
        <v>5316</v>
      </c>
      <c r="AW150" s="931"/>
      <c r="AX150" s="931"/>
    </row>
    <row r="151" spans="1:50" ht="15">
      <c r="A151" s="1758" t="str">
        <f ca="1">IF(ISERROR(INDEX(IPList,ROWS($A$6:A151))),
         IF(ISERROR(INDEX(VIP_InstanceList,ROWS($A$6:A151)-ROWS(IPList))),
                IF(ISERROR(INDEX(GTMLIST,ROWS($A$6:A151)-(ROWS(IPList)+(ROWS(VIP_InstanceList))))),"",
                      INDEX(GTMLIST,ROWS($A$6:A151)-(ROWS(IPList)+(ROWS(VIP_InstanceList))))),
                                  INDEX(VIP_InstanceList,ROWS($A$6:A151)-ROWS(IPList))),
                                             INDEX(IPList,ROWS($A$6:A151)))</f>
        <v/>
      </c>
      <c r="W151" s="2646" t="str">
        <f ca="1">IF(ISERROR(INDEX(AssetDecomList,ROWS($A$6:A151))),
IF(ISERROR(INDEX(AssetDecomVIPs,ROWS($A$6:A151)-ROWS(AssetDecomList))),"",INDEX(AssetDecomVIPs,ROWS($A$6:A151)-ROWS(AssetDecomList))),
INDEX(AssetDecomList,ROWS($A$6:A151)))</f>
        <v/>
      </c>
      <c r="Y151" s="2976" t="s">
        <v>1782</v>
      </c>
      <c r="Z151" s="2976" t="s">
        <v>5311</v>
      </c>
      <c r="AA151" s="2976">
        <v>1259</v>
      </c>
      <c r="AB151" s="2976" t="s">
        <v>5489</v>
      </c>
      <c r="AC151" s="2976" t="s">
        <v>5315</v>
      </c>
      <c r="AD151" s="2976" t="s">
        <v>5316</v>
      </c>
      <c r="AW151" s="931"/>
      <c r="AX151" s="931"/>
    </row>
    <row r="152" spans="1:50" ht="15">
      <c r="A152" s="1758" t="str">
        <f ca="1">IF(ISERROR(INDEX(IPList,ROWS($A$6:A152))),
         IF(ISERROR(INDEX(VIP_InstanceList,ROWS($A$6:A152)-ROWS(IPList))),
                IF(ISERROR(INDEX(GTMLIST,ROWS($A$6:A152)-(ROWS(IPList)+(ROWS(VIP_InstanceList))))),"",
                      INDEX(GTMLIST,ROWS($A$6:A152)-(ROWS(IPList)+(ROWS(VIP_InstanceList))))),
                                  INDEX(VIP_InstanceList,ROWS($A$6:A152)-ROWS(IPList))),
                                             INDEX(IPList,ROWS($A$6:A152)))</f>
        <v/>
      </c>
      <c r="W152" s="2646" t="str">
        <f ca="1">IF(ISERROR(INDEX(AssetDecomList,ROWS($A$6:A152))),
IF(ISERROR(INDEX(AssetDecomVIPs,ROWS($A$6:A152)-ROWS(AssetDecomList))),"",INDEX(AssetDecomVIPs,ROWS($A$6:A152)-ROWS(AssetDecomList))),
INDEX(AssetDecomList,ROWS($A$6:A152)))</f>
        <v/>
      </c>
      <c r="Y152" s="2976" t="s">
        <v>1782</v>
      </c>
      <c r="Z152" s="2976" t="s">
        <v>5312</v>
      </c>
      <c r="AA152" s="2976">
        <v>1259</v>
      </c>
      <c r="AB152" s="2976" t="s">
        <v>5489</v>
      </c>
      <c r="AC152" s="2976" t="s">
        <v>5315</v>
      </c>
      <c r="AD152" s="2976" t="s">
        <v>5316</v>
      </c>
      <c r="AW152" s="931"/>
      <c r="AX152" s="931"/>
    </row>
    <row r="153" spans="1:50" ht="15">
      <c r="A153" s="1758" t="str">
        <f ca="1">IF(ISERROR(INDEX(IPList,ROWS($A$6:A153))),
         IF(ISERROR(INDEX(VIP_InstanceList,ROWS($A$6:A153)-ROWS(IPList))),
                IF(ISERROR(INDEX(GTMLIST,ROWS($A$6:A153)-(ROWS(IPList)+(ROWS(VIP_InstanceList))))),"",
                      INDEX(GTMLIST,ROWS($A$6:A153)-(ROWS(IPList)+(ROWS(VIP_InstanceList))))),
                                  INDEX(VIP_InstanceList,ROWS($A$6:A153)-ROWS(IPList))),
                                             INDEX(IPList,ROWS($A$6:A153)))</f>
        <v/>
      </c>
      <c r="W153" s="2646" t="str">
        <f ca="1">IF(ISERROR(INDEX(AssetDecomList,ROWS($A$6:A153))),
IF(ISERROR(INDEX(AssetDecomVIPs,ROWS($A$6:A153)-ROWS(AssetDecomList))),"",INDEX(AssetDecomVIPs,ROWS($A$6:A153)-ROWS(AssetDecomList))),
INDEX(AssetDecomList,ROWS($A$6:A153)))</f>
        <v/>
      </c>
      <c r="Y153" s="2976" t="s">
        <v>1782</v>
      </c>
      <c r="Z153" s="2976" t="s">
        <v>5313</v>
      </c>
      <c r="AA153" s="2976">
        <v>1259</v>
      </c>
      <c r="AB153" s="2976" t="s">
        <v>5489</v>
      </c>
      <c r="AC153" s="2976" t="s">
        <v>5315</v>
      </c>
      <c r="AD153" s="2976" t="s">
        <v>5316</v>
      </c>
      <c r="AW153" s="931"/>
      <c r="AX153" s="931"/>
    </row>
    <row r="154" spans="1:50" ht="15">
      <c r="A154" s="1758" t="str">
        <f ca="1">IF(ISERROR(INDEX(IPList,ROWS($A$6:A154))),
         IF(ISERROR(INDEX(VIP_InstanceList,ROWS($A$6:A154)-ROWS(IPList))),
                IF(ISERROR(INDEX(GTMLIST,ROWS($A$6:A154)-(ROWS(IPList)+(ROWS(VIP_InstanceList))))),"",
                      INDEX(GTMLIST,ROWS($A$6:A154)-(ROWS(IPList)+(ROWS(VIP_InstanceList))))),
                                  INDEX(VIP_InstanceList,ROWS($A$6:A154)-ROWS(IPList))),
                                             INDEX(IPList,ROWS($A$6:A154)))</f>
        <v/>
      </c>
      <c r="W154" s="2646" t="str">
        <f ca="1">IF(ISERROR(INDEX(AssetDecomList,ROWS($A$6:A154))),
IF(ISERROR(INDEX(AssetDecomVIPs,ROWS($A$6:A154)-ROWS(AssetDecomList))),"",INDEX(AssetDecomVIPs,ROWS($A$6:A154)-ROWS(AssetDecomList))),
INDEX(AssetDecomList,ROWS($A$6:A154)))</f>
        <v/>
      </c>
      <c r="Y154" s="2976" t="s">
        <v>1782</v>
      </c>
      <c r="Z154" s="2976" t="s">
        <v>5314</v>
      </c>
      <c r="AA154" s="2976">
        <v>1259</v>
      </c>
      <c r="AB154" s="2976" t="s">
        <v>5489</v>
      </c>
      <c r="AC154" s="2976" t="s">
        <v>5315</v>
      </c>
      <c r="AD154" s="2976" t="s">
        <v>5316</v>
      </c>
      <c r="AW154" s="931"/>
      <c r="AX154" s="931"/>
    </row>
    <row r="155" spans="1:50" ht="15">
      <c r="A155" s="1758" t="str">
        <f ca="1">IF(ISERROR(INDEX(IPList,ROWS($A$6:A155))),
         IF(ISERROR(INDEX(VIP_InstanceList,ROWS($A$6:A155)-ROWS(IPList))),
                IF(ISERROR(INDEX(GTMLIST,ROWS($A$6:A155)-(ROWS(IPList)+(ROWS(VIP_InstanceList))))),"",
                      INDEX(GTMLIST,ROWS($A$6:A155)-(ROWS(IPList)+(ROWS(VIP_InstanceList))))),
                                  INDEX(VIP_InstanceList,ROWS($A$6:A155)-ROWS(IPList))),
                                             INDEX(IPList,ROWS($A$6:A155)))</f>
        <v/>
      </c>
      <c r="W155" s="2646" t="str">
        <f ca="1">IF(ISERROR(INDEX(AssetDecomList,ROWS($A$6:A155))),
IF(ISERROR(INDEX(AssetDecomVIPs,ROWS($A$6:A155)-ROWS(AssetDecomList))),"",INDEX(AssetDecomVIPs,ROWS($A$6:A155)-ROWS(AssetDecomList))),
INDEX(AssetDecomList,ROWS($A$6:A155)))</f>
        <v/>
      </c>
      <c r="Y155" s="2974"/>
      <c r="Z155" s="2975" t="s">
        <v>4761</v>
      </c>
      <c r="AA155" s="2974"/>
      <c r="AB155" s="2974"/>
      <c r="AC155" s="2974"/>
      <c r="AD155" s="2974"/>
      <c r="AW155" s="931"/>
      <c r="AX155" s="931"/>
    </row>
    <row r="156" spans="1:50">
      <c r="A156" s="1758" t="str">
        <f ca="1">IF(ISERROR(INDEX(IPList,ROWS($A$6:A156))),
         IF(ISERROR(INDEX(VIP_InstanceList,ROWS($A$6:A156)-ROWS(IPList))),
                IF(ISERROR(INDEX(GTMLIST,ROWS($A$6:A156)-(ROWS(IPList)+(ROWS(VIP_InstanceList))))),"",
                      INDEX(GTMLIST,ROWS($A$6:A156)-(ROWS(IPList)+(ROWS(VIP_InstanceList))))),
                                  INDEX(VIP_InstanceList,ROWS($A$6:A156)-ROWS(IPList))),
                                             INDEX(IPList,ROWS($A$6:A156)))</f>
        <v/>
      </c>
      <c r="W156" s="2646" t="str">
        <f ca="1">IF(ISERROR(INDEX(AssetDecomList,ROWS($A$6:A156))),
IF(ISERROR(INDEX(AssetDecomVIPs,ROWS($A$6:A156)-ROWS(AssetDecomList))),"",INDEX(AssetDecomVIPs,ROWS($A$6:A156)-ROWS(AssetDecomList))),
INDEX(AssetDecomList,ROWS($A$6:A156)))</f>
        <v/>
      </c>
      <c r="Y156" s="1927" t="s">
        <v>1782</v>
      </c>
      <c r="Z156" s="1927" t="s">
        <v>261</v>
      </c>
      <c r="AA156" s="1927">
        <v>1748</v>
      </c>
      <c r="AB156" s="1927" t="s">
        <v>201</v>
      </c>
      <c r="AC156" s="1927" t="s">
        <v>202</v>
      </c>
      <c r="AD156" s="1927" t="s">
        <v>1357</v>
      </c>
      <c r="AW156" s="931"/>
      <c r="AX156" s="931"/>
    </row>
    <row r="157" spans="1:50">
      <c r="A157" s="1758" t="str">
        <f ca="1">IF(ISERROR(INDEX(IPList,ROWS($A$6:A157))),
         IF(ISERROR(INDEX(VIP_InstanceList,ROWS($A$6:A157)-ROWS(IPList))),
                IF(ISERROR(INDEX(GTMLIST,ROWS($A$6:A157)-(ROWS(IPList)+(ROWS(VIP_InstanceList))))),"",
                      INDEX(GTMLIST,ROWS($A$6:A157)-(ROWS(IPList)+(ROWS(VIP_InstanceList))))),
                                  INDEX(VIP_InstanceList,ROWS($A$6:A157)-ROWS(IPList))),
                                             INDEX(IPList,ROWS($A$6:A157)))</f>
        <v/>
      </c>
      <c r="W157" s="2646" t="str">
        <f ca="1">IF(ISERROR(INDEX(AssetDecomList,ROWS($A$6:A157))),
IF(ISERROR(INDEX(AssetDecomVIPs,ROWS($A$6:A157)-ROWS(AssetDecomList))),"",INDEX(AssetDecomVIPs,ROWS($A$6:A157)-ROWS(AssetDecomList))),
INDEX(AssetDecomList,ROWS($A$6:A157)))</f>
        <v/>
      </c>
      <c r="Y157" s="1927" t="s">
        <v>1782</v>
      </c>
      <c r="Z157" s="1927" t="s">
        <v>260</v>
      </c>
      <c r="AA157" s="1927">
        <v>1749</v>
      </c>
      <c r="AB157" s="1927" t="s">
        <v>203</v>
      </c>
      <c r="AC157" s="1927" t="s">
        <v>145</v>
      </c>
      <c r="AD157" s="1927" t="s">
        <v>2435</v>
      </c>
      <c r="AW157" s="931"/>
      <c r="AX157" s="931"/>
    </row>
    <row r="158" spans="1:50">
      <c r="A158" s="1758" t="str">
        <f ca="1">IF(ISERROR(INDEX(IPList,ROWS($A$6:A158))),
         IF(ISERROR(INDEX(VIP_InstanceList,ROWS($A$6:A158)-ROWS(IPList))),
                IF(ISERROR(INDEX(GTMLIST,ROWS($A$6:A158)-(ROWS(IPList)+(ROWS(VIP_InstanceList))))),"",
                      INDEX(GTMLIST,ROWS($A$6:A158)-(ROWS(IPList)+(ROWS(VIP_InstanceList))))),
                                  INDEX(VIP_InstanceList,ROWS($A$6:A158)-ROWS(IPList))),
                                             INDEX(IPList,ROWS($A$6:A158)))</f>
        <v/>
      </c>
      <c r="W158" s="2646" t="str">
        <f ca="1">IF(ISERROR(INDEX(AssetDecomList,ROWS($A$6:A158))),
IF(ISERROR(INDEX(AssetDecomVIPs,ROWS($A$6:A158)-ROWS(AssetDecomList))),"",INDEX(AssetDecomVIPs,ROWS($A$6:A158)-ROWS(AssetDecomList))),
INDEX(AssetDecomList,ROWS($A$6:A158)))</f>
        <v/>
      </c>
      <c r="Y158" s="1927" t="s">
        <v>1782</v>
      </c>
      <c r="Z158" s="1927" t="s">
        <v>204</v>
      </c>
      <c r="AA158" s="1927">
        <v>1750</v>
      </c>
      <c r="AB158" s="1927" t="s">
        <v>4762</v>
      </c>
      <c r="AC158" s="1927" t="s">
        <v>205</v>
      </c>
      <c r="AD158" s="1927" t="s">
        <v>206</v>
      </c>
      <c r="AW158" s="931"/>
      <c r="AX158" s="931"/>
    </row>
    <row r="159" spans="1:50">
      <c r="A159" s="1758" t="str">
        <f ca="1">IF(ISERROR(INDEX(IPList,ROWS($A$6:A159))),
         IF(ISERROR(INDEX(VIP_InstanceList,ROWS($A$6:A159)-ROWS(IPList))),
                IF(ISERROR(INDEX(GTMLIST,ROWS($A$6:A159)-(ROWS(IPList)+(ROWS(VIP_InstanceList))))),"",
                      INDEX(GTMLIST,ROWS($A$6:A159)-(ROWS(IPList)+(ROWS(VIP_InstanceList))))),
                                  INDEX(VIP_InstanceList,ROWS($A$6:A159)-ROWS(IPList))),
                                             INDEX(IPList,ROWS($A$6:A159)))</f>
        <v/>
      </c>
      <c r="W159" s="2646" t="str">
        <f ca="1">IF(ISERROR(INDEX(AssetDecomList,ROWS($A$6:A159))),
IF(ISERROR(INDEX(AssetDecomVIPs,ROWS($A$6:A159)-ROWS(AssetDecomList))),"",INDEX(AssetDecomVIPs,ROWS($A$6:A159)-ROWS(AssetDecomList))),
INDEX(AssetDecomList,ROWS($A$6:A159)))</f>
        <v/>
      </c>
      <c r="Y159" s="1927" t="s">
        <v>1782</v>
      </c>
      <c r="Z159" s="1927" t="s">
        <v>207</v>
      </c>
      <c r="AA159" s="1927">
        <v>1751</v>
      </c>
      <c r="AB159" s="1927" t="s">
        <v>207</v>
      </c>
      <c r="AC159" s="1927" t="s">
        <v>208</v>
      </c>
      <c r="AD159" s="1927" t="s">
        <v>209</v>
      </c>
      <c r="AW159" s="931"/>
      <c r="AX159" s="931"/>
    </row>
    <row r="160" spans="1:50">
      <c r="A160" s="1758" t="str">
        <f ca="1">IF(ISERROR(INDEX(IPList,ROWS($A$6:A160))),
         IF(ISERROR(INDEX(VIP_InstanceList,ROWS($A$6:A160)-ROWS(IPList))),
                IF(ISERROR(INDEX(GTMLIST,ROWS($A$6:A160)-(ROWS(IPList)+(ROWS(VIP_InstanceList))))),"",
                      INDEX(GTMLIST,ROWS($A$6:A160)-(ROWS(IPList)+(ROWS(VIP_InstanceList))))),
                                  INDEX(VIP_InstanceList,ROWS($A$6:A160)-ROWS(IPList))),
                                             INDEX(IPList,ROWS($A$6:A160)))</f>
        <v/>
      </c>
      <c r="W160" s="2646" t="str">
        <f ca="1">IF(ISERROR(INDEX(AssetDecomList,ROWS($A$6:A160))),
IF(ISERROR(INDEX(AssetDecomVIPs,ROWS($A$6:A160)-ROWS(AssetDecomList))),"",INDEX(AssetDecomVIPs,ROWS($A$6:A160)-ROWS(AssetDecomList))),
INDEX(AssetDecomList,ROWS($A$6:A160)))</f>
        <v/>
      </c>
      <c r="Y160" s="1927" t="s">
        <v>1782</v>
      </c>
      <c r="Z160" s="1927" t="s">
        <v>210</v>
      </c>
      <c r="AA160" s="1927">
        <v>1752</v>
      </c>
      <c r="AB160" s="1927" t="s">
        <v>210</v>
      </c>
      <c r="AC160" s="1927" t="s">
        <v>211</v>
      </c>
      <c r="AD160" s="1927" t="s">
        <v>212</v>
      </c>
      <c r="AW160" s="931"/>
      <c r="AX160" s="931"/>
    </row>
    <row r="161" spans="1:50" ht="15">
      <c r="A161" s="1758" t="str">
        <f ca="1">IF(ISERROR(INDEX(IPList,ROWS($A$6:A161))),
         IF(ISERROR(INDEX(VIP_InstanceList,ROWS($A$6:A161)-ROWS(IPList))),
                IF(ISERROR(INDEX(GTMLIST,ROWS($A$6:A161)-(ROWS(IPList)+(ROWS(VIP_InstanceList))))),"",
                      INDEX(GTMLIST,ROWS($A$6:A161)-(ROWS(IPList)+(ROWS(VIP_InstanceList))))),
                                  INDEX(VIP_InstanceList,ROWS($A$6:A161)-ROWS(IPList))),
                                             INDEX(IPList,ROWS($A$6:A161)))</f>
        <v/>
      </c>
      <c r="W161" s="2646" t="str">
        <f ca="1">IF(ISERROR(INDEX(AssetDecomList,ROWS($A$6:A161))),
IF(ISERROR(INDEX(AssetDecomVIPs,ROWS($A$6:A161)-ROWS(AssetDecomList))),"",INDEX(AssetDecomVIPs,ROWS($A$6:A161)-ROWS(AssetDecomList))),
INDEX(AssetDecomList,ROWS($A$6:A161)))</f>
        <v/>
      </c>
      <c r="Y161" s="2974"/>
      <c r="Z161" s="2975" t="s">
        <v>1285</v>
      </c>
      <c r="AA161" s="2974"/>
      <c r="AB161" s="2974"/>
      <c r="AC161" s="2974"/>
      <c r="AD161" s="2974"/>
      <c r="AW161" s="931"/>
      <c r="AX161" s="931"/>
    </row>
    <row r="162" spans="1:50">
      <c r="A162" s="1758" t="str">
        <f ca="1">IF(ISERROR(INDEX(IPList,ROWS($A$6:A162))),
         IF(ISERROR(INDEX(VIP_InstanceList,ROWS($A$6:A162)-ROWS(IPList))),
                IF(ISERROR(INDEX(GTMLIST,ROWS($A$6:A162)-(ROWS(IPList)+(ROWS(VIP_InstanceList))))),"",
                      INDEX(GTMLIST,ROWS($A$6:A162)-(ROWS(IPList)+(ROWS(VIP_InstanceList))))),
                                  INDEX(VIP_InstanceList,ROWS($A$6:A162)-ROWS(IPList))),
                                             INDEX(IPList,ROWS($A$6:A162)))</f>
        <v/>
      </c>
      <c r="W162" s="2646" t="str">
        <f ca="1">IF(ISERROR(INDEX(AssetDecomList,ROWS($A$6:A162))),
IF(ISERROR(INDEX(AssetDecomVIPs,ROWS($A$6:A162)-ROWS(AssetDecomList))),"",INDEX(AssetDecomVIPs,ROWS($A$6:A162)-ROWS(AssetDecomList))),
INDEX(AssetDecomList,ROWS($A$6:A162)))</f>
        <v/>
      </c>
      <c r="Y162" s="1927" t="s">
        <v>1782</v>
      </c>
      <c r="Z162" s="1927" t="s">
        <v>2454</v>
      </c>
      <c r="AA162" s="1927">
        <v>1760</v>
      </c>
      <c r="AB162" s="1927" t="s">
        <v>265</v>
      </c>
      <c r="AC162" s="1927" t="s">
        <v>144</v>
      </c>
      <c r="AD162" s="1927" t="s">
        <v>215</v>
      </c>
      <c r="AW162" s="931"/>
      <c r="AX162" s="931"/>
    </row>
    <row r="163" spans="1:50">
      <c r="A163" s="1758" t="str">
        <f ca="1">IF(ISERROR(INDEX(IPList,ROWS($A$6:A163))),
         IF(ISERROR(INDEX(VIP_InstanceList,ROWS($A$6:A163)-ROWS(IPList))),
                IF(ISERROR(INDEX(GTMLIST,ROWS($A$6:A163)-(ROWS(IPList)+(ROWS(VIP_InstanceList))))),"",
                      INDEX(GTMLIST,ROWS($A$6:A163)-(ROWS(IPList)+(ROWS(VIP_InstanceList))))),
                                  INDEX(VIP_InstanceList,ROWS($A$6:A163)-ROWS(IPList))),
                                             INDEX(IPList,ROWS($A$6:A163)))</f>
        <v/>
      </c>
      <c r="W163" s="2646" t="str">
        <f ca="1">IF(ISERROR(INDEX(AssetDecomList,ROWS($A$6:A163))),
IF(ISERROR(INDEX(AssetDecomVIPs,ROWS($A$6:A163)-ROWS(AssetDecomList))),"",INDEX(AssetDecomVIPs,ROWS($A$6:A163)-ROWS(AssetDecomList))),
INDEX(AssetDecomList,ROWS($A$6:A163)))</f>
        <v/>
      </c>
      <c r="Y163" s="1927" t="s">
        <v>1782</v>
      </c>
      <c r="Z163" s="1927" t="s">
        <v>263</v>
      </c>
      <c r="AA163" s="1927">
        <v>1760</v>
      </c>
      <c r="AB163" s="1927" t="s">
        <v>265</v>
      </c>
      <c r="AC163" s="1927" t="s">
        <v>144</v>
      </c>
      <c r="AD163" s="1927" t="s">
        <v>215</v>
      </c>
      <c r="AW163" s="931"/>
      <c r="AX163" s="931"/>
    </row>
    <row r="164" spans="1:50">
      <c r="A164" s="1758" t="str">
        <f ca="1">IF(ISERROR(INDEX(IPList,ROWS($A$6:A164))),
         IF(ISERROR(INDEX(VIP_InstanceList,ROWS($A$6:A164)-ROWS(IPList))),
                IF(ISERROR(INDEX(GTMLIST,ROWS($A$6:A164)-(ROWS(IPList)+(ROWS(VIP_InstanceList))))),"",
                      INDEX(GTMLIST,ROWS($A$6:A164)-(ROWS(IPList)+(ROWS(VIP_InstanceList))))),
                                  INDEX(VIP_InstanceList,ROWS($A$6:A164)-ROWS(IPList))),
                                             INDEX(IPList,ROWS($A$6:A164)))</f>
        <v/>
      </c>
      <c r="W164" s="2646" t="str">
        <f ca="1">IF(ISERROR(INDEX(AssetDecomList,ROWS($A$6:A164))),
IF(ISERROR(INDEX(AssetDecomVIPs,ROWS($A$6:A164)-ROWS(AssetDecomList))),"",INDEX(AssetDecomVIPs,ROWS($A$6:A164)-ROWS(AssetDecomList))),
INDEX(AssetDecomList,ROWS($A$6:A164)))</f>
        <v/>
      </c>
      <c r="Y164" s="1927" t="s">
        <v>1782</v>
      </c>
      <c r="Z164" s="1927" t="s">
        <v>4763</v>
      </c>
      <c r="AA164" s="1927">
        <v>1761</v>
      </c>
      <c r="AB164" s="1927" t="s">
        <v>264</v>
      </c>
      <c r="AC164" s="1927" t="s">
        <v>216</v>
      </c>
      <c r="AD164" s="1927" t="s">
        <v>217</v>
      </c>
      <c r="AW164" s="931"/>
      <c r="AX164" s="931"/>
    </row>
    <row r="165" spans="1:50">
      <c r="A165" s="1758" t="str">
        <f ca="1">IF(ISERROR(INDEX(IPList,ROWS($A$6:A165))),
         IF(ISERROR(INDEX(VIP_InstanceList,ROWS($A$6:A165)-ROWS(IPList))),
                IF(ISERROR(INDEX(GTMLIST,ROWS($A$6:A165)-(ROWS(IPList)+(ROWS(VIP_InstanceList))))),"",
                      INDEX(GTMLIST,ROWS($A$6:A165)-(ROWS(IPList)+(ROWS(VIP_InstanceList))))),
                                  INDEX(VIP_InstanceList,ROWS($A$6:A165)-ROWS(IPList))),
                                             INDEX(IPList,ROWS($A$6:A165)))</f>
        <v/>
      </c>
      <c r="W165" s="2646" t="str">
        <f ca="1">IF(ISERROR(INDEX(AssetDecomList,ROWS($A$6:A165))),
IF(ISERROR(INDEX(AssetDecomVIPs,ROWS($A$6:A165)-ROWS(AssetDecomList))),"",INDEX(AssetDecomVIPs,ROWS($A$6:A165)-ROWS(AssetDecomList))),
INDEX(AssetDecomList,ROWS($A$6:A165)))</f>
        <v/>
      </c>
      <c r="Y165" s="1927" t="s">
        <v>1782</v>
      </c>
      <c r="Z165" s="1927" t="s">
        <v>4764</v>
      </c>
      <c r="AA165" s="1927">
        <v>1761</v>
      </c>
      <c r="AB165" s="1927" t="s">
        <v>264</v>
      </c>
      <c r="AC165" s="1927" t="s">
        <v>216</v>
      </c>
      <c r="AD165" s="1927" t="s">
        <v>217</v>
      </c>
      <c r="AW165" s="931"/>
      <c r="AX165" s="931"/>
    </row>
    <row r="166" spans="1:50">
      <c r="A166" s="1758" t="str">
        <f ca="1">IF(ISERROR(INDEX(IPList,ROWS($A$6:A166))),
         IF(ISERROR(INDEX(VIP_InstanceList,ROWS($A$6:A166)-ROWS(IPList))),
                IF(ISERROR(INDEX(GTMLIST,ROWS($A$6:A166)-(ROWS(IPList)+(ROWS(VIP_InstanceList))))),"",
                      INDEX(GTMLIST,ROWS($A$6:A166)-(ROWS(IPList)+(ROWS(VIP_InstanceList))))),
                                  INDEX(VIP_InstanceList,ROWS($A$6:A166)-ROWS(IPList))),
                                             INDEX(IPList,ROWS($A$6:A166)))</f>
        <v/>
      </c>
      <c r="W166" s="2646" t="str">
        <f ca="1">IF(ISERROR(INDEX(AssetDecomList,ROWS($A$6:A166))),
IF(ISERROR(INDEX(AssetDecomVIPs,ROWS($A$6:A166)-ROWS(AssetDecomList))),"",INDEX(AssetDecomVIPs,ROWS($A$6:A166)-ROWS(AssetDecomList))),
INDEX(AssetDecomList,ROWS($A$6:A166)))</f>
        <v/>
      </c>
      <c r="Y166" s="1927" t="s">
        <v>1782</v>
      </c>
      <c r="Z166" s="1927" t="s">
        <v>4765</v>
      </c>
      <c r="AA166" s="1927">
        <v>1761</v>
      </c>
      <c r="AB166" s="1927" t="s">
        <v>264</v>
      </c>
      <c r="AC166" s="1927" t="s">
        <v>216</v>
      </c>
      <c r="AD166" s="1927" t="s">
        <v>217</v>
      </c>
      <c r="AW166" s="931"/>
      <c r="AX166" s="931"/>
    </row>
    <row r="167" spans="1:50">
      <c r="A167" s="1758" t="str">
        <f ca="1">IF(ISERROR(INDEX(IPList,ROWS($A$6:A167))),
         IF(ISERROR(INDEX(VIP_InstanceList,ROWS($A$6:A167)-ROWS(IPList))),
                IF(ISERROR(INDEX(GTMLIST,ROWS($A$6:A167)-(ROWS(IPList)+(ROWS(VIP_InstanceList))))),"",
                      INDEX(GTMLIST,ROWS($A$6:A167)-(ROWS(IPList)+(ROWS(VIP_InstanceList))))),
                                  INDEX(VIP_InstanceList,ROWS($A$6:A167)-ROWS(IPList))),
                                             INDEX(IPList,ROWS($A$6:A167)))</f>
        <v/>
      </c>
      <c r="W167" s="2646" t="str">
        <f ca="1">IF(ISERROR(INDEX(AssetDecomList,ROWS($A$6:A167))),
IF(ISERROR(INDEX(AssetDecomVIPs,ROWS($A$6:A167)-ROWS(AssetDecomList))),"",INDEX(AssetDecomVIPs,ROWS($A$6:A167)-ROWS(AssetDecomList))),
INDEX(AssetDecomList,ROWS($A$6:A167)))</f>
        <v/>
      </c>
      <c r="Y167" s="1927" t="s">
        <v>1782</v>
      </c>
      <c r="Z167" s="1927" t="s">
        <v>4766</v>
      </c>
      <c r="AA167" s="1927">
        <v>1761</v>
      </c>
      <c r="AB167" s="1927" t="s">
        <v>264</v>
      </c>
      <c r="AC167" s="1927" t="s">
        <v>216</v>
      </c>
      <c r="AD167" s="1927" t="s">
        <v>217</v>
      </c>
      <c r="AW167" s="931"/>
      <c r="AX167" s="931"/>
    </row>
    <row r="168" spans="1:50">
      <c r="A168" s="1758" t="str">
        <f ca="1">IF(ISERROR(INDEX(IPList,ROWS($A$6:A168))),
         IF(ISERROR(INDEX(VIP_InstanceList,ROWS($A$6:A168)-ROWS(IPList))),
                IF(ISERROR(INDEX(GTMLIST,ROWS($A$6:A168)-(ROWS(IPList)+(ROWS(VIP_InstanceList))))),"",
                      INDEX(GTMLIST,ROWS($A$6:A168)-(ROWS(IPList)+(ROWS(VIP_InstanceList))))),
                                  INDEX(VIP_InstanceList,ROWS($A$6:A168)-ROWS(IPList))),
                                             INDEX(IPList,ROWS($A$6:A168)))</f>
        <v/>
      </c>
      <c r="W168" s="2646" t="str">
        <f ca="1">IF(ISERROR(INDEX(AssetDecomList,ROWS($A$6:A168))),
IF(ISERROR(INDEX(AssetDecomVIPs,ROWS($A$6:A168)-ROWS(AssetDecomList))),"",INDEX(AssetDecomVIPs,ROWS($A$6:A168)-ROWS(AssetDecomList))),
INDEX(AssetDecomList,ROWS($A$6:A168)))</f>
        <v/>
      </c>
      <c r="Y168" s="1927" t="s">
        <v>1782</v>
      </c>
      <c r="Z168" s="1927" t="s">
        <v>4767</v>
      </c>
      <c r="AA168" s="1927">
        <v>1761</v>
      </c>
      <c r="AB168" s="1927" t="s">
        <v>264</v>
      </c>
      <c r="AC168" s="1927" t="s">
        <v>216</v>
      </c>
      <c r="AD168" s="1927" t="s">
        <v>217</v>
      </c>
      <c r="AW168" s="931"/>
      <c r="AX168" s="931"/>
    </row>
    <row r="169" spans="1:50">
      <c r="A169" s="1758" t="str">
        <f ca="1">IF(ISERROR(INDEX(IPList,ROWS($A$6:A169))),
         IF(ISERROR(INDEX(VIP_InstanceList,ROWS($A$6:A169)-ROWS(IPList))),
                IF(ISERROR(INDEX(GTMLIST,ROWS($A$6:A169)-(ROWS(IPList)+(ROWS(VIP_InstanceList))))),"",
                      INDEX(GTMLIST,ROWS($A$6:A169)-(ROWS(IPList)+(ROWS(VIP_InstanceList))))),
                                  INDEX(VIP_InstanceList,ROWS($A$6:A169)-ROWS(IPList))),
                                             INDEX(IPList,ROWS($A$6:A169)))</f>
        <v/>
      </c>
      <c r="W169" s="2646" t="str">
        <f ca="1">IF(ISERROR(INDEX(AssetDecomList,ROWS($A$6:A169))),
IF(ISERROR(INDEX(AssetDecomVIPs,ROWS($A$6:A169)-ROWS(AssetDecomList))),"",INDEX(AssetDecomVIPs,ROWS($A$6:A169)-ROWS(AssetDecomList))),
INDEX(AssetDecomList,ROWS($A$6:A169)))</f>
        <v/>
      </c>
      <c r="Y169" s="1927" t="s">
        <v>1782</v>
      </c>
      <c r="Z169" s="1927" t="s">
        <v>4768</v>
      </c>
      <c r="AA169" s="1927">
        <v>1761</v>
      </c>
      <c r="AB169" s="1927" t="s">
        <v>264</v>
      </c>
      <c r="AC169" s="1927" t="s">
        <v>216</v>
      </c>
      <c r="AD169" s="1927" t="s">
        <v>217</v>
      </c>
      <c r="AW169" s="931"/>
      <c r="AX169" s="931"/>
    </row>
    <row r="170" spans="1:50">
      <c r="A170" s="1758" t="str">
        <f ca="1">IF(ISERROR(INDEX(IPList,ROWS($A$6:A170))),
         IF(ISERROR(INDEX(VIP_InstanceList,ROWS($A$6:A170)-ROWS(IPList))),
                IF(ISERROR(INDEX(GTMLIST,ROWS($A$6:A170)-(ROWS(IPList)+(ROWS(VIP_InstanceList))))),"",
                      INDEX(GTMLIST,ROWS($A$6:A170)-(ROWS(IPList)+(ROWS(VIP_InstanceList))))),
                                  INDEX(VIP_InstanceList,ROWS($A$6:A170)-ROWS(IPList))),
                                             INDEX(IPList,ROWS($A$6:A170)))</f>
        <v/>
      </c>
      <c r="W170" s="2646" t="str">
        <f ca="1">IF(ISERROR(INDEX(AssetDecomList,ROWS($A$6:A170))),
IF(ISERROR(INDEX(AssetDecomVIPs,ROWS($A$6:A170)-ROWS(AssetDecomList))),"",INDEX(AssetDecomVIPs,ROWS($A$6:A170)-ROWS(AssetDecomList))),
INDEX(AssetDecomList,ROWS($A$6:A170)))</f>
        <v/>
      </c>
      <c r="Y170" s="1927" t="s">
        <v>1782</v>
      </c>
      <c r="Z170" s="1927" t="s">
        <v>4769</v>
      </c>
      <c r="AA170" s="1927">
        <v>1761</v>
      </c>
      <c r="AB170" s="1927" t="s">
        <v>264</v>
      </c>
      <c r="AC170" s="1927" t="s">
        <v>216</v>
      </c>
      <c r="AD170" s="1927" t="s">
        <v>217</v>
      </c>
      <c r="AW170" s="931"/>
      <c r="AX170" s="931"/>
    </row>
    <row r="171" spans="1:50">
      <c r="A171" s="1758" t="str">
        <f ca="1">IF(ISERROR(INDEX(IPList,ROWS($A$6:A171))),
         IF(ISERROR(INDEX(VIP_InstanceList,ROWS($A$6:A171)-ROWS(IPList))),
                IF(ISERROR(INDEX(GTMLIST,ROWS($A$6:A171)-(ROWS(IPList)+(ROWS(VIP_InstanceList))))),"",
                      INDEX(GTMLIST,ROWS($A$6:A171)-(ROWS(IPList)+(ROWS(VIP_InstanceList))))),
                                  INDEX(VIP_InstanceList,ROWS($A$6:A171)-ROWS(IPList))),
                                             INDEX(IPList,ROWS($A$6:A171)))</f>
        <v/>
      </c>
      <c r="W171" s="2646" t="str">
        <f ca="1">IF(ISERROR(INDEX(AssetDecomList,ROWS($A$6:A171))),
IF(ISERROR(INDEX(AssetDecomVIPs,ROWS($A$6:A171)-ROWS(AssetDecomList))),"",INDEX(AssetDecomVIPs,ROWS($A$6:A171)-ROWS(AssetDecomList))),
INDEX(AssetDecomList,ROWS($A$6:A171)))</f>
        <v/>
      </c>
      <c r="Y171" s="1927" t="s">
        <v>1782</v>
      </c>
      <c r="Z171" s="1927" t="s">
        <v>4770</v>
      </c>
      <c r="AA171" s="1927">
        <v>1761</v>
      </c>
      <c r="AB171" s="1927" t="s">
        <v>264</v>
      </c>
      <c r="AC171" s="1927" t="s">
        <v>216</v>
      </c>
      <c r="AD171" s="1927" t="s">
        <v>217</v>
      </c>
      <c r="AW171" s="931"/>
      <c r="AX171" s="931"/>
    </row>
    <row r="172" spans="1:50">
      <c r="A172" s="1758" t="str">
        <f ca="1">IF(ISERROR(INDEX(IPList,ROWS($A$6:A172))),
         IF(ISERROR(INDEX(VIP_InstanceList,ROWS($A$6:A172)-ROWS(IPList))),
                IF(ISERROR(INDEX(GTMLIST,ROWS($A$6:A172)-(ROWS(IPList)+(ROWS(VIP_InstanceList))))),"",
                      INDEX(GTMLIST,ROWS($A$6:A172)-(ROWS(IPList)+(ROWS(VIP_InstanceList))))),
                                  INDEX(VIP_InstanceList,ROWS($A$6:A172)-ROWS(IPList))),
                                             INDEX(IPList,ROWS($A$6:A172)))</f>
        <v/>
      </c>
      <c r="W172" s="2646" t="str">
        <f ca="1">IF(ISERROR(INDEX(AssetDecomList,ROWS($A$6:A172))),
IF(ISERROR(INDEX(AssetDecomVIPs,ROWS($A$6:A172)-ROWS(AssetDecomList))),"",INDEX(AssetDecomVIPs,ROWS($A$6:A172)-ROWS(AssetDecomList))),
INDEX(AssetDecomList,ROWS($A$6:A172)))</f>
        <v/>
      </c>
      <c r="Y172" s="1927" t="s">
        <v>1782</v>
      </c>
      <c r="Z172" s="3003" t="s">
        <v>5068</v>
      </c>
      <c r="AA172" s="1927">
        <v>1761</v>
      </c>
      <c r="AB172" s="1927" t="s">
        <v>264</v>
      </c>
      <c r="AC172" s="1927" t="s">
        <v>216</v>
      </c>
      <c r="AD172" s="1927" t="s">
        <v>217</v>
      </c>
      <c r="AW172" s="931"/>
      <c r="AX172" s="931"/>
    </row>
    <row r="173" spans="1:50">
      <c r="A173" s="1758" t="str">
        <f ca="1">IF(ISERROR(INDEX(IPList,ROWS($A$6:A173))),
         IF(ISERROR(INDEX(VIP_InstanceList,ROWS($A$6:A173)-ROWS(IPList))),
                IF(ISERROR(INDEX(GTMLIST,ROWS($A$6:A173)-(ROWS(IPList)+(ROWS(VIP_InstanceList))))),"",
                      INDEX(GTMLIST,ROWS($A$6:A173)-(ROWS(IPList)+(ROWS(VIP_InstanceList))))),
                                  INDEX(VIP_InstanceList,ROWS($A$6:A173)-ROWS(IPList))),
                                             INDEX(IPList,ROWS($A$6:A173)))</f>
        <v/>
      </c>
      <c r="W173" s="2646" t="str">
        <f ca="1">IF(ISERROR(INDEX(AssetDecomList,ROWS($A$6:A173))),
IF(ISERROR(INDEX(AssetDecomVIPs,ROWS($A$6:A173)-ROWS(AssetDecomList))),"",INDEX(AssetDecomVIPs,ROWS($A$6:A173)-ROWS(AssetDecomList))),
INDEX(AssetDecomList,ROWS($A$6:A173)))</f>
        <v/>
      </c>
      <c r="Y173" s="1927" t="s">
        <v>1782</v>
      </c>
      <c r="Z173" s="3003" t="s">
        <v>5069</v>
      </c>
      <c r="AA173" s="1927">
        <v>1761</v>
      </c>
      <c r="AB173" s="1927" t="s">
        <v>264</v>
      </c>
      <c r="AC173" s="1927" t="s">
        <v>216</v>
      </c>
      <c r="AD173" s="1927" t="s">
        <v>217</v>
      </c>
      <c r="AW173" s="931"/>
      <c r="AX173" s="931"/>
    </row>
    <row r="174" spans="1:50">
      <c r="A174" s="1758" t="str">
        <f ca="1">IF(ISERROR(INDEX(IPList,ROWS($A$6:A174))),
         IF(ISERROR(INDEX(VIP_InstanceList,ROWS($A$6:A174)-ROWS(IPList))),
                IF(ISERROR(INDEX(GTMLIST,ROWS($A$6:A174)-(ROWS(IPList)+(ROWS(VIP_InstanceList))))),"",
                      INDEX(GTMLIST,ROWS($A$6:A174)-(ROWS(IPList)+(ROWS(VIP_InstanceList))))),
                                  INDEX(VIP_InstanceList,ROWS($A$6:A174)-ROWS(IPList))),
                                             INDEX(IPList,ROWS($A$6:A174)))</f>
        <v/>
      </c>
      <c r="W174" s="2646" t="str">
        <f ca="1">IF(ISERROR(INDEX(AssetDecomList,ROWS($A$6:A174))),
IF(ISERROR(INDEX(AssetDecomVIPs,ROWS($A$6:A174)-ROWS(AssetDecomList))),"",INDEX(AssetDecomVIPs,ROWS($A$6:A174)-ROWS(AssetDecomList))),
INDEX(AssetDecomList,ROWS($A$6:A174)))</f>
        <v/>
      </c>
      <c r="Y174" s="1927" t="s">
        <v>1782</v>
      </c>
      <c r="Z174" s="3003" t="s">
        <v>5070</v>
      </c>
      <c r="AA174" s="1927">
        <v>1761</v>
      </c>
      <c r="AB174" s="1927" t="s">
        <v>264</v>
      </c>
      <c r="AC174" s="1927" t="s">
        <v>216</v>
      </c>
      <c r="AD174" s="1927" t="s">
        <v>217</v>
      </c>
      <c r="AW174" s="931"/>
      <c r="AX174" s="931"/>
    </row>
    <row r="175" spans="1:50">
      <c r="A175" s="1758" t="str">
        <f ca="1">IF(ISERROR(INDEX(IPList,ROWS($A$6:A175))),
         IF(ISERROR(INDEX(VIP_InstanceList,ROWS($A$6:A175)-ROWS(IPList))),
                IF(ISERROR(INDEX(GTMLIST,ROWS($A$6:A175)-(ROWS(IPList)+(ROWS(VIP_InstanceList))))),"",
                      INDEX(GTMLIST,ROWS($A$6:A175)-(ROWS(IPList)+(ROWS(VIP_InstanceList))))),
                                  INDEX(VIP_InstanceList,ROWS($A$6:A175)-ROWS(IPList))),
                                             INDEX(IPList,ROWS($A$6:A175)))</f>
        <v/>
      </c>
      <c r="W175" s="2646" t="str">
        <f ca="1">IF(ISERROR(INDEX(AssetDecomList,ROWS($A$6:A175))),
IF(ISERROR(INDEX(AssetDecomVIPs,ROWS($A$6:A175)-ROWS(AssetDecomList))),"",INDEX(AssetDecomVIPs,ROWS($A$6:A175)-ROWS(AssetDecomList))),
INDEX(AssetDecomList,ROWS($A$6:A175)))</f>
        <v/>
      </c>
      <c r="Y175" s="1927" t="s">
        <v>1782</v>
      </c>
      <c r="Z175" s="3003" t="s">
        <v>5071</v>
      </c>
      <c r="AA175" s="1927">
        <v>1761</v>
      </c>
      <c r="AB175" s="1927" t="s">
        <v>264</v>
      </c>
      <c r="AC175" s="1927" t="s">
        <v>216</v>
      </c>
      <c r="AD175" s="1927" t="s">
        <v>217</v>
      </c>
      <c r="AW175" s="931"/>
      <c r="AX175" s="931"/>
    </row>
    <row r="176" spans="1:50">
      <c r="A176" s="1758" t="str">
        <f ca="1">IF(ISERROR(INDEX(IPList,ROWS($A$6:A176))),
         IF(ISERROR(INDEX(VIP_InstanceList,ROWS($A$6:A176)-ROWS(IPList))),
                IF(ISERROR(INDEX(GTMLIST,ROWS($A$6:A176)-(ROWS(IPList)+(ROWS(VIP_InstanceList))))),"",
                      INDEX(GTMLIST,ROWS($A$6:A176)-(ROWS(IPList)+(ROWS(VIP_InstanceList))))),
                                  INDEX(VIP_InstanceList,ROWS($A$6:A176)-ROWS(IPList))),
                                             INDEX(IPList,ROWS($A$6:A176)))</f>
        <v/>
      </c>
      <c r="W176" s="2646" t="str">
        <f ca="1">IF(ISERROR(INDEX(AssetDecomList,ROWS($A$6:A176))),
IF(ISERROR(INDEX(AssetDecomVIPs,ROWS($A$6:A176)-ROWS(AssetDecomList))),"",INDEX(AssetDecomVIPs,ROWS($A$6:A176)-ROWS(AssetDecomList))),
INDEX(AssetDecomList,ROWS($A$6:A176)))</f>
        <v/>
      </c>
      <c r="Y176" s="1927" t="s">
        <v>1782</v>
      </c>
      <c r="Z176" s="3003" t="s">
        <v>5072</v>
      </c>
      <c r="AA176" s="1927">
        <v>1761</v>
      </c>
      <c r="AB176" s="1927" t="s">
        <v>264</v>
      </c>
      <c r="AC176" s="1927" t="s">
        <v>216</v>
      </c>
      <c r="AD176" s="1927" t="s">
        <v>217</v>
      </c>
      <c r="AW176" s="931"/>
      <c r="AX176" s="931"/>
    </row>
    <row r="177" spans="1:50">
      <c r="A177" s="1758" t="str">
        <f ca="1">IF(ISERROR(INDEX(IPList,ROWS($A$6:A177))),
         IF(ISERROR(INDEX(VIP_InstanceList,ROWS($A$6:A177)-ROWS(IPList))),
                IF(ISERROR(INDEX(GTMLIST,ROWS($A$6:A177)-(ROWS(IPList)+(ROWS(VIP_InstanceList))))),"",
                      INDEX(GTMLIST,ROWS($A$6:A177)-(ROWS(IPList)+(ROWS(VIP_InstanceList))))),
                                  INDEX(VIP_InstanceList,ROWS($A$6:A177)-ROWS(IPList))),
                                             INDEX(IPList,ROWS($A$6:A177)))</f>
        <v/>
      </c>
      <c r="W177" s="2646" t="str">
        <f ca="1">IF(ISERROR(INDEX(AssetDecomList,ROWS($A$6:A177))),
IF(ISERROR(INDEX(AssetDecomVIPs,ROWS($A$6:A177)-ROWS(AssetDecomList))),"",INDEX(AssetDecomVIPs,ROWS($A$6:A177)-ROWS(AssetDecomList))),
INDEX(AssetDecomList,ROWS($A$6:A177)))</f>
        <v/>
      </c>
      <c r="Y177" s="1927" t="s">
        <v>1782</v>
      </c>
      <c r="Z177" s="3003" t="s">
        <v>5073</v>
      </c>
      <c r="AA177" s="1927">
        <v>1761</v>
      </c>
      <c r="AB177" s="1927" t="s">
        <v>264</v>
      </c>
      <c r="AC177" s="1927" t="s">
        <v>216</v>
      </c>
      <c r="AD177" s="1927" t="s">
        <v>217</v>
      </c>
      <c r="AW177" s="931"/>
      <c r="AX177" s="931"/>
    </row>
    <row r="178" spans="1:50">
      <c r="A178" s="1758" t="str">
        <f ca="1">IF(ISERROR(INDEX(IPList,ROWS($A$6:A178))),
         IF(ISERROR(INDEX(VIP_InstanceList,ROWS($A$6:A178)-ROWS(IPList))),
                IF(ISERROR(INDEX(GTMLIST,ROWS($A$6:A178)-(ROWS(IPList)+(ROWS(VIP_InstanceList))))),"",
                      INDEX(GTMLIST,ROWS($A$6:A178)-(ROWS(IPList)+(ROWS(VIP_InstanceList))))),
                                  INDEX(VIP_InstanceList,ROWS($A$6:A178)-ROWS(IPList))),
                                             INDEX(IPList,ROWS($A$6:A178)))</f>
        <v/>
      </c>
      <c r="W178" s="2646" t="str">
        <f ca="1">IF(ISERROR(INDEX(AssetDecomList,ROWS($A$6:A178))),
IF(ISERROR(INDEX(AssetDecomVIPs,ROWS($A$6:A178)-ROWS(AssetDecomList))),"",INDEX(AssetDecomVIPs,ROWS($A$6:A178)-ROWS(AssetDecomList))),
INDEX(AssetDecomList,ROWS($A$6:A178)))</f>
        <v/>
      </c>
      <c r="Y178" s="1927" t="s">
        <v>1782</v>
      </c>
      <c r="Z178" s="3003" t="s">
        <v>5074</v>
      </c>
      <c r="AA178" s="1927">
        <v>1761</v>
      </c>
      <c r="AB178" s="1927" t="s">
        <v>264</v>
      </c>
      <c r="AC178" s="1927" t="s">
        <v>216</v>
      </c>
      <c r="AD178" s="1927" t="s">
        <v>217</v>
      </c>
      <c r="AW178" s="931"/>
      <c r="AX178" s="931"/>
    </row>
    <row r="179" spans="1:50">
      <c r="A179" s="1758" t="str">
        <f ca="1">IF(ISERROR(INDEX(IPList,ROWS($A$6:A179))),
         IF(ISERROR(INDEX(VIP_InstanceList,ROWS($A$6:A179)-ROWS(IPList))),
                IF(ISERROR(INDEX(GTMLIST,ROWS($A$6:A179)-(ROWS(IPList)+(ROWS(VIP_InstanceList))))),"",
                      INDEX(GTMLIST,ROWS($A$6:A179)-(ROWS(IPList)+(ROWS(VIP_InstanceList))))),
                                  INDEX(VIP_InstanceList,ROWS($A$6:A179)-ROWS(IPList))),
                                             INDEX(IPList,ROWS($A$6:A179)))</f>
        <v/>
      </c>
      <c r="W179" s="2646" t="str">
        <f ca="1">IF(ISERROR(INDEX(AssetDecomList,ROWS($A$6:A179))),
IF(ISERROR(INDEX(AssetDecomVIPs,ROWS($A$6:A179)-ROWS(AssetDecomList))),"",INDEX(AssetDecomVIPs,ROWS($A$6:A179)-ROWS(AssetDecomList))),
INDEX(AssetDecomList,ROWS($A$6:A179)))</f>
        <v/>
      </c>
      <c r="Y179" s="1927" t="s">
        <v>1782</v>
      </c>
      <c r="Z179" s="1927" t="s">
        <v>4771</v>
      </c>
      <c r="AA179" s="1927">
        <v>1795</v>
      </c>
      <c r="AB179" s="1927" t="s">
        <v>264</v>
      </c>
      <c r="AC179" s="1927" t="s">
        <v>2789</v>
      </c>
      <c r="AD179" s="1927" t="s">
        <v>2790</v>
      </c>
      <c r="AW179" s="931"/>
      <c r="AX179" s="931"/>
    </row>
    <row r="180" spans="1:50">
      <c r="A180" s="1758" t="str">
        <f ca="1">IF(ISERROR(INDEX(IPList,ROWS($A$6:A180))),
         IF(ISERROR(INDEX(VIP_InstanceList,ROWS($A$6:A180)-ROWS(IPList))),
                IF(ISERROR(INDEX(GTMLIST,ROWS($A$6:A180)-(ROWS(IPList)+(ROWS(VIP_InstanceList))))),"",
                      INDEX(GTMLIST,ROWS($A$6:A180)-(ROWS(IPList)+(ROWS(VIP_InstanceList))))),
                                  INDEX(VIP_InstanceList,ROWS($A$6:A180)-ROWS(IPList))),
                                             INDEX(IPList,ROWS($A$6:A180)))</f>
        <v/>
      </c>
      <c r="W180" s="2646" t="str">
        <f ca="1">IF(ISERROR(INDEX(AssetDecomList,ROWS($A$6:A180))),
IF(ISERROR(INDEX(AssetDecomVIPs,ROWS($A$6:A180)-ROWS(AssetDecomList))),"",INDEX(AssetDecomVIPs,ROWS($A$6:A180)-ROWS(AssetDecomList))),
INDEX(AssetDecomList,ROWS($A$6:A180)))</f>
        <v/>
      </c>
      <c r="Y180" s="1927" t="s">
        <v>1782</v>
      </c>
      <c r="Z180" s="1927" t="s">
        <v>4772</v>
      </c>
      <c r="AA180" s="1927">
        <v>1795</v>
      </c>
      <c r="AB180" s="1927" t="s">
        <v>264</v>
      </c>
      <c r="AC180" s="1927" t="s">
        <v>2789</v>
      </c>
      <c r="AD180" s="1927" t="s">
        <v>2790</v>
      </c>
      <c r="AW180" s="931"/>
      <c r="AX180" s="931"/>
    </row>
    <row r="181" spans="1:50">
      <c r="A181" s="1758" t="str">
        <f ca="1">IF(ISERROR(INDEX(IPList,ROWS($A$6:A181))),
         IF(ISERROR(INDEX(VIP_InstanceList,ROWS($A$6:A181)-ROWS(IPList))),
                IF(ISERROR(INDEX(GTMLIST,ROWS($A$6:A181)-(ROWS(IPList)+(ROWS(VIP_InstanceList))))),"",
                      INDEX(GTMLIST,ROWS($A$6:A181)-(ROWS(IPList)+(ROWS(VIP_InstanceList))))),
                                  INDEX(VIP_InstanceList,ROWS($A$6:A181)-ROWS(IPList))),
                                             INDEX(IPList,ROWS($A$6:A181)))</f>
        <v/>
      </c>
      <c r="W181" s="2646" t="str">
        <f ca="1">IF(ISERROR(INDEX(AssetDecomList,ROWS($A$6:A181))),
IF(ISERROR(INDEX(AssetDecomVIPs,ROWS($A$6:A181)-ROWS(AssetDecomList))),"",INDEX(AssetDecomVIPs,ROWS($A$6:A181)-ROWS(AssetDecomList))),
INDEX(AssetDecomList,ROWS($A$6:A181)))</f>
        <v/>
      </c>
      <c r="Y181" s="1927" t="s">
        <v>1782</v>
      </c>
      <c r="Z181" s="1927" t="s">
        <v>4773</v>
      </c>
      <c r="AA181" s="1927">
        <v>1795</v>
      </c>
      <c r="AB181" s="1927" t="s">
        <v>264</v>
      </c>
      <c r="AC181" s="1927" t="s">
        <v>2789</v>
      </c>
      <c r="AD181" s="1927" t="s">
        <v>2790</v>
      </c>
      <c r="AW181" s="931"/>
      <c r="AX181" s="931"/>
    </row>
    <row r="182" spans="1:50">
      <c r="A182" s="1758" t="str">
        <f ca="1">IF(ISERROR(INDEX(IPList,ROWS($A$6:A182))),
         IF(ISERROR(INDEX(VIP_InstanceList,ROWS($A$6:A182)-ROWS(IPList))),
                IF(ISERROR(INDEX(GTMLIST,ROWS($A$6:A182)-(ROWS(IPList)+(ROWS(VIP_InstanceList))))),"",
                      INDEX(GTMLIST,ROWS($A$6:A182)-(ROWS(IPList)+(ROWS(VIP_InstanceList))))),
                                  INDEX(VIP_InstanceList,ROWS($A$6:A182)-ROWS(IPList))),
                                             INDEX(IPList,ROWS($A$6:A182)))</f>
        <v/>
      </c>
      <c r="W182" s="2646" t="str">
        <f ca="1">IF(ISERROR(INDEX(AssetDecomList,ROWS($A$6:A182))),
IF(ISERROR(INDEX(AssetDecomVIPs,ROWS($A$6:A182)-ROWS(AssetDecomList))),"",INDEX(AssetDecomVIPs,ROWS($A$6:A182)-ROWS(AssetDecomList))),
INDEX(AssetDecomList,ROWS($A$6:A182)))</f>
        <v/>
      </c>
      <c r="Y182" s="1927" t="s">
        <v>1782</v>
      </c>
      <c r="Z182" s="1927" t="s">
        <v>4774</v>
      </c>
      <c r="AA182" s="1927">
        <v>1795</v>
      </c>
      <c r="AB182" s="1927" t="s">
        <v>264</v>
      </c>
      <c r="AC182" s="1927" t="s">
        <v>2789</v>
      </c>
      <c r="AD182" s="1927" t="s">
        <v>2790</v>
      </c>
      <c r="AW182" s="931"/>
      <c r="AX182" s="931"/>
    </row>
    <row r="183" spans="1:50">
      <c r="A183" s="1758" t="str">
        <f ca="1">IF(ISERROR(INDEX(IPList,ROWS($A$6:A183))),
         IF(ISERROR(INDEX(VIP_InstanceList,ROWS($A$6:A183)-ROWS(IPList))),
                IF(ISERROR(INDEX(GTMLIST,ROWS($A$6:A183)-(ROWS(IPList)+(ROWS(VIP_InstanceList))))),"",
                      INDEX(GTMLIST,ROWS($A$6:A183)-(ROWS(IPList)+(ROWS(VIP_InstanceList))))),
                                  INDEX(VIP_InstanceList,ROWS($A$6:A183)-ROWS(IPList))),
                                             INDEX(IPList,ROWS($A$6:A183)))</f>
        <v/>
      </c>
      <c r="W183" s="2646" t="str">
        <f ca="1">IF(ISERROR(INDEX(AssetDecomList,ROWS($A$6:A183))),
IF(ISERROR(INDEX(AssetDecomVIPs,ROWS($A$6:A183)-ROWS(AssetDecomList))),"",INDEX(AssetDecomVIPs,ROWS($A$6:A183)-ROWS(AssetDecomList))),
INDEX(AssetDecomList,ROWS($A$6:A183)))</f>
        <v/>
      </c>
      <c r="Y183" s="1927" t="s">
        <v>1782</v>
      </c>
      <c r="Z183" s="1927" t="s">
        <v>4775</v>
      </c>
      <c r="AA183" s="1927">
        <v>1795</v>
      </c>
      <c r="AB183" s="1927" t="s">
        <v>264</v>
      </c>
      <c r="AC183" s="1927" t="s">
        <v>2789</v>
      </c>
      <c r="AD183" s="1927" t="s">
        <v>2790</v>
      </c>
      <c r="AW183" s="931"/>
      <c r="AX183" s="931"/>
    </row>
    <row r="184" spans="1:50">
      <c r="A184" s="1758" t="str">
        <f ca="1">IF(ISERROR(INDEX(IPList,ROWS($A$6:A184))),
         IF(ISERROR(INDEX(VIP_InstanceList,ROWS($A$6:A184)-ROWS(IPList))),
                IF(ISERROR(INDEX(GTMLIST,ROWS($A$6:A184)-(ROWS(IPList)+(ROWS(VIP_InstanceList))))),"",
                      INDEX(GTMLIST,ROWS($A$6:A184)-(ROWS(IPList)+(ROWS(VIP_InstanceList))))),
                                  INDEX(VIP_InstanceList,ROWS($A$6:A184)-ROWS(IPList))),
                                             INDEX(IPList,ROWS($A$6:A184)))</f>
        <v/>
      </c>
      <c r="W184" s="2646" t="str">
        <f ca="1">IF(ISERROR(INDEX(AssetDecomList,ROWS($A$6:A184))),
IF(ISERROR(INDEX(AssetDecomVIPs,ROWS($A$6:A184)-ROWS(AssetDecomList))),"",INDEX(AssetDecomVIPs,ROWS($A$6:A184)-ROWS(AssetDecomList))),
INDEX(AssetDecomList,ROWS($A$6:A184)))</f>
        <v/>
      </c>
      <c r="Y184" s="1927" t="s">
        <v>1782</v>
      </c>
      <c r="Z184" s="1927" t="s">
        <v>4776</v>
      </c>
      <c r="AA184" s="1927">
        <v>1795</v>
      </c>
      <c r="AB184" s="1927" t="s">
        <v>264</v>
      </c>
      <c r="AC184" s="1927" t="s">
        <v>2789</v>
      </c>
      <c r="AD184" s="1927" t="s">
        <v>2790</v>
      </c>
      <c r="AW184" s="931"/>
      <c r="AX184" s="931"/>
    </row>
    <row r="185" spans="1:50">
      <c r="A185" s="1758" t="str">
        <f ca="1">IF(ISERROR(INDEX(IPList,ROWS($A$6:A185))),
         IF(ISERROR(INDEX(VIP_InstanceList,ROWS($A$6:A185)-ROWS(IPList))),
                IF(ISERROR(INDEX(GTMLIST,ROWS($A$6:A185)-(ROWS(IPList)+(ROWS(VIP_InstanceList))))),"",
                      INDEX(GTMLIST,ROWS($A$6:A185)-(ROWS(IPList)+(ROWS(VIP_InstanceList))))),
                                  INDEX(VIP_InstanceList,ROWS($A$6:A185)-ROWS(IPList))),
                                             INDEX(IPList,ROWS($A$6:A185)))</f>
        <v/>
      </c>
      <c r="W185" s="2646" t="str">
        <f ca="1">IF(ISERROR(INDEX(AssetDecomList,ROWS($A$6:A185))),
IF(ISERROR(INDEX(AssetDecomVIPs,ROWS($A$6:A185)-ROWS(AssetDecomList))),"",INDEX(AssetDecomVIPs,ROWS($A$6:A185)-ROWS(AssetDecomList))),
INDEX(AssetDecomList,ROWS($A$6:A185)))</f>
        <v/>
      </c>
      <c r="Y185" s="1927" t="s">
        <v>1782</v>
      </c>
      <c r="Z185" s="1927" t="s">
        <v>4777</v>
      </c>
      <c r="AA185" s="1927">
        <v>1795</v>
      </c>
      <c r="AB185" s="1927" t="s">
        <v>264</v>
      </c>
      <c r="AC185" s="1927" t="s">
        <v>2789</v>
      </c>
      <c r="AD185" s="1927" t="s">
        <v>2790</v>
      </c>
      <c r="AW185" s="931"/>
      <c r="AX185" s="931"/>
    </row>
    <row r="186" spans="1:50">
      <c r="A186" s="1758" t="str">
        <f ca="1">IF(ISERROR(INDEX(IPList,ROWS($A$6:A186))),
         IF(ISERROR(INDEX(VIP_InstanceList,ROWS($A$6:A186)-ROWS(IPList))),
                IF(ISERROR(INDEX(GTMLIST,ROWS($A$6:A186)-(ROWS(IPList)+(ROWS(VIP_InstanceList))))),"",
                      INDEX(GTMLIST,ROWS($A$6:A186)-(ROWS(IPList)+(ROWS(VIP_InstanceList))))),
                                  INDEX(VIP_InstanceList,ROWS($A$6:A186)-ROWS(IPList))),
                                             INDEX(IPList,ROWS($A$6:A186)))</f>
        <v/>
      </c>
      <c r="W186" s="2646" t="str">
        <f ca="1">IF(ISERROR(INDEX(AssetDecomList,ROWS($A$6:A186))),
IF(ISERROR(INDEX(AssetDecomVIPs,ROWS($A$6:A186)-ROWS(AssetDecomList))),"",INDEX(AssetDecomVIPs,ROWS($A$6:A186)-ROWS(AssetDecomList))),
INDEX(AssetDecomList,ROWS($A$6:A186)))</f>
        <v/>
      </c>
      <c r="Y186" s="1927" t="s">
        <v>1782</v>
      </c>
      <c r="Z186" s="1927" t="s">
        <v>4778</v>
      </c>
      <c r="AA186" s="1927">
        <v>1795</v>
      </c>
      <c r="AB186" s="1927" t="s">
        <v>264</v>
      </c>
      <c r="AC186" s="1927" t="s">
        <v>2789</v>
      </c>
      <c r="AD186" s="1927" t="s">
        <v>2790</v>
      </c>
      <c r="AW186" s="931"/>
      <c r="AX186" s="931"/>
    </row>
    <row r="187" spans="1:50">
      <c r="A187" s="1758" t="str">
        <f ca="1">IF(ISERROR(INDEX(IPList,ROWS($A$6:A187))),
         IF(ISERROR(INDEX(VIP_InstanceList,ROWS($A$6:A187)-ROWS(IPList))),
                IF(ISERROR(INDEX(GTMLIST,ROWS($A$6:A187)-(ROWS(IPList)+(ROWS(VIP_InstanceList))))),"",
                      INDEX(GTMLIST,ROWS($A$6:A187)-(ROWS(IPList)+(ROWS(VIP_InstanceList))))),
                                  INDEX(VIP_InstanceList,ROWS($A$6:A187)-ROWS(IPList))),
                                             INDEX(IPList,ROWS($A$6:A187)))</f>
        <v/>
      </c>
      <c r="W187" s="2646" t="str">
        <f ca="1">IF(ISERROR(INDEX(AssetDecomList,ROWS($A$6:A187))),
IF(ISERROR(INDEX(AssetDecomVIPs,ROWS($A$6:A187)-ROWS(AssetDecomList))),"",INDEX(AssetDecomVIPs,ROWS($A$6:A187)-ROWS(AssetDecomList))),
INDEX(AssetDecomList,ROWS($A$6:A187)))</f>
        <v/>
      </c>
      <c r="Y187" s="1927" t="s">
        <v>1782</v>
      </c>
      <c r="Z187" s="1927" t="s">
        <v>4779</v>
      </c>
      <c r="AA187" s="1927">
        <v>1795</v>
      </c>
      <c r="AB187" s="1927" t="s">
        <v>264</v>
      </c>
      <c r="AC187" s="1927" t="s">
        <v>2789</v>
      </c>
      <c r="AD187" s="1927" t="s">
        <v>2790</v>
      </c>
      <c r="AW187" s="931"/>
      <c r="AX187" s="931"/>
    </row>
    <row r="188" spans="1:50">
      <c r="A188" s="1758" t="str">
        <f ca="1">IF(ISERROR(INDEX(IPList,ROWS($A$6:A188))),
         IF(ISERROR(INDEX(VIP_InstanceList,ROWS($A$6:A188)-ROWS(IPList))),
                IF(ISERROR(INDEX(GTMLIST,ROWS($A$6:A188)-(ROWS(IPList)+(ROWS(VIP_InstanceList))))),"",
                      INDEX(GTMLIST,ROWS($A$6:A188)-(ROWS(IPList)+(ROWS(VIP_InstanceList))))),
                                  INDEX(VIP_InstanceList,ROWS($A$6:A188)-ROWS(IPList))),
                                             INDEX(IPList,ROWS($A$6:A188)))</f>
        <v/>
      </c>
      <c r="W188" s="2646" t="str">
        <f ca="1">IF(ISERROR(INDEX(AssetDecomList,ROWS($A$6:A188))),
IF(ISERROR(INDEX(AssetDecomVIPs,ROWS($A$6:A188)-ROWS(AssetDecomList))),"",INDEX(AssetDecomVIPs,ROWS($A$6:A188)-ROWS(AssetDecomList))),
INDEX(AssetDecomList,ROWS($A$6:A188)))</f>
        <v/>
      </c>
      <c r="Y188" s="1927" t="s">
        <v>1782</v>
      </c>
      <c r="Z188" s="1927" t="s">
        <v>4780</v>
      </c>
      <c r="AA188" s="1927">
        <v>1795</v>
      </c>
      <c r="AB188" s="1927" t="s">
        <v>264</v>
      </c>
      <c r="AC188" s="1927" t="s">
        <v>2789</v>
      </c>
      <c r="AD188" s="1927" t="s">
        <v>2790</v>
      </c>
      <c r="AW188" s="931"/>
      <c r="AX188" s="931"/>
    </row>
    <row r="189" spans="1:50">
      <c r="A189" s="1758" t="str">
        <f ca="1">IF(ISERROR(INDEX(IPList,ROWS($A$6:A189))),
         IF(ISERROR(INDEX(VIP_InstanceList,ROWS($A$6:A189)-ROWS(IPList))),
                IF(ISERROR(INDEX(GTMLIST,ROWS($A$6:A189)-(ROWS(IPList)+(ROWS(VIP_InstanceList))))),"",
                      INDEX(GTMLIST,ROWS($A$6:A189)-(ROWS(IPList)+(ROWS(VIP_InstanceList))))),
                                  INDEX(VIP_InstanceList,ROWS($A$6:A189)-ROWS(IPList))),
                                             INDEX(IPList,ROWS($A$6:A189)))</f>
        <v/>
      </c>
      <c r="W189" s="2646" t="str">
        <f ca="1">IF(ISERROR(INDEX(AssetDecomList,ROWS($A$6:A189))),
IF(ISERROR(INDEX(AssetDecomVIPs,ROWS($A$6:A189)-ROWS(AssetDecomList))),"",INDEX(AssetDecomVIPs,ROWS($A$6:A189)-ROWS(AssetDecomList))),
INDEX(AssetDecomList,ROWS($A$6:A189)))</f>
        <v/>
      </c>
      <c r="Y189" s="1927" t="s">
        <v>1782</v>
      </c>
      <c r="Z189" s="1927" t="s">
        <v>4781</v>
      </c>
      <c r="AA189" s="1927">
        <v>1795</v>
      </c>
      <c r="AB189" s="1927" t="s">
        <v>264</v>
      </c>
      <c r="AC189" s="1927" t="s">
        <v>2789</v>
      </c>
      <c r="AD189" s="1927" t="s">
        <v>2790</v>
      </c>
      <c r="AW189" s="931"/>
      <c r="AX189" s="931"/>
    </row>
    <row r="190" spans="1:50">
      <c r="A190" s="1758" t="str">
        <f ca="1">IF(ISERROR(INDEX(IPList,ROWS($A$6:A190))),
         IF(ISERROR(INDEX(VIP_InstanceList,ROWS($A$6:A190)-ROWS(IPList))),
                IF(ISERROR(INDEX(GTMLIST,ROWS($A$6:A190)-(ROWS(IPList)+(ROWS(VIP_InstanceList))))),"",
                      INDEX(GTMLIST,ROWS($A$6:A190)-(ROWS(IPList)+(ROWS(VIP_InstanceList))))),
                                  INDEX(VIP_InstanceList,ROWS($A$6:A190)-ROWS(IPList))),
                                             INDEX(IPList,ROWS($A$6:A190)))</f>
        <v/>
      </c>
      <c r="W190" s="2646" t="str">
        <f ca="1">IF(ISERROR(INDEX(AssetDecomList,ROWS($A$6:A190))),
IF(ISERROR(INDEX(AssetDecomVIPs,ROWS($A$6:A190)-ROWS(AssetDecomList))),"",INDEX(AssetDecomVIPs,ROWS($A$6:A190)-ROWS(AssetDecomList))),
INDEX(AssetDecomList,ROWS($A$6:A190)))</f>
        <v/>
      </c>
      <c r="Y190" s="1927" t="s">
        <v>1782</v>
      </c>
      <c r="Z190" s="1927" t="s">
        <v>4782</v>
      </c>
      <c r="AA190" s="1927">
        <v>1795</v>
      </c>
      <c r="AB190" s="1927" t="s">
        <v>264</v>
      </c>
      <c r="AC190" s="1927" t="s">
        <v>2789</v>
      </c>
      <c r="AD190" s="1927" t="s">
        <v>2790</v>
      </c>
      <c r="AW190" s="931"/>
      <c r="AX190" s="931"/>
    </row>
    <row r="191" spans="1:50">
      <c r="A191" s="1758" t="str">
        <f ca="1">IF(ISERROR(INDEX(IPList,ROWS($A$6:A191))),
         IF(ISERROR(INDEX(VIP_InstanceList,ROWS($A$6:A191)-ROWS(IPList))),
                IF(ISERROR(INDEX(GTMLIST,ROWS($A$6:A191)-(ROWS(IPList)+(ROWS(VIP_InstanceList))))),"",
                      INDEX(GTMLIST,ROWS($A$6:A191)-(ROWS(IPList)+(ROWS(VIP_InstanceList))))),
                                  INDEX(VIP_InstanceList,ROWS($A$6:A191)-ROWS(IPList))),
                                             INDEX(IPList,ROWS($A$6:A191)))</f>
        <v/>
      </c>
      <c r="W191" s="2646" t="str">
        <f ca="1">IF(ISERROR(INDEX(AssetDecomList,ROWS($A$6:A191))),
IF(ISERROR(INDEX(AssetDecomVIPs,ROWS($A$6:A191)-ROWS(AssetDecomList))),"",INDEX(AssetDecomVIPs,ROWS($A$6:A191)-ROWS(AssetDecomList))),
INDEX(AssetDecomList,ROWS($A$6:A191)))</f>
        <v/>
      </c>
      <c r="Y191" s="1927" t="s">
        <v>1782</v>
      </c>
      <c r="Z191" s="3003" t="s">
        <v>5034</v>
      </c>
      <c r="AA191" s="1927">
        <v>1795</v>
      </c>
      <c r="AB191" s="1927" t="s">
        <v>264</v>
      </c>
      <c r="AC191" s="1927" t="s">
        <v>2789</v>
      </c>
      <c r="AD191" s="1927" t="s">
        <v>2790</v>
      </c>
      <c r="AW191" s="931"/>
      <c r="AX191" s="931"/>
    </row>
    <row r="192" spans="1:50">
      <c r="A192" s="1758" t="str">
        <f ca="1">IF(ISERROR(INDEX(IPList,ROWS($A$6:A192))),
         IF(ISERROR(INDEX(VIP_InstanceList,ROWS($A$6:A192)-ROWS(IPList))),
                IF(ISERROR(INDEX(GTMLIST,ROWS($A$6:A192)-(ROWS(IPList)+(ROWS(VIP_InstanceList))))),"",
                      INDEX(GTMLIST,ROWS($A$6:A192)-(ROWS(IPList)+(ROWS(VIP_InstanceList))))),
                                  INDEX(VIP_InstanceList,ROWS($A$6:A192)-ROWS(IPList))),
                                             INDEX(IPList,ROWS($A$6:A192)))</f>
        <v/>
      </c>
      <c r="W192" s="2646" t="str">
        <f ca="1">IF(ISERROR(INDEX(AssetDecomList,ROWS($A$6:A192))),
IF(ISERROR(INDEX(AssetDecomVIPs,ROWS($A$6:A192)-ROWS(AssetDecomList))),"",INDEX(AssetDecomVIPs,ROWS($A$6:A192)-ROWS(AssetDecomList))),
INDEX(AssetDecomList,ROWS($A$6:A192)))</f>
        <v/>
      </c>
      <c r="Y192" s="1927" t="s">
        <v>1782</v>
      </c>
      <c r="Z192" s="3003" t="s">
        <v>5035</v>
      </c>
      <c r="AA192" s="1927">
        <v>1795</v>
      </c>
      <c r="AB192" s="1927" t="s">
        <v>264</v>
      </c>
      <c r="AC192" s="1927" t="s">
        <v>2789</v>
      </c>
      <c r="AD192" s="1927" t="s">
        <v>2790</v>
      </c>
      <c r="AW192" s="931"/>
      <c r="AX192" s="931"/>
    </row>
    <row r="193" spans="1:50">
      <c r="A193" s="1758" t="str">
        <f ca="1">IF(ISERROR(INDEX(IPList,ROWS($A$6:A193))),
         IF(ISERROR(INDEX(VIP_InstanceList,ROWS($A$6:A193)-ROWS(IPList))),
                IF(ISERROR(INDEX(GTMLIST,ROWS($A$6:A193)-(ROWS(IPList)+(ROWS(VIP_InstanceList))))),"",
                      INDEX(GTMLIST,ROWS($A$6:A193)-(ROWS(IPList)+(ROWS(VIP_InstanceList))))),
                                  INDEX(VIP_InstanceList,ROWS($A$6:A193)-ROWS(IPList))),
                                             INDEX(IPList,ROWS($A$6:A193)))</f>
        <v/>
      </c>
      <c r="W193" s="2646" t="str">
        <f ca="1">IF(ISERROR(INDEX(AssetDecomList,ROWS($A$6:A193))),
IF(ISERROR(INDEX(AssetDecomVIPs,ROWS($A$6:A193)-ROWS(AssetDecomList))),"",INDEX(AssetDecomVIPs,ROWS($A$6:A193)-ROWS(AssetDecomList))),
INDEX(AssetDecomList,ROWS($A$6:A193)))</f>
        <v/>
      </c>
      <c r="Y193" s="1927" t="s">
        <v>1782</v>
      </c>
      <c r="Z193" s="3003" t="s">
        <v>5045</v>
      </c>
      <c r="AA193" s="1927">
        <v>1795</v>
      </c>
      <c r="AB193" s="1927" t="s">
        <v>264</v>
      </c>
      <c r="AC193" s="1927" t="s">
        <v>2789</v>
      </c>
      <c r="AD193" s="1927" t="s">
        <v>2790</v>
      </c>
      <c r="AW193" s="931"/>
      <c r="AX193" s="931"/>
    </row>
    <row r="194" spans="1:50">
      <c r="A194" s="1758" t="str">
        <f ca="1">IF(ISERROR(INDEX(IPList,ROWS($A$6:A194))),
         IF(ISERROR(INDEX(VIP_InstanceList,ROWS($A$6:A194)-ROWS(IPList))),
                IF(ISERROR(INDEX(GTMLIST,ROWS($A$6:A194)-(ROWS(IPList)+(ROWS(VIP_InstanceList))))),"",
                      INDEX(GTMLIST,ROWS($A$6:A194)-(ROWS(IPList)+(ROWS(VIP_InstanceList))))),
                                  INDEX(VIP_InstanceList,ROWS($A$6:A194)-ROWS(IPList))),
                                             INDEX(IPList,ROWS($A$6:A194)))</f>
        <v/>
      </c>
      <c r="W194" s="2646" t="str">
        <f ca="1">IF(ISERROR(INDEX(AssetDecomList,ROWS($A$6:A194))),
IF(ISERROR(INDEX(AssetDecomVIPs,ROWS($A$6:A194)-ROWS(AssetDecomList))),"",INDEX(AssetDecomVIPs,ROWS($A$6:A194)-ROWS(AssetDecomList))),
INDEX(AssetDecomList,ROWS($A$6:A194)))</f>
        <v/>
      </c>
      <c r="Y194" s="1927" t="s">
        <v>1782</v>
      </c>
      <c r="Z194" s="1927" t="s">
        <v>4351</v>
      </c>
      <c r="AA194" s="1927">
        <v>1800</v>
      </c>
      <c r="AB194" s="1927" t="s">
        <v>264</v>
      </c>
      <c r="AC194" s="1927" t="s">
        <v>4352</v>
      </c>
      <c r="AD194" s="1927" t="s">
        <v>4353</v>
      </c>
      <c r="AW194" s="931"/>
      <c r="AX194" s="931"/>
    </row>
    <row r="195" spans="1:50">
      <c r="A195" s="1758" t="str">
        <f ca="1">IF(ISERROR(INDEX(IPList,ROWS($A$6:A195))),
         IF(ISERROR(INDEX(VIP_InstanceList,ROWS($A$6:A195)-ROWS(IPList))),
                IF(ISERROR(INDEX(GTMLIST,ROWS($A$6:A195)-(ROWS(IPList)+(ROWS(VIP_InstanceList))))),"",
                      INDEX(GTMLIST,ROWS($A$6:A195)-(ROWS(IPList)+(ROWS(VIP_InstanceList))))),
                                  INDEX(VIP_InstanceList,ROWS($A$6:A195)-ROWS(IPList))),
                                             INDEX(IPList,ROWS($A$6:A195)))</f>
        <v/>
      </c>
      <c r="W195" s="2646" t="str">
        <f ca="1">IF(ISERROR(INDEX(AssetDecomList,ROWS($A$6:A195))),
IF(ISERROR(INDEX(AssetDecomVIPs,ROWS($A$6:A195)-ROWS(AssetDecomList))),"",INDEX(AssetDecomVIPs,ROWS($A$6:A195)-ROWS(AssetDecomList))),
INDEX(AssetDecomList,ROWS($A$6:A195)))</f>
        <v/>
      </c>
      <c r="Y195" s="1927" t="s">
        <v>1782</v>
      </c>
      <c r="Z195" s="1927" t="s">
        <v>4354</v>
      </c>
      <c r="AA195" s="1927">
        <v>1800</v>
      </c>
      <c r="AB195" s="1927" t="s">
        <v>264</v>
      </c>
      <c r="AC195" s="1927" t="s">
        <v>4352</v>
      </c>
      <c r="AD195" s="1927" t="s">
        <v>4353</v>
      </c>
      <c r="AW195" s="931"/>
      <c r="AX195" s="931"/>
    </row>
    <row r="196" spans="1:50">
      <c r="A196" s="1758" t="str">
        <f ca="1">IF(ISERROR(INDEX(IPList,ROWS($A$6:A196))),
         IF(ISERROR(INDEX(VIP_InstanceList,ROWS($A$6:A196)-ROWS(IPList))),
                IF(ISERROR(INDEX(GTMLIST,ROWS($A$6:A196)-(ROWS(IPList)+(ROWS(VIP_InstanceList))))),"",
                      INDEX(GTMLIST,ROWS($A$6:A196)-(ROWS(IPList)+(ROWS(VIP_InstanceList))))),
                                  INDEX(VIP_InstanceList,ROWS($A$6:A196)-ROWS(IPList))),
                                             INDEX(IPList,ROWS($A$6:A196)))</f>
        <v/>
      </c>
      <c r="W196" s="2646" t="str">
        <f ca="1">IF(ISERROR(INDEX(AssetDecomList,ROWS($A$6:A196))),
IF(ISERROR(INDEX(AssetDecomVIPs,ROWS($A$6:A196)-ROWS(AssetDecomList))),"",INDEX(AssetDecomVIPs,ROWS($A$6:A196)-ROWS(AssetDecomList))),
INDEX(AssetDecomList,ROWS($A$6:A196)))</f>
        <v/>
      </c>
      <c r="Y196" s="1927" t="s">
        <v>1782</v>
      </c>
      <c r="Z196" s="1927" t="s">
        <v>4355</v>
      </c>
      <c r="AA196" s="1927">
        <v>1800</v>
      </c>
      <c r="AB196" s="1927" t="s">
        <v>264</v>
      </c>
      <c r="AC196" s="1927" t="s">
        <v>4352</v>
      </c>
      <c r="AD196" s="1927" t="s">
        <v>4353</v>
      </c>
      <c r="AW196" s="931"/>
      <c r="AX196" s="931"/>
    </row>
    <row r="197" spans="1:50">
      <c r="A197" s="1758" t="str">
        <f ca="1">IF(ISERROR(INDEX(IPList,ROWS($A$6:A197))),
         IF(ISERROR(INDEX(VIP_InstanceList,ROWS($A$6:A197)-ROWS(IPList))),
                IF(ISERROR(INDEX(GTMLIST,ROWS($A$6:A197)-(ROWS(IPList)+(ROWS(VIP_InstanceList))))),"",
                      INDEX(GTMLIST,ROWS($A$6:A197)-(ROWS(IPList)+(ROWS(VIP_InstanceList))))),
                                  INDEX(VIP_InstanceList,ROWS($A$6:A197)-ROWS(IPList))),
                                             INDEX(IPList,ROWS($A$6:A197)))</f>
        <v/>
      </c>
      <c r="W197" s="2646" t="str">
        <f ca="1">IF(ISERROR(INDEX(AssetDecomList,ROWS($A$6:A197))),
IF(ISERROR(INDEX(AssetDecomVIPs,ROWS($A$6:A197)-ROWS(AssetDecomList))),"",INDEX(AssetDecomVIPs,ROWS($A$6:A197)-ROWS(AssetDecomList))),
INDEX(AssetDecomList,ROWS($A$6:A197)))</f>
        <v/>
      </c>
      <c r="Y197" s="1927" t="s">
        <v>1782</v>
      </c>
      <c r="Z197" s="1927" t="s">
        <v>4356</v>
      </c>
      <c r="AA197" s="1927">
        <v>1800</v>
      </c>
      <c r="AB197" s="1927" t="s">
        <v>264</v>
      </c>
      <c r="AC197" s="1927" t="s">
        <v>4352</v>
      </c>
      <c r="AD197" s="1927" t="s">
        <v>4353</v>
      </c>
      <c r="AW197" s="931"/>
      <c r="AX197" s="931"/>
    </row>
    <row r="198" spans="1:50">
      <c r="A198" s="1758" t="str">
        <f ca="1">IF(ISERROR(INDEX(IPList,ROWS($A$6:A198))),
         IF(ISERROR(INDEX(VIP_InstanceList,ROWS($A$6:A198)-ROWS(IPList))),
                IF(ISERROR(INDEX(GTMLIST,ROWS($A$6:A198)-(ROWS(IPList)+(ROWS(VIP_InstanceList))))),"",
                      INDEX(GTMLIST,ROWS($A$6:A198)-(ROWS(IPList)+(ROWS(VIP_InstanceList))))),
                                  INDEX(VIP_InstanceList,ROWS($A$6:A198)-ROWS(IPList))),
                                             INDEX(IPList,ROWS($A$6:A198)))</f>
        <v/>
      </c>
      <c r="W198" s="2646" t="str">
        <f ca="1">IF(ISERROR(INDEX(AssetDecomList,ROWS($A$6:A198))),
IF(ISERROR(INDEX(AssetDecomVIPs,ROWS($A$6:A198)-ROWS(AssetDecomList))),"",INDEX(AssetDecomVIPs,ROWS($A$6:A198)-ROWS(AssetDecomList))),
INDEX(AssetDecomList,ROWS($A$6:A198)))</f>
        <v/>
      </c>
      <c r="Y198" s="1927" t="s">
        <v>1782</v>
      </c>
      <c r="Z198" s="1927" t="s">
        <v>4357</v>
      </c>
      <c r="AA198" s="1927">
        <v>1800</v>
      </c>
      <c r="AB198" s="1927" t="s">
        <v>264</v>
      </c>
      <c r="AC198" s="1927" t="s">
        <v>4352</v>
      </c>
      <c r="AD198" s="1927" t="s">
        <v>4353</v>
      </c>
      <c r="AW198" s="931"/>
      <c r="AX198" s="931"/>
    </row>
    <row r="199" spans="1:50">
      <c r="A199" s="1758" t="str">
        <f ca="1">IF(ISERROR(INDEX(IPList,ROWS($A$6:A199))),
         IF(ISERROR(INDEX(VIP_InstanceList,ROWS($A$6:A199)-ROWS(IPList))),
                IF(ISERROR(INDEX(GTMLIST,ROWS($A$6:A199)-(ROWS(IPList)+(ROWS(VIP_InstanceList))))),"",
                      INDEX(GTMLIST,ROWS($A$6:A199)-(ROWS(IPList)+(ROWS(VIP_InstanceList))))),
                                  INDEX(VIP_InstanceList,ROWS($A$6:A199)-ROWS(IPList))),
                                             INDEX(IPList,ROWS($A$6:A199)))</f>
        <v/>
      </c>
      <c r="W199" s="2646" t="str">
        <f ca="1">IF(ISERROR(INDEX(AssetDecomList,ROWS($A$6:A199))),
IF(ISERROR(INDEX(AssetDecomVIPs,ROWS($A$6:A199)-ROWS(AssetDecomList))),"",INDEX(AssetDecomVIPs,ROWS($A$6:A199)-ROWS(AssetDecomList))),
INDEX(AssetDecomList,ROWS($A$6:A199)))</f>
        <v/>
      </c>
      <c r="Y199" s="1927" t="s">
        <v>1782</v>
      </c>
      <c r="Z199" s="1927" t="s">
        <v>4358</v>
      </c>
      <c r="AA199" s="1927">
        <v>1800</v>
      </c>
      <c r="AB199" s="1927" t="s">
        <v>264</v>
      </c>
      <c r="AC199" s="1927" t="s">
        <v>4352</v>
      </c>
      <c r="AD199" s="1927" t="s">
        <v>4353</v>
      </c>
      <c r="AW199" s="931"/>
      <c r="AX199" s="931"/>
    </row>
    <row r="200" spans="1:50">
      <c r="A200" s="1758" t="str">
        <f ca="1">IF(ISERROR(INDEX(IPList,ROWS($A$6:A200))),
         IF(ISERROR(INDEX(VIP_InstanceList,ROWS($A$6:A200)-ROWS(IPList))),
                IF(ISERROR(INDEX(GTMLIST,ROWS($A$6:A200)-(ROWS(IPList)+(ROWS(VIP_InstanceList))))),"",
                      INDEX(GTMLIST,ROWS($A$6:A200)-(ROWS(IPList)+(ROWS(VIP_InstanceList))))),
                                  INDEX(VIP_InstanceList,ROWS($A$6:A200)-ROWS(IPList))),
                                             INDEX(IPList,ROWS($A$6:A200)))</f>
        <v/>
      </c>
      <c r="W200" s="2646" t="str">
        <f ca="1">IF(ISERROR(INDEX(AssetDecomList,ROWS($A$6:A200))),
IF(ISERROR(INDEX(AssetDecomVIPs,ROWS($A$6:A200)-ROWS(AssetDecomList))),"",INDEX(AssetDecomVIPs,ROWS($A$6:A200)-ROWS(AssetDecomList))),
INDEX(AssetDecomList,ROWS($A$6:A200)))</f>
        <v/>
      </c>
      <c r="Y200" s="1927" t="s">
        <v>1782</v>
      </c>
      <c r="Z200" s="3003" t="s">
        <v>4359</v>
      </c>
      <c r="AA200" s="1927">
        <v>1800</v>
      </c>
      <c r="AB200" s="1927" t="s">
        <v>264</v>
      </c>
      <c r="AC200" s="1927" t="s">
        <v>4352</v>
      </c>
      <c r="AD200" s="1927" t="s">
        <v>4353</v>
      </c>
      <c r="AW200" s="931"/>
      <c r="AX200" s="931"/>
    </row>
    <row r="201" spans="1:50">
      <c r="A201" s="1758" t="str">
        <f ca="1">IF(ISERROR(INDEX(IPList,ROWS($A$6:A201))),
         IF(ISERROR(INDEX(VIP_InstanceList,ROWS($A$6:A201)-ROWS(IPList))),
                IF(ISERROR(INDEX(GTMLIST,ROWS($A$6:A201)-(ROWS(IPList)+(ROWS(VIP_InstanceList))))),"",
                      INDEX(GTMLIST,ROWS($A$6:A201)-(ROWS(IPList)+(ROWS(VIP_InstanceList))))),
                                  INDEX(VIP_InstanceList,ROWS($A$6:A201)-ROWS(IPList))),
                                             INDEX(IPList,ROWS($A$6:A201)))</f>
        <v/>
      </c>
      <c r="W201" s="2646"/>
      <c r="Y201" s="1927" t="s">
        <v>1782</v>
      </c>
      <c r="Z201" s="3003" t="s">
        <v>4363</v>
      </c>
      <c r="AA201" s="1927">
        <v>1800</v>
      </c>
      <c r="AB201" s="1927" t="s">
        <v>264</v>
      </c>
      <c r="AC201" s="1927" t="s">
        <v>4352</v>
      </c>
      <c r="AD201" s="1927" t="s">
        <v>4353</v>
      </c>
      <c r="AW201" s="931"/>
      <c r="AX201" s="931"/>
    </row>
    <row r="202" spans="1:50">
      <c r="A202" s="1758" t="str">
        <f ca="1">IF(ISERROR(INDEX(IPList,ROWS($A$6:A202))),
         IF(ISERROR(INDEX(VIP_InstanceList,ROWS($A$6:A202)-ROWS(IPList))),
                IF(ISERROR(INDEX(GTMLIST,ROWS($A$6:A202)-(ROWS(IPList)+(ROWS(VIP_InstanceList))))),"",
                      INDEX(GTMLIST,ROWS($A$6:A202)-(ROWS(IPList)+(ROWS(VIP_InstanceList))))),
                                  INDEX(VIP_InstanceList,ROWS($A$6:A202)-ROWS(IPList))),
                                             INDEX(IPList,ROWS($A$6:A202)))</f>
        <v/>
      </c>
      <c r="Y202" s="1927" t="s">
        <v>1782</v>
      </c>
      <c r="Z202" s="1927" t="s">
        <v>4360</v>
      </c>
      <c r="AA202" s="1927">
        <v>1800</v>
      </c>
      <c r="AB202" s="1927" t="s">
        <v>264</v>
      </c>
      <c r="AC202" s="1927" t="s">
        <v>4352</v>
      </c>
      <c r="AD202" s="1927" t="s">
        <v>4353</v>
      </c>
      <c r="AW202" s="931"/>
      <c r="AX202" s="931"/>
    </row>
    <row r="203" spans="1:50">
      <c r="A203" s="1758" t="str">
        <f ca="1">IF(ISERROR(INDEX(IPList,ROWS($A$6:A203))),
         IF(ISERROR(INDEX(VIP_InstanceList,ROWS($A$6:A203)-ROWS(IPList))),
                IF(ISERROR(INDEX(GTMLIST,ROWS($A$6:A203)-(ROWS(IPList)+(ROWS(VIP_InstanceList))))),"",
                      INDEX(GTMLIST,ROWS($A$6:A203)-(ROWS(IPList)+(ROWS(VIP_InstanceList))))),
                                  INDEX(VIP_InstanceList,ROWS($A$6:A203)-ROWS(IPList))),
                                             INDEX(IPList,ROWS($A$6:A203)))</f>
        <v/>
      </c>
      <c r="Y203" s="1927" t="s">
        <v>1782</v>
      </c>
      <c r="Z203" s="1927" t="s">
        <v>4361</v>
      </c>
      <c r="AA203" s="1927">
        <v>1800</v>
      </c>
      <c r="AB203" s="1927" t="s">
        <v>264</v>
      </c>
      <c r="AC203" s="1927" t="s">
        <v>4352</v>
      </c>
      <c r="AD203" s="1927" t="s">
        <v>4353</v>
      </c>
      <c r="AW203" s="931"/>
      <c r="AX203" s="931"/>
    </row>
    <row r="204" spans="1:50">
      <c r="A204" s="1758" t="str">
        <f ca="1">IF(ISERROR(INDEX(IPList,ROWS($A$6:A204))),
         IF(ISERROR(INDEX(VIP_InstanceList,ROWS($A$6:A204)-ROWS(IPList))),
                IF(ISERROR(INDEX(GTMLIST,ROWS($A$6:A204)-(ROWS(IPList)+(ROWS(VIP_InstanceList))))),"",
                      INDEX(GTMLIST,ROWS($A$6:A204)-(ROWS(IPList)+(ROWS(VIP_InstanceList))))),
                                  INDEX(VIP_InstanceList,ROWS($A$6:A204)-ROWS(IPList))),
                                             INDEX(IPList,ROWS($A$6:A204)))</f>
        <v/>
      </c>
      <c r="Y204" s="1927" t="s">
        <v>1782</v>
      </c>
      <c r="Z204" s="1927" t="s">
        <v>4362</v>
      </c>
      <c r="AA204" s="1927">
        <v>1800</v>
      </c>
      <c r="AB204" s="1927" t="s">
        <v>264</v>
      </c>
      <c r="AC204" s="1927" t="s">
        <v>4352</v>
      </c>
      <c r="AD204" s="1927" t="s">
        <v>4353</v>
      </c>
      <c r="AW204" s="931"/>
      <c r="AX204" s="931"/>
    </row>
    <row r="205" spans="1:50">
      <c r="A205" s="1758" t="str">
        <f ca="1">IF(ISERROR(INDEX(IPList,ROWS($A$6:A205))),
         IF(ISERROR(INDEX(VIP_InstanceList,ROWS($A$6:A205)-ROWS(IPList))),
                IF(ISERROR(INDEX(GTMLIST,ROWS($A$6:A205)-(ROWS(IPList)+(ROWS(VIP_InstanceList))))),"",
                      INDEX(GTMLIST,ROWS($A$6:A205)-(ROWS(IPList)+(ROWS(VIP_InstanceList))))),
                                  INDEX(VIP_InstanceList,ROWS($A$6:A205)-ROWS(IPList))),
                                             INDEX(IPList,ROWS($A$6:A205)))</f>
        <v/>
      </c>
      <c r="Y205" s="1927" t="s">
        <v>1782</v>
      </c>
      <c r="Z205" s="1927" t="s">
        <v>4783</v>
      </c>
      <c r="AA205" s="1927">
        <v>1800</v>
      </c>
      <c r="AB205" s="1927" t="s">
        <v>264</v>
      </c>
      <c r="AC205" s="1927" t="s">
        <v>4352</v>
      </c>
      <c r="AD205" s="1927" t="s">
        <v>4353</v>
      </c>
      <c r="AW205" s="931"/>
      <c r="AX205" s="931"/>
    </row>
    <row r="206" spans="1:50">
      <c r="A206" s="1758" t="str">
        <f ca="1">IF(ISERROR(INDEX(IPList,ROWS($A$6:A206))),
         IF(ISERROR(INDEX(VIP_InstanceList,ROWS($A$6:A206)-ROWS(IPList))),
                IF(ISERROR(INDEX(GTMLIST,ROWS($A$6:A206)-(ROWS(IPList)+(ROWS(VIP_InstanceList))))),"",
                      INDEX(GTMLIST,ROWS($A$6:A206)-(ROWS(IPList)+(ROWS(VIP_InstanceList))))),
                                  INDEX(VIP_InstanceList,ROWS($A$6:A206)-ROWS(IPList))),
                                             INDEX(IPList,ROWS($A$6:A206)))</f>
        <v/>
      </c>
      <c r="Y206" s="1927" t="s">
        <v>1782</v>
      </c>
      <c r="Z206" s="3003" t="s">
        <v>5075</v>
      </c>
      <c r="AA206" s="1927">
        <v>1800</v>
      </c>
      <c r="AB206" s="1927" t="s">
        <v>264</v>
      </c>
      <c r="AC206" s="3003" t="s">
        <v>4352</v>
      </c>
      <c r="AD206" s="3003" t="s">
        <v>4353</v>
      </c>
      <c r="AW206" s="931"/>
      <c r="AX206" s="931"/>
    </row>
    <row r="207" spans="1:50">
      <c r="A207" s="1758" t="str">
        <f ca="1">IF(ISERROR(INDEX(IPList,ROWS($A$6:A207))),
         IF(ISERROR(INDEX(VIP_InstanceList,ROWS($A$6:A207)-ROWS(IPList))),
                IF(ISERROR(INDEX(GTMLIST,ROWS($A$6:A207)-(ROWS(IPList)+(ROWS(VIP_InstanceList))))),"",
                      INDEX(GTMLIST,ROWS($A$6:A207)-(ROWS(IPList)+(ROWS(VIP_InstanceList))))),
                                  INDEX(VIP_InstanceList,ROWS($A$6:A207)-ROWS(IPList))),
                                             INDEX(IPList,ROWS($A$6:A207)))</f>
        <v/>
      </c>
      <c r="Y207" s="1927" t="s">
        <v>1782</v>
      </c>
      <c r="Z207" s="3003" t="s">
        <v>5076</v>
      </c>
      <c r="AA207" s="1927">
        <v>1800</v>
      </c>
      <c r="AB207" s="1927" t="s">
        <v>264</v>
      </c>
      <c r="AC207" s="1927" t="s">
        <v>4352</v>
      </c>
      <c r="AD207" s="1927" t="s">
        <v>4353</v>
      </c>
      <c r="AW207" s="931"/>
      <c r="AX207" s="931"/>
    </row>
    <row r="208" spans="1:50">
      <c r="A208" s="1758" t="str">
        <f ca="1">IF(ISERROR(INDEX(IPList,ROWS($A$6:A208))),
         IF(ISERROR(INDEX(VIP_InstanceList,ROWS($A$6:A208)-ROWS(IPList))),
                IF(ISERROR(INDEX(GTMLIST,ROWS($A$6:A208)-(ROWS(IPList)+(ROWS(VIP_InstanceList))))),"",
                      INDEX(GTMLIST,ROWS($A$6:A208)-(ROWS(IPList)+(ROWS(VIP_InstanceList))))),
                                  INDEX(VIP_InstanceList,ROWS($A$6:A208)-ROWS(IPList))),
                                             INDEX(IPList,ROWS($A$6:A208)))</f>
        <v/>
      </c>
      <c r="Y208" s="1927" t="s">
        <v>1782</v>
      </c>
      <c r="Z208" s="3003" t="s">
        <v>5077</v>
      </c>
      <c r="AA208" s="1927">
        <v>1800</v>
      </c>
      <c r="AB208" s="1927" t="s">
        <v>264</v>
      </c>
      <c r="AC208" s="1927" t="s">
        <v>4352</v>
      </c>
      <c r="AD208" s="1927" t="s">
        <v>4353</v>
      </c>
      <c r="AW208" s="931"/>
      <c r="AX208" s="931"/>
    </row>
    <row r="209" spans="1:50">
      <c r="A209" s="1758" t="str">
        <f ca="1">IF(ISERROR(INDEX(IPList,ROWS($A$6:A209))),
         IF(ISERROR(INDEX(VIP_InstanceList,ROWS($A$6:A209)-ROWS(IPList))),
                IF(ISERROR(INDEX(GTMLIST,ROWS($A$6:A209)-(ROWS(IPList)+(ROWS(VIP_InstanceList))))),"",
                      INDEX(GTMLIST,ROWS($A$6:A209)-(ROWS(IPList)+(ROWS(VIP_InstanceList))))),
                                  INDEX(VIP_InstanceList,ROWS($A$6:A209)-ROWS(IPList))),
                                             INDEX(IPList,ROWS($A$6:A209)))</f>
        <v/>
      </c>
      <c r="Y209" s="1927" t="s">
        <v>1782</v>
      </c>
      <c r="Z209" s="3003" t="s">
        <v>5356</v>
      </c>
      <c r="AA209" s="1927">
        <v>1634</v>
      </c>
      <c r="AB209" s="1927" t="s">
        <v>4784</v>
      </c>
      <c r="AC209" s="1927" t="s">
        <v>4785</v>
      </c>
      <c r="AD209" s="1927" t="s">
        <v>4786</v>
      </c>
      <c r="AW209" s="931"/>
      <c r="AX209" s="931"/>
    </row>
    <row r="210" spans="1:50">
      <c r="A210" s="1758" t="str">
        <f ca="1">IF(ISERROR(INDEX(IPList,ROWS($A$6:A210))),
         IF(ISERROR(INDEX(VIP_InstanceList,ROWS($A$6:A210)-ROWS(IPList))),
                IF(ISERROR(INDEX(GTMLIST,ROWS($A$6:A210)-(ROWS(IPList)+(ROWS(VIP_InstanceList))))),"",
                      INDEX(GTMLIST,ROWS($A$6:A210)-(ROWS(IPList)+(ROWS(VIP_InstanceList))))),
                                  INDEX(VIP_InstanceList,ROWS($A$6:A210)-ROWS(IPList))),
                                             INDEX(IPList,ROWS($A$6:A210)))</f>
        <v/>
      </c>
      <c r="Y210" s="1927" t="s">
        <v>1782</v>
      </c>
      <c r="Z210" s="3003" t="s">
        <v>5357</v>
      </c>
      <c r="AA210" s="1927">
        <v>1772</v>
      </c>
      <c r="AB210" s="1927" t="s">
        <v>4787</v>
      </c>
      <c r="AC210" s="1927" t="s">
        <v>745</v>
      </c>
      <c r="AD210" s="1927" t="s">
        <v>4788</v>
      </c>
      <c r="AW210" s="931"/>
      <c r="AX210" s="931"/>
    </row>
    <row r="211" spans="1:50">
      <c r="A211" s="1758" t="str">
        <f ca="1">IF(ISERROR(INDEX(IPList,ROWS($A$6:A211))),
         IF(ISERROR(INDEX(VIP_InstanceList,ROWS($A$6:A211)-ROWS(IPList))),
                IF(ISERROR(INDEX(GTMLIST,ROWS($A$6:A211)-(ROWS(IPList)+(ROWS(VIP_InstanceList))))),"",
                      INDEX(GTMLIST,ROWS($A$6:A211)-(ROWS(IPList)+(ROWS(VIP_InstanceList))))),
                                  INDEX(VIP_InstanceList,ROWS($A$6:A211)-ROWS(IPList))),
                                             INDEX(IPList,ROWS($A$6:A211)))</f>
        <v/>
      </c>
      <c r="Y211" s="1927" t="s">
        <v>1782</v>
      </c>
      <c r="Z211" s="3003" t="s">
        <v>5346</v>
      </c>
      <c r="AA211" s="1927">
        <v>1864</v>
      </c>
      <c r="AB211" s="1927" t="s">
        <v>5347</v>
      </c>
      <c r="AC211" s="1927" t="s">
        <v>5348</v>
      </c>
      <c r="AD211" s="1927" t="s">
        <v>5349</v>
      </c>
      <c r="AW211" s="931"/>
      <c r="AX211" s="931"/>
    </row>
    <row r="212" spans="1:50">
      <c r="A212" s="1758" t="str">
        <f ca="1">IF(ISERROR(INDEX(IPList,ROWS($A$6:A212))),
         IF(ISERROR(INDEX(VIP_InstanceList,ROWS($A$6:A212)-ROWS(IPList))),
                IF(ISERROR(INDEX(GTMLIST,ROWS($A$6:A212)-(ROWS(IPList)+(ROWS(VIP_InstanceList))))),"",
                      INDEX(GTMLIST,ROWS($A$6:A212)-(ROWS(IPList)+(ROWS(VIP_InstanceList))))),
                                  INDEX(VIP_InstanceList,ROWS($A$6:A212)-ROWS(IPList))),
                                             INDEX(IPList,ROWS($A$6:A212)))</f>
        <v/>
      </c>
      <c r="Y212" s="1927" t="s">
        <v>1782</v>
      </c>
      <c r="Z212" s="1927" t="s">
        <v>218</v>
      </c>
      <c r="AA212" s="1927">
        <v>1762</v>
      </c>
      <c r="AB212" s="1927" t="s">
        <v>218</v>
      </c>
      <c r="AC212" s="1927" t="s">
        <v>219</v>
      </c>
      <c r="AD212" s="1927" t="s">
        <v>4789</v>
      </c>
      <c r="AW212" s="931"/>
      <c r="AX212" s="931"/>
    </row>
    <row r="213" spans="1:50">
      <c r="A213" s="1758" t="str">
        <f ca="1">IF(ISERROR(INDEX(IPList,ROWS($A$6:A213))),
         IF(ISERROR(INDEX(VIP_InstanceList,ROWS($A$6:A213)-ROWS(IPList))),
                IF(ISERROR(INDEX(GTMLIST,ROWS($A$6:A213)-(ROWS(IPList)+(ROWS(VIP_InstanceList))))),"",
                      INDEX(GTMLIST,ROWS($A$6:A213)-(ROWS(IPList)+(ROWS(VIP_InstanceList))))),
                                  INDEX(VIP_InstanceList,ROWS($A$6:A213)-ROWS(IPList))),
                                             INDEX(IPList,ROWS($A$6:A213)))</f>
        <v/>
      </c>
      <c r="Y213" s="1927" t="s">
        <v>1782</v>
      </c>
      <c r="Z213" s="1927" t="s">
        <v>220</v>
      </c>
      <c r="AA213" s="1927">
        <v>1763</v>
      </c>
      <c r="AB213" s="1927" t="s">
        <v>220</v>
      </c>
      <c r="AC213" s="1927" t="s">
        <v>221</v>
      </c>
      <c r="AD213" s="1927" t="s">
        <v>1346</v>
      </c>
      <c r="AW213" s="931"/>
      <c r="AX213" s="931"/>
    </row>
    <row r="214" spans="1:50">
      <c r="A214" s="1758" t="str">
        <f ca="1">IF(ISERROR(INDEX(IPList,ROWS($A$6:A214))),
         IF(ISERROR(INDEX(VIP_InstanceList,ROWS($A$6:A214)-ROWS(IPList))),
                IF(ISERROR(INDEX(GTMLIST,ROWS($A$6:A214)-(ROWS(IPList)+(ROWS(VIP_InstanceList))))),"",
                      INDEX(GTMLIST,ROWS($A$6:A214)-(ROWS(IPList)+(ROWS(VIP_InstanceList))))),
                                  INDEX(VIP_InstanceList,ROWS($A$6:A214)-ROWS(IPList))),
                                             INDEX(IPList,ROWS($A$6:A214)))</f>
        <v/>
      </c>
      <c r="Y214" s="1927" t="s">
        <v>1782</v>
      </c>
      <c r="Z214" s="1927" t="s">
        <v>4790</v>
      </c>
      <c r="AA214" s="1927">
        <v>1796</v>
      </c>
      <c r="AB214" s="1927" t="s">
        <v>4791</v>
      </c>
      <c r="AC214" s="1927" t="s">
        <v>3366</v>
      </c>
      <c r="AD214" s="1927" t="s">
        <v>3367</v>
      </c>
      <c r="AW214" s="931"/>
      <c r="AX214" s="931"/>
    </row>
    <row r="215" spans="1:50">
      <c r="A215" s="1758" t="str">
        <f ca="1">IF(ISERROR(INDEX(IPList,ROWS($A$6:A215))),
         IF(ISERROR(INDEX(VIP_InstanceList,ROWS($A$6:A215)-ROWS(IPList))),
                IF(ISERROR(INDEX(GTMLIST,ROWS($A$6:A215)-(ROWS(IPList)+(ROWS(VIP_InstanceList))))),"",
                      INDEX(GTMLIST,ROWS($A$6:A215)-(ROWS(IPList)+(ROWS(VIP_InstanceList))))),
                                  INDEX(VIP_InstanceList,ROWS($A$6:A215)-ROWS(IPList))),
                                             INDEX(IPList,ROWS($A$6:A215)))</f>
        <v/>
      </c>
      <c r="Y215" s="1927" t="s">
        <v>1782</v>
      </c>
      <c r="Z215" s="1927" t="s">
        <v>4792</v>
      </c>
      <c r="AA215" s="1927">
        <v>1796</v>
      </c>
      <c r="AB215" s="1927" t="s">
        <v>4791</v>
      </c>
      <c r="AC215" s="1927" t="s">
        <v>3366</v>
      </c>
      <c r="AD215" s="1927" t="s">
        <v>3367</v>
      </c>
      <c r="AW215" s="931"/>
      <c r="AX215" s="931"/>
    </row>
    <row r="216" spans="1:50">
      <c r="A216" s="1758" t="str">
        <f ca="1">IF(ISERROR(INDEX(IPList,ROWS($A$6:A216))),
         IF(ISERROR(INDEX(VIP_InstanceList,ROWS($A$6:A216)-ROWS(IPList))),
                IF(ISERROR(INDEX(GTMLIST,ROWS($A$6:A216)-(ROWS(IPList)+(ROWS(VIP_InstanceList))))),"",
                      INDEX(GTMLIST,ROWS($A$6:A216)-(ROWS(IPList)+(ROWS(VIP_InstanceList))))),
                                  INDEX(VIP_InstanceList,ROWS($A$6:A216)-ROWS(IPList))),
                                             INDEX(IPList,ROWS($A$6:A216)))</f>
        <v/>
      </c>
      <c r="Y216" s="1927" t="s">
        <v>1782</v>
      </c>
      <c r="Z216" s="1927" t="s">
        <v>4793</v>
      </c>
      <c r="AA216" s="1927">
        <v>1796</v>
      </c>
      <c r="AB216" s="1927" t="s">
        <v>4791</v>
      </c>
      <c r="AC216" s="1927" t="s">
        <v>3366</v>
      </c>
      <c r="AD216" s="1927" t="s">
        <v>3367</v>
      </c>
      <c r="AW216" s="931"/>
      <c r="AX216" s="931"/>
    </row>
    <row r="217" spans="1:50" ht="15">
      <c r="A217" s="1758" t="str">
        <f ca="1">IF(ISERROR(INDEX(IPList,ROWS($A$6:A217))),
         IF(ISERROR(INDEX(VIP_InstanceList,ROWS($A$6:A217)-ROWS(IPList))),
                IF(ISERROR(INDEX(GTMLIST,ROWS($A$6:A217)-(ROWS(IPList)+(ROWS(VIP_InstanceList))))),"",
                      INDEX(GTMLIST,ROWS($A$6:A217)-(ROWS(IPList)+(ROWS(VIP_InstanceList))))),
                                  INDEX(VIP_InstanceList,ROWS($A$6:A217)-ROWS(IPList))),
                                             INDEX(IPList,ROWS($A$6:A217)))</f>
        <v/>
      </c>
      <c r="Y217" s="2974"/>
      <c r="Z217" s="2975" t="s">
        <v>5242</v>
      </c>
      <c r="AA217" s="2974"/>
      <c r="AB217" s="2974"/>
      <c r="AC217" s="2974"/>
      <c r="AD217" s="2974"/>
      <c r="AW217" s="931"/>
      <c r="AX217" s="931"/>
    </row>
    <row r="218" spans="1:50">
      <c r="A218" s="1758" t="str">
        <f ca="1">IF(ISERROR(INDEX(IPList,ROWS($A$6:A218))),
         IF(ISERROR(INDEX(VIP_InstanceList,ROWS($A$6:A218)-ROWS(IPList))),
                IF(ISERROR(INDEX(GTMLIST,ROWS($A$6:A218)-(ROWS(IPList)+(ROWS(VIP_InstanceList))))),"",
                      INDEX(GTMLIST,ROWS($A$6:A218)-(ROWS(IPList)+(ROWS(VIP_InstanceList))))),
                                  INDEX(VIP_InstanceList,ROWS($A$6:A218)-ROWS(IPList))),
                                             INDEX(IPList,ROWS($A$6:A218)))</f>
        <v/>
      </c>
      <c r="Y218" s="3121" t="s">
        <v>1782</v>
      </c>
      <c r="Z218" s="3121" t="s">
        <v>5459</v>
      </c>
      <c r="AA218" s="3122">
        <v>2856</v>
      </c>
      <c r="AB218" s="3122" t="s">
        <v>5333</v>
      </c>
      <c r="AC218" s="3121" t="s">
        <v>5227</v>
      </c>
      <c r="AD218" s="3121" t="s">
        <v>5228</v>
      </c>
      <c r="AW218" s="931"/>
      <c r="AX218" s="931"/>
    </row>
    <row r="219" spans="1:50">
      <c r="A219" s="1758" t="str">
        <f ca="1">IF(ISERROR(INDEX(IPList,ROWS($A$6:A219))),
         IF(ISERROR(INDEX(VIP_InstanceList,ROWS($A$6:A219)-ROWS(IPList))),
                IF(ISERROR(INDEX(GTMLIST,ROWS($A$6:A219)-(ROWS(IPList)+(ROWS(VIP_InstanceList))))),"",
                      INDEX(GTMLIST,ROWS($A$6:A219)-(ROWS(IPList)+(ROWS(VIP_InstanceList))))),
                                  INDEX(VIP_InstanceList,ROWS($A$6:A219)-ROWS(IPList))),
                                             INDEX(IPList,ROWS($A$6:A219)))</f>
        <v/>
      </c>
      <c r="Y219" s="3121" t="s">
        <v>1782</v>
      </c>
      <c r="Z219" s="3121" t="s">
        <v>5460</v>
      </c>
      <c r="AA219" s="3122">
        <v>2858</v>
      </c>
      <c r="AB219" s="3122" t="s">
        <v>5334</v>
      </c>
      <c r="AC219" s="3121" t="s">
        <v>5232</v>
      </c>
      <c r="AD219" s="3121" t="s">
        <v>5233</v>
      </c>
      <c r="AW219" s="931"/>
      <c r="AX219" s="931"/>
    </row>
    <row r="220" spans="1:50">
      <c r="A220" s="1758" t="str">
        <f ca="1">IF(ISERROR(INDEX(IPList,ROWS($A$6:A220))),
         IF(ISERROR(INDEX(VIP_InstanceList,ROWS($A$6:A220)-ROWS(IPList))),
                IF(ISERROR(INDEX(GTMLIST,ROWS($A$6:A220)-(ROWS(IPList)+(ROWS(VIP_InstanceList))))),"",
                      INDEX(GTMLIST,ROWS($A$6:A220)-(ROWS(IPList)+(ROWS(VIP_InstanceList))))),
                                  INDEX(VIP_InstanceList,ROWS($A$6:A220)-ROWS(IPList))),
                                             INDEX(IPList,ROWS($A$6:A220)))</f>
        <v/>
      </c>
      <c r="Y220" s="3121" t="s">
        <v>1782</v>
      </c>
      <c r="Z220" s="3121" t="s">
        <v>5461</v>
      </c>
      <c r="AA220" s="3122">
        <v>2859</v>
      </c>
      <c r="AB220" s="3122" t="s">
        <v>5335</v>
      </c>
      <c r="AC220" s="3121" t="s">
        <v>5235</v>
      </c>
      <c r="AD220" s="3121" t="s">
        <v>5236</v>
      </c>
      <c r="AW220" s="931"/>
      <c r="AX220" s="931"/>
    </row>
    <row r="221" spans="1:50">
      <c r="A221" s="1758" t="str">
        <f ca="1">IF(ISERROR(INDEX(IPList,ROWS($A$6:A221))),
         IF(ISERROR(INDEX(VIP_InstanceList,ROWS($A$6:A221)-ROWS(IPList))),
                IF(ISERROR(INDEX(GTMLIST,ROWS($A$6:A221)-(ROWS(IPList)+(ROWS(VIP_InstanceList))))),"",
                      INDEX(GTMLIST,ROWS($A$6:A221)-(ROWS(IPList)+(ROWS(VIP_InstanceList))))),
                                  INDEX(VIP_InstanceList,ROWS($A$6:A221)-ROWS(IPList))),
                                             INDEX(IPList,ROWS($A$6:A221)))</f>
        <v/>
      </c>
      <c r="Y221" s="3121" t="s">
        <v>1782</v>
      </c>
      <c r="Z221" s="3121" t="s">
        <v>5226</v>
      </c>
      <c r="AA221" s="3122">
        <v>2856</v>
      </c>
      <c r="AB221" s="3122"/>
      <c r="AC221" s="3121" t="s">
        <v>5227</v>
      </c>
      <c r="AD221" s="3121" t="s">
        <v>5228</v>
      </c>
      <c r="AW221" s="931"/>
      <c r="AX221" s="931"/>
    </row>
    <row r="222" spans="1:50">
      <c r="A222" s="1758" t="str">
        <f ca="1">IF(ISERROR(INDEX(IPList,ROWS($A$6:A222))),
         IF(ISERROR(INDEX(VIP_InstanceList,ROWS($A$6:A222)-ROWS(IPList))),
                IF(ISERROR(INDEX(GTMLIST,ROWS($A$6:A222)-(ROWS(IPList)+(ROWS(VIP_InstanceList))))),"",
                      INDEX(GTMLIST,ROWS($A$6:A222)-(ROWS(IPList)+(ROWS(VIP_InstanceList))))),
                                  INDEX(VIP_InstanceList,ROWS($A$6:A222)-ROWS(IPList))),
                                             INDEX(IPList,ROWS($A$6:A222)))</f>
        <v/>
      </c>
      <c r="Y222" s="3121" t="s">
        <v>1782</v>
      </c>
      <c r="Z222" s="3121" t="s">
        <v>5229</v>
      </c>
      <c r="AA222" s="3122">
        <v>2857</v>
      </c>
      <c r="AB222" s="3122"/>
      <c r="AC222" s="3121" t="s">
        <v>5230</v>
      </c>
      <c r="AD222" s="3121" t="s">
        <v>5231</v>
      </c>
      <c r="AW222" s="931"/>
      <c r="AX222" s="931"/>
    </row>
    <row r="223" spans="1:50">
      <c r="A223" s="1758" t="str">
        <f ca="1">IF(ISERROR(INDEX(IPList,ROWS($A$6:A223))),
         IF(ISERROR(INDEX(VIP_InstanceList,ROWS($A$6:A223)-ROWS(IPList))),
                IF(ISERROR(INDEX(GTMLIST,ROWS($A$6:A223)-(ROWS(IPList)+(ROWS(VIP_InstanceList))))),"",
                      INDEX(GTMLIST,ROWS($A$6:A223)-(ROWS(IPList)+(ROWS(VIP_InstanceList))))),
                                  INDEX(VIP_InstanceList,ROWS($A$6:A223)-ROWS(IPList))),
                                             INDEX(IPList,ROWS($A$6:A223)))</f>
        <v/>
      </c>
      <c r="Y223" s="3121" t="s">
        <v>1782</v>
      </c>
      <c r="Z223" s="3121" t="s">
        <v>5338</v>
      </c>
      <c r="AA223" s="3122">
        <v>2858</v>
      </c>
      <c r="AB223" s="3122"/>
      <c r="AC223" s="3121" t="s">
        <v>5232</v>
      </c>
      <c r="AD223" s="3121" t="s">
        <v>5233</v>
      </c>
      <c r="AW223" s="931"/>
      <c r="AX223" s="931"/>
    </row>
    <row r="224" spans="1:50">
      <c r="A224" s="1758" t="str">
        <f ca="1">IF(ISERROR(INDEX(IPList,ROWS($A$6:A224))),
         IF(ISERROR(INDEX(VIP_InstanceList,ROWS($A$6:A224)-ROWS(IPList))),
                IF(ISERROR(INDEX(GTMLIST,ROWS($A$6:A224)-(ROWS(IPList)+(ROWS(VIP_InstanceList))))),"",
                      INDEX(GTMLIST,ROWS($A$6:A224)-(ROWS(IPList)+(ROWS(VIP_InstanceList))))),
                                  INDEX(VIP_InstanceList,ROWS($A$6:A224)-ROWS(IPList))),
                                             INDEX(IPList,ROWS($A$6:A224)))</f>
        <v/>
      </c>
      <c r="Y224" s="3121" t="s">
        <v>1782</v>
      </c>
      <c r="Z224" s="3121" t="s">
        <v>5234</v>
      </c>
      <c r="AA224" s="3122">
        <v>2859</v>
      </c>
      <c r="AB224" s="3122"/>
      <c r="AC224" s="3121" t="s">
        <v>5235</v>
      </c>
      <c r="AD224" s="3121" t="s">
        <v>5236</v>
      </c>
      <c r="AW224" s="931"/>
      <c r="AX224" s="931"/>
    </row>
    <row r="225" spans="1:50">
      <c r="A225" s="1758" t="str">
        <f ca="1">IF(ISERROR(INDEX(IPList,ROWS($A$6:A225))),
         IF(ISERROR(INDEX(VIP_InstanceList,ROWS($A$6:A225)-ROWS(IPList))),
                IF(ISERROR(INDEX(GTMLIST,ROWS($A$6:A225)-(ROWS(IPList)+(ROWS(VIP_InstanceList))))),"",
                      INDEX(GTMLIST,ROWS($A$6:A225)-(ROWS(IPList)+(ROWS(VIP_InstanceList))))),
                                  INDEX(VIP_InstanceList,ROWS($A$6:A225)-ROWS(IPList))),
                                             INDEX(IPList,ROWS($A$6:A225)))</f>
        <v/>
      </c>
      <c r="Y225" s="3122" t="s">
        <v>1782</v>
      </c>
      <c r="Z225" s="3121" t="s">
        <v>5237</v>
      </c>
      <c r="AA225" s="3121">
        <v>2845</v>
      </c>
      <c r="AB225" s="3121" t="s">
        <v>5238</v>
      </c>
      <c r="AC225" s="3121" t="s">
        <v>3522</v>
      </c>
      <c r="AD225" s="3121" t="s">
        <v>3704</v>
      </c>
      <c r="AW225" s="931"/>
      <c r="AX225" s="931"/>
    </row>
    <row r="226" spans="1:50">
      <c r="A226" s="1758" t="str">
        <f ca="1">IF(ISERROR(INDEX(IPList,ROWS($A$6:A226))),
         IF(ISERROR(INDEX(VIP_InstanceList,ROWS($A$6:A226)-ROWS(IPList))),
                IF(ISERROR(INDEX(GTMLIST,ROWS($A$6:A226)-(ROWS(IPList)+(ROWS(VIP_InstanceList))))),"",
                      INDEX(GTMLIST,ROWS($A$6:A226)-(ROWS(IPList)+(ROWS(VIP_InstanceList))))),
                                  INDEX(VIP_InstanceList,ROWS($A$6:A226)-ROWS(IPList))),
                                             INDEX(IPList,ROWS($A$6:A226)))</f>
        <v/>
      </c>
      <c r="Y226" s="3122" t="s">
        <v>1782</v>
      </c>
      <c r="Z226" s="3121" t="s">
        <v>5239</v>
      </c>
      <c r="AA226" s="3121">
        <v>2761</v>
      </c>
      <c r="AB226" s="3121" t="s">
        <v>5238</v>
      </c>
      <c r="AC226" s="3121" t="s">
        <v>318</v>
      </c>
      <c r="AD226" s="3121" t="s">
        <v>319</v>
      </c>
      <c r="AW226" s="931"/>
      <c r="AX226" s="931"/>
    </row>
    <row r="227" spans="1:50">
      <c r="A227" s="1758" t="str">
        <f ca="1">IF(ISERROR(INDEX(IPList,ROWS($A$6:A227))),
         IF(ISERROR(INDEX(VIP_InstanceList,ROWS($A$6:A227)-ROWS(IPList))),
                IF(ISERROR(INDEX(GTMLIST,ROWS($A$6:A227)-(ROWS(IPList)+(ROWS(VIP_InstanceList))))),"",
                      INDEX(GTMLIST,ROWS($A$6:A227)-(ROWS(IPList)+(ROWS(VIP_InstanceList))))),
                                  INDEX(VIP_InstanceList,ROWS($A$6:A227)-ROWS(IPList))),
                                             INDEX(IPList,ROWS($A$6:A227)))</f>
        <v/>
      </c>
      <c r="Y227" s="3122" t="s">
        <v>1782</v>
      </c>
      <c r="Z227" s="3121" t="s">
        <v>5339</v>
      </c>
      <c r="AA227" s="3121">
        <v>2761</v>
      </c>
      <c r="AB227" s="3121" t="s">
        <v>5238</v>
      </c>
      <c r="AC227" s="3121" t="s">
        <v>318</v>
      </c>
      <c r="AD227" s="3121" t="s">
        <v>319</v>
      </c>
      <c r="AW227" s="931"/>
      <c r="AX227" s="931"/>
    </row>
    <row r="228" spans="1:50">
      <c r="A228" s="1758" t="str">
        <f ca="1">IF(ISERROR(INDEX(IPList,ROWS($A$6:A228))),
         IF(ISERROR(INDEX(VIP_InstanceList,ROWS($A$6:A228)-ROWS(IPList))),
                IF(ISERROR(INDEX(GTMLIST,ROWS($A$6:A228)-(ROWS(IPList)+(ROWS(VIP_InstanceList))))),"",
                      INDEX(GTMLIST,ROWS($A$6:A228)-(ROWS(IPList)+(ROWS(VIP_InstanceList))))),
                                  INDEX(VIP_InstanceList,ROWS($A$6:A228)-ROWS(IPList))),
                                             INDEX(IPList,ROWS($A$6:A228)))</f>
        <v/>
      </c>
      <c r="Y228" s="3122" t="s">
        <v>1782</v>
      </c>
      <c r="Z228" s="3121" t="s">
        <v>5240</v>
      </c>
      <c r="AA228" s="3121">
        <v>2760</v>
      </c>
      <c r="AB228" s="3121" t="s">
        <v>5241</v>
      </c>
      <c r="AC228" s="3121" t="s">
        <v>350</v>
      </c>
      <c r="AD228" s="3121" t="s">
        <v>351</v>
      </c>
      <c r="AW228" s="931"/>
      <c r="AX228" s="931"/>
    </row>
    <row r="229" spans="1:50" ht="15">
      <c r="A229" s="1758" t="str">
        <f ca="1">IF(ISERROR(INDEX(IPList,ROWS($A$6:A229))),
         IF(ISERROR(INDEX(VIP_InstanceList,ROWS($A$6:A229)-ROWS(IPList))),
                IF(ISERROR(INDEX(GTMLIST,ROWS($A$6:A229)-(ROWS(IPList)+(ROWS(VIP_InstanceList))))),"",
                      INDEX(GTMLIST,ROWS($A$6:A229)-(ROWS(IPList)+(ROWS(VIP_InstanceList))))),
                                  INDEX(VIP_InstanceList,ROWS($A$6:A229)-ROWS(IPList))),
                                             INDEX(IPList,ROWS($A$6:A229)))</f>
        <v/>
      </c>
      <c r="Y229" s="2974"/>
      <c r="Z229" s="2975" t="s">
        <v>4672</v>
      </c>
      <c r="AA229" s="2974"/>
      <c r="AB229" s="2974"/>
      <c r="AC229" s="2974"/>
      <c r="AD229" s="2974"/>
      <c r="AW229" s="931"/>
      <c r="AX229" s="931"/>
    </row>
    <row r="230" spans="1:50">
      <c r="A230" s="1758" t="str">
        <f ca="1">IF(ISERROR(INDEX(IPList,ROWS($A$6:A230))),
         IF(ISERROR(INDEX(VIP_InstanceList,ROWS($A$6:A230)-ROWS(IPList))),
                IF(ISERROR(INDEX(GTMLIST,ROWS($A$6:A230)-(ROWS(IPList)+(ROWS(VIP_InstanceList))))),"",
                      INDEX(GTMLIST,ROWS($A$6:A230)-(ROWS(IPList)+(ROWS(VIP_InstanceList))))),
                                  INDEX(VIP_InstanceList,ROWS($A$6:A230)-ROWS(IPList))),
                                             INDEX(IPList,ROWS($A$6:A230)))</f>
        <v/>
      </c>
      <c r="Y230" s="2980" t="s">
        <v>1782</v>
      </c>
      <c r="Z230" s="3000" t="s">
        <v>3567</v>
      </c>
      <c r="AA230" s="2980">
        <v>2604</v>
      </c>
      <c r="AB230" s="2980" t="s">
        <v>3563</v>
      </c>
      <c r="AC230" s="2980" t="s">
        <v>3555</v>
      </c>
      <c r="AD230" s="2980" t="s">
        <v>3559</v>
      </c>
      <c r="AW230" s="931"/>
      <c r="AX230" s="931"/>
    </row>
    <row r="231" spans="1:50">
      <c r="A231" s="1758" t="str">
        <f ca="1">IF(ISERROR(INDEX(IPList,ROWS($A$6:A231))),
         IF(ISERROR(INDEX(VIP_InstanceList,ROWS($A$6:A231)-ROWS(IPList))),
                IF(ISERROR(INDEX(GTMLIST,ROWS($A$6:A231)-(ROWS(IPList)+(ROWS(VIP_InstanceList))))),"",
                      INDEX(GTMLIST,ROWS($A$6:A231)-(ROWS(IPList)+(ROWS(VIP_InstanceList))))),
                                  INDEX(VIP_InstanceList,ROWS($A$6:A231)-ROWS(IPList))),
                                             INDEX(IPList,ROWS($A$6:A231)))</f>
        <v/>
      </c>
      <c r="Y231" s="2980" t="s">
        <v>1782</v>
      </c>
      <c r="Z231" s="2980" t="s">
        <v>3568</v>
      </c>
      <c r="AA231" s="2980">
        <v>2605</v>
      </c>
      <c r="AB231" s="2980" t="s">
        <v>3564</v>
      </c>
      <c r="AC231" s="2980" t="s">
        <v>3556</v>
      </c>
      <c r="AD231" s="2980" t="s">
        <v>3560</v>
      </c>
      <c r="AW231" s="931"/>
      <c r="AX231" s="931"/>
    </row>
    <row r="232" spans="1:50">
      <c r="A232" s="1758" t="str">
        <f ca="1">IF(ISERROR(INDEX(IPList,ROWS($A$6:A232))),
         IF(ISERROR(INDEX(VIP_InstanceList,ROWS($A$6:A232)-ROWS(IPList))),
                IF(ISERROR(INDEX(GTMLIST,ROWS($A$6:A232)-(ROWS(IPList)+(ROWS(VIP_InstanceList))))),"",
                      INDEX(GTMLIST,ROWS($A$6:A232)-(ROWS(IPList)+(ROWS(VIP_InstanceList))))),
                                  INDEX(VIP_InstanceList,ROWS($A$6:A232)-ROWS(IPList))),
                                             INDEX(IPList,ROWS($A$6:A232)))</f>
        <v/>
      </c>
      <c r="Y232" s="2980" t="s">
        <v>1782</v>
      </c>
      <c r="Z232" s="2980" t="s">
        <v>3569</v>
      </c>
      <c r="AA232" s="2980">
        <v>2605</v>
      </c>
      <c r="AB232" s="2980" t="s">
        <v>3565</v>
      </c>
      <c r="AC232" s="2980" t="s">
        <v>3557</v>
      </c>
      <c r="AD232" s="2980" t="s">
        <v>3561</v>
      </c>
      <c r="AW232" s="931"/>
      <c r="AX232" s="931"/>
    </row>
    <row r="233" spans="1:50">
      <c r="A233" s="1758" t="str">
        <f ca="1">IF(ISERROR(INDEX(IPList,ROWS($A$6:A233))),
         IF(ISERROR(INDEX(VIP_InstanceList,ROWS($A$6:A233)-ROWS(IPList))),
                IF(ISERROR(INDEX(GTMLIST,ROWS($A$6:A233)-(ROWS(IPList)+(ROWS(VIP_InstanceList))))),"",
                      INDEX(GTMLIST,ROWS($A$6:A233)-(ROWS(IPList)+(ROWS(VIP_InstanceList))))),
                                  INDEX(VIP_InstanceList,ROWS($A$6:A233)-ROWS(IPList))),
                                             INDEX(IPList,ROWS($A$6:A233)))</f>
        <v/>
      </c>
      <c r="Y233" s="2980" t="s">
        <v>1782</v>
      </c>
      <c r="Z233" s="2980" t="s">
        <v>3570</v>
      </c>
      <c r="AA233" s="2980">
        <v>2606</v>
      </c>
      <c r="AB233" s="2980" t="s">
        <v>3566</v>
      </c>
      <c r="AC233" s="2980" t="s">
        <v>3558</v>
      </c>
      <c r="AD233" s="2980" t="s">
        <v>3562</v>
      </c>
      <c r="AW233" s="931"/>
      <c r="AX233" s="931"/>
    </row>
    <row r="234" spans="1:50">
      <c r="A234" s="1758" t="str">
        <f ca="1">IF(ISERROR(INDEX(IPList,ROWS($A$6:A234))),
         IF(ISERROR(INDEX(VIP_InstanceList,ROWS($A$6:A234)-ROWS(IPList))),
                IF(ISERROR(INDEX(GTMLIST,ROWS($A$6:A234)-(ROWS(IPList)+(ROWS(VIP_InstanceList))))),"",
                      INDEX(GTMLIST,ROWS($A$6:A234)-(ROWS(IPList)+(ROWS(VIP_InstanceList))))),
                                  INDEX(VIP_InstanceList,ROWS($A$6:A234)-ROWS(IPList))),
                                             INDEX(IPList,ROWS($A$6:A234)))</f>
        <v/>
      </c>
      <c r="Y234" s="2980" t="s">
        <v>1782</v>
      </c>
      <c r="Z234" s="2980" t="s">
        <v>3867</v>
      </c>
      <c r="AA234" s="2980">
        <v>1346</v>
      </c>
      <c r="AB234" s="2980" t="s">
        <v>3868</v>
      </c>
      <c r="AC234" s="2980" t="s">
        <v>3869</v>
      </c>
      <c r="AD234" s="2980" t="s">
        <v>3870</v>
      </c>
      <c r="AW234" s="931"/>
      <c r="AX234" s="931"/>
    </row>
    <row r="235" spans="1:50">
      <c r="A235" s="1758" t="str">
        <f ca="1">IF(ISERROR(INDEX(IPList,ROWS($A$6:A235))),
         IF(ISERROR(INDEX(VIP_InstanceList,ROWS($A$6:A235)-ROWS(IPList))),
                IF(ISERROR(INDEX(GTMLIST,ROWS($A$6:A235)-(ROWS(IPList)+(ROWS(VIP_InstanceList))))),"",
                      INDEX(GTMLIST,ROWS($A$6:A235)-(ROWS(IPList)+(ROWS(VIP_InstanceList))))),
                                  INDEX(VIP_InstanceList,ROWS($A$6:A235)-ROWS(IPList))),
                                             INDEX(IPList,ROWS($A$6:A235)))</f>
        <v/>
      </c>
      <c r="Y235" s="2980" t="s">
        <v>1782</v>
      </c>
      <c r="Z235" s="2980" t="s">
        <v>3381</v>
      </c>
      <c r="AA235" s="2980">
        <v>2601</v>
      </c>
      <c r="AB235" s="2980" t="s">
        <v>3380</v>
      </c>
      <c r="AC235" s="2980" t="s">
        <v>3382</v>
      </c>
      <c r="AD235" s="2980" t="s">
        <v>3383</v>
      </c>
      <c r="AW235" s="931"/>
      <c r="AX235" s="931"/>
    </row>
    <row r="236" spans="1:50">
      <c r="A236" s="1758" t="str">
        <f ca="1">IF(ISERROR(INDEX(IPList,ROWS($A$6:A236))),
         IF(ISERROR(INDEX(VIP_InstanceList,ROWS($A$6:A236)-ROWS(IPList))),
                IF(ISERROR(INDEX(GTMLIST,ROWS($A$6:A236)-(ROWS(IPList)+(ROWS(VIP_InstanceList))))),"",
                      INDEX(GTMLIST,ROWS($A$6:A236)-(ROWS(IPList)+(ROWS(VIP_InstanceList))))),
                                  INDEX(VIP_InstanceList,ROWS($A$6:A236)-ROWS(IPList))),
                                             INDEX(IPList,ROWS($A$6:A236)))</f>
        <v/>
      </c>
      <c r="Y236" s="2980" t="s">
        <v>1782</v>
      </c>
      <c r="Z236" s="2980" t="s">
        <v>4794</v>
      </c>
      <c r="AA236" s="2980"/>
      <c r="AB236" s="2980" t="s">
        <v>4795</v>
      </c>
      <c r="AC236" s="2980"/>
      <c r="AD236" s="2980"/>
      <c r="AW236" s="931"/>
      <c r="AX236" s="931"/>
    </row>
    <row r="237" spans="1:50">
      <c r="A237" s="1758" t="str">
        <f ca="1">IF(ISERROR(INDEX(IPList,ROWS($A$6:A237))),
         IF(ISERROR(INDEX(VIP_InstanceList,ROWS($A$6:A237)-ROWS(IPList))),
                IF(ISERROR(INDEX(GTMLIST,ROWS($A$6:A237)-(ROWS(IPList)+(ROWS(VIP_InstanceList))))),"",
                      INDEX(GTMLIST,ROWS($A$6:A237)-(ROWS(IPList)+(ROWS(VIP_InstanceList))))),
                                  INDEX(VIP_InstanceList,ROWS($A$6:A237)-ROWS(IPList))),
                                             INDEX(IPList,ROWS($A$6:A237)))</f>
        <v/>
      </c>
      <c r="Y237" s="2980" t="s">
        <v>1782</v>
      </c>
      <c r="Z237" s="2980" t="s">
        <v>419</v>
      </c>
      <c r="AA237" s="2980">
        <v>2715</v>
      </c>
      <c r="AB237" s="2980" t="s">
        <v>335</v>
      </c>
      <c r="AC237" s="2980" t="s">
        <v>336</v>
      </c>
      <c r="AD237" s="2980" t="s">
        <v>337</v>
      </c>
      <c r="AW237" s="931"/>
      <c r="AX237" s="931"/>
    </row>
    <row r="238" spans="1:50">
      <c r="A238" s="1758" t="str">
        <f ca="1">IF(ISERROR(INDEX(IPList,ROWS($A$6:A238))),
         IF(ISERROR(INDEX(VIP_InstanceList,ROWS($A$6:A238)-ROWS(IPList))),
                IF(ISERROR(INDEX(GTMLIST,ROWS($A$6:A238)-(ROWS(IPList)+(ROWS(VIP_InstanceList))))),"",
                      INDEX(GTMLIST,ROWS($A$6:A238)-(ROWS(IPList)+(ROWS(VIP_InstanceList))))),
                                  INDEX(VIP_InstanceList,ROWS($A$6:A238)-ROWS(IPList))),
                                             INDEX(IPList,ROWS($A$6:A238)))</f>
        <v/>
      </c>
      <c r="Y238" s="2980" t="s">
        <v>1782</v>
      </c>
      <c r="Z238" s="2980" t="s">
        <v>251</v>
      </c>
      <c r="AA238" s="2980">
        <v>2717</v>
      </c>
      <c r="AB238" s="2980" t="s">
        <v>338</v>
      </c>
      <c r="AC238" s="2980" t="s">
        <v>150</v>
      </c>
      <c r="AD238" s="2980" t="s">
        <v>151</v>
      </c>
      <c r="AW238" s="931"/>
      <c r="AX238" s="931"/>
    </row>
    <row r="239" spans="1:50">
      <c r="A239" s="1758" t="str">
        <f ca="1">IF(ISERROR(INDEX(IPList,ROWS($A$6:A239))),
         IF(ISERROR(INDEX(VIP_InstanceList,ROWS($A$6:A239)-ROWS(IPList))),
                IF(ISERROR(INDEX(GTMLIST,ROWS($A$6:A239)-(ROWS(IPList)+(ROWS(VIP_InstanceList))))),"",
                      INDEX(GTMLIST,ROWS($A$6:A239)-(ROWS(IPList)+(ROWS(VIP_InstanceList))))),
                                  INDEX(VIP_InstanceList,ROWS($A$6:A239)-ROWS(IPList))),
                                             INDEX(IPList,ROWS($A$6:A239)))</f>
        <v/>
      </c>
      <c r="Y239" s="2980" t="s">
        <v>1782</v>
      </c>
      <c r="Z239" s="2980" t="s">
        <v>250</v>
      </c>
      <c r="AA239" s="2980">
        <v>2719</v>
      </c>
      <c r="AB239" s="2980" t="s">
        <v>339</v>
      </c>
      <c r="AC239" s="2980" t="s">
        <v>148</v>
      </c>
      <c r="AD239" s="2980" t="s">
        <v>149</v>
      </c>
      <c r="AW239" s="931"/>
      <c r="AX239" s="931"/>
    </row>
    <row r="240" spans="1:50">
      <c r="A240" s="1758" t="str">
        <f ca="1">IF(ISERROR(INDEX(IPList,ROWS($A$6:A240))),
         IF(ISERROR(INDEX(VIP_InstanceList,ROWS($A$6:A240)-ROWS(IPList))),
                IF(ISERROR(INDEX(GTMLIST,ROWS($A$6:A240)-(ROWS(IPList)+(ROWS(VIP_InstanceList))))),"",
                      INDEX(GTMLIST,ROWS($A$6:A240)-(ROWS(IPList)+(ROWS(VIP_InstanceList))))),
                                  INDEX(VIP_InstanceList,ROWS($A$6:A240)-ROWS(IPList))),
                                             INDEX(IPList,ROWS($A$6:A240)))</f>
        <v/>
      </c>
      <c r="Y240" s="2980" t="s">
        <v>1782</v>
      </c>
      <c r="Z240" s="2980" t="s">
        <v>4796</v>
      </c>
      <c r="AA240" s="2980">
        <v>2747</v>
      </c>
      <c r="AB240" s="2980" t="s">
        <v>4796</v>
      </c>
      <c r="AC240" s="2980" t="s">
        <v>2715</v>
      </c>
      <c r="AD240" s="2980" t="s">
        <v>2716</v>
      </c>
      <c r="AW240" s="931"/>
      <c r="AX240" s="931"/>
    </row>
    <row r="241" spans="1:50">
      <c r="A241" s="1758" t="str">
        <f ca="1">IF(ISERROR(INDEX(IPList,ROWS($A$6:A241))),
         IF(ISERROR(INDEX(VIP_InstanceList,ROWS($A$6:A241)-ROWS(IPList))),
                IF(ISERROR(INDEX(GTMLIST,ROWS($A$6:A241)-(ROWS(IPList)+(ROWS(VIP_InstanceList))))),"",
                      INDEX(GTMLIST,ROWS($A$6:A241)-(ROWS(IPList)+(ROWS(VIP_InstanceList))))),
                                  INDEX(VIP_InstanceList,ROWS($A$6:A241)-ROWS(IPList))),
                                             INDEX(IPList,ROWS($A$6:A241)))</f>
        <v/>
      </c>
      <c r="Y241" s="2980" t="s">
        <v>1782</v>
      </c>
      <c r="Z241" s="2980" t="s">
        <v>4797</v>
      </c>
      <c r="AA241" s="2980">
        <v>2785</v>
      </c>
      <c r="AB241" s="2980" t="s">
        <v>845</v>
      </c>
      <c r="AC241" s="2980" t="s">
        <v>846</v>
      </c>
      <c r="AD241" s="2980" t="s">
        <v>847</v>
      </c>
      <c r="AW241" s="931"/>
      <c r="AX241" s="931"/>
    </row>
    <row r="242" spans="1:50">
      <c r="A242" s="1758" t="str">
        <f ca="1">IF(ISERROR(INDEX(IPList,ROWS($A$6:A242))),
         IF(ISERROR(INDEX(VIP_InstanceList,ROWS($A$6:A242)-ROWS(IPList))),
                IF(ISERROR(INDEX(GTMLIST,ROWS($A$6:A242)-(ROWS(IPList)+(ROWS(VIP_InstanceList))))),"",
                      INDEX(GTMLIST,ROWS($A$6:A242)-(ROWS(IPList)+(ROWS(VIP_InstanceList))))),
                                  INDEX(VIP_InstanceList,ROWS($A$6:A242)-ROWS(IPList))),
                                             INDEX(IPList,ROWS($A$6:A242)))</f>
        <v/>
      </c>
      <c r="Y242" s="2980" t="s">
        <v>1782</v>
      </c>
      <c r="Z242" s="2980" t="s">
        <v>4798</v>
      </c>
      <c r="AA242" s="2980">
        <v>2720</v>
      </c>
      <c r="AB242" s="2980" t="s">
        <v>2340</v>
      </c>
      <c r="AC242" s="2980" t="s">
        <v>468</v>
      </c>
      <c r="AD242" s="2980" t="s">
        <v>469</v>
      </c>
      <c r="AW242" s="931"/>
      <c r="AX242" s="931"/>
    </row>
    <row r="243" spans="1:50" ht="15">
      <c r="A243" s="1758" t="str">
        <f ca="1">IF(ISERROR(INDEX(IPList,ROWS($A$6:A243))),
         IF(ISERROR(INDEX(VIP_InstanceList,ROWS($A$6:A243)-ROWS(IPList))),
                IF(ISERROR(INDEX(GTMLIST,ROWS($A$6:A243)-(ROWS(IPList)+(ROWS(VIP_InstanceList))))),"",
                      INDEX(GTMLIST,ROWS($A$6:A243)-(ROWS(IPList)+(ROWS(VIP_InstanceList))))),
                                  INDEX(VIP_InstanceList,ROWS($A$6:A243)-ROWS(IPList))),
                                             INDEX(IPList,ROWS($A$6:A243)))</f>
        <v/>
      </c>
      <c r="Y243" s="2981" t="s">
        <v>1782</v>
      </c>
      <c r="Z243" s="2981" t="s">
        <v>1638</v>
      </c>
      <c r="AA243" s="2982">
        <v>2721</v>
      </c>
      <c r="AB243" s="2981" t="s">
        <v>2341</v>
      </c>
      <c r="AC243" s="2981" t="s">
        <v>1127</v>
      </c>
      <c r="AD243" s="2981" t="s">
        <v>1128</v>
      </c>
      <c r="AW243" s="931"/>
      <c r="AX243" s="931"/>
    </row>
    <row r="244" spans="1:50">
      <c r="A244" s="1758" t="str">
        <f ca="1">IF(ISERROR(INDEX(IPList,ROWS($A$6:A244))),
         IF(ISERROR(INDEX(VIP_InstanceList,ROWS($A$6:A244)-ROWS(IPList))),
                IF(ISERROR(INDEX(GTMLIST,ROWS($A$6:A244)-(ROWS(IPList)+(ROWS(VIP_InstanceList))))),"",
                      INDEX(GTMLIST,ROWS($A$6:A244)-(ROWS(IPList)+(ROWS(VIP_InstanceList))))),
                                  INDEX(VIP_InstanceList,ROWS($A$6:A244)-ROWS(IPList))),
                                             INDEX(IPList,ROWS($A$6:A244)))</f>
        <v/>
      </c>
      <c r="Y244" s="2980" t="s">
        <v>1782</v>
      </c>
      <c r="Z244" s="2980" t="s">
        <v>2357</v>
      </c>
      <c r="AA244" s="2980">
        <v>2722</v>
      </c>
      <c r="AB244" s="2980" t="s">
        <v>2342</v>
      </c>
      <c r="AC244" s="2980" t="s">
        <v>1129</v>
      </c>
      <c r="AD244" s="2980" t="s">
        <v>1135</v>
      </c>
      <c r="AW244" s="931"/>
      <c r="AX244" s="931"/>
    </row>
    <row r="245" spans="1:50">
      <c r="A245" s="1758" t="str">
        <f ca="1">IF(ISERROR(INDEX(IPList,ROWS($A$6:A245))),
         IF(ISERROR(INDEX(VIP_InstanceList,ROWS($A$6:A245)-ROWS(IPList))),
                IF(ISERROR(INDEX(GTMLIST,ROWS($A$6:A245)-(ROWS(IPList)+(ROWS(VIP_InstanceList))))),"",
                      INDEX(GTMLIST,ROWS($A$6:A245)-(ROWS(IPList)+(ROWS(VIP_InstanceList))))),
                                  INDEX(VIP_InstanceList,ROWS($A$6:A245)-ROWS(IPList))),
                                             INDEX(IPList,ROWS($A$6:A245)))</f>
        <v/>
      </c>
      <c r="Y245" s="2980" t="s">
        <v>1782</v>
      </c>
      <c r="Z245" s="2980" t="s">
        <v>4799</v>
      </c>
      <c r="AA245" s="2980">
        <v>2723</v>
      </c>
      <c r="AB245" s="2980" t="s">
        <v>2343</v>
      </c>
      <c r="AC245" s="2980" t="s">
        <v>1130</v>
      </c>
      <c r="AD245" s="2980" t="s">
        <v>1136</v>
      </c>
      <c r="AW245" s="931"/>
      <c r="AX245" s="931"/>
    </row>
    <row r="246" spans="1:50">
      <c r="A246" s="1758" t="str">
        <f ca="1">IF(ISERROR(INDEX(IPList,ROWS($A$6:A246))),
         IF(ISERROR(INDEX(VIP_InstanceList,ROWS($A$6:A246)-ROWS(IPList))),
                IF(ISERROR(INDEX(GTMLIST,ROWS($A$6:A246)-(ROWS(IPList)+(ROWS(VIP_InstanceList))))),"",
                      INDEX(GTMLIST,ROWS($A$6:A246)-(ROWS(IPList)+(ROWS(VIP_InstanceList))))),
                                  INDEX(VIP_InstanceList,ROWS($A$6:A246)-ROWS(IPList))),
                                             INDEX(IPList,ROWS($A$6:A246)))</f>
        <v/>
      </c>
      <c r="Y246" s="2980" t="s">
        <v>1782</v>
      </c>
      <c r="Z246" s="2980" t="s">
        <v>4800</v>
      </c>
      <c r="AA246" s="2980">
        <v>2724</v>
      </c>
      <c r="AB246" s="2980" t="s">
        <v>2344</v>
      </c>
      <c r="AC246" s="2980" t="s">
        <v>1131</v>
      </c>
      <c r="AD246" s="2980" t="s">
        <v>1137</v>
      </c>
      <c r="AW246" s="931"/>
      <c r="AX246" s="931"/>
    </row>
    <row r="247" spans="1:50">
      <c r="A247" s="1758" t="str">
        <f ca="1">IF(ISERROR(INDEX(IPList,ROWS($A$6:A247))),
         IF(ISERROR(INDEX(VIP_InstanceList,ROWS($A$6:A247)-ROWS(IPList))),
                IF(ISERROR(INDEX(GTMLIST,ROWS($A$6:A247)-(ROWS(IPList)+(ROWS(VIP_InstanceList))))),"",
                      INDEX(GTMLIST,ROWS($A$6:A247)-(ROWS(IPList)+(ROWS(VIP_InstanceList))))),
                                  INDEX(VIP_InstanceList,ROWS($A$6:A247)-ROWS(IPList))),
                                             INDEX(IPList,ROWS($A$6:A247)))</f>
        <v/>
      </c>
      <c r="Y247" s="2980" t="s">
        <v>1782</v>
      </c>
      <c r="Z247" s="2980" t="s">
        <v>4801</v>
      </c>
      <c r="AA247" s="2980">
        <v>2725</v>
      </c>
      <c r="AB247" s="2980" t="s">
        <v>2345</v>
      </c>
      <c r="AC247" s="2980" t="s">
        <v>1132</v>
      </c>
      <c r="AD247" s="2980" t="s">
        <v>1138</v>
      </c>
      <c r="AW247" s="931"/>
      <c r="AX247" s="931"/>
    </row>
    <row r="248" spans="1:50">
      <c r="A248" s="1758" t="str">
        <f ca="1">IF(ISERROR(INDEX(IPList,ROWS($A$6:A248))),
         IF(ISERROR(INDEX(VIP_InstanceList,ROWS($A$6:A248)-ROWS(IPList))),
                IF(ISERROR(INDEX(GTMLIST,ROWS($A$6:A248)-(ROWS(IPList)+(ROWS(VIP_InstanceList))))),"",
                      INDEX(GTMLIST,ROWS($A$6:A248)-(ROWS(IPList)+(ROWS(VIP_InstanceList))))),
                                  INDEX(VIP_InstanceList,ROWS($A$6:A248)-ROWS(IPList))),
                                             INDEX(IPList,ROWS($A$6:A248)))</f>
        <v/>
      </c>
      <c r="Y248" s="2980" t="s">
        <v>1782</v>
      </c>
      <c r="Z248" s="2980" t="s">
        <v>4802</v>
      </c>
      <c r="AA248" s="2980">
        <v>2726</v>
      </c>
      <c r="AB248" s="2980" t="s">
        <v>2346</v>
      </c>
      <c r="AC248" s="2980" t="s">
        <v>1133</v>
      </c>
      <c r="AD248" s="2980" t="s">
        <v>1139</v>
      </c>
      <c r="AW248" s="931"/>
      <c r="AX248" s="931"/>
    </row>
    <row r="249" spans="1:50">
      <c r="A249" s="1758" t="str">
        <f ca="1">IF(ISERROR(INDEX(IPList,ROWS($A$6:A249))),
         IF(ISERROR(INDEX(VIP_InstanceList,ROWS($A$6:A249)-ROWS(IPList))),
                IF(ISERROR(INDEX(GTMLIST,ROWS($A$6:A249)-(ROWS(IPList)+(ROWS(VIP_InstanceList))))),"",
                      INDEX(GTMLIST,ROWS($A$6:A249)-(ROWS(IPList)+(ROWS(VIP_InstanceList))))),
                                  INDEX(VIP_InstanceList,ROWS($A$6:A249)-ROWS(IPList))),
                                             INDEX(IPList,ROWS($A$6:A249)))</f>
        <v/>
      </c>
      <c r="Y249" s="2980" t="s">
        <v>1782</v>
      </c>
      <c r="Z249" s="2980" t="s">
        <v>4803</v>
      </c>
      <c r="AA249" s="2980">
        <v>2727</v>
      </c>
      <c r="AB249" s="2980" t="s">
        <v>2347</v>
      </c>
      <c r="AC249" s="2980" t="s">
        <v>1134</v>
      </c>
      <c r="AD249" s="2980" t="s">
        <v>1140</v>
      </c>
      <c r="AW249" s="931"/>
      <c r="AX249" s="931"/>
    </row>
    <row r="250" spans="1:50">
      <c r="A250" s="1758" t="str">
        <f ca="1">IF(ISERROR(INDEX(IPList,ROWS($A$6:A250))),
         IF(ISERROR(INDEX(VIP_InstanceList,ROWS($A$6:A250)-ROWS(IPList))),
                IF(ISERROR(INDEX(GTMLIST,ROWS($A$6:A250)-(ROWS(IPList)+(ROWS(VIP_InstanceList))))),"",
                      INDEX(GTMLIST,ROWS($A$6:A250)-(ROWS(IPList)+(ROWS(VIP_InstanceList))))),
                                  INDEX(VIP_InstanceList,ROWS($A$6:A250)-ROWS(IPList))),
                                             INDEX(IPList,ROWS($A$6:A250)))</f>
        <v/>
      </c>
      <c r="Y250" s="2980" t="s">
        <v>1782</v>
      </c>
      <c r="Z250" s="2980" t="s">
        <v>4804</v>
      </c>
      <c r="AA250" s="2980">
        <v>2728</v>
      </c>
      <c r="AB250" s="2980" t="s">
        <v>4805</v>
      </c>
      <c r="AC250" s="2980" t="s">
        <v>587</v>
      </c>
      <c r="AD250" s="2980" t="s">
        <v>588</v>
      </c>
      <c r="AW250" s="931"/>
      <c r="AX250" s="931"/>
    </row>
    <row r="251" spans="1:50">
      <c r="A251" s="1758" t="str">
        <f ca="1">IF(ISERROR(INDEX(IPList,ROWS($A$6:A251))),
         IF(ISERROR(INDEX(VIP_InstanceList,ROWS($A$6:A251)-ROWS(IPList))),
                IF(ISERROR(INDEX(GTMLIST,ROWS($A$6:A251)-(ROWS(IPList)+(ROWS(VIP_InstanceList))))),"",
                      INDEX(GTMLIST,ROWS($A$6:A251)-(ROWS(IPList)+(ROWS(VIP_InstanceList))))),
                                  INDEX(VIP_InstanceList,ROWS($A$6:A251)-ROWS(IPList))),
                                             INDEX(IPList,ROWS($A$6:A251)))</f>
        <v/>
      </c>
      <c r="Y251" s="2980" t="s">
        <v>1782</v>
      </c>
      <c r="Z251" s="2980" t="s">
        <v>2356</v>
      </c>
      <c r="AA251" s="2980">
        <v>2729</v>
      </c>
      <c r="AB251" s="2980" t="s">
        <v>4806</v>
      </c>
      <c r="AC251" s="2980" t="s">
        <v>2348</v>
      </c>
      <c r="AD251" s="2980" t="s">
        <v>2349</v>
      </c>
      <c r="AW251" s="931"/>
      <c r="AX251" s="931"/>
    </row>
    <row r="252" spans="1:50">
      <c r="A252" s="1758" t="str">
        <f ca="1">IF(ISERROR(INDEX(IPList,ROWS($A$6:A252))),
         IF(ISERROR(INDEX(VIP_InstanceList,ROWS($A$6:A252)-ROWS(IPList))),
                IF(ISERROR(INDEX(GTMLIST,ROWS($A$6:A252)-(ROWS(IPList)+(ROWS(VIP_InstanceList))))),"",
                      INDEX(GTMLIST,ROWS($A$6:A252)-(ROWS(IPList)+(ROWS(VIP_InstanceList))))),
                                  INDEX(VIP_InstanceList,ROWS($A$6:A252)-ROWS(IPList))),
                                             INDEX(IPList,ROWS($A$6:A252)))</f>
        <v/>
      </c>
      <c r="Y252" s="2980" t="s">
        <v>1782</v>
      </c>
      <c r="Z252" s="2980" t="s">
        <v>4807</v>
      </c>
      <c r="AA252" s="2980">
        <v>2730</v>
      </c>
      <c r="AB252" s="2980" t="s">
        <v>4808</v>
      </c>
      <c r="AC252" s="2980" t="s">
        <v>2350</v>
      </c>
      <c r="AD252" s="2980" t="s">
        <v>2351</v>
      </c>
      <c r="AW252" s="931"/>
      <c r="AX252" s="931"/>
    </row>
    <row r="253" spans="1:50">
      <c r="A253" s="1758" t="str">
        <f ca="1">IF(ISERROR(INDEX(IPList,ROWS($A$6:A253))),
         IF(ISERROR(INDEX(VIP_InstanceList,ROWS($A$6:A253)-ROWS(IPList))),
                IF(ISERROR(INDEX(GTMLIST,ROWS($A$6:A253)-(ROWS(IPList)+(ROWS(VIP_InstanceList))))),"",
                      INDEX(GTMLIST,ROWS($A$6:A253)-(ROWS(IPList)+(ROWS(VIP_InstanceList))))),
                                  INDEX(VIP_InstanceList,ROWS($A$6:A253)-ROWS(IPList))),
                                             INDEX(IPList,ROWS($A$6:A253)))</f>
        <v/>
      </c>
      <c r="Y253" s="2980" t="s">
        <v>1782</v>
      </c>
      <c r="Z253" s="2980" t="s">
        <v>4809</v>
      </c>
      <c r="AA253" s="2980">
        <v>2732</v>
      </c>
      <c r="AB253" s="2980" t="s">
        <v>4810</v>
      </c>
      <c r="AC253" s="2980" t="s">
        <v>2352</v>
      </c>
      <c r="AD253" s="2980" t="s">
        <v>2353</v>
      </c>
      <c r="AW253" s="931"/>
      <c r="AX253" s="931"/>
    </row>
    <row r="254" spans="1:50">
      <c r="A254" s="1758" t="str">
        <f ca="1">IF(ISERROR(INDEX(IPList,ROWS($A$6:A254))),
         IF(ISERROR(INDEX(VIP_InstanceList,ROWS($A$6:A254)-ROWS(IPList))),
                IF(ISERROR(INDEX(GTMLIST,ROWS($A$6:A254)-(ROWS(IPList)+(ROWS(VIP_InstanceList))))),"",
                      INDEX(GTMLIST,ROWS($A$6:A254)-(ROWS(IPList)+(ROWS(VIP_InstanceList))))),
                                  INDEX(VIP_InstanceList,ROWS($A$6:A254)-ROWS(IPList))),
                                             INDEX(IPList,ROWS($A$6:A254)))</f>
        <v/>
      </c>
      <c r="Y254" s="2980" t="s">
        <v>1782</v>
      </c>
      <c r="Z254" s="2980" t="s">
        <v>4811</v>
      </c>
      <c r="AA254" s="2980">
        <v>2734</v>
      </c>
      <c r="AB254" s="2980" t="s">
        <v>4812</v>
      </c>
      <c r="AC254" s="2980" t="s">
        <v>2354</v>
      </c>
      <c r="AD254" s="2980" t="s">
        <v>2355</v>
      </c>
      <c r="AW254" s="931"/>
      <c r="AX254" s="931"/>
    </row>
    <row r="255" spans="1:50">
      <c r="A255" s="1758" t="str">
        <f ca="1">IF(ISERROR(INDEX(IPList,ROWS($A$6:A255))),
         IF(ISERROR(INDEX(VIP_InstanceList,ROWS($A$6:A255)-ROWS(IPList))),
                IF(ISERROR(INDEX(GTMLIST,ROWS($A$6:A255)-(ROWS(IPList)+(ROWS(VIP_InstanceList))))),"",
                      INDEX(GTMLIST,ROWS($A$6:A255)-(ROWS(IPList)+(ROWS(VIP_InstanceList))))),
                                  INDEX(VIP_InstanceList,ROWS($A$6:A255)-ROWS(IPList))),
                                             INDEX(IPList,ROWS($A$6:A255)))</f>
        <v/>
      </c>
      <c r="Y255" s="2980" t="s">
        <v>1782</v>
      </c>
      <c r="Z255" s="2980" t="s">
        <v>660</v>
      </c>
      <c r="AA255" s="2980">
        <v>2746</v>
      </c>
      <c r="AB255" s="2980" t="s">
        <v>271</v>
      </c>
      <c r="AC255" s="2980" t="s">
        <v>342</v>
      </c>
      <c r="AD255" s="2980" t="s">
        <v>343</v>
      </c>
      <c r="AW255" s="931"/>
      <c r="AX255" s="931"/>
    </row>
    <row r="256" spans="1:50">
      <c r="A256" s="1758" t="str">
        <f ca="1">IF(ISERROR(INDEX(IPList,ROWS($A$6:A256))),
         IF(ISERROR(INDEX(VIP_InstanceList,ROWS($A$6:A256)-ROWS(IPList))),
                IF(ISERROR(INDEX(GTMLIST,ROWS($A$6:A256)-(ROWS(IPList)+(ROWS(VIP_InstanceList))))),"",
                      INDEX(GTMLIST,ROWS($A$6:A256)-(ROWS(IPList)+(ROWS(VIP_InstanceList))))),
                                  INDEX(VIP_InstanceList,ROWS($A$6:A256)-ROWS(IPList))),
                                             INDEX(IPList,ROWS($A$6:A256)))</f>
        <v/>
      </c>
      <c r="Y256" s="2980" t="s">
        <v>1782</v>
      </c>
      <c r="Z256" s="2980" t="s">
        <v>4813</v>
      </c>
      <c r="AA256" s="2980">
        <v>2782</v>
      </c>
      <c r="AB256" s="2980" t="s">
        <v>4814</v>
      </c>
      <c r="AC256" s="2980" t="s">
        <v>3384</v>
      </c>
      <c r="AD256" s="2980" t="s">
        <v>3385</v>
      </c>
      <c r="AW256" s="931"/>
      <c r="AX256" s="931"/>
    </row>
    <row r="257" spans="1:50">
      <c r="A257" s="1758" t="str">
        <f ca="1">IF(ISERROR(INDEX(IPList,ROWS($A$6:A257))),
         IF(ISERROR(INDEX(VIP_InstanceList,ROWS($A$6:A257)-ROWS(IPList))),
                IF(ISERROR(INDEX(GTMLIST,ROWS($A$6:A257)-(ROWS(IPList)+(ROWS(VIP_InstanceList))))),"",
                      INDEX(GTMLIST,ROWS($A$6:A257)-(ROWS(IPList)+(ROWS(VIP_InstanceList))))),
                                  INDEX(VIP_InstanceList,ROWS($A$6:A257)-ROWS(IPList))),
                                             INDEX(IPList,ROWS($A$6:A257)))</f>
        <v/>
      </c>
      <c r="Y257" s="2980" t="s">
        <v>1782</v>
      </c>
      <c r="Z257" s="2980" t="s">
        <v>2699</v>
      </c>
      <c r="AA257" s="2980">
        <v>2787</v>
      </c>
      <c r="AB257" s="2980" t="s">
        <v>2699</v>
      </c>
      <c r="AC257" s="2980" t="s">
        <v>2700</v>
      </c>
      <c r="AD257" s="2980" t="s">
        <v>2701</v>
      </c>
      <c r="AX257" s="931"/>
    </row>
    <row r="258" spans="1:50">
      <c r="A258" s="1758" t="str">
        <f ca="1">IF(ISERROR(INDEX(IPList,ROWS($A$6:A258))),
         IF(ISERROR(INDEX(VIP_InstanceList,ROWS($A$6:A258)-ROWS(IPList))),
                IF(ISERROR(INDEX(GTMLIST,ROWS($A$6:A258)-(ROWS(IPList)+(ROWS(VIP_InstanceList))))),"",
                      INDEX(GTMLIST,ROWS($A$6:A258)-(ROWS(IPList)+(ROWS(VIP_InstanceList))))),
                                  INDEX(VIP_InstanceList,ROWS($A$6:A258)-ROWS(IPList))),
                                             INDEX(IPList,ROWS($A$6:A258)))</f>
        <v/>
      </c>
      <c r="Y258" s="2980" t="s">
        <v>1782</v>
      </c>
      <c r="Z258" s="2980" t="s">
        <v>3591</v>
      </c>
      <c r="AA258" s="2980">
        <v>2837</v>
      </c>
      <c r="AB258" s="2980" t="s">
        <v>3591</v>
      </c>
      <c r="AC258" s="2980" t="s">
        <v>2717</v>
      </c>
      <c r="AD258" s="2980" t="s">
        <v>2718</v>
      </c>
      <c r="AX258" s="931"/>
    </row>
    <row r="259" spans="1:50">
      <c r="A259" s="1758" t="str">
        <f ca="1">IF(ISERROR(INDEX(IPList,ROWS($A$6:A259))),
         IF(ISERROR(INDEX(VIP_InstanceList,ROWS($A$6:A259)-ROWS(IPList))),
                IF(ISERROR(INDEX(GTMLIST,ROWS($A$6:A259)-(ROWS(IPList)+(ROWS(VIP_InstanceList))))),"",
                      INDEX(GTMLIST,ROWS($A$6:A259)-(ROWS(IPList)+(ROWS(VIP_InstanceList))))),
                                  INDEX(VIP_InstanceList,ROWS($A$6:A259)-ROWS(IPList))),
                                             INDEX(IPList,ROWS($A$6:A259)))</f>
        <v/>
      </c>
      <c r="Y259" s="2980" t="s">
        <v>1782</v>
      </c>
      <c r="Z259" s="2980" t="s">
        <v>3589</v>
      </c>
      <c r="AA259" s="2980">
        <v>2788</v>
      </c>
      <c r="AB259" s="2980" t="s">
        <v>2702</v>
      </c>
      <c r="AC259" s="2980" t="s">
        <v>2703</v>
      </c>
      <c r="AD259" s="2980" t="s">
        <v>2704</v>
      </c>
      <c r="AX259" s="931"/>
    </row>
    <row r="260" spans="1:50">
      <c r="A260" s="1758" t="str">
        <f ca="1">IF(ISERROR(INDEX(IPList,ROWS($A$6:A260))),
         IF(ISERROR(INDEX(VIP_InstanceList,ROWS($A$6:A260)-ROWS(IPList))),
                IF(ISERROR(INDEX(GTMLIST,ROWS($A$6:A260)-(ROWS(IPList)+(ROWS(VIP_InstanceList))))),"",
                      INDEX(GTMLIST,ROWS($A$6:A260)-(ROWS(IPList)+(ROWS(VIP_InstanceList))))),
                                  INDEX(VIP_InstanceList,ROWS($A$6:A260)-ROWS(IPList))),
                                             INDEX(IPList,ROWS($A$6:A260)))</f>
        <v/>
      </c>
      <c r="Y260" s="2980" t="s">
        <v>1782</v>
      </c>
      <c r="Z260" s="2980" t="s">
        <v>3588</v>
      </c>
      <c r="AA260" s="2980">
        <v>2789</v>
      </c>
      <c r="AB260" s="2980" t="s">
        <v>2705</v>
      </c>
      <c r="AC260" s="2980" t="s">
        <v>2706</v>
      </c>
      <c r="AD260" s="2980" t="s">
        <v>2707</v>
      </c>
      <c r="AX260" s="931"/>
    </row>
    <row r="261" spans="1:50">
      <c r="A261" s="1758" t="str">
        <f ca="1">IF(ISERROR(INDEX(IPList,ROWS($A$6:A261))),
         IF(ISERROR(INDEX(VIP_InstanceList,ROWS($A$6:A261)-ROWS(IPList))),
                IF(ISERROR(INDEX(GTMLIST,ROWS($A$6:A261)-(ROWS(IPList)+(ROWS(VIP_InstanceList))))),"",
                      INDEX(GTMLIST,ROWS($A$6:A261)-(ROWS(IPList)+(ROWS(VIP_InstanceList))))),
                                  INDEX(VIP_InstanceList,ROWS($A$6:A261)-ROWS(IPList))),
                                             INDEX(IPList,ROWS($A$6:A261)))</f>
        <v/>
      </c>
      <c r="Y261" s="2980" t="s">
        <v>1782</v>
      </c>
      <c r="Z261" s="2980" t="s">
        <v>4815</v>
      </c>
      <c r="AA261" s="2980">
        <v>2790</v>
      </c>
      <c r="AB261" s="2980" t="s">
        <v>2708</v>
      </c>
      <c r="AC261" s="2980" t="s">
        <v>2709</v>
      </c>
      <c r="AD261" s="2980" t="s">
        <v>2710</v>
      </c>
      <c r="AX261" s="931"/>
    </row>
    <row r="262" spans="1:50">
      <c r="A262" s="1758" t="str">
        <f ca="1">IF(ISERROR(INDEX(IPList,ROWS($A$6:A262))),
         IF(ISERROR(INDEX(VIP_InstanceList,ROWS($A$6:A262)-ROWS(IPList))),
                IF(ISERROR(INDEX(GTMLIST,ROWS($A$6:A262)-(ROWS(IPList)+(ROWS(VIP_InstanceList))))),"",
                      INDEX(GTMLIST,ROWS($A$6:A262)-(ROWS(IPList)+(ROWS(VIP_InstanceList))))),
                                  INDEX(VIP_InstanceList,ROWS($A$6:A262)-ROWS(IPList))),
                                             INDEX(IPList,ROWS($A$6:A262)))</f>
        <v/>
      </c>
      <c r="Y262" s="2980" t="s">
        <v>1782</v>
      </c>
      <c r="Z262" s="2980" t="s">
        <v>4816</v>
      </c>
      <c r="AA262" s="2980">
        <v>2844</v>
      </c>
      <c r="AB262" s="2980" t="s">
        <v>4699</v>
      </c>
      <c r="AC262" s="2980" t="s">
        <v>3392</v>
      </c>
      <c r="AD262" s="2980" t="s">
        <v>3393</v>
      </c>
      <c r="AX262" s="931"/>
    </row>
    <row r="263" spans="1:50" ht="15">
      <c r="A263" s="1758" t="str">
        <f ca="1">IF(ISERROR(INDEX(IPList,ROWS($A$6:A263))),
         IF(ISERROR(INDEX(VIP_InstanceList,ROWS($A$6:A263)-ROWS(IPList))),
                IF(ISERROR(INDEX(GTMLIST,ROWS($A$6:A263)-(ROWS(IPList)+(ROWS(VIP_InstanceList))))),"",
                      INDEX(GTMLIST,ROWS($A$6:A263)-(ROWS(IPList)+(ROWS(VIP_InstanceList))))),
                                  INDEX(VIP_InstanceList,ROWS($A$6:A263)-ROWS(IPList))),
                                             INDEX(IPList,ROWS($A$6:A263)))</f>
        <v/>
      </c>
      <c r="Y263" s="2980" t="s">
        <v>1782</v>
      </c>
      <c r="Z263" s="2983" t="s">
        <v>4434</v>
      </c>
      <c r="AA263" s="2984">
        <v>2846</v>
      </c>
      <c r="AB263" s="2980" t="s">
        <v>4817</v>
      </c>
      <c r="AC263" s="2980" t="s">
        <v>4818</v>
      </c>
      <c r="AD263" s="2980" t="s">
        <v>4435</v>
      </c>
      <c r="AX263" s="931"/>
    </row>
    <row r="264" spans="1:50">
      <c r="A264" s="1758" t="str">
        <f ca="1">IF(ISERROR(INDEX(IPList,ROWS($A$6:A264))),
         IF(ISERROR(INDEX(VIP_InstanceList,ROWS($A$6:A264)-ROWS(IPList))),
                IF(ISERROR(INDEX(GTMLIST,ROWS($A$6:A264)-(ROWS(IPList)+(ROWS(VIP_InstanceList))))),"",
                      INDEX(GTMLIST,ROWS($A$6:A264)-(ROWS(IPList)+(ROWS(VIP_InstanceList))))),
                                  INDEX(VIP_InstanceList,ROWS($A$6:A264)-ROWS(IPList))),
                                             INDEX(IPList,ROWS($A$6:A264)))</f>
        <v/>
      </c>
      <c r="Y264" s="2980" t="s">
        <v>1782</v>
      </c>
      <c r="Z264" s="2980" t="s">
        <v>4131</v>
      </c>
      <c r="AA264" s="2980">
        <v>2848</v>
      </c>
      <c r="AB264" s="2980" t="s">
        <v>4819</v>
      </c>
      <c r="AC264" s="2980" t="s">
        <v>4153</v>
      </c>
      <c r="AD264" s="2980" t="s">
        <v>4154</v>
      </c>
      <c r="AX264" s="931"/>
    </row>
    <row r="265" spans="1:50">
      <c r="A265" s="1758" t="str">
        <f ca="1">IF(ISERROR(INDEX(IPList,ROWS($A$6:A265))),
         IF(ISERROR(INDEX(VIP_InstanceList,ROWS($A$6:A265)-ROWS(IPList))),
                IF(ISERROR(INDEX(GTMLIST,ROWS($A$6:A265)-(ROWS(IPList)+(ROWS(VIP_InstanceList))))),"",
                      INDEX(GTMLIST,ROWS($A$6:A265)-(ROWS(IPList)+(ROWS(VIP_InstanceList))))),
                                  INDEX(VIP_InstanceList,ROWS($A$6:A265)-ROWS(IPList))),
                                             INDEX(IPList,ROWS($A$6:A265)))</f>
        <v/>
      </c>
      <c r="Y265" s="2980" t="s">
        <v>1782</v>
      </c>
      <c r="Z265" s="2980" t="s">
        <v>4820</v>
      </c>
      <c r="AA265" s="2980">
        <v>2861</v>
      </c>
      <c r="AB265" s="2980" t="s">
        <v>4821</v>
      </c>
      <c r="AC265" s="2980" t="s">
        <v>4822</v>
      </c>
      <c r="AD265" s="2980" t="s">
        <v>4823</v>
      </c>
      <c r="AX265" s="931"/>
    </row>
    <row r="266" spans="1:50">
      <c r="A266" s="1758" t="str">
        <f ca="1">IF(ISERROR(INDEX(IPList,ROWS($A$6:A266))),
         IF(ISERROR(INDEX(VIP_InstanceList,ROWS($A$6:A266)-ROWS(IPList))),
                IF(ISERROR(INDEX(GTMLIST,ROWS($A$6:A266)-(ROWS(IPList)+(ROWS(VIP_InstanceList))))),"",
                      INDEX(GTMLIST,ROWS($A$6:A266)-(ROWS(IPList)+(ROWS(VIP_InstanceList))))),
                                  INDEX(VIP_InstanceList,ROWS($A$6:A266)-ROWS(IPList))),
                                             INDEX(IPList,ROWS($A$6:A266)))</f>
        <v/>
      </c>
      <c r="Y266" s="2980" t="s">
        <v>1782</v>
      </c>
      <c r="Z266" s="2980" t="s">
        <v>4824</v>
      </c>
      <c r="AA266" s="2980">
        <v>2862</v>
      </c>
      <c r="AB266" s="2980" t="s">
        <v>4825</v>
      </c>
      <c r="AC266" s="2980" t="s">
        <v>4826</v>
      </c>
      <c r="AD266" s="2980" t="s">
        <v>4827</v>
      </c>
      <c r="AX266" s="931"/>
    </row>
    <row r="267" spans="1:50">
      <c r="A267" s="1758" t="str">
        <f ca="1">IF(ISERROR(INDEX(IPList,ROWS($A$6:A267))),
         IF(ISERROR(INDEX(VIP_InstanceList,ROWS($A$6:A267)-ROWS(IPList))),
                IF(ISERROR(INDEX(GTMLIST,ROWS($A$6:A267)-(ROWS(IPList)+(ROWS(VIP_InstanceList))))),"",
                      INDEX(GTMLIST,ROWS($A$6:A267)-(ROWS(IPList)+(ROWS(VIP_InstanceList))))),
                                  INDEX(VIP_InstanceList,ROWS($A$6:A267)-ROWS(IPList))),
                                             INDEX(IPList,ROWS($A$6:A267)))</f>
        <v/>
      </c>
      <c r="Y267" s="2980" t="s">
        <v>1782</v>
      </c>
      <c r="Z267" s="2980" t="s">
        <v>4828</v>
      </c>
      <c r="AA267" s="2980">
        <v>2851</v>
      </c>
      <c r="AB267" s="2980" t="s">
        <v>4829</v>
      </c>
      <c r="AC267" s="2980" t="s">
        <v>4124</v>
      </c>
      <c r="AD267" s="2980" t="s">
        <v>4125</v>
      </c>
      <c r="AX267" s="931"/>
    </row>
    <row r="268" spans="1:50">
      <c r="A268" s="1758" t="str">
        <f ca="1">IF(ISERROR(INDEX(IPList,ROWS($A$6:A268))),
         IF(ISERROR(INDEX(VIP_InstanceList,ROWS($A$6:A268)-ROWS(IPList))),
                IF(ISERROR(INDEX(GTMLIST,ROWS($A$6:A268)-(ROWS(IPList)+(ROWS(VIP_InstanceList))))),"",
                      INDEX(GTMLIST,ROWS($A$6:A268)-(ROWS(IPList)+(ROWS(VIP_InstanceList))))),
                                  INDEX(VIP_InstanceList,ROWS($A$6:A268)-ROWS(IPList))),
                                             INDEX(IPList,ROWS($A$6:A268)))</f>
        <v/>
      </c>
      <c r="Y268" s="2980" t="s">
        <v>1782</v>
      </c>
      <c r="Z268" s="2980" t="s">
        <v>4830</v>
      </c>
      <c r="AA268" s="2980">
        <v>2720</v>
      </c>
      <c r="AB268" s="2980" t="s">
        <v>2340</v>
      </c>
      <c r="AC268" s="2980" t="s">
        <v>468</v>
      </c>
      <c r="AD268" s="2980" t="s">
        <v>469</v>
      </c>
      <c r="AX268" s="931"/>
    </row>
    <row r="269" spans="1:50">
      <c r="A269" s="1758" t="str">
        <f ca="1">IF(ISERROR(INDEX(IPList,ROWS($A$6:A269))),
         IF(ISERROR(INDEX(VIP_InstanceList,ROWS($A$6:A269)-ROWS(IPList))),
                IF(ISERROR(INDEX(GTMLIST,ROWS($A$6:A269)-(ROWS(IPList)+(ROWS(VIP_InstanceList))))),"",
                      INDEX(GTMLIST,ROWS($A$6:A269)-(ROWS(IPList)+(ROWS(VIP_InstanceList))))),
                                  INDEX(VIP_InstanceList,ROWS($A$6:A269)-ROWS(IPList))),
                                             INDEX(IPList,ROWS($A$6:A269)))</f>
        <v/>
      </c>
      <c r="Y269" s="2980" t="s">
        <v>1782</v>
      </c>
      <c r="Z269" s="2980" t="s">
        <v>4831</v>
      </c>
      <c r="AA269" s="2980">
        <v>2721</v>
      </c>
      <c r="AB269" s="2980" t="s">
        <v>2340</v>
      </c>
      <c r="AC269" s="2980" t="s">
        <v>1127</v>
      </c>
      <c r="AD269" s="2980" t="s">
        <v>1128</v>
      </c>
      <c r="AX269" s="931"/>
    </row>
    <row r="270" spans="1:50">
      <c r="A270" s="1758" t="str">
        <f ca="1">IF(ISERROR(INDEX(IPList,ROWS($A$6:A270))),
         IF(ISERROR(INDEX(VIP_InstanceList,ROWS($A$6:A270)-ROWS(IPList))),
                IF(ISERROR(INDEX(GTMLIST,ROWS($A$6:A270)-(ROWS(IPList)+(ROWS(VIP_InstanceList))))),"",
                      INDEX(GTMLIST,ROWS($A$6:A270)-(ROWS(IPList)+(ROWS(VIP_InstanceList))))),
                                  INDEX(VIP_InstanceList,ROWS($A$6:A270)-ROWS(IPList))),
                                             INDEX(IPList,ROWS($A$6:A270)))</f>
        <v/>
      </c>
      <c r="Y270" s="2980" t="s">
        <v>1782</v>
      </c>
      <c r="Z270" s="2980" t="s">
        <v>4832</v>
      </c>
      <c r="AA270" s="2980">
        <v>2728</v>
      </c>
      <c r="AB270" s="2980" t="s">
        <v>4805</v>
      </c>
      <c r="AC270" s="2980" t="s">
        <v>587</v>
      </c>
      <c r="AD270" s="2980" t="s">
        <v>588</v>
      </c>
      <c r="AX270" s="931"/>
    </row>
    <row r="271" spans="1:50">
      <c r="A271" s="1758" t="str">
        <f ca="1">IF(ISERROR(INDEX(IPList,ROWS($A$6:A271))),
         IF(ISERROR(INDEX(VIP_InstanceList,ROWS($A$6:A271)-ROWS(IPList))),
                IF(ISERROR(INDEX(GTMLIST,ROWS($A$6:A271)-(ROWS(IPList)+(ROWS(VIP_InstanceList))))),"",
                      INDEX(GTMLIST,ROWS($A$6:A271)-(ROWS(IPList)+(ROWS(VIP_InstanceList))))),
                                  INDEX(VIP_InstanceList,ROWS($A$6:A271)-ROWS(IPList))),
                                             INDEX(IPList,ROWS($A$6:A271)))</f>
        <v/>
      </c>
      <c r="Y271" s="2980" t="s">
        <v>1782</v>
      </c>
      <c r="Z271" s="2980" t="s">
        <v>2391</v>
      </c>
      <c r="AA271" s="2980">
        <v>2729</v>
      </c>
      <c r="AB271" s="2980" t="s">
        <v>4806</v>
      </c>
      <c r="AC271" s="2980" t="s">
        <v>2348</v>
      </c>
      <c r="AD271" s="2980" t="s">
        <v>2349</v>
      </c>
      <c r="AX271" s="931"/>
    </row>
    <row r="272" spans="1:50">
      <c r="A272" s="1758" t="str">
        <f ca="1">IF(ISERROR(INDEX(IPList,ROWS($A$6:A272))),
         IF(ISERROR(INDEX(VIP_InstanceList,ROWS($A$6:A272)-ROWS(IPList))),
                IF(ISERROR(INDEX(GTMLIST,ROWS($A$6:A272)-(ROWS(IPList)+(ROWS(VIP_InstanceList))))),"",
                      INDEX(GTMLIST,ROWS($A$6:A272)-(ROWS(IPList)+(ROWS(VIP_InstanceList))))),
                                  INDEX(VIP_InstanceList,ROWS($A$6:A272)-ROWS(IPList))),
                                             INDEX(IPList,ROWS($A$6:A272)))</f>
        <v/>
      </c>
      <c r="Y272" s="2980" t="s">
        <v>1782</v>
      </c>
      <c r="Z272" s="2980" t="s">
        <v>1603</v>
      </c>
      <c r="AA272" s="2980">
        <v>2602</v>
      </c>
      <c r="AB272" s="2980" t="s">
        <v>3737</v>
      </c>
      <c r="AC272" s="2980" t="s">
        <v>3738</v>
      </c>
      <c r="AD272" s="2980" t="s">
        <v>3739</v>
      </c>
      <c r="AX272" s="931"/>
    </row>
    <row r="273" spans="1:139">
      <c r="A273" s="1758" t="str">
        <f ca="1">IF(ISERROR(INDEX(IPList,ROWS($A$6:A273))),
         IF(ISERROR(INDEX(VIP_InstanceList,ROWS($A$6:A273)-ROWS(IPList))),
                IF(ISERROR(INDEX(GTMLIST,ROWS($A$6:A273)-(ROWS(IPList)+(ROWS(VIP_InstanceList))))),"",
                      INDEX(GTMLIST,ROWS($A$6:A273)-(ROWS(IPList)+(ROWS(VIP_InstanceList))))),
                                  INDEX(VIP_InstanceList,ROWS($A$6:A273)-ROWS(IPList))),
                                             INDEX(IPList,ROWS($A$6:A273)))</f>
        <v/>
      </c>
      <c r="Y273" s="2980" t="s">
        <v>1782</v>
      </c>
      <c r="Z273" s="2980" t="s">
        <v>4833</v>
      </c>
      <c r="AA273" s="2980">
        <v>2711</v>
      </c>
      <c r="AB273" s="2980" t="s">
        <v>4834</v>
      </c>
      <c r="AC273" s="2980" t="s">
        <v>4835</v>
      </c>
      <c r="AD273" s="2980" t="s">
        <v>4836</v>
      </c>
      <c r="AX273" s="931"/>
    </row>
    <row r="274" spans="1:139">
      <c r="A274" s="1758" t="str">
        <f ca="1">IF(ISERROR(INDEX(IPList,ROWS($A$6:A274))),
         IF(ISERROR(INDEX(VIP_InstanceList,ROWS($A$6:A274)-ROWS(IPList))),
                IF(ISERROR(INDEX(GTMLIST,ROWS($A$6:A274)-(ROWS(IPList)+(ROWS(VIP_InstanceList))))),"",
                      INDEX(GTMLIST,ROWS($A$6:A274)-(ROWS(IPList)+(ROWS(VIP_InstanceList))))),
                                  INDEX(VIP_InstanceList,ROWS($A$6:A274)-ROWS(IPList))),
                                             INDEX(IPList,ROWS($A$6:A274)))</f>
        <v/>
      </c>
      <c r="Y274" s="2980" t="s">
        <v>1782</v>
      </c>
      <c r="Z274" s="2980" t="s">
        <v>4837</v>
      </c>
      <c r="AA274" s="2980">
        <v>2712</v>
      </c>
      <c r="AB274" s="2980" t="s">
        <v>4838</v>
      </c>
      <c r="AC274" s="2980" t="s">
        <v>330</v>
      </c>
      <c r="AD274" s="2980" t="s">
        <v>331</v>
      </c>
      <c r="AX274" s="931"/>
    </row>
    <row r="275" spans="1:139">
      <c r="A275" s="1758" t="str">
        <f ca="1">IF(ISERROR(INDEX(IPList,ROWS($A$6:A275))),
         IF(ISERROR(INDEX(VIP_InstanceList,ROWS($A$6:A275)-ROWS(IPList))),
                IF(ISERROR(INDEX(GTMLIST,ROWS($A$6:A275)-(ROWS(IPList)+(ROWS(VIP_InstanceList))))),"",
                      INDEX(GTMLIST,ROWS($A$6:A275)-(ROWS(IPList)+(ROWS(VIP_InstanceList))))),
                                  INDEX(VIP_InstanceList,ROWS($A$6:A275)-ROWS(IPList))),
                                             INDEX(IPList,ROWS($A$6:A275)))</f>
        <v/>
      </c>
      <c r="Y275" s="2980" t="s">
        <v>1782</v>
      </c>
      <c r="Z275" s="2980" t="s">
        <v>301</v>
      </c>
      <c r="AA275" s="2980">
        <v>2716</v>
      </c>
      <c r="AB275" s="2980" t="s">
        <v>289</v>
      </c>
      <c r="AC275" s="2980" t="s">
        <v>291</v>
      </c>
      <c r="AD275" s="2980" t="s">
        <v>297</v>
      </c>
      <c r="AX275" s="931"/>
    </row>
    <row r="276" spans="1:139">
      <c r="A276" s="1758" t="str">
        <f ca="1">IF(ISERROR(INDEX(IPList,ROWS($A$6:A276))),
         IF(ISERROR(INDEX(VIP_InstanceList,ROWS($A$6:A276)-ROWS(IPList))),
                IF(ISERROR(INDEX(GTMLIST,ROWS($A$6:A276)-(ROWS(IPList)+(ROWS(VIP_InstanceList))))),"",
                      INDEX(GTMLIST,ROWS($A$6:A276)-(ROWS(IPList)+(ROWS(VIP_InstanceList))))),
                                  INDEX(VIP_InstanceList,ROWS($A$6:A276)-ROWS(IPList))),
                                             INDEX(IPList,ROWS($A$6:A276)))</f>
        <v/>
      </c>
      <c r="Y276" s="2980" t="s">
        <v>1782</v>
      </c>
      <c r="Z276" s="2980" t="s">
        <v>302</v>
      </c>
      <c r="AA276" s="2980">
        <v>2718</v>
      </c>
      <c r="AB276" s="2980" t="s">
        <v>290</v>
      </c>
      <c r="AC276" s="2980" t="s">
        <v>292</v>
      </c>
      <c r="AD276" s="2980" t="s">
        <v>298</v>
      </c>
      <c r="AX276" s="931"/>
      <c r="EI276" s="931"/>
    </row>
    <row r="277" spans="1:139">
      <c r="A277" s="1758" t="str">
        <f ca="1">IF(ISERROR(INDEX(IPList,ROWS($A$6:A277))),
         IF(ISERROR(INDEX(VIP_InstanceList,ROWS($A$6:A277)-ROWS(IPList))),
                IF(ISERROR(INDEX(GTMLIST,ROWS($A$6:A277)-(ROWS(IPList)+(ROWS(VIP_InstanceList))))),"",
                      INDEX(GTMLIST,ROWS($A$6:A277)-(ROWS(IPList)+(ROWS(VIP_InstanceList))))),
                                  INDEX(VIP_InstanceList,ROWS($A$6:A277)-ROWS(IPList))),
                                             INDEX(IPList,ROWS($A$6:A277)))</f>
        <v/>
      </c>
      <c r="Y277" s="2980" t="s">
        <v>1782</v>
      </c>
      <c r="Z277" s="2980" t="s">
        <v>2358</v>
      </c>
      <c r="AA277" s="2980">
        <v>2736</v>
      </c>
      <c r="AB277" s="2980" t="s">
        <v>340</v>
      </c>
      <c r="AC277" s="2980" t="s">
        <v>293</v>
      </c>
      <c r="AD277" s="2980" t="s">
        <v>299</v>
      </c>
      <c r="AX277" s="931"/>
      <c r="EI277" s="931"/>
    </row>
    <row r="278" spans="1:139">
      <c r="A278" s="1758" t="str">
        <f ca="1">IF(ISERROR(INDEX(IPList,ROWS($A$6:A278))),
         IF(ISERROR(INDEX(VIP_InstanceList,ROWS($A$6:A278)-ROWS(IPList))),
                IF(ISERROR(INDEX(GTMLIST,ROWS($A$6:A278)-(ROWS(IPList)+(ROWS(VIP_InstanceList))))),"",
                      INDEX(GTMLIST,ROWS($A$6:A278)-(ROWS(IPList)+(ROWS(VIP_InstanceList))))),
                                  INDEX(VIP_InstanceList,ROWS($A$6:A278)-ROWS(IPList))),
                                             INDEX(IPList,ROWS($A$6:A278)))</f>
        <v/>
      </c>
      <c r="Y278" s="2980" t="s">
        <v>1782</v>
      </c>
      <c r="Z278" s="2980" t="s">
        <v>842</v>
      </c>
      <c r="AA278" s="2980">
        <v>2784</v>
      </c>
      <c r="AB278" s="2980" t="s">
        <v>842</v>
      </c>
      <c r="AC278" s="2980" t="s">
        <v>843</v>
      </c>
      <c r="AD278" s="2980" t="s">
        <v>844</v>
      </c>
      <c r="AX278" s="931"/>
      <c r="EI278" s="931"/>
    </row>
    <row r="279" spans="1:139" ht="15">
      <c r="A279" s="1758" t="str">
        <f ca="1">IF(ISERROR(INDEX(IPList,ROWS($A$6:A279))),
         IF(ISERROR(INDEX(VIP_InstanceList,ROWS($A$6:A279)-ROWS(IPList))),
                IF(ISERROR(INDEX(GTMLIST,ROWS($A$6:A279)-(ROWS(IPList)+(ROWS(VIP_InstanceList))))),"",
                      INDEX(GTMLIST,ROWS($A$6:A279)-(ROWS(IPList)+(ROWS(VIP_InstanceList))))),
                                  INDEX(VIP_InstanceList,ROWS($A$6:A279)-ROWS(IPList))),
                                             INDEX(IPList,ROWS($A$6:A279)))</f>
        <v/>
      </c>
      <c r="Y279" s="2974"/>
      <c r="Z279" s="2975" t="s">
        <v>4718</v>
      </c>
      <c r="AA279" s="2974"/>
      <c r="AB279" s="2974"/>
      <c r="AC279" s="2974"/>
      <c r="AD279" s="2974"/>
      <c r="AX279" s="931"/>
      <c r="EI279" s="931"/>
    </row>
    <row r="280" spans="1:139" ht="15">
      <c r="A280" s="1758" t="str">
        <f ca="1">IF(ISERROR(INDEX(IPList,ROWS($A$6:A280))),
         IF(ISERROR(INDEX(VIP_InstanceList,ROWS($A$6:A280)-ROWS(IPList))),
                IF(ISERROR(INDEX(GTMLIST,ROWS($A$6:A280)-(ROWS(IPList)+(ROWS(VIP_InstanceList))))),"",
                      INDEX(GTMLIST,ROWS($A$6:A280)-(ROWS(IPList)+(ROWS(VIP_InstanceList))))),
                                  INDEX(VIP_InstanceList,ROWS($A$6:A280)-ROWS(IPList))),
                                             INDEX(IPList,ROWS($A$6:A280)))</f>
        <v/>
      </c>
      <c r="Y280" s="2981" t="s">
        <v>1782</v>
      </c>
      <c r="Z280" s="2981" t="s">
        <v>254</v>
      </c>
      <c r="AA280" s="2982">
        <v>2744</v>
      </c>
      <c r="AB280" s="2981" t="s">
        <v>147</v>
      </c>
      <c r="AC280" s="2981" t="s">
        <v>341</v>
      </c>
      <c r="AD280" s="2981" t="s">
        <v>153</v>
      </c>
      <c r="AX280" s="931"/>
      <c r="EI280" s="931"/>
    </row>
    <row r="281" spans="1:139" ht="15">
      <c r="A281" s="1758" t="str">
        <f ca="1">IF(ISERROR(INDEX(IPList,ROWS($A$6:A281))),
         IF(ISERROR(INDEX(VIP_InstanceList,ROWS($A$6:A281)-ROWS(IPList))),
                IF(ISERROR(INDEX(GTMLIST,ROWS($A$6:A281)-(ROWS(IPList)+(ROWS(VIP_InstanceList))))),"",
                      INDEX(GTMLIST,ROWS($A$6:A281)-(ROWS(IPList)+(ROWS(VIP_InstanceList))))),
                                  INDEX(VIP_InstanceList,ROWS($A$6:A281)-ROWS(IPList))),
                                             INDEX(IPList,ROWS($A$6:A281)))</f>
        <v/>
      </c>
      <c r="Y281" s="2981" t="s">
        <v>1782</v>
      </c>
      <c r="Z281" s="2981" t="s">
        <v>255</v>
      </c>
      <c r="AA281" s="2982">
        <v>2744</v>
      </c>
      <c r="AB281" s="2981" t="s">
        <v>147</v>
      </c>
      <c r="AC281" s="2981" t="s">
        <v>341</v>
      </c>
      <c r="AD281" s="2981" t="s">
        <v>153</v>
      </c>
      <c r="AX281" s="931"/>
      <c r="EI281" s="931"/>
    </row>
    <row r="282" spans="1:139" ht="15">
      <c r="A282" s="1758" t="str">
        <f ca="1">IF(ISERROR(INDEX(IPList,ROWS($A$6:A282))),
         IF(ISERROR(INDEX(VIP_InstanceList,ROWS($A$6:A282)-ROWS(IPList))),
                IF(ISERROR(INDEX(GTMLIST,ROWS($A$6:A282)-(ROWS(IPList)+(ROWS(VIP_InstanceList))))),"",
                      INDEX(GTMLIST,ROWS($A$6:A282)-(ROWS(IPList)+(ROWS(VIP_InstanceList))))),
                                  INDEX(VIP_InstanceList,ROWS($A$6:A282)-ROWS(IPList))),
                                             INDEX(IPList,ROWS($A$6:A282)))</f>
        <v/>
      </c>
      <c r="Y282" s="2981" t="s">
        <v>1782</v>
      </c>
      <c r="Z282" s="2981" t="s">
        <v>2263</v>
      </c>
      <c r="AA282" s="2982">
        <v>2744</v>
      </c>
      <c r="AB282" s="2981" t="s">
        <v>147</v>
      </c>
      <c r="AC282" s="2981" t="s">
        <v>341</v>
      </c>
      <c r="AD282" s="2981" t="s">
        <v>153</v>
      </c>
      <c r="AX282" s="931"/>
    </row>
    <row r="283" spans="1:139" ht="15">
      <c r="A283" s="1758" t="str">
        <f ca="1">IF(ISERROR(INDEX(IPList,ROWS($A$6:A283))),
         IF(ISERROR(INDEX(VIP_InstanceList,ROWS($A$6:A283)-ROWS(IPList))),
                IF(ISERROR(INDEX(GTMLIST,ROWS($A$6:A283)-(ROWS(IPList)+(ROWS(VIP_InstanceList))))),"",
                      INDEX(GTMLIST,ROWS($A$6:A283)-(ROWS(IPList)+(ROWS(VIP_InstanceList))))),
                                  INDEX(VIP_InstanceList,ROWS($A$6:A283)-ROWS(IPList))),
                                             INDEX(IPList,ROWS($A$6:A283)))</f>
        <v/>
      </c>
      <c r="Y283" s="2981" t="s">
        <v>1782</v>
      </c>
      <c r="Z283" s="2981" t="s">
        <v>2264</v>
      </c>
      <c r="AA283" s="2982">
        <v>2744</v>
      </c>
      <c r="AB283" s="2981" t="s">
        <v>147</v>
      </c>
      <c r="AC283" s="2981" t="s">
        <v>341</v>
      </c>
      <c r="AD283" s="2981" t="s">
        <v>153</v>
      </c>
      <c r="AX283" s="931"/>
    </row>
    <row r="284" spans="1:139" ht="15">
      <c r="A284" s="1758" t="str">
        <f ca="1">IF(ISERROR(INDEX(IPList,ROWS($A$6:A284))),
         IF(ISERROR(INDEX(VIP_InstanceList,ROWS($A$6:A284)-ROWS(IPList))),
                IF(ISERROR(INDEX(GTMLIST,ROWS($A$6:A284)-(ROWS(IPList)+(ROWS(VIP_InstanceList))))),"",
                      INDEX(GTMLIST,ROWS($A$6:A284)-(ROWS(IPList)+(ROWS(VIP_InstanceList))))),
                                  INDEX(VIP_InstanceList,ROWS($A$6:A284)-ROWS(IPList))),
                                             INDEX(IPList,ROWS($A$6:A284)))</f>
        <v/>
      </c>
      <c r="Y284" s="2981" t="s">
        <v>1782</v>
      </c>
      <c r="Z284" s="2981" t="s">
        <v>2265</v>
      </c>
      <c r="AA284" s="2982">
        <v>2744</v>
      </c>
      <c r="AB284" s="2981" t="s">
        <v>147</v>
      </c>
      <c r="AC284" s="2981" t="s">
        <v>341</v>
      </c>
      <c r="AD284" s="2981" t="s">
        <v>153</v>
      </c>
      <c r="AX284" s="931"/>
    </row>
    <row r="285" spans="1:139" ht="15">
      <c r="A285" s="1758" t="str">
        <f ca="1">IF(ISERROR(INDEX(IPList,ROWS($A$6:A285))),
         IF(ISERROR(INDEX(VIP_InstanceList,ROWS($A$6:A285)-ROWS(IPList))),
                IF(ISERROR(INDEX(GTMLIST,ROWS($A$6:A285)-(ROWS(IPList)+(ROWS(VIP_InstanceList))))),"",
                      INDEX(GTMLIST,ROWS($A$6:A285)-(ROWS(IPList)+(ROWS(VIP_InstanceList))))),
                                  INDEX(VIP_InstanceList,ROWS($A$6:A285)-ROWS(IPList))),
                                             INDEX(IPList,ROWS($A$6:A285)))</f>
        <v/>
      </c>
      <c r="Y285" s="2981" t="s">
        <v>1782</v>
      </c>
      <c r="Z285" s="2981" t="s">
        <v>2365</v>
      </c>
      <c r="AA285" s="2982">
        <v>2744</v>
      </c>
      <c r="AB285" s="2981" t="s">
        <v>147</v>
      </c>
      <c r="AC285" s="2981" t="s">
        <v>341</v>
      </c>
      <c r="AD285" s="2981" t="s">
        <v>153</v>
      </c>
      <c r="AX285" s="931"/>
    </row>
    <row r="286" spans="1:139" ht="15">
      <c r="A286" s="1758" t="str">
        <f ca="1">IF(ISERROR(INDEX(IPList,ROWS($A$6:A286))),
         IF(ISERROR(INDEX(VIP_InstanceList,ROWS($A$6:A286)-ROWS(IPList))),
                IF(ISERROR(INDEX(GTMLIST,ROWS($A$6:A286)-(ROWS(IPList)+(ROWS(VIP_InstanceList))))),"",
                      INDEX(GTMLIST,ROWS($A$6:A286)-(ROWS(IPList)+(ROWS(VIP_InstanceList))))),
                                  INDEX(VIP_InstanceList,ROWS($A$6:A286)-ROWS(IPList))),
                                             INDEX(IPList,ROWS($A$6:A286)))</f>
        <v/>
      </c>
      <c r="Y286" s="2981" t="s">
        <v>1782</v>
      </c>
      <c r="Z286" s="2981" t="s">
        <v>2389</v>
      </c>
      <c r="AA286" s="2982">
        <v>2744</v>
      </c>
      <c r="AB286" s="2981" t="s">
        <v>147</v>
      </c>
      <c r="AC286" s="2981" t="s">
        <v>341</v>
      </c>
      <c r="AD286" s="2981" t="s">
        <v>153</v>
      </c>
      <c r="AX286" s="931"/>
    </row>
    <row r="287" spans="1:139" ht="15">
      <c r="A287" s="1758" t="str">
        <f ca="1">IF(ISERROR(INDEX(IPList,ROWS($A$6:A287))),
         IF(ISERROR(INDEX(VIP_InstanceList,ROWS($A$6:A287)-ROWS(IPList))),
                IF(ISERROR(INDEX(GTMLIST,ROWS($A$6:A287)-(ROWS(IPList)+(ROWS(VIP_InstanceList))))),"",
                      INDEX(GTMLIST,ROWS($A$6:A287)-(ROWS(IPList)+(ROWS(VIP_InstanceList))))),
                                  INDEX(VIP_InstanceList,ROWS($A$6:A287)-ROWS(IPList))),
                                             INDEX(IPList,ROWS($A$6:A287)))</f>
        <v/>
      </c>
      <c r="Y287" s="2981" t="s">
        <v>1782</v>
      </c>
      <c r="Z287" s="2981" t="s">
        <v>4839</v>
      </c>
      <c r="AA287" s="2982">
        <v>2744</v>
      </c>
      <c r="AB287" s="2981" t="s">
        <v>147</v>
      </c>
      <c r="AC287" s="2981" t="s">
        <v>341</v>
      </c>
      <c r="AD287" s="2981" t="s">
        <v>153</v>
      </c>
      <c r="AX287" s="931"/>
    </row>
    <row r="288" spans="1:139" ht="15">
      <c r="A288" s="1758" t="str">
        <f ca="1">IF(ISERROR(INDEX(IPList,ROWS($A$6:A288))),
         IF(ISERROR(INDEX(VIP_InstanceList,ROWS($A$6:A288)-ROWS(IPList))),
                IF(ISERROR(INDEX(GTMLIST,ROWS($A$6:A288)-(ROWS(IPList)+(ROWS(VIP_InstanceList))))),"",
                      INDEX(GTMLIST,ROWS($A$6:A288)-(ROWS(IPList)+(ROWS(VIP_InstanceList))))),
                                  INDEX(VIP_InstanceList,ROWS($A$6:A288)-ROWS(IPList))),
                                             INDEX(IPList,ROWS($A$6:A288)))</f>
        <v/>
      </c>
      <c r="Y288" s="2981" t="s">
        <v>1782</v>
      </c>
      <c r="Z288" s="2981" t="s">
        <v>671</v>
      </c>
      <c r="AA288" s="2982">
        <v>2744</v>
      </c>
      <c r="AB288" s="2981" t="s">
        <v>147</v>
      </c>
      <c r="AC288" s="2981" t="s">
        <v>341</v>
      </c>
      <c r="AD288" s="2981" t="s">
        <v>153</v>
      </c>
    </row>
    <row r="289" spans="1:30" ht="15">
      <c r="A289" s="1758" t="str">
        <f ca="1">IF(ISERROR(INDEX(IPList,ROWS($A$6:A289))),
         IF(ISERROR(INDEX(VIP_InstanceList,ROWS($A$6:A289)-ROWS(IPList))),
                IF(ISERROR(INDEX(GTMLIST,ROWS($A$6:A289)-(ROWS(IPList)+(ROWS(VIP_InstanceList))))),"",
                      INDEX(GTMLIST,ROWS($A$6:A289)-(ROWS(IPList)+(ROWS(VIP_InstanceList))))),
                                  INDEX(VIP_InstanceList,ROWS($A$6:A289)-ROWS(IPList))),
                                             INDEX(IPList,ROWS($A$6:A289)))</f>
        <v/>
      </c>
      <c r="Y289" s="2981" t="s">
        <v>1782</v>
      </c>
      <c r="Z289" s="2981" t="s">
        <v>672</v>
      </c>
      <c r="AA289" s="2982">
        <v>2744</v>
      </c>
      <c r="AB289" s="2981" t="s">
        <v>147</v>
      </c>
      <c r="AC289" s="2981" t="s">
        <v>341</v>
      </c>
      <c r="AD289" s="2981" t="s">
        <v>153</v>
      </c>
    </row>
    <row r="290" spans="1:30" ht="15">
      <c r="A290" s="1758" t="str">
        <f ca="1">IF(ISERROR(INDEX(IPList,ROWS($A$6:A290))),
         IF(ISERROR(INDEX(VIP_InstanceList,ROWS($A$6:A290)-ROWS(IPList))),
                IF(ISERROR(INDEX(GTMLIST,ROWS($A$6:A290)-(ROWS(IPList)+(ROWS(VIP_InstanceList))))),"",
                      INDEX(GTMLIST,ROWS($A$6:A290)-(ROWS(IPList)+(ROWS(VIP_InstanceList))))),
                                  INDEX(VIP_InstanceList,ROWS($A$6:A290)-ROWS(IPList))),
                                             INDEX(IPList,ROWS($A$6:A290)))</f>
        <v/>
      </c>
      <c r="Y290" s="2981" t="s">
        <v>1782</v>
      </c>
      <c r="Z290" s="2981" t="s">
        <v>4840</v>
      </c>
      <c r="AA290" s="2982">
        <v>2744</v>
      </c>
      <c r="AB290" s="2981" t="s">
        <v>3874</v>
      </c>
      <c r="AC290" s="2981" t="s">
        <v>341</v>
      </c>
      <c r="AD290" s="2981" t="s">
        <v>153</v>
      </c>
    </row>
    <row r="291" spans="1:30" ht="15">
      <c r="A291" s="1758" t="str">
        <f ca="1">IF(ISERROR(INDEX(IPList,ROWS($A$6:A291))),
         IF(ISERROR(INDEX(VIP_InstanceList,ROWS($A$6:A291)-ROWS(IPList))),
                IF(ISERROR(INDEX(GTMLIST,ROWS($A$6:A291)-(ROWS(IPList)+(ROWS(VIP_InstanceList))))),"",
                      INDEX(GTMLIST,ROWS($A$6:A291)-(ROWS(IPList)+(ROWS(VIP_InstanceList))))),
                                  INDEX(VIP_InstanceList,ROWS($A$6:A291)-ROWS(IPList))),
                                             INDEX(IPList,ROWS($A$6:A291)))</f>
        <v/>
      </c>
      <c r="Y291" s="2981" t="s">
        <v>1782</v>
      </c>
      <c r="Z291" s="2981" t="s">
        <v>5097</v>
      </c>
      <c r="AA291" s="2982">
        <v>2744</v>
      </c>
      <c r="AB291" s="2981" t="s">
        <v>141</v>
      </c>
      <c r="AC291" s="2981" t="s">
        <v>341</v>
      </c>
      <c r="AD291" s="2981" t="s">
        <v>153</v>
      </c>
    </row>
    <row r="292" spans="1:30" ht="15">
      <c r="A292" s="1758" t="str">
        <f ca="1">IF(ISERROR(INDEX(IPList,ROWS($A$6:A292))),
         IF(ISERROR(INDEX(VIP_InstanceList,ROWS($A$6:A292)-ROWS(IPList))),
                IF(ISERROR(INDEX(GTMLIST,ROWS($A$6:A292)-(ROWS(IPList)+(ROWS(VIP_InstanceList))))),"",
                      INDEX(GTMLIST,ROWS($A$6:A292)-(ROWS(IPList)+(ROWS(VIP_InstanceList))))),
                                  INDEX(VIP_InstanceList,ROWS($A$6:A292)-ROWS(IPList))),
                                             INDEX(IPList,ROWS($A$6:A292)))</f>
        <v/>
      </c>
      <c r="Y292" s="2981" t="s">
        <v>1782</v>
      </c>
      <c r="Z292" s="2981" t="s">
        <v>5098</v>
      </c>
      <c r="AA292" s="2982">
        <v>2744</v>
      </c>
      <c r="AB292" s="2981" t="s">
        <v>141</v>
      </c>
      <c r="AC292" s="2981" t="s">
        <v>341</v>
      </c>
      <c r="AD292" s="2981" t="s">
        <v>153</v>
      </c>
    </row>
    <row r="293" spans="1:30" ht="15">
      <c r="A293" s="1758" t="str">
        <f ca="1">IF(ISERROR(INDEX(IPList,ROWS($A$6:A293))),
         IF(ISERROR(INDEX(VIP_InstanceList,ROWS($A$6:A293)-ROWS(IPList))),
                IF(ISERROR(INDEX(GTMLIST,ROWS($A$6:A293)-(ROWS(IPList)+(ROWS(VIP_InstanceList))))),"",
                      INDEX(GTMLIST,ROWS($A$6:A293)-(ROWS(IPList)+(ROWS(VIP_InstanceList))))),
                                  INDEX(VIP_InstanceList,ROWS($A$6:A293)-ROWS(IPList))),
                                             INDEX(IPList,ROWS($A$6:A293)))</f>
        <v/>
      </c>
      <c r="Y293" s="2981" t="s">
        <v>1782</v>
      </c>
      <c r="Z293" s="2981" t="s">
        <v>5099</v>
      </c>
      <c r="AA293" s="2982">
        <v>2744</v>
      </c>
      <c r="AB293" s="2981" t="s">
        <v>141</v>
      </c>
      <c r="AC293" s="2981" t="s">
        <v>341</v>
      </c>
      <c r="AD293" s="2981" t="s">
        <v>153</v>
      </c>
    </row>
    <row r="294" spans="1:30" ht="15">
      <c r="A294" s="1758" t="str">
        <f ca="1">IF(ISERROR(INDEX(IPList,ROWS($A$6:A294))),
         IF(ISERROR(INDEX(VIP_InstanceList,ROWS($A$6:A294)-ROWS(IPList))),
                IF(ISERROR(INDEX(GTMLIST,ROWS($A$6:A294)-(ROWS(IPList)+(ROWS(VIP_InstanceList))))),"",
                      INDEX(GTMLIST,ROWS($A$6:A294)-(ROWS(IPList)+(ROWS(VIP_InstanceList))))),
                                  INDEX(VIP_InstanceList,ROWS($A$6:A294)-ROWS(IPList))),
                                             INDEX(IPList,ROWS($A$6:A294)))</f>
        <v/>
      </c>
      <c r="Y294" s="2981" t="s">
        <v>1782</v>
      </c>
      <c r="Z294" s="2981" t="s">
        <v>5100</v>
      </c>
      <c r="AA294" s="2982">
        <v>2744</v>
      </c>
      <c r="AB294" s="2981" t="s">
        <v>141</v>
      </c>
      <c r="AC294" s="2981" t="s">
        <v>341</v>
      </c>
      <c r="AD294" s="2981" t="s">
        <v>153</v>
      </c>
    </row>
    <row r="295" spans="1:30" ht="15">
      <c r="A295" s="1758" t="str">
        <f ca="1">IF(ISERROR(INDEX(IPList,ROWS($A$6:A295))),
         IF(ISERROR(INDEX(VIP_InstanceList,ROWS($A$6:A295)-ROWS(IPList))),
                IF(ISERROR(INDEX(GTMLIST,ROWS($A$6:A295)-(ROWS(IPList)+(ROWS(VIP_InstanceList))))),"",
                      INDEX(GTMLIST,ROWS($A$6:A295)-(ROWS(IPList)+(ROWS(VIP_InstanceList))))),
                                  INDEX(VIP_InstanceList,ROWS($A$6:A295)-ROWS(IPList))),
                                             INDEX(IPList,ROWS($A$6:A295)))</f>
        <v/>
      </c>
      <c r="Y295" s="2981" t="s">
        <v>1782</v>
      </c>
      <c r="Z295" s="2981" t="s">
        <v>4841</v>
      </c>
      <c r="AA295" s="2982">
        <v>2744</v>
      </c>
      <c r="AB295" s="2981" t="s">
        <v>4126</v>
      </c>
      <c r="AC295" s="2981" t="s">
        <v>341</v>
      </c>
      <c r="AD295" s="2981" t="s">
        <v>153</v>
      </c>
    </row>
    <row r="296" spans="1:30" ht="15">
      <c r="A296" s="1758" t="str">
        <f ca="1">IF(ISERROR(INDEX(IPList,ROWS($A$6:A296))),
         IF(ISERROR(INDEX(VIP_InstanceList,ROWS($A$6:A296)-ROWS(IPList))),
                IF(ISERROR(INDEX(GTMLIST,ROWS($A$6:A296)-(ROWS(IPList)+(ROWS(VIP_InstanceList))))),"",
                      INDEX(GTMLIST,ROWS($A$6:A296)-(ROWS(IPList)+(ROWS(VIP_InstanceList))))),
                                  INDEX(VIP_InstanceList,ROWS($A$6:A296)-ROWS(IPList))),
                                             INDEX(IPList,ROWS($A$6:A296)))</f>
        <v/>
      </c>
      <c r="Y296" s="2981" t="s">
        <v>1782</v>
      </c>
      <c r="Z296" s="2981" t="s">
        <v>4445</v>
      </c>
      <c r="AA296" s="2982">
        <v>2744</v>
      </c>
      <c r="AB296" s="2981" t="s">
        <v>266</v>
      </c>
      <c r="AC296" s="2981" t="s">
        <v>341</v>
      </c>
      <c r="AD296" s="2981" t="s">
        <v>153</v>
      </c>
    </row>
    <row r="297" spans="1:30" ht="15">
      <c r="A297" s="1758" t="str">
        <f ca="1">IF(ISERROR(INDEX(IPList,ROWS($A$6:A297))),
         IF(ISERROR(INDEX(VIP_InstanceList,ROWS($A$6:A297)-ROWS(IPList))),
                IF(ISERROR(INDEX(GTMLIST,ROWS($A$6:A297)-(ROWS(IPList)+(ROWS(VIP_InstanceList))))),"",
                      INDEX(GTMLIST,ROWS($A$6:A297)-(ROWS(IPList)+(ROWS(VIP_InstanceList))))),
                                  INDEX(VIP_InstanceList,ROWS($A$6:A297)-ROWS(IPList))),
                                             INDEX(IPList,ROWS($A$6:A297)))</f>
        <v/>
      </c>
      <c r="Y297" s="2981" t="s">
        <v>1782</v>
      </c>
      <c r="Z297" s="2981" t="s">
        <v>5046</v>
      </c>
      <c r="AA297" s="2982">
        <v>2744</v>
      </c>
      <c r="AB297" s="2981" t="s">
        <v>266</v>
      </c>
      <c r="AC297" s="2981" t="s">
        <v>341</v>
      </c>
      <c r="AD297" s="2981" t="s">
        <v>153</v>
      </c>
    </row>
    <row r="298" spans="1:30" ht="15">
      <c r="A298" s="1758" t="str">
        <f ca="1">IF(ISERROR(INDEX(IPList,ROWS($A$6:A298))),
         IF(ISERROR(INDEX(VIP_InstanceList,ROWS($A$6:A298)-ROWS(IPList))),
                IF(ISERROR(INDEX(GTMLIST,ROWS($A$6:A298)-(ROWS(IPList)+(ROWS(VIP_InstanceList))))),"",
                      INDEX(GTMLIST,ROWS($A$6:A298)-(ROWS(IPList)+(ROWS(VIP_InstanceList))))),
                                  INDEX(VIP_InstanceList,ROWS($A$6:A298)-ROWS(IPList))),
                                             INDEX(IPList,ROWS($A$6:A298)))</f>
        <v/>
      </c>
      <c r="Y298" s="2981" t="s">
        <v>1782</v>
      </c>
      <c r="Z298" s="2981" t="s">
        <v>4842</v>
      </c>
      <c r="AA298" s="2982">
        <v>2745</v>
      </c>
      <c r="AB298" s="2981" t="s">
        <v>1697</v>
      </c>
      <c r="AC298" s="2981" t="s">
        <v>1698</v>
      </c>
      <c r="AD298" s="2981" t="s">
        <v>1699</v>
      </c>
    </row>
    <row r="299" spans="1:30" ht="15">
      <c r="A299" s="1758" t="str">
        <f ca="1">IF(ISERROR(INDEX(IPList,ROWS($A$6:A299))),
         IF(ISERROR(INDEX(VIP_InstanceList,ROWS($A$6:A299)-ROWS(IPList))),
                IF(ISERROR(INDEX(GTMLIST,ROWS($A$6:A299)-(ROWS(IPList)+(ROWS(VIP_InstanceList))))),"",
                      INDEX(GTMLIST,ROWS($A$6:A299)-(ROWS(IPList)+(ROWS(VIP_InstanceList))))),
                                  INDEX(VIP_InstanceList,ROWS($A$6:A299)-ROWS(IPList))),
                                             INDEX(IPList,ROWS($A$6:A299)))</f>
        <v/>
      </c>
      <c r="Y299" s="2981" t="s">
        <v>1782</v>
      </c>
      <c r="Z299" s="2981" t="s">
        <v>4843</v>
      </c>
      <c r="AA299" s="2982">
        <v>2745</v>
      </c>
      <c r="AB299" s="2981" t="s">
        <v>1697</v>
      </c>
      <c r="AC299" s="2981" t="s">
        <v>1698</v>
      </c>
      <c r="AD299" s="2981" t="s">
        <v>1699</v>
      </c>
    </row>
    <row r="300" spans="1:30" ht="15">
      <c r="A300" s="1758" t="str">
        <f ca="1">IF(ISERROR(INDEX(IPList,ROWS($A$6:A300))),
         IF(ISERROR(INDEX(VIP_InstanceList,ROWS($A$6:A300)-ROWS(IPList))),
                IF(ISERROR(INDEX(GTMLIST,ROWS($A$6:A300)-(ROWS(IPList)+(ROWS(VIP_InstanceList))))),"",
                      INDEX(GTMLIST,ROWS($A$6:A300)-(ROWS(IPList)+(ROWS(VIP_InstanceList))))),
                                  INDEX(VIP_InstanceList,ROWS($A$6:A300)-ROWS(IPList))),
                                             INDEX(IPList,ROWS($A$6:A300)))</f>
        <v/>
      </c>
      <c r="Y300" s="2981" t="s">
        <v>1782</v>
      </c>
      <c r="Z300" s="2981" t="s">
        <v>4844</v>
      </c>
      <c r="AA300" s="2982">
        <v>2745</v>
      </c>
      <c r="AB300" s="2981" t="s">
        <v>1697</v>
      </c>
      <c r="AC300" s="2981" t="s">
        <v>1698</v>
      </c>
      <c r="AD300" s="2981" t="s">
        <v>1699</v>
      </c>
    </row>
    <row r="301" spans="1:30" ht="15">
      <c r="A301" s="1758" t="str">
        <f ca="1">IF(ISERROR(INDEX(IPList,ROWS($A$6:A301))),
         IF(ISERROR(INDEX(VIP_InstanceList,ROWS($A$6:A301)-ROWS(IPList))),
                IF(ISERROR(INDEX(GTMLIST,ROWS($A$6:A301)-(ROWS(IPList)+(ROWS(VIP_InstanceList))))),"",
                      INDEX(GTMLIST,ROWS($A$6:A301)-(ROWS(IPList)+(ROWS(VIP_InstanceList))))),
                                  INDEX(VIP_InstanceList,ROWS($A$6:A301)-ROWS(IPList))),
                                             INDEX(IPList,ROWS($A$6:A301)))</f>
        <v/>
      </c>
      <c r="Y301" s="2981" t="s">
        <v>1782</v>
      </c>
      <c r="Z301" s="2981" t="s">
        <v>4845</v>
      </c>
      <c r="AA301" s="2982">
        <v>2745</v>
      </c>
      <c r="AB301" s="2981" t="s">
        <v>1697</v>
      </c>
      <c r="AC301" s="2981" t="s">
        <v>1698</v>
      </c>
      <c r="AD301" s="2981" t="s">
        <v>1699</v>
      </c>
    </row>
    <row r="302" spans="1:30" ht="15">
      <c r="A302" s="1758" t="str">
        <f ca="1">IF(ISERROR(INDEX(IPList,ROWS($A$6:A302))),
         IF(ISERROR(INDEX(VIP_InstanceList,ROWS($A$6:A302)-ROWS(IPList))),
                IF(ISERROR(INDEX(GTMLIST,ROWS($A$6:A302)-(ROWS(IPList)+(ROWS(VIP_InstanceList))))),"",
                      INDEX(GTMLIST,ROWS($A$6:A302)-(ROWS(IPList)+(ROWS(VIP_InstanceList))))),
                                  INDEX(VIP_InstanceList,ROWS($A$6:A302)-ROWS(IPList))),
                                             INDEX(IPList,ROWS($A$6:A302)))</f>
        <v/>
      </c>
      <c r="Y302" s="2981" t="s">
        <v>1782</v>
      </c>
      <c r="Z302" s="2981" t="s">
        <v>4846</v>
      </c>
      <c r="AA302" s="2982">
        <v>2745</v>
      </c>
      <c r="AB302" s="2981" t="s">
        <v>1697</v>
      </c>
      <c r="AC302" s="2981" t="s">
        <v>1698</v>
      </c>
      <c r="AD302" s="2981" t="s">
        <v>1699</v>
      </c>
    </row>
    <row r="303" spans="1:30" ht="15">
      <c r="A303" s="1758" t="str">
        <f ca="1">IF(ISERROR(INDEX(IPList,ROWS($A$6:A303))),
         IF(ISERROR(INDEX(VIP_InstanceList,ROWS($A$6:A303)-ROWS(IPList))),
                IF(ISERROR(INDEX(GTMLIST,ROWS($A$6:A303)-(ROWS(IPList)+(ROWS(VIP_InstanceList))))),"",
                      INDEX(GTMLIST,ROWS($A$6:A303)-(ROWS(IPList)+(ROWS(VIP_InstanceList))))),
                                  INDEX(VIP_InstanceList,ROWS($A$6:A303)-ROWS(IPList))),
                                             INDEX(IPList,ROWS($A$6:A303)))</f>
        <v/>
      </c>
      <c r="Y303" s="2981" t="s">
        <v>1782</v>
      </c>
      <c r="Z303" s="2981" t="s">
        <v>4847</v>
      </c>
      <c r="AA303" s="2982">
        <v>2745</v>
      </c>
      <c r="AB303" s="2981" t="s">
        <v>1697</v>
      </c>
      <c r="AC303" s="2981" t="s">
        <v>1698</v>
      </c>
      <c r="AD303" s="2981" t="s">
        <v>1699</v>
      </c>
    </row>
    <row r="304" spans="1:30" ht="15">
      <c r="A304" s="1758" t="str">
        <f ca="1">IF(ISERROR(INDEX(IPList,ROWS($A$6:A304))),
         IF(ISERROR(INDEX(VIP_InstanceList,ROWS($A$6:A304)-ROWS(IPList))),
                IF(ISERROR(INDEX(GTMLIST,ROWS($A$6:A304)-(ROWS(IPList)+(ROWS(VIP_InstanceList))))),"",
                      INDEX(GTMLIST,ROWS($A$6:A304)-(ROWS(IPList)+(ROWS(VIP_InstanceList))))),
                                  INDEX(VIP_InstanceList,ROWS($A$6:A304)-ROWS(IPList))),
                                             INDEX(IPList,ROWS($A$6:A304)))</f>
        <v/>
      </c>
      <c r="Y304" s="2981" t="s">
        <v>1782</v>
      </c>
      <c r="Z304" s="2981" t="s">
        <v>4848</v>
      </c>
      <c r="AA304" s="2982">
        <v>2745</v>
      </c>
      <c r="AB304" s="2981" t="s">
        <v>1697</v>
      </c>
      <c r="AC304" s="2981" t="s">
        <v>1698</v>
      </c>
      <c r="AD304" s="2981" t="s">
        <v>1699</v>
      </c>
    </row>
    <row r="305" spans="1:30" ht="15">
      <c r="A305" s="1758" t="str">
        <f ca="1">IF(ISERROR(INDEX(IPList,ROWS($A$6:A305))),
         IF(ISERROR(INDEX(VIP_InstanceList,ROWS($A$6:A305)-ROWS(IPList))),
                IF(ISERROR(INDEX(GTMLIST,ROWS($A$6:A305)-(ROWS(IPList)+(ROWS(VIP_InstanceList))))),"",
                      INDEX(GTMLIST,ROWS($A$6:A305)-(ROWS(IPList)+(ROWS(VIP_InstanceList))))),
                                  INDEX(VIP_InstanceList,ROWS($A$6:A305)-ROWS(IPList))),
                                             INDEX(IPList,ROWS($A$6:A305)))</f>
        <v/>
      </c>
      <c r="Y305" s="2981" t="s">
        <v>1782</v>
      </c>
      <c r="Z305" s="2981" t="s">
        <v>4849</v>
      </c>
      <c r="AA305" s="2982">
        <v>2745</v>
      </c>
      <c r="AB305" s="2981" t="s">
        <v>1697</v>
      </c>
      <c r="AC305" s="2981" t="s">
        <v>1698</v>
      </c>
      <c r="AD305" s="2981" t="s">
        <v>1699</v>
      </c>
    </row>
    <row r="306" spans="1:30" ht="15">
      <c r="A306" s="1758" t="str">
        <f ca="1">IF(ISERROR(INDEX(IPList,ROWS($A$6:A306))),
         IF(ISERROR(INDEX(VIP_InstanceList,ROWS($A$6:A306)-ROWS(IPList))),
                IF(ISERROR(INDEX(GTMLIST,ROWS($A$6:A306)-(ROWS(IPList)+(ROWS(VIP_InstanceList))))),"",
                      INDEX(GTMLIST,ROWS($A$6:A306)-(ROWS(IPList)+(ROWS(VIP_InstanceList))))),
                                  INDEX(VIP_InstanceList,ROWS($A$6:A306)-ROWS(IPList))),
                                             INDEX(IPList,ROWS($A$6:A306)))</f>
        <v/>
      </c>
      <c r="Y306" s="2981" t="s">
        <v>1782</v>
      </c>
      <c r="Z306" s="2981" t="s">
        <v>4850</v>
      </c>
      <c r="AA306" s="2982">
        <v>2745</v>
      </c>
      <c r="AB306" s="2981" t="s">
        <v>1697</v>
      </c>
      <c r="AC306" s="2981" t="s">
        <v>1698</v>
      </c>
      <c r="AD306" s="2981" t="s">
        <v>1699</v>
      </c>
    </row>
    <row r="307" spans="1:30" ht="15">
      <c r="A307" s="1758" t="str">
        <f ca="1">IF(ISERROR(INDEX(IPList,ROWS($A$6:A307))),
         IF(ISERROR(INDEX(VIP_InstanceList,ROWS($A$6:A307)-ROWS(IPList))),
                IF(ISERROR(INDEX(GTMLIST,ROWS($A$6:A307)-(ROWS(IPList)+(ROWS(VIP_InstanceList))))),"",
                      INDEX(GTMLIST,ROWS($A$6:A307)-(ROWS(IPList)+(ROWS(VIP_InstanceList))))),
                                  INDEX(VIP_InstanceList,ROWS($A$6:A307)-ROWS(IPList))),
                                             INDEX(IPList,ROWS($A$6:A307)))</f>
        <v/>
      </c>
      <c r="Y307" s="2981" t="s">
        <v>1782</v>
      </c>
      <c r="Z307" s="2981" t="s">
        <v>4851</v>
      </c>
      <c r="AA307" s="2982">
        <v>2745</v>
      </c>
      <c r="AB307" s="2981" t="s">
        <v>1697</v>
      </c>
      <c r="AC307" s="2981" t="s">
        <v>1698</v>
      </c>
      <c r="AD307" s="2981" t="s">
        <v>1699</v>
      </c>
    </row>
    <row r="308" spans="1:30" ht="15">
      <c r="A308" s="1758" t="str">
        <f ca="1">IF(ISERROR(INDEX(IPList,ROWS($A$6:A308))),
         IF(ISERROR(INDEX(VIP_InstanceList,ROWS($A$6:A308)-ROWS(IPList))),
                IF(ISERROR(INDEX(GTMLIST,ROWS($A$6:A308)-(ROWS(IPList)+(ROWS(VIP_InstanceList))))),"",
                      INDEX(GTMLIST,ROWS($A$6:A308)-(ROWS(IPList)+(ROWS(VIP_InstanceList))))),
                                  INDEX(VIP_InstanceList,ROWS($A$6:A308)-ROWS(IPList))),
                                             INDEX(IPList,ROWS($A$6:A308)))</f>
        <v/>
      </c>
      <c r="Y308" s="2981" t="s">
        <v>1782</v>
      </c>
      <c r="Z308" s="2981" t="s">
        <v>4852</v>
      </c>
      <c r="AA308" s="2982">
        <v>2745</v>
      </c>
      <c r="AB308" s="2981" t="s">
        <v>3874</v>
      </c>
      <c r="AC308" s="2981" t="s">
        <v>1698</v>
      </c>
      <c r="AD308" s="2981" t="s">
        <v>1699</v>
      </c>
    </row>
    <row r="309" spans="1:30" ht="15">
      <c r="A309" s="1758" t="str">
        <f ca="1">IF(ISERROR(INDEX(IPList,ROWS($A$6:A309))),
         IF(ISERROR(INDEX(VIP_InstanceList,ROWS($A$6:A309)-ROWS(IPList))),
                IF(ISERROR(INDEX(GTMLIST,ROWS($A$6:A309)-(ROWS(IPList)+(ROWS(VIP_InstanceList))))),"",
                      INDEX(GTMLIST,ROWS($A$6:A309)-(ROWS(IPList)+(ROWS(VIP_InstanceList))))),
                                  INDEX(VIP_InstanceList,ROWS($A$6:A309)-ROWS(IPList))),
                                             INDEX(IPList,ROWS($A$6:A309)))</f>
        <v/>
      </c>
      <c r="Y309" s="2981" t="s">
        <v>1782</v>
      </c>
      <c r="Z309" s="2981" t="s">
        <v>5093</v>
      </c>
      <c r="AA309" s="2982">
        <v>2745</v>
      </c>
      <c r="AB309" s="2981" t="s">
        <v>141</v>
      </c>
      <c r="AC309" s="2981" t="s">
        <v>1698</v>
      </c>
      <c r="AD309" s="2981" t="s">
        <v>1699</v>
      </c>
    </row>
    <row r="310" spans="1:30" ht="15">
      <c r="A310" s="1758" t="str">
        <f ca="1">IF(ISERROR(INDEX(IPList,ROWS($A$6:A310))),
         IF(ISERROR(INDEX(VIP_InstanceList,ROWS($A$6:A310)-ROWS(IPList))),
                IF(ISERROR(INDEX(GTMLIST,ROWS($A$6:A310)-(ROWS(IPList)+(ROWS(VIP_InstanceList))))),"",
                      INDEX(GTMLIST,ROWS($A$6:A310)-(ROWS(IPList)+(ROWS(VIP_InstanceList))))),
                                  INDEX(VIP_InstanceList,ROWS($A$6:A310)-ROWS(IPList))),
                                             INDEX(IPList,ROWS($A$6:A310)))</f>
        <v/>
      </c>
      <c r="Y310" s="2981" t="s">
        <v>1782</v>
      </c>
      <c r="Z310" s="2981" t="s">
        <v>5094</v>
      </c>
      <c r="AA310" s="2982">
        <v>2745</v>
      </c>
      <c r="AB310" s="2981" t="s">
        <v>141</v>
      </c>
      <c r="AC310" s="2981" t="s">
        <v>1698</v>
      </c>
      <c r="AD310" s="2981" t="s">
        <v>1699</v>
      </c>
    </row>
    <row r="311" spans="1:30" ht="15">
      <c r="A311" s="1758" t="str">
        <f ca="1">IF(ISERROR(INDEX(IPList,ROWS($A$6:A311))),
         IF(ISERROR(INDEX(VIP_InstanceList,ROWS($A$6:A311)-ROWS(IPList))),
                IF(ISERROR(INDEX(GTMLIST,ROWS($A$6:A311)-(ROWS(IPList)+(ROWS(VIP_InstanceList))))),"",
                      INDEX(GTMLIST,ROWS($A$6:A311)-(ROWS(IPList)+(ROWS(VIP_InstanceList))))),
                                  INDEX(VIP_InstanceList,ROWS($A$6:A311)-ROWS(IPList))),
                                             INDEX(IPList,ROWS($A$6:A311)))</f>
        <v/>
      </c>
      <c r="Y311" s="2981" t="s">
        <v>1782</v>
      </c>
      <c r="Z311" s="2981" t="s">
        <v>5095</v>
      </c>
      <c r="AA311" s="2982">
        <v>2745</v>
      </c>
      <c r="AB311" s="2981" t="s">
        <v>141</v>
      </c>
      <c r="AC311" s="2981" t="s">
        <v>1698</v>
      </c>
      <c r="AD311" s="2981" t="s">
        <v>1699</v>
      </c>
    </row>
    <row r="312" spans="1:30" ht="15">
      <c r="A312" s="1758" t="str">
        <f ca="1">IF(ISERROR(INDEX(IPList,ROWS($A$6:A312))),
         IF(ISERROR(INDEX(VIP_InstanceList,ROWS($A$6:A312)-ROWS(IPList))),
                IF(ISERROR(INDEX(GTMLIST,ROWS($A$6:A312)-(ROWS(IPList)+(ROWS(VIP_InstanceList))))),"",
                      INDEX(GTMLIST,ROWS($A$6:A312)-(ROWS(IPList)+(ROWS(VIP_InstanceList))))),
                                  INDEX(VIP_InstanceList,ROWS($A$6:A312)-ROWS(IPList))),
                                             INDEX(IPList,ROWS($A$6:A312)))</f>
        <v/>
      </c>
      <c r="Y312" s="2981" t="s">
        <v>1782</v>
      </c>
      <c r="Z312" s="2981" t="s">
        <v>5096</v>
      </c>
      <c r="AA312" s="2982">
        <v>2745</v>
      </c>
      <c r="AB312" s="2981" t="s">
        <v>141</v>
      </c>
      <c r="AC312" s="2981" t="s">
        <v>1698</v>
      </c>
      <c r="AD312" s="2981" t="s">
        <v>1699</v>
      </c>
    </row>
    <row r="313" spans="1:30" ht="15">
      <c r="A313" s="1758" t="str">
        <f ca="1">IF(ISERROR(INDEX(IPList,ROWS($A$6:A313))),
         IF(ISERROR(INDEX(VIP_InstanceList,ROWS($A$6:A313)-ROWS(IPList))),
                IF(ISERROR(INDEX(GTMLIST,ROWS($A$6:A313)-(ROWS(IPList)+(ROWS(VIP_InstanceList))))),"",
                      INDEX(GTMLIST,ROWS($A$6:A313)-(ROWS(IPList)+(ROWS(VIP_InstanceList))))),
                                  INDEX(VIP_InstanceList,ROWS($A$6:A313)-ROWS(IPList))),
                                             INDEX(IPList,ROWS($A$6:A313)))</f>
        <v/>
      </c>
      <c r="Y313" s="2981" t="s">
        <v>1782</v>
      </c>
      <c r="Z313" s="2981" t="s">
        <v>4853</v>
      </c>
      <c r="AA313" s="2982">
        <v>2745</v>
      </c>
      <c r="AB313" s="2981" t="s">
        <v>4126</v>
      </c>
      <c r="AC313" s="2981" t="s">
        <v>1698</v>
      </c>
      <c r="AD313" s="2981" t="s">
        <v>1699</v>
      </c>
    </row>
    <row r="314" spans="1:30" ht="15">
      <c r="A314" s="1758" t="str">
        <f ca="1">IF(ISERROR(INDEX(IPList,ROWS($A$6:A314))),
         IF(ISERROR(INDEX(VIP_InstanceList,ROWS($A$6:A314)-ROWS(IPList))),
                IF(ISERROR(INDEX(GTMLIST,ROWS($A$6:A314)-(ROWS(IPList)+(ROWS(VIP_InstanceList))))),"",
                      INDEX(GTMLIST,ROWS($A$6:A314)-(ROWS(IPList)+(ROWS(VIP_InstanceList))))),
                                  INDEX(VIP_InstanceList,ROWS($A$6:A314)-ROWS(IPList))),
                                             INDEX(IPList,ROWS($A$6:A314)))</f>
        <v/>
      </c>
      <c r="Y314" s="2981" t="s">
        <v>1782</v>
      </c>
      <c r="Z314" s="2981" t="s">
        <v>4854</v>
      </c>
      <c r="AA314" s="2982">
        <v>2745</v>
      </c>
      <c r="AB314" s="2981" t="s">
        <v>266</v>
      </c>
      <c r="AC314" s="2981" t="s">
        <v>1698</v>
      </c>
      <c r="AD314" s="2981" t="s">
        <v>1699</v>
      </c>
    </row>
    <row r="315" spans="1:30" ht="15">
      <c r="A315" s="1758" t="str">
        <f ca="1">IF(ISERROR(INDEX(IPList,ROWS($A$6:A315))),
         IF(ISERROR(INDEX(VIP_InstanceList,ROWS($A$6:A315)-ROWS(IPList))),
                IF(ISERROR(INDEX(GTMLIST,ROWS($A$6:A315)-(ROWS(IPList)+(ROWS(VIP_InstanceList))))),"",
                      INDEX(GTMLIST,ROWS($A$6:A315)-(ROWS(IPList)+(ROWS(VIP_InstanceList))))),
                                  INDEX(VIP_InstanceList,ROWS($A$6:A315)-ROWS(IPList))),
                                             INDEX(IPList,ROWS($A$6:A315)))</f>
        <v/>
      </c>
      <c r="Y315" s="2981" t="s">
        <v>1782</v>
      </c>
      <c r="Z315" s="2981" t="s">
        <v>5047</v>
      </c>
      <c r="AA315" s="2982">
        <v>2745</v>
      </c>
      <c r="AB315" s="2981" t="s">
        <v>266</v>
      </c>
      <c r="AC315" s="2981" t="s">
        <v>1698</v>
      </c>
      <c r="AD315" s="2981" t="s">
        <v>1699</v>
      </c>
    </row>
    <row r="316" spans="1:30" ht="15">
      <c r="A316" s="1758" t="str">
        <f ca="1">IF(ISERROR(INDEX(IPList,ROWS($A$6:A316))),
         IF(ISERROR(INDEX(VIP_InstanceList,ROWS($A$6:A316)-ROWS(IPList))),
                IF(ISERROR(INDEX(GTMLIST,ROWS($A$6:A316)-(ROWS(IPList)+(ROWS(VIP_InstanceList))))),"",
                      INDEX(GTMLIST,ROWS($A$6:A316)-(ROWS(IPList)+(ROWS(VIP_InstanceList))))),
                                  INDEX(VIP_InstanceList,ROWS($A$6:A316)-ROWS(IPList))),
                                             INDEX(IPList,ROWS($A$6:A316)))</f>
        <v/>
      </c>
      <c r="Y316" s="2980" t="s">
        <v>1782</v>
      </c>
      <c r="Z316" s="2983" t="s">
        <v>4855</v>
      </c>
      <c r="AA316" s="2980">
        <v>2852</v>
      </c>
      <c r="AB316" s="2980" t="s">
        <v>266</v>
      </c>
      <c r="AC316" s="2980" t="s">
        <v>4150</v>
      </c>
      <c r="AD316" s="2980" t="s">
        <v>4149</v>
      </c>
    </row>
    <row r="317" spans="1:30" ht="15">
      <c r="A317" s="1758" t="str">
        <f ca="1">IF(ISERROR(INDEX(IPList,ROWS($A$6:A317))),
         IF(ISERROR(INDEX(VIP_InstanceList,ROWS($A$6:A317)-ROWS(IPList))),
                IF(ISERROR(INDEX(GTMLIST,ROWS($A$6:A317)-(ROWS(IPList)+(ROWS(VIP_InstanceList))))),"",
                      INDEX(GTMLIST,ROWS($A$6:A317)-(ROWS(IPList)+(ROWS(VIP_InstanceList))))),
                                  INDEX(VIP_InstanceList,ROWS($A$6:A317)-ROWS(IPList))),
                                             INDEX(IPList,ROWS($A$6:A317)))</f>
        <v/>
      </c>
      <c r="Y317" s="2980" t="s">
        <v>1782</v>
      </c>
      <c r="Z317" s="2983" t="s">
        <v>4856</v>
      </c>
      <c r="AA317" s="2980">
        <v>2852</v>
      </c>
      <c r="AB317" s="2980" t="s">
        <v>266</v>
      </c>
      <c r="AC317" s="2980" t="s">
        <v>4150</v>
      </c>
      <c r="AD317" s="2980" t="s">
        <v>4149</v>
      </c>
    </row>
    <row r="318" spans="1:30" ht="15">
      <c r="A318" s="1758" t="str">
        <f ca="1">IF(ISERROR(INDEX(IPList,ROWS($A$6:A318))),
         IF(ISERROR(INDEX(VIP_InstanceList,ROWS($A$6:A318)-ROWS(IPList))),
                IF(ISERROR(INDEX(GTMLIST,ROWS($A$6:A318)-(ROWS(IPList)+(ROWS(VIP_InstanceList))))),"",
                      INDEX(GTMLIST,ROWS($A$6:A318)-(ROWS(IPList)+(ROWS(VIP_InstanceList))))),
                                  INDEX(VIP_InstanceList,ROWS($A$6:A318)-ROWS(IPList))),
                                             INDEX(IPList,ROWS($A$6:A318)))</f>
        <v/>
      </c>
      <c r="Y318" s="2980" t="s">
        <v>1782</v>
      </c>
      <c r="Z318" s="2983" t="s">
        <v>4857</v>
      </c>
      <c r="AA318" s="2980">
        <v>2852</v>
      </c>
      <c r="AB318" s="2980" t="s">
        <v>266</v>
      </c>
      <c r="AC318" s="2980" t="s">
        <v>4150</v>
      </c>
      <c r="AD318" s="2980" t="s">
        <v>4149</v>
      </c>
    </row>
    <row r="319" spans="1:30" ht="15">
      <c r="A319" s="1758" t="str">
        <f ca="1">IF(ISERROR(INDEX(IPList,ROWS($A$6:A319))),
         IF(ISERROR(INDEX(VIP_InstanceList,ROWS($A$6:A319)-ROWS(IPList))),
                IF(ISERROR(INDEX(GTMLIST,ROWS($A$6:A319)-(ROWS(IPList)+(ROWS(VIP_InstanceList))))),"",
                      INDEX(GTMLIST,ROWS($A$6:A319)-(ROWS(IPList)+(ROWS(VIP_InstanceList))))),
                                  INDEX(VIP_InstanceList,ROWS($A$6:A319)-ROWS(IPList))),
                                             INDEX(IPList,ROWS($A$6:A319)))</f>
        <v/>
      </c>
      <c r="Y319" s="2980" t="s">
        <v>1782</v>
      </c>
      <c r="Z319" s="2983" t="s">
        <v>4858</v>
      </c>
      <c r="AA319" s="2980">
        <v>2852</v>
      </c>
      <c r="AB319" s="2980" t="s">
        <v>266</v>
      </c>
      <c r="AC319" s="2980" t="s">
        <v>4150</v>
      </c>
      <c r="AD319" s="2980" t="s">
        <v>4149</v>
      </c>
    </row>
    <row r="320" spans="1:30" ht="15">
      <c r="A320" s="1758" t="str">
        <f ca="1">IF(ISERROR(INDEX(IPList,ROWS($A$6:A320))),
         IF(ISERROR(INDEX(VIP_InstanceList,ROWS($A$6:A320)-ROWS(IPList))),
                IF(ISERROR(INDEX(GTMLIST,ROWS($A$6:A320)-(ROWS(IPList)+(ROWS(VIP_InstanceList))))),"",
                      INDEX(GTMLIST,ROWS($A$6:A320)-(ROWS(IPList)+(ROWS(VIP_InstanceList))))),
                                  INDEX(VIP_InstanceList,ROWS($A$6:A320)-ROWS(IPList))),
                                             INDEX(IPList,ROWS($A$6:A320)))</f>
        <v/>
      </c>
      <c r="Y320" s="2980" t="s">
        <v>1782</v>
      </c>
      <c r="Z320" s="2983" t="s">
        <v>4859</v>
      </c>
      <c r="AA320" s="2980">
        <v>2852</v>
      </c>
      <c r="AB320" s="2980" t="s">
        <v>266</v>
      </c>
      <c r="AC320" s="2980" t="s">
        <v>4150</v>
      </c>
      <c r="AD320" s="2980" t="s">
        <v>4149</v>
      </c>
    </row>
    <row r="321" spans="1:30" ht="15">
      <c r="A321" s="1758" t="str">
        <f ca="1">IF(ISERROR(INDEX(IPList,ROWS($A$6:A321))),
         IF(ISERROR(INDEX(VIP_InstanceList,ROWS($A$6:A321)-ROWS(IPList))),
                IF(ISERROR(INDEX(GTMLIST,ROWS($A$6:A321)-(ROWS(IPList)+(ROWS(VIP_InstanceList))))),"",
                      INDEX(GTMLIST,ROWS($A$6:A321)-(ROWS(IPList)+(ROWS(VIP_InstanceList))))),
                                  INDEX(VIP_InstanceList,ROWS($A$6:A321)-ROWS(IPList))),
                                             INDEX(IPList,ROWS($A$6:A321)))</f>
        <v/>
      </c>
      <c r="Y321" s="2980" t="s">
        <v>1782</v>
      </c>
      <c r="Z321" s="2983" t="s">
        <v>4860</v>
      </c>
      <c r="AA321" s="2980">
        <v>2852</v>
      </c>
      <c r="AB321" s="2980" t="s">
        <v>266</v>
      </c>
      <c r="AC321" s="2980" t="s">
        <v>4150</v>
      </c>
      <c r="AD321" s="2980" t="s">
        <v>4149</v>
      </c>
    </row>
    <row r="322" spans="1:30" ht="15">
      <c r="A322" s="1758" t="str">
        <f ca="1">IF(ISERROR(INDEX(IPList,ROWS($A$6:A322))),
         IF(ISERROR(INDEX(VIP_InstanceList,ROWS($A$6:A322)-ROWS(IPList))),
                IF(ISERROR(INDEX(GTMLIST,ROWS($A$6:A322)-(ROWS(IPList)+(ROWS(VIP_InstanceList))))),"",
                      INDEX(GTMLIST,ROWS($A$6:A322)-(ROWS(IPList)+(ROWS(VIP_InstanceList))))),
                                  INDEX(VIP_InstanceList,ROWS($A$6:A322)-ROWS(IPList))),
                                             INDEX(IPList,ROWS($A$6:A322)))</f>
        <v/>
      </c>
      <c r="Y322" s="2980" t="s">
        <v>1782</v>
      </c>
      <c r="Z322" s="2983" t="s">
        <v>4861</v>
      </c>
      <c r="AA322" s="2980">
        <v>2852</v>
      </c>
      <c r="AB322" s="2980" t="s">
        <v>266</v>
      </c>
      <c r="AC322" s="2980" t="s">
        <v>4150</v>
      </c>
      <c r="AD322" s="2980" t="s">
        <v>4149</v>
      </c>
    </row>
    <row r="323" spans="1:30" ht="15">
      <c r="A323" s="1758" t="str">
        <f ca="1">IF(ISERROR(INDEX(IPList,ROWS($A$6:A323))),
         IF(ISERROR(INDEX(VIP_InstanceList,ROWS($A$6:A323)-ROWS(IPList))),
                IF(ISERROR(INDEX(GTMLIST,ROWS($A$6:A323)-(ROWS(IPList)+(ROWS(VIP_InstanceList))))),"",
                      INDEX(GTMLIST,ROWS($A$6:A323)-(ROWS(IPList)+(ROWS(VIP_InstanceList))))),
                                  INDEX(VIP_InstanceList,ROWS($A$6:A323)-ROWS(IPList))),
                                             INDEX(IPList,ROWS($A$6:A323)))</f>
        <v/>
      </c>
      <c r="Y323" s="2980" t="s">
        <v>1782</v>
      </c>
      <c r="Z323" s="2983" t="s">
        <v>4862</v>
      </c>
      <c r="AA323" s="2980">
        <v>2852</v>
      </c>
      <c r="AB323" s="2980" t="s">
        <v>266</v>
      </c>
      <c r="AC323" s="2980" t="s">
        <v>4150</v>
      </c>
      <c r="AD323" s="2980" t="s">
        <v>4149</v>
      </c>
    </row>
    <row r="324" spans="1:30" ht="15">
      <c r="A324" s="1758" t="str">
        <f ca="1">IF(ISERROR(INDEX(IPList,ROWS($A$6:A324))),
         IF(ISERROR(INDEX(VIP_InstanceList,ROWS($A$6:A324)-ROWS(IPList))),
                IF(ISERROR(INDEX(GTMLIST,ROWS($A$6:A324)-(ROWS(IPList)+(ROWS(VIP_InstanceList))))),"",
                      INDEX(GTMLIST,ROWS($A$6:A324)-(ROWS(IPList)+(ROWS(VIP_InstanceList))))),
                                  INDEX(VIP_InstanceList,ROWS($A$6:A324)-ROWS(IPList))),
                                             INDEX(IPList,ROWS($A$6:A324)))</f>
        <v/>
      </c>
      <c r="Y324" s="2980" t="s">
        <v>1782</v>
      </c>
      <c r="Z324" s="2983" t="s">
        <v>4863</v>
      </c>
      <c r="AA324" s="2980">
        <v>2852</v>
      </c>
      <c r="AB324" s="2980" t="s">
        <v>266</v>
      </c>
      <c r="AC324" s="2980" t="s">
        <v>4150</v>
      </c>
      <c r="AD324" s="2980" t="s">
        <v>4149</v>
      </c>
    </row>
    <row r="325" spans="1:30" ht="15">
      <c r="A325" s="1758" t="str">
        <f ca="1">IF(ISERROR(INDEX(IPList,ROWS($A$6:A325))),
         IF(ISERROR(INDEX(VIP_InstanceList,ROWS($A$6:A325)-ROWS(IPList))),
                IF(ISERROR(INDEX(GTMLIST,ROWS($A$6:A325)-(ROWS(IPList)+(ROWS(VIP_InstanceList))))),"",
                      INDEX(GTMLIST,ROWS($A$6:A325)-(ROWS(IPList)+(ROWS(VIP_InstanceList))))),
                                  INDEX(VIP_InstanceList,ROWS($A$6:A325)-ROWS(IPList))),
                                             INDEX(IPList,ROWS($A$6:A325)))</f>
        <v/>
      </c>
      <c r="Y325" s="2980" t="s">
        <v>1782</v>
      </c>
      <c r="Z325" s="2983" t="s">
        <v>4864</v>
      </c>
      <c r="AA325" s="2980">
        <v>2852</v>
      </c>
      <c r="AB325" s="2980" t="s">
        <v>266</v>
      </c>
      <c r="AC325" s="2980" t="s">
        <v>4150</v>
      </c>
      <c r="AD325" s="2980" t="s">
        <v>4149</v>
      </c>
    </row>
    <row r="326" spans="1:30" ht="15">
      <c r="A326" s="1758" t="str">
        <f ca="1">IF(ISERROR(INDEX(IPList,ROWS($A$6:A326))),
         IF(ISERROR(INDEX(VIP_InstanceList,ROWS($A$6:A326)-ROWS(IPList))),
                IF(ISERROR(INDEX(GTMLIST,ROWS($A$6:A326)-(ROWS(IPList)+(ROWS(VIP_InstanceList))))),"",
                      INDEX(GTMLIST,ROWS($A$6:A326)-(ROWS(IPList)+(ROWS(VIP_InstanceList))))),
                                  INDEX(VIP_InstanceList,ROWS($A$6:A326)-ROWS(IPList))),
                                             INDEX(IPList,ROWS($A$6:A326)))</f>
        <v/>
      </c>
      <c r="Y326" s="2980" t="s">
        <v>1782</v>
      </c>
      <c r="Z326" s="2983" t="s">
        <v>4865</v>
      </c>
      <c r="AA326" s="2980">
        <v>2852</v>
      </c>
      <c r="AB326" s="2980" t="s">
        <v>266</v>
      </c>
      <c r="AC326" s="2980" t="s">
        <v>4150</v>
      </c>
      <c r="AD326" s="2980" t="s">
        <v>4149</v>
      </c>
    </row>
    <row r="327" spans="1:30" ht="15">
      <c r="A327" s="1758" t="str">
        <f ca="1">IF(ISERROR(INDEX(IPList,ROWS($A$6:A327))),
         IF(ISERROR(INDEX(VIP_InstanceList,ROWS($A$6:A327)-ROWS(IPList))),
                IF(ISERROR(INDEX(GTMLIST,ROWS($A$6:A327)-(ROWS(IPList)+(ROWS(VIP_InstanceList))))),"",
                      INDEX(GTMLIST,ROWS($A$6:A327)-(ROWS(IPList)+(ROWS(VIP_InstanceList))))),
                                  INDEX(VIP_InstanceList,ROWS($A$6:A327)-ROWS(IPList))),
                                             INDEX(IPList,ROWS($A$6:A327)))</f>
        <v/>
      </c>
      <c r="Y327" s="2980" t="s">
        <v>1782</v>
      </c>
      <c r="Z327" s="2983" t="s">
        <v>5101</v>
      </c>
      <c r="AA327" s="2980">
        <v>2852</v>
      </c>
      <c r="AB327" s="2980" t="s">
        <v>266</v>
      </c>
      <c r="AC327" s="2980" t="s">
        <v>4150</v>
      </c>
      <c r="AD327" s="2980" t="s">
        <v>4149</v>
      </c>
    </row>
    <row r="328" spans="1:30" ht="15">
      <c r="A328" s="1758" t="str">
        <f ca="1">IF(ISERROR(INDEX(IPList,ROWS($A$6:A328))),
         IF(ISERROR(INDEX(VIP_InstanceList,ROWS($A$6:A328)-ROWS(IPList))),
                IF(ISERROR(INDEX(GTMLIST,ROWS($A$6:A328)-(ROWS(IPList)+(ROWS(VIP_InstanceList))))),"",
                      INDEX(GTMLIST,ROWS($A$6:A328)-(ROWS(IPList)+(ROWS(VIP_InstanceList))))),
                                  INDEX(VIP_InstanceList,ROWS($A$6:A328)-ROWS(IPList))),
                                             INDEX(IPList,ROWS($A$6:A328)))</f>
        <v/>
      </c>
      <c r="Y328" s="2980" t="s">
        <v>1782</v>
      </c>
      <c r="Z328" s="2983" t="s">
        <v>5102</v>
      </c>
      <c r="AA328" s="2980">
        <v>2852</v>
      </c>
      <c r="AB328" s="2980" t="s">
        <v>266</v>
      </c>
      <c r="AC328" s="2980" t="s">
        <v>4150</v>
      </c>
      <c r="AD328" s="2980" t="s">
        <v>4149</v>
      </c>
    </row>
    <row r="329" spans="1:30" ht="15">
      <c r="Y329" s="2980" t="s">
        <v>1782</v>
      </c>
      <c r="Z329" s="2983" t="s">
        <v>5103</v>
      </c>
      <c r="AA329" s="2980">
        <v>2852</v>
      </c>
      <c r="AB329" s="2980" t="s">
        <v>266</v>
      </c>
      <c r="AC329" s="2980" t="s">
        <v>4150</v>
      </c>
      <c r="AD329" s="2980" t="s">
        <v>4149</v>
      </c>
    </row>
    <row r="330" spans="1:30" ht="15">
      <c r="Y330" s="2980" t="s">
        <v>1782</v>
      </c>
      <c r="Z330" s="2983" t="s">
        <v>5104</v>
      </c>
      <c r="AA330" s="2980">
        <v>2852</v>
      </c>
      <c r="AB330" s="2980" t="s">
        <v>266</v>
      </c>
      <c r="AC330" s="2980" t="s">
        <v>4150</v>
      </c>
      <c r="AD330" s="2980" t="s">
        <v>4149</v>
      </c>
    </row>
    <row r="331" spans="1:30" ht="15">
      <c r="Y331" s="2980" t="s">
        <v>1782</v>
      </c>
      <c r="Z331" s="2983" t="s">
        <v>4866</v>
      </c>
      <c r="AA331" s="2980">
        <v>2852</v>
      </c>
      <c r="AB331" s="2980" t="s">
        <v>266</v>
      </c>
      <c r="AC331" s="2980" t="s">
        <v>4150</v>
      </c>
      <c r="AD331" s="2980" t="s">
        <v>4149</v>
      </c>
    </row>
    <row r="332" spans="1:30" ht="15">
      <c r="Y332" s="2980" t="s">
        <v>1782</v>
      </c>
      <c r="Z332" s="2983" t="s">
        <v>4867</v>
      </c>
      <c r="AA332" s="2980">
        <v>2852</v>
      </c>
      <c r="AB332" s="2980" t="s">
        <v>266</v>
      </c>
      <c r="AC332" s="2980" t="s">
        <v>4150</v>
      </c>
      <c r="AD332" s="2980" t="s">
        <v>4149</v>
      </c>
    </row>
    <row r="333" spans="1:30" ht="15">
      <c r="Y333" s="3000" t="s">
        <v>1782</v>
      </c>
      <c r="Z333" s="2983" t="s">
        <v>5048</v>
      </c>
      <c r="AA333" s="2980">
        <v>2852</v>
      </c>
      <c r="AB333" s="2980" t="s">
        <v>266</v>
      </c>
      <c r="AC333" s="2980" t="s">
        <v>4150</v>
      </c>
      <c r="AD333" s="2980" t="s">
        <v>4149</v>
      </c>
    </row>
    <row r="334" spans="1:30" ht="15">
      <c r="Y334" s="2980" t="s">
        <v>1782</v>
      </c>
      <c r="Z334" s="2983" t="s">
        <v>5265</v>
      </c>
      <c r="AA334" s="2980">
        <v>1209</v>
      </c>
      <c r="AB334" s="3000" t="s">
        <v>5490</v>
      </c>
      <c r="AC334" s="3000" t="s">
        <v>5283</v>
      </c>
      <c r="AD334" s="3000" t="s">
        <v>5284</v>
      </c>
    </row>
    <row r="335" spans="1:30" ht="15">
      <c r="Y335" s="2980" t="s">
        <v>1782</v>
      </c>
      <c r="Z335" s="2983" t="s">
        <v>5266</v>
      </c>
      <c r="AA335" s="2980">
        <v>1209</v>
      </c>
      <c r="AB335" s="3000" t="s">
        <v>5490</v>
      </c>
      <c r="AC335" s="3000" t="s">
        <v>5283</v>
      </c>
      <c r="AD335" s="3000" t="s">
        <v>5284</v>
      </c>
    </row>
    <row r="336" spans="1:30" ht="15">
      <c r="Y336" s="2980" t="s">
        <v>1782</v>
      </c>
      <c r="Z336" s="2983" t="s">
        <v>5267</v>
      </c>
      <c r="AA336" s="2980">
        <v>1209</v>
      </c>
      <c r="AB336" s="3000" t="s">
        <v>5490</v>
      </c>
      <c r="AC336" s="3000" t="s">
        <v>5283</v>
      </c>
      <c r="AD336" s="3000" t="s">
        <v>5284</v>
      </c>
    </row>
    <row r="337" spans="25:30" ht="15">
      <c r="Y337" s="2980" t="s">
        <v>1782</v>
      </c>
      <c r="Z337" s="2983" t="s">
        <v>5268</v>
      </c>
      <c r="AA337" s="2980">
        <v>1209</v>
      </c>
      <c r="AB337" s="3000" t="s">
        <v>5490</v>
      </c>
      <c r="AC337" s="3000" t="s">
        <v>5283</v>
      </c>
      <c r="AD337" s="3000" t="s">
        <v>5284</v>
      </c>
    </row>
    <row r="338" spans="25:30" ht="15">
      <c r="Y338" s="2980" t="s">
        <v>1782</v>
      </c>
      <c r="Z338" s="2983" t="s">
        <v>5269</v>
      </c>
      <c r="AA338" s="2980">
        <v>1209</v>
      </c>
      <c r="AB338" s="3000" t="s">
        <v>5490</v>
      </c>
      <c r="AC338" s="3000" t="s">
        <v>5283</v>
      </c>
      <c r="AD338" s="3000" t="s">
        <v>5284</v>
      </c>
    </row>
    <row r="339" spans="25:30" ht="15">
      <c r="Y339" s="2980" t="s">
        <v>1782</v>
      </c>
      <c r="Z339" s="2983" t="s">
        <v>5270</v>
      </c>
      <c r="AA339" s="2980">
        <v>1209</v>
      </c>
      <c r="AB339" s="3000" t="s">
        <v>5490</v>
      </c>
      <c r="AC339" s="3000" t="s">
        <v>5283</v>
      </c>
      <c r="AD339" s="3000" t="s">
        <v>5284</v>
      </c>
    </row>
    <row r="340" spans="25:30" ht="15">
      <c r="Y340" s="2980" t="s">
        <v>1782</v>
      </c>
      <c r="Z340" s="2983" t="s">
        <v>5271</v>
      </c>
      <c r="AA340" s="2980">
        <v>1209</v>
      </c>
      <c r="AB340" s="3000" t="s">
        <v>5490</v>
      </c>
      <c r="AC340" s="3000" t="s">
        <v>5283</v>
      </c>
      <c r="AD340" s="3000" t="s">
        <v>5284</v>
      </c>
    </row>
    <row r="341" spans="25:30" ht="15">
      <c r="Y341" s="2980" t="s">
        <v>1782</v>
      </c>
      <c r="Z341" s="2983" t="s">
        <v>5272</v>
      </c>
      <c r="AA341" s="2980">
        <v>1209</v>
      </c>
      <c r="AB341" s="3000" t="s">
        <v>5490</v>
      </c>
      <c r="AC341" s="3000" t="s">
        <v>5283</v>
      </c>
      <c r="AD341" s="3000" t="s">
        <v>5284</v>
      </c>
    </row>
    <row r="342" spans="25:30" ht="15">
      <c r="Y342" s="2980" t="s">
        <v>1782</v>
      </c>
      <c r="Z342" s="2983" t="s">
        <v>5273</v>
      </c>
      <c r="AA342" s="2980">
        <v>1209</v>
      </c>
      <c r="AB342" s="3000" t="s">
        <v>5490</v>
      </c>
      <c r="AC342" s="3000" t="s">
        <v>5283</v>
      </c>
      <c r="AD342" s="3000" t="s">
        <v>5284</v>
      </c>
    </row>
    <row r="343" spans="25:30" ht="15">
      <c r="Y343" s="2980" t="s">
        <v>1782</v>
      </c>
      <c r="Z343" s="2983" t="s">
        <v>5274</v>
      </c>
      <c r="AA343" s="2980">
        <v>1209</v>
      </c>
      <c r="AB343" s="3000" t="s">
        <v>5490</v>
      </c>
      <c r="AC343" s="3000" t="s">
        <v>5283</v>
      </c>
      <c r="AD343" s="3000" t="s">
        <v>5284</v>
      </c>
    </row>
    <row r="344" spans="25:30" ht="15">
      <c r="Y344" s="2980" t="s">
        <v>1782</v>
      </c>
      <c r="Z344" s="2983" t="s">
        <v>5275</v>
      </c>
      <c r="AA344" s="2980">
        <v>1209</v>
      </c>
      <c r="AB344" s="3000" t="s">
        <v>5490</v>
      </c>
      <c r="AC344" s="3000" t="s">
        <v>5283</v>
      </c>
      <c r="AD344" s="3000" t="s">
        <v>5284</v>
      </c>
    </row>
    <row r="345" spans="25:30" ht="15">
      <c r="Y345" s="2980" t="s">
        <v>1782</v>
      </c>
      <c r="Z345" s="2983" t="s">
        <v>5276</v>
      </c>
      <c r="AA345" s="2980">
        <v>1209</v>
      </c>
      <c r="AB345" s="3000" t="s">
        <v>5490</v>
      </c>
      <c r="AC345" s="3000" t="s">
        <v>5283</v>
      </c>
      <c r="AD345" s="3000" t="s">
        <v>5284</v>
      </c>
    </row>
    <row r="346" spans="25:30" ht="15">
      <c r="Y346" s="2980" t="s">
        <v>1782</v>
      </c>
      <c r="Z346" s="2983" t="s">
        <v>5277</v>
      </c>
      <c r="AA346" s="2980">
        <v>1209</v>
      </c>
      <c r="AB346" s="3000" t="s">
        <v>5490</v>
      </c>
      <c r="AC346" s="3000" t="s">
        <v>5283</v>
      </c>
      <c r="AD346" s="3000" t="s">
        <v>5284</v>
      </c>
    </row>
    <row r="347" spans="25:30" ht="15">
      <c r="Y347" s="2980" t="s">
        <v>1782</v>
      </c>
      <c r="Z347" s="2983" t="s">
        <v>5278</v>
      </c>
      <c r="AA347" s="2980">
        <v>1209</v>
      </c>
      <c r="AB347" s="3000" t="s">
        <v>5490</v>
      </c>
      <c r="AC347" s="3000" t="s">
        <v>5283</v>
      </c>
      <c r="AD347" s="3000" t="s">
        <v>5284</v>
      </c>
    </row>
    <row r="348" spans="25:30" ht="15">
      <c r="Y348" s="2980" t="s">
        <v>1782</v>
      </c>
      <c r="Z348" s="2983" t="s">
        <v>5279</v>
      </c>
      <c r="AA348" s="2980">
        <v>1209</v>
      </c>
      <c r="AB348" s="3000" t="s">
        <v>5490</v>
      </c>
      <c r="AC348" s="3000" t="s">
        <v>5283</v>
      </c>
      <c r="AD348" s="3000" t="s">
        <v>5284</v>
      </c>
    </row>
    <row r="349" spans="25:30" ht="15">
      <c r="Y349" s="2980" t="s">
        <v>1782</v>
      </c>
      <c r="Z349" s="2983" t="s">
        <v>5280</v>
      </c>
      <c r="AA349" s="2980">
        <v>1209</v>
      </c>
      <c r="AB349" s="3000" t="s">
        <v>5490</v>
      </c>
      <c r="AC349" s="3000" t="s">
        <v>5283</v>
      </c>
      <c r="AD349" s="3000" t="s">
        <v>5284</v>
      </c>
    </row>
    <row r="350" spans="25:30" ht="15">
      <c r="Y350" s="2980" t="s">
        <v>1782</v>
      </c>
      <c r="Z350" s="2983" t="s">
        <v>5281</v>
      </c>
      <c r="AA350" s="2980">
        <v>1209</v>
      </c>
      <c r="AB350" s="3000" t="s">
        <v>5490</v>
      </c>
      <c r="AC350" s="3000" t="s">
        <v>5283</v>
      </c>
      <c r="AD350" s="3000" t="s">
        <v>5284</v>
      </c>
    </row>
    <row r="351" spans="25:30" ht="15">
      <c r="Y351" s="3000" t="s">
        <v>1782</v>
      </c>
      <c r="Z351" s="2983" t="s">
        <v>5282</v>
      </c>
      <c r="AA351" s="2980">
        <v>1209</v>
      </c>
      <c r="AB351" s="3000" t="s">
        <v>5490</v>
      </c>
      <c r="AC351" s="3000" t="s">
        <v>5283</v>
      </c>
      <c r="AD351" s="3000" t="s">
        <v>5284</v>
      </c>
    </row>
    <row r="352" spans="25:30" ht="15">
      <c r="Y352" s="2974"/>
      <c r="Z352" s="2975" t="s">
        <v>4761</v>
      </c>
      <c r="AA352" s="2974"/>
      <c r="AB352" s="2974"/>
      <c r="AC352" s="2974"/>
      <c r="AD352" s="2974"/>
    </row>
    <row r="353" spans="25:30">
      <c r="Y353" s="2980" t="s">
        <v>1782</v>
      </c>
      <c r="Z353" s="2980" t="s">
        <v>253</v>
      </c>
      <c r="AA353" s="2980">
        <v>2748</v>
      </c>
      <c r="AB353" s="2980" t="s">
        <v>2436</v>
      </c>
      <c r="AC353" s="2980" t="s">
        <v>426</v>
      </c>
      <c r="AD353" s="2980" t="s">
        <v>1350</v>
      </c>
    </row>
    <row r="354" spans="25:30">
      <c r="Y354" s="2980" t="s">
        <v>1782</v>
      </c>
      <c r="Z354" s="2980" t="s">
        <v>252</v>
      </c>
      <c r="AA354" s="2980">
        <v>2749</v>
      </c>
      <c r="AB354" s="2980" t="s">
        <v>146</v>
      </c>
      <c r="AC354" s="2980" t="s">
        <v>152</v>
      </c>
      <c r="AD354" s="2980" t="s">
        <v>1349</v>
      </c>
    </row>
    <row r="355" spans="25:30">
      <c r="Y355" s="2980" t="s">
        <v>1782</v>
      </c>
      <c r="Z355" s="2980" t="s">
        <v>272</v>
      </c>
      <c r="AA355" s="2980">
        <v>2750</v>
      </c>
      <c r="AB355" s="2980" t="s">
        <v>272</v>
      </c>
      <c r="AC355" s="2980" t="s">
        <v>344</v>
      </c>
      <c r="AD355" s="2980" t="s">
        <v>345</v>
      </c>
    </row>
    <row r="356" spans="25:30">
      <c r="Y356" s="2980" t="s">
        <v>1782</v>
      </c>
      <c r="Z356" s="2980" t="s">
        <v>273</v>
      </c>
      <c r="AA356" s="2980">
        <v>2751</v>
      </c>
      <c r="AB356" s="2980" t="s">
        <v>273</v>
      </c>
      <c r="AC356" s="2980" t="s">
        <v>346</v>
      </c>
      <c r="AD356" s="2980" t="s">
        <v>347</v>
      </c>
    </row>
    <row r="357" spans="25:30">
      <c r="Y357" s="2980" t="s">
        <v>1782</v>
      </c>
      <c r="Z357" s="2980" t="s">
        <v>274</v>
      </c>
      <c r="AA357" s="2980">
        <v>2752</v>
      </c>
      <c r="AB357" s="2980" t="s">
        <v>274</v>
      </c>
      <c r="AC357" s="2980" t="s">
        <v>348</v>
      </c>
      <c r="AD357" s="2980" t="s">
        <v>349</v>
      </c>
    </row>
    <row r="358" spans="25:30">
      <c r="Y358" s="2980" t="s">
        <v>1782</v>
      </c>
      <c r="Z358" s="2980" t="s">
        <v>4455</v>
      </c>
      <c r="AA358" s="2980">
        <v>2710</v>
      </c>
      <c r="AB358" s="2980" t="s">
        <v>4456</v>
      </c>
      <c r="AC358" s="2980" t="s">
        <v>4457</v>
      </c>
      <c r="AD358" s="2980" t="s">
        <v>4458</v>
      </c>
    </row>
    <row r="359" spans="25:30" ht="15">
      <c r="Y359" s="2974"/>
      <c r="Z359" s="2975" t="s">
        <v>1285</v>
      </c>
      <c r="AA359" s="2974"/>
      <c r="AB359" s="2974"/>
      <c r="AC359" s="2974"/>
      <c r="AD359" s="2974"/>
    </row>
    <row r="360" spans="25:30">
      <c r="Y360" s="2980" t="s">
        <v>1782</v>
      </c>
      <c r="Z360" s="2980" t="s">
        <v>256</v>
      </c>
      <c r="AA360" s="2980">
        <v>2760</v>
      </c>
      <c r="AB360" s="2980" t="s">
        <v>267</v>
      </c>
      <c r="AC360" s="2980" t="s">
        <v>350</v>
      </c>
      <c r="AD360" s="2980" t="s">
        <v>351</v>
      </c>
    </row>
    <row r="361" spans="25:30">
      <c r="Y361" s="2980" t="s">
        <v>1782</v>
      </c>
      <c r="Z361" s="2980" t="s">
        <v>257</v>
      </c>
      <c r="AA361" s="2980">
        <v>2760</v>
      </c>
      <c r="AB361" s="2980" t="s">
        <v>267</v>
      </c>
      <c r="AC361" s="2980" t="s">
        <v>350</v>
      </c>
      <c r="AD361" s="2980" t="s">
        <v>351</v>
      </c>
    </row>
    <row r="362" spans="25:30" ht="15">
      <c r="Y362" s="2981" t="s">
        <v>1782</v>
      </c>
      <c r="Z362" s="2981" t="s">
        <v>2266</v>
      </c>
      <c r="AA362" s="2982">
        <v>2761</v>
      </c>
      <c r="AB362" s="2981" t="s">
        <v>266</v>
      </c>
      <c r="AC362" s="2981" t="s">
        <v>318</v>
      </c>
      <c r="AD362" s="2981" t="s">
        <v>319</v>
      </c>
    </row>
    <row r="363" spans="25:30" ht="15">
      <c r="Y363" s="2981" t="s">
        <v>1782</v>
      </c>
      <c r="Z363" s="2981" t="s">
        <v>2359</v>
      </c>
      <c r="AA363" s="2982">
        <v>2761</v>
      </c>
      <c r="AB363" s="2981" t="s">
        <v>266</v>
      </c>
      <c r="AC363" s="2981" t="s">
        <v>318</v>
      </c>
      <c r="AD363" s="2981" t="s">
        <v>319</v>
      </c>
    </row>
    <row r="364" spans="25:30" ht="15">
      <c r="Y364" s="2981" t="s">
        <v>1782</v>
      </c>
      <c r="Z364" s="2981" t="s">
        <v>2360</v>
      </c>
      <c r="AA364" s="2982">
        <v>2761</v>
      </c>
      <c r="AB364" s="2981" t="s">
        <v>266</v>
      </c>
      <c r="AC364" s="2981" t="s">
        <v>318</v>
      </c>
      <c r="AD364" s="2981" t="s">
        <v>319</v>
      </c>
    </row>
    <row r="365" spans="25:30" ht="15">
      <c r="Y365" s="2981" t="s">
        <v>1782</v>
      </c>
      <c r="Z365" s="2981" t="s">
        <v>2361</v>
      </c>
      <c r="AA365" s="2982">
        <v>2761</v>
      </c>
      <c r="AB365" s="2981" t="s">
        <v>266</v>
      </c>
      <c r="AC365" s="2981" t="s">
        <v>318</v>
      </c>
      <c r="AD365" s="2981" t="s">
        <v>319</v>
      </c>
    </row>
    <row r="366" spans="25:30" ht="15">
      <c r="Y366" s="2981" t="s">
        <v>1782</v>
      </c>
      <c r="Z366" s="2981" t="s">
        <v>1695</v>
      </c>
      <c r="AA366" s="2982">
        <v>2761</v>
      </c>
      <c r="AB366" s="2981" t="s">
        <v>266</v>
      </c>
      <c r="AC366" s="2981" t="s">
        <v>318</v>
      </c>
      <c r="AD366" s="2981" t="s">
        <v>319</v>
      </c>
    </row>
    <row r="367" spans="25:30" ht="15">
      <c r="Y367" s="2981" t="s">
        <v>1782</v>
      </c>
      <c r="Z367" s="2981" t="s">
        <v>4868</v>
      </c>
      <c r="AA367" s="2982">
        <v>2761</v>
      </c>
      <c r="AB367" s="2981" t="s">
        <v>266</v>
      </c>
      <c r="AC367" s="2981" t="s">
        <v>318</v>
      </c>
      <c r="AD367" s="2981" t="s">
        <v>319</v>
      </c>
    </row>
    <row r="368" spans="25:30" ht="15">
      <c r="Y368" s="2981" t="s">
        <v>1782</v>
      </c>
      <c r="Z368" s="2981" t="s">
        <v>778</v>
      </c>
      <c r="AA368" s="2982">
        <v>2761</v>
      </c>
      <c r="AB368" s="2981" t="s">
        <v>266</v>
      </c>
      <c r="AC368" s="2981" t="s">
        <v>318</v>
      </c>
      <c r="AD368" s="2981" t="s">
        <v>319</v>
      </c>
    </row>
    <row r="369" spans="25:30" ht="15">
      <c r="Y369" s="2981" t="s">
        <v>1782</v>
      </c>
      <c r="Z369" s="2981" t="s">
        <v>4869</v>
      </c>
      <c r="AA369" s="2982">
        <v>2761</v>
      </c>
      <c r="AB369" s="2981" t="s">
        <v>266</v>
      </c>
      <c r="AC369" s="2981" t="s">
        <v>318</v>
      </c>
      <c r="AD369" s="2981" t="s">
        <v>319</v>
      </c>
    </row>
    <row r="370" spans="25:30" ht="15">
      <c r="Y370" s="2981" t="s">
        <v>1782</v>
      </c>
      <c r="Z370" s="2981" t="s">
        <v>5078</v>
      </c>
      <c r="AA370" s="2982">
        <v>2761</v>
      </c>
      <c r="AB370" s="2981" t="s">
        <v>266</v>
      </c>
      <c r="AC370" s="2981" t="s">
        <v>318</v>
      </c>
      <c r="AD370" s="2981" t="s">
        <v>319</v>
      </c>
    </row>
    <row r="371" spans="25:30" ht="15">
      <c r="Y371" s="2981" t="s">
        <v>1782</v>
      </c>
      <c r="Z371" s="2981" t="s">
        <v>4870</v>
      </c>
      <c r="AA371" s="2982">
        <v>2761</v>
      </c>
      <c r="AB371" s="2981" t="s">
        <v>266</v>
      </c>
      <c r="AC371" s="2981" t="s">
        <v>318</v>
      </c>
      <c r="AD371" s="2981" t="s">
        <v>319</v>
      </c>
    </row>
    <row r="372" spans="25:30" ht="15">
      <c r="Y372" s="2981" t="s">
        <v>1782</v>
      </c>
      <c r="Z372" s="2981" t="s">
        <v>5079</v>
      </c>
      <c r="AA372" s="2982">
        <v>2761</v>
      </c>
      <c r="AB372" s="2981" t="s">
        <v>266</v>
      </c>
      <c r="AC372" s="2981" t="s">
        <v>318</v>
      </c>
      <c r="AD372" s="2981" t="s">
        <v>319</v>
      </c>
    </row>
    <row r="373" spans="25:30" ht="15">
      <c r="Y373" s="2981" t="s">
        <v>1782</v>
      </c>
      <c r="Z373" s="2981" t="s">
        <v>5080</v>
      </c>
      <c r="AA373" s="2982">
        <v>2761</v>
      </c>
      <c r="AB373" s="2981" t="s">
        <v>266</v>
      </c>
      <c r="AC373" s="2981" t="s">
        <v>318</v>
      </c>
      <c r="AD373" s="2981" t="s">
        <v>319</v>
      </c>
    </row>
    <row r="374" spans="25:30" ht="15">
      <c r="Y374" s="2981" t="s">
        <v>1782</v>
      </c>
      <c r="Z374" s="2981" t="s">
        <v>5081</v>
      </c>
      <c r="AA374" s="2982">
        <v>2761</v>
      </c>
      <c r="AB374" s="2981" t="s">
        <v>266</v>
      </c>
      <c r="AC374" s="2981" t="s">
        <v>318</v>
      </c>
      <c r="AD374" s="2981" t="s">
        <v>319</v>
      </c>
    </row>
    <row r="375" spans="25:30" ht="15">
      <c r="Y375" s="2981" t="s">
        <v>1782</v>
      </c>
      <c r="Z375" s="2981" t="s">
        <v>5082</v>
      </c>
      <c r="AA375" s="2982">
        <v>2761</v>
      </c>
      <c r="AB375" s="2981" t="s">
        <v>266</v>
      </c>
      <c r="AC375" s="2981" t="s">
        <v>318</v>
      </c>
      <c r="AD375" s="2981" t="s">
        <v>319</v>
      </c>
    </row>
    <row r="376" spans="25:30" ht="15">
      <c r="Y376" s="2981" t="s">
        <v>1782</v>
      </c>
      <c r="Z376" s="2981" t="s">
        <v>5083</v>
      </c>
      <c r="AA376" s="2982">
        <v>2761</v>
      </c>
      <c r="AB376" s="2981" t="s">
        <v>266</v>
      </c>
      <c r="AC376" s="2981" t="s">
        <v>318</v>
      </c>
      <c r="AD376" s="2981" t="s">
        <v>319</v>
      </c>
    </row>
    <row r="377" spans="25:30" ht="15">
      <c r="Y377" s="2981" t="s">
        <v>1782</v>
      </c>
      <c r="Z377" s="2981" t="s">
        <v>3578</v>
      </c>
      <c r="AA377" s="2982">
        <v>2761</v>
      </c>
      <c r="AB377" s="2981" t="s">
        <v>266</v>
      </c>
      <c r="AC377" s="2981" t="s">
        <v>318</v>
      </c>
      <c r="AD377" s="2981" t="s">
        <v>319</v>
      </c>
    </row>
    <row r="378" spans="25:30" ht="15">
      <c r="Y378" s="2981" t="s">
        <v>1782</v>
      </c>
      <c r="Z378" s="2981" t="s">
        <v>3579</v>
      </c>
      <c r="AA378" s="2982">
        <v>2761</v>
      </c>
      <c r="AB378" s="2981" t="s">
        <v>266</v>
      </c>
      <c r="AC378" s="2981" t="s">
        <v>318</v>
      </c>
      <c r="AD378" s="2981" t="s">
        <v>319</v>
      </c>
    </row>
    <row r="379" spans="25:30" ht="15">
      <c r="Y379" s="2981" t="s">
        <v>1782</v>
      </c>
      <c r="Z379" s="2981" t="s">
        <v>3580</v>
      </c>
      <c r="AA379" s="2982">
        <v>2761</v>
      </c>
      <c r="AB379" s="2981" t="s">
        <v>266</v>
      </c>
      <c r="AC379" s="2981" t="s">
        <v>318</v>
      </c>
      <c r="AD379" s="2981" t="s">
        <v>319</v>
      </c>
    </row>
    <row r="380" spans="25:30" ht="15">
      <c r="Y380" s="2981" t="s">
        <v>1782</v>
      </c>
      <c r="Z380" s="2981" t="s">
        <v>3581</v>
      </c>
      <c r="AA380" s="2982">
        <v>2761</v>
      </c>
      <c r="AB380" s="2981" t="s">
        <v>266</v>
      </c>
      <c r="AC380" s="2981" t="s">
        <v>318</v>
      </c>
      <c r="AD380" s="2981" t="s">
        <v>319</v>
      </c>
    </row>
    <row r="381" spans="25:30" ht="15">
      <c r="Y381" s="2981" t="s">
        <v>1782</v>
      </c>
      <c r="Z381" s="2981" t="s">
        <v>576</v>
      </c>
      <c r="AA381" s="2982">
        <v>2761</v>
      </c>
      <c r="AB381" s="2981" t="s">
        <v>266</v>
      </c>
      <c r="AC381" s="2981" t="s">
        <v>318</v>
      </c>
      <c r="AD381" s="2981" t="s">
        <v>319</v>
      </c>
    </row>
    <row r="382" spans="25:30" ht="15">
      <c r="Y382" s="2985" t="s">
        <v>1782</v>
      </c>
      <c r="Z382" s="2985" t="s">
        <v>4871</v>
      </c>
      <c r="AA382" s="2985">
        <v>2761</v>
      </c>
      <c r="AB382" s="2985" t="s">
        <v>266</v>
      </c>
      <c r="AC382" s="2985" t="s">
        <v>318</v>
      </c>
      <c r="AD382" s="2985" t="s">
        <v>319</v>
      </c>
    </row>
    <row r="383" spans="25:30" ht="15">
      <c r="Y383" s="2985" t="s">
        <v>1782</v>
      </c>
      <c r="Z383" s="2985" t="s">
        <v>4872</v>
      </c>
      <c r="AA383" s="2985">
        <v>2761</v>
      </c>
      <c r="AB383" s="2985" t="s">
        <v>266</v>
      </c>
      <c r="AC383" s="2985" t="s">
        <v>318</v>
      </c>
      <c r="AD383" s="2985" t="s">
        <v>319</v>
      </c>
    </row>
    <row r="384" spans="25:30">
      <c r="Y384" s="2980" t="s">
        <v>1782</v>
      </c>
      <c r="Z384" s="2980" t="s">
        <v>4873</v>
      </c>
      <c r="AA384" s="2980">
        <v>2845</v>
      </c>
      <c r="AB384" s="2980" t="s">
        <v>3521</v>
      </c>
      <c r="AC384" s="2980" t="s">
        <v>3522</v>
      </c>
      <c r="AD384" s="2980" t="s">
        <v>3704</v>
      </c>
    </row>
    <row r="385" spans="25:30">
      <c r="Y385" s="2980" t="s">
        <v>1782</v>
      </c>
      <c r="Z385" s="2980" t="s">
        <v>4874</v>
      </c>
      <c r="AA385" s="2980">
        <v>2845</v>
      </c>
      <c r="AB385" s="2980" t="s">
        <v>3521</v>
      </c>
      <c r="AC385" s="2980" t="s">
        <v>3522</v>
      </c>
      <c r="AD385" s="2980" t="s">
        <v>3704</v>
      </c>
    </row>
    <row r="386" spans="25:30">
      <c r="Y386" s="2980" t="s">
        <v>1782</v>
      </c>
      <c r="Z386" s="2980" t="s">
        <v>4875</v>
      </c>
      <c r="AA386" s="2980">
        <v>2845</v>
      </c>
      <c r="AB386" s="2980" t="s">
        <v>3521</v>
      </c>
      <c r="AC386" s="2980" t="s">
        <v>3522</v>
      </c>
      <c r="AD386" s="2980" t="s">
        <v>3704</v>
      </c>
    </row>
    <row r="387" spans="25:30">
      <c r="Y387" s="2980" t="s">
        <v>1782</v>
      </c>
      <c r="Z387" s="2980" t="s">
        <v>4876</v>
      </c>
      <c r="AA387" s="2980">
        <v>2845</v>
      </c>
      <c r="AB387" s="2980" t="s">
        <v>3521</v>
      </c>
      <c r="AC387" s="2980" t="s">
        <v>3522</v>
      </c>
      <c r="AD387" s="2980" t="s">
        <v>3704</v>
      </c>
    </row>
    <row r="388" spans="25:30">
      <c r="Y388" s="2980" t="s">
        <v>1782</v>
      </c>
      <c r="Z388" s="2980" t="s">
        <v>4877</v>
      </c>
      <c r="AA388" s="2980">
        <v>2845</v>
      </c>
      <c r="AB388" s="2980" t="s">
        <v>3521</v>
      </c>
      <c r="AC388" s="2980" t="s">
        <v>3522</v>
      </c>
      <c r="AD388" s="2980" t="s">
        <v>3704</v>
      </c>
    </row>
    <row r="389" spans="25:30">
      <c r="Y389" s="2980" t="s">
        <v>1782</v>
      </c>
      <c r="Z389" s="3000" t="s">
        <v>5616</v>
      </c>
      <c r="AA389" s="2980">
        <v>2845</v>
      </c>
      <c r="AB389" s="2980" t="s">
        <v>3521</v>
      </c>
      <c r="AC389" s="2980" t="s">
        <v>3522</v>
      </c>
      <c r="AD389" s="2980" t="s">
        <v>3704</v>
      </c>
    </row>
    <row r="390" spans="25:30">
      <c r="Y390" s="2980" t="s">
        <v>1782</v>
      </c>
      <c r="Z390" s="2980" t="s">
        <v>4878</v>
      </c>
      <c r="AA390" s="2980">
        <v>2845</v>
      </c>
      <c r="AB390" s="2980" t="s">
        <v>3521</v>
      </c>
      <c r="AC390" s="2980" t="s">
        <v>3522</v>
      </c>
      <c r="AD390" s="2980" t="s">
        <v>3704</v>
      </c>
    </row>
    <row r="391" spans="25:30">
      <c r="Y391" s="2980" t="s">
        <v>1782</v>
      </c>
      <c r="Z391" s="2980" t="s">
        <v>4879</v>
      </c>
      <c r="AA391" s="2980">
        <v>2845</v>
      </c>
      <c r="AB391" s="2980" t="s">
        <v>4120</v>
      </c>
      <c r="AC391" s="2980" t="s">
        <v>3522</v>
      </c>
      <c r="AD391" s="2980" t="s">
        <v>3704</v>
      </c>
    </row>
    <row r="392" spans="25:30">
      <c r="Y392" s="2980" t="s">
        <v>1782</v>
      </c>
      <c r="Z392" s="2980" t="s">
        <v>4880</v>
      </c>
      <c r="AA392" s="2980">
        <v>2845</v>
      </c>
      <c r="AB392" s="2980" t="s">
        <v>3521</v>
      </c>
      <c r="AC392" s="2980" t="s">
        <v>3522</v>
      </c>
      <c r="AD392" s="2980" t="s">
        <v>3704</v>
      </c>
    </row>
    <row r="393" spans="25:30">
      <c r="Y393" s="2980" t="s">
        <v>1782</v>
      </c>
      <c r="Z393" s="2980" t="s">
        <v>4881</v>
      </c>
      <c r="AA393" s="2980">
        <v>2845</v>
      </c>
      <c r="AB393" s="2980" t="s">
        <v>3521</v>
      </c>
      <c r="AC393" s="2980" t="s">
        <v>3522</v>
      </c>
      <c r="AD393" s="2980" t="s">
        <v>3704</v>
      </c>
    </row>
    <row r="394" spans="25:30">
      <c r="Y394" s="2980" t="s">
        <v>1782</v>
      </c>
      <c r="Z394" s="3000" t="s">
        <v>5084</v>
      </c>
      <c r="AA394" s="2980">
        <v>2845</v>
      </c>
      <c r="AB394" s="2980" t="s">
        <v>3521</v>
      </c>
      <c r="AC394" s="2980" t="s">
        <v>3522</v>
      </c>
      <c r="AD394" s="2980" t="s">
        <v>3704</v>
      </c>
    </row>
    <row r="395" spans="25:30">
      <c r="Y395" s="2980" t="s">
        <v>1782</v>
      </c>
      <c r="Z395" s="3000" t="s">
        <v>5085</v>
      </c>
      <c r="AA395" s="2980">
        <v>2845</v>
      </c>
      <c r="AB395" s="2980" t="s">
        <v>3521</v>
      </c>
      <c r="AC395" s="2980" t="s">
        <v>3522</v>
      </c>
      <c r="AD395" s="2980" t="s">
        <v>3704</v>
      </c>
    </row>
    <row r="396" spans="25:30">
      <c r="Y396" s="2980" t="s">
        <v>1782</v>
      </c>
      <c r="Z396" s="3000" t="s">
        <v>5086</v>
      </c>
      <c r="AA396" s="2980">
        <v>2845</v>
      </c>
      <c r="AB396" s="2980" t="s">
        <v>3521</v>
      </c>
      <c r="AC396" s="2980" t="s">
        <v>3522</v>
      </c>
      <c r="AD396" s="2980" t="s">
        <v>3704</v>
      </c>
    </row>
    <row r="397" spans="25:30">
      <c r="Y397" s="2980" t="s">
        <v>1782</v>
      </c>
      <c r="Z397" s="3000" t="s">
        <v>5087</v>
      </c>
      <c r="AA397" s="2980">
        <v>2845</v>
      </c>
      <c r="AB397" s="2980" t="s">
        <v>3521</v>
      </c>
      <c r="AC397" s="2980" t="s">
        <v>3522</v>
      </c>
      <c r="AD397" s="2980" t="s">
        <v>3704</v>
      </c>
    </row>
    <row r="398" spans="25:30">
      <c r="Y398" s="2980" t="s">
        <v>1782</v>
      </c>
      <c r="Z398" s="3000" t="s">
        <v>5088</v>
      </c>
      <c r="AA398" s="2980">
        <v>2845</v>
      </c>
      <c r="AB398" s="2980" t="s">
        <v>3521</v>
      </c>
      <c r="AC398" s="2980" t="s">
        <v>3522</v>
      </c>
      <c r="AD398" s="2980" t="s">
        <v>3704</v>
      </c>
    </row>
    <row r="399" spans="25:30">
      <c r="Y399" s="2980" t="s">
        <v>1782</v>
      </c>
      <c r="Z399" s="2980" t="s">
        <v>4882</v>
      </c>
      <c r="AA399" s="2980">
        <v>2845</v>
      </c>
      <c r="AB399" s="2980" t="s">
        <v>3521</v>
      </c>
      <c r="AC399" s="2980" t="s">
        <v>3522</v>
      </c>
      <c r="AD399" s="2980" t="s">
        <v>3704</v>
      </c>
    </row>
    <row r="400" spans="25:30">
      <c r="Y400" s="2980" t="s">
        <v>1782</v>
      </c>
      <c r="Z400" s="2980" t="s">
        <v>4883</v>
      </c>
      <c r="AA400" s="2980">
        <v>2845</v>
      </c>
      <c r="AB400" s="2980" t="s">
        <v>3521</v>
      </c>
      <c r="AC400" s="2980" t="s">
        <v>3522</v>
      </c>
      <c r="AD400" s="2980" t="s">
        <v>3704</v>
      </c>
    </row>
    <row r="401" spans="25:30">
      <c r="Y401" s="2980" t="s">
        <v>1782</v>
      </c>
      <c r="Z401" s="2980" t="s">
        <v>4884</v>
      </c>
      <c r="AA401" s="2980">
        <v>2845</v>
      </c>
      <c r="AB401" s="2980" t="s">
        <v>3521</v>
      </c>
      <c r="AC401" s="2980" t="s">
        <v>3522</v>
      </c>
      <c r="AD401" s="2980" t="s">
        <v>3704</v>
      </c>
    </row>
    <row r="402" spans="25:30">
      <c r="Y402" s="2980" t="s">
        <v>1782</v>
      </c>
      <c r="Z402" s="2980" t="s">
        <v>4885</v>
      </c>
      <c r="AA402" s="2980">
        <v>2845</v>
      </c>
      <c r="AB402" s="2980" t="s">
        <v>3521</v>
      </c>
      <c r="AC402" s="2980" t="s">
        <v>3522</v>
      </c>
      <c r="AD402" s="2980" t="s">
        <v>3704</v>
      </c>
    </row>
    <row r="403" spans="25:30">
      <c r="Y403" s="2980" t="s">
        <v>1782</v>
      </c>
      <c r="Z403" s="2980" t="s">
        <v>4886</v>
      </c>
      <c r="AA403" s="2980">
        <v>2845</v>
      </c>
      <c r="AB403" s="2980" t="s">
        <v>3521</v>
      </c>
      <c r="AC403" s="2980" t="s">
        <v>3522</v>
      </c>
      <c r="AD403" s="2980" t="s">
        <v>3704</v>
      </c>
    </row>
    <row r="404" spans="25:30">
      <c r="Y404" s="2980" t="s">
        <v>1782</v>
      </c>
      <c r="Z404" s="2980" t="s">
        <v>4887</v>
      </c>
      <c r="AA404" s="2980">
        <v>2845</v>
      </c>
      <c r="AB404" s="2980" t="s">
        <v>3521</v>
      </c>
      <c r="AC404" s="2980" t="s">
        <v>3522</v>
      </c>
      <c r="AD404" s="2980" t="s">
        <v>3704</v>
      </c>
    </row>
    <row r="405" spans="25:30">
      <c r="Y405" s="2980" t="s">
        <v>1782</v>
      </c>
      <c r="Z405" s="2980" t="s">
        <v>4888</v>
      </c>
      <c r="AA405" s="2980">
        <v>2845</v>
      </c>
      <c r="AB405" s="2980" t="s">
        <v>3521</v>
      </c>
      <c r="AC405" s="2980" t="s">
        <v>3522</v>
      </c>
      <c r="AD405" s="2980" t="s">
        <v>3704</v>
      </c>
    </row>
    <row r="406" spans="25:30">
      <c r="Y406" s="2980" t="s">
        <v>1782</v>
      </c>
      <c r="Z406" s="3000" t="s">
        <v>5203</v>
      </c>
      <c r="AA406" s="2980">
        <v>2863</v>
      </c>
      <c r="AB406" s="2980" t="s">
        <v>5119</v>
      </c>
      <c r="AC406" s="2980" t="s">
        <v>5121</v>
      </c>
      <c r="AD406" s="2980" t="s">
        <v>5122</v>
      </c>
    </row>
    <row r="407" spans="25:30">
      <c r="Y407" s="2980" t="s">
        <v>1782</v>
      </c>
      <c r="Z407" s="3000" t="s">
        <v>5204</v>
      </c>
      <c r="AA407" s="2980">
        <v>2863</v>
      </c>
      <c r="AB407" s="2980" t="s">
        <v>5119</v>
      </c>
      <c r="AC407" s="2980" t="s">
        <v>5121</v>
      </c>
      <c r="AD407" s="2980" t="s">
        <v>5122</v>
      </c>
    </row>
    <row r="408" spans="25:30">
      <c r="Y408" s="2980" t="s">
        <v>1782</v>
      </c>
      <c r="Z408" s="3000" t="s">
        <v>5205</v>
      </c>
      <c r="AA408" s="2980">
        <v>2863</v>
      </c>
      <c r="AB408" s="2980" t="s">
        <v>5119</v>
      </c>
      <c r="AC408" s="2980" t="s">
        <v>5121</v>
      </c>
      <c r="AD408" s="2980" t="s">
        <v>5122</v>
      </c>
    </row>
    <row r="409" spans="25:30">
      <c r="Y409" s="2980" t="s">
        <v>1782</v>
      </c>
      <c r="Z409" s="3000" t="s">
        <v>5206</v>
      </c>
      <c r="AA409" s="2980">
        <v>2863</v>
      </c>
      <c r="AB409" s="2980" t="s">
        <v>5119</v>
      </c>
      <c r="AC409" s="2980" t="s">
        <v>5121</v>
      </c>
      <c r="AD409" s="2980" t="s">
        <v>5122</v>
      </c>
    </row>
    <row r="410" spans="25:30">
      <c r="Y410" s="2980" t="s">
        <v>1782</v>
      </c>
      <c r="Z410" s="3000" t="s">
        <v>5207</v>
      </c>
      <c r="AA410" s="2980">
        <v>2863</v>
      </c>
      <c r="AB410" s="2980" t="s">
        <v>5119</v>
      </c>
      <c r="AC410" s="2980" t="s">
        <v>5121</v>
      </c>
      <c r="AD410" s="2980" t="s">
        <v>5122</v>
      </c>
    </row>
    <row r="411" spans="25:30">
      <c r="Y411" s="2980" t="s">
        <v>1782</v>
      </c>
      <c r="Z411" s="3000" t="s">
        <v>5208</v>
      </c>
      <c r="AA411" s="2980">
        <v>2863</v>
      </c>
      <c r="AB411" s="2980" t="s">
        <v>5119</v>
      </c>
      <c r="AC411" s="2980" t="s">
        <v>5121</v>
      </c>
      <c r="AD411" s="2980" t="s">
        <v>5122</v>
      </c>
    </row>
    <row r="412" spans="25:30">
      <c r="Y412" s="2980" t="s">
        <v>1782</v>
      </c>
      <c r="Z412" s="3000" t="s">
        <v>5209</v>
      </c>
      <c r="AA412" s="2980">
        <v>2863</v>
      </c>
      <c r="AB412" s="2980" t="s">
        <v>5119</v>
      </c>
      <c r="AC412" s="2980" t="s">
        <v>5121</v>
      </c>
      <c r="AD412" s="2980" t="s">
        <v>5122</v>
      </c>
    </row>
    <row r="413" spans="25:30">
      <c r="Y413" s="2980" t="s">
        <v>1782</v>
      </c>
      <c r="Z413" s="3000" t="s">
        <v>5210</v>
      </c>
      <c r="AA413" s="2980">
        <v>2863</v>
      </c>
      <c r="AB413" s="2980" t="s">
        <v>5120</v>
      </c>
      <c r="AC413" s="2980" t="s">
        <v>5121</v>
      </c>
      <c r="AD413" s="2980" t="s">
        <v>5122</v>
      </c>
    </row>
    <row r="414" spans="25:30">
      <c r="Y414" s="2980" t="s">
        <v>1782</v>
      </c>
      <c r="Z414" s="3000" t="s">
        <v>5211</v>
      </c>
      <c r="AA414" s="2980">
        <v>2863</v>
      </c>
      <c r="AB414" s="2980" t="s">
        <v>5119</v>
      </c>
      <c r="AC414" s="2980" t="s">
        <v>5121</v>
      </c>
      <c r="AD414" s="2980" t="s">
        <v>5122</v>
      </c>
    </row>
    <row r="415" spans="25:30">
      <c r="Y415" s="2980" t="s">
        <v>1782</v>
      </c>
      <c r="Z415" s="3000" t="s">
        <v>5212</v>
      </c>
      <c r="AA415" s="2980">
        <v>2863</v>
      </c>
      <c r="AB415" s="2980" t="s">
        <v>5119</v>
      </c>
      <c r="AC415" s="2980" t="s">
        <v>5121</v>
      </c>
      <c r="AD415" s="2980" t="s">
        <v>5122</v>
      </c>
    </row>
    <row r="416" spans="25:30">
      <c r="Y416" s="2980" t="s">
        <v>1782</v>
      </c>
      <c r="Z416" s="3000" t="s">
        <v>5213</v>
      </c>
      <c r="AA416" s="2980">
        <v>2863</v>
      </c>
      <c r="AB416" s="2980" t="s">
        <v>5119</v>
      </c>
      <c r="AC416" s="2980" t="s">
        <v>5121</v>
      </c>
      <c r="AD416" s="2980" t="s">
        <v>5122</v>
      </c>
    </row>
    <row r="417" spans="25:30">
      <c r="Y417" s="2980" t="s">
        <v>1782</v>
      </c>
      <c r="Z417" s="3000" t="s">
        <v>5214</v>
      </c>
      <c r="AA417" s="2980">
        <v>2863</v>
      </c>
      <c r="AB417" s="2980" t="s">
        <v>5119</v>
      </c>
      <c r="AC417" s="2980" t="s">
        <v>5121</v>
      </c>
      <c r="AD417" s="2980" t="s">
        <v>5122</v>
      </c>
    </row>
    <row r="418" spans="25:30">
      <c r="Y418" s="2980" t="s">
        <v>1782</v>
      </c>
      <c r="Z418" s="3000" t="s">
        <v>5215</v>
      </c>
      <c r="AA418" s="2980">
        <v>2863</v>
      </c>
      <c r="AB418" s="2980" t="s">
        <v>5119</v>
      </c>
      <c r="AC418" s="2980" t="s">
        <v>5121</v>
      </c>
      <c r="AD418" s="2980" t="s">
        <v>5122</v>
      </c>
    </row>
    <row r="419" spans="25:30">
      <c r="Y419" s="2980" t="s">
        <v>1782</v>
      </c>
      <c r="Z419" s="3000" t="s">
        <v>5216</v>
      </c>
      <c r="AA419" s="2980">
        <v>2863</v>
      </c>
      <c r="AB419" s="2980" t="s">
        <v>5119</v>
      </c>
      <c r="AC419" s="2980" t="s">
        <v>5121</v>
      </c>
      <c r="AD419" s="2980" t="s">
        <v>5122</v>
      </c>
    </row>
    <row r="420" spans="25:30">
      <c r="Y420" s="2980" t="s">
        <v>1782</v>
      </c>
      <c r="Z420" s="3000" t="s">
        <v>5217</v>
      </c>
      <c r="AA420" s="2980">
        <v>2863</v>
      </c>
      <c r="AB420" s="2980" t="s">
        <v>5119</v>
      </c>
      <c r="AC420" s="2980" t="s">
        <v>5121</v>
      </c>
      <c r="AD420" s="2980" t="s">
        <v>5122</v>
      </c>
    </row>
    <row r="421" spans="25:30">
      <c r="Y421" s="2980" t="s">
        <v>1782</v>
      </c>
      <c r="Z421" s="3000" t="s">
        <v>5218</v>
      </c>
      <c r="AA421" s="2980">
        <v>2863</v>
      </c>
      <c r="AB421" s="2980" t="s">
        <v>5119</v>
      </c>
      <c r="AC421" s="2980" t="s">
        <v>5121</v>
      </c>
      <c r="AD421" s="2980" t="s">
        <v>5122</v>
      </c>
    </row>
    <row r="422" spans="25:30">
      <c r="Y422" s="2980" t="s">
        <v>1782</v>
      </c>
      <c r="Z422" s="3000" t="s">
        <v>5219</v>
      </c>
      <c r="AA422" s="2980">
        <v>2863</v>
      </c>
      <c r="AB422" s="2980" t="s">
        <v>5119</v>
      </c>
      <c r="AC422" s="2980" t="s">
        <v>5121</v>
      </c>
      <c r="AD422" s="2980" t="s">
        <v>5122</v>
      </c>
    </row>
    <row r="423" spans="25:30">
      <c r="Y423" s="2980" t="s">
        <v>1782</v>
      </c>
      <c r="Z423" s="3000" t="s">
        <v>5220</v>
      </c>
      <c r="AA423" s="2980">
        <v>2863</v>
      </c>
      <c r="AB423" s="2980" t="s">
        <v>5119</v>
      </c>
      <c r="AC423" s="2980" t="s">
        <v>5121</v>
      </c>
      <c r="AD423" s="2980" t="s">
        <v>5122</v>
      </c>
    </row>
    <row r="424" spans="25:30">
      <c r="Y424" s="2980" t="s">
        <v>1782</v>
      </c>
      <c r="Z424" s="3000" t="s">
        <v>5221</v>
      </c>
      <c r="AA424" s="2980">
        <v>2863</v>
      </c>
      <c r="AB424" s="2980" t="s">
        <v>5119</v>
      </c>
      <c r="AC424" s="2980" t="s">
        <v>5121</v>
      </c>
      <c r="AD424" s="2980" t="s">
        <v>5122</v>
      </c>
    </row>
    <row r="425" spans="25:30">
      <c r="Y425" s="2980" t="s">
        <v>1782</v>
      </c>
      <c r="Z425" s="3000" t="s">
        <v>5222</v>
      </c>
      <c r="AA425" s="2980">
        <v>2863</v>
      </c>
      <c r="AB425" s="2980" t="s">
        <v>5119</v>
      </c>
      <c r="AC425" s="2980" t="s">
        <v>5121</v>
      </c>
      <c r="AD425" s="2980" t="s">
        <v>5122</v>
      </c>
    </row>
    <row r="426" spans="25:30">
      <c r="Y426" s="2980" t="s">
        <v>1782</v>
      </c>
      <c r="Z426" s="3000" t="s">
        <v>5123</v>
      </c>
      <c r="AA426" s="2980">
        <v>2863</v>
      </c>
      <c r="AB426" s="2980" t="s">
        <v>5119</v>
      </c>
      <c r="AC426" s="2980" t="s">
        <v>5121</v>
      </c>
      <c r="AD426" s="2980" t="s">
        <v>5122</v>
      </c>
    </row>
    <row r="427" spans="25:30">
      <c r="Y427" s="2980" t="s">
        <v>1782</v>
      </c>
      <c r="Z427" s="3000" t="s">
        <v>5223</v>
      </c>
      <c r="AA427" s="2980">
        <v>2863</v>
      </c>
      <c r="AB427" s="2980" t="s">
        <v>5119</v>
      </c>
      <c r="AC427" s="2980" t="s">
        <v>5121</v>
      </c>
      <c r="AD427" s="2980" t="s">
        <v>5122</v>
      </c>
    </row>
    <row r="428" spans="25:30">
      <c r="Y428" s="2980" t="s">
        <v>1782</v>
      </c>
      <c r="Z428" s="3000" t="s">
        <v>4889</v>
      </c>
      <c r="AA428" s="2980">
        <v>2694</v>
      </c>
      <c r="AB428" s="2980" t="s">
        <v>4138</v>
      </c>
      <c r="AC428" s="2980" t="s">
        <v>4137</v>
      </c>
      <c r="AD428" s="2980" t="s">
        <v>4136</v>
      </c>
    </row>
    <row r="429" spans="25:30">
      <c r="Y429" s="2980" t="s">
        <v>1782</v>
      </c>
      <c r="Z429" s="3000" t="s">
        <v>5358</v>
      </c>
      <c r="AA429" s="2980">
        <v>2772</v>
      </c>
      <c r="AB429" s="2980" t="s">
        <v>746</v>
      </c>
      <c r="AC429" s="2980" t="s">
        <v>747</v>
      </c>
      <c r="AD429" s="2980" t="s">
        <v>748</v>
      </c>
    </row>
    <row r="430" spans="25:30">
      <c r="Y430" s="2980" t="s">
        <v>1782</v>
      </c>
      <c r="Z430" s="3000" t="s">
        <v>5359</v>
      </c>
      <c r="AA430" s="2980">
        <v>2772</v>
      </c>
      <c r="AB430" s="2980" t="s">
        <v>746</v>
      </c>
      <c r="AC430" s="2980" t="s">
        <v>747</v>
      </c>
      <c r="AD430" s="2980" t="s">
        <v>748</v>
      </c>
    </row>
    <row r="431" spans="25:30">
      <c r="Y431" s="2980" t="s">
        <v>1782</v>
      </c>
      <c r="Z431" s="3000" t="s">
        <v>5350</v>
      </c>
      <c r="AA431" s="2980">
        <v>2864</v>
      </c>
      <c r="AB431" s="3000" t="s">
        <v>5351</v>
      </c>
      <c r="AC431" s="3000" t="s">
        <v>5352</v>
      </c>
      <c r="AD431" s="3000" t="s">
        <v>5353</v>
      </c>
    </row>
    <row r="432" spans="25:30">
      <c r="Y432" s="2980" t="s">
        <v>1782</v>
      </c>
      <c r="Z432" s="3000" t="s">
        <v>278</v>
      </c>
      <c r="AA432" s="2980">
        <v>2762</v>
      </c>
      <c r="AB432" s="2980" t="s">
        <v>278</v>
      </c>
      <c r="AC432" s="2980" t="s">
        <v>1344</v>
      </c>
      <c r="AD432" s="2980" t="s">
        <v>1345</v>
      </c>
    </row>
    <row r="433" spans="25:30">
      <c r="Y433" s="2980" t="s">
        <v>1782</v>
      </c>
      <c r="Z433" s="3000" t="s">
        <v>279</v>
      </c>
      <c r="AA433" s="2980">
        <v>2763</v>
      </c>
      <c r="AB433" s="2980" t="s">
        <v>279</v>
      </c>
      <c r="AC433" s="2980" t="s">
        <v>1347</v>
      </c>
      <c r="AD433" s="2980" t="s">
        <v>1348</v>
      </c>
    </row>
    <row r="434" spans="25:30">
      <c r="Y434" s="2980" t="s">
        <v>1782</v>
      </c>
      <c r="Z434" s="3000" t="s">
        <v>3005</v>
      </c>
      <c r="AA434" s="2980">
        <v>2840</v>
      </c>
      <c r="AB434" s="2980" t="s">
        <v>4890</v>
      </c>
      <c r="AC434" s="2980" t="s">
        <v>3003</v>
      </c>
      <c r="AD434" s="2980" t="s">
        <v>4891</v>
      </c>
    </row>
    <row r="435" spans="25:30">
      <c r="Y435" s="2980" t="s">
        <v>1782</v>
      </c>
      <c r="Z435" s="3000" t="s">
        <v>3006</v>
      </c>
      <c r="AA435" s="2980">
        <v>2840</v>
      </c>
      <c r="AB435" s="2980" t="s">
        <v>4890</v>
      </c>
      <c r="AC435" s="2980" t="s">
        <v>3003</v>
      </c>
      <c r="AD435" s="2980" t="s">
        <v>4891</v>
      </c>
    </row>
    <row r="436" spans="25:30">
      <c r="Y436" s="2980" t="s">
        <v>1782</v>
      </c>
      <c r="Z436" s="3000" t="s">
        <v>3007</v>
      </c>
      <c r="AA436" s="2980">
        <v>2840</v>
      </c>
      <c r="AB436" s="2980" t="s">
        <v>4890</v>
      </c>
      <c r="AC436" s="2980" t="s">
        <v>3003</v>
      </c>
      <c r="AD436" s="2980" t="s">
        <v>4891</v>
      </c>
    </row>
    <row r="437" spans="25:30" ht="15">
      <c r="Y437" s="2974"/>
      <c r="Z437" s="2975" t="s">
        <v>4672</v>
      </c>
      <c r="AA437" s="2974"/>
      <c r="AB437" s="2974"/>
      <c r="AC437" s="2974"/>
      <c r="AD437" s="2974"/>
    </row>
    <row r="438" spans="25:30">
      <c r="Y438" s="2988" t="s">
        <v>1269</v>
      </c>
      <c r="Z438" s="2988" t="s">
        <v>3582</v>
      </c>
      <c r="AA438" s="2988">
        <v>2950</v>
      </c>
      <c r="AB438" s="2988" t="s">
        <v>4892</v>
      </c>
      <c r="AC438" s="2988" t="s">
        <v>2760</v>
      </c>
      <c r="AD438" s="2988" t="s">
        <v>2761</v>
      </c>
    </row>
    <row r="439" spans="25:30">
      <c r="Y439" s="2988" t="s">
        <v>1269</v>
      </c>
      <c r="Z439" s="2988" t="s">
        <v>3583</v>
      </c>
      <c r="AA439" s="2988">
        <v>2951</v>
      </c>
      <c r="AB439" s="2988" t="s">
        <v>4893</v>
      </c>
      <c r="AC439" s="2988" t="s">
        <v>2762</v>
      </c>
      <c r="AD439" s="2988" t="s">
        <v>2763</v>
      </c>
    </row>
    <row r="440" spans="25:30">
      <c r="Y440" s="2988" t="s">
        <v>1269</v>
      </c>
      <c r="Z440" s="2988" t="s">
        <v>3584</v>
      </c>
      <c r="AA440" s="2988">
        <v>2952</v>
      </c>
      <c r="AB440" s="2988" t="s">
        <v>4894</v>
      </c>
      <c r="AC440" s="2988" t="s">
        <v>2764</v>
      </c>
      <c r="AD440" s="2988" t="s">
        <v>2765</v>
      </c>
    </row>
    <row r="441" spans="25:30">
      <c r="Y441" s="2988" t="s">
        <v>1269</v>
      </c>
      <c r="Z441" s="2988" t="s">
        <v>3585</v>
      </c>
      <c r="AA441" s="2988">
        <v>2953</v>
      </c>
      <c r="AB441" s="2988" t="s">
        <v>4895</v>
      </c>
      <c r="AC441" s="2988" t="s">
        <v>2766</v>
      </c>
      <c r="AD441" s="2988" t="s">
        <v>2767</v>
      </c>
    </row>
    <row r="442" spans="25:30">
      <c r="Y442" s="2988" t="s">
        <v>1269</v>
      </c>
      <c r="Z442" s="2988" t="s">
        <v>4266</v>
      </c>
      <c r="AA442" s="2988">
        <v>3146</v>
      </c>
      <c r="AB442" s="2988" t="s">
        <v>4896</v>
      </c>
      <c r="AC442" s="2988" t="s">
        <v>4267</v>
      </c>
      <c r="AD442" s="2988" t="s">
        <v>4268</v>
      </c>
    </row>
    <row r="443" spans="25:30">
      <c r="Y443" s="2988" t="s">
        <v>1269</v>
      </c>
      <c r="Z443" s="2988" t="s">
        <v>2757</v>
      </c>
      <c r="AA443" s="2988">
        <v>2901</v>
      </c>
      <c r="AB443" s="2988" t="s">
        <v>4897</v>
      </c>
      <c r="AC443" s="2988" t="s">
        <v>2758</v>
      </c>
      <c r="AD443" s="2988" t="s">
        <v>2759</v>
      </c>
    </row>
    <row r="444" spans="25:30">
      <c r="Y444" s="2988" t="s">
        <v>1269</v>
      </c>
      <c r="Z444" s="2988" t="s">
        <v>4898</v>
      </c>
      <c r="AA444" s="2988">
        <v>2914</v>
      </c>
      <c r="AB444" s="2988" t="s">
        <v>4899</v>
      </c>
      <c r="AC444" s="2988" t="s">
        <v>673</v>
      </c>
      <c r="AD444" s="2988" t="s">
        <v>1338</v>
      </c>
    </row>
    <row r="445" spans="25:30">
      <c r="Y445" s="2988" t="s">
        <v>1269</v>
      </c>
      <c r="Z445" s="2988" t="s">
        <v>4900</v>
      </c>
      <c r="AA445" s="2988">
        <v>2931</v>
      </c>
      <c r="AB445" s="2988" t="s">
        <v>4901</v>
      </c>
      <c r="AC445" s="2988" t="s">
        <v>1339</v>
      </c>
      <c r="AD445" s="2988" t="s">
        <v>1340</v>
      </c>
    </row>
    <row r="446" spans="25:30">
      <c r="Y446" s="2988" t="s">
        <v>1269</v>
      </c>
      <c r="Z446" s="2988" t="s">
        <v>3505</v>
      </c>
      <c r="AA446" s="2988">
        <v>3015</v>
      </c>
      <c r="AB446" s="2988" t="s">
        <v>4902</v>
      </c>
      <c r="AC446" s="2988" t="s">
        <v>677</v>
      </c>
      <c r="AD446" s="2988" t="s">
        <v>1341</v>
      </c>
    </row>
    <row r="447" spans="25:30">
      <c r="Y447" s="2988" t="s">
        <v>1269</v>
      </c>
      <c r="Z447" s="2988" t="s">
        <v>1541</v>
      </c>
      <c r="AA447" s="2988">
        <v>3017</v>
      </c>
      <c r="AB447" s="2988" t="s">
        <v>4903</v>
      </c>
      <c r="AC447" s="2988" t="s">
        <v>1542</v>
      </c>
      <c r="AD447" s="2988" t="s">
        <v>1543</v>
      </c>
    </row>
    <row r="448" spans="25:30">
      <c r="Y448" s="2988" t="s">
        <v>1269</v>
      </c>
      <c r="Z448" s="2988" t="s">
        <v>2457</v>
      </c>
      <c r="AA448" s="2988">
        <v>3019</v>
      </c>
      <c r="AB448" s="2988" t="s">
        <v>4904</v>
      </c>
      <c r="AC448" s="2988" t="s">
        <v>2458</v>
      </c>
      <c r="AD448" s="2988" t="s">
        <v>2459</v>
      </c>
    </row>
    <row r="449" spans="25:30">
      <c r="Y449" s="2988" t="s">
        <v>1269</v>
      </c>
      <c r="Z449" s="2988" t="s">
        <v>2724</v>
      </c>
      <c r="AA449" s="2988">
        <v>3047</v>
      </c>
      <c r="AB449" s="2988" t="s">
        <v>4905</v>
      </c>
      <c r="AC449" s="2988" t="s">
        <v>2722</v>
      </c>
      <c r="AD449" s="2988" t="s">
        <v>2723</v>
      </c>
    </row>
    <row r="450" spans="25:30">
      <c r="Y450" s="2988" t="s">
        <v>1269</v>
      </c>
      <c r="Z450" s="2988" t="s">
        <v>1534</v>
      </c>
      <c r="AA450" s="2988">
        <v>3085</v>
      </c>
      <c r="AB450" s="2988" t="s">
        <v>4906</v>
      </c>
      <c r="AC450" s="2988" t="s">
        <v>1514</v>
      </c>
      <c r="AD450" s="2988" t="s">
        <v>1525</v>
      </c>
    </row>
    <row r="451" spans="25:30">
      <c r="Y451" s="2988" t="s">
        <v>1269</v>
      </c>
      <c r="Z451" s="2988" t="s">
        <v>2362</v>
      </c>
      <c r="AA451" s="2988">
        <v>3020</v>
      </c>
      <c r="AB451" s="2988" t="s">
        <v>4907</v>
      </c>
      <c r="AC451" s="2988" t="s">
        <v>2667</v>
      </c>
      <c r="AD451" s="2988" t="s">
        <v>2668</v>
      </c>
    </row>
    <row r="452" spans="25:30">
      <c r="Y452" s="2988" t="s">
        <v>1269</v>
      </c>
      <c r="Z452" s="2988" t="s">
        <v>4908</v>
      </c>
      <c r="AA452" s="2988">
        <v>3022</v>
      </c>
      <c r="AB452" s="2988" t="s">
        <v>4909</v>
      </c>
      <c r="AC452" s="2988" t="s">
        <v>2669</v>
      </c>
      <c r="AD452" s="2988" t="s">
        <v>2670</v>
      </c>
    </row>
    <row r="453" spans="25:30">
      <c r="Y453" s="2988" t="s">
        <v>1269</v>
      </c>
      <c r="Z453" s="2988" t="s">
        <v>4910</v>
      </c>
      <c r="AA453" s="2988">
        <v>3024</v>
      </c>
      <c r="AB453" s="2988" t="s">
        <v>4911</v>
      </c>
      <c r="AC453" s="2988" t="s">
        <v>2671</v>
      </c>
      <c r="AD453" s="2988" t="s">
        <v>2672</v>
      </c>
    </row>
    <row r="454" spans="25:30">
      <c r="Y454" s="2988" t="s">
        <v>1269</v>
      </c>
      <c r="Z454" s="2988" t="s">
        <v>4912</v>
      </c>
      <c r="AA454" s="2988">
        <v>3026</v>
      </c>
      <c r="AB454" s="2988" t="s">
        <v>4913</v>
      </c>
      <c r="AC454" s="2988" t="s">
        <v>2673</v>
      </c>
      <c r="AD454" s="2988" t="s">
        <v>2674</v>
      </c>
    </row>
    <row r="455" spans="25:30">
      <c r="Y455" s="2988" t="s">
        <v>1269</v>
      </c>
      <c r="Z455" s="2988" t="s">
        <v>2675</v>
      </c>
      <c r="AA455" s="2988">
        <v>3028</v>
      </c>
      <c r="AB455" s="2988" t="s">
        <v>4914</v>
      </c>
      <c r="AC455" s="2988" t="s">
        <v>2676</v>
      </c>
      <c r="AD455" s="2988" t="s">
        <v>2677</v>
      </c>
    </row>
    <row r="456" spans="25:30">
      <c r="Y456" s="2988" t="s">
        <v>1269</v>
      </c>
      <c r="Z456" s="2988" t="s">
        <v>4915</v>
      </c>
      <c r="AA456" s="2988">
        <v>3030</v>
      </c>
      <c r="AB456" s="2988" t="s">
        <v>4916</v>
      </c>
      <c r="AC456" s="2988" t="s">
        <v>2678</v>
      </c>
      <c r="AD456" s="2988" t="s">
        <v>2679</v>
      </c>
    </row>
    <row r="457" spans="25:30">
      <c r="Y457" s="2988" t="s">
        <v>1269</v>
      </c>
      <c r="Z457" s="2988" t="s">
        <v>4917</v>
      </c>
      <c r="AA457" s="2988">
        <v>3032</v>
      </c>
      <c r="AB457" s="2988" t="s">
        <v>4918</v>
      </c>
      <c r="AC457" s="2988" t="s">
        <v>2680</v>
      </c>
      <c r="AD457" s="2988" t="s">
        <v>2681</v>
      </c>
    </row>
    <row r="458" spans="25:30">
      <c r="Y458" s="2988" t="s">
        <v>1269</v>
      </c>
      <c r="Z458" s="2988" t="s">
        <v>4919</v>
      </c>
      <c r="AA458" s="2988">
        <v>3034</v>
      </c>
      <c r="AB458" s="2988" t="s">
        <v>4920</v>
      </c>
      <c r="AC458" s="2988" t="s">
        <v>2682</v>
      </c>
      <c r="AD458" s="2988" t="s">
        <v>2683</v>
      </c>
    </row>
    <row r="459" spans="25:30">
      <c r="Y459" s="2988" t="s">
        <v>1269</v>
      </c>
      <c r="Z459" s="2988" t="s">
        <v>1360</v>
      </c>
      <c r="AA459" s="2988">
        <v>3046</v>
      </c>
      <c r="AB459" s="2988" t="s">
        <v>4921</v>
      </c>
      <c r="AC459" s="2988" t="s">
        <v>1361</v>
      </c>
      <c r="AD459" s="2988" t="s">
        <v>343</v>
      </c>
    </row>
    <row r="460" spans="25:30">
      <c r="Y460" s="2988" t="s">
        <v>1269</v>
      </c>
      <c r="Z460" s="2988" t="s">
        <v>4922</v>
      </c>
      <c r="AA460" s="2988">
        <v>3082</v>
      </c>
      <c r="AB460" s="2988" t="s">
        <v>4923</v>
      </c>
      <c r="AC460" s="2988" t="s">
        <v>4155</v>
      </c>
      <c r="AD460" s="2988" t="s">
        <v>4156</v>
      </c>
    </row>
    <row r="461" spans="25:30">
      <c r="Y461" s="2988" t="s">
        <v>1269</v>
      </c>
      <c r="Z461" s="2988" t="s">
        <v>4121</v>
      </c>
      <c r="AA461" s="2988">
        <v>3087</v>
      </c>
      <c r="AB461" s="2988" t="s">
        <v>4924</v>
      </c>
      <c r="AC461" s="2988" t="s">
        <v>1515</v>
      </c>
      <c r="AD461" s="2988" t="s">
        <v>1526</v>
      </c>
    </row>
    <row r="462" spans="25:30">
      <c r="Y462" s="2988" t="s">
        <v>1269</v>
      </c>
      <c r="Z462" s="2988" t="s">
        <v>3750</v>
      </c>
      <c r="AA462" s="2988">
        <v>3137</v>
      </c>
      <c r="AB462" s="2988" t="s">
        <v>4925</v>
      </c>
      <c r="AC462" s="2988" t="s">
        <v>3751</v>
      </c>
      <c r="AD462" s="2988" t="s">
        <v>2725</v>
      </c>
    </row>
    <row r="463" spans="25:30">
      <c r="Y463" s="2988" t="s">
        <v>1269</v>
      </c>
      <c r="Z463" s="2988" t="s">
        <v>4122</v>
      </c>
      <c r="AA463" s="2988">
        <v>3088</v>
      </c>
      <c r="AB463" s="2988" t="s">
        <v>4926</v>
      </c>
      <c r="AC463" s="2988" t="s">
        <v>1516</v>
      </c>
      <c r="AD463" s="2988" t="s">
        <v>1527</v>
      </c>
    </row>
    <row r="464" spans="25:30">
      <c r="Y464" s="2988" t="s">
        <v>1269</v>
      </c>
      <c r="Z464" s="2988" t="s">
        <v>4123</v>
      </c>
      <c r="AA464" s="2988">
        <v>3089</v>
      </c>
      <c r="AB464" s="2988" t="s">
        <v>4927</v>
      </c>
      <c r="AC464" s="2988" t="s">
        <v>1517</v>
      </c>
      <c r="AD464" s="2988" t="s">
        <v>1528</v>
      </c>
    </row>
    <row r="465" spans="25:30">
      <c r="Y465" s="2988" t="s">
        <v>1269</v>
      </c>
      <c r="Z465" s="2988" t="s">
        <v>4928</v>
      </c>
      <c r="AA465" s="2988">
        <v>3090</v>
      </c>
      <c r="AB465" s="2988" t="s">
        <v>4929</v>
      </c>
      <c r="AC465" s="2988" t="s">
        <v>1518</v>
      </c>
      <c r="AD465" s="2988" t="s">
        <v>1529</v>
      </c>
    </row>
    <row r="466" spans="25:30">
      <c r="Y466" s="2988" t="s">
        <v>1269</v>
      </c>
      <c r="Z466" s="2988" t="s">
        <v>4930</v>
      </c>
      <c r="AA466" s="2988"/>
      <c r="AB466" s="2988" t="s">
        <v>4931</v>
      </c>
      <c r="AC466" s="2988" t="s">
        <v>3752</v>
      </c>
      <c r="AD466" s="2988" t="s">
        <v>3753</v>
      </c>
    </row>
    <row r="467" spans="25:30">
      <c r="Y467" s="2988" t="s">
        <v>1269</v>
      </c>
      <c r="Z467" s="2988" t="s">
        <v>4932</v>
      </c>
      <c r="AA467" s="2988"/>
      <c r="AB467" s="2988" t="s">
        <v>4933</v>
      </c>
      <c r="AC467" s="2988" t="s">
        <v>4934</v>
      </c>
      <c r="AD467" s="2988" t="s">
        <v>4935</v>
      </c>
    </row>
    <row r="468" spans="25:30">
      <c r="Y468" s="2988" t="s">
        <v>1269</v>
      </c>
      <c r="Z468" s="2988" t="s">
        <v>4936</v>
      </c>
      <c r="AA468" s="2988">
        <v>3148</v>
      </c>
      <c r="AB468" s="2988" t="s">
        <v>4937</v>
      </c>
      <c r="AC468" s="2988" t="s">
        <v>4132</v>
      </c>
      <c r="AD468" s="2988" t="s">
        <v>4133</v>
      </c>
    </row>
    <row r="469" spans="25:30">
      <c r="Y469" s="2988" t="s">
        <v>1269</v>
      </c>
      <c r="Z469" s="2988" t="s">
        <v>4938</v>
      </c>
      <c r="AA469" s="2988">
        <v>3161</v>
      </c>
      <c r="AB469" s="2988" t="s">
        <v>4939</v>
      </c>
      <c r="AC469" s="2988" t="s">
        <v>4940</v>
      </c>
      <c r="AD469" s="2988" t="s">
        <v>4941</v>
      </c>
    </row>
    <row r="470" spans="25:30">
      <c r="Y470" s="2988" t="s">
        <v>1269</v>
      </c>
      <c r="Z470" s="2988" t="s">
        <v>4942</v>
      </c>
      <c r="AA470" s="2988">
        <v>3162</v>
      </c>
      <c r="AB470" s="2988" t="s">
        <v>4943</v>
      </c>
      <c r="AC470" s="2988" t="s">
        <v>4944</v>
      </c>
      <c r="AD470" s="2988" t="s">
        <v>4945</v>
      </c>
    </row>
    <row r="471" spans="25:30">
      <c r="Y471" s="2988" t="s">
        <v>1269</v>
      </c>
      <c r="Z471" s="2988" t="s">
        <v>4946</v>
      </c>
      <c r="AA471" s="2988"/>
      <c r="AB471" s="2988" t="s">
        <v>4947</v>
      </c>
      <c r="AC471" s="2988" t="s">
        <v>4948</v>
      </c>
      <c r="AD471" s="2988" t="s">
        <v>4949</v>
      </c>
    </row>
    <row r="472" spans="25:30">
      <c r="Y472" s="2988" t="s">
        <v>1269</v>
      </c>
      <c r="Z472" s="2988" t="s">
        <v>2363</v>
      </c>
      <c r="AA472" s="2988">
        <v>3036</v>
      </c>
      <c r="AB472" s="2988" t="s">
        <v>4950</v>
      </c>
      <c r="AC472" s="2988" t="s">
        <v>2667</v>
      </c>
      <c r="AD472" s="2988" t="s">
        <v>2668</v>
      </c>
    </row>
    <row r="473" spans="25:30">
      <c r="Y473" s="2988" t="s">
        <v>1269</v>
      </c>
      <c r="Z473" s="2988" t="s">
        <v>4951</v>
      </c>
      <c r="AA473" s="2988">
        <v>3028</v>
      </c>
      <c r="AB473" s="2988" t="s">
        <v>4952</v>
      </c>
      <c r="AC473" s="2988" t="s">
        <v>2676</v>
      </c>
      <c r="AD473" s="2988" t="s">
        <v>2677</v>
      </c>
    </row>
    <row r="474" spans="25:30">
      <c r="Y474" s="2988" t="s">
        <v>1269</v>
      </c>
      <c r="Z474" s="3001" t="s">
        <v>5030</v>
      </c>
      <c r="AA474" s="2988">
        <v>2902</v>
      </c>
      <c r="AB474" s="2988" t="s">
        <v>4953</v>
      </c>
      <c r="AC474" s="2988" t="s">
        <v>1628</v>
      </c>
      <c r="AD474" s="2988" t="s">
        <v>1629</v>
      </c>
    </row>
    <row r="475" spans="25:30">
      <c r="Y475" s="2988" t="s">
        <v>1269</v>
      </c>
      <c r="Z475" s="3001" t="s">
        <v>5026</v>
      </c>
      <c r="AA475" s="2988">
        <v>3012</v>
      </c>
      <c r="AB475" s="3001" t="s">
        <v>5027</v>
      </c>
      <c r="AC475" s="3001" t="s">
        <v>5028</v>
      </c>
      <c r="AD475" s="3001" t="s">
        <v>5029</v>
      </c>
    </row>
    <row r="476" spans="25:30">
      <c r="Y476" s="2988" t="s">
        <v>1269</v>
      </c>
      <c r="Z476" s="2988" t="s">
        <v>1619</v>
      </c>
      <c r="AA476" s="2988">
        <v>3016</v>
      </c>
      <c r="AB476" s="2988" t="s">
        <v>4954</v>
      </c>
      <c r="AC476" s="2988" t="s">
        <v>1630</v>
      </c>
      <c r="AD476" s="2988" t="s">
        <v>1631</v>
      </c>
    </row>
    <row r="477" spans="25:30">
      <c r="Y477" s="2988" t="s">
        <v>1269</v>
      </c>
      <c r="Z477" s="2988" t="s">
        <v>1621</v>
      </c>
      <c r="AA477" s="2988">
        <v>3018</v>
      </c>
      <c r="AB477" s="2988" t="s">
        <v>4955</v>
      </c>
      <c r="AC477" s="2988" t="s">
        <v>680</v>
      </c>
      <c r="AD477" s="2988" t="s">
        <v>1342</v>
      </c>
    </row>
    <row r="478" spans="25:30">
      <c r="Y478" s="2988" t="s">
        <v>1269</v>
      </c>
      <c r="Z478" s="2988" t="s">
        <v>4956</v>
      </c>
      <c r="AA478" s="2988">
        <v>3036</v>
      </c>
      <c r="AB478" s="2988" t="s">
        <v>4957</v>
      </c>
      <c r="AC478" s="2988" t="s">
        <v>679</v>
      </c>
      <c r="AD478" s="2988" t="s">
        <v>1343</v>
      </c>
    </row>
    <row r="479" spans="25:30">
      <c r="Y479" s="2988" t="s">
        <v>1269</v>
      </c>
      <c r="Z479" s="2988" t="s">
        <v>4958</v>
      </c>
      <c r="AA479" s="2988"/>
      <c r="AB479" s="2988" t="s">
        <v>4959</v>
      </c>
      <c r="AC479" s="2988" t="s">
        <v>4960</v>
      </c>
      <c r="AD479" s="2988" t="s">
        <v>4961</v>
      </c>
    </row>
    <row r="480" spans="25:30" ht="15">
      <c r="Y480" s="2974"/>
      <c r="Z480" s="2975" t="s">
        <v>4718</v>
      </c>
      <c r="AA480" s="2974"/>
      <c r="AB480" s="2974"/>
      <c r="AC480" s="2974"/>
      <c r="AD480" s="2974"/>
    </row>
    <row r="481" spans="25:30">
      <c r="Y481" s="2988" t="s">
        <v>1269</v>
      </c>
      <c r="Z481" s="2988" t="s">
        <v>4343</v>
      </c>
      <c r="AA481" s="2988">
        <v>3044</v>
      </c>
      <c r="AB481" s="2988" t="s">
        <v>674</v>
      </c>
      <c r="AC481" s="2988" t="s">
        <v>675</v>
      </c>
      <c r="AD481" s="2988" t="s">
        <v>4270</v>
      </c>
    </row>
    <row r="482" spans="25:30">
      <c r="Y482" s="2988" t="s">
        <v>1269</v>
      </c>
      <c r="Z482" s="2988" t="s">
        <v>4342</v>
      </c>
      <c r="AA482" s="2988">
        <v>3044</v>
      </c>
      <c r="AB482" s="2988" t="s">
        <v>674</v>
      </c>
      <c r="AC482" s="2988" t="s">
        <v>675</v>
      </c>
      <c r="AD482" s="2988" t="s">
        <v>4270</v>
      </c>
    </row>
    <row r="483" spans="25:30">
      <c r="Y483" s="2988" t="s">
        <v>1269</v>
      </c>
      <c r="Z483" s="2988" t="s">
        <v>4345</v>
      </c>
      <c r="AA483" s="2988">
        <v>3044</v>
      </c>
      <c r="AB483" s="2988" t="s">
        <v>674</v>
      </c>
      <c r="AC483" s="2988" t="s">
        <v>675</v>
      </c>
      <c r="AD483" s="2988" t="s">
        <v>4270</v>
      </c>
    </row>
    <row r="484" spans="25:30">
      <c r="Y484" s="2988" t="s">
        <v>1269</v>
      </c>
      <c r="Z484" s="2988" t="s">
        <v>4341</v>
      </c>
      <c r="AA484" s="2988">
        <v>3044</v>
      </c>
      <c r="AB484" s="2988" t="s">
        <v>674</v>
      </c>
      <c r="AC484" s="2988" t="s">
        <v>675</v>
      </c>
      <c r="AD484" s="2988" t="s">
        <v>4270</v>
      </c>
    </row>
    <row r="485" spans="25:30">
      <c r="Y485" s="2988" t="s">
        <v>1269</v>
      </c>
      <c r="Z485" s="2988" t="s">
        <v>4347</v>
      </c>
      <c r="AA485" s="2988">
        <v>3044</v>
      </c>
      <c r="AB485" s="2988" t="s">
        <v>674</v>
      </c>
      <c r="AC485" s="2988" t="s">
        <v>675</v>
      </c>
      <c r="AD485" s="2988" t="s">
        <v>4270</v>
      </c>
    </row>
    <row r="486" spans="25:30">
      <c r="Y486" s="2988" t="s">
        <v>1269</v>
      </c>
      <c r="Z486" s="2988" t="s">
        <v>4346</v>
      </c>
      <c r="AA486" s="2988">
        <v>3044</v>
      </c>
      <c r="AB486" s="2988" t="s">
        <v>674</v>
      </c>
      <c r="AC486" s="2988" t="s">
        <v>675</v>
      </c>
      <c r="AD486" s="2988" t="s">
        <v>4270</v>
      </c>
    </row>
    <row r="487" spans="25:30">
      <c r="Y487" s="2988" t="s">
        <v>1269</v>
      </c>
      <c r="Z487" s="2988" t="s">
        <v>4269</v>
      </c>
      <c r="AA487" s="2988">
        <v>3044</v>
      </c>
      <c r="AB487" s="2988" t="s">
        <v>674</v>
      </c>
      <c r="AC487" s="2988" t="s">
        <v>675</v>
      </c>
      <c r="AD487" s="2988" t="s">
        <v>4270</v>
      </c>
    </row>
    <row r="488" spans="25:30">
      <c r="Y488" s="2988" t="s">
        <v>1269</v>
      </c>
      <c r="Z488" s="2988" t="s">
        <v>4962</v>
      </c>
      <c r="AA488" s="2988">
        <v>3044</v>
      </c>
      <c r="AB488" s="2988" t="s">
        <v>674</v>
      </c>
      <c r="AC488" s="2988" t="s">
        <v>675</v>
      </c>
      <c r="AD488" s="2988" t="s">
        <v>4270</v>
      </c>
    </row>
    <row r="489" spans="25:30">
      <c r="Y489" s="2988" t="s">
        <v>1269</v>
      </c>
      <c r="Z489" s="2988" t="s">
        <v>4963</v>
      </c>
      <c r="AA489" s="2988">
        <v>3044</v>
      </c>
      <c r="AB489" s="2988" t="s">
        <v>674</v>
      </c>
      <c r="AC489" s="2988" t="s">
        <v>675</v>
      </c>
      <c r="AD489" s="2988" t="s">
        <v>4270</v>
      </c>
    </row>
    <row r="490" spans="25:30">
      <c r="Y490" s="2988" t="s">
        <v>1269</v>
      </c>
      <c r="Z490" s="2988" t="s">
        <v>1540</v>
      </c>
      <c r="AA490" s="2988">
        <v>3044</v>
      </c>
      <c r="AB490" s="2988" t="s">
        <v>674</v>
      </c>
      <c r="AC490" s="2988" t="s">
        <v>675</v>
      </c>
      <c r="AD490" s="2988" t="s">
        <v>4270</v>
      </c>
    </row>
    <row r="491" spans="25:30">
      <c r="Y491" s="2988" t="s">
        <v>1269</v>
      </c>
      <c r="Z491" s="2988" t="s">
        <v>4964</v>
      </c>
      <c r="AA491" s="2988">
        <v>3044</v>
      </c>
      <c r="AB491" s="2988" t="s">
        <v>674</v>
      </c>
      <c r="AC491" s="2988" t="s">
        <v>675</v>
      </c>
      <c r="AD491" s="2988" t="s">
        <v>4270</v>
      </c>
    </row>
    <row r="492" spans="25:30">
      <c r="Y492" s="2988" t="s">
        <v>1269</v>
      </c>
      <c r="Z492" s="2988" t="s">
        <v>4965</v>
      </c>
      <c r="AA492" s="2988">
        <v>3044</v>
      </c>
      <c r="AB492" s="2988" t="s">
        <v>674</v>
      </c>
      <c r="AC492" s="2988" t="s">
        <v>675</v>
      </c>
      <c r="AD492" s="2988" t="s">
        <v>4270</v>
      </c>
    </row>
    <row r="493" spans="25:30">
      <c r="Y493" s="2988" t="s">
        <v>1269</v>
      </c>
      <c r="Z493" s="2988" t="s">
        <v>4966</v>
      </c>
      <c r="AA493" s="2988">
        <v>3044</v>
      </c>
      <c r="AB493" s="2988" t="s">
        <v>674</v>
      </c>
      <c r="AC493" s="2988" t="s">
        <v>675</v>
      </c>
      <c r="AD493" s="2988" t="s">
        <v>4270</v>
      </c>
    </row>
    <row r="494" spans="25:30">
      <c r="Y494" s="2988" t="s">
        <v>1269</v>
      </c>
      <c r="Z494" s="2988" t="s">
        <v>1359</v>
      </c>
      <c r="AA494" s="2988">
        <v>3044</v>
      </c>
      <c r="AB494" s="2988" t="s">
        <v>674</v>
      </c>
      <c r="AC494" s="2988" t="s">
        <v>675</v>
      </c>
      <c r="AD494" s="2988" t="s">
        <v>4270</v>
      </c>
    </row>
    <row r="495" spans="25:30">
      <c r="Y495" s="2988" t="s">
        <v>1269</v>
      </c>
      <c r="Z495" s="2988" t="s">
        <v>4344</v>
      </c>
      <c r="AA495" s="2988">
        <v>3044</v>
      </c>
      <c r="AB495" s="2988" t="s">
        <v>674</v>
      </c>
      <c r="AC495" s="2988" t="s">
        <v>675</v>
      </c>
      <c r="AD495" s="2988" t="s">
        <v>4270</v>
      </c>
    </row>
    <row r="496" spans="25:30" ht="15">
      <c r="Y496" s="3214"/>
      <c r="Z496" s="3215" t="s">
        <v>4761</v>
      </c>
      <c r="AA496" s="3214"/>
      <c r="AB496" s="3214"/>
      <c r="AC496" s="3214"/>
      <c r="AD496" s="3214"/>
    </row>
    <row r="497" spans="25:30">
      <c r="Y497" s="2988" t="s">
        <v>1269</v>
      </c>
      <c r="Z497" s="2988" t="s">
        <v>1544</v>
      </c>
      <c r="AA497" s="2988">
        <v>3048</v>
      </c>
      <c r="AB497" s="2988" t="s">
        <v>4967</v>
      </c>
      <c r="AC497" s="2988" t="s">
        <v>1545</v>
      </c>
      <c r="AD497" s="2988" t="s">
        <v>4306</v>
      </c>
    </row>
    <row r="498" spans="25:30">
      <c r="Y498" s="2988" t="s">
        <v>1269</v>
      </c>
      <c r="Z498" s="2988" t="s">
        <v>2455</v>
      </c>
      <c r="AA498" s="2988">
        <v>3049</v>
      </c>
      <c r="AB498" s="2988" t="s">
        <v>4968</v>
      </c>
      <c r="AC498" s="2988" t="s">
        <v>2456</v>
      </c>
      <c r="AD498" s="2988" t="s">
        <v>4307</v>
      </c>
    </row>
    <row r="499" spans="25:30">
      <c r="Y499" s="2988" t="s">
        <v>1269</v>
      </c>
      <c r="Z499" s="2988" t="s">
        <v>4969</v>
      </c>
      <c r="AA499" s="2988">
        <v>3050</v>
      </c>
      <c r="AB499" s="2988" t="s">
        <v>272</v>
      </c>
      <c r="AC499" s="2988" t="s">
        <v>4970</v>
      </c>
      <c r="AD499" s="2988" t="s">
        <v>4971</v>
      </c>
    </row>
    <row r="500" spans="25:30">
      <c r="Y500" s="2988" t="s">
        <v>1269</v>
      </c>
      <c r="Z500" s="2988" t="s">
        <v>4972</v>
      </c>
      <c r="AA500" s="2988">
        <v>3051</v>
      </c>
      <c r="AB500" s="2988" t="s">
        <v>4973</v>
      </c>
      <c r="AC500" s="2988" t="s">
        <v>1508</v>
      </c>
      <c r="AD500" s="2988" t="s">
        <v>1520</v>
      </c>
    </row>
    <row r="501" spans="25:30">
      <c r="Y501" s="2988" t="s">
        <v>1269</v>
      </c>
      <c r="Z501" s="2988" t="s">
        <v>4974</v>
      </c>
      <c r="AA501" s="2988">
        <v>3052</v>
      </c>
      <c r="AB501" s="2988" t="s">
        <v>4975</v>
      </c>
      <c r="AC501" s="2988" t="s">
        <v>1509</v>
      </c>
      <c r="AD501" s="2988" t="s">
        <v>1521</v>
      </c>
    </row>
    <row r="502" spans="25:30">
      <c r="Y502" s="2988" t="s">
        <v>1269</v>
      </c>
      <c r="Z502" s="2988" t="s">
        <v>4451</v>
      </c>
      <c r="AA502" s="2988">
        <v>3010</v>
      </c>
      <c r="AB502" s="2988" t="s">
        <v>4452</v>
      </c>
      <c r="AC502" s="2988" t="s">
        <v>4453</v>
      </c>
      <c r="AD502" s="2988" t="s">
        <v>4454</v>
      </c>
    </row>
    <row r="503" spans="25:30" ht="15">
      <c r="Y503" s="3214"/>
      <c r="Z503" s="3215" t="s">
        <v>1285</v>
      </c>
      <c r="AA503" s="3214"/>
      <c r="AB503" s="3214"/>
      <c r="AC503" s="3214"/>
      <c r="AD503" s="3214"/>
    </row>
    <row r="504" spans="25:30">
      <c r="Y504" s="2988" t="s">
        <v>1269</v>
      </c>
      <c r="Z504" s="2988" t="s">
        <v>4304</v>
      </c>
      <c r="AA504" s="2988">
        <v>3060</v>
      </c>
      <c r="AB504" s="2988" t="s">
        <v>4976</v>
      </c>
      <c r="AC504" s="2988" t="s">
        <v>1510</v>
      </c>
      <c r="AD504" s="2988" t="s">
        <v>1523</v>
      </c>
    </row>
    <row r="505" spans="25:30">
      <c r="Y505" s="2988" t="s">
        <v>1269</v>
      </c>
      <c r="Z505" s="2988" t="s">
        <v>4305</v>
      </c>
      <c r="AA505" s="2988">
        <v>3060</v>
      </c>
      <c r="AB505" s="2988" t="s">
        <v>4976</v>
      </c>
      <c r="AC505" s="2988" t="s">
        <v>1510</v>
      </c>
      <c r="AD505" s="2988" t="s">
        <v>1523</v>
      </c>
    </row>
    <row r="506" spans="25:30">
      <c r="Y506" s="2988" t="s">
        <v>1269</v>
      </c>
      <c r="Z506" s="2988" t="s">
        <v>3399</v>
      </c>
      <c r="AA506" s="2988">
        <v>3061</v>
      </c>
      <c r="AB506" s="2988" t="s">
        <v>3746</v>
      </c>
      <c r="AC506" s="2988" t="s">
        <v>1511</v>
      </c>
      <c r="AD506" s="2988" t="s">
        <v>1524</v>
      </c>
    </row>
    <row r="507" spans="25:30">
      <c r="Y507" s="2988" t="s">
        <v>1269</v>
      </c>
      <c r="Z507" s="2988" t="s">
        <v>3400</v>
      </c>
      <c r="AA507" s="2988">
        <v>3061</v>
      </c>
      <c r="AB507" s="2988" t="s">
        <v>3746</v>
      </c>
      <c r="AC507" s="2988" t="s">
        <v>1511</v>
      </c>
      <c r="AD507" s="2988" t="s">
        <v>1524</v>
      </c>
    </row>
    <row r="508" spans="25:30">
      <c r="Y508" s="2988" t="s">
        <v>1269</v>
      </c>
      <c r="Z508" s="2988" t="s">
        <v>3397</v>
      </c>
      <c r="AA508" s="2988">
        <v>3061</v>
      </c>
      <c r="AB508" s="2988" t="s">
        <v>3746</v>
      </c>
      <c r="AC508" s="2988" t="s">
        <v>1511</v>
      </c>
      <c r="AD508" s="2988" t="s">
        <v>1524</v>
      </c>
    </row>
    <row r="509" spans="25:30">
      <c r="Y509" s="2988" t="s">
        <v>1269</v>
      </c>
      <c r="Z509" s="2988" t="s">
        <v>3398</v>
      </c>
      <c r="AA509" s="2988">
        <v>3061</v>
      </c>
      <c r="AB509" s="2988" t="s">
        <v>3746</v>
      </c>
      <c r="AC509" s="2988" t="s">
        <v>1511</v>
      </c>
      <c r="AD509" s="2988" t="s">
        <v>1524</v>
      </c>
    </row>
    <row r="510" spans="25:30">
      <c r="Y510" s="2988" t="s">
        <v>1269</v>
      </c>
      <c r="Z510" s="2988" t="s">
        <v>3401</v>
      </c>
      <c r="AA510" s="2988">
        <v>3061</v>
      </c>
      <c r="AB510" s="2988" t="s">
        <v>3746</v>
      </c>
      <c r="AC510" s="2988" t="s">
        <v>1511</v>
      </c>
      <c r="AD510" s="2988" t="s">
        <v>1524</v>
      </c>
    </row>
    <row r="511" spans="25:30">
      <c r="Y511" s="2988" t="s">
        <v>1269</v>
      </c>
      <c r="Z511" s="2988" t="s">
        <v>4271</v>
      </c>
      <c r="AA511" s="2988">
        <v>3061</v>
      </c>
      <c r="AB511" s="2988" t="s">
        <v>3746</v>
      </c>
      <c r="AC511" s="2988" t="s">
        <v>1511</v>
      </c>
      <c r="AD511" s="2988" t="s">
        <v>1524</v>
      </c>
    </row>
    <row r="512" spans="25:30">
      <c r="Y512" s="2988" t="s">
        <v>1269</v>
      </c>
      <c r="Z512" s="2988" t="s">
        <v>3745</v>
      </c>
      <c r="AA512" s="2988">
        <v>3061</v>
      </c>
      <c r="AB512" s="2988" t="s">
        <v>3746</v>
      </c>
      <c r="AC512" s="2988" t="s">
        <v>1511</v>
      </c>
      <c r="AD512" s="2988" t="s">
        <v>1524</v>
      </c>
    </row>
    <row r="513" spans="25:30">
      <c r="Y513" s="2988" t="s">
        <v>1269</v>
      </c>
      <c r="Z513" s="2988" t="s">
        <v>3747</v>
      </c>
      <c r="AA513" s="2988">
        <v>3061</v>
      </c>
      <c r="AB513" s="2988" t="s">
        <v>3746</v>
      </c>
      <c r="AC513" s="2988" t="s">
        <v>1511</v>
      </c>
      <c r="AD513" s="2988" t="s">
        <v>1524</v>
      </c>
    </row>
    <row r="514" spans="25:30">
      <c r="Y514" s="2988" t="s">
        <v>1269</v>
      </c>
      <c r="Z514" s="3001" t="s">
        <v>5089</v>
      </c>
      <c r="AA514" s="2988">
        <v>3061</v>
      </c>
      <c r="AB514" s="2988" t="s">
        <v>3746</v>
      </c>
      <c r="AC514" s="2988" t="s">
        <v>1511</v>
      </c>
      <c r="AD514" s="2988" t="s">
        <v>1524</v>
      </c>
    </row>
    <row r="515" spans="25:30">
      <c r="Y515" s="2988" t="s">
        <v>1269</v>
      </c>
      <c r="Z515" s="3001" t="s">
        <v>5090</v>
      </c>
      <c r="AA515" s="2988">
        <v>3061</v>
      </c>
      <c r="AB515" s="2988" t="s">
        <v>3746</v>
      </c>
      <c r="AC515" s="2988" t="s">
        <v>1511</v>
      </c>
      <c r="AD515" s="2988" t="s">
        <v>1524</v>
      </c>
    </row>
    <row r="516" spans="25:30">
      <c r="Y516" s="2988" t="s">
        <v>1269</v>
      </c>
      <c r="Z516" s="3001" t="s">
        <v>5091</v>
      </c>
      <c r="AA516" s="2988">
        <v>3061</v>
      </c>
      <c r="AB516" s="2988" t="s">
        <v>3746</v>
      </c>
      <c r="AC516" s="2988" t="s">
        <v>1511</v>
      </c>
      <c r="AD516" s="2988" t="s">
        <v>1524</v>
      </c>
    </row>
    <row r="517" spans="25:30">
      <c r="Y517" s="2988" t="s">
        <v>1269</v>
      </c>
      <c r="Z517" s="3001" t="s">
        <v>5092</v>
      </c>
      <c r="AA517" s="2988">
        <v>3061</v>
      </c>
      <c r="AB517" s="2988" t="s">
        <v>3746</v>
      </c>
      <c r="AC517" s="2988" t="s">
        <v>1511</v>
      </c>
      <c r="AD517" s="2988" t="s">
        <v>1524</v>
      </c>
    </row>
    <row r="518" spans="25:30">
      <c r="Y518" s="2988" t="s">
        <v>1269</v>
      </c>
      <c r="Z518" s="2988" t="s">
        <v>2769</v>
      </c>
      <c r="AA518" s="2988">
        <v>3061</v>
      </c>
      <c r="AB518" s="2988" t="s">
        <v>3746</v>
      </c>
      <c r="AC518" s="2988" t="s">
        <v>1511</v>
      </c>
      <c r="AD518" s="2988" t="s">
        <v>1524</v>
      </c>
    </row>
    <row r="519" spans="25:30">
      <c r="Y519" s="2988" t="s">
        <v>1269</v>
      </c>
      <c r="Z519" s="2988" t="s">
        <v>2770</v>
      </c>
      <c r="AA519" s="2988">
        <v>3061</v>
      </c>
      <c r="AB519" s="2988" t="s">
        <v>3746</v>
      </c>
      <c r="AC519" s="2988" t="s">
        <v>1511</v>
      </c>
      <c r="AD519" s="2988" t="s">
        <v>1524</v>
      </c>
    </row>
    <row r="520" spans="25:30">
      <c r="Y520" s="2988" t="s">
        <v>1269</v>
      </c>
      <c r="Z520" s="2988" t="s">
        <v>2771</v>
      </c>
      <c r="AA520" s="2988">
        <v>3061</v>
      </c>
      <c r="AB520" s="2988" t="s">
        <v>3746</v>
      </c>
      <c r="AC520" s="2988" t="s">
        <v>1511</v>
      </c>
      <c r="AD520" s="2988" t="s">
        <v>1524</v>
      </c>
    </row>
    <row r="521" spans="25:30">
      <c r="Y521" s="2988" t="s">
        <v>1269</v>
      </c>
      <c r="Z521" s="2988" t="s">
        <v>2772</v>
      </c>
      <c r="AA521" s="2988">
        <v>3061</v>
      </c>
      <c r="AB521" s="2988" t="s">
        <v>3746</v>
      </c>
      <c r="AC521" s="2988" t="s">
        <v>1511</v>
      </c>
      <c r="AD521" s="2988" t="s">
        <v>1524</v>
      </c>
    </row>
    <row r="522" spans="25:30">
      <c r="Y522" s="2988" t="s">
        <v>1269</v>
      </c>
      <c r="Z522" s="2988" t="s">
        <v>2768</v>
      </c>
      <c r="AA522" s="2988">
        <v>3061</v>
      </c>
      <c r="AB522" s="2988" t="s">
        <v>3746</v>
      </c>
      <c r="AC522" s="2988" t="s">
        <v>1511</v>
      </c>
      <c r="AD522" s="2988" t="s">
        <v>1524</v>
      </c>
    </row>
    <row r="523" spans="25:30">
      <c r="Y523" s="3211" t="s">
        <v>1269</v>
      </c>
      <c r="Z523" s="3211" t="s">
        <v>2960</v>
      </c>
      <c r="AA523" s="3211">
        <v>3206</v>
      </c>
      <c r="AB523" s="3211" t="s">
        <v>1555</v>
      </c>
      <c r="AC523" s="3211" t="s">
        <v>1556</v>
      </c>
      <c r="AD523" s="3211" t="s">
        <v>3291</v>
      </c>
    </row>
    <row r="524" spans="25:30">
      <c r="Y524" s="3211" t="s">
        <v>1269</v>
      </c>
      <c r="Z524" s="3211" t="s">
        <v>2961</v>
      </c>
      <c r="AA524" s="3211">
        <v>3206</v>
      </c>
      <c r="AB524" s="3211" t="s">
        <v>1555</v>
      </c>
      <c r="AC524" s="3211" t="s">
        <v>1556</v>
      </c>
      <c r="AD524" s="3211" t="s">
        <v>3291</v>
      </c>
    </row>
    <row r="525" spans="25:30" ht="15">
      <c r="Y525" s="3211" t="s">
        <v>1269</v>
      </c>
      <c r="Z525" s="3212" t="s">
        <v>4977</v>
      </c>
      <c r="AA525" s="3212">
        <v>3208</v>
      </c>
      <c r="AB525" s="3211" t="s">
        <v>4978</v>
      </c>
      <c r="AC525" s="3211" t="s">
        <v>4979</v>
      </c>
      <c r="AD525" s="3211" t="s">
        <v>4980</v>
      </c>
    </row>
    <row r="526" spans="25:30" ht="15">
      <c r="Y526" s="3211" t="s">
        <v>1269</v>
      </c>
      <c r="Z526" s="3212" t="s">
        <v>5041</v>
      </c>
      <c r="AA526" s="3212">
        <v>3202</v>
      </c>
      <c r="AB526" s="3211" t="s">
        <v>4981</v>
      </c>
      <c r="AC526" s="3211" t="s">
        <v>4982</v>
      </c>
      <c r="AD526" s="3211" t="s">
        <v>4983</v>
      </c>
    </row>
    <row r="527" spans="25:30" ht="15">
      <c r="Y527" s="3211" t="s">
        <v>1269</v>
      </c>
      <c r="Z527" s="3212" t="s">
        <v>5036</v>
      </c>
      <c r="AA527" s="3212">
        <v>3206</v>
      </c>
      <c r="AB527" s="3212" t="s">
        <v>1555</v>
      </c>
      <c r="AC527" s="3212" t="s">
        <v>1556</v>
      </c>
      <c r="AD527" s="3212" t="s">
        <v>3291</v>
      </c>
    </row>
    <row r="528" spans="25:30" ht="15">
      <c r="Y528" s="3211" t="s">
        <v>1269</v>
      </c>
      <c r="Z528" s="3212" t="s">
        <v>5037</v>
      </c>
      <c r="AA528" s="3212">
        <v>2845</v>
      </c>
      <c r="AB528" s="3212" t="s">
        <v>5038</v>
      </c>
      <c r="AC528" s="3212" t="s">
        <v>5039</v>
      </c>
      <c r="AD528" s="3212" t="s">
        <v>5040</v>
      </c>
    </row>
    <row r="529" spans="25:30" ht="15">
      <c r="Y529" s="3214"/>
      <c r="Z529" s="3215" t="s">
        <v>5453</v>
      </c>
      <c r="AA529" s="3214"/>
      <c r="AB529" s="3214"/>
      <c r="AC529" s="3214"/>
      <c r="AD529" s="3214"/>
    </row>
    <row r="530" spans="25:30" ht="15">
      <c r="Y530" s="2986" t="s">
        <v>1751</v>
      </c>
      <c r="Z530" s="2986" t="s">
        <v>1783</v>
      </c>
      <c r="AA530" s="2986">
        <v>501</v>
      </c>
      <c r="AB530" s="2986" t="s">
        <v>1784</v>
      </c>
      <c r="AC530" s="2986" t="s">
        <v>1785</v>
      </c>
      <c r="AD530" s="2986" t="s">
        <v>1786</v>
      </c>
    </row>
    <row r="531" spans="25:30" ht="15">
      <c r="Y531" s="2986" t="s">
        <v>1751</v>
      </c>
      <c r="Z531" s="2986" t="s">
        <v>1783</v>
      </c>
      <c r="AA531" s="2986">
        <v>500</v>
      </c>
      <c r="AB531" s="2986" t="s">
        <v>1787</v>
      </c>
      <c r="AC531" s="2986" t="s">
        <v>1788</v>
      </c>
      <c r="AD531" s="2986" t="s">
        <v>1789</v>
      </c>
    </row>
    <row r="532" spans="25:30" ht="15">
      <c r="Y532" s="2986" t="s">
        <v>3279</v>
      </c>
      <c r="Z532" s="2986" t="s">
        <v>1783</v>
      </c>
      <c r="AA532" s="2986">
        <v>500</v>
      </c>
      <c r="AB532" s="2986" t="s">
        <v>5187</v>
      </c>
      <c r="AC532" s="2986" t="s">
        <v>4984</v>
      </c>
      <c r="AD532" s="2986" t="s">
        <v>4985</v>
      </c>
    </row>
    <row r="533" spans="25:30">
      <c r="Y533" s="1666" t="s">
        <v>1229</v>
      </c>
      <c r="Z533" s="1666" t="s">
        <v>2773</v>
      </c>
      <c r="AA533" s="1666">
        <v>500</v>
      </c>
      <c r="AB533" s="1666" t="s">
        <v>2774</v>
      </c>
      <c r="AC533" s="1666" t="s">
        <v>2775</v>
      </c>
      <c r="AD533" s="1666" t="s">
        <v>2776</v>
      </c>
    </row>
    <row r="534" spans="25:30">
      <c r="Y534" s="1666" t="s">
        <v>1229</v>
      </c>
      <c r="Z534" s="1666" t="s">
        <v>2777</v>
      </c>
      <c r="AA534" s="1666">
        <v>501</v>
      </c>
      <c r="AB534" s="1666" t="s">
        <v>2778</v>
      </c>
      <c r="AC534" s="1666" t="s">
        <v>2779</v>
      </c>
      <c r="AD534" s="1666" t="s">
        <v>2780</v>
      </c>
    </row>
    <row r="535" spans="25:30">
      <c r="Y535" s="1666" t="s">
        <v>1229</v>
      </c>
      <c r="Z535" s="1666" t="s">
        <v>2781</v>
      </c>
      <c r="AA535" s="1666">
        <v>502</v>
      </c>
      <c r="AB535" s="1666" t="s">
        <v>2782</v>
      </c>
      <c r="AC535" s="1666" t="s">
        <v>2783</v>
      </c>
      <c r="AD535" s="1666" t="s">
        <v>2784</v>
      </c>
    </row>
    <row r="536" spans="25:30">
      <c r="Y536" s="1666" t="s">
        <v>1229</v>
      </c>
      <c r="Z536" s="1666" t="s">
        <v>2785</v>
      </c>
      <c r="AA536" s="1666">
        <v>503</v>
      </c>
      <c r="AB536" s="1666" t="s">
        <v>2786</v>
      </c>
      <c r="AC536" s="1666" t="s">
        <v>2787</v>
      </c>
      <c r="AD536" s="1666" t="s">
        <v>2788</v>
      </c>
    </row>
    <row r="537" spans="25:30">
      <c r="Y537" s="1666" t="s">
        <v>3278</v>
      </c>
      <c r="Z537" s="1666" t="s">
        <v>1783</v>
      </c>
      <c r="AA537" s="1666">
        <v>500</v>
      </c>
      <c r="AB537" s="1666" t="s">
        <v>1790</v>
      </c>
      <c r="AC537" s="1666" t="s">
        <v>1791</v>
      </c>
      <c r="AD537" s="1666" t="s">
        <v>1792</v>
      </c>
    </row>
    <row r="538" spans="25:30" ht="15">
      <c r="Y538" s="3214"/>
      <c r="Z538" s="3215" t="s">
        <v>3895</v>
      </c>
      <c r="AA538" s="3214"/>
      <c r="AB538" s="3214"/>
      <c r="AC538" s="3214"/>
      <c r="AD538" s="3214"/>
    </row>
    <row r="539" spans="25:30">
      <c r="Y539" s="3213" t="s">
        <v>5438</v>
      </c>
      <c r="Z539" s="3216" t="s">
        <v>5455</v>
      </c>
      <c r="AA539" s="3213"/>
      <c r="AB539" s="3213" t="s">
        <v>5439</v>
      </c>
      <c r="AC539" s="3216" t="s">
        <v>5456</v>
      </c>
      <c r="AD539" s="3216" t="s">
        <v>5457</v>
      </c>
    </row>
    <row r="540" spans="25:30">
      <c r="Y540" s="3213" t="s">
        <v>5438</v>
      </c>
      <c r="Z540" s="3216" t="s">
        <v>5454</v>
      </c>
      <c r="AA540" s="3213"/>
      <c r="AB540" s="3213" t="s">
        <v>5439</v>
      </c>
      <c r="AC540" s="3213" t="s">
        <v>5440</v>
      </c>
      <c r="AD540" s="3213" t="s">
        <v>5441</v>
      </c>
    </row>
    <row r="541" spans="25:30">
      <c r="Y541" s="3213" t="s">
        <v>5438</v>
      </c>
      <c r="Z541" s="3216" t="s">
        <v>5458</v>
      </c>
      <c r="AA541" s="3213"/>
      <c r="AB541" s="3213" t="s">
        <v>5439</v>
      </c>
      <c r="AC541" s="3213"/>
      <c r="AD541" s="3213"/>
    </row>
    <row r="542" spans="25:30">
      <c r="Y542" s="3213" t="s">
        <v>5438</v>
      </c>
      <c r="Z542" s="3216" t="s">
        <v>5531</v>
      </c>
      <c r="AA542" s="3213"/>
      <c r="AB542" s="3213" t="s">
        <v>5534</v>
      </c>
      <c r="AC542" s="3213" t="s">
        <v>5535</v>
      </c>
      <c r="AD542" s="3213" t="s">
        <v>5536</v>
      </c>
    </row>
    <row r="543" spans="25:30">
      <c r="Y543" s="3213" t="s">
        <v>5438</v>
      </c>
      <c r="Z543" s="3216" t="s">
        <v>5533</v>
      </c>
      <c r="AA543" s="3213"/>
      <c r="AB543" s="3213" t="s">
        <v>5537</v>
      </c>
      <c r="AC543" s="3213" t="s">
        <v>5538</v>
      </c>
      <c r="AD543" s="3213" t="s">
        <v>5539</v>
      </c>
    </row>
    <row r="544" spans="25:30">
      <c r="Y544" s="3213" t="s">
        <v>5442</v>
      </c>
      <c r="Z544" s="3213" t="s">
        <v>5443</v>
      </c>
      <c r="AA544" s="3213"/>
      <c r="AB544" s="3213" t="s">
        <v>5444</v>
      </c>
      <c r="AC544" s="3213" t="s">
        <v>5445</v>
      </c>
      <c r="AD544" s="3213" t="s">
        <v>5446</v>
      </c>
    </row>
    <row r="545" spans="25:30">
      <c r="Y545" s="3213" t="s">
        <v>5442</v>
      </c>
      <c r="Z545" s="3216" t="s">
        <v>3296</v>
      </c>
      <c r="AA545" s="3213"/>
      <c r="AB545" s="3216" t="s">
        <v>5467</v>
      </c>
      <c r="AC545" s="3216" t="s">
        <v>5471</v>
      </c>
      <c r="AD545" s="3216" t="s">
        <v>5469</v>
      </c>
    </row>
    <row r="546" spans="25:30">
      <c r="Y546" s="3213" t="s">
        <v>5442</v>
      </c>
      <c r="Z546" s="3216" t="s">
        <v>3295</v>
      </c>
      <c r="AA546" s="3213"/>
      <c r="AB546" s="3216" t="s">
        <v>5468</v>
      </c>
      <c r="AC546" s="3216" t="s">
        <v>5470</v>
      </c>
      <c r="AD546" s="3216" t="s">
        <v>5472</v>
      </c>
    </row>
    <row r="547" spans="25:30">
      <c r="Y547" s="3213" t="s">
        <v>5442</v>
      </c>
      <c r="Z547" s="3213" t="s">
        <v>420</v>
      </c>
      <c r="AA547" s="3213"/>
      <c r="AB547" s="3213" t="s">
        <v>5447</v>
      </c>
      <c r="AC547" s="3213" t="s">
        <v>5448</v>
      </c>
      <c r="AD547" s="3213" t="s">
        <v>5449</v>
      </c>
    </row>
    <row r="548" spans="25:30">
      <c r="Y548" s="3213" t="s">
        <v>5442</v>
      </c>
      <c r="Z548" s="3216" t="s">
        <v>5465</v>
      </c>
      <c r="AA548" s="3213"/>
      <c r="AB548" s="3216" t="s">
        <v>5467</v>
      </c>
      <c r="AC548" s="3216" t="s">
        <v>5473</v>
      </c>
      <c r="AD548" s="3216" t="s">
        <v>5474</v>
      </c>
    </row>
    <row r="549" spans="25:30">
      <c r="Y549" s="3213" t="s">
        <v>5442</v>
      </c>
      <c r="Z549" s="3216" t="s">
        <v>5466</v>
      </c>
      <c r="AA549" s="3213"/>
      <c r="AB549" s="3216" t="s">
        <v>5468</v>
      </c>
      <c r="AC549" s="3216" t="s">
        <v>5475</v>
      </c>
      <c r="AD549" s="3216" t="s">
        <v>5476</v>
      </c>
    </row>
    <row r="550" spans="25:30">
      <c r="Y550" s="3213" t="s">
        <v>5450</v>
      </c>
      <c r="Z550" s="3216" t="s">
        <v>5463</v>
      </c>
      <c r="AA550" s="3213"/>
      <c r="AB550" s="3216" t="s">
        <v>5464</v>
      </c>
      <c r="AC550" s="3216" t="s">
        <v>5462</v>
      </c>
      <c r="AD550" s="3216" t="s">
        <v>5462</v>
      </c>
    </row>
    <row r="551" spans="25:30">
      <c r="Y551" s="3213" t="s">
        <v>5451</v>
      </c>
      <c r="Z551" s="3216" t="s">
        <v>5477</v>
      </c>
      <c r="AA551" s="3213"/>
      <c r="AB551" s="3213"/>
      <c r="AC551" s="3213"/>
      <c r="AD551" s="3213"/>
    </row>
    <row r="552" spans="25:30">
      <c r="Y552" s="3213" t="s">
        <v>5452</v>
      </c>
      <c r="Z552" s="3216" t="s">
        <v>5477</v>
      </c>
      <c r="AA552" s="3213"/>
      <c r="AB552" s="3213"/>
      <c r="AC552" s="3213"/>
      <c r="AD552" s="3213"/>
    </row>
    <row r="553" spans="25:30">
      <c r="Y553" s="3213"/>
      <c r="Z553" s="3213"/>
      <c r="AA553" s="3213"/>
      <c r="AB553" s="3213"/>
      <c r="AC553" s="3213"/>
      <c r="AD553" s="3213"/>
    </row>
    <row r="554" spans="25:30">
      <c r="Y554" s="3213"/>
      <c r="Z554" s="3213"/>
      <c r="AA554" s="3213"/>
      <c r="AB554" s="3213"/>
      <c r="AC554" s="3213"/>
      <c r="AD554" s="3213"/>
    </row>
    <row r="555" spans="25:30" ht="15">
      <c r="Y555" s="3214"/>
      <c r="Z555" s="3215" t="s">
        <v>4986</v>
      </c>
      <c r="AA555" s="3214"/>
      <c r="AB555" s="3214"/>
      <c r="AC555" s="3214"/>
      <c r="AD555" s="3214"/>
    </row>
    <row r="556" spans="25:30">
      <c r="Y556" s="2987" t="s">
        <v>1782</v>
      </c>
      <c r="Z556" s="2987" t="s">
        <v>3353</v>
      </c>
      <c r="AA556" s="2987">
        <v>2414</v>
      </c>
      <c r="AB556" s="2987" t="s">
        <v>4987</v>
      </c>
      <c r="AC556" s="2987" t="s">
        <v>3264</v>
      </c>
      <c r="AD556" s="2987" t="s">
        <v>3275</v>
      </c>
    </row>
    <row r="557" spans="25:30">
      <c r="Y557" s="2987" t="s">
        <v>1782</v>
      </c>
      <c r="Z557" s="2987" t="s">
        <v>3354</v>
      </c>
      <c r="AA557" s="2987">
        <v>2414</v>
      </c>
      <c r="AB557" s="2987" t="s">
        <v>4987</v>
      </c>
      <c r="AC557" s="2987" t="s">
        <v>3264</v>
      </c>
      <c r="AD557" s="2987" t="s">
        <v>3275</v>
      </c>
    </row>
    <row r="558" spans="25:30">
      <c r="Y558" s="2987" t="s">
        <v>1782</v>
      </c>
      <c r="Z558" s="2987" t="s">
        <v>3355</v>
      </c>
      <c r="AA558" s="2987">
        <v>2414</v>
      </c>
      <c r="AB558" s="2987" t="s">
        <v>4987</v>
      </c>
      <c r="AC558" s="2987" t="s">
        <v>3264</v>
      </c>
      <c r="AD558" s="2987" t="s">
        <v>3275</v>
      </c>
    </row>
    <row r="559" spans="25:30">
      <c r="Y559" s="2987" t="s">
        <v>1782</v>
      </c>
      <c r="Z559" s="2987" t="s">
        <v>3356</v>
      </c>
      <c r="AA559" s="2987">
        <v>2414</v>
      </c>
      <c r="AB559" s="2987" t="s">
        <v>4987</v>
      </c>
      <c r="AC559" s="2987" t="s">
        <v>3264</v>
      </c>
      <c r="AD559" s="2987" t="s">
        <v>3275</v>
      </c>
    </row>
    <row r="560" spans="25:30">
      <c r="Y560" s="2994" t="s">
        <v>1782</v>
      </c>
      <c r="Z560" s="2994" t="s">
        <v>3024</v>
      </c>
      <c r="AA560" s="2994">
        <v>2412</v>
      </c>
      <c r="AB560" s="2994" t="s">
        <v>3248</v>
      </c>
      <c r="AC560" s="2994" t="s">
        <v>3013</v>
      </c>
      <c r="AD560" s="2994" t="s">
        <v>3019</v>
      </c>
    </row>
    <row r="561" spans="25:30">
      <c r="Y561" s="2994" t="s">
        <v>1782</v>
      </c>
      <c r="Z561" s="2994" t="s">
        <v>3246</v>
      </c>
      <c r="AA561" s="2994">
        <v>2410</v>
      </c>
      <c r="AB561" s="2994" t="s">
        <v>3246</v>
      </c>
      <c r="AC561" s="2994" t="s">
        <v>3261</v>
      </c>
      <c r="AD561" s="2994" t="s">
        <v>3273</v>
      </c>
    </row>
    <row r="562" spans="25:30">
      <c r="Y562" s="2994" t="s">
        <v>1782</v>
      </c>
      <c r="Z562" s="2994" t="s">
        <v>3246</v>
      </c>
      <c r="AA562" s="2994">
        <v>2415</v>
      </c>
      <c r="AB562" s="2994" t="s">
        <v>3246</v>
      </c>
      <c r="AC562" s="2994" t="s">
        <v>3265</v>
      </c>
      <c r="AD562" s="2994" t="s">
        <v>3276</v>
      </c>
    </row>
    <row r="563" spans="25:30">
      <c r="Y563" s="2994" t="s">
        <v>1782</v>
      </c>
      <c r="Z563" s="2994" t="s">
        <v>3246</v>
      </c>
      <c r="AA563" s="2994">
        <v>2416</v>
      </c>
      <c r="AB563" s="2994" t="s">
        <v>3246</v>
      </c>
      <c r="AC563" s="2994" t="s">
        <v>3266</v>
      </c>
      <c r="AD563" s="2994" t="s">
        <v>3277</v>
      </c>
    </row>
    <row r="564" spans="25:30">
      <c r="Y564" s="2994" t="s">
        <v>1782</v>
      </c>
      <c r="Z564" s="2994"/>
      <c r="AA564" s="2994">
        <v>2418</v>
      </c>
      <c r="AB564" s="2994" t="s">
        <v>3250</v>
      </c>
      <c r="AC564" s="2994"/>
      <c r="AD564" s="2994"/>
    </row>
    <row r="565" spans="25:30">
      <c r="Y565" s="2994" t="s">
        <v>1782</v>
      </c>
      <c r="Z565" s="2994"/>
      <c r="AA565" s="2994">
        <v>2419</v>
      </c>
      <c r="AB565" s="2994" t="s">
        <v>3251</v>
      </c>
      <c r="AC565" s="2994"/>
      <c r="AD565" s="2994"/>
    </row>
    <row r="566" spans="25:30">
      <c r="Y566" s="2994" t="s">
        <v>1782</v>
      </c>
      <c r="Z566" s="2994"/>
      <c r="AA566" s="2994">
        <v>2420</v>
      </c>
      <c r="AB566" s="2994" t="s">
        <v>3252</v>
      </c>
      <c r="AC566" s="2994"/>
      <c r="AD566" s="2994"/>
    </row>
    <row r="567" spans="25:30">
      <c r="Y567" s="2994" t="s">
        <v>1782</v>
      </c>
      <c r="Z567" s="2994" t="s">
        <v>3025</v>
      </c>
      <c r="AA567" s="2994">
        <v>2417</v>
      </c>
      <c r="AB567" s="2994" t="s">
        <v>3249</v>
      </c>
      <c r="AC567" s="2994" t="s">
        <v>3014</v>
      </c>
      <c r="AD567" s="2994" t="s">
        <v>3021</v>
      </c>
    </row>
    <row r="568" spans="25:30">
      <c r="Y568" s="2994" t="s">
        <v>1782</v>
      </c>
      <c r="Z568" s="2994" t="s">
        <v>3026</v>
      </c>
      <c r="AA568" s="2994">
        <v>2421</v>
      </c>
      <c r="AB568" s="2994" t="s">
        <v>3026</v>
      </c>
      <c r="AC568" s="2994" t="s">
        <v>3015</v>
      </c>
      <c r="AD568" s="2994" t="s">
        <v>3022</v>
      </c>
    </row>
    <row r="569" spans="25:30">
      <c r="Y569" s="2989" t="s">
        <v>1782</v>
      </c>
      <c r="Z569" s="2989" t="s">
        <v>2385</v>
      </c>
      <c r="AA569" s="2989">
        <v>300</v>
      </c>
      <c r="AB569" s="2989" t="s">
        <v>580</v>
      </c>
      <c r="AC569" s="2989" t="s">
        <v>439</v>
      </c>
      <c r="AD569" s="2989" t="s">
        <v>440</v>
      </c>
    </row>
    <row r="570" spans="25:30">
      <c r="Y570" s="2989" t="s">
        <v>1782</v>
      </c>
      <c r="Z570" s="2989" t="s">
        <v>2386</v>
      </c>
      <c r="AA570" s="2989">
        <v>300</v>
      </c>
      <c r="AB570" s="2989" t="s">
        <v>580</v>
      </c>
      <c r="AC570" s="2989" t="s">
        <v>439</v>
      </c>
      <c r="AD570" s="2989" t="s">
        <v>440</v>
      </c>
    </row>
    <row r="571" spans="25:30">
      <c r="Y571" s="2989" t="s">
        <v>1782</v>
      </c>
      <c r="Z571" s="2989" t="s">
        <v>2384</v>
      </c>
      <c r="AA571" s="2989">
        <v>300</v>
      </c>
      <c r="AB571" s="2989" t="s">
        <v>581</v>
      </c>
      <c r="AC571" s="2989" t="s">
        <v>439</v>
      </c>
      <c r="AD571" s="2989" t="s">
        <v>440</v>
      </c>
    </row>
    <row r="572" spans="25:30">
      <c r="Y572" s="2989" t="s">
        <v>1782</v>
      </c>
      <c r="Z572" s="2989" t="s">
        <v>2387</v>
      </c>
      <c r="AA572" s="2989">
        <v>300</v>
      </c>
      <c r="AB572" s="2989" t="s">
        <v>581</v>
      </c>
      <c r="AC572" s="2989" t="s">
        <v>439</v>
      </c>
      <c r="AD572" s="2989" t="s">
        <v>440</v>
      </c>
    </row>
    <row r="573" spans="25:30">
      <c r="Y573" s="2989" t="s">
        <v>1782</v>
      </c>
      <c r="Z573" s="2989" t="s">
        <v>578</v>
      </c>
      <c r="AA573" s="2989">
        <v>300</v>
      </c>
      <c r="AB573" s="2989" t="s">
        <v>582</v>
      </c>
      <c r="AC573" s="2989" t="s">
        <v>439</v>
      </c>
      <c r="AD573" s="2989" t="s">
        <v>440</v>
      </c>
    </row>
    <row r="574" spans="25:30">
      <c r="Y574" s="2989" t="s">
        <v>1782</v>
      </c>
      <c r="Z574" s="2989" t="s">
        <v>2380</v>
      </c>
      <c r="AA574" s="2989">
        <v>400</v>
      </c>
      <c r="AB574" s="2989" t="s">
        <v>583</v>
      </c>
      <c r="AC574" s="2989" t="s">
        <v>443</v>
      </c>
      <c r="AD574" s="2989" t="s">
        <v>444</v>
      </c>
    </row>
    <row r="575" spans="25:30">
      <c r="Y575" s="2989" t="s">
        <v>1782</v>
      </c>
      <c r="Z575" s="2989" t="s">
        <v>2381</v>
      </c>
      <c r="AA575" s="2989">
        <v>400</v>
      </c>
      <c r="AB575" s="2989" t="s">
        <v>584</v>
      </c>
      <c r="AC575" s="2989" t="s">
        <v>443</v>
      </c>
      <c r="AD575" s="2989" t="s">
        <v>444</v>
      </c>
    </row>
    <row r="576" spans="25:30">
      <c r="Y576" s="2989" t="s">
        <v>1782</v>
      </c>
      <c r="Z576" s="2989" t="s">
        <v>2383</v>
      </c>
      <c r="AA576" s="2989">
        <v>400</v>
      </c>
      <c r="AB576" s="2989" t="s">
        <v>584</v>
      </c>
      <c r="AC576" s="2989" t="s">
        <v>443</v>
      </c>
      <c r="AD576" s="2989" t="s">
        <v>444</v>
      </c>
    </row>
    <row r="577" spans="25:30">
      <c r="Y577" s="2989" t="s">
        <v>1782</v>
      </c>
      <c r="Z577" s="2989" t="s">
        <v>2382</v>
      </c>
      <c r="AA577" s="2989">
        <v>400</v>
      </c>
      <c r="AB577" s="2989" t="s">
        <v>584</v>
      </c>
      <c r="AC577" s="2989" t="s">
        <v>443</v>
      </c>
      <c r="AD577" s="2989" t="s">
        <v>444</v>
      </c>
    </row>
    <row r="578" spans="25:30">
      <c r="Y578" s="2989" t="s">
        <v>1782</v>
      </c>
      <c r="Z578" s="2989" t="s">
        <v>579</v>
      </c>
      <c r="AA578" s="2989">
        <v>400</v>
      </c>
      <c r="AB578" s="2989" t="s">
        <v>584</v>
      </c>
      <c r="AC578" s="2989" t="s">
        <v>443</v>
      </c>
      <c r="AD578" s="2989" t="s">
        <v>444</v>
      </c>
    </row>
    <row r="579" spans="25:30">
      <c r="Y579" s="2989" t="s">
        <v>1782</v>
      </c>
      <c r="Z579" s="2989" t="s">
        <v>189</v>
      </c>
      <c r="AA579" s="2989">
        <v>1713</v>
      </c>
      <c r="AB579" s="2989" t="s">
        <v>324</v>
      </c>
      <c r="AC579" s="2989" t="s">
        <v>190</v>
      </c>
      <c r="AD579" s="2989" t="s">
        <v>191</v>
      </c>
    </row>
    <row r="580" spans="25:30">
      <c r="Y580" s="2989" t="s">
        <v>1782</v>
      </c>
      <c r="Z580" s="2989" t="s">
        <v>192</v>
      </c>
      <c r="AA580" s="2989">
        <v>1714</v>
      </c>
      <c r="AB580" s="2989" t="s">
        <v>325</v>
      </c>
      <c r="AC580" s="2989" t="s">
        <v>193</v>
      </c>
      <c r="AD580" s="2989" t="s">
        <v>194</v>
      </c>
    </row>
    <row r="581" spans="25:30" ht="15">
      <c r="Y581" s="2990" t="s">
        <v>1782</v>
      </c>
      <c r="Z581" s="2990" t="s">
        <v>2372</v>
      </c>
      <c r="AA581" s="2990">
        <v>1720</v>
      </c>
      <c r="AB581" s="2990" t="s">
        <v>4675</v>
      </c>
      <c r="AC581" s="2990" t="s">
        <v>437</v>
      </c>
      <c r="AD581" s="2990" t="s">
        <v>438</v>
      </c>
    </row>
    <row r="582" spans="25:30" ht="15">
      <c r="Y582" s="2990" t="s">
        <v>1782</v>
      </c>
      <c r="Z582" s="2990" t="s">
        <v>2373</v>
      </c>
      <c r="AA582" s="2990">
        <v>1720</v>
      </c>
      <c r="AB582" s="2990" t="s">
        <v>4675</v>
      </c>
      <c r="AC582" s="2990" t="s">
        <v>437</v>
      </c>
      <c r="AD582" s="2990" t="s">
        <v>438</v>
      </c>
    </row>
    <row r="583" spans="25:30" ht="15">
      <c r="Y583" s="2990" t="s">
        <v>1782</v>
      </c>
      <c r="Z583" s="2990" t="s">
        <v>214</v>
      </c>
      <c r="AA583" s="2990">
        <v>1753</v>
      </c>
      <c r="AB583" s="2990" t="s">
        <v>214</v>
      </c>
      <c r="AC583" s="2990" t="s">
        <v>1353</v>
      </c>
      <c r="AD583" s="2990" t="s">
        <v>1355</v>
      </c>
    </row>
    <row r="584" spans="25:30" ht="15">
      <c r="Y584" s="2990" t="s">
        <v>1782</v>
      </c>
      <c r="Z584" s="2990" t="s">
        <v>213</v>
      </c>
      <c r="AA584" s="2990">
        <v>1754</v>
      </c>
      <c r="AB584" s="2990" t="s">
        <v>213</v>
      </c>
      <c r="AC584" s="2990" t="s">
        <v>1354</v>
      </c>
      <c r="AD584" s="2990" t="s">
        <v>1356</v>
      </c>
    </row>
    <row r="585" spans="25:30">
      <c r="Y585" s="2989" t="s">
        <v>1782</v>
      </c>
      <c r="Z585" s="2989" t="s">
        <v>4988</v>
      </c>
      <c r="AA585" s="2989">
        <v>1770</v>
      </c>
      <c r="AB585" s="2989" t="s">
        <v>668</v>
      </c>
      <c r="AC585" s="2989" t="s">
        <v>710</v>
      </c>
      <c r="AD585" s="2989" t="s">
        <v>711</v>
      </c>
    </row>
    <row r="586" spans="25:30" ht="15">
      <c r="Y586" s="2990" t="s">
        <v>1782</v>
      </c>
      <c r="Z586" s="2990" t="s">
        <v>4989</v>
      </c>
      <c r="AA586" s="2990">
        <v>1792</v>
      </c>
      <c r="AB586" s="2990" t="s">
        <v>3360</v>
      </c>
      <c r="AC586" s="2990" t="s">
        <v>3361</v>
      </c>
      <c r="AD586" s="2990" t="s">
        <v>3362</v>
      </c>
    </row>
    <row r="587" spans="25:30">
      <c r="Y587" s="2989" t="s">
        <v>1782</v>
      </c>
      <c r="Z587" s="2989" t="s">
        <v>4990</v>
      </c>
      <c r="AA587" s="2989">
        <v>1793</v>
      </c>
      <c r="AB587" s="2989" t="s">
        <v>3363</v>
      </c>
      <c r="AC587" s="2989" t="s">
        <v>3364</v>
      </c>
      <c r="AD587" s="2989" t="s">
        <v>3365</v>
      </c>
    </row>
    <row r="588" spans="25:30">
      <c r="Y588" s="2989" t="s">
        <v>1782</v>
      </c>
      <c r="Z588" s="2989" t="s">
        <v>4991</v>
      </c>
      <c r="AA588" s="2989">
        <v>1798</v>
      </c>
      <c r="AB588" s="2989" t="s">
        <v>3371</v>
      </c>
      <c r="AC588" s="2989" t="s">
        <v>3368</v>
      </c>
      <c r="AD588" s="2989" t="s">
        <v>3369</v>
      </c>
    </row>
    <row r="589" spans="25:30">
      <c r="Y589" s="2989" t="s">
        <v>1782</v>
      </c>
      <c r="Z589" s="2989" t="s">
        <v>4991</v>
      </c>
      <c r="AA589" s="2989">
        <v>1799</v>
      </c>
      <c r="AB589" s="2989" t="s">
        <v>3372</v>
      </c>
      <c r="AC589" s="2989" t="s">
        <v>3370</v>
      </c>
      <c r="AD589" s="2989" t="s">
        <v>4992</v>
      </c>
    </row>
    <row r="590" spans="25:30">
      <c r="Y590" s="2989" t="s">
        <v>1782</v>
      </c>
      <c r="Z590" s="2989"/>
      <c r="AA590" s="2989">
        <v>1838</v>
      </c>
      <c r="AB590" s="2989" t="s">
        <v>3375</v>
      </c>
      <c r="AC590" s="2989"/>
      <c r="AD590" s="2989"/>
    </row>
    <row r="591" spans="25:30">
      <c r="Y591" s="2989" t="s">
        <v>1782</v>
      </c>
      <c r="Z591" s="2989"/>
      <c r="AA591" s="2989">
        <v>1839</v>
      </c>
      <c r="AB591" s="2989" t="s">
        <v>3376</v>
      </c>
      <c r="AC591" s="2989"/>
      <c r="AD591" s="2989"/>
    </row>
    <row r="592" spans="25:30">
      <c r="Y592" s="2980" t="s">
        <v>1782</v>
      </c>
      <c r="Z592" s="2980" t="s">
        <v>4993</v>
      </c>
      <c r="AA592" s="2980">
        <v>2841</v>
      </c>
      <c r="AB592" s="2980" t="s">
        <v>3389</v>
      </c>
      <c r="AC592" s="2980" t="s">
        <v>3387</v>
      </c>
      <c r="AD592" s="2980" t="s">
        <v>3388</v>
      </c>
    </row>
    <row r="593" spans="25:30">
      <c r="Y593" s="2980" t="s">
        <v>1782</v>
      </c>
      <c r="Z593" s="2980" t="s">
        <v>4994</v>
      </c>
      <c r="AA593" s="2980">
        <v>2842</v>
      </c>
      <c r="AB593" s="2980" t="s">
        <v>3390</v>
      </c>
      <c r="AC593" s="2980" t="s">
        <v>3391</v>
      </c>
      <c r="AD593" s="2980" t="s">
        <v>26</v>
      </c>
    </row>
    <row r="594" spans="25:30">
      <c r="Y594" s="2980" t="s">
        <v>1782</v>
      </c>
      <c r="Z594" s="2980" t="s">
        <v>4995</v>
      </c>
      <c r="AA594" s="2980">
        <v>1410</v>
      </c>
      <c r="AB594" s="2980" t="s">
        <v>825</v>
      </c>
      <c r="AC594" s="2980" t="s">
        <v>826</v>
      </c>
      <c r="AD594" s="2980" t="s">
        <v>827</v>
      </c>
    </row>
    <row r="595" spans="25:30">
      <c r="Y595" s="2980" t="s">
        <v>1782</v>
      </c>
      <c r="Z595" s="2980" t="s">
        <v>4996</v>
      </c>
      <c r="AA595" s="2980">
        <v>1412</v>
      </c>
      <c r="AB595" s="2980" t="s">
        <v>831</v>
      </c>
      <c r="AC595" s="2980" t="s">
        <v>832</v>
      </c>
      <c r="AD595" s="2980" t="s">
        <v>833</v>
      </c>
    </row>
    <row r="596" spans="25:30">
      <c r="Y596" s="2980" t="s">
        <v>1782</v>
      </c>
      <c r="Z596" s="2980" t="s">
        <v>4997</v>
      </c>
      <c r="AA596" s="2980">
        <v>1411</v>
      </c>
      <c r="AB596" s="2980" t="s">
        <v>828</v>
      </c>
      <c r="AC596" s="2980" t="s">
        <v>829</v>
      </c>
      <c r="AD596" s="2980" t="s">
        <v>830</v>
      </c>
    </row>
    <row r="597" spans="25:30">
      <c r="Y597" s="2980" t="s">
        <v>1782</v>
      </c>
      <c r="Z597" s="2980" t="s">
        <v>4998</v>
      </c>
      <c r="AA597" s="2980">
        <v>1413</v>
      </c>
      <c r="AB597" s="2980" t="s">
        <v>834</v>
      </c>
      <c r="AC597" s="2980" t="s">
        <v>835</v>
      </c>
      <c r="AD597" s="2980" t="s">
        <v>836</v>
      </c>
    </row>
    <row r="598" spans="25:30">
      <c r="Y598" s="2980" t="s">
        <v>1782</v>
      </c>
      <c r="Z598" s="2980" t="s">
        <v>268</v>
      </c>
      <c r="AA598" s="2980">
        <v>2713</v>
      </c>
      <c r="AB598" s="2980" t="s">
        <v>332</v>
      </c>
      <c r="AC598" s="2980" t="s">
        <v>333</v>
      </c>
      <c r="AD598" s="2980" t="s">
        <v>334</v>
      </c>
    </row>
    <row r="599" spans="25:30">
      <c r="Y599" s="2980" t="s">
        <v>1782</v>
      </c>
      <c r="Z599" s="2980" t="s">
        <v>269</v>
      </c>
      <c r="AA599" s="2980">
        <v>2714</v>
      </c>
      <c r="AB599" s="2980" t="s">
        <v>270</v>
      </c>
      <c r="AC599" s="2980" t="s">
        <v>1351</v>
      </c>
      <c r="AD599" s="2980" t="s">
        <v>1352</v>
      </c>
    </row>
    <row r="600" spans="25:30">
      <c r="Y600" s="2980" t="s">
        <v>1782</v>
      </c>
      <c r="Z600" s="2980"/>
      <c r="AA600" s="2980">
        <v>2838</v>
      </c>
      <c r="AB600" s="2980" t="s">
        <v>3386</v>
      </c>
      <c r="AC600" s="2980"/>
      <c r="AD600" s="2980"/>
    </row>
    <row r="601" spans="25:30">
      <c r="Y601" s="2980" t="s">
        <v>1782</v>
      </c>
      <c r="Z601" s="2980"/>
      <c r="AA601" s="2980">
        <v>2839</v>
      </c>
      <c r="AB601" s="2980" t="s">
        <v>3386</v>
      </c>
      <c r="AC601" s="2980"/>
      <c r="AD601" s="2980"/>
    </row>
    <row r="602" spans="25:30">
      <c r="Y602" s="2980" t="s">
        <v>1782</v>
      </c>
      <c r="Z602" s="2980" t="s">
        <v>2338</v>
      </c>
      <c r="AA602" s="2980">
        <v>2720</v>
      </c>
      <c r="AB602" s="2980" t="s">
        <v>2340</v>
      </c>
      <c r="AC602" s="2980" t="s">
        <v>441</v>
      </c>
      <c r="AD602" s="2980" t="s">
        <v>442</v>
      </c>
    </row>
    <row r="603" spans="25:30">
      <c r="Y603" s="2980" t="s">
        <v>1782</v>
      </c>
      <c r="Z603" s="2980" t="s">
        <v>2339</v>
      </c>
      <c r="AA603" s="2980">
        <v>2720</v>
      </c>
      <c r="AB603" s="2980" t="s">
        <v>2340</v>
      </c>
      <c r="AC603" s="2980" t="s">
        <v>441</v>
      </c>
      <c r="AD603" s="2980" t="s">
        <v>442</v>
      </c>
    </row>
    <row r="604" spans="25:30">
      <c r="Y604" s="2980" t="s">
        <v>1782</v>
      </c>
      <c r="Z604" s="2980" t="s">
        <v>2262</v>
      </c>
      <c r="AA604" s="2980">
        <v>2728</v>
      </c>
      <c r="AB604" s="2980" t="s">
        <v>4805</v>
      </c>
      <c r="AC604" s="2980" t="s">
        <v>587</v>
      </c>
      <c r="AD604" s="2980" t="s">
        <v>588</v>
      </c>
    </row>
    <row r="605" spans="25:30">
      <c r="Y605" s="2980" t="s">
        <v>1782</v>
      </c>
      <c r="Z605" s="2980" t="s">
        <v>2390</v>
      </c>
      <c r="AA605" s="2980">
        <v>2729</v>
      </c>
      <c r="AB605" s="2980" t="s">
        <v>4806</v>
      </c>
      <c r="AC605" s="2980" t="s">
        <v>2348</v>
      </c>
      <c r="AD605" s="2980" t="s">
        <v>2349</v>
      </c>
    </row>
    <row r="606" spans="25:30">
      <c r="Y606" s="2980" t="s">
        <v>1782</v>
      </c>
      <c r="Z606" s="2980" t="s">
        <v>275</v>
      </c>
      <c r="AA606" s="2980">
        <v>2753</v>
      </c>
      <c r="AB606" s="2980" t="s">
        <v>275</v>
      </c>
      <c r="AC606" s="2980" t="s">
        <v>154</v>
      </c>
      <c r="AD606" s="2980" t="s">
        <v>154</v>
      </c>
    </row>
    <row r="607" spans="25:30">
      <c r="Y607" s="2980" t="s">
        <v>1782</v>
      </c>
      <c r="Z607" s="2980" t="s">
        <v>276</v>
      </c>
      <c r="AA607" s="2980">
        <v>2754</v>
      </c>
      <c r="AB607" s="2980" t="s">
        <v>276</v>
      </c>
      <c r="AC607" s="2980" t="s">
        <v>154</v>
      </c>
      <c r="AD607" s="2980" t="s">
        <v>154</v>
      </c>
    </row>
    <row r="608" spans="25:30">
      <c r="Y608" s="2980" t="s">
        <v>1782</v>
      </c>
      <c r="Z608" s="2980" t="s">
        <v>277</v>
      </c>
      <c r="AA608" s="2980">
        <v>2761</v>
      </c>
      <c r="AB608" s="2980" t="s">
        <v>277</v>
      </c>
      <c r="AC608" s="2980" t="s">
        <v>154</v>
      </c>
      <c r="AD608" s="2980" t="s">
        <v>154</v>
      </c>
    </row>
    <row r="609" spans="25:30">
      <c r="Y609" s="2980" t="s">
        <v>1782</v>
      </c>
      <c r="Z609" s="2980" t="s">
        <v>720</v>
      </c>
      <c r="AA609" s="2980">
        <v>2770</v>
      </c>
      <c r="AB609" s="2980" t="s">
        <v>3928</v>
      </c>
      <c r="AC609" s="2980" t="s">
        <v>676</v>
      </c>
      <c r="AD609" s="2980" t="s">
        <v>3927</v>
      </c>
    </row>
    <row r="610" spans="25:30">
      <c r="Y610" s="2980" t="s">
        <v>1782</v>
      </c>
      <c r="Z610" s="2980" t="s">
        <v>4446</v>
      </c>
      <c r="AA610" s="2980">
        <v>2828</v>
      </c>
      <c r="AB610" s="2980" t="s">
        <v>4448</v>
      </c>
      <c r="AC610" s="2980" t="s">
        <v>4460</v>
      </c>
      <c r="AD610" s="2980" t="s">
        <v>4459</v>
      </c>
    </row>
    <row r="611" spans="25:30">
      <c r="Y611" s="2980" t="s">
        <v>1782</v>
      </c>
      <c r="Z611" s="2980" t="s">
        <v>4447</v>
      </c>
      <c r="AA611" s="2980">
        <v>2829</v>
      </c>
      <c r="AB611" s="2980" t="s">
        <v>4449</v>
      </c>
      <c r="AC611" s="2980" t="s">
        <v>4461</v>
      </c>
      <c r="AD611" s="2980" t="s">
        <v>4462</v>
      </c>
    </row>
    <row r="612" spans="25:30">
      <c r="Y612" s="2980" t="s">
        <v>1782</v>
      </c>
      <c r="Z612" s="2980" t="s">
        <v>2437</v>
      </c>
      <c r="AA612" s="2980">
        <v>2749</v>
      </c>
      <c r="AB612" s="2980" t="s">
        <v>146</v>
      </c>
      <c r="AC612" s="2980" t="s">
        <v>152</v>
      </c>
      <c r="AD612" s="2980" t="s">
        <v>1349</v>
      </c>
    </row>
    <row r="613" spans="25:30">
      <c r="Y613" s="2980" t="s">
        <v>1782</v>
      </c>
      <c r="Z613" s="2980" t="s">
        <v>2438</v>
      </c>
      <c r="AA613" s="2980">
        <v>2749</v>
      </c>
      <c r="AB613" s="2980" t="s">
        <v>146</v>
      </c>
      <c r="AC613" s="2980" t="s">
        <v>152</v>
      </c>
      <c r="AD613" s="2980" t="s">
        <v>1349</v>
      </c>
    </row>
    <row r="614" spans="25:30">
      <c r="Y614" s="2980" t="s">
        <v>1782</v>
      </c>
      <c r="Z614" s="2980" t="s">
        <v>2364</v>
      </c>
      <c r="AA614" s="2980">
        <v>2749</v>
      </c>
      <c r="AB614" s="2980" t="s">
        <v>146</v>
      </c>
      <c r="AC614" s="2980" t="s">
        <v>152</v>
      </c>
      <c r="AD614" s="2980" t="s">
        <v>1349</v>
      </c>
    </row>
    <row r="615" spans="25:30">
      <c r="Y615" s="2980" t="s">
        <v>1782</v>
      </c>
      <c r="Z615" s="2980" t="s">
        <v>2388</v>
      </c>
      <c r="AA615" s="2980">
        <v>2749</v>
      </c>
      <c r="AB615" s="2980" t="s">
        <v>146</v>
      </c>
      <c r="AC615" s="2980" t="s">
        <v>152</v>
      </c>
      <c r="AD615" s="2980" t="s">
        <v>1349</v>
      </c>
    </row>
    <row r="616" spans="25:30">
      <c r="Y616" s="2980" t="s">
        <v>1782</v>
      </c>
      <c r="Z616" s="2980" t="s">
        <v>4283</v>
      </c>
      <c r="AA616" s="2980">
        <v>2855</v>
      </c>
      <c r="AB616" s="2980" t="s">
        <v>4281</v>
      </c>
      <c r="AC616" s="2980" t="s">
        <v>4279</v>
      </c>
      <c r="AD616" s="2980" t="s">
        <v>4280</v>
      </c>
    </row>
    <row r="617" spans="25:30">
      <c r="Y617" s="2988" t="s">
        <v>1269</v>
      </c>
      <c r="Z617" s="2988" t="s">
        <v>4999</v>
      </c>
      <c r="AA617" s="2988">
        <v>2904</v>
      </c>
      <c r="AB617" s="2988" t="s">
        <v>3592</v>
      </c>
      <c r="AC617" s="2988" t="s">
        <v>3596</v>
      </c>
      <c r="AD617" s="2988" t="s">
        <v>3600</v>
      </c>
    </row>
    <row r="618" spans="25:30">
      <c r="Y618" s="2988" t="s">
        <v>1269</v>
      </c>
      <c r="Z618" s="2988" t="s">
        <v>5000</v>
      </c>
      <c r="AA618" s="2988">
        <v>2904</v>
      </c>
      <c r="AB618" s="2988" t="s">
        <v>3593</v>
      </c>
      <c r="AC618" s="2988" t="s">
        <v>3597</v>
      </c>
      <c r="AD618" s="2988" t="s">
        <v>3601</v>
      </c>
    </row>
    <row r="619" spans="25:30">
      <c r="Y619" s="2988" t="s">
        <v>1269</v>
      </c>
      <c r="Z619" s="2988" t="s">
        <v>5001</v>
      </c>
      <c r="AA619" s="2988">
        <v>2904</v>
      </c>
      <c r="AB619" s="2988" t="s">
        <v>3594</v>
      </c>
      <c r="AC619" s="2988" t="s">
        <v>3598</v>
      </c>
      <c r="AD619" s="2988" t="s">
        <v>3602</v>
      </c>
    </row>
    <row r="620" spans="25:30">
      <c r="Y620" s="2988" t="s">
        <v>1269</v>
      </c>
      <c r="Z620" s="2988" t="s">
        <v>5002</v>
      </c>
      <c r="AA620" s="2988">
        <v>2904</v>
      </c>
      <c r="AB620" s="2988" t="s">
        <v>3595</v>
      </c>
      <c r="AC620" s="2988" t="s">
        <v>3599</v>
      </c>
      <c r="AD620" s="2988" t="s">
        <v>3603</v>
      </c>
    </row>
    <row r="621" spans="25:30">
      <c r="Y621" s="2988" t="s">
        <v>1269</v>
      </c>
      <c r="Z621" s="2988" t="s">
        <v>1536</v>
      </c>
      <c r="AA621" s="2988">
        <v>3092</v>
      </c>
      <c r="AB621" s="2988" t="s">
        <v>5003</v>
      </c>
      <c r="AC621" s="2988" t="s">
        <v>3748</v>
      </c>
      <c r="AD621" s="2988" t="s">
        <v>3749</v>
      </c>
    </row>
    <row r="622" spans="25:30">
      <c r="Y622" s="2988" t="s">
        <v>1269</v>
      </c>
      <c r="Z622" s="2988" t="s">
        <v>1537</v>
      </c>
      <c r="AA622" s="2988">
        <v>3093</v>
      </c>
      <c r="AB622" s="2988" t="s">
        <v>5004</v>
      </c>
      <c r="AC622" s="2988" t="s">
        <v>1519</v>
      </c>
      <c r="AD622" s="2988" t="s">
        <v>1530</v>
      </c>
    </row>
    <row r="623" spans="25:30">
      <c r="Y623" s="2988" t="s">
        <v>1269</v>
      </c>
      <c r="Z623" s="2988" t="s">
        <v>1531</v>
      </c>
      <c r="AA623" s="2988">
        <v>3053</v>
      </c>
      <c r="AB623" s="2988" t="s">
        <v>1538</v>
      </c>
      <c r="AC623" s="2988" t="s">
        <v>1507</v>
      </c>
      <c r="AD623" s="2988" t="s">
        <v>1522</v>
      </c>
    </row>
    <row r="624" spans="25:30">
      <c r="Y624" s="2988" t="s">
        <v>1269</v>
      </c>
      <c r="Z624" s="2988" t="s">
        <v>1532</v>
      </c>
      <c r="AA624" s="2988">
        <v>3054</v>
      </c>
      <c r="AB624" s="2988" t="s">
        <v>1539</v>
      </c>
      <c r="AC624" s="2988" t="s">
        <v>1507</v>
      </c>
      <c r="AD624" s="2988" t="s">
        <v>1522</v>
      </c>
    </row>
    <row r="625" spans="25:30">
      <c r="Y625" s="2988" t="s">
        <v>1269</v>
      </c>
      <c r="Z625" s="2995" t="s">
        <v>5005</v>
      </c>
      <c r="AA625" s="2988"/>
      <c r="AB625" s="2988" t="s">
        <v>5006</v>
      </c>
      <c r="AC625" s="2988" t="s">
        <v>5007</v>
      </c>
      <c r="AD625" s="2988" t="s">
        <v>5008</v>
      </c>
    </row>
    <row r="626" spans="25:30">
      <c r="Y626" s="2988" t="s">
        <v>1269</v>
      </c>
      <c r="Z626" s="2995" t="s">
        <v>5009</v>
      </c>
      <c r="AA626" s="2988"/>
      <c r="AB626" s="2988" t="s">
        <v>5010</v>
      </c>
      <c r="AC626" s="2988" t="s">
        <v>5011</v>
      </c>
      <c r="AD626" s="2988" t="s">
        <v>5012</v>
      </c>
    </row>
    <row r="627" spans="25:30">
      <c r="Y627" s="2988" t="s">
        <v>1269</v>
      </c>
      <c r="Z627" s="2988" t="s">
        <v>1533</v>
      </c>
      <c r="AA627" s="2988">
        <v>3062</v>
      </c>
      <c r="AB627" s="2988" t="s">
        <v>5013</v>
      </c>
      <c r="AC627" s="2988" t="s">
        <v>1512</v>
      </c>
      <c r="AD627" s="2988" t="s">
        <v>1522</v>
      </c>
    </row>
    <row r="628" spans="25:30">
      <c r="Y628" s="2988" t="s">
        <v>1269</v>
      </c>
      <c r="Z628" s="2988" t="s">
        <v>1535</v>
      </c>
      <c r="AA628" s="2988">
        <v>3063</v>
      </c>
      <c r="AB628" s="2988" t="s">
        <v>5014</v>
      </c>
      <c r="AC628" s="2988" t="s">
        <v>1513</v>
      </c>
      <c r="AD628" s="2988" t="s">
        <v>1522</v>
      </c>
    </row>
    <row r="629" spans="25:30">
      <c r="Y629" s="2988" t="s">
        <v>1269</v>
      </c>
      <c r="Z629" s="2988" t="s">
        <v>1362</v>
      </c>
      <c r="AA629" s="2988">
        <v>3070</v>
      </c>
      <c r="AB629" s="2988" t="s">
        <v>5015</v>
      </c>
      <c r="AC629" s="2988" t="s">
        <v>678</v>
      </c>
      <c r="AD629" s="2988" t="s">
        <v>1363</v>
      </c>
    </row>
    <row r="630" spans="25:30">
      <c r="Y630" s="1666" t="s">
        <v>3890</v>
      </c>
      <c r="Z630" s="1666" t="s">
        <v>5390</v>
      </c>
      <c r="AA630" s="1666" t="s">
        <v>4318</v>
      </c>
      <c r="AB630" s="1666" t="s">
        <v>5391</v>
      </c>
      <c r="AC630" s="1666" t="s">
        <v>4319</v>
      </c>
      <c r="AD630" s="1666" t="s">
        <v>4319</v>
      </c>
    </row>
    <row r="631" spans="25:30">
      <c r="Y631" s="1666" t="s">
        <v>3890</v>
      </c>
      <c r="Z631" s="1666" t="s">
        <v>5392</v>
      </c>
      <c r="AA631" s="1666" t="s">
        <v>4318</v>
      </c>
      <c r="AB631" s="1666" t="s">
        <v>5393</v>
      </c>
      <c r="AC631" s="1666" t="s">
        <v>4319</v>
      </c>
      <c r="AD631" s="1666" t="s">
        <v>4319</v>
      </c>
    </row>
    <row r="632" spans="25:30">
      <c r="Y632" s="1666" t="s">
        <v>3890</v>
      </c>
      <c r="Z632" s="1666" t="s">
        <v>5394</v>
      </c>
      <c r="AA632" s="1666" t="s">
        <v>4318</v>
      </c>
      <c r="AB632" s="1666" t="s">
        <v>5395</v>
      </c>
      <c r="AC632" s="1666" t="s">
        <v>4319</v>
      </c>
      <c r="AD632" s="1666" t="s">
        <v>4319</v>
      </c>
    </row>
    <row r="633" spans="25:30">
      <c r="Y633" s="1666" t="s">
        <v>3890</v>
      </c>
      <c r="Z633" s="1666" t="s">
        <v>5396</v>
      </c>
      <c r="AA633" s="1666" t="s">
        <v>4318</v>
      </c>
      <c r="AB633" s="1666" t="s">
        <v>5397</v>
      </c>
      <c r="AC633" s="1666" t="s">
        <v>4319</v>
      </c>
      <c r="AD633" s="1666" t="s">
        <v>4319</v>
      </c>
    </row>
    <row r="634" spans="25:30">
      <c r="Y634" s="1666" t="s">
        <v>3890</v>
      </c>
      <c r="Z634" s="1666" t="s">
        <v>5398</v>
      </c>
      <c r="AA634" s="1666" t="s">
        <v>4318</v>
      </c>
      <c r="AB634" s="1666" t="s">
        <v>5399</v>
      </c>
      <c r="AC634" s="1666" t="s">
        <v>4319</v>
      </c>
      <c r="AD634" s="1666" t="s">
        <v>4319</v>
      </c>
    </row>
    <row r="635" spans="25:30">
      <c r="Y635" s="1666" t="s">
        <v>3890</v>
      </c>
      <c r="Z635" s="1666" t="s">
        <v>5376</v>
      </c>
      <c r="AA635" s="1666"/>
      <c r="AB635" s="1666"/>
      <c r="AC635" s="1666" t="s">
        <v>4321</v>
      </c>
      <c r="AD635" s="1666" t="s">
        <v>4322</v>
      </c>
    </row>
    <row r="636" spans="25:30">
      <c r="Y636" s="1666" t="s">
        <v>3890</v>
      </c>
      <c r="Z636" s="1666" t="s">
        <v>5378</v>
      </c>
      <c r="AA636" s="1666"/>
      <c r="AB636" s="1666"/>
      <c r="AC636" s="1666" t="s">
        <v>4321</v>
      </c>
      <c r="AD636" s="1666" t="s">
        <v>4322</v>
      </c>
    </row>
    <row r="637" spans="25:30">
      <c r="Y637" s="1666" t="s">
        <v>3890</v>
      </c>
      <c r="Z637" s="1666" t="s">
        <v>5380</v>
      </c>
      <c r="AA637" s="1666"/>
      <c r="AB637" s="1666"/>
      <c r="AC637" s="1666" t="s">
        <v>4321</v>
      </c>
      <c r="AD637" s="1666" t="s">
        <v>4322</v>
      </c>
    </row>
    <row r="638" spans="25:30">
      <c r="Y638" s="1666" t="s">
        <v>3890</v>
      </c>
      <c r="Z638" s="1666" t="s">
        <v>5400</v>
      </c>
      <c r="AA638" s="1666" t="s">
        <v>4318</v>
      </c>
      <c r="AB638" s="1666" t="s">
        <v>5401</v>
      </c>
      <c r="AC638" s="1666" t="s">
        <v>4319</v>
      </c>
      <c r="AD638" s="1666" t="s">
        <v>4319</v>
      </c>
    </row>
    <row r="639" spans="25:30">
      <c r="Y639" s="1666" t="s">
        <v>3890</v>
      </c>
      <c r="Z639" s="1666" t="s">
        <v>5402</v>
      </c>
      <c r="AA639" s="1666" t="s">
        <v>4318</v>
      </c>
      <c r="AB639" s="1666" t="s">
        <v>5403</v>
      </c>
      <c r="AC639" s="1666" t="s">
        <v>4319</v>
      </c>
      <c r="AD639" s="1666" t="s">
        <v>4319</v>
      </c>
    </row>
    <row r="640" spans="25:30">
      <c r="Y640" s="1666" t="s">
        <v>3890</v>
      </c>
      <c r="Z640" s="1666" t="s">
        <v>5404</v>
      </c>
      <c r="AA640" s="1666" t="s">
        <v>4318</v>
      </c>
      <c r="AB640" s="1666" t="s">
        <v>5405</v>
      </c>
      <c r="AC640" s="1666" t="s">
        <v>4319</v>
      </c>
      <c r="AD640" s="1666" t="s">
        <v>4319</v>
      </c>
    </row>
    <row r="641" spans="25:30">
      <c r="Y641" s="1666" t="s">
        <v>3890</v>
      </c>
      <c r="Z641" s="1666" t="s">
        <v>5406</v>
      </c>
      <c r="AA641" s="1666" t="s">
        <v>4318</v>
      </c>
      <c r="AB641" s="1666" t="s">
        <v>5407</v>
      </c>
      <c r="AC641" s="1666" t="s">
        <v>4319</v>
      </c>
      <c r="AD641" s="1666" t="s">
        <v>4319</v>
      </c>
    </row>
    <row r="642" spans="25:30">
      <c r="Y642" s="1666" t="s">
        <v>3890</v>
      </c>
      <c r="Z642" s="1666" t="s">
        <v>5408</v>
      </c>
      <c r="AA642" s="1666" t="s">
        <v>4318</v>
      </c>
      <c r="AB642" s="1666" t="s">
        <v>5409</v>
      </c>
      <c r="AC642" s="1666" t="s">
        <v>4319</v>
      </c>
      <c r="AD642" s="1666" t="s">
        <v>4319</v>
      </c>
    </row>
    <row r="643" spans="25:30">
      <c r="Y643" s="1666" t="s">
        <v>3890</v>
      </c>
      <c r="Z643" s="1666" t="s">
        <v>5410</v>
      </c>
      <c r="AA643" s="1666" t="s">
        <v>4318</v>
      </c>
      <c r="AB643" s="1666" t="s">
        <v>5411</v>
      </c>
      <c r="AC643" s="1666" t="s">
        <v>4319</v>
      </c>
      <c r="AD643" s="1666" t="s">
        <v>4319</v>
      </c>
    </row>
    <row r="644" spans="25:30">
      <c r="Y644" s="1666" t="s">
        <v>3890</v>
      </c>
      <c r="Z644" s="1666" t="s">
        <v>5412</v>
      </c>
      <c r="AA644" s="1666" t="s">
        <v>4318</v>
      </c>
      <c r="AB644" s="1666" t="s">
        <v>5413</v>
      </c>
      <c r="AC644" s="1666" t="s">
        <v>4319</v>
      </c>
      <c r="AD644" s="1666" t="s">
        <v>4319</v>
      </c>
    </row>
    <row r="645" spans="25:30">
      <c r="Y645" s="1666" t="s">
        <v>3890</v>
      </c>
      <c r="Z645" s="1666" t="s">
        <v>5383</v>
      </c>
      <c r="AA645" s="1666"/>
      <c r="AB645" s="1666"/>
      <c r="AC645" s="1666"/>
      <c r="AD645" s="1666"/>
    </row>
    <row r="646" spans="25:30">
      <c r="Y646" s="1666" t="s">
        <v>3890</v>
      </c>
      <c r="Z646" s="1666" t="s">
        <v>5385</v>
      </c>
      <c r="AA646" s="1666"/>
      <c r="AB646" s="1666"/>
      <c r="AC646" s="1666"/>
      <c r="AD646" s="1666"/>
    </row>
    <row r="647" spans="25:30">
      <c r="Y647" s="1666" t="s">
        <v>3890</v>
      </c>
      <c r="Z647" s="1666" t="s">
        <v>5387</v>
      </c>
      <c r="AA647" s="1666"/>
      <c r="AB647" s="1666"/>
      <c r="AC647" s="1666"/>
      <c r="AD647" s="1666"/>
    </row>
  </sheetData>
  <protectedRanges>
    <protectedRange sqref="V7:V8" name="loadbalancer"/>
    <protectedRange sqref="Q11" name="Firewall_2_1"/>
    <protectedRange sqref="CM6:CM14" name="loadbalancer_1"/>
  </protectedRanges>
  <mergeCells count="32">
    <mergeCell ref="ET4:EU4"/>
    <mergeCell ref="EW4:FC4"/>
    <mergeCell ref="EN4:EO4"/>
    <mergeCell ref="AT5:AU5"/>
    <mergeCell ref="BL3:BM3"/>
    <mergeCell ref="BP3:BU3"/>
    <mergeCell ref="AT3:AU3"/>
    <mergeCell ref="AY3:BH3"/>
    <mergeCell ref="BJ3:BK3"/>
    <mergeCell ref="AW3:AX3"/>
    <mergeCell ref="EJ3:ER3"/>
    <mergeCell ref="CX4:CZ4"/>
    <mergeCell ref="CO4:CW4"/>
    <mergeCell ref="DV4:DW4"/>
    <mergeCell ref="DQ4:DS4"/>
    <mergeCell ref="DM4:DO4"/>
    <mergeCell ref="DK4:DL4"/>
    <mergeCell ref="DC4:DJ4"/>
    <mergeCell ref="EP4:ER4"/>
    <mergeCell ref="A1:V1"/>
    <mergeCell ref="D3:L3"/>
    <mergeCell ref="AO3:AQ3"/>
    <mergeCell ref="AE3:AN3"/>
    <mergeCell ref="Y3:AD3"/>
    <mergeCell ref="M3:Q3"/>
    <mergeCell ref="FT3:FU4"/>
    <mergeCell ref="FF3:FH4"/>
    <mergeCell ref="FI3:FJ4"/>
    <mergeCell ref="FK3:FL4"/>
    <mergeCell ref="FM3:FN4"/>
    <mergeCell ref="FO3:FP4"/>
    <mergeCell ref="FQ3:FR4"/>
  </mergeCells>
  <phoneticPr fontId="26" type="noConversion"/>
  <conditionalFormatting sqref="CM6:CM14">
    <cfRule type="expression" dxfId="5" priority="1">
      <formula>OR($A6="Delete VIP",$A6="Modify VIP")</formula>
    </cfRule>
  </conditionalFormatting>
  <dataValidations disablePrompts="1" count="1">
    <dataValidation type="list" allowBlank="1" showInputMessage="1" showErrorMessage="1" sqref="CM6:CM14" xr:uid="{00000000-0002-0000-2700-000000000000}">
      <formula1>"None (default),Cookie,Destination Address Affinity,Hash,Microsoft Remote Desktop,SIP,Source Address Affinity,SSL,Universal"</formula1>
    </dataValidation>
  </dataValidations>
  <hyperlinks>
    <hyperlink ref="DK11" r:id="rId1" xr:uid="{00000000-0004-0000-2700-000000000000}"/>
    <hyperlink ref="DV11" r:id="rId2" xr:uid="{00000000-0004-0000-2700-000001000000}"/>
    <hyperlink ref="DW7" r:id="rId3" xr:uid="{00000000-0004-0000-2700-000002000000}"/>
    <hyperlink ref="DW8" r:id="rId4" xr:uid="{00000000-0004-0000-2700-000003000000}"/>
    <hyperlink ref="DW18" r:id="rId5" xr:uid="{00000000-0004-0000-2700-000004000000}"/>
    <hyperlink ref="DW19" r:id="rId6" xr:uid="{00000000-0004-0000-2700-000005000000}"/>
    <hyperlink ref="DW6" r:id="rId7" xr:uid="{00000000-0004-0000-2700-000006000000}"/>
  </hyperlinks>
  <pageMargins left="0.75" right="0.75" top="1" bottom="1" header="0.5" footer="0.5"/>
  <pageSetup orientation="portrait" r:id="rId8"/>
  <headerFooter alignWithMargins="0"/>
  <drawing r:id="rId9"/>
  <legacyDrawing r:id="rId1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0" tint="-0.14999847407452621"/>
  </sheetPr>
  <dimension ref="A1:N143"/>
  <sheetViews>
    <sheetView showGridLines="0" topLeftCell="A4" zoomScaleNormal="100" workbookViewId="0">
      <selection activeCell="E23" sqref="E23"/>
    </sheetView>
  </sheetViews>
  <sheetFormatPr defaultRowHeight="12.75"/>
  <cols>
    <col min="1" max="1" width="17.28515625" style="931" customWidth="1"/>
    <col min="2" max="2" width="9.140625" style="931"/>
    <col min="3" max="3" width="41.85546875" style="931" customWidth="1"/>
    <col min="4" max="4" width="9.140625" style="931"/>
    <col min="5" max="5" width="37.28515625" style="931" customWidth="1"/>
    <col min="6" max="6" width="4.7109375" style="354" customWidth="1"/>
    <col min="7" max="7" width="40.85546875" style="931" hidden="1" customWidth="1"/>
    <col min="8" max="8" width="6" style="354" hidden="1" customWidth="1"/>
    <col min="9" max="9" width="41.140625" style="931" bestFit="1" customWidth="1"/>
    <col min="10" max="10" width="7.7109375" style="354" bestFit="1" customWidth="1"/>
    <col min="11" max="11" width="23.140625" style="931" customWidth="1"/>
    <col min="12" max="12" width="13.85546875" style="931" customWidth="1"/>
    <col min="13" max="13" width="18.7109375" style="931" customWidth="1"/>
    <col min="14" max="16384" width="9.140625" style="931"/>
  </cols>
  <sheetData>
    <row r="1" spans="1:14" ht="33.75">
      <c r="A1" s="4186" t="s">
        <v>1254</v>
      </c>
      <c r="B1" s="4186"/>
      <c r="C1" s="4186"/>
      <c r="D1" s="4186"/>
      <c r="E1" s="4186"/>
      <c r="F1" s="4186"/>
      <c r="G1" s="4186"/>
      <c r="H1" s="4186"/>
      <c r="I1" s="4186"/>
      <c r="J1" s="4186"/>
      <c r="K1" s="4186"/>
      <c r="L1" s="4186"/>
    </row>
    <row r="2" spans="1:14" s="2521" customFormat="1" ht="13.5" customHeight="1">
      <c r="A2" s="2522" t="s">
        <v>1301</v>
      </c>
      <c r="B2" s="2523"/>
      <c r="C2" s="2523"/>
      <c r="D2" s="2523"/>
      <c r="E2" s="2523"/>
      <c r="F2" s="2523"/>
      <c r="G2" s="2523"/>
      <c r="H2" s="2523"/>
      <c r="I2" s="2523"/>
      <c r="J2" s="2523"/>
      <c r="K2" s="2523"/>
      <c r="L2" s="2523"/>
    </row>
    <row r="3" spans="1:14" s="2521" customFormat="1" ht="13.5" customHeight="1">
      <c r="A3" s="2522" t="s">
        <v>3888</v>
      </c>
      <c r="B3" s="2523"/>
      <c r="C3" s="2523"/>
      <c r="D3" s="2523"/>
      <c r="E3" s="2523"/>
      <c r="F3" s="2523"/>
      <c r="G3" s="2523"/>
      <c r="H3" s="2523"/>
      <c r="I3" s="2523"/>
      <c r="J3" s="2523"/>
      <c r="K3" s="2523"/>
      <c r="L3" s="2523"/>
    </row>
    <row r="4" spans="1:14" s="2521" customFormat="1" ht="13.5" customHeight="1" thickBot="1">
      <c r="A4" s="2523" t="s">
        <v>4080</v>
      </c>
      <c r="B4" s="2523"/>
      <c r="C4" s="2523"/>
      <c r="D4" s="2523"/>
      <c r="E4" s="2523"/>
      <c r="F4" s="2523"/>
      <c r="G4" s="2523"/>
      <c r="H4" s="2523"/>
      <c r="I4" s="2523"/>
      <c r="J4" s="2523"/>
      <c r="K4" s="2523"/>
      <c r="L4" s="2523"/>
    </row>
    <row r="5" spans="1:14" ht="13.5" customHeight="1" thickBot="1">
      <c r="A5" s="4187" t="s">
        <v>1250</v>
      </c>
      <c r="B5" s="4188"/>
      <c r="C5" s="4189"/>
      <c r="D5" s="265"/>
      <c r="E5" s="265"/>
      <c r="F5" s="265"/>
      <c r="G5" s="265"/>
      <c r="H5" s="266"/>
      <c r="I5" s="265"/>
      <c r="J5" s="266"/>
      <c r="K5" s="265"/>
      <c r="L5" s="265"/>
      <c r="M5" s="265"/>
    </row>
    <row r="6" spans="1:14" ht="14.25" thickTop="1" thickBot="1">
      <c r="A6" s="2508" t="s">
        <v>1160</v>
      </c>
      <c r="B6" s="2507" t="s">
        <v>1161</v>
      </c>
      <c r="C6" s="2508" t="s">
        <v>236</v>
      </c>
      <c r="D6" s="2507" t="s">
        <v>1162</v>
      </c>
      <c r="E6" s="2508" t="s">
        <v>1163</v>
      </c>
      <c r="F6" s="2513" t="s">
        <v>1164</v>
      </c>
      <c r="G6" s="2426" t="s">
        <v>1165</v>
      </c>
      <c r="H6" s="2513" t="s">
        <v>1166</v>
      </c>
      <c r="I6" s="2426" t="s">
        <v>1167</v>
      </c>
      <c r="J6" s="2513" t="s">
        <v>1168</v>
      </c>
      <c r="K6" s="3117">
        <v>1</v>
      </c>
      <c r="L6" s="2507">
        <v>1</v>
      </c>
      <c r="M6" s="2506" t="s">
        <v>5184</v>
      </c>
    </row>
    <row r="7" spans="1:14" ht="25.5" customHeight="1" thickBot="1">
      <c r="A7" s="4190"/>
      <c r="B7" s="4191"/>
      <c r="C7" s="4192"/>
      <c r="D7" s="4193"/>
      <c r="E7" s="4192"/>
      <c r="F7" s="4193"/>
      <c r="G7" s="4194" t="s">
        <v>1303</v>
      </c>
      <c r="H7" s="4195"/>
      <c r="I7" s="4195"/>
      <c r="J7" s="4196"/>
      <c r="K7" s="4194" t="s">
        <v>5250</v>
      </c>
      <c r="L7" s="4196"/>
    </row>
    <row r="8" spans="1:14" ht="26.25" thickBot="1">
      <c r="A8" s="2502" t="s">
        <v>1169</v>
      </c>
      <c r="B8" s="2502"/>
      <c r="C8" s="2502" t="s">
        <v>1170</v>
      </c>
      <c r="D8" s="2502"/>
      <c r="E8" s="2502" t="s">
        <v>1171</v>
      </c>
      <c r="F8" s="2514"/>
      <c r="G8" s="2505" t="s">
        <v>1304</v>
      </c>
      <c r="H8" s="2514"/>
      <c r="I8" s="2505" t="s">
        <v>4081</v>
      </c>
      <c r="J8" s="2514"/>
      <c r="K8" s="2501" t="s">
        <v>5251</v>
      </c>
      <c r="L8" s="2502" t="s">
        <v>1172</v>
      </c>
    </row>
    <row r="9" spans="1:14">
      <c r="A9" s="268" t="s">
        <v>1160</v>
      </c>
      <c r="B9" s="272" t="s">
        <v>1161</v>
      </c>
      <c r="C9" s="2503" t="s">
        <v>1195</v>
      </c>
      <c r="D9" s="2504" t="s">
        <v>3938</v>
      </c>
      <c r="E9" s="2531" t="s">
        <v>5147</v>
      </c>
      <c r="F9" s="2531" t="s">
        <v>4016</v>
      </c>
      <c r="G9" s="2617" t="s">
        <v>4204</v>
      </c>
      <c r="H9" s="2618" t="s">
        <v>4203</v>
      </c>
      <c r="I9" s="3111" t="s">
        <v>4234</v>
      </c>
      <c r="J9" s="3112" t="s">
        <v>4070</v>
      </c>
      <c r="K9" s="1587"/>
      <c r="L9" s="1587"/>
    </row>
    <row r="10" spans="1:14">
      <c r="A10" s="2919" t="s">
        <v>4613</v>
      </c>
      <c r="B10" s="2920" t="s">
        <v>4614</v>
      </c>
      <c r="C10" s="2427" t="s">
        <v>1246</v>
      </c>
      <c r="D10" s="2395" t="s">
        <v>3939</v>
      </c>
      <c r="E10" s="2531" t="s">
        <v>1257</v>
      </c>
      <c r="F10" s="2531" t="s">
        <v>4018</v>
      </c>
      <c r="G10" s="2617" t="s">
        <v>4583</v>
      </c>
      <c r="H10" s="2618" t="s">
        <v>4582</v>
      </c>
      <c r="I10" s="2533" t="s">
        <v>699</v>
      </c>
      <c r="J10" s="2532" t="s">
        <v>4071</v>
      </c>
      <c r="K10" s="1894"/>
      <c r="L10" s="1894"/>
    </row>
    <row r="11" spans="1:14">
      <c r="A11" s="269" t="s">
        <v>723</v>
      </c>
      <c r="B11" s="2429" t="s">
        <v>1175</v>
      </c>
      <c r="C11" s="2430" t="s">
        <v>5414</v>
      </c>
      <c r="D11" s="2510" t="s">
        <v>3940</v>
      </c>
      <c r="E11" s="2531" t="s">
        <v>1163</v>
      </c>
      <c r="F11" s="2531" t="s">
        <v>4021</v>
      </c>
      <c r="G11" s="2617" t="s">
        <v>4433</v>
      </c>
      <c r="H11" s="2618" t="s">
        <v>4432</v>
      </c>
      <c r="I11" s="2533" t="s">
        <v>5183</v>
      </c>
      <c r="J11" s="2532" t="s">
        <v>5182</v>
      </c>
      <c r="K11" s="1894"/>
      <c r="L11" s="1894"/>
    </row>
    <row r="12" spans="1:14">
      <c r="A12" s="269" t="s">
        <v>317</v>
      </c>
      <c r="B12" s="2429" t="s">
        <v>1177</v>
      </c>
      <c r="C12" s="2427" t="s">
        <v>1268</v>
      </c>
      <c r="D12" s="2511" t="s">
        <v>3941</v>
      </c>
      <c r="E12" s="2531" t="s">
        <v>1258</v>
      </c>
      <c r="F12" s="2531" t="s">
        <v>4022</v>
      </c>
      <c r="G12" s="2617" t="s">
        <v>4239</v>
      </c>
      <c r="H12" s="2618" t="s">
        <v>4240</v>
      </c>
      <c r="I12" s="2533" t="s">
        <v>5152</v>
      </c>
      <c r="J12" s="2532" t="s">
        <v>5153</v>
      </c>
      <c r="K12" s="1894"/>
      <c r="L12" s="1894"/>
      <c r="M12" s="354" t="s">
        <v>5193</v>
      </c>
      <c r="N12" s="354" t="s">
        <v>5202</v>
      </c>
    </row>
    <row r="13" spans="1:14">
      <c r="A13" s="269" t="s">
        <v>1179</v>
      </c>
      <c r="B13" s="2429" t="s">
        <v>1180</v>
      </c>
      <c r="C13" s="2430" t="s">
        <v>5415</v>
      </c>
      <c r="D13" s="2510" t="s">
        <v>3942</v>
      </c>
      <c r="E13" s="2531" t="s">
        <v>5179</v>
      </c>
      <c r="F13" s="2531" t="s">
        <v>903</v>
      </c>
      <c r="G13" s="2617" t="s">
        <v>4538</v>
      </c>
      <c r="H13" s="2618" t="s">
        <v>4007</v>
      </c>
      <c r="I13" s="2533" t="s">
        <v>4140</v>
      </c>
      <c r="J13" s="2532" t="s">
        <v>5148</v>
      </c>
      <c r="K13" s="1894"/>
      <c r="L13" s="1894"/>
      <c r="M13" s="354" t="s">
        <v>5194</v>
      </c>
      <c r="N13" s="354" t="s">
        <v>5199</v>
      </c>
    </row>
    <row r="14" spans="1:14">
      <c r="A14" s="270" t="s">
        <v>1183</v>
      </c>
      <c r="B14" s="2429" t="s">
        <v>1184</v>
      </c>
      <c r="C14" s="2427" t="s">
        <v>1276</v>
      </c>
      <c r="D14" s="2511" t="s">
        <v>3943</v>
      </c>
      <c r="E14" s="2531" t="s">
        <v>5527</v>
      </c>
      <c r="F14" s="2531" t="s">
        <v>5526</v>
      </c>
      <c r="G14" s="2617" t="s">
        <v>4193</v>
      </c>
      <c r="H14" s="2618" t="s">
        <v>4194</v>
      </c>
      <c r="I14" s="3113" t="s">
        <v>1197</v>
      </c>
      <c r="J14" s="3108" t="s">
        <v>4072</v>
      </c>
      <c r="K14" s="1894"/>
      <c r="L14" s="1894"/>
      <c r="M14" s="354" t="s">
        <v>5195</v>
      </c>
      <c r="N14" s="354" t="s">
        <v>5200</v>
      </c>
    </row>
    <row r="15" spans="1:14" ht="13.5" thickBot="1">
      <c r="A15" s="271" t="s">
        <v>73</v>
      </c>
      <c r="B15" s="273" t="s">
        <v>427</v>
      </c>
      <c r="C15" s="2430" t="s">
        <v>5428</v>
      </c>
      <c r="D15" s="2510" t="s">
        <v>5429</v>
      </c>
      <c r="G15" s="2396" t="s">
        <v>1174</v>
      </c>
      <c r="H15" s="2511" t="s">
        <v>4025</v>
      </c>
      <c r="I15" s="2533" t="s">
        <v>1203</v>
      </c>
      <c r="J15" s="2532" t="s">
        <v>4033</v>
      </c>
      <c r="K15" s="2424"/>
      <c r="L15" s="2424"/>
      <c r="M15" s="354" t="s">
        <v>5196</v>
      </c>
      <c r="N15" s="354" t="s">
        <v>5196</v>
      </c>
    </row>
    <row r="16" spans="1:14">
      <c r="B16" s="2424"/>
      <c r="C16" s="2430" t="s">
        <v>5430</v>
      </c>
      <c r="D16" s="2510" t="s">
        <v>5431</v>
      </c>
      <c r="G16" s="2621" t="s">
        <v>4238</v>
      </c>
      <c r="H16" s="2620" t="s">
        <v>3953</v>
      </c>
      <c r="I16" s="2533" t="s">
        <v>5167</v>
      </c>
      <c r="J16" s="2532" t="s">
        <v>5164</v>
      </c>
      <c r="K16" s="2424"/>
      <c r="L16" s="2424"/>
      <c r="M16" s="1644" t="s">
        <v>5197</v>
      </c>
      <c r="N16" s="354" t="s">
        <v>5201</v>
      </c>
    </row>
    <row r="17" spans="2:14">
      <c r="B17" s="2424"/>
      <c r="C17" s="2430" t="s">
        <v>5432</v>
      </c>
      <c r="D17" s="2510" t="s">
        <v>5433</v>
      </c>
      <c r="G17" s="2621" t="s">
        <v>4653</v>
      </c>
      <c r="H17" s="2620" t="s">
        <v>4654</v>
      </c>
      <c r="I17" s="3105" t="s">
        <v>3892</v>
      </c>
      <c r="J17" s="3106" t="s">
        <v>4063</v>
      </c>
      <c r="K17" s="2424"/>
      <c r="L17" s="2424"/>
      <c r="M17" s="1644" t="s">
        <v>5198</v>
      </c>
      <c r="N17" s="354" t="s">
        <v>5201</v>
      </c>
    </row>
    <row r="18" spans="2:14">
      <c r="B18" s="2424"/>
      <c r="C18" s="2430" t="s">
        <v>5434</v>
      </c>
      <c r="D18" s="2510" t="s">
        <v>5435</v>
      </c>
      <c r="G18" s="2431" t="s">
        <v>1182</v>
      </c>
      <c r="H18" s="2511" t="s">
        <v>4026</v>
      </c>
      <c r="I18" s="3105" t="s">
        <v>3893</v>
      </c>
      <c r="J18" s="3106" t="s">
        <v>4064</v>
      </c>
      <c r="K18" s="2424"/>
      <c r="L18" s="2424"/>
      <c r="M18" s="1644" t="s">
        <v>5195</v>
      </c>
      <c r="N18" s="354" t="s">
        <v>5201</v>
      </c>
    </row>
    <row r="19" spans="2:14">
      <c r="B19" s="2424"/>
      <c r="C19" s="2430" t="s">
        <v>5436</v>
      </c>
      <c r="D19" s="2510" t="s">
        <v>5437</v>
      </c>
      <c r="G19" s="2396" t="s">
        <v>1292</v>
      </c>
      <c r="H19" s="2511" t="s">
        <v>4027</v>
      </c>
      <c r="I19" s="2533" t="s">
        <v>5170</v>
      </c>
      <c r="J19" s="2532" t="s">
        <v>4034</v>
      </c>
      <c r="K19" s="2424"/>
      <c r="L19" s="2424"/>
    </row>
    <row r="20" spans="2:14">
      <c r="B20" s="2424"/>
      <c r="C20" s="2430" t="s">
        <v>3897</v>
      </c>
      <c r="D20" s="2510" t="s">
        <v>3944</v>
      </c>
      <c r="G20" s="2619" t="s">
        <v>1302</v>
      </c>
      <c r="H20" s="2620" t="s">
        <v>4008</v>
      </c>
      <c r="I20" s="2533" t="s">
        <v>5154</v>
      </c>
      <c r="J20" s="2532" t="s">
        <v>4012</v>
      </c>
      <c r="K20" s="2424"/>
      <c r="L20" s="2424"/>
    </row>
    <row r="21" spans="2:14">
      <c r="B21" s="2424"/>
      <c r="C21" s="2430" t="s">
        <v>3899</v>
      </c>
      <c r="D21" s="2510" t="s">
        <v>3945</v>
      </c>
      <c r="G21" s="2427" t="s">
        <v>1186</v>
      </c>
      <c r="H21" s="2511" t="s">
        <v>4008</v>
      </c>
      <c r="I21" s="2533" t="s">
        <v>1204</v>
      </c>
      <c r="J21" s="2532" t="s">
        <v>4013</v>
      </c>
      <c r="K21" s="2424"/>
      <c r="L21" s="2424"/>
    </row>
    <row r="22" spans="2:14">
      <c r="B22" s="2424"/>
      <c r="C22" s="2427" t="s">
        <v>1173</v>
      </c>
      <c r="D22" s="2395" t="s">
        <v>3946</v>
      </c>
      <c r="G22" s="2396" t="s">
        <v>4192</v>
      </c>
      <c r="H22" s="2511" t="s">
        <v>4191</v>
      </c>
      <c r="I22" s="2533" t="s">
        <v>5172</v>
      </c>
      <c r="J22" s="2532" t="s">
        <v>5173</v>
      </c>
      <c r="K22" s="2424"/>
      <c r="L22" s="2424"/>
    </row>
    <row r="23" spans="2:14">
      <c r="B23" s="2424"/>
      <c r="C23" s="2427" t="s">
        <v>1176</v>
      </c>
      <c r="D23" s="2395" t="s">
        <v>3947</v>
      </c>
      <c r="G23" s="2396" t="s">
        <v>69</v>
      </c>
      <c r="H23" s="2511" t="s">
        <v>4028</v>
      </c>
      <c r="I23" s="2533" t="s">
        <v>1207</v>
      </c>
      <c r="J23" s="2532" t="s">
        <v>4014</v>
      </c>
      <c r="K23" s="2424"/>
      <c r="L23" s="2424"/>
    </row>
    <row r="24" spans="2:14">
      <c r="B24" s="2424"/>
      <c r="C24" s="2427" t="s">
        <v>1181</v>
      </c>
      <c r="D24" s="2395" t="s">
        <v>3948</v>
      </c>
      <c r="G24" s="2619" t="s">
        <v>4575</v>
      </c>
      <c r="H24" s="2620" t="s">
        <v>4576</v>
      </c>
      <c r="I24" s="2533" t="s">
        <v>1209</v>
      </c>
      <c r="J24" s="2532" t="s">
        <v>4392</v>
      </c>
      <c r="K24" s="2424"/>
      <c r="L24" s="2424"/>
    </row>
    <row r="25" spans="2:14">
      <c r="B25" s="2424"/>
      <c r="C25" s="2427" t="s">
        <v>1178</v>
      </c>
      <c r="D25" s="2395" t="s">
        <v>3949</v>
      </c>
      <c r="G25" s="2893" t="s">
        <v>4577</v>
      </c>
      <c r="H25" s="2892" t="s">
        <v>4009</v>
      </c>
      <c r="I25" s="2533" t="s">
        <v>1297</v>
      </c>
      <c r="J25" s="2532" t="s">
        <v>4073</v>
      </c>
      <c r="K25" s="2424"/>
      <c r="L25" s="2424"/>
    </row>
    <row r="26" spans="2:14">
      <c r="B26" s="2424"/>
      <c r="C26" s="2427" t="s">
        <v>1260</v>
      </c>
      <c r="D26" s="2395" t="s">
        <v>3950</v>
      </c>
      <c r="G26" s="2619" t="s">
        <v>4259</v>
      </c>
      <c r="H26" s="2620" t="s">
        <v>4258</v>
      </c>
      <c r="I26" s="2533" t="s">
        <v>5151</v>
      </c>
      <c r="J26" s="3116" t="s">
        <v>5178</v>
      </c>
      <c r="K26" s="2424"/>
      <c r="L26" s="2424"/>
    </row>
    <row r="27" spans="2:14">
      <c r="B27" s="2424"/>
      <c r="C27" s="2427" t="s">
        <v>1261</v>
      </c>
      <c r="D27" s="2395" t="s">
        <v>3951</v>
      </c>
      <c r="G27" s="2431" t="s">
        <v>1190</v>
      </c>
      <c r="H27" s="2511" t="s">
        <v>4029</v>
      </c>
      <c r="I27" s="3113" t="s">
        <v>4325</v>
      </c>
      <c r="J27" s="3108" t="s">
        <v>4324</v>
      </c>
      <c r="K27" s="2424"/>
      <c r="L27" s="2424"/>
    </row>
    <row r="28" spans="2:14">
      <c r="B28" s="2424"/>
      <c r="C28" s="2427" t="s">
        <v>1185</v>
      </c>
      <c r="D28" s="2395" t="s">
        <v>3952</v>
      </c>
      <c r="G28" s="2621" t="s">
        <v>4171</v>
      </c>
      <c r="H28" s="2620" t="s">
        <v>4170</v>
      </c>
      <c r="I28" s="3105" t="s">
        <v>3894</v>
      </c>
      <c r="J28" s="3106" t="s">
        <v>4065</v>
      </c>
      <c r="K28" s="2424"/>
      <c r="L28" s="2424"/>
    </row>
    <row r="29" spans="2:14">
      <c r="B29" s="2424"/>
      <c r="C29" s="2427" t="s">
        <v>1187</v>
      </c>
      <c r="D29" s="2395" t="s">
        <v>3953</v>
      </c>
      <c r="G29" s="2431" t="s">
        <v>1194</v>
      </c>
      <c r="H29" s="2511" t="s">
        <v>2738</v>
      </c>
      <c r="I29" s="3113" t="s">
        <v>3889</v>
      </c>
      <c r="J29" s="3108" t="s">
        <v>4061</v>
      </c>
      <c r="K29" s="2424"/>
      <c r="L29" s="2424"/>
    </row>
    <row r="30" spans="2:14">
      <c r="B30" s="2424"/>
      <c r="C30" s="2427" t="s">
        <v>1189</v>
      </c>
      <c r="D30" s="2395" t="s">
        <v>3954</v>
      </c>
      <c r="G30" s="2621" t="s">
        <v>4190</v>
      </c>
      <c r="H30" s="2620" t="s">
        <v>4189</v>
      </c>
      <c r="I30" s="2533" t="s">
        <v>5169</v>
      </c>
      <c r="J30" s="2532" t="s">
        <v>5168</v>
      </c>
      <c r="K30" s="2424"/>
      <c r="L30" s="2424"/>
    </row>
    <row r="31" spans="2:14">
      <c r="B31" s="2424"/>
      <c r="C31" s="2427" t="s">
        <v>1191</v>
      </c>
      <c r="D31" s="2395" t="s">
        <v>3955</v>
      </c>
      <c r="G31" s="2621" t="s">
        <v>4296</v>
      </c>
      <c r="H31" s="2620" t="s">
        <v>4295</v>
      </c>
      <c r="I31" s="2433" t="s">
        <v>698</v>
      </c>
      <c r="J31" s="2512" t="s">
        <v>4074</v>
      </c>
      <c r="K31" s="2424"/>
      <c r="L31" s="2424"/>
    </row>
    <row r="32" spans="2:14">
      <c r="B32" s="2424"/>
      <c r="C32" s="2427" t="s">
        <v>1193</v>
      </c>
      <c r="D32" s="2395" t="s">
        <v>3956</v>
      </c>
      <c r="G32" s="2621" t="s">
        <v>4431</v>
      </c>
      <c r="H32" s="2620" t="s">
        <v>4430</v>
      </c>
      <c r="I32" s="2533" t="s">
        <v>5171</v>
      </c>
      <c r="J32" s="2532" t="s">
        <v>4049</v>
      </c>
      <c r="K32" s="2424"/>
      <c r="L32" s="2424"/>
    </row>
    <row r="33" spans="2:12">
      <c r="B33" s="2424"/>
      <c r="C33" s="2427" t="s">
        <v>1199</v>
      </c>
      <c r="D33" s="2395" t="s">
        <v>3957</v>
      </c>
      <c r="G33" s="2621" t="s">
        <v>4260</v>
      </c>
      <c r="H33" s="2620" t="s">
        <v>4010</v>
      </c>
      <c r="I33" s="2533" t="s">
        <v>5166</v>
      </c>
      <c r="J33" s="2532" t="s">
        <v>5165</v>
      </c>
      <c r="K33" s="2424"/>
      <c r="L33" s="2424"/>
    </row>
    <row r="34" spans="2:12">
      <c r="B34" s="2424"/>
      <c r="C34" s="2427" t="s">
        <v>1201</v>
      </c>
      <c r="D34" s="2395" t="s">
        <v>3958</v>
      </c>
      <c r="G34" s="2427" t="s">
        <v>1192</v>
      </c>
      <c r="H34" s="2511" t="s">
        <v>4030</v>
      </c>
      <c r="I34" s="2433" t="s">
        <v>1227</v>
      </c>
      <c r="J34" s="2512" t="s">
        <v>4049</v>
      </c>
      <c r="K34" s="2424"/>
      <c r="L34" s="2424"/>
    </row>
    <row r="35" spans="2:12">
      <c r="B35" s="2424"/>
      <c r="C35" s="2427" t="s">
        <v>1202</v>
      </c>
      <c r="D35" s="2395" t="s">
        <v>3959</v>
      </c>
      <c r="G35" s="2431" t="s">
        <v>1188</v>
      </c>
      <c r="H35" s="2511" t="s">
        <v>4011</v>
      </c>
      <c r="I35" s="2533" t="s">
        <v>5159</v>
      </c>
      <c r="J35" s="2532" t="s">
        <v>5158</v>
      </c>
      <c r="K35" s="2424"/>
      <c r="L35" s="2424"/>
    </row>
    <row r="36" spans="2:12">
      <c r="B36" s="2424"/>
      <c r="C36" s="2427" t="s">
        <v>1262</v>
      </c>
      <c r="D36" s="2395" t="s">
        <v>3960</v>
      </c>
      <c r="G36" s="2621" t="s">
        <v>4255</v>
      </c>
      <c r="H36" s="2620" t="s">
        <v>4254</v>
      </c>
      <c r="I36" s="3113" t="s">
        <v>4205</v>
      </c>
      <c r="J36" s="3108" t="s">
        <v>5176</v>
      </c>
      <c r="K36" s="2424"/>
      <c r="L36" s="2424"/>
    </row>
    <row r="37" spans="2:12">
      <c r="B37" s="2424"/>
      <c r="C37" s="2427" t="s">
        <v>1263</v>
      </c>
      <c r="D37" s="2395" t="s">
        <v>3961</v>
      </c>
      <c r="G37" s="2619" t="s">
        <v>1293</v>
      </c>
      <c r="H37" s="2620" t="s">
        <v>4031</v>
      </c>
      <c r="I37" s="3109" t="s">
        <v>3937</v>
      </c>
      <c r="J37" s="3107" t="s">
        <v>4075</v>
      </c>
      <c r="K37" s="2424"/>
      <c r="L37" s="2424"/>
    </row>
    <row r="38" spans="2:12">
      <c r="B38" s="2424"/>
      <c r="C38" s="2427" t="s">
        <v>1205</v>
      </c>
      <c r="D38" s="2395" t="s">
        <v>3962</v>
      </c>
      <c r="G38" s="2622" t="s">
        <v>1234</v>
      </c>
      <c r="H38" s="2620" t="s">
        <v>4032</v>
      </c>
      <c r="I38" s="3109" t="s">
        <v>5155</v>
      </c>
      <c r="J38" s="3107" t="s">
        <v>5156</v>
      </c>
      <c r="K38" s="2424"/>
      <c r="L38" s="2424"/>
    </row>
    <row r="39" spans="2:12">
      <c r="B39" s="2424"/>
      <c r="C39" s="2427" t="s">
        <v>1264</v>
      </c>
      <c r="D39" s="2395" t="s">
        <v>3963</v>
      </c>
      <c r="G39" s="2621" t="s">
        <v>4588</v>
      </c>
      <c r="H39" s="2620" t="s">
        <v>4034</v>
      </c>
      <c r="I39" s="3110" t="s">
        <v>55</v>
      </c>
      <c r="J39" s="3107" t="s">
        <v>5149</v>
      </c>
      <c r="K39" s="2424"/>
      <c r="L39" s="2424"/>
    </row>
    <row r="40" spans="2:12">
      <c r="B40" s="2424"/>
      <c r="C40" s="2427" t="s">
        <v>1265</v>
      </c>
      <c r="D40" s="2395" t="s">
        <v>3964</v>
      </c>
      <c r="G40" s="2621" t="s">
        <v>1300</v>
      </c>
      <c r="H40" s="2620" t="s">
        <v>4034</v>
      </c>
      <c r="I40" s="3110" t="s">
        <v>5252</v>
      </c>
      <c r="J40" s="3107" t="s">
        <v>5253</v>
      </c>
      <c r="K40" s="2424"/>
      <c r="L40" s="2424"/>
    </row>
    <row r="41" spans="2:12">
      <c r="B41" s="2424"/>
      <c r="C41" s="2427" t="s">
        <v>1206</v>
      </c>
      <c r="D41" s="2395" t="s">
        <v>3965</v>
      </c>
      <c r="G41" s="2891" t="s">
        <v>4540</v>
      </c>
      <c r="H41" s="2892" t="s">
        <v>4539</v>
      </c>
      <c r="I41" s="3110" t="s">
        <v>5157</v>
      </c>
      <c r="J41" s="3107" t="s">
        <v>4076</v>
      </c>
      <c r="K41" s="2424"/>
      <c r="L41" s="2424"/>
    </row>
    <row r="42" spans="2:12">
      <c r="B42" s="2424"/>
      <c r="C42" s="2427" t="s">
        <v>1266</v>
      </c>
      <c r="D42" s="2395" t="s">
        <v>3966</v>
      </c>
      <c r="G42" s="2891" t="s">
        <v>4541</v>
      </c>
      <c r="H42" s="2892" t="s">
        <v>4539</v>
      </c>
      <c r="I42" s="2533" t="s">
        <v>4655</v>
      </c>
      <c r="J42" s="2532" t="s">
        <v>1005</v>
      </c>
      <c r="K42" s="2424"/>
      <c r="L42" s="2424"/>
    </row>
    <row r="43" spans="2:12">
      <c r="B43" s="2424"/>
      <c r="C43" s="2427" t="s">
        <v>1267</v>
      </c>
      <c r="D43" s="2395" t="s">
        <v>3967</v>
      </c>
      <c r="G43" s="2891" t="s">
        <v>4578</v>
      </c>
      <c r="H43" s="2892" t="s">
        <v>4579</v>
      </c>
      <c r="I43" s="3113" t="s">
        <v>5181</v>
      </c>
      <c r="J43" s="3108" t="s">
        <v>5180</v>
      </c>
      <c r="K43" s="2424"/>
      <c r="L43" s="2424"/>
    </row>
    <row r="44" spans="2:12">
      <c r="B44" s="2424"/>
      <c r="C44" s="2427" t="s">
        <v>1208</v>
      </c>
      <c r="D44" s="2395" t="s">
        <v>3968</v>
      </c>
      <c r="G44" s="2619" t="s">
        <v>4311</v>
      </c>
      <c r="H44" s="2620" t="s">
        <v>4312</v>
      </c>
      <c r="I44" s="3113" t="s">
        <v>700</v>
      </c>
      <c r="J44" s="3108" t="s">
        <v>5420</v>
      </c>
      <c r="K44" s="2424"/>
      <c r="L44" s="2424"/>
    </row>
    <row r="45" spans="2:12">
      <c r="B45" s="2424"/>
      <c r="C45" s="2427" t="s">
        <v>2622</v>
      </c>
      <c r="D45" s="2395" t="s">
        <v>3969</v>
      </c>
      <c r="G45" s="2619" t="s">
        <v>5056</v>
      </c>
      <c r="H45" s="2620" t="s">
        <v>5057</v>
      </c>
      <c r="I45" s="3113" t="s">
        <v>5177</v>
      </c>
      <c r="J45" s="3108" t="s">
        <v>4069</v>
      </c>
      <c r="K45" s="2424"/>
      <c r="L45" s="2424"/>
    </row>
    <row r="46" spans="2:12">
      <c r="B46" s="2424"/>
      <c r="C46" s="2427" t="s">
        <v>1210</v>
      </c>
      <c r="D46" s="2395" t="s">
        <v>3970</v>
      </c>
      <c r="G46" s="2431" t="s">
        <v>1211</v>
      </c>
      <c r="H46" s="2511" t="s">
        <v>4035</v>
      </c>
      <c r="I46" s="2533" t="s">
        <v>5162</v>
      </c>
      <c r="J46" s="2532" t="s">
        <v>5163</v>
      </c>
      <c r="K46" s="2424"/>
      <c r="L46" s="2424"/>
    </row>
    <row r="47" spans="2:12">
      <c r="B47" s="2424"/>
      <c r="C47" s="2427" t="s">
        <v>1270</v>
      </c>
      <c r="D47" s="2395" t="s">
        <v>3971</v>
      </c>
      <c r="G47" s="2621" t="s">
        <v>4186</v>
      </c>
      <c r="H47" s="2620" t="s">
        <v>4185</v>
      </c>
      <c r="I47" s="3113" t="s">
        <v>4103</v>
      </c>
      <c r="J47" s="3108" t="s">
        <v>5175</v>
      </c>
      <c r="K47" s="2424"/>
      <c r="L47" s="2424"/>
    </row>
    <row r="48" spans="2:12">
      <c r="B48" s="2424"/>
      <c r="C48" s="2427" t="s">
        <v>1271</v>
      </c>
      <c r="D48" s="2395" t="s">
        <v>3972</v>
      </c>
      <c r="G48" s="2432" t="s">
        <v>1288</v>
      </c>
      <c r="H48" s="2511" t="s">
        <v>4036</v>
      </c>
      <c r="I48" s="3109" t="s">
        <v>5160</v>
      </c>
      <c r="J48" s="3107" t="s">
        <v>5161</v>
      </c>
      <c r="K48" s="2424"/>
      <c r="L48" s="2424"/>
    </row>
    <row r="49" spans="2:12">
      <c r="B49" s="2424"/>
      <c r="C49" s="2427" t="s">
        <v>1212</v>
      </c>
      <c r="D49" s="2395" t="s">
        <v>3973</v>
      </c>
      <c r="G49" s="2891" t="s">
        <v>4542</v>
      </c>
      <c r="H49" s="2892" t="s">
        <v>4036</v>
      </c>
      <c r="I49" s="2434" t="s">
        <v>1290</v>
      </c>
      <c r="J49" s="2512" t="s">
        <v>4023</v>
      </c>
      <c r="K49" s="2424"/>
      <c r="L49" s="2424"/>
    </row>
    <row r="50" spans="2:12">
      <c r="B50" s="2424"/>
      <c r="C50" s="2427" t="s">
        <v>1272</v>
      </c>
      <c r="D50" s="2395" t="s">
        <v>3974</v>
      </c>
      <c r="G50" s="2621" t="s">
        <v>4188</v>
      </c>
      <c r="H50" s="2620" t="s">
        <v>4187</v>
      </c>
      <c r="I50" s="2434" t="s">
        <v>1299</v>
      </c>
      <c r="J50" s="2512" t="s">
        <v>4078</v>
      </c>
      <c r="K50" s="2424"/>
      <c r="L50" s="2424"/>
    </row>
    <row r="51" spans="2:12">
      <c r="B51" s="2424"/>
      <c r="C51" s="2427" t="s">
        <v>1214</v>
      </c>
      <c r="D51" s="2395" t="s">
        <v>3975</v>
      </c>
      <c r="G51" s="2891" t="s">
        <v>4567</v>
      </c>
      <c r="H51" s="2892" t="s">
        <v>4568</v>
      </c>
      <c r="I51" s="3105" t="s">
        <v>3891</v>
      </c>
      <c r="J51" s="3106" t="s">
        <v>4062</v>
      </c>
      <c r="K51" s="2424"/>
      <c r="L51" s="2424"/>
    </row>
    <row r="52" spans="2:12">
      <c r="B52" s="2424"/>
      <c r="C52" s="2427" t="s">
        <v>1216</v>
      </c>
      <c r="D52" s="2395" t="s">
        <v>3976</v>
      </c>
      <c r="G52" s="2621" t="s">
        <v>1298</v>
      </c>
      <c r="H52" s="2620" t="s">
        <v>4037</v>
      </c>
      <c r="I52" s="3105" t="s">
        <v>3898</v>
      </c>
      <c r="J52" s="3106" t="s">
        <v>4067</v>
      </c>
      <c r="K52" s="2424"/>
      <c r="L52" s="2424"/>
    </row>
    <row r="53" spans="2:12">
      <c r="B53" s="2424"/>
      <c r="C53" s="2427" t="s">
        <v>1218</v>
      </c>
      <c r="D53" s="2395" t="s">
        <v>3977</v>
      </c>
      <c r="G53" s="2623" t="s">
        <v>1213</v>
      </c>
      <c r="H53" s="2620" t="s">
        <v>4038</v>
      </c>
      <c r="I53" s="3105" t="s">
        <v>3900</v>
      </c>
      <c r="J53" s="3106" t="s">
        <v>4068</v>
      </c>
      <c r="K53" s="2424"/>
      <c r="L53" s="2424"/>
    </row>
    <row r="54" spans="2:12">
      <c r="B54" s="2424"/>
      <c r="C54" s="2427" t="s">
        <v>1220</v>
      </c>
      <c r="D54" s="2395" t="s">
        <v>3978</v>
      </c>
      <c r="G54" s="2891" t="s">
        <v>4558</v>
      </c>
      <c r="H54" s="2892" t="s">
        <v>4572</v>
      </c>
      <c r="I54" s="3105" t="s">
        <v>3896</v>
      </c>
      <c r="J54" s="3106" t="s">
        <v>4066</v>
      </c>
      <c r="K54" s="2424"/>
      <c r="L54" s="2424"/>
    </row>
    <row r="55" spans="2:12">
      <c r="B55" s="2424"/>
      <c r="C55" s="2427" t="s">
        <v>1215</v>
      </c>
      <c r="D55" s="2395" t="s">
        <v>3979</v>
      </c>
      <c r="G55" s="2396" t="s">
        <v>1296</v>
      </c>
      <c r="H55" s="2511" t="s">
        <v>4039</v>
      </c>
      <c r="I55" s="2533" t="s">
        <v>1291</v>
      </c>
      <c r="J55" s="2532" t="s">
        <v>5150</v>
      </c>
      <c r="K55" s="2424"/>
      <c r="L55" s="2424"/>
    </row>
    <row r="56" spans="2:12">
      <c r="B56" s="2424"/>
      <c r="C56" s="2427" t="s">
        <v>1273</v>
      </c>
      <c r="D56" s="2395" t="s">
        <v>3980</v>
      </c>
      <c r="G56" s="2621" t="s">
        <v>4590</v>
      </c>
      <c r="H56" s="2620" t="s">
        <v>4589</v>
      </c>
      <c r="I56" s="2433" t="s">
        <v>701</v>
      </c>
      <c r="J56" s="2512" t="s">
        <v>4079</v>
      </c>
      <c r="K56" s="2424"/>
      <c r="L56" s="2424"/>
    </row>
    <row r="57" spans="2:12">
      <c r="B57" s="2423"/>
      <c r="C57" s="2396" t="s">
        <v>1750</v>
      </c>
      <c r="D57" s="2395" t="s">
        <v>3981</v>
      </c>
      <c r="G57" s="2621" t="s">
        <v>367</v>
      </c>
      <c r="H57" s="2620" t="s">
        <v>4040</v>
      </c>
      <c r="I57" s="2533" t="s">
        <v>5174</v>
      </c>
      <c r="J57" s="2532" t="s">
        <v>5249</v>
      </c>
      <c r="K57" s="2424"/>
      <c r="L57" s="2424"/>
    </row>
    <row r="58" spans="2:12" ht="15">
      <c r="B58" s="267"/>
      <c r="C58" s="2427" t="s">
        <v>1221</v>
      </c>
      <c r="D58" s="2395" t="s">
        <v>3982</v>
      </c>
      <c r="G58" s="2621" t="s">
        <v>1289</v>
      </c>
      <c r="H58" s="2620" t="s">
        <v>4041</v>
      </c>
      <c r="J58" s="1657"/>
    </row>
    <row r="59" spans="2:12">
      <c r="C59" s="2427" t="s">
        <v>1274</v>
      </c>
      <c r="D59" s="2395" t="s">
        <v>3983</v>
      </c>
      <c r="G59" s="2619" t="s">
        <v>1286</v>
      </c>
      <c r="H59" s="2620" t="s">
        <v>2196</v>
      </c>
      <c r="I59" s="1656"/>
      <c r="J59" s="3115"/>
    </row>
    <row r="60" spans="2:12">
      <c r="C60" s="2427" t="s">
        <v>1222</v>
      </c>
      <c r="D60" s="2395" t="s">
        <v>3984</v>
      </c>
      <c r="G60" s="2621" t="s">
        <v>4200</v>
      </c>
      <c r="H60" s="2620" t="s">
        <v>4199</v>
      </c>
      <c r="J60" s="1657"/>
    </row>
    <row r="61" spans="2:12">
      <c r="C61" s="2427" t="s">
        <v>1224</v>
      </c>
      <c r="D61" s="2395" t="s">
        <v>3985</v>
      </c>
      <c r="G61" s="2622" t="s">
        <v>1217</v>
      </c>
      <c r="H61" s="2620" t="s">
        <v>4042</v>
      </c>
      <c r="J61" s="1657"/>
    </row>
    <row r="62" spans="2:12">
      <c r="C62" s="2427" t="s">
        <v>1226</v>
      </c>
      <c r="D62" s="2395" t="s">
        <v>3986</v>
      </c>
      <c r="G62" s="2619" t="s">
        <v>4242</v>
      </c>
      <c r="H62" s="2620" t="s">
        <v>4241</v>
      </c>
      <c r="J62" s="1657"/>
    </row>
    <row r="63" spans="2:12">
      <c r="C63" s="2427" t="s">
        <v>1275</v>
      </c>
      <c r="D63" s="2395" t="s">
        <v>3987</v>
      </c>
      <c r="G63" s="2431" t="s">
        <v>1219</v>
      </c>
      <c r="H63" s="2511" t="s">
        <v>4043</v>
      </c>
      <c r="J63" s="1657"/>
    </row>
    <row r="64" spans="2:12">
      <c r="C64" s="2427" t="s">
        <v>1228</v>
      </c>
      <c r="D64" s="2395" t="s">
        <v>3988</v>
      </c>
      <c r="G64" s="2891" t="s">
        <v>4543</v>
      </c>
      <c r="H64" s="2892" t="s">
        <v>4544</v>
      </c>
      <c r="J64" s="1657"/>
    </row>
    <row r="65" spans="3:10">
      <c r="C65" s="2427" t="s">
        <v>1230</v>
      </c>
      <c r="D65" s="2395" t="s">
        <v>3989</v>
      </c>
      <c r="G65" s="2432" t="s">
        <v>4602</v>
      </c>
      <c r="H65" s="2511" t="s">
        <v>4601</v>
      </c>
      <c r="J65" s="1657"/>
    </row>
    <row r="66" spans="3:10">
      <c r="C66" s="2427" t="s">
        <v>1231</v>
      </c>
      <c r="D66" s="2395" t="s">
        <v>3990</v>
      </c>
      <c r="G66" s="2621" t="s">
        <v>3691</v>
      </c>
      <c r="H66" s="2620" t="s">
        <v>4169</v>
      </c>
      <c r="J66" s="1657"/>
    </row>
    <row r="67" spans="3:10">
      <c r="C67" s="2427" t="s">
        <v>1233</v>
      </c>
      <c r="D67" s="2395" t="s">
        <v>3991</v>
      </c>
      <c r="G67" s="2621" t="s">
        <v>4465</v>
      </c>
      <c r="H67" s="2620" t="s">
        <v>4466</v>
      </c>
      <c r="J67" s="1657"/>
    </row>
    <row r="68" spans="3:10">
      <c r="C68" s="2427" t="s">
        <v>1235</v>
      </c>
      <c r="D68" s="2395" t="s">
        <v>3506</v>
      </c>
      <c r="G68" s="2891" t="s">
        <v>4598</v>
      </c>
      <c r="H68" s="2892" t="s">
        <v>4597</v>
      </c>
      <c r="J68" s="1657"/>
    </row>
    <row r="69" spans="3:10">
      <c r="C69" s="2427" t="s">
        <v>1236</v>
      </c>
      <c r="D69" s="2395" t="s">
        <v>3992</v>
      </c>
      <c r="G69" s="2621" t="s">
        <v>4625</v>
      </c>
      <c r="H69" s="2620" t="s">
        <v>4627</v>
      </c>
    </row>
    <row r="70" spans="3:10">
      <c r="C70" s="2427" t="s">
        <v>1277</v>
      </c>
      <c r="D70" s="2395" t="s">
        <v>3993</v>
      </c>
      <c r="G70" s="2621" t="s">
        <v>4590</v>
      </c>
      <c r="H70" s="2620" t="s">
        <v>4628</v>
      </c>
    </row>
    <row r="71" spans="3:10">
      <c r="C71" s="2427" t="s">
        <v>1278</v>
      </c>
      <c r="D71" s="2395" t="s">
        <v>3994</v>
      </c>
      <c r="G71" s="2621" t="s">
        <v>4626</v>
      </c>
      <c r="H71" s="2620" t="s">
        <v>4629</v>
      </c>
    </row>
    <row r="72" spans="3:10">
      <c r="C72" s="2427" t="s">
        <v>1279</v>
      </c>
      <c r="D72" s="2395" t="s">
        <v>3995</v>
      </c>
      <c r="G72" s="2621" t="s">
        <v>4160</v>
      </c>
      <c r="H72" s="2620" t="s">
        <v>4159</v>
      </c>
    </row>
    <row r="73" spans="3:10">
      <c r="C73" s="2427" t="s">
        <v>1237</v>
      </c>
      <c r="D73" s="2395" t="s">
        <v>3996</v>
      </c>
      <c r="G73" s="2431" t="s">
        <v>1223</v>
      </c>
      <c r="H73" s="2511" t="s">
        <v>4044</v>
      </c>
    </row>
    <row r="74" spans="3:10">
      <c r="C74" s="2427" t="s">
        <v>1239</v>
      </c>
      <c r="D74" s="2395" t="s">
        <v>3997</v>
      </c>
      <c r="G74" s="2621" t="s">
        <v>4244</v>
      </c>
      <c r="H74" s="2620" t="s">
        <v>4243</v>
      </c>
    </row>
    <row r="75" spans="3:10">
      <c r="C75" s="2427" t="s">
        <v>1280</v>
      </c>
      <c r="D75" s="2395" t="s">
        <v>3998</v>
      </c>
      <c r="G75" s="2431" t="s">
        <v>1225</v>
      </c>
      <c r="H75" s="2511" t="s">
        <v>4045</v>
      </c>
    </row>
    <row r="76" spans="3:10">
      <c r="C76" s="2427" t="s">
        <v>1281</v>
      </c>
      <c r="D76" s="2395" t="s">
        <v>3999</v>
      </c>
      <c r="G76" s="2621" t="s">
        <v>4246</v>
      </c>
      <c r="H76" s="2620" t="s">
        <v>4245</v>
      </c>
    </row>
    <row r="77" spans="3:10">
      <c r="C77" s="2427" t="s">
        <v>1282</v>
      </c>
      <c r="D77" s="2395" t="s">
        <v>4000</v>
      </c>
      <c r="G77" s="2621" t="s">
        <v>4486</v>
      </c>
      <c r="H77" s="2620" t="s">
        <v>4487</v>
      </c>
    </row>
    <row r="78" spans="3:10">
      <c r="C78" s="2427" t="s">
        <v>1283</v>
      </c>
      <c r="D78" s="2395" t="s">
        <v>4001</v>
      </c>
      <c r="G78" s="2431" t="s">
        <v>1287</v>
      </c>
      <c r="H78" s="2511" t="s">
        <v>4046</v>
      </c>
    </row>
    <row r="79" spans="3:10">
      <c r="C79" s="2427" t="s">
        <v>1243</v>
      </c>
      <c r="D79" s="2395" t="s">
        <v>4002</v>
      </c>
      <c r="G79" s="2621" t="s">
        <v>4368</v>
      </c>
      <c r="H79" s="2620" t="s">
        <v>4367</v>
      </c>
    </row>
    <row r="80" spans="3:10">
      <c r="C80" s="2427" t="s">
        <v>1244</v>
      </c>
      <c r="D80" s="2395" t="s">
        <v>4003</v>
      </c>
      <c r="G80" s="2621" t="s">
        <v>4569</v>
      </c>
      <c r="H80" s="2620" t="s">
        <v>4015</v>
      </c>
    </row>
    <row r="81" spans="3:8">
      <c r="C81" s="2427" t="s">
        <v>1284</v>
      </c>
      <c r="D81" s="2395" t="s">
        <v>4004</v>
      </c>
      <c r="G81" s="2619" t="s">
        <v>4158</v>
      </c>
      <c r="H81" s="2620" t="s">
        <v>4157</v>
      </c>
    </row>
    <row r="82" spans="3:8">
      <c r="C82" s="2427" t="s">
        <v>5485</v>
      </c>
      <c r="D82" s="2395" t="s">
        <v>5486</v>
      </c>
      <c r="G82" s="2891" t="s">
        <v>4546</v>
      </c>
      <c r="H82" s="2892" t="s">
        <v>4545</v>
      </c>
    </row>
    <row r="83" spans="3:8">
      <c r="C83" s="2427" t="s">
        <v>5487</v>
      </c>
      <c r="D83" s="2395" t="s">
        <v>5488</v>
      </c>
      <c r="G83" s="2891" t="s">
        <v>4585</v>
      </c>
      <c r="H83" s="2892" t="s">
        <v>4545</v>
      </c>
    </row>
    <row r="84" spans="3:8">
      <c r="C84" s="2427" t="s">
        <v>1245</v>
      </c>
      <c r="D84" s="2395" t="s">
        <v>4005</v>
      </c>
      <c r="G84" s="2621" t="s">
        <v>4314</v>
      </c>
      <c r="H84" s="2620" t="s">
        <v>4313</v>
      </c>
    </row>
    <row r="85" spans="3:8">
      <c r="C85" s="2427" t="s">
        <v>1247</v>
      </c>
      <c r="D85" s="2395" t="s">
        <v>4006</v>
      </c>
      <c r="G85" s="2431" t="s">
        <v>1200</v>
      </c>
      <c r="H85" s="2511" t="s">
        <v>4047</v>
      </c>
    </row>
    <row r="86" spans="3:8">
      <c r="G86" s="2621" t="s">
        <v>4573</v>
      </c>
      <c r="H86" s="2620" t="s">
        <v>4574</v>
      </c>
    </row>
    <row r="87" spans="3:8">
      <c r="G87" s="2891" t="s">
        <v>4591</v>
      </c>
      <c r="H87" s="2892" t="s">
        <v>4592</v>
      </c>
    </row>
    <row r="88" spans="3:8">
      <c r="G88" s="2621" t="s">
        <v>1294</v>
      </c>
      <c r="H88" s="2620" t="s">
        <v>4048</v>
      </c>
    </row>
    <row r="89" spans="3:8">
      <c r="G89" s="2621" t="s">
        <v>4172</v>
      </c>
      <c r="H89" s="2620" t="s">
        <v>4173</v>
      </c>
    </row>
    <row r="90" spans="3:8">
      <c r="G90" s="2891" t="s">
        <v>4547</v>
      </c>
      <c r="H90" s="2892" t="s">
        <v>4548</v>
      </c>
    </row>
    <row r="91" spans="3:8">
      <c r="G91" s="2621" t="s">
        <v>4595</v>
      </c>
      <c r="H91" s="2620" t="s">
        <v>4049</v>
      </c>
    </row>
    <row r="92" spans="3:8">
      <c r="G92" s="2621" t="s">
        <v>4184</v>
      </c>
      <c r="H92" s="2620" t="s">
        <v>4050</v>
      </c>
    </row>
    <row r="93" spans="3:8">
      <c r="G93" s="2621" t="s">
        <v>4180</v>
      </c>
      <c r="H93" s="2620" t="s">
        <v>4181</v>
      </c>
    </row>
    <row r="94" spans="3:8">
      <c r="G94" s="2621" t="s">
        <v>4593</v>
      </c>
      <c r="H94" s="2620" t="s">
        <v>4594</v>
      </c>
    </row>
    <row r="95" spans="3:8">
      <c r="G95" s="2621" t="s">
        <v>4549</v>
      </c>
      <c r="H95" s="2620" t="s">
        <v>4247</v>
      </c>
    </row>
    <row r="96" spans="3:8">
      <c r="G96" s="2621" t="s">
        <v>4202</v>
      </c>
      <c r="H96" s="2620" t="s">
        <v>4201</v>
      </c>
    </row>
    <row r="97" spans="7:8">
      <c r="G97" s="2893" t="s">
        <v>4537</v>
      </c>
      <c r="H97" s="2892" t="s">
        <v>4564</v>
      </c>
    </row>
    <row r="98" spans="7:8">
      <c r="G98" s="2893" t="s">
        <v>4565</v>
      </c>
      <c r="H98" s="2892" t="s">
        <v>4566</v>
      </c>
    </row>
    <row r="99" spans="7:8">
      <c r="G99" s="2893" t="s">
        <v>4551</v>
      </c>
      <c r="H99" s="2892" t="s">
        <v>4550</v>
      </c>
    </row>
    <row r="100" spans="7:8">
      <c r="G100" s="2893" t="s">
        <v>4552</v>
      </c>
      <c r="H100" s="2892" t="s">
        <v>4550</v>
      </c>
    </row>
    <row r="101" spans="7:8">
      <c r="G101" s="2619" t="s">
        <v>4175</v>
      </c>
      <c r="H101" s="2620" t="s">
        <v>4174</v>
      </c>
    </row>
    <row r="102" spans="7:8">
      <c r="G102" s="2619" t="s">
        <v>4657</v>
      </c>
      <c r="H102" s="2620" t="s">
        <v>4656</v>
      </c>
    </row>
    <row r="103" spans="7:8">
      <c r="G103" s="2623" t="s">
        <v>368</v>
      </c>
      <c r="H103" s="2620" t="s">
        <v>4051</v>
      </c>
    </row>
    <row r="104" spans="7:8">
      <c r="G104" s="2621" t="s">
        <v>4248</v>
      </c>
      <c r="H104" s="2620" t="s">
        <v>4249</v>
      </c>
    </row>
    <row r="105" spans="7:8">
      <c r="G105" s="2432" t="s">
        <v>1295</v>
      </c>
      <c r="H105" s="2511" t="s">
        <v>4052</v>
      </c>
    </row>
    <row r="106" spans="7:8">
      <c r="G106" s="2622" t="s">
        <v>1240</v>
      </c>
      <c r="H106" s="2620" t="s">
        <v>4053</v>
      </c>
    </row>
    <row r="107" spans="7:8">
      <c r="G107" s="2427" t="s">
        <v>794</v>
      </c>
      <c r="H107" s="2511" t="s">
        <v>4054</v>
      </c>
    </row>
    <row r="108" spans="7:8">
      <c r="G108" s="2431" t="s">
        <v>1241</v>
      </c>
      <c r="H108" s="2511" t="s">
        <v>4055</v>
      </c>
    </row>
    <row r="109" spans="7:8">
      <c r="G109" s="2431" t="s">
        <v>1242</v>
      </c>
      <c r="H109" s="2511" t="s">
        <v>4056</v>
      </c>
    </row>
    <row r="110" spans="7:8">
      <c r="G110" s="2621" t="s">
        <v>4177</v>
      </c>
      <c r="H110" s="2620" t="s">
        <v>4176</v>
      </c>
    </row>
    <row r="111" spans="7:8">
      <c r="G111" s="2621" t="s">
        <v>4179</v>
      </c>
      <c r="H111" s="2620" t="s">
        <v>4178</v>
      </c>
    </row>
    <row r="112" spans="7:8">
      <c r="G112" s="2621" t="s">
        <v>4274</v>
      </c>
      <c r="H112" s="2620" t="s">
        <v>4275</v>
      </c>
    </row>
    <row r="113" spans="7:8">
      <c r="G113" s="2891" t="s">
        <v>4553</v>
      </c>
      <c r="H113" s="2892" t="s">
        <v>4554</v>
      </c>
    </row>
    <row r="114" spans="7:8">
      <c r="G114" s="2621" t="s">
        <v>4250</v>
      </c>
      <c r="H114" s="2620" t="s">
        <v>4077</v>
      </c>
    </row>
    <row r="115" spans="7:8">
      <c r="G115" s="2894" t="s">
        <v>4580</v>
      </c>
      <c r="H115" s="2895" t="s">
        <v>4581</v>
      </c>
    </row>
    <row r="116" spans="7:8">
      <c r="G116" s="2891" t="s">
        <v>4555</v>
      </c>
      <c r="H116" s="2892" t="s">
        <v>4017</v>
      </c>
    </row>
    <row r="117" spans="7:8">
      <c r="G117" s="2891" t="s">
        <v>4557</v>
      </c>
      <c r="H117" s="2892" t="s">
        <v>4556</v>
      </c>
    </row>
    <row r="118" spans="7:8">
      <c r="G118" s="2891" t="s">
        <v>4560</v>
      </c>
      <c r="H118" s="2892" t="s">
        <v>4019</v>
      </c>
    </row>
    <row r="119" spans="7:8">
      <c r="G119" s="2891" t="s">
        <v>4559</v>
      </c>
      <c r="H119" s="2892" t="s">
        <v>4019</v>
      </c>
    </row>
    <row r="120" spans="7:8">
      <c r="G120" s="2891" t="s">
        <v>4561</v>
      </c>
      <c r="H120" s="2892" t="s">
        <v>4019</v>
      </c>
    </row>
    <row r="121" spans="7:8">
      <c r="G121" s="2891" t="s">
        <v>4562</v>
      </c>
      <c r="H121" s="2892" t="s">
        <v>4019</v>
      </c>
    </row>
    <row r="122" spans="7:8">
      <c r="G122" s="2891" t="s">
        <v>4584</v>
      </c>
      <c r="H122" s="2892" t="s">
        <v>4019</v>
      </c>
    </row>
    <row r="123" spans="7:8">
      <c r="G123" s="2427" t="s">
        <v>1248</v>
      </c>
      <c r="H123" s="2511" t="s">
        <v>4020</v>
      </c>
    </row>
    <row r="124" spans="7:8">
      <c r="G124" s="2893" t="s">
        <v>4600</v>
      </c>
      <c r="H124" s="2892" t="s">
        <v>4599</v>
      </c>
    </row>
    <row r="125" spans="7:8">
      <c r="G125" s="2891" t="s">
        <v>4563</v>
      </c>
      <c r="H125" s="2892" t="s">
        <v>3995</v>
      </c>
    </row>
    <row r="126" spans="7:8">
      <c r="G126" s="2621" t="s">
        <v>4252</v>
      </c>
      <c r="H126" s="2620" t="s">
        <v>4251</v>
      </c>
    </row>
    <row r="127" spans="7:8">
      <c r="G127" s="2621" t="s">
        <v>5017</v>
      </c>
      <c r="H127" s="2620" t="s">
        <v>5016</v>
      </c>
    </row>
    <row r="128" spans="7:8">
      <c r="G128" s="2621" t="s">
        <v>4196</v>
      </c>
      <c r="H128" s="2620" t="s">
        <v>4195</v>
      </c>
    </row>
    <row r="129" spans="7:8">
      <c r="G129" s="2891" t="s">
        <v>4587</v>
      </c>
      <c r="H129" s="2892" t="s">
        <v>4195</v>
      </c>
    </row>
    <row r="130" spans="7:8">
      <c r="G130" s="2621" t="s">
        <v>4366</v>
      </c>
      <c r="H130" s="2620" t="s">
        <v>4365</v>
      </c>
    </row>
    <row r="131" spans="7:8">
      <c r="G131" s="2431" t="s">
        <v>1232</v>
      </c>
      <c r="H131" s="2511" t="s">
        <v>4057</v>
      </c>
    </row>
    <row r="132" spans="7:8">
      <c r="G132" s="2621" t="s">
        <v>4570</v>
      </c>
      <c r="H132" s="2620" t="s">
        <v>4571</v>
      </c>
    </row>
    <row r="133" spans="7:8">
      <c r="G133" s="2621" t="s">
        <v>4183</v>
      </c>
      <c r="H133" s="2620" t="s">
        <v>4182</v>
      </c>
    </row>
    <row r="134" spans="7:8">
      <c r="G134" s="2621" t="s">
        <v>4198</v>
      </c>
      <c r="H134" s="2620" t="s">
        <v>4197</v>
      </c>
    </row>
    <row r="135" spans="7:8">
      <c r="G135" s="2619" t="s">
        <v>4652</v>
      </c>
      <c r="H135" s="2620" t="s">
        <v>4078</v>
      </c>
    </row>
    <row r="136" spans="7:8">
      <c r="G136" s="2431" t="s">
        <v>1249</v>
      </c>
      <c r="H136" s="2511" t="s">
        <v>4024</v>
      </c>
    </row>
    <row r="137" spans="7:8">
      <c r="G137" s="2621" t="s">
        <v>4586</v>
      </c>
      <c r="H137" s="2620" t="s">
        <v>4058</v>
      </c>
    </row>
    <row r="138" spans="7:8">
      <c r="G138" s="2638" t="s">
        <v>74</v>
      </c>
      <c r="H138" s="2637" t="s">
        <v>4059</v>
      </c>
    </row>
    <row r="139" spans="7:8">
      <c r="G139" s="2621" t="s">
        <v>5141</v>
      </c>
      <c r="H139" s="2620" t="s">
        <v>5142</v>
      </c>
    </row>
    <row r="140" spans="7:8">
      <c r="G140" s="2623" t="s">
        <v>1044</v>
      </c>
      <c r="H140" s="2620" t="s">
        <v>4060</v>
      </c>
    </row>
    <row r="143" spans="7:8">
      <c r="G143" s="354" t="s">
        <v>4206</v>
      </c>
      <c r="H143" s="2624"/>
    </row>
  </sheetData>
  <sortState xmlns:xlrd2="http://schemas.microsoft.com/office/spreadsheetml/2017/richdata2" ref="I9:J56">
    <sortCondition ref="J9:J56"/>
  </sortState>
  <mergeCells count="7">
    <mergeCell ref="A1:L1"/>
    <mergeCell ref="A5:C5"/>
    <mergeCell ref="A7:B7"/>
    <mergeCell ref="C7:D7"/>
    <mergeCell ref="E7:F7"/>
    <mergeCell ref="G7:J7"/>
    <mergeCell ref="K7:L7"/>
  </mergeCells>
  <pageMargins left="0.7" right="0.7" top="0.75" bottom="0.75" header="0.3" footer="0.3"/>
  <pageSetup orientation="portrait" r:id="rId1"/>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1"/>
  <dimension ref="A1:XFD162"/>
  <sheetViews>
    <sheetView showGridLines="0" topLeftCell="A127" workbookViewId="0">
      <selection activeCell="D146" sqref="D146"/>
    </sheetView>
  </sheetViews>
  <sheetFormatPr defaultRowHeight="12.75"/>
  <cols>
    <col min="1" max="1" width="22" customWidth="1"/>
    <col min="2" max="2" width="21.5703125" customWidth="1"/>
    <col min="3" max="3" width="18.28515625" customWidth="1"/>
    <col min="4" max="4" width="31" style="56" customWidth="1"/>
    <col min="5" max="5" width="25.5703125" customWidth="1"/>
    <col min="6" max="6" width="16.28515625" customWidth="1"/>
    <col min="7" max="7" width="21.28515625" customWidth="1"/>
    <col min="8" max="8" width="21.28515625" style="931" customWidth="1"/>
    <col min="9" max="9" width="19.28515625" customWidth="1"/>
    <col min="10" max="10" width="19" customWidth="1"/>
  </cols>
  <sheetData>
    <row r="1" spans="1:13" s="433" customFormat="1" ht="34.5" thickBot="1">
      <c r="A1" s="4335" t="s">
        <v>1744</v>
      </c>
      <c r="B1" s="4336"/>
      <c r="C1" s="4336"/>
      <c r="D1" s="4336"/>
      <c r="E1" s="4336"/>
      <c r="F1" s="4336"/>
      <c r="G1" s="4336"/>
      <c r="H1" s="4336"/>
      <c r="I1" s="4336"/>
      <c r="J1" s="4336"/>
      <c r="K1" s="4336"/>
      <c r="L1" s="4336"/>
      <c r="M1" s="4337"/>
    </row>
    <row r="2" spans="1:13" s="397" customFormat="1" ht="15.75" thickBot="1">
      <c r="A2" s="795" t="s">
        <v>1743</v>
      </c>
      <c r="B2" s="796" t="s">
        <v>1687</v>
      </c>
      <c r="C2" s="796" t="s">
        <v>1641</v>
      </c>
      <c r="D2" s="797" t="s">
        <v>1640</v>
      </c>
      <c r="E2" s="797" t="s">
        <v>1931</v>
      </c>
      <c r="F2" s="798"/>
      <c r="G2" s="799"/>
      <c r="H2" s="1110"/>
      <c r="I2" s="433"/>
    </row>
    <row r="3" spans="1:13" ht="30" customHeight="1">
      <c r="A3" s="490" t="s">
        <v>1930</v>
      </c>
      <c r="B3" s="491" t="s">
        <v>1642</v>
      </c>
      <c r="C3" s="492" t="s">
        <v>1644</v>
      </c>
      <c r="D3" s="708" t="s">
        <v>1643</v>
      </c>
      <c r="E3" s="492" t="s">
        <v>2237</v>
      </c>
      <c r="F3" s="591" t="s">
        <v>2238</v>
      </c>
      <c r="G3" s="4340" t="s">
        <v>1741</v>
      </c>
      <c r="H3" s="1111"/>
      <c r="I3" s="433"/>
      <c r="J3" s="354" t="s">
        <v>2219</v>
      </c>
      <c r="K3" s="433"/>
      <c r="L3" s="433"/>
    </row>
    <row r="4" spans="1:13" ht="30">
      <c r="A4" s="493" t="s">
        <v>549</v>
      </c>
      <c r="B4" s="494" t="s">
        <v>1645</v>
      </c>
      <c r="C4" s="495" t="s">
        <v>1647</v>
      </c>
      <c r="D4" s="709" t="s">
        <v>1646</v>
      </c>
      <c r="E4" s="495" t="s">
        <v>2244</v>
      </c>
      <c r="F4" s="592" t="s">
        <v>723</v>
      </c>
      <c r="G4" s="4341"/>
      <c r="H4" s="1111"/>
      <c r="I4" s="433"/>
      <c r="J4" s="516" t="s">
        <v>1762</v>
      </c>
      <c r="K4" s="433"/>
      <c r="L4" s="433"/>
    </row>
    <row r="5" spans="1:13" ht="30">
      <c r="A5" s="493" t="s">
        <v>1925</v>
      </c>
      <c r="B5" s="494" t="s">
        <v>1648</v>
      </c>
      <c r="C5" s="495" t="s">
        <v>1650</v>
      </c>
      <c r="D5" s="709" t="s">
        <v>1649</v>
      </c>
      <c r="E5" s="495" t="s">
        <v>2244</v>
      </c>
      <c r="F5" s="592" t="s">
        <v>2238</v>
      </c>
      <c r="G5" s="4341"/>
      <c r="H5" s="1111"/>
      <c r="I5" s="433"/>
      <c r="J5" s="354"/>
      <c r="K5" s="433"/>
      <c r="L5" s="433"/>
    </row>
    <row r="6" spans="1:13" ht="30">
      <c r="A6" s="493" t="s">
        <v>1926</v>
      </c>
      <c r="B6" s="494" t="s">
        <v>1651</v>
      </c>
      <c r="C6" s="495" t="s">
        <v>1653</v>
      </c>
      <c r="D6" s="709" t="s">
        <v>1652</v>
      </c>
      <c r="E6" s="495" t="s">
        <v>2245</v>
      </c>
      <c r="F6" s="592" t="s">
        <v>723</v>
      </c>
      <c r="G6" s="4341"/>
      <c r="H6" s="1111"/>
      <c r="I6" s="433"/>
      <c r="J6" s="354"/>
      <c r="K6" s="433"/>
      <c r="L6" s="433"/>
    </row>
    <row r="7" spans="1:13" ht="30">
      <c r="A7" s="493" t="s">
        <v>542</v>
      </c>
      <c r="B7" s="494" t="s">
        <v>1654</v>
      </c>
      <c r="C7" s="495" t="s">
        <v>1656</v>
      </c>
      <c r="D7" s="709" t="s">
        <v>1655</v>
      </c>
      <c r="E7" s="495" t="s">
        <v>2245</v>
      </c>
      <c r="F7" s="592" t="s">
        <v>2238</v>
      </c>
      <c r="G7" s="4341"/>
      <c r="H7" s="1111"/>
      <c r="I7" s="433"/>
      <c r="J7" s="433"/>
      <c r="K7" s="433"/>
      <c r="L7" s="433"/>
    </row>
    <row r="8" spans="1:13" ht="30">
      <c r="A8" s="493" t="s">
        <v>543</v>
      </c>
      <c r="B8" s="494" t="s">
        <v>1657</v>
      </c>
      <c r="C8" s="495" t="s">
        <v>1659</v>
      </c>
      <c r="D8" s="709" t="s">
        <v>1658</v>
      </c>
      <c r="E8" s="495" t="s">
        <v>2245</v>
      </c>
      <c r="F8" s="592" t="s">
        <v>2238</v>
      </c>
      <c r="G8" s="4341"/>
      <c r="H8" s="1111"/>
      <c r="I8" s="433"/>
      <c r="J8" s="433"/>
      <c r="K8" s="433"/>
      <c r="L8" s="433"/>
    </row>
    <row r="9" spans="1:13" ht="30">
      <c r="A9" s="493" t="s">
        <v>544</v>
      </c>
      <c r="B9" s="494" t="s">
        <v>1660</v>
      </c>
      <c r="C9" s="495" t="s">
        <v>1662</v>
      </c>
      <c r="D9" s="709" t="s">
        <v>1661</v>
      </c>
      <c r="E9" s="495" t="s">
        <v>2242</v>
      </c>
      <c r="F9" s="592" t="s">
        <v>2238</v>
      </c>
      <c r="G9" s="4341"/>
      <c r="H9" s="1111"/>
      <c r="I9" s="433"/>
      <c r="J9" s="433"/>
      <c r="K9" s="433"/>
      <c r="L9" s="433"/>
    </row>
    <row r="10" spans="1:13" ht="30">
      <c r="A10" s="493" t="s">
        <v>545</v>
      </c>
      <c r="B10" s="494" t="s">
        <v>1663</v>
      </c>
      <c r="C10" s="495" t="s">
        <v>1665</v>
      </c>
      <c r="D10" s="709" t="s">
        <v>1664</v>
      </c>
      <c r="E10" s="495" t="s">
        <v>2237</v>
      </c>
      <c r="F10" s="592" t="s">
        <v>2238</v>
      </c>
      <c r="G10" s="4341"/>
      <c r="H10" s="1111"/>
      <c r="I10" s="433"/>
      <c r="J10" s="433"/>
      <c r="K10" s="433"/>
      <c r="L10" s="433"/>
    </row>
    <row r="11" spans="1:13" ht="30">
      <c r="A11" s="496" t="s">
        <v>546</v>
      </c>
      <c r="B11" s="494" t="s">
        <v>1666</v>
      </c>
      <c r="C11" s="495" t="s">
        <v>1668</v>
      </c>
      <c r="D11" s="709" t="s">
        <v>1667</v>
      </c>
      <c r="E11" s="495" t="s">
        <v>2244</v>
      </c>
      <c r="F11" s="592" t="s">
        <v>723</v>
      </c>
      <c r="G11" s="4341"/>
      <c r="H11" s="1111"/>
    </row>
    <row r="12" spans="1:13" ht="30">
      <c r="A12" s="493" t="s">
        <v>547</v>
      </c>
      <c r="B12" s="494" t="s">
        <v>1669</v>
      </c>
      <c r="C12" s="495" t="s">
        <v>1671</v>
      </c>
      <c r="D12" s="709" t="s">
        <v>1670</v>
      </c>
      <c r="E12" s="495" t="s">
        <v>2244</v>
      </c>
      <c r="F12" s="592" t="s">
        <v>723</v>
      </c>
      <c r="G12" s="4341"/>
      <c r="H12" s="1111"/>
    </row>
    <row r="13" spans="1:13" ht="30">
      <c r="A13" s="493" t="s">
        <v>548</v>
      </c>
      <c r="B13" s="494" t="s">
        <v>1672</v>
      </c>
      <c r="C13" s="495" t="s">
        <v>1674</v>
      </c>
      <c r="D13" s="709" t="s">
        <v>1673</v>
      </c>
      <c r="E13" s="495" t="s">
        <v>2242</v>
      </c>
      <c r="F13" s="592" t="s">
        <v>723</v>
      </c>
      <c r="G13" s="4341"/>
      <c r="H13" s="1111"/>
    </row>
    <row r="14" spans="1:13" ht="30">
      <c r="A14" s="493" t="s">
        <v>554</v>
      </c>
      <c r="B14" s="494" t="s">
        <v>1675</v>
      </c>
      <c r="C14" s="495" t="s">
        <v>1677</v>
      </c>
      <c r="D14" s="709" t="s">
        <v>1676</v>
      </c>
      <c r="E14" s="495" t="s">
        <v>2244</v>
      </c>
      <c r="F14" s="592" t="s">
        <v>723</v>
      </c>
      <c r="G14" s="4341"/>
      <c r="H14" s="1111"/>
    </row>
    <row r="15" spans="1:13" ht="30">
      <c r="A15" s="493" t="s">
        <v>1927</v>
      </c>
      <c r="B15" s="494" t="s">
        <v>1678</v>
      </c>
      <c r="C15" s="495" t="s">
        <v>1680</v>
      </c>
      <c r="D15" s="709" t="s">
        <v>1679</v>
      </c>
      <c r="E15" s="495" t="s">
        <v>2242</v>
      </c>
      <c r="F15" s="592" t="s">
        <v>2238</v>
      </c>
      <c r="G15" s="4341"/>
      <c r="H15" s="1111"/>
      <c r="J15" s="501"/>
    </row>
    <row r="16" spans="1:13" ht="30">
      <c r="A16" s="493" t="s">
        <v>2243</v>
      </c>
      <c r="B16" s="494" t="s">
        <v>2239</v>
      </c>
      <c r="C16" s="495" t="s">
        <v>2240</v>
      </c>
      <c r="D16" s="709" t="s">
        <v>2241</v>
      </c>
      <c r="E16" s="495" t="s">
        <v>2242</v>
      </c>
      <c r="F16" s="592" t="s">
        <v>2238</v>
      </c>
      <c r="G16" s="4341"/>
      <c r="H16" s="1111"/>
    </row>
    <row r="17" spans="1:13" ht="30">
      <c r="A17" s="493" t="s">
        <v>1928</v>
      </c>
      <c r="B17" s="494" t="s">
        <v>1681</v>
      </c>
      <c r="C17" s="495" t="s">
        <v>1683</v>
      </c>
      <c r="D17" s="709" t="s">
        <v>1682</v>
      </c>
      <c r="E17" s="495" t="s">
        <v>2244</v>
      </c>
      <c r="F17" s="592" t="s">
        <v>723</v>
      </c>
      <c r="G17" s="4341"/>
      <c r="H17" s="1111"/>
    </row>
    <row r="18" spans="1:13" ht="30.75" thickBot="1">
      <c r="A18" s="497" t="s">
        <v>1929</v>
      </c>
      <c r="B18" s="498" t="s">
        <v>1684</v>
      </c>
      <c r="C18" s="499" t="s">
        <v>1686</v>
      </c>
      <c r="D18" s="710" t="s">
        <v>1685</v>
      </c>
      <c r="E18" s="499" t="s">
        <v>2244</v>
      </c>
      <c r="F18" s="593" t="s">
        <v>723</v>
      </c>
      <c r="G18" s="4342"/>
      <c r="H18" s="1111"/>
    </row>
    <row r="19" spans="1:13">
      <c r="A19" s="481" t="s">
        <v>1727</v>
      </c>
      <c r="B19" s="500" t="s">
        <v>1734</v>
      </c>
      <c r="C19" s="694" t="s">
        <v>1734</v>
      </c>
      <c r="D19" s="4248" t="str">
        <f>$A19&amp;"  "&amp;$A20</f>
        <v>twauslihsapp05  twauslihsapp06</v>
      </c>
      <c r="E19" s="4293" t="str">
        <f>$B19&amp;"  "&amp;$B20</f>
        <v>10.134.68.65  10.134.68.70</v>
      </c>
      <c r="F19" s="4274" t="s">
        <v>76</v>
      </c>
      <c r="G19" s="4338" t="s">
        <v>1935</v>
      </c>
      <c r="H19" s="4274" t="s">
        <v>3042</v>
      </c>
      <c r="I19" s="4274" t="s">
        <v>3051</v>
      </c>
    </row>
    <row r="20" spans="1:13" ht="13.5" thickBot="1">
      <c r="A20" s="301" t="s">
        <v>1728</v>
      </c>
      <c r="B20" s="69" t="s">
        <v>1733</v>
      </c>
      <c r="C20" s="692" t="s">
        <v>1733</v>
      </c>
      <c r="D20" s="4343"/>
      <c r="E20" s="4346"/>
      <c r="F20" s="4307"/>
      <c r="G20" s="4339"/>
      <c r="H20" s="4307"/>
      <c r="I20" s="4307"/>
    </row>
    <row r="21" spans="1:13">
      <c r="A21" s="483" t="s">
        <v>1729</v>
      </c>
      <c r="B21" s="443" t="s">
        <v>1735</v>
      </c>
      <c r="C21" s="696" t="s">
        <v>1735</v>
      </c>
      <c r="D21" s="4246" t="str">
        <f>$A21&amp;"  "&amp;$A22</f>
        <v>twauslihsapp15  twauslihsapp16</v>
      </c>
      <c r="E21" s="4297" t="str">
        <f>$B21&amp;"  "&amp;$B22</f>
        <v>10.134.100.61  10.134.100.62</v>
      </c>
      <c r="F21" s="4345" t="s">
        <v>75</v>
      </c>
      <c r="G21" s="4339"/>
      <c r="H21" s="4345" t="s">
        <v>3042</v>
      </c>
      <c r="I21" s="4345" t="s">
        <v>3051</v>
      </c>
    </row>
    <row r="22" spans="1:13" s="433" customFormat="1" ht="12.75" customHeight="1" thickBot="1">
      <c r="A22" s="486" t="s">
        <v>1730</v>
      </c>
      <c r="B22" s="487" t="s">
        <v>1736</v>
      </c>
      <c r="C22" s="693" t="s">
        <v>1736</v>
      </c>
      <c r="D22" s="4344"/>
      <c r="E22" s="4347"/>
      <c r="F22" s="4309"/>
      <c r="G22" s="4339"/>
      <c r="H22" s="4309"/>
      <c r="I22" s="4309"/>
    </row>
    <row r="23" spans="1:13" s="433" customFormat="1">
      <c r="A23" s="481" t="s">
        <v>1895</v>
      </c>
      <c r="B23" s="482" t="s">
        <v>1887</v>
      </c>
      <c r="C23" s="703" t="s">
        <v>1887</v>
      </c>
      <c r="D23" s="4248" t="str">
        <f>$A23&amp;"  "&amp;$A24</f>
        <v>twauslihsapp07  twauslihsapp08</v>
      </c>
      <c r="E23" s="4293" t="str">
        <f>$B23&amp;"  "&amp;$B24</f>
        <v>10.134.68.71  10.134.68.72</v>
      </c>
      <c r="F23" s="4266" t="s">
        <v>76</v>
      </c>
      <c r="G23" s="4310" t="s">
        <v>3803</v>
      </c>
      <c r="H23" s="4240" t="s">
        <v>3043</v>
      </c>
      <c r="I23" s="4240" t="s">
        <v>3051</v>
      </c>
    </row>
    <row r="24" spans="1:13" s="433" customFormat="1" ht="13.5" thickBot="1">
      <c r="A24" s="587" t="s">
        <v>1896</v>
      </c>
      <c r="B24" s="588" t="s">
        <v>1888</v>
      </c>
      <c r="C24" s="706" t="s">
        <v>1888</v>
      </c>
      <c r="D24" s="4343"/>
      <c r="E24" s="4346"/>
      <c r="F24" s="4316"/>
      <c r="G24" s="4311"/>
      <c r="H24" s="4241"/>
      <c r="I24" s="4241"/>
    </row>
    <row r="25" spans="1:13" s="433" customFormat="1">
      <c r="A25" s="3266"/>
      <c r="B25" s="482"/>
      <c r="C25" s="703"/>
      <c r="D25" s="4248" t="str">
        <f>$A25&amp;"  "&amp;$A26</f>
        <v xml:space="preserve">  </v>
      </c>
      <c r="E25" s="4293" t="str">
        <f>$B25&amp;"  "&amp;$B26</f>
        <v xml:space="preserve">  </v>
      </c>
      <c r="F25" s="4266"/>
      <c r="G25" s="4310"/>
      <c r="H25" s="4348"/>
      <c r="I25" s="4348"/>
    </row>
    <row r="26" spans="1:13" s="433" customFormat="1" ht="13.5" thickBot="1">
      <c r="A26" s="3267"/>
      <c r="B26" s="588"/>
      <c r="C26" s="706"/>
      <c r="D26" s="4343"/>
      <c r="E26" s="4346"/>
      <c r="F26" s="4316"/>
      <c r="G26" s="4312"/>
      <c r="H26" s="4349"/>
      <c r="I26" s="4349"/>
    </row>
    <row r="27" spans="1:13" s="433" customFormat="1">
      <c r="A27" s="595" t="s">
        <v>1897</v>
      </c>
      <c r="B27" s="596" t="s">
        <v>1889</v>
      </c>
      <c r="C27" s="695" t="s">
        <v>1889</v>
      </c>
      <c r="D27" s="4246" t="str">
        <f>$A27&amp;"  "&amp;$A28&amp;" "&amp;A29&amp;" "&amp;A30</f>
        <v>twauslihsapp11  twauslihsapp12 twauslihsapp13 twauslihsapp14</v>
      </c>
      <c r="E27" s="4297" t="str">
        <f>$B27&amp;"  "&amp;$B28&amp;" "&amp;B29&amp;" "&amp;B30</f>
        <v>10.134.100.57  10.134.100.58 10.134.100.59 10.134.100.60</v>
      </c>
      <c r="F27" s="4276" t="s">
        <v>75</v>
      </c>
      <c r="G27" s="4317" t="s">
        <v>3044</v>
      </c>
      <c r="H27" s="4229" t="s">
        <v>3043</v>
      </c>
      <c r="I27" s="4229" t="s">
        <v>3051</v>
      </c>
    </row>
    <row r="28" spans="1:13">
      <c r="A28" s="597" t="s">
        <v>1898</v>
      </c>
      <c r="B28" s="443" t="s">
        <v>1890</v>
      </c>
      <c r="C28" s="696" t="s">
        <v>1890</v>
      </c>
      <c r="D28" s="4306"/>
      <c r="E28" s="4298"/>
      <c r="F28" s="4313"/>
      <c r="G28" s="4318"/>
      <c r="H28" s="4230"/>
      <c r="I28" s="4230"/>
    </row>
    <row r="29" spans="1:13">
      <c r="A29" s="597" t="s">
        <v>1899</v>
      </c>
      <c r="B29" s="488" t="s">
        <v>1891</v>
      </c>
      <c r="C29" s="697" t="s">
        <v>1891</v>
      </c>
      <c r="D29" s="4306" t="str">
        <f>$A29&amp;"  "&amp;$A30</f>
        <v>twauslihsapp13  twauslihsapp14</v>
      </c>
      <c r="E29" s="4298" t="str">
        <f>$A29&amp;"  "&amp;$A30</f>
        <v>twauslihsapp13  twauslihsapp14</v>
      </c>
      <c r="F29" s="4313"/>
      <c r="G29" s="4318"/>
      <c r="H29" s="4230"/>
      <c r="I29" s="4230"/>
    </row>
    <row r="30" spans="1:13" ht="15.75" thickBot="1">
      <c r="A30" s="598" t="s">
        <v>1900</v>
      </c>
      <c r="B30" s="854" t="s">
        <v>1892</v>
      </c>
      <c r="C30" s="698" t="s">
        <v>1892</v>
      </c>
      <c r="D30" s="4247"/>
      <c r="E30" s="4299"/>
      <c r="F30" s="4277"/>
      <c r="G30" s="4319"/>
      <c r="H30" s="4231"/>
      <c r="I30" s="4231"/>
      <c r="J30" s="586"/>
      <c r="K30" s="586"/>
      <c r="L30" s="586"/>
      <c r="M30" s="586"/>
    </row>
    <row r="31" spans="1:13" s="931" customFormat="1" ht="15">
      <c r="A31" s="1112" t="s">
        <v>1729</v>
      </c>
      <c r="B31" s="488" t="s">
        <v>1735</v>
      </c>
      <c r="C31" s="488" t="s">
        <v>1735</v>
      </c>
      <c r="D31" s="4350" t="s">
        <v>3046</v>
      </c>
      <c r="E31" s="4300" t="s">
        <v>3047</v>
      </c>
      <c r="F31" s="4201" t="s">
        <v>75</v>
      </c>
      <c r="G31" s="4229" t="s">
        <v>3050</v>
      </c>
      <c r="H31" s="4229" t="s">
        <v>3043</v>
      </c>
      <c r="I31" s="4229" t="s">
        <v>3051</v>
      </c>
      <c r="J31" s="586"/>
      <c r="K31" s="586"/>
      <c r="L31" s="586"/>
      <c r="M31" s="586"/>
    </row>
    <row r="32" spans="1:13" s="931" customFormat="1" ht="15.75" thickBot="1">
      <c r="A32" s="1113" t="s">
        <v>1730</v>
      </c>
      <c r="B32" s="488" t="s">
        <v>1736</v>
      </c>
      <c r="C32" s="488" t="s">
        <v>1736</v>
      </c>
      <c r="D32" s="4351"/>
      <c r="E32" s="4301"/>
      <c r="F32" s="4203"/>
      <c r="G32" s="4203"/>
      <c r="H32" s="4231"/>
      <c r="I32" s="4231"/>
      <c r="J32" s="586"/>
      <c r="K32" s="586"/>
      <c r="L32" s="586"/>
      <c r="M32" s="586"/>
    </row>
    <row r="33" spans="1:13" ht="17.25" customHeight="1">
      <c r="A33" s="3268" t="s">
        <v>1901</v>
      </c>
      <c r="B33" s="594" t="s">
        <v>1893</v>
      </c>
      <c r="C33" s="695" t="s">
        <v>1893</v>
      </c>
      <c r="D33" s="4246" t="str">
        <f t="shared" ref="D33:D55" si="0">$A33&amp;"  "&amp;$A34</f>
        <v>twauslihsapp17  twauslihsapp18</v>
      </c>
      <c r="E33" s="4297" t="str">
        <f t="shared" ref="E33:E55" si="1">$B33&amp;"  "&amp;$B34</f>
        <v>10.134.100.63  10.134.100.64</v>
      </c>
      <c r="F33" s="4308" t="s">
        <v>75</v>
      </c>
      <c r="G33" s="4314" t="s">
        <v>3045</v>
      </c>
      <c r="H33" s="4229" t="s">
        <v>3043</v>
      </c>
      <c r="I33" s="4229" t="s">
        <v>3051</v>
      </c>
      <c r="J33" s="586"/>
      <c r="K33" s="586"/>
      <c r="L33" s="586"/>
      <c r="M33" s="586"/>
    </row>
    <row r="34" spans="1:13" ht="22.5" customHeight="1" thickBot="1">
      <c r="A34" s="3269" t="s">
        <v>1902</v>
      </c>
      <c r="B34" s="487" t="s">
        <v>1894</v>
      </c>
      <c r="C34" s="693" t="s">
        <v>1894</v>
      </c>
      <c r="D34" s="4247"/>
      <c r="E34" s="4299"/>
      <c r="F34" s="4309"/>
      <c r="G34" s="4315"/>
      <c r="H34" s="4231"/>
      <c r="I34" s="4231"/>
      <c r="J34" s="433"/>
      <c r="K34" s="433"/>
      <c r="L34" s="433"/>
      <c r="M34" s="433"/>
    </row>
    <row r="35" spans="1:13">
      <c r="A35" s="481" t="s">
        <v>1933</v>
      </c>
      <c r="B35" s="500" t="s">
        <v>2426</v>
      </c>
      <c r="C35" s="500" t="s">
        <v>2426</v>
      </c>
      <c r="D35" s="4248" t="str">
        <f t="shared" si="0"/>
        <v>twauslihsapp19  twauslihsapp20</v>
      </c>
      <c r="E35" s="4293" t="str">
        <f t="shared" si="1"/>
        <v>10.134.68.56  10.134.68.57</v>
      </c>
      <c r="F35" s="4266" t="s">
        <v>76</v>
      </c>
      <c r="G35" s="4268" t="s">
        <v>3050</v>
      </c>
      <c r="H35" s="4232" t="s">
        <v>3042</v>
      </c>
      <c r="I35" s="4232" t="s">
        <v>3051</v>
      </c>
      <c r="J35" s="433"/>
      <c r="K35" s="433"/>
      <c r="L35" s="433"/>
      <c r="M35" s="433"/>
    </row>
    <row r="36" spans="1:13" ht="15.75" thickBot="1">
      <c r="A36" s="589" t="s">
        <v>1934</v>
      </c>
      <c r="B36" s="468" t="s">
        <v>2427</v>
      </c>
      <c r="C36" s="468" t="s">
        <v>2427</v>
      </c>
      <c r="D36" s="4249"/>
      <c r="E36" s="4294"/>
      <c r="F36" s="4267"/>
      <c r="G36" s="4269"/>
      <c r="H36" s="4233"/>
      <c r="I36" s="4233"/>
      <c r="J36" s="586"/>
      <c r="K36" s="586"/>
      <c r="L36" s="586"/>
      <c r="M36" s="586"/>
    </row>
    <row r="37" spans="1:13" s="684" customFormat="1" ht="15">
      <c r="A37" s="481" t="s">
        <v>2402</v>
      </c>
      <c r="B37" s="500" t="s">
        <v>2428</v>
      </c>
      <c r="C37" s="500" t="s">
        <v>2428</v>
      </c>
      <c r="D37" s="4257" t="str">
        <f t="shared" si="0"/>
        <v>twauslihsapp21  twauslihsapp22</v>
      </c>
      <c r="E37" s="4250" t="str">
        <f t="shared" si="1"/>
        <v>10.134.68.75  10.134.68.76</v>
      </c>
      <c r="F37" s="4266" t="s">
        <v>76</v>
      </c>
      <c r="G37" s="4268" t="s">
        <v>3050</v>
      </c>
      <c r="H37" s="4234" t="s">
        <v>3042</v>
      </c>
      <c r="I37" s="4234" t="s">
        <v>3051</v>
      </c>
      <c r="J37" s="586"/>
      <c r="K37" s="586"/>
      <c r="L37" s="586"/>
      <c r="M37" s="586"/>
    </row>
    <row r="38" spans="1:13" s="684" customFormat="1" ht="15.75" thickBot="1">
      <c r="A38" s="589" t="s">
        <v>2403</v>
      </c>
      <c r="B38" s="468" t="s">
        <v>2429</v>
      </c>
      <c r="C38" s="468" t="s">
        <v>2429</v>
      </c>
      <c r="D38" s="4258"/>
      <c r="E38" s="4251"/>
      <c r="F38" s="4267"/>
      <c r="G38" s="4269"/>
      <c r="H38" s="4235"/>
      <c r="I38" s="4235"/>
      <c r="J38" s="586"/>
      <c r="K38" s="586"/>
      <c r="L38" s="586"/>
      <c r="M38" s="586"/>
    </row>
    <row r="39" spans="1:13" s="684" customFormat="1" ht="15">
      <c r="A39" s="3268"/>
      <c r="B39" s="793"/>
      <c r="C39" s="793"/>
      <c r="D39" s="4259" t="str">
        <f t="shared" si="0"/>
        <v xml:space="preserve">  </v>
      </c>
      <c r="E39" s="4252" t="str">
        <f t="shared" si="1"/>
        <v xml:space="preserve">  </v>
      </c>
      <c r="F39" s="4270"/>
      <c r="G39" s="4229"/>
      <c r="H39" s="4201"/>
      <c r="I39" s="4201"/>
      <c r="J39" s="586"/>
      <c r="K39" s="586"/>
      <c r="L39" s="586"/>
      <c r="M39" s="586"/>
    </row>
    <row r="40" spans="1:13" s="684" customFormat="1" ht="15.75" thickBot="1">
      <c r="A40" s="3269"/>
      <c r="B40" s="854"/>
      <c r="C40" s="854"/>
      <c r="D40" s="4260"/>
      <c r="E40" s="4253"/>
      <c r="F40" s="4271"/>
      <c r="G40" s="4203"/>
      <c r="H40" s="4236"/>
      <c r="I40" s="4236"/>
      <c r="J40" s="586"/>
      <c r="K40" s="586"/>
      <c r="L40" s="586"/>
      <c r="M40" s="586"/>
    </row>
    <row r="41" spans="1:13" s="684" customFormat="1" ht="15">
      <c r="A41" s="595" t="s">
        <v>2404</v>
      </c>
      <c r="B41" s="793" t="s">
        <v>2430</v>
      </c>
      <c r="C41" s="793" t="s">
        <v>2430</v>
      </c>
      <c r="D41" s="4361" t="str">
        <f t="shared" si="0"/>
        <v>twauslihsapp25  twauslihsapp26</v>
      </c>
      <c r="E41" s="4366" t="str">
        <f t="shared" si="1"/>
        <v>10.134.100.69  10.134.100.70</v>
      </c>
      <c r="F41" s="4272" t="s">
        <v>75</v>
      </c>
      <c r="G41" s="4358" t="s">
        <v>3049</v>
      </c>
      <c r="H41" s="4201" t="s">
        <v>3042</v>
      </c>
      <c r="I41" s="4201" t="s">
        <v>3051</v>
      </c>
      <c r="J41" s="586"/>
      <c r="K41" s="586"/>
      <c r="L41" s="586"/>
      <c r="M41" s="586"/>
    </row>
    <row r="42" spans="1:13" s="684" customFormat="1" ht="15">
      <c r="A42" s="597" t="s">
        <v>2405</v>
      </c>
      <c r="B42" s="488" t="s">
        <v>2431</v>
      </c>
      <c r="C42" s="488" t="s">
        <v>2431</v>
      </c>
      <c r="D42" s="4362"/>
      <c r="E42" s="4352"/>
      <c r="F42" s="4273"/>
      <c r="G42" s="4359"/>
      <c r="H42" s="4202"/>
      <c r="I42" s="4202"/>
      <c r="J42" s="586"/>
      <c r="K42" s="586"/>
      <c r="L42" s="586"/>
      <c r="M42" s="586"/>
    </row>
    <row r="43" spans="1:13" s="684" customFormat="1" ht="15">
      <c r="A43" s="597" t="s">
        <v>2406</v>
      </c>
      <c r="B43" s="488" t="s">
        <v>2432</v>
      </c>
      <c r="C43" s="488" t="s">
        <v>2432</v>
      </c>
      <c r="D43" s="4362" t="str">
        <f t="shared" si="0"/>
        <v>twauslihsapp27  twauslihsapp28</v>
      </c>
      <c r="E43" s="4352" t="str">
        <f t="shared" si="1"/>
        <v>10.134.100.71  10.134.100.72</v>
      </c>
      <c r="F43" s="4273" t="s">
        <v>75</v>
      </c>
      <c r="G43" s="4359"/>
      <c r="H43" s="4202"/>
      <c r="I43" s="4202"/>
      <c r="J43" s="586"/>
      <c r="K43" s="586"/>
      <c r="L43" s="586"/>
      <c r="M43" s="586"/>
    </row>
    <row r="44" spans="1:13" s="684" customFormat="1" ht="15.75" thickBot="1">
      <c r="A44" s="598" t="s">
        <v>2407</v>
      </c>
      <c r="B44" s="489" t="s">
        <v>2433</v>
      </c>
      <c r="C44" s="489" t="s">
        <v>2433</v>
      </c>
      <c r="D44" s="4363"/>
      <c r="E44" s="4353"/>
      <c r="F44" s="4354"/>
      <c r="G44" s="4360"/>
      <c r="H44" s="4203"/>
      <c r="I44" s="4203"/>
      <c r="J44" s="586"/>
      <c r="K44" s="586"/>
      <c r="L44" s="586"/>
      <c r="M44" s="586"/>
    </row>
    <row r="45" spans="1:13" s="684" customFormat="1" ht="15">
      <c r="A45" s="1118" t="s">
        <v>2502</v>
      </c>
      <c r="B45" s="1119" t="s">
        <v>2506</v>
      </c>
      <c r="C45" s="1119" t="s">
        <v>2506</v>
      </c>
      <c r="D45" s="4369" t="str">
        <f t="shared" si="0"/>
        <v>twauslihsapp29  twauslihsapp30</v>
      </c>
      <c r="E45" s="4373" t="str">
        <f t="shared" si="1"/>
        <v>10.134.100.75  10.134.100.76</v>
      </c>
      <c r="F45" s="4377" t="s">
        <v>75</v>
      </c>
      <c r="G45" s="4280" t="s">
        <v>3050</v>
      </c>
      <c r="H45" s="4237" t="s">
        <v>3052</v>
      </c>
      <c r="I45" s="4237" t="s">
        <v>3051</v>
      </c>
      <c r="J45" s="586"/>
      <c r="K45" s="586"/>
      <c r="L45" s="586"/>
      <c r="M45" s="586"/>
    </row>
    <row r="46" spans="1:13" s="684" customFormat="1" ht="15.75" thickBot="1">
      <c r="A46" s="1120" t="s">
        <v>2503</v>
      </c>
      <c r="B46" s="1121" t="s">
        <v>2507</v>
      </c>
      <c r="C46" s="1121" t="s">
        <v>2507</v>
      </c>
      <c r="D46" s="4370"/>
      <c r="E46" s="4374"/>
      <c r="F46" s="4378"/>
      <c r="G46" s="4370"/>
      <c r="H46" s="4238"/>
      <c r="I46" s="4238"/>
      <c r="J46" s="586"/>
      <c r="K46" s="586"/>
      <c r="L46" s="586"/>
      <c r="M46" s="586"/>
    </row>
    <row r="47" spans="1:13" s="684" customFormat="1" ht="15">
      <c r="A47" s="1114" t="s">
        <v>2504</v>
      </c>
      <c r="B47" s="1115" t="s">
        <v>2508</v>
      </c>
      <c r="C47" s="1115" t="s">
        <v>2508</v>
      </c>
      <c r="D47" s="4371" t="str">
        <f t="shared" si="0"/>
        <v>twauslihsapp31  twauslihsapp32</v>
      </c>
      <c r="E47" s="4375" t="str">
        <f t="shared" si="1"/>
        <v>10.134.68.81  10.134.68.82</v>
      </c>
      <c r="F47" s="4325" t="s">
        <v>76</v>
      </c>
      <c r="G47" s="4327" t="s">
        <v>3048</v>
      </c>
      <c r="H47" s="4197" t="s">
        <v>3052</v>
      </c>
      <c r="I47" s="4197" t="s">
        <v>3051</v>
      </c>
      <c r="J47" s="586"/>
      <c r="K47" s="586"/>
      <c r="L47" s="586"/>
      <c r="M47" s="586"/>
    </row>
    <row r="48" spans="1:13" s="684" customFormat="1" ht="27" customHeight="1" thickBot="1">
      <c r="A48" s="1350" t="s">
        <v>2505</v>
      </c>
      <c r="B48" s="1351" t="s">
        <v>2509</v>
      </c>
      <c r="C48" s="1351" t="s">
        <v>2509</v>
      </c>
      <c r="D48" s="4372"/>
      <c r="E48" s="4376"/>
      <c r="F48" s="4326"/>
      <c r="G48" s="4328"/>
      <c r="H48" s="4239"/>
      <c r="I48" s="4239"/>
      <c r="J48" s="586"/>
      <c r="K48" s="586"/>
      <c r="L48" s="586"/>
      <c r="M48" s="586"/>
    </row>
    <row r="49" spans="1:13" s="684" customFormat="1" ht="15.75" customHeight="1">
      <c r="A49" s="1122" t="s">
        <v>3231</v>
      </c>
      <c r="B49" s="1352" t="s">
        <v>3233</v>
      </c>
      <c r="C49" s="1115" t="s">
        <v>3233</v>
      </c>
      <c r="D49" s="4364" t="str">
        <f t="shared" si="0"/>
        <v>twauslihsapp33  twauslihsapp34</v>
      </c>
      <c r="E49" s="4375" t="str">
        <f t="shared" si="1"/>
        <v>10.134.68.83  10.134.68.84</v>
      </c>
      <c r="F49" s="4325" t="s">
        <v>76</v>
      </c>
      <c r="G49" s="4327" t="s">
        <v>3802</v>
      </c>
      <c r="H49" s="4197" t="s">
        <v>3052</v>
      </c>
      <c r="I49" s="4197" t="s">
        <v>3051</v>
      </c>
      <c r="J49" s="586"/>
      <c r="K49" s="586"/>
      <c r="L49" s="586"/>
      <c r="M49" s="586"/>
    </row>
    <row r="50" spans="1:13" s="684" customFormat="1" ht="24.75" customHeight="1" thickBot="1">
      <c r="A50" s="3273" t="s">
        <v>3232</v>
      </c>
      <c r="B50" s="1353" t="s">
        <v>3234</v>
      </c>
      <c r="C50" s="1117" t="s">
        <v>3234</v>
      </c>
      <c r="D50" s="4365"/>
      <c r="E50" s="4380"/>
      <c r="F50" s="4333"/>
      <c r="G50" s="4334"/>
      <c r="H50" s="4198"/>
      <c r="I50" s="4198"/>
      <c r="J50" s="586"/>
      <c r="K50" s="586"/>
      <c r="L50" s="586"/>
      <c r="M50" s="586"/>
    </row>
    <row r="51" spans="1:13" ht="12.75" customHeight="1">
      <c r="A51" s="349" t="s">
        <v>1731</v>
      </c>
      <c r="B51" s="482" t="s">
        <v>1737</v>
      </c>
      <c r="C51" s="694" t="s">
        <v>1737</v>
      </c>
      <c r="D51" s="4248" t="str">
        <f t="shared" si="0"/>
        <v>pwauslihsapp06  pwauslihsapp07</v>
      </c>
      <c r="E51" s="4293" t="str">
        <f t="shared" si="1"/>
        <v>10.136.68.60  10.136.68.61</v>
      </c>
      <c r="F51" s="4274" t="s">
        <v>76</v>
      </c>
      <c r="G51" s="1105" t="s">
        <v>3048</v>
      </c>
      <c r="H51" s="4240" t="s">
        <v>3042</v>
      </c>
      <c r="I51" s="4240" t="s">
        <v>3051</v>
      </c>
    </row>
    <row r="52" spans="1:13" ht="13.5" thickBot="1">
      <c r="A52" s="302" t="s">
        <v>1732</v>
      </c>
      <c r="B52" s="252" t="s">
        <v>1738</v>
      </c>
      <c r="C52" s="699" t="s">
        <v>1738</v>
      </c>
      <c r="D52" s="4249"/>
      <c r="E52" s="4294"/>
      <c r="F52" s="4275"/>
      <c r="G52" s="1107" t="s">
        <v>3051</v>
      </c>
      <c r="H52" s="4241"/>
      <c r="I52" s="4241"/>
    </row>
    <row r="53" spans="1:13">
      <c r="A53" s="349" t="s">
        <v>1912</v>
      </c>
      <c r="B53" s="482" t="s">
        <v>1903</v>
      </c>
      <c r="C53" s="694" t="s">
        <v>1903</v>
      </c>
      <c r="D53" s="4248" t="str">
        <f t="shared" si="0"/>
        <v>pwauslihsapp08  pwauslihsapp09</v>
      </c>
      <c r="E53" s="4293" t="str">
        <f t="shared" si="1"/>
        <v>10.136.68.66  10.136.68.67</v>
      </c>
      <c r="F53" s="4274" t="s">
        <v>76</v>
      </c>
      <c r="G53" s="4310" t="s">
        <v>3053</v>
      </c>
      <c r="H53" s="4240" t="s">
        <v>3043</v>
      </c>
      <c r="I53" s="4240" t="s">
        <v>3051</v>
      </c>
    </row>
    <row r="54" spans="1:13" ht="26.25" customHeight="1" thickBot="1">
      <c r="A54" s="302" t="s">
        <v>1913</v>
      </c>
      <c r="B54" s="252" t="s">
        <v>1904</v>
      </c>
      <c r="C54" s="699" t="s">
        <v>1904</v>
      </c>
      <c r="D54" s="4249"/>
      <c r="E54" s="4294"/>
      <c r="F54" s="4275"/>
      <c r="G54" s="4379"/>
      <c r="H54" s="4241"/>
      <c r="I54" s="4241"/>
    </row>
    <row r="55" spans="1:13">
      <c r="A55" s="599" t="s">
        <v>1914</v>
      </c>
      <c r="B55" s="590" t="s">
        <v>1905</v>
      </c>
      <c r="C55" s="700" t="s">
        <v>1905</v>
      </c>
      <c r="D55" s="4248" t="str">
        <f t="shared" si="0"/>
        <v>pwauslihsapp10  pwauslihsapp11</v>
      </c>
      <c r="E55" s="4293" t="str">
        <f t="shared" si="1"/>
        <v xml:space="preserve"> 10.136.68.62   10.136.68.63</v>
      </c>
      <c r="F55" s="4332" t="s">
        <v>76</v>
      </c>
      <c r="G55" s="4311" t="s">
        <v>3054</v>
      </c>
      <c r="H55" s="4240" t="s">
        <v>3043</v>
      </c>
      <c r="I55" s="4240" t="s">
        <v>3051</v>
      </c>
    </row>
    <row r="56" spans="1:13" ht="27" customHeight="1" thickBot="1">
      <c r="A56" s="600" t="s">
        <v>1915</v>
      </c>
      <c r="B56" s="588" t="s">
        <v>1924</v>
      </c>
      <c r="C56" s="701" t="s">
        <v>1924</v>
      </c>
      <c r="D56" s="4249"/>
      <c r="E56" s="4294"/>
      <c r="F56" s="4386"/>
      <c r="G56" s="4379"/>
      <c r="H56" s="4241"/>
      <c r="I56" s="4241"/>
    </row>
    <row r="57" spans="1:13">
      <c r="A57" s="601" t="s">
        <v>1916</v>
      </c>
      <c r="B57" s="596" t="s">
        <v>1906</v>
      </c>
      <c r="C57" s="707" t="s">
        <v>1906</v>
      </c>
      <c r="D57" s="4214" t="str">
        <f>$A57&amp;"  "&amp;$A58&amp;" "&amp;A59&amp;" "&amp;A60</f>
        <v>pwauslihsapp12  pwauslihsapp13 pwauslihsapp14 pwauslihsapp15</v>
      </c>
      <c r="E57" s="4224" t="str">
        <f>$B57&amp;"  "&amp;$B58&amp;" "&amp;B59&amp;" "&amp;B60</f>
        <v>10.136.100.55  10.136.100.56 10.136.100.57 10.136.100.58</v>
      </c>
      <c r="F57" s="4355" t="s">
        <v>75</v>
      </c>
      <c r="G57" s="4329" t="s">
        <v>3055</v>
      </c>
      <c r="H57" s="4242" t="s">
        <v>3043</v>
      </c>
      <c r="I57" s="4242" t="s">
        <v>3051</v>
      </c>
    </row>
    <row r="58" spans="1:13">
      <c r="A58" s="483" t="s">
        <v>1917</v>
      </c>
      <c r="B58" s="443" t="s">
        <v>1907</v>
      </c>
      <c r="C58" s="697" t="s">
        <v>1907</v>
      </c>
      <c r="D58" s="4367"/>
      <c r="E58" s="4368"/>
      <c r="F58" s="4356"/>
      <c r="G58" s="4330"/>
      <c r="H58" s="4243"/>
      <c r="I58" s="4243"/>
    </row>
    <row r="59" spans="1:13">
      <c r="A59" s="597" t="s">
        <v>1918</v>
      </c>
      <c r="B59" s="488" t="s">
        <v>1908</v>
      </c>
      <c r="C59" s="697" t="s">
        <v>1908</v>
      </c>
      <c r="D59" s="4367" t="str">
        <f>$A59&amp;"  "&amp;$A60</f>
        <v>pwauslihsapp14  pwauslihsapp15</v>
      </c>
      <c r="E59" s="4368"/>
      <c r="F59" s="4356"/>
      <c r="G59" s="4330"/>
      <c r="H59" s="4243"/>
      <c r="I59" s="4243"/>
    </row>
    <row r="60" spans="1:13" ht="13.5" thickBot="1">
      <c r="A60" s="602" t="s">
        <v>1919</v>
      </c>
      <c r="B60" s="854" t="s">
        <v>1909</v>
      </c>
      <c r="C60" s="702" t="s">
        <v>1909</v>
      </c>
      <c r="D60" s="4367"/>
      <c r="E60" s="4368"/>
      <c r="F60" s="4357"/>
      <c r="G60" s="4331"/>
      <c r="H60" s="4244"/>
      <c r="I60" s="4244"/>
    </row>
    <row r="61" spans="1:13" ht="12.75" customHeight="1">
      <c r="A61" s="3268" t="s">
        <v>1920</v>
      </c>
      <c r="B61" s="596" t="s">
        <v>1910</v>
      </c>
      <c r="C61" s="793" t="s">
        <v>1910</v>
      </c>
      <c r="D61" s="4305" t="str">
        <f>$A61&amp;"  "&amp;$A62</f>
        <v>pwauslihsapp16  pwauslihsapp17</v>
      </c>
      <c r="E61" s="4383" t="str">
        <f>$B61&amp;"  "&amp;$B62</f>
        <v>10.136.100.59  10.136.100.60</v>
      </c>
      <c r="F61" s="4201" t="s">
        <v>75</v>
      </c>
      <c r="G61" s="4254" t="s">
        <v>3056</v>
      </c>
      <c r="H61" s="4242" t="s">
        <v>3043</v>
      </c>
      <c r="I61" s="4242" t="s">
        <v>3051</v>
      </c>
    </row>
    <row r="62" spans="1:13" ht="27.75" customHeight="1">
      <c r="A62" s="3271" t="s">
        <v>1921</v>
      </c>
      <c r="B62" s="443" t="s">
        <v>1911</v>
      </c>
      <c r="C62" s="488" t="s">
        <v>1911</v>
      </c>
      <c r="D62" s="4289"/>
      <c r="E62" s="4285"/>
      <c r="F62" s="4202"/>
      <c r="G62" s="4255"/>
      <c r="H62" s="4243"/>
      <c r="I62" s="4243"/>
    </row>
    <row r="63" spans="1:13" ht="12.75" customHeight="1">
      <c r="A63" s="3270" t="s">
        <v>2510</v>
      </c>
      <c r="B63" s="488" t="s">
        <v>2517</v>
      </c>
      <c r="C63" s="488" t="s">
        <v>2517</v>
      </c>
      <c r="D63" s="4295" t="str">
        <f>$A63&amp;"  "&amp;$A64</f>
        <v>pwauslihsapp31  pwauslihsapp32</v>
      </c>
      <c r="E63" s="4285" t="str">
        <f>$B63&amp;"  "&amp;$B64</f>
        <v>10.136.100.69  10.136.100.70</v>
      </c>
      <c r="F63" s="4202"/>
      <c r="G63" s="4255"/>
      <c r="H63" s="4243"/>
      <c r="I63" s="4243"/>
    </row>
    <row r="64" spans="1:13" ht="13.5" thickBot="1">
      <c r="A64" s="3272" t="s">
        <v>2511</v>
      </c>
      <c r="B64" s="489" t="s">
        <v>2518</v>
      </c>
      <c r="C64" s="489" t="s">
        <v>2518</v>
      </c>
      <c r="D64" s="4296"/>
      <c r="E64" s="4286"/>
      <c r="F64" s="4203"/>
      <c r="G64" s="4256"/>
      <c r="H64" s="4244"/>
      <c r="I64" s="4244"/>
    </row>
    <row r="65" spans="1:16384">
      <c r="A65" s="599" t="s">
        <v>1922</v>
      </c>
      <c r="B65" s="590" t="s">
        <v>106</v>
      </c>
      <c r="C65" s="700" t="s">
        <v>106</v>
      </c>
      <c r="D65" s="4227" t="str">
        <f>$A65&amp;"  "&amp;$A66</f>
        <v>pwauslihsapp18  pwauslihsapp19</v>
      </c>
      <c r="E65" s="4222" t="str">
        <f>$B65&amp;"  "&amp;$B66</f>
        <v>10.136.68.40  10.136.68.41</v>
      </c>
      <c r="F65" s="4274" t="s">
        <v>76</v>
      </c>
      <c r="G65" s="4310" t="s">
        <v>3801</v>
      </c>
      <c r="H65" s="4240" t="s">
        <v>3043</v>
      </c>
      <c r="I65" s="4240" t="s">
        <v>3051</v>
      </c>
    </row>
    <row r="66" spans="1:16384" ht="24" customHeight="1" thickBot="1">
      <c r="A66" s="302" t="s">
        <v>1923</v>
      </c>
      <c r="B66" s="252" t="s">
        <v>107</v>
      </c>
      <c r="C66" s="699" t="s">
        <v>107</v>
      </c>
      <c r="D66" s="4221"/>
      <c r="E66" s="4223"/>
      <c r="F66" s="4275"/>
      <c r="G66" s="4382"/>
      <c r="H66" s="4241"/>
      <c r="I66" s="4241"/>
      <c r="J66" s="684"/>
    </row>
    <row r="67" spans="1:16384" s="774" customFormat="1">
      <c r="A67" s="595" t="s">
        <v>1932</v>
      </c>
      <c r="B67" s="793" t="s">
        <v>2416</v>
      </c>
      <c r="C67" s="793" t="s">
        <v>2416</v>
      </c>
      <c r="D67" s="4214" t="str">
        <f>$A67&amp;"  "&amp;$A68</f>
        <v>pwauslihsapp21  pwauslihsapp22</v>
      </c>
      <c r="E67" s="4224" t="str">
        <f>$B67&amp;"  "&amp;$B68</f>
        <v>10.136.100.61  10.136.100.62</v>
      </c>
      <c r="F67" s="4276" t="s">
        <v>75</v>
      </c>
      <c r="G67" s="4229" t="s">
        <v>3050</v>
      </c>
      <c r="H67" s="4229" t="s">
        <v>3042</v>
      </c>
      <c r="I67" s="4229" t="s">
        <v>3051</v>
      </c>
      <c r="J67" s="684"/>
      <c r="K67" s="684"/>
      <c r="L67" s="684"/>
      <c r="M67" s="684"/>
      <c r="N67" s="684"/>
      <c r="O67" s="684"/>
      <c r="P67" s="684"/>
      <c r="Q67" s="684"/>
      <c r="R67" s="684"/>
      <c r="S67" s="684"/>
      <c r="T67" s="684"/>
      <c r="U67" s="684"/>
      <c r="V67" s="684"/>
      <c r="W67" s="684"/>
      <c r="X67" s="684"/>
      <c r="Y67" s="684"/>
      <c r="Z67" s="684"/>
      <c r="AA67" s="684"/>
      <c r="AB67" s="684"/>
      <c r="AC67" s="684"/>
      <c r="AD67" s="684"/>
      <c r="AE67" s="684"/>
      <c r="AF67" s="684"/>
      <c r="AG67" s="684"/>
      <c r="AH67" s="684"/>
      <c r="AI67" s="684"/>
      <c r="AJ67" s="684"/>
      <c r="AK67" s="684"/>
      <c r="AL67" s="684"/>
      <c r="AM67" s="684"/>
      <c r="AN67" s="684"/>
      <c r="AO67" s="684"/>
      <c r="AP67" s="684"/>
      <c r="AQ67" s="684"/>
      <c r="AR67" s="684"/>
      <c r="AS67" s="684"/>
      <c r="AT67" s="684"/>
      <c r="AU67" s="684"/>
      <c r="AV67" s="684"/>
      <c r="AW67" s="684"/>
      <c r="AX67" s="684"/>
      <c r="AY67" s="684"/>
      <c r="AZ67" s="684"/>
      <c r="BA67" s="684"/>
      <c r="BB67" s="684"/>
      <c r="BC67" s="684"/>
      <c r="BD67" s="684"/>
      <c r="BE67" s="684"/>
      <c r="BF67" s="684"/>
      <c r="BG67" s="684"/>
      <c r="BH67" s="684"/>
      <c r="BI67" s="684"/>
      <c r="BJ67" s="684"/>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c r="CI67" s="684"/>
      <c r="CJ67" s="684"/>
      <c r="CK67" s="684"/>
      <c r="CL67" s="684"/>
      <c r="CM67" s="684"/>
      <c r="CN67" s="684"/>
      <c r="CO67" s="684"/>
      <c r="CP67" s="684"/>
      <c r="CQ67" s="684"/>
      <c r="CR67" s="684"/>
      <c r="CS67" s="684"/>
      <c r="CT67" s="684"/>
      <c r="CU67" s="684"/>
      <c r="CV67" s="684"/>
      <c r="CW67" s="684"/>
      <c r="CX67" s="684"/>
      <c r="CY67" s="684"/>
      <c r="CZ67" s="684"/>
      <c r="DA67" s="684"/>
      <c r="DB67" s="684"/>
      <c r="DC67" s="684"/>
      <c r="DD67" s="684"/>
      <c r="DE67" s="684"/>
      <c r="DF67" s="684"/>
      <c r="DG67" s="684"/>
      <c r="DH67" s="684"/>
      <c r="DI67" s="684"/>
      <c r="DJ67" s="684"/>
      <c r="DK67" s="684"/>
      <c r="DL67" s="684"/>
      <c r="DM67" s="684"/>
      <c r="DN67" s="684"/>
      <c r="DO67" s="684"/>
      <c r="DP67" s="684"/>
      <c r="DQ67" s="684"/>
      <c r="DR67" s="684"/>
      <c r="DS67" s="684"/>
      <c r="DT67" s="684"/>
      <c r="DU67" s="684"/>
      <c r="DV67" s="684"/>
      <c r="DW67" s="684"/>
      <c r="DX67" s="684"/>
      <c r="DY67" s="684"/>
      <c r="DZ67" s="684"/>
      <c r="EA67" s="684"/>
      <c r="EB67" s="684"/>
      <c r="EC67" s="684"/>
      <c r="ED67" s="684"/>
      <c r="EE67" s="684"/>
      <c r="EF67" s="684"/>
      <c r="EG67" s="684"/>
      <c r="EH67" s="684"/>
      <c r="EI67" s="684"/>
      <c r="EJ67" s="684"/>
      <c r="EK67" s="684"/>
      <c r="EL67" s="684"/>
      <c r="EM67" s="684"/>
      <c r="EN67" s="684"/>
      <c r="EO67" s="684"/>
      <c r="EP67" s="684"/>
      <c r="EQ67" s="684"/>
      <c r="ER67" s="684"/>
      <c r="ES67" s="684"/>
      <c r="ET67" s="684"/>
      <c r="EU67" s="684"/>
      <c r="EV67" s="684"/>
      <c r="EW67" s="684"/>
      <c r="EX67" s="684"/>
      <c r="EY67" s="684"/>
      <c r="EZ67" s="684"/>
      <c r="FA67" s="684"/>
      <c r="FB67" s="684"/>
      <c r="FC67" s="684"/>
      <c r="FD67" s="684"/>
      <c r="FE67" s="684"/>
      <c r="FF67" s="684"/>
      <c r="FG67" s="684"/>
      <c r="FH67" s="684"/>
      <c r="FI67" s="684"/>
      <c r="FJ67" s="684"/>
      <c r="FK67" s="684"/>
      <c r="FL67" s="684"/>
      <c r="FM67" s="684"/>
      <c r="FN67" s="684"/>
      <c r="FO67" s="684"/>
      <c r="FP67" s="684"/>
      <c r="FQ67" s="684"/>
      <c r="FR67" s="684"/>
      <c r="FS67" s="684"/>
      <c r="FT67" s="684"/>
      <c r="FU67" s="684"/>
      <c r="FV67" s="684"/>
      <c r="FW67" s="684"/>
      <c r="FX67" s="684"/>
      <c r="FY67" s="684"/>
      <c r="FZ67" s="684"/>
      <c r="GA67" s="684"/>
      <c r="GB67" s="684"/>
      <c r="GC67" s="684"/>
      <c r="GD67" s="684"/>
      <c r="GE67" s="684"/>
      <c r="GF67" s="684"/>
      <c r="GG67" s="684"/>
      <c r="GH67" s="684"/>
      <c r="GI67" s="684"/>
      <c r="GJ67" s="684"/>
      <c r="GK67" s="684"/>
      <c r="GL67" s="684"/>
      <c r="GM67" s="684"/>
      <c r="GN67" s="684"/>
      <c r="GO67" s="684"/>
      <c r="GP67" s="684"/>
      <c r="GQ67" s="684"/>
      <c r="GR67" s="684"/>
      <c r="GS67" s="684"/>
      <c r="GT67" s="684"/>
      <c r="GU67" s="684"/>
      <c r="GV67" s="684"/>
      <c r="GW67" s="684"/>
      <c r="GX67" s="684"/>
      <c r="GY67" s="684"/>
      <c r="GZ67" s="684"/>
      <c r="HA67" s="684"/>
      <c r="HB67" s="684"/>
      <c r="HC67" s="684"/>
      <c r="HD67" s="684"/>
      <c r="HE67" s="684"/>
      <c r="HF67" s="684"/>
      <c r="HG67" s="684"/>
      <c r="HH67" s="684"/>
      <c r="HI67" s="684"/>
      <c r="HJ67" s="684"/>
      <c r="HK67" s="684"/>
      <c r="HL67" s="684"/>
      <c r="HM67" s="684"/>
      <c r="HN67" s="684"/>
      <c r="HO67" s="684"/>
      <c r="HP67" s="684"/>
      <c r="HQ67" s="684"/>
      <c r="HR67" s="684"/>
      <c r="HS67" s="684"/>
      <c r="HT67" s="684"/>
      <c r="HU67" s="684"/>
      <c r="HV67" s="684"/>
      <c r="HW67" s="684"/>
      <c r="HX67" s="684"/>
      <c r="HY67" s="684"/>
      <c r="HZ67" s="684"/>
      <c r="IA67" s="684"/>
      <c r="IB67" s="684"/>
      <c r="IC67" s="684"/>
      <c r="ID67" s="684"/>
      <c r="IE67" s="684"/>
      <c r="IF67" s="684"/>
      <c r="IG67" s="684"/>
      <c r="IH67" s="684"/>
      <c r="II67" s="684"/>
      <c r="IJ67" s="684"/>
      <c r="IK67" s="684"/>
      <c r="IL67" s="684"/>
      <c r="IM67" s="684"/>
      <c r="IN67" s="684"/>
      <c r="IO67" s="684"/>
      <c r="IP67" s="684"/>
      <c r="IQ67" s="684"/>
      <c r="IR67" s="684"/>
      <c r="IS67" s="684"/>
      <c r="IT67" s="684"/>
      <c r="IU67" s="684"/>
      <c r="IV67" s="684"/>
      <c r="IW67" s="684"/>
      <c r="IX67" s="684"/>
      <c r="IY67" s="684"/>
      <c r="IZ67" s="684"/>
      <c r="JA67" s="684"/>
      <c r="JB67" s="684"/>
      <c r="JC67" s="684"/>
      <c r="JD67" s="684"/>
      <c r="JE67" s="684"/>
      <c r="JF67" s="684"/>
      <c r="JG67" s="684"/>
      <c r="JH67" s="684"/>
      <c r="JI67" s="684"/>
      <c r="JJ67" s="684"/>
      <c r="JK67" s="684"/>
      <c r="JL67" s="684"/>
      <c r="JM67" s="684"/>
      <c r="JN67" s="684"/>
      <c r="JO67" s="684"/>
      <c r="JP67" s="684"/>
      <c r="JQ67" s="684"/>
      <c r="JR67" s="684"/>
      <c r="JS67" s="684"/>
      <c r="JT67" s="684"/>
      <c r="JU67" s="684"/>
      <c r="JV67" s="684"/>
      <c r="JW67" s="684"/>
      <c r="JX67" s="684"/>
      <c r="JY67" s="684"/>
      <c r="JZ67" s="684"/>
      <c r="KA67" s="684"/>
      <c r="KB67" s="684"/>
      <c r="KC67" s="684"/>
      <c r="KD67" s="684"/>
      <c r="KE67" s="684"/>
      <c r="KF67" s="684"/>
      <c r="KG67" s="684"/>
      <c r="KH67" s="684"/>
      <c r="KI67" s="684"/>
      <c r="KJ67" s="684"/>
      <c r="KK67" s="684"/>
      <c r="KL67" s="684"/>
      <c r="KM67" s="684"/>
      <c r="KN67" s="684"/>
      <c r="KO67" s="684"/>
      <c r="KP67" s="684"/>
      <c r="KQ67" s="684"/>
      <c r="KR67" s="684"/>
      <c r="KS67" s="684"/>
      <c r="KT67" s="684"/>
      <c r="KU67" s="684"/>
      <c r="KV67" s="684"/>
      <c r="KW67" s="684"/>
      <c r="KX67" s="684"/>
      <c r="KY67" s="684"/>
      <c r="KZ67" s="684"/>
      <c r="LA67" s="684"/>
      <c r="LB67" s="684"/>
      <c r="LC67" s="684"/>
      <c r="LD67" s="684"/>
      <c r="LE67" s="684"/>
      <c r="LF67" s="684"/>
      <c r="LG67" s="684"/>
      <c r="LH67" s="684"/>
      <c r="LI67" s="684"/>
      <c r="LJ67" s="684"/>
      <c r="LK67" s="684"/>
      <c r="LL67" s="684"/>
      <c r="LM67" s="684"/>
      <c r="LN67" s="684"/>
      <c r="LO67" s="684"/>
      <c r="LP67" s="684"/>
      <c r="LQ67" s="684"/>
      <c r="LR67" s="684"/>
      <c r="LS67" s="684"/>
      <c r="LT67" s="684"/>
      <c r="LU67" s="684"/>
      <c r="LV67" s="684"/>
      <c r="LW67" s="684"/>
      <c r="LX67" s="684"/>
      <c r="LY67" s="684"/>
      <c r="LZ67" s="684"/>
      <c r="MA67" s="684"/>
      <c r="MB67" s="684"/>
      <c r="MC67" s="684"/>
      <c r="MD67" s="684"/>
      <c r="ME67" s="684"/>
      <c r="MF67" s="684"/>
      <c r="MG67" s="684"/>
      <c r="MH67" s="684"/>
      <c r="MI67" s="684"/>
      <c r="MJ67" s="684"/>
      <c r="MK67" s="684"/>
      <c r="ML67" s="684"/>
      <c r="MM67" s="684"/>
      <c r="MN67" s="684"/>
      <c r="MO67" s="684"/>
      <c r="MP67" s="684"/>
      <c r="MQ67" s="684"/>
      <c r="MR67" s="684"/>
      <c r="MS67" s="684"/>
      <c r="MT67" s="684"/>
      <c r="MU67" s="684"/>
      <c r="MV67" s="684"/>
      <c r="MW67" s="684"/>
      <c r="MX67" s="684"/>
      <c r="MY67" s="684"/>
      <c r="MZ67" s="684"/>
      <c r="NA67" s="684"/>
      <c r="NB67" s="684"/>
      <c r="NC67" s="684"/>
      <c r="ND67" s="684"/>
      <c r="NE67" s="684"/>
      <c r="NF67" s="684"/>
      <c r="NG67" s="684"/>
      <c r="NH67" s="684"/>
      <c r="NI67" s="684"/>
      <c r="NJ67" s="684"/>
      <c r="NK67" s="684"/>
      <c r="NL67" s="684"/>
      <c r="NM67" s="684"/>
      <c r="NN67" s="684"/>
      <c r="NO67" s="684"/>
      <c r="NP67" s="684"/>
      <c r="NQ67" s="684"/>
      <c r="NR67" s="684"/>
      <c r="NS67" s="684"/>
      <c r="NT67" s="684"/>
      <c r="NU67" s="684"/>
      <c r="NV67" s="684"/>
      <c r="NW67" s="684"/>
      <c r="NX67" s="684"/>
      <c r="NY67" s="684"/>
      <c r="NZ67" s="684"/>
      <c r="OA67" s="684"/>
      <c r="OB67" s="684"/>
      <c r="OC67" s="684"/>
      <c r="OD67" s="684"/>
      <c r="OE67" s="684"/>
      <c r="OF67" s="684"/>
      <c r="OG67" s="684"/>
      <c r="OH67" s="684"/>
      <c r="OI67" s="684"/>
      <c r="OJ67" s="684"/>
      <c r="OK67" s="684"/>
      <c r="OL67" s="684"/>
      <c r="OM67" s="684"/>
      <c r="ON67" s="684"/>
      <c r="OO67" s="684"/>
      <c r="OP67" s="684"/>
      <c r="OQ67" s="684"/>
      <c r="OR67" s="684"/>
      <c r="OS67" s="684"/>
      <c r="OT67" s="684"/>
      <c r="OU67" s="684"/>
      <c r="OV67" s="684"/>
      <c r="OW67" s="684"/>
      <c r="OX67" s="684"/>
      <c r="OY67" s="684"/>
      <c r="OZ67" s="684"/>
      <c r="PA67" s="684"/>
      <c r="PB67" s="684"/>
      <c r="PC67" s="684"/>
      <c r="PD67" s="684"/>
      <c r="PE67" s="684"/>
      <c r="PF67" s="684"/>
      <c r="PG67" s="684"/>
      <c r="PH67" s="684"/>
      <c r="PI67" s="684"/>
      <c r="PJ67" s="684"/>
      <c r="PK67" s="684"/>
      <c r="PL67" s="684"/>
      <c r="PM67" s="684"/>
      <c r="PN67" s="684"/>
      <c r="PO67" s="684"/>
      <c r="PP67" s="684"/>
      <c r="PQ67" s="684"/>
      <c r="PR67" s="684"/>
      <c r="PS67" s="684"/>
      <c r="PT67" s="684"/>
      <c r="PU67" s="684"/>
      <c r="PV67" s="684"/>
      <c r="PW67" s="684"/>
      <c r="PX67" s="684"/>
      <c r="PY67" s="684"/>
      <c r="PZ67" s="684"/>
      <c r="QA67" s="684"/>
      <c r="QB67" s="684"/>
      <c r="QC67" s="684"/>
      <c r="QD67" s="684"/>
      <c r="QE67" s="684"/>
      <c r="QF67" s="684"/>
      <c r="QG67" s="684"/>
      <c r="QH67" s="684"/>
      <c r="QI67" s="684"/>
      <c r="QJ67" s="684"/>
      <c r="QK67" s="684"/>
      <c r="QL67" s="684"/>
      <c r="QM67" s="684"/>
      <c r="QN67" s="684"/>
      <c r="QO67" s="684"/>
      <c r="QP67" s="684"/>
      <c r="QQ67" s="684"/>
      <c r="QR67" s="684"/>
      <c r="QS67" s="684"/>
      <c r="QT67" s="684"/>
      <c r="QU67" s="684"/>
      <c r="QV67" s="684"/>
      <c r="QW67" s="684"/>
      <c r="QX67" s="684"/>
      <c r="QY67" s="684"/>
      <c r="QZ67" s="684"/>
      <c r="RA67" s="684"/>
      <c r="RB67" s="684"/>
      <c r="RC67" s="684"/>
      <c r="RD67" s="684"/>
      <c r="RE67" s="684"/>
      <c r="RF67" s="684"/>
      <c r="RG67" s="684"/>
      <c r="RH67" s="684"/>
      <c r="RI67" s="684"/>
      <c r="RJ67" s="684"/>
      <c r="RK67" s="684"/>
      <c r="RL67" s="684"/>
      <c r="RM67" s="684"/>
      <c r="RN67" s="684"/>
      <c r="RO67" s="684"/>
      <c r="RP67" s="684"/>
      <c r="RQ67" s="684"/>
      <c r="RR67" s="684"/>
      <c r="RS67" s="684"/>
      <c r="RT67" s="684"/>
      <c r="RU67" s="684"/>
      <c r="RV67" s="684"/>
      <c r="RW67" s="684"/>
      <c r="RX67" s="684"/>
      <c r="RY67" s="684"/>
      <c r="RZ67" s="684"/>
      <c r="SA67" s="684"/>
      <c r="SB67" s="684"/>
      <c r="SC67" s="684"/>
      <c r="SD67" s="684"/>
      <c r="SE67" s="684"/>
      <c r="SF67" s="684"/>
      <c r="SG67" s="684"/>
      <c r="SH67" s="684"/>
      <c r="SI67" s="684"/>
      <c r="SJ67" s="684"/>
      <c r="SK67" s="684"/>
      <c r="SL67" s="684"/>
      <c r="SM67" s="684"/>
      <c r="SN67" s="684"/>
      <c r="SO67" s="684"/>
      <c r="SP67" s="684"/>
      <c r="SQ67" s="684"/>
      <c r="SR67" s="684"/>
      <c r="SS67" s="684"/>
      <c r="ST67" s="684"/>
      <c r="SU67" s="684"/>
      <c r="SV67" s="684"/>
      <c r="SW67" s="684"/>
      <c r="SX67" s="684"/>
      <c r="SY67" s="684"/>
      <c r="SZ67" s="684"/>
      <c r="TA67" s="684"/>
      <c r="TB67" s="684"/>
      <c r="TC67" s="684"/>
      <c r="TD67" s="684"/>
      <c r="TE67" s="684"/>
      <c r="TF67" s="684"/>
      <c r="TG67" s="684"/>
      <c r="TH67" s="684"/>
      <c r="TI67" s="684"/>
      <c r="TJ67" s="684"/>
      <c r="TK67" s="684"/>
      <c r="TL67" s="684"/>
      <c r="TM67" s="684"/>
      <c r="TN67" s="684"/>
      <c r="TO67" s="684"/>
      <c r="TP67" s="684"/>
      <c r="TQ67" s="684"/>
      <c r="TR67" s="684"/>
      <c r="TS67" s="684"/>
      <c r="TT67" s="684"/>
      <c r="TU67" s="684"/>
      <c r="TV67" s="684"/>
      <c r="TW67" s="684"/>
      <c r="TX67" s="684"/>
      <c r="TY67" s="684"/>
      <c r="TZ67" s="684"/>
      <c r="UA67" s="684"/>
      <c r="UB67" s="684"/>
      <c r="UC67" s="684"/>
      <c r="UD67" s="684"/>
      <c r="UE67" s="684"/>
      <c r="UF67" s="684"/>
      <c r="UG67" s="684"/>
      <c r="UH67" s="684"/>
      <c r="UI67" s="684"/>
      <c r="UJ67" s="684"/>
      <c r="UK67" s="684"/>
      <c r="UL67" s="684"/>
      <c r="UM67" s="684"/>
      <c r="UN67" s="684"/>
      <c r="UO67" s="684"/>
      <c r="UP67" s="684"/>
      <c r="UQ67" s="684"/>
      <c r="UR67" s="684"/>
      <c r="US67" s="684"/>
      <c r="UT67" s="684"/>
      <c r="UU67" s="684"/>
      <c r="UV67" s="684"/>
      <c r="UW67" s="684"/>
      <c r="UX67" s="684"/>
      <c r="UY67" s="684"/>
      <c r="UZ67" s="684"/>
      <c r="VA67" s="684"/>
      <c r="VB67" s="684"/>
      <c r="VC67" s="684"/>
      <c r="VD67" s="684"/>
      <c r="VE67" s="684"/>
      <c r="VF67" s="684"/>
      <c r="VG67" s="684"/>
      <c r="VH67" s="684"/>
      <c r="VI67" s="684"/>
      <c r="VJ67" s="684"/>
      <c r="VK67" s="684"/>
      <c r="VL67" s="684"/>
      <c r="VM67" s="684"/>
      <c r="VN67" s="684"/>
      <c r="VO67" s="684"/>
      <c r="VP67" s="684"/>
      <c r="VQ67" s="684"/>
      <c r="VR67" s="684"/>
      <c r="VS67" s="684"/>
      <c r="VT67" s="684"/>
      <c r="VU67" s="684"/>
      <c r="VV67" s="684"/>
      <c r="VW67" s="684"/>
      <c r="VX67" s="684"/>
      <c r="VY67" s="684"/>
      <c r="VZ67" s="684"/>
      <c r="WA67" s="684"/>
      <c r="WB67" s="684"/>
      <c r="WC67" s="684"/>
      <c r="WD67" s="684"/>
      <c r="WE67" s="684"/>
      <c r="WF67" s="684"/>
      <c r="WG67" s="684"/>
      <c r="WH67" s="684"/>
      <c r="WI67" s="684"/>
      <c r="WJ67" s="684"/>
      <c r="WK67" s="684"/>
      <c r="WL67" s="684"/>
      <c r="WM67" s="684"/>
      <c r="WN67" s="684"/>
      <c r="WO67" s="684"/>
      <c r="WP67" s="684"/>
      <c r="WQ67" s="684"/>
      <c r="WR67" s="684"/>
      <c r="WS67" s="684"/>
      <c r="WT67" s="684"/>
      <c r="WU67" s="684"/>
      <c r="WV67" s="684"/>
      <c r="WW67" s="684"/>
      <c r="WX67" s="684"/>
      <c r="WY67" s="684"/>
      <c r="WZ67" s="684"/>
      <c r="XA67" s="684"/>
      <c r="XB67" s="684"/>
      <c r="XC67" s="684"/>
      <c r="XD67" s="684"/>
      <c r="XE67" s="684"/>
      <c r="XF67" s="684"/>
      <c r="XG67" s="684"/>
      <c r="XH67" s="684"/>
      <c r="XI67" s="684"/>
      <c r="XJ67" s="684"/>
      <c r="XK67" s="684"/>
      <c r="XL67" s="684"/>
      <c r="XM67" s="684"/>
      <c r="XN67" s="684"/>
      <c r="XO67" s="684"/>
      <c r="XP67" s="684"/>
      <c r="XQ67" s="684"/>
      <c r="XR67" s="684"/>
      <c r="XS67" s="684"/>
      <c r="XT67" s="684"/>
      <c r="XU67" s="684"/>
      <c r="XV67" s="684"/>
      <c r="XW67" s="684"/>
      <c r="XX67" s="684"/>
      <c r="XY67" s="684"/>
      <c r="XZ67" s="684"/>
      <c r="YA67" s="684"/>
      <c r="YB67" s="684"/>
      <c r="YC67" s="684"/>
      <c r="YD67" s="684"/>
      <c r="YE67" s="684"/>
      <c r="YF67" s="684"/>
      <c r="YG67" s="684"/>
      <c r="YH67" s="684"/>
      <c r="YI67" s="684"/>
      <c r="YJ67" s="684"/>
      <c r="YK67" s="684"/>
      <c r="YL67" s="684"/>
      <c r="YM67" s="684"/>
      <c r="YN67" s="684"/>
      <c r="YO67" s="684"/>
      <c r="YP67" s="684"/>
      <c r="YQ67" s="684"/>
      <c r="YR67" s="684"/>
      <c r="YS67" s="684"/>
      <c r="YT67" s="684"/>
      <c r="YU67" s="684"/>
      <c r="YV67" s="684"/>
      <c r="YW67" s="684"/>
      <c r="YX67" s="684"/>
      <c r="YY67" s="684"/>
      <c r="YZ67" s="684"/>
      <c r="ZA67" s="684"/>
      <c r="ZB67" s="684"/>
      <c r="ZC67" s="684"/>
      <c r="ZD67" s="684"/>
      <c r="ZE67" s="684"/>
      <c r="ZF67" s="684"/>
      <c r="ZG67" s="684"/>
      <c r="ZH67" s="684"/>
      <c r="ZI67" s="684"/>
      <c r="ZJ67" s="684"/>
      <c r="ZK67" s="684"/>
      <c r="ZL67" s="684"/>
      <c r="ZM67" s="684"/>
      <c r="ZN67" s="684"/>
      <c r="ZO67" s="684"/>
      <c r="ZP67" s="684"/>
      <c r="ZQ67" s="684"/>
      <c r="ZR67" s="684"/>
      <c r="ZS67" s="684"/>
      <c r="ZT67" s="684"/>
      <c r="ZU67" s="684"/>
      <c r="ZV67" s="684"/>
      <c r="ZW67" s="684"/>
      <c r="ZX67" s="684"/>
      <c r="ZY67" s="684"/>
      <c r="ZZ67" s="684"/>
      <c r="AAA67" s="684"/>
      <c r="AAB67" s="684"/>
      <c r="AAC67" s="684"/>
      <c r="AAD67" s="684"/>
      <c r="AAE67" s="684"/>
      <c r="AAF67" s="684"/>
      <c r="AAG67" s="684"/>
      <c r="AAH67" s="684"/>
      <c r="AAI67" s="684"/>
      <c r="AAJ67" s="684"/>
      <c r="AAK67" s="684"/>
      <c r="AAL67" s="684"/>
      <c r="AAM67" s="684"/>
      <c r="AAN67" s="684"/>
      <c r="AAO67" s="684"/>
      <c r="AAP67" s="684"/>
      <c r="AAQ67" s="684"/>
      <c r="AAR67" s="684"/>
      <c r="AAS67" s="684"/>
      <c r="AAT67" s="684"/>
      <c r="AAU67" s="684"/>
      <c r="AAV67" s="684"/>
      <c r="AAW67" s="684"/>
      <c r="AAX67" s="684"/>
      <c r="AAY67" s="684"/>
      <c r="AAZ67" s="684"/>
      <c r="ABA67" s="684"/>
      <c r="ABB67" s="684"/>
      <c r="ABC67" s="684"/>
      <c r="ABD67" s="684"/>
      <c r="ABE67" s="684"/>
      <c r="ABF67" s="684"/>
      <c r="ABG67" s="684"/>
      <c r="ABH67" s="684"/>
      <c r="ABI67" s="684"/>
      <c r="ABJ67" s="684"/>
      <c r="ABK67" s="684"/>
      <c r="ABL67" s="684"/>
      <c r="ABM67" s="684"/>
      <c r="ABN67" s="684"/>
      <c r="ABO67" s="684"/>
      <c r="ABP67" s="684"/>
      <c r="ABQ67" s="684"/>
      <c r="ABR67" s="684"/>
      <c r="ABS67" s="684"/>
      <c r="ABT67" s="684"/>
      <c r="ABU67" s="684"/>
      <c r="ABV67" s="684"/>
      <c r="ABW67" s="684"/>
      <c r="ABX67" s="684"/>
      <c r="ABY67" s="684"/>
      <c r="ABZ67" s="684"/>
      <c r="ACA67" s="684"/>
      <c r="ACB67" s="684"/>
      <c r="ACC67" s="684"/>
      <c r="ACD67" s="684"/>
      <c r="ACE67" s="684"/>
      <c r="ACF67" s="684"/>
      <c r="ACG67" s="684"/>
      <c r="ACH67" s="684"/>
      <c r="ACI67" s="684"/>
      <c r="ACJ67" s="684"/>
      <c r="ACK67" s="684"/>
      <c r="ACL67" s="684"/>
      <c r="ACM67" s="684"/>
      <c r="ACN67" s="684"/>
      <c r="ACO67" s="684"/>
      <c r="ACP67" s="684"/>
      <c r="ACQ67" s="684"/>
      <c r="ACR67" s="684"/>
      <c r="ACS67" s="684"/>
      <c r="ACT67" s="684"/>
      <c r="ACU67" s="684"/>
      <c r="ACV67" s="684"/>
      <c r="ACW67" s="684"/>
      <c r="ACX67" s="684"/>
      <c r="ACY67" s="684"/>
      <c r="ACZ67" s="684"/>
      <c r="ADA67" s="684"/>
      <c r="ADB67" s="684"/>
      <c r="ADC67" s="684"/>
      <c r="ADD67" s="684"/>
      <c r="ADE67" s="684"/>
      <c r="ADF67" s="684"/>
      <c r="ADG67" s="684"/>
      <c r="ADH67" s="684"/>
      <c r="ADI67" s="684"/>
      <c r="ADJ67" s="684"/>
      <c r="ADK67" s="684"/>
      <c r="ADL67" s="684"/>
      <c r="ADM67" s="684"/>
      <c r="ADN67" s="684"/>
      <c r="ADO67" s="684"/>
      <c r="ADP67" s="684"/>
      <c r="ADQ67" s="684"/>
      <c r="ADR67" s="684"/>
      <c r="ADS67" s="684"/>
      <c r="ADT67" s="684"/>
      <c r="ADU67" s="684"/>
      <c r="ADV67" s="684"/>
      <c r="ADW67" s="684"/>
      <c r="ADX67" s="684"/>
      <c r="ADY67" s="684"/>
      <c r="ADZ67" s="684"/>
      <c r="AEA67" s="684"/>
      <c r="AEB67" s="684"/>
      <c r="AEC67" s="684"/>
      <c r="AED67" s="684"/>
      <c r="AEE67" s="684"/>
      <c r="AEF67" s="684"/>
      <c r="AEG67" s="684"/>
      <c r="AEH67" s="684"/>
      <c r="AEI67" s="684"/>
      <c r="AEJ67" s="684"/>
      <c r="AEK67" s="684"/>
      <c r="AEL67" s="684"/>
      <c r="AEM67" s="684"/>
      <c r="AEN67" s="684"/>
      <c r="AEO67" s="684"/>
      <c r="AEP67" s="684"/>
      <c r="AEQ67" s="684"/>
      <c r="AER67" s="684"/>
      <c r="AES67" s="684"/>
      <c r="AET67" s="684"/>
      <c r="AEU67" s="684"/>
      <c r="AEV67" s="684"/>
      <c r="AEW67" s="684"/>
      <c r="AEX67" s="684"/>
      <c r="AEY67" s="684"/>
      <c r="AEZ67" s="684"/>
      <c r="AFA67" s="684"/>
      <c r="AFB67" s="684"/>
      <c r="AFC67" s="684"/>
      <c r="AFD67" s="684"/>
      <c r="AFE67" s="684"/>
      <c r="AFF67" s="684"/>
      <c r="AFG67" s="684"/>
      <c r="AFH67" s="684"/>
      <c r="AFI67" s="684"/>
      <c r="AFJ67" s="684"/>
      <c r="AFK67" s="684"/>
      <c r="AFL67" s="684"/>
      <c r="AFM67" s="684"/>
      <c r="AFN67" s="684"/>
      <c r="AFO67" s="684"/>
      <c r="AFP67" s="684"/>
      <c r="AFQ67" s="684"/>
      <c r="AFR67" s="684"/>
      <c r="AFS67" s="684"/>
      <c r="AFT67" s="684"/>
      <c r="AFU67" s="684"/>
      <c r="AFV67" s="684"/>
      <c r="AFW67" s="684"/>
      <c r="AFX67" s="684"/>
      <c r="AFY67" s="684"/>
      <c r="AFZ67" s="684"/>
      <c r="AGA67" s="684"/>
      <c r="AGB67" s="684"/>
      <c r="AGC67" s="684"/>
      <c r="AGD67" s="684"/>
      <c r="AGE67" s="684"/>
      <c r="AGF67" s="684"/>
      <c r="AGG67" s="684"/>
      <c r="AGH67" s="684"/>
      <c r="AGI67" s="684"/>
      <c r="AGJ67" s="684"/>
      <c r="AGK67" s="684"/>
      <c r="AGL67" s="684"/>
      <c r="AGM67" s="684"/>
      <c r="AGN67" s="684"/>
      <c r="AGO67" s="684"/>
      <c r="AGP67" s="684"/>
      <c r="AGQ67" s="684"/>
      <c r="AGR67" s="684"/>
      <c r="AGS67" s="684"/>
      <c r="AGT67" s="684"/>
      <c r="AGU67" s="684"/>
      <c r="AGV67" s="684"/>
      <c r="AGW67" s="684"/>
      <c r="AGX67" s="684"/>
      <c r="AGY67" s="684"/>
      <c r="AGZ67" s="684"/>
      <c r="AHA67" s="684"/>
      <c r="AHB67" s="684"/>
      <c r="AHC67" s="684"/>
      <c r="AHD67" s="684"/>
      <c r="AHE67" s="684"/>
      <c r="AHF67" s="684"/>
      <c r="AHG67" s="684"/>
      <c r="AHH67" s="684"/>
      <c r="AHI67" s="684"/>
      <c r="AHJ67" s="684"/>
      <c r="AHK67" s="684"/>
      <c r="AHL67" s="684"/>
      <c r="AHM67" s="684"/>
      <c r="AHN67" s="684"/>
      <c r="AHO67" s="684"/>
      <c r="AHP67" s="684"/>
      <c r="AHQ67" s="684"/>
      <c r="AHR67" s="684"/>
      <c r="AHS67" s="684"/>
      <c r="AHT67" s="684"/>
      <c r="AHU67" s="684"/>
      <c r="AHV67" s="684"/>
      <c r="AHW67" s="684"/>
      <c r="AHX67" s="684"/>
      <c r="AHY67" s="684"/>
      <c r="AHZ67" s="684"/>
      <c r="AIA67" s="684"/>
      <c r="AIB67" s="684"/>
      <c r="AIC67" s="684"/>
      <c r="AID67" s="684"/>
      <c r="AIE67" s="684"/>
      <c r="AIF67" s="684"/>
      <c r="AIG67" s="684"/>
      <c r="AIH67" s="684"/>
      <c r="AII67" s="684"/>
      <c r="AIJ67" s="684"/>
      <c r="AIK67" s="684"/>
      <c r="AIL67" s="684"/>
      <c r="AIM67" s="684"/>
      <c r="AIN67" s="684"/>
      <c r="AIO67" s="684"/>
      <c r="AIP67" s="684"/>
      <c r="AIQ67" s="684"/>
      <c r="AIR67" s="684"/>
      <c r="AIS67" s="684"/>
      <c r="AIT67" s="684"/>
      <c r="AIU67" s="684"/>
      <c r="AIV67" s="684"/>
      <c r="AIW67" s="684"/>
      <c r="AIX67" s="684"/>
      <c r="AIY67" s="684"/>
      <c r="AIZ67" s="684"/>
      <c r="AJA67" s="684"/>
      <c r="AJB67" s="684"/>
      <c r="AJC67" s="684"/>
      <c r="AJD67" s="684"/>
      <c r="AJE67" s="684"/>
      <c r="AJF67" s="684"/>
      <c r="AJG67" s="684"/>
      <c r="AJH67" s="684"/>
      <c r="AJI67" s="684"/>
      <c r="AJJ67" s="684"/>
      <c r="AJK67" s="684"/>
      <c r="AJL67" s="684"/>
      <c r="AJM67" s="684"/>
      <c r="AJN67" s="684"/>
      <c r="AJO67" s="684"/>
      <c r="AJP67" s="684"/>
      <c r="AJQ67" s="684"/>
      <c r="AJR67" s="684"/>
      <c r="AJS67" s="684"/>
      <c r="AJT67" s="684"/>
      <c r="AJU67" s="684"/>
      <c r="AJV67" s="684"/>
      <c r="AJW67" s="684"/>
      <c r="AJX67" s="684"/>
      <c r="AJY67" s="684"/>
      <c r="AJZ67" s="684"/>
      <c r="AKA67" s="684"/>
      <c r="AKB67" s="684"/>
      <c r="AKC67" s="684"/>
      <c r="AKD67" s="684"/>
      <c r="AKE67" s="684"/>
      <c r="AKF67" s="684"/>
      <c r="AKG67" s="684"/>
      <c r="AKH67" s="684"/>
      <c r="AKI67" s="684"/>
      <c r="AKJ67" s="684"/>
      <c r="AKK67" s="684"/>
      <c r="AKL67" s="684"/>
      <c r="AKM67" s="684"/>
      <c r="AKN67" s="684"/>
      <c r="AKO67" s="684"/>
      <c r="AKP67" s="684"/>
      <c r="AKQ67" s="684"/>
      <c r="AKR67" s="684"/>
      <c r="AKS67" s="684"/>
      <c r="AKT67" s="684"/>
      <c r="AKU67" s="684"/>
      <c r="AKV67" s="684"/>
      <c r="AKW67" s="684"/>
      <c r="AKX67" s="684"/>
      <c r="AKY67" s="684"/>
      <c r="AKZ67" s="684"/>
      <c r="ALA67" s="684"/>
      <c r="ALB67" s="684"/>
      <c r="ALC67" s="684"/>
      <c r="ALD67" s="684"/>
      <c r="ALE67" s="684"/>
      <c r="ALF67" s="684"/>
      <c r="ALG67" s="684"/>
      <c r="ALH67" s="684"/>
      <c r="ALI67" s="684"/>
      <c r="ALJ67" s="684"/>
      <c r="ALK67" s="684"/>
      <c r="ALL67" s="684"/>
      <c r="ALM67" s="684"/>
      <c r="ALN67" s="684"/>
      <c r="ALO67" s="684"/>
      <c r="ALP67" s="684"/>
      <c r="ALQ67" s="684"/>
      <c r="ALR67" s="684"/>
      <c r="ALS67" s="684"/>
      <c r="ALT67" s="684"/>
      <c r="ALU67" s="684"/>
      <c r="ALV67" s="684"/>
      <c r="ALW67" s="684"/>
      <c r="ALX67" s="684"/>
      <c r="ALY67" s="684"/>
      <c r="ALZ67" s="684"/>
      <c r="AMA67" s="684"/>
      <c r="AMB67" s="684"/>
      <c r="AMC67" s="684"/>
      <c r="AMD67" s="684"/>
      <c r="AME67" s="684"/>
      <c r="AMF67" s="684"/>
      <c r="AMG67" s="684"/>
      <c r="AMH67" s="684"/>
      <c r="AMI67" s="684"/>
      <c r="AMJ67" s="684"/>
      <c r="AMK67" s="684"/>
      <c r="AML67" s="684"/>
      <c r="AMM67" s="684"/>
      <c r="AMN67" s="684"/>
      <c r="AMO67" s="684"/>
      <c r="AMP67" s="684"/>
      <c r="AMQ67" s="684"/>
      <c r="AMR67" s="684"/>
      <c r="AMS67" s="684"/>
      <c r="AMT67" s="684"/>
      <c r="AMU67" s="684"/>
      <c r="AMV67" s="684"/>
      <c r="AMW67" s="684"/>
      <c r="AMX67" s="684"/>
      <c r="AMY67" s="684"/>
      <c r="AMZ67" s="684"/>
      <c r="ANA67" s="684"/>
      <c r="ANB67" s="684"/>
      <c r="ANC67" s="684"/>
      <c r="AND67" s="684"/>
      <c r="ANE67" s="684"/>
      <c r="ANF67" s="684"/>
      <c r="ANG67" s="684"/>
      <c r="ANH67" s="684"/>
      <c r="ANI67" s="684"/>
      <c r="ANJ67" s="684"/>
      <c r="ANK67" s="684"/>
      <c r="ANL67" s="684"/>
      <c r="ANM67" s="684"/>
      <c r="ANN67" s="684"/>
      <c r="ANO67" s="684"/>
      <c r="ANP67" s="684"/>
      <c r="ANQ67" s="684"/>
      <c r="ANR67" s="684"/>
      <c r="ANS67" s="684"/>
      <c r="ANT67" s="684"/>
      <c r="ANU67" s="684"/>
      <c r="ANV67" s="684"/>
      <c r="ANW67" s="684"/>
      <c r="ANX67" s="684"/>
      <c r="ANY67" s="684"/>
      <c r="ANZ67" s="684"/>
      <c r="AOA67" s="684"/>
      <c r="AOB67" s="684"/>
      <c r="AOC67" s="684"/>
      <c r="AOD67" s="684"/>
      <c r="AOE67" s="684"/>
      <c r="AOF67" s="684"/>
      <c r="AOG67" s="684"/>
      <c r="AOH67" s="684"/>
      <c r="AOI67" s="684"/>
      <c r="AOJ67" s="684"/>
      <c r="AOK67" s="684"/>
      <c r="AOL67" s="684"/>
      <c r="AOM67" s="684"/>
      <c r="AON67" s="684"/>
      <c r="AOO67" s="684"/>
      <c r="AOP67" s="684"/>
      <c r="AOQ67" s="684"/>
      <c r="AOR67" s="684"/>
      <c r="AOS67" s="684"/>
      <c r="AOT67" s="684"/>
      <c r="AOU67" s="684"/>
      <c r="AOV67" s="684"/>
      <c r="AOW67" s="684"/>
      <c r="AOX67" s="684"/>
      <c r="AOY67" s="684"/>
      <c r="AOZ67" s="684"/>
      <c r="APA67" s="684"/>
      <c r="APB67" s="684"/>
      <c r="APC67" s="684"/>
      <c r="APD67" s="684"/>
      <c r="APE67" s="684"/>
      <c r="APF67" s="684"/>
      <c r="APG67" s="684"/>
      <c r="APH67" s="684"/>
      <c r="API67" s="684"/>
      <c r="APJ67" s="684"/>
      <c r="APK67" s="684"/>
      <c r="APL67" s="684"/>
      <c r="APM67" s="684"/>
      <c r="APN67" s="684"/>
      <c r="APO67" s="684"/>
      <c r="APP67" s="684"/>
      <c r="APQ67" s="684"/>
      <c r="APR67" s="684"/>
      <c r="APS67" s="684"/>
      <c r="APT67" s="684"/>
      <c r="APU67" s="684"/>
      <c r="APV67" s="684"/>
      <c r="APW67" s="684"/>
      <c r="APX67" s="684"/>
      <c r="APY67" s="684"/>
      <c r="APZ67" s="684"/>
      <c r="AQA67" s="684"/>
      <c r="AQB67" s="684"/>
      <c r="AQC67" s="684"/>
      <c r="AQD67" s="684"/>
      <c r="AQE67" s="684"/>
      <c r="AQF67" s="684"/>
      <c r="AQG67" s="684"/>
      <c r="AQH67" s="684"/>
      <c r="AQI67" s="684"/>
      <c r="AQJ67" s="684"/>
      <c r="AQK67" s="684"/>
      <c r="AQL67" s="684"/>
      <c r="AQM67" s="684"/>
      <c r="AQN67" s="684"/>
      <c r="AQO67" s="684"/>
      <c r="AQP67" s="684"/>
      <c r="AQQ67" s="684"/>
      <c r="AQR67" s="684"/>
      <c r="AQS67" s="684"/>
      <c r="AQT67" s="684"/>
      <c r="AQU67" s="684"/>
      <c r="AQV67" s="684"/>
      <c r="AQW67" s="684"/>
      <c r="AQX67" s="684"/>
      <c r="AQY67" s="684"/>
      <c r="AQZ67" s="684"/>
      <c r="ARA67" s="684"/>
      <c r="ARB67" s="684"/>
      <c r="ARC67" s="684"/>
      <c r="ARD67" s="684"/>
      <c r="ARE67" s="684"/>
      <c r="ARF67" s="684"/>
      <c r="ARG67" s="684"/>
      <c r="ARH67" s="684"/>
      <c r="ARI67" s="684"/>
      <c r="ARJ67" s="684"/>
      <c r="ARK67" s="684"/>
      <c r="ARL67" s="684"/>
      <c r="ARM67" s="684"/>
      <c r="ARN67" s="684"/>
      <c r="ARO67" s="684"/>
      <c r="ARP67" s="684"/>
      <c r="ARQ67" s="684"/>
      <c r="ARR67" s="684"/>
      <c r="ARS67" s="684"/>
      <c r="ART67" s="684"/>
      <c r="ARU67" s="684"/>
      <c r="ARV67" s="684"/>
      <c r="ARW67" s="684"/>
      <c r="ARX67" s="684"/>
      <c r="ARY67" s="684"/>
      <c r="ARZ67" s="684"/>
      <c r="ASA67" s="684"/>
      <c r="ASB67" s="684"/>
      <c r="ASC67" s="684"/>
      <c r="ASD67" s="684"/>
      <c r="ASE67" s="684"/>
      <c r="ASF67" s="684"/>
      <c r="ASG67" s="684"/>
      <c r="ASH67" s="684"/>
      <c r="ASI67" s="684"/>
      <c r="ASJ67" s="684"/>
      <c r="ASK67" s="684"/>
      <c r="ASL67" s="684"/>
      <c r="ASM67" s="684"/>
      <c r="ASN67" s="684"/>
      <c r="ASO67" s="684"/>
      <c r="ASP67" s="684"/>
      <c r="ASQ67" s="684"/>
      <c r="ASR67" s="684"/>
      <c r="ASS67" s="684"/>
      <c r="AST67" s="684"/>
      <c r="ASU67" s="684"/>
      <c r="ASV67" s="684"/>
      <c r="ASW67" s="684"/>
      <c r="ASX67" s="684"/>
      <c r="ASY67" s="684"/>
      <c r="ASZ67" s="684"/>
      <c r="ATA67" s="684"/>
      <c r="ATB67" s="684"/>
      <c r="ATC67" s="684"/>
      <c r="ATD67" s="684"/>
      <c r="ATE67" s="684"/>
      <c r="ATF67" s="684"/>
      <c r="ATG67" s="684"/>
      <c r="ATH67" s="684"/>
      <c r="ATI67" s="684"/>
      <c r="ATJ67" s="684"/>
      <c r="ATK67" s="684"/>
      <c r="ATL67" s="684"/>
      <c r="ATM67" s="684"/>
      <c r="ATN67" s="684"/>
      <c r="ATO67" s="684"/>
      <c r="ATP67" s="684"/>
      <c r="ATQ67" s="684"/>
      <c r="ATR67" s="684"/>
      <c r="ATS67" s="684"/>
      <c r="ATT67" s="684"/>
      <c r="ATU67" s="684"/>
      <c r="ATV67" s="684"/>
      <c r="ATW67" s="684"/>
      <c r="ATX67" s="684"/>
      <c r="ATY67" s="684"/>
      <c r="ATZ67" s="684"/>
      <c r="AUA67" s="684"/>
      <c r="AUB67" s="684"/>
      <c r="AUC67" s="684"/>
      <c r="AUD67" s="684"/>
      <c r="AUE67" s="684"/>
      <c r="AUF67" s="684"/>
      <c r="AUG67" s="684"/>
      <c r="AUH67" s="684"/>
      <c r="AUI67" s="684"/>
      <c r="AUJ67" s="684"/>
      <c r="AUK67" s="684"/>
      <c r="AUL67" s="684"/>
      <c r="AUM67" s="684"/>
      <c r="AUN67" s="684"/>
      <c r="AUO67" s="684"/>
      <c r="AUP67" s="684"/>
      <c r="AUQ67" s="684"/>
      <c r="AUR67" s="684"/>
      <c r="AUS67" s="684"/>
      <c r="AUT67" s="684"/>
      <c r="AUU67" s="684"/>
      <c r="AUV67" s="684"/>
      <c r="AUW67" s="684"/>
      <c r="AUX67" s="684"/>
      <c r="AUY67" s="684"/>
      <c r="AUZ67" s="684"/>
      <c r="AVA67" s="684"/>
      <c r="AVB67" s="684"/>
      <c r="AVC67" s="684"/>
      <c r="AVD67" s="684"/>
      <c r="AVE67" s="684"/>
      <c r="AVF67" s="684"/>
      <c r="AVG67" s="684"/>
      <c r="AVH67" s="684"/>
      <c r="AVI67" s="684"/>
      <c r="AVJ67" s="684"/>
      <c r="AVK67" s="684"/>
      <c r="AVL67" s="684"/>
      <c r="AVM67" s="684"/>
      <c r="AVN67" s="684"/>
      <c r="AVO67" s="684"/>
      <c r="AVP67" s="684"/>
      <c r="AVQ67" s="684"/>
      <c r="AVR67" s="684"/>
      <c r="AVS67" s="684"/>
      <c r="AVT67" s="684"/>
      <c r="AVU67" s="684"/>
      <c r="AVV67" s="684"/>
      <c r="AVW67" s="684"/>
      <c r="AVX67" s="684"/>
      <c r="AVY67" s="684"/>
      <c r="AVZ67" s="684"/>
      <c r="AWA67" s="684"/>
      <c r="AWB67" s="684"/>
      <c r="AWC67" s="684"/>
      <c r="AWD67" s="684"/>
      <c r="AWE67" s="684"/>
      <c r="AWF67" s="684"/>
      <c r="AWG67" s="684"/>
      <c r="AWH67" s="684"/>
      <c r="AWI67" s="684"/>
      <c r="AWJ67" s="684"/>
      <c r="AWK67" s="684"/>
      <c r="AWL67" s="684"/>
      <c r="AWM67" s="684"/>
      <c r="AWN67" s="684"/>
      <c r="AWO67" s="684"/>
      <c r="AWP67" s="684"/>
      <c r="AWQ67" s="684"/>
      <c r="AWR67" s="684"/>
      <c r="AWS67" s="684"/>
      <c r="AWT67" s="684"/>
      <c r="AWU67" s="684"/>
      <c r="AWV67" s="684"/>
      <c r="AWW67" s="684"/>
      <c r="AWX67" s="684"/>
      <c r="AWY67" s="684"/>
      <c r="AWZ67" s="684"/>
      <c r="AXA67" s="684"/>
      <c r="AXB67" s="684"/>
      <c r="AXC67" s="684"/>
      <c r="AXD67" s="684"/>
      <c r="AXE67" s="684"/>
      <c r="AXF67" s="684"/>
      <c r="AXG67" s="684"/>
      <c r="AXH67" s="684"/>
      <c r="AXI67" s="684"/>
      <c r="AXJ67" s="684"/>
      <c r="AXK67" s="684"/>
      <c r="AXL67" s="684"/>
      <c r="AXM67" s="684"/>
      <c r="AXN67" s="684"/>
      <c r="AXO67" s="684"/>
      <c r="AXP67" s="684"/>
      <c r="AXQ67" s="684"/>
      <c r="AXR67" s="684"/>
      <c r="AXS67" s="684"/>
      <c r="AXT67" s="684"/>
      <c r="AXU67" s="684"/>
      <c r="AXV67" s="684"/>
      <c r="AXW67" s="684"/>
      <c r="AXX67" s="684"/>
      <c r="AXY67" s="684"/>
      <c r="AXZ67" s="684"/>
      <c r="AYA67" s="684"/>
      <c r="AYB67" s="684"/>
      <c r="AYC67" s="684"/>
      <c r="AYD67" s="684"/>
      <c r="AYE67" s="684"/>
      <c r="AYF67" s="684"/>
      <c r="AYG67" s="684"/>
      <c r="AYH67" s="684"/>
      <c r="AYI67" s="684"/>
      <c r="AYJ67" s="684"/>
      <c r="AYK67" s="684"/>
      <c r="AYL67" s="684"/>
      <c r="AYM67" s="684"/>
      <c r="AYN67" s="684"/>
      <c r="AYO67" s="684"/>
      <c r="AYP67" s="684"/>
      <c r="AYQ67" s="684"/>
      <c r="AYR67" s="684"/>
      <c r="AYS67" s="684"/>
      <c r="AYT67" s="684"/>
      <c r="AYU67" s="684"/>
      <c r="AYV67" s="684"/>
      <c r="AYW67" s="684"/>
      <c r="AYX67" s="684"/>
      <c r="AYY67" s="684"/>
      <c r="AYZ67" s="684"/>
      <c r="AZA67" s="684"/>
      <c r="AZB67" s="684"/>
      <c r="AZC67" s="684"/>
      <c r="AZD67" s="684"/>
      <c r="AZE67" s="684"/>
      <c r="AZF67" s="684"/>
      <c r="AZG67" s="684"/>
      <c r="AZH67" s="684"/>
      <c r="AZI67" s="684"/>
      <c r="AZJ67" s="684"/>
      <c r="AZK67" s="684"/>
      <c r="AZL67" s="684"/>
      <c r="AZM67" s="684"/>
      <c r="AZN67" s="684"/>
      <c r="AZO67" s="684"/>
      <c r="AZP67" s="684"/>
      <c r="AZQ67" s="684"/>
      <c r="AZR67" s="684"/>
      <c r="AZS67" s="684"/>
      <c r="AZT67" s="684"/>
      <c r="AZU67" s="684"/>
      <c r="AZV67" s="684"/>
      <c r="AZW67" s="684"/>
      <c r="AZX67" s="684"/>
      <c r="AZY67" s="684"/>
      <c r="AZZ67" s="684"/>
      <c r="BAA67" s="684"/>
      <c r="BAB67" s="684"/>
      <c r="BAC67" s="684"/>
      <c r="BAD67" s="684"/>
      <c r="BAE67" s="684"/>
      <c r="BAF67" s="684"/>
      <c r="BAG67" s="684"/>
      <c r="BAH67" s="684"/>
      <c r="BAI67" s="684"/>
      <c r="BAJ67" s="684"/>
      <c r="BAK67" s="684"/>
      <c r="BAL67" s="684"/>
      <c r="BAM67" s="684"/>
      <c r="BAN67" s="684"/>
      <c r="BAO67" s="684"/>
      <c r="BAP67" s="684"/>
      <c r="BAQ67" s="684"/>
      <c r="BAR67" s="684"/>
      <c r="BAS67" s="684"/>
      <c r="BAT67" s="684"/>
      <c r="BAU67" s="684"/>
      <c r="BAV67" s="684"/>
      <c r="BAW67" s="684"/>
      <c r="BAX67" s="684"/>
      <c r="BAY67" s="684"/>
      <c r="BAZ67" s="684"/>
      <c r="BBA67" s="684"/>
      <c r="BBB67" s="684"/>
      <c r="BBC67" s="684"/>
      <c r="BBD67" s="684"/>
      <c r="BBE67" s="684"/>
      <c r="BBF67" s="684"/>
      <c r="BBG67" s="684"/>
      <c r="BBH67" s="684"/>
      <c r="BBI67" s="684"/>
      <c r="BBJ67" s="684"/>
      <c r="BBK67" s="684"/>
      <c r="BBL67" s="684"/>
      <c r="BBM67" s="684"/>
      <c r="BBN67" s="684"/>
      <c r="BBO67" s="684"/>
      <c r="BBP67" s="684"/>
      <c r="BBQ67" s="684"/>
      <c r="BBR67" s="684"/>
      <c r="BBS67" s="684"/>
      <c r="BBT67" s="684"/>
      <c r="BBU67" s="684"/>
      <c r="BBV67" s="684"/>
      <c r="BBW67" s="684"/>
      <c r="BBX67" s="684"/>
      <c r="BBY67" s="684"/>
      <c r="BBZ67" s="684"/>
      <c r="BCA67" s="684"/>
      <c r="BCB67" s="684"/>
      <c r="BCC67" s="684"/>
      <c r="BCD67" s="684"/>
      <c r="BCE67" s="684"/>
      <c r="BCF67" s="684"/>
      <c r="BCG67" s="684"/>
      <c r="BCH67" s="684"/>
      <c r="BCI67" s="684"/>
      <c r="BCJ67" s="684"/>
      <c r="BCK67" s="684"/>
      <c r="BCL67" s="684"/>
      <c r="BCM67" s="684"/>
      <c r="BCN67" s="684"/>
      <c r="BCO67" s="684"/>
      <c r="BCP67" s="684"/>
      <c r="BCQ67" s="684"/>
      <c r="BCR67" s="684"/>
      <c r="BCS67" s="684"/>
      <c r="BCT67" s="684"/>
      <c r="BCU67" s="684"/>
      <c r="BCV67" s="684"/>
      <c r="BCW67" s="684"/>
      <c r="BCX67" s="684"/>
      <c r="BCY67" s="684"/>
      <c r="BCZ67" s="684"/>
      <c r="BDA67" s="684"/>
      <c r="BDB67" s="684"/>
      <c r="BDC67" s="684"/>
      <c r="BDD67" s="684"/>
      <c r="BDE67" s="684"/>
      <c r="BDF67" s="684"/>
      <c r="BDG67" s="684"/>
      <c r="BDH67" s="684"/>
      <c r="BDI67" s="684"/>
      <c r="BDJ67" s="684"/>
      <c r="BDK67" s="684"/>
      <c r="BDL67" s="684"/>
      <c r="BDM67" s="684"/>
      <c r="BDN67" s="684"/>
      <c r="BDO67" s="684"/>
      <c r="BDP67" s="684"/>
      <c r="BDQ67" s="684"/>
      <c r="BDR67" s="684"/>
      <c r="BDS67" s="684"/>
      <c r="BDT67" s="684"/>
      <c r="BDU67" s="684"/>
      <c r="BDV67" s="684"/>
      <c r="BDW67" s="684"/>
      <c r="BDX67" s="684"/>
      <c r="BDY67" s="684"/>
      <c r="BDZ67" s="684"/>
      <c r="BEA67" s="684"/>
      <c r="BEB67" s="684"/>
      <c r="BEC67" s="684"/>
      <c r="BED67" s="684"/>
      <c r="BEE67" s="684"/>
      <c r="BEF67" s="684"/>
      <c r="BEG67" s="684"/>
      <c r="BEH67" s="684"/>
      <c r="BEI67" s="684"/>
      <c r="BEJ67" s="684"/>
      <c r="BEK67" s="684"/>
      <c r="BEL67" s="684"/>
      <c r="BEM67" s="684"/>
      <c r="BEN67" s="684"/>
      <c r="BEO67" s="684"/>
      <c r="BEP67" s="684"/>
      <c r="BEQ67" s="684"/>
      <c r="BER67" s="684"/>
      <c r="BES67" s="684"/>
      <c r="BET67" s="684"/>
      <c r="BEU67" s="684"/>
      <c r="BEV67" s="684"/>
      <c r="BEW67" s="684"/>
      <c r="BEX67" s="684"/>
      <c r="BEY67" s="684"/>
      <c r="BEZ67" s="684"/>
      <c r="BFA67" s="684"/>
      <c r="BFB67" s="684"/>
      <c r="BFC67" s="684"/>
      <c r="BFD67" s="684"/>
      <c r="BFE67" s="684"/>
      <c r="BFF67" s="684"/>
      <c r="BFG67" s="684"/>
      <c r="BFH67" s="684"/>
      <c r="BFI67" s="684"/>
      <c r="BFJ67" s="684"/>
      <c r="BFK67" s="684"/>
      <c r="BFL67" s="684"/>
      <c r="BFM67" s="684"/>
      <c r="BFN67" s="684"/>
      <c r="BFO67" s="684"/>
      <c r="BFP67" s="684"/>
      <c r="BFQ67" s="684"/>
      <c r="BFR67" s="684"/>
      <c r="BFS67" s="684"/>
      <c r="BFT67" s="684"/>
      <c r="BFU67" s="684"/>
      <c r="BFV67" s="684"/>
      <c r="BFW67" s="684"/>
      <c r="BFX67" s="684"/>
      <c r="BFY67" s="684"/>
      <c r="BFZ67" s="684"/>
      <c r="BGA67" s="684"/>
      <c r="BGB67" s="684"/>
      <c r="BGC67" s="684"/>
      <c r="BGD67" s="684"/>
      <c r="BGE67" s="684"/>
      <c r="BGF67" s="684"/>
      <c r="BGG67" s="684"/>
      <c r="BGH67" s="684"/>
      <c r="BGI67" s="684"/>
      <c r="BGJ67" s="684"/>
      <c r="BGK67" s="684"/>
      <c r="BGL67" s="684"/>
      <c r="BGM67" s="684"/>
      <c r="BGN67" s="684"/>
      <c r="BGO67" s="684"/>
      <c r="BGP67" s="684"/>
      <c r="BGQ67" s="684"/>
      <c r="BGR67" s="684"/>
      <c r="BGS67" s="684"/>
      <c r="BGT67" s="684"/>
      <c r="BGU67" s="684"/>
      <c r="BGV67" s="684"/>
      <c r="BGW67" s="684"/>
      <c r="BGX67" s="684"/>
      <c r="BGY67" s="684"/>
      <c r="BGZ67" s="684"/>
      <c r="BHA67" s="684"/>
      <c r="BHB67" s="684"/>
      <c r="BHC67" s="684"/>
      <c r="BHD67" s="684"/>
      <c r="BHE67" s="684"/>
      <c r="BHF67" s="684"/>
      <c r="BHG67" s="684"/>
      <c r="BHH67" s="684"/>
      <c r="BHI67" s="684"/>
      <c r="BHJ67" s="684"/>
      <c r="BHK67" s="684"/>
      <c r="BHL67" s="684"/>
      <c r="BHM67" s="684"/>
      <c r="BHN67" s="684"/>
      <c r="BHO67" s="684"/>
      <c r="BHP67" s="684"/>
      <c r="BHQ67" s="684"/>
      <c r="BHR67" s="684"/>
      <c r="BHS67" s="684"/>
      <c r="BHT67" s="684"/>
      <c r="BHU67" s="684"/>
      <c r="BHV67" s="684"/>
      <c r="BHW67" s="684"/>
      <c r="BHX67" s="684"/>
      <c r="BHY67" s="684"/>
      <c r="BHZ67" s="684"/>
      <c r="BIA67" s="684"/>
      <c r="BIB67" s="684"/>
      <c r="BIC67" s="684"/>
      <c r="BID67" s="684"/>
      <c r="BIE67" s="684"/>
      <c r="BIF67" s="684"/>
      <c r="BIG67" s="684"/>
      <c r="BIH67" s="684"/>
      <c r="BII67" s="684"/>
      <c r="BIJ67" s="684"/>
      <c r="BIK67" s="684"/>
      <c r="BIL67" s="684"/>
      <c r="BIM67" s="684"/>
      <c r="BIN67" s="684"/>
      <c r="BIO67" s="684"/>
      <c r="BIP67" s="684"/>
      <c r="BIQ67" s="684"/>
      <c r="BIR67" s="684"/>
      <c r="BIS67" s="684"/>
      <c r="BIT67" s="684"/>
      <c r="BIU67" s="684"/>
      <c r="BIV67" s="684"/>
      <c r="BIW67" s="684"/>
      <c r="BIX67" s="684"/>
      <c r="BIY67" s="684"/>
      <c r="BIZ67" s="684"/>
      <c r="BJA67" s="684"/>
      <c r="BJB67" s="684"/>
      <c r="BJC67" s="684"/>
      <c r="BJD67" s="684"/>
      <c r="BJE67" s="684"/>
      <c r="BJF67" s="684"/>
      <c r="BJG67" s="684"/>
      <c r="BJH67" s="684"/>
      <c r="BJI67" s="684"/>
      <c r="BJJ67" s="684"/>
      <c r="BJK67" s="684"/>
      <c r="BJL67" s="684"/>
      <c r="BJM67" s="684"/>
      <c r="BJN67" s="684"/>
      <c r="BJO67" s="684"/>
      <c r="BJP67" s="684"/>
      <c r="BJQ67" s="684"/>
      <c r="BJR67" s="684"/>
      <c r="BJS67" s="684"/>
      <c r="BJT67" s="684"/>
      <c r="BJU67" s="684"/>
      <c r="BJV67" s="684"/>
      <c r="BJW67" s="684"/>
      <c r="BJX67" s="684"/>
      <c r="BJY67" s="684"/>
      <c r="BJZ67" s="684"/>
      <c r="BKA67" s="684"/>
      <c r="BKB67" s="684"/>
      <c r="BKC67" s="684"/>
      <c r="BKD67" s="684"/>
      <c r="BKE67" s="684"/>
      <c r="BKF67" s="684"/>
      <c r="BKG67" s="684"/>
      <c r="BKH67" s="684"/>
      <c r="BKI67" s="684"/>
      <c r="BKJ67" s="684"/>
      <c r="BKK67" s="684"/>
      <c r="BKL67" s="684"/>
      <c r="BKM67" s="684"/>
      <c r="BKN67" s="684"/>
      <c r="BKO67" s="684"/>
      <c r="BKP67" s="684"/>
      <c r="BKQ67" s="684"/>
      <c r="BKR67" s="684"/>
      <c r="BKS67" s="684"/>
      <c r="BKT67" s="684"/>
      <c r="BKU67" s="684"/>
      <c r="BKV67" s="684"/>
      <c r="BKW67" s="684"/>
      <c r="BKX67" s="684"/>
      <c r="BKY67" s="684"/>
      <c r="BKZ67" s="684"/>
      <c r="BLA67" s="684"/>
      <c r="BLB67" s="684"/>
      <c r="BLC67" s="684"/>
      <c r="BLD67" s="684"/>
      <c r="BLE67" s="684"/>
      <c r="BLF67" s="684"/>
      <c r="BLG67" s="684"/>
      <c r="BLH67" s="684"/>
      <c r="BLI67" s="684"/>
      <c r="BLJ67" s="684"/>
      <c r="BLK67" s="684"/>
      <c r="BLL67" s="684"/>
      <c r="BLM67" s="684"/>
      <c r="BLN67" s="684"/>
      <c r="BLO67" s="684"/>
      <c r="BLP67" s="684"/>
      <c r="BLQ67" s="684"/>
      <c r="BLR67" s="684"/>
      <c r="BLS67" s="684"/>
      <c r="BLT67" s="684"/>
      <c r="BLU67" s="684"/>
      <c r="BLV67" s="684"/>
      <c r="BLW67" s="684"/>
      <c r="BLX67" s="684"/>
      <c r="BLY67" s="684"/>
      <c r="BLZ67" s="684"/>
      <c r="BMA67" s="684"/>
      <c r="BMB67" s="684"/>
      <c r="BMC67" s="684"/>
      <c r="BMD67" s="684"/>
      <c r="BME67" s="684"/>
      <c r="BMF67" s="684"/>
      <c r="BMG67" s="684"/>
      <c r="BMH67" s="684"/>
      <c r="BMI67" s="684"/>
      <c r="BMJ67" s="684"/>
      <c r="BMK67" s="684"/>
      <c r="BML67" s="684"/>
      <c r="BMM67" s="684"/>
      <c r="BMN67" s="684"/>
      <c r="BMO67" s="684"/>
      <c r="BMP67" s="684"/>
      <c r="BMQ67" s="684"/>
      <c r="BMR67" s="684"/>
      <c r="BMS67" s="684"/>
      <c r="BMT67" s="684"/>
      <c r="BMU67" s="684"/>
      <c r="BMV67" s="684"/>
      <c r="BMW67" s="684"/>
      <c r="BMX67" s="684"/>
      <c r="BMY67" s="684"/>
      <c r="BMZ67" s="684"/>
      <c r="BNA67" s="684"/>
      <c r="BNB67" s="684"/>
      <c r="BNC67" s="684"/>
      <c r="BND67" s="684"/>
      <c r="BNE67" s="684"/>
      <c r="BNF67" s="684"/>
      <c r="BNG67" s="684"/>
      <c r="BNH67" s="684"/>
      <c r="BNI67" s="684"/>
      <c r="BNJ67" s="684"/>
      <c r="BNK67" s="684"/>
      <c r="BNL67" s="684"/>
      <c r="BNM67" s="684"/>
      <c r="BNN67" s="684"/>
      <c r="BNO67" s="684"/>
      <c r="BNP67" s="684"/>
      <c r="BNQ67" s="684"/>
      <c r="BNR67" s="684"/>
      <c r="BNS67" s="684"/>
      <c r="BNT67" s="684"/>
      <c r="BNU67" s="684"/>
      <c r="BNV67" s="684"/>
      <c r="BNW67" s="684"/>
      <c r="BNX67" s="684"/>
      <c r="BNY67" s="684"/>
      <c r="BNZ67" s="684"/>
      <c r="BOA67" s="684"/>
      <c r="BOB67" s="684"/>
      <c r="BOC67" s="684"/>
      <c r="BOD67" s="684"/>
      <c r="BOE67" s="684"/>
      <c r="BOF67" s="684"/>
      <c r="BOG67" s="684"/>
      <c r="BOH67" s="684"/>
      <c r="BOI67" s="684"/>
      <c r="BOJ67" s="684"/>
      <c r="BOK67" s="684"/>
      <c r="BOL67" s="684"/>
      <c r="BOM67" s="684"/>
      <c r="BON67" s="684"/>
      <c r="BOO67" s="684"/>
      <c r="BOP67" s="684"/>
      <c r="BOQ67" s="684"/>
      <c r="BOR67" s="684"/>
      <c r="BOS67" s="684"/>
      <c r="BOT67" s="684"/>
      <c r="BOU67" s="684"/>
      <c r="BOV67" s="684"/>
      <c r="BOW67" s="684"/>
      <c r="BOX67" s="684"/>
      <c r="BOY67" s="684"/>
      <c r="BOZ67" s="684"/>
      <c r="BPA67" s="684"/>
      <c r="BPB67" s="684"/>
      <c r="BPC67" s="684"/>
      <c r="BPD67" s="684"/>
      <c r="BPE67" s="684"/>
      <c r="BPF67" s="684"/>
      <c r="BPG67" s="684"/>
      <c r="BPH67" s="684"/>
      <c r="BPI67" s="684"/>
      <c r="BPJ67" s="684"/>
      <c r="BPK67" s="684"/>
      <c r="BPL67" s="684"/>
      <c r="BPM67" s="684"/>
      <c r="BPN67" s="684"/>
      <c r="BPO67" s="684"/>
      <c r="BPP67" s="684"/>
      <c r="BPQ67" s="684"/>
      <c r="BPR67" s="684"/>
      <c r="BPS67" s="684"/>
      <c r="BPT67" s="684"/>
      <c r="BPU67" s="684"/>
      <c r="BPV67" s="684"/>
      <c r="BPW67" s="684"/>
      <c r="BPX67" s="684"/>
      <c r="BPY67" s="684"/>
      <c r="BPZ67" s="684"/>
      <c r="BQA67" s="684"/>
      <c r="BQB67" s="684"/>
      <c r="BQC67" s="684"/>
      <c r="BQD67" s="684"/>
      <c r="BQE67" s="684"/>
      <c r="BQF67" s="684"/>
      <c r="BQG67" s="684"/>
      <c r="BQH67" s="684"/>
      <c r="BQI67" s="684"/>
      <c r="BQJ67" s="684"/>
      <c r="BQK67" s="684"/>
      <c r="BQL67" s="684"/>
      <c r="BQM67" s="684"/>
      <c r="BQN67" s="684"/>
      <c r="BQO67" s="684"/>
      <c r="BQP67" s="684"/>
      <c r="BQQ67" s="684"/>
      <c r="BQR67" s="684"/>
      <c r="BQS67" s="684"/>
      <c r="BQT67" s="684"/>
      <c r="BQU67" s="684"/>
      <c r="BQV67" s="684"/>
      <c r="BQW67" s="684"/>
      <c r="BQX67" s="684"/>
      <c r="BQY67" s="684"/>
      <c r="BQZ67" s="684"/>
      <c r="BRA67" s="684"/>
      <c r="BRB67" s="684"/>
      <c r="BRC67" s="684"/>
      <c r="BRD67" s="684"/>
      <c r="BRE67" s="684"/>
      <c r="BRF67" s="684"/>
      <c r="BRG67" s="684"/>
      <c r="BRH67" s="684"/>
      <c r="BRI67" s="684"/>
      <c r="BRJ67" s="684"/>
      <c r="BRK67" s="684"/>
      <c r="BRL67" s="684"/>
      <c r="BRM67" s="684"/>
      <c r="BRN67" s="684"/>
      <c r="BRO67" s="684"/>
      <c r="BRP67" s="684"/>
      <c r="BRQ67" s="684"/>
      <c r="BRR67" s="684"/>
      <c r="BRS67" s="684"/>
      <c r="BRT67" s="684"/>
      <c r="BRU67" s="684"/>
      <c r="BRV67" s="684"/>
      <c r="BRW67" s="684"/>
      <c r="BRX67" s="684"/>
      <c r="BRY67" s="684"/>
      <c r="BRZ67" s="684"/>
      <c r="BSA67" s="684"/>
      <c r="BSB67" s="684"/>
      <c r="BSC67" s="684"/>
      <c r="BSD67" s="684"/>
      <c r="BSE67" s="684"/>
      <c r="BSF67" s="684"/>
      <c r="BSG67" s="684"/>
      <c r="BSH67" s="684"/>
      <c r="BSI67" s="684"/>
      <c r="BSJ67" s="684"/>
      <c r="BSK67" s="684"/>
      <c r="BSL67" s="684"/>
      <c r="BSM67" s="684"/>
      <c r="BSN67" s="684"/>
      <c r="BSO67" s="684"/>
      <c r="BSP67" s="684"/>
      <c r="BSQ67" s="684"/>
      <c r="BSR67" s="684"/>
      <c r="BSS67" s="684"/>
      <c r="BST67" s="684"/>
      <c r="BSU67" s="684"/>
      <c r="BSV67" s="684"/>
      <c r="BSW67" s="684"/>
      <c r="BSX67" s="684"/>
      <c r="BSY67" s="684"/>
      <c r="BSZ67" s="684"/>
      <c r="BTA67" s="684"/>
      <c r="BTB67" s="684"/>
      <c r="BTC67" s="684"/>
      <c r="BTD67" s="684"/>
      <c r="BTE67" s="684"/>
      <c r="BTF67" s="684"/>
      <c r="BTG67" s="684"/>
      <c r="BTH67" s="684"/>
      <c r="BTI67" s="684"/>
      <c r="BTJ67" s="684"/>
      <c r="BTK67" s="684"/>
      <c r="BTL67" s="684"/>
      <c r="BTM67" s="684"/>
      <c r="BTN67" s="684"/>
      <c r="BTO67" s="684"/>
      <c r="BTP67" s="684"/>
      <c r="BTQ67" s="684"/>
      <c r="BTR67" s="684"/>
      <c r="BTS67" s="684"/>
      <c r="BTT67" s="684"/>
      <c r="BTU67" s="684"/>
      <c r="BTV67" s="684"/>
      <c r="BTW67" s="684"/>
      <c r="BTX67" s="684"/>
      <c r="BTY67" s="684"/>
      <c r="BTZ67" s="684"/>
      <c r="BUA67" s="684"/>
      <c r="BUB67" s="684"/>
      <c r="BUC67" s="684"/>
      <c r="BUD67" s="684"/>
      <c r="BUE67" s="684"/>
      <c r="BUF67" s="684"/>
      <c r="BUG67" s="684"/>
      <c r="BUH67" s="684"/>
      <c r="BUI67" s="684"/>
      <c r="BUJ67" s="684"/>
      <c r="BUK67" s="684"/>
      <c r="BUL67" s="684"/>
      <c r="BUM67" s="684"/>
      <c r="BUN67" s="684"/>
      <c r="BUO67" s="684"/>
      <c r="BUP67" s="684"/>
      <c r="BUQ67" s="684"/>
      <c r="BUR67" s="684"/>
      <c r="BUS67" s="684"/>
      <c r="BUT67" s="684"/>
      <c r="BUU67" s="684"/>
      <c r="BUV67" s="684"/>
      <c r="BUW67" s="684"/>
      <c r="BUX67" s="684"/>
      <c r="BUY67" s="684"/>
      <c r="BUZ67" s="684"/>
      <c r="BVA67" s="684"/>
      <c r="BVB67" s="684"/>
      <c r="BVC67" s="684"/>
      <c r="BVD67" s="684"/>
      <c r="BVE67" s="684"/>
      <c r="BVF67" s="684"/>
      <c r="BVG67" s="684"/>
      <c r="BVH67" s="684"/>
      <c r="BVI67" s="684"/>
      <c r="BVJ67" s="684"/>
      <c r="BVK67" s="684"/>
      <c r="BVL67" s="684"/>
      <c r="BVM67" s="684"/>
      <c r="BVN67" s="684"/>
      <c r="BVO67" s="684"/>
      <c r="BVP67" s="684"/>
      <c r="BVQ67" s="684"/>
      <c r="BVR67" s="684"/>
      <c r="BVS67" s="684"/>
      <c r="BVT67" s="684"/>
      <c r="BVU67" s="684"/>
      <c r="BVV67" s="684"/>
      <c r="BVW67" s="684"/>
      <c r="BVX67" s="684"/>
      <c r="BVY67" s="684"/>
      <c r="BVZ67" s="684"/>
      <c r="BWA67" s="684"/>
      <c r="BWB67" s="684"/>
      <c r="BWC67" s="684"/>
      <c r="BWD67" s="684"/>
      <c r="BWE67" s="684"/>
      <c r="BWF67" s="684"/>
      <c r="BWG67" s="684"/>
      <c r="BWH67" s="684"/>
      <c r="BWI67" s="684"/>
      <c r="BWJ67" s="684"/>
      <c r="BWK67" s="684"/>
      <c r="BWL67" s="684"/>
      <c r="BWM67" s="684"/>
      <c r="BWN67" s="684"/>
      <c r="BWO67" s="684"/>
      <c r="BWP67" s="684"/>
      <c r="BWQ67" s="684"/>
      <c r="BWR67" s="684"/>
      <c r="BWS67" s="684"/>
      <c r="BWT67" s="684"/>
      <c r="BWU67" s="684"/>
      <c r="BWV67" s="684"/>
      <c r="BWW67" s="684"/>
      <c r="BWX67" s="684"/>
      <c r="BWY67" s="684"/>
      <c r="BWZ67" s="684"/>
      <c r="BXA67" s="684"/>
      <c r="BXB67" s="684"/>
      <c r="BXC67" s="684"/>
      <c r="BXD67" s="684"/>
      <c r="BXE67" s="684"/>
      <c r="BXF67" s="684"/>
      <c r="BXG67" s="684"/>
      <c r="BXH67" s="684"/>
      <c r="BXI67" s="684"/>
      <c r="BXJ67" s="684"/>
      <c r="BXK67" s="684"/>
      <c r="BXL67" s="684"/>
      <c r="BXM67" s="684"/>
      <c r="BXN67" s="684"/>
      <c r="BXO67" s="684"/>
      <c r="BXP67" s="684"/>
      <c r="BXQ67" s="684"/>
      <c r="BXR67" s="684"/>
      <c r="BXS67" s="684"/>
      <c r="BXT67" s="684"/>
      <c r="BXU67" s="684"/>
      <c r="BXV67" s="684"/>
      <c r="BXW67" s="684"/>
      <c r="BXX67" s="684"/>
      <c r="BXY67" s="684"/>
      <c r="BXZ67" s="684"/>
      <c r="BYA67" s="684"/>
      <c r="BYB67" s="684"/>
      <c r="BYC67" s="684"/>
      <c r="BYD67" s="684"/>
      <c r="BYE67" s="684"/>
      <c r="BYF67" s="684"/>
      <c r="BYG67" s="684"/>
      <c r="BYH67" s="684"/>
      <c r="BYI67" s="684"/>
      <c r="BYJ67" s="684"/>
      <c r="BYK67" s="684"/>
      <c r="BYL67" s="684"/>
      <c r="BYM67" s="684"/>
      <c r="BYN67" s="684"/>
      <c r="BYO67" s="684"/>
      <c r="BYP67" s="684"/>
      <c r="BYQ67" s="684"/>
      <c r="BYR67" s="684"/>
      <c r="BYS67" s="684"/>
      <c r="BYT67" s="684"/>
      <c r="BYU67" s="684"/>
      <c r="BYV67" s="684"/>
      <c r="BYW67" s="684"/>
      <c r="BYX67" s="684"/>
      <c r="BYY67" s="684"/>
      <c r="BYZ67" s="684"/>
      <c r="BZA67" s="684"/>
      <c r="BZB67" s="684"/>
      <c r="BZC67" s="684"/>
      <c r="BZD67" s="684"/>
      <c r="BZE67" s="684"/>
      <c r="BZF67" s="684"/>
      <c r="BZG67" s="684"/>
      <c r="BZH67" s="684"/>
      <c r="BZI67" s="684"/>
      <c r="BZJ67" s="684"/>
      <c r="BZK67" s="684"/>
      <c r="BZL67" s="684"/>
      <c r="BZM67" s="684"/>
      <c r="BZN67" s="684"/>
      <c r="BZO67" s="684"/>
      <c r="BZP67" s="684"/>
      <c r="BZQ67" s="684"/>
      <c r="BZR67" s="684"/>
      <c r="BZS67" s="684"/>
      <c r="BZT67" s="684"/>
      <c r="BZU67" s="684"/>
      <c r="BZV67" s="684"/>
      <c r="BZW67" s="684"/>
      <c r="BZX67" s="684"/>
      <c r="BZY67" s="684"/>
      <c r="BZZ67" s="684"/>
      <c r="CAA67" s="684"/>
      <c r="CAB67" s="684"/>
      <c r="CAC67" s="684"/>
      <c r="CAD67" s="684"/>
      <c r="CAE67" s="684"/>
      <c r="CAF67" s="684"/>
      <c r="CAG67" s="684"/>
      <c r="CAH67" s="684"/>
      <c r="CAI67" s="684"/>
      <c r="CAJ67" s="684"/>
      <c r="CAK67" s="684"/>
      <c r="CAL67" s="684"/>
      <c r="CAM67" s="684"/>
      <c r="CAN67" s="684"/>
      <c r="CAO67" s="684"/>
      <c r="CAP67" s="684"/>
      <c r="CAQ67" s="684"/>
      <c r="CAR67" s="684"/>
      <c r="CAS67" s="684"/>
      <c r="CAT67" s="684"/>
      <c r="CAU67" s="684"/>
      <c r="CAV67" s="684"/>
      <c r="CAW67" s="684"/>
      <c r="CAX67" s="684"/>
      <c r="CAY67" s="684"/>
      <c r="CAZ67" s="684"/>
      <c r="CBA67" s="684"/>
      <c r="CBB67" s="684"/>
      <c r="CBC67" s="684"/>
      <c r="CBD67" s="684"/>
      <c r="CBE67" s="684"/>
      <c r="CBF67" s="684"/>
      <c r="CBG67" s="684"/>
      <c r="CBH67" s="684"/>
      <c r="CBI67" s="684"/>
      <c r="CBJ67" s="684"/>
      <c r="CBK67" s="684"/>
      <c r="CBL67" s="684"/>
      <c r="CBM67" s="684"/>
      <c r="CBN67" s="684"/>
      <c r="CBO67" s="684"/>
      <c r="CBP67" s="684"/>
      <c r="CBQ67" s="684"/>
      <c r="CBR67" s="684"/>
      <c r="CBS67" s="684"/>
      <c r="CBT67" s="684"/>
      <c r="CBU67" s="684"/>
      <c r="CBV67" s="684"/>
      <c r="CBW67" s="684"/>
      <c r="CBX67" s="684"/>
      <c r="CBY67" s="684"/>
      <c r="CBZ67" s="684"/>
      <c r="CCA67" s="684"/>
      <c r="CCB67" s="684"/>
      <c r="CCC67" s="684"/>
      <c r="CCD67" s="684"/>
      <c r="CCE67" s="684"/>
      <c r="CCF67" s="684"/>
      <c r="CCG67" s="684"/>
      <c r="CCH67" s="684"/>
      <c r="CCI67" s="684"/>
      <c r="CCJ67" s="684"/>
      <c r="CCK67" s="684"/>
      <c r="CCL67" s="684"/>
      <c r="CCM67" s="684"/>
      <c r="CCN67" s="684"/>
      <c r="CCO67" s="684"/>
      <c r="CCP67" s="684"/>
      <c r="CCQ67" s="684"/>
      <c r="CCR67" s="684"/>
      <c r="CCS67" s="684"/>
      <c r="CCT67" s="684"/>
      <c r="CCU67" s="684"/>
      <c r="CCV67" s="684"/>
      <c r="CCW67" s="684"/>
      <c r="CCX67" s="684"/>
      <c r="CCY67" s="684"/>
      <c r="CCZ67" s="684"/>
      <c r="CDA67" s="684"/>
      <c r="CDB67" s="684"/>
      <c r="CDC67" s="684"/>
      <c r="CDD67" s="684"/>
      <c r="CDE67" s="684"/>
      <c r="CDF67" s="684"/>
      <c r="CDG67" s="684"/>
      <c r="CDH67" s="684"/>
      <c r="CDI67" s="684"/>
      <c r="CDJ67" s="684"/>
      <c r="CDK67" s="684"/>
      <c r="CDL67" s="684"/>
      <c r="CDM67" s="684"/>
      <c r="CDN67" s="684"/>
      <c r="CDO67" s="684"/>
      <c r="CDP67" s="684"/>
      <c r="CDQ67" s="684"/>
      <c r="CDR67" s="684"/>
      <c r="CDS67" s="684"/>
      <c r="CDT67" s="684"/>
      <c r="CDU67" s="684"/>
      <c r="CDV67" s="684"/>
      <c r="CDW67" s="684"/>
      <c r="CDX67" s="684"/>
      <c r="CDY67" s="684"/>
      <c r="CDZ67" s="684"/>
      <c r="CEA67" s="684"/>
      <c r="CEB67" s="684"/>
      <c r="CEC67" s="684"/>
      <c r="CED67" s="684"/>
      <c r="CEE67" s="684"/>
      <c r="CEF67" s="684"/>
      <c r="CEG67" s="684"/>
      <c r="CEH67" s="684"/>
      <c r="CEI67" s="684"/>
      <c r="CEJ67" s="684"/>
      <c r="CEK67" s="684"/>
      <c r="CEL67" s="684"/>
      <c r="CEM67" s="684"/>
      <c r="CEN67" s="684"/>
      <c r="CEO67" s="684"/>
      <c r="CEP67" s="684"/>
      <c r="CEQ67" s="684"/>
      <c r="CER67" s="684"/>
      <c r="CES67" s="684"/>
      <c r="CET67" s="684"/>
      <c r="CEU67" s="684"/>
      <c r="CEV67" s="684"/>
      <c r="CEW67" s="684"/>
      <c r="CEX67" s="684"/>
      <c r="CEY67" s="684"/>
      <c r="CEZ67" s="684"/>
      <c r="CFA67" s="684"/>
      <c r="CFB67" s="684"/>
      <c r="CFC67" s="684"/>
      <c r="CFD67" s="684"/>
      <c r="CFE67" s="684"/>
      <c r="CFF67" s="684"/>
      <c r="CFG67" s="684"/>
      <c r="CFH67" s="684"/>
      <c r="CFI67" s="684"/>
      <c r="CFJ67" s="684"/>
      <c r="CFK67" s="684"/>
      <c r="CFL67" s="684"/>
      <c r="CFM67" s="684"/>
      <c r="CFN67" s="684"/>
      <c r="CFO67" s="684"/>
      <c r="CFP67" s="684"/>
      <c r="CFQ67" s="684"/>
      <c r="CFR67" s="684"/>
      <c r="CFS67" s="684"/>
      <c r="CFT67" s="684"/>
      <c r="CFU67" s="684"/>
      <c r="CFV67" s="684"/>
      <c r="CFW67" s="684"/>
      <c r="CFX67" s="684"/>
      <c r="CFY67" s="684"/>
      <c r="CFZ67" s="684"/>
      <c r="CGA67" s="684"/>
      <c r="CGB67" s="684"/>
      <c r="CGC67" s="684"/>
      <c r="CGD67" s="684"/>
      <c r="CGE67" s="684"/>
      <c r="CGF67" s="684"/>
      <c r="CGG67" s="684"/>
      <c r="CGH67" s="684"/>
      <c r="CGI67" s="684"/>
      <c r="CGJ67" s="684"/>
      <c r="CGK67" s="684"/>
      <c r="CGL67" s="684"/>
      <c r="CGM67" s="684"/>
      <c r="CGN67" s="684"/>
      <c r="CGO67" s="684"/>
      <c r="CGP67" s="684"/>
      <c r="CGQ67" s="684"/>
      <c r="CGR67" s="684"/>
      <c r="CGS67" s="684"/>
      <c r="CGT67" s="684"/>
      <c r="CGU67" s="684"/>
      <c r="CGV67" s="684"/>
      <c r="CGW67" s="684"/>
      <c r="CGX67" s="684"/>
      <c r="CGY67" s="684"/>
      <c r="CGZ67" s="684"/>
      <c r="CHA67" s="684"/>
      <c r="CHB67" s="684"/>
      <c r="CHC67" s="684"/>
      <c r="CHD67" s="684"/>
      <c r="CHE67" s="684"/>
      <c r="CHF67" s="684"/>
      <c r="CHG67" s="684"/>
      <c r="CHH67" s="684"/>
      <c r="CHI67" s="684"/>
      <c r="CHJ67" s="684"/>
      <c r="CHK67" s="684"/>
      <c r="CHL67" s="684"/>
      <c r="CHM67" s="684"/>
      <c r="CHN67" s="684"/>
      <c r="CHO67" s="684"/>
      <c r="CHP67" s="684"/>
      <c r="CHQ67" s="684"/>
      <c r="CHR67" s="684"/>
      <c r="CHS67" s="684"/>
      <c r="CHT67" s="684"/>
      <c r="CHU67" s="684"/>
      <c r="CHV67" s="684"/>
      <c r="CHW67" s="684"/>
      <c r="CHX67" s="684"/>
      <c r="CHY67" s="684"/>
      <c r="CHZ67" s="684"/>
      <c r="CIA67" s="684"/>
      <c r="CIB67" s="684"/>
      <c r="CIC67" s="684"/>
      <c r="CID67" s="684"/>
      <c r="CIE67" s="684"/>
      <c r="CIF67" s="684"/>
      <c r="CIG67" s="684"/>
      <c r="CIH67" s="684"/>
      <c r="CII67" s="684"/>
      <c r="CIJ67" s="684"/>
      <c r="CIK67" s="684"/>
      <c r="CIL67" s="684"/>
      <c r="CIM67" s="684"/>
      <c r="CIN67" s="684"/>
      <c r="CIO67" s="684"/>
      <c r="CIP67" s="684"/>
      <c r="CIQ67" s="684"/>
      <c r="CIR67" s="684"/>
      <c r="CIS67" s="684"/>
      <c r="CIT67" s="684"/>
      <c r="CIU67" s="684"/>
      <c r="CIV67" s="684"/>
      <c r="CIW67" s="684"/>
      <c r="CIX67" s="684"/>
      <c r="CIY67" s="684"/>
      <c r="CIZ67" s="684"/>
      <c r="CJA67" s="684"/>
      <c r="CJB67" s="684"/>
      <c r="CJC67" s="684"/>
      <c r="CJD67" s="684"/>
      <c r="CJE67" s="684"/>
      <c r="CJF67" s="684"/>
      <c r="CJG67" s="684"/>
      <c r="CJH67" s="684"/>
      <c r="CJI67" s="684"/>
      <c r="CJJ67" s="684"/>
      <c r="CJK67" s="684"/>
      <c r="CJL67" s="684"/>
      <c r="CJM67" s="684"/>
      <c r="CJN67" s="684"/>
      <c r="CJO67" s="684"/>
      <c r="CJP67" s="684"/>
      <c r="CJQ67" s="684"/>
      <c r="CJR67" s="684"/>
      <c r="CJS67" s="684"/>
      <c r="CJT67" s="684"/>
      <c r="CJU67" s="684"/>
      <c r="CJV67" s="684"/>
      <c r="CJW67" s="684"/>
      <c r="CJX67" s="684"/>
      <c r="CJY67" s="684"/>
      <c r="CJZ67" s="684"/>
      <c r="CKA67" s="684"/>
      <c r="CKB67" s="684"/>
      <c r="CKC67" s="684"/>
      <c r="CKD67" s="684"/>
      <c r="CKE67" s="684"/>
      <c r="CKF67" s="684"/>
      <c r="CKG67" s="684"/>
      <c r="CKH67" s="684"/>
      <c r="CKI67" s="684"/>
      <c r="CKJ67" s="684"/>
      <c r="CKK67" s="684"/>
      <c r="CKL67" s="684"/>
      <c r="CKM67" s="684"/>
      <c r="CKN67" s="684"/>
      <c r="CKO67" s="684"/>
      <c r="CKP67" s="684"/>
      <c r="CKQ67" s="684"/>
      <c r="CKR67" s="684"/>
      <c r="CKS67" s="684"/>
      <c r="CKT67" s="684"/>
      <c r="CKU67" s="684"/>
      <c r="CKV67" s="684"/>
      <c r="CKW67" s="684"/>
      <c r="CKX67" s="684"/>
      <c r="CKY67" s="684"/>
      <c r="CKZ67" s="684"/>
      <c r="CLA67" s="684"/>
      <c r="CLB67" s="684"/>
      <c r="CLC67" s="684"/>
      <c r="CLD67" s="684"/>
      <c r="CLE67" s="684"/>
      <c r="CLF67" s="684"/>
      <c r="CLG67" s="684"/>
      <c r="CLH67" s="684"/>
      <c r="CLI67" s="684"/>
      <c r="CLJ67" s="684"/>
      <c r="CLK67" s="684"/>
      <c r="CLL67" s="684"/>
      <c r="CLM67" s="684"/>
      <c r="CLN67" s="684"/>
      <c r="CLO67" s="684"/>
      <c r="CLP67" s="684"/>
      <c r="CLQ67" s="684"/>
      <c r="CLR67" s="684"/>
      <c r="CLS67" s="684"/>
      <c r="CLT67" s="684"/>
      <c r="CLU67" s="684"/>
      <c r="CLV67" s="684"/>
      <c r="CLW67" s="684"/>
      <c r="CLX67" s="684"/>
      <c r="CLY67" s="684"/>
      <c r="CLZ67" s="684"/>
      <c r="CMA67" s="684"/>
      <c r="CMB67" s="684"/>
      <c r="CMC67" s="684"/>
      <c r="CMD67" s="684"/>
      <c r="CME67" s="684"/>
      <c r="CMF67" s="684"/>
      <c r="CMG67" s="684"/>
      <c r="CMH67" s="684"/>
      <c r="CMI67" s="684"/>
      <c r="CMJ67" s="684"/>
      <c r="CMK67" s="684"/>
      <c r="CML67" s="684"/>
      <c r="CMM67" s="684"/>
      <c r="CMN67" s="684"/>
      <c r="CMO67" s="684"/>
      <c r="CMP67" s="684"/>
      <c r="CMQ67" s="684"/>
      <c r="CMR67" s="684"/>
      <c r="CMS67" s="684"/>
      <c r="CMT67" s="684"/>
      <c r="CMU67" s="684"/>
      <c r="CMV67" s="684"/>
      <c r="CMW67" s="684"/>
      <c r="CMX67" s="684"/>
      <c r="CMY67" s="684"/>
      <c r="CMZ67" s="684"/>
      <c r="CNA67" s="684"/>
      <c r="CNB67" s="684"/>
      <c r="CNC67" s="684"/>
      <c r="CND67" s="684"/>
      <c r="CNE67" s="684"/>
      <c r="CNF67" s="684"/>
      <c r="CNG67" s="684"/>
      <c r="CNH67" s="684"/>
      <c r="CNI67" s="684"/>
      <c r="CNJ67" s="684"/>
      <c r="CNK67" s="684"/>
      <c r="CNL67" s="684"/>
      <c r="CNM67" s="684"/>
      <c r="CNN67" s="684"/>
      <c r="CNO67" s="684"/>
      <c r="CNP67" s="684"/>
      <c r="CNQ67" s="684"/>
      <c r="CNR67" s="684"/>
      <c r="CNS67" s="684"/>
      <c r="CNT67" s="684"/>
      <c r="CNU67" s="684"/>
      <c r="CNV67" s="684"/>
      <c r="CNW67" s="684"/>
      <c r="CNX67" s="684"/>
      <c r="CNY67" s="684"/>
      <c r="CNZ67" s="684"/>
      <c r="COA67" s="684"/>
      <c r="COB67" s="684"/>
      <c r="COC67" s="684"/>
      <c r="COD67" s="684"/>
      <c r="COE67" s="684"/>
      <c r="COF67" s="684"/>
      <c r="COG67" s="684"/>
      <c r="COH67" s="684"/>
      <c r="COI67" s="684"/>
      <c r="COJ67" s="684"/>
      <c r="COK67" s="684"/>
      <c r="COL67" s="684"/>
      <c r="COM67" s="684"/>
      <c r="CON67" s="684"/>
      <c r="COO67" s="684"/>
      <c r="COP67" s="684"/>
      <c r="COQ67" s="684"/>
      <c r="COR67" s="684"/>
      <c r="COS67" s="684"/>
      <c r="COT67" s="684"/>
      <c r="COU67" s="684"/>
      <c r="COV67" s="684"/>
      <c r="COW67" s="684"/>
      <c r="COX67" s="684"/>
      <c r="COY67" s="684"/>
      <c r="COZ67" s="684"/>
      <c r="CPA67" s="684"/>
      <c r="CPB67" s="684"/>
      <c r="CPC67" s="684"/>
      <c r="CPD67" s="684"/>
      <c r="CPE67" s="684"/>
      <c r="CPF67" s="684"/>
      <c r="CPG67" s="684"/>
      <c r="CPH67" s="684"/>
      <c r="CPI67" s="684"/>
      <c r="CPJ67" s="684"/>
      <c r="CPK67" s="684"/>
      <c r="CPL67" s="684"/>
      <c r="CPM67" s="684"/>
      <c r="CPN67" s="684"/>
      <c r="CPO67" s="684"/>
      <c r="CPP67" s="684"/>
      <c r="CPQ67" s="684"/>
      <c r="CPR67" s="684"/>
      <c r="CPS67" s="684"/>
      <c r="CPT67" s="684"/>
      <c r="CPU67" s="684"/>
      <c r="CPV67" s="684"/>
      <c r="CPW67" s="684"/>
      <c r="CPX67" s="684"/>
      <c r="CPY67" s="684"/>
      <c r="CPZ67" s="684"/>
      <c r="CQA67" s="684"/>
      <c r="CQB67" s="684"/>
      <c r="CQC67" s="684"/>
      <c r="CQD67" s="684"/>
      <c r="CQE67" s="684"/>
      <c r="CQF67" s="684"/>
      <c r="CQG67" s="684"/>
      <c r="CQH67" s="684"/>
      <c r="CQI67" s="684"/>
      <c r="CQJ67" s="684"/>
      <c r="CQK67" s="684"/>
      <c r="CQL67" s="684"/>
      <c r="CQM67" s="684"/>
      <c r="CQN67" s="684"/>
      <c r="CQO67" s="684"/>
      <c r="CQP67" s="684"/>
      <c r="CQQ67" s="684"/>
      <c r="CQR67" s="684"/>
      <c r="CQS67" s="684"/>
      <c r="CQT67" s="684"/>
      <c r="CQU67" s="684"/>
      <c r="CQV67" s="684"/>
      <c r="CQW67" s="684"/>
      <c r="CQX67" s="684"/>
      <c r="CQY67" s="684"/>
      <c r="CQZ67" s="684"/>
      <c r="CRA67" s="684"/>
      <c r="CRB67" s="684"/>
      <c r="CRC67" s="684"/>
      <c r="CRD67" s="684"/>
      <c r="CRE67" s="684"/>
      <c r="CRF67" s="684"/>
      <c r="CRG67" s="684"/>
      <c r="CRH67" s="684"/>
      <c r="CRI67" s="684"/>
      <c r="CRJ67" s="684"/>
      <c r="CRK67" s="684"/>
      <c r="CRL67" s="684"/>
      <c r="CRM67" s="684"/>
      <c r="CRN67" s="684"/>
      <c r="CRO67" s="684"/>
      <c r="CRP67" s="684"/>
      <c r="CRQ67" s="684"/>
      <c r="CRR67" s="684"/>
      <c r="CRS67" s="684"/>
      <c r="CRT67" s="684"/>
      <c r="CRU67" s="684"/>
      <c r="CRV67" s="684"/>
      <c r="CRW67" s="684"/>
      <c r="CRX67" s="684"/>
      <c r="CRY67" s="684"/>
      <c r="CRZ67" s="684"/>
      <c r="CSA67" s="684"/>
      <c r="CSB67" s="684"/>
      <c r="CSC67" s="684"/>
      <c r="CSD67" s="684"/>
      <c r="CSE67" s="684"/>
      <c r="CSF67" s="684"/>
      <c r="CSG67" s="684"/>
      <c r="CSH67" s="684"/>
      <c r="CSI67" s="684"/>
      <c r="CSJ67" s="684"/>
      <c r="CSK67" s="684"/>
      <c r="CSL67" s="684"/>
      <c r="CSM67" s="684"/>
      <c r="CSN67" s="684"/>
      <c r="CSO67" s="684"/>
      <c r="CSP67" s="684"/>
      <c r="CSQ67" s="684"/>
      <c r="CSR67" s="684"/>
      <c r="CSS67" s="684"/>
      <c r="CST67" s="684"/>
      <c r="CSU67" s="684"/>
      <c r="CSV67" s="684"/>
      <c r="CSW67" s="684"/>
      <c r="CSX67" s="684"/>
      <c r="CSY67" s="684"/>
      <c r="CSZ67" s="684"/>
      <c r="CTA67" s="684"/>
      <c r="CTB67" s="684"/>
      <c r="CTC67" s="684"/>
      <c r="CTD67" s="684"/>
      <c r="CTE67" s="684"/>
      <c r="CTF67" s="684"/>
      <c r="CTG67" s="684"/>
      <c r="CTH67" s="684"/>
      <c r="CTI67" s="684"/>
      <c r="CTJ67" s="684"/>
      <c r="CTK67" s="684"/>
      <c r="CTL67" s="684"/>
      <c r="CTM67" s="684"/>
      <c r="CTN67" s="684"/>
      <c r="CTO67" s="684"/>
      <c r="CTP67" s="684"/>
      <c r="CTQ67" s="684"/>
      <c r="CTR67" s="684"/>
      <c r="CTS67" s="684"/>
      <c r="CTT67" s="684"/>
      <c r="CTU67" s="684"/>
      <c r="CTV67" s="684"/>
      <c r="CTW67" s="684"/>
      <c r="CTX67" s="684"/>
      <c r="CTY67" s="684"/>
      <c r="CTZ67" s="684"/>
      <c r="CUA67" s="684"/>
      <c r="CUB67" s="684"/>
      <c r="CUC67" s="684"/>
      <c r="CUD67" s="684"/>
      <c r="CUE67" s="684"/>
      <c r="CUF67" s="684"/>
      <c r="CUG67" s="684"/>
      <c r="CUH67" s="684"/>
      <c r="CUI67" s="684"/>
      <c r="CUJ67" s="684"/>
      <c r="CUK67" s="684"/>
      <c r="CUL67" s="684"/>
      <c r="CUM67" s="684"/>
      <c r="CUN67" s="684"/>
      <c r="CUO67" s="684"/>
      <c r="CUP67" s="684"/>
      <c r="CUQ67" s="684"/>
      <c r="CUR67" s="684"/>
      <c r="CUS67" s="684"/>
      <c r="CUT67" s="684"/>
      <c r="CUU67" s="684"/>
      <c r="CUV67" s="684"/>
      <c r="CUW67" s="684"/>
      <c r="CUX67" s="684"/>
      <c r="CUY67" s="684"/>
      <c r="CUZ67" s="684"/>
      <c r="CVA67" s="684"/>
      <c r="CVB67" s="684"/>
      <c r="CVC67" s="684"/>
      <c r="CVD67" s="684"/>
      <c r="CVE67" s="684"/>
      <c r="CVF67" s="684"/>
      <c r="CVG67" s="684"/>
      <c r="CVH67" s="684"/>
      <c r="CVI67" s="684"/>
      <c r="CVJ67" s="684"/>
      <c r="CVK67" s="684"/>
      <c r="CVL67" s="684"/>
      <c r="CVM67" s="684"/>
      <c r="CVN67" s="684"/>
      <c r="CVO67" s="684"/>
      <c r="CVP67" s="684"/>
      <c r="CVQ67" s="684"/>
      <c r="CVR67" s="684"/>
      <c r="CVS67" s="684"/>
      <c r="CVT67" s="684"/>
      <c r="CVU67" s="684"/>
      <c r="CVV67" s="684"/>
      <c r="CVW67" s="684"/>
      <c r="CVX67" s="684"/>
      <c r="CVY67" s="684"/>
      <c r="CVZ67" s="684"/>
      <c r="CWA67" s="684"/>
      <c r="CWB67" s="684"/>
      <c r="CWC67" s="684"/>
      <c r="CWD67" s="684"/>
      <c r="CWE67" s="684"/>
      <c r="CWF67" s="684"/>
      <c r="CWG67" s="684"/>
      <c r="CWH67" s="684"/>
      <c r="CWI67" s="684"/>
      <c r="CWJ67" s="684"/>
      <c r="CWK67" s="684"/>
      <c r="CWL67" s="684"/>
      <c r="CWM67" s="684"/>
      <c r="CWN67" s="684"/>
      <c r="CWO67" s="684"/>
      <c r="CWP67" s="684"/>
      <c r="CWQ67" s="684"/>
      <c r="CWR67" s="684"/>
      <c r="CWS67" s="684"/>
      <c r="CWT67" s="684"/>
      <c r="CWU67" s="684"/>
      <c r="CWV67" s="684"/>
      <c r="CWW67" s="684"/>
      <c r="CWX67" s="684"/>
      <c r="CWY67" s="684"/>
      <c r="CWZ67" s="684"/>
      <c r="CXA67" s="684"/>
      <c r="CXB67" s="684"/>
      <c r="CXC67" s="684"/>
      <c r="CXD67" s="684"/>
      <c r="CXE67" s="684"/>
      <c r="CXF67" s="684"/>
      <c r="CXG67" s="684"/>
      <c r="CXH67" s="684"/>
      <c r="CXI67" s="684"/>
      <c r="CXJ67" s="684"/>
      <c r="CXK67" s="684"/>
      <c r="CXL67" s="684"/>
      <c r="CXM67" s="684"/>
      <c r="CXN67" s="684"/>
      <c r="CXO67" s="684"/>
      <c r="CXP67" s="684"/>
      <c r="CXQ67" s="684"/>
      <c r="CXR67" s="684"/>
      <c r="CXS67" s="684"/>
      <c r="CXT67" s="684"/>
      <c r="CXU67" s="684"/>
      <c r="CXV67" s="684"/>
      <c r="CXW67" s="684"/>
      <c r="CXX67" s="684"/>
      <c r="CXY67" s="684"/>
      <c r="CXZ67" s="684"/>
      <c r="CYA67" s="684"/>
      <c r="CYB67" s="684"/>
      <c r="CYC67" s="684"/>
      <c r="CYD67" s="684"/>
      <c r="CYE67" s="684"/>
      <c r="CYF67" s="684"/>
      <c r="CYG67" s="684"/>
      <c r="CYH67" s="684"/>
      <c r="CYI67" s="684"/>
      <c r="CYJ67" s="684"/>
      <c r="CYK67" s="684"/>
      <c r="CYL67" s="684"/>
      <c r="CYM67" s="684"/>
      <c r="CYN67" s="684"/>
      <c r="CYO67" s="684"/>
      <c r="CYP67" s="684"/>
      <c r="CYQ67" s="684"/>
      <c r="CYR67" s="684"/>
      <c r="CYS67" s="684"/>
      <c r="CYT67" s="684"/>
      <c r="CYU67" s="684"/>
      <c r="CYV67" s="684"/>
      <c r="CYW67" s="684"/>
      <c r="CYX67" s="684"/>
      <c r="CYY67" s="684"/>
      <c r="CYZ67" s="684"/>
      <c r="CZA67" s="684"/>
      <c r="CZB67" s="684"/>
      <c r="CZC67" s="684"/>
      <c r="CZD67" s="684"/>
      <c r="CZE67" s="684"/>
      <c r="CZF67" s="684"/>
      <c r="CZG67" s="684"/>
      <c r="CZH67" s="684"/>
      <c r="CZI67" s="684"/>
      <c r="CZJ67" s="684"/>
      <c r="CZK67" s="684"/>
      <c r="CZL67" s="684"/>
      <c r="CZM67" s="684"/>
      <c r="CZN67" s="684"/>
      <c r="CZO67" s="684"/>
      <c r="CZP67" s="684"/>
      <c r="CZQ67" s="684"/>
      <c r="CZR67" s="684"/>
      <c r="CZS67" s="684"/>
      <c r="CZT67" s="684"/>
      <c r="CZU67" s="684"/>
      <c r="CZV67" s="684"/>
      <c r="CZW67" s="684"/>
      <c r="CZX67" s="684"/>
      <c r="CZY67" s="684"/>
      <c r="CZZ67" s="684"/>
      <c r="DAA67" s="684"/>
      <c r="DAB67" s="684"/>
      <c r="DAC67" s="684"/>
      <c r="DAD67" s="684"/>
      <c r="DAE67" s="684"/>
      <c r="DAF67" s="684"/>
      <c r="DAG67" s="684"/>
      <c r="DAH67" s="684"/>
      <c r="DAI67" s="684"/>
      <c r="DAJ67" s="684"/>
      <c r="DAK67" s="684"/>
      <c r="DAL67" s="684"/>
      <c r="DAM67" s="684"/>
      <c r="DAN67" s="684"/>
      <c r="DAO67" s="684"/>
      <c r="DAP67" s="684"/>
      <c r="DAQ67" s="684"/>
      <c r="DAR67" s="684"/>
      <c r="DAS67" s="684"/>
      <c r="DAT67" s="684"/>
      <c r="DAU67" s="684"/>
      <c r="DAV67" s="684"/>
      <c r="DAW67" s="684"/>
      <c r="DAX67" s="684"/>
      <c r="DAY67" s="684"/>
      <c r="DAZ67" s="684"/>
      <c r="DBA67" s="684"/>
      <c r="DBB67" s="684"/>
      <c r="DBC67" s="684"/>
      <c r="DBD67" s="684"/>
      <c r="DBE67" s="684"/>
      <c r="DBF67" s="684"/>
      <c r="DBG67" s="684"/>
      <c r="DBH67" s="684"/>
      <c r="DBI67" s="684"/>
      <c r="DBJ67" s="684"/>
      <c r="DBK67" s="684"/>
      <c r="DBL67" s="684"/>
      <c r="DBM67" s="684"/>
      <c r="DBN67" s="684"/>
      <c r="DBO67" s="684"/>
      <c r="DBP67" s="684"/>
      <c r="DBQ67" s="684"/>
      <c r="DBR67" s="684"/>
      <c r="DBS67" s="684"/>
      <c r="DBT67" s="684"/>
      <c r="DBU67" s="684"/>
      <c r="DBV67" s="684"/>
      <c r="DBW67" s="684"/>
      <c r="DBX67" s="684"/>
      <c r="DBY67" s="684"/>
      <c r="DBZ67" s="684"/>
      <c r="DCA67" s="684"/>
      <c r="DCB67" s="684"/>
      <c r="DCC67" s="684"/>
      <c r="DCD67" s="684"/>
      <c r="DCE67" s="684"/>
      <c r="DCF67" s="684"/>
      <c r="DCG67" s="684"/>
      <c r="DCH67" s="684"/>
      <c r="DCI67" s="684"/>
      <c r="DCJ67" s="684"/>
      <c r="DCK67" s="684"/>
      <c r="DCL67" s="684"/>
      <c r="DCM67" s="684"/>
      <c r="DCN67" s="684"/>
      <c r="DCO67" s="684"/>
      <c r="DCP67" s="684"/>
      <c r="DCQ67" s="684"/>
      <c r="DCR67" s="684"/>
      <c r="DCS67" s="684"/>
      <c r="DCT67" s="684"/>
      <c r="DCU67" s="684"/>
      <c r="DCV67" s="684"/>
      <c r="DCW67" s="684"/>
      <c r="DCX67" s="684"/>
      <c r="DCY67" s="684"/>
      <c r="DCZ67" s="684"/>
      <c r="DDA67" s="684"/>
      <c r="DDB67" s="684"/>
      <c r="DDC67" s="684"/>
      <c r="DDD67" s="684"/>
      <c r="DDE67" s="684"/>
      <c r="DDF67" s="684"/>
      <c r="DDG67" s="684"/>
      <c r="DDH67" s="684"/>
      <c r="DDI67" s="684"/>
      <c r="DDJ67" s="684"/>
      <c r="DDK67" s="684"/>
      <c r="DDL67" s="684"/>
      <c r="DDM67" s="684"/>
      <c r="DDN67" s="684"/>
      <c r="DDO67" s="684"/>
      <c r="DDP67" s="684"/>
      <c r="DDQ67" s="684"/>
      <c r="DDR67" s="684"/>
      <c r="DDS67" s="684"/>
      <c r="DDT67" s="684"/>
      <c r="DDU67" s="684"/>
      <c r="DDV67" s="684"/>
      <c r="DDW67" s="684"/>
      <c r="DDX67" s="684"/>
      <c r="DDY67" s="684"/>
      <c r="DDZ67" s="684"/>
      <c r="DEA67" s="684"/>
      <c r="DEB67" s="684"/>
      <c r="DEC67" s="684"/>
      <c r="DED67" s="684"/>
      <c r="DEE67" s="684"/>
      <c r="DEF67" s="684"/>
      <c r="DEG67" s="684"/>
      <c r="DEH67" s="684"/>
      <c r="DEI67" s="684"/>
      <c r="DEJ67" s="684"/>
      <c r="DEK67" s="684"/>
      <c r="DEL67" s="684"/>
      <c r="DEM67" s="684"/>
      <c r="DEN67" s="684"/>
      <c r="DEO67" s="684"/>
      <c r="DEP67" s="684"/>
      <c r="DEQ67" s="684"/>
      <c r="DER67" s="684"/>
      <c r="DES67" s="684"/>
      <c r="DET67" s="684"/>
      <c r="DEU67" s="684"/>
      <c r="DEV67" s="684"/>
      <c r="DEW67" s="684"/>
      <c r="DEX67" s="684"/>
      <c r="DEY67" s="684"/>
      <c r="DEZ67" s="684"/>
      <c r="DFA67" s="684"/>
      <c r="DFB67" s="684"/>
      <c r="DFC67" s="684"/>
      <c r="DFD67" s="684"/>
      <c r="DFE67" s="684"/>
      <c r="DFF67" s="684"/>
      <c r="DFG67" s="684"/>
      <c r="DFH67" s="684"/>
      <c r="DFI67" s="684"/>
      <c r="DFJ67" s="684"/>
      <c r="DFK67" s="684"/>
      <c r="DFL67" s="684"/>
      <c r="DFM67" s="684"/>
      <c r="DFN67" s="684"/>
      <c r="DFO67" s="684"/>
      <c r="DFP67" s="684"/>
      <c r="DFQ67" s="684"/>
      <c r="DFR67" s="684"/>
      <c r="DFS67" s="684"/>
      <c r="DFT67" s="684"/>
      <c r="DFU67" s="684"/>
      <c r="DFV67" s="684"/>
      <c r="DFW67" s="684"/>
      <c r="DFX67" s="684"/>
      <c r="DFY67" s="684"/>
      <c r="DFZ67" s="684"/>
      <c r="DGA67" s="684"/>
      <c r="DGB67" s="684"/>
      <c r="DGC67" s="684"/>
      <c r="DGD67" s="684"/>
      <c r="DGE67" s="684"/>
      <c r="DGF67" s="684"/>
      <c r="DGG67" s="684"/>
      <c r="DGH67" s="684"/>
      <c r="DGI67" s="684"/>
      <c r="DGJ67" s="684"/>
      <c r="DGK67" s="684"/>
      <c r="DGL67" s="684"/>
      <c r="DGM67" s="684"/>
      <c r="DGN67" s="684"/>
      <c r="DGO67" s="684"/>
      <c r="DGP67" s="684"/>
      <c r="DGQ67" s="684"/>
      <c r="DGR67" s="684"/>
      <c r="DGS67" s="684"/>
      <c r="DGT67" s="684"/>
      <c r="DGU67" s="684"/>
      <c r="DGV67" s="684"/>
      <c r="DGW67" s="684"/>
      <c r="DGX67" s="684"/>
      <c r="DGY67" s="684"/>
      <c r="DGZ67" s="684"/>
      <c r="DHA67" s="684"/>
      <c r="DHB67" s="684"/>
      <c r="DHC67" s="684"/>
      <c r="DHD67" s="684"/>
      <c r="DHE67" s="684"/>
      <c r="DHF67" s="684"/>
      <c r="DHG67" s="684"/>
      <c r="DHH67" s="684"/>
      <c r="DHI67" s="684"/>
      <c r="DHJ67" s="684"/>
      <c r="DHK67" s="684"/>
      <c r="DHL67" s="684"/>
      <c r="DHM67" s="684"/>
      <c r="DHN67" s="684"/>
      <c r="DHO67" s="684"/>
      <c r="DHP67" s="684"/>
      <c r="DHQ67" s="684"/>
      <c r="DHR67" s="684"/>
      <c r="DHS67" s="684"/>
      <c r="DHT67" s="684"/>
      <c r="DHU67" s="684"/>
      <c r="DHV67" s="684"/>
      <c r="DHW67" s="684"/>
      <c r="DHX67" s="684"/>
      <c r="DHY67" s="684"/>
      <c r="DHZ67" s="684"/>
      <c r="DIA67" s="684"/>
      <c r="DIB67" s="684"/>
      <c r="DIC67" s="684"/>
      <c r="DID67" s="684"/>
      <c r="DIE67" s="684"/>
      <c r="DIF67" s="684"/>
      <c r="DIG67" s="684"/>
      <c r="DIH67" s="684"/>
      <c r="DII67" s="684"/>
      <c r="DIJ67" s="684"/>
      <c r="DIK67" s="684"/>
      <c r="DIL67" s="684"/>
      <c r="DIM67" s="684"/>
      <c r="DIN67" s="684"/>
      <c r="DIO67" s="684"/>
      <c r="DIP67" s="684"/>
      <c r="DIQ67" s="684"/>
      <c r="DIR67" s="684"/>
      <c r="DIS67" s="684"/>
      <c r="DIT67" s="684"/>
      <c r="DIU67" s="684"/>
      <c r="DIV67" s="684"/>
      <c r="DIW67" s="684"/>
      <c r="DIX67" s="684"/>
      <c r="DIY67" s="684"/>
      <c r="DIZ67" s="684"/>
      <c r="DJA67" s="684"/>
      <c r="DJB67" s="684"/>
      <c r="DJC67" s="684"/>
      <c r="DJD67" s="684"/>
      <c r="DJE67" s="684"/>
      <c r="DJF67" s="684"/>
      <c r="DJG67" s="684"/>
      <c r="DJH67" s="684"/>
      <c r="DJI67" s="684"/>
      <c r="DJJ67" s="684"/>
      <c r="DJK67" s="684"/>
      <c r="DJL67" s="684"/>
      <c r="DJM67" s="684"/>
      <c r="DJN67" s="684"/>
      <c r="DJO67" s="684"/>
      <c r="DJP67" s="684"/>
      <c r="DJQ67" s="684"/>
      <c r="DJR67" s="684"/>
      <c r="DJS67" s="684"/>
      <c r="DJT67" s="684"/>
      <c r="DJU67" s="684"/>
      <c r="DJV67" s="684"/>
      <c r="DJW67" s="684"/>
      <c r="DJX67" s="684"/>
      <c r="DJY67" s="684"/>
      <c r="DJZ67" s="684"/>
      <c r="DKA67" s="684"/>
      <c r="DKB67" s="684"/>
      <c r="DKC67" s="684"/>
      <c r="DKD67" s="684"/>
      <c r="DKE67" s="684"/>
      <c r="DKF67" s="684"/>
      <c r="DKG67" s="684"/>
      <c r="DKH67" s="684"/>
      <c r="DKI67" s="684"/>
      <c r="DKJ67" s="684"/>
      <c r="DKK67" s="684"/>
      <c r="DKL67" s="684"/>
      <c r="DKM67" s="684"/>
      <c r="DKN67" s="684"/>
      <c r="DKO67" s="684"/>
      <c r="DKP67" s="684"/>
      <c r="DKQ67" s="684"/>
      <c r="DKR67" s="684"/>
      <c r="DKS67" s="684"/>
      <c r="DKT67" s="684"/>
      <c r="DKU67" s="684"/>
      <c r="DKV67" s="684"/>
      <c r="DKW67" s="684"/>
      <c r="DKX67" s="684"/>
      <c r="DKY67" s="684"/>
      <c r="DKZ67" s="684"/>
      <c r="DLA67" s="684"/>
      <c r="DLB67" s="684"/>
      <c r="DLC67" s="684"/>
      <c r="DLD67" s="684"/>
      <c r="DLE67" s="684"/>
      <c r="DLF67" s="684"/>
      <c r="DLG67" s="684"/>
      <c r="DLH67" s="684"/>
      <c r="DLI67" s="684"/>
      <c r="DLJ67" s="684"/>
      <c r="DLK67" s="684"/>
      <c r="DLL67" s="684"/>
      <c r="DLM67" s="684"/>
      <c r="DLN67" s="684"/>
      <c r="DLO67" s="684"/>
      <c r="DLP67" s="684"/>
      <c r="DLQ67" s="684"/>
      <c r="DLR67" s="684"/>
      <c r="DLS67" s="684"/>
      <c r="DLT67" s="684"/>
      <c r="DLU67" s="684"/>
      <c r="DLV67" s="684"/>
      <c r="DLW67" s="684"/>
      <c r="DLX67" s="684"/>
      <c r="DLY67" s="684"/>
      <c r="DLZ67" s="684"/>
      <c r="DMA67" s="684"/>
      <c r="DMB67" s="684"/>
      <c r="DMC67" s="684"/>
      <c r="DMD67" s="684"/>
      <c r="DME67" s="684"/>
      <c r="DMF67" s="684"/>
      <c r="DMG67" s="684"/>
      <c r="DMH67" s="684"/>
      <c r="DMI67" s="684"/>
      <c r="DMJ67" s="684"/>
      <c r="DMK67" s="684"/>
      <c r="DML67" s="684"/>
      <c r="DMM67" s="684"/>
      <c r="DMN67" s="684"/>
      <c r="DMO67" s="684"/>
      <c r="DMP67" s="684"/>
      <c r="DMQ67" s="684"/>
      <c r="DMR67" s="684"/>
      <c r="DMS67" s="684"/>
      <c r="DMT67" s="684"/>
      <c r="DMU67" s="684"/>
      <c r="DMV67" s="684"/>
      <c r="DMW67" s="684"/>
      <c r="DMX67" s="684"/>
      <c r="DMY67" s="684"/>
      <c r="DMZ67" s="684"/>
      <c r="DNA67" s="684"/>
      <c r="DNB67" s="684"/>
      <c r="DNC67" s="684"/>
      <c r="DND67" s="684"/>
      <c r="DNE67" s="684"/>
      <c r="DNF67" s="684"/>
      <c r="DNG67" s="684"/>
      <c r="DNH67" s="684"/>
      <c r="DNI67" s="684"/>
      <c r="DNJ67" s="684"/>
      <c r="DNK67" s="684"/>
      <c r="DNL67" s="684"/>
      <c r="DNM67" s="684"/>
      <c r="DNN67" s="684"/>
      <c r="DNO67" s="684"/>
      <c r="DNP67" s="684"/>
      <c r="DNQ67" s="684"/>
      <c r="DNR67" s="684"/>
      <c r="DNS67" s="684"/>
      <c r="DNT67" s="684"/>
      <c r="DNU67" s="684"/>
      <c r="DNV67" s="684"/>
      <c r="DNW67" s="684"/>
      <c r="DNX67" s="684"/>
      <c r="DNY67" s="684"/>
      <c r="DNZ67" s="684"/>
      <c r="DOA67" s="684"/>
      <c r="DOB67" s="684"/>
      <c r="DOC67" s="684"/>
      <c r="DOD67" s="684"/>
      <c r="DOE67" s="684"/>
      <c r="DOF67" s="684"/>
      <c r="DOG67" s="684"/>
      <c r="DOH67" s="684"/>
      <c r="DOI67" s="684"/>
      <c r="DOJ67" s="684"/>
      <c r="DOK67" s="684"/>
      <c r="DOL67" s="684"/>
      <c r="DOM67" s="684"/>
      <c r="DON67" s="684"/>
      <c r="DOO67" s="684"/>
      <c r="DOP67" s="684"/>
      <c r="DOQ67" s="684"/>
      <c r="DOR67" s="684"/>
      <c r="DOS67" s="684"/>
      <c r="DOT67" s="684"/>
      <c r="DOU67" s="684"/>
      <c r="DOV67" s="684"/>
      <c r="DOW67" s="684"/>
      <c r="DOX67" s="684"/>
      <c r="DOY67" s="684"/>
      <c r="DOZ67" s="684"/>
      <c r="DPA67" s="684"/>
      <c r="DPB67" s="684"/>
      <c r="DPC67" s="684"/>
      <c r="DPD67" s="684"/>
      <c r="DPE67" s="684"/>
      <c r="DPF67" s="684"/>
      <c r="DPG67" s="684"/>
      <c r="DPH67" s="684"/>
      <c r="DPI67" s="684"/>
      <c r="DPJ67" s="684"/>
      <c r="DPK67" s="684"/>
      <c r="DPL67" s="684"/>
      <c r="DPM67" s="684"/>
      <c r="DPN67" s="684"/>
      <c r="DPO67" s="684"/>
      <c r="DPP67" s="684"/>
      <c r="DPQ67" s="684"/>
      <c r="DPR67" s="684"/>
      <c r="DPS67" s="684"/>
      <c r="DPT67" s="684"/>
      <c r="DPU67" s="684"/>
      <c r="DPV67" s="684"/>
      <c r="DPW67" s="684"/>
      <c r="DPX67" s="684"/>
      <c r="DPY67" s="684"/>
      <c r="DPZ67" s="684"/>
      <c r="DQA67" s="684"/>
      <c r="DQB67" s="684"/>
      <c r="DQC67" s="684"/>
      <c r="DQD67" s="684"/>
      <c r="DQE67" s="684"/>
      <c r="DQF67" s="684"/>
      <c r="DQG67" s="684"/>
      <c r="DQH67" s="684"/>
      <c r="DQI67" s="684"/>
      <c r="DQJ67" s="684"/>
      <c r="DQK67" s="684"/>
      <c r="DQL67" s="684"/>
      <c r="DQM67" s="684"/>
      <c r="DQN67" s="684"/>
      <c r="DQO67" s="684"/>
      <c r="DQP67" s="684"/>
      <c r="DQQ67" s="684"/>
      <c r="DQR67" s="684"/>
      <c r="DQS67" s="684"/>
      <c r="DQT67" s="684"/>
      <c r="DQU67" s="684"/>
      <c r="DQV67" s="684"/>
      <c r="DQW67" s="684"/>
      <c r="DQX67" s="684"/>
      <c r="DQY67" s="684"/>
      <c r="DQZ67" s="684"/>
      <c r="DRA67" s="684"/>
      <c r="DRB67" s="684"/>
      <c r="DRC67" s="684"/>
      <c r="DRD67" s="684"/>
      <c r="DRE67" s="684"/>
      <c r="DRF67" s="684"/>
      <c r="DRG67" s="684"/>
      <c r="DRH67" s="684"/>
      <c r="DRI67" s="684"/>
      <c r="DRJ67" s="684"/>
      <c r="DRK67" s="684"/>
      <c r="DRL67" s="684"/>
      <c r="DRM67" s="684"/>
      <c r="DRN67" s="684"/>
      <c r="DRO67" s="684"/>
      <c r="DRP67" s="684"/>
      <c r="DRQ67" s="684"/>
      <c r="DRR67" s="684"/>
      <c r="DRS67" s="684"/>
      <c r="DRT67" s="684"/>
      <c r="DRU67" s="684"/>
      <c r="DRV67" s="684"/>
      <c r="DRW67" s="684"/>
      <c r="DRX67" s="684"/>
      <c r="DRY67" s="684"/>
      <c r="DRZ67" s="684"/>
      <c r="DSA67" s="684"/>
      <c r="DSB67" s="684"/>
      <c r="DSC67" s="684"/>
      <c r="DSD67" s="684"/>
      <c r="DSE67" s="684"/>
      <c r="DSF67" s="684"/>
      <c r="DSG67" s="684"/>
      <c r="DSH67" s="684"/>
      <c r="DSI67" s="684"/>
      <c r="DSJ67" s="684"/>
      <c r="DSK67" s="684"/>
      <c r="DSL67" s="684"/>
      <c r="DSM67" s="684"/>
      <c r="DSN67" s="684"/>
      <c r="DSO67" s="684"/>
      <c r="DSP67" s="684"/>
      <c r="DSQ67" s="684"/>
      <c r="DSR67" s="684"/>
      <c r="DSS67" s="684"/>
      <c r="DST67" s="684"/>
      <c r="DSU67" s="684"/>
      <c r="DSV67" s="684"/>
      <c r="DSW67" s="684"/>
      <c r="DSX67" s="684"/>
      <c r="DSY67" s="684"/>
      <c r="DSZ67" s="684"/>
      <c r="DTA67" s="684"/>
      <c r="DTB67" s="684"/>
      <c r="DTC67" s="684"/>
      <c r="DTD67" s="684"/>
      <c r="DTE67" s="684"/>
      <c r="DTF67" s="684"/>
      <c r="DTG67" s="684"/>
      <c r="DTH67" s="684"/>
      <c r="DTI67" s="684"/>
      <c r="DTJ67" s="684"/>
      <c r="DTK67" s="684"/>
      <c r="DTL67" s="684"/>
      <c r="DTM67" s="684"/>
      <c r="DTN67" s="684"/>
      <c r="DTO67" s="684"/>
      <c r="DTP67" s="684"/>
      <c r="DTQ67" s="684"/>
      <c r="DTR67" s="684"/>
      <c r="DTS67" s="684"/>
      <c r="DTT67" s="684"/>
      <c r="DTU67" s="684"/>
      <c r="DTV67" s="684"/>
      <c r="DTW67" s="684"/>
      <c r="DTX67" s="684"/>
      <c r="DTY67" s="684"/>
      <c r="DTZ67" s="684"/>
      <c r="DUA67" s="684"/>
      <c r="DUB67" s="684"/>
      <c r="DUC67" s="684"/>
      <c r="DUD67" s="684"/>
      <c r="DUE67" s="684"/>
      <c r="DUF67" s="684"/>
      <c r="DUG67" s="684"/>
      <c r="DUH67" s="684"/>
      <c r="DUI67" s="684"/>
      <c r="DUJ67" s="684"/>
      <c r="DUK67" s="684"/>
      <c r="DUL67" s="684"/>
      <c r="DUM67" s="684"/>
      <c r="DUN67" s="684"/>
      <c r="DUO67" s="684"/>
      <c r="DUP67" s="684"/>
      <c r="DUQ67" s="684"/>
      <c r="DUR67" s="684"/>
      <c r="DUS67" s="684"/>
      <c r="DUT67" s="684"/>
      <c r="DUU67" s="684"/>
      <c r="DUV67" s="684"/>
      <c r="DUW67" s="684"/>
      <c r="DUX67" s="684"/>
      <c r="DUY67" s="684"/>
      <c r="DUZ67" s="684"/>
      <c r="DVA67" s="684"/>
      <c r="DVB67" s="684"/>
      <c r="DVC67" s="684"/>
      <c r="DVD67" s="684"/>
      <c r="DVE67" s="684"/>
      <c r="DVF67" s="684"/>
      <c r="DVG67" s="684"/>
      <c r="DVH67" s="684"/>
      <c r="DVI67" s="684"/>
      <c r="DVJ67" s="684"/>
      <c r="DVK67" s="684"/>
      <c r="DVL67" s="684"/>
      <c r="DVM67" s="684"/>
      <c r="DVN67" s="684"/>
      <c r="DVO67" s="684"/>
      <c r="DVP67" s="684"/>
      <c r="DVQ67" s="684"/>
      <c r="DVR67" s="684"/>
      <c r="DVS67" s="684"/>
      <c r="DVT67" s="684"/>
      <c r="DVU67" s="684"/>
      <c r="DVV67" s="684"/>
      <c r="DVW67" s="684"/>
      <c r="DVX67" s="684"/>
      <c r="DVY67" s="684"/>
      <c r="DVZ67" s="684"/>
      <c r="DWA67" s="684"/>
      <c r="DWB67" s="684"/>
      <c r="DWC67" s="684"/>
      <c r="DWD67" s="684"/>
      <c r="DWE67" s="684"/>
      <c r="DWF67" s="684"/>
      <c r="DWG67" s="684"/>
      <c r="DWH67" s="684"/>
      <c r="DWI67" s="684"/>
      <c r="DWJ67" s="684"/>
      <c r="DWK67" s="684"/>
      <c r="DWL67" s="684"/>
      <c r="DWM67" s="684"/>
      <c r="DWN67" s="684"/>
      <c r="DWO67" s="684"/>
      <c r="DWP67" s="684"/>
      <c r="DWQ67" s="684"/>
      <c r="DWR67" s="684"/>
      <c r="DWS67" s="684"/>
      <c r="DWT67" s="684"/>
      <c r="DWU67" s="684"/>
      <c r="DWV67" s="684"/>
      <c r="DWW67" s="684"/>
      <c r="DWX67" s="684"/>
      <c r="DWY67" s="684"/>
      <c r="DWZ67" s="684"/>
      <c r="DXA67" s="684"/>
      <c r="DXB67" s="684"/>
      <c r="DXC67" s="684"/>
      <c r="DXD67" s="684"/>
      <c r="DXE67" s="684"/>
      <c r="DXF67" s="684"/>
      <c r="DXG67" s="684"/>
      <c r="DXH67" s="684"/>
      <c r="DXI67" s="684"/>
      <c r="DXJ67" s="684"/>
      <c r="DXK67" s="684"/>
      <c r="DXL67" s="684"/>
      <c r="DXM67" s="684"/>
      <c r="DXN67" s="684"/>
      <c r="DXO67" s="684"/>
      <c r="DXP67" s="684"/>
      <c r="DXQ67" s="684"/>
      <c r="DXR67" s="684"/>
      <c r="DXS67" s="684"/>
      <c r="DXT67" s="684"/>
      <c r="DXU67" s="684"/>
      <c r="DXV67" s="684"/>
      <c r="DXW67" s="684"/>
      <c r="DXX67" s="684"/>
      <c r="DXY67" s="684"/>
      <c r="DXZ67" s="684"/>
      <c r="DYA67" s="684"/>
      <c r="DYB67" s="684"/>
      <c r="DYC67" s="684"/>
      <c r="DYD67" s="684"/>
      <c r="DYE67" s="684"/>
      <c r="DYF67" s="684"/>
      <c r="DYG67" s="684"/>
      <c r="DYH67" s="684"/>
      <c r="DYI67" s="684"/>
      <c r="DYJ67" s="684"/>
      <c r="DYK67" s="684"/>
      <c r="DYL67" s="684"/>
      <c r="DYM67" s="684"/>
      <c r="DYN67" s="684"/>
      <c r="DYO67" s="684"/>
      <c r="DYP67" s="684"/>
      <c r="DYQ67" s="684"/>
      <c r="DYR67" s="684"/>
      <c r="DYS67" s="684"/>
      <c r="DYT67" s="684"/>
      <c r="DYU67" s="684"/>
      <c r="DYV67" s="684"/>
      <c r="DYW67" s="684"/>
      <c r="DYX67" s="684"/>
      <c r="DYY67" s="684"/>
      <c r="DYZ67" s="684"/>
      <c r="DZA67" s="684"/>
      <c r="DZB67" s="684"/>
      <c r="DZC67" s="684"/>
      <c r="DZD67" s="684"/>
      <c r="DZE67" s="684"/>
      <c r="DZF67" s="684"/>
      <c r="DZG67" s="684"/>
      <c r="DZH67" s="684"/>
      <c r="DZI67" s="684"/>
      <c r="DZJ67" s="684"/>
      <c r="DZK67" s="684"/>
      <c r="DZL67" s="684"/>
      <c r="DZM67" s="684"/>
      <c r="DZN67" s="684"/>
      <c r="DZO67" s="684"/>
      <c r="DZP67" s="684"/>
      <c r="DZQ67" s="684"/>
      <c r="DZR67" s="684"/>
      <c r="DZS67" s="684"/>
      <c r="DZT67" s="684"/>
      <c r="DZU67" s="684"/>
      <c r="DZV67" s="684"/>
      <c r="DZW67" s="684"/>
      <c r="DZX67" s="684"/>
      <c r="DZY67" s="684"/>
      <c r="DZZ67" s="684"/>
      <c r="EAA67" s="684"/>
      <c r="EAB67" s="684"/>
      <c r="EAC67" s="684"/>
      <c r="EAD67" s="684"/>
      <c r="EAE67" s="684"/>
      <c r="EAF67" s="684"/>
      <c r="EAG67" s="684"/>
      <c r="EAH67" s="684"/>
      <c r="EAI67" s="684"/>
      <c r="EAJ67" s="684"/>
      <c r="EAK67" s="684"/>
      <c r="EAL67" s="684"/>
      <c r="EAM67" s="684"/>
      <c r="EAN67" s="684"/>
      <c r="EAO67" s="684"/>
      <c r="EAP67" s="684"/>
      <c r="EAQ67" s="684"/>
      <c r="EAR67" s="684"/>
      <c r="EAS67" s="684"/>
      <c r="EAT67" s="684"/>
      <c r="EAU67" s="684"/>
      <c r="EAV67" s="684"/>
      <c r="EAW67" s="684"/>
      <c r="EAX67" s="684"/>
      <c r="EAY67" s="684"/>
      <c r="EAZ67" s="684"/>
      <c r="EBA67" s="684"/>
      <c r="EBB67" s="684"/>
      <c r="EBC67" s="684"/>
      <c r="EBD67" s="684"/>
      <c r="EBE67" s="684"/>
      <c r="EBF67" s="684"/>
      <c r="EBG67" s="684"/>
      <c r="EBH67" s="684"/>
      <c r="EBI67" s="684"/>
      <c r="EBJ67" s="684"/>
      <c r="EBK67" s="684"/>
      <c r="EBL67" s="684"/>
      <c r="EBM67" s="684"/>
      <c r="EBN67" s="684"/>
      <c r="EBO67" s="684"/>
      <c r="EBP67" s="684"/>
      <c r="EBQ67" s="684"/>
      <c r="EBR67" s="684"/>
      <c r="EBS67" s="684"/>
      <c r="EBT67" s="684"/>
      <c r="EBU67" s="684"/>
      <c r="EBV67" s="684"/>
      <c r="EBW67" s="684"/>
      <c r="EBX67" s="684"/>
      <c r="EBY67" s="684"/>
      <c r="EBZ67" s="684"/>
      <c r="ECA67" s="684"/>
      <c r="ECB67" s="684"/>
      <c r="ECC67" s="684"/>
      <c r="ECD67" s="684"/>
      <c r="ECE67" s="684"/>
      <c r="ECF67" s="684"/>
      <c r="ECG67" s="684"/>
      <c r="ECH67" s="684"/>
      <c r="ECI67" s="684"/>
      <c r="ECJ67" s="684"/>
      <c r="ECK67" s="684"/>
      <c r="ECL67" s="684"/>
      <c r="ECM67" s="684"/>
      <c r="ECN67" s="684"/>
      <c r="ECO67" s="684"/>
      <c r="ECP67" s="684"/>
      <c r="ECQ67" s="684"/>
      <c r="ECR67" s="684"/>
      <c r="ECS67" s="684"/>
      <c r="ECT67" s="684"/>
      <c r="ECU67" s="684"/>
      <c r="ECV67" s="684"/>
      <c r="ECW67" s="684"/>
      <c r="ECX67" s="684"/>
      <c r="ECY67" s="684"/>
      <c r="ECZ67" s="684"/>
      <c r="EDA67" s="684"/>
      <c r="EDB67" s="684"/>
      <c r="EDC67" s="684"/>
      <c r="EDD67" s="684"/>
      <c r="EDE67" s="684"/>
      <c r="EDF67" s="684"/>
      <c r="EDG67" s="684"/>
      <c r="EDH67" s="684"/>
      <c r="EDI67" s="684"/>
      <c r="EDJ67" s="684"/>
      <c r="EDK67" s="684"/>
      <c r="EDL67" s="684"/>
      <c r="EDM67" s="684"/>
      <c r="EDN67" s="684"/>
      <c r="EDO67" s="684"/>
      <c r="EDP67" s="684"/>
      <c r="EDQ67" s="684"/>
      <c r="EDR67" s="684"/>
      <c r="EDS67" s="684"/>
      <c r="EDT67" s="684"/>
      <c r="EDU67" s="684"/>
      <c r="EDV67" s="684"/>
      <c r="EDW67" s="684"/>
      <c r="EDX67" s="684"/>
      <c r="EDY67" s="684"/>
      <c r="EDZ67" s="684"/>
      <c r="EEA67" s="684"/>
      <c r="EEB67" s="684"/>
      <c r="EEC67" s="684"/>
      <c r="EED67" s="684"/>
      <c r="EEE67" s="684"/>
      <c r="EEF67" s="684"/>
      <c r="EEG67" s="684"/>
      <c r="EEH67" s="684"/>
      <c r="EEI67" s="684"/>
      <c r="EEJ67" s="684"/>
      <c r="EEK67" s="684"/>
      <c r="EEL67" s="684"/>
      <c r="EEM67" s="684"/>
      <c r="EEN67" s="684"/>
      <c r="EEO67" s="684"/>
      <c r="EEP67" s="684"/>
      <c r="EEQ67" s="684"/>
      <c r="EER67" s="684"/>
      <c r="EES67" s="684"/>
      <c r="EET67" s="684"/>
      <c r="EEU67" s="684"/>
      <c r="EEV67" s="684"/>
      <c r="EEW67" s="684"/>
      <c r="EEX67" s="684"/>
      <c r="EEY67" s="684"/>
      <c r="EEZ67" s="684"/>
      <c r="EFA67" s="684"/>
      <c r="EFB67" s="684"/>
      <c r="EFC67" s="684"/>
      <c r="EFD67" s="684"/>
      <c r="EFE67" s="684"/>
      <c r="EFF67" s="684"/>
      <c r="EFG67" s="684"/>
      <c r="EFH67" s="684"/>
      <c r="EFI67" s="684"/>
      <c r="EFJ67" s="684"/>
      <c r="EFK67" s="684"/>
      <c r="EFL67" s="684"/>
      <c r="EFM67" s="684"/>
      <c r="EFN67" s="684"/>
      <c r="EFO67" s="684"/>
      <c r="EFP67" s="684"/>
      <c r="EFQ67" s="684"/>
      <c r="EFR67" s="684"/>
      <c r="EFS67" s="684"/>
      <c r="EFT67" s="684"/>
      <c r="EFU67" s="684"/>
      <c r="EFV67" s="684"/>
      <c r="EFW67" s="684"/>
      <c r="EFX67" s="684"/>
      <c r="EFY67" s="684"/>
      <c r="EFZ67" s="684"/>
      <c r="EGA67" s="684"/>
      <c r="EGB67" s="684"/>
      <c r="EGC67" s="684"/>
      <c r="EGD67" s="684"/>
      <c r="EGE67" s="684"/>
      <c r="EGF67" s="684"/>
      <c r="EGG67" s="684"/>
      <c r="EGH67" s="684"/>
      <c r="EGI67" s="684"/>
      <c r="EGJ67" s="684"/>
      <c r="EGK67" s="684"/>
      <c r="EGL67" s="684"/>
      <c r="EGM67" s="684"/>
      <c r="EGN67" s="684"/>
      <c r="EGO67" s="684"/>
      <c r="EGP67" s="684"/>
      <c r="EGQ67" s="684"/>
      <c r="EGR67" s="684"/>
      <c r="EGS67" s="684"/>
      <c r="EGT67" s="684"/>
      <c r="EGU67" s="684"/>
      <c r="EGV67" s="684"/>
      <c r="EGW67" s="684"/>
      <c r="EGX67" s="684"/>
      <c r="EGY67" s="684"/>
      <c r="EGZ67" s="684"/>
      <c r="EHA67" s="684"/>
      <c r="EHB67" s="684"/>
      <c r="EHC67" s="684"/>
      <c r="EHD67" s="684"/>
      <c r="EHE67" s="684"/>
      <c r="EHF67" s="684"/>
      <c r="EHG67" s="684"/>
      <c r="EHH67" s="684"/>
      <c r="EHI67" s="684"/>
      <c r="EHJ67" s="684"/>
      <c r="EHK67" s="684"/>
      <c r="EHL67" s="684"/>
      <c r="EHM67" s="684"/>
      <c r="EHN67" s="684"/>
      <c r="EHO67" s="684"/>
      <c r="EHP67" s="684"/>
      <c r="EHQ67" s="684"/>
      <c r="EHR67" s="684"/>
      <c r="EHS67" s="684"/>
      <c r="EHT67" s="684"/>
      <c r="EHU67" s="684"/>
      <c r="EHV67" s="684"/>
      <c r="EHW67" s="684"/>
      <c r="EHX67" s="684"/>
      <c r="EHY67" s="684"/>
      <c r="EHZ67" s="684"/>
      <c r="EIA67" s="684"/>
      <c r="EIB67" s="684"/>
      <c r="EIC67" s="684"/>
      <c r="EID67" s="684"/>
      <c r="EIE67" s="684"/>
      <c r="EIF67" s="684"/>
      <c r="EIG67" s="684"/>
      <c r="EIH67" s="684"/>
      <c r="EII67" s="684"/>
      <c r="EIJ67" s="684"/>
      <c r="EIK67" s="684"/>
      <c r="EIL67" s="684"/>
      <c r="EIM67" s="684"/>
      <c r="EIN67" s="684"/>
      <c r="EIO67" s="684"/>
      <c r="EIP67" s="684"/>
      <c r="EIQ67" s="684"/>
      <c r="EIR67" s="684"/>
      <c r="EIS67" s="684"/>
      <c r="EIT67" s="684"/>
      <c r="EIU67" s="684"/>
      <c r="EIV67" s="684"/>
      <c r="EIW67" s="684"/>
      <c r="EIX67" s="684"/>
      <c r="EIY67" s="684"/>
      <c r="EIZ67" s="684"/>
      <c r="EJA67" s="684"/>
      <c r="EJB67" s="684"/>
      <c r="EJC67" s="684"/>
      <c r="EJD67" s="684"/>
      <c r="EJE67" s="684"/>
      <c r="EJF67" s="684"/>
      <c r="EJG67" s="684"/>
      <c r="EJH67" s="684"/>
      <c r="EJI67" s="684"/>
      <c r="EJJ67" s="684"/>
      <c r="EJK67" s="684"/>
      <c r="EJL67" s="684"/>
      <c r="EJM67" s="684"/>
      <c r="EJN67" s="684"/>
      <c r="EJO67" s="684"/>
      <c r="EJP67" s="684"/>
      <c r="EJQ67" s="684"/>
      <c r="EJR67" s="684"/>
      <c r="EJS67" s="684"/>
      <c r="EJT67" s="684"/>
      <c r="EJU67" s="684"/>
      <c r="EJV67" s="684"/>
      <c r="EJW67" s="684"/>
      <c r="EJX67" s="684"/>
      <c r="EJY67" s="684"/>
      <c r="EJZ67" s="684"/>
      <c r="EKA67" s="684"/>
      <c r="EKB67" s="684"/>
      <c r="EKC67" s="684"/>
      <c r="EKD67" s="684"/>
      <c r="EKE67" s="684"/>
      <c r="EKF67" s="684"/>
      <c r="EKG67" s="684"/>
      <c r="EKH67" s="684"/>
      <c r="EKI67" s="684"/>
      <c r="EKJ67" s="684"/>
      <c r="EKK67" s="684"/>
      <c r="EKL67" s="684"/>
      <c r="EKM67" s="684"/>
      <c r="EKN67" s="684"/>
      <c r="EKO67" s="684"/>
      <c r="EKP67" s="684"/>
      <c r="EKQ67" s="684"/>
      <c r="EKR67" s="684"/>
      <c r="EKS67" s="684"/>
      <c r="EKT67" s="684"/>
      <c r="EKU67" s="684"/>
      <c r="EKV67" s="684"/>
      <c r="EKW67" s="684"/>
      <c r="EKX67" s="684"/>
      <c r="EKY67" s="684"/>
      <c r="EKZ67" s="684"/>
      <c r="ELA67" s="684"/>
      <c r="ELB67" s="684"/>
      <c r="ELC67" s="684"/>
      <c r="ELD67" s="684"/>
      <c r="ELE67" s="684"/>
      <c r="ELF67" s="684"/>
      <c r="ELG67" s="684"/>
      <c r="ELH67" s="684"/>
      <c r="ELI67" s="684"/>
      <c r="ELJ67" s="684"/>
      <c r="ELK67" s="684"/>
      <c r="ELL67" s="684"/>
      <c r="ELM67" s="684"/>
      <c r="ELN67" s="684"/>
      <c r="ELO67" s="684"/>
      <c r="ELP67" s="684"/>
      <c r="ELQ67" s="684"/>
      <c r="ELR67" s="684"/>
      <c r="ELS67" s="684"/>
      <c r="ELT67" s="684"/>
      <c r="ELU67" s="684"/>
      <c r="ELV67" s="684"/>
      <c r="ELW67" s="684"/>
      <c r="ELX67" s="684"/>
      <c r="ELY67" s="684"/>
      <c r="ELZ67" s="684"/>
      <c r="EMA67" s="684"/>
      <c r="EMB67" s="684"/>
      <c r="EMC67" s="684"/>
      <c r="EMD67" s="684"/>
      <c r="EME67" s="684"/>
      <c r="EMF67" s="684"/>
      <c r="EMG67" s="684"/>
      <c r="EMH67" s="684"/>
      <c r="EMI67" s="684"/>
      <c r="EMJ67" s="684"/>
      <c r="EMK67" s="684"/>
      <c r="EML67" s="684"/>
      <c r="EMM67" s="684"/>
      <c r="EMN67" s="684"/>
      <c r="EMO67" s="684"/>
      <c r="EMP67" s="684"/>
      <c r="EMQ67" s="684"/>
      <c r="EMR67" s="684"/>
      <c r="EMS67" s="684"/>
      <c r="EMT67" s="684"/>
      <c r="EMU67" s="684"/>
      <c r="EMV67" s="684"/>
      <c r="EMW67" s="684"/>
      <c r="EMX67" s="684"/>
      <c r="EMY67" s="684"/>
      <c r="EMZ67" s="684"/>
      <c r="ENA67" s="684"/>
      <c r="ENB67" s="684"/>
      <c r="ENC67" s="684"/>
      <c r="END67" s="684"/>
      <c r="ENE67" s="684"/>
      <c r="ENF67" s="684"/>
      <c r="ENG67" s="684"/>
      <c r="ENH67" s="684"/>
      <c r="ENI67" s="684"/>
      <c r="ENJ67" s="684"/>
      <c r="ENK67" s="684"/>
      <c r="ENL67" s="684"/>
      <c r="ENM67" s="684"/>
      <c r="ENN67" s="684"/>
      <c r="ENO67" s="684"/>
      <c r="ENP67" s="684"/>
      <c r="ENQ67" s="684"/>
      <c r="ENR67" s="684"/>
      <c r="ENS67" s="684"/>
      <c r="ENT67" s="684"/>
      <c r="ENU67" s="684"/>
      <c r="ENV67" s="684"/>
      <c r="ENW67" s="684"/>
      <c r="ENX67" s="684"/>
      <c r="ENY67" s="684"/>
      <c r="ENZ67" s="684"/>
      <c r="EOA67" s="684"/>
      <c r="EOB67" s="684"/>
      <c r="EOC67" s="684"/>
      <c r="EOD67" s="684"/>
      <c r="EOE67" s="684"/>
      <c r="EOF67" s="684"/>
      <c r="EOG67" s="684"/>
      <c r="EOH67" s="684"/>
      <c r="EOI67" s="684"/>
      <c r="EOJ67" s="684"/>
      <c r="EOK67" s="684"/>
      <c r="EOL67" s="684"/>
      <c r="EOM67" s="684"/>
      <c r="EON67" s="684"/>
      <c r="EOO67" s="684"/>
      <c r="EOP67" s="684"/>
      <c r="EOQ67" s="684"/>
      <c r="EOR67" s="684"/>
      <c r="EOS67" s="684"/>
      <c r="EOT67" s="684"/>
      <c r="EOU67" s="684"/>
      <c r="EOV67" s="684"/>
      <c r="EOW67" s="684"/>
      <c r="EOX67" s="684"/>
      <c r="EOY67" s="684"/>
      <c r="EOZ67" s="684"/>
      <c r="EPA67" s="684"/>
      <c r="EPB67" s="684"/>
      <c r="EPC67" s="684"/>
      <c r="EPD67" s="684"/>
      <c r="EPE67" s="684"/>
      <c r="EPF67" s="684"/>
      <c r="EPG67" s="684"/>
      <c r="EPH67" s="684"/>
      <c r="EPI67" s="684"/>
      <c r="EPJ67" s="684"/>
      <c r="EPK67" s="684"/>
      <c r="EPL67" s="684"/>
      <c r="EPM67" s="684"/>
      <c r="EPN67" s="684"/>
      <c r="EPO67" s="684"/>
      <c r="EPP67" s="684"/>
      <c r="EPQ67" s="684"/>
      <c r="EPR67" s="684"/>
      <c r="EPS67" s="684"/>
      <c r="EPT67" s="684"/>
      <c r="EPU67" s="684"/>
      <c r="EPV67" s="684"/>
      <c r="EPW67" s="684"/>
      <c r="EPX67" s="684"/>
      <c r="EPY67" s="684"/>
      <c r="EPZ67" s="684"/>
      <c r="EQA67" s="684"/>
      <c r="EQB67" s="684"/>
      <c r="EQC67" s="684"/>
      <c r="EQD67" s="684"/>
      <c r="EQE67" s="684"/>
      <c r="EQF67" s="684"/>
      <c r="EQG67" s="684"/>
      <c r="EQH67" s="684"/>
      <c r="EQI67" s="684"/>
      <c r="EQJ67" s="684"/>
      <c r="EQK67" s="684"/>
      <c r="EQL67" s="684"/>
      <c r="EQM67" s="684"/>
      <c r="EQN67" s="684"/>
      <c r="EQO67" s="684"/>
      <c r="EQP67" s="684"/>
      <c r="EQQ67" s="684"/>
      <c r="EQR67" s="684"/>
      <c r="EQS67" s="684"/>
      <c r="EQT67" s="684"/>
      <c r="EQU67" s="684"/>
      <c r="EQV67" s="684"/>
      <c r="EQW67" s="684"/>
      <c r="EQX67" s="684"/>
      <c r="EQY67" s="684"/>
      <c r="EQZ67" s="684"/>
      <c r="ERA67" s="684"/>
      <c r="ERB67" s="684"/>
      <c r="ERC67" s="684"/>
      <c r="ERD67" s="684"/>
      <c r="ERE67" s="684"/>
      <c r="ERF67" s="684"/>
      <c r="ERG67" s="684"/>
      <c r="ERH67" s="684"/>
      <c r="ERI67" s="684"/>
      <c r="ERJ67" s="684"/>
      <c r="ERK67" s="684"/>
      <c r="ERL67" s="684"/>
      <c r="ERM67" s="684"/>
      <c r="ERN67" s="684"/>
      <c r="ERO67" s="684"/>
      <c r="ERP67" s="684"/>
      <c r="ERQ67" s="684"/>
      <c r="ERR67" s="684"/>
      <c r="ERS67" s="684"/>
      <c r="ERT67" s="684"/>
      <c r="ERU67" s="684"/>
      <c r="ERV67" s="684"/>
      <c r="ERW67" s="684"/>
      <c r="ERX67" s="684"/>
      <c r="ERY67" s="684"/>
      <c r="ERZ67" s="684"/>
      <c r="ESA67" s="684"/>
      <c r="ESB67" s="684"/>
      <c r="ESC67" s="684"/>
      <c r="ESD67" s="684"/>
      <c r="ESE67" s="684"/>
      <c r="ESF67" s="684"/>
      <c r="ESG67" s="684"/>
      <c r="ESH67" s="684"/>
      <c r="ESI67" s="684"/>
      <c r="ESJ67" s="684"/>
      <c r="ESK67" s="684"/>
      <c r="ESL67" s="684"/>
      <c r="ESM67" s="684"/>
      <c r="ESN67" s="684"/>
      <c r="ESO67" s="684"/>
      <c r="ESP67" s="684"/>
      <c r="ESQ67" s="684"/>
      <c r="ESR67" s="684"/>
      <c r="ESS67" s="684"/>
      <c r="EST67" s="684"/>
      <c r="ESU67" s="684"/>
      <c r="ESV67" s="684"/>
      <c r="ESW67" s="684"/>
      <c r="ESX67" s="684"/>
      <c r="ESY67" s="684"/>
      <c r="ESZ67" s="684"/>
      <c r="ETA67" s="684"/>
      <c r="ETB67" s="684"/>
      <c r="ETC67" s="684"/>
      <c r="ETD67" s="684"/>
      <c r="ETE67" s="684"/>
      <c r="ETF67" s="684"/>
      <c r="ETG67" s="684"/>
      <c r="ETH67" s="684"/>
      <c r="ETI67" s="684"/>
      <c r="ETJ67" s="684"/>
      <c r="ETK67" s="684"/>
      <c r="ETL67" s="684"/>
      <c r="ETM67" s="684"/>
      <c r="ETN67" s="684"/>
      <c r="ETO67" s="684"/>
      <c r="ETP67" s="684"/>
      <c r="ETQ67" s="684"/>
      <c r="ETR67" s="684"/>
      <c r="ETS67" s="684"/>
      <c r="ETT67" s="684"/>
      <c r="ETU67" s="684"/>
      <c r="ETV67" s="684"/>
      <c r="ETW67" s="684"/>
      <c r="ETX67" s="684"/>
      <c r="ETY67" s="684"/>
      <c r="ETZ67" s="684"/>
      <c r="EUA67" s="684"/>
      <c r="EUB67" s="684"/>
      <c r="EUC67" s="684"/>
      <c r="EUD67" s="684"/>
      <c r="EUE67" s="684"/>
      <c r="EUF67" s="684"/>
      <c r="EUG67" s="684"/>
      <c r="EUH67" s="684"/>
      <c r="EUI67" s="684"/>
      <c r="EUJ67" s="684"/>
      <c r="EUK67" s="684"/>
      <c r="EUL67" s="684"/>
      <c r="EUM67" s="684"/>
      <c r="EUN67" s="684"/>
      <c r="EUO67" s="684"/>
      <c r="EUP67" s="684"/>
      <c r="EUQ67" s="684"/>
      <c r="EUR67" s="684"/>
      <c r="EUS67" s="684"/>
      <c r="EUT67" s="684"/>
      <c r="EUU67" s="684"/>
      <c r="EUV67" s="684"/>
      <c r="EUW67" s="684"/>
      <c r="EUX67" s="684"/>
      <c r="EUY67" s="684"/>
      <c r="EUZ67" s="684"/>
      <c r="EVA67" s="684"/>
      <c r="EVB67" s="684"/>
      <c r="EVC67" s="684"/>
      <c r="EVD67" s="684"/>
      <c r="EVE67" s="684"/>
      <c r="EVF67" s="684"/>
      <c r="EVG67" s="684"/>
      <c r="EVH67" s="684"/>
      <c r="EVI67" s="684"/>
      <c r="EVJ67" s="684"/>
      <c r="EVK67" s="684"/>
      <c r="EVL67" s="684"/>
      <c r="EVM67" s="684"/>
      <c r="EVN67" s="684"/>
      <c r="EVO67" s="684"/>
      <c r="EVP67" s="684"/>
      <c r="EVQ67" s="684"/>
      <c r="EVR67" s="684"/>
      <c r="EVS67" s="684"/>
      <c r="EVT67" s="684"/>
      <c r="EVU67" s="684"/>
      <c r="EVV67" s="684"/>
      <c r="EVW67" s="684"/>
      <c r="EVX67" s="684"/>
      <c r="EVY67" s="684"/>
      <c r="EVZ67" s="684"/>
      <c r="EWA67" s="684"/>
      <c r="EWB67" s="684"/>
      <c r="EWC67" s="684"/>
      <c r="EWD67" s="684"/>
      <c r="EWE67" s="684"/>
      <c r="EWF67" s="684"/>
      <c r="EWG67" s="684"/>
      <c r="EWH67" s="684"/>
      <c r="EWI67" s="684"/>
      <c r="EWJ67" s="684"/>
      <c r="EWK67" s="684"/>
      <c r="EWL67" s="684"/>
      <c r="EWM67" s="684"/>
      <c r="EWN67" s="684"/>
      <c r="EWO67" s="684"/>
      <c r="EWP67" s="684"/>
      <c r="EWQ67" s="684"/>
      <c r="EWR67" s="684"/>
      <c r="EWS67" s="684"/>
      <c r="EWT67" s="684"/>
      <c r="EWU67" s="684"/>
      <c r="EWV67" s="684"/>
      <c r="EWW67" s="684"/>
      <c r="EWX67" s="684"/>
      <c r="EWY67" s="684"/>
      <c r="EWZ67" s="684"/>
      <c r="EXA67" s="684"/>
      <c r="EXB67" s="684"/>
      <c r="EXC67" s="684"/>
      <c r="EXD67" s="684"/>
      <c r="EXE67" s="684"/>
      <c r="EXF67" s="684"/>
      <c r="EXG67" s="684"/>
      <c r="EXH67" s="684"/>
      <c r="EXI67" s="684"/>
      <c r="EXJ67" s="684"/>
      <c r="EXK67" s="684"/>
      <c r="EXL67" s="684"/>
      <c r="EXM67" s="684"/>
      <c r="EXN67" s="684"/>
      <c r="EXO67" s="684"/>
      <c r="EXP67" s="684"/>
      <c r="EXQ67" s="684"/>
      <c r="EXR67" s="684"/>
      <c r="EXS67" s="684"/>
      <c r="EXT67" s="684"/>
      <c r="EXU67" s="684"/>
      <c r="EXV67" s="684"/>
      <c r="EXW67" s="684"/>
      <c r="EXX67" s="684"/>
      <c r="EXY67" s="684"/>
      <c r="EXZ67" s="684"/>
      <c r="EYA67" s="684"/>
      <c r="EYB67" s="684"/>
      <c r="EYC67" s="684"/>
      <c r="EYD67" s="684"/>
      <c r="EYE67" s="684"/>
      <c r="EYF67" s="684"/>
      <c r="EYG67" s="684"/>
      <c r="EYH67" s="684"/>
      <c r="EYI67" s="684"/>
      <c r="EYJ67" s="684"/>
      <c r="EYK67" s="684"/>
      <c r="EYL67" s="684"/>
      <c r="EYM67" s="684"/>
      <c r="EYN67" s="684"/>
      <c r="EYO67" s="684"/>
      <c r="EYP67" s="684"/>
      <c r="EYQ67" s="684"/>
      <c r="EYR67" s="684"/>
      <c r="EYS67" s="684"/>
      <c r="EYT67" s="684"/>
      <c r="EYU67" s="684"/>
      <c r="EYV67" s="684"/>
      <c r="EYW67" s="684"/>
      <c r="EYX67" s="684"/>
      <c r="EYY67" s="684"/>
      <c r="EYZ67" s="684"/>
      <c r="EZA67" s="684"/>
      <c r="EZB67" s="684"/>
      <c r="EZC67" s="684"/>
      <c r="EZD67" s="684"/>
      <c r="EZE67" s="684"/>
      <c r="EZF67" s="684"/>
      <c r="EZG67" s="684"/>
      <c r="EZH67" s="684"/>
      <c r="EZI67" s="684"/>
      <c r="EZJ67" s="684"/>
      <c r="EZK67" s="684"/>
      <c r="EZL67" s="684"/>
      <c r="EZM67" s="684"/>
      <c r="EZN67" s="684"/>
      <c r="EZO67" s="684"/>
      <c r="EZP67" s="684"/>
      <c r="EZQ67" s="684"/>
      <c r="EZR67" s="684"/>
      <c r="EZS67" s="684"/>
      <c r="EZT67" s="684"/>
      <c r="EZU67" s="684"/>
      <c r="EZV67" s="684"/>
      <c r="EZW67" s="684"/>
      <c r="EZX67" s="684"/>
      <c r="EZY67" s="684"/>
      <c r="EZZ67" s="684"/>
      <c r="FAA67" s="684"/>
      <c r="FAB67" s="684"/>
      <c r="FAC67" s="684"/>
      <c r="FAD67" s="684"/>
      <c r="FAE67" s="684"/>
      <c r="FAF67" s="684"/>
      <c r="FAG67" s="684"/>
      <c r="FAH67" s="684"/>
      <c r="FAI67" s="684"/>
      <c r="FAJ67" s="684"/>
      <c r="FAK67" s="684"/>
      <c r="FAL67" s="684"/>
      <c r="FAM67" s="684"/>
      <c r="FAN67" s="684"/>
      <c r="FAO67" s="684"/>
      <c r="FAP67" s="684"/>
      <c r="FAQ67" s="684"/>
      <c r="FAR67" s="684"/>
      <c r="FAS67" s="684"/>
      <c r="FAT67" s="684"/>
      <c r="FAU67" s="684"/>
      <c r="FAV67" s="684"/>
      <c r="FAW67" s="684"/>
      <c r="FAX67" s="684"/>
      <c r="FAY67" s="684"/>
      <c r="FAZ67" s="684"/>
      <c r="FBA67" s="684"/>
      <c r="FBB67" s="684"/>
      <c r="FBC67" s="684"/>
      <c r="FBD67" s="684"/>
      <c r="FBE67" s="684"/>
      <c r="FBF67" s="684"/>
      <c r="FBG67" s="684"/>
      <c r="FBH67" s="684"/>
      <c r="FBI67" s="684"/>
      <c r="FBJ67" s="684"/>
      <c r="FBK67" s="684"/>
      <c r="FBL67" s="684"/>
      <c r="FBM67" s="684"/>
      <c r="FBN67" s="684"/>
      <c r="FBO67" s="684"/>
      <c r="FBP67" s="684"/>
      <c r="FBQ67" s="684"/>
      <c r="FBR67" s="684"/>
      <c r="FBS67" s="684"/>
      <c r="FBT67" s="684"/>
      <c r="FBU67" s="684"/>
      <c r="FBV67" s="684"/>
      <c r="FBW67" s="684"/>
      <c r="FBX67" s="684"/>
      <c r="FBY67" s="684"/>
      <c r="FBZ67" s="684"/>
      <c r="FCA67" s="684"/>
      <c r="FCB67" s="684"/>
      <c r="FCC67" s="684"/>
      <c r="FCD67" s="684"/>
      <c r="FCE67" s="684"/>
      <c r="FCF67" s="684"/>
      <c r="FCG67" s="684"/>
      <c r="FCH67" s="684"/>
      <c r="FCI67" s="684"/>
      <c r="FCJ67" s="684"/>
      <c r="FCK67" s="684"/>
      <c r="FCL67" s="684"/>
      <c r="FCM67" s="684"/>
      <c r="FCN67" s="684"/>
      <c r="FCO67" s="684"/>
      <c r="FCP67" s="684"/>
      <c r="FCQ67" s="684"/>
      <c r="FCR67" s="684"/>
      <c r="FCS67" s="684"/>
      <c r="FCT67" s="684"/>
      <c r="FCU67" s="684"/>
      <c r="FCV67" s="684"/>
      <c r="FCW67" s="684"/>
      <c r="FCX67" s="684"/>
      <c r="FCY67" s="684"/>
      <c r="FCZ67" s="684"/>
      <c r="FDA67" s="684"/>
      <c r="FDB67" s="684"/>
      <c r="FDC67" s="684"/>
      <c r="FDD67" s="684"/>
      <c r="FDE67" s="684"/>
      <c r="FDF67" s="684"/>
      <c r="FDG67" s="684"/>
      <c r="FDH67" s="684"/>
      <c r="FDI67" s="684"/>
      <c r="FDJ67" s="684"/>
      <c r="FDK67" s="684"/>
      <c r="FDL67" s="684"/>
      <c r="FDM67" s="684"/>
      <c r="FDN67" s="684"/>
      <c r="FDO67" s="684"/>
      <c r="FDP67" s="684"/>
      <c r="FDQ67" s="684"/>
      <c r="FDR67" s="684"/>
      <c r="FDS67" s="684"/>
      <c r="FDT67" s="684"/>
      <c r="FDU67" s="684"/>
      <c r="FDV67" s="684"/>
      <c r="FDW67" s="684"/>
      <c r="FDX67" s="684"/>
      <c r="FDY67" s="684"/>
      <c r="FDZ67" s="684"/>
      <c r="FEA67" s="684"/>
      <c r="FEB67" s="684"/>
      <c r="FEC67" s="684"/>
      <c r="FED67" s="684"/>
      <c r="FEE67" s="684"/>
      <c r="FEF67" s="684"/>
      <c r="FEG67" s="684"/>
      <c r="FEH67" s="684"/>
      <c r="FEI67" s="684"/>
      <c r="FEJ67" s="684"/>
      <c r="FEK67" s="684"/>
      <c r="FEL67" s="684"/>
      <c r="FEM67" s="684"/>
      <c r="FEN67" s="684"/>
      <c r="FEO67" s="684"/>
      <c r="FEP67" s="684"/>
      <c r="FEQ67" s="684"/>
      <c r="FER67" s="684"/>
      <c r="FES67" s="684"/>
      <c r="FET67" s="684"/>
      <c r="FEU67" s="684"/>
      <c r="FEV67" s="684"/>
      <c r="FEW67" s="684"/>
      <c r="FEX67" s="684"/>
      <c r="FEY67" s="684"/>
      <c r="FEZ67" s="684"/>
      <c r="FFA67" s="684"/>
      <c r="FFB67" s="684"/>
      <c r="FFC67" s="684"/>
      <c r="FFD67" s="684"/>
      <c r="FFE67" s="684"/>
      <c r="FFF67" s="684"/>
      <c r="FFG67" s="684"/>
      <c r="FFH67" s="684"/>
      <c r="FFI67" s="684"/>
      <c r="FFJ67" s="684"/>
      <c r="FFK67" s="684"/>
      <c r="FFL67" s="684"/>
      <c r="FFM67" s="684"/>
      <c r="FFN67" s="684"/>
      <c r="FFO67" s="684"/>
      <c r="FFP67" s="684"/>
      <c r="FFQ67" s="684"/>
      <c r="FFR67" s="684"/>
      <c r="FFS67" s="684"/>
      <c r="FFT67" s="684"/>
      <c r="FFU67" s="684"/>
      <c r="FFV67" s="684"/>
      <c r="FFW67" s="684"/>
      <c r="FFX67" s="684"/>
      <c r="FFY67" s="684"/>
      <c r="FFZ67" s="684"/>
      <c r="FGA67" s="684"/>
      <c r="FGB67" s="684"/>
      <c r="FGC67" s="684"/>
      <c r="FGD67" s="684"/>
      <c r="FGE67" s="684"/>
      <c r="FGF67" s="684"/>
      <c r="FGG67" s="684"/>
      <c r="FGH67" s="684"/>
      <c r="FGI67" s="684"/>
      <c r="FGJ67" s="684"/>
      <c r="FGK67" s="684"/>
      <c r="FGL67" s="684"/>
      <c r="FGM67" s="684"/>
      <c r="FGN67" s="684"/>
      <c r="FGO67" s="684"/>
      <c r="FGP67" s="684"/>
      <c r="FGQ67" s="684"/>
      <c r="FGR67" s="684"/>
      <c r="FGS67" s="684"/>
      <c r="FGT67" s="684"/>
      <c r="FGU67" s="684"/>
      <c r="FGV67" s="684"/>
      <c r="FGW67" s="684"/>
      <c r="FGX67" s="684"/>
      <c r="FGY67" s="684"/>
      <c r="FGZ67" s="684"/>
      <c r="FHA67" s="684"/>
      <c r="FHB67" s="684"/>
      <c r="FHC67" s="684"/>
      <c r="FHD67" s="684"/>
      <c r="FHE67" s="684"/>
      <c r="FHF67" s="684"/>
      <c r="FHG67" s="684"/>
      <c r="FHH67" s="684"/>
      <c r="FHI67" s="684"/>
      <c r="FHJ67" s="684"/>
      <c r="FHK67" s="684"/>
      <c r="FHL67" s="684"/>
      <c r="FHM67" s="684"/>
      <c r="FHN67" s="684"/>
      <c r="FHO67" s="684"/>
      <c r="FHP67" s="684"/>
      <c r="FHQ67" s="684"/>
      <c r="FHR67" s="684"/>
      <c r="FHS67" s="684"/>
      <c r="FHT67" s="684"/>
      <c r="FHU67" s="684"/>
      <c r="FHV67" s="684"/>
      <c r="FHW67" s="684"/>
      <c r="FHX67" s="684"/>
      <c r="FHY67" s="684"/>
      <c r="FHZ67" s="684"/>
      <c r="FIA67" s="684"/>
      <c r="FIB67" s="684"/>
      <c r="FIC67" s="684"/>
      <c r="FID67" s="684"/>
      <c r="FIE67" s="684"/>
      <c r="FIF67" s="684"/>
      <c r="FIG67" s="684"/>
      <c r="FIH67" s="684"/>
      <c r="FII67" s="684"/>
      <c r="FIJ67" s="684"/>
      <c r="FIK67" s="684"/>
      <c r="FIL67" s="684"/>
      <c r="FIM67" s="684"/>
      <c r="FIN67" s="684"/>
      <c r="FIO67" s="684"/>
      <c r="FIP67" s="684"/>
      <c r="FIQ67" s="684"/>
      <c r="FIR67" s="684"/>
      <c r="FIS67" s="684"/>
      <c r="FIT67" s="684"/>
      <c r="FIU67" s="684"/>
      <c r="FIV67" s="684"/>
      <c r="FIW67" s="684"/>
      <c r="FIX67" s="684"/>
      <c r="FIY67" s="684"/>
      <c r="FIZ67" s="684"/>
      <c r="FJA67" s="684"/>
      <c r="FJB67" s="684"/>
      <c r="FJC67" s="684"/>
      <c r="FJD67" s="684"/>
      <c r="FJE67" s="684"/>
      <c r="FJF67" s="684"/>
      <c r="FJG67" s="684"/>
      <c r="FJH67" s="684"/>
      <c r="FJI67" s="684"/>
      <c r="FJJ67" s="684"/>
      <c r="FJK67" s="684"/>
      <c r="FJL67" s="684"/>
      <c r="FJM67" s="684"/>
      <c r="FJN67" s="684"/>
      <c r="FJO67" s="684"/>
      <c r="FJP67" s="684"/>
      <c r="FJQ67" s="684"/>
      <c r="FJR67" s="684"/>
      <c r="FJS67" s="684"/>
      <c r="FJT67" s="684"/>
      <c r="FJU67" s="684"/>
      <c r="FJV67" s="684"/>
      <c r="FJW67" s="684"/>
      <c r="FJX67" s="684"/>
      <c r="FJY67" s="684"/>
      <c r="FJZ67" s="684"/>
      <c r="FKA67" s="684"/>
      <c r="FKB67" s="684"/>
      <c r="FKC67" s="684"/>
      <c r="FKD67" s="684"/>
      <c r="FKE67" s="684"/>
      <c r="FKF67" s="684"/>
      <c r="FKG67" s="684"/>
      <c r="FKH67" s="684"/>
      <c r="FKI67" s="684"/>
      <c r="FKJ67" s="684"/>
      <c r="FKK67" s="684"/>
      <c r="FKL67" s="684"/>
      <c r="FKM67" s="684"/>
      <c r="FKN67" s="684"/>
      <c r="FKO67" s="684"/>
      <c r="FKP67" s="684"/>
      <c r="FKQ67" s="684"/>
      <c r="FKR67" s="684"/>
      <c r="FKS67" s="684"/>
      <c r="FKT67" s="684"/>
      <c r="FKU67" s="684"/>
      <c r="FKV67" s="684"/>
      <c r="FKW67" s="684"/>
      <c r="FKX67" s="684"/>
      <c r="FKY67" s="684"/>
      <c r="FKZ67" s="684"/>
      <c r="FLA67" s="684"/>
      <c r="FLB67" s="684"/>
      <c r="FLC67" s="684"/>
      <c r="FLD67" s="684"/>
      <c r="FLE67" s="684"/>
      <c r="FLF67" s="684"/>
      <c r="FLG67" s="684"/>
      <c r="FLH67" s="684"/>
      <c r="FLI67" s="684"/>
      <c r="FLJ67" s="684"/>
      <c r="FLK67" s="684"/>
      <c r="FLL67" s="684"/>
      <c r="FLM67" s="684"/>
      <c r="FLN67" s="684"/>
      <c r="FLO67" s="684"/>
      <c r="FLP67" s="684"/>
      <c r="FLQ67" s="684"/>
      <c r="FLR67" s="684"/>
      <c r="FLS67" s="684"/>
      <c r="FLT67" s="684"/>
      <c r="FLU67" s="684"/>
      <c r="FLV67" s="684"/>
      <c r="FLW67" s="684"/>
      <c r="FLX67" s="684"/>
      <c r="FLY67" s="684"/>
      <c r="FLZ67" s="684"/>
      <c r="FMA67" s="684"/>
      <c r="FMB67" s="684"/>
      <c r="FMC67" s="684"/>
      <c r="FMD67" s="684"/>
      <c r="FME67" s="684"/>
      <c r="FMF67" s="684"/>
      <c r="FMG67" s="684"/>
      <c r="FMH67" s="684"/>
      <c r="FMI67" s="684"/>
      <c r="FMJ67" s="684"/>
      <c r="FMK67" s="684"/>
      <c r="FML67" s="684"/>
      <c r="FMM67" s="684"/>
      <c r="FMN67" s="684"/>
      <c r="FMO67" s="684"/>
      <c r="FMP67" s="684"/>
      <c r="FMQ67" s="684"/>
      <c r="FMR67" s="684"/>
      <c r="FMS67" s="684"/>
      <c r="FMT67" s="684"/>
      <c r="FMU67" s="684"/>
      <c r="FMV67" s="684"/>
      <c r="FMW67" s="684"/>
      <c r="FMX67" s="684"/>
      <c r="FMY67" s="684"/>
      <c r="FMZ67" s="684"/>
      <c r="FNA67" s="684"/>
      <c r="FNB67" s="684"/>
      <c r="FNC67" s="684"/>
      <c r="FND67" s="684"/>
      <c r="FNE67" s="684"/>
      <c r="FNF67" s="684"/>
      <c r="FNG67" s="684"/>
      <c r="FNH67" s="684"/>
      <c r="FNI67" s="684"/>
      <c r="FNJ67" s="684"/>
      <c r="FNK67" s="684"/>
      <c r="FNL67" s="684"/>
      <c r="FNM67" s="684"/>
      <c r="FNN67" s="684"/>
      <c r="FNO67" s="684"/>
      <c r="FNP67" s="684"/>
      <c r="FNQ67" s="684"/>
      <c r="FNR67" s="684"/>
      <c r="FNS67" s="684"/>
      <c r="FNT67" s="684"/>
      <c r="FNU67" s="684"/>
      <c r="FNV67" s="684"/>
      <c r="FNW67" s="684"/>
      <c r="FNX67" s="684"/>
      <c r="FNY67" s="684"/>
      <c r="FNZ67" s="684"/>
      <c r="FOA67" s="684"/>
      <c r="FOB67" s="684"/>
      <c r="FOC67" s="684"/>
      <c r="FOD67" s="684"/>
      <c r="FOE67" s="684"/>
      <c r="FOF67" s="684"/>
      <c r="FOG67" s="684"/>
      <c r="FOH67" s="684"/>
      <c r="FOI67" s="684"/>
      <c r="FOJ67" s="684"/>
      <c r="FOK67" s="684"/>
      <c r="FOL67" s="684"/>
      <c r="FOM67" s="684"/>
      <c r="FON67" s="684"/>
      <c r="FOO67" s="684"/>
      <c r="FOP67" s="684"/>
      <c r="FOQ67" s="684"/>
      <c r="FOR67" s="684"/>
      <c r="FOS67" s="684"/>
      <c r="FOT67" s="684"/>
      <c r="FOU67" s="684"/>
      <c r="FOV67" s="684"/>
      <c r="FOW67" s="684"/>
      <c r="FOX67" s="684"/>
      <c r="FOY67" s="684"/>
      <c r="FOZ67" s="684"/>
      <c r="FPA67" s="684"/>
      <c r="FPB67" s="684"/>
      <c r="FPC67" s="684"/>
      <c r="FPD67" s="684"/>
      <c r="FPE67" s="684"/>
      <c r="FPF67" s="684"/>
      <c r="FPG67" s="684"/>
      <c r="FPH67" s="684"/>
      <c r="FPI67" s="684"/>
      <c r="FPJ67" s="684"/>
      <c r="FPK67" s="684"/>
      <c r="FPL67" s="684"/>
      <c r="FPM67" s="684"/>
      <c r="FPN67" s="684"/>
      <c r="FPO67" s="684"/>
      <c r="FPP67" s="684"/>
      <c r="FPQ67" s="684"/>
      <c r="FPR67" s="684"/>
      <c r="FPS67" s="684"/>
      <c r="FPT67" s="684"/>
      <c r="FPU67" s="684"/>
      <c r="FPV67" s="684"/>
      <c r="FPW67" s="684"/>
      <c r="FPX67" s="684"/>
      <c r="FPY67" s="684"/>
      <c r="FPZ67" s="684"/>
      <c r="FQA67" s="684"/>
      <c r="FQB67" s="684"/>
      <c r="FQC67" s="684"/>
      <c r="FQD67" s="684"/>
      <c r="FQE67" s="684"/>
      <c r="FQF67" s="684"/>
      <c r="FQG67" s="684"/>
      <c r="FQH67" s="684"/>
      <c r="FQI67" s="684"/>
      <c r="FQJ67" s="684"/>
      <c r="FQK67" s="684"/>
      <c r="FQL67" s="684"/>
      <c r="FQM67" s="684"/>
      <c r="FQN67" s="684"/>
      <c r="FQO67" s="684"/>
      <c r="FQP67" s="684"/>
      <c r="FQQ67" s="684"/>
      <c r="FQR67" s="684"/>
      <c r="FQS67" s="684"/>
      <c r="FQT67" s="684"/>
      <c r="FQU67" s="684"/>
      <c r="FQV67" s="684"/>
      <c r="FQW67" s="684"/>
      <c r="FQX67" s="684"/>
      <c r="FQY67" s="684"/>
      <c r="FQZ67" s="684"/>
      <c r="FRA67" s="684"/>
      <c r="FRB67" s="684"/>
      <c r="FRC67" s="684"/>
      <c r="FRD67" s="684"/>
      <c r="FRE67" s="684"/>
      <c r="FRF67" s="684"/>
      <c r="FRG67" s="684"/>
      <c r="FRH67" s="684"/>
      <c r="FRI67" s="684"/>
      <c r="FRJ67" s="684"/>
      <c r="FRK67" s="684"/>
      <c r="FRL67" s="684"/>
      <c r="FRM67" s="684"/>
      <c r="FRN67" s="684"/>
      <c r="FRO67" s="684"/>
      <c r="FRP67" s="684"/>
      <c r="FRQ67" s="684"/>
      <c r="FRR67" s="684"/>
      <c r="FRS67" s="684"/>
      <c r="FRT67" s="684"/>
      <c r="FRU67" s="684"/>
      <c r="FRV67" s="684"/>
      <c r="FRW67" s="684"/>
      <c r="FRX67" s="684"/>
      <c r="FRY67" s="684"/>
      <c r="FRZ67" s="684"/>
      <c r="FSA67" s="684"/>
      <c r="FSB67" s="684"/>
      <c r="FSC67" s="684"/>
      <c r="FSD67" s="684"/>
      <c r="FSE67" s="684"/>
      <c r="FSF67" s="684"/>
      <c r="FSG67" s="684"/>
      <c r="FSH67" s="684"/>
      <c r="FSI67" s="684"/>
      <c r="FSJ67" s="684"/>
      <c r="FSK67" s="684"/>
      <c r="FSL67" s="684"/>
      <c r="FSM67" s="684"/>
      <c r="FSN67" s="684"/>
      <c r="FSO67" s="684"/>
      <c r="FSP67" s="684"/>
      <c r="FSQ67" s="684"/>
      <c r="FSR67" s="684"/>
      <c r="FSS67" s="684"/>
      <c r="FST67" s="684"/>
      <c r="FSU67" s="684"/>
      <c r="FSV67" s="684"/>
      <c r="FSW67" s="684"/>
      <c r="FSX67" s="684"/>
      <c r="FSY67" s="684"/>
      <c r="FSZ67" s="684"/>
      <c r="FTA67" s="684"/>
      <c r="FTB67" s="684"/>
      <c r="FTC67" s="684"/>
      <c r="FTD67" s="684"/>
      <c r="FTE67" s="684"/>
      <c r="FTF67" s="684"/>
      <c r="FTG67" s="684"/>
      <c r="FTH67" s="684"/>
      <c r="FTI67" s="684"/>
      <c r="FTJ67" s="684"/>
      <c r="FTK67" s="684"/>
      <c r="FTL67" s="684"/>
      <c r="FTM67" s="684"/>
      <c r="FTN67" s="684"/>
      <c r="FTO67" s="684"/>
      <c r="FTP67" s="684"/>
      <c r="FTQ67" s="684"/>
      <c r="FTR67" s="684"/>
      <c r="FTS67" s="684"/>
      <c r="FTT67" s="684"/>
      <c r="FTU67" s="684"/>
      <c r="FTV67" s="684"/>
      <c r="FTW67" s="684"/>
      <c r="FTX67" s="684"/>
      <c r="FTY67" s="684"/>
      <c r="FTZ67" s="684"/>
      <c r="FUA67" s="684"/>
      <c r="FUB67" s="684"/>
      <c r="FUC67" s="684"/>
      <c r="FUD67" s="684"/>
      <c r="FUE67" s="684"/>
      <c r="FUF67" s="684"/>
      <c r="FUG67" s="684"/>
      <c r="FUH67" s="684"/>
      <c r="FUI67" s="684"/>
      <c r="FUJ67" s="684"/>
      <c r="FUK67" s="684"/>
      <c r="FUL67" s="684"/>
      <c r="FUM67" s="684"/>
      <c r="FUN67" s="684"/>
      <c r="FUO67" s="684"/>
      <c r="FUP67" s="684"/>
      <c r="FUQ67" s="684"/>
      <c r="FUR67" s="684"/>
      <c r="FUS67" s="684"/>
      <c r="FUT67" s="684"/>
      <c r="FUU67" s="684"/>
      <c r="FUV67" s="684"/>
      <c r="FUW67" s="684"/>
      <c r="FUX67" s="684"/>
      <c r="FUY67" s="684"/>
      <c r="FUZ67" s="684"/>
      <c r="FVA67" s="684"/>
      <c r="FVB67" s="684"/>
      <c r="FVC67" s="684"/>
      <c r="FVD67" s="684"/>
      <c r="FVE67" s="684"/>
      <c r="FVF67" s="684"/>
      <c r="FVG67" s="684"/>
      <c r="FVH67" s="684"/>
      <c r="FVI67" s="684"/>
      <c r="FVJ67" s="684"/>
      <c r="FVK67" s="684"/>
      <c r="FVL67" s="684"/>
      <c r="FVM67" s="684"/>
      <c r="FVN67" s="684"/>
      <c r="FVO67" s="684"/>
      <c r="FVP67" s="684"/>
      <c r="FVQ67" s="684"/>
      <c r="FVR67" s="684"/>
      <c r="FVS67" s="684"/>
      <c r="FVT67" s="684"/>
      <c r="FVU67" s="684"/>
      <c r="FVV67" s="684"/>
      <c r="FVW67" s="684"/>
      <c r="FVX67" s="684"/>
      <c r="FVY67" s="684"/>
      <c r="FVZ67" s="684"/>
      <c r="FWA67" s="684"/>
      <c r="FWB67" s="684"/>
      <c r="FWC67" s="684"/>
      <c r="FWD67" s="684"/>
      <c r="FWE67" s="684"/>
      <c r="FWF67" s="684"/>
      <c r="FWG67" s="684"/>
      <c r="FWH67" s="684"/>
      <c r="FWI67" s="684"/>
      <c r="FWJ67" s="684"/>
      <c r="FWK67" s="684"/>
      <c r="FWL67" s="684"/>
      <c r="FWM67" s="684"/>
      <c r="FWN67" s="684"/>
      <c r="FWO67" s="684"/>
      <c r="FWP67" s="684"/>
      <c r="FWQ67" s="684"/>
      <c r="FWR67" s="684"/>
      <c r="FWS67" s="684"/>
      <c r="FWT67" s="684"/>
      <c r="FWU67" s="684"/>
      <c r="FWV67" s="684"/>
      <c r="FWW67" s="684"/>
      <c r="FWX67" s="684"/>
      <c r="FWY67" s="684"/>
      <c r="FWZ67" s="684"/>
      <c r="FXA67" s="684"/>
      <c r="FXB67" s="684"/>
      <c r="FXC67" s="684"/>
      <c r="FXD67" s="684"/>
      <c r="FXE67" s="684"/>
      <c r="FXF67" s="684"/>
      <c r="FXG67" s="684"/>
      <c r="FXH67" s="684"/>
      <c r="FXI67" s="684"/>
      <c r="FXJ67" s="684"/>
      <c r="FXK67" s="684"/>
      <c r="FXL67" s="684"/>
      <c r="FXM67" s="684"/>
      <c r="FXN67" s="684"/>
      <c r="FXO67" s="684"/>
      <c r="FXP67" s="684"/>
      <c r="FXQ67" s="684"/>
      <c r="FXR67" s="684"/>
      <c r="FXS67" s="684"/>
      <c r="FXT67" s="684"/>
      <c r="FXU67" s="684"/>
      <c r="FXV67" s="684"/>
      <c r="FXW67" s="684"/>
      <c r="FXX67" s="684"/>
      <c r="FXY67" s="684"/>
      <c r="FXZ67" s="684"/>
      <c r="FYA67" s="684"/>
      <c r="FYB67" s="684"/>
      <c r="FYC67" s="684"/>
      <c r="FYD67" s="684"/>
      <c r="FYE67" s="684"/>
      <c r="FYF67" s="684"/>
      <c r="FYG67" s="684"/>
      <c r="FYH67" s="684"/>
      <c r="FYI67" s="684"/>
      <c r="FYJ67" s="684"/>
      <c r="FYK67" s="684"/>
      <c r="FYL67" s="684"/>
      <c r="FYM67" s="684"/>
      <c r="FYN67" s="684"/>
      <c r="FYO67" s="684"/>
      <c r="FYP67" s="684"/>
      <c r="FYQ67" s="684"/>
      <c r="FYR67" s="684"/>
      <c r="FYS67" s="684"/>
      <c r="FYT67" s="684"/>
      <c r="FYU67" s="684"/>
      <c r="FYV67" s="684"/>
      <c r="FYW67" s="684"/>
      <c r="FYX67" s="684"/>
      <c r="FYY67" s="684"/>
      <c r="FYZ67" s="684"/>
      <c r="FZA67" s="684"/>
      <c r="FZB67" s="684"/>
      <c r="FZC67" s="684"/>
      <c r="FZD67" s="684"/>
      <c r="FZE67" s="684"/>
      <c r="FZF67" s="684"/>
      <c r="FZG67" s="684"/>
      <c r="FZH67" s="684"/>
      <c r="FZI67" s="684"/>
      <c r="FZJ67" s="684"/>
      <c r="FZK67" s="684"/>
      <c r="FZL67" s="684"/>
      <c r="FZM67" s="684"/>
      <c r="FZN67" s="684"/>
      <c r="FZO67" s="684"/>
      <c r="FZP67" s="684"/>
      <c r="FZQ67" s="684"/>
      <c r="FZR67" s="684"/>
      <c r="FZS67" s="684"/>
      <c r="FZT67" s="684"/>
      <c r="FZU67" s="684"/>
      <c r="FZV67" s="684"/>
      <c r="FZW67" s="684"/>
      <c r="FZX67" s="684"/>
      <c r="FZY67" s="684"/>
      <c r="FZZ67" s="684"/>
      <c r="GAA67" s="684"/>
      <c r="GAB67" s="684"/>
      <c r="GAC67" s="684"/>
      <c r="GAD67" s="684"/>
      <c r="GAE67" s="684"/>
      <c r="GAF67" s="684"/>
      <c r="GAG67" s="684"/>
      <c r="GAH67" s="684"/>
      <c r="GAI67" s="684"/>
      <c r="GAJ67" s="684"/>
      <c r="GAK67" s="684"/>
      <c r="GAL67" s="684"/>
      <c r="GAM67" s="684"/>
      <c r="GAN67" s="684"/>
      <c r="GAO67" s="684"/>
      <c r="GAP67" s="684"/>
      <c r="GAQ67" s="684"/>
      <c r="GAR67" s="684"/>
      <c r="GAS67" s="684"/>
      <c r="GAT67" s="684"/>
      <c r="GAU67" s="684"/>
      <c r="GAV67" s="684"/>
      <c r="GAW67" s="684"/>
      <c r="GAX67" s="684"/>
      <c r="GAY67" s="684"/>
      <c r="GAZ67" s="684"/>
      <c r="GBA67" s="684"/>
      <c r="GBB67" s="684"/>
      <c r="GBC67" s="684"/>
      <c r="GBD67" s="684"/>
      <c r="GBE67" s="684"/>
      <c r="GBF67" s="684"/>
      <c r="GBG67" s="684"/>
      <c r="GBH67" s="684"/>
      <c r="GBI67" s="684"/>
      <c r="GBJ67" s="684"/>
      <c r="GBK67" s="684"/>
      <c r="GBL67" s="684"/>
      <c r="GBM67" s="684"/>
      <c r="GBN67" s="684"/>
      <c r="GBO67" s="684"/>
      <c r="GBP67" s="684"/>
      <c r="GBQ67" s="684"/>
      <c r="GBR67" s="684"/>
      <c r="GBS67" s="684"/>
      <c r="GBT67" s="684"/>
      <c r="GBU67" s="684"/>
      <c r="GBV67" s="684"/>
      <c r="GBW67" s="684"/>
      <c r="GBX67" s="684"/>
      <c r="GBY67" s="684"/>
      <c r="GBZ67" s="684"/>
      <c r="GCA67" s="684"/>
      <c r="GCB67" s="684"/>
      <c r="GCC67" s="684"/>
      <c r="GCD67" s="684"/>
      <c r="GCE67" s="684"/>
      <c r="GCF67" s="684"/>
      <c r="GCG67" s="684"/>
      <c r="GCH67" s="684"/>
      <c r="GCI67" s="684"/>
      <c r="GCJ67" s="684"/>
      <c r="GCK67" s="684"/>
      <c r="GCL67" s="684"/>
      <c r="GCM67" s="684"/>
      <c r="GCN67" s="684"/>
      <c r="GCO67" s="684"/>
      <c r="GCP67" s="684"/>
      <c r="GCQ67" s="684"/>
      <c r="GCR67" s="684"/>
      <c r="GCS67" s="684"/>
      <c r="GCT67" s="684"/>
      <c r="GCU67" s="684"/>
      <c r="GCV67" s="684"/>
      <c r="GCW67" s="684"/>
      <c r="GCX67" s="684"/>
      <c r="GCY67" s="684"/>
      <c r="GCZ67" s="684"/>
      <c r="GDA67" s="684"/>
      <c r="GDB67" s="684"/>
      <c r="GDC67" s="684"/>
      <c r="GDD67" s="684"/>
      <c r="GDE67" s="684"/>
      <c r="GDF67" s="684"/>
      <c r="GDG67" s="684"/>
      <c r="GDH67" s="684"/>
      <c r="GDI67" s="684"/>
      <c r="GDJ67" s="684"/>
      <c r="GDK67" s="684"/>
      <c r="GDL67" s="684"/>
      <c r="GDM67" s="684"/>
      <c r="GDN67" s="684"/>
      <c r="GDO67" s="684"/>
      <c r="GDP67" s="684"/>
      <c r="GDQ67" s="684"/>
      <c r="GDR67" s="684"/>
      <c r="GDS67" s="684"/>
      <c r="GDT67" s="684"/>
      <c r="GDU67" s="684"/>
      <c r="GDV67" s="684"/>
      <c r="GDW67" s="684"/>
      <c r="GDX67" s="684"/>
      <c r="GDY67" s="684"/>
      <c r="GDZ67" s="684"/>
      <c r="GEA67" s="684"/>
      <c r="GEB67" s="684"/>
      <c r="GEC67" s="684"/>
      <c r="GED67" s="684"/>
      <c r="GEE67" s="684"/>
      <c r="GEF67" s="684"/>
      <c r="GEG67" s="684"/>
      <c r="GEH67" s="684"/>
      <c r="GEI67" s="684"/>
      <c r="GEJ67" s="684"/>
      <c r="GEK67" s="684"/>
      <c r="GEL67" s="684"/>
      <c r="GEM67" s="684"/>
      <c r="GEN67" s="684"/>
      <c r="GEO67" s="684"/>
      <c r="GEP67" s="684"/>
      <c r="GEQ67" s="684"/>
      <c r="GER67" s="684"/>
      <c r="GES67" s="684"/>
      <c r="GET67" s="684"/>
      <c r="GEU67" s="684"/>
      <c r="GEV67" s="684"/>
      <c r="GEW67" s="684"/>
      <c r="GEX67" s="684"/>
      <c r="GEY67" s="684"/>
      <c r="GEZ67" s="684"/>
      <c r="GFA67" s="684"/>
      <c r="GFB67" s="684"/>
      <c r="GFC67" s="684"/>
      <c r="GFD67" s="684"/>
      <c r="GFE67" s="684"/>
      <c r="GFF67" s="684"/>
      <c r="GFG67" s="684"/>
      <c r="GFH67" s="684"/>
      <c r="GFI67" s="684"/>
      <c r="GFJ67" s="684"/>
      <c r="GFK67" s="684"/>
      <c r="GFL67" s="684"/>
      <c r="GFM67" s="684"/>
      <c r="GFN67" s="684"/>
      <c r="GFO67" s="684"/>
      <c r="GFP67" s="684"/>
      <c r="GFQ67" s="684"/>
      <c r="GFR67" s="684"/>
      <c r="GFS67" s="684"/>
      <c r="GFT67" s="684"/>
      <c r="GFU67" s="684"/>
      <c r="GFV67" s="684"/>
      <c r="GFW67" s="684"/>
      <c r="GFX67" s="684"/>
      <c r="GFY67" s="684"/>
      <c r="GFZ67" s="684"/>
      <c r="GGA67" s="684"/>
      <c r="GGB67" s="684"/>
      <c r="GGC67" s="684"/>
      <c r="GGD67" s="684"/>
      <c r="GGE67" s="684"/>
      <c r="GGF67" s="684"/>
      <c r="GGG67" s="684"/>
      <c r="GGH67" s="684"/>
      <c r="GGI67" s="684"/>
      <c r="GGJ67" s="684"/>
      <c r="GGK67" s="684"/>
      <c r="GGL67" s="684"/>
      <c r="GGM67" s="684"/>
      <c r="GGN67" s="684"/>
      <c r="GGO67" s="684"/>
      <c r="GGP67" s="684"/>
      <c r="GGQ67" s="684"/>
      <c r="GGR67" s="684"/>
      <c r="GGS67" s="684"/>
      <c r="GGT67" s="684"/>
      <c r="GGU67" s="684"/>
      <c r="GGV67" s="684"/>
      <c r="GGW67" s="684"/>
      <c r="GGX67" s="684"/>
      <c r="GGY67" s="684"/>
      <c r="GGZ67" s="684"/>
      <c r="GHA67" s="684"/>
      <c r="GHB67" s="684"/>
      <c r="GHC67" s="684"/>
      <c r="GHD67" s="684"/>
      <c r="GHE67" s="684"/>
      <c r="GHF67" s="684"/>
      <c r="GHG67" s="684"/>
      <c r="GHH67" s="684"/>
      <c r="GHI67" s="684"/>
      <c r="GHJ67" s="684"/>
      <c r="GHK67" s="684"/>
      <c r="GHL67" s="684"/>
      <c r="GHM67" s="684"/>
      <c r="GHN67" s="684"/>
      <c r="GHO67" s="684"/>
      <c r="GHP67" s="684"/>
      <c r="GHQ67" s="684"/>
      <c r="GHR67" s="684"/>
      <c r="GHS67" s="684"/>
      <c r="GHT67" s="684"/>
      <c r="GHU67" s="684"/>
      <c r="GHV67" s="684"/>
      <c r="GHW67" s="684"/>
      <c r="GHX67" s="684"/>
      <c r="GHY67" s="684"/>
      <c r="GHZ67" s="684"/>
      <c r="GIA67" s="684"/>
      <c r="GIB67" s="684"/>
      <c r="GIC67" s="684"/>
      <c r="GID67" s="684"/>
      <c r="GIE67" s="684"/>
      <c r="GIF67" s="684"/>
      <c r="GIG67" s="684"/>
      <c r="GIH67" s="684"/>
      <c r="GII67" s="684"/>
      <c r="GIJ67" s="684"/>
      <c r="GIK67" s="684"/>
      <c r="GIL67" s="684"/>
      <c r="GIM67" s="684"/>
      <c r="GIN67" s="684"/>
      <c r="GIO67" s="684"/>
      <c r="GIP67" s="684"/>
      <c r="GIQ67" s="684"/>
      <c r="GIR67" s="684"/>
      <c r="GIS67" s="684"/>
      <c r="GIT67" s="684"/>
      <c r="GIU67" s="684"/>
      <c r="GIV67" s="684"/>
      <c r="GIW67" s="684"/>
      <c r="GIX67" s="684"/>
      <c r="GIY67" s="684"/>
      <c r="GIZ67" s="684"/>
      <c r="GJA67" s="684"/>
      <c r="GJB67" s="684"/>
      <c r="GJC67" s="684"/>
      <c r="GJD67" s="684"/>
      <c r="GJE67" s="684"/>
      <c r="GJF67" s="684"/>
      <c r="GJG67" s="684"/>
      <c r="GJH67" s="684"/>
      <c r="GJI67" s="684"/>
      <c r="GJJ67" s="684"/>
      <c r="GJK67" s="684"/>
      <c r="GJL67" s="684"/>
      <c r="GJM67" s="684"/>
      <c r="GJN67" s="684"/>
      <c r="GJO67" s="684"/>
      <c r="GJP67" s="684"/>
      <c r="GJQ67" s="684"/>
      <c r="GJR67" s="684"/>
      <c r="GJS67" s="684"/>
      <c r="GJT67" s="684"/>
      <c r="GJU67" s="684"/>
      <c r="GJV67" s="684"/>
      <c r="GJW67" s="684"/>
      <c r="GJX67" s="684"/>
      <c r="GJY67" s="684"/>
      <c r="GJZ67" s="684"/>
      <c r="GKA67" s="684"/>
      <c r="GKB67" s="684"/>
      <c r="GKC67" s="684"/>
      <c r="GKD67" s="684"/>
      <c r="GKE67" s="684"/>
      <c r="GKF67" s="684"/>
      <c r="GKG67" s="684"/>
      <c r="GKH67" s="684"/>
      <c r="GKI67" s="684"/>
      <c r="GKJ67" s="684"/>
      <c r="GKK67" s="684"/>
      <c r="GKL67" s="684"/>
      <c r="GKM67" s="684"/>
      <c r="GKN67" s="684"/>
      <c r="GKO67" s="684"/>
      <c r="GKP67" s="684"/>
      <c r="GKQ67" s="684"/>
      <c r="GKR67" s="684"/>
      <c r="GKS67" s="684"/>
      <c r="GKT67" s="684"/>
      <c r="GKU67" s="684"/>
      <c r="GKV67" s="684"/>
      <c r="GKW67" s="684"/>
      <c r="GKX67" s="684"/>
      <c r="GKY67" s="684"/>
      <c r="GKZ67" s="684"/>
      <c r="GLA67" s="684"/>
      <c r="GLB67" s="684"/>
      <c r="GLC67" s="684"/>
      <c r="GLD67" s="684"/>
      <c r="GLE67" s="684"/>
      <c r="GLF67" s="684"/>
      <c r="GLG67" s="684"/>
      <c r="GLH67" s="684"/>
      <c r="GLI67" s="684"/>
      <c r="GLJ67" s="684"/>
      <c r="GLK67" s="684"/>
      <c r="GLL67" s="684"/>
      <c r="GLM67" s="684"/>
      <c r="GLN67" s="684"/>
      <c r="GLO67" s="684"/>
      <c r="GLP67" s="684"/>
      <c r="GLQ67" s="684"/>
      <c r="GLR67" s="684"/>
      <c r="GLS67" s="684"/>
      <c r="GLT67" s="684"/>
      <c r="GLU67" s="684"/>
      <c r="GLV67" s="684"/>
      <c r="GLW67" s="684"/>
      <c r="GLX67" s="684"/>
      <c r="GLY67" s="684"/>
      <c r="GLZ67" s="684"/>
      <c r="GMA67" s="684"/>
      <c r="GMB67" s="684"/>
      <c r="GMC67" s="684"/>
      <c r="GMD67" s="684"/>
      <c r="GME67" s="684"/>
      <c r="GMF67" s="684"/>
      <c r="GMG67" s="684"/>
      <c r="GMH67" s="684"/>
      <c r="GMI67" s="684"/>
      <c r="GMJ67" s="684"/>
      <c r="GMK67" s="684"/>
      <c r="GML67" s="684"/>
      <c r="GMM67" s="684"/>
      <c r="GMN67" s="684"/>
      <c r="GMO67" s="684"/>
      <c r="GMP67" s="684"/>
      <c r="GMQ67" s="684"/>
      <c r="GMR67" s="684"/>
      <c r="GMS67" s="684"/>
      <c r="GMT67" s="684"/>
      <c r="GMU67" s="684"/>
      <c r="GMV67" s="684"/>
      <c r="GMW67" s="684"/>
      <c r="GMX67" s="684"/>
      <c r="GMY67" s="684"/>
      <c r="GMZ67" s="684"/>
      <c r="GNA67" s="684"/>
      <c r="GNB67" s="684"/>
      <c r="GNC67" s="684"/>
      <c r="GND67" s="684"/>
      <c r="GNE67" s="684"/>
      <c r="GNF67" s="684"/>
      <c r="GNG67" s="684"/>
      <c r="GNH67" s="684"/>
      <c r="GNI67" s="684"/>
      <c r="GNJ67" s="684"/>
      <c r="GNK67" s="684"/>
      <c r="GNL67" s="684"/>
      <c r="GNM67" s="684"/>
      <c r="GNN67" s="684"/>
      <c r="GNO67" s="684"/>
      <c r="GNP67" s="684"/>
      <c r="GNQ67" s="684"/>
      <c r="GNR67" s="684"/>
      <c r="GNS67" s="684"/>
      <c r="GNT67" s="684"/>
      <c r="GNU67" s="684"/>
      <c r="GNV67" s="684"/>
      <c r="GNW67" s="684"/>
      <c r="GNX67" s="684"/>
      <c r="GNY67" s="684"/>
      <c r="GNZ67" s="684"/>
      <c r="GOA67" s="684"/>
      <c r="GOB67" s="684"/>
      <c r="GOC67" s="684"/>
      <c r="GOD67" s="684"/>
      <c r="GOE67" s="684"/>
      <c r="GOF67" s="684"/>
      <c r="GOG67" s="684"/>
      <c r="GOH67" s="684"/>
      <c r="GOI67" s="684"/>
      <c r="GOJ67" s="684"/>
      <c r="GOK67" s="684"/>
      <c r="GOL67" s="684"/>
      <c r="GOM67" s="684"/>
      <c r="GON67" s="684"/>
      <c r="GOO67" s="684"/>
      <c r="GOP67" s="684"/>
      <c r="GOQ67" s="684"/>
      <c r="GOR67" s="684"/>
      <c r="GOS67" s="684"/>
      <c r="GOT67" s="684"/>
      <c r="GOU67" s="684"/>
      <c r="GOV67" s="684"/>
      <c r="GOW67" s="684"/>
      <c r="GOX67" s="684"/>
      <c r="GOY67" s="684"/>
      <c r="GOZ67" s="684"/>
      <c r="GPA67" s="684"/>
      <c r="GPB67" s="684"/>
      <c r="GPC67" s="684"/>
      <c r="GPD67" s="684"/>
      <c r="GPE67" s="684"/>
      <c r="GPF67" s="684"/>
      <c r="GPG67" s="684"/>
      <c r="GPH67" s="684"/>
      <c r="GPI67" s="684"/>
      <c r="GPJ67" s="684"/>
      <c r="GPK67" s="684"/>
      <c r="GPL67" s="684"/>
      <c r="GPM67" s="684"/>
      <c r="GPN67" s="684"/>
      <c r="GPO67" s="684"/>
      <c r="GPP67" s="684"/>
      <c r="GPQ67" s="684"/>
      <c r="GPR67" s="684"/>
      <c r="GPS67" s="684"/>
      <c r="GPT67" s="684"/>
      <c r="GPU67" s="684"/>
      <c r="GPV67" s="684"/>
      <c r="GPW67" s="684"/>
      <c r="GPX67" s="684"/>
      <c r="GPY67" s="684"/>
      <c r="GPZ67" s="684"/>
      <c r="GQA67" s="684"/>
      <c r="GQB67" s="684"/>
      <c r="GQC67" s="684"/>
      <c r="GQD67" s="684"/>
      <c r="GQE67" s="684"/>
      <c r="GQF67" s="684"/>
      <c r="GQG67" s="684"/>
      <c r="GQH67" s="684"/>
      <c r="GQI67" s="684"/>
      <c r="GQJ67" s="684"/>
      <c r="GQK67" s="684"/>
      <c r="GQL67" s="684"/>
      <c r="GQM67" s="684"/>
      <c r="GQN67" s="684"/>
      <c r="GQO67" s="684"/>
      <c r="GQP67" s="684"/>
      <c r="GQQ67" s="684"/>
      <c r="GQR67" s="684"/>
      <c r="GQS67" s="684"/>
      <c r="GQT67" s="684"/>
      <c r="GQU67" s="684"/>
      <c r="GQV67" s="684"/>
      <c r="GQW67" s="684"/>
      <c r="GQX67" s="684"/>
      <c r="GQY67" s="684"/>
      <c r="GQZ67" s="684"/>
      <c r="GRA67" s="684"/>
      <c r="GRB67" s="684"/>
      <c r="GRC67" s="684"/>
      <c r="GRD67" s="684"/>
      <c r="GRE67" s="684"/>
      <c r="GRF67" s="684"/>
      <c r="GRG67" s="684"/>
      <c r="GRH67" s="684"/>
      <c r="GRI67" s="684"/>
      <c r="GRJ67" s="684"/>
      <c r="GRK67" s="684"/>
      <c r="GRL67" s="684"/>
      <c r="GRM67" s="684"/>
      <c r="GRN67" s="684"/>
      <c r="GRO67" s="684"/>
      <c r="GRP67" s="684"/>
      <c r="GRQ67" s="684"/>
      <c r="GRR67" s="684"/>
      <c r="GRS67" s="684"/>
      <c r="GRT67" s="684"/>
      <c r="GRU67" s="684"/>
      <c r="GRV67" s="684"/>
      <c r="GRW67" s="684"/>
      <c r="GRX67" s="684"/>
      <c r="GRY67" s="684"/>
      <c r="GRZ67" s="684"/>
      <c r="GSA67" s="684"/>
      <c r="GSB67" s="684"/>
      <c r="GSC67" s="684"/>
      <c r="GSD67" s="684"/>
      <c r="GSE67" s="684"/>
      <c r="GSF67" s="684"/>
      <c r="GSG67" s="684"/>
      <c r="GSH67" s="684"/>
      <c r="GSI67" s="684"/>
      <c r="GSJ67" s="684"/>
      <c r="GSK67" s="684"/>
      <c r="GSL67" s="684"/>
      <c r="GSM67" s="684"/>
      <c r="GSN67" s="684"/>
      <c r="GSO67" s="684"/>
      <c r="GSP67" s="684"/>
      <c r="GSQ67" s="684"/>
      <c r="GSR67" s="684"/>
      <c r="GSS67" s="684"/>
      <c r="GST67" s="684"/>
      <c r="GSU67" s="684"/>
      <c r="GSV67" s="684"/>
      <c r="GSW67" s="684"/>
      <c r="GSX67" s="684"/>
      <c r="GSY67" s="684"/>
      <c r="GSZ67" s="684"/>
      <c r="GTA67" s="684"/>
      <c r="GTB67" s="684"/>
      <c r="GTC67" s="684"/>
      <c r="GTD67" s="684"/>
      <c r="GTE67" s="684"/>
      <c r="GTF67" s="684"/>
      <c r="GTG67" s="684"/>
      <c r="GTH67" s="684"/>
      <c r="GTI67" s="684"/>
      <c r="GTJ67" s="684"/>
      <c r="GTK67" s="684"/>
      <c r="GTL67" s="684"/>
      <c r="GTM67" s="684"/>
      <c r="GTN67" s="684"/>
      <c r="GTO67" s="684"/>
      <c r="GTP67" s="684"/>
      <c r="GTQ67" s="684"/>
      <c r="GTR67" s="684"/>
      <c r="GTS67" s="684"/>
      <c r="GTT67" s="684"/>
      <c r="GTU67" s="684"/>
      <c r="GTV67" s="684"/>
      <c r="GTW67" s="684"/>
      <c r="GTX67" s="684"/>
      <c r="GTY67" s="684"/>
      <c r="GTZ67" s="684"/>
      <c r="GUA67" s="684"/>
      <c r="GUB67" s="684"/>
      <c r="GUC67" s="684"/>
      <c r="GUD67" s="684"/>
      <c r="GUE67" s="684"/>
      <c r="GUF67" s="684"/>
      <c r="GUG67" s="684"/>
      <c r="GUH67" s="684"/>
      <c r="GUI67" s="684"/>
      <c r="GUJ67" s="684"/>
      <c r="GUK67" s="684"/>
      <c r="GUL67" s="684"/>
      <c r="GUM67" s="684"/>
      <c r="GUN67" s="684"/>
      <c r="GUO67" s="684"/>
      <c r="GUP67" s="684"/>
      <c r="GUQ67" s="684"/>
      <c r="GUR67" s="684"/>
      <c r="GUS67" s="684"/>
      <c r="GUT67" s="684"/>
      <c r="GUU67" s="684"/>
      <c r="GUV67" s="684"/>
      <c r="GUW67" s="684"/>
      <c r="GUX67" s="684"/>
      <c r="GUY67" s="684"/>
      <c r="GUZ67" s="684"/>
      <c r="GVA67" s="684"/>
      <c r="GVB67" s="684"/>
      <c r="GVC67" s="684"/>
      <c r="GVD67" s="684"/>
      <c r="GVE67" s="684"/>
      <c r="GVF67" s="684"/>
      <c r="GVG67" s="684"/>
      <c r="GVH67" s="684"/>
      <c r="GVI67" s="684"/>
      <c r="GVJ67" s="684"/>
      <c r="GVK67" s="684"/>
      <c r="GVL67" s="684"/>
      <c r="GVM67" s="684"/>
      <c r="GVN67" s="684"/>
      <c r="GVO67" s="684"/>
      <c r="GVP67" s="684"/>
      <c r="GVQ67" s="684"/>
      <c r="GVR67" s="684"/>
      <c r="GVS67" s="684"/>
      <c r="GVT67" s="684"/>
      <c r="GVU67" s="684"/>
      <c r="GVV67" s="684"/>
      <c r="GVW67" s="684"/>
      <c r="GVX67" s="684"/>
      <c r="GVY67" s="684"/>
      <c r="GVZ67" s="684"/>
      <c r="GWA67" s="684"/>
      <c r="GWB67" s="684"/>
      <c r="GWC67" s="684"/>
      <c r="GWD67" s="684"/>
      <c r="GWE67" s="684"/>
      <c r="GWF67" s="684"/>
      <c r="GWG67" s="684"/>
      <c r="GWH67" s="684"/>
      <c r="GWI67" s="684"/>
      <c r="GWJ67" s="684"/>
      <c r="GWK67" s="684"/>
      <c r="GWL67" s="684"/>
      <c r="GWM67" s="684"/>
      <c r="GWN67" s="684"/>
      <c r="GWO67" s="684"/>
      <c r="GWP67" s="684"/>
      <c r="GWQ67" s="684"/>
      <c r="GWR67" s="684"/>
      <c r="GWS67" s="684"/>
      <c r="GWT67" s="684"/>
      <c r="GWU67" s="684"/>
      <c r="GWV67" s="684"/>
      <c r="GWW67" s="684"/>
      <c r="GWX67" s="684"/>
      <c r="GWY67" s="684"/>
      <c r="GWZ67" s="684"/>
      <c r="GXA67" s="684"/>
      <c r="GXB67" s="684"/>
      <c r="GXC67" s="684"/>
      <c r="GXD67" s="684"/>
      <c r="GXE67" s="684"/>
      <c r="GXF67" s="684"/>
      <c r="GXG67" s="684"/>
      <c r="GXH67" s="684"/>
      <c r="GXI67" s="684"/>
      <c r="GXJ67" s="684"/>
      <c r="GXK67" s="684"/>
      <c r="GXL67" s="684"/>
      <c r="GXM67" s="684"/>
      <c r="GXN67" s="684"/>
      <c r="GXO67" s="684"/>
      <c r="GXP67" s="684"/>
      <c r="GXQ67" s="684"/>
      <c r="GXR67" s="684"/>
      <c r="GXS67" s="684"/>
      <c r="GXT67" s="684"/>
      <c r="GXU67" s="684"/>
      <c r="GXV67" s="684"/>
      <c r="GXW67" s="684"/>
      <c r="GXX67" s="684"/>
      <c r="GXY67" s="684"/>
      <c r="GXZ67" s="684"/>
      <c r="GYA67" s="684"/>
      <c r="GYB67" s="684"/>
      <c r="GYC67" s="684"/>
      <c r="GYD67" s="684"/>
      <c r="GYE67" s="684"/>
      <c r="GYF67" s="684"/>
      <c r="GYG67" s="684"/>
      <c r="GYH67" s="684"/>
      <c r="GYI67" s="684"/>
      <c r="GYJ67" s="684"/>
      <c r="GYK67" s="684"/>
      <c r="GYL67" s="684"/>
      <c r="GYM67" s="684"/>
      <c r="GYN67" s="684"/>
      <c r="GYO67" s="684"/>
      <c r="GYP67" s="684"/>
      <c r="GYQ67" s="684"/>
      <c r="GYR67" s="684"/>
      <c r="GYS67" s="684"/>
      <c r="GYT67" s="684"/>
      <c r="GYU67" s="684"/>
      <c r="GYV67" s="684"/>
      <c r="GYW67" s="684"/>
      <c r="GYX67" s="684"/>
      <c r="GYY67" s="684"/>
      <c r="GYZ67" s="684"/>
      <c r="GZA67" s="684"/>
      <c r="GZB67" s="684"/>
      <c r="GZC67" s="684"/>
      <c r="GZD67" s="684"/>
      <c r="GZE67" s="684"/>
      <c r="GZF67" s="684"/>
      <c r="GZG67" s="684"/>
      <c r="GZH67" s="684"/>
      <c r="GZI67" s="684"/>
      <c r="GZJ67" s="684"/>
      <c r="GZK67" s="684"/>
      <c r="GZL67" s="684"/>
      <c r="GZM67" s="684"/>
      <c r="GZN67" s="684"/>
      <c r="GZO67" s="684"/>
      <c r="GZP67" s="684"/>
      <c r="GZQ67" s="684"/>
      <c r="GZR67" s="684"/>
      <c r="GZS67" s="684"/>
      <c r="GZT67" s="684"/>
      <c r="GZU67" s="684"/>
      <c r="GZV67" s="684"/>
      <c r="GZW67" s="684"/>
      <c r="GZX67" s="684"/>
      <c r="GZY67" s="684"/>
      <c r="GZZ67" s="684"/>
      <c r="HAA67" s="684"/>
      <c r="HAB67" s="684"/>
      <c r="HAC67" s="684"/>
      <c r="HAD67" s="684"/>
      <c r="HAE67" s="684"/>
      <c r="HAF67" s="684"/>
      <c r="HAG67" s="684"/>
      <c r="HAH67" s="684"/>
      <c r="HAI67" s="684"/>
      <c r="HAJ67" s="684"/>
      <c r="HAK67" s="684"/>
      <c r="HAL67" s="684"/>
      <c r="HAM67" s="684"/>
      <c r="HAN67" s="684"/>
      <c r="HAO67" s="684"/>
      <c r="HAP67" s="684"/>
      <c r="HAQ67" s="684"/>
      <c r="HAR67" s="684"/>
      <c r="HAS67" s="684"/>
      <c r="HAT67" s="684"/>
      <c r="HAU67" s="684"/>
      <c r="HAV67" s="684"/>
      <c r="HAW67" s="684"/>
      <c r="HAX67" s="684"/>
      <c r="HAY67" s="684"/>
      <c r="HAZ67" s="684"/>
      <c r="HBA67" s="684"/>
      <c r="HBB67" s="684"/>
      <c r="HBC67" s="684"/>
      <c r="HBD67" s="684"/>
      <c r="HBE67" s="684"/>
      <c r="HBF67" s="684"/>
      <c r="HBG67" s="684"/>
      <c r="HBH67" s="684"/>
      <c r="HBI67" s="684"/>
      <c r="HBJ67" s="684"/>
      <c r="HBK67" s="684"/>
      <c r="HBL67" s="684"/>
      <c r="HBM67" s="684"/>
      <c r="HBN67" s="684"/>
      <c r="HBO67" s="684"/>
      <c r="HBP67" s="684"/>
      <c r="HBQ67" s="684"/>
      <c r="HBR67" s="684"/>
      <c r="HBS67" s="684"/>
      <c r="HBT67" s="684"/>
      <c r="HBU67" s="684"/>
      <c r="HBV67" s="684"/>
      <c r="HBW67" s="684"/>
      <c r="HBX67" s="684"/>
      <c r="HBY67" s="684"/>
      <c r="HBZ67" s="684"/>
      <c r="HCA67" s="684"/>
      <c r="HCB67" s="684"/>
      <c r="HCC67" s="684"/>
      <c r="HCD67" s="684"/>
      <c r="HCE67" s="684"/>
      <c r="HCF67" s="684"/>
      <c r="HCG67" s="684"/>
      <c r="HCH67" s="684"/>
      <c r="HCI67" s="684"/>
      <c r="HCJ67" s="684"/>
      <c r="HCK67" s="684"/>
      <c r="HCL67" s="684"/>
      <c r="HCM67" s="684"/>
      <c r="HCN67" s="684"/>
      <c r="HCO67" s="684"/>
      <c r="HCP67" s="684"/>
      <c r="HCQ67" s="684"/>
      <c r="HCR67" s="684"/>
      <c r="HCS67" s="684"/>
      <c r="HCT67" s="684"/>
      <c r="HCU67" s="684"/>
      <c r="HCV67" s="684"/>
      <c r="HCW67" s="684"/>
      <c r="HCX67" s="684"/>
      <c r="HCY67" s="684"/>
      <c r="HCZ67" s="684"/>
      <c r="HDA67" s="684"/>
      <c r="HDB67" s="684"/>
      <c r="HDC67" s="684"/>
      <c r="HDD67" s="684"/>
      <c r="HDE67" s="684"/>
      <c r="HDF67" s="684"/>
      <c r="HDG67" s="684"/>
      <c r="HDH67" s="684"/>
      <c r="HDI67" s="684"/>
      <c r="HDJ67" s="684"/>
      <c r="HDK67" s="684"/>
      <c r="HDL67" s="684"/>
      <c r="HDM67" s="684"/>
      <c r="HDN67" s="684"/>
      <c r="HDO67" s="684"/>
      <c r="HDP67" s="684"/>
      <c r="HDQ67" s="684"/>
      <c r="HDR67" s="684"/>
      <c r="HDS67" s="684"/>
      <c r="HDT67" s="684"/>
      <c r="HDU67" s="684"/>
      <c r="HDV67" s="684"/>
      <c r="HDW67" s="684"/>
      <c r="HDX67" s="684"/>
      <c r="HDY67" s="684"/>
      <c r="HDZ67" s="684"/>
      <c r="HEA67" s="684"/>
      <c r="HEB67" s="684"/>
      <c r="HEC67" s="684"/>
      <c r="HED67" s="684"/>
      <c r="HEE67" s="684"/>
      <c r="HEF67" s="684"/>
      <c r="HEG67" s="684"/>
      <c r="HEH67" s="684"/>
      <c r="HEI67" s="684"/>
      <c r="HEJ67" s="684"/>
      <c r="HEK67" s="684"/>
      <c r="HEL67" s="684"/>
      <c r="HEM67" s="684"/>
      <c r="HEN67" s="684"/>
      <c r="HEO67" s="684"/>
      <c r="HEP67" s="684"/>
      <c r="HEQ67" s="684"/>
      <c r="HER67" s="684"/>
      <c r="HES67" s="684"/>
      <c r="HET67" s="684"/>
      <c r="HEU67" s="684"/>
      <c r="HEV67" s="684"/>
      <c r="HEW67" s="684"/>
      <c r="HEX67" s="684"/>
      <c r="HEY67" s="684"/>
      <c r="HEZ67" s="684"/>
      <c r="HFA67" s="684"/>
      <c r="HFB67" s="684"/>
      <c r="HFC67" s="684"/>
      <c r="HFD67" s="684"/>
      <c r="HFE67" s="684"/>
      <c r="HFF67" s="684"/>
      <c r="HFG67" s="684"/>
      <c r="HFH67" s="684"/>
      <c r="HFI67" s="684"/>
      <c r="HFJ67" s="684"/>
      <c r="HFK67" s="684"/>
      <c r="HFL67" s="684"/>
      <c r="HFM67" s="684"/>
      <c r="HFN67" s="684"/>
      <c r="HFO67" s="684"/>
      <c r="HFP67" s="684"/>
      <c r="HFQ67" s="684"/>
      <c r="HFR67" s="684"/>
      <c r="HFS67" s="684"/>
      <c r="HFT67" s="684"/>
      <c r="HFU67" s="684"/>
      <c r="HFV67" s="684"/>
      <c r="HFW67" s="684"/>
      <c r="HFX67" s="684"/>
      <c r="HFY67" s="684"/>
      <c r="HFZ67" s="684"/>
      <c r="HGA67" s="684"/>
      <c r="HGB67" s="684"/>
      <c r="HGC67" s="684"/>
      <c r="HGD67" s="684"/>
      <c r="HGE67" s="684"/>
      <c r="HGF67" s="684"/>
      <c r="HGG67" s="684"/>
      <c r="HGH67" s="684"/>
      <c r="HGI67" s="684"/>
      <c r="HGJ67" s="684"/>
      <c r="HGK67" s="684"/>
      <c r="HGL67" s="684"/>
      <c r="HGM67" s="684"/>
      <c r="HGN67" s="684"/>
      <c r="HGO67" s="684"/>
      <c r="HGP67" s="684"/>
      <c r="HGQ67" s="684"/>
      <c r="HGR67" s="684"/>
      <c r="HGS67" s="684"/>
      <c r="HGT67" s="684"/>
      <c r="HGU67" s="684"/>
      <c r="HGV67" s="684"/>
      <c r="HGW67" s="684"/>
      <c r="HGX67" s="684"/>
      <c r="HGY67" s="684"/>
      <c r="HGZ67" s="684"/>
      <c r="HHA67" s="684"/>
      <c r="HHB67" s="684"/>
      <c r="HHC67" s="684"/>
      <c r="HHD67" s="684"/>
      <c r="HHE67" s="684"/>
      <c r="HHF67" s="684"/>
      <c r="HHG67" s="684"/>
      <c r="HHH67" s="684"/>
      <c r="HHI67" s="684"/>
      <c r="HHJ67" s="684"/>
      <c r="HHK67" s="684"/>
      <c r="HHL67" s="684"/>
      <c r="HHM67" s="684"/>
      <c r="HHN67" s="684"/>
      <c r="HHO67" s="684"/>
      <c r="HHP67" s="684"/>
      <c r="HHQ67" s="684"/>
      <c r="HHR67" s="684"/>
      <c r="HHS67" s="684"/>
      <c r="HHT67" s="684"/>
      <c r="HHU67" s="684"/>
      <c r="HHV67" s="684"/>
      <c r="HHW67" s="684"/>
      <c r="HHX67" s="684"/>
      <c r="HHY67" s="684"/>
      <c r="HHZ67" s="684"/>
      <c r="HIA67" s="684"/>
      <c r="HIB67" s="684"/>
      <c r="HIC67" s="684"/>
      <c r="HID67" s="684"/>
      <c r="HIE67" s="684"/>
      <c r="HIF67" s="684"/>
      <c r="HIG67" s="684"/>
      <c r="HIH67" s="684"/>
      <c r="HII67" s="684"/>
      <c r="HIJ67" s="684"/>
      <c r="HIK67" s="684"/>
      <c r="HIL67" s="684"/>
      <c r="HIM67" s="684"/>
      <c r="HIN67" s="684"/>
      <c r="HIO67" s="684"/>
      <c r="HIP67" s="684"/>
      <c r="HIQ67" s="684"/>
      <c r="HIR67" s="684"/>
      <c r="HIS67" s="684"/>
      <c r="HIT67" s="684"/>
      <c r="HIU67" s="684"/>
      <c r="HIV67" s="684"/>
      <c r="HIW67" s="684"/>
      <c r="HIX67" s="684"/>
      <c r="HIY67" s="684"/>
      <c r="HIZ67" s="684"/>
      <c r="HJA67" s="684"/>
      <c r="HJB67" s="684"/>
      <c r="HJC67" s="684"/>
      <c r="HJD67" s="684"/>
      <c r="HJE67" s="684"/>
      <c r="HJF67" s="684"/>
      <c r="HJG67" s="684"/>
      <c r="HJH67" s="684"/>
      <c r="HJI67" s="684"/>
      <c r="HJJ67" s="684"/>
      <c r="HJK67" s="684"/>
      <c r="HJL67" s="684"/>
      <c r="HJM67" s="684"/>
      <c r="HJN67" s="684"/>
      <c r="HJO67" s="684"/>
      <c r="HJP67" s="684"/>
      <c r="HJQ67" s="684"/>
      <c r="HJR67" s="684"/>
      <c r="HJS67" s="684"/>
      <c r="HJT67" s="684"/>
      <c r="HJU67" s="684"/>
      <c r="HJV67" s="684"/>
      <c r="HJW67" s="684"/>
      <c r="HJX67" s="684"/>
      <c r="HJY67" s="684"/>
      <c r="HJZ67" s="684"/>
      <c r="HKA67" s="684"/>
      <c r="HKB67" s="684"/>
      <c r="HKC67" s="684"/>
      <c r="HKD67" s="684"/>
      <c r="HKE67" s="684"/>
      <c r="HKF67" s="684"/>
      <c r="HKG67" s="684"/>
      <c r="HKH67" s="684"/>
      <c r="HKI67" s="684"/>
      <c r="HKJ67" s="684"/>
      <c r="HKK67" s="684"/>
      <c r="HKL67" s="684"/>
      <c r="HKM67" s="684"/>
      <c r="HKN67" s="684"/>
      <c r="HKO67" s="684"/>
      <c r="HKP67" s="684"/>
      <c r="HKQ67" s="684"/>
      <c r="HKR67" s="684"/>
      <c r="HKS67" s="684"/>
      <c r="HKT67" s="684"/>
      <c r="HKU67" s="684"/>
      <c r="HKV67" s="684"/>
      <c r="HKW67" s="684"/>
      <c r="HKX67" s="684"/>
      <c r="HKY67" s="684"/>
      <c r="HKZ67" s="684"/>
      <c r="HLA67" s="684"/>
      <c r="HLB67" s="684"/>
      <c r="HLC67" s="684"/>
      <c r="HLD67" s="684"/>
      <c r="HLE67" s="684"/>
      <c r="HLF67" s="684"/>
      <c r="HLG67" s="684"/>
      <c r="HLH67" s="684"/>
      <c r="HLI67" s="684"/>
      <c r="HLJ67" s="684"/>
      <c r="HLK67" s="684"/>
      <c r="HLL67" s="684"/>
      <c r="HLM67" s="684"/>
      <c r="HLN67" s="684"/>
      <c r="HLO67" s="684"/>
      <c r="HLP67" s="684"/>
      <c r="HLQ67" s="684"/>
      <c r="HLR67" s="684"/>
      <c r="HLS67" s="684"/>
      <c r="HLT67" s="684"/>
      <c r="HLU67" s="684"/>
      <c r="HLV67" s="684"/>
      <c r="HLW67" s="684"/>
      <c r="HLX67" s="684"/>
      <c r="HLY67" s="684"/>
      <c r="HLZ67" s="684"/>
      <c r="HMA67" s="684"/>
      <c r="HMB67" s="684"/>
      <c r="HMC67" s="684"/>
      <c r="HMD67" s="684"/>
      <c r="HME67" s="684"/>
      <c r="HMF67" s="684"/>
      <c r="HMG67" s="684"/>
      <c r="HMH67" s="684"/>
      <c r="HMI67" s="684"/>
      <c r="HMJ67" s="684"/>
      <c r="HMK67" s="684"/>
      <c r="HML67" s="684"/>
      <c r="HMM67" s="684"/>
      <c r="HMN67" s="684"/>
      <c r="HMO67" s="684"/>
      <c r="HMP67" s="684"/>
      <c r="HMQ67" s="684"/>
      <c r="HMR67" s="684"/>
      <c r="HMS67" s="684"/>
      <c r="HMT67" s="684"/>
      <c r="HMU67" s="684"/>
      <c r="HMV67" s="684"/>
      <c r="HMW67" s="684"/>
      <c r="HMX67" s="684"/>
      <c r="HMY67" s="684"/>
      <c r="HMZ67" s="684"/>
      <c r="HNA67" s="684"/>
      <c r="HNB67" s="684"/>
      <c r="HNC67" s="684"/>
      <c r="HND67" s="684"/>
      <c r="HNE67" s="684"/>
      <c r="HNF67" s="684"/>
      <c r="HNG67" s="684"/>
      <c r="HNH67" s="684"/>
      <c r="HNI67" s="684"/>
      <c r="HNJ67" s="684"/>
      <c r="HNK67" s="684"/>
      <c r="HNL67" s="684"/>
      <c r="HNM67" s="684"/>
      <c r="HNN67" s="684"/>
      <c r="HNO67" s="684"/>
      <c r="HNP67" s="684"/>
      <c r="HNQ67" s="684"/>
      <c r="HNR67" s="684"/>
      <c r="HNS67" s="684"/>
      <c r="HNT67" s="684"/>
      <c r="HNU67" s="684"/>
      <c r="HNV67" s="684"/>
      <c r="HNW67" s="684"/>
      <c r="HNX67" s="684"/>
      <c r="HNY67" s="684"/>
      <c r="HNZ67" s="684"/>
      <c r="HOA67" s="684"/>
      <c r="HOB67" s="684"/>
      <c r="HOC67" s="684"/>
      <c r="HOD67" s="684"/>
      <c r="HOE67" s="684"/>
      <c r="HOF67" s="684"/>
      <c r="HOG67" s="684"/>
      <c r="HOH67" s="684"/>
      <c r="HOI67" s="684"/>
      <c r="HOJ67" s="684"/>
      <c r="HOK67" s="684"/>
      <c r="HOL67" s="684"/>
      <c r="HOM67" s="684"/>
      <c r="HON67" s="684"/>
      <c r="HOO67" s="684"/>
      <c r="HOP67" s="684"/>
      <c r="HOQ67" s="684"/>
      <c r="HOR67" s="684"/>
      <c r="HOS67" s="684"/>
      <c r="HOT67" s="684"/>
      <c r="HOU67" s="684"/>
      <c r="HOV67" s="684"/>
      <c r="HOW67" s="684"/>
      <c r="HOX67" s="684"/>
      <c r="HOY67" s="684"/>
      <c r="HOZ67" s="684"/>
      <c r="HPA67" s="684"/>
      <c r="HPB67" s="684"/>
      <c r="HPC67" s="684"/>
      <c r="HPD67" s="684"/>
      <c r="HPE67" s="684"/>
      <c r="HPF67" s="684"/>
      <c r="HPG67" s="684"/>
      <c r="HPH67" s="684"/>
      <c r="HPI67" s="684"/>
      <c r="HPJ67" s="684"/>
      <c r="HPK67" s="684"/>
      <c r="HPL67" s="684"/>
      <c r="HPM67" s="684"/>
      <c r="HPN67" s="684"/>
      <c r="HPO67" s="684"/>
      <c r="HPP67" s="684"/>
      <c r="HPQ67" s="684"/>
      <c r="HPR67" s="684"/>
      <c r="HPS67" s="684"/>
      <c r="HPT67" s="684"/>
      <c r="HPU67" s="684"/>
      <c r="HPV67" s="684"/>
      <c r="HPW67" s="684"/>
      <c r="HPX67" s="684"/>
      <c r="HPY67" s="684"/>
      <c r="HPZ67" s="684"/>
      <c r="HQA67" s="684"/>
      <c r="HQB67" s="684"/>
      <c r="HQC67" s="684"/>
      <c r="HQD67" s="684"/>
      <c r="HQE67" s="684"/>
      <c r="HQF67" s="684"/>
      <c r="HQG67" s="684"/>
      <c r="HQH67" s="684"/>
      <c r="HQI67" s="684"/>
      <c r="HQJ67" s="684"/>
      <c r="HQK67" s="684"/>
      <c r="HQL67" s="684"/>
      <c r="HQM67" s="684"/>
      <c r="HQN67" s="684"/>
      <c r="HQO67" s="684"/>
      <c r="HQP67" s="684"/>
      <c r="HQQ67" s="684"/>
      <c r="HQR67" s="684"/>
      <c r="HQS67" s="684"/>
      <c r="HQT67" s="684"/>
      <c r="HQU67" s="684"/>
      <c r="HQV67" s="684"/>
      <c r="HQW67" s="684"/>
      <c r="HQX67" s="684"/>
      <c r="HQY67" s="684"/>
      <c r="HQZ67" s="684"/>
      <c r="HRA67" s="684"/>
      <c r="HRB67" s="684"/>
      <c r="HRC67" s="684"/>
      <c r="HRD67" s="684"/>
      <c r="HRE67" s="684"/>
      <c r="HRF67" s="684"/>
      <c r="HRG67" s="684"/>
      <c r="HRH67" s="684"/>
      <c r="HRI67" s="684"/>
      <c r="HRJ67" s="684"/>
      <c r="HRK67" s="684"/>
      <c r="HRL67" s="684"/>
      <c r="HRM67" s="684"/>
      <c r="HRN67" s="684"/>
      <c r="HRO67" s="684"/>
      <c r="HRP67" s="684"/>
      <c r="HRQ67" s="684"/>
      <c r="HRR67" s="684"/>
      <c r="HRS67" s="684"/>
      <c r="HRT67" s="684"/>
      <c r="HRU67" s="684"/>
      <c r="HRV67" s="684"/>
      <c r="HRW67" s="684"/>
      <c r="HRX67" s="684"/>
      <c r="HRY67" s="684"/>
      <c r="HRZ67" s="684"/>
      <c r="HSA67" s="684"/>
      <c r="HSB67" s="684"/>
      <c r="HSC67" s="684"/>
      <c r="HSD67" s="684"/>
      <c r="HSE67" s="684"/>
      <c r="HSF67" s="684"/>
      <c r="HSG67" s="684"/>
      <c r="HSH67" s="684"/>
      <c r="HSI67" s="684"/>
      <c r="HSJ67" s="684"/>
      <c r="HSK67" s="684"/>
      <c r="HSL67" s="684"/>
      <c r="HSM67" s="684"/>
      <c r="HSN67" s="684"/>
      <c r="HSO67" s="684"/>
      <c r="HSP67" s="684"/>
      <c r="HSQ67" s="684"/>
      <c r="HSR67" s="684"/>
      <c r="HSS67" s="684"/>
      <c r="HST67" s="684"/>
      <c r="HSU67" s="684"/>
      <c r="HSV67" s="684"/>
      <c r="HSW67" s="684"/>
      <c r="HSX67" s="684"/>
      <c r="HSY67" s="684"/>
      <c r="HSZ67" s="684"/>
      <c r="HTA67" s="684"/>
      <c r="HTB67" s="684"/>
      <c r="HTC67" s="684"/>
      <c r="HTD67" s="684"/>
      <c r="HTE67" s="684"/>
      <c r="HTF67" s="684"/>
      <c r="HTG67" s="684"/>
      <c r="HTH67" s="684"/>
      <c r="HTI67" s="684"/>
      <c r="HTJ67" s="684"/>
      <c r="HTK67" s="684"/>
      <c r="HTL67" s="684"/>
      <c r="HTM67" s="684"/>
      <c r="HTN67" s="684"/>
      <c r="HTO67" s="684"/>
      <c r="HTP67" s="684"/>
      <c r="HTQ67" s="684"/>
      <c r="HTR67" s="684"/>
      <c r="HTS67" s="684"/>
      <c r="HTT67" s="684"/>
      <c r="HTU67" s="684"/>
      <c r="HTV67" s="684"/>
      <c r="HTW67" s="684"/>
      <c r="HTX67" s="684"/>
      <c r="HTY67" s="684"/>
      <c r="HTZ67" s="684"/>
      <c r="HUA67" s="684"/>
      <c r="HUB67" s="684"/>
      <c r="HUC67" s="684"/>
      <c r="HUD67" s="684"/>
      <c r="HUE67" s="684"/>
      <c r="HUF67" s="684"/>
      <c r="HUG67" s="684"/>
      <c r="HUH67" s="684"/>
      <c r="HUI67" s="684"/>
      <c r="HUJ67" s="684"/>
      <c r="HUK67" s="684"/>
      <c r="HUL67" s="684"/>
      <c r="HUM67" s="684"/>
      <c r="HUN67" s="684"/>
      <c r="HUO67" s="684"/>
      <c r="HUP67" s="684"/>
      <c r="HUQ67" s="684"/>
      <c r="HUR67" s="684"/>
      <c r="HUS67" s="684"/>
      <c r="HUT67" s="684"/>
      <c r="HUU67" s="684"/>
      <c r="HUV67" s="684"/>
      <c r="HUW67" s="684"/>
      <c r="HUX67" s="684"/>
      <c r="HUY67" s="684"/>
      <c r="HUZ67" s="684"/>
      <c r="HVA67" s="684"/>
      <c r="HVB67" s="684"/>
      <c r="HVC67" s="684"/>
      <c r="HVD67" s="684"/>
      <c r="HVE67" s="684"/>
      <c r="HVF67" s="684"/>
      <c r="HVG67" s="684"/>
      <c r="HVH67" s="684"/>
      <c r="HVI67" s="684"/>
      <c r="HVJ67" s="684"/>
      <c r="HVK67" s="684"/>
      <c r="HVL67" s="684"/>
      <c r="HVM67" s="684"/>
      <c r="HVN67" s="684"/>
      <c r="HVO67" s="684"/>
      <c r="HVP67" s="684"/>
      <c r="HVQ67" s="684"/>
      <c r="HVR67" s="684"/>
      <c r="HVS67" s="684"/>
      <c r="HVT67" s="684"/>
      <c r="HVU67" s="684"/>
      <c r="HVV67" s="684"/>
      <c r="HVW67" s="684"/>
      <c r="HVX67" s="684"/>
      <c r="HVY67" s="684"/>
      <c r="HVZ67" s="684"/>
      <c r="HWA67" s="684"/>
      <c r="HWB67" s="684"/>
      <c r="HWC67" s="684"/>
      <c r="HWD67" s="684"/>
      <c r="HWE67" s="684"/>
      <c r="HWF67" s="684"/>
      <c r="HWG67" s="684"/>
      <c r="HWH67" s="684"/>
      <c r="HWI67" s="684"/>
      <c r="HWJ67" s="684"/>
      <c r="HWK67" s="684"/>
      <c r="HWL67" s="684"/>
      <c r="HWM67" s="684"/>
      <c r="HWN67" s="684"/>
      <c r="HWO67" s="684"/>
      <c r="HWP67" s="684"/>
      <c r="HWQ67" s="684"/>
      <c r="HWR67" s="684"/>
      <c r="HWS67" s="684"/>
      <c r="HWT67" s="684"/>
      <c r="HWU67" s="684"/>
      <c r="HWV67" s="684"/>
      <c r="HWW67" s="684"/>
      <c r="HWX67" s="684"/>
      <c r="HWY67" s="684"/>
      <c r="HWZ67" s="684"/>
      <c r="HXA67" s="684"/>
      <c r="HXB67" s="684"/>
      <c r="HXC67" s="684"/>
      <c r="HXD67" s="684"/>
      <c r="HXE67" s="684"/>
      <c r="HXF67" s="684"/>
      <c r="HXG67" s="684"/>
      <c r="HXH67" s="684"/>
      <c r="HXI67" s="684"/>
      <c r="HXJ67" s="684"/>
      <c r="HXK67" s="684"/>
      <c r="HXL67" s="684"/>
      <c r="HXM67" s="684"/>
      <c r="HXN67" s="684"/>
      <c r="HXO67" s="684"/>
      <c r="HXP67" s="684"/>
      <c r="HXQ67" s="684"/>
      <c r="HXR67" s="684"/>
      <c r="HXS67" s="684"/>
      <c r="HXT67" s="684"/>
      <c r="HXU67" s="684"/>
      <c r="HXV67" s="684"/>
      <c r="HXW67" s="684"/>
      <c r="HXX67" s="684"/>
      <c r="HXY67" s="684"/>
      <c r="HXZ67" s="684"/>
      <c r="HYA67" s="684"/>
      <c r="HYB67" s="684"/>
      <c r="HYC67" s="684"/>
      <c r="HYD67" s="684"/>
      <c r="HYE67" s="684"/>
      <c r="HYF67" s="684"/>
      <c r="HYG67" s="684"/>
      <c r="HYH67" s="684"/>
      <c r="HYI67" s="684"/>
      <c r="HYJ67" s="684"/>
      <c r="HYK67" s="684"/>
      <c r="HYL67" s="684"/>
      <c r="HYM67" s="684"/>
      <c r="HYN67" s="684"/>
      <c r="HYO67" s="684"/>
      <c r="HYP67" s="684"/>
      <c r="HYQ67" s="684"/>
      <c r="HYR67" s="684"/>
      <c r="HYS67" s="684"/>
      <c r="HYT67" s="684"/>
      <c r="HYU67" s="684"/>
      <c r="HYV67" s="684"/>
      <c r="HYW67" s="684"/>
      <c r="HYX67" s="684"/>
      <c r="HYY67" s="684"/>
      <c r="HYZ67" s="684"/>
      <c r="HZA67" s="684"/>
      <c r="HZB67" s="684"/>
      <c r="HZC67" s="684"/>
      <c r="HZD67" s="684"/>
      <c r="HZE67" s="684"/>
      <c r="HZF67" s="684"/>
      <c r="HZG67" s="684"/>
      <c r="HZH67" s="684"/>
      <c r="HZI67" s="684"/>
      <c r="HZJ67" s="684"/>
      <c r="HZK67" s="684"/>
      <c r="HZL67" s="684"/>
      <c r="HZM67" s="684"/>
      <c r="HZN67" s="684"/>
      <c r="HZO67" s="684"/>
      <c r="HZP67" s="684"/>
      <c r="HZQ67" s="684"/>
      <c r="HZR67" s="684"/>
      <c r="HZS67" s="684"/>
      <c r="HZT67" s="684"/>
      <c r="HZU67" s="684"/>
      <c r="HZV67" s="684"/>
      <c r="HZW67" s="684"/>
      <c r="HZX67" s="684"/>
      <c r="HZY67" s="684"/>
      <c r="HZZ67" s="684"/>
      <c r="IAA67" s="684"/>
      <c r="IAB67" s="684"/>
      <c r="IAC67" s="684"/>
      <c r="IAD67" s="684"/>
      <c r="IAE67" s="684"/>
      <c r="IAF67" s="684"/>
      <c r="IAG67" s="684"/>
      <c r="IAH67" s="684"/>
      <c r="IAI67" s="684"/>
      <c r="IAJ67" s="684"/>
      <c r="IAK67" s="684"/>
      <c r="IAL67" s="684"/>
      <c r="IAM67" s="684"/>
      <c r="IAN67" s="684"/>
      <c r="IAO67" s="684"/>
      <c r="IAP67" s="684"/>
      <c r="IAQ67" s="684"/>
      <c r="IAR67" s="684"/>
      <c r="IAS67" s="684"/>
      <c r="IAT67" s="684"/>
      <c r="IAU67" s="684"/>
      <c r="IAV67" s="684"/>
      <c r="IAW67" s="684"/>
      <c r="IAX67" s="684"/>
      <c r="IAY67" s="684"/>
      <c r="IAZ67" s="684"/>
      <c r="IBA67" s="684"/>
      <c r="IBB67" s="684"/>
      <c r="IBC67" s="684"/>
      <c r="IBD67" s="684"/>
      <c r="IBE67" s="684"/>
      <c r="IBF67" s="684"/>
      <c r="IBG67" s="684"/>
      <c r="IBH67" s="684"/>
      <c r="IBI67" s="684"/>
      <c r="IBJ67" s="684"/>
      <c r="IBK67" s="684"/>
      <c r="IBL67" s="684"/>
      <c r="IBM67" s="684"/>
      <c r="IBN67" s="684"/>
      <c r="IBO67" s="684"/>
      <c r="IBP67" s="684"/>
      <c r="IBQ67" s="684"/>
      <c r="IBR67" s="684"/>
      <c r="IBS67" s="684"/>
      <c r="IBT67" s="684"/>
      <c r="IBU67" s="684"/>
      <c r="IBV67" s="684"/>
      <c r="IBW67" s="684"/>
      <c r="IBX67" s="684"/>
      <c r="IBY67" s="684"/>
      <c r="IBZ67" s="684"/>
      <c r="ICA67" s="684"/>
      <c r="ICB67" s="684"/>
      <c r="ICC67" s="684"/>
      <c r="ICD67" s="684"/>
      <c r="ICE67" s="684"/>
      <c r="ICF67" s="684"/>
      <c r="ICG67" s="684"/>
      <c r="ICH67" s="684"/>
      <c r="ICI67" s="684"/>
      <c r="ICJ67" s="684"/>
      <c r="ICK67" s="684"/>
      <c r="ICL67" s="684"/>
      <c r="ICM67" s="684"/>
      <c r="ICN67" s="684"/>
      <c r="ICO67" s="684"/>
      <c r="ICP67" s="684"/>
      <c r="ICQ67" s="684"/>
      <c r="ICR67" s="684"/>
      <c r="ICS67" s="684"/>
      <c r="ICT67" s="684"/>
      <c r="ICU67" s="684"/>
      <c r="ICV67" s="684"/>
      <c r="ICW67" s="684"/>
      <c r="ICX67" s="684"/>
      <c r="ICY67" s="684"/>
      <c r="ICZ67" s="684"/>
      <c r="IDA67" s="684"/>
      <c r="IDB67" s="684"/>
      <c r="IDC67" s="684"/>
      <c r="IDD67" s="684"/>
      <c r="IDE67" s="684"/>
      <c r="IDF67" s="684"/>
      <c r="IDG67" s="684"/>
      <c r="IDH67" s="684"/>
      <c r="IDI67" s="684"/>
      <c r="IDJ67" s="684"/>
      <c r="IDK67" s="684"/>
      <c r="IDL67" s="684"/>
      <c r="IDM67" s="684"/>
      <c r="IDN67" s="684"/>
      <c r="IDO67" s="684"/>
      <c r="IDP67" s="684"/>
      <c r="IDQ67" s="684"/>
      <c r="IDR67" s="684"/>
      <c r="IDS67" s="684"/>
      <c r="IDT67" s="684"/>
      <c r="IDU67" s="684"/>
      <c r="IDV67" s="684"/>
      <c r="IDW67" s="684"/>
      <c r="IDX67" s="684"/>
      <c r="IDY67" s="684"/>
      <c r="IDZ67" s="684"/>
      <c r="IEA67" s="684"/>
      <c r="IEB67" s="684"/>
      <c r="IEC67" s="684"/>
      <c r="IED67" s="684"/>
      <c r="IEE67" s="684"/>
      <c r="IEF67" s="684"/>
      <c r="IEG67" s="684"/>
      <c r="IEH67" s="684"/>
      <c r="IEI67" s="684"/>
      <c r="IEJ67" s="684"/>
      <c r="IEK67" s="684"/>
      <c r="IEL67" s="684"/>
      <c r="IEM67" s="684"/>
      <c r="IEN67" s="684"/>
      <c r="IEO67" s="684"/>
      <c r="IEP67" s="684"/>
      <c r="IEQ67" s="684"/>
      <c r="IER67" s="684"/>
      <c r="IES67" s="684"/>
      <c r="IET67" s="684"/>
      <c r="IEU67" s="684"/>
      <c r="IEV67" s="684"/>
      <c r="IEW67" s="684"/>
      <c r="IEX67" s="684"/>
      <c r="IEY67" s="684"/>
      <c r="IEZ67" s="684"/>
      <c r="IFA67" s="684"/>
      <c r="IFB67" s="684"/>
      <c r="IFC67" s="684"/>
      <c r="IFD67" s="684"/>
      <c r="IFE67" s="684"/>
      <c r="IFF67" s="684"/>
      <c r="IFG67" s="684"/>
      <c r="IFH67" s="684"/>
      <c r="IFI67" s="684"/>
      <c r="IFJ67" s="684"/>
      <c r="IFK67" s="684"/>
      <c r="IFL67" s="684"/>
      <c r="IFM67" s="684"/>
      <c r="IFN67" s="684"/>
      <c r="IFO67" s="684"/>
      <c r="IFP67" s="684"/>
      <c r="IFQ67" s="684"/>
      <c r="IFR67" s="684"/>
      <c r="IFS67" s="684"/>
      <c r="IFT67" s="684"/>
      <c r="IFU67" s="684"/>
      <c r="IFV67" s="684"/>
      <c r="IFW67" s="684"/>
      <c r="IFX67" s="684"/>
      <c r="IFY67" s="684"/>
      <c r="IFZ67" s="684"/>
      <c r="IGA67" s="684"/>
      <c r="IGB67" s="684"/>
      <c r="IGC67" s="684"/>
      <c r="IGD67" s="684"/>
      <c r="IGE67" s="684"/>
      <c r="IGF67" s="684"/>
      <c r="IGG67" s="684"/>
      <c r="IGH67" s="684"/>
      <c r="IGI67" s="684"/>
      <c r="IGJ67" s="684"/>
      <c r="IGK67" s="684"/>
      <c r="IGL67" s="684"/>
      <c r="IGM67" s="684"/>
      <c r="IGN67" s="684"/>
      <c r="IGO67" s="684"/>
      <c r="IGP67" s="684"/>
      <c r="IGQ67" s="684"/>
      <c r="IGR67" s="684"/>
      <c r="IGS67" s="684"/>
      <c r="IGT67" s="684"/>
      <c r="IGU67" s="684"/>
      <c r="IGV67" s="684"/>
      <c r="IGW67" s="684"/>
      <c r="IGX67" s="684"/>
      <c r="IGY67" s="684"/>
      <c r="IGZ67" s="684"/>
      <c r="IHA67" s="684"/>
      <c r="IHB67" s="684"/>
      <c r="IHC67" s="684"/>
      <c r="IHD67" s="684"/>
      <c r="IHE67" s="684"/>
      <c r="IHF67" s="684"/>
      <c r="IHG67" s="684"/>
      <c r="IHH67" s="684"/>
      <c r="IHI67" s="684"/>
      <c r="IHJ67" s="684"/>
      <c r="IHK67" s="684"/>
      <c r="IHL67" s="684"/>
      <c r="IHM67" s="684"/>
      <c r="IHN67" s="684"/>
      <c r="IHO67" s="684"/>
      <c r="IHP67" s="684"/>
      <c r="IHQ67" s="684"/>
      <c r="IHR67" s="684"/>
      <c r="IHS67" s="684"/>
      <c r="IHT67" s="684"/>
      <c r="IHU67" s="684"/>
      <c r="IHV67" s="684"/>
      <c r="IHW67" s="684"/>
      <c r="IHX67" s="684"/>
      <c r="IHY67" s="684"/>
      <c r="IHZ67" s="684"/>
      <c r="IIA67" s="684"/>
      <c r="IIB67" s="684"/>
      <c r="IIC67" s="684"/>
      <c r="IID67" s="684"/>
      <c r="IIE67" s="684"/>
      <c r="IIF67" s="684"/>
      <c r="IIG67" s="684"/>
      <c r="IIH67" s="684"/>
      <c r="III67" s="684"/>
      <c r="IIJ67" s="684"/>
      <c r="IIK67" s="684"/>
      <c r="IIL67" s="684"/>
      <c r="IIM67" s="684"/>
      <c r="IIN67" s="684"/>
      <c r="IIO67" s="684"/>
      <c r="IIP67" s="684"/>
      <c r="IIQ67" s="684"/>
      <c r="IIR67" s="684"/>
      <c r="IIS67" s="684"/>
      <c r="IIT67" s="684"/>
      <c r="IIU67" s="684"/>
      <c r="IIV67" s="684"/>
      <c r="IIW67" s="684"/>
      <c r="IIX67" s="684"/>
      <c r="IIY67" s="684"/>
      <c r="IIZ67" s="684"/>
      <c r="IJA67" s="684"/>
      <c r="IJB67" s="684"/>
      <c r="IJC67" s="684"/>
      <c r="IJD67" s="684"/>
      <c r="IJE67" s="684"/>
      <c r="IJF67" s="684"/>
      <c r="IJG67" s="684"/>
      <c r="IJH67" s="684"/>
      <c r="IJI67" s="684"/>
      <c r="IJJ67" s="684"/>
      <c r="IJK67" s="684"/>
      <c r="IJL67" s="684"/>
      <c r="IJM67" s="684"/>
      <c r="IJN67" s="684"/>
      <c r="IJO67" s="684"/>
      <c r="IJP67" s="684"/>
      <c r="IJQ67" s="684"/>
      <c r="IJR67" s="684"/>
      <c r="IJS67" s="684"/>
      <c r="IJT67" s="684"/>
      <c r="IJU67" s="684"/>
      <c r="IJV67" s="684"/>
      <c r="IJW67" s="684"/>
      <c r="IJX67" s="684"/>
      <c r="IJY67" s="684"/>
      <c r="IJZ67" s="684"/>
      <c r="IKA67" s="684"/>
      <c r="IKB67" s="684"/>
      <c r="IKC67" s="684"/>
      <c r="IKD67" s="684"/>
      <c r="IKE67" s="684"/>
      <c r="IKF67" s="684"/>
      <c r="IKG67" s="684"/>
      <c r="IKH67" s="684"/>
      <c r="IKI67" s="684"/>
      <c r="IKJ67" s="684"/>
      <c r="IKK67" s="684"/>
      <c r="IKL67" s="684"/>
      <c r="IKM67" s="684"/>
      <c r="IKN67" s="684"/>
      <c r="IKO67" s="684"/>
      <c r="IKP67" s="684"/>
      <c r="IKQ67" s="684"/>
      <c r="IKR67" s="684"/>
      <c r="IKS67" s="684"/>
      <c r="IKT67" s="684"/>
      <c r="IKU67" s="684"/>
      <c r="IKV67" s="684"/>
      <c r="IKW67" s="684"/>
      <c r="IKX67" s="684"/>
      <c r="IKY67" s="684"/>
      <c r="IKZ67" s="684"/>
      <c r="ILA67" s="684"/>
      <c r="ILB67" s="684"/>
      <c r="ILC67" s="684"/>
      <c r="ILD67" s="684"/>
      <c r="ILE67" s="684"/>
      <c r="ILF67" s="684"/>
      <c r="ILG67" s="684"/>
      <c r="ILH67" s="684"/>
      <c r="ILI67" s="684"/>
      <c r="ILJ67" s="684"/>
      <c r="ILK67" s="684"/>
      <c r="ILL67" s="684"/>
      <c r="ILM67" s="684"/>
      <c r="ILN67" s="684"/>
      <c r="ILO67" s="684"/>
      <c r="ILP67" s="684"/>
      <c r="ILQ67" s="684"/>
      <c r="ILR67" s="684"/>
      <c r="ILS67" s="684"/>
      <c r="ILT67" s="684"/>
      <c r="ILU67" s="684"/>
      <c r="ILV67" s="684"/>
      <c r="ILW67" s="684"/>
      <c r="ILX67" s="684"/>
      <c r="ILY67" s="684"/>
      <c r="ILZ67" s="684"/>
      <c r="IMA67" s="684"/>
      <c r="IMB67" s="684"/>
      <c r="IMC67" s="684"/>
      <c r="IMD67" s="684"/>
      <c r="IME67" s="684"/>
      <c r="IMF67" s="684"/>
      <c r="IMG67" s="684"/>
      <c r="IMH67" s="684"/>
      <c r="IMI67" s="684"/>
      <c r="IMJ67" s="684"/>
      <c r="IMK67" s="684"/>
      <c r="IML67" s="684"/>
      <c r="IMM67" s="684"/>
      <c r="IMN67" s="684"/>
      <c r="IMO67" s="684"/>
      <c r="IMP67" s="684"/>
      <c r="IMQ67" s="684"/>
      <c r="IMR67" s="684"/>
      <c r="IMS67" s="684"/>
      <c r="IMT67" s="684"/>
      <c r="IMU67" s="684"/>
      <c r="IMV67" s="684"/>
      <c r="IMW67" s="684"/>
      <c r="IMX67" s="684"/>
      <c r="IMY67" s="684"/>
      <c r="IMZ67" s="684"/>
      <c r="INA67" s="684"/>
      <c r="INB67" s="684"/>
      <c r="INC67" s="684"/>
      <c r="IND67" s="684"/>
      <c r="INE67" s="684"/>
      <c r="INF67" s="684"/>
      <c r="ING67" s="684"/>
      <c r="INH67" s="684"/>
      <c r="INI67" s="684"/>
      <c r="INJ67" s="684"/>
      <c r="INK67" s="684"/>
      <c r="INL67" s="684"/>
      <c r="INM67" s="684"/>
      <c r="INN67" s="684"/>
      <c r="INO67" s="684"/>
      <c r="INP67" s="684"/>
      <c r="INQ67" s="684"/>
      <c r="INR67" s="684"/>
      <c r="INS67" s="684"/>
      <c r="INT67" s="684"/>
      <c r="INU67" s="684"/>
      <c r="INV67" s="684"/>
      <c r="INW67" s="684"/>
      <c r="INX67" s="684"/>
      <c r="INY67" s="684"/>
      <c r="INZ67" s="684"/>
      <c r="IOA67" s="684"/>
      <c r="IOB67" s="684"/>
      <c r="IOC67" s="684"/>
      <c r="IOD67" s="684"/>
      <c r="IOE67" s="684"/>
      <c r="IOF67" s="684"/>
      <c r="IOG67" s="684"/>
      <c r="IOH67" s="684"/>
      <c r="IOI67" s="684"/>
      <c r="IOJ67" s="684"/>
      <c r="IOK67" s="684"/>
      <c r="IOL67" s="684"/>
      <c r="IOM67" s="684"/>
      <c r="ION67" s="684"/>
      <c r="IOO67" s="684"/>
      <c r="IOP67" s="684"/>
      <c r="IOQ67" s="684"/>
      <c r="IOR67" s="684"/>
      <c r="IOS67" s="684"/>
      <c r="IOT67" s="684"/>
      <c r="IOU67" s="684"/>
      <c r="IOV67" s="684"/>
      <c r="IOW67" s="684"/>
      <c r="IOX67" s="684"/>
      <c r="IOY67" s="684"/>
      <c r="IOZ67" s="684"/>
      <c r="IPA67" s="684"/>
      <c r="IPB67" s="684"/>
      <c r="IPC67" s="684"/>
      <c r="IPD67" s="684"/>
      <c r="IPE67" s="684"/>
      <c r="IPF67" s="684"/>
      <c r="IPG67" s="684"/>
      <c r="IPH67" s="684"/>
      <c r="IPI67" s="684"/>
      <c r="IPJ67" s="684"/>
      <c r="IPK67" s="684"/>
      <c r="IPL67" s="684"/>
      <c r="IPM67" s="684"/>
      <c r="IPN67" s="684"/>
      <c r="IPO67" s="684"/>
      <c r="IPP67" s="684"/>
      <c r="IPQ67" s="684"/>
      <c r="IPR67" s="684"/>
      <c r="IPS67" s="684"/>
      <c r="IPT67" s="684"/>
      <c r="IPU67" s="684"/>
      <c r="IPV67" s="684"/>
      <c r="IPW67" s="684"/>
      <c r="IPX67" s="684"/>
      <c r="IPY67" s="684"/>
      <c r="IPZ67" s="684"/>
      <c r="IQA67" s="684"/>
      <c r="IQB67" s="684"/>
      <c r="IQC67" s="684"/>
      <c r="IQD67" s="684"/>
      <c r="IQE67" s="684"/>
      <c r="IQF67" s="684"/>
      <c r="IQG67" s="684"/>
      <c r="IQH67" s="684"/>
      <c r="IQI67" s="684"/>
      <c r="IQJ67" s="684"/>
      <c r="IQK67" s="684"/>
      <c r="IQL67" s="684"/>
      <c r="IQM67" s="684"/>
      <c r="IQN67" s="684"/>
      <c r="IQO67" s="684"/>
      <c r="IQP67" s="684"/>
      <c r="IQQ67" s="684"/>
      <c r="IQR67" s="684"/>
      <c r="IQS67" s="684"/>
      <c r="IQT67" s="684"/>
      <c r="IQU67" s="684"/>
      <c r="IQV67" s="684"/>
      <c r="IQW67" s="684"/>
      <c r="IQX67" s="684"/>
      <c r="IQY67" s="684"/>
      <c r="IQZ67" s="684"/>
      <c r="IRA67" s="684"/>
      <c r="IRB67" s="684"/>
      <c r="IRC67" s="684"/>
      <c r="IRD67" s="684"/>
      <c r="IRE67" s="684"/>
      <c r="IRF67" s="684"/>
      <c r="IRG67" s="684"/>
      <c r="IRH67" s="684"/>
      <c r="IRI67" s="684"/>
      <c r="IRJ67" s="684"/>
      <c r="IRK67" s="684"/>
      <c r="IRL67" s="684"/>
      <c r="IRM67" s="684"/>
      <c r="IRN67" s="684"/>
      <c r="IRO67" s="684"/>
      <c r="IRP67" s="684"/>
      <c r="IRQ67" s="684"/>
      <c r="IRR67" s="684"/>
      <c r="IRS67" s="684"/>
      <c r="IRT67" s="684"/>
      <c r="IRU67" s="684"/>
      <c r="IRV67" s="684"/>
      <c r="IRW67" s="684"/>
      <c r="IRX67" s="684"/>
      <c r="IRY67" s="684"/>
      <c r="IRZ67" s="684"/>
      <c r="ISA67" s="684"/>
      <c r="ISB67" s="684"/>
      <c r="ISC67" s="684"/>
      <c r="ISD67" s="684"/>
      <c r="ISE67" s="684"/>
      <c r="ISF67" s="684"/>
      <c r="ISG67" s="684"/>
      <c r="ISH67" s="684"/>
      <c r="ISI67" s="684"/>
      <c r="ISJ67" s="684"/>
      <c r="ISK67" s="684"/>
      <c r="ISL67" s="684"/>
      <c r="ISM67" s="684"/>
      <c r="ISN67" s="684"/>
      <c r="ISO67" s="684"/>
      <c r="ISP67" s="684"/>
      <c r="ISQ67" s="684"/>
      <c r="ISR67" s="684"/>
      <c r="ISS67" s="684"/>
      <c r="IST67" s="684"/>
      <c r="ISU67" s="684"/>
      <c r="ISV67" s="684"/>
      <c r="ISW67" s="684"/>
      <c r="ISX67" s="684"/>
      <c r="ISY67" s="684"/>
      <c r="ISZ67" s="684"/>
      <c r="ITA67" s="684"/>
      <c r="ITB67" s="684"/>
      <c r="ITC67" s="684"/>
      <c r="ITD67" s="684"/>
      <c r="ITE67" s="684"/>
      <c r="ITF67" s="684"/>
      <c r="ITG67" s="684"/>
      <c r="ITH67" s="684"/>
      <c r="ITI67" s="684"/>
      <c r="ITJ67" s="684"/>
      <c r="ITK67" s="684"/>
      <c r="ITL67" s="684"/>
      <c r="ITM67" s="684"/>
      <c r="ITN67" s="684"/>
      <c r="ITO67" s="684"/>
      <c r="ITP67" s="684"/>
      <c r="ITQ67" s="684"/>
      <c r="ITR67" s="684"/>
      <c r="ITS67" s="684"/>
      <c r="ITT67" s="684"/>
      <c r="ITU67" s="684"/>
      <c r="ITV67" s="684"/>
      <c r="ITW67" s="684"/>
      <c r="ITX67" s="684"/>
      <c r="ITY67" s="684"/>
      <c r="ITZ67" s="684"/>
      <c r="IUA67" s="684"/>
      <c r="IUB67" s="684"/>
      <c r="IUC67" s="684"/>
      <c r="IUD67" s="684"/>
      <c r="IUE67" s="684"/>
      <c r="IUF67" s="684"/>
      <c r="IUG67" s="684"/>
      <c r="IUH67" s="684"/>
      <c r="IUI67" s="684"/>
      <c r="IUJ67" s="684"/>
      <c r="IUK67" s="684"/>
      <c r="IUL67" s="684"/>
      <c r="IUM67" s="684"/>
      <c r="IUN67" s="684"/>
      <c r="IUO67" s="684"/>
      <c r="IUP67" s="684"/>
      <c r="IUQ67" s="684"/>
      <c r="IUR67" s="684"/>
      <c r="IUS67" s="684"/>
      <c r="IUT67" s="684"/>
      <c r="IUU67" s="684"/>
      <c r="IUV67" s="684"/>
      <c r="IUW67" s="684"/>
      <c r="IUX67" s="684"/>
      <c r="IUY67" s="684"/>
      <c r="IUZ67" s="684"/>
      <c r="IVA67" s="684"/>
      <c r="IVB67" s="684"/>
      <c r="IVC67" s="684"/>
      <c r="IVD67" s="684"/>
      <c r="IVE67" s="684"/>
      <c r="IVF67" s="684"/>
      <c r="IVG67" s="684"/>
      <c r="IVH67" s="684"/>
      <c r="IVI67" s="684"/>
      <c r="IVJ67" s="684"/>
      <c r="IVK67" s="684"/>
      <c r="IVL67" s="684"/>
      <c r="IVM67" s="684"/>
      <c r="IVN67" s="684"/>
      <c r="IVO67" s="684"/>
      <c r="IVP67" s="684"/>
      <c r="IVQ67" s="684"/>
      <c r="IVR67" s="684"/>
      <c r="IVS67" s="684"/>
      <c r="IVT67" s="684"/>
      <c r="IVU67" s="684"/>
      <c r="IVV67" s="684"/>
      <c r="IVW67" s="684"/>
      <c r="IVX67" s="684"/>
      <c r="IVY67" s="684"/>
      <c r="IVZ67" s="684"/>
      <c r="IWA67" s="684"/>
      <c r="IWB67" s="684"/>
      <c r="IWC67" s="684"/>
      <c r="IWD67" s="684"/>
      <c r="IWE67" s="684"/>
      <c r="IWF67" s="684"/>
      <c r="IWG67" s="684"/>
      <c r="IWH67" s="684"/>
      <c r="IWI67" s="684"/>
      <c r="IWJ67" s="684"/>
      <c r="IWK67" s="684"/>
      <c r="IWL67" s="684"/>
      <c r="IWM67" s="684"/>
      <c r="IWN67" s="684"/>
      <c r="IWO67" s="684"/>
      <c r="IWP67" s="684"/>
      <c r="IWQ67" s="684"/>
      <c r="IWR67" s="684"/>
      <c r="IWS67" s="684"/>
      <c r="IWT67" s="684"/>
      <c r="IWU67" s="684"/>
      <c r="IWV67" s="684"/>
      <c r="IWW67" s="684"/>
      <c r="IWX67" s="684"/>
      <c r="IWY67" s="684"/>
      <c r="IWZ67" s="684"/>
      <c r="IXA67" s="684"/>
      <c r="IXB67" s="684"/>
      <c r="IXC67" s="684"/>
      <c r="IXD67" s="684"/>
      <c r="IXE67" s="684"/>
      <c r="IXF67" s="684"/>
      <c r="IXG67" s="684"/>
      <c r="IXH67" s="684"/>
      <c r="IXI67" s="684"/>
      <c r="IXJ67" s="684"/>
      <c r="IXK67" s="684"/>
      <c r="IXL67" s="684"/>
      <c r="IXM67" s="684"/>
      <c r="IXN67" s="684"/>
      <c r="IXO67" s="684"/>
      <c r="IXP67" s="684"/>
      <c r="IXQ67" s="684"/>
      <c r="IXR67" s="684"/>
      <c r="IXS67" s="684"/>
      <c r="IXT67" s="684"/>
      <c r="IXU67" s="684"/>
      <c r="IXV67" s="684"/>
      <c r="IXW67" s="684"/>
      <c r="IXX67" s="684"/>
      <c r="IXY67" s="684"/>
      <c r="IXZ67" s="684"/>
      <c r="IYA67" s="684"/>
      <c r="IYB67" s="684"/>
      <c r="IYC67" s="684"/>
      <c r="IYD67" s="684"/>
      <c r="IYE67" s="684"/>
      <c r="IYF67" s="684"/>
      <c r="IYG67" s="684"/>
      <c r="IYH67" s="684"/>
      <c r="IYI67" s="684"/>
      <c r="IYJ67" s="684"/>
      <c r="IYK67" s="684"/>
      <c r="IYL67" s="684"/>
      <c r="IYM67" s="684"/>
      <c r="IYN67" s="684"/>
      <c r="IYO67" s="684"/>
      <c r="IYP67" s="684"/>
      <c r="IYQ67" s="684"/>
      <c r="IYR67" s="684"/>
      <c r="IYS67" s="684"/>
      <c r="IYT67" s="684"/>
      <c r="IYU67" s="684"/>
      <c r="IYV67" s="684"/>
      <c r="IYW67" s="684"/>
      <c r="IYX67" s="684"/>
      <c r="IYY67" s="684"/>
      <c r="IYZ67" s="684"/>
      <c r="IZA67" s="684"/>
      <c r="IZB67" s="684"/>
      <c r="IZC67" s="684"/>
      <c r="IZD67" s="684"/>
      <c r="IZE67" s="684"/>
      <c r="IZF67" s="684"/>
      <c r="IZG67" s="684"/>
      <c r="IZH67" s="684"/>
      <c r="IZI67" s="684"/>
      <c r="IZJ67" s="684"/>
      <c r="IZK67" s="684"/>
      <c r="IZL67" s="684"/>
      <c r="IZM67" s="684"/>
      <c r="IZN67" s="684"/>
      <c r="IZO67" s="684"/>
      <c r="IZP67" s="684"/>
      <c r="IZQ67" s="684"/>
      <c r="IZR67" s="684"/>
      <c r="IZS67" s="684"/>
      <c r="IZT67" s="684"/>
      <c r="IZU67" s="684"/>
      <c r="IZV67" s="684"/>
      <c r="IZW67" s="684"/>
      <c r="IZX67" s="684"/>
      <c r="IZY67" s="684"/>
      <c r="IZZ67" s="684"/>
      <c r="JAA67" s="684"/>
      <c r="JAB67" s="684"/>
      <c r="JAC67" s="684"/>
      <c r="JAD67" s="684"/>
      <c r="JAE67" s="684"/>
      <c r="JAF67" s="684"/>
      <c r="JAG67" s="684"/>
      <c r="JAH67" s="684"/>
      <c r="JAI67" s="684"/>
      <c r="JAJ67" s="684"/>
      <c r="JAK67" s="684"/>
      <c r="JAL67" s="684"/>
      <c r="JAM67" s="684"/>
      <c r="JAN67" s="684"/>
      <c r="JAO67" s="684"/>
      <c r="JAP67" s="684"/>
      <c r="JAQ67" s="684"/>
      <c r="JAR67" s="684"/>
      <c r="JAS67" s="684"/>
      <c r="JAT67" s="684"/>
      <c r="JAU67" s="684"/>
      <c r="JAV67" s="684"/>
      <c r="JAW67" s="684"/>
      <c r="JAX67" s="684"/>
      <c r="JAY67" s="684"/>
      <c r="JAZ67" s="684"/>
      <c r="JBA67" s="684"/>
      <c r="JBB67" s="684"/>
      <c r="JBC67" s="684"/>
      <c r="JBD67" s="684"/>
      <c r="JBE67" s="684"/>
      <c r="JBF67" s="684"/>
      <c r="JBG67" s="684"/>
      <c r="JBH67" s="684"/>
      <c r="JBI67" s="684"/>
      <c r="JBJ67" s="684"/>
      <c r="JBK67" s="684"/>
      <c r="JBL67" s="684"/>
      <c r="JBM67" s="684"/>
      <c r="JBN67" s="684"/>
      <c r="JBO67" s="684"/>
      <c r="JBP67" s="684"/>
      <c r="JBQ67" s="684"/>
      <c r="JBR67" s="684"/>
      <c r="JBS67" s="684"/>
      <c r="JBT67" s="684"/>
      <c r="JBU67" s="684"/>
      <c r="JBV67" s="684"/>
      <c r="JBW67" s="684"/>
      <c r="JBX67" s="684"/>
      <c r="JBY67" s="684"/>
      <c r="JBZ67" s="684"/>
      <c r="JCA67" s="684"/>
      <c r="JCB67" s="684"/>
      <c r="JCC67" s="684"/>
      <c r="JCD67" s="684"/>
      <c r="JCE67" s="684"/>
      <c r="JCF67" s="684"/>
      <c r="JCG67" s="684"/>
      <c r="JCH67" s="684"/>
      <c r="JCI67" s="684"/>
      <c r="JCJ67" s="684"/>
      <c r="JCK67" s="684"/>
      <c r="JCL67" s="684"/>
      <c r="JCM67" s="684"/>
      <c r="JCN67" s="684"/>
      <c r="JCO67" s="684"/>
      <c r="JCP67" s="684"/>
      <c r="JCQ67" s="684"/>
      <c r="JCR67" s="684"/>
      <c r="JCS67" s="684"/>
      <c r="JCT67" s="684"/>
      <c r="JCU67" s="684"/>
      <c r="JCV67" s="684"/>
      <c r="JCW67" s="684"/>
      <c r="JCX67" s="684"/>
      <c r="JCY67" s="684"/>
      <c r="JCZ67" s="684"/>
      <c r="JDA67" s="684"/>
      <c r="JDB67" s="684"/>
      <c r="JDC67" s="684"/>
      <c r="JDD67" s="684"/>
      <c r="JDE67" s="684"/>
      <c r="JDF67" s="684"/>
      <c r="JDG67" s="684"/>
      <c r="JDH67" s="684"/>
      <c r="JDI67" s="684"/>
      <c r="JDJ67" s="684"/>
      <c r="JDK67" s="684"/>
      <c r="JDL67" s="684"/>
      <c r="JDM67" s="684"/>
      <c r="JDN67" s="684"/>
      <c r="JDO67" s="684"/>
      <c r="JDP67" s="684"/>
      <c r="JDQ67" s="684"/>
      <c r="JDR67" s="684"/>
      <c r="JDS67" s="684"/>
      <c r="JDT67" s="684"/>
      <c r="JDU67" s="684"/>
      <c r="JDV67" s="684"/>
      <c r="JDW67" s="684"/>
      <c r="JDX67" s="684"/>
      <c r="JDY67" s="684"/>
      <c r="JDZ67" s="684"/>
      <c r="JEA67" s="684"/>
      <c r="JEB67" s="684"/>
      <c r="JEC67" s="684"/>
      <c r="JED67" s="684"/>
      <c r="JEE67" s="684"/>
      <c r="JEF67" s="684"/>
      <c r="JEG67" s="684"/>
      <c r="JEH67" s="684"/>
      <c r="JEI67" s="684"/>
      <c r="JEJ67" s="684"/>
      <c r="JEK67" s="684"/>
      <c r="JEL67" s="684"/>
      <c r="JEM67" s="684"/>
      <c r="JEN67" s="684"/>
      <c r="JEO67" s="684"/>
      <c r="JEP67" s="684"/>
      <c r="JEQ67" s="684"/>
      <c r="JER67" s="684"/>
      <c r="JES67" s="684"/>
      <c r="JET67" s="684"/>
      <c r="JEU67" s="684"/>
      <c r="JEV67" s="684"/>
      <c r="JEW67" s="684"/>
      <c r="JEX67" s="684"/>
      <c r="JEY67" s="684"/>
      <c r="JEZ67" s="684"/>
      <c r="JFA67" s="684"/>
      <c r="JFB67" s="684"/>
      <c r="JFC67" s="684"/>
      <c r="JFD67" s="684"/>
      <c r="JFE67" s="684"/>
      <c r="JFF67" s="684"/>
      <c r="JFG67" s="684"/>
      <c r="JFH67" s="684"/>
      <c r="JFI67" s="684"/>
      <c r="JFJ67" s="684"/>
      <c r="JFK67" s="684"/>
      <c r="JFL67" s="684"/>
      <c r="JFM67" s="684"/>
      <c r="JFN67" s="684"/>
      <c r="JFO67" s="684"/>
      <c r="JFP67" s="684"/>
      <c r="JFQ67" s="684"/>
      <c r="JFR67" s="684"/>
      <c r="JFS67" s="684"/>
      <c r="JFT67" s="684"/>
      <c r="JFU67" s="684"/>
      <c r="JFV67" s="684"/>
      <c r="JFW67" s="684"/>
      <c r="JFX67" s="684"/>
      <c r="JFY67" s="684"/>
      <c r="JFZ67" s="684"/>
      <c r="JGA67" s="684"/>
      <c r="JGB67" s="684"/>
      <c r="JGC67" s="684"/>
      <c r="JGD67" s="684"/>
      <c r="JGE67" s="684"/>
      <c r="JGF67" s="684"/>
      <c r="JGG67" s="684"/>
      <c r="JGH67" s="684"/>
      <c r="JGI67" s="684"/>
      <c r="JGJ67" s="684"/>
      <c r="JGK67" s="684"/>
      <c r="JGL67" s="684"/>
      <c r="JGM67" s="684"/>
      <c r="JGN67" s="684"/>
      <c r="JGO67" s="684"/>
      <c r="JGP67" s="684"/>
      <c r="JGQ67" s="684"/>
      <c r="JGR67" s="684"/>
      <c r="JGS67" s="684"/>
      <c r="JGT67" s="684"/>
      <c r="JGU67" s="684"/>
      <c r="JGV67" s="684"/>
      <c r="JGW67" s="684"/>
      <c r="JGX67" s="684"/>
      <c r="JGY67" s="684"/>
      <c r="JGZ67" s="684"/>
      <c r="JHA67" s="684"/>
      <c r="JHB67" s="684"/>
      <c r="JHC67" s="684"/>
      <c r="JHD67" s="684"/>
      <c r="JHE67" s="684"/>
      <c r="JHF67" s="684"/>
      <c r="JHG67" s="684"/>
      <c r="JHH67" s="684"/>
      <c r="JHI67" s="684"/>
      <c r="JHJ67" s="684"/>
      <c r="JHK67" s="684"/>
      <c r="JHL67" s="684"/>
      <c r="JHM67" s="684"/>
      <c r="JHN67" s="684"/>
      <c r="JHO67" s="684"/>
      <c r="JHP67" s="684"/>
      <c r="JHQ67" s="684"/>
      <c r="JHR67" s="684"/>
      <c r="JHS67" s="684"/>
      <c r="JHT67" s="684"/>
      <c r="JHU67" s="684"/>
      <c r="JHV67" s="684"/>
      <c r="JHW67" s="684"/>
      <c r="JHX67" s="684"/>
      <c r="JHY67" s="684"/>
      <c r="JHZ67" s="684"/>
      <c r="JIA67" s="684"/>
      <c r="JIB67" s="684"/>
      <c r="JIC67" s="684"/>
      <c r="JID67" s="684"/>
      <c r="JIE67" s="684"/>
      <c r="JIF67" s="684"/>
      <c r="JIG67" s="684"/>
      <c r="JIH67" s="684"/>
      <c r="JII67" s="684"/>
      <c r="JIJ67" s="684"/>
      <c r="JIK67" s="684"/>
      <c r="JIL67" s="684"/>
      <c r="JIM67" s="684"/>
      <c r="JIN67" s="684"/>
      <c r="JIO67" s="684"/>
      <c r="JIP67" s="684"/>
      <c r="JIQ67" s="684"/>
      <c r="JIR67" s="684"/>
      <c r="JIS67" s="684"/>
      <c r="JIT67" s="684"/>
      <c r="JIU67" s="684"/>
      <c r="JIV67" s="684"/>
      <c r="JIW67" s="684"/>
      <c r="JIX67" s="684"/>
      <c r="JIY67" s="684"/>
      <c r="JIZ67" s="684"/>
      <c r="JJA67" s="684"/>
      <c r="JJB67" s="684"/>
      <c r="JJC67" s="684"/>
      <c r="JJD67" s="684"/>
      <c r="JJE67" s="684"/>
      <c r="JJF67" s="684"/>
      <c r="JJG67" s="684"/>
      <c r="JJH67" s="684"/>
      <c r="JJI67" s="684"/>
      <c r="JJJ67" s="684"/>
      <c r="JJK67" s="684"/>
      <c r="JJL67" s="684"/>
      <c r="JJM67" s="684"/>
      <c r="JJN67" s="684"/>
      <c r="JJO67" s="684"/>
      <c r="JJP67" s="684"/>
      <c r="JJQ67" s="684"/>
      <c r="JJR67" s="684"/>
      <c r="JJS67" s="684"/>
      <c r="JJT67" s="684"/>
      <c r="JJU67" s="684"/>
      <c r="JJV67" s="684"/>
      <c r="JJW67" s="684"/>
      <c r="JJX67" s="684"/>
      <c r="JJY67" s="684"/>
      <c r="JJZ67" s="684"/>
      <c r="JKA67" s="684"/>
      <c r="JKB67" s="684"/>
      <c r="JKC67" s="684"/>
      <c r="JKD67" s="684"/>
      <c r="JKE67" s="684"/>
      <c r="JKF67" s="684"/>
      <c r="JKG67" s="684"/>
      <c r="JKH67" s="684"/>
      <c r="JKI67" s="684"/>
      <c r="JKJ67" s="684"/>
      <c r="JKK67" s="684"/>
      <c r="JKL67" s="684"/>
      <c r="JKM67" s="684"/>
      <c r="JKN67" s="684"/>
      <c r="JKO67" s="684"/>
      <c r="JKP67" s="684"/>
      <c r="JKQ67" s="684"/>
      <c r="JKR67" s="684"/>
      <c r="JKS67" s="684"/>
      <c r="JKT67" s="684"/>
      <c r="JKU67" s="684"/>
      <c r="JKV67" s="684"/>
      <c r="JKW67" s="684"/>
      <c r="JKX67" s="684"/>
      <c r="JKY67" s="684"/>
      <c r="JKZ67" s="684"/>
      <c r="JLA67" s="684"/>
      <c r="JLB67" s="684"/>
      <c r="JLC67" s="684"/>
      <c r="JLD67" s="684"/>
      <c r="JLE67" s="684"/>
      <c r="JLF67" s="684"/>
      <c r="JLG67" s="684"/>
      <c r="JLH67" s="684"/>
      <c r="JLI67" s="684"/>
      <c r="JLJ67" s="684"/>
      <c r="JLK67" s="684"/>
      <c r="JLL67" s="684"/>
      <c r="JLM67" s="684"/>
      <c r="JLN67" s="684"/>
      <c r="JLO67" s="684"/>
      <c r="JLP67" s="684"/>
      <c r="JLQ67" s="684"/>
      <c r="JLR67" s="684"/>
      <c r="JLS67" s="684"/>
      <c r="JLT67" s="684"/>
      <c r="JLU67" s="684"/>
      <c r="JLV67" s="684"/>
      <c r="JLW67" s="684"/>
      <c r="JLX67" s="684"/>
      <c r="JLY67" s="684"/>
      <c r="JLZ67" s="684"/>
      <c r="JMA67" s="684"/>
      <c r="JMB67" s="684"/>
      <c r="JMC67" s="684"/>
      <c r="JMD67" s="684"/>
      <c r="JME67" s="684"/>
      <c r="JMF67" s="684"/>
      <c r="JMG67" s="684"/>
      <c r="JMH67" s="684"/>
      <c r="JMI67" s="684"/>
      <c r="JMJ67" s="684"/>
      <c r="JMK67" s="684"/>
      <c r="JML67" s="684"/>
      <c r="JMM67" s="684"/>
      <c r="JMN67" s="684"/>
      <c r="JMO67" s="684"/>
      <c r="JMP67" s="684"/>
      <c r="JMQ67" s="684"/>
      <c r="JMR67" s="684"/>
      <c r="JMS67" s="684"/>
      <c r="JMT67" s="684"/>
      <c r="JMU67" s="684"/>
      <c r="JMV67" s="684"/>
      <c r="JMW67" s="684"/>
      <c r="JMX67" s="684"/>
      <c r="JMY67" s="684"/>
      <c r="JMZ67" s="684"/>
      <c r="JNA67" s="684"/>
      <c r="JNB67" s="684"/>
      <c r="JNC67" s="684"/>
      <c r="JND67" s="684"/>
      <c r="JNE67" s="684"/>
      <c r="JNF67" s="684"/>
      <c r="JNG67" s="684"/>
      <c r="JNH67" s="684"/>
      <c r="JNI67" s="684"/>
      <c r="JNJ67" s="684"/>
      <c r="JNK67" s="684"/>
      <c r="JNL67" s="684"/>
      <c r="JNM67" s="684"/>
      <c r="JNN67" s="684"/>
      <c r="JNO67" s="684"/>
      <c r="JNP67" s="684"/>
      <c r="JNQ67" s="684"/>
      <c r="JNR67" s="684"/>
      <c r="JNS67" s="684"/>
      <c r="JNT67" s="684"/>
      <c r="JNU67" s="684"/>
      <c r="JNV67" s="684"/>
      <c r="JNW67" s="684"/>
      <c r="JNX67" s="684"/>
      <c r="JNY67" s="684"/>
      <c r="JNZ67" s="684"/>
      <c r="JOA67" s="684"/>
      <c r="JOB67" s="684"/>
      <c r="JOC67" s="684"/>
      <c r="JOD67" s="684"/>
      <c r="JOE67" s="684"/>
      <c r="JOF67" s="684"/>
      <c r="JOG67" s="684"/>
      <c r="JOH67" s="684"/>
      <c r="JOI67" s="684"/>
      <c r="JOJ67" s="684"/>
      <c r="JOK67" s="684"/>
      <c r="JOL67" s="684"/>
      <c r="JOM67" s="684"/>
      <c r="JON67" s="684"/>
      <c r="JOO67" s="684"/>
      <c r="JOP67" s="684"/>
      <c r="JOQ67" s="684"/>
      <c r="JOR67" s="684"/>
      <c r="JOS67" s="684"/>
      <c r="JOT67" s="684"/>
      <c r="JOU67" s="684"/>
      <c r="JOV67" s="684"/>
      <c r="JOW67" s="684"/>
      <c r="JOX67" s="684"/>
      <c r="JOY67" s="684"/>
      <c r="JOZ67" s="684"/>
      <c r="JPA67" s="684"/>
      <c r="JPB67" s="684"/>
      <c r="JPC67" s="684"/>
      <c r="JPD67" s="684"/>
      <c r="JPE67" s="684"/>
      <c r="JPF67" s="684"/>
      <c r="JPG67" s="684"/>
      <c r="JPH67" s="684"/>
      <c r="JPI67" s="684"/>
      <c r="JPJ67" s="684"/>
      <c r="JPK67" s="684"/>
      <c r="JPL67" s="684"/>
      <c r="JPM67" s="684"/>
      <c r="JPN67" s="684"/>
      <c r="JPO67" s="684"/>
      <c r="JPP67" s="684"/>
      <c r="JPQ67" s="684"/>
      <c r="JPR67" s="684"/>
      <c r="JPS67" s="684"/>
      <c r="JPT67" s="684"/>
      <c r="JPU67" s="684"/>
      <c r="JPV67" s="684"/>
      <c r="JPW67" s="684"/>
      <c r="JPX67" s="684"/>
      <c r="JPY67" s="684"/>
      <c r="JPZ67" s="684"/>
      <c r="JQA67" s="684"/>
      <c r="JQB67" s="684"/>
      <c r="JQC67" s="684"/>
      <c r="JQD67" s="684"/>
      <c r="JQE67" s="684"/>
      <c r="JQF67" s="684"/>
      <c r="JQG67" s="684"/>
      <c r="JQH67" s="684"/>
      <c r="JQI67" s="684"/>
      <c r="JQJ67" s="684"/>
      <c r="JQK67" s="684"/>
      <c r="JQL67" s="684"/>
      <c r="JQM67" s="684"/>
      <c r="JQN67" s="684"/>
      <c r="JQO67" s="684"/>
      <c r="JQP67" s="684"/>
      <c r="JQQ67" s="684"/>
      <c r="JQR67" s="684"/>
      <c r="JQS67" s="684"/>
      <c r="JQT67" s="684"/>
      <c r="JQU67" s="684"/>
      <c r="JQV67" s="684"/>
      <c r="JQW67" s="684"/>
      <c r="JQX67" s="684"/>
      <c r="JQY67" s="684"/>
      <c r="JQZ67" s="684"/>
      <c r="JRA67" s="684"/>
      <c r="JRB67" s="684"/>
      <c r="JRC67" s="684"/>
      <c r="JRD67" s="684"/>
      <c r="JRE67" s="684"/>
      <c r="JRF67" s="684"/>
      <c r="JRG67" s="684"/>
      <c r="JRH67" s="684"/>
      <c r="JRI67" s="684"/>
      <c r="JRJ67" s="684"/>
      <c r="JRK67" s="684"/>
      <c r="JRL67" s="684"/>
      <c r="JRM67" s="684"/>
      <c r="JRN67" s="684"/>
      <c r="JRO67" s="684"/>
      <c r="JRP67" s="684"/>
      <c r="JRQ67" s="684"/>
      <c r="JRR67" s="684"/>
      <c r="JRS67" s="684"/>
      <c r="JRT67" s="684"/>
      <c r="JRU67" s="684"/>
      <c r="JRV67" s="684"/>
      <c r="JRW67" s="684"/>
      <c r="JRX67" s="684"/>
      <c r="JRY67" s="684"/>
      <c r="JRZ67" s="684"/>
      <c r="JSA67" s="684"/>
      <c r="JSB67" s="684"/>
      <c r="JSC67" s="684"/>
      <c r="JSD67" s="684"/>
      <c r="JSE67" s="684"/>
      <c r="JSF67" s="684"/>
      <c r="JSG67" s="684"/>
      <c r="JSH67" s="684"/>
      <c r="JSI67" s="684"/>
      <c r="JSJ67" s="684"/>
      <c r="JSK67" s="684"/>
      <c r="JSL67" s="684"/>
      <c r="JSM67" s="684"/>
      <c r="JSN67" s="684"/>
      <c r="JSO67" s="684"/>
      <c r="JSP67" s="684"/>
      <c r="JSQ67" s="684"/>
      <c r="JSR67" s="684"/>
      <c r="JSS67" s="684"/>
      <c r="JST67" s="684"/>
      <c r="JSU67" s="684"/>
      <c r="JSV67" s="684"/>
      <c r="JSW67" s="684"/>
      <c r="JSX67" s="684"/>
      <c r="JSY67" s="684"/>
      <c r="JSZ67" s="684"/>
      <c r="JTA67" s="684"/>
      <c r="JTB67" s="684"/>
      <c r="JTC67" s="684"/>
      <c r="JTD67" s="684"/>
      <c r="JTE67" s="684"/>
      <c r="JTF67" s="684"/>
      <c r="JTG67" s="684"/>
      <c r="JTH67" s="684"/>
      <c r="JTI67" s="684"/>
      <c r="JTJ67" s="684"/>
      <c r="JTK67" s="684"/>
      <c r="JTL67" s="684"/>
      <c r="JTM67" s="684"/>
      <c r="JTN67" s="684"/>
      <c r="JTO67" s="684"/>
      <c r="JTP67" s="684"/>
      <c r="JTQ67" s="684"/>
      <c r="JTR67" s="684"/>
      <c r="JTS67" s="684"/>
      <c r="JTT67" s="684"/>
      <c r="JTU67" s="684"/>
      <c r="JTV67" s="684"/>
      <c r="JTW67" s="684"/>
      <c r="JTX67" s="684"/>
      <c r="JTY67" s="684"/>
      <c r="JTZ67" s="684"/>
      <c r="JUA67" s="684"/>
      <c r="JUB67" s="684"/>
      <c r="JUC67" s="684"/>
      <c r="JUD67" s="684"/>
      <c r="JUE67" s="684"/>
      <c r="JUF67" s="684"/>
      <c r="JUG67" s="684"/>
      <c r="JUH67" s="684"/>
      <c r="JUI67" s="684"/>
      <c r="JUJ67" s="684"/>
      <c r="JUK67" s="684"/>
      <c r="JUL67" s="684"/>
      <c r="JUM67" s="684"/>
      <c r="JUN67" s="684"/>
      <c r="JUO67" s="684"/>
      <c r="JUP67" s="684"/>
      <c r="JUQ67" s="684"/>
      <c r="JUR67" s="684"/>
      <c r="JUS67" s="684"/>
      <c r="JUT67" s="684"/>
      <c r="JUU67" s="684"/>
      <c r="JUV67" s="684"/>
      <c r="JUW67" s="684"/>
      <c r="JUX67" s="684"/>
      <c r="JUY67" s="684"/>
      <c r="JUZ67" s="684"/>
      <c r="JVA67" s="684"/>
      <c r="JVB67" s="684"/>
      <c r="JVC67" s="684"/>
      <c r="JVD67" s="684"/>
      <c r="JVE67" s="684"/>
      <c r="JVF67" s="684"/>
      <c r="JVG67" s="684"/>
      <c r="JVH67" s="684"/>
      <c r="JVI67" s="684"/>
      <c r="JVJ67" s="684"/>
      <c r="JVK67" s="684"/>
      <c r="JVL67" s="684"/>
      <c r="JVM67" s="684"/>
      <c r="JVN67" s="684"/>
      <c r="JVO67" s="684"/>
      <c r="JVP67" s="684"/>
      <c r="JVQ67" s="684"/>
      <c r="JVR67" s="684"/>
      <c r="JVS67" s="684"/>
      <c r="JVT67" s="684"/>
      <c r="JVU67" s="684"/>
      <c r="JVV67" s="684"/>
      <c r="JVW67" s="684"/>
      <c r="JVX67" s="684"/>
      <c r="JVY67" s="684"/>
      <c r="JVZ67" s="684"/>
      <c r="JWA67" s="684"/>
      <c r="JWB67" s="684"/>
      <c r="JWC67" s="684"/>
      <c r="JWD67" s="684"/>
      <c r="JWE67" s="684"/>
      <c r="JWF67" s="684"/>
      <c r="JWG67" s="684"/>
      <c r="JWH67" s="684"/>
      <c r="JWI67" s="684"/>
      <c r="JWJ67" s="684"/>
      <c r="JWK67" s="684"/>
      <c r="JWL67" s="684"/>
      <c r="JWM67" s="684"/>
      <c r="JWN67" s="684"/>
      <c r="JWO67" s="684"/>
      <c r="JWP67" s="684"/>
      <c r="JWQ67" s="684"/>
      <c r="JWR67" s="684"/>
      <c r="JWS67" s="684"/>
      <c r="JWT67" s="684"/>
      <c r="JWU67" s="684"/>
      <c r="JWV67" s="684"/>
      <c r="JWW67" s="684"/>
      <c r="JWX67" s="684"/>
      <c r="JWY67" s="684"/>
      <c r="JWZ67" s="684"/>
      <c r="JXA67" s="684"/>
      <c r="JXB67" s="684"/>
      <c r="JXC67" s="684"/>
      <c r="JXD67" s="684"/>
      <c r="JXE67" s="684"/>
      <c r="JXF67" s="684"/>
      <c r="JXG67" s="684"/>
      <c r="JXH67" s="684"/>
      <c r="JXI67" s="684"/>
      <c r="JXJ67" s="684"/>
      <c r="JXK67" s="684"/>
      <c r="JXL67" s="684"/>
      <c r="JXM67" s="684"/>
      <c r="JXN67" s="684"/>
      <c r="JXO67" s="684"/>
      <c r="JXP67" s="684"/>
      <c r="JXQ67" s="684"/>
      <c r="JXR67" s="684"/>
      <c r="JXS67" s="684"/>
      <c r="JXT67" s="684"/>
      <c r="JXU67" s="684"/>
      <c r="JXV67" s="684"/>
      <c r="JXW67" s="684"/>
      <c r="JXX67" s="684"/>
      <c r="JXY67" s="684"/>
      <c r="JXZ67" s="684"/>
      <c r="JYA67" s="684"/>
      <c r="JYB67" s="684"/>
      <c r="JYC67" s="684"/>
      <c r="JYD67" s="684"/>
      <c r="JYE67" s="684"/>
      <c r="JYF67" s="684"/>
      <c r="JYG67" s="684"/>
      <c r="JYH67" s="684"/>
      <c r="JYI67" s="684"/>
      <c r="JYJ67" s="684"/>
      <c r="JYK67" s="684"/>
      <c r="JYL67" s="684"/>
      <c r="JYM67" s="684"/>
      <c r="JYN67" s="684"/>
      <c r="JYO67" s="684"/>
      <c r="JYP67" s="684"/>
      <c r="JYQ67" s="684"/>
      <c r="JYR67" s="684"/>
      <c r="JYS67" s="684"/>
      <c r="JYT67" s="684"/>
      <c r="JYU67" s="684"/>
      <c r="JYV67" s="684"/>
      <c r="JYW67" s="684"/>
      <c r="JYX67" s="684"/>
      <c r="JYY67" s="684"/>
      <c r="JYZ67" s="684"/>
      <c r="JZA67" s="684"/>
      <c r="JZB67" s="684"/>
      <c r="JZC67" s="684"/>
      <c r="JZD67" s="684"/>
      <c r="JZE67" s="684"/>
      <c r="JZF67" s="684"/>
      <c r="JZG67" s="684"/>
      <c r="JZH67" s="684"/>
      <c r="JZI67" s="684"/>
      <c r="JZJ67" s="684"/>
      <c r="JZK67" s="684"/>
      <c r="JZL67" s="684"/>
      <c r="JZM67" s="684"/>
      <c r="JZN67" s="684"/>
      <c r="JZO67" s="684"/>
      <c r="JZP67" s="684"/>
      <c r="JZQ67" s="684"/>
      <c r="JZR67" s="684"/>
      <c r="JZS67" s="684"/>
      <c r="JZT67" s="684"/>
      <c r="JZU67" s="684"/>
      <c r="JZV67" s="684"/>
      <c r="JZW67" s="684"/>
      <c r="JZX67" s="684"/>
      <c r="JZY67" s="684"/>
      <c r="JZZ67" s="684"/>
      <c r="KAA67" s="684"/>
      <c r="KAB67" s="684"/>
      <c r="KAC67" s="684"/>
      <c r="KAD67" s="684"/>
      <c r="KAE67" s="684"/>
      <c r="KAF67" s="684"/>
      <c r="KAG67" s="684"/>
      <c r="KAH67" s="684"/>
      <c r="KAI67" s="684"/>
      <c r="KAJ67" s="684"/>
      <c r="KAK67" s="684"/>
      <c r="KAL67" s="684"/>
      <c r="KAM67" s="684"/>
      <c r="KAN67" s="684"/>
      <c r="KAO67" s="684"/>
      <c r="KAP67" s="684"/>
      <c r="KAQ67" s="684"/>
      <c r="KAR67" s="684"/>
      <c r="KAS67" s="684"/>
      <c r="KAT67" s="684"/>
      <c r="KAU67" s="684"/>
      <c r="KAV67" s="684"/>
      <c r="KAW67" s="684"/>
      <c r="KAX67" s="684"/>
      <c r="KAY67" s="684"/>
      <c r="KAZ67" s="684"/>
      <c r="KBA67" s="684"/>
      <c r="KBB67" s="684"/>
      <c r="KBC67" s="684"/>
      <c r="KBD67" s="684"/>
      <c r="KBE67" s="684"/>
      <c r="KBF67" s="684"/>
      <c r="KBG67" s="684"/>
      <c r="KBH67" s="684"/>
      <c r="KBI67" s="684"/>
      <c r="KBJ67" s="684"/>
      <c r="KBK67" s="684"/>
      <c r="KBL67" s="684"/>
      <c r="KBM67" s="684"/>
      <c r="KBN67" s="684"/>
      <c r="KBO67" s="684"/>
      <c r="KBP67" s="684"/>
      <c r="KBQ67" s="684"/>
      <c r="KBR67" s="684"/>
      <c r="KBS67" s="684"/>
      <c r="KBT67" s="684"/>
      <c r="KBU67" s="684"/>
      <c r="KBV67" s="684"/>
      <c r="KBW67" s="684"/>
      <c r="KBX67" s="684"/>
      <c r="KBY67" s="684"/>
      <c r="KBZ67" s="684"/>
      <c r="KCA67" s="684"/>
      <c r="KCB67" s="684"/>
      <c r="KCC67" s="684"/>
      <c r="KCD67" s="684"/>
      <c r="KCE67" s="684"/>
      <c r="KCF67" s="684"/>
      <c r="KCG67" s="684"/>
      <c r="KCH67" s="684"/>
      <c r="KCI67" s="684"/>
      <c r="KCJ67" s="684"/>
      <c r="KCK67" s="684"/>
      <c r="KCL67" s="684"/>
      <c r="KCM67" s="684"/>
      <c r="KCN67" s="684"/>
      <c r="KCO67" s="684"/>
      <c r="KCP67" s="684"/>
      <c r="KCQ67" s="684"/>
      <c r="KCR67" s="684"/>
      <c r="KCS67" s="684"/>
      <c r="KCT67" s="684"/>
      <c r="KCU67" s="684"/>
      <c r="KCV67" s="684"/>
      <c r="KCW67" s="684"/>
      <c r="KCX67" s="684"/>
      <c r="KCY67" s="684"/>
      <c r="KCZ67" s="684"/>
      <c r="KDA67" s="684"/>
      <c r="KDB67" s="684"/>
      <c r="KDC67" s="684"/>
      <c r="KDD67" s="684"/>
      <c r="KDE67" s="684"/>
      <c r="KDF67" s="684"/>
      <c r="KDG67" s="684"/>
      <c r="KDH67" s="684"/>
      <c r="KDI67" s="684"/>
      <c r="KDJ67" s="684"/>
      <c r="KDK67" s="684"/>
      <c r="KDL67" s="684"/>
      <c r="KDM67" s="684"/>
      <c r="KDN67" s="684"/>
      <c r="KDO67" s="684"/>
      <c r="KDP67" s="684"/>
      <c r="KDQ67" s="684"/>
      <c r="KDR67" s="684"/>
      <c r="KDS67" s="684"/>
      <c r="KDT67" s="684"/>
      <c r="KDU67" s="684"/>
      <c r="KDV67" s="684"/>
      <c r="KDW67" s="684"/>
      <c r="KDX67" s="684"/>
      <c r="KDY67" s="684"/>
      <c r="KDZ67" s="684"/>
      <c r="KEA67" s="684"/>
      <c r="KEB67" s="684"/>
      <c r="KEC67" s="684"/>
      <c r="KED67" s="684"/>
      <c r="KEE67" s="684"/>
      <c r="KEF67" s="684"/>
      <c r="KEG67" s="684"/>
      <c r="KEH67" s="684"/>
      <c r="KEI67" s="684"/>
      <c r="KEJ67" s="684"/>
      <c r="KEK67" s="684"/>
      <c r="KEL67" s="684"/>
      <c r="KEM67" s="684"/>
      <c r="KEN67" s="684"/>
      <c r="KEO67" s="684"/>
      <c r="KEP67" s="684"/>
      <c r="KEQ67" s="684"/>
      <c r="KER67" s="684"/>
      <c r="KES67" s="684"/>
      <c r="KET67" s="684"/>
      <c r="KEU67" s="684"/>
      <c r="KEV67" s="684"/>
      <c r="KEW67" s="684"/>
      <c r="KEX67" s="684"/>
      <c r="KEY67" s="684"/>
      <c r="KEZ67" s="684"/>
      <c r="KFA67" s="684"/>
      <c r="KFB67" s="684"/>
      <c r="KFC67" s="684"/>
      <c r="KFD67" s="684"/>
      <c r="KFE67" s="684"/>
      <c r="KFF67" s="684"/>
      <c r="KFG67" s="684"/>
      <c r="KFH67" s="684"/>
      <c r="KFI67" s="684"/>
      <c r="KFJ67" s="684"/>
      <c r="KFK67" s="684"/>
      <c r="KFL67" s="684"/>
      <c r="KFM67" s="684"/>
      <c r="KFN67" s="684"/>
      <c r="KFO67" s="684"/>
      <c r="KFP67" s="684"/>
      <c r="KFQ67" s="684"/>
      <c r="KFR67" s="684"/>
      <c r="KFS67" s="684"/>
      <c r="KFT67" s="684"/>
      <c r="KFU67" s="684"/>
      <c r="KFV67" s="684"/>
      <c r="KFW67" s="684"/>
      <c r="KFX67" s="684"/>
      <c r="KFY67" s="684"/>
      <c r="KFZ67" s="684"/>
      <c r="KGA67" s="684"/>
      <c r="KGB67" s="684"/>
      <c r="KGC67" s="684"/>
      <c r="KGD67" s="684"/>
      <c r="KGE67" s="684"/>
      <c r="KGF67" s="684"/>
      <c r="KGG67" s="684"/>
      <c r="KGH67" s="684"/>
      <c r="KGI67" s="684"/>
      <c r="KGJ67" s="684"/>
      <c r="KGK67" s="684"/>
      <c r="KGL67" s="684"/>
      <c r="KGM67" s="684"/>
      <c r="KGN67" s="684"/>
      <c r="KGO67" s="684"/>
      <c r="KGP67" s="684"/>
      <c r="KGQ67" s="684"/>
      <c r="KGR67" s="684"/>
      <c r="KGS67" s="684"/>
      <c r="KGT67" s="684"/>
      <c r="KGU67" s="684"/>
      <c r="KGV67" s="684"/>
      <c r="KGW67" s="684"/>
      <c r="KGX67" s="684"/>
      <c r="KGY67" s="684"/>
      <c r="KGZ67" s="684"/>
      <c r="KHA67" s="684"/>
      <c r="KHB67" s="684"/>
      <c r="KHC67" s="684"/>
      <c r="KHD67" s="684"/>
      <c r="KHE67" s="684"/>
      <c r="KHF67" s="684"/>
      <c r="KHG67" s="684"/>
      <c r="KHH67" s="684"/>
      <c r="KHI67" s="684"/>
      <c r="KHJ67" s="684"/>
      <c r="KHK67" s="684"/>
      <c r="KHL67" s="684"/>
      <c r="KHM67" s="684"/>
      <c r="KHN67" s="684"/>
      <c r="KHO67" s="684"/>
      <c r="KHP67" s="684"/>
      <c r="KHQ67" s="684"/>
      <c r="KHR67" s="684"/>
      <c r="KHS67" s="684"/>
      <c r="KHT67" s="684"/>
      <c r="KHU67" s="684"/>
      <c r="KHV67" s="684"/>
      <c r="KHW67" s="684"/>
      <c r="KHX67" s="684"/>
      <c r="KHY67" s="684"/>
      <c r="KHZ67" s="684"/>
      <c r="KIA67" s="684"/>
      <c r="KIB67" s="684"/>
      <c r="KIC67" s="684"/>
      <c r="KID67" s="684"/>
      <c r="KIE67" s="684"/>
      <c r="KIF67" s="684"/>
      <c r="KIG67" s="684"/>
      <c r="KIH67" s="684"/>
      <c r="KII67" s="684"/>
      <c r="KIJ67" s="684"/>
      <c r="KIK67" s="684"/>
      <c r="KIL67" s="684"/>
      <c r="KIM67" s="684"/>
      <c r="KIN67" s="684"/>
      <c r="KIO67" s="684"/>
      <c r="KIP67" s="684"/>
      <c r="KIQ67" s="684"/>
      <c r="KIR67" s="684"/>
      <c r="KIS67" s="684"/>
      <c r="KIT67" s="684"/>
      <c r="KIU67" s="684"/>
      <c r="KIV67" s="684"/>
      <c r="KIW67" s="684"/>
      <c r="KIX67" s="684"/>
      <c r="KIY67" s="684"/>
      <c r="KIZ67" s="684"/>
      <c r="KJA67" s="684"/>
      <c r="KJB67" s="684"/>
      <c r="KJC67" s="684"/>
      <c r="KJD67" s="684"/>
      <c r="KJE67" s="684"/>
      <c r="KJF67" s="684"/>
      <c r="KJG67" s="684"/>
      <c r="KJH67" s="684"/>
      <c r="KJI67" s="684"/>
      <c r="KJJ67" s="684"/>
      <c r="KJK67" s="684"/>
      <c r="KJL67" s="684"/>
      <c r="KJM67" s="684"/>
      <c r="KJN67" s="684"/>
      <c r="KJO67" s="684"/>
      <c r="KJP67" s="684"/>
      <c r="KJQ67" s="684"/>
      <c r="KJR67" s="684"/>
      <c r="KJS67" s="684"/>
      <c r="KJT67" s="684"/>
      <c r="KJU67" s="684"/>
      <c r="KJV67" s="684"/>
      <c r="KJW67" s="684"/>
      <c r="KJX67" s="684"/>
      <c r="KJY67" s="684"/>
      <c r="KJZ67" s="684"/>
      <c r="KKA67" s="684"/>
      <c r="KKB67" s="684"/>
      <c r="KKC67" s="684"/>
      <c r="KKD67" s="684"/>
      <c r="KKE67" s="684"/>
      <c r="KKF67" s="684"/>
      <c r="KKG67" s="684"/>
      <c r="KKH67" s="684"/>
      <c r="KKI67" s="684"/>
      <c r="KKJ67" s="684"/>
      <c r="KKK67" s="684"/>
      <c r="KKL67" s="684"/>
      <c r="KKM67" s="684"/>
      <c r="KKN67" s="684"/>
      <c r="KKO67" s="684"/>
      <c r="KKP67" s="684"/>
      <c r="KKQ67" s="684"/>
      <c r="KKR67" s="684"/>
      <c r="KKS67" s="684"/>
      <c r="KKT67" s="684"/>
      <c r="KKU67" s="684"/>
      <c r="KKV67" s="684"/>
      <c r="KKW67" s="684"/>
      <c r="KKX67" s="684"/>
      <c r="KKY67" s="684"/>
      <c r="KKZ67" s="684"/>
      <c r="KLA67" s="684"/>
      <c r="KLB67" s="684"/>
      <c r="KLC67" s="684"/>
      <c r="KLD67" s="684"/>
      <c r="KLE67" s="684"/>
      <c r="KLF67" s="684"/>
      <c r="KLG67" s="684"/>
      <c r="KLH67" s="684"/>
      <c r="KLI67" s="684"/>
      <c r="KLJ67" s="684"/>
      <c r="KLK67" s="684"/>
      <c r="KLL67" s="684"/>
      <c r="KLM67" s="684"/>
      <c r="KLN67" s="684"/>
      <c r="KLO67" s="684"/>
      <c r="KLP67" s="684"/>
      <c r="KLQ67" s="684"/>
      <c r="KLR67" s="684"/>
      <c r="KLS67" s="684"/>
      <c r="KLT67" s="684"/>
      <c r="KLU67" s="684"/>
      <c r="KLV67" s="684"/>
      <c r="KLW67" s="684"/>
      <c r="KLX67" s="684"/>
      <c r="KLY67" s="684"/>
      <c r="KLZ67" s="684"/>
      <c r="KMA67" s="684"/>
      <c r="KMB67" s="684"/>
      <c r="KMC67" s="684"/>
      <c r="KMD67" s="684"/>
      <c r="KME67" s="684"/>
      <c r="KMF67" s="684"/>
      <c r="KMG67" s="684"/>
      <c r="KMH67" s="684"/>
      <c r="KMI67" s="684"/>
      <c r="KMJ67" s="684"/>
      <c r="KMK67" s="684"/>
      <c r="KML67" s="684"/>
      <c r="KMM67" s="684"/>
      <c r="KMN67" s="684"/>
      <c r="KMO67" s="684"/>
      <c r="KMP67" s="684"/>
      <c r="KMQ67" s="684"/>
      <c r="KMR67" s="684"/>
      <c r="KMS67" s="684"/>
      <c r="KMT67" s="684"/>
      <c r="KMU67" s="684"/>
      <c r="KMV67" s="684"/>
      <c r="KMW67" s="684"/>
      <c r="KMX67" s="684"/>
      <c r="KMY67" s="684"/>
      <c r="KMZ67" s="684"/>
      <c r="KNA67" s="684"/>
      <c r="KNB67" s="684"/>
      <c r="KNC67" s="684"/>
      <c r="KND67" s="684"/>
      <c r="KNE67" s="684"/>
      <c r="KNF67" s="684"/>
      <c r="KNG67" s="684"/>
      <c r="KNH67" s="684"/>
      <c r="KNI67" s="684"/>
      <c r="KNJ67" s="684"/>
      <c r="KNK67" s="684"/>
      <c r="KNL67" s="684"/>
      <c r="KNM67" s="684"/>
      <c r="KNN67" s="684"/>
      <c r="KNO67" s="684"/>
      <c r="KNP67" s="684"/>
      <c r="KNQ67" s="684"/>
      <c r="KNR67" s="684"/>
      <c r="KNS67" s="684"/>
      <c r="KNT67" s="684"/>
      <c r="KNU67" s="684"/>
      <c r="KNV67" s="684"/>
      <c r="KNW67" s="684"/>
      <c r="KNX67" s="684"/>
      <c r="KNY67" s="684"/>
      <c r="KNZ67" s="684"/>
      <c r="KOA67" s="684"/>
      <c r="KOB67" s="684"/>
      <c r="KOC67" s="684"/>
      <c r="KOD67" s="684"/>
      <c r="KOE67" s="684"/>
      <c r="KOF67" s="684"/>
      <c r="KOG67" s="684"/>
      <c r="KOH67" s="684"/>
      <c r="KOI67" s="684"/>
      <c r="KOJ67" s="684"/>
      <c r="KOK67" s="684"/>
      <c r="KOL67" s="684"/>
      <c r="KOM67" s="684"/>
      <c r="KON67" s="684"/>
      <c r="KOO67" s="684"/>
      <c r="KOP67" s="684"/>
      <c r="KOQ67" s="684"/>
      <c r="KOR67" s="684"/>
      <c r="KOS67" s="684"/>
      <c r="KOT67" s="684"/>
      <c r="KOU67" s="684"/>
      <c r="KOV67" s="684"/>
      <c r="KOW67" s="684"/>
      <c r="KOX67" s="684"/>
      <c r="KOY67" s="684"/>
      <c r="KOZ67" s="684"/>
      <c r="KPA67" s="684"/>
      <c r="KPB67" s="684"/>
      <c r="KPC67" s="684"/>
      <c r="KPD67" s="684"/>
      <c r="KPE67" s="684"/>
      <c r="KPF67" s="684"/>
      <c r="KPG67" s="684"/>
      <c r="KPH67" s="684"/>
      <c r="KPI67" s="684"/>
      <c r="KPJ67" s="684"/>
      <c r="KPK67" s="684"/>
      <c r="KPL67" s="684"/>
      <c r="KPM67" s="684"/>
      <c r="KPN67" s="684"/>
      <c r="KPO67" s="684"/>
      <c r="KPP67" s="684"/>
      <c r="KPQ67" s="684"/>
      <c r="KPR67" s="684"/>
      <c r="KPS67" s="684"/>
      <c r="KPT67" s="684"/>
      <c r="KPU67" s="684"/>
      <c r="KPV67" s="684"/>
      <c r="KPW67" s="684"/>
      <c r="KPX67" s="684"/>
      <c r="KPY67" s="684"/>
      <c r="KPZ67" s="684"/>
      <c r="KQA67" s="684"/>
      <c r="KQB67" s="684"/>
      <c r="KQC67" s="684"/>
      <c r="KQD67" s="684"/>
      <c r="KQE67" s="684"/>
      <c r="KQF67" s="684"/>
      <c r="KQG67" s="684"/>
      <c r="KQH67" s="684"/>
      <c r="KQI67" s="684"/>
      <c r="KQJ67" s="684"/>
      <c r="KQK67" s="684"/>
      <c r="KQL67" s="684"/>
      <c r="KQM67" s="684"/>
      <c r="KQN67" s="684"/>
      <c r="KQO67" s="684"/>
      <c r="KQP67" s="684"/>
      <c r="KQQ67" s="684"/>
      <c r="KQR67" s="684"/>
      <c r="KQS67" s="684"/>
      <c r="KQT67" s="684"/>
      <c r="KQU67" s="684"/>
      <c r="KQV67" s="684"/>
      <c r="KQW67" s="684"/>
      <c r="KQX67" s="684"/>
      <c r="KQY67" s="684"/>
      <c r="KQZ67" s="684"/>
      <c r="KRA67" s="684"/>
      <c r="KRB67" s="684"/>
      <c r="KRC67" s="684"/>
      <c r="KRD67" s="684"/>
      <c r="KRE67" s="684"/>
      <c r="KRF67" s="684"/>
      <c r="KRG67" s="684"/>
      <c r="KRH67" s="684"/>
      <c r="KRI67" s="684"/>
      <c r="KRJ67" s="684"/>
      <c r="KRK67" s="684"/>
      <c r="KRL67" s="684"/>
      <c r="KRM67" s="684"/>
      <c r="KRN67" s="684"/>
      <c r="KRO67" s="684"/>
      <c r="KRP67" s="684"/>
      <c r="KRQ67" s="684"/>
      <c r="KRR67" s="684"/>
      <c r="KRS67" s="684"/>
      <c r="KRT67" s="684"/>
      <c r="KRU67" s="684"/>
      <c r="KRV67" s="684"/>
      <c r="KRW67" s="684"/>
      <c r="KRX67" s="684"/>
      <c r="KRY67" s="684"/>
      <c r="KRZ67" s="684"/>
      <c r="KSA67" s="684"/>
      <c r="KSB67" s="684"/>
      <c r="KSC67" s="684"/>
      <c r="KSD67" s="684"/>
      <c r="KSE67" s="684"/>
      <c r="KSF67" s="684"/>
      <c r="KSG67" s="684"/>
      <c r="KSH67" s="684"/>
      <c r="KSI67" s="684"/>
      <c r="KSJ67" s="684"/>
      <c r="KSK67" s="684"/>
      <c r="KSL67" s="684"/>
      <c r="KSM67" s="684"/>
      <c r="KSN67" s="684"/>
      <c r="KSO67" s="684"/>
      <c r="KSP67" s="684"/>
      <c r="KSQ67" s="684"/>
      <c r="KSR67" s="684"/>
      <c r="KSS67" s="684"/>
      <c r="KST67" s="684"/>
      <c r="KSU67" s="684"/>
      <c r="KSV67" s="684"/>
      <c r="KSW67" s="684"/>
      <c r="KSX67" s="684"/>
      <c r="KSY67" s="684"/>
      <c r="KSZ67" s="684"/>
      <c r="KTA67" s="684"/>
      <c r="KTB67" s="684"/>
      <c r="KTC67" s="684"/>
      <c r="KTD67" s="684"/>
      <c r="KTE67" s="684"/>
      <c r="KTF67" s="684"/>
      <c r="KTG67" s="684"/>
      <c r="KTH67" s="684"/>
      <c r="KTI67" s="684"/>
      <c r="KTJ67" s="684"/>
      <c r="KTK67" s="684"/>
      <c r="KTL67" s="684"/>
      <c r="KTM67" s="684"/>
      <c r="KTN67" s="684"/>
      <c r="KTO67" s="684"/>
      <c r="KTP67" s="684"/>
      <c r="KTQ67" s="684"/>
      <c r="KTR67" s="684"/>
      <c r="KTS67" s="684"/>
      <c r="KTT67" s="684"/>
      <c r="KTU67" s="684"/>
      <c r="KTV67" s="684"/>
      <c r="KTW67" s="684"/>
      <c r="KTX67" s="684"/>
      <c r="KTY67" s="684"/>
      <c r="KTZ67" s="684"/>
      <c r="KUA67" s="684"/>
      <c r="KUB67" s="684"/>
      <c r="KUC67" s="684"/>
      <c r="KUD67" s="684"/>
      <c r="KUE67" s="684"/>
      <c r="KUF67" s="684"/>
      <c r="KUG67" s="684"/>
      <c r="KUH67" s="684"/>
      <c r="KUI67" s="684"/>
      <c r="KUJ67" s="684"/>
      <c r="KUK67" s="684"/>
      <c r="KUL67" s="684"/>
      <c r="KUM67" s="684"/>
      <c r="KUN67" s="684"/>
      <c r="KUO67" s="684"/>
      <c r="KUP67" s="684"/>
      <c r="KUQ67" s="684"/>
      <c r="KUR67" s="684"/>
      <c r="KUS67" s="684"/>
      <c r="KUT67" s="684"/>
      <c r="KUU67" s="684"/>
      <c r="KUV67" s="684"/>
      <c r="KUW67" s="684"/>
      <c r="KUX67" s="684"/>
      <c r="KUY67" s="684"/>
      <c r="KUZ67" s="684"/>
      <c r="KVA67" s="684"/>
      <c r="KVB67" s="684"/>
      <c r="KVC67" s="684"/>
      <c r="KVD67" s="684"/>
      <c r="KVE67" s="684"/>
      <c r="KVF67" s="684"/>
      <c r="KVG67" s="684"/>
      <c r="KVH67" s="684"/>
      <c r="KVI67" s="684"/>
      <c r="KVJ67" s="684"/>
      <c r="KVK67" s="684"/>
      <c r="KVL67" s="684"/>
      <c r="KVM67" s="684"/>
      <c r="KVN67" s="684"/>
      <c r="KVO67" s="684"/>
      <c r="KVP67" s="684"/>
      <c r="KVQ67" s="684"/>
      <c r="KVR67" s="684"/>
      <c r="KVS67" s="684"/>
      <c r="KVT67" s="684"/>
      <c r="KVU67" s="684"/>
      <c r="KVV67" s="684"/>
      <c r="KVW67" s="684"/>
      <c r="KVX67" s="684"/>
      <c r="KVY67" s="684"/>
      <c r="KVZ67" s="684"/>
      <c r="KWA67" s="684"/>
      <c r="KWB67" s="684"/>
      <c r="KWC67" s="684"/>
      <c r="KWD67" s="684"/>
      <c r="KWE67" s="684"/>
      <c r="KWF67" s="684"/>
      <c r="KWG67" s="684"/>
      <c r="KWH67" s="684"/>
      <c r="KWI67" s="684"/>
      <c r="KWJ67" s="684"/>
      <c r="KWK67" s="684"/>
      <c r="KWL67" s="684"/>
      <c r="KWM67" s="684"/>
      <c r="KWN67" s="684"/>
      <c r="KWO67" s="684"/>
      <c r="KWP67" s="684"/>
      <c r="KWQ67" s="684"/>
      <c r="KWR67" s="684"/>
      <c r="KWS67" s="684"/>
      <c r="KWT67" s="684"/>
      <c r="KWU67" s="684"/>
      <c r="KWV67" s="684"/>
      <c r="KWW67" s="684"/>
      <c r="KWX67" s="684"/>
      <c r="KWY67" s="684"/>
      <c r="KWZ67" s="684"/>
      <c r="KXA67" s="684"/>
      <c r="KXB67" s="684"/>
      <c r="KXC67" s="684"/>
      <c r="KXD67" s="684"/>
      <c r="KXE67" s="684"/>
      <c r="KXF67" s="684"/>
      <c r="KXG67" s="684"/>
      <c r="KXH67" s="684"/>
      <c r="KXI67" s="684"/>
      <c r="KXJ67" s="684"/>
      <c r="KXK67" s="684"/>
      <c r="KXL67" s="684"/>
      <c r="KXM67" s="684"/>
      <c r="KXN67" s="684"/>
      <c r="KXO67" s="684"/>
      <c r="KXP67" s="684"/>
      <c r="KXQ67" s="684"/>
      <c r="KXR67" s="684"/>
      <c r="KXS67" s="684"/>
      <c r="KXT67" s="684"/>
      <c r="KXU67" s="684"/>
      <c r="KXV67" s="684"/>
      <c r="KXW67" s="684"/>
      <c r="KXX67" s="684"/>
      <c r="KXY67" s="684"/>
      <c r="KXZ67" s="684"/>
      <c r="KYA67" s="684"/>
      <c r="KYB67" s="684"/>
      <c r="KYC67" s="684"/>
      <c r="KYD67" s="684"/>
      <c r="KYE67" s="684"/>
      <c r="KYF67" s="684"/>
      <c r="KYG67" s="684"/>
      <c r="KYH67" s="684"/>
      <c r="KYI67" s="684"/>
      <c r="KYJ67" s="684"/>
      <c r="KYK67" s="684"/>
      <c r="KYL67" s="684"/>
      <c r="KYM67" s="684"/>
      <c r="KYN67" s="684"/>
      <c r="KYO67" s="684"/>
      <c r="KYP67" s="684"/>
      <c r="KYQ67" s="684"/>
      <c r="KYR67" s="684"/>
      <c r="KYS67" s="684"/>
      <c r="KYT67" s="684"/>
      <c r="KYU67" s="684"/>
      <c r="KYV67" s="684"/>
      <c r="KYW67" s="684"/>
      <c r="KYX67" s="684"/>
      <c r="KYY67" s="684"/>
      <c r="KYZ67" s="684"/>
      <c r="KZA67" s="684"/>
      <c r="KZB67" s="684"/>
      <c r="KZC67" s="684"/>
      <c r="KZD67" s="684"/>
      <c r="KZE67" s="684"/>
      <c r="KZF67" s="684"/>
      <c r="KZG67" s="684"/>
      <c r="KZH67" s="684"/>
      <c r="KZI67" s="684"/>
      <c r="KZJ67" s="684"/>
      <c r="KZK67" s="684"/>
      <c r="KZL67" s="684"/>
      <c r="KZM67" s="684"/>
      <c r="KZN67" s="684"/>
      <c r="KZO67" s="684"/>
      <c r="KZP67" s="684"/>
      <c r="KZQ67" s="684"/>
      <c r="KZR67" s="684"/>
      <c r="KZS67" s="684"/>
      <c r="KZT67" s="684"/>
      <c r="KZU67" s="684"/>
      <c r="KZV67" s="684"/>
      <c r="KZW67" s="684"/>
      <c r="KZX67" s="684"/>
      <c r="KZY67" s="684"/>
      <c r="KZZ67" s="684"/>
      <c r="LAA67" s="684"/>
      <c r="LAB67" s="684"/>
      <c r="LAC67" s="684"/>
      <c r="LAD67" s="684"/>
      <c r="LAE67" s="684"/>
      <c r="LAF67" s="684"/>
      <c r="LAG67" s="684"/>
      <c r="LAH67" s="684"/>
      <c r="LAI67" s="684"/>
      <c r="LAJ67" s="684"/>
      <c r="LAK67" s="684"/>
      <c r="LAL67" s="684"/>
      <c r="LAM67" s="684"/>
      <c r="LAN67" s="684"/>
      <c r="LAO67" s="684"/>
      <c r="LAP67" s="684"/>
      <c r="LAQ67" s="684"/>
      <c r="LAR67" s="684"/>
      <c r="LAS67" s="684"/>
      <c r="LAT67" s="684"/>
      <c r="LAU67" s="684"/>
      <c r="LAV67" s="684"/>
      <c r="LAW67" s="684"/>
      <c r="LAX67" s="684"/>
      <c r="LAY67" s="684"/>
      <c r="LAZ67" s="684"/>
      <c r="LBA67" s="684"/>
      <c r="LBB67" s="684"/>
      <c r="LBC67" s="684"/>
      <c r="LBD67" s="684"/>
      <c r="LBE67" s="684"/>
      <c r="LBF67" s="684"/>
      <c r="LBG67" s="684"/>
      <c r="LBH67" s="684"/>
      <c r="LBI67" s="684"/>
      <c r="LBJ67" s="684"/>
      <c r="LBK67" s="684"/>
      <c r="LBL67" s="684"/>
      <c r="LBM67" s="684"/>
      <c r="LBN67" s="684"/>
      <c r="LBO67" s="684"/>
      <c r="LBP67" s="684"/>
      <c r="LBQ67" s="684"/>
      <c r="LBR67" s="684"/>
      <c r="LBS67" s="684"/>
      <c r="LBT67" s="684"/>
      <c r="LBU67" s="684"/>
      <c r="LBV67" s="684"/>
      <c r="LBW67" s="684"/>
      <c r="LBX67" s="684"/>
      <c r="LBY67" s="684"/>
      <c r="LBZ67" s="684"/>
      <c r="LCA67" s="684"/>
      <c r="LCB67" s="684"/>
      <c r="LCC67" s="684"/>
      <c r="LCD67" s="684"/>
      <c r="LCE67" s="684"/>
      <c r="LCF67" s="684"/>
      <c r="LCG67" s="684"/>
      <c r="LCH67" s="684"/>
      <c r="LCI67" s="684"/>
      <c r="LCJ67" s="684"/>
      <c r="LCK67" s="684"/>
      <c r="LCL67" s="684"/>
      <c r="LCM67" s="684"/>
      <c r="LCN67" s="684"/>
      <c r="LCO67" s="684"/>
      <c r="LCP67" s="684"/>
      <c r="LCQ67" s="684"/>
      <c r="LCR67" s="684"/>
      <c r="LCS67" s="684"/>
      <c r="LCT67" s="684"/>
      <c r="LCU67" s="684"/>
      <c r="LCV67" s="684"/>
      <c r="LCW67" s="684"/>
      <c r="LCX67" s="684"/>
      <c r="LCY67" s="684"/>
      <c r="LCZ67" s="684"/>
      <c r="LDA67" s="684"/>
      <c r="LDB67" s="684"/>
      <c r="LDC67" s="684"/>
      <c r="LDD67" s="684"/>
      <c r="LDE67" s="684"/>
      <c r="LDF67" s="684"/>
      <c r="LDG67" s="684"/>
      <c r="LDH67" s="684"/>
      <c r="LDI67" s="684"/>
      <c r="LDJ67" s="684"/>
      <c r="LDK67" s="684"/>
      <c r="LDL67" s="684"/>
      <c r="LDM67" s="684"/>
      <c r="LDN67" s="684"/>
      <c r="LDO67" s="684"/>
      <c r="LDP67" s="684"/>
      <c r="LDQ67" s="684"/>
      <c r="LDR67" s="684"/>
      <c r="LDS67" s="684"/>
      <c r="LDT67" s="684"/>
      <c r="LDU67" s="684"/>
      <c r="LDV67" s="684"/>
      <c r="LDW67" s="684"/>
      <c r="LDX67" s="684"/>
      <c r="LDY67" s="684"/>
      <c r="LDZ67" s="684"/>
      <c r="LEA67" s="684"/>
      <c r="LEB67" s="684"/>
      <c r="LEC67" s="684"/>
      <c r="LED67" s="684"/>
      <c r="LEE67" s="684"/>
      <c r="LEF67" s="684"/>
      <c r="LEG67" s="684"/>
      <c r="LEH67" s="684"/>
      <c r="LEI67" s="684"/>
      <c r="LEJ67" s="684"/>
      <c r="LEK67" s="684"/>
      <c r="LEL67" s="684"/>
      <c r="LEM67" s="684"/>
      <c r="LEN67" s="684"/>
      <c r="LEO67" s="684"/>
      <c r="LEP67" s="684"/>
      <c r="LEQ67" s="684"/>
      <c r="LER67" s="684"/>
      <c r="LES67" s="684"/>
      <c r="LET67" s="684"/>
      <c r="LEU67" s="684"/>
      <c r="LEV67" s="684"/>
      <c r="LEW67" s="684"/>
      <c r="LEX67" s="684"/>
      <c r="LEY67" s="684"/>
      <c r="LEZ67" s="684"/>
      <c r="LFA67" s="684"/>
      <c r="LFB67" s="684"/>
      <c r="LFC67" s="684"/>
      <c r="LFD67" s="684"/>
      <c r="LFE67" s="684"/>
      <c r="LFF67" s="684"/>
      <c r="LFG67" s="684"/>
      <c r="LFH67" s="684"/>
      <c r="LFI67" s="684"/>
      <c r="LFJ67" s="684"/>
      <c r="LFK67" s="684"/>
      <c r="LFL67" s="684"/>
      <c r="LFM67" s="684"/>
      <c r="LFN67" s="684"/>
      <c r="LFO67" s="684"/>
      <c r="LFP67" s="684"/>
      <c r="LFQ67" s="684"/>
      <c r="LFR67" s="684"/>
      <c r="LFS67" s="684"/>
      <c r="LFT67" s="684"/>
      <c r="LFU67" s="684"/>
      <c r="LFV67" s="684"/>
      <c r="LFW67" s="684"/>
      <c r="LFX67" s="684"/>
      <c r="LFY67" s="684"/>
      <c r="LFZ67" s="684"/>
      <c r="LGA67" s="684"/>
      <c r="LGB67" s="684"/>
      <c r="LGC67" s="684"/>
      <c r="LGD67" s="684"/>
      <c r="LGE67" s="684"/>
      <c r="LGF67" s="684"/>
      <c r="LGG67" s="684"/>
      <c r="LGH67" s="684"/>
      <c r="LGI67" s="684"/>
      <c r="LGJ67" s="684"/>
      <c r="LGK67" s="684"/>
      <c r="LGL67" s="684"/>
      <c r="LGM67" s="684"/>
      <c r="LGN67" s="684"/>
      <c r="LGO67" s="684"/>
      <c r="LGP67" s="684"/>
      <c r="LGQ67" s="684"/>
      <c r="LGR67" s="684"/>
      <c r="LGS67" s="684"/>
      <c r="LGT67" s="684"/>
      <c r="LGU67" s="684"/>
      <c r="LGV67" s="684"/>
      <c r="LGW67" s="684"/>
      <c r="LGX67" s="684"/>
      <c r="LGY67" s="684"/>
      <c r="LGZ67" s="684"/>
      <c r="LHA67" s="684"/>
      <c r="LHB67" s="684"/>
      <c r="LHC67" s="684"/>
      <c r="LHD67" s="684"/>
      <c r="LHE67" s="684"/>
      <c r="LHF67" s="684"/>
      <c r="LHG67" s="684"/>
      <c r="LHH67" s="684"/>
      <c r="LHI67" s="684"/>
      <c r="LHJ67" s="684"/>
      <c r="LHK67" s="684"/>
      <c r="LHL67" s="684"/>
      <c r="LHM67" s="684"/>
      <c r="LHN67" s="684"/>
      <c r="LHO67" s="684"/>
      <c r="LHP67" s="684"/>
      <c r="LHQ67" s="684"/>
      <c r="LHR67" s="684"/>
      <c r="LHS67" s="684"/>
      <c r="LHT67" s="684"/>
      <c r="LHU67" s="684"/>
      <c r="LHV67" s="684"/>
      <c r="LHW67" s="684"/>
      <c r="LHX67" s="684"/>
      <c r="LHY67" s="684"/>
      <c r="LHZ67" s="684"/>
      <c r="LIA67" s="684"/>
      <c r="LIB67" s="684"/>
      <c r="LIC67" s="684"/>
      <c r="LID67" s="684"/>
      <c r="LIE67" s="684"/>
      <c r="LIF67" s="684"/>
      <c r="LIG67" s="684"/>
      <c r="LIH67" s="684"/>
      <c r="LII67" s="684"/>
      <c r="LIJ67" s="684"/>
      <c r="LIK67" s="684"/>
      <c r="LIL67" s="684"/>
      <c r="LIM67" s="684"/>
      <c r="LIN67" s="684"/>
      <c r="LIO67" s="684"/>
      <c r="LIP67" s="684"/>
      <c r="LIQ67" s="684"/>
      <c r="LIR67" s="684"/>
      <c r="LIS67" s="684"/>
      <c r="LIT67" s="684"/>
      <c r="LIU67" s="684"/>
      <c r="LIV67" s="684"/>
      <c r="LIW67" s="684"/>
      <c r="LIX67" s="684"/>
      <c r="LIY67" s="684"/>
      <c r="LIZ67" s="684"/>
      <c r="LJA67" s="684"/>
      <c r="LJB67" s="684"/>
      <c r="LJC67" s="684"/>
      <c r="LJD67" s="684"/>
      <c r="LJE67" s="684"/>
      <c r="LJF67" s="684"/>
      <c r="LJG67" s="684"/>
      <c r="LJH67" s="684"/>
      <c r="LJI67" s="684"/>
      <c r="LJJ67" s="684"/>
      <c r="LJK67" s="684"/>
      <c r="LJL67" s="684"/>
      <c r="LJM67" s="684"/>
      <c r="LJN67" s="684"/>
      <c r="LJO67" s="684"/>
      <c r="LJP67" s="684"/>
      <c r="LJQ67" s="684"/>
      <c r="LJR67" s="684"/>
      <c r="LJS67" s="684"/>
      <c r="LJT67" s="684"/>
      <c r="LJU67" s="684"/>
      <c r="LJV67" s="684"/>
      <c r="LJW67" s="684"/>
      <c r="LJX67" s="684"/>
      <c r="LJY67" s="684"/>
      <c r="LJZ67" s="684"/>
      <c r="LKA67" s="684"/>
      <c r="LKB67" s="684"/>
      <c r="LKC67" s="684"/>
      <c r="LKD67" s="684"/>
      <c r="LKE67" s="684"/>
      <c r="LKF67" s="684"/>
      <c r="LKG67" s="684"/>
      <c r="LKH67" s="684"/>
      <c r="LKI67" s="684"/>
      <c r="LKJ67" s="684"/>
      <c r="LKK67" s="684"/>
      <c r="LKL67" s="684"/>
      <c r="LKM67" s="684"/>
      <c r="LKN67" s="684"/>
      <c r="LKO67" s="684"/>
      <c r="LKP67" s="684"/>
      <c r="LKQ67" s="684"/>
      <c r="LKR67" s="684"/>
      <c r="LKS67" s="684"/>
      <c r="LKT67" s="684"/>
      <c r="LKU67" s="684"/>
      <c r="LKV67" s="684"/>
      <c r="LKW67" s="684"/>
      <c r="LKX67" s="684"/>
      <c r="LKY67" s="684"/>
      <c r="LKZ67" s="684"/>
      <c r="LLA67" s="684"/>
      <c r="LLB67" s="684"/>
      <c r="LLC67" s="684"/>
      <c r="LLD67" s="684"/>
      <c r="LLE67" s="684"/>
      <c r="LLF67" s="684"/>
      <c r="LLG67" s="684"/>
      <c r="LLH67" s="684"/>
      <c r="LLI67" s="684"/>
      <c r="LLJ67" s="684"/>
      <c r="LLK67" s="684"/>
      <c r="LLL67" s="684"/>
      <c r="LLM67" s="684"/>
      <c r="LLN67" s="684"/>
      <c r="LLO67" s="684"/>
      <c r="LLP67" s="684"/>
      <c r="LLQ67" s="684"/>
      <c r="LLR67" s="684"/>
      <c r="LLS67" s="684"/>
      <c r="LLT67" s="684"/>
      <c r="LLU67" s="684"/>
      <c r="LLV67" s="684"/>
      <c r="LLW67" s="684"/>
      <c r="LLX67" s="684"/>
      <c r="LLY67" s="684"/>
      <c r="LLZ67" s="684"/>
      <c r="LMA67" s="684"/>
      <c r="LMB67" s="684"/>
      <c r="LMC67" s="684"/>
      <c r="LMD67" s="684"/>
      <c r="LME67" s="684"/>
      <c r="LMF67" s="684"/>
      <c r="LMG67" s="684"/>
      <c r="LMH67" s="684"/>
      <c r="LMI67" s="684"/>
      <c r="LMJ67" s="684"/>
      <c r="LMK67" s="684"/>
      <c r="LML67" s="684"/>
      <c r="LMM67" s="684"/>
      <c r="LMN67" s="684"/>
      <c r="LMO67" s="684"/>
      <c r="LMP67" s="684"/>
      <c r="LMQ67" s="684"/>
      <c r="LMR67" s="684"/>
      <c r="LMS67" s="684"/>
      <c r="LMT67" s="684"/>
      <c r="LMU67" s="684"/>
      <c r="LMV67" s="684"/>
      <c r="LMW67" s="684"/>
      <c r="LMX67" s="684"/>
      <c r="LMY67" s="684"/>
      <c r="LMZ67" s="684"/>
      <c r="LNA67" s="684"/>
      <c r="LNB67" s="684"/>
      <c r="LNC67" s="684"/>
      <c r="LND67" s="684"/>
      <c r="LNE67" s="684"/>
      <c r="LNF67" s="684"/>
      <c r="LNG67" s="684"/>
      <c r="LNH67" s="684"/>
      <c r="LNI67" s="684"/>
      <c r="LNJ67" s="684"/>
      <c r="LNK67" s="684"/>
      <c r="LNL67" s="684"/>
      <c r="LNM67" s="684"/>
      <c r="LNN67" s="684"/>
      <c r="LNO67" s="684"/>
      <c r="LNP67" s="684"/>
      <c r="LNQ67" s="684"/>
      <c r="LNR67" s="684"/>
      <c r="LNS67" s="684"/>
      <c r="LNT67" s="684"/>
      <c r="LNU67" s="684"/>
      <c r="LNV67" s="684"/>
      <c r="LNW67" s="684"/>
      <c r="LNX67" s="684"/>
      <c r="LNY67" s="684"/>
      <c r="LNZ67" s="684"/>
      <c r="LOA67" s="684"/>
      <c r="LOB67" s="684"/>
      <c r="LOC67" s="684"/>
      <c r="LOD67" s="684"/>
      <c r="LOE67" s="684"/>
      <c r="LOF67" s="684"/>
      <c r="LOG67" s="684"/>
      <c r="LOH67" s="684"/>
      <c r="LOI67" s="684"/>
      <c r="LOJ67" s="684"/>
      <c r="LOK67" s="684"/>
      <c r="LOL67" s="684"/>
      <c r="LOM67" s="684"/>
      <c r="LON67" s="684"/>
      <c r="LOO67" s="684"/>
      <c r="LOP67" s="684"/>
      <c r="LOQ67" s="684"/>
      <c r="LOR67" s="684"/>
      <c r="LOS67" s="684"/>
      <c r="LOT67" s="684"/>
      <c r="LOU67" s="684"/>
      <c r="LOV67" s="684"/>
      <c r="LOW67" s="684"/>
      <c r="LOX67" s="684"/>
      <c r="LOY67" s="684"/>
      <c r="LOZ67" s="684"/>
      <c r="LPA67" s="684"/>
      <c r="LPB67" s="684"/>
      <c r="LPC67" s="684"/>
      <c r="LPD67" s="684"/>
      <c r="LPE67" s="684"/>
      <c r="LPF67" s="684"/>
      <c r="LPG67" s="684"/>
      <c r="LPH67" s="684"/>
      <c r="LPI67" s="684"/>
      <c r="LPJ67" s="684"/>
      <c r="LPK67" s="684"/>
      <c r="LPL67" s="684"/>
      <c r="LPM67" s="684"/>
      <c r="LPN67" s="684"/>
      <c r="LPO67" s="684"/>
      <c r="LPP67" s="684"/>
      <c r="LPQ67" s="684"/>
      <c r="LPR67" s="684"/>
      <c r="LPS67" s="684"/>
      <c r="LPT67" s="684"/>
      <c r="LPU67" s="684"/>
      <c r="LPV67" s="684"/>
      <c r="LPW67" s="684"/>
      <c r="LPX67" s="684"/>
      <c r="LPY67" s="684"/>
      <c r="LPZ67" s="684"/>
      <c r="LQA67" s="684"/>
      <c r="LQB67" s="684"/>
      <c r="LQC67" s="684"/>
      <c r="LQD67" s="684"/>
      <c r="LQE67" s="684"/>
      <c r="LQF67" s="684"/>
      <c r="LQG67" s="684"/>
      <c r="LQH67" s="684"/>
      <c r="LQI67" s="684"/>
      <c r="LQJ67" s="684"/>
      <c r="LQK67" s="684"/>
      <c r="LQL67" s="684"/>
      <c r="LQM67" s="684"/>
      <c r="LQN67" s="684"/>
      <c r="LQO67" s="684"/>
      <c r="LQP67" s="684"/>
      <c r="LQQ67" s="684"/>
      <c r="LQR67" s="684"/>
      <c r="LQS67" s="684"/>
      <c r="LQT67" s="684"/>
      <c r="LQU67" s="684"/>
      <c r="LQV67" s="684"/>
      <c r="LQW67" s="684"/>
      <c r="LQX67" s="684"/>
      <c r="LQY67" s="684"/>
      <c r="LQZ67" s="684"/>
      <c r="LRA67" s="684"/>
      <c r="LRB67" s="684"/>
      <c r="LRC67" s="684"/>
      <c r="LRD67" s="684"/>
      <c r="LRE67" s="684"/>
      <c r="LRF67" s="684"/>
      <c r="LRG67" s="684"/>
      <c r="LRH67" s="684"/>
      <c r="LRI67" s="684"/>
      <c r="LRJ67" s="684"/>
      <c r="LRK67" s="684"/>
      <c r="LRL67" s="684"/>
      <c r="LRM67" s="684"/>
      <c r="LRN67" s="684"/>
      <c r="LRO67" s="684"/>
      <c r="LRP67" s="684"/>
      <c r="LRQ67" s="684"/>
      <c r="LRR67" s="684"/>
      <c r="LRS67" s="684"/>
      <c r="LRT67" s="684"/>
      <c r="LRU67" s="684"/>
      <c r="LRV67" s="684"/>
      <c r="LRW67" s="684"/>
      <c r="LRX67" s="684"/>
      <c r="LRY67" s="684"/>
      <c r="LRZ67" s="684"/>
      <c r="LSA67" s="684"/>
      <c r="LSB67" s="684"/>
      <c r="LSC67" s="684"/>
      <c r="LSD67" s="684"/>
      <c r="LSE67" s="684"/>
      <c r="LSF67" s="684"/>
      <c r="LSG67" s="684"/>
      <c r="LSH67" s="684"/>
      <c r="LSI67" s="684"/>
      <c r="LSJ67" s="684"/>
      <c r="LSK67" s="684"/>
      <c r="LSL67" s="684"/>
      <c r="LSM67" s="684"/>
      <c r="LSN67" s="684"/>
      <c r="LSO67" s="684"/>
      <c r="LSP67" s="684"/>
      <c r="LSQ67" s="684"/>
      <c r="LSR67" s="684"/>
      <c r="LSS67" s="684"/>
      <c r="LST67" s="684"/>
      <c r="LSU67" s="684"/>
      <c r="LSV67" s="684"/>
      <c r="LSW67" s="684"/>
      <c r="LSX67" s="684"/>
      <c r="LSY67" s="684"/>
      <c r="LSZ67" s="684"/>
      <c r="LTA67" s="684"/>
      <c r="LTB67" s="684"/>
      <c r="LTC67" s="684"/>
      <c r="LTD67" s="684"/>
      <c r="LTE67" s="684"/>
      <c r="LTF67" s="684"/>
      <c r="LTG67" s="684"/>
      <c r="LTH67" s="684"/>
      <c r="LTI67" s="684"/>
      <c r="LTJ67" s="684"/>
      <c r="LTK67" s="684"/>
      <c r="LTL67" s="684"/>
      <c r="LTM67" s="684"/>
      <c r="LTN67" s="684"/>
      <c r="LTO67" s="684"/>
      <c r="LTP67" s="684"/>
      <c r="LTQ67" s="684"/>
      <c r="LTR67" s="684"/>
      <c r="LTS67" s="684"/>
      <c r="LTT67" s="684"/>
      <c r="LTU67" s="684"/>
      <c r="LTV67" s="684"/>
      <c r="LTW67" s="684"/>
      <c r="LTX67" s="684"/>
      <c r="LTY67" s="684"/>
      <c r="LTZ67" s="684"/>
      <c r="LUA67" s="684"/>
      <c r="LUB67" s="684"/>
      <c r="LUC67" s="684"/>
      <c r="LUD67" s="684"/>
      <c r="LUE67" s="684"/>
      <c r="LUF67" s="684"/>
      <c r="LUG67" s="684"/>
      <c r="LUH67" s="684"/>
      <c r="LUI67" s="684"/>
      <c r="LUJ67" s="684"/>
      <c r="LUK67" s="684"/>
      <c r="LUL67" s="684"/>
      <c r="LUM67" s="684"/>
      <c r="LUN67" s="684"/>
      <c r="LUO67" s="684"/>
      <c r="LUP67" s="684"/>
      <c r="LUQ67" s="684"/>
      <c r="LUR67" s="684"/>
      <c r="LUS67" s="684"/>
      <c r="LUT67" s="684"/>
      <c r="LUU67" s="684"/>
      <c r="LUV67" s="684"/>
      <c r="LUW67" s="684"/>
      <c r="LUX67" s="684"/>
      <c r="LUY67" s="684"/>
      <c r="LUZ67" s="684"/>
      <c r="LVA67" s="684"/>
      <c r="LVB67" s="684"/>
      <c r="LVC67" s="684"/>
      <c r="LVD67" s="684"/>
      <c r="LVE67" s="684"/>
      <c r="LVF67" s="684"/>
      <c r="LVG67" s="684"/>
      <c r="LVH67" s="684"/>
      <c r="LVI67" s="684"/>
      <c r="LVJ67" s="684"/>
      <c r="LVK67" s="684"/>
      <c r="LVL67" s="684"/>
      <c r="LVM67" s="684"/>
      <c r="LVN67" s="684"/>
      <c r="LVO67" s="684"/>
      <c r="LVP67" s="684"/>
      <c r="LVQ67" s="684"/>
      <c r="LVR67" s="684"/>
      <c r="LVS67" s="684"/>
      <c r="LVT67" s="684"/>
      <c r="LVU67" s="684"/>
      <c r="LVV67" s="684"/>
      <c r="LVW67" s="684"/>
      <c r="LVX67" s="684"/>
      <c r="LVY67" s="684"/>
      <c r="LVZ67" s="684"/>
      <c r="LWA67" s="684"/>
      <c r="LWB67" s="684"/>
      <c r="LWC67" s="684"/>
      <c r="LWD67" s="684"/>
      <c r="LWE67" s="684"/>
      <c r="LWF67" s="684"/>
      <c r="LWG67" s="684"/>
      <c r="LWH67" s="684"/>
      <c r="LWI67" s="684"/>
      <c r="LWJ67" s="684"/>
      <c r="LWK67" s="684"/>
      <c r="LWL67" s="684"/>
      <c r="LWM67" s="684"/>
      <c r="LWN67" s="684"/>
      <c r="LWO67" s="684"/>
      <c r="LWP67" s="684"/>
      <c r="LWQ67" s="684"/>
      <c r="LWR67" s="684"/>
      <c r="LWS67" s="684"/>
      <c r="LWT67" s="684"/>
      <c r="LWU67" s="684"/>
      <c r="LWV67" s="684"/>
      <c r="LWW67" s="684"/>
      <c r="LWX67" s="684"/>
      <c r="LWY67" s="684"/>
      <c r="LWZ67" s="684"/>
      <c r="LXA67" s="684"/>
      <c r="LXB67" s="684"/>
      <c r="LXC67" s="684"/>
      <c r="LXD67" s="684"/>
      <c r="LXE67" s="684"/>
      <c r="LXF67" s="684"/>
      <c r="LXG67" s="684"/>
      <c r="LXH67" s="684"/>
      <c r="LXI67" s="684"/>
      <c r="LXJ67" s="684"/>
      <c r="LXK67" s="684"/>
      <c r="LXL67" s="684"/>
      <c r="LXM67" s="684"/>
      <c r="LXN67" s="684"/>
      <c r="LXO67" s="684"/>
      <c r="LXP67" s="684"/>
      <c r="LXQ67" s="684"/>
      <c r="LXR67" s="684"/>
      <c r="LXS67" s="684"/>
      <c r="LXT67" s="684"/>
      <c r="LXU67" s="684"/>
      <c r="LXV67" s="684"/>
      <c r="LXW67" s="684"/>
      <c r="LXX67" s="684"/>
      <c r="LXY67" s="684"/>
      <c r="LXZ67" s="684"/>
      <c r="LYA67" s="684"/>
      <c r="LYB67" s="684"/>
      <c r="LYC67" s="684"/>
      <c r="LYD67" s="684"/>
      <c r="LYE67" s="684"/>
      <c r="LYF67" s="684"/>
      <c r="LYG67" s="684"/>
      <c r="LYH67" s="684"/>
      <c r="LYI67" s="684"/>
      <c r="LYJ67" s="684"/>
      <c r="LYK67" s="684"/>
      <c r="LYL67" s="684"/>
      <c r="LYM67" s="684"/>
      <c r="LYN67" s="684"/>
      <c r="LYO67" s="684"/>
      <c r="LYP67" s="684"/>
      <c r="LYQ67" s="684"/>
      <c r="LYR67" s="684"/>
      <c r="LYS67" s="684"/>
      <c r="LYT67" s="684"/>
      <c r="LYU67" s="684"/>
      <c r="LYV67" s="684"/>
      <c r="LYW67" s="684"/>
      <c r="LYX67" s="684"/>
      <c r="LYY67" s="684"/>
      <c r="LYZ67" s="684"/>
      <c r="LZA67" s="684"/>
      <c r="LZB67" s="684"/>
      <c r="LZC67" s="684"/>
      <c r="LZD67" s="684"/>
      <c r="LZE67" s="684"/>
      <c r="LZF67" s="684"/>
      <c r="LZG67" s="684"/>
      <c r="LZH67" s="684"/>
      <c r="LZI67" s="684"/>
      <c r="LZJ67" s="684"/>
      <c r="LZK67" s="684"/>
      <c r="LZL67" s="684"/>
      <c r="LZM67" s="684"/>
      <c r="LZN67" s="684"/>
      <c r="LZO67" s="684"/>
      <c r="LZP67" s="684"/>
      <c r="LZQ67" s="684"/>
      <c r="LZR67" s="684"/>
      <c r="LZS67" s="684"/>
      <c r="LZT67" s="684"/>
      <c r="LZU67" s="684"/>
      <c r="LZV67" s="684"/>
      <c r="LZW67" s="684"/>
      <c r="LZX67" s="684"/>
      <c r="LZY67" s="684"/>
      <c r="LZZ67" s="684"/>
      <c r="MAA67" s="684"/>
      <c r="MAB67" s="684"/>
      <c r="MAC67" s="684"/>
      <c r="MAD67" s="684"/>
      <c r="MAE67" s="684"/>
      <c r="MAF67" s="684"/>
      <c r="MAG67" s="684"/>
      <c r="MAH67" s="684"/>
      <c r="MAI67" s="684"/>
      <c r="MAJ67" s="684"/>
      <c r="MAK67" s="684"/>
      <c r="MAL67" s="684"/>
      <c r="MAM67" s="684"/>
      <c r="MAN67" s="684"/>
      <c r="MAO67" s="684"/>
      <c r="MAP67" s="684"/>
      <c r="MAQ67" s="684"/>
      <c r="MAR67" s="684"/>
      <c r="MAS67" s="684"/>
      <c r="MAT67" s="684"/>
      <c r="MAU67" s="684"/>
      <c r="MAV67" s="684"/>
      <c r="MAW67" s="684"/>
      <c r="MAX67" s="684"/>
      <c r="MAY67" s="684"/>
      <c r="MAZ67" s="684"/>
      <c r="MBA67" s="684"/>
      <c r="MBB67" s="684"/>
      <c r="MBC67" s="684"/>
      <c r="MBD67" s="684"/>
      <c r="MBE67" s="684"/>
      <c r="MBF67" s="684"/>
      <c r="MBG67" s="684"/>
      <c r="MBH67" s="684"/>
      <c r="MBI67" s="684"/>
      <c r="MBJ67" s="684"/>
      <c r="MBK67" s="684"/>
      <c r="MBL67" s="684"/>
      <c r="MBM67" s="684"/>
      <c r="MBN67" s="684"/>
      <c r="MBO67" s="684"/>
      <c r="MBP67" s="684"/>
      <c r="MBQ67" s="684"/>
      <c r="MBR67" s="684"/>
      <c r="MBS67" s="684"/>
      <c r="MBT67" s="684"/>
      <c r="MBU67" s="684"/>
      <c r="MBV67" s="684"/>
      <c r="MBW67" s="684"/>
      <c r="MBX67" s="684"/>
      <c r="MBY67" s="684"/>
      <c r="MBZ67" s="684"/>
      <c r="MCA67" s="684"/>
      <c r="MCB67" s="684"/>
      <c r="MCC67" s="684"/>
      <c r="MCD67" s="684"/>
      <c r="MCE67" s="684"/>
      <c r="MCF67" s="684"/>
      <c r="MCG67" s="684"/>
      <c r="MCH67" s="684"/>
      <c r="MCI67" s="684"/>
      <c r="MCJ67" s="684"/>
      <c r="MCK67" s="684"/>
      <c r="MCL67" s="684"/>
      <c r="MCM67" s="684"/>
      <c r="MCN67" s="684"/>
      <c r="MCO67" s="684"/>
      <c r="MCP67" s="684"/>
      <c r="MCQ67" s="684"/>
      <c r="MCR67" s="684"/>
      <c r="MCS67" s="684"/>
      <c r="MCT67" s="684"/>
      <c r="MCU67" s="684"/>
      <c r="MCV67" s="684"/>
      <c r="MCW67" s="684"/>
      <c r="MCX67" s="684"/>
      <c r="MCY67" s="684"/>
      <c r="MCZ67" s="684"/>
      <c r="MDA67" s="684"/>
      <c r="MDB67" s="684"/>
      <c r="MDC67" s="684"/>
      <c r="MDD67" s="684"/>
      <c r="MDE67" s="684"/>
      <c r="MDF67" s="684"/>
      <c r="MDG67" s="684"/>
      <c r="MDH67" s="684"/>
      <c r="MDI67" s="684"/>
      <c r="MDJ67" s="684"/>
      <c r="MDK67" s="684"/>
      <c r="MDL67" s="684"/>
      <c r="MDM67" s="684"/>
      <c r="MDN67" s="684"/>
      <c r="MDO67" s="684"/>
      <c r="MDP67" s="684"/>
      <c r="MDQ67" s="684"/>
      <c r="MDR67" s="684"/>
      <c r="MDS67" s="684"/>
      <c r="MDT67" s="684"/>
      <c r="MDU67" s="684"/>
      <c r="MDV67" s="684"/>
      <c r="MDW67" s="684"/>
      <c r="MDX67" s="684"/>
      <c r="MDY67" s="684"/>
      <c r="MDZ67" s="684"/>
      <c r="MEA67" s="684"/>
      <c r="MEB67" s="684"/>
      <c r="MEC67" s="684"/>
      <c r="MED67" s="684"/>
      <c r="MEE67" s="684"/>
      <c r="MEF67" s="684"/>
      <c r="MEG67" s="684"/>
      <c r="MEH67" s="684"/>
      <c r="MEI67" s="684"/>
      <c r="MEJ67" s="684"/>
      <c r="MEK67" s="684"/>
      <c r="MEL67" s="684"/>
      <c r="MEM67" s="684"/>
      <c r="MEN67" s="684"/>
      <c r="MEO67" s="684"/>
      <c r="MEP67" s="684"/>
      <c r="MEQ67" s="684"/>
      <c r="MER67" s="684"/>
      <c r="MES67" s="684"/>
      <c r="MET67" s="684"/>
      <c r="MEU67" s="684"/>
      <c r="MEV67" s="684"/>
      <c r="MEW67" s="684"/>
      <c r="MEX67" s="684"/>
      <c r="MEY67" s="684"/>
      <c r="MEZ67" s="684"/>
      <c r="MFA67" s="684"/>
      <c r="MFB67" s="684"/>
      <c r="MFC67" s="684"/>
      <c r="MFD67" s="684"/>
      <c r="MFE67" s="684"/>
      <c r="MFF67" s="684"/>
      <c r="MFG67" s="684"/>
      <c r="MFH67" s="684"/>
      <c r="MFI67" s="684"/>
      <c r="MFJ67" s="684"/>
      <c r="MFK67" s="684"/>
      <c r="MFL67" s="684"/>
      <c r="MFM67" s="684"/>
      <c r="MFN67" s="684"/>
      <c r="MFO67" s="684"/>
      <c r="MFP67" s="684"/>
      <c r="MFQ67" s="684"/>
      <c r="MFR67" s="684"/>
      <c r="MFS67" s="684"/>
      <c r="MFT67" s="684"/>
      <c r="MFU67" s="684"/>
      <c r="MFV67" s="684"/>
      <c r="MFW67" s="684"/>
      <c r="MFX67" s="684"/>
      <c r="MFY67" s="684"/>
      <c r="MFZ67" s="684"/>
      <c r="MGA67" s="684"/>
      <c r="MGB67" s="684"/>
      <c r="MGC67" s="684"/>
      <c r="MGD67" s="684"/>
      <c r="MGE67" s="684"/>
      <c r="MGF67" s="684"/>
      <c r="MGG67" s="684"/>
      <c r="MGH67" s="684"/>
      <c r="MGI67" s="684"/>
      <c r="MGJ67" s="684"/>
      <c r="MGK67" s="684"/>
      <c r="MGL67" s="684"/>
      <c r="MGM67" s="684"/>
      <c r="MGN67" s="684"/>
      <c r="MGO67" s="684"/>
      <c r="MGP67" s="684"/>
      <c r="MGQ67" s="684"/>
      <c r="MGR67" s="684"/>
      <c r="MGS67" s="684"/>
      <c r="MGT67" s="684"/>
      <c r="MGU67" s="684"/>
      <c r="MGV67" s="684"/>
      <c r="MGW67" s="684"/>
      <c r="MGX67" s="684"/>
      <c r="MGY67" s="684"/>
      <c r="MGZ67" s="684"/>
      <c r="MHA67" s="684"/>
      <c r="MHB67" s="684"/>
      <c r="MHC67" s="684"/>
      <c r="MHD67" s="684"/>
      <c r="MHE67" s="684"/>
      <c r="MHF67" s="684"/>
      <c r="MHG67" s="684"/>
      <c r="MHH67" s="684"/>
      <c r="MHI67" s="684"/>
      <c r="MHJ67" s="684"/>
      <c r="MHK67" s="684"/>
      <c r="MHL67" s="684"/>
      <c r="MHM67" s="684"/>
      <c r="MHN67" s="684"/>
      <c r="MHO67" s="684"/>
      <c r="MHP67" s="684"/>
      <c r="MHQ67" s="684"/>
      <c r="MHR67" s="684"/>
      <c r="MHS67" s="684"/>
      <c r="MHT67" s="684"/>
      <c r="MHU67" s="684"/>
      <c r="MHV67" s="684"/>
      <c r="MHW67" s="684"/>
      <c r="MHX67" s="684"/>
      <c r="MHY67" s="684"/>
      <c r="MHZ67" s="684"/>
      <c r="MIA67" s="684"/>
      <c r="MIB67" s="684"/>
      <c r="MIC67" s="684"/>
      <c r="MID67" s="684"/>
      <c r="MIE67" s="684"/>
      <c r="MIF67" s="684"/>
      <c r="MIG67" s="684"/>
      <c r="MIH67" s="684"/>
      <c r="MII67" s="684"/>
      <c r="MIJ67" s="684"/>
      <c r="MIK67" s="684"/>
      <c r="MIL67" s="684"/>
      <c r="MIM67" s="684"/>
      <c r="MIN67" s="684"/>
      <c r="MIO67" s="684"/>
      <c r="MIP67" s="684"/>
      <c r="MIQ67" s="684"/>
      <c r="MIR67" s="684"/>
      <c r="MIS67" s="684"/>
      <c r="MIT67" s="684"/>
      <c r="MIU67" s="684"/>
      <c r="MIV67" s="684"/>
      <c r="MIW67" s="684"/>
      <c r="MIX67" s="684"/>
      <c r="MIY67" s="684"/>
      <c r="MIZ67" s="684"/>
      <c r="MJA67" s="684"/>
      <c r="MJB67" s="684"/>
      <c r="MJC67" s="684"/>
      <c r="MJD67" s="684"/>
      <c r="MJE67" s="684"/>
      <c r="MJF67" s="684"/>
      <c r="MJG67" s="684"/>
      <c r="MJH67" s="684"/>
      <c r="MJI67" s="684"/>
      <c r="MJJ67" s="684"/>
      <c r="MJK67" s="684"/>
      <c r="MJL67" s="684"/>
      <c r="MJM67" s="684"/>
      <c r="MJN67" s="684"/>
      <c r="MJO67" s="684"/>
      <c r="MJP67" s="684"/>
      <c r="MJQ67" s="684"/>
      <c r="MJR67" s="684"/>
      <c r="MJS67" s="684"/>
      <c r="MJT67" s="684"/>
      <c r="MJU67" s="684"/>
      <c r="MJV67" s="684"/>
      <c r="MJW67" s="684"/>
      <c r="MJX67" s="684"/>
      <c r="MJY67" s="684"/>
      <c r="MJZ67" s="684"/>
      <c r="MKA67" s="684"/>
      <c r="MKB67" s="684"/>
      <c r="MKC67" s="684"/>
      <c r="MKD67" s="684"/>
      <c r="MKE67" s="684"/>
      <c r="MKF67" s="684"/>
      <c r="MKG67" s="684"/>
      <c r="MKH67" s="684"/>
      <c r="MKI67" s="684"/>
      <c r="MKJ67" s="684"/>
      <c r="MKK67" s="684"/>
      <c r="MKL67" s="684"/>
      <c r="MKM67" s="684"/>
      <c r="MKN67" s="684"/>
      <c r="MKO67" s="684"/>
      <c r="MKP67" s="684"/>
      <c r="MKQ67" s="684"/>
      <c r="MKR67" s="684"/>
      <c r="MKS67" s="684"/>
      <c r="MKT67" s="684"/>
      <c r="MKU67" s="684"/>
      <c r="MKV67" s="684"/>
      <c r="MKW67" s="684"/>
      <c r="MKX67" s="684"/>
      <c r="MKY67" s="684"/>
      <c r="MKZ67" s="684"/>
      <c r="MLA67" s="684"/>
      <c r="MLB67" s="684"/>
      <c r="MLC67" s="684"/>
      <c r="MLD67" s="684"/>
      <c r="MLE67" s="684"/>
      <c r="MLF67" s="684"/>
      <c r="MLG67" s="684"/>
      <c r="MLH67" s="684"/>
      <c r="MLI67" s="684"/>
      <c r="MLJ67" s="684"/>
      <c r="MLK67" s="684"/>
      <c r="MLL67" s="684"/>
      <c r="MLM67" s="684"/>
      <c r="MLN67" s="684"/>
      <c r="MLO67" s="684"/>
      <c r="MLP67" s="684"/>
      <c r="MLQ67" s="684"/>
      <c r="MLR67" s="684"/>
      <c r="MLS67" s="684"/>
      <c r="MLT67" s="684"/>
      <c r="MLU67" s="684"/>
      <c r="MLV67" s="684"/>
      <c r="MLW67" s="684"/>
      <c r="MLX67" s="684"/>
      <c r="MLY67" s="684"/>
      <c r="MLZ67" s="684"/>
      <c r="MMA67" s="684"/>
      <c r="MMB67" s="684"/>
      <c r="MMC67" s="684"/>
      <c r="MMD67" s="684"/>
      <c r="MME67" s="684"/>
      <c r="MMF67" s="684"/>
      <c r="MMG67" s="684"/>
      <c r="MMH67" s="684"/>
      <c r="MMI67" s="684"/>
      <c r="MMJ67" s="684"/>
      <c r="MMK67" s="684"/>
      <c r="MML67" s="684"/>
      <c r="MMM67" s="684"/>
      <c r="MMN67" s="684"/>
      <c r="MMO67" s="684"/>
      <c r="MMP67" s="684"/>
      <c r="MMQ67" s="684"/>
      <c r="MMR67" s="684"/>
      <c r="MMS67" s="684"/>
      <c r="MMT67" s="684"/>
      <c r="MMU67" s="684"/>
      <c r="MMV67" s="684"/>
      <c r="MMW67" s="684"/>
      <c r="MMX67" s="684"/>
      <c r="MMY67" s="684"/>
      <c r="MMZ67" s="684"/>
      <c r="MNA67" s="684"/>
      <c r="MNB67" s="684"/>
      <c r="MNC67" s="684"/>
      <c r="MND67" s="684"/>
      <c r="MNE67" s="684"/>
      <c r="MNF67" s="684"/>
      <c r="MNG67" s="684"/>
      <c r="MNH67" s="684"/>
      <c r="MNI67" s="684"/>
      <c r="MNJ67" s="684"/>
      <c r="MNK67" s="684"/>
      <c r="MNL67" s="684"/>
      <c r="MNM67" s="684"/>
      <c r="MNN67" s="684"/>
      <c r="MNO67" s="684"/>
      <c r="MNP67" s="684"/>
      <c r="MNQ67" s="684"/>
      <c r="MNR67" s="684"/>
      <c r="MNS67" s="684"/>
      <c r="MNT67" s="684"/>
      <c r="MNU67" s="684"/>
      <c r="MNV67" s="684"/>
      <c r="MNW67" s="684"/>
      <c r="MNX67" s="684"/>
      <c r="MNY67" s="684"/>
      <c r="MNZ67" s="684"/>
      <c r="MOA67" s="684"/>
      <c r="MOB67" s="684"/>
      <c r="MOC67" s="684"/>
      <c r="MOD67" s="684"/>
      <c r="MOE67" s="684"/>
      <c r="MOF67" s="684"/>
      <c r="MOG67" s="684"/>
      <c r="MOH67" s="684"/>
      <c r="MOI67" s="684"/>
      <c r="MOJ67" s="684"/>
      <c r="MOK67" s="684"/>
      <c r="MOL67" s="684"/>
      <c r="MOM67" s="684"/>
      <c r="MON67" s="684"/>
      <c r="MOO67" s="684"/>
      <c r="MOP67" s="684"/>
      <c r="MOQ67" s="684"/>
      <c r="MOR67" s="684"/>
      <c r="MOS67" s="684"/>
      <c r="MOT67" s="684"/>
      <c r="MOU67" s="684"/>
      <c r="MOV67" s="684"/>
      <c r="MOW67" s="684"/>
      <c r="MOX67" s="684"/>
      <c r="MOY67" s="684"/>
      <c r="MOZ67" s="684"/>
      <c r="MPA67" s="684"/>
      <c r="MPB67" s="684"/>
      <c r="MPC67" s="684"/>
      <c r="MPD67" s="684"/>
      <c r="MPE67" s="684"/>
      <c r="MPF67" s="684"/>
      <c r="MPG67" s="684"/>
      <c r="MPH67" s="684"/>
      <c r="MPI67" s="684"/>
      <c r="MPJ67" s="684"/>
      <c r="MPK67" s="684"/>
      <c r="MPL67" s="684"/>
      <c r="MPM67" s="684"/>
      <c r="MPN67" s="684"/>
      <c r="MPO67" s="684"/>
      <c r="MPP67" s="684"/>
      <c r="MPQ67" s="684"/>
      <c r="MPR67" s="684"/>
      <c r="MPS67" s="684"/>
      <c r="MPT67" s="684"/>
      <c r="MPU67" s="684"/>
      <c r="MPV67" s="684"/>
      <c r="MPW67" s="684"/>
      <c r="MPX67" s="684"/>
      <c r="MPY67" s="684"/>
      <c r="MPZ67" s="684"/>
      <c r="MQA67" s="684"/>
      <c r="MQB67" s="684"/>
      <c r="MQC67" s="684"/>
      <c r="MQD67" s="684"/>
      <c r="MQE67" s="684"/>
      <c r="MQF67" s="684"/>
      <c r="MQG67" s="684"/>
      <c r="MQH67" s="684"/>
      <c r="MQI67" s="684"/>
      <c r="MQJ67" s="684"/>
      <c r="MQK67" s="684"/>
      <c r="MQL67" s="684"/>
      <c r="MQM67" s="684"/>
      <c r="MQN67" s="684"/>
      <c r="MQO67" s="684"/>
      <c r="MQP67" s="684"/>
      <c r="MQQ67" s="684"/>
      <c r="MQR67" s="684"/>
      <c r="MQS67" s="684"/>
      <c r="MQT67" s="684"/>
      <c r="MQU67" s="684"/>
      <c r="MQV67" s="684"/>
      <c r="MQW67" s="684"/>
      <c r="MQX67" s="684"/>
      <c r="MQY67" s="684"/>
      <c r="MQZ67" s="684"/>
      <c r="MRA67" s="684"/>
      <c r="MRB67" s="684"/>
      <c r="MRC67" s="684"/>
      <c r="MRD67" s="684"/>
      <c r="MRE67" s="684"/>
      <c r="MRF67" s="684"/>
      <c r="MRG67" s="684"/>
      <c r="MRH67" s="684"/>
      <c r="MRI67" s="684"/>
      <c r="MRJ67" s="684"/>
      <c r="MRK67" s="684"/>
      <c r="MRL67" s="684"/>
      <c r="MRM67" s="684"/>
      <c r="MRN67" s="684"/>
      <c r="MRO67" s="684"/>
      <c r="MRP67" s="684"/>
      <c r="MRQ67" s="684"/>
      <c r="MRR67" s="684"/>
      <c r="MRS67" s="684"/>
      <c r="MRT67" s="684"/>
      <c r="MRU67" s="684"/>
      <c r="MRV67" s="684"/>
      <c r="MRW67" s="684"/>
      <c r="MRX67" s="684"/>
      <c r="MRY67" s="684"/>
      <c r="MRZ67" s="684"/>
      <c r="MSA67" s="684"/>
      <c r="MSB67" s="684"/>
      <c r="MSC67" s="684"/>
      <c r="MSD67" s="684"/>
      <c r="MSE67" s="684"/>
      <c r="MSF67" s="684"/>
      <c r="MSG67" s="684"/>
      <c r="MSH67" s="684"/>
      <c r="MSI67" s="684"/>
      <c r="MSJ67" s="684"/>
      <c r="MSK67" s="684"/>
      <c r="MSL67" s="684"/>
      <c r="MSM67" s="684"/>
      <c r="MSN67" s="684"/>
      <c r="MSO67" s="684"/>
      <c r="MSP67" s="684"/>
      <c r="MSQ67" s="684"/>
      <c r="MSR67" s="684"/>
      <c r="MSS67" s="684"/>
      <c r="MST67" s="684"/>
      <c r="MSU67" s="684"/>
      <c r="MSV67" s="684"/>
      <c r="MSW67" s="684"/>
      <c r="MSX67" s="684"/>
      <c r="MSY67" s="684"/>
      <c r="MSZ67" s="684"/>
      <c r="MTA67" s="684"/>
      <c r="MTB67" s="684"/>
      <c r="MTC67" s="684"/>
      <c r="MTD67" s="684"/>
      <c r="MTE67" s="684"/>
      <c r="MTF67" s="684"/>
      <c r="MTG67" s="684"/>
      <c r="MTH67" s="684"/>
      <c r="MTI67" s="684"/>
      <c r="MTJ67" s="684"/>
      <c r="MTK67" s="684"/>
      <c r="MTL67" s="684"/>
      <c r="MTM67" s="684"/>
      <c r="MTN67" s="684"/>
      <c r="MTO67" s="684"/>
      <c r="MTP67" s="684"/>
      <c r="MTQ67" s="684"/>
      <c r="MTR67" s="684"/>
      <c r="MTS67" s="684"/>
      <c r="MTT67" s="684"/>
      <c r="MTU67" s="684"/>
      <c r="MTV67" s="684"/>
      <c r="MTW67" s="684"/>
      <c r="MTX67" s="684"/>
      <c r="MTY67" s="684"/>
      <c r="MTZ67" s="684"/>
      <c r="MUA67" s="684"/>
      <c r="MUB67" s="684"/>
      <c r="MUC67" s="684"/>
      <c r="MUD67" s="684"/>
      <c r="MUE67" s="684"/>
      <c r="MUF67" s="684"/>
      <c r="MUG67" s="684"/>
      <c r="MUH67" s="684"/>
      <c r="MUI67" s="684"/>
      <c r="MUJ67" s="684"/>
      <c r="MUK67" s="684"/>
      <c r="MUL67" s="684"/>
      <c r="MUM67" s="684"/>
      <c r="MUN67" s="684"/>
      <c r="MUO67" s="684"/>
      <c r="MUP67" s="684"/>
      <c r="MUQ67" s="684"/>
      <c r="MUR67" s="684"/>
      <c r="MUS67" s="684"/>
      <c r="MUT67" s="684"/>
      <c r="MUU67" s="684"/>
      <c r="MUV67" s="684"/>
      <c r="MUW67" s="684"/>
      <c r="MUX67" s="684"/>
      <c r="MUY67" s="684"/>
      <c r="MUZ67" s="684"/>
      <c r="MVA67" s="684"/>
      <c r="MVB67" s="684"/>
      <c r="MVC67" s="684"/>
      <c r="MVD67" s="684"/>
      <c r="MVE67" s="684"/>
      <c r="MVF67" s="684"/>
      <c r="MVG67" s="684"/>
      <c r="MVH67" s="684"/>
      <c r="MVI67" s="684"/>
      <c r="MVJ67" s="684"/>
      <c r="MVK67" s="684"/>
      <c r="MVL67" s="684"/>
      <c r="MVM67" s="684"/>
      <c r="MVN67" s="684"/>
      <c r="MVO67" s="684"/>
      <c r="MVP67" s="684"/>
      <c r="MVQ67" s="684"/>
      <c r="MVR67" s="684"/>
      <c r="MVS67" s="684"/>
      <c r="MVT67" s="684"/>
      <c r="MVU67" s="684"/>
      <c r="MVV67" s="684"/>
      <c r="MVW67" s="684"/>
      <c r="MVX67" s="684"/>
      <c r="MVY67" s="684"/>
      <c r="MVZ67" s="684"/>
      <c r="MWA67" s="684"/>
      <c r="MWB67" s="684"/>
      <c r="MWC67" s="684"/>
      <c r="MWD67" s="684"/>
      <c r="MWE67" s="684"/>
      <c r="MWF67" s="684"/>
      <c r="MWG67" s="684"/>
      <c r="MWH67" s="684"/>
      <c r="MWI67" s="684"/>
      <c r="MWJ67" s="684"/>
      <c r="MWK67" s="684"/>
      <c r="MWL67" s="684"/>
      <c r="MWM67" s="684"/>
      <c r="MWN67" s="684"/>
      <c r="MWO67" s="684"/>
      <c r="MWP67" s="684"/>
      <c r="MWQ67" s="684"/>
      <c r="MWR67" s="684"/>
      <c r="MWS67" s="684"/>
      <c r="MWT67" s="684"/>
      <c r="MWU67" s="684"/>
      <c r="MWV67" s="684"/>
      <c r="MWW67" s="684"/>
      <c r="MWX67" s="684"/>
      <c r="MWY67" s="684"/>
      <c r="MWZ67" s="684"/>
      <c r="MXA67" s="684"/>
      <c r="MXB67" s="684"/>
      <c r="MXC67" s="684"/>
      <c r="MXD67" s="684"/>
      <c r="MXE67" s="684"/>
      <c r="MXF67" s="684"/>
      <c r="MXG67" s="684"/>
      <c r="MXH67" s="684"/>
      <c r="MXI67" s="684"/>
      <c r="MXJ67" s="684"/>
      <c r="MXK67" s="684"/>
      <c r="MXL67" s="684"/>
      <c r="MXM67" s="684"/>
      <c r="MXN67" s="684"/>
      <c r="MXO67" s="684"/>
      <c r="MXP67" s="684"/>
      <c r="MXQ67" s="684"/>
      <c r="MXR67" s="684"/>
      <c r="MXS67" s="684"/>
      <c r="MXT67" s="684"/>
      <c r="MXU67" s="684"/>
      <c r="MXV67" s="684"/>
      <c r="MXW67" s="684"/>
      <c r="MXX67" s="684"/>
      <c r="MXY67" s="684"/>
      <c r="MXZ67" s="684"/>
      <c r="MYA67" s="684"/>
      <c r="MYB67" s="684"/>
      <c r="MYC67" s="684"/>
      <c r="MYD67" s="684"/>
      <c r="MYE67" s="684"/>
      <c r="MYF67" s="684"/>
      <c r="MYG67" s="684"/>
      <c r="MYH67" s="684"/>
      <c r="MYI67" s="684"/>
      <c r="MYJ67" s="684"/>
      <c r="MYK67" s="684"/>
      <c r="MYL67" s="684"/>
      <c r="MYM67" s="684"/>
      <c r="MYN67" s="684"/>
      <c r="MYO67" s="684"/>
      <c r="MYP67" s="684"/>
      <c r="MYQ67" s="684"/>
      <c r="MYR67" s="684"/>
      <c r="MYS67" s="684"/>
      <c r="MYT67" s="684"/>
      <c r="MYU67" s="684"/>
      <c r="MYV67" s="684"/>
      <c r="MYW67" s="684"/>
      <c r="MYX67" s="684"/>
      <c r="MYY67" s="684"/>
      <c r="MYZ67" s="684"/>
      <c r="MZA67" s="684"/>
      <c r="MZB67" s="684"/>
      <c r="MZC67" s="684"/>
      <c r="MZD67" s="684"/>
      <c r="MZE67" s="684"/>
      <c r="MZF67" s="684"/>
      <c r="MZG67" s="684"/>
      <c r="MZH67" s="684"/>
      <c r="MZI67" s="684"/>
      <c r="MZJ67" s="684"/>
      <c r="MZK67" s="684"/>
      <c r="MZL67" s="684"/>
      <c r="MZM67" s="684"/>
      <c r="MZN67" s="684"/>
      <c r="MZO67" s="684"/>
      <c r="MZP67" s="684"/>
      <c r="MZQ67" s="684"/>
      <c r="MZR67" s="684"/>
      <c r="MZS67" s="684"/>
      <c r="MZT67" s="684"/>
      <c r="MZU67" s="684"/>
      <c r="MZV67" s="684"/>
      <c r="MZW67" s="684"/>
      <c r="MZX67" s="684"/>
      <c r="MZY67" s="684"/>
      <c r="MZZ67" s="684"/>
      <c r="NAA67" s="684"/>
      <c r="NAB67" s="684"/>
      <c r="NAC67" s="684"/>
      <c r="NAD67" s="684"/>
      <c r="NAE67" s="684"/>
      <c r="NAF67" s="684"/>
      <c r="NAG67" s="684"/>
      <c r="NAH67" s="684"/>
      <c r="NAI67" s="684"/>
      <c r="NAJ67" s="684"/>
      <c r="NAK67" s="684"/>
      <c r="NAL67" s="684"/>
      <c r="NAM67" s="684"/>
      <c r="NAN67" s="684"/>
      <c r="NAO67" s="684"/>
      <c r="NAP67" s="684"/>
      <c r="NAQ67" s="684"/>
      <c r="NAR67" s="684"/>
      <c r="NAS67" s="684"/>
      <c r="NAT67" s="684"/>
      <c r="NAU67" s="684"/>
      <c r="NAV67" s="684"/>
      <c r="NAW67" s="684"/>
      <c r="NAX67" s="684"/>
      <c r="NAY67" s="684"/>
      <c r="NAZ67" s="684"/>
      <c r="NBA67" s="684"/>
      <c r="NBB67" s="684"/>
      <c r="NBC67" s="684"/>
      <c r="NBD67" s="684"/>
      <c r="NBE67" s="684"/>
      <c r="NBF67" s="684"/>
      <c r="NBG67" s="684"/>
      <c r="NBH67" s="684"/>
      <c r="NBI67" s="684"/>
      <c r="NBJ67" s="684"/>
      <c r="NBK67" s="684"/>
      <c r="NBL67" s="684"/>
      <c r="NBM67" s="684"/>
      <c r="NBN67" s="684"/>
      <c r="NBO67" s="684"/>
      <c r="NBP67" s="684"/>
      <c r="NBQ67" s="684"/>
      <c r="NBR67" s="684"/>
      <c r="NBS67" s="684"/>
      <c r="NBT67" s="684"/>
      <c r="NBU67" s="684"/>
      <c r="NBV67" s="684"/>
      <c r="NBW67" s="684"/>
      <c r="NBX67" s="684"/>
      <c r="NBY67" s="684"/>
      <c r="NBZ67" s="684"/>
      <c r="NCA67" s="684"/>
      <c r="NCB67" s="684"/>
      <c r="NCC67" s="684"/>
      <c r="NCD67" s="684"/>
      <c r="NCE67" s="684"/>
      <c r="NCF67" s="684"/>
      <c r="NCG67" s="684"/>
      <c r="NCH67" s="684"/>
      <c r="NCI67" s="684"/>
      <c r="NCJ67" s="684"/>
      <c r="NCK67" s="684"/>
      <c r="NCL67" s="684"/>
      <c r="NCM67" s="684"/>
      <c r="NCN67" s="684"/>
      <c r="NCO67" s="684"/>
      <c r="NCP67" s="684"/>
      <c r="NCQ67" s="684"/>
      <c r="NCR67" s="684"/>
      <c r="NCS67" s="684"/>
      <c r="NCT67" s="684"/>
      <c r="NCU67" s="684"/>
      <c r="NCV67" s="684"/>
      <c r="NCW67" s="684"/>
      <c r="NCX67" s="684"/>
      <c r="NCY67" s="684"/>
      <c r="NCZ67" s="684"/>
      <c r="NDA67" s="684"/>
      <c r="NDB67" s="684"/>
      <c r="NDC67" s="684"/>
      <c r="NDD67" s="684"/>
      <c r="NDE67" s="684"/>
      <c r="NDF67" s="684"/>
      <c r="NDG67" s="684"/>
      <c r="NDH67" s="684"/>
      <c r="NDI67" s="684"/>
      <c r="NDJ67" s="684"/>
      <c r="NDK67" s="684"/>
      <c r="NDL67" s="684"/>
      <c r="NDM67" s="684"/>
      <c r="NDN67" s="684"/>
      <c r="NDO67" s="684"/>
      <c r="NDP67" s="684"/>
      <c r="NDQ67" s="684"/>
      <c r="NDR67" s="684"/>
      <c r="NDS67" s="684"/>
      <c r="NDT67" s="684"/>
      <c r="NDU67" s="684"/>
      <c r="NDV67" s="684"/>
      <c r="NDW67" s="684"/>
      <c r="NDX67" s="684"/>
      <c r="NDY67" s="684"/>
      <c r="NDZ67" s="684"/>
      <c r="NEA67" s="684"/>
      <c r="NEB67" s="684"/>
      <c r="NEC67" s="684"/>
      <c r="NED67" s="684"/>
      <c r="NEE67" s="684"/>
      <c r="NEF67" s="684"/>
      <c r="NEG67" s="684"/>
      <c r="NEH67" s="684"/>
      <c r="NEI67" s="684"/>
      <c r="NEJ67" s="684"/>
      <c r="NEK67" s="684"/>
      <c r="NEL67" s="684"/>
      <c r="NEM67" s="684"/>
      <c r="NEN67" s="684"/>
      <c r="NEO67" s="684"/>
      <c r="NEP67" s="684"/>
      <c r="NEQ67" s="684"/>
      <c r="NER67" s="684"/>
      <c r="NES67" s="684"/>
      <c r="NET67" s="684"/>
      <c r="NEU67" s="684"/>
      <c r="NEV67" s="684"/>
      <c r="NEW67" s="684"/>
      <c r="NEX67" s="684"/>
      <c r="NEY67" s="684"/>
      <c r="NEZ67" s="684"/>
      <c r="NFA67" s="684"/>
      <c r="NFB67" s="684"/>
      <c r="NFC67" s="684"/>
      <c r="NFD67" s="684"/>
      <c r="NFE67" s="684"/>
      <c r="NFF67" s="684"/>
      <c r="NFG67" s="684"/>
      <c r="NFH67" s="684"/>
      <c r="NFI67" s="684"/>
      <c r="NFJ67" s="684"/>
      <c r="NFK67" s="684"/>
      <c r="NFL67" s="684"/>
      <c r="NFM67" s="684"/>
      <c r="NFN67" s="684"/>
      <c r="NFO67" s="684"/>
      <c r="NFP67" s="684"/>
      <c r="NFQ67" s="684"/>
      <c r="NFR67" s="684"/>
      <c r="NFS67" s="684"/>
      <c r="NFT67" s="684"/>
      <c r="NFU67" s="684"/>
      <c r="NFV67" s="684"/>
      <c r="NFW67" s="684"/>
      <c r="NFX67" s="684"/>
      <c r="NFY67" s="684"/>
      <c r="NFZ67" s="684"/>
      <c r="NGA67" s="684"/>
      <c r="NGB67" s="684"/>
      <c r="NGC67" s="684"/>
      <c r="NGD67" s="684"/>
      <c r="NGE67" s="684"/>
      <c r="NGF67" s="684"/>
      <c r="NGG67" s="684"/>
      <c r="NGH67" s="684"/>
      <c r="NGI67" s="684"/>
      <c r="NGJ67" s="684"/>
      <c r="NGK67" s="684"/>
      <c r="NGL67" s="684"/>
      <c r="NGM67" s="684"/>
      <c r="NGN67" s="684"/>
      <c r="NGO67" s="684"/>
      <c r="NGP67" s="684"/>
      <c r="NGQ67" s="684"/>
      <c r="NGR67" s="684"/>
      <c r="NGS67" s="684"/>
      <c r="NGT67" s="684"/>
      <c r="NGU67" s="684"/>
      <c r="NGV67" s="684"/>
      <c r="NGW67" s="684"/>
      <c r="NGX67" s="684"/>
      <c r="NGY67" s="684"/>
      <c r="NGZ67" s="684"/>
      <c r="NHA67" s="684"/>
      <c r="NHB67" s="684"/>
      <c r="NHC67" s="684"/>
      <c r="NHD67" s="684"/>
      <c r="NHE67" s="684"/>
      <c r="NHF67" s="684"/>
      <c r="NHG67" s="684"/>
      <c r="NHH67" s="684"/>
      <c r="NHI67" s="684"/>
      <c r="NHJ67" s="684"/>
      <c r="NHK67" s="684"/>
      <c r="NHL67" s="684"/>
      <c r="NHM67" s="684"/>
      <c r="NHN67" s="684"/>
      <c r="NHO67" s="684"/>
      <c r="NHP67" s="684"/>
      <c r="NHQ67" s="684"/>
      <c r="NHR67" s="684"/>
      <c r="NHS67" s="684"/>
      <c r="NHT67" s="684"/>
      <c r="NHU67" s="684"/>
      <c r="NHV67" s="684"/>
      <c r="NHW67" s="684"/>
      <c r="NHX67" s="684"/>
      <c r="NHY67" s="684"/>
      <c r="NHZ67" s="684"/>
      <c r="NIA67" s="684"/>
      <c r="NIB67" s="684"/>
      <c r="NIC67" s="684"/>
      <c r="NID67" s="684"/>
      <c r="NIE67" s="684"/>
      <c r="NIF67" s="684"/>
      <c r="NIG67" s="684"/>
      <c r="NIH67" s="684"/>
      <c r="NII67" s="684"/>
      <c r="NIJ67" s="684"/>
      <c r="NIK67" s="684"/>
      <c r="NIL67" s="684"/>
      <c r="NIM67" s="684"/>
      <c r="NIN67" s="684"/>
      <c r="NIO67" s="684"/>
      <c r="NIP67" s="684"/>
      <c r="NIQ67" s="684"/>
      <c r="NIR67" s="684"/>
      <c r="NIS67" s="684"/>
      <c r="NIT67" s="684"/>
      <c r="NIU67" s="684"/>
      <c r="NIV67" s="684"/>
      <c r="NIW67" s="684"/>
      <c r="NIX67" s="684"/>
      <c r="NIY67" s="684"/>
      <c r="NIZ67" s="684"/>
      <c r="NJA67" s="684"/>
      <c r="NJB67" s="684"/>
      <c r="NJC67" s="684"/>
      <c r="NJD67" s="684"/>
      <c r="NJE67" s="684"/>
      <c r="NJF67" s="684"/>
      <c r="NJG67" s="684"/>
      <c r="NJH67" s="684"/>
      <c r="NJI67" s="684"/>
      <c r="NJJ67" s="684"/>
      <c r="NJK67" s="684"/>
      <c r="NJL67" s="684"/>
      <c r="NJM67" s="684"/>
      <c r="NJN67" s="684"/>
      <c r="NJO67" s="684"/>
      <c r="NJP67" s="684"/>
      <c r="NJQ67" s="684"/>
      <c r="NJR67" s="684"/>
      <c r="NJS67" s="684"/>
      <c r="NJT67" s="684"/>
      <c r="NJU67" s="684"/>
      <c r="NJV67" s="684"/>
      <c r="NJW67" s="684"/>
      <c r="NJX67" s="684"/>
      <c r="NJY67" s="684"/>
      <c r="NJZ67" s="684"/>
      <c r="NKA67" s="684"/>
      <c r="NKB67" s="684"/>
      <c r="NKC67" s="684"/>
      <c r="NKD67" s="684"/>
      <c r="NKE67" s="684"/>
      <c r="NKF67" s="684"/>
      <c r="NKG67" s="684"/>
      <c r="NKH67" s="684"/>
      <c r="NKI67" s="684"/>
      <c r="NKJ67" s="684"/>
      <c r="NKK67" s="684"/>
      <c r="NKL67" s="684"/>
      <c r="NKM67" s="684"/>
      <c r="NKN67" s="684"/>
      <c r="NKO67" s="684"/>
      <c r="NKP67" s="684"/>
      <c r="NKQ67" s="684"/>
      <c r="NKR67" s="684"/>
      <c r="NKS67" s="684"/>
      <c r="NKT67" s="684"/>
      <c r="NKU67" s="684"/>
      <c r="NKV67" s="684"/>
      <c r="NKW67" s="684"/>
      <c r="NKX67" s="684"/>
      <c r="NKY67" s="684"/>
      <c r="NKZ67" s="684"/>
      <c r="NLA67" s="684"/>
      <c r="NLB67" s="684"/>
      <c r="NLC67" s="684"/>
      <c r="NLD67" s="684"/>
      <c r="NLE67" s="684"/>
      <c r="NLF67" s="684"/>
      <c r="NLG67" s="684"/>
      <c r="NLH67" s="684"/>
      <c r="NLI67" s="684"/>
      <c r="NLJ67" s="684"/>
      <c r="NLK67" s="684"/>
      <c r="NLL67" s="684"/>
      <c r="NLM67" s="684"/>
      <c r="NLN67" s="684"/>
      <c r="NLO67" s="684"/>
      <c r="NLP67" s="684"/>
      <c r="NLQ67" s="684"/>
      <c r="NLR67" s="684"/>
      <c r="NLS67" s="684"/>
      <c r="NLT67" s="684"/>
      <c r="NLU67" s="684"/>
      <c r="NLV67" s="684"/>
      <c r="NLW67" s="684"/>
      <c r="NLX67" s="684"/>
      <c r="NLY67" s="684"/>
      <c r="NLZ67" s="684"/>
      <c r="NMA67" s="684"/>
      <c r="NMB67" s="684"/>
      <c r="NMC67" s="684"/>
      <c r="NMD67" s="684"/>
      <c r="NME67" s="684"/>
      <c r="NMF67" s="684"/>
      <c r="NMG67" s="684"/>
      <c r="NMH67" s="684"/>
      <c r="NMI67" s="684"/>
      <c r="NMJ67" s="684"/>
      <c r="NMK67" s="684"/>
      <c r="NML67" s="684"/>
      <c r="NMM67" s="684"/>
      <c r="NMN67" s="684"/>
      <c r="NMO67" s="684"/>
      <c r="NMP67" s="684"/>
      <c r="NMQ67" s="684"/>
      <c r="NMR67" s="684"/>
      <c r="NMS67" s="684"/>
      <c r="NMT67" s="684"/>
      <c r="NMU67" s="684"/>
      <c r="NMV67" s="684"/>
      <c r="NMW67" s="684"/>
      <c r="NMX67" s="684"/>
      <c r="NMY67" s="684"/>
      <c r="NMZ67" s="684"/>
      <c r="NNA67" s="684"/>
      <c r="NNB67" s="684"/>
      <c r="NNC67" s="684"/>
      <c r="NND67" s="684"/>
      <c r="NNE67" s="684"/>
      <c r="NNF67" s="684"/>
      <c r="NNG67" s="684"/>
      <c r="NNH67" s="684"/>
      <c r="NNI67" s="684"/>
      <c r="NNJ67" s="684"/>
      <c r="NNK67" s="684"/>
      <c r="NNL67" s="684"/>
      <c r="NNM67" s="684"/>
      <c r="NNN67" s="684"/>
      <c r="NNO67" s="684"/>
      <c r="NNP67" s="684"/>
      <c r="NNQ67" s="684"/>
      <c r="NNR67" s="684"/>
      <c r="NNS67" s="684"/>
      <c r="NNT67" s="684"/>
      <c r="NNU67" s="684"/>
      <c r="NNV67" s="684"/>
      <c r="NNW67" s="684"/>
      <c r="NNX67" s="684"/>
      <c r="NNY67" s="684"/>
      <c r="NNZ67" s="684"/>
      <c r="NOA67" s="684"/>
      <c r="NOB67" s="684"/>
      <c r="NOC67" s="684"/>
      <c r="NOD67" s="684"/>
      <c r="NOE67" s="684"/>
      <c r="NOF67" s="684"/>
      <c r="NOG67" s="684"/>
      <c r="NOH67" s="684"/>
      <c r="NOI67" s="684"/>
      <c r="NOJ67" s="684"/>
      <c r="NOK67" s="684"/>
      <c r="NOL67" s="684"/>
      <c r="NOM67" s="684"/>
      <c r="NON67" s="684"/>
      <c r="NOO67" s="684"/>
      <c r="NOP67" s="684"/>
      <c r="NOQ67" s="684"/>
      <c r="NOR67" s="684"/>
      <c r="NOS67" s="684"/>
      <c r="NOT67" s="684"/>
      <c r="NOU67" s="684"/>
      <c r="NOV67" s="684"/>
      <c r="NOW67" s="684"/>
      <c r="NOX67" s="684"/>
      <c r="NOY67" s="684"/>
      <c r="NOZ67" s="684"/>
      <c r="NPA67" s="684"/>
      <c r="NPB67" s="684"/>
      <c r="NPC67" s="684"/>
      <c r="NPD67" s="684"/>
      <c r="NPE67" s="684"/>
      <c r="NPF67" s="684"/>
      <c r="NPG67" s="684"/>
      <c r="NPH67" s="684"/>
      <c r="NPI67" s="684"/>
      <c r="NPJ67" s="684"/>
      <c r="NPK67" s="684"/>
      <c r="NPL67" s="684"/>
      <c r="NPM67" s="684"/>
      <c r="NPN67" s="684"/>
      <c r="NPO67" s="684"/>
      <c r="NPP67" s="684"/>
      <c r="NPQ67" s="684"/>
      <c r="NPR67" s="684"/>
      <c r="NPS67" s="684"/>
      <c r="NPT67" s="684"/>
      <c r="NPU67" s="684"/>
      <c r="NPV67" s="684"/>
      <c r="NPW67" s="684"/>
      <c r="NPX67" s="684"/>
      <c r="NPY67" s="684"/>
      <c r="NPZ67" s="684"/>
      <c r="NQA67" s="684"/>
      <c r="NQB67" s="684"/>
      <c r="NQC67" s="684"/>
      <c r="NQD67" s="684"/>
      <c r="NQE67" s="684"/>
      <c r="NQF67" s="684"/>
      <c r="NQG67" s="684"/>
      <c r="NQH67" s="684"/>
      <c r="NQI67" s="684"/>
      <c r="NQJ67" s="684"/>
      <c r="NQK67" s="684"/>
      <c r="NQL67" s="684"/>
      <c r="NQM67" s="684"/>
      <c r="NQN67" s="684"/>
      <c r="NQO67" s="684"/>
      <c r="NQP67" s="684"/>
      <c r="NQQ67" s="684"/>
      <c r="NQR67" s="684"/>
      <c r="NQS67" s="684"/>
      <c r="NQT67" s="684"/>
      <c r="NQU67" s="684"/>
      <c r="NQV67" s="684"/>
      <c r="NQW67" s="684"/>
      <c r="NQX67" s="684"/>
      <c r="NQY67" s="684"/>
      <c r="NQZ67" s="684"/>
      <c r="NRA67" s="684"/>
      <c r="NRB67" s="684"/>
      <c r="NRC67" s="684"/>
      <c r="NRD67" s="684"/>
      <c r="NRE67" s="684"/>
      <c r="NRF67" s="684"/>
      <c r="NRG67" s="684"/>
      <c r="NRH67" s="684"/>
      <c r="NRI67" s="684"/>
      <c r="NRJ67" s="684"/>
      <c r="NRK67" s="684"/>
      <c r="NRL67" s="684"/>
      <c r="NRM67" s="684"/>
      <c r="NRN67" s="684"/>
      <c r="NRO67" s="684"/>
      <c r="NRP67" s="684"/>
      <c r="NRQ67" s="684"/>
      <c r="NRR67" s="684"/>
      <c r="NRS67" s="684"/>
      <c r="NRT67" s="684"/>
      <c r="NRU67" s="684"/>
      <c r="NRV67" s="684"/>
      <c r="NRW67" s="684"/>
      <c r="NRX67" s="684"/>
      <c r="NRY67" s="684"/>
      <c r="NRZ67" s="684"/>
      <c r="NSA67" s="684"/>
      <c r="NSB67" s="684"/>
      <c r="NSC67" s="684"/>
      <c r="NSD67" s="684"/>
      <c r="NSE67" s="684"/>
      <c r="NSF67" s="684"/>
      <c r="NSG67" s="684"/>
      <c r="NSH67" s="684"/>
      <c r="NSI67" s="684"/>
      <c r="NSJ67" s="684"/>
      <c r="NSK67" s="684"/>
      <c r="NSL67" s="684"/>
      <c r="NSM67" s="684"/>
      <c r="NSN67" s="684"/>
      <c r="NSO67" s="684"/>
      <c r="NSP67" s="684"/>
      <c r="NSQ67" s="684"/>
      <c r="NSR67" s="684"/>
      <c r="NSS67" s="684"/>
      <c r="NST67" s="684"/>
      <c r="NSU67" s="684"/>
      <c r="NSV67" s="684"/>
      <c r="NSW67" s="684"/>
      <c r="NSX67" s="684"/>
      <c r="NSY67" s="684"/>
      <c r="NSZ67" s="684"/>
      <c r="NTA67" s="684"/>
      <c r="NTB67" s="684"/>
      <c r="NTC67" s="684"/>
      <c r="NTD67" s="684"/>
      <c r="NTE67" s="684"/>
      <c r="NTF67" s="684"/>
      <c r="NTG67" s="684"/>
      <c r="NTH67" s="684"/>
      <c r="NTI67" s="684"/>
      <c r="NTJ67" s="684"/>
      <c r="NTK67" s="684"/>
      <c r="NTL67" s="684"/>
      <c r="NTM67" s="684"/>
      <c r="NTN67" s="684"/>
      <c r="NTO67" s="684"/>
      <c r="NTP67" s="684"/>
      <c r="NTQ67" s="684"/>
      <c r="NTR67" s="684"/>
      <c r="NTS67" s="684"/>
      <c r="NTT67" s="684"/>
      <c r="NTU67" s="684"/>
      <c r="NTV67" s="684"/>
      <c r="NTW67" s="684"/>
      <c r="NTX67" s="684"/>
      <c r="NTY67" s="684"/>
      <c r="NTZ67" s="684"/>
      <c r="NUA67" s="684"/>
      <c r="NUB67" s="684"/>
      <c r="NUC67" s="684"/>
      <c r="NUD67" s="684"/>
      <c r="NUE67" s="684"/>
      <c r="NUF67" s="684"/>
      <c r="NUG67" s="684"/>
      <c r="NUH67" s="684"/>
      <c r="NUI67" s="684"/>
      <c r="NUJ67" s="684"/>
      <c r="NUK67" s="684"/>
      <c r="NUL67" s="684"/>
      <c r="NUM67" s="684"/>
      <c r="NUN67" s="684"/>
      <c r="NUO67" s="684"/>
      <c r="NUP67" s="684"/>
      <c r="NUQ67" s="684"/>
      <c r="NUR67" s="684"/>
      <c r="NUS67" s="684"/>
      <c r="NUT67" s="684"/>
      <c r="NUU67" s="684"/>
      <c r="NUV67" s="684"/>
      <c r="NUW67" s="684"/>
      <c r="NUX67" s="684"/>
      <c r="NUY67" s="684"/>
      <c r="NUZ67" s="684"/>
      <c r="NVA67" s="684"/>
      <c r="NVB67" s="684"/>
      <c r="NVC67" s="684"/>
      <c r="NVD67" s="684"/>
      <c r="NVE67" s="684"/>
      <c r="NVF67" s="684"/>
      <c r="NVG67" s="684"/>
      <c r="NVH67" s="684"/>
      <c r="NVI67" s="684"/>
      <c r="NVJ67" s="684"/>
      <c r="NVK67" s="684"/>
      <c r="NVL67" s="684"/>
      <c r="NVM67" s="684"/>
      <c r="NVN67" s="684"/>
      <c r="NVO67" s="684"/>
      <c r="NVP67" s="684"/>
      <c r="NVQ67" s="684"/>
      <c r="NVR67" s="684"/>
      <c r="NVS67" s="684"/>
      <c r="NVT67" s="684"/>
      <c r="NVU67" s="684"/>
      <c r="NVV67" s="684"/>
      <c r="NVW67" s="684"/>
      <c r="NVX67" s="684"/>
      <c r="NVY67" s="684"/>
      <c r="NVZ67" s="684"/>
      <c r="NWA67" s="684"/>
      <c r="NWB67" s="684"/>
      <c r="NWC67" s="684"/>
      <c r="NWD67" s="684"/>
      <c r="NWE67" s="684"/>
      <c r="NWF67" s="684"/>
      <c r="NWG67" s="684"/>
      <c r="NWH67" s="684"/>
      <c r="NWI67" s="684"/>
      <c r="NWJ67" s="684"/>
      <c r="NWK67" s="684"/>
      <c r="NWL67" s="684"/>
      <c r="NWM67" s="684"/>
      <c r="NWN67" s="684"/>
      <c r="NWO67" s="684"/>
      <c r="NWP67" s="684"/>
      <c r="NWQ67" s="684"/>
      <c r="NWR67" s="684"/>
      <c r="NWS67" s="684"/>
      <c r="NWT67" s="684"/>
      <c r="NWU67" s="684"/>
      <c r="NWV67" s="684"/>
      <c r="NWW67" s="684"/>
      <c r="NWX67" s="684"/>
      <c r="NWY67" s="684"/>
      <c r="NWZ67" s="684"/>
      <c r="NXA67" s="684"/>
      <c r="NXB67" s="684"/>
      <c r="NXC67" s="684"/>
      <c r="NXD67" s="684"/>
      <c r="NXE67" s="684"/>
      <c r="NXF67" s="684"/>
      <c r="NXG67" s="684"/>
      <c r="NXH67" s="684"/>
      <c r="NXI67" s="684"/>
      <c r="NXJ67" s="684"/>
      <c r="NXK67" s="684"/>
      <c r="NXL67" s="684"/>
      <c r="NXM67" s="684"/>
      <c r="NXN67" s="684"/>
      <c r="NXO67" s="684"/>
      <c r="NXP67" s="684"/>
      <c r="NXQ67" s="684"/>
      <c r="NXR67" s="684"/>
      <c r="NXS67" s="684"/>
      <c r="NXT67" s="684"/>
      <c r="NXU67" s="684"/>
      <c r="NXV67" s="684"/>
      <c r="NXW67" s="684"/>
      <c r="NXX67" s="684"/>
      <c r="NXY67" s="684"/>
      <c r="NXZ67" s="684"/>
      <c r="NYA67" s="684"/>
      <c r="NYB67" s="684"/>
      <c r="NYC67" s="684"/>
      <c r="NYD67" s="684"/>
      <c r="NYE67" s="684"/>
      <c r="NYF67" s="684"/>
      <c r="NYG67" s="684"/>
      <c r="NYH67" s="684"/>
      <c r="NYI67" s="684"/>
      <c r="NYJ67" s="684"/>
      <c r="NYK67" s="684"/>
      <c r="NYL67" s="684"/>
      <c r="NYM67" s="684"/>
      <c r="NYN67" s="684"/>
      <c r="NYO67" s="684"/>
      <c r="NYP67" s="684"/>
      <c r="NYQ67" s="684"/>
      <c r="NYR67" s="684"/>
      <c r="NYS67" s="684"/>
      <c r="NYT67" s="684"/>
      <c r="NYU67" s="684"/>
      <c r="NYV67" s="684"/>
      <c r="NYW67" s="684"/>
      <c r="NYX67" s="684"/>
      <c r="NYY67" s="684"/>
      <c r="NYZ67" s="684"/>
      <c r="NZA67" s="684"/>
      <c r="NZB67" s="684"/>
      <c r="NZC67" s="684"/>
      <c r="NZD67" s="684"/>
      <c r="NZE67" s="684"/>
      <c r="NZF67" s="684"/>
      <c r="NZG67" s="684"/>
      <c r="NZH67" s="684"/>
      <c r="NZI67" s="684"/>
      <c r="NZJ67" s="684"/>
      <c r="NZK67" s="684"/>
      <c r="NZL67" s="684"/>
      <c r="NZM67" s="684"/>
      <c r="NZN67" s="684"/>
      <c r="NZO67" s="684"/>
      <c r="NZP67" s="684"/>
      <c r="NZQ67" s="684"/>
      <c r="NZR67" s="684"/>
      <c r="NZS67" s="684"/>
      <c r="NZT67" s="684"/>
      <c r="NZU67" s="684"/>
      <c r="NZV67" s="684"/>
      <c r="NZW67" s="684"/>
      <c r="NZX67" s="684"/>
      <c r="NZY67" s="684"/>
      <c r="NZZ67" s="684"/>
      <c r="OAA67" s="684"/>
      <c r="OAB67" s="684"/>
      <c r="OAC67" s="684"/>
      <c r="OAD67" s="684"/>
      <c r="OAE67" s="684"/>
      <c r="OAF67" s="684"/>
      <c r="OAG67" s="684"/>
      <c r="OAH67" s="684"/>
      <c r="OAI67" s="684"/>
      <c r="OAJ67" s="684"/>
      <c r="OAK67" s="684"/>
      <c r="OAL67" s="684"/>
      <c r="OAM67" s="684"/>
      <c r="OAN67" s="684"/>
      <c r="OAO67" s="684"/>
      <c r="OAP67" s="684"/>
      <c r="OAQ67" s="684"/>
      <c r="OAR67" s="684"/>
      <c r="OAS67" s="684"/>
      <c r="OAT67" s="684"/>
      <c r="OAU67" s="684"/>
      <c r="OAV67" s="684"/>
      <c r="OAW67" s="684"/>
      <c r="OAX67" s="684"/>
      <c r="OAY67" s="684"/>
      <c r="OAZ67" s="684"/>
      <c r="OBA67" s="684"/>
      <c r="OBB67" s="684"/>
      <c r="OBC67" s="684"/>
      <c r="OBD67" s="684"/>
      <c r="OBE67" s="684"/>
      <c r="OBF67" s="684"/>
      <c r="OBG67" s="684"/>
      <c r="OBH67" s="684"/>
      <c r="OBI67" s="684"/>
      <c r="OBJ67" s="684"/>
      <c r="OBK67" s="684"/>
      <c r="OBL67" s="684"/>
      <c r="OBM67" s="684"/>
      <c r="OBN67" s="684"/>
      <c r="OBO67" s="684"/>
      <c r="OBP67" s="684"/>
      <c r="OBQ67" s="684"/>
      <c r="OBR67" s="684"/>
      <c r="OBS67" s="684"/>
      <c r="OBT67" s="684"/>
      <c r="OBU67" s="684"/>
      <c r="OBV67" s="684"/>
      <c r="OBW67" s="684"/>
      <c r="OBX67" s="684"/>
      <c r="OBY67" s="684"/>
      <c r="OBZ67" s="684"/>
      <c r="OCA67" s="684"/>
      <c r="OCB67" s="684"/>
      <c r="OCC67" s="684"/>
      <c r="OCD67" s="684"/>
      <c r="OCE67" s="684"/>
      <c r="OCF67" s="684"/>
      <c r="OCG67" s="684"/>
      <c r="OCH67" s="684"/>
      <c r="OCI67" s="684"/>
      <c r="OCJ67" s="684"/>
      <c r="OCK67" s="684"/>
      <c r="OCL67" s="684"/>
      <c r="OCM67" s="684"/>
      <c r="OCN67" s="684"/>
      <c r="OCO67" s="684"/>
      <c r="OCP67" s="684"/>
      <c r="OCQ67" s="684"/>
      <c r="OCR67" s="684"/>
      <c r="OCS67" s="684"/>
      <c r="OCT67" s="684"/>
      <c r="OCU67" s="684"/>
      <c r="OCV67" s="684"/>
      <c r="OCW67" s="684"/>
      <c r="OCX67" s="684"/>
      <c r="OCY67" s="684"/>
      <c r="OCZ67" s="684"/>
      <c r="ODA67" s="684"/>
      <c r="ODB67" s="684"/>
      <c r="ODC67" s="684"/>
      <c r="ODD67" s="684"/>
      <c r="ODE67" s="684"/>
      <c r="ODF67" s="684"/>
      <c r="ODG67" s="684"/>
      <c r="ODH67" s="684"/>
      <c r="ODI67" s="684"/>
      <c r="ODJ67" s="684"/>
      <c r="ODK67" s="684"/>
      <c r="ODL67" s="684"/>
      <c r="ODM67" s="684"/>
      <c r="ODN67" s="684"/>
      <c r="ODO67" s="684"/>
      <c r="ODP67" s="684"/>
      <c r="ODQ67" s="684"/>
      <c r="ODR67" s="684"/>
      <c r="ODS67" s="684"/>
      <c r="ODT67" s="684"/>
      <c r="ODU67" s="684"/>
      <c r="ODV67" s="684"/>
      <c r="ODW67" s="684"/>
      <c r="ODX67" s="684"/>
      <c r="ODY67" s="684"/>
      <c r="ODZ67" s="684"/>
      <c r="OEA67" s="684"/>
      <c r="OEB67" s="684"/>
      <c r="OEC67" s="684"/>
      <c r="OED67" s="684"/>
      <c r="OEE67" s="684"/>
      <c r="OEF67" s="684"/>
      <c r="OEG67" s="684"/>
      <c r="OEH67" s="684"/>
      <c r="OEI67" s="684"/>
      <c r="OEJ67" s="684"/>
      <c r="OEK67" s="684"/>
      <c r="OEL67" s="684"/>
      <c r="OEM67" s="684"/>
      <c r="OEN67" s="684"/>
      <c r="OEO67" s="684"/>
      <c r="OEP67" s="684"/>
      <c r="OEQ67" s="684"/>
      <c r="OER67" s="684"/>
      <c r="OES67" s="684"/>
      <c r="OET67" s="684"/>
      <c r="OEU67" s="684"/>
      <c r="OEV67" s="684"/>
      <c r="OEW67" s="684"/>
      <c r="OEX67" s="684"/>
      <c r="OEY67" s="684"/>
      <c r="OEZ67" s="684"/>
      <c r="OFA67" s="684"/>
      <c r="OFB67" s="684"/>
      <c r="OFC67" s="684"/>
      <c r="OFD67" s="684"/>
      <c r="OFE67" s="684"/>
      <c r="OFF67" s="684"/>
      <c r="OFG67" s="684"/>
      <c r="OFH67" s="684"/>
      <c r="OFI67" s="684"/>
      <c r="OFJ67" s="684"/>
      <c r="OFK67" s="684"/>
      <c r="OFL67" s="684"/>
      <c r="OFM67" s="684"/>
      <c r="OFN67" s="684"/>
      <c r="OFO67" s="684"/>
      <c r="OFP67" s="684"/>
      <c r="OFQ67" s="684"/>
      <c r="OFR67" s="684"/>
      <c r="OFS67" s="684"/>
      <c r="OFT67" s="684"/>
      <c r="OFU67" s="684"/>
      <c r="OFV67" s="684"/>
      <c r="OFW67" s="684"/>
      <c r="OFX67" s="684"/>
      <c r="OFY67" s="684"/>
      <c r="OFZ67" s="684"/>
      <c r="OGA67" s="684"/>
      <c r="OGB67" s="684"/>
      <c r="OGC67" s="684"/>
      <c r="OGD67" s="684"/>
      <c r="OGE67" s="684"/>
      <c r="OGF67" s="684"/>
      <c r="OGG67" s="684"/>
      <c r="OGH67" s="684"/>
      <c r="OGI67" s="684"/>
      <c r="OGJ67" s="684"/>
      <c r="OGK67" s="684"/>
      <c r="OGL67" s="684"/>
      <c r="OGM67" s="684"/>
      <c r="OGN67" s="684"/>
      <c r="OGO67" s="684"/>
      <c r="OGP67" s="684"/>
      <c r="OGQ67" s="684"/>
      <c r="OGR67" s="684"/>
      <c r="OGS67" s="684"/>
      <c r="OGT67" s="684"/>
      <c r="OGU67" s="684"/>
      <c r="OGV67" s="684"/>
      <c r="OGW67" s="684"/>
      <c r="OGX67" s="684"/>
      <c r="OGY67" s="684"/>
      <c r="OGZ67" s="684"/>
      <c r="OHA67" s="684"/>
      <c r="OHB67" s="684"/>
      <c r="OHC67" s="684"/>
      <c r="OHD67" s="684"/>
      <c r="OHE67" s="684"/>
      <c r="OHF67" s="684"/>
      <c r="OHG67" s="684"/>
      <c r="OHH67" s="684"/>
      <c r="OHI67" s="684"/>
      <c r="OHJ67" s="684"/>
      <c r="OHK67" s="684"/>
      <c r="OHL67" s="684"/>
      <c r="OHM67" s="684"/>
      <c r="OHN67" s="684"/>
      <c r="OHO67" s="684"/>
      <c r="OHP67" s="684"/>
      <c r="OHQ67" s="684"/>
      <c r="OHR67" s="684"/>
      <c r="OHS67" s="684"/>
      <c r="OHT67" s="684"/>
      <c r="OHU67" s="684"/>
      <c r="OHV67" s="684"/>
      <c r="OHW67" s="684"/>
      <c r="OHX67" s="684"/>
      <c r="OHY67" s="684"/>
      <c r="OHZ67" s="684"/>
      <c r="OIA67" s="684"/>
      <c r="OIB67" s="684"/>
      <c r="OIC67" s="684"/>
      <c r="OID67" s="684"/>
      <c r="OIE67" s="684"/>
      <c r="OIF67" s="684"/>
      <c r="OIG67" s="684"/>
      <c r="OIH67" s="684"/>
      <c r="OII67" s="684"/>
      <c r="OIJ67" s="684"/>
      <c r="OIK67" s="684"/>
      <c r="OIL67" s="684"/>
      <c r="OIM67" s="684"/>
      <c r="OIN67" s="684"/>
      <c r="OIO67" s="684"/>
      <c r="OIP67" s="684"/>
      <c r="OIQ67" s="684"/>
      <c r="OIR67" s="684"/>
      <c r="OIS67" s="684"/>
      <c r="OIT67" s="684"/>
      <c r="OIU67" s="684"/>
      <c r="OIV67" s="684"/>
      <c r="OIW67" s="684"/>
      <c r="OIX67" s="684"/>
      <c r="OIY67" s="684"/>
      <c r="OIZ67" s="684"/>
      <c r="OJA67" s="684"/>
      <c r="OJB67" s="684"/>
      <c r="OJC67" s="684"/>
      <c r="OJD67" s="684"/>
      <c r="OJE67" s="684"/>
      <c r="OJF67" s="684"/>
      <c r="OJG67" s="684"/>
      <c r="OJH67" s="684"/>
      <c r="OJI67" s="684"/>
      <c r="OJJ67" s="684"/>
      <c r="OJK67" s="684"/>
      <c r="OJL67" s="684"/>
      <c r="OJM67" s="684"/>
      <c r="OJN67" s="684"/>
      <c r="OJO67" s="684"/>
      <c r="OJP67" s="684"/>
      <c r="OJQ67" s="684"/>
      <c r="OJR67" s="684"/>
      <c r="OJS67" s="684"/>
      <c r="OJT67" s="684"/>
      <c r="OJU67" s="684"/>
      <c r="OJV67" s="684"/>
      <c r="OJW67" s="684"/>
      <c r="OJX67" s="684"/>
      <c r="OJY67" s="684"/>
      <c r="OJZ67" s="684"/>
      <c r="OKA67" s="684"/>
      <c r="OKB67" s="684"/>
      <c r="OKC67" s="684"/>
      <c r="OKD67" s="684"/>
      <c r="OKE67" s="684"/>
      <c r="OKF67" s="684"/>
      <c r="OKG67" s="684"/>
      <c r="OKH67" s="684"/>
      <c r="OKI67" s="684"/>
      <c r="OKJ67" s="684"/>
      <c r="OKK67" s="684"/>
      <c r="OKL67" s="684"/>
      <c r="OKM67" s="684"/>
      <c r="OKN67" s="684"/>
      <c r="OKO67" s="684"/>
      <c r="OKP67" s="684"/>
      <c r="OKQ67" s="684"/>
      <c r="OKR67" s="684"/>
      <c r="OKS67" s="684"/>
      <c r="OKT67" s="684"/>
      <c r="OKU67" s="684"/>
      <c r="OKV67" s="684"/>
      <c r="OKW67" s="684"/>
      <c r="OKX67" s="684"/>
      <c r="OKY67" s="684"/>
      <c r="OKZ67" s="684"/>
      <c r="OLA67" s="684"/>
      <c r="OLB67" s="684"/>
      <c r="OLC67" s="684"/>
      <c r="OLD67" s="684"/>
      <c r="OLE67" s="684"/>
      <c r="OLF67" s="684"/>
      <c r="OLG67" s="684"/>
      <c r="OLH67" s="684"/>
      <c r="OLI67" s="684"/>
      <c r="OLJ67" s="684"/>
      <c r="OLK67" s="684"/>
      <c r="OLL67" s="684"/>
      <c r="OLM67" s="684"/>
      <c r="OLN67" s="684"/>
      <c r="OLO67" s="684"/>
      <c r="OLP67" s="684"/>
      <c r="OLQ67" s="684"/>
      <c r="OLR67" s="684"/>
      <c r="OLS67" s="684"/>
      <c r="OLT67" s="684"/>
      <c r="OLU67" s="684"/>
      <c r="OLV67" s="684"/>
      <c r="OLW67" s="684"/>
      <c r="OLX67" s="684"/>
      <c r="OLY67" s="684"/>
      <c r="OLZ67" s="684"/>
      <c r="OMA67" s="684"/>
      <c r="OMB67" s="684"/>
      <c r="OMC67" s="684"/>
      <c r="OMD67" s="684"/>
      <c r="OME67" s="684"/>
      <c r="OMF67" s="684"/>
      <c r="OMG67" s="684"/>
      <c r="OMH67" s="684"/>
      <c r="OMI67" s="684"/>
      <c r="OMJ67" s="684"/>
      <c r="OMK67" s="684"/>
      <c r="OML67" s="684"/>
      <c r="OMM67" s="684"/>
      <c r="OMN67" s="684"/>
      <c r="OMO67" s="684"/>
      <c r="OMP67" s="684"/>
      <c r="OMQ67" s="684"/>
      <c r="OMR67" s="684"/>
      <c r="OMS67" s="684"/>
      <c r="OMT67" s="684"/>
      <c r="OMU67" s="684"/>
      <c r="OMV67" s="684"/>
      <c r="OMW67" s="684"/>
      <c r="OMX67" s="684"/>
      <c r="OMY67" s="684"/>
      <c r="OMZ67" s="684"/>
      <c r="ONA67" s="684"/>
      <c r="ONB67" s="684"/>
      <c r="ONC67" s="684"/>
      <c r="OND67" s="684"/>
      <c r="ONE67" s="684"/>
      <c r="ONF67" s="684"/>
      <c r="ONG67" s="684"/>
      <c r="ONH67" s="684"/>
      <c r="ONI67" s="684"/>
      <c r="ONJ67" s="684"/>
      <c r="ONK67" s="684"/>
      <c r="ONL67" s="684"/>
      <c r="ONM67" s="684"/>
      <c r="ONN67" s="684"/>
      <c r="ONO67" s="684"/>
      <c r="ONP67" s="684"/>
      <c r="ONQ67" s="684"/>
      <c r="ONR67" s="684"/>
      <c r="ONS67" s="684"/>
      <c r="ONT67" s="684"/>
      <c r="ONU67" s="684"/>
      <c r="ONV67" s="684"/>
      <c r="ONW67" s="684"/>
      <c r="ONX67" s="684"/>
      <c r="ONY67" s="684"/>
      <c r="ONZ67" s="684"/>
      <c r="OOA67" s="684"/>
      <c r="OOB67" s="684"/>
      <c r="OOC67" s="684"/>
      <c r="OOD67" s="684"/>
      <c r="OOE67" s="684"/>
      <c r="OOF67" s="684"/>
      <c r="OOG67" s="684"/>
      <c r="OOH67" s="684"/>
      <c r="OOI67" s="684"/>
      <c r="OOJ67" s="684"/>
      <c r="OOK67" s="684"/>
      <c r="OOL67" s="684"/>
      <c r="OOM67" s="684"/>
      <c r="OON67" s="684"/>
      <c r="OOO67" s="684"/>
      <c r="OOP67" s="684"/>
      <c r="OOQ67" s="684"/>
      <c r="OOR67" s="684"/>
      <c r="OOS67" s="684"/>
      <c r="OOT67" s="684"/>
      <c r="OOU67" s="684"/>
      <c r="OOV67" s="684"/>
      <c r="OOW67" s="684"/>
      <c r="OOX67" s="684"/>
      <c r="OOY67" s="684"/>
      <c r="OOZ67" s="684"/>
      <c r="OPA67" s="684"/>
      <c r="OPB67" s="684"/>
      <c r="OPC67" s="684"/>
      <c r="OPD67" s="684"/>
      <c r="OPE67" s="684"/>
      <c r="OPF67" s="684"/>
      <c r="OPG67" s="684"/>
      <c r="OPH67" s="684"/>
      <c r="OPI67" s="684"/>
      <c r="OPJ67" s="684"/>
      <c r="OPK67" s="684"/>
      <c r="OPL67" s="684"/>
      <c r="OPM67" s="684"/>
      <c r="OPN67" s="684"/>
      <c r="OPO67" s="684"/>
      <c r="OPP67" s="684"/>
      <c r="OPQ67" s="684"/>
      <c r="OPR67" s="684"/>
      <c r="OPS67" s="684"/>
      <c r="OPT67" s="684"/>
      <c r="OPU67" s="684"/>
      <c r="OPV67" s="684"/>
      <c r="OPW67" s="684"/>
      <c r="OPX67" s="684"/>
      <c r="OPY67" s="684"/>
      <c r="OPZ67" s="684"/>
      <c r="OQA67" s="684"/>
      <c r="OQB67" s="684"/>
      <c r="OQC67" s="684"/>
      <c r="OQD67" s="684"/>
      <c r="OQE67" s="684"/>
      <c r="OQF67" s="684"/>
      <c r="OQG67" s="684"/>
      <c r="OQH67" s="684"/>
      <c r="OQI67" s="684"/>
      <c r="OQJ67" s="684"/>
      <c r="OQK67" s="684"/>
      <c r="OQL67" s="684"/>
      <c r="OQM67" s="684"/>
      <c r="OQN67" s="684"/>
      <c r="OQO67" s="684"/>
      <c r="OQP67" s="684"/>
      <c r="OQQ67" s="684"/>
      <c r="OQR67" s="684"/>
      <c r="OQS67" s="684"/>
      <c r="OQT67" s="684"/>
      <c r="OQU67" s="684"/>
      <c r="OQV67" s="684"/>
      <c r="OQW67" s="684"/>
      <c r="OQX67" s="684"/>
      <c r="OQY67" s="684"/>
      <c r="OQZ67" s="684"/>
      <c r="ORA67" s="684"/>
      <c r="ORB67" s="684"/>
      <c r="ORC67" s="684"/>
      <c r="ORD67" s="684"/>
      <c r="ORE67" s="684"/>
      <c r="ORF67" s="684"/>
      <c r="ORG67" s="684"/>
      <c r="ORH67" s="684"/>
      <c r="ORI67" s="684"/>
      <c r="ORJ67" s="684"/>
      <c r="ORK67" s="684"/>
      <c r="ORL67" s="684"/>
      <c r="ORM67" s="684"/>
      <c r="ORN67" s="684"/>
      <c r="ORO67" s="684"/>
      <c r="ORP67" s="684"/>
      <c r="ORQ67" s="684"/>
      <c r="ORR67" s="684"/>
      <c r="ORS67" s="684"/>
      <c r="ORT67" s="684"/>
      <c r="ORU67" s="684"/>
      <c r="ORV67" s="684"/>
      <c r="ORW67" s="684"/>
      <c r="ORX67" s="684"/>
      <c r="ORY67" s="684"/>
      <c r="ORZ67" s="684"/>
      <c r="OSA67" s="684"/>
      <c r="OSB67" s="684"/>
      <c r="OSC67" s="684"/>
      <c r="OSD67" s="684"/>
      <c r="OSE67" s="684"/>
      <c r="OSF67" s="684"/>
      <c r="OSG67" s="684"/>
      <c r="OSH67" s="684"/>
      <c r="OSI67" s="684"/>
      <c r="OSJ67" s="684"/>
      <c r="OSK67" s="684"/>
      <c r="OSL67" s="684"/>
      <c r="OSM67" s="684"/>
      <c r="OSN67" s="684"/>
      <c r="OSO67" s="684"/>
      <c r="OSP67" s="684"/>
      <c r="OSQ67" s="684"/>
      <c r="OSR67" s="684"/>
      <c r="OSS67" s="684"/>
      <c r="OST67" s="684"/>
      <c r="OSU67" s="684"/>
      <c r="OSV67" s="684"/>
      <c r="OSW67" s="684"/>
      <c r="OSX67" s="684"/>
      <c r="OSY67" s="684"/>
      <c r="OSZ67" s="684"/>
      <c r="OTA67" s="684"/>
      <c r="OTB67" s="684"/>
      <c r="OTC67" s="684"/>
      <c r="OTD67" s="684"/>
      <c r="OTE67" s="684"/>
      <c r="OTF67" s="684"/>
      <c r="OTG67" s="684"/>
      <c r="OTH67" s="684"/>
      <c r="OTI67" s="684"/>
      <c r="OTJ67" s="684"/>
      <c r="OTK67" s="684"/>
      <c r="OTL67" s="684"/>
      <c r="OTM67" s="684"/>
      <c r="OTN67" s="684"/>
      <c r="OTO67" s="684"/>
      <c r="OTP67" s="684"/>
      <c r="OTQ67" s="684"/>
      <c r="OTR67" s="684"/>
      <c r="OTS67" s="684"/>
      <c r="OTT67" s="684"/>
      <c r="OTU67" s="684"/>
      <c r="OTV67" s="684"/>
      <c r="OTW67" s="684"/>
      <c r="OTX67" s="684"/>
      <c r="OTY67" s="684"/>
      <c r="OTZ67" s="684"/>
      <c r="OUA67" s="684"/>
      <c r="OUB67" s="684"/>
      <c r="OUC67" s="684"/>
      <c r="OUD67" s="684"/>
      <c r="OUE67" s="684"/>
      <c r="OUF67" s="684"/>
      <c r="OUG67" s="684"/>
      <c r="OUH67" s="684"/>
      <c r="OUI67" s="684"/>
      <c r="OUJ67" s="684"/>
      <c r="OUK67" s="684"/>
      <c r="OUL67" s="684"/>
      <c r="OUM67" s="684"/>
      <c r="OUN67" s="684"/>
      <c r="OUO67" s="684"/>
      <c r="OUP67" s="684"/>
      <c r="OUQ67" s="684"/>
      <c r="OUR67" s="684"/>
      <c r="OUS67" s="684"/>
      <c r="OUT67" s="684"/>
      <c r="OUU67" s="684"/>
      <c r="OUV67" s="684"/>
      <c r="OUW67" s="684"/>
      <c r="OUX67" s="684"/>
      <c r="OUY67" s="684"/>
      <c r="OUZ67" s="684"/>
      <c r="OVA67" s="684"/>
      <c r="OVB67" s="684"/>
      <c r="OVC67" s="684"/>
      <c r="OVD67" s="684"/>
      <c r="OVE67" s="684"/>
      <c r="OVF67" s="684"/>
      <c r="OVG67" s="684"/>
      <c r="OVH67" s="684"/>
      <c r="OVI67" s="684"/>
      <c r="OVJ67" s="684"/>
      <c r="OVK67" s="684"/>
      <c r="OVL67" s="684"/>
      <c r="OVM67" s="684"/>
      <c r="OVN67" s="684"/>
      <c r="OVO67" s="684"/>
      <c r="OVP67" s="684"/>
      <c r="OVQ67" s="684"/>
      <c r="OVR67" s="684"/>
      <c r="OVS67" s="684"/>
      <c r="OVT67" s="684"/>
      <c r="OVU67" s="684"/>
      <c r="OVV67" s="684"/>
      <c r="OVW67" s="684"/>
      <c r="OVX67" s="684"/>
      <c r="OVY67" s="684"/>
      <c r="OVZ67" s="684"/>
      <c r="OWA67" s="684"/>
      <c r="OWB67" s="684"/>
      <c r="OWC67" s="684"/>
      <c r="OWD67" s="684"/>
      <c r="OWE67" s="684"/>
      <c r="OWF67" s="684"/>
      <c r="OWG67" s="684"/>
      <c r="OWH67" s="684"/>
      <c r="OWI67" s="684"/>
      <c r="OWJ67" s="684"/>
      <c r="OWK67" s="684"/>
      <c r="OWL67" s="684"/>
      <c r="OWM67" s="684"/>
      <c r="OWN67" s="684"/>
      <c r="OWO67" s="684"/>
      <c r="OWP67" s="684"/>
      <c r="OWQ67" s="684"/>
      <c r="OWR67" s="684"/>
      <c r="OWS67" s="684"/>
      <c r="OWT67" s="684"/>
      <c r="OWU67" s="684"/>
      <c r="OWV67" s="684"/>
      <c r="OWW67" s="684"/>
      <c r="OWX67" s="684"/>
      <c r="OWY67" s="684"/>
      <c r="OWZ67" s="684"/>
      <c r="OXA67" s="684"/>
      <c r="OXB67" s="684"/>
      <c r="OXC67" s="684"/>
      <c r="OXD67" s="684"/>
      <c r="OXE67" s="684"/>
      <c r="OXF67" s="684"/>
      <c r="OXG67" s="684"/>
      <c r="OXH67" s="684"/>
      <c r="OXI67" s="684"/>
      <c r="OXJ67" s="684"/>
      <c r="OXK67" s="684"/>
      <c r="OXL67" s="684"/>
      <c r="OXM67" s="684"/>
      <c r="OXN67" s="684"/>
      <c r="OXO67" s="684"/>
      <c r="OXP67" s="684"/>
      <c r="OXQ67" s="684"/>
      <c r="OXR67" s="684"/>
      <c r="OXS67" s="684"/>
      <c r="OXT67" s="684"/>
      <c r="OXU67" s="684"/>
      <c r="OXV67" s="684"/>
      <c r="OXW67" s="684"/>
      <c r="OXX67" s="684"/>
      <c r="OXY67" s="684"/>
      <c r="OXZ67" s="684"/>
      <c r="OYA67" s="684"/>
      <c r="OYB67" s="684"/>
      <c r="OYC67" s="684"/>
      <c r="OYD67" s="684"/>
      <c r="OYE67" s="684"/>
      <c r="OYF67" s="684"/>
      <c r="OYG67" s="684"/>
      <c r="OYH67" s="684"/>
      <c r="OYI67" s="684"/>
      <c r="OYJ67" s="684"/>
      <c r="OYK67" s="684"/>
      <c r="OYL67" s="684"/>
      <c r="OYM67" s="684"/>
      <c r="OYN67" s="684"/>
      <c r="OYO67" s="684"/>
      <c r="OYP67" s="684"/>
      <c r="OYQ67" s="684"/>
      <c r="OYR67" s="684"/>
      <c r="OYS67" s="684"/>
      <c r="OYT67" s="684"/>
      <c r="OYU67" s="684"/>
      <c r="OYV67" s="684"/>
      <c r="OYW67" s="684"/>
      <c r="OYX67" s="684"/>
      <c r="OYY67" s="684"/>
      <c r="OYZ67" s="684"/>
      <c r="OZA67" s="684"/>
      <c r="OZB67" s="684"/>
      <c r="OZC67" s="684"/>
      <c r="OZD67" s="684"/>
      <c r="OZE67" s="684"/>
      <c r="OZF67" s="684"/>
      <c r="OZG67" s="684"/>
      <c r="OZH67" s="684"/>
      <c r="OZI67" s="684"/>
      <c r="OZJ67" s="684"/>
      <c r="OZK67" s="684"/>
      <c r="OZL67" s="684"/>
      <c r="OZM67" s="684"/>
      <c r="OZN67" s="684"/>
      <c r="OZO67" s="684"/>
      <c r="OZP67" s="684"/>
      <c r="OZQ67" s="684"/>
      <c r="OZR67" s="684"/>
      <c r="OZS67" s="684"/>
      <c r="OZT67" s="684"/>
      <c r="OZU67" s="684"/>
      <c r="OZV67" s="684"/>
      <c r="OZW67" s="684"/>
      <c r="OZX67" s="684"/>
      <c r="OZY67" s="684"/>
      <c r="OZZ67" s="684"/>
      <c r="PAA67" s="684"/>
      <c r="PAB67" s="684"/>
      <c r="PAC67" s="684"/>
      <c r="PAD67" s="684"/>
      <c r="PAE67" s="684"/>
      <c r="PAF67" s="684"/>
      <c r="PAG67" s="684"/>
      <c r="PAH67" s="684"/>
      <c r="PAI67" s="684"/>
      <c r="PAJ67" s="684"/>
      <c r="PAK67" s="684"/>
      <c r="PAL67" s="684"/>
      <c r="PAM67" s="684"/>
      <c r="PAN67" s="684"/>
      <c r="PAO67" s="684"/>
      <c r="PAP67" s="684"/>
      <c r="PAQ67" s="684"/>
      <c r="PAR67" s="684"/>
      <c r="PAS67" s="684"/>
      <c r="PAT67" s="684"/>
      <c r="PAU67" s="684"/>
      <c r="PAV67" s="684"/>
      <c r="PAW67" s="684"/>
      <c r="PAX67" s="684"/>
      <c r="PAY67" s="684"/>
      <c r="PAZ67" s="684"/>
      <c r="PBA67" s="684"/>
      <c r="PBB67" s="684"/>
      <c r="PBC67" s="684"/>
      <c r="PBD67" s="684"/>
      <c r="PBE67" s="684"/>
      <c r="PBF67" s="684"/>
      <c r="PBG67" s="684"/>
      <c r="PBH67" s="684"/>
      <c r="PBI67" s="684"/>
      <c r="PBJ67" s="684"/>
      <c r="PBK67" s="684"/>
      <c r="PBL67" s="684"/>
      <c r="PBM67" s="684"/>
      <c r="PBN67" s="684"/>
      <c r="PBO67" s="684"/>
      <c r="PBP67" s="684"/>
      <c r="PBQ67" s="684"/>
      <c r="PBR67" s="684"/>
      <c r="PBS67" s="684"/>
      <c r="PBT67" s="684"/>
      <c r="PBU67" s="684"/>
      <c r="PBV67" s="684"/>
      <c r="PBW67" s="684"/>
      <c r="PBX67" s="684"/>
      <c r="PBY67" s="684"/>
      <c r="PBZ67" s="684"/>
      <c r="PCA67" s="684"/>
      <c r="PCB67" s="684"/>
      <c r="PCC67" s="684"/>
      <c r="PCD67" s="684"/>
      <c r="PCE67" s="684"/>
      <c r="PCF67" s="684"/>
      <c r="PCG67" s="684"/>
      <c r="PCH67" s="684"/>
      <c r="PCI67" s="684"/>
      <c r="PCJ67" s="684"/>
      <c r="PCK67" s="684"/>
      <c r="PCL67" s="684"/>
      <c r="PCM67" s="684"/>
      <c r="PCN67" s="684"/>
      <c r="PCO67" s="684"/>
      <c r="PCP67" s="684"/>
      <c r="PCQ67" s="684"/>
      <c r="PCR67" s="684"/>
      <c r="PCS67" s="684"/>
      <c r="PCT67" s="684"/>
      <c r="PCU67" s="684"/>
      <c r="PCV67" s="684"/>
      <c r="PCW67" s="684"/>
      <c r="PCX67" s="684"/>
      <c r="PCY67" s="684"/>
      <c r="PCZ67" s="684"/>
      <c r="PDA67" s="684"/>
      <c r="PDB67" s="684"/>
      <c r="PDC67" s="684"/>
      <c r="PDD67" s="684"/>
      <c r="PDE67" s="684"/>
      <c r="PDF67" s="684"/>
      <c r="PDG67" s="684"/>
      <c r="PDH67" s="684"/>
      <c r="PDI67" s="684"/>
      <c r="PDJ67" s="684"/>
      <c r="PDK67" s="684"/>
      <c r="PDL67" s="684"/>
      <c r="PDM67" s="684"/>
      <c r="PDN67" s="684"/>
      <c r="PDO67" s="684"/>
      <c r="PDP67" s="684"/>
      <c r="PDQ67" s="684"/>
      <c r="PDR67" s="684"/>
      <c r="PDS67" s="684"/>
      <c r="PDT67" s="684"/>
      <c r="PDU67" s="684"/>
      <c r="PDV67" s="684"/>
      <c r="PDW67" s="684"/>
      <c r="PDX67" s="684"/>
      <c r="PDY67" s="684"/>
      <c r="PDZ67" s="684"/>
      <c r="PEA67" s="684"/>
      <c r="PEB67" s="684"/>
      <c r="PEC67" s="684"/>
      <c r="PED67" s="684"/>
      <c r="PEE67" s="684"/>
      <c r="PEF67" s="684"/>
      <c r="PEG67" s="684"/>
      <c r="PEH67" s="684"/>
      <c r="PEI67" s="684"/>
      <c r="PEJ67" s="684"/>
      <c r="PEK67" s="684"/>
      <c r="PEL67" s="684"/>
      <c r="PEM67" s="684"/>
      <c r="PEN67" s="684"/>
      <c r="PEO67" s="684"/>
      <c r="PEP67" s="684"/>
      <c r="PEQ67" s="684"/>
      <c r="PER67" s="684"/>
      <c r="PES67" s="684"/>
      <c r="PET67" s="684"/>
      <c r="PEU67" s="684"/>
      <c r="PEV67" s="684"/>
      <c r="PEW67" s="684"/>
      <c r="PEX67" s="684"/>
      <c r="PEY67" s="684"/>
      <c r="PEZ67" s="684"/>
      <c r="PFA67" s="684"/>
      <c r="PFB67" s="684"/>
      <c r="PFC67" s="684"/>
      <c r="PFD67" s="684"/>
      <c r="PFE67" s="684"/>
      <c r="PFF67" s="684"/>
      <c r="PFG67" s="684"/>
      <c r="PFH67" s="684"/>
      <c r="PFI67" s="684"/>
      <c r="PFJ67" s="684"/>
      <c r="PFK67" s="684"/>
      <c r="PFL67" s="684"/>
      <c r="PFM67" s="684"/>
      <c r="PFN67" s="684"/>
      <c r="PFO67" s="684"/>
      <c r="PFP67" s="684"/>
      <c r="PFQ67" s="684"/>
      <c r="PFR67" s="684"/>
      <c r="PFS67" s="684"/>
      <c r="PFT67" s="684"/>
      <c r="PFU67" s="684"/>
      <c r="PFV67" s="684"/>
      <c r="PFW67" s="684"/>
      <c r="PFX67" s="684"/>
      <c r="PFY67" s="684"/>
      <c r="PFZ67" s="684"/>
      <c r="PGA67" s="684"/>
      <c r="PGB67" s="684"/>
      <c r="PGC67" s="684"/>
      <c r="PGD67" s="684"/>
      <c r="PGE67" s="684"/>
      <c r="PGF67" s="684"/>
      <c r="PGG67" s="684"/>
      <c r="PGH67" s="684"/>
      <c r="PGI67" s="684"/>
      <c r="PGJ67" s="684"/>
      <c r="PGK67" s="684"/>
      <c r="PGL67" s="684"/>
      <c r="PGM67" s="684"/>
      <c r="PGN67" s="684"/>
      <c r="PGO67" s="684"/>
      <c r="PGP67" s="684"/>
      <c r="PGQ67" s="684"/>
      <c r="PGR67" s="684"/>
      <c r="PGS67" s="684"/>
      <c r="PGT67" s="684"/>
      <c r="PGU67" s="684"/>
      <c r="PGV67" s="684"/>
      <c r="PGW67" s="684"/>
      <c r="PGX67" s="684"/>
      <c r="PGY67" s="684"/>
      <c r="PGZ67" s="684"/>
      <c r="PHA67" s="684"/>
      <c r="PHB67" s="684"/>
      <c r="PHC67" s="684"/>
      <c r="PHD67" s="684"/>
      <c r="PHE67" s="684"/>
      <c r="PHF67" s="684"/>
      <c r="PHG67" s="684"/>
      <c r="PHH67" s="684"/>
      <c r="PHI67" s="684"/>
      <c r="PHJ67" s="684"/>
      <c r="PHK67" s="684"/>
      <c r="PHL67" s="684"/>
      <c r="PHM67" s="684"/>
      <c r="PHN67" s="684"/>
      <c r="PHO67" s="684"/>
      <c r="PHP67" s="684"/>
      <c r="PHQ67" s="684"/>
      <c r="PHR67" s="684"/>
      <c r="PHS67" s="684"/>
      <c r="PHT67" s="684"/>
      <c r="PHU67" s="684"/>
      <c r="PHV67" s="684"/>
      <c r="PHW67" s="684"/>
      <c r="PHX67" s="684"/>
      <c r="PHY67" s="684"/>
      <c r="PHZ67" s="684"/>
      <c r="PIA67" s="684"/>
      <c r="PIB67" s="684"/>
      <c r="PIC67" s="684"/>
      <c r="PID67" s="684"/>
      <c r="PIE67" s="684"/>
      <c r="PIF67" s="684"/>
      <c r="PIG67" s="684"/>
      <c r="PIH67" s="684"/>
      <c r="PII67" s="684"/>
      <c r="PIJ67" s="684"/>
      <c r="PIK67" s="684"/>
      <c r="PIL67" s="684"/>
      <c r="PIM67" s="684"/>
      <c r="PIN67" s="684"/>
      <c r="PIO67" s="684"/>
      <c r="PIP67" s="684"/>
      <c r="PIQ67" s="684"/>
      <c r="PIR67" s="684"/>
      <c r="PIS67" s="684"/>
      <c r="PIT67" s="684"/>
      <c r="PIU67" s="684"/>
      <c r="PIV67" s="684"/>
      <c r="PIW67" s="684"/>
      <c r="PIX67" s="684"/>
      <c r="PIY67" s="684"/>
      <c r="PIZ67" s="684"/>
      <c r="PJA67" s="684"/>
      <c r="PJB67" s="684"/>
      <c r="PJC67" s="684"/>
      <c r="PJD67" s="684"/>
      <c r="PJE67" s="684"/>
      <c r="PJF67" s="684"/>
      <c r="PJG67" s="684"/>
      <c r="PJH67" s="684"/>
      <c r="PJI67" s="684"/>
      <c r="PJJ67" s="684"/>
      <c r="PJK67" s="684"/>
      <c r="PJL67" s="684"/>
      <c r="PJM67" s="684"/>
      <c r="PJN67" s="684"/>
      <c r="PJO67" s="684"/>
      <c r="PJP67" s="684"/>
      <c r="PJQ67" s="684"/>
      <c r="PJR67" s="684"/>
      <c r="PJS67" s="684"/>
      <c r="PJT67" s="684"/>
      <c r="PJU67" s="684"/>
      <c r="PJV67" s="684"/>
      <c r="PJW67" s="684"/>
      <c r="PJX67" s="684"/>
      <c r="PJY67" s="684"/>
      <c r="PJZ67" s="684"/>
      <c r="PKA67" s="684"/>
      <c r="PKB67" s="684"/>
      <c r="PKC67" s="684"/>
      <c r="PKD67" s="684"/>
      <c r="PKE67" s="684"/>
      <c r="PKF67" s="684"/>
      <c r="PKG67" s="684"/>
      <c r="PKH67" s="684"/>
      <c r="PKI67" s="684"/>
      <c r="PKJ67" s="684"/>
      <c r="PKK67" s="684"/>
      <c r="PKL67" s="684"/>
      <c r="PKM67" s="684"/>
      <c r="PKN67" s="684"/>
      <c r="PKO67" s="684"/>
      <c r="PKP67" s="684"/>
      <c r="PKQ67" s="684"/>
      <c r="PKR67" s="684"/>
      <c r="PKS67" s="684"/>
      <c r="PKT67" s="684"/>
      <c r="PKU67" s="684"/>
      <c r="PKV67" s="684"/>
      <c r="PKW67" s="684"/>
      <c r="PKX67" s="684"/>
      <c r="PKY67" s="684"/>
      <c r="PKZ67" s="684"/>
      <c r="PLA67" s="684"/>
      <c r="PLB67" s="684"/>
      <c r="PLC67" s="684"/>
      <c r="PLD67" s="684"/>
      <c r="PLE67" s="684"/>
      <c r="PLF67" s="684"/>
      <c r="PLG67" s="684"/>
      <c r="PLH67" s="684"/>
      <c r="PLI67" s="684"/>
      <c r="PLJ67" s="684"/>
      <c r="PLK67" s="684"/>
      <c r="PLL67" s="684"/>
      <c r="PLM67" s="684"/>
      <c r="PLN67" s="684"/>
      <c r="PLO67" s="684"/>
      <c r="PLP67" s="684"/>
      <c r="PLQ67" s="684"/>
      <c r="PLR67" s="684"/>
      <c r="PLS67" s="684"/>
      <c r="PLT67" s="684"/>
      <c r="PLU67" s="684"/>
      <c r="PLV67" s="684"/>
      <c r="PLW67" s="684"/>
      <c r="PLX67" s="684"/>
      <c r="PLY67" s="684"/>
      <c r="PLZ67" s="684"/>
      <c r="PMA67" s="684"/>
      <c r="PMB67" s="684"/>
      <c r="PMC67" s="684"/>
      <c r="PMD67" s="684"/>
      <c r="PME67" s="684"/>
      <c r="PMF67" s="684"/>
      <c r="PMG67" s="684"/>
      <c r="PMH67" s="684"/>
      <c r="PMI67" s="684"/>
      <c r="PMJ67" s="684"/>
      <c r="PMK67" s="684"/>
      <c r="PML67" s="684"/>
      <c r="PMM67" s="684"/>
      <c r="PMN67" s="684"/>
      <c r="PMO67" s="684"/>
      <c r="PMP67" s="684"/>
      <c r="PMQ67" s="684"/>
      <c r="PMR67" s="684"/>
      <c r="PMS67" s="684"/>
      <c r="PMT67" s="684"/>
      <c r="PMU67" s="684"/>
      <c r="PMV67" s="684"/>
      <c r="PMW67" s="684"/>
      <c r="PMX67" s="684"/>
      <c r="PMY67" s="684"/>
      <c r="PMZ67" s="684"/>
      <c r="PNA67" s="684"/>
      <c r="PNB67" s="684"/>
      <c r="PNC67" s="684"/>
      <c r="PND67" s="684"/>
      <c r="PNE67" s="684"/>
      <c r="PNF67" s="684"/>
      <c r="PNG67" s="684"/>
      <c r="PNH67" s="684"/>
      <c r="PNI67" s="684"/>
      <c r="PNJ67" s="684"/>
      <c r="PNK67" s="684"/>
      <c r="PNL67" s="684"/>
      <c r="PNM67" s="684"/>
      <c r="PNN67" s="684"/>
      <c r="PNO67" s="684"/>
      <c r="PNP67" s="684"/>
      <c r="PNQ67" s="684"/>
      <c r="PNR67" s="684"/>
      <c r="PNS67" s="684"/>
      <c r="PNT67" s="684"/>
      <c r="PNU67" s="684"/>
      <c r="PNV67" s="684"/>
      <c r="PNW67" s="684"/>
      <c r="PNX67" s="684"/>
      <c r="PNY67" s="684"/>
      <c r="PNZ67" s="684"/>
      <c r="POA67" s="684"/>
      <c r="POB67" s="684"/>
      <c r="POC67" s="684"/>
      <c r="POD67" s="684"/>
      <c r="POE67" s="684"/>
      <c r="POF67" s="684"/>
      <c r="POG67" s="684"/>
      <c r="POH67" s="684"/>
      <c r="POI67" s="684"/>
      <c r="POJ67" s="684"/>
      <c r="POK67" s="684"/>
      <c r="POL67" s="684"/>
      <c r="POM67" s="684"/>
      <c r="PON67" s="684"/>
      <c r="POO67" s="684"/>
      <c r="POP67" s="684"/>
      <c r="POQ67" s="684"/>
      <c r="POR67" s="684"/>
      <c r="POS67" s="684"/>
      <c r="POT67" s="684"/>
      <c r="POU67" s="684"/>
      <c r="POV67" s="684"/>
      <c r="POW67" s="684"/>
      <c r="POX67" s="684"/>
      <c r="POY67" s="684"/>
      <c r="POZ67" s="684"/>
      <c r="PPA67" s="684"/>
      <c r="PPB67" s="684"/>
      <c r="PPC67" s="684"/>
      <c r="PPD67" s="684"/>
      <c r="PPE67" s="684"/>
      <c r="PPF67" s="684"/>
      <c r="PPG67" s="684"/>
      <c r="PPH67" s="684"/>
      <c r="PPI67" s="684"/>
      <c r="PPJ67" s="684"/>
      <c r="PPK67" s="684"/>
      <c r="PPL67" s="684"/>
      <c r="PPM67" s="684"/>
      <c r="PPN67" s="684"/>
      <c r="PPO67" s="684"/>
      <c r="PPP67" s="684"/>
      <c r="PPQ67" s="684"/>
      <c r="PPR67" s="684"/>
      <c r="PPS67" s="684"/>
      <c r="PPT67" s="684"/>
      <c r="PPU67" s="684"/>
      <c r="PPV67" s="684"/>
      <c r="PPW67" s="684"/>
      <c r="PPX67" s="684"/>
      <c r="PPY67" s="684"/>
      <c r="PPZ67" s="684"/>
      <c r="PQA67" s="684"/>
      <c r="PQB67" s="684"/>
      <c r="PQC67" s="684"/>
      <c r="PQD67" s="684"/>
      <c r="PQE67" s="684"/>
      <c r="PQF67" s="684"/>
      <c r="PQG67" s="684"/>
      <c r="PQH67" s="684"/>
      <c r="PQI67" s="684"/>
      <c r="PQJ67" s="684"/>
      <c r="PQK67" s="684"/>
      <c r="PQL67" s="684"/>
      <c r="PQM67" s="684"/>
      <c r="PQN67" s="684"/>
      <c r="PQO67" s="684"/>
      <c r="PQP67" s="684"/>
      <c r="PQQ67" s="684"/>
      <c r="PQR67" s="684"/>
      <c r="PQS67" s="684"/>
      <c r="PQT67" s="684"/>
      <c r="PQU67" s="684"/>
      <c r="PQV67" s="684"/>
      <c r="PQW67" s="684"/>
      <c r="PQX67" s="684"/>
      <c r="PQY67" s="684"/>
      <c r="PQZ67" s="684"/>
      <c r="PRA67" s="684"/>
      <c r="PRB67" s="684"/>
      <c r="PRC67" s="684"/>
      <c r="PRD67" s="684"/>
      <c r="PRE67" s="684"/>
      <c r="PRF67" s="684"/>
      <c r="PRG67" s="684"/>
      <c r="PRH67" s="684"/>
      <c r="PRI67" s="684"/>
      <c r="PRJ67" s="684"/>
      <c r="PRK67" s="684"/>
      <c r="PRL67" s="684"/>
      <c r="PRM67" s="684"/>
      <c r="PRN67" s="684"/>
      <c r="PRO67" s="684"/>
      <c r="PRP67" s="684"/>
      <c r="PRQ67" s="684"/>
      <c r="PRR67" s="684"/>
      <c r="PRS67" s="684"/>
      <c r="PRT67" s="684"/>
      <c r="PRU67" s="684"/>
      <c r="PRV67" s="684"/>
      <c r="PRW67" s="684"/>
      <c r="PRX67" s="684"/>
      <c r="PRY67" s="684"/>
      <c r="PRZ67" s="684"/>
      <c r="PSA67" s="684"/>
      <c r="PSB67" s="684"/>
      <c r="PSC67" s="684"/>
      <c r="PSD67" s="684"/>
      <c r="PSE67" s="684"/>
      <c r="PSF67" s="684"/>
      <c r="PSG67" s="684"/>
      <c r="PSH67" s="684"/>
      <c r="PSI67" s="684"/>
      <c r="PSJ67" s="684"/>
      <c r="PSK67" s="684"/>
      <c r="PSL67" s="684"/>
      <c r="PSM67" s="684"/>
      <c r="PSN67" s="684"/>
      <c r="PSO67" s="684"/>
      <c r="PSP67" s="684"/>
      <c r="PSQ67" s="684"/>
      <c r="PSR67" s="684"/>
      <c r="PSS67" s="684"/>
      <c r="PST67" s="684"/>
      <c r="PSU67" s="684"/>
      <c r="PSV67" s="684"/>
      <c r="PSW67" s="684"/>
      <c r="PSX67" s="684"/>
      <c r="PSY67" s="684"/>
      <c r="PSZ67" s="684"/>
      <c r="PTA67" s="684"/>
      <c r="PTB67" s="684"/>
      <c r="PTC67" s="684"/>
      <c r="PTD67" s="684"/>
      <c r="PTE67" s="684"/>
      <c r="PTF67" s="684"/>
      <c r="PTG67" s="684"/>
      <c r="PTH67" s="684"/>
      <c r="PTI67" s="684"/>
      <c r="PTJ67" s="684"/>
      <c r="PTK67" s="684"/>
      <c r="PTL67" s="684"/>
      <c r="PTM67" s="684"/>
      <c r="PTN67" s="684"/>
      <c r="PTO67" s="684"/>
      <c r="PTP67" s="684"/>
      <c r="PTQ67" s="684"/>
      <c r="PTR67" s="684"/>
      <c r="PTS67" s="684"/>
      <c r="PTT67" s="684"/>
      <c r="PTU67" s="684"/>
      <c r="PTV67" s="684"/>
      <c r="PTW67" s="684"/>
      <c r="PTX67" s="684"/>
      <c r="PTY67" s="684"/>
      <c r="PTZ67" s="684"/>
      <c r="PUA67" s="684"/>
      <c r="PUB67" s="684"/>
      <c r="PUC67" s="684"/>
      <c r="PUD67" s="684"/>
      <c r="PUE67" s="684"/>
      <c r="PUF67" s="684"/>
      <c r="PUG67" s="684"/>
      <c r="PUH67" s="684"/>
      <c r="PUI67" s="684"/>
      <c r="PUJ67" s="684"/>
      <c r="PUK67" s="684"/>
      <c r="PUL67" s="684"/>
      <c r="PUM67" s="684"/>
      <c r="PUN67" s="684"/>
      <c r="PUO67" s="684"/>
      <c r="PUP67" s="684"/>
      <c r="PUQ67" s="684"/>
      <c r="PUR67" s="684"/>
      <c r="PUS67" s="684"/>
      <c r="PUT67" s="684"/>
      <c r="PUU67" s="684"/>
      <c r="PUV67" s="684"/>
      <c r="PUW67" s="684"/>
      <c r="PUX67" s="684"/>
      <c r="PUY67" s="684"/>
      <c r="PUZ67" s="684"/>
      <c r="PVA67" s="684"/>
      <c r="PVB67" s="684"/>
      <c r="PVC67" s="684"/>
      <c r="PVD67" s="684"/>
      <c r="PVE67" s="684"/>
      <c r="PVF67" s="684"/>
      <c r="PVG67" s="684"/>
      <c r="PVH67" s="684"/>
      <c r="PVI67" s="684"/>
      <c r="PVJ67" s="684"/>
      <c r="PVK67" s="684"/>
      <c r="PVL67" s="684"/>
      <c r="PVM67" s="684"/>
      <c r="PVN67" s="684"/>
      <c r="PVO67" s="684"/>
      <c r="PVP67" s="684"/>
      <c r="PVQ67" s="684"/>
      <c r="PVR67" s="684"/>
      <c r="PVS67" s="684"/>
      <c r="PVT67" s="684"/>
      <c r="PVU67" s="684"/>
      <c r="PVV67" s="684"/>
      <c r="PVW67" s="684"/>
      <c r="PVX67" s="684"/>
      <c r="PVY67" s="684"/>
      <c r="PVZ67" s="684"/>
      <c r="PWA67" s="684"/>
      <c r="PWB67" s="684"/>
      <c r="PWC67" s="684"/>
      <c r="PWD67" s="684"/>
      <c r="PWE67" s="684"/>
      <c r="PWF67" s="684"/>
      <c r="PWG67" s="684"/>
      <c r="PWH67" s="684"/>
      <c r="PWI67" s="684"/>
      <c r="PWJ67" s="684"/>
      <c r="PWK67" s="684"/>
      <c r="PWL67" s="684"/>
      <c r="PWM67" s="684"/>
      <c r="PWN67" s="684"/>
      <c r="PWO67" s="684"/>
      <c r="PWP67" s="684"/>
      <c r="PWQ67" s="684"/>
      <c r="PWR67" s="684"/>
      <c r="PWS67" s="684"/>
      <c r="PWT67" s="684"/>
      <c r="PWU67" s="684"/>
      <c r="PWV67" s="684"/>
      <c r="PWW67" s="684"/>
      <c r="PWX67" s="684"/>
      <c r="PWY67" s="684"/>
      <c r="PWZ67" s="684"/>
      <c r="PXA67" s="684"/>
      <c r="PXB67" s="684"/>
      <c r="PXC67" s="684"/>
      <c r="PXD67" s="684"/>
      <c r="PXE67" s="684"/>
      <c r="PXF67" s="684"/>
      <c r="PXG67" s="684"/>
      <c r="PXH67" s="684"/>
      <c r="PXI67" s="684"/>
      <c r="PXJ67" s="684"/>
      <c r="PXK67" s="684"/>
      <c r="PXL67" s="684"/>
      <c r="PXM67" s="684"/>
      <c r="PXN67" s="684"/>
      <c r="PXO67" s="684"/>
      <c r="PXP67" s="684"/>
      <c r="PXQ67" s="684"/>
      <c r="PXR67" s="684"/>
      <c r="PXS67" s="684"/>
      <c r="PXT67" s="684"/>
      <c r="PXU67" s="684"/>
      <c r="PXV67" s="684"/>
      <c r="PXW67" s="684"/>
      <c r="PXX67" s="684"/>
      <c r="PXY67" s="684"/>
      <c r="PXZ67" s="684"/>
      <c r="PYA67" s="684"/>
      <c r="PYB67" s="684"/>
      <c r="PYC67" s="684"/>
      <c r="PYD67" s="684"/>
      <c r="PYE67" s="684"/>
      <c r="PYF67" s="684"/>
      <c r="PYG67" s="684"/>
      <c r="PYH67" s="684"/>
      <c r="PYI67" s="684"/>
      <c r="PYJ67" s="684"/>
      <c r="PYK67" s="684"/>
      <c r="PYL67" s="684"/>
      <c r="PYM67" s="684"/>
      <c r="PYN67" s="684"/>
      <c r="PYO67" s="684"/>
      <c r="PYP67" s="684"/>
      <c r="PYQ67" s="684"/>
      <c r="PYR67" s="684"/>
      <c r="PYS67" s="684"/>
      <c r="PYT67" s="684"/>
      <c r="PYU67" s="684"/>
      <c r="PYV67" s="684"/>
      <c r="PYW67" s="684"/>
      <c r="PYX67" s="684"/>
      <c r="PYY67" s="684"/>
      <c r="PYZ67" s="684"/>
      <c r="PZA67" s="684"/>
      <c r="PZB67" s="684"/>
      <c r="PZC67" s="684"/>
      <c r="PZD67" s="684"/>
      <c r="PZE67" s="684"/>
      <c r="PZF67" s="684"/>
      <c r="PZG67" s="684"/>
      <c r="PZH67" s="684"/>
      <c r="PZI67" s="684"/>
      <c r="PZJ67" s="684"/>
      <c r="PZK67" s="684"/>
      <c r="PZL67" s="684"/>
      <c r="PZM67" s="684"/>
      <c r="PZN67" s="684"/>
      <c r="PZO67" s="684"/>
      <c r="PZP67" s="684"/>
      <c r="PZQ67" s="684"/>
      <c r="PZR67" s="684"/>
      <c r="PZS67" s="684"/>
      <c r="PZT67" s="684"/>
      <c r="PZU67" s="684"/>
      <c r="PZV67" s="684"/>
      <c r="PZW67" s="684"/>
      <c r="PZX67" s="684"/>
      <c r="PZY67" s="684"/>
      <c r="PZZ67" s="684"/>
      <c r="QAA67" s="684"/>
      <c r="QAB67" s="684"/>
      <c r="QAC67" s="684"/>
      <c r="QAD67" s="684"/>
      <c r="QAE67" s="684"/>
      <c r="QAF67" s="684"/>
      <c r="QAG67" s="684"/>
      <c r="QAH67" s="684"/>
      <c r="QAI67" s="684"/>
      <c r="QAJ67" s="684"/>
      <c r="QAK67" s="684"/>
      <c r="QAL67" s="684"/>
      <c r="QAM67" s="684"/>
      <c r="QAN67" s="684"/>
      <c r="QAO67" s="684"/>
      <c r="QAP67" s="684"/>
      <c r="QAQ67" s="684"/>
      <c r="QAR67" s="684"/>
      <c r="QAS67" s="684"/>
      <c r="QAT67" s="684"/>
      <c r="QAU67" s="684"/>
      <c r="QAV67" s="684"/>
      <c r="QAW67" s="684"/>
      <c r="QAX67" s="684"/>
      <c r="QAY67" s="684"/>
      <c r="QAZ67" s="684"/>
      <c r="QBA67" s="684"/>
      <c r="QBB67" s="684"/>
      <c r="QBC67" s="684"/>
      <c r="QBD67" s="684"/>
      <c r="QBE67" s="684"/>
      <c r="QBF67" s="684"/>
      <c r="QBG67" s="684"/>
      <c r="QBH67" s="684"/>
      <c r="QBI67" s="684"/>
      <c r="QBJ67" s="684"/>
      <c r="QBK67" s="684"/>
      <c r="QBL67" s="684"/>
      <c r="QBM67" s="684"/>
      <c r="QBN67" s="684"/>
      <c r="QBO67" s="684"/>
      <c r="QBP67" s="684"/>
      <c r="QBQ67" s="684"/>
      <c r="QBR67" s="684"/>
      <c r="QBS67" s="684"/>
      <c r="QBT67" s="684"/>
      <c r="QBU67" s="684"/>
      <c r="QBV67" s="684"/>
      <c r="QBW67" s="684"/>
      <c r="QBX67" s="684"/>
      <c r="QBY67" s="684"/>
      <c r="QBZ67" s="684"/>
      <c r="QCA67" s="684"/>
      <c r="QCB67" s="684"/>
      <c r="QCC67" s="684"/>
      <c r="QCD67" s="684"/>
      <c r="QCE67" s="684"/>
      <c r="QCF67" s="684"/>
      <c r="QCG67" s="684"/>
      <c r="QCH67" s="684"/>
      <c r="QCI67" s="684"/>
      <c r="QCJ67" s="684"/>
      <c r="QCK67" s="684"/>
      <c r="QCL67" s="684"/>
      <c r="QCM67" s="684"/>
      <c r="QCN67" s="684"/>
      <c r="QCO67" s="684"/>
      <c r="QCP67" s="684"/>
      <c r="QCQ67" s="684"/>
      <c r="QCR67" s="684"/>
      <c r="QCS67" s="684"/>
      <c r="QCT67" s="684"/>
      <c r="QCU67" s="684"/>
      <c r="QCV67" s="684"/>
      <c r="QCW67" s="684"/>
      <c r="QCX67" s="684"/>
      <c r="QCY67" s="684"/>
      <c r="QCZ67" s="684"/>
      <c r="QDA67" s="684"/>
      <c r="QDB67" s="684"/>
      <c r="QDC67" s="684"/>
      <c r="QDD67" s="684"/>
      <c r="QDE67" s="684"/>
      <c r="QDF67" s="684"/>
      <c r="QDG67" s="684"/>
      <c r="QDH67" s="684"/>
      <c r="QDI67" s="684"/>
      <c r="QDJ67" s="684"/>
      <c r="QDK67" s="684"/>
      <c r="QDL67" s="684"/>
      <c r="QDM67" s="684"/>
      <c r="QDN67" s="684"/>
      <c r="QDO67" s="684"/>
      <c r="QDP67" s="684"/>
      <c r="QDQ67" s="684"/>
      <c r="QDR67" s="684"/>
      <c r="QDS67" s="684"/>
      <c r="QDT67" s="684"/>
      <c r="QDU67" s="684"/>
      <c r="QDV67" s="684"/>
      <c r="QDW67" s="684"/>
      <c r="QDX67" s="684"/>
      <c r="QDY67" s="684"/>
      <c r="QDZ67" s="684"/>
      <c r="QEA67" s="684"/>
      <c r="QEB67" s="684"/>
      <c r="QEC67" s="684"/>
      <c r="QED67" s="684"/>
      <c r="QEE67" s="684"/>
      <c r="QEF67" s="684"/>
      <c r="QEG67" s="684"/>
      <c r="QEH67" s="684"/>
      <c r="QEI67" s="684"/>
      <c r="QEJ67" s="684"/>
      <c r="QEK67" s="684"/>
      <c r="QEL67" s="684"/>
      <c r="QEM67" s="684"/>
      <c r="QEN67" s="684"/>
      <c r="QEO67" s="684"/>
      <c r="QEP67" s="684"/>
      <c r="QEQ67" s="684"/>
      <c r="QER67" s="684"/>
      <c r="QES67" s="684"/>
      <c r="QET67" s="684"/>
      <c r="QEU67" s="684"/>
      <c r="QEV67" s="684"/>
      <c r="QEW67" s="684"/>
      <c r="QEX67" s="684"/>
      <c r="QEY67" s="684"/>
      <c r="QEZ67" s="684"/>
      <c r="QFA67" s="684"/>
      <c r="QFB67" s="684"/>
      <c r="QFC67" s="684"/>
      <c r="QFD67" s="684"/>
      <c r="QFE67" s="684"/>
      <c r="QFF67" s="684"/>
      <c r="QFG67" s="684"/>
      <c r="QFH67" s="684"/>
      <c r="QFI67" s="684"/>
      <c r="QFJ67" s="684"/>
      <c r="QFK67" s="684"/>
      <c r="QFL67" s="684"/>
      <c r="QFM67" s="684"/>
      <c r="QFN67" s="684"/>
      <c r="QFO67" s="684"/>
      <c r="QFP67" s="684"/>
      <c r="QFQ67" s="684"/>
      <c r="QFR67" s="684"/>
      <c r="QFS67" s="684"/>
      <c r="QFT67" s="684"/>
      <c r="QFU67" s="684"/>
      <c r="QFV67" s="684"/>
      <c r="QFW67" s="684"/>
      <c r="QFX67" s="684"/>
      <c r="QFY67" s="684"/>
      <c r="QFZ67" s="684"/>
      <c r="QGA67" s="684"/>
      <c r="QGB67" s="684"/>
      <c r="QGC67" s="684"/>
      <c r="QGD67" s="684"/>
      <c r="QGE67" s="684"/>
      <c r="QGF67" s="684"/>
      <c r="QGG67" s="684"/>
      <c r="QGH67" s="684"/>
      <c r="QGI67" s="684"/>
      <c r="QGJ67" s="684"/>
      <c r="QGK67" s="684"/>
      <c r="QGL67" s="684"/>
      <c r="QGM67" s="684"/>
      <c r="QGN67" s="684"/>
      <c r="QGO67" s="684"/>
      <c r="QGP67" s="684"/>
      <c r="QGQ67" s="684"/>
      <c r="QGR67" s="684"/>
      <c r="QGS67" s="684"/>
      <c r="QGT67" s="684"/>
      <c r="QGU67" s="684"/>
      <c r="QGV67" s="684"/>
      <c r="QGW67" s="684"/>
      <c r="QGX67" s="684"/>
      <c r="QGY67" s="684"/>
      <c r="QGZ67" s="684"/>
      <c r="QHA67" s="684"/>
      <c r="QHB67" s="684"/>
      <c r="QHC67" s="684"/>
      <c r="QHD67" s="684"/>
      <c r="QHE67" s="684"/>
      <c r="QHF67" s="684"/>
      <c r="QHG67" s="684"/>
      <c r="QHH67" s="684"/>
      <c r="QHI67" s="684"/>
      <c r="QHJ67" s="684"/>
      <c r="QHK67" s="684"/>
      <c r="QHL67" s="684"/>
      <c r="QHM67" s="684"/>
      <c r="QHN67" s="684"/>
      <c r="QHO67" s="684"/>
      <c r="QHP67" s="684"/>
      <c r="QHQ67" s="684"/>
      <c r="QHR67" s="684"/>
      <c r="QHS67" s="684"/>
      <c r="QHT67" s="684"/>
      <c r="QHU67" s="684"/>
      <c r="QHV67" s="684"/>
      <c r="QHW67" s="684"/>
      <c r="QHX67" s="684"/>
      <c r="QHY67" s="684"/>
      <c r="QHZ67" s="684"/>
      <c r="QIA67" s="684"/>
      <c r="QIB67" s="684"/>
      <c r="QIC67" s="684"/>
      <c r="QID67" s="684"/>
      <c r="QIE67" s="684"/>
      <c r="QIF67" s="684"/>
      <c r="QIG67" s="684"/>
      <c r="QIH67" s="684"/>
      <c r="QII67" s="684"/>
      <c r="QIJ67" s="684"/>
      <c r="QIK67" s="684"/>
      <c r="QIL67" s="684"/>
      <c r="QIM67" s="684"/>
      <c r="QIN67" s="684"/>
      <c r="QIO67" s="684"/>
      <c r="QIP67" s="684"/>
      <c r="QIQ67" s="684"/>
      <c r="QIR67" s="684"/>
      <c r="QIS67" s="684"/>
      <c r="QIT67" s="684"/>
      <c r="QIU67" s="684"/>
      <c r="QIV67" s="684"/>
      <c r="QIW67" s="684"/>
      <c r="QIX67" s="684"/>
      <c r="QIY67" s="684"/>
      <c r="QIZ67" s="684"/>
      <c r="QJA67" s="684"/>
      <c r="QJB67" s="684"/>
      <c r="QJC67" s="684"/>
      <c r="QJD67" s="684"/>
      <c r="QJE67" s="684"/>
      <c r="QJF67" s="684"/>
      <c r="QJG67" s="684"/>
      <c r="QJH67" s="684"/>
      <c r="QJI67" s="684"/>
      <c r="QJJ67" s="684"/>
      <c r="QJK67" s="684"/>
      <c r="QJL67" s="684"/>
      <c r="QJM67" s="684"/>
      <c r="QJN67" s="684"/>
      <c r="QJO67" s="684"/>
      <c r="QJP67" s="684"/>
      <c r="QJQ67" s="684"/>
      <c r="QJR67" s="684"/>
      <c r="QJS67" s="684"/>
      <c r="QJT67" s="684"/>
      <c r="QJU67" s="684"/>
      <c r="QJV67" s="684"/>
      <c r="QJW67" s="684"/>
      <c r="QJX67" s="684"/>
      <c r="QJY67" s="684"/>
      <c r="QJZ67" s="684"/>
      <c r="QKA67" s="684"/>
      <c r="QKB67" s="684"/>
      <c r="QKC67" s="684"/>
      <c r="QKD67" s="684"/>
      <c r="QKE67" s="684"/>
      <c r="QKF67" s="684"/>
      <c r="QKG67" s="684"/>
      <c r="QKH67" s="684"/>
      <c r="QKI67" s="684"/>
      <c r="QKJ67" s="684"/>
      <c r="QKK67" s="684"/>
      <c r="QKL67" s="684"/>
      <c r="QKM67" s="684"/>
      <c r="QKN67" s="684"/>
      <c r="QKO67" s="684"/>
      <c r="QKP67" s="684"/>
      <c r="QKQ67" s="684"/>
      <c r="QKR67" s="684"/>
      <c r="QKS67" s="684"/>
      <c r="QKT67" s="684"/>
      <c r="QKU67" s="684"/>
      <c r="QKV67" s="684"/>
      <c r="QKW67" s="684"/>
      <c r="QKX67" s="684"/>
      <c r="QKY67" s="684"/>
      <c r="QKZ67" s="684"/>
      <c r="QLA67" s="684"/>
      <c r="QLB67" s="684"/>
      <c r="QLC67" s="684"/>
      <c r="QLD67" s="684"/>
      <c r="QLE67" s="684"/>
      <c r="QLF67" s="684"/>
      <c r="QLG67" s="684"/>
      <c r="QLH67" s="684"/>
      <c r="QLI67" s="684"/>
      <c r="QLJ67" s="684"/>
      <c r="QLK67" s="684"/>
      <c r="QLL67" s="684"/>
      <c r="QLM67" s="684"/>
      <c r="QLN67" s="684"/>
      <c r="QLO67" s="684"/>
      <c r="QLP67" s="684"/>
      <c r="QLQ67" s="684"/>
      <c r="QLR67" s="684"/>
      <c r="QLS67" s="684"/>
      <c r="QLT67" s="684"/>
      <c r="QLU67" s="684"/>
      <c r="QLV67" s="684"/>
      <c r="QLW67" s="684"/>
      <c r="QLX67" s="684"/>
      <c r="QLY67" s="684"/>
      <c r="QLZ67" s="684"/>
      <c r="QMA67" s="684"/>
      <c r="QMB67" s="684"/>
      <c r="QMC67" s="684"/>
      <c r="QMD67" s="684"/>
      <c r="QME67" s="684"/>
      <c r="QMF67" s="684"/>
      <c r="QMG67" s="684"/>
      <c r="QMH67" s="684"/>
      <c r="QMI67" s="684"/>
      <c r="QMJ67" s="684"/>
      <c r="QMK67" s="684"/>
      <c r="QML67" s="684"/>
      <c r="QMM67" s="684"/>
      <c r="QMN67" s="684"/>
      <c r="QMO67" s="684"/>
      <c r="QMP67" s="684"/>
      <c r="QMQ67" s="684"/>
      <c r="QMR67" s="684"/>
      <c r="QMS67" s="684"/>
      <c r="QMT67" s="684"/>
      <c r="QMU67" s="684"/>
      <c r="QMV67" s="684"/>
      <c r="QMW67" s="684"/>
      <c r="QMX67" s="684"/>
      <c r="QMY67" s="684"/>
      <c r="QMZ67" s="684"/>
      <c r="QNA67" s="684"/>
      <c r="QNB67" s="684"/>
      <c r="QNC67" s="684"/>
      <c r="QND67" s="684"/>
      <c r="QNE67" s="684"/>
      <c r="QNF67" s="684"/>
      <c r="QNG67" s="684"/>
      <c r="QNH67" s="684"/>
      <c r="QNI67" s="684"/>
      <c r="QNJ67" s="684"/>
      <c r="QNK67" s="684"/>
      <c r="QNL67" s="684"/>
      <c r="QNM67" s="684"/>
      <c r="QNN67" s="684"/>
      <c r="QNO67" s="684"/>
      <c r="QNP67" s="684"/>
      <c r="QNQ67" s="684"/>
      <c r="QNR67" s="684"/>
      <c r="QNS67" s="684"/>
      <c r="QNT67" s="684"/>
      <c r="QNU67" s="684"/>
      <c r="QNV67" s="684"/>
      <c r="QNW67" s="684"/>
      <c r="QNX67" s="684"/>
      <c r="QNY67" s="684"/>
      <c r="QNZ67" s="684"/>
      <c r="QOA67" s="684"/>
      <c r="QOB67" s="684"/>
      <c r="QOC67" s="684"/>
      <c r="QOD67" s="684"/>
      <c r="QOE67" s="684"/>
      <c r="QOF67" s="684"/>
      <c r="QOG67" s="684"/>
      <c r="QOH67" s="684"/>
      <c r="QOI67" s="684"/>
      <c r="QOJ67" s="684"/>
      <c r="QOK67" s="684"/>
      <c r="QOL67" s="684"/>
      <c r="QOM67" s="684"/>
      <c r="QON67" s="684"/>
      <c r="QOO67" s="684"/>
      <c r="QOP67" s="684"/>
      <c r="QOQ67" s="684"/>
      <c r="QOR67" s="684"/>
      <c r="QOS67" s="684"/>
      <c r="QOT67" s="684"/>
      <c r="QOU67" s="684"/>
      <c r="QOV67" s="684"/>
      <c r="QOW67" s="684"/>
      <c r="QOX67" s="684"/>
      <c r="QOY67" s="684"/>
      <c r="QOZ67" s="684"/>
      <c r="QPA67" s="684"/>
      <c r="QPB67" s="684"/>
      <c r="QPC67" s="684"/>
      <c r="QPD67" s="684"/>
      <c r="QPE67" s="684"/>
      <c r="QPF67" s="684"/>
      <c r="QPG67" s="684"/>
      <c r="QPH67" s="684"/>
      <c r="QPI67" s="684"/>
      <c r="QPJ67" s="684"/>
      <c r="QPK67" s="684"/>
      <c r="QPL67" s="684"/>
      <c r="QPM67" s="684"/>
      <c r="QPN67" s="684"/>
      <c r="QPO67" s="684"/>
      <c r="QPP67" s="684"/>
      <c r="QPQ67" s="684"/>
      <c r="QPR67" s="684"/>
      <c r="QPS67" s="684"/>
      <c r="QPT67" s="684"/>
      <c r="QPU67" s="684"/>
      <c r="QPV67" s="684"/>
      <c r="QPW67" s="684"/>
      <c r="QPX67" s="684"/>
      <c r="QPY67" s="684"/>
      <c r="QPZ67" s="684"/>
      <c r="QQA67" s="684"/>
      <c r="QQB67" s="684"/>
      <c r="QQC67" s="684"/>
      <c r="QQD67" s="684"/>
      <c r="QQE67" s="684"/>
      <c r="QQF67" s="684"/>
      <c r="QQG67" s="684"/>
      <c r="QQH67" s="684"/>
      <c r="QQI67" s="684"/>
      <c r="QQJ67" s="684"/>
      <c r="QQK67" s="684"/>
      <c r="QQL67" s="684"/>
      <c r="QQM67" s="684"/>
      <c r="QQN67" s="684"/>
      <c r="QQO67" s="684"/>
      <c r="QQP67" s="684"/>
      <c r="QQQ67" s="684"/>
      <c r="QQR67" s="684"/>
      <c r="QQS67" s="684"/>
      <c r="QQT67" s="684"/>
      <c r="QQU67" s="684"/>
      <c r="QQV67" s="684"/>
      <c r="QQW67" s="684"/>
      <c r="QQX67" s="684"/>
      <c r="QQY67" s="684"/>
      <c r="QQZ67" s="684"/>
      <c r="QRA67" s="684"/>
      <c r="QRB67" s="684"/>
      <c r="QRC67" s="684"/>
      <c r="QRD67" s="684"/>
      <c r="QRE67" s="684"/>
      <c r="QRF67" s="684"/>
      <c r="QRG67" s="684"/>
      <c r="QRH67" s="684"/>
      <c r="QRI67" s="684"/>
      <c r="QRJ67" s="684"/>
      <c r="QRK67" s="684"/>
      <c r="QRL67" s="684"/>
      <c r="QRM67" s="684"/>
      <c r="QRN67" s="684"/>
      <c r="QRO67" s="684"/>
      <c r="QRP67" s="684"/>
      <c r="QRQ67" s="684"/>
      <c r="QRR67" s="684"/>
      <c r="QRS67" s="684"/>
      <c r="QRT67" s="684"/>
      <c r="QRU67" s="684"/>
      <c r="QRV67" s="684"/>
      <c r="QRW67" s="684"/>
      <c r="QRX67" s="684"/>
      <c r="QRY67" s="684"/>
      <c r="QRZ67" s="684"/>
      <c r="QSA67" s="684"/>
      <c r="QSB67" s="684"/>
      <c r="QSC67" s="684"/>
      <c r="QSD67" s="684"/>
      <c r="QSE67" s="684"/>
      <c r="QSF67" s="684"/>
      <c r="QSG67" s="684"/>
      <c r="QSH67" s="684"/>
      <c r="QSI67" s="684"/>
      <c r="QSJ67" s="684"/>
      <c r="QSK67" s="684"/>
      <c r="QSL67" s="684"/>
      <c r="QSM67" s="684"/>
      <c r="QSN67" s="684"/>
      <c r="QSO67" s="684"/>
      <c r="QSP67" s="684"/>
      <c r="QSQ67" s="684"/>
      <c r="QSR67" s="684"/>
      <c r="QSS67" s="684"/>
      <c r="QST67" s="684"/>
      <c r="QSU67" s="684"/>
      <c r="QSV67" s="684"/>
      <c r="QSW67" s="684"/>
      <c r="QSX67" s="684"/>
      <c r="QSY67" s="684"/>
      <c r="QSZ67" s="684"/>
      <c r="QTA67" s="684"/>
      <c r="QTB67" s="684"/>
      <c r="QTC67" s="684"/>
      <c r="QTD67" s="684"/>
      <c r="QTE67" s="684"/>
      <c r="QTF67" s="684"/>
      <c r="QTG67" s="684"/>
      <c r="QTH67" s="684"/>
      <c r="QTI67" s="684"/>
      <c r="QTJ67" s="684"/>
      <c r="QTK67" s="684"/>
      <c r="QTL67" s="684"/>
      <c r="QTM67" s="684"/>
      <c r="QTN67" s="684"/>
      <c r="QTO67" s="684"/>
      <c r="QTP67" s="684"/>
      <c r="QTQ67" s="684"/>
      <c r="QTR67" s="684"/>
      <c r="QTS67" s="684"/>
      <c r="QTT67" s="684"/>
      <c r="QTU67" s="684"/>
      <c r="QTV67" s="684"/>
      <c r="QTW67" s="684"/>
      <c r="QTX67" s="684"/>
      <c r="QTY67" s="684"/>
      <c r="QTZ67" s="684"/>
      <c r="QUA67" s="684"/>
      <c r="QUB67" s="684"/>
      <c r="QUC67" s="684"/>
      <c r="QUD67" s="684"/>
      <c r="QUE67" s="684"/>
      <c r="QUF67" s="684"/>
      <c r="QUG67" s="684"/>
      <c r="QUH67" s="684"/>
      <c r="QUI67" s="684"/>
      <c r="QUJ67" s="684"/>
      <c r="QUK67" s="684"/>
      <c r="QUL67" s="684"/>
      <c r="QUM67" s="684"/>
      <c r="QUN67" s="684"/>
      <c r="QUO67" s="684"/>
      <c r="QUP67" s="684"/>
      <c r="QUQ67" s="684"/>
      <c r="QUR67" s="684"/>
      <c r="QUS67" s="684"/>
      <c r="QUT67" s="684"/>
      <c r="QUU67" s="684"/>
      <c r="QUV67" s="684"/>
      <c r="QUW67" s="684"/>
      <c r="QUX67" s="684"/>
      <c r="QUY67" s="684"/>
      <c r="QUZ67" s="684"/>
      <c r="QVA67" s="684"/>
      <c r="QVB67" s="684"/>
      <c r="QVC67" s="684"/>
      <c r="QVD67" s="684"/>
      <c r="QVE67" s="684"/>
      <c r="QVF67" s="684"/>
      <c r="QVG67" s="684"/>
      <c r="QVH67" s="684"/>
      <c r="QVI67" s="684"/>
      <c r="QVJ67" s="684"/>
      <c r="QVK67" s="684"/>
      <c r="QVL67" s="684"/>
      <c r="QVM67" s="684"/>
      <c r="QVN67" s="684"/>
      <c r="QVO67" s="684"/>
      <c r="QVP67" s="684"/>
      <c r="QVQ67" s="684"/>
      <c r="QVR67" s="684"/>
      <c r="QVS67" s="684"/>
      <c r="QVT67" s="684"/>
      <c r="QVU67" s="684"/>
      <c r="QVV67" s="684"/>
      <c r="QVW67" s="684"/>
      <c r="QVX67" s="684"/>
      <c r="QVY67" s="684"/>
      <c r="QVZ67" s="684"/>
      <c r="QWA67" s="684"/>
      <c r="QWB67" s="684"/>
      <c r="QWC67" s="684"/>
      <c r="QWD67" s="684"/>
      <c r="QWE67" s="684"/>
      <c r="QWF67" s="684"/>
      <c r="QWG67" s="684"/>
      <c r="QWH67" s="684"/>
      <c r="QWI67" s="684"/>
      <c r="QWJ67" s="684"/>
      <c r="QWK67" s="684"/>
      <c r="QWL67" s="684"/>
      <c r="QWM67" s="684"/>
      <c r="QWN67" s="684"/>
      <c r="QWO67" s="684"/>
      <c r="QWP67" s="684"/>
      <c r="QWQ67" s="684"/>
      <c r="QWR67" s="684"/>
      <c r="QWS67" s="684"/>
      <c r="QWT67" s="684"/>
      <c r="QWU67" s="684"/>
      <c r="QWV67" s="684"/>
      <c r="QWW67" s="684"/>
      <c r="QWX67" s="684"/>
      <c r="QWY67" s="684"/>
      <c r="QWZ67" s="684"/>
      <c r="QXA67" s="684"/>
      <c r="QXB67" s="684"/>
      <c r="QXC67" s="684"/>
      <c r="QXD67" s="684"/>
      <c r="QXE67" s="684"/>
      <c r="QXF67" s="684"/>
      <c r="QXG67" s="684"/>
      <c r="QXH67" s="684"/>
      <c r="QXI67" s="684"/>
      <c r="QXJ67" s="684"/>
      <c r="QXK67" s="684"/>
      <c r="QXL67" s="684"/>
      <c r="QXM67" s="684"/>
      <c r="QXN67" s="684"/>
      <c r="QXO67" s="684"/>
      <c r="QXP67" s="684"/>
      <c r="QXQ67" s="684"/>
      <c r="QXR67" s="684"/>
      <c r="QXS67" s="684"/>
      <c r="QXT67" s="684"/>
      <c r="QXU67" s="684"/>
      <c r="QXV67" s="684"/>
      <c r="QXW67" s="684"/>
      <c r="QXX67" s="684"/>
      <c r="QXY67" s="684"/>
      <c r="QXZ67" s="684"/>
      <c r="QYA67" s="684"/>
      <c r="QYB67" s="684"/>
      <c r="QYC67" s="684"/>
      <c r="QYD67" s="684"/>
      <c r="QYE67" s="684"/>
      <c r="QYF67" s="684"/>
      <c r="QYG67" s="684"/>
      <c r="QYH67" s="684"/>
      <c r="QYI67" s="684"/>
      <c r="QYJ67" s="684"/>
      <c r="QYK67" s="684"/>
      <c r="QYL67" s="684"/>
      <c r="QYM67" s="684"/>
      <c r="QYN67" s="684"/>
      <c r="QYO67" s="684"/>
      <c r="QYP67" s="684"/>
      <c r="QYQ67" s="684"/>
      <c r="QYR67" s="684"/>
      <c r="QYS67" s="684"/>
      <c r="QYT67" s="684"/>
      <c r="QYU67" s="684"/>
      <c r="QYV67" s="684"/>
      <c r="QYW67" s="684"/>
      <c r="QYX67" s="684"/>
      <c r="QYY67" s="684"/>
      <c r="QYZ67" s="684"/>
      <c r="QZA67" s="684"/>
      <c r="QZB67" s="684"/>
      <c r="QZC67" s="684"/>
      <c r="QZD67" s="684"/>
      <c r="QZE67" s="684"/>
      <c r="QZF67" s="684"/>
      <c r="QZG67" s="684"/>
      <c r="QZH67" s="684"/>
      <c r="QZI67" s="684"/>
      <c r="QZJ67" s="684"/>
      <c r="QZK67" s="684"/>
      <c r="QZL67" s="684"/>
      <c r="QZM67" s="684"/>
      <c r="QZN67" s="684"/>
      <c r="QZO67" s="684"/>
      <c r="QZP67" s="684"/>
      <c r="QZQ67" s="684"/>
      <c r="QZR67" s="684"/>
      <c r="QZS67" s="684"/>
      <c r="QZT67" s="684"/>
      <c r="QZU67" s="684"/>
      <c r="QZV67" s="684"/>
      <c r="QZW67" s="684"/>
      <c r="QZX67" s="684"/>
      <c r="QZY67" s="684"/>
      <c r="QZZ67" s="684"/>
      <c r="RAA67" s="684"/>
      <c r="RAB67" s="684"/>
      <c r="RAC67" s="684"/>
      <c r="RAD67" s="684"/>
      <c r="RAE67" s="684"/>
      <c r="RAF67" s="684"/>
      <c r="RAG67" s="684"/>
      <c r="RAH67" s="684"/>
      <c r="RAI67" s="684"/>
      <c r="RAJ67" s="684"/>
      <c r="RAK67" s="684"/>
      <c r="RAL67" s="684"/>
      <c r="RAM67" s="684"/>
      <c r="RAN67" s="684"/>
      <c r="RAO67" s="684"/>
      <c r="RAP67" s="684"/>
      <c r="RAQ67" s="684"/>
      <c r="RAR67" s="684"/>
      <c r="RAS67" s="684"/>
      <c r="RAT67" s="684"/>
      <c r="RAU67" s="684"/>
      <c r="RAV67" s="684"/>
      <c r="RAW67" s="684"/>
      <c r="RAX67" s="684"/>
      <c r="RAY67" s="684"/>
      <c r="RAZ67" s="684"/>
      <c r="RBA67" s="684"/>
      <c r="RBB67" s="684"/>
      <c r="RBC67" s="684"/>
      <c r="RBD67" s="684"/>
      <c r="RBE67" s="684"/>
      <c r="RBF67" s="684"/>
      <c r="RBG67" s="684"/>
      <c r="RBH67" s="684"/>
      <c r="RBI67" s="684"/>
      <c r="RBJ67" s="684"/>
      <c r="RBK67" s="684"/>
      <c r="RBL67" s="684"/>
      <c r="RBM67" s="684"/>
      <c r="RBN67" s="684"/>
      <c r="RBO67" s="684"/>
      <c r="RBP67" s="684"/>
      <c r="RBQ67" s="684"/>
      <c r="RBR67" s="684"/>
      <c r="RBS67" s="684"/>
      <c r="RBT67" s="684"/>
      <c r="RBU67" s="684"/>
      <c r="RBV67" s="684"/>
      <c r="RBW67" s="684"/>
      <c r="RBX67" s="684"/>
      <c r="RBY67" s="684"/>
      <c r="RBZ67" s="684"/>
      <c r="RCA67" s="684"/>
      <c r="RCB67" s="684"/>
      <c r="RCC67" s="684"/>
      <c r="RCD67" s="684"/>
      <c r="RCE67" s="684"/>
      <c r="RCF67" s="684"/>
      <c r="RCG67" s="684"/>
      <c r="RCH67" s="684"/>
      <c r="RCI67" s="684"/>
      <c r="RCJ67" s="684"/>
      <c r="RCK67" s="684"/>
      <c r="RCL67" s="684"/>
      <c r="RCM67" s="684"/>
      <c r="RCN67" s="684"/>
      <c r="RCO67" s="684"/>
      <c r="RCP67" s="684"/>
      <c r="RCQ67" s="684"/>
      <c r="RCR67" s="684"/>
      <c r="RCS67" s="684"/>
      <c r="RCT67" s="684"/>
      <c r="RCU67" s="684"/>
      <c r="RCV67" s="684"/>
      <c r="RCW67" s="684"/>
      <c r="RCX67" s="684"/>
      <c r="RCY67" s="684"/>
      <c r="RCZ67" s="684"/>
      <c r="RDA67" s="684"/>
      <c r="RDB67" s="684"/>
      <c r="RDC67" s="684"/>
      <c r="RDD67" s="684"/>
      <c r="RDE67" s="684"/>
      <c r="RDF67" s="684"/>
      <c r="RDG67" s="684"/>
      <c r="RDH67" s="684"/>
      <c r="RDI67" s="684"/>
      <c r="RDJ67" s="684"/>
      <c r="RDK67" s="684"/>
      <c r="RDL67" s="684"/>
      <c r="RDM67" s="684"/>
      <c r="RDN67" s="684"/>
      <c r="RDO67" s="684"/>
      <c r="RDP67" s="684"/>
      <c r="RDQ67" s="684"/>
      <c r="RDR67" s="684"/>
      <c r="RDS67" s="684"/>
      <c r="RDT67" s="684"/>
      <c r="RDU67" s="684"/>
      <c r="RDV67" s="684"/>
      <c r="RDW67" s="684"/>
      <c r="RDX67" s="684"/>
      <c r="RDY67" s="684"/>
      <c r="RDZ67" s="684"/>
      <c r="REA67" s="684"/>
      <c r="REB67" s="684"/>
      <c r="REC67" s="684"/>
      <c r="RED67" s="684"/>
      <c r="REE67" s="684"/>
      <c r="REF67" s="684"/>
      <c r="REG67" s="684"/>
      <c r="REH67" s="684"/>
      <c r="REI67" s="684"/>
      <c r="REJ67" s="684"/>
      <c r="REK67" s="684"/>
      <c r="REL67" s="684"/>
      <c r="REM67" s="684"/>
      <c r="REN67" s="684"/>
      <c r="REO67" s="684"/>
      <c r="REP67" s="684"/>
      <c r="REQ67" s="684"/>
      <c r="RER67" s="684"/>
      <c r="RES67" s="684"/>
      <c r="RET67" s="684"/>
      <c r="REU67" s="684"/>
      <c r="REV67" s="684"/>
      <c r="REW67" s="684"/>
      <c r="REX67" s="684"/>
      <c r="REY67" s="684"/>
      <c r="REZ67" s="684"/>
      <c r="RFA67" s="684"/>
      <c r="RFB67" s="684"/>
      <c r="RFC67" s="684"/>
      <c r="RFD67" s="684"/>
      <c r="RFE67" s="684"/>
      <c r="RFF67" s="684"/>
      <c r="RFG67" s="684"/>
      <c r="RFH67" s="684"/>
      <c r="RFI67" s="684"/>
      <c r="RFJ67" s="684"/>
      <c r="RFK67" s="684"/>
      <c r="RFL67" s="684"/>
      <c r="RFM67" s="684"/>
      <c r="RFN67" s="684"/>
      <c r="RFO67" s="684"/>
      <c r="RFP67" s="684"/>
      <c r="RFQ67" s="684"/>
      <c r="RFR67" s="684"/>
      <c r="RFS67" s="684"/>
      <c r="RFT67" s="684"/>
      <c r="RFU67" s="684"/>
      <c r="RFV67" s="684"/>
      <c r="RFW67" s="684"/>
      <c r="RFX67" s="684"/>
      <c r="RFY67" s="684"/>
      <c r="RFZ67" s="684"/>
      <c r="RGA67" s="684"/>
      <c r="RGB67" s="684"/>
      <c r="RGC67" s="684"/>
      <c r="RGD67" s="684"/>
      <c r="RGE67" s="684"/>
      <c r="RGF67" s="684"/>
      <c r="RGG67" s="684"/>
      <c r="RGH67" s="684"/>
      <c r="RGI67" s="684"/>
      <c r="RGJ67" s="684"/>
      <c r="RGK67" s="684"/>
      <c r="RGL67" s="684"/>
      <c r="RGM67" s="684"/>
      <c r="RGN67" s="684"/>
      <c r="RGO67" s="684"/>
      <c r="RGP67" s="684"/>
      <c r="RGQ67" s="684"/>
      <c r="RGR67" s="684"/>
      <c r="RGS67" s="684"/>
      <c r="RGT67" s="684"/>
      <c r="RGU67" s="684"/>
      <c r="RGV67" s="684"/>
      <c r="RGW67" s="684"/>
      <c r="RGX67" s="684"/>
      <c r="RGY67" s="684"/>
      <c r="RGZ67" s="684"/>
      <c r="RHA67" s="684"/>
      <c r="RHB67" s="684"/>
      <c r="RHC67" s="684"/>
      <c r="RHD67" s="684"/>
      <c r="RHE67" s="684"/>
      <c r="RHF67" s="684"/>
      <c r="RHG67" s="684"/>
      <c r="RHH67" s="684"/>
      <c r="RHI67" s="684"/>
      <c r="RHJ67" s="684"/>
      <c r="RHK67" s="684"/>
      <c r="RHL67" s="684"/>
      <c r="RHM67" s="684"/>
      <c r="RHN67" s="684"/>
      <c r="RHO67" s="684"/>
      <c r="RHP67" s="684"/>
      <c r="RHQ67" s="684"/>
      <c r="RHR67" s="684"/>
      <c r="RHS67" s="684"/>
      <c r="RHT67" s="684"/>
      <c r="RHU67" s="684"/>
      <c r="RHV67" s="684"/>
      <c r="RHW67" s="684"/>
      <c r="RHX67" s="684"/>
      <c r="RHY67" s="684"/>
      <c r="RHZ67" s="684"/>
      <c r="RIA67" s="684"/>
      <c r="RIB67" s="684"/>
      <c r="RIC67" s="684"/>
      <c r="RID67" s="684"/>
      <c r="RIE67" s="684"/>
      <c r="RIF67" s="684"/>
      <c r="RIG67" s="684"/>
      <c r="RIH67" s="684"/>
      <c r="RII67" s="684"/>
      <c r="RIJ67" s="684"/>
      <c r="RIK67" s="684"/>
      <c r="RIL67" s="684"/>
      <c r="RIM67" s="684"/>
      <c r="RIN67" s="684"/>
      <c r="RIO67" s="684"/>
      <c r="RIP67" s="684"/>
      <c r="RIQ67" s="684"/>
      <c r="RIR67" s="684"/>
      <c r="RIS67" s="684"/>
      <c r="RIT67" s="684"/>
      <c r="RIU67" s="684"/>
      <c r="RIV67" s="684"/>
      <c r="RIW67" s="684"/>
      <c r="RIX67" s="684"/>
      <c r="RIY67" s="684"/>
      <c r="RIZ67" s="684"/>
      <c r="RJA67" s="684"/>
      <c r="RJB67" s="684"/>
      <c r="RJC67" s="684"/>
      <c r="RJD67" s="684"/>
      <c r="RJE67" s="684"/>
      <c r="RJF67" s="684"/>
      <c r="RJG67" s="684"/>
      <c r="RJH67" s="684"/>
      <c r="RJI67" s="684"/>
      <c r="RJJ67" s="684"/>
      <c r="RJK67" s="684"/>
      <c r="RJL67" s="684"/>
      <c r="RJM67" s="684"/>
      <c r="RJN67" s="684"/>
      <c r="RJO67" s="684"/>
      <c r="RJP67" s="684"/>
      <c r="RJQ67" s="684"/>
      <c r="RJR67" s="684"/>
      <c r="RJS67" s="684"/>
      <c r="RJT67" s="684"/>
      <c r="RJU67" s="684"/>
      <c r="RJV67" s="684"/>
      <c r="RJW67" s="684"/>
      <c r="RJX67" s="684"/>
      <c r="RJY67" s="684"/>
      <c r="RJZ67" s="684"/>
      <c r="RKA67" s="684"/>
      <c r="RKB67" s="684"/>
      <c r="RKC67" s="684"/>
      <c r="RKD67" s="684"/>
      <c r="RKE67" s="684"/>
      <c r="RKF67" s="684"/>
      <c r="RKG67" s="684"/>
      <c r="RKH67" s="684"/>
      <c r="RKI67" s="684"/>
      <c r="RKJ67" s="684"/>
      <c r="RKK67" s="684"/>
      <c r="RKL67" s="684"/>
      <c r="RKM67" s="684"/>
      <c r="RKN67" s="684"/>
      <c r="RKO67" s="684"/>
      <c r="RKP67" s="684"/>
      <c r="RKQ67" s="684"/>
      <c r="RKR67" s="684"/>
      <c r="RKS67" s="684"/>
      <c r="RKT67" s="684"/>
      <c r="RKU67" s="684"/>
      <c r="RKV67" s="684"/>
      <c r="RKW67" s="684"/>
      <c r="RKX67" s="684"/>
      <c r="RKY67" s="684"/>
      <c r="RKZ67" s="684"/>
      <c r="RLA67" s="684"/>
      <c r="RLB67" s="684"/>
      <c r="RLC67" s="684"/>
      <c r="RLD67" s="684"/>
      <c r="RLE67" s="684"/>
      <c r="RLF67" s="684"/>
      <c r="RLG67" s="684"/>
      <c r="RLH67" s="684"/>
      <c r="RLI67" s="684"/>
      <c r="RLJ67" s="684"/>
      <c r="RLK67" s="684"/>
      <c r="RLL67" s="684"/>
      <c r="RLM67" s="684"/>
      <c r="RLN67" s="684"/>
      <c r="RLO67" s="684"/>
      <c r="RLP67" s="684"/>
      <c r="RLQ67" s="684"/>
      <c r="RLR67" s="684"/>
      <c r="RLS67" s="684"/>
      <c r="RLT67" s="684"/>
      <c r="RLU67" s="684"/>
      <c r="RLV67" s="684"/>
      <c r="RLW67" s="684"/>
      <c r="RLX67" s="684"/>
      <c r="RLY67" s="684"/>
      <c r="RLZ67" s="684"/>
      <c r="RMA67" s="684"/>
      <c r="RMB67" s="684"/>
      <c r="RMC67" s="684"/>
      <c r="RMD67" s="684"/>
      <c r="RME67" s="684"/>
      <c r="RMF67" s="684"/>
      <c r="RMG67" s="684"/>
      <c r="RMH67" s="684"/>
      <c r="RMI67" s="684"/>
      <c r="RMJ67" s="684"/>
      <c r="RMK67" s="684"/>
      <c r="RML67" s="684"/>
      <c r="RMM67" s="684"/>
      <c r="RMN67" s="684"/>
      <c r="RMO67" s="684"/>
      <c r="RMP67" s="684"/>
      <c r="RMQ67" s="684"/>
      <c r="RMR67" s="684"/>
      <c r="RMS67" s="684"/>
      <c r="RMT67" s="684"/>
      <c r="RMU67" s="684"/>
      <c r="RMV67" s="684"/>
      <c r="RMW67" s="684"/>
      <c r="RMX67" s="684"/>
      <c r="RMY67" s="684"/>
      <c r="RMZ67" s="684"/>
      <c r="RNA67" s="684"/>
      <c r="RNB67" s="684"/>
      <c r="RNC67" s="684"/>
      <c r="RND67" s="684"/>
      <c r="RNE67" s="684"/>
      <c r="RNF67" s="684"/>
      <c r="RNG67" s="684"/>
      <c r="RNH67" s="684"/>
      <c r="RNI67" s="684"/>
      <c r="RNJ67" s="684"/>
      <c r="RNK67" s="684"/>
      <c r="RNL67" s="684"/>
      <c r="RNM67" s="684"/>
      <c r="RNN67" s="684"/>
      <c r="RNO67" s="684"/>
      <c r="RNP67" s="684"/>
      <c r="RNQ67" s="684"/>
      <c r="RNR67" s="684"/>
      <c r="RNS67" s="684"/>
      <c r="RNT67" s="684"/>
      <c r="RNU67" s="684"/>
      <c r="RNV67" s="684"/>
      <c r="RNW67" s="684"/>
      <c r="RNX67" s="684"/>
      <c r="RNY67" s="684"/>
      <c r="RNZ67" s="684"/>
      <c r="ROA67" s="684"/>
      <c r="ROB67" s="684"/>
      <c r="ROC67" s="684"/>
      <c r="ROD67" s="684"/>
      <c r="ROE67" s="684"/>
      <c r="ROF67" s="684"/>
      <c r="ROG67" s="684"/>
      <c r="ROH67" s="684"/>
      <c r="ROI67" s="684"/>
      <c r="ROJ67" s="684"/>
      <c r="ROK67" s="684"/>
      <c r="ROL67" s="684"/>
      <c r="ROM67" s="684"/>
      <c r="RON67" s="684"/>
      <c r="ROO67" s="684"/>
      <c r="ROP67" s="684"/>
      <c r="ROQ67" s="684"/>
      <c r="ROR67" s="684"/>
      <c r="ROS67" s="684"/>
      <c r="ROT67" s="684"/>
      <c r="ROU67" s="684"/>
      <c r="ROV67" s="684"/>
      <c r="ROW67" s="684"/>
      <c r="ROX67" s="684"/>
      <c r="ROY67" s="684"/>
      <c r="ROZ67" s="684"/>
      <c r="RPA67" s="684"/>
      <c r="RPB67" s="684"/>
      <c r="RPC67" s="684"/>
      <c r="RPD67" s="684"/>
      <c r="RPE67" s="684"/>
      <c r="RPF67" s="684"/>
      <c r="RPG67" s="684"/>
      <c r="RPH67" s="684"/>
      <c r="RPI67" s="684"/>
      <c r="RPJ67" s="684"/>
      <c r="RPK67" s="684"/>
      <c r="RPL67" s="684"/>
      <c r="RPM67" s="684"/>
      <c r="RPN67" s="684"/>
      <c r="RPO67" s="684"/>
      <c r="RPP67" s="684"/>
      <c r="RPQ67" s="684"/>
      <c r="RPR67" s="684"/>
      <c r="RPS67" s="684"/>
      <c r="RPT67" s="684"/>
      <c r="RPU67" s="684"/>
      <c r="RPV67" s="684"/>
      <c r="RPW67" s="684"/>
      <c r="RPX67" s="684"/>
      <c r="RPY67" s="684"/>
      <c r="RPZ67" s="684"/>
      <c r="RQA67" s="684"/>
      <c r="RQB67" s="684"/>
      <c r="RQC67" s="684"/>
      <c r="RQD67" s="684"/>
      <c r="RQE67" s="684"/>
      <c r="RQF67" s="684"/>
      <c r="RQG67" s="684"/>
      <c r="RQH67" s="684"/>
      <c r="RQI67" s="684"/>
      <c r="RQJ67" s="684"/>
      <c r="RQK67" s="684"/>
      <c r="RQL67" s="684"/>
      <c r="RQM67" s="684"/>
      <c r="RQN67" s="684"/>
      <c r="RQO67" s="684"/>
      <c r="RQP67" s="684"/>
      <c r="RQQ67" s="684"/>
      <c r="RQR67" s="684"/>
      <c r="RQS67" s="684"/>
      <c r="RQT67" s="684"/>
      <c r="RQU67" s="684"/>
      <c r="RQV67" s="684"/>
      <c r="RQW67" s="684"/>
      <c r="RQX67" s="684"/>
      <c r="RQY67" s="684"/>
      <c r="RQZ67" s="684"/>
      <c r="RRA67" s="684"/>
      <c r="RRB67" s="684"/>
      <c r="RRC67" s="684"/>
      <c r="RRD67" s="684"/>
      <c r="RRE67" s="684"/>
      <c r="RRF67" s="684"/>
      <c r="RRG67" s="684"/>
      <c r="RRH67" s="684"/>
      <c r="RRI67" s="684"/>
      <c r="RRJ67" s="684"/>
      <c r="RRK67" s="684"/>
      <c r="RRL67" s="684"/>
      <c r="RRM67" s="684"/>
      <c r="RRN67" s="684"/>
      <c r="RRO67" s="684"/>
      <c r="RRP67" s="684"/>
      <c r="RRQ67" s="684"/>
      <c r="RRR67" s="684"/>
      <c r="RRS67" s="684"/>
      <c r="RRT67" s="684"/>
      <c r="RRU67" s="684"/>
      <c r="RRV67" s="684"/>
      <c r="RRW67" s="684"/>
      <c r="RRX67" s="684"/>
      <c r="RRY67" s="684"/>
      <c r="RRZ67" s="684"/>
      <c r="RSA67" s="684"/>
      <c r="RSB67" s="684"/>
      <c r="RSC67" s="684"/>
      <c r="RSD67" s="684"/>
      <c r="RSE67" s="684"/>
      <c r="RSF67" s="684"/>
      <c r="RSG67" s="684"/>
      <c r="RSH67" s="684"/>
      <c r="RSI67" s="684"/>
      <c r="RSJ67" s="684"/>
      <c r="RSK67" s="684"/>
      <c r="RSL67" s="684"/>
      <c r="RSM67" s="684"/>
      <c r="RSN67" s="684"/>
      <c r="RSO67" s="684"/>
      <c r="RSP67" s="684"/>
      <c r="RSQ67" s="684"/>
      <c r="RSR67" s="684"/>
      <c r="RSS67" s="684"/>
      <c r="RST67" s="684"/>
      <c r="RSU67" s="684"/>
      <c r="RSV67" s="684"/>
      <c r="RSW67" s="684"/>
      <c r="RSX67" s="684"/>
      <c r="RSY67" s="684"/>
      <c r="RSZ67" s="684"/>
      <c r="RTA67" s="684"/>
      <c r="RTB67" s="684"/>
      <c r="RTC67" s="684"/>
      <c r="RTD67" s="684"/>
      <c r="RTE67" s="684"/>
      <c r="RTF67" s="684"/>
      <c r="RTG67" s="684"/>
      <c r="RTH67" s="684"/>
      <c r="RTI67" s="684"/>
      <c r="RTJ67" s="684"/>
      <c r="RTK67" s="684"/>
      <c r="RTL67" s="684"/>
      <c r="RTM67" s="684"/>
      <c r="RTN67" s="684"/>
      <c r="RTO67" s="684"/>
      <c r="RTP67" s="684"/>
      <c r="RTQ67" s="684"/>
      <c r="RTR67" s="684"/>
      <c r="RTS67" s="684"/>
      <c r="RTT67" s="684"/>
      <c r="RTU67" s="684"/>
      <c r="RTV67" s="684"/>
      <c r="RTW67" s="684"/>
      <c r="RTX67" s="684"/>
      <c r="RTY67" s="684"/>
      <c r="RTZ67" s="684"/>
      <c r="RUA67" s="684"/>
      <c r="RUB67" s="684"/>
      <c r="RUC67" s="684"/>
      <c r="RUD67" s="684"/>
      <c r="RUE67" s="684"/>
      <c r="RUF67" s="684"/>
      <c r="RUG67" s="684"/>
      <c r="RUH67" s="684"/>
      <c r="RUI67" s="684"/>
      <c r="RUJ67" s="684"/>
      <c r="RUK67" s="684"/>
      <c r="RUL67" s="684"/>
      <c r="RUM67" s="684"/>
      <c r="RUN67" s="684"/>
      <c r="RUO67" s="684"/>
      <c r="RUP67" s="684"/>
      <c r="RUQ67" s="684"/>
      <c r="RUR67" s="684"/>
      <c r="RUS67" s="684"/>
      <c r="RUT67" s="684"/>
      <c r="RUU67" s="684"/>
      <c r="RUV67" s="684"/>
      <c r="RUW67" s="684"/>
      <c r="RUX67" s="684"/>
      <c r="RUY67" s="684"/>
      <c r="RUZ67" s="684"/>
      <c r="RVA67" s="684"/>
      <c r="RVB67" s="684"/>
      <c r="RVC67" s="684"/>
      <c r="RVD67" s="684"/>
      <c r="RVE67" s="684"/>
      <c r="RVF67" s="684"/>
      <c r="RVG67" s="684"/>
      <c r="RVH67" s="684"/>
      <c r="RVI67" s="684"/>
      <c r="RVJ67" s="684"/>
      <c r="RVK67" s="684"/>
      <c r="RVL67" s="684"/>
      <c r="RVM67" s="684"/>
      <c r="RVN67" s="684"/>
      <c r="RVO67" s="684"/>
      <c r="RVP67" s="684"/>
      <c r="RVQ67" s="684"/>
      <c r="RVR67" s="684"/>
      <c r="RVS67" s="684"/>
      <c r="RVT67" s="684"/>
      <c r="RVU67" s="684"/>
      <c r="RVV67" s="684"/>
      <c r="RVW67" s="684"/>
      <c r="RVX67" s="684"/>
      <c r="RVY67" s="684"/>
      <c r="RVZ67" s="684"/>
      <c r="RWA67" s="684"/>
      <c r="RWB67" s="684"/>
      <c r="RWC67" s="684"/>
      <c r="RWD67" s="684"/>
      <c r="RWE67" s="684"/>
      <c r="RWF67" s="684"/>
      <c r="RWG67" s="684"/>
      <c r="RWH67" s="684"/>
      <c r="RWI67" s="684"/>
      <c r="RWJ67" s="684"/>
      <c r="RWK67" s="684"/>
      <c r="RWL67" s="684"/>
      <c r="RWM67" s="684"/>
      <c r="RWN67" s="684"/>
      <c r="RWO67" s="684"/>
      <c r="RWP67" s="684"/>
      <c r="RWQ67" s="684"/>
      <c r="RWR67" s="684"/>
      <c r="RWS67" s="684"/>
      <c r="RWT67" s="684"/>
      <c r="RWU67" s="684"/>
      <c r="RWV67" s="684"/>
      <c r="RWW67" s="684"/>
      <c r="RWX67" s="684"/>
      <c r="RWY67" s="684"/>
      <c r="RWZ67" s="684"/>
      <c r="RXA67" s="684"/>
      <c r="RXB67" s="684"/>
      <c r="RXC67" s="684"/>
      <c r="RXD67" s="684"/>
      <c r="RXE67" s="684"/>
      <c r="RXF67" s="684"/>
      <c r="RXG67" s="684"/>
      <c r="RXH67" s="684"/>
      <c r="RXI67" s="684"/>
      <c r="RXJ67" s="684"/>
      <c r="RXK67" s="684"/>
      <c r="RXL67" s="684"/>
      <c r="RXM67" s="684"/>
      <c r="RXN67" s="684"/>
      <c r="RXO67" s="684"/>
      <c r="RXP67" s="684"/>
      <c r="RXQ67" s="684"/>
      <c r="RXR67" s="684"/>
      <c r="RXS67" s="684"/>
      <c r="RXT67" s="684"/>
      <c r="RXU67" s="684"/>
      <c r="RXV67" s="684"/>
      <c r="RXW67" s="684"/>
      <c r="RXX67" s="684"/>
      <c r="RXY67" s="684"/>
      <c r="RXZ67" s="684"/>
      <c r="RYA67" s="684"/>
      <c r="RYB67" s="684"/>
      <c r="RYC67" s="684"/>
      <c r="RYD67" s="684"/>
      <c r="RYE67" s="684"/>
      <c r="RYF67" s="684"/>
      <c r="RYG67" s="684"/>
      <c r="RYH67" s="684"/>
      <c r="RYI67" s="684"/>
      <c r="RYJ67" s="684"/>
      <c r="RYK67" s="684"/>
      <c r="RYL67" s="684"/>
      <c r="RYM67" s="684"/>
      <c r="RYN67" s="684"/>
      <c r="RYO67" s="684"/>
      <c r="RYP67" s="684"/>
      <c r="RYQ67" s="684"/>
      <c r="RYR67" s="684"/>
      <c r="RYS67" s="684"/>
      <c r="RYT67" s="684"/>
      <c r="RYU67" s="684"/>
      <c r="RYV67" s="684"/>
      <c r="RYW67" s="684"/>
      <c r="RYX67" s="684"/>
      <c r="RYY67" s="684"/>
      <c r="RYZ67" s="684"/>
      <c r="RZA67" s="684"/>
      <c r="RZB67" s="684"/>
      <c r="RZC67" s="684"/>
      <c r="RZD67" s="684"/>
      <c r="RZE67" s="684"/>
      <c r="RZF67" s="684"/>
      <c r="RZG67" s="684"/>
      <c r="RZH67" s="684"/>
      <c r="RZI67" s="684"/>
      <c r="RZJ67" s="684"/>
      <c r="RZK67" s="684"/>
      <c r="RZL67" s="684"/>
      <c r="RZM67" s="684"/>
      <c r="RZN67" s="684"/>
      <c r="RZO67" s="684"/>
      <c r="RZP67" s="684"/>
      <c r="RZQ67" s="684"/>
      <c r="RZR67" s="684"/>
      <c r="RZS67" s="684"/>
      <c r="RZT67" s="684"/>
      <c r="RZU67" s="684"/>
      <c r="RZV67" s="684"/>
      <c r="RZW67" s="684"/>
      <c r="RZX67" s="684"/>
      <c r="RZY67" s="684"/>
      <c r="RZZ67" s="684"/>
      <c r="SAA67" s="684"/>
      <c r="SAB67" s="684"/>
      <c r="SAC67" s="684"/>
      <c r="SAD67" s="684"/>
      <c r="SAE67" s="684"/>
      <c r="SAF67" s="684"/>
      <c r="SAG67" s="684"/>
      <c r="SAH67" s="684"/>
      <c r="SAI67" s="684"/>
      <c r="SAJ67" s="684"/>
      <c r="SAK67" s="684"/>
      <c r="SAL67" s="684"/>
      <c r="SAM67" s="684"/>
      <c r="SAN67" s="684"/>
      <c r="SAO67" s="684"/>
      <c r="SAP67" s="684"/>
      <c r="SAQ67" s="684"/>
      <c r="SAR67" s="684"/>
      <c r="SAS67" s="684"/>
      <c r="SAT67" s="684"/>
      <c r="SAU67" s="684"/>
      <c r="SAV67" s="684"/>
      <c r="SAW67" s="684"/>
      <c r="SAX67" s="684"/>
      <c r="SAY67" s="684"/>
      <c r="SAZ67" s="684"/>
      <c r="SBA67" s="684"/>
      <c r="SBB67" s="684"/>
      <c r="SBC67" s="684"/>
      <c r="SBD67" s="684"/>
      <c r="SBE67" s="684"/>
      <c r="SBF67" s="684"/>
      <c r="SBG67" s="684"/>
      <c r="SBH67" s="684"/>
      <c r="SBI67" s="684"/>
      <c r="SBJ67" s="684"/>
      <c r="SBK67" s="684"/>
      <c r="SBL67" s="684"/>
      <c r="SBM67" s="684"/>
      <c r="SBN67" s="684"/>
      <c r="SBO67" s="684"/>
      <c r="SBP67" s="684"/>
      <c r="SBQ67" s="684"/>
      <c r="SBR67" s="684"/>
      <c r="SBS67" s="684"/>
      <c r="SBT67" s="684"/>
      <c r="SBU67" s="684"/>
      <c r="SBV67" s="684"/>
      <c r="SBW67" s="684"/>
      <c r="SBX67" s="684"/>
      <c r="SBY67" s="684"/>
      <c r="SBZ67" s="684"/>
      <c r="SCA67" s="684"/>
      <c r="SCB67" s="684"/>
      <c r="SCC67" s="684"/>
      <c r="SCD67" s="684"/>
      <c r="SCE67" s="684"/>
      <c r="SCF67" s="684"/>
      <c r="SCG67" s="684"/>
      <c r="SCH67" s="684"/>
      <c r="SCI67" s="684"/>
      <c r="SCJ67" s="684"/>
      <c r="SCK67" s="684"/>
      <c r="SCL67" s="684"/>
      <c r="SCM67" s="684"/>
      <c r="SCN67" s="684"/>
      <c r="SCO67" s="684"/>
      <c r="SCP67" s="684"/>
      <c r="SCQ67" s="684"/>
      <c r="SCR67" s="684"/>
      <c r="SCS67" s="684"/>
      <c r="SCT67" s="684"/>
      <c r="SCU67" s="684"/>
      <c r="SCV67" s="684"/>
      <c r="SCW67" s="684"/>
      <c r="SCX67" s="684"/>
      <c r="SCY67" s="684"/>
      <c r="SCZ67" s="684"/>
      <c r="SDA67" s="684"/>
      <c r="SDB67" s="684"/>
      <c r="SDC67" s="684"/>
      <c r="SDD67" s="684"/>
      <c r="SDE67" s="684"/>
      <c r="SDF67" s="684"/>
      <c r="SDG67" s="684"/>
      <c r="SDH67" s="684"/>
      <c r="SDI67" s="684"/>
      <c r="SDJ67" s="684"/>
      <c r="SDK67" s="684"/>
      <c r="SDL67" s="684"/>
      <c r="SDM67" s="684"/>
      <c r="SDN67" s="684"/>
      <c r="SDO67" s="684"/>
      <c r="SDP67" s="684"/>
      <c r="SDQ67" s="684"/>
      <c r="SDR67" s="684"/>
      <c r="SDS67" s="684"/>
      <c r="SDT67" s="684"/>
      <c r="SDU67" s="684"/>
      <c r="SDV67" s="684"/>
      <c r="SDW67" s="684"/>
      <c r="SDX67" s="684"/>
      <c r="SDY67" s="684"/>
      <c r="SDZ67" s="684"/>
      <c r="SEA67" s="684"/>
      <c r="SEB67" s="684"/>
      <c r="SEC67" s="684"/>
      <c r="SED67" s="684"/>
      <c r="SEE67" s="684"/>
      <c r="SEF67" s="684"/>
      <c r="SEG67" s="684"/>
      <c r="SEH67" s="684"/>
      <c r="SEI67" s="684"/>
      <c r="SEJ67" s="684"/>
      <c r="SEK67" s="684"/>
      <c r="SEL67" s="684"/>
      <c r="SEM67" s="684"/>
      <c r="SEN67" s="684"/>
      <c r="SEO67" s="684"/>
      <c r="SEP67" s="684"/>
      <c r="SEQ67" s="684"/>
      <c r="SER67" s="684"/>
      <c r="SES67" s="684"/>
      <c r="SET67" s="684"/>
      <c r="SEU67" s="684"/>
      <c r="SEV67" s="684"/>
      <c r="SEW67" s="684"/>
      <c r="SEX67" s="684"/>
      <c r="SEY67" s="684"/>
      <c r="SEZ67" s="684"/>
      <c r="SFA67" s="684"/>
      <c r="SFB67" s="684"/>
      <c r="SFC67" s="684"/>
      <c r="SFD67" s="684"/>
      <c r="SFE67" s="684"/>
      <c r="SFF67" s="684"/>
      <c r="SFG67" s="684"/>
      <c r="SFH67" s="684"/>
      <c r="SFI67" s="684"/>
      <c r="SFJ67" s="684"/>
      <c r="SFK67" s="684"/>
      <c r="SFL67" s="684"/>
      <c r="SFM67" s="684"/>
      <c r="SFN67" s="684"/>
      <c r="SFO67" s="684"/>
      <c r="SFP67" s="684"/>
      <c r="SFQ67" s="684"/>
      <c r="SFR67" s="684"/>
      <c r="SFS67" s="684"/>
      <c r="SFT67" s="684"/>
      <c r="SFU67" s="684"/>
      <c r="SFV67" s="684"/>
      <c r="SFW67" s="684"/>
      <c r="SFX67" s="684"/>
      <c r="SFY67" s="684"/>
      <c r="SFZ67" s="684"/>
      <c r="SGA67" s="684"/>
      <c r="SGB67" s="684"/>
      <c r="SGC67" s="684"/>
      <c r="SGD67" s="684"/>
      <c r="SGE67" s="684"/>
      <c r="SGF67" s="684"/>
      <c r="SGG67" s="684"/>
      <c r="SGH67" s="684"/>
      <c r="SGI67" s="684"/>
      <c r="SGJ67" s="684"/>
      <c r="SGK67" s="684"/>
      <c r="SGL67" s="684"/>
      <c r="SGM67" s="684"/>
      <c r="SGN67" s="684"/>
      <c r="SGO67" s="684"/>
      <c r="SGP67" s="684"/>
      <c r="SGQ67" s="684"/>
      <c r="SGR67" s="684"/>
      <c r="SGS67" s="684"/>
      <c r="SGT67" s="684"/>
      <c r="SGU67" s="684"/>
      <c r="SGV67" s="684"/>
      <c r="SGW67" s="684"/>
      <c r="SGX67" s="684"/>
      <c r="SGY67" s="684"/>
      <c r="SGZ67" s="684"/>
      <c r="SHA67" s="684"/>
      <c r="SHB67" s="684"/>
      <c r="SHC67" s="684"/>
      <c r="SHD67" s="684"/>
      <c r="SHE67" s="684"/>
      <c r="SHF67" s="684"/>
      <c r="SHG67" s="684"/>
      <c r="SHH67" s="684"/>
      <c r="SHI67" s="684"/>
      <c r="SHJ67" s="684"/>
      <c r="SHK67" s="684"/>
      <c r="SHL67" s="684"/>
      <c r="SHM67" s="684"/>
      <c r="SHN67" s="684"/>
      <c r="SHO67" s="684"/>
      <c r="SHP67" s="684"/>
      <c r="SHQ67" s="684"/>
      <c r="SHR67" s="684"/>
      <c r="SHS67" s="684"/>
      <c r="SHT67" s="684"/>
      <c r="SHU67" s="684"/>
      <c r="SHV67" s="684"/>
      <c r="SHW67" s="684"/>
      <c r="SHX67" s="684"/>
      <c r="SHY67" s="684"/>
      <c r="SHZ67" s="684"/>
      <c r="SIA67" s="684"/>
      <c r="SIB67" s="684"/>
      <c r="SIC67" s="684"/>
      <c r="SID67" s="684"/>
      <c r="SIE67" s="684"/>
      <c r="SIF67" s="684"/>
      <c r="SIG67" s="684"/>
      <c r="SIH67" s="684"/>
      <c r="SII67" s="684"/>
      <c r="SIJ67" s="684"/>
      <c r="SIK67" s="684"/>
      <c r="SIL67" s="684"/>
      <c r="SIM67" s="684"/>
      <c r="SIN67" s="684"/>
      <c r="SIO67" s="684"/>
      <c r="SIP67" s="684"/>
      <c r="SIQ67" s="684"/>
      <c r="SIR67" s="684"/>
      <c r="SIS67" s="684"/>
      <c r="SIT67" s="684"/>
      <c r="SIU67" s="684"/>
      <c r="SIV67" s="684"/>
      <c r="SIW67" s="684"/>
      <c r="SIX67" s="684"/>
      <c r="SIY67" s="684"/>
      <c r="SIZ67" s="684"/>
      <c r="SJA67" s="684"/>
      <c r="SJB67" s="684"/>
      <c r="SJC67" s="684"/>
      <c r="SJD67" s="684"/>
      <c r="SJE67" s="684"/>
      <c r="SJF67" s="684"/>
      <c r="SJG67" s="684"/>
      <c r="SJH67" s="684"/>
      <c r="SJI67" s="684"/>
      <c r="SJJ67" s="684"/>
      <c r="SJK67" s="684"/>
      <c r="SJL67" s="684"/>
      <c r="SJM67" s="684"/>
      <c r="SJN67" s="684"/>
      <c r="SJO67" s="684"/>
      <c r="SJP67" s="684"/>
      <c r="SJQ67" s="684"/>
      <c r="SJR67" s="684"/>
      <c r="SJS67" s="684"/>
      <c r="SJT67" s="684"/>
      <c r="SJU67" s="684"/>
      <c r="SJV67" s="684"/>
      <c r="SJW67" s="684"/>
      <c r="SJX67" s="684"/>
      <c r="SJY67" s="684"/>
      <c r="SJZ67" s="684"/>
      <c r="SKA67" s="684"/>
      <c r="SKB67" s="684"/>
      <c r="SKC67" s="684"/>
      <c r="SKD67" s="684"/>
      <c r="SKE67" s="684"/>
      <c r="SKF67" s="684"/>
      <c r="SKG67" s="684"/>
      <c r="SKH67" s="684"/>
      <c r="SKI67" s="684"/>
      <c r="SKJ67" s="684"/>
      <c r="SKK67" s="684"/>
      <c r="SKL67" s="684"/>
      <c r="SKM67" s="684"/>
      <c r="SKN67" s="684"/>
      <c r="SKO67" s="684"/>
      <c r="SKP67" s="684"/>
      <c r="SKQ67" s="684"/>
      <c r="SKR67" s="684"/>
      <c r="SKS67" s="684"/>
      <c r="SKT67" s="684"/>
      <c r="SKU67" s="684"/>
      <c r="SKV67" s="684"/>
      <c r="SKW67" s="684"/>
      <c r="SKX67" s="684"/>
      <c r="SKY67" s="684"/>
      <c r="SKZ67" s="684"/>
      <c r="SLA67" s="684"/>
      <c r="SLB67" s="684"/>
      <c r="SLC67" s="684"/>
      <c r="SLD67" s="684"/>
      <c r="SLE67" s="684"/>
      <c r="SLF67" s="684"/>
      <c r="SLG67" s="684"/>
      <c r="SLH67" s="684"/>
      <c r="SLI67" s="684"/>
      <c r="SLJ67" s="684"/>
      <c r="SLK67" s="684"/>
      <c r="SLL67" s="684"/>
      <c r="SLM67" s="684"/>
      <c r="SLN67" s="684"/>
      <c r="SLO67" s="684"/>
      <c r="SLP67" s="684"/>
      <c r="SLQ67" s="684"/>
      <c r="SLR67" s="684"/>
      <c r="SLS67" s="684"/>
      <c r="SLT67" s="684"/>
      <c r="SLU67" s="684"/>
      <c r="SLV67" s="684"/>
      <c r="SLW67" s="684"/>
      <c r="SLX67" s="684"/>
      <c r="SLY67" s="684"/>
      <c r="SLZ67" s="684"/>
      <c r="SMA67" s="684"/>
      <c r="SMB67" s="684"/>
      <c r="SMC67" s="684"/>
      <c r="SMD67" s="684"/>
      <c r="SME67" s="684"/>
      <c r="SMF67" s="684"/>
      <c r="SMG67" s="684"/>
      <c r="SMH67" s="684"/>
      <c r="SMI67" s="684"/>
      <c r="SMJ67" s="684"/>
      <c r="SMK67" s="684"/>
      <c r="SML67" s="684"/>
      <c r="SMM67" s="684"/>
      <c r="SMN67" s="684"/>
      <c r="SMO67" s="684"/>
      <c r="SMP67" s="684"/>
      <c r="SMQ67" s="684"/>
      <c r="SMR67" s="684"/>
      <c r="SMS67" s="684"/>
      <c r="SMT67" s="684"/>
      <c r="SMU67" s="684"/>
      <c r="SMV67" s="684"/>
      <c r="SMW67" s="684"/>
      <c r="SMX67" s="684"/>
      <c r="SMY67" s="684"/>
      <c r="SMZ67" s="684"/>
      <c r="SNA67" s="684"/>
      <c r="SNB67" s="684"/>
      <c r="SNC67" s="684"/>
      <c r="SND67" s="684"/>
      <c r="SNE67" s="684"/>
      <c r="SNF67" s="684"/>
      <c r="SNG67" s="684"/>
      <c r="SNH67" s="684"/>
      <c r="SNI67" s="684"/>
      <c r="SNJ67" s="684"/>
      <c r="SNK67" s="684"/>
      <c r="SNL67" s="684"/>
      <c r="SNM67" s="684"/>
      <c r="SNN67" s="684"/>
      <c r="SNO67" s="684"/>
      <c r="SNP67" s="684"/>
      <c r="SNQ67" s="684"/>
      <c r="SNR67" s="684"/>
      <c r="SNS67" s="684"/>
      <c r="SNT67" s="684"/>
      <c r="SNU67" s="684"/>
      <c r="SNV67" s="684"/>
      <c r="SNW67" s="684"/>
      <c r="SNX67" s="684"/>
      <c r="SNY67" s="684"/>
      <c r="SNZ67" s="684"/>
      <c r="SOA67" s="684"/>
      <c r="SOB67" s="684"/>
      <c r="SOC67" s="684"/>
      <c r="SOD67" s="684"/>
      <c r="SOE67" s="684"/>
      <c r="SOF67" s="684"/>
      <c r="SOG67" s="684"/>
      <c r="SOH67" s="684"/>
      <c r="SOI67" s="684"/>
      <c r="SOJ67" s="684"/>
      <c r="SOK67" s="684"/>
      <c r="SOL67" s="684"/>
      <c r="SOM67" s="684"/>
      <c r="SON67" s="684"/>
      <c r="SOO67" s="684"/>
      <c r="SOP67" s="684"/>
      <c r="SOQ67" s="684"/>
      <c r="SOR67" s="684"/>
      <c r="SOS67" s="684"/>
      <c r="SOT67" s="684"/>
      <c r="SOU67" s="684"/>
      <c r="SOV67" s="684"/>
      <c r="SOW67" s="684"/>
      <c r="SOX67" s="684"/>
      <c r="SOY67" s="684"/>
      <c r="SOZ67" s="684"/>
      <c r="SPA67" s="684"/>
      <c r="SPB67" s="684"/>
      <c r="SPC67" s="684"/>
      <c r="SPD67" s="684"/>
      <c r="SPE67" s="684"/>
      <c r="SPF67" s="684"/>
      <c r="SPG67" s="684"/>
      <c r="SPH67" s="684"/>
      <c r="SPI67" s="684"/>
      <c r="SPJ67" s="684"/>
      <c r="SPK67" s="684"/>
      <c r="SPL67" s="684"/>
      <c r="SPM67" s="684"/>
      <c r="SPN67" s="684"/>
      <c r="SPO67" s="684"/>
      <c r="SPP67" s="684"/>
      <c r="SPQ67" s="684"/>
      <c r="SPR67" s="684"/>
      <c r="SPS67" s="684"/>
      <c r="SPT67" s="684"/>
      <c r="SPU67" s="684"/>
      <c r="SPV67" s="684"/>
      <c r="SPW67" s="684"/>
      <c r="SPX67" s="684"/>
      <c r="SPY67" s="684"/>
      <c r="SPZ67" s="684"/>
      <c r="SQA67" s="684"/>
      <c r="SQB67" s="684"/>
      <c r="SQC67" s="684"/>
      <c r="SQD67" s="684"/>
      <c r="SQE67" s="684"/>
      <c r="SQF67" s="684"/>
      <c r="SQG67" s="684"/>
      <c r="SQH67" s="684"/>
      <c r="SQI67" s="684"/>
      <c r="SQJ67" s="684"/>
      <c r="SQK67" s="684"/>
      <c r="SQL67" s="684"/>
      <c r="SQM67" s="684"/>
      <c r="SQN67" s="684"/>
      <c r="SQO67" s="684"/>
      <c r="SQP67" s="684"/>
      <c r="SQQ67" s="684"/>
      <c r="SQR67" s="684"/>
      <c r="SQS67" s="684"/>
      <c r="SQT67" s="684"/>
      <c r="SQU67" s="684"/>
      <c r="SQV67" s="684"/>
      <c r="SQW67" s="684"/>
      <c r="SQX67" s="684"/>
      <c r="SQY67" s="684"/>
      <c r="SQZ67" s="684"/>
      <c r="SRA67" s="684"/>
      <c r="SRB67" s="684"/>
      <c r="SRC67" s="684"/>
      <c r="SRD67" s="684"/>
      <c r="SRE67" s="684"/>
      <c r="SRF67" s="684"/>
      <c r="SRG67" s="684"/>
      <c r="SRH67" s="684"/>
      <c r="SRI67" s="684"/>
      <c r="SRJ67" s="684"/>
      <c r="SRK67" s="684"/>
      <c r="SRL67" s="684"/>
      <c r="SRM67" s="684"/>
      <c r="SRN67" s="684"/>
      <c r="SRO67" s="684"/>
      <c r="SRP67" s="684"/>
      <c r="SRQ67" s="684"/>
      <c r="SRR67" s="684"/>
      <c r="SRS67" s="684"/>
      <c r="SRT67" s="684"/>
      <c r="SRU67" s="684"/>
      <c r="SRV67" s="684"/>
      <c r="SRW67" s="684"/>
      <c r="SRX67" s="684"/>
      <c r="SRY67" s="684"/>
      <c r="SRZ67" s="684"/>
      <c r="SSA67" s="684"/>
      <c r="SSB67" s="684"/>
      <c r="SSC67" s="684"/>
      <c r="SSD67" s="684"/>
      <c r="SSE67" s="684"/>
      <c r="SSF67" s="684"/>
      <c r="SSG67" s="684"/>
      <c r="SSH67" s="684"/>
      <c r="SSI67" s="684"/>
      <c r="SSJ67" s="684"/>
      <c r="SSK67" s="684"/>
      <c r="SSL67" s="684"/>
      <c r="SSM67" s="684"/>
      <c r="SSN67" s="684"/>
      <c r="SSO67" s="684"/>
      <c r="SSP67" s="684"/>
      <c r="SSQ67" s="684"/>
      <c r="SSR67" s="684"/>
      <c r="SSS67" s="684"/>
      <c r="SST67" s="684"/>
      <c r="SSU67" s="684"/>
      <c r="SSV67" s="684"/>
      <c r="SSW67" s="684"/>
      <c r="SSX67" s="684"/>
      <c r="SSY67" s="684"/>
      <c r="SSZ67" s="684"/>
      <c r="STA67" s="684"/>
      <c r="STB67" s="684"/>
      <c r="STC67" s="684"/>
      <c r="STD67" s="684"/>
      <c r="STE67" s="684"/>
      <c r="STF67" s="684"/>
      <c r="STG67" s="684"/>
      <c r="STH67" s="684"/>
      <c r="STI67" s="684"/>
      <c r="STJ67" s="684"/>
      <c r="STK67" s="684"/>
      <c r="STL67" s="684"/>
      <c r="STM67" s="684"/>
      <c r="STN67" s="684"/>
      <c r="STO67" s="684"/>
      <c r="STP67" s="684"/>
      <c r="STQ67" s="684"/>
      <c r="STR67" s="684"/>
      <c r="STS67" s="684"/>
      <c r="STT67" s="684"/>
      <c r="STU67" s="684"/>
      <c r="STV67" s="684"/>
      <c r="STW67" s="684"/>
      <c r="STX67" s="684"/>
      <c r="STY67" s="684"/>
      <c r="STZ67" s="684"/>
      <c r="SUA67" s="684"/>
      <c r="SUB67" s="684"/>
      <c r="SUC67" s="684"/>
      <c r="SUD67" s="684"/>
      <c r="SUE67" s="684"/>
      <c r="SUF67" s="684"/>
      <c r="SUG67" s="684"/>
      <c r="SUH67" s="684"/>
      <c r="SUI67" s="684"/>
      <c r="SUJ67" s="684"/>
      <c r="SUK67" s="684"/>
      <c r="SUL67" s="684"/>
      <c r="SUM67" s="684"/>
      <c r="SUN67" s="684"/>
      <c r="SUO67" s="684"/>
      <c r="SUP67" s="684"/>
      <c r="SUQ67" s="684"/>
      <c r="SUR67" s="684"/>
      <c r="SUS67" s="684"/>
      <c r="SUT67" s="684"/>
      <c r="SUU67" s="684"/>
      <c r="SUV67" s="684"/>
      <c r="SUW67" s="684"/>
      <c r="SUX67" s="684"/>
      <c r="SUY67" s="684"/>
      <c r="SUZ67" s="684"/>
      <c r="SVA67" s="684"/>
      <c r="SVB67" s="684"/>
      <c r="SVC67" s="684"/>
      <c r="SVD67" s="684"/>
      <c r="SVE67" s="684"/>
      <c r="SVF67" s="684"/>
      <c r="SVG67" s="684"/>
      <c r="SVH67" s="684"/>
      <c r="SVI67" s="684"/>
      <c r="SVJ67" s="684"/>
      <c r="SVK67" s="684"/>
      <c r="SVL67" s="684"/>
      <c r="SVM67" s="684"/>
      <c r="SVN67" s="684"/>
      <c r="SVO67" s="684"/>
      <c r="SVP67" s="684"/>
      <c r="SVQ67" s="684"/>
      <c r="SVR67" s="684"/>
      <c r="SVS67" s="684"/>
      <c r="SVT67" s="684"/>
      <c r="SVU67" s="684"/>
      <c r="SVV67" s="684"/>
      <c r="SVW67" s="684"/>
      <c r="SVX67" s="684"/>
      <c r="SVY67" s="684"/>
      <c r="SVZ67" s="684"/>
      <c r="SWA67" s="684"/>
      <c r="SWB67" s="684"/>
      <c r="SWC67" s="684"/>
      <c r="SWD67" s="684"/>
      <c r="SWE67" s="684"/>
      <c r="SWF67" s="684"/>
      <c r="SWG67" s="684"/>
      <c r="SWH67" s="684"/>
      <c r="SWI67" s="684"/>
      <c r="SWJ67" s="684"/>
      <c r="SWK67" s="684"/>
      <c r="SWL67" s="684"/>
      <c r="SWM67" s="684"/>
      <c r="SWN67" s="684"/>
      <c r="SWO67" s="684"/>
      <c r="SWP67" s="684"/>
      <c r="SWQ67" s="684"/>
      <c r="SWR67" s="684"/>
      <c r="SWS67" s="684"/>
      <c r="SWT67" s="684"/>
      <c r="SWU67" s="684"/>
      <c r="SWV67" s="684"/>
      <c r="SWW67" s="684"/>
      <c r="SWX67" s="684"/>
      <c r="SWY67" s="684"/>
      <c r="SWZ67" s="684"/>
      <c r="SXA67" s="684"/>
      <c r="SXB67" s="684"/>
      <c r="SXC67" s="684"/>
      <c r="SXD67" s="684"/>
      <c r="SXE67" s="684"/>
      <c r="SXF67" s="684"/>
      <c r="SXG67" s="684"/>
      <c r="SXH67" s="684"/>
      <c r="SXI67" s="684"/>
      <c r="SXJ67" s="684"/>
      <c r="SXK67" s="684"/>
      <c r="SXL67" s="684"/>
      <c r="SXM67" s="684"/>
      <c r="SXN67" s="684"/>
      <c r="SXO67" s="684"/>
      <c r="SXP67" s="684"/>
      <c r="SXQ67" s="684"/>
      <c r="SXR67" s="684"/>
      <c r="SXS67" s="684"/>
      <c r="SXT67" s="684"/>
      <c r="SXU67" s="684"/>
      <c r="SXV67" s="684"/>
      <c r="SXW67" s="684"/>
      <c r="SXX67" s="684"/>
      <c r="SXY67" s="684"/>
      <c r="SXZ67" s="684"/>
      <c r="SYA67" s="684"/>
      <c r="SYB67" s="684"/>
      <c r="SYC67" s="684"/>
      <c r="SYD67" s="684"/>
      <c r="SYE67" s="684"/>
      <c r="SYF67" s="684"/>
      <c r="SYG67" s="684"/>
      <c r="SYH67" s="684"/>
      <c r="SYI67" s="684"/>
      <c r="SYJ67" s="684"/>
      <c r="SYK67" s="684"/>
      <c r="SYL67" s="684"/>
      <c r="SYM67" s="684"/>
      <c r="SYN67" s="684"/>
      <c r="SYO67" s="684"/>
      <c r="SYP67" s="684"/>
      <c r="SYQ67" s="684"/>
      <c r="SYR67" s="684"/>
      <c r="SYS67" s="684"/>
      <c r="SYT67" s="684"/>
      <c r="SYU67" s="684"/>
      <c r="SYV67" s="684"/>
      <c r="SYW67" s="684"/>
      <c r="SYX67" s="684"/>
      <c r="SYY67" s="684"/>
      <c r="SYZ67" s="684"/>
      <c r="SZA67" s="684"/>
      <c r="SZB67" s="684"/>
      <c r="SZC67" s="684"/>
      <c r="SZD67" s="684"/>
      <c r="SZE67" s="684"/>
      <c r="SZF67" s="684"/>
      <c r="SZG67" s="684"/>
      <c r="SZH67" s="684"/>
      <c r="SZI67" s="684"/>
      <c r="SZJ67" s="684"/>
      <c r="SZK67" s="684"/>
      <c r="SZL67" s="684"/>
      <c r="SZM67" s="684"/>
      <c r="SZN67" s="684"/>
      <c r="SZO67" s="684"/>
      <c r="SZP67" s="684"/>
      <c r="SZQ67" s="684"/>
      <c r="SZR67" s="684"/>
      <c r="SZS67" s="684"/>
      <c r="SZT67" s="684"/>
      <c r="SZU67" s="684"/>
      <c r="SZV67" s="684"/>
      <c r="SZW67" s="684"/>
      <c r="SZX67" s="684"/>
      <c r="SZY67" s="684"/>
      <c r="SZZ67" s="684"/>
      <c r="TAA67" s="684"/>
      <c r="TAB67" s="684"/>
      <c r="TAC67" s="684"/>
      <c r="TAD67" s="684"/>
      <c r="TAE67" s="684"/>
      <c r="TAF67" s="684"/>
      <c r="TAG67" s="684"/>
      <c r="TAH67" s="684"/>
      <c r="TAI67" s="684"/>
      <c r="TAJ67" s="684"/>
      <c r="TAK67" s="684"/>
      <c r="TAL67" s="684"/>
      <c r="TAM67" s="684"/>
      <c r="TAN67" s="684"/>
      <c r="TAO67" s="684"/>
      <c r="TAP67" s="684"/>
      <c r="TAQ67" s="684"/>
      <c r="TAR67" s="684"/>
      <c r="TAS67" s="684"/>
      <c r="TAT67" s="684"/>
      <c r="TAU67" s="684"/>
      <c r="TAV67" s="684"/>
      <c r="TAW67" s="684"/>
      <c r="TAX67" s="684"/>
      <c r="TAY67" s="684"/>
      <c r="TAZ67" s="684"/>
      <c r="TBA67" s="684"/>
      <c r="TBB67" s="684"/>
      <c r="TBC67" s="684"/>
      <c r="TBD67" s="684"/>
      <c r="TBE67" s="684"/>
      <c r="TBF67" s="684"/>
      <c r="TBG67" s="684"/>
      <c r="TBH67" s="684"/>
      <c r="TBI67" s="684"/>
      <c r="TBJ67" s="684"/>
      <c r="TBK67" s="684"/>
      <c r="TBL67" s="684"/>
      <c r="TBM67" s="684"/>
      <c r="TBN67" s="684"/>
      <c r="TBO67" s="684"/>
      <c r="TBP67" s="684"/>
      <c r="TBQ67" s="684"/>
      <c r="TBR67" s="684"/>
      <c r="TBS67" s="684"/>
      <c r="TBT67" s="684"/>
      <c r="TBU67" s="684"/>
      <c r="TBV67" s="684"/>
      <c r="TBW67" s="684"/>
      <c r="TBX67" s="684"/>
      <c r="TBY67" s="684"/>
      <c r="TBZ67" s="684"/>
      <c r="TCA67" s="684"/>
      <c r="TCB67" s="684"/>
      <c r="TCC67" s="684"/>
      <c r="TCD67" s="684"/>
      <c r="TCE67" s="684"/>
      <c r="TCF67" s="684"/>
      <c r="TCG67" s="684"/>
      <c r="TCH67" s="684"/>
      <c r="TCI67" s="684"/>
      <c r="TCJ67" s="684"/>
      <c r="TCK67" s="684"/>
      <c r="TCL67" s="684"/>
      <c r="TCM67" s="684"/>
      <c r="TCN67" s="684"/>
      <c r="TCO67" s="684"/>
      <c r="TCP67" s="684"/>
      <c r="TCQ67" s="684"/>
      <c r="TCR67" s="684"/>
      <c r="TCS67" s="684"/>
      <c r="TCT67" s="684"/>
      <c r="TCU67" s="684"/>
      <c r="TCV67" s="684"/>
      <c r="TCW67" s="684"/>
      <c r="TCX67" s="684"/>
      <c r="TCY67" s="684"/>
      <c r="TCZ67" s="684"/>
      <c r="TDA67" s="684"/>
      <c r="TDB67" s="684"/>
      <c r="TDC67" s="684"/>
      <c r="TDD67" s="684"/>
      <c r="TDE67" s="684"/>
      <c r="TDF67" s="684"/>
      <c r="TDG67" s="684"/>
      <c r="TDH67" s="684"/>
      <c r="TDI67" s="684"/>
      <c r="TDJ67" s="684"/>
      <c r="TDK67" s="684"/>
      <c r="TDL67" s="684"/>
      <c r="TDM67" s="684"/>
      <c r="TDN67" s="684"/>
      <c r="TDO67" s="684"/>
      <c r="TDP67" s="684"/>
      <c r="TDQ67" s="684"/>
      <c r="TDR67" s="684"/>
      <c r="TDS67" s="684"/>
      <c r="TDT67" s="684"/>
      <c r="TDU67" s="684"/>
      <c r="TDV67" s="684"/>
      <c r="TDW67" s="684"/>
      <c r="TDX67" s="684"/>
      <c r="TDY67" s="684"/>
      <c r="TDZ67" s="684"/>
      <c r="TEA67" s="684"/>
      <c r="TEB67" s="684"/>
      <c r="TEC67" s="684"/>
      <c r="TED67" s="684"/>
      <c r="TEE67" s="684"/>
      <c r="TEF67" s="684"/>
      <c r="TEG67" s="684"/>
      <c r="TEH67" s="684"/>
      <c r="TEI67" s="684"/>
      <c r="TEJ67" s="684"/>
      <c r="TEK67" s="684"/>
      <c r="TEL67" s="684"/>
      <c r="TEM67" s="684"/>
      <c r="TEN67" s="684"/>
      <c r="TEO67" s="684"/>
      <c r="TEP67" s="684"/>
      <c r="TEQ67" s="684"/>
      <c r="TER67" s="684"/>
      <c r="TES67" s="684"/>
      <c r="TET67" s="684"/>
      <c r="TEU67" s="684"/>
      <c r="TEV67" s="684"/>
      <c r="TEW67" s="684"/>
      <c r="TEX67" s="684"/>
      <c r="TEY67" s="684"/>
      <c r="TEZ67" s="684"/>
      <c r="TFA67" s="684"/>
      <c r="TFB67" s="684"/>
      <c r="TFC67" s="684"/>
      <c r="TFD67" s="684"/>
      <c r="TFE67" s="684"/>
      <c r="TFF67" s="684"/>
      <c r="TFG67" s="684"/>
      <c r="TFH67" s="684"/>
      <c r="TFI67" s="684"/>
      <c r="TFJ67" s="684"/>
      <c r="TFK67" s="684"/>
      <c r="TFL67" s="684"/>
      <c r="TFM67" s="684"/>
      <c r="TFN67" s="684"/>
      <c r="TFO67" s="684"/>
      <c r="TFP67" s="684"/>
      <c r="TFQ67" s="684"/>
      <c r="TFR67" s="684"/>
      <c r="TFS67" s="684"/>
      <c r="TFT67" s="684"/>
      <c r="TFU67" s="684"/>
      <c r="TFV67" s="684"/>
      <c r="TFW67" s="684"/>
      <c r="TFX67" s="684"/>
      <c r="TFY67" s="684"/>
      <c r="TFZ67" s="684"/>
      <c r="TGA67" s="684"/>
      <c r="TGB67" s="684"/>
      <c r="TGC67" s="684"/>
      <c r="TGD67" s="684"/>
      <c r="TGE67" s="684"/>
      <c r="TGF67" s="684"/>
      <c r="TGG67" s="684"/>
      <c r="TGH67" s="684"/>
      <c r="TGI67" s="684"/>
      <c r="TGJ67" s="684"/>
      <c r="TGK67" s="684"/>
      <c r="TGL67" s="684"/>
      <c r="TGM67" s="684"/>
      <c r="TGN67" s="684"/>
      <c r="TGO67" s="684"/>
      <c r="TGP67" s="684"/>
      <c r="TGQ67" s="684"/>
      <c r="TGR67" s="684"/>
      <c r="TGS67" s="684"/>
      <c r="TGT67" s="684"/>
      <c r="TGU67" s="684"/>
      <c r="TGV67" s="684"/>
      <c r="TGW67" s="684"/>
      <c r="TGX67" s="684"/>
      <c r="TGY67" s="684"/>
      <c r="TGZ67" s="684"/>
      <c r="THA67" s="684"/>
      <c r="THB67" s="684"/>
      <c r="THC67" s="684"/>
      <c r="THD67" s="684"/>
      <c r="THE67" s="684"/>
      <c r="THF67" s="684"/>
      <c r="THG67" s="684"/>
      <c r="THH67" s="684"/>
      <c r="THI67" s="684"/>
      <c r="THJ67" s="684"/>
      <c r="THK67" s="684"/>
      <c r="THL67" s="684"/>
      <c r="THM67" s="684"/>
      <c r="THN67" s="684"/>
      <c r="THO67" s="684"/>
      <c r="THP67" s="684"/>
      <c r="THQ67" s="684"/>
      <c r="THR67" s="684"/>
      <c r="THS67" s="684"/>
      <c r="THT67" s="684"/>
      <c r="THU67" s="684"/>
      <c r="THV67" s="684"/>
      <c r="THW67" s="684"/>
      <c r="THX67" s="684"/>
      <c r="THY67" s="684"/>
      <c r="THZ67" s="684"/>
      <c r="TIA67" s="684"/>
      <c r="TIB67" s="684"/>
      <c r="TIC67" s="684"/>
      <c r="TID67" s="684"/>
      <c r="TIE67" s="684"/>
      <c r="TIF67" s="684"/>
      <c r="TIG67" s="684"/>
      <c r="TIH67" s="684"/>
      <c r="TII67" s="684"/>
      <c r="TIJ67" s="684"/>
      <c r="TIK67" s="684"/>
      <c r="TIL67" s="684"/>
      <c r="TIM67" s="684"/>
      <c r="TIN67" s="684"/>
      <c r="TIO67" s="684"/>
      <c r="TIP67" s="684"/>
      <c r="TIQ67" s="684"/>
      <c r="TIR67" s="684"/>
      <c r="TIS67" s="684"/>
      <c r="TIT67" s="684"/>
      <c r="TIU67" s="684"/>
      <c r="TIV67" s="684"/>
      <c r="TIW67" s="684"/>
      <c r="TIX67" s="684"/>
      <c r="TIY67" s="684"/>
      <c r="TIZ67" s="684"/>
      <c r="TJA67" s="684"/>
      <c r="TJB67" s="684"/>
      <c r="TJC67" s="684"/>
      <c r="TJD67" s="684"/>
      <c r="TJE67" s="684"/>
      <c r="TJF67" s="684"/>
      <c r="TJG67" s="684"/>
      <c r="TJH67" s="684"/>
      <c r="TJI67" s="684"/>
      <c r="TJJ67" s="684"/>
      <c r="TJK67" s="684"/>
      <c r="TJL67" s="684"/>
      <c r="TJM67" s="684"/>
      <c r="TJN67" s="684"/>
      <c r="TJO67" s="684"/>
      <c r="TJP67" s="684"/>
      <c r="TJQ67" s="684"/>
      <c r="TJR67" s="684"/>
      <c r="TJS67" s="684"/>
      <c r="TJT67" s="684"/>
      <c r="TJU67" s="684"/>
      <c r="TJV67" s="684"/>
      <c r="TJW67" s="684"/>
      <c r="TJX67" s="684"/>
      <c r="TJY67" s="684"/>
      <c r="TJZ67" s="684"/>
      <c r="TKA67" s="684"/>
      <c r="TKB67" s="684"/>
      <c r="TKC67" s="684"/>
      <c r="TKD67" s="684"/>
      <c r="TKE67" s="684"/>
      <c r="TKF67" s="684"/>
      <c r="TKG67" s="684"/>
      <c r="TKH67" s="684"/>
      <c r="TKI67" s="684"/>
      <c r="TKJ67" s="684"/>
      <c r="TKK67" s="684"/>
      <c r="TKL67" s="684"/>
      <c r="TKM67" s="684"/>
      <c r="TKN67" s="684"/>
      <c r="TKO67" s="684"/>
      <c r="TKP67" s="684"/>
      <c r="TKQ67" s="684"/>
      <c r="TKR67" s="684"/>
      <c r="TKS67" s="684"/>
      <c r="TKT67" s="684"/>
      <c r="TKU67" s="684"/>
      <c r="TKV67" s="684"/>
      <c r="TKW67" s="684"/>
      <c r="TKX67" s="684"/>
      <c r="TKY67" s="684"/>
      <c r="TKZ67" s="684"/>
      <c r="TLA67" s="684"/>
      <c r="TLB67" s="684"/>
      <c r="TLC67" s="684"/>
      <c r="TLD67" s="684"/>
      <c r="TLE67" s="684"/>
      <c r="TLF67" s="684"/>
      <c r="TLG67" s="684"/>
      <c r="TLH67" s="684"/>
      <c r="TLI67" s="684"/>
      <c r="TLJ67" s="684"/>
      <c r="TLK67" s="684"/>
      <c r="TLL67" s="684"/>
      <c r="TLM67" s="684"/>
      <c r="TLN67" s="684"/>
      <c r="TLO67" s="684"/>
      <c r="TLP67" s="684"/>
      <c r="TLQ67" s="684"/>
      <c r="TLR67" s="684"/>
      <c r="TLS67" s="684"/>
      <c r="TLT67" s="684"/>
      <c r="TLU67" s="684"/>
      <c r="TLV67" s="684"/>
      <c r="TLW67" s="684"/>
      <c r="TLX67" s="684"/>
      <c r="TLY67" s="684"/>
      <c r="TLZ67" s="684"/>
      <c r="TMA67" s="684"/>
      <c r="TMB67" s="684"/>
      <c r="TMC67" s="684"/>
      <c r="TMD67" s="684"/>
      <c r="TME67" s="684"/>
      <c r="TMF67" s="684"/>
      <c r="TMG67" s="684"/>
      <c r="TMH67" s="684"/>
      <c r="TMI67" s="684"/>
      <c r="TMJ67" s="684"/>
      <c r="TMK67" s="684"/>
      <c r="TML67" s="684"/>
      <c r="TMM67" s="684"/>
      <c r="TMN67" s="684"/>
      <c r="TMO67" s="684"/>
      <c r="TMP67" s="684"/>
      <c r="TMQ67" s="684"/>
      <c r="TMR67" s="684"/>
      <c r="TMS67" s="684"/>
      <c r="TMT67" s="684"/>
      <c r="TMU67" s="684"/>
      <c r="TMV67" s="684"/>
      <c r="TMW67" s="684"/>
      <c r="TMX67" s="684"/>
      <c r="TMY67" s="684"/>
      <c r="TMZ67" s="684"/>
      <c r="TNA67" s="684"/>
      <c r="TNB67" s="684"/>
      <c r="TNC67" s="684"/>
      <c r="TND67" s="684"/>
      <c r="TNE67" s="684"/>
      <c r="TNF67" s="684"/>
      <c r="TNG67" s="684"/>
      <c r="TNH67" s="684"/>
      <c r="TNI67" s="684"/>
      <c r="TNJ67" s="684"/>
      <c r="TNK67" s="684"/>
      <c r="TNL67" s="684"/>
      <c r="TNM67" s="684"/>
      <c r="TNN67" s="684"/>
      <c r="TNO67" s="684"/>
      <c r="TNP67" s="684"/>
      <c r="TNQ67" s="684"/>
      <c r="TNR67" s="684"/>
      <c r="TNS67" s="684"/>
      <c r="TNT67" s="684"/>
      <c r="TNU67" s="684"/>
      <c r="TNV67" s="684"/>
      <c r="TNW67" s="684"/>
      <c r="TNX67" s="684"/>
      <c r="TNY67" s="684"/>
      <c r="TNZ67" s="684"/>
      <c r="TOA67" s="684"/>
      <c r="TOB67" s="684"/>
      <c r="TOC67" s="684"/>
      <c r="TOD67" s="684"/>
      <c r="TOE67" s="684"/>
      <c r="TOF67" s="684"/>
      <c r="TOG67" s="684"/>
      <c r="TOH67" s="684"/>
      <c r="TOI67" s="684"/>
      <c r="TOJ67" s="684"/>
      <c r="TOK67" s="684"/>
      <c r="TOL67" s="684"/>
      <c r="TOM67" s="684"/>
      <c r="TON67" s="684"/>
      <c r="TOO67" s="684"/>
      <c r="TOP67" s="684"/>
      <c r="TOQ67" s="684"/>
      <c r="TOR67" s="684"/>
      <c r="TOS67" s="684"/>
      <c r="TOT67" s="684"/>
      <c r="TOU67" s="684"/>
      <c r="TOV67" s="684"/>
      <c r="TOW67" s="684"/>
      <c r="TOX67" s="684"/>
      <c r="TOY67" s="684"/>
      <c r="TOZ67" s="684"/>
      <c r="TPA67" s="684"/>
      <c r="TPB67" s="684"/>
      <c r="TPC67" s="684"/>
      <c r="TPD67" s="684"/>
      <c r="TPE67" s="684"/>
      <c r="TPF67" s="684"/>
      <c r="TPG67" s="684"/>
      <c r="TPH67" s="684"/>
      <c r="TPI67" s="684"/>
      <c r="TPJ67" s="684"/>
      <c r="TPK67" s="684"/>
      <c r="TPL67" s="684"/>
      <c r="TPM67" s="684"/>
      <c r="TPN67" s="684"/>
      <c r="TPO67" s="684"/>
      <c r="TPP67" s="684"/>
      <c r="TPQ67" s="684"/>
      <c r="TPR67" s="684"/>
      <c r="TPS67" s="684"/>
      <c r="TPT67" s="684"/>
      <c r="TPU67" s="684"/>
      <c r="TPV67" s="684"/>
      <c r="TPW67" s="684"/>
      <c r="TPX67" s="684"/>
      <c r="TPY67" s="684"/>
      <c r="TPZ67" s="684"/>
      <c r="TQA67" s="684"/>
      <c r="TQB67" s="684"/>
      <c r="TQC67" s="684"/>
      <c r="TQD67" s="684"/>
      <c r="TQE67" s="684"/>
      <c r="TQF67" s="684"/>
      <c r="TQG67" s="684"/>
      <c r="TQH67" s="684"/>
      <c r="TQI67" s="684"/>
      <c r="TQJ67" s="684"/>
      <c r="TQK67" s="684"/>
      <c r="TQL67" s="684"/>
      <c r="TQM67" s="684"/>
      <c r="TQN67" s="684"/>
      <c r="TQO67" s="684"/>
      <c r="TQP67" s="684"/>
      <c r="TQQ67" s="684"/>
      <c r="TQR67" s="684"/>
      <c r="TQS67" s="684"/>
      <c r="TQT67" s="684"/>
      <c r="TQU67" s="684"/>
      <c r="TQV67" s="684"/>
      <c r="TQW67" s="684"/>
      <c r="TQX67" s="684"/>
      <c r="TQY67" s="684"/>
      <c r="TQZ67" s="684"/>
      <c r="TRA67" s="684"/>
      <c r="TRB67" s="684"/>
      <c r="TRC67" s="684"/>
      <c r="TRD67" s="684"/>
      <c r="TRE67" s="684"/>
      <c r="TRF67" s="684"/>
      <c r="TRG67" s="684"/>
      <c r="TRH67" s="684"/>
      <c r="TRI67" s="684"/>
      <c r="TRJ67" s="684"/>
      <c r="TRK67" s="684"/>
      <c r="TRL67" s="684"/>
      <c r="TRM67" s="684"/>
      <c r="TRN67" s="684"/>
      <c r="TRO67" s="684"/>
      <c r="TRP67" s="684"/>
      <c r="TRQ67" s="684"/>
      <c r="TRR67" s="684"/>
      <c r="TRS67" s="684"/>
      <c r="TRT67" s="684"/>
      <c r="TRU67" s="684"/>
      <c r="TRV67" s="684"/>
      <c r="TRW67" s="684"/>
      <c r="TRX67" s="684"/>
      <c r="TRY67" s="684"/>
      <c r="TRZ67" s="684"/>
      <c r="TSA67" s="684"/>
      <c r="TSB67" s="684"/>
      <c r="TSC67" s="684"/>
      <c r="TSD67" s="684"/>
      <c r="TSE67" s="684"/>
      <c r="TSF67" s="684"/>
      <c r="TSG67" s="684"/>
      <c r="TSH67" s="684"/>
      <c r="TSI67" s="684"/>
      <c r="TSJ67" s="684"/>
      <c r="TSK67" s="684"/>
      <c r="TSL67" s="684"/>
      <c r="TSM67" s="684"/>
      <c r="TSN67" s="684"/>
      <c r="TSO67" s="684"/>
      <c r="TSP67" s="684"/>
      <c r="TSQ67" s="684"/>
      <c r="TSR67" s="684"/>
      <c r="TSS67" s="684"/>
      <c r="TST67" s="684"/>
      <c r="TSU67" s="684"/>
      <c r="TSV67" s="684"/>
      <c r="TSW67" s="684"/>
      <c r="TSX67" s="684"/>
      <c r="TSY67" s="684"/>
      <c r="TSZ67" s="684"/>
      <c r="TTA67" s="684"/>
      <c r="TTB67" s="684"/>
      <c r="TTC67" s="684"/>
      <c r="TTD67" s="684"/>
      <c r="TTE67" s="684"/>
      <c r="TTF67" s="684"/>
      <c r="TTG67" s="684"/>
      <c r="TTH67" s="684"/>
      <c r="TTI67" s="684"/>
      <c r="TTJ67" s="684"/>
      <c r="TTK67" s="684"/>
      <c r="TTL67" s="684"/>
      <c r="TTM67" s="684"/>
      <c r="TTN67" s="684"/>
      <c r="TTO67" s="684"/>
      <c r="TTP67" s="684"/>
      <c r="TTQ67" s="684"/>
      <c r="TTR67" s="684"/>
      <c r="TTS67" s="684"/>
      <c r="TTT67" s="684"/>
      <c r="TTU67" s="684"/>
      <c r="TTV67" s="684"/>
      <c r="TTW67" s="684"/>
      <c r="TTX67" s="684"/>
      <c r="TTY67" s="684"/>
      <c r="TTZ67" s="684"/>
      <c r="TUA67" s="684"/>
      <c r="TUB67" s="684"/>
      <c r="TUC67" s="684"/>
      <c r="TUD67" s="684"/>
      <c r="TUE67" s="684"/>
      <c r="TUF67" s="684"/>
      <c r="TUG67" s="684"/>
      <c r="TUH67" s="684"/>
      <c r="TUI67" s="684"/>
      <c r="TUJ67" s="684"/>
      <c r="TUK67" s="684"/>
      <c r="TUL67" s="684"/>
      <c r="TUM67" s="684"/>
      <c r="TUN67" s="684"/>
      <c r="TUO67" s="684"/>
      <c r="TUP67" s="684"/>
      <c r="TUQ67" s="684"/>
      <c r="TUR67" s="684"/>
      <c r="TUS67" s="684"/>
      <c r="TUT67" s="684"/>
      <c r="TUU67" s="684"/>
      <c r="TUV67" s="684"/>
      <c r="TUW67" s="684"/>
      <c r="TUX67" s="684"/>
      <c r="TUY67" s="684"/>
      <c r="TUZ67" s="684"/>
      <c r="TVA67" s="684"/>
      <c r="TVB67" s="684"/>
      <c r="TVC67" s="684"/>
      <c r="TVD67" s="684"/>
      <c r="TVE67" s="684"/>
      <c r="TVF67" s="684"/>
      <c r="TVG67" s="684"/>
      <c r="TVH67" s="684"/>
      <c r="TVI67" s="684"/>
      <c r="TVJ67" s="684"/>
      <c r="TVK67" s="684"/>
      <c r="TVL67" s="684"/>
      <c r="TVM67" s="684"/>
      <c r="TVN67" s="684"/>
      <c r="TVO67" s="684"/>
      <c r="TVP67" s="684"/>
      <c r="TVQ67" s="684"/>
      <c r="TVR67" s="684"/>
      <c r="TVS67" s="684"/>
      <c r="TVT67" s="684"/>
      <c r="TVU67" s="684"/>
      <c r="TVV67" s="684"/>
      <c r="TVW67" s="684"/>
      <c r="TVX67" s="684"/>
      <c r="TVY67" s="684"/>
      <c r="TVZ67" s="684"/>
      <c r="TWA67" s="684"/>
      <c r="TWB67" s="684"/>
      <c r="TWC67" s="684"/>
      <c r="TWD67" s="684"/>
      <c r="TWE67" s="684"/>
      <c r="TWF67" s="684"/>
      <c r="TWG67" s="684"/>
      <c r="TWH67" s="684"/>
      <c r="TWI67" s="684"/>
      <c r="TWJ67" s="684"/>
      <c r="TWK67" s="684"/>
      <c r="TWL67" s="684"/>
      <c r="TWM67" s="684"/>
      <c r="TWN67" s="684"/>
      <c r="TWO67" s="684"/>
      <c r="TWP67" s="684"/>
      <c r="TWQ67" s="684"/>
      <c r="TWR67" s="684"/>
      <c r="TWS67" s="684"/>
      <c r="TWT67" s="684"/>
      <c r="TWU67" s="684"/>
      <c r="TWV67" s="684"/>
      <c r="TWW67" s="684"/>
      <c r="TWX67" s="684"/>
      <c r="TWY67" s="684"/>
      <c r="TWZ67" s="684"/>
      <c r="TXA67" s="684"/>
      <c r="TXB67" s="684"/>
      <c r="TXC67" s="684"/>
      <c r="TXD67" s="684"/>
      <c r="TXE67" s="684"/>
      <c r="TXF67" s="684"/>
      <c r="TXG67" s="684"/>
      <c r="TXH67" s="684"/>
      <c r="TXI67" s="684"/>
      <c r="TXJ67" s="684"/>
      <c r="TXK67" s="684"/>
      <c r="TXL67" s="684"/>
      <c r="TXM67" s="684"/>
      <c r="TXN67" s="684"/>
      <c r="TXO67" s="684"/>
      <c r="TXP67" s="684"/>
      <c r="TXQ67" s="684"/>
      <c r="TXR67" s="684"/>
      <c r="TXS67" s="684"/>
      <c r="TXT67" s="684"/>
      <c r="TXU67" s="684"/>
      <c r="TXV67" s="684"/>
      <c r="TXW67" s="684"/>
      <c r="TXX67" s="684"/>
      <c r="TXY67" s="684"/>
      <c r="TXZ67" s="684"/>
      <c r="TYA67" s="684"/>
      <c r="TYB67" s="684"/>
      <c r="TYC67" s="684"/>
      <c r="TYD67" s="684"/>
      <c r="TYE67" s="684"/>
      <c r="TYF67" s="684"/>
      <c r="TYG67" s="684"/>
      <c r="TYH67" s="684"/>
      <c r="TYI67" s="684"/>
      <c r="TYJ67" s="684"/>
      <c r="TYK67" s="684"/>
      <c r="TYL67" s="684"/>
      <c r="TYM67" s="684"/>
      <c r="TYN67" s="684"/>
      <c r="TYO67" s="684"/>
      <c r="TYP67" s="684"/>
      <c r="TYQ67" s="684"/>
      <c r="TYR67" s="684"/>
      <c r="TYS67" s="684"/>
      <c r="TYT67" s="684"/>
      <c r="TYU67" s="684"/>
      <c r="TYV67" s="684"/>
      <c r="TYW67" s="684"/>
      <c r="TYX67" s="684"/>
      <c r="TYY67" s="684"/>
      <c r="TYZ67" s="684"/>
      <c r="TZA67" s="684"/>
      <c r="TZB67" s="684"/>
      <c r="TZC67" s="684"/>
      <c r="TZD67" s="684"/>
      <c r="TZE67" s="684"/>
      <c r="TZF67" s="684"/>
      <c r="TZG67" s="684"/>
      <c r="TZH67" s="684"/>
      <c r="TZI67" s="684"/>
      <c r="TZJ67" s="684"/>
      <c r="TZK67" s="684"/>
      <c r="TZL67" s="684"/>
      <c r="TZM67" s="684"/>
      <c r="TZN67" s="684"/>
      <c r="TZO67" s="684"/>
      <c r="TZP67" s="684"/>
      <c r="TZQ67" s="684"/>
      <c r="TZR67" s="684"/>
      <c r="TZS67" s="684"/>
      <c r="TZT67" s="684"/>
      <c r="TZU67" s="684"/>
      <c r="TZV67" s="684"/>
      <c r="TZW67" s="684"/>
      <c r="TZX67" s="684"/>
      <c r="TZY67" s="684"/>
      <c r="TZZ67" s="684"/>
      <c r="UAA67" s="684"/>
      <c r="UAB67" s="684"/>
      <c r="UAC67" s="684"/>
      <c r="UAD67" s="684"/>
      <c r="UAE67" s="684"/>
      <c r="UAF67" s="684"/>
      <c r="UAG67" s="684"/>
      <c r="UAH67" s="684"/>
      <c r="UAI67" s="684"/>
      <c r="UAJ67" s="684"/>
      <c r="UAK67" s="684"/>
      <c r="UAL67" s="684"/>
      <c r="UAM67" s="684"/>
      <c r="UAN67" s="684"/>
      <c r="UAO67" s="684"/>
      <c r="UAP67" s="684"/>
      <c r="UAQ67" s="684"/>
      <c r="UAR67" s="684"/>
      <c r="UAS67" s="684"/>
      <c r="UAT67" s="684"/>
      <c r="UAU67" s="684"/>
      <c r="UAV67" s="684"/>
      <c r="UAW67" s="684"/>
      <c r="UAX67" s="684"/>
      <c r="UAY67" s="684"/>
      <c r="UAZ67" s="684"/>
      <c r="UBA67" s="684"/>
      <c r="UBB67" s="684"/>
      <c r="UBC67" s="684"/>
      <c r="UBD67" s="684"/>
      <c r="UBE67" s="684"/>
      <c r="UBF67" s="684"/>
      <c r="UBG67" s="684"/>
      <c r="UBH67" s="684"/>
      <c r="UBI67" s="684"/>
      <c r="UBJ67" s="684"/>
      <c r="UBK67" s="684"/>
      <c r="UBL67" s="684"/>
      <c r="UBM67" s="684"/>
      <c r="UBN67" s="684"/>
      <c r="UBO67" s="684"/>
      <c r="UBP67" s="684"/>
      <c r="UBQ67" s="684"/>
      <c r="UBR67" s="684"/>
      <c r="UBS67" s="684"/>
      <c r="UBT67" s="684"/>
      <c r="UBU67" s="684"/>
      <c r="UBV67" s="684"/>
      <c r="UBW67" s="684"/>
      <c r="UBX67" s="684"/>
      <c r="UBY67" s="684"/>
      <c r="UBZ67" s="684"/>
      <c r="UCA67" s="684"/>
      <c r="UCB67" s="684"/>
      <c r="UCC67" s="684"/>
      <c r="UCD67" s="684"/>
      <c r="UCE67" s="684"/>
      <c r="UCF67" s="684"/>
      <c r="UCG67" s="684"/>
      <c r="UCH67" s="684"/>
      <c r="UCI67" s="684"/>
      <c r="UCJ67" s="684"/>
      <c r="UCK67" s="684"/>
      <c r="UCL67" s="684"/>
      <c r="UCM67" s="684"/>
      <c r="UCN67" s="684"/>
      <c r="UCO67" s="684"/>
      <c r="UCP67" s="684"/>
      <c r="UCQ67" s="684"/>
      <c r="UCR67" s="684"/>
      <c r="UCS67" s="684"/>
      <c r="UCT67" s="684"/>
      <c r="UCU67" s="684"/>
      <c r="UCV67" s="684"/>
      <c r="UCW67" s="684"/>
      <c r="UCX67" s="684"/>
      <c r="UCY67" s="684"/>
      <c r="UCZ67" s="684"/>
      <c r="UDA67" s="684"/>
      <c r="UDB67" s="684"/>
      <c r="UDC67" s="684"/>
      <c r="UDD67" s="684"/>
      <c r="UDE67" s="684"/>
      <c r="UDF67" s="684"/>
      <c r="UDG67" s="684"/>
      <c r="UDH67" s="684"/>
      <c r="UDI67" s="684"/>
      <c r="UDJ67" s="684"/>
      <c r="UDK67" s="684"/>
      <c r="UDL67" s="684"/>
      <c r="UDM67" s="684"/>
      <c r="UDN67" s="684"/>
      <c r="UDO67" s="684"/>
      <c r="UDP67" s="684"/>
      <c r="UDQ67" s="684"/>
      <c r="UDR67" s="684"/>
      <c r="UDS67" s="684"/>
      <c r="UDT67" s="684"/>
      <c r="UDU67" s="684"/>
      <c r="UDV67" s="684"/>
      <c r="UDW67" s="684"/>
      <c r="UDX67" s="684"/>
      <c r="UDY67" s="684"/>
      <c r="UDZ67" s="684"/>
      <c r="UEA67" s="684"/>
      <c r="UEB67" s="684"/>
      <c r="UEC67" s="684"/>
      <c r="UED67" s="684"/>
      <c r="UEE67" s="684"/>
      <c r="UEF67" s="684"/>
      <c r="UEG67" s="684"/>
      <c r="UEH67" s="684"/>
      <c r="UEI67" s="684"/>
      <c r="UEJ67" s="684"/>
      <c r="UEK67" s="684"/>
      <c r="UEL67" s="684"/>
      <c r="UEM67" s="684"/>
      <c r="UEN67" s="684"/>
      <c r="UEO67" s="684"/>
      <c r="UEP67" s="684"/>
      <c r="UEQ67" s="684"/>
      <c r="UER67" s="684"/>
      <c r="UES67" s="684"/>
      <c r="UET67" s="684"/>
      <c r="UEU67" s="684"/>
      <c r="UEV67" s="684"/>
      <c r="UEW67" s="684"/>
      <c r="UEX67" s="684"/>
      <c r="UEY67" s="684"/>
      <c r="UEZ67" s="684"/>
      <c r="UFA67" s="684"/>
      <c r="UFB67" s="684"/>
      <c r="UFC67" s="684"/>
      <c r="UFD67" s="684"/>
      <c r="UFE67" s="684"/>
      <c r="UFF67" s="684"/>
      <c r="UFG67" s="684"/>
      <c r="UFH67" s="684"/>
      <c r="UFI67" s="684"/>
      <c r="UFJ67" s="684"/>
      <c r="UFK67" s="684"/>
      <c r="UFL67" s="684"/>
      <c r="UFM67" s="684"/>
      <c r="UFN67" s="684"/>
      <c r="UFO67" s="684"/>
      <c r="UFP67" s="684"/>
      <c r="UFQ67" s="684"/>
      <c r="UFR67" s="684"/>
      <c r="UFS67" s="684"/>
      <c r="UFT67" s="684"/>
      <c r="UFU67" s="684"/>
      <c r="UFV67" s="684"/>
      <c r="UFW67" s="684"/>
      <c r="UFX67" s="684"/>
      <c r="UFY67" s="684"/>
      <c r="UFZ67" s="684"/>
      <c r="UGA67" s="684"/>
      <c r="UGB67" s="684"/>
      <c r="UGC67" s="684"/>
      <c r="UGD67" s="684"/>
      <c r="UGE67" s="684"/>
      <c r="UGF67" s="684"/>
      <c r="UGG67" s="684"/>
      <c r="UGH67" s="684"/>
      <c r="UGI67" s="684"/>
      <c r="UGJ67" s="684"/>
      <c r="UGK67" s="684"/>
      <c r="UGL67" s="684"/>
      <c r="UGM67" s="684"/>
      <c r="UGN67" s="684"/>
      <c r="UGO67" s="684"/>
      <c r="UGP67" s="684"/>
      <c r="UGQ67" s="684"/>
      <c r="UGR67" s="684"/>
      <c r="UGS67" s="684"/>
      <c r="UGT67" s="684"/>
      <c r="UGU67" s="684"/>
      <c r="UGV67" s="684"/>
      <c r="UGW67" s="684"/>
      <c r="UGX67" s="684"/>
      <c r="UGY67" s="684"/>
      <c r="UGZ67" s="684"/>
      <c r="UHA67" s="684"/>
      <c r="UHB67" s="684"/>
      <c r="UHC67" s="684"/>
      <c r="UHD67" s="684"/>
      <c r="UHE67" s="684"/>
      <c r="UHF67" s="684"/>
      <c r="UHG67" s="684"/>
      <c r="UHH67" s="684"/>
      <c r="UHI67" s="684"/>
      <c r="UHJ67" s="684"/>
      <c r="UHK67" s="684"/>
      <c r="UHL67" s="684"/>
      <c r="UHM67" s="684"/>
      <c r="UHN67" s="684"/>
      <c r="UHO67" s="684"/>
      <c r="UHP67" s="684"/>
      <c r="UHQ67" s="684"/>
      <c r="UHR67" s="684"/>
      <c r="UHS67" s="684"/>
      <c r="UHT67" s="684"/>
      <c r="UHU67" s="684"/>
      <c r="UHV67" s="684"/>
      <c r="UHW67" s="684"/>
      <c r="UHX67" s="684"/>
      <c r="UHY67" s="684"/>
      <c r="UHZ67" s="684"/>
      <c r="UIA67" s="684"/>
      <c r="UIB67" s="684"/>
      <c r="UIC67" s="684"/>
      <c r="UID67" s="684"/>
      <c r="UIE67" s="684"/>
      <c r="UIF67" s="684"/>
      <c r="UIG67" s="684"/>
      <c r="UIH67" s="684"/>
      <c r="UII67" s="684"/>
      <c r="UIJ67" s="684"/>
      <c r="UIK67" s="684"/>
      <c r="UIL67" s="684"/>
      <c r="UIM67" s="684"/>
      <c r="UIN67" s="684"/>
      <c r="UIO67" s="684"/>
      <c r="UIP67" s="684"/>
      <c r="UIQ67" s="684"/>
      <c r="UIR67" s="684"/>
      <c r="UIS67" s="684"/>
      <c r="UIT67" s="684"/>
      <c r="UIU67" s="684"/>
      <c r="UIV67" s="684"/>
      <c r="UIW67" s="684"/>
      <c r="UIX67" s="684"/>
      <c r="UIY67" s="684"/>
      <c r="UIZ67" s="684"/>
      <c r="UJA67" s="684"/>
      <c r="UJB67" s="684"/>
      <c r="UJC67" s="684"/>
      <c r="UJD67" s="684"/>
      <c r="UJE67" s="684"/>
      <c r="UJF67" s="684"/>
      <c r="UJG67" s="684"/>
      <c r="UJH67" s="684"/>
      <c r="UJI67" s="684"/>
      <c r="UJJ67" s="684"/>
      <c r="UJK67" s="684"/>
      <c r="UJL67" s="684"/>
      <c r="UJM67" s="684"/>
      <c r="UJN67" s="684"/>
      <c r="UJO67" s="684"/>
      <c r="UJP67" s="684"/>
      <c r="UJQ67" s="684"/>
      <c r="UJR67" s="684"/>
      <c r="UJS67" s="684"/>
      <c r="UJT67" s="684"/>
      <c r="UJU67" s="684"/>
      <c r="UJV67" s="684"/>
      <c r="UJW67" s="684"/>
      <c r="UJX67" s="684"/>
      <c r="UJY67" s="684"/>
      <c r="UJZ67" s="684"/>
      <c r="UKA67" s="684"/>
      <c r="UKB67" s="684"/>
      <c r="UKC67" s="684"/>
      <c r="UKD67" s="684"/>
      <c r="UKE67" s="684"/>
      <c r="UKF67" s="684"/>
      <c r="UKG67" s="684"/>
      <c r="UKH67" s="684"/>
      <c r="UKI67" s="684"/>
      <c r="UKJ67" s="684"/>
      <c r="UKK67" s="684"/>
      <c r="UKL67" s="684"/>
      <c r="UKM67" s="684"/>
      <c r="UKN67" s="684"/>
      <c r="UKO67" s="684"/>
      <c r="UKP67" s="684"/>
      <c r="UKQ67" s="684"/>
      <c r="UKR67" s="684"/>
      <c r="UKS67" s="684"/>
      <c r="UKT67" s="684"/>
      <c r="UKU67" s="684"/>
      <c r="UKV67" s="684"/>
      <c r="UKW67" s="684"/>
      <c r="UKX67" s="684"/>
      <c r="UKY67" s="684"/>
      <c r="UKZ67" s="684"/>
      <c r="ULA67" s="684"/>
      <c r="ULB67" s="684"/>
      <c r="ULC67" s="684"/>
      <c r="ULD67" s="684"/>
      <c r="ULE67" s="684"/>
      <c r="ULF67" s="684"/>
      <c r="ULG67" s="684"/>
      <c r="ULH67" s="684"/>
      <c r="ULI67" s="684"/>
      <c r="ULJ67" s="684"/>
      <c r="ULK67" s="684"/>
      <c r="ULL67" s="684"/>
      <c r="ULM67" s="684"/>
      <c r="ULN67" s="684"/>
      <c r="ULO67" s="684"/>
      <c r="ULP67" s="684"/>
      <c r="ULQ67" s="684"/>
      <c r="ULR67" s="684"/>
      <c r="ULS67" s="684"/>
      <c r="ULT67" s="684"/>
      <c r="ULU67" s="684"/>
      <c r="ULV67" s="684"/>
      <c r="ULW67" s="684"/>
      <c r="ULX67" s="684"/>
      <c r="ULY67" s="684"/>
      <c r="ULZ67" s="684"/>
      <c r="UMA67" s="684"/>
      <c r="UMB67" s="684"/>
      <c r="UMC67" s="684"/>
      <c r="UMD67" s="684"/>
      <c r="UME67" s="684"/>
      <c r="UMF67" s="684"/>
      <c r="UMG67" s="684"/>
      <c r="UMH67" s="684"/>
      <c r="UMI67" s="684"/>
      <c r="UMJ67" s="684"/>
      <c r="UMK67" s="684"/>
      <c r="UML67" s="684"/>
      <c r="UMM67" s="684"/>
      <c r="UMN67" s="684"/>
      <c r="UMO67" s="684"/>
      <c r="UMP67" s="684"/>
      <c r="UMQ67" s="684"/>
      <c r="UMR67" s="684"/>
      <c r="UMS67" s="684"/>
      <c r="UMT67" s="684"/>
      <c r="UMU67" s="684"/>
      <c r="UMV67" s="684"/>
      <c r="UMW67" s="684"/>
      <c r="UMX67" s="684"/>
      <c r="UMY67" s="684"/>
      <c r="UMZ67" s="684"/>
      <c r="UNA67" s="684"/>
      <c r="UNB67" s="684"/>
      <c r="UNC67" s="684"/>
      <c r="UND67" s="684"/>
      <c r="UNE67" s="684"/>
      <c r="UNF67" s="684"/>
      <c r="UNG67" s="684"/>
      <c r="UNH67" s="684"/>
      <c r="UNI67" s="684"/>
      <c r="UNJ67" s="684"/>
      <c r="UNK67" s="684"/>
      <c r="UNL67" s="684"/>
      <c r="UNM67" s="684"/>
      <c r="UNN67" s="684"/>
      <c r="UNO67" s="684"/>
      <c r="UNP67" s="684"/>
      <c r="UNQ67" s="684"/>
      <c r="UNR67" s="684"/>
      <c r="UNS67" s="684"/>
      <c r="UNT67" s="684"/>
      <c r="UNU67" s="684"/>
      <c r="UNV67" s="684"/>
      <c r="UNW67" s="684"/>
      <c r="UNX67" s="684"/>
      <c r="UNY67" s="684"/>
      <c r="UNZ67" s="684"/>
      <c r="UOA67" s="684"/>
      <c r="UOB67" s="684"/>
      <c r="UOC67" s="684"/>
      <c r="UOD67" s="684"/>
      <c r="UOE67" s="684"/>
      <c r="UOF67" s="684"/>
      <c r="UOG67" s="684"/>
      <c r="UOH67" s="684"/>
      <c r="UOI67" s="684"/>
      <c r="UOJ67" s="684"/>
      <c r="UOK67" s="684"/>
      <c r="UOL67" s="684"/>
      <c r="UOM67" s="684"/>
      <c r="UON67" s="684"/>
      <c r="UOO67" s="684"/>
      <c r="UOP67" s="684"/>
      <c r="UOQ67" s="684"/>
      <c r="UOR67" s="684"/>
      <c r="UOS67" s="684"/>
      <c r="UOT67" s="684"/>
      <c r="UOU67" s="684"/>
      <c r="UOV67" s="684"/>
      <c r="UOW67" s="684"/>
      <c r="UOX67" s="684"/>
      <c r="UOY67" s="684"/>
      <c r="UOZ67" s="684"/>
      <c r="UPA67" s="684"/>
      <c r="UPB67" s="684"/>
      <c r="UPC67" s="684"/>
      <c r="UPD67" s="684"/>
      <c r="UPE67" s="684"/>
      <c r="UPF67" s="684"/>
      <c r="UPG67" s="684"/>
      <c r="UPH67" s="684"/>
      <c r="UPI67" s="684"/>
      <c r="UPJ67" s="684"/>
      <c r="UPK67" s="684"/>
      <c r="UPL67" s="684"/>
      <c r="UPM67" s="684"/>
      <c r="UPN67" s="684"/>
      <c r="UPO67" s="684"/>
      <c r="UPP67" s="684"/>
      <c r="UPQ67" s="684"/>
      <c r="UPR67" s="684"/>
      <c r="UPS67" s="684"/>
      <c r="UPT67" s="684"/>
      <c r="UPU67" s="684"/>
      <c r="UPV67" s="684"/>
      <c r="UPW67" s="684"/>
      <c r="UPX67" s="684"/>
      <c r="UPY67" s="684"/>
      <c r="UPZ67" s="684"/>
      <c r="UQA67" s="684"/>
      <c r="UQB67" s="684"/>
      <c r="UQC67" s="684"/>
      <c r="UQD67" s="684"/>
      <c r="UQE67" s="684"/>
      <c r="UQF67" s="684"/>
      <c r="UQG67" s="684"/>
      <c r="UQH67" s="684"/>
      <c r="UQI67" s="684"/>
      <c r="UQJ67" s="684"/>
      <c r="UQK67" s="684"/>
      <c r="UQL67" s="684"/>
      <c r="UQM67" s="684"/>
      <c r="UQN67" s="684"/>
      <c r="UQO67" s="684"/>
      <c r="UQP67" s="684"/>
      <c r="UQQ67" s="684"/>
      <c r="UQR67" s="684"/>
      <c r="UQS67" s="684"/>
      <c r="UQT67" s="684"/>
      <c r="UQU67" s="684"/>
      <c r="UQV67" s="684"/>
      <c r="UQW67" s="684"/>
      <c r="UQX67" s="684"/>
      <c r="UQY67" s="684"/>
      <c r="UQZ67" s="684"/>
      <c r="URA67" s="684"/>
      <c r="URB67" s="684"/>
      <c r="URC67" s="684"/>
      <c r="URD67" s="684"/>
      <c r="URE67" s="684"/>
      <c r="URF67" s="684"/>
      <c r="URG67" s="684"/>
      <c r="URH67" s="684"/>
      <c r="URI67" s="684"/>
      <c r="URJ67" s="684"/>
      <c r="URK67" s="684"/>
      <c r="URL67" s="684"/>
      <c r="URM67" s="684"/>
      <c r="URN67" s="684"/>
      <c r="URO67" s="684"/>
      <c r="URP67" s="684"/>
      <c r="URQ67" s="684"/>
      <c r="URR67" s="684"/>
      <c r="URS67" s="684"/>
      <c r="URT67" s="684"/>
      <c r="URU67" s="684"/>
      <c r="URV67" s="684"/>
      <c r="URW67" s="684"/>
      <c r="URX67" s="684"/>
      <c r="URY67" s="684"/>
      <c r="URZ67" s="684"/>
      <c r="USA67" s="684"/>
      <c r="USB67" s="684"/>
      <c r="USC67" s="684"/>
      <c r="USD67" s="684"/>
      <c r="USE67" s="684"/>
      <c r="USF67" s="684"/>
      <c r="USG67" s="684"/>
      <c r="USH67" s="684"/>
      <c r="USI67" s="684"/>
      <c r="USJ67" s="684"/>
      <c r="USK67" s="684"/>
      <c r="USL67" s="684"/>
      <c r="USM67" s="684"/>
      <c r="USN67" s="684"/>
      <c r="USO67" s="684"/>
      <c r="USP67" s="684"/>
      <c r="USQ67" s="684"/>
      <c r="USR67" s="684"/>
      <c r="USS67" s="684"/>
      <c r="UST67" s="684"/>
      <c r="USU67" s="684"/>
      <c r="USV67" s="684"/>
      <c r="USW67" s="684"/>
      <c r="USX67" s="684"/>
      <c r="USY67" s="684"/>
      <c r="USZ67" s="684"/>
      <c r="UTA67" s="684"/>
      <c r="UTB67" s="684"/>
      <c r="UTC67" s="684"/>
      <c r="UTD67" s="684"/>
      <c r="UTE67" s="684"/>
      <c r="UTF67" s="684"/>
      <c r="UTG67" s="684"/>
      <c r="UTH67" s="684"/>
      <c r="UTI67" s="684"/>
      <c r="UTJ67" s="684"/>
      <c r="UTK67" s="684"/>
      <c r="UTL67" s="684"/>
      <c r="UTM67" s="684"/>
      <c r="UTN67" s="684"/>
      <c r="UTO67" s="684"/>
      <c r="UTP67" s="684"/>
      <c r="UTQ67" s="684"/>
      <c r="UTR67" s="684"/>
      <c r="UTS67" s="684"/>
      <c r="UTT67" s="684"/>
      <c r="UTU67" s="684"/>
      <c r="UTV67" s="684"/>
      <c r="UTW67" s="684"/>
      <c r="UTX67" s="684"/>
      <c r="UTY67" s="684"/>
      <c r="UTZ67" s="684"/>
      <c r="UUA67" s="684"/>
      <c r="UUB67" s="684"/>
      <c r="UUC67" s="684"/>
      <c r="UUD67" s="684"/>
      <c r="UUE67" s="684"/>
      <c r="UUF67" s="684"/>
      <c r="UUG67" s="684"/>
      <c r="UUH67" s="684"/>
      <c r="UUI67" s="684"/>
      <c r="UUJ67" s="684"/>
      <c r="UUK67" s="684"/>
      <c r="UUL67" s="684"/>
      <c r="UUM67" s="684"/>
      <c r="UUN67" s="684"/>
      <c r="UUO67" s="684"/>
      <c r="UUP67" s="684"/>
      <c r="UUQ67" s="684"/>
      <c r="UUR67" s="684"/>
      <c r="UUS67" s="684"/>
      <c r="UUT67" s="684"/>
      <c r="UUU67" s="684"/>
      <c r="UUV67" s="684"/>
      <c r="UUW67" s="684"/>
      <c r="UUX67" s="684"/>
      <c r="UUY67" s="684"/>
      <c r="UUZ67" s="684"/>
      <c r="UVA67" s="684"/>
      <c r="UVB67" s="684"/>
      <c r="UVC67" s="684"/>
      <c r="UVD67" s="684"/>
      <c r="UVE67" s="684"/>
      <c r="UVF67" s="684"/>
      <c r="UVG67" s="684"/>
      <c r="UVH67" s="684"/>
      <c r="UVI67" s="684"/>
      <c r="UVJ67" s="684"/>
      <c r="UVK67" s="684"/>
      <c r="UVL67" s="684"/>
      <c r="UVM67" s="684"/>
      <c r="UVN67" s="684"/>
      <c r="UVO67" s="684"/>
      <c r="UVP67" s="684"/>
      <c r="UVQ67" s="684"/>
      <c r="UVR67" s="684"/>
      <c r="UVS67" s="684"/>
      <c r="UVT67" s="684"/>
      <c r="UVU67" s="684"/>
      <c r="UVV67" s="684"/>
      <c r="UVW67" s="684"/>
      <c r="UVX67" s="684"/>
      <c r="UVY67" s="684"/>
      <c r="UVZ67" s="684"/>
      <c r="UWA67" s="684"/>
      <c r="UWB67" s="684"/>
      <c r="UWC67" s="684"/>
      <c r="UWD67" s="684"/>
      <c r="UWE67" s="684"/>
      <c r="UWF67" s="684"/>
      <c r="UWG67" s="684"/>
      <c r="UWH67" s="684"/>
      <c r="UWI67" s="684"/>
      <c r="UWJ67" s="684"/>
      <c r="UWK67" s="684"/>
      <c r="UWL67" s="684"/>
      <c r="UWM67" s="684"/>
      <c r="UWN67" s="684"/>
      <c r="UWO67" s="684"/>
      <c r="UWP67" s="684"/>
      <c r="UWQ67" s="684"/>
      <c r="UWR67" s="684"/>
      <c r="UWS67" s="684"/>
      <c r="UWT67" s="684"/>
      <c r="UWU67" s="684"/>
      <c r="UWV67" s="684"/>
      <c r="UWW67" s="684"/>
      <c r="UWX67" s="684"/>
      <c r="UWY67" s="684"/>
      <c r="UWZ67" s="684"/>
      <c r="UXA67" s="684"/>
      <c r="UXB67" s="684"/>
      <c r="UXC67" s="684"/>
      <c r="UXD67" s="684"/>
      <c r="UXE67" s="684"/>
      <c r="UXF67" s="684"/>
      <c r="UXG67" s="684"/>
      <c r="UXH67" s="684"/>
      <c r="UXI67" s="684"/>
      <c r="UXJ67" s="684"/>
      <c r="UXK67" s="684"/>
      <c r="UXL67" s="684"/>
      <c r="UXM67" s="684"/>
      <c r="UXN67" s="684"/>
      <c r="UXO67" s="684"/>
      <c r="UXP67" s="684"/>
      <c r="UXQ67" s="684"/>
      <c r="UXR67" s="684"/>
      <c r="UXS67" s="684"/>
      <c r="UXT67" s="684"/>
      <c r="UXU67" s="684"/>
      <c r="UXV67" s="684"/>
      <c r="UXW67" s="684"/>
      <c r="UXX67" s="684"/>
      <c r="UXY67" s="684"/>
      <c r="UXZ67" s="684"/>
      <c r="UYA67" s="684"/>
      <c r="UYB67" s="684"/>
      <c r="UYC67" s="684"/>
      <c r="UYD67" s="684"/>
      <c r="UYE67" s="684"/>
      <c r="UYF67" s="684"/>
      <c r="UYG67" s="684"/>
      <c r="UYH67" s="684"/>
      <c r="UYI67" s="684"/>
      <c r="UYJ67" s="684"/>
      <c r="UYK67" s="684"/>
      <c r="UYL67" s="684"/>
      <c r="UYM67" s="684"/>
      <c r="UYN67" s="684"/>
      <c r="UYO67" s="684"/>
      <c r="UYP67" s="684"/>
      <c r="UYQ67" s="684"/>
      <c r="UYR67" s="684"/>
      <c r="UYS67" s="684"/>
      <c r="UYT67" s="684"/>
      <c r="UYU67" s="684"/>
      <c r="UYV67" s="684"/>
      <c r="UYW67" s="684"/>
      <c r="UYX67" s="684"/>
      <c r="UYY67" s="684"/>
      <c r="UYZ67" s="684"/>
      <c r="UZA67" s="684"/>
      <c r="UZB67" s="684"/>
      <c r="UZC67" s="684"/>
      <c r="UZD67" s="684"/>
      <c r="UZE67" s="684"/>
      <c r="UZF67" s="684"/>
      <c r="UZG67" s="684"/>
      <c r="UZH67" s="684"/>
      <c r="UZI67" s="684"/>
      <c r="UZJ67" s="684"/>
      <c r="UZK67" s="684"/>
      <c r="UZL67" s="684"/>
      <c r="UZM67" s="684"/>
      <c r="UZN67" s="684"/>
      <c r="UZO67" s="684"/>
      <c r="UZP67" s="684"/>
      <c r="UZQ67" s="684"/>
      <c r="UZR67" s="684"/>
      <c r="UZS67" s="684"/>
      <c r="UZT67" s="684"/>
      <c r="UZU67" s="684"/>
      <c r="UZV67" s="684"/>
      <c r="UZW67" s="684"/>
      <c r="UZX67" s="684"/>
      <c r="UZY67" s="684"/>
      <c r="UZZ67" s="684"/>
      <c r="VAA67" s="684"/>
      <c r="VAB67" s="684"/>
      <c r="VAC67" s="684"/>
      <c r="VAD67" s="684"/>
      <c r="VAE67" s="684"/>
      <c r="VAF67" s="684"/>
      <c r="VAG67" s="684"/>
      <c r="VAH67" s="684"/>
      <c r="VAI67" s="684"/>
      <c r="VAJ67" s="684"/>
      <c r="VAK67" s="684"/>
      <c r="VAL67" s="684"/>
      <c r="VAM67" s="684"/>
      <c r="VAN67" s="684"/>
      <c r="VAO67" s="684"/>
      <c r="VAP67" s="684"/>
      <c r="VAQ67" s="684"/>
      <c r="VAR67" s="684"/>
      <c r="VAS67" s="684"/>
      <c r="VAT67" s="684"/>
      <c r="VAU67" s="684"/>
      <c r="VAV67" s="684"/>
      <c r="VAW67" s="684"/>
      <c r="VAX67" s="684"/>
      <c r="VAY67" s="684"/>
      <c r="VAZ67" s="684"/>
      <c r="VBA67" s="684"/>
      <c r="VBB67" s="684"/>
      <c r="VBC67" s="684"/>
      <c r="VBD67" s="684"/>
      <c r="VBE67" s="684"/>
      <c r="VBF67" s="684"/>
      <c r="VBG67" s="684"/>
      <c r="VBH67" s="684"/>
      <c r="VBI67" s="684"/>
      <c r="VBJ67" s="684"/>
      <c r="VBK67" s="684"/>
      <c r="VBL67" s="684"/>
      <c r="VBM67" s="684"/>
      <c r="VBN67" s="684"/>
      <c r="VBO67" s="684"/>
      <c r="VBP67" s="684"/>
      <c r="VBQ67" s="684"/>
      <c r="VBR67" s="684"/>
      <c r="VBS67" s="684"/>
      <c r="VBT67" s="684"/>
      <c r="VBU67" s="684"/>
      <c r="VBV67" s="684"/>
      <c r="VBW67" s="684"/>
      <c r="VBX67" s="684"/>
      <c r="VBY67" s="684"/>
      <c r="VBZ67" s="684"/>
      <c r="VCA67" s="684"/>
      <c r="VCB67" s="684"/>
      <c r="VCC67" s="684"/>
      <c r="VCD67" s="684"/>
      <c r="VCE67" s="684"/>
      <c r="VCF67" s="684"/>
      <c r="VCG67" s="684"/>
      <c r="VCH67" s="684"/>
      <c r="VCI67" s="684"/>
      <c r="VCJ67" s="684"/>
      <c r="VCK67" s="684"/>
      <c r="VCL67" s="684"/>
      <c r="VCM67" s="684"/>
      <c r="VCN67" s="684"/>
      <c r="VCO67" s="684"/>
      <c r="VCP67" s="684"/>
      <c r="VCQ67" s="684"/>
      <c r="VCR67" s="684"/>
      <c r="VCS67" s="684"/>
      <c r="VCT67" s="684"/>
      <c r="VCU67" s="684"/>
      <c r="VCV67" s="684"/>
      <c r="VCW67" s="684"/>
      <c r="VCX67" s="684"/>
      <c r="VCY67" s="684"/>
      <c r="VCZ67" s="684"/>
      <c r="VDA67" s="684"/>
      <c r="VDB67" s="684"/>
      <c r="VDC67" s="684"/>
      <c r="VDD67" s="684"/>
      <c r="VDE67" s="684"/>
      <c r="VDF67" s="684"/>
      <c r="VDG67" s="684"/>
      <c r="VDH67" s="684"/>
      <c r="VDI67" s="684"/>
      <c r="VDJ67" s="684"/>
      <c r="VDK67" s="684"/>
      <c r="VDL67" s="684"/>
      <c r="VDM67" s="684"/>
      <c r="VDN67" s="684"/>
      <c r="VDO67" s="684"/>
      <c r="VDP67" s="684"/>
      <c r="VDQ67" s="684"/>
      <c r="VDR67" s="684"/>
      <c r="VDS67" s="684"/>
      <c r="VDT67" s="684"/>
      <c r="VDU67" s="684"/>
      <c r="VDV67" s="684"/>
      <c r="VDW67" s="684"/>
      <c r="VDX67" s="684"/>
      <c r="VDY67" s="684"/>
      <c r="VDZ67" s="684"/>
      <c r="VEA67" s="684"/>
      <c r="VEB67" s="684"/>
      <c r="VEC67" s="684"/>
      <c r="VED67" s="684"/>
      <c r="VEE67" s="684"/>
      <c r="VEF67" s="684"/>
      <c r="VEG67" s="684"/>
      <c r="VEH67" s="684"/>
      <c r="VEI67" s="684"/>
      <c r="VEJ67" s="684"/>
      <c r="VEK67" s="684"/>
      <c r="VEL67" s="684"/>
      <c r="VEM67" s="684"/>
      <c r="VEN67" s="684"/>
      <c r="VEO67" s="684"/>
      <c r="VEP67" s="684"/>
      <c r="VEQ67" s="684"/>
      <c r="VER67" s="684"/>
      <c r="VES67" s="684"/>
      <c r="VET67" s="684"/>
      <c r="VEU67" s="684"/>
      <c r="VEV67" s="684"/>
      <c r="VEW67" s="684"/>
      <c r="VEX67" s="684"/>
      <c r="VEY67" s="684"/>
      <c r="VEZ67" s="684"/>
      <c r="VFA67" s="684"/>
      <c r="VFB67" s="684"/>
      <c r="VFC67" s="684"/>
      <c r="VFD67" s="684"/>
      <c r="VFE67" s="684"/>
      <c r="VFF67" s="684"/>
      <c r="VFG67" s="684"/>
      <c r="VFH67" s="684"/>
      <c r="VFI67" s="684"/>
      <c r="VFJ67" s="684"/>
      <c r="VFK67" s="684"/>
      <c r="VFL67" s="684"/>
      <c r="VFM67" s="684"/>
      <c r="VFN67" s="684"/>
      <c r="VFO67" s="684"/>
      <c r="VFP67" s="684"/>
      <c r="VFQ67" s="684"/>
      <c r="VFR67" s="684"/>
      <c r="VFS67" s="684"/>
      <c r="VFT67" s="684"/>
      <c r="VFU67" s="684"/>
      <c r="VFV67" s="684"/>
      <c r="VFW67" s="684"/>
      <c r="VFX67" s="684"/>
      <c r="VFY67" s="684"/>
      <c r="VFZ67" s="684"/>
      <c r="VGA67" s="684"/>
      <c r="VGB67" s="684"/>
      <c r="VGC67" s="684"/>
      <c r="VGD67" s="684"/>
      <c r="VGE67" s="684"/>
      <c r="VGF67" s="684"/>
      <c r="VGG67" s="684"/>
      <c r="VGH67" s="684"/>
      <c r="VGI67" s="684"/>
      <c r="VGJ67" s="684"/>
      <c r="VGK67" s="684"/>
      <c r="VGL67" s="684"/>
      <c r="VGM67" s="684"/>
      <c r="VGN67" s="684"/>
      <c r="VGO67" s="684"/>
      <c r="VGP67" s="684"/>
      <c r="VGQ67" s="684"/>
      <c r="VGR67" s="684"/>
      <c r="VGS67" s="684"/>
      <c r="VGT67" s="684"/>
      <c r="VGU67" s="684"/>
      <c r="VGV67" s="684"/>
      <c r="VGW67" s="684"/>
      <c r="VGX67" s="684"/>
      <c r="VGY67" s="684"/>
      <c r="VGZ67" s="684"/>
      <c r="VHA67" s="684"/>
      <c r="VHB67" s="684"/>
      <c r="VHC67" s="684"/>
      <c r="VHD67" s="684"/>
      <c r="VHE67" s="684"/>
      <c r="VHF67" s="684"/>
      <c r="VHG67" s="684"/>
      <c r="VHH67" s="684"/>
      <c r="VHI67" s="684"/>
      <c r="VHJ67" s="684"/>
      <c r="VHK67" s="684"/>
      <c r="VHL67" s="684"/>
      <c r="VHM67" s="684"/>
      <c r="VHN67" s="684"/>
      <c r="VHO67" s="684"/>
      <c r="VHP67" s="684"/>
      <c r="VHQ67" s="684"/>
      <c r="VHR67" s="684"/>
      <c r="VHS67" s="684"/>
      <c r="VHT67" s="684"/>
      <c r="VHU67" s="684"/>
      <c r="VHV67" s="684"/>
      <c r="VHW67" s="684"/>
      <c r="VHX67" s="684"/>
      <c r="VHY67" s="684"/>
      <c r="VHZ67" s="684"/>
      <c r="VIA67" s="684"/>
      <c r="VIB67" s="684"/>
      <c r="VIC67" s="684"/>
      <c r="VID67" s="684"/>
      <c r="VIE67" s="684"/>
      <c r="VIF67" s="684"/>
      <c r="VIG67" s="684"/>
      <c r="VIH67" s="684"/>
      <c r="VII67" s="684"/>
      <c r="VIJ67" s="684"/>
      <c r="VIK67" s="684"/>
      <c r="VIL67" s="684"/>
      <c r="VIM67" s="684"/>
      <c r="VIN67" s="684"/>
      <c r="VIO67" s="684"/>
      <c r="VIP67" s="684"/>
      <c r="VIQ67" s="684"/>
      <c r="VIR67" s="684"/>
      <c r="VIS67" s="684"/>
      <c r="VIT67" s="684"/>
      <c r="VIU67" s="684"/>
      <c r="VIV67" s="684"/>
      <c r="VIW67" s="684"/>
      <c r="VIX67" s="684"/>
      <c r="VIY67" s="684"/>
      <c r="VIZ67" s="684"/>
      <c r="VJA67" s="684"/>
      <c r="VJB67" s="684"/>
      <c r="VJC67" s="684"/>
      <c r="VJD67" s="684"/>
      <c r="VJE67" s="684"/>
      <c r="VJF67" s="684"/>
      <c r="VJG67" s="684"/>
      <c r="VJH67" s="684"/>
      <c r="VJI67" s="684"/>
      <c r="VJJ67" s="684"/>
      <c r="VJK67" s="684"/>
      <c r="VJL67" s="684"/>
      <c r="VJM67" s="684"/>
      <c r="VJN67" s="684"/>
      <c r="VJO67" s="684"/>
      <c r="VJP67" s="684"/>
      <c r="VJQ67" s="684"/>
      <c r="VJR67" s="684"/>
      <c r="VJS67" s="684"/>
      <c r="VJT67" s="684"/>
      <c r="VJU67" s="684"/>
      <c r="VJV67" s="684"/>
      <c r="VJW67" s="684"/>
      <c r="VJX67" s="684"/>
      <c r="VJY67" s="684"/>
      <c r="VJZ67" s="684"/>
      <c r="VKA67" s="684"/>
      <c r="VKB67" s="684"/>
      <c r="VKC67" s="684"/>
      <c r="VKD67" s="684"/>
      <c r="VKE67" s="684"/>
      <c r="VKF67" s="684"/>
      <c r="VKG67" s="684"/>
      <c r="VKH67" s="684"/>
      <c r="VKI67" s="684"/>
      <c r="VKJ67" s="684"/>
      <c r="VKK67" s="684"/>
      <c r="VKL67" s="684"/>
      <c r="VKM67" s="684"/>
      <c r="VKN67" s="684"/>
      <c r="VKO67" s="684"/>
      <c r="VKP67" s="684"/>
      <c r="VKQ67" s="684"/>
      <c r="VKR67" s="684"/>
      <c r="VKS67" s="684"/>
      <c r="VKT67" s="684"/>
      <c r="VKU67" s="684"/>
      <c r="VKV67" s="684"/>
      <c r="VKW67" s="684"/>
      <c r="VKX67" s="684"/>
      <c r="VKY67" s="684"/>
      <c r="VKZ67" s="684"/>
      <c r="VLA67" s="684"/>
      <c r="VLB67" s="684"/>
      <c r="VLC67" s="684"/>
      <c r="VLD67" s="684"/>
      <c r="VLE67" s="684"/>
      <c r="VLF67" s="684"/>
      <c r="VLG67" s="684"/>
      <c r="VLH67" s="684"/>
      <c r="VLI67" s="684"/>
      <c r="VLJ67" s="684"/>
      <c r="VLK67" s="684"/>
      <c r="VLL67" s="684"/>
      <c r="VLM67" s="684"/>
      <c r="VLN67" s="684"/>
      <c r="VLO67" s="684"/>
      <c r="VLP67" s="684"/>
      <c r="VLQ67" s="684"/>
      <c r="VLR67" s="684"/>
      <c r="VLS67" s="684"/>
      <c r="VLT67" s="684"/>
      <c r="VLU67" s="684"/>
      <c r="VLV67" s="684"/>
      <c r="VLW67" s="684"/>
      <c r="VLX67" s="684"/>
      <c r="VLY67" s="684"/>
      <c r="VLZ67" s="684"/>
      <c r="VMA67" s="684"/>
      <c r="VMB67" s="684"/>
      <c r="VMC67" s="684"/>
      <c r="VMD67" s="684"/>
      <c r="VME67" s="684"/>
      <c r="VMF67" s="684"/>
      <c r="VMG67" s="684"/>
      <c r="VMH67" s="684"/>
      <c r="VMI67" s="684"/>
      <c r="VMJ67" s="684"/>
      <c r="VMK67" s="684"/>
      <c r="VML67" s="684"/>
      <c r="VMM67" s="684"/>
      <c r="VMN67" s="684"/>
      <c r="VMO67" s="684"/>
      <c r="VMP67" s="684"/>
      <c r="VMQ67" s="684"/>
      <c r="VMR67" s="684"/>
      <c r="VMS67" s="684"/>
      <c r="VMT67" s="684"/>
      <c r="VMU67" s="684"/>
      <c r="VMV67" s="684"/>
      <c r="VMW67" s="684"/>
      <c r="VMX67" s="684"/>
      <c r="VMY67" s="684"/>
      <c r="VMZ67" s="684"/>
      <c r="VNA67" s="684"/>
      <c r="VNB67" s="684"/>
      <c r="VNC67" s="684"/>
      <c r="VND67" s="684"/>
      <c r="VNE67" s="684"/>
      <c r="VNF67" s="684"/>
      <c r="VNG67" s="684"/>
      <c r="VNH67" s="684"/>
      <c r="VNI67" s="684"/>
      <c r="VNJ67" s="684"/>
      <c r="VNK67" s="684"/>
      <c r="VNL67" s="684"/>
      <c r="VNM67" s="684"/>
      <c r="VNN67" s="684"/>
      <c r="VNO67" s="684"/>
      <c r="VNP67" s="684"/>
      <c r="VNQ67" s="684"/>
      <c r="VNR67" s="684"/>
      <c r="VNS67" s="684"/>
      <c r="VNT67" s="684"/>
      <c r="VNU67" s="684"/>
      <c r="VNV67" s="684"/>
      <c r="VNW67" s="684"/>
      <c r="VNX67" s="684"/>
      <c r="VNY67" s="684"/>
      <c r="VNZ67" s="684"/>
      <c r="VOA67" s="684"/>
      <c r="VOB67" s="684"/>
      <c r="VOC67" s="684"/>
      <c r="VOD67" s="684"/>
      <c r="VOE67" s="684"/>
      <c r="VOF67" s="684"/>
      <c r="VOG67" s="684"/>
      <c r="VOH67" s="684"/>
      <c r="VOI67" s="684"/>
      <c r="VOJ67" s="684"/>
      <c r="VOK67" s="684"/>
      <c r="VOL67" s="684"/>
      <c r="VOM67" s="684"/>
      <c r="VON67" s="684"/>
      <c r="VOO67" s="684"/>
      <c r="VOP67" s="684"/>
      <c r="VOQ67" s="684"/>
      <c r="VOR67" s="684"/>
      <c r="VOS67" s="684"/>
      <c r="VOT67" s="684"/>
      <c r="VOU67" s="684"/>
      <c r="VOV67" s="684"/>
      <c r="VOW67" s="684"/>
      <c r="VOX67" s="684"/>
      <c r="VOY67" s="684"/>
      <c r="VOZ67" s="684"/>
      <c r="VPA67" s="684"/>
      <c r="VPB67" s="684"/>
      <c r="VPC67" s="684"/>
      <c r="VPD67" s="684"/>
      <c r="VPE67" s="684"/>
      <c r="VPF67" s="684"/>
      <c r="VPG67" s="684"/>
      <c r="VPH67" s="684"/>
      <c r="VPI67" s="684"/>
      <c r="VPJ67" s="684"/>
      <c r="VPK67" s="684"/>
      <c r="VPL67" s="684"/>
      <c r="VPM67" s="684"/>
      <c r="VPN67" s="684"/>
      <c r="VPO67" s="684"/>
      <c r="VPP67" s="684"/>
      <c r="VPQ67" s="684"/>
      <c r="VPR67" s="684"/>
      <c r="VPS67" s="684"/>
      <c r="VPT67" s="684"/>
      <c r="VPU67" s="684"/>
      <c r="VPV67" s="684"/>
      <c r="VPW67" s="684"/>
      <c r="VPX67" s="684"/>
      <c r="VPY67" s="684"/>
      <c r="VPZ67" s="684"/>
      <c r="VQA67" s="684"/>
      <c r="VQB67" s="684"/>
      <c r="VQC67" s="684"/>
      <c r="VQD67" s="684"/>
      <c r="VQE67" s="684"/>
      <c r="VQF67" s="684"/>
      <c r="VQG67" s="684"/>
      <c r="VQH67" s="684"/>
      <c r="VQI67" s="684"/>
      <c r="VQJ67" s="684"/>
      <c r="VQK67" s="684"/>
      <c r="VQL67" s="684"/>
      <c r="VQM67" s="684"/>
      <c r="VQN67" s="684"/>
      <c r="VQO67" s="684"/>
      <c r="VQP67" s="684"/>
      <c r="VQQ67" s="684"/>
      <c r="VQR67" s="684"/>
      <c r="VQS67" s="684"/>
      <c r="VQT67" s="684"/>
      <c r="VQU67" s="684"/>
      <c r="VQV67" s="684"/>
      <c r="VQW67" s="684"/>
      <c r="VQX67" s="684"/>
      <c r="VQY67" s="684"/>
      <c r="VQZ67" s="684"/>
      <c r="VRA67" s="684"/>
      <c r="VRB67" s="684"/>
      <c r="VRC67" s="684"/>
      <c r="VRD67" s="684"/>
      <c r="VRE67" s="684"/>
      <c r="VRF67" s="684"/>
      <c r="VRG67" s="684"/>
      <c r="VRH67" s="684"/>
      <c r="VRI67" s="684"/>
      <c r="VRJ67" s="684"/>
      <c r="VRK67" s="684"/>
      <c r="VRL67" s="684"/>
      <c r="VRM67" s="684"/>
      <c r="VRN67" s="684"/>
      <c r="VRO67" s="684"/>
      <c r="VRP67" s="684"/>
      <c r="VRQ67" s="684"/>
      <c r="VRR67" s="684"/>
      <c r="VRS67" s="684"/>
      <c r="VRT67" s="684"/>
      <c r="VRU67" s="684"/>
      <c r="VRV67" s="684"/>
      <c r="VRW67" s="684"/>
      <c r="VRX67" s="684"/>
      <c r="VRY67" s="684"/>
      <c r="VRZ67" s="684"/>
      <c r="VSA67" s="684"/>
      <c r="VSB67" s="684"/>
      <c r="VSC67" s="684"/>
      <c r="VSD67" s="684"/>
      <c r="VSE67" s="684"/>
      <c r="VSF67" s="684"/>
      <c r="VSG67" s="684"/>
      <c r="VSH67" s="684"/>
      <c r="VSI67" s="684"/>
      <c r="VSJ67" s="684"/>
      <c r="VSK67" s="684"/>
      <c r="VSL67" s="684"/>
      <c r="VSM67" s="684"/>
      <c r="VSN67" s="684"/>
      <c r="VSO67" s="684"/>
      <c r="VSP67" s="684"/>
      <c r="VSQ67" s="684"/>
      <c r="VSR67" s="684"/>
      <c r="VSS67" s="684"/>
      <c r="VST67" s="684"/>
      <c r="VSU67" s="684"/>
      <c r="VSV67" s="684"/>
      <c r="VSW67" s="684"/>
      <c r="VSX67" s="684"/>
      <c r="VSY67" s="684"/>
      <c r="VSZ67" s="684"/>
      <c r="VTA67" s="684"/>
      <c r="VTB67" s="684"/>
      <c r="VTC67" s="684"/>
      <c r="VTD67" s="684"/>
      <c r="VTE67" s="684"/>
      <c r="VTF67" s="684"/>
      <c r="VTG67" s="684"/>
      <c r="VTH67" s="684"/>
      <c r="VTI67" s="684"/>
      <c r="VTJ67" s="684"/>
      <c r="VTK67" s="684"/>
      <c r="VTL67" s="684"/>
      <c r="VTM67" s="684"/>
      <c r="VTN67" s="684"/>
      <c r="VTO67" s="684"/>
      <c r="VTP67" s="684"/>
      <c r="VTQ67" s="684"/>
      <c r="VTR67" s="684"/>
      <c r="VTS67" s="684"/>
      <c r="VTT67" s="684"/>
      <c r="VTU67" s="684"/>
      <c r="VTV67" s="684"/>
      <c r="VTW67" s="684"/>
      <c r="VTX67" s="684"/>
      <c r="VTY67" s="684"/>
      <c r="VTZ67" s="684"/>
      <c r="VUA67" s="684"/>
      <c r="VUB67" s="684"/>
      <c r="VUC67" s="684"/>
      <c r="VUD67" s="684"/>
      <c r="VUE67" s="684"/>
      <c r="VUF67" s="684"/>
      <c r="VUG67" s="684"/>
      <c r="VUH67" s="684"/>
      <c r="VUI67" s="684"/>
      <c r="VUJ67" s="684"/>
      <c r="VUK67" s="684"/>
      <c r="VUL67" s="684"/>
      <c r="VUM67" s="684"/>
      <c r="VUN67" s="684"/>
      <c r="VUO67" s="684"/>
      <c r="VUP67" s="684"/>
      <c r="VUQ67" s="684"/>
      <c r="VUR67" s="684"/>
      <c r="VUS67" s="684"/>
      <c r="VUT67" s="684"/>
      <c r="VUU67" s="684"/>
      <c r="VUV67" s="684"/>
      <c r="VUW67" s="684"/>
      <c r="VUX67" s="684"/>
      <c r="VUY67" s="684"/>
      <c r="VUZ67" s="684"/>
      <c r="VVA67" s="684"/>
      <c r="VVB67" s="684"/>
      <c r="VVC67" s="684"/>
      <c r="VVD67" s="684"/>
      <c r="VVE67" s="684"/>
      <c r="VVF67" s="684"/>
      <c r="VVG67" s="684"/>
      <c r="VVH67" s="684"/>
      <c r="VVI67" s="684"/>
      <c r="VVJ67" s="684"/>
      <c r="VVK67" s="684"/>
      <c r="VVL67" s="684"/>
      <c r="VVM67" s="684"/>
      <c r="VVN67" s="684"/>
      <c r="VVO67" s="684"/>
      <c r="VVP67" s="684"/>
      <c r="VVQ67" s="684"/>
      <c r="VVR67" s="684"/>
      <c r="VVS67" s="684"/>
      <c r="VVT67" s="684"/>
      <c r="VVU67" s="684"/>
      <c r="VVV67" s="684"/>
      <c r="VVW67" s="684"/>
      <c r="VVX67" s="684"/>
      <c r="VVY67" s="684"/>
      <c r="VVZ67" s="684"/>
      <c r="VWA67" s="684"/>
      <c r="VWB67" s="684"/>
      <c r="VWC67" s="684"/>
      <c r="VWD67" s="684"/>
      <c r="VWE67" s="684"/>
      <c r="VWF67" s="684"/>
      <c r="VWG67" s="684"/>
      <c r="VWH67" s="684"/>
      <c r="VWI67" s="684"/>
      <c r="VWJ67" s="684"/>
      <c r="VWK67" s="684"/>
      <c r="VWL67" s="684"/>
      <c r="VWM67" s="684"/>
      <c r="VWN67" s="684"/>
      <c r="VWO67" s="684"/>
      <c r="VWP67" s="684"/>
      <c r="VWQ67" s="684"/>
      <c r="VWR67" s="684"/>
      <c r="VWS67" s="684"/>
      <c r="VWT67" s="684"/>
      <c r="VWU67" s="684"/>
      <c r="VWV67" s="684"/>
      <c r="VWW67" s="684"/>
      <c r="VWX67" s="684"/>
      <c r="VWY67" s="684"/>
      <c r="VWZ67" s="684"/>
      <c r="VXA67" s="684"/>
      <c r="VXB67" s="684"/>
      <c r="VXC67" s="684"/>
      <c r="VXD67" s="684"/>
      <c r="VXE67" s="684"/>
      <c r="VXF67" s="684"/>
      <c r="VXG67" s="684"/>
      <c r="VXH67" s="684"/>
      <c r="VXI67" s="684"/>
      <c r="VXJ67" s="684"/>
      <c r="VXK67" s="684"/>
      <c r="VXL67" s="684"/>
      <c r="VXM67" s="684"/>
      <c r="VXN67" s="684"/>
      <c r="VXO67" s="684"/>
      <c r="VXP67" s="684"/>
      <c r="VXQ67" s="684"/>
      <c r="VXR67" s="684"/>
      <c r="VXS67" s="684"/>
      <c r="VXT67" s="684"/>
      <c r="VXU67" s="684"/>
      <c r="VXV67" s="684"/>
      <c r="VXW67" s="684"/>
      <c r="VXX67" s="684"/>
      <c r="VXY67" s="684"/>
      <c r="VXZ67" s="684"/>
      <c r="VYA67" s="684"/>
      <c r="VYB67" s="684"/>
      <c r="VYC67" s="684"/>
      <c r="VYD67" s="684"/>
      <c r="VYE67" s="684"/>
      <c r="VYF67" s="684"/>
      <c r="VYG67" s="684"/>
      <c r="VYH67" s="684"/>
      <c r="VYI67" s="684"/>
      <c r="VYJ67" s="684"/>
      <c r="VYK67" s="684"/>
      <c r="VYL67" s="684"/>
      <c r="VYM67" s="684"/>
      <c r="VYN67" s="684"/>
      <c r="VYO67" s="684"/>
      <c r="VYP67" s="684"/>
      <c r="VYQ67" s="684"/>
      <c r="VYR67" s="684"/>
      <c r="VYS67" s="684"/>
      <c r="VYT67" s="684"/>
      <c r="VYU67" s="684"/>
      <c r="VYV67" s="684"/>
      <c r="VYW67" s="684"/>
      <c r="VYX67" s="684"/>
      <c r="VYY67" s="684"/>
      <c r="VYZ67" s="684"/>
      <c r="VZA67" s="684"/>
      <c r="VZB67" s="684"/>
      <c r="VZC67" s="684"/>
      <c r="VZD67" s="684"/>
      <c r="VZE67" s="684"/>
      <c r="VZF67" s="684"/>
      <c r="VZG67" s="684"/>
      <c r="VZH67" s="684"/>
      <c r="VZI67" s="684"/>
      <c r="VZJ67" s="684"/>
      <c r="VZK67" s="684"/>
      <c r="VZL67" s="684"/>
      <c r="VZM67" s="684"/>
      <c r="VZN67" s="684"/>
      <c r="VZO67" s="684"/>
      <c r="VZP67" s="684"/>
      <c r="VZQ67" s="684"/>
      <c r="VZR67" s="684"/>
      <c r="VZS67" s="684"/>
      <c r="VZT67" s="684"/>
      <c r="VZU67" s="684"/>
      <c r="VZV67" s="684"/>
      <c r="VZW67" s="684"/>
      <c r="VZX67" s="684"/>
      <c r="VZY67" s="684"/>
      <c r="VZZ67" s="684"/>
      <c r="WAA67" s="684"/>
      <c r="WAB67" s="684"/>
      <c r="WAC67" s="684"/>
      <c r="WAD67" s="684"/>
      <c r="WAE67" s="684"/>
      <c r="WAF67" s="684"/>
      <c r="WAG67" s="684"/>
      <c r="WAH67" s="684"/>
      <c r="WAI67" s="684"/>
      <c r="WAJ67" s="684"/>
      <c r="WAK67" s="684"/>
      <c r="WAL67" s="684"/>
      <c r="WAM67" s="684"/>
      <c r="WAN67" s="684"/>
      <c r="WAO67" s="684"/>
      <c r="WAP67" s="684"/>
      <c r="WAQ67" s="684"/>
      <c r="WAR67" s="684"/>
      <c r="WAS67" s="684"/>
      <c r="WAT67" s="684"/>
      <c r="WAU67" s="684"/>
      <c r="WAV67" s="684"/>
      <c r="WAW67" s="684"/>
      <c r="WAX67" s="684"/>
      <c r="WAY67" s="684"/>
      <c r="WAZ67" s="684"/>
      <c r="WBA67" s="684"/>
      <c r="WBB67" s="684"/>
      <c r="WBC67" s="684"/>
      <c r="WBD67" s="684"/>
      <c r="WBE67" s="684"/>
      <c r="WBF67" s="684"/>
      <c r="WBG67" s="684"/>
      <c r="WBH67" s="684"/>
      <c r="WBI67" s="684"/>
      <c r="WBJ67" s="684"/>
      <c r="WBK67" s="684"/>
      <c r="WBL67" s="684"/>
      <c r="WBM67" s="684"/>
      <c r="WBN67" s="684"/>
      <c r="WBO67" s="684"/>
      <c r="WBP67" s="684"/>
      <c r="WBQ67" s="684"/>
      <c r="WBR67" s="684"/>
      <c r="WBS67" s="684"/>
      <c r="WBT67" s="684"/>
      <c r="WBU67" s="684"/>
      <c r="WBV67" s="684"/>
      <c r="WBW67" s="684"/>
      <c r="WBX67" s="684"/>
      <c r="WBY67" s="684"/>
      <c r="WBZ67" s="684"/>
      <c r="WCA67" s="684"/>
      <c r="WCB67" s="684"/>
      <c r="WCC67" s="684"/>
      <c r="WCD67" s="684"/>
      <c r="WCE67" s="684"/>
      <c r="WCF67" s="684"/>
      <c r="WCG67" s="684"/>
      <c r="WCH67" s="684"/>
      <c r="WCI67" s="684"/>
      <c r="WCJ67" s="684"/>
      <c r="WCK67" s="684"/>
      <c r="WCL67" s="684"/>
      <c r="WCM67" s="684"/>
      <c r="WCN67" s="684"/>
      <c r="WCO67" s="684"/>
      <c r="WCP67" s="684"/>
      <c r="WCQ67" s="684"/>
      <c r="WCR67" s="684"/>
      <c r="WCS67" s="684"/>
      <c r="WCT67" s="684"/>
      <c r="WCU67" s="684"/>
      <c r="WCV67" s="684"/>
      <c r="WCW67" s="684"/>
      <c r="WCX67" s="684"/>
      <c r="WCY67" s="684"/>
      <c r="WCZ67" s="684"/>
      <c r="WDA67" s="684"/>
      <c r="WDB67" s="684"/>
      <c r="WDC67" s="684"/>
      <c r="WDD67" s="684"/>
      <c r="WDE67" s="684"/>
      <c r="WDF67" s="684"/>
      <c r="WDG67" s="684"/>
      <c r="WDH67" s="684"/>
      <c r="WDI67" s="684"/>
      <c r="WDJ67" s="684"/>
      <c r="WDK67" s="684"/>
      <c r="WDL67" s="684"/>
      <c r="WDM67" s="684"/>
      <c r="WDN67" s="684"/>
      <c r="WDO67" s="684"/>
      <c r="WDP67" s="684"/>
      <c r="WDQ67" s="684"/>
      <c r="WDR67" s="684"/>
      <c r="WDS67" s="684"/>
      <c r="WDT67" s="684"/>
      <c r="WDU67" s="684"/>
      <c r="WDV67" s="684"/>
      <c r="WDW67" s="684"/>
      <c r="WDX67" s="684"/>
      <c r="WDY67" s="684"/>
      <c r="WDZ67" s="684"/>
      <c r="WEA67" s="684"/>
      <c r="WEB67" s="684"/>
      <c r="WEC67" s="684"/>
      <c r="WED67" s="684"/>
      <c r="WEE67" s="684"/>
      <c r="WEF67" s="684"/>
      <c r="WEG67" s="684"/>
      <c r="WEH67" s="684"/>
      <c r="WEI67" s="684"/>
      <c r="WEJ67" s="684"/>
      <c r="WEK67" s="684"/>
      <c r="WEL67" s="684"/>
      <c r="WEM67" s="684"/>
      <c r="WEN67" s="684"/>
      <c r="WEO67" s="684"/>
      <c r="WEP67" s="684"/>
      <c r="WEQ67" s="684"/>
      <c r="WER67" s="684"/>
      <c r="WES67" s="684"/>
      <c r="WET67" s="684"/>
      <c r="WEU67" s="684"/>
      <c r="WEV67" s="684"/>
      <c r="WEW67" s="684"/>
      <c r="WEX67" s="684"/>
      <c r="WEY67" s="684"/>
      <c r="WEZ67" s="684"/>
      <c r="WFA67" s="684"/>
      <c r="WFB67" s="684"/>
      <c r="WFC67" s="684"/>
      <c r="WFD67" s="684"/>
      <c r="WFE67" s="684"/>
      <c r="WFF67" s="684"/>
      <c r="WFG67" s="684"/>
      <c r="WFH67" s="684"/>
      <c r="WFI67" s="684"/>
      <c r="WFJ67" s="684"/>
      <c r="WFK67" s="684"/>
      <c r="WFL67" s="684"/>
      <c r="WFM67" s="684"/>
      <c r="WFN67" s="684"/>
      <c r="WFO67" s="684"/>
      <c r="WFP67" s="684"/>
      <c r="WFQ67" s="684"/>
      <c r="WFR67" s="684"/>
      <c r="WFS67" s="684"/>
      <c r="WFT67" s="684"/>
      <c r="WFU67" s="684"/>
      <c r="WFV67" s="684"/>
      <c r="WFW67" s="684"/>
      <c r="WFX67" s="684"/>
      <c r="WFY67" s="684"/>
      <c r="WFZ67" s="684"/>
      <c r="WGA67" s="684"/>
      <c r="WGB67" s="684"/>
      <c r="WGC67" s="684"/>
      <c r="WGD67" s="684"/>
      <c r="WGE67" s="684"/>
      <c r="WGF67" s="684"/>
      <c r="WGG67" s="684"/>
      <c r="WGH67" s="684"/>
      <c r="WGI67" s="684"/>
      <c r="WGJ67" s="684"/>
      <c r="WGK67" s="684"/>
      <c r="WGL67" s="684"/>
      <c r="WGM67" s="684"/>
      <c r="WGN67" s="684"/>
      <c r="WGO67" s="684"/>
      <c r="WGP67" s="684"/>
      <c r="WGQ67" s="684"/>
      <c r="WGR67" s="684"/>
      <c r="WGS67" s="684"/>
      <c r="WGT67" s="684"/>
      <c r="WGU67" s="684"/>
      <c r="WGV67" s="684"/>
      <c r="WGW67" s="684"/>
      <c r="WGX67" s="684"/>
      <c r="WGY67" s="684"/>
      <c r="WGZ67" s="684"/>
      <c r="WHA67" s="684"/>
      <c r="WHB67" s="684"/>
      <c r="WHC67" s="684"/>
      <c r="WHD67" s="684"/>
      <c r="WHE67" s="684"/>
      <c r="WHF67" s="684"/>
      <c r="WHG67" s="684"/>
      <c r="WHH67" s="684"/>
      <c r="WHI67" s="684"/>
      <c r="WHJ67" s="684"/>
      <c r="WHK67" s="684"/>
      <c r="WHL67" s="684"/>
      <c r="WHM67" s="684"/>
      <c r="WHN67" s="684"/>
      <c r="WHO67" s="684"/>
      <c r="WHP67" s="684"/>
      <c r="WHQ67" s="684"/>
      <c r="WHR67" s="684"/>
      <c r="WHS67" s="684"/>
      <c r="WHT67" s="684"/>
      <c r="WHU67" s="684"/>
      <c r="WHV67" s="684"/>
      <c r="WHW67" s="684"/>
      <c r="WHX67" s="684"/>
      <c r="WHY67" s="684"/>
      <c r="WHZ67" s="684"/>
      <c r="WIA67" s="684"/>
      <c r="WIB67" s="684"/>
      <c r="WIC67" s="684"/>
      <c r="WID67" s="684"/>
      <c r="WIE67" s="684"/>
      <c r="WIF67" s="684"/>
      <c r="WIG67" s="684"/>
      <c r="WIH67" s="684"/>
      <c r="WII67" s="684"/>
      <c r="WIJ67" s="684"/>
      <c r="WIK67" s="684"/>
      <c r="WIL67" s="684"/>
      <c r="WIM67" s="684"/>
      <c r="WIN67" s="684"/>
      <c r="WIO67" s="684"/>
      <c r="WIP67" s="684"/>
      <c r="WIQ67" s="684"/>
      <c r="WIR67" s="684"/>
      <c r="WIS67" s="684"/>
      <c r="WIT67" s="684"/>
      <c r="WIU67" s="684"/>
      <c r="WIV67" s="684"/>
      <c r="WIW67" s="684"/>
      <c r="WIX67" s="684"/>
      <c r="WIY67" s="684"/>
      <c r="WIZ67" s="684"/>
      <c r="WJA67" s="684"/>
      <c r="WJB67" s="684"/>
      <c r="WJC67" s="684"/>
      <c r="WJD67" s="684"/>
      <c r="WJE67" s="684"/>
      <c r="WJF67" s="684"/>
      <c r="WJG67" s="684"/>
      <c r="WJH67" s="684"/>
      <c r="WJI67" s="684"/>
      <c r="WJJ67" s="684"/>
      <c r="WJK67" s="684"/>
      <c r="WJL67" s="684"/>
      <c r="WJM67" s="684"/>
      <c r="WJN67" s="684"/>
      <c r="WJO67" s="684"/>
      <c r="WJP67" s="684"/>
      <c r="WJQ67" s="684"/>
      <c r="WJR67" s="684"/>
      <c r="WJS67" s="684"/>
      <c r="WJT67" s="684"/>
      <c r="WJU67" s="684"/>
      <c r="WJV67" s="684"/>
      <c r="WJW67" s="684"/>
      <c r="WJX67" s="684"/>
      <c r="WJY67" s="684"/>
      <c r="WJZ67" s="684"/>
      <c r="WKA67" s="684"/>
      <c r="WKB67" s="684"/>
      <c r="WKC67" s="684"/>
      <c r="WKD67" s="684"/>
      <c r="WKE67" s="684"/>
      <c r="WKF67" s="684"/>
      <c r="WKG67" s="684"/>
      <c r="WKH67" s="684"/>
      <c r="WKI67" s="684"/>
      <c r="WKJ67" s="684"/>
      <c r="WKK67" s="684"/>
      <c r="WKL67" s="684"/>
      <c r="WKM67" s="684"/>
      <c r="WKN67" s="684"/>
      <c r="WKO67" s="684"/>
      <c r="WKP67" s="684"/>
      <c r="WKQ67" s="684"/>
      <c r="WKR67" s="684"/>
      <c r="WKS67" s="684"/>
      <c r="WKT67" s="684"/>
      <c r="WKU67" s="684"/>
      <c r="WKV67" s="684"/>
      <c r="WKW67" s="684"/>
      <c r="WKX67" s="684"/>
      <c r="WKY67" s="684"/>
      <c r="WKZ67" s="684"/>
      <c r="WLA67" s="684"/>
      <c r="WLB67" s="684"/>
      <c r="WLC67" s="684"/>
      <c r="WLD67" s="684"/>
      <c r="WLE67" s="684"/>
      <c r="WLF67" s="684"/>
      <c r="WLG67" s="684"/>
      <c r="WLH67" s="684"/>
      <c r="WLI67" s="684"/>
      <c r="WLJ67" s="684"/>
      <c r="WLK67" s="684"/>
      <c r="WLL67" s="684"/>
      <c r="WLM67" s="684"/>
      <c r="WLN67" s="684"/>
      <c r="WLO67" s="684"/>
      <c r="WLP67" s="684"/>
      <c r="WLQ67" s="684"/>
      <c r="WLR67" s="684"/>
      <c r="WLS67" s="684"/>
      <c r="WLT67" s="684"/>
      <c r="WLU67" s="684"/>
      <c r="WLV67" s="684"/>
      <c r="WLW67" s="684"/>
      <c r="WLX67" s="684"/>
      <c r="WLY67" s="684"/>
      <c r="WLZ67" s="684"/>
      <c r="WMA67" s="684"/>
      <c r="WMB67" s="684"/>
      <c r="WMC67" s="684"/>
      <c r="WMD67" s="684"/>
      <c r="WME67" s="684"/>
      <c r="WMF67" s="684"/>
      <c r="WMG67" s="684"/>
      <c r="WMH67" s="684"/>
      <c r="WMI67" s="684"/>
      <c r="WMJ67" s="684"/>
      <c r="WMK67" s="684"/>
      <c r="WML67" s="684"/>
      <c r="WMM67" s="684"/>
      <c r="WMN67" s="684"/>
      <c r="WMO67" s="684"/>
      <c r="WMP67" s="684"/>
      <c r="WMQ67" s="684"/>
      <c r="WMR67" s="684"/>
      <c r="WMS67" s="684"/>
      <c r="WMT67" s="684"/>
      <c r="WMU67" s="684"/>
      <c r="WMV67" s="684"/>
      <c r="WMW67" s="684"/>
      <c r="WMX67" s="684"/>
      <c r="WMY67" s="684"/>
      <c r="WMZ67" s="684"/>
      <c r="WNA67" s="684"/>
      <c r="WNB67" s="684"/>
      <c r="WNC67" s="684"/>
      <c r="WND67" s="684"/>
      <c r="WNE67" s="684"/>
      <c r="WNF67" s="684"/>
      <c r="WNG67" s="684"/>
      <c r="WNH67" s="684"/>
      <c r="WNI67" s="684"/>
      <c r="WNJ67" s="684"/>
      <c r="WNK67" s="684"/>
      <c r="WNL67" s="684"/>
      <c r="WNM67" s="684"/>
      <c r="WNN67" s="684"/>
      <c r="WNO67" s="684"/>
      <c r="WNP67" s="684"/>
      <c r="WNQ67" s="684"/>
      <c r="WNR67" s="684"/>
      <c r="WNS67" s="684"/>
      <c r="WNT67" s="684"/>
      <c r="WNU67" s="684"/>
      <c r="WNV67" s="684"/>
      <c r="WNW67" s="684"/>
      <c r="WNX67" s="684"/>
      <c r="WNY67" s="684"/>
      <c r="WNZ67" s="684"/>
      <c r="WOA67" s="684"/>
      <c r="WOB67" s="684"/>
      <c r="WOC67" s="684"/>
      <c r="WOD67" s="684"/>
      <c r="WOE67" s="684"/>
      <c r="WOF67" s="684"/>
      <c r="WOG67" s="684"/>
      <c r="WOH67" s="684"/>
      <c r="WOI67" s="684"/>
      <c r="WOJ67" s="684"/>
      <c r="WOK67" s="684"/>
      <c r="WOL67" s="684"/>
      <c r="WOM67" s="684"/>
      <c r="WON67" s="684"/>
      <c r="WOO67" s="684"/>
      <c r="WOP67" s="684"/>
      <c r="WOQ67" s="684"/>
      <c r="WOR67" s="684"/>
      <c r="WOS67" s="684"/>
      <c r="WOT67" s="684"/>
      <c r="WOU67" s="684"/>
      <c r="WOV67" s="684"/>
      <c r="WOW67" s="684"/>
      <c r="WOX67" s="684"/>
      <c r="WOY67" s="684"/>
      <c r="WOZ67" s="684"/>
      <c r="WPA67" s="684"/>
      <c r="WPB67" s="684"/>
      <c r="WPC67" s="684"/>
      <c r="WPD67" s="684"/>
      <c r="WPE67" s="684"/>
      <c r="WPF67" s="684"/>
      <c r="WPG67" s="684"/>
      <c r="WPH67" s="684"/>
      <c r="WPI67" s="684"/>
      <c r="WPJ67" s="684"/>
      <c r="WPK67" s="684"/>
      <c r="WPL67" s="684"/>
      <c r="WPM67" s="684"/>
      <c r="WPN67" s="684"/>
      <c r="WPO67" s="684"/>
      <c r="WPP67" s="684"/>
      <c r="WPQ67" s="684"/>
      <c r="WPR67" s="684"/>
      <c r="WPS67" s="684"/>
      <c r="WPT67" s="684"/>
      <c r="WPU67" s="684"/>
      <c r="WPV67" s="684"/>
      <c r="WPW67" s="684"/>
      <c r="WPX67" s="684"/>
      <c r="WPY67" s="684"/>
      <c r="WPZ67" s="684"/>
      <c r="WQA67" s="684"/>
      <c r="WQB67" s="684"/>
      <c r="WQC67" s="684"/>
      <c r="WQD67" s="684"/>
      <c r="WQE67" s="684"/>
      <c r="WQF67" s="684"/>
      <c r="WQG67" s="684"/>
      <c r="WQH67" s="684"/>
      <c r="WQI67" s="684"/>
      <c r="WQJ67" s="684"/>
      <c r="WQK67" s="684"/>
      <c r="WQL67" s="684"/>
      <c r="WQM67" s="684"/>
      <c r="WQN67" s="684"/>
      <c r="WQO67" s="684"/>
      <c r="WQP67" s="684"/>
      <c r="WQQ67" s="684"/>
      <c r="WQR67" s="684"/>
      <c r="WQS67" s="684"/>
      <c r="WQT67" s="684"/>
      <c r="WQU67" s="684"/>
      <c r="WQV67" s="684"/>
      <c r="WQW67" s="684"/>
      <c r="WQX67" s="684"/>
      <c r="WQY67" s="684"/>
      <c r="WQZ67" s="684"/>
      <c r="WRA67" s="684"/>
      <c r="WRB67" s="684"/>
      <c r="WRC67" s="684"/>
      <c r="WRD67" s="684"/>
      <c r="WRE67" s="684"/>
      <c r="WRF67" s="684"/>
      <c r="WRG67" s="684"/>
      <c r="WRH67" s="684"/>
      <c r="WRI67" s="684"/>
      <c r="WRJ67" s="684"/>
      <c r="WRK67" s="684"/>
      <c r="WRL67" s="684"/>
      <c r="WRM67" s="684"/>
      <c r="WRN67" s="684"/>
      <c r="WRO67" s="684"/>
      <c r="WRP67" s="684"/>
      <c r="WRQ67" s="684"/>
      <c r="WRR67" s="684"/>
      <c r="WRS67" s="684"/>
      <c r="WRT67" s="684"/>
      <c r="WRU67" s="684"/>
      <c r="WRV67" s="684"/>
      <c r="WRW67" s="684"/>
      <c r="WRX67" s="684"/>
      <c r="WRY67" s="684"/>
      <c r="WRZ67" s="684"/>
      <c r="WSA67" s="684"/>
      <c r="WSB67" s="684"/>
      <c r="WSC67" s="684"/>
      <c r="WSD67" s="684"/>
      <c r="WSE67" s="684"/>
      <c r="WSF67" s="684"/>
      <c r="WSG67" s="684"/>
      <c r="WSH67" s="684"/>
      <c r="WSI67" s="684"/>
      <c r="WSJ67" s="684"/>
      <c r="WSK67" s="684"/>
      <c r="WSL67" s="684"/>
      <c r="WSM67" s="684"/>
      <c r="WSN67" s="684"/>
      <c r="WSO67" s="684"/>
      <c r="WSP67" s="684"/>
      <c r="WSQ67" s="684"/>
      <c r="WSR67" s="684"/>
      <c r="WSS67" s="684"/>
      <c r="WST67" s="684"/>
      <c r="WSU67" s="684"/>
      <c r="WSV67" s="684"/>
      <c r="WSW67" s="684"/>
      <c r="WSX67" s="684"/>
      <c r="WSY67" s="684"/>
      <c r="WSZ67" s="684"/>
      <c r="WTA67" s="684"/>
      <c r="WTB67" s="684"/>
      <c r="WTC67" s="684"/>
      <c r="WTD67" s="684"/>
      <c r="WTE67" s="684"/>
      <c r="WTF67" s="684"/>
      <c r="WTG67" s="684"/>
      <c r="WTH67" s="684"/>
      <c r="WTI67" s="684"/>
      <c r="WTJ67" s="684"/>
      <c r="WTK67" s="684"/>
      <c r="WTL67" s="684"/>
      <c r="WTM67" s="684"/>
      <c r="WTN67" s="684"/>
      <c r="WTO67" s="684"/>
      <c r="WTP67" s="684"/>
      <c r="WTQ67" s="684"/>
      <c r="WTR67" s="684"/>
      <c r="WTS67" s="684"/>
      <c r="WTT67" s="684"/>
      <c r="WTU67" s="684"/>
      <c r="WTV67" s="684"/>
      <c r="WTW67" s="684"/>
      <c r="WTX67" s="684"/>
      <c r="WTY67" s="684"/>
      <c r="WTZ67" s="684"/>
      <c r="WUA67" s="684"/>
      <c r="WUB67" s="684"/>
      <c r="WUC67" s="684"/>
      <c r="WUD67" s="684"/>
      <c r="WUE67" s="684"/>
      <c r="WUF67" s="684"/>
      <c r="WUG67" s="684"/>
      <c r="WUH67" s="684"/>
      <c r="WUI67" s="684"/>
      <c r="WUJ67" s="684"/>
      <c r="WUK67" s="684"/>
      <c r="WUL67" s="684"/>
      <c r="WUM67" s="684"/>
      <c r="WUN67" s="684"/>
      <c r="WUO67" s="684"/>
      <c r="WUP67" s="684"/>
      <c r="WUQ67" s="684"/>
      <c r="WUR67" s="684"/>
      <c r="WUS67" s="684"/>
      <c r="WUT67" s="684"/>
      <c r="WUU67" s="684"/>
      <c r="WUV67" s="684"/>
      <c r="WUW67" s="684"/>
      <c r="WUX67" s="684"/>
      <c r="WUY67" s="684"/>
      <c r="WUZ67" s="684"/>
      <c r="WVA67" s="684"/>
      <c r="WVB67" s="684"/>
      <c r="WVC67" s="684"/>
      <c r="WVD67" s="684"/>
      <c r="WVE67" s="684"/>
      <c r="WVF67" s="684"/>
      <c r="WVG67" s="684"/>
      <c r="WVH67" s="684"/>
      <c r="WVI67" s="684"/>
      <c r="WVJ67" s="684"/>
      <c r="WVK67" s="684"/>
      <c r="WVL67" s="684"/>
      <c r="WVM67" s="684"/>
      <c r="WVN67" s="684"/>
      <c r="WVO67" s="684"/>
      <c r="WVP67" s="684"/>
      <c r="WVQ67" s="684"/>
      <c r="WVR67" s="684"/>
      <c r="WVS67" s="684"/>
      <c r="WVT67" s="684"/>
      <c r="WVU67" s="684"/>
      <c r="WVV67" s="684"/>
      <c r="WVW67" s="684"/>
      <c r="WVX67" s="684"/>
      <c r="WVY67" s="684"/>
      <c r="WVZ67" s="684"/>
      <c r="WWA67" s="684"/>
      <c r="WWB67" s="684"/>
      <c r="WWC67" s="684"/>
      <c r="WWD67" s="684"/>
      <c r="WWE67" s="684"/>
      <c r="WWF67" s="684"/>
      <c r="WWG67" s="684"/>
      <c r="WWH67" s="684"/>
      <c r="WWI67" s="684"/>
      <c r="WWJ67" s="684"/>
      <c r="WWK67" s="684"/>
      <c r="WWL67" s="684"/>
      <c r="WWM67" s="684"/>
      <c r="WWN67" s="684"/>
      <c r="WWO67" s="684"/>
      <c r="WWP67" s="684"/>
      <c r="WWQ67" s="684"/>
      <c r="WWR67" s="684"/>
      <c r="WWS67" s="684"/>
      <c r="WWT67" s="684"/>
      <c r="WWU67" s="684"/>
      <c r="WWV67" s="684"/>
      <c r="WWW67" s="684"/>
      <c r="WWX67" s="684"/>
      <c r="WWY67" s="684"/>
      <c r="WWZ67" s="684"/>
      <c r="WXA67" s="684"/>
      <c r="WXB67" s="684"/>
      <c r="WXC67" s="684"/>
      <c r="WXD67" s="684"/>
      <c r="WXE67" s="684"/>
      <c r="WXF67" s="684"/>
      <c r="WXG67" s="684"/>
      <c r="WXH67" s="684"/>
      <c r="WXI67" s="684"/>
      <c r="WXJ67" s="684"/>
      <c r="WXK67" s="684"/>
      <c r="WXL67" s="684"/>
      <c r="WXM67" s="684"/>
      <c r="WXN67" s="684"/>
      <c r="WXO67" s="684"/>
      <c r="WXP67" s="684"/>
      <c r="WXQ67" s="684"/>
      <c r="WXR67" s="684"/>
      <c r="WXS67" s="684"/>
      <c r="WXT67" s="684"/>
      <c r="WXU67" s="684"/>
      <c r="WXV67" s="684"/>
      <c r="WXW67" s="684"/>
      <c r="WXX67" s="684"/>
      <c r="WXY67" s="684"/>
      <c r="WXZ67" s="684"/>
      <c r="WYA67" s="684"/>
      <c r="WYB67" s="684"/>
      <c r="WYC67" s="684"/>
      <c r="WYD67" s="684"/>
      <c r="WYE67" s="684"/>
      <c r="WYF67" s="684"/>
      <c r="WYG67" s="684"/>
      <c r="WYH67" s="684"/>
      <c r="WYI67" s="684"/>
      <c r="WYJ67" s="684"/>
      <c r="WYK67" s="684"/>
      <c r="WYL67" s="684"/>
      <c r="WYM67" s="684"/>
      <c r="WYN67" s="684"/>
      <c r="WYO67" s="684"/>
      <c r="WYP67" s="684"/>
      <c r="WYQ67" s="684"/>
      <c r="WYR67" s="684"/>
      <c r="WYS67" s="684"/>
      <c r="WYT67" s="684"/>
      <c r="WYU67" s="684"/>
      <c r="WYV67" s="684"/>
      <c r="WYW67" s="684"/>
      <c r="WYX67" s="684"/>
      <c r="WYY67" s="684"/>
      <c r="WYZ67" s="684"/>
      <c r="WZA67" s="684"/>
      <c r="WZB67" s="684"/>
      <c r="WZC67" s="684"/>
      <c r="WZD67" s="684"/>
      <c r="WZE67" s="684"/>
      <c r="WZF67" s="684"/>
      <c r="WZG67" s="684"/>
      <c r="WZH67" s="684"/>
      <c r="WZI67" s="684"/>
      <c r="WZJ67" s="684"/>
      <c r="WZK67" s="684"/>
      <c r="WZL67" s="684"/>
      <c r="WZM67" s="684"/>
      <c r="WZN67" s="684"/>
      <c r="WZO67" s="684"/>
      <c r="WZP67" s="684"/>
      <c r="WZQ67" s="684"/>
      <c r="WZR67" s="684"/>
      <c r="WZS67" s="684"/>
      <c r="WZT67" s="684"/>
      <c r="WZU67" s="684"/>
      <c r="WZV67" s="684"/>
      <c r="WZW67" s="684"/>
      <c r="WZX67" s="684"/>
      <c r="WZY67" s="684"/>
      <c r="WZZ67" s="684"/>
      <c r="XAA67" s="684"/>
      <c r="XAB67" s="684"/>
      <c r="XAC67" s="684"/>
      <c r="XAD67" s="684"/>
      <c r="XAE67" s="684"/>
      <c r="XAF67" s="684"/>
      <c r="XAG67" s="684"/>
      <c r="XAH67" s="684"/>
      <c r="XAI67" s="684"/>
      <c r="XAJ67" s="684"/>
      <c r="XAK67" s="684"/>
      <c r="XAL67" s="684"/>
      <c r="XAM67" s="684"/>
      <c r="XAN67" s="684"/>
      <c r="XAO67" s="684"/>
      <c r="XAP67" s="684"/>
      <c r="XAQ67" s="684"/>
      <c r="XAR67" s="684"/>
      <c r="XAS67" s="684"/>
      <c r="XAT67" s="684"/>
      <c r="XAU67" s="684"/>
      <c r="XAV67" s="684"/>
      <c r="XAW67" s="684"/>
      <c r="XAX67" s="684"/>
      <c r="XAY67" s="684"/>
      <c r="XAZ67" s="684"/>
      <c r="XBA67" s="684"/>
      <c r="XBB67" s="684"/>
      <c r="XBC67" s="684"/>
      <c r="XBD67" s="684"/>
      <c r="XBE67" s="684"/>
      <c r="XBF67" s="684"/>
      <c r="XBG67" s="684"/>
      <c r="XBH67" s="684"/>
      <c r="XBI67" s="684"/>
      <c r="XBJ67" s="684"/>
      <c r="XBK67" s="684"/>
      <c r="XBL67" s="684"/>
      <c r="XBM67" s="684"/>
      <c r="XBN67" s="684"/>
      <c r="XBO67" s="684"/>
      <c r="XBP67" s="684"/>
      <c r="XBQ67" s="684"/>
      <c r="XBR67" s="684"/>
      <c r="XBS67" s="684"/>
      <c r="XBT67" s="684"/>
      <c r="XBU67" s="684"/>
      <c r="XBV67" s="684"/>
      <c r="XBW67" s="684"/>
      <c r="XBX67" s="684"/>
      <c r="XBY67" s="684"/>
      <c r="XBZ67" s="684"/>
      <c r="XCA67" s="684"/>
      <c r="XCB67" s="684"/>
      <c r="XCC67" s="684"/>
      <c r="XCD67" s="684"/>
      <c r="XCE67" s="684"/>
      <c r="XCF67" s="684"/>
      <c r="XCG67" s="684"/>
      <c r="XCH67" s="684"/>
      <c r="XCI67" s="684"/>
      <c r="XCJ67" s="684"/>
      <c r="XCK67" s="684"/>
      <c r="XCL67" s="684"/>
      <c r="XCM67" s="684"/>
      <c r="XCN67" s="684"/>
      <c r="XCO67" s="684"/>
      <c r="XCP67" s="684"/>
      <c r="XCQ67" s="684"/>
      <c r="XCR67" s="684"/>
      <c r="XCS67" s="684"/>
      <c r="XCT67" s="684"/>
      <c r="XCU67" s="684"/>
      <c r="XCV67" s="684"/>
      <c r="XCW67" s="684"/>
      <c r="XCX67" s="684"/>
      <c r="XCY67" s="684"/>
      <c r="XCZ67" s="684"/>
      <c r="XDA67" s="684"/>
      <c r="XDB67" s="684"/>
      <c r="XDC67" s="684"/>
      <c r="XDD67" s="684"/>
      <c r="XDE67" s="684"/>
      <c r="XDF67" s="684"/>
      <c r="XDG67" s="684"/>
      <c r="XDH67" s="684"/>
      <c r="XDI67" s="684"/>
      <c r="XDJ67" s="684"/>
      <c r="XDK67" s="684"/>
      <c r="XDL67" s="684"/>
      <c r="XDM67" s="684"/>
      <c r="XDN67" s="684"/>
      <c r="XDO67" s="684"/>
      <c r="XDP67" s="684"/>
      <c r="XDQ67" s="684"/>
      <c r="XDR67" s="684"/>
      <c r="XDS67" s="684"/>
      <c r="XDT67" s="684"/>
      <c r="XDU67" s="684"/>
      <c r="XDV67" s="684"/>
      <c r="XDW67" s="684"/>
      <c r="XDX67" s="684"/>
      <c r="XDY67" s="684"/>
      <c r="XDZ67" s="684"/>
      <c r="XEA67" s="684"/>
      <c r="XEB67" s="684"/>
      <c r="XEC67" s="684"/>
      <c r="XED67" s="684"/>
      <c r="XEE67" s="684"/>
      <c r="XEF67" s="684"/>
      <c r="XEG67" s="684"/>
      <c r="XEH67" s="684"/>
      <c r="XEI67" s="684"/>
      <c r="XEJ67" s="684"/>
      <c r="XEK67" s="684"/>
      <c r="XEL67" s="684"/>
      <c r="XEM67" s="684"/>
      <c r="XEN67" s="684"/>
      <c r="XEO67" s="684"/>
      <c r="XEP67" s="684"/>
      <c r="XEQ67" s="684"/>
      <c r="XER67" s="684"/>
      <c r="XES67" s="684"/>
      <c r="XET67" s="684"/>
      <c r="XEU67" s="684"/>
      <c r="XEV67" s="684"/>
      <c r="XEW67" s="684"/>
      <c r="XEX67" s="684"/>
      <c r="XEY67" s="684"/>
      <c r="XEZ67" s="684"/>
      <c r="XFA67" s="684"/>
      <c r="XFB67" s="684"/>
      <c r="XFC67" s="684"/>
      <c r="XFD67" s="684"/>
    </row>
    <row r="68" spans="1:16384" s="774" customFormat="1" ht="13.5" thickBot="1">
      <c r="A68" s="598" t="s">
        <v>1949</v>
      </c>
      <c r="B68" s="489" t="s">
        <v>2417</v>
      </c>
      <c r="C68" s="489" t="s">
        <v>2417</v>
      </c>
      <c r="D68" s="4215"/>
      <c r="E68" s="4225"/>
      <c r="F68" s="4277"/>
      <c r="G68" s="4203"/>
      <c r="H68" s="4231"/>
      <c r="I68" s="4231"/>
      <c r="J68" s="684"/>
      <c r="K68" s="684"/>
      <c r="L68" s="684"/>
      <c r="M68" s="684"/>
      <c r="N68" s="684"/>
      <c r="O68" s="684"/>
      <c r="P68" s="684"/>
      <c r="Q68" s="684"/>
      <c r="R68" s="684"/>
      <c r="S68" s="684"/>
      <c r="T68" s="684"/>
      <c r="U68" s="684"/>
      <c r="V68" s="684"/>
      <c r="W68" s="684"/>
      <c r="X68" s="684"/>
      <c r="Y68" s="684"/>
      <c r="Z68" s="684"/>
      <c r="AA68" s="684"/>
      <c r="AB68" s="684"/>
      <c r="AC68" s="684"/>
      <c r="AD68" s="684"/>
      <c r="AE68" s="684"/>
      <c r="AF68" s="684"/>
      <c r="AG68" s="684"/>
      <c r="AH68" s="684"/>
      <c r="AI68" s="684"/>
      <c r="AJ68" s="684"/>
      <c r="AK68" s="684"/>
      <c r="AL68" s="684"/>
      <c r="AM68" s="684"/>
      <c r="AN68" s="684"/>
      <c r="AO68" s="684"/>
      <c r="AP68" s="684"/>
      <c r="AQ68" s="684"/>
      <c r="AR68" s="684"/>
      <c r="AS68" s="684"/>
      <c r="AT68" s="684"/>
      <c r="AU68" s="684"/>
      <c r="AV68" s="684"/>
      <c r="AW68" s="684"/>
      <c r="AX68" s="684"/>
      <c r="AY68" s="684"/>
      <c r="AZ68" s="684"/>
      <c r="BA68" s="684"/>
      <c r="BB68" s="684"/>
      <c r="BC68" s="684"/>
      <c r="BD68" s="684"/>
      <c r="BE68" s="684"/>
      <c r="BF68" s="684"/>
      <c r="BG68" s="684"/>
      <c r="BH68" s="684"/>
      <c r="BI68" s="684"/>
      <c r="BJ68" s="68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c r="CI68" s="684"/>
      <c r="CJ68" s="684"/>
      <c r="CK68" s="684"/>
      <c r="CL68" s="684"/>
      <c r="CM68" s="684"/>
      <c r="CN68" s="684"/>
      <c r="CO68" s="684"/>
      <c r="CP68" s="684"/>
      <c r="CQ68" s="684"/>
      <c r="CR68" s="684"/>
      <c r="CS68" s="684"/>
      <c r="CT68" s="684"/>
      <c r="CU68" s="684"/>
      <c r="CV68" s="684"/>
      <c r="CW68" s="684"/>
      <c r="CX68" s="684"/>
      <c r="CY68" s="684"/>
      <c r="CZ68" s="684"/>
      <c r="DA68" s="684"/>
      <c r="DB68" s="684"/>
      <c r="DC68" s="684"/>
      <c r="DD68" s="684"/>
      <c r="DE68" s="684"/>
      <c r="DF68" s="684"/>
      <c r="DG68" s="684"/>
      <c r="DH68" s="684"/>
      <c r="DI68" s="684"/>
      <c r="DJ68" s="684"/>
      <c r="DK68" s="684"/>
      <c r="DL68" s="684"/>
      <c r="DM68" s="684"/>
      <c r="DN68" s="684"/>
      <c r="DO68" s="684"/>
      <c r="DP68" s="684"/>
      <c r="DQ68" s="684"/>
      <c r="DR68" s="684"/>
      <c r="DS68" s="684"/>
      <c r="DT68" s="684"/>
      <c r="DU68" s="684"/>
      <c r="DV68" s="684"/>
      <c r="DW68" s="684"/>
      <c r="DX68" s="684"/>
      <c r="DY68" s="684"/>
      <c r="DZ68" s="684"/>
      <c r="EA68" s="684"/>
      <c r="EB68" s="684"/>
      <c r="EC68" s="684"/>
      <c r="ED68" s="684"/>
      <c r="EE68" s="684"/>
      <c r="EF68" s="684"/>
      <c r="EG68" s="684"/>
      <c r="EH68" s="684"/>
      <c r="EI68" s="684"/>
      <c r="EJ68" s="684"/>
      <c r="EK68" s="684"/>
      <c r="EL68" s="684"/>
      <c r="EM68" s="684"/>
      <c r="EN68" s="684"/>
      <c r="EO68" s="684"/>
      <c r="EP68" s="684"/>
      <c r="EQ68" s="684"/>
      <c r="ER68" s="684"/>
      <c r="ES68" s="684"/>
      <c r="ET68" s="684"/>
      <c r="EU68" s="684"/>
      <c r="EV68" s="684"/>
      <c r="EW68" s="684"/>
      <c r="EX68" s="684"/>
      <c r="EY68" s="684"/>
      <c r="EZ68" s="684"/>
      <c r="FA68" s="684"/>
      <c r="FB68" s="684"/>
      <c r="FC68" s="684"/>
      <c r="FD68" s="684"/>
      <c r="FE68" s="684"/>
      <c r="FF68" s="684"/>
      <c r="FG68" s="684"/>
      <c r="FH68" s="684"/>
      <c r="FI68" s="684"/>
      <c r="FJ68" s="684"/>
      <c r="FK68" s="684"/>
      <c r="FL68" s="684"/>
      <c r="FM68" s="684"/>
      <c r="FN68" s="684"/>
      <c r="FO68" s="684"/>
      <c r="FP68" s="684"/>
      <c r="FQ68" s="684"/>
      <c r="FR68" s="684"/>
      <c r="FS68" s="684"/>
      <c r="FT68" s="684"/>
      <c r="FU68" s="684"/>
      <c r="FV68" s="684"/>
      <c r="FW68" s="684"/>
      <c r="FX68" s="684"/>
      <c r="FY68" s="684"/>
      <c r="FZ68" s="684"/>
      <c r="GA68" s="684"/>
      <c r="GB68" s="684"/>
      <c r="GC68" s="684"/>
      <c r="GD68" s="684"/>
      <c r="GE68" s="684"/>
      <c r="GF68" s="684"/>
      <c r="GG68" s="684"/>
      <c r="GH68" s="684"/>
      <c r="GI68" s="684"/>
      <c r="GJ68" s="684"/>
      <c r="GK68" s="684"/>
      <c r="GL68" s="684"/>
      <c r="GM68" s="684"/>
      <c r="GN68" s="684"/>
      <c r="GO68" s="684"/>
      <c r="GP68" s="684"/>
      <c r="GQ68" s="684"/>
      <c r="GR68" s="684"/>
      <c r="GS68" s="684"/>
      <c r="GT68" s="684"/>
      <c r="GU68" s="684"/>
      <c r="GV68" s="684"/>
      <c r="GW68" s="684"/>
      <c r="GX68" s="684"/>
      <c r="GY68" s="684"/>
      <c r="GZ68" s="684"/>
      <c r="HA68" s="684"/>
      <c r="HB68" s="684"/>
      <c r="HC68" s="684"/>
      <c r="HD68" s="684"/>
      <c r="HE68" s="684"/>
      <c r="HF68" s="684"/>
      <c r="HG68" s="684"/>
      <c r="HH68" s="684"/>
      <c r="HI68" s="684"/>
      <c r="HJ68" s="684"/>
      <c r="HK68" s="684"/>
      <c r="HL68" s="684"/>
      <c r="HM68" s="684"/>
      <c r="HN68" s="684"/>
      <c r="HO68" s="684"/>
      <c r="HP68" s="684"/>
      <c r="HQ68" s="684"/>
      <c r="HR68" s="684"/>
      <c r="HS68" s="684"/>
      <c r="HT68" s="684"/>
      <c r="HU68" s="684"/>
      <c r="HV68" s="684"/>
      <c r="HW68" s="684"/>
      <c r="HX68" s="684"/>
      <c r="HY68" s="684"/>
      <c r="HZ68" s="684"/>
      <c r="IA68" s="684"/>
      <c r="IB68" s="684"/>
      <c r="IC68" s="684"/>
      <c r="ID68" s="684"/>
      <c r="IE68" s="684"/>
      <c r="IF68" s="684"/>
      <c r="IG68" s="684"/>
      <c r="IH68" s="684"/>
      <c r="II68" s="684"/>
      <c r="IJ68" s="684"/>
      <c r="IK68" s="684"/>
      <c r="IL68" s="684"/>
      <c r="IM68" s="684"/>
      <c r="IN68" s="684"/>
      <c r="IO68" s="684"/>
      <c r="IP68" s="684"/>
      <c r="IQ68" s="684"/>
      <c r="IR68" s="684"/>
      <c r="IS68" s="684"/>
      <c r="IT68" s="684"/>
      <c r="IU68" s="684"/>
      <c r="IV68" s="684"/>
      <c r="IW68" s="684"/>
      <c r="IX68" s="684"/>
      <c r="IY68" s="684"/>
      <c r="IZ68" s="684"/>
      <c r="JA68" s="684"/>
      <c r="JB68" s="684"/>
      <c r="JC68" s="684"/>
      <c r="JD68" s="684"/>
      <c r="JE68" s="684"/>
      <c r="JF68" s="684"/>
      <c r="JG68" s="684"/>
      <c r="JH68" s="684"/>
      <c r="JI68" s="684"/>
      <c r="JJ68" s="684"/>
      <c r="JK68" s="684"/>
      <c r="JL68" s="684"/>
      <c r="JM68" s="684"/>
      <c r="JN68" s="684"/>
      <c r="JO68" s="684"/>
      <c r="JP68" s="684"/>
      <c r="JQ68" s="684"/>
      <c r="JR68" s="684"/>
      <c r="JS68" s="684"/>
      <c r="JT68" s="684"/>
      <c r="JU68" s="684"/>
      <c r="JV68" s="684"/>
      <c r="JW68" s="684"/>
      <c r="JX68" s="684"/>
      <c r="JY68" s="684"/>
      <c r="JZ68" s="684"/>
      <c r="KA68" s="684"/>
      <c r="KB68" s="684"/>
      <c r="KC68" s="684"/>
      <c r="KD68" s="684"/>
      <c r="KE68" s="684"/>
      <c r="KF68" s="684"/>
      <c r="KG68" s="684"/>
      <c r="KH68" s="684"/>
      <c r="KI68" s="684"/>
      <c r="KJ68" s="684"/>
      <c r="KK68" s="684"/>
      <c r="KL68" s="684"/>
      <c r="KM68" s="684"/>
      <c r="KN68" s="684"/>
      <c r="KO68" s="684"/>
      <c r="KP68" s="684"/>
      <c r="KQ68" s="684"/>
      <c r="KR68" s="684"/>
      <c r="KS68" s="684"/>
      <c r="KT68" s="684"/>
      <c r="KU68" s="684"/>
      <c r="KV68" s="684"/>
      <c r="KW68" s="684"/>
      <c r="KX68" s="684"/>
      <c r="KY68" s="684"/>
      <c r="KZ68" s="684"/>
      <c r="LA68" s="684"/>
      <c r="LB68" s="684"/>
      <c r="LC68" s="684"/>
      <c r="LD68" s="684"/>
      <c r="LE68" s="684"/>
      <c r="LF68" s="684"/>
      <c r="LG68" s="684"/>
      <c r="LH68" s="684"/>
      <c r="LI68" s="684"/>
      <c r="LJ68" s="684"/>
      <c r="LK68" s="684"/>
      <c r="LL68" s="684"/>
      <c r="LM68" s="684"/>
      <c r="LN68" s="684"/>
      <c r="LO68" s="684"/>
      <c r="LP68" s="684"/>
      <c r="LQ68" s="684"/>
      <c r="LR68" s="684"/>
      <c r="LS68" s="684"/>
      <c r="LT68" s="684"/>
      <c r="LU68" s="684"/>
      <c r="LV68" s="684"/>
      <c r="LW68" s="684"/>
      <c r="LX68" s="684"/>
      <c r="LY68" s="684"/>
      <c r="LZ68" s="684"/>
      <c r="MA68" s="684"/>
      <c r="MB68" s="684"/>
      <c r="MC68" s="684"/>
      <c r="MD68" s="684"/>
      <c r="ME68" s="684"/>
      <c r="MF68" s="684"/>
      <c r="MG68" s="684"/>
      <c r="MH68" s="684"/>
      <c r="MI68" s="684"/>
      <c r="MJ68" s="684"/>
      <c r="MK68" s="684"/>
      <c r="ML68" s="684"/>
      <c r="MM68" s="684"/>
      <c r="MN68" s="684"/>
      <c r="MO68" s="684"/>
      <c r="MP68" s="684"/>
      <c r="MQ68" s="684"/>
      <c r="MR68" s="684"/>
      <c r="MS68" s="684"/>
      <c r="MT68" s="684"/>
      <c r="MU68" s="684"/>
      <c r="MV68" s="684"/>
      <c r="MW68" s="684"/>
      <c r="MX68" s="684"/>
      <c r="MY68" s="684"/>
      <c r="MZ68" s="684"/>
      <c r="NA68" s="684"/>
      <c r="NB68" s="684"/>
      <c r="NC68" s="684"/>
      <c r="ND68" s="684"/>
      <c r="NE68" s="684"/>
      <c r="NF68" s="684"/>
      <c r="NG68" s="684"/>
      <c r="NH68" s="684"/>
      <c r="NI68" s="684"/>
      <c r="NJ68" s="684"/>
      <c r="NK68" s="684"/>
      <c r="NL68" s="684"/>
      <c r="NM68" s="684"/>
      <c r="NN68" s="684"/>
      <c r="NO68" s="684"/>
      <c r="NP68" s="684"/>
      <c r="NQ68" s="684"/>
      <c r="NR68" s="684"/>
      <c r="NS68" s="684"/>
      <c r="NT68" s="684"/>
      <c r="NU68" s="684"/>
      <c r="NV68" s="684"/>
      <c r="NW68" s="684"/>
      <c r="NX68" s="684"/>
      <c r="NY68" s="684"/>
      <c r="NZ68" s="684"/>
      <c r="OA68" s="684"/>
      <c r="OB68" s="684"/>
      <c r="OC68" s="684"/>
      <c r="OD68" s="684"/>
      <c r="OE68" s="684"/>
      <c r="OF68" s="684"/>
      <c r="OG68" s="684"/>
      <c r="OH68" s="684"/>
      <c r="OI68" s="684"/>
      <c r="OJ68" s="684"/>
      <c r="OK68" s="684"/>
      <c r="OL68" s="684"/>
      <c r="OM68" s="684"/>
      <c r="ON68" s="684"/>
      <c r="OO68" s="684"/>
      <c r="OP68" s="684"/>
      <c r="OQ68" s="684"/>
      <c r="OR68" s="684"/>
      <c r="OS68" s="684"/>
      <c r="OT68" s="684"/>
      <c r="OU68" s="684"/>
      <c r="OV68" s="684"/>
      <c r="OW68" s="684"/>
      <c r="OX68" s="684"/>
      <c r="OY68" s="684"/>
      <c r="OZ68" s="684"/>
      <c r="PA68" s="684"/>
      <c r="PB68" s="684"/>
      <c r="PC68" s="684"/>
      <c r="PD68" s="684"/>
      <c r="PE68" s="684"/>
      <c r="PF68" s="684"/>
      <c r="PG68" s="684"/>
      <c r="PH68" s="684"/>
      <c r="PI68" s="684"/>
      <c r="PJ68" s="684"/>
      <c r="PK68" s="684"/>
      <c r="PL68" s="684"/>
      <c r="PM68" s="684"/>
      <c r="PN68" s="684"/>
      <c r="PO68" s="684"/>
      <c r="PP68" s="684"/>
      <c r="PQ68" s="684"/>
      <c r="PR68" s="684"/>
      <c r="PS68" s="684"/>
      <c r="PT68" s="684"/>
      <c r="PU68" s="684"/>
      <c r="PV68" s="684"/>
      <c r="PW68" s="684"/>
      <c r="PX68" s="684"/>
      <c r="PY68" s="684"/>
      <c r="PZ68" s="684"/>
      <c r="QA68" s="684"/>
      <c r="QB68" s="684"/>
      <c r="QC68" s="684"/>
      <c r="QD68" s="684"/>
      <c r="QE68" s="684"/>
      <c r="QF68" s="684"/>
      <c r="QG68" s="684"/>
      <c r="QH68" s="684"/>
      <c r="QI68" s="684"/>
      <c r="QJ68" s="684"/>
      <c r="QK68" s="684"/>
      <c r="QL68" s="684"/>
      <c r="QM68" s="684"/>
      <c r="QN68" s="684"/>
      <c r="QO68" s="684"/>
      <c r="QP68" s="684"/>
      <c r="QQ68" s="684"/>
      <c r="QR68" s="684"/>
      <c r="QS68" s="684"/>
      <c r="QT68" s="684"/>
      <c r="QU68" s="684"/>
      <c r="QV68" s="684"/>
      <c r="QW68" s="684"/>
      <c r="QX68" s="684"/>
      <c r="QY68" s="684"/>
      <c r="QZ68" s="684"/>
      <c r="RA68" s="684"/>
      <c r="RB68" s="684"/>
      <c r="RC68" s="684"/>
      <c r="RD68" s="684"/>
      <c r="RE68" s="684"/>
      <c r="RF68" s="684"/>
      <c r="RG68" s="684"/>
      <c r="RH68" s="684"/>
      <c r="RI68" s="684"/>
      <c r="RJ68" s="684"/>
      <c r="RK68" s="684"/>
      <c r="RL68" s="684"/>
      <c r="RM68" s="684"/>
      <c r="RN68" s="684"/>
      <c r="RO68" s="684"/>
      <c r="RP68" s="684"/>
      <c r="RQ68" s="684"/>
      <c r="RR68" s="684"/>
      <c r="RS68" s="684"/>
      <c r="RT68" s="684"/>
      <c r="RU68" s="684"/>
      <c r="RV68" s="684"/>
      <c r="RW68" s="684"/>
      <c r="RX68" s="684"/>
      <c r="RY68" s="684"/>
      <c r="RZ68" s="684"/>
      <c r="SA68" s="684"/>
      <c r="SB68" s="684"/>
      <c r="SC68" s="684"/>
      <c r="SD68" s="684"/>
      <c r="SE68" s="684"/>
      <c r="SF68" s="684"/>
      <c r="SG68" s="684"/>
      <c r="SH68" s="684"/>
      <c r="SI68" s="684"/>
      <c r="SJ68" s="684"/>
      <c r="SK68" s="684"/>
      <c r="SL68" s="684"/>
      <c r="SM68" s="684"/>
      <c r="SN68" s="684"/>
      <c r="SO68" s="684"/>
      <c r="SP68" s="684"/>
      <c r="SQ68" s="684"/>
      <c r="SR68" s="684"/>
      <c r="SS68" s="684"/>
      <c r="ST68" s="684"/>
      <c r="SU68" s="684"/>
      <c r="SV68" s="684"/>
      <c r="SW68" s="684"/>
      <c r="SX68" s="684"/>
      <c r="SY68" s="684"/>
      <c r="SZ68" s="684"/>
      <c r="TA68" s="684"/>
      <c r="TB68" s="684"/>
      <c r="TC68" s="684"/>
      <c r="TD68" s="684"/>
      <c r="TE68" s="684"/>
      <c r="TF68" s="684"/>
      <c r="TG68" s="684"/>
      <c r="TH68" s="684"/>
      <c r="TI68" s="684"/>
      <c r="TJ68" s="684"/>
      <c r="TK68" s="684"/>
      <c r="TL68" s="684"/>
      <c r="TM68" s="684"/>
      <c r="TN68" s="684"/>
      <c r="TO68" s="684"/>
      <c r="TP68" s="684"/>
      <c r="TQ68" s="684"/>
      <c r="TR68" s="684"/>
      <c r="TS68" s="684"/>
      <c r="TT68" s="684"/>
      <c r="TU68" s="684"/>
      <c r="TV68" s="684"/>
      <c r="TW68" s="684"/>
      <c r="TX68" s="684"/>
      <c r="TY68" s="684"/>
      <c r="TZ68" s="684"/>
      <c r="UA68" s="684"/>
      <c r="UB68" s="684"/>
      <c r="UC68" s="684"/>
      <c r="UD68" s="684"/>
      <c r="UE68" s="684"/>
      <c r="UF68" s="684"/>
      <c r="UG68" s="684"/>
      <c r="UH68" s="684"/>
      <c r="UI68" s="684"/>
      <c r="UJ68" s="684"/>
      <c r="UK68" s="684"/>
      <c r="UL68" s="684"/>
      <c r="UM68" s="684"/>
      <c r="UN68" s="684"/>
      <c r="UO68" s="684"/>
      <c r="UP68" s="684"/>
      <c r="UQ68" s="684"/>
      <c r="UR68" s="684"/>
      <c r="US68" s="684"/>
      <c r="UT68" s="684"/>
      <c r="UU68" s="684"/>
      <c r="UV68" s="684"/>
      <c r="UW68" s="684"/>
      <c r="UX68" s="684"/>
      <c r="UY68" s="684"/>
      <c r="UZ68" s="684"/>
      <c r="VA68" s="684"/>
      <c r="VB68" s="684"/>
      <c r="VC68" s="684"/>
      <c r="VD68" s="684"/>
      <c r="VE68" s="684"/>
      <c r="VF68" s="684"/>
      <c r="VG68" s="684"/>
      <c r="VH68" s="684"/>
      <c r="VI68" s="684"/>
      <c r="VJ68" s="684"/>
      <c r="VK68" s="684"/>
      <c r="VL68" s="684"/>
      <c r="VM68" s="684"/>
      <c r="VN68" s="684"/>
      <c r="VO68" s="684"/>
      <c r="VP68" s="684"/>
      <c r="VQ68" s="684"/>
      <c r="VR68" s="684"/>
      <c r="VS68" s="684"/>
      <c r="VT68" s="684"/>
      <c r="VU68" s="684"/>
      <c r="VV68" s="684"/>
      <c r="VW68" s="684"/>
      <c r="VX68" s="684"/>
      <c r="VY68" s="684"/>
      <c r="VZ68" s="684"/>
      <c r="WA68" s="684"/>
      <c r="WB68" s="684"/>
      <c r="WC68" s="684"/>
      <c r="WD68" s="684"/>
      <c r="WE68" s="684"/>
      <c r="WF68" s="684"/>
      <c r="WG68" s="684"/>
      <c r="WH68" s="684"/>
      <c r="WI68" s="684"/>
      <c r="WJ68" s="684"/>
      <c r="WK68" s="684"/>
      <c r="WL68" s="684"/>
      <c r="WM68" s="684"/>
      <c r="WN68" s="684"/>
      <c r="WO68" s="684"/>
      <c r="WP68" s="684"/>
      <c r="WQ68" s="684"/>
      <c r="WR68" s="684"/>
      <c r="WS68" s="684"/>
      <c r="WT68" s="684"/>
      <c r="WU68" s="684"/>
      <c r="WV68" s="684"/>
      <c r="WW68" s="684"/>
      <c r="WX68" s="684"/>
      <c r="WY68" s="684"/>
      <c r="WZ68" s="684"/>
      <c r="XA68" s="684"/>
      <c r="XB68" s="684"/>
      <c r="XC68" s="684"/>
      <c r="XD68" s="684"/>
      <c r="XE68" s="684"/>
      <c r="XF68" s="684"/>
      <c r="XG68" s="684"/>
      <c r="XH68" s="684"/>
      <c r="XI68" s="684"/>
      <c r="XJ68" s="684"/>
      <c r="XK68" s="684"/>
      <c r="XL68" s="684"/>
      <c r="XM68" s="684"/>
      <c r="XN68" s="684"/>
      <c r="XO68" s="684"/>
      <c r="XP68" s="684"/>
      <c r="XQ68" s="684"/>
      <c r="XR68" s="684"/>
      <c r="XS68" s="684"/>
      <c r="XT68" s="684"/>
      <c r="XU68" s="684"/>
      <c r="XV68" s="684"/>
      <c r="XW68" s="684"/>
      <c r="XX68" s="684"/>
      <c r="XY68" s="684"/>
      <c r="XZ68" s="684"/>
      <c r="YA68" s="684"/>
      <c r="YB68" s="684"/>
      <c r="YC68" s="684"/>
      <c r="YD68" s="684"/>
      <c r="YE68" s="684"/>
      <c r="YF68" s="684"/>
      <c r="YG68" s="684"/>
      <c r="YH68" s="684"/>
      <c r="YI68" s="684"/>
      <c r="YJ68" s="684"/>
      <c r="YK68" s="684"/>
      <c r="YL68" s="684"/>
      <c r="YM68" s="684"/>
      <c r="YN68" s="684"/>
      <c r="YO68" s="684"/>
      <c r="YP68" s="684"/>
      <c r="YQ68" s="684"/>
      <c r="YR68" s="684"/>
      <c r="YS68" s="684"/>
      <c r="YT68" s="684"/>
      <c r="YU68" s="684"/>
      <c r="YV68" s="684"/>
      <c r="YW68" s="684"/>
      <c r="YX68" s="684"/>
      <c r="YY68" s="684"/>
      <c r="YZ68" s="684"/>
      <c r="ZA68" s="684"/>
      <c r="ZB68" s="684"/>
      <c r="ZC68" s="684"/>
      <c r="ZD68" s="684"/>
      <c r="ZE68" s="684"/>
      <c r="ZF68" s="684"/>
      <c r="ZG68" s="684"/>
      <c r="ZH68" s="684"/>
      <c r="ZI68" s="684"/>
      <c r="ZJ68" s="684"/>
      <c r="ZK68" s="684"/>
      <c r="ZL68" s="684"/>
      <c r="ZM68" s="684"/>
      <c r="ZN68" s="684"/>
      <c r="ZO68" s="684"/>
      <c r="ZP68" s="684"/>
      <c r="ZQ68" s="684"/>
      <c r="ZR68" s="684"/>
      <c r="ZS68" s="684"/>
      <c r="ZT68" s="684"/>
      <c r="ZU68" s="684"/>
      <c r="ZV68" s="684"/>
      <c r="ZW68" s="684"/>
      <c r="ZX68" s="684"/>
      <c r="ZY68" s="684"/>
      <c r="ZZ68" s="684"/>
      <c r="AAA68" s="684"/>
      <c r="AAB68" s="684"/>
      <c r="AAC68" s="684"/>
      <c r="AAD68" s="684"/>
      <c r="AAE68" s="684"/>
      <c r="AAF68" s="684"/>
      <c r="AAG68" s="684"/>
      <c r="AAH68" s="684"/>
      <c r="AAI68" s="684"/>
      <c r="AAJ68" s="684"/>
      <c r="AAK68" s="684"/>
      <c r="AAL68" s="684"/>
      <c r="AAM68" s="684"/>
      <c r="AAN68" s="684"/>
      <c r="AAO68" s="684"/>
      <c r="AAP68" s="684"/>
      <c r="AAQ68" s="684"/>
      <c r="AAR68" s="684"/>
      <c r="AAS68" s="684"/>
      <c r="AAT68" s="684"/>
      <c r="AAU68" s="684"/>
      <c r="AAV68" s="684"/>
      <c r="AAW68" s="684"/>
      <c r="AAX68" s="684"/>
      <c r="AAY68" s="684"/>
      <c r="AAZ68" s="684"/>
      <c r="ABA68" s="684"/>
      <c r="ABB68" s="684"/>
      <c r="ABC68" s="684"/>
      <c r="ABD68" s="684"/>
      <c r="ABE68" s="684"/>
      <c r="ABF68" s="684"/>
      <c r="ABG68" s="684"/>
      <c r="ABH68" s="684"/>
      <c r="ABI68" s="684"/>
      <c r="ABJ68" s="684"/>
      <c r="ABK68" s="684"/>
      <c r="ABL68" s="684"/>
      <c r="ABM68" s="684"/>
      <c r="ABN68" s="684"/>
      <c r="ABO68" s="684"/>
      <c r="ABP68" s="684"/>
      <c r="ABQ68" s="684"/>
      <c r="ABR68" s="684"/>
      <c r="ABS68" s="684"/>
      <c r="ABT68" s="684"/>
      <c r="ABU68" s="684"/>
      <c r="ABV68" s="684"/>
      <c r="ABW68" s="684"/>
      <c r="ABX68" s="684"/>
      <c r="ABY68" s="684"/>
      <c r="ABZ68" s="684"/>
      <c r="ACA68" s="684"/>
      <c r="ACB68" s="684"/>
      <c r="ACC68" s="684"/>
      <c r="ACD68" s="684"/>
      <c r="ACE68" s="684"/>
      <c r="ACF68" s="684"/>
      <c r="ACG68" s="684"/>
      <c r="ACH68" s="684"/>
      <c r="ACI68" s="684"/>
      <c r="ACJ68" s="684"/>
      <c r="ACK68" s="684"/>
      <c r="ACL68" s="684"/>
      <c r="ACM68" s="684"/>
      <c r="ACN68" s="684"/>
      <c r="ACO68" s="684"/>
      <c r="ACP68" s="684"/>
      <c r="ACQ68" s="684"/>
      <c r="ACR68" s="684"/>
      <c r="ACS68" s="684"/>
      <c r="ACT68" s="684"/>
      <c r="ACU68" s="684"/>
      <c r="ACV68" s="684"/>
      <c r="ACW68" s="684"/>
      <c r="ACX68" s="684"/>
      <c r="ACY68" s="684"/>
      <c r="ACZ68" s="684"/>
      <c r="ADA68" s="684"/>
      <c r="ADB68" s="684"/>
      <c r="ADC68" s="684"/>
      <c r="ADD68" s="684"/>
      <c r="ADE68" s="684"/>
      <c r="ADF68" s="684"/>
      <c r="ADG68" s="684"/>
      <c r="ADH68" s="684"/>
      <c r="ADI68" s="684"/>
      <c r="ADJ68" s="684"/>
      <c r="ADK68" s="684"/>
      <c r="ADL68" s="684"/>
      <c r="ADM68" s="684"/>
      <c r="ADN68" s="684"/>
      <c r="ADO68" s="684"/>
      <c r="ADP68" s="684"/>
      <c r="ADQ68" s="684"/>
      <c r="ADR68" s="684"/>
      <c r="ADS68" s="684"/>
      <c r="ADT68" s="684"/>
      <c r="ADU68" s="684"/>
      <c r="ADV68" s="684"/>
      <c r="ADW68" s="684"/>
      <c r="ADX68" s="684"/>
      <c r="ADY68" s="684"/>
      <c r="ADZ68" s="684"/>
      <c r="AEA68" s="684"/>
      <c r="AEB68" s="684"/>
      <c r="AEC68" s="684"/>
      <c r="AED68" s="684"/>
      <c r="AEE68" s="684"/>
      <c r="AEF68" s="684"/>
      <c r="AEG68" s="684"/>
      <c r="AEH68" s="684"/>
      <c r="AEI68" s="684"/>
      <c r="AEJ68" s="684"/>
      <c r="AEK68" s="684"/>
      <c r="AEL68" s="684"/>
      <c r="AEM68" s="684"/>
      <c r="AEN68" s="684"/>
      <c r="AEO68" s="684"/>
      <c r="AEP68" s="684"/>
      <c r="AEQ68" s="684"/>
      <c r="AER68" s="684"/>
      <c r="AES68" s="684"/>
      <c r="AET68" s="684"/>
      <c r="AEU68" s="684"/>
      <c r="AEV68" s="684"/>
      <c r="AEW68" s="684"/>
      <c r="AEX68" s="684"/>
      <c r="AEY68" s="684"/>
      <c r="AEZ68" s="684"/>
      <c r="AFA68" s="684"/>
      <c r="AFB68" s="684"/>
      <c r="AFC68" s="684"/>
      <c r="AFD68" s="684"/>
      <c r="AFE68" s="684"/>
      <c r="AFF68" s="684"/>
      <c r="AFG68" s="684"/>
      <c r="AFH68" s="684"/>
      <c r="AFI68" s="684"/>
      <c r="AFJ68" s="684"/>
      <c r="AFK68" s="684"/>
      <c r="AFL68" s="684"/>
      <c r="AFM68" s="684"/>
      <c r="AFN68" s="684"/>
      <c r="AFO68" s="684"/>
      <c r="AFP68" s="684"/>
      <c r="AFQ68" s="684"/>
      <c r="AFR68" s="684"/>
      <c r="AFS68" s="684"/>
      <c r="AFT68" s="684"/>
      <c r="AFU68" s="684"/>
      <c r="AFV68" s="684"/>
      <c r="AFW68" s="684"/>
      <c r="AFX68" s="684"/>
      <c r="AFY68" s="684"/>
      <c r="AFZ68" s="684"/>
      <c r="AGA68" s="684"/>
      <c r="AGB68" s="684"/>
      <c r="AGC68" s="684"/>
      <c r="AGD68" s="684"/>
      <c r="AGE68" s="684"/>
      <c r="AGF68" s="684"/>
      <c r="AGG68" s="684"/>
      <c r="AGH68" s="684"/>
      <c r="AGI68" s="684"/>
      <c r="AGJ68" s="684"/>
      <c r="AGK68" s="684"/>
      <c r="AGL68" s="684"/>
      <c r="AGM68" s="684"/>
      <c r="AGN68" s="684"/>
      <c r="AGO68" s="684"/>
      <c r="AGP68" s="684"/>
      <c r="AGQ68" s="684"/>
      <c r="AGR68" s="684"/>
      <c r="AGS68" s="684"/>
      <c r="AGT68" s="684"/>
      <c r="AGU68" s="684"/>
      <c r="AGV68" s="684"/>
      <c r="AGW68" s="684"/>
      <c r="AGX68" s="684"/>
      <c r="AGY68" s="684"/>
      <c r="AGZ68" s="684"/>
      <c r="AHA68" s="684"/>
      <c r="AHB68" s="684"/>
      <c r="AHC68" s="684"/>
      <c r="AHD68" s="684"/>
      <c r="AHE68" s="684"/>
      <c r="AHF68" s="684"/>
      <c r="AHG68" s="684"/>
      <c r="AHH68" s="684"/>
      <c r="AHI68" s="684"/>
      <c r="AHJ68" s="684"/>
      <c r="AHK68" s="684"/>
      <c r="AHL68" s="684"/>
      <c r="AHM68" s="684"/>
      <c r="AHN68" s="684"/>
      <c r="AHO68" s="684"/>
      <c r="AHP68" s="684"/>
      <c r="AHQ68" s="684"/>
      <c r="AHR68" s="684"/>
      <c r="AHS68" s="684"/>
      <c r="AHT68" s="684"/>
      <c r="AHU68" s="684"/>
      <c r="AHV68" s="684"/>
      <c r="AHW68" s="684"/>
      <c r="AHX68" s="684"/>
      <c r="AHY68" s="684"/>
      <c r="AHZ68" s="684"/>
      <c r="AIA68" s="684"/>
      <c r="AIB68" s="684"/>
      <c r="AIC68" s="684"/>
      <c r="AID68" s="684"/>
      <c r="AIE68" s="684"/>
      <c r="AIF68" s="684"/>
      <c r="AIG68" s="684"/>
      <c r="AIH68" s="684"/>
      <c r="AII68" s="684"/>
      <c r="AIJ68" s="684"/>
      <c r="AIK68" s="684"/>
      <c r="AIL68" s="684"/>
      <c r="AIM68" s="684"/>
      <c r="AIN68" s="684"/>
      <c r="AIO68" s="684"/>
      <c r="AIP68" s="684"/>
      <c r="AIQ68" s="684"/>
      <c r="AIR68" s="684"/>
      <c r="AIS68" s="684"/>
      <c r="AIT68" s="684"/>
      <c r="AIU68" s="684"/>
      <c r="AIV68" s="684"/>
      <c r="AIW68" s="684"/>
      <c r="AIX68" s="684"/>
      <c r="AIY68" s="684"/>
      <c r="AIZ68" s="684"/>
      <c r="AJA68" s="684"/>
      <c r="AJB68" s="684"/>
      <c r="AJC68" s="684"/>
      <c r="AJD68" s="684"/>
      <c r="AJE68" s="684"/>
      <c r="AJF68" s="684"/>
      <c r="AJG68" s="684"/>
      <c r="AJH68" s="684"/>
      <c r="AJI68" s="684"/>
      <c r="AJJ68" s="684"/>
      <c r="AJK68" s="684"/>
      <c r="AJL68" s="684"/>
      <c r="AJM68" s="684"/>
      <c r="AJN68" s="684"/>
      <c r="AJO68" s="684"/>
      <c r="AJP68" s="684"/>
      <c r="AJQ68" s="684"/>
      <c r="AJR68" s="684"/>
      <c r="AJS68" s="684"/>
      <c r="AJT68" s="684"/>
      <c r="AJU68" s="684"/>
      <c r="AJV68" s="684"/>
      <c r="AJW68" s="684"/>
      <c r="AJX68" s="684"/>
      <c r="AJY68" s="684"/>
      <c r="AJZ68" s="684"/>
      <c r="AKA68" s="684"/>
      <c r="AKB68" s="684"/>
      <c r="AKC68" s="684"/>
      <c r="AKD68" s="684"/>
      <c r="AKE68" s="684"/>
      <c r="AKF68" s="684"/>
      <c r="AKG68" s="684"/>
      <c r="AKH68" s="684"/>
      <c r="AKI68" s="684"/>
      <c r="AKJ68" s="684"/>
      <c r="AKK68" s="684"/>
      <c r="AKL68" s="684"/>
      <c r="AKM68" s="684"/>
      <c r="AKN68" s="684"/>
      <c r="AKO68" s="684"/>
      <c r="AKP68" s="684"/>
      <c r="AKQ68" s="684"/>
      <c r="AKR68" s="684"/>
      <c r="AKS68" s="684"/>
      <c r="AKT68" s="684"/>
      <c r="AKU68" s="684"/>
      <c r="AKV68" s="684"/>
      <c r="AKW68" s="684"/>
      <c r="AKX68" s="684"/>
      <c r="AKY68" s="684"/>
      <c r="AKZ68" s="684"/>
      <c r="ALA68" s="684"/>
      <c r="ALB68" s="684"/>
      <c r="ALC68" s="684"/>
      <c r="ALD68" s="684"/>
      <c r="ALE68" s="684"/>
      <c r="ALF68" s="684"/>
      <c r="ALG68" s="684"/>
      <c r="ALH68" s="684"/>
      <c r="ALI68" s="684"/>
      <c r="ALJ68" s="684"/>
      <c r="ALK68" s="684"/>
      <c r="ALL68" s="684"/>
      <c r="ALM68" s="684"/>
      <c r="ALN68" s="684"/>
      <c r="ALO68" s="684"/>
      <c r="ALP68" s="684"/>
      <c r="ALQ68" s="684"/>
      <c r="ALR68" s="684"/>
      <c r="ALS68" s="684"/>
      <c r="ALT68" s="684"/>
      <c r="ALU68" s="684"/>
      <c r="ALV68" s="684"/>
      <c r="ALW68" s="684"/>
      <c r="ALX68" s="684"/>
      <c r="ALY68" s="684"/>
      <c r="ALZ68" s="684"/>
      <c r="AMA68" s="684"/>
      <c r="AMB68" s="684"/>
      <c r="AMC68" s="684"/>
      <c r="AMD68" s="684"/>
      <c r="AME68" s="684"/>
      <c r="AMF68" s="684"/>
      <c r="AMG68" s="684"/>
      <c r="AMH68" s="684"/>
      <c r="AMI68" s="684"/>
      <c r="AMJ68" s="684"/>
      <c r="AMK68" s="684"/>
      <c r="AML68" s="684"/>
      <c r="AMM68" s="684"/>
      <c r="AMN68" s="684"/>
      <c r="AMO68" s="684"/>
      <c r="AMP68" s="684"/>
      <c r="AMQ68" s="684"/>
      <c r="AMR68" s="684"/>
      <c r="AMS68" s="684"/>
      <c r="AMT68" s="684"/>
      <c r="AMU68" s="684"/>
      <c r="AMV68" s="684"/>
      <c r="AMW68" s="684"/>
      <c r="AMX68" s="684"/>
      <c r="AMY68" s="684"/>
      <c r="AMZ68" s="684"/>
      <c r="ANA68" s="684"/>
      <c r="ANB68" s="684"/>
      <c r="ANC68" s="684"/>
      <c r="AND68" s="684"/>
      <c r="ANE68" s="684"/>
      <c r="ANF68" s="684"/>
      <c r="ANG68" s="684"/>
      <c r="ANH68" s="684"/>
      <c r="ANI68" s="684"/>
      <c r="ANJ68" s="684"/>
      <c r="ANK68" s="684"/>
      <c r="ANL68" s="684"/>
      <c r="ANM68" s="684"/>
      <c r="ANN68" s="684"/>
      <c r="ANO68" s="684"/>
      <c r="ANP68" s="684"/>
      <c r="ANQ68" s="684"/>
      <c r="ANR68" s="684"/>
      <c r="ANS68" s="684"/>
      <c r="ANT68" s="684"/>
      <c r="ANU68" s="684"/>
      <c r="ANV68" s="684"/>
      <c r="ANW68" s="684"/>
      <c r="ANX68" s="684"/>
      <c r="ANY68" s="684"/>
      <c r="ANZ68" s="684"/>
      <c r="AOA68" s="684"/>
      <c r="AOB68" s="684"/>
      <c r="AOC68" s="684"/>
      <c r="AOD68" s="684"/>
      <c r="AOE68" s="684"/>
      <c r="AOF68" s="684"/>
      <c r="AOG68" s="684"/>
      <c r="AOH68" s="684"/>
      <c r="AOI68" s="684"/>
      <c r="AOJ68" s="684"/>
      <c r="AOK68" s="684"/>
      <c r="AOL68" s="684"/>
      <c r="AOM68" s="684"/>
      <c r="AON68" s="684"/>
      <c r="AOO68" s="684"/>
      <c r="AOP68" s="684"/>
      <c r="AOQ68" s="684"/>
      <c r="AOR68" s="684"/>
      <c r="AOS68" s="684"/>
      <c r="AOT68" s="684"/>
      <c r="AOU68" s="684"/>
      <c r="AOV68" s="684"/>
      <c r="AOW68" s="684"/>
      <c r="AOX68" s="684"/>
      <c r="AOY68" s="684"/>
      <c r="AOZ68" s="684"/>
      <c r="APA68" s="684"/>
      <c r="APB68" s="684"/>
      <c r="APC68" s="684"/>
      <c r="APD68" s="684"/>
      <c r="APE68" s="684"/>
      <c r="APF68" s="684"/>
      <c r="APG68" s="684"/>
      <c r="APH68" s="684"/>
      <c r="API68" s="684"/>
      <c r="APJ68" s="684"/>
      <c r="APK68" s="684"/>
      <c r="APL68" s="684"/>
      <c r="APM68" s="684"/>
      <c r="APN68" s="684"/>
      <c r="APO68" s="684"/>
      <c r="APP68" s="684"/>
      <c r="APQ68" s="684"/>
      <c r="APR68" s="684"/>
      <c r="APS68" s="684"/>
      <c r="APT68" s="684"/>
      <c r="APU68" s="684"/>
      <c r="APV68" s="684"/>
      <c r="APW68" s="684"/>
      <c r="APX68" s="684"/>
      <c r="APY68" s="684"/>
      <c r="APZ68" s="684"/>
      <c r="AQA68" s="684"/>
      <c r="AQB68" s="684"/>
      <c r="AQC68" s="684"/>
      <c r="AQD68" s="684"/>
      <c r="AQE68" s="684"/>
      <c r="AQF68" s="684"/>
      <c r="AQG68" s="684"/>
      <c r="AQH68" s="684"/>
      <c r="AQI68" s="684"/>
      <c r="AQJ68" s="684"/>
      <c r="AQK68" s="684"/>
      <c r="AQL68" s="684"/>
      <c r="AQM68" s="684"/>
      <c r="AQN68" s="684"/>
      <c r="AQO68" s="684"/>
      <c r="AQP68" s="684"/>
      <c r="AQQ68" s="684"/>
      <c r="AQR68" s="684"/>
      <c r="AQS68" s="684"/>
      <c r="AQT68" s="684"/>
      <c r="AQU68" s="684"/>
      <c r="AQV68" s="684"/>
      <c r="AQW68" s="684"/>
      <c r="AQX68" s="684"/>
      <c r="AQY68" s="684"/>
      <c r="AQZ68" s="684"/>
      <c r="ARA68" s="684"/>
      <c r="ARB68" s="684"/>
      <c r="ARC68" s="684"/>
      <c r="ARD68" s="684"/>
      <c r="ARE68" s="684"/>
      <c r="ARF68" s="684"/>
      <c r="ARG68" s="684"/>
      <c r="ARH68" s="684"/>
      <c r="ARI68" s="684"/>
      <c r="ARJ68" s="684"/>
      <c r="ARK68" s="684"/>
      <c r="ARL68" s="684"/>
      <c r="ARM68" s="684"/>
      <c r="ARN68" s="684"/>
      <c r="ARO68" s="684"/>
      <c r="ARP68" s="684"/>
      <c r="ARQ68" s="684"/>
      <c r="ARR68" s="684"/>
      <c r="ARS68" s="684"/>
      <c r="ART68" s="684"/>
      <c r="ARU68" s="684"/>
      <c r="ARV68" s="684"/>
      <c r="ARW68" s="684"/>
      <c r="ARX68" s="684"/>
      <c r="ARY68" s="684"/>
      <c r="ARZ68" s="684"/>
      <c r="ASA68" s="684"/>
      <c r="ASB68" s="684"/>
      <c r="ASC68" s="684"/>
      <c r="ASD68" s="684"/>
      <c r="ASE68" s="684"/>
      <c r="ASF68" s="684"/>
      <c r="ASG68" s="684"/>
      <c r="ASH68" s="684"/>
      <c r="ASI68" s="684"/>
      <c r="ASJ68" s="684"/>
      <c r="ASK68" s="684"/>
      <c r="ASL68" s="684"/>
      <c r="ASM68" s="684"/>
      <c r="ASN68" s="684"/>
      <c r="ASO68" s="684"/>
      <c r="ASP68" s="684"/>
      <c r="ASQ68" s="684"/>
      <c r="ASR68" s="684"/>
      <c r="ASS68" s="684"/>
      <c r="AST68" s="684"/>
      <c r="ASU68" s="684"/>
      <c r="ASV68" s="684"/>
      <c r="ASW68" s="684"/>
      <c r="ASX68" s="684"/>
      <c r="ASY68" s="684"/>
      <c r="ASZ68" s="684"/>
      <c r="ATA68" s="684"/>
      <c r="ATB68" s="684"/>
      <c r="ATC68" s="684"/>
      <c r="ATD68" s="684"/>
      <c r="ATE68" s="684"/>
      <c r="ATF68" s="684"/>
      <c r="ATG68" s="684"/>
      <c r="ATH68" s="684"/>
      <c r="ATI68" s="684"/>
      <c r="ATJ68" s="684"/>
      <c r="ATK68" s="684"/>
      <c r="ATL68" s="684"/>
      <c r="ATM68" s="684"/>
      <c r="ATN68" s="684"/>
      <c r="ATO68" s="684"/>
      <c r="ATP68" s="684"/>
      <c r="ATQ68" s="684"/>
      <c r="ATR68" s="684"/>
      <c r="ATS68" s="684"/>
      <c r="ATT68" s="684"/>
      <c r="ATU68" s="684"/>
      <c r="ATV68" s="684"/>
      <c r="ATW68" s="684"/>
      <c r="ATX68" s="684"/>
      <c r="ATY68" s="684"/>
      <c r="ATZ68" s="684"/>
      <c r="AUA68" s="684"/>
      <c r="AUB68" s="684"/>
      <c r="AUC68" s="684"/>
      <c r="AUD68" s="684"/>
      <c r="AUE68" s="684"/>
      <c r="AUF68" s="684"/>
      <c r="AUG68" s="684"/>
      <c r="AUH68" s="684"/>
      <c r="AUI68" s="684"/>
      <c r="AUJ68" s="684"/>
      <c r="AUK68" s="684"/>
      <c r="AUL68" s="684"/>
      <c r="AUM68" s="684"/>
      <c r="AUN68" s="684"/>
      <c r="AUO68" s="684"/>
      <c r="AUP68" s="684"/>
      <c r="AUQ68" s="684"/>
      <c r="AUR68" s="684"/>
      <c r="AUS68" s="684"/>
      <c r="AUT68" s="684"/>
      <c r="AUU68" s="684"/>
      <c r="AUV68" s="684"/>
      <c r="AUW68" s="684"/>
      <c r="AUX68" s="684"/>
      <c r="AUY68" s="684"/>
      <c r="AUZ68" s="684"/>
      <c r="AVA68" s="684"/>
      <c r="AVB68" s="684"/>
      <c r="AVC68" s="684"/>
      <c r="AVD68" s="684"/>
      <c r="AVE68" s="684"/>
      <c r="AVF68" s="684"/>
      <c r="AVG68" s="684"/>
      <c r="AVH68" s="684"/>
      <c r="AVI68" s="684"/>
      <c r="AVJ68" s="684"/>
      <c r="AVK68" s="684"/>
      <c r="AVL68" s="684"/>
      <c r="AVM68" s="684"/>
      <c r="AVN68" s="684"/>
      <c r="AVO68" s="684"/>
      <c r="AVP68" s="684"/>
      <c r="AVQ68" s="684"/>
      <c r="AVR68" s="684"/>
      <c r="AVS68" s="684"/>
      <c r="AVT68" s="684"/>
      <c r="AVU68" s="684"/>
      <c r="AVV68" s="684"/>
      <c r="AVW68" s="684"/>
      <c r="AVX68" s="684"/>
      <c r="AVY68" s="684"/>
      <c r="AVZ68" s="684"/>
      <c r="AWA68" s="684"/>
      <c r="AWB68" s="684"/>
      <c r="AWC68" s="684"/>
      <c r="AWD68" s="684"/>
      <c r="AWE68" s="684"/>
      <c r="AWF68" s="684"/>
      <c r="AWG68" s="684"/>
      <c r="AWH68" s="684"/>
      <c r="AWI68" s="684"/>
      <c r="AWJ68" s="684"/>
      <c r="AWK68" s="684"/>
      <c r="AWL68" s="684"/>
      <c r="AWM68" s="684"/>
      <c r="AWN68" s="684"/>
      <c r="AWO68" s="684"/>
      <c r="AWP68" s="684"/>
      <c r="AWQ68" s="684"/>
      <c r="AWR68" s="684"/>
      <c r="AWS68" s="684"/>
      <c r="AWT68" s="684"/>
      <c r="AWU68" s="684"/>
      <c r="AWV68" s="684"/>
      <c r="AWW68" s="684"/>
      <c r="AWX68" s="684"/>
      <c r="AWY68" s="684"/>
      <c r="AWZ68" s="684"/>
      <c r="AXA68" s="684"/>
      <c r="AXB68" s="684"/>
      <c r="AXC68" s="684"/>
      <c r="AXD68" s="684"/>
      <c r="AXE68" s="684"/>
      <c r="AXF68" s="684"/>
      <c r="AXG68" s="684"/>
      <c r="AXH68" s="684"/>
      <c r="AXI68" s="684"/>
      <c r="AXJ68" s="684"/>
      <c r="AXK68" s="684"/>
      <c r="AXL68" s="684"/>
      <c r="AXM68" s="684"/>
      <c r="AXN68" s="684"/>
      <c r="AXO68" s="684"/>
      <c r="AXP68" s="684"/>
      <c r="AXQ68" s="684"/>
      <c r="AXR68" s="684"/>
      <c r="AXS68" s="684"/>
      <c r="AXT68" s="684"/>
      <c r="AXU68" s="684"/>
      <c r="AXV68" s="684"/>
      <c r="AXW68" s="684"/>
      <c r="AXX68" s="684"/>
      <c r="AXY68" s="684"/>
      <c r="AXZ68" s="684"/>
      <c r="AYA68" s="684"/>
      <c r="AYB68" s="684"/>
      <c r="AYC68" s="684"/>
      <c r="AYD68" s="684"/>
      <c r="AYE68" s="684"/>
      <c r="AYF68" s="684"/>
      <c r="AYG68" s="684"/>
      <c r="AYH68" s="684"/>
      <c r="AYI68" s="684"/>
      <c r="AYJ68" s="684"/>
      <c r="AYK68" s="684"/>
      <c r="AYL68" s="684"/>
      <c r="AYM68" s="684"/>
      <c r="AYN68" s="684"/>
      <c r="AYO68" s="684"/>
      <c r="AYP68" s="684"/>
      <c r="AYQ68" s="684"/>
      <c r="AYR68" s="684"/>
      <c r="AYS68" s="684"/>
      <c r="AYT68" s="684"/>
      <c r="AYU68" s="684"/>
      <c r="AYV68" s="684"/>
      <c r="AYW68" s="684"/>
      <c r="AYX68" s="684"/>
      <c r="AYY68" s="684"/>
      <c r="AYZ68" s="684"/>
      <c r="AZA68" s="684"/>
      <c r="AZB68" s="684"/>
      <c r="AZC68" s="684"/>
      <c r="AZD68" s="684"/>
      <c r="AZE68" s="684"/>
      <c r="AZF68" s="684"/>
      <c r="AZG68" s="684"/>
      <c r="AZH68" s="684"/>
      <c r="AZI68" s="684"/>
      <c r="AZJ68" s="684"/>
      <c r="AZK68" s="684"/>
      <c r="AZL68" s="684"/>
      <c r="AZM68" s="684"/>
      <c r="AZN68" s="684"/>
      <c r="AZO68" s="684"/>
      <c r="AZP68" s="684"/>
      <c r="AZQ68" s="684"/>
      <c r="AZR68" s="684"/>
      <c r="AZS68" s="684"/>
      <c r="AZT68" s="684"/>
      <c r="AZU68" s="684"/>
      <c r="AZV68" s="684"/>
      <c r="AZW68" s="684"/>
      <c r="AZX68" s="684"/>
      <c r="AZY68" s="684"/>
      <c r="AZZ68" s="684"/>
      <c r="BAA68" s="684"/>
      <c r="BAB68" s="684"/>
      <c r="BAC68" s="684"/>
      <c r="BAD68" s="684"/>
      <c r="BAE68" s="684"/>
      <c r="BAF68" s="684"/>
      <c r="BAG68" s="684"/>
      <c r="BAH68" s="684"/>
      <c r="BAI68" s="684"/>
      <c r="BAJ68" s="684"/>
      <c r="BAK68" s="684"/>
      <c r="BAL68" s="684"/>
      <c r="BAM68" s="684"/>
      <c r="BAN68" s="684"/>
      <c r="BAO68" s="684"/>
      <c r="BAP68" s="684"/>
      <c r="BAQ68" s="684"/>
      <c r="BAR68" s="684"/>
      <c r="BAS68" s="684"/>
      <c r="BAT68" s="684"/>
      <c r="BAU68" s="684"/>
      <c r="BAV68" s="684"/>
      <c r="BAW68" s="684"/>
      <c r="BAX68" s="684"/>
      <c r="BAY68" s="684"/>
      <c r="BAZ68" s="684"/>
      <c r="BBA68" s="684"/>
      <c r="BBB68" s="684"/>
      <c r="BBC68" s="684"/>
      <c r="BBD68" s="684"/>
      <c r="BBE68" s="684"/>
      <c r="BBF68" s="684"/>
      <c r="BBG68" s="684"/>
      <c r="BBH68" s="684"/>
      <c r="BBI68" s="684"/>
      <c r="BBJ68" s="684"/>
      <c r="BBK68" s="684"/>
      <c r="BBL68" s="684"/>
      <c r="BBM68" s="684"/>
      <c r="BBN68" s="684"/>
      <c r="BBO68" s="684"/>
      <c r="BBP68" s="684"/>
      <c r="BBQ68" s="684"/>
      <c r="BBR68" s="684"/>
      <c r="BBS68" s="684"/>
      <c r="BBT68" s="684"/>
      <c r="BBU68" s="684"/>
      <c r="BBV68" s="684"/>
      <c r="BBW68" s="684"/>
      <c r="BBX68" s="684"/>
      <c r="BBY68" s="684"/>
      <c r="BBZ68" s="684"/>
      <c r="BCA68" s="684"/>
      <c r="BCB68" s="684"/>
      <c r="BCC68" s="684"/>
      <c r="BCD68" s="684"/>
      <c r="BCE68" s="684"/>
      <c r="BCF68" s="684"/>
      <c r="BCG68" s="684"/>
      <c r="BCH68" s="684"/>
      <c r="BCI68" s="684"/>
      <c r="BCJ68" s="684"/>
      <c r="BCK68" s="684"/>
      <c r="BCL68" s="684"/>
      <c r="BCM68" s="684"/>
      <c r="BCN68" s="684"/>
      <c r="BCO68" s="684"/>
      <c r="BCP68" s="684"/>
      <c r="BCQ68" s="684"/>
      <c r="BCR68" s="684"/>
      <c r="BCS68" s="684"/>
      <c r="BCT68" s="684"/>
      <c r="BCU68" s="684"/>
      <c r="BCV68" s="684"/>
      <c r="BCW68" s="684"/>
      <c r="BCX68" s="684"/>
      <c r="BCY68" s="684"/>
      <c r="BCZ68" s="684"/>
      <c r="BDA68" s="684"/>
      <c r="BDB68" s="684"/>
      <c r="BDC68" s="684"/>
      <c r="BDD68" s="684"/>
      <c r="BDE68" s="684"/>
      <c r="BDF68" s="684"/>
      <c r="BDG68" s="684"/>
      <c r="BDH68" s="684"/>
      <c r="BDI68" s="684"/>
      <c r="BDJ68" s="684"/>
      <c r="BDK68" s="684"/>
      <c r="BDL68" s="684"/>
      <c r="BDM68" s="684"/>
      <c r="BDN68" s="684"/>
      <c r="BDO68" s="684"/>
      <c r="BDP68" s="684"/>
      <c r="BDQ68" s="684"/>
      <c r="BDR68" s="684"/>
      <c r="BDS68" s="684"/>
      <c r="BDT68" s="684"/>
      <c r="BDU68" s="684"/>
      <c r="BDV68" s="684"/>
      <c r="BDW68" s="684"/>
      <c r="BDX68" s="684"/>
      <c r="BDY68" s="684"/>
      <c r="BDZ68" s="684"/>
      <c r="BEA68" s="684"/>
      <c r="BEB68" s="684"/>
      <c r="BEC68" s="684"/>
      <c r="BED68" s="684"/>
      <c r="BEE68" s="684"/>
      <c r="BEF68" s="684"/>
      <c r="BEG68" s="684"/>
      <c r="BEH68" s="684"/>
      <c r="BEI68" s="684"/>
      <c r="BEJ68" s="684"/>
      <c r="BEK68" s="684"/>
      <c r="BEL68" s="684"/>
      <c r="BEM68" s="684"/>
      <c r="BEN68" s="684"/>
      <c r="BEO68" s="684"/>
      <c r="BEP68" s="684"/>
      <c r="BEQ68" s="684"/>
      <c r="BER68" s="684"/>
      <c r="BES68" s="684"/>
      <c r="BET68" s="684"/>
      <c r="BEU68" s="684"/>
      <c r="BEV68" s="684"/>
      <c r="BEW68" s="684"/>
      <c r="BEX68" s="684"/>
      <c r="BEY68" s="684"/>
      <c r="BEZ68" s="684"/>
      <c r="BFA68" s="684"/>
      <c r="BFB68" s="684"/>
      <c r="BFC68" s="684"/>
      <c r="BFD68" s="684"/>
      <c r="BFE68" s="684"/>
      <c r="BFF68" s="684"/>
      <c r="BFG68" s="684"/>
      <c r="BFH68" s="684"/>
      <c r="BFI68" s="684"/>
      <c r="BFJ68" s="684"/>
      <c r="BFK68" s="684"/>
      <c r="BFL68" s="684"/>
      <c r="BFM68" s="684"/>
      <c r="BFN68" s="684"/>
      <c r="BFO68" s="684"/>
      <c r="BFP68" s="684"/>
      <c r="BFQ68" s="684"/>
      <c r="BFR68" s="684"/>
      <c r="BFS68" s="684"/>
      <c r="BFT68" s="684"/>
      <c r="BFU68" s="684"/>
      <c r="BFV68" s="684"/>
      <c r="BFW68" s="684"/>
      <c r="BFX68" s="684"/>
      <c r="BFY68" s="684"/>
      <c r="BFZ68" s="684"/>
      <c r="BGA68" s="684"/>
      <c r="BGB68" s="684"/>
      <c r="BGC68" s="684"/>
      <c r="BGD68" s="684"/>
      <c r="BGE68" s="684"/>
      <c r="BGF68" s="684"/>
      <c r="BGG68" s="684"/>
      <c r="BGH68" s="684"/>
      <c r="BGI68" s="684"/>
      <c r="BGJ68" s="684"/>
      <c r="BGK68" s="684"/>
      <c r="BGL68" s="684"/>
      <c r="BGM68" s="684"/>
      <c r="BGN68" s="684"/>
      <c r="BGO68" s="684"/>
      <c r="BGP68" s="684"/>
      <c r="BGQ68" s="684"/>
      <c r="BGR68" s="684"/>
      <c r="BGS68" s="684"/>
      <c r="BGT68" s="684"/>
      <c r="BGU68" s="684"/>
      <c r="BGV68" s="684"/>
      <c r="BGW68" s="684"/>
      <c r="BGX68" s="684"/>
      <c r="BGY68" s="684"/>
      <c r="BGZ68" s="684"/>
      <c r="BHA68" s="684"/>
      <c r="BHB68" s="684"/>
      <c r="BHC68" s="684"/>
      <c r="BHD68" s="684"/>
      <c r="BHE68" s="684"/>
      <c r="BHF68" s="684"/>
      <c r="BHG68" s="684"/>
      <c r="BHH68" s="684"/>
      <c r="BHI68" s="684"/>
      <c r="BHJ68" s="684"/>
      <c r="BHK68" s="684"/>
      <c r="BHL68" s="684"/>
      <c r="BHM68" s="684"/>
      <c r="BHN68" s="684"/>
      <c r="BHO68" s="684"/>
      <c r="BHP68" s="684"/>
      <c r="BHQ68" s="684"/>
      <c r="BHR68" s="684"/>
      <c r="BHS68" s="684"/>
      <c r="BHT68" s="684"/>
      <c r="BHU68" s="684"/>
      <c r="BHV68" s="684"/>
      <c r="BHW68" s="684"/>
      <c r="BHX68" s="684"/>
      <c r="BHY68" s="684"/>
      <c r="BHZ68" s="684"/>
      <c r="BIA68" s="684"/>
      <c r="BIB68" s="684"/>
      <c r="BIC68" s="684"/>
      <c r="BID68" s="684"/>
      <c r="BIE68" s="684"/>
      <c r="BIF68" s="684"/>
      <c r="BIG68" s="684"/>
      <c r="BIH68" s="684"/>
      <c r="BII68" s="684"/>
      <c r="BIJ68" s="684"/>
      <c r="BIK68" s="684"/>
      <c r="BIL68" s="684"/>
      <c r="BIM68" s="684"/>
      <c r="BIN68" s="684"/>
      <c r="BIO68" s="684"/>
      <c r="BIP68" s="684"/>
      <c r="BIQ68" s="684"/>
      <c r="BIR68" s="684"/>
      <c r="BIS68" s="684"/>
      <c r="BIT68" s="684"/>
      <c r="BIU68" s="684"/>
      <c r="BIV68" s="684"/>
      <c r="BIW68" s="684"/>
      <c r="BIX68" s="684"/>
      <c r="BIY68" s="684"/>
      <c r="BIZ68" s="684"/>
      <c r="BJA68" s="684"/>
      <c r="BJB68" s="684"/>
      <c r="BJC68" s="684"/>
      <c r="BJD68" s="684"/>
      <c r="BJE68" s="684"/>
      <c r="BJF68" s="684"/>
      <c r="BJG68" s="684"/>
      <c r="BJH68" s="684"/>
      <c r="BJI68" s="684"/>
      <c r="BJJ68" s="684"/>
      <c r="BJK68" s="684"/>
      <c r="BJL68" s="684"/>
      <c r="BJM68" s="684"/>
      <c r="BJN68" s="684"/>
      <c r="BJO68" s="684"/>
      <c r="BJP68" s="684"/>
      <c r="BJQ68" s="684"/>
      <c r="BJR68" s="684"/>
      <c r="BJS68" s="684"/>
      <c r="BJT68" s="684"/>
      <c r="BJU68" s="684"/>
      <c r="BJV68" s="684"/>
      <c r="BJW68" s="684"/>
      <c r="BJX68" s="684"/>
      <c r="BJY68" s="684"/>
      <c r="BJZ68" s="684"/>
      <c r="BKA68" s="684"/>
      <c r="BKB68" s="684"/>
      <c r="BKC68" s="684"/>
      <c r="BKD68" s="684"/>
      <c r="BKE68" s="684"/>
      <c r="BKF68" s="684"/>
      <c r="BKG68" s="684"/>
      <c r="BKH68" s="684"/>
      <c r="BKI68" s="684"/>
      <c r="BKJ68" s="684"/>
      <c r="BKK68" s="684"/>
      <c r="BKL68" s="684"/>
      <c r="BKM68" s="684"/>
      <c r="BKN68" s="684"/>
      <c r="BKO68" s="684"/>
      <c r="BKP68" s="684"/>
      <c r="BKQ68" s="684"/>
      <c r="BKR68" s="684"/>
      <c r="BKS68" s="684"/>
      <c r="BKT68" s="684"/>
      <c r="BKU68" s="684"/>
      <c r="BKV68" s="684"/>
      <c r="BKW68" s="684"/>
      <c r="BKX68" s="684"/>
      <c r="BKY68" s="684"/>
      <c r="BKZ68" s="684"/>
      <c r="BLA68" s="684"/>
      <c r="BLB68" s="684"/>
      <c r="BLC68" s="684"/>
      <c r="BLD68" s="684"/>
      <c r="BLE68" s="684"/>
      <c r="BLF68" s="684"/>
      <c r="BLG68" s="684"/>
      <c r="BLH68" s="684"/>
      <c r="BLI68" s="684"/>
      <c r="BLJ68" s="684"/>
      <c r="BLK68" s="684"/>
      <c r="BLL68" s="684"/>
      <c r="BLM68" s="684"/>
      <c r="BLN68" s="684"/>
      <c r="BLO68" s="684"/>
      <c r="BLP68" s="684"/>
      <c r="BLQ68" s="684"/>
      <c r="BLR68" s="684"/>
      <c r="BLS68" s="684"/>
      <c r="BLT68" s="684"/>
      <c r="BLU68" s="684"/>
      <c r="BLV68" s="684"/>
      <c r="BLW68" s="684"/>
      <c r="BLX68" s="684"/>
      <c r="BLY68" s="684"/>
      <c r="BLZ68" s="684"/>
      <c r="BMA68" s="684"/>
      <c r="BMB68" s="684"/>
      <c r="BMC68" s="684"/>
      <c r="BMD68" s="684"/>
      <c r="BME68" s="684"/>
      <c r="BMF68" s="684"/>
      <c r="BMG68" s="684"/>
      <c r="BMH68" s="684"/>
      <c r="BMI68" s="684"/>
      <c r="BMJ68" s="684"/>
      <c r="BMK68" s="684"/>
      <c r="BML68" s="684"/>
      <c r="BMM68" s="684"/>
      <c r="BMN68" s="684"/>
      <c r="BMO68" s="684"/>
      <c r="BMP68" s="684"/>
      <c r="BMQ68" s="684"/>
      <c r="BMR68" s="684"/>
      <c r="BMS68" s="684"/>
      <c r="BMT68" s="684"/>
      <c r="BMU68" s="684"/>
      <c r="BMV68" s="684"/>
      <c r="BMW68" s="684"/>
      <c r="BMX68" s="684"/>
      <c r="BMY68" s="684"/>
      <c r="BMZ68" s="684"/>
      <c r="BNA68" s="684"/>
      <c r="BNB68" s="684"/>
      <c r="BNC68" s="684"/>
      <c r="BND68" s="684"/>
      <c r="BNE68" s="684"/>
      <c r="BNF68" s="684"/>
      <c r="BNG68" s="684"/>
      <c r="BNH68" s="684"/>
      <c r="BNI68" s="684"/>
      <c r="BNJ68" s="684"/>
      <c r="BNK68" s="684"/>
      <c r="BNL68" s="684"/>
      <c r="BNM68" s="684"/>
      <c r="BNN68" s="684"/>
      <c r="BNO68" s="684"/>
      <c r="BNP68" s="684"/>
      <c r="BNQ68" s="684"/>
      <c r="BNR68" s="684"/>
      <c r="BNS68" s="684"/>
      <c r="BNT68" s="684"/>
      <c r="BNU68" s="684"/>
      <c r="BNV68" s="684"/>
      <c r="BNW68" s="684"/>
      <c r="BNX68" s="684"/>
      <c r="BNY68" s="684"/>
      <c r="BNZ68" s="684"/>
      <c r="BOA68" s="684"/>
      <c r="BOB68" s="684"/>
      <c r="BOC68" s="684"/>
      <c r="BOD68" s="684"/>
      <c r="BOE68" s="684"/>
      <c r="BOF68" s="684"/>
      <c r="BOG68" s="684"/>
      <c r="BOH68" s="684"/>
      <c r="BOI68" s="684"/>
      <c r="BOJ68" s="684"/>
      <c r="BOK68" s="684"/>
      <c r="BOL68" s="684"/>
      <c r="BOM68" s="684"/>
      <c r="BON68" s="684"/>
      <c r="BOO68" s="684"/>
      <c r="BOP68" s="684"/>
      <c r="BOQ68" s="684"/>
      <c r="BOR68" s="684"/>
      <c r="BOS68" s="684"/>
      <c r="BOT68" s="684"/>
      <c r="BOU68" s="684"/>
      <c r="BOV68" s="684"/>
      <c r="BOW68" s="684"/>
      <c r="BOX68" s="684"/>
      <c r="BOY68" s="684"/>
      <c r="BOZ68" s="684"/>
      <c r="BPA68" s="684"/>
      <c r="BPB68" s="684"/>
      <c r="BPC68" s="684"/>
      <c r="BPD68" s="684"/>
      <c r="BPE68" s="684"/>
      <c r="BPF68" s="684"/>
      <c r="BPG68" s="684"/>
      <c r="BPH68" s="684"/>
      <c r="BPI68" s="684"/>
      <c r="BPJ68" s="684"/>
      <c r="BPK68" s="684"/>
      <c r="BPL68" s="684"/>
      <c r="BPM68" s="684"/>
      <c r="BPN68" s="684"/>
      <c r="BPO68" s="684"/>
      <c r="BPP68" s="684"/>
      <c r="BPQ68" s="684"/>
      <c r="BPR68" s="684"/>
      <c r="BPS68" s="684"/>
      <c r="BPT68" s="684"/>
      <c r="BPU68" s="684"/>
      <c r="BPV68" s="684"/>
      <c r="BPW68" s="684"/>
      <c r="BPX68" s="684"/>
      <c r="BPY68" s="684"/>
      <c r="BPZ68" s="684"/>
      <c r="BQA68" s="684"/>
      <c r="BQB68" s="684"/>
      <c r="BQC68" s="684"/>
      <c r="BQD68" s="684"/>
      <c r="BQE68" s="684"/>
      <c r="BQF68" s="684"/>
      <c r="BQG68" s="684"/>
      <c r="BQH68" s="684"/>
      <c r="BQI68" s="684"/>
      <c r="BQJ68" s="684"/>
      <c r="BQK68" s="684"/>
      <c r="BQL68" s="684"/>
      <c r="BQM68" s="684"/>
      <c r="BQN68" s="684"/>
      <c r="BQO68" s="684"/>
      <c r="BQP68" s="684"/>
      <c r="BQQ68" s="684"/>
      <c r="BQR68" s="684"/>
      <c r="BQS68" s="684"/>
      <c r="BQT68" s="684"/>
      <c r="BQU68" s="684"/>
      <c r="BQV68" s="684"/>
      <c r="BQW68" s="684"/>
      <c r="BQX68" s="684"/>
      <c r="BQY68" s="684"/>
      <c r="BQZ68" s="684"/>
      <c r="BRA68" s="684"/>
      <c r="BRB68" s="684"/>
      <c r="BRC68" s="684"/>
      <c r="BRD68" s="684"/>
      <c r="BRE68" s="684"/>
      <c r="BRF68" s="684"/>
      <c r="BRG68" s="684"/>
      <c r="BRH68" s="684"/>
      <c r="BRI68" s="684"/>
      <c r="BRJ68" s="684"/>
      <c r="BRK68" s="684"/>
      <c r="BRL68" s="684"/>
      <c r="BRM68" s="684"/>
      <c r="BRN68" s="684"/>
      <c r="BRO68" s="684"/>
      <c r="BRP68" s="684"/>
      <c r="BRQ68" s="684"/>
      <c r="BRR68" s="684"/>
      <c r="BRS68" s="684"/>
      <c r="BRT68" s="684"/>
      <c r="BRU68" s="684"/>
      <c r="BRV68" s="684"/>
      <c r="BRW68" s="684"/>
      <c r="BRX68" s="684"/>
      <c r="BRY68" s="684"/>
      <c r="BRZ68" s="684"/>
      <c r="BSA68" s="684"/>
      <c r="BSB68" s="684"/>
      <c r="BSC68" s="684"/>
      <c r="BSD68" s="684"/>
      <c r="BSE68" s="684"/>
      <c r="BSF68" s="684"/>
      <c r="BSG68" s="684"/>
      <c r="BSH68" s="684"/>
      <c r="BSI68" s="684"/>
      <c r="BSJ68" s="684"/>
      <c r="BSK68" s="684"/>
      <c r="BSL68" s="684"/>
      <c r="BSM68" s="684"/>
      <c r="BSN68" s="684"/>
      <c r="BSO68" s="684"/>
      <c r="BSP68" s="684"/>
      <c r="BSQ68" s="684"/>
      <c r="BSR68" s="684"/>
      <c r="BSS68" s="684"/>
      <c r="BST68" s="684"/>
      <c r="BSU68" s="684"/>
      <c r="BSV68" s="684"/>
      <c r="BSW68" s="684"/>
      <c r="BSX68" s="684"/>
      <c r="BSY68" s="684"/>
      <c r="BSZ68" s="684"/>
      <c r="BTA68" s="684"/>
      <c r="BTB68" s="684"/>
      <c r="BTC68" s="684"/>
      <c r="BTD68" s="684"/>
      <c r="BTE68" s="684"/>
      <c r="BTF68" s="684"/>
      <c r="BTG68" s="684"/>
      <c r="BTH68" s="684"/>
      <c r="BTI68" s="684"/>
      <c r="BTJ68" s="684"/>
      <c r="BTK68" s="684"/>
      <c r="BTL68" s="684"/>
      <c r="BTM68" s="684"/>
      <c r="BTN68" s="684"/>
      <c r="BTO68" s="684"/>
      <c r="BTP68" s="684"/>
      <c r="BTQ68" s="684"/>
      <c r="BTR68" s="684"/>
      <c r="BTS68" s="684"/>
      <c r="BTT68" s="684"/>
      <c r="BTU68" s="684"/>
      <c r="BTV68" s="684"/>
      <c r="BTW68" s="684"/>
      <c r="BTX68" s="684"/>
      <c r="BTY68" s="684"/>
      <c r="BTZ68" s="684"/>
      <c r="BUA68" s="684"/>
      <c r="BUB68" s="684"/>
      <c r="BUC68" s="684"/>
      <c r="BUD68" s="684"/>
      <c r="BUE68" s="684"/>
      <c r="BUF68" s="684"/>
      <c r="BUG68" s="684"/>
      <c r="BUH68" s="684"/>
      <c r="BUI68" s="684"/>
      <c r="BUJ68" s="684"/>
      <c r="BUK68" s="684"/>
      <c r="BUL68" s="684"/>
      <c r="BUM68" s="684"/>
      <c r="BUN68" s="684"/>
      <c r="BUO68" s="684"/>
      <c r="BUP68" s="684"/>
      <c r="BUQ68" s="684"/>
      <c r="BUR68" s="684"/>
      <c r="BUS68" s="684"/>
      <c r="BUT68" s="684"/>
      <c r="BUU68" s="684"/>
      <c r="BUV68" s="684"/>
      <c r="BUW68" s="684"/>
      <c r="BUX68" s="684"/>
      <c r="BUY68" s="684"/>
      <c r="BUZ68" s="684"/>
      <c r="BVA68" s="684"/>
      <c r="BVB68" s="684"/>
      <c r="BVC68" s="684"/>
      <c r="BVD68" s="684"/>
      <c r="BVE68" s="684"/>
      <c r="BVF68" s="684"/>
      <c r="BVG68" s="684"/>
      <c r="BVH68" s="684"/>
      <c r="BVI68" s="684"/>
      <c r="BVJ68" s="684"/>
      <c r="BVK68" s="684"/>
      <c r="BVL68" s="684"/>
      <c r="BVM68" s="684"/>
      <c r="BVN68" s="684"/>
      <c r="BVO68" s="684"/>
      <c r="BVP68" s="684"/>
      <c r="BVQ68" s="684"/>
      <c r="BVR68" s="684"/>
      <c r="BVS68" s="684"/>
      <c r="BVT68" s="684"/>
      <c r="BVU68" s="684"/>
      <c r="BVV68" s="684"/>
      <c r="BVW68" s="684"/>
      <c r="BVX68" s="684"/>
      <c r="BVY68" s="684"/>
      <c r="BVZ68" s="684"/>
      <c r="BWA68" s="684"/>
      <c r="BWB68" s="684"/>
      <c r="BWC68" s="684"/>
      <c r="BWD68" s="684"/>
      <c r="BWE68" s="684"/>
      <c r="BWF68" s="684"/>
      <c r="BWG68" s="684"/>
      <c r="BWH68" s="684"/>
      <c r="BWI68" s="684"/>
      <c r="BWJ68" s="684"/>
      <c r="BWK68" s="684"/>
      <c r="BWL68" s="684"/>
      <c r="BWM68" s="684"/>
      <c r="BWN68" s="684"/>
      <c r="BWO68" s="684"/>
      <c r="BWP68" s="684"/>
      <c r="BWQ68" s="684"/>
      <c r="BWR68" s="684"/>
      <c r="BWS68" s="684"/>
      <c r="BWT68" s="684"/>
      <c r="BWU68" s="684"/>
      <c r="BWV68" s="684"/>
      <c r="BWW68" s="684"/>
      <c r="BWX68" s="684"/>
      <c r="BWY68" s="684"/>
      <c r="BWZ68" s="684"/>
      <c r="BXA68" s="684"/>
      <c r="BXB68" s="684"/>
      <c r="BXC68" s="684"/>
      <c r="BXD68" s="684"/>
      <c r="BXE68" s="684"/>
      <c r="BXF68" s="684"/>
      <c r="BXG68" s="684"/>
      <c r="BXH68" s="684"/>
      <c r="BXI68" s="684"/>
      <c r="BXJ68" s="684"/>
      <c r="BXK68" s="684"/>
      <c r="BXL68" s="684"/>
      <c r="BXM68" s="684"/>
      <c r="BXN68" s="684"/>
      <c r="BXO68" s="684"/>
      <c r="BXP68" s="684"/>
      <c r="BXQ68" s="684"/>
      <c r="BXR68" s="684"/>
      <c r="BXS68" s="684"/>
      <c r="BXT68" s="684"/>
      <c r="BXU68" s="684"/>
      <c r="BXV68" s="684"/>
      <c r="BXW68" s="684"/>
      <c r="BXX68" s="684"/>
      <c r="BXY68" s="684"/>
      <c r="BXZ68" s="684"/>
      <c r="BYA68" s="684"/>
      <c r="BYB68" s="684"/>
      <c r="BYC68" s="684"/>
      <c r="BYD68" s="684"/>
      <c r="BYE68" s="684"/>
      <c r="BYF68" s="684"/>
      <c r="BYG68" s="684"/>
      <c r="BYH68" s="684"/>
      <c r="BYI68" s="684"/>
      <c r="BYJ68" s="684"/>
      <c r="BYK68" s="684"/>
      <c r="BYL68" s="684"/>
      <c r="BYM68" s="684"/>
      <c r="BYN68" s="684"/>
      <c r="BYO68" s="684"/>
      <c r="BYP68" s="684"/>
      <c r="BYQ68" s="684"/>
      <c r="BYR68" s="684"/>
      <c r="BYS68" s="684"/>
      <c r="BYT68" s="684"/>
      <c r="BYU68" s="684"/>
      <c r="BYV68" s="684"/>
      <c r="BYW68" s="684"/>
      <c r="BYX68" s="684"/>
      <c r="BYY68" s="684"/>
      <c r="BYZ68" s="684"/>
      <c r="BZA68" s="684"/>
      <c r="BZB68" s="684"/>
      <c r="BZC68" s="684"/>
      <c r="BZD68" s="684"/>
      <c r="BZE68" s="684"/>
      <c r="BZF68" s="684"/>
      <c r="BZG68" s="684"/>
      <c r="BZH68" s="684"/>
      <c r="BZI68" s="684"/>
      <c r="BZJ68" s="684"/>
      <c r="BZK68" s="684"/>
      <c r="BZL68" s="684"/>
      <c r="BZM68" s="684"/>
      <c r="BZN68" s="684"/>
      <c r="BZO68" s="684"/>
      <c r="BZP68" s="684"/>
      <c r="BZQ68" s="684"/>
      <c r="BZR68" s="684"/>
      <c r="BZS68" s="684"/>
      <c r="BZT68" s="684"/>
      <c r="BZU68" s="684"/>
      <c r="BZV68" s="684"/>
      <c r="BZW68" s="684"/>
      <c r="BZX68" s="684"/>
      <c r="BZY68" s="684"/>
      <c r="BZZ68" s="684"/>
      <c r="CAA68" s="684"/>
      <c r="CAB68" s="684"/>
      <c r="CAC68" s="684"/>
      <c r="CAD68" s="684"/>
      <c r="CAE68" s="684"/>
      <c r="CAF68" s="684"/>
      <c r="CAG68" s="684"/>
      <c r="CAH68" s="684"/>
      <c r="CAI68" s="684"/>
      <c r="CAJ68" s="684"/>
      <c r="CAK68" s="684"/>
      <c r="CAL68" s="684"/>
      <c r="CAM68" s="684"/>
      <c r="CAN68" s="684"/>
      <c r="CAO68" s="684"/>
      <c r="CAP68" s="684"/>
      <c r="CAQ68" s="684"/>
      <c r="CAR68" s="684"/>
      <c r="CAS68" s="684"/>
      <c r="CAT68" s="684"/>
      <c r="CAU68" s="684"/>
      <c r="CAV68" s="684"/>
      <c r="CAW68" s="684"/>
      <c r="CAX68" s="684"/>
      <c r="CAY68" s="684"/>
      <c r="CAZ68" s="684"/>
      <c r="CBA68" s="684"/>
      <c r="CBB68" s="684"/>
      <c r="CBC68" s="684"/>
      <c r="CBD68" s="684"/>
      <c r="CBE68" s="684"/>
      <c r="CBF68" s="684"/>
      <c r="CBG68" s="684"/>
      <c r="CBH68" s="684"/>
      <c r="CBI68" s="684"/>
      <c r="CBJ68" s="684"/>
      <c r="CBK68" s="684"/>
      <c r="CBL68" s="684"/>
      <c r="CBM68" s="684"/>
      <c r="CBN68" s="684"/>
      <c r="CBO68" s="684"/>
      <c r="CBP68" s="684"/>
      <c r="CBQ68" s="684"/>
      <c r="CBR68" s="684"/>
      <c r="CBS68" s="684"/>
      <c r="CBT68" s="684"/>
      <c r="CBU68" s="684"/>
      <c r="CBV68" s="684"/>
      <c r="CBW68" s="684"/>
      <c r="CBX68" s="684"/>
      <c r="CBY68" s="684"/>
      <c r="CBZ68" s="684"/>
      <c r="CCA68" s="684"/>
      <c r="CCB68" s="684"/>
      <c r="CCC68" s="684"/>
      <c r="CCD68" s="684"/>
      <c r="CCE68" s="684"/>
      <c r="CCF68" s="684"/>
      <c r="CCG68" s="684"/>
      <c r="CCH68" s="684"/>
      <c r="CCI68" s="684"/>
      <c r="CCJ68" s="684"/>
      <c r="CCK68" s="684"/>
      <c r="CCL68" s="684"/>
      <c r="CCM68" s="684"/>
      <c r="CCN68" s="684"/>
      <c r="CCO68" s="684"/>
      <c r="CCP68" s="684"/>
      <c r="CCQ68" s="684"/>
      <c r="CCR68" s="684"/>
      <c r="CCS68" s="684"/>
      <c r="CCT68" s="684"/>
      <c r="CCU68" s="684"/>
      <c r="CCV68" s="684"/>
      <c r="CCW68" s="684"/>
      <c r="CCX68" s="684"/>
      <c r="CCY68" s="684"/>
      <c r="CCZ68" s="684"/>
      <c r="CDA68" s="684"/>
      <c r="CDB68" s="684"/>
      <c r="CDC68" s="684"/>
      <c r="CDD68" s="684"/>
      <c r="CDE68" s="684"/>
      <c r="CDF68" s="684"/>
      <c r="CDG68" s="684"/>
      <c r="CDH68" s="684"/>
      <c r="CDI68" s="684"/>
      <c r="CDJ68" s="684"/>
      <c r="CDK68" s="684"/>
      <c r="CDL68" s="684"/>
      <c r="CDM68" s="684"/>
      <c r="CDN68" s="684"/>
      <c r="CDO68" s="684"/>
      <c r="CDP68" s="684"/>
      <c r="CDQ68" s="684"/>
      <c r="CDR68" s="684"/>
      <c r="CDS68" s="684"/>
      <c r="CDT68" s="684"/>
      <c r="CDU68" s="684"/>
      <c r="CDV68" s="684"/>
      <c r="CDW68" s="684"/>
      <c r="CDX68" s="684"/>
      <c r="CDY68" s="684"/>
      <c r="CDZ68" s="684"/>
      <c r="CEA68" s="684"/>
      <c r="CEB68" s="684"/>
      <c r="CEC68" s="684"/>
      <c r="CED68" s="684"/>
      <c r="CEE68" s="684"/>
      <c r="CEF68" s="684"/>
      <c r="CEG68" s="684"/>
      <c r="CEH68" s="684"/>
      <c r="CEI68" s="684"/>
      <c r="CEJ68" s="684"/>
      <c r="CEK68" s="684"/>
      <c r="CEL68" s="684"/>
      <c r="CEM68" s="684"/>
      <c r="CEN68" s="684"/>
      <c r="CEO68" s="684"/>
      <c r="CEP68" s="684"/>
      <c r="CEQ68" s="684"/>
      <c r="CER68" s="684"/>
      <c r="CES68" s="684"/>
      <c r="CET68" s="684"/>
      <c r="CEU68" s="684"/>
      <c r="CEV68" s="684"/>
      <c r="CEW68" s="684"/>
      <c r="CEX68" s="684"/>
      <c r="CEY68" s="684"/>
      <c r="CEZ68" s="684"/>
      <c r="CFA68" s="684"/>
      <c r="CFB68" s="684"/>
      <c r="CFC68" s="684"/>
      <c r="CFD68" s="684"/>
      <c r="CFE68" s="684"/>
      <c r="CFF68" s="684"/>
      <c r="CFG68" s="684"/>
      <c r="CFH68" s="684"/>
      <c r="CFI68" s="684"/>
      <c r="CFJ68" s="684"/>
      <c r="CFK68" s="684"/>
      <c r="CFL68" s="684"/>
      <c r="CFM68" s="684"/>
      <c r="CFN68" s="684"/>
      <c r="CFO68" s="684"/>
      <c r="CFP68" s="684"/>
      <c r="CFQ68" s="684"/>
      <c r="CFR68" s="684"/>
      <c r="CFS68" s="684"/>
      <c r="CFT68" s="684"/>
      <c r="CFU68" s="684"/>
      <c r="CFV68" s="684"/>
      <c r="CFW68" s="684"/>
      <c r="CFX68" s="684"/>
      <c r="CFY68" s="684"/>
      <c r="CFZ68" s="684"/>
      <c r="CGA68" s="684"/>
      <c r="CGB68" s="684"/>
      <c r="CGC68" s="684"/>
      <c r="CGD68" s="684"/>
      <c r="CGE68" s="684"/>
      <c r="CGF68" s="684"/>
      <c r="CGG68" s="684"/>
      <c r="CGH68" s="684"/>
      <c r="CGI68" s="684"/>
      <c r="CGJ68" s="684"/>
      <c r="CGK68" s="684"/>
      <c r="CGL68" s="684"/>
      <c r="CGM68" s="684"/>
      <c r="CGN68" s="684"/>
      <c r="CGO68" s="684"/>
      <c r="CGP68" s="684"/>
      <c r="CGQ68" s="684"/>
      <c r="CGR68" s="684"/>
      <c r="CGS68" s="684"/>
      <c r="CGT68" s="684"/>
      <c r="CGU68" s="684"/>
      <c r="CGV68" s="684"/>
      <c r="CGW68" s="684"/>
      <c r="CGX68" s="684"/>
      <c r="CGY68" s="684"/>
      <c r="CGZ68" s="684"/>
      <c r="CHA68" s="684"/>
      <c r="CHB68" s="684"/>
      <c r="CHC68" s="684"/>
      <c r="CHD68" s="684"/>
      <c r="CHE68" s="684"/>
      <c r="CHF68" s="684"/>
      <c r="CHG68" s="684"/>
      <c r="CHH68" s="684"/>
      <c r="CHI68" s="684"/>
      <c r="CHJ68" s="684"/>
      <c r="CHK68" s="684"/>
      <c r="CHL68" s="684"/>
      <c r="CHM68" s="684"/>
      <c r="CHN68" s="684"/>
      <c r="CHO68" s="684"/>
      <c r="CHP68" s="684"/>
      <c r="CHQ68" s="684"/>
      <c r="CHR68" s="684"/>
      <c r="CHS68" s="684"/>
      <c r="CHT68" s="684"/>
      <c r="CHU68" s="684"/>
      <c r="CHV68" s="684"/>
      <c r="CHW68" s="684"/>
      <c r="CHX68" s="684"/>
      <c r="CHY68" s="684"/>
      <c r="CHZ68" s="684"/>
      <c r="CIA68" s="684"/>
      <c r="CIB68" s="684"/>
      <c r="CIC68" s="684"/>
      <c r="CID68" s="684"/>
      <c r="CIE68" s="684"/>
      <c r="CIF68" s="684"/>
      <c r="CIG68" s="684"/>
      <c r="CIH68" s="684"/>
      <c r="CII68" s="684"/>
      <c r="CIJ68" s="684"/>
      <c r="CIK68" s="684"/>
      <c r="CIL68" s="684"/>
      <c r="CIM68" s="684"/>
      <c r="CIN68" s="684"/>
      <c r="CIO68" s="684"/>
      <c r="CIP68" s="684"/>
      <c r="CIQ68" s="684"/>
      <c r="CIR68" s="684"/>
      <c r="CIS68" s="684"/>
      <c r="CIT68" s="684"/>
      <c r="CIU68" s="684"/>
      <c r="CIV68" s="684"/>
      <c r="CIW68" s="684"/>
      <c r="CIX68" s="684"/>
      <c r="CIY68" s="684"/>
      <c r="CIZ68" s="684"/>
      <c r="CJA68" s="684"/>
      <c r="CJB68" s="684"/>
      <c r="CJC68" s="684"/>
      <c r="CJD68" s="684"/>
      <c r="CJE68" s="684"/>
      <c r="CJF68" s="684"/>
      <c r="CJG68" s="684"/>
      <c r="CJH68" s="684"/>
      <c r="CJI68" s="684"/>
      <c r="CJJ68" s="684"/>
      <c r="CJK68" s="684"/>
      <c r="CJL68" s="684"/>
      <c r="CJM68" s="684"/>
      <c r="CJN68" s="684"/>
      <c r="CJO68" s="684"/>
      <c r="CJP68" s="684"/>
      <c r="CJQ68" s="684"/>
      <c r="CJR68" s="684"/>
      <c r="CJS68" s="684"/>
      <c r="CJT68" s="684"/>
      <c r="CJU68" s="684"/>
      <c r="CJV68" s="684"/>
      <c r="CJW68" s="684"/>
      <c r="CJX68" s="684"/>
      <c r="CJY68" s="684"/>
      <c r="CJZ68" s="684"/>
      <c r="CKA68" s="684"/>
      <c r="CKB68" s="684"/>
      <c r="CKC68" s="684"/>
      <c r="CKD68" s="684"/>
      <c r="CKE68" s="684"/>
      <c r="CKF68" s="684"/>
      <c r="CKG68" s="684"/>
      <c r="CKH68" s="684"/>
      <c r="CKI68" s="684"/>
      <c r="CKJ68" s="684"/>
      <c r="CKK68" s="684"/>
      <c r="CKL68" s="684"/>
      <c r="CKM68" s="684"/>
      <c r="CKN68" s="684"/>
      <c r="CKO68" s="684"/>
      <c r="CKP68" s="684"/>
      <c r="CKQ68" s="684"/>
      <c r="CKR68" s="684"/>
      <c r="CKS68" s="684"/>
      <c r="CKT68" s="684"/>
      <c r="CKU68" s="684"/>
      <c r="CKV68" s="684"/>
      <c r="CKW68" s="684"/>
      <c r="CKX68" s="684"/>
      <c r="CKY68" s="684"/>
      <c r="CKZ68" s="684"/>
      <c r="CLA68" s="684"/>
      <c r="CLB68" s="684"/>
      <c r="CLC68" s="684"/>
      <c r="CLD68" s="684"/>
      <c r="CLE68" s="684"/>
      <c r="CLF68" s="684"/>
      <c r="CLG68" s="684"/>
      <c r="CLH68" s="684"/>
      <c r="CLI68" s="684"/>
      <c r="CLJ68" s="684"/>
      <c r="CLK68" s="684"/>
      <c r="CLL68" s="684"/>
      <c r="CLM68" s="684"/>
      <c r="CLN68" s="684"/>
      <c r="CLO68" s="684"/>
      <c r="CLP68" s="684"/>
      <c r="CLQ68" s="684"/>
      <c r="CLR68" s="684"/>
      <c r="CLS68" s="684"/>
      <c r="CLT68" s="684"/>
      <c r="CLU68" s="684"/>
      <c r="CLV68" s="684"/>
      <c r="CLW68" s="684"/>
      <c r="CLX68" s="684"/>
      <c r="CLY68" s="684"/>
      <c r="CLZ68" s="684"/>
      <c r="CMA68" s="684"/>
      <c r="CMB68" s="684"/>
      <c r="CMC68" s="684"/>
      <c r="CMD68" s="684"/>
      <c r="CME68" s="684"/>
      <c r="CMF68" s="684"/>
      <c r="CMG68" s="684"/>
      <c r="CMH68" s="684"/>
      <c r="CMI68" s="684"/>
      <c r="CMJ68" s="684"/>
      <c r="CMK68" s="684"/>
      <c r="CML68" s="684"/>
      <c r="CMM68" s="684"/>
      <c r="CMN68" s="684"/>
      <c r="CMO68" s="684"/>
      <c r="CMP68" s="684"/>
      <c r="CMQ68" s="684"/>
      <c r="CMR68" s="684"/>
      <c r="CMS68" s="684"/>
      <c r="CMT68" s="684"/>
      <c r="CMU68" s="684"/>
      <c r="CMV68" s="684"/>
      <c r="CMW68" s="684"/>
      <c r="CMX68" s="684"/>
      <c r="CMY68" s="684"/>
      <c r="CMZ68" s="684"/>
      <c r="CNA68" s="684"/>
      <c r="CNB68" s="684"/>
      <c r="CNC68" s="684"/>
      <c r="CND68" s="684"/>
      <c r="CNE68" s="684"/>
      <c r="CNF68" s="684"/>
      <c r="CNG68" s="684"/>
      <c r="CNH68" s="684"/>
      <c r="CNI68" s="684"/>
      <c r="CNJ68" s="684"/>
      <c r="CNK68" s="684"/>
      <c r="CNL68" s="684"/>
      <c r="CNM68" s="684"/>
      <c r="CNN68" s="684"/>
      <c r="CNO68" s="684"/>
      <c r="CNP68" s="684"/>
      <c r="CNQ68" s="684"/>
      <c r="CNR68" s="684"/>
      <c r="CNS68" s="684"/>
      <c r="CNT68" s="684"/>
      <c r="CNU68" s="684"/>
      <c r="CNV68" s="684"/>
      <c r="CNW68" s="684"/>
      <c r="CNX68" s="684"/>
      <c r="CNY68" s="684"/>
      <c r="CNZ68" s="684"/>
      <c r="COA68" s="684"/>
      <c r="COB68" s="684"/>
      <c r="COC68" s="684"/>
      <c r="COD68" s="684"/>
      <c r="COE68" s="684"/>
      <c r="COF68" s="684"/>
      <c r="COG68" s="684"/>
      <c r="COH68" s="684"/>
      <c r="COI68" s="684"/>
      <c r="COJ68" s="684"/>
      <c r="COK68" s="684"/>
      <c r="COL68" s="684"/>
      <c r="COM68" s="684"/>
      <c r="CON68" s="684"/>
      <c r="COO68" s="684"/>
      <c r="COP68" s="684"/>
      <c r="COQ68" s="684"/>
      <c r="COR68" s="684"/>
      <c r="COS68" s="684"/>
      <c r="COT68" s="684"/>
      <c r="COU68" s="684"/>
      <c r="COV68" s="684"/>
      <c r="COW68" s="684"/>
      <c r="COX68" s="684"/>
      <c r="COY68" s="684"/>
      <c r="COZ68" s="684"/>
      <c r="CPA68" s="684"/>
      <c r="CPB68" s="684"/>
      <c r="CPC68" s="684"/>
      <c r="CPD68" s="684"/>
      <c r="CPE68" s="684"/>
      <c r="CPF68" s="684"/>
      <c r="CPG68" s="684"/>
      <c r="CPH68" s="684"/>
      <c r="CPI68" s="684"/>
      <c r="CPJ68" s="684"/>
      <c r="CPK68" s="684"/>
      <c r="CPL68" s="684"/>
      <c r="CPM68" s="684"/>
      <c r="CPN68" s="684"/>
      <c r="CPO68" s="684"/>
      <c r="CPP68" s="684"/>
      <c r="CPQ68" s="684"/>
      <c r="CPR68" s="684"/>
      <c r="CPS68" s="684"/>
      <c r="CPT68" s="684"/>
      <c r="CPU68" s="684"/>
      <c r="CPV68" s="684"/>
      <c r="CPW68" s="684"/>
      <c r="CPX68" s="684"/>
      <c r="CPY68" s="684"/>
      <c r="CPZ68" s="684"/>
      <c r="CQA68" s="684"/>
      <c r="CQB68" s="684"/>
      <c r="CQC68" s="684"/>
      <c r="CQD68" s="684"/>
      <c r="CQE68" s="684"/>
      <c r="CQF68" s="684"/>
      <c r="CQG68" s="684"/>
      <c r="CQH68" s="684"/>
      <c r="CQI68" s="684"/>
      <c r="CQJ68" s="684"/>
      <c r="CQK68" s="684"/>
      <c r="CQL68" s="684"/>
      <c r="CQM68" s="684"/>
      <c r="CQN68" s="684"/>
      <c r="CQO68" s="684"/>
      <c r="CQP68" s="684"/>
      <c r="CQQ68" s="684"/>
      <c r="CQR68" s="684"/>
      <c r="CQS68" s="684"/>
      <c r="CQT68" s="684"/>
      <c r="CQU68" s="684"/>
      <c r="CQV68" s="684"/>
      <c r="CQW68" s="684"/>
      <c r="CQX68" s="684"/>
      <c r="CQY68" s="684"/>
      <c r="CQZ68" s="684"/>
      <c r="CRA68" s="684"/>
      <c r="CRB68" s="684"/>
      <c r="CRC68" s="684"/>
      <c r="CRD68" s="684"/>
      <c r="CRE68" s="684"/>
      <c r="CRF68" s="684"/>
      <c r="CRG68" s="684"/>
      <c r="CRH68" s="684"/>
      <c r="CRI68" s="684"/>
      <c r="CRJ68" s="684"/>
      <c r="CRK68" s="684"/>
      <c r="CRL68" s="684"/>
      <c r="CRM68" s="684"/>
      <c r="CRN68" s="684"/>
      <c r="CRO68" s="684"/>
      <c r="CRP68" s="684"/>
      <c r="CRQ68" s="684"/>
      <c r="CRR68" s="684"/>
      <c r="CRS68" s="684"/>
      <c r="CRT68" s="684"/>
      <c r="CRU68" s="684"/>
      <c r="CRV68" s="684"/>
      <c r="CRW68" s="684"/>
      <c r="CRX68" s="684"/>
      <c r="CRY68" s="684"/>
      <c r="CRZ68" s="684"/>
      <c r="CSA68" s="684"/>
      <c r="CSB68" s="684"/>
      <c r="CSC68" s="684"/>
      <c r="CSD68" s="684"/>
      <c r="CSE68" s="684"/>
      <c r="CSF68" s="684"/>
      <c r="CSG68" s="684"/>
      <c r="CSH68" s="684"/>
      <c r="CSI68" s="684"/>
      <c r="CSJ68" s="684"/>
      <c r="CSK68" s="684"/>
      <c r="CSL68" s="684"/>
      <c r="CSM68" s="684"/>
      <c r="CSN68" s="684"/>
      <c r="CSO68" s="684"/>
      <c r="CSP68" s="684"/>
      <c r="CSQ68" s="684"/>
      <c r="CSR68" s="684"/>
      <c r="CSS68" s="684"/>
      <c r="CST68" s="684"/>
      <c r="CSU68" s="684"/>
      <c r="CSV68" s="684"/>
      <c r="CSW68" s="684"/>
      <c r="CSX68" s="684"/>
      <c r="CSY68" s="684"/>
      <c r="CSZ68" s="684"/>
      <c r="CTA68" s="684"/>
      <c r="CTB68" s="684"/>
      <c r="CTC68" s="684"/>
      <c r="CTD68" s="684"/>
      <c r="CTE68" s="684"/>
      <c r="CTF68" s="684"/>
      <c r="CTG68" s="684"/>
      <c r="CTH68" s="684"/>
      <c r="CTI68" s="684"/>
      <c r="CTJ68" s="684"/>
      <c r="CTK68" s="684"/>
      <c r="CTL68" s="684"/>
      <c r="CTM68" s="684"/>
      <c r="CTN68" s="684"/>
      <c r="CTO68" s="684"/>
      <c r="CTP68" s="684"/>
      <c r="CTQ68" s="684"/>
      <c r="CTR68" s="684"/>
      <c r="CTS68" s="684"/>
      <c r="CTT68" s="684"/>
      <c r="CTU68" s="684"/>
      <c r="CTV68" s="684"/>
      <c r="CTW68" s="684"/>
      <c r="CTX68" s="684"/>
      <c r="CTY68" s="684"/>
      <c r="CTZ68" s="684"/>
      <c r="CUA68" s="684"/>
      <c r="CUB68" s="684"/>
      <c r="CUC68" s="684"/>
      <c r="CUD68" s="684"/>
      <c r="CUE68" s="684"/>
      <c r="CUF68" s="684"/>
      <c r="CUG68" s="684"/>
      <c r="CUH68" s="684"/>
      <c r="CUI68" s="684"/>
      <c r="CUJ68" s="684"/>
      <c r="CUK68" s="684"/>
      <c r="CUL68" s="684"/>
      <c r="CUM68" s="684"/>
      <c r="CUN68" s="684"/>
      <c r="CUO68" s="684"/>
      <c r="CUP68" s="684"/>
      <c r="CUQ68" s="684"/>
      <c r="CUR68" s="684"/>
      <c r="CUS68" s="684"/>
      <c r="CUT68" s="684"/>
      <c r="CUU68" s="684"/>
      <c r="CUV68" s="684"/>
      <c r="CUW68" s="684"/>
      <c r="CUX68" s="684"/>
      <c r="CUY68" s="684"/>
      <c r="CUZ68" s="684"/>
      <c r="CVA68" s="684"/>
      <c r="CVB68" s="684"/>
      <c r="CVC68" s="684"/>
      <c r="CVD68" s="684"/>
      <c r="CVE68" s="684"/>
      <c r="CVF68" s="684"/>
      <c r="CVG68" s="684"/>
      <c r="CVH68" s="684"/>
      <c r="CVI68" s="684"/>
      <c r="CVJ68" s="684"/>
      <c r="CVK68" s="684"/>
      <c r="CVL68" s="684"/>
      <c r="CVM68" s="684"/>
      <c r="CVN68" s="684"/>
      <c r="CVO68" s="684"/>
      <c r="CVP68" s="684"/>
      <c r="CVQ68" s="684"/>
      <c r="CVR68" s="684"/>
      <c r="CVS68" s="684"/>
      <c r="CVT68" s="684"/>
      <c r="CVU68" s="684"/>
      <c r="CVV68" s="684"/>
      <c r="CVW68" s="684"/>
      <c r="CVX68" s="684"/>
      <c r="CVY68" s="684"/>
      <c r="CVZ68" s="684"/>
      <c r="CWA68" s="684"/>
      <c r="CWB68" s="684"/>
      <c r="CWC68" s="684"/>
      <c r="CWD68" s="684"/>
      <c r="CWE68" s="684"/>
      <c r="CWF68" s="684"/>
      <c r="CWG68" s="684"/>
      <c r="CWH68" s="684"/>
      <c r="CWI68" s="684"/>
      <c r="CWJ68" s="684"/>
      <c r="CWK68" s="684"/>
      <c r="CWL68" s="684"/>
      <c r="CWM68" s="684"/>
      <c r="CWN68" s="684"/>
      <c r="CWO68" s="684"/>
      <c r="CWP68" s="684"/>
      <c r="CWQ68" s="684"/>
      <c r="CWR68" s="684"/>
      <c r="CWS68" s="684"/>
      <c r="CWT68" s="684"/>
      <c r="CWU68" s="684"/>
      <c r="CWV68" s="684"/>
      <c r="CWW68" s="684"/>
      <c r="CWX68" s="684"/>
      <c r="CWY68" s="684"/>
      <c r="CWZ68" s="684"/>
      <c r="CXA68" s="684"/>
      <c r="CXB68" s="684"/>
      <c r="CXC68" s="684"/>
      <c r="CXD68" s="684"/>
      <c r="CXE68" s="684"/>
      <c r="CXF68" s="684"/>
      <c r="CXG68" s="684"/>
      <c r="CXH68" s="684"/>
      <c r="CXI68" s="684"/>
      <c r="CXJ68" s="684"/>
      <c r="CXK68" s="684"/>
      <c r="CXL68" s="684"/>
      <c r="CXM68" s="684"/>
      <c r="CXN68" s="684"/>
      <c r="CXO68" s="684"/>
      <c r="CXP68" s="684"/>
      <c r="CXQ68" s="684"/>
      <c r="CXR68" s="684"/>
      <c r="CXS68" s="684"/>
      <c r="CXT68" s="684"/>
      <c r="CXU68" s="684"/>
      <c r="CXV68" s="684"/>
      <c r="CXW68" s="684"/>
      <c r="CXX68" s="684"/>
      <c r="CXY68" s="684"/>
      <c r="CXZ68" s="684"/>
      <c r="CYA68" s="684"/>
      <c r="CYB68" s="684"/>
      <c r="CYC68" s="684"/>
      <c r="CYD68" s="684"/>
      <c r="CYE68" s="684"/>
      <c r="CYF68" s="684"/>
      <c r="CYG68" s="684"/>
      <c r="CYH68" s="684"/>
      <c r="CYI68" s="684"/>
      <c r="CYJ68" s="684"/>
      <c r="CYK68" s="684"/>
      <c r="CYL68" s="684"/>
      <c r="CYM68" s="684"/>
      <c r="CYN68" s="684"/>
      <c r="CYO68" s="684"/>
      <c r="CYP68" s="684"/>
      <c r="CYQ68" s="684"/>
      <c r="CYR68" s="684"/>
      <c r="CYS68" s="684"/>
      <c r="CYT68" s="684"/>
      <c r="CYU68" s="684"/>
      <c r="CYV68" s="684"/>
      <c r="CYW68" s="684"/>
      <c r="CYX68" s="684"/>
      <c r="CYY68" s="684"/>
      <c r="CYZ68" s="684"/>
      <c r="CZA68" s="684"/>
      <c r="CZB68" s="684"/>
      <c r="CZC68" s="684"/>
      <c r="CZD68" s="684"/>
      <c r="CZE68" s="684"/>
      <c r="CZF68" s="684"/>
      <c r="CZG68" s="684"/>
      <c r="CZH68" s="684"/>
      <c r="CZI68" s="684"/>
      <c r="CZJ68" s="684"/>
      <c r="CZK68" s="684"/>
      <c r="CZL68" s="684"/>
      <c r="CZM68" s="684"/>
      <c r="CZN68" s="684"/>
      <c r="CZO68" s="684"/>
      <c r="CZP68" s="684"/>
      <c r="CZQ68" s="684"/>
      <c r="CZR68" s="684"/>
      <c r="CZS68" s="684"/>
      <c r="CZT68" s="684"/>
      <c r="CZU68" s="684"/>
      <c r="CZV68" s="684"/>
      <c r="CZW68" s="684"/>
      <c r="CZX68" s="684"/>
      <c r="CZY68" s="684"/>
      <c r="CZZ68" s="684"/>
      <c r="DAA68" s="684"/>
      <c r="DAB68" s="684"/>
      <c r="DAC68" s="684"/>
      <c r="DAD68" s="684"/>
      <c r="DAE68" s="684"/>
      <c r="DAF68" s="684"/>
      <c r="DAG68" s="684"/>
      <c r="DAH68" s="684"/>
      <c r="DAI68" s="684"/>
      <c r="DAJ68" s="684"/>
      <c r="DAK68" s="684"/>
      <c r="DAL68" s="684"/>
      <c r="DAM68" s="684"/>
      <c r="DAN68" s="684"/>
      <c r="DAO68" s="684"/>
      <c r="DAP68" s="684"/>
      <c r="DAQ68" s="684"/>
      <c r="DAR68" s="684"/>
      <c r="DAS68" s="684"/>
      <c r="DAT68" s="684"/>
      <c r="DAU68" s="684"/>
      <c r="DAV68" s="684"/>
      <c r="DAW68" s="684"/>
      <c r="DAX68" s="684"/>
      <c r="DAY68" s="684"/>
      <c r="DAZ68" s="684"/>
      <c r="DBA68" s="684"/>
      <c r="DBB68" s="684"/>
      <c r="DBC68" s="684"/>
      <c r="DBD68" s="684"/>
      <c r="DBE68" s="684"/>
      <c r="DBF68" s="684"/>
      <c r="DBG68" s="684"/>
      <c r="DBH68" s="684"/>
      <c r="DBI68" s="684"/>
      <c r="DBJ68" s="684"/>
      <c r="DBK68" s="684"/>
      <c r="DBL68" s="684"/>
      <c r="DBM68" s="684"/>
      <c r="DBN68" s="684"/>
      <c r="DBO68" s="684"/>
      <c r="DBP68" s="684"/>
      <c r="DBQ68" s="684"/>
      <c r="DBR68" s="684"/>
      <c r="DBS68" s="684"/>
      <c r="DBT68" s="684"/>
      <c r="DBU68" s="684"/>
      <c r="DBV68" s="684"/>
      <c r="DBW68" s="684"/>
      <c r="DBX68" s="684"/>
      <c r="DBY68" s="684"/>
      <c r="DBZ68" s="684"/>
      <c r="DCA68" s="684"/>
      <c r="DCB68" s="684"/>
      <c r="DCC68" s="684"/>
      <c r="DCD68" s="684"/>
      <c r="DCE68" s="684"/>
      <c r="DCF68" s="684"/>
      <c r="DCG68" s="684"/>
      <c r="DCH68" s="684"/>
      <c r="DCI68" s="684"/>
      <c r="DCJ68" s="684"/>
      <c r="DCK68" s="684"/>
      <c r="DCL68" s="684"/>
      <c r="DCM68" s="684"/>
      <c r="DCN68" s="684"/>
      <c r="DCO68" s="684"/>
      <c r="DCP68" s="684"/>
      <c r="DCQ68" s="684"/>
      <c r="DCR68" s="684"/>
      <c r="DCS68" s="684"/>
      <c r="DCT68" s="684"/>
      <c r="DCU68" s="684"/>
      <c r="DCV68" s="684"/>
      <c r="DCW68" s="684"/>
      <c r="DCX68" s="684"/>
      <c r="DCY68" s="684"/>
      <c r="DCZ68" s="684"/>
      <c r="DDA68" s="684"/>
      <c r="DDB68" s="684"/>
      <c r="DDC68" s="684"/>
      <c r="DDD68" s="684"/>
      <c r="DDE68" s="684"/>
      <c r="DDF68" s="684"/>
      <c r="DDG68" s="684"/>
      <c r="DDH68" s="684"/>
      <c r="DDI68" s="684"/>
      <c r="DDJ68" s="684"/>
      <c r="DDK68" s="684"/>
      <c r="DDL68" s="684"/>
      <c r="DDM68" s="684"/>
      <c r="DDN68" s="684"/>
      <c r="DDO68" s="684"/>
      <c r="DDP68" s="684"/>
      <c r="DDQ68" s="684"/>
      <c r="DDR68" s="684"/>
      <c r="DDS68" s="684"/>
      <c r="DDT68" s="684"/>
      <c r="DDU68" s="684"/>
      <c r="DDV68" s="684"/>
      <c r="DDW68" s="684"/>
      <c r="DDX68" s="684"/>
      <c r="DDY68" s="684"/>
      <c r="DDZ68" s="684"/>
      <c r="DEA68" s="684"/>
      <c r="DEB68" s="684"/>
      <c r="DEC68" s="684"/>
      <c r="DED68" s="684"/>
      <c r="DEE68" s="684"/>
      <c r="DEF68" s="684"/>
      <c r="DEG68" s="684"/>
      <c r="DEH68" s="684"/>
      <c r="DEI68" s="684"/>
      <c r="DEJ68" s="684"/>
      <c r="DEK68" s="684"/>
      <c r="DEL68" s="684"/>
      <c r="DEM68" s="684"/>
      <c r="DEN68" s="684"/>
      <c r="DEO68" s="684"/>
      <c r="DEP68" s="684"/>
      <c r="DEQ68" s="684"/>
      <c r="DER68" s="684"/>
      <c r="DES68" s="684"/>
      <c r="DET68" s="684"/>
      <c r="DEU68" s="684"/>
      <c r="DEV68" s="684"/>
      <c r="DEW68" s="684"/>
      <c r="DEX68" s="684"/>
      <c r="DEY68" s="684"/>
      <c r="DEZ68" s="684"/>
      <c r="DFA68" s="684"/>
      <c r="DFB68" s="684"/>
      <c r="DFC68" s="684"/>
      <c r="DFD68" s="684"/>
      <c r="DFE68" s="684"/>
      <c r="DFF68" s="684"/>
      <c r="DFG68" s="684"/>
      <c r="DFH68" s="684"/>
      <c r="DFI68" s="684"/>
      <c r="DFJ68" s="684"/>
      <c r="DFK68" s="684"/>
      <c r="DFL68" s="684"/>
      <c r="DFM68" s="684"/>
      <c r="DFN68" s="684"/>
      <c r="DFO68" s="684"/>
      <c r="DFP68" s="684"/>
      <c r="DFQ68" s="684"/>
      <c r="DFR68" s="684"/>
      <c r="DFS68" s="684"/>
      <c r="DFT68" s="684"/>
      <c r="DFU68" s="684"/>
      <c r="DFV68" s="684"/>
      <c r="DFW68" s="684"/>
      <c r="DFX68" s="684"/>
      <c r="DFY68" s="684"/>
      <c r="DFZ68" s="684"/>
      <c r="DGA68" s="684"/>
      <c r="DGB68" s="684"/>
      <c r="DGC68" s="684"/>
      <c r="DGD68" s="684"/>
      <c r="DGE68" s="684"/>
      <c r="DGF68" s="684"/>
      <c r="DGG68" s="684"/>
      <c r="DGH68" s="684"/>
      <c r="DGI68" s="684"/>
      <c r="DGJ68" s="684"/>
      <c r="DGK68" s="684"/>
      <c r="DGL68" s="684"/>
      <c r="DGM68" s="684"/>
      <c r="DGN68" s="684"/>
      <c r="DGO68" s="684"/>
      <c r="DGP68" s="684"/>
      <c r="DGQ68" s="684"/>
      <c r="DGR68" s="684"/>
      <c r="DGS68" s="684"/>
      <c r="DGT68" s="684"/>
      <c r="DGU68" s="684"/>
      <c r="DGV68" s="684"/>
      <c r="DGW68" s="684"/>
      <c r="DGX68" s="684"/>
      <c r="DGY68" s="684"/>
      <c r="DGZ68" s="684"/>
      <c r="DHA68" s="684"/>
      <c r="DHB68" s="684"/>
      <c r="DHC68" s="684"/>
      <c r="DHD68" s="684"/>
      <c r="DHE68" s="684"/>
      <c r="DHF68" s="684"/>
      <c r="DHG68" s="684"/>
      <c r="DHH68" s="684"/>
      <c r="DHI68" s="684"/>
      <c r="DHJ68" s="684"/>
      <c r="DHK68" s="684"/>
      <c r="DHL68" s="684"/>
      <c r="DHM68" s="684"/>
      <c r="DHN68" s="684"/>
      <c r="DHO68" s="684"/>
      <c r="DHP68" s="684"/>
      <c r="DHQ68" s="684"/>
      <c r="DHR68" s="684"/>
      <c r="DHS68" s="684"/>
      <c r="DHT68" s="684"/>
      <c r="DHU68" s="684"/>
      <c r="DHV68" s="684"/>
      <c r="DHW68" s="684"/>
      <c r="DHX68" s="684"/>
      <c r="DHY68" s="684"/>
      <c r="DHZ68" s="684"/>
      <c r="DIA68" s="684"/>
      <c r="DIB68" s="684"/>
      <c r="DIC68" s="684"/>
      <c r="DID68" s="684"/>
      <c r="DIE68" s="684"/>
      <c r="DIF68" s="684"/>
      <c r="DIG68" s="684"/>
      <c r="DIH68" s="684"/>
      <c r="DII68" s="684"/>
      <c r="DIJ68" s="684"/>
      <c r="DIK68" s="684"/>
      <c r="DIL68" s="684"/>
      <c r="DIM68" s="684"/>
      <c r="DIN68" s="684"/>
      <c r="DIO68" s="684"/>
      <c r="DIP68" s="684"/>
      <c r="DIQ68" s="684"/>
      <c r="DIR68" s="684"/>
      <c r="DIS68" s="684"/>
      <c r="DIT68" s="684"/>
      <c r="DIU68" s="684"/>
      <c r="DIV68" s="684"/>
      <c r="DIW68" s="684"/>
      <c r="DIX68" s="684"/>
      <c r="DIY68" s="684"/>
      <c r="DIZ68" s="684"/>
      <c r="DJA68" s="684"/>
      <c r="DJB68" s="684"/>
      <c r="DJC68" s="684"/>
      <c r="DJD68" s="684"/>
      <c r="DJE68" s="684"/>
      <c r="DJF68" s="684"/>
      <c r="DJG68" s="684"/>
      <c r="DJH68" s="684"/>
      <c r="DJI68" s="684"/>
      <c r="DJJ68" s="684"/>
      <c r="DJK68" s="684"/>
      <c r="DJL68" s="684"/>
      <c r="DJM68" s="684"/>
      <c r="DJN68" s="684"/>
      <c r="DJO68" s="684"/>
      <c r="DJP68" s="684"/>
      <c r="DJQ68" s="684"/>
      <c r="DJR68" s="684"/>
      <c r="DJS68" s="684"/>
      <c r="DJT68" s="684"/>
      <c r="DJU68" s="684"/>
      <c r="DJV68" s="684"/>
      <c r="DJW68" s="684"/>
      <c r="DJX68" s="684"/>
      <c r="DJY68" s="684"/>
      <c r="DJZ68" s="684"/>
      <c r="DKA68" s="684"/>
      <c r="DKB68" s="684"/>
      <c r="DKC68" s="684"/>
      <c r="DKD68" s="684"/>
      <c r="DKE68" s="684"/>
      <c r="DKF68" s="684"/>
      <c r="DKG68" s="684"/>
      <c r="DKH68" s="684"/>
      <c r="DKI68" s="684"/>
      <c r="DKJ68" s="684"/>
      <c r="DKK68" s="684"/>
      <c r="DKL68" s="684"/>
      <c r="DKM68" s="684"/>
      <c r="DKN68" s="684"/>
      <c r="DKO68" s="684"/>
      <c r="DKP68" s="684"/>
      <c r="DKQ68" s="684"/>
      <c r="DKR68" s="684"/>
      <c r="DKS68" s="684"/>
      <c r="DKT68" s="684"/>
      <c r="DKU68" s="684"/>
      <c r="DKV68" s="684"/>
      <c r="DKW68" s="684"/>
      <c r="DKX68" s="684"/>
      <c r="DKY68" s="684"/>
      <c r="DKZ68" s="684"/>
      <c r="DLA68" s="684"/>
      <c r="DLB68" s="684"/>
      <c r="DLC68" s="684"/>
      <c r="DLD68" s="684"/>
      <c r="DLE68" s="684"/>
      <c r="DLF68" s="684"/>
      <c r="DLG68" s="684"/>
      <c r="DLH68" s="684"/>
      <c r="DLI68" s="684"/>
      <c r="DLJ68" s="684"/>
      <c r="DLK68" s="684"/>
      <c r="DLL68" s="684"/>
      <c r="DLM68" s="684"/>
      <c r="DLN68" s="684"/>
      <c r="DLO68" s="684"/>
      <c r="DLP68" s="684"/>
      <c r="DLQ68" s="684"/>
      <c r="DLR68" s="684"/>
      <c r="DLS68" s="684"/>
      <c r="DLT68" s="684"/>
      <c r="DLU68" s="684"/>
      <c r="DLV68" s="684"/>
      <c r="DLW68" s="684"/>
      <c r="DLX68" s="684"/>
      <c r="DLY68" s="684"/>
      <c r="DLZ68" s="684"/>
      <c r="DMA68" s="684"/>
      <c r="DMB68" s="684"/>
      <c r="DMC68" s="684"/>
      <c r="DMD68" s="684"/>
      <c r="DME68" s="684"/>
      <c r="DMF68" s="684"/>
      <c r="DMG68" s="684"/>
      <c r="DMH68" s="684"/>
      <c r="DMI68" s="684"/>
      <c r="DMJ68" s="684"/>
      <c r="DMK68" s="684"/>
      <c r="DML68" s="684"/>
      <c r="DMM68" s="684"/>
      <c r="DMN68" s="684"/>
      <c r="DMO68" s="684"/>
      <c r="DMP68" s="684"/>
      <c r="DMQ68" s="684"/>
      <c r="DMR68" s="684"/>
      <c r="DMS68" s="684"/>
      <c r="DMT68" s="684"/>
      <c r="DMU68" s="684"/>
      <c r="DMV68" s="684"/>
      <c r="DMW68" s="684"/>
      <c r="DMX68" s="684"/>
      <c r="DMY68" s="684"/>
      <c r="DMZ68" s="684"/>
      <c r="DNA68" s="684"/>
      <c r="DNB68" s="684"/>
      <c r="DNC68" s="684"/>
      <c r="DND68" s="684"/>
      <c r="DNE68" s="684"/>
      <c r="DNF68" s="684"/>
      <c r="DNG68" s="684"/>
      <c r="DNH68" s="684"/>
      <c r="DNI68" s="684"/>
      <c r="DNJ68" s="684"/>
      <c r="DNK68" s="684"/>
      <c r="DNL68" s="684"/>
      <c r="DNM68" s="684"/>
      <c r="DNN68" s="684"/>
      <c r="DNO68" s="684"/>
      <c r="DNP68" s="684"/>
      <c r="DNQ68" s="684"/>
      <c r="DNR68" s="684"/>
      <c r="DNS68" s="684"/>
      <c r="DNT68" s="684"/>
      <c r="DNU68" s="684"/>
      <c r="DNV68" s="684"/>
      <c r="DNW68" s="684"/>
      <c r="DNX68" s="684"/>
      <c r="DNY68" s="684"/>
      <c r="DNZ68" s="684"/>
      <c r="DOA68" s="684"/>
      <c r="DOB68" s="684"/>
      <c r="DOC68" s="684"/>
      <c r="DOD68" s="684"/>
      <c r="DOE68" s="684"/>
      <c r="DOF68" s="684"/>
      <c r="DOG68" s="684"/>
      <c r="DOH68" s="684"/>
      <c r="DOI68" s="684"/>
      <c r="DOJ68" s="684"/>
      <c r="DOK68" s="684"/>
      <c r="DOL68" s="684"/>
      <c r="DOM68" s="684"/>
      <c r="DON68" s="684"/>
      <c r="DOO68" s="684"/>
      <c r="DOP68" s="684"/>
      <c r="DOQ68" s="684"/>
      <c r="DOR68" s="684"/>
      <c r="DOS68" s="684"/>
      <c r="DOT68" s="684"/>
      <c r="DOU68" s="684"/>
      <c r="DOV68" s="684"/>
      <c r="DOW68" s="684"/>
      <c r="DOX68" s="684"/>
      <c r="DOY68" s="684"/>
      <c r="DOZ68" s="684"/>
      <c r="DPA68" s="684"/>
      <c r="DPB68" s="684"/>
      <c r="DPC68" s="684"/>
      <c r="DPD68" s="684"/>
      <c r="DPE68" s="684"/>
      <c r="DPF68" s="684"/>
      <c r="DPG68" s="684"/>
      <c r="DPH68" s="684"/>
      <c r="DPI68" s="684"/>
      <c r="DPJ68" s="684"/>
      <c r="DPK68" s="684"/>
      <c r="DPL68" s="684"/>
      <c r="DPM68" s="684"/>
      <c r="DPN68" s="684"/>
      <c r="DPO68" s="684"/>
      <c r="DPP68" s="684"/>
      <c r="DPQ68" s="684"/>
      <c r="DPR68" s="684"/>
      <c r="DPS68" s="684"/>
      <c r="DPT68" s="684"/>
      <c r="DPU68" s="684"/>
      <c r="DPV68" s="684"/>
      <c r="DPW68" s="684"/>
      <c r="DPX68" s="684"/>
      <c r="DPY68" s="684"/>
      <c r="DPZ68" s="684"/>
      <c r="DQA68" s="684"/>
      <c r="DQB68" s="684"/>
      <c r="DQC68" s="684"/>
      <c r="DQD68" s="684"/>
      <c r="DQE68" s="684"/>
      <c r="DQF68" s="684"/>
      <c r="DQG68" s="684"/>
      <c r="DQH68" s="684"/>
      <c r="DQI68" s="684"/>
      <c r="DQJ68" s="684"/>
      <c r="DQK68" s="684"/>
      <c r="DQL68" s="684"/>
      <c r="DQM68" s="684"/>
      <c r="DQN68" s="684"/>
      <c r="DQO68" s="684"/>
      <c r="DQP68" s="684"/>
      <c r="DQQ68" s="684"/>
      <c r="DQR68" s="684"/>
      <c r="DQS68" s="684"/>
      <c r="DQT68" s="684"/>
      <c r="DQU68" s="684"/>
      <c r="DQV68" s="684"/>
      <c r="DQW68" s="684"/>
      <c r="DQX68" s="684"/>
      <c r="DQY68" s="684"/>
      <c r="DQZ68" s="684"/>
      <c r="DRA68" s="684"/>
      <c r="DRB68" s="684"/>
      <c r="DRC68" s="684"/>
      <c r="DRD68" s="684"/>
      <c r="DRE68" s="684"/>
      <c r="DRF68" s="684"/>
      <c r="DRG68" s="684"/>
      <c r="DRH68" s="684"/>
      <c r="DRI68" s="684"/>
      <c r="DRJ68" s="684"/>
      <c r="DRK68" s="684"/>
      <c r="DRL68" s="684"/>
      <c r="DRM68" s="684"/>
      <c r="DRN68" s="684"/>
      <c r="DRO68" s="684"/>
      <c r="DRP68" s="684"/>
      <c r="DRQ68" s="684"/>
      <c r="DRR68" s="684"/>
      <c r="DRS68" s="684"/>
      <c r="DRT68" s="684"/>
      <c r="DRU68" s="684"/>
      <c r="DRV68" s="684"/>
      <c r="DRW68" s="684"/>
      <c r="DRX68" s="684"/>
      <c r="DRY68" s="684"/>
      <c r="DRZ68" s="684"/>
      <c r="DSA68" s="684"/>
      <c r="DSB68" s="684"/>
      <c r="DSC68" s="684"/>
      <c r="DSD68" s="684"/>
      <c r="DSE68" s="684"/>
      <c r="DSF68" s="684"/>
      <c r="DSG68" s="684"/>
      <c r="DSH68" s="684"/>
      <c r="DSI68" s="684"/>
      <c r="DSJ68" s="684"/>
      <c r="DSK68" s="684"/>
      <c r="DSL68" s="684"/>
      <c r="DSM68" s="684"/>
      <c r="DSN68" s="684"/>
      <c r="DSO68" s="684"/>
      <c r="DSP68" s="684"/>
      <c r="DSQ68" s="684"/>
      <c r="DSR68" s="684"/>
      <c r="DSS68" s="684"/>
      <c r="DST68" s="684"/>
      <c r="DSU68" s="684"/>
      <c r="DSV68" s="684"/>
      <c r="DSW68" s="684"/>
      <c r="DSX68" s="684"/>
      <c r="DSY68" s="684"/>
      <c r="DSZ68" s="684"/>
      <c r="DTA68" s="684"/>
      <c r="DTB68" s="684"/>
      <c r="DTC68" s="684"/>
      <c r="DTD68" s="684"/>
      <c r="DTE68" s="684"/>
      <c r="DTF68" s="684"/>
      <c r="DTG68" s="684"/>
      <c r="DTH68" s="684"/>
      <c r="DTI68" s="684"/>
      <c r="DTJ68" s="684"/>
      <c r="DTK68" s="684"/>
      <c r="DTL68" s="684"/>
      <c r="DTM68" s="684"/>
      <c r="DTN68" s="684"/>
      <c r="DTO68" s="684"/>
      <c r="DTP68" s="684"/>
      <c r="DTQ68" s="684"/>
      <c r="DTR68" s="684"/>
      <c r="DTS68" s="684"/>
      <c r="DTT68" s="684"/>
      <c r="DTU68" s="684"/>
      <c r="DTV68" s="684"/>
      <c r="DTW68" s="684"/>
      <c r="DTX68" s="684"/>
      <c r="DTY68" s="684"/>
      <c r="DTZ68" s="684"/>
      <c r="DUA68" s="684"/>
      <c r="DUB68" s="684"/>
      <c r="DUC68" s="684"/>
      <c r="DUD68" s="684"/>
      <c r="DUE68" s="684"/>
      <c r="DUF68" s="684"/>
      <c r="DUG68" s="684"/>
      <c r="DUH68" s="684"/>
      <c r="DUI68" s="684"/>
      <c r="DUJ68" s="684"/>
      <c r="DUK68" s="684"/>
      <c r="DUL68" s="684"/>
      <c r="DUM68" s="684"/>
      <c r="DUN68" s="684"/>
      <c r="DUO68" s="684"/>
      <c r="DUP68" s="684"/>
      <c r="DUQ68" s="684"/>
      <c r="DUR68" s="684"/>
      <c r="DUS68" s="684"/>
      <c r="DUT68" s="684"/>
      <c r="DUU68" s="684"/>
      <c r="DUV68" s="684"/>
      <c r="DUW68" s="684"/>
      <c r="DUX68" s="684"/>
      <c r="DUY68" s="684"/>
      <c r="DUZ68" s="684"/>
      <c r="DVA68" s="684"/>
      <c r="DVB68" s="684"/>
      <c r="DVC68" s="684"/>
      <c r="DVD68" s="684"/>
      <c r="DVE68" s="684"/>
      <c r="DVF68" s="684"/>
      <c r="DVG68" s="684"/>
      <c r="DVH68" s="684"/>
      <c r="DVI68" s="684"/>
      <c r="DVJ68" s="684"/>
      <c r="DVK68" s="684"/>
      <c r="DVL68" s="684"/>
      <c r="DVM68" s="684"/>
      <c r="DVN68" s="684"/>
      <c r="DVO68" s="684"/>
      <c r="DVP68" s="684"/>
      <c r="DVQ68" s="684"/>
      <c r="DVR68" s="684"/>
      <c r="DVS68" s="684"/>
      <c r="DVT68" s="684"/>
      <c r="DVU68" s="684"/>
      <c r="DVV68" s="684"/>
      <c r="DVW68" s="684"/>
      <c r="DVX68" s="684"/>
      <c r="DVY68" s="684"/>
      <c r="DVZ68" s="684"/>
      <c r="DWA68" s="684"/>
      <c r="DWB68" s="684"/>
      <c r="DWC68" s="684"/>
      <c r="DWD68" s="684"/>
      <c r="DWE68" s="684"/>
      <c r="DWF68" s="684"/>
      <c r="DWG68" s="684"/>
      <c r="DWH68" s="684"/>
      <c r="DWI68" s="684"/>
      <c r="DWJ68" s="684"/>
      <c r="DWK68" s="684"/>
      <c r="DWL68" s="684"/>
      <c r="DWM68" s="684"/>
      <c r="DWN68" s="684"/>
      <c r="DWO68" s="684"/>
      <c r="DWP68" s="684"/>
      <c r="DWQ68" s="684"/>
      <c r="DWR68" s="684"/>
      <c r="DWS68" s="684"/>
      <c r="DWT68" s="684"/>
      <c r="DWU68" s="684"/>
      <c r="DWV68" s="684"/>
      <c r="DWW68" s="684"/>
      <c r="DWX68" s="684"/>
      <c r="DWY68" s="684"/>
      <c r="DWZ68" s="684"/>
      <c r="DXA68" s="684"/>
      <c r="DXB68" s="684"/>
      <c r="DXC68" s="684"/>
      <c r="DXD68" s="684"/>
      <c r="DXE68" s="684"/>
      <c r="DXF68" s="684"/>
      <c r="DXG68" s="684"/>
      <c r="DXH68" s="684"/>
      <c r="DXI68" s="684"/>
      <c r="DXJ68" s="684"/>
      <c r="DXK68" s="684"/>
      <c r="DXL68" s="684"/>
      <c r="DXM68" s="684"/>
      <c r="DXN68" s="684"/>
      <c r="DXO68" s="684"/>
      <c r="DXP68" s="684"/>
      <c r="DXQ68" s="684"/>
      <c r="DXR68" s="684"/>
      <c r="DXS68" s="684"/>
      <c r="DXT68" s="684"/>
      <c r="DXU68" s="684"/>
      <c r="DXV68" s="684"/>
      <c r="DXW68" s="684"/>
      <c r="DXX68" s="684"/>
      <c r="DXY68" s="684"/>
      <c r="DXZ68" s="684"/>
      <c r="DYA68" s="684"/>
      <c r="DYB68" s="684"/>
      <c r="DYC68" s="684"/>
      <c r="DYD68" s="684"/>
      <c r="DYE68" s="684"/>
      <c r="DYF68" s="684"/>
      <c r="DYG68" s="684"/>
      <c r="DYH68" s="684"/>
      <c r="DYI68" s="684"/>
      <c r="DYJ68" s="684"/>
      <c r="DYK68" s="684"/>
      <c r="DYL68" s="684"/>
      <c r="DYM68" s="684"/>
      <c r="DYN68" s="684"/>
      <c r="DYO68" s="684"/>
      <c r="DYP68" s="684"/>
      <c r="DYQ68" s="684"/>
      <c r="DYR68" s="684"/>
      <c r="DYS68" s="684"/>
      <c r="DYT68" s="684"/>
      <c r="DYU68" s="684"/>
      <c r="DYV68" s="684"/>
      <c r="DYW68" s="684"/>
      <c r="DYX68" s="684"/>
      <c r="DYY68" s="684"/>
      <c r="DYZ68" s="684"/>
      <c r="DZA68" s="684"/>
      <c r="DZB68" s="684"/>
      <c r="DZC68" s="684"/>
      <c r="DZD68" s="684"/>
      <c r="DZE68" s="684"/>
      <c r="DZF68" s="684"/>
      <c r="DZG68" s="684"/>
      <c r="DZH68" s="684"/>
      <c r="DZI68" s="684"/>
      <c r="DZJ68" s="684"/>
      <c r="DZK68" s="684"/>
      <c r="DZL68" s="684"/>
      <c r="DZM68" s="684"/>
      <c r="DZN68" s="684"/>
      <c r="DZO68" s="684"/>
      <c r="DZP68" s="684"/>
      <c r="DZQ68" s="684"/>
      <c r="DZR68" s="684"/>
      <c r="DZS68" s="684"/>
      <c r="DZT68" s="684"/>
      <c r="DZU68" s="684"/>
      <c r="DZV68" s="684"/>
      <c r="DZW68" s="684"/>
      <c r="DZX68" s="684"/>
      <c r="DZY68" s="684"/>
      <c r="DZZ68" s="684"/>
      <c r="EAA68" s="684"/>
      <c r="EAB68" s="684"/>
      <c r="EAC68" s="684"/>
      <c r="EAD68" s="684"/>
      <c r="EAE68" s="684"/>
      <c r="EAF68" s="684"/>
      <c r="EAG68" s="684"/>
      <c r="EAH68" s="684"/>
      <c r="EAI68" s="684"/>
      <c r="EAJ68" s="684"/>
      <c r="EAK68" s="684"/>
      <c r="EAL68" s="684"/>
      <c r="EAM68" s="684"/>
      <c r="EAN68" s="684"/>
      <c r="EAO68" s="684"/>
      <c r="EAP68" s="684"/>
      <c r="EAQ68" s="684"/>
      <c r="EAR68" s="684"/>
      <c r="EAS68" s="684"/>
      <c r="EAT68" s="684"/>
      <c r="EAU68" s="684"/>
      <c r="EAV68" s="684"/>
      <c r="EAW68" s="684"/>
      <c r="EAX68" s="684"/>
      <c r="EAY68" s="684"/>
      <c r="EAZ68" s="684"/>
      <c r="EBA68" s="684"/>
      <c r="EBB68" s="684"/>
      <c r="EBC68" s="684"/>
      <c r="EBD68" s="684"/>
      <c r="EBE68" s="684"/>
      <c r="EBF68" s="684"/>
      <c r="EBG68" s="684"/>
      <c r="EBH68" s="684"/>
      <c r="EBI68" s="684"/>
      <c r="EBJ68" s="684"/>
      <c r="EBK68" s="684"/>
      <c r="EBL68" s="684"/>
      <c r="EBM68" s="684"/>
      <c r="EBN68" s="684"/>
      <c r="EBO68" s="684"/>
      <c r="EBP68" s="684"/>
      <c r="EBQ68" s="684"/>
      <c r="EBR68" s="684"/>
      <c r="EBS68" s="684"/>
      <c r="EBT68" s="684"/>
      <c r="EBU68" s="684"/>
      <c r="EBV68" s="684"/>
      <c r="EBW68" s="684"/>
      <c r="EBX68" s="684"/>
      <c r="EBY68" s="684"/>
      <c r="EBZ68" s="684"/>
      <c r="ECA68" s="684"/>
      <c r="ECB68" s="684"/>
      <c r="ECC68" s="684"/>
      <c r="ECD68" s="684"/>
      <c r="ECE68" s="684"/>
      <c r="ECF68" s="684"/>
      <c r="ECG68" s="684"/>
      <c r="ECH68" s="684"/>
      <c r="ECI68" s="684"/>
      <c r="ECJ68" s="684"/>
      <c r="ECK68" s="684"/>
      <c r="ECL68" s="684"/>
      <c r="ECM68" s="684"/>
      <c r="ECN68" s="684"/>
      <c r="ECO68" s="684"/>
      <c r="ECP68" s="684"/>
      <c r="ECQ68" s="684"/>
      <c r="ECR68" s="684"/>
      <c r="ECS68" s="684"/>
      <c r="ECT68" s="684"/>
      <c r="ECU68" s="684"/>
      <c r="ECV68" s="684"/>
      <c r="ECW68" s="684"/>
      <c r="ECX68" s="684"/>
      <c r="ECY68" s="684"/>
      <c r="ECZ68" s="684"/>
      <c r="EDA68" s="684"/>
      <c r="EDB68" s="684"/>
      <c r="EDC68" s="684"/>
      <c r="EDD68" s="684"/>
      <c r="EDE68" s="684"/>
      <c r="EDF68" s="684"/>
      <c r="EDG68" s="684"/>
      <c r="EDH68" s="684"/>
      <c r="EDI68" s="684"/>
      <c r="EDJ68" s="684"/>
      <c r="EDK68" s="684"/>
      <c r="EDL68" s="684"/>
      <c r="EDM68" s="684"/>
      <c r="EDN68" s="684"/>
      <c r="EDO68" s="684"/>
      <c r="EDP68" s="684"/>
      <c r="EDQ68" s="684"/>
      <c r="EDR68" s="684"/>
      <c r="EDS68" s="684"/>
      <c r="EDT68" s="684"/>
      <c r="EDU68" s="684"/>
      <c r="EDV68" s="684"/>
      <c r="EDW68" s="684"/>
      <c r="EDX68" s="684"/>
      <c r="EDY68" s="684"/>
      <c r="EDZ68" s="684"/>
      <c r="EEA68" s="684"/>
      <c r="EEB68" s="684"/>
      <c r="EEC68" s="684"/>
      <c r="EED68" s="684"/>
      <c r="EEE68" s="684"/>
      <c r="EEF68" s="684"/>
      <c r="EEG68" s="684"/>
      <c r="EEH68" s="684"/>
      <c r="EEI68" s="684"/>
      <c r="EEJ68" s="684"/>
      <c r="EEK68" s="684"/>
      <c r="EEL68" s="684"/>
      <c r="EEM68" s="684"/>
      <c r="EEN68" s="684"/>
      <c r="EEO68" s="684"/>
      <c r="EEP68" s="684"/>
      <c r="EEQ68" s="684"/>
      <c r="EER68" s="684"/>
      <c r="EES68" s="684"/>
      <c r="EET68" s="684"/>
      <c r="EEU68" s="684"/>
      <c r="EEV68" s="684"/>
      <c r="EEW68" s="684"/>
      <c r="EEX68" s="684"/>
      <c r="EEY68" s="684"/>
      <c r="EEZ68" s="684"/>
      <c r="EFA68" s="684"/>
      <c r="EFB68" s="684"/>
      <c r="EFC68" s="684"/>
      <c r="EFD68" s="684"/>
      <c r="EFE68" s="684"/>
      <c r="EFF68" s="684"/>
      <c r="EFG68" s="684"/>
      <c r="EFH68" s="684"/>
      <c r="EFI68" s="684"/>
      <c r="EFJ68" s="684"/>
      <c r="EFK68" s="684"/>
      <c r="EFL68" s="684"/>
      <c r="EFM68" s="684"/>
      <c r="EFN68" s="684"/>
      <c r="EFO68" s="684"/>
      <c r="EFP68" s="684"/>
      <c r="EFQ68" s="684"/>
      <c r="EFR68" s="684"/>
      <c r="EFS68" s="684"/>
      <c r="EFT68" s="684"/>
      <c r="EFU68" s="684"/>
      <c r="EFV68" s="684"/>
      <c r="EFW68" s="684"/>
      <c r="EFX68" s="684"/>
      <c r="EFY68" s="684"/>
      <c r="EFZ68" s="684"/>
      <c r="EGA68" s="684"/>
      <c r="EGB68" s="684"/>
      <c r="EGC68" s="684"/>
      <c r="EGD68" s="684"/>
      <c r="EGE68" s="684"/>
      <c r="EGF68" s="684"/>
      <c r="EGG68" s="684"/>
      <c r="EGH68" s="684"/>
      <c r="EGI68" s="684"/>
      <c r="EGJ68" s="684"/>
      <c r="EGK68" s="684"/>
      <c r="EGL68" s="684"/>
      <c r="EGM68" s="684"/>
      <c r="EGN68" s="684"/>
      <c r="EGO68" s="684"/>
      <c r="EGP68" s="684"/>
      <c r="EGQ68" s="684"/>
      <c r="EGR68" s="684"/>
      <c r="EGS68" s="684"/>
      <c r="EGT68" s="684"/>
      <c r="EGU68" s="684"/>
      <c r="EGV68" s="684"/>
      <c r="EGW68" s="684"/>
      <c r="EGX68" s="684"/>
      <c r="EGY68" s="684"/>
      <c r="EGZ68" s="684"/>
      <c r="EHA68" s="684"/>
      <c r="EHB68" s="684"/>
      <c r="EHC68" s="684"/>
      <c r="EHD68" s="684"/>
      <c r="EHE68" s="684"/>
      <c r="EHF68" s="684"/>
      <c r="EHG68" s="684"/>
      <c r="EHH68" s="684"/>
      <c r="EHI68" s="684"/>
      <c r="EHJ68" s="684"/>
      <c r="EHK68" s="684"/>
      <c r="EHL68" s="684"/>
      <c r="EHM68" s="684"/>
      <c r="EHN68" s="684"/>
      <c r="EHO68" s="684"/>
      <c r="EHP68" s="684"/>
      <c r="EHQ68" s="684"/>
      <c r="EHR68" s="684"/>
      <c r="EHS68" s="684"/>
      <c r="EHT68" s="684"/>
      <c r="EHU68" s="684"/>
      <c r="EHV68" s="684"/>
      <c r="EHW68" s="684"/>
      <c r="EHX68" s="684"/>
      <c r="EHY68" s="684"/>
      <c r="EHZ68" s="684"/>
      <c r="EIA68" s="684"/>
      <c r="EIB68" s="684"/>
      <c r="EIC68" s="684"/>
      <c r="EID68" s="684"/>
      <c r="EIE68" s="684"/>
      <c r="EIF68" s="684"/>
      <c r="EIG68" s="684"/>
      <c r="EIH68" s="684"/>
      <c r="EII68" s="684"/>
      <c r="EIJ68" s="684"/>
      <c r="EIK68" s="684"/>
      <c r="EIL68" s="684"/>
      <c r="EIM68" s="684"/>
      <c r="EIN68" s="684"/>
      <c r="EIO68" s="684"/>
      <c r="EIP68" s="684"/>
      <c r="EIQ68" s="684"/>
      <c r="EIR68" s="684"/>
      <c r="EIS68" s="684"/>
      <c r="EIT68" s="684"/>
      <c r="EIU68" s="684"/>
      <c r="EIV68" s="684"/>
      <c r="EIW68" s="684"/>
      <c r="EIX68" s="684"/>
      <c r="EIY68" s="684"/>
      <c r="EIZ68" s="684"/>
      <c r="EJA68" s="684"/>
      <c r="EJB68" s="684"/>
      <c r="EJC68" s="684"/>
      <c r="EJD68" s="684"/>
      <c r="EJE68" s="684"/>
      <c r="EJF68" s="684"/>
      <c r="EJG68" s="684"/>
      <c r="EJH68" s="684"/>
      <c r="EJI68" s="684"/>
      <c r="EJJ68" s="684"/>
      <c r="EJK68" s="684"/>
      <c r="EJL68" s="684"/>
      <c r="EJM68" s="684"/>
      <c r="EJN68" s="684"/>
      <c r="EJO68" s="684"/>
      <c r="EJP68" s="684"/>
      <c r="EJQ68" s="684"/>
      <c r="EJR68" s="684"/>
      <c r="EJS68" s="684"/>
      <c r="EJT68" s="684"/>
      <c r="EJU68" s="684"/>
      <c r="EJV68" s="684"/>
      <c r="EJW68" s="684"/>
      <c r="EJX68" s="684"/>
      <c r="EJY68" s="684"/>
      <c r="EJZ68" s="684"/>
      <c r="EKA68" s="684"/>
      <c r="EKB68" s="684"/>
      <c r="EKC68" s="684"/>
      <c r="EKD68" s="684"/>
      <c r="EKE68" s="684"/>
      <c r="EKF68" s="684"/>
      <c r="EKG68" s="684"/>
      <c r="EKH68" s="684"/>
      <c r="EKI68" s="684"/>
      <c r="EKJ68" s="684"/>
      <c r="EKK68" s="684"/>
      <c r="EKL68" s="684"/>
      <c r="EKM68" s="684"/>
      <c r="EKN68" s="684"/>
      <c r="EKO68" s="684"/>
      <c r="EKP68" s="684"/>
      <c r="EKQ68" s="684"/>
      <c r="EKR68" s="684"/>
      <c r="EKS68" s="684"/>
      <c r="EKT68" s="684"/>
      <c r="EKU68" s="684"/>
      <c r="EKV68" s="684"/>
      <c r="EKW68" s="684"/>
      <c r="EKX68" s="684"/>
      <c r="EKY68" s="684"/>
      <c r="EKZ68" s="684"/>
      <c r="ELA68" s="684"/>
      <c r="ELB68" s="684"/>
      <c r="ELC68" s="684"/>
      <c r="ELD68" s="684"/>
      <c r="ELE68" s="684"/>
      <c r="ELF68" s="684"/>
      <c r="ELG68" s="684"/>
      <c r="ELH68" s="684"/>
      <c r="ELI68" s="684"/>
      <c r="ELJ68" s="684"/>
      <c r="ELK68" s="684"/>
      <c r="ELL68" s="684"/>
      <c r="ELM68" s="684"/>
      <c r="ELN68" s="684"/>
      <c r="ELO68" s="684"/>
      <c r="ELP68" s="684"/>
      <c r="ELQ68" s="684"/>
      <c r="ELR68" s="684"/>
      <c r="ELS68" s="684"/>
      <c r="ELT68" s="684"/>
      <c r="ELU68" s="684"/>
      <c r="ELV68" s="684"/>
      <c r="ELW68" s="684"/>
      <c r="ELX68" s="684"/>
      <c r="ELY68" s="684"/>
      <c r="ELZ68" s="684"/>
      <c r="EMA68" s="684"/>
      <c r="EMB68" s="684"/>
      <c r="EMC68" s="684"/>
      <c r="EMD68" s="684"/>
      <c r="EME68" s="684"/>
      <c r="EMF68" s="684"/>
      <c r="EMG68" s="684"/>
      <c r="EMH68" s="684"/>
      <c r="EMI68" s="684"/>
      <c r="EMJ68" s="684"/>
      <c r="EMK68" s="684"/>
      <c r="EML68" s="684"/>
      <c r="EMM68" s="684"/>
      <c r="EMN68" s="684"/>
      <c r="EMO68" s="684"/>
      <c r="EMP68" s="684"/>
      <c r="EMQ68" s="684"/>
      <c r="EMR68" s="684"/>
      <c r="EMS68" s="684"/>
      <c r="EMT68" s="684"/>
      <c r="EMU68" s="684"/>
      <c r="EMV68" s="684"/>
      <c r="EMW68" s="684"/>
      <c r="EMX68" s="684"/>
      <c r="EMY68" s="684"/>
      <c r="EMZ68" s="684"/>
      <c r="ENA68" s="684"/>
      <c r="ENB68" s="684"/>
      <c r="ENC68" s="684"/>
      <c r="END68" s="684"/>
      <c r="ENE68" s="684"/>
      <c r="ENF68" s="684"/>
      <c r="ENG68" s="684"/>
      <c r="ENH68" s="684"/>
      <c r="ENI68" s="684"/>
      <c r="ENJ68" s="684"/>
      <c r="ENK68" s="684"/>
      <c r="ENL68" s="684"/>
      <c r="ENM68" s="684"/>
      <c r="ENN68" s="684"/>
      <c r="ENO68" s="684"/>
      <c r="ENP68" s="684"/>
      <c r="ENQ68" s="684"/>
      <c r="ENR68" s="684"/>
      <c r="ENS68" s="684"/>
      <c r="ENT68" s="684"/>
      <c r="ENU68" s="684"/>
      <c r="ENV68" s="684"/>
      <c r="ENW68" s="684"/>
      <c r="ENX68" s="684"/>
      <c r="ENY68" s="684"/>
      <c r="ENZ68" s="684"/>
      <c r="EOA68" s="684"/>
      <c r="EOB68" s="684"/>
      <c r="EOC68" s="684"/>
      <c r="EOD68" s="684"/>
      <c r="EOE68" s="684"/>
      <c r="EOF68" s="684"/>
      <c r="EOG68" s="684"/>
      <c r="EOH68" s="684"/>
      <c r="EOI68" s="684"/>
      <c r="EOJ68" s="684"/>
      <c r="EOK68" s="684"/>
      <c r="EOL68" s="684"/>
      <c r="EOM68" s="684"/>
      <c r="EON68" s="684"/>
      <c r="EOO68" s="684"/>
      <c r="EOP68" s="684"/>
      <c r="EOQ68" s="684"/>
      <c r="EOR68" s="684"/>
      <c r="EOS68" s="684"/>
      <c r="EOT68" s="684"/>
      <c r="EOU68" s="684"/>
      <c r="EOV68" s="684"/>
      <c r="EOW68" s="684"/>
      <c r="EOX68" s="684"/>
      <c r="EOY68" s="684"/>
      <c r="EOZ68" s="684"/>
      <c r="EPA68" s="684"/>
      <c r="EPB68" s="684"/>
      <c r="EPC68" s="684"/>
      <c r="EPD68" s="684"/>
      <c r="EPE68" s="684"/>
      <c r="EPF68" s="684"/>
      <c r="EPG68" s="684"/>
      <c r="EPH68" s="684"/>
      <c r="EPI68" s="684"/>
      <c r="EPJ68" s="684"/>
      <c r="EPK68" s="684"/>
      <c r="EPL68" s="684"/>
      <c r="EPM68" s="684"/>
      <c r="EPN68" s="684"/>
      <c r="EPO68" s="684"/>
      <c r="EPP68" s="684"/>
      <c r="EPQ68" s="684"/>
      <c r="EPR68" s="684"/>
      <c r="EPS68" s="684"/>
      <c r="EPT68" s="684"/>
      <c r="EPU68" s="684"/>
      <c r="EPV68" s="684"/>
      <c r="EPW68" s="684"/>
      <c r="EPX68" s="684"/>
      <c r="EPY68" s="684"/>
      <c r="EPZ68" s="684"/>
      <c r="EQA68" s="684"/>
      <c r="EQB68" s="684"/>
      <c r="EQC68" s="684"/>
      <c r="EQD68" s="684"/>
      <c r="EQE68" s="684"/>
      <c r="EQF68" s="684"/>
      <c r="EQG68" s="684"/>
      <c r="EQH68" s="684"/>
      <c r="EQI68" s="684"/>
      <c r="EQJ68" s="684"/>
      <c r="EQK68" s="684"/>
      <c r="EQL68" s="684"/>
      <c r="EQM68" s="684"/>
      <c r="EQN68" s="684"/>
      <c r="EQO68" s="684"/>
      <c r="EQP68" s="684"/>
      <c r="EQQ68" s="684"/>
      <c r="EQR68" s="684"/>
      <c r="EQS68" s="684"/>
      <c r="EQT68" s="684"/>
      <c r="EQU68" s="684"/>
      <c r="EQV68" s="684"/>
      <c r="EQW68" s="684"/>
      <c r="EQX68" s="684"/>
      <c r="EQY68" s="684"/>
      <c r="EQZ68" s="684"/>
      <c r="ERA68" s="684"/>
      <c r="ERB68" s="684"/>
      <c r="ERC68" s="684"/>
      <c r="ERD68" s="684"/>
      <c r="ERE68" s="684"/>
      <c r="ERF68" s="684"/>
      <c r="ERG68" s="684"/>
      <c r="ERH68" s="684"/>
      <c r="ERI68" s="684"/>
      <c r="ERJ68" s="684"/>
      <c r="ERK68" s="684"/>
      <c r="ERL68" s="684"/>
      <c r="ERM68" s="684"/>
      <c r="ERN68" s="684"/>
      <c r="ERO68" s="684"/>
      <c r="ERP68" s="684"/>
      <c r="ERQ68" s="684"/>
      <c r="ERR68" s="684"/>
      <c r="ERS68" s="684"/>
      <c r="ERT68" s="684"/>
      <c r="ERU68" s="684"/>
      <c r="ERV68" s="684"/>
      <c r="ERW68" s="684"/>
      <c r="ERX68" s="684"/>
      <c r="ERY68" s="684"/>
      <c r="ERZ68" s="684"/>
      <c r="ESA68" s="684"/>
      <c r="ESB68" s="684"/>
      <c r="ESC68" s="684"/>
      <c r="ESD68" s="684"/>
      <c r="ESE68" s="684"/>
      <c r="ESF68" s="684"/>
      <c r="ESG68" s="684"/>
      <c r="ESH68" s="684"/>
      <c r="ESI68" s="684"/>
      <c r="ESJ68" s="684"/>
      <c r="ESK68" s="684"/>
      <c r="ESL68" s="684"/>
      <c r="ESM68" s="684"/>
      <c r="ESN68" s="684"/>
      <c r="ESO68" s="684"/>
      <c r="ESP68" s="684"/>
      <c r="ESQ68" s="684"/>
      <c r="ESR68" s="684"/>
      <c r="ESS68" s="684"/>
      <c r="EST68" s="684"/>
      <c r="ESU68" s="684"/>
      <c r="ESV68" s="684"/>
      <c r="ESW68" s="684"/>
      <c r="ESX68" s="684"/>
      <c r="ESY68" s="684"/>
      <c r="ESZ68" s="684"/>
      <c r="ETA68" s="684"/>
      <c r="ETB68" s="684"/>
      <c r="ETC68" s="684"/>
      <c r="ETD68" s="684"/>
      <c r="ETE68" s="684"/>
      <c r="ETF68" s="684"/>
      <c r="ETG68" s="684"/>
      <c r="ETH68" s="684"/>
      <c r="ETI68" s="684"/>
      <c r="ETJ68" s="684"/>
      <c r="ETK68" s="684"/>
      <c r="ETL68" s="684"/>
      <c r="ETM68" s="684"/>
      <c r="ETN68" s="684"/>
      <c r="ETO68" s="684"/>
      <c r="ETP68" s="684"/>
      <c r="ETQ68" s="684"/>
      <c r="ETR68" s="684"/>
      <c r="ETS68" s="684"/>
      <c r="ETT68" s="684"/>
      <c r="ETU68" s="684"/>
      <c r="ETV68" s="684"/>
      <c r="ETW68" s="684"/>
      <c r="ETX68" s="684"/>
      <c r="ETY68" s="684"/>
      <c r="ETZ68" s="684"/>
      <c r="EUA68" s="684"/>
      <c r="EUB68" s="684"/>
      <c r="EUC68" s="684"/>
      <c r="EUD68" s="684"/>
      <c r="EUE68" s="684"/>
      <c r="EUF68" s="684"/>
      <c r="EUG68" s="684"/>
      <c r="EUH68" s="684"/>
      <c r="EUI68" s="684"/>
      <c r="EUJ68" s="684"/>
      <c r="EUK68" s="684"/>
      <c r="EUL68" s="684"/>
      <c r="EUM68" s="684"/>
      <c r="EUN68" s="684"/>
      <c r="EUO68" s="684"/>
      <c r="EUP68" s="684"/>
      <c r="EUQ68" s="684"/>
      <c r="EUR68" s="684"/>
      <c r="EUS68" s="684"/>
      <c r="EUT68" s="684"/>
      <c r="EUU68" s="684"/>
      <c r="EUV68" s="684"/>
      <c r="EUW68" s="684"/>
      <c r="EUX68" s="684"/>
      <c r="EUY68" s="684"/>
      <c r="EUZ68" s="684"/>
      <c r="EVA68" s="684"/>
      <c r="EVB68" s="684"/>
      <c r="EVC68" s="684"/>
      <c r="EVD68" s="684"/>
      <c r="EVE68" s="684"/>
      <c r="EVF68" s="684"/>
      <c r="EVG68" s="684"/>
      <c r="EVH68" s="684"/>
      <c r="EVI68" s="684"/>
      <c r="EVJ68" s="684"/>
      <c r="EVK68" s="684"/>
      <c r="EVL68" s="684"/>
      <c r="EVM68" s="684"/>
      <c r="EVN68" s="684"/>
      <c r="EVO68" s="684"/>
      <c r="EVP68" s="684"/>
      <c r="EVQ68" s="684"/>
      <c r="EVR68" s="684"/>
      <c r="EVS68" s="684"/>
      <c r="EVT68" s="684"/>
      <c r="EVU68" s="684"/>
      <c r="EVV68" s="684"/>
      <c r="EVW68" s="684"/>
      <c r="EVX68" s="684"/>
      <c r="EVY68" s="684"/>
      <c r="EVZ68" s="684"/>
      <c r="EWA68" s="684"/>
      <c r="EWB68" s="684"/>
      <c r="EWC68" s="684"/>
      <c r="EWD68" s="684"/>
      <c r="EWE68" s="684"/>
      <c r="EWF68" s="684"/>
      <c r="EWG68" s="684"/>
      <c r="EWH68" s="684"/>
      <c r="EWI68" s="684"/>
      <c r="EWJ68" s="684"/>
      <c r="EWK68" s="684"/>
      <c r="EWL68" s="684"/>
      <c r="EWM68" s="684"/>
      <c r="EWN68" s="684"/>
      <c r="EWO68" s="684"/>
      <c r="EWP68" s="684"/>
      <c r="EWQ68" s="684"/>
      <c r="EWR68" s="684"/>
      <c r="EWS68" s="684"/>
      <c r="EWT68" s="684"/>
      <c r="EWU68" s="684"/>
      <c r="EWV68" s="684"/>
      <c r="EWW68" s="684"/>
      <c r="EWX68" s="684"/>
      <c r="EWY68" s="684"/>
      <c r="EWZ68" s="684"/>
      <c r="EXA68" s="684"/>
      <c r="EXB68" s="684"/>
      <c r="EXC68" s="684"/>
      <c r="EXD68" s="684"/>
      <c r="EXE68" s="684"/>
      <c r="EXF68" s="684"/>
      <c r="EXG68" s="684"/>
      <c r="EXH68" s="684"/>
      <c r="EXI68" s="684"/>
      <c r="EXJ68" s="684"/>
      <c r="EXK68" s="684"/>
      <c r="EXL68" s="684"/>
      <c r="EXM68" s="684"/>
      <c r="EXN68" s="684"/>
      <c r="EXO68" s="684"/>
      <c r="EXP68" s="684"/>
      <c r="EXQ68" s="684"/>
      <c r="EXR68" s="684"/>
      <c r="EXS68" s="684"/>
      <c r="EXT68" s="684"/>
      <c r="EXU68" s="684"/>
      <c r="EXV68" s="684"/>
      <c r="EXW68" s="684"/>
      <c r="EXX68" s="684"/>
      <c r="EXY68" s="684"/>
      <c r="EXZ68" s="684"/>
      <c r="EYA68" s="684"/>
      <c r="EYB68" s="684"/>
      <c r="EYC68" s="684"/>
      <c r="EYD68" s="684"/>
      <c r="EYE68" s="684"/>
      <c r="EYF68" s="684"/>
      <c r="EYG68" s="684"/>
      <c r="EYH68" s="684"/>
      <c r="EYI68" s="684"/>
      <c r="EYJ68" s="684"/>
      <c r="EYK68" s="684"/>
      <c r="EYL68" s="684"/>
      <c r="EYM68" s="684"/>
      <c r="EYN68" s="684"/>
      <c r="EYO68" s="684"/>
      <c r="EYP68" s="684"/>
      <c r="EYQ68" s="684"/>
      <c r="EYR68" s="684"/>
      <c r="EYS68" s="684"/>
      <c r="EYT68" s="684"/>
      <c r="EYU68" s="684"/>
      <c r="EYV68" s="684"/>
      <c r="EYW68" s="684"/>
      <c r="EYX68" s="684"/>
      <c r="EYY68" s="684"/>
      <c r="EYZ68" s="684"/>
      <c r="EZA68" s="684"/>
      <c r="EZB68" s="684"/>
      <c r="EZC68" s="684"/>
      <c r="EZD68" s="684"/>
      <c r="EZE68" s="684"/>
      <c r="EZF68" s="684"/>
      <c r="EZG68" s="684"/>
      <c r="EZH68" s="684"/>
      <c r="EZI68" s="684"/>
      <c r="EZJ68" s="684"/>
      <c r="EZK68" s="684"/>
      <c r="EZL68" s="684"/>
      <c r="EZM68" s="684"/>
      <c r="EZN68" s="684"/>
      <c r="EZO68" s="684"/>
      <c r="EZP68" s="684"/>
      <c r="EZQ68" s="684"/>
      <c r="EZR68" s="684"/>
      <c r="EZS68" s="684"/>
      <c r="EZT68" s="684"/>
      <c r="EZU68" s="684"/>
      <c r="EZV68" s="684"/>
      <c r="EZW68" s="684"/>
      <c r="EZX68" s="684"/>
      <c r="EZY68" s="684"/>
      <c r="EZZ68" s="684"/>
      <c r="FAA68" s="684"/>
      <c r="FAB68" s="684"/>
      <c r="FAC68" s="684"/>
      <c r="FAD68" s="684"/>
      <c r="FAE68" s="684"/>
      <c r="FAF68" s="684"/>
      <c r="FAG68" s="684"/>
      <c r="FAH68" s="684"/>
      <c r="FAI68" s="684"/>
      <c r="FAJ68" s="684"/>
      <c r="FAK68" s="684"/>
      <c r="FAL68" s="684"/>
      <c r="FAM68" s="684"/>
      <c r="FAN68" s="684"/>
      <c r="FAO68" s="684"/>
      <c r="FAP68" s="684"/>
      <c r="FAQ68" s="684"/>
      <c r="FAR68" s="684"/>
      <c r="FAS68" s="684"/>
      <c r="FAT68" s="684"/>
      <c r="FAU68" s="684"/>
      <c r="FAV68" s="684"/>
      <c r="FAW68" s="684"/>
      <c r="FAX68" s="684"/>
      <c r="FAY68" s="684"/>
      <c r="FAZ68" s="684"/>
      <c r="FBA68" s="684"/>
      <c r="FBB68" s="684"/>
      <c r="FBC68" s="684"/>
      <c r="FBD68" s="684"/>
      <c r="FBE68" s="684"/>
      <c r="FBF68" s="684"/>
      <c r="FBG68" s="684"/>
      <c r="FBH68" s="684"/>
      <c r="FBI68" s="684"/>
      <c r="FBJ68" s="684"/>
      <c r="FBK68" s="684"/>
      <c r="FBL68" s="684"/>
      <c r="FBM68" s="684"/>
      <c r="FBN68" s="684"/>
      <c r="FBO68" s="684"/>
      <c r="FBP68" s="684"/>
      <c r="FBQ68" s="684"/>
      <c r="FBR68" s="684"/>
      <c r="FBS68" s="684"/>
      <c r="FBT68" s="684"/>
      <c r="FBU68" s="684"/>
      <c r="FBV68" s="684"/>
      <c r="FBW68" s="684"/>
      <c r="FBX68" s="684"/>
      <c r="FBY68" s="684"/>
      <c r="FBZ68" s="684"/>
      <c r="FCA68" s="684"/>
      <c r="FCB68" s="684"/>
      <c r="FCC68" s="684"/>
      <c r="FCD68" s="684"/>
      <c r="FCE68" s="684"/>
      <c r="FCF68" s="684"/>
      <c r="FCG68" s="684"/>
      <c r="FCH68" s="684"/>
      <c r="FCI68" s="684"/>
      <c r="FCJ68" s="684"/>
      <c r="FCK68" s="684"/>
      <c r="FCL68" s="684"/>
      <c r="FCM68" s="684"/>
      <c r="FCN68" s="684"/>
      <c r="FCO68" s="684"/>
      <c r="FCP68" s="684"/>
      <c r="FCQ68" s="684"/>
      <c r="FCR68" s="684"/>
      <c r="FCS68" s="684"/>
      <c r="FCT68" s="684"/>
      <c r="FCU68" s="684"/>
      <c r="FCV68" s="684"/>
      <c r="FCW68" s="684"/>
      <c r="FCX68" s="684"/>
      <c r="FCY68" s="684"/>
      <c r="FCZ68" s="684"/>
      <c r="FDA68" s="684"/>
      <c r="FDB68" s="684"/>
      <c r="FDC68" s="684"/>
      <c r="FDD68" s="684"/>
      <c r="FDE68" s="684"/>
      <c r="FDF68" s="684"/>
      <c r="FDG68" s="684"/>
      <c r="FDH68" s="684"/>
      <c r="FDI68" s="684"/>
      <c r="FDJ68" s="684"/>
      <c r="FDK68" s="684"/>
      <c r="FDL68" s="684"/>
      <c r="FDM68" s="684"/>
      <c r="FDN68" s="684"/>
      <c r="FDO68" s="684"/>
      <c r="FDP68" s="684"/>
      <c r="FDQ68" s="684"/>
      <c r="FDR68" s="684"/>
      <c r="FDS68" s="684"/>
      <c r="FDT68" s="684"/>
      <c r="FDU68" s="684"/>
      <c r="FDV68" s="684"/>
      <c r="FDW68" s="684"/>
      <c r="FDX68" s="684"/>
      <c r="FDY68" s="684"/>
      <c r="FDZ68" s="684"/>
      <c r="FEA68" s="684"/>
      <c r="FEB68" s="684"/>
      <c r="FEC68" s="684"/>
      <c r="FED68" s="684"/>
      <c r="FEE68" s="684"/>
      <c r="FEF68" s="684"/>
      <c r="FEG68" s="684"/>
      <c r="FEH68" s="684"/>
      <c r="FEI68" s="684"/>
      <c r="FEJ68" s="684"/>
      <c r="FEK68" s="684"/>
      <c r="FEL68" s="684"/>
      <c r="FEM68" s="684"/>
      <c r="FEN68" s="684"/>
      <c r="FEO68" s="684"/>
      <c r="FEP68" s="684"/>
      <c r="FEQ68" s="684"/>
      <c r="FER68" s="684"/>
      <c r="FES68" s="684"/>
      <c r="FET68" s="684"/>
      <c r="FEU68" s="684"/>
      <c r="FEV68" s="684"/>
      <c r="FEW68" s="684"/>
      <c r="FEX68" s="684"/>
      <c r="FEY68" s="684"/>
      <c r="FEZ68" s="684"/>
      <c r="FFA68" s="684"/>
      <c r="FFB68" s="684"/>
      <c r="FFC68" s="684"/>
      <c r="FFD68" s="684"/>
      <c r="FFE68" s="684"/>
      <c r="FFF68" s="684"/>
      <c r="FFG68" s="684"/>
      <c r="FFH68" s="684"/>
      <c r="FFI68" s="684"/>
      <c r="FFJ68" s="684"/>
      <c r="FFK68" s="684"/>
      <c r="FFL68" s="684"/>
      <c r="FFM68" s="684"/>
      <c r="FFN68" s="684"/>
      <c r="FFO68" s="684"/>
      <c r="FFP68" s="684"/>
      <c r="FFQ68" s="684"/>
      <c r="FFR68" s="684"/>
      <c r="FFS68" s="684"/>
      <c r="FFT68" s="684"/>
      <c r="FFU68" s="684"/>
      <c r="FFV68" s="684"/>
      <c r="FFW68" s="684"/>
      <c r="FFX68" s="684"/>
      <c r="FFY68" s="684"/>
      <c r="FFZ68" s="684"/>
      <c r="FGA68" s="684"/>
      <c r="FGB68" s="684"/>
      <c r="FGC68" s="684"/>
      <c r="FGD68" s="684"/>
      <c r="FGE68" s="684"/>
      <c r="FGF68" s="684"/>
      <c r="FGG68" s="684"/>
      <c r="FGH68" s="684"/>
      <c r="FGI68" s="684"/>
      <c r="FGJ68" s="684"/>
      <c r="FGK68" s="684"/>
      <c r="FGL68" s="684"/>
      <c r="FGM68" s="684"/>
      <c r="FGN68" s="684"/>
      <c r="FGO68" s="684"/>
      <c r="FGP68" s="684"/>
      <c r="FGQ68" s="684"/>
      <c r="FGR68" s="684"/>
      <c r="FGS68" s="684"/>
      <c r="FGT68" s="684"/>
      <c r="FGU68" s="684"/>
      <c r="FGV68" s="684"/>
      <c r="FGW68" s="684"/>
      <c r="FGX68" s="684"/>
      <c r="FGY68" s="684"/>
      <c r="FGZ68" s="684"/>
      <c r="FHA68" s="684"/>
      <c r="FHB68" s="684"/>
      <c r="FHC68" s="684"/>
      <c r="FHD68" s="684"/>
      <c r="FHE68" s="684"/>
      <c r="FHF68" s="684"/>
      <c r="FHG68" s="684"/>
      <c r="FHH68" s="684"/>
      <c r="FHI68" s="684"/>
      <c r="FHJ68" s="684"/>
      <c r="FHK68" s="684"/>
      <c r="FHL68" s="684"/>
      <c r="FHM68" s="684"/>
      <c r="FHN68" s="684"/>
      <c r="FHO68" s="684"/>
      <c r="FHP68" s="684"/>
      <c r="FHQ68" s="684"/>
      <c r="FHR68" s="684"/>
      <c r="FHS68" s="684"/>
      <c r="FHT68" s="684"/>
      <c r="FHU68" s="684"/>
      <c r="FHV68" s="684"/>
      <c r="FHW68" s="684"/>
      <c r="FHX68" s="684"/>
      <c r="FHY68" s="684"/>
      <c r="FHZ68" s="684"/>
      <c r="FIA68" s="684"/>
      <c r="FIB68" s="684"/>
      <c r="FIC68" s="684"/>
      <c r="FID68" s="684"/>
      <c r="FIE68" s="684"/>
      <c r="FIF68" s="684"/>
      <c r="FIG68" s="684"/>
      <c r="FIH68" s="684"/>
      <c r="FII68" s="684"/>
      <c r="FIJ68" s="684"/>
      <c r="FIK68" s="684"/>
      <c r="FIL68" s="684"/>
      <c r="FIM68" s="684"/>
      <c r="FIN68" s="684"/>
      <c r="FIO68" s="684"/>
      <c r="FIP68" s="684"/>
      <c r="FIQ68" s="684"/>
      <c r="FIR68" s="684"/>
      <c r="FIS68" s="684"/>
      <c r="FIT68" s="684"/>
      <c r="FIU68" s="684"/>
      <c r="FIV68" s="684"/>
      <c r="FIW68" s="684"/>
      <c r="FIX68" s="684"/>
      <c r="FIY68" s="684"/>
      <c r="FIZ68" s="684"/>
      <c r="FJA68" s="684"/>
      <c r="FJB68" s="684"/>
      <c r="FJC68" s="684"/>
      <c r="FJD68" s="684"/>
      <c r="FJE68" s="684"/>
      <c r="FJF68" s="684"/>
      <c r="FJG68" s="684"/>
      <c r="FJH68" s="684"/>
      <c r="FJI68" s="684"/>
      <c r="FJJ68" s="684"/>
      <c r="FJK68" s="684"/>
      <c r="FJL68" s="684"/>
      <c r="FJM68" s="684"/>
      <c r="FJN68" s="684"/>
      <c r="FJO68" s="684"/>
      <c r="FJP68" s="684"/>
      <c r="FJQ68" s="684"/>
      <c r="FJR68" s="684"/>
      <c r="FJS68" s="684"/>
      <c r="FJT68" s="684"/>
      <c r="FJU68" s="684"/>
      <c r="FJV68" s="684"/>
      <c r="FJW68" s="684"/>
      <c r="FJX68" s="684"/>
      <c r="FJY68" s="684"/>
      <c r="FJZ68" s="684"/>
      <c r="FKA68" s="684"/>
      <c r="FKB68" s="684"/>
      <c r="FKC68" s="684"/>
      <c r="FKD68" s="684"/>
      <c r="FKE68" s="684"/>
      <c r="FKF68" s="684"/>
      <c r="FKG68" s="684"/>
      <c r="FKH68" s="684"/>
      <c r="FKI68" s="684"/>
      <c r="FKJ68" s="684"/>
      <c r="FKK68" s="684"/>
      <c r="FKL68" s="684"/>
      <c r="FKM68" s="684"/>
      <c r="FKN68" s="684"/>
      <c r="FKO68" s="684"/>
      <c r="FKP68" s="684"/>
      <c r="FKQ68" s="684"/>
      <c r="FKR68" s="684"/>
      <c r="FKS68" s="684"/>
      <c r="FKT68" s="684"/>
      <c r="FKU68" s="684"/>
      <c r="FKV68" s="684"/>
      <c r="FKW68" s="684"/>
      <c r="FKX68" s="684"/>
      <c r="FKY68" s="684"/>
      <c r="FKZ68" s="684"/>
      <c r="FLA68" s="684"/>
      <c r="FLB68" s="684"/>
      <c r="FLC68" s="684"/>
      <c r="FLD68" s="684"/>
      <c r="FLE68" s="684"/>
      <c r="FLF68" s="684"/>
      <c r="FLG68" s="684"/>
      <c r="FLH68" s="684"/>
      <c r="FLI68" s="684"/>
      <c r="FLJ68" s="684"/>
      <c r="FLK68" s="684"/>
      <c r="FLL68" s="684"/>
      <c r="FLM68" s="684"/>
      <c r="FLN68" s="684"/>
      <c r="FLO68" s="684"/>
      <c r="FLP68" s="684"/>
      <c r="FLQ68" s="684"/>
      <c r="FLR68" s="684"/>
      <c r="FLS68" s="684"/>
      <c r="FLT68" s="684"/>
      <c r="FLU68" s="684"/>
      <c r="FLV68" s="684"/>
      <c r="FLW68" s="684"/>
      <c r="FLX68" s="684"/>
      <c r="FLY68" s="684"/>
      <c r="FLZ68" s="684"/>
      <c r="FMA68" s="684"/>
      <c r="FMB68" s="684"/>
      <c r="FMC68" s="684"/>
      <c r="FMD68" s="684"/>
      <c r="FME68" s="684"/>
      <c r="FMF68" s="684"/>
      <c r="FMG68" s="684"/>
      <c r="FMH68" s="684"/>
      <c r="FMI68" s="684"/>
      <c r="FMJ68" s="684"/>
      <c r="FMK68" s="684"/>
      <c r="FML68" s="684"/>
      <c r="FMM68" s="684"/>
      <c r="FMN68" s="684"/>
      <c r="FMO68" s="684"/>
      <c r="FMP68" s="684"/>
      <c r="FMQ68" s="684"/>
      <c r="FMR68" s="684"/>
      <c r="FMS68" s="684"/>
      <c r="FMT68" s="684"/>
      <c r="FMU68" s="684"/>
      <c r="FMV68" s="684"/>
      <c r="FMW68" s="684"/>
      <c r="FMX68" s="684"/>
      <c r="FMY68" s="684"/>
      <c r="FMZ68" s="684"/>
      <c r="FNA68" s="684"/>
      <c r="FNB68" s="684"/>
      <c r="FNC68" s="684"/>
      <c r="FND68" s="684"/>
      <c r="FNE68" s="684"/>
      <c r="FNF68" s="684"/>
      <c r="FNG68" s="684"/>
      <c r="FNH68" s="684"/>
      <c r="FNI68" s="684"/>
      <c r="FNJ68" s="684"/>
      <c r="FNK68" s="684"/>
      <c r="FNL68" s="684"/>
      <c r="FNM68" s="684"/>
      <c r="FNN68" s="684"/>
      <c r="FNO68" s="684"/>
      <c r="FNP68" s="684"/>
      <c r="FNQ68" s="684"/>
      <c r="FNR68" s="684"/>
      <c r="FNS68" s="684"/>
      <c r="FNT68" s="684"/>
      <c r="FNU68" s="684"/>
      <c r="FNV68" s="684"/>
      <c r="FNW68" s="684"/>
      <c r="FNX68" s="684"/>
      <c r="FNY68" s="684"/>
      <c r="FNZ68" s="684"/>
      <c r="FOA68" s="684"/>
      <c r="FOB68" s="684"/>
      <c r="FOC68" s="684"/>
      <c r="FOD68" s="684"/>
      <c r="FOE68" s="684"/>
      <c r="FOF68" s="684"/>
      <c r="FOG68" s="684"/>
      <c r="FOH68" s="684"/>
      <c r="FOI68" s="684"/>
      <c r="FOJ68" s="684"/>
      <c r="FOK68" s="684"/>
      <c r="FOL68" s="684"/>
      <c r="FOM68" s="684"/>
      <c r="FON68" s="684"/>
      <c r="FOO68" s="684"/>
      <c r="FOP68" s="684"/>
      <c r="FOQ68" s="684"/>
      <c r="FOR68" s="684"/>
      <c r="FOS68" s="684"/>
      <c r="FOT68" s="684"/>
      <c r="FOU68" s="684"/>
      <c r="FOV68" s="684"/>
      <c r="FOW68" s="684"/>
      <c r="FOX68" s="684"/>
      <c r="FOY68" s="684"/>
      <c r="FOZ68" s="684"/>
      <c r="FPA68" s="684"/>
      <c r="FPB68" s="684"/>
      <c r="FPC68" s="684"/>
      <c r="FPD68" s="684"/>
      <c r="FPE68" s="684"/>
      <c r="FPF68" s="684"/>
      <c r="FPG68" s="684"/>
      <c r="FPH68" s="684"/>
      <c r="FPI68" s="684"/>
      <c r="FPJ68" s="684"/>
      <c r="FPK68" s="684"/>
      <c r="FPL68" s="684"/>
      <c r="FPM68" s="684"/>
      <c r="FPN68" s="684"/>
      <c r="FPO68" s="684"/>
      <c r="FPP68" s="684"/>
      <c r="FPQ68" s="684"/>
      <c r="FPR68" s="684"/>
      <c r="FPS68" s="684"/>
      <c r="FPT68" s="684"/>
      <c r="FPU68" s="684"/>
      <c r="FPV68" s="684"/>
      <c r="FPW68" s="684"/>
      <c r="FPX68" s="684"/>
      <c r="FPY68" s="684"/>
      <c r="FPZ68" s="684"/>
      <c r="FQA68" s="684"/>
      <c r="FQB68" s="684"/>
      <c r="FQC68" s="684"/>
      <c r="FQD68" s="684"/>
      <c r="FQE68" s="684"/>
      <c r="FQF68" s="684"/>
      <c r="FQG68" s="684"/>
      <c r="FQH68" s="684"/>
      <c r="FQI68" s="684"/>
      <c r="FQJ68" s="684"/>
      <c r="FQK68" s="684"/>
      <c r="FQL68" s="684"/>
      <c r="FQM68" s="684"/>
      <c r="FQN68" s="684"/>
      <c r="FQO68" s="684"/>
      <c r="FQP68" s="684"/>
      <c r="FQQ68" s="684"/>
      <c r="FQR68" s="684"/>
      <c r="FQS68" s="684"/>
      <c r="FQT68" s="684"/>
      <c r="FQU68" s="684"/>
      <c r="FQV68" s="684"/>
      <c r="FQW68" s="684"/>
      <c r="FQX68" s="684"/>
      <c r="FQY68" s="684"/>
      <c r="FQZ68" s="684"/>
      <c r="FRA68" s="684"/>
      <c r="FRB68" s="684"/>
      <c r="FRC68" s="684"/>
      <c r="FRD68" s="684"/>
      <c r="FRE68" s="684"/>
      <c r="FRF68" s="684"/>
      <c r="FRG68" s="684"/>
      <c r="FRH68" s="684"/>
      <c r="FRI68" s="684"/>
      <c r="FRJ68" s="684"/>
      <c r="FRK68" s="684"/>
      <c r="FRL68" s="684"/>
      <c r="FRM68" s="684"/>
      <c r="FRN68" s="684"/>
      <c r="FRO68" s="684"/>
      <c r="FRP68" s="684"/>
      <c r="FRQ68" s="684"/>
      <c r="FRR68" s="684"/>
      <c r="FRS68" s="684"/>
      <c r="FRT68" s="684"/>
      <c r="FRU68" s="684"/>
      <c r="FRV68" s="684"/>
      <c r="FRW68" s="684"/>
      <c r="FRX68" s="684"/>
      <c r="FRY68" s="684"/>
      <c r="FRZ68" s="684"/>
      <c r="FSA68" s="684"/>
      <c r="FSB68" s="684"/>
      <c r="FSC68" s="684"/>
      <c r="FSD68" s="684"/>
      <c r="FSE68" s="684"/>
      <c r="FSF68" s="684"/>
      <c r="FSG68" s="684"/>
      <c r="FSH68" s="684"/>
      <c r="FSI68" s="684"/>
      <c r="FSJ68" s="684"/>
      <c r="FSK68" s="684"/>
      <c r="FSL68" s="684"/>
      <c r="FSM68" s="684"/>
      <c r="FSN68" s="684"/>
      <c r="FSO68" s="684"/>
      <c r="FSP68" s="684"/>
      <c r="FSQ68" s="684"/>
      <c r="FSR68" s="684"/>
      <c r="FSS68" s="684"/>
      <c r="FST68" s="684"/>
      <c r="FSU68" s="684"/>
      <c r="FSV68" s="684"/>
      <c r="FSW68" s="684"/>
      <c r="FSX68" s="684"/>
      <c r="FSY68" s="684"/>
      <c r="FSZ68" s="684"/>
      <c r="FTA68" s="684"/>
      <c r="FTB68" s="684"/>
      <c r="FTC68" s="684"/>
      <c r="FTD68" s="684"/>
      <c r="FTE68" s="684"/>
      <c r="FTF68" s="684"/>
      <c r="FTG68" s="684"/>
      <c r="FTH68" s="684"/>
      <c r="FTI68" s="684"/>
      <c r="FTJ68" s="684"/>
      <c r="FTK68" s="684"/>
      <c r="FTL68" s="684"/>
      <c r="FTM68" s="684"/>
      <c r="FTN68" s="684"/>
      <c r="FTO68" s="684"/>
      <c r="FTP68" s="684"/>
      <c r="FTQ68" s="684"/>
      <c r="FTR68" s="684"/>
      <c r="FTS68" s="684"/>
      <c r="FTT68" s="684"/>
      <c r="FTU68" s="684"/>
      <c r="FTV68" s="684"/>
      <c r="FTW68" s="684"/>
      <c r="FTX68" s="684"/>
      <c r="FTY68" s="684"/>
      <c r="FTZ68" s="684"/>
      <c r="FUA68" s="684"/>
      <c r="FUB68" s="684"/>
      <c r="FUC68" s="684"/>
      <c r="FUD68" s="684"/>
      <c r="FUE68" s="684"/>
      <c r="FUF68" s="684"/>
      <c r="FUG68" s="684"/>
      <c r="FUH68" s="684"/>
      <c r="FUI68" s="684"/>
      <c r="FUJ68" s="684"/>
      <c r="FUK68" s="684"/>
      <c r="FUL68" s="684"/>
      <c r="FUM68" s="684"/>
      <c r="FUN68" s="684"/>
      <c r="FUO68" s="684"/>
      <c r="FUP68" s="684"/>
      <c r="FUQ68" s="684"/>
      <c r="FUR68" s="684"/>
      <c r="FUS68" s="684"/>
      <c r="FUT68" s="684"/>
      <c r="FUU68" s="684"/>
      <c r="FUV68" s="684"/>
      <c r="FUW68" s="684"/>
      <c r="FUX68" s="684"/>
      <c r="FUY68" s="684"/>
      <c r="FUZ68" s="684"/>
      <c r="FVA68" s="684"/>
      <c r="FVB68" s="684"/>
      <c r="FVC68" s="684"/>
      <c r="FVD68" s="684"/>
      <c r="FVE68" s="684"/>
      <c r="FVF68" s="684"/>
      <c r="FVG68" s="684"/>
      <c r="FVH68" s="684"/>
      <c r="FVI68" s="684"/>
      <c r="FVJ68" s="684"/>
      <c r="FVK68" s="684"/>
      <c r="FVL68" s="684"/>
      <c r="FVM68" s="684"/>
      <c r="FVN68" s="684"/>
      <c r="FVO68" s="684"/>
      <c r="FVP68" s="684"/>
      <c r="FVQ68" s="684"/>
      <c r="FVR68" s="684"/>
      <c r="FVS68" s="684"/>
      <c r="FVT68" s="684"/>
      <c r="FVU68" s="684"/>
      <c r="FVV68" s="684"/>
      <c r="FVW68" s="684"/>
      <c r="FVX68" s="684"/>
      <c r="FVY68" s="684"/>
      <c r="FVZ68" s="684"/>
      <c r="FWA68" s="684"/>
      <c r="FWB68" s="684"/>
      <c r="FWC68" s="684"/>
      <c r="FWD68" s="684"/>
      <c r="FWE68" s="684"/>
      <c r="FWF68" s="684"/>
      <c r="FWG68" s="684"/>
      <c r="FWH68" s="684"/>
      <c r="FWI68" s="684"/>
      <c r="FWJ68" s="684"/>
      <c r="FWK68" s="684"/>
      <c r="FWL68" s="684"/>
      <c r="FWM68" s="684"/>
      <c r="FWN68" s="684"/>
      <c r="FWO68" s="684"/>
      <c r="FWP68" s="684"/>
      <c r="FWQ68" s="684"/>
      <c r="FWR68" s="684"/>
      <c r="FWS68" s="684"/>
      <c r="FWT68" s="684"/>
      <c r="FWU68" s="684"/>
      <c r="FWV68" s="684"/>
      <c r="FWW68" s="684"/>
      <c r="FWX68" s="684"/>
      <c r="FWY68" s="684"/>
      <c r="FWZ68" s="684"/>
      <c r="FXA68" s="684"/>
      <c r="FXB68" s="684"/>
      <c r="FXC68" s="684"/>
      <c r="FXD68" s="684"/>
      <c r="FXE68" s="684"/>
      <c r="FXF68" s="684"/>
      <c r="FXG68" s="684"/>
      <c r="FXH68" s="684"/>
      <c r="FXI68" s="684"/>
      <c r="FXJ68" s="684"/>
      <c r="FXK68" s="684"/>
      <c r="FXL68" s="684"/>
      <c r="FXM68" s="684"/>
      <c r="FXN68" s="684"/>
      <c r="FXO68" s="684"/>
      <c r="FXP68" s="684"/>
      <c r="FXQ68" s="684"/>
      <c r="FXR68" s="684"/>
      <c r="FXS68" s="684"/>
      <c r="FXT68" s="684"/>
      <c r="FXU68" s="684"/>
      <c r="FXV68" s="684"/>
      <c r="FXW68" s="684"/>
      <c r="FXX68" s="684"/>
      <c r="FXY68" s="684"/>
      <c r="FXZ68" s="684"/>
      <c r="FYA68" s="684"/>
      <c r="FYB68" s="684"/>
      <c r="FYC68" s="684"/>
      <c r="FYD68" s="684"/>
      <c r="FYE68" s="684"/>
      <c r="FYF68" s="684"/>
      <c r="FYG68" s="684"/>
      <c r="FYH68" s="684"/>
      <c r="FYI68" s="684"/>
      <c r="FYJ68" s="684"/>
      <c r="FYK68" s="684"/>
      <c r="FYL68" s="684"/>
      <c r="FYM68" s="684"/>
      <c r="FYN68" s="684"/>
      <c r="FYO68" s="684"/>
      <c r="FYP68" s="684"/>
      <c r="FYQ68" s="684"/>
      <c r="FYR68" s="684"/>
      <c r="FYS68" s="684"/>
      <c r="FYT68" s="684"/>
      <c r="FYU68" s="684"/>
      <c r="FYV68" s="684"/>
      <c r="FYW68" s="684"/>
      <c r="FYX68" s="684"/>
      <c r="FYY68" s="684"/>
      <c r="FYZ68" s="684"/>
      <c r="FZA68" s="684"/>
      <c r="FZB68" s="684"/>
      <c r="FZC68" s="684"/>
      <c r="FZD68" s="684"/>
      <c r="FZE68" s="684"/>
      <c r="FZF68" s="684"/>
      <c r="FZG68" s="684"/>
      <c r="FZH68" s="684"/>
      <c r="FZI68" s="684"/>
      <c r="FZJ68" s="684"/>
      <c r="FZK68" s="684"/>
      <c r="FZL68" s="684"/>
      <c r="FZM68" s="684"/>
      <c r="FZN68" s="684"/>
      <c r="FZO68" s="684"/>
      <c r="FZP68" s="684"/>
      <c r="FZQ68" s="684"/>
      <c r="FZR68" s="684"/>
      <c r="FZS68" s="684"/>
      <c r="FZT68" s="684"/>
      <c r="FZU68" s="684"/>
      <c r="FZV68" s="684"/>
      <c r="FZW68" s="684"/>
      <c r="FZX68" s="684"/>
      <c r="FZY68" s="684"/>
      <c r="FZZ68" s="684"/>
      <c r="GAA68" s="684"/>
      <c r="GAB68" s="684"/>
      <c r="GAC68" s="684"/>
      <c r="GAD68" s="684"/>
      <c r="GAE68" s="684"/>
      <c r="GAF68" s="684"/>
      <c r="GAG68" s="684"/>
      <c r="GAH68" s="684"/>
      <c r="GAI68" s="684"/>
      <c r="GAJ68" s="684"/>
      <c r="GAK68" s="684"/>
      <c r="GAL68" s="684"/>
      <c r="GAM68" s="684"/>
      <c r="GAN68" s="684"/>
      <c r="GAO68" s="684"/>
      <c r="GAP68" s="684"/>
      <c r="GAQ68" s="684"/>
      <c r="GAR68" s="684"/>
      <c r="GAS68" s="684"/>
      <c r="GAT68" s="684"/>
      <c r="GAU68" s="684"/>
      <c r="GAV68" s="684"/>
      <c r="GAW68" s="684"/>
      <c r="GAX68" s="684"/>
      <c r="GAY68" s="684"/>
      <c r="GAZ68" s="684"/>
      <c r="GBA68" s="684"/>
      <c r="GBB68" s="684"/>
      <c r="GBC68" s="684"/>
      <c r="GBD68" s="684"/>
      <c r="GBE68" s="684"/>
      <c r="GBF68" s="684"/>
      <c r="GBG68" s="684"/>
      <c r="GBH68" s="684"/>
      <c r="GBI68" s="684"/>
      <c r="GBJ68" s="684"/>
      <c r="GBK68" s="684"/>
      <c r="GBL68" s="684"/>
      <c r="GBM68" s="684"/>
      <c r="GBN68" s="684"/>
      <c r="GBO68" s="684"/>
      <c r="GBP68" s="684"/>
      <c r="GBQ68" s="684"/>
      <c r="GBR68" s="684"/>
      <c r="GBS68" s="684"/>
      <c r="GBT68" s="684"/>
      <c r="GBU68" s="684"/>
      <c r="GBV68" s="684"/>
      <c r="GBW68" s="684"/>
      <c r="GBX68" s="684"/>
      <c r="GBY68" s="684"/>
      <c r="GBZ68" s="684"/>
      <c r="GCA68" s="684"/>
      <c r="GCB68" s="684"/>
      <c r="GCC68" s="684"/>
      <c r="GCD68" s="684"/>
      <c r="GCE68" s="684"/>
      <c r="GCF68" s="684"/>
      <c r="GCG68" s="684"/>
      <c r="GCH68" s="684"/>
      <c r="GCI68" s="684"/>
      <c r="GCJ68" s="684"/>
      <c r="GCK68" s="684"/>
      <c r="GCL68" s="684"/>
      <c r="GCM68" s="684"/>
      <c r="GCN68" s="684"/>
      <c r="GCO68" s="684"/>
      <c r="GCP68" s="684"/>
      <c r="GCQ68" s="684"/>
      <c r="GCR68" s="684"/>
      <c r="GCS68" s="684"/>
      <c r="GCT68" s="684"/>
      <c r="GCU68" s="684"/>
      <c r="GCV68" s="684"/>
      <c r="GCW68" s="684"/>
      <c r="GCX68" s="684"/>
      <c r="GCY68" s="684"/>
      <c r="GCZ68" s="684"/>
      <c r="GDA68" s="684"/>
      <c r="GDB68" s="684"/>
      <c r="GDC68" s="684"/>
      <c r="GDD68" s="684"/>
      <c r="GDE68" s="684"/>
      <c r="GDF68" s="684"/>
      <c r="GDG68" s="684"/>
      <c r="GDH68" s="684"/>
      <c r="GDI68" s="684"/>
      <c r="GDJ68" s="684"/>
      <c r="GDK68" s="684"/>
      <c r="GDL68" s="684"/>
      <c r="GDM68" s="684"/>
      <c r="GDN68" s="684"/>
      <c r="GDO68" s="684"/>
      <c r="GDP68" s="684"/>
      <c r="GDQ68" s="684"/>
      <c r="GDR68" s="684"/>
      <c r="GDS68" s="684"/>
      <c r="GDT68" s="684"/>
      <c r="GDU68" s="684"/>
      <c r="GDV68" s="684"/>
      <c r="GDW68" s="684"/>
      <c r="GDX68" s="684"/>
      <c r="GDY68" s="684"/>
      <c r="GDZ68" s="684"/>
      <c r="GEA68" s="684"/>
      <c r="GEB68" s="684"/>
      <c r="GEC68" s="684"/>
      <c r="GED68" s="684"/>
      <c r="GEE68" s="684"/>
      <c r="GEF68" s="684"/>
      <c r="GEG68" s="684"/>
      <c r="GEH68" s="684"/>
      <c r="GEI68" s="684"/>
      <c r="GEJ68" s="684"/>
      <c r="GEK68" s="684"/>
      <c r="GEL68" s="684"/>
      <c r="GEM68" s="684"/>
      <c r="GEN68" s="684"/>
      <c r="GEO68" s="684"/>
      <c r="GEP68" s="684"/>
      <c r="GEQ68" s="684"/>
      <c r="GER68" s="684"/>
      <c r="GES68" s="684"/>
      <c r="GET68" s="684"/>
      <c r="GEU68" s="684"/>
      <c r="GEV68" s="684"/>
      <c r="GEW68" s="684"/>
      <c r="GEX68" s="684"/>
      <c r="GEY68" s="684"/>
      <c r="GEZ68" s="684"/>
      <c r="GFA68" s="684"/>
      <c r="GFB68" s="684"/>
      <c r="GFC68" s="684"/>
      <c r="GFD68" s="684"/>
      <c r="GFE68" s="684"/>
      <c r="GFF68" s="684"/>
      <c r="GFG68" s="684"/>
      <c r="GFH68" s="684"/>
      <c r="GFI68" s="684"/>
      <c r="GFJ68" s="684"/>
      <c r="GFK68" s="684"/>
      <c r="GFL68" s="684"/>
      <c r="GFM68" s="684"/>
      <c r="GFN68" s="684"/>
      <c r="GFO68" s="684"/>
      <c r="GFP68" s="684"/>
      <c r="GFQ68" s="684"/>
      <c r="GFR68" s="684"/>
      <c r="GFS68" s="684"/>
      <c r="GFT68" s="684"/>
      <c r="GFU68" s="684"/>
      <c r="GFV68" s="684"/>
      <c r="GFW68" s="684"/>
      <c r="GFX68" s="684"/>
      <c r="GFY68" s="684"/>
      <c r="GFZ68" s="684"/>
      <c r="GGA68" s="684"/>
      <c r="GGB68" s="684"/>
      <c r="GGC68" s="684"/>
      <c r="GGD68" s="684"/>
      <c r="GGE68" s="684"/>
      <c r="GGF68" s="684"/>
      <c r="GGG68" s="684"/>
      <c r="GGH68" s="684"/>
      <c r="GGI68" s="684"/>
      <c r="GGJ68" s="684"/>
      <c r="GGK68" s="684"/>
      <c r="GGL68" s="684"/>
      <c r="GGM68" s="684"/>
      <c r="GGN68" s="684"/>
      <c r="GGO68" s="684"/>
      <c r="GGP68" s="684"/>
      <c r="GGQ68" s="684"/>
      <c r="GGR68" s="684"/>
      <c r="GGS68" s="684"/>
      <c r="GGT68" s="684"/>
      <c r="GGU68" s="684"/>
      <c r="GGV68" s="684"/>
      <c r="GGW68" s="684"/>
      <c r="GGX68" s="684"/>
      <c r="GGY68" s="684"/>
      <c r="GGZ68" s="684"/>
      <c r="GHA68" s="684"/>
      <c r="GHB68" s="684"/>
      <c r="GHC68" s="684"/>
      <c r="GHD68" s="684"/>
      <c r="GHE68" s="684"/>
      <c r="GHF68" s="684"/>
      <c r="GHG68" s="684"/>
      <c r="GHH68" s="684"/>
      <c r="GHI68" s="684"/>
      <c r="GHJ68" s="684"/>
      <c r="GHK68" s="684"/>
      <c r="GHL68" s="684"/>
      <c r="GHM68" s="684"/>
      <c r="GHN68" s="684"/>
      <c r="GHO68" s="684"/>
      <c r="GHP68" s="684"/>
      <c r="GHQ68" s="684"/>
      <c r="GHR68" s="684"/>
      <c r="GHS68" s="684"/>
      <c r="GHT68" s="684"/>
      <c r="GHU68" s="684"/>
      <c r="GHV68" s="684"/>
      <c r="GHW68" s="684"/>
      <c r="GHX68" s="684"/>
      <c r="GHY68" s="684"/>
      <c r="GHZ68" s="684"/>
      <c r="GIA68" s="684"/>
      <c r="GIB68" s="684"/>
      <c r="GIC68" s="684"/>
      <c r="GID68" s="684"/>
      <c r="GIE68" s="684"/>
      <c r="GIF68" s="684"/>
      <c r="GIG68" s="684"/>
      <c r="GIH68" s="684"/>
      <c r="GII68" s="684"/>
      <c r="GIJ68" s="684"/>
      <c r="GIK68" s="684"/>
      <c r="GIL68" s="684"/>
      <c r="GIM68" s="684"/>
      <c r="GIN68" s="684"/>
      <c r="GIO68" s="684"/>
      <c r="GIP68" s="684"/>
      <c r="GIQ68" s="684"/>
      <c r="GIR68" s="684"/>
      <c r="GIS68" s="684"/>
      <c r="GIT68" s="684"/>
      <c r="GIU68" s="684"/>
      <c r="GIV68" s="684"/>
      <c r="GIW68" s="684"/>
      <c r="GIX68" s="684"/>
      <c r="GIY68" s="684"/>
      <c r="GIZ68" s="684"/>
      <c r="GJA68" s="684"/>
      <c r="GJB68" s="684"/>
      <c r="GJC68" s="684"/>
      <c r="GJD68" s="684"/>
      <c r="GJE68" s="684"/>
      <c r="GJF68" s="684"/>
      <c r="GJG68" s="684"/>
      <c r="GJH68" s="684"/>
      <c r="GJI68" s="684"/>
      <c r="GJJ68" s="684"/>
      <c r="GJK68" s="684"/>
      <c r="GJL68" s="684"/>
      <c r="GJM68" s="684"/>
      <c r="GJN68" s="684"/>
      <c r="GJO68" s="684"/>
      <c r="GJP68" s="684"/>
      <c r="GJQ68" s="684"/>
      <c r="GJR68" s="684"/>
      <c r="GJS68" s="684"/>
      <c r="GJT68" s="684"/>
      <c r="GJU68" s="684"/>
      <c r="GJV68" s="684"/>
      <c r="GJW68" s="684"/>
      <c r="GJX68" s="684"/>
      <c r="GJY68" s="684"/>
      <c r="GJZ68" s="684"/>
      <c r="GKA68" s="684"/>
      <c r="GKB68" s="684"/>
      <c r="GKC68" s="684"/>
      <c r="GKD68" s="684"/>
      <c r="GKE68" s="684"/>
      <c r="GKF68" s="684"/>
      <c r="GKG68" s="684"/>
      <c r="GKH68" s="684"/>
      <c r="GKI68" s="684"/>
      <c r="GKJ68" s="684"/>
      <c r="GKK68" s="684"/>
      <c r="GKL68" s="684"/>
      <c r="GKM68" s="684"/>
      <c r="GKN68" s="684"/>
      <c r="GKO68" s="684"/>
      <c r="GKP68" s="684"/>
      <c r="GKQ68" s="684"/>
      <c r="GKR68" s="684"/>
      <c r="GKS68" s="684"/>
      <c r="GKT68" s="684"/>
      <c r="GKU68" s="684"/>
      <c r="GKV68" s="684"/>
      <c r="GKW68" s="684"/>
      <c r="GKX68" s="684"/>
      <c r="GKY68" s="684"/>
      <c r="GKZ68" s="684"/>
      <c r="GLA68" s="684"/>
      <c r="GLB68" s="684"/>
      <c r="GLC68" s="684"/>
      <c r="GLD68" s="684"/>
      <c r="GLE68" s="684"/>
      <c r="GLF68" s="684"/>
      <c r="GLG68" s="684"/>
      <c r="GLH68" s="684"/>
      <c r="GLI68" s="684"/>
      <c r="GLJ68" s="684"/>
      <c r="GLK68" s="684"/>
      <c r="GLL68" s="684"/>
      <c r="GLM68" s="684"/>
      <c r="GLN68" s="684"/>
      <c r="GLO68" s="684"/>
      <c r="GLP68" s="684"/>
      <c r="GLQ68" s="684"/>
      <c r="GLR68" s="684"/>
      <c r="GLS68" s="684"/>
      <c r="GLT68" s="684"/>
      <c r="GLU68" s="684"/>
      <c r="GLV68" s="684"/>
      <c r="GLW68" s="684"/>
      <c r="GLX68" s="684"/>
      <c r="GLY68" s="684"/>
      <c r="GLZ68" s="684"/>
      <c r="GMA68" s="684"/>
      <c r="GMB68" s="684"/>
      <c r="GMC68" s="684"/>
      <c r="GMD68" s="684"/>
      <c r="GME68" s="684"/>
      <c r="GMF68" s="684"/>
      <c r="GMG68" s="684"/>
      <c r="GMH68" s="684"/>
      <c r="GMI68" s="684"/>
      <c r="GMJ68" s="684"/>
      <c r="GMK68" s="684"/>
      <c r="GML68" s="684"/>
      <c r="GMM68" s="684"/>
      <c r="GMN68" s="684"/>
      <c r="GMO68" s="684"/>
      <c r="GMP68" s="684"/>
      <c r="GMQ68" s="684"/>
      <c r="GMR68" s="684"/>
      <c r="GMS68" s="684"/>
      <c r="GMT68" s="684"/>
      <c r="GMU68" s="684"/>
      <c r="GMV68" s="684"/>
      <c r="GMW68" s="684"/>
      <c r="GMX68" s="684"/>
      <c r="GMY68" s="684"/>
      <c r="GMZ68" s="684"/>
      <c r="GNA68" s="684"/>
      <c r="GNB68" s="684"/>
      <c r="GNC68" s="684"/>
      <c r="GND68" s="684"/>
      <c r="GNE68" s="684"/>
      <c r="GNF68" s="684"/>
      <c r="GNG68" s="684"/>
      <c r="GNH68" s="684"/>
      <c r="GNI68" s="684"/>
      <c r="GNJ68" s="684"/>
      <c r="GNK68" s="684"/>
      <c r="GNL68" s="684"/>
      <c r="GNM68" s="684"/>
      <c r="GNN68" s="684"/>
      <c r="GNO68" s="684"/>
      <c r="GNP68" s="684"/>
      <c r="GNQ68" s="684"/>
      <c r="GNR68" s="684"/>
      <c r="GNS68" s="684"/>
      <c r="GNT68" s="684"/>
      <c r="GNU68" s="684"/>
      <c r="GNV68" s="684"/>
      <c r="GNW68" s="684"/>
      <c r="GNX68" s="684"/>
      <c r="GNY68" s="684"/>
      <c r="GNZ68" s="684"/>
      <c r="GOA68" s="684"/>
      <c r="GOB68" s="684"/>
      <c r="GOC68" s="684"/>
      <c r="GOD68" s="684"/>
      <c r="GOE68" s="684"/>
      <c r="GOF68" s="684"/>
      <c r="GOG68" s="684"/>
      <c r="GOH68" s="684"/>
      <c r="GOI68" s="684"/>
      <c r="GOJ68" s="684"/>
      <c r="GOK68" s="684"/>
      <c r="GOL68" s="684"/>
      <c r="GOM68" s="684"/>
      <c r="GON68" s="684"/>
      <c r="GOO68" s="684"/>
      <c r="GOP68" s="684"/>
      <c r="GOQ68" s="684"/>
      <c r="GOR68" s="684"/>
      <c r="GOS68" s="684"/>
      <c r="GOT68" s="684"/>
      <c r="GOU68" s="684"/>
      <c r="GOV68" s="684"/>
      <c r="GOW68" s="684"/>
      <c r="GOX68" s="684"/>
      <c r="GOY68" s="684"/>
      <c r="GOZ68" s="684"/>
      <c r="GPA68" s="684"/>
      <c r="GPB68" s="684"/>
      <c r="GPC68" s="684"/>
      <c r="GPD68" s="684"/>
      <c r="GPE68" s="684"/>
      <c r="GPF68" s="684"/>
      <c r="GPG68" s="684"/>
      <c r="GPH68" s="684"/>
      <c r="GPI68" s="684"/>
      <c r="GPJ68" s="684"/>
      <c r="GPK68" s="684"/>
      <c r="GPL68" s="684"/>
      <c r="GPM68" s="684"/>
      <c r="GPN68" s="684"/>
      <c r="GPO68" s="684"/>
      <c r="GPP68" s="684"/>
      <c r="GPQ68" s="684"/>
      <c r="GPR68" s="684"/>
      <c r="GPS68" s="684"/>
      <c r="GPT68" s="684"/>
      <c r="GPU68" s="684"/>
      <c r="GPV68" s="684"/>
      <c r="GPW68" s="684"/>
      <c r="GPX68" s="684"/>
      <c r="GPY68" s="684"/>
      <c r="GPZ68" s="684"/>
      <c r="GQA68" s="684"/>
      <c r="GQB68" s="684"/>
      <c r="GQC68" s="684"/>
      <c r="GQD68" s="684"/>
      <c r="GQE68" s="684"/>
      <c r="GQF68" s="684"/>
      <c r="GQG68" s="684"/>
      <c r="GQH68" s="684"/>
      <c r="GQI68" s="684"/>
      <c r="GQJ68" s="684"/>
      <c r="GQK68" s="684"/>
      <c r="GQL68" s="684"/>
      <c r="GQM68" s="684"/>
      <c r="GQN68" s="684"/>
      <c r="GQO68" s="684"/>
      <c r="GQP68" s="684"/>
      <c r="GQQ68" s="684"/>
      <c r="GQR68" s="684"/>
      <c r="GQS68" s="684"/>
      <c r="GQT68" s="684"/>
      <c r="GQU68" s="684"/>
      <c r="GQV68" s="684"/>
      <c r="GQW68" s="684"/>
      <c r="GQX68" s="684"/>
      <c r="GQY68" s="684"/>
      <c r="GQZ68" s="684"/>
      <c r="GRA68" s="684"/>
      <c r="GRB68" s="684"/>
      <c r="GRC68" s="684"/>
      <c r="GRD68" s="684"/>
      <c r="GRE68" s="684"/>
      <c r="GRF68" s="684"/>
      <c r="GRG68" s="684"/>
      <c r="GRH68" s="684"/>
      <c r="GRI68" s="684"/>
      <c r="GRJ68" s="684"/>
      <c r="GRK68" s="684"/>
      <c r="GRL68" s="684"/>
      <c r="GRM68" s="684"/>
      <c r="GRN68" s="684"/>
      <c r="GRO68" s="684"/>
      <c r="GRP68" s="684"/>
      <c r="GRQ68" s="684"/>
      <c r="GRR68" s="684"/>
      <c r="GRS68" s="684"/>
      <c r="GRT68" s="684"/>
      <c r="GRU68" s="684"/>
      <c r="GRV68" s="684"/>
      <c r="GRW68" s="684"/>
      <c r="GRX68" s="684"/>
      <c r="GRY68" s="684"/>
      <c r="GRZ68" s="684"/>
      <c r="GSA68" s="684"/>
      <c r="GSB68" s="684"/>
      <c r="GSC68" s="684"/>
      <c r="GSD68" s="684"/>
      <c r="GSE68" s="684"/>
      <c r="GSF68" s="684"/>
      <c r="GSG68" s="684"/>
      <c r="GSH68" s="684"/>
      <c r="GSI68" s="684"/>
      <c r="GSJ68" s="684"/>
      <c r="GSK68" s="684"/>
      <c r="GSL68" s="684"/>
      <c r="GSM68" s="684"/>
      <c r="GSN68" s="684"/>
      <c r="GSO68" s="684"/>
      <c r="GSP68" s="684"/>
      <c r="GSQ68" s="684"/>
      <c r="GSR68" s="684"/>
      <c r="GSS68" s="684"/>
      <c r="GST68" s="684"/>
      <c r="GSU68" s="684"/>
      <c r="GSV68" s="684"/>
      <c r="GSW68" s="684"/>
      <c r="GSX68" s="684"/>
      <c r="GSY68" s="684"/>
      <c r="GSZ68" s="684"/>
      <c r="GTA68" s="684"/>
      <c r="GTB68" s="684"/>
      <c r="GTC68" s="684"/>
      <c r="GTD68" s="684"/>
      <c r="GTE68" s="684"/>
      <c r="GTF68" s="684"/>
      <c r="GTG68" s="684"/>
      <c r="GTH68" s="684"/>
      <c r="GTI68" s="684"/>
      <c r="GTJ68" s="684"/>
      <c r="GTK68" s="684"/>
      <c r="GTL68" s="684"/>
      <c r="GTM68" s="684"/>
      <c r="GTN68" s="684"/>
      <c r="GTO68" s="684"/>
      <c r="GTP68" s="684"/>
      <c r="GTQ68" s="684"/>
      <c r="GTR68" s="684"/>
      <c r="GTS68" s="684"/>
      <c r="GTT68" s="684"/>
      <c r="GTU68" s="684"/>
      <c r="GTV68" s="684"/>
      <c r="GTW68" s="684"/>
      <c r="GTX68" s="684"/>
      <c r="GTY68" s="684"/>
      <c r="GTZ68" s="684"/>
      <c r="GUA68" s="684"/>
      <c r="GUB68" s="684"/>
      <c r="GUC68" s="684"/>
      <c r="GUD68" s="684"/>
      <c r="GUE68" s="684"/>
      <c r="GUF68" s="684"/>
      <c r="GUG68" s="684"/>
      <c r="GUH68" s="684"/>
      <c r="GUI68" s="684"/>
      <c r="GUJ68" s="684"/>
      <c r="GUK68" s="684"/>
      <c r="GUL68" s="684"/>
      <c r="GUM68" s="684"/>
      <c r="GUN68" s="684"/>
      <c r="GUO68" s="684"/>
      <c r="GUP68" s="684"/>
      <c r="GUQ68" s="684"/>
      <c r="GUR68" s="684"/>
      <c r="GUS68" s="684"/>
      <c r="GUT68" s="684"/>
      <c r="GUU68" s="684"/>
      <c r="GUV68" s="684"/>
      <c r="GUW68" s="684"/>
      <c r="GUX68" s="684"/>
      <c r="GUY68" s="684"/>
      <c r="GUZ68" s="684"/>
      <c r="GVA68" s="684"/>
      <c r="GVB68" s="684"/>
      <c r="GVC68" s="684"/>
      <c r="GVD68" s="684"/>
      <c r="GVE68" s="684"/>
      <c r="GVF68" s="684"/>
      <c r="GVG68" s="684"/>
      <c r="GVH68" s="684"/>
      <c r="GVI68" s="684"/>
      <c r="GVJ68" s="684"/>
      <c r="GVK68" s="684"/>
      <c r="GVL68" s="684"/>
      <c r="GVM68" s="684"/>
      <c r="GVN68" s="684"/>
      <c r="GVO68" s="684"/>
      <c r="GVP68" s="684"/>
      <c r="GVQ68" s="684"/>
      <c r="GVR68" s="684"/>
      <c r="GVS68" s="684"/>
      <c r="GVT68" s="684"/>
      <c r="GVU68" s="684"/>
      <c r="GVV68" s="684"/>
      <c r="GVW68" s="684"/>
      <c r="GVX68" s="684"/>
      <c r="GVY68" s="684"/>
      <c r="GVZ68" s="684"/>
      <c r="GWA68" s="684"/>
      <c r="GWB68" s="684"/>
      <c r="GWC68" s="684"/>
      <c r="GWD68" s="684"/>
      <c r="GWE68" s="684"/>
      <c r="GWF68" s="684"/>
      <c r="GWG68" s="684"/>
      <c r="GWH68" s="684"/>
      <c r="GWI68" s="684"/>
      <c r="GWJ68" s="684"/>
      <c r="GWK68" s="684"/>
      <c r="GWL68" s="684"/>
      <c r="GWM68" s="684"/>
      <c r="GWN68" s="684"/>
      <c r="GWO68" s="684"/>
      <c r="GWP68" s="684"/>
      <c r="GWQ68" s="684"/>
      <c r="GWR68" s="684"/>
      <c r="GWS68" s="684"/>
      <c r="GWT68" s="684"/>
      <c r="GWU68" s="684"/>
      <c r="GWV68" s="684"/>
      <c r="GWW68" s="684"/>
      <c r="GWX68" s="684"/>
      <c r="GWY68" s="684"/>
      <c r="GWZ68" s="684"/>
      <c r="GXA68" s="684"/>
      <c r="GXB68" s="684"/>
      <c r="GXC68" s="684"/>
      <c r="GXD68" s="684"/>
      <c r="GXE68" s="684"/>
      <c r="GXF68" s="684"/>
      <c r="GXG68" s="684"/>
      <c r="GXH68" s="684"/>
      <c r="GXI68" s="684"/>
      <c r="GXJ68" s="684"/>
      <c r="GXK68" s="684"/>
      <c r="GXL68" s="684"/>
      <c r="GXM68" s="684"/>
      <c r="GXN68" s="684"/>
      <c r="GXO68" s="684"/>
      <c r="GXP68" s="684"/>
      <c r="GXQ68" s="684"/>
      <c r="GXR68" s="684"/>
      <c r="GXS68" s="684"/>
      <c r="GXT68" s="684"/>
      <c r="GXU68" s="684"/>
      <c r="GXV68" s="684"/>
      <c r="GXW68" s="684"/>
      <c r="GXX68" s="684"/>
      <c r="GXY68" s="684"/>
      <c r="GXZ68" s="684"/>
      <c r="GYA68" s="684"/>
      <c r="GYB68" s="684"/>
      <c r="GYC68" s="684"/>
      <c r="GYD68" s="684"/>
      <c r="GYE68" s="684"/>
      <c r="GYF68" s="684"/>
      <c r="GYG68" s="684"/>
      <c r="GYH68" s="684"/>
      <c r="GYI68" s="684"/>
      <c r="GYJ68" s="684"/>
      <c r="GYK68" s="684"/>
      <c r="GYL68" s="684"/>
      <c r="GYM68" s="684"/>
      <c r="GYN68" s="684"/>
      <c r="GYO68" s="684"/>
      <c r="GYP68" s="684"/>
      <c r="GYQ68" s="684"/>
      <c r="GYR68" s="684"/>
      <c r="GYS68" s="684"/>
      <c r="GYT68" s="684"/>
      <c r="GYU68" s="684"/>
      <c r="GYV68" s="684"/>
      <c r="GYW68" s="684"/>
      <c r="GYX68" s="684"/>
      <c r="GYY68" s="684"/>
      <c r="GYZ68" s="684"/>
      <c r="GZA68" s="684"/>
      <c r="GZB68" s="684"/>
      <c r="GZC68" s="684"/>
      <c r="GZD68" s="684"/>
      <c r="GZE68" s="684"/>
      <c r="GZF68" s="684"/>
      <c r="GZG68" s="684"/>
      <c r="GZH68" s="684"/>
      <c r="GZI68" s="684"/>
      <c r="GZJ68" s="684"/>
      <c r="GZK68" s="684"/>
      <c r="GZL68" s="684"/>
      <c r="GZM68" s="684"/>
      <c r="GZN68" s="684"/>
      <c r="GZO68" s="684"/>
      <c r="GZP68" s="684"/>
      <c r="GZQ68" s="684"/>
      <c r="GZR68" s="684"/>
      <c r="GZS68" s="684"/>
      <c r="GZT68" s="684"/>
      <c r="GZU68" s="684"/>
      <c r="GZV68" s="684"/>
      <c r="GZW68" s="684"/>
      <c r="GZX68" s="684"/>
      <c r="GZY68" s="684"/>
      <c r="GZZ68" s="684"/>
      <c r="HAA68" s="684"/>
      <c r="HAB68" s="684"/>
      <c r="HAC68" s="684"/>
      <c r="HAD68" s="684"/>
      <c r="HAE68" s="684"/>
      <c r="HAF68" s="684"/>
      <c r="HAG68" s="684"/>
      <c r="HAH68" s="684"/>
      <c r="HAI68" s="684"/>
      <c r="HAJ68" s="684"/>
      <c r="HAK68" s="684"/>
      <c r="HAL68" s="684"/>
      <c r="HAM68" s="684"/>
      <c r="HAN68" s="684"/>
      <c r="HAO68" s="684"/>
      <c r="HAP68" s="684"/>
      <c r="HAQ68" s="684"/>
      <c r="HAR68" s="684"/>
      <c r="HAS68" s="684"/>
      <c r="HAT68" s="684"/>
      <c r="HAU68" s="684"/>
      <c r="HAV68" s="684"/>
      <c r="HAW68" s="684"/>
      <c r="HAX68" s="684"/>
      <c r="HAY68" s="684"/>
      <c r="HAZ68" s="684"/>
      <c r="HBA68" s="684"/>
      <c r="HBB68" s="684"/>
      <c r="HBC68" s="684"/>
      <c r="HBD68" s="684"/>
      <c r="HBE68" s="684"/>
      <c r="HBF68" s="684"/>
      <c r="HBG68" s="684"/>
      <c r="HBH68" s="684"/>
      <c r="HBI68" s="684"/>
      <c r="HBJ68" s="684"/>
      <c r="HBK68" s="684"/>
      <c r="HBL68" s="684"/>
      <c r="HBM68" s="684"/>
      <c r="HBN68" s="684"/>
      <c r="HBO68" s="684"/>
      <c r="HBP68" s="684"/>
      <c r="HBQ68" s="684"/>
      <c r="HBR68" s="684"/>
      <c r="HBS68" s="684"/>
      <c r="HBT68" s="684"/>
      <c r="HBU68" s="684"/>
      <c r="HBV68" s="684"/>
      <c r="HBW68" s="684"/>
      <c r="HBX68" s="684"/>
      <c r="HBY68" s="684"/>
      <c r="HBZ68" s="684"/>
      <c r="HCA68" s="684"/>
      <c r="HCB68" s="684"/>
      <c r="HCC68" s="684"/>
      <c r="HCD68" s="684"/>
      <c r="HCE68" s="684"/>
      <c r="HCF68" s="684"/>
      <c r="HCG68" s="684"/>
      <c r="HCH68" s="684"/>
      <c r="HCI68" s="684"/>
      <c r="HCJ68" s="684"/>
      <c r="HCK68" s="684"/>
      <c r="HCL68" s="684"/>
      <c r="HCM68" s="684"/>
      <c r="HCN68" s="684"/>
      <c r="HCO68" s="684"/>
      <c r="HCP68" s="684"/>
      <c r="HCQ68" s="684"/>
      <c r="HCR68" s="684"/>
      <c r="HCS68" s="684"/>
      <c r="HCT68" s="684"/>
      <c r="HCU68" s="684"/>
      <c r="HCV68" s="684"/>
      <c r="HCW68" s="684"/>
      <c r="HCX68" s="684"/>
      <c r="HCY68" s="684"/>
      <c r="HCZ68" s="684"/>
      <c r="HDA68" s="684"/>
      <c r="HDB68" s="684"/>
      <c r="HDC68" s="684"/>
      <c r="HDD68" s="684"/>
      <c r="HDE68" s="684"/>
      <c r="HDF68" s="684"/>
      <c r="HDG68" s="684"/>
      <c r="HDH68" s="684"/>
      <c r="HDI68" s="684"/>
      <c r="HDJ68" s="684"/>
      <c r="HDK68" s="684"/>
      <c r="HDL68" s="684"/>
      <c r="HDM68" s="684"/>
      <c r="HDN68" s="684"/>
      <c r="HDO68" s="684"/>
      <c r="HDP68" s="684"/>
      <c r="HDQ68" s="684"/>
      <c r="HDR68" s="684"/>
      <c r="HDS68" s="684"/>
      <c r="HDT68" s="684"/>
      <c r="HDU68" s="684"/>
      <c r="HDV68" s="684"/>
      <c r="HDW68" s="684"/>
      <c r="HDX68" s="684"/>
      <c r="HDY68" s="684"/>
      <c r="HDZ68" s="684"/>
      <c r="HEA68" s="684"/>
      <c r="HEB68" s="684"/>
      <c r="HEC68" s="684"/>
      <c r="HED68" s="684"/>
      <c r="HEE68" s="684"/>
      <c r="HEF68" s="684"/>
      <c r="HEG68" s="684"/>
      <c r="HEH68" s="684"/>
      <c r="HEI68" s="684"/>
      <c r="HEJ68" s="684"/>
      <c r="HEK68" s="684"/>
      <c r="HEL68" s="684"/>
      <c r="HEM68" s="684"/>
      <c r="HEN68" s="684"/>
      <c r="HEO68" s="684"/>
      <c r="HEP68" s="684"/>
      <c r="HEQ68" s="684"/>
      <c r="HER68" s="684"/>
      <c r="HES68" s="684"/>
      <c r="HET68" s="684"/>
      <c r="HEU68" s="684"/>
      <c r="HEV68" s="684"/>
      <c r="HEW68" s="684"/>
      <c r="HEX68" s="684"/>
      <c r="HEY68" s="684"/>
      <c r="HEZ68" s="684"/>
      <c r="HFA68" s="684"/>
      <c r="HFB68" s="684"/>
      <c r="HFC68" s="684"/>
      <c r="HFD68" s="684"/>
      <c r="HFE68" s="684"/>
      <c r="HFF68" s="684"/>
      <c r="HFG68" s="684"/>
      <c r="HFH68" s="684"/>
      <c r="HFI68" s="684"/>
      <c r="HFJ68" s="684"/>
      <c r="HFK68" s="684"/>
      <c r="HFL68" s="684"/>
      <c r="HFM68" s="684"/>
      <c r="HFN68" s="684"/>
      <c r="HFO68" s="684"/>
      <c r="HFP68" s="684"/>
      <c r="HFQ68" s="684"/>
      <c r="HFR68" s="684"/>
      <c r="HFS68" s="684"/>
      <c r="HFT68" s="684"/>
      <c r="HFU68" s="684"/>
      <c r="HFV68" s="684"/>
      <c r="HFW68" s="684"/>
      <c r="HFX68" s="684"/>
      <c r="HFY68" s="684"/>
      <c r="HFZ68" s="684"/>
      <c r="HGA68" s="684"/>
      <c r="HGB68" s="684"/>
      <c r="HGC68" s="684"/>
      <c r="HGD68" s="684"/>
      <c r="HGE68" s="684"/>
      <c r="HGF68" s="684"/>
      <c r="HGG68" s="684"/>
      <c r="HGH68" s="684"/>
      <c r="HGI68" s="684"/>
      <c r="HGJ68" s="684"/>
      <c r="HGK68" s="684"/>
      <c r="HGL68" s="684"/>
      <c r="HGM68" s="684"/>
      <c r="HGN68" s="684"/>
      <c r="HGO68" s="684"/>
      <c r="HGP68" s="684"/>
      <c r="HGQ68" s="684"/>
      <c r="HGR68" s="684"/>
      <c r="HGS68" s="684"/>
      <c r="HGT68" s="684"/>
      <c r="HGU68" s="684"/>
      <c r="HGV68" s="684"/>
      <c r="HGW68" s="684"/>
      <c r="HGX68" s="684"/>
      <c r="HGY68" s="684"/>
      <c r="HGZ68" s="684"/>
      <c r="HHA68" s="684"/>
      <c r="HHB68" s="684"/>
      <c r="HHC68" s="684"/>
      <c r="HHD68" s="684"/>
      <c r="HHE68" s="684"/>
      <c r="HHF68" s="684"/>
      <c r="HHG68" s="684"/>
      <c r="HHH68" s="684"/>
      <c r="HHI68" s="684"/>
      <c r="HHJ68" s="684"/>
      <c r="HHK68" s="684"/>
      <c r="HHL68" s="684"/>
      <c r="HHM68" s="684"/>
      <c r="HHN68" s="684"/>
      <c r="HHO68" s="684"/>
      <c r="HHP68" s="684"/>
      <c r="HHQ68" s="684"/>
      <c r="HHR68" s="684"/>
      <c r="HHS68" s="684"/>
      <c r="HHT68" s="684"/>
      <c r="HHU68" s="684"/>
      <c r="HHV68" s="684"/>
      <c r="HHW68" s="684"/>
      <c r="HHX68" s="684"/>
      <c r="HHY68" s="684"/>
      <c r="HHZ68" s="684"/>
      <c r="HIA68" s="684"/>
      <c r="HIB68" s="684"/>
      <c r="HIC68" s="684"/>
      <c r="HID68" s="684"/>
      <c r="HIE68" s="684"/>
      <c r="HIF68" s="684"/>
      <c r="HIG68" s="684"/>
      <c r="HIH68" s="684"/>
      <c r="HII68" s="684"/>
      <c r="HIJ68" s="684"/>
      <c r="HIK68" s="684"/>
      <c r="HIL68" s="684"/>
      <c r="HIM68" s="684"/>
      <c r="HIN68" s="684"/>
      <c r="HIO68" s="684"/>
      <c r="HIP68" s="684"/>
      <c r="HIQ68" s="684"/>
      <c r="HIR68" s="684"/>
      <c r="HIS68" s="684"/>
      <c r="HIT68" s="684"/>
      <c r="HIU68" s="684"/>
      <c r="HIV68" s="684"/>
      <c r="HIW68" s="684"/>
      <c r="HIX68" s="684"/>
      <c r="HIY68" s="684"/>
      <c r="HIZ68" s="684"/>
      <c r="HJA68" s="684"/>
      <c r="HJB68" s="684"/>
      <c r="HJC68" s="684"/>
      <c r="HJD68" s="684"/>
      <c r="HJE68" s="684"/>
      <c r="HJF68" s="684"/>
      <c r="HJG68" s="684"/>
      <c r="HJH68" s="684"/>
      <c r="HJI68" s="684"/>
      <c r="HJJ68" s="684"/>
      <c r="HJK68" s="684"/>
      <c r="HJL68" s="684"/>
      <c r="HJM68" s="684"/>
      <c r="HJN68" s="684"/>
      <c r="HJO68" s="684"/>
      <c r="HJP68" s="684"/>
      <c r="HJQ68" s="684"/>
      <c r="HJR68" s="684"/>
      <c r="HJS68" s="684"/>
      <c r="HJT68" s="684"/>
      <c r="HJU68" s="684"/>
      <c r="HJV68" s="684"/>
      <c r="HJW68" s="684"/>
      <c r="HJX68" s="684"/>
      <c r="HJY68" s="684"/>
      <c r="HJZ68" s="684"/>
      <c r="HKA68" s="684"/>
      <c r="HKB68" s="684"/>
      <c r="HKC68" s="684"/>
      <c r="HKD68" s="684"/>
      <c r="HKE68" s="684"/>
      <c r="HKF68" s="684"/>
      <c r="HKG68" s="684"/>
      <c r="HKH68" s="684"/>
      <c r="HKI68" s="684"/>
      <c r="HKJ68" s="684"/>
      <c r="HKK68" s="684"/>
      <c r="HKL68" s="684"/>
      <c r="HKM68" s="684"/>
      <c r="HKN68" s="684"/>
      <c r="HKO68" s="684"/>
      <c r="HKP68" s="684"/>
      <c r="HKQ68" s="684"/>
      <c r="HKR68" s="684"/>
      <c r="HKS68" s="684"/>
      <c r="HKT68" s="684"/>
      <c r="HKU68" s="684"/>
      <c r="HKV68" s="684"/>
      <c r="HKW68" s="684"/>
      <c r="HKX68" s="684"/>
      <c r="HKY68" s="684"/>
      <c r="HKZ68" s="684"/>
      <c r="HLA68" s="684"/>
      <c r="HLB68" s="684"/>
      <c r="HLC68" s="684"/>
      <c r="HLD68" s="684"/>
      <c r="HLE68" s="684"/>
      <c r="HLF68" s="684"/>
      <c r="HLG68" s="684"/>
      <c r="HLH68" s="684"/>
      <c r="HLI68" s="684"/>
      <c r="HLJ68" s="684"/>
      <c r="HLK68" s="684"/>
      <c r="HLL68" s="684"/>
      <c r="HLM68" s="684"/>
      <c r="HLN68" s="684"/>
      <c r="HLO68" s="684"/>
      <c r="HLP68" s="684"/>
      <c r="HLQ68" s="684"/>
      <c r="HLR68" s="684"/>
      <c r="HLS68" s="684"/>
      <c r="HLT68" s="684"/>
      <c r="HLU68" s="684"/>
      <c r="HLV68" s="684"/>
      <c r="HLW68" s="684"/>
      <c r="HLX68" s="684"/>
      <c r="HLY68" s="684"/>
      <c r="HLZ68" s="684"/>
      <c r="HMA68" s="684"/>
      <c r="HMB68" s="684"/>
      <c r="HMC68" s="684"/>
      <c r="HMD68" s="684"/>
      <c r="HME68" s="684"/>
      <c r="HMF68" s="684"/>
      <c r="HMG68" s="684"/>
      <c r="HMH68" s="684"/>
      <c r="HMI68" s="684"/>
      <c r="HMJ68" s="684"/>
      <c r="HMK68" s="684"/>
      <c r="HML68" s="684"/>
      <c r="HMM68" s="684"/>
      <c r="HMN68" s="684"/>
      <c r="HMO68" s="684"/>
      <c r="HMP68" s="684"/>
      <c r="HMQ68" s="684"/>
      <c r="HMR68" s="684"/>
      <c r="HMS68" s="684"/>
      <c r="HMT68" s="684"/>
      <c r="HMU68" s="684"/>
      <c r="HMV68" s="684"/>
      <c r="HMW68" s="684"/>
      <c r="HMX68" s="684"/>
      <c r="HMY68" s="684"/>
      <c r="HMZ68" s="684"/>
      <c r="HNA68" s="684"/>
      <c r="HNB68" s="684"/>
      <c r="HNC68" s="684"/>
      <c r="HND68" s="684"/>
      <c r="HNE68" s="684"/>
      <c r="HNF68" s="684"/>
      <c r="HNG68" s="684"/>
      <c r="HNH68" s="684"/>
      <c r="HNI68" s="684"/>
      <c r="HNJ68" s="684"/>
      <c r="HNK68" s="684"/>
      <c r="HNL68" s="684"/>
      <c r="HNM68" s="684"/>
      <c r="HNN68" s="684"/>
      <c r="HNO68" s="684"/>
      <c r="HNP68" s="684"/>
      <c r="HNQ68" s="684"/>
      <c r="HNR68" s="684"/>
      <c r="HNS68" s="684"/>
      <c r="HNT68" s="684"/>
      <c r="HNU68" s="684"/>
      <c r="HNV68" s="684"/>
      <c r="HNW68" s="684"/>
      <c r="HNX68" s="684"/>
      <c r="HNY68" s="684"/>
      <c r="HNZ68" s="684"/>
      <c r="HOA68" s="684"/>
      <c r="HOB68" s="684"/>
      <c r="HOC68" s="684"/>
      <c r="HOD68" s="684"/>
      <c r="HOE68" s="684"/>
      <c r="HOF68" s="684"/>
      <c r="HOG68" s="684"/>
      <c r="HOH68" s="684"/>
      <c r="HOI68" s="684"/>
      <c r="HOJ68" s="684"/>
      <c r="HOK68" s="684"/>
      <c r="HOL68" s="684"/>
      <c r="HOM68" s="684"/>
      <c r="HON68" s="684"/>
      <c r="HOO68" s="684"/>
      <c r="HOP68" s="684"/>
      <c r="HOQ68" s="684"/>
      <c r="HOR68" s="684"/>
      <c r="HOS68" s="684"/>
      <c r="HOT68" s="684"/>
      <c r="HOU68" s="684"/>
      <c r="HOV68" s="684"/>
      <c r="HOW68" s="684"/>
      <c r="HOX68" s="684"/>
      <c r="HOY68" s="684"/>
      <c r="HOZ68" s="684"/>
      <c r="HPA68" s="684"/>
      <c r="HPB68" s="684"/>
      <c r="HPC68" s="684"/>
      <c r="HPD68" s="684"/>
      <c r="HPE68" s="684"/>
      <c r="HPF68" s="684"/>
      <c r="HPG68" s="684"/>
      <c r="HPH68" s="684"/>
      <c r="HPI68" s="684"/>
      <c r="HPJ68" s="684"/>
      <c r="HPK68" s="684"/>
      <c r="HPL68" s="684"/>
      <c r="HPM68" s="684"/>
      <c r="HPN68" s="684"/>
      <c r="HPO68" s="684"/>
      <c r="HPP68" s="684"/>
      <c r="HPQ68" s="684"/>
      <c r="HPR68" s="684"/>
      <c r="HPS68" s="684"/>
      <c r="HPT68" s="684"/>
      <c r="HPU68" s="684"/>
      <c r="HPV68" s="684"/>
      <c r="HPW68" s="684"/>
      <c r="HPX68" s="684"/>
      <c r="HPY68" s="684"/>
      <c r="HPZ68" s="684"/>
      <c r="HQA68" s="684"/>
      <c r="HQB68" s="684"/>
      <c r="HQC68" s="684"/>
      <c r="HQD68" s="684"/>
      <c r="HQE68" s="684"/>
      <c r="HQF68" s="684"/>
      <c r="HQG68" s="684"/>
      <c r="HQH68" s="684"/>
      <c r="HQI68" s="684"/>
      <c r="HQJ68" s="684"/>
      <c r="HQK68" s="684"/>
      <c r="HQL68" s="684"/>
      <c r="HQM68" s="684"/>
      <c r="HQN68" s="684"/>
      <c r="HQO68" s="684"/>
      <c r="HQP68" s="684"/>
      <c r="HQQ68" s="684"/>
      <c r="HQR68" s="684"/>
      <c r="HQS68" s="684"/>
      <c r="HQT68" s="684"/>
      <c r="HQU68" s="684"/>
      <c r="HQV68" s="684"/>
      <c r="HQW68" s="684"/>
      <c r="HQX68" s="684"/>
      <c r="HQY68" s="684"/>
      <c r="HQZ68" s="684"/>
      <c r="HRA68" s="684"/>
      <c r="HRB68" s="684"/>
      <c r="HRC68" s="684"/>
      <c r="HRD68" s="684"/>
      <c r="HRE68" s="684"/>
      <c r="HRF68" s="684"/>
      <c r="HRG68" s="684"/>
      <c r="HRH68" s="684"/>
      <c r="HRI68" s="684"/>
      <c r="HRJ68" s="684"/>
      <c r="HRK68" s="684"/>
      <c r="HRL68" s="684"/>
      <c r="HRM68" s="684"/>
      <c r="HRN68" s="684"/>
      <c r="HRO68" s="684"/>
      <c r="HRP68" s="684"/>
      <c r="HRQ68" s="684"/>
      <c r="HRR68" s="684"/>
      <c r="HRS68" s="684"/>
      <c r="HRT68" s="684"/>
      <c r="HRU68" s="684"/>
      <c r="HRV68" s="684"/>
      <c r="HRW68" s="684"/>
      <c r="HRX68" s="684"/>
      <c r="HRY68" s="684"/>
      <c r="HRZ68" s="684"/>
      <c r="HSA68" s="684"/>
      <c r="HSB68" s="684"/>
      <c r="HSC68" s="684"/>
      <c r="HSD68" s="684"/>
      <c r="HSE68" s="684"/>
      <c r="HSF68" s="684"/>
      <c r="HSG68" s="684"/>
      <c r="HSH68" s="684"/>
      <c r="HSI68" s="684"/>
      <c r="HSJ68" s="684"/>
      <c r="HSK68" s="684"/>
      <c r="HSL68" s="684"/>
      <c r="HSM68" s="684"/>
      <c r="HSN68" s="684"/>
      <c r="HSO68" s="684"/>
      <c r="HSP68" s="684"/>
      <c r="HSQ68" s="684"/>
      <c r="HSR68" s="684"/>
      <c r="HSS68" s="684"/>
      <c r="HST68" s="684"/>
      <c r="HSU68" s="684"/>
      <c r="HSV68" s="684"/>
      <c r="HSW68" s="684"/>
      <c r="HSX68" s="684"/>
      <c r="HSY68" s="684"/>
      <c r="HSZ68" s="684"/>
      <c r="HTA68" s="684"/>
      <c r="HTB68" s="684"/>
      <c r="HTC68" s="684"/>
      <c r="HTD68" s="684"/>
      <c r="HTE68" s="684"/>
      <c r="HTF68" s="684"/>
      <c r="HTG68" s="684"/>
      <c r="HTH68" s="684"/>
      <c r="HTI68" s="684"/>
      <c r="HTJ68" s="684"/>
      <c r="HTK68" s="684"/>
      <c r="HTL68" s="684"/>
      <c r="HTM68" s="684"/>
      <c r="HTN68" s="684"/>
      <c r="HTO68" s="684"/>
      <c r="HTP68" s="684"/>
      <c r="HTQ68" s="684"/>
      <c r="HTR68" s="684"/>
      <c r="HTS68" s="684"/>
      <c r="HTT68" s="684"/>
      <c r="HTU68" s="684"/>
      <c r="HTV68" s="684"/>
      <c r="HTW68" s="684"/>
      <c r="HTX68" s="684"/>
      <c r="HTY68" s="684"/>
      <c r="HTZ68" s="684"/>
      <c r="HUA68" s="684"/>
      <c r="HUB68" s="684"/>
      <c r="HUC68" s="684"/>
      <c r="HUD68" s="684"/>
      <c r="HUE68" s="684"/>
      <c r="HUF68" s="684"/>
      <c r="HUG68" s="684"/>
      <c r="HUH68" s="684"/>
      <c r="HUI68" s="684"/>
      <c r="HUJ68" s="684"/>
      <c r="HUK68" s="684"/>
      <c r="HUL68" s="684"/>
      <c r="HUM68" s="684"/>
      <c r="HUN68" s="684"/>
      <c r="HUO68" s="684"/>
      <c r="HUP68" s="684"/>
      <c r="HUQ68" s="684"/>
      <c r="HUR68" s="684"/>
      <c r="HUS68" s="684"/>
      <c r="HUT68" s="684"/>
      <c r="HUU68" s="684"/>
      <c r="HUV68" s="684"/>
      <c r="HUW68" s="684"/>
      <c r="HUX68" s="684"/>
      <c r="HUY68" s="684"/>
      <c r="HUZ68" s="684"/>
      <c r="HVA68" s="684"/>
      <c r="HVB68" s="684"/>
      <c r="HVC68" s="684"/>
      <c r="HVD68" s="684"/>
      <c r="HVE68" s="684"/>
      <c r="HVF68" s="684"/>
      <c r="HVG68" s="684"/>
      <c r="HVH68" s="684"/>
      <c r="HVI68" s="684"/>
      <c r="HVJ68" s="684"/>
      <c r="HVK68" s="684"/>
      <c r="HVL68" s="684"/>
      <c r="HVM68" s="684"/>
      <c r="HVN68" s="684"/>
      <c r="HVO68" s="684"/>
      <c r="HVP68" s="684"/>
      <c r="HVQ68" s="684"/>
      <c r="HVR68" s="684"/>
      <c r="HVS68" s="684"/>
      <c r="HVT68" s="684"/>
      <c r="HVU68" s="684"/>
      <c r="HVV68" s="684"/>
      <c r="HVW68" s="684"/>
      <c r="HVX68" s="684"/>
      <c r="HVY68" s="684"/>
      <c r="HVZ68" s="684"/>
      <c r="HWA68" s="684"/>
      <c r="HWB68" s="684"/>
      <c r="HWC68" s="684"/>
      <c r="HWD68" s="684"/>
      <c r="HWE68" s="684"/>
      <c r="HWF68" s="684"/>
      <c r="HWG68" s="684"/>
      <c r="HWH68" s="684"/>
      <c r="HWI68" s="684"/>
      <c r="HWJ68" s="684"/>
      <c r="HWK68" s="684"/>
      <c r="HWL68" s="684"/>
      <c r="HWM68" s="684"/>
      <c r="HWN68" s="684"/>
      <c r="HWO68" s="684"/>
      <c r="HWP68" s="684"/>
      <c r="HWQ68" s="684"/>
      <c r="HWR68" s="684"/>
      <c r="HWS68" s="684"/>
      <c r="HWT68" s="684"/>
      <c r="HWU68" s="684"/>
      <c r="HWV68" s="684"/>
      <c r="HWW68" s="684"/>
      <c r="HWX68" s="684"/>
      <c r="HWY68" s="684"/>
      <c r="HWZ68" s="684"/>
      <c r="HXA68" s="684"/>
      <c r="HXB68" s="684"/>
      <c r="HXC68" s="684"/>
      <c r="HXD68" s="684"/>
      <c r="HXE68" s="684"/>
      <c r="HXF68" s="684"/>
      <c r="HXG68" s="684"/>
      <c r="HXH68" s="684"/>
      <c r="HXI68" s="684"/>
      <c r="HXJ68" s="684"/>
      <c r="HXK68" s="684"/>
      <c r="HXL68" s="684"/>
      <c r="HXM68" s="684"/>
      <c r="HXN68" s="684"/>
      <c r="HXO68" s="684"/>
      <c r="HXP68" s="684"/>
      <c r="HXQ68" s="684"/>
      <c r="HXR68" s="684"/>
      <c r="HXS68" s="684"/>
      <c r="HXT68" s="684"/>
      <c r="HXU68" s="684"/>
      <c r="HXV68" s="684"/>
      <c r="HXW68" s="684"/>
      <c r="HXX68" s="684"/>
      <c r="HXY68" s="684"/>
      <c r="HXZ68" s="684"/>
      <c r="HYA68" s="684"/>
      <c r="HYB68" s="684"/>
      <c r="HYC68" s="684"/>
      <c r="HYD68" s="684"/>
      <c r="HYE68" s="684"/>
      <c r="HYF68" s="684"/>
      <c r="HYG68" s="684"/>
      <c r="HYH68" s="684"/>
      <c r="HYI68" s="684"/>
      <c r="HYJ68" s="684"/>
      <c r="HYK68" s="684"/>
      <c r="HYL68" s="684"/>
      <c r="HYM68" s="684"/>
      <c r="HYN68" s="684"/>
      <c r="HYO68" s="684"/>
      <c r="HYP68" s="684"/>
      <c r="HYQ68" s="684"/>
      <c r="HYR68" s="684"/>
      <c r="HYS68" s="684"/>
      <c r="HYT68" s="684"/>
      <c r="HYU68" s="684"/>
      <c r="HYV68" s="684"/>
      <c r="HYW68" s="684"/>
      <c r="HYX68" s="684"/>
      <c r="HYY68" s="684"/>
      <c r="HYZ68" s="684"/>
      <c r="HZA68" s="684"/>
      <c r="HZB68" s="684"/>
      <c r="HZC68" s="684"/>
      <c r="HZD68" s="684"/>
      <c r="HZE68" s="684"/>
      <c r="HZF68" s="684"/>
      <c r="HZG68" s="684"/>
      <c r="HZH68" s="684"/>
      <c r="HZI68" s="684"/>
      <c r="HZJ68" s="684"/>
      <c r="HZK68" s="684"/>
      <c r="HZL68" s="684"/>
      <c r="HZM68" s="684"/>
      <c r="HZN68" s="684"/>
      <c r="HZO68" s="684"/>
      <c r="HZP68" s="684"/>
      <c r="HZQ68" s="684"/>
      <c r="HZR68" s="684"/>
      <c r="HZS68" s="684"/>
      <c r="HZT68" s="684"/>
      <c r="HZU68" s="684"/>
      <c r="HZV68" s="684"/>
      <c r="HZW68" s="684"/>
      <c r="HZX68" s="684"/>
      <c r="HZY68" s="684"/>
      <c r="HZZ68" s="684"/>
      <c r="IAA68" s="684"/>
      <c r="IAB68" s="684"/>
      <c r="IAC68" s="684"/>
      <c r="IAD68" s="684"/>
      <c r="IAE68" s="684"/>
      <c r="IAF68" s="684"/>
      <c r="IAG68" s="684"/>
      <c r="IAH68" s="684"/>
      <c r="IAI68" s="684"/>
      <c r="IAJ68" s="684"/>
      <c r="IAK68" s="684"/>
      <c r="IAL68" s="684"/>
      <c r="IAM68" s="684"/>
      <c r="IAN68" s="684"/>
      <c r="IAO68" s="684"/>
      <c r="IAP68" s="684"/>
      <c r="IAQ68" s="684"/>
      <c r="IAR68" s="684"/>
      <c r="IAS68" s="684"/>
      <c r="IAT68" s="684"/>
      <c r="IAU68" s="684"/>
      <c r="IAV68" s="684"/>
      <c r="IAW68" s="684"/>
      <c r="IAX68" s="684"/>
      <c r="IAY68" s="684"/>
      <c r="IAZ68" s="684"/>
      <c r="IBA68" s="684"/>
      <c r="IBB68" s="684"/>
      <c r="IBC68" s="684"/>
      <c r="IBD68" s="684"/>
      <c r="IBE68" s="684"/>
      <c r="IBF68" s="684"/>
      <c r="IBG68" s="684"/>
      <c r="IBH68" s="684"/>
      <c r="IBI68" s="684"/>
      <c r="IBJ68" s="684"/>
      <c r="IBK68" s="684"/>
      <c r="IBL68" s="684"/>
      <c r="IBM68" s="684"/>
      <c r="IBN68" s="684"/>
      <c r="IBO68" s="684"/>
      <c r="IBP68" s="684"/>
      <c r="IBQ68" s="684"/>
      <c r="IBR68" s="684"/>
      <c r="IBS68" s="684"/>
      <c r="IBT68" s="684"/>
      <c r="IBU68" s="684"/>
      <c r="IBV68" s="684"/>
      <c r="IBW68" s="684"/>
      <c r="IBX68" s="684"/>
      <c r="IBY68" s="684"/>
      <c r="IBZ68" s="684"/>
      <c r="ICA68" s="684"/>
      <c r="ICB68" s="684"/>
      <c r="ICC68" s="684"/>
      <c r="ICD68" s="684"/>
      <c r="ICE68" s="684"/>
      <c r="ICF68" s="684"/>
      <c r="ICG68" s="684"/>
      <c r="ICH68" s="684"/>
      <c r="ICI68" s="684"/>
      <c r="ICJ68" s="684"/>
      <c r="ICK68" s="684"/>
      <c r="ICL68" s="684"/>
      <c r="ICM68" s="684"/>
      <c r="ICN68" s="684"/>
      <c r="ICO68" s="684"/>
      <c r="ICP68" s="684"/>
      <c r="ICQ68" s="684"/>
      <c r="ICR68" s="684"/>
      <c r="ICS68" s="684"/>
      <c r="ICT68" s="684"/>
      <c r="ICU68" s="684"/>
      <c r="ICV68" s="684"/>
      <c r="ICW68" s="684"/>
      <c r="ICX68" s="684"/>
      <c r="ICY68" s="684"/>
      <c r="ICZ68" s="684"/>
      <c r="IDA68" s="684"/>
      <c r="IDB68" s="684"/>
      <c r="IDC68" s="684"/>
      <c r="IDD68" s="684"/>
      <c r="IDE68" s="684"/>
      <c r="IDF68" s="684"/>
      <c r="IDG68" s="684"/>
      <c r="IDH68" s="684"/>
      <c r="IDI68" s="684"/>
      <c r="IDJ68" s="684"/>
      <c r="IDK68" s="684"/>
      <c r="IDL68" s="684"/>
      <c r="IDM68" s="684"/>
      <c r="IDN68" s="684"/>
      <c r="IDO68" s="684"/>
      <c r="IDP68" s="684"/>
      <c r="IDQ68" s="684"/>
      <c r="IDR68" s="684"/>
      <c r="IDS68" s="684"/>
      <c r="IDT68" s="684"/>
      <c r="IDU68" s="684"/>
      <c r="IDV68" s="684"/>
      <c r="IDW68" s="684"/>
      <c r="IDX68" s="684"/>
      <c r="IDY68" s="684"/>
      <c r="IDZ68" s="684"/>
      <c r="IEA68" s="684"/>
      <c r="IEB68" s="684"/>
      <c r="IEC68" s="684"/>
      <c r="IED68" s="684"/>
      <c r="IEE68" s="684"/>
      <c r="IEF68" s="684"/>
      <c r="IEG68" s="684"/>
      <c r="IEH68" s="684"/>
      <c r="IEI68" s="684"/>
      <c r="IEJ68" s="684"/>
      <c r="IEK68" s="684"/>
      <c r="IEL68" s="684"/>
      <c r="IEM68" s="684"/>
      <c r="IEN68" s="684"/>
      <c r="IEO68" s="684"/>
      <c r="IEP68" s="684"/>
      <c r="IEQ68" s="684"/>
      <c r="IER68" s="684"/>
      <c r="IES68" s="684"/>
      <c r="IET68" s="684"/>
      <c r="IEU68" s="684"/>
      <c r="IEV68" s="684"/>
      <c r="IEW68" s="684"/>
      <c r="IEX68" s="684"/>
      <c r="IEY68" s="684"/>
      <c r="IEZ68" s="684"/>
      <c r="IFA68" s="684"/>
      <c r="IFB68" s="684"/>
      <c r="IFC68" s="684"/>
      <c r="IFD68" s="684"/>
      <c r="IFE68" s="684"/>
      <c r="IFF68" s="684"/>
      <c r="IFG68" s="684"/>
      <c r="IFH68" s="684"/>
      <c r="IFI68" s="684"/>
      <c r="IFJ68" s="684"/>
      <c r="IFK68" s="684"/>
      <c r="IFL68" s="684"/>
      <c r="IFM68" s="684"/>
      <c r="IFN68" s="684"/>
      <c r="IFO68" s="684"/>
      <c r="IFP68" s="684"/>
      <c r="IFQ68" s="684"/>
      <c r="IFR68" s="684"/>
      <c r="IFS68" s="684"/>
      <c r="IFT68" s="684"/>
      <c r="IFU68" s="684"/>
      <c r="IFV68" s="684"/>
      <c r="IFW68" s="684"/>
      <c r="IFX68" s="684"/>
      <c r="IFY68" s="684"/>
      <c r="IFZ68" s="684"/>
      <c r="IGA68" s="684"/>
      <c r="IGB68" s="684"/>
      <c r="IGC68" s="684"/>
      <c r="IGD68" s="684"/>
      <c r="IGE68" s="684"/>
      <c r="IGF68" s="684"/>
      <c r="IGG68" s="684"/>
      <c r="IGH68" s="684"/>
      <c r="IGI68" s="684"/>
      <c r="IGJ68" s="684"/>
      <c r="IGK68" s="684"/>
      <c r="IGL68" s="684"/>
      <c r="IGM68" s="684"/>
      <c r="IGN68" s="684"/>
      <c r="IGO68" s="684"/>
      <c r="IGP68" s="684"/>
      <c r="IGQ68" s="684"/>
      <c r="IGR68" s="684"/>
      <c r="IGS68" s="684"/>
      <c r="IGT68" s="684"/>
      <c r="IGU68" s="684"/>
      <c r="IGV68" s="684"/>
      <c r="IGW68" s="684"/>
      <c r="IGX68" s="684"/>
      <c r="IGY68" s="684"/>
      <c r="IGZ68" s="684"/>
      <c r="IHA68" s="684"/>
      <c r="IHB68" s="684"/>
      <c r="IHC68" s="684"/>
      <c r="IHD68" s="684"/>
      <c r="IHE68" s="684"/>
      <c r="IHF68" s="684"/>
      <c r="IHG68" s="684"/>
      <c r="IHH68" s="684"/>
      <c r="IHI68" s="684"/>
      <c r="IHJ68" s="684"/>
      <c r="IHK68" s="684"/>
      <c r="IHL68" s="684"/>
      <c r="IHM68" s="684"/>
      <c r="IHN68" s="684"/>
      <c r="IHO68" s="684"/>
      <c r="IHP68" s="684"/>
      <c r="IHQ68" s="684"/>
      <c r="IHR68" s="684"/>
      <c r="IHS68" s="684"/>
      <c r="IHT68" s="684"/>
      <c r="IHU68" s="684"/>
      <c r="IHV68" s="684"/>
      <c r="IHW68" s="684"/>
      <c r="IHX68" s="684"/>
      <c r="IHY68" s="684"/>
      <c r="IHZ68" s="684"/>
      <c r="IIA68" s="684"/>
      <c r="IIB68" s="684"/>
      <c r="IIC68" s="684"/>
      <c r="IID68" s="684"/>
      <c r="IIE68" s="684"/>
      <c r="IIF68" s="684"/>
      <c r="IIG68" s="684"/>
      <c r="IIH68" s="684"/>
      <c r="III68" s="684"/>
      <c r="IIJ68" s="684"/>
      <c r="IIK68" s="684"/>
      <c r="IIL68" s="684"/>
      <c r="IIM68" s="684"/>
      <c r="IIN68" s="684"/>
      <c r="IIO68" s="684"/>
      <c r="IIP68" s="684"/>
      <c r="IIQ68" s="684"/>
      <c r="IIR68" s="684"/>
      <c r="IIS68" s="684"/>
      <c r="IIT68" s="684"/>
      <c r="IIU68" s="684"/>
      <c r="IIV68" s="684"/>
      <c r="IIW68" s="684"/>
      <c r="IIX68" s="684"/>
      <c r="IIY68" s="684"/>
      <c r="IIZ68" s="684"/>
      <c r="IJA68" s="684"/>
      <c r="IJB68" s="684"/>
      <c r="IJC68" s="684"/>
      <c r="IJD68" s="684"/>
      <c r="IJE68" s="684"/>
      <c r="IJF68" s="684"/>
      <c r="IJG68" s="684"/>
      <c r="IJH68" s="684"/>
      <c r="IJI68" s="684"/>
      <c r="IJJ68" s="684"/>
      <c r="IJK68" s="684"/>
      <c r="IJL68" s="684"/>
      <c r="IJM68" s="684"/>
      <c r="IJN68" s="684"/>
      <c r="IJO68" s="684"/>
      <c r="IJP68" s="684"/>
      <c r="IJQ68" s="684"/>
      <c r="IJR68" s="684"/>
      <c r="IJS68" s="684"/>
      <c r="IJT68" s="684"/>
      <c r="IJU68" s="684"/>
      <c r="IJV68" s="684"/>
      <c r="IJW68" s="684"/>
      <c r="IJX68" s="684"/>
      <c r="IJY68" s="684"/>
      <c r="IJZ68" s="684"/>
      <c r="IKA68" s="684"/>
      <c r="IKB68" s="684"/>
      <c r="IKC68" s="684"/>
      <c r="IKD68" s="684"/>
      <c r="IKE68" s="684"/>
      <c r="IKF68" s="684"/>
      <c r="IKG68" s="684"/>
      <c r="IKH68" s="684"/>
      <c r="IKI68" s="684"/>
      <c r="IKJ68" s="684"/>
      <c r="IKK68" s="684"/>
      <c r="IKL68" s="684"/>
      <c r="IKM68" s="684"/>
      <c r="IKN68" s="684"/>
      <c r="IKO68" s="684"/>
      <c r="IKP68" s="684"/>
      <c r="IKQ68" s="684"/>
      <c r="IKR68" s="684"/>
      <c r="IKS68" s="684"/>
      <c r="IKT68" s="684"/>
      <c r="IKU68" s="684"/>
      <c r="IKV68" s="684"/>
      <c r="IKW68" s="684"/>
      <c r="IKX68" s="684"/>
      <c r="IKY68" s="684"/>
      <c r="IKZ68" s="684"/>
      <c r="ILA68" s="684"/>
      <c r="ILB68" s="684"/>
      <c r="ILC68" s="684"/>
      <c r="ILD68" s="684"/>
      <c r="ILE68" s="684"/>
      <c r="ILF68" s="684"/>
      <c r="ILG68" s="684"/>
      <c r="ILH68" s="684"/>
      <c r="ILI68" s="684"/>
      <c r="ILJ68" s="684"/>
      <c r="ILK68" s="684"/>
      <c r="ILL68" s="684"/>
      <c r="ILM68" s="684"/>
      <c r="ILN68" s="684"/>
      <c r="ILO68" s="684"/>
      <c r="ILP68" s="684"/>
      <c r="ILQ68" s="684"/>
      <c r="ILR68" s="684"/>
      <c r="ILS68" s="684"/>
      <c r="ILT68" s="684"/>
      <c r="ILU68" s="684"/>
      <c r="ILV68" s="684"/>
      <c r="ILW68" s="684"/>
      <c r="ILX68" s="684"/>
      <c r="ILY68" s="684"/>
      <c r="ILZ68" s="684"/>
      <c r="IMA68" s="684"/>
      <c r="IMB68" s="684"/>
      <c r="IMC68" s="684"/>
      <c r="IMD68" s="684"/>
      <c r="IME68" s="684"/>
      <c r="IMF68" s="684"/>
      <c r="IMG68" s="684"/>
      <c r="IMH68" s="684"/>
      <c r="IMI68" s="684"/>
      <c r="IMJ68" s="684"/>
      <c r="IMK68" s="684"/>
      <c r="IML68" s="684"/>
      <c r="IMM68" s="684"/>
      <c r="IMN68" s="684"/>
      <c r="IMO68" s="684"/>
      <c r="IMP68" s="684"/>
      <c r="IMQ68" s="684"/>
      <c r="IMR68" s="684"/>
      <c r="IMS68" s="684"/>
      <c r="IMT68" s="684"/>
      <c r="IMU68" s="684"/>
      <c r="IMV68" s="684"/>
      <c r="IMW68" s="684"/>
      <c r="IMX68" s="684"/>
      <c r="IMY68" s="684"/>
      <c r="IMZ68" s="684"/>
      <c r="INA68" s="684"/>
      <c r="INB68" s="684"/>
      <c r="INC68" s="684"/>
      <c r="IND68" s="684"/>
      <c r="INE68" s="684"/>
      <c r="INF68" s="684"/>
      <c r="ING68" s="684"/>
      <c r="INH68" s="684"/>
      <c r="INI68" s="684"/>
      <c r="INJ68" s="684"/>
      <c r="INK68" s="684"/>
      <c r="INL68" s="684"/>
      <c r="INM68" s="684"/>
      <c r="INN68" s="684"/>
      <c r="INO68" s="684"/>
      <c r="INP68" s="684"/>
      <c r="INQ68" s="684"/>
      <c r="INR68" s="684"/>
      <c r="INS68" s="684"/>
      <c r="INT68" s="684"/>
      <c r="INU68" s="684"/>
      <c r="INV68" s="684"/>
      <c r="INW68" s="684"/>
      <c r="INX68" s="684"/>
      <c r="INY68" s="684"/>
      <c r="INZ68" s="684"/>
      <c r="IOA68" s="684"/>
      <c r="IOB68" s="684"/>
      <c r="IOC68" s="684"/>
      <c r="IOD68" s="684"/>
      <c r="IOE68" s="684"/>
      <c r="IOF68" s="684"/>
      <c r="IOG68" s="684"/>
      <c r="IOH68" s="684"/>
      <c r="IOI68" s="684"/>
      <c r="IOJ68" s="684"/>
      <c r="IOK68" s="684"/>
      <c r="IOL68" s="684"/>
      <c r="IOM68" s="684"/>
      <c r="ION68" s="684"/>
      <c r="IOO68" s="684"/>
      <c r="IOP68" s="684"/>
      <c r="IOQ68" s="684"/>
      <c r="IOR68" s="684"/>
      <c r="IOS68" s="684"/>
      <c r="IOT68" s="684"/>
      <c r="IOU68" s="684"/>
      <c r="IOV68" s="684"/>
      <c r="IOW68" s="684"/>
      <c r="IOX68" s="684"/>
      <c r="IOY68" s="684"/>
      <c r="IOZ68" s="684"/>
      <c r="IPA68" s="684"/>
      <c r="IPB68" s="684"/>
      <c r="IPC68" s="684"/>
      <c r="IPD68" s="684"/>
      <c r="IPE68" s="684"/>
      <c r="IPF68" s="684"/>
      <c r="IPG68" s="684"/>
      <c r="IPH68" s="684"/>
      <c r="IPI68" s="684"/>
      <c r="IPJ68" s="684"/>
      <c r="IPK68" s="684"/>
      <c r="IPL68" s="684"/>
      <c r="IPM68" s="684"/>
      <c r="IPN68" s="684"/>
      <c r="IPO68" s="684"/>
      <c r="IPP68" s="684"/>
      <c r="IPQ68" s="684"/>
      <c r="IPR68" s="684"/>
      <c r="IPS68" s="684"/>
      <c r="IPT68" s="684"/>
      <c r="IPU68" s="684"/>
      <c r="IPV68" s="684"/>
      <c r="IPW68" s="684"/>
      <c r="IPX68" s="684"/>
      <c r="IPY68" s="684"/>
      <c r="IPZ68" s="684"/>
      <c r="IQA68" s="684"/>
      <c r="IQB68" s="684"/>
      <c r="IQC68" s="684"/>
      <c r="IQD68" s="684"/>
      <c r="IQE68" s="684"/>
      <c r="IQF68" s="684"/>
      <c r="IQG68" s="684"/>
      <c r="IQH68" s="684"/>
      <c r="IQI68" s="684"/>
      <c r="IQJ68" s="684"/>
      <c r="IQK68" s="684"/>
      <c r="IQL68" s="684"/>
      <c r="IQM68" s="684"/>
      <c r="IQN68" s="684"/>
      <c r="IQO68" s="684"/>
      <c r="IQP68" s="684"/>
      <c r="IQQ68" s="684"/>
      <c r="IQR68" s="684"/>
      <c r="IQS68" s="684"/>
      <c r="IQT68" s="684"/>
      <c r="IQU68" s="684"/>
      <c r="IQV68" s="684"/>
      <c r="IQW68" s="684"/>
      <c r="IQX68" s="684"/>
      <c r="IQY68" s="684"/>
      <c r="IQZ68" s="684"/>
      <c r="IRA68" s="684"/>
      <c r="IRB68" s="684"/>
      <c r="IRC68" s="684"/>
      <c r="IRD68" s="684"/>
      <c r="IRE68" s="684"/>
      <c r="IRF68" s="684"/>
      <c r="IRG68" s="684"/>
      <c r="IRH68" s="684"/>
      <c r="IRI68" s="684"/>
      <c r="IRJ68" s="684"/>
      <c r="IRK68" s="684"/>
      <c r="IRL68" s="684"/>
      <c r="IRM68" s="684"/>
      <c r="IRN68" s="684"/>
      <c r="IRO68" s="684"/>
      <c r="IRP68" s="684"/>
      <c r="IRQ68" s="684"/>
      <c r="IRR68" s="684"/>
      <c r="IRS68" s="684"/>
      <c r="IRT68" s="684"/>
      <c r="IRU68" s="684"/>
      <c r="IRV68" s="684"/>
      <c r="IRW68" s="684"/>
      <c r="IRX68" s="684"/>
      <c r="IRY68" s="684"/>
      <c r="IRZ68" s="684"/>
      <c r="ISA68" s="684"/>
      <c r="ISB68" s="684"/>
      <c r="ISC68" s="684"/>
      <c r="ISD68" s="684"/>
      <c r="ISE68" s="684"/>
      <c r="ISF68" s="684"/>
      <c r="ISG68" s="684"/>
      <c r="ISH68" s="684"/>
      <c r="ISI68" s="684"/>
      <c r="ISJ68" s="684"/>
      <c r="ISK68" s="684"/>
      <c r="ISL68" s="684"/>
      <c r="ISM68" s="684"/>
      <c r="ISN68" s="684"/>
      <c r="ISO68" s="684"/>
      <c r="ISP68" s="684"/>
      <c r="ISQ68" s="684"/>
      <c r="ISR68" s="684"/>
      <c r="ISS68" s="684"/>
      <c r="IST68" s="684"/>
      <c r="ISU68" s="684"/>
      <c r="ISV68" s="684"/>
      <c r="ISW68" s="684"/>
      <c r="ISX68" s="684"/>
      <c r="ISY68" s="684"/>
      <c r="ISZ68" s="684"/>
      <c r="ITA68" s="684"/>
      <c r="ITB68" s="684"/>
      <c r="ITC68" s="684"/>
      <c r="ITD68" s="684"/>
      <c r="ITE68" s="684"/>
      <c r="ITF68" s="684"/>
      <c r="ITG68" s="684"/>
      <c r="ITH68" s="684"/>
      <c r="ITI68" s="684"/>
      <c r="ITJ68" s="684"/>
      <c r="ITK68" s="684"/>
      <c r="ITL68" s="684"/>
      <c r="ITM68" s="684"/>
      <c r="ITN68" s="684"/>
      <c r="ITO68" s="684"/>
      <c r="ITP68" s="684"/>
      <c r="ITQ68" s="684"/>
      <c r="ITR68" s="684"/>
      <c r="ITS68" s="684"/>
      <c r="ITT68" s="684"/>
      <c r="ITU68" s="684"/>
      <c r="ITV68" s="684"/>
      <c r="ITW68" s="684"/>
      <c r="ITX68" s="684"/>
      <c r="ITY68" s="684"/>
      <c r="ITZ68" s="684"/>
      <c r="IUA68" s="684"/>
      <c r="IUB68" s="684"/>
      <c r="IUC68" s="684"/>
      <c r="IUD68" s="684"/>
      <c r="IUE68" s="684"/>
      <c r="IUF68" s="684"/>
      <c r="IUG68" s="684"/>
      <c r="IUH68" s="684"/>
      <c r="IUI68" s="684"/>
      <c r="IUJ68" s="684"/>
      <c r="IUK68" s="684"/>
      <c r="IUL68" s="684"/>
      <c r="IUM68" s="684"/>
      <c r="IUN68" s="684"/>
      <c r="IUO68" s="684"/>
      <c r="IUP68" s="684"/>
      <c r="IUQ68" s="684"/>
      <c r="IUR68" s="684"/>
      <c r="IUS68" s="684"/>
      <c r="IUT68" s="684"/>
      <c r="IUU68" s="684"/>
      <c r="IUV68" s="684"/>
      <c r="IUW68" s="684"/>
      <c r="IUX68" s="684"/>
      <c r="IUY68" s="684"/>
      <c r="IUZ68" s="684"/>
      <c r="IVA68" s="684"/>
      <c r="IVB68" s="684"/>
      <c r="IVC68" s="684"/>
      <c r="IVD68" s="684"/>
      <c r="IVE68" s="684"/>
      <c r="IVF68" s="684"/>
      <c r="IVG68" s="684"/>
      <c r="IVH68" s="684"/>
      <c r="IVI68" s="684"/>
      <c r="IVJ68" s="684"/>
      <c r="IVK68" s="684"/>
      <c r="IVL68" s="684"/>
      <c r="IVM68" s="684"/>
      <c r="IVN68" s="684"/>
      <c r="IVO68" s="684"/>
      <c r="IVP68" s="684"/>
      <c r="IVQ68" s="684"/>
      <c r="IVR68" s="684"/>
      <c r="IVS68" s="684"/>
      <c r="IVT68" s="684"/>
      <c r="IVU68" s="684"/>
      <c r="IVV68" s="684"/>
      <c r="IVW68" s="684"/>
      <c r="IVX68" s="684"/>
      <c r="IVY68" s="684"/>
      <c r="IVZ68" s="684"/>
      <c r="IWA68" s="684"/>
      <c r="IWB68" s="684"/>
      <c r="IWC68" s="684"/>
      <c r="IWD68" s="684"/>
      <c r="IWE68" s="684"/>
      <c r="IWF68" s="684"/>
      <c r="IWG68" s="684"/>
      <c r="IWH68" s="684"/>
      <c r="IWI68" s="684"/>
      <c r="IWJ68" s="684"/>
      <c r="IWK68" s="684"/>
      <c r="IWL68" s="684"/>
      <c r="IWM68" s="684"/>
      <c r="IWN68" s="684"/>
      <c r="IWO68" s="684"/>
      <c r="IWP68" s="684"/>
      <c r="IWQ68" s="684"/>
      <c r="IWR68" s="684"/>
      <c r="IWS68" s="684"/>
      <c r="IWT68" s="684"/>
      <c r="IWU68" s="684"/>
      <c r="IWV68" s="684"/>
      <c r="IWW68" s="684"/>
      <c r="IWX68" s="684"/>
      <c r="IWY68" s="684"/>
      <c r="IWZ68" s="684"/>
      <c r="IXA68" s="684"/>
      <c r="IXB68" s="684"/>
      <c r="IXC68" s="684"/>
      <c r="IXD68" s="684"/>
      <c r="IXE68" s="684"/>
      <c r="IXF68" s="684"/>
      <c r="IXG68" s="684"/>
      <c r="IXH68" s="684"/>
      <c r="IXI68" s="684"/>
      <c r="IXJ68" s="684"/>
      <c r="IXK68" s="684"/>
      <c r="IXL68" s="684"/>
      <c r="IXM68" s="684"/>
      <c r="IXN68" s="684"/>
      <c r="IXO68" s="684"/>
      <c r="IXP68" s="684"/>
      <c r="IXQ68" s="684"/>
      <c r="IXR68" s="684"/>
      <c r="IXS68" s="684"/>
      <c r="IXT68" s="684"/>
      <c r="IXU68" s="684"/>
      <c r="IXV68" s="684"/>
      <c r="IXW68" s="684"/>
      <c r="IXX68" s="684"/>
      <c r="IXY68" s="684"/>
      <c r="IXZ68" s="684"/>
      <c r="IYA68" s="684"/>
      <c r="IYB68" s="684"/>
      <c r="IYC68" s="684"/>
      <c r="IYD68" s="684"/>
      <c r="IYE68" s="684"/>
      <c r="IYF68" s="684"/>
      <c r="IYG68" s="684"/>
      <c r="IYH68" s="684"/>
      <c r="IYI68" s="684"/>
      <c r="IYJ68" s="684"/>
      <c r="IYK68" s="684"/>
      <c r="IYL68" s="684"/>
      <c r="IYM68" s="684"/>
      <c r="IYN68" s="684"/>
      <c r="IYO68" s="684"/>
      <c r="IYP68" s="684"/>
      <c r="IYQ68" s="684"/>
      <c r="IYR68" s="684"/>
      <c r="IYS68" s="684"/>
      <c r="IYT68" s="684"/>
      <c r="IYU68" s="684"/>
      <c r="IYV68" s="684"/>
      <c r="IYW68" s="684"/>
      <c r="IYX68" s="684"/>
      <c r="IYY68" s="684"/>
      <c r="IYZ68" s="684"/>
      <c r="IZA68" s="684"/>
      <c r="IZB68" s="684"/>
      <c r="IZC68" s="684"/>
      <c r="IZD68" s="684"/>
      <c r="IZE68" s="684"/>
      <c r="IZF68" s="684"/>
      <c r="IZG68" s="684"/>
      <c r="IZH68" s="684"/>
      <c r="IZI68" s="684"/>
      <c r="IZJ68" s="684"/>
      <c r="IZK68" s="684"/>
      <c r="IZL68" s="684"/>
      <c r="IZM68" s="684"/>
      <c r="IZN68" s="684"/>
      <c r="IZO68" s="684"/>
      <c r="IZP68" s="684"/>
      <c r="IZQ68" s="684"/>
      <c r="IZR68" s="684"/>
      <c r="IZS68" s="684"/>
      <c r="IZT68" s="684"/>
      <c r="IZU68" s="684"/>
      <c r="IZV68" s="684"/>
      <c r="IZW68" s="684"/>
      <c r="IZX68" s="684"/>
      <c r="IZY68" s="684"/>
      <c r="IZZ68" s="684"/>
      <c r="JAA68" s="684"/>
      <c r="JAB68" s="684"/>
      <c r="JAC68" s="684"/>
      <c r="JAD68" s="684"/>
      <c r="JAE68" s="684"/>
      <c r="JAF68" s="684"/>
      <c r="JAG68" s="684"/>
      <c r="JAH68" s="684"/>
      <c r="JAI68" s="684"/>
      <c r="JAJ68" s="684"/>
      <c r="JAK68" s="684"/>
      <c r="JAL68" s="684"/>
      <c r="JAM68" s="684"/>
      <c r="JAN68" s="684"/>
      <c r="JAO68" s="684"/>
      <c r="JAP68" s="684"/>
      <c r="JAQ68" s="684"/>
      <c r="JAR68" s="684"/>
      <c r="JAS68" s="684"/>
      <c r="JAT68" s="684"/>
      <c r="JAU68" s="684"/>
      <c r="JAV68" s="684"/>
      <c r="JAW68" s="684"/>
      <c r="JAX68" s="684"/>
      <c r="JAY68" s="684"/>
      <c r="JAZ68" s="684"/>
      <c r="JBA68" s="684"/>
      <c r="JBB68" s="684"/>
      <c r="JBC68" s="684"/>
      <c r="JBD68" s="684"/>
      <c r="JBE68" s="684"/>
      <c r="JBF68" s="684"/>
      <c r="JBG68" s="684"/>
      <c r="JBH68" s="684"/>
      <c r="JBI68" s="684"/>
      <c r="JBJ68" s="684"/>
      <c r="JBK68" s="684"/>
      <c r="JBL68" s="684"/>
      <c r="JBM68" s="684"/>
      <c r="JBN68" s="684"/>
      <c r="JBO68" s="684"/>
      <c r="JBP68" s="684"/>
      <c r="JBQ68" s="684"/>
      <c r="JBR68" s="684"/>
      <c r="JBS68" s="684"/>
      <c r="JBT68" s="684"/>
      <c r="JBU68" s="684"/>
      <c r="JBV68" s="684"/>
      <c r="JBW68" s="684"/>
      <c r="JBX68" s="684"/>
      <c r="JBY68" s="684"/>
      <c r="JBZ68" s="684"/>
      <c r="JCA68" s="684"/>
      <c r="JCB68" s="684"/>
      <c r="JCC68" s="684"/>
      <c r="JCD68" s="684"/>
      <c r="JCE68" s="684"/>
      <c r="JCF68" s="684"/>
      <c r="JCG68" s="684"/>
      <c r="JCH68" s="684"/>
      <c r="JCI68" s="684"/>
      <c r="JCJ68" s="684"/>
      <c r="JCK68" s="684"/>
      <c r="JCL68" s="684"/>
      <c r="JCM68" s="684"/>
      <c r="JCN68" s="684"/>
      <c r="JCO68" s="684"/>
      <c r="JCP68" s="684"/>
      <c r="JCQ68" s="684"/>
      <c r="JCR68" s="684"/>
      <c r="JCS68" s="684"/>
      <c r="JCT68" s="684"/>
      <c r="JCU68" s="684"/>
      <c r="JCV68" s="684"/>
      <c r="JCW68" s="684"/>
      <c r="JCX68" s="684"/>
      <c r="JCY68" s="684"/>
      <c r="JCZ68" s="684"/>
      <c r="JDA68" s="684"/>
      <c r="JDB68" s="684"/>
      <c r="JDC68" s="684"/>
      <c r="JDD68" s="684"/>
      <c r="JDE68" s="684"/>
      <c r="JDF68" s="684"/>
      <c r="JDG68" s="684"/>
      <c r="JDH68" s="684"/>
      <c r="JDI68" s="684"/>
      <c r="JDJ68" s="684"/>
      <c r="JDK68" s="684"/>
      <c r="JDL68" s="684"/>
      <c r="JDM68" s="684"/>
      <c r="JDN68" s="684"/>
      <c r="JDO68" s="684"/>
      <c r="JDP68" s="684"/>
      <c r="JDQ68" s="684"/>
      <c r="JDR68" s="684"/>
      <c r="JDS68" s="684"/>
      <c r="JDT68" s="684"/>
      <c r="JDU68" s="684"/>
      <c r="JDV68" s="684"/>
      <c r="JDW68" s="684"/>
      <c r="JDX68" s="684"/>
      <c r="JDY68" s="684"/>
      <c r="JDZ68" s="684"/>
      <c r="JEA68" s="684"/>
      <c r="JEB68" s="684"/>
      <c r="JEC68" s="684"/>
      <c r="JED68" s="684"/>
      <c r="JEE68" s="684"/>
      <c r="JEF68" s="684"/>
      <c r="JEG68" s="684"/>
      <c r="JEH68" s="684"/>
      <c r="JEI68" s="684"/>
      <c r="JEJ68" s="684"/>
      <c r="JEK68" s="684"/>
      <c r="JEL68" s="684"/>
      <c r="JEM68" s="684"/>
      <c r="JEN68" s="684"/>
      <c r="JEO68" s="684"/>
      <c r="JEP68" s="684"/>
      <c r="JEQ68" s="684"/>
      <c r="JER68" s="684"/>
      <c r="JES68" s="684"/>
      <c r="JET68" s="684"/>
      <c r="JEU68" s="684"/>
      <c r="JEV68" s="684"/>
      <c r="JEW68" s="684"/>
      <c r="JEX68" s="684"/>
      <c r="JEY68" s="684"/>
      <c r="JEZ68" s="684"/>
      <c r="JFA68" s="684"/>
      <c r="JFB68" s="684"/>
      <c r="JFC68" s="684"/>
      <c r="JFD68" s="684"/>
      <c r="JFE68" s="684"/>
      <c r="JFF68" s="684"/>
      <c r="JFG68" s="684"/>
      <c r="JFH68" s="684"/>
      <c r="JFI68" s="684"/>
      <c r="JFJ68" s="684"/>
      <c r="JFK68" s="684"/>
      <c r="JFL68" s="684"/>
      <c r="JFM68" s="684"/>
      <c r="JFN68" s="684"/>
      <c r="JFO68" s="684"/>
      <c r="JFP68" s="684"/>
      <c r="JFQ68" s="684"/>
      <c r="JFR68" s="684"/>
      <c r="JFS68" s="684"/>
      <c r="JFT68" s="684"/>
      <c r="JFU68" s="684"/>
      <c r="JFV68" s="684"/>
      <c r="JFW68" s="684"/>
      <c r="JFX68" s="684"/>
      <c r="JFY68" s="684"/>
      <c r="JFZ68" s="684"/>
      <c r="JGA68" s="684"/>
      <c r="JGB68" s="684"/>
      <c r="JGC68" s="684"/>
      <c r="JGD68" s="684"/>
      <c r="JGE68" s="684"/>
      <c r="JGF68" s="684"/>
      <c r="JGG68" s="684"/>
      <c r="JGH68" s="684"/>
      <c r="JGI68" s="684"/>
      <c r="JGJ68" s="684"/>
      <c r="JGK68" s="684"/>
      <c r="JGL68" s="684"/>
      <c r="JGM68" s="684"/>
      <c r="JGN68" s="684"/>
      <c r="JGO68" s="684"/>
      <c r="JGP68" s="684"/>
      <c r="JGQ68" s="684"/>
      <c r="JGR68" s="684"/>
      <c r="JGS68" s="684"/>
      <c r="JGT68" s="684"/>
      <c r="JGU68" s="684"/>
      <c r="JGV68" s="684"/>
      <c r="JGW68" s="684"/>
      <c r="JGX68" s="684"/>
      <c r="JGY68" s="684"/>
      <c r="JGZ68" s="684"/>
      <c r="JHA68" s="684"/>
      <c r="JHB68" s="684"/>
      <c r="JHC68" s="684"/>
      <c r="JHD68" s="684"/>
      <c r="JHE68" s="684"/>
      <c r="JHF68" s="684"/>
      <c r="JHG68" s="684"/>
      <c r="JHH68" s="684"/>
      <c r="JHI68" s="684"/>
      <c r="JHJ68" s="684"/>
      <c r="JHK68" s="684"/>
      <c r="JHL68" s="684"/>
      <c r="JHM68" s="684"/>
      <c r="JHN68" s="684"/>
      <c r="JHO68" s="684"/>
      <c r="JHP68" s="684"/>
      <c r="JHQ68" s="684"/>
      <c r="JHR68" s="684"/>
      <c r="JHS68" s="684"/>
      <c r="JHT68" s="684"/>
      <c r="JHU68" s="684"/>
      <c r="JHV68" s="684"/>
      <c r="JHW68" s="684"/>
      <c r="JHX68" s="684"/>
      <c r="JHY68" s="684"/>
      <c r="JHZ68" s="684"/>
      <c r="JIA68" s="684"/>
      <c r="JIB68" s="684"/>
      <c r="JIC68" s="684"/>
      <c r="JID68" s="684"/>
      <c r="JIE68" s="684"/>
      <c r="JIF68" s="684"/>
      <c r="JIG68" s="684"/>
      <c r="JIH68" s="684"/>
      <c r="JII68" s="684"/>
      <c r="JIJ68" s="684"/>
      <c r="JIK68" s="684"/>
      <c r="JIL68" s="684"/>
      <c r="JIM68" s="684"/>
      <c r="JIN68" s="684"/>
      <c r="JIO68" s="684"/>
      <c r="JIP68" s="684"/>
      <c r="JIQ68" s="684"/>
      <c r="JIR68" s="684"/>
      <c r="JIS68" s="684"/>
      <c r="JIT68" s="684"/>
      <c r="JIU68" s="684"/>
      <c r="JIV68" s="684"/>
      <c r="JIW68" s="684"/>
      <c r="JIX68" s="684"/>
      <c r="JIY68" s="684"/>
      <c r="JIZ68" s="684"/>
      <c r="JJA68" s="684"/>
      <c r="JJB68" s="684"/>
      <c r="JJC68" s="684"/>
      <c r="JJD68" s="684"/>
      <c r="JJE68" s="684"/>
      <c r="JJF68" s="684"/>
      <c r="JJG68" s="684"/>
      <c r="JJH68" s="684"/>
      <c r="JJI68" s="684"/>
      <c r="JJJ68" s="684"/>
      <c r="JJK68" s="684"/>
      <c r="JJL68" s="684"/>
      <c r="JJM68" s="684"/>
      <c r="JJN68" s="684"/>
      <c r="JJO68" s="684"/>
      <c r="JJP68" s="684"/>
      <c r="JJQ68" s="684"/>
      <c r="JJR68" s="684"/>
      <c r="JJS68" s="684"/>
      <c r="JJT68" s="684"/>
      <c r="JJU68" s="684"/>
      <c r="JJV68" s="684"/>
      <c r="JJW68" s="684"/>
      <c r="JJX68" s="684"/>
      <c r="JJY68" s="684"/>
      <c r="JJZ68" s="684"/>
      <c r="JKA68" s="684"/>
      <c r="JKB68" s="684"/>
      <c r="JKC68" s="684"/>
      <c r="JKD68" s="684"/>
      <c r="JKE68" s="684"/>
      <c r="JKF68" s="684"/>
      <c r="JKG68" s="684"/>
      <c r="JKH68" s="684"/>
      <c r="JKI68" s="684"/>
      <c r="JKJ68" s="684"/>
      <c r="JKK68" s="684"/>
      <c r="JKL68" s="684"/>
      <c r="JKM68" s="684"/>
      <c r="JKN68" s="684"/>
      <c r="JKO68" s="684"/>
      <c r="JKP68" s="684"/>
      <c r="JKQ68" s="684"/>
      <c r="JKR68" s="684"/>
      <c r="JKS68" s="684"/>
      <c r="JKT68" s="684"/>
      <c r="JKU68" s="684"/>
      <c r="JKV68" s="684"/>
      <c r="JKW68" s="684"/>
      <c r="JKX68" s="684"/>
      <c r="JKY68" s="684"/>
      <c r="JKZ68" s="684"/>
      <c r="JLA68" s="684"/>
      <c r="JLB68" s="684"/>
      <c r="JLC68" s="684"/>
      <c r="JLD68" s="684"/>
      <c r="JLE68" s="684"/>
      <c r="JLF68" s="684"/>
      <c r="JLG68" s="684"/>
      <c r="JLH68" s="684"/>
      <c r="JLI68" s="684"/>
      <c r="JLJ68" s="684"/>
      <c r="JLK68" s="684"/>
      <c r="JLL68" s="684"/>
      <c r="JLM68" s="684"/>
      <c r="JLN68" s="684"/>
      <c r="JLO68" s="684"/>
      <c r="JLP68" s="684"/>
      <c r="JLQ68" s="684"/>
      <c r="JLR68" s="684"/>
      <c r="JLS68" s="684"/>
      <c r="JLT68" s="684"/>
      <c r="JLU68" s="684"/>
      <c r="JLV68" s="684"/>
      <c r="JLW68" s="684"/>
      <c r="JLX68" s="684"/>
      <c r="JLY68" s="684"/>
      <c r="JLZ68" s="684"/>
      <c r="JMA68" s="684"/>
      <c r="JMB68" s="684"/>
      <c r="JMC68" s="684"/>
      <c r="JMD68" s="684"/>
      <c r="JME68" s="684"/>
      <c r="JMF68" s="684"/>
      <c r="JMG68" s="684"/>
      <c r="JMH68" s="684"/>
      <c r="JMI68" s="684"/>
      <c r="JMJ68" s="684"/>
      <c r="JMK68" s="684"/>
      <c r="JML68" s="684"/>
      <c r="JMM68" s="684"/>
      <c r="JMN68" s="684"/>
      <c r="JMO68" s="684"/>
      <c r="JMP68" s="684"/>
      <c r="JMQ68" s="684"/>
      <c r="JMR68" s="684"/>
      <c r="JMS68" s="684"/>
      <c r="JMT68" s="684"/>
      <c r="JMU68" s="684"/>
      <c r="JMV68" s="684"/>
      <c r="JMW68" s="684"/>
      <c r="JMX68" s="684"/>
      <c r="JMY68" s="684"/>
      <c r="JMZ68" s="684"/>
      <c r="JNA68" s="684"/>
      <c r="JNB68" s="684"/>
      <c r="JNC68" s="684"/>
      <c r="JND68" s="684"/>
      <c r="JNE68" s="684"/>
      <c r="JNF68" s="684"/>
      <c r="JNG68" s="684"/>
      <c r="JNH68" s="684"/>
      <c r="JNI68" s="684"/>
      <c r="JNJ68" s="684"/>
      <c r="JNK68" s="684"/>
      <c r="JNL68" s="684"/>
      <c r="JNM68" s="684"/>
      <c r="JNN68" s="684"/>
      <c r="JNO68" s="684"/>
      <c r="JNP68" s="684"/>
      <c r="JNQ68" s="684"/>
      <c r="JNR68" s="684"/>
      <c r="JNS68" s="684"/>
      <c r="JNT68" s="684"/>
      <c r="JNU68" s="684"/>
      <c r="JNV68" s="684"/>
      <c r="JNW68" s="684"/>
      <c r="JNX68" s="684"/>
      <c r="JNY68" s="684"/>
      <c r="JNZ68" s="684"/>
      <c r="JOA68" s="684"/>
      <c r="JOB68" s="684"/>
      <c r="JOC68" s="684"/>
      <c r="JOD68" s="684"/>
      <c r="JOE68" s="684"/>
      <c r="JOF68" s="684"/>
      <c r="JOG68" s="684"/>
      <c r="JOH68" s="684"/>
      <c r="JOI68" s="684"/>
      <c r="JOJ68" s="684"/>
      <c r="JOK68" s="684"/>
      <c r="JOL68" s="684"/>
      <c r="JOM68" s="684"/>
      <c r="JON68" s="684"/>
      <c r="JOO68" s="684"/>
      <c r="JOP68" s="684"/>
      <c r="JOQ68" s="684"/>
      <c r="JOR68" s="684"/>
      <c r="JOS68" s="684"/>
      <c r="JOT68" s="684"/>
      <c r="JOU68" s="684"/>
      <c r="JOV68" s="684"/>
      <c r="JOW68" s="684"/>
      <c r="JOX68" s="684"/>
      <c r="JOY68" s="684"/>
      <c r="JOZ68" s="684"/>
      <c r="JPA68" s="684"/>
      <c r="JPB68" s="684"/>
      <c r="JPC68" s="684"/>
      <c r="JPD68" s="684"/>
      <c r="JPE68" s="684"/>
      <c r="JPF68" s="684"/>
      <c r="JPG68" s="684"/>
      <c r="JPH68" s="684"/>
      <c r="JPI68" s="684"/>
      <c r="JPJ68" s="684"/>
      <c r="JPK68" s="684"/>
      <c r="JPL68" s="684"/>
      <c r="JPM68" s="684"/>
      <c r="JPN68" s="684"/>
      <c r="JPO68" s="684"/>
      <c r="JPP68" s="684"/>
      <c r="JPQ68" s="684"/>
      <c r="JPR68" s="684"/>
      <c r="JPS68" s="684"/>
      <c r="JPT68" s="684"/>
      <c r="JPU68" s="684"/>
      <c r="JPV68" s="684"/>
      <c r="JPW68" s="684"/>
      <c r="JPX68" s="684"/>
      <c r="JPY68" s="684"/>
      <c r="JPZ68" s="684"/>
      <c r="JQA68" s="684"/>
      <c r="JQB68" s="684"/>
      <c r="JQC68" s="684"/>
      <c r="JQD68" s="684"/>
      <c r="JQE68" s="684"/>
      <c r="JQF68" s="684"/>
      <c r="JQG68" s="684"/>
      <c r="JQH68" s="684"/>
      <c r="JQI68" s="684"/>
      <c r="JQJ68" s="684"/>
      <c r="JQK68" s="684"/>
      <c r="JQL68" s="684"/>
      <c r="JQM68" s="684"/>
      <c r="JQN68" s="684"/>
      <c r="JQO68" s="684"/>
      <c r="JQP68" s="684"/>
      <c r="JQQ68" s="684"/>
      <c r="JQR68" s="684"/>
      <c r="JQS68" s="684"/>
      <c r="JQT68" s="684"/>
      <c r="JQU68" s="684"/>
      <c r="JQV68" s="684"/>
      <c r="JQW68" s="684"/>
      <c r="JQX68" s="684"/>
      <c r="JQY68" s="684"/>
      <c r="JQZ68" s="684"/>
      <c r="JRA68" s="684"/>
      <c r="JRB68" s="684"/>
      <c r="JRC68" s="684"/>
      <c r="JRD68" s="684"/>
      <c r="JRE68" s="684"/>
      <c r="JRF68" s="684"/>
      <c r="JRG68" s="684"/>
      <c r="JRH68" s="684"/>
      <c r="JRI68" s="684"/>
      <c r="JRJ68" s="684"/>
      <c r="JRK68" s="684"/>
      <c r="JRL68" s="684"/>
      <c r="JRM68" s="684"/>
      <c r="JRN68" s="684"/>
      <c r="JRO68" s="684"/>
      <c r="JRP68" s="684"/>
      <c r="JRQ68" s="684"/>
      <c r="JRR68" s="684"/>
      <c r="JRS68" s="684"/>
      <c r="JRT68" s="684"/>
      <c r="JRU68" s="684"/>
      <c r="JRV68" s="684"/>
      <c r="JRW68" s="684"/>
      <c r="JRX68" s="684"/>
      <c r="JRY68" s="684"/>
      <c r="JRZ68" s="684"/>
      <c r="JSA68" s="684"/>
      <c r="JSB68" s="684"/>
      <c r="JSC68" s="684"/>
      <c r="JSD68" s="684"/>
      <c r="JSE68" s="684"/>
      <c r="JSF68" s="684"/>
      <c r="JSG68" s="684"/>
      <c r="JSH68" s="684"/>
      <c r="JSI68" s="684"/>
      <c r="JSJ68" s="684"/>
      <c r="JSK68" s="684"/>
      <c r="JSL68" s="684"/>
      <c r="JSM68" s="684"/>
      <c r="JSN68" s="684"/>
      <c r="JSO68" s="684"/>
      <c r="JSP68" s="684"/>
      <c r="JSQ68" s="684"/>
      <c r="JSR68" s="684"/>
      <c r="JSS68" s="684"/>
      <c r="JST68" s="684"/>
      <c r="JSU68" s="684"/>
      <c r="JSV68" s="684"/>
      <c r="JSW68" s="684"/>
      <c r="JSX68" s="684"/>
      <c r="JSY68" s="684"/>
      <c r="JSZ68" s="684"/>
      <c r="JTA68" s="684"/>
      <c r="JTB68" s="684"/>
      <c r="JTC68" s="684"/>
      <c r="JTD68" s="684"/>
      <c r="JTE68" s="684"/>
      <c r="JTF68" s="684"/>
      <c r="JTG68" s="684"/>
      <c r="JTH68" s="684"/>
      <c r="JTI68" s="684"/>
      <c r="JTJ68" s="684"/>
      <c r="JTK68" s="684"/>
      <c r="JTL68" s="684"/>
      <c r="JTM68" s="684"/>
      <c r="JTN68" s="684"/>
      <c r="JTO68" s="684"/>
      <c r="JTP68" s="684"/>
      <c r="JTQ68" s="684"/>
      <c r="JTR68" s="684"/>
      <c r="JTS68" s="684"/>
      <c r="JTT68" s="684"/>
      <c r="JTU68" s="684"/>
      <c r="JTV68" s="684"/>
      <c r="JTW68" s="684"/>
      <c r="JTX68" s="684"/>
      <c r="JTY68" s="684"/>
      <c r="JTZ68" s="684"/>
      <c r="JUA68" s="684"/>
      <c r="JUB68" s="684"/>
      <c r="JUC68" s="684"/>
      <c r="JUD68" s="684"/>
      <c r="JUE68" s="684"/>
      <c r="JUF68" s="684"/>
      <c r="JUG68" s="684"/>
      <c r="JUH68" s="684"/>
      <c r="JUI68" s="684"/>
      <c r="JUJ68" s="684"/>
      <c r="JUK68" s="684"/>
      <c r="JUL68" s="684"/>
      <c r="JUM68" s="684"/>
      <c r="JUN68" s="684"/>
      <c r="JUO68" s="684"/>
      <c r="JUP68" s="684"/>
      <c r="JUQ68" s="684"/>
      <c r="JUR68" s="684"/>
      <c r="JUS68" s="684"/>
      <c r="JUT68" s="684"/>
      <c r="JUU68" s="684"/>
      <c r="JUV68" s="684"/>
      <c r="JUW68" s="684"/>
      <c r="JUX68" s="684"/>
      <c r="JUY68" s="684"/>
      <c r="JUZ68" s="684"/>
      <c r="JVA68" s="684"/>
      <c r="JVB68" s="684"/>
      <c r="JVC68" s="684"/>
      <c r="JVD68" s="684"/>
      <c r="JVE68" s="684"/>
      <c r="JVF68" s="684"/>
      <c r="JVG68" s="684"/>
      <c r="JVH68" s="684"/>
      <c r="JVI68" s="684"/>
      <c r="JVJ68" s="684"/>
      <c r="JVK68" s="684"/>
      <c r="JVL68" s="684"/>
      <c r="JVM68" s="684"/>
      <c r="JVN68" s="684"/>
      <c r="JVO68" s="684"/>
      <c r="JVP68" s="684"/>
      <c r="JVQ68" s="684"/>
      <c r="JVR68" s="684"/>
      <c r="JVS68" s="684"/>
      <c r="JVT68" s="684"/>
      <c r="JVU68" s="684"/>
      <c r="JVV68" s="684"/>
      <c r="JVW68" s="684"/>
      <c r="JVX68" s="684"/>
      <c r="JVY68" s="684"/>
      <c r="JVZ68" s="684"/>
      <c r="JWA68" s="684"/>
      <c r="JWB68" s="684"/>
      <c r="JWC68" s="684"/>
      <c r="JWD68" s="684"/>
      <c r="JWE68" s="684"/>
      <c r="JWF68" s="684"/>
      <c r="JWG68" s="684"/>
      <c r="JWH68" s="684"/>
      <c r="JWI68" s="684"/>
      <c r="JWJ68" s="684"/>
      <c r="JWK68" s="684"/>
      <c r="JWL68" s="684"/>
      <c r="JWM68" s="684"/>
      <c r="JWN68" s="684"/>
      <c r="JWO68" s="684"/>
      <c r="JWP68" s="684"/>
      <c r="JWQ68" s="684"/>
      <c r="JWR68" s="684"/>
      <c r="JWS68" s="684"/>
      <c r="JWT68" s="684"/>
      <c r="JWU68" s="684"/>
      <c r="JWV68" s="684"/>
      <c r="JWW68" s="684"/>
      <c r="JWX68" s="684"/>
      <c r="JWY68" s="684"/>
      <c r="JWZ68" s="684"/>
      <c r="JXA68" s="684"/>
      <c r="JXB68" s="684"/>
      <c r="JXC68" s="684"/>
      <c r="JXD68" s="684"/>
      <c r="JXE68" s="684"/>
      <c r="JXF68" s="684"/>
      <c r="JXG68" s="684"/>
      <c r="JXH68" s="684"/>
      <c r="JXI68" s="684"/>
      <c r="JXJ68" s="684"/>
      <c r="JXK68" s="684"/>
      <c r="JXL68" s="684"/>
      <c r="JXM68" s="684"/>
      <c r="JXN68" s="684"/>
      <c r="JXO68" s="684"/>
      <c r="JXP68" s="684"/>
      <c r="JXQ68" s="684"/>
      <c r="JXR68" s="684"/>
      <c r="JXS68" s="684"/>
      <c r="JXT68" s="684"/>
      <c r="JXU68" s="684"/>
      <c r="JXV68" s="684"/>
      <c r="JXW68" s="684"/>
      <c r="JXX68" s="684"/>
      <c r="JXY68" s="684"/>
      <c r="JXZ68" s="684"/>
      <c r="JYA68" s="684"/>
      <c r="JYB68" s="684"/>
      <c r="JYC68" s="684"/>
      <c r="JYD68" s="684"/>
      <c r="JYE68" s="684"/>
      <c r="JYF68" s="684"/>
      <c r="JYG68" s="684"/>
      <c r="JYH68" s="684"/>
      <c r="JYI68" s="684"/>
      <c r="JYJ68" s="684"/>
      <c r="JYK68" s="684"/>
      <c r="JYL68" s="684"/>
      <c r="JYM68" s="684"/>
      <c r="JYN68" s="684"/>
      <c r="JYO68" s="684"/>
      <c r="JYP68" s="684"/>
      <c r="JYQ68" s="684"/>
      <c r="JYR68" s="684"/>
      <c r="JYS68" s="684"/>
      <c r="JYT68" s="684"/>
      <c r="JYU68" s="684"/>
      <c r="JYV68" s="684"/>
      <c r="JYW68" s="684"/>
      <c r="JYX68" s="684"/>
      <c r="JYY68" s="684"/>
      <c r="JYZ68" s="684"/>
      <c r="JZA68" s="684"/>
      <c r="JZB68" s="684"/>
      <c r="JZC68" s="684"/>
      <c r="JZD68" s="684"/>
      <c r="JZE68" s="684"/>
      <c r="JZF68" s="684"/>
      <c r="JZG68" s="684"/>
      <c r="JZH68" s="684"/>
      <c r="JZI68" s="684"/>
      <c r="JZJ68" s="684"/>
      <c r="JZK68" s="684"/>
      <c r="JZL68" s="684"/>
      <c r="JZM68" s="684"/>
      <c r="JZN68" s="684"/>
      <c r="JZO68" s="684"/>
      <c r="JZP68" s="684"/>
      <c r="JZQ68" s="684"/>
      <c r="JZR68" s="684"/>
      <c r="JZS68" s="684"/>
      <c r="JZT68" s="684"/>
      <c r="JZU68" s="684"/>
      <c r="JZV68" s="684"/>
      <c r="JZW68" s="684"/>
      <c r="JZX68" s="684"/>
      <c r="JZY68" s="684"/>
      <c r="JZZ68" s="684"/>
      <c r="KAA68" s="684"/>
      <c r="KAB68" s="684"/>
      <c r="KAC68" s="684"/>
      <c r="KAD68" s="684"/>
      <c r="KAE68" s="684"/>
      <c r="KAF68" s="684"/>
      <c r="KAG68" s="684"/>
      <c r="KAH68" s="684"/>
      <c r="KAI68" s="684"/>
      <c r="KAJ68" s="684"/>
      <c r="KAK68" s="684"/>
      <c r="KAL68" s="684"/>
      <c r="KAM68" s="684"/>
      <c r="KAN68" s="684"/>
      <c r="KAO68" s="684"/>
      <c r="KAP68" s="684"/>
      <c r="KAQ68" s="684"/>
      <c r="KAR68" s="684"/>
      <c r="KAS68" s="684"/>
      <c r="KAT68" s="684"/>
      <c r="KAU68" s="684"/>
      <c r="KAV68" s="684"/>
      <c r="KAW68" s="684"/>
      <c r="KAX68" s="684"/>
      <c r="KAY68" s="684"/>
      <c r="KAZ68" s="684"/>
      <c r="KBA68" s="684"/>
      <c r="KBB68" s="684"/>
      <c r="KBC68" s="684"/>
      <c r="KBD68" s="684"/>
      <c r="KBE68" s="684"/>
      <c r="KBF68" s="684"/>
      <c r="KBG68" s="684"/>
      <c r="KBH68" s="684"/>
      <c r="KBI68" s="684"/>
      <c r="KBJ68" s="684"/>
      <c r="KBK68" s="684"/>
      <c r="KBL68" s="684"/>
      <c r="KBM68" s="684"/>
      <c r="KBN68" s="684"/>
      <c r="KBO68" s="684"/>
      <c r="KBP68" s="684"/>
      <c r="KBQ68" s="684"/>
      <c r="KBR68" s="684"/>
      <c r="KBS68" s="684"/>
      <c r="KBT68" s="684"/>
      <c r="KBU68" s="684"/>
      <c r="KBV68" s="684"/>
      <c r="KBW68" s="684"/>
      <c r="KBX68" s="684"/>
      <c r="KBY68" s="684"/>
      <c r="KBZ68" s="684"/>
      <c r="KCA68" s="684"/>
      <c r="KCB68" s="684"/>
      <c r="KCC68" s="684"/>
      <c r="KCD68" s="684"/>
      <c r="KCE68" s="684"/>
      <c r="KCF68" s="684"/>
      <c r="KCG68" s="684"/>
      <c r="KCH68" s="684"/>
      <c r="KCI68" s="684"/>
      <c r="KCJ68" s="684"/>
      <c r="KCK68" s="684"/>
      <c r="KCL68" s="684"/>
      <c r="KCM68" s="684"/>
      <c r="KCN68" s="684"/>
      <c r="KCO68" s="684"/>
      <c r="KCP68" s="684"/>
      <c r="KCQ68" s="684"/>
      <c r="KCR68" s="684"/>
      <c r="KCS68" s="684"/>
      <c r="KCT68" s="684"/>
      <c r="KCU68" s="684"/>
      <c r="KCV68" s="684"/>
      <c r="KCW68" s="684"/>
      <c r="KCX68" s="684"/>
      <c r="KCY68" s="684"/>
      <c r="KCZ68" s="684"/>
      <c r="KDA68" s="684"/>
      <c r="KDB68" s="684"/>
      <c r="KDC68" s="684"/>
      <c r="KDD68" s="684"/>
      <c r="KDE68" s="684"/>
      <c r="KDF68" s="684"/>
      <c r="KDG68" s="684"/>
      <c r="KDH68" s="684"/>
      <c r="KDI68" s="684"/>
      <c r="KDJ68" s="684"/>
      <c r="KDK68" s="684"/>
      <c r="KDL68" s="684"/>
      <c r="KDM68" s="684"/>
      <c r="KDN68" s="684"/>
      <c r="KDO68" s="684"/>
      <c r="KDP68" s="684"/>
      <c r="KDQ68" s="684"/>
      <c r="KDR68" s="684"/>
      <c r="KDS68" s="684"/>
      <c r="KDT68" s="684"/>
      <c r="KDU68" s="684"/>
      <c r="KDV68" s="684"/>
      <c r="KDW68" s="684"/>
      <c r="KDX68" s="684"/>
      <c r="KDY68" s="684"/>
      <c r="KDZ68" s="684"/>
      <c r="KEA68" s="684"/>
      <c r="KEB68" s="684"/>
      <c r="KEC68" s="684"/>
      <c r="KED68" s="684"/>
      <c r="KEE68" s="684"/>
      <c r="KEF68" s="684"/>
      <c r="KEG68" s="684"/>
      <c r="KEH68" s="684"/>
      <c r="KEI68" s="684"/>
      <c r="KEJ68" s="684"/>
      <c r="KEK68" s="684"/>
      <c r="KEL68" s="684"/>
      <c r="KEM68" s="684"/>
      <c r="KEN68" s="684"/>
      <c r="KEO68" s="684"/>
      <c r="KEP68" s="684"/>
      <c r="KEQ68" s="684"/>
      <c r="KER68" s="684"/>
      <c r="KES68" s="684"/>
      <c r="KET68" s="684"/>
      <c r="KEU68" s="684"/>
      <c r="KEV68" s="684"/>
      <c r="KEW68" s="684"/>
      <c r="KEX68" s="684"/>
      <c r="KEY68" s="684"/>
      <c r="KEZ68" s="684"/>
      <c r="KFA68" s="684"/>
      <c r="KFB68" s="684"/>
      <c r="KFC68" s="684"/>
      <c r="KFD68" s="684"/>
      <c r="KFE68" s="684"/>
      <c r="KFF68" s="684"/>
      <c r="KFG68" s="684"/>
      <c r="KFH68" s="684"/>
      <c r="KFI68" s="684"/>
      <c r="KFJ68" s="684"/>
      <c r="KFK68" s="684"/>
      <c r="KFL68" s="684"/>
      <c r="KFM68" s="684"/>
      <c r="KFN68" s="684"/>
      <c r="KFO68" s="684"/>
      <c r="KFP68" s="684"/>
      <c r="KFQ68" s="684"/>
      <c r="KFR68" s="684"/>
      <c r="KFS68" s="684"/>
      <c r="KFT68" s="684"/>
      <c r="KFU68" s="684"/>
      <c r="KFV68" s="684"/>
      <c r="KFW68" s="684"/>
      <c r="KFX68" s="684"/>
      <c r="KFY68" s="684"/>
      <c r="KFZ68" s="684"/>
      <c r="KGA68" s="684"/>
      <c r="KGB68" s="684"/>
      <c r="KGC68" s="684"/>
      <c r="KGD68" s="684"/>
      <c r="KGE68" s="684"/>
      <c r="KGF68" s="684"/>
      <c r="KGG68" s="684"/>
      <c r="KGH68" s="684"/>
      <c r="KGI68" s="684"/>
      <c r="KGJ68" s="684"/>
      <c r="KGK68" s="684"/>
      <c r="KGL68" s="684"/>
      <c r="KGM68" s="684"/>
      <c r="KGN68" s="684"/>
      <c r="KGO68" s="684"/>
      <c r="KGP68" s="684"/>
      <c r="KGQ68" s="684"/>
      <c r="KGR68" s="684"/>
      <c r="KGS68" s="684"/>
      <c r="KGT68" s="684"/>
      <c r="KGU68" s="684"/>
      <c r="KGV68" s="684"/>
      <c r="KGW68" s="684"/>
      <c r="KGX68" s="684"/>
      <c r="KGY68" s="684"/>
      <c r="KGZ68" s="684"/>
      <c r="KHA68" s="684"/>
      <c r="KHB68" s="684"/>
      <c r="KHC68" s="684"/>
      <c r="KHD68" s="684"/>
      <c r="KHE68" s="684"/>
      <c r="KHF68" s="684"/>
      <c r="KHG68" s="684"/>
      <c r="KHH68" s="684"/>
      <c r="KHI68" s="684"/>
      <c r="KHJ68" s="684"/>
      <c r="KHK68" s="684"/>
      <c r="KHL68" s="684"/>
      <c r="KHM68" s="684"/>
      <c r="KHN68" s="684"/>
      <c r="KHO68" s="684"/>
      <c r="KHP68" s="684"/>
      <c r="KHQ68" s="684"/>
      <c r="KHR68" s="684"/>
      <c r="KHS68" s="684"/>
      <c r="KHT68" s="684"/>
      <c r="KHU68" s="684"/>
      <c r="KHV68" s="684"/>
      <c r="KHW68" s="684"/>
      <c r="KHX68" s="684"/>
      <c r="KHY68" s="684"/>
      <c r="KHZ68" s="684"/>
      <c r="KIA68" s="684"/>
      <c r="KIB68" s="684"/>
      <c r="KIC68" s="684"/>
      <c r="KID68" s="684"/>
      <c r="KIE68" s="684"/>
      <c r="KIF68" s="684"/>
      <c r="KIG68" s="684"/>
      <c r="KIH68" s="684"/>
      <c r="KII68" s="684"/>
      <c r="KIJ68" s="684"/>
      <c r="KIK68" s="684"/>
      <c r="KIL68" s="684"/>
      <c r="KIM68" s="684"/>
      <c r="KIN68" s="684"/>
      <c r="KIO68" s="684"/>
      <c r="KIP68" s="684"/>
      <c r="KIQ68" s="684"/>
      <c r="KIR68" s="684"/>
      <c r="KIS68" s="684"/>
      <c r="KIT68" s="684"/>
      <c r="KIU68" s="684"/>
      <c r="KIV68" s="684"/>
      <c r="KIW68" s="684"/>
      <c r="KIX68" s="684"/>
      <c r="KIY68" s="684"/>
      <c r="KIZ68" s="684"/>
      <c r="KJA68" s="684"/>
      <c r="KJB68" s="684"/>
      <c r="KJC68" s="684"/>
      <c r="KJD68" s="684"/>
      <c r="KJE68" s="684"/>
      <c r="KJF68" s="684"/>
      <c r="KJG68" s="684"/>
      <c r="KJH68" s="684"/>
      <c r="KJI68" s="684"/>
      <c r="KJJ68" s="684"/>
      <c r="KJK68" s="684"/>
      <c r="KJL68" s="684"/>
      <c r="KJM68" s="684"/>
      <c r="KJN68" s="684"/>
      <c r="KJO68" s="684"/>
      <c r="KJP68" s="684"/>
      <c r="KJQ68" s="684"/>
      <c r="KJR68" s="684"/>
      <c r="KJS68" s="684"/>
      <c r="KJT68" s="684"/>
      <c r="KJU68" s="684"/>
      <c r="KJV68" s="684"/>
      <c r="KJW68" s="684"/>
      <c r="KJX68" s="684"/>
      <c r="KJY68" s="684"/>
      <c r="KJZ68" s="684"/>
      <c r="KKA68" s="684"/>
      <c r="KKB68" s="684"/>
      <c r="KKC68" s="684"/>
      <c r="KKD68" s="684"/>
      <c r="KKE68" s="684"/>
      <c r="KKF68" s="684"/>
      <c r="KKG68" s="684"/>
      <c r="KKH68" s="684"/>
      <c r="KKI68" s="684"/>
      <c r="KKJ68" s="684"/>
      <c r="KKK68" s="684"/>
      <c r="KKL68" s="684"/>
      <c r="KKM68" s="684"/>
      <c r="KKN68" s="684"/>
      <c r="KKO68" s="684"/>
      <c r="KKP68" s="684"/>
      <c r="KKQ68" s="684"/>
      <c r="KKR68" s="684"/>
      <c r="KKS68" s="684"/>
      <c r="KKT68" s="684"/>
      <c r="KKU68" s="684"/>
      <c r="KKV68" s="684"/>
      <c r="KKW68" s="684"/>
      <c r="KKX68" s="684"/>
      <c r="KKY68" s="684"/>
      <c r="KKZ68" s="684"/>
      <c r="KLA68" s="684"/>
      <c r="KLB68" s="684"/>
      <c r="KLC68" s="684"/>
      <c r="KLD68" s="684"/>
      <c r="KLE68" s="684"/>
      <c r="KLF68" s="684"/>
      <c r="KLG68" s="684"/>
      <c r="KLH68" s="684"/>
      <c r="KLI68" s="684"/>
      <c r="KLJ68" s="684"/>
      <c r="KLK68" s="684"/>
      <c r="KLL68" s="684"/>
      <c r="KLM68" s="684"/>
      <c r="KLN68" s="684"/>
      <c r="KLO68" s="684"/>
      <c r="KLP68" s="684"/>
      <c r="KLQ68" s="684"/>
      <c r="KLR68" s="684"/>
      <c r="KLS68" s="684"/>
      <c r="KLT68" s="684"/>
      <c r="KLU68" s="684"/>
      <c r="KLV68" s="684"/>
      <c r="KLW68" s="684"/>
      <c r="KLX68" s="684"/>
      <c r="KLY68" s="684"/>
      <c r="KLZ68" s="684"/>
      <c r="KMA68" s="684"/>
      <c r="KMB68" s="684"/>
      <c r="KMC68" s="684"/>
      <c r="KMD68" s="684"/>
      <c r="KME68" s="684"/>
      <c r="KMF68" s="684"/>
      <c r="KMG68" s="684"/>
      <c r="KMH68" s="684"/>
      <c r="KMI68" s="684"/>
      <c r="KMJ68" s="684"/>
      <c r="KMK68" s="684"/>
      <c r="KML68" s="684"/>
      <c r="KMM68" s="684"/>
      <c r="KMN68" s="684"/>
      <c r="KMO68" s="684"/>
      <c r="KMP68" s="684"/>
      <c r="KMQ68" s="684"/>
      <c r="KMR68" s="684"/>
      <c r="KMS68" s="684"/>
      <c r="KMT68" s="684"/>
      <c r="KMU68" s="684"/>
      <c r="KMV68" s="684"/>
      <c r="KMW68" s="684"/>
      <c r="KMX68" s="684"/>
      <c r="KMY68" s="684"/>
      <c r="KMZ68" s="684"/>
      <c r="KNA68" s="684"/>
      <c r="KNB68" s="684"/>
      <c r="KNC68" s="684"/>
      <c r="KND68" s="684"/>
      <c r="KNE68" s="684"/>
      <c r="KNF68" s="684"/>
      <c r="KNG68" s="684"/>
      <c r="KNH68" s="684"/>
      <c r="KNI68" s="684"/>
      <c r="KNJ68" s="684"/>
      <c r="KNK68" s="684"/>
      <c r="KNL68" s="684"/>
      <c r="KNM68" s="684"/>
      <c r="KNN68" s="684"/>
      <c r="KNO68" s="684"/>
      <c r="KNP68" s="684"/>
      <c r="KNQ68" s="684"/>
      <c r="KNR68" s="684"/>
      <c r="KNS68" s="684"/>
      <c r="KNT68" s="684"/>
      <c r="KNU68" s="684"/>
      <c r="KNV68" s="684"/>
      <c r="KNW68" s="684"/>
      <c r="KNX68" s="684"/>
      <c r="KNY68" s="684"/>
      <c r="KNZ68" s="684"/>
      <c r="KOA68" s="684"/>
      <c r="KOB68" s="684"/>
      <c r="KOC68" s="684"/>
      <c r="KOD68" s="684"/>
      <c r="KOE68" s="684"/>
      <c r="KOF68" s="684"/>
      <c r="KOG68" s="684"/>
      <c r="KOH68" s="684"/>
      <c r="KOI68" s="684"/>
      <c r="KOJ68" s="684"/>
      <c r="KOK68" s="684"/>
      <c r="KOL68" s="684"/>
      <c r="KOM68" s="684"/>
      <c r="KON68" s="684"/>
      <c r="KOO68" s="684"/>
      <c r="KOP68" s="684"/>
      <c r="KOQ68" s="684"/>
      <c r="KOR68" s="684"/>
      <c r="KOS68" s="684"/>
      <c r="KOT68" s="684"/>
      <c r="KOU68" s="684"/>
      <c r="KOV68" s="684"/>
      <c r="KOW68" s="684"/>
      <c r="KOX68" s="684"/>
      <c r="KOY68" s="684"/>
      <c r="KOZ68" s="684"/>
      <c r="KPA68" s="684"/>
      <c r="KPB68" s="684"/>
      <c r="KPC68" s="684"/>
      <c r="KPD68" s="684"/>
      <c r="KPE68" s="684"/>
      <c r="KPF68" s="684"/>
      <c r="KPG68" s="684"/>
      <c r="KPH68" s="684"/>
      <c r="KPI68" s="684"/>
      <c r="KPJ68" s="684"/>
      <c r="KPK68" s="684"/>
      <c r="KPL68" s="684"/>
      <c r="KPM68" s="684"/>
      <c r="KPN68" s="684"/>
      <c r="KPO68" s="684"/>
      <c r="KPP68" s="684"/>
      <c r="KPQ68" s="684"/>
      <c r="KPR68" s="684"/>
      <c r="KPS68" s="684"/>
      <c r="KPT68" s="684"/>
      <c r="KPU68" s="684"/>
      <c r="KPV68" s="684"/>
      <c r="KPW68" s="684"/>
      <c r="KPX68" s="684"/>
      <c r="KPY68" s="684"/>
      <c r="KPZ68" s="684"/>
      <c r="KQA68" s="684"/>
      <c r="KQB68" s="684"/>
      <c r="KQC68" s="684"/>
      <c r="KQD68" s="684"/>
      <c r="KQE68" s="684"/>
      <c r="KQF68" s="684"/>
      <c r="KQG68" s="684"/>
      <c r="KQH68" s="684"/>
      <c r="KQI68" s="684"/>
      <c r="KQJ68" s="684"/>
      <c r="KQK68" s="684"/>
      <c r="KQL68" s="684"/>
      <c r="KQM68" s="684"/>
      <c r="KQN68" s="684"/>
      <c r="KQO68" s="684"/>
      <c r="KQP68" s="684"/>
      <c r="KQQ68" s="684"/>
      <c r="KQR68" s="684"/>
      <c r="KQS68" s="684"/>
      <c r="KQT68" s="684"/>
      <c r="KQU68" s="684"/>
      <c r="KQV68" s="684"/>
      <c r="KQW68" s="684"/>
      <c r="KQX68" s="684"/>
      <c r="KQY68" s="684"/>
      <c r="KQZ68" s="684"/>
      <c r="KRA68" s="684"/>
      <c r="KRB68" s="684"/>
      <c r="KRC68" s="684"/>
      <c r="KRD68" s="684"/>
      <c r="KRE68" s="684"/>
      <c r="KRF68" s="684"/>
      <c r="KRG68" s="684"/>
      <c r="KRH68" s="684"/>
      <c r="KRI68" s="684"/>
      <c r="KRJ68" s="684"/>
      <c r="KRK68" s="684"/>
      <c r="KRL68" s="684"/>
      <c r="KRM68" s="684"/>
      <c r="KRN68" s="684"/>
      <c r="KRO68" s="684"/>
      <c r="KRP68" s="684"/>
      <c r="KRQ68" s="684"/>
      <c r="KRR68" s="684"/>
      <c r="KRS68" s="684"/>
      <c r="KRT68" s="684"/>
      <c r="KRU68" s="684"/>
      <c r="KRV68" s="684"/>
      <c r="KRW68" s="684"/>
      <c r="KRX68" s="684"/>
      <c r="KRY68" s="684"/>
      <c r="KRZ68" s="684"/>
      <c r="KSA68" s="684"/>
      <c r="KSB68" s="684"/>
      <c r="KSC68" s="684"/>
      <c r="KSD68" s="684"/>
      <c r="KSE68" s="684"/>
      <c r="KSF68" s="684"/>
      <c r="KSG68" s="684"/>
      <c r="KSH68" s="684"/>
      <c r="KSI68" s="684"/>
      <c r="KSJ68" s="684"/>
      <c r="KSK68" s="684"/>
      <c r="KSL68" s="684"/>
      <c r="KSM68" s="684"/>
      <c r="KSN68" s="684"/>
      <c r="KSO68" s="684"/>
      <c r="KSP68" s="684"/>
      <c r="KSQ68" s="684"/>
      <c r="KSR68" s="684"/>
      <c r="KSS68" s="684"/>
      <c r="KST68" s="684"/>
      <c r="KSU68" s="684"/>
      <c r="KSV68" s="684"/>
      <c r="KSW68" s="684"/>
      <c r="KSX68" s="684"/>
      <c r="KSY68" s="684"/>
      <c r="KSZ68" s="684"/>
      <c r="KTA68" s="684"/>
      <c r="KTB68" s="684"/>
      <c r="KTC68" s="684"/>
      <c r="KTD68" s="684"/>
      <c r="KTE68" s="684"/>
      <c r="KTF68" s="684"/>
      <c r="KTG68" s="684"/>
      <c r="KTH68" s="684"/>
      <c r="KTI68" s="684"/>
      <c r="KTJ68" s="684"/>
      <c r="KTK68" s="684"/>
      <c r="KTL68" s="684"/>
      <c r="KTM68" s="684"/>
      <c r="KTN68" s="684"/>
      <c r="KTO68" s="684"/>
      <c r="KTP68" s="684"/>
      <c r="KTQ68" s="684"/>
      <c r="KTR68" s="684"/>
      <c r="KTS68" s="684"/>
      <c r="KTT68" s="684"/>
      <c r="KTU68" s="684"/>
      <c r="KTV68" s="684"/>
      <c r="KTW68" s="684"/>
      <c r="KTX68" s="684"/>
      <c r="KTY68" s="684"/>
      <c r="KTZ68" s="684"/>
      <c r="KUA68" s="684"/>
      <c r="KUB68" s="684"/>
      <c r="KUC68" s="684"/>
      <c r="KUD68" s="684"/>
      <c r="KUE68" s="684"/>
      <c r="KUF68" s="684"/>
      <c r="KUG68" s="684"/>
      <c r="KUH68" s="684"/>
      <c r="KUI68" s="684"/>
      <c r="KUJ68" s="684"/>
      <c r="KUK68" s="684"/>
      <c r="KUL68" s="684"/>
      <c r="KUM68" s="684"/>
      <c r="KUN68" s="684"/>
      <c r="KUO68" s="684"/>
      <c r="KUP68" s="684"/>
      <c r="KUQ68" s="684"/>
      <c r="KUR68" s="684"/>
      <c r="KUS68" s="684"/>
      <c r="KUT68" s="684"/>
      <c r="KUU68" s="684"/>
      <c r="KUV68" s="684"/>
      <c r="KUW68" s="684"/>
      <c r="KUX68" s="684"/>
      <c r="KUY68" s="684"/>
      <c r="KUZ68" s="684"/>
      <c r="KVA68" s="684"/>
      <c r="KVB68" s="684"/>
      <c r="KVC68" s="684"/>
      <c r="KVD68" s="684"/>
      <c r="KVE68" s="684"/>
      <c r="KVF68" s="684"/>
      <c r="KVG68" s="684"/>
      <c r="KVH68" s="684"/>
      <c r="KVI68" s="684"/>
      <c r="KVJ68" s="684"/>
      <c r="KVK68" s="684"/>
      <c r="KVL68" s="684"/>
      <c r="KVM68" s="684"/>
      <c r="KVN68" s="684"/>
      <c r="KVO68" s="684"/>
      <c r="KVP68" s="684"/>
      <c r="KVQ68" s="684"/>
      <c r="KVR68" s="684"/>
      <c r="KVS68" s="684"/>
      <c r="KVT68" s="684"/>
      <c r="KVU68" s="684"/>
      <c r="KVV68" s="684"/>
      <c r="KVW68" s="684"/>
      <c r="KVX68" s="684"/>
      <c r="KVY68" s="684"/>
      <c r="KVZ68" s="684"/>
      <c r="KWA68" s="684"/>
      <c r="KWB68" s="684"/>
      <c r="KWC68" s="684"/>
      <c r="KWD68" s="684"/>
      <c r="KWE68" s="684"/>
      <c r="KWF68" s="684"/>
      <c r="KWG68" s="684"/>
      <c r="KWH68" s="684"/>
      <c r="KWI68" s="684"/>
      <c r="KWJ68" s="684"/>
      <c r="KWK68" s="684"/>
      <c r="KWL68" s="684"/>
      <c r="KWM68" s="684"/>
      <c r="KWN68" s="684"/>
      <c r="KWO68" s="684"/>
      <c r="KWP68" s="684"/>
      <c r="KWQ68" s="684"/>
      <c r="KWR68" s="684"/>
      <c r="KWS68" s="684"/>
      <c r="KWT68" s="684"/>
      <c r="KWU68" s="684"/>
      <c r="KWV68" s="684"/>
      <c r="KWW68" s="684"/>
      <c r="KWX68" s="684"/>
      <c r="KWY68" s="684"/>
      <c r="KWZ68" s="684"/>
      <c r="KXA68" s="684"/>
      <c r="KXB68" s="684"/>
      <c r="KXC68" s="684"/>
      <c r="KXD68" s="684"/>
      <c r="KXE68" s="684"/>
      <c r="KXF68" s="684"/>
      <c r="KXG68" s="684"/>
      <c r="KXH68" s="684"/>
      <c r="KXI68" s="684"/>
      <c r="KXJ68" s="684"/>
      <c r="KXK68" s="684"/>
      <c r="KXL68" s="684"/>
      <c r="KXM68" s="684"/>
      <c r="KXN68" s="684"/>
      <c r="KXO68" s="684"/>
      <c r="KXP68" s="684"/>
      <c r="KXQ68" s="684"/>
      <c r="KXR68" s="684"/>
      <c r="KXS68" s="684"/>
      <c r="KXT68" s="684"/>
      <c r="KXU68" s="684"/>
      <c r="KXV68" s="684"/>
      <c r="KXW68" s="684"/>
      <c r="KXX68" s="684"/>
      <c r="KXY68" s="684"/>
      <c r="KXZ68" s="684"/>
      <c r="KYA68" s="684"/>
      <c r="KYB68" s="684"/>
      <c r="KYC68" s="684"/>
      <c r="KYD68" s="684"/>
      <c r="KYE68" s="684"/>
      <c r="KYF68" s="684"/>
      <c r="KYG68" s="684"/>
      <c r="KYH68" s="684"/>
      <c r="KYI68" s="684"/>
      <c r="KYJ68" s="684"/>
      <c r="KYK68" s="684"/>
      <c r="KYL68" s="684"/>
      <c r="KYM68" s="684"/>
      <c r="KYN68" s="684"/>
      <c r="KYO68" s="684"/>
      <c r="KYP68" s="684"/>
      <c r="KYQ68" s="684"/>
      <c r="KYR68" s="684"/>
      <c r="KYS68" s="684"/>
      <c r="KYT68" s="684"/>
      <c r="KYU68" s="684"/>
      <c r="KYV68" s="684"/>
      <c r="KYW68" s="684"/>
      <c r="KYX68" s="684"/>
      <c r="KYY68" s="684"/>
      <c r="KYZ68" s="684"/>
      <c r="KZA68" s="684"/>
      <c r="KZB68" s="684"/>
      <c r="KZC68" s="684"/>
      <c r="KZD68" s="684"/>
      <c r="KZE68" s="684"/>
      <c r="KZF68" s="684"/>
      <c r="KZG68" s="684"/>
      <c r="KZH68" s="684"/>
      <c r="KZI68" s="684"/>
      <c r="KZJ68" s="684"/>
      <c r="KZK68" s="684"/>
      <c r="KZL68" s="684"/>
      <c r="KZM68" s="684"/>
      <c r="KZN68" s="684"/>
      <c r="KZO68" s="684"/>
      <c r="KZP68" s="684"/>
      <c r="KZQ68" s="684"/>
      <c r="KZR68" s="684"/>
      <c r="KZS68" s="684"/>
      <c r="KZT68" s="684"/>
      <c r="KZU68" s="684"/>
      <c r="KZV68" s="684"/>
      <c r="KZW68" s="684"/>
      <c r="KZX68" s="684"/>
      <c r="KZY68" s="684"/>
      <c r="KZZ68" s="684"/>
      <c r="LAA68" s="684"/>
      <c r="LAB68" s="684"/>
      <c r="LAC68" s="684"/>
      <c r="LAD68" s="684"/>
      <c r="LAE68" s="684"/>
      <c r="LAF68" s="684"/>
      <c r="LAG68" s="684"/>
      <c r="LAH68" s="684"/>
      <c r="LAI68" s="684"/>
      <c r="LAJ68" s="684"/>
      <c r="LAK68" s="684"/>
      <c r="LAL68" s="684"/>
      <c r="LAM68" s="684"/>
      <c r="LAN68" s="684"/>
      <c r="LAO68" s="684"/>
      <c r="LAP68" s="684"/>
      <c r="LAQ68" s="684"/>
      <c r="LAR68" s="684"/>
      <c r="LAS68" s="684"/>
      <c r="LAT68" s="684"/>
      <c r="LAU68" s="684"/>
      <c r="LAV68" s="684"/>
      <c r="LAW68" s="684"/>
      <c r="LAX68" s="684"/>
      <c r="LAY68" s="684"/>
      <c r="LAZ68" s="684"/>
      <c r="LBA68" s="684"/>
      <c r="LBB68" s="684"/>
      <c r="LBC68" s="684"/>
      <c r="LBD68" s="684"/>
      <c r="LBE68" s="684"/>
      <c r="LBF68" s="684"/>
      <c r="LBG68" s="684"/>
      <c r="LBH68" s="684"/>
      <c r="LBI68" s="684"/>
      <c r="LBJ68" s="684"/>
      <c r="LBK68" s="684"/>
      <c r="LBL68" s="684"/>
      <c r="LBM68" s="684"/>
      <c r="LBN68" s="684"/>
      <c r="LBO68" s="684"/>
      <c r="LBP68" s="684"/>
      <c r="LBQ68" s="684"/>
      <c r="LBR68" s="684"/>
      <c r="LBS68" s="684"/>
      <c r="LBT68" s="684"/>
      <c r="LBU68" s="684"/>
      <c r="LBV68" s="684"/>
      <c r="LBW68" s="684"/>
      <c r="LBX68" s="684"/>
      <c r="LBY68" s="684"/>
      <c r="LBZ68" s="684"/>
      <c r="LCA68" s="684"/>
      <c r="LCB68" s="684"/>
      <c r="LCC68" s="684"/>
      <c r="LCD68" s="684"/>
      <c r="LCE68" s="684"/>
      <c r="LCF68" s="684"/>
      <c r="LCG68" s="684"/>
      <c r="LCH68" s="684"/>
      <c r="LCI68" s="684"/>
      <c r="LCJ68" s="684"/>
      <c r="LCK68" s="684"/>
      <c r="LCL68" s="684"/>
      <c r="LCM68" s="684"/>
      <c r="LCN68" s="684"/>
      <c r="LCO68" s="684"/>
      <c r="LCP68" s="684"/>
      <c r="LCQ68" s="684"/>
      <c r="LCR68" s="684"/>
      <c r="LCS68" s="684"/>
      <c r="LCT68" s="684"/>
      <c r="LCU68" s="684"/>
      <c r="LCV68" s="684"/>
      <c r="LCW68" s="684"/>
      <c r="LCX68" s="684"/>
      <c r="LCY68" s="684"/>
      <c r="LCZ68" s="684"/>
      <c r="LDA68" s="684"/>
      <c r="LDB68" s="684"/>
      <c r="LDC68" s="684"/>
      <c r="LDD68" s="684"/>
      <c r="LDE68" s="684"/>
      <c r="LDF68" s="684"/>
      <c r="LDG68" s="684"/>
      <c r="LDH68" s="684"/>
      <c r="LDI68" s="684"/>
      <c r="LDJ68" s="684"/>
      <c r="LDK68" s="684"/>
      <c r="LDL68" s="684"/>
      <c r="LDM68" s="684"/>
      <c r="LDN68" s="684"/>
      <c r="LDO68" s="684"/>
      <c r="LDP68" s="684"/>
      <c r="LDQ68" s="684"/>
      <c r="LDR68" s="684"/>
      <c r="LDS68" s="684"/>
      <c r="LDT68" s="684"/>
      <c r="LDU68" s="684"/>
      <c r="LDV68" s="684"/>
      <c r="LDW68" s="684"/>
      <c r="LDX68" s="684"/>
      <c r="LDY68" s="684"/>
      <c r="LDZ68" s="684"/>
      <c r="LEA68" s="684"/>
      <c r="LEB68" s="684"/>
      <c r="LEC68" s="684"/>
      <c r="LED68" s="684"/>
      <c r="LEE68" s="684"/>
      <c r="LEF68" s="684"/>
      <c r="LEG68" s="684"/>
      <c r="LEH68" s="684"/>
      <c r="LEI68" s="684"/>
      <c r="LEJ68" s="684"/>
      <c r="LEK68" s="684"/>
      <c r="LEL68" s="684"/>
      <c r="LEM68" s="684"/>
      <c r="LEN68" s="684"/>
      <c r="LEO68" s="684"/>
      <c r="LEP68" s="684"/>
      <c r="LEQ68" s="684"/>
      <c r="LER68" s="684"/>
      <c r="LES68" s="684"/>
      <c r="LET68" s="684"/>
      <c r="LEU68" s="684"/>
      <c r="LEV68" s="684"/>
      <c r="LEW68" s="684"/>
      <c r="LEX68" s="684"/>
      <c r="LEY68" s="684"/>
      <c r="LEZ68" s="684"/>
      <c r="LFA68" s="684"/>
      <c r="LFB68" s="684"/>
      <c r="LFC68" s="684"/>
      <c r="LFD68" s="684"/>
      <c r="LFE68" s="684"/>
      <c r="LFF68" s="684"/>
      <c r="LFG68" s="684"/>
      <c r="LFH68" s="684"/>
      <c r="LFI68" s="684"/>
      <c r="LFJ68" s="684"/>
      <c r="LFK68" s="684"/>
      <c r="LFL68" s="684"/>
      <c r="LFM68" s="684"/>
      <c r="LFN68" s="684"/>
      <c r="LFO68" s="684"/>
      <c r="LFP68" s="684"/>
      <c r="LFQ68" s="684"/>
      <c r="LFR68" s="684"/>
      <c r="LFS68" s="684"/>
      <c r="LFT68" s="684"/>
      <c r="LFU68" s="684"/>
      <c r="LFV68" s="684"/>
      <c r="LFW68" s="684"/>
      <c r="LFX68" s="684"/>
      <c r="LFY68" s="684"/>
      <c r="LFZ68" s="684"/>
      <c r="LGA68" s="684"/>
      <c r="LGB68" s="684"/>
      <c r="LGC68" s="684"/>
      <c r="LGD68" s="684"/>
      <c r="LGE68" s="684"/>
      <c r="LGF68" s="684"/>
      <c r="LGG68" s="684"/>
      <c r="LGH68" s="684"/>
      <c r="LGI68" s="684"/>
      <c r="LGJ68" s="684"/>
      <c r="LGK68" s="684"/>
      <c r="LGL68" s="684"/>
      <c r="LGM68" s="684"/>
      <c r="LGN68" s="684"/>
      <c r="LGO68" s="684"/>
      <c r="LGP68" s="684"/>
      <c r="LGQ68" s="684"/>
      <c r="LGR68" s="684"/>
      <c r="LGS68" s="684"/>
      <c r="LGT68" s="684"/>
      <c r="LGU68" s="684"/>
      <c r="LGV68" s="684"/>
      <c r="LGW68" s="684"/>
      <c r="LGX68" s="684"/>
      <c r="LGY68" s="684"/>
      <c r="LGZ68" s="684"/>
      <c r="LHA68" s="684"/>
      <c r="LHB68" s="684"/>
      <c r="LHC68" s="684"/>
      <c r="LHD68" s="684"/>
      <c r="LHE68" s="684"/>
      <c r="LHF68" s="684"/>
      <c r="LHG68" s="684"/>
      <c r="LHH68" s="684"/>
      <c r="LHI68" s="684"/>
      <c r="LHJ68" s="684"/>
      <c r="LHK68" s="684"/>
      <c r="LHL68" s="684"/>
      <c r="LHM68" s="684"/>
      <c r="LHN68" s="684"/>
      <c r="LHO68" s="684"/>
      <c r="LHP68" s="684"/>
      <c r="LHQ68" s="684"/>
      <c r="LHR68" s="684"/>
      <c r="LHS68" s="684"/>
      <c r="LHT68" s="684"/>
      <c r="LHU68" s="684"/>
      <c r="LHV68" s="684"/>
      <c r="LHW68" s="684"/>
      <c r="LHX68" s="684"/>
      <c r="LHY68" s="684"/>
      <c r="LHZ68" s="684"/>
      <c r="LIA68" s="684"/>
      <c r="LIB68" s="684"/>
      <c r="LIC68" s="684"/>
      <c r="LID68" s="684"/>
      <c r="LIE68" s="684"/>
      <c r="LIF68" s="684"/>
      <c r="LIG68" s="684"/>
      <c r="LIH68" s="684"/>
      <c r="LII68" s="684"/>
      <c r="LIJ68" s="684"/>
      <c r="LIK68" s="684"/>
      <c r="LIL68" s="684"/>
      <c r="LIM68" s="684"/>
      <c r="LIN68" s="684"/>
      <c r="LIO68" s="684"/>
      <c r="LIP68" s="684"/>
      <c r="LIQ68" s="684"/>
      <c r="LIR68" s="684"/>
      <c r="LIS68" s="684"/>
      <c r="LIT68" s="684"/>
      <c r="LIU68" s="684"/>
      <c r="LIV68" s="684"/>
      <c r="LIW68" s="684"/>
      <c r="LIX68" s="684"/>
      <c r="LIY68" s="684"/>
      <c r="LIZ68" s="684"/>
      <c r="LJA68" s="684"/>
      <c r="LJB68" s="684"/>
      <c r="LJC68" s="684"/>
      <c r="LJD68" s="684"/>
      <c r="LJE68" s="684"/>
      <c r="LJF68" s="684"/>
      <c r="LJG68" s="684"/>
      <c r="LJH68" s="684"/>
      <c r="LJI68" s="684"/>
      <c r="LJJ68" s="684"/>
      <c r="LJK68" s="684"/>
      <c r="LJL68" s="684"/>
      <c r="LJM68" s="684"/>
      <c r="LJN68" s="684"/>
      <c r="LJO68" s="684"/>
      <c r="LJP68" s="684"/>
      <c r="LJQ68" s="684"/>
      <c r="LJR68" s="684"/>
      <c r="LJS68" s="684"/>
      <c r="LJT68" s="684"/>
      <c r="LJU68" s="684"/>
      <c r="LJV68" s="684"/>
      <c r="LJW68" s="684"/>
      <c r="LJX68" s="684"/>
      <c r="LJY68" s="684"/>
      <c r="LJZ68" s="684"/>
      <c r="LKA68" s="684"/>
      <c r="LKB68" s="684"/>
      <c r="LKC68" s="684"/>
      <c r="LKD68" s="684"/>
      <c r="LKE68" s="684"/>
      <c r="LKF68" s="684"/>
      <c r="LKG68" s="684"/>
      <c r="LKH68" s="684"/>
      <c r="LKI68" s="684"/>
      <c r="LKJ68" s="684"/>
      <c r="LKK68" s="684"/>
      <c r="LKL68" s="684"/>
      <c r="LKM68" s="684"/>
      <c r="LKN68" s="684"/>
      <c r="LKO68" s="684"/>
      <c r="LKP68" s="684"/>
      <c r="LKQ68" s="684"/>
      <c r="LKR68" s="684"/>
      <c r="LKS68" s="684"/>
      <c r="LKT68" s="684"/>
      <c r="LKU68" s="684"/>
      <c r="LKV68" s="684"/>
      <c r="LKW68" s="684"/>
      <c r="LKX68" s="684"/>
      <c r="LKY68" s="684"/>
      <c r="LKZ68" s="684"/>
      <c r="LLA68" s="684"/>
      <c r="LLB68" s="684"/>
      <c r="LLC68" s="684"/>
      <c r="LLD68" s="684"/>
      <c r="LLE68" s="684"/>
      <c r="LLF68" s="684"/>
      <c r="LLG68" s="684"/>
      <c r="LLH68" s="684"/>
      <c r="LLI68" s="684"/>
      <c r="LLJ68" s="684"/>
      <c r="LLK68" s="684"/>
      <c r="LLL68" s="684"/>
      <c r="LLM68" s="684"/>
      <c r="LLN68" s="684"/>
      <c r="LLO68" s="684"/>
      <c r="LLP68" s="684"/>
      <c r="LLQ68" s="684"/>
      <c r="LLR68" s="684"/>
      <c r="LLS68" s="684"/>
      <c r="LLT68" s="684"/>
      <c r="LLU68" s="684"/>
      <c r="LLV68" s="684"/>
      <c r="LLW68" s="684"/>
      <c r="LLX68" s="684"/>
      <c r="LLY68" s="684"/>
      <c r="LLZ68" s="684"/>
      <c r="LMA68" s="684"/>
      <c r="LMB68" s="684"/>
      <c r="LMC68" s="684"/>
      <c r="LMD68" s="684"/>
      <c r="LME68" s="684"/>
      <c r="LMF68" s="684"/>
      <c r="LMG68" s="684"/>
      <c r="LMH68" s="684"/>
      <c r="LMI68" s="684"/>
      <c r="LMJ68" s="684"/>
      <c r="LMK68" s="684"/>
      <c r="LML68" s="684"/>
      <c r="LMM68" s="684"/>
      <c r="LMN68" s="684"/>
      <c r="LMO68" s="684"/>
      <c r="LMP68" s="684"/>
      <c r="LMQ68" s="684"/>
      <c r="LMR68" s="684"/>
      <c r="LMS68" s="684"/>
      <c r="LMT68" s="684"/>
      <c r="LMU68" s="684"/>
      <c r="LMV68" s="684"/>
      <c r="LMW68" s="684"/>
      <c r="LMX68" s="684"/>
      <c r="LMY68" s="684"/>
      <c r="LMZ68" s="684"/>
      <c r="LNA68" s="684"/>
      <c r="LNB68" s="684"/>
      <c r="LNC68" s="684"/>
      <c r="LND68" s="684"/>
      <c r="LNE68" s="684"/>
      <c r="LNF68" s="684"/>
      <c r="LNG68" s="684"/>
      <c r="LNH68" s="684"/>
      <c r="LNI68" s="684"/>
      <c r="LNJ68" s="684"/>
      <c r="LNK68" s="684"/>
      <c r="LNL68" s="684"/>
      <c r="LNM68" s="684"/>
      <c r="LNN68" s="684"/>
      <c r="LNO68" s="684"/>
      <c r="LNP68" s="684"/>
      <c r="LNQ68" s="684"/>
      <c r="LNR68" s="684"/>
      <c r="LNS68" s="684"/>
      <c r="LNT68" s="684"/>
      <c r="LNU68" s="684"/>
      <c r="LNV68" s="684"/>
      <c r="LNW68" s="684"/>
      <c r="LNX68" s="684"/>
      <c r="LNY68" s="684"/>
      <c r="LNZ68" s="684"/>
      <c r="LOA68" s="684"/>
      <c r="LOB68" s="684"/>
      <c r="LOC68" s="684"/>
      <c r="LOD68" s="684"/>
      <c r="LOE68" s="684"/>
      <c r="LOF68" s="684"/>
      <c r="LOG68" s="684"/>
      <c r="LOH68" s="684"/>
      <c r="LOI68" s="684"/>
      <c r="LOJ68" s="684"/>
      <c r="LOK68" s="684"/>
      <c r="LOL68" s="684"/>
      <c r="LOM68" s="684"/>
      <c r="LON68" s="684"/>
      <c r="LOO68" s="684"/>
      <c r="LOP68" s="684"/>
      <c r="LOQ68" s="684"/>
      <c r="LOR68" s="684"/>
      <c r="LOS68" s="684"/>
      <c r="LOT68" s="684"/>
      <c r="LOU68" s="684"/>
      <c r="LOV68" s="684"/>
      <c r="LOW68" s="684"/>
      <c r="LOX68" s="684"/>
      <c r="LOY68" s="684"/>
      <c r="LOZ68" s="684"/>
      <c r="LPA68" s="684"/>
      <c r="LPB68" s="684"/>
      <c r="LPC68" s="684"/>
      <c r="LPD68" s="684"/>
      <c r="LPE68" s="684"/>
      <c r="LPF68" s="684"/>
      <c r="LPG68" s="684"/>
      <c r="LPH68" s="684"/>
      <c r="LPI68" s="684"/>
      <c r="LPJ68" s="684"/>
      <c r="LPK68" s="684"/>
      <c r="LPL68" s="684"/>
      <c r="LPM68" s="684"/>
      <c r="LPN68" s="684"/>
      <c r="LPO68" s="684"/>
      <c r="LPP68" s="684"/>
      <c r="LPQ68" s="684"/>
      <c r="LPR68" s="684"/>
      <c r="LPS68" s="684"/>
      <c r="LPT68" s="684"/>
      <c r="LPU68" s="684"/>
      <c r="LPV68" s="684"/>
      <c r="LPW68" s="684"/>
      <c r="LPX68" s="684"/>
      <c r="LPY68" s="684"/>
      <c r="LPZ68" s="684"/>
      <c r="LQA68" s="684"/>
      <c r="LQB68" s="684"/>
      <c r="LQC68" s="684"/>
      <c r="LQD68" s="684"/>
      <c r="LQE68" s="684"/>
      <c r="LQF68" s="684"/>
      <c r="LQG68" s="684"/>
      <c r="LQH68" s="684"/>
      <c r="LQI68" s="684"/>
      <c r="LQJ68" s="684"/>
      <c r="LQK68" s="684"/>
      <c r="LQL68" s="684"/>
      <c r="LQM68" s="684"/>
      <c r="LQN68" s="684"/>
      <c r="LQO68" s="684"/>
      <c r="LQP68" s="684"/>
      <c r="LQQ68" s="684"/>
      <c r="LQR68" s="684"/>
      <c r="LQS68" s="684"/>
      <c r="LQT68" s="684"/>
      <c r="LQU68" s="684"/>
      <c r="LQV68" s="684"/>
      <c r="LQW68" s="684"/>
      <c r="LQX68" s="684"/>
      <c r="LQY68" s="684"/>
      <c r="LQZ68" s="684"/>
      <c r="LRA68" s="684"/>
      <c r="LRB68" s="684"/>
      <c r="LRC68" s="684"/>
      <c r="LRD68" s="684"/>
      <c r="LRE68" s="684"/>
      <c r="LRF68" s="684"/>
      <c r="LRG68" s="684"/>
      <c r="LRH68" s="684"/>
      <c r="LRI68" s="684"/>
      <c r="LRJ68" s="684"/>
      <c r="LRK68" s="684"/>
      <c r="LRL68" s="684"/>
      <c r="LRM68" s="684"/>
      <c r="LRN68" s="684"/>
      <c r="LRO68" s="684"/>
      <c r="LRP68" s="684"/>
      <c r="LRQ68" s="684"/>
      <c r="LRR68" s="684"/>
      <c r="LRS68" s="684"/>
      <c r="LRT68" s="684"/>
      <c r="LRU68" s="684"/>
      <c r="LRV68" s="684"/>
      <c r="LRW68" s="684"/>
      <c r="LRX68" s="684"/>
      <c r="LRY68" s="684"/>
      <c r="LRZ68" s="684"/>
      <c r="LSA68" s="684"/>
      <c r="LSB68" s="684"/>
      <c r="LSC68" s="684"/>
      <c r="LSD68" s="684"/>
      <c r="LSE68" s="684"/>
      <c r="LSF68" s="684"/>
      <c r="LSG68" s="684"/>
      <c r="LSH68" s="684"/>
      <c r="LSI68" s="684"/>
      <c r="LSJ68" s="684"/>
      <c r="LSK68" s="684"/>
      <c r="LSL68" s="684"/>
      <c r="LSM68" s="684"/>
      <c r="LSN68" s="684"/>
      <c r="LSO68" s="684"/>
      <c r="LSP68" s="684"/>
      <c r="LSQ68" s="684"/>
      <c r="LSR68" s="684"/>
      <c r="LSS68" s="684"/>
      <c r="LST68" s="684"/>
      <c r="LSU68" s="684"/>
      <c r="LSV68" s="684"/>
      <c r="LSW68" s="684"/>
      <c r="LSX68" s="684"/>
      <c r="LSY68" s="684"/>
      <c r="LSZ68" s="684"/>
      <c r="LTA68" s="684"/>
      <c r="LTB68" s="684"/>
      <c r="LTC68" s="684"/>
      <c r="LTD68" s="684"/>
      <c r="LTE68" s="684"/>
      <c r="LTF68" s="684"/>
      <c r="LTG68" s="684"/>
      <c r="LTH68" s="684"/>
      <c r="LTI68" s="684"/>
      <c r="LTJ68" s="684"/>
      <c r="LTK68" s="684"/>
      <c r="LTL68" s="684"/>
      <c r="LTM68" s="684"/>
      <c r="LTN68" s="684"/>
      <c r="LTO68" s="684"/>
      <c r="LTP68" s="684"/>
      <c r="LTQ68" s="684"/>
      <c r="LTR68" s="684"/>
      <c r="LTS68" s="684"/>
      <c r="LTT68" s="684"/>
      <c r="LTU68" s="684"/>
      <c r="LTV68" s="684"/>
      <c r="LTW68" s="684"/>
      <c r="LTX68" s="684"/>
      <c r="LTY68" s="684"/>
      <c r="LTZ68" s="684"/>
      <c r="LUA68" s="684"/>
      <c r="LUB68" s="684"/>
      <c r="LUC68" s="684"/>
      <c r="LUD68" s="684"/>
      <c r="LUE68" s="684"/>
      <c r="LUF68" s="684"/>
      <c r="LUG68" s="684"/>
      <c r="LUH68" s="684"/>
      <c r="LUI68" s="684"/>
      <c r="LUJ68" s="684"/>
      <c r="LUK68" s="684"/>
      <c r="LUL68" s="684"/>
      <c r="LUM68" s="684"/>
      <c r="LUN68" s="684"/>
      <c r="LUO68" s="684"/>
      <c r="LUP68" s="684"/>
      <c r="LUQ68" s="684"/>
      <c r="LUR68" s="684"/>
      <c r="LUS68" s="684"/>
      <c r="LUT68" s="684"/>
      <c r="LUU68" s="684"/>
      <c r="LUV68" s="684"/>
      <c r="LUW68" s="684"/>
      <c r="LUX68" s="684"/>
      <c r="LUY68" s="684"/>
      <c r="LUZ68" s="684"/>
      <c r="LVA68" s="684"/>
      <c r="LVB68" s="684"/>
      <c r="LVC68" s="684"/>
      <c r="LVD68" s="684"/>
      <c r="LVE68" s="684"/>
      <c r="LVF68" s="684"/>
      <c r="LVG68" s="684"/>
      <c r="LVH68" s="684"/>
      <c r="LVI68" s="684"/>
      <c r="LVJ68" s="684"/>
      <c r="LVK68" s="684"/>
      <c r="LVL68" s="684"/>
      <c r="LVM68" s="684"/>
      <c r="LVN68" s="684"/>
      <c r="LVO68" s="684"/>
      <c r="LVP68" s="684"/>
      <c r="LVQ68" s="684"/>
      <c r="LVR68" s="684"/>
      <c r="LVS68" s="684"/>
      <c r="LVT68" s="684"/>
      <c r="LVU68" s="684"/>
      <c r="LVV68" s="684"/>
      <c r="LVW68" s="684"/>
      <c r="LVX68" s="684"/>
      <c r="LVY68" s="684"/>
      <c r="LVZ68" s="684"/>
      <c r="LWA68" s="684"/>
      <c r="LWB68" s="684"/>
      <c r="LWC68" s="684"/>
      <c r="LWD68" s="684"/>
      <c r="LWE68" s="684"/>
      <c r="LWF68" s="684"/>
      <c r="LWG68" s="684"/>
      <c r="LWH68" s="684"/>
      <c r="LWI68" s="684"/>
      <c r="LWJ68" s="684"/>
      <c r="LWK68" s="684"/>
      <c r="LWL68" s="684"/>
      <c r="LWM68" s="684"/>
      <c r="LWN68" s="684"/>
      <c r="LWO68" s="684"/>
      <c r="LWP68" s="684"/>
      <c r="LWQ68" s="684"/>
      <c r="LWR68" s="684"/>
      <c r="LWS68" s="684"/>
      <c r="LWT68" s="684"/>
      <c r="LWU68" s="684"/>
      <c r="LWV68" s="684"/>
      <c r="LWW68" s="684"/>
      <c r="LWX68" s="684"/>
      <c r="LWY68" s="684"/>
      <c r="LWZ68" s="684"/>
      <c r="LXA68" s="684"/>
      <c r="LXB68" s="684"/>
      <c r="LXC68" s="684"/>
      <c r="LXD68" s="684"/>
      <c r="LXE68" s="684"/>
      <c r="LXF68" s="684"/>
      <c r="LXG68" s="684"/>
      <c r="LXH68" s="684"/>
      <c r="LXI68" s="684"/>
      <c r="LXJ68" s="684"/>
      <c r="LXK68" s="684"/>
      <c r="LXL68" s="684"/>
      <c r="LXM68" s="684"/>
      <c r="LXN68" s="684"/>
      <c r="LXO68" s="684"/>
      <c r="LXP68" s="684"/>
      <c r="LXQ68" s="684"/>
      <c r="LXR68" s="684"/>
      <c r="LXS68" s="684"/>
      <c r="LXT68" s="684"/>
      <c r="LXU68" s="684"/>
      <c r="LXV68" s="684"/>
      <c r="LXW68" s="684"/>
      <c r="LXX68" s="684"/>
      <c r="LXY68" s="684"/>
      <c r="LXZ68" s="684"/>
      <c r="LYA68" s="684"/>
      <c r="LYB68" s="684"/>
      <c r="LYC68" s="684"/>
      <c r="LYD68" s="684"/>
      <c r="LYE68" s="684"/>
      <c r="LYF68" s="684"/>
      <c r="LYG68" s="684"/>
      <c r="LYH68" s="684"/>
      <c r="LYI68" s="684"/>
      <c r="LYJ68" s="684"/>
      <c r="LYK68" s="684"/>
      <c r="LYL68" s="684"/>
      <c r="LYM68" s="684"/>
      <c r="LYN68" s="684"/>
      <c r="LYO68" s="684"/>
      <c r="LYP68" s="684"/>
      <c r="LYQ68" s="684"/>
      <c r="LYR68" s="684"/>
      <c r="LYS68" s="684"/>
      <c r="LYT68" s="684"/>
      <c r="LYU68" s="684"/>
      <c r="LYV68" s="684"/>
      <c r="LYW68" s="684"/>
      <c r="LYX68" s="684"/>
      <c r="LYY68" s="684"/>
      <c r="LYZ68" s="684"/>
      <c r="LZA68" s="684"/>
      <c r="LZB68" s="684"/>
      <c r="LZC68" s="684"/>
      <c r="LZD68" s="684"/>
      <c r="LZE68" s="684"/>
      <c r="LZF68" s="684"/>
      <c r="LZG68" s="684"/>
      <c r="LZH68" s="684"/>
      <c r="LZI68" s="684"/>
      <c r="LZJ68" s="684"/>
      <c r="LZK68" s="684"/>
      <c r="LZL68" s="684"/>
      <c r="LZM68" s="684"/>
      <c r="LZN68" s="684"/>
      <c r="LZO68" s="684"/>
      <c r="LZP68" s="684"/>
      <c r="LZQ68" s="684"/>
      <c r="LZR68" s="684"/>
      <c r="LZS68" s="684"/>
      <c r="LZT68" s="684"/>
      <c r="LZU68" s="684"/>
      <c r="LZV68" s="684"/>
      <c r="LZW68" s="684"/>
      <c r="LZX68" s="684"/>
      <c r="LZY68" s="684"/>
      <c r="LZZ68" s="684"/>
      <c r="MAA68" s="684"/>
      <c r="MAB68" s="684"/>
      <c r="MAC68" s="684"/>
      <c r="MAD68" s="684"/>
      <c r="MAE68" s="684"/>
      <c r="MAF68" s="684"/>
      <c r="MAG68" s="684"/>
      <c r="MAH68" s="684"/>
      <c r="MAI68" s="684"/>
      <c r="MAJ68" s="684"/>
      <c r="MAK68" s="684"/>
      <c r="MAL68" s="684"/>
      <c r="MAM68" s="684"/>
      <c r="MAN68" s="684"/>
      <c r="MAO68" s="684"/>
      <c r="MAP68" s="684"/>
      <c r="MAQ68" s="684"/>
      <c r="MAR68" s="684"/>
      <c r="MAS68" s="684"/>
      <c r="MAT68" s="684"/>
      <c r="MAU68" s="684"/>
      <c r="MAV68" s="684"/>
      <c r="MAW68" s="684"/>
      <c r="MAX68" s="684"/>
      <c r="MAY68" s="684"/>
      <c r="MAZ68" s="684"/>
      <c r="MBA68" s="684"/>
      <c r="MBB68" s="684"/>
      <c r="MBC68" s="684"/>
      <c r="MBD68" s="684"/>
      <c r="MBE68" s="684"/>
      <c r="MBF68" s="684"/>
      <c r="MBG68" s="684"/>
      <c r="MBH68" s="684"/>
      <c r="MBI68" s="684"/>
      <c r="MBJ68" s="684"/>
      <c r="MBK68" s="684"/>
      <c r="MBL68" s="684"/>
      <c r="MBM68" s="684"/>
      <c r="MBN68" s="684"/>
      <c r="MBO68" s="684"/>
      <c r="MBP68" s="684"/>
      <c r="MBQ68" s="684"/>
      <c r="MBR68" s="684"/>
      <c r="MBS68" s="684"/>
      <c r="MBT68" s="684"/>
      <c r="MBU68" s="684"/>
      <c r="MBV68" s="684"/>
      <c r="MBW68" s="684"/>
      <c r="MBX68" s="684"/>
      <c r="MBY68" s="684"/>
      <c r="MBZ68" s="684"/>
      <c r="MCA68" s="684"/>
      <c r="MCB68" s="684"/>
      <c r="MCC68" s="684"/>
      <c r="MCD68" s="684"/>
      <c r="MCE68" s="684"/>
      <c r="MCF68" s="684"/>
      <c r="MCG68" s="684"/>
      <c r="MCH68" s="684"/>
      <c r="MCI68" s="684"/>
      <c r="MCJ68" s="684"/>
      <c r="MCK68" s="684"/>
      <c r="MCL68" s="684"/>
      <c r="MCM68" s="684"/>
      <c r="MCN68" s="684"/>
      <c r="MCO68" s="684"/>
      <c r="MCP68" s="684"/>
      <c r="MCQ68" s="684"/>
      <c r="MCR68" s="684"/>
      <c r="MCS68" s="684"/>
      <c r="MCT68" s="684"/>
      <c r="MCU68" s="684"/>
      <c r="MCV68" s="684"/>
      <c r="MCW68" s="684"/>
      <c r="MCX68" s="684"/>
      <c r="MCY68" s="684"/>
      <c r="MCZ68" s="684"/>
      <c r="MDA68" s="684"/>
      <c r="MDB68" s="684"/>
      <c r="MDC68" s="684"/>
      <c r="MDD68" s="684"/>
      <c r="MDE68" s="684"/>
      <c r="MDF68" s="684"/>
      <c r="MDG68" s="684"/>
      <c r="MDH68" s="684"/>
      <c r="MDI68" s="684"/>
      <c r="MDJ68" s="684"/>
      <c r="MDK68" s="684"/>
      <c r="MDL68" s="684"/>
      <c r="MDM68" s="684"/>
      <c r="MDN68" s="684"/>
      <c r="MDO68" s="684"/>
      <c r="MDP68" s="684"/>
      <c r="MDQ68" s="684"/>
      <c r="MDR68" s="684"/>
      <c r="MDS68" s="684"/>
      <c r="MDT68" s="684"/>
      <c r="MDU68" s="684"/>
      <c r="MDV68" s="684"/>
      <c r="MDW68" s="684"/>
      <c r="MDX68" s="684"/>
      <c r="MDY68" s="684"/>
      <c r="MDZ68" s="684"/>
      <c r="MEA68" s="684"/>
      <c r="MEB68" s="684"/>
      <c r="MEC68" s="684"/>
      <c r="MED68" s="684"/>
      <c r="MEE68" s="684"/>
      <c r="MEF68" s="684"/>
      <c r="MEG68" s="684"/>
      <c r="MEH68" s="684"/>
      <c r="MEI68" s="684"/>
      <c r="MEJ68" s="684"/>
      <c r="MEK68" s="684"/>
      <c r="MEL68" s="684"/>
      <c r="MEM68" s="684"/>
      <c r="MEN68" s="684"/>
      <c r="MEO68" s="684"/>
      <c r="MEP68" s="684"/>
      <c r="MEQ68" s="684"/>
      <c r="MER68" s="684"/>
      <c r="MES68" s="684"/>
      <c r="MET68" s="684"/>
      <c r="MEU68" s="684"/>
      <c r="MEV68" s="684"/>
      <c r="MEW68" s="684"/>
      <c r="MEX68" s="684"/>
      <c r="MEY68" s="684"/>
      <c r="MEZ68" s="684"/>
      <c r="MFA68" s="684"/>
      <c r="MFB68" s="684"/>
      <c r="MFC68" s="684"/>
      <c r="MFD68" s="684"/>
      <c r="MFE68" s="684"/>
      <c r="MFF68" s="684"/>
      <c r="MFG68" s="684"/>
      <c r="MFH68" s="684"/>
      <c r="MFI68" s="684"/>
      <c r="MFJ68" s="684"/>
      <c r="MFK68" s="684"/>
      <c r="MFL68" s="684"/>
      <c r="MFM68" s="684"/>
      <c r="MFN68" s="684"/>
      <c r="MFO68" s="684"/>
      <c r="MFP68" s="684"/>
      <c r="MFQ68" s="684"/>
      <c r="MFR68" s="684"/>
      <c r="MFS68" s="684"/>
      <c r="MFT68" s="684"/>
      <c r="MFU68" s="684"/>
      <c r="MFV68" s="684"/>
      <c r="MFW68" s="684"/>
      <c r="MFX68" s="684"/>
      <c r="MFY68" s="684"/>
      <c r="MFZ68" s="684"/>
      <c r="MGA68" s="684"/>
      <c r="MGB68" s="684"/>
      <c r="MGC68" s="684"/>
      <c r="MGD68" s="684"/>
      <c r="MGE68" s="684"/>
      <c r="MGF68" s="684"/>
      <c r="MGG68" s="684"/>
      <c r="MGH68" s="684"/>
      <c r="MGI68" s="684"/>
      <c r="MGJ68" s="684"/>
      <c r="MGK68" s="684"/>
      <c r="MGL68" s="684"/>
      <c r="MGM68" s="684"/>
      <c r="MGN68" s="684"/>
      <c r="MGO68" s="684"/>
      <c r="MGP68" s="684"/>
      <c r="MGQ68" s="684"/>
      <c r="MGR68" s="684"/>
      <c r="MGS68" s="684"/>
      <c r="MGT68" s="684"/>
      <c r="MGU68" s="684"/>
      <c r="MGV68" s="684"/>
      <c r="MGW68" s="684"/>
      <c r="MGX68" s="684"/>
      <c r="MGY68" s="684"/>
      <c r="MGZ68" s="684"/>
      <c r="MHA68" s="684"/>
      <c r="MHB68" s="684"/>
      <c r="MHC68" s="684"/>
      <c r="MHD68" s="684"/>
      <c r="MHE68" s="684"/>
      <c r="MHF68" s="684"/>
      <c r="MHG68" s="684"/>
      <c r="MHH68" s="684"/>
      <c r="MHI68" s="684"/>
      <c r="MHJ68" s="684"/>
      <c r="MHK68" s="684"/>
      <c r="MHL68" s="684"/>
      <c r="MHM68" s="684"/>
      <c r="MHN68" s="684"/>
      <c r="MHO68" s="684"/>
      <c r="MHP68" s="684"/>
      <c r="MHQ68" s="684"/>
      <c r="MHR68" s="684"/>
      <c r="MHS68" s="684"/>
      <c r="MHT68" s="684"/>
      <c r="MHU68" s="684"/>
      <c r="MHV68" s="684"/>
      <c r="MHW68" s="684"/>
      <c r="MHX68" s="684"/>
      <c r="MHY68" s="684"/>
      <c r="MHZ68" s="684"/>
      <c r="MIA68" s="684"/>
      <c r="MIB68" s="684"/>
      <c r="MIC68" s="684"/>
      <c r="MID68" s="684"/>
      <c r="MIE68" s="684"/>
      <c r="MIF68" s="684"/>
      <c r="MIG68" s="684"/>
      <c r="MIH68" s="684"/>
      <c r="MII68" s="684"/>
      <c r="MIJ68" s="684"/>
      <c r="MIK68" s="684"/>
      <c r="MIL68" s="684"/>
      <c r="MIM68" s="684"/>
      <c r="MIN68" s="684"/>
      <c r="MIO68" s="684"/>
      <c r="MIP68" s="684"/>
      <c r="MIQ68" s="684"/>
      <c r="MIR68" s="684"/>
      <c r="MIS68" s="684"/>
      <c r="MIT68" s="684"/>
      <c r="MIU68" s="684"/>
      <c r="MIV68" s="684"/>
      <c r="MIW68" s="684"/>
      <c r="MIX68" s="684"/>
      <c r="MIY68" s="684"/>
      <c r="MIZ68" s="684"/>
      <c r="MJA68" s="684"/>
      <c r="MJB68" s="684"/>
      <c r="MJC68" s="684"/>
      <c r="MJD68" s="684"/>
      <c r="MJE68" s="684"/>
      <c r="MJF68" s="684"/>
      <c r="MJG68" s="684"/>
      <c r="MJH68" s="684"/>
      <c r="MJI68" s="684"/>
      <c r="MJJ68" s="684"/>
      <c r="MJK68" s="684"/>
      <c r="MJL68" s="684"/>
      <c r="MJM68" s="684"/>
      <c r="MJN68" s="684"/>
      <c r="MJO68" s="684"/>
      <c r="MJP68" s="684"/>
      <c r="MJQ68" s="684"/>
      <c r="MJR68" s="684"/>
      <c r="MJS68" s="684"/>
      <c r="MJT68" s="684"/>
      <c r="MJU68" s="684"/>
      <c r="MJV68" s="684"/>
      <c r="MJW68" s="684"/>
      <c r="MJX68" s="684"/>
      <c r="MJY68" s="684"/>
      <c r="MJZ68" s="684"/>
      <c r="MKA68" s="684"/>
      <c r="MKB68" s="684"/>
      <c r="MKC68" s="684"/>
      <c r="MKD68" s="684"/>
      <c r="MKE68" s="684"/>
      <c r="MKF68" s="684"/>
      <c r="MKG68" s="684"/>
      <c r="MKH68" s="684"/>
      <c r="MKI68" s="684"/>
      <c r="MKJ68" s="684"/>
      <c r="MKK68" s="684"/>
      <c r="MKL68" s="684"/>
      <c r="MKM68" s="684"/>
      <c r="MKN68" s="684"/>
      <c r="MKO68" s="684"/>
      <c r="MKP68" s="684"/>
      <c r="MKQ68" s="684"/>
      <c r="MKR68" s="684"/>
      <c r="MKS68" s="684"/>
      <c r="MKT68" s="684"/>
      <c r="MKU68" s="684"/>
      <c r="MKV68" s="684"/>
      <c r="MKW68" s="684"/>
      <c r="MKX68" s="684"/>
      <c r="MKY68" s="684"/>
      <c r="MKZ68" s="684"/>
      <c r="MLA68" s="684"/>
      <c r="MLB68" s="684"/>
      <c r="MLC68" s="684"/>
      <c r="MLD68" s="684"/>
      <c r="MLE68" s="684"/>
      <c r="MLF68" s="684"/>
      <c r="MLG68" s="684"/>
      <c r="MLH68" s="684"/>
      <c r="MLI68" s="684"/>
      <c r="MLJ68" s="684"/>
      <c r="MLK68" s="684"/>
      <c r="MLL68" s="684"/>
      <c r="MLM68" s="684"/>
      <c r="MLN68" s="684"/>
      <c r="MLO68" s="684"/>
      <c r="MLP68" s="684"/>
      <c r="MLQ68" s="684"/>
      <c r="MLR68" s="684"/>
      <c r="MLS68" s="684"/>
      <c r="MLT68" s="684"/>
      <c r="MLU68" s="684"/>
      <c r="MLV68" s="684"/>
      <c r="MLW68" s="684"/>
      <c r="MLX68" s="684"/>
      <c r="MLY68" s="684"/>
      <c r="MLZ68" s="684"/>
      <c r="MMA68" s="684"/>
      <c r="MMB68" s="684"/>
      <c r="MMC68" s="684"/>
      <c r="MMD68" s="684"/>
      <c r="MME68" s="684"/>
      <c r="MMF68" s="684"/>
      <c r="MMG68" s="684"/>
      <c r="MMH68" s="684"/>
      <c r="MMI68" s="684"/>
      <c r="MMJ68" s="684"/>
      <c r="MMK68" s="684"/>
      <c r="MML68" s="684"/>
      <c r="MMM68" s="684"/>
      <c r="MMN68" s="684"/>
      <c r="MMO68" s="684"/>
      <c r="MMP68" s="684"/>
      <c r="MMQ68" s="684"/>
      <c r="MMR68" s="684"/>
      <c r="MMS68" s="684"/>
      <c r="MMT68" s="684"/>
      <c r="MMU68" s="684"/>
      <c r="MMV68" s="684"/>
      <c r="MMW68" s="684"/>
      <c r="MMX68" s="684"/>
      <c r="MMY68" s="684"/>
      <c r="MMZ68" s="684"/>
      <c r="MNA68" s="684"/>
      <c r="MNB68" s="684"/>
      <c r="MNC68" s="684"/>
      <c r="MND68" s="684"/>
      <c r="MNE68" s="684"/>
      <c r="MNF68" s="684"/>
      <c r="MNG68" s="684"/>
      <c r="MNH68" s="684"/>
      <c r="MNI68" s="684"/>
      <c r="MNJ68" s="684"/>
      <c r="MNK68" s="684"/>
      <c r="MNL68" s="684"/>
      <c r="MNM68" s="684"/>
      <c r="MNN68" s="684"/>
      <c r="MNO68" s="684"/>
      <c r="MNP68" s="684"/>
      <c r="MNQ68" s="684"/>
      <c r="MNR68" s="684"/>
      <c r="MNS68" s="684"/>
      <c r="MNT68" s="684"/>
      <c r="MNU68" s="684"/>
      <c r="MNV68" s="684"/>
      <c r="MNW68" s="684"/>
      <c r="MNX68" s="684"/>
      <c r="MNY68" s="684"/>
      <c r="MNZ68" s="684"/>
      <c r="MOA68" s="684"/>
      <c r="MOB68" s="684"/>
      <c r="MOC68" s="684"/>
      <c r="MOD68" s="684"/>
      <c r="MOE68" s="684"/>
      <c r="MOF68" s="684"/>
      <c r="MOG68" s="684"/>
      <c r="MOH68" s="684"/>
      <c r="MOI68" s="684"/>
      <c r="MOJ68" s="684"/>
      <c r="MOK68" s="684"/>
      <c r="MOL68" s="684"/>
      <c r="MOM68" s="684"/>
      <c r="MON68" s="684"/>
      <c r="MOO68" s="684"/>
      <c r="MOP68" s="684"/>
      <c r="MOQ68" s="684"/>
      <c r="MOR68" s="684"/>
      <c r="MOS68" s="684"/>
      <c r="MOT68" s="684"/>
      <c r="MOU68" s="684"/>
      <c r="MOV68" s="684"/>
      <c r="MOW68" s="684"/>
      <c r="MOX68" s="684"/>
      <c r="MOY68" s="684"/>
      <c r="MOZ68" s="684"/>
      <c r="MPA68" s="684"/>
      <c r="MPB68" s="684"/>
      <c r="MPC68" s="684"/>
      <c r="MPD68" s="684"/>
      <c r="MPE68" s="684"/>
      <c r="MPF68" s="684"/>
      <c r="MPG68" s="684"/>
      <c r="MPH68" s="684"/>
      <c r="MPI68" s="684"/>
      <c r="MPJ68" s="684"/>
      <c r="MPK68" s="684"/>
      <c r="MPL68" s="684"/>
      <c r="MPM68" s="684"/>
      <c r="MPN68" s="684"/>
      <c r="MPO68" s="684"/>
      <c r="MPP68" s="684"/>
      <c r="MPQ68" s="684"/>
      <c r="MPR68" s="684"/>
      <c r="MPS68" s="684"/>
      <c r="MPT68" s="684"/>
      <c r="MPU68" s="684"/>
      <c r="MPV68" s="684"/>
      <c r="MPW68" s="684"/>
      <c r="MPX68" s="684"/>
      <c r="MPY68" s="684"/>
      <c r="MPZ68" s="684"/>
      <c r="MQA68" s="684"/>
      <c r="MQB68" s="684"/>
      <c r="MQC68" s="684"/>
      <c r="MQD68" s="684"/>
      <c r="MQE68" s="684"/>
      <c r="MQF68" s="684"/>
      <c r="MQG68" s="684"/>
      <c r="MQH68" s="684"/>
      <c r="MQI68" s="684"/>
      <c r="MQJ68" s="684"/>
      <c r="MQK68" s="684"/>
      <c r="MQL68" s="684"/>
      <c r="MQM68" s="684"/>
      <c r="MQN68" s="684"/>
      <c r="MQO68" s="684"/>
      <c r="MQP68" s="684"/>
      <c r="MQQ68" s="684"/>
      <c r="MQR68" s="684"/>
      <c r="MQS68" s="684"/>
      <c r="MQT68" s="684"/>
      <c r="MQU68" s="684"/>
      <c r="MQV68" s="684"/>
      <c r="MQW68" s="684"/>
      <c r="MQX68" s="684"/>
      <c r="MQY68" s="684"/>
      <c r="MQZ68" s="684"/>
      <c r="MRA68" s="684"/>
      <c r="MRB68" s="684"/>
      <c r="MRC68" s="684"/>
      <c r="MRD68" s="684"/>
      <c r="MRE68" s="684"/>
      <c r="MRF68" s="684"/>
      <c r="MRG68" s="684"/>
      <c r="MRH68" s="684"/>
      <c r="MRI68" s="684"/>
      <c r="MRJ68" s="684"/>
      <c r="MRK68" s="684"/>
      <c r="MRL68" s="684"/>
      <c r="MRM68" s="684"/>
      <c r="MRN68" s="684"/>
      <c r="MRO68" s="684"/>
      <c r="MRP68" s="684"/>
      <c r="MRQ68" s="684"/>
      <c r="MRR68" s="684"/>
      <c r="MRS68" s="684"/>
      <c r="MRT68" s="684"/>
      <c r="MRU68" s="684"/>
      <c r="MRV68" s="684"/>
      <c r="MRW68" s="684"/>
      <c r="MRX68" s="684"/>
      <c r="MRY68" s="684"/>
      <c r="MRZ68" s="684"/>
      <c r="MSA68" s="684"/>
      <c r="MSB68" s="684"/>
      <c r="MSC68" s="684"/>
      <c r="MSD68" s="684"/>
      <c r="MSE68" s="684"/>
      <c r="MSF68" s="684"/>
      <c r="MSG68" s="684"/>
      <c r="MSH68" s="684"/>
      <c r="MSI68" s="684"/>
      <c r="MSJ68" s="684"/>
      <c r="MSK68" s="684"/>
      <c r="MSL68" s="684"/>
      <c r="MSM68" s="684"/>
      <c r="MSN68" s="684"/>
      <c r="MSO68" s="684"/>
      <c r="MSP68" s="684"/>
      <c r="MSQ68" s="684"/>
      <c r="MSR68" s="684"/>
      <c r="MSS68" s="684"/>
      <c r="MST68" s="684"/>
      <c r="MSU68" s="684"/>
      <c r="MSV68" s="684"/>
      <c r="MSW68" s="684"/>
      <c r="MSX68" s="684"/>
      <c r="MSY68" s="684"/>
      <c r="MSZ68" s="684"/>
      <c r="MTA68" s="684"/>
      <c r="MTB68" s="684"/>
      <c r="MTC68" s="684"/>
      <c r="MTD68" s="684"/>
      <c r="MTE68" s="684"/>
      <c r="MTF68" s="684"/>
      <c r="MTG68" s="684"/>
      <c r="MTH68" s="684"/>
      <c r="MTI68" s="684"/>
      <c r="MTJ68" s="684"/>
      <c r="MTK68" s="684"/>
      <c r="MTL68" s="684"/>
      <c r="MTM68" s="684"/>
      <c r="MTN68" s="684"/>
      <c r="MTO68" s="684"/>
      <c r="MTP68" s="684"/>
      <c r="MTQ68" s="684"/>
      <c r="MTR68" s="684"/>
      <c r="MTS68" s="684"/>
      <c r="MTT68" s="684"/>
      <c r="MTU68" s="684"/>
      <c r="MTV68" s="684"/>
      <c r="MTW68" s="684"/>
      <c r="MTX68" s="684"/>
      <c r="MTY68" s="684"/>
      <c r="MTZ68" s="684"/>
      <c r="MUA68" s="684"/>
      <c r="MUB68" s="684"/>
      <c r="MUC68" s="684"/>
      <c r="MUD68" s="684"/>
      <c r="MUE68" s="684"/>
      <c r="MUF68" s="684"/>
      <c r="MUG68" s="684"/>
      <c r="MUH68" s="684"/>
      <c r="MUI68" s="684"/>
      <c r="MUJ68" s="684"/>
      <c r="MUK68" s="684"/>
      <c r="MUL68" s="684"/>
      <c r="MUM68" s="684"/>
      <c r="MUN68" s="684"/>
      <c r="MUO68" s="684"/>
      <c r="MUP68" s="684"/>
      <c r="MUQ68" s="684"/>
      <c r="MUR68" s="684"/>
      <c r="MUS68" s="684"/>
      <c r="MUT68" s="684"/>
      <c r="MUU68" s="684"/>
      <c r="MUV68" s="684"/>
      <c r="MUW68" s="684"/>
      <c r="MUX68" s="684"/>
      <c r="MUY68" s="684"/>
      <c r="MUZ68" s="684"/>
      <c r="MVA68" s="684"/>
      <c r="MVB68" s="684"/>
      <c r="MVC68" s="684"/>
      <c r="MVD68" s="684"/>
      <c r="MVE68" s="684"/>
      <c r="MVF68" s="684"/>
      <c r="MVG68" s="684"/>
      <c r="MVH68" s="684"/>
      <c r="MVI68" s="684"/>
      <c r="MVJ68" s="684"/>
      <c r="MVK68" s="684"/>
      <c r="MVL68" s="684"/>
      <c r="MVM68" s="684"/>
      <c r="MVN68" s="684"/>
      <c r="MVO68" s="684"/>
      <c r="MVP68" s="684"/>
      <c r="MVQ68" s="684"/>
      <c r="MVR68" s="684"/>
      <c r="MVS68" s="684"/>
      <c r="MVT68" s="684"/>
      <c r="MVU68" s="684"/>
      <c r="MVV68" s="684"/>
      <c r="MVW68" s="684"/>
      <c r="MVX68" s="684"/>
      <c r="MVY68" s="684"/>
      <c r="MVZ68" s="684"/>
      <c r="MWA68" s="684"/>
      <c r="MWB68" s="684"/>
      <c r="MWC68" s="684"/>
      <c r="MWD68" s="684"/>
      <c r="MWE68" s="684"/>
      <c r="MWF68" s="684"/>
      <c r="MWG68" s="684"/>
      <c r="MWH68" s="684"/>
      <c r="MWI68" s="684"/>
      <c r="MWJ68" s="684"/>
      <c r="MWK68" s="684"/>
      <c r="MWL68" s="684"/>
      <c r="MWM68" s="684"/>
      <c r="MWN68" s="684"/>
      <c r="MWO68" s="684"/>
      <c r="MWP68" s="684"/>
      <c r="MWQ68" s="684"/>
      <c r="MWR68" s="684"/>
      <c r="MWS68" s="684"/>
      <c r="MWT68" s="684"/>
      <c r="MWU68" s="684"/>
      <c r="MWV68" s="684"/>
      <c r="MWW68" s="684"/>
      <c r="MWX68" s="684"/>
      <c r="MWY68" s="684"/>
      <c r="MWZ68" s="684"/>
      <c r="MXA68" s="684"/>
      <c r="MXB68" s="684"/>
      <c r="MXC68" s="684"/>
      <c r="MXD68" s="684"/>
      <c r="MXE68" s="684"/>
      <c r="MXF68" s="684"/>
      <c r="MXG68" s="684"/>
      <c r="MXH68" s="684"/>
      <c r="MXI68" s="684"/>
      <c r="MXJ68" s="684"/>
      <c r="MXK68" s="684"/>
      <c r="MXL68" s="684"/>
      <c r="MXM68" s="684"/>
      <c r="MXN68" s="684"/>
      <c r="MXO68" s="684"/>
      <c r="MXP68" s="684"/>
      <c r="MXQ68" s="684"/>
      <c r="MXR68" s="684"/>
      <c r="MXS68" s="684"/>
      <c r="MXT68" s="684"/>
      <c r="MXU68" s="684"/>
      <c r="MXV68" s="684"/>
      <c r="MXW68" s="684"/>
      <c r="MXX68" s="684"/>
      <c r="MXY68" s="684"/>
      <c r="MXZ68" s="684"/>
      <c r="MYA68" s="684"/>
      <c r="MYB68" s="684"/>
      <c r="MYC68" s="684"/>
      <c r="MYD68" s="684"/>
      <c r="MYE68" s="684"/>
      <c r="MYF68" s="684"/>
      <c r="MYG68" s="684"/>
      <c r="MYH68" s="684"/>
      <c r="MYI68" s="684"/>
      <c r="MYJ68" s="684"/>
      <c r="MYK68" s="684"/>
      <c r="MYL68" s="684"/>
      <c r="MYM68" s="684"/>
      <c r="MYN68" s="684"/>
      <c r="MYO68" s="684"/>
      <c r="MYP68" s="684"/>
      <c r="MYQ68" s="684"/>
      <c r="MYR68" s="684"/>
      <c r="MYS68" s="684"/>
      <c r="MYT68" s="684"/>
      <c r="MYU68" s="684"/>
      <c r="MYV68" s="684"/>
      <c r="MYW68" s="684"/>
      <c r="MYX68" s="684"/>
      <c r="MYY68" s="684"/>
      <c r="MYZ68" s="684"/>
      <c r="MZA68" s="684"/>
      <c r="MZB68" s="684"/>
      <c r="MZC68" s="684"/>
      <c r="MZD68" s="684"/>
      <c r="MZE68" s="684"/>
      <c r="MZF68" s="684"/>
      <c r="MZG68" s="684"/>
      <c r="MZH68" s="684"/>
      <c r="MZI68" s="684"/>
      <c r="MZJ68" s="684"/>
      <c r="MZK68" s="684"/>
      <c r="MZL68" s="684"/>
      <c r="MZM68" s="684"/>
      <c r="MZN68" s="684"/>
      <c r="MZO68" s="684"/>
      <c r="MZP68" s="684"/>
      <c r="MZQ68" s="684"/>
      <c r="MZR68" s="684"/>
      <c r="MZS68" s="684"/>
      <c r="MZT68" s="684"/>
      <c r="MZU68" s="684"/>
      <c r="MZV68" s="684"/>
      <c r="MZW68" s="684"/>
      <c r="MZX68" s="684"/>
      <c r="MZY68" s="684"/>
      <c r="MZZ68" s="684"/>
      <c r="NAA68" s="684"/>
      <c r="NAB68" s="684"/>
      <c r="NAC68" s="684"/>
      <c r="NAD68" s="684"/>
      <c r="NAE68" s="684"/>
      <c r="NAF68" s="684"/>
      <c r="NAG68" s="684"/>
      <c r="NAH68" s="684"/>
      <c r="NAI68" s="684"/>
      <c r="NAJ68" s="684"/>
      <c r="NAK68" s="684"/>
      <c r="NAL68" s="684"/>
      <c r="NAM68" s="684"/>
      <c r="NAN68" s="684"/>
      <c r="NAO68" s="684"/>
      <c r="NAP68" s="684"/>
      <c r="NAQ68" s="684"/>
      <c r="NAR68" s="684"/>
      <c r="NAS68" s="684"/>
      <c r="NAT68" s="684"/>
      <c r="NAU68" s="684"/>
      <c r="NAV68" s="684"/>
      <c r="NAW68" s="684"/>
      <c r="NAX68" s="684"/>
      <c r="NAY68" s="684"/>
      <c r="NAZ68" s="684"/>
      <c r="NBA68" s="684"/>
      <c r="NBB68" s="684"/>
      <c r="NBC68" s="684"/>
      <c r="NBD68" s="684"/>
      <c r="NBE68" s="684"/>
      <c r="NBF68" s="684"/>
      <c r="NBG68" s="684"/>
      <c r="NBH68" s="684"/>
      <c r="NBI68" s="684"/>
      <c r="NBJ68" s="684"/>
      <c r="NBK68" s="684"/>
      <c r="NBL68" s="684"/>
      <c r="NBM68" s="684"/>
      <c r="NBN68" s="684"/>
      <c r="NBO68" s="684"/>
      <c r="NBP68" s="684"/>
      <c r="NBQ68" s="684"/>
      <c r="NBR68" s="684"/>
      <c r="NBS68" s="684"/>
      <c r="NBT68" s="684"/>
      <c r="NBU68" s="684"/>
      <c r="NBV68" s="684"/>
      <c r="NBW68" s="684"/>
      <c r="NBX68" s="684"/>
      <c r="NBY68" s="684"/>
      <c r="NBZ68" s="684"/>
      <c r="NCA68" s="684"/>
      <c r="NCB68" s="684"/>
      <c r="NCC68" s="684"/>
      <c r="NCD68" s="684"/>
      <c r="NCE68" s="684"/>
      <c r="NCF68" s="684"/>
      <c r="NCG68" s="684"/>
      <c r="NCH68" s="684"/>
      <c r="NCI68" s="684"/>
      <c r="NCJ68" s="684"/>
      <c r="NCK68" s="684"/>
      <c r="NCL68" s="684"/>
      <c r="NCM68" s="684"/>
      <c r="NCN68" s="684"/>
      <c r="NCO68" s="684"/>
      <c r="NCP68" s="684"/>
      <c r="NCQ68" s="684"/>
      <c r="NCR68" s="684"/>
      <c r="NCS68" s="684"/>
      <c r="NCT68" s="684"/>
      <c r="NCU68" s="684"/>
      <c r="NCV68" s="684"/>
      <c r="NCW68" s="684"/>
      <c r="NCX68" s="684"/>
      <c r="NCY68" s="684"/>
      <c r="NCZ68" s="684"/>
      <c r="NDA68" s="684"/>
      <c r="NDB68" s="684"/>
      <c r="NDC68" s="684"/>
      <c r="NDD68" s="684"/>
      <c r="NDE68" s="684"/>
      <c r="NDF68" s="684"/>
      <c r="NDG68" s="684"/>
      <c r="NDH68" s="684"/>
      <c r="NDI68" s="684"/>
      <c r="NDJ68" s="684"/>
      <c r="NDK68" s="684"/>
      <c r="NDL68" s="684"/>
      <c r="NDM68" s="684"/>
      <c r="NDN68" s="684"/>
      <c r="NDO68" s="684"/>
      <c r="NDP68" s="684"/>
      <c r="NDQ68" s="684"/>
      <c r="NDR68" s="684"/>
      <c r="NDS68" s="684"/>
      <c r="NDT68" s="684"/>
      <c r="NDU68" s="684"/>
      <c r="NDV68" s="684"/>
      <c r="NDW68" s="684"/>
      <c r="NDX68" s="684"/>
      <c r="NDY68" s="684"/>
      <c r="NDZ68" s="684"/>
      <c r="NEA68" s="684"/>
      <c r="NEB68" s="684"/>
      <c r="NEC68" s="684"/>
      <c r="NED68" s="684"/>
      <c r="NEE68" s="684"/>
      <c r="NEF68" s="684"/>
      <c r="NEG68" s="684"/>
      <c r="NEH68" s="684"/>
      <c r="NEI68" s="684"/>
      <c r="NEJ68" s="684"/>
      <c r="NEK68" s="684"/>
      <c r="NEL68" s="684"/>
      <c r="NEM68" s="684"/>
      <c r="NEN68" s="684"/>
      <c r="NEO68" s="684"/>
      <c r="NEP68" s="684"/>
      <c r="NEQ68" s="684"/>
      <c r="NER68" s="684"/>
      <c r="NES68" s="684"/>
      <c r="NET68" s="684"/>
      <c r="NEU68" s="684"/>
      <c r="NEV68" s="684"/>
      <c r="NEW68" s="684"/>
      <c r="NEX68" s="684"/>
      <c r="NEY68" s="684"/>
      <c r="NEZ68" s="684"/>
      <c r="NFA68" s="684"/>
      <c r="NFB68" s="684"/>
      <c r="NFC68" s="684"/>
      <c r="NFD68" s="684"/>
      <c r="NFE68" s="684"/>
      <c r="NFF68" s="684"/>
      <c r="NFG68" s="684"/>
      <c r="NFH68" s="684"/>
      <c r="NFI68" s="684"/>
      <c r="NFJ68" s="684"/>
      <c r="NFK68" s="684"/>
      <c r="NFL68" s="684"/>
      <c r="NFM68" s="684"/>
      <c r="NFN68" s="684"/>
      <c r="NFO68" s="684"/>
      <c r="NFP68" s="684"/>
      <c r="NFQ68" s="684"/>
      <c r="NFR68" s="684"/>
      <c r="NFS68" s="684"/>
      <c r="NFT68" s="684"/>
      <c r="NFU68" s="684"/>
      <c r="NFV68" s="684"/>
      <c r="NFW68" s="684"/>
      <c r="NFX68" s="684"/>
      <c r="NFY68" s="684"/>
      <c r="NFZ68" s="684"/>
      <c r="NGA68" s="684"/>
      <c r="NGB68" s="684"/>
      <c r="NGC68" s="684"/>
      <c r="NGD68" s="684"/>
      <c r="NGE68" s="684"/>
      <c r="NGF68" s="684"/>
      <c r="NGG68" s="684"/>
      <c r="NGH68" s="684"/>
      <c r="NGI68" s="684"/>
      <c r="NGJ68" s="684"/>
      <c r="NGK68" s="684"/>
      <c r="NGL68" s="684"/>
      <c r="NGM68" s="684"/>
      <c r="NGN68" s="684"/>
      <c r="NGO68" s="684"/>
      <c r="NGP68" s="684"/>
      <c r="NGQ68" s="684"/>
      <c r="NGR68" s="684"/>
      <c r="NGS68" s="684"/>
      <c r="NGT68" s="684"/>
      <c r="NGU68" s="684"/>
      <c r="NGV68" s="684"/>
      <c r="NGW68" s="684"/>
      <c r="NGX68" s="684"/>
      <c r="NGY68" s="684"/>
      <c r="NGZ68" s="684"/>
      <c r="NHA68" s="684"/>
      <c r="NHB68" s="684"/>
      <c r="NHC68" s="684"/>
      <c r="NHD68" s="684"/>
      <c r="NHE68" s="684"/>
      <c r="NHF68" s="684"/>
      <c r="NHG68" s="684"/>
      <c r="NHH68" s="684"/>
      <c r="NHI68" s="684"/>
      <c r="NHJ68" s="684"/>
      <c r="NHK68" s="684"/>
      <c r="NHL68" s="684"/>
      <c r="NHM68" s="684"/>
      <c r="NHN68" s="684"/>
      <c r="NHO68" s="684"/>
      <c r="NHP68" s="684"/>
      <c r="NHQ68" s="684"/>
      <c r="NHR68" s="684"/>
      <c r="NHS68" s="684"/>
      <c r="NHT68" s="684"/>
      <c r="NHU68" s="684"/>
      <c r="NHV68" s="684"/>
      <c r="NHW68" s="684"/>
      <c r="NHX68" s="684"/>
      <c r="NHY68" s="684"/>
      <c r="NHZ68" s="684"/>
      <c r="NIA68" s="684"/>
      <c r="NIB68" s="684"/>
      <c r="NIC68" s="684"/>
      <c r="NID68" s="684"/>
      <c r="NIE68" s="684"/>
      <c r="NIF68" s="684"/>
      <c r="NIG68" s="684"/>
      <c r="NIH68" s="684"/>
      <c r="NII68" s="684"/>
      <c r="NIJ68" s="684"/>
      <c r="NIK68" s="684"/>
      <c r="NIL68" s="684"/>
      <c r="NIM68" s="684"/>
      <c r="NIN68" s="684"/>
      <c r="NIO68" s="684"/>
      <c r="NIP68" s="684"/>
      <c r="NIQ68" s="684"/>
      <c r="NIR68" s="684"/>
      <c r="NIS68" s="684"/>
      <c r="NIT68" s="684"/>
      <c r="NIU68" s="684"/>
      <c r="NIV68" s="684"/>
      <c r="NIW68" s="684"/>
      <c r="NIX68" s="684"/>
      <c r="NIY68" s="684"/>
      <c r="NIZ68" s="684"/>
      <c r="NJA68" s="684"/>
      <c r="NJB68" s="684"/>
      <c r="NJC68" s="684"/>
      <c r="NJD68" s="684"/>
      <c r="NJE68" s="684"/>
      <c r="NJF68" s="684"/>
      <c r="NJG68" s="684"/>
      <c r="NJH68" s="684"/>
      <c r="NJI68" s="684"/>
      <c r="NJJ68" s="684"/>
      <c r="NJK68" s="684"/>
      <c r="NJL68" s="684"/>
      <c r="NJM68" s="684"/>
      <c r="NJN68" s="684"/>
      <c r="NJO68" s="684"/>
      <c r="NJP68" s="684"/>
      <c r="NJQ68" s="684"/>
      <c r="NJR68" s="684"/>
      <c r="NJS68" s="684"/>
      <c r="NJT68" s="684"/>
      <c r="NJU68" s="684"/>
      <c r="NJV68" s="684"/>
      <c r="NJW68" s="684"/>
      <c r="NJX68" s="684"/>
      <c r="NJY68" s="684"/>
      <c r="NJZ68" s="684"/>
      <c r="NKA68" s="684"/>
      <c r="NKB68" s="684"/>
      <c r="NKC68" s="684"/>
      <c r="NKD68" s="684"/>
      <c r="NKE68" s="684"/>
      <c r="NKF68" s="684"/>
      <c r="NKG68" s="684"/>
      <c r="NKH68" s="684"/>
      <c r="NKI68" s="684"/>
      <c r="NKJ68" s="684"/>
      <c r="NKK68" s="684"/>
      <c r="NKL68" s="684"/>
      <c r="NKM68" s="684"/>
      <c r="NKN68" s="684"/>
      <c r="NKO68" s="684"/>
      <c r="NKP68" s="684"/>
      <c r="NKQ68" s="684"/>
      <c r="NKR68" s="684"/>
      <c r="NKS68" s="684"/>
      <c r="NKT68" s="684"/>
      <c r="NKU68" s="684"/>
      <c r="NKV68" s="684"/>
      <c r="NKW68" s="684"/>
      <c r="NKX68" s="684"/>
      <c r="NKY68" s="684"/>
      <c r="NKZ68" s="684"/>
      <c r="NLA68" s="684"/>
      <c r="NLB68" s="684"/>
      <c r="NLC68" s="684"/>
      <c r="NLD68" s="684"/>
      <c r="NLE68" s="684"/>
      <c r="NLF68" s="684"/>
      <c r="NLG68" s="684"/>
      <c r="NLH68" s="684"/>
      <c r="NLI68" s="684"/>
      <c r="NLJ68" s="684"/>
      <c r="NLK68" s="684"/>
      <c r="NLL68" s="684"/>
      <c r="NLM68" s="684"/>
      <c r="NLN68" s="684"/>
      <c r="NLO68" s="684"/>
      <c r="NLP68" s="684"/>
      <c r="NLQ68" s="684"/>
      <c r="NLR68" s="684"/>
      <c r="NLS68" s="684"/>
      <c r="NLT68" s="684"/>
      <c r="NLU68" s="684"/>
      <c r="NLV68" s="684"/>
      <c r="NLW68" s="684"/>
      <c r="NLX68" s="684"/>
      <c r="NLY68" s="684"/>
      <c r="NLZ68" s="684"/>
      <c r="NMA68" s="684"/>
      <c r="NMB68" s="684"/>
      <c r="NMC68" s="684"/>
      <c r="NMD68" s="684"/>
      <c r="NME68" s="684"/>
      <c r="NMF68" s="684"/>
      <c r="NMG68" s="684"/>
      <c r="NMH68" s="684"/>
      <c r="NMI68" s="684"/>
      <c r="NMJ68" s="684"/>
      <c r="NMK68" s="684"/>
      <c r="NML68" s="684"/>
      <c r="NMM68" s="684"/>
      <c r="NMN68" s="684"/>
      <c r="NMO68" s="684"/>
      <c r="NMP68" s="684"/>
      <c r="NMQ68" s="684"/>
      <c r="NMR68" s="684"/>
      <c r="NMS68" s="684"/>
      <c r="NMT68" s="684"/>
      <c r="NMU68" s="684"/>
      <c r="NMV68" s="684"/>
      <c r="NMW68" s="684"/>
      <c r="NMX68" s="684"/>
      <c r="NMY68" s="684"/>
      <c r="NMZ68" s="684"/>
      <c r="NNA68" s="684"/>
      <c r="NNB68" s="684"/>
      <c r="NNC68" s="684"/>
      <c r="NND68" s="684"/>
      <c r="NNE68" s="684"/>
      <c r="NNF68" s="684"/>
      <c r="NNG68" s="684"/>
      <c r="NNH68" s="684"/>
      <c r="NNI68" s="684"/>
      <c r="NNJ68" s="684"/>
      <c r="NNK68" s="684"/>
      <c r="NNL68" s="684"/>
      <c r="NNM68" s="684"/>
      <c r="NNN68" s="684"/>
      <c r="NNO68" s="684"/>
      <c r="NNP68" s="684"/>
      <c r="NNQ68" s="684"/>
      <c r="NNR68" s="684"/>
      <c r="NNS68" s="684"/>
      <c r="NNT68" s="684"/>
      <c r="NNU68" s="684"/>
      <c r="NNV68" s="684"/>
      <c r="NNW68" s="684"/>
      <c r="NNX68" s="684"/>
      <c r="NNY68" s="684"/>
      <c r="NNZ68" s="684"/>
      <c r="NOA68" s="684"/>
      <c r="NOB68" s="684"/>
      <c r="NOC68" s="684"/>
      <c r="NOD68" s="684"/>
      <c r="NOE68" s="684"/>
      <c r="NOF68" s="684"/>
      <c r="NOG68" s="684"/>
      <c r="NOH68" s="684"/>
      <c r="NOI68" s="684"/>
      <c r="NOJ68" s="684"/>
      <c r="NOK68" s="684"/>
      <c r="NOL68" s="684"/>
      <c r="NOM68" s="684"/>
      <c r="NON68" s="684"/>
      <c r="NOO68" s="684"/>
      <c r="NOP68" s="684"/>
      <c r="NOQ68" s="684"/>
      <c r="NOR68" s="684"/>
      <c r="NOS68" s="684"/>
      <c r="NOT68" s="684"/>
      <c r="NOU68" s="684"/>
      <c r="NOV68" s="684"/>
      <c r="NOW68" s="684"/>
      <c r="NOX68" s="684"/>
      <c r="NOY68" s="684"/>
      <c r="NOZ68" s="684"/>
      <c r="NPA68" s="684"/>
      <c r="NPB68" s="684"/>
      <c r="NPC68" s="684"/>
      <c r="NPD68" s="684"/>
      <c r="NPE68" s="684"/>
      <c r="NPF68" s="684"/>
      <c r="NPG68" s="684"/>
      <c r="NPH68" s="684"/>
      <c r="NPI68" s="684"/>
      <c r="NPJ68" s="684"/>
      <c r="NPK68" s="684"/>
      <c r="NPL68" s="684"/>
      <c r="NPM68" s="684"/>
      <c r="NPN68" s="684"/>
      <c r="NPO68" s="684"/>
      <c r="NPP68" s="684"/>
      <c r="NPQ68" s="684"/>
      <c r="NPR68" s="684"/>
      <c r="NPS68" s="684"/>
      <c r="NPT68" s="684"/>
      <c r="NPU68" s="684"/>
      <c r="NPV68" s="684"/>
      <c r="NPW68" s="684"/>
      <c r="NPX68" s="684"/>
      <c r="NPY68" s="684"/>
      <c r="NPZ68" s="684"/>
      <c r="NQA68" s="684"/>
      <c r="NQB68" s="684"/>
      <c r="NQC68" s="684"/>
      <c r="NQD68" s="684"/>
      <c r="NQE68" s="684"/>
      <c r="NQF68" s="684"/>
      <c r="NQG68" s="684"/>
      <c r="NQH68" s="684"/>
      <c r="NQI68" s="684"/>
      <c r="NQJ68" s="684"/>
      <c r="NQK68" s="684"/>
      <c r="NQL68" s="684"/>
      <c r="NQM68" s="684"/>
      <c r="NQN68" s="684"/>
      <c r="NQO68" s="684"/>
      <c r="NQP68" s="684"/>
      <c r="NQQ68" s="684"/>
      <c r="NQR68" s="684"/>
      <c r="NQS68" s="684"/>
      <c r="NQT68" s="684"/>
      <c r="NQU68" s="684"/>
      <c r="NQV68" s="684"/>
      <c r="NQW68" s="684"/>
      <c r="NQX68" s="684"/>
      <c r="NQY68" s="684"/>
      <c r="NQZ68" s="684"/>
      <c r="NRA68" s="684"/>
      <c r="NRB68" s="684"/>
      <c r="NRC68" s="684"/>
      <c r="NRD68" s="684"/>
      <c r="NRE68" s="684"/>
      <c r="NRF68" s="684"/>
      <c r="NRG68" s="684"/>
      <c r="NRH68" s="684"/>
      <c r="NRI68" s="684"/>
      <c r="NRJ68" s="684"/>
      <c r="NRK68" s="684"/>
      <c r="NRL68" s="684"/>
      <c r="NRM68" s="684"/>
      <c r="NRN68" s="684"/>
      <c r="NRO68" s="684"/>
      <c r="NRP68" s="684"/>
      <c r="NRQ68" s="684"/>
      <c r="NRR68" s="684"/>
      <c r="NRS68" s="684"/>
      <c r="NRT68" s="684"/>
      <c r="NRU68" s="684"/>
      <c r="NRV68" s="684"/>
      <c r="NRW68" s="684"/>
      <c r="NRX68" s="684"/>
      <c r="NRY68" s="684"/>
      <c r="NRZ68" s="684"/>
      <c r="NSA68" s="684"/>
      <c r="NSB68" s="684"/>
      <c r="NSC68" s="684"/>
      <c r="NSD68" s="684"/>
      <c r="NSE68" s="684"/>
      <c r="NSF68" s="684"/>
      <c r="NSG68" s="684"/>
      <c r="NSH68" s="684"/>
      <c r="NSI68" s="684"/>
      <c r="NSJ68" s="684"/>
      <c r="NSK68" s="684"/>
      <c r="NSL68" s="684"/>
      <c r="NSM68" s="684"/>
      <c r="NSN68" s="684"/>
      <c r="NSO68" s="684"/>
      <c r="NSP68" s="684"/>
      <c r="NSQ68" s="684"/>
      <c r="NSR68" s="684"/>
      <c r="NSS68" s="684"/>
      <c r="NST68" s="684"/>
      <c r="NSU68" s="684"/>
      <c r="NSV68" s="684"/>
      <c r="NSW68" s="684"/>
      <c r="NSX68" s="684"/>
      <c r="NSY68" s="684"/>
      <c r="NSZ68" s="684"/>
      <c r="NTA68" s="684"/>
      <c r="NTB68" s="684"/>
      <c r="NTC68" s="684"/>
      <c r="NTD68" s="684"/>
      <c r="NTE68" s="684"/>
      <c r="NTF68" s="684"/>
      <c r="NTG68" s="684"/>
      <c r="NTH68" s="684"/>
      <c r="NTI68" s="684"/>
      <c r="NTJ68" s="684"/>
      <c r="NTK68" s="684"/>
      <c r="NTL68" s="684"/>
      <c r="NTM68" s="684"/>
      <c r="NTN68" s="684"/>
      <c r="NTO68" s="684"/>
      <c r="NTP68" s="684"/>
      <c r="NTQ68" s="684"/>
      <c r="NTR68" s="684"/>
      <c r="NTS68" s="684"/>
      <c r="NTT68" s="684"/>
      <c r="NTU68" s="684"/>
      <c r="NTV68" s="684"/>
      <c r="NTW68" s="684"/>
      <c r="NTX68" s="684"/>
      <c r="NTY68" s="684"/>
      <c r="NTZ68" s="684"/>
      <c r="NUA68" s="684"/>
      <c r="NUB68" s="684"/>
      <c r="NUC68" s="684"/>
      <c r="NUD68" s="684"/>
      <c r="NUE68" s="684"/>
      <c r="NUF68" s="684"/>
      <c r="NUG68" s="684"/>
      <c r="NUH68" s="684"/>
      <c r="NUI68" s="684"/>
      <c r="NUJ68" s="684"/>
      <c r="NUK68" s="684"/>
      <c r="NUL68" s="684"/>
      <c r="NUM68" s="684"/>
      <c r="NUN68" s="684"/>
      <c r="NUO68" s="684"/>
      <c r="NUP68" s="684"/>
      <c r="NUQ68" s="684"/>
      <c r="NUR68" s="684"/>
      <c r="NUS68" s="684"/>
      <c r="NUT68" s="684"/>
      <c r="NUU68" s="684"/>
      <c r="NUV68" s="684"/>
      <c r="NUW68" s="684"/>
      <c r="NUX68" s="684"/>
      <c r="NUY68" s="684"/>
      <c r="NUZ68" s="684"/>
      <c r="NVA68" s="684"/>
      <c r="NVB68" s="684"/>
      <c r="NVC68" s="684"/>
      <c r="NVD68" s="684"/>
      <c r="NVE68" s="684"/>
      <c r="NVF68" s="684"/>
      <c r="NVG68" s="684"/>
      <c r="NVH68" s="684"/>
      <c r="NVI68" s="684"/>
      <c r="NVJ68" s="684"/>
      <c r="NVK68" s="684"/>
      <c r="NVL68" s="684"/>
      <c r="NVM68" s="684"/>
      <c r="NVN68" s="684"/>
      <c r="NVO68" s="684"/>
      <c r="NVP68" s="684"/>
      <c r="NVQ68" s="684"/>
      <c r="NVR68" s="684"/>
      <c r="NVS68" s="684"/>
      <c r="NVT68" s="684"/>
      <c r="NVU68" s="684"/>
      <c r="NVV68" s="684"/>
      <c r="NVW68" s="684"/>
      <c r="NVX68" s="684"/>
      <c r="NVY68" s="684"/>
      <c r="NVZ68" s="684"/>
      <c r="NWA68" s="684"/>
      <c r="NWB68" s="684"/>
      <c r="NWC68" s="684"/>
      <c r="NWD68" s="684"/>
      <c r="NWE68" s="684"/>
      <c r="NWF68" s="684"/>
      <c r="NWG68" s="684"/>
      <c r="NWH68" s="684"/>
      <c r="NWI68" s="684"/>
      <c r="NWJ68" s="684"/>
      <c r="NWK68" s="684"/>
      <c r="NWL68" s="684"/>
      <c r="NWM68" s="684"/>
      <c r="NWN68" s="684"/>
      <c r="NWO68" s="684"/>
      <c r="NWP68" s="684"/>
      <c r="NWQ68" s="684"/>
      <c r="NWR68" s="684"/>
      <c r="NWS68" s="684"/>
      <c r="NWT68" s="684"/>
      <c r="NWU68" s="684"/>
      <c r="NWV68" s="684"/>
      <c r="NWW68" s="684"/>
      <c r="NWX68" s="684"/>
      <c r="NWY68" s="684"/>
      <c r="NWZ68" s="684"/>
      <c r="NXA68" s="684"/>
      <c r="NXB68" s="684"/>
      <c r="NXC68" s="684"/>
      <c r="NXD68" s="684"/>
      <c r="NXE68" s="684"/>
      <c r="NXF68" s="684"/>
      <c r="NXG68" s="684"/>
      <c r="NXH68" s="684"/>
      <c r="NXI68" s="684"/>
      <c r="NXJ68" s="684"/>
      <c r="NXK68" s="684"/>
      <c r="NXL68" s="684"/>
      <c r="NXM68" s="684"/>
      <c r="NXN68" s="684"/>
      <c r="NXO68" s="684"/>
      <c r="NXP68" s="684"/>
      <c r="NXQ68" s="684"/>
      <c r="NXR68" s="684"/>
      <c r="NXS68" s="684"/>
      <c r="NXT68" s="684"/>
      <c r="NXU68" s="684"/>
      <c r="NXV68" s="684"/>
      <c r="NXW68" s="684"/>
      <c r="NXX68" s="684"/>
      <c r="NXY68" s="684"/>
      <c r="NXZ68" s="684"/>
      <c r="NYA68" s="684"/>
      <c r="NYB68" s="684"/>
      <c r="NYC68" s="684"/>
      <c r="NYD68" s="684"/>
      <c r="NYE68" s="684"/>
      <c r="NYF68" s="684"/>
      <c r="NYG68" s="684"/>
      <c r="NYH68" s="684"/>
      <c r="NYI68" s="684"/>
      <c r="NYJ68" s="684"/>
      <c r="NYK68" s="684"/>
      <c r="NYL68" s="684"/>
      <c r="NYM68" s="684"/>
      <c r="NYN68" s="684"/>
      <c r="NYO68" s="684"/>
      <c r="NYP68" s="684"/>
      <c r="NYQ68" s="684"/>
      <c r="NYR68" s="684"/>
      <c r="NYS68" s="684"/>
      <c r="NYT68" s="684"/>
      <c r="NYU68" s="684"/>
      <c r="NYV68" s="684"/>
      <c r="NYW68" s="684"/>
      <c r="NYX68" s="684"/>
      <c r="NYY68" s="684"/>
      <c r="NYZ68" s="684"/>
      <c r="NZA68" s="684"/>
      <c r="NZB68" s="684"/>
      <c r="NZC68" s="684"/>
      <c r="NZD68" s="684"/>
      <c r="NZE68" s="684"/>
      <c r="NZF68" s="684"/>
      <c r="NZG68" s="684"/>
      <c r="NZH68" s="684"/>
      <c r="NZI68" s="684"/>
      <c r="NZJ68" s="684"/>
      <c r="NZK68" s="684"/>
      <c r="NZL68" s="684"/>
      <c r="NZM68" s="684"/>
      <c r="NZN68" s="684"/>
      <c r="NZO68" s="684"/>
      <c r="NZP68" s="684"/>
      <c r="NZQ68" s="684"/>
      <c r="NZR68" s="684"/>
      <c r="NZS68" s="684"/>
      <c r="NZT68" s="684"/>
      <c r="NZU68" s="684"/>
      <c r="NZV68" s="684"/>
      <c r="NZW68" s="684"/>
      <c r="NZX68" s="684"/>
      <c r="NZY68" s="684"/>
      <c r="NZZ68" s="684"/>
      <c r="OAA68" s="684"/>
      <c r="OAB68" s="684"/>
      <c r="OAC68" s="684"/>
      <c r="OAD68" s="684"/>
      <c r="OAE68" s="684"/>
      <c r="OAF68" s="684"/>
      <c r="OAG68" s="684"/>
      <c r="OAH68" s="684"/>
      <c r="OAI68" s="684"/>
      <c r="OAJ68" s="684"/>
      <c r="OAK68" s="684"/>
      <c r="OAL68" s="684"/>
      <c r="OAM68" s="684"/>
      <c r="OAN68" s="684"/>
      <c r="OAO68" s="684"/>
      <c r="OAP68" s="684"/>
      <c r="OAQ68" s="684"/>
      <c r="OAR68" s="684"/>
      <c r="OAS68" s="684"/>
      <c r="OAT68" s="684"/>
      <c r="OAU68" s="684"/>
      <c r="OAV68" s="684"/>
      <c r="OAW68" s="684"/>
      <c r="OAX68" s="684"/>
      <c r="OAY68" s="684"/>
      <c r="OAZ68" s="684"/>
      <c r="OBA68" s="684"/>
      <c r="OBB68" s="684"/>
      <c r="OBC68" s="684"/>
      <c r="OBD68" s="684"/>
      <c r="OBE68" s="684"/>
      <c r="OBF68" s="684"/>
      <c r="OBG68" s="684"/>
      <c r="OBH68" s="684"/>
      <c r="OBI68" s="684"/>
      <c r="OBJ68" s="684"/>
      <c r="OBK68" s="684"/>
      <c r="OBL68" s="684"/>
      <c r="OBM68" s="684"/>
      <c r="OBN68" s="684"/>
      <c r="OBO68" s="684"/>
      <c r="OBP68" s="684"/>
      <c r="OBQ68" s="684"/>
      <c r="OBR68" s="684"/>
      <c r="OBS68" s="684"/>
      <c r="OBT68" s="684"/>
      <c r="OBU68" s="684"/>
      <c r="OBV68" s="684"/>
      <c r="OBW68" s="684"/>
      <c r="OBX68" s="684"/>
      <c r="OBY68" s="684"/>
      <c r="OBZ68" s="684"/>
      <c r="OCA68" s="684"/>
      <c r="OCB68" s="684"/>
      <c r="OCC68" s="684"/>
      <c r="OCD68" s="684"/>
      <c r="OCE68" s="684"/>
      <c r="OCF68" s="684"/>
      <c r="OCG68" s="684"/>
      <c r="OCH68" s="684"/>
      <c r="OCI68" s="684"/>
      <c r="OCJ68" s="684"/>
      <c r="OCK68" s="684"/>
      <c r="OCL68" s="684"/>
      <c r="OCM68" s="684"/>
      <c r="OCN68" s="684"/>
      <c r="OCO68" s="684"/>
      <c r="OCP68" s="684"/>
      <c r="OCQ68" s="684"/>
      <c r="OCR68" s="684"/>
      <c r="OCS68" s="684"/>
      <c r="OCT68" s="684"/>
      <c r="OCU68" s="684"/>
      <c r="OCV68" s="684"/>
      <c r="OCW68" s="684"/>
      <c r="OCX68" s="684"/>
      <c r="OCY68" s="684"/>
      <c r="OCZ68" s="684"/>
      <c r="ODA68" s="684"/>
      <c r="ODB68" s="684"/>
      <c r="ODC68" s="684"/>
      <c r="ODD68" s="684"/>
      <c r="ODE68" s="684"/>
      <c r="ODF68" s="684"/>
      <c r="ODG68" s="684"/>
      <c r="ODH68" s="684"/>
      <c r="ODI68" s="684"/>
      <c r="ODJ68" s="684"/>
      <c r="ODK68" s="684"/>
      <c r="ODL68" s="684"/>
      <c r="ODM68" s="684"/>
      <c r="ODN68" s="684"/>
      <c r="ODO68" s="684"/>
      <c r="ODP68" s="684"/>
      <c r="ODQ68" s="684"/>
      <c r="ODR68" s="684"/>
      <c r="ODS68" s="684"/>
      <c r="ODT68" s="684"/>
      <c r="ODU68" s="684"/>
      <c r="ODV68" s="684"/>
      <c r="ODW68" s="684"/>
      <c r="ODX68" s="684"/>
      <c r="ODY68" s="684"/>
      <c r="ODZ68" s="684"/>
      <c r="OEA68" s="684"/>
      <c r="OEB68" s="684"/>
      <c r="OEC68" s="684"/>
      <c r="OED68" s="684"/>
      <c r="OEE68" s="684"/>
      <c r="OEF68" s="684"/>
      <c r="OEG68" s="684"/>
      <c r="OEH68" s="684"/>
      <c r="OEI68" s="684"/>
      <c r="OEJ68" s="684"/>
      <c r="OEK68" s="684"/>
      <c r="OEL68" s="684"/>
      <c r="OEM68" s="684"/>
      <c r="OEN68" s="684"/>
      <c r="OEO68" s="684"/>
      <c r="OEP68" s="684"/>
      <c r="OEQ68" s="684"/>
      <c r="OER68" s="684"/>
      <c r="OES68" s="684"/>
      <c r="OET68" s="684"/>
      <c r="OEU68" s="684"/>
      <c r="OEV68" s="684"/>
      <c r="OEW68" s="684"/>
      <c r="OEX68" s="684"/>
      <c r="OEY68" s="684"/>
      <c r="OEZ68" s="684"/>
      <c r="OFA68" s="684"/>
      <c r="OFB68" s="684"/>
      <c r="OFC68" s="684"/>
      <c r="OFD68" s="684"/>
      <c r="OFE68" s="684"/>
      <c r="OFF68" s="684"/>
      <c r="OFG68" s="684"/>
      <c r="OFH68" s="684"/>
      <c r="OFI68" s="684"/>
      <c r="OFJ68" s="684"/>
      <c r="OFK68" s="684"/>
      <c r="OFL68" s="684"/>
      <c r="OFM68" s="684"/>
      <c r="OFN68" s="684"/>
      <c r="OFO68" s="684"/>
      <c r="OFP68" s="684"/>
      <c r="OFQ68" s="684"/>
      <c r="OFR68" s="684"/>
      <c r="OFS68" s="684"/>
      <c r="OFT68" s="684"/>
      <c r="OFU68" s="684"/>
      <c r="OFV68" s="684"/>
      <c r="OFW68" s="684"/>
      <c r="OFX68" s="684"/>
      <c r="OFY68" s="684"/>
      <c r="OFZ68" s="684"/>
      <c r="OGA68" s="684"/>
      <c r="OGB68" s="684"/>
      <c r="OGC68" s="684"/>
      <c r="OGD68" s="684"/>
      <c r="OGE68" s="684"/>
      <c r="OGF68" s="684"/>
      <c r="OGG68" s="684"/>
      <c r="OGH68" s="684"/>
      <c r="OGI68" s="684"/>
      <c r="OGJ68" s="684"/>
      <c r="OGK68" s="684"/>
      <c r="OGL68" s="684"/>
      <c r="OGM68" s="684"/>
      <c r="OGN68" s="684"/>
      <c r="OGO68" s="684"/>
      <c r="OGP68" s="684"/>
      <c r="OGQ68" s="684"/>
      <c r="OGR68" s="684"/>
      <c r="OGS68" s="684"/>
      <c r="OGT68" s="684"/>
      <c r="OGU68" s="684"/>
      <c r="OGV68" s="684"/>
      <c r="OGW68" s="684"/>
      <c r="OGX68" s="684"/>
      <c r="OGY68" s="684"/>
      <c r="OGZ68" s="684"/>
      <c r="OHA68" s="684"/>
      <c r="OHB68" s="684"/>
      <c r="OHC68" s="684"/>
      <c r="OHD68" s="684"/>
      <c r="OHE68" s="684"/>
      <c r="OHF68" s="684"/>
      <c r="OHG68" s="684"/>
      <c r="OHH68" s="684"/>
      <c r="OHI68" s="684"/>
      <c r="OHJ68" s="684"/>
      <c r="OHK68" s="684"/>
      <c r="OHL68" s="684"/>
      <c r="OHM68" s="684"/>
      <c r="OHN68" s="684"/>
      <c r="OHO68" s="684"/>
      <c r="OHP68" s="684"/>
      <c r="OHQ68" s="684"/>
      <c r="OHR68" s="684"/>
      <c r="OHS68" s="684"/>
      <c r="OHT68" s="684"/>
      <c r="OHU68" s="684"/>
      <c r="OHV68" s="684"/>
      <c r="OHW68" s="684"/>
      <c r="OHX68" s="684"/>
      <c r="OHY68" s="684"/>
      <c r="OHZ68" s="684"/>
      <c r="OIA68" s="684"/>
      <c r="OIB68" s="684"/>
      <c r="OIC68" s="684"/>
      <c r="OID68" s="684"/>
      <c r="OIE68" s="684"/>
      <c r="OIF68" s="684"/>
      <c r="OIG68" s="684"/>
      <c r="OIH68" s="684"/>
      <c r="OII68" s="684"/>
      <c r="OIJ68" s="684"/>
      <c r="OIK68" s="684"/>
      <c r="OIL68" s="684"/>
      <c r="OIM68" s="684"/>
      <c r="OIN68" s="684"/>
      <c r="OIO68" s="684"/>
      <c r="OIP68" s="684"/>
      <c r="OIQ68" s="684"/>
      <c r="OIR68" s="684"/>
      <c r="OIS68" s="684"/>
      <c r="OIT68" s="684"/>
      <c r="OIU68" s="684"/>
      <c r="OIV68" s="684"/>
      <c r="OIW68" s="684"/>
      <c r="OIX68" s="684"/>
      <c r="OIY68" s="684"/>
      <c r="OIZ68" s="684"/>
      <c r="OJA68" s="684"/>
      <c r="OJB68" s="684"/>
      <c r="OJC68" s="684"/>
      <c r="OJD68" s="684"/>
      <c r="OJE68" s="684"/>
      <c r="OJF68" s="684"/>
      <c r="OJG68" s="684"/>
      <c r="OJH68" s="684"/>
      <c r="OJI68" s="684"/>
      <c r="OJJ68" s="684"/>
      <c r="OJK68" s="684"/>
      <c r="OJL68" s="684"/>
      <c r="OJM68" s="684"/>
      <c r="OJN68" s="684"/>
      <c r="OJO68" s="684"/>
      <c r="OJP68" s="684"/>
      <c r="OJQ68" s="684"/>
      <c r="OJR68" s="684"/>
      <c r="OJS68" s="684"/>
      <c r="OJT68" s="684"/>
      <c r="OJU68" s="684"/>
      <c r="OJV68" s="684"/>
      <c r="OJW68" s="684"/>
      <c r="OJX68" s="684"/>
      <c r="OJY68" s="684"/>
      <c r="OJZ68" s="684"/>
      <c r="OKA68" s="684"/>
      <c r="OKB68" s="684"/>
      <c r="OKC68" s="684"/>
      <c r="OKD68" s="684"/>
      <c r="OKE68" s="684"/>
      <c r="OKF68" s="684"/>
      <c r="OKG68" s="684"/>
      <c r="OKH68" s="684"/>
      <c r="OKI68" s="684"/>
      <c r="OKJ68" s="684"/>
      <c r="OKK68" s="684"/>
      <c r="OKL68" s="684"/>
      <c r="OKM68" s="684"/>
      <c r="OKN68" s="684"/>
      <c r="OKO68" s="684"/>
      <c r="OKP68" s="684"/>
      <c r="OKQ68" s="684"/>
      <c r="OKR68" s="684"/>
      <c r="OKS68" s="684"/>
      <c r="OKT68" s="684"/>
      <c r="OKU68" s="684"/>
      <c r="OKV68" s="684"/>
      <c r="OKW68" s="684"/>
      <c r="OKX68" s="684"/>
      <c r="OKY68" s="684"/>
      <c r="OKZ68" s="684"/>
      <c r="OLA68" s="684"/>
      <c r="OLB68" s="684"/>
      <c r="OLC68" s="684"/>
      <c r="OLD68" s="684"/>
      <c r="OLE68" s="684"/>
      <c r="OLF68" s="684"/>
      <c r="OLG68" s="684"/>
      <c r="OLH68" s="684"/>
      <c r="OLI68" s="684"/>
      <c r="OLJ68" s="684"/>
      <c r="OLK68" s="684"/>
      <c r="OLL68" s="684"/>
      <c r="OLM68" s="684"/>
      <c r="OLN68" s="684"/>
      <c r="OLO68" s="684"/>
      <c r="OLP68" s="684"/>
      <c r="OLQ68" s="684"/>
      <c r="OLR68" s="684"/>
      <c r="OLS68" s="684"/>
      <c r="OLT68" s="684"/>
      <c r="OLU68" s="684"/>
      <c r="OLV68" s="684"/>
      <c r="OLW68" s="684"/>
      <c r="OLX68" s="684"/>
      <c r="OLY68" s="684"/>
      <c r="OLZ68" s="684"/>
      <c r="OMA68" s="684"/>
      <c r="OMB68" s="684"/>
      <c r="OMC68" s="684"/>
      <c r="OMD68" s="684"/>
      <c r="OME68" s="684"/>
      <c r="OMF68" s="684"/>
      <c r="OMG68" s="684"/>
      <c r="OMH68" s="684"/>
      <c r="OMI68" s="684"/>
      <c r="OMJ68" s="684"/>
      <c r="OMK68" s="684"/>
      <c r="OML68" s="684"/>
      <c r="OMM68" s="684"/>
      <c r="OMN68" s="684"/>
      <c r="OMO68" s="684"/>
      <c r="OMP68" s="684"/>
      <c r="OMQ68" s="684"/>
      <c r="OMR68" s="684"/>
      <c r="OMS68" s="684"/>
      <c r="OMT68" s="684"/>
      <c r="OMU68" s="684"/>
      <c r="OMV68" s="684"/>
      <c r="OMW68" s="684"/>
      <c r="OMX68" s="684"/>
      <c r="OMY68" s="684"/>
      <c r="OMZ68" s="684"/>
      <c r="ONA68" s="684"/>
      <c r="ONB68" s="684"/>
      <c r="ONC68" s="684"/>
      <c r="OND68" s="684"/>
      <c r="ONE68" s="684"/>
      <c r="ONF68" s="684"/>
      <c r="ONG68" s="684"/>
      <c r="ONH68" s="684"/>
      <c r="ONI68" s="684"/>
      <c r="ONJ68" s="684"/>
      <c r="ONK68" s="684"/>
      <c r="ONL68" s="684"/>
      <c r="ONM68" s="684"/>
      <c r="ONN68" s="684"/>
      <c r="ONO68" s="684"/>
      <c r="ONP68" s="684"/>
      <c r="ONQ68" s="684"/>
      <c r="ONR68" s="684"/>
      <c r="ONS68" s="684"/>
      <c r="ONT68" s="684"/>
      <c r="ONU68" s="684"/>
      <c r="ONV68" s="684"/>
      <c r="ONW68" s="684"/>
      <c r="ONX68" s="684"/>
      <c r="ONY68" s="684"/>
      <c r="ONZ68" s="684"/>
      <c r="OOA68" s="684"/>
      <c r="OOB68" s="684"/>
      <c r="OOC68" s="684"/>
      <c r="OOD68" s="684"/>
      <c r="OOE68" s="684"/>
      <c r="OOF68" s="684"/>
      <c r="OOG68" s="684"/>
      <c r="OOH68" s="684"/>
      <c r="OOI68" s="684"/>
      <c r="OOJ68" s="684"/>
      <c r="OOK68" s="684"/>
      <c r="OOL68" s="684"/>
      <c r="OOM68" s="684"/>
      <c r="OON68" s="684"/>
      <c r="OOO68" s="684"/>
      <c r="OOP68" s="684"/>
      <c r="OOQ68" s="684"/>
      <c r="OOR68" s="684"/>
      <c r="OOS68" s="684"/>
      <c r="OOT68" s="684"/>
      <c r="OOU68" s="684"/>
      <c r="OOV68" s="684"/>
      <c r="OOW68" s="684"/>
      <c r="OOX68" s="684"/>
      <c r="OOY68" s="684"/>
      <c r="OOZ68" s="684"/>
      <c r="OPA68" s="684"/>
      <c r="OPB68" s="684"/>
      <c r="OPC68" s="684"/>
      <c r="OPD68" s="684"/>
      <c r="OPE68" s="684"/>
      <c r="OPF68" s="684"/>
      <c r="OPG68" s="684"/>
      <c r="OPH68" s="684"/>
      <c r="OPI68" s="684"/>
      <c r="OPJ68" s="684"/>
      <c r="OPK68" s="684"/>
      <c r="OPL68" s="684"/>
      <c r="OPM68" s="684"/>
      <c r="OPN68" s="684"/>
      <c r="OPO68" s="684"/>
      <c r="OPP68" s="684"/>
      <c r="OPQ68" s="684"/>
      <c r="OPR68" s="684"/>
      <c r="OPS68" s="684"/>
      <c r="OPT68" s="684"/>
      <c r="OPU68" s="684"/>
      <c r="OPV68" s="684"/>
      <c r="OPW68" s="684"/>
      <c r="OPX68" s="684"/>
      <c r="OPY68" s="684"/>
      <c r="OPZ68" s="684"/>
      <c r="OQA68" s="684"/>
      <c r="OQB68" s="684"/>
      <c r="OQC68" s="684"/>
      <c r="OQD68" s="684"/>
      <c r="OQE68" s="684"/>
      <c r="OQF68" s="684"/>
      <c r="OQG68" s="684"/>
      <c r="OQH68" s="684"/>
      <c r="OQI68" s="684"/>
      <c r="OQJ68" s="684"/>
      <c r="OQK68" s="684"/>
      <c r="OQL68" s="684"/>
      <c r="OQM68" s="684"/>
      <c r="OQN68" s="684"/>
      <c r="OQO68" s="684"/>
      <c r="OQP68" s="684"/>
      <c r="OQQ68" s="684"/>
      <c r="OQR68" s="684"/>
      <c r="OQS68" s="684"/>
      <c r="OQT68" s="684"/>
      <c r="OQU68" s="684"/>
      <c r="OQV68" s="684"/>
      <c r="OQW68" s="684"/>
      <c r="OQX68" s="684"/>
      <c r="OQY68" s="684"/>
      <c r="OQZ68" s="684"/>
      <c r="ORA68" s="684"/>
      <c r="ORB68" s="684"/>
      <c r="ORC68" s="684"/>
      <c r="ORD68" s="684"/>
      <c r="ORE68" s="684"/>
      <c r="ORF68" s="684"/>
      <c r="ORG68" s="684"/>
      <c r="ORH68" s="684"/>
      <c r="ORI68" s="684"/>
      <c r="ORJ68" s="684"/>
      <c r="ORK68" s="684"/>
      <c r="ORL68" s="684"/>
      <c r="ORM68" s="684"/>
      <c r="ORN68" s="684"/>
      <c r="ORO68" s="684"/>
      <c r="ORP68" s="684"/>
      <c r="ORQ68" s="684"/>
      <c r="ORR68" s="684"/>
      <c r="ORS68" s="684"/>
      <c r="ORT68" s="684"/>
      <c r="ORU68" s="684"/>
      <c r="ORV68" s="684"/>
      <c r="ORW68" s="684"/>
      <c r="ORX68" s="684"/>
      <c r="ORY68" s="684"/>
      <c r="ORZ68" s="684"/>
      <c r="OSA68" s="684"/>
      <c r="OSB68" s="684"/>
      <c r="OSC68" s="684"/>
      <c r="OSD68" s="684"/>
      <c r="OSE68" s="684"/>
      <c r="OSF68" s="684"/>
      <c r="OSG68" s="684"/>
      <c r="OSH68" s="684"/>
      <c r="OSI68" s="684"/>
      <c r="OSJ68" s="684"/>
      <c r="OSK68" s="684"/>
      <c r="OSL68" s="684"/>
      <c r="OSM68" s="684"/>
      <c r="OSN68" s="684"/>
      <c r="OSO68" s="684"/>
      <c r="OSP68" s="684"/>
      <c r="OSQ68" s="684"/>
      <c r="OSR68" s="684"/>
      <c r="OSS68" s="684"/>
      <c r="OST68" s="684"/>
      <c r="OSU68" s="684"/>
      <c r="OSV68" s="684"/>
      <c r="OSW68" s="684"/>
      <c r="OSX68" s="684"/>
      <c r="OSY68" s="684"/>
      <c r="OSZ68" s="684"/>
      <c r="OTA68" s="684"/>
      <c r="OTB68" s="684"/>
      <c r="OTC68" s="684"/>
      <c r="OTD68" s="684"/>
      <c r="OTE68" s="684"/>
      <c r="OTF68" s="684"/>
      <c r="OTG68" s="684"/>
      <c r="OTH68" s="684"/>
      <c r="OTI68" s="684"/>
      <c r="OTJ68" s="684"/>
      <c r="OTK68" s="684"/>
      <c r="OTL68" s="684"/>
      <c r="OTM68" s="684"/>
      <c r="OTN68" s="684"/>
      <c r="OTO68" s="684"/>
      <c r="OTP68" s="684"/>
      <c r="OTQ68" s="684"/>
      <c r="OTR68" s="684"/>
      <c r="OTS68" s="684"/>
      <c r="OTT68" s="684"/>
      <c r="OTU68" s="684"/>
      <c r="OTV68" s="684"/>
      <c r="OTW68" s="684"/>
      <c r="OTX68" s="684"/>
      <c r="OTY68" s="684"/>
      <c r="OTZ68" s="684"/>
      <c r="OUA68" s="684"/>
      <c r="OUB68" s="684"/>
      <c r="OUC68" s="684"/>
      <c r="OUD68" s="684"/>
      <c r="OUE68" s="684"/>
      <c r="OUF68" s="684"/>
      <c r="OUG68" s="684"/>
      <c r="OUH68" s="684"/>
      <c r="OUI68" s="684"/>
      <c r="OUJ68" s="684"/>
      <c r="OUK68" s="684"/>
      <c r="OUL68" s="684"/>
      <c r="OUM68" s="684"/>
      <c r="OUN68" s="684"/>
      <c r="OUO68" s="684"/>
      <c r="OUP68" s="684"/>
      <c r="OUQ68" s="684"/>
      <c r="OUR68" s="684"/>
      <c r="OUS68" s="684"/>
      <c r="OUT68" s="684"/>
      <c r="OUU68" s="684"/>
      <c r="OUV68" s="684"/>
      <c r="OUW68" s="684"/>
      <c r="OUX68" s="684"/>
      <c r="OUY68" s="684"/>
      <c r="OUZ68" s="684"/>
      <c r="OVA68" s="684"/>
      <c r="OVB68" s="684"/>
      <c r="OVC68" s="684"/>
      <c r="OVD68" s="684"/>
      <c r="OVE68" s="684"/>
      <c r="OVF68" s="684"/>
      <c r="OVG68" s="684"/>
      <c r="OVH68" s="684"/>
      <c r="OVI68" s="684"/>
      <c r="OVJ68" s="684"/>
      <c r="OVK68" s="684"/>
      <c r="OVL68" s="684"/>
      <c r="OVM68" s="684"/>
      <c r="OVN68" s="684"/>
      <c r="OVO68" s="684"/>
      <c r="OVP68" s="684"/>
      <c r="OVQ68" s="684"/>
      <c r="OVR68" s="684"/>
      <c r="OVS68" s="684"/>
      <c r="OVT68" s="684"/>
      <c r="OVU68" s="684"/>
      <c r="OVV68" s="684"/>
      <c r="OVW68" s="684"/>
      <c r="OVX68" s="684"/>
      <c r="OVY68" s="684"/>
      <c r="OVZ68" s="684"/>
      <c r="OWA68" s="684"/>
      <c r="OWB68" s="684"/>
      <c r="OWC68" s="684"/>
      <c r="OWD68" s="684"/>
      <c r="OWE68" s="684"/>
      <c r="OWF68" s="684"/>
      <c r="OWG68" s="684"/>
      <c r="OWH68" s="684"/>
      <c r="OWI68" s="684"/>
      <c r="OWJ68" s="684"/>
      <c r="OWK68" s="684"/>
      <c r="OWL68" s="684"/>
      <c r="OWM68" s="684"/>
      <c r="OWN68" s="684"/>
      <c r="OWO68" s="684"/>
      <c r="OWP68" s="684"/>
      <c r="OWQ68" s="684"/>
      <c r="OWR68" s="684"/>
      <c r="OWS68" s="684"/>
      <c r="OWT68" s="684"/>
      <c r="OWU68" s="684"/>
      <c r="OWV68" s="684"/>
      <c r="OWW68" s="684"/>
      <c r="OWX68" s="684"/>
      <c r="OWY68" s="684"/>
      <c r="OWZ68" s="684"/>
      <c r="OXA68" s="684"/>
      <c r="OXB68" s="684"/>
      <c r="OXC68" s="684"/>
      <c r="OXD68" s="684"/>
      <c r="OXE68" s="684"/>
      <c r="OXF68" s="684"/>
      <c r="OXG68" s="684"/>
      <c r="OXH68" s="684"/>
      <c r="OXI68" s="684"/>
      <c r="OXJ68" s="684"/>
      <c r="OXK68" s="684"/>
      <c r="OXL68" s="684"/>
      <c r="OXM68" s="684"/>
      <c r="OXN68" s="684"/>
      <c r="OXO68" s="684"/>
      <c r="OXP68" s="684"/>
      <c r="OXQ68" s="684"/>
      <c r="OXR68" s="684"/>
      <c r="OXS68" s="684"/>
      <c r="OXT68" s="684"/>
      <c r="OXU68" s="684"/>
      <c r="OXV68" s="684"/>
      <c r="OXW68" s="684"/>
      <c r="OXX68" s="684"/>
      <c r="OXY68" s="684"/>
      <c r="OXZ68" s="684"/>
      <c r="OYA68" s="684"/>
      <c r="OYB68" s="684"/>
      <c r="OYC68" s="684"/>
      <c r="OYD68" s="684"/>
      <c r="OYE68" s="684"/>
      <c r="OYF68" s="684"/>
      <c r="OYG68" s="684"/>
      <c r="OYH68" s="684"/>
      <c r="OYI68" s="684"/>
      <c r="OYJ68" s="684"/>
      <c r="OYK68" s="684"/>
      <c r="OYL68" s="684"/>
      <c r="OYM68" s="684"/>
      <c r="OYN68" s="684"/>
      <c r="OYO68" s="684"/>
      <c r="OYP68" s="684"/>
      <c r="OYQ68" s="684"/>
      <c r="OYR68" s="684"/>
      <c r="OYS68" s="684"/>
      <c r="OYT68" s="684"/>
      <c r="OYU68" s="684"/>
      <c r="OYV68" s="684"/>
      <c r="OYW68" s="684"/>
      <c r="OYX68" s="684"/>
      <c r="OYY68" s="684"/>
      <c r="OYZ68" s="684"/>
      <c r="OZA68" s="684"/>
      <c r="OZB68" s="684"/>
      <c r="OZC68" s="684"/>
      <c r="OZD68" s="684"/>
      <c r="OZE68" s="684"/>
      <c r="OZF68" s="684"/>
      <c r="OZG68" s="684"/>
      <c r="OZH68" s="684"/>
      <c r="OZI68" s="684"/>
      <c r="OZJ68" s="684"/>
      <c r="OZK68" s="684"/>
      <c r="OZL68" s="684"/>
      <c r="OZM68" s="684"/>
      <c r="OZN68" s="684"/>
      <c r="OZO68" s="684"/>
      <c r="OZP68" s="684"/>
      <c r="OZQ68" s="684"/>
      <c r="OZR68" s="684"/>
      <c r="OZS68" s="684"/>
      <c r="OZT68" s="684"/>
      <c r="OZU68" s="684"/>
      <c r="OZV68" s="684"/>
      <c r="OZW68" s="684"/>
      <c r="OZX68" s="684"/>
      <c r="OZY68" s="684"/>
      <c r="OZZ68" s="684"/>
      <c r="PAA68" s="684"/>
      <c r="PAB68" s="684"/>
      <c r="PAC68" s="684"/>
      <c r="PAD68" s="684"/>
      <c r="PAE68" s="684"/>
      <c r="PAF68" s="684"/>
      <c r="PAG68" s="684"/>
      <c r="PAH68" s="684"/>
      <c r="PAI68" s="684"/>
      <c r="PAJ68" s="684"/>
      <c r="PAK68" s="684"/>
      <c r="PAL68" s="684"/>
      <c r="PAM68" s="684"/>
      <c r="PAN68" s="684"/>
      <c r="PAO68" s="684"/>
      <c r="PAP68" s="684"/>
      <c r="PAQ68" s="684"/>
      <c r="PAR68" s="684"/>
      <c r="PAS68" s="684"/>
      <c r="PAT68" s="684"/>
      <c r="PAU68" s="684"/>
      <c r="PAV68" s="684"/>
      <c r="PAW68" s="684"/>
      <c r="PAX68" s="684"/>
      <c r="PAY68" s="684"/>
      <c r="PAZ68" s="684"/>
      <c r="PBA68" s="684"/>
      <c r="PBB68" s="684"/>
      <c r="PBC68" s="684"/>
      <c r="PBD68" s="684"/>
      <c r="PBE68" s="684"/>
      <c r="PBF68" s="684"/>
      <c r="PBG68" s="684"/>
      <c r="PBH68" s="684"/>
      <c r="PBI68" s="684"/>
      <c r="PBJ68" s="684"/>
      <c r="PBK68" s="684"/>
      <c r="PBL68" s="684"/>
      <c r="PBM68" s="684"/>
      <c r="PBN68" s="684"/>
      <c r="PBO68" s="684"/>
      <c r="PBP68" s="684"/>
      <c r="PBQ68" s="684"/>
      <c r="PBR68" s="684"/>
      <c r="PBS68" s="684"/>
      <c r="PBT68" s="684"/>
      <c r="PBU68" s="684"/>
      <c r="PBV68" s="684"/>
      <c r="PBW68" s="684"/>
      <c r="PBX68" s="684"/>
      <c r="PBY68" s="684"/>
      <c r="PBZ68" s="684"/>
      <c r="PCA68" s="684"/>
      <c r="PCB68" s="684"/>
      <c r="PCC68" s="684"/>
      <c r="PCD68" s="684"/>
      <c r="PCE68" s="684"/>
      <c r="PCF68" s="684"/>
      <c r="PCG68" s="684"/>
      <c r="PCH68" s="684"/>
      <c r="PCI68" s="684"/>
      <c r="PCJ68" s="684"/>
      <c r="PCK68" s="684"/>
      <c r="PCL68" s="684"/>
      <c r="PCM68" s="684"/>
      <c r="PCN68" s="684"/>
      <c r="PCO68" s="684"/>
      <c r="PCP68" s="684"/>
      <c r="PCQ68" s="684"/>
      <c r="PCR68" s="684"/>
      <c r="PCS68" s="684"/>
      <c r="PCT68" s="684"/>
      <c r="PCU68" s="684"/>
      <c r="PCV68" s="684"/>
      <c r="PCW68" s="684"/>
      <c r="PCX68" s="684"/>
      <c r="PCY68" s="684"/>
      <c r="PCZ68" s="684"/>
      <c r="PDA68" s="684"/>
      <c r="PDB68" s="684"/>
      <c r="PDC68" s="684"/>
      <c r="PDD68" s="684"/>
      <c r="PDE68" s="684"/>
      <c r="PDF68" s="684"/>
      <c r="PDG68" s="684"/>
      <c r="PDH68" s="684"/>
      <c r="PDI68" s="684"/>
      <c r="PDJ68" s="684"/>
      <c r="PDK68" s="684"/>
      <c r="PDL68" s="684"/>
      <c r="PDM68" s="684"/>
      <c r="PDN68" s="684"/>
      <c r="PDO68" s="684"/>
      <c r="PDP68" s="684"/>
      <c r="PDQ68" s="684"/>
      <c r="PDR68" s="684"/>
      <c r="PDS68" s="684"/>
      <c r="PDT68" s="684"/>
      <c r="PDU68" s="684"/>
      <c r="PDV68" s="684"/>
      <c r="PDW68" s="684"/>
      <c r="PDX68" s="684"/>
      <c r="PDY68" s="684"/>
      <c r="PDZ68" s="684"/>
      <c r="PEA68" s="684"/>
      <c r="PEB68" s="684"/>
      <c r="PEC68" s="684"/>
      <c r="PED68" s="684"/>
      <c r="PEE68" s="684"/>
      <c r="PEF68" s="684"/>
      <c r="PEG68" s="684"/>
      <c r="PEH68" s="684"/>
      <c r="PEI68" s="684"/>
      <c r="PEJ68" s="684"/>
      <c r="PEK68" s="684"/>
      <c r="PEL68" s="684"/>
      <c r="PEM68" s="684"/>
      <c r="PEN68" s="684"/>
      <c r="PEO68" s="684"/>
      <c r="PEP68" s="684"/>
      <c r="PEQ68" s="684"/>
      <c r="PER68" s="684"/>
      <c r="PES68" s="684"/>
      <c r="PET68" s="684"/>
      <c r="PEU68" s="684"/>
      <c r="PEV68" s="684"/>
      <c r="PEW68" s="684"/>
      <c r="PEX68" s="684"/>
      <c r="PEY68" s="684"/>
      <c r="PEZ68" s="684"/>
      <c r="PFA68" s="684"/>
      <c r="PFB68" s="684"/>
      <c r="PFC68" s="684"/>
      <c r="PFD68" s="684"/>
      <c r="PFE68" s="684"/>
      <c r="PFF68" s="684"/>
      <c r="PFG68" s="684"/>
      <c r="PFH68" s="684"/>
      <c r="PFI68" s="684"/>
      <c r="PFJ68" s="684"/>
      <c r="PFK68" s="684"/>
      <c r="PFL68" s="684"/>
      <c r="PFM68" s="684"/>
      <c r="PFN68" s="684"/>
      <c r="PFO68" s="684"/>
      <c r="PFP68" s="684"/>
      <c r="PFQ68" s="684"/>
      <c r="PFR68" s="684"/>
      <c r="PFS68" s="684"/>
      <c r="PFT68" s="684"/>
      <c r="PFU68" s="684"/>
      <c r="PFV68" s="684"/>
      <c r="PFW68" s="684"/>
      <c r="PFX68" s="684"/>
      <c r="PFY68" s="684"/>
      <c r="PFZ68" s="684"/>
      <c r="PGA68" s="684"/>
      <c r="PGB68" s="684"/>
      <c r="PGC68" s="684"/>
      <c r="PGD68" s="684"/>
      <c r="PGE68" s="684"/>
      <c r="PGF68" s="684"/>
      <c r="PGG68" s="684"/>
      <c r="PGH68" s="684"/>
      <c r="PGI68" s="684"/>
      <c r="PGJ68" s="684"/>
      <c r="PGK68" s="684"/>
      <c r="PGL68" s="684"/>
      <c r="PGM68" s="684"/>
      <c r="PGN68" s="684"/>
      <c r="PGO68" s="684"/>
      <c r="PGP68" s="684"/>
      <c r="PGQ68" s="684"/>
      <c r="PGR68" s="684"/>
      <c r="PGS68" s="684"/>
      <c r="PGT68" s="684"/>
      <c r="PGU68" s="684"/>
      <c r="PGV68" s="684"/>
      <c r="PGW68" s="684"/>
      <c r="PGX68" s="684"/>
      <c r="PGY68" s="684"/>
      <c r="PGZ68" s="684"/>
      <c r="PHA68" s="684"/>
      <c r="PHB68" s="684"/>
      <c r="PHC68" s="684"/>
      <c r="PHD68" s="684"/>
      <c r="PHE68" s="684"/>
      <c r="PHF68" s="684"/>
      <c r="PHG68" s="684"/>
      <c r="PHH68" s="684"/>
      <c r="PHI68" s="684"/>
      <c r="PHJ68" s="684"/>
      <c r="PHK68" s="684"/>
      <c r="PHL68" s="684"/>
      <c r="PHM68" s="684"/>
      <c r="PHN68" s="684"/>
      <c r="PHO68" s="684"/>
      <c r="PHP68" s="684"/>
      <c r="PHQ68" s="684"/>
      <c r="PHR68" s="684"/>
      <c r="PHS68" s="684"/>
      <c r="PHT68" s="684"/>
      <c r="PHU68" s="684"/>
      <c r="PHV68" s="684"/>
      <c r="PHW68" s="684"/>
      <c r="PHX68" s="684"/>
      <c r="PHY68" s="684"/>
      <c r="PHZ68" s="684"/>
      <c r="PIA68" s="684"/>
      <c r="PIB68" s="684"/>
      <c r="PIC68" s="684"/>
      <c r="PID68" s="684"/>
      <c r="PIE68" s="684"/>
      <c r="PIF68" s="684"/>
      <c r="PIG68" s="684"/>
      <c r="PIH68" s="684"/>
      <c r="PII68" s="684"/>
      <c r="PIJ68" s="684"/>
      <c r="PIK68" s="684"/>
      <c r="PIL68" s="684"/>
      <c r="PIM68" s="684"/>
      <c r="PIN68" s="684"/>
      <c r="PIO68" s="684"/>
      <c r="PIP68" s="684"/>
      <c r="PIQ68" s="684"/>
      <c r="PIR68" s="684"/>
      <c r="PIS68" s="684"/>
      <c r="PIT68" s="684"/>
      <c r="PIU68" s="684"/>
      <c r="PIV68" s="684"/>
      <c r="PIW68" s="684"/>
      <c r="PIX68" s="684"/>
      <c r="PIY68" s="684"/>
      <c r="PIZ68" s="684"/>
      <c r="PJA68" s="684"/>
      <c r="PJB68" s="684"/>
      <c r="PJC68" s="684"/>
      <c r="PJD68" s="684"/>
      <c r="PJE68" s="684"/>
      <c r="PJF68" s="684"/>
      <c r="PJG68" s="684"/>
      <c r="PJH68" s="684"/>
      <c r="PJI68" s="684"/>
      <c r="PJJ68" s="684"/>
      <c r="PJK68" s="684"/>
      <c r="PJL68" s="684"/>
      <c r="PJM68" s="684"/>
      <c r="PJN68" s="684"/>
      <c r="PJO68" s="684"/>
      <c r="PJP68" s="684"/>
      <c r="PJQ68" s="684"/>
      <c r="PJR68" s="684"/>
      <c r="PJS68" s="684"/>
      <c r="PJT68" s="684"/>
      <c r="PJU68" s="684"/>
      <c r="PJV68" s="684"/>
      <c r="PJW68" s="684"/>
      <c r="PJX68" s="684"/>
      <c r="PJY68" s="684"/>
      <c r="PJZ68" s="684"/>
      <c r="PKA68" s="684"/>
      <c r="PKB68" s="684"/>
      <c r="PKC68" s="684"/>
      <c r="PKD68" s="684"/>
      <c r="PKE68" s="684"/>
      <c r="PKF68" s="684"/>
      <c r="PKG68" s="684"/>
      <c r="PKH68" s="684"/>
      <c r="PKI68" s="684"/>
      <c r="PKJ68" s="684"/>
      <c r="PKK68" s="684"/>
      <c r="PKL68" s="684"/>
      <c r="PKM68" s="684"/>
      <c r="PKN68" s="684"/>
      <c r="PKO68" s="684"/>
      <c r="PKP68" s="684"/>
      <c r="PKQ68" s="684"/>
      <c r="PKR68" s="684"/>
      <c r="PKS68" s="684"/>
      <c r="PKT68" s="684"/>
      <c r="PKU68" s="684"/>
      <c r="PKV68" s="684"/>
      <c r="PKW68" s="684"/>
      <c r="PKX68" s="684"/>
      <c r="PKY68" s="684"/>
      <c r="PKZ68" s="684"/>
      <c r="PLA68" s="684"/>
      <c r="PLB68" s="684"/>
      <c r="PLC68" s="684"/>
      <c r="PLD68" s="684"/>
      <c r="PLE68" s="684"/>
      <c r="PLF68" s="684"/>
      <c r="PLG68" s="684"/>
      <c r="PLH68" s="684"/>
      <c r="PLI68" s="684"/>
      <c r="PLJ68" s="684"/>
      <c r="PLK68" s="684"/>
      <c r="PLL68" s="684"/>
      <c r="PLM68" s="684"/>
      <c r="PLN68" s="684"/>
      <c r="PLO68" s="684"/>
      <c r="PLP68" s="684"/>
      <c r="PLQ68" s="684"/>
      <c r="PLR68" s="684"/>
      <c r="PLS68" s="684"/>
      <c r="PLT68" s="684"/>
      <c r="PLU68" s="684"/>
      <c r="PLV68" s="684"/>
      <c r="PLW68" s="684"/>
      <c r="PLX68" s="684"/>
      <c r="PLY68" s="684"/>
      <c r="PLZ68" s="684"/>
      <c r="PMA68" s="684"/>
      <c r="PMB68" s="684"/>
      <c r="PMC68" s="684"/>
      <c r="PMD68" s="684"/>
      <c r="PME68" s="684"/>
      <c r="PMF68" s="684"/>
      <c r="PMG68" s="684"/>
      <c r="PMH68" s="684"/>
      <c r="PMI68" s="684"/>
      <c r="PMJ68" s="684"/>
      <c r="PMK68" s="684"/>
      <c r="PML68" s="684"/>
      <c r="PMM68" s="684"/>
      <c r="PMN68" s="684"/>
      <c r="PMO68" s="684"/>
      <c r="PMP68" s="684"/>
      <c r="PMQ68" s="684"/>
      <c r="PMR68" s="684"/>
      <c r="PMS68" s="684"/>
      <c r="PMT68" s="684"/>
      <c r="PMU68" s="684"/>
      <c r="PMV68" s="684"/>
      <c r="PMW68" s="684"/>
      <c r="PMX68" s="684"/>
      <c r="PMY68" s="684"/>
      <c r="PMZ68" s="684"/>
      <c r="PNA68" s="684"/>
      <c r="PNB68" s="684"/>
      <c r="PNC68" s="684"/>
      <c r="PND68" s="684"/>
      <c r="PNE68" s="684"/>
      <c r="PNF68" s="684"/>
      <c r="PNG68" s="684"/>
      <c r="PNH68" s="684"/>
      <c r="PNI68" s="684"/>
      <c r="PNJ68" s="684"/>
      <c r="PNK68" s="684"/>
      <c r="PNL68" s="684"/>
      <c r="PNM68" s="684"/>
      <c r="PNN68" s="684"/>
      <c r="PNO68" s="684"/>
      <c r="PNP68" s="684"/>
      <c r="PNQ68" s="684"/>
      <c r="PNR68" s="684"/>
      <c r="PNS68" s="684"/>
      <c r="PNT68" s="684"/>
      <c r="PNU68" s="684"/>
      <c r="PNV68" s="684"/>
      <c r="PNW68" s="684"/>
      <c r="PNX68" s="684"/>
      <c r="PNY68" s="684"/>
      <c r="PNZ68" s="684"/>
      <c r="POA68" s="684"/>
      <c r="POB68" s="684"/>
      <c r="POC68" s="684"/>
      <c r="POD68" s="684"/>
      <c r="POE68" s="684"/>
      <c r="POF68" s="684"/>
      <c r="POG68" s="684"/>
      <c r="POH68" s="684"/>
      <c r="POI68" s="684"/>
      <c r="POJ68" s="684"/>
      <c r="POK68" s="684"/>
      <c r="POL68" s="684"/>
      <c r="POM68" s="684"/>
      <c r="PON68" s="684"/>
      <c r="POO68" s="684"/>
      <c r="POP68" s="684"/>
      <c r="POQ68" s="684"/>
      <c r="POR68" s="684"/>
      <c r="POS68" s="684"/>
      <c r="POT68" s="684"/>
      <c r="POU68" s="684"/>
      <c r="POV68" s="684"/>
      <c r="POW68" s="684"/>
      <c r="POX68" s="684"/>
      <c r="POY68" s="684"/>
      <c r="POZ68" s="684"/>
      <c r="PPA68" s="684"/>
      <c r="PPB68" s="684"/>
      <c r="PPC68" s="684"/>
      <c r="PPD68" s="684"/>
      <c r="PPE68" s="684"/>
      <c r="PPF68" s="684"/>
      <c r="PPG68" s="684"/>
      <c r="PPH68" s="684"/>
      <c r="PPI68" s="684"/>
      <c r="PPJ68" s="684"/>
      <c r="PPK68" s="684"/>
      <c r="PPL68" s="684"/>
      <c r="PPM68" s="684"/>
      <c r="PPN68" s="684"/>
      <c r="PPO68" s="684"/>
      <c r="PPP68" s="684"/>
      <c r="PPQ68" s="684"/>
      <c r="PPR68" s="684"/>
      <c r="PPS68" s="684"/>
      <c r="PPT68" s="684"/>
      <c r="PPU68" s="684"/>
      <c r="PPV68" s="684"/>
      <c r="PPW68" s="684"/>
      <c r="PPX68" s="684"/>
      <c r="PPY68" s="684"/>
      <c r="PPZ68" s="684"/>
      <c r="PQA68" s="684"/>
      <c r="PQB68" s="684"/>
      <c r="PQC68" s="684"/>
      <c r="PQD68" s="684"/>
      <c r="PQE68" s="684"/>
      <c r="PQF68" s="684"/>
      <c r="PQG68" s="684"/>
      <c r="PQH68" s="684"/>
      <c r="PQI68" s="684"/>
      <c r="PQJ68" s="684"/>
      <c r="PQK68" s="684"/>
      <c r="PQL68" s="684"/>
      <c r="PQM68" s="684"/>
      <c r="PQN68" s="684"/>
      <c r="PQO68" s="684"/>
      <c r="PQP68" s="684"/>
      <c r="PQQ68" s="684"/>
      <c r="PQR68" s="684"/>
      <c r="PQS68" s="684"/>
      <c r="PQT68" s="684"/>
      <c r="PQU68" s="684"/>
      <c r="PQV68" s="684"/>
      <c r="PQW68" s="684"/>
      <c r="PQX68" s="684"/>
      <c r="PQY68" s="684"/>
      <c r="PQZ68" s="684"/>
      <c r="PRA68" s="684"/>
      <c r="PRB68" s="684"/>
      <c r="PRC68" s="684"/>
      <c r="PRD68" s="684"/>
      <c r="PRE68" s="684"/>
      <c r="PRF68" s="684"/>
      <c r="PRG68" s="684"/>
      <c r="PRH68" s="684"/>
      <c r="PRI68" s="684"/>
      <c r="PRJ68" s="684"/>
      <c r="PRK68" s="684"/>
      <c r="PRL68" s="684"/>
      <c r="PRM68" s="684"/>
      <c r="PRN68" s="684"/>
      <c r="PRO68" s="684"/>
      <c r="PRP68" s="684"/>
      <c r="PRQ68" s="684"/>
      <c r="PRR68" s="684"/>
      <c r="PRS68" s="684"/>
      <c r="PRT68" s="684"/>
      <c r="PRU68" s="684"/>
      <c r="PRV68" s="684"/>
      <c r="PRW68" s="684"/>
      <c r="PRX68" s="684"/>
      <c r="PRY68" s="684"/>
      <c r="PRZ68" s="684"/>
      <c r="PSA68" s="684"/>
      <c r="PSB68" s="684"/>
      <c r="PSC68" s="684"/>
      <c r="PSD68" s="684"/>
      <c r="PSE68" s="684"/>
      <c r="PSF68" s="684"/>
      <c r="PSG68" s="684"/>
      <c r="PSH68" s="684"/>
      <c r="PSI68" s="684"/>
      <c r="PSJ68" s="684"/>
      <c r="PSK68" s="684"/>
      <c r="PSL68" s="684"/>
      <c r="PSM68" s="684"/>
      <c r="PSN68" s="684"/>
      <c r="PSO68" s="684"/>
      <c r="PSP68" s="684"/>
      <c r="PSQ68" s="684"/>
      <c r="PSR68" s="684"/>
      <c r="PSS68" s="684"/>
      <c r="PST68" s="684"/>
      <c r="PSU68" s="684"/>
      <c r="PSV68" s="684"/>
      <c r="PSW68" s="684"/>
      <c r="PSX68" s="684"/>
      <c r="PSY68" s="684"/>
      <c r="PSZ68" s="684"/>
      <c r="PTA68" s="684"/>
      <c r="PTB68" s="684"/>
      <c r="PTC68" s="684"/>
      <c r="PTD68" s="684"/>
      <c r="PTE68" s="684"/>
      <c r="PTF68" s="684"/>
      <c r="PTG68" s="684"/>
      <c r="PTH68" s="684"/>
      <c r="PTI68" s="684"/>
      <c r="PTJ68" s="684"/>
      <c r="PTK68" s="684"/>
      <c r="PTL68" s="684"/>
      <c r="PTM68" s="684"/>
      <c r="PTN68" s="684"/>
      <c r="PTO68" s="684"/>
      <c r="PTP68" s="684"/>
      <c r="PTQ68" s="684"/>
      <c r="PTR68" s="684"/>
      <c r="PTS68" s="684"/>
      <c r="PTT68" s="684"/>
      <c r="PTU68" s="684"/>
      <c r="PTV68" s="684"/>
      <c r="PTW68" s="684"/>
      <c r="PTX68" s="684"/>
      <c r="PTY68" s="684"/>
      <c r="PTZ68" s="684"/>
      <c r="PUA68" s="684"/>
      <c r="PUB68" s="684"/>
      <c r="PUC68" s="684"/>
      <c r="PUD68" s="684"/>
      <c r="PUE68" s="684"/>
      <c r="PUF68" s="684"/>
      <c r="PUG68" s="684"/>
      <c r="PUH68" s="684"/>
      <c r="PUI68" s="684"/>
      <c r="PUJ68" s="684"/>
      <c r="PUK68" s="684"/>
      <c r="PUL68" s="684"/>
      <c r="PUM68" s="684"/>
      <c r="PUN68" s="684"/>
      <c r="PUO68" s="684"/>
      <c r="PUP68" s="684"/>
      <c r="PUQ68" s="684"/>
      <c r="PUR68" s="684"/>
      <c r="PUS68" s="684"/>
      <c r="PUT68" s="684"/>
      <c r="PUU68" s="684"/>
      <c r="PUV68" s="684"/>
      <c r="PUW68" s="684"/>
      <c r="PUX68" s="684"/>
      <c r="PUY68" s="684"/>
      <c r="PUZ68" s="684"/>
      <c r="PVA68" s="684"/>
      <c r="PVB68" s="684"/>
      <c r="PVC68" s="684"/>
      <c r="PVD68" s="684"/>
      <c r="PVE68" s="684"/>
      <c r="PVF68" s="684"/>
      <c r="PVG68" s="684"/>
      <c r="PVH68" s="684"/>
      <c r="PVI68" s="684"/>
      <c r="PVJ68" s="684"/>
      <c r="PVK68" s="684"/>
      <c r="PVL68" s="684"/>
      <c r="PVM68" s="684"/>
      <c r="PVN68" s="684"/>
      <c r="PVO68" s="684"/>
      <c r="PVP68" s="684"/>
      <c r="PVQ68" s="684"/>
      <c r="PVR68" s="684"/>
      <c r="PVS68" s="684"/>
      <c r="PVT68" s="684"/>
      <c r="PVU68" s="684"/>
      <c r="PVV68" s="684"/>
      <c r="PVW68" s="684"/>
      <c r="PVX68" s="684"/>
      <c r="PVY68" s="684"/>
      <c r="PVZ68" s="684"/>
      <c r="PWA68" s="684"/>
      <c r="PWB68" s="684"/>
      <c r="PWC68" s="684"/>
      <c r="PWD68" s="684"/>
      <c r="PWE68" s="684"/>
      <c r="PWF68" s="684"/>
      <c r="PWG68" s="684"/>
      <c r="PWH68" s="684"/>
      <c r="PWI68" s="684"/>
      <c r="PWJ68" s="684"/>
      <c r="PWK68" s="684"/>
      <c r="PWL68" s="684"/>
      <c r="PWM68" s="684"/>
      <c r="PWN68" s="684"/>
      <c r="PWO68" s="684"/>
      <c r="PWP68" s="684"/>
      <c r="PWQ68" s="684"/>
      <c r="PWR68" s="684"/>
      <c r="PWS68" s="684"/>
      <c r="PWT68" s="684"/>
      <c r="PWU68" s="684"/>
      <c r="PWV68" s="684"/>
      <c r="PWW68" s="684"/>
      <c r="PWX68" s="684"/>
      <c r="PWY68" s="684"/>
      <c r="PWZ68" s="684"/>
      <c r="PXA68" s="684"/>
      <c r="PXB68" s="684"/>
      <c r="PXC68" s="684"/>
      <c r="PXD68" s="684"/>
      <c r="PXE68" s="684"/>
      <c r="PXF68" s="684"/>
      <c r="PXG68" s="684"/>
      <c r="PXH68" s="684"/>
      <c r="PXI68" s="684"/>
      <c r="PXJ68" s="684"/>
      <c r="PXK68" s="684"/>
      <c r="PXL68" s="684"/>
      <c r="PXM68" s="684"/>
      <c r="PXN68" s="684"/>
      <c r="PXO68" s="684"/>
      <c r="PXP68" s="684"/>
      <c r="PXQ68" s="684"/>
      <c r="PXR68" s="684"/>
      <c r="PXS68" s="684"/>
      <c r="PXT68" s="684"/>
      <c r="PXU68" s="684"/>
      <c r="PXV68" s="684"/>
      <c r="PXW68" s="684"/>
      <c r="PXX68" s="684"/>
      <c r="PXY68" s="684"/>
      <c r="PXZ68" s="684"/>
      <c r="PYA68" s="684"/>
      <c r="PYB68" s="684"/>
      <c r="PYC68" s="684"/>
      <c r="PYD68" s="684"/>
      <c r="PYE68" s="684"/>
      <c r="PYF68" s="684"/>
      <c r="PYG68" s="684"/>
      <c r="PYH68" s="684"/>
      <c r="PYI68" s="684"/>
      <c r="PYJ68" s="684"/>
      <c r="PYK68" s="684"/>
      <c r="PYL68" s="684"/>
      <c r="PYM68" s="684"/>
      <c r="PYN68" s="684"/>
      <c r="PYO68" s="684"/>
      <c r="PYP68" s="684"/>
      <c r="PYQ68" s="684"/>
      <c r="PYR68" s="684"/>
      <c r="PYS68" s="684"/>
      <c r="PYT68" s="684"/>
      <c r="PYU68" s="684"/>
      <c r="PYV68" s="684"/>
      <c r="PYW68" s="684"/>
      <c r="PYX68" s="684"/>
      <c r="PYY68" s="684"/>
      <c r="PYZ68" s="684"/>
      <c r="PZA68" s="684"/>
      <c r="PZB68" s="684"/>
      <c r="PZC68" s="684"/>
      <c r="PZD68" s="684"/>
      <c r="PZE68" s="684"/>
      <c r="PZF68" s="684"/>
      <c r="PZG68" s="684"/>
      <c r="PZH68" s="684"/>
      <c r="PZI68" s="684"/>
      <c r="PZJ68" s="684"/>
      <c r="PZK68" s="684"/>
      <c r="PZL68" s="684"/>
      <c r="PZM68" s="684"/>
      <c r="PZN68" s="684"/>
      <c r="PZO68" s="684"/>
      <c r="PZP68" s="684"/>
      <c r="PZQ68" s="684"/>
      <c r="PZR68" s="684"/>
      <c r="PZS68" s="684"/>
      <c r="PZT68" s="684"/>
      <c r="PZU68" s="684"/>
      <c r="PZV68" s="684"/>
      <c r="PZW68" s="684"/>
      <c r="PZX68" s="684"/>
      <c r="PZY68" s="684"/>
      <c r="PZZ68" s="684"/>
      <c r="QAA68" s="684"/>
      <c r="QAB68" s="684"/>
      <c r="QAC68" s="684"/>
      <c r="QAD68" s="684"/>
      <c r="QAE68" s="684"/>
      <c r="QAF68" s="684"/>
      <c r="QAG68" s="684"/>
      <c r="QAH68" s="684"/>
      <c r="QAI68" s="684"/>
      <c r="QAJ68" s="684"/>
      <c r="QAK68" s="684"/>
      <c r="QAL68" s="684"/>
      <c r="QAM68" s="684"/>
      <c r="QAN68" s="684"/>
      <c r="QAO68" s="684"/>
      <c r="QAP68" s="684"/>
      <c r="QAQ68" s="684"/>
      <c r="QAR68" s="684"/>
      <c r="QAS68" s="684"/>
      <c r="QAT68" s="684"/>
      <c r="QAU68" s="684"/>
      <c r="QAV68" s="684"/>
      <c r="QAW68" s="684"/>
      <c r="QAX68" s="684"/>
      <c r="QAY68" s="684"/>
      <c r="QAZ68" s="684"/>
      <c r="QBA68" s="684"/>
      <c r="QBB68" s="684"/>
      <c r="QBC68" s="684"/>
      <c r="QBD68" s="684"/>
      <c r="QBE68" s="684"/>
      <c r="QBF68" s="684"/>
      <c r="QBG68" s="684"/>
      <c r="QBH68" s="684"/>
      <c r="QBI68" s="684"/>
      <c r="QBJ68" s="684"/>
      <c r="QBK68" s="684"/>
      <c r="QBL68" s="684"/>
      <c r="QBM68" s="684"/>
      <c r="QBN68" s="684"/>
      <c r="QBO68" s="684"/>
      <c r="QBP68" s="684"/>
      <c r="QBQ68" s="684"/>
      <c r="QBR68" s="684"/>
      <c r="QBS68" s="684"/>
      <c r="QBT68" s="684"/>
      <c r="QBU68" s="684"/>
      <c r="QBV68" s="684"/>
      <c r="QBW68" s="684"/>
      <c r="QBX68" s="684"/>
      <c r="QBY68" s="684"/>
      <c r="QBZ68" s="684"/>
      <c r="QCA68" s="684"/>
      <c r="QCB68" s="684"/>
      <c r="QCC68" s="684"/>
      <c r="QCD68" s="684"/>
      <c r="QCE68" s="684"/>
      <c r="QCF68" s="684"/>
      <c r="QCG68" s="684"/>
      <c r="QCH68" s="684"/>
      <c r="QCI68" s="684"/>
      <c r="QCJ68" s="684"/>
      <c r="QCK68" s="684"/>
      <c r="QCL68" s="684"/>
      <c r="QCM68" s="684"/>
      <c r="QCN68" s="684"/>
      <c r="QCO68" s="684"/>
      <c r="QCP68" s="684"/>
      <c r="QCQ68" s="684"/>
      <c r="QCR68" s="684"/>
      <c r="QCS68" s="684"/>
      <c r="QCT68" s="684"/>
      <c r="QCU68" s="684"/>
      <c r="QCV68" s="684"/>
      <c r="QCW68" s="684"/>
      <c r="QCX68" s="684"/>
      <c r="QCY68" s="684"/>
      <c r="QCZ68" s="684"/>
      <c r="QDA68" s="684"/>
      <c r="QDB68" s="684"/>
      <c r="QDC68" s="684"/>
      <c r="QDD68" s="684"/>
      <c r="QDE68" s="684"/>
      <c r="QDF68" s="684"/>
      <c r="QDG68" s="684"/>
      <c r="QDH68" s="684"/>
      <c r="QDI68" s="684"/>
      <c r="QDJ68" s="684"/>
      <c r="QDK68" s="684"/>
      <c r="QDL68" s="684"/>
      <c r="QDM68" s="684"/>
      <c r="QDN68" s="684"/>
      <c r="QDO68" s="684"/>
      <c r="QDP68" s="684"/>
      <c r="QDQ68" s="684"/>
      <c r="QDR68" s="684"/>
      <c r="QDS68" s="684"/>
      <c r="QDT68" s="684"/>
      <c r="QDU68" s="684"/>
      <c r="QDV68" s="684"/>
      <c r="QDW68" s="684"/>
      <c r="QDX68" s="684"/>
      <c r="QDY68" s="684"/>
      <c r="QDZ68" s="684"/>
      <c r="QEA68" s="684"/>
      <c r="QEB68" s="684"/>
      <c r="QEC68" s="684"/>
      <c r="QED68" s="684"/>
      <c r="QEE68" s="684"/>
      <c r="QEF68" s="684"/>
      <c r="QEG68" s="684"/>
      <c r="QEH68" s="684"/>
      <c r="QEI68" s="684"/>
      <c r="QEJ68" s="684"/>
      <c r="QEK68" s="684"/>
      <c r="QEL68" s="684"/>
      <c r="QEM68" s="684"/>
      <c r="QEN68" s="684"/>
      <c r="QEO68" s="684"/>
      <c r="QEP68" s="684"/>
      <c r="QEQ68" s="684"/>
      <c r="QER68" s="684"/>
      <c r="QES68" s="684"/>
      <c r="QET68" s="684"/>
      <c r="QEU68" s="684"/>
      <c r="QEV68" s="684"/>
      <c r="QEW68" s="684"/>
      <c r="QEX68" s="684"/>
      <c r="QEY68" s="684"/>
      <c r="QEZ68" s="684"/>
      <c r="QFA68" s="684"/>
      <c r="QFB68" s="684"/>
      <c r="QFC68" s="684"/>
      <c r="QFD68" s="684"/>
      <c r="QFE68" s="684"/>
      <c r="QFF68" s="684"/>
      <c r="QFG68" s="684"/>
      <c r="QFH68" s="684"/>
      <c r="QFI68" s="684"/>
      <c r="QFJ68" s="684"/>
      <c r="QFK68" s="684"/>
      <c r="QFL68" s="684"/>
      <c r="QFM68" s="684"/>
      <c r="QFN68" s="684"/>
      <c r="QFO68" s="684"/>
      <c r="QFP68" s="684"/>
      <c r="QFQ68" s="684"/>
      <c r="QFR68" s="684"/>
      <c r="QFS68" s="684"/>
      <c r="QFT68" s="684"/>
      <c r="QFU68" s="684"/>
      <c r="QFV68" s="684"/>
      <c r="QFW68" s="684"/>
      <c r="QFX68" s="684"/>
      <c r="QFY68" s="684"/>
      <c r="QFZ68" s="684"/>
      <c r="QGA68" s="684"/>
      <c r="QGB68" s="684"/>
      <c r="QGC68" s="684"/>
      <c r="QGD68" s="684"/>
      <c r="QGE68" s="684"/>
      <c r="QGF68" s="684"/>
      <c r="QGG68" s="684"/>
      <c r="QGH68" s="684"/>
      <c r="QGI68" s="684"/>
      <c r="QGJ68" s="684"/>
      <c r="QGK68" s="684"/>
      <c r="QGL68" s="684"/>
      <c r="QGM68" s="684"/>
      <c r="QGN68" s="684"/>
      <c r="QGO68" s="684"/>
      <c r="QGP68" s="684"/>
      <c r="QGQ68" s="684"/>
      <c r="QGR68" s="684"/>
      <c r="QGS68" s="684"/>
      <c r="QGT68" s="684"/>
      <c r="QGU68" s="684"/>
      <c r="QGV68" s="684"/>
      <c r="QGW68" s="684"/>
      <c r="QGX68" s="684"/>
      <c r="QGY68" s="684"/>
      <c r="QGZ68" s="684"/>
      <c r="QHA68" s="684"/>
      <c r="QHB68" s="684"/>
      <c r="QHC68" s="684"/>
      <c r="QHD68" s="684"/>
      <c r="QHE68" s="684"/>
      <c r="QHF68" s="684"/>
      <c r="QHG68" s="684"/>
      <c r="QHH68" s="684"/>
      <c r="QHI68" s="684"/>
      <c r="QHJ68" s="684"/>
      <c r="QHK68" s="684"/>
      <c r="QHL68" s="684"/>
      <c r="QHM68" s="684"/>
      <c r="QHN68" s="684"/>
      <c r="QHO68" s="684"/>
      <c r="QHP68" s="684"/>
      <c r="QHQ68" s="684"/>
      <c r="QHR68" s="684"/>
      <c r="QHS68" s="684"/>
      <c r="QHT68" s="684"/>
      <c r="QHU68" s="684"/>
      <c r="QHV68" s="684"/>
      <c r="QHW68" s="684"/>
      <c r="QHX68" s="684"/>
      <c r="QHY68" s="684"/>
      <c r="QHZ68" s="684"/>
      <c r="QIA68" s="684"/>
      <c r="QIB68" s="684"/>
      <c r="QIC68" s="684"/>
      <c r="QID68" s="684"/>
      <c r="QIE68" s="684"/>
      <c r="QIF68" s="684"/>
      <c r="QIG68" s="684"/>
      <c r="QIH68" s="684"/>
      <c r="QII68" s="684"/>
      <c r="QIJ68" s="684"/>
      <c r="QIK68" s="684"/>
      <c r="QIL68" s="684"/>
      <c r="QIM68" s="684"/>
      <c r="QIN68" s="684"/>
      <c r="QIO68" s="684"/>
      <c r="QIP68" s="684"/>
      <c r="QIQ68" s="684"/>
      <c r="QIR68" s="684"/>
      <c r="QIS68" s="684"/>
      <c r="QIT68" s="684"/>
      <c r="QIU68" s="684"/>
      <c r="QIV68" s="684"/>
      <c r="QIW68" s="684"/>
      <c r="QIX68" s="684"/>
      <c r="QIY68" s="684"/>
      <c r="QIZ68" s="684"/>
      <c r="QJA68" s="684"/>
      <c r="QJB68" s="684"/>
      <c r="QJC68" s="684"/>
      <c r="QJD68" s="684"/>
      <c r="QJE68" s="684"/>
      <c r="QJF68" s="684"/>
      <c r="QJG68" s="684"/>
      <c r="QJH68" s="684"/>
      <c r="QJI68" s="684"/>
      <c r="QJJ68" s="684"/>
      <c r="QJK68" s="684"/>
      <c r="QJL68" s="684"/>
      <c r="QJM68" s="684"/>
      <c r="QJN68" s="684"/>
      <c r="QJO68" s="684"/>
      <c r="QJP68" s="684"/>
      <c r="QJQ68" s="684"/>
      <c r="QJR68" s="684"/>
      <c r="QJS68" s="684"/>
      <c r="QJT68" s="684"/>
      <c r="QJU68" s="684"/>
      <c r="QJV68" s="684"/>
      <c r="QJW68" s="684"/>
      <c r="QJX68" s="684"/>
      <c r="QJY68" s="684"/>
      <c r="QJZ68" s="684"/>
      <c r="QKA68" s="684"/>
      <c r="QKB68" s="684"/>
      <c r="QKC68" s="684"/>
      <c r="QKD68" s="684"/>
      <c r="QKE68" s="684"/>
      <c r="QKF68" s="684"/>
      <c r="QKG68" s="684"/>
      <c r="QKH68" s="684"/>
      <c r="QKI68" s="684"/>
      <c r="QKJ68" s="684"/>
      <c r="QKK68" s="684"/>
      <c r="QKL68" s="684"/>
      <c r="QKM68" s="684"/>
      <c r="QKN68" s="684"/>
      <c r="QKO68" s="684"/>
      <c r="QKP68" s="684"/>
      <c r="QKQ68" s="684"/>
      <c r="QKR68" s="684"/>
      <c r="QKS68" s="684"/>
      <c r="QKT68" s="684"/>
      <c r="QKU68" s="684"/>
      <c r="QKV68" s="684"/>
      <c r="QKW68" s="684"/>
      <c r="QKX68" s="684"/>
      <c r="QKY68" s="684"/>
      <c r="QKZ68" s="684"/>
      <c r="QLA68" s="684"/>
      <c r="QLB68" s="684"/>
      <c r="QLC68" s="684"/>
      <c r="QLD68" s="684"/>
      <c r="QLE68" s="684"/>
      <c r="QLF68" s="684"/>
      <c r="QLG68" s="684"/>
      <c r="QLH68" s="684"/>
      <c r="QLI68" s="684"/>
      <c r="QLJ68" s="684"/>
      <c r="QLK68" s="684"/>
      <c r="QLL68" s="684"/>
      <c r="QLM68" s="684"/>
      <c r="QLN68" s="684"/>
      <c r="QLO68" s="684"/>
      <c r="QLP68" s="684"/>
      <c r="QLQ68" s="684"/>
      <c r="QLR68" s="684"/>
      <c r="QLS68" s="684"/>
      <c r="QLT68" s="684"/>
      <c r="QLU68" s="684"/>
      <c r="QLV68" s="684"/>
      <c r="QLW68" s="684"/>
      <c r="QLX68" s="684"/>
      <c r="QLY68" s="684"/>
      <c r="QLZ68" s="684"/>
      <c r="QMA68" s="684"/>
      <c r="QMB68" s="684"/>
      <c r="QMC68" s="684"/>
      <c r="QMD68" s="684"/>
      <c r="QME68" s="684"/>
      <c r="QMF68" s="684"/>
      <c r="QMG68" s="684"/>
      <c r="QMH68" s="684"/>
      <c r="QMI68" s="684"/>
      <c r="QMJ68" s="684"/>
      <c r="QMK68" s="684"/>
      <c r="QML68" s="684"/>
      <c r="QMM68" s="684"/>
      <c r="QMN68" s="684"/>
      <c r="QMO68" s="684"/>
      <c r="QMP68" s="684"/>
      <c r="QMQ68" s="684"/>
      <c r="QMR68" s="684"/>
      <c r="QMS68" s="684"/>
      <c r="QMT68" s="684"/>
      <c r="QMU68" s="684"/>
      <c r="QMV68" s="684"/>
      <c r="QMW68" s="684"/>
      <c r="QMX68" s="684"/>
      <c r="QMY68" s="684"/>
      <c r="QMZ68" s="684"/>
      <c r="QNA68" s="684"/>
      <c r="QNB68" s="684"/>
      <c r="QNC68" s="684"/>
      <c r="QND68" s="684"/>
      <c r="QNE68" s="684"/>
      <c r="QNF68" s="684"/>
      <c r="QNG68" s="684"/>
      <c r="QNH68" s="684"/>
      <c r="QNI68" s="684"/>
      <c r="QNJ68" s="684"/>
      <c r="QNK68" s="684"/>
      <c r="QNL68" s="684"/>
      <c r="QNM68" s="684"/>
      <c r="QNN68" s="684"/>
      <c r="QNO68" s="684"/>
      <c r="QNP68" s="684"/>
      <c r="QNQ68" s="684"/>
      <c r="QNR68" s="684"/>
      <c r="QNS68" s="684"/>
      <c r="QNT68" s="684"/>
      <c r="QNU68" s="684"/>
      <c r="QNV68" s="684"/>
      <c r="QNW68" s="684"/>
      <c r="QNX68" s="684"/>
      <c r="QNY68" s="684"/>
      <c r="QNZ68" s="684"/>
      <c r="QOA68" s="684"/>
      <c r="QOB68" s="684"/>
      <c r="QOC68" s="684"/>
      <c r="QOD68" s="684"/>
      <c r="QOE68" s="684"/>
      <c r="QOF68" s="684"/>
      <c r="QOG68" s="684"/>
      <c r="QOH68" s="684"/>
      <c r="QOI68" s="684"/>
      <c r="QOJ68" s="684"/>
      <c r="QOK68" s="684"/>
      <c r="QOL68" s="684"/>
      <c r="QOM68" s="684"/>
      <c r="QON68" s="684"/>
      <c r="QOO68" s="684"/>
      <c r="QOP68" s="684"/>
      <c r="QOQ68" s="684"/>
      <c r="QOR68" s="684"/>
      <c r="QOS68" s="684"/>
      <c r="QOT68" s="684"/>
      <c r="QOU68" s="684"/>
      <c r="QOV68" s="684"/>
      <c r="QOW68" s="684"/>
      <c r="QOX68" s="684"/>
      <c r="QOY68" s="684"/>
      <c r="QOZ68" s="684"/>
      <c r="QPA68" s="684"/>
      <c r="QPB68" s="684"/>
      <c r="QPC68" s="684"/>
      <c r="QPD68" s="684"/>
      <c r="QPE68" s="684"/>
      <c r="QPF68" s="684"/>
      <c r="QPG68" s="684"/>
      <c r="QPH68" s="684"/>
      <c r="QPI68" s="684"/>
      <c r="QPJ68" s="684"/>
      <c r="QPK68" s="684"/>
      <c r="QPL68" s="684"/>
      <c r="QPM68" s="684"/>
      <c r="QPN68" s="684"/>
      <c r="QPO68" s="684"/>
      <c r="QPP68" s="684"/>
      <c r="QPQ68" s="684"/>
      <c r="QPR68" s="684"/>
      <c r="QPS68" s="684"/>
      <c r="QPT68" s="684"/>
      <c r="QPU68" s="684"/>
      <c r="QPV68" s="684"/>
      <c r="QPW68" s="684"/>
      <c r="QPX68" s="684"/>
      <c r="QPY68" s="684"/>
      <c r="QPZ68" s="684"/>
      <c r="QQA68" s="684"/>
      <c r="QQB68" s="684"/>
      <c r="QQC68" s="684"/>
      <c r="QQD68" s="684"/>
      <c r="QQE68" s="684"/>
      <c r="QQF68" s="684"/>
      <c r="QQG68" s="684"/>
      <c r="QQH68" s="684"/>
      <c r="QQI68" s="684"/>
      <c r="QQJ68" s="684"/>
      <c r="QQK68" s="684"/>
      <c r="QQL68" s="684"/>
      <c r="QQM68" s="684"/>
      <c r="QQN68" s="684"/>
      <c r="QQO68" s="684"/>
      <c r="QQP68" s="684"/>
      <c r="QQQ68" s="684"/>
      <c r="QQR68" s="684"/>
      <c r="QQS68" s="684"/>
      <c r="QQT68" s="684"/>
      <c r="QQU68" s="684"/>
      <c r="QQV68" s="684"/>
      <c r="QQW68" s="684"/>
      <c r="QQX68" s="684"/>
      <c r="QQY68" s="684"/>
      <c r="QQZ68" s="684"/>
      <c r="QRA68" s="684"/>
      <c r="QRB68" s="684"/>
      <c r="QRC68" s="684"/>
      <c r="QRD68" s="684"/>
      <c r="QRE68" s="684"/>
      <c r="QRF68" s="684"/>
      <c r="QRG68" s="684"/>
      <c r="QRH68" s="684"/>
      <c r="QRI68" s="684"/>
      <c r="QRJ68" s="684"/>
      <c r="QRK68" s="684"/>
      <c r="QRL68" s="684"/>
      <c r="QRM68" s="684"/>
      <c r="QRN68" s="684"/>
      <c r="QRO68" s="684"/>
      <c r="QRP68" s="684"/>
      <c r="QRQ68" s="684"/>
      <c r="QRR68" s="684"/>
      <c r="QRS68" s="684"/>
      <c r="QRT68" s="684"/>
      <c r="QRU68" s="684"/>
      <c r="QRV68" s="684"/>
      <c r="QRW68" s="684"/>
      <c r="QRX68" s="684"/>
      <c r="QRY68" s="684"/>
      <c r="QRZ68" s="684"/>
      <c r="QSA68" s="684"/>
      <c r="QSB68" s="684"/>
      <c r="QSC68" s="684"/>
      <c r="QSD68" s="684"/>
      <c r="QSE68" s="684"/>
      <c r="QSF68" s="684"/>
      <c r="QSG68" s="684"/>
      <c r="QSH68" s="684"/>
      <c r="QSI68" s="684"/>
      <c r="QSJ68" s="684"/>
      <c r="QSK68" s="684"/>
      <c r="QSL68" s="684"/>
      <c r="QSM68" s="684"/>
      <c r="QSN68" s="684"/>
      <c r="QSO68" s="684"/>
      <c r="QSP68" s="684"/>
      <c r="QSQ68" s="684"/>
      <c r="QSR68" s="684"/>
      <c r="QSS68" s="684"/>
      <c r="QST68" s="684"/>
      <c r="QSU68" s="684"/>
      <c r="QSV68" s="684"/>
      <c r="QSW68" s="684"/>
      <c r="QSX68" s="684"/>
      <c r="QSY68" s="684"/>
      <c r="QSZ68" s="684"/>
      <c r="QTA68" s="684"/>
      <c r="QTB68" s="684"/>
      <c r="QTC68" s="684"/>
      <c r="QTD68" s="684"/>
      <c r="QTE68" s="684"/>
      <c r="QTF68" s="684"/>
      <c r="QTG68" s="684"/>
      <c r="QTH68" s="684"/>
      <c r="QTI68" s="684"/>
      <c r="QTJ68" s="684"/>
      <c r="QTK68" s="684"/>
      <c r="QTL68" s="684"/>
      <c r="QTM68" s="684"/>
      <c r="QTN68" s="684"/>
      <c r="QTO68" s="684"/>
      <c r="QTP68" s="684"/>
      <c r="QTQ68" s="684"/>
      <c r="QTR68" s="684"/>
      <c r="QTS68" s="684"/>
      <c r="QTT68" s="684"/>
      <c r="QTU68" s="684"/>
      <c r="QTV68" s="684"/>
      <c r="QTW68" s="684"/>
      <c r="QTX68" s="684"/>
      <c r="QTY68" s="684"/>
      <c r="QTZ68" s="684"/>
      <c r="QUA68" s="684"/>
      <c r="QUB68" s="684"/>
      <c r="QUC68" s="684"/>
      <c r="QUD68" s="684"/>
      <c r="QUE68" s="684"/>
      <c r="QUF68" s="684"/>
      <c r="QUG68" s="684"/>
      <c r="QUH68" s="684"/>
      <c r="QUI68" s="684"/>
      <c r="QUJ68" s="684"/>
      <c r="QUK68" s="684"/>
      <c r="QUL68" s="684"/>
      <c r="QUM68" s="684"/>
      <c r="QUN68" s="684"/>
      <c r="QUO68" s="684"/>
      <c r="QUP68" s="684"/>
      <c r="QUQ68" s="684"/>
      <c r="QUR68" s="684"/>
      <c r="QUS68" s="684"/>
      <c r="QUT68" s="684"/>
      <c r="QUU68" s="684"/>
      <c r="QUV68" s="684"/>
      <c r="QUW68" s="684"/>
      <c r="QUX68" s="684"/>
      <c r="QUY68" s="684"/>
      <c r="QUZ68" s="684"/>
      <c r="QVA68" s="684"/>
      <c r="QVB68" s="684"/>
      <c r="QVC68" s="684"/>
      <c r="QVD68" s="684"/>
      <c r="QVE68" s="684"/>
      <c r="QVF68" s="684"/>
      <c r="QVG68" s="684"/>
      <c r="QVH68" s="684"/>
      <c r="QVI68" s="684"/>
      <c r="QVJ68" s="684"/>
      <c r="QVK68" s="684"/>
      <c r="QVL68" s="684"/>
      <c r="QVM68" s="684"/>
      <c r="QVN68" s="684"/>
      <c r="QVO68" s="684"/>
      <c r="QVP68" s="684"/>
      <c r="QVQ68" s="684"/>
      <c r="QVR68" s="684"/>
      <c r="QVS68" s="684"/>
      <c r="QVT68" s="684"/>
      <c r="QVU68" s="684"/>
      <c r="QVV68" s="684"/>
      <c r="QVW68" s="684"/>
      <c r="QVX68" s="684"/>
      <c r="QVY68" s="684"/>
      <c r="QVZ68" s="684"/>
      <c r="QWA68" s="684"/>
      <c r="QWB68" s="684"/>
      <c r="QWC68" s="684"/>
      <c r="QWD68" s="684"/>
      <c r="QWE68" s="684"/>
      <c r="QWF68" s="684"/>
      <c r="QWG68" s="684"/>
      <c r="QWH68" s="684"/>
      <c r="QWI68" s="684"/>
      <c r="QWJ68" s="684"/>
      <c r="QWK68" s="684"/>
      <c r="QWL68" s="684"/>
      <c r="QWM68" s="684"/>
      <c r="QWN68" s="684"/>
      <c r="QWO68" s="684"/>
      <c r="QWP68" s="684"/>
      <c r="QWQ68" s="684"/>
      <c r="QWR68" s="684"/>
      <c r="QWS68" s="684"/>
      <c r="QWT68" s="684"/>
      <c r="QWU68" s="684"/>
      <c r="QWV68" s="684"/>
      <c r="QWW68" s="684"/>
      <c r="QWX68" s="684"/>
      <c r="QWY68" s="684"/>
      <c r="QWZ68" s="684"/>
      <c r="QXA68" s="684"/>
      <c r="QXB68" s="684"/>
      <c r="QXC68" s="684"/>
      <c r="QXD68" s="684"/>
      <c r="QXE68" s="684"/>
      <c r="QXF68" s="684"/>
      <c r="QXG68" s="684"/>
      <c r="QXH68" s="684"/>
      <c r="QXI68" s="684"/>
      <c r="QXJ68" s="684"/>
      <c r="QXK68" s="684"/>
      <c r="QXL68" s="684"/>
      <c r="QXM68" s="684"/>
      <c r="QXN68" s="684"/>
      <c r="QXO68" s="684"/>
      <c r="QXP68" s="684"/>
      <c r="QXQ68" s="684"/>
      <c r="QXR68" s="684"/>
      <c r="QXS68" s="684"/>
      <c r="QXT68" s="684"/>
      <c r="QXU68" s="684"/>
      <c r="QXV68" s="684"/>
      <c r="QXW68" s="684"/>
      <c r="QXX68" s="684"/>
      <c r="QXY68" s="684"/>
      <c r="QXZ68" s="684"/>
      <c r="QYA68" s="684"/>
      <c r="QYB68" s="684"/>
      <c r="QYC68" s="684"/>
      <c r="QYD68" s="684"/>
      <c r="QYE68" s="684"/>
      <c r="QYF68" s="684"/>
      <c r="QYG68" s="684"/>
      <c r="QYH68" s="684"/>
      <c r="QYI68" s="684"/>
      <c r="QYJ68" s="684"/>
      <c r="QYK68" s="684"/>
      <c r="QYL68" s="684"/>
      <c r="QYM68" s="684"/>
      <c r="QYN68" s="684"/>
      <c r="QYO68" s="684"/>
      <c r="QYP68" s="684"/>
      <c r="QYQ68" s="684"/>
      <c r="QYR68" s="684"/>
      <c r="QYS68" s="684"/>
      <c r="QYT68" s="684"/>
      <c r="QYU68" s="684"/>
      <c r="QYV68" s="684"/>
      <c r="QYW68" s="684"/>
      <c r="QYX68" s="684"/>
      <c r="QYY68" s="684"/>
      <c r="QYZ68" s="684"/>
      <c r="QZA68" s="684"/>
      <c r="QZB68" s="684"/>
      <c r="QZC68" s="684"/>
      <c r="QZD68" s="684"/>
      <c r="QZE68" s="684"/>
      <c r="QZF68" s="684"/>
      <c r="QZG68" s="684"/>
      <c r="QZH68" s="684"/>
      <c r="QZI68" s="684"/>
      <c r="QZJ68" s="684"/>
      <c r="QZK68" s="684"/>
      <c r="QZL68" s="684"/>
      <c r="QZM68" s="684"/>
      <c r="QZN68" s="684"/>
      <c r="QZO68" s="684"/>
      <c r="QZP68" s="684"/>
      <c r="QZQ68" s="684"/>
      <c r="QZR68" s="684"/>
      <c r="QZS68" s="684"/>
      <c r="QZT68" s="684"/>
      <c r="QZU68" s="684"/>
      <c r="QZV68" s="684"/>
      <c r="QZW68" s="684"/>
      <c r="QZX68" s="684"/>
      <c r="QZY68" s="684"/>
      <c r="QZZ68" s="684"/>
      <c r="RAA68" s="684"/>
      <c r="RAB68" s="684"/>
      <c r="RAC68" s="684"/>
      <c r="RAD68" s="684"/>
      <c r="RAE68" s="684"/>
      <c r="RAF68" s="684"/>
      <c r="RAG68" s="684"/>
      <c r="RAH68" s="684"/>
      <c r="RAI68" s="684"/>
      <c r="RAJ68" s="684"/>
      <c r="RAK68" s="684"/>
      <c r="RAL68" s="684"/>
      <c r="RAM68" s="684"/>
      <c r="RAN68" s="684"/>
      <c r="RAO68" s="684"/>
      <c r="RAP68" s="684"/>
      <c r="RAQ68" s="684"/>
      <c r="RAR68" s="684"/>
      <c r="RAS68" s="684"/>
      <c r="RAT68" s="684"/>
      <c r="RAU68" s="684"/>
      <c r="RAV68" s="684"/>
      <c r="RAW68" s="684"/>
      <c r="RAX68" s="684"/>
      <c r="RAY68" s="684"/>
      <c r="RAZ68" s="684"/>
      <c r="RBA68" s="684"/>
      <c r="RBB68" s="684"/>
      <c r="RBC68" s="684"/>
      <c r="RBD68" s="684"/>
      <c r="RBE68" s="684"/>
      <c r="RBF68" s="684"/>
      <c r="RBG68" s="684"/>
      <c r="RBH68" s="684"/>
      <c r="RBI68" s="684"/>
      <c r="RBJ68" s="684"/>
      <c r="RBK68" s="684"/>
      <c r="RBL68" s="684"/>
      <c r="RBM68" s="684"/>
      <c r="RBN68" s="684"/>
      <c r="RBO68" s="684"/>
      <c r="RBP68" s="684"/>
      <c r="RBQ68" s="684"/>
      <c r="RBR68" s="684"/>
      <c r="RBS68" s="684"/>
      <c r="RBT68" s="684"/>
      <c r="RBU68" s="684"/>
      <c r="RBV68" s="684"/>
      <c r="RBW68" s="684"/>
      <c r="RBX68" s="684"/>
      <c r="RBY68" s="684"/>
      <c r="RBZ68" s="684"/>
      <c r="RCA68" s="684"/>
      <c r="RCB68" s="684"/>
      <c r="RCC68" s="684"/>
      <c r="RCD68" s="684"/>
      <c r="RCE68" s="684"/>
      <c r="RCF68" s="684"/>
      <c r="RCG68" s="684"/>
      <c r="RCH68" s="684"/>
      <c r="RCI68" s="684"/>
      <c r="RCJ68" s="684"/>
      <c r="RCK68" s="684"/>
      <c r="RCL68" s="684"/>
      <c r="RCM68" s="684"/>
      <c r="RCN68" s="684"/>
      <c r="RCO68" s="684"/>
      <c r="RCP68" s="684"/>
      <c r="RCQ68" s="684"/>
      <c r="RCR68" s="684"/>
      <c r="RCS68" s="684"/>
      <c r="RCT68" s="684"/>
      <c r="RCU68" s="684"/>
      <c r="RCV68" s="684"/>
      <c r="RCW68" s="684"/>
      <c r="RCX68" s="684"/>
      <c r="RCY68" s="684"/>
      <c r="RCZ68" s="684"/>
      <c r="RDA68" s="684"/>
      <c r="RDB68" s="684"/>
      <c r="RDC68" s="684"/>
      <c r="RDD68" s="684"/>
      <c r="RDE68" s="684"/>
      <c r="RDF68" s="684"/>
      <c r="RDG68" s="684"/>
      <c r="RDH68" s="684"/>
      <c r="RDI68" s="684"/>
      <c r="RDJ68" s="684"/>
      <c r="RDK68" s="684"/>
      <c r="RDL68" s="684"/>
      <c r="RDM68" s="684"/>
      <c r="RDN68" s="684"/>
      <c r="RDO68" s="684"/>
      <c r="RDP68" s="684"/>
      <c r="RDQ68" s="684"/>
      <c r="RDR68" s="684"/>
      <c r="RDS68" s="684"/>
      <c r="RDT68" s="684"/>
      <c r="RDU68" s="684"/>
      <c r="RDV68" s="684"/>
      <c r="RDW68" s="684"/>
      <c r="RDX68" s="684"/>
      <c r="RDY68" s="684"/>
      <c r="RDZ68" s="684"/>
      <c r="REA68" s="684"/>
      <c r="REB68" s="684"/>
      <c r="REC68" s="684"/>
      <c r="RED68" s="684"/>
      <c r="REE68" s="684"/>
      <c r="REF68" s="684"/>
      <c r="REG68" s="684"/>
      <c r="REH68" s="684"/>
      <c r="REI68" s="684"/>
      <c r="REJ68" s="684"/>
      <c r="REK68" s="684"/>
      <c r="REL68" s="684"/>
      <c r="REM68" s="684"/>
      <c r="REN68" s="684"/>
      <c r="REO68" s="684"/>
      <c r="REP68" s="684"/>
      <c r="REQ68" s="684"/>
      <c r="RER68" s="684"/>
      <c r="RES68" s="684"/>
      <c r="RET68" s="684"/>
      <c r="REU68" s="684"/>
      <c r="REV68" s="684"/>
      <c r="REW68" s="684"/>
      <c r="REX68" s="684"/>
      <c r="REY68" s="684"/>
      <c r="REZ68" s="684"/>
      <c r="RFA68" s="684"/>
      <c r="RFB68" s="684"/>
      <c r="RFC68" s="684"/>
      <c r="RFD68" s="684"/>
      <c r="RFE68" s="684"/>
      <c r="RFF68" s="684"/>
      <c r="RFG68" s="684"/>
      <c r="RFH68" s="684"/>
      <c r="RFI68" s="684"/>
      <c r="RFJ68" s="684"/>
      <c r="RFK68" s="684"/>
      <c r="RFL68" s="684"/>
      <c r="RFM68" s="684"/>
      <c r="RFN68" s="684"/>
      <c r="RFO68" s="684"/>
      <c r="RFP68" s="684"/>
      <c r="RFQ68" s="684"/>
      <c r="RFR68" s="684"/>
      <c r="RFS68" s="684"/>
      <c r="RFT68" s="684"/>
      <c r="RFU68" s="684"/>
      <c r="RFV68" s="684"/>
      <c r="RFW68" s="684"/>
      <c r="RFX68" s="684"/>
      <c r="RFY68" s="684"/>
      <c r="RFZ68" s="684"/>
      <c r="RGA68" s="684"/>
      <c r="RGB68" s="684"/>
      <c r="RGC68" s="684"/>
      <c r="RGD68" s="684"/>
      <c r="RGE68" s="684"/>
      <c r="RGF68" s="684"/>
      <c r="RGG68" s="684"/>
      <c r="RGH68" s="684"/>
      <c r="RGI68" s="684"/>
      <c r="RGJ68" s="684"/>
      <c r="RGK68" s="684"/>
      <c r="RGL68" s="684"/>
      <c r="RGM68" s="684"/>
      <c r="RGN68" s="684"/>
      <c r="RGO68" s="684"/>
      <c r="RGP68" s="684"/>
      <c r="RGQ68" s="684"/>
      <c r="RGR68" s="684"/>
      <c r="RGS68" s="684"/>
      <c r="RGT68" s="684"/>
      <c r="RGU68" s="684"/>
      <c r="RGV68" s="684"/>
      <c r="RGW68" s="684"/>
      <c r="RGX68" s="684"/>
      <c r="RGY68" s="684"/>
      <c r="RGZ68" s="684"/>
      <c r="RHA68" s="684"/>
      <c r="RHB68" s="684"/>
      <c r="RHC68" s="684"/>
      <c r="RHD68" s="684"/>
      <c r="RHE68" s="684"/>
      <c r="RHF68" s="684"/>
      <c r="RHG68" s="684"/>
      <c r="RHH68" s="684"/>
      <c r="RHI68" s="684"/>
      <c r="RHJ68" s="684"/>
      <c r="RHK68" s="684"/>
      <c r="RHL68" s="684"/>
      <c r="RHM68" s="684"/>
      <c r="RHN68" s="684"/>
      <c r="RHO68" s="684"/>
      <c r="RHP68" s="684"/>
      <c r="RHQ68" s="684"/>
      <c r="RHR68" s="684"/>
      <c r="RHS68" s="684"/>
      <c r="RHT68" s="684"/>
      <c r="RHU68" s="684"/>
      <c r="RHV68" s="684"/>
      <c r="RHW68" s="684"/>
      <c r="RHX68" s="684"/>
      <c r="RHY68" s="684"/>
      <c r="RHZ68" s="684"/>
      <c r="RIA68" s="684"/>
      <c r="RIB68" s="684"/>
      <c r="RIC68" s="684"/>
      <c r="RID68" s="684"/>
      <c r="RIE68" s="684"/>
      <c r="RIF68" s="684"/>
      <c r="RIG68" s="684"/>
      <c r="RIH68" s="684"/>
      <c r="RII68" s="684"/>
      <c r="RIJ68" s="684"/>
      <c r="RIK68" s="684"/>
      <c r="RIL68" s="684"/>
      <c r="RIM68" s="684"/>
      <c r="RIN68" s="684"/>
      <c r="RIO68" s="684"/>
      <c r="RIP68" s="684"/>
      <c r="RIQ68" s="684"/>
      <c r="RIR68" s="684"/>
      <c r="RIS68" s="684"/>
      <c r="RIT68" s="684"/>
      <c r="RIU68" s="684"/>
      <c r="RIV68" s="684"/>
      <c r="RIW68" s="684"/>
      <c r="RIX68" s="684"/>
      <c r="RIY68" s="684"/>
      <c r="RIZ68" s="684"/>
      <c r="RJA68" s="684"/>
      <c r="RJB68" s="684"/>
      <c r="RJC68" s="684"/>
      <c r="RJD68" s="684"/>
      <c r="RJE68" s="684"/>
      <c r="RJF68" s="684"/>
      <c r="RJG68" s="684"/>
      <c r="RJH68" s="684"/>
      <c r="RJI68" s="684"/>
      <c r="RJJ68" s="684"/>
      <c r="RJK68" s="684"/>
      <c r="RJL68" s="684"/>
      <c r="RJM68" s="684"/>
      <c r="RJN68" s="684"/>
      <c r="RJO68" s="684"/>
      <c r="RJP68" s="684"/>
      <c r="RJQ68" s="684"/>
      <c r="RJR68" s="684"/>
      <c r="RJS68" s="684"/>
      <c r="RJT68" s="684"/>
      <c r="RJU68" s="684"/>
      <c r="RJV68" s="684"/>
      <c r="RJW68" s="684"/>
      <c r="RJX68" s="684"/>
      <c r="RJY68" s="684"/>
      <c r="RJZ68" s="684"/>
      <c r="RKA68" s="684"/>
      <c r="RKB68" s="684"/>
      <c r="RKC68" s="684"/>
      <c r="RKD68" s="684"/>
      <c r="RKE68" s="684"/>
      <c r="RKF68" s="684"/>
      <c r="RKG68" s="684"/>
      <c r="RKH68" s="684"/>
      <c r="RKI68" s="684"/>
      <c r="RKJ68" s="684"/>
      <c r="RKK68" s="684"/>
      <c r="RKL68" s="684"/>
      <c r="RKM68" s="684"/>
      <c r="RKN68" s="684"/>
      <c r="RKO68" s="684"/>
      <c r="RKP68" s="684"/>
      <c r="RKQ68" s="684"/>
      <c r="RKR68" s="684"/>
      <c r="RKS68" s="684"/>
      <c r="RKT68" s="684"/>
      <c r="RKU68" s="684"/>
      <c r="RKV68" s="684"/>
      <c r="RKW68" s="684"/>
      <c r="RKX68" s="684"/>
      <c r="RKY68" s="684"/>
      <c r="RKZ68" s="684"/>
      <c r="RLA68" s="684"/>
      <c r="RLB68" s="684"/>
      <c r="RLC68" s="684"/>
      <c r="RLD68" s="684"/>
      <c r="RLE68" s="684"/>
      <c r="RLF68" s="684"/>
      <c r="RLG68" s="684"/>
      <c r="RLH68" s="684"/>
      <c r="RLI68" s="684"/>
      <c r="RLJ68" s="684"/>
      <c r="RLK68" s="684"/>
      <c r="RLL68" s="684"/>
      <c r="RLM68" s="684"/>
      <c r="RLN68" s="684"/>
      <c r="RLO68" s="684"/>
      <c r="RLP68" s="684"/>
      <c r="RLQ68" s="684"/>
      <c r="RLR68" s="684"/>
      <c r="RLS68" s="684"/>
      <c r="RLT68" s="684"/>
      <c r="RLU68" s="684"/>
      <c r="RLV68" s="684"/>
      <c r="RLW68" s="684"/>
      <c r="RLX68" s="684"/>
      <c r="RLY68" s="684"/>
      <c r="RLZ68" s="684"/>
      <c r="RMA68" s="684"/>
      <c r="RMB68" s="684"/>
      <c r="RMC68" s="684"/>
      <c r="RMD68" s="684"/>
      <c r="RME68" s="684"/>
      <c r="RMF68" s="684"/>
      <c r="RMG68" s="684"/>
      <c r="RMH68" s="684"/>
      <c r="RMI68" s="684"/>
      <c r="RMJ68" s="684"/>
      <c r="RMK68" s="684"/>
      <c r="RML68" s="684"/>
      <c r="RMM68" s="684"/>
      <c r="RMN68" s="684"/>
      <c r="RMO68" s="684"/>
      <c r="RMP68" s="684"/>
      <c r="RMQ68" s="684"/>
      <c r="RMR68" s="684"/>
      <c r="RMS68" s="684"/>
      <c r="RMT68" s="684"/>
      <c r="RMU68" s="684"/>
      <c r="RMV68" s="684"/>
      <c r="RMW68" s="684"/>
      <c r="RMX68" s="684"/>
      <c r="RMY68" s="684"/>
      <c r="RMZ68" s="684"/>
      <c r="RNA68" s="684"/>
      <c r="RNB68" s="684"/>
      <c r="RNC68" s="684"/>
      <c r="RND68" s="684"/>
      <c r="RNE68" s="684"/>
      <c r="RNF68" s="684"/>
      <c r="RNG68" s="684"/>
      <c r="RNH68" s="684"/>
      <c r="RNI68" s="684"/>
      <c r="RNJ68" s="684"/>
      <c r="RNK68" s="684"/>
      <c r="RNL68" s="684"/>
      <c r="RNM68" s="684"/>
      <c r="RNN68" s="684"/>
      <c r="RNO68" s="684"/>
      <c r="RNP68" s="684"/>
      <c r="RNQ68" s="684"/>
      <c r="RNR68" s="684"/>
      <c r="RNS68" s="684"/>
      <c r="RNT68" s="684"/>
      <c r="RNU68" s="684"/>
      <c r="RNV68" s="684"/>
      <c r="RNW68" s="684"/>
      <c r="RNX68" s="684"/>
      <c r="RNY68" s="684"/>
      <c r="RNZ68" s="684"/>
      <c r="ROA68" s="684"/>
      <c r="ROB68" s="684"/>
      <c r="ROC68" s="684"/>
      <c r="ROD68" s="684"/>
      <c r="ROE68" s="684"/>
      <c r="ROF68" s="684"/>
      <c r="ROG68" s="684"/>
      <c r="ROH68" s="684"/>
      <c r="ROI68" s="684"/>
      <c r="ROJ68" s="684"/>
      <c r="ROK68" s="684"/>
      <c r="ROL68" s="684"/>
      <c r="ROM68" s="684"/>
      <c r="RON68" s="684"/>
      <c r="ROO68" s="684"/>
      <c r="ROP68" s="684"/>
      <c r="ROQ68" s="684"/>
      <c r="ROR68" s="684"/>
      <c r="ROS68" s="684"/>
      <c r="ROT68" s="684"/>
      <c r="ROU68" s="684"/>
      <c r="ROV68" s="684"/>
      <c r="ROW68" s="684"/>
      <c r="ROX68" s="684"/>
      <c r="ROY68" s="684"/>
      <c r="ROZ68" s="684"/>
      <c r="RPA68" s="684"/>
      <c r="RPB68" s="684"/>
      <c r="RPC68" s="684"/>
      <c r="RPD68" s="684"/>
      <c r="RPE68" s="684"/>
      <c r="RPF68" s="684"/>
      <c r="RPG68" s="684"/>
      <c r="RPH68" s="684"/>
      <c r="RPI68" s="684"/>
      <c r="RPJ68" s="684"/>
      <c r="RPK68" s="684"/>
      <c r="RPL68" s="684"/>
      <c r="RPM68" s="684"/>
      <c r="RPN68" s="684"/>
      <c r="RPO68" s="684"/>
      <c r="RPP68" s="684"/>
      <c r="RPQ68" s="684"/>
      <c r="RPR68" s="684"/>
      <c r="RPS68" s="684"/>
      <c r="RPT68" s="684"/>
      <c r="RPU68" s="684"/>
      <c r="RPV68" s="684"/>
      <c r="RPW68" s="684"/>
      <c r="RPX68" s="684"/>
      <c r="RPY68" s="684"/>
      <c r="RPZ68" s="684"/>
      <c r="RQA68" s="684"/>
      <c r="RQB68" s="684"/>
      <c r="RQC68" s="684"/>
      <c r="RQD68" s="684"/>
      <c r="RQE68" s="684"/>
      <c r="RQF68" s="684"/>
      <c r="RQG68" s="684"/>
      <c r="RQH68" s="684"/>
      <c r="RQI68" s="684"/>
      <c r="RQJ68" s="684"/>
      <c r="RQK68" s="684"/>
      <c r="RQL68" s="684"/>
      <c r="RQM68" s="684"/>
      <c r="RQN68" s="684"/>
      <c r="RQO68" s="684"/>
      <c r="RQP68" s="684"/>
      <c r="RQQ68" s="684"/>
      <c r="RQR68" s="684"/>
      <c r="RQS68" s="684"/>
      <c r="RQT68" s="684"/>
      <c r="RQU68" s="684"/>
      <c r="RQV68" s="684"/>
      <c r="RQW68" s="684"/>
      <c r="RQX68" s="684"/>
      <c r="RQY68" s="684"/>
      <c r="RQZ68" s="684"/>
      <c r="RRA68" s="684"/>
      <c r="RRB68" s="684"/>
      <c r="RRC68" s="684"/>
      <c r="RRD68" s="684"/>
      <c r="RRE68" s="684"/>
      <c r="RRF68" s="684"/>
      <c r="RRG68" s="684"/>
      <c r="RRH68" s="684"/>
      <c r="RRI68" s="684"/>
      <c r="RRJ68" s="684"/>
      <c r="RRK68" s="684"/>
      <c r="RRL68" s="684"/>
      <c r="RRM68" s="684"/>
      <c r="RRN68" s="684"/>
      <c r="RRO68" s="684"/>
      <c r="RRP68" s="684"/>
      <c r="RRQ68" s="684"/>
      <c r="RRR68" s="684"/>
      <c r="RRS68" s="684"/>
      <c r="RRT68" s="684"/>
      <c r="RRU68" s="684"/>
      <c r="RRV68" s="684"/>
      <c r="RRW68" s="684"/>
      <c r="RRX68" s="684"/>
      <c r="RRY68" s="684"/>
      <c r="RRZ68" s="684"/>
      <c r="RSA68" s="684"/>
      <c r="RSB68" s="684"/>
      <c r="RSC68" s="684"/>
      <c r="RSD68" s="684"/>
      <c r="RSE68" s="684"/>
      <c r="RSF68" s="684"/>
      <c r="RSG68" s="684"/>
      <c r="RSH68" s="684"/>
      <c r="RSI68" s="684"/>
      <c r="RSJ68" s="684"/>
      <c r="RSK68" s="684"/>
      <c r="RSL68" s="684"/>
      <c r="RSM68" s="684"/>
      <c r="RSN68" s="684"/>
      <c r="RSO68" s="684"/>
      <c r="RSP68" s="684"/>
      <c r="RSQ68" s="684"/>
      <c r="RSR68" s="684"/>
      <c r="RSS68" s="684"/>
      <c r="RST68" s="684"/>
      <c r="RSU68" s="684"/>
      <c r="RSV68" s="684"/>
      <c r="RSW68" s="684"/>
      <c r="RSX68" s="684"/>
      <c r="RSY68" s="684"/>
      <c r="RSZ68" s="684"/>
      <c r="RTA68" s="684"/>
      <c r="RTB68" s="684"/>
      <c r="RTC68" s="684"/>
      <c r="RTD68" s="684"/>
      <c r="RTE68" s="684"/>
      <c r="RTF68" s="684"/>
      <c r="RTG68" s="684"/>
      <c r="RTH68" s="684"/>
      <c r="RTI68" s="684"/>
      <c r="RTJ68" s="684"/>
      <c r="RTK68" s="684"/>
      <c r="RTL68" s="684"/>
      <c r="RTM68" s="684"/>
      <c r="RTN68" s="684"/>
      <c r="RTO68" s="684"/>
      <c r="RTP68" s="684"/>
      <c r="RTQ68" s="684"/>
      <c r="RTR68" s="684"/>
      <c r="RTS68" s="684"/>
      <c r="RTT68" s="684"/>
      <c r="RTU68" s="684"/>
      <c r="RTV68" s="684"/>
      <c r="RTW68" s="684"/>
      <c r="RTX68" s="684"/>
      <c r="RTY68" s="684"/>
      <c r="RTZ68" s="684"/>
      <c r="RUA68" s="684"/>
      <c r="RUB68" s="684"/>
      <c r="RUC68" s="684"/>
      <c r="RUD68" s="684"/>
      <c r="RUE68" s="684"/>
      <c r="RUF68" s="684"/>
      <c r="RUG68" s="684"/>
      <c r="RUH68" s="684"/>
      <c r="RUI68" s="684"/>
      <c r="RUJ68" s="684"/>
      <c r="RUK68" s="684"/>
      <c r="RUL68" s="684"/>
      <c r="RUM68" s="684"/>
      <c r="RUN68" s="684"/>
      <c r="RUO68" s="684"/>
      <c r="RUP68" s="684"/>
      <c r="RUQ68" s="684"/>
      <c r="RUR68" s="684"/>
      <c r="RUS68" s="684"/>
      <c r="RUT68" s="684"/>
      <c r="RUU68" s="684"/>
      <c r="RUV68" s="684"/>
      <c r="RUW68" s="684"/>
      <c r="RUX68" s="684"/>
      <c r="RUY68" s="684"/>
      <c r="RUZ68" s="684"/>
      <c r="RVA68" s="684"/>
      <c r="RVB68" s="684"/>
      <c r="RVC68" s="684"/>
      <c r="RVD68" s="684"/>
      <c r="RVE68" s="684"/>
      <c r="RVF68" s="684"/>
      <c r="RVG68" s="684"/>
      <c r="RVH68" s="684"/>
      <c r="RVI68" s="684"/>
      <c r="RVJ68" s="684"/>
      <c r="RVK68" s="684"/>
      <c r="RVL68" s="684"/>
      <c r="RVM68" s="684"/>
      <c r="RVN68" s="684"/>
      <c r="RVO68" s="684"/>
      <c r="RVP68" s="684"/>
      <c r="RVQ68" s="684"/>
      <c r="RVR68" s="684"/>
      <c r="RVS68" s="684"/>
      <c r="RVT68" s="684"/>
      <c r="RVU68" s="684"/>
      <c r="RVV68" s="684"/>
      <c r="RVW68" s="684"/>
      <c r="RVX68" s="684"/>
      <c r="RVY68" s="684"/>
      <c r="RVZ68" s="684"/>
      <c r="RWA68" s="684"/>
      <c r="RWB68" s="684"/>
      <c r="RWC68" s="684"/>
      <c r="RWD68" s="684"/>
      <c r="RWE68" s="684"/>
      <c r="RWF68" s="684"/>
      <c r="RWG68" s="684"/>
      <c r="RWH68" s="684"/>
      <c r="RWI68" s="684"/>
      <c r="RWJ68" s="684"/>
      <c r="RWK68" s="684"/>
      <c r="RWL68" s="684"/>
      <c r="RWM68" s="684"/>
      <c r="RWN68" s="684"/>
      <c r="RWO68" s="684"/>
      <c r="RWP68" s="684"/>
      <c r="RWQ68" s="684"/>
      <c r="RWR68" s="684"/>
      <c r="RWS68" s="684"/>
      <c r="RWT68" s="684"/>
      <c r="RWU68" s="684"/>
      <c r="RWV68" s="684"/>
      <c r="RWW68" s="684"/>
      <c r="RWX68" s="684"/>
      <c r="RWY68" s="684"/>
      <c r="RWZ68" s="684"/>
      <c r="RXA68" s="684"/>
      <c r="RXB68" s="684"/>
      <c r="RXC68" s="684"/>
      <c r="RXD68" s="684"/>
      <c r="RXE68" s="684"/>
      <c r="RXF68" s="684"/>
      <c r="RXG68" s="684"/>
      <c r="RXH68" s="684"/>
      <c r="RXI68" s="684"/>
      <c r="RXJ68" s="684"/>
      <c r="RXK68" s="684"/>
      <c r="RXL68" s="684"/>
      <c r="RXM68" s="684"/>
      <c r="RXN68" s="684"/>
      <c r="RXO68" s="684"/>
      <c r="RXP68" s="684"/>
      <c r="RXQ68" s="684"/>
      <c r="RXR68" s="684"/>
      <c r="RXS68" s="684"/>
      <c r="RXT68" s="684"/>
      <c r="RXU68" s="684"/>
      <c r="RXV68" s="684"/>
      <c r="RXW68" s="684"/>
      <c r="RXX68" s="684"/>
      <c r="RXY68" s="684"/>
      <c r="RXZ68" s="684"/>
      <c r="RYA68" s="684"/>
      <c r="RYB68" s="684"/>
      <c r="RYC68" s="684"/>
      <c r="RYD68" s="684"/>
      <c r="RYE68" s="684"/>
      <c r="RYF68" s="684"/>
      <c r="RYG68" s="684"/>
      <c r="RYH68" s="684"/>
      <c r="RYI68" s="684"/>
      <c r="RYJ68" s="684"/>
      <c r="RYK68" s="684"/>
      <c r="RYL68" s="684"/>
      <c r="RYM68" s="684"/>
      <c r="RYN68" s="684"/>
      <c r="RYO68" s="684"/>
      <c r="RYP68" s="684"/>
      <c r="RYQ68" s="684"/>
      <c r="RYR68" s="684"/>
      <c r="RYS68" s="684"/>
      <c r="RYT68" s="684"/>
      <c r="RYU68" s="684"/>
      <c r="RYV68" s="684"/>
      <c r="RYW68" s="684"/>
      <c r="RYX68" s="684"/>
      <c r="RYY68" s="684"/>
      <c r="RYZ68" s="684"/>
      <c r="RZA68" s="684"/>
      <c r="RZB68" s="684"/>
      <c r="RZC68" s="684"/>
      <c r="RZD68" s="684"/>
      <c r="RZE68" s="684"/>
      <c r="RZF68" s="684"/>
      <c r="RZG68" s="684"/>
      <c r="RZH68" s="684"/>
      <c r="RZI68" s="684"/>
      <c r="RZJ68" s="684"/>
      <c r="RZK68" s="684"/>
      <c r="RZL68" s="684"/>
      <c r="RZM68" s="684"/>
      <c r="RZN68" s="684"/>
      <c r="RZO68" s="684"/>
      <c r="RZP68" s="684"/>
      <c r="RZQ68" s="684"/>
      <c r="RZR68" s="684"/>
      <c r="RZS68" s="684"/>
      <c r="RZT68" s="684"/>
      <c r="RZU68" s="684"/>
      <c r="RZV68" s="684"/>
      <c r="RZW68" s="684"/>
      <c r="RZX68" s="684"/>
      <c r="RZY68" s="684"/>
      <c r="RZZ68" s="684"/>
      <c r="SAA68" s="684"/>
      <c r="SAB68" s="684"/>
      <c r="SAC68" s="684"/>
      <c r="SAD68" s="684"/>
      <c r="SAE68" s="684"/>
      <c r="SAF68" s="684"/>
      <c r="SAG68" s="684"/>
      <c r="SAH68" s="684"/>
      <c r="SAI68" s="684"/>
      <c r="SAJ68" s="684"/>
      <c r="SAK68" s="684"/>
      <c r="SAL68" s="684"/>
      <c r="SAM68" s="684"/>
      <c r="SAN68" s="684"/>
      <c r="SAO68" s="684"/>
      <c r="SAP68" s="684"/>
      <c r="SAQ68" s="684"/>
      <c r="SAR68" s="684"/>
      <c r="SAS68" s="684"/>
      <c r="SAT68" s="684"/>
      <c r="SAU68" s="684"/>
      <c r="SAV68" s="684"/>
      <c r="SAW68" s="684"/>
      <c r="SAX68" s="684"/>
      <c r="SAY68" s="684"/>
      <c r="SAZ68" s="684"/>
      <c r="SBA68" s="684"/>
      <c r="SBB68" s="684"/>
      <c r="SBC68" s="684"/>
      <c r="SBD68" s="684"/>
      <c r="SBE68" s="684"/>
      <c r="SBF68" s="684"/>
      <c r="SBG68" s="684"/>
      <c r="SBH68" s="684"/>
      <c r="SBI68" s="684"/>
      <c r="SBJ68" s="684"/>
      <c r="SBK68" s="684"/>
      <c r="SBL68" s="684"/>
      <c r="SBM68" s="684"/>
      <c r="SBN68" s="684"/>
      <c r="SBO68" s="684"/>
      <c r="SBP68" s="684"/>
      <c r="SBQ68" s="684"/>
      <c r="SBR68" s="684"/>
      <c r="SBS68" s="684"/>
      <c r="SBT68" s="684"/>
      <c r="SBU68" s="684"/>
      <c r="SBV68" s="684"/>
      <c r="SBW68" s="684"/>
      <c r="SBX68" s="684"/>
      <c r="SBY68" s="684"/>
      <c r="SBZ68" s="684"/>
      <c r="SCA68" s="684"/>
      <c r="SCB68" s="684"/>
      <c r="SCC68" s="684"/>
      <c r="SCD68" s="684"/>
      <c r="SCE68" s="684"/>
      <c r="SCF68" s="684"/>
      <c r="SCG68" s="684"/>
      <c r="SCH68" s="684"/>
      <c r="SCI68" s="684"/>
      <c r="SCJ68" s="684"/>
      <c r="SCK68" s="684"/>
      <c r="SCL68" s="684"/>
      <c r="SCM68" s="684"/>
      <c r="SCN68" s="684"/>
      <c r="SCO68" s="684"/>
      <c r="SCP68" s="684"/>
      <c r="SCQ68" s="684"/>
      <c r="SCR68" s="684"/>
      <c r="SCS68" s="684"/>
      <c r="SCT68" s="684"/>
      <c r="SCU68" s="684"/>
      <c r="SCV68" s="684"/>
      <c r="SCW68" s="684"/>
      <c r="SCX68" s="684"/>
      <c r="SCY68" s="684"/>
      <c r="SCZ68" s="684"/>
      <c r="SDA68" s="684"/>
      <c r="SDB68" s="684"/>
      <c r="SDC68" s="684"/>
      <c r="SDD68" s="684"/>
      <c r="SDE68" s="684"/>
      <c r="SDF68" s="684"/>
      <c r="SDG68" s="684"/>
      <c r="SDH68" s="684"/>
      <c r="SDI68" s="684"/>
      <c r="SDJ68" s="684"/>
      <c r="SDK68" s="684"/>
      <c r="SDL68" s="684"/>
      <c r="SDM68" s="684"/>
      <c r="SDN68" s="684"/>
      <c r="SDO68" s="684"/>
      <c r="SDP68" s="684"/>
      <c r="SDQ68" s="684"/>
      <c r="SDR68" s="684"/>
      <c r="SDS68" s="684"/>
      <c r="SDT68" s="684"/>
      <c r="SDU68" s="684"/>
      <c r="SDV68" s="684"/>
      <c r="SDW68" s="684"/>
      <c r="SDX68" s="684"/>
      <c r="SDY68" s="684"/>
      <c r="SDZ68" s="684"/>
      <c r="SEA68" s="684"/>
      <c r="SEB68" s="684"/>
      <c r="SEC68" s="684"/>
      <c r="SED68" s="684"/>
      <c r="SEE68" s="684"/>
      <c r="SEF68" s="684"/>
      <c r="SEG68" s="684"/>
      <c r="SEH68" s="684"/>
      <c r="SEI68" s="684"/>
      <c r="SEJ68" s="684"/>
      <c r="SEK68" s="684"/>
      <c r="SEL68" s="684"/>
      <c r="SEM68" s="684"/>
      <c r="SEN68" s="684"/>
      <c r="SEO68" s="684"/>
      <c r="SEP68" s="684"/>
      <c r="SEQ68" s="684"/>
      <c r="SER68" s="684"/>
      <c r="SES68" s="684"/>
      <c r="SET68" s="684"/>
      <c r="SEU68" s="684"/>
      <c r="SEV68" s="684"/>
      <c r="SEW68" s="684"/>
      <c r="SEX68" s="684"/>
      <c r="SEY68" s="684"/>
      <c r="SEZ68" s="684"/>
      <c r="SFA68" s="684"/>
      <c r="SFB68" s="684"/>
      <c r="SFC68" s="684"/>
      <c r="SFD68" s="684"/>
      <c r="SFE68" s="684"/>
      <c r="SFF68" s="684"/>
      <c r="SFG68" s="684"/>
      <c r="SFH68" s="684"/>
      <c r="SFI68" s="684"/>
      <c r="SFJ68" s="684"/>
      <c r="SFK68" s="684"/>
      <c r="SFL68" s="684"/>
      <c r="SFM68" s="684"/>
      <c r="SFN68" s="684"/>
      <c r="SFO68" s="684"/>
      <c r="SFP68" s="684"/>
      <c r="SFQ68" s="684"/>
      <c r="SFR68" s="684"/>
      <c r="SFS68" s="684"/>
      <c r="SFT68" s="684"/>
      <c r="SFU68" s="684"/>
      <c r="SFV68" s="684"/>
      <c r="SFW68" s="684"/>
      <c r="SFX68" s="684"/>
      <c r="SFY68" s="684"/>
      <c r="SFZ68" s="684"/>
      <c r="SGA68" s="684"/>
      <c r="SGB68" s="684"/>
      <c r="SGC68" s="684"/>
      <c r="SGD68" s="684"/>
      <c r="SGE68" s="684"/>
      <c r="SGF68" s="684"/>
      <c r="SGG68" s="684"/>
      <c r="SGH68" s="684"/>
      <c r="SGI68" s="684"/>
      <c r="SGJ68" s="684"/>
      <c r="SGK68" s="684"/>
      <c r="SGL68" s="684"/>
      <c r="SGM68" s="684"/>
      <c r="SGN68" s="684"/>
      <c r="SGO68" s="684"/>
      <c r="SGP68" s="684"/>
      <c r="SGQ68" s="684"/>
      <c r="SGR68" s="684"/>
      <c r="SGS68" s="684"/>
      <c r="SGT68" s="684"/>
      <c r="SGU68" s="684"/>
      <c r="SGV68" s="684"/>
      <c r="SGW68" s="684"/>
      <c r="SGX68" s="684"/>
      <c r="SGY68" s="684"/>
      <c r="SGZ68" s="684"/>
      <c r="SHA68" s="684"/>
      <c r="SHB68" s="684"/>
      <c r="SHC68" s="684"/>
      <c r="SHD68" s="684"/>
      <c r="SHE68" s="684"/>
      <c r="SHF68" s="684"/>
      <c r="SHG68" s="684"/>
      <c r="SHH68" s="684"/>
      <c r="SHI68" s="684"/>
      <c r="SHJ68" s="684"/>
      <c r="SHK68" s="684"/>
      <c r="SHL68" s="684"/>
      <c r="SHM68" s="684"/>
      <c r="SHN68" s="684"/>
      <c r="SHO68" s="684"/>
      <c r="SHP68" s="684"/>
      <c r="SHQ68" s="684"/>
      <c r="SHR68" s="684"/>
      <c r="SHS68" s="684"/>
      <c r="SHT68" s="684"/>
      <c r="SHU68" s="684"/>
      <c r="SHV68" s="684"/>
      <c r="SHW68" s="684"/>
      <c r="SHX68" s="684"/>
      <c r="SHY68" s="684"/>
      <c r="SHZ68" s="684"/>
      <c r="SIA68" s="684"/>
      <c r="SIB68" s="684"/>
      <c r="SIC68" s="684"/>
      <c r="SID68" s="684"/>
      <c r="SIE68" s="684"/>
      <c r="SIF68" s="684"/>
      <c r="SIG68" s="684"/>
      <c r="SIH68" s="684"/>
      <c r="SII68" s="684"/>
      <c r="SIJ68" s="684"/>
      <c r="SIK68" s="684"/>
      <c r="SIL68" s="684"/>
      <c r="SIM68" s="684"/>
      <c r="SIN68" s="684"/>
      <c r="SIO68" s="684"/>
      <c r="SIP68" s="684"/>
      <c r="SIQ68" s="684"/>
      <c r="SIR68" s="684"/>
      <c r="SIS68" s="684"/>
      <c r="SIT68" s="684"/>
      <c r="SIU68" s="684"/>
      <c r="SIV68" s="684"/>
      <c r="SIW68" s="684"/>
      <c r="SIX68" s="684"/>
      <c r="SIY68" s="684"/>
      <c r="SIZ68" s="684"/>
      <c r="SJA68" s="684"/>
      <c r="SJB68" s="684"/>
      <c r="SJC68" s="684"/>
      <c r="SJD68" s="684"/>
      <c r="SJE68" s="684"/>
      <c r="SJF68" s="684"/>
      <c r="SJG68" s="684"/>
      <c r="SJH68" s="684"/>
      <c r="SJI68" s="684"/>
      <c r="SJJ68" s="684"/>
      <c r="SJK68" s="684"/>
      <c r="SJL68" s="684"/>
      <c r="SJM68" s="684"/>
      <c r="SJN68" s="684"/>
      <c r="SJO68" s="684"/>
      <c r="SJP68" s="684"/>
      <c r="SJQ68" s="684"/>
      <c r="SJR68" s="684"/>
      <c r="SJS68" s="684"/>
      <c r="SJT68" s="684"/>
      <c r="SJU68" s="684"/>
      <c r="SJV68" s="684"/>
      <c r="SJW68" s="684"/>
      <c r="SJX68" s="684"/>
      <c r="SJY68" s="684"/>
      <c r="SJZ68" s="684"/>
      <c r="SKA68" s="684"/>
      <c r="SKB68" s="684"/>
      <c r="SKC68" s="684"/>
      <c r="SKD68" s="684"/>
      <c r="SKE68" s="684"/>
      <c r="SKF68" s="684"/>
      <c r="SKG68" s="684"/>
      <c r="SKH68" s="684"/>
      <c r="SKI68" s="684"/>
      <c r="SKJ68" s="684"/>
      <c r="SKK68" s="684"/>
      <c r="SKL68" s="684"/>
      <c r="SKM68" s="684"/>
      <c r="SKN68" s="684"/>
      <c r="SKO68" s="684"/>
      <c r="SKP68" s="684"/>
      <c r="SKQ68" s="684"/>
      <c r="SKR68" s="684"/>
      <c r="SKS68" s="684"/>
      <c r="SKT68" s="684"/>
      <c r="SKU68" s="684"/>
      <c r="SKV68" s="684"/>
      <c r="SKW68" s="684"/>
      <c r="SKX68" s="684"/>
      <c r="SKY68" s="684"/>
      <c r="SKZ68" s="684"/>
      <c r="SLA68" s="684"/>
      <c r="SLB68" s="684"/>
      <c r="SLC68" s="684"/>
      <c r="SLD68" s="684"/>
      <c r="SLE68" s="684"/>
      <c r="SLF68" s="684"/>
      <c r="SLG68" s="684"/>
      <c r="SLH68" s="684"/>
      <c r="SLI68" s="684"/>
      <c r="SLJ68" s="684"/>
      <c r="SLK68" s="684"/>
      <c r="SLL68" s="684"/>
      <c r="SLM68" s="684"/>
      <c r="SLN68" s="684"/>
      <c r="SLO68" s="684"/>
      <c r="SLP68" s="684"/>
      <c r="SLQ68" s="684"/>
      <c r="SLR68" s="684"/>
      <c r="SLS68" s="684"/>
      <c r="SLT68" s="684"/>
      <c r="SLU68" s="684"/>
      <c r="SLV68" s="684"/>
      <c r="SLW68" s="684"/>
      <c r="SLX68" s="684"/>
      <c r="SLY68" s="684"/>
      <c r="SLZ68" s="684"/>
      <c r="SMA68" s="684"/>
      <c r="SMB68" s="684"/>
      <c r="SMC68" s="684"/>
      <c r="SMD68" s="684"/>
      <c r="SME68" s="684"/>
      <c r="SMF68" s="684"/>
      <c r="SMG68" s="684"/>
      <c r="SMH68" s="684"/>
      <c r="SMI68" s="684"/>
      <c r="SMJ68" s="684"/>
      <c r="SMK68" s="684"/>
      <c r="SML68" s="684"/>
      <c r="SMM68" s="684"/>
      <c r="SMN68" s="684"/>
      <c r="SMO68" s="684"/>
      <c r="SMP68" s="684"/>
      <c r="SMQ68" s="684"/>
      <c r="SMR68" s="684"/>
      <c r="SMS68" s="684"/>
      <c r="SMT68" s="684"/>
      <c r="SMU68" s="684"/>
      <c r="SMV68" s="684"/>
      <c r="SMW68" s="684"/>
      <c r="SMX68" s="684"/>
      <c r="SMY68" s="684"/>
      <c r="SMZ68" s="684"/>
      <c r="SNA68" s="684"/>
      <c r="SNB68" s="684"/>
      <c r="SNC68" s="684"/>
      <c r="SND68" s="684"/>
      <c r="SNE68" s="684"/>
      <c r="SNF68" s="684"/>
      <c r="SNG68" s="684"/>
      <c r="SNH68" s="684"/>
      <c r="SNI68" s="684"/>
      <c r="SNJ68" s="684"/>
      <c r="SNK68" s="684"/>
      <c r="SNL68" s="684"/>
      <c r="SNM68" s="684"/>
      <c r="SNN68" s="684"/>
      <c r="SNO68" s="684"/>
      <c r="SNP68" s="684"/>
      <c r="SNQ68" s="684"/>
      <c r="SNR68" s="684"/>
      <c r="SNS68" s="684"/>
      <c r="SNT68" s="684"/>
      <c r="SNU68" s="684"/>
      <c r="SNV68" s="684"/>
      <c r="SNW68" s="684"/>
      <c r="SNX68" s="684"/>
      <c r="SNY68" s="684"/>
      <c r="SNZ68" s="684"/>
      <c r="SOA68" s="684"/>
      <c r="SOB68" s="684"/>
      <c r="SOC68" s="684"/>
      <c r="SOD68" s="684"/>
      <c r="SOE68" s="684"/>
      <c r="SOF68" s="684"/>
      <c r="SOG68" s="684"/>
      <c r="SOH68" s="684"/>
      <c r="SOI68" s="684"/>
      <c r="SOJ68" s="684"/>
      <c r="SOK68" s="684"/>
      <c r="SOL68" s="684"/>
      <c r="SOM68" s="684"/>
      <c r="SON68" s="684"/>
      <c r="SOO68" s="684"/>
      <c r="SOP68" s="684"/>
      <c r="SOQ68" s="684"/>
      <c r="SOR68" s="684"/>
      <c r="SOS68" s="684"/>
      <c r="SOT68" s="684"/>
      <c r="SOU68" s="684"/>
      <c r="SOV68" s="684"/>
      <c r="SOW68" s="684"/>
      <c r="SOX68" s="684"/>
      <c r="SOY68" s="684"/>
      <c r="SOZ68" s="684"/>
      <c r="SPA68" s="684"/>
      <c r="SPB68" s="684"/>
      <c r="SPC68" s="684"/>
      <c r="SPD68" s="684"/>
      <c r="SPE68" s="684"/>
      <c r="SPF68" s="684"/>
      <c r="SPG68" s="684"/>
      <c r="SPH68" s="684"/>
      <c r="SPI68" s="684"/>
      <c r="SPJ68" s="684"/>
      <c r="SPK68" s="684"/>
      <c r="SPL68" s="684"/>
      <c r="SPM68" s="684"/>
      <c r="SPN68" s="684"/>
      <c r="SPO68" s="684"/>
      <c r="SPP68" s="684"/>
      <c r="SPQ68" s="684"/>
      <c r="SPR68" s="684"/>
      <c r="SPS68" s="684"/>
      <c r="SPT68" s="684"/>
      <c r="SPU68" s="684"/>
      <c r="SPV68" s="684"/>
      <c r="SPW68" s="684"/>
      <c r="SPX68" s="684"/>
      <c r="SPY68" s="684"/>
      <c r="SPZ68" s="684"/>
      <c r="SQA68" s="684"/>
      <c r="SQB68" s="684"/>
      <c r="SQC68" s="684"/>
      <c r="SQD68" s="684"/>
      <c r="SQE68" s="684"/>
      <c r="SQF68" s="684"/>
      <c r="SQG68" s="684"/>
      <c r="SQH68" s="684"/>
      <c r="SQI68" s="684"/>
      <c r="SQJ68" s="684"/>
      <c r="SQK68" s="684"/>
      <c r="SQL68" s="684"/>
      <c r="SQM68" s="684"/>
      <c r="SQN68" s="684"/>
      <c r="SQO68" s="684"/>
      <c r="SQP68" s="684"/>
      <c r="SQQ68" s="684"/>
      <c r="SQR68" s="684"/>
      <c r="SQS68" s="684"/>
      <c r="SQT68" s="684"/>
      <c r="SQU68" s="684"/>
      <c r="SQV68" s="684"/>
      <c r="SQW68" s="684"/>
      <c r="SQX68" s="684"/>
      <c r="SQY68" s="684"/>
      <c r="SQZ68" s="684"/>
      <c r="SRA68" s="684"/>
      <c r="SRB68" s="684"/>
      <c r="SRC68" s="684"/>
      <c r="SRD68" s="684"/>
      <c r="SRE68" s="684"/>
      <c r="SRF68" s="684"/>
      <c r="SRG68" s="684"/>
      <c r="SRH68" s="684"/>
      <c r="SRI68" s="684"/>
      <c r="SRJ68" s="684"/>
      <c r="SRK68" s="684"/>
      <c r="SRL68" s="684"/>
      <c r="SRM68" s="684"/>
      <c r="SRN68" s="684"/>
      <c r="SRO68" s="684"/>
      <c r="SRP68" s="684"/>
      <c r="SRQ68" s="684"/>
      <c r="SRR68" s="684"/>
      <c r="SRS68" s="684"/>
      <c r="SRT68" s="684"/>
      <c r="SRU68" s="684"/>
      <c r="SRV68" s="684"/>
      <c r="SRW68" s="684"/>
      <c r="SRX68" s="684"/>
      <c r="SRY68" s="684"/>
      <c r="SRZ68" s="684"/>
      <c r="SSA68" s="684"/>
      <c r="SSB68" s="684"/>
      <c r="SSC68" s="684"/>
      <c r="SSD68" s="684"/>
      <c r="SSE68" s="684"/>
      <c r="SSF68" s="684"/>
      <c r="SSG68" s="684"/>
      <c r="SSH68" s="684"/>
      <c r="SSI68" s="684"/>
      <c r="SSJ68" s="684"/>
      <c r="SSK68" s="684"/>
      <c r="SSL68" s="684"/>
      <c r="SSM68" s="684"/>
      <c r="SSN68" s="684"/>
      <c r="SSO68" s="684"/>
      <c r="SSP68" s="684"/>
      <c r="SSQ68" s="684"/>
      <c r="SSR68" s="684"/>
      <c r="SSS68" s="684"/>
      <c r="SST68" s="684"/>
      <c r="SSU68" s="684"/>
      <c r="SSV68" s="684"/>
      <c r="SSW68" s="684"/>
      <c r="SSX68" s="684"/>
      <c r="SSY68" s="684"/>
      <c r="SSZ68" s="684"/>
      <c r="STA68" s="684"/>
      <c r="STB68" s="684"/>
      <c r="STC68" s="684"/>
      <c r="STD68" s="684"/>
      <c r="STE68" s="684"/>
      <c r="STF68" s="684"/>
      <c r="STG68" s="684"/>
      <c r="STH68" s="684"/>
      <c r="STI68" s="684"/>
      <c r="STJ68" s="684"/>
      <c r="STK68" s="684"/>
      <c r="STL68" s="684"/>
      <c r="STM68" s="684"/>
      <c r="STN68" s="684"/>
      <c r="STO68" s="684"/>
      <c r="STP68" s="684"/>
      <c r="STQ68" s="684"/>
      <c r="STR68" s="684"/>
      <c r="STS68" s="684"/>
      <c r="STT68" s="684"/>
      <c r="STU68" s="684"/>
      <c r="STV68" s="684"/>
      <c r="STW68" s="684"/>
      <c r="STX68" s="684"/>
      <c r="STY68" s="684"/>
      <c r="STZ68" s="684"/>
      <c r="SUA68" s="684"/>
      <c r="SUB68" s="684"/>
      <c r="SUC68" s="684"/>
      <c r="SUD68" s="684"/>
      <c r="SUE68" s="684"/>
      <c r="SUF68" s="684"/>
      <c r="SUG68" s="684"/>
      <c r="SUH68" s="684"/>
      <c r="SUI68" s="684"/>
      <c r="SUJ68" s="684"/>
      <c r="SUK68" s="684"/>
      <c r="SUL68" s="684"/>
      <c r="SUM68" s="684"/>
      <c r="SUN68" s="684"/>
      <c r="SUO68" s="684"/>
      <c r="SUP68" s="684"/>
      <c r="SUQ68" s="684"/>
      <c r="SUR68" s="684"/>
      <c r="SUS68" s="684"/>
      <c r="SUT68" s="684"/>
      <c r="SUU68" s="684"/>
      <c r="SUV68" s="684"/>
      <c r="SUW68" s="684"/>
      <c r="SUX68" s="684"/>
      <c r="SUY68" s="684"/>
      <c r="SUZ68" s="684"/>
      <c r="SVA68" s="684"/>
      <c r="SVB68" s="684"/>
      <c r="SVC68" s="684"/>
      <c r="SVD68" s="684"/>
      <c r="SVE68" s="684"/>
      <c r="SVF68" s="684"/>
      <c r="SVG68" s="684"/>
      <c r="SVH68" s="684"/>
      <c r="SVI68" s="684"/>
      <c r="SVJ68" s="684"/>
      <c r="SVK68" s="684"/>
      <c r="SVL68" s="684"/>
      <c r="SVM68" s="684"/>
      <c r="SVN68" s="684"/>
      <c r="SVO68" s="684"/>
      <c r="SVP68" s="684"/>
      <c r="SVQ68" s="684"/>
      <c r="SVR68" s="684"/>
      <c r="SVS68" s="684"/>
      <c r="SVT68" s="684"/>
      <c r="SVU68" s="684"/>
      <c r="SVV68" s="684"/>
      <c r="SVW68" s="684"/>
      <c r="SVX68" s="684"/>
      <c r="SVY68" s="684"/>
      <c r="SVZ68" s="684"/>
      <c r="SWA68" s="684"/>
      <c r="SWB68" s="684"/>
      <c r="SWC68" s="684"/>
      <c r="SWD68" s="684"/>
      <c r="SWE68" s="684"/>
      <c r="SWF68" s="684"/>
      <c r="SWG68" s="684"/>
      <c r="SWH68" s="684"/>
      <c r="SWI68" s="684"/>
      <c r="SWJ68" s="684"/>
      <c r="SWK68" s="684"/>
      <c r="SWL68" s="684"/>
      <c r="SWM68" s="684"/>
      <c r="SWN68" s="684"/>
      <c r="SWO68" s="684"/>
      <c r="SWP68" s="684"/>
      <c r="SWQ68" s="684"/>
      <c r="SWR68" s="684"/>
      <c r="SWS68" s="684"/>
      <c r="SWT68" s="684"/>
      <c r="SWU68" s="684"/>
      <c r="SWV68" s="684"/>
      <c r="SWW68" s="684"/>
      <c r="SWX68" s="684"/>
      <c r="SWY68" s="684"/>
      <c r="SWZ68" s="684"/>
      <c r="SXA68" s="684"/>
      <c r="SXB68" s="684"/>
      <c r="SXC68" s="684"/>
      <c r="SXD68" s="684"/>
      <c r="SXE68" s="684"/>
      <c r="SXF68" s="684"/>
      <c r="SXG68" s="684"/>
      <c r="SXH68" s="684"/>
      <c r="SXI68" s="684"/>
      <c r="SXJ68" s="684"/>
      <c r="SXK68" s="684"/>
      <c r="SXL68" s="684"/>
      <c r="SXM68" s="684"/>
      <c r="SXN68" s="684"/>
      <c r="SXO68" s="684"/>
      <c r="SXP68" s="684"/>
      <c r="SXQ68" s="684"/>
      <c r="SXR68" s="684"/>
      <c r="SXS68" s="684"/>
      <c r="SXT68" s="684"/>
      <c r="SXU68" s="684"/>
      <c r="SXV68" s="684"/>
      <c r="SXW68" s="684"/>
      <c r="SXX68" s="684"/>
      <c r="SXY68" s="684"/>
      <c r="SXZ68" s="684"/>
      <c r="SYA68" s="684"/>
      <c r="SYB68" s="684"/>
      <c r="SYC68" s="684"/>
      <c r="SYD68" s="684"/>
      <c r="SYE68" s="684"/>
      <c r="SYF68" s="684"/>
      <c r="SYG68" s="684"/>
      <c r="SYH68" s="684"/>
      <c r="SYI68" s="684"/>
      <c r="SYJ68" s="684"/>
      <c r="SYK68" s="684"/>
      <c r="SYL68" s="684"/>
      <c r="SYM68" s="684"/>
      <c r="SYN68" s="684"/>
      <c r="SYO68" s="684"/>
      <c r="SYP68" s="684"/>
      <c r="SYQ68" s="684"/>
      <c r="SYR68" s="684"/>
      <c r="SYS68" s="684"/>
      <c r="SYT68" s="684"/>
      <c r="SYU68" s="684"/>
      <c r="SYV68" s="684"/>
      <c r="SYW68" s="684"/>
      <c r="SYX68" s="684"/>
      <c r="SYY68" s="684"/>
      <c r="SYZ68" s="684"/>
      <c r="SZA68" s="684"/>
      <c r="SZB68" s="684"/>
      <c r="SZC68" s="684"/>
      <c r="SZD68" s="684"/>
      <c r="SZE68" s="684"/>
      <c r="SZF68" s="684"/>
      <c r="SZG68" s="684"/>
      <c r="SZH68" s="684"/>
      <c r="SZI68" s="684"/>
      <c r="SZJ68" s="684"/>
      <c r="SZK68" s="684"/>
      <c r="SZL68" s="684"/>
      <c r="SZM68" s="684"/>
      <c r="SZN68" s="684"/>
      <c r="SZO68" s="684"/>
      <c r="SZP68" s="684"/>
      <c r="SZQ68" s="684"/>
      <c r="SZR68" s="684"/>
      <c r="SZS68" s="684"/>
      <c r="SZT68" s="684"/>
      <c r="SZU68" s="684"/>
      <c r="SZV68" s="684"/>
      <c r="SZW68" s="684"/>
      <c r="SZX68" s="684"/>
      <c r="SZY68" s="684"/>
      <c r="SZZ68" s="684"/>
      <c r="TAA68" s="684"/>
      <c r="TAB68" s="684"/>
      <c r="TAC68" s="684"/>
      <c r="TAD68" s="684"/>
      <c r="TAE68" s="684"/>
      <c r="TAF68" s="684"/>
      <c r="TAG68" s="684"/>
      <c r="TAH68" s="684"/>
      <c r="TAI68" s="684"/>
      <c r="TAJ68" s="684"/>
      <c r="TAK68" s="684"/>
      <c r="TAL68" s="684"/>
      <c r="TAM68" s="684"/>
      <c r="TAN68" s="684"/>
      <c r="TAO68" s="684"/>
      <c r="TAP68" s="684"/>
      <c r="TAQ68" s="684"/>
      <c r="TAR68" s="684"/>
      <c r="TAS68" s="684"/>
      <c r="TAT68" s="684"/>
      <c r="TAU68" s="684"/>
      <c r="TAV68" s="684"/>
      <c r="TAW68" s="684"/>
      <c r="TAX68" s="684"/>
      <c r="TAY68" s="684"/>
      <c r="TAZ68" s="684"/>
      <c r="TBA68" s="684"/>
      <c r="TBB68" s="684"/>
      <c r="TBC68" s="684"/>
      <c r="TBD68" s="684"/>
      <c r="TBE68" s="684"/>
      <c r="TBF68" s="684"/>
      <c r="TBG68" s="684"/>
      <c r="TBH68" s="684"/>
      <c r="TBI68" s="684"/>
      <c r="TBJ68" s="684"/>
      <c r="TBK68" s="684"/>
      <c r="TBL68" s="684"/>
      <c r="TBM68" s="684"/>
      <c r="TBN68" s="684"/>
      <c r="TBO68" s="684"/>
      <c r="TBP68" s="684"/>
      <c r="TBQ68" s="684"/>
      <c r="TBR68" s="684"/>
      <c r="TBS68" s="684"/>
      <c r="TBT68" s="684"/>
      <c r="TBU68" s="684"/>
      <c r="TBV68" s="684"/>
      <c r="TBW68" s="684"/>
      <c r="TBX68" s="684"/>
      <c r="TBY68" s="684"/>
      <c r="TBZ68" s="684"/>
      <c r="TCA68" s="684"/>
      <c r="TCB68" s="684"/>
      <c r="TCC68" s="684"/>
      <c r="TCD68" s="684"/>
      <c r="TCE68" s="684"/>
      <c r="TCF68" s="684"/>
      <c r="TCG68" s="684"/>
      <c r="TCH68" s="684"/>
      <c r="TCI68" s="684"/>
      <c r="TCJ68" s="684"/>
      <c r="TCK68" s="684"/>
      <c r="TCL68" s="684"/>
      <c r="TCM68" s="684"/>
      <c r="TCN68" s="684"/>
      <c r="TCO68" s="684"/>
      <c r="TCP68" s="684"/>
      <c r="TCQ68" s="684"/>
      <c r="TCR68" s="684"/>
      <c r="TCS68" s="684"/>
      <c r="TCT68" s="684"/>
      <c r="TCU68" s="684"/>
      <c r="TCV68" s="684"/>
      <c r="TCW68" s="684"/>
      <c r="TCX68" s="684"/>
      <c r="TCY68" s="684"/>
      <c r="TCZ68" s="684"/>
      <c r="TDA68" s="684"/>
      <c r="TDB68" s="684"/>
      <c r="TDC68" s="684"/>
      <c r="TDD68" s="684"/>
      <c r="TDE68" s="684"/>
      <c r="TDF68" s="684"/>
      <c r="TDG68" s="684"/>
      <c r="TDH68" s="684"/>
      <c r="TDI68" s="684"/>
      <c r="TDJ68" s="684"/>
      <c r="TDK68" s="684"/>
      <c r="TDL68" s="684"/>
      <c r="TDM68" s="684"/>
      <c r="TDN68" s="684"/>
      <c r="TDO68" s="684"/>
      <c r="TDP68" s="684"/>
      <c r="TDQ68" s="684"/>
      <c r="TDR68" s="684"/>
      <c r="TDS68" s="684"/>
      <c r="TDT68" s="684"/>
      <c r="TDU68" s="684"/>
      <c r="TDV68" s="684"/>
      <c r="TDW68" s="684"/>
      <c r="TDX68" s="684"/>
      <c r="TDY68" s="684"/>
      <c r="TDZ68" s="684"/>
      <c r="TEA68" s="684"/>
      <c r="TEB68" s="684"/>
      <c r="TEC68" s="684"/>
      <c r="TED68" s="684"/>
      <c r="TEE68" s="684"/>
      <c r="TEF68" s="684"/>
      <c r="TEG68" s="684"/>
      <c r="TEH68" s="684"/>
      <c r="TEI68" s="684"/>
      <c r="TEJ68" s="684"/>
      <c r="TEK68" s="684"/>
      <c r="TEL68" s="684"/>
      <c r="TEM68" s="684"/>
      <c r="TEN68" s="684"/>
      <c r="TEO68" s="684"/>
      <c r="TEP68" s="684"/>
      <c r="TEQ68" s="684"/>
      <c r="TER68" s="684"/>
      <c r="TES68" s="684"/>
      <c r="TET68" s="684"/>
      <c r="TEU68" s="684"/>
      <c r="TEV68" s="684"/>
      <c r="TEW68" s="684"/>
      <c r="TEX68" s="684"/>
      <c r="TEY68" s="684"/>
      <c r="TEZ68" s="684"/>
      <c r="TFA68" s="684"/>
      <c r="TFB68" s="684"/>
      <c r="TFC68" s="684"/>
      <c r="TFD68" s="684"/>
      <c r="TFE68" s="684"/>
      <c r="TFF68" s="684"/>
      <c r="TFG68" s="684"/>
      <c r="TFH68" s="684"/>
      <c r="TFI68" s="684"/>
      <c r="TFJ68" s="684"/>
      <c r="TFK68" s="684"/>
      <c r="TFL68" s="684"/>
      <c r="TFM68" s="684"/>
      <c r="TFN68" s="684"/>
      <c r="TFO68" s="684"/>
      <c r="TFP68" s="684"/>
      <c r="TFQ68" s="684"/>
      <c r="TFR68" s="684"/>
      <c r="TFS68" s="684"/>
      <c r="TFT68" s="684"/>
      <c r="TFU68" s="684"/>
      <c r="TFV68" s="684"/>
      <c r="TFW68" s="684"/>
      <c r="TFX68" s="684"/>
      <c r="TFY68" s="684"/>
      <c r="TFZ68" s="684"/>
      <c r="TGA68" s="684"/>
      <c r="TGB68" s="684"/>
      <c r="TGC68" s="684"/>
      <c r="TGD68" s="684"/>
      <c r="TGE68" s="684"/>
      <c r="TGF68" s="684"/>
      <c r="TGG68" s="684"/>
      <c r="TGH68" s="684"/>
      <c r="TGI68" s="684"/>
      <c r="TGJ68" s="684"/>
      <c r="TGK68" s="684"/>
      <c r="TGL68" s="684"/>
      <c r="TGM68" s="684"/>
      <c r="TGN68" s="684"/>
      <c r="TGO68" s="684"/>
      <c r="TGP68" s="684"/>
      <c r="TGQ68" s="684"/>
      <c r="TGR68" s="684"/>
      <c r="TGS68" s="684"/>
      <c r="TGT68" s="684"/>
      <c r="TGU68" s="684"/>
      <c r="TGV68" s="684"/>
      <c r="TGW68" s="684"/>
      <c r="TGX68" s="684"/>
      <c r="TGY68" s="684"/>
      <c r="TGZ68" s="684"/>
      <c r="THA68" s="684"/>
      <c r="THB68" s="684"/>
      <c r="THC68" s="684"/>
      <c r="THD68" s="684"/>
      <c r="THE68" s="684"/>
      <c r="THF68" s="684"/>
      <c r="THG68" s="684"/>
      <c r="THH68" s="684"/>
      <c r="THI68" s="684"/>
      <c r="THJ68" s="684"/>
      <c r="THK68" s="684"/>
      <c r="THL68" s="684"/>
      <c r="THM68" s="684"/>
      <c r="THN68" s="684"/>
      <c r="THO68" s="684"/>
      <c r="THP68" s="684"/>
      <c r="THQ68" s="684"/>
      <c r="THR68" s="684"/>
      <c r="THS68" s="684"/>
      <c r="THT68" s="684"/>
      <c r="THU68" s="684"/>
      <c r="THV68" s="684"/>
      <c r="THW68" s="684"/>
      <c r="THX68" s="684"/>
      <c r="THY68" s="684"/>
      <c r="THZ68" s="684"/>
      <c r="TIA68" s="684"/>
      <c r="TIB68" s="684"/>
      <c r="TIC68" s="684"/>
      <c r="TID68" s="684"/>
      <c r="TIE68" s="684"/>
      <c r="TIF68" s="684"/>
      <c r="TIG68" s="684"/>
      <c r="TIH68" s="684"/>
      <c r="TII68" s="684"/>
      <c r="TIJ68" s="684"/>
      <c r="TIK68" s="684"/>
      <c r="TIL68" s="684"/>
      <c r="TIM68" s="684"/>
      <c r="TIN68" s="684"/>
      <c r="TIO68" s="684"/>
      <c r="TIP68" s="684"/>
      <c r="TIQ68" s="684"/>
      <c r="TIR68" s="684"/>
      <c r="TIS68" s="684"/>
      <c r="TIT68" s="684"/>
      <c r="TIU68" s="684"/>
      <c r="TIV68" s="684"/>
      <c r="TIW68" s="684"/>
      <c r="TIX68" s="684"/>
      <c r="TIY68" s="684"/>
      <c r="TIZ68" s="684"/>
      <c r="TJA68" s="684"/>
      <c r="TJB68" s="684"/>
      <c r="TJC68" s="684"/>
      <c r="TJD68" s="684"/>
      <c r="TJE68" s="684"/>
      <c r="TJF68" s="684"/>
      <c r="TJG68" s="684"/>
      <c r="TJH68" s="684"/>
      <c r="TJI68" s="684"/>
      <c r="TJJ68" s="684"/>
      <c r="TJK68" s="684"/>
      <c r="TJL68" s="684"/>
      <c r="TJM68" s="684"/>
      <c r="TJN68" s="684"/>
      <c r="TJO68" s="684"/>
      <c r="TJP68" s="684"/>
      <c r="TJQ68" s="684"/>
      <c r="TJR68" s="684"/>
      <c r="TJS68" s="684"/>
      <c r="TJT68" s="684"/>
      <c r="TJU68" s="684"/>
      <c r="TJV68" s="684"/>
      <c r="TJW68" s="684"/>
      <c r="TJX68" s="684"/>
      <c r="TJY68" s="684"/>
      <c r="TJZ68" s="684"/>
      <c r="TKA68" s="684"/>
      <c r="TKB68" s="684"/>
      <c r="TKC68" s="684"/>
      <c r="TKD68" s="684"/>
      <c r="TKE68" s="684"/>
      <c r="TKF68" s="684"/>
      <c r="TKG68" s="684"/>
      <c r="TKH68" s="684"/>
      <c r="TKI68" s="684"/>
      <c r="TKJ68" s="684"/>
      <c r="TKK68" s="684"/>
      <c r="TKL68" s="684"/>
      <c r="TKM68" s="684"/>
      <c r="TKN68" s="684"/>
      <c r="TKO68" s="684"/>
      <c r="TKP68" s="684"/>
      <c r="TKQ68" s="684"/>
      <c r="TKR68" s="684"/>
      <c r="TKS68" s="684"/>
      <c r="TKT68" s="684"/>
      <c r="TKU68" s="684"/>
      <c r="TKV68" s="684"/>
      <c r="TKW68" s="684"/>
      <c r="TKX68" s="684"/>
      <c r="TKY68" s="684"/>
      <c r="TKZ68" s="684"/>
      <c r="TLA68" s="684"/>
      <c r="TLB68" s="684"/>
      <c r="TLC68" s="684"/>
      <c r="TLD68" s="684"/>
      <c r="TLE68" s="684"/>
      <c r="TLF68" s="684"/>
      <c r="TLG68" s="684"/>
      <c r="TLH68" s="684"/>
      <c r="TLI68" s="684"/>
      <c r="TLJ68" s="684"/>
      <c r="TLK68" s="684"/>
      <c r="TLL68" s="684"/>
      <c r="TLM68" s="684"/>
      <c r="TLN68" s="684"/>
      <c r="TLO68" s="684"/>
      <c r="TLP68" s="684"/>
      <c r="TLQ68" s="684"/>
      <c r="TLR68" s="684"/>
      <c r="TLS68" s="684"/>
      <c r="TLT68" s="684"/>
      <c r="TLU68" s="684"/>
      <c r="TLV68" s="684"/>
      <c r="TLW68" s="684"/>
      <c r="TLX68" s="684"/>
      <c r="TLY68" s="684"/>
      <c r="TLZ68" s="684"/>
      <c r="TMA68" s="684"/>
      <c r="TMB68" s="684"/>
      <c r="TMC68" s="684"/>
      <c r="TMD68" s="684"/>
      <c r="TME68" s="684"/>
      <c r="TMF68" s="684"/>
      <c r="TMG68" s="684"/>
      <c r="TMH68" s="684"/>
      <c r="TMI68" s="684"/>
      <c r="TMJ68" s="684"/>
      <c r="TMK68" s="684"/>
      <c r="TML68" s="684"/>
      <c r="TMM68" s="684"/>
      <c r="TMN68" s="684"/>
      <c r="TMO68" s="684"/>
      <c r="TMP68" s="684"/>
      <c r="TMQ68" s="684"/>
      <c r="TMR68" s="684"/>
      <c r="TMS68" s="684"/>
      <c r="TMT68" s="684"/>
      <c r="TMU68" s="684"/>
      <c r="TMV68" s="684"/>
      <c r="TMW68" s="684"/>
      <c r="TMX68" s="684"/>
      <c r="TMY68" s="684"/>
      <c r="TMZ68" s="684"/>
      <c r="TNA68" s="684"/>
      <c r="TNB68" s="684"/>
      <c r="TNC68" s="684"/>
      <c r="TND68" s="684"/>
      <c r="TNE68" s="684"/>
      <c r="TNF68" s="684"/>
      <c r="TNG68" s="684"/>
      <c r="TNH68" s="684"/>
      <c r="TNI68" s="684"/>
      <c r="TNJ68" s="684"/>
      <c r="TNK68" s="684"/>
      <c r="TNL68" s="684"/>
      <c r="TNM68" s="684"/>
      <c r="TNN68" s="684"/>
      <c r="TNO68" s="684"/>
      <c r="TNP68" s="684"/>
      <c r="TNQ68" s="684"/>
      <c r="TNR68" s="684"/>
      <c r="TNS68" s="684"/>
      <c r="TNT68" s="684"/>
      <c r="TNU68" s="684"/>
      <c r="TNV68" s="684"/>
      <c r="TNW68" s="684"/>
      <c r="TNX68" s="684"/>
      <c r="TNY68" s="684"/>
      <c r="TNZ68" s="684"/>
      <c r="TOA68" s="684"/>
      <c r="TOB68" s="684"/>
      <c r="TOC68" s="684"/>
      <c r="TOD68" s="684"/>
      <c r="TOE68" s="684"/>
      <c r="TOF68" s="684"/>
      <c r="TOG68" s="684"/>
      <c r="TOH68" s="684"/>
      <c r="TOI68" s="684"/>
      <c r="TOJ68" s="684"/>
      <c r="TOK68" s="684"/>
      <c r="TOL68" s="684"/>
      <c r="TOM68" s="684"/>
      <c r="TON68" s="684"/>
      <c r="TOO68" s="684"/>
      <c r="TOP68" s="684"/>
      <c r="TOQ68" s="684"/>
      <c r="TOR68" s="684"/>
      <c r="TOS68" s="684"/>
      <c r="TOT68" s="684"/>
      <c r="TOU68" s="684"/>
      <c r="TOV68" s="684"/>
      <c r="TOW68" s="684"/>
      <c r="TOX68" s="684"/>
      <c r="TOY68" s="684"/>
      <c r="TOZ68" s="684"/>
      <c r="TPA68" s="684"/>
      <c r="TPB68" s="684"/>
      <c r="TPC68" s="684"/>
      <c r="TPD68" s="684"/>
      <c r="TPE68" s="684"/>
      <c r="TPF68" s="684"/>
      <c r="TPG68" s="684"/>
      <c r="TPH68" s="684"/>
      <c r="TPI68" s="684"/>
      <c r="TPJ68" s="684"/>
      <c r="TPK68" s="684"/>
      <c r="TPL68" s="684"/>
      <c r="TPM68" s="684"/>
      <c r="TPN68" s="684"/>
      <c r="TPO68" s="684"/>
      <c r="TPP68" s="684"/>
      <c r="TPQ68" s="684"/>
      <c r="TPR68" s="684"/>
      <c r="TPS68" s="684"/>
      <c r="TPT68" s="684"/>
      <c r="TPU68" s="684"/>
      <c r="TPV68" s="684"/>
      <c r="TPW68" s="684"/>
      <c r="TPX68" s="684"/>
      <c r="TPY68" s="684"/>
      <c r="TPZ68" s="684"/>
      <c r="TQA68" s="684"/>
      <c r="TQB68" s="684"/>
      <c r="TQC68" s="684"/>
      <c r="TQD68" s="684"/>
      <c r="TQE68" s="684"/>
      <c r="TQF68" s="684"/>
      <c r="TQG68" s="684"/>
      <c r="TQH68" s="684"/>
      <c r="TQI68" s="684"/>
      <c r="TQJ68" s="684"/>
      <c r="TQK68" s="684"/>
      <c r="TQL68" s="684"/>
      <c r="TQM68" s="684"/>
      <c r="TQN68" s="684"/>
      <c r="TQO68" s="684"/>
      <c r="TQP68" s="684"/>
      <c r="TQQ68" s="684"/>
      <c r="TQR68" s="684"/>
      <c r="TQS68" s="684"/>
      <c r="TQT68" s="684"/>
      <c r="TQU68" s="684"/>
      <c r="TQV68" s="684"/>
      <c r="TQW68" s="684"/>
      <c r="TQX68" s="684"/>
      <c r="TQY68" s="684"/>
      <c r="TQZ68" s="684"/>
      <c r="TRA68" s="684"/>
      <c r="TRB68" s="684"/>
      <c r="TRC68" s="684"/>
      <c r="TRD68" s="684"/>
      <c r="TRE68" s="684"/>
      <c r="TRF68" s="684"/>
      <c r="TRG68" s="684"/>
      <c r="TRH68" s="684"/>
      <c r="TRI68" s="684"/>
      <c r="TRJ68" s="684"/>
      <c r="TRK68" s="684"/>
      <c r="TRL68" s="684"/>
      <c r="TRM68" s="684"/>
      <c r="TRN68" s="684"/>
      <c r="TRO68" s="684"/>
      <c r="TRP68" s="684"/>
      <c r="TRQ68" s="684"/>
      <c r="TRR68" s="684"/>
      <c r="TRS68" s="684"/>
      <c r="TRT68" s="684"/>
      <c r="TRU68" s="684"/>
      <c r="TRV68" s="684"/>
      <c r="TRW68" s="684"/>
      <c r="TRX68" s="684"/>
      <c r="TRY68" s="684"/>
      <c r="TRZ68" s="684"/>
      <c r="TSA68" s="684"/>
      <c r="TSB68" s="684"/>
      <c r="TSC68" s="684"/>
      <c r="TSD68" s="684"/>
      <c r="TSE68" s="684"/>
      <c r="TSF68" s="684"/>
      <c r="TSG68" s="684"/>
      <c r="TSH68" s="684"/>
      <c r="TSI68" s="684"/>
      <c r="TSJ68" s="684"/>
      <c r="TSK68" s="684"/>
      <c r="TSL68" s="684"/>
      <c r="TSM68" s="684"/>
      <c r="TSN68" s="684"/>
      <c r="TSO68" s="684"/>
      <c r="TSP68" s="684"/>
      <c r="TSQ68" s="684"/>
      <c r="TSR68" s="684"/>
      <c r="TSS68" s="684"/>
      <c r="TST68" s="684"/>
      <c r="TSU68" s="684"/>
      <c r="TSV68" s="684"/>
      <c r="TSW68" s="684"/>
      <c r="TSX68" s="684"/>
      <c r="TSY68" s="684"/>
      <c r="TSZ68" s="684"/>
      <c r="TTA68" s="684"/>
      <c r="TTB68" s="684"/>
      <c r="TTC68" s="684"/>
      <c r="TTD68" s="684"/>
      <c r="TTE68" s="684"/>
      <c r="TTF68" s="684"/>
      <c r="TTG68" s="684"/>
      <c r="TTH68" s="684"/>
      <c r="TTI68" s="684"/>
      <c r="TTJ68" s="684"/>
      <c r="TTK68" s="684"/>
      <c r="TTL68" s="684"/>
      <c r="TTM68" s="684"/>
      <c r="TTN68" s="684"/>
      <c r="TTO68" s="684"/>
      <c r="TTP68" s="684"/>
      <c r="TTQ68" s="684"/>
      <c r="TTR68" s="684"/>
      <c r="TTS68" s="684"/>
      <c r="TTT68" s="684"/>
      <c r="TTU68" s="684"/>
      <c r="TTV68" s="684"/>
      <c r="TTW68" s="684"/>
      <c r="TTX68" s="684"/>
      <c r="TTY68" s="684"/>
      <c r="TTZ68" s="684"/>
      <c r="TUA68" s="684"/>
      <c r="TUB68" s="684"/>
      <c r="TUC68" s="684"/>
      <c r="TUD68" s="684"/>
      <c r="TUE68" s="684"/>
      <c r="TUF68" s="684"/>
      <c r="TUG68" s="684"/>
      <c r="TUH68" s="684"/>
      <c r="TUI68" s="684"/>
      <c r="TUJ68" s="684"/>
      <c r="TUK68" s="684"/>
      <c r="TUL68" s="684"/>
      <c r="TUM68" s="684"/>
      <c r="TUN68" s="684"/>
      <c r="TUO68" s="684"/>
      <c r="TUP68" s="684"/>
      <c r="TUQ68" s="684"/>
      <c r="TUR68" s="684"/>
      <c r="TUS68" s="684"/>
      <c r="TUT68" s="684"/>
      <c r="TUU68" s="684"/>
      <c r="TUV68" s="684"/>
      <c r="TUW68" s="684"/>
      <c r="TUX68" s="684"/>
      <c r="TUY68" s="684"/>
      <c r="TUZ68" s="684"/>
      <c r="TVA68" s="684"/>
      <c r="TVB68" s="684"/>
      <c r="TVC68" s="684"/>
      <c r="TVD68" s="684"/>
      <c r="TVE68" s="684"/>
      <c r="TVF68" s="684"/>
      <c r="TVG68" s="684"/>
      <c r="TVH68" s="684"/>
      <c r="TVI68" s="684"/>
      <c r="TVJ68" s="684"/>
      <c r="TVK68" s="684"/>
      <c r="TVL68" s="684"/>
      <c r="TVM68" s="684"/>
      <c r="TVN68" s="684"/>
      <c r="TVO68" s="684"/>
      <c r="TVP68" s="684"/>
      <c r="TVQ68" s="684"/>
      <c r="TVR68" s="684"/>
      <c r="TVS68" s="684"/>
      <c r="TVT68" s="684"/>
      <c r="TVU68" s="684"/>
      <c r="TVV68" s="684"/>
      <c r="TVW68" s="684"/>
      <c r="TVX68" s="684"/>
      <c r="TVY68" s="684"/>
      <c r="TVZ68" s="684"/>
      <c r="TWA68" s="684"/>
      <c r="TWB68" s="684"/>
      <c r="TWC68" s="684"/>
      <c r="TWD68" s="684"/>
      <c r="TWE68" s="684"/>
      <c r="TWF68" s="684"/>
      <c r="TWG68" s="684"/>
      <c r="TWH68" s="684"/>
      <c r="TWI68" s="684"/>
      <c r="TWJ68" s="684"/>
      <c r="TWK68" s="684"/>
      <c r="TWL68" s="684"/>
      <c r="TWM68" s="684"/>
      <c r="TWN68" s="684"/>
      <c r="TWO68" s="684"/>
      <c r="TWP68" s="684"/>
      <c r="TWQ68" s="684"/>
      <c r="TWR68" s="684"/>
      <c r="TWS68" s="684"/>
      <c r="TWT68" s="684"/>
      <c r="TWU68" s="684"/>
      <c r="TWV68" s="684"/>
      <c r="TWW68" s="684"/>
      <c r="TWX68" s="684"/>
      <c r="TWY68" s="684"/>
      <c r="TWZ68" s="684"/>
      <c r="TXA68" s="684"/>
      <c r="TXB68" s="684"/>
      <c r="TXC68" s="684"/>
      <c r="TXD68" s="684"/>
      <c r="TXE68" s="684"/>
      <c r="TXF68" s="684"/>
      <c r="TXG68" s="684"/>
      <c r="TXH68" s="684"/>
      <c r="TXI68" s="684"/>
      <c r="TXJ68" s="684"/>
      <c r="TXK68" s="684"/>
      <c r="TXL68" s="684"/>
      <c r="TXM68" s="684"/>
      <c r="TXN68" s="684"/>
      <c r="TXO68" s="684"/>
      <c r="TXP68" s="684"/>
      <c r="TXQ68" s="684"/>
      <c r="TXR68" s="684"/>
      <c r="TXS68" s="684"/>
      <c r="TXT68" s="684"/>
      <c r="TXU68" s="684"/>
      <c r="TXV68" s="684"/>
      <c r="TXW68" s="684"/>
      <c r="TXX68" s="684"/>
      <c r="TXY68" s="684"/>
      <c r="TXZ68" s="684"/>
      <c r="TYA68" s="684"/>
      <c r="TYB68" s="684"/>
      <c r="TYC68" s="684"/>
      <c r="TYD68" s="684"/>
      <c r="TYE68" s="684"/>
      <c r="TYF68" s="684"/>
      <c r="TYG68" s="684"/>
      <c r="TYH68" s="684"/>
      <c r="TYI68" s="684"/>
      <c r="TYJ68" s="684"/>
      <c r="TYK68" s="684"/>
      <c r="TYL68" s="684"/>
      <c r="TYM68" s="684"/>
      <c r="TYN68" s="684"/>
      <c r="TYO68" s="684"/>
      <c r="TYP68" s="684"/>
      <c r="TYQ68" s="684"/>
      <c r="TYR68" s="684"/>
      <c r="TYS68" s="684"/>
      <c r="TYT68" s="684"/>
      <c r="TYU68" s="684"/>
      <c r="TYV68" s="684"/>
      <c r="TYW68" s="684"/>
      <c r="TYX68" s="684"/>
      <c r="TYY68" s="684"/>
      <c r="TYZ68" s="684"/>
      <c r="TZA68" s="684"/>
      <c r="TZB68" s="684"/>
      <c r="TZC68" s="684"/>
      <c r="TZD68" s="684"/>
      <c r="TZE68" s="684"/>
      <c r="TZF68" s="684"/>
      <c r="TZG68" s="684"/>
      <c r="TZH68" s="684"/>
      <c r="TZI68" s="684"/>
      <c r="TZJ68" s="684"/>
      <c r="TZK68" s="684"/>
      <c r="TZL68" s="684"/>
      <c r="TZM68" s="684"/>
      <c r="TZN68" s="684"/>
      <c r="TZO68" s="684"/>
      <c r="TZP68" s="684"/>
      <c r="TZQ68" s="684"/>
      <c r="TZR68" s="684"/>
      <c r="TZS68" s="684"/>
      <c r="TZT68" s="684"/>
      <c r="TZU68" s="684"/>
      <c r="TZV68" s="684"/>
      <c r="TZW68" s="684"/>
      <c r="TZX68" s="684"/>
      <c r="TZY68" s="684"/>
      <c r="TZZ68" s="684"/>
      <c r="UAA68" s="684"/>
      <c r="UAB68" s="684"/>
      <c r="UAC68" s="684"/>
      <c r="UAD68" s="684"/>
      <c r="UAE68" s="684"/>
      <c r="UAF68" s="684"/>
      <c r="UAG68" s="684"/>
      <c r="UAH68" s="684"/>
      <c r="UAI68" s="684"/>
      <c r="UAJ68" s="684"/>
      <c r="UAK68" s="684"/>
      <c r="UAL68" s="684"/>
      <c r="UAM68" s="684"/>
      <c r="UAN68" s="684"/>
      <c r="UAO68" s="684"/>
      <c r="UAP68" s="684"/>
      <c r="UAQ68" s="684"/>
      <c r="UAR68" s="684"/>
      <c r="UAS68" s="684"/>
      <c r="UAT68" s="684"/>
      <c r="UAU68" s="684"/>
      <c r="UAV68" s="684"/>
      <c r="UAW68" s="684"/>
      <c r="UAX68" s="684"/>
      <c r="UAY68" s="684"/>
      <c r="UAZ68" s="684"/>
      <c r="UBA68" s="684"/>
      <c r="UBB68" s="684"/>
      <c r="UBC68" s="684"/>
      <c r="UBD68" s="684"/>
      <c r="UBE68" s="684"/>
      <c r="UBF68" s="684"/>
      <c r="UBG68" s="684"/>
      <c r="UBH68" s="684"/>
      <c r="UBI68" s="684"/>
      <c r="UBJ68" s="684"/>
      <c r="UBK68" s="684"/>
      <c r="UBL68" s="684"/>
      <c r="UBM68" s="684"/>
      <c r="UBN68" s="684"/>
      <c r="UBO68" s="684"/>
      <c r="UBP68" s="684"/>
      <c r="UBQ68" s="684"/>
      <c r="UBR68" s="684"/>
      <c r="UBS68" s="684"/>
      <c r="UBT68" s="684"/>
      <c r="UBU68" s="684"/>
      <c r="UBV68" s="684"/>
      <c r="UBW68" s="684"/>
      <c r="UBX68" s="684"/>
      <c r="UBY68" s="684"/>
      <c r="UBZ68" s="684"/>
      <c r="UCA68" s="684"/>
      <c r="UCB68" s="684"/>
      <c r="UCC68" s="684"/>
      <c r="UCD68" s="684"/>
      <c r="UCE68" s="684"/>
      <c r="UCF68" s="684"/>
      <c r="UCG68" s="684"/>
      <c r="UCH68" s="684"/>
      <c r="UCI68" s="684"/>
      <c r="UCJ68" s="684"/>
      <c r="UCK68" s="684"/>
      <c r="UCL68" s="684"/>
      <c r="UCM68" s="684"/>
      <c r="UCN68" s="684"/>
      <c r="UCO68" s="684"/>
      <c r="UCP68" s="684"/>
      <c r="UCQ68" s="684"/>
      <c r="UCR68" s="684"/>
      <c r="UCS68" s="684"/>
      <c r="UCT68" s="684"/>
      <c r="UCU68" s="684"/>
      <c r="UCV68" s="684"/>
      <c r="UCW68" s="684"/>
      <c r="UCX68" s="684"/>
      <c r="UCY68" s="684"/>
      <c r="UCZ68" s="684"/>
      <c r="UDA68" s="684"/>
      <c r="UDB68" s="684"/>
      <c r="UDC68" s="684"/>
      <c r="UDD68" s="684"/>
      <c r="UDE68" s="684"/>
      <c r="UDF68" s="684"/>
      <c r="UDG68" s="684"/>
      <c r="UDH68" s="684"/>
      <c r="UDI68" s="684"/>
      <c r="UDJ68" s="684"/>
      <c r="UDK68" s="684"/>
      <c r="UDL68" s="684"/>
      <c r="UDM68" s="684"/>
      <c r="UDN68" s="684"/>
      <c r="UDO68" s="684"/>
      <c r="UDP68" s="684"/>
      <c r="UDQ68" s="684"/>
      <c r="UDR68" s="684"/>
      <c r="UDS68" s="684"/>
      <c r="UDT68" s="684"/>
      <c r="UDU68" s="684"/>
      <c r="UDV68" s="684"/>
      <c r="UDW68" s="684"/>
      <c r="UDX68" s="684"/>
      <c r="UDY68" s="684"/>
      <c r="UDZ68" s="684"/>
      <c r="UEA68" s="684"/>
      <c r="UEB68" s="684"/>
      <c r="UEC68" s="684"/>
      <c r="UED68" s="684"/>
      <c r="UEE68" s="684"/>
      <c r="UEF68" s="684"/>
      <c r="UEG68" s="684"/>
      <c r="UEH68" s="684"/>
      <c r="UEI68" s="684"/>
      <c r="UEJ68" s="684"/>
      <c r="UEK68" s="684"/>
      <c r="UEL68" s="684"/>
      <c r="UEM68" s="684"/>
      <c r="UEN68" s="684"/>
      <c r="UEO68" s="684"/>
      <c r="UEP68" s="684"/>
      <c r="UEQ68" s="684"/>
      <c r="UER68" s="684"/>
      <c r="UES68" s="684"/>
      <c r="UET68" s="684"/>
      <c r="UEU68" s="684"/>
      <c r="UEV68" s="684"/>
      <c r="UEW68" s="684"/>
      <c r="UEX68" s="684"/>
      <c r="UEY68" s="684"/>
      <c r="UEZ68" s="684"/>
      <c r="UFA68" s="684"/>
      <c r="UFB68" s="684"/>
      <c r="UFC68" s="684"/>
      <c r="UFD68" s="684"/>
      <c r="UFE68" s="684"/>
      <c r="UFF68" s="684"/>
      <c r="UFG68" s="684"/>
      <c r="UFH68" s="684"/>
      <c r="UFI68" s="684"/>
      <c r="UFJ68" s="684"/>
      <c r="UFK68" s="684"/>
      <c r="UFL68" s="684"/>
      <c r="UFM68" s="684"/>
      <c r="UFN68" s="684"/>
      <c r="UFO68" s="684"/>
      <c r="UFP68" s="684"/>
      <c r="UFQ68" s="684"/>
      <c r="UFR68" s="684"/>
      <c r="UFS68" s="684"/>
      <c r="UFT68" s="684"/>
      <c r="UFU68" s="684"/>
      <c r="UFV68" s="684"/>
      <c r="UFW68" s="684"/>
      <c r="UFX68" s="684"/>
      <c r="UFY68" s="684"/>
      <c r="UFZ68" s="684"/>
      <c r="UGA68" s="684"/>
      <c r="UGB68" s="684"/>
      <c r="UGC68" s="684"/>
      <c r="UGD68" s="684"/>
      <c r="UGE68" s="684"/>
      <c r="UGF68" s="684"/>
      <c r="UGG68" s="684"/>
      <c r="UGH68" s="684"/>
      <c r="UGI68" s="684"/>
      <c r="UGJ68" s="684"/>
      <c r="UGK68" s="684"/>
      <c r="UGL68" s="684"/>
      <c r="UGM68" s="684"/>
      <c r="UGN68" s="684"/>
      <c r="UGO68" s="684"/>
      <c r="UGP68" s="684"/>
      <c r="UGQ68" s="684"/>
      <c r="UGR68" s="684"/>
      <c r="UGS68" s="684"/>
      <c r="UGT68" s="684"/>
      <c r="UGU68" s="684"/>
      <c r="UGV68" s="684"/>
      <c r="UGW68" s="684"/>
      <c r="UGX68" s="684"/>
      <c r="UGY68" s="684"/>
      <c r="UGZ68" s="684"/>
      <c r="UHA68" s="684"/>
      <c r="UHB68" s="684"/>
      <c r="UHC68" s="684"/>
      <c r="UHD68" s="684"/>
      <c r="UHE68" s="684"/>
      <c r="UHF68" s="684"/>
      <c r="UHG68" s="684"/>
      <c r="UHH68" s="684"/>
      <c r="UHI68" s="684"/>
      <c r="UHJ68" s="684"/>
      <c r="UHK68" s="684"/>
      <c r="UHL68" s="684"/>
      <c r="UHM68" s="684"/>
      <c r="UHN68" s="684"/>
      <c r="UHO68" s="684"/>
      <c r="UHP68" s="684"/>
      <c r="UHQ68" s="684"/>
      <c r="UHR68" s="684"/>
      <c r="UHS68" s="684"/>
      <c r="UHT68" s="684"/>
      <c r="UHU68" s="684"/>
      <c r="UHV68" s="684"/>
      <c r="UHW68" s="684"/>
      <c r="UHX68" s="684"/>
      <c r="UHY68" s="684"/>
      <c r="UHZ68" s="684"/>
      <c r="UIA68" s="684"/>
      <c r="UIB68" s="684"/>
      <c r="UIC68" s="684"/>
      <c r="UID68" s="684"/>
      <c r="UIE68" s="684"/>
      <c r="UIF68" s="684"/>
      <c r="UIG68" s="684"/>
      <c r="UIH68" s="684"/>
      <c r="UII68" s="684"/>
      <c r="UIJ68" s="684"/>
      <c r="UIK68" s="684"/>
      <c r="UIL68" s="684"/>
      <c r="UIM68" s="684"/>
      <c r="UIN68" s="684"/>
      <c r="UIO68" s="684"/>
      <c r="UIP68" s="684"/>
      <c r="UIQ68" s="684"/>
      <c r="UIR68" s="684"/>
      <c r="UIS68" s="684"/>
      <c r="UIT68" s="684"/>
      <c r="UIU68" s="684"/>
      <c r="UIV68" s="684"/>
      <c r="UIW68" s="684"/>
      <c r="UIX68" s="684"/>
      <c r="UIY68" s="684"/>
      <c r="UIZ68" s="684"/>
      <c r="UJA68" s="684"/>
      <c r="UJB68" s="684"/>
      <c r="UJC68" s="684"/>
      <c r="UJD68" s="684"/>
      <c r="UJE68" s="684"/>
      <c r="UJF68" s="684"/>
      <c r="UJG68" s="684"/>
      <c r="UJH68" s="684"/>
      <c r="UJI68" s="684"/>
      <c r="UJJ68" s="684"/>
      <c r="UJK68" s="684"/>
      <c r="UJL68" s="684"/>
      <c r="UJM68" s="684"/>
      <c r="UJN68" s="684"/>
      <c r="UJO68" s="684"/>
      <c r="UJP68" s="684"/>
      <c r="UJQ68" s="684"/>
      <c r="UJR68" s="684"/>
      <c r="UJS68" s="684"/>
      <c r="UJT68" s="684"/>
      <c r="UJU68" s="684"/>
      <c r="UJV68" s="684"/>
      <c r="UJW68" s="684"/>
      <c r="UJX68" s="684"/>
      <c r="UJY68" s="684"/>
      <c r="UJZ68" s="684"/>
      <c r="UKA68" s="684"/>
      <c r="UKB68" s="684"/>
      <c r="UKC68" s="684"/>
      <c r="UKD68" s="684"/>
      <c r="UKE68" s="684"/>
      <c r="UKF68" s="684"/>
      <c r="UKG68" s="684"/>
      <c r="UKH68" s="684"/>
      <c r="UKI68" s="684"/>
      <c r="UKJ68" s="684"/>
      <c r="UKK68" s="684"/>
      <c r="UKL68" s="684"/>
      <c r="UKM68" s="684"/>
      <c r="UKN68" s="684"/>
      <c r="UKO68" s="684"/>
      <c r="UKP68" s="684"/>
      <c r="UKQ68" s="684"/>
      <c r="UKR68" s="684"/>
      <c r="UKS68" s="684"/>
      <c r="UKT68" s="684"/>
      <c r="UKU68" s="684"/>
      <c r="UKV68" s="684"/>
      <c r="UKW68" s="684"/>
      <c r="UKX68" s="684"/>
      <c r="UKY68" s="684"/>
      <c r="UKZ68" s="684"/>
      <c r="ULA68" s="684"/>
      <c r="ULB68" s="684"/>
      <c r="ULC68" s="684"/>
      <c r="ULD68" s="684"/>
      <c r="ULE68" s="684"/>
      <c r="ULF68" s="684"/>
      <c r="ULG68" s="684"/>
      <c r="ULH68" s="684"/>
      <c r="ULI68" s="684"/>
      <c r="ULJ68" s="684"/>
      <c r="ULK68" s="684"/>
      <c r="ULL68" s="684"/>
      <c r="ULM68" s="684"/>
      <c r="ULN68" s="684"/>
      <c r="ULO68" s="684"/>
      <c r="ULP68" s="684"/>
      <c r="ULQ68" s="684"/>
      <c r="ULR68" s="684"/>
      <c r="ULS68" s="684"/>
      <c r="ULT68" s="684"/>
      <c r="ULU68" s="684"/>
      <c r="ULV68" s="684"/>
      <c r="ULW68" s="684"/>
      <c r="ULX68" s="684"/>
      <c r="ULY68" s="684"/>
      <c r="ULZ68" s="684"/>
      <c r="UMA68" s="684"/>
      <c r="UMB68" s="684"/>
      <c r="UMC68" s="684"/>
      <c r="UMD68" s="684"/>
      <c r="UME68" s="684"/>
      <c r="UMF68" s="684"/>
      <c r="UMG68" s="684"/>
      <c r="UMH68" s="684"/>
      <c r="UMI68" s="684"/>
      <c r="UMJ68" s="684"/>
      <c r="UMK68" s="684"/>
      <c r="UML68" s="684"/>
      <c r="UMM68" s="684"/>
      <c r="UMN68" s="684"/>
      <c r="UMO68" s="684"/>
      <c r="UMP68" s="684"/>
      <c r="UMQ68" s="684"/>
      <c r="UMR68" s="684"/>
      <c r="UMS68" s="684"/>
      <c r="UMT68" s="684"/>
      <c r="UMU68" s="684"/>
      <c r="UMV68" s="684"/>
      <c r="UMW68" s="684"/>
      <c r="UMX68" s="684"/>
      <c r="UMY68" s="684"/>
      <c r="UMZ68" s="684"/>
      <c r="UNA68" s="684"/>
      <c r="UNB68" s="684"/>
      <c r="UNC68" s="684"/>
      <c r="UND68" s="684"/>
      <c r="UNE68" s="684"/>
      <c r="UNF68" s="684"/>
      <c r="UNG68" s="684"/>
      <c r="UNH68" s="684"/>
      <c r="UNI68" s="684"/>
      <c r="UNJ68" s="684"/>
      <c r="UNK68" s="684"/>
      <c r="UNL68" s="684"/>
      <c r="UNM68" s="684"/>
      <c r="UNN68" s="684"/>
      <c r="UNO68" s="684"/>
      <c r="UNP68" s="684"/>
      <c r="UNQ68" s="684"/>
      <c r="UNR68" s="684"/>
      <c r="UNS68" s="684"/>
      <c r="UNT68" s="684"/>
      <c r="UNU68" s="684"/>
      <c r="UNV68" s="684"/>
      <c r="UNW68" s="684"/>
      <c r="UNX68" s="684"/>
      <c r="UNY68" s="684"/>
      <c r="UNZ68" s="684"/>
      <c r="UOA68" s="684"/>
      <c r="UOB68" s="684"/>
      <c r="UOC68" s="684"/>
      <c r="UOD68" s="684"/>
      <c r="UOE68" s="684"/>
      <c r="UOF68" s="684"/>
      <c r="UOG68" s="684"/>
      <c r="UOH68" s="684"/>
      <c r="UOI68" s="684"/>
      <c r="UOJ68" s="684"/>
      <c r="UOK68" s="684"/>
      <c r="UOL68" s="684"/>
      <c r="UOM68" s="684"/>
      <c r="UON68" s="684"/>
      <c r="UOO68" s="684"/>
      <c r="UOP68" s="684"/>
      <c r="UOQ68" s="684"/>
      <c r="UOR68" s="684"/>
      <c r="UOS68" s="684"/>
      <c r="UOT68" s="684"/>
      <c r="UOU68" s="684"/>
      <c r="UOV68" s="684"/>
      <c r="UOW68" s="684"/>
      <c r="UOX68" s="684"/>
      <c r="UOY68" s="684"/>
      <c r="UOZ68" s="684"/>
      <c r="UPA68" s="684"/>
      <c r="UPB68" s="684"/>
      <c r="UPC68" s="684"/>
      <c r="UPD68" s="684"/>
      <c r="UPE68" s="684"/>
      <c r="UPF68" s="684"/>
      <c r="UPG68" s="684"/>
      <c r="UPH68" s="684"/>
      <c r="UPI68" s="684"/>
      <c r="UPJ68" s="684"/>
      <c r="UPK68" s="684"/>
      <c r="UPL68" s="684"/>
      <c r="UPM68" s="684"/>
      <c r="UPN68" s="684"/>
      <c r="UPO68" s="684"/>
      <c r="UPP68" s="684"/>
      <c r="UPQ68" s="684"/>
      <c r="UPR68" s="684"/>
      <c r="UPS68" s="684"/>
      <c r="UPT68" s="684"/>
      <c r="UPU68" s="684"/>
      <c r="UPV68" s="684"/>
      <c r="UPW68" s="684"/>
      <c r="UPX68" s="684"/>
      <c r="UPY68" s="684"/>
      <c r="UPZ68" s="684"/>
      <c r="UQA68" s="684"/>
      <c r="UQB68" s="684"/>
      <c r="UQC68" s="684"/>
      <c r="UQD68" s="684"/>
      <c r="UQE68" s="684"/>
      <c r="UQF68" s="684"/>
      <c r="UQG68" s="684"/>
      <c r="UQH68" s="684"/>
      <c r="UQI68" s="684"/>
      <c r="UQJ68" s="684"/>
      <c r="UQK68" s="684"/>
      <c r="UQL68" s="684"/>
      <c r="UQM68" s="684"/>
      <c r="UQN68" s="684"/>
      <c r="UQO68" s="684"/>
      <c r="UQP68" s="684"/>
      <c r="UQQ68" s="684"/>
      <c r="UQR68" s="684"/>
      <c r="UQS68" s="684"/>
      <c r="UQT68" s="684"/>
      <c r="UQU68" s="684"/>
      <c r="UQV68" s="684"/>
      <c r="UQW68" s="684"/>
      <c r="UQX68" s="684"/>
      <c r="UQY68" s="684"/>
      <c r="UQZ68" s="684"/>
      <c r="URA68" s="684"/>
      <c r="URB68" s="684"/>
      <c r="URC68" s="684"/>
      <c r="URD68" s="684"/>
      <c r="URE68" s="684"/>
      <c r="URF68" s="684"/>
      <c r="URG68" s="684"/>
      <c r="URH68" s="684"/>
      <c r="URI68" s="684"/>
      <c r="URJ68" s="684"/>
      <c r="URK68" s="684"/>
      <c r="URL68" s="684"/>
      <c r="URM68" s="684"/>
      <c r="URN68" s="684"/>
      <c r="URO68" s="684"/>
      <c r="URP68" s="684"/>
      <c r="URQ68" s="684"/>
      <c r="URR68" s="684"/>
      <c r="URS68" s="684"/>
      <c r="URT68" s="684"/>
      <c r="URU68" s="684"/>
      <c r="URV68" s="684"/>
      <c r="URW68" s="684"/>
      <c r="URX68" s="684"/>
      <c r="URY68" s="684"/>
      <c r="URZ68" s="684"/>
      <c r="USA68" s="684"/>
      <c r="USB68" s="684"/>
      <c r="USC68" s="684"/>
      <c r="USD68" s="684"/>
      <c r="USE68" s="684"/>
      <c r="USF68" s="684"/>
      <c r="USG68" s="684"/>
      <c r="USH68" s="684"/>
      <c r="USI68" s="684"/>
      <c r="USJ68" s="684"/>
      <c r="USK68" s="684"/>
      <c r="USL68" s="684"/>
      <c r="USM68" s="684"/>
      <c r="USN68" s="684"/>
      <c r="USO68" s="684"/>
      <c r="USP68" s="684"/>
      <c r="USQ68" s="684"/>
      <c r="USR68" s="684"/>
      <c r="USS68" s="684"/>
      <c r="UST68" s="684"/>
      <c r="USU68" s="684"/>
      <c r="USV68" s="684"/>
      <c r="USW68" s="684"/>
      <c r="USX68" s="684"/>
      <c r="USY68" s="684"/>
      <c r="USZ68" s="684"/>
      <c r="UTA68" s="684"/>
      <c r="UTB68" s="684"/>
      <c r="UTC68" s="684"/>
      <c r="UTD68" s="684"/>
      <c r="UTE68" s="684"/>
      <c r="UTF68" s="684"/>
      <c r="UTG68" s="684"/>
      <c r="UTH68" s="684"/>
      <c r="UTI68" s="684"/>
      <c r="UTJ68" s="684"/>
      <c r="UTK68" s="684"/>
      <c r="UTL68" s="684"/>
      <c r="UTM68" s="684"/>
      <c r="UTN68" s="684"/>
      <c r="UTO68" s="684"/>
      <c r="UTP68" s="684"/>
      <c r="UTQ68" s="684"/>
      <c r="UTR68" s="684"/>
      <c r="UTS68" s="684"/>
      <c r="UTT68" s="684"/>
      <c r="UTU68" s="684"/>
      <c r="UTV68" s="684"/>
      <c r="UTW68" s="684"/>
      <c r="UTX68" s="684"/>
      <c r="UTY68" s="684"/>
      <c r="UTZ68" s="684"/>
      <c r="UUA68" s="684"/>
      <c r="UUB68" s="684"/>
      <c r="UUC68" s="684"/>
      <c r="UUD68" s="684"/>
      <c r="UUE68" s="684"/>
      <c r="UUF68" s="684"/>
      <c r="UUG68" s="684"/>
      <c r="UUH68" s="684"/>
      <c r="UUI68" s="684"/>
      <c r="UUJ68" s="684"/>
      <c r="UUK68" s="684"/>
      <c r="UUL68" s="684"/>
      <c r="UUM68" s="684"/>
      <c r="UUN68" s="684"/>
      <c r="UUO68" s="684"/>
      <c r="UUP68" s="684"/>
      <c r="UUQ68" s="684"/>
      <c r="UUR68" s="684"/>
      <c r="UUS68" s="684"/>
      <c r="UUT68" s="684"/>
      <c r="UUU68" s="684"/>
      <c r="UUV68" s="684"/>
      <c r="UUW68" s="684"/>
      <c r="UUX68" s="684"/>
      <c r="UUY68" s="684"/>
      <c r="UUZ68" s="684"/>
      <c r="UVA68" s="684"/>
      <c r="UVB68" s="684"/>
      <c r="UVC68" s="684"/>
      <c r="UVD68" s="684"/>
      <c r="UVE68" s="684"/>
      <c r="UVF68" s="684"/>
      <c r="UVG68" s="684"/>
      <c r="UVH68" s="684"/>
      <c r="UVI68" s="684"/>
      <c r="UVJ68" s="684"/>
      <c r="UVK68" s="684"/>
      <c r="UVL68" s="684"/>
      <c r="UVM68" s="684"/>
      <c r="UVN68" s="684"/>
      <c r="UVO68" s="684"/>
      <c r="UVP68" s="684"/>
      <c r="UVQ68" s="684"/>
      <c r="UVR68" s="684"/>
      <c r="UVS68" s="684"/>
      <c r="UVT68" s="684"/>
      <c r="UVU68" s="684"/>
      <c r="UVV68" s="684"/>
      <c r="UVW68" s="684"/>
      <c r="UVX68" s="684"/>
      <c r="UVY68" s="684"/>
      <c r="UVZ68" s="684"/>
      <c r="UWA68" s="684"/>
      <c r="UWB68" s="684"/>
      <c r="UWC68" s="684"/>
      <c r="UWD68" s="684"/>
      <c r="UWE68" s="684"/>
      <c r="UWF68" s="684"/>
      <c r="UWG68" s="684"/>
      <c r="UWH68" s="684"/>
      <c r="UWI68" s="684"/>
      <c r="UWJ68" s="684"/>
      <c r="UWK68" s="684"/>
      <c r="UWL68" s="684"/>
      <c r="UWM68" s="684"/>
      <c r="UWN68" s="684"/>
      <c r="UWO68" s="684"/>
      <c r="UWP68" s="684"/>
      <c r="UWQ68" s="684"/>
      <c r="UWR68" s="684"/>
      <c r="UWS68" s="684"/>
      <c r="UWT68" s="684"/>
      <c r="UWU68" s="684"/>
      <c r="UWV68" s="684"/>
      <c r="UWW68" s="684"/>
      <c r="UWX68" s="684"/>
      <c r="UWY68" s="684"/>
      <c r="UWZ68" s="684"/>
      <c r="UXA68" s="684"/>
      <c r="UXB68" s="684"/>
      <c r="UXC68" s="684"/>
      <c r="UXD68" s="684"/>
      <c r="UXE68" s="684"/>
      <c r="UXF68" s="684"/>
      <c r="UXG68" s="684"/>
      <c r="UXH68" s="684"/>
      <c r="UXI68" s="684"/>
      <c r="UXJ68" s="684"/>
      <c r="UXK68" s="684"/>
      <c r="UXL68" s="684"/>
      <c r="UXM68" s="684"/>
      <c r="UXN68" s="684"/>
      <c r="UXO68" s="684"/>
      <c r="UXP68" s="684"/>
      <c r="UXQ68" s="684"/>
      <c r="UXR68" s="684"/>
      <c r="UXS68" s="684"/>
      <c r="UXT68" s="684"/>
      <c r="UXU68" s="684"/>
      <c r="UXV68" s="684"/>
      <c r="UXW68" s="684"/>
      <c r="UXX68" s="684"/>
      <c r="UXY68" s="684"/>
      <c r="UXZ68" s="684"/>
      <c r="UYA68" s="684"/>
      <c r="UYB68" s="684"/>
      <c r="UYC68" s="684"/>
      <c r="UYD68" s="684"/>
      <c r="UYE68" s="684"/>
      <c r="UYF68" s="684"/>
      <c r="UYG68" s="684"/>
      <c r="UYH68" s="684"/>
      <c r="UYI68" s="684"/>
      <c r="UYJ68" s="684"/>
      <c r="UYK68" s="684"/>
      <c r="UYL68" s="684"/>
      <c r="UYM68" s="684"/>
      <c r="UYN68" s="684"/>
      <c r="UYO68" s="684"/>
      <c r="UYP68" s="684"/>
      <c r="UYQ68" s="684"/>
      <c r="UYR68" s="684"/>
      <c r="UYS68" s="684"/>
      <c r="UYT68" s="684"/>
      <c r="UYU68" s="684"/>
      <c r="UYV68" s="684"/>
      <c r="UYW68" s="684"/>
      <c r="UYX68" s="684"/>
      <c r="UYY68" s="684"/>
      <c r="UYZ68" s="684"/>
      <c r="UZA68" s="684"/>
      <c r="UZB68" s="684"/>
      <c r="UZC68" s="684"/>
      <c r="UZD68" s="684"/>
      <c r="UZE68" s="684"/>
      <c r="UZF68" s="684"/>
      <c r="UZG68" s="684"/>
      <c r="UZH68" s="684"/>
      <c r="UZI68" s="684"/>
      <c r="UZJ68" s="684"/>
      <c r="UZK68" s="684"/>
      <c r="UZL68" s="684"/>
      <c r="UZM68" s="684"/>
      <c r="UZN68" s="684"/>
      <c r="UZO68" s="684"/>
      <c r="UZP68" s="684"/>
      <c r="UZQ68" s="684"/>
      <c r="UZR68" s="684"/>
      <c r="UZS68" s="684"/>
      <c r="UZT68" s="684"/>
      <c r="UZU68" s="684"/>
      <c r="UZV68" s="684"/>
      <c r="UZW68" s="684"/>
      <c r="UZX68" s="684"/>
      <c r="UZY68" s="684"/>
      <c r="UZZ68" s="684"/>
      <c r="VAA68" s="684"/>
      <c r="VAB68" s="684"/>
      <c r="VAC68" s="684"/>
      <c r="VAD68" s="684"/>
      <c r="VAE68" s="684"/>
      <c r="VAF68" s="684"/>
      <c r="VAG68" s="684"/>
      <c r="VAH68" s="684"/>
      <c r="VAI68" s="684"/>
      <c r="VAJ68" s="684"/>
      <c r="VAK68" s="684"/>
      <c r="VAL68" s="684"/>
      <c r="VAM68" s="684"/>
      <c r="VAN68" s="684"/>
      <c r="VAO68" s="684"/>
      <c r="VAP68" s="684"/>
      <c r="VAQ68" s="684"/>
      <c r="VAR68" s="684"/>
      <c r="VAS68" s="684"/>
      <c r="VAT68" s="684"/>
      <c r="VAU68" s="684"/>
      <c r="VAV68" s="684"/>
      <c r="VAW68" s="684"/>
      <c r="VAX68" s="684"/>
      <c r="VAY68" s="684"/>
      <c r="VAZ68" s="684"/>
      <c r="VBA68" s="684"/>
      <c r="VBB68" s="684"/>
      <c r="VBC68" s="684"/>
      <c r="VBD68" s="684"/>
      <c r="VBE68" s="684"/>
      <c r="VBF68" s="684"/>
      <c r="VBG68" s="684"/>
      <c r="VBH68" s="684"/>
      <c r="VBI68" s="684"/>
      <c r="VBJ68" s="684"/>
      <c r="VBK68" s="684"/>
      <c r="VBL68" s="684"/>
      <c r="VBM68" s="684"/>
      <c r="VBN68" s="684"/>
      <c r="VBO68" s="684"/>
      <c r="VBP68" s="684"/>
      <c r="VBQ68" s="684"/>
      <c r="VBR68" s="684"/>
      <c r="VBS68" s="684"/>
      <c r="VBT68" s="684"/>
      <c r="VBU68" s="684"/>
      <c r="VBV68" s="684"/>
      <c r="VBW68" s="684"/>
      <c r="VBX68" s="684"/>
      <c r="VBY68" s="684"/>
      <c r="VBZ68" s="684"/>
      <c r="VCA68" s="684"/>
      <c r="VCB68" s="684"/>
      <c r="VCC68" s="684"/>
      <c r="VCD68" s="684"/>
      <c r="VCE68" s="684"/>
      <c r="VCF68" s="684"/>
      <c r="VCG68" s="684"/>
      <c r="VCH68" s="684"/>
      <c r="VCI68" s="684"/>
      <c r="VCJ68" s="684"/>
      <c r="VCK68" s="684"/>
      <c r="VCL68" s="684"/>
      <c r="VCM68" s="684"/>
      <c r="VCN68" s="684"/>
      <c r="VCO68" s="684"/>
      <c r="VCP68" s="684"/>
      <c r="VCQ68" s="684"/>
      <c r="VCR68" s="684"/>
      <c r="VCS68" s="684"/>
      <c r="VCT68" s="684"/>
      <c r="VCU68" s="684"/>
      <c r="VCV68" s="684"/>
      <c r="VCW68" s="684"/>
      <c r="VCX68" s="684"/>
      <c r="VCY68" s="684"/>
      <c r="VCZ68" s="684"/>
      <c r="VDA68" s="684"/>
      <c r="VDB68" s="684"/>
      <c r="VDC68" s="684"/>
      <c r="VDD68" s="684"/>
      <c r="VDE68" s="684"/>
      <c r="VDF68" s="684"/>
      <c r="VDG68" s="684"/>
      <c r="VDH68" s="684"/>
      <c r="VDI68" s="684"/>
      <c r="VDJ68" s="684"/>
      <c r="VDK68" s="684"/>
      <c r="VDL68" s="684"/>
      <c r="VDM68" s="684"/>
      <c r="VDN68" s="684"/>
      <c r="VDO68" s="684"/>
      <c r="VDP68" s="684"/>
      <c r="VDQ68" s="684"/>
      <c r="VDR68" s="684"/>
      <c r="VDS68" s="684"/>
      <c r="VDT68" s="684"/>
      <c r="VDU68" s="684"/>
      <c r="VDV68" s="684"/>
      <c r="VDW68" s="684"/>
      <c r="VDX68" s="684"/>
      <c r="VDY68" s="684"/>
      <c r="VDZ68" s="684"/>
      <c r="VEA68" s="684"/>
      <c r="VEB68" s="684"/>
      <c r="VEC68" s="684"/>
      <c r="VED68" s="684"/>
      <c r="VEE68" s="684"/>
      <c r="VEF68" s="684"/>
      <c r="VEG68" s="684"/>
      <c r="VEH68" s="684"/>
      <c r="VEI68" s="684"/>
      <c r="VEJ68" s="684"/>
      <c r="VEK68" s="684"/>
      <c r="VEL68" s="684"/>
      <c r="VEM68" s="684"/>
      <c r="VEN68" s="684"/>
      <c r="VEO68" s="684"/>
      <c r="VEP68" s="684"/>
      <c r="VEQ68" s="684"/>
      <c r="VER68" s="684"/>
      <c r="VES68" s="684"/>
      <c r="VET68" s="684"/>
      <c r="VEU68" s="684"/>
      <c r="VEV68" s="684"/>
      <c r="VEW68" s="684"/>
      <c r="VEX68" s="684"/>
      <c r="VEY68" s="684"/>
      <c r="VEZ68" s="684"/>
      <c r="VFA68" s="684"/>
      <c r="VFB68" s="684"/>
      <c r="VFC68" s="684"/>
      <c r="VFD68" s="684"/>
      <c r="VFE68" s="684"/>
      <c r="VFF68" s="684"/>
      <c r="VFG68" s="684"/>
      <c r="VFH68" s="684"/>
      <c r="VFI68" s="684"/>
      <c r="VFJ68" s="684"/>
      <c r="VFK68" s="684"/>
      <c r="VFL68" s="684"/>
      <c r="VFM68" s="684"/>
      <c r="VFN68" s="684"/>
      <c r="VFO68" s="684"/>
      <c r="VFP68" s="684"/>
      <c r="VFQ68" s="684"/>
      <c r="VFR68" s="684"/>
      <c r="VFS68" s="684"/>
      <c r="VFT68" s="684"/>
      <c r="VFU68" s="684"/>
      <c r="VFV68" s="684"/>
      <c r="VFW68" s="684"/>
      <c r="VFX68" s="684"/>
      <c r="VFY68" s="684"/>
      <c r="VFZ68" s="684"/>
      <c r="VGA68" s="684"/>
      <c r="VGB68" s="684"/>
      <c r="VGC68" s="684"/>
      <c r="VGD68" s="684"/>
      <c r="VGE68" s="684"/>
      <c r="VGF68" s="684"/>
      <c r="VGG68" s="684"/>
      <c r="VGH68" s="684"/>
      <c r="VGI68" s="684"/>
      <c r="VGJ68" s="684"/>
      <c r="VGK68" s="684"/>
      <c r="VGL68" s="684"/>
      <c r="VGM68" s="684"/>
      <c r="VGN68" s="684"/>
      <c r="VGO68" s="684"/>
      <c r="VGP68" s="684"/>
      <c r="VGQ68" s="684"/>
      <c r="VGR68" s="684"/>
      <c r="VGS68" s="684"/>
      <c r="VGT68" s="684"/>
      <c r="VGU68" s="684"/>
      <c r="VGV68" s="684"/>
      <c r="VGW68" s="684"/>
      <c r="VGX68" s="684"/>
      <c r="VGY68" s="684"/>
      <c r="VGZ68" s="684"/>
      <c r="VHA68" s="684"/>
      <c r="VHB68" s="684"/>
      <c r="VHC68" s="684"/>
      <c r="VHD68" s="684"/>
      <c r="VHE68" s="684"/>
      <c r="VHF68" s="684"/>
      <c r="VHG68" s="684"/>
      <c r="VHH68" s="684"/>
      <c r="VHI68" s="684"/>
      <c r="VHJ68" s="684"/>
      <c r="VHK68" s="684"/>
      <c r="VHL68" s="684"/>
      <c r="VHM68" s="684"/>
      <c r="VHN68" s="684"/>
      <c r="VHO68" s="684"/>
      <c r="VHP68" s="684"/>
      <c r="VHQ68" s="684"/>
      <c r="VHR68" s="684"/>
      <c r="VHS68" s="684"/>
      <c r="VHT68" s="684"/>
      <c r="VHU68" s="684"/>
      <c r="VHV68" s="684"/>
      <c r="VHW68" s="684"/>
      <c r="VHX68" s="684"/>
      <c r="VHY68" s="684"/>
      <c r="VHZ68" s="684"/>
      <c r="VIA68" s="684"/>
      <c r="VIB68" s="684"/>
      <c r="VIC68" s="684"/>
      <c r="VID68" s="684"/>
      <c r="VIE68" s="684"/>
      <c r="VIF68" s="684"/>
      <c r="VIG68" s="684"/>
      <c r="VIH68" s="684"/>
      <c r="VII68" s="684"/>
      <c r="VIJ68" s="684"/>
      <c r="VIK68" s="684"/>
      <c r="VIL68" s="684"/>
      <c r="VIM68" s="684"/>
      <c r="VIN68" s="684"/>
      <c r="VIO68" s="684"/>
      <c r="VIP68" s="684"/>
      <c r="VIQ68" s="684"/>
      <c r="VIR68" s="684"/>
      <c r="VIS68" s="684"/>
      <c r="VIT68" s="684"/>
      <c r="VIU68" s="684"/>
      <c r="VIV68" s="684"/>
      <c r="VIW68" s="684"/>
      <c r="VIX68" s="684"/>
      <c r="VIY68" s="684"/>
      <c r="VIZ68" s="684"/>
      <c r="VJA68" s="684"/>
      <c r="VJB68" s="684"/>
      <c r="VJC68" s="684"/>
      <c r="VJD68" s="684"/>
      <c r="VJE68" s="684"/>
      <c r="VJF68" s="684"/>
      <c r="VJG68" s="684"/>
      <c r="VJH68" s="684"/>
      <c r="VJI68" s="684"/>
      <c r="VJJ68" s="684"/>
      <c r="VJK68" s="684"/>
      <c r="VJL68" s="684"/>
      <c r="VJM68" s="684"/>
      <c r="VJN68" s="684"/>
      <c r="VJO68" s="684"/>
      <c r="VJP68" s="684"/>
      <c r="VJQ68" s="684"/>
      <c r="VJR68" s="684"/>
      <c r="VJS68" s="684"/>
      <c r="VJT68" s="684"/>
      <c r="VJU68" s="684"/>
      <c r="VJV68" s="684"/>
      <c r="VJW68" s="684"/>
      <c r="VJX68" s="684"/>
      <c r="VJY68" s="684"/>
      <c r="VJZ68" s="684"/>
      <c r="VKA68" s="684"/>
      <c r="VKB68" s="684"/>
      <c r="VKC68" s="684"/>
      <c r="VKD68" s="684"/>
      <c r="VKE68" s="684"/>
      <c r="VKF68" s="684"/>
      <c r="VKG68" s="684"/>
      <c r="VKH68" s="684"/>
      <c r="VKI68" s="684"/>
      <c r="VKJ68" s="684"/>
      <c r="VKK68" s="684"/>
      <c r="VKL68" s="684"/>
      <c r="VKM68" s="684"/>
      <c r="VKN68" s="684"/>
      <c r="VKO68" s="684"/>
      <c r="VKP68" s="684"/>
      <c r="VKQ68" s="684"/>
      <c r="VKR68" s="684"/>
      <c r="VKS68" s="684"/>
      <c r="VKT68" s="684"/>
      <c r="VKU68" s="684"/>
      <c r="VKV68" s="684"/>
      <c r="VKW68" s="684"/>
      <c r="VKX68" s="684"/>
      <c r="VKY68" s="684"/>
      <c r="VKZ68" s="684"/>
      <c r="VLA68" s="684"/>
      <c r="VLB68" s="684"/>
      <c r="VLC68" s="684"/>
      <c r="VLD68" s="684"/>
      <c r="VLE68" s="684"/>
      <c r="VLF68" s="684"/>
      <c r="VLG68" s="684"/>
      <c r="VLH68" s="684"/>
      <c r="VLI68" s="684"/>
      <c r="VLJ68" s="684"/>
      <c r="VLK68" s="684"/>
      <c r="VLL68" s="684"/>
      <c r="VLM68" s="684"/>
      <c r="VLN68" s="684"/>
      <c r="VLO68" s="684"/>
      <c r="VLP68" s="684"/>
      <c r="VLQ68" s="684"/>
      <c r="VLR68" s="684"/>
      <c r="VLS68" s="684"/>
      <c r="VLT68" s="684"/>
      <c r="VLU68" s="684"/>
      <c r="VLV68" s="684"/>
      <c r="VLW68" s="684"/>
      <c r="VLX68" s="684"/>
      <c r="VLY68" s="684"/>
      <c r="VLZ68" s="684"/>
      <c r="VMA68" s="684"/>
      <c r="VMB68" s="684"/>
      <c r="VMC68" s="684"/>
      <c r="VMD68" s="684"/>
      <c r="VME68" s="684"/>
      <c r="VMF68" s="684"/>
      <c r="VMG68" s="684"/>
      <c r="VMH68" s="684"/>
      <c r="VMI68" s="684"/>
      <c r="VMJ68" s="684"/>
      <c r="VMK68" s="684"/>
      <c r="VML68" s="684"/>
      <c r="VMM68" s="684"/>
      <c r="VMN68" s="684"/>
      <c r="VMO68" s="684"/>
      <c r="VMP68" s="684"/>
      <c r="VMQ68" s="684"/>
      <c r="VMR68" s="684"/>
      <c r="VMS68" s="684"/>
      <c r="VMT68" s="684"/>
      <c r="VMU68" s="684"/>
      <c r="VMV68" s="684"/>
      <c r="VMW68" s="684"/>
      <c r="VMX68" s="684"/>
      <c r="VMY68" s="684"/>
      <c r="VMZ68" s="684"/>
      <c r="VNA68" s="684"/>
      <c r="VNB68" s="684"/>
      <c r="VNC68" s="684"/>
      <c r="VND68" s="684"/>
      <c r="VNE68" s="684"/>
      <c r="VNF68" s="684"/>
      <c r="VNG68" s="684"/>
      <c r="VNH68" s="684"/>
      <c r="VNI68" s="684"/>
      <c r="VNJ68" s="684"/>
      <c r="VNK68" s="684"/>
      <c r="VNL68" s="684"/>
      <c r="VNM68" s="684"/>
      <c r="VNN68" s="684"/>
      <c r="VNO68" s="684"/>
      <c r="VNP68" s="684"/>
      <c r="VNQ68" s="684"/>
      <c r="VNR68" s="684"/>
      <c r="VNS68" s="684"/>
      <c r="VNT68" s="684"/>
      <c r="VNU68" s="684"/>
      <c r="VNV68" s="684"/>
      <c r="VNW68" s="684"/>
      <c r="VNX68" s="684"/>
      <c r="VNY68" s="684"/>
      <c r="VNZ68" s="684"/>
      <c r="VOA68" s="684"/>
      <c r="VOB68" s="684"/>
      <c r="VOC68" s="684"/>
      <c r="VOD68" s="684"/>
      <c r="VOE68" s="684"/>
      <c r="VOF68" s="684"/>
      <c r="VOG68" s="684"/>
      <c r="VOH68" s="684"/>
      <c r="VOI68" s="684"/>
      <c r="VOJ68" s="684"/>
      <c r="VOK68" s="684"/>
      <c r="VOL68" s="684"/>
      <c r="VOM68" s="684"/>
      <c r="VON68" s="684"/>
      <c r="VOO68" s="684"/>
      <c r="VOP68" s="684"/>
      <c r="VOQ68" s="684"/>
      <c r="VOR68" s="684"/>
      <c r="VOS68" s="684"/>
      <c r="VOT68" s="684"/>
      <c r="VOU68" s="684"/>
      <c r="VOV68" s="684"/>
      <c r="VOW68" s="684"/>
      <c r="VOX68" s="684"/>
      <c r="VOY68" s="684"/>
      <c r="VOZ68" s="684"/>
      <c r="VPA68" s="684"/>
      <c r="VPB68" s="684"/>
      <c r="VPC68" s="684"/>
      <c r="VPD68" s="684"/>
      <c r="VPE68" s="684"/>
      <c r="VPF68" s="684"/>
      <c r="VPG68" s="684"/>
      <c r="VPH68" s="684"/>
      <c r="VPI68" s="684"/>
      <c r="VPJ68" s="684"/>
      <c r="VPK68" s="684"/>
      <c r="VPL68" s="684"/>
      <c r="VPM68" s="684"/>
      <c r="VPN68" s="684"/>
      <c r="VPO68" s="684"/>
      <c r="VPP68" s="684"/>
      <c r="VPQ68" s="684"/>
      <c r="VPR68" s="684"/>
      <c r="VPS68" s="684"/>
      <c r="VPT68" s="684"/>
      <c r="VPU68" s="684"/>
      <c r="VPV68" s="684"/>
      <c r="VPW68" s="684"/>
      <c r="VPX68" s="684"/>
      <c r="VPY68" s="684"/>
      <c r="VPZ68" s="684"/>
      <c r="VQA68" s="684"/>
      <c r="VQB68" s="684"/>
      <c r="VQC68" s="684"/>
      <c r="VQD68" s="684"/>
      <c r="VQE68" s="684"/>
      <c r="VQF68" s="684"/>
      <c r="VQG68" s="684"/>
      <c r="VQH68" s="684"/>
      <c r="VQI68" s="684"/>
      <c r="VQJ68" s="684"/>
      <c r="VQK68" s="684"/>
      <c r="VQL68" s="684"/>
      <c r="VQM68" s="684"/>
      <c r="VQN68" s="684"/>
      <c r="VQO68" s="684"/>
      <c r="VQP68" s="684"/>
      <c r="VQQ68" s="684"/>
      <c r="VQR68" s="684"/>
      <c r="VQS68" s="684"/>
      <c r="VQT68" s="684"/>
      <c r="VQU68" s="684"/>
      <c r="VQV68" s="684"/>
      <c r="VQW68" s="684"/>
      <c r="VQX68" s="684"/>
      <c r="VQY68" s="684"/>
      <c r="VQZ68" s="684"/>
      <c r="VRA68" s="684"/>
      <c r="VRB68" s="684"/>
      <c r="VRC68" s="684"/>
      <c r="VRD68" s="684"/>
      <c r="VRE68" s="684"/>
      <c r="VRF68" s="684"/>
      <c r="VRG68" s="684"/>
      <c r="VRH68" s="684"/>
      <c r="VRI68" s="684"/>
      <c r="VRJ68" s="684"/>
      <c r="VRK68" s="684"/>
      <c r="VRL68" s="684"/>
      <c r="VRM68" s="684"/>
      <c r="VRN68" s="684"/>
      <c r="VRO68" s="684"/>
      <c r="VRP68" s="684"/>
      <c r="VRQ68" s="684"/>
      <c r="VRR68" s="684"/>
      <c r="VRS68" s="684"/>
      <c r="VRT68" s="684"/>
      <c r="VRU68" s="684"/>
      <c r="VRV68" s="684"/>
      <c r="VRW68" s="684"/>
      <c r="VRX68" s="684"/>
      <c r="VRY68" s="684"/>
      <c r="VRZ68" s="684"/>
      <c r="VSA68" s="684"/>
      <c r="VSB68" s="684"/>
      <c r="VSC68" s="684"/>
      <c r="VSD68" s="684"/>
      <c r="VSE68" s="684"/>
      <c r="VSF68" s="684"/>
      <c r="VSG68" s="684"/>
      <c r="VSH68" s="684"/>
      <c r="VSI68" s="684"/>
      <c r="VSJ68" s="684"/>
      <c r="VSK68" s="684"/>
      <c r="VSL68" s="684"/>
      <c r="VSM68" s="684"/>
      <c r="VSN68" s="684"/>
      <c r="VSO68" s="684"/>
      <c r="VSP68" s="684"/>
      <c r="VSQ68" s="684"/>
      <c r="VSR68" s="684"/>
      <c r="VSS68" s="684"/>
      <c r="VST68" s="684"/>
      <c r="VSU68" s="684"/>
      <c r="VSV68" s="684"/>
      <c r="VSW68" s="684"/>
      <c r="VSX68" s="684"/>
      <c r="VSY68" s="684"/>
      <c r="VSZ68" s="684"/>
      <c r="VTA68" s="684"/>
      <c r="VTB68" s="684"/>
      <c r="VTC68" s="684"/>
      <c r="VTD68" s="684"/>
      <c r="VTE68" s="684"/>
      <c r="VTF68" s="684"/>
      <c r="VTG68" s="684"/>
      <c r="VTH68" s="684"/>
      <c r="VTI68" s="684"/>
      <c r="VTJ68" s="684"/>
      <c r="VTK68" s="684"/>
      <c r="VTL68" s="684"/>
      <c r="VTM68" s="684"/>
      <c r="VTN68" s="684"/>
      <c r="VTO68" s="684"/>
      <c r="VTP68" s="684"/>
      <c r="VTQ68" s="684"/>
      <c r="VTR68" s="684"/>
      <c r="VTS68" s="684"/>
      <c r="VTT68" s="684"/>
      <c r="VTU68" s="684"/>
      <c r="VTV68" s="684"/>
      <c r="VTW68" s="684"/>
      <c r="VTX68" s="684"/>
      <c r="VTY68" s="684"/>
      <c r="VTZ68" s="684"/>
      <c r="VUA68" s="684"/>
      <c r="VUB68" s="684"/>
      <c r="VUC68" s="684"/>
      <c r="VUD68" s="684"/>
      <c r="VUE68" s="684"/>
      <c r="VUF68" s="684"/>
      <c r="VUG68" s="684"/>
      <c r="VUH68" s="684"/>
      <c r="VUI68" s="684"/>
      <c r="VUJ68" s="684"/>
      <c r="VUK68" s="684"/>
      <c r="VUL68" s="684"/>
      <c r="VUM68" s="684"/>
      <c r="VUN68" s="684"/>
      <c r="VUO68" s="684"/>
      <c r="VUP68" s="684"/>
      <c r="VUQ68" s="684"/>
      <c r="VUR68" s="684"/>
      <c r="VUS68" s="684"/>
      <c r="VUT68" s="684"/>
      <c r="VUU68" s="684"/>
      <c r="VUV68" s="684"/>
      <c r="VUW68" s="684"/>
      <c r="VUX68" s="684"/>
      <c r="VUY68" s="684"/>
      <c r="VUZ68" s="684"/>
      <c r="VVA68" s="684"/>
      <c r="VVB68" s="684"/>
      <c r="VVC68" s="684"/>
      <c r="VVD68" s="684"/>
      <c r="VVE68" s="684"/>
      <c r="VVF68" s="684"/>
      <c r="VVG68" s="684"/>
      <c r="VVH68" s="684"/>
      <c r="VVI68" s="684"/>
      <c r="VVJ68" s="684"/>
      <c r="VVK68" s="684"/>
      <c r="VVL68" s="684"/>
      <c r="VVM68" s="684"/>
      <c r="VVN68" s="684"/>
      <c r="VVO68" s="684"/>
      <c r="VVP68" s="684"/>
      <c r="VVQ68" s="684"/>
      <c r="VVR68" s="684"/>
      <c r="VVS68" s="684"/>
      <c r="VVT68" s="684"/>
      <c r="VVU68" s="684"/>
      <c r="VVV68" s="684"/>
      <c r="VVW68" s="684"/>
      <c r="VVX68" s="684"/>
      <c r="VVY68" s="684"/>
      <c r="VVZ68" s="684"/>
      <c r="VWA68" s="684"/>
      <c r="VWB68" s="684"/>
      <c r="VWC68" s="684"/>
      <c r="VWD68" s="684"/>
      <c r="VWE68" s="684"/>
      <c r="VWF68" s="684"/>
      <c r="VWG68" s="684"/>
      <c r="VWH68" s="684"/>
      <c r="VWI68" s="684"/>
      <c r="VWJ68" s="684"/>
      <c r="VWK68" s="684"/>
      <c r="VWL68" s="684"/>
      <c r="VWM68" s="684"/>
      <c r="VWN68" s="684"/>
      <c r="VWO68" s="684"/>
      <c r="VWP68" s="684"/>
      <c r="VWQ68" s="684"/>
      <c r="VWR68" s="684"/>
      <c r="VWS68" s="684"/>
      <c r="VWT68" s="684"/>
      <c r="VWU68" s="684"/>
      <c r="VWV68" s="684"/>
      <c r="VWW68" s="684"/>
      <c r="VWX68" s="684"/>
      <c r="VWY68" s="684"/>
      <c r="VWZ68" s="684"/>
      <c r="VXA68" s="684"/>
      <c r="VXB68" s="684"/>
      <c r="VXC68" s="684"/>
      <c r="VXD68" s="684"/>
      <c r="VXE68" s="684"/>
      <c r="VXF68" s="684"/>
      <c r="VXG68" s="684"/>
      <c r="VXH68" s="684"/>
      <c r="VXI68" s="684"/>
      <c r="VXJ68" s="684"/>
      <c r="VXK68" s="684"/>
      <c r="VXL68" s="684"/>
      <c r="VXM68" s="684"/>
      <c r="VXN68" s="684"/>
      <c r="VXO68" s="684"/>
      <c r="VXP68" s="684"/>
      <c r="VXQ68" s="684"/>
      <c r="VXR68" s="684"/>
      <c r="VXS68" s="684"/>
      <c r="VXT68" s="684"/>
      <c r="VXU68" s="684"/>
      <c r="VXV68" s="684"/>
      <c r="VXW68" s="684"/>
      <c r="VXX68" s="684"/>
      <c r="VXY68" s="684"/>
      <c r="VXZ68" s="684"/>
      <c r="VYA68" s="684"/>
      <c r="VYB68" s="684"/>
      <c r="VYC68" s="684"/>
      <c r="VYD68" s="684"/>
      <c r="VYE68" s="684"/>
      <c r="VYF68" s="684"/>
      <c r="VYG68" s="684"/>
      <c r="VYH68" s="684"/>
      <c r="VYI68" s="684"/>
      <c r="VYJ68" s="684"/>
      <c r="VYK68" s="684"/>
      <c r="VYL68" s="684"/>
      <c r="VYM68" s="684"/>
      <c r="VYN68" s="684"/>
      <c r="VYO68" s="684"/>
      <c r="VYP68" s="684"/>
      <c r="VYQ68" s="684"/>
      <c r="VYR68" s="684"/>
      <c r="VYS68" s="684"/>
      <c r="VYT68" s="684"/>
      <c r="VYU68" s="684"/>
      <c r="VYV68" s="684"/>
      <c r="VYW68" s="684"/>
      <c r="VYX68" s="684"/>
      <c r="VYY68" s="684"/>
      <c r="VYZ68" s="684"/>
      <c r="VZA68" s="684"/>
      <c r="VZB68" s="684"/>
      <c r="VZC68" s="684"/>
      <c r="VZD68" s="684"/>
      <c r="VZE68" s="684"/>
      <c r="VZF68" s="684"/>
      <c r="VZG68" s="684"/>
      <c r="VZH68" s="684"/>
      <c r="VZI68" s="684"/>
      <c r="VZJ68" s="684"/>
      <c r="VZK68" s="684"/>
      <c r="VZL68" s="684"/>
      <c r="VZM68" s="684"/>
      <c r="VZN68" s="684"/>
      <c r="VZO68" s="684"/>
      <c r="VZP68" s="684"/>
      <c r="VZQ68" s="684"/>
      <c r="VZR68" s="684"/>
      <c r="VZS68" s="684"/>
      <c r="VZT68" s="684"/>
      <c r="VZU68" s="684"/>
      <c r="VZV68" s="684"/>
      <c r="VZW68" s="684"/>
      <c r="VZX68" s="684"/>
      <c r="VZY68" s="684"/>
      <c r="VZZ68" s="684"/>
      <c r="WAA68" s="684"/>
      <c r="WAB68" s="684"/>
      <c r="WAC68" s="684"/>
      <c r="WAD68" s="684"/>
      <c r="WAE68" s="684"/>
      <c r="WAF68" s="684"/>
      <c r="WAG68" s="684"/>
      <c r="WAH68" s="684"/>
      <c r="WAI68" s="684"/>
      <c r="WAJ68" s="684"/>
      <c r="WAK68" s="684"/>
      <c r="WAL68" s="684"/>
      <c r="WAM68" s="684"/>
      <c r="WAN68" s="684"/>
      <c r="WAO68" s="684"/>
      <c r="WAP68" s="684"/>
      <c r="WAQ68" s="684"/>
      <c r="WAR68" s="684"/>
      <c r="WAS68" s="684"/>
      <c r="WAT68" s="684"/>
      <c r="WAU68" s="684"/>
      <c r="WAV68" s="684"/>
      <c r="WAW68" s="684"/>
      <c r="WAX68" s="684"/>
      <c r="WAY68" s="684"/>
      <c r="WAZ68" s="684"/>
      <c r="WBA68" s="684"/>
      <c r="WBB68" s="684"/>
      <c r="WBC68" s="684"/>
      <c r="WBD68" s="684"/>
      <c r="WBE68" s="684"/>
      <c r="WBF68" s="684"/>
      <c r="WBG68" s="684"/>
      <c r="WBH68" s="684"/>
      <c r="WBI68" s="684"/>
      <c r="WBJ68" s="684"/>
      <c r="WBK68" s="684"/>
      <c r="WBL68" s="684"/>
      <c r="WBM68" s="684"/>
      <c r="WBN68" s="684"/>
      <c r="WBO68" s="684"/>
      <c r="WBP68" s="684"/>
      <c r="WBQ68" s="684"/>
      <c r="WBR68" s="684"/>
      <c r="WBS68" s="684"/>
      <c r="WBT68" s="684"/>
      <c r="WBU68" s="684"/>
      <c r="WBV68" s="684"/>
      <c r="WBW68" s="684"/>
      <c r="WBX68" s="684"/>
      <c r="WBY68" s="684"/>
      <c r="WBZ68" s="684"/>
      <c r="WCA68" s="684"/>
      <c r="WCB68" s="684"/>
      <c r="WCC68" s="684"/>
      <c r="WCD68" s="684"/>
      <c r="WCE68" s="684"/>
      <c r="WCF68" s="684"/>
      <c r="WCG68" s="684"/>
      <c r="WCH68" s="684"/>
      <c r="WCI68" s="684"/>
      <c r="WCJ68" s="684"/>
      <c r="WCK68" s="684"/>
      <c r="WCL68" s="684"/>
      <c r="WCM68" s="684"/>
      <c r="WCN68" s="684"/>
      <c r="WCO68" s="684"/>
      <c r="WCP68" s="684"/>
      <c r="WCQ68" s="684"/>
      <c r="WCR68" s="684"/>
      <c r="WCS68" s="684"/>
      <c r="WCT68" s="684"/>
      <c r="WCU68" s="684"/>
      <c r="WCV68" s="684"/>
      <c r="WCW68" s="684"/>
      <c r="WCX68" s="684"/>
      <c r="WCY68" s="684"/>
      <c r="WCZ68" s="684"/>
      <c r="WDA68" s="684"/>
      <c r="WDB68" s="684"/>
      <c r="WDC68" s="684"/>
      <c r="WDD68" s="684"/>
      <c r="WDE68" s="684"/>
      <c r="WDF68" s="684"/>
      <c r="WDG68" s="684"/>
      <c r="WDH68" s="684"/>
      <c r="WDI68" s="684"/>
      <c r="WDJ68" s="684"/>
      <c r="WDK68" s="684"/>
      <c r="WDL68" s="684"/>
      <c r="WDM68" s="684"/>
      <c r="WDN68" s="684"/>
      <c r="WDO68" s="684"/>
      <c r="WDP68" s="684"/>
      <c r="WDQ68" s="684"/>
      <c r="WDR68" s="684"/>
      <c r="WDS68" s="684"/>
      <c r="WDT68" s="684"/>
      <c r="WDU68" s="684"/>
      <c r="WDV68" s="684"/>
      <c r="WDW68" s="684"/>
      <c r="WDX68" s="684"/>
      <c r="WDY68" s="684"/>
      <c r="WDZ68" s="684"/>
      <c r="WEA68" s="684"/>
      <c r="WEB68" s="684"/>
      <c r="WEC68" s="684"/>
      <c r="WED68" s="684"/>
      <c r="WEE68" s="684"/>
      <c r="WEF68" s="684"/>
      <c r="WEG68" s="684"/>
      <c r="WEH68" s="684"/>
      <c r="WEI68" s="684"/>
      <c r="WEJ68" s="684"/>
      <c r="WEK68" s="684"/>
      <c r="WEL68" s="684"/>
      <c r="WEM68" s="684"/>
      <c r="WEN68" s="684"/>
      <c r="WEO68" s="684"/>
      <c r="WEP68" s="684"/>
      <c r="WEQ68" s="684"/>
      <c r="WER68" s="684"/>
      <c r="WES68" s="684"/>
      <c r="WET68" s="684"/>
      <c r="WEU68" s="684"/>
      <c r="WEV68" s="684"/>
      <c r="WEW68" s="684"/>
      <c r="WEX68" s="684"/>
      <c r="WEY68" s="684"/>
      <c r="WEZ68" s="684"/>
      <c r="WFA68" s="684"/>
      <c r="WFB68" s="684"/>
      <c r="WFC68" s="684"/>
      <c r="WFD68" s="684"/>
      <c r="WFE68" s="684"/>
      <c r="WFF68" s="684"/>
      <c r="WFG68" s="684"/>
      <c r="WFH68" s="684"/>
      <c r="WFI68" s="684"/>
      <c r="WFJ68" s="684"/>
      <c r="WFK68" s="684"/>
      <c r="WFL68" s="684"/>
      <c r="WFM68" s="684"/>
      <c r="WFN68" s="684"/>
      <c r="WFO68" s="684"/>
      <c r="WFP68" s="684"/>
      <c r="WFQ68" s="684"/>
      <c r="WFR68" s="684"/>
      <c r="WFS68" s="684"/>
      <c r="WFT68" s="684"/>
      <c r="WFU68" s="684"/>
      <c r="WFV68" s="684"/>
      <c r="WFW68" s="684"/>
      <c r="WFX68" s="684"/>
      <c r="WFY68" s="684"/>
      <c r="WFZ68" s="684"/>
      <c r="WGA68" s="684"/>
      <c r="WGB68" s="684"/>
      <c r="WGC68" s="684"/>
      <c r="WGD68" s="684"/>
      <c r="WGE68" s="684"/>
      <c r="WGF68" s="684"/>
      <c r="WGG68" s="684"/>
      <c r="WGH68" s="684"/>
      <c r="WGI68" s="684"/>
      <c r="WGJ68" s="684"/>
      <c r="WGK68" s="684"/>
      <c r="WGL68" s="684"/>
      <c r="WGM68" s="684"/>
      <c r="WGN68" s="684"/>
      <c r="WGO68" s="684"/>
      <c r="WGP68" s="684"/>
      <c r="WGQ68" s="684"/>
      <c r="WGR68" s="684"/>
      <c r="WGS68" s="684"/>
      <c r="WGT68" s="684"/>
      <c r="WGU68" s="684"/>
      <c r="WGV68" s="684"/>
      <c r="WGW68" s="684"/>
      <c r="WGX68" s="684"/>
      <c r="WGY68" s="684"/>
      <c r="WGZ68" s="684"/>
      <c r="WHA68" s="684"/>
      <c r="WHB68" s="684"/>
      <c r="WHC68" s="684"/>
      <c r="WHD68" s="684"/>
      <c r="WHE68" s="684"/>
      <c r="WHF68" s="684"/>
      <c r="WHG68" s="684"/>
      <c r="WHH68" s="684"/>
      <c r="WHI68" s="684"/>
      <c r="WHJ68" s="684"/>
      <c r="WHK68" s="684"/>
      <c r="WHL68" s="684"/>
      <c r="WHM68" s="684"/>
      <c r="WHN68" s="684"/>
      <c r="WHO68" s="684"/>
      <c r="WHP68" s="684"/>
      <c r="WHQ68" s="684"/>
      <c r="WHR68" s="684"/>
      <c r="WHS68" s="684"/>
      <c r="WHT68" s="684"/>
      <c r="WHU68" s="684"/>
      <c r="WHV68" s="684"/>
      <c r="WHW68" s="684"/>
      <c r="WHX68" s="684"/>
      <c r="WHY68" s="684"/>
      <c r="WHZ68" s="684"/>
      <c r="WIA68" s="684"/>
      <c r="WIB68" s="684"/>
      <c r="WIC68" s="684"/>
      <c r="WID68" s="684"/>
      <c r="WIE68" s="684"/>
      <c r="WIF68" s="684"/>
      <c r="WIG68" s="684"/>
      <c r="WIH68" s="684"/>
      <c r="WII68" s="684"/>
      <c r="WIJ68" s="684"/>
      <c r="WIK68" s="684"/>
      <c r="WIL68" s="684"/>
      <c r="WIM68" s="684"/>
      <c r="WIN68" s="684"/>
      <c r="WIO68" s="684"/>
      <c r="WIP68" s="684"/>
      <c r="WIQ68" s="684"/>
      <c r="WIR68" s="684"/>
      <c r="WIS68" s="684"/>
      <c r="WIT68" s="684"/>
      <c r="WIU68" s="684"/>
      <c r="WIV68" s="684"/>
      <c r="WIW68" s="684"/>
      <c r="WIX68" s="684"/>
      <c r="WIY68" s="684"/>
      <c r="WIZ68" s="684"/>
      <c r="WJA68" s="684"/>
      <c r="WJB68" s="684"/>
      <c r="WJC68" s="684"/>
      <c r="WJD68" s="684"/>
      <c r="WJE68" s="684"/>
      <c r="WJF68" s="684"/>
      <c r="WJG68" s="684"/>
      <c r="WJH68" s="684"/>
      <c r="WJI68" s="684"/>
      <c r="WJJ68" s="684"/>
      <c r="WJK68" s="684"/>
      <c r="WJL68" s="684"/>
      <c r="WJM68" s="684"/>
      <c r="WJN68" s="684"/>
      <c r="WJO68" s="684"/>
      <c r="WJP68" s="684"/>
      <c r="WJQ68" s="684"/>
      <c r="WJR68" s="684"/>
      <c r="WJS68" s="684"/>
      <c r="WJT68" s="684"/>
      <c r="WJU68" s="684"/>
      <c r="WJV68" s="684"/>
      <c r="WJW68" s="684"/>
      <c r="WJX68" s="684"/>
      <c r="WJY68" s="684"/>
      <c r="WJZ68" s="684"/>
      <c r="WKA68" s="684"/>
      <c r="WKB68" s="684"/>
      <c r="WKC68" s="684"/>
      <c r="WKD68" s="684"/>
      <c r="WKE68" s="684"/>
      <c r="WKF68" s="684"/>
      <c r="WKG68" s="684"/>
      <c r="WKH68" s="684"/>
      <c r="WKI68" s="684"/>
      <c r="WKJ68" s="684"/>
      <c r="WKK68" s="684"/>
      <c r="WKL68" s="684"/>
      <c r="WKM68" s="684"/>
      <c r="WKN68" s="684"/>
      <c r="WKO68" s="684"/>
      <c r="WKP68" s="684"/>
      <c r="WKQ68" s="684"/>
      <c r="WKR68" s="684"/>
      <c r="WKS68" s="684"/>
      <c r="WKT68" s="684"/>
      <c r="WKU68" s="684"/>
      <c r="WKV68" s="684"/>
      <c r="WKW68" s="684"/>
      <c r="WKX68" s="684"/>
      <c r="WKY68" s="684"/>
      <c r="WKZ68" s="684"/>
      <c r="WLA68" s="684"/>
      <c r="WLB68" s="684"/>
      <c r="WLC68" s="684"/>
      <c r="WLD68" s="684"/>
      <c r="WLE68" s="684"/>
      <c r="WLF68" s="684"/>
      <c r="WLG68" s="684"/>
      <c r="WLH68" s="684"/>
      <c r="WLI68" s="684"/>
      <c r="WLJ68" s="684"/>
      <c r="WLK68" s="684"/>
      <c r="WLL68" s="684"/>
      <c r="WLM68" s="684"/>
      <c r="WLN68" s="684"/>
      <c r="WLO68" s="684"/>
      <c r="WLP68" s="684"/>
      <c r="WLQ68" s="684"/>
      <c r="WLR68" s="684"/>
      <c r="WLS68" s="684"/>
      <c r="WLT68" s="684"/>
      <c r="WLU68" s="684"/>
      <c r="WLV68" s="684"/>
      <c r="WLW68" s="684"/>
      <c r="WLX68" s="684"/>
      <c r="WLY68" s="684"/>
      <c r="WLZ68" s="684"/>
      <c r="WMA68" s="684"/>
      <c r="WMB68" s="684"/>
      <c r="WMC68" s="684"/>
      <c r="WMD68" s="684"/>
      <c r="WME68" s="684"/>
      <c r="WMF68" s="684"/>
      <c r="WMG68" s="684"/>
      <c r="WMH68" s="684"/>
      <c r="WMI68" s="684"/>
      <c r="WMJ68" s="684"/>
      <c r="WMK68" s="684"/>
      <c r="WML68" s="684"/>
      <c r="WMM68" s="684"/>
      <c r="WMN68" s="684"/>
      <c r="WMO68" s="684"/>
      <c r="WMP68" s="684"/>
      <c r="WMQ68" s="684"/>
      <c r="WMR68" s="684"/>
      <c r="WMS68" s="684"/>
      <c r="WMT68" s="684"/>
      <c r="WMU68" s="684"/>
      <c r="WMV68" s="684"/>
      <c r="WMW68" s="684"/>
      <c r="WMX68" s="684"/>
      <c r="WMY68" s="684"/>
      <c r="WMZ68" s="684"/>
      <c r="WNA68" s="684"/>
      <c r="WNB68" s="684"/>
      <c r="WNC68" s="684"/>
      <c r="WND68" s="684"/>
      <c r="WNE68" s="684"/>
      <c r="WNF68" s="684"/>
      <c r="WNG68" s="684"/>
      <c r="WNH68" s="684"/>
      <c r="WNI68" s="684"/>
      <c r="WNJ68" s="684"/>
      <c r="WNK68" s="684"/>
      <c r="WNL68" s="684"/>
      <c r="WNM68" s="684"/>
      <c r="WNN68" s="684"/>
      <c r="WNO68" s="684"/>
      <c r="WNP68" s="684"/>
      <c r="WNQ68" s="684"/>
      <c r="WNR68" s="684"/>
      <c r="WNS68" s="684"/>
      <c r="WNT68" s="684"/>
      <c r="WNU68" s="684"/>
      <c r="WNV68" s="684"/>
      <c r="WNW68" s="684"/>
      <c r="WNX68" s="684"/>
      <c r="WNY68" s="684"/>
      <c r="WNZ68" s="684"/>
      <c r="WOA68" s="684"/>
      <c r="WOB68" s="684"/>
      <c r="WOC68" s="684"/>
      <c r="WOD68" s="684"/>
      <c r="WOE68" s="684"/>
      <c r="WOF68" s="684"/>
      <c r="WOG68" s="684"/>
      <c r="WOH68" s="684"/>
      <c r="WOI68" s="684"/>
      <c r="WOJ68" s="684"/>
      <c r="WOK68" s="684"/>
      <c r="WOL68" s="684"/>
      <c r="WOM68" s="684"/>
      <c r="WON68" s="684"/>
      <c r="WOO68" s="684"/>
      <c r="WOP68" s="684"/>
      <c r="WOQ68" s="684"/>
      <c r="WOR68" s="684"/>
      <c r="WOS68" s="684"/>
      <c r="WOT68" s="684"/>
      <c r="WOU68" s="684"/>
      <c r="WOV68" s="684"/>
      <c r="WOW68" s="684"/>
      <c r="WOX68" s="684"/>
      <c r="WOY68" s="684"/>
      <c r="WOZ68" s="684"/>
      <c r="WPA68" s="684"/>
      <c r="WPB68" s="684"/>
      <c r="WPC68" s="684"/>
      <c r="WPD68" s="684"/>
      <c r="WPE68" s="684"/>
      <c r="WPF68" s="684"/>
      <c r="WPG68" s="684"/>
      <c r="WPH68" s="684"/>
      <c r="WPI68" s="684"/>
      <c r="WPJ68" s="684"/>
      <c r="WPK68" s="684"/>
      <c r="WPL68" s="684"/>
      <c r="WPM68" s="684"/>
      <c r="WPN68" s="684"/>
      <c r="WPO68" s="684"/>
      <c r="WPP68" s="684"/>
      <c r="WPQ68" s="684"/>
      <c r="WPR68" s="684"/>
      <c r="WPS68" s="684"/>
      <c r="WPT68" s="684"/>
      <c r="WPU68" s="684"/>
      <c r="WPV68" s="684"/>
      <c r="WPW68" s="684"/>
      <c r="WPX68" s="684"/>
      <c r="WPY68" s="684"/>
      <c r="WPZ68" s="684"/>
      <c r="WQA68" s="684"/>
      <c r="WQB68" s="684"/>
      <c r="WQC68" s="684"/>
      <c r="WQD68" s="684"/>
      <c r="WQE68" s="684"/>
      <c r="WQF68" s="684"/>
      <c r="WQG68" s="684"/>
      <c r="WQH68" s="684"/>
      <c r="WQI68" s="684"/>
      <c r="WQJ68" s="684"/>
      <c r="WQK68" s="684"/>
      <c r="WQL68" s="684"/>
      <c r="WQM68" s="684"/>
      <c r="WQN68" s="684"/>
      <c r="WQO68" s="684"/>
      <c r="WQP68" s="684"/>
      <c r="WQQ68" s="684"/>
      <c r="WQR68" s="684"/>
      <c r="WQS68" s="684"/>
      <c r="WQT68" s="684"/>
      <c r="WQU68" s="684"/>
      <c r="WQV68" s="684"/>
      <c r="WQW68" s="684"/>
      <c r="WQX68" s="684"/>
      <c r="WQY68" s="684"/>
      <c r="WQZ68" s="684"/>
      <c r="WRA68" s="684"/>
      <c r="WRB68" s="684"/>
      <c r="WRC68" s="684"/>
      <c r="WRD68" s="684"/>
      <c r="WRE68" s="684"/>
      <c r="WRF68" s="684"/>
      <c r="WRG68" s="684"/>
      <c r="WRH68" s="684"/>
      <c r="WRI68" s="684"/>
      <c r="WRJ68" s="684"/>
      <c r="WRK68" s="684"/>
      <c r="WRL68" s="684"/>
      <c r="WRM68" s="684"/>
      <c r="WRN68" s="684"/>
      <c r="WRO68" s="684"/>
      <c r="WRP68" s="684"/>
      <c r="WRQ68" s="684"/>
      <c r="WRR68" s="684"/>
      <c r="WRS68" s="684"/>
      <c r="WRT68" s="684"/>
      <c r="WRU68" s="684"/>
      <c r="WRV68" s="684"/>
      <c r="WRW68" s="684"/>
      <c r="WRX68" s="684"/>
      <c r="WRY68" s="684"/>
      <c r="WRZ68" s="684"/>
      <c r="WSA68" s="684"/>
      <c r="WSB68" s="684"/>
      <c r="WSC68" s="684"/>
      <c r="WSD68" s="684"/>
      <c r="WSE68" s="684"/>
      <c r="WSF68" s="684"/>
      <c r="WSG68" s="684"/>
      <c r="WSH68" s="684"/>
      <c r="WSI68" s="684"/>
      <c r="WSJ68" s="684"/>
      <c r="WSK68" s="684"/>
      <c r="WSL68" s="684"/>
      <c r="WSM68" s="684"/>
      <c r="WSN68" s="684"/>
      <c r="WSO68" s="684"/>
      <c r="WSP68" s="684"/>
      <c r="WSQ68" s="684"/>
      <c r="WSR68" s="684"/>
      <c r="WSS68" s="684"/>
      <c r="WST68" s="684"/>
      <c r="WSU68" s="684"/>
      <c r="WSV68" s="684"/>
      <c r="WSW68" s="684"/>
      <c r="WSX68" s="684"/>
      <c r="WSY68" s="684"/>
      <c r="WSZ68" s="684"/>
      <c r="WTA68" s="684"/>
      <c r="WTB68" s="684"/>
      <c r="WTC68" s="684"/>
      <c r="WTD68" s="684"/>
      <c r="WTE68" s="684"/>
      <c r="WTF68" s="684"/>
      <c r="WTG68" s="684"/>
      <c r="WTH68" s="684"/>
      <c r="WTI68" s="684"/>
      <c r="WTJ68" s="684"/>
      <c r="WTK68" s="684"/>
      <c r="WTL68" s="684"/>
      <c r="WTM68" s="684"/>
      <c r="WTN68" s="684"/>
      <c r="WTO68" s="684"/>
      <c r="WTP68" s="684"/>
      <c r="WTQ68" s="684"/>
      <c r="WTR68" s="684"/>
      <c r="WTS68" s="684"/>
      <c r="WTT68" s="684"/>
      <c r="WTU68" s="684"/>
      <c r="WTV68" s="684"/>
      <c r="WTW68" s="684"/>
      <c r="WTX68" s="684"/>
      <c r="WTY68" s="684"/>
      <c r="WTZ68" s="684"/>
      <c r="WUA68" s="684"/>
      <c r="WUB68" s="684"/>
      <c r="WUC68" s="684"/>
      <c r="WUD68" s="684"/>
      <c r="WUE68" s="684"/>
      <c r="WUF68" s="684"/>
      <c r="WUG68" s="684"/>
      <c r="WUH68" s="684"/>
      <c r="WUI68" s="684"/>
      <c r="WUJ68" s="684"/>
      <c r="WUK68" s="684"/>
      <c r="WUL68" s="684"/>
      <c r="WUM68" s="684"/>
      <c r="WUN68" s="684"/>
      <c r="WUO68" s="684"/>
      <c r="WUP68" s="684"/>
      <c r="WUQ68" s="684"/>
      <c r="WUR68" s="684"/>
      <c r="WUS68" s="684"/>
      <c r="WUT68" s="684"/>
      <c r="WUU68" s="684"/>
      <c r="WUV68" s="684"/>
      <c r="WUW68" s="684"/>
      <c r="WUX68" s="684"/>
      <c r="WUY68" s="684"/>
      <c r="WUZ68" s="684"/>
      <c r="WVA68" s="684"/>
      <c r="WVB68" s="684"/>
      <c r="WVC68" s="684"/>
      <c r="WVD68" s="684"/>
      <c r="WVE68" s="684"/>
      <c r="WVF68" s="684"/>
      <c r="WVG68" s="684"/>
      <c r="WVH68" s="684"/>
      <c r="WVI68" s="684"/>
      <c r="WVJ68" s="684"/>
      <c r="WVK68" s="684"/>
      <c r="WVL68" s="684"/>
      <c r="WVM68" s="684"/>
      <c r="WVN68" s="684"/>
      <c r="WVO68" s="684"/>
      <c r="WVP68" s="684"/>
      <c r="WVQ68" s="684"/>
      <c r="WVR68" s="684"/>
      <c r="WVS68" s="684"/>
      <c r="WVT68" s="684"/>
      <c r="WVU68" s="684"/>
      <c r="WVV68" s="684"/>
      <c r="WVW68" s="684"/>
      <c r="WVX68" s="684"/>
      <c r="WVY68" s="684"/>
      <c r="WVZ68" s="684"/>
      <c r="WWA68" s="684"/>
      <c r="WWB68" s="684"/>
      <c r="WWC68" s="684"/>
      <c r="WWD68" s="684"/>
      <c r="WWE68" s="684"/>
      <c r="WWF68" s="684"/>
      <c r="WWG68" s="684"/>
      <c r="WWH68" s="684"/>
      <c r="WWI68" s="684"/>
      <c r="WWJ68" s="684"/>
      <c r="WWK68" s="684"/>
      <c r="WWL68" s="684"/>
      <c r="WWM68" s="684"/>
      <c r="WWN68" s="684"/>
      <c r="WWO68" s="684"/>
      <c r="WWP68" s="684"/>
      <c r="WWQ68" s="684"/>
      <c r="WWR68" s="684"/>
      <c r="WWS68" s="684"/>
      <c r="WWT68" s="684"/>
      <c r="WWU68" s="684"/>
      <c r="WWV68" s="684"/>
      <c r="WWW68" s="684"/>
      <c r="WWX68" s="684"/>
      <c r="WWY68" s="684"/>
      <c r="WWZ68" s="684"/>
      <c r="WXA68" s="684"/>
      <c r="WXB68" s="684"/>
      <c r="WXC68" s="684"/>
      <c r="WXD68" s="684"/>
      <c r="WXE68" s="684"/>
      <c r="WXF68" s="684"/>
      <c r="WXG68" s="684"/>
      <c r="WXH68" s="684"/>
      <c r="WXI68" s="684"/>
      <c r="WXJ68" s="684"/>
      <c r="WXK68" s="684"/>
      <c r="WXL68" s="684"/>
      <c r="WXM68" s="684"/>
      <c r="WXN68" s="684"/>
      <c r="WXO68" s="684"/>
      <c r="WXP68" s="684"/>
      <c r="WXQ68" s="684"/>
      <c r="WXR68" s="684"/>
      <c r="WXS68" s="684"/>
      <c r="WXT68" s="684"/>
      <c r="WXU68" s="684"/>
      <c r="WXV68" s="684"/>
      <c r="WXW68" s="684"/>
      <c r="WXX68" s="684"/>
      <c r="WXY68" s="684"/>
      <c r="WXZ68" s="684"/>
      <c r="WYA68" s="684"/>
      <c r="WYB68" s="684"/>
      <c r="WYC68" s="684"/>
      <c r="WYD68" s="684"/>
      <c r="WYE68" s="684"/>
      <c r="WYF68" s="684"/>
      <c r="WYG68" s="684"/>
      <c r="WYH68" s="684"/>
      <c r="WYI68" s="684"/>
      <c r="WYJ68" s="684"/>
      <c r="WYK68" s="684"/>
      <c r="WYL68" s="684"/>
      <c r="WYM68" s="684"/>
      <c r="WYN68" s="684"/>
      <c r="WYO68" s="684"/>
      <c r="WYP68" s="684"/>
      <c r="WYQ68" s="684"/>
      <c r="WYR68" s="684"/>
      <c r="WYS68" s="684"/>
      <c r="WYT68" s="684"/>
      <c r="WYU68" s="684"/>
      <c r="WYV68" s="684"/>
      <c r="WYW68" s="684"/>
      <c r="WYX68" s="684"/>
      <c r="WYY68" s="684"/>
      <c r="WYZ68" s="684"/>
      <c r="WZA68" s="684"/>
      <c r="WZB68" s="684"/>
      <c r="WZC68" s="684"/>
      <c r="WZD68" s="684"/>
      <c r="WZE68" s="684"/>
      <c r="WZF68" s="684"/>
      <c r="WZG68" s="684"/>
      <c r="WZH68" s="684"/>
      <c r="WZI68" s="684"/>
      <c r="WZJ68" s="684"/>
      <c r="WZK68" s="684"/>
      <c r="WZL68" s="684"/>
      <c r="WZM68" s="684"/>
      <c r="WZN68" s="684"/>
      <c r="WZO68" s="684"/>
      <c r="WZP68" s="684"/>
      <c r="WZQ68" s="684"/>
      <c r="WZR68" s="684"/>
      <c r="WZS68" s="684"/>
      <c r="WZT68" s="684"/>
      <c r="WZU68" s="684"/>
      <c r="WZV68" s="684"/>
      <c r="WZW68" s="684"/>
      <c r="WZX68" s="684"/>
      <c r="WZY68" s="684"/>
      <c r="WZZ68" s="684"/>
      <c r="XAA68" s="684"/>
      <c r="XAB68" s="684"/>
      <c r="XAC68" s="684"/>
      <c r="XAD68" s="684"/>
      <c r="XAE68" s="684"/>
      <c r="XAF68" s="684"/>
      <c r="XAG68" s="684"/>
      <c r="XAH68" s="684"/>
      <c r="XAI68" s="684"/>
      <c r="XAJ68" s="684"/>
      <c r="XAK68" s="684"/>
      <c r="XAL68" s="684"/>
      <c r="XAM68" s="684"/>
      <c r="XAN68" s="684"/>
      <c r="XAO68" s="684"/>
      <c r="XAP68" s="684"/>
      <c r="XAQ68" s="684"/>
      <c r="XAR68" s="684"/>
      <c r="XAS68" s="684"/>
      <c r="XAT68" s="684"/>
      <c r="XAU68" s="684"/>
      <c r="XAV68" s="684"/>
      <c r="XAW68" s="684"/>
      <c r="XAX68" s="684"/>
      <c r="XAY68" s="684"/>
      <c r="XAZ68" s="684"/>
      <c r="XBA68" s="684"/>
      <c r="XBB68" s="684"/>
      <c r="XBC68" s="684"/>
      <c r="XBD68" s="684"/>
      <c r="XBE68" s="684"/>
      <c r="XBF68" s="684"/>
      <c r="XBG68" s="684"/>
      <c r="XBH68" s="684"/>
      <c r="XBI68" s="684"/>
      <c r="XBJ68" s="684"/>
      <c r="XBK68" s="684"/>
      <c r="XBL68" s="684"/>
      <c r="XBM68" s="684"/>
      <c r="XBN68" s="684"/>
      <c r="XBO68" s="684"/>
      <c r="XBP68" s="684"/>
      <c r="XBQ68" s="684"/>
      <c r="XBR68" s="684"/>
      <c r="XBS68" s="684"/>
      <c r="XBT68" s="684"/>
      <c r="XBU68" s="684"/>
      <c r="XBV68" s="684"/>
      <c r="XBW68" s="684"/>
      <c r="XBX68" s="684"/>
      <c r="XBY68" s="684"/>
      <c r="XBZ68" s="684"/>
      <c r="XCA68" s="684"/>
      <c r="XCB68" s="684"/>
      <c r="XCC68" s="684"/>
      <c r="XCD68" s="684"/>
      <c r="XCE68" s="684"/>
      <c r="XCF68" s="684"/>
      <c r="XCG68" s="684"/>
      <c r="XCH68" s="684"/>
      <c r="XCI68" s="684"/>
      <c r="XCJ68" s="684"/>
      <c r="XCK68" s="684"/>
      <c r="XCL68" s="684"/>
      <c r="XCM68" s="684"/>
      <c r="XCN68" s="684"/>
      <c r="XCO68" s="684"/>
      <c r="XCP68" s="684"/>
      <c r="XCQ68" s="684"/>
      <c r="XCR68" s="684"/>
      <c r="XCS68" s="684"/>
      <c r="XCT68" s="684"/>
      <c r="XCU68" s="684"/>
      <c r="XCV68" s="684"/>
      <c r="XCW68" s="684"/>
      <c r="XCX68" s="684"/>
      <c r="XCY68" s="684"/>
      <c r="XCZ68" s="684"/>
      <c r="XDA68" s="684"/>
      <c r="XDB68" s="684"/>
      <c r="XDC68" s="684"/>
      <c r="XDD68" s="684"/>
      <c r="XDE68" s="684"/>
      <c r="XDF68" s="684"/>
      <c r="XDG68" s="684"/>
      <c r="XDH68" s="684"/>
      <c r="XDI68" s="684"/>
      <c r="XDJ68" s="684"/>
      <c r="XDK68" s="684"/>
      <c r="XDL68" s="684"/>
      <c r="XDM68" s="684"/>
      <c r="XDN68" s="684"/>
      <c r="XDO68" s="684"/>
      <c r="XDP68" s="684"/>
      <c r="XDQ68" s="684"/>
      <c r="XDR68" s="684"/>
      <c r="XDS68" s="684"/>
      <c r="XDT68" s="684"/>
      <c r="XDU68" s="684"/>
      <c r="XDV68" s="684"/>
      <c r="XDW68" s="684"/>
      <c r="XDX68" s="684"/>
      <c r="XDY68" s="684"/>
      <c r="XDZ68" s="684"/>
      <c r="XEA68" s="684"/>
      <c r="XEB68" s="684"/>
      <c r="XEC68" s="684"/>
      <c r="XED68" s="684"/>
      <c r="XEE68" s="684"/>
      <c r="XEF68" s="684"/>
      <c r="XEG68" s="684"/>
      <c r="XEH68" s="684"/>
      <c r="XEI68" s="684"/>
      <c r="XEJ68" s="684"/>
      <c r="XEK68" s="684"/>
      <c r="XEL68" s="684"/>
      <c r="XEM68" s="684"/>
      <c r="XEN68" s="684"/>
      <c r="XEO68" s="684"/>
      <c r="XEP68" s="684"/>
      <c r="XEQ68" s="684"/>
      <c r="XER68" s="684"/>
      <c r="XES68" s="684"/>
      <c r="XET68" s="684"/>
      <c r="XEU68" s="684"/>
      <c r="XEV68" s="684"/>
      <c r="XEW68" s="684"/>
      <c r="XEX68" s="684"/>
      <c r="XEY68" s="684"/>
      <c r="XEZ68" s="684"/>
      <c r="XFA68" s="684"/>
      <c r="XFB68" s="684"/>
      <c r="XFC68" s="684"/>
      <c r="XFD68" s="684"/>
    </row>
    <row r="69" spans="1:16384" s="774" customFormat="1">
      <c r="A69" s="792" t="s">
        <v>2408</v>
      </c>
      <c r="B69" s="500" t="s">
        <v>2418</v>
      </c>
      <c r="C69" s="500" t="s">
        <v>2418</v>
      </c>
      <c r="D69" s="4302" t="str">
        <f>$A69&amp;"  "&amp;$A70</f>
        <v>pwauslihsapp23  pwauslihsapp24</v>
      </c>
      <c r="E69" s="4291" t="str">
        <f>$B69&amp;"  "&amp;$B70</f>
        <v>10.136.68.39  10.136.68.42</v>
      </c>
      <c r="F69" s="4302" t="s">
        <v>76</v>
      </c>
      <c r="G69" s="1108" t="s">
        <v>3048</v>
      </c>
      <c r="H69" s="4234" t="s">
        <v>3042</v>
      </c>
      <c r="I69" s="4234" t="s">
        <v>3051</v>
      </c>
      <c r="J69" s="684"/>
      <c r="K69" s="684"/>
      <c r="L69" s="684"/>
      <c r="M69" s="684"/>
      <c r="N69" s="684"/>
      <c r="O69" s="684"/>
      <c r="P69" s="684"/>
      <c r="Q69" s="684"/>
      <c r="R69" s="684"/>
      <c r="S69" s="684"/>
      <c r="T69" s="684"/>
      <c r="U69" s="684"/>
      <c r="V69" s="684"/>
      <c r="W69" s="684"/>
      <c r="X69" s="684"/>
      <c r="Y69" s="684"/>
      <c r="Z69" s="684"/>
      <c r="AA69" s="684"/>
      <c r="AB69" s="684"/>
      <c r="AC69" s="684"/>
      <c r="AD69" s="684"/>
      <c r="AE69" s="684"/>
      <c r="AF69" s="684"/>
      <c r="AG69" s="684"/>
      <c r="AH69" s="684"/>
      <c r="AI69" s="684"/>
      <c r="AJ69" s="684"/>
      <c r="AK69" s="684"/>
      <c r="AL69" s="684"/>
      <c r="AM69" s="684"/>
      <c r="AN69" s="684"/>
      <c r="AO69" s="684"/>
      <c r="AP69" s="684"/>
      <c r="AQ69" s="684"/>
      <c r="AR69" s="684"/>
      <c r="AS69" s="684"/>
      <c r="AT69" s="684"/>
      <c r="AU69" s="684"/>
      <c r="AV69" s="684"/>
      <c r="AW69" s="684"/>
      <c r="AX69" s="684"/>
      <c r="AY69" s="684"/>
      <c r="AZ69" s="684"/>
      <c r="BA69" s="684"/>
      <c r="BB69" s="684"/>
      <c r="BC69" s="684"/>
      <c r="BD69" s="684"/>
      <c r="BE69" s="684"/>
      <c r="BF69" s="684"/>
      <c r="BG69" s="684"/>
      <c r="BH69" s="684"/>
      <c r="BI69" s="684"/>
      <c r="BJ69" s="68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c r="CI69" s="684"/>
      <c r="CJ69" s="684"/>
      <c r="CK69" s="684"/>
      <c r="CL69" s="684"/>
      <c r="CM69" s="684"/>
      <c r="CN69" s="684"/>
      <c r="CO69" s="684"/>
      <c r="CP69" s="684"/>
      <c r="CQ69" s="684"/>
      <c r="CR69" s="684"/>
      <c r="CS69" s="684"/>
      <c r="CT69" s="684"/>
      <c r="CU69" s="684"/>
      <c r="CV69" s="684"/>
      <c r="CW69" s="684"/>
      <c r="CX69" s="684"/>
      <c r="CY69" s="684"/>
      <c r="CZ69" s="684"/>
      <c r="DA69" s="684"/>
      <c r="DB69" s="684"/>
      <c r="DC69" s="684"/>
      <c r="DD69" s="684"/>
      <c r="DE69" s="684"/>
      <c r="DF69" s="684"/>
      <c r="DG69" s="684"/>
      <c r="DH69" s="684"/>
      <c r="DI69" s="684"/>
      <c r="DJ69" s="684"/>
      <c r="DK69" s="684"/>
      <c r="DL69" s="684"/>
      <c r="DM69" s="684"/>
      <c r="DN69" s="684"/>
      <c r="DO69" s="684"/>
      <c r="DP69" s="684"/>
      <c r="DQ69" s="684"/>
      <c r="DR69" s="684"/>
      <c r="DS69" s="684"/>
      <c r="DT69" s="684"/>
      <c r="DU69" s="684"/>
      <c r="DV69" s="684"/>
      <c r="DW69" s="684"/>
      <c r="DX69" s="684"/>
      <c r="DY69" s="684"/>
      <c r="DZ69" s="684"/>
      <c r="EA69" s="684"/>
      <c r="EB69" s="684"/>
      <c r="EC69" s="684"/>
      <c r="ED69" s="684"/>
      <c r="EE69" s="684"/>
      <c r="EF69" s="684"/>
      <c r="EG69" s="684"/>
      <c r="EH69" s="684"/>
      <c r="EI69" s="684"/>
      <c r="EJ69" s="684"/>
      <c r="EK69" s="684"/>
      <c r="EL69" s="684"/>
      <c r="EM69" s="684"/>
      <c r="EN69" s="684"/>
      <c r="EO69" s="684"/>
      <c r="EP69" s="684"/>
      <c r="EQ69" s="684"/>
      <c r="ER69" s="684"/>
      <c r="ES69" s="684"/>
      <c r="ET69" s="684"/>
      <c r="EU69" s="684"/>
      <c r="EV69" s="684"/>
      <c r="EW69" s="684"/>
      <c r="EX69" s="684"/>
      <c r="EY69" s="684"/>
      <c r="EZ69" s="684"/>
      <c r="FA69" s="684"/>
      <c r="FB69" s="684"/>
      <c r="FC69" s="684"/>
      <c r="FD69" s="684"/>
      <c r="FE69" s="684"/>
      <c r="FF69" s="684"/>
      <c r="FG69" s="684"/>
      <c r="FH69" s="684"/>
      <c r="FI69" s="684"/>
      <c r="FJ69" s="684"/>
      <c r="FK69" s="684"/>
      <c r="FL69" s="684"/>
      <c r="FM69" s="684"/>
      <c r="FN69" s="684"/>
      <c r="FO69" s="684"/>
      <c r="FP69" s="684"/>
      <c r="FQ69" s="684"/>
      <c r="FR69" s="684"/>
      <c r="FS69" s="684"/>
      <c r="FT69" s="684"/>
      <c r="FU69" s="684"/>
      <c r="FV69" s="684"/>
      <c r="FW69" s="684"/>
      <c r="FX69" s="684"/>
      <c r="FY69" s="684"/>
      <c r="FZ69" s="684"/>
      <c r="GA69" s="684"/>
      <c r="GB69" s="684"/>
      <c r="GC69" s="684"/>
      <c r="GD69" s="684"/>
      <c r="GE69" s="684"/>
      <c r="GF69" s="684"/>
      <c r="GG69" s="684"/>
      <c r="GH69" s="684"/>
      <c r="GI69" s="684"/>
      <c r="GJ69" s="684"/>
      <c r="GK69" s="684"/>
      <c r="GL69" s="684"/>
      <c r="GM69" s="684"/>
      <c r="GN69" s="684"/>
      <c r="GO69" s="684"/>
      <c r="GP69" s="684"/>
      <c r="GQ69" s="684"/>
      <c r="GR69" s="684"/>
      <c r="GS69" s="684"/>
      <c r="GT69" s="684"/>
      <c r="GU69" s="684"/>
      <c r="GV69" s="684"/>
      <c r="GW69" s="684"/>
      <c r="GX69" s="684"/>
      <c r="GY69" s="684"/>
      <c r="GZ69" s="684"/>
      <c r="HA69" s="684"/>
      <c r="HB69" s="684"/>
      <c r="HC69" s="684"/>
      <c r="HD69" s="684"/>
      <c r="HE69" s="684"/>
      <c r="HF69" s="684"/>
      <c r="HG69" s="684"/>
      <c r="HH69" s="684"/>
      <c r="HI69" s="684"/>
      <c r="HJ69" s="684"/>
      <c r="HK69" s="684"/>
      <c r="HL69" s="684"/>
      <c r="HM69" s="684"/>
      <c r="HN69" s="684"/>
      <c r="HO69" s="684"/>
      <c r="HP69" s="684"/>
      <c r="HQ69" s="684"/>
      <c r="HR69" s="684"/>
      <c r="HS69" s="684"/>
      <c r="HT69" s="684"/>
      <c r="HU69" s="684"/>
      <c r="HV69" s="684"/>
      <c r="HW69" s="684"/>
      <c r="HX69" s="684"/>
      <c r="HY69" s="684"/>
      <c r="HZ69" s="684"/>
      <c r="IA69" s="684"/>
      <c r="IB69" s="684"/>
      <c r="IC69" s="684"/>
      <c r="ID69" s="684"/>
      <c r="IE69" s="684"/>
      <c r="IF69" s="684"/>
      <c r="IG69" s="684"/>
      <c r="IH69" s="684"/>
      <c r="II69" s="684"/>
      <c r="IJ69" s="684"/>
      <c r="IK69" s="684"/>
      <c r="IL69" s="684"/>
      <c r="IM69" s="684"/>
      <c r="IN69" s="684"/>
      <c r="IO69" s="684"/>
      <c r="IP69" s="684"/>
      <c r="IQ69" s="684"/>
      <c r="IR69" s="684"/>
      <c r="IS69" s="684"/>
      <c r="IT69" s="684"/>
      <c r="IU69" s="684"/>
      <c r="IV69" s="684"/>
      <c r="IW69" s="684"/>
      <c r="IX69" s="684"/>
      <c r="IY69" s="684"/>
      <c r="IZ69" s="684"/>
      <c r="JA69" s="684"/>
      <c r="JB69" s="684"/>
      <c r="JC69" s="684"/>
      <c r="JD69" s="684"/>
      <c r="JE69" s="684"/>
      <c r="JF69" s="684"/>
      <c r="JG69" s="684"/>
      <c r="JH69" s="684"/>
      <c r="JI69" s="684"/>
      <c r="JJ69" s="684"/>
      <c r="JK69" s="684"/>
      <c r="JL69" s="684"/>
      <c r="JM69" s="684"/>
      <c r="JN69" s="684"/>
      <c r="JO69" s="684"/>
      <c r="JP69" s="684"/>
      <c r="JQ69" s="684"/>
      <c r="JR69" s="684"/>
      <c r="JS69" s="684"/>
      <c r="JT69" s="684"/>
      <c r="JU69" s="684"/>
      <c r="JV69" s="684"/>
      <c r="JW69" s="684"/>
      <c r="JX69" s="684"/>
      <c r="JY69" s="684"/>
      <c r="JZ69" s="684"/>
      <c r="KA69" s="684"/>
      <c r="KB69" s="684"/>
      <c r="KC69" s="684"/>
      <c r="KD69" s="684"/>
      <c r="KE69" s="684"/>
      <c r="KF69" s="684"/>
      <c r="KG69" s="684"/>
      <c r="KH69" s="684"/>
      <c r="KI69" s="684"/>
      <c r="KJ69" s="684"/>
      <c r="KK69" s="684"/>
      <c r="KL69" s="684"/>
      <c r="KM69" s="684"/>
      <c r="KN69" s="684"/>
      <c r="KO69" s="684"/>
      <c r="KP69" s="684"/>
      <c r="KQ69" s="684"/>
      <c r="KR69" s="684"/>
      <c r="KS69" s="684"/>
      <c r="KT69" s="684"/>
      <c r="KU69" s="684"/>
      <c r="KV69" s="684"/>
      <c r="KW69" s="684"/>
      <c r="KX69" s="684"/>
      <c r="KY69" s="684"/>
      <c r="KZ69" s="684"/>
      <c r="LA69" s="684"/>
      <c r="LB69" s="684"/>
      <c r="LC69" s="684"/>
      <c r="LD69" s="684"/>
      <c r="LE69" s="684"/>
      <c r="LF69" s="684"/>
      <c r="LG69" s="684"/>
      <c r="LH69" s="684"/>
      <c r="LI69" s="684"/>
      <c r="LJ69" s="684"/>
      <c r="LK69" s="684"/>
      <c r="LL69" s="684"/>
      <c r="LM69" s="684"/>
      <c r="LN69" s="684"/>
      <c r="LO69" s="684"/>
      <c r="LP69" s="684"/>
      <c r="LQ69" s="684"/>
      <c r="LR69" s="684"/>
      <c r="LS69" s="684"/>
      <c r="LT69" s="684"/>
      <c r="LU69" s="684"/>
      <c r="LV69" s="684"/>
      <c r="LW69" s="684"/>
      <c r="LX69" s="684"/>
      <c r="LY69" s="684"/>
      <c r="LZ69" s="684"/>
      <c r="MA69" s="684"/>
      <c r="MB69" s="684"/>
      <c r="MC69" s="684"/>
      <c r="MD69" s="684"/>
      <c r="ME69" s="684"/>
      <c r="MF69" s="684"/>
      <c r="MG69" s="684"/>
      <c r="MH69" s="684"/>
      <c r="MI69" s="684"/>
      <c r="MJ69" s="684"/>
      <c r="MK69" s="684"/>
      <c r="ML69" s="684"/>
      <c r="MM69" s="684"/>
      <c r="MN69" s="684"/>
      <c r="MO69" s="684"/>
      <c r="MP69" s="684"/>
      <c r="MQ69" s="684"/>
      <c r="MR69" s="684"/>
      <c r="MS69" s="684"/>
      <c r="MT69" s="684"/>
      <c r="MU69" s="684"/>
      <c r="MV69" s="684"/>
      <c r="MW69" s="684"/>
      <c r="MX69" s="684"/>
      <c r="MY69" s="684"/>
      <c r="MZ69" s="684"/>
      <c r="NA69" s="684"/>
      <c r="NB69" s="684"/>
      <c r="NC69" s="684"/>
      <c r="ND69" s="684"/>
      <c r="NE69" s="684"/>
      <c r="NF69" s="684"/>
      <c r="NG69" s="684"/>
      <c r="NH69" s="684"/>
      <c r="NI69" s="684"/>
      <c r="NJ69" s="684"/>
      <c r="NK69" s="684"/>
      <c r="NL69" s="684"/>
      <c r="NM69" s="684"/>
      <c r="NN69" s="684"/>
      <c r="NO69" s="684"/>
      <c r="NP69" s="684"/>
      <c r="NQ69" s="684"/>
      <c r="NR69" s="684"/>
      <c r="NS69" s="684"/>
      <c r="NT69" s="684"/>
      <c r="NU69" s="684"/>
      <c r="NV69" s="684"/>
      <c r="NW69" s="684"/>
      <c r="NX69" s="684"/>
      <c r="NY69" s="684"/>
      <c r="NZ69" s="684"/>
      <c r="OA69" s="684"/>
      <c r="OB69" s="684"/>
      <c r="OC69" s="684"/>
      <c r="OD69" s="684"/>
      <c r="OE69" s="684"/>
      <c r="OF69" s="684"/>
      <c r="OG69" s="684"/>
      <c r="OH69" s="684"/>
      <c r="OI69" s="684"/>
      <c r="OJ69" s="684"/>
      <c r="OK69" s="684"/>
      <c r="OL69" s="684"/>
      <c r="OM69" s="684"/>
      <c r="ON69" s="684"/>
      <c r="OO69" s="684"/>
      <c r="OP69" s="684"/>
      <c r="OQ69" s="684"/>
      <c r="OR69" s="684"/>
      <c r="OS69" s="684"/>
      <c r="OT69" s="684"/>
      <c r="OU69" s="684"/>
      <c r="OV69" s="684"/>
      <c r="OW69" s="684"/>
      <c r="OX69" s="684"/>
      <c r="OY69" s="684"/>
      <c r="OZ69" s="684"/>
      <c r="PA69" s="684"/>
      <c r="PB69" s="684"/>
      <c r="PC69" s="684"/>
      <c r="PD69" s="684"/>
      <c r="PE69" s="684"/>
      <c r="PF69" s="684"/>
      <c r="PG69" s="684"/>
      <c r="PH69" s="684"/>
      <c r="PI69" s="684"/>
      <c r="PJ69" s="684"/>
      <c r="PK69" s="684"/>
      <c r="PL69" s="684"/>
      <c r="PM69" s="684"/>
      <c r="PN69" s="684"/>
      <c r="PO69" s="684"/>
      <c r="PP69" s="684"/>
      <c r="PQ69" s="684"/>
      <c r="PR69" s="684"/>
      <c r="PS69" s="684"/>
      <c r="PT69" s="684"/>
      <c r="PU69" s="684"/>
      <c r="PV69" s="684"/>
      <c r="PW69" s="684"/>
      <c r="PX69" s="684"/>
      <c r="PY69" s="684"/>
      <c r="PZ69" s="684"/>
      <c r="QA69" s="684"/>
      <c r="QB69" s="684"/>
      <c r="QC69" s="684"/>
      <c r="QD69" s="684"/>
      <c r="QE69" s="684"/>
      <c r="QF69" s="684"/>
      <c r="QG69" s="684"/>
      <c r="QH69" s="684"/>
      <c r="QI69" s="684"/>
      <c r="QJ69" s="684"/>
      <c r="QK69" s="684"/>
      <c r="QL69" s="684"/>
      <c r="QM69" s="684"/>
      <c r="QN69" s="684"/>
      <c r="QO69" s="684"/>
      <c r="QP69" s="684"/>
      <c r="QQ69" s="684"/>
      <c r="QR69" s="684"/>
      <c r="QS69" s="684"/>
      <c r="QT69" s="684"/>
      <c r="QU69" s="684"/>
      <c r="QV69" s="684"/>
      <c r="QW69" s="684"/>
      <c r="QX69" s="684"/>
      <c r="QY69" s="684"/>
      <c r="QZ69" s="684"/>
      <c r="RA69" s="684"/>
      <c r="RB69" s="684"/>
      <c r="RC69" s="684"/>
      <c r="RD69" s="684"/>
      <c r="RE69" s="684"/>
      <c r="RF69" s="684"/>
      <c r="RG69" s="684"/>
      <c r="RH69" s="684"/>
      <c r="RI69" s="684"/>
      <c r="RJ69" s="684"/>
      <c r="RK69" s="684"/>
      <c r="RL69" s="684"/>
      <c r="RM69" s="684"/>
      <c r="RN69" s="684"/>
      <c r="RO69" s="684"/>
      <c r="RP69" s="684"/>
      <c r="RQ69" s="684"/>
      <c r="RR69" s="684"/>
      <c r="RS69" s="684"/>
      <c r="RT69" s="684"/>
      <c r="RU69" s="684"/>
      <c r="RV69" s="684"/>
      <c r="RW69" s="684"/>
      <c r="RX69" s="684"/>
      <c r="RY69" s="684"/>
      <c r="RZ69" s="684"/>
      <c r="SA69" s="684"/>
      <c r="SB69" s="684"/>
      <c r="SC69" s="684"/>
      <c r="SD69" s="684"/>
      <c r="SE69" s="684"/>
      <c r="SF69" s="684"/>
      <c r="SG69" s="684"/>
      <c r="SH69" s="684"/>
      <c r="SI69" s="684"/>
      <c r="SJ69" s="684"/>
      <c r="SK69" s="684"/>
      <c r="SL69" s="684"/>
      <c r="SM69" s="684"/>
      <c r="SN69" s="684"/>
      <c r="SO69" s="684"/>
      <c r="SP69" s="684"/>
      <c r="SQ69" s="684"/>
      <c r="SR69" s="684"/>
      <c r="SS69" s="684"/>
      <c r="ST69" s="684"/>
      <c r="SU69" s="684"/>
      <c r="SV69" s="684"/>
      <c r="SW69" s="684"/>
      <c r="SX69" s="684"/>
      <c r="SY69" s="684"/>
      <c r="SZ69" s="684"/>
      <c r="TA69" s="684"/>
      <c r="TB69" s="684"/>
      <c r="TC69" s="684"/>
      <c r="TD69" s="684"/>
      <c r="TE69" s="684"/>
      <c r="TF69" s="684"/>
      <c r="TG69" s="684"/>
      <c r="TH69" s="684"/>
      <c r="TI69" s="684"/>
      <c r="TJ69" s="684"/>
      <c r="TK69" s="684"/>
      <c r="TL69" s="684"/>
      <c r="TM69" s="684"/>
      <c r="TN69" s="684"/>
      <c r="TO69" s="684"/>
      <c r="TP69" s="684"/>
      <c r="TQ69" s="684"/>
      <c r="TR69" s="684"/>
      <c r="TS69" s="684"/>
      <c r="TT69" s="684"/>
      <c r="TU69" s="684"/>
      <c r="TV69" s="684"/>
      <c r="TW69" s="684"/>
      <c r="TX69" s="684"/>
      <c r="TY69" s="684"/>
      <c r="TZ69" s="684"/>
      <c r="UA69" s="684"/>
      <c r="UB69" s="684"/>
      <c r="UC69" s="684"/>
      <c r="UD69" s="684"/>
      <c r="UE69" s="684"/>
      <c r="UF69" s="684"/>
      <c r="UG69" s="684"/>
      <c r="UH69" s="684"/>
      <c r="UI69" s="684"/>
      <c r="UJ69" s="684"/>
      <c r="UK69" s="684"/>
      <c r="UL69" s="684"/>
      <c r="UM69" s="684"/>
      <c r="UN69" s="684"/>
      <c r="UO69" s="684"/>
      <c r="UP69" s="684"/>
      <c r="UQ69" s="684"/>
      <c r="UR69" s="684"/>
      <c r="US69" s="684"/>
      <c r="UT69" s="684"/>
      <c r="UU69" s="684"/>
      <c r="UV69" s="684"/>
      <c r="UW69" s="684"/>
      <c r="UX69" s="684"/>
      <c r="UY69" s="684"/>
      <c r="UZ69" s="684"/>
      <c r="VA69" s="684"/>
      <c r="VB69" s="684"/>
      <c r="VC69" s="684"/>
      <c r="VD69" s="684"/>
      <c r="VE69" s="684"/>
      <c r="VF69" s="684"/>
      <c r="VG69" s="684"/>
      <c r="VH69" s="684"/>
      <c r="VI69" s="684"/>
      <c r="VJ69" s="684"/>
      <c r="VK69" s="684"/>
      <c r="VL69" s="684"/>
      <c r="VM69" s="684"/>
      <c r="VN69" s="684"/>
      <c r="VO69" s="684"/>
      <c r="VP69" s="684"/>
      <c r="VQ69" s="684"/>
      <c r="VR69" s="684"/>
      <c r="VS69" s="684"/>
      <c r="VT69" s="684"/>
      <c r="VU69" s="684"/>
      <c r="VV69" s="684"/>
      <c r="VW69" s="684"/>
      <c r="VX69" s="684"/>
      <c r="VY69" s="684"/>
      <c r="VZ69" s="684"/>
      <c r="WA69" s="684"/>
      <c r="WB69" s="684"/>
      <c r="WC69" s="684"/>
      <c r="WD69" s="684"/>
      <c r="WE69" s="684"/>
      <c r="WF69" s="684"/>
      <c r="WG69" s="684"/>
      <c r="WH69" s="684"/>
      <c r="WI69" s="684"/>
      <c r="WJ69" s="684"/>
      <c r="WK69" s="684"/>
      <c r="WL69" s="684"/>
      <c r="WM69" s="684"/>
      <c r="WN69" s="684"/>
      <c r="WO69" s="684"/>
      <c r="WP69" s="684"/>
      <c r="WQ69" s="684"/>
      <c r="WR69" s="684"/>
      <c r="WS69" s="684"/>
      <c r="WT69" s="684"/>
      <c r="WU69" s="684"/>
      <c r="WV69" s="684"/>
      <c r="WW69" s="684"/>
      <c r="WX69" s="684"/>
      <c r="WY69" s="684"/>
      <c r="WZ69" s="684"/>
      <c r="XA69" s="684"/>
      <c r="XB69" s="684"/>
      <c r="XC69" s="684"/>
      <c r="XD69" s="684"/>
      <c r="XE69" s="684"/>
      <c r="XF69" s="684"/>
      <c r="XG69" s="684"/>
      <c r="XH69" s="684"/>
      <c r="XI69" s="684"/>
      <c r="XJ69" s="684"/>
      <c r="XK69" s="684"/>
      <c r="XL69" s="684"/>
      <c r="XM69" s="684"/>
      <c r="XN69" s="684"/>
      <c r="XO69" s="684"/>
      <c r="XP69" s="684"/>
      <c r="XQ69" s="684"/>
      <c r="XR69" s="684"/>
      <c r="XS69" s="684"/>
      <c r="XT69" s="684"/>
      <c r="XU69" s="684"/>
      <c r="XV69" s="684"/>
      <c r="XW69" s="684"/>
      <c r="XX69" s="684"/>
      <c r="XY69" s="684"/>
      <c r="XZ69" s="684"/>
      <c r="YA69" s="684"/>
      <c r="YB69" s="684"/>
      <c r="YC69" s="684"/>
      <c r="YD69" s="684"/>
      <c r="YE69" s="684"/>
      <c r="YF69" s="684"/>
      <c r="YG69" s="684"/>
      <c r="YH69" s="684"/>
      <c r="YI69" s="684"/>
      <c r="YJ69" s="684"/>
      <c r="YK69" s="684"/>
      <c r="YL69" s="684"/>
      <c r="YM69" s="684"/>
      <c r="YN69" s="684"/>
      <c r="YO69" s="684"/>
      <c r="YP69" s="684"/>
      <c r="YQ69" s="684"/>
      <c r="YR69" s="684"/>
      <c r="YS69" s="684"/>
      <c r="YT69" s="684"/>
      <c r="YU69" s="684"/>
      <c r="YV69" s="684"/>
      <c r="YW69" s="684"/>
      <c r="YX69" s="684"/>
      <c r="YY69" s="684"/>
      <c r="YZ69" s="684"/>
      <c r="ZA69" s="684"/>
      <c r="ZB69" s="684"/>
      <c r="ZC69" s="684"/>
      <c r="ZD69" s="684"/>
      <c r="ZE69" s="684"/>
      <c r="ZF69" s="684"/>
      <c r="ZG69" s="684"/>
      <c r="ZH69" s="684"/>
      <c r="ZI69" s="684"/>
      <c r="ZJ69" s="684"/>
      <c r="ZK69" s="684"/>
      <c r="ZL69" s="684"/>
      <c r="ZM69" s="684"/>
      <c r="ZN69" s="684"/>
      <c r="ZO69" s="684"/>
      <c r="ZP69" s="684"/>
      <c r="ZQ69" s="684"/>
      <c r="ZR69" s="684"/>
      <c r="ZS69" s="684"/>
      <c r="ZT69" s="684"/>
      <c r="ZU69" s="684"/>
      <c r="ZV69" s="684"/>
      <c r="ZW69" s="684"/>
      <c r="ZX69" s="684"/>
      <c r="ZY69" s="684"/>
      <c r="ZZ69" s="684"/>
      <c r="AAA69" s="684"/>
      <c r="AAB69" s="684"/>
      <c r="AAC69" s="684"/>
      <c r="AAD69" s="684"/>
      <c r="AAE69" s="684"/>
      <c r="AAF69" s="684"/>
      <c r="AAG69" s="684"/>
      <c r="AAH69" s="684"/>
      <c r="AAI69" s="684"/>
      <c r="AAJ69" s="684"/>
      <c r="AAK69" s="684"/>
      <c r="AAL69" s="684"/>
      <c r="AAM69" s="684"/>
      <c r="AAN69" s="684"/>
      <c r="AAO69" s="684"/>
      <c r="AAP69" s="684"/>
      <c r="AAQ69" s="684"/>
      <c r="AAR69" s="684"/>
      <c r="AAS69" s="684"/>
      <c r="AAT69" s="684"/>
      <c r="AAU69" s="684"/>
      <c r="AAV69" s="684"/>
      <c r="AAW69" s="684"/>
      <c r="AAX69" s="684"/>
      <c r="AAY69" s="684"/>
      <c r="AAZ69" s="684"/>
      <c r="ABA69" s="684"/>
      <c r="ABB69" s="684"/>
      <c r="ABC69" s="684"/>
      <c r="ABD69" s="684"/>
      <c r="ABE69" s="684"/>
      <c r="ABF69" s="684"/>
      <c r="ABG69" s="684"/>
      <c r="ABH69" s="684"/>
      <c r="ABI69" s="684"/>
      <c r="ABJ69" s="684"/>
      <c r="ABK69" s="684"/>
      <c r="ABL69" s="684"/>
      <c r="ABM69" s="684"/>
      <c r="ABN69" s="684"/>
      <c r="ABO69" s="684"/>
      <c r="ABP69" s="684"/>
      <c r="ABQ69" s="684"/>
      <c r="ABR69" s="684"/>
      <c r="ABS69" s="684"/>
      <c r="ABT69" s="684"/>
      <c r="ABU69" s="684"/>
      <c r="ABV69" s="684"/>
      <c r="ABW69" s="684"/>
      <c r="ABX69" s="684"/>
      <c r="ABY69" s="684"/>
      <c r="ABZ69" s="684"/>
      <c r="ACA69" s="684"/>
      <c r="ACB69" s="684"/>
      <c r="ACC69" s="684"/>
      <c r="ACD69" s="684"/>
      <c r="ACE69" s="684"/>
      <c r="ACF69" s="684"/>
      <c r="ACG69" s="684"/>
      <c r="ACH69" s="684"/>
      <c r="ACI69" s="684"/>
      <c r="ACJ69" s="684"/>
      <c r="ACK69" s="684"/>
      <c r="ACL69" s="684"/>
      <c r="ACM69" s="684"/>
      <c r="ACN69" s="684"/>
      <c r="ACO69" s="684"/>
      <c r="ACP69" s="684"/>
      <c r="ACQ69" s="684"/>
      <c r="ACR69" s="684"/>
      <c r="ACS69" s="684"/>
      <c r="ACT69" s="684"/>
      <c r="ACU69" s="684"/>
      <c r="ACV69" s="684"/>
      <c r="ACW69" s="684"/>
      <c r="ACX69" s="684"/>
      <c r="ACY69" s="684"/>
      <c r="ACZ69" s="684"/>
      <c r="ADA69" s="684"/>
      <c r="ADB69" s="684"/>
      <c r="ADC69" s="684"/>
      <c r="ADD69" s="684"/>
      <c r="ADE69" s="684"/>
      <c r="ADF69" s="684"/>
      <c r="ADG69" s="684"/>
      <c r="ADH69" s="684"/>
      <c r="ADI69" s="684"/>
      <c r="ADJ69" s="684"/>
      <c r="ADK69" s="684"/>
      <c r="ADL69" s="684"/>
      <c r="ADM69" s="684"/>
      <c r="ADN69" s="684"/>
      <c r="ADO69" s="684"/>
      <c r="ADP69" s="684"/>
      <c r="ADQ69" s="684"/>
      <c r="ADR69" s="684"/>
      <c r="ADS69" s="684"/>
      <c r="ADT69" s="684"/>
      <c r="ADU69" s="684"/>
      <c r="ADV69" s="684"/>
      <c r="ADW69" s="684"/>
      <c r="ADX69" s="684"/>
      <c r="ADY69" s="684"/>
      <c r="ADZ69" s="684"/>
      <c r="AEA69" s="684"/>
      <c r="AEB69" s="684"/>
      <c r="AEC69" s="684"/>
      <c r="AED69" s="684"/>
      <c r="AEE69" s="684"/>
      <c r="AEF69" s="684"/>
      <c r="AEG69" s="684"/>
      <c r="AEH69" s="684"/>
      <c r="AEI69" s="684"/>
      <c r="AEJ69" s="684"/>
      <c r="AEK69" s="684"/>
      <c r="AEL69" s="684"/>
      <c r="AEM69" s="684"/>
      <c r="AEN69" s="684"/>
      <c r="AEO69" s="684"/>
      <c r="AEP69" s="684"/>
      <c r="AEQ69" s="684"/>
      <c r="AER69" s="684"/>
      <c r="AES69" s="684"/>
      <c r="AET69" s="684"/>
      <c r="AEU69" s="684"/>
      <c r="AEV69" s="684"/>
      <c r="AEW69" s="684"/>
      <c r="AEX69" s="684"/>
      <c r="AEY69" s="684"/>
      <c r="AEZ69" s="684"/>
      <c r="AFA69" s="684"/>
      <c r="AFB69" s="684"/>
      <c r="AFC69" s="684"/>
      <c r="AFD69" s="684"/>
      <c r="AFE69" s="684"/>
      <c r="AFF69" s="684"/>
      <c r="AFG69" s="684"/>
      <c r="AFH69" s="684"/>
      <c r="AFI69" s="684"/>
      <c r="AFJ69" s="684"/>
      <c r="AFK69" s="684"/>
      <c r="AFL69" s="684"/>
      <c r="AFM69" s="684"/>
      <c r="AFN69" s="684"/>
      <c r="AFO69" s="684"/>
      <c r="AFP69" s="684"/>
      <c r="AFQ69" s="684"/>
      <c r="AFR69" s="684"/>
      <c r="AFS69" s="684"/>
      <c r="AFT69" s="684"/>
      <c r="AFU69" s="684"/>
      <c r="AFV69" s="684"/>
      <c r="AFW69" s="684"/>
      <c r="AFX69" s="684"/>
      <c r="AFY69" s="684"/>
      <c r="AFZ69" s="684"/>
      <c r="AGA69" s="684"/>
      <c r="AGB69" s="684"/>
      <c r="AGC69" s="684"/>
      <c r="AGD69" s="684"/>
      <c r="AGE69" s="684"/>
      <c r="AGF69" s="684"/>
      <c r="AGG69" s="684"/>
      <c r="AGH69" s="684"/>
      <c r="AGI69" s="684"/>
      <c r="AGJ69" s="684"/>
      <c r="AGK69" s="684"/>
      <c r="AGL69" s="684"/>
      <c r="AGM69" s="684"/>
      <c r="AGN69" s="684"/>
      <c r="AGO69" s="684"/>
      <c r="AGP69" s="684"/>
      <c r="AGQ69" s="684"/>
      <c r="AGR69" s="684"/>
      <c r="AGS69" s="684"/>
      <c r="AGT69" s="684"/>
      <c r="AGU69" s="684"/>
      <c r="AGV69" s="684"/>
      <c r="AGW69" s="684"/>
      <c r="AGX69" s="684"/>
      <c r="AGY69" s="684"/>
      <c r="AGZ69" s="684"/>
      <c r="AHA69" s="684"/>
      <c r="AHB69" s="684"/>
      <c r="AHC69" s="684"/>
      <c r="AHD69" s="684"/>
      <c r="AHE69" s="684"/>
      <c r="AHF69" s="684"/>
      <c r="AHG69" s="684"/>
      <c r="AHH69" s="684"/>
      <c r="AHI69" s="684"/>
      <c r="AHJ69" s="684"/>
      <c r="AHK69" s="684"/>
      <c r="AHL69" s="684"/>
      <c r="AHM69" s="684"/>
      <c r="AHN69" s="684"/>
      <c r="AHO69" s="684"/>
      <c r="AHP69" s="684"/>
      <c r="AHQ69" s="684"/>
      <c r="AHR69" s="684"/>
      <c r="AHS69" s="684"/>
      <c r="AHT69" s="684"/>
      <c r="AHU69" s="684"/>
      <c r="AHV69" s="684"/>
      <c r="AHW69" s="684"/>
      <c r="AHX69" s="684"/>
      <c r="AHY69" s="684"/>
      <c r="AHZ69" s="684"/>
      <c r="AIA69" s="684"/>
      <c r="AIB69" s="684"/>
      <c r="AIC69" s="684"/>
      <c r="AID69" s="684"/>
      <c r="AIE69" s="684"/>
      <c r="AIF69" s="684"/>
      <c r="AIG69" s="684"/>
      <c r="AIH69" s="684"/>
      <c r="AII69" s="684"/>
      <c r="AIJ69" s="684"/>
      <c r="AIK69" s="684"/>
      <c r="AIL69" s="684"/>
      <c r="AIM69" s="684"/>
      <c r="AIN69" s="684"/>
      <c r="AIO69" s="684"/>
      <c r="AIP69" s="684"/>
      <c r="AIQ69" s="684"/>
      <c r="AIR69" s="684"/>
      <c r="AIS69" s="684"/>
      <c r="AIT69" s="684"/>
      <c r="AIU69" s="684"/>
      <c r="AIV69" s="684"/>
      <c r="AIW69" s="684"/>
      <c r="AIX69" s="684"/>
      <c r="AIY69" s="684"/>
      <c r="AIZ69" s="684"/>
      <c r="AJA69" s="684"/>
      <c r="AJB69" s="684"/>
      <c r="AJC69" s="684"/>
      <c r="AJD69" s="684"/>
      <c r="AJE69" s="684"/>
      <c r="AJF69" s="684"/>
      <c r="AJG69" s="684"/>
      <c r="AJH69" s="684"/>
      <c r="AJI69" s="684"/>
      <c r="AJJ69" s="684"/>
      <c r="AJK69" s="684"/>
      <c r="AJL69" s="684"/>
      <c r="AJM69" s="684"/>
      <c r="AJN69" s="684"/>
      <c r="AJO69" s="684"/>
      <c r="AJP69" s="684"/>
      <c r="AJQ69" s="684"/>
      <c r="AJR69" s="684"/>
      <c r="AJS69" s="684"/>
      <c r="AJT69" s="684"/>
      <c r="AJU69" s="684"/>
      <c r="AJV69" s="684"/>
      <c r="AJW69" s="684"/>
      <c r="AJX69" s="684"/>
      <c r="AJY69" s="684"/>
      <c r="AJZ69" s="684"/>
      <c r="AKA69" s="684"/>
      <c r="AKB69" s="684"/>
      <c r="AKC69" s="684"/>
      <c r="AKD69" s="684"/>
      <c r="AKE69" s="684"/>
      <c r="AKF69" s="684"/>
      <c r="AKG69" s="684"/>
      <c r="AKH69" s="684"/>
      <c r="AKI69" s="684"/>
      <c r="AKJ69" s="684"/>
      <c r="AKK69" s="684"/>
      <c r="AKL69" s="684"/>
      <c r="AKM69" s="684"/>
      <c r="AKN69" s="684"/>
      <c r="AKO69" s="684"/>
      <c r="AKP69" s="684"/>
      <c r="AKQ69" s="684"/>
      <c r="AKR69" s="684"/>
      <c r="AKS69" s="684"/>
      <c r="AKT69" s="684"/>
      <c r="AKU69" s="684"/>
      <c r="AKV69" s="684"/>
      <c r="AKW69" s="684"/>
      <c r="AKX69" s="684"/>
      <c r="AKY69" s="684"/>
      <c r="AKZ69" s="684"/>
      <c r="ALA69" s="684"/>
      <c r="ALB69" s="684"/>
      <c r="ALC69" s="684"/>
      <c r="ALD69" s="684"/>
      <c r="ALE69" s="684"/>
      <c r="ALF69" s="684"/>
      <c r="ALG69" s="684"/>
      <c r="ALH69" s="684"/>
      <c r="ALI69" s="684"/>
      <c r="ALJ69" s="684"/>
      <c r="ALK69" s="684"/>
      <c r="ALL69" s="684"/>
      <c r="ALM69" s="684"/>
      <c r="ALN69" s="684"/>
      <c r="ALO69" s="684"/>
      <c r="ALP69" s="684"/>
      <c r="ALQ69" s="684"/>
      <c r="ALR69" s="684"/>
      <c r="ALS69" s="684"/>
      <c r="ALT69" s="684"/>
      <c r="ALU69" s="684"/>
      <c r="ALV69" s="684"/>
      <c r="ALW69" s="684"/>
      <c r="ALX69" s="684"/>
      <c r="ALY69" s="684"/>
      <c r="ALZ69" s="684"/>
      <c r="AMA69" s="684"/>
      <c r="AMB69" s="684"/>
      <c r="AMC69" s="684"/>
      <c r="AMD69" s="684"/>
      <c r="AME69" s="684"/>
      <c r="AMF69" s="684"/>
      <c r="AMG69" s="684"/>
      <c r="AMH69" s="684"/>
      <c r="AMI69" s="684"/>
      <c r="AMJ69" s="684"/>
      <c r="AMK69" s="684"/>
      <c r="AML69" s="684"/>
      <c r="AMM69" s="684"/>
      <c r="AMN69" s="684"/>
      <c r="AMO69" s="684"/>
      <c r="AMP69" s="684"/>
      <c r="AMQ69" s="684"/>
      <c r="AMR69" s="684"/>
      <c r="AMS69" s="684"/>
      <c r="AMT69" s="684"/>
      <c r="AMU69" s="684"/>
      <c r="AMV69" s="684"/>
      <c r="AMW69" s="684"/>
      <c r="AMX69" s="684"/>
      <c r="AMY69" s="684"/>
      <c r="AMZ69" s="684"/>
      <c r="ANA69" s="684"/>
      <c r="ANB69" s="684"/>
      <c r="ANC69" s="684"/>
      <c r="AND69" s="684"/>
      <c r="ANE69" s="684"/>
      <c r="ANF69" s="684"/>
      <c r="ANG69" s="684"/>
      <c r="ANH69" s="684"/>
      <c r="ANI69" s="684"/>
      <c r="ANJ69" s="684"/>
      <c r="ANK69" s="684"/>
      <c r="ANL69" s="684"/>
      <c r="ANM69" s="684"/>
      <c r="ANN69" s="684"/>
      <c r="ANO69" s="684"/>
      <c r="ANP69" s="684"/>
      <c r="ANQ69" s="684"/>
      <c r="ANR69" s="684"/>
      <c r="ANS69" s="684"/>
      <c r="ANT69" s="684"/>
      <c r="ANU69" s="684"/>
      <c r="ANV69" s="684"/>
      <c r="ANW69" s="684"/>
      <c r="ANX69" s="684"/>
      <c r="ANY69" s="684"/>
      <c r="ANZ69" s="684"/>
      <c r="AOA69" s="684"/>
      <c r="AOB69" s="684"/>
      <c r="AOC69" s="684"/>
      <c r="AOD69" s="684"/>
      <c r="AOE69" s="684"/>
      <c r="AOF69" s="684"/>
      <c r="AOG69" s="684"/>
      <c r="AOH69" s="684"/>
      <c r="AOI69" s="684"/>
      <c r="AOJ69" s="684"/>
      <c r="AOK69" s="684"/>
      <c r="AOL69" s="684"/>
      <c r="AOM69" s="684"/>
      <c r="AON69" s="684"/>
      <c r="AOO69" s="684"/>
      <c r="AOP69" s="684"/>
      <c r="AOQ69" s="684"/>
      <c r="AOR69" s="684"/>
      <c r="AOS69" s="684"/>
      <c r="AOT69" s="684"/>
      <c r="AOU69" s="684"/>
      <c r="AOV69" s="684"/>
      <c r="AOW69" s="684"/>
      <c r="AOX69" s="684"/>
      <c r="AOY69" s="684"/>
      <c r="AOZ69" s="684"/>
      <c r="APA69" s="684"/>
      <c r="APB69" s="684"/>
      <c r="APC69" s="684"/>
      <c r="APD69" s="684"/>
      <c r="APE69" s="684"/>
      <c r="APF69" s="684"/>
      <c r="APG69" s="684"/>
      <c r="APH69" s="684"/>
      <c r="API69" s="684"/>
      <c r="APJ69" s="684"/>
      <c r="APK69" s="684"/>
      <c r="APL69" s="684"/>
      <c r="APM69" s="684"/>
      <c r="APN69" s="684"/>
      <c r="APO69" s="684"/>
      <c r="APP69" s="684"/>
      <c r="APQ69" s="684"/>
      <c r="APR69" s="684"/>
      <c r="APS69" s="684"/>
      <c r="APT69" s="684"/>
      <c r="APU69" s="684"/>
      <c r="APV69" s="684"/>
      <c r="APW69" s="684"/>
      <c r="APX69" s="684"/>
      <c r="APY69" s="684"/>
      <c r="APZ69" s="684"/>
      <c r="AQA69" s="684"/>
      <c r="AQB69" s="684"/>
      <c r="AQC69" s="684"/>
      <c r="AQD69" s="684"/>
      <c r="AQE69" s="684"/>
      <c r="AQF69" s="684"/>
      <c r="AQG69" s="684"/>
      <c r="AQH69" s="684"/>
      <c r="AQI69" s="684"/>
      <c r="AQJ69" s="684"/>
      <c r="AQK69" s="684"/>
      <c r="AQL69" s="684"/>
      <c r="AQM69" s="684"/>
      <c r="AQN69" s="684"/>
      <c r="AQO69" s="684"/>
      <c r="AQP69" s="684"/>
      <c r="AQQ69" s="684"/>
      <c r="AQR69" s="684"/>
      <c r="AQS69" s="684"/>
      <c r="AQT69" s="684"/>
      <c r="AQU69" s="684"/>
      <c r="AQV69" s="684"/>
      <c r="AQW69" s="684"/>
      <c r="AQX69" s="684"/>
      <c r="AQY69" s="684"/>
      <c r="AQZ69" s="684"/>
      <c r="ARA69" s="684"/>
      <c r="ARB69" s="684"/>
      <c r="ARC69" s="684"/>
      <c r="ARD69" s="684"/>
      <c r="ARE69" s="684"/>
      <c r="ARF69" s="684"/>
      <c r="ARG69" s="684"/>
      <c r="ARH69" s="684"/>
      <c r="ARI69" s="684"/>
      <c r="ARJ69" s="684"/>
      <c r="ARK69" s="684"/>
      <c r="ARL69" s="684"/>
      <c r="ARM69" s="684"/>
      <c r="ARN69" s="684"/>
      <c r="ARO69" s="684"/>
      <c r="ARP69" s="684"/>
      <c r="ARQ69" s="684"/>
      <c r="ARR69" s="684"/>
      <c r="ARS69" s="684"/>
      <c r="ART69" s="684"/>
      <c r="ARU69" s="684"/>
      <c r="ARV69" s="684"/>
      <c r="ARW69" s="684"/>
      <c r="ARX69" s="684"/>
      <c r="ARY69" s="684"/>
      <c r="ARZ69" s="684"/>
      <c r="ASA69" s="684"/>
      <c r="ASB69" s="684"/>
      <c r="ASC69" s="684"/>
      <c r="ASD69" s="684"/>
      <c r="ASE69" s="684"/>
      <c r="ASF69" s="684"/>
      <c r="ASG69" s="684"/>
      <c r="ASH69" s="684"/>
      <c r="ASI69" s="684"/>
      <c r="ASJ69" s="684"/>
      <c r="ASK69" s="684"/>
      <c r="ASL69" s="684"/>
      <c r="ASM69" s="684"/>
      <c r="ASN69" s="684"/>
      <c r="ASO69" s="684"/>
      <c r="ASP69" s="684"/>
      <c r="ASQ69" s="684"/>
      <c r="ASR69" s="684"/>
      <c r="ASS69" s="684"/>
      <c r="AST69" s="684"/>
      <c r="ASU69" s="684"/>
      <c r="ASV69" s="684"/>
      <c r="ASW69" s="684"/>
      <c r="ASX69" s="684"/>
      <c r="ASY69" s="684"/>
      <c r="ASZ69" s="684"/>
      <c r="ATA69" s="684"/>
      <c r="ATB69" s="684"/>
      <c r="ATC69" s="684"/>
      <c r="ATD69" s="684"/>
      <c r="ATE69" s="684"/>
      <c r="ATF69" s="684"/>
      <c r="ATG69" s="684"/>
      <c r="ATH69" s="684"/>
      <c r="ATI69" s="684"/>
      <c r="ATJ69" s="684"/>
      <c r="ATK69" s="684"/>
      <c r="ATL69" s="684"/>
      <c r="ATM69" s="684"/>
      <c r="ATN69" s="684"/>
      <c r="ATO69" s="684"/>
      <c r="ATP69" s="684"/>
      <c r="ATQ69" s="684"/>
      <c r="ATR69" s="684"/>
      <c r="ATS69" s="684"/>
      <c r="ATT69" s="684"/>
      <c r="ATU69" s="684"/>
      <c r="ATV69" s="684"/>
      <c r="ATW69" s="684"/>
      <c r="ATX69" s="684"/>
      <c r="ATY69" s="684"/>
      <c r="ATZ69" s="684"/>
      <c r="AUA69" s="684"/>
      <c r="AUB69" s="684"/>
      <c r="AUC69" s="684"/>
      <c r="AUD69" s="684"/>
      <c r="AUE69" s="684"/>
      <c r="AUF69" s="684"/>
      <c r="AUG69" s="684"/>
      <c r="AUH69" s="684"/>
      <c r="AUI69" s="684"/>
      <c r="AUJ69" s="684"/>
      <c r="AUK69" s="684"/>
      <c r="AUL69" s="684"/>
      <c r="AUM69" s="684"/>
      <c r="AUN69" s="684"/>
      <c r="AUO69" s="684"/>
      <c r="AUP69" s="684"/>
      <c r="AUQ69" s="684"/>
      <c r="AUR69" s="684"/>
      <c r="AUS69" s="684"/>
      <c r="AUT69" s="684"/>
      <c r="AUU69" s="684"/>
      <c r="AUV69" s="684"/>
      <c r="AUW69" s="684"/>
      <c r="AUX69" s="684"/>
      <c r="AUY69" s="684"/>
      <c r="AUZ69" s="684"/>
      <c r="AVA69" s="684"/>
      <c r="AVB69" s="684"/>
      <c r="AVC69" s="684"/>
      <c r="AVD69" s="684"/>
      <c r="AVE69" s="684"/>
      <c r="AVF69" s="684"/>
      <c r="AVG69" s="684"/>
      <c r="AVH69" s="684"/>
      <c r="AVI69" s="684"/>
      <c r="AVJ69" s="684"/>
      <c r="AVK69" s="684"/>
      <c r="AVL69" s="684"/>
      <c r="AVM69" s="684"/>
      <c r="AVN69" s="684"/>
      <c r="AVO69" s="684"/>
      <c r="AVP69" s="684"/>
      <c r="AVQ69" s="684"/>
      <c r="AVR69" s="684"/>
      <c r="AVS69" s="684"/>
      <c r="AVT69" s="684"/>
      <c r="AVU69" s="684"/>
      <c r="AVV69" s="684"/>
      <c r="AVW69" s="684"/>
      <c r="AVX69" s="684"/>
      <c r="AVY69" s="684"/>
      <c r="AVZ69" s="684"/>
      <c r="AWA69" s="684"/>
      <c r="AWB69" s="684"/>
      <c r="AWC69" s="684"/>
      <c r="AWD69" s="684"/>
      <c r="AWE69" s="684"/>
      <c r="AWF69" s="684"/>
      <c r="AWG69" s="684"/>
      <c r="AWH69" s="684"/>
      <c r="AWI69" s="684"/>
      <c r="AWJ69" s="684"/>
      <c r="AWK69" s="684"/>
      <c r="AWL69" s="684"/>
      <c r="AWM69" s="684"/>
      <c r="AWN69" s="684"/>
      <c r="AWO69" s="684"/>
      <c r="AWP69" s="684"/>
      <c r="AWQ69" s="684"/>
      <c r="AWR69" s="684"/>
      <c r="AWS69" s="684"/>
      <c r="AWT69" s="684"/>
      <c r="AWU69" s="684"/>
      <c r="AWV69" s="684"/>
      <c r="AWW69" s="684"/>
      <c r="AWX69" s="684"/>
      <c r="AWY69" s="684"/>
      <c r="AWZ69" s="684"/>
      <c r="AXA69" s="684"/>
      <c r="AXB69" s="684"/>
      <c r="AXC69" s="684"/>
      <c r="AXD69" s="684"/>
      <c r="AXE69" s="684"/>
      <c r="AXF69" s="684"/>
      <c r="AXG69" s="684"/>
      <c r="AXH69" s="684"/>
      <c r="AXI69" s="684"/>
      <c r="AXJ69" s="684"/>
      <c r="AXK69" s="684"/>
      <c r="AXL69" s="684"/>
      <c r="AXM69" s="684"/>
      <c r="AXN69" s="684"/>
      <c r="AXO69" s="684"/>
      <c r="AXP69" s="684"/>
      <c r="AXQ69" s="684"/>
      <c r="AXR69" s="684"/>
      <c r="AXS69" s="684"/>
      <c r="AXT69" s="684"/>
      <c r="AXU69" s="684"/>
      <c r="AXV69" s="684"/>
      <c r="AXW69" s="684"/>
      <c r="AXX69" s="684"/>
      <c r="AXY69" s="684"/>
      <c r="AXZ69" s="684"/>
      <c r="AYA69" s="684"/>
      <c r="AYB69" s="684"/>
      <c r="AYC69" s="684"/>
      <c r="AYD69" s="684"/>
      <c r="AYE69" s="684"/>
      <c r="AYF69" s="684"/>
      <c r="AYG69" s="684"/>
      <c r="AYH69" s="684"/>
      <c r="AYI69" s="684"/>
      <c r="AYJ69" s="684"/>
      <c r="AYK69" s="684"/>
      <c r="AYL69" s="684"/>
      <c r="AYM69" s="684"/>
      <c r="AYN69" s="684"/>
      <c r="AYO69" s="684"/>
      <c r="AYP69" s="684"/>
      <c r="AYQ69" s="684"/>
      <c r="AYR69" s="684"/>
      <c r="AYS69" s="684"/>
      <c r="AYT69" s="684"/>
      <c r="AYU69" s="684"/>
      <c r="AYV69" s="684"/>
      <c r="AYW69" s="684"/>
      <c r="AYX69" s="684"/>
      <c r="AYY69" s="684"/>
      <c r="AYZ69" s="684"/>
      <c r="AZA69" s="684"/>
      <c r="AZB69" s="684"/>
      <c r="AZC69" s="684"/>
      <c r="AZD69" s="684"/>
      <c r="AZE69" s="684"/>
      <c r="AZF69" s="684"/>
      <c r="AZG69" s="684"/>
      <c r="AZH69" s="684"/>
      <c r="AZI69" s="684"/>
      <c r="AZJ69" s="684"/>
      <c r="AZK69" s="684"/>
      <c r="AZL69" s="684"/>
      <c r="AZM69" s="684"/>
      <c r="AZN69" s="684"/>
      <c r="AZO69" s="684"/>
      <c r="AZP69" s="684"/>
      <c r="AZQ69" s="684"/>
      <c r="AZR69" s="684"/>
      <c r="AZS69" s="684"/>
      <c r="AZT69" s="684"/>
      <c r="AZU69" s="684"/>
      <c r="AZV69" s="684"/>
      <c r="AZW69" s="684"/>
      <c r="AZX69" s="684"/>
      <c r="AZY69" s="684"/>
      <c r="AZZ69" s="684"/>
      <c r="BAA69" s="684"/>
      <c r="BAB69" s="684"/>
      <c r="BAC69" s="684"/>
      <c r="BAD69" s="684"/>
      <c r="BAE69" s="684"/>
      <c r="BAF69" s="684"/>
      <c r="BAG69" s="684"/>
      <c r="BAH69" s="684"/>
      <c r="BAI69" s="684"/>
      <c r="BAJ69" s="684"/>
      <c r="BAK69" s="684"/>
      <c r="BAL69" s="684"/>
      <c r="BAM69" s="684"/>
      <c r="BAN69" s="684"/>
      <c r="BAO69" s="684"/>
      <c r="BAP69" s="684"/>
      <c r="BAQ69" s="684"/>
      <c r="BAR69" s="684"/>
      <c r="BAS69" s="684"/>
      <c r="BAT69" s="684"/>
      <c r="BAU69" s="684"/>
      <c r="BAV69" s="684"/>
      <c r="BAW69" s="684"/>
      <c r="BAX69" s="684"/>
      <c r="BAY69" s="684"/>
      <c r="BAZ69" s="684"/>
      <c r="BBA69" s="684"/>
      <c r="BBB69" s="684"/>
      <c r="BBC69" s="684"/>
      <c r="BBD69" s="684"/>
      <c r="BBE69" s="684"/>
      <c r="BBF69" s="684"/>
      <c r="BBG69" s="684"/>
      <c r="BBH69" s="684"/>
      <c r="BBI69" s="684"/>
      <c r="BBJ69" s="684"/>
      <c r="BBK69" s="684"/>
      <c r="BBL69" s="684"/>
      <c r="BBM69" s="684"/>
      <c r="BBN69" s="684"/>
      <c r="BBO69" s="684"/>
      <c r="BBP69" s="684"/>
      <c r="BBQ69" s="684"/>
      <c r="BBR69" s="684"/>
      <c r="BBS69" s="684"/>
      <c r="BBT69" s="684"/>
      <c r="BBU69" s="684"/>
      <c r="BBV69" s="684"/>
      <c r="BBW69" s="684"/>
      <c r="BBX69" s="684"/>
      <c r="BBY69" s="684"/>
      <c r="BBZ69" s="684"/>
      <c r="BCA69" s="684"/>
      <c r="BCB69" s="684"/>
      <c r="BCC69" s="684"/>
      <c r="BCD69" s="684"/>
      <c r="BCE69" s="684"/>
      <c r="BCF69" s="684"/>
      <c r="BCG69" s="684"/>
      <c r="BCH69" s="684"/>
      <c r="BCI69" s="684"/>
      <c r="BCJ69" s="684"/>
      <c r="BCK69" s="684"/>
      <c r="BCL69" s="684"/>
      <c r="BCM69" s="684"/>
      <c r="BCN69" s="684"/>
      <c r="BCO69" s="684"/>
      <c r="BCP69" s="684"/>
      <c r="BCQ69" s="684"/>
      <c r="BCR69" s="684"/>
      <c r="BCS69" s="684"/>
      <c r="BCT69" s="684"/>
      <c r="BCU69" s="684"/>
      <c r="BCV69" s="684"/>
      <c r="BCW69" s="684"/>
      <c r="BCX69" s="684"/>
      <c r="BCY69" s="684"/>
      <c r="BCZ69" s="684"/>
      <c r="BDA69" s="684"/>
      <c r="BDB69" s="684"/>
      <c r="BDC69" s="684"/>
      <c r="BDD69" s="684"/>
      <c r="BDE69" s="684"/>
      <c r="BDF69" s="684"/>
      <c r="BDG69" s="684"/>
      <c r="BDH69" s="684"/>
      <c r="BDI69" s="684"/>
      <c r="BDJ69" s="684"/>
      <c r="BDK69" s="684"/>
      <c r="BDL69" s="684"/>
      <c r="BDM69" s="684"/>
      <c r="BDN69" s="684"/>
      <c r="BDO69" s="684"/>
      <c r="BDP69" s="684"/>
      <c r="BDQ69" s="684"/>
      <c r="BDR69" s="684"/>
      <c r="BDS69" s="684"/>
      <c r="BDT69" s="684"/>
      <c r="BDU69" s="684"/>
      <c r="BDV69" s="684"/>
      <c r="BDW69" s="684"/>
      <c r="BDX69" s="684"/>
      <c r="BDY69" s="684"/>
      <c r="BDZ69" s="684"/>
      <c r="BEA69" s="684"/>
      <c r="BEB69" s="684"/>
      <c r="BEC69" s="684"/>
      <c r="BED69" s="684"/>
      <c r="BEE69" s="684"/>
      <c r="BEF69" s="684"/>
      <c r="BEG69" s="684"/>
      <c r="BEH69" s="684"/>
      <c r="BEI69" s="684"/>
      <c r="BEJ69" s="684"/>
      <c r="BEK69" s="684"/>
      <c r="BEL69" s="684"/>
      <c r="BEM69" s="684"/>
      <c r="BEN69" s="684"/>
      <c r="BEO69" s="684"/>
      <c r="BEP69" s="684"/>
      <c r="BEQ69" s="684"/>
      <c r="BER69" s="684"/>
      <c r="BES69" s="684"/>
      <c r="BET69" s="684"/>
      <c r="BEU69" s="684"/>
      <c r="BEV69" s="684"/>
      <c r="BEW69" s="684"/>
      <c r="BEX69" s="684"/>
      <c r="BEY69" s="684"/>
      <c r="BEZ69" s="684"/>
      <c r="BFA69" s="684"/>
      <c r="BFB69" s="684"/>
      <c r="BFC69" s="684"/>
      <c r="BFD69" s="684"/>
      <c r="BFE69" s="684"/>
      <c r="BFF69" s="684"/>
      <c r="BFG69" s="684"/>
      <c r="BFH69" s="684"/>
      <c r="BFI69" s="684"/>
      <c r="BFJ69" s="684"/>
      <c r="BFK69" s="684"/>
      <c r="BFL69" s="684"/>
      <c r="BFM69" s="684"/>
      <c r="BFN69" s="684"/>
      <c r="BFO69" s="684"/>
      <c r="BFP69" s="684"/>
      <c r="BFQ69" s="684"/>
      <c r="BFR69" s="684"/>
      <c r="BFS69" s="684"/>
      <c r="BFT69" s="684"/>
      <c r="BFU69" s="684"/>
      <c r="BFV69" s="684"/>
      <c r="BFW69" s="684"/>
      <c r="BFX69" s="684"/>
      <c r="BFY69" s="684"/>
      <c r="BFZ69" s="684"/>
      <c r="BGA69" s="684"/>
      <c r="BGB69" s="684"/>
      <c r="BGC69" s="684"/>
      <c r="BGD69" s="684"/>
      <c r="BGE69" s="684"/>
      <c r="BGF69" s="684"/>
      <c r="BGG69" s="684"/>
      <c r="BGH69" s="684"/>
      <c r="BGI69" s="684"/>
      <c r="BGJ69" s="684"/>
      <c r="BGK69" s="684"/>
      <c r="BGL69" s="684"/>
      <c r="BGM69" s="684"/>
      <c r="BGN69" s="684"/>
      <c r="BGO69" s="684"/>
      <c r="BGP69" s="684"/>
      <c r="BGQ69" s="684"/>
      <c r="BGR69" s="684"/>
      <c r="BGS69" s="684"/>
      <c r="BGT69" s="684"/>
      <c r="BGU69" s="684"/>
      <c r="BGV69" s="684"/>
      <c r="BGW69" s="684"/>
      <c r="BGX69" s="684"/>
      <c r="BGY69" s="684"/>
      <c r="BGZ69" s="684"/>
      <c r="BHA69" s="684"/>
      <c r="BHB69" s="684"/>
      <c r="BHC69" s="684"/>
      <c r="BHD69" s="684"/>
      <c r="BHE69" s="684"/>
      <c r="BHF69" s="684"/>
      <c r="BHG69" s="684"/>
      <c r="BHH69" s="684"/>
      <c r="BHI69" s="684"/>
      <c r="BHJ69" s="684"/>
      <c r="BHK69" s="684"/>
      <c r="BHL69" s="684"/>
      <c r="BHM69" s="684"/>
      <c r="BHN69" s="684"/>
      <c r="BHO69" s="684"/>
      <c r="BHP69" s="684"/>
      <c r="BHQ69" s="684"/>
      <c r="BHR69" s="684"/>
      <c r="BHS69" s="684"/>
      <c r="BHT69" s="684"/>
      <c r="BHU69" s="684"/>
      <c r="BHV69" s="684"/>
      <c r="BHW69" s="684"/>
      <c r="BHX69" s="684"/>
      <c r="BHY69" s="684"/>
      <c r="BHZ69" s="684"/>
      <c r="BIA69" s="684"/>
      <c r="BIB69" s="684"/>
      <c r="BIC69" s="684"/>
      <c r="BID69" s="684"/>
      <c r="BIE69" s="684"/>
      <c r="BIF69" s="684"/>
      <c r="BIG69" s="684"/>
      <c r="BIH69" s="684"/>
      <c r="BII69" s="684"/>
      <c r="BIJ69" s="684"/>
      <c r="BIK69" s="684"/>
      <c r="BIL69" s="684"/>
      <c r="BIM69" s="684"/>
      <c r="BIN69" s="684"/>
      <c r="BIO69" s="684"/>
      <c r="BIP69" s="684"/>
      <c r="BIQ69" s="684"/>
      <c r="BIR69" s="684"/>
      <c r="BIS69" s="684"/>
      <c r="BIT69" s="684"/>
      <c r="BIU69" s="684"/>
      <c r="BIV69" s="684"/>
      <c r="BIW69" s="684"/>
      <c r="BIX69" s="684"/>
      <c r="BIY69" s="684"/>
      <c r="BIZ69" s="684"/>
      <c r="BJA69" s="684"/>
      <c r="BJB69" s="684"/>
      <c r="BJC69" s="684"/>
      <c r="BJD69" s="684"/>
      <c r="BJE69" s="684"/>
      <c r="BJF69" s="684"/>
      <c r="BJG69" s="684"/>
      <c r="BJH69" s="684"/>
      <c r="BJI69" s="684"/>
      <c r="BJJ69" s="684"/>
      <c r="BJK69" s="684"/>
      <c r="BJL69" s="684"/>
      <c r="BJM69" s="684"/>
      <c r="BJN69" s="684"/>
      <c r="BJO69" s="684"/>
      <c r="BJP69" s="684"/>
      <c r="BJQ69" s="684"/>
      <c r="BJR69" s="684"/>
      <c r="BJS69" s="684"/>
      <c r="BJT69" s="684"/>
      <c r="BJU69" s="684"/>
      <c r="BJV69" s="684"/>
      <c r="BJW69" s="684"/>
      <c r="BJX69" s="684"/>
      <c r="BJY69" s="684"/>
      <c r="BJZ69" s="684"/>
      <c r="BKA69" s="684"/>
      <c r="BKB69" s="684"/>
      <c r="BKC69" s="684"/>
      <c r="BKD69" s="684"/>
      <c r="BKE69" s="684"/>
      <c r="BKF69" s="684"/>
      <c r="BKG69" s="684"/>
      <c r="BKH69" s="684"/>
      <c r="BKI69" s="684"/>
      <c r="BKJ69" s="684"/>
      <c r="BKK69" s="684"/>
      <c r="BKL69" s="684"/>
      <c r="BKM69" s="684"/>
      <c r="BKN69" s="684"/>
      <c r="BKO69" s="684"/>
      <c r="BKP69" s="684"/>
      <c r="BKQ69" s="684"/>
      <c r="BKR69" s="684"/>
      <c r="BKS69" s="684"/>
      <c r="BKT69" s="684"/>
      <c r="BKU69" s="684"/>
      <c r="BKV69" s="684"/>
      <c r="BKW69" s="684"/>
      <c r="BKX69" s="684"/>
      <c r="BKY69" s="684"/>
      <c r="BKZ69" s="684"/>
      <c r="BLA69" s="684"/>
      <c r="BLB69" s="684"/>
      <c r="BLC69" s="684"/>
      <c r="BLD69" s="684"/>
      <c r="BLE69" s="684"/>
      <c r="BLF69" s="684"/>
      <c r="BLG69" s="684"/>
      <c r="BLH69" s="684"/>
      <c r="BLI69" s="684"/>
      <c r="BLJ69" s="684"/>
      <c r="BLK69" s="684"/>
      <c r="BLL69" s="684"/>
      <c r="BLM69" s="684"/>
      <c r="BLN69" s="684"/>
      <c r="BLO69" s="684"/>
      <c r="BLP69" s="684"/>
      <c r="BLQ69" s="684"/>
      <c r="BLR69" s="684"/>
      <c r="BLS69" s="684"/>
      <c r="BLT69" s="684"/>
      <c r="BLU69" s="684"/>
      <c r="BLV69" s="684"/>
      <c r="BLW69" s="684"/>
      <c r="BLX69" s="684"/>
      <c r="BLY69" s="684"/>
      <c r="BLZ69" s="684"/>
      <c r="BMA69" s="684"/>
      <c r="BMB69" s="684"/>
      <c r="BMC69" s="684"/>
      <c r="BMD69" s="684"/>
      <c r="BME69" s="684"/>
      <c r="BMF69" s="684"/>
      <c r="BMG69" s="684"/>
      <c r="BMH69" s="684"/>
      <c r="BMI69" s="684"/>
      <c r="BMJ69" s="684"/>
      <c r="BMK69" s="684"/>
      <c r="BML69" s="684"/>
      <c r="BMM69" s="684"/>
      <c r="BMN69" s="684"/>
      <c r="BMO69" s="684"/>
      <c r="BMP69" s="684"/>
      <c r="BMQ69" s="684"/>
      <c r="BMR69" s="684"/>
      <c r="BMS69" s="684"/>
      <c r="BMT69" s="684"/>
      <c r="BMU69" s="684"/>
      <c r="BMV69" s="684"/>
      <c r="BMW69" s="684"/>
      <c r="BMX69" s="684"/>
      <c r="BMY69" s="684"/>
      <c r="BMZ69" s="684"/>
      <c r="BNA69" s="684"/>
      <c r="BNB69" s="684"/>
      <c r="BNC69" s="684"/>
      <c r="BND69" s="684"/>
      <c r="BNE69" s="684"/>
      <c r="BNF69" s="684"/>
      <c r="BNG69" s="684"/>
      <c r="BNH69" s="684"/>
      <c r="BNI69" s="684"/>
      <c r="BNJ69" s="684"/>
      <c r="BNK69" s="684"/>
      <c r="BNL69" s="684"/>
      <c r="BNM69" s="684"/>
      <c r="BNN69" s="684"/>
      <c r="BNO69" s="684"/>
      <c r="BNP69" s="684"/>
      <c r="BNQ69" s="684"/>
      <c r="BNR69" s="684"/>
      <c r="BNS69" s="684"/>
      <c r="BNT69" s="684"/>
      <c r="BNU69" s="684"/>
      <c r="BNV69" s="684"/>
      <c r="BNW69" s="684"/>
      <c r="BNX69" s="684"/>
      <c r="BNY69" s="684"/>
      <c r="BNZ69" s="684"/>
      <c r="BOA69" s="684"/>
      <c r="BOB69" s="684"/>
      <c r="BOC69" s="684"/>
      <c r="BOD69" s="684"/>
      <c r="BOE69" s="684"/>
      <c r="BOF69" s="684"/>
      <c r="BOG69" s="684"/>
      <c r="BOH69" s="684"/>
      <c r="BOI69" s="684"/>
      <c r="BOJ69" s="684"/>
      <c r="BOK69" s="684"/>
      <c r="BOL69" s="684"/>
      <c r="BOM69" s="684"/>
      <c r="BON69" s="684"/>
      <c r="BOO69" s="684"/>
      <c r="BOP69" s="684"/>
      <c r="BOQ69" s="684"/>
      <c r="BOR69" s="684"/>
      <c r="BOS69" s="684"/>
      <c r="BOT69" s="684"/>
      <c r="BOU69" s="684"/>
      <c r="BOV69" s="684"/>
      <c r="BOW69" s="684"/>
      <c r="BOX69" s="684"/>
      <c r="BOY69" s="684"/>
      <c r="BOZ69" s="684"/>
      <c r="BPA69" s="684"/>
      <c r="BPB69" s="684"/>
      <c r="BPC69" s="684"/>
      <c r="BPD69" s="684"/>
      <c r="BPE69" s="684"/>
      <c r="BPF69" s="684"/>
      <c r="BPG69" s="684"/>
      <c r="BPH69" s="684"/>
      <c r="BPI69" s="684"/>
      <c r="BPJ69" s="684"/>
      <c r="BPK69" s="684"/>
      <c r="BPL69" s="684"/>
      <c r="BPM69" s="684"/>
      <c r="BPN69" s="684"/>
      <c r="BPO69" s="684"/>
      <c r="BPP69" s="684"/>
      <c r="BPQ69" s="684"/>
      <c r="BPR69" s="684"/>
      <c r="BPS69" s="684"/>
      <c r="BPT69" s="684"/>
      <c r="BPU69" s="684"/>
      <c r="BPV69" s="684"/>
      <c r="BPW69" s="684"/>
      <c r="BPX69" s="684"/>
      <c r="BPY69" s="684"/>
      <c r="BPZ69" s="684"/>
      <c r="BQA69" s="684"/>
      <c r="BQB69" s="684"/>
      <c r="BQC69" s="684"/>
      <c r="BQD69" s="684"/>
      <c r="BQE69" s="684"/>
      <c r="BQF69" s="684"/>
      <c r="BQG69" s="684"/>
      <c r="BQH69" s="684"/>
      <c r="BQI69" s="684"/>
      <c r="BQJ69" s="684"/>
      <c r="BQK69" s="684"/>
      <c r="BQL69" s="684"/>
      <c r="BQM69" s="684"/>
      <c r="BQN69" s="684"/>
      <c r="BQO69" s="684"/>
      <c r="BQP69" s="684"/>
      <c r="BQQ69" s="684"/>
      <c r="BQR69" s="684"/>
      <c r="BQS69" s="684"/>
      <c r="BQT69" s="684"/>
      <c r="BQU69" s="684"/>
      <c r="BQV69" s="684"/>
      <c r="BQW69" s="684"/>
      <c r="BQX69" s="684"/>
      <c r="BQY69" s="684"/>
      <c r="BQZ69" s="684"/>
      <c r="BRA69" s="684"/>
      <c r="BRB69" s="684"/>
      <c r="BRC69" s="684"/>
      <c r="BRD69" s="684"/>
      <c r="BRE69" s="684"/>
      <c r="BRF69" s="684"/>
      <c r="BRG69" s="684"/>
      <c r="BRH69" s="684"/>
      <c r="BRI69" s="684"/>
      <c r="BRJ69" s="684"/>
      <c r="BRK69" s="684"/>
      <c r="BRL69" s="684"/>
      <c r="BRM69" s="684"/>
      <c r="BRN69" s="684"/>
      <c r="BRO69" s="684"/>
      <c r="BRP69" s="684"/>
      <c r="BRQ69" s="684"/>
      <c r="BRR69" s="684"/>
      <c r="BRS69" s="684"/>
      <c r="BRT69" s="684"/>
      <c r="BRU69" s="684"/>
      <c r="BRV69" s="684"/>
      <c r="BRW69" s="684"/>
      <c r="BRX69" s="684"/>
      <c r="BRY69" s="684"/>
      <c r="BRZ69" s="684"/>
      <c r="BSA69" s="684"/>
      <c r="BSB69" s="684"/>
      <c r="BSC69" s="684"/>
      <c r="BSD69" s="684"/>
      <c r="BSE69" s="684"/>
      <c r="BSF69" s="684"/>
      <c r="BSG69" s="684"/>
      <c r="BSH69" s="684"/>
      <c r="BSI69" s="684"/>
      <c r="BSJ69" s="684"/>
      <c r="BSK69" s="684"/>
      <c r="BSL69" s="684"/>
      <c r="BSM69" s="684"/>
      <c r="BSN69" s="684"/>
      <c r="BSO69" s="684"/>
      <c r="BSP69" s="684"/>
      <c r="BSQ69" s="684"/>
      <c r="BSR69" s="684"/>
      <c r="BSS69" s="684"/>
      <c r="BST69" s="684"/>
      <c r="BSU69" s="684"/>
      <c r="BSV69" s="684"/>
      <c r="BSW69" s="684"/>
      <c r="BSX69" s="684"/>
      <c r="BSY69" s="684"/>
      <c r="BSZ69" s="684"/>
      <c r="BTA69" s="684"/>
      <c r="BTB69" s="684"/>
      <c r="BTC69" s="684"/>
      <c r="BTD69" s="684"/>
      <c r="BTE69" s="684"/>
      <c r="BTF69" s="684"/>
      <c r="BTG69" s="684"/>
      <c r="BTH69" s="684"/>
      <c r="BTI69" s="684"/>
      <c r="BTJ69" s="684"/>
      <c r="BTK69" s="684"/>
      <c r="BTL69" s="684"/>
      <c r="BTM69" s="684"/>
      <c r="BTN69" s="684"/>
      <c r="BTO69" s="684"/>
      <c r="BTP69" s="684"/>
      <c r="BTQ69" s="684"/>
      <c r="BTR69" s="684"/>
      <c r="BTS69" s="684"/>
      <c r="BTT69" s="684"/>
      <c r="BTU69" s="684"/>
      <c r="BTV69" s="684"/>
      <c r="BTW69" s="684"/>
      <c r="BTX69" s="684"/>
      <c r="BTY69" s="684"/>
      <c r="BTZ69" s="684"/>
      <c r="BUA69" s="684"/>
      <c r="BUB69" s="684"/>
      <c r="BUC69" s="684"/>
      <c r="BUD69" s="684"/>
      <c r="BUE69" s="684"/>
      <c r="BUF69" s="684"/>
      <c r="BUG69" s="684"/>
      <c r="BUH69" s="684"/>
      <c r="BUI69" s="684"/>
      <c r="BUJ69" s="684"/>
      <c r="BUK69" s="684"/>
      <c r="BUL69" s="684"/>
      <c r="BUM69" s="684"/>
      <c r="BUN69" s="684"/>
      <c r="BUO69" s="684"/>
      <c r="BUP69" s="684"/>
      <c r="BUQ69" s="684"/>
      <c r="BUR69" s="684"/>
      <c r="BUS69" s="684"/>
      <c r="BUT69" s="684"/>
      <c r="BUU69" s="684"/>
      <c r="BUV69" s="684"/>
      <c r="BUW69" s="684"/>
      <c r="BUX69" s="684"/>
      <c r="BUY69" s="684"/>
      <c r="BUZ69" s="684"/>
      <c r="BVA69" s="684"/>
      <c r="BVB69" s="684"/>
      <c r="BVC69" s="684"/>
      <c r="BVD69" s="684"/>
      <c r="BVE69" s="684"/>
      <c r="BVF69" s="684"/>
      <c r="BVG69" s="684"/>
      <c r="BVH69" s="684"/>
      <c r="BVI69" s="684"/>
      <c r="BVJ69" s="684"/>
      <c r="BVK69" s="684"/>
      <c r="BVL69" s="684"/>
      <c r="BVM69" s="684"/>
      <c r="BVN69" s="684"/>
      <c r="BVO69" s="684"/>
      <c r="BVP69" s="684"/>
      <c r="BVQ69" s="684"/>
      <c r="BVR69" s="684"/>
      <c r="BVS69" s="684"/>
      <c r="BVT69" s="684"/>
      <c r="BVU69" s="684"/>
      <c r="BVV69" s="684"/>
      <c r="BVW69" s="684"/>
      <c r="BVX69" s="684"/>
      <c r="BVY69" s="684"/>
      <c r="BVZ69" s="684"/>
      <c r="BWA69" s="684"/>
      <c r="BWB69" s="684"/>
      <c r="BWC69" s="684"/>
      <c r="BWD69" s="684"/>
      <c r="BWE69" s="684"/>
      <c r="BWF69" s="684"/>
      <c r="BWG69" s="684"/>
      <c r="BWH69" s="684"/>
      <c r="BWI69" s="684"/>
      <c r="BWJ69" s="684"/>
      <c r="BWK69" s="684"/>
      <c r="BWL69" s="684"/>
      <c r="BWM69" s="684"/>
      <c r="BWN69" s="684"/>
      <c r="BWO69" s="684"/>
      <c r="BWP69" s="684"/>
      <c r="BWQ69" s="684"/>
      <c r="BWR69" s="684"/>
      <c r="BWS69" s="684"/>
      <c r="BWT69" s="684"/>
      <c r="BWU69" s="684"/>
      <c r="BWV69" s="684"/>
      <c r="BWW69" s="684"/>
      <c r="BWX69" s="684"/>
      <c r="BWY69" s="684"/>
      <c r="BWZ69" s="684"/>
      <c r="BXA69" s="684"/>
      <c r="BXB69" s="684"/>
      <c r="BXC69" s="684"/>
      <c r="BXD69" s="684"/>
      <c r="BXE69" s="684"/>
      <c r="BXF69" s="684"/>
      <c r="BXG69" s="684"/>
      <c r="BXH69" s="684"/>
      <c r="BXI69" s="684"/>
      <c r="BXJ69" s="684"/>
      <c r="BXK69" s="684"/>
      <c r="BXL69" s="684"/>
      <c r="BXM69" s="684"/>
      <c r="BXN69" s="684"/>
      <c r="BXO69" s="684"/>
      <c r="BXP69" s="684"/>
      <c r="BXQ69" s="684"/>
      <c r="BXR69" s="684"/>
      <c r="BXS69" s="684"/>
      <c r="BXT69" s="684"/>
      <c r="BXU69" s="684"/>
      <c r="BXV69" s="684"/>
      <c r="BXW69" s="684"/>
      <c r="BXX69" s="684"/>
      <c r="BXY69" s="684"/>
      <c r="BXZ69" s="684"/>
      <c r="BYA69" s="684"/>
      <c r="BYB69" s="684"/>
      <c r="BYC69" s="684"/>
      <c r="BYD69" s="684"/>
      <c r="BYE69" s="684"/>
      <c r="BYF69" s="684"/>
      <c r="BYG69" s="684"/>
      <c r="BYH69" s="684"/>
      <c r="BYI69" s="684"/>
      <c r="BYJ69" s="684"/>
      <c r="BYK69" s="684"/>
      <c r="BYL69" s="684"/>
      <c r="BYM69" s="684"/>
      <c r="BYN69" s="684"/>
      <c r="BYO69" s="684"/>
      <c r="BYP69" s="684"/>
      <c r="BYQ69" s="684"/>
      <c r="BYR69" s="684"/>
      <c r="BYS69" s="684"/>
      <c r="BYT69" s="684"/>
      <c r="BYU69" s="684"/>
      <c r="BYV69" s="684"/>
      <c r="BYW69" s="684"/>
      <c r="BYX69" s="684"/>
      <c r="BYY69" s="684"/>
      <c r="BYZ69" s="684"/>
      <c r="BZA69" s="684"/>
      <c r="BZB69" s="684"/>
      <c r="BZC69" s="684"/>
      <c r="BZD69" s="684"/>
      <c r="BZE69" s="684"/>
      <c r="BZF69" s="684"/>
      <c r="BZG69" s="684"/>
      <c r="BZH69" s="684"/>
      <c r="BZI69" s="684"/>
      <c r="BZJ69" s="684"/>
      <c r="BZK69" s="684"/>
      <c r="BZL69" s="684"/>
      <c r="BZM69" s="684"/>
      <c r="BZN69" s="684"/>
      <c r="BZO69" s="684"/>
      <c r="BZP69" s="684"/>
      <c r="BZQ69" s="684"/>
      <c r="BZR69" s="684"/>
      <c r="BZS69" s="684"/>
      <c r="BZT69" s="684"/>
      <c r="BZU69" s="684"/>
      <c r="BZV69" s="684"/>
      <c r="BZW69" s="684"/>
      <c r="BZX69" s="684"/>
      <c r="BZY69" s="684"/>
      <c r="BZZ69" s="684"/>
      <c r="CAA69" s="684"/>
      <c r="CAB69" s="684"/>
      <c r="CAC69" s="684"/>
      <c r="CAD69" s="684"/>
      <c r="CAE69" s="684"/>
      <c r="CAF69" s="684"/>
      <c r="CAG69" s="684"/>
      <c r="CAH69" s="684"/>
      <c r="CAI69" s="684"/>
      <c r="CAJ69" s="684"/>
      <c r="CAK69" s="684"/>
      <c r="CAL69" s="684"/>
      <c r="CAM69" s="684"/>
      <c r="CAN69" s="684"/>
      <c r="CAO69" s="684"/>
      <c r="CAP69" s="684"/>
      <c r="CAQ69" s="684"/>
      <c r="CAR69" s="684"/>
      <c r="CAS69" s="684"/>
      <c r="CAT69" s="684"/>
      <c r="CAU69" s="684"/>
      <c r="CAV69" s="684"/>
      <c r="CAW69" s="684"/>
      <c r="CAX69" s="684"/>
      <c r="CAY69" s="684"/>
      <c r="CAZ69" s="684"/>
      <c r="CBA69" s="684"/>
      <c r="CBB69" s="684"/>
      <c r="CBC69" s="684"/>
      <c r="CBD69" s="684"/>
      <c r="CBE69" s="684"/>
      <c r="CBF69" s="684"/>
      <c r="CBG69" s="684"/>
      <c r="CBH69" s="684"/>
      <c r="CBI69" s="684"/>
      <c r="CBJ69" s="684"/>
      <c r="CBK69" s="684"/>
      <c r="CBL69" s="684"/>
      <c r="CBM69" s="684"/>
      <c r="CBN69" s="684"/>
      <c r="CBO69" s="684"/>
      <c r="CBP69" s="684"/>
      <c r="CBQ69" s="684"/>
      <c r="CBR69" s="684"/>
      <c r="CBS69" s="684"/>
      <c r="CBT69" s="684"/>
      <c r="CBU69" s="684"/>
      <c r="CBV69" s="684"/>
      <c r="CBW69" s="684"/>
      <c r="CBX69" s="684"/>
      <c r="CBY69" s="684"/>
      <c r="CBZ69" s="684"/>
      <c r="CCA69" s="684"/>
      <c r="CCB69" s="684"/>
      <c r="CCC69" s="684"/>
      <c r="CCD69" s="684"/>
      <c r="CCE69" s="684"/>
      <c r="CCF69" s="684"/>
      <c r="CCG69" s="684"/>
      <c r="CCH69" s="684"/>
      <c r="CCI69" s="684"/>
      <c r="CCJ69" s="684"/>
      <c r="CCK69" s="684"/>
      <c r="CCL69" s="684"/>
      <c r="CCM69" s="684"/>
      <c r="CCN69" s="684"/>
      <c r="CCO69" s="684"/>
      <c r="CCP69" s="684"/>
      <c r="CCQ69" s="684"/>
      <c r="CCR69" s="684"/>
      <c r="CCS69" s="684"/>
      <c r="CCT69" s="684"/>
      <c r="CCU69" s="684"/>
      <c r="CCV69" s="684"/>
      <c r="CCW69" s="684"/>
      <c r="CCX69" s="684"/>
      <c r="CCY69" s="684"/>
      <c r="CCZ69" s="684"/>
      <c r="CDA69" s="684"/>
      <c r="CDB69" s="684"/>
      <c r="CDC69" s="684"/>
      <c r="CDD69" s="684"/>
      <c r="CDE69" s="684"/>
      <c r="CDF69" s="684"/>
      <c r="CDG69" s="684"/>
      <c r="CDH69" s="684"/>
      <c r="CDI69" s="684"/>
      <c r="CDJ69" s="684"/>
      <c r="CDK69" s="684"/>
      <c r="CDL69" s="684"/>
      <c r="CDM69" s="684"/>
      <c r="CDN69" s="684"/>
      <c r="CDO69" s="684"/>
      <c r="CDP69" s="684"/>
      <c r="CDQ69" s="684"/>
      <c r="CDR69" s="684"/>
      <c r="CDS69" s="684"/>
      <c r="CDT69" s="684"/>
      <c r="CDU69" s="684"/>
      <c r="CDV69" s="684"/>
      <c r="CDW69" s="684"/>
      <c r="CDX69" s="684"/>
      <c r="CDY69" s="684"/>
      <c r="CDZ69" s="684"/>
      <c r="CEA69" s="684"/>
      <c r="CEB69" s="684"/>
      <c r="CEC69" s="684"/>
      <c r="CED69" s="684"/>
      <c r="CEE69" s="684"/>
      <c r="CEF69" s="684"/>
      <c r="CEG69" s="684"/>
      <c r="CEH69" s="684"/>
      <c r="CEI69" s="684"/>
      <c r="CEJ69" s="684"/>
      <c r="CEK69" s="684"/>
      <c r="CEL69" s="684"/>
      <c r="CEM69" s="684"/>
      <c r="CEN69" s="684"/>
      <c r="CEO69" s="684"/>
      <c r="CEP69" s="684"/>
      <c r="CEQ69" s="684"/>
      <c r="CER69" s="684"/>
      <c r="CES69" s="684"/>
      <c r="CET69" s="684"/>
      <c r="CEU69" s="684"/>
      <c r="CEV69" s="684"/>
      <c r="CEW69" s="684"/>
      <c r="CEX69" s="684"/>
      <c r="CEY69" s="684"/>
      <c r="CEZ69" s="684"/>
      <c r="CFA69" s="684"/>
      <c r="CFB69" s="684"/>
      <c r="CFC69" s="684"/>
      <c r="CFD69" s="684"/>
      <c r="CFE69" s="684"/>
      <c r="CFF69" s="684"/>
      <c r="CFG69" s="684"/>
      <c r="CFH69" s="684"/>
      <c r="CFI69" s="684"/>
      <c r="CFJ69" s="684"/>
      <c r="CFK69" s="684"/>
      <c r="CFL69" s="684"/>
      <c r="CFM69" s="684"/>
      <c r="CFN69" s="684"/>
      <c r="CFO69" s="684"/>
      <c r="CFP69" s="684"/>
      <c r="CFQ69" s="684"/>
      <c r="CFR69" s="684"/>
      <c r="CFS69" s="684"/>
      <c r="CFT69" s="684"/>
      <c r="CFU69" s="684"/>
      <c r="CFV69" s="684"/>
      <c r="CFW69" s="684"/>
      <c r="CFX69" s="684"/>
      <c r="CFY69" s="684"/>
      <c r="CFZ69" s="684"/>
      <c r="CGA69" s="684"/>
      <c r="CGB69" s="684"/>
      <c r="CGC69" s="684"/>
      <c r="CGD69" s="684"/>
      <c r="CGE69" s="684"/>
      <c r="CGF69" s="684"/>
      <c r="CGG69" s="684"/>
      <c r="CGH69" s="684"/>
      <c r="CGI69" s="684"/>
      <c r="CGJ69" s="684"/>
      <c r="CGK69" s="684"/>
      <c r="CGL69" s="684"/>
      <c r="CGM69" s="684"/>
      <c r="CGN69" s="684"/>
      <c r="CGO69" s="684"/>
      <c r="CGP69" s="684"/>
      <c r="CGQ69" s="684"/>
      <c r="CGR69" s="684"/>
      <c r="CGS69" s="684"/>
      <c r="CGT69" s="684"/>
      <c r="CGU69" s="684"/>
      <c r="CGV69" s="684"/>
      <c r="CGW69" s="684"/>
      <c r="CGX69" s="684"/>
      <c r="CGY69" s="684"/>
      <c r="CGZ69" s="684"/>
      <c r="CHA69" s="684"/>
      <c r="CHB69" s="684"/>
      <c r="CHC69" s="684"/>
      <c r="CHD69" s="684"/>
      <c r="CHE69" s="684"/>
      <c r="CHF69" s="684"/>
      <c r="CHG69" s="684"/>
      <c r="CHH69" s="684"/>
      <c r="CHI69" s="684"/>
      <c r="CHJ69" s="684"/>
      <c r="CHK69" s="684"/>
      <c r="CHL69" s="684"/>
      <c r="CHM69" s="684"/>
      <c r="CHN69" s="684"/>
      <c r="CHO69" s="684"/>
      <c r="CHP69" s="684"/>
      <c r="CHQ69" s="684"/>
      <c r="CHR69" s="684"/>
      <c r="CHS69" s="684"/>
      <c r="CHT69" s="684"/>
      <c r="CHU69" s="684"/>
      <c r="CHV69" s="684"/>
      <c r="CHW69" s="684"/>
      <c r="CHX69" s="684"/>
      <c r="CHY69" s="684"/>
      <c r="CHZ69" s="684"/>
      <c r="CIA69" s="684"/>
      <c r="CIB69" s="684"/>
      <c r="CIC69" s="684"/>
      <c r="CID69" s="684"/>
      <c r="CIE69" s="684"/>
      <c r="CIF69" s="684"/>
      <c r="CIG69" s="684"/>
      <c r="CIH69" s="684"/>
      <c r="CII69" s="684"/>
      <c r="CIJ69" s="684"/>
      <c r="CIK69" s="684"/>
      <c r="CIL69" s="684"/>
      <c r="CIM69" s="684"/>
      <c r="CIN69" s="684"/>
      <c r="CIO69" s="684"/>
      <c r="CIP69" s="684"/>
      <c r="CIQ69" s="684"/>
      <c r="CIR69" s="684"/>
      <c r="CIS69" s="684"/>
      <c r="CIT69" s="684"/>
      <c r="CIU69" s="684"/>
      <c r="CIV69" s="684"/>
      <c r="CIW69" s="684"/>
      <c r="CIX69" s="684"/>
      <c r="CIY69" s="684"/>
      <c r="CIZ69" s="684"/>
      <c r="CJA69" s="684"/>
      <c r="CJB69" s="684"/>
      <c r="CJC69" s="684"/>
      <c r="CJD69" s="684"/>
      <c r="CJE69" s="684"/>
      <c r="CJF69" s="684"/>
      <c r="CJG69" s="684"/>
      <c r="CJH69" s="684"/>
      <c r="CJI69" s="684"/>
      <c r="CJJ69" s="684"/>
      <c r="CJK69" s="684"/>
      <c r="CJL69" s="684"/>
      <c r="CJM69" s="684"/>
      <c r="CJN69" s="684"/>
      <c r="CJO69" s="684"/>
      <c r="CJP69" s="684"/>
      <c r="CJQ69" s="684"/>
      <c r="CJR69" s="684"/>
      <c r="CJS69" s="684"/>
      <c r="CJT69" s="684"/>
      <c r="CJU69" s="684"/>
      <c r="CJV69" s="684"/>
      <c r="CJW69" s="684"/>
      <c r="CJX69" s="684"/>
      <c r="CJY69" s="684"/>
      <c r="CJZ69" s="684"/>
      <c r="CKA69" s="684"/>
      <c r="CKB69" s="684"/>
      <c r="CKC69" s="684"/>
      <c r="CKD69" s="684"/>
      <c r="CKE69" s="684"/>
      <c r="CKF69" s="684"/>
      <c r="CKG69" s="684"/>
      <c r="CKH69" s="684"/>
      <c r="CKI69" s="684"/>
      <c r="CKJ69" s="684"/>
      <c r="CKK69" s="684"/>
      <c r="CKL69" s="684"/>
      <c r="CKM69" s="684"/>
      <c r="CKN69" s="684"/>
      <c r="CKO69" s="684"/>
      <c r="CKP69" s="684"/>
      <c r="CKQ69" s="684"/>
      <c r="CKR69" s="684"/>
      <c r="CKS69" s="684"/>
      <c r="CKT69" s="684"/>
      <c r="CKU69" s="684"/>
      <c r="CKV69" s="684"/>
      <c r="CKW69" s="684"/>
      <c r="CKX69" s="684"/>
      <c r="CKY69" s="684"/>
      <c r="CKZ69" s="684"/>
      <c r="CLA69" s="684"/>
      <c r="CLB69" s="684"/>
      <c r="CLC69" s="684"/>
      <c r="CLD69" s="684"/>
      <c r="CLE69" s="684"/>
      <c r="CLF69" s="684"/>
      <c r="CLG69" s="684"/>
      <c r="CLH69" s="684"/>
      <c r="CLI69" s="684"/>
      <c r="CLJ69" s="684"/>
      <c r="CLK69" s="684"/>
      <c r="CLL69" s="684"/>
      <c r="CLM69" s="684"/>
      <c r="CLN69" s="684"/>
      <c r="CLO69" s="684"/>
      <c r="CLP69" s="684"/>
      <c r="CLQ69" s="684"/>
      <c r="CLR69" s="684"/>
      <c r="CLS69" s="684"/>
      <c r="CLT69" s="684"/>
      <c r="CLU69" s="684"/>
      <c r="CLV69" s="684"/>
      <c r="CLW69" s="684"/>
      <c r="CLX69" s="684"/>
      <c r="CLY69" s="684"/>
      <c r="CLZ69" s="684"/>
      <c r="CMA69" s="684"/>
      <c r="CMB69" s="684"/>
      <c r="CMC69" s="684"/>
      <c r="CMD69" s="684"/>
      <c r="CME69" s="684"/>
      <c r="CMF69" s="684"/>
      <c r="CMG69" s="684"/>
      <c r="CMH69" s="684"/>
      <c r="CMI69" s="684"/>
      <c r="CMJ69" s="684"/>
      <c r="CMK69" s="684"/>
      <c r="CML69" s="684"/>
      <c r="CMM69" s="684"/>
      <c r="CMN69" s="684"/>
      <c r="CMO69" s="684"/>
      <c r="CMP69" s="684"/>
      <c r="CMQ69" s="684"/>
      <c r="CMR69" s="684"/>
      <c r="CMS69" s="684"/>
      <c r="CMT69" s="684"/>
      <c r="CMU69" s="684"/>
      <c r="CMV69" s="684"/>
      <c r="CMW69" s="684"/>
      <c r="CMX69" s="684"/>
      <c r="CMY69" s="684"/>
      <c r="CMZ69" s="684"/>
      <c r="CNA69" s="684"/>
      <c r="CNB69" s="684"/>
      <c r="CNC69" s="684"/>
      <c r="CND69" s="684"/>
      <c r="CNE69" s="684"/>
      <c r="CNF69" s="684"/>
      <c r="CNG69" s="684"/>
      <c r="CNH69" s="684"/>
      <c r="CNI69" s="684"/>
      <c r="CNJ69" s="684"/>
      <c r="CNK69" s="684"/>
      <c r="CNL69" s="684"/>
      <c r="CNM69" s="684"/>
      <c r="CNN69" s="684"/>
      <c r="CNO69" s="684"/>
      <c r="CNP69" s="684"/>
      <c r="CNQ69" s="684"/>
      <c r="CNR69" s="684"/>
      <c r="CNS69" s="684"/>
      <c r="CNT69" s="684"/>
      <c r="CNU69" s="684"/>
      <c r="CNV69" s="684"/>
      <c r="CNW69" s="684"/>
      <c r="CNX69" s="684"/>
      <c r="CNY69" s="684"/>
      <c r="CNZ69" s="684"/>
      <c r="COA69" s="684"/>
      <c r="COB69" s="684"/>
      <c r="COC69" s="684"/>
      <c r="COD69" s="684"/>
      <c r="COE69" s="684"/>
      <c r="COF69" s="684"/>
      <c r="COG69" s="684"/>
      <c r="COH69" s="684"/>
      <c r="COI69" s="684"/>
      <c r="COJ69" s="684"/>
      <c r="COK69" s="684"/>
      <c r="COL69" s="684"/>
      <c r="COM69" s="684"/>
      <c r="CON69" s="684"/>
      <c r="COO69" s="684"/>
      <c r="COP69" s="684"/>
      <c r="COQ69" s="684"/>
      <c r="COR69" s="684"/>
      <c r="COS69" s="684"/>
      <c r="COT69" s="684"/>
      <c r="COU69" s="684"/>
      <c r="COV69" s="684"/>
      <c r="COW69" s="684"/>
      <c r="COX69" s="684"/>
      <c r="COY69" s="684"/>
      <c r="COZ69" s="684"/>
      <c r="CPA69" s="684"/>
      <c r="CPB69" s="684"/>
      <c r="CPC69" s="684"/>
      <c r="CPD69" s="684"/>
      <c r="CPE69" s="684"/>
      <c r="CPF69" s="684"/>
      <c r="CPG69" s="684"/>
      <c r="CPH69" s="684"/>
      <c r="CPI69" s="684"/>
      <c r="CPJ69" s="684"/>
      <c r="CPK69" s="684"/>
      <c r="CPL69" s="684"/>
      <c r="CPM69" s="684"/>
      <c r="CPN69" s="684"/>
      <c r="CPO69" s="684"/>
      <c r="CPP69" s="684"/>
      <c r="CPQ69" s="684"/>
      <c r="CPR69" s="684"/>
      <c r="CPS69" s="684"/>
      <c r="CPT69" s="684"/>
      <c r="CPU69" s="684"/>
      <c r="CPV69" s="684"/>
      <c r="CPW69" s="684"/>
      <c r="CPX69" s="684"/>
      <c r="CPY69" s="684"/>
      <c r="CPZ69" s="684"/>
      <c r="CQA69" s="684"/>
      <c r="CQB69" s="684"/>
      <c r="CQC69" s="684"/>
      <c r="CQD69" s="684"/>
      <c r="CQE69" s="684"/>
      <c r="CQF69" s="684"/>
      <c r="CQG69" s="684"/>
      <c r="CQH69" s="684"/>
      <c r="CQI69" s="684"/>
      <c r="CQJ69" s="684"/>
      <c r="CQK69" s="684"/>
      <c r="CQL69" s="684"/>
      <c r="CQM69" s="684"/>
      <c r="CQN69" s="684"/>
      <c r="CQO69" s="684"/>
      <c r="CQP69" s="684"/>
      <c r="CQQ69" s="684"/>
      <c r="CQR69" s="684"/>
      <c r="CQS69" s="684"/>
      <c r="CQT69" s="684"/>
      <c r="CQU69" s="684"/>
      <c r="CQV69" s="684"/>
      <c r="CQW69" s="684"/>
      <c r="CQX69" s="684"/>
      <c r="CQY69" s="684"/>
      <c r="CQZ69" s="684"/>
      <c r="CRA69" s="684"/>
      <c r="CRB69" s="684"/>
      <c r="CRC69" s="684"/>
      <c r="CRD69" s="684"/>
      <c r="CRE69" s="684"/>
      <c r="CRF69" s="684"/>
      <c r="CRG69" s="684"/>
      <c r="CRH69" s="684"/>
      <c r="CRI69" s="684"/>
      <c r="CRJ69" s="684"/>
      <c r="CRK69" s="684"/>
      <c r="CRL69" s="684"/>
      <c r="CRM69" s="684"/>
      <c r="CRN69" s="684"/>
      <c r="CRO69" s="684"/>
      <c r="CRP69" s="684"/>
      <c r="CRQ69" s="684"/>
      <c r="CRR69" s="684"/>
      <c r="CRS69" s="684"/>
      <c r="CRT69" s="684"/>
      <c r="CRU69" s="684"/>
      <c r="CRV69" s="684"/>
      <c r="CRW69" s="684"/>
      <c r="CRX69" s="684"/>
      <c r="CRY69" s="684"/>
      <c r="CRZ69" s="684"/>
      <c r="CSA69" s="684"/>
      <c r="CSB69" s="684"/>
      <c r="CSC69" s="684"/>
      <c r="CSD69" s="684"/>
      <c r="CSE69" s="684"/>
      <c r="CSF69" s="684"/>
      <c r="CSG69" s="684"/>
      <c r="CSH69" s="684"/>
      <c r="CSI69" s="684"/>
      <c r="CSJ69" s="684"/>
      <c r="CSK69" s="684"/>
      <c r="CSL69" s="684"/>
      <c r="CSM69" s="684"/>
      <c r="CSN69" s="684"/>
      <c r="CSO69" s="684"/>
      <c r="CSP69" s="684"/>
      <c r="CSQ69" s="684"/>
      <c r="CSR69" s="684"/>
      <c r="CSS69" s="684"/>
      <c r="CST69" s="684"/>
      <c r="CSU69" s="684"/>
      <c r="CSV69" s="684"/>
      <c r="CSW69" s="684"/>
      <c r="CSX69" s="684"/>
      <c r="CSY69" s="684"/>
      <c r="CSZ69" s="684"/>
      <c r="CTA69" s="684"/>
      <c r="CTB69" s="684"/>
      <c r="CTC69" s="684"/>
      <c r="CTD69" s="684"/>
      <c r="CTE69" s="684"/>
      <c r="CTF69" s="684"/>
      <c r="CTG69" s="684"/>
      <c r="CTH69" s="684"/>
      <c r="CTI69" s="684"/>
      <c r="CTJ69" s="684"/>
      <c r="CTK69" s="684"/>
      <c r="CTL69" s="684"/>
      <c r="CTM69" s="684"/>
      <c r="CTN69" s="684"/>
      <c r="CTO69" s="684"/>
      <c r="CTP69" s="684"/>
      <c r="CTQ69" s="684"/>
      <c r="CTR69" s="684"/>
      <c r="CTS69" s="684"/>
      <c r="CTT69" s="684"/>
      <c r="CTU69" s="684"/>
      <c r="CTV69" s="684"/>
      <c r="CTW69" s="684"/>
      <c r="CTX69" s="684"/>
      <c r="CTY69" s="684"/>
      <c r="CTZ69" s="684"/>
      <c r="CUA69" s="684"/>
      <c r="CUB69" s="684"/>
      <c r="CUC69" s="684"/>
      <c r="CUD69" s="684"/>
      <c r="CUE69" s="684"/>
      <c r="CUF69" s="684"/>
      <c r="CUG69" s="684"/>
      <c r="CUH69" s="684"/>
      <c r="CUI69" s="684"/>
      <c r="CUJ69" s="684"/>
      <c r="CUK69" s="684"/>
      <c r="CUL69" s="684"/>
      <c r="CUM69" s="684"/>
      <c r="CUN69" s="684"/>
      <c r="CUO69" s="684"/>
      <c r="CUP69" s="684"/>
      <c r="CUQ69" s="684"/>
      <c r="CUR69" s="684"/>
      <c r="CUS69" s="684"/>
      <c r="CUT69" s="684"/>
      <c r="CUU69" s="684"/>
      <c r="CUV69" s="684"/>
      <c r="CUW69" s="684"/>
      <c r="CUX69" s="684"/>
      <c r="CUY69" s="684"/>
      <c r="CUZ69" s="684"/>
      <c r="CVA69" s="684"/>
      <c r="CVB69" s="684"/>
      <c r="CVC69" s="684"/>
      <c r="CVD69" s="684"/>
      <c r="CVE69" s="684"/>
      <c r="CVF69" s="684"/>
      <c r="CVG69" s="684"/>
      <c r="CVH69" s="684"/>
      <c r="CVI69" s="684"/>
      <c r="CVJ69" s="684"/>
      <c r="CVK69" s="684"/>
      <c r="CVL69" s="684"/>
      <c r="CVM69" s="684"/>
      <c r="CVN69" s="684"/>
      <c r="CVO69" s="684"/>
      <c r="CVP69" s="684"/>
      <c r="CVQ69" s="684"/>
      <c r="CVR69" s="684"/>
      <c r="CVS69" s="684"/>
      <c r="CVT69" s="684"/>
      <c r="CVU69" s="684"/>
      <c r="CVV69" s="684"/>
      <c r="CVW69" s="684"/>
      <c r="CVX69" s="684"/>
      <c r="CVY69" s="684"/>
      <c r="CVZ69" s="684"/>
      <c r="CWA69" s="684"/>
      <c r="CWB69" s="684"/>
      <c r="CWC69" s="684"/>
      <c r="CWD69" s="684"/>
      <c r="CWE69" s="684"/>
      <c r="CWF69" s="684"/>
      <c r="CWG69" s="684"/>
      <c r="CWH69" s="684"/>
      <c r="CWI69" s="684"/>
      <c r="CWJ69" s="684"/>
      <c r="CWK69" s="684"/>
      <c r="CWL69" s="684"/>
      <c r="CWM69" s="684"/>
      <c r="CWN69" s="684"/>
      <c r="CWO69" s="684"/>
      <c r="CWP69" s="684"/>
      <c r="CWQ69" s="684"/>
      <c r="CWR69" s="684"/>
      <c r="CWS69" s="684"/>
      <c r="CWT69" s="684"/>
      <c r="CWU69" s="684"/>
      <c r="CWV69" s="684"/>
      <c r="CWW69" s="684"/>
      <c r="CWX69" s="684"/>
      <c r="CWY69" s="684"/>
      <c r="CWZ69" s="684"/>
      <c r="CXA69" s="684"/>
      <c r="CXB69" s="684"/>
      <c r="CXC69" s="684"/>
      <c r="CXD69" s="684"/>
      <c r="CXE69" s="684"/>
      <c r="CXF69" s="684"/>
      <c r="CXG69" s="684"/>
      <c r="CXH69" s="684"/>
      <c r="CXI69" s="684"/>
      <c r="CXJ69" s="684"/>
      <c r="CXK69" s="684"/>
      <c r="CXL69" s="684"/>
      <c r="CXM69" s="684"/>
      <c r="CXN69" s="684"/>
      <c r="CXO69" s="684"/>
      <c r="CXP69" s="684"/>
      <c r="CXQ69" s="684"/>
      <c r="CXR69" s="684"/>
      <c r="CXS69" s="684"/>
      <c r="CXT69" s="684"/>
      <c r="CXU69" s="684"/>
      <c r="CXV69" s="684"/>
      <c r="CXW69" s="684"/>
      <c r="CXX69" s="684"/>
      <c r="CXY69" s="684"/>
      <c r="CXZ69" s="684"/>
      <c r="CYA69" s="684"/>
      <c r="CYB69" s="684"/>
      <c r="CYC69" s="684"/>
      <c r="CYD69" s="684"/>
      <c r="CYE69" s="684"/>
      <c r="CYF69" s="684"/>
      <c r="CYG69" s="684"/>
      <c r="CYH69" s="684"/>
      <c r="CYI69" s="684"/>
      <c r="CYJ69" s="684"/>
      <c r="CYK69" s="684"/>
      <c r="CYL69" s="684"/>
      <c r="CYM69" s="684"/>
      <c r="CYN69" s="684"/>
      <c r="CYO69" s="684"/>
      <c r="CYP69" s="684"/>
      <c r="CYQ69" s="684"/>
      <c r="CYR69" s="684"/>
      <c r="CYS69" s="684"/>
      <c r="CYT69" s="684"/>
      <c r="CYU69" s="684"/>
      <c r="CYV69" s="684"/>
      <c r="CYW69" s="684"/>
      <c r="CYX69" s="684"/>
      <c r="CYY69" s="684"/>
      <c r="CYZ69" s="684"/>
      <c r="CZA69" s="684"/>
      <c r="CZB69" s="684"/>
      <c r="CZC69" s="684"/>
      <c r="CZD69" s="684"/>
      <c r="CZE69" s="684"/>
      <c r="CZF69" s="684"/>
      <c r="CZG69" s="684"/>
      <c r="CZH69" s="684"/>
      <c r="CZI69" s="684"/>
      <c r="CZJ69" s="684"/>
      <c r="CZK69" s="684"/>
      <c r="CZL69" s="684"/>
      <c r="CZM69" s="684"/>
      <c r="CZN69" s="684"/>
      <c r="CZO69" s="684"/>
      <c r="CZP69" s="684"/>
      <c r="CZQ69" s="684"/>
      <c r="CZR69" s="684"/>
      <c r="CZS69" s="684"/>
      <c r="CZT69" s="684"/>
      <c r="CZU69" s="684"/>
      <c r="CZV69" s="684"/>
      <c r="CZW69" s="684"/>
      <c r="CZX69" s="684"/>
      <c r="CZY69" s="684"/>
      <c r="CZZ69" s="684"/>
      <c r="DAA69" s="684"/>
      <c r="DAB69" s="684"/>
      <c r="DAC69" s="684"/>
      <c r="DAD69" s="684"/>
      <c r="DAE69" s="684"/>
      <c r="DAF69" s="684"/>
      <c r="DAG69" s="684"/>
      <c r="DAH69" s="684"/>
      <c r="DAI69" s="684"/>
      <c r="DAJ69" s="684"/>
      <c r="DAK69" s="684"/>
      <c r="DAL69" s="684"/>
      <c r="DAM69" s="684"/>
      <c r="DAN69" s="684"/>
      <c r="DAO69" s="684"/>
      <c r="DAP69" s="684"/>
      <c r="DAQ69" s="684"/>
      <c r="DAR69" s="684"/>
      <c r="DAS69" s="684"/>
      <c r="DAT69" s="684"/>
      <c r="DAU69" s="684"/>
      <c r="DAV69" s="684"/>
      <c r="DAW69" s="684"/>
      <c r="DAX69" s="684"/>
      <c r="DAY69" s="684"/>
      <c r="DAZ69" s="684"/>
      <c r="DBA69" s="684"/>
      <c r="DBB69" s="684"/>
      <c r="DBC69" s="684"/>
      <c r="DBD69" s="684"/>
      <c r="DBE69" s="684"/>
      <c r="DBF69" s="684"/>
      <c r="DBG69" s="684"/>
      <c r="DBH69" s="684"/>
      <c r="DBI69" s="684"/>
      <c r="DBJ69" s="684"/>
      <c r="DBK69" s="684"/>
      <c r="DBL69" s="684"/>
      <c r="DBM69" s="684"/>
      <c r="DBN69" s="684"/>
      <c r="DBO69" s="684"/>
      <c r="DBP69" s="684"/>
      <c r="DBQ69" s="684"/>
      <c r="DBR69" s="684"/>
      <c r="DBS69" s="684"/>
      <c r="DBT69" s="684"/>
      <c r="DBU69" s="684"/>
      <c r="DBV69" s="684"/>
      <c r="DBW69" s="684"/>
      <c r="DBX69" s="684"/>
      <c r="DBY69" s="684"/>
      <c r="DBZ69" s="684"/>
      <c r="DCA69" s="684"/>
      <c r="DCB69" s="684"/>
      <c r="DCC69" s="684"/>
      <c r="DCD69" s="684"/>
      <c r="DCE69" s="684"/>
      <c r="DCF69" s="684"/>
      <c r="DCG69" s="684"/>
      <c r="DCH69" s="684"/>
      <c r="DCI69" s="684"/>
      <c r="DCJ69" s="684"/>
      <c r="DCK69" s="684"/>
      <c r="DCL69" s="684"/>
      <c r="DCM69" s="684"/>
      <c r="DCN69" s="684"/>
      <c r="DCO69" s="684"/>
      <c r="DCP69" s="684"/>
      <c r="DCQ69" s="684"/>
      <c r="DCR69" s="684"/>
      <c r="DCS69" s="684"/>
      <c r="DCT69" s="684"/>
      <c r="DCU69" s="684"/>
      <c r="DCV69" s="684"/>
      <c r="DCW69" s="684"/>
      <c r="DCX69" s="684"/>
      <c r="DCY69" s="684"/>
      <c r="DCZ69" s="684"/>
      <c r="DDA69" s="684"/>
      <c r="DDB69" s="684"/>
      <c r="DDC69" s="684"/>
      <c r="DDD69" s="684"/>
      <c r="DDE69" s="684"/>
      <c r="DDF69" s="684"/>
      <c r="DDG69" s="684"/>
      <c r="DDH69" s="684"/>
      <c r="DDI69" s="684"/>
      <c r="DDJ69" s="684"/>
      <c r="DDK69" s="684"/>
      <c r="DDL69" s="684"/>
      <c r="DDM69" s="684"/>
      <c r="DDN69" s="684"/>
      <c r="DDO69" s="684"/>
      <c r="DDP69" s="684"/>
      <c r="DDQ69" s="684"/>
      <c r="DDR69" s="684"/>
      <c r="DDS69" s="684"/>
      <c r="DDT69" s="684"/>
      <c r="DDU69" s="684"/>
      <c r="DDV69" s="684"/>
      <c r="DDW69" s="684"/>
      <c r="DDX69" s="684"/>
      <c r="DDY69" s="684"/>
      <c r="DDZ69" s="684"/>
      <c r="DEA69" s="684"/>
      <c r="DEB69" s="684"/>
      <c r="DEC69" s="684"/>
      <c r="DED69" s="684"/>
      <c r="DEE69" s="684"/>
      <c r="DEF69" s="684"/>
      <c r="DEG69" s="684"/>
      <c r="DEH69" s="684"/>
      <c r="DEI69" s="684"/>
      <c r="DEJ69" s="684"/>
      <c r="DEK69" s="684"/>
      <c r="DEL69" s="684"/>
      <c r="DEM69" s="684"/>
      <c r="DEN69" s="684"/>
      <c r="DEO69" s="684"/>
      <c r="DEP69" s="684"/>
      <c r="DEQ69" s="684"/>
      <c r="DER69" s="684"/>
      <c r="DES69" s="684"/>
      <c r="DET69" s="684"/>
      <c r="DEU69" s="684"/>
      <c r="DEV69" s="684"/>
      <c r="DEW69" s="684"/>
      <c r="DEX69" s="684"/>
      <c r="DEY69" s="684"/>
      <c r="DEZ69" s="684"/>
      <c r="DFA69" s="684"/>
      <c r="DFB69" s="684"/>
      <c r="DFC69" s="684"/>
      <c r="DFD69" s="684"/>
      <c r="DFE69" s="684"/>
      <c r="DFF69" s="684"/>
      <c r="DFG69" s="684"/>
      <c r="DFH69" s="684"/>
      <c r="DFI69" s="684"/>
      <c r="DFJ69" s="684"/>
      <c r="DFK69" s="684"/>
      <c r="DFL69" s="684"/>
      <c r="DFM69" s="684"/>
      <c r="DFN69" s="684"/>
      <c r="DFO69" s="684"/>
      <c r="DFP69" s="684"/>
      <c r="DFQ69" s="684"/>
      <c r="DFR69" s="684"/>
      <c r="DFS69" s="684"/>
      <c r="DFT69" s="684"/>
      <c r="DFU69" s="684"/>
      <c r="DFV69" s="684"/>
      <c r="DFW69" s="684"/>
      <c r="DFX69" s="684"/>
      <c r="DFY69" s="684"/>
      <c r="DFZ69" s="684"/>
      <c r="DGA69" s="684"/>
      <c r="DGB69" s="684"/>
      <c r="DGC69" s="684"/>
      <c r="DGD69" s="684"/>
      <c r="DGE69" s="684"/>
      <c r="DGF69" s="684"/>
      <c r="DGG69" s="684"/>
      <c r="DGH69" s="684"/>
      <c r="DGI69" s="684"/>
      <c r="DGJ69" s="684"/>
      <c r="DGK69" s="684"/>
      <c r="DGL69" s="684"/>
      <c r="DGM69" s="684"/>
      <c r="DGN69" s="684"/>
      <c r="DGO69" s="684"/>
      <c r="DGP69" s="684"/>
      <c r="DGQ69" s="684"/>
      <c r="DGR69" s="684"/>
      <c r="DGS69" s="684"/>
      <c r="DGT69" s="684"/>
      <c r="DGU69" s="684"/>
      <c r="DGV69" s="684"/>
      <c r="DGW69" s="684"/>
      <c r="DGX69" s="684"/>
      <c r="DGY69" s="684"/>
      <c r="DGZ69" s="684"/>
      <c r="DHA69" s="684"/>
      <c r="DHB69" s="684"/>
      <c r="DHC69" s="684"/>
      <c r="DHD69" s="684"/>
      <c r="DHE69" s="684"/>
      <c r="DHF69" s="684"/>
      <c r="DHG69" s="684"/>
      <c r="DHH69" s="684"/>
      <c r="DHI69" s="684"/>
      <c r="DHJ69" s="684"/>
      <c r="DHK69" s="684"/>
      <c r="DHL69" s="684"/>
      <c r="DHM69" s="684"/>
      <c r="DHN69" s="684"/>
      <c r="DHO69" s="684"/>
      <c r="DHP69" s="684"/>
      <c r="DHQ69" s="684"/>
      <c r="DHR69" s="684"/>
      <c r="DHS69" s="684"/>
      <c r="DHT69" s="684"/>
      <c r="DHU69" s="684"/>
      <c r="DHV69" s="684"/>
      <c r="DHW69" s="684"/>
      <c r="DHX69" s="684"/>
      <c r="DHY69" s="684"/>
      <c r="DHZ69" s="684"/>
      <c r="DIA69" s="684"/>
      <c r="DIB69" s="684"/>
      <c r="DIC69" s="684"/>
      <c r="DID69" s="684"/>
      <c r="DIE69" s="684"/>
      <c r="DIF69" s="684"/>
      <c r="DIG69" s="684"/>
      <c r="DIH69" s="684"/>
      <c r="DII69" s="684"/>
      <c r="DIJ69" s="684"/>
      <c r="DIK69" s="684"/>
      <c r="DIL69" s="684"/>
      <c r="DIM69" s="684"/>
      <c r="DIN69" s="684"/>
      <c r="DIO69" s="684"/>
      <c r="DIP69" s="684"/>
      <c r="DIQ69" s="684"/>
      <c r="DIR69" s="684"/>
      <c r="DIS69" s="684"/>
      <c r="DIT69" s="684"/>
      <c r="DIU69" s="684"/>
      <c r="DIV69" s="684"/>
      <c r="DIW69" s="684"/>
      <c r="DIX69" s="684"/>
      <c r="DIY69" s="684"/>
      <c r="DIZ69" s="684"/>
      <c r="DJA69" s="684"/>
      <c r="DJB69" s="684"/>
      <c r="DJC69" s="684"/>
      <c r="DJD69" s="684"/>
      <c r="DJE69" s="684"/>
      <c r="DJF69" s="684"/>
      <c r="DJG69" s="684"/>
      <c r="DJH69" s="684"/>
      <c r="DJI69" s="684"/>
      <c r="DJJ69" s="684"/>
      <c r="DJK69" s="684"/>
      <c r="DJL69" s="684"/>
      <c r="DJM69" s="684"/>
      <c r="DJN69" s="684"/>
      <c r="DJO69" s="684"/>
      <c r="DJP69" s="684"/>
      <c r="DJQ69" s="684"/>
      <c r="DJR69" s="684"/>
      <c r="DJS69" s="684"/>
      <c r="DJT69" s="684"/>
      <c r="DJU69" s="684"/>
      <c r="DJV69" s="684"/>
      <c r="DJW69" s="684"/>
      <c r="DJX69" s="684"/>
      <c r="DJY69" s="684"/>
      <c r="DJZ69" s="684"/>
      <c r="DKA69" s="684"/>
      <c r="DKB69" s="684"/>
      <c r="DKC69" s="684"/>
      <c r="DKD69" s="684"/>
      <c r="DKE69" s="684"/>
      <c r="DKF69" s="684"/>
      <c r="DKG69" s="684"/>
      <c r="DKH69" s="684"/>
      <c r="DKI69" s="684"/>
      <c r="DKJ69" s="684"/>
      <c r="DKK69" s="684"/>
      <c r="DKL69" s="684"/>
      <c r="DKM69" s="684"/>
      <c r="DKN69" s="684"/>
      <c r="DKO69" s="684"/>
      <c r="DKP69" s="684"/>
      <c r="DKQ69" s="684"/>
      <c r="DKR69" s="684"/>
      <c r="DKS69" s="684"/>
      <c r="DKT69" s="684"/>
      <c r="DKU69" s="684"/>
      <c r="DKV69" s="684"/>
      <c r="DKW69" s="684"/>
      <c r="DKX69" s="684"/>
      <c r="DKY69" s="684"/>
      <c r="DKZ69" s="684"/>
      <c r="DLA69" s="684"/>
      <c r="DLB69" s="684"/>
      <c r="DLC69" s="684"/>
      <c r="DLD69" s="684"/>
      <c r="DLE69" s="684"/>
      <c r="DLF69" s="684"/>
      <c r="DLG69" s="684"/>
      <c r="DLH69" s="684"/>
      <c r="DLI69" s="684"/>
      <c r="DLJ69" s="684"/>
      <c r="DLK69" s="684"/>
      <c r="DLL69" s="684"/>
      <c r="DLM69" s="684"/>
      <c r="DLN69" s="684"/>
      <c r="DLO69" s="684"/>
      <c r="DLP69" s="684"/>
      <c r="DLQ69" s="684"/>
      <c r="DLR69" s="684"/>
      <c r="DLS69" s="684"/>
      <c r="DLT69" s="684"/>
      <c r="DLU69" s="684"/>
      <c r="DLV69" s="684"/>
      <c r="DLW69" s="684"/>
      <c r="DLX69" s="684"/>
      <c r="DLY69" s="684"/>
      <c r="DLZ69" s="684"/>
      <c r="DMA69" s="684"/>
      <c r="DMB69" s="684"/>
      <c r="DMC69" s="684"/>
      <c r="DMD69" s="684"/>
      <c r="DME69" s="684"/>
      <c r="DMF69" s="684"/>
      <c r="DMG69" s="684"/>
      <c r="DMH69" s="684"/>
      <c r="DMI69" s="684"/>
      <c r="DMJ69" s="684"/>
      <c r="DMK69" s="684"/>
      <c r="DML69" s="684"/>
      <c r="DMM69" s="684"/>
      <c r="DMN69" s="684"/>
      <c r="DMO69" s="684"/>
      <c r="DMP69" s="684"/>
      <c r="DMQ69" s="684"/>
      <c r="DMR69" s="684"/>
      <c r="DMS69" s="684"/>
      <c r="DMT69" s="684"/>
      <c r="DMU69" s="684"/>
      <c r="DMV69" s="684"/>
      <c r="DMW69" s="684"/>
      <c r="DMX69" s="684"/>
      <c r="DMY69" s="684"/>
      <c r="DMZ69" s="684"/>
      <c r="DNA69" s="684"/>
      <c r="DNB69" s="684"/>
      <c r="DNC69" s="684"/>
      <c r="DND69" s="684"/>
      <c r="DNE69" s="684"/>
      <c r="DNF69" s="684"/>
      <c r="DNG69" s="684"/>
      <c r="DNH69" s="684"/>
      <c r="DNI69" s="684"/>
      <c r="DNJ69" s="684"/>
      <c r="DNK69" s="684"/>
      <c r="DNL69" s="684"/>
      <c r="DNM69" s="684"/>
      <c r="DNN69" s="684"/>
      <c r="DNO69" s="684"/>
      <c r="DNP69" s="684"/>
      <c r="DNQ69" s="684"/>
      <c r="DNR69" s="684"/>
      <c r="DNS69" s="684"/>
      <c r="DNT69" s="684"/>
      <c r="DNU69" s="684"/>
      <c r="DNV69" s="684"/>
      <c r="DNW69" s="684"/>
      <c r="DNX69" s="684"/>
      <c r="DNY69" s="684"/>
      <c r="DNZ69" s="684"/>
      <c r="DOA69" s="684"/>
      <c r="DOB69" s="684"/>
      <c r="DOC69" s="684"/>
      <c r="DOD69" s="684"/>
      <c r="DOE69" s="684"/>
      <c r="DOF69" s="684"/>
      <c r="DOG69" s="684"/>
      <c r="DOH69" s="684"/>
      <c r="DOI69" s="684"/>
      <c r="DOJ69" s="684"/>
      <c r="DOK69" s="684"/>
      <c r="DOL69" s="684"/>
      <c r="DOM69" s="684"/>
      <c r="DON69" s="684"/>
      <c r="DOO69" s="684"/>
      <c r="DOP69" s="684"/>
      <c r="DOQ69" s="684"/>
      <c r="DOR69" s="684"/>
      <c r="DOS69" s="684"/>
      <c r="DOT69" s="684"/>
      <c r="DOU69" s="684"/>
      <c r="DOV69" s="684"/>
      <c r="DOW69" s="684"/>
      <c r="DOX69" s="684"/>
      <c r="DOY69" s="684"/>
      <c r="DOZ69" s="684"/>
      <c r="DPA69" s="684"/>
      <c r="DPB69" s="684"/>
      <c r="DPC69" s="684"/>
      <c r="DPD69" s="684"/>
      <c r="DPE69" s="684"/>
      <c r="DPF69" s="684"/>
      <c r="DPG69" s="684"/>
      <c r="DPH69" s="684"/>
      <c r="DPI69" s="684"/>
      <c r="DPJ69" s="684"/>
      <c r="DPK69" s="684"/>
      <c r="DPL69" s="684"/>
      <c r="DPM69" s="684"/>
      <c r="DPN69" s="684"/>
      <c r="DPO69" s="684"/>
      <c r="DPP69" s="684"/>
      <c r="DPQ69" s="684"/>
      <c r="DPR69" s="684"/>
      <c r="DPS69" s="684"/>
      <c r="DPT69" s="684"/>
      <c r="DPU69" s="684"/>
      <c r="DPV69" s="684"/>
      <c r="DPW69" s="684"/>
      <c r="DPX69" s="684"/>
      <c r="DPY69" s="684"/>
      <c r="DPZ69" s="684"/>
      <c r="DQA69" s="684"/>
      <c r="DQB69" s="684"/>
      <c r="DQC69" s="684"/>
      <c r="DQD69" s="684"/>
      <c r="DQE69" s="684"/>
      <c r="DQF69" s="684"/>
      <c r="DQG69" s="684"/>
      <c r="DQH69" s="684"/>
      <c r="DQI69" s="684"/>
      <c r="DQJ69" s="684"/>
      <c r="DQK69" s="684"/>
      <c r="DQL69" s="684"/>
      <c r="DQM69" s="684"/>
      <c r="DQN69" s="684"/>
      <c r="DQO69" s="684"/>
      <c r="DQP69" s="684"/>
      <c r="DQQ69" s="684"/>
      <c r="DQR69" s="684"/>
      <c r="DQS69" s="684"/>
      <c r="DQT69" s="684"/>
      <c r="DQU69" s="684"/>
      <c r="DQV69" s="684"/>
      <c r="DQW69" s="684"/>
      <c r="DQX69" s="684"/>
      <c r="DQY69" s="684"/>
      <c r="DQZ69" s="684"/>
      <c r="DRA69" s="684"/>
      <c r="DRB69" s="684"/>
      <c r="DRC69" s="684"/>
      <c r="DRD69" s="684"/>
      <c r="DRE69" s="684"/>
      <c r="DRF69" s="684"/>
      <c r="DRG69" s="684"/>
      <c r="DRH69" s="684"/>
      <c r="DRI69" s="684"/>
      <c r="DRJ69" s="684"/>
      <c r="DRK69" s="684"/>
      <c r="DRL69" s="684"/>
      <c r="DRM69" s="684"/>
      <c r="DRN69" s="684"/>
      <c r="DRO69" s="684"/>
      <c r="DRP69" s="684"/>
      <c r="DRQ69" s="684"/>
      <c r="DRR69" s="684"/>
      <c r="DRS69" s="684"/>
      <c r="DRT69" s="684"/>
      <c r="DRU69" s="684"/>
      <c r="DRV69" s="684"/>
      <c r="DRW69" s="684"/>
      <c r="DRX69" s="684"/>
      <c r="DRY69" s="684"/>
      <c r="DRZ69" s="684"/>
      <c r="DSA69" s="684"/>
      <c r="DSB69" s="684"/>
      <c r="DSC69" s="684"/>
      <c r="DSD69" s="684"/>
      <c r="DSE69" s="684"/>
      <c r="DSF69" s="684"/>
      <c r="DSG69" s="684"/>
      <c r="DSH69" s="684"/>
      <c r="DSI69" s="684"/>
      <c r="DSJ69" s="684"/>
      <c r="DSK69" s="684"/>
      <c r="DSL69" s="684"/>
      <c r="DSM69" s="684"/>
      <c r="DSN69" s="684"/>
      <c r="DSO69" s="684"/>
      <c r="DSP69" s="684"/>
      <c r="DSQ69" s="684"/>
      <c r="DSR69" s="684"/>
      <c r="DSS69" s="684"/>
      <c r="DST69" s="684"/>
      <c r="DSU69" s="684"/>
      <c r="DSV69" s="684"/>
      <c r="DSW69" s="684"/>
      <c r="DSX69" s="684"/>
      <c r="DSY69" s="684"/>
      <c r="DSZ69" s="684"/>
      <c r="DTA69" s="684"/>
      <c r="DTB69" s="684"/>
      <c r="DTC69" s="684"/>
      <c r="DTD69" s="684"/>
      <c r="DTE69" s="684"/>
      <c r="DTF69" s="684"/>
      <c r="DTG69" s="684"/>
      <c r="DTH69" s="684"/>
      <c r="DTI69" s="684"/>
      <c r="DTJ69" s="684"/>
      <c r="DTK69" s="684"/>
      <c r="DTL69" s="684"/>
      <c r="DTM69" s="684"/>
      <c r="DTN69" s="684"/>
      <c r="DTO69" s="684"/>
      <c r="DTP69" s="684"/>
      <c r="DTQ69" s="684"/>
      <c r="DTR69" s="684"/>
      <c r="DTS69" s="684"/>
      <c r="DTT69" s="684"/>
      <c r="DTU69" s="684"/>
      <c r="DTV69" s="684"/>
      <c r="DTW69" s="684"/>
      <c r="DTX69" s="684"/>
      <c r="DTY69" s="684"/>
      <c r="DTZ69" s="684"/>
      <c r="DUA69" s="684"/>
      <c r="DUB69" s="684"/>
      <c r="DUC69" s="684"/>
      <c r="DUD69" s="684"/>
      <c r="DUE69" s="684"/>
      <c r="DUF69" s="684"/>
      <c r="DUG69" s="684"/>
      <c r="DUH69" s="684"/>
      <c r="DUI69" s="684"/>
      <c r="DUJ69" s="684"/>
      <c r="DUK69" s="684"/>
      <c r="DUL69" s="684"/>
      <c r="DUM69" s="684"/>
      <c r="DUN69" s="684"/>
      <c r="DUO69" s="684"/>
      <c r="DUP69" s="684"/>
      <c r="DUQ69" s="684"/>
      <c r="DUR69" s="684"/>
      <c r="DUS69" s="684"/>
      <c r="DUT69" s="684"/>
      <c r="DUU69" s="684"/>
      <c r="DUV69" s="684"/>
      <c r="DUW69" s="684"/>
      <c r="DUX69" s="684"/>
      <c r="DUY69" s="684"/>
      <c r="DUZ69" s="684"/>
      <c r="DVA69" s="684"/>
      <c r="DVB69" s="684"/>
      <c r="DVC69" s="684"/>
      <c r="DVD69" s="684"/>
      <c r="DVE69" s="684"/>
      <c r="DVF69" s="684"/>
      <c r="DVG69" s="684"/>
      <c r="DVH69" s="684"/>
      <c r="DVI69" s="684"/>
      <c r="DVJ69" s="684"/>
      <c r="DVK69" s="684"/>
      <c r="DVL69" s="684"/>
      <c r="DVM69" s="684"/>
      <c r="DVN69" s="684"/>
      <c r="DVO69" s="684"/>
      <c r="DVP69" s="684"/>
      <c r="DVQ69" s="684"/>
      <c r="DVR69" s="684"/>
      <c r="DVS69" s="684"/>
      <c r="DVT69" s="684"/>
      <c r="DVU69" s="684"/>
      <c r="DVV69" s="684"/>
      <c r="DVW69" s="684"/>
      <c r="DVX69" s="684"/>
      <c r="DVY69" s="684"/>
      <c r="DVZ69" s="684"/>
      <c r="DWA69" s="684"/>
      <c r="DWB69" s="684"/>
      <c r="DWC69" s="684"/>
      <c r="DWD69" s="684"/>
      <c r="DWE69" s="684"/>
      <c r="DWF69" s="684"/>
      <c r="DWG69" s="684"/>
      <c r="DWH69" s="684"/>
      <c r="DWI69" s="684"/>
      <c r="DWJ69" s="684"/>
      <c r="DWK69" s="684"/>
      <c r="DWL69" s="684"/>
      <c r="DWM69" s="684"/>
      <c r="DWN69" s="684"/>
      <c r="DWO69" s="684"/>
      <c r="DWP69" s="684"/>
      <c r="DWQ69" s="684"/>
      <c r="DWR69" s="684"/>
      <c r="DWS69" s="684"/>
      <c r="DWT69" s="684"/>
      <c r="DWU69" s="684"/>
      <c r="DWV69" s="684"/>
      <c r="DWW69" s="684"/>
      <c r="DWX69" s="684"/>
      <c r="DWY69" s="684"/>
      <c r="DWZ69" s="684"/>
      <c r="DXA69" s="684"/>
      <c r="DXB69" s="684"/>
      <c r="DXC69" s="684"/>
      <c r="DXD69" s="684"/>
      <c r="DXE69" s="684"/>
      <c r="DXF69" s="684"/>
      <c r="DXG69" s="684"/>
      <c r="DXH69" s="684"/>
      <c r="DXI69" s="684"/>
      <c r="DXJ69" s="684"/>
      <c r="DXK69" s="684"/>
      <c r="DXL69" s="684"/>
      <c r="DXM69" s="684"/>
      <c r="DXN69" s="684"/>
      <c r="DXO69" s="684"/>
      <c r="DXP69" s="684"/>
      <c r="DXQ69" s="684"/>
      <c r="DXR69" s="684"/>
      <c r="DXS69" s="684"/>
      <c r="DXT69" s="684"/>
      <c r="DXU69" s="684"/>
      <c r="DXV69" s="684"/>
      <c r="DXW69" s="684"/>
      <c r="DXX69" s="684"/>
      <c r="DXY69" s="684"/>
      <c r="DXZ69" s="684"/>
      <c r="DYA69" s="684"/>
      <c r="DYB69" s="684"/>
      <c r="DYC69" s="684"/>
      <c r="DYD69" s="684"/>
      <c r="DYE69" s="684"/>
      <c r="DYF69" s="684"/>
      <c r="DYG69" s="684"/>
      <c r="DYH69" s="684"/>
      <c r="DYI69" s="684"/>
      <c r="DYJ69" s="684"/>
      <c r="DYK69" s="684"/>
      <c r="DYL69" s="684"/>
      <c r="DYM69" s="684"/>
      <c r="DYN69" s="684"/>
      <c r="DYO69" s="684"/>
      <c r="DYP69" s="684"/>
      <c r="DYQ69" s="684"/>
      <c r="DYR69" s="684"/>
      <c r="DYS69" s="684"/>
      <c r="DYT69" s="684"/>
      <c r="DYU69" s="684"/>
      <c r="DYV69" s="684"/>
      <c r="DYW69" s="684"/>
      <c r="DYX69" s="684"/>
      <c r="DYY69" s="684"/>
      <c r="DYZ69" s="684"/>
      <c r="DZA69" s="684"/>
      <c r="DZB69" s="684"/>
      <c r="DZC69" s="684"/>
      <c r="DZD69" s="684"/>
      <c r="DZE69" s="684"/>
      <c r="DZF69" s="684"/>
      <c r="DZG69" s="684"/>
      <c r="DZH69" s="684"/>
      <c r="DZI69" s="684"/>
      <c r="DZJ69" s="684"/>
      <c r="DZK69" s="684"/>
      <c r="DZL69" s="684"/>
      <c r="DZM69" s="684"/>
      <c r="DZN69" s="684"/>
      <c r="DZO69" s="684"/>
      <c r="DZP69" s="684"/>
      <c r="DZQ69" s="684"/>
      <c r="DZR69" s="684"/>
      <c r="DZS69" s="684"/>
      <c r="DZT69" s="684"/>
      <c r="DZU69" s="684"/>
      <c r="DZV69" s="684"/>
      <c r="DZW69" s="684"/>
      <c r="DZX69" s="684"/>
      <c r="DZY69" s="684"/>
      <c r="DZZ69" s="684"/>
      <c r="EAA69" s="684"/>
      <c r="EAB69" s="684"/>
      <c r="EAC69" s="684"/>
      <c r="EAD69" s="684"/>
      <c r="EAE69" s="684"/>
      <c r="EAF69" s="684"/>
      <c r="EAG69" s="684"/>
      <c r="EAH69" s="684"/>
      <c r="EAI69" s="684"/>
      <c r="EAJ69" s="684"/>
      <c r="EAK69" s="684"/>
      <c r="EAL69" s="684"/>
      <c r="EAM69" s="684"/>
      <c r="EAN69" s="684"/>
      <c r="EAO69" s="684"/>
      <c r="EAP69" s="684"/>
      <c r="EAQ69" s="684"/>
      <c r="EAR69" s="684"/>
      <c r="EAS69" s="684"/>
      <c r="EAT69" s="684"/>
      <c r="EAU69" s="684"/>
      <c r="EAV69" s="684"/>
      <c r="EAW69" s="684"/>
      <c r="EAX69" s="684"/>
      <c r="EAY69" s="684"/>
      <c r="EAZ69" s="684"/>
      <c r="EBA69" s="684"/>
      <c r="EBB69" s="684"/>
      <c r="EBC69" s="684"/>
      <c r="EBD69" s="684"/>
      <c r="EBE69" s="684"/>
      <c r="EBF69" s="684"/>
      <c r="EBG69" s="684"/>
      <c r="EBH69" s="684"/>
      <c r="EBI69" s="684"/>
      <c r="EBJ69" s="684"/>
      <c r="EBK69" s="684"/>
      <c r="EBL69" s="684"/>
      <c r="EBM69" s="684"/>
      <c r="EBN69" s="684"/>
      <c r="EBO69" s="684"/>
      <c r="EBP69" s="684"/>
      <c r="EBQ69" s="684"/>
      <c r="EBR69" s="684"/>
      <c r="EBS69" s="684"/>
      <c r="EBT69" s="684"/>
      <c r="EBU69" s="684"/>
      <c r="EBV69" s="684"/>
      <c r="EBW69" s="684"/>
      <c r="EBX69" s="684"/>
      <c r="EBY69" s="684"/>
      <c r="EBZ69" s="684"/>
      <c r="ECA69" s="684"/>
      <c r="ECB69" s="684"/>
      <c r="ECC69" s="684"/>
      <c r="ECD69" s="684"/>
      <c r="ECE69" s="684"/>
      <c r="ECF69" s="684"/>
      <c r="ECG69" s="684"/>
      <c r="ECH69" s="684"/>
      <c r="ECI69" s="684"/>
      <c r="ECJ69" s="684"/>
      <c r="ECK69" s="684"/>
      <c r="ECL69" s="684"/>
      <c r="ECM69" s="684"/>
      <c r="ECN69" s="684"/>
      <c r="ECO69" s="684"/>
      <c r="ECP69" s="684"/>
      <c r="ECQ69" s="684"/>
      <c r="ECR69" s="684"/>
      <c r="ECS69" s="684"/>
      <c r="ECT69" s="684"/>
      <c r="ECU69" s="684"/>
      <c r="ECV69" s="684"/>
      <c r="ECW69" s="684"/>
      <c r="ECX69" s="684"/>
      <c r="ECY69" s="684"/>
      <c r="ECZ69" s="684"/>
      <c r="EDA69" s="684"/>
      <c r="EDB69" s="684"/>
      <c r="EDC69" s="684"/>
      <c r="EDD69" s="684"/>
      <c r="EDE69" s="684"/>
      <c r="EDF69" s="684"/>
      <c r="EDG69" s="684"/>
      <c r="EDH69" s="684"/>
      <c r="EDI69" s="684"/>
      <c r="EDJ69" s="684"/>
      <c r="EDK69" s="684"/>
      <c r="EDL69" s="684"/>
      <c r="EDM69" s="684"/>
      <c r="EDN69" s="684"/>
      <c r="EDO69" s="684"/>
      <c r="EDP69" s="684"/>
      <c r="EDQ69" s="684"/>
      <c r="EDR69" s="684"/>
      <c r="EDS69" s="684"/>
      <c r="EDT69" s="684"/>
      <c r="EDU69" s="684"/>
      <c r="EDV69" s="684"/>
      <c r="EDW69" s="684"/>
      <c r="EDX69" s="684"/>
      <c r="EDY69" s="684"/>
      <c r="EDZ69" s="684"/>
      <c r="EEA69" s="684"/>
      <c r="EEB69" s="684"/>
      <c r="EEC69" s="684"/>
      <c r="EED69" s="684"/>
      <c r="EEE69" s="684"/>
      <c r="EEF69" s="684"/>
      <c r="EEG69" s="684"/>
      <c r="EEH69" s="684"/>
      <c r="EEI69" s="684"/>
      <c r="EEJ69" s="684"/>
      <c r="EEK69" s="684"/>
      <c r="EEL69" s="684"/>
      <c r="EEM69" s="684"/>
      <c r="EEN69" s="684"/>
      <c r="EEO69" s="684"/>
      <c r="EEP69" s="684"/>
      <c r="EEQ69" s="684"/>
      <c r="EER69" s="684"/>
      <c r="EES69" s="684"/>
      <c r="EET69" s="684"/>
      <c r="EEU69" s="684"/>
      <c r="EEV69" s="684"/>
      <c r="EEW69" s="684"/>
      <c r="EEX69" s="684"/>
      <c r="EEY69" s="684"/>
      <c r="EEZ69" s="684"/>
      <c r="EFA69" s="684"/>
      <c r="EFB69" s="684"/>
      <c r="EFC69" s="684"/>
      <c r="EFD69" s="684"/>
      <c r="EFE69" s="684"/>
      <c r="EFF69" s="684"/>
      <c r="EFG69" s="684"/>
      <c r="EFH69" s="684"/>
      <c r="EFI69" s="684"/>
      <c r="EFJ69" s="684"/>
      <c r="EFK69" s="684"/>
      <c r="EFL69" s="684"/>
      <c r="EFM69" s="684"/>
      <c r="EFN69" s="684"/>
      <c r="EFO69" s="684"/>
      <c r="EFP69" s="684"/>
      <c r="EFQ69" s="684"/>
      <c r="EFR69" s="684"/>
      <c r="EFS69" s="684"/>
      <c r="EFT69" s="684"/>
      <c r="EFU69" s="684"/>
      <c r="EFV69" s="684"/>
      <c r="EFW69" s="684"/>
      <c r="EFX69" s="684"/>
      <c r="EFY69" s="684"/>
      <c r="EFZ69" s="684"/>
      <c r="EGA69" s="684"/>
      <c r="EGB69" s="684"/>
      <c r="EGC69" s="684"/>
      <c r="EGD69" s="684"/>
      <c r="EGE69" s="684"/>
      <c r="EGF69" s="684"/>
      <c r="EGG69" s="684"/>
      <c r="EGH69" s="684"/>
      <c r="EGI69" s="684"/>
      <c r="EGJ69" s="684"/>
      <c r="EGK69" s="684"/>
      <c r="EGL69" s="684"/>
      <c r="EGM69" s="684"/>
      <c r="EGN69" s="684"/>
      <c r="EGO69" s="684"/>
      <c r="EGP69" s="684"/>
      <c r="EGQ69" s="684"/>
      <c r="EGR69" s="684"/>
      <c r="EGS69" s="684"/>
      <c r="EGT69" s="684"/>
      <c r="EGU69" s="684"/>
      <c r="EGV69" s="684"/>
      <c r="EGW69" s="684"/>
      <c r="EGX69" s="684"/>
      <c r="EGY69" s="684"/>
      <c r="EGZ69" s="684"/>
      <c r="EHA69" s="684"/>
      <c r="EHB69" s="684"/>
      <c r="EHC69" s="684"/>
      <c r="EHD69" s="684"/>
      <c r="EHE69" s="684"/>
      <c r="EHF69" s="684"/>
      <c r="EHG69" s="684"/>
      <c r="EHH69" s="684"/>
      <c r="EHI69" s="684"/>
      <c r="EHJ69" s="684"/>
      <c r="EHK69" s="684"/>
      <c r="EHL69" s="684"/>
      <c r="EHM69" s="684"/>
      <c r="EHN69" s="684"/>
      <c r="EHO69" s="684"/>
      <c r="EHP69" s="684"/>
      <c r="EHQ69" s="684"/>
      <c r="EHR69" s="684"/>
      <c r="EHS69" s="684"/>
      <c r="EHT69" s="684"/>
      <c r="EHU69" s="684"/>
      <c r="EHV69" s="684"/>
      <c r="EHW69" s="684"/>
      <c r="EHX69" s="684"/>
      <c r="EHY69" s="684"/>
      <c r="EHZ69" s="684"/>
      <c r="EIA69" s="684"/>
      <c r="EIB69" s="684"/>
      <c r="EIC69" s="684"/>
      <c r="EID69" s="684"/>
      <c r="EIE69" s="684"/>
      <c r="EIF69" s="684"/>
      <c r="EIG69" s="684"/>
      <c r="EIH69" s="684"/>
      <c r="EII69" s="684"/>
      <c r="EIJ69" s="684"/>
      <c r="EIK69" s="684"/>
      <c r="EIL69" s="684"/>
      <c r="EIM69" s="684"/>
      <c r="EIN69" s="684"/>
      <c r="EIO69" s="684"/>
      <c r="EIP69" s="684"/>
      <c r="EIQ69" s="684"/>
      <c r="EIR69" s="684"/>
      <c r="EIS69" s="684"/>
      <c r="EIT69" s="684"/>
      <c r="EIU69" s="684"/>
      <c r="EIV69" s="684"/>
      <c r="EIW69" s="684"/>
      <c r="EIX69" s="684"/>
      <c r="EIY69" s="684"/>
      <c r="EIZ69" s="684"/>
      <c r="EJA69" s="684"/>
      <c r="EJB69" s="684"/>
      <c r="EJC69" s="684"/>
      <c r="EJD69" s="684"/>
      <c r="EJE69" s="684"/>
      <c r="EJF69" s="684"/>
      <c r="EJG69" s="684"/>
      <c r="EJH69" s="684"/>
      <c r="EJI69" s="684"/>
      <c r="EJJ69" s="684"/>
      <c r="EJK69" s="684"/>
      <c r="EJL69" s="684"/>
      <c r="EJM69" s="684"/>
      <c r="EJN69" s="684"/>
      <c r="EJO69" s="684"/>
      <c r="EJP69" s="684"/>
      <c r="EJQ69" s="684"/>
      <c r="EJR69" s="684"/>
      <c r="EJS69" s="684"/>
      <c r="EJT69" s="684"/>
      <c r="EJU69" s="684"/>
      <c r="EJV69" s="684"/>
      <c r="EJW69" s="684"/>
      <c r="EJX69" s="684"/>
      <c r="EJY69" s="684"/>
      <c r="EJZ69" s="684"/>
      <c r="EKA69" s="684"/>
      <c r="EKB69" s="684"/>
      <c r="EKC69" s="684"/>
      <c r="EKD69" s="684"/>
      <c r="EKE69" s="684"/>
      <c r="EKF69" s="684"/>
      <c r="EKG69" s="684"/>
      <c r="EKH69" s="684"/>
      <c r="EKI69" s="684"/>
      <c r="EKJ69" s="684"/>
      <c r="EKK69" s="684"/>
      <c r="EKL69" s="684"/>
      <c r="EKM69" s="684"/>
      <c r="EKN69" s="684"/>
      <c r="EKO69" s="684"/>
      <c r="EKP69" s="684"/>
      <c r="EKQ69" s="684"/>
      <c r="EKR69" s="684"/>
      <c r="EKS69" s="684"/>
      <c r="EKT69" s="684"/>
      <c r="EKU69" s="684"/>
      <c r="EKV69" s="684"/>
      <c r="EKW69" s="684"/>
      <c r="EKX69" s="684"/>
      <c r="EKY69" s="684"/>
      <c r="EKZ69" s="684"/>
      <c r="ELA69" s="684"/>
      <c r="ELB69" s="684"/>
      <c r="ELC69" s="684"/>
      <c r="ELD69" s="684"/>
      <c r="ELE69" s="684"/>
      <c r="ELF69" s="684"/>
      <c r="ELG69" s="684"/>
      <c r="ELH69" s="684"/>
      <c r="ELI69" s="684"/>
      <c r="ELJ69" s="684"/>
      <c r="ELK69" s="684"/>
      <c r="ELL69" s="684"/>
      <c r="ELM69" s="684"/>
      <c r="ELN69" s="684"/>
      <c r="ELO69" s="684"/>
      <c r="ELP69" s="684"/>
      <c r="ELQ69" s="684"/>
      <c r="ELR69" s="684"/>
      <c r="ELS69" s="684"/>
      <c r="ELT69" s="684"/>
      <c r="ELU69" s="684"/>
      <c r="ELV69" s="684"/>
      <c r="ELW69" s="684"/>
      <c r="ELX69" s="684"/>
      <c r="ELY69" s="684"/>
      <c r="ELZ69" s="684"/>
      <c r="EMA69" s="684"/>
      <c r="EMB69" s="684"/>
      <c r="EMC69" s="684"/>
      <c r="EMD69" s="684"/>
      <c r="EME69" s="684"/>
      <c r="EMF69" s="684"/>
      <c r="EMG69" s="684"/>
      <c r="EMH69" s="684"/>
      <c r="EMI69" s="684"/>
      <c r="EMJ69" s="684"/>
      <c r="EMK69" s="684"/>
      <c r="EML69" s="684"/>
      <c r="EMM69" s="684"/>
      <c r="EMN69" s="684"/>
      <c r="EMO69" s="684"/>
      <c r="EMP69" s="684"/>
      <c r="EMQ69" s="684"/>
      <c r="EMR69" s="684"/>
      <c r="EMS69" s="684"/>
      <c r="EMT69" s="684"/>
      <c r="EMU69" s="684"/>
      <c r="EMV69" s="684"/>
      <c r="EMW69" s="684"/>
      <c r="EMX69" s="684"/>
      <c r="EMY69" s="684"/>
      <c r="EMZ69" s="684"/>
      <c r="ENA69" s="684"/>
      <c r="ENB69" s="684"/>
      <c r="ENC69" s="684"/>
      <c r="END69" s="684"/>
      <c r="ENE69" s="684"/>
      <c r="ENF69" s="684"/>
      <c r="ENG69" s="684"/>
      <c r="ENH69" s="684"/>
      <c r="ENI69" s="684"/>
      <c r="ENJ69" s="684"/>
      <c r="ENK69" s="684"/>
      <c r="ENL69" s="684"/>
      <c r="ENM69" s="684"/>
      <c r="ENN69" s="684"/>
      <c r="ENO69" s="684"/>
      <c r="ENP69" s="684"/>
      <c r="ENQ69" s="684"/>
      <c r="ENR69" s="684"/>
      <c r="ENS69" s="684"/>
      <c r="ENT69" s="684"/>
      <c r="ENU69" s="684"/>
      <c r="ENV69" s="684"/>
      <c r="ENW69" s="684"/>
      <c r="ENX69" s="684"/>
      <c r="ENY69" s="684"/>
      <c r="ENZ69" s="684"/>
      <c r="EOA69" s="684"/>
      <c r="EOB69" s="684"/>
      <c r="EOC69" s="684"/>
      <c r="EOD69" s="684"/>
      <c r="EOE69" s="684"/>
      <c r="EOF69" s="684"/>
      <c r="EOG69" s="684"/>
      <c r="EOH69" s="684"/>
      <c r="EOI69" s="684"/>
      <c r="EOJ69" s="684"/>
      <c r="EOK69" s="684"/>
      <c r="EOL69" s="684"/>
      <c r="EOM69" s="684"/>
      <c r="EON69" s="684"/>
      <c r="EOO69" s="684"/>
      <c r="EOP69" s="684"/>
      <c r="EOQ69" s="684"/>
      <c r="EOR69" s="684"/>
      <c r="EOS69" s="684"/>
      <c r="EOT69" s="684"/>
      <c r="EOU69" s="684"/>
      <c r="EOV69" s="684"/>
      <c r="EOW69" s="684"/>
      <c r="EOX69" s="684"/>
      <c r="EOY69" s="684"/>
      <c r="EOZ69" s="684"/>
      <c r="EPA69" s="684"/>
      <c r="EPB69" s="684"/>
      <c r="EPC69" s="684"/>
      <c r="EPD69" s="684"/>
      <c r="EPE69" s="684"/>
      <c r="EPF69" s="684"/>
      <c r="EPG69" s="684"/>
      <c r="EPH69" s="684"/>
      <c r="EPI69" s="684"/>
      <c r="EPJ69" s="684"/>
      <c r="EPK69" s="684"/>
      <c r="EPL69" s="684"/>
      <c r="EPM69" s="684"/>
      <c r="EPN69" s="684"/>
      <c r="EPO69" s="684"/>
      <c r="EPP69" s="684"/>
      <c r="EPQ69" s="684"/>
      <c r="EPR69" s="684"/>
      <c r="EPS69" s="684"/>
      <c r="EPT69" s="684"/>
      <c r="EPU69" s="684"/>
      <c r="EPV69" s="684"/>
      <c r="EPW69" s="684"/>
      <c r="EPX69" s="684"/>
      <c r="EPY69" s="684"/>
      <c r="EPZ69" s="684"/>
      <c r="EQA69" s="684"/>
      <c r="EQB69" s="684"/>
      <c r="EQC69" s="684"/>
      <c r="EQD69" s="684"/>
      <c r="EQE69" s="684"/>
      <c r="EQF69" s="684"/>
      <c r="EQG69" s="684"/>
      <c r="EQH69" s="684"/>
      <c r="EQI69" s="684"/>
      <c r="EQJ69" s="684"/>
      <c r="EQK69" s="684"/>
      <c r="EQL69" s="684"/>
      <c r="EQM69" s="684"/>
      <c r="EQN69" s="684"/>
      <c r="EQO69" s="684"/>
      <c r="EQP69" s="684"/>
      <c r="EQQ69" s="684"/>
      <c r="EQR69" s="684"/>
      <c r="EQS69" s="684"/>
      <c r="EQT69" s="684"/>
      <c r="EQU69" s="684"/>
      <c r="EQV69" s="684"/>
      <c r="EQW69" s="684"/>
      <c r="EQX69" s="684"/>
      <c r="EQY69" s="684"/>
      <c r="EQZ69" s="684"/>
      <c r="ERA69" s="684"/>
      <c r="ERB69" s="684"/>
      <c r="ERC69" s="684"/>
      <c r="ERD69" s="684"/>
      <c r="ERE69" s="684"/>
      <c r="ERF69" s="684"/>
      <c r="ERG69" s="684"/>
      <c r="ERH69" s="684"/>
      <c r="ERI69" s="684"/>
      <c r="ERJ69" s="684"/>
      <c r="ERK69" s="684"/>
      <c r="ERL69" s="684"/>
      <c r="ERM69" s="684"/>
      <c r="ERN69" s="684"/>
      <c r="ERO69" s="684"/>
      <c r="ERP69" s="684"/>
      <c r="ERQ69" s="684"/>
      <c r="ERR69" s="684"/>
      <c r="ERS69" s="684"/>
      <c r="ERT69" s="684"/>
      <c r="ERU69" s="684"/>
      <c r="ERV69" s="684"/>
      <c r="ERW69" s="684"/>
      <c r="ERX69" s="684"/>
      <c r="ERY69" s="684"/>
      <c r="ERZ69" s="684"/>
      <c r="ESA69" s="684"/>
      <c r="ESB69" s="684"/>
      <c r="ESC69" s="684"/>
      <c r="ESD69" s="684"/>
      <c r="ESE69" s="684"/>
      <c r="ESF69" s="684"/>
      <c r="ESG69" s="684"/>
      <c r="ESH69" s="684"/>
      <c r="ESI69" s="684"/>
      <c r="ESJ69" s="684"/>
      <c r="ESK69" s="684"/>
      <c r="ESL69" s="684"/>
      <c r="ESM69" s="684"/>
      <c r="ESN69" s="684"/>
      <c r="ESO69" s="684"/>
      <c r="ESP69" s="684"/>
      <c r="ESQ69" s="684"/>
      <c r="ESR69" s="684"/>
      <c r="ESS69" s="684"/>
      <c r="EST69" s="684"/>
      <c r="ESU69" s="684"/>
      <c r="ESV69" s="684"/>
      <c r="ESW69" s="684"/>
      <c r="ESX69" s="684"/>
      <c r="ESY69" s="684"/>
      <c r="ESZ69" s="684"/>
      <c r="ETA69" s="684"/>
      <c r="ETB69" s="684"/>
      <c r="ETC69" s="684"/>
      <c r="ETD69" s="684"/>
      <c r="ETE69" s="684"/>
      <c r="ETF69" s="684"/>
      <c r="ETG69" s="684"/>
      <c r="ETH69" s="684"/>
      <c r="ETI69" s="684"/>
      <c r="ETJ69" s="684"/>
      <c r="ETK69" s="684"/>
      <c r="ETL69" s="684"/>
      <c r="ETM69" s="684"/>
      <c r="ETN69" s="684"/>
      <c r="ETO69" s="684"/>
      <c r="ETP69" s="684"/>
      <c r="ETQ69" s="684"/>
      <c r="ETR69" s="684"/>
      <c r="ETS69" s="684"/>
      <c r="ETT69" s="684"/>
      <c r="ETU69" s="684"/>
      <c r="ETV69" s="684"/>
      <c r="ETW69" s="684"/>
      <c r="ETX69" s="684"/>
      <c r="ETY69" s="684"/>
      <c r="ETZ69" s="684"/>
      <c r="EUA69" s="684"/>
      <c r="EUB69" s="684"/>
      <c r="EUC69" s="684"/>
      <c r="EUD69" s="684"/>
      <c r="EUE69" s="684"/>
      <c r="EUF69" s="684"/>
      <c r="EUG69" s="684"/>
      <c r="EUH69" s="684"/>
      <c r="EUI69" s="684"/>
      <c r="EUJ69" s="684"/>
      <c r="EUK69" s="684"/>
      <c r="EUL69" s="684"/>
      <c r="EUM69" s="684"/>
      <c r="EUN69" s="684"/>
      <c r="EUO69" s="684"/>
      <c r="EUP69" s="684"/>
      <c r="EUQ69" s="684"/>
      <c r="EUR69" s="684"/>
      <c r="EUS69" s="684"/>
      <c r="EUT69" s="684"/>
      <c r="EUU69" s="684"/>
      <c r="EUV69" s="684"/>
      <c r="EUW69" s="684"/>
      <c r="EUX69" s="684"/>
      <c r="EUY69" s="684"/>
      <c r="EUZ69" s="684"/>
      <c r="EVA69" s="684"/>
      <c r="EVB69" s="684"/>
      <c r="EVC69" s="684"/>
      <c r="EVD69" s="684"/>
      <c r="EVE69" s="684"/>
      <c r="EVF69" s="684"/>
      <c r="EVG69" s="684"/>
      <c r="EVH69" s="684"/>
      <c r="EVI69" s="684"/>
      <c r="EVJ69" s="684"/>
      <c r="EVK69" s="684"/>
      <c r="EVL69" s="684"/>
      <c r="EVM69" s="684"/>
      <c r="EVN69" s="684"/>
      <c r="EVO69" s="684"/>
      <c r="EVP69" s="684"/>
      <c r="EVQ69" s="684"/>
      <c r="EVR69" s="684"/>
      <c r="EVS69" s="684"/>
      <c r="EVT69" s="684"/>
      <c r="EVU69" s="684"/>
      <c r="EVV69" s="684"/>
      <c r="EVW69" s="684"/>
      <c r="EVX69" s="684"/>
      <c r="EVY69" s="684"/>
      <c r="EVZ69" s="684"/>
      <c r="EWA69" s="684"/>
      <c r="EWB69" s="684"/>
      <c r="EWC69" s="684"/>
      <c r="EWD69" s="684"/>
      <c r="EWE69" s="684"/>
      <c r="EWF69" s="684"/>
      <c r="EWG69" s="684"/>
      <c r="EWH69" s="684"/>
      <c r="EWI69" s="684"/>
      <c r="EWJ69" s="684"/>
      <c r="EWK69" s="684"/>
      <c r="EWL69" s="684"/>
      <c r="EWM69" s="684"/>
      <c r="EWN69" s="684"/>
      <c r="EWO69" s="684"/>
      <c r="EWP69" s="684"/>
      <c r="EWQ69" s="684"/>
      <c r="EWR69" s="684"/>
      <c r="EWS69" s="684"/>
      <c r="EWT69" s="684"/>
      <c r="EWU69" s="684"/>
      <c r="EWV69" s="684"/>
      <c r="EWW69" s="684"/>
      <c r="EWX69" s="684"/>
      <c r="EWY69" s="684"/>
      <c r="EWZ69" s="684"/>
      <c r="EXA69" s="684"/>
      <c r="EXB69" s="684"/>
      <c r="EXC69" s="684"/>
      <c r="EXD69" s="684"/>
      <c r="EXE69" s="684"/>
      <c r="EXF69" s="684"/>
      <c r="EXG69" s="684"/>
      <c r="EXH69" s="684"/>
      <c r="EXI69" s="684"/>
      <c r="EXJ69" s="684"/>
      <c r="EXK69" s="684"/>
      <c r="EXL69" s="684"/>
      <c r="EXM69" s="684"/>
      <c r="EXN69" s="684"/>
      <c r="EXO69" s="684"/>
      <c r="EXP69" s="684"/>
      <c r="EXQ69" s="684"/>
      <c r="EXR69" s="684"/>
      <c r="EXS69" s="684"/>
      <c r="EXT69" s="684"/>
      <c r="EXU69" s="684"/>
      <c r="EXV69" s="684"/>
      <c r="EXW69" s="684"/>
      <c r="EXX69" s="684"/>
      <c r="EXY69" s="684"/>
      <c r="EXZ69" s="684"/>
      <c r="EYA69" s="684"/>
      <c r="EYB69" s="684"/>
      <c r="EYC69" s="684"/>
      <c r="EYD69" s="684"/>
      <c r="EYE69" s="684"/>
      <c r="EYF69" s="684"/>
      <c r="EYG69" s="684"/>
      <c r="EYH69" s="684"/>
      <c r="EYI69" s="684"/>
      <c r="EYJ69" s="684"/>
      <c r="EYK69" s="684"/>
      <c r="EYL69" s="684"/>
      <c r="EYM69" s="684"/>
      <c r="EYN69" s="684"/>
      <c r="EYO69" s="684"/>
      <c r="EYP69" s="684"/>
      <c r="EYQ69" s="684"/>
      <c r="EYR69" s="684"/>
      <c r="EYS69" s="684"/>
      <c r="EYT69" s="684"/>
      <c r="EYU69" s="684"/>
      <c r="EYV69" s="684"/>
      <c r="EYW69" s="684"/>
      <c r="EYX69" s="684"/>
      <c r="EYY69" s="684"/>
      <c r="EYZ69" s="684"/>
      <c r="EZA69" s="684"/>
      <c r="EZB69" s="684"/>
      <c r="EZC69" s="684"/>
      <c r="EZD69" s="684"/>
      <c r="EZE69" s="684"/>
      <c r="EZF69" s="684"/>
      <c r="EZG69" s="684"/>
      <c r="EZH69" s="684"/>
      <c r="EZI69" s="684"/>
      <c r="EZJ69" s="684"/>
      <c r="EZK69" s="684"/>
      <c r="EZL69" s="684"/>
      <c r="EZM69" s="684"/>
      <c r="EZN69" s="684"/>
      <c r="EZO69" s="684"/>
      <c r="EZP69" s="684"/>
      <c r="EZQ69" s="684"/>
      <c r="EZR69" s="684"/>
      <c r="EZS69" s="684"/>
      <c r="EZT69" s="684"/>
      <c r="EZU69" s="684"/>
      <c r="EZV69" s="684"/>
      <c r="EZW69" s="684"/>
      <c r="EZX69" s="684"/>
      <c r="EZY69" s="684"/>
      <c r="EZZ69" s="684"/>
      <c r="FAA69" s="684"/>
      <c r="FAB69" s="684"/>
      <c r="FAC69" s="684"/>
      <c r="FAD69" s="684"/>
      <c r="FAE69" s="684"/>
      <c r="FAF69" s="684"/>
      <c r="FAG69" s="684"/>
      <c r="FAH69" s="684"/>
      <c r="FAI69" s="684"/>
      <c r="FAJ69" s="684"/>
      <c r="FAK69" s="684"/>
      <c r="FAL69" s="684"/>
      <c r="FAM69" s="684"/>
      <c r="FAN69" s="684"/>
      <c r="FAO69" s="684"/>
      <c r="FAP69" s="684"/>
      <c r="FAQ69" s="684"/>
      <c r="FAR69" s="684"/>
      <c r="FAS69" s="684"/>
      <c r="FAT69" s="684"/>
      <c r="FAU69" s="684"/>
      <c r="FAV69" s="684"/>
      <c r="FAW69" s="684"/>
      <c r="FAX69" s="684"/>
      <c r="FAY69" s="684"/>
      <c r="FAZ69" s="684"/>
      <c r="FBA69" s="684"/>
      <c r="FBB69" s="684"/>
      <c r="FBC69" s="684"/>
      <c r="FBD69" s="684"/>
      <c r="FBE69" s="684"/>
      <c r="FBF69" s="684"/>
      <c r="FBG69" s="684"/>
      <c r="FBH69" s="684"/>
      <c r="FBI69" s="684"/>
      <c r="FBJ69" s="684"/>
      <c r="FBK69" s="684"/>
      <c r="FBL69" s="684"/>
      <c r="FBM69" s="684"/>
      <c r="FBN69" s="684"/>
      <c r="FBO69" s="684"/>
      <c r="FBP69" s="684"/>
      <c r="FBQ69" s="684"/>
      <c r="FBR69" s="684"/>
      <c r="FBS69" s="684"/>
      <c r="FBT69" s="684"/>
      <c r="FBU69" s="684"/>
      <c r="FBV69" s="684"/>
      <c r="FBW69" s="684"/>
      <c r="FBX69" s="684"/>
      <c r="FBY69" s="684"/>
      <c r="FBZ69" s="684"/>
      <c r="FCA69" s="684"/>
      <c r="FCB69" s="684"/>
      <c r="FCC69" s="684"/>
      <c r="FCD69" s="684"/>
      <c r="FCE69" s="684"/>
      <c r="FCF69" s="684"/>
      <c r="FCG69" s="684"/>
      <c r="FCH69" s="684"/>
      <c r="FCI69" s="684"/>
      <c r="FCJ69" s="684"/>
      <c r="FCK69" s="684"/>
      <c r="FCL69" s="684"/>
      <c r="FCM69" s="684"/>
      <c r="FCN69" s="684"/>
      <c r="FCO69" s="684"/>
      <c r="FCP69" s="684"/>
      <c r="FCQ69" s="684"/>
      <c r="FCR69" s="684"/>
      <c r="FCS69" s="684"/>
      <c r="FCT69" s="684"/>
      <c r="FCU69" s="684"/>
      <c r="FCV69" s="684"/>
      <c r="FCW69" s="684"/>
      <c r="FCX69" s="684"/>
      <c r="FCY69" s="684"/>
      <c r="FCZ69" s="684"/>
      <c r="FDA69" s="684"/>
      <c r="FDB69" s="684"/>
      <c r="FDC69" s="684"/>
      <c r="FDD69" s="684"/>
      <c r="FDE69" s="684"/>
      <c r="FDF69" s="684"/>
      <c r="FDG69" s="684"/>
      <c r="FDH69" s="684"/>
      <c r="FDI69" s="684"/>
      <c r="FDJ69" s="684"/>
      <c r="FDK69" s="684"/>
      <c r="FDL69" s="684"/>
      <c r="FDM69" s="684"/>
      <c r="FDN69" s="684"/>
      <c r="FDO69" s="684"/>
      <c r="FDP69" s="684"/>
      <c r="FDQ69" s="684"/>
      <c r="FDR69" s="684"/>
      <c r="FDS69" s="684"/>
      <c r="FDT69" s="684"/>
      <c r="FDU69" s="684"/>
      <c r="FDV69" s="684"/>
      <c r="FDW69" s="684"/>
      <c r="FDX69" s="684"/>
      <c r="FDY69" s="684"/>
      <c r="FDZ69" s="684"/>
      <c r="FEA69" s="684"/>
      <c r="FEB69" s="684"/>
      <c r="FEC69" s="684"/>
      <c r="FED69" s="684"/>
      <c r="FEE69" s="684"/>
      <c r="FEF69" s="684"/>
      <c r="FEG69" s="684"/>
      <c r="FEH69" s="684"/>
      <c r="FEI69" s="684"/>
      <c r="FEJ69" s="684"/>
      <c r="FEK69" s="684"/>
      <c r="FEL69" s="684"/>
      <c r="FEM69" s="684"/>
      <c r="FEN69" s="684"/>
      <c r="FEO69" s="684"/>
      <c r="FEP69" s="684"/>
      <c r="FEQ69" s="684"/>
      <c r="FER69" s="684"/>
      <c r="FES69" s="684"/>
      <c r="FET69" s="684"/>
      <c r="FEU69" s="684"/>
      <c r="FEV69" s="684"/>
      <c r="FEW69" s="684"/>
      <c r="FEX69" s="684"/>
      <c r="FEY69" s="684"/>
      <c r="FEZ69" s="684"/>
      <c r="FFA69" s="684"/>
      <c r="FFB69" s="684"/>
      <c r="FFC69" s="684"/>
      <c r="FFD69" s="684"/>
      <c r="FFE69" s="684"/>
      <c r="FFF69" s="684"/>
      <c r="FFG69" s="684"/>
      <c r="FFH69" s="684"/>
      <c r="FFI69" s="684"/>
      <c r="FFJ69" s="684"/>
      <c r="FFK69" s="684"/>
      <c r="FFL69" s="684"/>
      <c r="FFM69" s="684"/>
      <c r="FFN69" s="684"/>
      <c r="FFO69" s="684"/>
      <c r="FFP69" s="684"/>
      <c r="FFQ69" s="684"/>
      <c r="FFR69" s="684"/>
      <c r="FFS69" s="684"/>
      <c r="FFT69" s="684"/>
      <c r="FFU69" s="684"/>
      <c r="FFV69" s="684"/>
      <c r="FFW69" s="684"/>
      <c r="FFX69" s="684"/>
      <c r="FFY69" s="684"/>
      <c r="FFZ69" s="684"/>
      <c r="FGA69" s="684"/>
      <c r="FGB69" s="684"/>
      <c r="FGC69" s="684"/>
      <c r="FGD69" s="684"/>
      <c r="FGE69" s="684"/>
      <c r="FGF69" s="684"/>
      <c r="FGG69" s="684"/>
      <c r="FGH69" s="684"/>
      <c r="FGI69" s="684"/>
      <c r="FGJ69" s="684"/>
      <c r="FGK69" s="684"/>
      <c r="FGL69" s="684"/>
      <c r="FGM69" s="684"/>
      <c r="FGN69" s="684"/>
      <c r="FGO69" s="684"/>
      <c r="FGP69" s="684"/>
      <c r="FGQ69" s="684"/>
      <c r="FGR69" s="684"/>
      <c r="FGS69" s="684"/>
      <c r="FGT69" s="684"/>
      <c r="FGU69" s="684"/>
      <c r="FGV69" s="684"/>
      <c r="FGW69" s="684"/>
      <c r="FGX69" s="684"/>
      <c r="FGY69" s="684"/>
      <c r="FGZ69" s="684"/>
      <c r="FHA69" s="684"/>
      <c r="FHB69" s="684"/>
      <c r="FHC69" s="684"/>
      <c r="FHD69" s="684"/>
      <c r="FHE69" s="684"/>
      <c r="FHF69" s="684"/>
      <c r="FHG69" s="684"/>
      <c r="FHH69" s="684"/>
      <c r="FHI69" s="684"/>
      <c r="FHJ69" s="684"/>
      <c r="FHK69" s="684"/>
      <c r="FHL69" s="684"/>
      <c r="FHM69" s="684"/>
      <c r="FHN69" s="684"/>
      <c r="FHO69" s="684"/>
      <c r="FHP69" s="684"/>
      <c r="FHQ69" s="684"/>
      <c r="FHR69" s="684"/>
      <c r="FHS69" s="684"/>
      <c r="FHT69" s="684"/>
      <c r="FHU69" s="684"/>
      <c r="FHV69" s="684"/>
      <c r="FHW69" s="684"/>
      <c r="FHX69" s="684"/>
      <c r="FHY69" s="684"/>
      <c r="FHZ69" s="684"/>
      <c r="FIA69" s="684"/>
      <c r="FIB69" s="684"/>
      <c r="FIC69" s="684"/>
      <c r="FID69" s="684"/>
      <c r="FIE69" s="684"/>
      <c r="FIF69" s="684"/>
      <c r="FIG69" s="684"/>
      <c r="FIH69" s="684"/>
      <c r="FII69" s="684"/>
      <c r="FIJ69" s="684"/>
      <c r="FIK69" s="684"/>
      <c r="FIL69" s="684"/>
      <c r="FIM69" s="684"/>
      <c r="FIN69" s="684"/>
      <c r="FIO69" s="684"/>
      <c r="FIP69" s="684"/>
      <c r="FIQ69" s="684"/>
      <c r="FIR69" s="684"/>
      <c r="FIS69" s="684"/>
      <c r="FIT69" s="684"/>
      <c r="FIU69" s="684"/>
      <c r="FIV69" s="684"/>
      <c r="FIW69" s="684"/>
      <c r="FIX69" s="684"/>
      <c r="FIY69" s="684"/>
      <c r="FIZ69" s="684"/>
      <c r="FJA69" s="684"/>
      <c r="FJB69" s="684"/>
      <c r="FJC69" s="684"/>
      <c r="FJD69" s="684"/>
      <c r="FJE69" s="684"/>
      <c r="FJF69" s="684"/>
      <c r="FJG69" s="684"/>
      <c r="FJH69" s="684"/>
      <c r="FJI69" s="684"/>
      <c r="FJJ69" s="684"/>
      <c r="FJK69" s="684"/>
      <c r="FJL69" s="684"/>
      <c r="FJM69" s="684"/>
      <c r="FJN69" s="684"/>
      <c r="FJO69" s="684"/>
      <c r="FJP69" s="684"/>
      <c r="FJQ69" s="684"/>
      <c r="FJR69" s="684"/>
      <c r="FJS69" s="684"/>
      <c r="FJT69" s="684"/>
      <c r="FJU69" s="684"/>
      <c r="FJV69" s="684"/>
      <c r="FJW69" s="684"/>
      <c r="FJX69" s="684"/>
      <c r="FJY69" s="684"/>
      <c r="FJZ69" s="684"/>
      <c r="FKA69" s="684"/>
      <c r="FKB69" s="684"/>
      <c r="FKC69" s="684"/>
      <c r="FKD69" s="684"/>
      <c r="FKE69" s="684"/>
      <c r="FKF69" s="684"/>
      <c r="FKG69" s="684"/>
      <c r="FKH69" s="684"/>
      <c r="FKI69" s="684"/>
      <c r="FKJ69" s="684"/>
      <c r="FKK69" s="684"/>
      <c r="FKL69" s="684"/>
      <c r="FKM69" s="684"/>
      <c r="FKN69" s="684"/>
      <c r="FKO69" s="684"/>
      <c r="FKP69" s="684"/>
      <c r="FKQ69" s="684"/>
      <c r="FKR69" s="684"/>
      <c r="FKS69" s="684"/>
      <c r="FKT69" s="684"/>
      <c r="FKU69" s="684"/>
      <c r="FKV69" s="684"/>
      <c r="FKW69" s="684"/>
      <c r="FKX69" s="684"/>
      <c r="FKY69" s="684"/>
      <c r="FKZ69" s="684"/>
      <c r="FLA69" s="684"/>
      <c r="FLB69" s="684"/>
      <c r="FLC69" s="684"/>
      <c r="FLD69" s="684"/>
      <c r="FLE69" s="684"/>
      <c r="FLF69" s="684"/>
      <c r="FLG69" s="684"/>
      <c r="FLH69" s="684"/>
      <c r="FLI69" s="684"/>
      <c r="FLJ69" s="684"/>
      <c r="FLK69" s="684"/>
      <c r="FLL69" s="684"/>
      <c r="FLM69" s="684"/>
      <c r="FLN69" s="684"/>
      <c r="FLO69" s="684"/>
      <c r="FLP69" s="684"/>
      <c r="FLQ69" s="684"/>
      <c r="FLR69" s="684"/>
      <c r="FLS69" s="684"/>
      <c r="FLT69" s="684"/>
      <c r="FLU69" s="684"/>
      <c r="FLV69" s="684"/>
      <c r="FLW69" s="684"/>
      <c r="FLX69" s="684"/>
      <c r="FLY69" s="684"/>
      <c r="FLZ69" s="684"/>
      <c r="FMA69" s="684"/>
      <c r="FMB69" s="684"/>
      <c r="FMC69" s="684"/>
      <c r="FMD69" s="684"/>
      <c r="FME69" s="684"/>
      <c r="FMF69" s="684"/>
      <c r="FMG69" s="684"/>
      <c r="FMH69" s="684"/>
      <c r="FMI69" s="684"/>
      <c r="FMJ69" s="684"/>
      <c r="FMK69" s="684"/>
      <c r="FML69" s="684"/>
      <c r="FMM69" s="684"/>
      <c r="FMN69" s="684"/>
      <c r="FMO69" s="684"/>
      <c r="FMP69" s="684"/>
      <c r="FMQ69" s="684"/>
      <c r="FMR69" s="684"/>
      <c r="FMS69" s="684"/>
      <c r="FMT69" s="684"/>
      <c r="FMU69" s="684"/>
      <c r="FMV69" s="684"/>
      <c r="FMW69" s="684"/>
      <c r="FMX69" s="684"/>
      <c r="FMY69" s="684"/>
      <c r="FMZ69" s="684"/>
      <c r="FNA69" s="684"/>
      <c r="FNB69" s="684"/>
      <c r="FNC69" s="684"/>
      <c r="FND69" s="684"/>
      <c r="FNE69" s="684"/>
      <c r="FNF69" s="684"/>
      <c r="FNG69" s="684"/>
      <c r="FNH69" s="684"/>
      <c r="FNI69" s="684"/>
      <c r="FNJ69" s="684"/>
      <c r="FNK69" s="684"/>
      <c r="FNL69" s="684"/>
      <c r="FNM69" s="684"/>
      <c r="FNN69" s="684"/>
      <c r="FNO69" s="684"/>
      <c r="FNP69" s="684"/>
      <c r="FNQ69" s="684"/>
      <c r="FNR69" s="684"/>
      <c r="FNS69" s="684"/>
      <c r="FNT69" s="684"/>
      <c r="FNU69" s="684"/>
      <c r="FNV69" s="684"/>
      <c r="FNW69" s="684"/>
      <c r="FNX69" s="684"/>
      <c r="FNY69" s="684"/>
      <c r="FNZ69" s="684"/>
      <c r="FOA69" s="684"/>
      <c r="FOB69" s="684"/>
      <c r="FOC69" s="684"/>
      <c r="FOD69" s="684"/>
      <c r="FOE69" s="684"/>
      <c r="FOF69" s="684"/>
      <c r="FOG69" s="684"/>
      <c r="FOH69" s="684"/>
      <c r="FOI69" s="684"/>
      <c r="FOJ69" s="684"/>
      <c r="FOK69" s="684"/>
      <c r="FOL69" s="684"/>
      <c r="FOM69" s="684"/>
      <c r="FON69" s="684"/>
      <c r="FOO69" s="684"/>
      <c r="FOP69" s="684"/>
      <c r="FOQ69" s="684"/>
      <c r="FOR69" s="684"/>
      <c r="FOS69" s="684"/>
      <c r="FOT69" s="684"/>
      <c r="FOU69" s="684"/>
      <c r="FOV69" s="684"/>
      <c r="FOW69" s="684"/>
      <c r="FOX69" s="684"/>
      <c r="FOY69" s="684"/>
      <c r="FOZ69" s="684"/>
      <c r="FPA69" s="684"/>
      <c r="FPB69" s="684"/>
      <c r="FPC69" s="684"/>
      <c r="FPD69" s="684"/>
      <c r="FPE69" s="684"/>
      <c r="FPF69" s="684"/>
      <c r="FPG69" s="684"/>
      <c r="FPH69" s="684"/>
      <c r="FPI69" s="684"/>
      <c r="FPJ69" s="684"/>
      <c r="FPK69" s="684"/>
      <c r="FPL69" s="684"/>
      <c r="FPM69" s="684"/>
      <c r="FPN69" s="684"/>
      <c r="FPO69" s="684"/>
      <c r="FPP69" s="684"/>
      <c r="FPQ69" s="684"/>
      <c r="FPR69" s="684"/>
      <c r="FPS69" s="684"/>
      <c r="FPT69" s="684"/>
      <c r="FPU69" s="684"/>
      <c r="FPV69" s="684"/>
      <c r="FPW69" s="684"/>
      <c r="FPX69" s="684"/>
      <c r="FPY69" s="684"/>
      <c r="FPZ69" s="684"/>
      <c r="FQA69" s="684"/>
      <c r="FQB69" s="684"/>
      <c r="FQC69" s="684"/>
      <c r="FQD69" s="684"/>
      <c r="FQE69" s="684"/>
      <c r="FQF69" s="684"/>
      <c r="FQG69" s="684"/>
      <c r="FQH69" s="684"/>
      <c r="FQI69" s="684"/>
      <c r="FQJ69" s="684"/>
      <c r="FQK69" s="684"/>
      <c r="FQL69" s="684"/>
      <c r="FQM69" s="684"/>
      <c r="FQN69" s="684"/>
      <c r="FQO69" s="684"/>
      <c r="FQP69" s="684"/>
      <c r="FQQ69" s="684"/>
      <c r="FQR69" s="684"/>
      <c r="FQS69" s="684"/>
      <c r="FQT69" s="684"/>
      <c r="FQU69" s="684"/>
      <c r="FQV69" s="684"/>
      <c r="FQW69" s="684"/>
      <c r="FQX69" s="684"/>
      <c r="FQY69" s="684"/>
      <c r="FQZ69" s="684"/>
      <c r="FRA69" s="684"/>
      <c r="FRB69" s="684"/>
      <c r="FRC69" s="684"/>
      <c r="FRD69" s="684"/>
      <c r="FRE69" s="684"/>
      <c r="FRF69" s="684"/>
      <c r="FRG69" s="684"/>
      <c r="FRH69" s="684"/>
      <c r="FRI69" s="684"/>
      <c r="FRJ69" s="684"/>
      <c r="FRK69" s="684"/>
      <c r="FRL69" s="684"/>
      <c r="FRM69" s="684"/>
      <c r="FRN69" s="684"/>
      <c r="FRO69" s="684"/>
      <c r="FRP69" s="684"/>
      <c r="FRQ69" s="684"/>
      <c r="FRR69" s="684"/>
      <c r="FRS69" s="684"/>
      <c r="FRT69" s="684"/>
      <c r="FRU69" s="684"/>
      <c r="FRV69" s="684"/>
      <c r="FRW69" s="684"/>
      <c r="FRX69" s="684"/>
      <c r="FRY69" s="684"/>
      <c r="FRZ69" s="684"/>
      <c r="FSA69" s="684"/>
      <c r="FSB69" s="684"/>
      <c r="FSC69" s="684"/>
      <c r="FSD69" s="684"/>
      <c r="FSE69" s="684"/>
      <c r="FSF69" s="684"/>
      <c r="FSG69" s="684"/>
      <c r="FSH69" s="684"/>
      <c r="FSI69" s="684"/>
      <c r="FSJ69" s="684"/>
      <c r="FSK69" s="684"/>
      <c r="FSL69" s="684"/>
      <c r="FSM69" s="684"/>
      <c r="FSN69" s="684"/>
      <c r="FSO69" s="684"/>
      <c r="FSP69" s="684"/>
      <c r="FSQ69" s="684"/>
      <c r="FSR69" s="684"/>
      <c r="FSS69" s="684"/>
      <c r="FST69" s="684"/>
      <c r="FSU69" s="684"/>
      <c r="FSV69" s="684"/>
      <c r="FSW69" s="684"/>
      <c r="FSX69" s="684"/>
      <c r="FSY69" s="684"/>
      <c r="FSZ69" s="684"/>
      <c r="FTA69" s="684"/>
      <c r="FTB69" s="684"/>
      <c r="FTC69" s="684"/>
      <c r="FTD69" s="684"/>
      <c r="FTE69" s="684"/>
      <c r="FTF69" s="684"/>
      <c r="FTG69" s="684"/>
      <c r="FTH69" s="684"/>
      <c r="FTI69" s="684"/>
      <c r="FTJ69" s="684"/>
      <c r="FTK69" s="684"/>
      <c r="FTL69" s="684"/>
      <c r="FTM69" s="684"/>
      <c r="FTN69" s="684"/>
      <c r="FTO69" s="684"/>
      <c r="FTP69" s="684"/>
      <c r="FTQ69" s="684"/>
      <c r="FTR69" s="684"/>
      <c r="FTS69" s="684"/>
      <c r="FTT69" s="684"/>
      <c r="FTU69" s="684"/>
      <c r="FTV69" s="684"/>
      <c r="FTW69" s="684"/>
      <c r="FTX69" s="684"/>
      <c r="FTY69" s="684"/>
      <c r="FTZ69" s="684"/>
      <c r="FUA69" s="684"/>
      <c r="FUB69" s="684"/>
      <c r="FUC69" s="684"/>
      <c r="FUD69" s="684"/>
      <c r="FUE69" s="684"/>
      <c r="FUF69" s="684"/>
      <c r="FUG69" s="684"/>
      <c r="FUH69" s="684"/>
      <c r="FUI69" s="684"/>
      <c r="FUJ69" s="684"/>
      <c r="FUK69" s="684"/>
      <c r="FUL69" s="684"/>
      <c r="FUM69" s="684"/>
      <c r="FUN69" s="684"/>
      <c r="FUO69" s="684"/>
      <c r="FUP69" s="684"/>
      <c r="FUQ69" s="684"/>
      <c r="FUR69" s="684"/>
      <c r="FUS69" s="684"/>
      <c r="FUT69" s="684"/>
      <c r="FUU69" s="684"/>
      <c r="FUV69" s="684"/>
      <c r="FUW69" s="684"/>
      <c r="FUX69" s="684"/>
      <c r="FUY69" s="684"/>
      <c r="FUZ69" s="684"/>
      <c r="FVA69" s="684"/>
      <c r="FVB69" s="684"/>
      <c r="FVC69" s="684"/>
      <c r="FVD69" s="684"/>
      <c r="FVE69" s="684"/>
      <c r="FVF69" s="684"/>
      <c r="FVG69" s="684"/>
      <c r="FVH69" s="684"/>
      <c r="FVI69" s="684"/>
      <c r="FVJ69" s="684"/>
      <c r="FVK69" s="684"/>
      <c r="FVL69" s="684"/>
      <c r="FVM69" s="684"/>
      <c r="FVN69" s="684"/>
      <c r="FVO69" s="684"/>
      <c r="FVP69" s="684"/>
      <c r="FVQ69" s="684"/>
      <c r="FVR69" s="684"/>
      <c r="FVS69" s="684"/>
      <c r="FVT69" s="684"/>
      <c r="FVU69" s="684"/>
      <c r="FVV69" s="684"/>
      <c r="FVW69" s="684"/>
      <c r="FVX69" s="684"/>
      <c r="FVY69" s="684"/>
      <c r="FVZ69" s="684"/>
      <c r="FWA69" s="684"/>
      <c r="FWB69" s="684"/>
      <c r="FWC69" s="684"/>
      <c r="FWD69" s="684"/>
      <c r="FWE69" s="684"/>
      <c r="FWF69" s="684"/>
      <c r="FWG69" s="684"/>
      <c r="FWH69" s="684"/>
      <c r="FWI69" s="684"/>
      <c r="FWJ69" s="684"/>
      <c r="FWK69" s="684"/>
      <c r="FWL69" s="684"/>
      <c r="FWM69" s="684"/>
      <c r="FWN69" s="684"/>
      <c r="FWO69" s="684"/>
      <c r="FWP69" s="684"/>
      <c r="FWQ69" s="684"/>
      <c r="FWR69" s="684"/>
      <c r="FWS69" s="684"/>
      <c r="FWT69" s="684"/>
      <c r="FWU69" s="684"/>
      <c r="FWV69" s="684"/>
      <c r="FWW69" s="684"/>
      <c r="FWX69" s="684"/>
      <c r="FWY69" s="684"/>
      <c r="FWZ69" s="684"/>
      <c r="FXA69" s="684"/>
      <c r="FXB69" s="684"/>
      <c r="FXC69" s="684"/>
      <c r="FXD69" s="684"/>
      <c r="FXE69" s="684"/>
      <c r="FXF69" s="684"/>
      <c r="FXG69" s="684"/>
      <c r="FXH69" s="684"/>
      <c r="FXI69" s="684"/>
      <c r="FXJ69" s="684"/>
      <c r="FXK69" s="684"/>
      <c r="FXL69" s="684"/>
      <c r="FXM69" s="684"/>
      <c r="FXN69" s="684"/>
      <c r="FXO69" s="684"/>
      <c r="FXP69" s="684"/>
      <c r="FXQ69" s="684"/>
      <c r="FXR69" s="684"/>
      <c r="FXS69" s="684"/>
      <c r="FXT69" s="684"/>
      <c r="FXU69" s="684"/>
      <c r="FXV69" s="684"/>
      <c r="FXW69" s="684"/>
      <c r="FXX69" s="684"/>
      <c r="FXY69" s="684"/>
      <c r="FXZ69" s="684"/>
      <c r="FYA69" s="684"/>
      <c r="FYB69" s="684"/>
      <c r="FYC69" s="684"/>
      <c r="FYD69" s="684"/>
      <c r="FYE69" s="684"/>
      <c r="FYF69" s="684"/>
      <c r="FYG69" s="684"/>
      <c r="FYH69" s="684"/>
      <c r="FYI69" s="684"/>
      <c r="FYJ69" s="684"/>
      <c r="FYK69" s="684"/>
      <c r="FYL69" s="684"/>
      <c r="FYM69" s="684"/>
      <c r="FYN69" s="684"/>
      <c r="FYO69" s="684"/>
      <c r="FYP69" s="684"/>
      <c r="FYQ69" s="684"/>
      <c r="FYR69" s="684"/>
      <c r="FYS69" s="684"/>
      <c r="FYT69" s="684"/>
      <c r="FYU69" s="684"/>
      <c r="FYV69" s="684"/>
      <c r="FYW69" s="684"/>
      <c r="FYX69" s="684"/>
      <c r="FYY69" s="684"/>
      <c r="FYZ69" s="684"/>
      <c r="FZA69" s="684"/>
      <c r="FZB69" s="684"/>
      <c r="FZC69" s="684"/>
      <c r="FZD69" s="684"/>
      <c r="FZE69" s="684"/>
      <c r="FZF69" s="684"/>
      <c r="FZG69" s="684"/>
      <c r="FZH69" s="684"/>
      <c r="FZI69" s="684"/>
      <c r="FZJ69" s="684"/>
      <c r="FZK69" s="684"/>
      <c r="FZL69" s="684"/>
      <c r="FZM69" s="684"/>
      <c r="FZN69" s="684"/>
      <c r="FZO69" s="684"/>
      <c r="FZP69" s="684"/>
      <c r="FZQ69" s="684"/>
      <c r="FZR69" s="684"/>
      <c r="FZS69" s="684"/>
      <c r="FZT69" s="684"/>
      <c r="FZU69" s="684"/>
      <c r="FZV69" s="684"/>
      <c r="FZW69" s="684"/>
      <c r="FZX69" s="684"/>
      <c r="FZY69" s="684"/>
      <c r="FZZ69" s="684"/>
      <c r="GAA69" s="684"/>
      <c r="GAB69" s="684"/>
      <c r="GAC69" s="684"/>
      <c r="GAD69" s="684"/>
      <c r="GAE69" s="684"/>
      <c r="GAF69" s="684"/>
      <c r="GAG69" s="684"/>
      <c r="GAH69" s="684"/>
      <c r="GAI69" s="684"/>
      <c r="GAJ69" s="684"/>
      <c r="GAK69" s="684"/>
      <c r="GAL69" s="684"/>
      <c r="GAM69" s="684"/>
      <c r="GAN69" s="684"/>
      <c r="GAO69" s="684"/>
      <c r="GAP69" s="684"/>
      <c r="GAQ69" s="684"/>
      <c r="GAR69" s="684"/>
      <c r="GAS69" s="684"/>
      <c r="GAT69" s="684"/>
      <c r="GAU69" s="684"/>
      <c r="GAV69" s="684"/>
      <c r="GAW69" s="684"/>
      <c r="GAX69" s="684"/>
      <c r="GAY69" s="684"/>
      <c r="GAZ69" s="684"/>
      <c r="GBA69" s="684"/>
      <c r="GBB69" s="684"/>
      <c r="GBC69" s="684"/>
      <c r="GBD69" s="684"/>
      <c r="GBE69" s="684"/>
      <c r="GBF69" s="684"/>
      <c r="GBG69" s="684"/>
      <c r="GBH69" s="684"/>
      <c r="GBI69" s="684"/>
      <c r="GBJ69" s="684"/>
      <c r="GBK69" s="684"/>
      <c r="GBL69" s="684"/>
      <c r="GBM69" s="684"/>
      <c r="GBN69" s="684"/>
      <c r="GBO69" s="684"/>
      <c r="GBP69" s="684"/>
      <c r="GBQ69" s="684"/>
      <c r="GBR69" s="684"/>
      <c r="GBS69" s="684"/>
      <c r="GBT69" s="684"/>
      <c r="GBU69" s="684"/>
      <c r="GBV69" s="684"/>
      <c r="GBW69" s="684"/>
      <c r="GBX69" s="684"/>
      <c r="GBY69" s="684"/>
      <c r="GBZ69" s="684"/>
      <c r="GCA69" s="684"/>
      <c r="GCB69" s="684"/>
      <c r="GCC69" s="684"/>
      <c r="GCD69" s="684"/>
      <c r="GCE69" s="684"/>
      <c r="GCF69" s="684"/>
      <c r="GCG69" s="684"/>
      <c r="GCH69" s="684"/>
      <c r="GCI69" s="684"/>
      <c r="GCJ69" s="684"/>
      <c r="GCK69" s="684"/>
      <c r="GCL69" s="684"/>
      <c r="GCM69" s="684"/>
      <c r="GCN69" s="684"/>
      <c r="GCO69" s="684"/>
      <c r="GCP69" s="684"/>
      <c r="GCQ69" s="684"/>
      <c r="GCR69" s="684"/>
      <c r="GCS69" s="684"/>
      <c r="GCT69" s="684"/>
      <c r="GCU69" s="684"/>
      <c r="GCV69" s="684"/>
      <c r="GCW69" s="684"/>
      <c r="GCX69" s="684"/>
      <c r="GCY69" s="684"/>
      <c r="GCZ69" s="684"/>
      <c r="GDA69" s="684"/>
      <c r="GDB69" s="684"/>
      <c r="GDC69" s="684"/>
      <c r="GDD69" s="684"/>
      <c r="GDE69" s="684"/>
      <c r="GDF69" s="684"/>
      <c r="GDG69" s="684"/>
      <c r="GDH69" s="684"/>
      <c r="GDI69" s="684"/>
      <c r="GDJ69" s="684"/>
      <c r="GDK69" s="684"/>
      <c r="GDL69" s="684"/>
      <c r="GDM69" s="684"/>
      <c r="GDN69" s="684"/>
      <c r="GDO69" s="684"/>
      <c r="GDP69" s="684"/>
      <c r="GDQ69" s="684"/>
      <c r="GDR69" s="684"/>
      <c r="GDS69" s="684"/>
      <c r="GDT69" s="684"/>
      <c r="GDU69" s="684"/>
      <c r="GDV69" s="684"/>
      <c r="GDW69" s="684"/>
      <c r="GDX69" s="684"/>
      <c r="GDY69" s="684"/>
      <c r="GDZ69" s="684"/>
      <c r="GEA69" s="684"/>
      <c r="GEB69" s="684"/>
      <c r="GEC69" s="684"/>
      <c r="GED69" s="684"/>
      <c r="GEE69" s="684"/>
      <c r="GEF69" s="684"/>
      <c r="GEG69" s="684"/>
      <c r="GEH69" s="684"/>
      <c r="GEI69" s="684"/>
      <c r="GEJ69" s="684"/>
      <c r="GEK69" s="684"/>
      <c r="GEL69" s="684"/>
      <c r="GEM69" s="684"/>
      <c r="GEN69" s="684"/>
      <c r="GEO69" s="684"/>
      <c r="GEP69" s="684"/>
      <c r="GEQ69" s="684"/>
      <c r="GER69" s="684"/>
      <c r="GES69" s="684"/>
      <c r="GET69" s="684"/>
      <c r="GEU69" s="684"/>
      <c r="GEV69" s="684"/>
      <c r="GEW69" s="684"/>
      <c r="GEX69" s="684"/>
      <c r="GEY69" s="684"/>
      <c r="GEZ69" s="684"/>
      <c r="GFA69" s="684"/>
      <c r="GFB69" s="684"/>
      <c r="GFC69" s="684"/>
      <c r="GFD69" s="684"/>
      <c r="GFE69" s="684"/>
      <c r="GFF69" s="684"/>
      <c r="GFG69" s="684"/>
      <c r="GFH69" s="684"/>
      <c r="GFI69" s="684"/>
      <c r="GFJ69" s="684"/>
      <c r="GFK69" s="684"/>
      <c r="GFL69" s="684"/>
      <c r="GFM69" s="684"/>
      <c r="GFN69" s="684"/>
      <c r="GFO69" s="684"/>
      <c r="GFP69" s="684"/>
      <c r="GFQ69" s="684"/>
      <c r="GFR69" s="684"/>
      <c r="GFS69" s="684"/>
      <c r="GFT69" s="684"/>
      <c r="GFU69" s="684"/>
      <c r="GFV69" s="684"/>
      <c r="GFW69" s="684"/>
      <c r="GFX69" s="684"/>
      <c r="GFY69" s="684"/>
      <c r="GFZ69" s="684"/>
      <c r="GGA69" s="684"/>
      <c r="GGB69" s="684"/>
      <c r="GGC69" s="684"/>
      <c r="GGD69" s="684"/>
      <c r="GGE69" s="684"/>
      <c r="GGF69" s="684"/>
      <c r="GGG69" s="684"/>
      <c r="GGH69" s="684"/>
      <c r="GGI69" s="684"/>
      <c r="GGJ69" s="684"/>
      <c r="GGK69" s="684"/>
      <c r="GGL69" s="684"/>
      <c r="GGM69" s="684"/>
      <c r="GGN69" s="684"/>
      <c r="GGO69" s="684"/>
      <c r="GGP69" s="684"/>
      <c r="GGQ69" s="684"/>
      <c r="GGR69" s="684"/>
      <c r="GGS69" s="684"/>
      <c r="GGT69" s="684"/>
      <c r="GGU69" s="684"/>
      <c r="GGV69" s="684"/>
      <c r="GGW69" s="684"/>
      <c r="GGX69" s="684"/>
      <c r="GGY69" s="684"/>
      <c r="GGZ69" s="684"/>
      <c r="GHA69" s="684"/>
      <c r="GHB69" s="684"/>
      <c r="GHC69" s="684"/>
      <c r="GHD69" s="684"/>
      <c r="GHE69" s="684"/>
      <c r="GHF69" s="684"/>
      <c r="GHG69" s="684"/>
      <c r="GHH69" s="684"/>
      <c r="GHI69" s="684"/>
      <c r="GHJ69" s="684"/>
      <c r="GHK69" s="684"/>
      <c r="GHL69" s="684"/>
      <c r="GHM69" s="684"/>
      <c r="GHN69" s="684"/>
      <c r="GHO69" s="684"/>
      <c r="GHP69" s="684"/>
      <c r="GHQ69" s="684"/>
      <c r="GHR69" s="684"/>
      <c r="GHS69" s="684"/>
      <c r="GHT69" s="684"/>
      <c r="GHU69" s="684"/>
      <c r="GHV69" s="684"/>
      <c r="GHW69" s="684"/>
      <c r="GHX69" s="684"/>
      <c r="GHY69" s="684"/>
      <c r="GHZ69" s="684"/>
      <c r="GIA69" s="684"/>
      <c r="GIB69" s="684"/>
      <c r="GIC69" s="684"/>
      <c r="GID69" s="684"/>
      <c r="GIE69" s="684"/>
      <c r="GIF69" s="684"/>
      <c r="GIG69" s="684"/>
      <c r="GIH69" s="684"/>
      <c r="GII69" s="684"/>
      <c r="GIJ69" s="684"/>
      <c r="GIK69" s="684"/>
      <c r="GIL69" s="684"/>
      <c r="GIM69" s="684"/>
      <c r="GIN69" s="684"/>
      <c r="GIO69" s="684"/>
      <c r="GIP69" s="684"/>
      <c r="GIQ69" s="684"/>
      <c r="GIR69" s="684"/>
      <c r="GIS69" s="684"/>
      <c r="GIT69" s="684"/>
      <c r="GIU69" s="684"/>
      <c r="GIV69" s="684"/>
      <c r="GIW69" s="684"/>
      <c r="GIX69" s="684"/>
      <c r="GIY69" s="684"/>
      <c r="GIZ69" s="684"/>
      <c r="GJA69" s="684"/>
      <c r="GJB69" s="684"/>
      <c r="GJC69" s="684"/>
      <c r="GJD69" s="684"/>
      <c r="GJE69" s="684"/>
      <c r="GJF69" s="684"/>
      <c r="GJG69" s="684"/>
      <c r="GJH69" s="684"/>
      <c r="GJI69" s="684"/>
      <c r="GJJ69" s="684"/>
      <c r="GJK69" s="684"/>
      <c r="GJL69" s="684"/>
      <c r="GJM69" s="684"/>
      <c r="GJN69" s="684"/>
      <c r="GJO69" s="684"/>
      <c r="GJP69" s="684"/>
      <c r="GJQ69" s="684"/>
      <c r="GJR69" s="684"/>
      <c r="GJS69" s="684"/>
      <c r="GJT69" s="684"/>
      <c r="GJU69" s="684"/>
      <c r="GJV69" s="684"/>
      <c r="GJW69" s="684"/>
      <c r="GJX69" s="684"/>
      <c r="GJY69" s="684"/>
      <c r="GJZ69" s="684"/>
      <c r="GKA69" s="684"/>
      <c r="GKB69" s="684"/>
      <c r="GKC69" s="684"/>
      <c r="GKD69" s="684"/>
      <c r="GKE69" s="684"/>
      <c r="GKF69" s="684"/>
      <c r="GKG69" s="684"/>
      <c r="GKH69" s="684"/>
      <c r="GKI69" s="684"/>
      <c r="GKJ69" s="684"/>
      <c r="GKK69" s="684"/>
      <c r="GKL69" s="684"/>
      <c r="GKM69" s="684"/>
      <c r="GKN69" s="684"/>
      <c r="GKO69" s="684"/>
      <c r="GKP69" s="684"/>
      <c r="GKQ69" s="684"/>
      <c r="GKR69" s="684"/>
      <c r="GKS69" s="684"/>
      <c r="GKT69" s="684"/>
      <c r="GKU69" s="684"/>
      <c r="GKV69" s="684"/>
      <c r="GKW69" s="684"/>
      <c r="GKX69" s="684"/>
      <c r="GKY69" s="684"/>
      <c r="GKZ69" s="684"/>
      <c r="GLA69" s="684"/>
      <c r="GLB69" s="684"/>
      <c r="GLC69" s="684"/>
      <c r="GLD69" s="684"/>
      <c r="GLE69" s="684"/>
      <c r="GLF69" s="684"/>
      <c r="GLG69" s="684"/>
      <c r="GLH69" s="684"/>
      <c r="GLI69" s="684"/>
      <c r="GLJ69" s="684"/>
      <c r="GLK69" s="684"/>
      <c r="GLL69" s="684"/>
      <c r="GLM69" s="684"/>
      <c r="GLN69" s="684"/>
      <c r="GLO69" s="684"/>
      <c r="GLP69" s="684"/>
      <c r="GLQ69" s="684"/>
      <c r="GLR69" s="684"/>
      <c r="GLS69" s="684"/>
      <c r="GLT69" s="684"/>
      <c r="GLU69" s="684"/>
      <c r="GLV69" s="684"/>
      <c r="GLW69" s="684"/>
      <c r="GLX69" s="684"/>
      <c r="GLY69" s="684"/>
      <c r="GLZ69" s="684"/>
      <c r="GMA69" s="684"/>
      <c r="GMB69" s="684"/>
      <c r="GMC69" s="684"/>
      <c r="GMD69" s="684"/>
      <c r="GME69" s="684"/>
      <c r="GMF69" s="684"/>
      <c r="GMG69" s="684"/>
      <c r="GMH69" s="684"/>
      <c r="GMI69" s="684"/>
      <c r="GMJ69" s="684"/>
      <c r="GMK69" s="684"/>
      <c r="GML69" s="684"/>
      <c r="GMM69" s="684"/>
      <c r="GMN69" s="684"/>
      <c r="GMO69" s="684"/>
      <c r="GMP69" s="684"/>
      <c r="GMQ69" s="684"/>
      <c r="GMR69" s="684"/>
      <c r="GMS69" s="684"/>
      <c r="GMT69" s="684"/>
      <c r="GMU69" s="684"/>
      <c r="GMV69" s="684"/>
      <c r="GMW69" s="684"/>
      <c r="GMX69" s="684"/>
      <c r="GMY69" s="684"/>
      <c r="GMZ69" s="684"/>
      <c r="GNA69" s="684"/>
      <c r="GNB69" s="684"/>
      <c r="GNC69" s="684"/>
      <c r="GND69" s="684"/>
      <c r="GNE69" s="684"/>
      <c r="GNF69" s="684"/>
      <c r="GNG69" s="684"/>
      <c r="GNH69" s="684"/>
      <c r="GNI69" s="684"/>
      <c r="GNJ69" s="684"/>
      <c r="GNK69" s="684"/>
      <c r="GNL69" s="684"/>
      <c r="GNM69" s="684"/>
      <c r="GNN69" s="684"/>
      <c r="GNO69" s="684"/>
      <c r="GNP69" s="684"/>
      <c r="GNQ69" s="684"/>
      <c r="GNR69" s="684"/>
      <c r="GNS69" s="684"/>
      <c r="GNT69" s="684"/>
      <c r="GNU69" s="684"/>
      <c r="GNV69" s="684"/>
      <c r="GNW69" s="684"/>
      <c r="GNX69" s="684"/>
      <c r="GNY69" s="684"/>
      <c r="GNZ69" s="684"/>
      <c r="GOA69" s="684"/>
      <c r="GOB69" s="684"/>
      <c r="GOC69" s="684"/>
      <c r="GOD69" s="684"/>
      <c r="GOE69" s="684"/>
      <c r="GOF69" s="684"/>
      <c r="GOG69" s="684"/>
      <c r="GOH69" s="684"/>
      <c r="GOI69" s="684"/>
      <c r="GOJ69" s="684"/>
      <c r="GOK69" s="684"/>
      <c r="GOL69" s="684"/>
      <c r="GOM69" s="684"/>
      <c r="GON69" s="684"/>
      <c r="GOO69" s="684"/>
      <c r="GOP69" s="684"/>
      <c r="GOQ69" s="684"/>
      <c r="GOR69" s="684"/>
      <c r="GOS69" s="684"/>
      <c r="GOT69" s="684"/>
      <c r="GOU69" s="684"/>
      <c r="GOV69" s="684"/>
      <c r="GOW69" s="684"/>
      <c r="GOX69" s="684"/>
      <c r="GOY69" s="684"/>
      <c r="GOZ69" s="684"/>
      <c r="GPA69" s="684"/>
      <c r="GPB69" s="684"/>
      <c r="GPC69" s="684"/>
      <c r="GPD69" s="684"/>
      <c r="GPE69" s="684"/>
      <c r="GPF69" s="684"/>
      <c r="GPG69" s="684"/>
      <c r="GPH69" s="684"/>
      <c r="GPI69" s="684"/>
      <c r="GPJ69" s="684"/>
      <c r="GPK69" s="684"/>
      <c r="GPL69" s="684"/>
      <c r="GPM69" s="684"/>
      <c r="GPN69" s="684"/>
      <c r="GPO69" s="684"/>
      <c r="GPP69" s="684"/>
      <c r="GPQ69" s="684"/>
      <c r="GPR69" s="684"/>
      <c r="GPS69" s="684"/>
      <c r="GPT69" s="684"/>
      <c r="GPU69" s="684"/>
      <c r="GPV69" s="684"/>
      <c r="GPW69" s="684"/>
      <c r="GPX69" s="684"/>
      <c r="GPY69" s="684"/>
      <c r="GPZ69" s="684"/>
      <c r="GQA69" s="684"/>
      <c r="GQB69" s="684"/>
      <c r="GQC69" s="684"/>
      <c r="GQD69" s="684"/>
      <c r="GQE69" s="684"/>
      <c r="GQF69" s="684"/>
      <c r="GQG69" s="684"/>
      <c r="GQH69" s="684"/>
      <c r="GQI69" s="684"/>
      <c r="GQJ69" s="684"/>
      <c r="GQK69" s="684"/>
      <c r="GQL69" s="684"/>
      <c r="GQM69" s="684"/>
      <c r="GQN69" s="684"/>
      <c r="GQO69" s="684"/>
      <c r="GQP69" s="684"/>
      <c r="GQQ69" s="684"/>
      <c r="GQR69" s="684"/>
      <c r="GQS69" s="684"/>
      <c r="GQT69" s="684"/>
      <c r="GQU69" s="684"/>
      <c r="GQV69" s="684"/>
      <c r="GQW69" s="684"/>
      <c r="GQX69" s="684"/>
      <c r="GQY69" s="684"/>
      <c r="GQZ69" s="684"/>
      <c r="GRA69" s="684"/>
      <c r="GRB69" s="684"/>
      <c r="GRC69" s="684"/>
      <c r="GRD69" s="684"/>
      <c r="GRE69" s="684"/>
      <c r="GRF69" s="684"/>
      <c r="GRG69" s="684"/>
      <c r="GRH69" s="684"/>
      <c r="GRI69" s="684"/>
      <c r="GRJ69" s="684"/>
      <c r="GRK69" s="684"/>
      <c r="GRL69" s="684"/>
      <c r="GRM69" s="684"/>
      <c r="GRN69" s="684"/>
      <c r="GRO69" s="684"/>
      <c r="GRP69" s="684"/>
      <c r="GRQ69" s="684"/>
      <c r="GRR69" s="684"/>
      <c r="GRS69" s="684"/>
      <c r="GRT69" s="684"/>
      <c r="GRU69" s="684"/>
      <c r="GRV69" s="684"/>
      <c r="GRW69" s="684"/>
      <c r="GRX69" s="684"/>
      <c r="GRY69" s="684"/>
      <c r="GRZ69" s="684"/>
      <c r="GSA69" s="684"/>
      <c r="GSB69" s="684"/>
      <c r="GSC69" s="684"/>
      <c r="GSD69" s="684"/>
      <c r="GSE69" s="684"/>
      <c r="GSF69" s="684"/>
      <c r="GSG69" s="684"/>
      <c r="GSH69" s="684"/>
      <c r="GSI69" s="684"/>
      <c r="GSJ69" s="684"/>
      <c r="GSK69" s="684"/>
      <c r="GSL69" s="684"/>
      <c r="GSM69" s="684"/>
      <c r="GSN69" s="684"/>
      <c r="GSO69" s="684"/>
      <c r="GSP69" s="684"/>
      <c r="GSQ69" s="684"/>
      <c r="GSR69" s="684"/>
      <c r="GSS69" s="684"/>
      <c r="GST69" s="684"/>
      <c r="GSU69" s="684"/>
      <c r="GSV69" s="684"/>
      <c r="GSW69" s="684"/>
      <c r="GSX69" s="684"/>
      <c r="GSY69" s="684"/>
      <c r="GSZ69" s="684"/>
      <c r="GTA69" s="684"/>
      <c r="GTB69" s="684"/>
      <c r="GTC69" s="684"/>
      <c r="GTD69" s="684"/>
      <c r="GTE69" s="684"/>
      <c r="GTF69" s="684"/>
      <c r="GTG69" s="684"/>
      <c r="GTH69" s="684"/>
      <c r="GTI69" s="684"/>
      <c r="GTJ69" s="684"/>
      <c r="GTK69" s="684"/>
      <c r="GTL69" s="684"/>
      <c r="GTM69" s="684"/>
      <c r="GTN69" s="684"/>
      <c r="GTO69" s="684"/>
      <c r="GTP69" s="684"/>
      <c r="GTQ69" s="684"/>
      <c r="GTR69" s="684"/>
      <c r="GTS69" s="684"/>
      <c r="GTT69" s="684"/>
      <c r="GTU69" s="684"/>
      <c r="GTV69" s="684"/>
      <c r="GTW69" s="684"/>
      <c r="GTX69" s="684"/>
      <c r="GTY69" s="684"/>
      <c r="GTZ69" s="684"/>
      <c r="GUA69" s="684"/>
      <c r="GUB69" s="684"/>
      <c r="GUC69" s="684"/>
      <c r="GUD69" s="684"/>
      <c r="GUE69" s="684"/>
      <c r="GUF69" s="684"/>
      <c r="GUG69" s="684"/>
      <c r="GUH69" s="684"/>
      <c r="GUI69" s="684"/>
      <c r="GUJ69" s="684"/>
      <c r="GUK69" s="684"/>
      <c r="GUL69" s="684"/>
      <c r="GUM69" s="684"/>
      <c r="GUN69" s="684"/>
      <c r="GUO69" s="684"/>
      <c r="GUP69" s="684"/>
      <c r="GUQ69" s="684"/>
      <c r="GUR69" s="684"/>
      <c r="GUS69" s="684"/>
      <c r="GUT69" s="684"/>
      <c r="GUU69" s="684"/>
      <c r="GUV69" s="684"/>
      <c r="GUW69" s="684"/>
      <c r="GUX69" s="684"/>
      <c r="GUY69" s="684"/>
      <c r="GUZ69" s="684"/>
      <c r="GVA69" s="684"/>
      <c r="GVB69" s="684"/>
      <c r="GVC69" s="684"/>
      <c r="GVD69" s="684"/>
      <c r="GVE69" s="684"/>
      <c r="GVF69" s="684"/>
      <c r="GVG69" s="684"/>
      <c r="GVH69" s="684"/>
      <c r="GVI69" s="684"/>
      <c r="GVJ69" s="684"/>
      <c r="GVK69" s="684"/>
      <c r="GVL69" s="684"/>
      <c r="GVM69" s="684"/>
      <c r="GVN69" s="684"/>
      <c r="GVO69" s="684"/>
      <c r="GVP69" s="684"/>
      <c r="GVQ69" s="684"/>
      <c r="GVR69" s="684"/>
      <c r="GVS69" s="684"/>
      <c r="GVT69" s="684"/>
      <c r="GVU69" s="684"/>
      <c r="GVV69" s="684"/>
      <c r="GVW69" s="684"/>
      <c r="GVX69" s="684"/>
      <c r="GVY69" s="684"/>
      <c r="GVZ69" s="684"/>
      <c r="GWA69" s="684"/>
      <c r="GWB69" s="684"/>
      <c r="GWC69" s="684"/>
      <c r="GWD69" s="684"/>
      <c r="GWE69" s="684"/>
      <c r="GWF69" s="684"/>
      <c r="GWG69" s="684"/>
      <c r="GWH69" s="684"/>
      <c r="GWI69" s="684"/>
      <c r="GWJ69" s="684"/>
      <c r="GWK69" s="684"/>
      <c r="GWL69" s="684"/>
      <c r="GWM69" s="684"/>
      <c r="GWN69" s="684"/>
      <c r="GWO69" s="684"/>
      <c r="GWP69" s="684"/>
      <c r="GWQ69" s="684"/>
      <c r="GWR69" s="684"/>
      <c r="GWS69" s="684"/>
      <c r="GWT69" s="684"/>
      <c r="GWU69" s="684"/>
      <c r="GWV69" s="684"/>
      <c r="GWW69" s="684"/>
      <c r="GWX69" s="684"/>
      <c r="GWY69" s="684"/>
      <c r="GWZ69" s="684"/>
      <c r="GXA69" s="684"/>
      <c r="GXB69" s="684"/>
      <c r="GXC69" s="684"/>
      <c r="GXD69" s="684"/>
      <c r="GXE69" s="684"/>
      <c r="GXF69" s="684"/>
      <c r="GXG69" s="684"/>
      <c r="GXH69" s="684"/>
      <c r="GXI69" s="684"/>
      <c r="GXJ69" s="684"/>
      <c r="GXK69" s="684"/>
      <c r="GXL69" s="684"/>
      <c r="GXM69" s="684"/>
      <c r="GXN69" s="684"/>
      <c r="GXO69" s="684"/>
      <c r="GXP69" s="684"/>
      <c r="GXQ69" s="684"/>
      <c r="GXR69" s="684"/>
      <c r="GXS69" s="684"/>
      <c r="GXT69" s="684"/>
      <c r="GXU69" s="684"/>
      <c r="GXV69" s="684"/>
      <c r="GXW69" s="684"/>
      <c r="GXX69" s="684"/>
      <c r="GXY69" s="684"/>
      <c r="GXZ69" s="684"/>
      <c r="GYA69" s="684"/>
      <c r="GYB69" s="684"/>
      <c r="GYC69" s="684"/>
      <c r="GYD69" s="684"/>
      <c r="GYE69" s="684"/>
      <c r="GYF69" s="684"/>
      <c r="GYG69" s="684"/>
      <c r="GYH69" s="684"/>
      <c r="GYI69" s="684"/>
      <c r="GYJ69" s="684"/>
      <c r="GYK69" s="684"/>
      <c r="GYL69" s="684"/>
      <c r="GYM69" s="684"/>
      <c r="GYN69" s="684"/>
      <c r="GYO69" s="684"/>
      <c r="GYP69" s="684"/>
      <c r="GYQ69" s="684"/>
      <c r="GYR69" s="684"/>
      <c r="GYS69" s="684"/>
      <c r="GYT69" s="684"/>
      <c r="GYU69" s="684"/>
      <c r="GYV69" s="684"/>
      <c r="GYW69" s="684"/>
      <c r="GYX69" s="684"/>
      <c r="GYY69" s="684"/>
      <c r="GYZ69" s="684"/>
      <c r="GZA69" s="684"/>
      <c r="GZB69" s="684"/>
      <c r="GZC69" s="684"/>
      <c r="GZD69" s="684"/>
      <c r="GZE69" s="684"/>
      <c r="GZF69" s="684"/>
      <c r="GZG69" s="684"/>
      <c r="GZH69" s="684"/>
      <c r="GZI69" s="684"/>
      <c r="GZJ69" s="684"/>
      <c r="GZK69" s="684"/>
      <c r="GZL69" s="684"/>
      <c r="GZM69" s="684"/>
      <c r="GZN69" s="684"/>
      <c r="GZO69" s="684"/>
      <c r="GZP69" s="684"/>
      <c r="GZQ69" s="684"/>
      <c r="GZR69" s="684"/>
      <c r="GZS69" s="684"/>
      <c r="GZT69" s="684"/>
      <c r="GZU69" s="684"/>
      <c r="GZV69" s="684"/>
      <c r="GZW69" s="684"/>
      <c r="GZX69" s="684"/>
      <c r="GZY69" s="684"/>
      <c r="GZZ69" s="684"/>
      <c r="HAA69" s="684"/>
      <c r="HAB69" s="684"/>
      <c r="HAC69" s="684"/>
      <c r="HAD69" s="684"/>
      <c r="HAE69" s="684"/>
      <c r="HAF69" s="684"/>
      <c r="HAG69" s="684"/>
      <c r="HAH69" s="684"/>
      <c r="HAI69" s="684"/>
      <c r="HAJ69" s="684"/>
      <c r="HAK69" s="684"/>
      <c r="HAL69" s="684"/>
      <c r="HAM69" s="684"/>
      <c r="HAN69" s="684"/>
      <c r="HAO69" s="684"/>
      <c r="HAP69" s="684"/>
      <c r="HAQ69" s="684"/>
      <c r="HAR69" s="684"/>
      <c r="HAS69" s="684"/>
      <c r="HAT69" s="684"/>
      <c r="HAU69" s="684"/>
      <c r="HAV69" s="684"/>
      <c r="HAW69" s="684"/>
      <c r="HAX69" s="684"/>
      <c r="HAY69" s="684"/>
      <c r="HAZ69" s="684"/>
      <c r="HBA69" s="684"/>
      <c r="HBB69" s="684"/>
      <c r="HBC69" s="684"/>
      <c r="HBD69" s="684"/>
      <c r="HBE69" s="684"/>
      <c r="HBF69" s="684"/>
      <c r="HBG69" s="684"/>
      <c r="HBH69" s="684"/>
      <c r="HBI69" s="684"/>
      <c r="HBJ69" s="684"/>
      <c r="HBK69" s="684"/>
      <c r="HBL69" s="684"/>
      <c r="HBM69" s="684"/>
      <c r="HBN69" s="684"/>
      <c r="HBO69" s="684"/>
      <c r="HBP69" s="684"/>
      <c r="HBQ69" s="684"/>
      <c r="HBR69" s="684"/>
      <c r="HBS69" s="684"/>
      <c r="HBT69" s="684"/>
      <c r="HBU69" s="684"/>
      <c r="HBV69" s="684"/>
      <c r="HBW69" s="684"/>
      <c r="HBX69" s="684"/>
      <c r="HBY69" s="684"/>
      <c r="HBZ69" s="684"/>
      <c r="HCA69" s="684"/>
      <c r="HCB69" s="684"/>
      <c r="HCC69" s="684"/>
      <c r="HCD69" s="684"/>
      <c r="HCE69" s="684"/>
      <c r="HCF69" s="684"/>
      <c r="HCG69" s="684"/>
      <c r="HCH69" s="684"/>
      <c r="HCI69" s="684"/>
      <c r="HCJ69" s="684"/>
      <c r="HCK69" s="684"/>
      <c r="HCL69" s="684"/>
      <c r="HCM69" s="684"/>
      <c r="HCN69" s="684"/>
      <c r="HCO69" s="684"/>
      <c r="HCP69" s="684"/>
      <c r="HCQ69" s="684"/>
      <c r="HCR69" s="684"/>
      <c r="HCS69" s="684"/>
      <c r="HCT69" s="684"/>
      <c r="HCU69" s="684"/>
      <c r="HCV69" s="684"/>
      <c r="HCW69" s="684"/>
      <c r="HCX69" s="684"/>
      <c r="HCY69" s="684"/>
      <c r="HCZ69" s="684"/>
      <c r="HDA69" s="684"/>
      <c r="HDB69" s="684"/>
      <c r="HDC69" s="684"/>
      <c r="HDD69" s="684"/>
      <c r="HDE69" s="684"/>
      <c r="HDF69" s="684"/>
      <c r="HDG69" s="684"/>
      <c r="HDH69" s="684"/>
      <c r="HDI69" s="684"/>
      <c r="HDJ69" s="684"/>
      <c r="HDK69" s="684"/>
      <c r="HDL69" s="684"/>
      <c r="HDM69" s="684"/>
      <c r="HDN69" s="684"/>
      <c r="HDO69" s="684"/>
      <c r="HDP69" s="684"/>
      <c r="HDQ69" s="684"/>
      <c r="HDR69" s="684"/>
      <c r="HDS69" s="684"/>
      <c r="HDT69" s="684"/>
      <c r="HDU69" s="684"/>
      <c r="HDV69" s="684"/>
      <c r="HDW69" s="684"/>
      <c r="HDX69" s="684"/>
      <c r="HDY69" s="684"/>
      <c r="HDZ69" s="684"/>
      <c r="HEA69" s="684"/>
      <c r="HEB69" s="684"/>
      <c r="HEC69" s="684"/>
      <c r="HED69" s="684"/>
      <c r="HEE69" s="684"/>
      <c r="HEF69" s="684"/>
      <c r="HEG69" s="684"/>
      <c r="HEH69" s="684"/>
      <c r="HEI69" s="684"/>
      <c r="HEJ69" s="684"/>
      <c r="HEK69" s="684"/>
      <c r="HEL69" s="684"/>
      <c r="HEM69" s="684"/>
      <c r="HEN69" s="684"/>
      <c r="HEO69" s="684"/>
      <c r="HEP69" s="684"/>
      <c r="HEQ69" s="684"/>
      <c r="HER69" s="684"/>
      <c r="HES69" s="684"/>
      <c r="HET69" s="684"/>
      <c r="HEU69" s="684"/>
      <c r="HEV69" s="684"/>
      <c r="HEW69" s="684"/>
      <c r="HEX69" s="684"/>
      <c r="HEY69" s="684"/>
      <c r="HEZ69" s="684"/>
      <c r="HFA69" s="684"/>
      <c r="HFB69" s="684"/>
      <c r="HFC69" s="684"/>
      <c r="HFD69" s="684"/>
      <c r="HFE69" s="684"/>
      <c r="HFF69" s="684"/>
      <c r="HFG69" s="684"/>
      <c r="HFH69" s="684"/>
      <c r="HFI69" s="684"/>
      <c r="HFJ69" s="684"/>
      <c r="HFK69" s="684"/>
      <c r="HFL69" s="684"/>
      <c r="HFM69" s="684"/>
      <c r="HFN69" s="684"/>
      <c r="HFO69" s="684"/>
      <c r="HFP69" s="684"/>
      <c r="HFQ69" s="684"/>
      <c r="HFR69" s="684"/>
      <c r="HFS69" s="684"/>
      <c r="HFT69" s="684"/>
      <c r="HFU69" s="684"/>
      <c r="HFV69" s="684"/>
      <c r="HFW69" s="684"/>
      <c r="HFX69" s="684"/>
      <c r="HFY69" s="684"/>
      <c r="HFZ69" s="684"/>
      <c r="HGA69" s="684"/>
      <c r="HGB69" s="684"/>
      <c r="HGC69" s="684"/>
      <c r="HGD69" s="684"/>
      <c r="HGE69" s="684"/>
      <c r="HGF69" s="684"/>
      <c r="HGG69" s="684"/>
      <c r="HGH69" s="684"/>
      <c r="HGI69" s="684"/>
      <c r="HGJ69" s="684"/>
      <c r="HGK69" s="684"/>
      <c r="HGL69" s="684"/>
      <c r="HGM69" s="684"/>
      <c r="HGN69" s="684"/>
      <c r="HGO69" s="684"/>
      <c r="HGP69" s="684"/>
      <c r="HGQ69" s="684"/>
      <c r="HGR69" s="684"/>
      <c r="HGS69" s="684"/>
      <c r="HGT69" s="684"/>
      <c r="HGU69" s="684"/>
      <c r="HGV69" s="684"/>
      <c r="HGW69" s="684"/>
      <c r="HGX69" s="684"/>
      <c r="HGY69" s="684"/>
      <c r="HGZ69" s="684"/>
      <c r="HHA69" s="684"/>
      <c r="HHB69" s="684"/>
      <c r="HHC69" s="684"/>
      <c r="HHD69" s="684"/>
      <c r="HHE69" s="684"/>
      <c r="HHF69" s="684"/>
      <c r="HHG69" s="684"/>
      <c r="HHH69" s="684"/>
      <c r="HHI69" s="684"/>
      <c r="HHJ69" s="684"/>
      <c r="HHK69" s="684"/>
      <c r="HHL69" s="684"/>
      <c r="HHM69" s="684"/>
      <c r="HHN69" s="684"/>
      <c r="HHO69" s="684"/>
      <c r="HHP69" s="684"/>
      <c r="HHQ69" s="684"/>
      <c r="HHR69" s="684"/>
      <c r="HHS69" s="684"/>
      <c r="HHT69" s="684"/>
      <c r="HHU69" s="684"/>
      <c r="HHV69" s="684"/>
      <c r="HHW69" s="684"/>
      <c r="HHX69" s="684"/>
      <c r="HHY69" s="684"/>
      <c r="HHZ69" s="684"/>
      <c r="HIA69" s="684"/>
      <c r="HIB69" s="684"/>
      <c r="HIC69" s="684"/>
      <c r="HID69" s="684"/>
      <c r="HIE69" s="684"/>
      <c r="HIF69" s="684"/>
      <c r="HIG69" s="684"/>
      <c r="HIH69" s="684"/>
      <c r="HII69" s="684"/>
      <c r="HIJ69" s="684"/>
      <c r="HIK69" s="684"/>
      <c r="HIL69" s="684"/>
      <c r="HIM69" s="684"/>
      <c r="HIN69" s="684"/>
      <c r="HIO69" s="684"/>
      <c r="HIP69" s="684"/>
      <c r="HIQ69" s="684"/>
      <c r="HIR69" s="684"/>
      <c r="HIS69" s="684"/>
      <c r="HIT69" s="684"/>
      <c r="HIU69" s="684"/>
      <c r="HIV69" s="684"/>
      <c r="HIW69" s="684"/>
      <c r="HIX69" s="684"/>
      <c r="HIY69" s="684"/>
      <c r="HIZ69" s="684"/>
      <c r="HJA69" s="684"/>
      <c r="HJB69" s="684"/>
      <c r="HJC69" s="684"/>
      <c r="HJD69" s="684"/>
      <c r="HJE69" s="684"/>
      <c r="HJF69" s="684"/>
      <c r="HJG69" s="684"/>
      <c r="HJH69" s="684"/>
      <c r="HJI69" s="684"/>
      <c r="HJJ69" s="684"/>
      <c r="HJK69" s="684"/>
      <c r="HJL69" s="684"/>
      <c r="HJM69" s="684"/>
      <c r="HJN69" s="684"/>
      <c r="HJO69" s="684"/>
      <c r="HJP69" s="684"/>
      <c r="HJQ69" s="684"/>
      <c r="HJR69" s="684"/>
      <c r="HJS69" s="684"/>
      <c r="HJT69" s="684"/>
      <c r="HJU69" s="684"/>
      <c r="HJV69" s="684"/>
      <c r="HJW69" s="684"/>
      <c r="HJX69" s="684"/>
      <c r="HJY69" s="684"/>
      <c r="HJZ69" s="684"/>
      <c r="HKA69" s="684"/>
      <c r="HKB69" s="684"/>
      <c r="HKC69" s="684"/>
      <c r="HKD69" s="684"/>
      <c r="HKE69" s="684"/>
      <c r="HKF69" s="684"/>
      <c r="HKG69" s="684"/>
      <c r="HKH69" s="684"/>
      <c r="HKI69" s="684"/>
      <c r="HKJ69" s="684"/>
      <c r="HKK69" s="684"/>
      <c r="HKL69" s="684"/>
      <c r="HKM69" s="684"/>
      <c r="HKN69" s="684"/>
      <c r="HKO69" s="684"/>
      <c r="HKP69" s="684"/>
      <c r="HKQ69" s="684"/>
      <c r="HKR69" s="684"/>
      <c r="HKS69" s="684"/>
      <c r="HKT69" s="684"/>
      <c r="HKU69" s="684"/>
      <c r="HKV69" s="684"/>
      <c r="HKW69" s="684"/>
      <c r="HKX69" s="684"/>
      <c r="HKY69" s="684"/>
      <c r="HKZ69" s="684"/>
      <c r="HLA69" s="684"/>
      <c r="HLB69" s="684"/>
      <c r="HLC69" s="684"/>
      <c r="HLD69" s="684"/>
      <c r="HLE69" s="684"/>
      <c r="HLF69" s="684"/>
      <c r="HLG69" s="684"/>
      <c r="HLH69" s="684"/>
      <c r="HLI69" s="684"/>
      <c r="HLJ69" s="684"/>
      <c r="HLK69" s="684"/>
      <c r="HLL69" s="684"/>
      <c r="HLM69" s="684"/>
      <c r="HLN69" s="684"/>
      <c r="HLO69" s="684"/>
      <c r="HLP69" s="684"/>
      <c r="HLQ69" s="684"/>
      <c r="HLR69" s="684"/>
      <c r="HLS69" s="684"/>
      <c r="HLT69" s="684"/>
      <c r="HLU69" s="684"/>
      <c r="HLV69" s="684"/>
      <c r="HLW69" s="684"/>
      <c r="HLX69" s="684"/>
      <c r="HLY69" s="684"/>
      <c r="HLZ69" s="684"/>
      <c r="HMA69" s="684"/>
      <c r="HMB69" s="684"/>
      <c r="HMC69" s="684"/>
      <c r="HMD69" s="684"/>
      <c r="HME69" s="684"/>
      <c r="HMF69" s="684"/>
      <c r="HMG69" s="684"/>
      <c r="HMH69" s="684"/>
      <c r="HMI69" s="684"/>
      <c r="HMJ69" s="684"/>
      <c r="HMK69" s="684"/>
      <c r="HML69" s="684"/>
      <c r="HMM69" s="684"/>
      <c r="HMN69" s="684"/>
      <c r="HMO69" s="684"/>
      <c r="HMP69" s="684"/>
      <c r="HMQ69" s="684"/>
      <c r="HMR69" s="684"/>
      <c r="HMS69" s="684"/>
      <c r="HMT69" s="684"/>
      <c r="HMU69" s="684"/>
      <c r="HMV69" s="684"/>
      <c r="HMW69" s="684"/>
      <c r="HMX69" s="684"/>
      <c r="HMY69" s="684"/>
      <c r="HMZ69" s="684"/>
      <c r="HNA69" s="684"/>
      <c r="HNB69" s="684"/>
      <c r="HNC69" s="684"/>
      <c r="HND69" s="684"/>
      <c r="HNE69" s="684"/>
      <c r="HNF69" s="684"/>
      <c r="HNG69" s="684"/>
      <c r="HNH69" s="684"/>
      <c r="HNI69" s="684"/>
      <c r="HNJ69" s="684"/>
      <c r="HNK69" s="684"/>
      <c r="HNL69" s="684"/>
      <c r="HNM69" s="684"/>
      <c r="HNN69" s="684"/>
      <c r="HNO69" s="684"/>
      <c r="HNP69" s="684"/>
      <c r="HNQ69" s="684"/>
      <c r="HNR69" s="684"/>
      <c r="HNS69" s="684"/>
      <c r="HNT69" s="684"/>
      <c r="HNU69" s="684"/>
      <c r="HNV69" s="684"/>
      <c r="HNW69" s="684"/>
      <c r="HNX69" s="684"/>
      <c r="HNY69" s="684"/>
      <c r="HNZ69" s="684"/>
      <c r="HOA69" s="684"/>
      <c r="HOB69" s="684"/>
      <c r="HOC69" s="684"/>
      <c r="HOD69" s="684"/>
      <c r="HOE69" s="684"/>
      <c r="HOF69" s="684"/>
      <c r="HOG69" s="684"/>
      <c r="HOH69" s="684"/>
      <c r="HOI69" s="684"/>
      <c r="HOJ69" s="684"/>
      <c r="HOK69" s="684"/>
      <c r="HOL69" s="684"/>
      <c r="HOM69" s="684"/>
      <c r="HON69" s="684"/>
      <c r="HOO69" s="684"/>
      <c r="HOP69" s="684"/>
      <c r="HOQ69" s="684"/>
      <c r="HOR69" s="684"/>
      <c r="HOS69" s="684"/>
      <c r="HOT69" s="684"/>
      <c r="HOU69" s="684"/>
      <c r="HOV69" s="684"/>
      <c r="HOW69" s="684"/>
      <c r="HOX69" s="684"/>
      <c r="HOY69" s="684"/>
      <c r="HOZ69" s="684"/>
      <c r="HPA69" s="684"/>
      <c r="HPB69" s="684"/>
      <c r="HPC69" s="684"/>
      <c r="HPD69" s="684"/>
      <c r="HPE69" s="684"/>
      <c r="HPF69" s="684"/>
      <c r="HPG69" s="684"/>
      <c r="HPH69" s="684"/>
      <c r="HPI69" s="684"/>
      <c r="HPJ69" s="684"/>
      <c r="HPK69" s="684"/>
      <c r="HPL69" s="684"/>
      <c r="HPM69" s="684"/>
      <c r="HPN69" s="684"/>
      <c r="HPO69" s="684"/>
      <c r="HPP69" s="684"/>
      <c r="HPQ69" s="684"/>
      <c r="HPR69" s="684"/>
      <c r="HPS69" s="684"/>
      <c r="HPT69" s="684"/>
      <c r="HPU69" s="684"/>
      <c r="HPV69" s="684"/>
      <c r="HPW69" s="684"/>
      <c r="HPX69" s="684"/>
      <c r="HPY69" s="684"/>
      <c r="HPZ69" s="684"/>
      <c r="HQA69" s="684"/>
      <c r="HQB69" s="684"/>
      <c r="HQC69" s="684"/>
      <c r="HQD69" s="684"/>
      <c r="HQE69" s="684"/>
      <c r="HQF69" s="684"/>
      <c r="HQG69" s="684"/>
      <c r="HQH69" s="684"/>
      <c r="HQI69" s="684"/>
      <c r="HQJ69" s="684"/>
      <c r="HQK69" s="684"/>
      <c r="HQL69" s="684"/>
      <c r="HQM69" s="684"/>
      <c r="HQN69" s="684"/>
      <c r="HQO69" s="684"/>
      <c r="HQP69" s="684"/>
      <c r="HQQ69" s="684"/>
      <c r="HQR69" s="684"/>
      <c r="HQS69" s="684"/>
      <c r="HQT69" s="684"/>
      <c r="HQU69" s="684"/>
      <c r="HQV69" s="684"/>
      <c r="HQW69" s="684"/>
      <c r="HQX69" s="684"/>
      <c r="HQY69" s="684"/>
      <c r="HQZ69" s="684"/>
      <c r="HRA69" s="684"/>
      <c r="HRB69" s="684"/>
      <c r="HRC69" s="684"/>
      <c r="HRD69" s="684"/>
      <c r="HRE69" s="684"/>
      <c r="HRF69" s="684"/>
      <c r="HRG69" s="684"/>
      <c r="HRH69" s="684"/>
      <c r="HRI69" s="684"/>
      <c r="HRJ69" s="684"/>
      <c r="HRK69" s="684"/>
      <c r="HRL69" s="684"/>
      <c r="HRM69" s="684"/>
      <c r="HRN69" s="684"/>
      <c r="HRO69" s="684"/>
      <c r="HRP69" s="684"/>
      <c r="HRQ69" s="684"/>
      <c r="HRR69" s="684"/>
      <c r="HRS69" s="684"/>
      <c r="HRT69" s="684"/>
      <c r="HRU69" s="684"/>
      <c r="HRV69" s="684"/>
      <c r="HRW69" s="684"/>
      <c r="HRX69" s="684"/>
      <c r="HRY69" s="684"/>
      <c r="HRZ69" s="684"/>
      <c r="HSA69" s="684"/>
      <c r="HSB69" s="684"/>
      <c r="HSC69" s="684"/>
      <c r="HSD69" s="684"/>
      <c r="HSE69" s="684"/>
      <c r="HSF69" s="684"/>
      <c r="HSG69" s="684"/>
      <c r="HSH69" s="684"/>
      <c r="HSI69" s="684"/>
      <c r="HSJ69" s="684"/>
      <c r="HSK69" s="684"/>
      <c r="HSL69" s="684"/>
      <c r="HSM69" s="684"/>
      <c r="HSN69" s="684"/>
      <c r="HSO69" s="684"/>
      <c r="HSP69" s="684"/>
      <c r="HSQ69" s="684"/>
      <c r="HSR69" s="684"/>
      <c r="HSS69" s="684"/>
      <c r="HST69" s="684"/>
      <c r="HSU69" s="684"/>
      <c r="HSV69" s="684"/>
      <c r="HSW69" s="684"/>
      <c r="HSX69" s="684"/>
      <c r="HSY69" s="684"/>
      <c r="HSZ69" s="684"/>
      <c r="HTA69" s="684"/>
      <c r="HTB69" s="684"/>
      <c r="HTC69" s="684"/>
      <c r="HTD69" s="684"/>
      <c r="HTE69" s="684"/>
      <c r="HTF69" s="684"/>
      <c r="HTG69" s="684"/>
      <c r="HTH69" s="684"/>
      <c r="HTI69" s="684"/>
      <c r="HTJ69" s="684"/>
      <c r="HTK69" s="684"/>
      <c r="HTL69" s="684"/>
      <c r="HTM69" s="684"/>
      <c r="HTN69" s="684"/>
      <c r="HTO69" s="684"/>
      <c r="HTP69" s="684"/>
      <c r="HTQ69" s="684"/>
      <c r="HTR69" s="684"/>
      <c r="HTS69" s="684"/>
      <c r="HTT69" s="684"/>
      <c r="HTU69" s="684"/>
      <c r="HTV69" s="684"/>
      <c r="HTW69" s="684"/>
      <c r="HTX69" s="684"/>
      <c r="HTY69" s="684"/>
      <c r="HTZ69" s="684"/>
      <c r="HUA69" s="684"/>
      <c r="HUB69" s="684"/>
      <c r="HUC69" s="684"/>
      <c r="HUD69" s="684"/>
      <c r="HUE69" s="684"/>
      <c r="HUF69" s="684"/>
      <c r="HUG69" s="684"/>
      <c r="HUH69" s="684"/>
      <c r="HUI69" s="684"/>
      <c r="HUJ69" s="684"/>
      <c r="HUK69" s="684"/>
      <c r="HUL69" s="684"/>
      <c r="HUM69" s="684"/>
      <c r="HUN69" s="684"/>
      <c r="HUO69" s="684"/>
      <c r="HUP69" s="684"/>
      <c r="HUQ69" s="684"/>
      <c r="HUR69" s="684"/>
      <c r="HUS69" s="684"/>
      <c r="HUT69" s="684"/>
      <c r="HUU69" s="684"/>
      <c r="HUV69" s="684"/>
      <c r="HUW69" s="684"/>
      <c r="HUX69" s="684"/>
      <c r="HUY69" s="684"/>
      <c r="HUZ69" s="684"/>
      <c r="HVA69" s="684"/>
      <c r="HVB69" s="684"/>
      <c r="HVC69" s="684"/>
      <c r="HVD69" s="684"/>
      <c r="HVE69" s="684"/>
      <c r="HVF69" s="684"/>
      <c r="HVG69" s="684"/>
      <c r="HVH69" s="684"/>
      <c r="HVI69" s="684"/>
      <c r="HVJ69" s="684"/>
      <c r="HVK69" s="684"/>
      <c r="HVL69" s="684"/>
      <c r="HVM69" s="684"/>
      <c r="HVN69" s="684"/>
      <c r="HVO69" s="684"/>
      <c r="HVP69" s="684"/>
      <c r="HVQ69" s="684"/>
      <c r="HVR69" s="684"/>
      <c r="HVS69" s="684"/>
      <c r="HVT69" s="684"/>
      <c r="HVU69" s="684"/>
      <c r="HVV69" s="684"/>
      <c r="HVW69" s="684"/>
      <c r="HVX69" s="684"/>
      <c r="HVY69" s="684"/>
      <c r="HVZ69" s="684"/>
      <c r="HWA69" s="684"/>
      <c r="HWB69" s="684"/>
      <c r="HWC69" s="684"/>
      <c r="HWD69" s="684"/>
      <c r="HWE69" s="684"/>
      <c r="HWF69" s="684"/>
      <c r="HWG69" s="684"/>
      <c r="HWH69" s="684"/>
      <c r="HWI69" s="684"/>
      <c r="HWJ69" s="684"/>
      <c r="HWK69" s="684"/>
      <c r="HWL69" s="684"/>
      <c r="HWM69" s="684"/>
      <c r="HWN69" s="684"/>
      <c r="HWO69" s="684"/>
      <c r="HWP69" s="684"/>
      <c r="HWQ69" s="684"/>
      <c r="HWR69" s="684"/>
      <c r="HWS69" s="684"/>
      <c r="HWT69" s="684"/>
      <c r="HWU69" s="684"/>
      <c r="HWV69" s="684"/>
      <c r="HWW69" s="684"/>
      <c r="HWX69" s="684"/>
      <c r="HWY69" s="684"/>
      <c r="HWZ69" s="684"/>
      <c r="HXA69" s="684"/>
      <c r="HXB69" s="684"/>
      <c r="HXC69" s="684"/>
      <c r="HXD69" s="684"/>
      <c r="HXE69" s="684"/>
      <c r="HXF69" s="684"/>
      <c r="HXG69" s="684"/>
      <c r="HXH69" s="684"/>
      <c r="HXI69" s="684"/>
      <c r="HXJ69" s="684"/>
      <c r="HXK69" s="684"/>
      <c r="HXL69" s="684"/>
      <c r="HXM69" s="684"/>
      <c r="HXN69" s="684"/>
      <c r="HXO69" s="684"/>
      <c r="HXP69" s="684"/>
      <c r="HXQ69" s="684"/>
      <c r="HXR69" s="684"/>
      <c r="HXS69" s="684"/>
      <c r="HXT69" s="684"/>
      <c r="HXU69" s="684"/>
      <c r="HXV69" s="684"/>
      <c r="HXW69" s="684"/>
      <c r="HXX69" s="684"/>
      <c r="HXY69" s="684"/>
      <c r="HXZ69" s="684"/>
      <c r="HYA69" s="684"/>
      <c r="HYB69" s="684"/>
      <c r="HYC69" s="684"/>
      <c r="HYD69" s="684"/>
      <c r="HYE69" s="684"/>
      <c r="HYF69" s="684"/>
      <c r="HYG69" s="684"/>
      <c r="HYH69" s="684"/>
      <c r="HYI69" s="684"/>
      <c r="HYJ69" s="684"/>
      <c r="HYK69" s="684"/>
      <c r="HYL69" s="684"/>
      <c r="HYM69" s="684"/>
      <c r="HYN69" s="684"/>
      <c r="HYO69" s="684"/>
      <c r="HYP69" s="684"/>
      <c r="HYQ69" s="684"/>
      <c r="HYR69" s="684"/>
      <c r="HYS69" s="684"/>
      <c r="HYT69" s="684"/>
      <c r="HYU69" s="684"/>
      <c r="HYV69" s="684"/>
      <c r="HYW69" s="684"/>
      <c r="HYX69" s="684"/>
      <c r="HYY69" s="684"/>
      <c r="HYZ69" s="684"/>
      <c r="HZA69" s="684"/>
      <c r="HZB69" s="684"/>
      <c r="HZC69" s="684"/>
      <c r="HZD69" s="684"/>
      <c r="HZE69" s="684"/>
      <c r="HZF69" s="684"/>
      <c r="HZG69" s="684"/>
      <c r="HZH69" s="684"/>
      <c r="HZI69" s="684"/>
      <c r="HZJ69" s="684"/>
      <c r="HZK69" s="684"/>
      <c r="HZL69" s="684"/>
      <c r="HZM69" s="684"/>
      <c r="HZN69" s="684"/>
      <c r="HZO69" s="684"/>
      <c r="HZP69" s="684"/>
      <c r="HZQ69" s="684"/>
      <c r="HZR69" s="684"/>
      <c r="HZS69" s="684"/>
      <c r="HZT69" s="684"/>
      <c r="HZU69" s="684"/>
      <c r="HZV69" s="684"/>
      <c r="HZW69" s="684"/>
      <c r="HZX69" s="684"/>
      <c r="HZY69" s="684"/>
      <c r="HZZ69" s="684"/>
      <c r="IAA69" s="684"/>
      <c r="IAB69" s="684"/>
      <c r="IAC69" s="684"/>
      <c r="IAD69" s="684"/>
      <c r="IAE69" s="684"/>
      <c r="IAF69" s="684"/>
      <c r="IAG69" s="684"/>
      <c r="IAH69" s="684"/>
      <c r="IAI69" s="684"/>
      <c r="IAJ69" s="684"/>
      <c r="IAK69" s="684"/>
      <c r="IAL69" s="684"/>
      <c r="IAM69" s="684"/>
      <c r="IAN69" s="684"/>
      <c r="IAO69" s="684"/>
      <c r="IAP69" s="684"/>
      <c r="IAQ69" s="684"/>
      <c r="IAR69" s="684"/>
      <c r="IAS69" s="684"/>
      <c r="IAT69" s="684"/>
      <c r="IAU69" s="684"/>
      <c r="IAV69" s="684"/>
      <c r="IAW69" s="684"/>
      <c r="IAX69" s="684"/>
      <c r="IAY69" s="684"/>
      <c r="IAZ69" s="684"/>
      <c r="IBA69" s="684"/>
      <c r="IBB69" s="684"/>
      <c r="IBC69" s="684"/>
      <c r="IBD69" s="684"/>
      <c r="IBE69" s="684"/>
      <c r="IBF69" s="684"/>
      <c r="IBG69" s="684"/>
      <c r="IBH69" s="684"/>
      <c r="IBI69" s="684"/>
      <c r="IBJ69" s="684"/>
      <c r="IBK69" s="684"/>
      <c r="IBL69" s="684"/>
      <c r="IBM69" s="684"/>
      <c r="IBN69" s="684"/>
      <c r="IBO69" s="684"/>
      <c r="IBP69" s="684"/>
      <c r="IBQ69" s="684"/>
      <c r="IBR69" s="684"/>
      <c r="IBS69" s="684"/>
      <c r="IBT69" s="684"/>
      <c r="IBU69" s="684"/>
      <c r="IBV69" s="684"/>
      <c r="IBW69" s="684"/>
      <c r="IBX69" s="684"/>
      <c r="IBY69" s="684"/>
      <c r="IBZ69" s="684"/>
      <c r="ICA69" s="684"/>
      <c r="ICB69" s="684"/>
      <c r="ICC69" s="684"/>
      <c r="ICD69" s="684"/>
      <c r="ICE69" s="684"/>
      <c r="ICF69" s="684"/>
      <c r="ICG69" s="684"/>
      <c r="ICH69" s="684"/>
      <c r="ICI69" s="684"/>
      <c r="ICJ69" s="684"/>
      <c r="ICK69" s="684"/>
      <c r="ICL69" s="684"/>
      <c r="ICM69" s="684"/>
      <c r="ICN69" s="684"/>
      <c r="ICO69" s="684"/>
      <c r="ICP69" s="684"/>
      <c r="ICQ69" s="684"/>
      <c r="ICR69" s="684"/>
      <c r="ICS69" s="684"/>
      <c r="ICT69" s="684"/>
      <c r="ICU69" s="684"/>
      <c r="ICV69" s="684"/>
      <c r="ICW69" s="684"/>
      <c r="ICX69" s="684"/>
      <c r="ICY69" s="684"/>
      <c r="ICZ69" s="684"/>
      <c r="IDA69" s="684"/>
      <c r="IDB69" s="684"/>
      <c r="IDC69" s="684"/>
      <c r="IDD69" s="684"/>
      <c r="IDE69" s="684"/>
      <c r="IDF69" s="684"/>
      <c r="IDG69" s="684"/>
      <c r="IDH69" s="684"/>
      <c r="IDI69" s="684"/>
      <c r="IDJ69" s="684"/>
      <c r="IDK69" s="684"/>
      <c r="IDL69" s="684"/>
      <c r="IDM69" s="684"/>
      <c r="IDN69" s="684"/>
      <c r="IDO69" s="684"/>
      <c r="IDP69" s="684"/>
      <c r="IDQ69" s="684"/>
      <c r="IDR69" s="684"/>
      <c r="IDS69" s="684"/>
      <c r="IDT69" s="684"/>
      <c r="IDU69" s="684"/>
      <c r="IDV69" s="684"/>
      <c r="IDW69" s="684"/>
      <c r="IDX69" s="684"/>
      <c r="IDY69" s="684"/>
      <c r="IDZ69" s="684"/>
      <c r="IEA69" s="684"/>
      <c r="IEB69" s="684"/>
      <c r="IEC69" s="684"/>
      <c r="IED69" s="684"/>
      <c r="IEE69" s="684"/>
      <c r="IEF69" s="684"/>
      <c r="IEG69" s="684"/>
      <c r="IEH69" s="684"/>
      <c r="IEI69" s="684"/>
      <c r="IEJ69" s="684"/>
      <c r="IEK69" s="684"/>
      <c r="IEL69" s="684"/>
      <c r="IEM69" s="684"/>
      <c r="IEN69" s="684"/>
      <c r="IEO69" s="684"/>
      <c r="IEP69" s="684"/>
      <c r="IEQ69" s="684"/>
      <c r="IER69" s="684"/>
      <c r="IES69" s="684"/>
      <c r="IET69" s="684"/>
      <c r="IEU69" s="684"/>
      <c r="IEV69" s="684"/>
      <c r="IEW69" s="684"/>
      <c r="IEX69" s="684"/>
      <c r="IEY69" s="684"/>
      <c r="IEZ69" s="684"/>
      <c r="IFA69" s="684"/>
      <c r="IFB69" s="684"/>
      <c r="IFC69" s="684"/>
      <c r="IFD69" s="684"/>
      <c r="IFE69" s="684"/>
      <c r="IFF69" s="684"/>
      <c r="IFG69" s="684"/>
      <c r="IFH69" s="684"/>
      <c r="IFI69" s="684"/>
      <c r="IFJ69" s="684"/>
      <c r="IFK69" s="684"/>
      <c r="IFL69" s="684"/>
      <c r="IFM69" s="684"/>
      <c r="IFN69" s="684"/>
      <c r="IFO69" s="684"/>
      <c r="IFP69" s="684"/>
      <c r="IFQ69" s="684"/>
      <c r="IFR69" s="684"/>
      <c r="IFS69" s="684"/>
      <c r="IFT69" s="684"/>
      <c r="IFU69" s="684"/>
      <c r="IFV69" s="684"/>
      <c r="IFW69" s="684"/>
      <c r="IFX69" s="684"/>
      <c r="IFY69" s="684"/>
      <c r="IFZ69" s="684"/>
      <c r="IGA69" s="684"/>
      <c r="IGB69" s="684"/>
      <c r="IGC69" s="684"/>
      <c r="IGD69" s="684"/>
      <c r="IGE69" s="684"/>
      <c r="IGF69" s="684"/>
      <c r="IGG69" s="684"/>
      <c r="IGH69" s="684"/>
      <c r="IGI69" s="684"/>
      <c r="IGJ69" s="684"/>
      <c r="IGK69" s="684"/>
      <c r="IGL69" s="684"/>
      <c r="IGM69" s="684"/>
      <c r="IGN69" s="684"/>
      <c r="IGO69" s="684"/>
      <c r="IGP69" s="684"/>
      <c r="IGQ69" s="684"/>
      <c r="IGR69" s="684"/>
      <c r="IGS69" s="684"/>
      <c r="IGT69" s="684"/>
      <c r="IGU69" s="684"/>
      <c r="IGV69" s="684"/>
      <c r="IGW69" s="684"/>
      <c r="IGX69" s="684"/>
      <c r="IGY69" s="684"/>
      <c r="IGZ69" s="684"/>
      <c r="IHA69" s="684"/>
      <c r="IHB69" s="684"/>
      <c r="IHC69" s="684"/>
      <c r="IHD69" s="684"/>
      <c r="IHE69" s="684"/>
      <c r="IHF69" s="684"/>
      <c r="IHG69" s="684"/>
      <c r="IHH69" s="684"/>
      <c r="IHI69" s="684"/>
      <c r="IHJ69" s="684"/>
      <c r="IHK69" s="684"/>
      <c r="IHL69" s="684"/>
      <c r="IHM69" s="684"/>
      <c r="IHN69" s="684"/>
      <c r="IHO69" s="684"/>
      <c r="IHP69" s="684"/>
      <c r="IHQ69" s="684"/>
      <c r="IHR69" s="684"/>
      <c r="IHS69" s="684"/>
      <c r="IHT69" s="684"/>
      <c r="IHU69" s="684"/>
      <c r="IHV69" s="684"/>
      <c r="IHW69" s="684"/>
      <c r="IHX69" s="684"/>
      <c r="IHY69" s="684"/>
      <c r="IHZ69" s="684"/>
      <c r="IIA69" s="684"/>
      <c r="IIB69" s="684"/>
      <c r="IIC69" s="684"/>
      <c r="IID69" s="684"/>
      <c r="IIE69" s="684"/>
      <c r="IIF69" s="684"/>
      <c r="IIG69" s="684"/>
      <c r="IIH69" s="684"/>
      <c r="III69" s="684"/>
      <c r="IIJ69" s="684"/>
      <c r="IIK69" s="684"/>
      <c r="IIL69" s="684"/>
      <c r="IIM69" s="684"/>
      <c r="IIN69" s="684"/>
      <c r="IIO69" s="684"/>
      <c r="IIP69" s="684"/>
      <c r="IIQ69" s="684"/>
      <c r="IIR69" s="684"/>
      <c r="IIS69" s="684"/>
      <c r="IIT69" s="684"/>
      <c r="IIU69" s="684"/>
      <c r="IIV69" s="684"/>
      <c r="IIW69" s="684"/>
      <c r="IIX69" s="684"/>
      <c r="IIY69" s="684"/>
      <c r="IIZ69" s="684"/>
      <c r="IJA69" s="684"/>
      <c r="IJB69" s="684"/>
      <c r="IJC69" s="684"/>
      <c r="IJD69" s="684"/>
      <c r="IJE69" s="684"/>
      <c r="IJF69" s="684"/>
      <c r="IJG69" s="684"/>
      <c r="IJH69" s="684"/>
      <c r="IJI69" s="684"/>
      <c r="IJJ69" s="684"/>
      <c r="IJK69" s="684"/>
      <c r="IJL69" s="684"/>
      <c r="IJM69" s="684"/>
      <c r="IJN69" s="684"/>
      <c r="IJO69" s="684"/>
      <c r="IJP69" s="684"/>
      <c r="IJQ69" s="684"/>
      <c r="IJR69" s="684"/>
      <c r="IJS69" s="684"/>
      <c r="IJT69" s="684"/>
      <c r="IJU69" s="684"/>
      <c r="IJV69" s="684"/>
      <c r="IJW69" s="684"/>
      <c r="IJX69" s="684"/>
      <c r="IJY69" s="684"/>
      <c r="IJZ69" s="684"/>
      <c r="IKA69" s="684"/>
      <c r="IKB69" s="684"/>
      <c r="IKC69" s="684"/>
      <c r="IKD69" s="684"/>
      <c r="IKE69" s="684"/>
      <c r="IKF69" s="684"/>
      <c r="IKG69" s="684"/>
      <c r="IKH69" s="684"/>
      <c r="IKI69" s="684"/>
      <c r="IKJ69" s="684"/>
      <c r="IKK69" s="684"/>
      <c r="IKL69" s="684"/>
      <c r="IKM69" s="684"/>
      <c r="IKN69" s="684"/>
      <c r="IKO69" s="684"/>
      <c r="IKP69" s="684"/>
      <c r="IKQ69" s="684"/>
      <c r="IKR69" s="684"/>
      <c r="IKS69" s="684"/>
      <c r="IKT69" s="684"/>
      <c r="IKU69" s="684"/>
      <c r="IKV69" s="684"/>
      <c r="IKW69" s="684"/>
      <c r="IKX69" s="684"/>
      <c r="IKY69" s="684"/>
      <c r="IKZ69" s="684"/>
      <c r="ILA69" s="684"/>
      <c r="ILB69" s="684"/>
      <c r="ILC69" s="684"/>
      <c r="ILD69" s="684"/>
      <c r="ILE69" s="684"/>
      <c r="ILF69" s="684"/>
      <c r="ILG69" s="684"/>
      <c r="ILH69" s="684"/>
      <c r="ILI69" s="684"/>
      <c r="ILJ69" s="684"/>
      <c r="ILK69" s="684"/>
      <c r="ILL69" s="684"/>
      <c r="ILM69" s="684"/>
      <c r="ILN69" s="684"/>
      <c r="ILO69" s="684"/>
      <c r="ILP69" s="684"/>
      <c r="ILQ69" s="684"/>
      <c r="ILR69" s="684"/>
      <c r="ILS69" s="684"/>
      <c r="ILT69" s="684"/>
      <c r="ILU69" s="684"/>
      <c r="ILV69" s="684"/>
      <c r="ILW69" s="684"/>
      <c r="ILX69" s="684"/>
      <c r="ILY69" s="684"/>
      <c r="ILZ69" s="684"/>
      <c r="IMA69" s="684"/>
      <c r="IMB69" s="684"/>
      <c r="IMC69" s="684"/>
      <c r="IMD69" s="684"/>
      <c r="IME69" s="684"/>
      <c r="IMF69" s="684"/>
      <c r="IMG69" s="684"/>
      <c r="IMH69" s="684"/>
      <c r="IMI69" s="684"/>
      <c r="IMJ69" s="684"/>
      <c r="IMK69" s="684"/>
      <c r="IML69" s="684"/>
      <c r="IMM69" s="684"/>
      <c r="IMN69" s="684"/>
      <c r="IMO69" s="684"/>
      <c r="IMP69" s="684"/>
      <c r="IMQ69" s="684"/>
      <c r="IMR69" s="684"/>
      <c r="IMS69" s="684"/>
      <c r="IMT69" s="684"/>
      <c r="IMU69" s="684"/>
      <c r="IMV69" s="684"/>
      <c r="IMW69" s="684"/>
      <c r="IMX69" s="684"/>
      <c r="IMY69" s="684"/>
      <c r="IMZ69" s="684"/>
      <c r="INA69" s="684"/>
      <c r="INB69" s="684"/>
      <c r="INC69" s="684"/>
      <c r="IND69" s="684"/>
      <c r="INE69" s="684"/>
      <c r="INF69" s="684"/>
      <c r="ING69" s="684"/>
      <c r="INH69" s="684"/>
      <c r="INI69" s="684"/>
      <c r="INJ69" s="684"/>
      <c r="INK69" s="684"/>
      <c r="INL69" s="684"/>
      <c r="INM69" s="684"/>
      <c r="INN69" s="684"/>
      <c r="INO69" s="684"/>
      <c r="INP69" s="684"/>
      <c r="INQ69" s="684"/>
      <c r="INR69" s="684"/>
      <c r="INS69" s="684"/>
      <c r="INT69" s="684"/>
      <c r="INU69" s="684"/>
      <c r="INV69" s="684"/>
      <c r="INW69" s="684"/>
      <c r="INX69" s="684"/>
      <c r="INY69" s="684"/>
      <c r="INZ69" s="684"/>
      <c r="IOA69" s="684"/>
      <c r="IOB69" s="684"/>
      <c r="IOC69" s="684"/>
      <c r="IOD69" s="684"/>
      <c r="IOE69" s="684"/>
      <c r="IOF69" s="684"/>
      <c r="IOG69" s="684"/>
      <c r="IOH69" s="684"/>
      <c r="IOI69" s="684"/>
      <c r="IOJ69" s="684"/>
      <c r="IOK69" s="684"/>
      <c r="IOL69" s="684"/>
      <c r="IOM69" s="684"/>
      <c r="ION69" s="684"/>
      <c r="IOO69" s="684"/>
      <c r="IOP69" s="684"/>
      <c r="IOQ69" s="684"/>
      <c r="IOR69" s="684"/>
      <c r="IOS69" s="684"/>
      <c r="IOT69" s="684"/>
      <c r="IOU69" s="684"/>
      <c r="IOV69" s="684"/>
      <c r="IOW69" s="684"/>
      <c r="IOX69" s="684"/>
      <c r="IOY69" s="684"/>
      <c r="IOZ69" s="684"/>
      <c r="IPA69" s="684"/>
      <c r="IPB69" s="684"/>
      <c r="IPC69" s="684"/>
      <c r="IPD69" s="684"/>
      <c r="IPE69" s="684"/>
      <c r="IPF69" s="684"/>
      <c r="IPG69" s="684"/>
      <c r="IPH69" s="684"/>
      <c r="IPI69" s="684"/>
      <c r="IPJ69" s="684"/>
      <c r="IPK69" s="684"/>
      <c r="IPL69" s="684"/>
      <c r="IPM69" s="684"/>
      <c r="IPN69" s="684"/>
      <c r="IPO69" s="684"/>
      <c r="IPP69" s="684"/>
      <c r="IPQ69" s="684"/>
      <c r="IPR69" s="684"/>
      <c r="IPS69" s="684"/>
      <c r="IPT69" s="684"/>
      <c r="IPU69" s="684"/>
      <c r="IPV69" s="684"/>
      <c r="IPW69" s="684"/>
      <c r="IPX69" s="684"/>
      <c r="IPY69" s="684"/>
      <c r="IPZ69" s="684"/>
      <c r="IQA69" s="684"/>
      <c r="IQB69" s="684"/>
      <c r="IQC69" s="684"/>
      <c r="IQD69" s="684"/>
      <c r="IQE69" s="684"/>
      <c r="IQF69" s="684"/>
      <c r="IQG69" s="684"/>
      <c r="IQH69" s="684"/>
      <c r="IQI69" s="684"/>
      <c r="IQJ69" s="684"/>
      <c r="IQK69" s="684"/>
      <c r="IQL69" s="684"/>
      <c r="IQM69" s="684"/>
      <c r="IQN69" s="684"/>
      <c r="IQO69" s="684"/>
      <c r="IQP69" s="684"/>
      <c r="IQQ69" s="684"/>
      <c r="IQR69" s="684"/>
      <c r="IQS69" s="684"/>
      <c r="IQT69" s="684"/>
      <c r="IQU69" s="684"/>
      <c r="IQV69" s="684"/>
      <c r="IQW69" s="684"/>
      <c r="IQX69" s="684"/>
      <c r="IQY69" s="684"/>
      <c r="IQZ69" s="684"/>
      <c r="IRA69" s="684"/>
      <c r="IRB69" s="684"/>
      <c r="IRC69" s="684"/>
      <c r="IRD69" s="684"/>
      <c r="IRE69" s="684"/>
      <c r="IRF69" s="684"/>
      <c r="IRG69" s="684"/>
      <c r="IRH69" s="684"/>
      <c r="IRI69" s="684"/>
      <c r="IRJ69" s="684"/>
      <c r="IRK69" s="684"/>
      <c r="IRL69" s="684"/>
      <c r="IRM69" s="684"/>
      <c r="IRN69" s="684"/>
      <c r="IRO69" s="684"/>
      <c r="IRP69" s="684"/>
      <c r="IRQ69" s="684"/>
      <c r="IRR69" s="684"/>
      <c r="IRS69" s="684"/>
      <c r="IRT69" s="684"/>
      <c r="IRU69" s="684"/>
      <c r="IRV69" s="684"/>
      <c r="IRW69" s="684"/>
      <c r="IRX69" s="684"/>
      <c r="IRY69" s="684"/>
      <c r="IRZ69" s="684"/>
      <c r="ISA69" s="684"/>
      <c r="ISB69" s="684"/>
      <c r="ISC69" s="684"/>
      <c r="ISD69" s="684"/>
      <c r="ISE69" s="684"/>
      <c r="ISF69" s="684"/>
      <c r="ISG69" s="684"/>
      <c r="ISH69" s="684"/>
      <c r="ISI69" s="684"/>
      <c r="ISJ69" s="684"/>
      <c r="ISK69" s="684"/>
      <c r="ISL69" s="684"/>
      <c r="ISM69" s="684"/>
      <c r="ISN69" s="684"/>
      <c r="ISO69" s="684"/>
      <c r="ISP69" s="684"/>
      <c r="ISQ69" s="684"/>
      <c r="ISR69" s="684"/>
      <c r="ISS69" s="684"/>
      <c r="IST69" s="684"/>
      <c r="ISU69" s="684"/>
      <c r="ISV69" s="684"/>
      <c r="ISW69" s="684"/>
      <c r="ISX69" s="684"/>
      <c r="ISY69" s="684"/>
      <c r="ISZ69" s="684"/>
      <c r="ITA69" s="684"/>
      <c r="ITB69" s="684"/>
      <c r="ITC69" s="684"/>
      <c r="ITD69" s="684"/>
      <c r="ITE69" s="684"/>
      <c r="ITF69" s="684"/>
      <c r="ITG69" s="684"/>
      <c r="ITH69" s="684"/>
      <c r="ITI69" s="684"/>
      <c r="ITJ69" s="684"/>
      <c r="ITK69" s="684"/>
      <c r="ITL69" s="684"/>
      <c r="ITM69" s="684"/>
      <c r="ITN69" s="684"/>
      <c r="ITO69" s="684"/>
      <c r="ITP69" s="684"/>
      <c r="ITQ69" s="684"/>
      <c r="ITR69" s="684"/>
      <c r="ITS69" s="684"/>
      <c r="ITT69" s="684"/>
      <c r="ITU69" s="684"/>
      <c r="ITV69" s="684"/>
      <c r="ITW69" s="684"/>
      <c r="ITX69" s="684"/>
      <c r="ITY69" s="684"/>
      <c r="ITZ69" s="684"/>
      <c r="IUA69" s="684"/>
      <c r="IUB69" s="684"/>
      <c r="IUC69" s="684"/>
      <c r="IUD69" s="684"/>
      <c r="IUE69" s="684"/>
      <c r="IUF69" s="684"/>
      <c r="IUG69" s="684"/>
      <c r="IUH69" s="684"/>
      <c r="IUI69" s="684"/>
      <c r="IUJ69" s="684"/>
      <c r="IUK69" s="684"/>
      <c r="IUL69" s="684"/>
      <c r="IUM69" s="684"/>
      <c r="IUN69" s="684"/>
      <c r="IUO69" s="684"/>
      <c r="IUP69" s="684"/>
      <c r="IUQ69" s="684"/>
      <c r="IUR69" s="684"/>
      <c r="IUS69" s="684"/>
      <c r="IUT69" s="684"/>
      <c r="IUU69" s="684"/>
      <c r="IUV69" s="684"/>
      <c r="IUW69" s="684"/>
      <c r="IUX69" s="684"/>
      <c r="IUY69" s="684"/>
      <c r="IUZ69" s="684"/>
      <c r="IVA69" s="684"/>
      <c r="IVB69" s="684"/>
      <c r="IVC69" s="684"/>
      <c r="IVD69" s="684"/>
      <c r="IVE69" s="684"/>
      <c r="IVF69" s="684"/>
      <c r="IVG69" s="684"/>
      <c r="IVH69" s="684"/>
      <c r="IVI69" s="684"/>
      <c r="IVJ69" s="684"/>
      <c r="IVK69" s="684"/>
      <c r="IVL69" s="684"/>
      <c r="IVM69" s="684"/>
      <c r="IVN69" s="684"/>
      <c r="IVO69" s="684"/>
      <c r="IVP69" s="684"/>
      <c r="IVQ69" s="684"/>
      <c r="IVR69" s="684"/>
      <c r="IVS69" s="684"/>
      <c r="IVT69" s="684"/>
      <c r="IVU69" s="684"/>
      <c r="IVV69" s="684"/>
      <c r="IVW69" s="684"/>
      <c r="IVX69" s="684"/>
      <c r="IVY69" s="684"/>
      <c r="IVZ69" s="684"/>
      <c r="IWA69" s="684"/>
      <c r="IWB69" s="684"/>
      <c r="IWC69" s="684"/>
      <c r="IWD69" s="684"/>
      <c r="IWE69" s="684"/>
      <c r="IWF69" s="684"/>
      <c r="IWG69" s="684"/>
      <c r="IWH69" s="684"/>
      <c r="IWI69" s="684"/>
      <c r="IWJ69" s="684"/>
      <c r="IWK69" s="684"/>
      <c r="IWL69" s="684"/>
      <c r="IWM69" s="684"/>
      <c r="IWN69" s="684"/>
      <c r="IWO69" s="684"/>
      <c r="IWP69" s="684"/>
      <c r="IWQ69" s="684"/>
      <c r="IWR69" s="684"/>
      <c r="IWS69" s="684"/>
      <c r="IWT69" s="684"/>
      <c r="IWU69" s="684"/>
      <c r="IWV69" s="684"/>
      <c r="IWW69" s="684"/>
      <c r="IWX69" s="684"/>
      <c r="IWY69" s="684"/>
      <c r="IWZ69" s="684"/>
      <c r="IXA69" s="684"/>
      <c r="IXB69" s="684"/>
      <c r="IXC69" s="684"/>
      <c r="IXD69" s="684"/>
      <c r="IXE69" s="684"/>
      <c r="IXF69" s="684"/>
      <c r="IXG69" s="684"/>
      <c r="IXH69" s="684"/>
      <c r="IXI69" s="684"/>
      <c r="IXJ69" s="684"/>
      <c r="IXK69" s="684"/>
      <c r="IXL69" s="684"/>
      <c r="IXM69" s="684"/>
      <c r="IXN69" s="684"/>
      <c r="IXO69" s="684"/>
      <c r="IXP69" s="684"/>
      <c r="IXQ69" s="684"/>
      <c r="IXR69" s="684"/>
      <c r="IXS69" s="684"/>
      <c r="IXT69" s="684"/>
      <c r="IXU69" s="684"/>
      <c r="IXV69" s="684"/>
      <c r="IXW69" s="684"/>
      <c r="IXX69" s="684"/>
      <c r="IXY69" s="684"/>
      <c r="IXZ69" s="684"/>
      <c r="IYA69" s="684"/>
      <c r="IYB69" s="684"/>
      <c r="IYC69" s="684"/>
      <c r="IYD69" s="684"/>
      <c r="IYE69" s="684"/>
      <c r="IYF69" s="684"/>
      <c r="IYG69" s="684"/>
      <c r="IYH69" s="684"/>
      <c r="IYI69" s="684"/>
      <c r="IYJ69" s="684"/>
      <c r="IYK69" s="684"/>
      <c r="IYL69" s="684"/>
      <c r="IYM69" s="684"/>
      <c r="IYN69" s="684"/>
      <c r="IYO69" s="684"/>
      <c r="IYP69" s="684"/>
      <c r="IYQ69" s="684"/>
      <c r="IYR69" s="684"/>
      <c r="IYS69" s="684"/>
      <c r="IYT69" s="684"/>
      <c r="IYU69" s="684"/>
      <c r="IYV69" s="684"/>
      <c r="IYW69" s="684"/>
      <c r="IYX69" s="684"/>
      <c r="IYY69" s="684"/>
      <c r="IYZ69" s="684"/>
      <c r="IZA69" s="684"/>
      <c r="IZB69" s="684"/>
      <c r="IZC69" s="684"/>
      <c r="IZD69" s="684"/>
      <c r="IZE69" s="684"/>
      <c r="IZF69" s="684"/>
      <c r="IZG69" s="684"/>
      <c r="IZH69" s="684"/>
      <c r="IZI69" s="684"/>
      <c r="IZJ69" s="684"/>
      <c r="IZK69" s="684"/>
      <c r="IZL69" s="684"/>
      <c r="IZM69" s="684"/>
      <c r="IZN69" s="684"/>
      <c r="IZO69" s="684"/>
      <c r="IZP69" s="684"/>
      <c r="IZQ69" s="684"/>
      <c r="IZR69" s="684"/>
      <c r="IZS69" s="684"/>
      <c r="IZT69" s="684"/>
      <c r="IZU69" s="684"/>
      <c r="IZV69" s="684"/>
      <c r="IZW69" s="684"/>
      <c r="IZX69" s="684"/>
      <c r="IZY69" s="684"/>
      <c r="IZZ69" s="684"/>
      <c r="JAA69" s="684"/>
      <c r="JAB69" s="684"/>
      <c r="JAC69" s="684"/>
      <c r="JAD69" s="684"/>
      <c r="JAE69" s="684"/>
      <c r="JAF69" s="684"/>
      <c r="JAG69" s="684"/>
      <c r="JAH69" s="684"/>
      <c r="JAI69" s="684"/>
      <c r="JAJ69" s="684"/>
      <c r="JAK69" s="684"/>
      <c r="JAL69" s="684"/>
      <c r="JAM69" s="684"/>
      <c r="JAN69" s="684"/>
      <c r="JAO69" s="684"/>
      <c r="JAP69" s="684"/>
      <c r="JAQ69" s="684"/>
      <c r="JAR69" s="684"/>
      <c r="JAS69" s="684"/>
      <c r="JAT69" s="684"/>
      <c r="JAU69" s="684"/>
      <c r="JAV69" s="684"/>
      <c r="JAW69" s="684"/>
      <c r="JAX69" s="684"/>
      <c r="JAY69" s="684"/>
      <c r="JAZ69" s="684"/>
      <c r="JBA69" s="684"/>
      <c r="JBB69" s="684"/>
      <c r="JBC69" s="684"/>
      <c r="JBD69" s="684"/>
      <c r="JBE69" s="684"/>
      <c r="JBF69" s="684"/>
      <c r="JBG69" s="684"/>
      <c r="JBH69" s="684"/>
      <c r="JBI69" s="684"/>
      <c r="JBJ69" s="684"/>
      <c r="JBK69" s="684"/>
      <c r="JBL69" s="684"/>
      <c r="JBM69" s="684"/>
      <c r="JBN69" s="684"/>
      <c r="JBO69" s="684"/>
      <c r="JBP69" s="684"/>
      <c r="JBQ69" s="684"/>
      <c r="JBR69" s="684"/>
      <c r="JBS69" s="684"/>
      <c r="JBT69" s="684"/>
      <c r="JBU69" s="684"/>
      <c r="JBV69" s="684"/>
      <c r="JBW69" s="684"/>
      <c r="JBX69" s="684"/>
      <c r="JBY69" s="684"/>
      <c r="JBZ69" s="684"/>
      <c r="JCA69" s="684"/>
      <c r="JCB69" s="684"/>
      <c r="JCC69" s="684"/>
      <c r="JCD69" s="684"/>
      <c r="JCE69" s="684"/>
      <c r="JCF69" s="684"/>
      <c r="JCG69" s="684"/>
      <c r="JCH69" s="684"/>
      <c r="JCI69" s="684"/>
      <c r="JCJ69" s="684"/>
      <c r="JCK69" s="684"/>
      <c r="JCL69" s="684"/>
      <c r="JCM69" s="684"/>
      <c r="JCN69" s="684"/>
      <c r="JCO69" s="684"/>
      <c r="JCP69" s="684"/>
      <c r="JCQ69" s="684"/>
      <c r="JCR69" s="684"/>
      <c r="JCS69" s="684"/>
      <c r="JCT69" s="684"/>
      <c r="JCU69" s="684"/>
      <c r="JCV69" s="684"/>
      <c r="JCW69" s="684"/>
      <c r="JCX69" s="684"/>
      <c r="JCY69" s="684"/>
      <c r="JCZ69" s="684"/>
      <c r="JDA69" s="684"/>
      <c r="JDB69" s="684"/>
      <c r="JDC69" s="684"/>
      <c r="JDD69" s="684"/>
      <c r="JDE69" s="684"/>
      <c r="JDF69" s="684"/>
      <c r="JDG69" s="684"/>
      <c r="JDH69" s="684"/>
      <c r="JDI69" s="684"/>
      <c r="JDJ69" s="684"/>
      <c r="JDK69" s="684"/>
      <c r="JDL69" s="684"/>
      <c r="JDM69" s="684"/>
      <c r="JDN69" s="684"/>
      <c r="JDO69" s="684"/>
      <c r="JDP69" s="684"/>
      <c r="JDQ69" s="684"/>
      <c r="JDR69" s="684"/>
      <c r="JDS69" s="684"/>
      <c r="JDT69" s="684"/>
      <c r="JDU69" s="684"/>
      <c r="JDV69" s="684"/>
      <c r="JDW69" s="684"/>
      <c r="JDX69" s="684"/>
      <c r="JDY69" s="684"/>
      <c r="JDZ69" s="684"/>
      <c r="JEA69" s="684"/>
      <c r="JEB69" s="684"/>
      <c r="JEC69" s="684"/>
      <c r="JED69" s="684"/>
      <c r="JEE69" s="684"/>
      <c r="JEF69" s="684"/>
      <c r="JEG69" s="684"/>
      <c r="JEH69" s="684"/>
      <c r="JEI69" s="684"/>
      <c r="JEJ69" s="684"/>
      <c r="JEK69" s="684"/>
      <c r="JEL69" s="684"/>
      <c r="JEM69" s="684"/>
      <c r="JEN69" s="684"/>
      <c r="JEO69" s="684"/>
      <c r="JEP69" s="684"/>
      <c r="JEQ69" s="684"/>
      <c r="JER69" s="684"/>
      <c r="JES69" s="684"/>
      <c r="JET69" s="684"/>
      <c r="JEU69" s="684"/>
      <c r="JEV69" s="684"/>
      <c r="JEW69" s="684"/>
      <c r="JEX69" s="684"/>
      <c r="JEY69" s="684"/>
      <c r="JEZ69" s="684"/>
      <c r="JFA69" s="684"/>
      <c r="JFB69" s="684"/>
      <c r="JFC69" s="684"/>
      <c r="JFD69" s="684"/>
      <c r="JFE69" s="684"/>
      <c r="JFF69" s="684"/>
      <c r="JFG69" s="684"/>
      <c r="JFH69" s="684"/>
      <c r="JFI69" s="684"/>
      <c r="JFJ69" s="684"/>
      <c r="JFK69" s="684"/>
      <c r="JFL69" s="684"/>
      <c r="JFM69" s="684"/>
      <c r="JFN69" s="684"/>
      <c r="JFO69" s="684"/>
      <c r="JFP69" s="684"/>
      <c r="JFQ69" s="684"/>
      <c r="JFR69" s="684"/>
      <c r="JFS69" s="684"/>
      <c r="JFT69" s="684"/>
      <c r="JFU69" s="684"/>
      <c r="JFV69" s="684"/>
      <c r="JFW69" s="684"/>
      <c r="JFX69" s="684"/>
      <c r="JFY69" s="684"/>
      <c r="JFZ69" s="684"/>
      <c r="JGA69" s="684"/>
      <c r="JGB69" s="684"/>
      <c r="JGC69" s="684"/>
      <c r="JGD69" s="684"/>
      <c r="JGE69" s="684"/>
      <c r="JGF69" s="684"/>
      <c r="JGG69" s="684"/>
      <c r="JGH69" s="684"/>
      <c r="JGI69" s="684"/>
      <c r="JGJ69" s="684"/>
      <c r="JGK69" s="684"/>
      <c r="JGL69" s="684"/>
      <c r="JGM69" s="684"/>
      <c r="JGN69" s="684"/>
      <c r="JGO69" s="684"/>
      <c r="JGP69" s="684"/>
      <c r="JGQ69" s="684"/>
      <c r="JGR69" s="684"/>
      <c r="JGS69" s="684"/>
      <c r="JGT69" s="684"/>
      <c r="JGU69" s="684"/>
      <c r="JGV69" s="684"/>
      <c r="JGW69" s="684"/>
      <c r="JGX69" s="684"/>
      <c r="JGY69" s="684"/>
      <c r="JGZ69" s="684"/>
      <c r="JHA69" s="684"/>
      <c r="JHB69" s="684"/>
      <c r="JHC69" s="684"/>
      <c r="JHD69" s="684"/>
      <c r="JHE69" s="684"/>
      <c r="JHF69" s="684"/>
      <c r="JHG69" s="684"/>
      <c r="JHH69" s="684"/>
      <c r="JHI69" s="684"/>
      <c r="JHJ69" s="684"/>
      <c r="JHK69" s="684"/>
      <c r="JHL69" s="684"/>
      <c r="JHM69" s="684"/>
      <c r="JHN69" s="684"/>
      <c r="JHO69" s="684"/>
      <c r="JHP69" s="684"/>
      <c r="JHQ69" s="684"/>
      <c r="JHR69" s="684"/>
      <c r="JHS69" s="684"/>
      <c r="JHT69" s="684"/>
      <c r="JHU69" s="684"/>
      <c r="JHV69" s="684"/>
      <c r="JHW69" s="684"/>
      <c r="JHX69" s="684"/>
      <c r="JHY69" s="684"/>
      <c r="JHZ69" s="684"/>
      <c r="JIA69" s="684"/>
      <c r="JIB69" s="684"/>
      <c r="JIC69" s="684"/>
      <c r="JID69" s="684"/>
      <c r="JIE69" s="684"/>
      <c r="JIF69" s="684"/>
      <c r="JIG69" s="684"/>
      <c r="JIH69" s="684"/>
      <c r="JII69" s="684"/>
      <c r="JIJ69" s="684"/>
      <c r="JIK69" s="684"/>
      <c r="JIL69" s="684"/>
      <c r="JIM69" s="684"/>
      <c r="JIN69" s="684"/>
      <c r="JIO69" s="684"/>
      <c r="JIP69" s="684"/>
      <c r="JIQ69" s="684"/>
      <c r="JIR69" s="684"/>
      <c r="JIS69" s="684"/>
      <c r="JIT69" s="684"/>
      <c r="JIU69" s="684"/>
      <c r="JIV69" s="684"/>
      <c r="JIW69" s="684"/>
      <c r="JIX69" s="684"/>
      <c r="JIY69" s="684"/>
      <c r="JIZ69" s="684"/>
      <c r="JJA69" s="684"/>
      <c r="JJB69" s="684"/>
      <c r="JJC69" s="684"/>
      <c r="JJD69" s="684"/>
      <c r="JJE69" s="684"/>
      <c r="JJF69" s="684"/>
      <c r="JJG69" s="684"/>
      <c r="JJH69" s="684"/>
      <c r="JJI69" s="684"/>
      <c r="JJJ69" s="684"/>
      <c r="JJK69" s="684"/>
      <c r="JJL69" s="684"/>
      <c r="JJM69" s="684"/>
      <c r="JJN69" s="684"/>
      <c r="JJO69" s="684"/>
      <c r="JJP69" s="684"/>
      <c r="JJQ69" s="684"/>
      <c r="JJR69" s="684"/>
      <c r="JJS69" s="684"/>
      <c r="JJT69" s="684"/>
      <c r="JJU69" s="684"/>
      <c r="JJV69" s="684"/>
      <c r="JJW69" s="684"/>
      <c r="JJX69" s="684"/>
      <c r="JJY69" s="684"/>
      <c r="JJZ69" s="684"/>
      <c r="JKA69" s="684"/>
      <c r="JKB69" s="684"/>
      <c r="JKC69" s="684"/>
      <c r="JKD69" s="684"/>
      <c r="JKE69" s="684"/>
      <c r="JKF69" s="684"/>
      <c r="JKG69" s="684"/>
      <c r="JKH69" s="684"/>
      <c r="JKI69" s="684"/>
      <c r="JKJ69" s="684"/>
      <c r="JKK69" s="684"/>
      <c r="JKL69" s="684"/>
      <c r="JKM69" s="684"/>
      <c r="JKN69" s="684"/>
      <c r="JKO69" s="684"/>
      <c r="JKP69" s="684"/>
      <c r="JKQ69" s="684"/>
      <c r="JKR69" s="684"/>
      <c r="JKS69" s="684"/>
      <c r="JKT69" s="684"/>
      <c r="JKU69" s="684"/>
      <c r="JKV69" s="684"/>
      <c r="JKW69" s="684"/>
      <c r="JKX69" s="684"/>
      <c r="JKY69" s="684"/>
      <c r="JKZ69" s="684"/>
      <c r="JLA69" s="684"/>
      <c r="JLB69" s="684"/>
      <c r="JLC69" s="684"/>
      <c r="JLD69" s="684"/>
      <c r="JLE69" s="684"/>
      <c r="JLF69" s="684"/>
      <c r="JLG69" s="684"/>
      <c r="JLH69" s="684"/>
      <c r="JLI69" s="684"/>
      <c r="JLJ69" s="684"/>
      <c r="JLK69" s="684"/>
      <c r="JLL69" s="684"/>
      <c r="JLM69" s="684"/>
      <c r="JLN69" s="684"/>
      <c r="JLO69" s="684"/>
      <c r="JLP69" s="684"/>
      <c r="JLQ69" s="684"/>
      <c r="JLR69" s="684"/>
      <c r="JLS69" s="684"/>
      <c r="JLT69" s="684"/>
      <c r="JLU69" s="684"/>
      <c r="JLV69" s="684"/>
      <c r="JLW69" s="684"/>
      <c r="JLX69" s="684"/>
      <c r="JLY69" s="684"/>
      <c r="JLZ69" s="684"/>
      <c r="JMA69" s="684"/>
      <c r="JMB69" s="684"/>
      <c r="JMC69" s="684"/>
      <c r="JMD69" s="684"/>
      <c r="JME69" s="684"/>
      <c r="JMF69" s="684"/>
      <c r="JMG69" s="684"/>
      <c r="JMH69" s="684"/>
      <c r="JMI69" s="684"/>
      <c r="JMJ69" s="684"/>
      <c r="JMK69" s="684"/>
      <c r="JML69" s="684"/>
      <c r="JMM69" s="684"/>
      <c r="JMN69" s="684"/>
      <c r="JMO69" s="684"/>
      <c r="JMP69" s="684"/>
      <c r="JMQ69" s="684"/>
      <c r="JMR69" s="684"/>
      <c r="JMS69" s="684"/>
      <c r="JMT69" s="684"/>
      <c r="JMU69" s="684"/>
      <c r="JMV69" s="684"/>
      <c r="JMW69" s="684"/>
      <c r="JMX69" s="684"/>
      <c r="JMY69" s="684"/>
      <c r="JMZ69" s="684"/>
      <c r="JNA69" s="684"/>
      <c r="JNB69" s="684"/>
      <c r="JNC69" s="684"/>
      <c r="JND69" s="684"/>
      <c r="JNE69" s="684"/>
      <c r="JNF69" s="684"/>
      <c r="JNG69" s="684"/>
      <c r="JNH69" s="684"/>
      <c r="JNI69" s="684"/>
      <c r="JNJ69" s="684"/>
      <c r="JNK69" s="684"/>
      <c r="JNL69" s="684"/>
      <c r="JNM69" s="684"/>
      <c r="JNN69" s="684"/>
      <c r="JNO69" s="684"/>
      <c r="JNP69" s="684"/>
      <c r="JNQ69" s="684"/>
      <c r="JNR69" s="684"/>
      <c r="JNS69" s="684"/>
      <c r="JNT69" s="684"/>
      <c r="JNU69" s="684"/>
      <c r="JNV69" s="684"/>
      <c r="JNW69" s="684"/>
      <c r="JNX69" s="684"/>
      <c r="JNY69" s="684"/>
      <c r="JNZ69" s="684"/>
      <c r="JOA69" s="684"/>
      <c r="JOB69" s="684"/>
      <c r="JOC69" s="684"/>
      <c r="JOD69" s="684"/>
      <c r="JOE69" s="684"/>
      <c r="JOF69" s="684"/>
      <c r="JOG69" s="684"/>
      <c r="JOH69" s="684"/>
      <c r="JOI69" s="684"/>
      <c r="JOJ69" s="684"/>
      <c r="JOK69" s="684"/>
      <c r="JOL69" s="684"/>
      <c r="JOM69" s="684"/>
      <c r="JON69" s="684"/>
      <c r="JOO69" s="684"/>
      <c r="JOP69" s="684"/>
      <c r="JOQ69" s="684"/>
      <c r="JOR69" s="684"/>
      <c r="JOS69" s="684"/>
      <c r="JOT69" s="684"/>
      <c r="JOU69" s="684"/>
      <c r="JOV69" s="684"/>
      <c r="JOW69" s="684"/>
      <c r="JOX69" s="684"/>
      <c r="JOY69" s="684"/>
      <c r="JOZ69" s="684"/>
      <c r="JPA69" s="684"/>
      <c r="JPB69" s="684"/>
      <c r="JPC69" s="684"/>
      <c r="JPD69" s="684"/>
      <c r="JPE69" s="684"/>
      <c r="JPF69" s="684"/>
      <c r="JPG69" s="684"/>
      <c r="JPH69" s="684"/>
      <c r="JPI69" s="684"/>
      <c r="JPJ69" s="684"/>
      <c r="JPK69" s="684"/>
      <c r="JPL69" s="684"/>
      <c r="JPM69" s="684"/>
      <c r="JPN69" s="684"/>
      <c r="JPO69" s="684"/>
      <c r="JPP69" s="684"/>
      <c r="JPQ69" s="684"/>
      <c r="JPR69" s="684"/>
      <c r="JPS69" s="684"/>
      <c r="JPT69" s="684"/>
      <c r="JPU69" s="684"/>
      <c r="JPV69" s="684"/>
      <c r="JPW69" s="684"/>
      <c r="JPX69" s="684"/>
      <c r="JPY69" s="684"/>
      <c r="JPZ69" s="684"/>
      <c r="JQA69" s="684"/>
      <c r="JQB69" s="684"/>
      <c r="JQC69" s="684"/>
      <c r="JQD69" s="684"/>
      <c r="JQE69" s="684"/>
      <c r="JQF69" s="684"/>
      <c r="JQG69" s="684"/>
      <c r="JQH69" s="684"/>
      <c r="JQI69" s="684"/>
      <c r="JQJ69" s="684"/>
      <c r="JQK69" s="684"/>
      <c r="JQL69" s="684"/>
      <c r="JQM69" s="684"/>
      <c r="JQN69" s="684"/>
      <c r="JQO69" s="684"/>
      <c r="JQP69" s="684"/>
      <c r="JQQ69" s="684"/>
      <c r="JQR69" s="684"/>
      <c r="JQS69" s="684"/>
      <c r="JQT69" s="684"/>
      <c r="JQU69" s="684"/>
      <c r="JQV69" s="684"/>
      <c r="JQW69" s="684"/>
      <c r="JQX69" s="684"/>
      <c r="JQY69" s="684"/>
      <c r="JQZ69" s="684"/>
      <c r="JRA69" s="684"/>
      <c r="JRB69" s="684"/>
      <c r="JRC69" s="684"/>
      <c r="JRD69" s="684"/>
      <c r="JRE69" s="684"/>
      <c r="JRF69" s="684"/>
      <c r="JRG69" s="684"/>
      <c r="JRH69" s="684"/>
      <c r="JRI69" s="684"/>
      <c r="JRJ69" s="684"/>
      <c r="JRK69" s="684"/>
      <c r="JRL69" s="684"/>
      <c r="JRM69" s="684"/>
      <c r="JRN69" s="684"/>
      <c r="JRO69" s="684"/>
      <c r="JRP69" s="684"/>
      <c r="JRQ69" s="684"/>
      <c r="JRR69" s="684"/>
      <c r="JRS69" s="684"/>
      <c r="JRT69" s="684"/>
      <c r="JRU69" s="684"/>
      <c r="JRV69" s="684"/>
      <c r="JRW69" s="684"/>
      <c r="JRX69" s="684"/>
      <c r="JRY69" s="684"/>
      <c r="JRZ69" s="684"/>
      <c r="JSA69" s="684"/>
      <c r="JSB69" s="684"/>
      <c r="JSC69" s="684"/>
      <c r="JSD69" s="684"/>
      <c r="JSE69" s="684"/>
      <c r="JSF69" s="684"/>
      <c r="JSG69" s="684"/>
      <c r="JSH69" s="684"/>
      <c r="JSI69" s="684"/>
      <c r="JSJ69" s="684"/>
      <c r="JSK69" s="684"/>
      <c r="JSL69" s="684"/>
      <c r="JSM69" s="684"/>
      <c r="JSN69" s="684"/>
      <c r="JSO69" s="684"/>
      <c r="JSP69" s="684"/>
      <c r="JSQ69" s="684"/>
      <c r="JSR69" s="684"/>
      <c r="JSS69" s="684"/>
      <c r="JST69" s="684"/>
      <c r="JSU69" s="684"/>
      <c r="JSV69" s="684"/>
      <c r="JSW69" s="684"/>
      <c r="JSX69" s="684"/>
      <c r="JSY69" s="684"/>
      <c r="JSZ69" s="684"/>
      <c r="JTA69" s="684"/>
      <c r="JTB69" s="684"/>
      <c r="JTC69" s="684"/>
      <c r="JTD69" s="684"/>
      <c r="JTE69" s="684"/>
      <c r="JTF69" s="684"/>
      <c r="JTG69" s="684"/>
      <c r="JTH69" s="684"/>
      <c r="JTI69" s="684"/>
      <c r="JTJ69" s="684"/>
      <c r="JTK69" s="684"/>
      <c r="JTL69" s="684"/>
      <c r="JTM69" s="684"/>
      <c r="JTN69" s="684"/>
      <c r="JTO69" s="684"/>
      <c r="JTP69" s="684"/>
      <c r="JTQ69" s="684"/>
      <c r="JTR69" s="684"/>
      <c r="JTS69" s="684"/>
      <c r="JTT69" s="684"/>
      <c r="JTU69" s="684"/>
      <c r="JTV69" s="684"/>
      <c r="JTW69" s="684"/>
      <c r="JTX69" s="684"/>
      <c r="JTY69" s="684"/>
      <c r="JTZ69" s="684"/>
      <c r="JUA69" s="684"/>
      <c r="JUB69" s="684"/>
      <c r="JUC69" s="684"/>
      <c r="JUD69" s="684"/>
      <c r="JUE69" s="684"/>
      <c r="JUF69" s="684"/>
      <c r="JUG69" s="684"/>
      <c r="JUH69" s="684"/>
      <c r="JUI69" s="684"/>
      <c r="JUJ69" s="684"/>
      <c r="JUK69" s="684"/>
      <c r="JUL69" s="684"/>
      <c r="JUM69" s="684"/>
      <c r="JUN69" s="684"/>
      <c r="JUO69" s="684"/>
      <c r="JUP69" s="684"/>
      <c r="JUQ69" s="684"/>
      <c r="JUR69" s="684"/>
      <c r="JUS69" s="684"/>
      <c r="JUT69" s="684"/>
      <c r="JUU69" s="684"/>
      <c r="JUV69" s="684"/>
      <c r="JUW69" s="684"/>
      <c r="JUX69" s="684"/>
      <c r="JUY69" s="684"/>
      <c r="JUZ69" s="684"/>
      <c r="JVA69" s="684"/>
      <c r="JVB69" s="684"/>
      <c r="JVC69" s="684"/>
      <c r="JVD69" s="684"/>
      <c r="JVE69" s="684"/>
      <c r="JVF69" s="684"/>
      <c r="JVG69" s="684"/>
      <c r="JVH69" s="684"/>
      <c r="JVI69" s="684"/>
      <c r="JVJ69" s="684"/>
      <c r="JVK69" s="684"/>
      <c r="JVL69" s="684"/>
      <c r="JVM69" s="684"/>
      <c r="JVN69" s="684"/>
      <c r="JVO69" s="684"/>
      <c r="JVP69" s="684"/>
      <c r="JVQ69" s="684"/>
      <c r="JVR69" s="684"/>
      <c r="JVS69" s="684"/>
      <c r="JVT69" s="684"/>
      <c r="JVU69" s="684"/>
      <c r="JVV69" s="684"/>
      <c r="JVW69" s="684"/>
      <c r="JVX69" s="684"/>
      <c r="JVY69" s="684"/>
      <c r="JVZ69" s="684"/>
      <c r="JWA69" s="684"/>
      <c r="JWB69" s="684"/>
      <c r="JWC69" s="684"/>
      <c r="JWD69" s="684"/>
      <c r="JWE69" s="684"/>
      <c r="JWF69" s="684"/>
      <c r="JWG69" s="684"/>
      <c r="JWH69" s="684"/>
      <c r="JWI69" s="684"/>
      <c r="JWJ69" s="684"/>
      <c r="JWK69" s="684"/>
      <c r="JWL69" s="684"/>
      <c r="JWM69" s="684"/>
      <c r="JWN69" s="684"/>
      <c r="JWO69" s="684"/>
      <c r="JWP69" s="684"/>
      <c r="JWQ69" s="684"/>
      <c r="JWR69" s="684"/>
      <c r="JWS69" s="684"/>
      <c r="JWT69" s="684"/>
      <c r="JWU69" s="684"/>
      <c r="JWV69" s="684"/>
      <c r="JWW69" s="684"/>
      <c r="JWX69" s="684"/>
      <c r="JWY69" s="684"/>
      <c r="JWZ69" s="684"/>
      <c r="JXA69" s="684"/>
      <c r="JXB69" s="684"/>
      <c r="JXC69" s="684"/>
      <c r="JXD69" s="684"/>
      <c r="JXE69" s="684"/>
      <c r="JXF69" s="684"/>
      <c r="JXG69" s="684"/>
      <c r="JXH69" s="684"/>
      <c r="JXI69" s="684"/>
      <c r="JXJ69" s="684"/>
      <c r="JXK69" s="684"/>
      <c r="JXL69" s="684"/>
      <c r="JXM69" s="684"/>
      <c r="JXN69" s="684"/>
      <c r="JXO69" s="684"/>
      <c r="JXP69" s="684"/>
      <c r="JXQ69" s="684"/>
      <c r="JXR69" s="684"/>
      <c r="JXS69" s="684"/>
      <c r="JXT69" s="684"/>
      <c r="JXU69" s="684"/>
      <c r="JXV69" s="684"/>
      <c r="JXW69" s="684"/>
      <c r="JXX69" s="684"/>
      <c r="JXY69" s="684"/>
      <c r="JXZ69" s="684"/>
      <c r="JYA69" s="684"/>
      <c r="JYB69" s="684"/>
      <c r="JYC69" s="684"/>
      <c r="JYD69" s="684"/>
      <c r="JYE69" s="684"/>
      <c r="JYF69" s="684"/>
      <c r="JYG69" s="684"/>
      <c r="JYH69" s="684"/>
      <c r="JYI69" s="684"/>
      <c r="JYJ69" s="684"/>
      <c r="JYK69" s="684"/>
      <c r="JYL69" s="684"/>
      <c r="JYM69" s="684"/>
      <c r="JYN69" s="684"/>
      <c r="JYO69" s="684"/>
      <c r="JYP69" s="684"/>
      <c r="JYQ69" s="684"/>
      <c r="JYR69" s="684"/>
      <c r="JYS69" s="684"/>
      <c r="JYT69" s="684"/>
      <c r="JYU69" s="684"/>
      <c r="JYV69" s="684"/>
      <c r="JYW69" s="684"/>
      <c r="JYX69" s="684"/>
      <c r="JYY69" s="684"/>
      <c r="JYZ69" s="684"/>
      <c r="JZA69" s="684"/>
      <c r="JZB69" s="684"/>
      <c r="JZC69" s="684"/>
      <c r="JZD69" s="684"/>
      <c r="JZE69" s="684"/>
      <c r="JZF69" s="684"/>
      <c r="JZG69" s="684"/>
      <c r="JZH69" s="684"/>
      <c r="JZI69" s="684"/>
      <c r="JZJ69" s="684"/>
      <c r="JZK69" s="684"/>
      <c r="JZL69" s="684"/>
      <c r="JZM69" s="684"/>
      <c r="JZN69" s="684"/>
      <c r="JZO69" s="684"/>
      <c r="JZP69" s="684"/>
      <c r="JZQ69" s="684"/>
      <c r="JZR69" s="684"/>
      <c r="JZS69" s="684"/>
      <c r="JZT69" s="684"/>
      <c r="JZU69" s="684"/>
      <c r="JZV69" s="684"/>
      <c r="JZW69" s="684"/>
      <c r="JZX69" s="684"/>
      <c r="JZY69" s="684"/>
      <c r="JZZ69" s="684"/>
      <c r="KAA69" s="684"/>
      <c r="KAB69" s="684"/>
      <c r="KAC69" s="684"/>
      <c r="KAD69" s="684"/>
      <c r="KAE69" s="684"/>
      <c r="KAF69" s="684"/>
      <c r="KAG69" s="684"/>
      <c r="KAH69" s="684"/>
      <c r="KAI69" s="684"/>
      <c r="KAJ69" s="684"/>
      <c r="KAK69" s="684"/>
      <c r="KAL69" s="684"/>
      <c r="KAM69" s="684"/>
      <c r="KAN69" s="684"/>
      <c r="KAO69" s="684"/>
      <c r="KAP69" s="684"/>
      <c r="KAQ69" s="684"/>
      <c r="KAR69" s="684"/>
      <c r="KAS69" s="684"/>
      <c r="KAT69" s="684"/>
      <c r="KAU69" s="684"/>
      <c r="KAV69" s="684"/>
      <c r="KAW69" s="684"/>
      <c r="KAX69" s="684"/>
      <c r="KAY69" s="684"/>
      <c r="KAZ69" s="684"/>
      <c r="KBA69" s="684"/>
      <c r="KBB69" s="684"/>
      <c r="KBC69" s="684"/>
      <c r="KBD69" s="684"/>
      <c r="KBE69" s="684"/>
      <c r="KBF69" s="684"/>
      <c r="KBG69" s="684"/>
      <c r="KBH69" s="684"/>
      <c r="KBI69" s="684"/>
      <c r="KBJ69" s="684"/>
      <c r="KBK69" s="684"/>
      <c r="KBL69" s="684"/>
      <c r="KBM69" s="684"/>
      <c r="KBN69" s="684"/>
      <c r="KBO69" s="684"/>
      <c r="KBP69" s="684"/>
      <c r="KBQ69" s="684"/>
      <c r="KBR69" s="684"/>
      <c r="KBS69" s="684"/>
      <c r="KBT69" s="684"/>
      <c r="KBU69" s="684"/>
      <c r="KBV69" s="684"/>
      <c r="KBW69" s="684"/>
      <c r="KBX69" s="684"/>
      <c r="KBY69" s="684"/>
      <c r="KBZ69" s="684"/>
      <c r="KCA69" s="684"/>
      <c r="KCB69" s="684"/>
      <c r="KCC69" s="684"/>
      <c r="KCD69" s="684"/>
      <c r="KCE69" s="684"/>
      <c r="KCF69" s="684"/>
      <c r="KCG69" s="684"/>
      <c r="KCH69" s="684"/>
      <c r="KCI69" s="684"/>
      <c r="KCJ69" s="684"/>
      <c r="KCK69" s="684"/>
      <c r="KCL69" s="684"/>
      <c r="KCM69" s="684"/>
      <c r="KCN69" s="684"/>
      <c r="KCO69" s="684"/>
      <c r="KCP69" s="684"/>
      <c r="KCQ69" s="684"/>
      <c r="KCR69" s="684"/>
      <c r="KCS69" s="684"/>
      <c r="KCT69" s="684"/>
      <c r="KCU69" s="684"/>
      <c r="KCV69" s="684"/>
      <c r="KCW69" s="684"/>
      <c r="KCX69" s="684"/>
      <c r="KCY69" s="684"/>
      <c r="KCZ69" s="684"/>
      <c r="KDA69" s="684"/>
      <c r="KDB69" s="684"/>
      <c r="KDC69" s="684"/>
      <c r="KDD69" s="684"/>
      <c r="KDE69" s="684"/>
      <c r="KDF69" s="684"/>
      <c r="KDG69" s="684"/>
      <c r="KDH69" s="684"/>
      <c r="KDI69" s="684"/>
      <c r="KDJ69" s="684"/>
      <c r="KDK69" s="684"/>
      <c r="KDL69" s="684"/>
      <c r="KDM69" s="684"/>
      <c r="KDN69" s="684"/>
      <c r="KDO69" s="684"/>
      <c r="KDP69" s="684"/>
      <c r="KDQ69" s="684"/>
      <c r="KDR69" s="684"/>
      <c r="KDS69" s="684"/>
      <c r="KDT69" s="684"/>
      <c r="KDU69" s="684"/>
      <c r="KDV69" s="684"/>
      <c r="KDW69" s="684"/>
      <c r="KDX69" s="684"/>
      <c r="KDY69" s="684"/>
      <c r="KDZ69" s="684"/>
      <c r="KEA69" s="684"/>
      <c r="KEB69" s="684"/>
      <c r="KEC69" s="684"/>
      <c r="KED69" s="684"/>
      <c r="KEE69" s="684"/>
      <c r="KEF69" s="684"/>
      <c r="KEG69" s="684"/>
      <c r="KEH69" s="684"/>
      <c r="KEI69" s="684"/>
      <c r="KEJ69" s="684"/>
      <c r="KEK69" s="684"/>
      <c r="KEL69" s="684"/>
      <c r="KEM69" s="684"/>
      <c r="KEN69" s="684"/>
      <c r="KEO69" s="684"/>
      <c r="KEP69" s="684"/>
      <c r="KEQ69" s="684"/>
      <c r="KER69" s="684"/>
      <c r="KES69" s="684"/>
      <c r="KET69" s="684"/>
      <c r="KEU69" s="684"/>
      <c r="KEV69" s="684"/>
      <c r="KEW69" s="684"/>
      <c r="KEX69" s="684"/>
      <c r="KEY69" s="684"/>
      <c r="KEZ69" s="684"/>
      <c r="KFA69" s="684"/>
      <c r="KFB69" s="684"/>
      <c r="KFC69" s="684"/>
      <c r="KFD69" s="684"/>
      <c r="KFE69" s="684"/>
      <c r="KFF69" s="684"/>
      <c r="KFG69" s="684"/>
      <c r="KFH69" s="684"/>
      <c r="KFI69" s="684"/>
      <c r="KFJ69" s="684"/>
      <c r="KFK69" s="684"/>
      <c r="KFL69" s="684"/>
      <c r="KFM69" s="684"/>
      <c r="KFN69" s="684"/>
      <c r="KFO69" s="684"/>
      <c r="KFP69" s="684"/>
      <c r="KFQ69" s="684"/>
      <c r="KFR69" s="684"/>
      <c r="KFS69" s="684"/>
      <c r="KFT69" s="684"/>
      <c r="KFU69" s="684"/>
      <c r="KFV69" s="684"/>
      <c r="KFW69" s="684"/>
      <c r="KFX69" s="684"/>
      <c r="KFY69" s="684"/>
      <c r="KFZ69" s="684"/>
      <c r="KGA69" s="684"/>
      <c r="KGB69" s="684"/>
      <c r="KGC69" s="684"/>
      <c r="KGD69" s="684"/>
      <c r="KGE69" s="684"/>
      <c r="KGF69" s="684"/>
      <c r="KGG69" s="684"/>
      <c r="KGH69" s="684"/>
      <c r="KGI69" s="684"/>
      <c r="KGJ69" s="684"/>
      <c r="KGK69" s="684"/>
      <c r="KGL69" s="684"/>
      <c r="KGM69" s="684"/>
      <c r="KGN69" s="684"/>
      <c r="KGO69" s="684"/>
      <c r="KGP69" s="684"/>
      <c r="KGQ69" s="684"/>
      <c r="KGR69" s="684"/>
      <c r="KGS69" s="684"/>
      <c r="KGT69" s="684"/>
      <c r="KGU69" s="684"/>
      <c r="KGV69" s="684"/>
      <c r="KGW69" s="684"/>
      <c r="KGX69" s="684"/>
      <c r="KGY69" s="684"/>
      <c r="KGZ69" s="684"/>
      <c r="KHA69" s="684"/>
      <c r="KHB69" s="684"/>
      <c r="KHC69" s="684"/>
      <c r="KHD69" s="684"/>
      <c r="KHE69" s="684"/>
      <c r="KHF69" s="684"/>
      <c r="KHG69" s="684"/>
      <c r="KHH69" s="684"/>
      <c r="KHI69" s="684"/>
      <c r="KHJ69" s="684"/>
      <c r="KHK69" s="684"/>
      <c r="KHL69" s="684"/>
      <c r="KHM69" s="684"/>
      <c r="KHN69" s="684"/>
      <c r="KHO69" s="684"/>
      <c r="KHP69" s="684"/>
      <c r="KHQ69" s="684"/>
      <c r="KHR69" s="684"/>
      <c r="KHS69" s="684"/>
      <c r="KHT69" s="684"/>
      <c r="KHU69" s="684"/>
      <c r="KHV69" s="684"/>
      <c r="KHW69" s="684"/>
      <c r="KHX69" s="684"/>
      <c r="KHY69" s="684"/>
      <c r="KHZ69" s="684"/>
      <c r="KIA69" s="684"/>
      <c r="KIB69" s="684"/>
      <c r="KIC69" s="684"/>
      <c r="KID69" s="684"/>
      <c r="KIE69" s="684"/>
      <c r="KIF69" s="684"/>
      <c r="KIG69" s="684"/>
      <c r="KIH69" s="684"/>
      <c r="KII69" s="684"/>
      <c r="KIJ69" s="684"/>
      <c r="KIK69" s="684"/>
      <c r="KIL69" s="684"/>
      <c r="KIM69" s="684"/>
      <c r="KIN69" s="684"/>
      <c r="KIO69" s="684"/>
      <c r="KIP69" s="684"/>
      <c r="KIQ69" s="684"/>
      <c r="KIR69" s="684"/>
      <c r="KIS69" s="684"/>
      <c r="KIT69" s="684"/>
      <c r="KIU69" s="684"/>
      <c r="KIV69" s="684"/>
      <c r="KIW69" s="684"/>
      <c r="KIX69" s="684"/>
      <c r="KIY69" s="684"/>
      <c r="KIZ69" s="684"/>
      <c r="KJA69" s="684"/>
      <c r="KJB69" s="684"/>
      <c r="KJC69" s="684"/>
      <c r="KJD69" s="684"/>
      <c r="KJE69" s="684"/>
      <c r="KJF69" s="684"/>
      <c r="KJG69" s="684"/>
      <c r="KJH69" s="684"/>
      <c r="KJI69" s="684"/>
      <c r="KJJ69" s="684"/>
      <c r="KJK69" s="684"/>
      <c r="KJL69" s="684"/>
      <c r="KJM69" s="684"/>
      <c r="KJN69" s="684"/>
      <c r="KJO69" s="684"/>
      <c r="KJP69" s="684"/>
      <c r="KJQ69" s="684"/>
      <c r="KJR69" s="684"/>
      <c r="KJS69" s="684"/>
      <c r="KJT69" s="684"/>
      <c r="KJU69" s="684"/>
      <c r="KJV69" s="684"/>
      <c r="KJW69" s="684"/>
      <c r="KJX69" s="684"/>
      <c r="KJY69" s="684"/>
      <c r="KJZ69" s="684"/>
      <c r="KKA69" s="684"/>
      <c r="KKB69" s="684"/>
      <c r="KKC69" s="684"/>
      <c r="KKD69" s="684"/>
      <c r="KKE69" s="684"/>
      <c r="KKF69" s="684"/>
      <c r="KKG69" s="684"/>
      <c r="KKH69" s="684"/>
      <c r="KKI69" s="684"/>
      <c r="KKJ69" s="684"/>
      <c r="KKK69" s="684"/>
      <c r="KKL69" s="684"/>
      <c r="KKM69" s="684"/>
      <c r="KKN69" s="684"/>
      <c r="KKO69" s="684"/>
      <c r="KKP69" s="684"/>
      <c r="KKQ69" s="684"/>
      <c r="KKR69" s="684"/>
      <c r="KKS69" s="684"/>
      <c r="KKT69" s="684"/>
      <c r="KKU69" s="684"/>
      <c r="KKV69" s="684"/>
      <c r="KKW69" s="684"/>
      <c r="KKX69" s="684"/>
      <c r="KKY69" s="684"/>
      <c r="KKZ69" s="684"/>
      <c r="KLA69" s="684"/>
      <c r="KLB69" s="684"/>
      <c r="KLC69" s="684"/>
      <c r="KLD69" s="684"/>
      <c r="KLE69" s="684"/>
      <c r="KLF69" s="684"/>
      <c r="KLG69" s="684"/>
      <c r="KLH69" s="684"/>
      <c r="KLI69" s="684"/>
      <c r="KLJ69" s="684"/>
      <c r="KLK69" s="684"/>
      <c r="KLL69" s="684"/>
      <c r="KLM69" s="684"/>
      <c r="KLN69" s="684"/>
      <c r="KLO69" s="684"/>
      <c r="KLP69" s="684"/>
      <c r="KLQ69" s="684"/>
      <c r="KLR69" s="684"/>
      <c r="KLS69" s="684"/>
      <c r="KLT69" s="684"/>
      <c r="KLU69" s="684"/>
      <c r="KLV69" s="684"/>
      <c r="KLW69" s="684"/>
      <c r="KLX69" s="684"/>
      <c r="KLY69" s="684"/>
      <c r="KLZ69" s="684"/>
      <c r="KMA69" s="684"/>
      <c r="KMB69" s="684"/>
      <c r="KMC69" s="684"/>
      <c r="KMD69" s="684"/>
      <c r="KME69" s="684"/>
      <c r="KMF69" s="684"/>
      <c r="KMG69" s="684"/>
      <c r="KMH69" s="684"/>
      <c r="KMI69" s="684"/>
      <c r="KMJ69" s="684"/>
      <c r="KMK69" s="684"/>
      <c r="KML69" s="684"/>
      <c r="KMM69" s="684"/>
      <c r="KMN69" s="684"/>
      <c r="KMO69" s="684"/>
      <c r="KMP69" s="684"/>
      <c r="KMQ69" s="684"/>
      <c r="KMR69" s="684"/>
      <c r="KMS69" s="684"/>
      <c r="KMT69" s="684"/>
      <c r="KMU69" s="684"/>
      <c r="KMV69" s="684"/>
      <c r="KMW69" s="684"/>
      <c r="KMX69" s="684"/>
      <c r="KMY69" s="684"/>
      <c r="KMZ69" s="684"/>
      <c r="KNA69" s="684"/>
      <c r="KNB69" s="684"/>
      <c r="KNC69" s="684"/>
      <c r="KND69" s="684"/>
      <c r="KNE69" s="684"/>
      <c r="KNF69" s="684"/>
      <c r="KNG69" s="684"/>
      <c r="KNH69" s="684"/>
      <c r="KNI69" s="684"/>
      <c r="KNJ69" s="684"/>
      <c r="KNK69" s="684"/>
      <c r="KNL69" s="684"/>
      <c r="KNM69" s="684"/>
      <c r="KNN69" s="684"/>
      <c r="KNO69" s="684"/>
      <c r="KNP69" s="684"/>
      <c r="KNQ69" s="684"/>
      <c r="KNR69" s="684"/>
      <c r="KNS69" s="684"/>
      <c r="KNT69" s="684"/>
      <c r="KNU69" s="684"/>
      <c r="KNV69" s="684"/>
      <c r="KNW69" s="684"/>
      <c r="KNX69" s="684"/>
      <c r="KNY69" s="684"/>
      <c r="KNZ69" s="684"/>
      <c r="KOA69" s="684"/>
      <c r="KOB69" s="684"/>
      <c r="KOC69" s="684"/>
      <c r="KOD69" s="684"/>
      <c r="KOE69" s="684"/>
      <c r="KOF69" s="684"/>
      <c r="KOG69" s="684"/>
      <c r="KOH69" s="684"/>
      <c r="KOI69" s="684"/>
      <c r="KOJ69" s="684"/>
      <c r="KOK69" s="684"/>
      <c r="KOL69" s="684"/>
      <c r="KOM69" s="684"/>
      <c r="KON69" s="684"/>
      <c r="KOO69" s="684"/>
      <c r="KOP69" s="684"/>
      <c r="KOQ69" s="684"/>
      <c r="KOR69" s="684"/>
      <c r="KOS69" s="684"/>
      <c r="KOT69" s="684"/>
      <c r="KOU69" s="684"/>
      <c r="KOV69" s="684"/>
      <c r="KOW69" s="684"/>
      <c r="KOX69" s="684"/>
      <c r="KOY69" s="684"/>
      <c r="KOZ69" s="684"/>
      <c r="KPA69" s="684"/>
      <c r="KPB69" s="684"/>
      <c r="KPC69" s="684"/>
      <c r="KPD69" s="684"/>
      <c r="KPE69" s="684"/>
      <c r="KPF69" s="684"/>
      <c r="KPG69" s="684"/>
      <c r="KPH69" s="684"/>
      <c r="KPI69" s="684"/>
      <c r="KPJ69" s="684"/>
      <c r="KPK69" s="684"/>
      <c r="KPL69" s="684"/>
      <c r="KPM69" s="684"/>
      <c r="KPN69" s="684"/>
      <c r="KPO69" s="684"/>
      <c r="KPP69" s="684"/>
      <c r="KPQ69" s="684"/>
      <c r="KPR69" s="684"/>
      <c r="KPS69" s="684"/>
      <c r="KPT69" s="684"/>
      <c r="KPU69" s="684"/>
      <c r="KPV69" s="684"/>
      <c r="KPW69" s="684"/>
      <c r="KPX69" s="684"/>
      <c r="KPY69" s="684"/>
      <c r="KPZ69" s="684"/>
      <c r="KQA69" s="684"/>
      <c r="KQB69" s="684"/>
      <c r="KQC69" s="684"/>
      <c r="KQD69" s="684"/>
      <c r="KQE69" s="684"/>
      <c r="KQF69" s="684"/>
      <c r="KQG69" s="684"/>
      <c r="KQH69" s="684"/>
      <c r="KQI69" s="684"/>
      <c r="KQJ69" s="684"/>
      <c r="KQK69" s="684"/>
      <c r="KQL69" s="684"/>
      <c r="KQM69" s="684"/>
      <c r="KQN69" s="684"/>
      <c r="KQO69" s="684"/>
      <c r="KQP69" s="684"/>
      <c r="KQQ69" s="684"/>
      <c r="KQR69" s="684"/>
      <c r="KQS69" s="684"/>
      <c r="KQT69" s="684"/>
      <c r="KQU69" s="684"/>
      <c r="KQV69" s="684"/>
      <c r="KQW69" s="684"/>
      <c r="KQX69" s="684"/>
      <c r="KQY69" s="684"/>
      <c r="KQZ69" s="684"/>
      <c r="KRA69" s="684"/>
      <c r="KRB69" s="684"/>
      <c r="KRC69" s="684"/>
      <c r="KRD69" s="684"/>
      <c r="KRE69" s="684"/>
      <c r="KRF69" s="684"/>
      <c r="KRG69" s="684"/>
      <c r="KRH69" s="684"/>
      <c r="KRI69" s="684"/>
      <c r="KRJ69" s="684"/>
      <c r="KRK69" s="684"/>
      <c r="KRL69" s="684"/>
      <c r="KRM69" s="684"/>
      <c r="KRN69" s="684"/>
      <c r="KRO69" s="684"/>
      <c r="KRP69" s="684"/>
      <c r="KRQ69" s="684"/>
      <c r="KRR69" s="684"/>
      <c r="KRS69" s="684"/>
      <c r="KRT69" s="684"/>
      <c r="KRU69" s="684"/>
      <c r="KRV69" s="684"/>
      <c r="KRW69" s="684"/>
      <c r="KRX69" s="684"/>
      <c r="KRY69" s="684"/>
      <c r="KRZ69" s="684"/>
      <c r="KSA69" s="684"/>
      <c r="KSB69" s="684"/>
      <c r="KSC69" s="684"/>
      <c r="KSD69" s="684"/>
      <c r="KSE69" s="684"/>
      <c r="KSF69" s="684"/>
      <c r="KSG69" s="684"/>
      <c r="KSH69" s="684"/>
      <c r="KSI69" s="684"/>
      <c r="KSJ69" s="684"/>
      <c r="KSK69" s="684"/>
      <c r="KSL69" s="684"/>
      <c r="KSM69" s="684"/>
      <c r="KSN69" s="684"/>
      <c r="KSO69" s="684"/>
      <c r="KSP69" s="684"/>
      <c r="KSQ69" s="684"/>
      <c r="KSR69" s="684"/>
      <c r="KSS69" s="684"/>
      <c r="KST69" s="684"/>
      <c r="KSU69" s="684"/>
      <c r="KSV69" s="684"/>
      <c r="KSW69" s="684"/>
      <c r="KSX69" s="684"/>
      <c r="KSY69" s="684"/>
      <c r="KSZ69" s="684"/>
      <c r="KTA69" s="684"/>
      <c r="KTB69" s="684"/>
      <c r="KTC69" s="684"/>
      <c r="KTD69" s="684"/>
      <c r="KTE69" s="684"/>
      <c r="KTF69" s="684"/>
      <c r="KTG69" s="684"/>
      <c r="KTH69" s="684"/>
      <c r="KTI69" s="684"/>
      <c r="KTJ69" s="684"/>
      <c r="KTK69" s="684"/>
      <c r="KTL69" s="684"/>
      <c r="KTM69" s="684"/>
      <c r="KTN69" s="684"/>
      <c r="KTO69" s="684"/>
      <c r="KTP69" s="684"/>
      <c r="KTQ69" s="684"/>
      <c r="KTR69" s="684"/>
      <c r="KTS69" s="684"/>
      <c r="KTT69" s="684"/>
      <c r="KTU69" s="684"/>
      <c r="KTV69" s="684"/>
      <c r="KTW69" s="684"/>
      <c r="KTX69" s="684"/>
      <c r="KTY69" s="684"/>
      <c r="KTZ69" s="684"/>
      <c r="KUA69" s="684"/>
      <c r="KUB69" s="684"/>
      <c r="KUC69" s="684"/>
      <c r="KUD69" s="684"/>
      <c r="KUE69" s="684"/>
      <c r="KUF69" s="684"/>
      <c r="KUG69" s="684"/>
      <c r="KUH69" s="684"/>
      <c r="KUI69" s="684"/>
      <c r="KUJ69" s="684"/>
      <c r="KUK69" s="684"/>
      <c r="KUL69" s="684"/>
      <c r="KUM69" s="684"/>
      <c r="KUN69" s="684"/>
      <c r="KUO69" s="684"/>
      <c r="KUP69" s="684"/>
      <c r="KUQ69" s="684"/>
      <c r="KUR69" s="684"/>
      <c r="KUS69" s="684"/>
      <c r="KUT69" s="684"/>
      <c r="KUU69" s="684"/>
      <c r="KUV69" s="684"/>
      <c r="KUW69" s="684"/>
      <c r="KUX69" s="684"/>
      <c r="KUY69" s="684"/>
      <c r="KUZ69" s="684"/>
      <c r="KVA69" s="684"/>
      <c r="KVB69" s="684"/>
      <c r="KVC69" s="684"/>
      <c r="KVD69" s="684"/>
      <c r="KVE69" s="684"/>
      <c r="KVF69" s="684"/>
      <c r="KVG69" s="684"/>
      <c r="KVH69" s="684"/>
      <c r="KVI69" s="684"/>
      <c r="KVJ69" s="684"/>
      <c r="KVK69" s="684"/>
      <c r="KVL69" s="684"/>
      <c r="KVM69" s="684"/>
      <c r="KVN69" s="684"/>
      <c r="KVO69" s="684"/>
      <c r="KVP69" s="684"/>
      <c r="KVQ69" s="684"/>
      <c r="KVR69" s="684"/>
      <c r="KVS69" s="684"/>
      <c r="KVT69" s="684"/>
      <c r="KVU69" s="684"/>
      <c r="KVV69" s="684"/>
      <c r="KVW69" s="684"/>
      <c r="KVX69" s="684"/>
      <c r="KVY69" s="684"/>
      <c r="KVZ69" s="684"/>
      <c r="KWA69" s="684"/>
      <c r="KWB69" s="684"/>
      <c r="KWC69" s="684"/>
      <c r="KWD69" s="684"/>
      <c r="KWE69" s="684"/>
      <c r="KWF69" s="684"/>
      <c r="KWG69" s="684"/>
      <c r="KWH69" s="684"/>
      <c r="KWI69" s="684"/>
      <c r="KWJ69" s="684"/>
      <c r="KWK69" s="684"/>
      <c r="KWL69" s="684"/>
      <c r="KWM69" s="684"/>
      <c r="KWN69" s="684"/>
      <c r="KWO69" s="684"/>
      <c r="KWP69" s="684"/>
      <c r="KWQ69" s="684"/>
      <c r="KWR69" s="684"/>
      <c r="KWS69" s="684"/>
      <c r="KWT69" s="684"/>
      <c r="KWU69" s="684"/>
      <c r="KWV69" s="684"/>
      <c r="KWW69" s="684"/>
      <c r="KWX69" s="684"/>
      <c r="KWY69" s="684"/>
      <c r="KWZ69" s="684"/>
      <c r="KXA69" s="684"/>
      <c r="KXB69" s="684"/>
      <c r="KXC69" s="684"/>
      <c r="KXD69" s="684"/>
      <c r="KXE69" s="684"/>
      <c r="KXF69" s="684"/>
      <c r="KXG69" s="684"/>
      <c r="KXH69" s="684"/>
      <c r="KXI69" s="684"/>
      <c r="KXJ69" s="684"/>
      <c r="KXK69" s="684"/>
      <c r="KXL69" s="684"/>
      <c r="KXM69" s="684"/>
      <c r="KXN69" s="684"/>
      <c r="KXO69" s="684"/>
      <c r="KXP69" s="684"/>
      <c r="KXQ69" s="684"/>
      <c r="KXR69" s="684"/>
      <c r="KXS69" s="684"/>
      <c r="KXT69" s="684"/>
      <c r="KXU69" s="684"/>
      <c r="KXV69" s="684"/>
      <c r="KXW69" s="684"/>
      <c r="KXX69" s="684"/>
      <c r="KXY69" s="684"/>
      <c r="KXZ69" s="684"/>
      <c r="KYA69" s="684"/>
      <c r="KYB69" s="684"/>
      <c r="KYC69" s="684"/>
      <c r="KYD69" s="684"/>
      <c r="KYE69" s="684"/>
      <c r="KYF69" s="684"/>
      <c r="KYG69" s="684"/>
      <c r="KYH69" s="684"/>
      <c r="KYI69" s="684"/>
      <c r="KYJ69" s="684"/>
      <c r="KYK69" s="684"/>
      <c r="KYL69" s="684"/>
      <c r="KYM69" s="684"/>
      <c r="KYN69" s="684"/>
      <c r="KYO69" s="684"/>
      <c r="KYP69" s="684"/>
      <c r="KYQ69" s="684"/>
      <c r="KYR69" s="684"/>
      <c r="KYS69" s="684"/>
      <c r="KYT69" s="684"/>
      <c r="KYU69" s="684"/>
      <c r="KYV69" s="684"/>
      <c r="KYW69" s="684"/>
      <c r="KYX69" s="684"/>
      <c r="KYY69" s="684"/>
      <c r="KYZ69" s="684"/>
      <c r="KZA69" s="684"/>
      <c r="KZB69" s="684"/>
      <c r="KZC69" s="684"/>
      <c r="KZD69" s="684"/>
      <c r="KZE69" s="684"/>
      <c r="KZF69" s="684"/>
      <c r="KZG69" s="684"/>
      <c r="KZH69" s="684"/>
      <c r="KZI69" s="684"/>
      <c r="KZJ69" s="684"/>
      <c r="KZK69" s="684"/>
      <c r="KZL69" s="684"/>
      <c r="KZM69" s="684"/>
      <c r="KZN69" s="684"/>
      <c r="KZO69" s="684"/>
      <c r="KZP69" s="684"/>
      <c r="KZQ69" s="684"/>
      <c r="KZR69" s="684"/>
      <c r="KZS69" s="684"/>
      <c r="KZT69" s="684"/>
      <c r="KZU69" s="684"/>
      <c r="KZV69" s="684"/>
      <c r="KZW69" s="684"/>
      <c r="KZX69" s="684"/>
      <c r="KZY69" s="684"/>
      <c r="KZZ69" s="684"/>
      <c r="LAA69" s="684"/>
      <c r="LAB69" s="684"/>
      <c r="LAC69" s="684"/>
      <c r="LAD69" s="684"/>
      <c r="LAE69" s="684"/>
      <c r="LAF69" s="684"/>
      <c r="LAG69" s="684"/>
      <c r="LAH69" s="684"/>
      <c r="LAI69" s="684"/>
      <c r="LAJ69" s="684"/>
      <c r="LAK69" s="684"/>
      <c r="LAL69" s="684"/>
      <c r="LAM69" s="684"/>
      <c r="LAN69" s="684"/>
      <c r="LAO69" s="684"/>
      <c r="LAP69" s="684"/>
      <c r="LAQ69" s="684"/>
      <c r="LAR69" s="684"/>
      <c r="LAS69" s="684"/>
      <c r="LAT69" s="684"/>
      <c r="LAU69" s="684"/>
      <c r="LAV69" s="684"/>
      <c r="LAW69" s="684"/>
      <c r="LAX69" s="684"/>
      <c r="LAY69" s="684"/>
      <c r="LAZ69" s="684"/>
      <c r="LBA69" s="684"/>
      <c r="LBB69" s="684"/>
      <c r="LBC69" s="684"/>
      <c r="LBD69" s="684"/>
      <c r="LBE69" s="684"/>
      <c r="LBF69" s="684"/>
      <c r="LBG69" s="684"/>
      <c r="LBH69" s="684"/>
      <c r="LBI69" s="684"/>
      <c r="LBJ69" s="684"/>
      <c r="LBK69" s="684"/>
      <c r="LBL69" s="684"/>
      <c r="LBM69" s="684"/>
      <c r="LBN69" s="684"/>
      <c r="LBO69" s="684"/>
      <c r="LBP69" s="684"/>
      <c r="LBQ69" s="684"/>
      <c r="LBR69" s="684"/>
      <c r="LBS69" s="684"/>
      <c r="LBT69" s="684"/>
      <c r="LBU69" s="684"/>
      <c r="LBV69" s="684"/>
      <c r="LBW69" s="684"/>
      <c r="LBX69" s="684"/>
      <c r="LBY69" s="684"/>
      <c r="LBZ69" s="684"/>
      <c r="LCA69" s="684"/>
      <c r="LCB69" s="684"/>
      <c r="LCC69" s="684"/>
      <c r="LCD69" s="684"/>
      <c r="LCE69" s="684"/>
      <c r="LCF69" s="684"/>
      <c r="LCG69" s="684"/>
      <c r="LCH69" s="684"/>
      <c r="LCI69" s="684"/>
      <c r="LCJ69" s="684"/>
      <c r="LCK69" s="684"/>
      <c r="LCL69" s="684"/>
      <c r="LCM69" s="684"/>
      <c r="LCN69" s="684"/>
      <c r="LCO69" s="684"/>
      <c r="LCP69" s="684"/>
      <c r="LCQ69" s="684"/>
      <c r="LCR69" s="684"/>
      <c r="LCS69" s="684"/>
      <c r="LCT69" s="684"/>
      <c r="LCU69" s="684"/>
      <c r="LCV69" s="684"/>
      <c r="LCW69" s="684"/>
      <c r="LCX69" s="684"/>
      <c r="LCY69" s="684"/>
      <c r="LCZ69" s="684"/>
      <c r="LDA69" s="684"/>
      <c r="LDB69" s="684"/>
      <c r="LDC69" s="684"/>
      <c r="LDD69" s="684"/>
      <c r="LDE69" s="684"/>
      <c r="LDF69" s="684"/>
      <c r="LDG69" s="684"/>
      <c r="LDH69" s="684"/>
      <c r="LDI69" s="684"/>
      <c r="LDJ69" s="684"/>
      <c r="LDK69" s="684"/>
      <c r="LDL69" s="684"/>
      <c r="LDM69" s="684"/>
      <c r="LDN69" s="684"/>
      <c r="LDO69" s="684"/>
      <c r="LDP69" s="684"/>
      <c r="LDQ69" s="684"/>
      <c r="LDR69" s="684"/>
      <c r="LDS69" s="684"/>
      <c r="LDT69" s="684"/>
      <c r="LDU69" s="684"/>
      <c r="LDV69" s="684"/>
      <c r="LDW69" s="684"/>
      <c r="LDX69" s="684"/>
      <c r="LDY69" s="684"/>
      <c r="LDZ69" s="684"/>
      <c r="LEA69" s="684"/>
      <c r="LEB69" s="684"/>
      <c r="LEC69" s="684"/>
      <c r="LED69" s="684"/>
      <c r="LEE69" s="684"/>
      <c r="LEF69" s="684"/>
      <c r="LEG69" s="684"/>
      <c r="LEH69" s="684"/>
      <c r="LEI69" s="684"/>
      <c r="LEJ69" s="684"/>
      <c r="LEK69" s="684"/>
      <c r="LEL69" s="684"/>
      <c r="LEM69" s="684"/>
      <c r="LEN69" s="684"/>
      <c r="LEO69" s="684"/>
      <c r="LEP69" s="684"/>
      <c r="LEQ69" s="684"/>
      <c r="LER69" s="684"/>
      <c r="LES69" s="684"/>
      <c r="LET69" s="684"/>
      <c r="LEU69" s="684"/>
      <c r="LEV69" s="684"/>
      <c r="LEW69" s="684"/>
      <c r="LEX69" s="684"/>
      <c r="LEY69" s="684"/>
      <c r="LEZ69" s="684"/>
      <c r="LFA69" s="684"/>
      <c r="LFB69" s="684"/>
      <c r="LFC69" s="684"/>
      <c r="LFD69" s="684"/>
      <c r="LFE69" s="684"/>
      <c r="LFF69" s="684"/>
      <c r="LFG69" s="684"/>
      <c r="LFH69" s="684"/>
      <c r="LFI69" s="684"/>
      <c r="LFJ69" s="684"/>
      <c r="LFK69" s="684"/>
      <c r="LFL69" s="684"/>
      <c r="LFM69" s="684"/>
      <c r="LFN69" s="684"/>
      <c r="LFO69" s="684"/>
      <c r="LFP69" s="684"/>
      <c r="LFQ69" s="684"/>
      <c r="LFR69" s="684"/>
      <c r="LFS69" s="684"/>
      <c r="LFT69" s="684"/>
      <c r="LFU69" s="684"/>
      <c r="LFV69" s="684"/>
      <c r="LFW69" s="684"/>
      <c r="LFX69" s="684"/>
      <c r="LFY69" s="684"/>
      <c r="LFZ69" s="684"/>
      <c r="LGA69" s="684"/>
      <c r="LGB69" s="684"/>
      <c r="LGC69" s="684"/>
      <c r="LGD69" s="684"/>
      <c r="LGE69" s="684"/>
      <c r="LGF69" s="684"/>
      <c r="LGG69" s="684"/>
      <c r="LGH69" s="684"/>
      <c r="LGI69" s="684"/>
      <c r="LGJ69" s="684"/>
      <c r="LGK69" s="684"/>
      <c r="LGL69" s="684"/>
      <c r="LGM69" s="684"/>
      <c r="LGN69" s="684"/>
      <c r="LGO69" s="684"/>
      <c r="LGP69" s="684"/>
      <c r="LGQ69" s="684"/>
      <c r="LGR69" s="684"/>
      <c r="LGS69" s="684"/>
      <c r="LGT69" s="684"/>
      <c r="LGU69" s="684"/>
      <c r="LGV69" s="684"/>
      <c r="LGW69" s="684"/>
      <c r="LGX69" s="684"/>
      <c r="LGY69" s="684"/>
      <c r="LGZ69" s="684"/>
      <c r="LHA69" s="684"/>
      <c r="LHB69" s="684"/>
      <c r="LHC69" s="684"/>
      <c r="LHD69" s="684"/>
      <c r="LHE69" s="684"/>
      <c r="LHF69" s="684"/>
      <c r="LHG69" s="684"/>
      <c r="LHH69" s="684"/>
      <c r="LHI69" s="684"/>
      <c r="LHJ69" s="684"/>
      <c r="LHK69" s="684"/>
      <c r="LHL69" s="684"/>
      <c r="LHM69" s="684"/>
      <c r="LHN69" s="684"/>
      <c r="LHO69" s="684"/>
      <c r="LHP69" s="684"/>
      <c r="LHQ69" s="684"/>
      <c r="LHR69" s="684"/>
      <c r="LHS69" s="684"/>
      <c r="LHT69" s="684"/>
      <c r="LHU69" s="684"/>
      <c r="LHV69" s="684"/>
      <c r="LHW69" s="684"/>
      <c r="LHX69" s="684"/>
      <c r="LHY69" s="684"/>
      <c r="LHZ69" s="684"/>
      <c r="LIA69" s="684"/>
      <c r="LIB69" s="684"/>
      <c r="LIC69" s="684"/>
      <c r="LID69" s="684"/>
      <c r="LIE69" s="684"/>
      <c r="LIF69" s="684"/>
      <c r="LIG69" s="684"/>
      <c r="LIH69" s="684"/>
      <c r="LII69" s="684"/>
      <c r="LIJ69" s="684"/>
      <c r="LIK69" s="684"/>
      <c r="LIL69" s="684"/>
      <c r="LIM69" s="684"/>
      <c r="LIN69" s="684"/>
      <c r="LIO69" s="684"/>
      <c r="LIP69" s="684"/>
      <c r="LIQ69" s="684"/>
      <c r="LIR69" s="684"/>
      <c r="LIS69" s="684"/>
      <c r="LIT69" s="684"/>
      <c r="LIU69" s="684"/>
      <c r="LIV69" s="684"/>
      <c r="LIW69" s="684"/>
      <c r="LIX69" s="684"/>
      <c r="LIY69" s="684"/>
      <c r="LIZ69" s="684"/>
      <c r="LJA69" s="684"/>
      <c r="LJB69" s="684"/>
      <c r="LJC69" s="684"/>
      <c r="LJD69" s="684"/>
      <c r="LJE69" s="684"/>
      <c r="LJF69" s="684"/>
      <c r="LJG69" s="684"/>
      <c r="LJH69" s="684"/>
      <c r="LJI69" s="684"/>
      <c r="LJJ69" s="684"/>
      <c r="LJK69" s="684"/>
      <c r="LJL69" s="684"/>
      <c r="LJM69" s="684"/>
      <c r="LJN69" s="684"/>
      <c r="LJO69" s="684"/>
      <c r="LJP69" s="684"/>
      <c r="LJQ69" s="684"/>
      <c r="LJR69" s="684"/>
      <c r="LJS69" s="684"/>
      <c r="LJT69" s="684"/>
      <c r="LJU69" s="684"/>
      <c r="LJV69" s="684"/>
      <c r="LJW69" s="684"/>
      <c r="LJX69" s="684"/>
      <c r="LJY69" s="684"/>
      <c r="LJZ69" s="684"/>
      <c r="LKA69" s="684"/>
      <c r="LKB69" s="684"/>
      <c r="LKC69" s="684"/>
      <c r="LKD69" s="684"/>
      <c r="LKE69" s="684"/>
      <c r="LKF69" s="684"/>
      <c r="LKG69" s="684"/>
      <c r="LKH69" s="684"/>
      <c r="LKI69" s="684"/>
      <c r="LKJ69" s="684"/>
      <c r="LKK69" s="684"/>
      <c r="LKL69" s="684"/>
      <c r="LKM69" s="684"/>
      <c r="LKN69" s="684"/>
      <c r="LKO69" s="684"/>
      <c r="LKP69" s="684"/>
      <c r="LKQ69" s="684"/>
      <c r="LKR69" s="684"/>
      <c r="LKS69" s="684"/>
      <c r="LKT69" s="684"/>
      <c r="LKU69" s="684"/>
      <c r="LKV69" s="684"/>
      <c r="LKW69" s="684"/>
      <c r="LKX69" s="684"/>
      <c r="LKY69" s="684"/>
      <c r="LKZ69" s="684"/>
      <c r="LLA69" s="684"/>
      <c r="LLB69" s="684"/>
      <c r="LLC69" s="684"/>
      <c r="LLD69" s="684"/>
      <c r="LLE69" s="684"/>
      <c r="LLF69" s="684"/>
      <c r="LLG69" s="684"/>
      <c r="LLH69" s="684"/>
      <c r="LLI69" s="684"/>
      <c r="LLJ69" s="684"/>
      <c r="LLK69" s="684"/>
      <c r="LLL69" s="684"/>
      <c r="LLM69" s="684"/>
      <c r="LLN69" s="684"/>
      <c r="LLO69" s="684"/>
      <c r="LLP69" s="684"/>
      <c r="LLQ69" s="684"/>
      <c r="LLR69" s="684"/>
      <c r="LLS69" s="684"/>
      <c r="LLT69" s="684"/>
      <c r="LLU69" s="684"/>
      <c r="LLV69" s="684"/>
      <c r="LLW69" s="684"/>
      <c r="LLX69" s="684"/>
      <c r="LLY69" s="684"/>
      <c r="LLZ69" s="684"/>
      <c r="LMA69" s="684"/>
      <c r="LMB69" s="684"/>
      <c r="LMC69" s="684"/>
      <c r="LMD69" s="684"/>
      <c r="LME69" s="684"/>
      <c r="LMF69" s="684"/>
      <c r="LMG69" s="684"/>
      <c r="LMH69" s="684"/>
      <c r="LMI69" s="684"/>
      <c r="LMJ69" s="684"/>
      <c r="LMK69" s="684"/>
      <c r="LML69" s="684"/>
      <c r="LMM69" s="684"/>
      <c r="LMN69" s="684"/>
      <c r="LMO69" s="684"/>
      <c r="LMP69" s="684"/>
      <c r="LMQ69" s="684"/>
      <c r="LMR69" s="684"/>
      <c r="LMS69" s="684"/>
      <c r="LMT69" s="684"/>
      <c r="LMU69" s="684"/>
      <c r="LMV69" s="684"/>
      <c r="LMW69" s="684"/>
      <c r="LMX69" s="684"/>
      <c r="LMY69" s="684"/>
      <c r="LMZ69" s="684"/>
      <c r="LNA69" s="684"/>
      <c r="LNB69" s="684"/>
      <c r="LNC69" s="684"/>
      <c r="LND69" s="684"/>
      <c r="LNE69" s="684"/>
      <c r="LNF69" s="684"/>
      <c r="LNG69" s="684"/>
      <c r="LNH69" s="684"/>
      <c r="LNI69" s="684"/>
      <c r="LNJ69" s="684"/>
      <c r="LNK69" s="684"/>
      <c r="LNL69" s="684"/>
      <c r="LNM69" s="684"/>
      <c r="LNN69" s="684"/>
      <c r="LNO69" s="684"/>
      <c r="LNP69" s="684"/>
      <c r="LNQ69" s="684"/>
      <c r="LNR69" s="684"/>
      <c r="LNS69" s="684"/>
      <c r="LNT69" s="684"/>
      <c r="LNU69" s="684"/>
      <c r="LNV69" s="684"/>
      <c r="LNW69" s="684"/>
      <c r="LNX69" s="684"/>
      <c r="LNY69" s="684"/>
      <c r="LNZ69" s="684"/>
      <c r="LOA69" s="684"/>
      <c r="LOB69" s="684"/>
      <c r="LOC69" s="684"/>
      <c r="LOD69" s="684"/>
      <c r="LOE69" s="684"/>
      <c r="LOF69" s="684"/>
      <c r="LOG69" s="684"/>
      <c r="LOH69" s="684"/>
      <c r="LOI69" s="684"/>
      <c r="LOJ69" s="684"/>
      <c r="LOK69" s="684"/>
      <c r="LOL69" s="684"/>
      <c r="LOM69" s="684"/>
      <c r="LON69" s="684"/>
      <c r="LOO69" s="684"/>
      <c r="LOP69" s="684"/>
      <c r="LOQ69" s="684"/>
      <c r="LOR69" s="684"/>
      <c r="LOS69" s="684"/>
      <c r="LOT69" s="684"/>
      <c r="LOU69" s="684"/>
      <c r="LOV69" s="684"/>
      <c r="LOW69" s="684"/>
      <c r="LOX69" s="684"/>
      <c r="LOY69" s="684"/>
      <c r="LOZ69" s="684"/>
      <c r="LPA69" s="684"/>
      <c r="LPB69" s="684"/>
      <c r="LPC69" s="684"/>
      <c r="LPD69" s="684"/>
      <c r="LPE69" s="684"/>
      <c r="LPF69" s="684"/>
      <c r="LPG69" s="684"/>
      <c r="LPH69" s="684"/>
      <c r="LPI69" s="684"/>
      <c r="LPJ69" s="684"/>
      <c r="LPK69" s="684"/>
      <c r="LPL69" s="684"/>
      <c r="LPM69" s="684"/>
      <c r="LPN69" s="684"/>
      <c r="LPO69" s="684"/>
      <c r="LPP69" s="684"/>
      <c r="LPQ69" s="684"/>
      <c r="LPR69" s="684"/>
      <c r="LPS69" s="684"/>
      <c r="LPT69" s="684"/>
      <c r="LPU69" s="684"/>
      <c r="LPV69" s="684"/>
      <c r="LPW69" s="684"/>
      <c r="LPX69" s="684"/>
      <c r="LPY69" s="684"/>
      <c r="LPZ69" s="684"/>
      <c r="LQA69" s="684"/>
      <c r="LQB69" s="684"/>
      <c r="LQC69" s="684"/>
      <c r="LQD69" s="684"/>
      <c r="LQE69" s="684"/>
      <c r="LQF69" s="684"/>
      <c r="LQG69" s="684"/>
      <c r="LQH69" s="684"/>
      <c r="LQI69" s="684"/>
      <c r="LQJ69" s="684"/>
      <c r="LQK69" s="684"/>
      <c r="LQL69" s="684"/>
      <c r="LQM69" s="684"/>
      <c r="LQN69" s="684"/>
      <c r="LQO69" s="684"/>
      <c r="LQP69" s="684"/>
      <c r="LQQ69" s="684"/>
      <c r="LQR69" s="684"/>
      <c r="LQS69" s="684"/>
      <c r="LQT69" s="684"/>
      <c r="LQU69" s="684"/>
      <c r="LQV69" s="684"/>
      <c r="LQW69" s="684"/>
      <c r="LQX69" s="684"/>
      <c r="LQY69" s="684"/>
      <c r="LQZ69" s="684"/>
      <c r="LRA69" s="684"/>
      <c r="LRB69" s="684"/>
      <c r="LRC69" s="684"/>
      <c r="LRD69" s="684"/>
      <c r="LRE69" s="684"/>
      <c r="LRF69" s="684"/>
      <c r="LRG69" s="684"/>
      <c r="LRH69" s="684"/>
      <c r="LRI69" s="684"/>
      <c r="LRJ69" s="684"/>
      <c r="LRK69" s="684"/>
      <c r="LRL69" s="684"/>
      <c r="LRM69" s="684"/>
      <c r="LRN69" s="684"/>
      <c r="LRO69" s="684"/>
      <c r="LRP69" s="684"/>
      <c r="LRQ69" s="684"/>
      <c r="LRR69" s="684"/>
      <c r="LRS69" s="684"/>
      <c r="LRT69" s="684"/>
      <c r="LRU69" s="684"/>
      <c r="LRV69" s="684"/>
      <c r="LRW69" s="684"/>
      <c r="LRX69" s="684"/>
      <c r="LRY69" s="684"/>
      <c r="LRZ69" s="684"/>
      <c r="LSA69" s="684"/>
      <c r="LSB69" s="684"/>
      <c r="LSC69" s="684"/>
      <c r="LSD69" s="684"/>
      <c r="LSE69" s="684"/>
      <c r="LSF69" s="684"/>
      <c r="LSG69" s="684"/>
      <c r="LSH69" s="684"/>
      <c r="LSI69" s="684"/>
      <c r="LSJ69" s="684"/>
      <c r="LSK69" s="684"/>
      <c r="LSL69" s="684"/>
      <c r="LSM69" s="684"/>
      <c r="LSN69" s="684"/>
      <c r="LSO69" s="684"/>
      <c r="LSP69" s="684"/>
      <c r="LSQ69" s="684"/>
      <c r="LSR69" s="684"/>
      <c r="LSS69" s="684"/>
      <c r="LST69" s="684"/>
      <c r="LSU69" s="684"/>
      <c r="LSV69" s="684"/>
      <c r="LSW69" s="684"/>
      <c r="LSX69" s="684"/>
      <c r="LSY69" s="684"/>
      <c r="LSZ69" s="684"/>
      <c r="LTA69" s="684"/>
      <c r="LTB69" s="684"/>
      <c r="LTC69" s="684"/>
      <c r="LTD69" s="684"/>
      <c r="LTE69" s="684"/>
      <c r="LTF69" s="684"/>
      <c r="LTG69" s="684"/>
      <c r="LTH69" s="684"/>
      <c r="LTI69" s="684"/>
      <c r="LTJ69" s="684"/>
      <c r="LTK69" s="684"/>
      <c r="LTL69" s="684"/>
      <c r="LTM69" s="684"/>
      <c r="LTN69" s="684"/>
      <c r="LTO69" s="684"/>
      <c r="LTP69" s="684"/>
      <c r="LTQ69" s="684"/>
      <c r="LTR69" s="684"/>
      <c r="LTS69" s="684"/>
      <c r="LTT69" s="684"/>
      <c r="LTU69" s="684"/>
      <c r="LTV69" s="684"/>
      <c r="LTW69" s="684"/>
      <c r="LTX69" s="684"/>
      <c r="LTY69" s="684"/>
      <c r="LTZ69" s="684"/>
      <c r="LUA69" s="684"/>
      <c r="LUB69" s="684"/>
      <c r="LUC69" s="684"/>
      <c r="LUD69" s="684"/>
      <c r="LUE69" s="684"/>
      <c r="LUF69" s="684"/>
      <c r="LUG69" s="684"/>
      <c r="LUH69" s="684"/>
      <c r="LUI69" s="684"/>
      <c r="LUJ69" s="684"/>
      <c r="LUK69" s="684"/>
      <c r="LUL69" s="684"/>
      <c r="LUM69" s="684"/>
      <c r="LUN69" s="684"/>
      <c r="LUO69" s="684"/>
      <c r="LUP69" s="684"/>
      <c r="LUQ69" s="684"/>
      <c r="LUR69" s="684"/>
      <c r="LUS69" s="684"/>
      <c r="LUT69" s="684"/>
      <c r="LUU69" s="684"/>
      <c r="LUV69" s="684"/>
      <c r="LUW69" s="684"/>
      <c r="LUX69" s="684"/>
      <c r="LUY69" s="684"/>
      <c r="LUZ69" s="684"/>
      <c r="LVA69" s="684"/>
      <c r="LVB69" s="684"/>
      <c r="LVC69" s="684"/>
      <c r="LVD69" s="684"/>
      <c r="LVE69" s="684"/>
      <c r="LVF69" s="684"/>
      <c r="LVG69" s="684"/>
      <c r="LVH69" s="684"/>
      <c r="LVI69" s="684"/>
      <c r="LVJ69" s="684"/>
      <c r="LVK69" s="684"/>
      <c r="LVL69" s="684"/>
      <c r="LVM69" s="684"/>
      <c r="LVN69" s="684"/>
      <c r="LVO69" s="684"/>
      <c r="LVP69" s="684"/>
      <c r="LVQ69" s="684"/>
      <c r="LVR69" s="684"/>
      <c r="LVS69" s="684"/>
      <c r="LVT69" s="684"/>
      <c r="LVU69" s="684"/>
      <c r="LVV69" s="684"/>
      <c r="LVW69" s="684"/>
      <c r="LVX69" s="684"/>
      <c r="LVY69" s="684"/>
      <c r="LVZ69" s="684"/>
      <c r="LWA69" s="684"/>
      <c r="LWB69" s="684"/>
      <c r="LWC69" s="684"/>
      <c r="LWD69" s="684"/>
      <c r="LWE69" s="684"/>
      <c r="LWF69" s="684"/>
      <c r="LWG69" s="684"/>
      <c r="LWH69" s="684"/>
      <c r="LWI69" s="684"/>
      <c r="LWJ69" s="684"/>
      <c r="LWK69" s="684"/>
      <c r="LWL69" s="684"/>
      <c r="LWM69" s="684"/>
      <c r="LWN69" s="684"/>
      <c r="LWO69" s="684"/>
      <c r="LWP69" s="684"/>
      <c r="LWQ69" s="684"/>
      <c r="LWR69" s="684"/>
      <c r="LWS69" s="684"/>
      <c r="LWT69" s="684"/>
      <c r="LWU69" s="684"/>
      <c r="LWV69" s="684"/>
      <c r="LWW69" s="684"/>
      <c r="LWX69" s="684"/>
      <c r="LWY69" s="684"/>
      <c r="LWZ69" s="684"/>
      <c r="LXA69" s="684"/>
      <c r="LXB69" s="684"/>
      <c r="LXC69" s="684"/>
      <c r="LXD69" s="684"/>
      <c r="LXE69" s="684"/>
      <c r="LXF69" s="684"/>
      <c r="LXG69" s="684"/>
      <c r="LXH69" s="684"/>
      <c r="LXI69" s="684"/>
      <c r="LXJ69" s="684"/>
      <c r="LXK69" s="684"/>
      <c r="LXL69" s="684"/>
      <c r="LXM69" s="684"/>
      <c r="LXN69" s="684"/>
      <c r="LXO69" s="684"/>
      <c r="LXP69" s="684"/>
      <c r="LXQ69" s="684"/>
      <c r="LXR69" s="684"/>
      <c r="LXS69" s="684"/>
      <c r="LXT69" s="684"/>
      <c r="LXU69" s="684"/>
      <c r="LXV69" s="684"/>
      <c r="LXW69" s="684"/>
      <c r="LXX69" s="684"/>
      <c r="LXY69" s="684"/>
      <c r="LXZ69" s="684"/>
      <c r="LYA69" s="684"/>
      <c r="LYB69" s="684"/>
      <c r="LYC69" s="684"/>
      <c r="LYD69" s="684"/>
      <c r="LYE69" s="684"/>
      <c r="LYF69" s="684"/>
      <c r="LYG69" s="684"/>
      <c r="LYH69" s="684"/>
      <c r="LYI69" s="684"/>
      <c r="LYJ69" s="684"/>
      <c r="LYK69" s="684"/>
      <c r="LYL69" s="684"/>
      <c r="LYM69" s="684"/>
      <c r="LYN69" s="684"/>
      <c r="LYO69" s="684"/>
      <c r="LYP69" s="684"/>
      <c r="LYQ69" s="684"/>
      <c r="LYR69" s="684"/>
      <c r="LYS69" s="684"/>
      <c r="LYT69" s="684"/>
      <c r="LYU69" s="684"/>
      <c r="LYV69" s="684"/>
      <c r="LYW69" s="684"/>
      <c r="LYX69" s="684"/>
      <c r="LYY69" s="684"/>
      <c r="LYZ69" s="684"/>
      <c r="LZA69" s="684"/>
      <c r="LZB69" s="684"/>
      <c r="LZC69" s="684"/>
      <c r="LZD69" s="684"/>
      <c r="LZE69" s="684"/>
      <c r="LZF69" s="684"/>
      <c r="LZG69" s="684"/>
      <c r="LZH69" s="684"/>
      <c r="LZI69" s="684"/>
      <c r="LZJ69" s="684"/>
      <c r="LZK69" s="684"/>
      <c r="LZL69" s="684"/>
      <c r="LZM69" s="684"/>
      <c r="LZN69" s="684"/>
      <c r="LZO69" s="684"/>
      <c r="LZP69" s="684"/>
      <c r="LZQ69" s="684"/>
      <c r="LZR69" s="684"/>
      <c r="LZS69" s="684"/>
      <c r="LZT69" s="684"/>
      <c r="LZU69" s="684"/>
      <c r="LZV69" s="684"/>
      <c r="LZW69" s="684"/>
      <c r="LZX69" s="684"/>
      <c r="LZY69" s="684"/>
      <c r="LZZ69" s="684"/>
      <c r="MAA69" s="684"/>
      <c r="MAB69" s="684"/>
      <c r="MAC69" s="684"/>
      <c r="MAD69" s="684"/>
      <c r="MAE69" s="684"/>
      <c r="MAF69" s="684"/>
      <c r="MAG69" s="684"/>
      <c r="MAH69" s="684"/>
      <c r="MAI69" s="684"/>
      <c r="MAJ69" s="684"/>
      <c r="MAK69" s="684"/>
      <c r="MAL69" s="684"/>
      <c r="MAM69" s="684"/>
      <c r="MAN69" s="684"/>
      <c r="MAO69" s="684"/>
      <c r="MAP69" s="684"/>
      <c r="MAQ69" s="684"/>
      <c r="MAR69" s="684"/>
      <c r="MAS69" s="684"/>
      <c r="MAT69" s="684"/>
      <c r="MAU69" s="684"/>
      <c r="MAV69" s="684"/>
      <c r="MAW69" s="684"/>
      <c r="MAX69" s="684"/>
      <c r="MAY69" s="684"/>
      <c r="MAZ69" s="684"/>
      <c r="MBA69" s="684"/>
      <c r="MBB69" s="684"/>
      <c r="MBC69" s="684"/>
      <c r="MBD69" s="684"/>
      <c r="MBE69" s="684"/>
      <c r="MBF69" s="684"/>
      <c r="MBG69" s="684"/>
      <c r="MBH69" s="684"/>
      <c r="MBI69" s="684"/>
      <c r="MBJ69" s="684"/>
      <c r="MBK69" s="684"/>
      <c r="MBL69" s="684"/>
      <c r="MBM69" s="684"/>
      <c r="MBN69" s="684"/>
      <c r="MBO69" s="684"/>
      <c r="MBP69" s="684"/>
      <c r="MBQ69" s="684"/>
      <c r="MBR69" s="684"/>
      <c r="MBS69" s="684"/>
      <c r="MBT69" s="684"/>
      <c r="MBU69" s="684"/>
      <c r="MBV69" s="684"/>
      <c r="MBW69" s="684"/>
      <c r="MBX69" s="684"/>
      <c r="MBY69" s="684"/>
      <c r="MBZ69" s="684"/>
      <c r="MCA69" s="684"/>
      <c r="MCB69" s="684"/>
      <c r="MCC69" s="684"/>
      <c r="MCD69" s="684"/>
      <c r="MCE69" s="684"/>
      <c r="MCF69" s="684"/>
      <c r="MCG69" s="684"/>
      <c r="MCH69" s="684"/>
      <c r="MCI69" s="684"/>
      <c r="MCJ69" s="684"/>
      <c r="MCK69" s="684"/>
      <c r="MCL69" s="684"/>
      <c r="MCM69" s="684"/>
      <c r="MCN69" s="684"/>
      <c r="MCO69" s="684"/>
      <c r="MCP69" s="684"/>
      <c r="MCQ69" s="684"/>
      <c r="MCR69" s="684"/>
      <c r="MCS69" s="684"/>
      <c r="MCT69" s="684"/>
      <c r="MCU69" s="684"/>
      <c r="MCV69" s="684"/>
      <c r="MCW69" s="684"/>
      <c r="MCX69" s="684"/>
      <c r="MCY69" s="684"/>
      <c r="MCZ69" s="684"/>
      <c r="MDA69" s="684"/>
      <c r="MDB69" s="684"/>
      <c r="MDC69" s="684"/>
      <c r="MDD69" s="684"/>
      <c r="MDE69" s="684"/>
      <c r="MDF69" s="684"/>
      <c r="MDG69" s="684"/>
      <c r="MDH69" s="684"/>
      <c r="MDI69" s="684"/>
      <c r="MDJ69" s="684"/>
      <c r="MDK69" s="684"/>
      <c r="MDL69" s="684"/>
      <c r="MDM69" s="684"/>
      <c r="MDN69" s="684"/>
      <c r="MDO69" s="684"/>
      <c r="MDP69" s="684"/>
      <c r="MDQ69" s="684"/>
      <c r="MDR69" s="684"/>
      <c r="MDS69" s="684"/>
      <c r="MDT69" s="684"/>
      <c r="MDU69" s="684"/>
      <c r="MDV69" s="684"/>
      <c r="MDW69" s="684"/>
      <c r="MDX69" s="684"/>
      <c r="MDY69" s="684"/>
      <c r="MDZ69" s="684"/>
      <c r="MEA69" s="684"/>
      <c r="MEB69" s="684"/>
      <c r="MEC69" s="684"/>
      <c r="MED69" s="684"/>
      <c r="MEE69" s="684"/>
      <c r="MEF69" s="684"/>
      <c r="MEG69" s="684"/>
      <c r="MEH69" s="684"/>
      <c r="MEI69" s="684"/>
      <c r="MEJ69" s="684"/>
      <c r="MEK69" s="684"/>
      <c r="MEL69" s="684"/>
      <c r="MEM69" s="684"/>
      <c r="MEN69" s="684"/>
      <c r="MEO69" s="684"/>
      <c r="MEP69" s="684"/>
      <c r="MEQ69" s="684"/>
      <c r="MER69" s="684"/>
      <c r="MES69" s="684"/>
      <c r="MET69" s="684"/>
      <c r="MEU69" s="684"/>
      <c r="MEV69" s="684"/>
      <c r="MEW69" s="684"/>
      <c r="MEX69" s="684"/>
      <c r="MEY69" s="684"/>
      <c r="MEZ69" s="684"/>
      <c r="MFA69" s="684"/>
      <c r="MFB69" s="684"/>
      <c r="MFC69" s="684"/>
      <c r="MFD69" s="684"/>
      <c r="MFE69" s="684"/>
      <c r="MFF69" s="684"/>
      <c r="MFG69" s="684"/>
      <c r="MFH69" s="684"/>
      <c r="MFI69" s="684"/>
      <c r="MFJ69" s="684"/>
      <c r="MFK69" s="684"/>
      <c r="MFL69" s="684"/>
      <c r="MFM69" s="684"/>
      <c r="MFN69" s="684"/>
      <c r="MFO69" s="684"/>
      <c r="MFP69" s="684"/>
      <c r="MFQ69" s="684"/>
      <c r="MFR69" s="684"/>
      <c r="MFS69" s="684"/>
      <c r="MFT69" s="684"/>
      <c r="MFU69" s="684"/>
      <c r="MFV69" s="684"/>
      <c r="MFW69" s="684"/>
      <c r="MFX69" s="684"/>
      <c r="MFY69" s="684"/>
      <c r="MFZ69" s="684"/>
      <c r="MGA69" s="684"/>
      <c r="MGB69" s="684"/>
      <c r="MGC69" s="684"/>
      <c r="MGD69" s="684"/>
      <c r="MGE69" s="684"/>
      <c r="MGF69" s="684"/>
      <c r="MGG69" s="684"/>
      <c r="MGH69" s="684"/>
      <c r="MGI69" s="684"/>
      <c r="MGJ69" s="684"/>
      <c r="MGK69" s="684"/>
      <c r="MGL69" s="684"/>
      <c r="MGM69" s="684"/>
      <c r="MGN69" s="684"/>
      <c r="MGO69" s="684"/>
      <c r="MGP69" s="684"/>
      <c r="MGQ69" s="684"/>
      <c r="MGR69" s="684"/>
      <c r="MGS69" s="684"/>
      <c r="MGT69" s="684"/>
      <c r="MGU69" s="684"/>
      <c r="MGV69" s="684"/>
      <c r="MGW69" s="684"/>
      <c r="MGX69" s="684"/>
      <c r="MGY69" s="684"/>
      <c r="MGZ69" s="684"/>
      <c r="MHA69" s="684"/>
      <c r="MHB69" s="684"/>
      <c r="MHC69" s="684"/>
      <c r="MHD69" s="684"/>
      <c r="MHE69" s="684"/>
      <c r="MHF69" s="684"/>
      <c r="MHG69" s="684"/>
      <c r="MHH69" s="684"/>
      <c r="MHI69" s="684"/>
      <c r="MHJ69" s="684"/>
      <c r="MHK69" s="684"/>
      <c r="MHL69" s="684"/>
      <c r="MHM69" s="684"/>
      <c r="MHN69" s="684"/>
      <c r="MHO69" s="684"/>
      <c r="MHP69" s="684"/>
      <c r="MHQ69" s="684"/>
      <c r="MHR69" s="684"/>
      <c r="MHS69" s="684"/>
      <c r="MHT69" s="684"/>
      <c r="MHU69" s="684"/>
      <c r="MHV69" s="684"/>
      <c r="MHW69" s="684"/>
      <c r="MHX69" s="684"/>
      <c r="MHY69" s="684"/>
      <c r="MHZ69" s="684"/>
      <c r="MIA69" s="684"/>
      <c r="MIB69" s="684"/>
      <c r="MIC69" s="684"/>
      <c r="MID69" s="684"/>
      <c r="MIE69" s="684"/>
      <c r="MIF69" s="684"/>
      <c r="MIG69" s="684"/>
      <c r="MIH69" s="684"/>
      <c r="MII69" s="684"/>
      <c r="MIJ69" s="684"/>
      <c r="MIK69" s="684"/>
      <c r="MIL69" s="684"/>
      <c r="MIM69" s="684"/>
      <c r="MIN69" s="684"/>
      <c r="MIO69" s="684"/>
      <c r="MIP69" s="684"/>
      <c r="MIQ69" s="684"/>
      <c r="MIR69" s="684"/>
      <c r="MIS69" s="684"/>
      <c r="MIT69" s="684"/>
      <c r="MIU69" s="684"/>
      <c r="MIV69" s="684"/>
      <c r="MIW69" s="684"/>
      <c r="MIX69" s="684"/>
      <c r="MIY69" s="684"/>
      <c r="MIZ69" s="684"/>
      <c r="MJA69" s="684"/>
      <c r="MJB69" s="684"/>
      <c r="MJC69" s="684"/>
      <c r="MJD69" s="684"/>
      <c r="MJE69" s="684"/>
      <c r="MJF69" s="684"/>
      <c r="MJG69" s="684"/>
      <c r="MJH69" s="684"/>
      <c r="MJI69" s="684"/>
      <c r="MJJ69" s="684"/>
      <c r="MJK69" s="684"/>
      <c r="MJL69" s="684"/>
      <c r="MJM69" s="684"/>
      <c r="MJN69" s="684"/>
      <c r="MJO69" s="684"/>
      <c r="MJP69" s="684"/>
      <c r="MJQ69" s="684"/>
      <c r="MJR69" s="684"/>
      <c r="MJS69" s="684"/>
      <c r="MJT69" s="684"/>
      <c r="MJU69" s="684"/>
      <c r="MJV69" s="684"/>
      <c r="MJW69" s="684"/>
      <c r="MJX69" s="684"/>
      <c r="MJY69" s="684"/>
      <c r="MJZ69" s="684"/>
      <c r="MKA69" s="684"/>
      <c r="MKB69" s="684"/>
      <c r="MKC69" s="684"/>
      <c r="MKD69" s="684"/>
      <c r="MKE69" s="684"/>
      <c r="MKF69" s="684"/>
      <c r="MKG69" s="684"/>
      <c r="MKH69" s="684"/>
      <c r="MKI69" s="684"/>
      <c r="MKJ69" s="684"/>
      <c r="MKK69" s="684"/>
      <c r="MKL69" s="684"/>
      <c r="MKM69" s="684"/>
      <c r="MKN69" s="684"/>
      <c r="MKO69" s="684"/>
      <c r="MKP69" s="684"/>
      <c r="MKQ69" s="684"/>
      <c r="MKR69" s="684"/>
      <c r="MKS69" s="684"/>
      <c r="MKT69" s="684"/>
      <c r="MKU69" s="684"/>
      <c r="MKV69" s="684"/>
      <c r="MKW69" s="684"/>
      <c r="MKX69" s="684"/>
      <c r="MKY69" s="684"/>
      <c r="MKZ69" s="684"/>
      <c r="MLA69" s="684"/>
      <c r="MLB69" s="684"/>
      <c r="MLC69" s="684"/>
      <c r="MLD69" s="684"/>
      <c r="MLE69" s="684"/>
      <c r="MLF69" s="684"/>
      <c r="MLG69" s="684"/>
      <c r="MLH69" s="684"/>
      <c r="MLI69" s="684"/>
      <c r="MLJ69" s="684"/>
      <c r="MLK69" s="684"/>
      <c r="MLL69" s="684"/>
      <c r="MLM69" s="684"/>
      <c r="MLN69" s="684"/>
      <c r="MLO69" s="684"/>
      <c r="MLP69" s="684"/>
      <c r="MLQ69" s="684"/>
      <c r="MLR69" s="684"/>
      <c r="MLS69" s="684"/>
      <c r="MLT69" s="684"/>
      <c r="MLU69" s="684"/>
      <c r="MLV69" s="684"/>
      <c r="MLW69" s="684"/>
      <c r="MLX69" s="684"/>
      <c r="MLY69" s="684"/>
      <c r="MLZ69" s="684"/>
      <c r="MMA69" s="684"/>
      <c r="MMB69" s="684"/>
      <c r="MMC69" s="684"/>
      <c r="MMD69" s="684"/>
      <c r="MME69" s="684"/>
      <c r="MMF69" s="684"/>
      <c r="MMG69" s="684"/>
      <c r="MMH69" s="684"/>
      <c r="MMI69" s="684"/>
      <c r="MMJ69" s="684"/>
      <c r="MMK69" s="684"/>
      <c r="MML69" s="684"/>
      <c r="MMM69" s="684"/>
      <c r="MMN69" s="684"/>
      <c r="MMO69" s="684"/>
      <c r="MMP69" s="684"/>
      <c r="MMQ69" s="684"/>
      <c r="MMR69" s="684"/>
      <c r="MMS69" s="684"/>
      <c r="MMT69" s="684"/>
      <c r="MMU69" s="684"/>
      <c r="MMV69" s="684"/>
      <c r="MMW69" s="684"/>
      <c r="MMX69" s="684"/>
      <c r="MMY69" s="684"/>
      <c r="MMZ69" s="684"/>
      <c r="MNA69" s="684"/>
      <c r="MNB69" s="684"/>
      <c r="MNC69" s="684"/>
      <c r="MND69" s="684"/>
      <c r="MNE69" s="684"/>
      <c r="MNF69" s="684"/>
      <c r="MNG69" s="684"/>
      <c r="MNH69" s="684"/>
      <c r="MNI69" s="684"/>
      <c r="MNJ69" s="684"/>
      <c r="MNK69" s="684"/>
      <c r="MNL69" s="684"/>
      <c r="MNM69" s="684"/>
      <c r="MNN69" s="684"/>
      <c r="MNO69" s="684"/>
      <c r="MNP69" s="684"/>
      <c r="MNQ69" s="684"/>
      <c r="MNR69" s="684"/>
      <c r="MNS69" s="684"/>
      <c r="MNT69" s="684"/>
      <c r="MNU69" s="684"/>
      <c r="MNV69" s="684"/>
      <c r="MNW69" s="684"/>
      <c r="MNX69" s="684"/>
      <c r="MNY69" s="684"/>
      <c r="MNZ69" s="684"/>
      <c r="MOA69" s="684"/>
      <c r="MOB69" s="684"/>
      <c r="MOC69" s="684"/>
      <c r="MOD69" s="684"/>
      <c r="MOE69" s="684"/>
      <c r="MOF69" s="684"/>
      <c r="MOG69" s="684"/>
      <c r="MOH69" s="684"/>
      <c r="MOI69" s="684"/>
      <c r="MOJ69" s="684"/>
      <c r="MOK69" s="684"/>
      <c r="MOL69" s="684"/>
      <c r="MOM69" s="684"/>
      <c r="MON69" s="684"/>
      <c r="MOO69" s="684"/>
      <c r="MOP69" s="684"/>
      <c r="MOQ69" s="684"/>
      <c r="MOR69" s="684"/>
      <c r="MOS69" s="684"/>
      <c r="MOT69" s="684"/>
      <c r="MOU69" s="684"/>
      <c r="MOV69" s="684"/>
      <c r="MOW69" s="684"/>
      <c r="MOX69" s="684"/>
      <c r="MOY69" s="684"/>
      <c r="MOZ69" s="684"/>
      <c r="MPA69" s="684"/>
      <c r="MPB69" s="684"/>
      <c r="MPC69" s="684"/>
      <c r="MPD69" s="684"/>
      <c r="MPE69" s="684"/>
      <c r="MPF69" s="684"/>
      <c r="MPG69" s="684"/>
      <c r="MPH69" s="684"/>
      <c r="MPI69" s="684"/>
      <c r="MPJ69" s="684"/>
      <c r="MPK69" s="684"/>
      <c r="MPL69" s="684"/>
      <c r="MPM69" s="684"/>
      <c r="MPN69" s="684"/>
      <c r="MPO69" s="684"/>
      <c r="MPP69" s="684"/>
      <c r="MPQ69" s="684"/>
      <c r="MPR69" s="684"/>
      <c r="MPS69" s="684"/>
      <c r="MPT69" s="684"/>
      <c r="MPU69" s="684"/>
      <c r="MPV69" s="684"/>
      <c r="MPW69" s="684"/>
      <c r="MPX69" s="684"/>
      <c r="MPY69" s="684"/>
      <c r="MPZ69" s="684"/>
      <c r="MQA69" s="684"/>
      <c r="MQB69" s="684"/>
      <c r="MQC69" s="684"/>
      <c r="MQD69" s="684"/>
      <c r="MQE69" s="684"/>
      <c r="MQF69" s="684"/>
      <c r="MQG69" s="684"/>
      <c r="MQH69" s="684"/>
      <c r="MQI69" s="684"/>
      <c r="MQJ69" s="684"/>
      <c r="MQK69" s="684"/>
      <c r="MQL69" s="684"/>
      <c r="MQM69" s="684"/>
      <c r="MQN69" s="684"/>
      <c r="MQO69" s="684"/>
      <c r="MQP69" s="684"/>
      <c r="MQQ69" s="684"/>
      <c r="MQR69" s="684"/>
      <c r="MQS69" s="684"/>
      <c r="MQT69" s="684"/>
      <c r="MQU69" s="684"/>
      <c r="MQV69" s="684"/>
      <c r="MQW69" s="684"/>
      <c r="MQX69" s="684"/>
      <c r="MQY69" s="684"/>
      <c r="MQZ69" s="684"/>
      <c r="MRA69" s="684"/>
      <c r="MRB69" s="684"/>
      <c r="MRC69" s="684"/>
      <c r="MRD69" s="684"/>
      <c r="MRE69" s="684"/>
      <c r="MRF69" s="684"/>
      <c r="MRG69" s="684"/>
      <c r="MRH69" s="684"/>
      <c r="MRI69" s="684"/>
      <c r="MRJ69" s="684"/>
      <c r="MRK69" s="684"/>
      <c r="MRL69" s="684"/>
      <c r="MRM69" s="684"/>
      <c r="MRN69" s="684"/>
      <c r="MRO69" s="684"/>
      <c r="MRP69" s="684"/>
      <c r="MRQ69" s="684"/>
      <c r="MRR69" s="684"/>
      <c r="MRS69" s="684"/>
      <c r="MRT69" s="684"/>
      <c r="MRU69" s="684"/>
      <c r="MRV69" s="684"/>
      <c r="MRW69" s="684"/>
      <c r="MRX69" s="684"/>
      <c r="MRY69" s="684"/>
      <c r="MRZ69" s="684"/>
      <c r="MSA69" s="684"/>
      <c r="MSB69" s="684"/>
      <c r="MSC69" s="684"/>
      <c r="MSD69" s="684"/>
      <c r="MSE69" s="684"/>
      <c r="MSF69" s="684"/>
      <c r="MSG69" s="684"/>
      <c r="MSH69" s="684"/>
      <c r="MSI69" s="684"/>
      <c r="MSJ69" s="684"/>
      <c r="MSK69" s="684"/>
      <c r="MSL69" s="684"/>
      <c r="MSM69" s="684"/>
      <c r="MSN69" s="684"/>
      <c r="MSO69" s="684"/>
      <c r="MSP69" s="684"/>
      <c r="MSQ69" s="684"/>
      <c r="MSR69" s="684"/>
      <c r="MSS69" s="684"/>
      <c r="MST69" s="684"/>
      <c r="MSU69" s="684"/>
      <c r="MSV69" s="684"/>
      <c r="MSW69" s="684"/>
      <c r="MSX69" s="684"/>
      <c r="MSY69" s="684"/>
      <c r="MSZ69" s="684"/>
      <c r="MTA69" s="684"/>
      <c r="MTB69" s="684"/>
      <c r="MTC69" s="684"/>
      <c r="MTD69" s="684"/>
      <c r="MTE69" s="684"/>
      <c r="MTF69" s="684"/>
      <c r="MTG69" s="684"/>
      <c r="MTH69" s="684"/>
      <c r="MTI69" s="684"/>
      <c r="MTJ69" s="684"/>
      <c r="MTK69" s="684"/>
      <c r="MTL69" s="684"/>
      <c r="MTM69" s="684"/>
      <c r="MTN69" s="684"/>
      <c r="MTO69" s="684"/>
      <c r="MTP69" s="684"/>
      <c r="MTQ69" s="684"/>
      <c r="MTR69" s="684"/>
      <c r="MTS69" s="684"/>
      <c r="MTT69" s="684"/>
      <c r="MTU69" s="684"/>
      <c r="MTV69" s="684"/>
      <c r="MTW69" s="684"/>
      <c r="MTX69" s="684"/>
      <c r="MTY69" s="684"/>
      <c r="MTZ69" s="684"/>
      <c r="MUA69" s="684"/>
      <c r="MUB69" s="684"/>
      <c r="MUC69" s="684"/>
      <c r="MUD69" s="684"/>
      <c r="MUE69" s="684"/>
      <c r="MUF69" s="684"/>
      <c r="MUG69" s="684"/>
      <c r="MUH69" s="684"/>
      <c r="MUI69" s="684"/>
      <c r="MUJ69" s="684"/>
      <c r="MUK69" s="684"/>
      <c r="MUL69" s="684"/>
      <c r="MUM69" s="684"/>
      <c r="MUN69" s="684"/>
      <c r="MUO69" s="684"/>
      <c r="MUP69" s="684"/>
      <c r="MUQ69" s="684"/>
      <c r="MUR69" s="684"/>
      <c r="MUS69" s="684"/>
      <c r="MUT69" s="684"/>
      <c r="MUU69" s="684"/>
      <c r="MUV69" s="684"/>
      <c r="MUW69" s="684"/>
      <c r="MUX69" s="684"/>
      <c r="MUY69" s="684"/>
      <c r="MUZ69" s="684"/>
      <c r="MVA69" s="684"/>
      <c r="MVB69" s="684"/>
      <c r="MVC69" s="684"/>
      <c r="MVD69" s="684"/>
      <c r="MVE69" s="684"/>
      <c r="MVF69" s="684"/>
      <c r="MVG69" s="684"/>
      <c r="MVH69" s="684"/>
      <c r="MVI69" s="684"/>
      <c r="MVJ69" s="684"/>
      <c r="MVK69" s="684"/>
      <c r="MVL69" s="684"/>
      <c r="MVM69" s="684"/>
      <c r="MVN69" s="684"/>
      <c r="MVO69" s="684"/>
      <c r="MVP69" s="684"/>
      <c r="MVQ69" s="684"/>
      <c r="MVR69" s="684"/>
      <c r="MVS69" s="684"/>
      <c r="MVT69" s="684"/>
      <c r="MVU69" s="684"/>
      <c r="MVV69" s="684"/>
      <c r="MVW69" s="684"/>
      <c r="MVX69" s="684"/>
      <c r="MVY69" s="684"/>
      <c r="MVZ69" s="684"/>
      <c r="MWA69" s="684"/>
      <c r="MWB69" s="684"/>
      <c r="MWC69" s="684"/>
      <c r="MWD69" s="684"/>
      <c r="MWE69" s="684"/>
      <c r="MWF69" s="684"/>
      <c r="MWG69" s="684"/>
      <c r="MWH69" s="684"/>
      <c r="MWI69" s="684"/>
      <c r="MWJ69" s="684"/>
      <c r="MWK69" s="684"/>
      <c r="MWL69" s="684"/>
      <c r="MWM69" s="684"/>
      <c r="MWN69" s="684"/>
      <c r="MWO69" s="684"/>
      <c r="MWP69" s="684"/>
      <c r="MWQ69" s="684"/>
      <c r="MWR69" s="684"/>
      <c r="MWS69" s="684"/>
      <c r="MWT69" s="684"/>
      <c r="MWU69" s="684"/>
      <c r="MWV69" s="684"/>
      <c r="MWW69" s="684"/>
      <c r="MWX69" s="684"/>
      <c r="MWY69" s="684"/>
      <c r="MWZ69" s="684"/>
      <c r="MXA69" s="684"/>
      <c r="MXB69" s="684"/>
      <c r="MXC69" s="684"/>
      <c r="MXD69" s="684"/>
      <c r="MXE69" s="684"/>
      <c r="MXF69" s="684"/>
      <c r="MXG69" s="684"/>
      <c r="MXH69" s="684"/>
      <c r="MXI69" s="684"/>
      <c r="MXJ69" s="684"/>
      <c r="MXK69" s="684"/>
      <c r="MXL69" s="684"/>
      <c r="MXM69" s="684"/>
      <c r="MXN69" s="684"/>
      <c r="MXO69" s="684"/>
      <c r="MXP69" s="684"/>
      <c r="MXQ69" s="684"/>
      <c r="MXR69" s="684"/>
      <c r="MXS69" s="684"/>
      <c r="MXT69" s="684"/>
      <c r="MXU69" s="684"/>
      <c r="MXV69" s="684"/>
      <c r="MXW69" s="684"/>
      <c r="MXX69" s="684"/>
      <c r="MXY69" s="684"/>
      <c r="MXZ69" s="684"/>
      <c r="MYA69" s="684"/>
      <c r="MYB69" s="684"/>
      <c r="MYC69" s="684"/>
      <c r="MYD69" s="684"/>
      <c r="MYE69" s="684"/>
      <c r="MYF69" s="684"/>
      <c r="MYG69" s="684"/>
      <c r="MYH69" s="684"/>
      <c r="MYI69" s="684"/>
      <c r="MYJ69" s="684"/>
      <c r="MYK69" s="684"/>
      <c r="MYL69" s="684"/>
      <c r="MYM69" s="684"/>
      <c r="MYN69" s="684"/>
      <c r="MYO69" s="684"/>
      <c r="MYP69" s="684"/>
      <c r="MYQ69" s="684"/>
      <c r="MYR69" s="684"/>
      <c r="MYS69" s="684"/>
      <c r="MYT69" s="684"/>
      <c r="MYU69" s="684"/>
      <c r="MYV69" s="684"/>
      <c r="MYW69" s="684"/>
      <c r="MYX69" s="684"/>
      <c r="MYY69" s="684"/>
      <c r="MYZ69" s="684"/>
      <c r="MZA69" s="684"/>
      <c r="MZB69" s="684"/>
      <c r="MZC69" s="684"/>
      <c r="MZD69" s="684"/>
      <c r="MZE69" s="684"/>
      <c r="MZF69" s="684"/>
      <c r="MZG69" s="684"/>
      <c r="MZH69" s="684"/>
      <c r="MZI69" s="684"/>
      <c r="MZJ69" s="684"/>
      <c r="MZK69" s="684"/>
      <c r="MZL69" s="684"/>
      <c r="MZM69" s="684"/>
      <c r="MZN69" s="684"/>
      <c r="MZO69" s="684"/>
      <c r="MZP69" s="684"/>
      <c r="MZQ69" s="684"/>
      <c r="MZR69" s="684"/>
      <c r="MZS69" s="684"/>
      <c r="MZT69" s="684"/>
      <c r="MZU69" s="684"/>
      <c r="MZV69" s="684"/>
      <c r="MZW69" s="684"/>
      <c r="MZX69" s="684"/>
      <c r="MZY69" s="684"/>
      <c r="MZZ69" s="684"/>
      <c r="NAA69" s="684"/>
      <c r="NAB69" s="684"/>
      <c r="NAC69" s="684"/>
      <c r="NAD69" s="684"/>
      <c r="NAE69" s="684"/>
      <c r="NAF69" s="684"/>
      <c r="NAG69" s="684"/>
      <c r="NAH69" s="684"/>
      <c r="NAI69" s="684"/>
      <c r="NAJ69" s="684"/>
      <c r="NAK69" s="684"/>
      <c r="NAL69" s="684"/>
      <c r="NAM69" s="684"/>
      <c r="NAN69" s="684"/>
      <c r="NAO69" s="684"/>
      <c r="NAP69" s="684"/>
      <c r="NAQ69" s="684"/>
      <c r="NAR69" s="684"/>
      <c r="NAS69" s="684"/>
      <c r="NAT69" s="684"/>
      <c r="NAU69" s="684"/>
      <c r="NAV69" s="684"/>
      <c r="NAW69" s="684"/>
      <c r="NAX69" s="684"/>
      <c r="NAY69" s="684"/>
      <c r="NAZ69" s="684"/>
      <c r="NBA69" s="684"/>
      <c r="NBB69" s="684"/>
      <c r="NBC69" s="684"/>
      <c r="NBD69" s="684"/>
      <c r="NBE69" s="684"/>
      <c r="NBF69" s="684"/>
      <c r="NBG69" s="684"/>
      <c r="NBH69" s="684"/>
      <c r="NBI69" s="684"/>
      <c r="NBJ69" s="684"/>
      <c r="NBK69" s="684"/>
      <c r="NBL69" s="684"/>
      <c r="NBM69" s="684"/>
      <c r="NBN69" s="684"/>
      <c r="NBO69" s="684"/>
      <c r="NBP69" s="684"/>
      <c r="NBQ69" s="684"/>
      <c r="NBR69" s="684"/>
      <c r="NBS69" s="684"/>
      <c r="NBT69" s="684"/>
      <c r="NBU69" s="684"/>
      <c r="NBV69" s="684"/>
      <c r="NBW69" s="684"/>
      <c r="NBX69" s="684"/>
      <c r="NBY69" s="684"/>
      <c r="NBZ69" s="684"/>
      <c r="NCA69" s="684"/>
      <c r="NCB69" s="684"/>
      <c r="NCC69" s="684"/>
      <c r="NCD69" s="684"/>
      <c r="NCE69" s="684"/>
      <c r="NCF69" s="684"/>
      <c r="NCG69" s="684"/>
      <c r="NCH69" s="684"/>
      <c r="NCI69" s="684"/>
      <c r="NCJ69" s="684"/>
      <c r="NCK69" s="684"/>
      <c r="NCL69" s="684"/>
      <c r="NCM69" s="684"/>
      <c r="NCN69" s="684"/>
      <c r="NCO69" s="684"/>
      <c r="NCP69" s="684"/>
      <c r="NCQ69" s="684"/>
      <c r="NCR69" s="684"/>
      <c r="NCS69" s="684"/>
      <c r="NCT69" s="684"/>
      <c r="NCU69" s="684"/>
      <c r="NCV69" s="684"/>
      <c r="NCW69" s="684"/>
      <c r="NCX69" s="684"/>
      <c r="NCY69" s="684"/>
      <c r="NCZ69" s="684"/>
      <c r="NDA69" s="684"/>
      <c r="NDB69" s="684"/>
      <c r="NDC69" s="684"/>
      <c r="NDD69" s="684"/>
      <c r="NDE69" s="684"/>
      <c r="NDF69" s="684"/>
      <c r="NDG69" s="684"/>
      <c r="NDH69" s="684"/>
      <c r="NDI69" s="684"/>
      <c r="NDJ69" s="684"/>
      <c r="NDK69" s="684"/>
      <c r="NDL69" s="684"/>
      <c r="NDM69" s="684"/>
      <c r="NDN69" s="684"/>
      <c r="NDO69" s="684"/>
      <c r="NDP69" s="684"/>
      <c r="NDQ69" s="684"/>
      <c r="NDR69" s="684"/>
      <c r="NDS69" s="684"/>
      <c r="NDT69" s="684"/>
      <c r="NDU69" s="684"/>
      <c r="NDV69" s="684"/>
      <c r="NDW69" s="684"/>
      <c r="NDX69" s="684"/>
      <c r="NDY69" s="684"/>
      <c r="NDZ69" s="684"/>
      <c r="NEA69" s="684"/>
      <c r="NEB69" s="684"/>
      <c r="NEC69" s="684"/>
      <c r="NED69" s="684"/>
      <c r="NEE69" s="684"/>
      <c r="NEF69" s="684"/>
      <c r="NEG69" s="684"/>
      <c r="NEH69" s="684"/>
      <c r="NEI69" s="684"/>
      <c r="NEJ69" s="684"/>
      <c r="NEK69" s="684"/>
      <c r="NEL69" s="684"/>
      <c r="NEM69" s="684"/>
      <c r="NEN69" s="684"/>
      <c r="NEO69" s="684"/>
      <c r="NEP69" s="684"/>
      <c r="NEQ69" s="684"/>
      <c r="NER69" s="684"/>
      <c r="NES69" s="684"/>
      <c r="NET69" s="684"/>
      <c r="NEU69" s="684"/>
      <c r="NEV69" s="684"/>
      <c r="NEW69" s="684"/>
      <c r="NEX69" s="684"/>
      <c r="NEY69" s="684"/>
      <c r="NEZ69" s="684"/>
      <c r="NFA69" s="684"/>
      <c r="NFB69" s="684"/>
      <c r="NFC69" s="684"/>
      <c r="NFD69" s="684"/>
      <c r="NFE69" s="684"/>
      <c r="NFF69" s="684"/>
      <c r="NFG69" s="684"/>
      <c r="NFH69" s="684"/>
      <c r="NFI69" s="684"/>
      <c r="NFJ69" s="684"/>
      <c r="NFK69" s="684"/>
      <c r="NFL69" s="684"/>
      <c r="NFM69" s="684"/>
      <c r="NFN69" s="684"/>
      <c r="NFO69" s="684"/>
      <c r="NFP69" s="684"/>
      <c r="NFQ69" s="684"/>
      <c r="NFR69" s="684"/>
      <c r="NFS69" s="684"/>
      <c r="NFT69" s="684"/>
      <c r="NFU69" s="684"/>
      <c r="NFV69" s="684"/>
      <c r="NFW69" s="684"/>
      <c r="NFX69" s="684"/>
      <c r="NFY69" s="684"/>
      <c r="NFZ69" s="684"/>
      <c r="NGA69" s="684"/>
      <c r="NGB69" s="684"/>
      <c r="NGC69" s="684"/>
      <c r="NGD69" s="684"/>
      <c r="NGE69" s="684"/>
      <c r="NGF69" s="684"/>
      <c r="NGG69" s="684"/>
      <c r="NGH69" s="684"/>
      <c r="NGI69" s="684"/>
      <c r="NGJ69" s="684"/>
      <c r="NGK69" s="684"/>
      <c r="NGL69" s="684"/>
      <c r="NGM69" s="684"/>
      <c r="NGN69" s="684"/>
      <c r="NGO69" s="684"/>
      <c r="NGP69" s="684"/>
      <c r="NGQ69" s="684"/>
      <c r="NGR69" s="684"/>
      <c r="NGS69" s="684"/>
      <c r="NGT69" s="684"/>
      <c r="NGU69" s="684"/>
      <c r="NGV69" s="684"/>
      <c r="NGW69" s="684"/>
      <c r="NGX69" s="684"/>
      <c r="NGY69" s="684"/>
      <c r="NGZ69" s="684"/>
      <c r="NHA69" s="684"/>
      <c r="NHB69" s="684"/>
      <c r="NHC69" s="684"/>
      <c r="NHD69" s="684"/>
      <c r="NHE69" s="684"/>
      <c r="NHF69" s="684"/>
      <c r="NHG69" s="684"/>
      <c r="NHH69" s="684"/>
      <c r="NHI69" s="684"/>
      <c r="NHJ69" s="684"/>
      <c r="NHK69" s="684"/>
      <c r="NHL69" s="684"/>
      <c r="NHM69" s="684"/>
      <c r="NHN69" s="684"/>
      <c r="NHO69" s="684"/>
      <c r="NHP69" s="684"/>
      <c r="NHQ69" s="684"/>
      <c r="NHR69" s="684"/>
      <c r="NHS69" s="684"/>
      <c r="NHT69" s="684"/>
      <c r="NHU69" s="684"/>
      <c r="NHV69" s="684"/>
      <c r="NHW69" s="684"/>
      <c r="NHX69" s="684"/>
      <c r="NHY69" s="684"/>
      <c r="NHZ69" s="684"/>
      <c r="NIA69" s="684"/>
      <c r="NIB69" s="684"/>
      <c r="NIC69" s="684"/>
      <c r="NID69" s="684"/>
      <c r="NIE69" s="684"/>
      <c r="NIF69" s="684"/>
      <c r="NIG69" s="684"/>
      <c r="NIH69" s="684"/>
      <c r="NII69" s="684"/>
      <c r="NIJ69" s="684"/>
      <c r="NIK69" s="684"/>
      <c r="NIL69" s="684"/>
      <c r="NIM69" s="684"/>
      <c r="NIN69" s="684"/>
      <c r="NIO69" s="684"/>
      <c r="NIP69" s="684"/>
      <c r="NIQ69" s="684"/>
      <c r="NIR69" s="684"/>
      <c r="NIS69" s="684"/>
      <c r="NIT69" s="684"/>
      <c r="NIU69" s="684"/>
      <c r="NIV69" s="684"/>
      <c r="NIW69" s="684"/>
      <c r="NIX69" s="684"/>
      <c r="NIY69" s="684"/>
      <c r="NIZ69" s="684"/>
      <c r="NJA69" s="684"/>
      <c r="NJB69" s="684"/>
      <c r="NJC69" s="684"/>
      <c r="NJD69" s="684"/>
      <c r="NJE69" s="684"/>
      <c r="NJF69" s="684"/>
      <c r="NJG69" s="684"/>
      <c r="NJH69" s="684"/>
      <c r="NJI69" s="684"/>
      <c r="NJJ69" s="684"/>
      <c r="NJK69" s="684"/>
      <c r="NJL69" s="684"/>
      <c r="NJM69" s="684"/>
      <c r="NJN69" s="684"/>
      <c r="NJO69" s="684"/>
      <c r="NJP69" s="684"/>
      <c r="NJQ69" s="684"/>
      <c r="NJR69" s="684"/>
      <c r="NJS69" s="684"/>
      <c r="NJT69" s="684"/>
      <c r="NJU69" s="684"/>
      <c r="NJV69" s="684"/>
      <c r="NJW69" s="684"/>
      <c r="NJX69" s="684"/>
      <c r="NJY69" s="684"/>
      <c r="NJZ69" s="684"/>
      <c r="NKA69" s="684"/>
      <c r="NKB69" s="684"/>
      <c r="NKC69" s="684"/>
      <c r="NKD69" s="684"/>
      <c r="NKE69" s="684"/>
      <c r="NKF69" s="684"/>
      <c r="NKG69" s="684"/>
      <c r="NKH69" s="684"/>
      <c r="NKI69" s="684"/>
      <c r="NKJ69" s="684"/>
      <c r="NKK69" s="684"/>
      <c r="NKL69" s="684"/>
      <c r="NKM69" s="684"/>
      <c r="NKN69" s="684"/>
      <c r="NKO69" s="684"/>
      <c r="NKP69" s="684"/>
      <c r="NKQ69" s="684"/>
      <c r="NKR69" s="684"/>
      <c r="NKS69" s="684"/>
      <c r="NKT69" s="684"/>
      <c r="NKU69" s="684"/>
      <c r="NKV69" s="684"/>
      <c r="NKW69" s="684"/>
      <c r="NKX69" s="684"/>
      <c r="NKY69" s="684"/>
      <c r="NKZ69" s="684"/>
      <c r="NLA69" s="684"/>
      <c r="NLB69" s="684"/>
      <c r="NLC69" s="684"/>
      <c r="NLD69" s="684"/>
      <c r="NLE69" s="684"/>
      <c r="NLF69" s="684"/>
      <c r="NLG69" s="684"/>
      <c r="NLH69" s="684"/>
      <c r="NLI69" s="684"/>
      <c r="NLJ69" s="684"/>
      <c r="NLK69" s="684"/>
      <c r="NLL69" s="684"/>
      <c r="NLM69" s="684"/>
      <c r="NLN69" s="684"/>
      <c r="NLO69" s="684"/>
      <c r="NLP69" s="684"/>
      <c r="NLQ69" s="684"/>
      <c r="NLR69" s="684"/>
      <c r="NLS69" s="684"/>
      <c r="NLT69" s="684"/>
      <c r="NLU69" s="684"/>
      <c r="NLV69" s="684"/>
      <c r="NLW69" s="684"/>
      <c r="NLX69" s="684"/>
      <c r="NLY69" s="684"/>
      <c r="NLZ69" s="684"/>
      <c r="NMA69" s="684"/>
      <c r="NMB69" s="684"/>
      <c r="NMC69" s="684"/>
      <c r="NMD69" s="684"/>
      <c r="NME69" s="684"/>
      <c r="NMF69" s="684"/>
      <c r="NMG69" s="684"/>
      <c r="NMH69" s="684"/>
      <c r="NMI69" s="684"/>
      <c r="NMJ69" s="684"/>
      <c r="NMK69" s="684"/>
      <c r="NML69" s="684"/>
      <c r="NMM69" s="684"/>
      <c r="NMN69" s="684"/>
      <c r="NMO69" s="684"/>
      <c r="NMP69" s="684"/>
      <c r="NMQ69" s="684"/>
      <c r="NMR69" s="684"/>
      <c r="NMS69" s="684"/>
      <c r="NMT69" s="684"/>
      <c r="NMU69" s="684"/>
      <c r="NMV69" s="684"/>
      <c r="NMW69" s="684"/>
      <c r="NMX69" s="684"/>
      <c r="NMY69" s="684"/>
      <c r="NMZ69" s="684"/>
      <c r="NNA69" s="684"/>
      <c r="NNB69" s="684"/>
      <c r="NNC69" s="684"/>
      <c r="NND69" s="684"/>
      <c r="NNE69" s="684"/>
      <c r="NNF69" s="684"/>
      <c r="NNG69" s="684"/>
      <c r="NNH69" s="684"/>
      <c r="NNI69" s="684"/>
      <c r="NNJ69" s="684"/>
      <c r="NNK69" s="684"/>
      <c r="NNL69" s="684"/>
      <c r="NNM69" s="684"/>
      <c r="NNN69" s="684"/>
      <c r="NNO69" s="684"/>
      <c r="NNP69" s="684"/>
      <c r="NNQ69" s="684"/>
      <c r="NNR69" s="684"/>
      <c r="NNS69" s="684"/>
      <c r="NNT69" s="684"/>
      <c r="NNU69" s="684"/>
      <c r="NNV69" s="684"/>
      <c r="NNW69" s="684"/>
      <c r="NNX69" s="684"/>
      <c r="NNY69" s="684"/>
      <c r="NNZ69" s="684"/>
      <c r="NOA69" s="684"/>
      <c r="NOB69" s="684"/>
      <c r="NOC69" s="684"/>
      <c r="NOD69" s="684"/>
      <c r="NOE69" s="684"/>
      <c r="NOF69" s="684"/>
      <c r="NOG69" s="684"/>
      <c r="NOH69" s="684"/>
      <c r="NOI69" s="684"/>
      <c r="NOJ69" s="684"/>
      <c r="NOK69" s="684"/>
      <c r="NOL69" s="684"/>
      <c r="NOM69" s="684"/>
      <c r="NON69" s="684"/>
      <c r="NOO69" s="684"/>
      <c r="NOP69" s="684"/>
      <c r="NOQ69" s="684"/>
      <c r="NOR69" s="684"/>
      <c r="NOS69" s="684"/>
      <c r="NOT69" s="684"/>
      <c r="NOU69" s="684"/>
      <c r="NOV69" s="684"/>
      <c r="NOW69" s="684"/>
      <c r="NOX69" s="684"/>
      <c r="NOY69" s="684"/>
      <c r="NOZ69" s="684"/>
      <c r="NPA69" s="684"/>
      <c r="NPB69" s="684"/>
      <c r="NPC69" s="684"/>
      <c r="NPD69" s="684"/>
      <c r="NPE69" s="684"/>
      <c r="NPF69" s="684"/>
      <c r="NPG69" s="684"/>
      <c r="NPH69" s="684"/>
      <c r="NPI69" s="684"/>
      <c r="NPJ69" s="684"/>
      <c r="NPK69" s="684"/>
      <c r="NPL69" s="684"/>
      <c r="NPM69" s="684"/>
      <c r="NPN69" s="684"/>
      <c r="NPO69" s="684"/>
      <c r="NPP69" s="684"/>
      <c r="NPQ69" s="684"/>
      <c r="NPR69" s="684"/>
      <c r="NPS69" s="684"/>
      <c r="NPT69" s="684"/>
      <c r="NPU69" s="684"/>
      <c r="NPV69" s="684"/>
      <c r="NPW69" s="684"/>
      <c r="NPX69" s="684"/>
      <c r="NPY69" s="684"/>
      <c r="NPZ69" s="684"/>
      <c r="NQA69" s="684"/>
      <c r="NQB69" s="684"/>
      <c r="NQC69" s="684"/>
      <c r="NQD69" s="684"/>
      <c r="NQE69" s="684"/>
      <c r="NQF69" s="684"/>
      <c r="NQG69" s="684"/>
      <c r="NQH69" s="684"/>
      <c r="NQI69" s="684"/>
      <c r="NQJ69" s="684"/>
      <c r="NQK69" s="684"/>
      <c r="NQL69" s="684"/>
      <c r="NQM69" s="684"/>
      <c r="NQN69" s="684"/>
      <c r="NQO69" s="684"/>
      <c r="NQP69" s="684"/>
      <c r="NQQ69" s="684"/>
      <c r="NQR69" s="684"/>
      <c r="NQS69" s="684"/>
      <c r="NQT69" s="684"/>
      <c r="NQU69" s="684"/>
      <c r="NQV69" s="684"/>
      <c r="NQW69" s="684"/>
      <c r="NQX69" s="684"/>
      <c r="NQY69" s="684"/>
      <c r="NQZ69" s="684"/>
      <c r="NRA69" s="684"/>
      <c r="NRB69" s="684"/>
      <c r="NRC69" s="684"/>
      <c r="NRD69" s="684"/>
      <c r="NRE69" s="684"/>
      <c r="NRF69" s="684"/>
      <c r="NRG69" s="684"/>
      <c r="NRH69" s="684"/>
      <c r="NRI69" s="684"/>
      <c r="NRJ69" s="684"/>
      <c r="NRK69" s="684"/>
      <c r="NRL69" s="684"/>
      <c r="NRM69" s="684"/>
      <c r="NRN69" s="684"/>
      <c r="NRO69" s="684"/>
      <c r="NRP69" s="684"/>
      <c r="NRQ69" s="684"/>
      <c r="NRR69" s="684"/>
      <c r="NRS69" s="684"/>
      <c r="NRT69" s="684"/>
      <c r="NRU69" s="684"/>
      <c r="NRV69" s="684"/>
      <c r="NRW69" s="684"/>
      <c r="NRX69" s="684"/>
      <c r="NRY69" s="684"/>
      <c r="NRZ69" s="684"/>
      <c r="NSA69" s="684"/>
      <c r="NSB69" s="684"/>
      <c r="NSC69" s="684"/>
      <c r="NSD69" s="684"/>
      <c r="NSE69" s="684"/>
      <c r="NSF69" s="684"/>
      <c r="NSG69" s="684"/>
      <c r="NSH69" s="684"/>
      <c r="NSI69" s="684"/>
      <c r="NSJ69" s="684"/>
      <c r="NSK69" s="684"/>
      <c r="NSL69" s="684"/>
      <c r="NSM69" s="684"/>
      <c r="NSN69" s="684"/>
      <c r="NSO69" s="684"/>
      <c r="NSP69" s="684"/>
      <c r="NSQ69" s="684"/>
      <c r="NSR69" s="684"/>
      <c r="NSS69" s="684"/>
      <c r="NST69" s="684"/>
      <c r="NSU69" s="684"/>
      <c r="NSV69" s="684"/>
      <c r="NSW69" s="684"/>
      <c r="NSX69" s="684"/>
      <c r="NSY69" s="684"/>
      <c r="NSZ69" s="684"/>
      <c r="NTA69" s="684"/>
      <c r="NTB69" s="684"/>
      <c r="NTC69" s="684"/>
      <c r="NTD69" s="684"/>
      <c r="NTE69" s="684"/>
      <c r="NTF69" s="684"/>
      <c r="NTG69" s="684"/>
      <c r="NTH69" s="684"/>
      <c r="NTI69" s="684"/>
      <c r="NTJ69" s="684"/>
      <c r="NTK69" s="684"/>
      <c r="NTL69" s="684"/>
      <c r="NTM69" s="684"/>
      <c r="NTN69" s="684"/>
      <c r="NTO69" s="684"/>
      <c r="NTP69" s="684"/>
      <c r="NTQ69" s="684"/>
      <c r="NTR69" s="684"/>
      <c r="NTS69" s="684"/>
      <c r="NTT69" s="684"/>
      <c r="NTU69" s="684"/>
      <c r="NTV69" s="684"/>
      <c r="NTW69" s="684"/>
      <c r="NTX69" s="684"/>
      <c r="NTY69" s="684"/>
      <c r="NTZ69" s="684"/>
      <c r="NUA69" s="684"/>
      <c r="NUB69" s="684"/>
      <c r="NUC69" s="684"/>
      <c r="NUD69" s="684"/>
      <c r="NUE69" s="684"/>
      <c r="NUF69" s="684"/>
      <c r="NUG69" s="684"/>
      <c r="NUH69" s="684"/>
      <c r="NUI69" s="684"/>
      <c r="NUJ69" s="684"/>
      <c r="NUK69" s="684"/>
      <c r="NUL69" s="684"/>
      <c r="NUM69" s="684"/>
      <c r="NUN69" s="684"/>
      <c r="NUO69" s="684"/>
      <c r="NUP69" s="684"/>
      <c r="NUQ69" s="684"/>
      <c r="NUR69" s="684"/>
      <c r="NUS69" s="684"/>
      <c r="NUT69" s="684"/>
      <c r="NUU69" s="684"/>
      <c r="NUV69" s="684"/>
      <c r="NUW69" s="684"/>
      <c r="NUX69" s="684"/>
      <c r="NUY69" s="684"/>
      <c r="NUZ69" s="684"/>
      <c r="NVA69" s="684"/>
      <c r="NVB69" s="684"/>
      <c r="NVC69" s="684"/>
      <c r="NVD69" s="684"/>
      <c r="NVE69" s="684"/>
      <c r="NVF69" s="684"/>
      <c r="NVG69" s="684"/>
      <c r="NVH69" s="684"/>
      <c r="NVI69" s="684"/>
      <c r="NVJ69" s="684"/>
      <c r="NVK69" s="684"/>
      <c r="NVL69" s="684"/>
      <c r="NVM69" s="684"/>
      <c r="NVN69" s="684"/>
      <c r="NVO69" s="684"/>
      <c r="NVP69" s="684"/>
      <c r="NVQ69" s="684"/>
      <c r="NVR69" s="684"/>
      <c r="NVS69" s="684"/>
      <c r="NVT69" s="684"/>
      <c r="NVU69" s="684"/>
      <c r="NVV69" s="684"/>
      <c r="NVW69" s="684"/>
      <c r="NVX69" s="684"/>
      <c r="NVY69" s="684"/>
      <c r="NVZ69" s="684"/>
      <c r="NWA69" s="684"/>
      <c r="NWB69" s="684"/>
      <c r="NWC69" s="684"/>
      <c r="NWD69" s="684"/>
      <c r="NWE69" s="684"/>
      <c r="NWF69" s="684"/>
      <c r="NWG69" s="684"/>
      <c r="NWH69" s="684"/>
      <c r="NWI69" s="684"/>
      <c r="NWJ69" s="684"/>
      <c r="NWK69" s="684"/>
      <c r="NWL69" s="684"/>
      <c r="NWM69" s="684"/>
      <c r="NWN69" s="684"/>
      <c r="NWO69" s="684"/>
      <c r="NWP69" s="684"/>
      <c r="NWQ69" s="684"/>
      <c r="NWR69" s="684"/>
      <c r="NWS69" s="684"/>
      <c r="NWT69" s="684"/>
      <c r="NWU69" s="684"/>
      <c r="NWV69" s="684"/>
      <c r="NWW69" s="684"/>
      <c r="NWX69" s="684"/>
      <c r="NWY69" s="684"/>
      <c r="NWZ69" s="684"/>
      <c r="NXA69" s="684"/>
      <c r="NXB69" s="684"/>
      <c r="NXC69" s="684"/>
      <c r="NXD69" s="684"/>
      <c r="NXE69" s="684"/>
      <c r="NXF69" s="684"/>
      <c r="NXG69" s="684"/>
      <c r="NXH69" s="684"/>
      <c r="NXI69" s="684"/>
      <c r="NXJ69" s="684"/>
      <c r="NXK69" s="684"/>
      <c r="NXL69" s="684"/>
      <c r="NXM69" s="684"/>
      <c r="NXN69" s="684"/>
      <c r="NXO69" s="684"/>
      <c r="NXP69" s="684"/>
      <c r="NXQ69" s="684"/>
      <c r="NXR69" s="684"/>
      <c r="NXS69" s="684"/>
      <c r="NXT69" s="684"/>
      <c r="NXU69" s="684"/>
      <c r="NXV69" s="684"/>
      <c r="NXW69" s="684"/>
      <c r="NXX69" s="684"/>
      <c r="NXY69" s="684"/>
      <c r="NXZ69" s="684"/>
      <c r="NYA69" s="684"/>
      <c r="NYB69" s="684"/>
      <c r="NYC69" s="684"/>
      <c r="NYD69" s="684"/>
      <c r="NYE69" s="684"/>
      <c r="NYF69" s="684"/>
      <c r="NYG69" s="684"/>
      <c r="NYH69" s="684"/>
      <c r="NYI69" s="684"/>
      <c r="NYJ69" s="684"/>
      <c r="NYK69" s="684"/>
      <c r="NYL69" s="684"/>
      <c r="NYM69" s="684"/>
      <c r="NYN69" s="684"/>
      <c r="NYO69" s="684"/>
      <c r="NYP69" s="684"/>
      <c r="NYQ69" s="684"/>
      <c r="NYR69" s="684"/>
      <c r="NYS69" s="684"/>
      <c r="NYT69" s="684"/>
      <c r="NYU69" s="684"/>
      <c r="NYV69" s="684"/>
      <c r="NYW69" s="684"/>
      <c r="NYX69" s="684"/>
      <c r="NYY69" s="684"/>
      <c r="NYZ69" s="684"/>
      <c r="NZA69" s="684"/>
      <c r="NZB69" s="684"/>
      <c r="NZC69" s="684"/>
      <c r="NZD69" s="684"/>
      <c r="NZE69" s="684"/>
      <c r="NZF69" s="684"/>
      <c r="NZG69" s="684"/>
      <c r="NZH69" s="684"/>
      <c r="NZI69" s="684"/>
      <c r="NZJ69" s="684"/>
      <c r="NZK69" s="684"/>
      <c r="NZL69" s="684"/>
      <c r="NZM69" s="684"/>
      <c r="NZN69" s="684"/>
      <c r="NZO69" s="684"/>
      <c r="NZP69" s="684"/>
      <c r="NZQ69" s="684"/>
      <c r="NZR69" s="684"/>
      <c r="NZS69" s="684"/>
      <c r="NZT69" s="684"/>
      <c r="NZU69" s="684"/>
      <c r="NZV69" s="684"/>
      <c r="NZW69" s="684"/>
      <c r="NZX69" s="684"/>
      <c r="NZY69" s="684"/>
      <c r="NZZ69" s="684"/>
      <c r="OAA69" s="684"/>
      <c r="OAB69" s="684"/>
      <c r="OAC69" s="684"/>
      <c r="OAD69" s="684"/>
      <c r="OAE69" s="684"/>
      <c r="OAF69" s="684"/>
      <c r="OAG69" s="684"/>
      <c r="OAH69" s="684"/>
      <c r="OAI69" s="684"/>
      <c r="OAJ69" s="684"/>
      <c r="OAK69" s="684"/>
      <c r="OAL69" s="684"/>
      <c r="OAM69" s="684"/>
      <c r="OAN69" s="684"/>
      <c r="OAO69" s="684"/>
      <c r="OAP69" s="684"/>
      <c r="OAQ69" s="684"/>
      <c r="OAR69" s="684"/>
      <c r="OAS69" s="684"/>
      <c r="OAT69" s="684"/>
      <c r="OAU69" s="684"/>
      <c r="OAV69" s="684"/>
      <c r="OAW69" s="684"/>
      <c r="OAX69" s="684"/>
      <c r="OAY69" s="684"/>
      <c r="OAZ69" s="684"/>
      <c r="OBA69" s="684"/>
      <c r="OBB69" s="684"/>
      <c r="OBC69" s="684"/>
      <c r="OBD69" s="684"/>
      <c r="OBE69" s="684"/>
      <c r="OBF69" s="684"/>
      <c r="OBG69" s="684"/>
      <c r="OBH69" s="684"/>
      <c r="OBI69" s="684"/>
      <c r="OBJ69" s="684"/>
      <c r="OBK69" s="684"/>
      <c r="OBL69" s="684"/>
      <c r="OBM69" s="684"/>
      <c r="OBN69" s="684"/>
      <c r="OBO69" s="684"/>
      <c r="OBP69" s="684"/>
      <c r="OBQ69" s="684"/>
      <c r="OBR69" s="684"/>
      <c r="OBS69" s="684"/>
      <c r="OBT69" s="684"/>
      <c r="OBU69" s="684"/>
      <c r="OBV69" s="684"/>
      <c r="OBW69" s="684"/>
      <c r="OBX69" s="684"/>
      <c r="OBY69" s="684"/>
      <c r="OBZ69" s="684"/>
      <c r="OCA69" s="684"/>
      <c r="OCB69" s="684"/>
      <c r="OCC69" s="684"/>
      <c r="OCD69" s="684"/>
      <c r="OCE69" s="684"/>
      <c r="OCF69" s="684"/>
      <c r="OCG69" s="684"/>
      <c r="OCH69" s="684"/>
      <c r="OCI69" s="684"/>
      <c r="OCJ69" s="684"/>
      <c r="OCK69" s="684"/>
      <c r="OCL69" s="684"/>
      <c r="OCM69" s="684"/>
      <c r="OCN69" s="684"/>
      <c r="OCO69" s="684"/>
      <c r="OCP69" s="684"/>
      <c r="OCQ69" s="684"/>
      <c r="OCR69" s="684"/>
      <c r="OCS69" s="684"/>
      <c r="OCT69" s="684"/>
      <c r="OCU69" s="684"/>
      <c r="OCV69" s="684"/>
      <c r="OCW69" s="684"/>
      <c r="OCX69" s="684"/>
      <c r="OCY69" s="684"/>
      <c r="OCZ69" s="684"/>
      <c r="ODA69" s="684"/>
      <c r="ODB69" s="684"/>
      <c r="ODC69" s="684"/>
      <c r="ODD69" s="684"/>
      <c r="ODE69" s="684"/>
      <c r="ODF69" s="684"/>
      <c r="ODG69" s="684"/>
      <c r="ODH69" s="684"/>
      <c r="ODI69" s="684"/>
      <c r="ODJ69" s="684"/>
      <c r="ODK69" s="684"/>
      <c r="ODL69" s="684"/>
      <c r="ODM69" s="684"/>
      <c r="ODN69" s="684"/>
      <c r="ODO69" s="684"/>
      <c r="ODP69" s="684"/>
      <c r="ODQ69" s="684"/>
      <c r="ODR69" s="684"/>
      <c r="ODS69" s="684"/>
      <c r="ODT69" s="684"/>
      <c r="ODU69" s="684"/>
      <c r="ODV69" s="684"/>
      <c r="ODW69" s="684"/>
      <c r="ODX69" s="684"/>
      <c r="ODY69" s="684"/>
      <c r="ODZ69" s="684"/>
      <c r="OEA69" s="684"/>
      <c r="OEB69" s="684"/>
      <c r="OEC69" s="684"/>
      <c r="OED69" s="684"/>
      <c r="OEE69" s="684"/>
      <c r="OEF69" s="684"/>
      <c r="OEG69" s="684"/>
      <c r="OEH69" s="684"/>
      <c r="OEI69" s="684"/>
      <c r="OEJ69" s="684"/>
      <c r="OEK69" s="684"/>
      <c r="OEL69" s="684"/>
      <c r="OEM69" s="684"/>
      <c r="OEN69" s="684"/>
      <c r="OEO69" s="684"/>
      <c r="OEP69" s="684"/>
      <c r="OEQ69" s="684"/>
      <c r="OER69" s="684"/>
      <c r="OES69" s="684"/>
      <c r="OET69" s="684"/>
      <c r="OEU69" s="684"/>
      <c r="OEV69" s="684"/>
      <c r="OEW69" s="684"/>
      <c r="OEX69" s="684"/>
      <c r="OEY69" s="684"/>
      <c r="OEZ69" s="684"/>
      <c r="OFA69" s="684"/>
      <c r="OFB69" s="684"/>
      <c r="OFC69" s="684"/>
      <c r="OFD69" s="684"/>
      <c r="OFE69" s="684"/>
      <c r="OFF69" s="684"/>
      <c r="OFG69" s="684"/>
      <c r="OFH69" s="684"/>
      <c r="OFI69" s="684"/>
      <c r="OFJ69" s="684"/>
      <c r="OFK69" s="684"/>
      <c r="OFL69" s="684"/>
      <c r="OFM69" s="684"/>
      <c r="OFN69" s="684"/>
      <c r="OFO69" s="684"/>
      <c r="OFP69" s="684"/>
      <c r="OFQ69" s="684"/>
      <c r="OFR69" s="684"/>
      <c r="OFS69" s="684"/>
      <c r="OFT69" s="684"/>
      <c r="OFU69" s="684"/>
      <c r="OFV69" s="684"/>
      <c r="OFW69" s="684"/>
      <c r="OFX69" s="684"/>
      <c r="OFY69" s="684"/>
      <c r="OFZ69" s="684"/>
      <c r="OGA69" s="684"/>
      <c r="OGB69" s="684"/>
      <c r="OGC69" s="684"/>
      <c r="OGD69" s="684"/>
      <c r="OGE69" s="684"/>
      <c r="OGF69" s="684"/>
      <c r="OGG69" s="684"/>
      <c r="OGH69" s="684"/>
      <c r="OGI69" s="684"/>
      <c r="OGJ69" s="684"/>
      <c r="OGK69" s="684"/>
      <c r="OGL69" s="684"/>
      <c r="OGM69" s="684"/>
      <c r="OGN69" s="684"/>
      <c r="OGO69" s="684"/>
      <c r="OGP69" s="684"/>
      <c r="OGQ69" s="684"/>
      <c r="OGR69" s="684"/>
      <c r="OGS69" s="684"/>
      <c r="OGT69" s="684"/>
      <c r="OGU69" s="684"/>
      <c r="OGV69" s="684"/>
      <c r="OGW69" s="684"/>
      <c r="OGX69" s="684"/>
      <c r="OGY69" s="684"/>
      <c r="OGZ69" s="684"/>
      <c r="OHA69" s="684"/>
      <c r="OHB69" s="684"/>
      <c r="OHC69" s="684"/>
      <c r="OHD69" s="684"/>
      <c r="OHE69" s="684"/>
      <c r="OHF69" s="684"/>
      <c r="OHG69" s="684"/>
      <c r="OHH69" s="684"/>
      <c r="OHI69" s="684"/>
      <c r="OHJ69" s="684"/>
      <c r="OHK69" s="684"/>
      <c r="OHL69" s="684"/>
      <c r="OHM69" s="684"/>
      <c r="OHN69" s="684"/>
      <c r="OHO69" s="684"/>
      <c r="OHP69" s="684"/>
      <c r="OHQ69" s="684"/>
      <c r="OHR69" s="684"/>
      <c r="OHS69" s="684"/>
      <c r="OHT69" s="684"/>
      <c r="OHU69" s="684"/>
      <c r="OHV69" s="684"/>
      <c r="OHW69" s="684"/>
      <c r="OHX69" s="684"/>
      <c r="OHY69" s="684"/>
      <c r="OHZ69" s="684"/>
      <c r="OIA69" s="684"/>
      <c r="OIB69" s="684"/>
      <c r="OIC69" s="684"/>
      <c r="OID69" s="684"/>
      <c r="OIE69" s="684"/>
      <c r="OIF69" s="684"/>
      <c r="OIG69" s="684"/>
      <c r="OIH69" s="684"/>
      <c r="OII69" s="684"/>
      <c r="OIJ69" s="684"/>
      <c r="OIK69" s="684"/>
      <c r="OIL69" s="684"/>
      <c r="OIM69" s="684"/>
      <c r="OIN69" s="684"/>
      <c r="OIO69" s="684"/>
      <c r="OIP69" s="684"/>
      <c r="OIQ69" s="684"/>
      <c r="OIR69" s="684"/>
      <c r="OIS69" s="684"/>
      <c r="OIT69" s="684"/>
      <c r="OIU69" s="684"/>
      <c r="OIV69" s="684"/>
      <c r="OIW69" s="684"/>
      <c r="OIX69" s="684"/>
      <c r="OIY69" s="684"/>
      <c r="OIZ69" s="684"/>
      <c r="OJA69" s="684"/>
      <c r="OJB69" s="684"/>
      <c r="OJC69" s="684"/>
      <c r="OJD69" s="684"/>
      <c r="OJE69" s="684"/>
      <c r="OJF69" s="684"/>
      <c r="OJG69" s="684"/>
      <c r="OJH69" s="684"/>
      <c r="OJI69" s="684"/>
      <c r="OJJ69" s="684"/>
      <c r="OJK69" s="684"/>
      <c r="OJL69" s="684"/>
      <c r="OJM69" s="684"/>
      <c r="OJN69" s="684"/>
      <c r="OJO69" s="684"/>
      <c r="OJP69" s="684"/>
      <c r="OJQ69" s="684"/>
      <c r="OJR69" s="684"/>
      <c r="OJS69" s="684"/>
      <c r="OJT69" s="684"/>
      <c r="OJU69" s="684"/>
      <c r="OJV69" s="684"/>
      <c r="OJW69" s="684"/>
      <c r="OJX69" s="684"/>
      <c r="OJY69" s="684"/>
      <c r="OJZ69" s="684"/>
      <c r="OKA69" s="684"/>
      <c r="OKB69" s="684"/>
      <c r="OKC69" s="684"/>
      <c r="OKD69" s="684"/>
      <c r="OKE69" s="684"/>
      <c r="OKF69" s="684"/>
      <c r="OKG69" s="684"/>
      <c r="OKH69" s="684"/>
      <c r="OKI69" s="684"/>
      <c r="OKJ69" s="684"/>
      <c r="OKK69" s="684"/>
      <c r="OKL69" s="684"/>
      <c r="OKM69" s="684"/>
      <c r="OKN69" s="684"/>
      <c r="OKO69" s="684"/>
      <c r="OKP69" s="684"/>
      <c r="OKQ69" s="684"/>
      <c r="OKR69" s="684"/>
      <c r="OKS69" s="684"/>
      <c r="OKT69" s="684"/>
      <c r="OKU69" s="684"/>
      <c r="OKV69" s="684"/>
      <c r="OKW69" s="684"/>
      <c r="OKX69" s="684"/>
      <c r="OKY69" s="684"/>
      <c r="OKZ69" s="684"/>
      <c r="OLA69" s="684"/>
      <c r="OLB69" s="684"/>
      <c r="OLC69" s="684"/>
      <c r="OLD69" s="684"/>
      <c r="OLE69" s="684"/>
      <c r="OLF69" s="684"/>
      <c r="OLG69" s="684"/>
      <c r="OLH69" s="684"/>
      <c r="OLI69" s="684"/>
      <c r="OLJ69" s="684"/>
      <c r="OLK69" s="684"/>
      <c r="OLL69" s="684"/>
      <c r="OLM69" s="684"/>
      <c r="OLN69" s="684"/>
      <c r="OLO69" s="684"/>
      <c r="OLP69" s="684"/>
      <c r="OLQ69" s="684"/>
      <c r="OLR69" s="684"/>
      <c r="OLS69" s="684"/>
      <c r="OLT69" s="684"/>
      <c r="OLU69" s="684"/>
      <c r="OLV69" s="684"/>
      <c r="OLW69" s="684"/>
      <c r="OLX69" s="684"/>
      <c r="OLY69" s="684"/>
      <c r="OLZ69" s="684"/>
      <c r="OMA69" s="684"/>
      <c r="OMB69" s="684"/>
      <c r="OMC69" s="684"/>
      <c r="OMD69" s="684"/>
      <c r="OME69" s="684"/>
      <c r="OMF69" s="684"/>
      <c r="OMG69" s="684"/>
      <c r="OMH69" s="684"/>
      <c r="OMI69" s="684"/>
      <c r="OMJ69" s="684"/>
      <c r="OMK69" s="684"/>
      <c r="OML69" s="684"/>
      <c r="OMM69" s="684"/>
      <c r="OMN69" s="684"/>
      <c r="OMO69" s="684"/>
      <c r="OMP69" s="684"/>
      <c r="OMQ69" s="684"/>
      <c r="OMR69" s="684"/>
      <c r="OMS69" s="684"/>
      <c r="OMT69" s="684"/>
      <c r="OMU69" s="684"/>
      <c r="OMV69" s="684"/>
      <c r="OMW69" s="684"/>
      <c r="OMX69" s="684"/>
      <c r="OMY69" s="684"/>
      <c r="OMZ69" s="684"/>
      <c r="ONA69" s="684"/>
      <c r="ONB69" s="684"/>
      <c r="ONC69" s="684"/>
      <c r="OND69" s="684"/>
      <c r="ONE69" s="684"/>
      <c r="ONF69" s="684"/>
      <c r="ONG69" s="684"/>
      <c r="ONH69" s="684"/>
      <c r="ONI69" s="684"/>
      <c r="ONJ69" s="684"/>
      <c r="ONK69" s="684"/>
      <c r="ONL69" s="684"/>
      <c r="ONM69" s="684"/>
      <c r="ONN69" s="684"/>
      <c r="ONO69" s="684"/>
      <c r="ONP69" s="684"/>
      <c r="ONQ69" s="684"/>
      <c r="ONR69" s="684"/>
      <c r="ONS69" s="684"/>
      <c r="ONT69" s="684"/>
      <c r="ONU69" s="684"/>
      <c r="ONV69" s="684"/>
      <c r="ONW69" s="684"/>
      <c r="ONX69" s="684"/>
      <c r="ONY69" s="684"/>
      <c r="ONZ69" s="684"/>
      <c r="OOA69" s="684"/>
      <c r="OOB69" s="684"/>
      <c r="OOC69" s="684"/>
      <c r="OOD69" s="684"/>
      <c r="OOE69" s="684"/>
      <c r="OOF69" s="684"/>
      <c r="OOG69" s="684"/>
      <c r="OOH69" s="684"/>
      <c r="OOI69" s="684"/>
      <c r="OOJ69" s="684"/>
      <c r="OOK69" s="684"/>
      <c r="OOL69" s="684"/>
      <c r="OOM69" s="684"/>
      <c r="OON69" s="684"/>
      <c r="OOO69" s="684"/>
      <c r="OOP69" s="684"/>
      <c r="OOQ69" s="684"/>
      <c r="OOR69" s="684"/>
      <c r="OOS69" s="684"/>
      <c r="OOT69" s="684"/>
      <c r="OOU69" s="684"/>
      <c r="OOV69" s="684"/>
      <c r="OOW69" s="684"/>
      <c r="OOX69" s="684"/>
      <c r="OOY69" s="684"/>
      <c r="OOZ69" s="684"/>
      <c r="OPA69" s="684"/>
      <c r="OPB69" s="684"/>
      <c r="OPC69" s="684"/>
      <c r="OPD69" s="684"/>
      <c r="OPE69" s="684"/>
      <c r="OPF69" s="684"/>
      <c r="OPG69" s="684"/>
      <c r="OPH69" s="684"/>
      <c r="OPI69" s="684"/>
      <c r="OPJ69" s="684"/>
      <c r="OPK69" s="684"/>
      <c r="OPL69" s="684"/>
      <c r="OPM69" s="684"/>
      <c r="OPN69" s="684"/>
      <c r="OPO69" s="684"/>
      <c r="OPP69" s="684"/>
      <c r="OPQ69" s="684"/>
      <c r="OPR69" s="684"/>
      <c r="OPS69" s="684"/>
      <c r="OPT69" s="684"/>
      <c r="OPU69" s="684"/>
      <c r="OPV69" s="684"/>
      <c r="OPW69" s="684"/>
      <c r="OPX69" s="684"/>
      <c r="OPY69" s="684"/>
      <c r="OPZ69" s="684"/>
      <c r="OQA69" s="684"/>
      <c r="OQB69" s="684"/>
      <c r="OQC69" s="684"/>
      <c r="OQD69" s="684"/>
      <c r="OQE69" s="684"/>
      <c r="OQF69" s="684"/>
      <c r="OQG69" s="684"/>
      <c r="OQH69" s="684"/>
      <c r="OQI69" s="684"/>
      <c r="OQJ69" s="684"/>
      <c r="OQK69" s="684"/>
      <c r="OQL69" s="684"/>
      <c r="OQM69" s="684"/>
      <c r="OQN69" s="684"/>
      <c r="OQO69" s="684"/>
      <c r="OQP69" s="684"/>
      <c r="OQQ69" s="684"/>
      <c r="OQR69" s="684"/>
      <c r="OQS69" s="684"/>
      <c r="OQT69" s="684"/>
      <c r="OQU69" s="684"/>
      <c r="OQV69" s="684"/>
      <c r="OQW69" s="684"/>
      <c r="OQX69" s="684"/>
      <c r="OQY69" s="684"/>
      <c r="OQZ69" s="684"/>
      <c r="ORA69" s="684"/>
      <c r="ORB69" s="684"/>
      <c r="ORC69" s="684"/>
      <c r="ORD69" s="684"/>
      <c r="ORE69" s="684"/>
      <c r="ORF69" s="684"/>
      <c r="ORG69" s="684"/>
      <c r="ORH69" s="684"/>
      <c r="ORI69" s="684"/>
      <c r="ORJ69" s="684"/>
      <c r="ORK69" s="684"/>
      <c r="ORL69" s="684"/>
      <c r="ORM69" s="684"/>
      <c r="ORN69" s="684"/>
      <c r="ORO69" s="684"/>
      <c r="ORP69" s="684"/>
      <c r="ORQ69" s="684"/>
      <c r="ORR69" s="684"/>
      <c r="ORS69" s="684"/>
      <c r="ORT69" s="684"/>
      <c r="ORU69" s="684"/>
      <c r="ORV69" s="684"/>
      <c r="ORW69" s="684"/>
      <c r="ORX69" s="684"/>
      <c r="ORY69" s="684"/>
      <c r="ORZ69" s="684"/>
      <c r="OSA69" s="684"/>
      <c r="OSB69" s="684"/>
      <c r="OSC69" s="684"/>
      <c r="OSD69" s="684"/>
      <c r="OSE69" s="684"/>
      <c r="OSF69" s="684"/>
      <c r="OSG69" s="684"/>
      <c r="OSH69" s="684"/>
      <c r="OSI69" s="684"/>
      <c r="OSJ69" s="684"/>
      <c r="OSK69" s="684"/>
      <c r="OSL69" s="684"/>
      <c r="OSM69" s="684"/>
      <c r="OSN69" s="684"/>
      <c r="OSO69" s="684"/>
      <c r="OSP69" s="684"/>
      <c r="OSQ69" s="684"/>
      <c r="OSR69" s="684"/>
      <c r="OSS69" s="684"/>
      <c r="OST69" s="684"/>
      <c r="OSU69" s="684"/>
      <c r="OSV69" s="684"/>
      <c r="OSW69" s="684"/>
      <c r="OSX69" s="684"/>
      <c r="OSY69" s="684"/>
      <c r="OSZ69" s="684"/>
      <c r="OTA69" s="684"/>
      <c r="OTB69" s="684"/>
      <c r="OTC69" s="684"/>
      <c r="OTD69" s="684"/>
      <c r="OTE69" s="684"/>
      <c r="OTF69" s="684"/>
      <c r="OTG69" s="684"/>
      <c r="OTH69" s="684"/>
      <c r="OTI69" s="684"/>
      <c r="OTJ69" s="684"/>
      <c r="OTK69" s="684"/>
      <c r="OTL69" s="684"/>
      <c r="OTM69" s="684"/>
      <c r="OTN69" s="684"/>
      <c r="OTO69" s="684"/>
      <c r="OTP69" s="684"/>
      <c r="OTQ69" s="684"/>
      <c r="OTR69" s="684"/>
      <c r="OTS69" s="684"/>
      <c r="OTT69" s="684"/>
      <c r="OTU69" s="684"/>
      <c r="OTV69" s="684"/>
      <c r="OTW69" s="684"/>
      <c r="OTX69" s="684"/>
      <c r="OTY69" s="684"/>
      <c r="OTZ69" s="684"/>
      <c r="OUA69" s="684"/>
      <c r="OUB69" s="684"/>
      <c r="OUC69" s="684"/>
      <c r="OUD69" s="684"/>
      <c r="OUE69" s="684"/>
      <c r="OUF69" s="684"/>
      <c r="OUG69" s="684"/>
      <c r="OUH69" s="684"/>
      <c r="OUI69" s="684"/>
      <c r="OUJ69" s="684"/>
      <c r="OUK69" s="684"/>
      <c r="OUL69" s="684"/>
      <c r="OUM69" s="684"/>
      <c r="OUN69" s="684"/>
      <c r="OUO69" s="684"/>
      <c r="OUP69" s="684"/>
      <c r="OUQ69" s="684"/>
      <c r="OUR69" s="684"/>
      <c r="OUS69" s="684"/>
      <c r="OUT69" s="684"/>
      <c r="OUU69" s="684"/>
      <c r="OUV69" s="684"/>
      <c r="OUW69" s="684"/>
      <c r="OUX69" s="684"/>
      <c r="OUY69" s="684"/>
      <c r="OUZ69" s="684"/>
      <c r="OVA69" s="684"/>
      <c r="OVB69" s="684"/>
      <c r="OVC69" s="684"/>
      <c r="OVD69" s="684"/>
      <c r="OVE69" s="684"/>
      <c r="OVF69" s="684"/>
      <c r="OVG69" s="684"/>
      <c r="OVH69" s="684"/>
      <c r="OVI69" s="684"/>
      <c r="OVJ69" s="684"/>
      <c r="OVK69" s="684"/>
      <c r="OVL69" s="684"/>
      <c r="OVM69" s="684"/>
      <c r="OVN69" s="684"/>
      <c r="OVO69" s="684"/>
      <c r="OVP69" s="684"/>
      <c r="OVQ69" s="684"/>
      <c r="OVR69" s="684"/>
      <c r="OVS69" s="684"/>
      <c r="OVT69" s="684"/>
      <c r="OVU69" s="684"/>
      <c r="OVV69" s="684"/>
      <c r="OVW69" s="684"/>
      <c r="OVX69" s="684"/>
      <c r="OVY69" s="684"/>
      <c r="OVZ69" s="684"/>
      <c r="OWA69" s="684"/>
      <c r="OWB69" s="684"/>
      <c r="OWC69" s="684"/>
      <c r="OWD69" s="684"/>
      <c r="OWE69" s="684"/>
      <c r="OWF69" s="684"/>
      <c r="OWG69" s="684"/>
      <c r="OWH69" s="684"/>
      <c r="OWI69" s="684"/>
      <c r="OWJ69" s="684"/>
      <c r="OWK69" s="684"/>
      <c r="OWL69" s="684"/>
      <c r="OWM69" s="684"/>
      <c r="OWN69" s="684"/>
      <c r="OWO69" s="684"/>
      <c r="OWP69" s="684"/>
      <c r="OWQ69" s="684"/>
      <c r="OWR69" s="684"/>
      <c r="OWS69" s="684"/>
      <c r="OWT69" s="684"/>
      <c r="OWU69" s="684"/>
      <c r="OWV69" s="684"/>
      <c r="OWW69" s="684"/>
      <c r="OWX69" s="684"/>
      <c r="OWY69" s="684"/>
      <c r="OWZ69" s="684"/>
      <c r="OXA69" s="684"/>
      <c r="OXB69" s="684"/>
      <c r="OXC69" s="684"/>
      <c r="OXD69" s="684"/>
      <c r="OXE69" s="684"/>
      <c r="OXF69" s="684"/>
      <c r="OXG69" s="684"/>
      <c r="OXH69" s="684"/>
      <c r="OXI69" s="684"/>
      <c r="OXJ69" s="684"/>
      <c r="OXK69" s="684"/>
      <c r="OXL69" s="684"/>
      <c r="OXM69" s="684"/>
      <c r="OXN69" s="684"/>
      <c r="OXO69" s="684"/>
      <c r="OXP69" s="684"/>
      <c r="OXQ69" s="684"/>
      <c r="OXR69" s="684"/>
      <c r="OXS69" s="684"/>
      <c r="OXT69" s="684"/>
      <c r="OXU69" s="684"/>
      <c r="OXV69" s="684"/>
      <c r="OXW69" s="684"/>
      <c r="OXX69" s="684"/>
      <c r="OXY69" s="684"/>
      <c r="OXZ69" s="684"/>
      <c r="OYA69" s="684"/>
      <c r="OYB69" s="684"/>
      <c r="OYC69" s="684"/>
      <c r="OYD69" s="684"/>
      <c r="OYE69" s="684"/>
      <c r="OYF69" s="684"/>
      <c r="OYG69" s="684"/>
      <c r="OYH69" s="684"/>
      <c r="OYI69" s="684"/>
      <c r="OYJ69" s="684"/>
      <c r="OYK69" s="684"/>
      <c r="OYL69" s="684"/>
      <c r="OYM69" s="684"/>
      <c r="OYN69" s="684"/>
      <c r="OYO69" s="684"/>
      <c r="OYP69" s="684"/>
      <c r="OYQ69" s="684"/>
      <c r="OYR69" s="684"/>
      <c r="OYS69" s="684"/>
      <c r="OYT69" s="684"/>
      <c r="OYU69" s="684"/>
      <c r="OYV69" s="684"/>
      <c r="OYW69" s="684"/>
      <c r="OYX69" s="684"/>
      <c r="OYY69" s="684"/>
      <c r="OYZ69" s="684"/>
      <c r="OZA69" s="684"/>
      <c r="OZB69" s="684"/>
      <c r="OZC69" s="684"/>
      <c r="OZD69" s="684"/>
      <c r="OZE69" s="684"/>
      <c r="OZF69" s="684"/>
      <c r="OZG69" s="684"/>
      <c r="OZH69" s="684"/>
      <c r="OZI69" s="684"/>
      <c r="OZJ69" s="684"/>
      <c r="OZK69" s="684"/>
      <c r="OZL69" s="684"/>
      <c r="OZM69" s="684"/>
      <c r="OZN69" s="684"/>
      <c r="OZO69" s="684"/>
      <c r="OZP69" s="684"/>
      <c r="OZQ69" s="684"/>
      <c r="OZR69" s="684"/>
      <c r="OZS69" s="684"/>
      <c r="OZT69" s="684"/>
      <c r="OZU69" s="684"/>
      <c r="OZV69" s="684"/>
      <c r="OZW69" s="684"/>
      <c r="OZX69" s="684"/>
      <c r="OZY69" s="684"/>
      <c r="OZZ69" s="684"/>
      <c r="PAA69" s="684"/>
      <c r="PAB69" s="684"/>
      <c r="PAC69" s="684"/>
      <c r="PAD69" s="684"/>
      <c r="PAE69" s="684"/>
      <c r="PAF69" s="684"/>
      <c r="PAG69" s="684"/>
      <c r="PAH69" s="684"/>
      <c r="PAI69" s="684"/>
      <c r="PAJ69" s="684"/>
      <c r="PAK69" s="684"/>
      <c r="PAL69" s="684"/>
      <c r="PAM69" s="684"/>
      <c r="PAN69" s="684"/>
      <c r="PAO69" s="684"/>
      <c r="PAP69" s="684"/>
      <c r="PAQ69" s="684"/>
      <c r="PAR69" s="684"/>
      <c r="PAS69" s="684"/>
      <c r="PAT69" s="684"/>
      <c r="PAU69" s="684"/>
      <c r="PAV69" s="684"/>
      <c r="PAW69" s="684"/>
      <c r="PAX69" s="684"/>
      <c r="PAY69" s="684"/>
      <c r="PAZ69" s="684"/>
      <c r="PBA69" s="684"/>
      <c r="PBB69" s="684"/>
      <c r="PBC69" s="684"/>
      <c r="PBD69" s="684"/>
      <c r="PBE69" s="684"/>
      <c r="PBF69" s="684"/>
      <c r="PBG69" s="684"/>
      <c r="PBH69" s="684"/>
      <c r="PBI69" s="684"/>
      <c r="PBJ69" s="684"/>
      <c r="PBK69" s="684"/>
      <c r="PBL69" s="684"/>
      <c r="PBM69" s="684"/>
      <c r="PBN69" s="684"/>
      <c r="PBO69" s="684"/>
      <c r="PBP69" s="684"/>
      <c r="PBQ69" s="684"/>
      <c r="PBR69" s="684"/>
      <c r="PBS69" s="684"/>
      <c r="PBT69" s="684"/>
      <c r="PBU69" s="684"/>
      <c r="PBV69" s="684"/>
      <c r="PBW69" s="684"/>
      <c r="PBX69" s="684"/>
      <c r="PBY69" s="684"/>
      <c r="PBZ69" s="684"/>
      <c r="PCA69" s="684"/>
      <c r="PCB69" s="684"/>
      <c r="PCC69" s="684"/>
      <c r="PCD69" s="684"/>
      <c r="PCE69" s="684"/>
      <c r="PCF69" s="684"/>
      <c r="PCG69" s="684"/>
      <c r="PCH69" s="684"/>
      <c r="PCI69" s="684"/>
      <c r="PCJ69" s="684"/>
      <c r="PCK69" s="684"/>
      <c r="PCL69" s="684"/>
      <c r="PCM69" s="684"/>
      <c r="PCN69" s="684"/>
      <c r="PCO69" s="684"/>
      <c r="PCP69" s="684"/>
      <c r="PCQ69" s="684"/>
      <c r="PCR69" s="684"/>
      <c r="PCS69" s="684"/>
      <c r="PCT69" s="684"/>
      <c r="PCU69" s="684"/>
      <c r="PCV69" s="684"/>
      <c r="PCW69" s="684"/>
      <c r="PCX69" s="684"/>
      <c r="PCY69" s="684"/>
      <c r="PCZ69" s="684"/>
      <c r="PDA69" s="684"/>
      <c r="PDB69" s="684"/>
      <c r="PDC69" s="684"/>
      <c r="PDD69" s="684"/>
      <c r="PDE69" s="684"/>
      <c r="PDF69" s="684"/>
      <c r="PDG69" s="684"/>
      <c r="PDH69" s="684"/>
      <c r="PDI69" s="684"/>
      <c r="PDJ69" s="684"/>
      <c r="PDK69" s="684"/>
      <c r="PDL69" s="684"/>
      <c r="PDM69" s="684"/>
      <c r="PDN69" s="684"/>
      <c r="PDO69" s="684"/>
      <c r="PDP69" s="684"/>
      <c r="PDQ69" s="684"/>
      <c r="PDR69" s="684"/>
      <c r="PDS69" s="684"/>
      <c r="PDT69" s="684"/>
      <c r="PDU69" s="684"/>
      <c r="PDV69" s="684"/>
      <c r="PDW69" s="684"/>
      <c r="PDX69" s="684"/>
      <c r="PDY69" s="684"/>
      <c r="PDZ69" s="684"/>
      <c r="PEA69" s="684"/>
      <c r="PEB69" s="684"/>
      <c r="PEC69" s="684"/>
      <c r="PED69" s="684"/>
      <c r="PEE69" s="684"/>
      <c r="PEF69" s="684"/>
      <c r="PEG69" s="684"/>
      <c r="PEH69" s="684"/>
      <c r="PEI69" s="684"/>
      <c r="PEJ69" s="684"/>
      <c r="PEK69" s="684"/>
      <c r="PEL69" s="684"/>
      <c r="PEM69" s="684"/>
      <c r="PEN69" s="684"/>
      <c r="PEO69" s="684"/>
      <c r="PEP69" s="684"/>
      <c r="PEQ69" s="684"/>
      <c r="PER69" s="684"/>
      <c r="PES69" s="684"/>
      <c r="PET69" s="684"/>
      <c r="PEU69" s="684"/>
      <c r="PEV69" s="684"/>
      <c r="PEW69" s="684"/>
      <c r="PEX69" s="684"/>
      <c r="PEY69" s="684"/>
      <c r="PEZ69" s="684"/>
      <c r="PFA69" s="684"/>
      <c r="PFB69" s="684"/>
      <c r="PFC69" s="684"/>
      <c r="PFD69" s="684"/>
      <c r="PFE69" s="684"/>
      <c r="PFF69" s="684"/>
      <c r="PFG69" s="684"/>
      <c r="PFH69" s="684"/>
      <c r="PFI69" s="684"/>
      <c r="PFJ69" s="684"/>
      <c r="PFK69" s="684"/>
      <c r="PFL69" s="684"/>
      <c r="PFM69" s="684"/>
      <c r="PFN69" s="684"/>
      <c r="PFO69" s="684"/>
      <c r="PFP69" s="684"/>
      <c r="PFQ69" s="684"/>
      <c r="PFR69" s="684"/>
      <c r="PFS69" s="684"/>
      <c r="PFT69" s="684"/>
      <c r="PFU69" s="684"/>
      <c r="PFV69" s="684"/>
      <c r="PFW69" s="684"/>
      <c r="PFX69" s="684"/>
      <c r="PFY69" s="684"/>
      <c r="PFZ69" s="684"/>
      <c r="PGA69" s="684"/>
      <c r="PGB69" s="684"/>
      <c r="PGC69" s="684"/>
      <c r="PGD69" s="684"/>
      <c r="PGE69" s="684"/>
      <c r="PGF69" s="684"/>
      <c r="PGG69" s="684"/>
      <c r="PGH69" s="684"/>
      <c r="PGI69" s="684"/>
      <c r="PGJ69" s="684"/>
      <c r="PGK69" s="684"/>
      <c r="PGL69" s="684"/>
      <c r="PGM69" s="684"/>
      <c r="PGN69" s="684"/>
      <c r="PGO69" s="684"/>
      <c r="PGP69" s="684"/>
      <c r="PGQ69" s="684"/>
      <c r="PGR69" s="684"/>
      <c r="PGS69" s="684"/>
      <c r="PGT69" s="684"/>
      <c r="PGU69" s="684"/>
      <c r="PGV69" s="684"/>
      <c r="PGW69" s="684"/>
      <c r="PGX69" s="684"/>
      <c r="PGY69" s="684"/>
      <c r="PGZ69" s="684"/>
      <c r="PHA69" s="684"/>
      <c r="PHB69" s="684"/>
      <c r="PHC69" s="684"/>
      <c r="PHD69" s="684"/>
      <c r="PHE69" s="684"/>
      <c r="PHF69" s="684"/>
      <c r="PHG69" s="684"/>
      <c r="PHH69" s="684"/>
      <c r="PHI69" s="684"/>
      <c r="PHJ69" s="684"/>
      <c r="PHK69" s="684"/>
      <c r="PHL69" s="684"/>
      <c r="PHM69" s="684"/>
      <c r="PHN69" s="684"/>
      <c r="PHO69" s="684"/>
      <c r="PHP69" s="684"/>
      <c r="PHQ69" s="684"/>
      <c r="PHR69" s="684"/>
      <c r="PHS69" s="684"/>
      <c r="PHT69" s="684"/>
      <c r="PHU69" s="684"/>
      <c r="PHV69" s="684"/>
      <c r="PHW69" s="684"/>
      <c r="PHX69" s="684"/>
      <c r="PHY69" s="684"/>
      <c r="PHZ69" s="684"/>
      <c r="PIA69" s="684"/>
      <c r="PIB69" s="684"/>
      <c r="PIC69" s="684"/>
      <c r="PID69" s="684"/>
      <c r="PIE69" s="684"/>
      <c r="PIF69" s="684"/>
      <c r="PIG69" s="684"/>
      <c r="PIH69" s="684"/>
      <c r="PII69" s="684"/>
      <c r="PIJ69" s="684"/>
      <c r="PIK69" s="684"/>
      <c r="PIL69" s="684"/>
      <c r="PIM69" s="684"/>
      <c r="PIN69" s="684"/>
      <c r="PIO69" s="684"/>
      <c r="PIP69" s="684"/>
      <c r="PIQ69" s="684"/>
      <c r="PIR69" s="684"/>
      <c r="PIS69" s="684"/>
      <c r="PIT69" s="684"/>
      <c r="PIU69" s="684"/>
      <c r="PIV69" s="684"/>
      <c r="PIW69" s="684"/>
      <c r="PIX69" s="684"/>
      <c r="PIY69" s="684"/>
      <c r="PIZ69" s="684"/>
      <c r="PJA69" s="684"/>
      <c r="PJB69" s="684"/>
      <c r="PJC69" s="684"/>
      <c r="PJD69" s="684"/>
      <c r="PJE69" s="684"/>
      <c r="PJF69" s="684"/>
      <c r="PJG69" s="684"/>
      <c r="PJH69" s="684"/>
      <c r="PJI69" s="684"/>
      <c r="PJJ69" s="684"/>
      <c r="PJK69" s="684"/>
      <c r="PJL69" s="684"/>
      <c r="PJM69" s="684"/>
      <c r="PJN69" s="684"/>
      <c r="PJO69" s="684"/>
      <c r="PJP69" s="684"/>
      <c r="PJQ69" s="684"/>
      <c r="PJR69" s="684"/>
      <c r="PJS69" s="684"/>
      <c r="PJT69" s="684"/>
      <c r="PJU69" s="684"/>
      <c r="PJV69" s="684"/>
      <c r="PJW69" s="684"/>
      <c r="PJX69" s="684"/>
      <c r="PJY69" s="684"/>
      <c r="PJZ69" s="684"/>
      <c r="PKA69" s="684"/>
      <c r="PKB69" s="684"/>
      <c r="PKC69" s="684"/>
      <c r="PKD69" s="684"/>
      <c r="PKE69" s="684"/>
      <c r="PKF69" s="684"/>
      <c r="PKG69" s="684"/>
      <c r="PKH69" s="684"/>
      <c r="PKI69" s="684"/>
      <c r="PKJ69" s="684"/>
      <c r="PKK69" s="684"/>
      <c r="PKL69" s="684"/>
      <c r="PKM69" s="684"/>
      <c r="PKN69" s="684"/>
      <c r="PKO69" s="684"/>
      <c r="PKP69" s="684"/>
      <c r="PKQ69" s="684"/>
      <c r="PKR69" s="684"/>
      <c r="PKS69" s="684"/>
      <c r="PKT69" s="684"/>
      <c r="PKU69" s="684"/>
      <c r="PKV69" s="684"/>
      <c r="PKW69" s="684"/>
      <c r="PKX69" s="684"/>
      <c r="PKY69" s="684"/>
      <c r="PKZ69" s="684"/>
      <c r="PLA69" s="684"/>
      <c r="PLB69" s="684"/>
      <c r="PLC69" s="684"/>
      <c r="PLD69" s="684"/>
      <c r="PLE69" s="684"/>
      <c r="PLF69" s="684"/>
      <c r="PLG69" s="684"/>
      <c r="PLH69" s="684"/>
      <c r="PLI69" s="684"/>
      <c r="PLJ69" s="684"/>
      <c r="PLK69" s="684"/>
      <c r="PLL69" s="684"/>
      <c r="PLM69" s="684"/>
      <c r="PLN69" s="684"/>
      <c r="PLO69" s="684"/>
      <c r="PLP69" s="684"/>
      <c r="PLQ69" s="684"/>
      <c r="PLR69" s="684"/>
      <c r="PLS69" s="684"/>
      <c r="PLT69" s="684"/>
      <c r="PLU69" s="684"/>
      <c r="PLV69" s="684"/>
      <c r="PLW69" s="684"/>
      <c r="PLX69" s="684"/>
      <c r="PLY69" s="684"/>
      <c r="PLZ69" s="684"/>
      <c r="PMA69" s="684"/>
      <c r="PMB69" s="684"/>
      <c r="PMC69" s="684"/>
      <c r="PMD69" s="684"/>
      <c r="PME69" s="684"/>
      <c r="PMF69" s="684"/>
      <c r="PMG69" s="684"/>
      <c r="PMH69" s="684"/>
      <c r="PMI69" s="684"/>
      <c r="PMJ69" s="684"/>
      <c r="PMK69" s="684"/>
      <c r="PML69" s="684"/>
      <c r="PMM69" s="684"/>
      <c r="PMN69" s="684"/>
      <c r="PMO69" s="684"/>
      <c r="PMP69" s="684"/>
      <c r="PMQ69" s="684"/>
      <c r="PMR69" s="684"/>
      <c r="PMS69" s="684"/>
      <c r="PMT69" s="684"/>
      <c r="PMU69" s="684"/>
      <c r="PMV69" s="684"/>
      <c r="PMW69" s="684"/>
      <c r="PMX69" s="684"/>
      <c r="PMY69" s="684"/>
      <c r="PMZ69" s="684"/>
      <c r="PNA69" s="684"/>
      <c r="PNB69" s="684"/>
      <c r="PNC69" s="684"/>
      <c r="PND69" s="684"/>
      <c r="PNE69" s="684"/>
      <c r="PNF69" s="684"/>
      <c r="PNG69" s="684"/>
      <c r="PNH69" s="684"/>
      <c r="PNI69" s="684"/>
      <c r="PNJ69" s="684"/>
      <c r="PNK69" s="684"/>
      <c r="PNL69" s="684"/>
      <c r="PNM69" s="684"/>
      <c r="PNN69" s="684"/>
      <c r="PNO69" s="684"/>
      <c r="PNP69" s="684"/>
      <c r="PNQ69" s="684"/>
      <c r="PNR69" s="684"/>
      <c r="PNS69" s="684"/>
      <c r="PNT69" s="684"/>
      <c r="PNU69" s="684"/>
      <c r="PNV69" s="684"/>
      <c r="PNW69" s="684"/>
      <c r="PNX69" s="684"/>
      <c r="PNY69" s="684"/>
      <c r="PNZ69" s="684"/>
      <c r="POA69" s="684"/>
      <c r="POB69" s="684"/>
      <c r="POC69" s="684"/>
      <c r="POD69" s="684"/>
      <c r="POE69" s="684"/>
      <c r="POF69" s="684"/>
      <c r="POG69" s="684"/>
      <c r="POH69" s="684"/>
      <c r="POI69" s="684"/>
      <c r="POJ69" s="684"/>
      <c r="POK69" s="684"/>
      <c r="POL69" s="684"/>
      <c r="POM69" s="684"/>
      <c r="PON69" s="684"/>
      <c r="POO69" s="684"/>
      <c r="POP69" s="684"/>
      <c r="POQ69" s="684"/>
      <c r="POR69" s="684"/>
      <c r="POS69" s="684"/>
      <c r="POT69" s="684"/>
      <c r="POU69" s="684"/>
      <c r="POV69" s="684"/>
      <c r="POW69" s="684"/>
      <c r="POX69" s="684"/>
      <c r="POY69" s="684"/>
      <c r="POZ69" s="684"/>
      <c r="PPA69" s="684"/>
      <c r="PPB69" s="684"/>
      <c r="PPC69" s="684"/>
      <c r="PPD69" s="684"/>
      <c r="PPE69" s="684"/>
      <c r="PPF69" s="684"/>
      <c r="PPG69" s="684"/>
      <c r="PPH69" s="684"/>
      <c r="PPI69" s="684"/>
      <c r="PPJ69" s="684"/>
      <c r="PPK69" s="684"/>
      <c r="PPL69" s="684"/>
      <c r="PPM69" s="684"/>
      <c r="PPN69" s="684"/>
      <c r="PPO69" s="684"/>
      <c r="PPP69" s="684"/>
      <c r="PPQ69" s="684"/>
      <c r="PPR69" s="684"/>
      <c r="PPS69" s="684"/>
      <c r="PPT69" s="684"/>
      <c r="PPU69" s="684"/>
      <c r="PPV69" s="684"/>
      <c r="PPW69" s="684"/>
      <c r="PPX69" s="684"/>
      <c r="PPY69" s="684"/>
      <c r="PPZ69" s="684"/>
      <c r="PQA69" s="684"/>
      <c r="PQB69" s="684"/>
      <c r="PQC69" s="684"/>
      <c r="PQD69" s="684"/>
      <c r="PQE69" s="684"/>
      <c r="PQF69" s="684"/>
      <c r="PQG69" s="684"/>
      <c r="PQH69" s="684"/>
      <c r="PQI69" s="684"/>
      <c r="PQJ69" s="684"/>
      <c r="PQK69" s="684"/>
      <c r="PQL69" s="684"/>
      <c r="PQM69" s="684"/>
      <c r="PQN69" s="684"/>
      <c r="PQO69" s="684"/>
      <c r="PQP69" s="684"/>
      <c r="PQQ69" s="684"/>
      <c r="PQR69" s="684"/>
      <c r="PQS69" s="684"/>
      <c r="PQT69" s="684"/>
      <c r="PQU69" s="684"/>
      <c r="PQV69" s="684"/>
      <c r="PQW69" s="684"/>
      <c r="PQX69" s="684"/>
      <c r="PQY69" s="684"/>
      <c r="PQZ69" s="684"/>
      <c r="PRA69" s="684"/>
      <c r="PRB69" s="684"/>
      <c r="PRC69" s="684"/>
      <c r="PRD69" s="684"/>
      <c r="PRE69" s="684"/>
      <c r="PRF69" s="684"/>
      <c r="PRG69" s="684"/>
      <c r="PRH69" s="684"/>
      <c r="PRI69" s="684"/>
      <c r="PRJ69" s="684"/>
      <c r="PRK69" s="684"/>
      <c r="PRL69" s="684"/>
      <c r="PRM69" s="684"/>
      <c r="PRN69" s="684"/>
      <c r="PRO69" s="684"/>
      <c r="PRP69" s="684"/>
      <c r="PRQ69" s="684"/>
      <c r="PRR69" s="684"/>
      <c r="PRS69" s="684"/>
      <c r="PRT69" s="684"/>
      <c r="PRU69" s="684"/>
      <c r="PRV69" s="684"/>
      <c r="PRW69" s="684"/>
      <c r="PRX69" s="684"/>
      <c r="PRY69" s="684"/>
      <c r="PRZ69" s="684"/>
      <c r="PSA69" s="684"/>
      <c r="PSB69" s="684"/>
      <c r="PSC69" s="684"/>
      <c r="PSD69" s="684"/>
      <c r="PSE69" s="684"/>
      <c r="PSF69" s="684"/>
      <c r="PSG69" s="684"/>
      <c r="PSH69" s="684"/>
      <c r="PSI69" s="684"/>
      <c r="PSJ69" s="684"/>
      <c r="PSK69" s="684"/>
      <c r="PSL69" s="684"/>
      <c r="PSM69" s="684"/>
      <c r="PSN69" s="684"/>
      <c r="PSO69" s="684"/>
      <c r="PSP69" s="684"/>
      <c r="PSQ69" s="684"/>
      <c r="PSR69" s="684"/>
      <c r="PSS69" s="684"/>
      <c r="PST69" s="684"/>
      <c r="PSU69" s="684"/>
      <c r="PSV69" s="684"/>
      <c r="PSW69" s="684"/>
      <c r="PSX69" s="684"/>
      <c r="PSY69" s="684"/>
      <c r="PSZ69" s="684"/>
      <c r="PTA69" s="684"/>
      <c r="PTB69" s="684"/>
      <c r="PTC69" s="684"/>
      <c r="PTD69" s="684"/>
      <c r="PTE69" s="684"/>
      <c r="PTF69" s="684"/>
      <c r="PTG69" s="684"/>
      <c r="PTH69" s="684"/>
      <c r="PTI69" s="684"/>
      <c r="PTJ69" s="684"/>
      <c r="PTK69" s="684"/>
      <c r="PTL69" s="684"/>
      <c r="PTM69" s="684"/>
      <c r="PTN69" s="684"/>
      <c r="PTO69" s="684"/>
      <c r="PTP69" s="684"/>
      <c r="PTQ69" s="684"/>
      <c r="PTR69" s="684"/>
      <c r="PTS69" s="684"/>
      <c r="PTT69" s="684"/>
      <c r="PTU69" s="684"/>
      <c r="PTV69" s="684"/>
      <c r="PTW69" s="684"/>
      <c r="PTX69" s="684"/>
      <c r="PTY69" s="684"/>
      <c r="PTZ69" s="684"/>
      <c r="PUA69" s="684"/>
      <c r="PUB69" s="684"/>
      <c r="PUC69" s="684"/>
      <c r="PUD69" s="684"/>
      <c r="PUE69" s="684"/>
      <c r="PUF69" s="684"/>
      <c r="PUG69" s="684"/>
      <c r="PUH69" s="684"/>
      <c r="PUI69" s="684"/>
      <c r="PUJ69" s="684"/>
      <c r="PUK69" s="684"/>
      <c r="PUL69" s="684"/>
      <c r="PUM69" s="684"/>
      <c r="PUN69" s="684"/>
      <c r="PUO69" s="684"/>
      <c r="PUP69" s="684"/>
      <c r="PUQ69" s="684"/>
      <c r="PUR69" s="684"/>
      <c r="PUS69" s="684"/>
      <c r="PUT69" s="684"/>
      <c r="PUU69" s="684"/>
      <c r="PUV69" s="684"/>
      <c r="PUW69" s="684"/>
      <c r="PUX69" s="684"/>
      <c r="PUY69" s="684"/>
      <c r="PUZ69" s="684"/>
      <c r="PVA69" s="684"/>
      <c r="PVB69" s="684"/>
      <c r="PVC69" s="684"/>
      <c r="PVD69" s="684"/>
      <c r="PVE69" s="684"/>
      <c r="PVF69" s="684"/>
      <c r="PVG69" s="684"/>
      <c r="PVH69" s="684"/>
      <c r="PVI69" s="684"/>
      <c r="PVJ69" s="684"/>
      <c r="PVK69" s="684"/>
      <c r="PVL69" s="684"/>
      <c r="PVM69" s="684"/>
      <c r="PVN69" s="684"/>
      <c r="PVO69" s="684"/>
      <c r="PVP69" s="684"/>
      <c r="PVQ69" s="684"/>
      <c r="PVR69" s="684"/>
      <c r="PVS69" s="684"/>
      <c r="PVT69" s="684"/>
      <c r="PVU69" s="684"/>
      <c r="PVV69" s="684"/>
      <c r="PVW69" s="684"/>
      <c r="PVX69" s="684"/>
      <c r="PVY69" s="684"/>
      <c r="PVZ69" s="684"/>
      <c r="PWA69" s="684"/>
      <c r="PWB69" s="684"/>
      <c r="PWC69" s="684"/>
      <c r="PWD69" s="684"/>
      <c r="PWE69" s="684"/>
      <c r="PWF69" s="684"/>
      <c r="PWG69" s="684"/>
      <c r="PWH69" s="684"/>
      <c r="PWI69" s="684"/>
      <c r="PWJ69" s="684"/>
      <c r="PWK69" s="684"/>
      <c r="PWL69" s="684"/>
      <c r="PWM69" s="684"/>
      <c r="PWN69" s="684"/>
      <c r="PWO69" s="684"/>
      <c r="PWP69" s="684"/>
      <c r="PWQ69" s="684"/>
      <c r="PWR69" s="684"/>
      <c r="PWS69" s="684"/>
      <c r="PWT69" s="684"/>
      <c r="PWU69" s="684"/>
      <c r="PWV69" s="684"/>
      <c r="PWW69" s="684"/>
      <c r="PWX69" s="684"/>
      <c r="PWY69" s="684"/>
      <c r="PWZ69" s="684"/>
      <c r="PXA69" s="684"/>
      <c r="PXB69" s="684"/>
      <c r="PXC69" s="684"/>
      <c r="PXD69" s="684"/>
      <c r="PXE69" s="684"/>
      <c r="PXF69" s="684"/>
      <c r="PXG69" s="684"/>
      <c r="PXH69" s="684"/>
      <c r="PXI69" s="684"/>
      <c r="PXJ69" s="684"/>
      <c r="PXK69" s="684"/>
      <c r="PXL69" s="684"/>
      <c r="PXM69" s="684"/>
      <c r="PXN69" s="684"/>
      <c r="PXO69" s="684"/>
      <c r="PXP69" s="684"/>
      <c r="PXQ69" s="684"/>
      <c r="PXR69" s="684"/>
      <c r="PXS69" s="684"/>
      <c r="PXT69" s="684"/>
      <c r="PXU69" s="684"/>
      <c r="PXV69" s="684"/>
      <c r="PXW69" s="684"/>
      <c r="PXX69" s="684"/>
      <c r="PXY69" s="684"/>
      <c r="PXZ69" s="684"/>
      <c r="PYA69" s="684"/>
      <c r="PYB69" s="684"/>
      <c r="PYC69" s="684"/>
      <c r="PYD69" s="684"/>
      <c r="PYE69" s="684"/>
      <c r="PYF69" s="684"/>
      <c r="PYG69" s="684"/>
      <c r="PYH69" s="684"/>
      <c r="PYI69" s="684"/>
      <c r="PYJ69" s="684"/>
      <c r="PYK69" s="684"/>
      <c r="PYL69" s="684"/>
      <c r="PYM69" s="684"/>
      <c r="PYN69" s="684"/>
      <c r="PYO69" s="684"/>
      <c r="PYP69" s="684"/>
      <c r="PYQ69" s="684"/>
      <c r="PYR69" s="684"/>
      <c r="PYS69" s="684"/>
      <c r="PYT69" s="684"/>
      <c r="PYU69" s="684"/>
      <c r="PYV69" s="684"/>
      <c r="PYW69" s="684"/>
      <c r="PYX69" s="684"/>
      <c r="PYY69" s="684"/>
      <c r="PYZ69" s="684"/>
      <c r="PZA69" s="684"/>
      <c r="PZB69" s="684"/>
      <c r="PZC69" s="684"/>
      <c r="PZD69" s="684"/>
      <c r="PZE69" s="684"/>
      <c r="PZF69" s="684"/>
      <c r="PZG69" s="684"/>
      <c r="PZH69" s="684"/>
      <c r="PZI69" s="684"/>
      <c r="PZJ69" s="684"/>
      <c r="PZK69" s="684"/>
      <c r="PZL69" s="684"/>
      <c r="PZM69" s="684"/>
      <c r="PZN69" s="684"/>
      <c r="PZO69" s="684"/>
      <c r="PZP69" s="684"/>
      <c r="PZQ69" s="684"/>
      <c r="PZR69" s="684"/>
      <c r="PZS69" s="684"/>
      <c r="PZT69" s="684"/>
      <c r="PZU69" s="684"/>
      <c r="PZV69" s="684"/>
      <c r="PZW69" s="684"/>
      <c r="PZX69" s="684"/>
      <c r="PZY69" s="684"/>
      <c r="PZZ69" s="684"/>
      <c r="QAA69" s="684"/>
      <c r="QAB69" s="684"/>
      <c r="QAC69" s="684"/>
      <c r="QAD69" s="684"/>
      <c r="QAE69" s="684"/>
      <c r="QAF69" s="684"/>
      <c r="QAG69" s="684"/>
      <c r="QAH69" s="684"/>
      <c r="QAI69" s="684"/>
      <c r="QAJ69" s="684"/>
      <c r="QAK69" s="684"/>
      <c r="QAL69" s="684"/>
      <c r="QAM69" s="684"/>
      <c r="QAN69" s="684"/>
      <c r="QAO69" s="684"/>
      <c r="QAP69" s="684"/>
      <c r="QAQ69" s="684"/>
      <c r="QAR69" s="684"/>
      <c r="QAS69" s="684"/>
      <c r="QAT69" s="684"/>
      <c r="QAU69" s="684"/>
      <c r="QAV69" s="684"/>
      <c r="QAW69" s="684"/>
      <c r="QAX69" s="684"/>
      <c r="QAY69" s="684"/>
      <c r="QAZ69" s="684"/>
      <c r="QBA69" s="684"/>
      <c r="QBB69" s="684"/>
      <c r="QBC69" s="684"/>
      <c r="QBD69" s="684"/>
      <c r="QBE69" s="684"/>
      <c r="QBF69" s="684"/>
      <c r="QBG69" s="684"/>
      <c r="QBH69" s="684"/>
      <c r="QBI69" s="684"/>
      <c r="QBJ69" s="684"/>
      <c r="QBK69" s="684"/>
      <c r="QBL69" s="684"/>
      <c r="QBM69" s="684"/>
      <c r="QBN69" s="684"/>
      <c r="QBO69" s="684"/>
      <c r="QBP69" s="684"/>
      <c r="QBQ69" s="684"/>
      <c r="QBR69" s="684"/>
      <c r="QBS69" s="684"/>
      <c r="QBT69" s="684"/>
      <c r="QBU69" s="684"/>
      <c r="QBV69" s="684"/>
      <c r="QBW69" s="684"/>
      <c r="QBX69" s="684"/>
      <c r="QBY69" s="684"/>
      <c r="QBZ69" s="684"/>
      <c r="QCA69" s="684"/>
      <c r="QCB69" s="684"/>
      <c r="QCC69" s="684"/>
      <c r="QCD69" s="684"/>
      <c r="QCE69" s="684"/>
      <c r="QCF69" s="684"/>
      <c r="QCG69" s="684"/>
      <c r="QCH69" s="684"/>
      <c r="QCI69" s="684"/>
      <c r="QCJ69" s="684"/>
      <c r="QCK69" s="684"/>
      <c r="QCL69" s="684"/>
      <c r="QCM69" s="684"/>
      <c r="QCN69" s="684"/>
      <c r="QCO69" s="684"/>
      <c r="QCP69" s="684"/>
      <c r="QCQ69" s="684"/>
      <c r="QCR69" s="684"/>
      <c r="QCS69" s="684"/>
      <c r="QCT69" s="684"/>
      <c r="QCU69" s="684"/>
      <c r="QCV69" s="684"/>
      <c r="QCW69" s="684"/>
      <c r="QCX69" s="684"/>
      <c r="QCY69" s="684"/>
      <c r="QCZ69" s="684"/>
      <c r="QDA69" s="684"/>
      <c r="QDB69" s="684"/>
      <c r="QDC69" s="684"/>
      <c r="QDD69" s="684"/>
      <c r="QDE69" s="684"/>
      <c r="QDF69" s="684"/>
      <c r="QDG69" s="684"/>
      <c r="QDH69" s="684"/>
      <c r="QDI69" s="684"/>
      <c r="QDJ69" s="684"/>
      <c r="QDK69" s="684"/>
      <c r="QDL69" s="684"/>
      <c r="QDM69" s="684"/>
      <c r="QDN69" s="684"/>
      <c r="QDO69" s="684"/>
      <c r="QDP69" s="684"/>
      <c r="QDQ69" s="684"/>
      <c r="QDR69" s="684"/>
      <c r="QDS69" s="684"/>
      <c r="QDT69" s="684"/>
      <c r="QDU69" s="684"/>
      <c r="QDV69" s="684"/>
      <c r="QDW69" s="684"/>
      <c r="QDX69" s="684"/>
      <c r="QDY69" s="684"/>
      <c r="QDZ69" s="684"/>
      <c r="QEA69" s="684"/>
      <c r="QEB69" s="684"/>
      <c r="QEC69" s="684"/>
      <c r="QED69" s="684"/>
      <c r="QEE69" s="684"/>
      <c r="QEF69" s="684"/>
      <c r="QEG69" s="684"/>
      <c r="QEH69" s="684"/>
      <c r="QEI69" s="684"/>
      <c r="QEJ69" s="684"/>
      <c r="QEK69" s="684"/>
      <c r="QEL69" s="684"/>
      <c r="QEM69" s="684"/>
      <c r="QEN69" s="684"/>
      <c r="QEO69" s="684"/>
      <c r="QEP69" s="684"/>
      <c r="QEQ69" s="684"/>
      <c r="QER69" s="684"/>
      <c r="QES69" s="684"/>
      <c r="QET69" s="684"/>
      <c r="QEU69" s="684"/>
      <c r="QEV69" s="684"/>
      <c r="QEW69" s="684"/>
      <c r="QEX69" s="684"/>
      <c r="QEY69" s="684"/>
      <c r="QEZ69" s="684"/>
      <c r="QFA69" s="684"/>
      <c r="QFB69" s="684"/>
      <c r="QFC69" s="684"/>
      <c r="QFD69" s="684"/>
      <c r="QFE69" s="684"/>
      <c r="QFF69" s="684"/>
      <c r="QFG69" s="684"/>
      <c r="QFH69" s="684"/>
      <c r="QFI69" s="684"/>
      <c r="QFJ69" s="684"/>
      <c r="QFK69" s="684"/>
      <c r="QFL69" s="684"/>
      <c r="QFM69" s="684"/>
      <c r="QFN69" s="684"/>
      <c r="QFO69" s="684"/>
      <c r="QFP69" s="684"/>
      <c r="QFQ69" s="684"/>
      <c r="QFR69" s="684"/>
      <c r="QFS69" s="684"/>
      <c r="QFT69" s="684"/>
      <c r="QFU69" s="684"/>
      <c r="QFV69" s="684"/>
      <c r="QFW69" s="684"/>
      <c r="QFX69" s="684"/>
      <c r="QFY69" s="684"/>
      <c r="QFZ69" s="684"/>
      <c r="QGA69" s="684"/>
      <c r="QGB69" s="684"/>
      <c r="QGC69" s="684"/>
      <c r="QGD69" s="684"/>
      <c r="QGE69" s="684"/>
      <c r="QGF69" s="684"/>
      <c r="QGG69" s="684"/>
      <c r="QGH69" s="684"/>
      <c r="QGI69" s="684"/>
      <c r="QGJ69" s="684"/>
      <c r="QGK69" s="684"/>
      <c r="QGL69" s="684"/>
      <c r="QGM69" s="684"/>
      <c r="QGN69" s="684"/>
      <c r="QGO69" s="684"/>
      <c r="QGP69" s="684"/>
      <c r="QGQ69" s="684"/>
      <c r="QGR69" s="684"/>
      <c r="QGS69" s="684"/>
      <c r="QGT69" s="684"/>
      <c r="QGU69" s="684"/>
      <c r="QGV69" s="684"/>
      <c r="QGW69" s="684"/>
      <c r="QGX69" s="684"/>
      <c r="QGY69" s="684"/>
      <c r="QGZ69" s="684"/>
      <c r="QHA69" s="684"/>
      <c r="QHB69" s="684"/>
      <c r="QHC69" s="684"/>
      <c r="QHD69" s="684"/>
      <c r="QHE69" s="684"/>
      <c r="QHF69" s="684"/>
      <c r="QHG69" s="684"/>
      <c r="QHH69" s="684"/>
      <c r="QHI69" s="684"/>
      <c r="QHJ69" s="684"/>
      <c r="QHK69" s="684"/>
      <c r="QHL69" s="684"/>
      <c r="QHM69" s="684"/>
      <c r="QHN69" s="684"/>
      <c r="QHO69" s="684"/>
      <c r="QHP69" s="684"/>
      <c r="QHQ69" s="684"/>
      <c r="QHR69" s="684"/>
      <c r="QHS69" s="684"/>
      <c r="QHT69" s="684"/>
      <c r="QHU69" s="684"/>
      <c r="QHV69" s="684"/>
      <c r="QHW69" s="684"/>
      <c r="QHX69" s="684"/>
      <c r="QHY69" s="684"/>
      <c r="QHZ69" s="684"/>
      <c r="QIA69" s="684"/>
      <c r="QIB69" s="684"/>
      <c r="QIC69" s="684"/>
      <c r="QID69" s="684"/>
      <c r="QIE69" s="684"/>
      <c r="QIF69" s="684"/>
      <c r="QIG69" s="684"/>
      <c r="QIH69" s="684"/>
      <c r="QII69" s="684"/>
      <c r="QIJ69" s="684"/>
      <c r="QIK69" s="684"/>
      <c r="QIL69" s="684"/>
      <c r="QIM69" s="684"/>
      <c r="QIN69" s="684"/>
      <c r="QIO69" s="684"/>
      <c r="QIP69" s="684"/>
      <c r="QIQ69" s="684"/>
      <c r="QIR69" s="684"/>
      <c r="QIS69" s="684"/>
      <c r="QIT69" s="684"/>
      <c r="QIU69" s="684"/>
      <c r="QIV69" s="684"/>
      <c r="QIW69" s="684"/>
      <c r="QIX69" s="684"/>
      <c r="QIY69" s="684"/>
      <c r="QIZ69" s="684"/>
      <c r="QJA69" s="684"/>
      <c r="QJB69" s="684"/>
      <c r="QJC69" s="684"/>
      <c r="QJD69" s="684"/>
      <c r="QJE69" s="684"/>
      <c r="QJF69" s="684"/>
      <c r="QJG69" s="684"/>
      <c r="QJH69" s="684"/>
      <c r="QJI69" s="684"/>
      <c r="QJJ69" s="684"/>
      <c r="QJK69" s="684"/>
      <c r="QJL69" s="684"/>
      <c r="QJM69" s="684"/>
      <c r="QJN69" s="684"/>
      <c r="QJO69" s="684"/>
      <c r="QJP69" s="684"/>
      <c r="QJQ69" s="684"/>
      <c r="QJR69" s="684"/>
      <c r="QJS69" s="684"/>
      <c r="QJT69" s="684"/>
      <c r="QJU69" s="684"/>
      <c r="QJV69" s="684"/>
      <c r="QJW69" s="684"/>
      <c r="QJX69" s="684"/>
      <c r="QJY69" s="684"/>
      <c r="QJZ69" s="684"/>
      <c r="QKA69" s="684"/>
      <c r="QKB69" s="684"/>
      <c r="QKC69" s="684"/>
      <c r="QKD69" s="684"/>
      <c r="QKE69" s="684"/>
      <c r="QKF69" s="684"/>
      <c r="QKG69" s="684"/>
      <c r="QKH69" s="684"/>
      <c r="QKI69" s="684"/>
      <c r="QKJ69" s="684"/>
      <c r="QKK69" s="684"/>
      <c r="QKL69" s="684"/>
      <c r="QKM69" s="684"/>
      <c r="QKN69" s="684"/>
      <c r="QKO69" s="684"/>
      <c r="QKP69" s="684"/>
      <c r="QKQ69" s="684"/>
      <c r="QKR69" s="684"/>
      <c r="QKS69" s="684"/>
      <c r="QKT69" s="684"/>
      <c r="QKU69" s="684"/>
      <c r="QKV69" s="684"/>
      <c r="QKW69" s="684"/>
      <c r="QKX69" s="684"/>
      <c r="QKY69" s="684"/>
      <c r="QKZ69" s="684"/>
      <c r="QLA69" s="684"/>
      <c r="QLB69" s="684"/>
      <c r="QLC69" s="684"/>
      <c r="QLD69" s="684"/>
      <c r="QLE69" s="684"/>
      <c r="QLF69" s="684"/>
      <c r="QLG69" s="684"/>
      <c r="QLH69" s="684"/>
      <c r="QLI69" s="684"/>
      <c r="QLJ69" s="684"/>
      <c r="QLK69" s="684"/>
      <c r="QLL69" s="684"/>
      <c r="QLM69" s="684"/>
      <c r="QLN69" s="684"/>
      <c r="QLO69" s="684"/>
      <c r="QLP69" s="684"/>
      <c r="QLQ69" s="684"/>
      <c r="QLR69" s="684"/>
      <c r="QLS69" s="684"/>
      <c r="QLT69" s="684"/>
      <c r="QLU69" s="684"/>
      <c r="QLV69" s="684"/>
      <c r="QLW69" s="684"/>
      <c r="QLX69" s="684"/>
      <c r="QLY69" s="684"/>
      <c r="QLZ69" s="684"/>
      <c r="QMA69" s="684"/>
      <c r="QMB69" s="684"/>
      <c r="QMC69" s="684"/>
      <c r="QMD69" s="684"/>
      <c r="QME69" s="684"/>
      <c r="QMF69" s="684"/>
      <c r="QMG69" s="684"/>
      <c r="QMH69" s="684"/>
      <c r="QMI69" s="684"/>
      <c r="QMJ69" s="684"/>
      <c r="QMK69" s="684"/>
      <c r="QML69" s="684"/>
      <c r="QMM69" s="684"/>
      <c r="QMN69" s="684"/>
      <c r="QMO69" s="684"/>
      <c r="QMP69" s="684"/>
      <c r="QMQ69" s="684"/>
      <c r="QMR69" s="684"/>
      <c r="QMS69" s="684"/>
      <c r="QMT69" s="684"/>
      <c r="QMU69" s="684"/>
      <c r="QMV69" s="684"/>
      <c r="QMW69" s="684"/>
      <c r="QMX69" s="684"/>
      <c r="QMY69" s="684"/>
      <c r="QMZ69" s="684"/>
      <c r="QNA69" s="684"/>
      <c r="QNB69" s="684"/>
      <c r="QNC69" s="684"/>
      <c r="QND69" s="684"/>
      <c r="QNE69" s="684"/>
      <c r="QNF69" s="684"/>
      <c r="QNG69" s="684"/>
      <c r="QNH69" s="684"/>
      <c r="QNI69" s="684"/>
      <c r="QNJ69" s="684"/>
      <c r="QNK69" s="684"/>
      <c r="QNL69" s="684"/>
      <c r="QNM69" s="684"/>
      <c r="QNN69" s="684"/>
      <c r="QNO69" s="684"/>
      <c r="QNP69" s="684"/>
      <c r="QNQ69" s="684"/>
      <c r="QNR69" s="684"/>
      <c r="QNS69" s="684"/>
      <c r="QNT69" s="684"/>
      <c r="QNU69" s="684"/>
      <c r="QNV69" s="684"/>
      <c r="QNW69" s="684"/>
      <c r="QNX69" s="684"/>
      <c r="QNY69" s="684"/>
      <c r="QNZ69" s="684"/>
      <c r="QOA69" s="684"/>
      <c r="QOB69" s="684"/>
      <c r="QOC69" s="684"/>
      <c r="QOD69" s="684"/>
      <c r="QOE69" s="684"/>
      <c r="QOF69" s="684"/>
      <c r="QOG69" s="684"/>
      <c r="QOH69" s="684"/>
      <c r="QOI69" s="684"/>
      <c r="QOJ69" s="684"/>
      <c r="QOK69" s="684"/>
      <c r="QOL69" s="684"/>
      <c r="QOM69" s="684"/>
      <c r="QON69" s="684"/>
      <c r="QOO69" s="684"/>
      <c r="QOP69" s="684"/>
      <c r="QOQ69" s="684"/>
      <c r="QOR69" s="684"/>
      <c r="QOS69" s="684"/>
      <c r="QOT69" s="684"/>
      <c r="QOU69" s="684"/>
      <c r="QOV69" s="684"/>
      <c r="QOW69" s="684"/>
      <c r="QOX69" s="684"/>
      <c r="QOY69" s="684"/>
      <c r="QOZ69" s="684"/>
      <c r="QPA69" s="684"/>
      <c r="QPB69" s="684"/>
      <c r="QPC69" s="684"/>
      <c r="QPD69" s="684"/>
      <c r="QPE69" s="684"/>
      <c r="QPF69" s="684"/>
      <c r="QPG69" s="684"/>
      <c r="QPH69" s="684"/>
      <c r="QPI69" s="684"/>
      <c r="QPJ69" s="684"/>
      <c r="QPK69" s="684"/>
      <c r="QPL69" s="684"/>
      <c r="QPM69" s="684"/>
      <c r="QPN69" s="684"/>
      <c r="QPO69" s="684"/>
      <c r="QPP69" s="684"/>
      <c r="QPQ69" s="684"/>
      <c r="QPR69" s="684"/>
      <c r="QPS69" s="684"/>
      <c r="QPT69" s="684"/>
      <c r="QPU69" s="684"/>
      <c r="QPV69" s="684"/>
      <c r="QPW69" s="684"/>
      <c r="QPX69" s="684"/>
      <c r="QPY69" s="684"/>
      <c r="QPZ69" s="684"/>
      <c r="QQA69" s="684"/>
      <c r="QQB69" s="684"/>
      <c r="QQC69" s="684"/>
      <c r="QQD69" s="684"/>
      <c r="QQE69" s="684"/>
      <c r="QQF69" s="684"/>
      <c r="QQG69" s="684"/>
      <c r="QQH69" s="684"/>
      <c r="QQI69" s="684"/>
      <c r="QQJ69" s="684"/>
      <c r="QQK69" s="684"/>
      <c r="QQL69" s="684"/>
      <c r="QQM69" s="684"/>
      <c r="QQN69" s="684"/>
      <c r="QQO69" s="684"/>
      <c r="QQP69" s="684"/>
      <c r="QQQ69" s="684"/>
      <c r="QQR69" s="684"/>
      <c r="QQS69" s="684"/>
      <c r="QQT69" s="684"/>
      <c r="QQU69" s="684"/>
      <c r="QQV69" s="684"/>
      <c r="QQW69" s="684"/>
      <c r="QQX69" s="684"/>
      <c r="QQY69" s="684"/>
      <c r="QQZ69" s="684"/>
      <c r="QRA69" s="684"/>
      <c r="QRB69" s="684"/>
      <c r="QRC69" s="684"/>
      <c r="QRD69" s="684"/>
      <c r="QRE69" s="684"/>
      <c r="QRF69" s="684"/>
      <c r="QRG69" s="684"/>
      <c r="QRH69" s="684"/>
      <c r="QRI69" s="684"/>
      <c r="QRJ69" s="684"/>
      <c r="QRK69" s="684"/>
      <c r="QRL69" s="684"/>
      <c r="QRM69" s="684"/>
      <c r="QRN69" s="684"/>
      <c r="QRO69" s="684"/>
      <c r="QRP69" s="684"/>
      <c r="QRQ69" s="684"/>
      <c r="QRR69" s="684"/>
      <c r="QRS69" s="684"/>
      <c r="QRT69" s="684"/>
      <c r="QRU69" s="684"/>
      <c r="QRV69" s="684"/>
      <c r="QRW69" s="684"/>
      <c r="QRX69" s="684"/>
      <c r="QRY69" s="684"/>
      <c r="QRZ69" s="684"/>
      <c r="QSA69" s="684"/>
      <c r="QSB69" s="684"/>
      <c r="QSC69" s="684"/>
      <c r="QSD69" s="684"/>
      <c r="QSE69" s="684"/>
      <c r="QSF69" s="684"/>
      <c r="QSG69" s="684"/>
      <c r="QSH69" s="684"/>
      <c r="QSI69" s="684"/>
      <c r="QSJ69" s="684"/>
      <c r="QSK69" s="684"/>
      <c r="QSL69" s="684"/>
      <c r="QSM69" s="684"/>
      <c r="QSN69" s="684"/>
      <c r="QSO69" s="684"/>
      <c r="QSP69" s="684"/>
      <c r="QSQ69" s="684"/>
      <c r="QSR69" s="684"/>
      <c r="QSS69" s="684"/>
      <c r="QST69" s="684"/>
      <c r="QSU69" s="684"/>
      <c r="QSV69" s="684"/>
      <c r="QSW69" s="684"/>
      <c r="QSX69" s="684"/>
      <c r="QSY69" s="684"/>
      <c r="QSZ69" s="684"/>
      <c r="QTA69" s="684"/>
      <c r="QTB69" s="684"/>
      <c r="QTC69" s="684"/>
      <c r="QTD69" s="684"/>
      <c r="QTE69" s="684"/>
      <c r="QTF69" s="684"/>
      <c r="QTG69" s="684"/>
      <c r="QTH69" s="684"/>
      <c r="QTI69" s="684"/>
      <c r="QTJ69" s="684"/>
      <c r="QTK69" s="684"/>
      <c r="QTL69" s="684"/>
      <c r="QTM69" s="684"/>
      <c r="QTN69" s="684"/>
      <c r="QTO69" s="684"/>
      <c r="QTP69" s="684"/>
      <c r="QTQ69" s="684"/>
      <c r="QTR69" s="684"/>
      <c r="QTS69" s="684"/>
      <c r="QTT69" s="684"/>
      <c r="QTU69" s="684"/>
      <c r="QTV69" s="684"/>
      <c r="QTW69" s="684"/>
      <c r="QTX69" s="684"/>
      <c r="QTY69" s="684"/>
      <c r="QTZ69" s="684"/>
      <c r="QUA69" s="684"/>
      <c r="QUB69" s="684"/>
      <c r="QUC69" s="684"/>
      <c r="QUD69" s="684"/>
      <c r="QUE69" s="684"/>
      <c r="QUF69" s="684"/>
      <c r="QUG69" s="684"/>
      <c r="QUH69" s="684"/>
      <c r="QUI69" s="684"/>
      <c r="QUJ69" s="684"/>
      <c r="QUK69" s="684"/>
      <c r="QUL69" s="684"/>
      <c r="QUM69" s="684"/>
      <c r="QUN69" s="684"/>
      <c r="QUO69" s="684"/>
      <c r="QUP69" s="684"/>
      <c r="QUQ69" s="684"/>
      <c r="QUR69" s="684"/>
      <c r="QUS69" s="684"/>
      <c r="QUT69" s="684"/>
      <c r="QUU69" s="684"/>
      <c r="QUV69" s="684"/>
      <c r="QUW69" s="684"/>
      <c r="QUX69" s="684"/>
      <c r="QUY69" s="684"/>
      <c r="QUZ69" s="684"/>
      <c r="QVA69" s="684"/>
      <c r="QVB69" s="684"/>
      <c r="QVC69" s="684"/>
      <c r="QVD69" s="684"/>
      <c r="QVE69" s="684"/>
      <c r="QVF69" s="684"/>
      <c r="QVG69" s="684"/>
      <c r="QVH69" s="684"/>
      <c r="QVI69" s="684"/>
      <c r="QVJ69" s="684"/>
      <c r="QVK69" s="684"/>
      <c r="QVL69" s="684"/>
      <c r="QVM69" s="684"/>
      <c r="QVN69" s="684"/>
      <c r="QVO69" s="684"/>
      <c r="QVP69" s="684"/>
      <c r="QVQ69" s="684"/>
      <c r="QVR69" s="684"/>
      <c r="QVS69" s="684"/>
      <c r="QVT69" s="684"/>
      <c r="QVU69" s="684"/>
      <c r="QVV69" s="684"/>
      <c r="QVW69" s="684"/>
      <c r="QVX69" s="684"/>
      <c r="QVY69" s="684"/>
      <c r="QVZ69" s="684"/>
      <c r="QWA69" s="684"/>
      <c r="QWB69" s="684"/>
      <c r="QWC69" s="684"/>
      <c r="QWD69" s="684"/>
      <c r="QWE69" s="684"/>
      <c r="QWF69" s="684"/>
      <c r="QWG69" s="684"/>
      <c r="QWH69" s="684"/>
      <c r="QWI69" s="684"/>
      <c r="QWJ69" s="684"/>
      <c r="QWK69" s="684"/>
      <c r="QWL69" s="684"/>
      <c r="QWM69" s="684"/>
      <c r="QWN69" s="684"/>
      <c r="QWO69" s="684"/>
      <c r="QWP69" s="684"/>
      <c r="QWQ69" s="684"/>
      <c r="QWR69" s="684"/>
      <c r="QWS69" s="684"/>
      <c r="QWT69" s="684"/>
      <c r="QWU69" s="684"/>
      <c r="QWV69" s="684"/>
      <c r="QWW69" s="684"/>
      <c r="QWX69" s="684"/>
      <c r="QWY69" s="684"/>
      <c r="QWZ69" s="684"/>
      <c r="QXA69" s="684"/>
      <c r="QXB69" s="684"/>
      <c r="QXC69" s="684"/>
      <c r="QXD69" s="684"/>
      <c r="QXE69" s="684"/>
      <c r="QXF69" s="684"/>
      <c r="QXG69" s="684"/>
      <c r="QXH69" s="684"/>
      <c r="QXI69" s="684"/>
      <c r="QXJ69" s="684"/>
      <c r="QXK69" s="684"/>
      <c r="QXL69" s="684"/>
      <c r="QXM69" s="684"/>
      <c r="QXN69" s="684"/>
      <c r="QXO69" s="684"/>
      <c r="QXP69" s="684"/>
      <c r="QXQ69" s="684"/>
      <c r="QXR69" s="684"/>
      <c r="QXS69" s="684"/>
      <c r="QXT69" s="684"/>
      <c r="QXU69" s="684"/>
      <c r="QXV69" s="684"/>
      <c r="QXW69" s="684"/>
      <c r="QXX69" s="684"/>
      <c r="QXY69" s="684"/>
      <c r="QXZ69" s="684"/>
      <c r="QYA69" s="684"/>
      <c r="QYB69" s="684"/>
      <c r="QYC69" s="684"/>
      <c r="QYD69" s="684"/>
      <c r="QYE69" s="684"/>
      <c r="QYF69" s="684"/>
      <c r="QYG69" s="684"/>
      <c r="QYH69" s="684"/>
      <c r="QYI69" s="684"/>
      <c r="QYJ69" s="684"/>
      <c r="QYK69" s="684"/>
      <c r="QYL69" s="684"/>
      <c r="QYM69" s="684"/>
      <c r="QYN69" s="684"/>
      <c r="QYO69" s="684"/>
      <c r="QYP69" s="684"/>
      <c r="QYQ69" s="684"/>
      <c r="QYR69" s="684"/>
      <c r="QYS69" s="684"/>
      <c r="QYT69" s="684"/>
      <c r="QYU69" s="684"/>
      <c r="QYV69" s="684"/>
      <c r="QYW69" s="684"/>
      <c r="QYX69" s="684"/>
      <c r="QYY69" s="684"/>
      <c r="QYZ69" s="684"/>
      <c r="QZA69" s="684"/>
      <c r="QZB69" s="684"/>
      <c r="QZC69" s="684"/>
      <c r="QZD69" s="684"/>
      <c r="QZE69" s="684"/>
      <c r="QZF69" s="684"/>
      <c r="QZG69" s="684"/>
      <c r="QZH69" s="684"/>
      <c r="QZI69" s="684"/>
      <c r="QZJ69" s="684"/>
      <c r="QZK69" s="684"/>
      <c r="QZL69" s="684"/>
      <c r="QZM69" s="684"/>
      <c r="QZN69" s="684"/>
      <c r="QZO69" s="684"/>
      <c r="QZP69" s="684"/>
      <c r="QZQ69" s="684"/>
      <c r="QZR69" s="684"/>
      <c r="QZS69" s="684"/>
      <c r="QZT69" s="684"/>
      <c r="QZU69" s="684"/>
      <c r="QZV69" s="684"/>
      <c r="QZW69" s="684"/>
      <c r="QZX69" s="684"/>
      <c r="QZY69" s="684"/>
      <c r="QZZ69" s="684"/>
      <c r="RAA69" s="684"/>
      <c r="RAB69" s="684"/>
      <c r="RAC69" s="684"/>
      <c r="RAD69" s="684"/>
      <c r="RAE69" s="684"/>
      <c r="RAF69" s="684"/>
      <c r="RAG69" s="684"/>
      <c r="RAH69" s="684"/>
      <c r="RAI69" s="684"/>
      <c r="RAJ69" s="684"/>
      <c r="RAK69" s="684"/>
      <c r="RAL69" s="684"/>
      <c r="RAM69" s="684"/>
      <c r="RAN69" s="684"/>
      <c r="RAO69" s="684"/>
      <c r="RAP69" s="684"/>
      <c r="RAQ69" s="684"/>
      <c r="RAR69" s="684"/>
      <c r="RAS69" s="684"/>
      <c r="RAT69" s="684"/>
      <c r="RAU69" s="684"/>
      <c r="RAV69" s="684"/>
      <c r="RAW69" s="684"/>
      <c r="RAX69" s="684"/>
      <c r="RAY69" s="684"/>
      <c r="RAZ69" s="684"/>
      <c r="RBA69" s="684"/>
      <c r="RBB69" s="684"/>
      <c r="RBC69" s="684"/>
      <c r="RBD69" s="684"/>
      <c r="RBE69" s="684"/>
      <c r="RBF69" s="684"/>
      <c r="RBG69" s="684"/>
      <c r="RBH69" s="684"/>
      <c r="RBI69" s="684"/>
      <c r="RBJ69" s="684"/>
      <c r="RBK69" s="684"/>
      <c r="RBL69" s="684"/>
      <c r="RBM69" s="684"/>
      <c r="RBN69" s="684"/>
      <c r="RBO69" s="684"/>
      <c r="RBP69" s="684"/>
      <c r="RBQ69" s="684"/>
      <c r="RBR69" s="684"/>
      <c r="RBS69" s="684"/>
      <c r="RBT69" s="684"/>
      <c r="RBU69" s="684"/>
      <c r="RBV69" s="684"/>
      <c r="RBW69" s="684"/>
      <c r="RBX69" s="684"/>
      <c r="RBY69" s="684"/>
      <c r="RBZ69" s="684"/>
      <c r="RCA69" s="684"/>
      <c r="RCB69" s="684"/>
      <c r="RCC69" s="684"/>
      <c r="RCD69" s="684"/>
      <c r="RCE69" s="684"/>
      <c r="RCF69" s="684"/>
      <c r="RCG69" s="684"/>
      <c r="RCH69" s="684"/>
      <c r="RCI69" s="684"/>
      <c r="RCJ69" s="684"/>
      <c r="RCK69" s="684"/>
      <c r="RCL69" s="684"/>
      <c r="RCM69" s="684"/>
      <c r="RCN69" s="684"/>
      <c r="RCO69" s="684"/>
      <c r="RCP69" s="684"/>
      <c r="RCQ69" s="684"/>
      <c r="RCR69" s="684"/>
      <c r="RCS69" s="684"/>
      <c r="RCT69" s="684"/>
      <c r="RCU69" s="684"/>
      <c r="RCV69" s="684"/>
      <c r="RCW69" s="684"/>
      <c r="RCX69" s="684"/>
      <c r="RCY69" s="684"/>
      <c r="RCZ69" s="684"/>
      <c r="RDA69" s="684"/>
      <c r="RDB69" s="684"/>
      <c r="RDC69" s="684"/>
      <c r="RDD69" s="684"/>
      <c r="RDE69" s="684"/>
      <c r="RDF69" s="684"/>
      <c r="RDG69" s="684"/>
      <c r="RDH69" s="684"/>
      <c r="RDI69" s="684"/>
      <c r="RDJ69" s="684"/>
      <c r="RDK69" s="684"/>
      <c r="RDL69" s="684"/>
      <c r="RDM69" s="684"/>
      <c r="RDN69" s="684"/>
      <c r="RDO69" s="684"/>
      <c r="RDP69" s="684"/>
      <c r="RDQ69" s="684"/>
      <c r="RDR69" s="684"/>
      <c r="RDS69" s="684"/>
      <c r="RDT69" s="684"/>
      <c r="RDU69" s="684"/>
      <c r="RDV69" s="684"/>
      <c r="RDW69" s="684"/>
      <c r="RDX69" s="684"/>
      <c r="RDY69" s="684"/>
      <c r="RDZ69" s="684"/>
      <c r="REA69" s="684"/>
      <c r="REB69" s="684"/>
      <c r="REC69" s="684"/>
      <c r="RED69" s="684"/>
      <c r="REE69" s="684"/>
      <c r="REF69" s="684"/>
      <c r="REG69" s="684"/>
      <c r="REH69" s="684"/>
      <c r="REI69" s="684"/>
      <c r="REJ69" s="684"/>
      <c r="REK69" s="684"/>
      <c r="REL69" s="684"/>
      <c r="REM69" s="684"/>
      <c r="REN69" s="684"/>
      <c r="REO69" s="684"/>
      <c r="REP69" s="684"/>
      <c r="REQ69" s="684"/>
      <c r="RER69" s="684"/>
      <c r="RES69" s="684"/>
      <c r="RET69" s="684"/>
      <c r="REU69" s="684"/>
      <c r="REV69" s="684"/>
      <c r="REW69" s="684"/>
      <c r="REX69" s="684"/>
      <c r="REY69" s="684"/>
      <c r="REZ69" s="684"/>
      <c r="RFA69" s="684"/>
      <c r="RFB69" s="684"/>
      <c r="RFC69" s="684"/>
      <c r="RFD69" s="684"/>
      <c r="RFE69" s="684"/>
      <c r="RFF69" s="684"/>
      <c r="RFG69" s="684"/>
      <c r="RFH69" s="684"/>
      <c r="RFI69" s="684"/>
      <c r="RFJ69" s="684"/>
      <c r="RFK69" s="684"/>
      <c r="RFL69" s="684"/>
      <c r="RFM69" s="684"/>
      <c r="RFN69" s="684"/>
      <c r="RFO69" s="684"/>
      <c r="RFP69" s="684"/>
      <c r="RFQ69" s="684"/>
      <c r="RFR69" s="684"/>
      <c r="RFS69" s="684"/>
      <c r="RFT69" s="684"/>
      <c r="RFU69" s="684"/>
      <c r="RFV69" s="684"/>
      <c r="RFW69" s="684"/>
      <c r="RFX69" s="684"/>
      <c r="RFY69" s="684"/>
      <c r="RFZ69" s="684"/>
      <c r="RGA69" s="684"/>
      <c r="RGB69" s="684"/>
      <c r="RGC69" s="684"/>
      <c r="RGD69" s="684"/>
      <c r="RGE69" s="684"/>
      <c r="RGF69" s="684"/>
      <c r="RGG69" s="684"/>
      <c r="RGH69" s="684"/>
      <c r="RGI69" s="684"/>
      <c r="RGJ69" s="684"/>
      <c r="RGK69" s="684"/>
      <c r="RGL69" s="684"/>
      <c r="RGM69" s="684"/>
      <c r="RGN69" s="684"/>
      <c r="RGO69" s="684"/>
      <c r="RGP69" s="684"/>
      <c r="RGQ69" s="684"/>
      <c r="RGR69" s="684"/>
      <c r="RGS69" s="684"/>
      <c r="RGT69" s="684"/>
      <c r="RGU69" s="684"/>
      <c r="RGV69" s="684"/>
      <c r="RGW69" s="684"/>
      <c r="RGX69" s="684"/>
      <c r="RGY69" s="684"/>
      <c r="RGZ69" s="684"/>
      <c r="RHA69" s="684"/>
      <c r="RHB69" s="684"/>
      <c r="RHC69" s="684"/>
      <c r="RHD69" s="684"/>
      <c r="RHE69" s="684"/>
      <c r="RHF69" s="684"/>
      <c r="RHG69" s="684"/>
      <c r="RHH69" s="684"/>
      <c r="RHI69" s="684"/>
      <c r="RHJ69" s="684"/>
      <c r="RHK69" s="684"/>
      <c r="RHL69" s="684"/>
      <c r="RHM69" s="684"/>
      <c r="RHN69" s="684"/>
      <c r="RHO69" s="684"/>
      <c r="RHP69" s="684"/>
      <c r="RHQ69" s="684"/>
      <c r="RHR69" s="684"/>
      <c r="RHS69" s="684"/>
      <c r="RHT69" s="684"/>
      <c r="RHU69" s="684"/>
      <c r="RHV69" s="684"/>
      <c r="RHW69" s="684"/>
      <c r="RHX69" s="684"/>
      <c r="RHY69" s="684"/>
      <c r="RHZ69" s="684"/>
      <c r="RIA69" s="684"/>
      <c r="RIB69" s="684"/>
      <c r="RIC69" s="684"/>
      <c r="RID69" s="684"/>
      <c r="RIE69" s="684"/>
      <c r="RIF69" s="684"/>
      <c r="RIG69" s="684"/>
      <c r="RIH69" s="684"/>
      <c r="RII69" s="684"/>
      <c r="RIJ69" s="684"/>
      <c r="RIK69" s="684"/>
      <c r="RIL69" s="684"/>
      <c r="RIM69" s="684"/>
      <c r="RIN69" s="684"/>
      <c r="RIO69" s="684"/>
      <c r="RIP69" s="684"/>
      <c r="RIQ69" s="684"/>
      <c r="RIR69" s="684"/>
      <c r="RIS69" s="684"/>
      <c r="RIT69" s="684"/>
      <c r="RIU69" s="684"/>
      <c r="RIV69" s="684"/>
      <c r="RIW69" s="684"/>
      <c r="RIX69" s="684"/>
      <c r="RIY69" s="684"/>
      <c r="RIZ69" s="684"/>
      <c r="RJA69" s="684"/>
      <c r="RJB69" s="684"/>
      <c r="RJC69" s="684"/>
      <c r="RJD69" s="684"/>
      <c r="RJE69" s="684"/>
      <c r="RJF69" s="684"/>
      <c r="RJG69" s="684"/>
      <c r="RJH69" s="684"/>
      <c r="RJI69" s="684"/>
      <c r="RJJ69" s="684"/>
      <c r="RJK69" s="684"/>
      <c r="RJL69" s="684"/>
      <c r="RJM69" s="684"/>
      <c r="RJN69" s="684"/>
      <c r="RJO69" s="684"/>
      <c r="RJP69" s="684"/>
      <c r="RJQ69" s="684"/>
      <c r="RJR69" s="684"/>
      <c r="RJS69" s="684"/>
      <c r="RJT69" s="684"/>
      <c r="RJU69" s="684"/>
      <c r="RJV69" s="684"/>
      <c r="RJW69" s="684"/>
      <c r="RJX69" s="684"/>
      <c r="RJY69" s="684"/>
      <c r="RJZ69" s="684"/>
      <c r="RKA69" s="684"/>
      <c r="RKB69" s="684"/>
      <c r="RKC69" s="684"/>
      <c r="RKD69" s="684"/>
      <c r="RKE69" s="684"/>
      <c r="RKF69" s="684"/>
      <c r="RKG69" s="684"/>
      <c r="RKH69" s="684"/>
      <c r="RKI69" s="684"/>
      <c r="RKJ69" s="684"/>
      <c r="RKK69" s="684"/>
      <c r="RKL69" s="684"/>
      <c r="RKM69" s="684"/>
      <c r="RKN69" s="684"/>
      <c r="RKO69" s="684"/>
      <c r="RKP69" s="684"/>
      <c r="RKQ69" s="684"/>
      <c r="RKR69" s="684"/>
      <c r="RKS69" s="684"/>
      <c r="RKT69" s="684"/>
      <c r="RKU69" s="684"/>
      <c r="RKV69" s="684"/>
      <c r="RKW69" s="684"/>
      <c r="RKX69" s="684"/>
      <c r="RKY69" s="684"/>
      <c r="RKZ69" s="684"/>
      <c r="RLA69" s="684"/>
      <c r="RLB69" s="684"/>
      <c r="RLC69" s="684"/>
      <c r="RLD69" s="684"/>
      <c r="RLE69" s="684"/>
      <c r="RLF69" s="684"/>
      <c r="RLG69" s="684"/>
      <c r="RLH69" s="684"/>
      <c r="RLI69" s="684"/>
      <c r="RLJ69" s="684"/>
      <c r="RLK69" s="684"/>
      <c r="RLL69" s="684"/>
      <c r="RLM69" s="684"/>
      <c r="RLN69" s="684"/>
      <c r="RLO69" s="684"/>
      <c r="RLP69" s="684"/>
      <c r="RLQ69" s="684"/>
      <c r="RLR69" s="684"/>
      <c r="RLS69" s="684"/>
      <c r="RLT69" s="684"/>
      <c r="RLU69" s="684"/>
      <c r="RLV69" s="684"/>
      <c r="RLW69" s="684"/>
      <c r="RLX69" s="684"/>
      <c r="RLY69" s="684"/>
      <c r="RLZ69" s="684"/>
      <c r="RMA69" s="684"/>
      <c r="RMB69" s="684"/>
      <c r="RMC69" s="684"/>
      <c r="RMD69" s="684"/>
      <c r="RME69" s="684"/>
      <c r="RMF69" s="684"/>
      <c r="RMG69" s="684"/>
      <c r="RMH69" s="684"/>
      <c r="RMI69" s="684"/>
      <c r="RMJ69" s="684"/>
      <c r="RMK69" s="684"/>
      <c r="RML69" s="684"/>
      <c r="RMM69" s="684"/>
      <c r="RMN69" s="684"/>
      <c r="RMO69" s="684"/>
      <c r="RMP69" s="684"/>
      <c r="RMQ69" s="684"/>
      <c r="RMR69" s="684"/>
      <c r="RMS69" s="684"/>
      <c r="RMT69" s="684"/>
      <c r="RMU69" s="684"/>
      <c r="RMV69" s="684"/>
      <c r="RMW69" s="684"/>
      <c r="RMX69" s="684"/>
      <c r="RMY69" s="684"/>
      <c r="RMZ69" s="684"/>
      <c r="RNA69" s="684"/>
      <c r="RNB69" s="684"/>
      <c r="RNC69" s="684"/>
      <c r="RND69" s="684"/>
      <c r="RNE69" s="684"/>
      <c r="RNF69" s="684"/>
      <c r="RNG69" s="684"/>
      <c r="RNH69" s="684"/>
      <c r="RNI69" s="684"/>
      <c r="RNJ69" s="684"/>
      <c r="RNK69" s="684"/>
      <c r="RNL69" s="684"/>
      <c r="RNM69" s="684"/>
      <c r="RNN69" s="684"/>
      <c r="RNO69" s="684"/>
      <c r="RNP69" s="684"/>
      <c r="RNQ69" s="684"/>
      <c r="RNR69" s="684"/>
      <c r="RNS69" s="684"/>
      <c r="RNT69" s="684"/>
      <c r="RNU69" s="684"/>
      <c r="RNV69" s="684"/>
      <c r="RNW69" s="684"/>
      <c r="RNX69" s="684"/>
      <c r="RNY69" s="684"/>
      <c r="RNZ69" s="684"/>
      <c r="ROA69" s="684"/>
      <c r="ROB69" s="684"/>
      <c r="ROC69" s="684"/>
      <c r="ROD69" s="684"/>
      <c r="ROE69" s="684"/>
      <c r="ROF69" s="684"/>
      <c r="ROG69" s="684"/>
      <c r="ROH69" s="684"/>
      <c r="ROI69" s="684"/>
      <c r="ROJ69" s="684"/>
      <c r="ROK69" s="684"/>
      <c r="ROL69" s="684"/>
      <c r="ROM69" s="684"/>
      <c r="RON69" s="684"/>
      <c r="ROO69" s="684"/>
      <c r="ROP69" s="684"/>
      <c r="ROQ69" s="684"/>
      <c r="ROR69" s="684"/>
      <c r="ROS69" s="684"/>
      <c r="ROT69" s="684"/>
      <c r="ROU69" s="684"/>
      <c r="ROV69" s="684"/>
      <c r="ROW69" s="684"/>
      <c r="ROX69" s="684"/>
      <c r="ROY69" s="684"/>
      <c r="ROZ69" s="684"/>
      <c r="RPA69" s="684"/>
      <c r="RPB69" s="684"/>
      <c r="RPC69" s="684"/>
      <c r="RPD69" s="684"/>
      <c r="RPE69" s="684"/>
      <c r="RPF69" s="684"/>
      <c r="RPG69" s="684"/>
      <c r="RPH69" s="684"/>
      <c r="RPI69" s="684"/>
      <c r="RPJ69" s="684"/>
      <c r="RPK69" s="684"/>
      <c r="RPL69" s="684"/>
      <c r="RPM69" s="684"/>
      <c r="RPN69" s="684"/>
      <c r="RPO69" s="684"/>
      <c r="RPP69" s="684"/>
      <c r="RPQ69" s="684"/>
      <c r="RPR69" s="684"/>
      <c r="RPS69" s="684"/>
      <c r="RPT69" s="684"/>
      <c r="RPU69" s="684"/>
      <c r="RPV69" s="684"/>
      <c r="RPW69" s="684"/>
      <c r="RPX69" s="684"/>
      <c r="RPY69" s="684"/>
      <c r="RPZ69" s="684"/>
      <c r="RQA69" s="684"/>
      <c r="RQB69" s="684"/>
      <c r="RQC69" s="684"/>
      <c r="RQD69" s="684"/>
      <c r="RQE69" s="684"/>
      <c r="RQF69" s="684"/>
      <c r="RQG69" s="684"/>
      <c r="RQH69" s="684"/>
      <c r="RQI69" s="684"/>
      <c r="RQJ69" s="684"/>
      <c r="RQK69" s="684"/>
      <c r="RQL69" s="684"/>
      <c r="RQM69" s="684"/>
      <c r="RQN69" s="684"/>
      <c r="RQO69" s="684"/>
      <c r="RQP69" s="684"/>
      <c r="RQQ69" s="684"/>
      <c r="RQR69" s="684"/>
      <c r="RQS69" s="684"/>
      <c r="RQT69" s="684"/>
      <c r="RQU69" s="684"/>
      <c r="RQV69" s="684"/>
      <c r="RQW69" s="684"/>
      <c r="RQX69" s="684"/>
      <c r="RQY69" s="684"/>
      <c r="RQZ69" s="684"/>
      <c r="RRA69" s="684"/>
      <c r="RRB69" s="684"/>
      <c r="RRC69" s="684"/>
      <c r="RRD69" s="684"/>
      <c r="RRE69" s="684"/>
      <c r="RRF69" s="684"/>
      <c r="RRG69" s="684"/>
      <c r="RRH69" s="684"/>
      <c r="RRI69" s="684"/>
      <c r="RRJ69" s="684"/>
      <c r="RRK69" s="684"/>
      <c r="RRL69" s="684"/>
      <c r="RRM69" s="684"/>
      <c r="RRN69" s="684"/>
      <c r="RRO69" s="684"/>
      <c r="RRP69" s="684"/>
      <c r="RRQ69" s="684"/>
      <c r="RRR69" s="684"/>
      <c r="RRS69" s="684"/>
      <c r="RRT69" s="684"/>
      <c r="RRU69" s="684"/>
      <c r="RRV69" s="684"/>
      <c r="RRW69" s="684"/>
      <c r="RRX69" s="684"/>
      <c r="RRY69" s="684"/>
      <c r="RRZ69" s="684"/>
      <c r="RSA69" s="684"/>
      <c r="RSB69" s="684"/>
      <c r="RSC69" s="684"/>
      <c r="RSD69" s="684"/>
      <c r="RSE69" s="684"/>
      <c r="RSF69" s="684"/>
      <c r="RSG69" s="684"/>
      <c r="RSH69" s="684"/>
      <c r="RSI69" s="684"/>
      <c r="RSJ69" s="684"/>
      <c r="RSK69" s="684"/>
      <c r="RSL69" s="684"/>
      <c r="RSM69" s="684"/>
      <c r="RSN69" s="684"/>
      <c r="RSO69" s="684"/>
      <c r="RSP69" s="684"/>
      <c r="RSQ69" s="684"/>
      <c r="RSR69" s="684"/>
      <c r="RSS69" s="684"/>
      <c r="RST69" s="684"/>
      <c r="RSU69" s="684"/>
      <c r="RSV69" s="684"/>
      <c r="RSW69" s="684"/>
      <c r="RSX69" s="684"/>
      <c r="RSY69" s="684"/>
      <c r="RSZ69" s="684"/>
      <c r="RTA69" s="684"/>
      <c r="RTB69" s="684"/>
      <c r="RTC69" s="684"/>
      <c r="RTD69" s="684"/>
      <c r="RTE69" s="684"/>
      <c r="RTF69" s="684"/>
      <c r="RTG69" s="684"/>
      <c r="RTH69" s="684"/>
      <c r="RTI69" s="684"/>
      <c r="RTJ69" s="684"/>
      <c r="RTK69" s="684"/>
      <c r="RTL69" s="684"/>
      <c r="RTM69" s="684"/>
      <c r="RTN69" s="684"/>
      <c r="RTO69" s="684"/>
      <c r="RTP69" s="684"/>
      <c r="RTQ69" s="684"/>
      <c r="RTR69" s="684"/>
      <c r="RTS69" s="684"/>
      <c r="RTT69" s="684"/>
      <c r="RTU69" s="684"/>
      <c r="RTV69" s="684"/>
      <c r="RTW69" s="684"/>
      <c r="RTX69" s="684"/>
      <c r="RTY69" s="684"/>
      <c r="RTZ69" s="684"/>
      <c r="RUA69" s="684"/>
      <c r="RUB69" s="684"/>
      <c r="RUC69" s="684"/>
      <c r="RUD69" s="684"/>
      <c r="RUE69" s="684"/>
      <c r="RUF69" s="684"/>
      <c r="RUG69" s="684"/>
      <c r="RUH69" s="684"/>
      <c r="RUI69" s="684"/>
      <c r="RUJ69" s="684"/>
      <c r="RUK69" s="684"/>
      <c r="RUL69" s="684"/>
      <c r="RUM69" s="684"/>
      <c r="RUN69" s="684"/>
      <c r="RUO69" s="684"/>
      <c r="RUP69" s="684"/>
      <c r="RUQ69" s="684"/>
      <c r="RUR69" s="684"/>
      <c r="RUS69" s="684"/>
      <c r="RUT69" s="684"/>
      <c r="RUU69" s="684"/>
      <c r="RUV69" s="684"/>
      <c r="RUW69" s="684"/>
      <c r="RUX69" s="684"/>
      <c r="RUY69" s="684"/>
      <c r="RUZ69" s="684"/>
      <c r="RVA69" s="684"/>
      <c r="RVB69" s="684"/>
      <c r="RVC69" s="684"/>
      <c r="RVD69" s="684"/>
      <c r="RVE69" s="684"/>
      <c r="RVF69" s="684"/>
      <c r="RVG69" s="684"/>
      <c r="RVH69" s="684"/>
      <c r="RVI69" s="684"/>
      <c r="RVJ69" s="684"/>
      <c r="RVK69" s="684"/>
      <c r="RVL69" s="684"/>
      <c r="RVM69" s="684"/>
      <c r="RVN69" s="684"/>
      <c r="RVO69" s="684"/>
      <c r="RVP69" s="684"/>
      <c r="RVQ69" s="684"/>
      <c r="RVR69" s="684"/>
      <c r="RVS69" s="684"/>
      <c r="RVT69" s="684"/>
      <c r="RVU69" s="684"/>
      <c r="RVV69" s="684"/>
      <c r="RVW69" s="684"/>
      <c r="RVX69" s="684"/>
      <c r="RVY69" s="684"/>
      <c r="RVZ69" s="684"/>
      <c r="RWA69" s="684"/>
      <c r="RWB69" s="684"/>
      <c r="RWC69" s="684"/>
      <c r="RWD69" s="684"/>
      <c r="RWE69" s="684"/>
      <c r="RWF69" s="684"/>
      <c r="RWG69" s="684"/>
      <c r="RWH69" s="684"/>
      <c r="RWI69" s="684"/>
      <c r="RWJ69" s="684"/>
      <c r="RWK69" s="684"/>
      <c r="RWL69" s="684"/>
      <c r="RWM69" s="684"/>
      <c r="RWN69" s="684"/>
      <c r="RWO69" s="684"/>
      <c r="RWP69" s="684"/>
      <c r="RWQ69" s="684"/>
      <c r="RWR69" s="684"/>
      <c r="RWS69" s="684"/>
      <c r="RWT69" s="684"/>
      <c r="RWU69" s="684"/>
      <c r="RWV69" s="684"/>
      <c r="RWW69" s="684"/>
      <c r="RWX69" s="684"/>
      <c r="RWY69" s="684"/>
      <c r="RWZ69" s="684"/>
      <c r="RXA69" s="684"/>
      <c r="RXB69" s="684"/>
      <c r="RXC69" s="684"/>
      <c r="RXD69" s="684"/>
      <c r="RXE69" s="684"/>
      <c r="RXF69" s="684"/>
      <c r="RXG69" s="684"/>
      <c r="RXH69" s="684"/>
      <c r="RXI69" s="684"/>
      <c r="RXJ69" s="684"/>
      <c r="RXK69" s="684"/>
      <c r="RXL69" s="684"/>
      <c r="RXM69" s="684"/>
      <c r="RXN69" s="684"/>
      <c r="RXO69" s="684"/>
      <c r="RXP69" s="684"/>
      <c r="RXQ69" s="684"/>
      <c r="RXR69" s="684"/>
      <c r="RXS69" s="684"/>
      <c r="RXT69" s="684"/>
      <c r="RXU69" s="684"/>
      <c r="RXV69" s="684"/>
      <c r="RXW69" s="684"/>
      <c r="RXX69" s="684"/>
      <c r="RXY69" s="684"/>
      <c r="RXZ69" s="684"/>
      <c r="RYA69" s="684"/>
      <c r="RYB69" s="684"/>
      <c r="RYC69" s="684"/>
      <c r="RYD69" s="684"/>
      <c r="RYE69" s="684"/>
      <c r="RYF69" s="684"/>
      <c r="RYG69" s="684"/>
      <c r="RYH69" s="684"/>
      <c r="RYI69" s="684"/>
      <c r="RYJ69" s="684"/>
      <c r="RYK69" s="684"/>
      <c r="RYL69" s="684"/>
      <c r="RYM69" s="684"/>
      <c r="RYN69" s="684"/>
      <c r="RYO69" s="684"/>
      <c r="RYP69" s="684"/>
      <c r="RYQ69" s="684"/>
      <c r="RYR69" s="684"/>
      <c r="RYS69" s="684"/>
      <c r="RYT69" s="684"/>
      <c r="RYU69" s="684"/>
      <c r="RYV69" s="684"/>
      <c r="RYW69" s="684"/>
      <c r="RYX69" s="684"/>
      <c r="RYY69" s="684"/>
      <c r="RYZ69" s="684"/>
      <c r="RZA69" s="684"/>
      <c r="RZB69" s="684"/>
      <c r="RZC69" s="684"/>
      <c r="RZD69" s="684"/>
      <c r="RZE69" s="684"/>
      <c r="RZF69" s="684"/>
      <c r="RZG69" s="684"/>
      <c r="RZH69" s="684"/>
      <c r="RZI69" s="684"/>
      <c r="RZJ69" s="684"/>
      <c r="RZK69" s="684"/>
      <c r="RZL69" s="684"/>
      <c r="RZM69" s="684"/>
      <c r="RZN69" s="684"/>
      <c r="RZO69" s="684"/>
      <c r="RZP69" s="684"/>
      <c r="RZQ69" s="684"/>
      <c r="RZR69" s="684"/>
      <c r="RZS69" s="684"/>
      <c r="RZT69" s="684"/>
      <c r="RZU69" s="684"/>
      <c r="RZV69" s="684"/>
      <c r="RZW69" s="684"/>
      <c r="RZX69" s="684"/>
      <c r="RZY69" s="684"/>
      <c r="RZZ69" s="684"/>
      <c r="SAA69" s="684"/>
      <c r="SAB69" s="684"/>
      <c r="SAC69" s="684"/>
      <c r="SAD69" s="684"/>
      <c r="SAE69" s="684"/>
      <c r="SAF69" s="684"/>
      <c r="SAG69" s="684"/>
      <c r="SAH69" s="684"/>
      <c r="SAI69" s="684"/>
      <c r="SAJ69" s="684"/>
      <c r="SAK69" s="684"/>
      <c r="SAL69" s="684"/>
      <c r="SAM69" s="684"/>
      <c r="SAN69" s="684"/>
      <c r="SAO69" s="684"/>
      <c r="SAP69" s="684"/>
      <c r="SAQ69" s="684"/>
      <c r="SAR69" s="684"/>
      <c r="SAS69" s="684"/>
      <c r="SAT69" s="684"/>
      <c r="SAU69" s="684"/>
      <c r="SAV69" s="684"/>
      <c r="SAW69" s="684"/>
      <c r="SAX69" s="684"/>
      <c r="SAY69" s="684"/>
      <c r="SAZ69" s="684"/>
      <c r="SBA69" s="684"/>
      <c r="SBB69" s="684"/>
      <c r="SBC69" s="684"/>
      <c r="SBD69" s="684"/>
      <c r="SBE69" s="684"/>
      <c r="SBF69" s="684"/>
      <c r="SBG69" s="684"/>
      <c r="SBH69" s="684"/>
      <c r="SBI69" s="684"/>
      <c r="SBJ69" s="684"/>
      <c r="SBK69" s="684"/>
      <c r="SBL69" s="684"/>
      <c r="SBM69" s="684"/>
      <c r="SBN69" s="684"/>
      <c r="SBO69" s="684"/>
      <c r="SBP69" s="684"/>
      <c r="SBQ69" s="684"/>
      <c r="SBR69" s="684"/>
      <c r="SBS69" s="684"/>
      <c r="SBT69" s="684"/>
      <c r="SBU69" s="684"/>
      <c r="SBV69" s="684"/>
      <c r="SBW69" s="684"/>
      <c r="SBX69" s="684"/>
      <c r="SBY69" s="684"/>
      <c r="SBZ69" s="684"/>
      <c r="SCA69" s="684"/>
      <c r="SCB69" s="684"/>
      <c r="SCC69" s="684"/>
      <c r="SCD69" s="684"/>
      <c r="SCE69" s="684"/>
      <c r="SCF69" s="684"/>
      <c r="SCG69" s="684"/>
      <c r="SCH69" s="684"/>
      <c r="SCI69" s="684"/>
      <c r="SCJ69" s="684"/>
      <c r="SCK69" s="684"/>
      <c r="SCL69" s="684"/>
      <c r="SCM69" s="684"/>
      <c r="SCN69" s="684"/>
      <c r="SCO69" s="684"/>
      <c r="SCP69" s="684"/>
      <c r="SCQ69" s="684"/>
      <c r="SCR69" s="684"/>
      <c r="SCS69" s="684"/>
      <c r="SCT69" s="684"/>
      <c r="SCU69" s="684"/>
      <c r="SCV69" s="684"/>
      <c r="SCW69" s="684"/>
      <c r="SCX69" s="684"/>
      <c r="SCY69" s="684"/>
      <c r="SCZ69" s="684"/>
      <c r="SDA69" s="684"/>
      <c r="SDB69" s="684"/>
      <c r="SDC69" s="684"/>
      <c r="SDD69" s="684"/>
      <c r="SDE69" s="684"/>
      <c r="SDF69" s="684"/>
      <c r="SDG69" s="684"/>
      <c r="SDH69" s="684"/>
      <c r="SDI69" s="684"/>
      <c r="SDJ69" s="684"/>
      <c r="SDK69" s="684"/>
      <c r="SDL69" s="684"/>
      <c r="SDM69" s="684"/>
      <c r="SDN69" s="684"/>
      <c r="SDO69" s="684"/>
      <c r="SDP69" s="684"/>
      <c r="SDQ69" s="684"/>
      <c r="SDR69" s="684"/>
      <c r="SDS69" s="684"/>
      <c r="SDT69" s="684"/>
      <c r="SDU69" s="684"/>
      <c r="SDV69" s="684"/>
      <c r="SDW69" s="684"/>
      <c r="SDX69" s="684"/>
      <c r="SDY69" s="684"/>
      <c r="SDZ69" s="684"/>
      <c r="SEA69" s="684"/>
      <c r="SEB69" s="684"/>
      <c r="SEC69" s="684"/>
      <c r="SED69" s="684"/>
      <c r="SEE69" s="684"/>
      <c r="SEF69" s="684"/>
      <c r="SEG69" s="684"/>
      <c r="SEH69" s="684"/>
      <c r="SEI69" s="684"/>
      <c r="SEJ69" s="684"/>
      <c r="SEK69" s="684"/>
      <c r="SEL69" s="684"/>
      <c r="SEM69" s="684"/>
      <c r="SEN69" s="684"/>
      <c r="SEO69" s="684"/>
      <c r="SEP69" s="684"/>
      <c r="SEQ69" s="684"/>
      <c r="SER69" s="684"/>
      <c r="SES69" s="684"/>
      <c r="SET69" s="684"/>
      <c r="SEU69" s="684"/>
      <c r="SEV69" s="684"/>
      <c r="SEW69" s="684"/>
      <c r="SEX69" s="684"/>
      <c r="SEY69" s="684"/>
      <c r="SEZ69" s="684"/>
      <c r="SFA69" s="684"/>
      <c r="SFB69" s="684"/>
      <c r="SFC69" s="684"/>
      <c r="SFD69" s="684"/>
      <c r="SFE69" s="684"/>
      <c r="SFF69" s="684"/>
      <c r="SFG69" s="684"/>
      <c r="SFH69" s="684"/>
      <c r="SFI69" s="684"/>
      <c r="SFJ69" s="684"/>
      <c r="SFK69" s="684"/>
      <c r="SFL69" s="684"/>
      <c r="SFM69" s="684"/>
      <c r="SFN69" s="684"/>
      <c r="SFO69" s="684"/>
      <c r="SFP69" s="684"/>
      <c r="SFQ69" s="684"/>
      <c r="SFR69" s="684"/>
      <c r="SFS69" s="684"/>
      <c r="SFT69" s="684"/>
      <c r="SFU69" s="684"/>
      <c r="SFV69" s="684"/>
      <c r="SFW69" s="684"/>
      <c r="SFX69" s="684"/>
      <c r="SFY69" s="684"/>
      <c r="SFZ69" s="684"/>
      <c r="SGA69" s="684"/>
      <c r="SGB69" s="684"/>
      <c r="SGC69" s="684"/>
      <c r="SGD69" s="684"/>
      <c r="SGE69" s="684"/>
      <c r="SGF69" s="684"/>
      <c r="SGG69" s="684"/>
      <c r="SGH69" s="684"/>
      <c r="SGI69" s="684"/>
      <c r="SGJ69" s="684"/>
      <c r="SGK69" s="684"/>
      <c r="SGL69" s="684"/>
      <c r="SGM69" s="684"/>
      <c r="SGN69" s="684"/>
      <c r="SGO69" s="684"/>
      <c r="SGP69" s="684"/>
      <c r="SGQ69" s="684"/>
      <c r="SGR69" s="684"/>
      <c r="SGS69" s="684"/>
      <c r="SGT69" s="684"/>
      <c r="SGU69" s="684"/>
      <c r="SGV69" s="684"/>
      <c r="SGW69" s="684"/>
      <c r="SGX69" s="684"/>
      <c r="SGY69" s="684"/>
      <c r="SGZ69" s="684"/>
      <c r="SHA69" s="684"/>
      <c r="SHB69" s="684"/>
      <c r="SHC69" s="684"/>
      <c r="SHD69" s="684"/>
      <c r="SHE69" s="684"/>
      <c r="SHF69" s="684"/>
      <c r="SHG69" s="684"/>
      <c r="SHH69" s="684"/>
      <c r="SHI69" s="684"/>
      <c r="SHJ69" s="684"/>
      <c r="SHK69" s="684"/>
      <c r="SHL69" s="684"/>
      <c r="SHM69" s="684"/>
      <c r="SHN69" s="684"/>
      <c r="SHO69" s="684"/>
      <c r="SHP69" s="684"/>
      <c r="SHQ69" s="684"/>
      <c r="SHR69" s="684"/>
      <c r="SHS69" s="684"/>
      <c r="SHT69" s="684"/>
      <c r="SHU69" s="684"/>
      <c r="SHV69" s="684"/>
      <c r="SHW69" s="684"/>
      <c r="SHX69" s="684"/>
      <c r="SHY69" s="684"/>
      <c r="SHZ69" s="684"/>
      <c r="SIA69" s="684"/>
      <c r="SIB69" s="684"/>
      <c r="SIC69" s="684"/>
      <c r="SID69" s="684"/>
      <c r="SIE69" s="684"/>
      <c r="SIF69" s="684"/>
      <c r="SIG69" s="684"/>
      <c r="SIH69" s="684"/>
      <c r="SII69" s="684"/>
      <c r="SIJ69" s="684"/>
      <c r="SIK69" s="684"/>
      <c r="SIL69" s="684"/>
      <c r="SIM69" s="684"/>
      <c r="SIN69" s="684"/>
      <c r="SIO69" s="684"/>
      <c r="SIP69" s="684"/>
      <c r="SIQ69" s="684"/>
      <c r="SIR69" s="684"/>
      <c r="SIS69" s="684"/>
      <c r="SIT69" s="684"/>
      <c r="SIU69" s="684"/>
      <c r="SIV69" s="684"/>
      <c r="SIW69" s="684"/>
      <c r="SIX69" s="684"/>
      <c r="SIY69" s="684"/>
      <c r="SIZ69" s="684"/>
      <c r="SJA69" s="684"/>
      <c r="SJB69" s="684"/>
      <c r="SJC69" s="684"/>
      <c r="SJD69" s="684"/>
      <c r="SJE69" s="684"/>
      <c r="SJF69" s="684"/>
      <c r="SJG69" s="684"/>
      <c r="SJH69" s="684"/>
      <c r="SJI69" s="684"/>
      <c r="SJJ69" s="684"/>
      <c r="SJK69" s="684"/>
      <c r="SJL69" s="684"/>
      <c r="SJM69" s="684"/>
      <c r="SJN69" s="684"/>
      <c r="SJO69" s="684"/>
      <c r="SJP69" s="684"/>
      <c r="SJQ69" s="684"/>
      <c r="SJR69" s="684"/>
      <c r="SJS69" s="684"/>
      <c r="SJT69" s="684"/>
      <c r="SJU69" s="684"/>
      <c r="SJV69" s="684"/>
      <c r="SJW69" s="684"/>
      <c r="SJX69" s="684"/>
      <c r="SJY69" s="684"/>
      <c r="SJZ69" s="684"/>
      <c r="SKA69" s="684"/>
      <c r="SKB69" s="684"/>
      <c r="SKC69" s="684"/>
      <c r="SKD69" s="684"/>
      <c r="SKE69" s="684"/>
      <c r="SKF69" s="684"/>
      <c r="SKG69" s="684"/>
      <c r="SKH69" s="684"/>
      <c r="SKI69" s="684"/>
      <c r="SKJ69" s="684"/>
      <c r="SKK69" s="684"/>
      <c r="SKL69" s="684"/>
      <c r="SKM69" s="684"/>
      <c r="SKN69" s="684"/>
      <c r="SKO69" s="684"/>
      <c r="SKP69" s="684"/>
      <c r="SKQ69" s="684"/>
      <c r="SKR69" s="684"/>
      <c r="SKS69" s="684"/>
      <c r="SKT69" s="684"/>
      <c r="SKU69" s="684"/>
      <c r="SKV69" s="684"/>
      <c r="SKW69" s="684"/>
      <c r="SKX69" s="684"/>
      <c r="SKY69" s="684"/>
      <c r="SKZ69" s="684"/>
      <c r="SLA69" s="684"/>
      <c r="SLB69" s="684"/>
      <c r="SLC69" s="684"/>
      <c r="SLD69" s="684"/>
      <c r="SLE69" s="684"/>
      <c r="SLF69" s="684"/>
      <c r="SLG69" s="684"/>
      <c r="SLH69" s="684"/>
      <c r="SLI69" s="684"/>
      <c r="SLJ69" s="684"/>
      <c r="SLK69" s="684"/>
      <c r="SLL69" s="684"/>
      <c r="SLM69" s="684"/>
      <c r="SLN69" s="684"/>
      <c r="SLO69" s="684"/>
      <c r="SLP69" s="684"/>
      <c r="SLQ69" s="684"/>
      <c r="SLR69" s="684"/>
      <c r="SLS69" s="684"/>
      <c r="SLT69" s="684"/>
      <c r="SLU69" s="684"/>
      <c r="SLV69" s="684"/>
      <c r="SLW69" s="684"/>
      <c r="SLX69" s="684"/>
      <c r="SLY69" s="684"/>
      <c r="SLZ69" s="684"/>
      <c r="SMA69" s="684"/>
      <c r="SMB69" s="684"/>
      <c r="SMC69" s="684"/>
      <c r="SMD69" s="684"/>
      <c r="SME69" s="684"/>
      <c r="SMF69" s="684"/>
      <c r="SMG69" s="684"/>
      <c r="SMH69" s="684"/>
      <c r="SMI69" s="684"/>
      <c r="SMJ69" s="684"/>
      <c r="SMK69" s="684"/>
      <c r="SML69" s="684"/>
      <c r="SMM69" s="684"/>
      <c r="SMN69" s="684"/>
      <c r="SMO69" s="684"/>
      <c r="SMP69" s="684"/>
      <c r="SMQ69" s="684"/>
      <c r="SMR69" s="684"/>
      <c r="SMS69" s="684"/>
      <c r="SMT69" s="684"/>
      <c r="SMU69" s="684"/>
      <c r="SMV69" s="684"/>
      <c r="SMW69" s="684"/>
      <c r="SMX69" s="684"/>
      <c r="SMY69" s="684"/>
      <c r="SMZ69" s="684"/>
      <c r="SNA69" s="684"/>
      <c r="SNB69" s="684"/>
      <c r="SNC69" s="684"/>
      <c r="SND69" s="684"/>
      <c r="SNE69" s="684"/>
      <c r="SNF69" s="684"/>
      <c r="SNG69" s="684"/>
      <c r="SNH69" s="684"/>
      <c r="SNI69" s="684"/>
      <c r="SNJ69" s="684"/>
      <c r="SNK69" s="684"/>
      <c r="SNL69" s="684"/>
      <c r="SNM69" s="684"/>
      <c r="SNN69" s="684"/>
      <c r="SNO69" s="684"/>
      <c r="SNP69" s="684"/>
      <c r="SNQ69" s="684"/>
      <c r="SNR69" s="684"/>
      <c r="SNS69" s="684"/>
      <c r="SNT69" s="684"/>
      <c r="SNU69" s="684"/>
      <c r="SNV69" s="684"/>
      <c r="SNW69" s="684"/>
      <c r="SNX69" s="684"/>
      <c r="SNY69" s="684"/>
      <c r="SNZ69" s="684"/>
      <c r="SOA69" s="684"/>
      <c r="SOB69" s="684"/>
      <c r="SOC69" s="684"/>
      <c r="SOD69" s="684"/>
      <c r="SOE69" s="684"/>
      <c r="SOF69" s="684"/>
      <c r="SOG69" s="684"/>
      <c r="SOH69" s="684"/>
      <c r="SOI69" s="684"/>
      <c r="SOJ69" s="684"/>
      <c r="SOK69" s="684"/>
      <c r="SOL69" s="684"/>
      <c r="SOM69" s="684"/>
      <c r="SON69" s="684"/>
      <c r="SOO69" s="684"/>
      <c r="SOP69" s="684"/>
      <c r="SOQ69" s="684"/>
      <c r="SOR69" s="684"/>
      <c r="SOS69" s="684"/>
      <c r="SOT69" s="684"/>
      <c r="SOU69" s="684"/>
      <c r="SOV69" s="684"/>
      <c r="SOW69" s="684"/>
      <c r="SOX69" s="684"/>
      <c r="SOY69" s="684"/>
      <c r="SOZ69" s="684"/>
      <c r="SPA69" s="684"/>
      <c r="SPB69" s="684"/>
      <c r="SPC69" s="684"/>
      <c r="SPD69" s="684"/>
      <c r="SPE69" s="684"/>
      <c r="SPF69" s="684"/>
      <c r="SPG69" s="684"/>
      <c r="SPH69" s="684"/>
      <c r="SPI69" s="684"/>
      <c r="SPJ69" s="684"/>
      <c r="SPK69" s="684"/>
      <c r="SPL69" s="684"/>
      <c r="SPM69" s="684"/>
      <c r="SPN69" s="684"/>
      <c r="SPO69" s="684"/>
      <c r="SPP69" s="684"/>
      <c r="SPQ69" s="684"/>
      <c r="SPR69" s="684"/>
      <c r="SPS69" s="684"/>
      <c r="SPT69" s="684"/>
      <c r="SPU69" s="684"/>
      <c r="SPV69" s="684"/>
      <c r="SPW69" s="684"/>
      <c r="SPX69" s="684"/>
      <c r="SPY69" s="684"/>
      <c r="SPZ69" s="684"/>
      <c r="SQA69" s="684"/>
      <c r="SQB69" s="684"/>
      <c r="SQC69" s="684"/>
      <c r="SQD69" s="684"/>
      <c r="SQE69" s="684"/>
      <c r="SQF69" s="684"/>
      <c r="SQG69" s="684"/>
      <c r="SQH69" s="684"/>
      <c r="SQI69" s="684"/>
      <c r="SQJ69" s="684"/>
      <c r="SQK69" s="684"/>
      <c r="SQL69" s="684"/>
      <c r="SQM69" s="684"/>
      <c r="SQN69" s="684"/>
      <c r="SQO69" s="684"/>
      <c r="SQP69" s="684"/>
      <c r="SQQ69" s="684"/>
      <c r="SQR69" s="684"/>
      <c r="SQS69" s="684"/>
      <c r="SQT69" s="684"/>
      <c r="SQU69" s="684"/>
      <c r="SQV69" s="684"/>
      <c r="SQW69" s="684"/>
      <c r="SQX69" s="684"/>
      <c r="SQY69" s="684"/>
      <c r="SQZ69" s="684"/>
      <c r="SRA69" s="684"/>
      <c r="SRB69" s="684"/>
      <c r="SRC69" s="684"/>
      <c r="SRD69" s="684"/>
      <c r="SRE69" s="684"/>
      <c r="SRF69" s="684"/>
      <c r="SRG69" s="684"/>
      <c r="SRH69" s="684"/>
      <c r="SRI69" s="684"/>
      <c r="SRJ69" s="684"/>
      <c r="SRK69" s="684"/>
      <c r="SRL69" s="684"/>
      <c r="SRM69" s="684"/>
      <c r="SRN69" s="684"/>
      <c r="SRO69" s="684"/>
      <c r="SRP69" s="684"/>
      <c r="SRQ69" s="684"/>
      <c r="SRR69" s="684"/>
      <c r="SRS69" s="684"/>
      <c r="SRT69" s="684"/>
      <c r="SRU69" s="684"/>
      <c r="SRV69" s="684"/>
      <c r="SRW69" s="684"/>
      <c r="SRX69" s="684"/>
      <c r="SRY69" s="684"/>
      <c r="SRZ69" s="684"/>
      <c r="SSA69" s="684"/>
      <c r="SSB69" s="684"/>
      <c r="SSC69" s="684"/>
      <c r="SSD69" s="684"/>
      <c r="SSE69" s="684"/>
      <c r="SSF69" s="684"/>
      <c r="SSG69" s="684"/>
      <c r="SSH69" s="684"/>
      <c r="SSI69" s="684"/>
      <c r="SSJ69" s="684"/>
      <c r="SSK69" s="684"/>
      <c r="SSL69" s="684"/>
      <c r="SSM69" s="684"/>
      <c r="SSN69" s="684"/>
      <c r="SSO69" s="684"/>
      <c r="SSP69" s="684"/>
      <c r="SSQ69" s="684"/>
      <c r="SSR69" s="684"/>
      <c r="SSS69" s="684"/>
      <c r="SST69" s="684"/>
      <c r="SSU69" s="684"/>
      <c r="SSV69" s="684"/>
      <c r="SSW69" s="684"/>
      <c r="SSX69" s="684"/>
      <c r="SSY69" s="684"/>
      <c r="SSZ69" s="684"/>
      <c r="STA69" s="684"/>
      <c r="STB69" s="684"/>
      <c r="STC69" s="684"/>
      <c r="STD69" s="684"/>
      <c r="STE69" s="684"/>
      <c r="STF69" s="684"/>
      <c r="STG69" s="684"/>
      <c r="STH69" s="684"/>
      <c r="STI69" s="684"/>
      <c r="STJ69" s="684"/>
      <c r="STK69" s="684"/>
      <c r="STL69" s="684"/>
      <c r="STM69" s="684"/>
      <c r="STN69" s="684"/>
      <c r="STO69" s="684"/>
      <c r="STP69" s="684"/>
      <c r="STQ69" s="684"/>
      <c r="STR69" s="684"/>
      <c r="STS69" s="684"/>
      <c r="STT69" s="684"/>
      <c r="STU69" s="684"/>
      <c r="STV69" s="684"/>
      <c r="STW69" s="684"/>
      <c r="STX69" s="684"/>
      <c r="STY69" s="684"/>
      <c r="STZ69" s="684"/>
      <c r="SUA69" s="684"/>
      <c r="SUB69" s="684"/>
      <c r="SUC69" s="684"/>
      <c r="SUD69" s="684"/>
      <c r="SUE69" s="684"/>
      <c r="SUF69" s="684"/>
      <c r="SUG69" s="684"/>
      <c r="SUH69" s="684"/>
      <c r="SUI69" s="684"/>
      <c r="SUJ69" s="684"/>
      <c r="SUK69" s="684"/>
      <c r="SUL69" s="684"/>
      <c r="SUM69" s="684"/>
      <c r="SUN69" s="684"/>
      <c r="SUO69" s="684"/>
      <c r="SUP69" s="684"/>
      <c r="SUQ69" s="684"/>
      <c r="SUR69" s="684"/>
      <c r="SUS69" s="684"/>
      <c r="SUT69" s="684"/>
      <c r="SUU69" s="684"/>
      <c r="SUV69" s="684"/>
      <c r="SUW69" s="684"/>
      <c r="SUX69" s="684"/>
      <c r="SUY69" s="684"/>
      <c r="SUZ69" s="684"/>
      <c r="SVA69" s="684"/>
      <c r="SVB69" s="684"/>
      <c r="SVC69" s="684"/>
      <c r="SVD69" s="684"/>
      <c r="SVE69" s="684"/>
      <c r="SVF69" s="684"/>
      <c r="SVG69" s="684"/>
      <c r="SVH69" s="684"/>
      <c r="SVI69" s="684"/>
      <c r="SVJ69" s="684"/>
      <c r="SVK69" s="684"/>
      <c r="SVL69" s="684"/>
      <c r="SVM69" s="684"/>
      <c r="SVN69" s="684"/>
      <c r="SVO69" s="684"/>
      <c r="SVP69" s="684"/>
      <c r="SVQ69" s="684"/>
      <c r="SVR69" s="684"/>
      <c r="SVS69" s="684"/>
      <c r="SVT69" s="684"/>
      <c r="SVU69" s="684"/>
      <c r="SVV69" s="684"/>
      <c r="SVW69" s="684"/>
      <c r="SVX69" s="684"/>
      <c r="SVY69" s="684"/>
      <c r="SVZ69" s="684"/>
      <c r="SWA69" s="684"/>
      <c r="SWB69" s="684"/>
      <c r="SWC69" s="684"/>
      <c r="SWD69" s="684"/>
      <c r="SWE69" s="684"/>
      <c r="SWF69" s="684"/>
      <c r="SWG69" s="684"/>
      <c r="SWH69" s="684"/>
      <c r="SWI69" s="684"/>
      <c r="SWJ69" s="684"/>
      <c r="SWK69" s="684"/>
      <c r="SWL69" s="684"/>
      <c r="SWM69" s="684"/>
      <c r="SWN69" s="684"/>
      <c r="SWO69" s="684"/>
      <c r="SWP69" s="684"/>
      <c r="SWQ69" s="684"/>
      <c r="SWR69" s="684"/>
      <c r="SWS69" s="684"/>
      <c r="SWT69" s="684"/>
      <c r="SWU69" s="684"/>
      <c r="SWV69" s="684"/>
      <c r="SWW69" s="684"/>
      <c r="SWX69" s="684"/>
      <c r="SWY69" s="684"/>
      <c r="SWZ69" s="684"/>
      <c r="SXA69" s="684"/>
      <c r="SXB69" s="684"/>
      <c r="SXC69" s="684"/>
      <c r="SXD69" s="684"/>
      <c r="SXE69" s="684"/>
      <c r="SXF69" s="684"/>
      <c r="SXG69" s="684"/>
      <c r="SXH69" s="684"/>
      <c r="SXI69" s="684"/>
      <c r="SXJ69" s="684"/>
      <c r="SXK69" s="684"/>
      <c r="SXL69" s="684"/>
      <c r="SXM69" s="684"/>
      <c r="SXN69" s="684"/>
      <c r="SXO69" s="684"/>
      <c r="SXP69" s="684"/>
      <c r="SXQ69" s="684"/>
      <c r="SXR69" s="684"/>
      <c r="SXS69" s="684"/>
      <c r="SXT69" s="684"/>
      <c r="SXU69" s="684"/>
      <c r="SXV69" s="684"/>
      <c r="SXW69" s="684"/>
      <c r="SXX69" s="684"/>
      <c r="SXY69" s="684"/>
      <c r="SXZ69" s="684"/>
      <c r="SYA69" s="684"/>
      <c r="SYB69" s="684"/>
      <c r="SYC69" s="684"/>
      <c r="SYD69" s="684"/>
      <c r="SYE69" s="684"/>
      <c r="SYF69" s="684"/>
      <c r="SYG69" s="684"/>
      <c r="SYH69" s="684"/>
      <c r="SYI69" s="684"/>
      <c r="SYJ69" s="684"/>
      <c r="SYK69" s="684"/>
      <c r="SYL69" s="684"/>
      <c r="SYM69" s="684"/>
      <c r="SYN69" s="684"/>
      <c r="SYO69" s="684"/>
      <c r="SYP69" s="684"/>
      <c r="SYQ69" s="684"/>
      <c r="SYR69" s="684"/>
      <c r="SYS69" s="684"/>
      <c r="SYT69" s="684"/>
      <c r="SYU69" s="684"/>
      <c r="SYV69" s="684"/>
      <c r="SYW69" s="684"/>
      <c r="SYX69" s="684"/>
      <c r="SYY69" s="684"/>
      <c r="SYZ69" s="684"/>
      <c r="SZA69" s="684"/>
      <c r="SZB69" s="684"/>
      <c r="SZC69" s="684"/>
      <c r="SZD69" s="684"/>
      <c r="SZE69" s="684"/>
      <c r="SZF69" s="684"/>
      <c r="SZG69" s="684"/>
      <c r="SZH69" s="684"/>
      <c r="SZI69" s="684"/>
      <c r="SZJ69" s="684"/>
      <c r="SZK69" s="684"/>
      <c r="SZL69" s="684"/>
      <c r="SZM69" s="684"/>
      <c r="SZN69" s="684"/>
      <c r="SZO69" s="684"/>
      <c r="SZP69" s="684"/>
      <c r="SZQ69" s="684"/>
      <c r="SZR69" s="684"/>
      <c r="SZS69" s="684"/>
      <c r="SZT69" s="684"/>
      <c r="SZU69" s="684"/>
      <c r="SZV69" s="684"/>
      <c r="SZW69" s="684"/>
      <c r="SZX69" s="684"/>
      <c r="SZY69" s="684"/>
      <c r="SZZ69" s="684"/>
      <c r="TAA69" s="684"/>
      <c r="TAB69" s="684"/>
      <c r="TAC69" s="684"/>
      <c r="TAD69" s="684"/>
      <c r="TAE69" s="684"/>
      <c r="TAF69" s="684"/>
      <c r="TAG69" s="684"/>
      <c r="TAH69" s="684"/>
      <c r="TAI69" s="684"/>
      <c r="TAJ69" s="684"/>
      <c r="TAK69" s="684"/>
      <c r="TAL69" s="684"/>
      <c r="TAM69" s="684"/>
      <c r="TAN69" s="684"/>
      <c r="TAO69" s="684"/>
      <c r="TAP69" s="684"/>
      <c r="TAQ69" s="684"/>
      <c r="TAR69" s="684"/>
      <c r="TAS69" s="684"/>
      <c r="TAT69" s="684"/>
      <c r="TAU69" s="684"/>
      <c r="TAV69" s="684"/>
      <c r="TAW69" s="684"/>
      <c r="TAX69" s="684"/>
      <c r="TAY69" s="684"/>
      <c r="TAZ69" s="684"/>
      <c r="TBA69" s="684"/>
      <c r="TBB69" s="684"/>
      <c r="TBC69" s="684"/>
      <c r="TBD69" s="684"/>
      <c r="TBE69" s="684"/>
      <c r="TBF69" s="684"/>
      <c r="TBG69" s="684"/>
      <c r="TBH69" s="684"/>
      <c r="TBI69" s="684"/>
      <c r="TBJ69" s="684"/>
      <c r="TBK69" s="684"/>
      <c r="TBL69" s="684"/>
      <c r="TBM69" s="684"/>
      <c r="TBN69" s="684"/>
      <c r="TBO69" s="684"/>
      <c r="TBP69" s="684"/>
      <c r="TBQ69" s="684"/>
      <c r="TBR69" s="684"/>
      <c r="TBS69" s="684"/>
      <c r="TBT69" s="684"/>
      <c r="TBU69" s="684"/>
      <c r="TBV69" s="684"/>
      <c r="TBW69" s="684"/>
      <c r="TBX69" s="684"/>
      <c r="TBY69" s="684"/>
      <c r="TBZ69" s="684"/>
      <c r="TCA69" s="684"/>
      <c r="TCB69" s="684"/>
      <c r="TCC69" s="684"/>
      <c r="TCD69" s="684"/>
      <c r="TCE69" s="684"/>
      <c r="TCF69" s="684"/>
      <c r="TCG69" s="684"/>
      <c r="TCH69" s="684"/>
      <c r="TCI69" s="684"/>
      <c r="TCJ69" s="684"/>
      <c r="TCK69" s="684"/>
      <c r="TCL69" s="684"/>
      <c r="TCM69" s="684"/>
      <c r="TCN69" s="684"/>
      <c r="TCO69" s="684"/>
      <c r="TCP69" s="684"/>
      <c r="TCQ69" s="684"/>
      <c r="TCR69" s="684"/>
      <c r="TCS69" s="684"/>
      <c r="TCT69" s="684"/>
      <c r="TCU69" s="684"/>
      <c r="TCV69" s="684"/>
      <c r="TCW69" s="684"/>
      <c r="TCX69" s="684"/>
      <c r="TCY69" s="684"/>
      <c r="TCZ69" s="684"/>
      <c r="TDA69" s="684"/>
      <c r="TDB69" s="684"/>
      <c r="TDC69" s="684"/>
      <c r="TDD69" s="684"/>
      <c r="TDE69" s="684"/>
      <c r="TDF69" s="684"/>
      <c r="TDG69" s="684"/>
      <c r="TDH69" s="684"/>
      <c r="TDI69" s="684"/>
      <c r="TDJ69" s="684"/>
      <c r="TDK69" s="684"/>
      <c r="TDL69" s="684"/>
      <c r="TDM69" s="684"/>
      <c r="TDN69" s="684"/>
      <c r="TDO69" s="684"/>
      <c r="TDP69" s="684"/>
      <c r="TDQ69" s="684"/>
      <c r="TDR69" s="684"/>
      <c r="TDS69" s="684"/>
      <c r="TDT69" s="684"/>
      <c r="TDU69" s="684"/>
      <c r="TDV69" s="684"/>
      <c r="TDW69" s="684"/>
      <c r="TDX69" s="684"/>
      <c r="TDY69" s="684"/>
      <c r="TDZ69" s="684"/>
      <c r="TEA69" s="684"/>
      <c r="TEB69" s="684"/>
      <c r="TEC69" s="684"/>
      <c r="TED69" s="684"/>
      <c r="TEE69" s="684"/>
      <c r="TEF69" s="684"/>
      <c r="TEG69" s="684"/>
      <c r="TEH69" s="684"/>
      <c r="TEI69" s="684"/>
      <c r="TEJ69" s="684"/>
      <c r="TEK69" s="684"/>
      <c r="TEL69" s="684"/>
      <c r="TEM69" s="684"/>
      <c r="TEN69" s="684"/>
      <c r="TEO69" s="684"/>
      <c r="TEP69" s="684"/>
      <c r="TEQ69" s="684"/>
      <c r="TER69" s="684"/>
      <c r="TES69" s="684"/>
      <c r="TET69" s="684"/>
      <c r="TEU69" s="684"/>
      <c r="TEV69" s="684"/>
      <c r="TEW69" s="684"/>
      <c r="TEX69" s="684"/>
      <c r="TEY69" s="684"/>
      <c r="TEZ69" s="684"/>
      <c r="TFA69" s="684"/>
      <c r="TFB69" s="684"/>
      <c r="TFC69" s="684"/>
      <c r="TFD69" s="684"/>
      <c r="TFE69" s="684"/>
      <c r="TFF69" s="684"/>
      <c r="TFG69" s="684"/>
      <c r="TFH69" s="684"/>
      <c r="TFI69" s="684"/>
      <c r="TFJ69" s="684"/>
      <c r="TFK69" s="684"/>
      <c r="TFL69" s="684"/>
      <c r="TFM69" s="684"/>
      <c r="TFN69" s="684"/>
      <c r="TFO69" s="684"/>
      <c r="TFP69" s="684"/>
      <c r="TFQ69" s="684"/>
      <c r="TFR69" s="684"/>
      <c r="TFS69" s="684"/>
      <c r="TFT69" s="684"/>
      <c r="TFU69" s="684"/>
      <c r="TFV69" s="684"/>
      <c r="TFW69" s="684"/>
      <c r="TFX69" s="684"/>
      <c r="TFY69" s="684"/>
      <c r="TFZ69" s="684"/>
      <c r="TGA69" s="684"/>
      <c r="TGB69" s="684"/>
      <c r="TGC69" s="684"/>
      <c r="TGD69" s="684"/>
      <c r="TGE69" s="684"/>
      <c r="TGF69" s="684"/>
      <c r="TGG69" s="684"/>
      <c r="TGH69" s="684"/>
      <c r="TGI69" s="684"/>
      <c r="TGJ69" s="684"/>
      <c r="TGK69" s="684"/>
      <c r="TGL69" s="684"/>
      <c r="TGM69" s="684"/>
      <c r="TGN69" s="684"/>
      <c r="TGO69" s="684"/>
      <c r="TGP69" s="684"/>
      <c r="TGQ69" s="684"/>
      <c r="TGR69" s="684"/>
      <c r="TGS69" s="684"/>
      <c r="TGT69" s="684"/>
      <c r="TGU69" s="684"/>
      <c r="TGV69" s="684"/>
      <c r="TGW69" s="684"/>
      <c r="TGX69" s="684"/>
      <c r="TGY69" s="684"/>
      <c r="TGZ69" s="684"/>
      <c r="THA69" s="684"/>
      <c r="THB69" s="684"/>
      <c r="THC69" s="684"/>
      <c r="THD69" s="684"/>
      <c r="THE69" s="684"/>
      <c r="THF69" s="684"/>
      <c r="THG69" s="684"/>
      <c r="THH69" s="684"/>
      <c r="THI69" s="684"/>
      <c r="THJ69" s="684"/>
      <c r="THK69" s="684"/>
      <c r="THL69" s="684"/>
      <c r="THM69" s="684"/>
      <c r="THN69" s="684"/>
      <c r="THO69" s="684"/>
      <c r="THP69" s="684"/>
      <c r="THQ69" s="684"/>
      <c r="THR69" s="684"/>
      <c r="THS69" s="684"/>
      <c r="THT69" s="684"/>
      <c r="THU69" s="684"/>
      <c r="THV69" s="684"/>
      <c r="THW69" s="684"/>
      <c r="THX69" s="684"/>
      <c r="THY69" s="684"/>
      <c r="THZ69" s="684"/>
      <c r="TIA69" s="684"/>
      <c r="TIB69" s="684"/>
      <c r="TIC69" s="684"/>
      <c r="TID69" s="684"/>
      <c r="TIE69" s="684"/>
      <c r="TIF69" s="684"/>
      <c r="TIG69" s="684"/>
      <c r="TIH69" s="684"/>
      <c r="TII69" s="684"/>
      <c r="TIJ69" s="684"/>
      <c r="TIK69" s="684"/>
      <c r="TIL69" s="684"/>
      <c r="TIM69" s="684"/>
      <c r="TIN69" s="684"/>
      <c r="TIO69" s="684"/>
      <c r="TIP69" s="684"/>
      <c r="TIQ69" s="684"/>
      <c r="TIR69" s="684"/>
      <c r="TIS69" s="684"/>
      <c r="TIT69" s="684"/>
      <c r="TIU69" s="684"/>
      <c r="TIV69" s="684"/>
      <c r="TIW69" s="684"/>
      <c r="TIX69" s="684"/>
      <c r="TIY69" s="684"/>
      <c r="TIZ69" s="684"/>
      <c r="TJA69" s="684"/>
      <c r="TJB69" s="684"/>
      <c r="TJC69" s="684"/>
      <c r="TJD69" s="684"/>
      <c r="TJE69" s="684"/>
      <c r="TJF69" s="684"/>
      <c r="TJG69" s="684"/>
      <c r="TJH69" s="684"/>
      <c r="TJI69" s="684"/>
      <c r="TJJ69" s="684"/>
      <c r="TJK69" s="684"/>
      <c r="TJL69" s="684"/>
      <c r="TJM69" s="684"/>
      <c r="TJN69" s="684"/>
      <c r="TJO69" s="684"/>
      <c r="TJP69" s="684"/>
      <c r="TJQ69" s="684"/>
      <c r="TJR69" s="684"/>
      <c r="TJS69" s="684"/>
      <c r="TJT69" s="684"/>
      <c r="TJU69" s="684"/>
      <c r="TJV69" s="684"/>
      <c r="TJW69" s="684"/>
      <c r="TJX69" s="684"/>
      <c r="TJY69" s="684"/>
      <c r="TJZ69" s="684"/>
      <c r="TKA69" s="684"/>
      <c r="TKB69" s="684"/>
      <c r="TKC69" s="684"/>
      <c r="TKD69" s="684"/>
      <c r="TKE69" s="684"/>
      <c r="TKF69" s="684"/>
      <c r="TKG69" s="684"/>
      <c r="TKH69" s="684"/>
      <c r="TKI69" s="684"/>
      <c r="TKJ69" s="684"/>
      <c r="TKK69" s="684"/>
      <c r="TKL69" s="684"/>
      <c r="TKM69" s="684"/>
      <c r="TKN69" s="684"/>
      <c r="TKO69" s="684"/>
      <c r="TKP69" s="684"/>
      <c r="TKQ69" s="684"/>
      <c r="TKR69" s="684"/>
      <c r="TKS69" s="684"/>
      <c r="TKT69" s="684"/>
      <c r="TKU69" s="684"/>
      <c r="TKV69" s="684"/>
      <c r="TKW69" s="684"/>
      <c r="TKX69" s="684"/>
      <c r="TKY69" s="684"/>
      <c r="TKZ69" s="684"/>
      <c r="TLA69" s="684"/>
      <c r="TLB69" s="684"/>
      <c r="TLC69" s="684"/>
      <c r="TLD69" s="684"/>
      <c r="TLE69" s="684"/>
      <c r="TLF69" s="684"/>
      <c r="TLG69" s="684"/>
      <c r="TLH69" s="684"/>
      <c r="TLI69" s="684"/>
      <c r="TLJ69" s="684"/>
      <c r="TLK69" s="684"/>
      <c r="TLL69" s="684"/>
      <c r="TLM69" s="684"/>
      <c r="TLN69" s="684"/>
      <c r="TLO69" s="684"/>
      <c r="TLP69" s="684"/>
      <c r="TLQ69" s="684"/>
      <c r="TLR69" s="684"/>
      <c r="TLS69" s="684"/>
      <c r="TLT69" s="684"/>
      <c r="TLU69" s="684"/>
      <c r="TLV69" s="684"/>
      <c r="TLW69" s="684"/>
      <c r="TLX69" s="684"/>
      <c r="TLY69" s="684"/>
      <c r="TLZ69" s="684"/>
      <c r="TMA69" s="684"/>
      <c r="TMB69" s="684"/>
      <c r="TMC69" s="684"/>
      <c r="TMD69" s="684"/>
      <c r="TME69" s="684"/>
      <c r="TMF69" s="684"/>
      <c r="TMG69" s="684"/>
      <c r="TMH69" s="684"/>
      <c r="TMI69" s="684"/>
      <c r="TMJ69" s="684"/>
      <c r="TMK69" s="684"/>
      <c r="TML69" s="684"/>
      <c r="TMM69" s="684"/>
      <c r="TMN69" s="684"/>
      <c r="TMO69" s="684"/>
      <c r="TMP69" s="684"/>
      <c r="TMQ69" s="684"/>
      <c r="TMR69" s="684"/>
      <c r="TMS69" s="684"/>
      <c r="TMT69" s="684"/>
      <c r="TMU69" s="684"/>
      <c r="TMV69" s="684"/>
      <c r="TMW69" s="684"/>
      <c r="TMX69" s="684"/>
      <c r="TMY69" s="684"/>
      <c r="TMZ69" s="684"/>
      <c r="TNA69" s="684"/>
      <c r="TNB69" s="684"/>
      <c r="TNC69" s="684"/>
      <c r="TND69" s="684"/>
      <c r="TNE69" s="684"/>
      <c r="TNF69" s="684"/>
      <c r="TNG69" s="684"/>
      <c r="TNH69" s="684"/>
      <c r="TNI69" s="684"/>
      <c r="TNJ69" s="684"/>
      <c r="TNK69" s="684"/>
      <c r="TNL69" s="684"/>
      <c r="TNM69" s="684"/>
      <c r="TNN69" s="684"/>
      <c r="TNO69" s="684"/>
      <c r="TNP69" s="684"/>
      <c r="TNQ69" s="684"/>
      <c r="TNR69" s="684"/>
      <c r="TNS69" s="684"/>
      <c r="TNT69" s="684"/>
      <c r="TNU69" s="684"/>
      <c r="TNV69" s="684"/>
      <c r="TNW69" s="684"/>
      <c r="TNX69" s="684"/>
      <c r="TNY69" s="684"/>
      <c r="TNZ69" s="684"/>
      <c r="TOA69" s="684"/>
      <c r="TOB69" s="684"/>
      <c r="TOC69" s="684"/>
      <c r="TOD69" s="684"/>
      <c r="TOE69" s="684"/>
      <c r="TOF69" s="684"/>
      <c r="TOG69" s="684"/>
      <c r="TOH69" s="684"/>
      <c r="TOI69" s="684"/>
      <c r="TOJ69" s="684"/>
      <c r="TOK69" s="684"/>
      <c r="TOL69" s="684"/>
      <c r="TOM69" s="684"/>
      <c r="TON69" s="684"/>
      <c r="TOO69" s="684"/>
      <c r="TOP69" s="684"/>
      <c r="TOQ69" s="684"/>
      <c r="TOR69" s="684"/>
      <c r="TOS69" s="684"/>
      <c r="TOT69" s="684"/>
      <c r="TOU69" s="684"/>
      <c r="TOV69" s="684"/>
      <c r="TOW69" s="684"/>
      <c r="TOX69" s="684"/>
      <c r="TOY69" s="684"/>
      <c r="TOZ69" s="684"/>
      <c r="TPA69" s="684"/>
      <c r="TPB69" s="684"/>
      <c r="TPC69" s="684"/>
      <c r="TPD69" s="684"/>
      <c r="TPE69" s="684"/>
      <c r="TPF69" s="684"/>
      <c r="TPG69" s="684"/>
      <c r="TPH69" s="684"/>
      <c r="TPI69" s="684"/>
      <c r="TPJ69" s="684"/>
      <c r="TPK69" s="684"/>
      <c r="TPL69" s="684"/>
      <c r="TPM69" s="684"/>
      <c r="TPN69" s="684"/>
      <c r="TPO69" s="684"/>
      <c r="TPP69" s="684"/>
      <c r="TPQ69" s="684"/>
      <c r="TPR69" s="684"/>
      <c r="TPS69" s="684"/>
      <c r="TPT69" s="684"/>
      <c r="TPU69" s="684"/>
      <c r="TPV69" s="684"/>
      <c r="TPW69" s="684"/>
      <c r="TPX69" s="684"/>
      <c r="TPY69" s="684"/>
      <c r="TPZ69" s="684"/>
      <c r="TQA69" s="684"/>
      <c r="TQB69" s="684"/>
      <c r="TQC69" s="684"/>
      <c r="TQD69" s="684"/>
      <c r="TQE69" s="684"/>
      <c r="TQF69" s="684"/>
      <c r="TQG69" s="684"/>
      <c r="TQH69" s="684"/>
      <c r="TQI69" s="684"/>
      <c r="TQJ69" s="684"/>
      <c r="TQK69" s="684"/>
      <c r="TQL69" s="684"/>
      <c r="TQM69" s="684"/>
      <c r="TQN69" s="684"/>
      <c r="TQO69" s="684"/>
      <c r="TQP69" s="684"/>
      <c r="TQQ69" s="684"/>
      <c r="TQR69" s="684"/>
      <c r="TQS69" s="684"/>
      <c r="TQT69" s="684"/>
      <c r="TQU69" s="684"/>
      <c r="TQV69" s="684"/>
      <c r="TQW69" s="684"/>
      <c r="TQX69" s="684"/>
      <c r="TQY69" s="684"/>
      <c r="TQZ69" s="684"/>
      <c r="TRA69" s="684"/>
      <c r="TRB69" s="684"/>
      <c r="TRC69" s="684"/>
      <c r="TRD69" s="684"/>
      <c r="TRE69" s="684"/>
      <c r="TRF69" s="684"/>
      <c r="TRG69" s="684"/>
      <c r="TRH69" s="684"/>
      <c r="TRI69" s="684"/>
      <c r="TRJ69" s="684"/>
      <c r="TRK69" s="684"/>
      <c r="TRL69" s="684"/>
      <c r="TRM69" s="684"/>
      <c r="TRN69" s="684"/>
      <c r="TRO69" s="684"/>
      <c r="TRP69" s="684"/>
      <c r="TRQ69" s="684"/>
      <c r="TRR69" s="684"/>
      <c r="TRS69" s="684"/>
      <c r="TRT69" s="684"/>
      <c r="TRU69" s="684"/>
      <c r="TRV69" s="684"/>
      <c r="TRW69" s="684"/>
      <c r="TRX69" s="684"/>
      <c r="TRY69" s="684"/>
      <c r="TRZ69" s="684"/>
      <c r="TSA69" s="684"/>
      <c r="TSB69" s="684"/>
      <c r="TSC69" s="684"/>
      <c r="TSD69" s="684"/>
      <c r="TSE69" s="684"/>
      <c r="TSF69" s="684"/>
      <c r="TSG69" s="684"/>
      <c r="TSH69" s="684"/>
      <c r="TSI69" s="684"/>
      <c r="TSJ69" s="684"/>
      <c r="TSK69" s="684"/>
      <c r="TSL69" s="684"/>
      <c r="TSM69" s="684"/>
      <c r="TSN69" s="684"/>
      <c r="TSO69" s="684"/>
      <c r="TSP69" s="684"/>
      <c r="TSQ69" s="684"/>
      <c r="TSR69" s="684"/>
      <c r="TSS69" s="684"/>
      <c r="TST69" s="684"/>
      <c r="TSU69" s="684"/>
      <c r="TSV69" s="684"/>
      <c r="TSW69" s="684"/>
      <c r="TSX69" s="684"/>
      <c r="TSY69" s="684"/>
      <c r="TSZ69" s="684"/>
      <c r="TTA69" s="684"/>
      <c r="TTB69" s="684"/>
      <c r="TTC69" s="684"/>
      <c r="TTD69" s="684"/>
      <c r="TTE69" s="684"/>
      <c r="TTF69" s="684"/>
      <c r="TTG69" s="684"/>
      <c r="TTH69" s="684"/>
      <c r="TTI69" s="684"/>
      <c r="TTJ69" s="684"/>
      <c r="TTK69" s="684"/>
      <c r="TTL69" s="684"/>
      <c r="TTM69" s="684"/>
      <c r="TTN69" s="684"/>
      <c r="TTO69" s="684"/>
      <c r="TTP69" s="684"/>
      <c r="TTQ69" s="684"/>
      <c r="TTR69" s="684"/>
      <c r="TTS69" s="684"/>
      <c r="TTT69" s="684"/>
      <c r="TTU69" s="684"/>
      <c r="TTV69" s="684"/>
      <c r="TTW69" s="684"/>
      <c r="TTX69" s="684"/>
      <c r="TTY69" s="684"/>
      <c r="TTZ69" s="684"/>
      <c r="TUA69" s="684"/>
      <c r="TUB69" s="684"/>
      <c r="TUC69" s="684"/>
      <c r="TUD69" s="684"/>
      <c r="TUE69" s="684"/>
      <c r="TUF69" s="684"/>
      <c r="TUG69" s="684"/>
      <c r="TUH69" s="684"/>
      <c r="TUI69" s="684"/>
      <c r="TUJ69" s="684"/>
      <c r="TUK69" s="684"/>
      <c r="TUL69" s="684"/>
      <c r="TUM69" s="684"/>
      <c r="TUN69" s="684"/>
      <c r="TUO69" s="684"/>
      <c r="TUP69" s="684"/>
      <c r="TUQ69" s="684"/>
      <c r="TUR69" s="684"/>
      <c r="TUS69" s="684"/>
      <c r="TUT69" s="684"/>
      <c r="TUU69" s="684"/>
      <c r="TUV69" s="684"/>
      <c r="TUW69" s="684"/>
      <c r="TUX69" s="684"/>
      <c r="TUY69" s="684"/>
      <c r="TUZ69" s="684"/>
      <c r="TVA69" s="684"/>
      <c r="TVB69" s="684"/>
      <c r="TVC69" s="684"/>
      <c r="TVD69" s="684"/>
      <c r="TVE69" s="684"/>
      <c r="TVF69" s="684"/>
      <c r="TVG69" s="684"/>
      <c r="TVH69" s="684"/>
      <c r="TVI69" s="684"/>
      <c r="TVJ69" s="684"/>
      <c r="TVK69" s="684"/>
      <c r="TVL69" s="684"/>
      <c r="TVM69" s="684"/>
      <c r="TVN69" s="684"/>
      <c r="TVO69" s="684"/>
      <c r="TVP69" s="684"/>
      <c r="TVQ69" s="684"/>
      <c r="TVR69" s="684"/>
      <c r="TVS69" s="684"/>
      <c r="TVT69" s="684"/>
      <c r="TVU69" s="684"/>
      <c r="TVV69" s="684"/>
      <c r="TVW69" s="684"/>
      <c r="TVX69" s="684"/>
      <c r="TVY69" s="684"/>
      <c r="TVZ69" s="684"/>
      <c r="TWA69" s="684"/>
      <c r="TWB69" s="684"/>
      <c r="TWC69" s="684"/>
      <c r="TWD69" s="684"/>
      <c r="TWE69" s="684"/>
      <c r="TWF69" s="684"/>
      <c r="TWG69" s="684"/>
      <c r="TWH69" s="684"/>
      <c r="TWI69" s="684"/>
      <c r="TWJ69" s="684"/>
      <c r="TWK69" s="684"/>
      <c r="TWL69" s="684"/>
      <c r="TWM69" s="684"/>
      <c r="TWN69" s="684"/>
      <c r="TWO69" s="684"/>
      <c r="TWP69" s="684"/>
      <c r="TWQ69" s="684"/>
      <c r="TWR69" s="684"/>
      <c r="TWS69" s="684"/>
      <c r="TWT69" s="684"/>
      <c r="TWU69" s="684"/>
      <c r="TWV69" s="684"/>
      <c r="TWW69" s="684"/>
      <c r="TWX69" s="684"/>
      <c r="TWY69" s="684"/>
      <c r="TWZ69" s="684"/>
      <c r="TXA69" s="684"/>
      <c r="TXB69" s="684"/>
      <c r="TXC69" s="684"/>
      <c r="TXD69" s="684"/>
      <c r="TXE69" s="684"/>
      <c r="TXF69" s="684"/>
      <c r="TXG69" s="684"/>
      <c r="TXH69" s="684"/>
      <c r="TXI69" s="684"/>
      <c r="TXJ69" s="684"/>
      <c r="TXK69" s="684"/>
      <c r="TXL69" s="684"/>
      <c r="TXM69" s="684"/>
      <c r="TXN69" s="684"/>
      <c r="TXO69" s="684"/>
      <c r="TXP69" s="684"/>
      <c r="TXQ69" s="684"/>
      <c r="TXR69" s="684"/>
      <c r="TXS69" s="684"/>
      <c r="TXT69" s="684"/>
      <c r="TXU69" s="684"/>
      <c r="TXV69" s="684"/>
      <c r="TXW69" s="684"/>
      <c r="TXX69" s="684"/>
      <c r="TXY69" s="684"/>
      <c r="TXZ69" s="684"/>
      <c r="TYA69" s="684"/>
      <c r="TYB69" s="684"/>
      <c r="TYC69" s="684"/>
      <c r="TYD69" s="684"/>
      <c r="TYE69" s="684"/>
      <c r="TYF69" s="684"/>
      <c r="TYG69" s="684"/>
      <c r="TYH69" s="684"/>
      <c r="TYI69" s="684"/>
      <c r="TYJ69" s="684"/>
      <c r="TYK69" s="684"/>
      <c r="TYL69" s="684"/>
      <c r="TYM69" s="684"/>
      <c r="TYN69" s="684"/>
      <c r="TYO69" s="684"/>
      <c r="TYP69" s="684"/>
      <c r="TYQ69" s="684"/>
      <c r="TYR69" s="684"/>
      <c r="TYS69" s="684"/>
      <c r="TYT69" s="684"/>
      <c r="TYU69" s="684"/>
      <c r="TYV69" s="684"/>
      <c r="TYW69" s="684"/>
      <c r="TYX69" s="684"/>
      <c r="TYY69" s="684"/>
      <c r="TYZ69" s="684"/>
      <c r="TZA69" s="684"/>
      <c r="TZB69" s="684"/>
      <c r="TZC69" s="684"/>
      <c r="TZD69" s="684"/>
      <c r="TZE69" s="684"/>
      <c r="TZF69" s="684"/>
      <c r="TZG69" s="684"/>
      <c r="TZH69" s="684"/>
      <c r="TZI69" s="684"/>
      <c r="TZJ69" s="684"/>
      <c r="TZK69" s="684"/>
      <c r="TZL69" s="684"/>
      <c r="TZM69" s="684"/>
      <c r="TZN69" s="684"/>
      <c r="TZO69" s="684"/>
      <c r="TZP69" s="684"/>
      <c r="TZQ69" s="684"/>
      <c r="TZR69" s="684"/>
      <c r="TZS69" s="684"/>
      <c r="TZT69" s="684"/>
      <c r="TZU69" s="684"/>
      <c r="TZV69" s="684"/>
      <c r="TZW69" s="684"/>
      <c r="TZX69" s="684"/>
      <c r="TZY69" s="684"/>
      <c r="TZZ69" s="684"/>
      <c r="UAA69" s="684"/>
      <c r="UAB69" s="684"/>
      <c r="UAC69" s="684"/>
      <c r="UAD69" s="684"/>
      <c r="UAE69" s="684"/>
      <c r="UAF69" s="684"/>
      <c r="UAG69" s="684"/>
      <c r="UAH69" s="684"/>
      <c r="UAI69" s="684"/>
      <c r="UAJ69" s="684"/>
      <c r="UAK69" s="684"/>
      <c r="UAL69" s="684"/>
      <c r="UAM69" s="684"/>
      <c r="UAN69" s="684"/>
      <c r="UAO69" s="684"/>
      <c r="UAP69" s="684"/>
      <c r="UAQ69" s="684"/>
      <c r="UAR69" s="684"/>
      <c r="UAS69" s="684"/>
      <c r="UAT69" s="684"/>
      <c r="UAU69" s="684"/>
      <c r="UAV69" s="684"/>
      <c r="UAW69" s="684"/>
      <c r="UAX69" s="684"/>
      <c r="UAY69" s="684"/>
      <c r="UAZ69" s="684"/>
      <c r="UBA69" s="684"/>
      <c r="UBB69" s="684"/>
      <c r="UBC69" s="684"/>
      <c r="UBD69" s="684"/>
      <c r="UBE69" s="684"/>
      <c r="UBF69" s="684"/>
      <c r="UBG69" s="684"/>
      <c r="UBH69" s="684"/>
      <c r="UBI69" s="684"/>
      <c r="UBJ69" s="684"/>
      <c r="UBK69" s="684"/>
      <c r="UBL69" s="684"/>
      <c r="UBM69" s="684"/>
      <c r="UBN69" s="684"/>
      <c r="UBO69" s="684"/>
      <c r="UBP69" s="684"/>
      <c r="UBQ69" s="684"/>
      <c r="UBR69" s="684"/>
      <c r="UBS69" s="684"/>
      <c r="UBT69" s="684"/>
      <c r="UBU69" s="684"/>
      <c r="UBV69" s="684"/>
      <c r="UBW69" s="684"/>
      <c r="UBX69" s="684"/>
      <c r="UBY69" s="684"/>
      <c r="UBZ69" s="684"/>
      <c r="UCA69" s="684"/>
      <c r="UCB69" s="684"/>
      <c r="UCC69" s="684"/>
      <c r="UCD69" s="684"/>
      <c r="UCE69" s="684"/>
      <c r="UCF69" s="684"/>
      <c r="UCG69" s="684"/>
      <c r="UCH69" s="684"/>
      <c r="UCI69" s="684"/>
      <c r="UCJ69" s="684"/>
      <c r="UCK69" s="684"/>
      <c r="UCL69" s="684"/>
      <c r="UCM69" s="684"/>
      <c r="UCN69" s="684"/>
      <c r="UCO69" s="684"/>
      <c r="UCP69" s="684"/>
      <c r="UCQ69" s="684"/>
      <c r="UCR69" s="684"/>
      <c r="UCS69" s="684"/>
      <c r="UCT69" s="684"/>
      <c r="UCU69" s="684"/>
      <c r="UCV69" s="684"/>
      <c r="UCW69" s="684"/>
      <c r="UCX69" s="684"/>
      <c r="UCY69" s="684"/>
      <c r="UCZ69" s="684"/>
      <c r="UDA69" s="684"/>
      <c r="UDB69" s="684"/>
      <c r="UDC69" s="684"/>
      <c r="UDD69" s="684"/>
      <c r="UDE69" s="684"/>
      <c r="UDF69" s="684"/>
      <c r="UDG69" s="684"/>
      <c r="UDH69" s="684"/>
      <c r="UDI69" s="684"/>
      <c r="UDJ69" s="684"/>
      <c r="UDK69" s="684"/>
      <c r="UDL69" s="684"/>
      <c r="UDM69" s="684"/>
      <c r="UDN69" s="684"/>
      <c r="UDO69" s="684"/>
      <c r="UDP69" s="684"/>
      <c r="UDQ69" s="684"/>
      <c r="UDR69" s="684"/>
      <c r="UDS69" s="684"/>
      <c r="UDT69" s="684"/>
      <c r="UDU69" s="684"/>
      <c r="UDV69" s="684"/>
      <c r="UDW69" s="684"/>
      <c r="UDX69" s="684"/>
      <c r="UDY69" s="684"/>
      <c r="UDZ69" s="684"/>
      <c r="UEA69" s="684"/>
      <c r="UEB69" s="684"/>
      <c r="UEC69" s="684"/>
      <c r="UED69" s="684"/>
      <c r="UEE69" s="684"/>
      <c r="UEF69" s="684"/>
      <c r="UEG69" s="684"/>
      <c r="UEH69" s="684"/>
      <c r="UEI69" s="684"/>
      <c r="UEJ69" s="684"/>
      <c r="UEK69" s="684"/>
      <c r="UEL69" s="684"/>
      <c r="UEM69" s="684"/>
      <c r="UEN69" s="684"/>
      <c r="UEO69" s="684"/>
      <c r="UEP69" s="684"/>
      <c r="UEQ69" s="684"/>
      <c r="UER69" s="684"/>
      <c r="UES69" s="684"/>
      <c r="UET69" s="684"/>
      <c r="UEU69" s="684"/>
      <c r="UEV69" s="684"/>
      <c r="UEW69" s="684"/>
      <c r="UEX69" s="684"/>
      <c r="UEY69" s="684"/>
      <c r="UEZ69" s="684"/>
      <c r="UFA69" s="684"/>
      <c r="UFB69" s="684"/>
      <c r="UFC69" s="684"/>
      <c r="UFD69" s="684"/>
      <c r="UFE69" s="684"/>
      <c r="UFF69" s="684"/>
      <c r="UFG69" s="684"/>
      <c r="UFH69" s="684"/>
      <c r="UFI69" s="684"/>
      <c r="UFJ69" s="684"/>
      <c r="UFK69" s="684"/>
      <c r="UFL69" s="684"/>
      <c r="UFM69" s="684"/>
      <c r="UFN69" s="684"/>
      <c r="UFO69" s="684"/>
      <c r="UFP69" s="684"/>
      <c r="UFQ69" s="684"/>
      <c r="UFR69" s="684"/>
      <c r="UFS69" s="684"/>
      <c r="UFT69" s="684"/>
      <c r="UFU69" s="684"/>
      <c r="UFV69" s="684"/>
      <c r="UFW69" s="684"/>
      <c r="UFX69" s="684"/>
      <c r="UFY69" s="684"/>
      <c r="UFZ69" s="684"/>
      <c r="UGA69" s="684"/>
      <c r="UGB69" s="684"/>
      <c r="UGC69" s="684"/>
      <c r="UGD69" s="684"/>
      <c r="UGE69" s="684"/>
      <c r="UGF69" s="684"/>
      <c r="UGG69" s="684"/>
      <c r="UGH69" s="684"/>
      <c r="UGI69" s="684"/>
      <c r="UGJ69" s="684"/>
      <c r="UGK69" s="684"/>
      <c r="UGL69" s="684"/>
      <c r="UGM69" s="684"/>
      <c r="UGN69" s="684"/>
      <c r="UGO69" s="684"/>
      <c r="UGP69" s="684"/>
      <c r="UGQ69" s="684"/>
      <c r="UGR69" s="684"/>
      <c r="UGS69" s="684"/>
      <c r="UGT69" s="684"/>
      <c r="UGU69" s="684"/>
      <c r="UGV69" s="684"/>
      <c r="UGW69" s="684"/>
      <c r="UGX69" s="684"/>
      <c r="UGY69" s="684"/>
      <c r="UGZ69" s="684"/>
      <c r="UHA69" s="684"/>
      <c r="UHB69" s="684"/>
      <c r="UHC69" s="684"/>
      <c r="UHD69" s="684"/>
      <c r="UHE69" s="684"/>
      <c r="UHF69" s="684"/>
      <c r="UHG69" s="684"/>
      <c r="UHH69" s="684"/>
      <c r="UHI69" s="684"/>
      <c r="UHJ69" s="684"/>
      <c r="UHK69" s="684"/>
      <c r="UHL69" s="684"/>
      <c r="UHM69" s="684"/>
      <c r="UHN69" s="684"/>
      <c r="UHO69" s="684"/>
      <c r="UHP69" s="684"/>
      <c r="UHQ69" s="684"/>
      <c r="UHR69" s="684"/>
      <c r="UHS69" s="684"/>
      <c r="UHT69" s="684"/>
      <c r="UHU69" s="684"/>
      <c r="UHV69" s="684"/>
      <c r="UHW69" s="684"/>
      <c r="UHX69" s="684"/>
      <c r="UHY69" s="684"/>
      <c r="UHZ69" s="684"/>
      <c r="UIA69" s="684"/>
      <c r="UIB69" s="684"/>
      <c r="UIC69" s="684"/>
      <c r="UID69" s="684"/>
      <c r="UIE69" s="684"/>
      <c r="UIF69" s="684"/>
      <c r="UIG69" s="684"/>
      <c r="UIH69" s="684"/>
      <c r="UII69" s="684"/>
      <c r="UIJ69" s="684"/>
      <c r="UIK69" s="684"/>
      <c r="UIL69" s="684"/>
      <c r="UIM69" s="684"/>
      <c r="UIN69" s="684"/>
      <c r="UIO69" s="684"/>
      <c r="UIP69" s="684"/>
      <c r="UIQ69" s="684"/>
      <c r="UIR69" s="684"/>
      <c r="UIS69" s="684"/>
      <c r="UIT69" s="684"/>
      <c r="UIU69" s="684"/>
      <c r="UIV69" s="684"/>
      <c r="UIW69" s="684"/>
      <c r="UIX69" s="684"/>
      <c r="UIY69" s="684"/>
      <c r="UIZ69" s="684"/>
      <c r="UJA69" s="684"/>
      <c r="UJB69" s="684"/>
      <c r="UJC69" s="684"/>
      <c r="UJD69" s="684"/>
      <c r="UJE69" s="684"/>
      <c r="UJF69" s="684"/>
      <c r="UJG69" s="684"/>
      <c r="UJH69" s="684"/>
      <c r="UJI69" s="684"/>
      <c r="UJJ69" s="684"/>
      <c r="UJK69" s="684"/>
      <c r="UJL69" s="684"/>
      <c r="UJM69" s="684"/>
      <c r="UJN69" s="684"/>
      <c r="UJO69" s="684"/>
      <c r="UJP69" s="684"/>
      <c r="UJQ69" s="684"/>
      <c r="UJR69" s="684"/>
      <c r="UJS69" s="684"/>
      <c r="UJT69" s="684"/>
      <c r="UJU69" s="684"/>
      <c r="UJV69" s="684"/>
      <c r="UJW69" s="684"/>
      <c r="UJX69" s="684"/>
      <c r="UJY69" s="684"/>
      <c r="UJZ69" s="684"/>
      <c r="UKA69" s="684"/>
      <c r="UKB69" s="684"/>
      <c r="UKC69" s="684"/>
      <c r="UKD69" s="684"/>
      <c r="UKE69" s="684"/>
      <c r="UKF69" s="684"/>
      <c r="UKG69" s="684"/>
      <c r="UKH69" s="684"/>
      <c r="UKI69" s="684"/>
      <c r="UKJ69" s="684"/>
      <c r="UKK69" s="684"/>
      <c r="UKL69" s="684"/>
      <c r="UKM69" s="684"/>
      <c r="UKN69" s="684"/>
      <c r="UKO69" s="684"/>
      <c r="UKP69" s="684"/>
      <c r="UKQ69" s="684"/>
      <c r="UKR69" s="684"/>
      <c r="UKS69" s="684"/>
      <c r="UKT69" s="684"/>
      <c r="UKU69" s="684"/>
      <c r="UKV69" s="684"/>
      <c r="UKW69" s="684"/>
      <c r="UKX69" s="684"/>
      <c r="UKY69" s="684"/>
      <c r="UKZ69" s="684"/>
      <c r="ULA69" s="684"/>
      <c r="ULB69" s="684"/>
      <c r="ULC69" s="684"/>
      <c r="ULD69" s="684"/>
      <c r="ULE69" s="684"/>
      <c r="ULF69" s="684"/>
      <c r="ULG69" s="684"/>
      <c r="ULH69" s="684"/>
      <c r="ULI69" s="684"/>
      <c r="ULJ69" s="684"/>
      <c r="ULK69" s="684"/>
      <c r="ULL69" s="684"/>
      <c r="ULM69" s="684"/>
      <c r="ULN69" s="684"/>
      <c r="ULO69" s="684"/>
      <c r="ULP69" s="684"/>
      <c r="ULQ69" s="684"/>
      <c r="ULR69" s="684"/>
      <c r="ULS69" s="684"/>
      <c r="ULT69" s="684"/>
      <c r="ULU69" s="684"/>
      <c r="ULV69" s="684"/>
      <c r="ULW69" s="684"/>
      <c r="ULX69" s="684"/>
      <c r="ULY69" s="684"/>
      <c r="ULZ69" s="684"/>
      <c r="UMA69" s="684"/>
      <c r="UMB69" s="684"/>
      <c r="UMC69" s="684"/>
      <c r="UMD69" s="684"/>
      <c r="UME69" s="684"/>
      <c r="UMF69" s="684"/>
      <c r="UMG69" s="684"/>
      <c r="UMH69" s="684"/>
      <c r="UMI69" s="684"/>
      <c r="UMJ69" s="684"/>
      <c r="UMK69" s="684"/>
      <c r="UML69" s="684"/>
      <c r="UMM69" s="684"/>
      <c r="UMN69" s="684"/>
      <c r="UMO69" s="684"/>
      <c r="UMP69" s="684"/>
      <c r="UMQ69" s="684"/>
      <c r="UMR69" s="684"/>
      <c r="UMS69" s="684"/>
      <c r="UMT69" s="684"/>
      <c r="UMU69" s="684"/>
      <c r="UMV69" s="684"/>
      <c r="UMW69" s="684"/>
      <c r="UMX69" s="684"/>
      <c r="UMY69" s="684"/>
      <c r="UMZ69" s="684"/>
      <c r="UNA69" s="684"/>
      <c r="UNB69" s="684"/>
      <c r="UNC69" s="684"/>
      <c r="UND69" s="684"/>
      <c r="UNE69" s="684"/>
      <c r="UNF69" s="684"/>
      <c r="UNG69" s="684"/>
      <c r="UNH69" s="684"/>
      <c r="UNI69" s="684"/>
      <c r="UNJ69" s="684"/>
      <c r="UNK69" s="684"/>
      <c r="UNL69" s="684"/>
      <c r="UNM69" s="684"/>
      <c r="UNN69" s="684"/>
      <c r="UNO69" s="684"/>
      <c r="UNP69" s="684"/>
      <c r="UNQ69" s="684"/>
      <c r="UNR69" s="684"/>
      <c r="UNS69" s="684"/>
      <c r="UNT69" s="684"/>
      <c r="UNU69" s="684"/>
      <c r="UNV69" s="684"/>
      <c r="UNW69" s="684"/>
      <c r="UNX69" s="684"/>
      <c r="UNY69" s="684"/>
      <c r="UNZ69" s="684"/>
      <c r="UOA69" s="684"/>
      <c r="UOB69" s="684"/>
      <c r="UOC69" s="684"/>
      <c r="UOD69" s="684"/>
      <c r="UOE69" s="684"/>
      <c r="UOF69" s="684"/>
      <c r="UOG69" s="684"/>
      <c r="UOH69" s="684"/>
      <c r="UOI69" s="684"/>
      <c r="UOJ69" s="684"/>
      <c r="UOK69" s="684"/>
      <c r="UOL69" s="684"/>
      <c r="UOM69" s="684"/>
      <c r="UON69" s="684"/>
      <c r="UOO69" s="684"/>
      <c r="UOP69" s="684"/>
      <c r="UOQ69" s="684"/>
      <c r="UOR69" s="684"/>
      <c r="UOS69" s="684"/>
      <c r="UOT69" s="684"/>
      <c r="UOU69" s="684"/>
      <c r="UOV69" s="684"/>
      <c r="UOW69" s="684"/>
      <c r="UOX69" s="684"/>
      <c r="UOY69" s="684"/>
      <c r="UOZ69" s="684"/>
      <c r="UPA69" s="684"/>
      <c r="UPB69" s="684"/>
      <c r="UPC69" s="684"/>
      <c r="UPD69" s="684"/>
      <c r="UPE69" s="684"/>
      <c r="UPF69" s="684"/>
      <c r="UPG69" s="684"/>
      <c r="UPH69" s="684"/>
      <c r="UPI69" s="684"/>
      <c r="UPJ69" s="684"/>
      <c r="UPK69" s="684"/>
      <c r="UPL69" s="684"/>
      <c r="UPM69" s="684"/>
      <c r="UPN69" s="684"/>
      <c r="UPO69" s="684"/>
      <c r="UPP69" s="684"/>
      <c r="UPQ69" s="684"/>
      <c r="UPR69" s="684"/>
      <c r="UPS69" s="684"/>
      <c r="UPT69" s="684"/>
      <c r="UPU69" s="684"/>
      <c r="UPV69" s="684"/>
      <c r="UPW69" s="684"/>
      <c r="UPX69" s="684"/>
      <c r="UPY69" s="684"/>
      <c r="UPZ69" s="684"/>
      <c r="UQA69" s="684"/>
      <c r="UQB69" s="684"/>
      <c r="UQC69" s="684"/>
      <c r="UQD69" s="684"/>
      <c r="UQE69" s="684"/>
      <c r="UQF69" s="684"/>
      <c r="UQG69" s="684"/>
      <c r="UQH69" s="684"/>
      <c r="UQI69" s="684"/>
      <c r="UQJ69" s="684"/>
      <c r="UQK69" s="684"/>
      <c r="UQL69" s="684"/>
      <c r="UQM69" s="684"/>
      <c r="UQN69" s="684"/>
      <c r="UQO69" s="684"/>
      <c r="UQP69" s="684"/>
      <c r="UQQ69" s="684"/>
      <c r="UQR69" s="684"/>
      <c r="UQS69" s="684"/>
      <c r="UQT69" s="684"/>
      <c r="UQU69" s="684"/>
      <c r="UQV69" s="684"/>
      <c r="UQW69" s="684"/>
      <c r="UQX69" s="684"/>
      <c r="UQY69" s="684"/>
      <c r="UQZ69" s="684"/>
      <c r="URA69" s="684"/>
      <c r="URB69" s="684"/>
      <c r="URC69" s="684"/>
      <c r="URD69" s="684"/>
      <c r="URE69" s="684"/>
      <c r="URF69" s="684"/>
      <c r="URG69" s="684"/>
      <c r="URH69" s="684"/>
      <c r="URI69" s="684"/>
      <c r="URJ69" s="684"/>
      <c r="URK69" s="684"/>
      <c r="URL69" s="684"/>
      <c r="URM69" s="684"/>
      <c r="URN69" s="684"/>
      <c r="URO69" s="684"/>
      <c r="URP69" s="684"/>
      <c r="URQ69" s="684"/>
      <c r="URR69" s="684"/>
      <c r="URS69" s="684"/>
      <c r="URT69" s="684"/>
      <c r="URU69" s="684"/>
      <c r="URV69" s="684"/>
      <c r="URW69" s="684"/>
      <c r="URX69" s="684"/>
      <c r="URY69" s="684"/>
      <c r="URZ69" s="684"/>
      <c r="USA69" s="684"/>
      <c r="USB69" s="684"/>
      <c r="USC69" s="684"/>
      <c r="USD69" s="684"/>
      <c r="USE69" s="684"/>
      <c r="USF69" s="684"/>
      <c r="USG69" s="684"/>
      <c r="USH69" s="684"/>
      <c r="USI69" s="684"/>
      <c r="USJ69" s="684"/>
      <c r="USK69" s="684"/>
      <c r="USL69" s="684"/>
      <c r="USM69" s="684"/>
      <c r="USN69" s="684"/>
      <c r="USO69" s="684"/>
      <c r="USP69" s="684"/>
      <c r="USQ69" s="684"/>
      <c r="USR69" s="684"/>
      <c r="USS69" s="684"/>
      <c r="UST69" s="684"/>
      <c r="USU69" s="684"/>
      <c r="USV69" s="684"/>
      <c r="USW69" s="684"/>
      <c r="USX69" s="684"/>
      <c r="USY69" s="684"/>
      <c r="USZ69" s="684"/>
      <c r="UTA69" s="684"/>
      <c r="UTB69" s="684"/>
      <c r="UTC69" s="684"/>
      <c r="UTD69" s="684"/>
      <c r="UTE69" s="684"/>
      <c r="UTF69" s="684"/>
      <c r="UTG69" s="684"/>
      <c r="UTH69" s="684"/>
      <c r="UTI69" s="684"/>
      <c r="UTJ69" s="684"/>
      <c r="UTK69" s="684"/>
      <c r="UTL69" s="684"/>
      <c r="UTM69" s="684"/>
      <c r="UTN69" s="684"/>
      <c r="UTO69" s="684"/>
      <c r="UTP69" s="684"/>
      <c r="UTQ69" s="684"/>
      <c r="UTR69" s="684"/>
      <c r="UTS69" s="684"/>
      <c r="UTT69" s="684"/>
      <c r="UTU69" s="684"/>
      <c r="UTV69" s="684"/>
      <c r="UTW69" s="684"/>
      <c r="UTX69" s="684"/>
      <c r="UTY69" s="684"/>
      <c r="UTZ69" s="684"/>
      <c r="UUA69" s="684"/>
      <c r="UUB69" s="684"/>
      <c r="UUC69" s="684"/>
      <c r="UUD69" s="684"/>
      <c r="UUE69" s="684"/>
      <c r="UUF69" s="684"/>
      <c r="UUG69" s="684"/>
      <c r="UUH69" s="684"/>
      <c r="UUI69" s="684"/>
      <c r="UUJ69" s="684"/>
      <c r="UUK69" s="684"/>
      <c r="UUL69" s="684"/>
      <c r="UUM69" s="684"/>
      <c r="UUN69" s="684"/>
      <c r="UUO69" s="684"/>
      <c r="UUP69" s="684"/>
      <c r="UUQ69" s="684"/>
      <c r="UUR69" s="684"/>
      <c r="UUS69" s="684"/>
      <c r="UUT69" s="684"/>
      <c r="UUU69" s="684"/>
      <c r="UUV69" s="684"/>
      <c r="UUW69" s="684"/>
      <c r="UUX69" s="684"/>
      <c r="UUY69" s="684"/>
      <c r="UUZ69" s="684"/>
      <c r="UVA69" s="684"/>
      <c r="UVB69" s="684"/>
      <c r="UVC69" s="684"/>
      <c r="UVD69" s="684"/>
      <c r="UVE69" s="684"/>
      <c r="UVF69" s="684"/>
      <c r="UVG69" s="684"/>
      <c r="UVH69" s="684"/>
      <c r="UVI69" s="684"/>
      <c r="UVJ69" s="684"/>
      <c r="UVK69" s="684"/>
      <c r="UVL69" s="684"/>
      <c r="UVM69" s="684"/>
      <c r="UVN69" s="684"/>
      <c r="UVO69" s="684"/>
      <c r="UVP69" s="684"/>
      <c r="UVQ69" s="684"/>
      <c r="UVR69" s="684"/>
      <c r="UVS69" s="684"/>
      <c r="UVT69" s="684"/>
      <c r="UVU69" s="684"/>
      <c r="UVV69" s="684"/>
      <c r="UVW69" s="684"/>
      <c r="UVX69" s="684"/>
      <c r="UVY69" s="684"/>
      <c r="UVZ69" s="684"/>
      <c r="UWA69" s="684"/>
      <c r="UWB69" s="684"/>
      <c r="UWC69" s="684"/>
      <c r="UWD69" s="684"/>
      <c r="UWE69" s="684"/>
      <c r="UWF69" s="684"/>
      <c r="UWG69" s="684"/>
      <c r="UWH69" s="684"/>
      <c r="UWI69" s="684"/>
      <c r="UWJ69" s="684"/>
      <c r="UWK69" s="684"/>
      <c r="UWL69" s="684"/>
      <c r="UWM69" s="684"/>
      <c r="UWN69" s="684"/>
      <c r="UWO69" s="684"/>
      <c r="UWP69" s="684"/>
      <c r="UWQ69" s="684"/>
      <c r="UWR69" s="684"/>
      <c r="UWS69" s="684"/>
      <c r="UWT69" s="684"/>
      <c r="UWU69" s="684"/>
      <c r="UWV69" s="684"/>
      <c r="UWW69" s="684"/>
      <c r="UWX69" s="684"/>
      <c r="UWY69" s="684"/>
      <c r="UWZ69" s="684"/>
      <c r="UXA69" s="684"/>
      <c r="UXB69" s="684"/>
      <c r="UXC69" s="684"/>
      <c r="UXD69" s="684"/>
      <c r="UXE69" s="684"/>
      <c r="UXF69" s="684"/>
      <c r="UXG69" s="684"/>
      <c r="UXH69" s="684"/>
      <c r="UXI69" s="684"/>
      <c r="UXJ69" s="684"/>
      <c r="UXK69" s="684"/>
      <c r="UXL69" s="684"/>
      <c r="UXM69" s="684"/>
      <c r="UXN69" s="684"/>
      <c r="UXO69" s="684"/>
      <c r="UXP69" s="684"/>
      <c r="UXQ69" s="684"/>
      <c r="UXR69" s="684"/>
      <c r="UXS69" s="684"/>
      <c r="UXT69" s="684"/>
      <c r="UXU69" s="684"/>
      <c r="UXV69" s="684"/>
      <c r="UXW69" s="684"/>
      <c r="UXX69" s="684"/>
      <c r="UXY69" s="684"/>
      <c r="UXZ69" s="684"/>
      <c r="UYA69" s="684"/>
      <c r="UYB69" s="684"/>
      <c r="UYC69" s="684"/>
      <c r="UYD69" s="684"/>
      <c r="UYE69" s="684"/>
      <c r="UYF69" s="684"/>
      <c r="UYG69" s="684"/>
      <c r="UYH69" s="684"/>
      <c r="UYI69" s="684"/>
      <c r="UYJ69" s="684"/>
      <c r="UYK69" s="684"/>
      <c r="UYL69" s="684"/>
      <c r="UYM69" s="684"/>
      <c r="UYN69" s="684"/>
      <c r="UYO69" s="684"/>
      <c r="UYP69" s="684"/>
      <c r="UYQ69" s="684"/>
      <c r="UYR69" s="684"/>
      <c r="UYS69" s="684"/>
      <c r="UYT69" s="684"/>
      <c r="UYU69" s="684"/>
      <c r="UYV69" s="684"/>
      <c r="UYW69" s="684"/>
      <c r="UYX69" s="684"/>
      <c r="UYY69" s="684"/>
      <c r="UYZ69" s="684"/>
      <c r="UZA69" s="684"/>
      <c r="UZB69" s="684"/>
      <c r="UZC69" s="684"/>
      <c r="UZD69" s="684"/>
      <c r="UZE69" s="684"/>
      <c r="UZF69" s="684"/>
      <c r="UZG69" s="684"/>
      <c r="UZH69" s="684"/>
      <c r="UZI69" s="684"/>
      <c r="UZJ69" s="684"/>
      <c r="UZK69" s="684"/>
      <c r="UZL69" s="684"/>
      <c r="UZM69" s="684"/>
      <c r="UZN69" s="684"/>
      <c r="UZO69" s="684"/>
      <c r="UZP69" s="684"/>
      <c r="UZQ69" s="684"/>
      <c r="UZR69" s="684"/>
      <c r="UZS69" s="684"/>
      <c r="UZT69" s="684"/>
      <c r="UZU69" s="684"/>
      <c r="UZV69" s="684"/>
      <c r="UZW69" s="684"/>
      <c r="UZX69" s="684"/>
      <c r="UZY69" s="684"/>
      <c r="UZZ69" s="684"/>
      <c r="VAA69" s="684"/>
      <c r="VAB69" s="684"/>
      <c r="VAC69" s="684"/>
      <c r="VAD69" s="684"/>
      <c r="VAE69" s="684"/>
      <c r="VAF69" s="684"/>
      <c r="VAG69" s="684"/>
      <c r="VAH69" s="684"/>
      <c r="VAI69" s="684"/>
      <c r="VAJ69" s="684"/>
      <c r="VAK69" s="684"/>
      <c r="VAL69" s="684"/>
      <c r="VAM69" s="684"/>
      <c r="VAN69" s="684"/>
      <c r="VAO69" s="684"/>
      <c r="VAP69" s="684"/>
      <c r="VAQ69" s="684"/>
      <c r="VAR69" s="684"/>
      <c r="VAS69" s="684"/>
      <c r="VAT69" s="684"/>
      <c r="VAU69" s="684"/>
      <c r="VAV69" s="684"/>
      <c r="VAW69" s="684"/>
      <c r="VAX69" s="684"/>
      <c r="VAY69" s="684"/>
      <c r="VAZ69" s="684"/>
      <c r="VBA69" s="684"/>
      <c r="VBB69" s="684"/>
      <c r="VBC69" s="684"/>
      <c r="VBD69" s="684"/>
      <c r="VBE69" s="684"/>
      <c r="VBF69" s="684"/>
      <c r="VBG69" s="684"/>
      <c r="VBH69" s="684"/>
      <c r="VBI69" s="684"/>
      <c r="VBJ69" s="684"/>
      <c r="VBK69" s="684"/>
      <c r="VBL69" s="684"/>
      <c r="VBM69" s="684"/>
      <c r="VBN69" s="684"/>
      <c r="VBO69" s="684"/>
      <c r="VBP69" s="684"/>
      <c r="VBQ69" s="684"/>
      <c r="VBR69" s="684"/>
      <c r="VBS69" s="684"/>
      <c r="VBT69" s="684"/>
      <c r="VBU69" s="684"/>
      <c r="VBV69" s="684"/>
      <c r="VBW69" s="684"/>
      <c r="VBX69" s="684"/>
      <c r="VBY69" s="684"/>
      <c r="VBZ69" s="684"/>
      <c r="VCA69" s="684"/>
      <c r="VCB69" s="684"/>
      <c r="VCC69" s="684"/>
      <c r="VCD69" s="684"/>
      <c r="VCE69" s="684"/>
      <c r="VCF69" s="684"/>
      <c r="VCG69" s="684"/>
      <c r="VCH69" s="684"/>
      <c r="VCI69" s="684"/>
      <c r="VCJ69" s="684"/>
      <c r="VCK69" s="684"/>
      <c r="VCL69" s="684"/>
      <c r="VCM69" s="684"/>
      <c r="VCN69" s="684"/>
      <c r="VCO69" s="684"/>
      <c r="VCP69" s="684"/>
      <c r="VCQ69" s="684"/>
      <c r="VCR69" s="684"/>
      <c r="VCS69" s="684"/>
      <c r="VCT69" s="684"/>
      <c r="VCU69" s="684"/>
      <c r="VCV69" s="684"/>
      <c r="VCW69" s="684"/>
      <c r="VCX69" s="684"/>
      <c r="VCY69" s="684"/>
      <c r="VCZ69" s="684"/>
      <c r="VDA69" s="684"/>
      <c r="VDB69" s="684"/>
      <c r="VDC69" s="684"/>
      <c r="VDD69" s="684"/>
      <c r="VDE69" s="684"/>
      <c r="VDF69" s="684"/>
      <c r="VDG69" s="684"/>
      <c r="VDH69" s="684"/>
      <c r="VDI69" s="684"/>
      <c r="VDJ69" s="684"/>
      <c r="VDK69" s="684"/>
      <c r="VDL69" s="684"/>
      <c r="VDM69" s="684"/>
      <c r="VDN69" s="684"/>
      <c r="VDO69" s="684"/>
      <c r="VDP69" s="684"/>
      <c r="VDQ69" s="684"/>
      <c r="VDR69" s="684"/>
      <c r="VDS69" s="684"/>
      <c r="VDT69" s="684"/>
      <c r="VDU69" s="684"/>
      <c r="VDV69" s="684"/>
      <c r="VDW69" s="684"/>
      <c r="VDX69" s="684"/>
      <c r="VDY69" s="684"/>
      <c r="VDZ69" s="684"/>
      <c r="VEA69" s="684"/>
      <c r="VEB69" s="684"/>
      <c r="VEC69" s="684"/>
      <c r="VED69" s="684"/>
      <c r="VEE69" s="684"/>
      <c r="VEF69" s="684"/>
      <c r="VEG69" s="684"/>
      <c r="VEH69" s="684"/>
      <c r="VEI69" s="684"/>
      <c r="VEJ69" s="684"/>
      <c r="VEK69" s="684"/>
      <c r="VEL69" s="684"/>
      <c r="VEM69" s="684"/>
      <c r="VEN69" s="684"/>
      <c r="VEO69" s="684"/>
      <c r="VEP69" s="684"/>
      <c r="VEQ69" s="684"/>
      <c r="VER69" s="684"/>
      <c r="VES69" s="684"/>
      <c r="VET69" s="684"/>
      <c r="VEU69" s="684"/>
      <c r="VEV69" s="684"/>
      <c r="VEW69" s="684"/>
      <c r="VEX69" s="684"/>
      <c r="VEY69" s="684"/>
      <c r="VEZ69" s="684"/>
      <c r="VFA69" s="684"/>
      <c r="VFB69" s="684"/>
      <c r="VFC69" s="684"/>
      <c r="VFD69" s="684"/>
      <c r="VFE69" s="684"/>
      <c r="VFF69" s="684"/>
      <c r="VFG69" s="684"/>
      <c r="VFH69" s="684"/>
      <c r="VFI69" s="684"/>
      <c r="VFJ69" s="684"/>
      <c r="VFK69" s="684"/>
      <c r="VFL69" s="684"/>
      <c r="VFM69" s="684"/>
      <c r="VFN69" s="684"/>
      <c r="VFO69" s="684"/>
      <c r="VFP69" s="684"/>
      <c r="VFQ69" s="684"/>
      <c r="VFR69" s="684"/>
      <c r="VFS69" s="684"/>
      <c r="VFT69" s="684"/>
      <c r="VFU69" s="684"/>
      <c r="VFV69" s="684"/>
      <c r="VFW69" s="684"/>
      <c r="VFX69" s="684"/>
      <c r="VFY69" s="684"/>
      <c r="VFZ69" s="684"/>
      <c r="VGA69" s="684"/>
      <c r="VGB69" s="684"/>
      <c r="VGC69" s="684"/>
      <c r="VGD69" s="684"/>
      <c r="VGE69" s="684"/>
      <c r="VGF69" s="684"/>
      <c r="VGG69" s="684"/>
      <c r="VGH69" s="684"/>
      <c r="VGI69" s="684"/>
      <c r="VGJ69" s="684"/>
      <c r="VGK69" s="684"/>
      <c r="VGL69" s="684"/>
      <c r="VGM69" s="684"/>
      <c r="VGN69" s="684"/>
      <c r="VGO69" s="684"/>
      <c r="VGP69" s="684"/>
      <c r="VGQ69" s="684"/>
      <c r="VGR69" s="684"/>
      <c r="VGS69" s="684"/>
      <c r="VGT69" s="684"/>
      <c r="VGU69" s="684"/>
      <c r="VGV69" s="684"/>
      <c r="VGW69" s="684"/>
      <c r="VGX69" s="684"/>
      <c r="VGY69" s="684"/>
      <c r="VGZ69" s="684"/>
      <c r="VHA69" s="684"/>
      <c r="VHB69" s="684"/>
      <c r="VHC69" s="684"/>
      <c r="VHD69" s="684"/>
      <c r="VHE69" s="684"/>
      <c r="VHF69" s="684"/>
      <c r="VHG69" s="684"/>
      <c r="VHH69" s="684"/>
      <c r="VHI69" s="684"/>
      <c r="VHJ69" s="684"/>
      <c r="VHK69" s="684"/>
      <c r="VHL69" s="684"/>
      <c r="VHM69" s="684"/>
      <c r="VHN69" s="684"/>
      <c r="VHO69" s="684"/>
      <c r="VHP69" s="684"/>
      <c r="VHQ69" s="684"/>
      <c r="VHR69" s="684"/>
      <c r="VHS69" s="684"/>
      <c r="VHT69" s="684"/>
      <c r="VHU69" s="684"/>
      <c r="VHV69" s="684"/>
      <c r="VHW69" s="684"/>
      <c r="VHX69" s="684"/>
      <c r="VHY69" s="684"/>
      <c r="VHZ69" s="684"/>
      <c r="VIA69" s="684"/>
      <c r="VIB69" s="684"/>
      <c r="VIC69" s="684"/>
      <c r="VID69" s="684"/>
      <c r="VIE69" s="684"/>
      <c r="VIF69" s="684"/>
      <c r="VIG69" s="684"/>
      <c r="VIH69" s="684"/>
      <c r="VII69" s="684"/>
      <c r="VIJ69" s="684"/>
      <c r="VIK69" s="684"/>
      <c r="VIL69" s="684"/>
      <c r="VIM69" s="684"/>
      <c r="VIN69" s="684"/>
      <c r="VIO69" s="684"/>
      <c r="VIP69" s="684"/>
      <c r="VIQ69" s="684"/>
      <c r="VIR69" s="684"/>
      <c r="VIS69" s="684"/>
      <c r="VIT69" s="684"/>
      <c r="VIU69" s="684"/>
      <c r="VIV69" s="684"/>
      <c r="VIW69" s="684"/>
      <c r="VIX69" s="684"/>
      <c r="VIY69" s="684"/>
      <c r="VIZ69" s="684"/>
      <c r="VJA69" s="684"/>
      <c r="VJB69" s="684"/>
      <c r="VJC69" s="684"/>
      <c r="VJD69" s="684"/>
      <c r="VJE69" s="684"/>
      <c r="VJF69" s="684"/>
      <c r="VJG69" s="684"/>
      <c r="VJH69" s="684"/>
      <c r="VJI69" s="684"/>
      <c r="VJJ69" s="684"/>
      <c r="VJK69" s="684"/>
      <c r="VJL69" s="684"/>
      <c r="VJM69" s="684"/>
      <c r="VJN69" s="684"/>
      <c r="VJO69" s="684"/>
      <c r="VJP69" s="684"/>
      <c r="VJQ69" s="684"/>
      <c r="VJR69" s="684"/>
      <c r="VJS69" s="684"/>
      <c r="VJT69" s="684"/>
      <c r="VJU69" s="684"/>
      <c r="VJV69" s="684"/>
      <c r="VJW69" s="684"/>
      <c r="VJX69" s="684"/>
      <c r="VJY69" s="684"/>
      <c r="VJZ69" s="684"/>
      <c r="VKA69" s="684"/>
      <c r="VKB69" s="684"/>
      <c r="VKC69" s="684"/>
      <c r="VKD69" s="684"/>
      <c r="VKE69" s="684"/>
      <c r="VKF69" s="684"/>
      <c r="VKG69" s="684"/>
      <c r="VKH69" s="684"/>
      <c r="VKI69" s="684"/>
      <c r="VKJ69" s="684"/>
      <c r="VKK69" s="684"/>
      <c r="VKL69" s="684"/>
      <c r="VKM69" s="684"/>
      <c r="VKN69" s="684"/>
      <c r="VKO69" s="684"/>
      <c r="VKP69" s="684"/>
      <c r="VKQ69" s="684"/>
      <c r="VKR69" s="684"/>
      <c r="VKS69" s="684"/>
      <c r="VKT69" s="684"/>
      <c r="VKU69" s="684"/>
      <c r="VKV69" s="684"/>
      <c r="VKW69" s="684"/>
      <c r="VKX69" s="684"/>
      <c r="VKY69" s="684"/>
      <c r="VKZ69" s="684"/>
      <c r="VLA69" s="684"/>
      <c r="VLB69" s="684"/>
      <c r="VLC69" s="684"/>
      <c r="VLD69" s="684"/>
      <c r="VLE69" s="684"/>
      <c r="VLF69" s="684"/>
      <c r="VLG69" s="684"/>
      <c r="VLH69" s="684"/>
      <c r="VLI69" s="684"/>
      <c r="VLJ69" s="684"/>
      <c r="VLK69" s="684"/>
      <c r="VLL69" s="684"/>
      <c r="VLM69" s="684"/>
      <c r="VLN69" s="684"/>
      <c r="VLO69" s="684"/>
      <c r="VLP69" s="684"/>
      <c r="VLQ69" s="684"/>
      <c r="VLR69" s="684"/>
      <c r="VLS69" s="684"/>
      <c r="VLT69" s="684"/>
      <c r="VLU69" s="684"/>
      <c r="VLV69" s="684"/>
      <c r="VLW69" s="684"/>
      <c r="VLX69" s="684"/>
      <c r="VLY69" s="684"/>
      <c r="VLZ69" s="684"/>
      <c r="VMA69" s="684"/>
      <c r="VMB69" s="684"/>
      <c r="VMC69" s="684"/>
      <c r="VMD69" s="684"/>
      <c r="VME69" s="684"/>
      <c r="VMF69" s="684"/>
      <c r="VMG69" s="684"/>
      <c r="VMH69" s="684"/>
      <c r="VMI69" s="684"/>
      <c r="VMJ69" s="684"/>
      <c r="VMK69" s="684"/>
      <c r="VML69" s="684"/>
      <c r="VMM69" s="684"/>
      <c r="VMN69" s="684"/>
      <c r="VMO69" s="684"/>
      <c r="VMP69" s="684"/>
      <c r="VMQ69" s="684"/>
      <c r="VMR69" s="684"/>
      <c r="VMS69" s="684"/>
      <c r="VMT69" s="684"/>
      <c r="VMU69" s="684"/>
      <c r="VMV69" s="684"/>
      <c r="VMW69" s="684"/>
      <c r="VMX69" s="684"/>
      <c r="VMY69" s="684"/>
      <c r="VMZ69" s="684"/>
      <c r="VNA69" s="684"/>
      <c r="VNB69" s="684"/>
      <c r="VNC69" s="684"/>
      <c r="VND69" s="684"/>
      <c r="VNE69" s="684"/>
      <c r="VNF69" s="684"/>
      <c r="VNG69" s="684"/>
      <c r="VNH69" s="684"/>
      <c r="VNI69" s="684"/>
      <c r="VNJ69" s="684"/>
      <c r="VNK69" s="684"/>
      <c r="VNL69" s="684"/>
      <c r="VNM69" s="684"/>
      <c r="VNN69" s="684"/>
      <c r="VNO69" s="684"/>
      <c r="VNP69" s="684"/>
      <c r="VNQ69" s="684"/>
      <c r="VNR69" s="684"/>
      <c r="VNS69" s="684"/>
      <c r="VNT69" s="684"/>
      <c r="VNU69" s="684"/>
      <c r="VNV69" s="684"/>
      <c r="VNW69" s="684"/>
      <c r="VNX69" s="684"/>
      <c r="VNY69" s="684"/>
      <c r="VNZ69" s="684"/>
      <c r="VOA69" s="684"/>
      <c r="VOB69" s="684"/>
      <c r="VOC69" s="684"/>
      <c r="VOD69" s="684"/>
      <c r="VOE69" s="684"/>
      <c r="VOF69" s="684"/>
      <c r="VOG69" s="684"/>
      <c r="VOH69" s="684"/>
      <c r="VOI69" s="684"/>
      <c r="VOJ69" s="684"/>
      <c r="VOK69" s="684"/>
      <c r="VOL69" s="684"/>
      <c r="VOM69" s="684"/>
      <c r="VON69" s="684"/>
      <c r="VOO69" s="684"/>
      <c r="VOP69" s="684"/>
      <c r="VOQ69" s="684"/>
      <c r="VOR69" s="684"/>
      <c r="VOS69" s="684"/>
      <c r="VOT69" s="684"/>
      <c r="VOU69" s="684"/>
      <c r="VOV69" s="684"/>
      <c r="VOW69" s="684"/>
      <c r="VOX69" s="684"/>
      <c r="VOY69" s="684"/>
      <c r="VOZ69" s="684"/>
      <c r="VPA69" s="684"/>
      <c r="VPB69" s="684"/>
      <c r="VPC69" s="684"/>
      <c r="VPD69" s="684"/>
      <c r="VPE69" s="684"/>
      <c r="VPF69" s="684"/>
      <c r="VPG69" s="684"/>
      <c r="VPH69" s="684"/>
      <c r="VPI69" s="684"/>
      <c r="VPJ69" s="684"/>
      <c r="VPK69" s="684"/>
      <c r="VPL69" s="684"/>
      <c r="VPM69" s="684"/>
      <c r="VPN69" s="684"/>
      <c r="VPO69" s="684"/>
      <c r="VPP69" s="684"/>
      <c r="VPQ69" s="684"/>
      <c r="VPR69" s="684"/>
      <c r="VPS69" s="684"/>
      <c r="VPT69" s="684"/>
      <c r="VPU69" s="684"/>
      <c r="VPV69" s="684"/>
      <c r="VPW69" s="684"/>
      <c r="VPX69" s="684"/>
      <c r="VPY69" s="684"/>
      <c r="VPZ69" s="684"/>
      <c r="VQA69" s="684"/>
      <c r="VQB69" s="684"/>
      <c r="VQC69" s="684"/>
      <c r="VQD69" s="684"/>
      <c r="VQE69" s="684"/>
      <c r="VQF69" s="684"/>
      <c r="VQG69" s="684"/>
      <c r="VQH69" s="684"/>
      <c r="VQI69" s="684"/>
      <c r="VQJ69" s="684"/>
      <c r="VQK69" s="684"/>
      <c r="VQL69" s="684"/>
      <c r="VQM69" s="684"/>
      <c r="VQN69" s="684"/>
      <c r="VQO69" s="684"/>
      <c r="VQP69" s="684"/>
      <c r="VQQ69" s="684"/>
      <c r="VQR69" s="684"/>
      <c r="VQS69" s="684"/>
      <c r="VQT69" s="684"/>
      <c r="VQU69" s="684"/>
      <c r="VQV69" s="684"/>
      <c r="VQW69" s="684"/>
      <c r="VQX69" s="684"/>
      <c r="VQY69" s="684"/>
      <c r="VQZ69" s="684"/>
      <c r="VRA69" s="684"/>
      <c r="VRB69" s="684"/>
      <c r="VRC69" s="684"/>
      <c r="VRD69" s="684"/>
      <c r="VRE69" s="684"/>
      <c r="VRF69" s="684"/>
      <c r="VRG69" s="684"/>
      <c r="VRH69" s="684"/>
      <c r="VRI69" s="684"/>
      <c r="VRJ69" s="684"/>
      <c r="VRK69" s="684"/>
      <c r="VRL69" s="684"/>
      <c r="VRM69" s="684"/>
      <c r="VRN69" s="684"/>
      <c r="VRO69" s="684"/>
      <c r="VRP69" s="684"/>
      <c r="VRQ69" s="684"/>
      <c r="VRR69" s="684"/>
      <c r="VRS69" s="684"/>
      <c r="VRT69" s="684"/>
      <c r="VRU69" s="684"/>
      <c r="VRV69" s="684"/>
      <c r="VRW69" s="684"/>
      <c r="VRX69" s="684"/>
      <c r="VRY69" s="684"/>
      <c r="VRZ69" s="684"/>
      <c r="VSA69" s="684"/>
      <c r="VSB69" s="684"/>
      <c r="VSC69" s="684"/>
      <c r="VSD69" s="684"/>
      <c r="VSE69" s="684"/>
      <c r="VSF69" s="684"/>
      <c r="VSG69" s="684"/>
      <c r="VSH69" s="684"/>
      <c r="VSI69" s="684"/>
      <c r="VSJ69" s="684"/>
      <c r="VSK69" s="684"/>
      <c r="VSL69" s="684"/>
      <c r="VSM69" s="684"/>
      <c r="VSN69" s="684"/>
      <c r="VSO69" s="684"/>
      <c r="VSP69" s="684"/>
      <c r="VSQ69" s="684"/>
      <c r="VSR69" s="684"/>
      <c r="VSS69" s="684"/>
      <c r="VST69" s="684"/>
      <c r="VSU69" s="684"/>
      <c r="VSV69" s="684"/>
      <c r="VSW69" s="684"/>
      <c r="VSX69" s="684"/>
      <c r="VSY69" s="684"/>
      <c r="VSZ69" s="684"/>
      <c r="VTA69" s="684"/>
      <c r="VTB69" s="684"/>
      <c r="VTC69" s="684"/>
      <c r="VTD69" s="684"/>
      <c r="VTE69" s="684"/>
      <c r="VTF69" s="684"/>
      <c r="VTG69" s="684"/>
      <c r="VTH69" s="684"/>
      <c r="VTI69" s="684"/>
      <c r="VTJ69" s="684"/>
      <c r="VTK69" s="684"/>
      <c r="VTL69" s="684"/>
      <c r="VTM69" s="684"/>
      <c r="VTN69" s="684"/>
      <c r="VTO69" s="684"/>
      <c r="VTP69" s="684"/>
      <c r="VTQ69" s="684"/>
      <c r="VTR69" s="684"/>
      <c r="VTS69" s="684"/>
      <c r="VTT69" s="684"/>
      <c r="VTU69" s="684"/>
      <c r="VTV69" s="684"/>
      <c r="VTW69" s="684"/>
      <c r="VTX69" s="684"/>
      <c r="VTY69" s="684"/>
      <c r="VTZ69" s="684"/>
      <c r="VUA69" s="684"/>
      <c r="VUB69" s="684"/>
      <c r="VUC69" s="684"/>
      <c r="VUD69" s="684"/>
      <c r="VUE69" s="684"/>
      <c r="VUF69" s="684"/>
      <c r="VUG69" s="684"/>
      <c r="VUH69" s="684"/>
      <c r="VUI69" s="684"/>
      <c r="VUJ69" s="684"/>
      <c r="VUK69" s="684"/>
      <c r="VUL69" s="684"/>
      <c r="VUM69" s="684"/>
      <c r="VUN69" s="684"/>
      <c r="VUO69" s="684"/>
      <c r="VUP69" s="684"/>
      <c r="VUQ69" s="684"/>
      <c r="VUR69" s="684"/>
      <c r="VUS69" s="684"/>
      <c r="VUT69" s="684"/>
      <c r="VUU69" s="684"/>
      <c r="VUV69" s="684"/>
      <c r="VUW69" s="684"/>
      <c r="VUX69" s="684"/>
      <c r="VUY69" s="684"/>
      <c r="VUZ69" s="684"/>
      <c r="VVA69" s="684"/>
      <c r="VVB69" s="684"/>
      <c r="VVC69" s="684"/>
      <c r="VVD69" s="684"/>
      <c r="VVE69" s="684"/>
      <c r="VVF69" s="684"/>
      <c r="VVG69" s="684"/>
      <c r="VVH69" s="684"/>
      <c r="VVI69" s="684"/>
      <c r="VVJ69" s="684"/>
      <c r="VVK69" s="684"/>
      <c r="VVL69" s="684"/>
      <c r="VVM69" s="684"/>
      <c r="VVN69" s="684"/>
      <c r="VVO69" s="684"/>
      <c r="VVP69" s="684"/>
      <c r="VVQ69" s="684"/>
      <c r="VVR69" s="684"/>
      <c r="VVS69" s="684"/>
      <c r="VVT69" s="684"/>
      <c r="VVU69" s="684"/>
      <c r="VVV69" s="684"/>
      <c r="VVW69" s="684"/>
      <c r="VVX69" s="684"/>
      <c r="VVY69" s="684"/>
      <c r="VVZ69" s="684"/>
      <c r="VWA69" s="684"/>
      <c r="VWB69" s="684"/>
      <c r="VWC69" s="684"/>
      <c r="VWD69" s="684"/>
      <c r="VWE69" s="684"/>
      <c r="VWF69" s="684"/>
      <c r="VWG69" s="684"/>
      <c r="VWH69" s="684"/>
      <c r="VWI69" s="684"/>
      <c r="VWJ69" s="684"/>
      <c r="VWK69" s="684"/>
      <c r="VWL69" s="684"/>
      <c r="VWM69" s="684"/>
      <c r="VWN69" s="684"/>
      <c r="VWO69" s="684"/>
      <c r="VWP69" s="684"/>
      <c r="VWQ69" s="684"/>
      <c r="VWR69" s="684"/>
      <c r="VWS69" s="684"/>
      <c r="VWT69" s="684"/>
      <c r="VWU69" s="684"/>
      <c r="VWV69" s="684"/>
      <c r="VWW69" s="684"/>
      <c r="VWX69" s="684"/>
      <c r="VWY69" s="684"/>
      <c r="VWZ69" s="684"/>
      <c r="VXA69" s="684"/>
      <c r="VXB69" s="684"/>
      <c r="VXC69" s="684"/>
      <c r="VXD69" s="684"/>
      <c r="VXE69" s="684"/>
      <c r="VXF69" s="684"/>
      <c r="VXG69" s="684"/>
      <c r="VXH69" s="684"/>
      <c r="VXI69" s="684"/>
      <c r="VXJ69" s="684"/>
      <c r="VXK69" s="684"/>
      <c r="VXL69" s="684"/>
      <c r="VXM69" s="684"/>
      <c r="VXN69" s="684"/>
      <c r="VXO69" s="684"/>
      <c r="VXP69" s="684"/>
      <c r="VXQ69" s="684"/>
      <c r="VXR69" s="684"/>
      <c r="VXS69" s="684"/>
      <c r="VXT69" s="684"/>
      <c r="VXU69" s="684"/>
      <c r="VXV69" s="684"/>
      <c r="VXW69" s="684"/>
      <c r="VXX69" s="684"/>
      <c r="VXY69" s="684"/>
      <c r="VXZ69" s="684"/>
      <c r="VYA69" s="684"/>
      <c r="VYB69" s="684"/>
      <c r="VYC69" s="684"/>
      <c r="VYD69" s="684"/>
      <c r="VYE69" s="684"/>
      <c r="VYF69" s="684"/>
      <c r="VYG69" s="684"/>
      <c r="VYH69" s="684"/>
      <c r="VYI69" s="684"/>
      <c r="VYJ69" s="684"/>
      <c r="VYK69" s="684"/>
      <c r="VYL69" s="684"/>
      <c r="VYM69" s="684"/>
      <c r="VYN69" s="684"/>
      <c r="VYO69" s="684"/>
      <c r="VYP69" s="684"/>
      <c r="VYQ69" s="684"/>
      <c r="VYR69" s="684"/>
      <c r="VYS69" s="684"/>
      <c r="VYT69" s="684"/>
      <c r="VYU69" s="684"/>
      <c r="VYV69" s="684"/>
      <c r="VYW69" s="684"/>
      <c r="VYX69" s="684"/>
      <c r="VYY69" s="684"/>
      <c r="VYZ69" s="684"/>
      <c r="VZA69" s="684"/>
      <c r="VZB69" s="684"/>
      <c r="VZC69" s="684"/>
      <c r="VZD69" s="684"/>
      <c r="VZE69" s="684"/>
      <c r="VZF69" s="684"/>
      <c r="VZG69" s="684"/>
      <c r="VZH69" s="684"/>
      <c r="VZI69" s="684"/>
      <c r="VZJ69" s="684"/>
      <c r="VZK69" s="684"/>
      <c r="VZL69" s="684"/>
      <c r="VZM69" s="684"/>
      <c r="VZN69" s="684"/>
      <c r="VZO69" s="684"/>
      <c r="VZP69" s="684"/>
      <c r="VZQ69" s="684"/>
      <c r="VZR69" s="684"/>
      <c r="VZS69" s="684"/>
      <c r="VZT69" s="684"/>
      <c r="VZU69" s="684"/>
      <c r="VZV69" s="684"/>
      <c r="VZW69" s="684"/>
      <c r="VZX69" s="684"/>
      <c r="VZY69" s="684"/>
      <c r="VZZ69" s="684"/>
      <c r="WAA69" s="684"/>
      <c r="WAB69" s="684"/>
      <c r="WAC69" s="684"/>
      <c r="WAD69" s="684"/>
      <c r="WAE69" s="684"/>
      <c r="WAF69" s="684"/>
      <c r="WAG69" s="684"/>
      <c r="WAH69" s="684"/>
      <c r="WAI69" s="684"/>
      <c r="WAJ69" s="684"/>
      <c r="WAK69" s="684"/>
      <c r="WAL69" s="684"/>
      <c r="WAM69" s="684"/>
      <c r="WAN69" s="684"/>
      <c r="WAO69" s="684"/>
      <c r="WAP69" s="684"/>
      <c r="WAQ69" s="684"/>
      <c r="WAR69" s="684"/>
      <c r="WAS69" s="684"/>
      <c r="WAT69" s="684"/>
      <c r="WAU69" s="684"/>
      <c r="WAV69" s="684"/>
      <c r="WAW69" s="684"/>
      <c r="WAX69" s="684"/>
      <c r="WAY69" s="684"/>
      <c r="WAZ69" s="684"/>
      <c r="WBA69" s="684"/>
      <c r="WBB69" s="684"/>
      <c r="WBC69" s="684"/>
      <c r="WBD69" s="684"/>
      <c r="WBE69" s="684"/>
      <c r="WBF69" s="684"/>
      <c r="WBG69" s="684"/>
      <c r="WBH69" s="684"/>
      <c r="WBI69" s="684"/>
      <c r="WBJ69" s="684"/>
      <c r="WBK69" s="684"/>
      <c r="WBL69" s="684"/>
      <c r="WBM69" s="684"/>
      <c r="WBN69" s="684"/>
      <c r="WBO69" s="684"/>
      <c r="WBP69" s="684"/>
      <c r="WBQ69" s="684"/>
      <c r="WBR69" s="684"/>
      <c r="WBS69" s="684"/>
      <c r="WBT69" s="684"/>
      <c r="WBU69" s="684"/>
      <c r="WBV69" s="684"/>
      <c r="WBW69" s="684"/>
      <c r="WBX69" s="684"/>
      <c r="WBY69" s="684"/>
      <c r="WBZ69" s="684"/>
      <c r="WCA69" s="684"/>
      <c r="WCB69" s="684"/>
      <c r="WCC69" s="684"/>
      <c r="WCD69" s="684"/>
      <c r="WCE69" s="684"/>
      <c r="WCF69" s="684"/>
      <c r="WCG69" s="684"/>
      <c r="WCH69" s="684"/>
      <c r="WCI69" s="684"/>
      <c r="WCJ69" s="684"/>
      <c r="WCK69" s="684"/>
      <c r="WCL69" s="684"/>
      <c r="WCM69" s="684"/>
      <c r="WCN69" s="684"/>
      <c r="WCO69" s="684"/>
      <c r="WCP69" s="684"/>
      <c r="WCQ69" s="684"/>
      <c r="WCR69" s="684"/>
      <c r="WCS69" s="684"/>
      <c r="WCT69" s="684"/>
      <c r="WCU69" s="684"/>
      <c r="WCV69" s="684"/>
      <c r="WCW69" s="684"/>
      <c r="WCX69" s="684"/>
      <c r="WCY69" s="684"/>
      <c r="WCZ69" s="684"/>
      <c r="WDA69" s="684"/>
      <c r="WDB69" s="684"/>
      <c r="WDC69" s="684"/>
      <c r="WDD69" s="684"/>
      <c r="WDE69" s="684"/>
      <c r="WDF69" s="684"/>
      <c r="WDG69" s="684"/>
      <c r="WDH69" s="684"/>
      <c r="WDI69" s="684"/>
      <c r="WDJ69" s="684"/>
      <c r="WDK69" s="684"/>
      <c r="WDL69" s="684"/>
      <c r="WDM69" s="684"/>
      <c r="WDN69" s="684"/>
      <c r="WDO69" s="684"/>
      <c r="WDP69" s="684"/>
      <c r="WDQ69" s="684"/>
      <c r="WDR69" s="684"/>
      <c r="WDS69" s="684"/>
      <c r="WDT69" s="684"/>
      <c r="WDU69" s="684"/>
      <c r="WDV69" s="684"/>
      <c r="WDW69" s="684"/>
      <c r="WDX69" s="684"/>
      <c r="WDY69" s="684"/>
      <c r="WDZ69" s="684"/>
      <c r="WEA69" s="684"/>
      <c r="WEB69" s="684"/>
      <c r="WEC69" s="684"/>
      <c r="WED69" s="684"/>
      <c r="WEE69" s="684"/>
      <c r="WEF69" s="684"/>
      <c r="WEG69" s="684"/>
      <c r="WEH69" s="684"/>
      <c r="WEI69" s="684"/>
      <c r="WEJ69" s="684"/>
      <c r="WEK69" s="684"/>
      <c r="WEL69" s="684"/>
      <c r="WEM69" s="684"/>
      <c r="WEN69" s="684"/>
      <c r="WEO69" s="684"/>
      <c r="WEP69" s="684"/>
      <c r="WEQ69" s="684"/>
      <c r="WER69" s="684"/>
      <c r="WES69" s="684"/>
      <c r="WET69" s="684"/>
      <c r="WEU69" s="684"/>
      <c r="WEV69" s="684"/>
      <c r="WEW69" s="684"/>
      <c r="WEX69" s="684"/>
      <c r="WEY69" s="684"/>
      <c r="WEZ69" s="684"/>
      <c r="WFA69" s="684"/>
      <c r="WFB69" s="684"/>
      <c r="WFC69" s="684"/>
      <c r="WFD69" s="684"/>
      <c r="WFE69" s="684"/>
      <c r="WFF69" s="684"/>
      <c r="WFG69" s="684"/>
      <c r="WFH69" s="684"/>
      <c r="WFI69" s="684"/>
      <c r="WFJ69" s="684"/>
      <c r="WFK69" s="684"/>
      <c r="WFL69" s="684"/>
      <c r="WFM69" s="684"/>
      <c r="WFN69" s="684"/>
      <c r="WFO69" s="684"/>
      <c r="WFP69" s="684"/>
      <c r="WFQ69" s="684"/>
      <c r="WFR69" s="684"/>
      <c r="WFS69" s="684"/>
      <c r="WFT69" s="684"/>
      <c r="WFU69" s="684"/>
      <c r="WFV69" s="684"/>
      <c r="WFW69" s="684"/>
      <c r="WFX69" s="684"/>
      <c r="WFY69" s="684"/>
      <c r="WFZ69" s="684"/>
      <c r="WGA69" s="684"/>
      <c r="WGB69" s="684"/>
      <c r="WGC69" s="684"/>
      <c r="WGD69" s="684"/>
      <c r="WGE69" s="684"/>
      <c r="WGF69" s="684"/>
      <c r="WGG69" s="684"/>
      <c r="WGH69" s="684"/>
      <c r="WGI69" s="684"/>
      <c r="WGJ69" s="684"/>
      <c r="WGK69" s="684"/>
      <c r="WGL69" s="684"/>
      <c r="WGM69" s="684"/>
      <c r="WGN69" s="684"/>
      <c r="WGO69" s="684"/>
      <c r="WGP69" s="684"/>
      <c r="WGQ69" s="684"/>
      <c r="WGR69" s="684"/>
      <c r="WGS69" s="684"/>
      <c r="WGT69" s="684"/>
      <c r="WGU69" s="684"/>
      <c r="WGV69" s="684"/>
      <c r="WGW69" s="684"/>
      <c r="WGX69" s="684"/>
      <c r="WGY69" s="684"/>
      <c r="WGZ69" s="684"/>
      <c r="WHA69" s="684"/>
      <c r="WHB69" s="684"/>
      <c r="WHC69" s="684"/>
      <c r="WHD69" s="684"/>
      <c r="WHE69" s="684"/>
      <c r="WHF69" s="684"/>
      <c r="WHG69" s="684"/>
      <c r="WHH69" s="684"/>
      <c r="WHI69" s="684"/>
      <c r="WHJ69" s="684"/>
      <c r="WHK69" s="684"/>
      <c r="WHL69" s="684"/>
      <c r="WHM69" s="684"/>
      <c r="WHN69" s="684"/>
      <c r="WHO69" s="684"/>
      <c r="WHP69" s="684"/>
      <c r="WHQ69" s="684"/>
      <c r="WHR69" s="684"/>
      <c r="WHS69" s="684"/>
      <c r="WHT69" s="684"/>
      <c r="WHU69" s="684"/>
      <c r="WHV69" s="684"/>
      <c r="WHW69" s="684"/>
      <c r="WHX69" s="684"/>
      <c r="WHY69" s="684"/>
      <c r="WHZ69" s="684"/>
      <c r="WIA69" s="684"/>
      <c r="WIB69" s="684"/>
      <c r="WIC69" s="684"/>
      <c r="WID69" s="684"/>
      <c r="WIE69" s="684"/>
      <c r="WIF69" s="684"/>
      <c r="WIG69" s="684"/>
      <c r="WIH69" s="684"/>
      <c r="WII69" s="684"/>
      <c r="WIJ69" s="684"/>
      <c r="WIK69" s="684"/>
      <c r="WIL69" s="684"/>
      <c r="WIM69" s="684"/>
      <c r="WIN69" s="684"/>
      <c r="WIO69" s="684"/>
      <c r="WIP69" s="684"/>
      <c r="WIQ69" s="684"/>
      <c r="WIR69" s="684"/>
      <c r="WIS69" s="684"/>
      <c r="WIT69" s="684"/>
      <c r="WIU69" s="684"/>
      <c r="WIV69" s="684"/>
      <c r="WIW69" s="684"/>
      <c r="WIX69" s="684"/>
      <c r="WIY69" s="684"/>
      <c r="WIZ69" s="684"/>
      <c r="WJA69" s="684"/>
      <c r="WJB69" s="684"/>
      <c r="WJC69" s="684"/>
      <c r="WJD69" s="684"/>
      <c r="WJE69" s="684"/>
      <c r="WJF69" s="684"/>
      <c r="WJG69" s="684"/>
      <c r="WJH69" s="684"/>
      <c r="WJI69" s="684"/>
      <c r="WJJ69" s="684"/>
      <c r="WJK69" s="684"/>
      <c r="WJL69" s="684"/>
      <c r="WJM69" s="684"/>
      <c r="WJN69" s="684"/>
      <c r="WJO69" s="684"/>
      <c r="WJP69" s="684"/>
      <c r="WJQ69" s="684"/>
      <c r="WJR69" s="684"/>
      <c r="WJS69" s="684"/>
      <c r="WJT69" s="684"/>
      <c r="WJU69" s="684"/>
      <c r="WJV69" s="684"/>
      <c r="WJW69" s="684"/>
      <c r="WJX69" s="684"/>
      <c r="WJY69" s="684"/>
      <c r="WJZ69" s="684"/>
      <c r="WKA69" s="684"/>
      <c r="WKB69" s="684"/>
      <c r="WKC69" s="684"/>
      <c r="WKD69" s="684"/>
      <c r="WKE69" s="684"/>
      <c r="WKF69" s="684"/>
      <c r="WKG69" s="684"/>
      <c r="WKH69" s="684"/>
      <c r="WKI69" s="684"/>
      <c r="WKJ69" s="684"/>
      <c r="WKK69" s="684"/>
      <c r="WKL69" s="684"/>
      <c r="WKM69" s="684"/>
      <c r="WKN69" s="684"/>
      <c r="WKO69" s="684"/>
      <c r="WKP69" s="684"/>
      <c r="WKQ69" s="684"/>
      <c r="WKR69" s="684"/>
      <c r="WKS69" s="684"/>
      <c r="WKT69" s="684"/>
      <c r="WKU69" s="684"/>
      <c r="WKV69" s="684"/>
      <c r="WKW69" s="684"/>
      <c r="WKX69" s="684"/>
      <c r="WKY69" s="684"/>
      <c r="WKZ69" s="684"/>
      <c r="WLA69" s="684"/>
      <c r="WLB69" s="684"/>
      <c r="WLC69" s="684"/>
      <c r="WLD69" s="684"/>
      <c r="WLE69" s="684"/>
      <c r="WLF69" s="684"/>
      <c r="WLG69" s="684"/>
      <c r="WLH69" s="684"/>
      <c r="WLI69" s="684"/>
      <c r="WLJ69" s="684"/>
      <c r="WLK69" s="684"/>
      <c r="WLL69" s="684"/>
      <c r="WLM69" s="684"/>
      <c r="WLN69" s="684"/>
      <c r="WLO69" s="684"/>
      <c r="WLP69" s="684"/>
      <c r="WLQ69" s="684"/>
      <c r="WLR69" s="684"/>
      <c r="WLS69" s="684"/>
      <c r="WLT69" s="684"/>
      <c r="WLU69" s="684"/>
      <c r="WLV69" s="684"/>
      <c r="WLW69" s="684"/>
      <c r="WLX69" s="684"/>
      <c r="WLY69" s="684"/>
      <c r="WLZ69" s="684"/>
      <c r="WMA69" s="684"/>
      <c r="WMB69" s="684"/>
      <c r="WMC69" s="684"/>
      <c r="WMD69" s="684"/>
      <c r="WME69" s="684"/>
      <c r="WMF69" s="684"/>
      <c r="WMG69" s="684"/>
      <c r="WMH69" s="684"/>
      <c r="WMI69" s="684"/>
      <c r="WMJ69" s="684"/>
      <c r="WMK69" s="684"/>
      <c r="WML69" s="684"/>
      <c r="WMM69" s="684"/>
      <c r="WMN69" s="684"/>
      <c r="WMO69" s="684"/>
      <c r="WMP69" s="684"/>
      <c r="WMQ69" s="684"/>
      <c r="WMR69" s="684"/>
      <c r="WMS69" s="684"/>
      <c r="WMT69" s="684"/>
      <c r="WMU69" s="684"/>
      <c r="WMV69" s="684"/>
      <c r="WMW69" s="684"/>
      <c r="WMX69" s="684"/>
      <c r="WMY69" s="684"/>
      <c r="WMZ69" s="684"/>
      <c r="WNA69" s="684"/>
      <c r="WNB69" s="684"/>
      <c r="WNC69" s="684"/>
      <c r="WND69" s="684"/>
      <c r="WNE69" s="684"/>
      <c r="WNF69" s="684"/>
      <c r="WNG69" s="684"/>
      <c r="WNH69" s="684"/>
      <c r="WNI69" s="684"/>
      <c r="WNJ69" s="684"/>
      <c r="WNK69" s="684"/>
      <c r="WNL69" s="684"/>
      <c r="WNM69" s="684"/>
      <c r="WNN69" s="684"/>
      <c r="WNO69" s="684"/>
      <c r="WNP69" s="684"/>
      <c r="WNQ69" s="684"/>
      <c r="WNR69" s="684"/>
      <c r="WNS69" s="684"/>
      <c r="WNT69" s="684"/>
      <c r="WNU69" s="684"/>
      <c r="WNV69" s="684"/>
      <c r="WNW69" s="684"/>
      <c r="WNX69" s="684"/>
      <c r="WNY69" s="684"/>
      <c r="WNZ69" s="684"/>
      <c r="WOA69" s="684"/>
      <c r="WOB69" s="684"/>
      <c r="WOC69" s="684"/>
      <c r="WOD69" s="684"/>
      <c r="WOE69" s="684"/>
      <c r="WOF69" s="684"/>
      <c r="WOG69" s="684"/>
      <c r="WOH69" s="684"/>
      <c r="WOI69" s="684"/>
      <c r="WOJ69" s="684"/>
      <c r="WOK69" s="684"/>
      <c r="WOL69" s="684"/>
      <c r="WOM69" s="684"/>
      <c r="WON69" s="684"/>
      <c r="WOO69" s="684"/>
      <c r="WOP69" s="684"/>
      <c r="WOQ69" s="684"/>
      <c r="WOR69" s="684"/>
      <c r="WOS69" s="684"/>
      <c r="WOT69" s="684"/>
      <c r="WOU69" s="684"/>
      <c r="WOV69" s="684"/>
      <c r="WOW69" s="684"/>
      <c r="WOX69" s="684"/>
      <c r="WOY69" s="684"/>
      <c r="WOZ69" s="684"/>
      <c r="WPA69" s="684"/>
      <c r="WPB69" s="684"/>
      <c r="WPC69" s="684"/>
      <c r="WPD69" s="684"/>
      <c r="WPE69" s="684"/>
      <c r="WPF69" s="684"/>
      <c r="WPG69" s="684"/>
      <c r="WPH69" s="684"/>
      <c r="WPI69" s="684"/>
      <c r="WPJ69" s="684"/>
      <c r="WPK69" s="684"/>
      <c r="WPL69" s="684"/>
      <c r="WPM69" s="684"/>
      <c r="WPN69" s="684"/>
      <c r="WPO69" s="684"/>
      <c r="WPP69" s="684"/>
      <c r="WPQ69" s="684"/>
      <c r="WPR69" s="684"/>
      <c r="WPS69" s="684"/>
      <c r="WPT69" s="684"/>
      <c r="WPU69" s="684"/>
      <c r="WPV69" s="684"/>
      <c r="WPW69" s="684"/>
      <c r="WPX69" s="684"/>
      <c r="WPY69" s="684"/>
      <c r="WPZ69" s="684"/>
      <c r="WQA69" s="684"/>
      <c r="WQB69" s="684"/>
      <c r="WQC69" s="684"/>
      <c r="WQD69" s="684"/>
      <c r="WQE69" s="684"/>
      <c r="WQF69" s="684"/>
      <c r="WQG69" s="684"/>
      <c r="WQH69" s="684"/>
      <c r="WQI69" s="684"/>
      <c r="WQJ69" s="684"/>
      <c r="WQK69" s="684"/>
      <c r="WQL69" s="684"/>
      <c r="WQM69" s="684"/>
      <c r="WQN69" s="684"/>
      <c r="WQO69" s="684"/>
      <c r="WQP69" s="684"/>
      <c r="WQQ69" s="684"/>
      <c r="WQR69" s="684"/>
      <c r="WQS69" s="684"/>
      <c r="WQT69" s="684"/>
      <c r="WQU69" s="684"/>
      <c r="WQV69" s="684"/>
      <c r="WQW69" s="684"/>
      <c r="WQX69" s="684"/>
      <c r="WQY69" s="684"/>
      <c r="WQZ69" s="684"/>
      <c r="WRA69" s="684"/>
      <c r="WRB69" s="684"/>
      <c r="WRC69" s="684"/>
      <c r="WRD69" s="684"/>
      <c r="WRE69" s="684"/>
      <c r="WRF69" s="684"/>
      <c r="WRG69" s="684"/>
      <c r="WRH69" s="684"/>
      <c r="WRI69" s="684"/>
      <c r="WRJ69" s="684"/>
      <c r="WRK69" s="684"/>
      <c r="WRL69" s="684"/>
      <c r="WRM69" s="684"/>
      <c r="WRN69" s="684"/>
      <c r="WRO69" s="684"/>
      <c r="WRP69" s="684"/>
      <c r="WRQ69" s="684"/>
      <c r="WRR69" s="684"/>
      <c r="WRS69" s="684"/>
      <c r="WRT69" s="684"/>
      <c r="WRU69" s="684"/>
      <c r="WRV69" s="684"/>
      <c r="WRW69" s="684"/>
      <c r="WRX69" s="684"/>
      <c r="WRY69" s="684"/>
      <c r="WRZ69" s="684"/>
      <c r="WSA69" s="684"/>
      <c r="WSB69" s="684"/>
      <c r="WSC69" s="684"/>
      <c r="WSD69" s="684"/>
      <c r="WSE69" s="684"/>
      <c r="WSF69" s="684"/>
      <c r="WSG69" s="684"/>
      <c r="WSH69" s="684"/>
      <c r="WSI69" s="684"/>
      <c r="WSJ69" s="684"/>
      <c r="WSK69" s="684"/>
      <c r="WSL69" s="684"/>
      <c r="WSM69" s="684"/>
      <c r="WSN69" s="684"/>
      <c r="WSO69" s="684"/>
      <c r="WSP69" s="684"/>
      <c r="WSQ69" s="684"/>
      <c r="WSR69" s="684"/>
      <c r="WSS69" s="684"/>
      <c r="WST69" s="684"/>
      <c r="WSU69" s="684"/>
      <c r="WSV69" s="684"/>
      <c r="WSW69" s="684"/>
      <c r="WSX69" s="684"/>
      <c r="WSY69" s="684"/>
      <c r="WSZ69" s="684"/>
      <c r="WTA69" s="684"/>
      <c r="WTB69" s="684"/>
      <c r="WTC69" s="684"/>
      <c r="WTD69" s="684"/>
      <c r="WTE69" s="684"/>
      <c r="WTF69" s="684"/>
      <c r="WTG69" s="684"/>
      <c r="WTH69" s="684"/>
      <c r="WTI69" s="684"/>
      <c r="WTJ69" s="684"/>
      <c r="WTK69" s="684"/>
      <c r="WTL69" s="684"/>
      <c r="WTM69" s="684"/>
      <c r="WTN69" s="684"/>
      <c r="WTO69" s="684"/>
      <c r="WTP69" s="684"/>
      <c r="WTQ69" s="684"/>
      <c r="WTR69" s="684"/>
      <c r="WTS69" s="684"/>
      <c r="WTT69" s="684"/>
      <c r="WTU69" s="684"/>
      <c r="WTV69" s="684"/>
      <c r="WTW69" s="684"/>
      <c r="WTX69" s="684"/>
      <c r="WTY69" s="684"/>
      <c r="WTZ69" s="684"/>
      <c r="WUA69" s="684"/>
      <c r="WUB69" s="684"/>
      <c r="WUC69" s="684"/>
      <c r="WUD69" s="684"/>
      <c r="WUE69" s="684"/>
      <c r="WUF69" s="684"/>
      <c r="WUG69" s="684"/>
      <c r="WUH69" s="684"/>
      <c r="WUI69" s="684"/>
      <c r="WUJ69" s="684"/>
      <c r="WUK69" s="684"/>
      <c r="WUL69" s="684"/>
      <c r="WUM69" s="684"/>
      <c r="WUN69" s="684"/>
      <c r="WUO69" s="684"/>
      <c r="WUP69" s="684"/>
      <c r="WUQ69" s="684"/>
      <c r="WUR69" s="684"/>
      <c r="WUS69" s="684"/>
      <c r="WUT69" s="684"/>
      <c r="WUU69" s="684"/>
      <c r="WUV69" s="684"/>
      <c r="WUW69" s="684"/>
      <c r="WUX69" s="684"/>
      <c r="WUY69" s="684"/>
      <c r="WUZ69" s="684"/>
      <c r="WVA69" s="684"/>
      <c r="WVB69" s="684"/>
      <c r="WVC69" s="684"/>
      <c r="WVD69" s="684"/>
      <c r="WVE69" s="684"/>
      <c r="WVF69" s="684"/>
      <c r="WVG69" s="684"/>
      <c r="WVH69" s="684"/>
      <c r="WVI69" s="684"/>
      <c r="WVJ69" s="684"/>
      <c r="WVK69" s="684"/>
      <c r="WVL69" s="684"/>
      <c r="WVM69" s="684"/>
      <c r="WVN69" s="684"/>
      <c r="WVO69" s="684"/>
      <c r="WVP69" s="684"/>
      <c r="WVQ69" s="684"/>
      <c r="WVR69" s="684"/>
      <c r="WVS69" s="684"/>
      <c r="WVT69" s="684"/>
      <c r="WVU69" s="684"/>
      <c r="WVV69" s="684"/>
      <c r="WVW69" s="684"/>
      <c r="WVX69" s="684"/>
      <c r="WVY69" s="684"/>
      <c r="WVZ69" s="684"/>
      <c r="WWA69" s="684"/>
      <c r="WWB69" s="684"/>
      <c r="WWC69" s="684"/>
      <c r="WWD69" s="684"/>
      <c r="WWE69" s="684"/>
      <c r="WWF69" s="684"/>
      <c r="WWG69" s="684"/>
      <c r="WWH69" s="684"/>
      <c r="WWI69" s="684"/>
      <c r="WWJ69" s="684"/>
      <c r="WWK69" s="684"/>
      <c r="WWL69" s="684"/>
      <c r="WWM69" s="684"/>
      <c r="WWN69" s="684"/>
      <c r="WWO69" s="684"/>
      <c r="WWP69" s="684"/>
      <c r="WWQ69" s="684"/>
      <c r="WWR69" s="684"/>
      <c r="WWS69" s="684"/>
      <c r="WWT69" s="684"/>
      <c r="WWU69" s="684"/>
      <c r="WWV69" s="684"/>
      <c r="WWW69" s="684"/>
      <c r="WWX69" s="684"/>
      <c r="WWY69" s="684"/>
      <c r="WWZ69" s="684"/>
      <c r="WXA69" s="684"/>
      <c r="WXB69" s="684"/>
      <c r="WXC69" s="684"/>
      <c r="WXD69" s="684"/>
      <c r="WXE69" s="684"/>
      <c r="WXF69" s="684"/>
      <c r="WXG69" s="684"/>
      <c r="WXH69" s="684"/>
      <c r="WXI69" s="684"/>
      <c r="WXJ69" s="684"/>
      <c r="WXK69" s="684"/>
      <c r="WXL69" s="684"/>
      <c r="WXM69" s="684"/>
      <c r="WXN69" s="684"/>
      <c r="WXO69" s="684"/>
      <c r="WXP69" s="684"/>
      <c r="WXQ69" s="684"/>
      <c r="WXR69" s="684"/>
      <c r="WXS69" s="684"/>
      <c r="WXT69" s="684"/>
      <c r="WXU69" s="684"/>
      <c r="WXV69" s="684"/>
      <c r="WXW69" s="684"/>
      <c r="WXX69" s="684"/>
      <c r="WXY69" s="684"/>
      <c r="WXZ69" s="684"/>
      <c r="WYA69" s="684"/>
      <c r="WYB69" s="684"/>
      <c r="WYC69" s="684"/>
      <c r="WYD69" s="684"/>
      <c r="WYE69" s="684"/>
      <c r="WYF69" s="684"/>
      <c r="WYG69" s="684"/>
      <c r="WYH69" s="684"/>
      <c r="WYI69" s="684"/>
      <c r="WYJ69" s="684"/>
      <c r="WYK69" s="684"/>
      <c r="WYL69" s="684"/>
      <c r="WYM69" s="684"/>
      <c r="WYN69" s="684"/>
      <c r="WYO69" s="684"/>
      <c r="WYP69" s="684"/>
      <c r="WYQ69" s="684"/>
      <c r="WYR69" s="684"/>
      <c r="WYS69" s="684"/>
      <c r="WYT69" s="684"/>
      <c r="WYU69" s="684"/>
      <c r="WYV69" s="684"/>
      <c r="WYW69" s="684"/>
      <c r="WYX69" s="684"/>
      <c r="WYY69" s="684"/>
      <c r="WYZ69" s="684"/>
      <c r="WZA69" s="684"/>
      <c r="WZB69" s="684"/>
      <c r="WZC69" s="684"/>
      <c r="WZD69" s="684"/>
      <c r="WZE69" s="684"/>
      <c r="WZF69" s="684"/>
      <c r="WZG69" s="684"/>
      <c r="WZH69" s="684"/>
      <c r="WZI69" s="684"/>
      <c r="WZJ69" s="684"/>
      <c r="WZK69" s="684"/>
      <c r="WZL69" s="684"/>
      <c r="WZM69" s="684"/>
      <c r="WZN69" s="684"/>
      <c r="WZO69" s="684"/>
      <c r="WZP69" s="684"/>
      <c r="WZQ69" s="684"/>
      <c r="WZR69" s="684"/>
      <c r="WZS69" s="684"/>
      <c r="WZT69" s="684"/>
      <c r="WZU69" s="684"/>
      <c r="WZV69" s="684"/>
      <c r="WZW69" s="684"/>
      <c r="WZX69" s="684"/>
      <c r="WZY69" s="684"/>
      <c r="WZZ69" s="684"/>
      <c r="XAA69" s="684"/>
      <c r="XAB69" s="684"/>
      <c r="XAC69" s="684"/>
      <c r="XAD69" s="684"/>
      <c r="XAE69" s="684"/>
      <c r="XAF69" s="684"/>
      <c r="XAG69" s="684"/>
      <c r="XAH69" s="684"/>
      <c r="XAI69" s="684"/>
      <c r="XAJ69" s="684"/>
      <c r="XAK69" s="684"/>
      <c r="XAL69" s="684"/>
      <c r="XAM69" s="684"/>
      <c r="XAN69" s="684"/>
      <c r="XAO69" s="684"/>
      <c r="XAP69" s="684"/>
      <c r="XAQ69" s="684"/>
      <c r="XAR69" s="684"/>
      <c r="XAS69" s="684"/>
      <c r="XAT69" s="684"/>
      <c r="XAU69" s="684"/>
      <c r="XAV69" s="684"/>
      <c r="XAW69" s="684"/>
      <c r="XAX69" s="684"/>
      <c r="XAY69" s="684"/>
      <c r="XAZ69" s="684"/>
      <c r="XBA69" s="684"/>
      <c r="XBB69" s="684"/>
      <c r="XBC69" s="684"/>
      <c r="XBD69" s="684"/>
      <c r="XBE69" s="684"/>
      <c r="XBF69" s="684"/>
      <c r="XBG69" s="684"/>
      <c r="XBH69" s="684"/>
      <c r="XBI69" s="684"/>
      <c r="XBJ69" s="684"/>
      <c r="XBK69" s="684"/>
      <c r="XBL69" s="684"/>
      <c r="XBM69" s="684"/>
      <c r="XBN69" s="684"/>
      <c r="XBO69" s="684"/>
      <c r="XBP69" s="684"/>
      <c r="XBQ69" s="684"/>
      <c r="XBR69" s="684"/>
      <c r="XBS69" s="684"/>
      <c r="XBT69" s="684"/>
      <c r="XBU69" s="684"/>
      <c r="XBV69" s="684"/>
      <c r="XBW69" s="684"/>
      <c r="XBX69" s="684"/>
      <c r="XBY69" s="684"/>
      <c r="XBZ69" s="684"/>
      <c r="XCA69" s="684"/>
      <c r="XCB69" s="684"/>
      <c r="XCC69" s="684"/>
      <c r="XCD69" s="684"/>
      <c r="XCE69" s="684"/>
      <c r="XCF69" s="684"/>
      <c r="XCG69" s="684"/>
      <c r="XCH69" s="684"/>
      <c r="XCI69" s="684"/>
      <c r="XCJ69" s="684"/>
      <c r="XCK69" s="684"/>
      <c r="XCL69" s="684"/>
      <c r="XCM69" s="684"/>
      <c r="XCN69" s="684"/>
      <c r="XCO69" s="684"/>
      <c r="XCP69" s="684"/>
      <c r="XCQ69" s="684"/>
      <c r="XCR69" s="684"/>
      <c r="XCS69" s="684"/>
      <c r="XCT69" s="684"/>
      <c r="XCU69" s="684"/>
      <c r="XCV69" s="684"/>
      <c r="XCW69" s="684"/>
      <c r="XCX69" s="684"/>
      <c r="XCY69" s="684"/>
      <c r="XCZ69" s="684"/>
      <c r="XDA69" s="684"/>
      <c r="XDB69" s="684"/>
      <c r="XDC69" s="684"/>
      <c r="XDD69" s="684"/>
      <c r="XDE69" s="684"/>
      <c r="XDF69" s="684"/>
      <c r="XDG69" s="684"/>
      <c r="XDH69" s="684"/>
      <c r="XDI69" s="684"/>
      <c r="XDJ69" s="684"/>
      <c r="XDK69" s="684"/>
      <c r="XDL69" s="684"/>
      <c r="XDM69" s="684"/>
      <c r="XDN69" s="684"/>
      <c r="XDO69" s="684"/>
      <c r="XDP69" s="684"/>
      <c r="XDQ69" s="684"/>
      <c r="XDR69" s="684"/>
      <c r="XDS69" s="684"/>
      <c r="XDT69" s="684"/>
      <c r="XDU69" s="684"/>
      <c r="XDV69" s="684"/>
      <c r="XDW69" s="684"/>
      <c r="XDX69" s="684"/>
      <c r="XDY69" s="684"/>
      <c r="XDZ69" s="684"/>
      <c r="XEA69" s="684"/>
      <c r="XEB69" s="684"/>
      <c r="XEC69" s="684"/>
      <c r="XED69" s="684"/>
      <c r="XEE69" s="684"/>
      <c r="XEF69" s="684"/>
      <c r="XEG69" s="684"/>
      <c r="XEH69" s="684"/>
      <c r="XEI69" s="684"/>
      <c r="XEJ69" s="684"/>
      <c r="XEK69" s="684"/>
      <c r="XEL69" s="684"/>
      <c r="XEM69" s="684"/>
      <c r="XEN69" s="684"/>
      <c r="XEO69" s="684"/>
      <c r="XEP69" s="684"/>
      <c r="XEQ69" s="684"/>
      <c r="XER69" s="684"/>
      <c r="XES69" s="684"/>
      <c r="XET69" s="684"/>
      <c r="XEU69" s="684"/>
      <c r="XEV69" s="684"/>
      <c r="XEW69" s="684"/>
      <c r="XEX69" s="684"/>
      <c r="XEY69" s="684"/>
      <c r="XEZ69" s="684"/>
      <c r="XFA69" s="684"/>
      <c r="XFB69" s="684"/>
      <c r="XFC69" s="684"/>
      <c r="XFD69" s="684"/>
    </row>
    <row r="70" spans="1:16384" s="774" customFormat="1" ht="13.5" thickBot="1">
      <c r="A70" s="587" t="s">
        <v>2409</v>
      </c>
      <c r="B70" s="588" t="s">
        <v>2419</v>
      </c>
      <c r="C70" s="588" t="s">
        <v>2419</v>
      </c>
      <c r="D70" s="4303"/>
      <c r="E70" s="4292"/>
      <c r="F70" s="4303"/>
      <c r="G70" s="1106" t="s">
        <v>3051</v>
      </c>
      <c r="H70" s="4245"/>
      <c r="I70" s="4245"/>
      <c r="J70" s="684"/>
      <c r="K70" s="684"/>
      <c r="L70" s="684"/>
      <c r="M70" s="684"/>
      <c r="N70" s="684"/>
      <c r="O70" s="684"/>
      <c r="P70" s="684"/>
      <c r="Q70" s="684"/>
      <c r="R70" s="684"/>
      <c r="S70" s="684"/>
      <c r="T70" s="684"/>
      <c r="U70" s="684"/>
      <c r="V70" s="684"/>
      <c r="W70" s="684"/>
      <c r="X70" s="684"/>
      <c r="Y70" s="684"/>
      <c r="Z70" s="684"/>
      <c r="AA70" s="684"/>
      <c r="AB70" s="684"/>
      <c r="AC70" s="684"/>
      <c r="AD70" s="684"/>
      <c r="AE70" s="684"/>
      <c r="AF70" s="684"/>
      <c r="AG70" s="684"/>
      <c r="AH70" s="684"/>
      <c r="AI70" s="684"/>
      <c r="AJ70" s="684"/>
      <c r="AK70" s="684"/>
      <c r="AL70" s="684"/>
      <c r="AM70" s="684"/>
      <c r="AN70" s="684"/>
      <c r="AO70" s="684"/>
      <c r="AP70" s="684"/>
      <c r="AQ70" s="684"/>
      <c r="AR70" s="684"/>
      <c r="AS70" s="684"/>
      <c r="AT70" s="684"/>
      <c r="AU70" s="684"/>
      <c r="AV70" s="684"/>
      <c r="AW70" s="684"/>
      <c r="AX70" s="684"/>
      <c r="AY70" s="684"/>
      <c r="AZ70" s="684"/>
      <c r="BA70" s="684"/>
      <c r="BB70" s="684"/>
      <c r="BC70" s="684"/>
      <c r="BD70" s="684"/>
      <c r="BE70" s="684"/>
      <c r="BF70" s="684"/>
      <c r="BG70" s="684"/>
      <c r="BH70" s="684"/>
      <c r="BI70" s="684"/>
      <c r="BJ70" s="684"/>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c r="CI70" s="684"/>
      <c r="CJ70" s="684"/>
      <c r="CK70" s="684"/>
      <c r="CL70" s="684"/>
      <c r="CM70" s="684"/>
      <c r="CN70" s="684"/>
      <c r="CO70" s="684"/>
      <c r="CP70" s="684"/>
      <c r="CQ70" s="684"/>
      <c r="CR70" s="684"/>
      <c r="CS70" s="684"/>
      <c r="CT70" s="684"/>
      <c r="CU70" s="684"/>
      <c r="CV70" s="684"/>
      <c r="CW70" s="684"/>
      <c r="CX70" s="684"/>
      <c r="CY70" s="684"/>
      <c r="CZ70" s="684"/>
      <c r="DA70" s="684"/>
      <c r="DB70" s="684"/>
      <c r="DC70" s="684"/>
      <c r="DD70" s="684"/>
      <c r="DE70" s="684"/>
      <c r="DF70" s="684"/>
      <c r="DG70" s="684"/>
      <c r="DH70" s="684"/>
      <c r="DI70" s="684"/>
      <c r="DJ70" s="684"/>
      <c r="DK70" s="684"/>
      <c r="DL70" s="684"/>
      <c r="DM70" s="684"/>
      <c r="DN70" s="684"/>
      <c r="DO70" s="684"/>
      <c r="DP70" s="684"/>
      <c r="DQ70" s="684"/>
      <c r="DR70" s="684"/>
      <c r="DS70" s="684"/>
      <c r="DT70" s="684"/>
      <c r="DU70" s="684"/>
      <c r="DV70" s="684"/>
      <c r="DW70" s="684"/>
      <c r="DX70" s="684"/>
      <c r="DY70" s="684"/>
      <c r="DZ70" s="684"/>
      <c r="EA70" s="684"/>
      <c r="EB70" s="684"/>
      <c r="EC70" s="684"/>
      <c r="ED70" s="684"/>
      <c r="EE70" s="684"/>
      <c r="EF70" s="684"/>
      <c r="EG70" s="684"/>
      <c r="EH70" s="684"/>
      <c r="EI70" s="684"/>
      <c r="EJ70" s="684"/>
      <c r="EK70" s="684"/>
      <c r="EL70" s="684"/>
      <c r="EM70" s="684"/>
      <c r="EN70" s="684"/>
      <c r="EO70" s="684"/>
      <c r="EP70" s="684"/>
      <c r="EQ70" s="684"/>
      <c r="ER70" s="684"/>
      <c r="ES70" s="684"/>
      <c r="ET70" s="684"/>
      <c r="EU70" s="684"/>
      <c r="EV70" s="684"/>
      <c r="EW70" s="684"/>
      <c r="EX70" s="684"/>
      <c r="EY70" s="684"/>
      <c r="EZ70" s="684"/>
      <c r="FA70" s="684"/>
      <c r="FB70" s="684"/>
      <c r="FC70" s="684"/>
      <c r="FD70" s="684"/>
      <c r="FE70" s="684"/>
      <c r="FF70" s="684"/>
      <c r="FG70" s="684"/>
      <c r="FH70" s="684"/>
      <c r="FI70" s="684"/>
      <c r="FJ70" s="684"/>
      <c r="FK70" s="684"/>
      <c r="FL70" s="684"/>
      <c r="FM70" s="684"/>
      <c r="FN70" s="684"/>
      <c r="FO70" s="684"/>
      <c r="FP70" s="684"/>
      <c r="FQ70" s="684"/>
      <c r="FR70" s="684"/>
      <c r="FS70" s="684"/>
      <c r="FT70" s="684"/>
      <c r="FU70" s="684"/>
      <c r="FV70" s="684"/>
      <c r="FW70" s="684"/>
      <c r="FX70" s="684"/>
      <c r="FY70" s="684"/>
      <c r="FZ70" s="684"/>
      <c r="GA70" s="684"/>
      <c r="GB70" s="684"/>
      <c r="GC70" s="684"/>
      <c r="GD70" s="684"/>
      <c r="GE70" s="684"/>
      <c r="GF70" s="684"/>
      <c r="GG70" s="684"/>
      <c r="GH70" s="684"/>
      <c r="GI70" s="684"/>
      <c r="GJ70" s="684"/>
      <c r="GK70" s="684"/>
      <c r="GL70" s="684"/>
      <c r="GM70" s="684"/>
      <c r="GN70" s="684"/>
      <c r="GO70" s="684"/>
      <c r="GP70" s="684"/>
      <c r="GQ70" s="684"/>
      <c r="GR70" s="684"/>
      <c r="GS70" s="684"/>
      <c r="GT70" s="684"/>
      <c r="GU70" s="684"/>
      <c r="GV70" s="684"/>
      <c r="GW70" s="684"/>
      <c r="GX70" s="684"/>
      <c r="GY70" s="684"/>
      <c r="GZ70" s="684"/>
      <c r="HA70" s="684"/>
      <c r="HB70" s="684"/>
      <c r="HC70" s="684"/>
      <c r="HD70" s="684"/>
      <c r="HE70" s="684"/>
      <c r="HF70" s="684"/>
      <c r="HG70" s="684"/>
      <c r="HH70" s="684"/>
      <c r="HI70" s="684"/>
      <c r="HJ70" s="684"/>
      <c r="HK70" s="684"/>
      <c r="HL70" s="684"/>
      <c r="HM70" s="684"/>
      <c r="HN70" s="684"/>
      <c r="HO70" s="684"/>
      <c r="HP70" s="684"/>
      <c r="HQ70" s="684"/>
      <c r="HR70" s="684"/>
      <c r="HS70" s="684"/>
      <c r="HT70" s="684"/>
      <c r="HU70" s="684"/>
      <c r="HV70" s="684"/>
      <c r="HW70" s="684"/>
      <c r="HX70" s="684"/>
      <c r="HY70" s="684"/>
      <c r="HZ70" s="684"/>
      <c r="IA70" s="684"/>
      <c r="IB70" s="684"/>
      <c r="IC70" s="684"/>
      <c r="ID70" s="684"/>
      <c r="IE70" s="684"/>
      <c r="IF70" s="684"/>
      <c r="IG70" s="684"/>
      <c r="IH70" s="684"/>
      <c r="II70" s="684"/>
      <c r="IJ70" s="684"/>
      <c r="IK70" s="684"/>
      <c r="IL70" s="684"/>
      <c r="IM70" s="684"/>
      <c r="IN70" s="684"/>
      <c r="IO70" s="684"/>
      <c r="IP70" s="684"/>
      <c r="IQ70" s="684"/>
      <c r="IR70" s="684"/>
      <c r="IS70" s="684"/>
      <c r="IT70" s="684"/>
      <c r="IU70" s="684"/>
      <c r="IV70" s="684"/>
      <c r="IW70" s="684"/>
      <c r="IX70" s="684"/>
      <c r="IY70" s="684"/>
      <c r="IZ70" s="684"/>
      <c r="JA70" s="684"/>
      <c r="JB70" s="684"/>
      <c r="JC70" s="684"/>
      <c r="JD70" s="684"/>
      <c r="JE70" s="684"/>
      <c r="JF70" s="684"/>
      <c r="JG70" s="684"/>
      <c r="JH70" s="684"/>
      <c r="JI70" s="684"/>
      <c r="JJ70" s="684"/>
      <c r="JK70" s="684"/>
      <c r="JL70" s="684"/>
      <c r="JM70" s="684"/>
      <c r="JN70" s="684"/>
      <c r="JO70" s="684"/>
      <c r="JP70" s="684"/>
      <c r="JQ70" s="684"/>
      <c r="JR70" s="684"/>
      <c r="JS70" s="684"/>
      <c r="JT70" s="684"/>
      <c r="JU70" s="684"/>
      <c r="JV70" s="684"/>
      <c r="JW70" s="684"/>
      <c r="JX70" s="684"/>
      <c r="JY70" s="684"/>
      <c r="JZ70" s="684"/>
      <c r="KA70" s="684"/>
      <c r="KB70" s="684"/>
      <c r="KC70" s="684"/>
      <c r="KD70" s="684"/>
      <c r="KE70" s="684"/>
      <c r="KF70" s="684"/>
      <c r="KG70" s="684"/>
      <c r="KH70" s="684"/>
      <c r="KI70" s="684"/>
      <c r="KJ70" s="684"/>
      <c r="KK70" s="684"/>
      <c r="KL70" s="684"/>
      <c r="KM70" s="684"/>
      <c r="KN70" s="684"/>
      <c r="KO70" s="684"/>
      <c r="KP70" s="684"/>
      <c r="KQ70" s="684"/>
      <c r="KR70" s="684"/>
      <c r="KS70" s="684"/>
      <c r="KT70" s="684"/>
      <c r="KU70" s="684"/>
      <c r="KV70" s="684"/>
      <c r="KW70" s="684"/>
      <c r="KX70" s="684"/>
      <c r="KY70" s="684"/>
      <c r="KZ70" s="684"/>
      <c r="LA70" s="684"/>
      <c r="LB70" s="684"/>
      <c r="LC70" s="684"/>
      <c r="LD70" s="684"/>
      <c r="LE70" s="684"/>
      <c r="LF70" s="684"/>
      <c r="LG70" s="684"/>
      <c r="LH70" s="684"/>
      <c r="LI70" s="684"/>
      <c r="LJ70" s="684"/>
      <c r="LK70" s="684"/>
      <c r="LL70" s="684"/>
      <c r="LM70" s="684"/>
      <c r="LN70" s="684"/>
      <c r="LO70" s="684"/>
      <c r="LP70" s="684"/>
      <c r="LQ70" s="684"/>
      <c r="LR70" s="684"/>
      <c r="LS70" s="684"/>
      <c r="LT70" s="684"/>
      <c r="LU70" s="684"/>
      <c r="LV70" s="684"/>
      <c r="LW70" s="684"/>
      <c r="LX70" s="684"/>
      <c r="LY70" s="684"/>
      <c r="LZ70" s="684"/>
      <c r="MA70" s="684"/>
      <c r="MB70" s="684"/>
      <c r="MC70" s="684"/>
      <c r="MD70" s="684"/>
      <c r="ME70" s="684"/>
      <c r="MF70" s="684"/>
      <c r="MG70" s="684"/>
      <c r="MH70" s="684"/>
      <c r="MI70" s="684"/>
      <c r="MJ70" s="684"/>
      <c r="MK70" s="684"/>
      <c r="ML70" s="684"/>
      <c r="MM70" s="684"/>
      <c r="MN70" s="684"/>
      <c r="MO70" s="684"/>
      <c r="MP70" s="684"/>
      <c r="MQ70" s="684"/>
      <c r="MR70" s="684"/>
      <c r="MS70" s="684"/>
      <c r="MT70" s="684"/>
      <c r="MU70" s="684"/>
      <c r="MV70" s="684"/>
      <c r="MW70" s="684"/>
      <c r="MX70" s="684"/>
      <c r="MY70" s="684"/>
      <c r="MZ70" s="684"/>
      <c r="NA70" s="684"/>
      <c r="NB70" s="684"/>
      <c r="NC70" s="684"/>
      <c r="ND70" s="684"/>
      <c r="NE70" s="684"/>
      <c r="NF70" s="684"/>
      <c r="NG70" s="684"/>
      <c r="NH70" s="684"/>
      <c r="NI70" s="684"/>
      <c r="NJ70" s="684"/>
      <c r="NK70" s="684"/>
      <c r="NL70" s="684"/>
      <c r="NM70" s="684"/>
      <c r="NN70" s="684"/>
      <c r="NO70" s="684"/>
      <c r="NP70" s="684"/>
      <c r="NQ70" s="684"/>
      <c r="NR70" s="684"/>
      <c r="NS70" s="684"/>
      <c r="NT70" s="684"/>
      <c r="NU70" s="684"/>
      <c r="NV70" s="684"/>
      <c r="NW70" s="684"/>
      <c r="NX70" s="684"/>
      <c r="NY70" s="684"/>
      <c r="NZ70" s="684"/>
      <c r="OA70" s="684"/>
      <c r="OB70" s="684"/>
      <c r="OC70" s="684"/>
      <c r="OD70" s="684"/>
      <c r="OE70" s="684"/>
      <c r="OF70" s="684"/>
      <c r="OG70" s="684"/>
      <c r="OH70" s="684"/>
      <c r="OI70" s="684"/>
      <c r="OJ70" s="684"/>
      <c r="OK70" s="684"/>
      <c r="OL70" s="684"/>
      <c r="OM70" s="684"/>
      <c r="ON70" s="684"/>
      <c r="OO70" s="684"/>
      <c r="OP70" s="684"/>
      <c r="OQ70" s="684"/>
      <c r="OR70" s="684"/>
      <c r="OS70" s="684"/>
      <c r="OT70" s="684"/>
      <c r="OU70" s="684"/>
      <c r="OV70" s="684"/>
      <c r="OW70" s="684"/>
      <c r="OX70" s="684"/>
      <c r="OY70" s="684"/>
      <c r="OZ70" s="684"/>
      <c r="PA70" s="684"/>
      <c r="PB70" s="684"/>
      <c r="PC70" s="684"/>
      <c r="PD70" s="684"/>
      <c r="PE70" s="684"/>
      <c r="PF70" s="684"/>
      <c r="PG70" s="684"/>
      <c r="PH70" s="684"/>
      <c r="PI70" s="684"/>
      <c r="PJ70" s="684"/>
      <c r="PK70" s="684"/>
      <c r="PL70" s="684"/>
      <c r="PM70" s="684"/>
      <c r="PN70" s="684"/>
      <c r="PO70" s="684"/>
      <c r="PP70" s="684"/>
      <c r="PQ70" s="684"/>
      <c r="PR70" s="684"/>
      <c r="PS70" s="684"/>
      <c r="PT70" s="684"/>
      <c r="PU70" s="684"/>
      <c r="PV70" s="684"/>
      <c r="PW70" s="684"/>
      <c r="PX70" s="684"/>
      <c r="PY70" s="684"/>
      <c r="PZ70" s="684"/>
      <c r="QA70" s="684"/>
      <c r="QB70" s="684"/>
      <c r="QC70" s="684"/>
      <c r="QD70" s="684"/>
      <c r="QE70" s="684"/>
      <c r="QF70" s="684"/>
      <c r="QG70" s="684"/>
      <c r="QH70" s="684"/>
      <c r="QI70" s="684"/>
      <c r="QJ70" s="684"/>
      <c r="QK70" s="684"/>
      <c r="QL70" s="684"/>
      <c r="QM70" s="684"/>
      <c r="QN70" s="684"/>
      <c r="QO70" s="684"/>
      <c r="QP70" s="684"/>
      <c r="QQ70" s="684"/>
      <c r="QR70" s="684"/>
      <c r="QS70" s="684"/>
      <c r="QT70" s="684"/>
      <c r="QU70" s="684"/>
      <c r="QV70" s="684"/>
      <c r="QW70" s="684"/>
      <c r="QX70" s="684"/>
      <c r="QY70" s="684"/>
      <c r="QZ70" s="684"/>
      <c r="RA70" s="684"/>
      <c r="RB70" s="684"/>
      <c r="RC70" s="684"/>
      <c r="RD70" s="684"/>
      <c r="RE70" s="684"/>
      <c r="RF70" s="684"/>
      <c r="RG70" s="684"/>
      <c r="RH70" s="684"/>
      <c r="RI70" s="684"/>
      <c r="RJ70" s="684"/>
      <c r="RK70" s="684"/>
      <c r="RL70" s="684"/>
      <c r="RM70" s="684"/>
      <c r="RN70" s="684"/>
      <c r="RO70" s="684"/>
      <c r="RP70" s="684"/>
      <c r="RQ70" s="684"/>
      <c r="RR70" s="684"/>
      <c r="RS70" s="684"/>
      <c r="RT70" s="684"/>
      <c r="RU70" s="684"/>
      <c r="RV70" s="684"/>
      <c r="RW70" s="684"/>
      <c r="RX70" s="684"/>
      <c r="RY70" s="684"/>
      <c r="RZ70" s="684"/>
      <c r="SA70" s="684"/>
      <c r="SB70" s="684"/>
      <c r="SC70" s="684"/>
      <c r="SD70" s="684"/>
      <c r="SE70" s="684"/>
      <c r="SF70" s="684"/>
      <c r="SG70" s="684"/>
      <c r="SH70" s="684"/>
      <c r="SI70" s="684"/>
      <c r="SJ70" s="684"/>
      <c r="SK70" s="684"/>
      <c r="SL70" s="684"/>
      <c r="SM70" s="684"/>
      <c r="SN70" s="684"/>
      <c r="SO70" s="684"/>
      <c r="SP70" s="684"/>
      <c r="SQ70" s="684"/>
      <c r="SR70" s="684"/>
      <c r="SS70" s="684"/>
      <c r="ST70" s="684"/>
      <c r="SU70" s="684"/>
      <c r="SV70" s="684"/>
      <c r="SW70" s="684"/>
      <c r="SX70" s="684"/>
      <c r="SY70" s="684"/>
      <c r="SZ70" s="684"/>
      <c r="TA70" s="684"/>
      <c r="TB70" s="684"/>
      <c r="TC70" s="684"/>
      <c r="TD70" s="684"/>
      <c r="TE70" s="684"/>
      <c r="TF70" s="684"/>
      <c r="TG70" s="684"/>
      <c r="TH70" s="684"/>
      <c r="TI70" s="684"/>
      <c r="TJ70" s="684"/>
      <c r="TK70" s="684"/>
      <c r="TL70" s="684"/>
      <c r="TM70" s="684"/>
      <c r="TN70" s="684"/>
      <c r="TO70" s="684"/>
      <c r="TP70" s="684"/>
      <c r="TQ70" s="684"/>
      <c r="TR70" s="684"/>
      <c r="TS70" s="684"/>
      <c r="TT70" s="684"/>
      <c r="TU70" s="684"/>
      <c r="TV70" s="684"/>
      <c r="TW70" s="684"/>
      <c r="TX70" s="684"/>
      <c r="TY70" s="684"/>
      <c r="TZ70" s="684"/>
      <c r="UA70" s="684"/>
      <c r="UB70" s="684"/>
      <c r="UC70" s="684"/>
      <c r="UD70" s="684"/>
      <c r="UE70" s="684"/>
      <c r="UF70" s="684"/>
      <c r="UG70" s="684"/>
      <c r="UH70" s="684"/>
      <c r="UI70" s="684"/>
      <c r="UJ70" s="684"/>
      <c r="UK70" s="684"/>
      <c r="UL70" s="684"/>
      <c r="UM70" s="684"/>
      <c r="UN70" s="684"/>
      <c r="UO70" s="684"/>
      <c r="UP70" s="684"/>
      <c r="UQ70" s="684"/>
      <c r="UR70" s="684"/>
      <c r="US70" s="684"/>
      <c r="UT70" s="684"/>
      <c r="UU70" s="684"/>
      <c r="UV70" s="684"/>
      <c r="UW70" s="684"/>
      <c r="UX70" s="684"/>
      <c r="UY70" s="684"/>
      <c r="UZ70" s="684"/>
      <c r="VA70" s="684"/>
      <c r="VB70" s="684"/>
      <c r="VC70" s="684"/>
      <c r="VD70" s="684"/>
      <c r="VE70" s="684"/>
      <c r="VF70" s="684"/>
      <c r="VG70" s="684"/>
      <c r="VH70" s="684"/>
      <c r="VI70" s="684"/>
      <c r="VJ70" s="684"/>
      <c r="VK70" s="684"/>
      <c r="VL70" s="684"/>
      <c r="VM70" s="684"/>
      <c r="VN70" s="684"/>
      <c r="VO70" s="684"/>
      <c r="VP70" s="684"/>
      <c r="VQ70" s="684"/>
      <c r="VR70" s="684"/>
      <c r="VS70" s="684"/>
      <c r="VT70" s="684"/>
      <c r="VU70" s="684"/>
      <c r="VV70" s="684"/>
      <c r="VW70" s="684"/>
      <c r="VX70" s="684"/>
      <c r="VY70" s="684"/>
      <c r="VZ70" s="684"/>
      <c r="WA70" s="684"/>
      <c r="WB70" s="684"/>
      <c r="WC70" s="684"/>
      <c r="WD70" s="684"/>
      <c r="WE70" s="684"/>
      <c r="WF70" s="684"/>
      <c r="WG70" s="684"/>
      <c r="WH70" s="684"/>
      <c r="WI70" s="684"/>
      <c r="WJ70" s="684"/>
      <c r="WK70" s="684"/>
      <c r="WL70" s="684"/>
      <c r="WM70" s="684"/>
      <c r="WN70" s="684"/>
      <c r="WO70" s="684"/>
      <c r="WP70" s="684"/>
      <c r="WQ70" s="684"/>
      <c r="WR70" s="684"/>
      <c r="WS70" s="684"/>
      <c r="WT70" s="684"/>
      <c r="WU70" s="684"/>
      <c r="WV70" s="684"/>
      <c r="WW70" s="684"/>
      <c r="WX70" s="684"/>
      <c r="WY70" s="684"/>
      <c r="WZ70" s="684"/>
      <c r="XA70" s="684"/>
      <c r="XB70" s="684"/>
      <c r="XC70" s="684"/>
      <c r="XD70" s="684"/>
      <c r="XE70" s="684"/>
      <c r="XF70" s="684"/>
      <c r="XG70" s="684"/>
      <c r="XH70" s="684"/>
      <c r="XI70" s="684"/>
      <c r="XJ70" s="684"/>
      <c r="XK70" s="684"/>
      <c r="XL70" s="684"/>
      <c r="XM70" s="684"/>
      <c r="XN70" s="684"/>
      <c r="XO70" s="684"/>
      <c r="XP70" s="684"/>
      <c r="XQ70" s="684"/>
      <c r="XR70" s="684"/>
      <c r="XS70" s="684"/>
      <c r="XT70" s="684"/>
      <c r="XU70" s="684"/>
      <c r="XV70" s="684"/>
      <c r="XW70" s="684"/>
      <c r="XX70" s="684"/>
      <c r="XY70" s="684"/>
      <c r="XZ70" s="684"/>
      <c r="YA70" s="684"/>
      <c r="YB70" s="684"/>
      <c r="YC70" s="684"/>
      <c r="YD70" s="684"/>
      <c r="YE70" s="684"/>
      <c r="YF70" s="684"/>
      <c r="YG70" s="684"/>
      <c r="YH70" s="684"/>
      <c r="YI70" s="684"/>
      <c r="YJ70" s="684"/>
      <c r="YK70" s="684"/>
      <c r="YL70" s="684"/>
      <c r="YM70" s="684"/>
      <c r="YN70" s="684"/>
      <c r="YO70" s="684"/>
      <c r="YP70" s="684"/>
      <c r="YQ70" s="684"/>
      <c r="YR70" s="684"/>
      <c r="YS70" s="684"/>
      <c r="YT70" s="684"/>
      <c r="YU70" s="684"/>
      <c r="YV70" s="684"/>
      <c r="YW70" s="684"/>
      <c r="YX70" s="684"/>
      <c r="YY70" s="684"/>
      <c r="YZ70" s="684"/>
      <c r="ZA70" s="684"/>
      <c r="ZB70" s="684"/>
      <c r="ZC70" s="684"/>
      <c r="ZD70" s="684"/>
      <c r="ZE70" s="684"/>
      <c r="ZF70" s="684"/>
      <c r="ZG70" s="684"/>
      <c r="ZH70" s="684"/>
      <c r="ZI70" s="684"/>
      <c r="ZJ70" s="684"/>
      <c r="ZK70" s="684"/>
      <c r="ZL70" s="684"/>
      <c r="ZM70" s="684"/>
      <c r="ZN70" s="684"/>
      <c r="ZO70" s="684"/>
      <c r="ZP70" s="684"/>
      <c r="ZQ70" s="684"/>
      <c r="ZR70" s="684"/>
      <c r="ZS70" s="684"/>
      <c r="ZT70" s="684"/>
      <c r="ZU70" s="684"/>
      <c r="ZV70" s="684"/>
      <c r="ZW70" s="684"/>
      <c r="ZX70" s="684"/>
      <c r="ZY70" s="684"/>
      <c r="ZZ70" s="684"/>
      <c r="AAA70" s="684"/>
      <c r="AAB70" s="684"/>
      <c r="AAC70" s="684"/>
      <c r="AAD70" s="684"/>
      <c r="AAE70" s="684"/>
      <c r="AAF70" s="684"/>
      <c r="AAG70" s="684"/>
      <c r="AAH70" s="684"/>
      <c r="AAI70" s="684"/>
      <c r="AAJ70" s="684"/>
      <c r="AAK70" s="684"/>
      <c r="AAL70" s="684"/>
      <c r="AAM70" s="684"/>
      <c r="AAN70" s="684"/>
      <c r="AAO70" s="684"/>
      <c r="AAP70" s="684"/>
      <c r="AAQ70" s="684"/>
      <c r="AAR70" s="684"/>
      <c r="AAS70" s="684"/>
      <c r="AAT70" s="684"/>
      <c r="AAU70" s="684"/>
      <c r="AAV70" s="684"/>
      <c r="AAW70" s="684"/>
      <c r="AAX70" s="684"/>
      <c r="AAY70" s="684"/>
      <c r="AAZ70" s="684"/>
      <c r="ABA70" s="684"/>
      <c r="ABB70" s="684"/>
      <c r="ABC70" s="684"/>
      <c r="ABD70" s="684"/>
      <c r="ABE70" s="684"/>
      <c r="ABF70" s="684"/>
      <c r="ABG70" s="684"/>
      <c r="ABH70" s="684"/>
      <c r="ABI70" s="684"/>
      <c r="ABJ70" s="684"/>
      <c r="ABK70" s="684"/>
      <c r="ABL70" s="684"/>
      <c r="ABM70" s="684"/>
      <c r="ABN70" s="684"/>
      <c r="ABO70" s="684"/>
      <c r="ABP70" s="684"/>
      <c r="ABQ70" s="684"/>
      <c r="ABR70" s="684"/>
      <c r="ABS70" s="684"/>
      <c r="ABT70" s="684"/>
      <c r="ABU70" s="684"/>
      <c r="ABV70" s="684"/>
      <c r="ABW70" s="684"/>
      <c r="ABX70" s="684"/>
      <c r="ABY70" s="684"/>
      <c r="ABZ70" s="684"/>
      <c r="ACA70" s="684"/>
      <c r="ACB70" s="684"/>
      <c r="ACC70" s="684"/>
      <c r="ACD70" s="684"/>
      <c r="ACE70" s="684"/>
      <c r="ACF70" s="684"/>
      <c r="ACG70" s="684"/>
      <c r="ACH70" s="684"/>
      <c r="ACI70" s="684"/>
      <c r="ACJ70" s="684"/>
      <c r="ACK70" s="684"/>
      <c r="ACL70" s="684"/>
      <c r="ACM70" s="684"/>
      <c r="ACN70" s="684"/>
      <c r="ACO70" s="684"/>
      <c r="ACP70" s="684"/>
      <c r="ACQ70" s="684"/>
      <c r="ACR70" s="684"/>
      <c r="ACS70" s="684"/>
      <c r="ACT70" s="684"/>
      <c r="ACU70" s="684"/>
      <c r="ACV70" s="684"/>
      <c r="ACW70" s="684"/>
      <c r="ACX70" s="684"/>
      <c r="ACY70" s="684"/>
      <c r="ACZ70" s="684"/>
      <c r="ADA70" s="684"/>
      <c r="ADB70" s="684"/>
      <c r="ADC70" s="684"/>
      <c r="ADD70" s="684"/>
      <c r="ADE70" s="684"/>
      <c r="ADF70" s="684"/>
      <c r="ADG70" s="684"/>
      <c r="ADH70" s="684"/>
      <c r="ADI70" s="684"/>
      <c r="ADJ70" s="684"/>
      <c r="ADK70" s="684"/>
      <c r="ADL70" s="684"/>
      <c r="ADM70" s="684"/>
      <c r="ADN70" s="684"/>
      <c r="ADO70" s="684"/>
      <c r="ADP70" s="684"/>
      <c r="ADQ70" s="684"/>
      <c r="ADR70" s="684"/>
      <c r="ADS70" s="684"/>
      <c r="ADT70" s="684"/>
      <c r="ADU70" s="684"/>
      <c r="ADV70" s="684"/>
      <c r="ADW70" s="684"/>
      <c r="ADX70" s="684"/>
      <c r="ADY70" s="684"/>
      <c r="ADZ70" s="684"/>
      <c r="AEA70" s="684"/>
      <c r="AEB70" s="684"/>
      <c r="AEC70" s="684"/>
      <c r="AED70" s="684"/>
      <c r="AEE70" s="684"/>
      <c r="AEF70" s="684"/>
      <c r="AEG70" s="684"/>
      <c r="AEH70" s="684"/>
      <c r="AEI70" s="684"/>
      <c r="AEJ70" s="684"/>
      <c r="AEK70" s="684"/>
      <c r="AEL70" s="684"/>
      <c r="AEM70" s="684"/>
      <c r="AEN70" s="684"/>
      <c r="AEO70" s="684"/>
      <c r="AEP70" s="684"/>
      <c r="AEQ70" s="684"/>
      <c r="AER70" s="684"/>
      <c r="AES70" s="684"/>
      <c r="AET70" s="684"/>
      <c r="AEU70" s="684"/>
      <c r="AEV70" s="684"/>
      <c r="AEW70" s="684"/>
      <c r="AEX70" s="684"/>
      <c r="AEY70" s="684"/>
      <c r="AEZ70" s="684"/>
      <c r="AFA70" s="684"/>
      <c r="AFB70" s="684"/>
      <c r="AFC70" s="684"/>
      <c r="AFD70" s="684"/>
      <c r="AFE70" s="684"/>
      <c r="AFF70" s="684"/>
      <c r="AFG70" s="684"/>
      <c r="AFH70" s="684"/>
      <c r="AFI70" s="684"/>
      <c r="AFJ70" s="684"/>
      <c r="AFK70" s="684"/>
      <c r="AFL70" s="684"/>
      <c r="AFM70" s="684"/>
      <c r="AFN70" s="684"/>
      <c r="AFO70" s="684"/>
      <c r="AFP70" s="684"/>
      <c r="AFQ70" s="684"/>
      <c r="AFR70" s="684"/>
      <c r="AFS70" s="684"/>
      <c r="AFT70" s="684"/>
      <c r="AFU70" s="684"/>
      <c r="AFV70" s="684"/>
      <c r="AFW70" s="684"/>
      <c r="AFX70" s="684"/>
      <c r="AFY70" s="684"/>
      <c r="AFZ70" s="684"/>
      <c r="AGA70" s="684"/>
      <c r="AGB70" s="684"/>
      <c r="AGC70" s="684"/>
      <c r="AGD70" s="684"/>
      <c r="AGE70" s="684"/>
      <c r="AGF70" s="684"/>
      <c r="AGG70" s="684"/>
      <c r="AGH70" s="684"/>
      <c r="AGI70" s="684"/>
      <c r="AGJ70" s="684"/>
      <c r="AGK70" s="684"/>
      <c r="AGL70" s="684"/>
      <c r="AGM70" s="684"/>
      <c r="AGN70" s="684"/>
      <c r="AGO70" s="684"/>
      <c r="AGP70" s="684"/>
      <c r="AGQ70" s="684"/>
      <c r="AGR70" s="684"/>
      <c r="AGS70" s="684"/>
      <c r="AGT70" s="684"/>
      <c r="AGU70" s="684"/>
      <c r="AGV70" s="684"/>
      <c r="AGW70" s="684"/>
      <c r="AGX70" s="684"/>
      <c r="AGY70" s="684"/>
      <c r="AGZ70" s="684"/>
      <c r="AHA70" s="684"/>
      <c r="AHB70" s="684"/>
      <c r="AHC70" s="684"/>
      <c r="AHD70" s="684"/>
      <c r="AHE70" s="684"/>
      <c r="AHF70" s="684"/>
      <c r="AHG70" s="684"/>
      <c r="AHH70" s="684"/>
      <c r="AHI70" s="684"/>
      <c r="AHJ70" s="684"/>
      <c r="AHK70" s="684"/>
      <c r="AHL70" s="684"/>
      <c r="AHM70" s="684"/>
      <c r="AHN70" s="684"/>
      <c r="AHO70" s="684"/>
      <c r="AHP70" s="684"/>
      <c r="AHQ70" s="684"/>
      <c r="AHR70" s="684"/>
      <c r="AHS70" s="684"/>
      <c r="AHT70" s="684"/>
      <c r="AHU70" s="684"/>
      <c r="AHV70" s="684"/>
      <c r="AHW70" s="684"/>
      <c r="AHX70" s="684"/>
      <c r="AHY70" s="684"/>
      <c r="AHZ70" s="684"/>
      <c r="AIA70" s="684"/>
      <c r="AIB70" s="684"/>
      <c r="AIC70" s="684"/>
      <c r="AID70" s="684"/>
      <c r="AIE70" s="684"/>
      <c r="AIF70" s="684"/>
      <c r="AIG70" s="684"/>
      <c r="AIH70" s="684"/>
      <c r="AII70" s="684"/>
      <c r="AIJ70" s="684"/>
      <c r="AIK70" s="684"/>
      <c r="AIL70" s="684"/>
      <c r="AIM70" s="684"/>
      <c r="AIN70" s="684"/>
      <c r="AIO70" s="684"/>
      <c r="AIP70" s="684"/>
      <c r="AIQ70" s="684"/>
      <c r="AIR70" s="684"/>
      <c r="AIS70" s="684"/>
      <c r="AIT70" s="684"/>
      <c r="AIU70" s="684"/>
      <c r="AIV70" s="684"/>
      <c r="AIW70" s="684"/>
      <c r="AIX70" s="684"/>
      <c r="AIY70" s="684"/>
      <c r="AIZ70" s="684"/>
      <c r="AJA70" s="684"/>
      <c r="AJB70" s="684"/>
      <c r="AJC70" s="684"/>
      <c r="AJD70" s="684"/>
      <c r="AJE70" s="684"/>
      <c r="AJF70" s="684"/>
      <c r="AJG70" s="684"/>
      <c r="AJH70" s="684"/>
      <c r="AJI70" s="684"/>
      <c r="AJJ70" s="684"/>
      <c r="AJK70" s="684"/>
      <c r="AJL70" s="684"/>
      <c r="AJM70" s="684"/>
      <c r="AJN70" s="684"/>
      <c r="AJO70" s="684"/>
      <c r="AJP70" s="684"/>
      <c r="AJQ70" s="684"/>
      <c r="AJR70" s="684"/>
      <c r="AJS70" s="684"/>
      <c r="AJT70" s="684"/>
      <c r="AJU70" s="684"/>
      <c r="AJV70" s="684"/>
      <c r="AJW70" s="684"/>
      <c r="AJX70" s="684"/>
      <c r="AJY70" s="684"/>
      <c r="AJZ70" s="684"/>
      <c r="AKA70" s="684"/>
      <c r="AKB70" s="684"/>
      <c r="AKC70" s="684"/>
      <c r="AKD70" s="684"/>
      <c r="AKE70" s="684"/>
      <c r="AKF70" s="684"/>
      <c r="AKG70" s="684"/>
      <c r="AKH70" s="684"/>
      <c r="AKI70" s="684"/>
      <c r="AKJ70" s="684"/>
      <c r="AKK70" s="684"/>
      <c r="AKL70" s="684"/>
      <c r="AKM70" s="684"/>
      <c r="AKN70" s="684"/>
      <c r="AKO70" s="684"/>
      <c r="AKP70" s="684"/>
      <c r="AKQ70" s="684"/>
      <c r="AKR70" s="684"/>
      <c r="AKS70" s="684"/>
      <c r="AKT70" s="684"/>
      <c r="AKU70" s="684"/>
      <c r="AKV70" s="684"/>
      <c r="AKW70" s="684"/>
      <c r="AKX70" s="684"/>
      <c r="AKY70" s="684"/>
      <c r="AKZ70" s="684"/>
      <c r="ALA70" s="684"/>
      <c r="ALB70" s="684"/>
      <c r="ALC70" s="684"/>
      <c r="ALD70" s="684"/>
      <c r="ALE70" s="684"/>
      <c r="ALF70" s="684"/>
      <c r="ALG70" s="684"/>
      <c r="ALH70" s="684"/>
      <c r="ALI70" s="684"/>
      <c r="ALJ70" s="684"/>
      <c r="ALK70" s="684"/>
      <c r="ALL70" s="684"/>
      <c r="ALM70" s="684"/>
      <c r="ALN70" s="684"/>
      <c r="ALO70" s="684"/>
      <c r="ALP70" s="684"/>
      <c r="ALQ70" s="684"/>
      <c r="ALR70" s="684"/>
      <c r="ALS70" s="684"/>
      <c r="ALT70" s="684"/>
      <c r="ALU70" s="684"/>
      <c r="ALV70" s="684"/>
      <c r="ALW70" s="684"/>
      <c r="ALX70" s="684"/>
      <c r="ALY70" s="684"/>
      <c r="ALZ70" s="684"/>
      <c r="AMA70" s="684"/>
      <c r="AMB70" s="684"/>
      <c r="AMC70" s="684"/>
      <c r="AMD70" s="684"/>
      <c r="AME70" s="684"/>
      <c r="AMF70" s="684"/>
      <c r="AMG70" s="684"/>
      <c r="AMH70" s="684"/>
      <c r="AMI70" s="684"/>
      <c r="AMJ70" s="684"/>
      <c r="AMK70" s="684"/>
      <c r="AML70" s="684"/>
      <c r="AMM70" s="684"/>
      <c r="AMN70" s="684"/>
      <c r="AMO70" s="684"/>
      <c r="AMP70" s="684"/>
      <c r="AMQ70" s="684"/>
      <c r="AMR70" s="684"/>
      <c r="AMS70" s="684"/>
      <c r="AMT70" s="684"/>
      <c r="AMU70" s="684"/>
      <c r="AMV70" s="684"/>
      <c r="AMW70" s="684"/>
      <c r="AMX70" s="684"/>
      <c r="AMY70" s="684"/>
      <c r="AMZ70" s="684"/>
      <c r="ANA70" s="684"/>
      <c r="ANB70" s="684"/>
      <c r="ANC70" s="684"/>
      <c r="AND70" s="684"/>
      <c r="ANE70" s="684"/>
      <c r="ANF70" s="684"/>
      <c r="ANG70" s="684"/>
      <c r="ANH70" s="684"/>
      <c r="ANI70" s="684"/>
      <c r="ANJ70" s="684"/>
      <c r="ANK70" s="684"/>
      <c r="ANL70" s="684"/>
      <c r="ANM70" s="684"/>
      <c r="ANN70" s="684"/>
      <c r="ANO70" s="684"/>
      <c r="ANP70" s="684"/>
      <c r="ANQ70" s="684"/>
      <c r="ANR70" s="684"/>
      <c r="ANS70" s="684"/>
      <c r="ANT70" s="684"/>
      <c r="ANU70" s="684"/>
      <c r="ANV70" s="684"/>
      <c r="ANW70" s="684"/>
      <c r="ANX70" s="684"/>
      <c r="ANY70" s="684"/>
      <c r="ANZ70" s="684"/>
      <c r="AOA70" s="684"/>
      <c r="AOB70" s="684"/>
      <c r="AOC70" s="684"/>
      <c r="AOD70" s="684"/>
      <c r="AOE70" s="684"/>
      <c r="AOF70" s="684"/>
      <c r="AOG70" s="684"/>
      <c r="AOH70" s="684"/>
      <c r="AOI70" s="684"/>
      <c r="AOJ70" s="684"/>
      <c r="AOK70" s="684"/>
      <c r="AOL70" s="684"/>
      <c r="AOM70" s="684"/>
      <c r="AON70" s="684"/>
      <c r="AOO70" s="684"/>
      <c r="AOP70" s="684"/>
      <c r="AOQ70" s="684"/>
      <c r="AOR70" s="684"/>
      <c r="AOS70" s="684"/>
      <c r="AOT70" s="684"/>
      <c r="AOU70" s="684"/>
      <c r="AOV70" s="684"/>
      <c r="AOW70" s="684"/>
      <c r="AOX70" s="684"/>
      <c r="AOY70" s="684"/>
      <c r="AOZ70" s="684"/>
      <c r="APA70" s="684"/>
      <c r="APB70" s="684"/>
      <c r="APC70" s="684"/>
      <c r="APD70" s="684"/>
      <c r="APE70" s="684"/>
      <c r="APF70" s="684"/>
      <c r="APG70" s="684"/>
      <c r="APH70" s="684"/>
      <c r="API70" s="684"/>
      <c r="APJ70" s="684"/>
      <c r="APK70" s="684"/>
      <c r="APL70" s="684"/>
      <c r="APM70" s="684"/>
      <c r="APN70" s="684"/>
      <c r="APO70" s="684"/>
      <c r="APP70" s="684"/>
      <c r="APQ70" s="684"/>
      <c r="APR70" s="684"/>
      <c r="APS70" s="684"/>
      <c r="APT70" s="684"/>
      <c r="APU70" s="684"/>
      <c r="APV70" s="684"/>
      <c r="APW70" s="684"/>
      <c r="APX70" s="684"/>
      <c r="APY70" s="684"/>
      <c r="APZ70" s="684"/>
      <c r="AQA70" s="684"/>
      <c r="AQB70" s="684"/>
      <c r="AQC70" s="684"/>
      <c r="AQD70" s="684"/>
      <c r="AQE70" s="684"/>
      <c r="AQF70" s="684"/>
      <c r="AQG70" s="684"/>
      <c r="AQH70" s="684"/>
      <c r="AQI70" s="684"/>
      <c r="AQJ70" s="684"/>
      <c r="AQK70" s="684"/>
      <c r="AQL70" s="684"/>
      <c r="AQM70" s="684"/>
      <c r="AQN70" s="684"/>
      <c r="AQO70" s="684"/>
      <c r="AQP70" s="684"/>
      <c r="AQQ70" s="684"/>
      <c r="AQR70" s="684"/>
      <c r="AQS70" s="684"/>
      <c r="AQT70" s="684"/>
      <c r="AQU70" s="684"/>
      <c r="AQV70" s="684"/>
      <c r="AQW70" s="684"/>
      <c r="AQX70" s="684"/>
      <c r="AQY70" s="684"/>
      <c r="AQZ70" s="684"/>
      <c r="ARA70" s="684"/>
      <c r="ARB70" s="684"/>
      <c r="ARC70" s="684"/>
      <c r="ARD70" s="684"/>
      <c r="ARE70" s="684"/>
      <c r="ARF70" s="684"/>
      <c r="ARG70" s="684"/>
      <c r="ARH70" s="684"/>
      <c r="ARI70" s="684"/>
      <c r="ARJ70" s="684"/>
      <c r="ARK70" s="684"/>
      <c r="ARL70" s="684"/>
      <c r="ARM70" s="684"/>
      <c r="ARN70" s="684"/>
      <c r="ARO70" s="684"/>
      <c r="ARP70" s="684"/>
      <c r="ARQ70" s="684"/>
      <c r="ARR70" s="684"/>
      <c r="ARS70" s="684"/>
      <c r="ART70" s="684"/>
      <c r="ARU70" s="684"/>
      <c r="ARV70" s="684"/>
      <c r="ARW70" s="684"/>
      <c r="ARX70" s="684"/>
      <c r="ARY70" s="684"/>
      <c r="ARZ70" s="684"/>
      <c r="ASA70" s="684"/>
      <c r="ASB70" s="684"/>
      <c r="ASC70" s="684"/>
      <c r="ASD70" s="684"/>
      <c r="ASE70" s="684"/>
      <c r="ASF70" s="684"/>
      <c r="ASG70" s="684"/>
      <c r="ASH70" s="684"/>
      <c r="ASI70" s="684"/>
      <c r="ASJ70" s="684"/>
      <c r="ASK70" s="684"/>
      <c r="ASL70" s="684"/>
      <c r="ASM70" s="684"/>
      <c r="ASN70" s="684"/>
      <c r="ASO70" s="684"/>
      <c r="ASP70" s="684"/>
      <c r="ASQ70" s="684"/>
      <c r="ASR70" s="684"/>
      <c r="ASS70" s="684"/>
      <c r="AST70" s="684"/>
      <c r="ASU70" s="684"/>
      <c r="ASV70" s="684"/>
      <c r="ASW70" s="684"/>
      <c r="ASX70" s="684"/>
      <c r="ASY70" s="684"/>
      <c r="ASZ70" s="684"/>
      <c r="ATA70" s="684"/>
      <c r="ATB70" s="684"/>
      <c r="ATC70" s="684"/>
      <c r="ATD70" s="684"/>
      <c r="ATE70" s="684"/>
      <c r="ATF70" s="684"/>
      <c r="ATG70" s="684"/>
      <c r="ATH70" s="684"/>
      <c r="ATI70" s="684"/>
      <c r="ATJ70" s="684"/>
      <c r="ATK70" s="684"/>
      <c r="ATL70" s="684"/>
      <c r="ATM70" s="684"/>
      <c r="ATN70" s="684"/>
      <c r="ATO70" s="684"/>
      <c r="ATP70" s="684"/>
      <c r="ATQ70" s="684"/>
      <c r="ATR70" s="684"/>
      <c r="ATS70" s="684"/>
      <c r="ATT70" s="684"/>
      <c r="ATU70" s="684"/>
      <c r="ATV70" s="684"/>
      <c r="ATW70" s="684"/>
      <c r="ATX70" s="684"/>
      <c r="ATY70" s="684"/>
      <c r="ATZ70" s="684"/>
      <c r="AUA70" s="684"/>
      <c r="AUB70" s="684"/>
      <c r="AUC70" s="684"/>
      <c r="AUD70" s="684"/>
      <c r="AUE70" s="684"/>
      <c r="AUF70" s="684"/>
      <c r="AUG70" s="684"/>
      <c r="AUH70" s="684"/>
      <c r="AUI70" s="684"/>
      <c r="AUJ70" s="684"/>
      <c r="AUK70" s="684"/>
      <c r="AUL70" s="684"/>
      <c r="AUM70" s="684"/>
      <c r="AUN70" s="684"/>
      <c r="AUO70" s="684"/>
      <c r="AUP70" s="684"/>
      <c r="AUQ70" s="684"/>
      <c r="AUR70" s="684"/>
      <c r="AUS70" s="684"/>
      <c r="AUT70" s="684"/>
      <c r="AUU70" s="684"/>
      <c r="AUV70" s="684"/>
      <c r="AUW70" s="684"/>
      <c r="AUX70" s="684"/>
      <c r="AUY70" s="684"/>
      <c r="AUZ70" s="684"/>
      <c r="AVA70" s="684"/>
      <c r="AVB70" s="684"/>
      <c r="AVC70" s="684"/>
      <c r="AVD70" s="684"/>
      <c r="AVE70" s="684"/>
      <c r="AVF70" s="684"/>
      <c r="AVG70" s="684"/>
      <c r="AVH70" s="684"/>
      <c r="AVI70" s="684"/>
      <c r="AVJ70" s="684"/>
      <c r="AVK70" s="684"/>
      <c r="AVL70" s="684"/>
      <c r="AVM70" s="684"/>
      <c r="AVN70" s="684"/>
      <c r="AVO70" s="684"/>
      <c r="AVP70" s="684"/>
      <c r="AVQ70" s="684"/>
      <c r="AVR70" s="684"/>
      <c r="AVS70" s="684"/>
      <c r="AVT70" s="684"/>
      <c r="AVU70" s="684"/>
      <c r="AVV70" s="684"/>
      <c r="AVW70" s="684"/>
      <c r="AVX70" s="684"/>
      <c r="AVY70" s="684"/>
      <c r="AVZ70" s="684"/>
      <c r="AWA70" s="684"/>
      <c r="AWB70" s="684"/>
      <c r="AWC70" s="684"/>
      <c r="AWD70" s="684"/>
      <c r="AWE70" s="684"/>
      <c r="AWF70" s="684"/>
      <c r="AWG70" s="684"/>
      <c r="AWH70" s="684"/>
      <c r="AWI70" s="684"/>
      <c r="AWJ70" s="684"/>
      <c r="AWK70" s="684"/>
      <c r="AWL70" s="684"/>
      <c r="AWM70" s="684"/>
      <c r="AWN70" s="684"/>
      <c r="AWO70" s="684"/>
      <c r="AWP70" s="684"/>
      <c r="AWQ70" s="684"/>
      <c r="AWR70" s="684"/>
      <c r="AWS70" s="684"/>
      <c r="AWT70" s="684"/>
      <c r="AWU70" s="684"/>
      <c r="AWV70" s="684"/>
      <c r="AWW70" s="684"/>
      <c r="AWX70" s="684"/>
      <c r="AWY70" s="684"/>
      <c r="AWZ70" s="684"/>
      <c r="AXA70" s="684"/>
      <c r="AXB70" s="684"/>
      <c r="AXC70" s="684"/>
      <c r="AXD70" s="684"/>
      <c r="AXE70" s="684"/>
      <c r="AXF70" s="684"/>
      <c r="AXG70" s="684"/>
      <c r="AXH70" s="684"/>
      <c r="AXI70" s="684"/>
      <c r="AXJ70" s="684"/>
      <c r="AXK70" s="684"/>
      <c r="AXL70" s="684"/>
      <c r="AXM70" s="684"/>
      <c r="AXN70" s="684"/>
      <c r="AXO70" s="684"/>
      <c r="AXP70" s="684"/>
      <c r="AXQ70" s="684"/>
      <c r="AXR70" s="684"/>
      <c r="AXS70" s="684"/>
      <c r="AXT70" s="684"/>
      <c r="AXU70" s="684"/>
      <c r="AXV70" s="684"/>
      <c r="AXW70" s="684"/>
      <c r="AXX70" s="684"/>
      <c r="AXY70" s="684"/>
      <c r="AXZ70" s="684"/>
      <c r="AYA70" s="684"/>
      <c r="AYB70" s="684"/>
      <c r="AYC70" s="684"/>
      <c r="AYD70" s="684"/>
      <c r="AYE70" s="684"/>
      <c r="AYF70" s="684"/>
      <c r="AYG70" s="684"/>
      <c r="AYH70" s="684"/>
      <c r="AYI70" s="684"/>
      <c r="AYJ70" s="684"/>
      <c r="AYK70" s="684"/>
      <c r="AYL70" s="684"/>
      <c r="AYM70" s="684"/>
      <c r="AYN70" s="684"/>
      <c r="AYO70" s="684"/>
      <c r="AYP70" s="684"/>
      <c r="AYQ70" s="684"/>
      <c r="AYR70" s="684"/>
      <c r="AYS70" s="684"/>
      <c r="AYT70" s="684"/>
      <c r="AYU70" s="684"/>
      <c r="AYV70" s="684"/>
      <c r="AYW70" s="684"/>
      <c r="AYX70" s="684"/>
      <c r="AYY70" s="684"/>
      <c r="AYZ70" s="684"/>
      <c r="AZA70" s="684"/>
      <c r="AZB70" s="684"/>
      <c r="AZC70" s="684"/>
      <c r="AZD70" s="684"/>
      <c r="AZE70" s="684"/>
      <c r="AZF70" s="684"/>
      <c r="AZG70" s="684"/>
      <c r="AZH70" s="684"/>
      <c r="AZI70" s="684"/>
      <c r="AZJ70" s="684"/>
      <c r="AZK70" s="684"/>
      <c r="AZL70" s="684"/>
      <c r="AZM70" s="684"/>
      <c r="AZN70" s="684"/>
      <c r="AZO70" s="684"/>
      <c r="AZP70" s="684"/>
      <c r="AZQ70" s="684"/>
      <c r="AZR70" s="684"/>
      <c r="AZS70" s="684"/>
      <c r="AZT70" s="684"/>
      <c r="AZU70" s="684"/>
      <c r="AZV70" s="684"/>
      <c r="AZW70" s="684"/>
      <c r="AZX70" s="684"/>
      <c r="AZY70" s="684"/>
      <c r="AZZ70" s="684"/>
      <c r="BAA70" s="684"/>
      <c r="BAB70" s="684"/>
      <c r="BAC70" s="684"/>
      <c r="BAD70" s="684"/>
      <c r="BAE70" s="684"/>
      <c r="BAF70" s="684"/>
      <c r="BAG70" s="684"/>
      <c r="BAH70" s="684"/>
      <c r="BAI70" s="684"/>
      <c r="BAJ70" s="684"/>
      <c r="BAK70" s="684"/>
      <c r="BAL70" s="684"/>
      <c r="BAM70" s="684"/>
      <c r="BAN70" s="684"/>
      <c r="BAO70" s="684"/>
      <c r="BAP70" s="684"/>
      <c r="BAQ70" s="684"/>
      <c r="BAR70" s="684"/>
      <c r="BAS70" s="684"/>
      <c r="BAT70" s="684"/>
      <c r="BAU70" s="684"/>
      <c r="BAV70" s="684"/>
      <c r="BAW70" s="684"/>
      <c r="BAX70" s="684"/>
      <c r="BAY70" s="684"/>
      <c r="BAZ70" s="684"/>
      <c r="BBA70" s="684"/>
      <c r="BBB70" s="684"/>
      <c r="BBC70" s="684"/>
      <c r="BBD70" s="684"/>
      <c r="BBE70" s="684"/>
      <c r="BBF70" s="684"/>
      <c r="BBG70" s="684"/>
      <c r="BBH70" s="684"/>
      <c r="BBI70" s="684"/>
      <c r="BBJ70" s="684"/>
      <c r="BBK70" s="684"/>
      <c r="BBL70" s="684"/>
      <c r="BBM70" s="684"/>
      <c r="BBN70" s="684"/>
      <c r="BBO70" s="684"/>
      <c r="BBP70" s="684"/>
      <c r="BBQ70" s="684"/>
      <c r="BBR70" s="684"/>
      <c r="BBS70" s="684"/>
      <c r="BBT70" s="684"/>
      <c r="BBU70" s="684"/>
      <c r="BBV70" s="684"/>
      <c r="BBW70" s="684"/>
      <c r="BBX70" s="684"/>
      <c r="BBY70" s="684"/>
      <c r="BBZ70" s="684"/>
      <c r="BCA70" s="684"/>
      <c r="BCB70" s="684"/>
      <c r="BCC70" s="684"/>
      <c r="BCD70" s="684"/>
      <c r="BCE70" s="684"/>
      <c r="BCF70" s="684"/>
      <c r="BCG70" s="684"/>
      <c r="BCH70" s="684"/>
      <c r="BCI70" s="684"/>
      <c r="BCJ70" s="684"/>
      <c r="BCK70" s="684"/>
      <c r="BCL70" s="684"/>
      <c r="BCM70" s="684"/>
      <c r="BCN70" s="684"/>
      <c r="BCO70" s="684"/>
      <c r="BCP70" s="684"/>
      <c r="BCQ70" s="684"/>
      <c r="BCR70" s="684"/>
      <c r="BCS70" s="684"/>
      <c r="BCT70" s="684"/>
      <c r="BCU70" s="684"/>
      <c r="BCV70" s="684"/>
      <c r="BCW70" s="684"/>
      <c r="BCX70" s="684"/>
      <c r="BCY70" s="684"/>
      <c r="BCZ70" s="684"/>
      <c r="BDA70" s="684"/>
      <c r="BDB70" s="684"/>
      <c r="BDC70" s="684"/>
      <c r="BDD70" s="684"/>
      <c r="BDE70" s="684"/>
      <c r="BDF70" s="684"/>
      <c r="BDG70" s="684"/>
      <c r="BDH70" s="684"/>
      <c r="BDI70" s="684"/>
      <c r="BDJ70" s="684"/>
      <c r="BDK70" s="684"/>
      <c r="BDL70" s="684"/>
      <c r="BDM70" s="684"/>
      <c r="BDN70" s="684"/>
      <c r="BDO70" s="684"/>
      <c r="BDP70" s="684"/>
      <c r="BDQ70" s="684"/>
      <c r="BDR70" s="684"/>
      <c r="BDS70" s="684"/>
      <c r="BDT70" s="684"/>
      <c r="BDU70" s="684"/>
      <c r="BDV70" s="684"/>
      <c r="BDW70" s="684"/>
      <c r="BDX70" s="684"/>
      <c r="BDY70" s="684"/>
      <c r="BDZ70" s="684"/>
      <c r="BEA70" s="684"/>
      <c r="BEB70" s="684"/>
      <c r="BEC70" s="684"/>
      <c r="BED70" s="684"/>
      <c r="BEE70" s="684"/>
      <c r="BEF70" s="684"/>
      <c r="BEG70" s="684"/>
      <c r="BEH70" s="684"/>
      <c r="BEI70" s="684"/>
      <c r="BEJ70" s="684"/>
      <c r="BEK70" s="684"/>
      <c r="BEL70" s="684"/>
      <c r="BEM70" s="684"/>
      <c r="BEN70" s="684"/>
      <c r="BEO70" s="684"/>
      <c r="BEP70" s="684"/>
      <c r="BEQ70" s="684"/>
      <c r="BER70" s="684"/>
      <c r="BES70" s="684"/>
      <c r="BET70" s="684"/>
      <c r="BEU70" s="684"/>
      <c r="BEV70" s="684"/>
      <c r="BEW70" s="684"/>
      <c r="BEX70" s="684"/>
      <c r="BEY70" s="684"/>
      <c r="BEZ70" s="684"/>
      <c r="BFA70" s="684"/>
      <c r="BFB70" s="684"/>
      <c r="BFC70" s="684"/>
      <c r="BFD70" s="684"/>
      <c r="BFE70" s="684"/>
      <c r="BFF70" s="684"/>
      <c r="BFG70" s="684"/>
      <c r="BFH70" s="684"/>
      <c r="BFI70" s="684"/>
      <c r="BFJ70" s="684"/>
      <c r="BFK70" s="684"/>
      <c r="BFL70" s="684"/>
      <c r="BFM70" s="684"/>
      <c r="BFN70" s="684"/>
      <c r="BFO70" s="684"/>
      <c r="BFP70" s="684"/>
      <c r="BFQ70" s="684"/>
      <c r="BFR70" s="684"/>
      <c r="BFS70" s="684"/>
      <c r="BFT70" s="684"/>
      <c r="BFU70" s="684"/>
      <c r="BFV70" s="684"/>
      <c r="BFW70" s="684"/>
      <c r="BFX70" s="684"/>
      <c r="BFY70" s="684"/>
      <c r="BFZ70" s="684"/>
      <c r="BGA70" s="684"/>
      <c r="BGB70" s="684"/>
      <c r="BGC70" s="684"/>
      <c r="BGD70" s="684"/>
      <c r="BGE70" s="684"/>
      <c r="BGF70" s="684"/>
      <c r="BGG70" s="684"/>
      <c r="BGH70" s="684"/>
      <c r="BGI70" s="684"/>
      <c r="BGJ70" s="684"/>
      <c r="BGK70" s="684"/>
      <c r="BGL70" s="684"/>
      <c r="BGM70" s="684"/>
      <c r="BGN70" s="684"/>
      <c r="BGO70" s="684"/>
      <c r="BGP70" s="684"/>
      <c r="BGQ70" s="684"/>
      <c r="BGR70" s="684"/>
      <c r="BGS70" s="684"/>
      <c r="BGT70" s="684"/>
      <c r="BGU70" s="684"/>
      <c r="BGV70" s="684"/>
      <c r="BGW70" s="684"/>
      <c r="BGX70" s="684"/>
      <c r="BGY70" s="684"/>
      <c r="BGZ70" s="684"/>
      <c r="BHA70" s="684"/>
      <c r="BHB70" s="684"/>
      <c r="BHC70" s="684"/>
      <c r="BHD70" s="684"/>
      <c r="BHE70" s="684"/>
      <c r="BHF70" s="684"/>
      <c r="BHG70" s="684"/>
      <c r="BHH70" s="684"/>
      <c r="BHI70" s="684"/>
      <c r="BHJ70" s="684"/>
      <c r="BHK70" s="684"/>
      <c r="BHL70" s="684"/>
      <c r="BHM70" s="684"/>
      <c r="BHN70" s="684"/>
      <c r="BHO70" s="684"/>
      <c r="BHP70" s="684"/>
      <c r="BHQ70" s="684"/>
      <c r="BHR70" s="684"/>
      <c r="BHS70" s="684"/>
      <c r="BHT70" s="684"/>
      <c r="BHU70" s="684"/>
      <c r="BHV70" s="684"/>
      <c r="BHW70" s="684"/>
      <c r="BHX70" s="684"/>
      <c r="BHY70" s="684"/>
      <c r="BHZ70" s="684"/>
      <c r="BIA70" s="684"/>
      <c r="BIB70" s="684"/>
      <c r="BIC70" s="684"/>
      <c r="BID70" s="684"/>
      <c r="BIE70" s="684"/>
      <c r="BIF70" s="684"/>
      <c r="BIG70" s="684"/>
      <c r="BIH70" s="684"/>
      <c r="BII70" s="684"/>
      <c r="BIJ70" s="684"/>
      <c r="BIK70" s="684"/>
      <c r="BIL70" s="684"/>
      <c r="BIM70" s="684"/>
      <c r="BIN70" s="684"/>
      <c r="BIO70" s="684"/>
      <c r="BIP70" s="684"/>
      <c r="BIQ70" s="684"/>
      <c r="BIR70" s="684"/>
      <c r="BIS70" s="684"/>
      <c r="BIT70" s="684"/>
      <c r="BIU70" s="684"/>
      <c r="BIV70" s="684"/>
      <c r="BIW70" s="684"/>
      <c r="BIX70" s="684"/>
      <c r="BIY70" s="684"/>
      <c r="BIZ70" s="684"/>
      <c r="BJA70" s="684"/>
      <c r="BJB70" s="684"/>
      <c r="BJC70" s="684"/>
      <c r="BJD70" s="684"/>
      <c r="BJE70" s="684"/>
      <c r="BJF70" s="684"/>
      <c r="BJG70" s="684"/>
      <c r="BJH70" s="684"/>
      <c r="BJI70" s="684"/>
      <c r="BJJ70" s="684"/>
      <c r="BJK70" s="684"/>
      <c r="BJL70" s="684"/>
      <c r="BJM70" s="684"/>
      <c r="BJN70" s="684"/>
      <c r="BJO70" s="684"/>
      <c r="BJP70" s="684"/>
      <c r="BJQ70" s="684"/>
      <c r="BJR70" s="684"/>
      <c r="BJS70" s="684"/>
      <c r="BJT70" s="684"/>
      <c r="BJU70" s="684"/>
      <c r="BJV70" s="684"/>
      <c r="BJW70" s="684"/>
      <c r="BJX70" s="684"/>
      <c r="BJY70" s="684"/>
      <c r="BJZ70" s="684"/>
      <c r="BKA70" s="684"/>
      <c r="BKB70" s="684"/>
      <c r="BKC70" s="684"/>
      <c r="BKD70" s="684"/>
      <c r="BKE70" s="684"/>
      <c r="BKF70" s="684"/>
      <c r="BKG70" s="684"/>
      <c r="BKH70" s="684"/>
      <c r="BKI70" s="684"/>
      <c r="BKJ70" s="684"/>
      <c r="BKK70" s="684"/>
      <c r="BKL70" s="684"/>
      <c r="BKM70" s="684"/>
      <c r="BKN70" s="684"/>
      <c r="BKO70" s="684"/>
      <c r="BKP70" s="684"/>
      <c r="BKQ70" s="684"/>
      <c r="BKR70" s="684"/>
      <c r="BKS70" s="684"/>
      <c r="BKT70" s="684"/>
      <c r="BKU70" s="684"/>
      <c r="BKV70" s="684"/>
      <c r="BKW70" s="684"/>
      <c r="BKX70" s="684"/>
      <c r="BKY70" s="684"/>
      <c r="BKZ70" s="684"/>
      <c r="BLA70" s="684"/>
      <c r="BLB70" s="684"/>
      <c r="BLC70" s="684"/>
      <c r="BLD70" s="684"/>
      <c r="BLE70" s="684"/>
      <c r="BLF70" s="684"/>
      <c r="BLG70" s="684"/>
      <c r="BLH70" s="684"/>
      <c r="BLI70" s="684"/>
      <c r="BLJ70" s="684"/>
      <c r="BLK70" s="684"/>
      <c r="BLL70" s="684"/>
      <c r="BLM70" s="684"/>
      <c r="BLN70" s="684"/>
      <c r="BLO70" s="684"/>
      <c r="BLP70" s="684"/>
      <c r="BLQ70" s="684"/>
      <c r="BLR70" s="684"/>
      <c r="BLS70" s="684"/>
      <c r="BLT70" s="684"/>
      <c r="BLU70" s="684"/>
      <c r="BLV70" s="684"/>
      <c r="BLW70" s="684"/>
      <c r="BLX70" s="684"/>
      <c r="BLY70" s="684"/>
      <c r="BLZ70" s="684"/>
      <c r="BMA70" s="684"/>
      <c r="BMB70" s="684"/>
      <c r="BMC70" s="684"/>
      <c r="BMD70" s="684"/>
      <c r="BME70" s="684"/>
      <c r="BMF70" s="684"/>
      <c r="BMG70" s="684"/>
      <c r="BMH70" s="684"/>
      <c r="BMI70" s="684"/>
      <c r="BMJ70" s="684"/>
      <c r="BMK70" s="684"/>
      <c r="BML70" s="684"/>
      <c r="BMM70" s="684"/>
      <c r="BMN70" s="684"/>
      <c r="BMO70" s="684"/>
      <c r="BMP70" s="684"/>
      <c r="BMQ70" s="684"/>
      <c r="BMR70" s="684"/>
      <c r="BMS70" s="684"/>
      <c r="BMT70" s="684"/>
      <c r="BMU70" s="684"/>
      <c r="BMV70" s="684"/>
      <c r="BMW70" s="684"/>
      <c r="BMX70" s="684"/>
      <c r="BMY70" s="684"/>
      <c r="BMZ70" s="684"/>
      <c r="BNA70" s="684"/>
      <c r="BNB70" s="684"/>
      <c r="BNC70" s="684"/>
      <c r="BND70" s="684"/>
      <c r="BNE70" s="684"/>
      <c r="BNF70" s="684"/>
      <c r="BNG70" s="684"/>
      <c r="BNH70" s="684"/>
      <c r="BNI70" s="684"/>
      <c r="BNJ70" s="684"/>
      <c r="BNK70" s="684"/>
      <c r="BNL70" s="684"/>
      <c r="BNM70" s="684"/>
      <c r="BNN70" s="684"/>
      <c r="BNO70" s="684"/>
      <c r="BNP70" s="684"/>
      <c r="BNQ70" s="684"/>
      <c r="BNR70" s="684"/>
      <c r="BNS70" s="684"/>
      <c r="BNT70" s="684"/>
      <c r="BNU70" s="684"/>
      <c r="BNV70" s="684"/>
      <c r="BNW70" s="684"/>
      <c r="BNX70" s="684"/>
      <c r="BNY70" s="684"/>
      <c r="BNZ70" s="684"/>
      <c r="BOA70" s="684"/>
      <c r="BOB70" s="684"/>
      <c r="BOC70" s="684"/>
      <c r="BOD70" s="684"/>
      <c r="BOE70" s="684"/>
      <c r="BOF70" s="684"/>
      <c r="BOG70" s="684"/>
      <c r="BOH70" s="684"/>
      <c r="BOI70" s="684"/>
      <c r="BOJ70" s="684"/>
      <c r="BOK70" s="684"/>
      <c r="BOL70" s="684"/>
      <c r="BOM70" s="684"/>
      <c r="BON70" s="684"/>
      <c r="BOO70" s="684"/>
      <c r="BOP70" s="684"/>
      <c r="BOQ70" s="684"/>
      <c r="BOR70" s="684"/>
      <c r="BOS70" s="684"/>
      <c r="BOT70" s="684"/>
      <c r="BOU70" s="684"/>
      <c r="BOV70" s="684"/>
      <c r="BOW70" s="684"/>
      <c r="BOX70" s="684"/>
      <c r="BOY70" s="684"/>
      <c r="BOZ70" s="684"/>
      <c r="BPA70" s="684"/>
      <c r="BPB70" s="684"/>
      <c r="BPC70" s="684"/>
      <c r="BPD70" s="684"/>
      <c r="BPE70" s="684"/>
      <c r="BPF70" s="684"/>
      <c r="BPG70" s="684"/>
      <c r="BPH70" s="684"/>
      <c r="BPI70" s="684"/>
      <c r="BPJ70" s="684"/>
      <c r="BPK70" s="684"/>
      <c r="BPL70" s="684"/>
      <c r="BPM70" s="684"/>
      <c r="BPN70" s="684"/>
      <c r="BPO70" s="684"/>
      <c r="BPP70" s="684"/>
      <c r="BPQ70" s="684"/>
      <c r="BPR70" s="684"/>
      <c r="BPS70" s="684"/>
      <c r="BPT70" s="684"/>
      <c r="BPU70" s="684"/>
      <c r="BPV70" s="684"/>
      <c r="BPW70" s="684"/>
      <c r="BPX70" s="684"/>
      <c r="BPY70" s="684"/>
      <c r="BPZ70" s="684"/>
      <c r="BQA70" s="684"/>
      <c r="BQB70" s="684"/>
      <c r="BQC70" s="684"/>
      <c r="BQD70" s="684"/>
      <c r="BQE70" s="684"/>
      <c r="BQF70" s="684"/>
      <c r="BQG70" s="684"/>
      <c r="BQH70" s="684"/>
      <c r="BQI70" s="684"/>
      <c r="BQJ70" s="684"/>
      <c r="BQK70" s="684"/>
      <c r="BQL70" s="684"/>
      <c r="BQM70" s="684"/>
      <c r="BQN70" s="684"/>
      <c r="BQO70" s="684"/>
      <c r="BQP70" s="684"/>
      <c r="BQQ70" s="684"/>
      <c r="BQR70" s="684"/>
      <c r="BQS70" s="684"/>
      <c r="BQT70" s="684"/>
      <c r="BQU70" s="684"/>
      <c r="BQV70" s="684"/>
      <c r="BQW70" s="684"/>
      <c r="BQX70" s="684"/>
      <c r="BQY70" s="684"/>
      <c r="BQZ70" s="684"/>
      <c r="BRA70" s="684"/>
      <c r="BRB70" s="684"/>
      <c r="BRC70" s="684"/>
      <c r="BRD70" s="684"/>
      <c r="BRE70" s="684"/>
      <c r="BRF70" s="684"/>
      <c r="BRG70" s="684"/>
      <c r="BRH70" s="684"/>
      <c r="BRI70" s="684"/>
      <c r="BRJ70" s="684"/>
      <c r="BRK70" s="684"/>
      <c r="BRL70" s="684"/>
      <c r="BRM70" s="684"/>
      <c r="BRN70" s="684"/>
      <c r="BRO70" s="684"/>
      <c r="BRP70" s="684"/>
      <c r="BRQ70" s="684"/>
      <c r="BRR70" s="684"/>
      <c r="BRS70" s="684"/>
      <c r="BRT70" s="684"/>
      <c r="BRU70" s="684"/>
      <c r="BRV70" s="684"/>
      <c r="BRW70" s="684"/>
      <c r="BRX70" s="684"/>
      <c r="BRY70" s="684"/>
      <c r="BRZ70" s="684"/>
      <c r="BSA70" s="684"/>
      <c r="BSB70" s="684"/>
      <c r="BSC70" s="684"/>
      <c r="BSD70" s="684"/>
      <c r="BSE70" s="684"/>
      <c r="BSF70" s="684"/>
      <c r="BSG70" s="684"/>
      <c r="BSH70" s="684"/>
      <c r="BSI70" s="684"/>
      <c r="BSJ70" s="684"/>
      <c r="BSK70" s="684"/>
      <c r="BSL70" s="684"/>
      <c r="BSM70" s="684"/>
      <c r="BSN70" s="684"/>
      <c r="BSO70" s="684"/>
      <c r="BSP70" s="684"/>
      <c r="BSQ70" s="684"/>
      <c r="BSR70" s="684"/>
      <c r="BSS70" s="684"/>
      <c r="BST70" s="684"/>
      <c r="BSU70" s="684"/>
      <c r="BSV70" s="684"/>
      <c r="BSW70" s="684"/>
      <c r="BSX70" s="684"/>
      <c r="BSY70" s="684"/>
      <c r="BSZ70" s="684"/>
      <c r="BTA70" s="684"/>
      <c r="BTB70" s="684"/>
      <c r="BTC70" s="684"/>
      <c r="BTD70" s="684"/>
      <c r="BTE70" s="684"/>
      <c r="BTF70" s="684"/>
      <c r="BTG70" s="684"/>
      <c r="BTH70" s="684"/>
      <c r="BTI70" s="684"/>
      <c r="BTJ70" s="684"/>
      <c r="BTK70" s="684"/>
      <c r="BTL70" s="684"/>
      <c r="BTM70" s="684"/>
      <c r="BTN70" s="684"/>
      <c r="BTO70" s="684"/>
      <c r="BTP70" s="684"/>
      <c r="BTQ70" s="684"/>
      <c r="BTR70" s="684"/>
      <c r="BTS70" s="684"/>
      <c r="BTT70" s="684"/>
      <c r="BTU70" s="684"/>
      <c r="BTV70" s="684"/>
      <c r="BTW70" s="684"/>
      <c r="BTX70" s="684"/>
      <c r="BTY70" s="684"/>
      <c r="BTZ70" s="684"/>
      <c r="BUA70" s="684"/>
      <c r="BUB70" s="684"/>
      <c r="BUC70" s="684"/>
      <c r="BUD70" s="684"/>
      <c r="BUE70" s="684"/>
      <c r="BUF70" s="684"/>
      <c r="BUG70" s="684"/>
      <c r="BUH70" s="684"/>
      <c r="BUI70" s="684"/>
      <c r="BUJ70" s="684"/>
      <c r="BUK70" s="684"/>
      <c r="BUL70" s="684"/>
      <c r="BUM70" s="684"/>
      <c r="BUN70" s="684"/>
      <c r="BUO70" s="684"/>
      <c r="BUP70" s="684"/>
      <c r="BUQ70" s="684"/>
      <c r="BUR70" s="684"/>
      <c r="BUS70" s="684"/>
      <c r="BUT70" s="684"/>
      <c r="BUU70" s="684"/>
      <c r="BUV70" s="684"/>
      <c r="BUW70" s="684"/>
      <c r="BUX70" s="684"/>
      <c r="BUY70" s="684"/>
      <c r="BUZ70" s="684"/>
      <c r="BVA70" s="684"/>
      <c r="BVB70" s="684"/>
      <c r="BVC70" s="684"/>
      <c r="BVD70" s="684"/>
      <c r="BVE70" s="684"/>
      <c r="BVF70" s="684"/>
      <c r="BVG70" s="684"/>
      <c r="BVH70" s="684"/>
      <c r="BVI70" s="684"/>
      <c r="BVJ70" s="684"/>
      <c r="BVK70" s="684"/>
      <c r="BVL70" s="684"/>
      <c r="BVM70" s="684"/>
      <c r="BVN70" s="684"/>
      <c r="BVO70" s="684"/>
      <c r="BVP70" s="684"/>
      <c r="BVQ70" s="684"/>
      <c r="BVR70" s="684"/>
      <c r="BVS70" s="684"/>
      <c r="BVT70" s="684"/>
      <c r="BVU70" s="684"/>
      <c r="BVV70" s="684"/>
      <c r="BVW70" s="684"/>
      <c r="BVX70" s="684"/>
      <c r="BVY70" s="684"/>
      <c r="BVZ70" s="684"/>
      <c r="BWA70" s="684"/>
      <c r="BWB70" s="684"/>
      <c r="BWC70" s="684"/>
      <c r="BWD70" s="684"/>
      <c r="BWE70" s="684"/>
      <c r="BWF70" s="684"/>
      <c r="BWG70" s="684"/>
      <c r="BWH70" s="684"/>
      <c r="BWI70" s="684"/>
      <c r="BWJ70" s="684"/>
      <c r="BWK70" s="684"/>
      <c r="BWL70" s="684"/>
      <c r="BWM70" s="684"/>
      <c r="BWN70" s="684"/>
      <c r="BWO70" s="684"/>
      <c r="BWP70" s="684"/>
      <c r="BWQ70" s="684"/>
      <c r="BWR70" s="684"/>
      <c r="BWS70" s="684"/>
      <c r="BWT70" s="684"/>
      <c r="BWU70" s="684"/>
      <c r="BWV70" s="684"/>
      <c r="BWW70" s="684"/>
      <c r="BWX70" s="684"/>
      <c r="BWY70" s="684"/>
      <c r="BWZ70" s="684"/>
      <c r="BXA70" s="684"/>
      <c r="BXB70" s="684"/>
      <c r="BXC70" s="684"/>
      <c r="BXD70" s="684"/>
      <c r="BXE70" s="684"/>
      <c r="BXF70" s="684"/>
      <c r="BXG70" s="684"/>
      <c r="BXH70" s="684"/>
      <c r="BXI70" s="684"/>
      <c r="BXJ70" s="684"/>
      <c r="BXK70" s="684"/>
      <c r="BXL70" s="684"/>
      <c r="BXM70" s="684"/>
      <c r="BXN70" s="684"/>
      <c r="BXO70" s="684"/>
      <c r="BXP70" s="684"/>
      <c r="BXQ70" s="684"/>
      <c r="BXR70" s="684"/>
      <c r="BXS70" s="684"/>
      <c r="BXT70" s="684"/>
      <c r="BXU70" s="684"/>
      <c r="BXV70" s="684"/>
      <c r="BXW70" s="684"/>
      <c r="BXX70" s="684"/>
      <c r="BXY70" s="684"/>
      <c r="BXZ70" s="684"/>
      <c r="BYA70" s="684"/>
      <c r="BYB70" s="684"/>
      <c r="BYC70" s="684"/>
      <c r="BYD70" s="684"/>
      <c r="BYE70" s="684"/>
      <c r="BYF70" s="684"/>
      <c r="BYG70" s="684"/>
      <c r="BYH70" s="684"/>
      <c r="BYI70" s="684"/>
      <c r="BYJ70" s="684"/>
      <c r="BYK70" s="684"/>
      <c r="BYL70" s="684"/>
      <c r="BYM70" s="684"/>
      <c r="BYN70" s="684"/>
      <c r="BYO70" s="684"/>
      <c r="BYP70" s="684"/>
      <c r="BYQ70" s="684"/>
      <c r="BYR70" s="684"/>
      <c r="BYS70" s="684"/>
      <c r="BYT70" s="684"/>
      <c r="BYU70" s="684"/>
      <c r="BYV70" s="684"/>
      <c r="BYW70" s="684"/>
      <c r="BYX70" s="684"/>
      <c r="BYY70" s="684"/>
      <c r="BYZ70" s="684"/>
      <c r="BZA70" s="684"/>
      <c r="BZB70" s="684"/>
      <c r="BZC70" s="684"/>
      <c r="BZD70" s="684"/>
      <c r="BZE70" s="684"/>
      <c r="BZF70" s="684"/>
      <c r="BZG70" s="684"/>
      <c r="BZH70" s="684"/>
      <c r="BZI70" s="684"/>
      <c r="BZJ70" s="684"/>
      <c r="BZK70" s="684"/>
      <c r="BZL70" s="684"/>
      <c r="BZM70" s="684"/>
      <c r="BZN70" s="684"/>
      <c r="BZO70" s="684"/>
      <c r="BZP70" s="684"/>
      <c r="BZQ70" s="684"/>
      <c r="BZR70" s="684"/>
      <c r="BZS70" s="684"/>
      <c r="BZT70" s="684"/>
      <c r="BZU70" s="684"/>
      <c r="BZV70" s="684"/>
      <c r="BZW70" s="684"/>
      <c r="BZX70" s="684"/>
      <c r="BZY70" s="684"/>
      <c r="BZZ70" s="684"/>
      <c r="CAA70" s="684"/>
      <c r="CAB70" s="684"/>
      <c r="CAC70" s="684"/>
      <c r="CAD70" s="684"/>
      <c r="CAE70" s="684"/>
      <c r="CAF70" s="684"/>
      <c r="CAG70" s="684"/>
      <c r="CAH70" s="684"/>
      <c r="CAI70" s="684"/>
      <c r="CAJ70" s="684"/>
      <c r="CAK70" s="684"/>
      <c r="CAL70" s="684"/>
      <c r="CAM70" s="684"/>
      <c r="CAN70" s="684"/>
      <c r="CAO70" s="684"/>
      <c r="CAP70" s="684"/>
      <c r="CAQ70" s="684"/>
      <c r="CAR70" s="684"/>
      <c r="CAS70" s="684"/>
      <c r="CAT70" s="684"/>
      <c r="CAU70" s="684"/>
      <c r="CAV70" s="684"/>
      <c r="CAW70" s="684"/>
      <c r="CAX70" s="684"/>
      <c r="CAY70" s="684"/>
      <c r="CAZ70" s="684"/>
      <c r="CBA70" s="684"/>
      <c r="CBB70" s="684"/>
      <c r="CBC70" s="684"/>
      <c r="CBD70" s="684"/>
      <c r="CBE70" s="684"/>
      <c r="CBF70" s="684"/>
      <c r="CBG70" s="684"/>
      <c r="CBH70" s="684"/>
      <c r="CBI70" s="684"/>
      <c r="CBJ70" s="684"/>
      <c r="CBK70" s="684"/>
      <c r="CBL70" s="684"/>
      <c r="CBM70" s="684"/>
      <c r="CBN70" s="684"/>
      <c r="CBO70" s="684"/>
      <c r="CBP70" s="684"/>
      <c r="CBQ70" s="684"/>
      <c r="CBR70" s="684"/>
      <c r="CBS70" s="684"/>
      <c r="CBT70" s="684"/>
      <c r="CBU70" s="684"/>
      <c r="CBV70" s="684"/>
      <c r="CBW70" s="684"/>
      <c r="CBX70" s="684"/>
      <c r="CBY70" s="684"/>
      <c r="CBZ70" s="684"/>
      <c r="CCA70" s="684"/>
      <c r="CCB70" s="684"/>
      <c r="CCC70" s="684"/>
      <c r="CCD70" s="684"/>
      <c r="CCE70" s="684"/>
      <c r="CCF70" s="684"/>
      <c r="CCG70" s="684"/>
      <c r="CCH70" s="684"/>
      <c r="CCI70" s="684"/>
      <c r="CCJ70" s="684"/>
      <c r="CCK70" s="684"/>
      <c r="CCL70" s="684"/>
      <c r="CCM70" s="684"/>
      <c r="CCN70" s="684"/>
      <c r="CCO70" s="684"/>
      <c r="CCP70" s="684"/>
      <c r="CCQ70" s="684"/>
      <c r="CCR70" s="684"/>
      <c r="CCS70" s="684"/>
      <c r="CCT70" s="684"/>
      <c r="CCU70" s="684"/>
      <c r="CCV70" s="684"/>
      <c r="CCW70" s="684"/>
      <c r="CCX70" s="684"/>
      <c r="CCY70" s="684"/>
      <c r="CCZ70" s="684"/>
      <c r="CDA70" s="684"/>
      <c r="CDB70" s="684"/>
      <c r="CDC70" s="684"/>
      <c r="CDD70" s="684"/>
      <c r="CDE70" s="684"/>
      <c r="CDF70" s="684"/>
      <c r="CDG70" s="684"/>
      <c r="CDH70" s="684"/>
      <c r="CDI70" s="684"/>
      <c r="CDJ70" s="684"/>
      <c r="CDK70" s="684"/>
      <c r="CDL70" s="684"/>
      <c r="CDM70" s="684"/>
      <c r="CDN70" s="684"/>
      <c r="CDO70" s="684"/>
      <c r="CDP70" s="684"/>
      <c r="CDQ70" s="684"/>
      <c r="CDR70" s="684"/>
      <c r="CDS70" s="684"/>
      <c r="CDT70" s="684"/>
      <c r="CDU70" s="684"/>
      <c r="CDV70" s="684"/>
      <c r="CDW70" s="684"/>
      <c r="CDX70" s="684"/>
      <c r="CDY70" s="684"/>
      <c r="CDZ70" s="684"/>
      <c r="CEA70" s="684"/>
      <c r="CEB70" s="684"/>
      <c r="CEC70" s="684"/>
      <c r="CED70" s="684"/>
      <c r="CEE70" s="684"/>
      <c r="CEF70" s="684"/>
      <c r="CEG70" s="684"/>
      <c r="CEH70" s="684"/>
      <c r="CEI70" s="684"/>
      <c r="CEJ70" s="684"/>
      <c r="CEK70" s="684"/>
      <c r="CEL70" s="684"/>
      <c r="CEM70" s="684"/>
      <c r="CEN70" s="684"/>
      <c r="CEO70" s="684"/>
      <c r="CEP70" s="684"/>
      <c r="CEQ70" s="684"/>
      <c r="CER70" s="684"/>
      <c r="CES70" s="684"/>
      <c r="CET70" s="684"/>
      <c r="CEU70" s="684"/>
      <c r="CEV70" s="684"/>
      <c r="CEW70" s="684"/>
      <c r="CEX70" s="684"/>
      <c r="CEY70" s="684"/>
      <c r="CEZ70" s="684"/>
      <c r="CFA70" s="684"/>
      <c r="CFB70" s="684"/>
      <c r="CFC70" s="684"/>
      <c r="CFD70" s="684"/>
      <c r="CFE70" s="684"/>
      <c r="CFF70" s="684"/>
      <c r="CFG70" s="684"/>
      <c r="CFH70" s="684"/>
      <c r="CFI70" s="684"/>
      <c r="CFJ70" s="684"/>
      <c r="CFK70" s="684"/>
      <c r="CFL70" s="684"/>
      <c r="CFM70" s="684"/>
      <c r="CFN70" s="684"/>
      <c r="CFO70" s="684"/>
      <c r="CFP70" s="684"/>
      <c r="CFQ70" s="684"/>
      <c r="CFR70" s="684"/>
      <c r="CFS70" s="684"/>
      <c r="CFT70" s="684"/>
      <c r="CFU70" s="684"/>
      <c r="CFV70" s="684"/>
      <c r="CFW70" s="684"/>
      <c r="CFX70" s="684"/>
      <c r="CFY70" s="684"/>
      <c r="CFZ70" s="684"/>
      <c r="CGA70" s="684"/>
      <c r="CGB70" s="684"/>
      <c r="CGC70" s="684"/>
      <c r="CGD70" s="684"/>
      <c r="CGE70" s="684"/>
      <c r="CGF70" s="684"/>
      <c r="CGG70" s="684"/>
      <c r="CGH70" s="684"/>
      <c r="CGI70" s="684"/>
      <c r="CGJ70" s="684"/>
      <c r="CGK70" s="684"/>
      <c r="CGL70" s="684"/>
      <c r="CGM70" s="684"/>
      <c r="CGN70" s="684"/>
      <c r="CGO70" s="684"/>
      <c r="CGP70" s="684"/>
      <c r="CGQ70" s="684"/>
      <c r="CGR70" s="684"/>
      <c r="CGS70" s="684"/>
      <c r="CGT70" s="684"/>
      <c r="CGU70" s="684"/>
      <c r="CGV70" s="684"/>
      <c r="CGW70" s="684"/>
      <c r="CGX70" s="684"/>
      <c r="CGY70" s="684"/>
      <c r="CGZ70" s="684"/>
      <c r="CHA70" s="684"/>
      <c r="CHB70" s="684"/>
      <c r="CHC70" s="684"/>
      <c r="CHD70" s="684"/>
      <c r="CHE70" s="684"/>
      <c r="CHF70" s="684"/>
      <c r="CHG70" s="684"/>
      <c r="CHH70" s="684"/>
      <c r="CHI70" s="684"/>
      <c r="CHJ70" s="684"/>
      <c r="CHK70" s="684"/>
      <c r="CHL70" s="684"/>
      <c r="CHM70" s="684"/>
      <c r="CHN70" s="684"/>
      <c r="CHO70" s="684"/>
      <c r="CHP70" s="684"/>
      <c r="CHQ70" s="684"/>
      <c r="CHR70" s="684"/>
      <c r="CHS70" s="684"/>
      <c r="CHT70" s="684"/>
      <c r="CHU70" s="684"/>
      <c r="CHV70" s="684"/>
      <c r="CHW70" s="684"/>
      <c r="CHX70" s="684"/>
      <c r="CHY70" s="684"/>
      <c r="CHZ70" s="684"/>
      <c r="CIA70" s="684"/>
      <c r="CIB70" s="684"/>
      <c r="CIC70" s="684"/>
      <c r="CID70" s="684"/>
      <c r="CIE70" s="684"/>
      <c r="CIF70" s="684"/>
      <c r="CIG70" s="684"/>
      <c r="CIH70" s="684"/>
      <c r="CII70" s="684"/>
      <c r="CIJ70" s="684"/>
      <c r="CIK70" s="684"/>
      <c r="CIL70" s="684"/>
      <c r="CIM70" s="684"/>
      <c r="CIN70" s="684"/>
      <c r="CIO70" s="684"/>
      <c r="CIP70" s="684"/>
      <c r="CIQ70" s="684"/>
      <c r="CIR70" s="684"/>
      <c r="CIS70" s="684"/>
      <c r="CIT70" s="684"/>
      <c r="CIU70" s="684"/>
      <c r="CIV70" s="684"/>
      <c r="CIW70" s="684"/>
      <c r="CIX70" s="684"/>
      <c r="CIY70" s="684"/>
      <c r="CIZ70" s="684"/>
      <c r="CJA70" s="684"/>
      <c r="CJB70" s="684"/>
      <c r="CJC70" s="684"/>
      <c r="CJD70" s="684"/>
      <c r="CJE70" s="684"/>
      <c r="CJF70" s="684"/>
      <c r="CJG70" s="684"/>
      <c r="CJH70" s="684"/>
      <c r="CJI70" s="684"/>
      <c r="CJJ70" s="684"/>
      <c r="CJK70" s="684"/>
      <c r="CJL70" s="684"/>
      <c r="CJM70" s="684"/>
      <c r="CJN70" s="684"/>
      <c r="CJO70" s="684"/>
      <c r="CJP70" s="684"/>
      <c r="CJQ70" s="684"/>
      <c r="CJR70" s="684"/>
      <c r="CJS70" s="684"/>
      <c r="CJT70" s="684"/>
      <c r="CJU70" s="684"/>
      <c r="CJV70" s="684"/>
      <c r="CJW70" s="684"/>
      <c r="CJX70" s="684"/>
      <c r="CJY70" s="684"/>
      <c r="CJZ70" s="684"/>
      <c r="CKA70" s="684"/>
      <c r="CKB70" s="684"/>
      <c r="CKC70" s="684"/>
      <c r="CKD70" s="684"/>
      <c r="CKE70" s="684"/>
      <c r="CKF70" s="684"/>
      <c r="CKG70" s="684"/>
      <c r="CKH70" s="684"/>
      <c r="CKI70" s="684"/>
      <c r="CKJ70" s="684"/>
      <c r="CKK70" s="684"/>
      <c r="CKL70" s="684"/>
      <c r="CKM70" s="684"/>
      <c r="CKN70" s="684"/>
      <c r="CKO70" s="684"/>
      <c r="CKP70" s="684"/>
      <c r="CKQ70" s="684"/>
      <c r="CKR70" s="684"/>
      <c r="CKS70" s="684"/>
      <c r="CKT70" s="684"/>
      <c r="CKU70" s="684"/>
      <c r="CKV70" s="684"/>
      <c r="CKW70" s="684"/>
      <c r="CKX70" s="684"/>
      <c r="CKY70" s="684"/>
      <c r="CKZ70" s="684"/>
      <c r="CLA70" s="684"/>
      <c r="CLB70" s="684"/>
      <c r="CLC70" s="684"/>
      <c r="CLD70" s="684"/>
      <c r="CLE70" s="684"/>
      <c r="CLF70" s="684"/>
      <c r="CLG70" s="684"/>
      <c r="CLH70" s="684"/>
      <c r="CLI70" s="684"/>
      <c r="CLJ70" s="684"/>
      <c r="CLK70" s="684"/>
      <c r="CLL70" s="684"/>
      <c r="CLM70" s="684"/>
      <c r="CLN70" s="684"/>
      <c r="CLO70" s="684"/>
      <c r="CLP70" s="684"/>
      <c r="CLQ70" s="684"/>
      <c r="CLR70" s="684"/>
      <c r="CLS70" s="684"/>
      <c r="CLT70" s="684"/>
      <c r="CLU70" s="684"/>
      <c r="CLV70" s="684"/>
      <c r="CLW70" s="684"/>
      <c r="CLX70" s="684"/>
      <c r="CLY70" s="684"/>
      <c r="CLZ70" s="684"/>
      <c r="CMA70" s="684"/>
      <c r="CMB70" s="684"/>
      <c r="CMC70" s="684"/>
      <c r="CMD70" s="684"/>
      <c r="CME70" s="684"/>
      <c r="CMF70" s="684"/>
      <c r="CMG70" s="684"/>
      <c r="CMH70" s="684"/>
      <c r="CMI70" s="684"/>
      <c r="CMJ70" s="684"/>
      <c r="CMK70" s="684"/>
      <c r="CML70" s="684"/>
      <c r="CMM70" s="684"/>
      <c r="CMN70" s="684"/>
      <c r="CMO70" s="684"/>
      <c r="CMP70" s="684"/>
      <c r="CMQ70" s="684"/>
      <c r="CMR70" s="684"/>
      <c r="CMS70" s="684"/>
      <c r="CMT70" s="684"/>
      <c r="CMU70" s="684"/>
      <c r="CMV70" s="684"/>
      <c r="CMW70" s="684"/>
      <c r="CMX70" s="684"/>
      <c r="CMY70" s="684"/>
      <c r="CMZ70" s="684"/>
      <c r="CNA70" s="684"/>
      <c r="CNB70" s="684"/>
      <c r="CNC70" s="684"/>
      <c r="CND70" s="684"/>
      <c r="CNE70" s="684"/>
      <c r="CNF70" s="684"/>
      <c r="CNG70" s="684"/>
      <c r="CNH70" s="684"/>
      <c r="CNI70" s="684"/>
      <c r="CNJ70" s="684"/>
      <c r="CNK70" s="684"/>
      <c r="CNL70" s="684"/>
      <c r="CNM70" s="684"/>
      <c r="CNN70" s="684"/>
      <c r="CNO70" s="684"/>
      <c r="CNP70" s="684"/>
      <c r="CNQ70" s="684"/>
      <c r="CNR70" s="684"/>
      <c r="CNS70" s="684"/>
      <c r="CNT70" s="684"/>
      <c r="CNU70" s="684"/>
      <c r="CNV70" s="684"/>
      <c r="CNW70" s="684"/>
      <c r="CNX70" s="684"/>
      <c r="CNY70" s="684"/>
      <c r="CNZ70" s="684"/>
      <c r="COA70" s="684"/>
      <c r="COB70" s="684"/>
      <c r="COC70" s="684"/>
      <c r="COD70" s="684"/>
      <c r="COE70" s="684"/>
      <c r="COF70" s="684"/>
      <c r="COG70" s="684"/>
      <c r="COH70" s="684"/>
      <c r="COI70" s="684"/>
      <c r="COJ70" s="684"/>
      <c r="COK70" s="684"/>
      <c r="COL70" s="684"/>
      <c r="COM70" s="684"/>
      <c r="CON70" s="684"/>
      <c r="COO70" s="684"/>
      <c r="COP70" s="684"/>
      <c r="COQ70" s="684"/>
      <c r="COR70" s="684"/>
      <c r="COS70" s="684"/>
      <c r="COT70" s="684"/>
      <c r="COU70" s="684"/>
      <c r="COV70" s="684"/>
      <c r="COW70" s="684"/>
      <c r="COX70" s="684"/>
      <c r="COY70" s="684"/>
      <c r="COZ70" s="684"/>
      <c r="CPA70" s="684"/>
      <c r="CPB70" s="684"/>
      <c r="CPC70" s="684"/>
      <c r="CPD70" s="684"/>
      <c r="CPE70" s="684"/>
      <c r="CPF70" s="684"/>
      <c r="CPG70" s="684"/>
      <c r="CPH70" s="684"/>
      <c r="CPI70" s="684"/>
      <c r="CPJ70" s="684"/>
      <c r="CPK70" s="684"/>
      <c r="CPL70" s="684"/>
      <c r="CPM70" s="684"/>
      <c r="CPN70" s="684"/>
      <c r="CPO70" s="684"/>
      <c r="CPP70" s="684"/>
      <c r="CPQ70" s="684"/>
      <c r="CPR70" s="684"/>
      <c r="CPS70" s="684"/>
      <c r="CPT70" s="684"/>
      <c r="CPU70" s="684"/>
      <c r="CPV70" s="684"/>
      <c r="CPW70" s="684"/>
      <c r="CPX70" s="684"/>
      <c r="CPY70" s="684"/>
      <c r="CPZ70" s="684"/>
      <c r="CQA70" s="684"/>
      <c r="CQB70" s="684"/>
      <c r="CQC70" s="684"/>
      <c r="CQD70" s="684"/>
      <c r="CQE70" s="684"/>
      <c r="CQF70" s="684"/>
      <c r="CQG70" s="684"/>
      <c r="CQH70" s="684"/>
      <c r="CQI70" s="684"/>
      <c r="CQJ70" s="684"/>
      <c r="CQK70" s="684"/>
      <c r="CQL70" s="684"/>
      <c r="CQM70" s="684"/>
      <c r="CQN70" s="684"/>
      <c r="CQO70" s="684"/>
      <c r="CQP70" s="684"/>
      <c r="CQQ70" s="684"/>
      <c r="CQR70" s="684"/>
      <c r="CQS70" s="684"/>
      <c r="CQT70" s="684"/>
      <c r="CQU70" s="684"/>
      <c r="CQV70" s="684"/>
      <c r="CQW70" s="684"/>
      <c r="CQX70" s="684"/>
      <c r="CQY70" s="684"/>
      <c r="CQZ70" s="684"/>
      <c r="CRA70" s="684"/>
      <c r="CRB70" s="684"/>
      <c r="CRC70" s="684"/>
      <c r="CRD70" s="684"/>
      <c r="CRE70" s="684"/>
      <c r="CRF70" s="684"/>
      <c r="CRG70" s="684"/>
      <c r="CRH70" s="684"/>
      <c r="CRI70" s="684"/>
      <c r="CRJ70" s="684"/>
      <c r="CRK70" s="684"/>
      <c r="CRL70" s="684"/>
      <c r="CRM70" s="684"/>
      <c r="CRN70" s="684"/>
      <c r="CRO70" s="684"/>
      <c r="CRP70" s="684"/>
      <c r="CRQ70" s="684"/>
      <c r="CRR70" s="684"/>
      <c r="CRS70" s="684"/>
      <c r="CRT70" s="684"/>
      <c r="CRU70" s="684"/>
      <c r="CRV70" s="684"/>
      <c r="CRW70" s="684"/>
      <c r="CRX70" s="684"/>
      <c r="CRY70" s="684"/>
      <c r="CRZ70" s="684"/>
      <c r="CSA70" s="684"/>
      <c r="CSB70" s="684"/>
      <c r="CSC70" s="684"/>
      <c r="CSD70" s="684"/>
      <c r="CSE70" s="684"/>
      <c r="CSF70" s="684"/>
      <c r="CSG70" s="684"/>
      <c r="CSH70" s="684"/>
      <c r="CSI70" s="684"/>
      <c r="CSJ70" s="684"/>
      <c r="CSK70" s="684"/>
      <c r="CSL70" s="684"/>
      <c r="CSM70" s="684"/>
      <c r="CSN70" s="684"/>
      <c r="CSO70" s="684"/>
      <c r="CSP70" s="684"/>
      <c r="CSQ70" s="684"/>
      <c r="CSR70" s="684"/>
      <c r="CSS70" s="684"/>
      <c r="CST70" s="684"/>
      <c r="CSU70" s="684"/>
      <c r="CSV70" s="684"/>
      <c r="CSW70" s="684"/>
      <c r="CSX70" s="684"/>
      <c r="CSY70" s="684"/>
      <c r="CSZ70" s="684"/>
      <c r="CTA70" s="684"/>
      <c r="CTB70" s="684"/>
      <c r="CTC70" s="684"/>
      <c r="CTD70" s="684"/>
      <c r="CTE70" s="684"/>
      <c r="CTF70" s="684"/>
      <c r="CTG70" s="684"/>
      <c r="CTH70" s="684"/>
      <c r="CTI70" s="684"/>
      <c r="CTJ70" s="684"/>
      <c r="CTK70" s="684"/>
      <c r="CTL70" s="684"/>
      <c r="CTM70" s="684"/>
      <c r="CTN70" s="684"/>
      <c r="CTO70" s="684"/>
      <c r="CTP70" s="684"/>
      <c r="CTQ70" s="684"/>
      <c r="CTR70" s="684"/>
      <c r="CTS70" s="684"/>
      <c r="CTT70" s="684"/>
      <c r="CTU70" s="684"/>
      <c r="CTV70" s="684"/>
      <c r="CTW70" s="684"/>
      <c r="CTX70" s="684"/>
      <c r="CTY70" s="684"/>
      <c r="CTZ70" s="684"/>
      <c r="CUA70" s="684"/>
      <c r="CUB70" s="684"/>
      <c r="CUC70" s="684"/>
      <c r="CUD70" s="684"/>
      <c r="CUE70" s="684"/>
      <c r="CUF70" s="684"/>
      <c r="CUG70" s="684"/>
      <c r="CUH70" s="684"/>
      <c r="CUI70" s="684"/>
      <c r="CUJ70" s="684"/>
      <c r="CUK70" s="684"/>
      <c r="CUL70" s="684"/>
      <c r="CUM70" s="684"/>
      <c r="CUN70" s="684"/>
      <c r="CUO70" s="684"/>
      <c r="CUP70" s="684"/>
      <c r="CUQ70" s="684"/>
      <c r="CUR70" s="684"/>
      <c r="CUS70" s="684"/>
      <c r="CUT70" s="684"/>
      <c r="CUU70" s="684"/>
      <c r="CUV70" s="684"/>
      <c r="CUW70" s="684"/>
      <c r="CUX70" s="684"/>
      <c r="CUY70" s="684"/>
      <c r="CUZ70" s="684"/>
      <c r="CVA70" s="684"/>
      <c r="CVB70" s="684"/>
      <c r="CVC70" s="684"/>
      <c r="CVD70" s="684"/>
      <c r="CVE70" s="684"/>
      <c r="CVF70" s="684"/>
      <c r="CVG70" s="684"/>
      <c r="CVH70" s="684"/>
      <c r="CVI70" s="684"/>
      <c r="CVJ70" s="684"/>
      <c r="CVK70" s="684"/>
      <c r="CVL70" s="684"/>
      <c r="CVM70" s="684"/>
      <c r="CVN70" s="684"/>
      <c r="CVO70" s="684"/>
      <c r="CVP70" s="684"/>
      <c r="CVQ70" s="684"/>
      <c r="CVR70" s="684"/>
      <c r="CVS70" s="684"/>
      <c r="CVT70" s="684"/>
      <c r="CVU70" s="684"/>
      <c r="CVV70" s="684"/>
      <c r="CVW70" s="684"/>
      <c r="CVX70" s="684"/>
      <c r="CVY70" s="684"/>
      <c r="CVZ70" s="684"/>
      <c r="CWA70" s="684"/>
      <c r="CWB70" s="684"/>
      <c r="CWC70" s="684"/>
      <c r="CWD70" s="684"/>
      <c r="CWE70" s="684"/>
      <c r="CWF70" s="684"/>
      <c r="CWG70" s="684"/>
      <c r="CWH70" s="684"/>
      <c r="CWI70" s="684"/>
      <c r="CWJ70" s="684"/>
      <c r="CWK70" s="684"/>
      <c r="CWL70" s="684"/>
      <c r="CWM70" s="684"/>
      <c r="CWN70" s="684"/>
      <c r="CWO70" s="684"/>
      <c r="CWP70" s="684"/>
      <c r="CWQ70" s="684"/>
      <c r="CWR70" s="684"/>
      <c r="CWS70" s="684"/>
      <c r="CWT70" s="684"/>
      <c r="CWU70" s="684"/>
      <c r="CWV70" s="684"/>
      <c r="CWW70" s="684"/>
      <c r="CWX70" s="684"/>
      <c r="CWY70" s="684"/>
      <c r="CWZ70" s="684"/>
      <c r="CXA70" s="684"/>
      <c r="CXB70" s="684"/>
      <c r="CXC70" s="684"/>
      <c r="CXD70" s="684"/>
      <c r="CXE70" s="684"/>
      <c r="CXF70" s="684"/>
      <c r="CXG70" s="684"/>
      <c r="CXH70" s="684"/>
      <c r="CXI70" s="684"/>
      <c r="CXJ70" s="684"/>
      <c r="CXK70" s="684"/>
      <c r="CXL70" s="684"/>
      <c r="CXM70" s="684"/>
      <c r="CXN70" s="684"/>
      <c r="CXO70" s="684"/>
      <c r="CXP70" s="684"/>
      <c r="CXQ70" s="684"/>
      <c r="CXR70" s="684"/>
      <c r="CXS70" s="684"/>
      <c r="CXT70" s="684"/>
      <c r="CXU70" s="684"/>
      <c r="CXV70" s="684"/>
      <c r="CXW70" s="684"/>
      <c r="CXX70" s="684"/>
      <c r="CXY70" s="684"/>
      <c r="CXZ70" s="684"/>
      <c r="CYA70" s="684"/>
      <c r="CYB70" s="684"/>
      <c r="CYC70" s="684"/>
      <c r="CYD70" s="684"/>
      <c r="CYE70" s="684"/>
      <c r="CYF70" s="684"/>
      <c r="CYG70" s="684"/>
      <c r="CYH70" s="684"/>
      <c r="CYI70" s="684"/>
      <c r="CYJ70" s="684"/>
      <c r="CYK70" s="684"/>
      <c r="CYL70" s="684"/>
      <c r="CYM70" s="684"/>
      <c r="CYN70" s="684"/>
      <c r="CYO70" s="684"/>
      <c r="CYP70" s="684"/>
      <c r="CYQ70" s="684"/>
      <c r="CYR70" s="684"/>
      <c r="CYS70" s="684"/>
      <c r="CYT70" s="684"/>
      <c r="CYU70" s="684"/>
      <c r="CYV70" s="684"/>
      <c r="CYW70" s="684"/>
      <c r="CYX70" s="684"/>
      <c r="CYY70" s="684"/>
      <c r="CYZ70" s="684"/>
      <c r="CZA70" s="684"/>
      <c r="CZB70" s="684"/>
      <c r="CZC70" s="684"/>
      <c r="CZD70" s="684"/>
      <c r="CZE70" s="684"/>
      <c r="CZF70" s="684"/>
      <c r="CZG70" s="684"/>
      <c r="CZH70" s="684"/>
      <c r="CZI70" s="684"/>
      <c r="CZJ70" s="684"/>
      <c r="CZK70" s="684"/>
      <c r="CZL70" s="684"/>
      <c r="CZM70" s="684"/>
      <c r="CZN70" s="684"/>
      <c r="CZO70" s="684"/>
      <c r="CZP70" s="684"/>
      <c r="CZQ70" s="684"/>
      <c r="CZR70" s="684"/>
      <c r="CZS70" s="684"/>
      <c r="CZT70" s="684"/>
      <c r="CZU70" s="684"/>
      <c r="CZV70" s="684"/>
      <c r="CZW70" s="684"/>
      <c r="CZX70" s="684"/>
      <c r="CZY70" s="684"/>
      <c r="CZZ70" s="684"/>
      <c r="DAA70" s="684"/>
      <c r="DAB70" s="684"/>
      <c r="DAC70" s="684"/>
      <c r="DAD70" s="684"/>
      <c r="DAE70" s="684"/>
      <c r="DAF70" s="684"/>
      <c r="DAG70" s="684"/>
      <c r="DAH70" s="684"/>
      <c r="DAI70" s="684"/>
      <c r="DAJ70" s="684"/>
      <c r="DAK70" s="684"/>
      <c r="DAL70" s="684"/>
      <c r="DAM70" s="684"/>
      <c r="DAN70" s="684"/>
      <c r="DAO70" s="684"/>
      <c r="DAP70" s="684"/>
      <c r="DAQ70" s="684"/>
      <c r="DAR70" s="684"/>
      <c r="DAS70" s="684"/>
      <c r="DAT70" s="684"/>
      <c r="DAU70" s="684"/>
      <c r="DAV70" s="684"/>
      <c r="DAW70" s="684"/>
      <c r="DAX70" s="684"/>
      <c r="DAY70" s="684"/>
      <c r="DAZ70" s="684"/>
      <c r="DBA70" s="684"/>
      <c r="DBB70" s="684"/>
      <c r="DBC70" s="684"/>
      <c r="DBD70" s="684"/>
      <c r="DBE70" s="684"/>
      <c r="DBF70" s="684"/>
      <c r="DBG70" s="684"/>
      <c r="DBH70" s="684"/>
      <c r="DBI70" s="684"/>
      <c r="DBJ70" s="684"/>
      <c r="DBK70" s="684"/>
      <c r="DBL70" s="684"/>
      <c r="DBM70" s="684"/>
      <c r="DBN70" s="684"/>
      <c r="DBO70" s="684"/>
      <c r="DBP70" s="684"/>
      <c r="DBQ70" s="684"/>
      <c r="DBR70" s="684"/>
      <c r="DBS70" s="684"/>
      <c r="DBT70" s="684"/>
      <c r="DBU70" s="684"/>
      <c r="DBV70" s="684"/>
      <c r="DBW70" s="684"/>
      <c r="DBX70" s="684"/>
      <c r="DBY70" s="684"/>
      <c r="DBZ70" s="684"/>
      <c r="DCA70" s="684"/>
      <c r="DCB70" s="684"/>
      <c r="DCC70" s="684"/>
      <c r="DCD70" s="684"/>
      <c r="DCE70" s="684"/>
      <c r="DCF70" s="684"/>
      <c r="DCG70" s="684"/>
      <c r="DCH70" s="684"/>
      <c r="DCI70" s="684"/>
      <c r="DCJ70" s="684"/>
      <c r="DCK70" s="684"/>
      <c r="DCL70" s="684"/>
      <c r="DCM70" s="684"/>
      <c r="DCN70" s="684"/>
      <c r="DCO70" s="684"/>
      <c r="DCP70" s="684"/>
      <c r="DCQ70" s="684"/>
      <c r="DCR70" s="684"/>
      <c r="DCS70" s="684"/>
      <c r="DCT70" s="684"/>
      <c r="DCU70" s="684"/>
      <c r="DCV70" s="684"/>
      <c r="DCW70" s="684"/>
      <c r="DCX70" s="684"/>
      <c r="DCY70" s="684"/>
      <c r="DCZ70" s="684"/>
      <c r="DDA70" s="684"/>
      <c r="DDB70" s="684"/>
      <c r="DDC70" s="684"/>
      <c r="DDD70" s="684"/>
      <c r="DDE70" s="684"/>
      <c r="DDF70" s="684"/>
      <c r="DDG70" s="684"/>
      <c r="DDH70" s="684"/>
      <c r="DDI70" s="684"/>
      <c r="DDJ70" s="684"/>
      <c r="DDK70" s="684"/>
      <c r="DDL70" s="684"/>
      <c r="DDM70" s="684"/>
      <c r="DDN70" s="684"/>
      <c r="DDO70" s="684"/>
      <c r="DDP70" s="684"/>
      <c r="DDQ70" s="684"/>
      <c r="DDR70" s="684"/>
      <c r="DDS70" s="684"/>
      <c r="DDT70" s="684"/>
      <c r="DDU70" s="684"/>
      <c r="DDV70" s="684"/>
      <c r="DDW70" s="684"/>
      <c r="DDX70" s="684"/>
      <c r="DDY70" s="684"/>
      <c r="DDZ70" s="684"/>
      <c r="DEA70" s="684"/>
      <c r="DEB70" s="684"/>
      <c r="DEC70" s="684"/>
      <c r="DED70" s="684"/>
      <c r="DEE70" s="684"/>
      <c r="DEF70" s="684"/>
      <c r="DEG70" s="684"/>
      <c r="DEH70" s="684"/>
      <c r="DEI70" s="684"/>
      <c r="DEJ70" s="684"/>
      <c r="DEK70" s="684"/>
      <c r="DEL70" s="684"/>
      <c r="DEM70" s="684"/>
      <c r="DEN70" s="684"/>
      <c r="DEO70" s="684"/>
      <c r="DEP70" s="684"/>
      <c r="DEQ70" s="684"/>
      <c r="DER70" s="684"/>
      <c r="DES70" s="684"/>
      <c r="DET70" s="684"/>
      <c r="DEU70" s="684"/>
      <c r="DEV70" s="684"/>
      <c r="DEW70" s="684"/>
      <c r="DEX70" s="684"/>
      <c r="DEY70" s="684"/>
      <c r="DEZ70" s="684"/>
      <c r="DFA70" s="684"/>
      <c r="DFB70" s="684"/>
      <c r="DFC70" s="684"/>
      <c r="DFD70" s="684"/>
      <c r="DFE70" s="684"/>
      <c r="DFF70" s="684"/>
      <c r="DFG70" s="684"/>
      <c r="DFH70" s="684"/>
      <c r="DFI70" s="684"/>
      <c r="DFJ70" s="684"/>
      <c r="DFK70" s="684"/>
      <c r="DFL70" s="684"/>
      <c r="DFM70" s="684"/>
      <c r="DFN70" s="684"/>
      <c r="DFO70" s="684"/>
      <c r="DFP70" s="684"/>
      <c r="DFQ70" s="684"/>
      <c r="DFR70" s="684"/>
      <c r="DFS70" s="684"/>
      <c r="DFT70" s="684"/>
      <c r="DFU70" s="684"/>
      <c r="DFV70" s="684"/>
      <c r="DFW70" s="684"/>
      <c r="DFX70" s="684"/>
      <c r="DFY70" s="684"/>
      <c r="DFZ70" s="684"/>
      <c r="DGA70" s="684"/>
      <c r="DGB70" s="684"/>
      <c r="DGC70" s="684"/>
      <c r="DGD70" s="684"/>
      <c r="DGE70" s="684"/>
      <c r="DGF70" s="684"/>
      <c r="DGG70" s="684"/>
      <c r="DGH70" s="684"/>
      <c r="DGI70" s="684"/>
      <c r="DGJ70" s="684"/>
      <c r="DGK70" s="684"/>
      <c r="DGL70" s="684"/>
      <c r="DGM70" s="684"/>
      <c r="DGN70" s="684"/>
      <c r="DGO70" s="684"/>
      <c r="DGP70" s="684"/>
      <c r="DGQ70" s="684"/>
      <c r="DGR70" s="684"/>
      <c r="DGS70" s="684"/>
      <c r="DGT70" s="684"/>
      <c r="DGU70" s="684"/>
      <c r="DGV70" s="684"/>
      <c r="DGW70" s="684"/>
      <c r="DGX70" s="684"/>
      <c r="DGY70" s="684"/>
      <c r="DGZ70" s="684"/>
      <c r="DHA70" s="684"/>
      <c r="DHB70" s="684"/>
      <c r="DHC70" s="684"/>
      <c r="DHD70" s="684"/>
      <c r="DHE70" s="684"/>
      <c r="DHF70" s="684"/>
      <c r="DHG70" s="684"/>
      <c r="DHH70" s="684"/>
      <c r="DHI70" s="684"/>
      <c r="DHJ70" s="684"/>
      <c r="DHK70" s="684"/>
      <c r="DHL70" s="684"/>
      <c r="DHM70" s="684"/>
      <c r="DHN70" s="684"/>
      <c r="DHO70" s="684"/>
      <c r="DHP70" s="684"/>
      <c r="DHQ70" s="684"/>
      <c r="DHR70" s="684"/>
      <c r="DHS70" s="684"/>
      <c r="DHT70" s="684"/>
      <c r="DHU70" s="684"/>
      <c r="DHV70" s="684"/>
      <c r="DHW70" s="684"/>
      <c r="DHX70" s="684"/>
      <c r="DHY70" s="684"/>
      <c r="DHZ70" s="684"/>
      <c r="DIA70" s="684"/>
      <c r="DIB70" s="684"/>
      <c r="DIC70" s="684"/>
      <c r="DID70" s="684"/>
      <c r="DIE70" s="684"/>
      <c r="DIF70" s="684"/>
      <c r="DIG70" s="684"/>
      <c r="DIH70" s="684"/>
      <c r="DII70" s="684"/>
      <c r="DIJ70" s="684"/>
      <c r="DIK70" s="684"/>
      <c r="DIL70" s="684"/>
      <c r="DIM70" s="684"/>
      <c r="DIN70" s="684"/>
      <c r="DIO70" s="684"/>
      <c r="DIP70" s="684"/>
      <c r="DIQ70" s="684"/>
      <c r="DIR70" s="684"/>
      <c r="DIS70" s="684"/>
      <c r="DIT70" s="684"/>
      <c r="DIU70" s="684"/>
      <c r="DIV70" s="684"/>
      <c r="DIW70" s="684"/>
      <c r="DIX70" s="684"/>
      <c r="DIY70" s="684"/>
      <c r="DIZ70" s="684"/>
      <c r="DJA70" s="684"/>
      <c r="DJB70" s="684"/>
      <c r="DJC70" s="684"/>
      <c r="DJD70" s="684"/>
      <c r="DJE70" s="684"/>
      <c r="DJF70" s="684"/>
      <c r="DJG70" s="684"/>
      <c r="DJH70" s="684"/>
      <c r="DJI70" s="684"/>
      <c r="DJJ70" s="684"/>
      <c r="DJK70" s="684"/>
      <c r="DJL70" s="684"/>
      <c r="DJM70" s="684"/>
      <c r="DJN70" s="684"/>
      <c r="DJO70" s="684"/>
      <c r="DJP70" s="684"/>
      <c r="DJQ70" s="684"/>
      <c r="DJR70" s="684"/>
      <c r="DJS70" s="684"/>
      <c r="DJT70" s="684"/>
      <c r="DJU70" s="684"/>
      <c r="DJV70" s="684"/>
      <c r="DJW70" s="684"/>
      <c r="DJX70" s="684"/>
      <c r="DJY70" s="684"/>
      <c r="DJZ70" s="684"/>
      <c r="DKA70" s="684"/>
      <c r="DKB70" s="684"/>
      <c r="DKC70" s="684"/>
      <c r="DKD70" s="684"/>
      <c r="DKE70" s="684"/>
      <c r="DKF70" s="684"/>
      <c r="DKG70" s="684"/>
      <c r="DKH70" s="684"/>
      <c r="DKI70" s="684"/>
      <c r="DKJ70" s="684"/>
      <c r="DKK70" s="684"/>
      <c r="DKL70" s="684"/>
      <c r="DKM70" s="684"/>
      <c r="DKN70" s="684"/>
      <c r="DKO70" s="684"/>
      <c r="DKP70" s="684"/>
      <c r="DKQ70" s="684"/>
      <c r="DKR70" s="684"/>
      <c r="DKS70" s="684"/>
      <c r="DKT70" s="684"/>
      <c r="DKU70" s="684"/>
      <c r="DKV70" s="684"/>
      <c r="DKW70" s="684"/>
      <c r="DKX70" s="684"/>
      <c r="DKY70" s="684"/>
      <c r="DKZ70" s="684"/>
      <c r="DLA70" s="684"/>
      <c r="DLB70" s="684"/>
      <c r="DLC70" s="684"/>
      <c r="DLD70" s="684"/>
      <c r="DLE70" s="684"/>
      <c r="DLF70" s="684"/>
      <c r="DLG70" s="684"/>
      <c r="DLH70" s="684"/>
      <c r="DLI70" s="684"/>
      <c r="DLJ70" s="684"/>
      <c r="DLK70" s="684"/>
      <c r="DLL70" s="684"/>
      <c r="DLM70" s="684"/>
      <c r="DLN70" s="684"/>
      <c r="DLO70" s="684"/>
      <c r="DLP70" s="684"/>
      <c r="DLQ70" s="684"/>
      <c r="DLR70" s="684"/>
      <c r="DLS70" s="684"/>
      <c r="DLT70" s="684"/>
      <c r="DLU70" s="684"/>
      <c r="DLV70" s="684"/>
      <c r="DLW70" s="684"/>
      <c r="DLX70" s="684"/>
      <c r="DLY70" s="684"/>
      <c r="DLZ70" s="684"/>
      <c r="DMA70" s="684"/>
      <c r="DMB70" s="684"/>
      <c r="DMC70" s="684"/>
      <c r="DMD70" s="684"/>
      <c r="DME70" s="684"/>
      <c r="DMF70" s="684"/>
      <c r="DMG70" s="684"/>
      <c r="DMH70" s="684"/>
      <c r="DMI70" s="684"/>
      <c r="DMJ70" s="684"/>
      <c r="DMK70" s="684"/>
      <c r="DML70" s="684"/>
      <c r="DMM70" s="684"/>
      <c r="DMN70" s="684"/>
      <c r="DMO70" s="684"/>
      <c r="DMP70" s="684"/>
      <c r="DMQ70" s="684"/>
      <c r="DMR70" s="684"/>
      <c r="DMS70" s="684"/>
      <c r="DMT70" s="684"/>
      <c r="DMU70" s="684"/>
      <c r="DMV70" s="684"/>
      <c r="DMW70" s="684"/>
      <c r="DMX70" s="684"/>
      <c r="DMY70" s="684"/>
      <c r="DMZ70" s="684"/>
      <c r="DNA70" s="684"/>
      <c r="DNB70" s="684"/>
      <c r="DNC70" s="684"/>
      <c r="DND70" s="684"/>
      <c r="DNE70" s="684"/>
      <c r="DNF70" s="684"/>
      <c r="DNG70" s="684"/>
      <c r="DNH70" s="684"/>
      <c r="DNI70" s="684"/>
      <c r="DNJ70" s="684"/>
      <c r="DNK70" s="684"/>
      <c r="DNL70" s="684"/>
      <c r="DNM70" s="684"/>
      <c r="DNN70" s="684"/>
      <c r="DNO70" s="684"/>
      <c r="DNP70" s="684"/>
      <c r="DNQ70" s="684"/>
      <c r="DNR70" s="684"/>
      <c r="DNS70" s="684"/>
      <c r="DNT70" s="684"/>
      <c r="DNU70" s="684"/>
      <c r="DNV70" s="684"/>
      <c r="DNW70" s="684"/>
      <c r="DNX70" s="684"/>
      <c r="DNY70" s="684"/>
      <c r="DNZ70" s="684"/>
      <c r="DOA70" s="684"/>
      <c r="DOB70" s="684"/>
      <c r="DOC70" s="684"/>
      <c r="DOD70" s="684"/>
      <c r="DOE70" s="684"/>
      <c r="DOF70" s="684"/>
      <c r="DOG70" s="684"/>
      <c r="DOH70" s="684"/>
      <c r="DOI70" s="684"/>
      <c r="DOJ70" s="684"/>
      <c r="DOK70" s="684"/>
      <c r="DOL70" s="684"/>
      <c r="DOM70" s="684"/>
      <c r="DON70" s="684"/>
      <c r="DOO70" s="684"/>
      <c r="DOP70" s="684"/>
      <c r="DOQ70" s="684"/>
      <c r="DOR70" s="684"/>
      <c r="DOS70" s="684"/>
      <c r="DOT70" s="684"/>
      <c r="DOU70" s="684"/>
      <c r="DOV70" s="684"/>
      <c r="DOW70" s="684"/>
      <c r="DOX70" s="684"/>
      <c r="DOY70" s="684"/>
      <c r="DOZ70" s="684"/>
      <c r="DPA70" s="684"/>
      <c r="DPB70" s="684"/>
      <c r="DPC70" s="684"/>
      <c r="DPD70" s="684"/>
      <c r="DPE70" s="684"/>
      <c r="DPF70" s="684"/>
      <c r="DPG70" s="684"/>
      <c r="DPH70" s="684"/>
      <c r="DPI70" s="684"/>
      <c r="DPJ70" s="684"/>
      <c r="DPK70" s="684"/>
      <c r="DPL70" s="684"/>
      <c r="DPM70" s="684"/>
      <c r="DPN70" s="684"/>
      <c r="DPO70" s="684"/>
      <c r="DPP70" s="684"/>
      <c r="DPQ70" s="684"/>
      <c r="DPR70" s="684"/>
      <c r="DPS70" s="684"/>
      <c r="DPT70" s="684"/>
      <c r="DPU70" s="684"/>
      <c r="DPV70" s="684"/>
      <c r="DPW70" s="684"/>
      <c r="DPX70" s="684"/>
      <c r="DPY70" s="684"/>
      <c r="DPZ70" s="684"/>
      <c r="DQA70" s="684"/>
      <c r="DQB70" s="684"/>
      <c r="DQC70" s="684"/>
      <c r="DQD70" s="684"/>
      <c r="DQE70" s="684"/>
      <c r="DQF70" s="684"/>
      <c r="DQG70" s="684"/>
      <c r="DQH70" s="684"/>
      <c r="DQI70" s="684"/>
      <c r="DQJ70" s="684"/>
      <c r="DQK70" s="684"/>
      <c r="DQL70" s="684"/>
      <c r="DQM70" s="684"/>
      <c r="DQN70" s="684"/>
      <c r="DQO70" s="684"/>
      <c r="DQP70" s="684"/>
      <c r="DQQ70" s="684"/>
      <c r="DQR70" s="684"/>
      <c r="DQS70" s="684"/>
      <c r="DQT70" s="684"/>
      <c r="DQU70" s="684"/>
      <c r="DQV70" s="684"/>
      <c r="DQW70" s="684"/>
      <c r="DQX70" s="684"/>
      <c r="DQY70" s="684"/>
      <c r="DQZ70" s="684"/>
      <c r="DRA70" s="684"/>
      <c r="DRB70" s="684"/>
      <c r="DRC70" s="684"/>
      <c r="DRD70" s="684"/>
      <c r="DRE70" s="684"/>
      <c r="DRF70" s="684"/>
      <c r="DRG70" s="684"/>
      <c r="DRH70" s="684"/>
      <c r="DRI70" s="684"/>
      <c r="DRJ70" s="684"/>
      <c r="DRK70" s="684"/>
      <c r="DRL70" s="684"/>
      <c r="DRM70" s="684"/>
      <c r="DRN70" s="684"/>
      <c r="DRO70" s="684"/>
      <c r="DRP70" s="684"/>
      <c r="DRQ70" s="684"/>
      <c r="DRR70" s="684"/>
      <c r="DRS70" s="684"/>
      <c r="DRT70" s="684"/>
      <c r="DRU70" s="684"/>
      <c r="DRV70" s="684"/>
      <c r="DRW70" s="684"/>
      <c r="DRX70" s="684"/>
      <c r="DRY70" s="684"/>
      <c r="DRZ70" s="684"/>
      <c r="DSA70" s="684"/>
      <c r="DSB70" s="684"/>
      <c r="DSC70" s="684"/>
      <c r="DSD70" s="684"/>
      <c r="DSE70" s="684"/>
      <c r="DSF70" s="684"/>
      <c r="DSG70" s="684"/>
      <c r="DSH70" s="684"/>
      <c r="DSI70" s="684"/>
      <c r="DSJ70" s="684"/>
      <c r="DSK70" s="684"/>
      <c r="DSL70" s="684"/>
      <c r="DSM70" s="684"/>
      <c r="DSN70" s="684"/>
      <c r="DSO70" s="684"/>
      <c r="DSP70" s="684"/>
      <c r="DSQ70" s="684"/>
      <c r="DSR70" s="684"/>
      <c r="DSS70" s="684"/>
      <c r="DST70" s="684"/>
      <c r="DSU70" s="684"/>
      <c r="DSV70" s="684"/>
      <c r="DSW70" s="684"/>
      <c r="DSX70" s="684"/>
      <c r="DSY70" s="684"/>
      <c r="DSZ70" s="684"/>
      <c r="DTA70" s="684"/>
      <c r="DTB70" s="684"/>
      <c r="DTC70" s="684"/>
      <c r="DTD70" s="684"/>
      <c r="DTE70" s="684"/>
      <c r="DTF70" s="684"/>
      <c r="DTG70" s="684"/>
      <c r="DTH70" s="684"/>
      <c r="DTI70" s="684"/>
      <c r="DTJ70" s="684"/>
      <c r="DTK70" s="684"/>
      <c r="DTL70" s="684"/>
      <c r="DTM70" s="684"/>
      <c r="DTN70" s="684"/>
      <c r="DTO70" s="684"/>
      <c r="DTP70" s="684"/>
      <c r="DTQ70" s="684"/>
      <c r="DTR70" s="684"/>
      <c r="DTS70" s="684"/>
      <c r="DTT70" s="684"/>
      <c r="DTU70" s="684"/>
      <c r="DTV70" s="684"/>
      <c r="DTW70" s="684"/>
      <c r="DTX70" s="684"/>
      <c r="DTY70" s="684"/>
      <c r="DTZ70" s="684"/>
      <c r="DUA70" s="684"/>
      <c r="DUB70" s="684"/>
      <c r="DUC70" s="684"/>
      <c r="DUD70" s="684"/>
      <c r="DUE70" s="684"/>
      <c r="DUF70" s="684"/>
      <c r="DUG70" s="684"/>
      <c r="DUH70" s="684"/>
      <c r="DUI70" s="684"/>
      <c r="DUJ70" s="684"/>
      <c r="DUK70" s="684"/>
      <c r="DUL70" s="684"/>
      <c r="DUM70" s="684"/>
      <c r="DUN70" s="684"/>
      <c r="DUO70" s="684"/>
      <c r="DUP70" s="684"/>
      <c r="DUQ70" s="684"/>
      <c r="DUR70" s="684"/>
      <c r="DUS70" s="684"/>
      <c r="DUT70" s="684"/>
      <c r="DUU70" s="684"/>
      <c r="DUV70" s="684"/>
      <c r="DUW70" s="684"/>
      <c r="DUX70" s="684"/>
      <c r="DUY70" s="684"/>
      <c r="DUZ70" s="684"/>
      <c r="DVA70" s="684"/>
      <c r="DVB70" s="684"/>
      <c r="DVC70" s="684"/>
      <c r="DVD70" s="684"/>
      <c r="DVE70" s="684"/>
      <c r="DVF70" s="684"/>
      <c r="DVG70" s="684"/>
      <c r="DVH70" s="684"/>
      <c r="DVI70" s="684"/>
      <c r="DVJ70" s="684"/>
      <c r="DVK70" s="684"/>
      <c r="DVL70" s="684"/>
      <c r="DVM70" s="684"/>
      <c r="DVN70" s="684"/>
      <c r="DVO70" s="684"/>
      <c r="DVP70" s="684"/>
      <c r="DVQ70" s="684"/>
      <c r="DVR70" s="684"/>
      <c r="DVS70" s="684"/>
      <c r="DVT70" s="684"/>
      <c r="DVU70" s="684"/>
      <c r="DVV70" s="684"/>
      <c r="DVW70" s="684"/>
      <c r="DVX70" s="684"/>
      <c r="DVY70" s="684"/>
      <c r="DVZ70" s="684"/>
      <c r="DWA70" s="684"/>
      <c r="DWB70" s="684"/>
      <c r="DWC70" s="684"/>
      <c r="DWD70" s="684"/>
      <c r="DWE70" s="684"/>
      <c r="DWF70" s="684"/>
      <c r="DWG70" s="684"/>
      <c r="DWH70" s="684"/>
      <c r="DWI70" s="684"/>
      <c r="DWJ70" s="684"/>
      <c r="DWK70" s="684"/>
      <c r="DWL70" s="684"/>
      <c r="DWM70" s="684"/>
      <c r="DWN70" s="684"/>
      <c r="DWO70" s="684"/>
      <c r="DWP70" s="684"/>
      <c r="DWQ70" s="684"/>
      <c r="DWR70" s="684"/>
      <c r="DWS70" s="684"/>
      <c r="DWT70" s="684"/>
      <c r="DWU70" s="684"/>
      <c r="DWV70" s="684"/>
      <c r="DWW70" s="684"/>
      <c r="DWX70" s="684"/>
      <c r="DWY70" s="684"/>
      <c r="DWZ70" s="684"/>
      <c r="DXA70" s="684"/>
      <c r="DXB70" s="684"/>
      <c r="DXC70" s="684"/>
      <c r="DXD70" s="684"/>
      <c r="DXE70" s="684"/>
      <c r="DXF70" s="684"/>
      <c r="DXG70" s="684"/>
      <c r="DXH70" s="684"/>
      <c r="DXI70" s="684"/>
      <c r="DXJ70" s="684"/>
      <c r="DXK70" s="684"/>
      <c r="DXL70" s="684"/>
      <c r="DXM70" s="684"/>
      <c r="DXN70" s="684"/>
      <c r="DXO70" s="684"/>
      <c r="DXP70" s="684"/>
      <c r="DXQ70" s="684"/>
      <c r="DXR70" s="684"/>
      <c r="DXS70" s="684"/>
      <c r="DXT70" s="684"/>
      <c r="DXU70" s="684"/>
      <c r="DXV70" s="684"/>
      <c r="DXW70" s="684"/>
      <c r="DXX70" s="684"/>
      <c r="DXY70" s="684"/>
      <c r="DXZ70" s="684"/>
      <c r="DYA70" s="684"/>
      <c r="DYB70" s="684"/>
      <c r="DYC70" s="684"/>
      <c r="DYD70" s="684"/>
      <c r="DYE70" s="684"/>
      <c r="DYF70" s="684"/>
      <c r="DYG70" s="684"/>
      <c r="DYH70" s="684"/>
      <c r="DYI70" s="684"/>
      <c r="DYJ70" s="684"/>
      <c r="DYK70" s="684"/>
      <c r="DYL70" s="684"/>
      <c r="DYM70" s="684"/>
      <c r="DYN70" s="684"/>
      <c r="DYO70" s="684"/>
      <c r="DYP70" s="684"/>
      <c r="DYQ70" s="684"/>
      <c r="DYR70" s="684"/>
      <c r="DYS70" s="684"/>
      <c r="DYT70" s="684"/>
      <c r="DYU70" s="684"/>
      <c r="DYV70" s="684"/>
      <c r="DYW70" s="684"/>
      <c r="DYX70" s="684"/>
      <c r="DYY70" s="684"/>
      <c r="DYZ70" s="684"/>
      <c r="DZA70" s="684"/>
      <c r="DZB70" s="684"/>
      <c r="DZC70" s="684"/>
      <c r="DZD70" s="684"/>
      <c r="DZE70" s="684"/>
      <c r="DZF70" s="684"/>
      <c r="DZG70" s="684"/>
      <c r="DZH70" s="684"/>
      <c r="DZI70" s="684"/>
      <c r="DZJ70" s="684"/>
      <c r="DZK70" s="684"/>
      <c r="DZL70" s="684"/>
      <c r="DZM70" s="684"/>
      <c r="DZN70" s="684"/>
      <c r="DZO70" s="684"/>
      <c r="DZP70" s="684"/>
      <c r="DZQ70" s="684"/>
      <c r="DZR70" s="684"/>
      <c r="DZS70" s="684"/>
      <c r="DZT70" s="684"/>
      <c r="DZU70" s="684"/>
      <c r="DZV70" s="684"/>
      <c r="DZW70" s="684"/>
      <c r="DZX70" s="684"/>
      <c r="DZY70" s="684"/>
      <c r="DZZ70" s="684"/>
      <c r="EAA70" s="684"/>
      <c r="EAB70" s="684"/>
      <c r="EAC70" s="684"/>
      <c r="EAD70" s="684"/>
      <c r="EAE70" s="684"/>
      <c r="EAF70" s="684"/>
      <c r="EAG70" s="684"/>
      <c r="EAH70" s="684"/>
      <c r="EAI70" s="684"/>
      <c r="EAJ70" s="684"/>
      <c r="EAK70" s="684"/>
      <c r="EAL70" s="684"/>
      <c r="EAM70" s="684"/>
      <c r="EAN70" s="684"/>
      <c r="EAO70" s="684"/>
      <c r="EAP70" s="684"/>
      <c r="EAQ70" s="684"/>
      <c r="EAR70" s="684"/>
      <c r="EAS70" s="684"/>
      <c r="EAT70" s="684"/>
      <c r="EAU70" s="684"/>
      <c r="EAV70" s="684"/>
      <c r="EAW70" s="684"/>
      <c r="EAX70" s="684"/>
      <c r="EAY70" s="684"/>
      <c r="EAZ70" s="684"/>
      <c r="EBA70" s="684"/>
      <c r="EBB70" s="684"/>
      <c r="EBC70" s="684"/>
      <c r="EBD70" s="684"/>
      <c r="EBE70" s="684"/>
      <c r="EBF70" s="684"/>
      <c r="EBG70" s="684"/>
      <c r="EBH70" s="684"/>
      <c r="EBI70" s="684"/>
      <c r="EBJ70" s="684"/>
      <c r="EBK70" s="684"/>
      <c r="EBL70" s="684"/>
      <c r="EBM70" s="684"/>
      <c r="EBN70" s="684"/>
      <c r="EBO70" s="684"/>
      <c r="EBP70" s="684"/>
      <c r="EBQ70" s="684"/>
      <c r="EBR70" s="684"/>
      <c r="EBS70" s="684"/>
      <c r="EBT70" s="684"/>
      <c r="EBU70" s="684"/>
      <c r="EBV70" s="684"/>
      <c r="EBW70" s="684"/>
      <c r="EBX70" s="684"/>
      <c r="EBY70" s="684"/>
      <c r="EBZ70" s="684"/>
      <c r="ECA70" s="684"/>
      <c r="ECB70" s="684"/>
      <c r="ECC70" s="684"/>
      <c r="ECD70" s="684"/>
      <c r="ECE70" s="684"/>
      <c r="ECF70" s="684"/>
      <c r="ECG70" s="684"/>
      <c r="ECH70" s="684"/>
      <c r="ECI70" s="684"/>
      <c r="ECJ70" s="684"/>
      <c r="ECK70" s="684"/>
      <c r="ECL70" s="684"/>
      <c r="ECM70" s="684"/>
      <c r="ECN70" s="684"/>
      <c r="ECO70" s="684"/>
      <c r="ECP70" s="684"/>
      <c r="ECQ70" s="684"/>
      <c r="ECR70" s="684"/>
      <c r="ECS70" s="684"/>
      <c r="ECT70" s="684"/>
      <c r="ECU70" s="684"/>
      <c r="ECV70" s="684"/>
      <c r="ECW70" s="684"/>
      <c r="ECX70" s="684"/>
      <c r="ECY70" s="684"/>
      <c r="ECZ70" s="684"/>
      <c r="EDA70" s="684"/>
      <c r="EDB70" s="684"/>
      <c r="EDC70" s="684"/>
      <c r="EDD70" s="684"/>
      <c r="EDE70" s="684"/>
      <c r="EDF70" s="684"/>
      <c r="EDG70" s="684"/>
      <c r="EDH70" s="684"/>
      <c r="EDI70" s="684"/>
      <c r="EDJ70" s="684"/>
      <c r="EDK70" s="684"/>
      <c r="EDL70" s="684"/>
      <c r="EDM70" s="684"/>
      <c r="EDN70" s="684"/>
      <c r="EDO70" s="684"/>
      <c r="EDP70" s="684"/>
      <c r="EDQ70" s="684"/>
      <c r="EDR70" s="684"/>
      <c r="EDS70" s="684"/>
      <c r="EDT70" s="684"/>
      <c r="EDU70" s="684"/>
      <c r="EDV70" s="684"/>
      <c r="EDW70" s="684"/>
      <c r="EDX70" s="684"/>
      <c r="EDY70" s="684"/>
      <c r="EDZ70" s="684"/>
      <c r="EEA70" s="684"/>
      <c r="EEB70" s="684"/>
      <c r="EEC70" s="684"/>
      <c r="EED70" s="684"/>
      <c r="EEE70" s="684"/>
      <c r="EEF70" s="684"/>
      <c r="EEG70" s="684"/>
      <c r="EEH70" s="684"/>
      <c r="EEI70" s="684"/>
      <c r="EEJ70" s="684"/>
      <c r="EEK70" s="684"/>
      <c r="EEL70" s="684"/>
      <c r="EEM70" s="684"/>
      <c r="EEN70" s="684"/>
      <c r="EEO70" s="684"/>
      <c r="EEP70" s="684"/>
      <c r="EEQ70" s="684"/>
      <c r="EER70" s="684"/>
      <c r="EES70" s="684"/>
      <c r="EET70" s="684"/>
      <c r="EEU70" s="684"/>
      <c r="EEV70" s="684"/>
      <c r="EEW70" s="684"/>
      <c r="EEX70" s="684"/>
      <c r="EEY70" s="684"/>
      <c r="EEZ70" s="684"/>
      <c r="EFA70" s="684"/>
      <c r="EFB70" s="684"/>
      <c r="EFC70" s="684"/>
      <c r="EFD70" s="684"/>
      <c r="EFE70" s="684"/>
      <c r="EFF70" s="684"/>
      <c r="EFG70" s="684"/>
      <c r="EFH70" s="684"/>
      <c r="EFI70" s="684"/>
      <c r="EFJ70" s="684"/>
      <c r="EFK70" s="684"/>
      <c r="EFL70" s="684"/>
      <c r="EFM70" s="684"/>
      <c r="EFN70" s="684"/>
      <c r="EFO70" s="684"/>
      <c r="EFP70" s="684"/>
      <c r="EFQ70" s="684"/>
      <c r="EFR70" s="684"/>
      <c r="EFS70" s="684"/>
      <c r="EFT70" s="684"/>
      <c r="EFU70" s="684"/>
      <c r="EFV70" s="684"/>
      <c r="EFW70" s="684"/>
      <c r="EFX70" s="684"/>
      <c r="EFY70" s="684"/>
      <c r="EFZ70" s="684"/>
      <c r="EGA70" s="684"/>
      <c r="EGB70" s="684"/>
      <c r="EGC70" s="684"/>
      <c r="EGD70" s="684"/>
      <c r="EGE70" s="684"/>
      <c r="EGF70" s="684"/>
      <c r="EGG70" s="684"/>
      <c r="EGH70" s="684"/>
      <c r="EGI70" s="684"/>
      <c r="EGJ70" s="684"/>
      <c r="EGK70" s="684"/>
      <c r="EGL70" s="684"/>
      <c r="EGM70" s="684"/>
      <c r="EGN70" s="684"/>
      <c r="EGO70" s="684"/>
      <c r="EGP70" s="684"/>
      <c r="EGQ70" s="684"/>
      <c r="EGR70" s="684"/>
      <c r="EGS70" s="684"/>
      <c r="EGT70" s="684"/>
      <c r="EGU70" s="684"/>
      <c r="EGV70" s="684"/>
      <c r="EGW70" s="684"/>
      <c r="EGX70" s="684"/>
      <c r="EGY70" s="684"/>
      <c r="EGZ70" s="684"/>
      <c r="EHA70" s="684"/>
      <c r="EHB70" s="684"/>
      <c r="EHC70" s="684"/>
      <c r="EHD70" s="684"/>
      <c r="EHE70" s="684"/>
      <c r="EHF70" s="684"/>
      <c r="EHG70" s="684"/>
      <c r="EHH70" s="684"/>
      <c r="EHI70" s="684"/>
      <c r="EHJ70" s="684"/>
      <c r="EHK70" s="684"/>
      <c r="EHL70" s="684"/>
      <c r="EHM70" s="684"/>
      <c r="EHN70" s="684"/>
      <c r="EHO70" s="684"/>
      <c r="EHP70" s="684"/>
      <c r="EHQ70" s="684"/>
      <c r="EHR70" s="684"/>
      <c r="EHS70" s="684"/>
      <c r="EHT70" s="684"/>
      <c r="EHU70" s="684"/>
      <c r="EHV70" s="684"/>
      <c r="EHW70" s="684"/>
      <c r="EHX70" s="684"/>
      <c r="EHY70" s="684"/>
      <c r="EHZ70" s="684"/>
      <c r="EIA70" s="684"/>
      <c r="EIB70" s="684"/>
      <c r="EIC70" s="684"/>
      <c r="EID70" s="684"/>
      <c r="EIE70" s="684"/>
      <c r="EIF70" s="684"/>
      <c r="EIG70" s="684"/>
      <c r="EIH70" s="684"/>
      <c r="EII70" s="684"/>
      <c r="EIJ70" s="684"/>
      <c r="EIK70" s="684"/>
      <c r="EIL70" s="684"/>
      <c r="EIM70" s="684"/>
      <c r="EIN70" s="684"/>
      <c r="EIO70" s="684"/>
      <c r="EIP70" s="684"/>
      <c r="EIQ70" s="684"/>
      <c r="EIR70" s="684"/>
      <c r="EIS70" s="684"/>
      <c r="EIT70" s="684"/>
      <c r="EIU70" s="684"/>
      <c r="EIV70" s="684"/>
      <c r="EIW70" s="684"/>
      <c r="EIX70" s="684"/>
      <c r="EIY70" s="684"/>
      <c r="EIZ70" s="684"/>
      <c r="EJA70" s="684"/>
      <c r="EJB70" s="684"/>
      <c r="EJC70" s="684"/>
      <c r="EJD70" s="684"/>
      <c r="EJE70" s="684"/>
      <c r="EJF70" s="684"/>
      <c r="EJG70" s="684"/>
      <c r="EJH70" s="684"/>
      <c r="EJI70" s="684"/>
      <c r="EJJ70" s="684"/>
      <c r="EJK70" s="684"/>
      <c r="EJL70" s="684"/>
      <c r="EJM70" s="684"/>
      <c r="EJN70" s="684"/>
      <c r="EJO70" s="684"/>
      <c r="EJP70" s="684"/>
      <c r="EJQ70" s="684"/>
      <c r="EJR70" s="684"/>
      <c r="EJS70" s="684"/>
      <c r="EJT70" s="684"/>
      <c r="EJU70" s="684"/>
      <c r="EJV70" s="684"/>
      <c r="EJW70" s="684"/>
      <c r="EJX70" s="684"/>
      <c r="EJY70" s="684"/>
      <c r="EJZ70" s="684"/>
      <c r="EKA70" s="684"/>
      <c r="EKB70" s="684"/>
      <c r="EKC70" s="684"/>
      <c r="EKD70" s="684"/>
      <c r="EKE70" s="684"/>
      <c r="EKF70" s="684"/>
      <c r="EKG70" s="684"/>
      <c r="EKH70" s="684"/>
      <c r="EKI70" s="684"/>
      <c r="EKJ70" s="684"/>
      <c r="EKK70" s="684"/>
      <c r="EKL70" s="684"/>
      <c r="EKM70" s="684"/>
      <c r="EKN70" s="684"/>
      <c r="EKO70" s="684"/>
      <c r="EKP70" s="684"/>
      <c r="EKQ70" s="684"/>
      <c r="EKR70" s="684"/>
      <c r="EKS70" s="684"/>
      <c r="EKT70" s="684"/>
      <c r="EKU70" s="684"/>
      <c r="EKV70" s="684"/>
      <c r="EKW70" s="684"/>
      <c r="EKX70" s="684"/>
      <c r="EKY70" s="684"/>
      <c r="EKZ70" s="684"/>
      <c r="ELA70" s="684"/>
      <c r="ELB70" s="684"/>
      <c r="ELC70" s="684"/>
      <c r="ELD70" s="684"/>
      <c r="ELE70" s="684"/>
      <c r="ELF70" s="684"/>
      <c r="ELG70" s="684"/>
      <c r="ELH70" s="684"/>
      <c r="ELI70" s="684"/>
      <c r="ELJ70" s="684"/>
      <c r="ELK70" s="684"/>
      <c r="ELL70" s="684"/>
      <c r="ELM70" s="684"/>
      <c r="ELN70" s="684"/>
      <c r="ELO70" s="684"/>
      <c r="ELP70" s="684"/>
      <c r="ELQ70" s="684"/>
      <c r="ELR70" s="684"/>
      <c r="ELS70" s="684"/>
      <c r="ELT70" s="684"/>
      <c r="ELU70" s="684"/>
      <c r="ELV70" s="684"/>
      <c r="ELW70" s="684"/>
      <c r="ELX70" s="684"/>
      <c r="ELY70" s="684"/>
      <c r="ELZ70" s="684"/>
      <c r="EMA70" s="684"/>
      <c r="EMB70" s="684"/>
      <c r="EMC70" s="684"/>
      <c r="EMD70" s="684"/>
      <c r="EME70" s="684"/>
      <c r="EMF70" s="684"/>
      <c r="EMG70" s="684"/>
      <c r="EMH70" s="684"/>
      <c r="EMI70" s="684"/>
      <c r="EMJ70" s="684"/>
      <c r="EMK70" s="684"/>
      <c r="EML70" s="684"/>
      <c r="EMM70" s="684"/>
      <c r="EMN70" s="684"/>
      <c r="EMO70" s="684"/>
      <c r="EMP70" s="684"/>
      <c r="EMQ70" s="684"/>
      <c r="EMR70" s="684"/>
      <c r="EMS70" s="684"/>
      <c r="EMT70" s="684"/>
      <c r="EMU70" s="684"/>
      <c r="EMV70" s="684"/>
      <c r="EMW70" s="684"/>
      <c r="EMX70" s="684"/>
      <c r="EMY70" s="684"/>
      <c r="EMZ70" s="684"/>
      <c r="ENA70" s="684"/>
      <c r="ENB70" s="684"/>
      <c r="ENC70" s="684"/>
      <c r="END70" s="684"/>
      <c r="ENE70" s="684"/>
      <c r="ENF70" s="684"/>
      <c r="ENG70" s="684"/>
      <c r="ENH70" s="684"/>
      <c r="ENI70" s="684"/>
      <c r="ENJ70" s="684"/>
      <c r="ENK70" s="684"/>
      <c r="ENL70" s="684"/>
      <c r="ENM70" s="684"/>
      <c r="ENN70" s="684"/>
      <c r="ENO70" s="684"/>
      <c r="ENP70" s="684"/>
      <c r="ENQ70" s="684"/>
      <c r="ENR70" s="684"/>
      <c r="ENS70" s="684"/>
      <c r="ENT70" s="684"/>
      <c r="ENU70" s="684"/>
      <c r="ENV70" s="684"/>
      <c r="ENW70" s="684"/>
      <c r="ENX70" s="684"/>
      <c r="ENY70" s="684"/>
      <c r="ENZ70" s="684"/>
      <c r="EOA70" s="684"/>
      <c r="EOB70" s="684"/>
      <c r="EOC70" s="684"/>
      <c r="EOD70" s="684"/>
      <c r="EOE70" s="684"/>
      <c r="EOF70" s="684"/>
      <c r="EOG70" s="684"/>
      <c r="EOH70" s="684"/>
      <c r="EOI70" s="684"/>
      <c r="EOJ70" s="684"/>
      <c r="EOK70" s="684"/>
      <c r="EOL70" s="684"/>
      <c r="EOM70" s="684"/>
      <c r="EON70" s="684"/>
      <c r="EOO70" s="684"/>
      <c r="EOP70" s="684"/>
      <c r="EOQ70" s="684"/>
      <c r="EOR70" s="684"/>
      <c r="EOS70" s="684"/>
      <c r="EOT70" s="684"/>
      <c r="EOU70" s="684"/>
      <c r="EOV70" s="684"/>
      <c r="EOW70" s="684"/>
      <c r="EOX70" s="684"/>
      <c r="EOY70" s="684"/>
      <c r="EOZ70" s="684"/>
      <c r="EPA70" s="684"/>
      <c r="EPB70" s="684"/>
      <c r="EPC70" s="684"/>
      <c r="EPD70" s="684"/>
      <c r="EPE70" s="684"/>
      <c r="EPF70" s="684"/>
      <c r="EPG70" s="684"/>
      <c r="EPH70" s="684"/>
      <c r="EPI70" s="684"/>
      <c r="EPJ70" s="684"/>
      <c r="EPK70" s="684"/>
      <c r="EPL70" s="684"/>
      <c r="EPM70" s="684"/>
      <c r="EPN70" s="684"/>
      <c r="EPO70" s="684"/>
      <c r="EPP70" s="684"/>
      <c r="EPQ70" s="684"/>
      <c r="EPR70" s="684"/>
      <c r="EPS70" s="684"/>
      <c r="EPT70" s="684"/>
      <c r="EPU70" s="684"/>
      <c r="EPV70" s="684"/>
      <c r="EPW70" s="684"/>
      <c r="EPX70" s="684"/>
      <c r="EPY70" s="684"/>
      <c r="EPZ70" s="684"/>
      <c r="EQA70" s="684"/>
      <c r="EQB70" s="684"/>
      <c r="EQC70" s="684"/>
      <c r="EQD70" s="684"/>
      <c r="EQE70" s="684"/>
      <c r="EQF70" s="684"/>
      <c r="EQG70" s="684"/>
      <c r="EQH70" s="684"/>
      <c r="EQI70" s="684"/>
      <c r="EQJ70" s="684"/>
      <c r="EQK70" s="684"/>
      <c r="EQL70" s="684"/>
      <c r="EQM70" s="684"/>
      <c r="EQN70" s="684"/>
      <c r="EQO70" s="684"/>
      <c r="EQP70" s="684"/>
      <c r="EQQ70" s="684"/>
      <c r="EQR70" s="684"/>
      <c r="EQS70" s="684"/>
      <c r="EQT70" s="684"/>
      <c r="EQU70" s="684"/>
      <c r="EQV70" s="684"/>
      <c r="EQW70" s="684"/>
      <c r="EQX70" s="684"/>
      <c r="EQY70" s="684"/>
      <c r="EQZ70" s="684"/>
      <c r="ERA70" s="684"/>
      <c r="ERB70" s="684"/>
      <c r="ERC70" s="684"/>
      <c r="ERD70" s="684"/>
      <c r="ERE70" s="684"/>
      <c r="ERF70" s="684"/>
      <c r="ERG70" s="684"/>
      <c r="ERH70" s="684"/>
      <c r="ERI70" s="684"/>
      <c r="ERJ70" s="684"/>
      <c r="ERK70" s="684"/>
      <c r="ERL70" s="684"/>
      <c r="ERM70" s="684"/>
      <c r="ERN70" s="684"/>
      <c r="ERO70" s="684"/>
      <c r="ERP70" s="684"/>
      <c r="ERQ70" s="684"/>
      <c r="ERR70" s="684"/>
      <c r="ERS70" s="684"/>
      <c r="ERT70" s="684"/>
      <c r="ERU70" s="684"/>
      <c r="ERV70" s="684"/>
      <c r="ERW70" s="684"/>
      <c r="ERX70" s="684"/>
      <c r="ERY70" s="684"/>
      <c r="ERZ70" s="684"/>
      <c r="ESA70" s="684"/>
      <c r="ESB70" s="684"/>
      <c r="ESC70" s="684"/>
      <c r="ESD70" s="684"/>
      <c r="ESE70" s="684"/>
      <c r="ESF70" s="684"/>
      <c r="ESG70" s="684"/>
      <c r="ESH70" s="684"/>
      <c r="ESI70" s="684"/>
      <c r="ESJ70" s="684"/>
      <c r="ESK70" s="684"/>
      <c r="ESL70" s="684"/>
      <c r="ESM70" s="684"/>
      <c r="ESN70" s="684"/>
      <c r="ESO70" s="684"/>
      <c r="ESP70" s="684"/>
      <c r="ESQ70" s="684"/>
      <c r="ESR70" s="684"/>
      <c r="ESS70" s="684"/>
      <c r="EST70" s="684"/>
      <c r="ESU70" s="684"/>
      <c r="ESV70" s="684"/>
      <c r="ESW70" s="684"/>
      <c r="ESX70" s="684"/>
      <c r="ESY70" s="684"/>
      <c r="ESZ70" s="684"/>
      <c r="ETA70" s="684"/>
      <c r="ETB70" s="684"/>
      <c r="ETC70" s="684"/>
      <c r="ETD70" s="684"/>
      <c r="ETE70" s="684"/>
      <c r="ETF70" s="684"/>
      <c r="ETG70" s="684"/>
      <c r="ETH70" s="684"/>
      <c r="ETI70" s="684"/>
      <c r="ETJ70" s="684"/>
      <c r="ETK70" s="684"/>
      <c r="ETL70" s="684"/>
      <c r="ETM70" s="684"/>
      <c r="ETN70" s="684"/>
      <c r="ETO70" s="684"/>
      <c r="ETP70" s="684"/>
      <c r="ETQ70" s="684"/>
      <c r="ETR70" s="684"/>
      <c r="ETS70" s="684"/>
      <c r="ETT70" s="684"/>
      <c r="ETU70" s="684"/>
      <c r="ETV70" s="684"/>
      <c r="ETW70" s="684"/>
      <c r="ETX70" s="684"/>
      <c r="ETY70" s="684"/>
      <c r="ETZ70" s="684"/>
      <c r="EUA70" s="684"/>
      <c r="EUB70" s="684"/>
      <c r="EUC70" s="684"/>
      <c r="EUD70" s="684"/>
      <c r="EUE70" s="684"/>
      <c r="EUF70" s="684"/>
      <c r="EUG70" s="684"/>
      <c r="EUH70" s="684"/>
      <c r="EUI70" s="684"/>
      <c r="EUJ70" s="684"/>
      <c r="EUK70" s="684"/>
      <c r="EUL70" s="684"/>
      <c r="EUM70" s="684"/>
      <c r="EUN70" s="684"/>
      <c r="EUO70" s="684"/>
      <c r="EUP70" s="684"/>
      <c r="EUQ70" s="684"/>
      <c r="EUR70" s="684"/>
      <c r="EUS70" s="684"/>
      <c r="EUT70" s="684"/>
      <c r="EUU70" s="684"/>
      <c r="EUV70" s="684"/>
      <c r="EUW70" s="684"/>
      <c r="EUX70" s="684"/>
      <c r="EUY70" s="684"/>
      <c r="EUZ70" s="684"/>
      <c r="EVA70" s="684"/>
      <c r="EVB70" s="684"/>
      <c r="EVC70" s="684"/>
      <c r="EVD70" s="684"/>
      <c r="EVE70" s="684"/>
      <c r="EVF70" s="684"/>
      <c r="EVG70" s="684"/>
      <c r="EVH70" s="684"/>
      <c r="EVI70" s="684"/>
      <c r="EVJ70" s="684"/>
      <c r="EVK70" s="684"/>
      <c r="EVL70" s="684"/>
      <c r="EVM70" s="684"/>
      <c r="EVN70" s="684"/>
      <c r="EVO70" s="684"/>
      <c r="EVP70" s="684"/>
      <c r="EVQ70" s="684"/>
      <c r="EVR70" s="684"/>
      <c r="EVS70" s="684"/>
      <c r="EVT70" s="684"/>
      <c r="EVU70" s="684"/>
      <c r="EVV70" s="684"/>
      <c r="EVW70" s="684"/>
      <c r="EVX70" s="684"/>
      <c r="EVY70" s="684"/>
      <c r="EVZ70" s="684"/>
      <c r="EWA70" s="684"/>
      <c r="EWB70" s="684"/>
      <c r="EWC70" s="684"/>
      <c r="EWD70" s="684"/>
      <c r="EWE70" s="684"/>
      <c r="EWF70" s="684"/>
      <c r="EWG70" s="684"/>
      <c r="EWH70" s="684"/>
      <c r="EWI70" s="684"/>
      <c r="EWJ70" s="684"/>
      <c r="EWK70" s="684"/>
      <c r="EWL70" s="684"/>
      <c r="EWM70" s="684"/>
      <c r="EWN70" s="684"/>
      <c r="EWO70" s="684"/>
      <c r="EWP70" s="684"/>
      <c r="EWQ70" s="684"/>
      <c r="EWR70" s="684"/>
      <c r="EWS70" s="684"/>
      <c r="EWT70" s="684"/>
      <c r="EWU70" s="684"/>
      <c r="EWV70" s="684"/>
      <c r="EWW70" s="684"/>
      <c r="EWX70" s="684"/>
      <c r="EWY70" s="684"/>
      <c r="EWZ70" s="684"/>
      <c r="EXA70" s="684"/>
      <c r="EXB70" s="684"/>
      <c r="EXC70" s="684"/>
      <c r="EXD70" s="684"/>
      <c r="EXE70" s="684"/>
      <c r="EXF70" s="684"/>
      <c r="EXG70" s="684"/>
      <c r="EXH70" s="684"/>
      <c r="EXI70" s="684"/>
      <c r="EXJ70" s="684"/>
      <c r="EXK70" s="684"/>
      <c r="EXL70" s="684"/>
      <c r="EXM70" s="684"/>
      <c r="EXN70" s="684"/>
      <c r="EXO70" s="684"/>
      <c r="EXP70" s="684"/>
      <c r="EXQ70" s="684"/>
      <c r="EXR70" s="684"/>
      <c r="EXS70" s="684"/>
      <c r="EXT70" s="684"/>
      <c r="EXU70" s="684"/>
      <c r="EXV70" s="684"/>
      <c r="EXW70" s="684"/>
      <c r="EXX70" s="684"/>
      <c r="EXY70" s="684"/>
      <c r="EXZ70" s="684"/>
      <c r="EYA70" s="684"/>
      <c r="EYB70" s="684"/>
      <c r="EYC70" s="684"/>
      <c r="EYD70" s="684"/>
      <c r="EYE70" s="684"/>
      <c r="EYF70" s="684"/>
      <c r="EYG70" s="684"/>
      <c r="EYH70" s="684"/>
      <c r="EYI70" s="684"/>
      <c r="EYJ70" s="684"/>
      <c r="EYK70" s="684"/>
      <c r="EYL70" s="684"/>
      <c r="EYM70" s="684"/>
      <c r="EYN70" s="684"/>
      <c r="EYO70" s="684"/>
      <c r="EYP70" s="684"/>
      <c r="EYQ70" s="684"/>
      <c r="EYR70" s="684"/>
      <c r="EYS70" s="684"/>
      <c r="EYT70" s="684"/>
      <c r="EYU70" s="684"/>
      <c r="EYV70" s="684"/>
      <c r="EYW70" s="684"/>
      <c r="EYX70" s="684"/>
      <c r="EYY70" s="684"/>
      <c r="EYZ70" s="684"/>
      <c r="EZA70" s="684"/>
      <c r="EZB70" s="684"/>
      <c r="EZC70" s="684"/>
      <c r="EZD70" s="684"/>
      <c r="EZE70" s="684"/>
      <c r="EZF70" s="684"/>
      <c r="EZG70" s="684"/>
      <c r="EZH70" s="684"/>
      <c r="EZI70" s="684"/>
      <c r="EZJ70" s="684"/>
      <c r="EZK70" s="684"/>
      <c r="EZL70" s="684"/>
      <c r="EZM70" s="684"/>
      <c r="EZN70" s="684"/>
      <c r="EZO70" s="684"/>
      <c r="EZP70" s="684"/>
      <c r="EZQ70" s="684"/>
      <c r="EZR70" s="684"/>
      <c r="EZS70" s="684"/>
      <c r="EZT70" s="684"/>
      <c r="EZU70" s="684"/>
      <c r="EZV70" s="684"/>
      <c r="EZW70" s="684"/>
      <c r="EZX70" s="684"/>
      <c r="EZY70" s="684"/>
      <c r="EZZ70" s="684"/>
      <c r="FAA70" s="684"/>
      <c r="FAB70" s="684"/>
      <c r="FAC70" s="684"/>
      <c r="FAD70" s="684"/>
      <c r="FAE70" s="684"/>
      <c r="FAF70" s="684"/>
      <c r="FAG70" s="684"/>
      <c r="FAH70" s="684"/>
      <c r="FAI70" s="684"/>
      <c r="FAJ70" s="684"/>
      <c r="FAK70" s="684"/>
      <c r="FAL70" s="684"/>
      <c r="FAM70" s="684"/>
      <c r="FAN70" s="684"/>
      <c r="FAO70" s="684"/>
      <c r="FAP70" s="684"/>
      <c r="FAQ70" s="684"/>
      <c r="FAR70" s="684"/>
      <c r="FAS70" s="684"/>
      <c r="FAT70" s="684"/>
      <c r="FAU70" s="684"/>
      <c r="FAV70" s="684"/>
      <c r="FAW70" s="684"/>
      <c r="FAX70" s="684"/>
      <c r="FAY70" s="684"/>
      <c r="FAZ70" s="684"/>
      <c r="FBA70" s="684"/>
      <c r="FBB70" s="684"/>
      <c r="FBC70" s="684"/>
      <c r="FBD70" s="684"/>
      <c r="FBE70" s="684"/>
      <c r="FBF70" s="684"/>
      <c r="FBG70" s="684"/>
      <c r="FBH70" s="684"/>
      <c r="FBI70" s="684"/>
      <c r="FBJ70" s="684"/>
      <c r="FBK70" s="684"/>
      <c r="FBL70" s="684"/>
      <c r="FBM70" s="684"/>
      <c r="FBN70" s="684"/>
      <c r="FBO70" s="684"/>
      <c r="FBP70" s="684"/>
      <c r="FBQ70" s="684"/>
      <c r="FBR70" s="684"/>
      <c r="FBS70" s="684"/>
      <c r="FBT70" s="684"/>
      <c r="FBU70" s="684"/>
      <c r="FBV70" s="684"/>
      <c r="FBW70" s="684"/>
      <c r="FBX70" s="684"/>
      <c r="FBY70" s="684"/>
      <c r="FBZ70" s="684"/>
      <c r="FCA70" s="684"/>
      <c r="FCB70" s="684"/>
      <c r="FCC70" s="684"/>
      <c r="FCD70" s="684"/>
      <c r="FCE70" s="684"/>
      <c r="FCF70" s="684"/>
      <c r="FCG70" s="684"/>
      <c r="FCH70" s="684"/>
      <c r="FCI70" s="684"/>
      <c r="FCJ70" s="684"/>
      <c r="FCK70" s="684"/>
      <c r="FCL70" s="684"/>
      <c r="FCM70" s="684"/>
      <c r="FCN70" s="684"/>
      <c r="FCO70" s="684"/>
      <c r="FCP70" s="684"/>
      <c r="FCQ70" s="684"/>
      <c r="FCR70" s="684"/>
      <c r="FCS70" s="684"/>
      <c r="FCT70" s="684"/>
      <c r="FCU70" s="684"/>
      <c r="FCV70" s="684"/>
      <c r="FCW70" s="684"/>
      <c r="FCX70" s="684"/>
      <c r="FCY70" s="684"/>
      <c r="FCZ70" s="684"/>
      <c r="FDA70" s="684"/>
      <c r="FDB70" s="684"/>
      <c r="FDC70" s="684"/>
      <c r="FDD70" s="684"/>
      <c r="FDE70" s="684"/>
      <c r="FDF70" s="684"/>
      <c r="FDG70" s="684"/>
      <c r="FDH70" s="684"/>
      <c r="FDI70" s="684"/>
      <c r="FDJ70" s="684"/>
      <c r="FDK70" s="684"/>
      <c r="FDL70" s="684"/>
      <c r="FDM70" s="684"/>
      <c r="FDN70" s="684"/>
      <c r="FDO70" s="684"/>
      <c r="FDP70" s="684"/>
      <c r="FDQ70" s="684"/>
      <c r="FDR70" s="684"/>
      <c r="FDS70" s="684"/>
      <c r="FDT70" s="684"/>
      <c r="FDU70" s="684"/>
      <c r="FDV70" s="684"/>
      <c r="FDW70" s="684"/>
      <c r="FDX70" s="684"/>
      <c r="FDY70" s="684"/>
      <c r="FDZ70" s="684"/>
      <c r="FEA70" s="684"/>
      <c r="FEB70" s="684"/>
      <c r="FEC70" s="684"/>
      <c r="FED70" s="684"/>
      <c r="FEE70" s="684"/>
      <c r="FEF70" s="684"/>
      <c r="FEG70" s="684"/>
      <c r="FEH70" s="684"/>
      <c r="FEI70" s="684"/>
      <c r="FEJ70" s="684"/>
      <c r="FEK70" s="684"/>
      <c r="FEL70" s="684"/>
      <c r="FEM70" s="684"/>
      <c r="FEN70" s="684"/>
      <c r="FEO70" s="684"/>
      <c r="FEP70" s="684"/>
      <c r="FEQ70" s="684"/>
      <c r="FER70" s="684"/>
      <c r="FES70" s="684"/>
      <c r="FET70" s="684"/>
      <c r="FEU70" s="684"/>
      <c r="FEV70" s="684"/>
      <c r="FEW70" s="684"/>
      <c r="FEX70" s="684"/>
      <c r="FEY70" s="684"/>
      <c r="FEZ70" s="684"/>
      <c r="FFA70" s="684"/>
      <c r="FFB70" s="684"/>
      <c r="FFC70" s="684"/>
      <c r="FFD70" s="684"/>
      <c r="FFE70" s="684"/>
      <c r="FFF70" s="684"/>
      <c r="FFG70" s="684"/>
      <c r="FFH70" s="684"/>
      <c r="FFI70" s="684"/>
      <c r="FFJ70" s="684"/>
      <c r="FFK70" s="684"/>
      <c r="FFL70" s="684"/>
      <c r="FFM70" s="684"/>
      <c r="FFN70" s="684"/>
      <c r="FFO70" s="684"/>
      <c r="FFP70" s="684"/>
      <c r="FFQ70" s="684"/>
      <c r="FFR70" s="684"/>
      <c r="FFS70" s="684"/>
      <c r="FFT70" s="684"/>
      <c r="FFU70" s="684"/>
      <c r="FFV70" s="684"/>
      <c r="FFW70" s="684"/>
      <c r="FFX70" s="684"/>
      <c r="FFY70" s="684"/>
      <c r="FFZ70" s="684"/>
      <c r="FGA70" s="684"/>
      <c r="FGB70" s="684"/>
      <c r="FGC70" s="684"/>
      <c r="FGD70" s="684"/>
      <c r="FGE70" s="684"/>
      <c r="FGF70" s="684"/>
      <c r="FGG70" s="684"/>
      <c r="FGH70" s="684"/>
      <c r="FGI70" s="684"/>
      <c r="FGJ70" s="684"/>
      <c r="FGK70" s="684"/>
      <c r="FGL70" s="684"/>
      <c r="FGM70" s="684"/>
      <c r="FGN70" s="684"/>
      <c r="FGO70" s="684"/>
      <c r="FGP70" s="684"/>
      <c r="FGQ70" s="684"/>
      <c r="FGR70" s="684"/>
      <c r="FGS70" s="684"/>
      <c r="FGT70" s="684"/>
      <c r="FGU70" s="684"/>
      <c r="FGV70" s="684"/>
      <c r="FGW70" s="684"/>
      <c r="FGX70" s="684"/>
      <c r="FGY70" s="684"/>
      <c r="FGZ70" s="684"/>
      <c r="FHA70" s="684"/>
      <c r="FHB70" s="684"/>
      <c r="FHC70" s="684"/>
      <c r="FHD70" s="684"/>
      <c r="FHE70" s="684"/>
      <c r="FHF70" s="684"/>
      <c r="FHG70" s="684"/>
      <c r="FHH70" s="684"/>
      <c r="FHI70" s="684"/>
      <c r="FHJ70" s="684"/>
      <c r="FHK70" s="684"/>
      <c r="FHL70" s="684"/>
      <c r="FHM70" s="684"/>
      <c r="FHN70" s="684"/>
      <c r="FHO70" s="684"/>
      <c r="FHP70" s="684"/>
      <c r="FHQ70" s="684"/>
      <c r="FHR70" s="684"/>
      <c r="FHS70" s="684"/>
      <c r="FHT70" s="684"/>
      <c r="FHU70" s="684"/>
      <c r="FHV70" s="684"/>
      <c r="FHW70" s="684"/>
      <c r="FHX70" s="684"/>
      <c r="FHY70" s="684"/>
      <c r="FHZ70" s="684"/>
      <c r="FIA70" s="684"/>
      <c r="FIB70" s="684"/>
      <c r="FIC70" s="684"/>
      <c r="FID70" s="684"/>
      <c r="FIE70" s="684"/>
      <c r="FIF70" s="684"/>
      <c r="FIG70" s="684"/>
      <c r="FIH70" s="684"/>
      <c r="FII70" s="684"/>
      <c r="FIJ70" s="684"/>
      <c r="FIK70" s="684"/>
      <c r="FIL70" s="684"/>
      <c r="FIM70" s="684"/>
      <c r="FIN70" s="684"/>
      <c r="FIO70" s="684"/>
      <c r="FIP70" s="684"/>
      <c r="FIQ70" s="684"/>
      <c r="FIR70" s="684"/>
      <c r="FIS70" s="684"/>
      <c r="FIT70" s="684"/>
      <c r="FIU70" s="684"/>
      <c r="FIV70" s="684"/>
      <c r="FIW70" s="684"/>
      <c r="FIX70" s="684"/>
      <c r="FIY70" s="684"/>
      <c r="FIZ70" s="684"/>
      <c r="FJA70" s="684"/>
      <c r="FJB70" s="684"/>
      <c r="FJC70" s="684"/>
      <c r="FJD70" s="684"/>
      <c r="FJE70" s="684"/>
      <c r="FJF70" s="684"/>
      <c r="FJG70" s="684"/>
      <c r="FJH70" s="684"/>
      <c r="FJI70" s="684"/>
      <c r="FJJ70" s="684"/>
      <c r="FJK70" s="684"/>
      <c r="FJL70" s="684"/>
      <c r="FJM70" s="684"/>
      <c r="FJN70" s="684"/>
      <c r="FJO70" s="684"/>
      <c r="FJP70" s="684"/>
      <c r="FJQ70" s="684"/>
      <c r="FJR70" s="684"/>
      <c r="FJS70" s="684"/>
      <c r="FJT70" s="684"/>
      <c r="FJU70" s="684"/>
      <c r="FJV70" s="684"/>
      <c r="FJW70" s="684"/>
      <c r="FJX70" s="684"/>
      <c r="FJY70" s="684"/>
      <c r="FJZ70" s="684"/>
      <c r="FKA70" s="684"/>
      <c r="FKB70" s="684"/>
      <c r="FKC70" s="684"/>
      <c r="FKD70" s="684"/>
      <c r="FKE70" s="684"/>
      <c r="FKF70" s="684"/>
      <c r="FKG70" s="684"/>
      <c r="FKH70" s="684"/>
      <c r="FKI70" s="684"/>
      <c r="FKJ70" s="684"/>
      <c r="FKK70" s="684"/>
      <c r="FKL70" s="684"/>
      <c r="FKM70" s="684"/>
      <c r="FKN70" s="684"/>
      <c r="FKO70" s="684"/>
      <c r="FKP70" s="684"/>
      <c r="FKQ70" s="684"/>
      <c r="FKR70" s="684"/>
      <c r="FKS70" s="684"/>
      <c r="FKT70" s="684"/>
      <c r="FKU70" s="684"/>
      <c r="FKV70" s="684"/>
      <c r="FKW70" s="684"/>
      <c r="FKX70" s="684"/>
      <c r="FKY70" s="684"/>
      <c r="FKZ70" s="684"/>
      <c r="FLA70" s="684"/>
      <c r="FLB70" s="684"/>
      <c r="FLC70" s="684"/>
      <c r="FLD70" s="684"/>
      <c r="FLE70" s="684"/>
      <c r="FLF70" s="684"/>
      <c r="FLG70" s="684"/>
      <c r="FLH70" s="684"/>
      <c r="FLI70" s="684"/>
      <c r="FLJ70" s="684"/>
      <c r="FLK70" s="684"/>
      <c r="FLL70" s="684"/>
      <c r="FLM70" s="684"/>
      <c r="FLN70" s="684"/>
      <c r="FLO70" s="684"/>
      <c r="FLP70" s="684"/>
      <c r="FLQ70" s="684"/>
      <c r="FLR70" s="684"/>
      <c r="FLS70" s="684"/>
      <c r="FLT70" s="684"/>
      <c r="FLU70" s="684"/>
      <c r="FLV70" s="684"/>
      <c r="FLW70" s="684"/>
      <c r="FLX70" s="684"/>
      <c r="FLY70" s="684"/>
      <c r="FLZ70" s="684"/>
      <c r="FMA70" s="684"/>
      <c r="FMB70" s="684"/>
      <c r="FMC70" s="684"/>
      <c r="FMD70" s="684"/>
      <c r="FME70" s="684"/>
      <c r="FMF70" s="684"/>
      <c r="FMG70" s="684"/>
      <c r="FMH70" s="684"/>
      <c r="FMI70" s="684"/>
      <c r="FMJ70" s="684"/>
      <c r="FMK70" s="684"/>
      <c r="FML70" s="684"/>
      <c r="FMM70" s="684"/>
      <c r="FMN70" s="684"/>
      <c r="FMO70" s="684"/>
      <c r="FMP70" s="684"/>
      <c r="FMQ70" s="684"/>
      <c r="FMR70" s="684"/>
      <c r="FMS70" s="684"/>
      <c r="FMT70" s="684"/>
      <c r="FMU70" s="684"/>
      <c r="FMV70" s="684"/>
      <c r="FMW70" s="684"/>
      <c r="FMX70" s="684"/>
      <c r="FMY70" s="684"/>
      <c r="FMZ70" s="684"/>
      <c r="FNA70" s="684"/>
      <c r="FNB70" s="684"/>
      <c r="FNC70" s="684"/>
      <c r="FND70" s="684"/>
      <c r="FNE70" s="684"/>
      <c r="FNF70" s="684"/>
      <c r="FNG70" s="684"/>
      <c r="FNH70" s="684"/>
      <c r="FNI70" s="684"/>
      <c r="FNJ70" s="684"/>
      <c r="FNK70" s="684"/>
      <c r="FNL70" s="684"/>
      <c r="FNM70" s="684"/>
      <c r="FNN70" s="684"/>
      <c r="FNO70" s="684"/>
      <c r="FNP70" s="684"/>
      <c r="FNQ70" s="684"/>
      <c r="FNR70" s="684"/>
      <c r="FNS70" s="684"/>
      <c r="FNT70" s="684"/>
      <c r="FNU70" s="684"/>
      <c r="FNV70" s="684"/>
      <c r="FNW70" s="684"/>
      <c r="FNX70" s="684"/>
      <c r="FNY70" s="684"/>
      <c r="FNZ70" s="684"/>
      <c r="FOA70" s="684"/>
      <c r="FOB70" s="684"/>
      <c r="FOC70" s="684"/>
      <c r="FOD70" s="684"/>
      <c r="FOE70" s="684"/>
      <c r="FOF70" s="684"/>
      <c r="FOG70" s="684"/>
      <c r="FOH70" s="684"/>
      <c r="FOI70" s="684"/>
      <c r="FOJ70" s="684"/>
      <c r="FOK70" s="684"/>
      <c r="FOL70" s="684"/>
      <c r="FOM70" s="684"/>
      <c r="FON70" s="684"/>
      <c r="FOO70" s="684"/>
      <c r="FOP70" s="684"/>
      <c r="FOQ70" s="684"/>
      <c r="FOR70" s="684"/>
      <c r="FOS70" s="684"/>
      <c r="FOT70" s="684"/>
      <c r="FOU70" s="684"/>
      <c r="FOV70" s="684"/>
      <c r="FOW70" s="684"/>
      <c r="FOX70" s="684"/>
      <c r="FOY70" s="684"/>
      <c r="FOZ70" s="684"/>
      <c r="FPA70" s="684"/>
      <c r="FPB70" s="684"/>
      <c r="FPC70" s="684"/>
      <c r="FPD70" s="684"/>
      <c r="FPE70" s="684"/>
      <c r="FPF70" s="684"/>
      <c r="FPG70" s="684"/>
      <c r="FPH70" s="684"/>
      <c r="FPI70" s="684"/>
      <c r="FPJ70" s="684"/>
      <c r="FPK70" s="684"/>
      <c r="FPL70" s="684"/>
      <c r="FPM70" s="684"/>
      <c r="FPN70" s="684"/>
      <c r="FPO70" s="684"/>
      <c r="FPP70" s="684"/>
      <c r="FPQ70" s="684"/>
      <c r="FPR70" s="684"/>
      <c r="FPS70" s="684"/>
      <c r="FPT70" s="684"/>
      <c r="FPU70" s="684"/>
      <c r="FPV70" s="684"/>
      <c r="FPW70" s="684"/>
      <c r="FPX70" s="684"/>
      <c r="FPY70" s="684"/>
      <c r="FPZ70" s="684"/>
      <c r="FQA70" s="684"/>
      <c r="FQB70" s="684"/>
      <c r="FQC70" s="684"/>
      <c r="FQD70" s="684"/>
      <c r="FQE70" s="684"/>
      <c r="FQF70" s="684"/>
      <c r="FQG70" s="684"/>
      <c r="FQH70" s="684"/>
      <c r="FQI70" s="684"/>
      <c r="FQJ70" s="684"/>
      <c r="FQK70" s="684"/>
      <c r="FQL70" s="684"/>
      <c r="FQM70" s="684"/>
      <c r="FQN70" s="684"/>
      <c r="FQO70" s="684"/>
      <c r="FQP70" s="684"/>
      <c r="FQQ70" s="684"/>
      <c r="FQR70" s="684"/>
      <c r="FQS70" s="684"/>
      <c r="FQT70" s="684"/>
      <c r="FQU70" s="684"/>
      <c r="FQV70" s="684"/>
      <c r="FQW70" s="684"/>
      <c r="FQX70" s="684"/>
      <c r="FQY70" s="684"/>
      <c r="FQZ70" s="684"/>
      <c r="FRA70" s="684"/>
      <c r="FRB70" s="684"/>
      <c r="FRC70" s="684"/>
      <c r="FRD70" s="684"/>
      <c r="FRE70" s="684"/>
      <c r="FRF70" s="684"/>
      <c r="FRG70" s="684"/>
      <c r="FRH70" s="684"/>
      <c r="FRI70" s="684"/>
      <c r="FRJ70" s="684"/>
      <c r="FRK70" s="684"/>
      <c r="FRL70" s="684"/>
      <c r="FRM70" s="684"/>
      <c r="FRN70" s="684"/>
      <c r="FRO70" s="684"/>
      <c r="FRP70" s="684"/>
      <c r="FRQ70" s="684"/>
      <c r="FRR70" s="684"/>
      <c r="FRS70" s="684"/>
      <c r="FRT70" s="684"/>
      <c r="FRU70" s="684"/>
      <c r="FRV70" s="684"/>
      <c r="FRW70" s="684"/>
      <c r="FRX70" s="684"/>
      <c r="FRY70" s="684"/>
      <c r="FRZ70" s="684"/>
      <c r="FSA70" s="684"/>
      <c r="FSB70" s="684"/>
      <c r="FSC70" s="684"/>
      <c r="FSD70" s="684"/>
      <c r="FSE70" s="684"/>
      <c r="FSF70" s="684"/>
      <c r="FSG70" s="684"/>
      <c r="FSH70" s="684"/>
      <c r="FSI70" s="684"/>
      <c r="FSJ70" s="684"/>
      <c r="FSK70" s="684"/>
      <c r="FSL70" s="684"/>
      <c r="FSM70" s="684"/>
      <c r="FSN70" s="684"/>
      <c r="FSO70" s="684"/>
      <c r="FSP70" s="684"/>
      <c r="FSQ70" s="684"/>
      <c r="FSR70" s="684"/>
      <c r="FSS70" s="684"/>
      <c r="FST70" s="684"/>
      <c r="FSU70" s="684"/>
      <c r="FSV70" s="684"/>
      <c r="FSW70" s="684"/>
      <c r="FSX70" s="684"/>
      <c r="FSY70" s="684"/>
      <c r="FSZ70" s="684"/>
      <c r="FTA70" s="684"/>
      <c r="FTB70" s="684"/>
      <c r="FTC70" s="684"/>
      <c r="FTD70" s="684"/>
      <c r="FTE70" s="684"/>
      <c r="FTF70" s="684"/>
      <c r="FTG70" s="684"/>
      <c r="FTH70" s="684"/>
      <c r="FTI70" s="684"/>
      <c r="FTJ70" s="684"/>
      <c r="FTK70" s="684"/>
      <c r="FTL70" s="684"/>
      <c r="FTM70" s="684"/>
      <c r="FTN70" s="684"/>
      <c r="FTO70" s="684"/>
      <c r="FTP70" s="684"/>
      <c r="FTQ70" s="684"/>
      <c r="FTR70" s="684"/>
      <c r="FTS70" s="684"/>
      <c r="FTT70" s="684"/>
      <c r="FTU70" s="684"/>
      <c r="FTV70" s="684"/>
      <c r="FTW70" s="684"/>
      <c r="FTX70" s="684"/>
      <c r="FTY70" s="684"/>
      <c r="FTZ70" s="684"/>
      <c r="FUA70" s="684"/>
      <c r="FUB70" s="684"/>
      <c r="FUC70" s="684"/>
      <c r="FUD70" s="684"/>
      <c r="FUE70" s="684"/>
      <c r="FUF70" s="684"/>
      <c r="FUG70" s="684"/>
      <c r="FUH70" s="684"/>
      <c r="FUI70" s="684"/>
      <c r="FUJ70" s="684"/>
      <c r="FUK70" s="684"/>
      <c r="FUL70" s="684"/>
      <c r="FUM70" s="684"/>
      <c r="FUN70" s="684"/>
      <c r="FUO70" s="684"/>
      <c r="FUP70" s="684"/>
      <c r="FUQ70" s="684"/>
      <c r="FUR70" s="684"/>
      <c r="FUS70" s="684"/>
      <c r="FUT70" s="684"/>
      <c r="FUU70" s="684"/>
      <c r="FUV70" s="684"/>
      <c r="FUW70" s="684"/>
      <c r="FUX70" s="684"/>
      <c r="FUY70" s="684"/>
      <c r="FUZ70" s="684"/>
      <c r="FVA70" s="684"/>
      <c r="FVB70" s="684"/>
      <c r="FVC70" s="684"/>
      <c r="FVD70" s="684"/>
      <c r="FVE70" s="684"/>
      <c r="FVF70" s="684"/>
      <c r="FVG70" s="684"/>
      <c r="FVH70" s="684"/>
      <c r="FVI70" s="684"/>
      <c r="FVJ70" s="684"/>
      <c r="FVK70" s="684"/>
      <c r="FVL70" s="684"/>
      <c r="FVM70" s="684"/>
      <c r="FVN70" s="684"/>
      <c r="FVO70" s="684"/>
      <c r="FVP70" s="684"/>
      <c r="FVQ70" s="684"/>
      <c r="FVR70" s="684"/>
      <c r="FVS70" s="684"/>
      <c r="FVT70" s="684"/>
      <c r="FVU70" s="684"/>
      <c r="FVV70" s="684"/>
      <c r="FVW70" s="684"/>
      <c r="FVX70" s="684"/>
      <c r="FVY70" s="684"/>
      <c r="FVZ70" s="684"/>
      <c r="FWA70" s="684"/>
      <c r="FWB70" s="684"/>
      <c r="FWC70" s="684"/>
      <c r="FWD70" s="684"/>
      <c r="FWE70" s="684"/>
      <c r="FWF70" s="684"/>
      <c r="FWG70" s="684"/>
      <c r="FWH70" s="684"/>
      <c r="FWI70" s="684"/>
      <c r="FWJ70" s="684"/>
      <c r="FWK70" s="684"/>
      <c r="FWL70" s="684"/>
      <c r="FWM70" s="684"/>
      <c r="FWN70" s="684"/>
      <c r="FWO70" s="684"/>
      <c r="FWP70" s="684"/>
      <c r="FWQ70" s="684"/>
      <c r="FWR70" s="684"/>
      <c r="FWS70" s="684"/>
      <c r="FWT70" s="684"/>
      <c r="FWU70" s="684"/>
      <c r="FWV70" s="684"/>
      <c r="FWW70" s="684"/>
      <c r="FWX70" s="684"/>
      <c r="FWY70" s="684"/>
      <c r="FWZ70" s="684"/>
      <c r="FXA70" s="684"/>
      <c r="FXB70" s="684"/>
      <c r="FXC70" s="684"/>
      <c r="FXD70" s="684"/>
      <c r="FXE70" s="684"/>
      <c r="FXF70" s="684"/>
      <c r="FXG70" s="684"/>
      <c r="FXH70" s="684"/>
      <c r="FXI70" s="684"/>
      <c r="FXJ70" s="684"/>
      <c r="FXK70" s="684"/>
      <c r="FXL70" s="684"/>
      <c r="FXM70" s="684"/>
      <c r="FXN70" s="684"/>
      <c r="FXO70" s="684"/>
      <c r="FXP70" s="684"/>
      <c r="FXQ70" s="684"/>
      <c r="FXR70" s="684"/>
      <c r="FXS70" s="684"/>
      <c r="FXT70" s="684"/>
      <c r="FXU70" s="684"/>
      <c r="FXV70" s="684"/>
      <c r="FXW70" s="684"/>
      <c r="FXX70" s="684"/>
      <c r="FXY70" s="684"/>
      <c r="FXZ70" s="684"/>
      <c r="FYA70" s="684"/>
      <c r="FYB70" s="684"/>
      <c r="FYC70" s="684"/>
      <c r="FYD70" s="684"/>
      <c r="FYE70" s="684"/>
      <c r="FYF70" s="684"/>
      <c r="FYG70" s="684"/>
      <c r="FYH70" s="684"/>
      <c r="FYI70" s="684"/>
      <c r="FYJ70" s="684"/>
      <c r="FYK70" s="684"/>
      <c r="FYL70" s="684"/>
      <c r="FYM70" s="684"/>
      <c r="FYN70" s="684"/>
      <c r="FYO70" s="684"/>
      <c r="FYP70" s="684"/>
      <c r="FYQ70" s="684"/>
      <c r="FYR70" s="684"/>
      <c r="FYS70" s="684"/>
      <c r="FYT70" s="684"/>
      <c r="FYU70" s="684"/>
      <c r="FYV70" s="684"/>
      <c r="FYW70" s="684"/>
      <c r="FYX70" s="684"/>
      <c r="FYY70" s="684"/>
      <c r="FYZ70" s="684"/>
      <c r="FZA70" s="684"/>
      <c r="FZB70" s="684"/>
      <c r="FZC70" s="684"/>
      <c r="FZD70" s="684"/>
      <c r="FZE70" s="684"/>
      <c r="FZF70" s="684"/>
      <c r="FZG70" s="684"/>
      <c r="FZH70" s="684"/>
      <c r="FZI70" s="684"/>
      <c r="FZJ70" s="684"/>
      <c r="FZK70" s="684"/>
      <c r="FZL70" s="684"/>
      <c r="FZM70" s="684"/>
      <c r="FZN70" s="684"/>
      <c r="FZO70" s="684"/>
      <c r="FZP70" s="684"/>
      <c r="FZQ70" s="684"/>
      <c r="FZR70" s="684"/>
      <c r="FZS70" s="684"/>
      <c r="FZT70" s="684"/>
      <c r="FZU70" s="684"/>
      <c r="FZV70" s="684"/>
      <c r="FZW70" s="684"/>
      <c r="FZX70" s="684"/>
      <c r="FZY70" s="684"/>
      <c r="FZZ70" s="684"/>
      <c r="GAA70" s="684"/>
      <c r="GAB70" s="684"/>
      <c r="GAC70" s="684"/>
      <c r="GAD70" s="684"/>
      <c r="GAE70" s="684"/>
      <c r="GAF70" s="684"/>
      <c r="GAG70" s="684"/>
      <c r="GAH70" s="684"/>
      <c r="GAI70" s="684"/>
      <c r="GAJ70" s="684"/>
      <c r="GAK70" s="684"/>
      <c r="GAL70" s="684"/>
      <c r="GAM70" s="684"/>
      <c r="GAN70" s="684"/>
      <c r="GAO70" s="684"/>
      <c r="GAP70" s="684"/>
      <c r="GAQ70" s="684"/>
      <c r="GAR70" s="684"/>
      <c r="GAS70" s="684"/>
      <c r="GAT70" s="684"/>
      <c r="GAU70" s="684"/>
      <c r="GAV70" s="684"/>
      <c r="GAW70" s="684"/>
      <c r="GAX70" s="684"/>
      <c r="GAY70" s="684"/>
      <c r="GAZ70" s="684"/>
      <c r="GBA70" s="684"/>
      <c r="GBB70" s="684"/>
      <c r="GBC70" s="684"/>
      <c r="GBD70" s="684"/>
      <c r="GBE70" s="684"/>
      <c r="GBF70" s="684"/>
      <c r="GBG70" s="684"/>
      <c r="GBH70" s="684"/>
      <c r="GBI70" s="684"/>
      <c r="GBJ70" s="684"/>
      <c r="GBK70" s="684"/>
      <c r="GBL70" s="684"/>
      <c r="GBM70" s="684"/>
      <c r="GBN70" s="684"/>
      <c r="GBO70" s="684"/>
      <c r="GBP70" s="684"/>
      <c r="GBQ70" s="684"/>
      <c r="GBR70" s="684"/>
      <c r="GBS70" s="684"/>
      <c r="GBT70" s="684"/>
      <c r="GBU70" s="684"/>
      <c r="GBV70" s="684"/>
      <c r="GBW70" s="684"/>
      <c r="GBX70" s="684"/>
      <c r="GBY70" s="684"/>
      <c r="GBZ70" s="684"/>
      <c r="GCA70" s="684"/>
      <c r="GCB70" s="684"/>
      <c r="GCC70" s="684"/>
      <c r="GCD70" s="684"/>
      <c r="GCE70" s="684"/>
      <c r="GCF70" s="684"/>
      <c r="GCG70" s="684"/>
      <c r="GCH70" s="684"/>
      <c r="GCI70" s="684"/>
      <c r="GCJ70" s="684"/>
      <c r="GCK70" s="684"/>
      <c r="GCL70" s="684"/>
      <c r="GCM70" s="684"/>
      <c r="GCN70" s="684"/>
      <c r="GCO70" s="684"/>
      <c r="GCP70" s="684"/>
      <c r="GCQ70" s="684"/>
      <c r="GCR70" s="684"/>
      <c r="GCS70" s="684"/>
      <c r="GCT70" s="684"/>
      <c r="GCU70" s="684"/>
      <c r="GCV70" s="684"/>
      <c r="GCW70" s="684"/>
      <c r="GCX70" s="684"/>
      <c r="GCY70" s="684"/>
      <c r="GCZ70" s="684"/>
      <c r="GDA70" s="684"/>
      <c r="GDB70" s="684"/>
      <c r="GDC70" s="684"/>
      <c r="GDD70" s="684"/>
      <c r="GDE70" s="684"/>
      <c r="GDF70" s="684"/>
      <c r="GDG70" s="684"/>
      <c r="GDH70" s="684"/>
      <c r="GDI70" s="684"/>
      <c r="GDJ70" s="684"/>
      <c r="GDK70" s="684"/>
      <c r="GDL70" s="684"/>
      <c r="GDM70" s="684"/>
      <c r="GDN70" s="684"/>
      <c r="GDO70" s="684"/>
      <c r="GDP70" s="684"/>
      <c r="GDQ70" s="684"/>
      <c r="GDR70" s="684"/>
      <c r="GDS70" s="684"/>
      <c r="GDT70" s="684"/>
      <c r="GDU70" s="684"/>
      <c r="GDV70" s="684"/>
      <c r="GDW70" s="684"/>
      <c r="GDX70" s="684"/>
      <c r="GDY70" s="684"/>
      <c r="GDZ70" s="684"/>
      <c r="GEA70" s="684"/>
      <c r="GEB70" s="684"/>
      <c r="GEC70" s="684"/>
      <c r="GED70" s="684"/>
      <c r="GEE70" s="684"/>
      <c r="GEF70" s="684"/>
      <c r="GEG70" s="684"/>
      <c r="GEH70" s="684"/>
      <c r="GEI70" s="684"/>
      <c r="GEJ70" s="684"/>
      <c r="GEK70" s="684"/>
      <c r="GEL70" s="684"/>
      <c r="GEM70" s="684"/>
      <c r="GEN70" s="684"/>
      <c r="GEO70" s="684"/>
      <c r="GEP70" s="684"/>
      <c r="GEQ70" s="684"/>
      <c r="GER70" s="684"/>
      <c r="GES70" s="684"/>
      <c r="GET70" s="684"/>
      <c r="GEU70" s="684"/>
      <c r="GEV70" s="684"/>
      <c r="GEW70" s="684"/>
      <c r="GEX70" s="684"/>
      <c r="GEY70" s="684"/>
      <c r="GEZ70" s="684"/>
      <c r="GFA70" s="684"/>
      <c r="GFB70" s="684"/>
      <c r="GFC70" s="684"/>
      <c r="GFD70" s="684"/>
      <c r="GFE70" s="684"/>
      <c r="GFF70" s="684"/>
      <c r="GFG70" s="684"/>
      <c r="GFH70" s="684"/>
      <c r="GFI70" s="684"/>
      <c r="GFJ70" s="684"/>
      <c r="GFK70" s="684"/>
      <c r="GFL70" s="684"/>
      <c r="GFM70" s="684"/>
      <c r="GFN70" s="684"/>
      <c r="GFO70" s="684"/>
      <c r="GFP70" s="684"/>
      <c r="GFQ70" s="684"/>
      <c r="GFR70" s="684"/>
      <c r="GFS70" s="684"/>
      <c r="GFT70" s="684"/>
      <c r="GFU70" s="684"/>
      <c r="GFV70" s="684"/>
      <c r="GFW70" s="684"/>
      <c r="GFX70" s="684"/>
      <c r="GFY70" s="684"/>
      <c r="GFZ70" s="684"/>
      <c r="GGA70" s="684"/>
      <c r="GGB70" s="684"/>
      <c r="GGC70" s="684"/>
      <c r="GGD70" s="684"/>
      <c r="GGE70" s="684"/>
      <c r="GGF70" s="684"/>
      <c r="GGG70" s="684"/>
      <c r="GGH70" s="684"/>
      <c r="GGI70" s="684"/>
      <c r="GGJ70" s="684"/>
      <c r="GGK70" s="684"/>
      <c r="GGL70" s="684"/>
      <c r="GGM70" s="684"/>
      <c r="GGN70" s="684"/>
      <c r="GGO70" s="684"/>
      <c r="GGP70" s="684"/>
      <c r="GGQ70" s="684"/>
      <c r="GGR70" s="684"/>
      <c r="GGS70" s="684"/>
      <c r="GGT70" s="684"/>
      <c r="GGU70" s="684"/>
      <c r="GGV70" s="684"/>
      <c r="GGW70" s="684"/>
      <c r="GGX70" s="684"/>
      <c r="GGY70" s="684"/>
      <c r="GGZ70" s="684"/>
      <c r="GHA70" s="684"/>
      <c r="GHB70" s="684"/>
      <c r="GHC70" s="684"/>
      <c r="GHD70" s="684"/>
      <c r="GHE70" s="684"/>
      <c r="GHF70" s="684"/>
      <c r="GHG70" s="684"/>
      <c r="GHH70" s="684"/>
      <c r="GHI70" s="684"/>
      <c r="GHJ70" s="684"/>
      <c r="GHK70" s="684"/>
      <c r="GHL70" s="684"/>
      <c r="GHM70" s="684"/>
      <c r="GHN70" s="684"/>
      <c r="GHO70" s="684"/>
      <c r="GHP70" s="684"/>
      <c r="GHQ70" s="684"/>
      <c r="GHR70" s="684"/>
      <c r="GHS70" s="684"/>
      <c r="GHT70" s="684"/>
      <c r="GHU70" s="684"/>
      <c r="GHV70" s="684"/>
      <c r="GHW70" s="684"/>
      <c r="GHX70" s="684"/>
      <c r="GHY70" s="684"/>
      <c r="GHZ70" s="684"/>
      <c r="GIA70" s="684"/>
      <c r="GIB70" s="684"/>
      <c r="GIC70" s="684"/>
      <c r="GID70" s="684"/>
      <c r="GIE70" s="684"/>
      <c r="GIF70" s="684"/>
      <c r="GIG70" s="684"/>
      <c r="GIH70" s="684"/>
      <c r="GII70" s="684"/>
      <c r="GIJ70" s="684"/>
      <c r="GIK70" s="684"/>
      <c r="GIL70" s="684"/>
      <c r="GIM70" s="684"/>
      <c r="GIN70" s="684"/>
      <c r="GIO70" s="684"/>
      <c r="GIP70" s="684"/>
      <c r="GIQ70" s="684"/>
      <c r="GIR70" s="684"/>
      <c r="GIS70" s="684"/>
      <c r="GIT70" s="684"/>
      <c r="GIU70" s="684"/>
      <c r="GIV70" s="684"/>
      <c r="GIW70" s="684"/>
      <c r="GIX70" s="684"/>
      <c r="GIY70" s="684"/>
      <c r="GIZ70" s="684"/>
      <c r="GJA70" s="684"/>
      <c r="GJB70" s="684"/>
      <c r="GJC70" s="684"/>
      <c r="GJD70" s="684"/>
      <c r="GJE70" s="684"/>
      <c r="GJF70" s="684"/>
      <c r="GJG70" s="684"/>
      <c r="GJH70" s="684"/>
      <c r="GJI70" s="684"/>
      <c r="GJJ70" s="684"/>
      <c r="GJK70" s="684"/>
      <c r="GJL70" s="684"/>
      <c r="GJM70" s="684"/>
      <c r="GJN70" s="684"/>
      <c r="GJO70" s="684"/>
      <c r="GJP70" s="684"/>
      <c r="GJQ70" s="684"/>
      <c r="GJR70" s="684"/>
      <c r="GJS70" s="684"/>
      <c r="GJT70" s="684"/>
      <c r="GJU70" s="684"/>
      <c r="GJV70" s="684"/>
      <c r="GJW70" s="684"/>
      <c r="GJX70" s="684"/>
      <c r="GJY70" s="684"/>
      <c r="GJZ70" s="684"/>
      <c r="GKA70" s="684"/>
      <c r="GKB70" s="684"/>
      <c r="GKC70" s="684"/>
      <c r="GKD70" s="684"/>
      <c r="GKE70" s="684"/>
      <c r="GKF70" s="684"/>
      <c r="GKG70" s="684"/>
      <c r="GKH70" s="684"/>
      <c r="GKI70" s="684"/>
      <c r="GKJ70" s="684"/>
      <c r="GKK70" s="684"/>
      <c r="GKL70" s="684"/>
      <c r="GKM70" s="684"/>
      <c r="GKN70" s="684"/>
      <c r="GKO70" s="684"/>
      <c r="GKP70" s="684"/>
      <c r="GKQ70" s="684"/>
      <c r="GKR70" s="684"/>
      <c r="GKS70" s="684"/>
      <c r="GKT70" s="684"/>
      <c r="GKU70" s="684"/>
      <c r="GKV70" s="684"/>
      <c r="GKW70" s="684"/>
      <c r="GKX70" s="684"/>
      <c r="GKY70" s="684"/>
      <c r="GKZ70" s="684"/>
      <c r="GLA70" s="684"/>
      <c r="GLB70" s="684"/>
      <c r="GLC70" s="684"/>
      <c r="GLD70" s="684"/>
      <c r="GLE70" s="684"/>
      <c r="GLF70" s="684"/>
      <c r="GLG70" s="684"/>
      <c r="GLH70" s="684"/>
      <c r="GLI70" s="684"/>
      <c r="GLJ70" s="684"/>
      <c r="GLK70" s="684"/>
      <c r="GLL70" s="684"/>
      <c r="GLM70" s="684"/>
      <c r="GLN70" s="684"/>
      <c r="GLO70" s="684"/>
      <c r="GLP70" s="684"/>
      <c r="GLQ70" s="684"/>
      <c r="GLR70" s="684"/>
      <c r="GLS70" s="684"/>
      <c r="GLT70" s="684"/>
      <c r="GLU70" s="684"/>
      <c r="GLV70" s="684"/>
      <c r="GLW70" s="684"/>
      <c r="GLX70" s="684"/>
      <c r="GLY70" s="684"/>
      <c r="GLZ70" s="684"/>
      <c r="GMA70" s="684"/>
      <c r="GMB70" s="684"/>
      <c r="GMC70" s="684"/>
      <c r="GMD70" s="684"/>
      <c r="GME70" s="684"/>
      <c r="GMF70" s="684"/>
      <c r="GMG70" s="684"/>
      <c r="GMH70" s="684"/>
      <c r="GMI70" s="684"/>
      <c r="GMJ70" s="684"/>
      <c r="GMK70" s="684"/>
      <c r="GML70" s="684"/>
      <c r="GMM70" s="684"/>
      <c r="GMN70" s="684"/>
      <c r="GMO70" s="684"/>
      <c r="GMP70" s="684"/>
      <c r="GMQ70" s="684"/>
      <c r="GMR70" s="684"/>
      <c r="GMS70" s="684"/>
      <c r="GMT70" s="684"/>
      <c r="GMU70" s="684"/>
      <c r="GMV70" s="684"/>
      <c r="GMW70" s="684"/>
      <c r="GMX70" s="684"/>
      <c r="GMY70" s="684"/>
      <c r="GMZ70" s="684"/>
      <c r="GNA70" s="684"/>
      <c r="GNB70" s="684"/>
      <c r="GNC70" s="684"/>
      <c r="GND70" s="684"/>
      <c r="GNE70" s="684"/>
      <c r="GNF70" s="684"/>
      <c r="GNG70" s="684"/>
      <c r="GNH70" s="684"/>
      <c r="GNI70" s="684"/>
      <c r="GNJ70" s="684"/>
      <c r="GNK70" s="684"/>
      <c r="GNL70" s="684"/>
      <c r="GNM70" s="684"/>
      <c r="GNN70" s="684"/>
      <c r="GNO70" s="684"/>
      <c r="GNP70" s="684"/>
      <c r="GNQ70" s="684"/>
      <c r="GNR70" s="684"/>
      <c r="GNS70" s="684"/>
      <c r="GNT70" s="684"/>
      <c r="GNU70" s="684"/>
      <c r="GNV70" s="684"/>
      <c r="GNW70" s="684"/>
      <c r="GNX70" s="684"/>
      <c r="GNY70" s="684"/>
      <c r="GNZ70" s="684"/>
      <c r="GOA70" s="684"/>
      <c r="GOB70" s="684"/>
      <c r="GOC70" s="684"/>
      <c r="GOD70" s="684"/>
      <c r="GOE70" s="684"/>
      <c r="GOF70" s="684"/>
      <c r="GOG70" s="684"/>
      <c r="GOH70" s="684"/>
      <c r="GOI70" s="684"/>
      <c r="GOJ70" s="684"/>
      <c r="GOK70" s="684"/>
      <c r="GOL70" s="684"/>
      <c r="GOM70" s="684"/>
      <c r="GON70" s="684"/>
      <c r="GOO70" s="684"/>
      <c r="GOP70" s="684"/>
      <c r="GOQ70" s="684"/>
      <c r="GOR70" s="684"/>
      <c r="GOS70" s="684"/>
      <c r="GOT70" s="684"/>
      <c r="GOU70" s="684"/>
      <c r="GOV70" s="684"/>
      <c r="GOW70" s="684"/>
      <c r="GOX70" s="684"/>
      <c r="GOY70" s="684"/>
      <c r="GOZ70" s="684"/>
      <c r="GPA70" s="684"/>
      <c r="GPB70" s="684"/>
      <c r="GPC70" s="684"/>
      <c r="GPD70" s="684"/>
      <c r="GPE70" s="684"/>
      <c r="GPF70" s="684"/>
      <c r="GPG70" s="684"/>
      <c r="GPH70" s="684"/>
      <c r="GPI70" s="684"/>
      <c r="GPJ70" s="684"/>
      <c r="GPK70" s="684"/>
      <c r="GPL70" s="684"/>
      <c r="GPM70" s="684"/>
      <c r="GPN70" s="684"/>
      <c r="GPO70" s="684"/>
      <c r="GPP70" s="684"/>
      <c r="GPQ70" s="684"/>
      <c r="GPR70" s="684"/>
      <c r="GPS70" s="684"/>
      <c r="GPT70" s="684"/>
      <c r="GPU70" s="684"/>
      <c r="GPV70" s="684"/>
      <c r="GPW70" s="684"/>
      <c r="GPX70" s="684"/>
      <c r="GPY70" s="684"/>
      <c r="GPZ70" s="684"/>
      <c r="GQA70" s="684"/>
      <c r="GQB70" s="684"/>
      <c r="GQC70" s="684"/>
      <c r="GQD70" s="684"/>
      <c r="GQE70" s="684"/>
      <c r="GQF70" s="684"/>
      <c r="GQG70" s="684"/>
      <c r="GQH70" s="684"/>
      <c r="GQI70" s="684"/>
      <c r="GQJ70" s="684"/>
      <c r="GQK70" s="684"/>
      <c r="GQL70" s="684"/>
      <c r="GQM70" s="684"/>
      <c r="GQN70" s="684"/>
      <c r="GQO70" s="684"/>
      <c r="GQP70" s="684"/>
      <c r="GQQ70" s="684"/>
      <c r="GQR70" s="684"/>
      <c r="GQS70" s="684"/>
      <c r="GQT70" s="684"/>
      <c r="GQU70" s="684"/>
      <c r="GQV70" s="684"/>
      <c r="GQW70" s="684"/>
      <c r="GQX70" s="684"/>
      <c r="GQY70" s="684"/>
      <c r="GQZ70" s="684"/>
      <c r="GRA70" s="684"/>
      <c r="GRB70" s="684"/>
      <c r="GRC70" s="684"/>
      <c r="GRD70" s="684"/>
      <c r="GRE70" s="684"/>
      <c r="GRF70" s="684"/>
      <c r="GRG70" s="684"/>
      <c r="GRH70" s="684"/>
      <c r="GRI70" s="684"/>
      <c r="GRJ70" s="684"/>
      <c r="GRK70" s="684"/>
      <c r="GRL70" s="684"/>
      <c r="GRM70" s="684"/>
      <c r="GRN70" s="684"/>
      <c r="GRO70" s="684"/>
      <c r="GRP70" s="684"/>
      <c r="GRQ70" s="684"/>
      <c r="GRR70" s="684"/>
      <c r="GRS70" s="684"/>
      <c r="GRT70" s="684"/>
      <c r="GRU70" s="684"/>
      <c r="GRV70" s="684"/>
      <c r="GRW70" s="684"/>
      <c r="GRX70" s="684"/>
      <c r="GRY70" s="684"/>
      <c r="GRZ70" s="684"/>
      <c r="GSA70" s="684"/>
      <c r="GSB70" s="684"/>
      <c r="GSC70" s="684"/>
      <c r="GSD70" s="684"/>
      <c r="GSE70" s="684"/>
      <c r="GSF70" s="684"/>
      <c r="GSG70" s="684"/>
      <c r="GSH70" s="684"/>
      <c r="GSI70" s="684"/>
      <c r="GSJ70" s="684"/>
      <c r="GSK70" s="684"/>
      <c r="GSL70" s="684"/>
      <c r="GSM70" s="684"/>
      <c r="GSN70" s="684"/>
      <c r="GSO70" s="684"/>
      <c r="GSP70" s="684"/>
      <c r="GSQ70" s="684"/>
      <c r="GSR70" s="684"/>
      <c r="GSS70" s="684"/>
      <c r="GST70" s="684"/>
      <c r="GSU70" s="684"/>
      <c r="GSV70" s="684"/>
      <c r="GSW70" s="684"/>
      <c r="GSX70" s="684"/>
      <c r="GSY70" s="684"/>
      <c r="GSZ70" s="684"/>
      <c r="GTA70" s="684"/>
      <c r="GTB70" s="684"/>
      <c r="GTC70" s="684"/>
      <c r="GTD70" s="684"/>
      <c r="GTE70" s="684"/>
      <c r="GTF70" s="684"/>
      <c r="GTG70" s="684"/>
      <c r="GTH70" s="684"/>
      <c r="GTI70" s="684"/>
      <c r="GTJ70" s="684"/>
      <c r="GTK70" s="684"/>
      <c r="GTL70" s="684"/>
      <c r="GTM70" s="684"/>
      <c r="GTN70" s="684"/>
      <c r="GTO70" s="684"/>
      <c r="GTP70" s="684"/>
      <c r="GTQ70" s="684"/>
      <c r="GTR70" s="684"/>
      <c r="GTS70" s="684"/>
      <c r="GTT70" s="684"/>
      <c r="GTU70" s="684"/>
      <c r="GTV70" s="684"/>
      <c r="GTW70" s="684"/>
      <c r="GTX70" s="684"/>
      <c r="GTY70" s="684"/>
      <c r="GTZ70" s="684"/>
      <c r="GUA70" s="684"/>
      <c r="GUB70" s="684"/>
      <c r="GUC70" s="684"/>
      <c r="GUD70" s="684"/>
      <c r="GUE70" s="684"/>
      <c r="GUF70" s="684"/>
      <c r="GUG70" s="684"/>
      <c r="GUH70" s="684"/>
      <c r="GUI70" s="684"/>
      <c r="GUJ70" s="684"/>
      <c r="GUK70" s="684"/>
      <c r="GUL70" s="684"/>
      <c r="GUM70" s="684"/>
      <c r="GUN70" s="684"/>
      <c r="GUO70" s="684"/>
      <c r="GUP70" s="684"/>
      <c r="GUQ70" s="684"/>
      <c r="GUR70" s="684"/>
      <c r="GUS70" s="684"/>
      <c r="GUT70" s="684"/>
      <c r="GUU70" s="684"/>
      <c r="GUV70" s="684"/>
      <c r="GUW70" s="684"/>
      <c r="GUX70" s="684"/>
      <c r="GUY70" s="684"/>
      <c r="GUZ70" s="684"/>
      <c r="GVA70" s="684"/>
      <c r="GVB70" s="684"/>
      <c r="GVC70" s="684"/>
      <c r="GVD70" s="684"/>
      <c r="GVE70" s="684"/>
      <c r="GVF70" s="684"/>
      <c r="GVG70" s="684"/>
      <c r="GVH70" s="684"/>
      <c r="GVI70" s="684"/>
      <c r="GVJ70" s="684"/>
      <c r="GVK70" s="684"/>
      <c r="GVL70" s="684"/>
      <c r="GVM70" s="684"/>
      <c r="GVN70" s="684"/>
      <c r="GVO70" s="684"/>
      <c r="GVP70" s="684"/>
      <c r="GVQ70" s="684"/>
      <c r="GVR70" s="684"/>
      <c r="GVS70" s="684"/>
      <c r="GVT70" s="684"/>
      <c r="GVU70" s="684"/>
      <c r="GVV70" s="684"/>
      <c r="GVW70" s="684"/>
      <c r="GVX70" s="684"/>
      <c r="GVY70" s="684"/>
      <c r="GVZ70" s="684"/>
      <c r="GWA70" s="684"/>
      <c r="GWB70" s="684"/>
      <c r="GWC70" s="684"/>
      <c r="GWD70" s="684"/>
      <c r="GWE70" s="684"/>
      <c r="GWF70" s="684"/>
      <c r="GWG70" s="684"/>
      <c r="GWH70" s="684"/>
      <c r="GWI70" s="684"/>
      <c r="GWJ70" s="684"/>
      <c r="GWK70" s="684"/>
      <c r="GWL70" s="684"/>
      <c r="GWM70" s="684"/>
      <c r="GWN70" s="684"/>
      <c r="GWO70" s="684"/>
      <c r="GWP70" s="684"/>
      <c r="GWQ70" s="684"/>
      <c r="GWR70" s="684"/>
      <c r="GWS70" s="684"/>
      <c r="GWT70" s="684"/>
      <c r="GWU70" s="684"/>
      <c r="GWV70" s="684"/>
      <c r="GWW70" s="684"/>
      <c r="GWX70" s="684"/>
      <c r="GWY70" s="684"/>
      <c r="GWZ70" s="684"/>
      <c r="GXA70" s="684"/>
      <c r="GXB70" s="684"/>
      <c r="GXC70" s="684"/>
      <c r="GXD70" s="684"/>
      <c r="GXE70" s="684"/>
      <c r="GXF70" s="684"/>
      <c r="GXG70" s="684"/>
      <c r="GXH70" s="684"/>
      <c r="GXI70" s="684"/>
      <c r="GXJ70" s="684"/>
      <c r="GXK70" s="684"/>
      <c r="GXL70" s="684"/>
      <c r="GXM70" s="684"/>
      <c r="GXN70" s="684"/>
      <c r="GXO70" s="684"/>
      <c r="GXP70" s="684"/>
      <c r="GXQ70" s="684"/>
      <c r="GXR70" s="684"/>
      <c r="GXS70" s="684"/>
      <c r="GXT70" s="684"/>
      <c r="GXU70" s="684"/>
      <c r="GXV70" s="684"/>
      <c r="GXW70" s="684"/>
      <c r="GXX70" s="684"/>
      <c r="GXY70" s="684"/>
      <c r="GXZ70" s="684"/>
      <c r="GYA70" s="684"/>
      <c r="GYB70" s="684"/>
      <c r="GYC70" s="684"/>
      <c r="GYD70" s="684"/>
      <c r="GYE70" s="684"/>
      <c r="GYF70" s="684"/>
      <c r="GYG70" s="684"/>
      <c r="GYH70" s="684"/>
      <c r="GYI70" s="684"/>
      <c r="GYJ70" s="684"/>
      <c r="GYK70" s="684"/>
      <c r="GYL70" s="684"/>
      <c r="GYM70" s="684"/>
      <c r="GYN70" s="684"/>
      <c r="GYO70" s="684"/>
      <c r="GYP70" s="684"/>
      <c r="GYQ70" s="684"/>
      <c r="GYR70" s="684"/>
      <c r="GYS70" s="684"/>
      <c r="GYT70" s="684"/>
      <c r="GYU70" s="684"/>
      <c r="GYV70" s="684"/>
      <c r="GYW70" s="684"/>
      <c r="GYX70" s="684"/>
      <c r="GYY70" s="684"/>
      <c r="GYZ70" s="684"/>
      <c r="GZA70" s="684"/>
      <c r="GZB70" s="684"/>
      <c r="GZC70" s="684"/>
      <c r="GZD70" s="684"/>
      <c r="GZE70" s="684"/>
      <c r="GZF70" s="684"/>
      <c r="GZG70" s="684"/>
      <c r="GZH70" s="684"/>
      <c r="GZI70" s="684"/>
      <c r="GZJ70" s="684"/>
      <c r="GZK70" s="684"/>
      <c r="GZL70" s="684"/>
      <c r="GZM70" s="684"/>
      <c r="GZN70" s="684"/>
      <c r="GZO70" s="684"/>
      <c r="GZP70" s="684"/>
      <c r="GZQ70" s="684"/>
      <c r="GZR70" s="684"/>
      <c r="GZS70" s="684"/>
      <c r="GZT70" s="684"/>
      <c r="GZU70" s="684"/>
      <c r="GZV70" s="684"/>
      <c r="GZW70" s="684"/>
      <c r="GZX70" s="684"/>
      <c r="GZY70" s="684"/>
      <c r="GZZ70" s="684"/>
      <c r="HAA70" s="684"/>
      <c r="HAB70" s="684"/>
      <c r="HAC70" s="684"/>
      <c r="HAD70" s="684"/>
      <c r="HAE70" s="684"/>
      <c r="HAF70" s="684"/>
      <c r="HAG70" s="684"/>
      <c r="HAH70" s="684"/>
      <c r="HAI70" s="684"/>
      <c r="HAJ70" s="684"/>
      <c r="HAK70" s="684"/>
      <c r="HAL70" s="684"/>
      <c r="HAM70" s="684"/>
      <c r="HAN70" s="684"/>
      <c r="HAO70" s="684"/>
      <c r="HAP70" s="684"/>
      <c r="HAQ70" s="684"/>
      <c r="HAR70" s="684"/>
      <c r="HAS70" s="684"/>
      <c r="HAT70" s="684"/>
      <c r="HAU70" s="684"/>
      <c r="HAV70" s="684"/>
      <c r="HAW70" s="684"/>
      <c r="HAX70" s="684"/>
      <c r="HAY70" s="684"/>
      <c r="HAZ70" s="684"/>
      <c r="HBA70" s="684"/>
      <c r="HBB70" s="684"/>
      <c r="HBC70" s="684"/>
      <c r="HBD70" s="684"/>
      <c r="HBE70" s="684"/>
      <c r="HBF70" s="684"/>
      <c r="HBG70" s="684"/>
      <c r="HBH70" s="684"/>
      <c r="HBI70" s="684"/>
      <c r="HBJ70" s="684"/>
      <c r="HBK70" s="684"/>
      <c r="HBL70" s="684"/>
      <c r="HBM70" s="684"/>
      <c r="HBN70" s="684"/>
      <c r="HBO70" s="684"/>
      <c r="HBP70" s="684"/>
      <c r="HBQ70" s="684"/>
      <c r="HBR70" s="684"/>
      <c r="HBS70" s="684"/>
      <c r="HBT70" s="684"/>
      <c r="HBU70" s="684"/>
      <c r="HBV70" s="684"/>
      <c r="HBW70" s="684"/>
      <c r="HBX70" s="684"/>
      <c r="HBY70" s="684"/>
      <c r="HBZ70" s="684"/>
      <c r="HCA70" s="684"/>
      <c r="HCB70" s="684"/>
      <c r="HCC70" s="684"/>
      <c r="HCD70" s="684"/>
      <c r="HCE70" s="684"/>
      <c r="HCF70" s="684"/>
      <c r="HCG70" s="684"/>
      <c r="HCH70" s="684"/>
      <c r="HCI70" s="684"/>
      <c r="HCJ70" s="684"/>
      <c r="HCK70" s="684"/>
      <c r="HCL70" s="684"/>
      <c r="HCM70" s="684"/>
      <c r="HCN70" s="684"/>
      <c r="HCO70" s="684"/>
      <c r="HCP70" s="684"/>
      <c r="HCQ70" s="684"/>
      <c r="HCR70" s="684"/>
      <c r="HCS70" s="684"/>
      <c r="HCT70" s="684"/>
      <c r="HCU70" s="684"/>
      <c r="HCV70" s="684"/>
      <c r="HCW70" s="684"/>
      <c r="HCX70" s="684"/>
      <c r="HCY70" s="684"/>
      <c r="HCZ70" s="684"/>
      <c r="HDA70" s="684"/>
      <c r="HDB70" s="684"/>
      <c r="HDC70" s="684"/>
      <c r="HDD70" s="684"/>
      <c r="HDE70" s="684"/>
      <c r="HDF70" s="684"/>
      <c r="HDG70" s="684"/>
      <c r="HDH70" s="684"/>
      <c r="HDI70" s="684"/>
      <c r="HDJ70" s="684"/>
      <c r="HDK70" s="684"/>
      <c r="HDL70" s="684"/>
      <c r="HDM70" s="684"/>
      <c r="HDN70" s="684"/>
      <c r="HDO70" s="684"/>
      <c r="HDP70" s="684"/>
      <c r="HDQ70" s="684"/>
      <c r="HDR70" s="684"/>
      <c r="HDS70" s="684"/>
      <c r="HDT70" s="684"/>
      <c r="HDU70" s="684"/>
      <c r="HDV70" s="684"/>
      <c r="HDW70" s="684"/>
      <c r="HDX70" s="684"/>
      <c r="HDY70" s="684"/>
      <c r="HDZ70" s="684"/>
      <c r="HEA70" s="684"/>
      <c r="HEB70" s="684"/>
      <c r="HEC70" s="684"/>
      <c r="HED70" s="684"/>
      <c r="HEE70" s="684"/>
      <c r="HEF70" s="684"/>
      <c r="HEG70" s="684"/>
      <c r="HEH70" s="684"/>
      <c r="HEI70" s="684"/>
      <c r="HEJ70" s="684"/>
      <c r="HEK70" s="684"/>
      <c r="HEL70" s="684"/>
      <c r="HEM70" s="684"/>
      <c r="HEN70" s="684"/>
      <c r="HEO70" s="684"/>
      <c r="HEP70" s="684"/>
      <c r="HEQ70" s="684"/>
      <c r="HER70" s="684"/>
      <c r="HES70" s="684"/>
      <c r="HET70" s="684"/>
      <c r="HEU70" s="684"/>
      <c r="HEV70" s="684"/>
      <c r="HEW70" s="684"/>
      <c r="HEX70" s="684"/>
      <c r="HEY70" s="684"/>
      <c r="HEZ70" s="684"/>
      <c r="HFA70" s="684"/>
      <c r="HFB70" s="684"/>
      <c r="HFC70" s="684"/>
      <c r="HFD70" s="684"/>
      <c r="HFE70" s="684"/>
      <c r="HFF70" s="684"/>
      <c r="HFG70" s="684"/>
      <c r="HFH70" s="684"/>
      <c r="HFI70" s="684"/>
      <c r="HFJ70" s="684"/>
      <c r="HFK70" s="684"/>
      <c r="HFL70" s="684"/>
      <c r="HFM70" s="684"/>
      <c r="HFN70" s="684"/>
      <c r="HFO70" s="684"/>
      <c r="HFP70" s="684"/>
      <c r="HFQ70" s="684"/>
      <c r="HFR70" s="684"/>
      <c r="HFS70" s="684"/>
      <c r="HFT70" s="684"/>
      <c r="HFU70" s="684"/>
      <c r="HFV70" s="684"/>
      <c r="HFW70" s="684"/>
      <c r="HFX70" s="684"/>
      <c r="HFY70" s="684"/>
      <c r="HFZ70" s="684"/>
      <c r="HGA70" s="684"/>
      <c r="HGB70" s="684"/>
      <c r="HGC70" s="684"/>
      <c r="HGD70" s="684"/>
      <c r="HGE70" s="684"/>
      <c r="HGF70" s="684"/>
      <c r="HGG70" s="684"/>
      <c r="HGH70" s="684"/>
      <c r="HGI70" s="684"/>
      <c r="HGJ70" s="684"/>
      <c r="HGK70" s="684"/>
      <c r="HGL70" s="684"/>
      <c r="HGM70" s="684"/>
      <c r="HGN70" s="684"/>
      <c r="HGO70" s="684"/>
      <c r="HGP70" s="684"/>
      <c r="HGQ70" s="684"/>
      <c r="HGR70" s="684"/>
      <c r="HGS70" s="684"/>
      <c r="HGT70" s="684"/>
      <c r="HGU70" s="684"/>
      <c r="HGV70" s="684"/>
      <c r="HGW70" s="684"/>
      <c r="HGX70" s="684"/>
      <c r="HGY70" s="684"/>
      <c r="HGZ70" s="684"/>
      <c r="HHA70" s="684"/>
      <c r="HHB70" s="684"/>
      <c r="HHC70" s="684"/>
      <c r="HHD70" s="684"/>
      <c r="HHE70" s="684"/>
      <c r="HHF70" s="684"/>
      <c r="HHG70" s="684"/>
      <c r="HHH70" s="684"/>
      <c r="HHI70" s="684"/>
      <c r="HHJ70" s="684"/>
      <c r="HHK70" s="684"/>
      <c r="HHL70" s="684"/>
      <c r="HHM70" s="684"/>
      <c r="HHN70" s="684"/>
      <c r="HHO70" s="684"/>
      <c r="HHP70" s="684"/>
      <c r="HHQ70" s="684"/>
      <c r="HHR70" s="684"/>
      <c r="HHS70" s="684"/>
      <c r="HHT70" s="684"/>
      <c r="HHU70" s="684"/>
      <c r="HHV70" s="684"/>
      <c r="HHW70" s="684"/>
      <c r="HHX70" s="684"/>
      <c r="HHY70" s="684"/>
      <c r="HHZ70" s="684"/>
      <c r="HIA70" s="684"/>
      <c r="HIB70" s="684"/>
      <c r="HIC70" s="684"/>
      <c r="HID70" s="684"/>
      <c r="HIE70" s="684"/>
      <c r="HIF70" s="684"/>
      <c r="HIG70" s="684"/>
      <c r="HIH70" s="684"/>
      <c r="HII70" s="684"/>
      <c r="HIJ70" s="684"/>
      <c r="HIK70" s="684"/>
      <c r="HIL70" s="684"/>
      <c r="HIM70" s="684"/>
      <c r="HIN70" s="684"/>
      <c r="HIO70" s="684"/>
      <c r="HIP70" s="684"/>
      <c r="HIQ70" s="684"/>
      <c r="HIR70" s="684"/>
      <c r="HIS70" s="684"/>
      <c r="HIT70" s="684"/>
      <c r="HIU70" s="684"/>
      <c r="HIV70" s="684"/>
      <c r="HIW70" s="684"/>
      <c r="HIX70" s="684"/>
      <c r="HIY70" s="684"/>
      <c r="HIZ70" s="684"/>
      <c r="HJA70" s="684"/>
      <c r="HJB70" s="684"/>
      <c r="HJC70" s="684"/>
      <c r="HJD70" s="684"/>
      <c r="HJE70" s="684"/>
      <c r="HJF70" s="684"/>
      <c r="HJG70" s="684"/>
      <c r="HJH70" s="684"/>
      <c r="HJI70" s="684"/>
      <c r="HJJ70" s="684"/>
      <c r="HJK70" s="684"/>
      <c r="HJL70" s="684"/>
      <c r="HJM70" s="684"/>
      <c r="HJN70" s="684"/>
      <c r="HJO70" s="684"/>
      <c r="HJP70" s="684"/>
      <c r="HJQ70" s="684"/>
      <c r="HJR70" s="684"/>
      <c r="HJS70" s="684"/>
      <c r="HJT70" s="684"/>
      <c r="HJU70" s="684"/>
      <c r="HJV70" s="684"/>
      <c r="HJW70" s="684"/>
      <c r="HJX70" s="684"/>
      <c r="HJY70" s="684"/>
      <c r="HJZ70" s="684"/>
      <c r="HKA70" s="684"/>
      <c r="HKB70" s="684"/>
      <c r="HKC70" s="684"/>
      <c r="HKD70" s="684"/>
      <c r="HKE70" s="684"/>
      <c r="HKF70" s="684"/>
      <c r="HKG70" s="684"/>
      <c r="HKH70" s="684"/>
      <c r="HKI70" s="684"/>
      <c r="HKJ70" s="684"/>
      <c r="HKK70" s="684"/>
      <c r="HKL70" s="684"/>
      <c r="HKM70" s="684"/>
      <c r="HKN70" s="684"/>
      <c r="HKO70" s="684"/>
      <c r="HKP70" s="684"/>
      <c r="HKQ70" s="684"/>
      <c r="HKR70" s="684"/>
      <c r="HKS70" s="684"/>
      <c r="HKT70" s="684"/>
      <c r="HKU70" s="684"/>
      <c r="HKV70" s="684"/>
      <c r="HKW70" s="684"/>
      <c r="HKX70" s="684"/>
      <c r="HKY70" s="684"/>
      <c r="HKZ70" s="684"/>
      <c r="HLA70" s="684"/>
      <c r="HLB70" s="684"/>
      <c r="HLC70" s="684"/>
      <c r="HLD70" s="684"/>
      <c r="HLE70" s="684"/>
      <c r="HLF70" s="684"/>
      <c r="HLG70" s="684"/>
      <c r="HLH70" s="684"/>
      <c r="HLI70" s="684"/>
      <c r="HLJ70" s="684"/>
      <c r="HLK70" s="684"/>
      <c r="HLL70" s="684"/>
      <c r="HLM70" s="684"/>
      <c r="HLN70" s="684"/>
      <c r="HLO70" s="684"/>
      <c r="HLP70" s="684"/>
      <c r="HLQ70" s="684"/>
      <c r="HLR70" s="684"/>
      <c r="HLS70" s="684"/>
      <c r="HLT70" s="684"/>
      <c r="HLU70" s="684"/>
      <c r="HLV70" s="684"/>
      <c r="HLW70" s="684"/>
      <c r="HLX70" s="684"/>
      <c r="HLY70" s="684"/>
      <c r="HLZ70" s="684"/>
      <c r="HMA70" s="684"/>
      <c r="HMB70" s="684"/>
      <c r="HMC70" s="684"/>
      <c r="HMD70" s="684"/>
      <c r="HME70" s="684"/>
      <c r="HMF70" s="684"/>
      <c r="HMG70" s="684"/>
      <c r="HMH70" s="684"/>
      <c r="HMI70" s="684"/>
      <c r="HMJ70" s="684"/>
      <c r="HMK70" s="684"/>
      <c r="HML70" s="684"/>
      <c r="HMM70" s="684"/>
      <c r="HMN70" s="684"/>
      <c r="HMO70" s="684"/>
      <c r="HMP70" s="684"/>
      <c r="HMQ70" s="684"/>
      <c r="HMR70" s="684"/>
      <c r="HMS70" s="684"/>
      <c r="HMT70" s="684"/>
      <c r="HMU70" s="684"/>
      <c r="HMV70" s="684"/>
      <c r="HMW70" s="684"/>
      <c r="HMX70" s="684"/>
      <c r="HMY70" s="684"/>
      <c r="HMZ70" s="684"/>
      <c r="HNA70" s="684"/>
      <c r="HNB70" s="684"/>
      <c r="HNC70" s="684"/>
      <c r="HND70" s="684"/>
      <c r="HNE70" s="684"/>
      <c r="HNF70" s="684"/>
      <c r="HNG70" s="684"/>
      <c r="HNH70" s="684"/>
      <c r="HNI70" s="684"/>
      <c r="HNJ70" s="684"/>
      <c r="HNK70" s="684"/>
      <c r="HNL70" s="684"/>
      <c r="HNM70" s="684"/>
      <c r="HNN70" s="684"/>
      <c r="HNO70" s="684"/>
      <c r="HNP70" s="684"/>
      <c r="HNQ70" s="684"/>
      <c r="HNR70" s="684"/>
      <c r="HNS70" s="684"/>
      <c r="HNT70" s="684"/>
      <c r="HNU70" s="684"/>
      <c r="HNV70" s="684"/>
      <c r="HNW70" s="684"/>
      <c r="HNX70" s="684"/>
      <c r="HNY70" s="684"/>
      <c r="HNZ70" s="684"/>
      <c r="HOA70" s="684"/>
      <c r="HOB70" s="684"/>
      <c r="HOC70" s="684"/>
      <c r="HOD70" s="684"/>
      <c r="HOE70" s="684"/>
      <c r="HOF70" s="684"/>
      <c r="HOG70" s="684"/>
      <c r="HOH70" s="684"/>
      <c r="HOI70" s="684"/>
      <c r="HOJ70" s="684"/>
      <c r="HOK70" s="684"/>
      <c r="HOL70" s="684"/>
      <c r="HOM70" s="684"/>
      <c r="HON70" s="684"/>
      <c r="HOO70" s="684"/>
      <c r="HOP70" s="684"/>
      <c r="HOQ70" s="684"/>
      <c r="HOR70" s="684"/>
      <c r="HOS70" s="684"/>
      <c r="HOT70" s="684"/>
      <c r="HOU70" s="684"/>
      <c r="HOV70" s="684"/>
      <c r="HOW70" s="684"/>
      <c r="HOX70" s="684"/>
      <c r="HOY70" s="684"/>
      <c r="HOZ70" s="684"/>
      <c r="HPA70" s="684"/>
      <c r="HPB70" s="684"/>
      <c r="HPC70" s="684"/>
      <c r="HPD70" s="684"/>
      <c r="HPE70" s="684"/>
      <c r="HPF70" s="684"/>
      <c r="HPG70" s="684"/>
      <c r="HPH70" s="684"/>
      <c r="HPI70" s="684"/>
      <c r="HPJ70" s="684"/>
      <c r="HPK70" s="684"/>
      <c r="HPL70" s="684"/>
      <c r="HPM70" s="684"/>
      <c r="HPN70" s="684"/>
      <c r="HPO70" s="684"/>
      <c r="HPP70" s="684"/>
      <c r="HPQ70" s="684"/>
      <c r="HPR70" s="684"/>
      <c r="HPS70" s="684"/>
      <c r="HPT70" s="684"/>
      <c r="HPU70" s="684"/>
      <c r="HPV70" s="684"/>
      <c r="HPW70" s="684"/>
      <c r="HPX70" s="684"/>
      <c r="HPY70" s="684"/>
      <c r="HPZ70" s="684"/>
      <c r="HQA70" s="684"/>
      <c r="HQB70" s="684"/>
      <c r="HQC70" s="684"/>
      <c r="HQD70" s="684"/>
      <c r="HQE70" s="684"/>
      <c r="HQF70" s="684"/>
      <c r="HQG70" s="684"/>
      <c r="HQH70" s="684"/>
      <c r="HQI70" s="684"/>
      <c r="HQJ70" s="684"/>
      <c r="HQK70" s="684"/>
      <c r="HQL70" s="684"/>
      <c r="HQM70" s="684"/>
      <c r="HQN70" s="684"/>
      <c r="HQO70" s="684"/>
      <c r="HQP70" s="684"/>
      <c r="HQQ70" s="684"/>
      <c r="HQR70" s="684"/>
      <c r="HQS70" s="684"/>
      <c r="HQT70" s="684"/>
      <c r="HQU70" s="684"/>
      <c r="HQV70" s="684"/>
      <c r="HQW70" s="684"/>
      <c r="HQX70" s="684"/>
      <c r="HQY70" s="684"/>
      <c r="HQZ70" s="684"/>
      <c r="HRA70" s="684"/>
      <c r="HRB70" s="684"/>
      <c r="HRC70" s="684"/>
      <c r="HRD70" s="684"/>
      <c r="HRE70" s="684"/>
      <c r="HRF70" s="684"/>
      <c r="HRG70" s="684"/>
      <c r="HRH70" s="684"/>
      <c r="HRI70" s="684"/>
      <c r="HRJ70" s="684"/>
      <c r="HRK70" s="684"/>
      <c r="HRL70" s="684"/>
      <c r="HRM70" s="684"/>
      <c r="HRN70" s="684"/>
      <c r="HRO70" s="684"/>
      <c r="HRP70" s="684"/>
      <c r="HRQ70" s="684"/>
      <c r="HRR70" s="684"/>
      <c r="HRS70" s="684"/>
      <c r="HRT70" s="684"/>
      <c r="HRU70" s="684"/>
      <c r="HRV70" s="684"/>
      <c r="HRW70" s="684"/>
      <c r="HRX70" s="684"/>
      <c r="HRY70" s="684"/>
      <c r="HRZ70" s="684"/>
      <c r="HSA70" s="684"/>
      <c r="HSB70" s="684"/>
      <c r="HSC70" s="684"/>
      <c r="HSD70" s="684"/>
      <c r="HSE70" s="684"/>
      <c r="HSF70" s="684"/>
      <c r="HSG70" s="684"/>
      <c r="HSH70" s="684"/>
      <c r="HSI70" s="684"/>
      <c r="HSJ70" s="684"/>
      <c r="HSK70" s="684"/>
      <c r="HSL70" s="684"/>
      <c r="HSM70" s="684"/>
      <c r="HSN70" s="684"/>
      <c r="HSO70" s="684"/>
      <c r="HSP70" s="684"/>
      <c r="HSQ70" s="684"/>
      <c r="HSR70" s="684"/>
      <c r="HSS70" s="684"/>
      <c r="HST70" s="684"/>
      <c r="HSU70" s="684"/>
      <c r="HSV70" s="684"/>
      <c r="HSW70" s="684"/>
      <c r="HSX70" s="684"/>
      <c r="HSY70" s="684"/>
      <c r="HSZ70" s="684"/>
      <c r="HTA70" s="684"/>
      <c r="HTB70" s="684"/>
      <c r="HTC70" s="684"/>
      <c r="HTD70" s="684"/>
      <c r="HTE70" s="684"/>
      <c r="HTF70" s="684"/>
      <c r="HTG70" s="684"/>
      <c r="HTH70" s="684"/>
      <c r="HTI70" s="684"/>
      <c r="HTJ70" s="684"/>
      <c r="HTK70" s="684"/>
      <c r="HTL70" s="684"/>
      <c r="HTM70" s="684"/>
      <c r="HTN70" s="684"/>
      <c r="HTO70" s="684"/>
      <c r="HTP70" s="684"/>
      <c r="HTQ70" s="684"/>
      <c r="HTR70" s="684"/>
      <c r="HTS70" s="684"/>
      <c r="HTT70" s="684"/>
      <c r="HTU70" s="684"/>
      <c r="HTV70" s="684"/>
      <c r="HTW70" s="684"/>
      <c r="HTX70" s="684"/>
      <c r="HTY70" s="684"/>
      <c r="HTZ70" s="684"/>
      <c r="HUA70" s="684"/>
      <c r="HUB70" s="684"/>
      <c r="HUC70" s="684"/>
      <c r="HUD70" s="684"/>
      <c r="HUE70" s="684"/>
      <c r="HUF70" s="684"/>
      <c r="HUG70" s="684"/>
      <c r="HUH70" s="684"/>
      <c r="HUI70" s="684"/>
      <c r="HUJ70" s="684"/>
      <c r="HUK70" s="684"/>
      <c r="HUL70" s="684"/>
      <c r="HUM70" s="684"/>
      <c r="HUN70" s="684"/>
      <c r="HUO70" s="684"/>
      <c r="HUP70" s="684"/>
      <c r="HUQ70" s="684"/>
      <c r="HUR70" s="684"/>
      <c r="HUS70" s="684"/>
      <c r="HUT70" s="684"/>
      <c r="HUU70" s="684"/>
      <c r="HUV70" s="684"/>
      <c r="HUW70" s="684"/>
      <c r="HUX70" s="684"/>
      <c r="HUY70" s="684"/>
      <c r="HUZ70" s="684"/>
      <c r="HVA70" s="684"/>
      <c r="HVB70" s="684"/>
      <c r="HVC70" s="684"/>
      <c r="HVD70" s="684"/>
      <c r="HVE70" s="684"/>
      <c r="HVF70" s="684"/>
      <c r="HVG70" s="684"/>
      <c r="HVH70" s="684"/>
      <c r="HVI70" s="684"/>
      <c r="HVJ70" s="684"/>
      <c r="HVK70" s="684"/>
      <c r="HVL70" s="684"/>
      <c r="HVM70" s="684"/>
      <c r="HVN70" s="684"/>
      <c r="HVO70" s="684"/>
      <c r="HVP70" s="684"/>
      <c r="HVQ70" s="684"/>
      <c r="HVR70" s="684"/>
      <c r="HVS70" s="684"/>
      <c r="HVT70" s="684"/>
      <c r="HVU70" s="684"/>
      <c r="HVV70" s="684"/>
      <c r="HVW70" s="684"/>
      <c r="HVX70" s="684"/>
      <c r="HVY70" s="684"/>
      <c r="HVZ70" s="684"/>
      <c r="HWA70" s="684"/>
      <c r="HWB70" s="684"/>
      <c r="HWC70" s="684"/>
      <c r="HWD70" s="684"/>
      <c r="HWE70" s="684"/>
      <c r="HWF70" s="684"/>
      <c r="HWG70" s="684"/>
      <c r="HWH70" s="684"/>
      <c r="HWI70" s="684"/>
      <c r="HWJ70" s="684"/>
      <c r="HWK70" s="684"/>
      <c r="HWL70" s="684"/>
      <c r="HWM70" s="684"/>
      <c r="HWN70" s="684"/>
      <c r="HWO70" s="684"/>
      <c r="HWP70" s="684"/>
      <c r="HWQ70" s="684"/>
      <c r="HWR70" s="684"/>
      <c r="HWS70" s="684"/>
      <c r="HWT70" s="684"/>
      <c r="HWU70" s="684"/>
      <c r="HWV70" s="684"/>
      <c r="HWW70" s="684"/>
      <c r="HWX70" s="684"/>
      <c r="HWY70" s="684"/>
      <c r="HWZ70" s="684"/>
      <c r="HXA70" s="684"/>
      <c r="HXB70" s="684"/>
      <c r="HXC70" s="684"/>
      <c r="HXD70" s="684"/>
      <c r="HXE70" s="684"/>
      <c r="HXF70" s="684"/>
      <c r="HXG70" s="684"/>
      <c r="HXH70" s="684"/>
      <c r="HXI70" s="684"/>
      <c r="HXJ70" s="684"/>
      <c r="HXK70" s="684"/>
      <c r="HXL70" s="684"/>
      <c r="HXM70" s="684"/>
      <c r="HXN70" s="684"/>
      <c r="HXO70" s="684"/>
      <c r="HXP70" s="684"/>
      <c r="HXQ70" s="684"/>
      <c r="HXR70" s="684"/>
      <c r="HXS70" s="684"/>
      <c r="HXT70" s="684"/>
      <c r="HXU70" s="684"/>
      <c r="HXV70" s="684"/>
      <c r="HXW70" s="684"/>
      <c r="HXX70" s="684"/>
      <c r="HXY70" s="684"/>
      <c r="HXZ70" s="684"/>
      <c r="HYA70" s="684"/>
      <c r="HYB70" s="684"/>
      <c r="HYC70" s="684"/>
      <c r="HYD70" s="684"/>
      <c r="HYE70" s="684"/>
      <c r="HYF70" s="684"/>
      <c r="HYG70" s="684"/>
      <c r="HYH70" s="684"/>
      <c r="HYI70" s="684"/>
      <c r="HYJ70" s="684"/>
      <c r="HYK70" s="684"/>
      <c r="HYL70" s="684"/>
      <c r="HYM70" s="684"/>
      <c r="HYN70" s="684"/>
      <c r="HYO70" s="684"/>
      <c r="HYP70" s="684"/>
      <c r="HYQ70" s="684"/>
      <c r="HYR70" s="684"/>
      <c r="HYS70" s="684"/>
      <c r="HYT70" s="684"/>
      <c r="HYU70" s="684"/>
      <c r="HYV70" s="684"/>
      <c r="HYW70" s="684"/>
      <c r="HYX70" s="684"/>
      <c r="HYY70" s="684"/>
      <c r="HYZ70" s="684"/>
      <c r="HZA70" s="684"/>
      <c r="HZB70" s="684"/>
      <c r="HZC70" s="684"/>
      <c r="HZD70" s="684"/>
      <c r="HZE70" s="684"/>
      <c r="HZF70" s="684"/>
      <c r="HZG70" s="684"/>
      <c r="HZH70" s="684"/>
      <c r="HZI70" s="684"/>
      <c r="HZJ70" s="684"/>
      <c r="HZK70" s="684"/>
      <c r="HZL70" s="684"/>
      <c r="HZM70" s="684"/>
      <c r="HZN70" s="684"/>
      <c r="HZO70" s="684"/>
      <c r="HZP70" s="684"/>
      <c r="HZQ70" s="684"/>
      <c r="HZR70" s="684"/>
      <c r="HZS70" s="684"/>
      <c r="HZT70" s="684"/>
      <c r="HZU70" s="684"/>
      <c r="HZV70" s="684"/>
      <c r="HZW70" s="684"/>
      <c r="HZX70" s="684"/>
      <c r="HZY70" s="684"/>
      <c r="HZZ70" s="684"/>
      <c r="IAA70" s="684"/>
      <c r="IAB70" s="684"/>
      <c r="IAC70" s="684"/>
      <c r="IAD70" s="684"/>
      <c r="IAE70" s="684"/>
      <c r="IAF70" s="684"/>
      <c r="IAG70" s="684"/>
      <c r="IAH70" s="684"/>
      <c r="IAI70" s="684"/>
      <c r="IAJ70" s="684"/>
      <c r="IAK70" s="684"/>
      <c r="IAL70" s="684"/>
      <c r="IAM70" s="684"/>
      <c r="IAN70" s="684"/>
      <c r="IAO70" s="684"/>
      <c r="IAP70" s="684"/>
      <c r="IAQ70" s="684"/>
      <c r="IAR70" s="684"/>
      <c r="IAS70" s="684"/>
      <c r="IAT70" s="684"/>
      <c r="IAU70" s="684"/>
      <c r="IAV70" s="684"/>
      <c r="IAW70" s="684"/>
      <c r="IAX70" s="684"/>
      <c r="IAY70" s="684"/>
      <c r="IAZ70" s="684"/>
      <c r="IBA70" s="684"/>
      <c r="IBB70" s="684"/>
      <c r="IBC70" s="684"/>
      <c r="IBD70" s="684"/>
      <c r="IBE70" s="684"/>
      <c r="IBF70" s="684"/>
      <c r="IBG70" s="684"/>
      <c r="IBH70" s="684"/>
      <c r="IBI70" s="684"/>
      <c r="IBJ70" s="684"/>
      <c r="IBK70" s="684"/>
      <c r="IBL70" s="684"/>
      <c r="IBM70" s="684"/>
      <c r="IBN70" s="684"/>
      <c r="IBO70" s="684"/>
      <c r="IBP70" s="684"/>
      <c r="IBQ70" s="684"/>
      <c r="IBR70" s="684"/>
      <c r="IBS70" s="684"/>
      <c r="IBT70" s="684"/>
      <c r="IBU70" s="684"/>
      <c r="IBV70" s="684"/>
      <c r="IBW70" s="684"/>
      <c r="IBX70" s="684"/>
      <c r="IBY70" s="684"/>
      <c r="IBZ70" s="684"/>
      <c r="ICA70" s="684"/>
      <c r="ICB70" s="684"/>
      <c r="ICC70" s="684"/>
      <c r="ICD70" s="684"/>
      <c r="ICE70" s="684"/>
      <c r="ICF70" s="684"/>
      <c r="ICG70" s="684"/>
      <c r="ICH70" s="684"/>
      <c r="ICI70" s="684"/>
      <c r="ICJ70" s="684"/>
      <c r="ICK70" s="684"/>
      <c r="ICL70" s="684"/>
      <c r="ICM70" s="684"/>
      <c r="ICN70" s="684"/>
      <c r="ICO70" s="684"/>
      <c r="ICP70" s="684"/>
      <c r="ICQ70" s="684"/>
      <c r="ICR70" s="684"/>
      <c r="ICS70" s="684"/>
      <c r="ICT70" s="684"/>
      <c r="ICU70" s="684"/>
      <c r="ICV70" s="684"/>
      <c r="ICW70" s="684"/>
      <c r="ICX70" s="684"/>
      <c r="ICY70" s="684"/>
      <c r="ICZ70" s="684"/>
      <c r="IDA70" s="684"/>
      <c r="IDB70" s="684"/>
      <c r="IDC70" s="684"/>
      <c r="IDD70" s="684"/>
      <c r="IDE70" s="684"/>
      <c r="IDF70" s="684"/>
      <c r="IDG70" s="684"/>
      <c r="IDH70" s="684"/>
      <c r="IDI70" s="684"/>
      <c r="IDJ70" s="684"/>
      <c r="IDK70" s="684"/>
      <c r="IDL70" s="684"/>
      <c r="IDM70" s="684"/>
      <c r="IDN70" s="684"/>
      <c r="IDO70" s="684"/>
      <c r="IDP70" s="684"/>
      <c r="IDQ70" s="684"/>
      <c r="IDR70" s="684"/>
      <c r="IDS70" s="684"/>
      <c r="IDT70" s="684"/>
      <c r="IDU70" s="684"/>
      <c r="IDV70" s="684"/>
      <c r="IDW70" s="684"/>
      <c r="IDX70" s="684"/>
      <c r="IDY70" s="684"/>
      <c r="IDZ70" s="684"/>
      <c r="IEA70" s="684"/>
      <c r="IEB70" s="684"/>
      <c r="IEC70" s="684"/>
      <c r="IED70" s="684"/>
      <c r="IEE70" s="684"/>
      <c r="IEF70" s="684"/>
      <c r="IEG70" s="684"/>
      <c r="IEH70" s="684"/>
      <c r="IEI70" s="684"/>
      <c r="IEJ70" s="684"/>
      <c r="IEK70" s="684"/>
      <c r="IEL70" s="684"/>
      <c r="IEM70" s="684"/>
      <c r="IEN70" s="684"/>
      <c r="IEO70" s="684"/>
      <c r="IEP70" s="684"/>
      <c r="IEQ70" s="684"/>
      <c r="IER70" s="684"/>
      <c r="IES70" s="684"/>
      <c r="IET70" s="684"/>
      <c r="IEU70" s="684"/>
      <c r="IEV70" s="684"/>
      <c r="IEW70" s="684"/>
      <c r="IEX70" s="684"/>
      <c r="IEY70" s="684"/>
      <c r="IEZ70" s="684"/>
      <c r="IFA70" s="684"/>
      <c r="IFB70" s="684"/>
      <c r="IFC70" s="684"/>
      <c r="IFD70" s="684"/>
      <c r="IFE70" s="684"/>
      <c r="IFF70" s="684"/>
      <c r="IFG70" s="684"/>
      <c r="IFH70" s="684"/>
      <c r="IFI70" s="684"/>
      <c r="IFJ70" s="684"/>
      <c r="IFK70" s="684"/>
      <c r="IFL70" s="684"/>
      <c r="IFM70" s="684"/>
      <c r="IFN70" s="684"/>
      <c r="IFO70" s="684"/>
      <c r="IFP70" s="684"/>
      <c r="IFQ70" s="684"/>
      <c r="IFR70" s="684"/>
      <c r="IFS70" s="684"/>
      <c r="IFT70" s="684"/>
      <c r="IFU70" s="684"/>
      <c r="IFV70" s="684"/>
      <c r="IFW70" s="684"/>
      <c r="IFX70" s="684"/>
      <c r="IFY70" s="684"/>
      <c r="IFZ70" s="684"/>
      <c r="IGA70" s="684"/>
      <c r="IGB70" s="684"/>
      <c r="IGC70" s="684"/>
      <c r="IGD70" s="684"/>
      <c r="IGE70" s="684"/>
      <c r="IGF70" s="684"/>
      <c r="IGG70" s="684"/>
      <c r="IGH70" s="684"/>
      <c r="IGI70" s="684"/>
      <c r="IGJ70" s="684"/>
      <c r="IGK70" s="684"/>
      <c r="IGL70" s="684"/>
      <c r="IGM70" s="684"/>
      <c r="IGN70" s="684"/>
      <c r="IGO70" s="684"/>
      <c r="IGP70" s="684"/>
      <c r="IGQ70" s="684"/>
      <c r="IGR70" s="684"/>
      <c r="IGS70" s="684"/>
      <c r="IGT70" s="684"/>
      <c r="IGU70" s="684"/>
      <c r="IGV70" s="684"/>
      <c r="IGW70" s="684"/>
      <c r="IGX70" s="684"/>
      <c r="IGY70" s="684"/>
      <c r="IGZ70" s="684"/>
      <c r="IHA70" s="684"/>
      <c r="IHB70" s="684"/>
      <c r="IHC70" s="684"/>
      <c r="IHD70" s="684"/>
      <c r="IHE70" s="684"/>
      <c r="IHF70" s="684"/>
      <c r="IHG70" s="684"/>
      <c r="IHH70" s="684"/>
      <c r="IHI70" s="684"/>
      <c r="IHJ70" s="684"/>
      <c r="IHK70" s="684"/>
      <c r="IHL70" s="684"/>
      <c r="IHM70" s="684"/>
      <c r="IHN70" s="684"/>
      <c r="IHO70" s="684"/>
      <c r="IHP70" s="684"/>
      <c r="IHQ70" s="684"/>
      <c r="IHR70" s="684"/>
      <c r="IHS70" s="684"/>
      <c r="IHT70" s="684"/>
      <c r="IHU70" s="684"/>
      <c r="IHV70" s="684"/>
      <c r="IHW70" s="684"/>
      <c r="IHX70" s="684"/>
      <c r="IHY70" s="684"/>
      <c r="IHZ70" s="684"/>
      <c r="IIA70" s="684"/>
      <c r="IIB70" s="684"/>
      <c r="IIC70" s="684"/>
      <c r="IID70" s="684"/>
      <c r="IIE70" s="684"/>
      <c r="IIF70" s="684"/>
      <c r="IIG70" s="684"/>
      <c r="IIH70" s="684"/>
      <c r="III70" s="684"/>
      <c r="IIJ70" s="684"/>
      <c r="IIK70" s="684"/>
      <c r="IIL70" s="684"/>
      <c r="IIM70" s="684"/>
      <c r="IIN70" s="684"/>
      <c r="IIO70" s="684"/>
      <c r="IIP70" s="684"/>
      <c r="IIQ70" s="684"/>
      <c r="IIR70" s="684"/>
      <c r="IIS70" s="684"/>
      <c r="IIT70" s="684"/>
      <c r="IIU70" s="684"/>
      <c r="IIV70" s="684"/>
      <c r="IIW70" s="684"/>
      <c r="IIX70" s="684"/>
      <c r="IIY70" s="684"/>
      <c r="IIZ70" s="684"/>
      <c r="IJA70" s="684"/>
      <c r="IJB70" s="684"/>
      <c r="IJC70" s="684"/>
      <c r="IJD70" s="684"/>
      <c r="IJE70" s="684"/>
      <c r="IJF70" s="684"/>
      <c r="IJG70" s="684"/>
      <c r="IJH70" s="684"/>
      <c r="IJI70" s="684"/>
      <c r="IJJ70" s="684"/>
      <c r="IJK70" s="684"/>
      <c r="IJL70" s="684"/>
      <c r="IJM70" s="684"/>
      <c r="IJN70" s="684"/>
      <c r="IJO70" s="684"/>
      <c r="IJP70" s="684"/>
      <c r="IJQ70" s="684"/>
      <c r="IJR70" s="684"/>
      <c r="IJS70" s="684"/>
      <c r="IJT70" s="684"/>
      <c r="IJU70" s="684"/>
      <c r="IJV70" s="684"/>
      <c r="IJW70" s="684"/>
      <c r="IJX70" s="684"/>
      <c r="IJY70" s="684"/>
      <c r="IJZ70" s="684"/>
      <c r="IKA70" s="684"/>
      <c r="IKB70" s="684"/>
      <c r="IKC70" s="684"/>
      <c r="IKD70" s="684"/>
      <c r="IKE70" s="684"/>
      <c r="IKF70" s="684"/>
      <c r="IKG70" s="684"/>
      <c r="IKH70" s="684"/>
      <c r="IKI70" s="684"/>
      <c r="IKJ70" s="684"/>
      <c r="IKK70" s="684"/>
      <c r="IKL70" s="684"/>
      <c r="IKM70" s="684"/>
      <c r="IKN70" s="684"/>
      <c r="IKO70" s="684"/>
      <c r="IKP70" s="684"/>
      <c r="IKQ70" s="684"/>
      <c r="IKR70" s="684"/>
      <c r="IKS70" s="684"/>
      <c r="IKT70" s="684"/>
      <c r="IKU70" s="684"/>
      <c r="IKV70" s="684"/>
      <c r="IKW70" s="684"/>
      <c r="IKX70" s="684"/>
      <c r="IKY70" s="684"/>
      <c r="IKZ70" s="684"/>
      <c r="ILA70" s="684"/>
      <c r="ILB70" s="684"/>
      <c r="ILC70" s="684"/>
      <c r="ILD70" s="684"/>
      <c r="ILE70" s="684"/>
      <c r="ILF70" s="684"/>
      <c r="ILG70" s="684"/>
      <c r="ILH70" s="684"/>
      <c r="ILI70" s="684"/>
      <c r="ILJ70" s="684"/>
      <c r="ILK70" s="684"/>
      <c r="ILL70" s="684"/>
      <c r="ILM70" s="684"/>
      <c r="ILN70" s="684"/>
      <c r="ILO70" s="684"/>
      <c r="ILP70" s="684"/>
      <c r="ILQ70" s="684"/>
      <c r="ILR70" s="684"/>
      <c r="ILS70" s="684"/>
      <c r="ILT70" s="684"/>
      <c r="ILU70" s="684"/>
      <c r="ILV70" s="684"/>
      <c r="ILW70" s="684"/>
      <c r="ILX70" s="684"/>
      <c r="ILY70" s="684"/>
      <c r="ILZ70" s="684"/>
      <c r="IMA70" s="684"/>
      <c r="IMB70" s="684"/>
      <c r="IMC70" s="684"/>
      <c r="IMD70" s="684"/>
      <c r="IME70" s="684"/>
      <c r="IMF70" s="684"/>
      <c r="IMG70" s="684"/>
      <c r="IMH70" s="684"/>
      <c r="IMI70" s="684"/>
      <c r="IMJ70" s="684"/>
      <c r="IMK70" s="684"/>
      <c r="IML70" s="684"/>
      <c r="IMM70" s="684"/>
      <c r="IMN70" s="684"/>
      <c r="IMO70" s="684"/>
      <c r="IMP70" s="684"/>
      <c r="IMQ70" s="684"/>
      <c r="IMR70" s="684"/>
      <c r="IMS70" s="684"/>
      <c r="IMT70" s="684"/>
      <c r="IMU70" s="684"/>
      <c r="IMV70" s="684"/>
      <c r="IMW70" s="684"/>
      <c r="IMX70" s="684"/>
      <c r="IMY70" s="684"/>
      <c r="IMZ70" s="684"/>
      <c r="INA70" s="684"/>
      <c r="INB70" s="684"/>
      <c r="INC70" s="684"/>
      <c r="IND70" s="684"/>
      <c r="INE70" s="684"/>
      <c r="INF70" s="684"/>
      <c r="ING70" s="684"/>
      <c r="INH70" s="684"/>
      <c r="INI70" s="684"/>
      <c r="INJ70" s="684"/>
      <c r="INK70" s="684"/>
      <c r="INL70" s="684"/>
      <c r="INM70" s="684"/>
      <c r="INN70" s="684"/>
      <c r="INO70" s="684"/>
      <c r="INP70" s="684"/>
      <c r="INQ70" s="684"/>
      <c r="INR70" s="684"/>
      <c r="INS70" s="684"/>
      <c r="INT70" s="684"/>
      <c r="INU70" s="684"/>
      <c r="INV70" s="684"/>
      <c r="INW70" s="684"/>
      <c r="INX70" s="684"/>
      <c r="INY70" s="684"/>
      <c r="INZ70" s="684"/>
      <c r="IOA70" s="684"/>
      <c r="IOB70" s="684"/>
      <c r="IOC70" s="684"/>
      <c r="IOD70" s="684"/>
      <c r="IOE70" s="684"/>
      <c r="IOF70" s="684"/>
      <c r="IOG70" s="684"/>
      <c r="IOH70" s="684"/>
      <c r="IOI70" s="684"/>
      <c r="IOJ70" s="684"/>
      <c r="IOK70" s="684"/>
      <c r="IOL70" s="684"/>
      <c r="IOM70" s="684"/>
      <c r="ION70" s="684"/>
      <c r="IOO70" s="684"/>
      <c r="IOP70" s="684"/>
      <c r="IOQ70" s="684"/>
      <c r="IOR70" s="684"/>
      <c r="IOS70" s="684"/>
      <c r="IOT70" s="684"/>
      <c r="IOU70" s="684"/>
      <c r="IOV70" s="684"/>
      <c r="IOW70" s="684"/>
      <c r="IOX70" s="684"/>
      <c r="IOY70" s="684"/>
      <c r="IOZ70" s="684"/>
      <c r="IPA70" s="684"/>
      <c r="IPB70" s="684"/>
      <c r="IPC70" s="684"/>
      <c r="IPD70" s="684"/>
      <c r="IPE70" s="684"/>
      <c r="IPF70" s="684"/>
      <c r="IPG70" s="684"/>
      <c r="IPH70" s="684"/>
      <c r="IPI70" s="684"/>
      <c r="IPJ70" s="684"/>
      <c r="IPK70" s="684"/>
      <c r="IPL70" s="684"/>
      <c r="IPM70" s="684"/>
      <c r="IPN70" s="684"/>
      <c r="IPO70" s="684"/>
      <c r="IPP70" s="684"/>
      <c r="IPQ70" s="684"/>
      <c r="IPR70" s="684"/>
      <c r="IPS70" s="684"/>
      <c r="IPT70" s="684"/>
      <c r="IPU70" s="684"/>
      <c r="IPV70" s="684"/>
      <c r="IPW70" s="684"/>
      <c r="IPX70" s="684"/>
      <c r="IPY70" s="684"/>
      <c r="IPZ70" s="684"/>
      <c r="IQA70" s="684"/>
      <c r="IQB70" s="684"/>
      <c r="IQC70" s="684"/>
      <c r="IQD70" s="684"/>
      <c r="IQE70" s="684"/>
      <c r="IQF70" s="684"/>
      <c r="IQG70" s="684"/>
      <c r="IQH70" s="684"/>
      <c r="IQI70" s="684"/>
      <c r="IQJ70" s="684"/>
      <c r="IQK70" s="684"/>
      <c r="IQL70" s="684"/>
      <c r="IQM70" s="684"/>
      <c r="IQN70" s="684"/>
      <c r="IQO70" s="684"/>
      <c r="IQP70" s="684"/>
      <c r="IQQ70" s="684"/>
      <c r="IQR70" s="684"/>
      <c r="IQS70" s="684"/>
      <c r="IQT70" s="684"/>
      <c r="IQU70" s="684"/>
      <c r="IQV70" s="684"/>
      <c r="IQW70" s="684"/>
      <c r="IQX70" s="684"/>
      <c r="IQY70" s="684"/>
      <c r="IQZ70" s="684"/>
      <c r="IRA70" s="684"/>
      <c r="IRB70" s="684"/>
      <c r="IRC70" s="684"/>
      <c r="IRD70" s="684"/>
      <c r="IRE70" s="684"/>
      <c r="IRF70" s="684"/>
      <c r="IRG70" s="684"/>
      <c r="IRH70" s="684"/>
      <c r="IRI70" s="684"/>
      <c r="IRJ70" s="684"/>
      <c r="IRK70" s="684"/>
      <c r="IRL70" s="684"/>
      <c r="IRM70" s="684"/>
      <c r="IRN70" s="684"/>
      <c r="IRO70" s="684"/>
      <c r="IRP70" s="684"/>
      <c r="IRQ70" s="684"/>
      <c r="IRR70" s="684"/>
      <c r="IRS70" s="684"/>
      <c r="IRT70" s="684"/>
      <c r="IRU70" s="684"/>
      <c r="IRV70" s="684"/>
      <c r="IRW70" s="684"/>
      <c r="IRX70" s="684"/>
      <c r="IRY70" s="684"/>
      <c r="IRZ70" s="684"/>
      <c r="ISA70" s="684"/>
      <c r="ISB70" s="684"/>
      <c r="ISC70" s="684"/>
      <c r="ISD70" s="684"/>
      <c r="ISE70" s="684"/>
      <c r="ISF70" s="684"/>
      <c r="ISG70" s="684"/>
      <c r="ISH70" s="684"/>
      <c r="ISI70" s="684"/>
      <c r="ISJ70" s="684"/>
      <c r="ISK70" s="684"/>
      <c r="ISL70" s="684"/>
      <c r="ISM70" s="684"/>
      <c r="ISN70" s="684"/>
      <c r="ISO70" s="684"/>
      <c r="ISP70" s="684"/>
      <c r="ISQ70" s="684"/>
      <c r="ISR70" s="684"/>
      <c r="ISS70" s="684"/>
      <c r="IST70" s="684"/>
      <c r="ISU70" s="684"/>
      <c r="ISV70" s="684"/>
      <c r="ISW70" s="684"/>
      <c r="ISX70" s="684"/>
      <c r="ISY70" s="684"/>
      <c r="ISZ70" s="684"/>
      <c r="ITA70" s="684"/>
      <c r="ITB70" s="684"/>
      <c r="ITC70" s="684"/>
      <c r="ITD70" s="684"/>
      <c r="ITE70" s="684"/>
      <c r="ITF70" s="684"/>
      <c r="ITG70" s="684"/>
      <c r="ITH70" s="684"/>
      <c r="ITI70" s="684"/>
      <c r="ITJ70" s="684"/>
      <c r="ITK70" s="684"/>
      <c r="ITL70" s="684"/>
      <c r="ITM70" s="684"/>
      <c r="ITN70" s="684"/>
      <c r="ITO70" s="684"/>
      <c r="ITP70" s="684"/>
      <c r="ITQ70" s="684"/>
      <c r="ITR70" s="684"/>
      <c r="ITS70" s="684"/>
      <c r="ITT70" s="684"/>
      <c r="ITU70" s="684"/>
      <c r="ITV70" s="684"/>
      <c r="ITW70" s="684"/>
      <c r="ITX70" s="684"/>
      <c r="ITY70" s="684"/>
      <c r="ITZ70" s="684"/>
      <c r="IUA70" s="684"/>
      <c r="IUB70" s="684"/>
      <c r="IUC70" s="684"/>
      <c r="IUD70" s="684"/>
      <c r="IUE70" s="684"/>
      <c r="IUF70" s="684"/>
      <c r="IUG70" s="684"/>
      <c r="IUH70" s="684"/>
      <c r="IUI70" s="684"/>
      <c r="IUJ70" s="684"/>
      <c r="IUK70" s="684"/>
      <c r="IUL70" s="684"/>
      <c r="IUM70" s="684"/>
      <c r="IUN70" s="684"/>
      <c r="IUO70" s="684"/>
      <c r="IUP70" s="684"/>
      <c r="IUQ70" s="684"/>
      <c r="IUR70" s="684"/>
      <c r="IUS70" s="684"/>
      <c r="IUT70" s="684"/>
      <c r="IUU70" s="684"/>
      <c r="IUV70" s="684"/>
      <c r="IUW70" s="684"/>
      <c r="IUX70" s="684"/>
      <c r="IUY70" s="684"/>
      <c r="IUZ70" s="684"/>
      <c r="IVA70" s="684"/>
      <c r="IVB70" s="684"/>
      <c r="IVC70" s="684"/>
      <c r="IVD70" s="684"/>
      <c r="IVE70" s="684"/>
      <c r="IVF70" s="684"/>
      <c r="IVG70" s="684"/>
      <c r="IVH70" s="684"/>
      <c r="IVI70" s="684"/>
      <c r="IVJ70" s="684"/>
      <c r="IVK70" s="684"/>
      <c r="IVL70" s="684"/>
      <c r="IVM70" s="684"/>
      <c r="IVN70" s="684"/>
      <c r="IVO70" s="684"/>
      <c r="IVP70" s="684"/>
      <c r="IVQ70" s="684"/>
      <c r="IVR70" s="684"/>
      <c r="IVS70" s="684"/>
      <c r="IVT70" s="684"/>
      <c r="IVU70" s="684"/>
      <c r="IVV70" s="684"/>
      <c r="IVW70" s="684"/>
      <c r="IVX70" s="684"/>
      <c r="IVY70" s="684"/>
      <c r="IVZ70" s="684"/>
      <c r="IWA70" s="684"/>
      <c r="IWB70" s="684"/>
      <c r="IWC70" s="684"/>
      <c r="IWD70" s="684"/>
      <c r="IWE70" s="684"/>
      <c r="IWF70" s="684"/>
      <c r="IWG70" s="684"/>
      <c r="IWH70" s="684"/>
      <c r="IWI70" s="684"/>
      <c r="IWJ70" s="684"/>
      <c r="IWK70" s="684"/>
      <c r="IWL70" s="684"/>
      <c r="IWM70" s="684"/>
      <c r="IWN70" s="684"/>
      <c r="IWO70" s="684"/>
      <c r="IWP70" s="684"/>
      <c r="IWQ70" s="684"/>
      <c r="IWR70" s="684"/>
      <c r="IWS70" s="684"/>
      <c r="IWT70" s="684"/>
      <c r="IWU70" s="684"/>
      <c r="IWV70" s="684"/>
      <c r="IWW70" s="684"/>
      <c r="IWX70" s="684"/>
      <c r="IWY70" s="684"/>
      <c r="IWZ70" s="684"/>
      <c r="IXA70" s="684"/>
      <c r="IXB70" s="684"/>
      <c r="IXC70" s="684"/>
      <c r="IXD70" s="684"/>
      <c r="IXE70" s="684"/>
      <c r="IXF70" s="684"/>
      <c r="IXG70" s="684"/>
      <c r="IXH70" s="684"/>
      <c r="IXI70" s="684"/>
      <c r="IXJ70" s="684"/>
      <c r="IXK70" s="684"/>
      <c r="IXL70" s="684"/>
      <c r="IXM70" s="684"/>
      <c r="IXN70" s="684"/>
      <c r="IXO70" s="684"/>
      <c r="IXP70" s="684"/>
      <c r="IXQ70" s="684"/>
      <c r="IXR70" s="684"/>
      <c r="IXS70" s="684"/>
      <c r="IXT70" s="684"/>
      <c r="IXU70" s="684"/>
      <c r="IXV70" s="684"/>
      <c r="IXW70" s="684"/>
      <c r="IXX70" s="684"/>
      <c r="IXY70" s="684"/>
      <c r="IXZ70" s="684"/>
      <c r="IYA70" s="684"/>
      <c r="IYB70" s="684"/>
      <c r="IYC70" s="684"/>
      <c r="IYD70" s="684"/>
      <c r="IYE70" s="684"/>
      <c r="IYF70" s="684"/>
      <c r="IYG70" s="684"/>
      <c r="IYH70" s="684"/>
      <c r="IYI70" s="684"/>
      <c r="IYJ70" s="684"/>
      <c r="IYK70" s="684"/>
      <c r="IYL70" s="684"/>
      <c r="IYM70" s="684"/>
      <c r="IYN70" s="684"/>
      <c r="IYO70" s="684"/>
      <c r="IYP70" s="684"/>
      <c r="IYQ70" s="684"/>
      <c r="IYR70" s="684"/>
      <c r="IYS70" s="684"/>
      <c r="IYT70" s="684"/>
      <c r="IYU70" s="684"/>
      <c r="IYV70" s="684"/>
      <c r="IYW70" s="684"/>
      <c r="IYX70" s="684"/>
      <c r="IYY70" s="684"/>
      <c r="IYZ70" s="684"/>
      <c r="IZA70" s="684"/>
      <c r="IZB70" s="684"/>
      <c r="IZC70" s="684"/>
      <c r="IZD70" s="684"/>
      <c r="IZE70" s="684"/>
      <c r="IZF70" s="684"/>
      <c r="IZG70" s="684"/>
      <c r="IZH70" s="684"/>
      <c r="IZI70" s="684"/>
      <c r="IZJ70" s="684"/>
      <c r="IZK70" s="684"/>
      <c r="IZL70" s="684"/>
      <c r="IZM70" s="684"/>
      <c r="IZN70" s="684"/>
      <c r="IZO70" s="684"/>
      <c r="IZP70" s="684"/>
      <c r="IZQ70" s="684"/>
      <c r="IZR70" s="684"/>
      <c r="IZS70" s="684"/>
      <c r="IZT70" s="684"/>
      <c r="IZU70" s="684"/>
      <c r="IZV70" s="684"/>
      <c r="IZW70" s="684"/>
      <c r="IZX70" s="684"/>
      <c r="IZY70" s="684"/>
      <c r="IZZ70" s="684"/>
      <c r="JAA70" s="684"/>
      <c r="JAB70" s="684"/>
      <c r="JAC70" s="684"/>
      <c r="JAD70" s="684"/>
      <c r="JAE70" s="684"/>
      <c r="JAF70" s="684"/>
      <c r="JAG70" s="684"/>
      <c r="JAH70" s="684"/>
      <c r="JAI70" s="684"/>
      <c r="JAJ70" s="684"/>
      <c r="JAK70" s="684"/>
      <c r="JAL70" s="684"/>
      <c r="JAM70" s="684"/>
      <c r="JAN70" s="684"/>
      <c r="JAO70" s="684"/>
      <c r="JAP70" s="684"/>
      <c r="JAQ70" s="684"/>
      <c r="JAR70" s="684"/>
      <c r="JAS70" s="684"/>
      <c r="JAT70" s="684"/>
      <c r="JAU70" s="684"/>
      <c r="JAV70" s="684"/>
      <c r="JAW70" s="684"/>
      <c r="JAX70" s="684"/>
      <c r="JAY70" s="684"/>
      <c r="JAZ70" s="684"/>
      <c r="JBA70" s="684"/>
      <c r="JBB70" s="684"/>
      <c r="JBC70" s="684"/>
      <c r="JBD70" s="684"/>
      <c r="JBE70" s="684"/>
      <c r="JBF70" s="684"/>
      <c r="JBG70" s="684"/>
      <c r="JBH70" s="684"/>
      <c r="JBI70" s="684"/>
      <c r="JBJ70" s="684"/>
      <c r="JBK70" s="684"/>
      <c r="JBL70" s="684"/>
      <c r="JBM70" s="684"/>
      <c r="JBN70" s="684"/>
      <c r="JBO70" s="684"/>
      <c r="JBP70" s="684"/>
      <c r="JBQ70" s="684"/>
      <c r="JBR70" s="684"/>
      <c r="JBS70" s="684"/>
      <c r="JBT70" s="684"/>
      <c r="JBU70" s="684"/>
      <c r="JBV70" s="684"/>
      <c r="JBW70" s="684"/>
      <c r="JBX70" s="684"/>
      <c r="JBY70" s="684"/>
      <c r="JBZ70" s="684"/>
      <c r="JCA70" s="684"/>
      <c r="JCB70" s="684"/>
      <c r="JCC70" s="684"/>
      <c r="JCD70" s="684"/>
      <c r="JCE70" s="684"/>
      <c r="JCF70" s="684"/>
      <c r="JCG70" s="684"/>
      <c r="JCH70" s="684"/>
      <c r="JCI70" s="684"/>
      <c r="JCJ70" s="684"/>
      <c r="JCK70" s="684"/>
      <c r="JCL70" s="684"/>
      <c r="JCM70" s="684"/>
      <c r="JCN70" s="684"/>
      <c r="JCO70" s="684"/>
      <c r="JCP70" s="684"/>
      <c r="JCQ70" s="684"/>
      <c r="JCR70" s="684"/>
      <c r="JCS70" s="684"/>
      <c r="JCT70" s="684"/>
      <c r="JCU70" s="684"/>
      <c r="JCV70" s="684"/>
      <c r="JCW70" s="684"/>
      <c r="JCX70" s="684"/>
      <c r="JCY70" s="684"/>
      <c r="JCZ70" s="684"/>
      <c r="JDA70" s="684"/>
      <c r="JDB70" s="684"/>
      <c r="JDC70" s="684"/>
      <c r="JDD70" s="684"/>
      <c r="JDE70" s="684"/>
      <c r="JDF70" s="684"/>
      <c r="JDG70" s="684"/>
      <c r="JDH70" s="684"/>
      <c r="JDI70" s="684"/>
      <c r="JDJ70" s="684"/>
      <c r="JDK70" s="684"/>
      <c r="JDL70" s="684"/>
      <c r="JDM70" s="684"/>
      <c r="JDN70" s="684"/>
      <c r="JDO70" s="684"/>
      <c r="JDP70" s="684"/>
      <c r="JDQ70" s="684"/>
      <c r="JDR70" s="684"/>
      <c r="JDS70" s="684"/>
      <c r="JDT70" s="684"/>
      <c r="JDU70" s="684"/>
      <c r="JDV70" s="684"/>
      <c r="JDW70" s="684"/>
      <c r="JDX70" s="684"/>
      <c r="JDY70" s="684"/>
      <c r="JDZ70" s="684"/>
      <c r="JEA70" s="684"/>
      <c r="JEB70" s="684"/>
      <c r="JEC70" s="684"/>
      <c r="JED70" s="684"/>
      <c r="JEE70" s="684"/>
      <c r="JEF70" s="684"/>
      <c r="JEG70" s="684"/>
      <c r="JEH70" s="684"/>
      <c r="JEI70" s="684"/>
      <c r="JEJ70" s="684"/>
      <c r="JEK70" s="684"/>
      <c r="JEL70" s="684"/>
      <c r="JEM70" s="684"/>
      <c r="JEN70" s="684"/>
      <c r="JEO70" s="684"/>
      <c r="JEP70" s="684"/>
      <c r="JEQ70" s="684"/>
      <c r="JER70" s="684"/>
      <c r="JES70" s="684"/>
      <c r="JET70" s="684"/>
      <c r="JEU70" s="684"/>
      <c r="JEV70" s="684"/>
      <c r="JEW70" s="684"/>
      <c r="JEX70" s="684"/>
      <c r="JEY70" s="684"/>
      <c r="JEZ70" s="684"/>
      <c r="JFA70" s="684"/>
      <c r="JFB70" s="684"/>
      <c r="JFC70" s="684"/>
      <c r="JFD70" s="684"/>
      <c r="JFE70" s="684"/>
      <c r="JFF70" s="684"/>
      <c r="JFG70" s="684"/>
      <c r="JFH70" s="684"/>
      <c r="JFI70" s="684"/>
      <c r="JFJ70" s="684"/>
      <c r="JFK70" s="684"/>
      <c r="JFL70" s="684"/>
      <c r="JFM70" s="684"/>
      <c r="JFN70" s="684"/>
      <c r="JFO70" s="684"/>
      <c r="JFP70" s="684"/>
      <c r="JFQ70" s="684"/>
      <c r="JFR70" s="684"/>
      <c r="JFS70" s="684"/>
      <c r="JFT70" s="684"/>
      <c r="JFU70" s="684"/>
      <c r="JFV70" s="684"/>
      <c r="JFW70" s="684"/>
      <c r="JFX70" s="684"/>
      <c r="JFY70" s="684"/>
      <c r="JFZ70" s="684"/>
      <c r="JGA70" s="684"/>
      <c r="JGB70" s="684"/>
      <c r="JGC70" s="684"/>
      <c r="JGD70" s="684"/>
      <c r="JGE70" s="684"/>
      <c r="JGF70" s="684"/>
      <c r="JGG70" s="684"/>
      <c r="JGH70" s="684"/>
      <c r="JGI70" s="684"/>
      <c r="JGJ70" s="684"/>
      <c r="JGK70" s="684"/>
      <c r="JGL70" s="684"/>
      <c r="JGM70" s="684"/>
      <c r="JGN70" s="684"/>
      <c r="JGO70" s="684"/>
      <c r="JGP70" s="684"/>
      <c r="JGQ70" s="684"/>
      <c r="JGR70" s="684"/>
      <c r="JGS70" s="684"/>
      <c r="JGT70" s="684"/>
      <c r="JGU70" s="684"/>
      <c r="JGV70" s="684"/>
      <c r="JGW70" s="684"/>
      <c r="JGX70" s="684"/>
      <c r="JGY70" s="684"/>
      <c r="JGZ70" s="684"/>
      <c r="JHA70" s="684"/>
      <c r="JHB70" s="684"/>
      <c r="JHC70" s="684"/>
      <c r="JHD70" s="684"/>
      <c r="JHE70" s="684"/>
      <c r="JHF70" s="684"/>
      <c r="JHG70" s="684"/>
      <c r="JHH70" s="684"/>
      <c r="JHI70" s="684"/>
      <c r="JHJ70" s="684"/>
      <c r="JHK70" s="684"/>
      <c r="JHL70" s="684"/>
      <c r="JHM70" s="684"/>
      <c r="JHN70" s="684"/>
      <c r="JHO70" s="684"/>
      <c r="JHP70" s="684"/>
      <c r="JHQ70" s="684"/>
      <c r="JHR70" s="684"/>
      <c r="JHS70" s="684"/>
      <c r="JHT70" s="684"/>
      <c r="JHU70" s="684"/>
      <c r="JHV70" s="684"/>
      <c r="JHW70" s="684"/>
      <c r="JHX70" s="684"/>
      <c r="JHY70" s="684"/>
      <c r="JHZ70" s="684"/>
      <c r="JIA70" s="684"/>
      <c r="JIB70" s="684"/>
      <c r="JIC70" s="684"/>
      <c r="JID70" s="684"/>
      <c r="JIE70" s="684"/>
      <c r="JIF70" s="684"/>
      <c r="JIG70" s="684"/>
      <c r="JIH70" s="684"/>
      <c r="JII70" s="684"/>
      <c r="JIJ70" s="684"/>
      <c r="JIK70" s="684"/>
      <c r="JIL70" s="684"/>
      <c r="JIM70" s="684"/>
      <c r="JIN70" s="684"/>
      <c r="JIO70" s="684"/>
      <c r="JIP70" s="684"/>
      <c r="JIQ70" s="684"/>
      <c r="JIR70" s="684"/>
      <c r="JIS70" s="684"/>
      <c r="JIT70" s="684"/>
      <c r="JIU70" s="684"/>
      <c r="JIV70" s="684"/>
      <c r="JIW70" s="684"/>
      <c r="JIX70" s="684"/>
      <c r="JIY70" s="684"/>
      <c r="JIZ70" s="684"/>
      <c r="JJA70" s="684"/>
      <c r="JJB70" s="684"/>
      <c r="JJC70" s="684"/>
      <c r="JJD70" s="684"/>
      <c r="JJE70" s="684"/>
      <c r="JJF70" s="684"/>
      <c r="JJG70" s="684"/>
      <c r="JJH70" s="684"/>
      <c r="JJI70" s="684"/>
      <c r="JJJ70" s="684"/>
      <c r="JJK70" s="684"/>
      <c r="JJL70" s="684"/>
      <c r="JJM70" s="684"/>
      <c r="JJN70" s="684"/>
      <c r="JJO70" s="684"/>
      <c r="JJP70" s="684"/>
      <c r="JJQ70" s="684"/>
      <c r="JJR70" s="684"/>
      <c r="JJS70" s="684"/>
      <c r="JJT70" s="684"/>
      <c r="JJU70" s="684"/>
      <c r="JJV70" s="684"/>
      <c r="JJW70" s="684"/>
      <c r="JJX70" s="684"/>
      <c r="JJY70" s="684"/>
      <c r="JJZ70" s="684"/>
      <c r="JKA70" s="684"/>
      <c r="JKB70" s="684"/>
      <c r="JKC70" s="684"/>
      <c r="JKD70" s="684"/>
      <c r="JKE70" s="684"/>
      <c r="JKF70" s="684"/>
      <c r="JKG70" s="684"/>
      <c r="JKH70" s="684"/>
      <c r="JKI70" s="684"/>
      <c r="JKJ70" s="684"/>
      <c r="JKK70" s="684"/>
      <c r="JKL70" s="684"/>
      <c r="JKM70" s="684"/>
      <c r="JKN70" s="684"/>
      <c r="JKO70" s="684"/>
      <c r="JKP70" s="684"/>
      <c r="JKQ70" s="684"/>
      <c r="JKR70" s="684"/>
      <c r="JKS70" s="684"/>
      <c r="JKT70" s="684"/>
      <c r="JKU70" s="684"/>
      <c r="JKV70" s="684"/>
      <c r="JKW70" s="684"/>
      <c r="JKX70" s="684"/>
      <c r="JKY70" s="684"/>
      <c r="JKZ70" s="684"/>
      <c r="JLA70" s="684"/>
      <c r="JLB70" s="684"/>
      <c r="JLC70" s="684"/>
      <c r="JLD70" s="684"/>
      <c r="JLE70" s="684"/>
      <c r="JLF70" s="684"/>
      <c r="JLG70" s="684"/>
      <c r="JLH70" s="684"/>
      <c r="JLI70" s="684"/>
      <c r="JLJ70" s="684"/>
      <c r="JLK70" s="684"/>
      <c r="JLL70" s="684"/>
      <c r="JLM70" s="684"/>
      <c r="JLN70" s="684"/>
      <c r="JLO70" s="684"/>
      <c r="JLP70" s="684"/>
      <c r="JLQ70" s="684"/>
      <c r="JLR70" s="684"/>
      <c r="JLS70" s="684"/>
      <c r="JLT70" s="684"/>
      <c r="JLU70" s="684"/>
      <c r="JLV70" s="684"/>
      <c r="JLW70" s="684"/>
      <c r="JLX70" s="684"/>
      <c r="JLY70" s="684"/>
      <c r="JLZ70" s="684"/>
      <c r="JMA70" s="684"/>
      <c r="JMB70" s="684"/>
      <c r="JMC70" s="684"/>
      <c r="JMD70" s="684"/>
      <c r="JME70" s="684"/>
      <c r="JMF70" s="684"/>
      <c r="JMG70" s="684"/>
      <c r="JMH70" s="684"/>
      <c r="JMI70" s="684"/>
      <c r="JMJ70" s="684"/>
      <c r="JMK70" s="684"/>
      <c r="JML70" s="684"/>
      <c r="JMM70" s="684"/>
      <c r="JMN70" s="684"/>
      <c r="JMO70" s="684"/>
      <c r="JMP70" s="684"/>
      <c r="JMQ70" s="684"/>
      <c r="JMR70" s="684"/>
      <c r="JMS70" s="684"/>
      <c r="JMT70" s="684"/>
      <c r="JMU70" s="684"/>
      <c r="JMV70" s="684"/>
      <c r="JMW70" s="684"/>
      <c r="JMX70" s="684"/>
      <c r="JMY70" s="684"/>
      <c r="JMZ70" s="684"/>
      <c r="JNA70" s="684"/>
      <c r="JNB70" s="684"/>
      <c r="JNC70" s="684"/>
      <c r="JND70" s="684"/>
      <c r="JNE70" s="684"/>
      <c r="JNF70" s="684"/>
      <c r="JNG70" s="684"/>
      <c r="JNH70" s="684"/>
      <c r="JNI70" s="684"/>
      <c r="JNJ70" s="684"/>
      <c r="JNK70" s="684"/>
      <c r="JNL70" s="684"/>
      <c r="JNM70" s="684"/>
      <c r="JNN70" s="684"/>
      <c r="JNO70" s="684"/>
      <c r="JNP70" s="684"/>
      <c r="JNQ70" s="684"/>
      <c r="JNR70" s="684"/>
      <c r="JNS70" s="684"/>
      <c r="JNT70" s="684"/>
      <c r="JNU70" s="684"/>
      <c r="JNV70" s="684"/>
      <c r="JNW70" s="684"/>
      <c r="JNX70" s="684"/>
      <c r="JNY70" s="684"/>
      <c r="JNZ70" s="684"/>
      <c r="JOA70" s="684"/>
      <c r="JOB70" s="684"/>
      <c r="JOC70" s="684"/>
      <c r="JOD70" s="684"/>
      <c r="JOE70" s="684"/>
      <c r="JOF70" s="684"/>
      <c r="JOG70" s="684"/>
      <c r="JOH70" s="684"/>
      <c r="JOI70" s="684"/>
      <c r="JOJ70" s="684"/>
      <c r="JOK70" s="684"/>
      <c r="JOL70" s="684"/>
      <c r="JOM70" s="684"/>
      <c r="JON70" s="684"/>
      <c r="JOO70" s="684"/>
      <c r="JOP70" s="684"/>
      <c r="JOQ70" s="684"/>
      <c r="JOR70" s="684"/>
      <c r="JOS70" s="684"/>
      <c r="JOT70" s="684"/>
      <c r="JOU70" s="684"/>
      <c r="JOV70" s="684"/>
      <c r="JOW70" s="684"/>
      <c r="JOX70" s="684"/>
      <c r="JOY70" s="684"/>
      <c r="JOZ70" s="684"/>
      <c r="JPA70" s="684"/>
      <c r="JPB70" s="684"/>
      <c r="JPC70" s="684"/>
      <c r="JPD70" s="684"/>
      <c r="JPE70" s="684"/>
      <c r="JPF70" s="684"/>
      <c r="JPG70" s="684"/>
      <c r="JPH70" s="684"/>
      <c r="JPI70" s="684"/>
      <c r="JPJ70" s="684"/>
      <c r="JPK70" s="684"/>
      <c r="JPL70" s="684"/>
      <c r="JPM70" s="684"/>
      <c r="JPN70" s="684"/>
      <c r="JPO70" s="684"/>
      <c r="JPP70" s="684"/>
      <c r="JPQ70" s="684"/>
      <c r="JPR70" s="684"/>
      <c r="JPS70" s="684"/>
      <c r="JPT70" s="684"/>
      <c r="JPU70" s="684"/>
      <c r="JPV70" s="684"/>
      <c r="JPW70" s="684"/>
      <c r="JPX70" s="684"/>
      <c r="JPY70" s="684"/>
      <c r="JPZ70" s="684"/>
      <c r="JQA70" s="684"/>
      <c r="JQB70" s="684"/>
      <c r="JQC70" s="684"/>
      <c r="JQD70" s="684"/>
      <c r="JQE70" s="684"/>
      <c r="JQF70" s="684"/>
      <c r="JQG70" s="684"/>
      <c r="JQH70" s="684"/>
      <c r="JQI70" s="684"/>
      <c r="JQJ70" s="684"/>
      <c r="JQK70" s="684"/>
      <c r="JQL70" s="684"/>
      <c r="JQM70" s="684"/>
      <c r="JQN70" s="684"/>
      <c r="JQO70" s="684"/>
      <c r="JQP70" s="684"/>
      <c r="JQQ70" s="684"/>
      <c r="JQR70" s="684"/>
      <c r="JQS70" s="684"/>
      <c r="JQT70" s="684"/>
      <c r="JQU70" s="684"/>
      <c r="JQV70" s="684"/>
      <c r="JQW70" s="684"/>
      <c r="JQX70" s="684"/>
      <c r="JQY70" s="684"/>
      <c r="JQZ70" s="684"/>
      <c r="JRA70" s="684"/>
      <c r="JRB70" s="684"/>
      <c r="JRC70" s="684"/>
      <c r="JRD70" s="684"/>
      <c r="JRE70" s="684"/>
      <c r="JRF70" s="684"/>
      <c r="JRG70" s="684"/>
      <c r="JRH70" s="684"/>
      <c r="JRI70" s="684"/>
      <c r="JRJ70" s="684"/>
      <c r="JRK70" s="684"/>
      <c r="JRL70" s="684"/>
      <c r="JRM70" s="684"/>
      <c r="JRN70" s="684"/>
      <c r="JRO70" s="684"/>
      <c r="JRP70" s="684"/>
      <c r="JRQ70" s="684"/>
      <c r="JRR70" s="684"/>
      <c r="JRS70" s="684"/>
      <c r="JRT70" s="684"/>
      <c r="JRU70" s="684"/>
      <c r="JRV70" s="684"/>
      <c r="JRW70" s="684"/>
      <c r="JRX70" s="684"/>
      <c r="JRY70" s="684"/>
      <c r="JRZ70" s="684"/>
      <c r="JSA70" s="684"/>
      <c r="JSB70" s="684"/>
      <c r="JSC70" s="684"/>
      <c r="JSD70" s="684"/>
      <c r="JSE70" s="684"/>
      <c r="JSF70" s="684"/>
      <c r="JSG70" s="684"/>
      <c r="JSH70" s="684"/>
      <c r="JSI70" s="684"/>
      <c r="JSJ70" s="684"/>
      <c r="JSK70" s="684"/>
      <c r="JSL70" s="684"/>
      <c r="JSM70" s="684"/>
      <c r="JSN70" s="684"/>
      <c r="JSO70" s="684"/>
      <c r="JSP70" s="684"/>
      <c r="JSQ70" s="684"/>
      <c r="JSR70" s="684"/>
      <c r="JSS70" s="684"/>
      <c r="JST70" s="684"/>
      <c r="JSU70" s="684"/>
      <c r="JSV70" s="684"/>
      <c r="JSW70" s="684"/>
      <c r="JSX70" s="684"/>
      <c r="JSY70" s="684"/>
      <c r="JSZ70" s="684"/>
      <c r="JTA70" s="684"/>
      <c r="JTB70" s="684"/>
      <c r="JTC70" s="684"/>
      <c r="JTD70" s="684"/>
      <c r="JTE70" s="684"/>
      <c r="JTF70" s="684"/>
      <c r="JTG70" s="684"/>
      <c r="JTH70" s="684"/>
      <c r="JTI70" s="684"/>
      <c r="JTJ70" s="684"/>
      <c r="JTK70" s="684"/>
      <c r="JTL70" s="684"/>
      <c r="JTM70" s="684"/>
      <c r="JTN70" s="684"/>
      <c r="JTO70" s="684"/>
      <c r="JTP70" s="684"/>
      <c r="JTQ70" s="684"/>
      <c r="JTR70" s="684"/>
      <c r="JTS70" s="684"/>
      <c r="JTT70" s="684"/>
      <c r="JTU70" s="684"/>
      <c r="JTV70" s="684"/>
      <c r="JTW70" s="684"/>
      <c r="JTX70" s="684"/>
      <c r="JTY70" s="684"/>
      <c r="JTZ70" s="684"/>
      <c r="JUA70" s="684"/>
      <c r="JUB70" s="684"/>
      <c r="JUC70" s="684"/>
      <c r="JUD70" s="684"/>
      <c r="JUE70" s="684"/>
      <c r="JUF70" s="684"/>
      <c r="JUG70" s="684"/>
      <c r="JUH70" s="684"/>
      <c r="JUI70" s="684"/>
      <c r="JUJ70" s="684"/>
      <c r="JUK70" s="684"/>
      <c r="JUL70" s="684"/>
      <c r="JUM70" s="684"/>
      <c r="JUN70" s="684"/>
      <c r="JUO70" s="684"/>
      <c r="JUP70" s="684"/>
      <c r="JUQ70" s="684"/>
      <c r="JUR70" s="684"/>
      <c r="JUS70" s="684"/>
      <c r="JUT70" s="684"/>
      <c r="JUU70" s="684"/>
      <c r="JUV70" s="684"/>
      <c r="JUW70" s="684"/>
      <c r="JUX70" s="684"/>
      <c r="JUY70" s="684"/>
      <c r="JUZ70" s="684"/>
      <c r="JVA70" s="684"/>
      <c r="JVB70" s="684"/>
      <c r="JVC70" s="684"/>
      <c r="JVD70" s="684"/>
      <c r="JVE70" s="684"/>
      <c r="JVF70" s="684"/>
      <c r="JVG70" s="684"/>
      <c r="JVH70" s="684"/>
      <c r="JVI70" s="684"/>
      <c r="JVJ70" s="684"/>
      <c r="JVK70" s="684"/>
      <c r="JVL70" s="684"/>
      <c r="JVM70" s="684"/>
      <c r="JVN70" s="684"/>
      <c r="JVO70" s="684"/>
      <c r="JVP70" s="684"/>
      <c r="JVQ70" s="684"/>
      <c r="JVR70" s="684"/>
      <c r="JVS70" s="684"/>
      <c r="JVT70" s="684"/>
      <c r="JVU70" s="684"/>
      <c r="JVV70" s="684"/>
      <c r="JVW70" s="684"/>
      <c r="JVX70" s="684"/>
      <c r="JVY70" s="684"/>
      <c r="JVZ70" s="684"/>
      <c r="JWA70" s="684"/>
      <c r="JWB70" s="684"/>
      <c r="JWC70" s="684"/>
      <c r="JWD70" s="684"/>
      <c r="JWE70" s="684"/>
      <c r="JWF70" s="684"/>
      <c r="JWG70" s="684"/>
      <c r="JWH70" s="684"/>
      <c r="JWI70" s="684"/>
      <c r="JWJ70" s="684"/>
      <c r="JWK70" s="684"/>
      <c r="JWL70" s="684"/>
      <c r="JWM70" s="684"/>
      <c r="JWN70" s="684"/>
      <c r="JWO70" s="684"/>
      <c r="JWP70" s="684"/>
      <c r="JWQ70" s="684"/>
      <c r="JWR70" s="684"/>
      <c r="JWS70" s="684"/>
      <c r="JWT70" s="684"/>
      <c r="JWU70" s="684"/>
      <c r="JWV70" s="684"/>
      <c r="JWW70" s="684"/>
      <c r="JWX70" s="684"/>
      <c r="JWY70" s="684"/>
      <c r="JWZ70" s="684"/>
      <c r="JXA70" s="684"/>
      <c r="JXB70" s="684"/>
      <c r="JXC70" s="684"/>
      <c r="JXD70" s="684"/>
      <c r="JXE70" s="684"/>
      <c r="JXF70" s="684"/>
      <c r="JXG70" s="684"/>
      <c r="JXH70" s="684"/>
      <c r="JXI70" s="684"/>
      <c r="JXJ70" s="684"/>
      <c r="JXK70" s="684"/>
      <c r="JXL70" s="684"/>
      <c r="JXM70" s="684"/>
      <c r="JXN70" s="684"/>
      <c r="JXO70" s="684"/>
      <c r="JXP70" s="684"/>
      <c r="JXQ70" s="684"/>
      <c r="JXR70" s="684"/>
      <c r="JXS70" s="684"/>
      <c r="JXT70" s="684"/>
      <c r="JXU70" s="684"/>
      <c r="JXV70" s="684"/>
      <c r="JXW70" s="684"/>
      <c r="JXX70" s="684"/>
      <c r="JXY70" s="684"/>
      <c r="JXZ70" s="684"/>
      <c r="JYA70" s="684"/>
      <c r="JYB70" s="684"/>
      <c r="JYC70" s="684"/>
      <c r="JYD70" s="684"/>
      <c r="JYE70" s="684"/>
      <c r="JYF70" s="684"/>
      <c r="JYG70" s="684"/>
      <c r="JYH70" s="684"/>
      <c r="JYI70" s="684"/>
      <c r="JYJ70" s="684"/>
      <c r="JYK70" s="684"/>
      <c r="JYL70" s="684"/>
      <c r="JYM70" s="684"/>
      <c r="JYN70" s="684"/>
      <c r="JYO70" s="684"/>
      <c r="JYP70" s="684"/>
      <c r="JYQ70" s="684"/>
      <c r="JYR70" s="684"/>
      <c r="JYS70" s="684"/>
      <c r="JYT70" s="684"/>
      <c r="JYU70" s="684"/>
      <c r="JYV70" s="684"/>
      <c r="JYW70" s="684"/>
      <c r="JYX70" s="684"/>
      <c r="JYY70" s="684"/>
      <c r="JYZ70" s="684"/>
      <c r="JZA70" s="684"/>
      <c r="JZB70" s="684"/>
      <c r="JZC70" s="684"/>
      <c r="JZD70" s="684"/>
      <c r="JZE70" s="684"/>
      <c r="JZF70" s="684"/>
      <c r="JZG70" s="684"/>
      <c r="JZH70" s="684"/>
      <c r="JZI70" s="684"/>
      <c r="JZJ70" s="684"/>
      <c r="JZK70" s="684"/>
      <c r="JZL70" s="684"/>
      <c r="JZM70" s="684"/>
      <c r="JZN70" s="684"/>
      <c r="JZO70" s="684"/>
      <c r="JZP70" s="684"/>
      <c r="JZQ70" s="684"/>
      <c r="JZR70" s="684"/>
      <c r="JZS70" s="684"/>
      <c r="JZT70" s="684"/>
      <c r="JZU70" s="684"/>
      <c r="JZV70" s="684"/>
      <c r="JZW70" s="684"/>
      <c r="JZX70" s="684"/>
      <c r="JZY70" s="684"/>
      <c r="JZZ70" s="684"/>
      <c r="KAA70" s="684"/>
      <c r="KAB70" s="684"/>
      <c r="KAC70" s="684"/>
      <c r="KAD70" s="684"/>
      <c r="KAE70" s="684"/>
      <c r="KAF70" s="684"/>
      <c r="KAG70" s="684"/>
      <c r="KAH70" s="684"/>
      <c r="KAI70" s="684"/>
      <c r="KAJ70" s="684"/>
      <c r="KAK70" s="684"/>
      <c r="KAL70" s="684"/>
      <c r="KAM70" s="684"/>
      <c r="KAN70" s="684"/>
      <c r="KAO70" s="684"/>
      <c r="KAP70" s="684"/>
      <c r="KAQ70" s="684"/>
      <c r="KAR70" s="684"/>
      <c r="KAS70" s="684"/>
      <c r="KAT70" s="684"/>
      <c r="KAU70" s="684"/>
      <c r="KAV70" s="684"/>
      <c r="KAW70" s="684"/>
      <c r="KAX70" s="684"/>
      <c r="KAY70" s="684"/>
      <c r="KAZ70" s="684"/>
      <c r="KBA70" s="684"/>
      <c r="KBB70" s="684"/>
      <c r="KBC70" s="684"/>
      <c r="KBD70" s="684"/>
      <c r="KBE70" s="684"/>
      <c r="KBF70" s="684"/>
      <c r="KBG70" s="684"/>
      <c r="KBH70" s="684"/>
      <c r="KBI70" s="684"/>
      <c r="KBJ70" s="684"/>
      <c r="KBK70" s="684"/>
      <c r="KBL70" s="684"/>
      <c r="KBM70" s="684"/>
      <c r="KBN70" s="684"/>
      <c r="KBO70" s="684"/>
      <c r="KBP70" s="684"/>
      <c r="KBQ70" s="684"/>
      <c r="KBR70" s="684"/>
      <c r="KBS70" s="684"/>
      <c r="KBT70" s="684"/>
      <c r="KBU70" s="684"/>
      <c r="KBV70" s="684"/>
      <c r="KBW70" s="684"/>
      <c r="KBX70" s="684"/>
      <c r="KBY70" s="684"/>
      <c r="KBZ70" s="684"/>
      <c r="KCA70" s="684"/>
      <c r="KCB70" s="684"/>
      <c r="KCC70" s="684"/>
      <c r="KCD70" s="684"/>
      <c r="KCE70" s="684"/>
      <c r="KCF70" s="684"/>
      <c r="KCG70" s="684"/>
      <c r="KCH70" s="684"/>
      <c r="KCI70" s="684"/>
      <c r="KCJ70" s="684"/>
      <c r="KCK70" s="684"/>
      <c r="KCL70" s="684"/>
      <c r="KCM70" s="684"/>
      <c r="KCN70" s="684"/>
      <c r="KCO70" s="684"/>
      <c r="KCP70" s="684"/>
      <c r="KCQ70" s="684"/>
      <c r="KCR70" s="684"/>
      <c r="KCS70" s="684"/>
      <c r="KCT70" s="684"/>
      <c r="KCU70" s="684"/>
      <c r="KCV70" s="684"/>
      <c r="KCW70" s="684"/>
      <c r="KCX70" s="684"/>
      <c r="KCY70" s="684"/>
      <c r="KCZ70" s="684"/>
      <c r="KDA70" s="684"/>
      <c r="KDB70" s="684"/>
      <c r="KDC70" s="684"/>
      <c r="KDD70" s="684"/>
      <c r="KDE70" s="684"/>
      <c r="KDF70" s="684"/>
      <c r="KDG70" s="684"/>
      <c r="KDH70" s="684"/>
      <c r="KDI70" s="684"/>
      <c r="KDJ70" s="684"/>
      <c r="KDK70" s="684"/>
      <c r="KDL70" s="684"/>
      <c r="KDM70" s="684"/>
      <c r="KDN70" s="684"/>
      <c r="KDO70" s="684"/>
      <c r="KDP70" s="684"/>
      <c r="KDQ70" s="684"/>
      <c r="KDR70" s="684"/>
      <c r="KDS70" s="684"/>
      <c r="KDT70" s="684"/>
      <c r="KDU70" s="684"/>
      <c r="KDV70" s="684"/>
      <c r="KDW70" s="684"/>
      <c r="KDX70" s="684"/>
      <c r="KDY70" s="684"/>
      <c r="KDZ70" s="684"/>
      <c r="KEA70" s="684"/>
      <c r="KEB70" s="684"/>
      <c r="KEC70" s="684"/>
      <c r="KED70" s="684"/>
      <c r="KEE70" s="684"/>
      <c r="KEF70" s="684"/>
      <c r="KEG70" s="684"/>
      <c r="KEH70" s="684"/>
      <c r="KEI70" s="684"/>
      <c r="KEJ70" s="684"/>
      <c r="KEK70" s="684"/>
      <c r="KEL70" s="684"/>
      <c r="KEM70" s="684"/>
      <c r="KEN70" s="684"/>
      <c r="KEO70" s="684"/>
      <c r="KEP70" s="684"/>
      <c r="KEQ70" s="684"/>
      <c r="KER70" s="684"/>
      <c r="KES70" s="684"/>
      <c r="KET70" s="684"/>
      <c r="KEU70" s="684"/>
      <c r="KEV70" s="684"/>
      <c r="KEW70" s="684"/>
      <c r="KEX70" s="684"/>
      <c r="KEY70" s="684"/>
      <c r="KEZ70" s="684"/>
      <c r="KFA70" s="684"/>
      <c r="KFB70" s="684"/>
      <c r="KFC70" s="684"/>
      <c r="KFD70" s="684"/>
      <c r="KFE70" s="684"/>
      <c r="KFF70" s="684"/>
      <c r="KFG70" s="684"/>
      <c r="KFH70" s="684"/>
      <c r="KFI70" s="684"/>
      <c r="KFJ70" s="684"/>
      <c r="KFK70" s="684"/>
      <c r="KFL70" s="684"/>
      <c r="KFM70" s="684"/>
      <c r="KFN70" s="684"/>
      <c r="KFO70" s="684"/>
      <c r="KFP70" s="684"/>
      <c r="KFQ70" s="684"/>
      <c r="KFR70" s="684"/>
      <c r="KFS70" s="684"/>
      <c r="KFT70" s="684"/>
      <c r="KFU70" s="684"/>
      <c r="KFV70" s="684"/>
      <c r="KFW70" s="684"/>
      <c r="KFX70" s="684"/>
      <c r="KFY70" s="684"/>
      <c r="KFZ70" s="684"/>
      <c r="KGA70" s="684"/>
      <c r="KGB70" s="684"/>
      <c r="KGC70" s="684"/>
      <c r="KGD70" s="684"/>
      <c r="KGE70" s="684"/>
      <c r="KGF70" s="684"/>
      <c r="KGG70" s="684"/>
      <c r="KGH70" s="684"/>
      <c r="KGI70" s="684"/>
      <c r="KGJ70" s="684"/>
      <c r="KGK70" s="684"/>
      <c r="KGL70" s="684"/>
      <c r="KGM70" s="684"/>
      <c r="KGN70" s="684"/>
      <c r="KGO70" s="684"/>
      <c r="KGP70" s="684"/>
      <c r="KGQ70" s="684"/>
      <c r="KGR70" s="684"/>
      <c r="KGS70" s="684"/>
      <c r="KGT70" s="684"/>
      <c r="KGU70" s="684"/>
      <c r="KGV70" s="684"/>
      <c r="KGW70" s="684"/>
      <c r="KGX70" s="684"/>
      <c r="KGY70" s="684"/>
      <c r="KGZ70" s="684"/>
      <c r="KHA70" s="684"/>
      <c r="KHB70" s="684"/>
      <c r="KHC70" s="684"/>
      <c r="KHD70" s="684"/>
      <c r="KHE70" s="684"/>
      <c r="KHF70" s="684"/>
      <c r="KHG70" s="684"/>
      <c r="KHH70" s="684"/>
      <c r="KHI70" s="684"/>
      <c r="KHJ70" s="684"/>
      <c r="KHK70" s="684"/>
      <c r="KHL70" s="684"/>
      <c r="KHM70" s="684"/>
      <c r="KHN70" s="684"/>
      <c r="KHO70" s="684"/>
      <c r="KHP70" s="684"/>
      <c r="KHQ70" s="684"/>
      <c r="KHR70" s="684"/>
      <c r="KHS70" s="684"/>
      <c r="KHT70" s="684"/>
      <c r="KHU70" s="684"/>
      <c r="KHV70" s="684"/>
      <c r="KHW70" s="684"/>
      <c r="KHX70" s="684"/>
      <c r="KHY70" s="684"/>
      <c r="KHZ70" s="684"/>
      <c r="KIA70" s="684"/>
      <c r="KIB70" s="684"/>
      <c r="KIC70" s="684"/>
      <c r="KID70" s="684"/>
      <c r="KIE70" s="684"/>
      <c r="KIF70" s="684"/>
      <c r="KIG70" s="684"/>
      <c r="KIH70" s="684"/>
      <c r="KII70" s="684"/>
      <c r="KIJ70" s="684"/>
      <c r="KIK70" s="684"/>
      <c r="KIL70" s="684"/>
      <c r="KIM70" s="684"/>
      <c r="KIN70" s="684"/>
      <c r="KIO70" s="684"/>
      <c r="KIP70" s="684"/>
      <c r="KIQ70" s="684"/>
      <c r="KIR70" s="684"/>
      <c r="KIS70" s="684"/>
      <c r="KIT70" s="684"/>
      <c r="KIU70" s="684"/>
      <c r="KIV70" s="684"/>
      <c r="KIW70" s="684"/>
      <c r="KIX70" s="684"/>
      <c r="KIY70" s="684"/>
      <c r="KIZ70" s="684"/>
      <c r="KJA70" s="684"/>
      <c r="KJB70" s="684"/>
      <c r="KJC70" s="684"/>
      <c r="KJD70" s="684"/>
      <c r="KJE70" s="684"/>
      <c r="KJF70" s="684"/>
      <c r="KJG70" s="684"/>
      <c r="KJH70" s="684"/>
      <c r="KJI70" s="684"/>
      <c r="KJJ70" s="684"/>
      <c r="KJK70" s="684"/>
      <c r="KJL70" s="684"/>
      <c r="KJM70" s="684"/>
      <c r="KJN70" s="684"/>
      <c r="KJO70" s="684"/>
      <c r="KJP70" s="684"/>
      <c r="KJQ70" s="684"/>
      <c r="KJR70" s="684"/>
      <c r="KJS70" s="684"/>
      <c r="KJT70" s="684"/>
      <c r="KJU70" s="684"/>
      <c r="KJV70" s="684"/>
      <c r="KJW70" s="684"/>
      <c r="KJX70" s="684"/>
      <c r="KJY70" s="684"/>
      <c r="KJZ70" s="684"/>
      <c r="KKA70" s="684"/>
      <c r="KKB70" s="684"/>
      <c r="KKC70" s="684"/>
      <c r="KKD70" s="684"/>
      <c r="KKE70" s="684"/>
      <c r="KKF70" s="684"/>
      <c r="KKG70" s="684"/>
      <c r="KKH70" s="684"/>
      <c r="KKI70" s="684"/>
      <c r="KKJ70" s="684"/>
      <c r="KKK70" s="684"/>
      <c r="KKL70" s="684"/>
      <c r="KKM70" s="684"/>
      <c r="KKN70" s="684"/>
      <c r="KKO70" s="684"/>
      <c r="KKP70" s="684"/>
      <c r="KKQ70" s="684"/>
      <c r="KKR70" s="684"/>
      <c r="KKS70" s="684"/>
      <c r="KKT70" s="684"/>
      <c r="KKU70" s="684"/>
      <c r="KKV70" s="684"/>
      <c r="KKW70" s="684"/>
      <c r="KKX70" s="684"/>
      <c r="KKY70" s="684"/>
      <c r="KKZ70" s="684"/>
      <c r="KLA70" s="684"/>
      <c r="KLB70" s="684"/>
      <c r="KLC70" s="684"/>
      <c r="KLD70" s="684"/>
      <c r="KLE70" s="684"/>
      <c r="KLF70" s="684"/>
      <c r="KLG70" s="684"/>
      <c r="KLH70" s="684"/>
      <c r="KLI70" s="684"/>
      <c r="KLJ70" s="684"/>
      <c r="KLK70" s="684"/>
      <c r="KLL70" s="684"/>
      <c r="KLM70" s="684"/>
      <c r="KLN70" s="684"/>
      <c r="KLO70" s="684"/>
      <c r="KLP70" s="684"/>
      <c r="KLQ70" s="684"/>
      <c r="KLR70" s="684"/>
      <c r="KLS70" s="684"/>
      <c r="KLT70" s="684"/>
      <c r="KLU70" s="684"/>
      <c r="KLV70" s="684"/>
      <c r="KLW70" s="684"/>
      <c r="KLX70" s="684"/>
      <c r="KLY70" s="684"/>
      <c r="KLZ70" s="684"/>
      <c r="KMA70" s="684"/>
      <c r="KMB70" s="684"/>
      <c r="KMC70" s="684"/>
      <c r="KMD70" s="684"/>
      <c r="KME70" s="684"/>
      <c r="KMF70" s="684"/>
      <c r="KMG70" s="684"/>
      <c r="KMH70" s="684"/>
      <c r="KMI70" s="684"/>
      <c r="KMJ70" s="684"/>
      <c r="KMK70" s="684"/>
      <c r="KML70" s="684"/>
      <c r="KMM70" s="684"/>
      <c r="KMN70" s="684"/>
      <c r="KMO70" s="684"/>
      <c r="KMP70" s="684"/>
      <c r="KMQ70" s="684"/>
      <c r="KMR70" s="684"/>
      <c r="KMS70" s="684"/>
      <c r="KMT70" s="684"/>
      <c r="KMU70" s="684"/>
      <c r="KMV70" s="684"/>
      <c r="KMW70" s="684"/>
      <c r="KMX70" s="684"/>
      <c r="KMY70" s="684"/>
      <c r="KMZ70" s="684"/>
      <c r="KNA70" s="684"/>
      <c r="KNB70" s="684"/>
      <c r="KNC70" s="684"/>
      <c r="KND70" s="684"/>
      <c r="KNE70" s="684"/>
      <c r="KNF70" s="684"/>
      <c r="KNG70" s="684"/>
      <c r="KNH70" s="684"/>
      <c r="KNI70" s="684"/>
      <c r="KNJ70" s="684"/>
      <c r="KNK70" s="684"/>
      <c r="KNL70" s="684"/>
      <c r="KNM70" s="684"/>
      <c r="KNN70" s="684"/>
      <c r="KNO70" s="684"/>
      <c r="KNP70" s="684"/>
      <c r="KNQ70" s="684"/>
      <c r="KNR70" s="684"/>
      <c r="KNS70" s="684"/>
      <c r="KNT70" s="684"/>
      <c r="KNU70" s="684"/>
      <c r="KNV70" s="684"/>
      <c r="KNW70" s="684"/>
      <c r="KNX70" s="684"/>
      <c r="KNY70" s="684"/>
      <c r="KNZ70" s="684"/>
      <c r="KOA70" s="684"/>
      <c r="KOB70" s="684"/>
      <c r="KOC70" s="684"/>
      <c r="KOD70" s="684"/>
      <c r="KOE70" s="684"/>
      <c r="KOF70" s="684"/>
      <c r="KOG70" s="684"/>
      <c r="KOH70" s="684"/>
      <c r="KOI70" s="684"/>
      <c r="KOJ70" s="684"/>
      <c r="KOK70" s="684"/>
      <c r="KOL70" s="684"/>
      <c r="KOM70" s="684"/>
      <c r="KON70" s="684"/>
      <c r="KOO70" s="684"/>
      <c r="KOP70" s="684"/>
      <c r="KOQ70" s="684"/>
      <c r="KOR70" s="684"/>
      <c r="KOS70" s="684"/>
      <c r="KOT70" s="684"/>
      <c r="KOU70" s="684"/>
      <c r="KOV70" s="684"/>
      <c r="KOW70" s="684"/>
      <c r="KOX70" s="684"/>
      <c r="KOY70" s="684"/>
      <c r="KOZ70" s="684"/>
      <c r="KPA70" s="684"/>
      <c r="KPB70" s="684"/>
      <c r="KPC70" s="684"/>
      <c r="KPD70" s="684"/>
      <c r="KPE70" s="684"/>
      <c r="KPF70" s="684"/>
      <c r="KPG70" s="684"/>
      <c r="KPH70" s="684"/>
      <c r="KPI70" s="684"/>
      <c r="KPJ70" s="684"/>
      <c r="KPK70" s="684"/>
      <c r="KPL70" s="684"/>
      <c r="KPM70" s="684"/>
      <c r="KPN70" s="684"/>
      <c r="KPO70" s="684"/>
      <c r="KPP70" s="684"/>
      <c r="KPQ70" s="684"/>
      <c r="KPR70" s="684"/>
      <c r="KPS70" s="684"/>
      <c r="KPT70" s="684"/>
      <c r="KPU70" s="684"/>
      <c r="KPV70" s="684"/>
      <c r="KPW70" s="684"/>
      <c r="KPX70" s="684"/>
      <c r="KPY70" s="684"/>
      <c r="KPZ70" s="684"/>
      <c r="KQA70" s="684"/>
      <c r="KQB70" s="684"/>
      <c r="KQC70" s="684"/>
      <c r="KQD70" s="684"/>
      <c r="KQE70" s="684"/>
      <c r="KQF70" s="684"/>
      <c r="KQG70" s="684"/>
      <c r="KQH70" s="684"/>
      <c r="KQI70" s="684"/>
      <c r="KQJ70" s="684"/>
      <c r="KQK70" s="684"/>
      <c r="KQL70" s="684"/>
      <c r="KQM70" s="684"/>
      <c r="KQN70" s="684"/>
      <c r="KQO70" s="684"/>
      <c r="KQP70" s="684"/>
      <c r="KQQ70" s="684"/>
      <c r="KQR70" s="684"/>
      <c r="KQS70" s="684"/>
      <c r="KQT70" s="684"/>
      <c r="KQU70" s="684"/>
      <c r="KQV70" s="684"/>
      <c r="KQW70" s="684"/>
      <c r="KQX70" s="684"/>
      <c r="KQY70" s="684"/>
      <c r="KQZ70" s="684"/>
      <c r="KRA70" s="684"/>
      <c r="KRB70" s="684"/>
      <c r="KRC70" s="684"/>
      <c r="KRD70" s="684"/>
      <c r="KRE70" s="684"/>
      <c r="KRF70" s="684"/>
      <c r="KRG70" s="684"/>
      <c r="KRH70" s="684"/>
      <c r="KRI70" s="684"/>
      <c r="KRJ70" s="684"/>
      <c r="KRK70" s="684"/>
      <c r="KRL70" s="684"/>
      <c r="KRM70" s="684"/>
      <c r="KRN70" s="684"/>
      <c r="KRO70" s="684"/>
      <c r="KRP70" s="684"/>
      <c r="KRQ70" s="684"/>
      <c r="KRR70" s="684"/>
      <c r="KRS70" s="684"/>
      <c r="KRT70" s="684"/>
      <c r="KRU70" s="684"/>
      <c r="KRV70" s="684"/>
      <c r="KRW70" s="684"/>
      <c r="KRX70" s="684"/>
      <c r="KRY70" s="684"/>
      <c r="KRZ70" s="684"/>
      <c r="KSA70" s="684"/>
      <c r="KSB70" s="684"/>
      <c r="KSC70" s="684"/>
      <c r="KSD70" s="684"/>
      <c r="KSE70" s="684"/>
      <c r="KSF70" s="684"/>
      <c r="KSG70" s="684"/>
      <c r="KSH70" s="684"/>
      <c r="KSI70" s="684"/>
      <c r="KSJ70" s="684"/>
      <c r="KSK70" s="684"/>
      <c r="KSL70" s="684"/>
      <c r="KSM70" s="684"/>
      <c r="KSN70" s="684"/>
      <c r="KSO70" s="684"/>
      <c r="KSP70" s="684"/>
      <c r="KSQ70" s="684"/>
      <c r="KSR70" s="684"/>
      <c r="KSS70" s="684"/>
      <c r="KST70" s="684"/>
      <c r="KSU70" s="684"/>
      <c r="KSV70" s="684"/>
      <c r="KSW70" s="684"/>
      <c r="KSX70" s="684"/>
      <c r="KSY70" s="684"/>
      <c r="KSZ70" s="684"/>
      <c r="KTA70" s="684"/>
      <c r="KTB70" s="684"/>
      <c r="KTC70" s="684"/>
      <c r="KTD70" s="684"/>
      <c r="KTE70" s="684"/>
      <c r="KTF70" s="684"/>
      <c r="KTG70" s="684"/>
      <c r="KTH70" s="684"/>
      <c r="KTI70" s="684"/>
      <c r="KTJ70" s="684"/>
      <c r="KTK70" s="684"/>
      <c r="KTL70" s="684"/>
      <c r="KTM70" s="684"/>
      <c r="KTN70" s="684"/>
      <c r="KTO70" s="684"/>
      <c r="KTP70" s="684"/>
      <c r="KTQ70" s="684"/>
      <c r="KTR70" s="684"/>
      <c r="KTS70" s="684"/>
      <c r="KTT70" s="684"/>
      <c r="KTU70" s="684"/>
      <c r="KTV70" s="684"/>
      <c r="KTW70" s="684"/>
      <c r="KTX70" s="684"/>
      <c r="KTY70" s="684"/>
      <c r="KTZ70" s="684"/>
      <c r="KUA70" s="684"/>
      <c r="KUB70" s="684"/>
      <c r="KUC70" s="684"/>
      <c r="KUD70" s="684"/>
      <c r="KUE70" s="684"/>
      <c r="KUF70" s="684"/>
      <c r="KUG70" s="684"/>
      <c r="KUH70" s="684"/>
      <c r="KUI70" s="684"/>
      <c r="KUJ70" s="684"/>
      <c r="KUK70" s="684"/>
      <c r="KUL70" s="684"/>
      <c r="KUM70" s="684"/>
      <c r="KUN70" s="684"/>
      <c r="KUO70" s="684"/>
      <c r="KUP70" s="684"/>
      <c r="KUQ70" s="684"/>
      <c r="KUR70" s="684"/>
      <c r="KUS70" s="684"/>
      <c r="KUT70" s="684"/>
      <c r="KUU70" s="684"/>
      <c r="KUV70" s="684"/>
      <c r="KUW70" s="684"/>
      <c r="KUX70" s="684"/>
      <c r="KUY70" s="684"/>
      <c r="KUZ70" s="684"/>
      <c r="KVA70" s="684"/>
      <c r="KVB70" s="684"/>
      <c r="KVC70" s="684"/>
      <c r="KVD70" s="684"/>
      <c r="KVE70" s="684"/>
      <c r="KVF70" s="684"/>
      <c r="KVG70" s="684"/>
      <c r="KVH70" s="684"/>
      <c r="KVI70" s="684"/>
      <c r="KVJ70" s="684"/>
      <c r="KVK70" s="684"/>
      <c r="KVL70" s="684"/>
      <c r="KVM70" s="684"/>
      <c r="KVN70" s="684"/>
      <c r="KVO70" s="684"/>
      <c r="KVP70" s="684"/>
      <c r="KVQ70" s="684"/>
      <c r="KVR70" s="684"/>
      <c r="KVS70" s="684"/>
      <c r="KVT70" s="684"/>
      <c r="KVU70" s="684"/>
      <c r="KVV70" s="684"/>
      <c r="KVW70" s="684"/>
      <c r="KVX70" s="684"/>
      <c r="KVY70" s="684"/>
      <c r="KVZ70" s="684"/>
      <c r="KWA70" s="684"/>
      <c r="KWB70" s="684"/>
      <c r="KWC70" s="684"/>
      <c r="KWD70" s="684"/>
      <c r="KWE70" s="684"/>
      <c r="KWF70" s="684"/>
      <c r="KWG70" s="684"/>
      <c r="KWH70" s="684"/>
      <c r="KWI70" s="684"/>
      <c r="KWJ70" s="684"/>
      <c r="KWK70" s="684"/>
      <c r="KWL70" s="684"/>
      <c r="KWM70" s="684"/>
      <c r="KWN70" s="684"/>
      <c r="KWO70" s="684"/>
      <c r="KWP70" s="684"/>
      <c r="KWQ70" s="684"/>
      <c r="KWR70" s="684"/>
      <c r="KWS70" s="684"/>
      <c r="KWT70" s="684"/>
      <c r="KWU70" s="684"/>
      <c r="KWV70" s="684"/>
      <c r="KWW70" s="684"/>
      <c r="KWX70" s="684"/>
      <c r="KWY70" s="684"/>
      <c r="KWZ70" s="684"/>
      <c r="KXA70" s="684"/>
      <c r="KXB70" s="684"/>
      <c r="KXC70" s="684"/>
      <c r="KXD70" s="684"/>
      <c r="KXE70" s="684"/>
      <c r="KXF70" s="684"/>
      <c r="KXG70" s="684"/>
      <c r="KXH70" s="684"/>
      <c r="KXI70" s="684"/>
      <c r="KXJ70" s="684"/>
      <c r="KXK70" s="684"/>
      <c r="KXL70" s="684"/>
      <c r="KXM70" s="684"/>
      <c r="KXN70" s="684"/>
      <c r="KXO70" s="684"/>
      <c r="KXP70" s="684"/>
      <c r="KXQ70" s="684"/>
      <c r="KXR70" s="684"/>
      <c r="KXS70" s="684"/>
      <c r="KXT70" s="684"/>
      <c r="KXU70" s="684"/>
      <c r="KXV70" s="684"/>
      <c r="KXW70" s="684"/>
      <c r="KXX70" s="684"/>
      <c r="KXY70" s="684"/>
      <c r="KXZ70" s="684"/>
      <c r="KYA70" s="684"/>
      <c r="KYB70" s="684"/>
      <c r="KYC70" s="684"/>
      <c r="KYD70" s="684"/>
      <c r="KYE70" s="684"/>
      <c r="KYF70" s="684"/>
      <c r="KYG70" s="684"/>
      <c r="KYH70" s="684"/>
      <c r="KYI70" s="684"/>
      <c r="KYJ70" s="684"/>
      <c r="KYK70" s="684"/>
      <c r="KYL70" s="684"/>
      <c r="KYM70" s="684"/>
      <c r="KYN70" s="684"/>
      <c r="KYO70" s="684"/>
      <c r="KYP70" s="684"/>
      <c r="KYQ70" s="684"/>
      <c r="KYR70" s="684"/>
      <c r="KYS70" s="684"/>
      <c r="KYT70" s="684"/>
      <c r="KYU70" s="684"/>
      <c r="KYV70" s="684"/>
      <c r="KYW70" s="684"/>
      <c r="KYX70" s="684"/>
      <c r="KYY70" s="684"/>
      <c r="KYZ70" s="684"/>
      <c r="KZA70" s="684"/>
      <c r="KZB70" s="684"/>
      <c r="KZC70" s="684"/>
      <c r="KZD70" s="684"/>
      <c r="KZE70" s="684"/>
      <c r="KZF70" s="684"/>
      <c r="KZG70" s="684"/>
      <c r="KZH70" s="684"/>
      <c r="KZI70" s="684"/>
      <c r="KZJ70" s="684"/>
      <c r="KZK70" s="684"/>
      <c r="KZL70" s="684"/>
      <c r="KZM70" s="684"/>
      <c r="KZN70" s="684"/>
      <c r="KZO70" s="684"/>
      <c r="KZP70" s="684"/>
      <c r="KZQ70" s="684"/>
      <c r="KZR70" s="684"/>
      <c r="KZS70" s="684"/>
      <c r="KZT70" s="684"/>
      <c r="KZU70" s="684"/>
      <c r="KZV70" s="684"/>
      <c r="KZW70" s="684"/>
      <c r="KZX70" s="684"/>
      <c r="KZY70" s="684"/>
      <c r="KZZ70" s="684"/>
      <c r="LAA70" s="684"/>
      <c r="LAB70" s="684"/>
      <c r="LAC70" s="684"/>
      <c r="LAD70" s="684"/>
      <c r="LAE70" s="684"/>
      <c r="LAF70" s="684"/>
      <c r="LAG70" s="684"/>
      <c r="LAH70" s="684"/>
      <c r="LAI70" s="684"/>
      <c r="LAJ70" s="684"/>
      <c r="LAK70" s="684"/>
      <c r="LAL70" s="684"/>
      <c r="LAM70" s="684"/>
      <c r="LAN70" s="684"/>
      <c r="LAO70" s="684"/>
      <c r="LAP70" s="684"/>
      <c r="LAQ70" s="684"/>
      <c r="LAR70" s="684"/>
      <c r="LAS70" s="684"/>
      <c r="LAT70" s="684"/>
      <c r="LAU70" s="684"/>
      <c r="LAV70" s="684"/>
      <c r="LAW70" s="684"/>
      <c r="LAX70" s="684"/>
      <c r="LAY70" s="684"/>
      <c r="LAZ70" s="684"/>
      <c r="LBA70" s="684"/>
      <c r="LBB70" s="684"/>
      <c r="LBC70" s="684"/>
      <c r="LBD70" s="684"/>
      <c r="LBE70" s="684"/>
      <c r="LBF70" s="684"/>
      <c r="LBG70" s="684"/>
      <c r="LBH70" s="684"/>
      <c r="LBI70" s="684"/>
      <c r="LBJ70" s="684"/>
      <c r="LBK70" s="684"/>
      <c r="LBL70" s="684"/>
      <c r="LBM70" s="684"/>
      <c r="LBN70" s="684"/>
      <c r="LBO70" s="684"/>
      <c r="LBP70" s="684"/>
      <c r="LBQ70" s="684"/>
      <c r="LBR70" s="684"/>
      <c r="LBS70" s="684"/>
      <c r="LBT70" s="684"/>
      <c r="LBU70" s="684"/>
      <c r="LBV70" s="684"/>
      <c r="LBW70" s="684"/>
      <c r="LBX70" s="684"/>
      <c r="LBY70" s="684"/>
      <c r="LBZ70" s="684"/>
      <c r="LCA70" s="684"/>
      <c r="LCB70" s="684"/>
      <c r="LCC70" s="684"/>
      <c r="LCD70" s="684"/>
      <c r="LCE70" s="684"/>
      <c r="LCF70" s="684"/>
      <c r="LCG70" s="684"/>
      <c r="LCH70" s="684"/>
      <c r="LCI70" s="684"/>
      <c r="LCJ70" s="684"/>
      <c r="LCK70" s="684"/>
      <c r="LCL70" s="684"/>
      <c r="LCM70" s="684"/>
      <c r="LCN70" s="684"/>
      <c r="LCO70" s="684"/>
      <c r="LCP70" s="684"/>
      <c r="LCQ70" s="684"/>
      <c r="LCR70" s="684"/>
      <c r="LCS70" s="684"/>
      <c r="LCT70" s="684"/>
      <c r="LCU70" s="684"/>
      <c r="LCV70" s="684"/>
      <c r="LCW70" s="684"/>
      <c r="LCX70" s="684"/>
      <c r="LCY70" s="684"/>
      <c r="LCZ70" s="684"/>
      <c r="LDA70" s="684"/>
      <c r="LDB70" s="684"/>
      <c r="LDC70" s="684"/>
      <c r="LDD70" s="684"/>
      <c r="LDE70" s="684"/>
      <c r="LDF70" s="684"/>
      <c r="LDG70" s="684"/>
      <c r="LDH70" s="684"/>
      <c r="LDI70" s="684"/>
      <c r="LDJ70" s="684"/>
      <c r="LDK70" s="684"/>
      <c r="LDL70" s="684"/>
      <c r="LDM70" s="684"/>
      <c r="LDN70" s="684"/>
      <c r="LDO70" s="684"/>
      <c r="LDP70" s="684"/>
      <c r="LDQ70" s="684"/>
      <c r="LDR70" s="684"/>
      <c r="LDS70" s="684"/>
      <c r="LDT70" s="684"/>
      <c r="LDU70" s="684"/>
      <c r="LDV70" s="684"/>
      <c r="LDW70" s="684"/>
      <c r="LDX70" s="684"/>
      <c r="LDY70" s="684"/>
      <c r="LDZ70" s="684"/>
      <c r="LEA70" s="684"/>
      <c r="LEB70" s="684"/>
      <c r="LEC70" s="684"/>
      <c r="LED70" s="684"/>
      <c r="LEE70" s="684"/>
      <c r="LEF70" s="684"/>
      <c r="LEG70" s="684"/>
      <c r="LEH70" s="684"/>
      <c r="LEI70" s="684"/>
      <c r="LEJ70" s="684"/>
      <c r="LEK70" s="684"/>
      <c r="LEL70" s="684"/>
      <c r="LEM70" s="684"/>
      <c r="LEN70" s="684"/>
      <c r="LEO70" s="684"/>
      <c r="LEP70" s="684"/>
      <c r="LEQ70" s="684"/>
      <c r="LER70" s="684"/>
      <c r="LES70" s="684"/>
      <c r="LET70" s="684"/>
      <c r="LEU70" s="684"/>
      <c r="LEV70" s="684"/>
      <c r="LEW70" s="684"/>
      <c r="LEX70" s="684"/>
      <c r="LEY70" s="684"/>
      <c r="LEZ70" s="684"/>
      <c r="LFA70" s="684"/>
      <c r="LFB70" s="684"/>
      <c r="LFC70" s="684"/>
      <c r="LFD70" s="684"/>
      <c r="LFE70" s="684"/>
      <c r="LFF70" s="684"/>
      <c r="LFG70" s="684"/>
      <c r="LFH70" s="684"/>
      <c r="LFI70" s="684"/>
      <c r="LFJ70" s="684"/>
      <c r="LFK70" s="684"/>
      <c r="LFL70" s="684"/>
      <c r="LFM70" s="684"/>
      <c r="LFN70" s="684"/>
      <c r="LFO70" s="684"/>
      <c r="LFP70" s="684"/>
      <c r="LFQ70" s="684"/>
      <c r="LFR70" s="684"/>
      <c r="LFS70" s="684"/>
      <c r="LFT70" s="684"/>
      <c r="LFU70" s="684"/>
      <c r="LFV70" s="684"/>
      <c r="LFW70" s="684"/>
      <c r="LFX70" s="684"/>
      <c r="LFY70" s="684"/>
      <c r="LFZ70" s="684"/>
      <c r="LGA70" s="684"/>
      <c r="LGB70" s="684"/>
      <c r="LGC70" s="684"/>
      <c r="LGD70" s="684"/>
      <c r="LGE70" s="684"/>
      <c r="LGF70" s="684"/>
      <c r="LGG70" s="684"/>
      <c r="LGH70" s="684"/>
      <c r="LGI70" s="684"/>
      <c r="LGJ70" s="684"/>
      <c r="LGK70" s="684"/>
      <c r="LGL70" s="684"/>
      <c r="LGM70" s="684"/>
      <c r="LGN70" s="684"/>
      <c r="LGO70" s="684"/>
      <c r="LGP70" s="684"/>
      <c r="LGQ70" s="684"/>
      <c r="LGR70" s="684"/>
      <c r="LGS70" s="684"/>
      <c r="LGT70" s="684"/>
      <c r="LGU70" s="684"/>
      <c r="LGV70" s="684"/>
      <c r="LGW70" s="684"/>
      <c r="LGX70" s="684"/>
      <c r="LGY70" s="684"/>
      <c r="LGZ70" s="684"/>
      <c r="LHA70" s="684"/>
      <c r="LHB70" s="684"/>
      <c r="LHC70" s="684"/>
      <c r="LHD70" s="684"/>
      <c r="LHE70" s="684"/>
      <c r="LHF70" s="684"/>
      <c r="LHG70" s="684"/>
      <c r="LHH70" s="684"/>
      <c r="LHI70" s="684"/>
      <c r="LHJ70" s="684"/>
      <c r="LHK70" s="684"/>
      <c r="LHL70" s="684"/>
      <c r="LHM70" s="684"/>
      <c r="LHN70" s="684"/>
      <c r="LHO70" s="684"/>
      <c r="LHP70" s="684"/>
      <c r="LHQ70" s="684"/>
      <c r="LHR70" s="684"/>
      <c r="LHS70" s="684"/>
      <c r="LHT70" s="684"/>
      <c r="LHU70" s="684"/>
      <c r="LHV70" s="684"/>
      <c r="LHW70" s="684"/>
      <c r="LHX70" s="684"/>
      <c r="LHY70" s="684"/>
      <c r="LHZ70" s="684"/>
      <c r="LIA70" s="684"/>
      <c r="LIB70" s="684"/>
      <c r="LIC70" s="684"/>
      <c r="LID70" s="684"/>
      <c r="LIE70" s="684"/>
      <c r="LIF70" s="684"/>
      <c r="LIG70" s="684"/>
      <c r="LIH70" s="684"/>
      <c r="LII70" s="684"/>
      <c r="LIJ70" s="684"/>
      <c r="LIK70" s="684"/>
      <c r="LIL70" s="684"/>
      <c r="LIM70" s="684"/>
      <c r="LIN70" s="684"/>
      <c r="LIO70" s="684"/>
      <c r="LIP70" s="684"/>
      <c r="LIQ70" s="684"/>
      <c r="LIR70" s="684"/>
      <c r="LIS70" s="684"/>
      <c r="LIT70" s="684"/>
      <c r="LIU70" s="684"/>
      <c r="LIV70" s="684"/>
      <c r="LIW70" s="684"/>
      <c r="LIX70" s="684"/>
      <c r="LIY70" s="684"/>
      <c r="LIZ70" s="684"/>
      <c r="LJA70" s="684"/>
      <c r="LJB70" s="684"/>
      <c r="LJC70" s="684"/>
      <c r="LJD70" s="684"/>
      <c r="LJE70" s="684"/>
      <c r="LJF70" s="684"/>
      <c r="LJG70" s="684"/>
      <c r="LJH70" s="684"/>
      <c r="LJI70" s="684"/>
      <c r="LJJ70" s="684"/>
      <c r="LJK70" s="684"/>
      <c r="LJL70" s="684"/>
      <c r="LJM70" s="684"/>
      <c r="LJN70" s="684"/>
      <c r="LJO70" s="684"/>
      <c r="LJP70" s="684"/>
      <c r="LJQ70" s="684"/>
      <c r="LJR70" s="684"/>
      <c r="LJS70" s="684"/>
      <c r="LJT70" s="684"/>
      <c r="LJU70" s="684"/>
      <c r="LJV70" s="684"/>
      <c r="LJW70" s="684"/>
      <c r="LJX70" s="684"/>
      <c r="LJY70" s="684"/>
      <c r="LJZ70" s="684"/>
      <c r="LKA70" s="684"/>
      <c r="LKB70" s="684"/>
      <c r="LKC70" s="684"/>
      <c r="LKD70" s="684"/>
      <c r="LKE70" s="684"/>
      <c r="LKF70" s="684"/>
      <c r="LKG70" s="684"/>
      <c r="LKH70" s="684"/>
      <c r="LKI70" s="684"/>
      <c r="LKJ70" s="684"/>
      <c r="LKK70" s="684"/>
      <c r="LKL70" s="684"/>
      <c r="LKM70" s="684"/>
      <c r="LKN70" s="684"/>
      <c r="LKO70" s="684"/>
      <c r="LKP70" s="684"/>
      <c r="LKQ70" s="684"/>
      <c r="LKR70" s="684"/>
      <c r="LKS70" s="684"/>
      <c r="LKT70" s="684"/>
      <c r="LKU70" s="684"/>
      <c r="LKV70" s="684"/>
      <c r="LKW70" s="684"/>
      <c r="LKX70" s="684"/>
      <c r="LKY70" s="684"/>
      <c r="LKZ70" s="684"/>
      <c r="LLA70" s="684"/>
      <c r="LLB70" s="684"/>
      <c r="LLC70" s="684"/>
      <c r="LLD70" s="684"/>
      <c r="LLE70" s="684"/>
      <c r="LLF70" s="684"/>
      <c r="LLG70" s="684"/>
      <c r="LLH70" s="684"/>
      <c r="LLI70" s="684"/>
      <c r="LLJ70" s="684"/>
      <c r="LLK70" s="684"/>
      <c r="LLL70" s="684"/>
      <c r="LLM70" s="684"/>
      <c r="LLN70" s="684"/>
      <c r="LLO70" s="684"/>
      <c r="LLP70" s="684"/>
      <c r="LLQ70" s="684"/>
      <c r="LLR70" s="684"/>
      <c r="LLS70" s="684"/>
      <c r="LLT70" s="684"/>
      <c r="LLU70" s="684"/>
      <c r="LLV70" s="684"/>
      <c r="LLW70" s="684"/>
      <c r="LLX70" s="684"/>
      <c r="LLY70" s="684"/>
      <c r="LLZ70" s="684"/>
      <c r="LMA70" s="684"/>
      <c r="LMB70" s="684"/>
      <c r="LMC70" s="684"/>
      <c r="LMD70" s="684"/>
      <c r="LME70" s="684"/>
      <c r="LMF70" s="684"/>
      <c r="LMG70" s="684"/>
      <c r="LMH70" s="684"/>
      <c r="LMI70" s="684"/>
      <c r="LMJ70" s="684"/>
      <c r="LMK70" s="684"/>
      <c r="LML70" s="684"/>
      <c r="LMM70" s="684"/>
      <c r="LMN70" s="684"/>
      <c r="LMO70" s="684"/>
      <c r="LMP70" s="684"/>
      <c r="LMQ70" s="684"/>
      <c r="LMR70" s="684"/>
      <c r="LMS70" s="684"/>
      <c r="LMT70" s="684"/>
      <c r="LMU70" s="684"/>
      <c r="LMV70" s="684"/>
      <c r="LMW70" s="684"/>
      <c r="LMX70" s="684"/>
      <c r="LMY70" s="684"/>
      <c r="LMZ70" s="684"/>
      <c r="LNA70" s="684"/>
      <c r="LNB70" s="684"/>
      <c r="LNC70" s="684"/>
      <c r="LND70" s="684"/>
      <c r="LNE70" s="684"/>
      <c r="LNF70" s="684"/>
      <c r="LNG70" s="684"/>
      <c r="LNH70" s="684"/>
      <c r="LNI70" s="684"/>
      <c r="LNJ70" s="684"/>
      <c r="LNK70" s="684"/>
      <c r="LNL70" s="684"/>
      <c r="LNM70" s="684"/>
      <c r="LNN70" s="684"/>
      <c r="LNO70" s="684"/>
      <c r="LNP70" s="684"/>
      <c r="LNQ70" s="684"/>
      <c r="LNR70" s="684"/>
      <c r="LNS70" s="684"/>
      <c r="LNT70" s="684"/>
      <c r="LNU70" s="684"/>
      <c r="LNV70" s="684"/>
      <c r="LNW70" s="684"/>
      <c r="LNX70" s="684"/>
      <c r="LNY70" s="684"/>
      <c r="LNZ70" s="684"/>
      <c r="LOA70" s="684"/>
      <c r="LOB70" s="684"/>
      <c r="LOC70" s="684"/>
      <c r="LOD70" s="684"/>
      <c r="LOE70" s="684"/>
      <c r="LOF70" s="684"/>
      <c r="LOG70" s="684"/>
      <c r="LOH70" s="684"/>
      <c r="LOI70" s="684"/>
      <c r="LOJ70" s="684"/>
      <c r="LOK70" s="684"/>
      <c r="LOL70" s="684"/>
      <c r="LOM70" s="684"/>
      <c r="LON70" s="684"/>
      <c r="LOO70" s="684"/>
      <c r="LOP70" s="684"/>
      <c r="LOQ70" s="684"/>
      <c r="LOR70" s="684"/>
      <c r="LOS70" s="684"/>
      <c r="LOT70" s="684"/>
      <c r="LOU70" s="684"/>
      <c r="LOV70" s="684"/>
      <c r="LOW70" s="684"/>
      <c r="LOX70" s="684"/>
      <c r="LOY70" s="684"/>
      <c r="LOZ70" s="684"/>
      <c r="LPA70" s="684"/>
      <c r="LPB70" s="684"/>
      <c r="LPC70" s="684"/>
      <c r="LPD70" s="684"/>
      <c r="LPE70" s="684"/>
      <c r="LPF70" s="684"/>
      <c r="LPG70" s="684"/>
      <c r="LPH70" s="684"/>
      <c r="LPI70" s="684"/>
      <c r="LPJ70" s="684"/>
      <c r="LPK70" s="684"/>
      <c r="LPL70" s="684"/>
      <c r="LPM70" s="684"/>
      <c r="LPN70" s="684"/>
      <c r="LPO70" s="684"/>
      <c r="LPP70" s="684"/>
      <c r="LPQ70" s="684"/>
      <c r="LPR70" s="684"/>
      <c r="LPS70" s="684"/>
      <c r="LPT70" s="684"/>
      <c r="LPU70" s="684"/>
      <c r="LPV70" s="684"/>
      <c r="LPW70" s="684"/>
      <c r="LPX70" s="684"/>
      <c r="LPY70" s="684"/>
      <c r="LPZ70" s="684"/>
      <c r="LQA70" s="684"/>
      <c r="LQB70" s="684"/>
      <c r="LQC70" s="684"/>
      <c r="LQD70" s="684"/>
      <c r="LQE70" s="684"/>
      <c r="LQF70" s="684"/>
      <c r="LQG70" s="684"/>
      <c r="LQH70" s="684"/>
      <c r="LQI70" s="684"/>
      <c r="LQJ70" s="684"/>
      <c r="LQK70" s="684"/>
      <c r="LQL70" s="684"/>
      <c r="LQM70" s="684"/>
      <c r="LQN70" s="684"/>
      <c r="LQO70" s="684"/>
      <c r="LQP70" s="684"/>
      <c r="LQQ70" s="684"/>
      <c r="LQR70" s="684"/>
      <c r="LQS70" s="684"/>
      <c r="LQT70" s="684"/>
      <c r="LQU70" s="684"/>
      <c r="LQV70" s="684"/>
      <c r="LQW70" s="684"/>
      <c r="LQX70" s="684"/>
      <c r="LQY70" s="684"/>
      <c r="LQZ70" s="684"/>
      <c r="LRA70" s="684"/>
      <c r="LRB70" s="684"/>
      <c r="LRC70" s="684"/>
      <c r="LRD70" s="684"/>
      <c r="LRE70" s="684"/>
      <c r="LRF70" s="684"/>
      <c r="LRG70" s="684"/>
      <c r="LRH70" s="684"/>
      <c r="LRI70" s="684"/>
      <c r="LRJ70" s="684"/>
      <c r="LRK70" s="684"/>
      <c r="LRL70" s="684"/>
      <c r="LRM70" s="684"/>
      <c r="LRN70" s="684"/>
      <c r="LRO70" s="684"/>
      <c r="LRP70" s="684"/>
      <c r="LRQ70" s="684"/>
      <c r="LRR70" s="684"/>
      <c r="LRS70" s="684"/>
      <c r="LRT70" s="684"/>
      <c r="LRU70" s="684"/>
      <c r="LRV70" s="684"/>
      <c r="LRW70" s="684"/>
      <c r="LRX70" s="684"/>
      <c r="LRY70" s="684"/>
      <c r="LRZ70" s="684"/>
      <c r="LSA70" s="684"/>
      <c r="LSB70" s="684"/>
      <c r="LSC70" s="684"/>
      <c r="LSD70" s="684"/>
      <c r="LSE70" s="684"/>
      <c r="LSF70" s="684"/>
      <c r="LSG70" s="684"/>
      <c r="LSH70" s="684"/>
      <c r="LSI70" s="684"/>
      <c r="LSJ70" s="684"/>
      <c r="LSK70" s="684"/>
      <c r="LSL70" s="684"/>
      <c r="LSM70" s="684"/>
      <c r="LSN70" s="684"/>
      <c r="LSO70" s="684"/>
      <c r="LSP70" s="684"/>
      <c r="LSQ70" s="684"/>
      <c r="LSR70" s="684"/>
      <c r="LSS70" s="684"/>
      <c r="LST70" s="684"/>
      <c r="LSU70" s="684"/>
      <c r="LSV70" s="684"/>
      <c r="LSW70" s="684"/>
      <c r="LSX70" s="684"/>
      <c r="LSY70" s="684"/>
      <c r="LSZ70" s="684"/>
      <c r="LTA70" s="684"/>
      <c r="LTB70" s="684"/>
      <c r="LTC70" s="684"/>
      <c r="LTD70" s="684"/>
      <c r="LTE70" s="684"/>
      <c r="LTF70" s="684"/>
      <c r="LTG70" s="684"/>
      <c r="LTH70" s="684"/>
      <c r="LTI70" s="684"/>
      <c r="LTJ70" s="684"/>
      <c r="LTK70" s="684"/>
      <c r="LTL70" s="684"/>
      <c r="LTM70" s="684"/>
      <c r="LTN70" s="684"/>
      <c r="LTO70" s="684"/>
      <c r="LTP70" s="684"/>
      <c r="LTQ70" s="684"/>
      <c r="LTR70" s="684"/>
      <c r="LTS70" s="684"/>
      <c r="LTT70" s="684"/>
      <c r="LTU70" s="684"/>
      <c r="LTV70" s="684"/>
      <c r="LTW70" s="684"/>
      <c r="LTX70" s="684"/>
      <c r="LTY70" s="684"/>
      <c r="LTZ70" s="684"/>
      <c r="LUA70" s="684"/>
      <c r="LUB70" s="684"/>
      <c r="LUC70" s="684"/>
      <c r="LUD70" s="684"/>
      <c r="LUE70" s="684"/>
      <c r="LUF70" s="684"/>
      <c r="LUG70" s="684"/>
      <c r="LUH70" s="684"/>
      <c r="LUI70" s="684"/>
      <c r="LUJ70" s="684"/>
      <c r="LUK70" s="684"/>
      <c r="LUL70" s="684"/>
      <c r="LUM70" s="684"/>
      <c r="LUN70" s="684"/>
      <c r="LUO70" s="684"/>
      <c r="LUP70" s="684"/>
      <c r="LUQ70" s="684"/>
      <c r="LUR70" s="684"/>
      <c r="LUS70" s="684"/>
      <c r="LUT70" s="684"/>
      <c r="LUU70" s="684"/>
      <c r="LUV70" s="684"/>
      <c r="LUW70" s="684"/>
      <c r="LUX70" s="684"/>
      <c r="LUY70" s="684"/>
      <c r="LUZ70" s="684"/>
      <c r="LVA70" s="684"/>
      <c r="LVB70" s="684"/>
      <c r="LVC70" s="684"/>
      <c r="LVD70" s="684"/>
      <c r="LVE70" s="684"/>
      <c r="LVF70" s="684"/>
      <c r="LVG70" s="684"/>
      <c r="LVH70" s="684"/>
      <c r="LVI70" s="684"/>
      <c r="LVJ70" s="684"/>
      <c r="LVK70" s="684"/>
      <c r="LVL70" s="684"/>
      <c r="LVM70" s="684"/>
      <c r="LVN70" s="684"/>
      <c r="LVO70" s="684"/>
      <c r="LVP70" s="684"/>
      <c r="LVQ70" s="684"/>
      <c r="LVR70" s="684"/>
      <c r="LVS70" s="684"/>
      <c r="LVT70" s="684"/>
      <c r="LVU70" s="684"/>
      <c r="LVV70" s="684"/>
      <c r="LVW70" s="684"/>
      <c r="LVX70" s="684"/>
      <c r="LVY70" s="684"/>
      <c r="LVZ70" s="684"/>
      <c r="LWA70" s="684"/>
      <c r="LWB70" s="684"/>
      <c r="LWC70" s="684"/>
      <c r="LWD70" s="684"/>
      <c r="LWE70" s="684"/>
      <c r="LWF70" s="684"/>
      <c r="LWG70" s="684"/>
      <c r="LWH70" s="684"/>
      <c r="LWI70" s="684"/>
      <c r="LWJ70" s="684"/>
      <c r="LWK70" s="684"/>
      <c r="LWL70" s="684"/>
      <c r="LWM70" s="684"/>
      <c r="LWN70" s="684"/>
      <c r="LWO70" s="684"/>
      <c r="LWP70" s="684"/>
      <c r="LWQ70" s="684"/>
      <c r="LWR70" s="684"/>
      <c r="LWS70" s="684"/>
      <c r="LWT70" s="684"/>
      <c r="LWU70" s="684"/>
      <c r="LWV70" s="684"/>
      <c r="LWW70" s="684"/>
      <c r="LWX70" s="684"/>
      <c r="LWY70" s="684"/>
      <c r="LWZ70" s="684"/>
      <c r="LXA70" s="684"/>
      <c r="LXB70" s="684"/>
      <c r="LXC70" s="684"/>
      <c r="LXD70" s="684"/>
      <c r="LXE70" s="684"/>
      <c r="LXF70" s="684"/>
      <c r="LXG70" s="684"/>
      <c r="LXH70" s="684"/>
      <c r="LXI70" s="684"/>
      <c r="LXJ70" s="684"/>
      <c r="LXK70" s="684"/>
      <c r="LXL70" s="684"/>
      <c r="LXM70" s="684"/>
      <c r="LXN70" s="684"/>
      <c r="LXO70" s="684"/>
      <c r="LXP70" s="684"/>
      <c r="LXQ70" s="684"/>
      <c r="LXR70" s="684"/>
      <c r="LXS70" s="684"/>
      <c r="LXT70" s="684"/>
      <c r="LXU70" s="684"/>
      <c r="LXV70" s="684"/>
      <c r="LXW70" s="684"/>
      <c r="LXX70" s="684"/>
      <c r="LXY70" s="684"/>
      <c r="LXZ70" s="684"/>
      <c r="LYA70" s="684"/>
      <c r="LYB70" s="684"/>
      <c r="LYC70" s="684"/>
      <c r="LYD70" s="684"/>
      <c r="LYE70" s="684"/>
      <c r="LYF70" s="684"/>
      <c r="LYG70" s="684"/>
      <c r="LYH70" s="684"/>
      <c r="LYI70" s="684"/>
      <c r="LYJ70" s="684"/>
      <c r="LYK70" s="684"/>
      <c r="LYL70" s="684"/>
      <c r="LYM70" s="684"/>
      <c r="LYN70" s="684"/>
      <c r="LYO70" s="684"/>
      <c r="LYP70" s="684"/>
      <c r="LYQ70" s="684"/>
      <c r="LYR70" s="684"/>
      <c r="LYS70" s="684"/>
      <c r="LYT70" s="684"/>
      <c r="LYU70" s="684"/>
      <c r="LYV70" s="684"/>
      <c r="LYW70" s="684"/>
      <c r="LYX70" s="684"/>
      <c r="LYY70" s="684"/>
      <c r="LYZ70" s="684"/>
      <c r="LZA70" s="684"/>
      <c r="LZB70" s="684"/>
      <c r="LZC70" s="684"/>
      <c r="LZD70" s="684"/>
      <c r="LZE70" s="684"/>
      <c r="LZF70" s="684"/>
      <c r="LZG70" s="684"/>
      <c r="LZH70" s="684"/>
      <c r="LZI70" s="684"/>
      <c r="LZJ70" s="684"/>
      <c r="LZK70" s="684"/>
      <c r="LZL70" s="684"/>
      <c r="LZM70" s="684"/>
      <c r="LZN70" s="684"/>
      <c r="LZO70" s="684"/>
      <c r="LZP70" s="684"/>
      <c r="LZQ70" s="684"/>
      <c r="LZR70" s="684"/>
      <c r="LZS70" s="684"/>
      <c r="LZT70" s="684"/>
      <c r="LZU70" s="684"/>
      <c r="LZV70" s="684"/>
      <c r="LZW70" s="684"/>
      <c r="LZX70" s="684"/>
      <c r="LZY70" s="684"/>
      <c r="LZZ70" s="684"/>
      <c r="MAA70" s="684"/>
      <c r="MAB70" s="684"/>
      <c r="MAC70" s="684"/>
      <c r="MAD70" s="684"/>
      <c r="MAE70" s="684"/>
      <c r="MAF70" s="684"/>
      <c r="MAG70" s="684"/>
      <c r="MAH70" s="684"/>
      <c r="MAI70" s="684"/>
      <c r="MAJ70" s="684"/>
      <c r="MAK70" s="684"/>
      <c r="MAL70" s="684"/>
      <c r="MAM70" s="684"/>
      <c r="MAN70" s="684"/>
      <c r="MAO70" s="684"/>
      <c r="MAP70" s="684"/>
      <c r="MAQ70" s="684"/>
      <c r="MAR70" s="684"/>
      <c r="MAS70" s="684"/>
      <c r="MAT70" s="684"/>
      <c r="MAU70" s="684"/>
      <c r="MAV70" s="684"/>
      <c r="MAW70" s="684"/>
      <c r="MAX70" s="684"/>
      <c r="MAY70" s="684"/>
      <c r="MAZ70" s="684"/>
      <c r="MBA70" s="684"/>
      <c r="MBB70" s="684"/>
      <c r="MBC70" s="684"/>
      <c r="MBD70" s="684"/>
      <c r="MBE70" s="684"/>
      <c r="MBF70" s="684"/>
      <c r="MBG70" s="684"/>
      <c r="MBH70" s="684"/>
      <c r="MBI70" s="684"/>
      <c r="MBJ70" s="684"/>
      <c r="MBK70" s="684"/>
      <c r="MBL70" s="684"/>
      <c r="MBM70" s="684"/>
      <c r="MBN70" s="684"/>
      <c r="MBO70" s="684"/>
      <c r="MBP70" s="684"/>
      <c r="MBQ70" s="684"/>
      <c r="MBR70" s="684"/>
      <c r="MBS70" s="684"/>
      <c r="MBT70" s="684"/>
      <c r="MBU70" s="684"/>
      <c r="MBV70" s="684"/>
      <c r="MBW70" s="684"/>
      <c r="MBX70" s="684"/>
      <c r="MBY70" s="684"/>
      <c r="MBZ70" s="684"/>
      <c r="MCA70" s="684"/>
      <c r="MCB70" s="684"/>
      <c r="MCC70" s="684"/>
      <c r="MCD70" s="684"/>
      <c r="MCE70" s="684"/>
      <c r="MCF70" s="684"/>
      <c r="MCG70" s="684"/>
      <c r="MCH70" s="684"/>
      <c r="MCI70" s="684"/>
      <c r="MCJ70" s="684"/>
      <c r="MCK70" s="684"/>
      <c r="MCL70" s="684"/>
      <c r="MCM70" s="684"/>
      <c r="MCN70" s="684"/>
      <c r="MCO70" s="684"/>
      <c r="MCP70" s="684"/>
      <c r="MCQ70" s="684"/>
      <c r="MCR70" s="684"/>
      <c r="MCS70" s="684"/>
      <c r="MCT70" s="684"/>
      <c r="MCU70" s="684"/>
      <c r="MCV70" s="684"/>
      <c r="MCW70" s="684"/>
      <c r="MCX70" s="684"/>
      <c r="MCY70" s="684"/>
      <c r="MCZ70" s="684"/>
      <c r="MDA70" s="684"/>
      <c r="MDB70" s="684"/>
      <c r="MDC70" s="684"/>
      <c r="MDD70" s="684"/>
      <c r="MDE70" s="684"/>
      <c r="MDF70" s="684"/>
      <c r="MDG70" s="684"/>
      <c r="MDH70" s="684"/>
      <c r="MDI70" s="684"/>
      <c r="MDJ70" s="684"/>
      <c r="MDK70" s="684"/>
      <c r="MDL70" s="684"/>
      <c r="MDM70" s="684"/>
      <c r="MDN70" s="684"/>
      <c r="MDO70" s="684"/>
      <c r="MDP70" s="684"/>
      <c r="MDQ70" s="684"/>
      <c r="MDR70" s="684"/>
      <c r="MDS70" s="684"/>
      <c r="MDT70" s="684"/>
      <c r="MDU70" s="684"/>
      <c r="MDV70" s="684"/>
      <c r="MDW70" s="684"/>
      <c r="MDX70" s="684"/>
      <c r="MDY70" s="684"/>
      <c r="MDZ70" s="684"/>
      <c r="MEA70" s="684"/>
      <c r="MEB70" s="684"/>
      <c r="MEC70" s="684"/>
      <c r="MED70" s="684"/>
      <c r="MEE70" s="684"/>
      <c r="MEF70" s="684"/>
      <c r="MEG70" s="684"/>
      <c r="MEH70" s="684"/>
      <c r="MEI70" s="684"/>
      <c r="MEJ70" s="684"/>
      <c r="MEK70" s="684"/>
      <c r="MEL70" s="684"/>
      <c r="MEM70" s="684"/>
      <c r="MEN70" s="684"/>
      <c r="MEO70" s="684"/>
      <c r="MEP70" s="684"/>
      <c r="MEQ70" s="684"/>
      <c r="MER70" s="684"/>
      <c r="MES70" s="684"/>
      <c r="MET70" s="684"/>
      <c r="MEU70" s="684"/>
      <c r="MEV70" s="684"/>
      <c r="MEW70" s="684"/>
      <c r="MEX70" s="684"/>
      <c r="MEY70" s="684"/>
      <c r="MEZ70" s="684"/>
      <c r="MFA70" s="684"/>
      <c r="MFB70" s="684"/>
      <c r="MFC70" s="684"/>
      <c r="MFD70" s="684"/>
      <c r="MFE70" s="684"/>
      <c r="MFF70" s="684"/>
      <c r="MFG70" s="684"/>
      <c r="MFH70" s="684"/>
      <c r="MFI70" s="684"/>
      <c r="MFJ70" s="684"/>
      <c r="MFK70" s="684"/>
      <c r="MFL70" s="684"/>
      <c r="MFM70" s="684"/>
      <c r="MFN70" s="684"/>
      <c r="MFO70" s="684"/>
      <c r="MFP70" s="684"/>
      <c r="MFQ70" s="684"/>
      <c r="MFR70" s="684"/>
      <c r="MFS70" s="684"/>
      <c r="MFT70" s="684"/>
      <c r="MFU70" s="684"/>
      <c r="MFV70" s="684"/>
      <c r="MFW70" s="684"/>
      <c r="MFX70" s="684"/>
      <c r="MFY70" s="684"/>
      <c r="MFZ70" s="684"/>
      <c r="MGA70" s="684"/>
      <c r="MGB70" s="684"/>
      <c r="MGC70" s="684"/>
      <c r="MGD70" s="684"/>
      <c r="MGE70" s="684"/>
      <c r="MGF70" s="684"/>
      <c r="MGG70" s="684"/>
      <c r="MGH70" s="684"/>
      <c r="MGI70" s="684"/>
      <c r="MGJ70" s="684"/>
      <c r="MGK70" s="684"/>
      <c r="MGL70" s="684"/>
      <c r="MGM70" s="684"/>
      <c r="MGN70" s="684"/>
      <c r="MGO70" s="684"/>
      <c r="MGP70" s="684"/>
      <c r="MGQ70" s="684"/>
      <c r="MGR70" s="684"/>
      <c r="MGS70" s="684"/>
      <c r="MGT70" s="684"/>
      <c r="MGU70" s="684"/>
      <c r="MGV70" s="684"/>
      <c r="MGW70" s="684"/>
      <c r="MGX70" s="684"/>
      <c r="MGY70" s="684"/>
      <c r="MGZ70" s="684"/>
      <c r="MHA70" s="684"/>
      <c r="MHB70" s="684"/>
      <c r="MHC70" s="684"/>
      <c r="MHD70" s="684"/>
      <c r="MHE70" s="684"/>
      <c r="MHF70" s="684"/>
      <c r="MHG70" s="684"/>
      <c r="MHH70" s="684"/>
      <c r="MHI70" s="684"/>
      <c r="MHJ70" s="684"/>
      <c r="MHK70" s="684"/>
      <c r="MHL70" s="684"/>
      <c r="MHM70" s="684"/>
      <c r="MHN70" s="684"/>
      <c r="MHO70" s="684"/>
      <c r="MHP70" s="684"/>
      <c r="MHQ70" s="684"/>
      <c r="MHR70" s="684"/>
      <c r="MHS70" s="684"/>
      <c r="MHT70" s="684"/>
      <c r="MHU70" s="684"/>
      <c r="MHV70" s="684"/>
      <c r="MHW70" s="684"/>
      <c r="MHX70" s="684"/>
      <c r="MHY70" s="684"/>
      <c r="MHZ70" s="684"/>
      <c r="MIA70" s="684"/>
      <c r="MIB70" s="684"/>
      <c r="MIC70" s="684"/>
      <c r="MID70" s="684"/>
      <c r="MIE70" s="684"/>
      <c r="MIF70" s="684"/>
      <c r="MIG70" s="684"/>
      <c r="MIH70" s="684"/>
      <c r="MII70" s="684"/>
      <c r="MIJ70" s="684"/>
      <c r="MIK70" s="684"/>
      <c r="MIL70" s="684"/>
      <c r="MIM70" s="684"/>
      <c r="MIN70" s="684"/>
      <c r="MIO70" s="684"/>
      <c r="MIP70" s="684"/>
      <c r="MIQ70" s="684"/>
      <c r="MIR70" s="684"/>
      <c r="MIS70" s="684"/>
      <c r="MIT70" s="684"/>
      <c r="MIU70" s="684"/>
      <c r="MIV70" s="684"/>
      <c r="MIW70" s="684"/>
      <c r="MIX70" s="684"/>
      <c r="MIY70" s="684"/>
      <c r="MIZ70" s="684"/>
      <c r="MJA70" s="684"/>
      <c r="MJB70" s="684"/>
      <c r="MJC70" s="684"/>
      <c r="MJD70" s="684"/>
      <c r="MJE70" s="684"/>
      <c r="MJF70" s="684"/>
      <c r="MJG70" s="684"/>
      <c r="MJH70" s="684"/>
      <c r="MJI70" s="684"/>
      <c r="MJJ70" s="684"/>
      <c r="MJK70" s="684"/>
      <c r="MJL70" s="684"/>
      <c r="MJM70" s="684"/>
      <c r="MJN70" s="684"/>
      <c r="MJO70" s="684"/>
      <c r="MJP70" s="684"/>
      <c r="MJQ70" s="684"/>
      <c r="MJR70" s="684"/>
      <c r="MJS70" s="684"/>
      <c r="MJT70" s="684"/>
      <c r="MJU70" s="684"/>
      <c r="MJV70" s="684"/>
      <c r="MJW70" s="684"/>
      <c r="MJX70" s="684"/>
      <c r="MJY70" s="684"/>
      <c r="MJZ70" s="684"/>
      <c r="MKA70" s="684"/>
      <c r="MKB70" s="684"/>
      <c r="MKC70" s="684"/>
      <c r="MKD70" s="684"/>
      <c r="MKE70" s="684"/>
      <c r="MKF70" s="684"/>
      <c r="MKG70" s="684"/>
      <c r="MKH70" s="684"/>
      <c r="MKI70" s="684"/>
      <c r="MKJ70" s="684"/>
      <c r="MKK70" s="684"/>
      <c r="MKL70" s="684"/>
      <c r="MKM70" s="684"/>
      <c r="MKN70" s="684"/>
      <c r="MKO70" s="684"/>
      <c r="MKP70" s="684"/>
      <c r="MKQ70" s="684"/>
      <c r="MKR70" s="684"/>
      <c r="MKS70" s="684"/>
      <c r="MKT70" s="684"/>
      <c r="MKU70" s="684"/>
      <c r="MKV70" s="684"/>
      <c r="MKW70" s="684"/>
      <c r="MKX70" s="684"/>
      <c r="MKY70" s="684"/>
      <c r="MKZ70" s="684"/>
      <c r="MLA70" s="684"/>
      <c r="MLB70" s="684"/>
      <c r="MLC70" s="684"/>
      <c r="MLD70" s="684"/>
      <c r="MLE70" s="684"/>
      <c r="MLF70" s="684"/>
      <c r="MLG70" s="684"/>
      <c r="MLH70" s="684"/>
      <c r="MLI70" s="684"/>
      <c r="MLJ70" s="684"/>
      <c r="MLK70" s="684"/>
      <c r="MLL70" s="684"/>
      <c r="MLM70" s="684"/>
      <c r="MLN70" s="684"/>
      <c r="MLO70" s="684"/>
      <c r="MLP70" s="684"/>
      <c r="MLQ70" s="684"/>
      <c r="MLR70" s="684"/>
      <c r="MLS70" s="684"/>
      <c r="MLT70" s="684"/>
      <c r="MLU70" s="684"/>
      <c r="MLV70" s="684"/>
      <c r="MLW70" s="684"/>
      <c r="MLX70" s="684"/>
      <c r="MLY70" s="684"/>
      <c r="MLZ70" s="684"/>
      <c r="MMA70" s="684"/>
      <c r="MMB70" s="684"/>
      <c r="MMC70" s="684"/>
      <c r="MMD70" s="684"/>
      <c r="MME70" s="684"/>
      <c r="MMF70" s="684"/>
      <c r="MMG70" s="684"/>
      <c r="MMH70" s="684"/>
      <c r="MMI70" s="684"/>
      <c r="MMJ70" s="684"/>
      <c r="MMK70" s="684"/>
      <c r="MML70" s="684"/>
      <c r="MMM70" s="684"/>
      <c r="MMN70" s="684"/>
      <c r="MMO70" s="684"/>
      <c r="MMP70" s="684"/>
      <c r="MMQ70" s="684"/>
      <c r="MMR70" s="684"/>
      <c r="MMS70" s="684"/>
      <c r="MMT70" s="684"/>
      <c r="MMU70" s="684"/>
      <c r="MMV70" s="684"/>
      <c r="MMW70" s="684"/>
      <c r="MMX70" s="684"/>
      <c r="MMY70" s="684"/>
      <c r="MMZ70" s="684"/>
      <c r="MNA70" s="684"/>
      <c r="MNB70" s="684"/>
      <c r="MNC70" s="684"/>
      <c r="MND70" s="684"/>
      <c r="MNE70" s="684"/>
      <c r="MNF70" s="684"/>
      <c r="MNG70" s="684"/>
      <c r="MNH70" s="684"/>
      <c r="MNI70" s="684"/>
      <c r="MNJ70" s="684"/>
      <c r="MNK70" s="684"/>
      <c r="MNL70" s="684"/>
      <c r="MNM70" s="684"/>
      <c r="MNN70" s="684"/>
      <c r="MNO70" s="684"/>
      <c r="MNP70" s="684"/>
      <c r="MNQ70" s="684"/>
      <c r="MNR70" s="684"/>
      <c r="MNS70" s="684"/>
      <c r="MNT70" s="684"/>
      <c r="MNU70" s="684"/>
      <c r="MNV70" s="684"/>
      <c r="MNW70" s="684"/>
      <c r="MNX70" s="684"/>
      <c r="MNY70" s="684"/>
      <c r="MNZ70" s="684"/>
      <c r="MOA70" s="684"/>
      <c r="MOB70" s="684"/>
      <c r="MOC70" s="684"/>
      <c r="MOD70" s="684"/>
      <c r="MOE70" s="684"/>
      <c r="MOF70" s="684"/>
      <c r="MOG70" s="684"/>
      <c r="MOH70" s="684"/>
      <c r="MOI70" s="684"/>
      <c r="MOJ70" s="684"/>
      <c r="MOK70" s="684"/>
      <c r="MOL70" s="684"/>
      <c r="MOM70" s="684"/>
      <c r="MON70" s="684"/>
      <c r="MOO70" s="684"/>
      <c r="MOP70" s="684"/>
      <c r="MOQ70" s="684"/>
      <c r="MOR70" s="684"/>
      <c r="MOS70" s="684"/>
      <c r="MOT70" s="684"/>
      <c r="MOU70" s="684"/>
      <c r="MOV70" s="684"/>
      <c r="MOW70" s="684"/>
      <c r="MOX70" s="684"/>
      <c r="MOY70" s="684"/>
      <c r="MOZ70" s="684"/>
      <c r="MPA70" s="684"/>
      <c r="MPB70" s="684"/>
      <c r="MPC70" s="684"/>
      <c r="MPD70" s="684"/>
      <c r="MPE70" s="684"/>
      <c r="MPF70" s="684"/>
      <c r="MPG70" s="684"/>
      <c r="MPH70" s="684"/>
      <c r="MPI70" s="684"/>
      <c r="MPJ70" s="684"/>
      <c r="MPK70" s="684"/>
      <c r="MPL70" s="684"/>
      <c r="MPM70" s="684"/>
      <c r="MPN70" s="684"/>
      <c r="MPO70" s="684"/>
      <c r="MPP70" s="684"/>
      <c r="MPQ70" s="684"/>
      <c r="MPR70" s="684"/>
      <c r="MPS70" s="684"/>
      <c r="MPT70" s="684"/>
      <c r="MPU70" s="684"/>
      <c r="MPV70" s="684"/>
      <c r="MPW70" s="684"/>
      <c r="MPX70" s="684"/>
      <c r="MPY70" s="684"/>
      <c r="MPZ70" s="684"/>
      <c r="MQA70" s="684"/>
      <c r="MQB70" s="684"/>
      <c r="MQC70" s="684"/>
      <c r="MQD70" s="684"/>
      <c r="MQE70" s="684"/>
      <c r="MQF70" s="684"/>
      <c r="MQG70" s="684"/>
      <c r="MQH70" s="684"/>
      <c r="MQI70" s="684"/>
      <c r="MQJ70" s="684"/>
      <c r="MQK70" s="684"/>
      <c r="MQL70" s="684"/>
      <c r="MQM70" s="684"/>
      <c r="MQN70" s="684"/>
      <c r="MQO70" s="684"/>
      <c r="MQP70" s="684"/>
      <c r="MQQ70" s="684"/>
      <c r="MQR70" s="684"/>
      <c r="MQS70" s="684"/>
      <c r="MQT70" s="684"/>
      <c r="MQU70" s="684"/>
      <c r="MQV70" s="684"/>
      <c r="MQW70" s="684"/>
      <c r="MQX70" s="684"/>
      <c r="MQY70" s="684"/>
      <c r="MQZ70" s="684"/>
      <c r="MRA70" s="684"/>
      <c r="MRB70" s="684"/>
      <c r="MRC70" s="684"/>
      <c r="MRD70" s="684"/>
      <c r="MRE70" s="684"/>
      <c r="MRF70" s="684"/>
      <c r="MRG70" s="684"/>
      <c r="MRH70" s="684"/>
      <c r="MRI70" s="684"/>
      <c r="MRJ70" s="684"/>
      <c r="MRK70" s="684"/>
      <c r="MRL70" s="684"/>
      <c r="MRM70" s="684"/>
      <c r="MRN70" s="684"/>
      <c r="MRO70" s="684"/>
      <c r="MRP70" s="684"/>
      <c r="MRQ70" s="684"/>
      <c r="MRR70" s="684"/>
      <c r="MRS70" s="684"/>
      <c r="MRT70" s="684"/>
      <c r="MRU70" s="684"/>
      <c r="MRV70" s="684"/>
      <c r="MRW70" s="684"/>
      <c r="MRX70" s="684"/>
      <c r="MRY70" s="684"/>
      <c r="MRZ70" s="684"/>
      <c r="MSA70" s="684"/>
      <c r="MSB70" s="684"/>
      <c r="MSC70" s="684"/>
      <c r="MSD70" s="684"/>
      <c r="MSE70" s="684"/>
      <c r="MSF70" s="684"/>
      <c r="MSG70" s="684"/>
      <c r="MSH70" s="684"/>
      <c r="MSI70" s="684"/>
      <c r="MSJ70" s="684"/>
      <c r="MSK70" s="684"/>
      <c r="MSL70" s="684"/>
      <c r="MSM70" s="684"/>
      <c r="MSN70" s="684"/>
      <c r="MSO70" s="684"/>
      <c r="MSP70" s="684"/>
      <c r="MSQ70" s="684"/>
      <c r="MSR70" s="684"/>
      <c r="MSS70" s="684"/>
      <c r="MST70" s="684"/>
      <c r="MSU70" s="684"/>
      <c r="MSV70" s="684"/>
      <c r="MSW70" s="684"/>
      <c r="MSX70" s="684"/>
      <c r="MSY70" s="684"/>
      <c r="MSZ70" s="684"/>
      <c r="MTA70" s="684"/>
      <c r="MTB70" s="684"/>
      <c r="MTC70" s="684"/>
      <c r="MTD70" s="684"/>
      <c r="MTE70" s="684"/>
      <c r="MTF70" s="684"/>
      <c r="MTG70" s="684"/>
      <c r="MTH70" s="684"/>
      <c r="MTI70" s="684"/>
      <c r="MTJ70" s="684"/>
      <c r="MTK70" s="684"/>
      <c r="MTL70" s="684"/>
      <c r="MTM70" s="684"/>
      <c r="MTN70" s="684"/>
      <c r="MTO70" s="684"/>
      <c r="MTP70" s="684"/>
      <c r="MTQ70" s="684"/>
      <c r="MTR70" s="684"/>
      <c r="MTS70" s="684"/>
      <c r="MTT70" s="684"/>
      <c r="MTU70" s="684"/>
      <c r="MTV70" s="684"/>
      <c r="MTW70" s="684"/>
      <c r="MTX70" s="684"/>
      <c r="MTY70" s="684"/>
      <c r="MTZ70" s="684"/>
      <c r="MUA70" s="684"/>
      <c r="MUB70" s="684"/>
      <c r="MUC70" s="684"/>
      <c r="MUD70" s="684"/>
      <c r="MUE70" s="684"/>
      <c r="MUF70" s="684"/>
      <c r="MUG70" s="684"/>
      <c r="MUH70" s="684"/>
      <c r="MUI70" s="684"/>
      <c r="MUJ70" s="684"/>
      <c r="MUK70" s="684"/>
      <c r="MUL70" s="684"/>
      <c r="MUM70" s="684"/>
      <c r="MUN70" s="684"/>
      <c r="MUO70" s="684"/>
      <c r="MUP70" s="684"/>
      <c r="MUQ70" s="684"/>
      <c r="MUR70" s="684"/>
      <c r="MUS70" s="684"/>
      <c r="MUT70" s="684"/>
      <c r="MUU70" s="684"/>
      <c r="MUV70" s="684"/>
      <c r="MUW70" s="684"/>
      <c r="MUX70" s="684"/>
      <c r="MUY70" s="684"/>
      <c r="MUZ70" s="684"/>
      <c r="MVA70" s="684"/>
      <c r="MVB70" s="684"/>
      <c r="MVC70" s="684"/>
      <c r="MVD70" s="684"/>
      <c r="MVE70" s="684"/>
      <c r="MVF70" s="684"/>
      <c r="MVG70" s="684"/>
      <c r="MVH70" s="684"/>
      <c r="MVI70" s="684"/>
      <c r="MVJ70" s="684"/>
      <c r="MVK70" s="684"/>
      <c r="MVL70" s="684"/>
      <c r="MVM70" s="684"/>
      <c r="MVN70" s="684"/>
      <c r="MVO70" s="684"/>
      <c r="MVP70" s="684"/>
      <c r="MVQ70" s="684"/>
      <c r="MVR70" s="684"/>
      <c r="MVS70" s="684"/>
      <c r="MVT70" s="684"/>
      <c r="MVU70" s="684"/>
      <c r="MVV70" s="684"/>
      <c r="MVW70" s="684"/>
      <c r="MVX70" s="684"/>
      <c r="MVY70" s="684"/>
      <c r="MVZ70" s="684"/>
      <c r="MWA70" s="684"/>
      <c r="MWB70" s="684"/>
      <c r="MWC70" s="684"/>
      <c r="MWD70" s="684"/>
      <c r="MWE70" s="684"/>
      <c r="MWF70" s="684"/>
      <c r="MWG70" s="684"/>
      <c r="MWH70" s="684"/>
      <c r="MWI70" s="684"/>
      <c r="MWJ70" s="684"/>
      <c r="MWK70" s="684"/>
      <c r="MWL70" s="684"/>
      <c r="MWM70" s="684"/>
      <c r="MWN70" s="684"/>
      <c r="MWO70" s="684"/>
      <c r="MWP70" s="684"/>
      <c r="MWQ70" s="684"/>
      <c r="MWR70" s="684"/>
      <c r="MWS70" s="684"/>
      <c r="MWT70" s="684"/>
      <c r="MWU70" s="684"/>
      <c r="MWV70" s="684"/>
      <c r="MWW70" s="684"/>
      <c r="MWX70" s="684"/>
      <c r="MWY70" s="684"/>
      <c r="MWZ70" s="684"/>
      <c r="MXA70" s="684"/>
      <c r="MXB70" s="684"/>
      <c r="MXC70" s="684"/>
      <c r="MXD70" s="684"/>
      <c r="MXE70" s="684"/>
      <c r="MXF70" s="684"/>
      <c r="MXG70" s="684"/>
      <c r="MXH70" s="684"/>
      <c r="MXI70" s="684"/>
      <c r="MXJ70" s="684"/>
      <c r="MXK70" s="684"/>
      <c r="MXL70" s="684"/>
      <c r="MXM70" s="684"/>
      <c r="MXN70" s="684"/>
      <c r="MXO70" s="684"/>
      <c r="MXP70" s="684"/>
      <c r="MXQ70" s="684"/>
      <c r="MXR70" s="684"/>
      <c r="MXS70" s="684"/>
      <c r="MXT70" s="684"/>
      <c r="MXU70" s="684"/>
      <c r="MXV70" s="684"/>
      <c r="MXW70" s="684"/>
      <c r="MXX70" s="684"/>
      <c r="MXY70" s="684"/>
      <c r="MXZ70" s="684"/>
      <c r="MYA70" s="684"/>
      <c r="MYB70" s="684"/>
      <c r="MYC70" s="684"/>
      <c r="MYD70" s="684"/>
      <c r="MYE70" s="684"/>
      <c r="MYF70" s="684"/>
      <c r="MYG70" s="684"/>
      <c r="MYH70" s="684"/>
      <c r="MYI70" s="684"/>
      <c r="MYJ70" s="684"/>
      <c r="MYK70" s="684"/>
      <c r="MYL70" s="684"/>
      <c r="MYM70" s="684"/>
      <c r="MYN70" s="684"/>
      <c r="MYO70" s="684"/>
      <c r="MYP70" s="684"/>
      <c r="MYQ70" s="684"/>
      <c r="MYR70" s="684"/>
      <c r="MYS70" s="684"/>
      <c r="MYT70" s="684"/>
      <c r="MYU70" s="684"/>
      <c r="MYV70" s="684"/>
      <c r="MYW70" s="684"/>
      <c r="MYX70" s="684"/>
      <c r="MYY70" s="684"/>
      <c r="MYZ70" s="684"/>
      <c r="MZA70" s="684"/>
      <c r="MZB70" s="684"/>
      <c r="MZC70" s="684"/>
      <c r="MZD70" s="684"/>
      <c r="MZE70" s="684"/>
      <c r="MZF70" s="684"/>
      <c r="MZG70" s="684"/>
      <c r="MZH70" s="684"/>
      <c r="MZI70" s="684"/>
      <c r="MZJ70" s="684"/>
      <c r="MZK70" s="684"/>
      <c r="MZL70" s="684"/>
      <c r="MZM70" s="684"/>
      <c r="MZN70" s="684"/>
      <c r="MZO70" s="684"/>
      <c r="MZP70" s="684"/>
      <c r="MZQ70" s="684"/>
      <c r="MZR70" s="684"/>
      <c r="MZS70" s="684"/>
      <c r="MZT70" s="684"/>
      <c r="MZU70" s="684"/>
      <c r="MZV70" s="684"/>
      <c r="MZW70" s="684"/>
      <c r="MZX70" s="684"/>
      <c r="MZY70" s="684"/>
      <c r="MZZ70" s="684"/>
      <c r="NAA70" s="684"/>
      <c r="NAB70" s="684"/>
      <c r="NAC70" s="684"/>
      <c r="NAD70" s="684"/>
      <c r="NAE70" s="684"/>
      <c r="NAF70" s="684"/>
      <c r="NAG70" s="684"/>
      <c r="NAH70" s="684"/>
      <c r="NAI70" s="684"/>
      <c r="NAJ70" s="684"/>
      <c r="NAK70" s="684"/>
      <c r="NAL70" s="684"/>
      <c r="NAM70" s="684"/>
      <c r="NAN70" s="684"/>
      <c r="NAO70" s="684"/>
      <c r="NAP70" s="684"/>
      <c r="NAQ70" s="684"/>
      <c r="NAR70" s="684"/>
      <c r="NAS70" s="684"/>
      <c r="NAT70" s="684"/>
      <c r="NAU70" s="684"/>
      <c r="NAV70" s="684"/>
      <c r="NAW70" s="684"/>
      <c r="NAX70" s="684"/>
      <c r="NAY70" s="684"/>
      <c r="NAZ70" s="684"/>
      <c r="NBA70" s="684"/>
      <c r="NBB70" s="684"/>
      <c r="NBC70" s="684"/>
      <c r="NBD70" s="684"/>
      <c r="NBE70" s="684"/>
      <c r="NBF70" s="684"/>
      <c r="NBG70" s="684"/>
      <c r="NBH70" s="684"/>
      <c r="NBI70" s="684"/>
      <c r="NBJ70" s="684"/>
      <c r="NBK70" s="684"/>
      <c r="NBL70" s="684"/>
      <c r="NBM70" s="684"/>
      <c r="NBN70" s="684"/>
      <c r="NBO70" s="684"/>
      <c r="NBP70" s="684"/>
      <c r="NBQ70" s="684"/>
      <c r="NBR70" s="684"/>
      <c r="NBS70" s="684"/>
      <c r="NBT70" s="684"/>
      <c r="NBU70" s="684"/>
      <c r="NBV70" s="684"/>
      <c r="NBW70" s="684"/>
      <c r="NBX70" s="684"/>
      <c r="NBY70" s="684"/>
      <c r="NBZ70" s="684"/>
      <c r="NCA70" s="684"/>
      <c r="NCB70" s="684"/>
      <c r="NCC70" s="684"/>
      <c r="NCD70" s="684"/>
      <c r="NCE70" s="684"/>
      <c r="NCF70" s="684"/>
      <c r="NCG70" s="684"/>
      <c r="NCH70" s="684"/>
      <c r="NCI70" s="684"/>
      <c r="NCJ70" s="684"/>
      <c r="NCK70" s="684"/>
      <c r="NCL70" s="684"/>
      <c r="NCM70" s="684"/>
      <c r="NCN70" s="684"/>
      <c r="NCO70" s="684"/>
      <c r="NCP70" s="684"/>
      <c r="NCQ70" s="684"/>
      <c r="NCR70" s="684"/>
      <c r="NCS70" s="684"/>
      <c r="NCT70" s="684"/>
      <c r="NCU70" s="684"/>
      <c r="NCV70" s="684"/>
      <c r="NCW70" s="684"/>
      <c r="NCX70" s="684"/>
      <c r="NCY70" s="684"/>
      <c r="NCZ70" s="684"/>
      <c r="NDA70" s="684"/>
      <c r="NDB70" s="684"/>
      <c r="NDC70" s="684"/>
      <c r="NDD70" s="684"/>
      <c r="NDE70" s="684"/>
      <c r="NDF70" s="684"/>
      <c r="NDG70" s="684"/>
      <c r="NDH70" s="684"/>
      <c r="NDI70" s="684"/>
      <c r="NDJ70" s="684"/>
      <c r="NDK70" s="684"/>
      <c r="NDL70" s="684"/>
      <c r="NDM70" s="684"/>
      <c r="NDN70" s="684"/>
      <c r="NDO70" s="684"/>
      <c r="NDP70" s="684"/>
      <c r="NDQ70" s="684"/>
      <c r="NDR70" s="684"/>
      <c r="NDS70" s="684"/>
      <c r="NDT70" s="684"/>
      <c r="NDU70" s="684"/>
      <c r="NDV70" s="684"/>
      <c r="NDW70" s="684"/>
      <c r="NDX70" s="684"/>
      <c r="NDY70" s="684"/>
      <c r="NDZ70" s="684"/>
      <c r="NEA70" s="684"/>
      <c r="NEB70" s="684"/>
      <c r="NEC70" s="684"/>
      <c r="NED70" s="684"/>
      <c r="NEE70" s="684"/>
      <c r="NEF70" s="684"/>
      <c r="NEG70" s="684"/>
      <c r="NEH70" s="684"/>
      <c r="NEI70" s="684"/>
      <c r="NEJ70" s="684"/>
      <c r="NEK70" s="684"/>
      <c r="NEL70" s="684"/>
      <c r="NEM70" s="684"/>
      <c r="NEN70" s="684"/>
      <c r="NEO70" s="684"/>
      <c r="NEP70" s="684"/>
      <c r="NEQ70" s="684"/>
      <c r="NER70" s="684"/>
      <c r="NES70" s="684"/>
      <c r="NET70" s="684"/>
      <c r="NEU70" s="684"/>
      <c r="NEV70" s="684"/>
      <c r="NEW70" s="684"/>
      <c r="NEX70" s="684"/>
      <c r="NEY70" s="684"/>
      <c r="NEZ70" s="684"/>
      <c r="NFA70" s="684"/>
      <c r="NFB70" s="684"/>
      <c r="NFC70" s="684"/>
      <c r="NFD70" s="684"/>
      <c r="NFE70" s="684"/>
      <c r="NFF70" s="684"/>
      <c r="NFG70" s="684"/>
      <c r="NFH70" s="684"/>
      <c r="NFI70" s="684"/>
      <c r="NFJ70" s="684"/>
      <c r="NFK70" s="684"/>
      <c r="NFL70" s="684"/>
      <c r="NFM70" s="684"/>
      <c r="NFN70" s="684"/>
      <c r="NFO70" s="684"/>
      <c r="NFP70" s="684"/>
      <c r="NFQ70" s="684"/>
      <c r="NFR70" s="684"/>
      <c r="NFS70" s="684"/>
      <c r="NFT70" s="684"/>
      <c r="NFU70" s="684"/>
      <c r="NFV70" s="684"/>
      <c r="NFW70" s="684"/>
      <c r="NFX70" s="684"/>
      <c r="NFY70" s="684"/>
      <c r="NFZ70" s="684"/>
      <c r="NGA70" s="684"/>
      <c r="NGB70" s="684"/>
      <c r="NGC70" s="684"/>
      <c r="NGD70" s="684"/>
      <c r="NGE70" s="684"/>
      <c r="NGF70" s="684"/>
      <c r="NGG70" s="684"/>
      <c r="NGH70" s="684"/>
      <c r="NGI70" s="684"/>
      <c r="NGJ70" s="684"/>
      <c r="NGK70" s="684"/>
      <c r="NGL70" s="684"/>
      <c r="NGM70" s="684"/>
      <c r="NGN70" s="684"/>
      <c r="NGO70" s="684"/>
      <c r="NGP70" s="684"/>
      <c r="NGQ70" s="684"/>
      <c r="NGR70" s="684"/>
      <c r="NGS70" s="684"/>
      <c r="NGT70" s="684"/>
      <c r="NGU70" s="684"/>
      <c r="NGV70" s="684"/>
      <c r="NGW70" s="684"/>
      <c r="NGX70" s="684"/>
      <c r="NGY70" s="684"/>
      <c r="NGZ70" s="684"/>
      <c r="NHA70" s="684"/>
      <c r="NHB70" s="684"/>
      <c r="NHC70" s="684"/>
      <c r="NHD70" s="684"/>
      <c r="NHE70" s="684"/>
      <c r="NHF70" s="684"/>
      <c r="NHG70" s="684"/>
      <c r="NHH70" s="684"/>
      <c r="NHI70" s="684"/>
      <c r="NHJ70" s="684"/>
      <c r="NHK70" s="684"/>
      <c r="NHL70" s="684"/>
      <c r="NHM70" s="684"/>
      <c r="NHN70" s="684"/>
      <c r="NHO70" s="684"/>
      <c r="NHP70" s="684"/>
      <c r="NHQ70" s="684"/>
      <c r="NHR70" s="684"/>
      <c r="NHS70" s="684"/>
      <c r="NHT70" s="684"/>
      <c r="NHU70" s="684"/>
      <c r="NHV70" s="684"/>
      <c r="NHW70" s="684"/>
      <c r="NHX70" s="684"/>
      <c r="NHY70" s="684"/>
      <c r="NHZ70" s="684"/>
      <c r="NIA70" s="684"/>
      <c r="NIB70" s="684"/>
      <c r="NIC70" s="684"/>
      <c r="NID70" s="684"/>
      <c r="NIE70" s="684"/>
      <c r="NIF70" s="684"/>
      <c r="NIG70" s="684"/>
      <c r="NIH70" s="684"/>
      <c r="NII70" s="684"/>
      <c r="NIJ70" s="684"/>
      <c r="NIK70" s="684"/>
      <c r="NIL70" s="684"/>
      <c r="NIM70" s="684"/>
      <c r="NIN70" s="684"/>
      <c r="NIO70" s="684"/>
      <c r="NIP70" s="684"/>
      <c r="NIQ70" s="684"/>
      <c r="NIR70" s="684"/>
      <c r="NIS70" s="684"/>
      <c r="NIT70" s="684"/>
      <c r="NIU70" s="684"/>
      <c r="NIV70" s="684"/>
      <c r="NIW70" s="684"/>
      <c r="NIX70" s="684"/>
      <c r="NIY70" s="684"/>
      <c r="NIZ70" s="684"/>
      <c r="NJA70" s="684"/>
      <c r="NJB70" s="684"/>
      <c r="NJC70" s="684"/>
      <c r="NJD70" s="684"/>
      <c r="NJE70" s="684"/>
      <c r="NJF70" s="684"/>
      <c r="NJG70" s="684"/>
      <c r="NJH70" s="684"/>
      <c r="NJI70" s="684"/>
      <c r="NJJ70" s="684"/>
      <c r="NJK70" s="684"/>
      <c r="NJL70" s="684"/>
      <c r="NJM70" s="684"/>
      <c r="NJN70" s="684"/>
      <c r="NJO70" s="684"/>
      <c r="NJP70" s="684"/>
      <c r="NJQ70" s="684"/>
      <c r="NJR70" s="684"/>
      <c r="NJS70" s="684"/>
      <c r="NJT70" s="684"/>
      <c r="NJU70" s="684"/>
      <c r="NJV70" s="684"/>
      <c r="NJW70" s="684"/>
      <c r="NJX70" s="684"/>
      <c r="NJY70" s="684"/>
      <c r="NJZ70" s="684"/>
      <c r="NKA70" s="684"/>
      <c r="NKB70" s="684"/>
      <c r="NKC70" s="684"/>
      <c r="NKD70" s="684"/>
      <c r="NKE70" s="684"/>
      <c r="NKF70" s="684"/>
      <c r="NKG70" s="684"/>
      <c r="NKH70" s="684"/>
      <c r="NKI70" s="684"/>
      <c r="NKJ70" s="684"/>
      <c r="NKK70" s="684"/>
      <c r="NKL70" s="684"/>
      <c r="NKM70" s="684"/>
      <c r="NKN70" s="684"/>
      <c r="NKO70" s="684"/>
      <c r="NKP70" s="684"/>
      <c r="NKQ70" s="684"/>
      <c r="NKR70" s="684"/>
      <c r="NKS70" s="684"/>
      <c r="NKT70" s="684"/>
      <c r="NKU70" s="684"/>
      <c r="NKV70" s="684"/>
      <c r="NKW70" s="684"/>
      <c r="NKX70" s="684"/>
      <c r="NKY70" s="684"/>
      <c r="NKZ70" s="684"/>
      <c r="NLA70" s="684"/>
      <c r="NLB70" s="684"/>
      <c r="NLC70" s="684"/>
      <c r="NLD70" s="684"/>
      <c r="NLE70" s="684"/>
      <c r="NLF70" s="684"/>
      <c r="NLG70" s="684"/>
      <c r="NLH70" s="684"/>
      <c r="NLI70" s="684"/>
      <c r="NLJ70" s="684"/>
      <c r="NLK70" s="684"/>
      <c r="NLL70" s="684"/>
      <c r="NLM70" s="684"/>
      <c r="NLN70" s="684"/>
      <c r="NLO70" s="684"/>
      <c r="NLP70" s="684"/>
      <c r="NLQ70" s="684"/>
      <c r="NLR70" s="684"/>
      <c r="NLS70" s="684"/>
      <c r="NLT70" s="684"/>
      <c r="NLU70" s="684"/>
      <c r="NLV70" s="684"/>
      <c r="NLW70" s="684"/>
      <c r="NLX70" s="684"/>
      <c r="NLY70" s="684"/>
      <c r="NLZ70" s="684"/>
      <c r="NMA70" s="684"/>
      <c r="NMB70" s="684"/>
      <c r="NMC70" s="684"/>
      <c r="NMD70" s="684"/>
      <c r="NME70" s="684"/>
      <c r="NMF70" s="684"/>
      <c r="NMG70" s="684"/>
      <c r="NMH70" s="684"/>
      <c r="NMI70" s="684"/>
      <c r="NMJ70" s="684"/>
      <c r="NMK70" s="684"/>
      <c r="NML70" s="684"/>
      <c r="NMM70" s="684"/>
      <c r="NMN70" s="684"/>
      <c r="NMO70" s="684"/>
      <c r="NMP70" s="684"/>
      <c r="NMQ70" s="684"/>
      <c r="NMR70" s="684"/>
      <c r="NMS70" s="684"/>
      <c r="NMT70" s="684"/>
      <c r="NMU70" s="684"/>
      <c r="NMV70" s="684"/>
      <c r="NMW70" s="684"/>
      <c r="NMX70" s="684"/>
      <c r="NMY70" s="684"/>
      <c r="NMZ70" s="684"/>
      <c r="NNA70" s="684"/>
      <c r="NNB70" s="684"/>
      <c r="NNC70" s="684"/>
      <c r="NND70" s="684"/>
      <c r="NNE70" s="684"/>
      <c r="NNF70" s="684"/>
      <c r="NNG70" s="684"/>
      <c r="NNH70" s="684"/>
      <c r="NNI70" s="684"/>
      <c r="NNJ70" s="684"/>
      <c r="NNK70" s="684"/>
      <c r="NNL70" s="684"/>
      <c r="NNM70" s="684"/>
      <c r="NNN70" s="684"/>
      <c r="NNO70" s="684"/>
      <c r="NNP70" s="684"/>
      <c r="NNQ70" s="684"/>
      <c r="NNR70" s="684"/>
      <c r="NNS70" s="684"/>
      <c r="NNT70" s="684"/>
      <c r="NNU70" s="684"/>
      <c r="NNV70" s="684"/>
      <c r="NNW70" s="684"/>
      <c r="NNX70" s="684"/>
      <c r="NNY70" s="684"/>
      <c r="NNZ70" s="684"/>
      <c r="NOA70" s="684"/>
      <c r="NOB70" s="684"/>
      <c r="NOC70" s="684"/>
      <c r="NOD70" s="684"/>
      <c r="NOE70" s="684"/>
      <c r="NOF70" s="684"/>
      <c r="NOG70" s="684"/>
      <c r="NOH70" s="684"/>
      <c r="NOI70" s="684"/>
      <c r="NOJ70" s="684"/>
      <c r="NOK70" s="684"/>
      <c r="NOL70" s="684"/>
      <c r="NOM70" s="684"/>
      <c r="NON70" s="684"/>
      <c r="NOO70" s="684"/>
      <c r="NOP70" s="684"/>
      <c r="NOQ70" s="684"/>
      <c r="NOR70" s="684"/>
      <c r="NOS70" s="684"/>
      <c r="NOT70" s="684"/>
      <c r="NOU70" s="684"/>
      <c r="NOV70" s="684"/>
      <c r="NOW70" s="684"/>
      <c r="NOX70" s="684"/>
      <c r="NOY70" s="684"/>
      <c r="NOZ70" s="684"/>
      <c r="NPA70" s="684"/>
      <c r="NPB70" s="684"/>
      <c r="NPC70" s="684"/>
      <c r="NPD70" s="684"/>
      <c r="NPE70" s="684"/>
      <c r="NPF70" s="684"/>
      <c r="NPG70" s="684"/>
      <c r="NPH70" s="684"/>
      <c r="NPI70" s="684"/>
      <c r="NPJ70" s="684"/>
      <c r="NPK70" s="684"/>
      <c r="NPL70" s="684"/>
      <c r="NPM70" s="684"/>
      <c r="NPN70" s="684"/>
      <c r="NPO70" s="684"/>
      <c r="NPP70" s="684"/>
      <c r="NPQ70" s="684"/>
      <c r="NPR70" s="684"/>
      <c r="NPS70" s="684"/>
      <c r="NPT70" s="684"/>
      <c r="NPU70" s="684"/>
      <c r="NPV70" s="684"/>
      <c r="NPW70" s="684"/>
      <c r="NPX70" s="684"/>
      <c r="NPY70" s="684"/>
      <c r="NPZ70" s="684"/>
      <c r="NQA70" s="684"/>
      <c r="NQB70" s="684"/>
      <c r="NQC70" s="684"/>
      <c r="NQD70" s="684"/>
      <c r="NQE70" s="684"/>
      <c r="NQF70" s="684"/>
      <c r="NQG70" s="684"/>
      <c r="NQH70" s="684"/>
      <c r="NQI70" s="684"/>
      <c r="NQJ70" s="684"/>
      <c r="NQK70" s="684"/>
      <c r="NQL70" s="684"/>
      <c r="NQM70" s="684"/>
      <c r="NQN70" s="684"/>
      <c r="NQO70" s="684"/>
      <c r="NQP70" s="684"/>
      <c r="NQQ70" s="684"/>
      <c r="NQR70" s="684"/>
      <c r="NQS70" s="684"/>
      <c r="NQT70" s="684"/>
      <c r="NQU70" s="684"/>
      <c r="NQV70" s="684"/>
      <c r="NQW70" s="684"/>
      <c r="NQX70" s="684"/>
      <c r="NQY70" s="684"/>
      <c r="NQZ70" s="684"/>
      <c r="NRA70" s="684"/>
      <c r="NRB70" s="684"/>
      <c r="NRC70" s="684"/>
      <c r="NRD70" s="684"/>
      <c r="NRE70" s="684"/>
      <c r="NRF70" s="684"/>
      <c r="NRG70" s="684"/>
      <c r="NRH70" s="684"/>
      <c r="NRI70" s="684"/>
      <c r="NRJ70" s="684"/>
      <c r="NRK70" s="684"/>
      <c r="NRL70" s="684"/>
      <c r="NRM70" s="684"/>
      <c r="NRN70" s="684"/>
      <c r="NRO70" s="684"/>
      <c r="NRP70" s="684"/>
      <c r="NRQ70" s="684"/>
      <c r="NRR70" s="684"/>
      <c r="NRS70" s="684"/>
      <c r="NRT70" s="684"/>
      <c r="NRU70" s="684"/>
      <c r="NRV70" s="684"/>
      <c r="NRW70" s="684"/>
      <c r="NRX70" s="684"/>
      <c r="NRY70" s="684"/>
      <c r="NRZ70" s="684"/>
      <c r="NSA70" s="684"/>
      <c r="NSB70" s="684"/>
      <c r="NSC70" s="684"/>
      <c r="NSD70" s="684"/>
      <c r="NSE70" s="684"/>
      <c r="NSF70" s="684"/>
      <c r="NSG70" s="684"/>
      <c r="NSH70" s="684"/>
      <c r="NSI70" s="684"/>
      <c r="NSJ70" s="684"/>
      <c r="NSK70" s="684"/>
      <c r="NSL70" s="684"/>
      <c r="NSM70" s="684"/>
      <c r="NSN70" s="684"/>
      <c r="NSO70" s="684"/>
      <c r="NSP70" s="684"/>
      <c r="NSQ70" s="684"/>
      <c r="NSR70" s="684"/>
      <c r="NSS70" s="684"/>
      <c r="NST70" s="684"/>
      <c r="NSU70" s="684"/>
      <c r="NSV70" s="684"/>
      <c r="NSW70" s="684"/>
      <c r="NSX70" s="684"/>
      <c r="NSY70" s="684"/>
      <c r="NSZ70" s="684"/>
      <c r="NTA70" s="684"/>
      <c r="NTB70" s="684"/>
      <c r="NTC70" s="684"/>
      <c r="NTD70" s="684"/>
      <c r="NTE70" s="684"/>
      <c r="NTF70" s="684"/>
      <c r="NTG70" s="684"/>
      <c r="NTH70" s="684"/>
      <c r="NTI70" s="684"/>
      <c r="NTJ70" s="684"/>
      <c r="NTK70" s="684"/>
      <c r="NTL70" s="684"/>
      <c r="NTM70" s="684"/>
      <c r="NTN70" s="684"/>
      <c r="NTO70" s="684"/>
      <c r="NTP70" s="684"/>
      <c r="NTQ70" s="684"/>
      <c r="NTR70" s="684"/>
      <c r="NTS70" s="684"/>
      <c r="NTT70" s="684"/>
      <c r="NTU70" s="684"/>
      <c r="NTV70" s="684"/>
      <c r="NTW70" s="684"/>
      <c r="NTX70" s="684"/>
      <c r="NTY70" s="684"/>
      <c r="NTZ70" s="684"/>
      <c r="NUA70" s="684"/>
      <c r="NUB70" s="684"/>
      <c r="NUC70" s="684"/>
      <c r="NUD70" s="684"/>
      <c r="NUE70" s="684"/>
      <c r="NUF70" s="684"/>
      <c r="NUG70" s="684"/>
      <c r="NUH70" s="684"/>
      <c r="NUI70" s="684"/>
      <c r="NUJ70" s="684"/>
      <c r="NUK70" s="684"/>
      <c r="NUL70" s="684"/>
      <c r="NUM70" s="684"/>
      <c r="NUN70" s="684"/>
      <c r="NUO70" s="684"/>
      <c r="NUP70" s="684"/>
      <c r="NUQ70" s="684"/>
      <c r="NUR70" s="684"/>
      <c r="NUS70" s="684"/>
      <c r="NUT70" s="684"/>
      <c r="NUU70" s="684"/>
      <c r="NUV70" s="684"/>
      <c r="NUW70" s="684"/>
      <c r="NUX70" s="684"/>
      <c r="NUY70" s="684"/>
      <c r="NUZ70" s="684"/>
      <c r="NVA70" s="684"/>
      <c r="NVB70" s="684"/>
      <c r="NVC70" s="684"/>
      <c r="NVD70" s="684"/>
      <c r="NVE70" s="684"/>
      <c r="NVF70" s="684"/>
      <c r="NVG70" s="684"/>
      <c r="NVH70" s="684"/>
      <c r="NVI70" s="684"/>
      <c r="NVJ70" s="684"/>
      <c r="NVK70" s="684"/>
      <c r="NVL70" s="684"/>
      <c r="NVM70" s="684"/>
      <c r="NVN70" s="684"/>
      <c r="NVO70" s="684"/>
      <c r="NVP70" s="684"/>
      <c r="NVQ70" s="684"/>
      <c r="NVR70" s="684"/>
      <c r="NVS70" s="684"/>
      <c r="NVT70" s="684"/>
      <c r="NVU70" s="684"/>
      <c r="NVV70" s="684"/>
      <c r="NVW70" s="684"/>
      <c r="NVX70" s="684"/>
      <c r="NVY70" s="684"/>
      <c r="NVZ70" s="684"/>
      <c r="NWA70" s="684"/>
      <c r="NWB70" s="684"/>
      <c r="NWC70" s="684"/>
      <c r="NWD70" s="684"/>
      <c r="NWE70" s="684"/>
      <c r="NWF70" s="684"/>
      <c r="NWG70" s="684"/>
      <c r="NWH70" s="684"/>
      <c r="NWI70" s="684"/>
      <c r="NWJ70" s="684"/>
      <c r="NWK70" s="684"/>
      <c r="NWL70" s="684"/>
      <c r="NWM70" s="684"/>
      <c r="NWN70" s="684"/>
      <c r="NWO70" s="684"/>
      <c r="NWP70" s="684"/>
      <c r="NWQ70" s="684"/>
      <c r="NWR70" s="684"/>
      <c r="NWS70" s="684"/>
      <c r="NWT70" s="684"/>
      <c r="NWU70" s="684"/>
      <c r="NWV70" s="684"/>
      <c r="NWW70" s="684"/>
      <c r="NWX70" s="684"/>
      <c r="NWY70" s="684"/>
      <c r="NWZ70" s="684"/>
      <c r="NXA70" s="684"/>
      <c r="NXB70" s="684"/>
      <c r="NXC70" s="684"/>
      <c r="NXD70" s="684"/>
      <c r="NXE70" s="684"/>
      <c r="NXF70" s="684"/>
      <c r="NXG70" s="684"/>
      <c r="NXH70" s="684"/>
      <c r="NXI70" s="684"/>
      <c r="NXJ70" s="684"/>
      <c r="NXK70" s="684"/>
      <c r="NXL70" s="684"/>
      <c r="NXM70" s="684"/>
      <c r="NXN70" s="684"/>
      <c r="NXO70" s="684"/>
      <c r="NXP70" s="684"/>
      <c r="NXQ70" s="684"/>
      <c r="NXR70" s="684"/>
      <c r="NXS70" s="684"/>
      <c r="NXT70" s="684"/>
      <c r="NXU70" s="684"/>
      <c r="NXV70" s="684"/>
      <c r="NXW70" s="684"/>
      <c r="NXX70" s="684"/>
      <c r="NXY70" s="684"/>
      <c r="NXZ70" s="684"/>
      <c r="NYA70" s="684"/>
      <c r="NYB70" s="684"/>
      <c r="NYC70" s="684"/>
      <c r="NYD70" s="684"/>
      <c r="NYE70" s="684"/>
      <c r="NYF70" s="684"/>
      <c r="NYG70" s="684"/>
      <c r="NYH70" s="684"/>
      <c r="NYI70" s="684"/>
      <c r="NYJ70" s="684"/>
      <c r="NYK70" s="684"/>
      <c r="NYL70" s="684"/>
      <c r="NYM70" s="684"/>
      <c r="NYN70" s="684"/>
      <c r="NYO70" s="684"/>
      <c r="NYP70" s="684"/>
      <c r="NYQ70" s="684"/>
      <c r="NYR70" s="684"/>
      <c r="NYS70" s="684"/>
      <c r="NYT70" s="684"/>
      <c r="NYU70" s="684"/>
      <c r="NYV70" s="684"/>
      <c r="NYW70" s="684"/>
      <c r="NYX70" s="684"/>
      <c r="NYY70" s="684"/>
      <c r="NYZ70" s="684"/>
      <c r="NZA70" s="684"/>
      <c r="NZB70" s="684"/>
      <c r="NZC70" s="684"/>
      <c r="NZD70" s="684"/>
      <c r="NZE70" s="684"/>
      <c r="NZF70" s="684"/>
      <c r="NZG70" s="684"/>
      <c r="NZH70" s="684"/>
      <c r="NZI70" s="684"/>
      <c r="NZJ70" s="684"/>
      <c r="NZK70" s="684"/>
      <c r="NZL70" s="684"/>
      <c r="NZM70" s="684"/>
      <c r="NZN70" s="684"/>
      <c r="NZO70" s="684"/>
      <c r="NZP70" s="684"/>
      <c r="NZQ70" s="684"/>
      <c r="NZR70" s="684"/>
      <c r="NZS70" s="684"/>
      <c r="NZT70" s="684"/>
      <c r="NZU70" s="684"/>
      <c r="NZV70" s="684"/>
      <c r="NZW70" s="684"/>
      <c r="NZX70" s="684"/>
      <c r="NZY70" s="684"/>
      <c r="NZZ70" s="684"/>
      <c r="OAA70" s="684"/>
      <c r="OAB70" s="684"/>
      <c r="OAC70" s="684"/>
      <c r="OAD70" s="684"/>
      <c r="OAE70" s="684"/>
      <c r="OAF70" s="684"/>
      <c r="OAG70" s="684"/>
      <c r="OAH70" s="684"/>
      <c r="OAI70" s="684"/>
      <c r="OAJ70" s="684"/>
      <c r="OAK70" s="684"/>
      <c r="OAL70" s="684"/>
      <c r="OAM70" s="684"/>
      <c r="OAN70" s="684"/>
      <c r="OAO70" s="684"/>
      <c r="OAP70" s="684"/>
      <c r="OAQ70" s="684"/>
      <c r="OAR70" s="684"/>
      <c r="OAS70" s="684"/>
      <c r="OAT70" s="684"/>
      <c r="OAU70" s="684"/>
      <c r="OAV70" s="684"/>
      <c r="OAW70" s="684"/>
      <c r="OAX70" s="684"/>
      <c r="OAY70" s="684"/>
      <c r="OAZ70" s="684"/>
      <c r="OBA70" s="684"/>
      <c r="OBB70" s="684"/>
      <c r="OBC70" s="684"/>
      <c r="OBD70" s="684"/>
      <c r="OBE70" s="684"/>
      <c r="OBF70" s="684"/>
      <c r="OBG70" s="684"/>
      <c r="OBH70" s="684"/>
      <c r="OBI70" s="684"/>
      <c r="OBJ70" s="684"/>
      <c r="OBK70" s="684"/>
      <c r="OBL70" s="684"/>
      <c r="OBM70" s="684"/>
      <c r="OBN70" s="684"/>
      <c r="OBO70" s="684"/>
      <c r="OBP70" s="684"/>
      <c r="OBQ70" s="684"/>
      <c r="OBR70" s="684"/>
      <c r="OBS70" s="684"/>
      <c r="OBT70" s="684"/>
      <c r="OBU70" s="684"/>
      <c r="OBV70" s="684"/>
      <c r="OBW70" s="684"/>
      <c r="OBX70" s="684"/>
      <c r="OBY70" s="684"/>
      <c r="OBZ70" s="684"/>
      <c r="OCA70" s="684"/>
      <c r="OCB70" s="684"/>
      <c r="OCC70" s="684"/>
      <c r="OCD70" s="684"/>
      <c r="OCE70" s="684"/>
      <c r="OCF70" s="684"/>
      <c r="OCG70" s="684"/>
      <c r="OCH70" s="684"/>
      <c r="OCI70" s="684"/>
      <c r="OCJ70" s="684"/>
      <c r="OCK70" s="684"/>
      <c r="OCL70" s="684"/>
      <c r="OCM70" s="684"/>
      <c r="OCN70" s="684"/>
      <c r="OCO70" s="684"/>
      <c r="OCP70" s="684"/>
      <c r="OCQ70" s="684"/>
      <c r="OCR70" s="684"/>
      <c r="OCS70" s="684"/>
      <c r="OCT70" s="684"/>
      <c r="OCU70" s="684"/>
      <c r="OCV70" s="684"/>
      <c r="OCW70" s="684"/>
      <c r="OCX70" s="684"/>
      <c r="OCY70" s="684"/>
      <c r="OCZ70" s="684"/>
      <c r="ODA70" s="684"/>
      <c r="ODB70" s="684"/>
      <c r="ODC70" s="684"/>
      <c r="ODD70" s="684"/>
      <c r="ODE70" s="684"/>
      <c r="ODF70" s="684"/>
      <c r="ODG70" s="684"/>
      <c r="ODH70" s="684"/>
      <c r="ODI70" s="684"/>
      <c r="ODJ70" s="684"/>
      <c r="ODK70" s="684"/>
      <c r="ODL70" s="684"/>
      <c r="ODM70" s="684"/>
      <c r="ODN70" s="684"/>
      <c r="ODO70" s="684"/>
      <c r="ODP70" s="684"/>
      <c r="ODQ70" s="684"/>
      <c r="ODR70" s="684"/>
      <c r="ODS70" s="684"/>
      <c r="ODT70" s="684"/>
      <c r="ODU70" s="684"/>
      <c r="ODV70" s="684"/>
      <c r="ODW70" s="684"/>
      <c r="ODX70" s="684"/>
      <c r="ODY70" s="684"/>
      <c r="ODZ70" s="684"/>
      <c r="OEA70" s="684"/>
      <c r="OEB70" s="684"/>
      <c r="OEC70" s="684"/>
      <c r="OED70" s="684"/>
      <c r="OEE70" s="684"/>
      <c r="OEF70" s="684"/>
      <c r="OEG70" s="684"/>
      <c r="OEH70" s="684"/>
      <c r="OEI70" s="684"/>
      <c r="OEJ70" s="684"/>
      <c r="OEK70" s="684"/>
      <c r="OEL70" s="684"/>
      <c r="OEM70" s="684"/>
      <c r="OEN70" s="684"/>
      <c r="OEO70" s="684"/>
      <c r="OEP70" s="684"/>
      <c r="OEQ70" s="684"/>
      <c r="OER70" s="684"/>
      <c r="OES70" s="684"/>
      <c r="OET70" s="684"/>
      <c r="OEU70" s="684"/>
      <c r="OEV70" s="684"/>
      <c r="OEW70" s="684"/>
      <c r="OEX70" s="684"/>
      <c r="OEY70" s="684"/>
      <c r="OEZ70" s="684"/>
      <c r="OFA70" s="684"/>
      <c r="OFB70" s="684"/>
      <c r="OFC70" s="684"/>
      <c r="OFD70" s="684"/>
      <c r="OFE70" s="684"/>
      <c r="OFF70" s="684"/>
      <c r="OFG70" s="684"/>
      <c r="OFH70" s="684"/>
      <c r="OFI70" s="684"/>
      <c r="OFJ70" s="684"/>
      <c r="OFK70" s="684"/>
      <c r="OFL70" s="684"/>
      <c r="OFM70" s="684"/>
      <c r="OFN70" s="684"/>
      <c r="OFO70" s="684"/>
      <c r="OFP70" s="684"/>
      <c r="OFQ70" s="684"/>
      <c r="OFR70" s="684"/>
      <c r="OFS70" s="684"/>
      <c r="OFT70" s="684"/>
      <c r="OFU70" s="684"/>
      <c r="OFV70" s="684"/>
      <c r="OFW70" s="684"/>
      <c r="OFX70" s="684"/>
      <c r="OFY70" s="684"/>
      <c r="OFZ70" s="684"/>
      <c r="OGA70" s="684"/>
      <c r="OGB70" s="684"/>
      <c r="OGC70" s="684"/>
      <c r="OGD70" s="684"/>
      <c r="OGE70" s="684"/>
      <c r="OGF70" s="684"/>
      <c r="OGG70" s="684"/>
      <c r="OGH70" s="684"/>
      <c r="OGI70" s="684"/>
      <c r="OGJ70" s="684"/>
      <c r="OGK70" s="684"/>
      <c r="OGL70" s="684"/>
      <c r="OGM70" s="684"/>
      <c r="OGN70" s="684"/>
      <c r="OGO70" s="684"/>
      <c r="OGP70" s="684"/>
      <c r="OGQ70" s="684"/>
      <c r="OGR70" s="684"/>
      <c r="OGS70" s="684"/>
      <c r="OGT70" s="684"/>
      <c r="OGU70" s="684"/>
      <c r="OGV70" s="684"/>
      <c r="OGW70" s="684"/>
      <c r="OGX70" s="684"/>
      <c r="OGY70" s="684"/>
      <c r="OGZ70" s="684"/>
      <c r="OHA70" s="684"/>
      <c r="OHB70" s="684"/>
      <c r="OHC70" s="684"/>
      <c r="OHD70" s="684"/>
      <c r="OHE70" s="684"/>
      <c r="OHF70" s="684"/>
      <c r="OHG70" s="684"/>
      <c r="OHH70" s="684"/>
      <c r="OHI70" s="684"/>
      <c r="OHJ70" s="684"/>
      <c r="OHK70" s="684"/>
      <c r="OHL70" s="684"/>
      <c r="OHM70" s="684"/>
      <c r="OHN70" s="684"/>
      <c r="OHO70" s="684"/>
      <c r="OHP70" s="684"/>
      <c r="OHQ70" s="684"/>
      <c r="OHR70" s="684"/>
      <c r="OHS70" s="684"/>
      <c r="OHT70" s="684"/>
      <c r="OHU70" s="684"/>
      <c r="OHV70" s="684"/>
      <c r="OHW70" s="684"/>
      <c r="OHX70" s="684"/>
      <c r="OHY70" s="684"/>
      <c r="OHZ70" s="684"/>
      <c r="OIA70" s="684"/>
      <c r="OIB70" s="684"/>
      <c r="OIC70" s="684"/>
      <c r="OID70" s="684"/>
      <c r="OIE70" s="684"/>
      <c r="OIF70" s="684"/>
      <c r="OIG70" s="684"/>
      <c r="OIH70" s="684"/>
      <c r="OII70" s="684"/>
      <c r="OIJ70" s="684"/>
      <c r="OIK70" s="684"/>
      <c r="OIL70" s="684"/>
      <c r="OIM70" s="684"/>
      <c r="OIN70" s="684"/>
      <c r="OIO70" s="684"/>
      <c r="OIP70" s="684"/>
      <c r="OIQ70" s="684"/>
      <c r="OIR70" s="684"/>
      <c r="OIS70" s="684"/>
      <c r="OIT70" s="684"/>
      <c r="OIU70" s="684"/>
      <c r="OIV70" s="684"/>
      <c r="OIW70" s="684"/>
      <c r="OIX70" s="684"/>
      <c r="OIY70" s="684"/>
      <c r="OIZ70" s="684"/>
      <c r="OJA70" s="684"/>
      <c r="OJB70" s="684"/>
      <c r="OJC70" s="684"/>
      <c r="OJD70" s="684"/>
      <c r="OJE70" s="684"/>
      <c r="OJF70" s="684"/>
      <c r="OJG70" s="684"/>
      <c r="OJH70" s="684"/>
      <c r="OJI70" s="684"/>
      <c r="OJJ70" s="684"/>
      <c r="OJK70" s="684"/>
      <c r="OJL70" s="684"/>
      <c r="OJM70" s="684"/>
      <c r="OJN70" s="684"/>
      <c r="OJO70" s="684"/>
      <c r="OJP70" s="684"/>
      <c r="OJQ70" s="684"/>
      <c r="OJR70" s="684"/>
      <c r="OJS70" s="684"/>
      <c r="OJT70" s="684"/>
      <c r="OJU70" s="684"/>
      <c r="OJV70" s="684"/>
      <c r="OJW70" s="684"/>
      <c r="OJX70" s="684"/>
      <c r="OJY70" s="684"/>
      <c r="OJZ70" s="684"/>
      <c r="OKA70" s="684"/>
      <c r="OKB70" s="684"/>
      <c r="OKC70" s="684"/>
      <c r="OKD70" s="684"/>
      <c r="OKE70" s="684"/>
      <c r="OKF70" s="684"/>
      <c r="OKG70" s="684"/>
      <c r="OKH70" s="684"/>
      <c r="OKI70" s="684"/>
      <c r="OKJ70" s="684"/>
      <c r="OKK70" s="684"/>
      <c r="OKL70" s="684"/>
      <c r="OKM70" s="684"/>
      <c r="OKN70" s="684"/>
      <c r="OKO70" s="684"/>
      <c r="OKP70" s="684"/>
      <c r="OKQ70" s="684"/>
      <c r="OKR70" s="684"/>
      <c r="OKS70" s="684"/>
      <c r="OKT70" s="684"/>
      <c r="OKU70" s="684"/>
      <c r="OKV70" s="684"/>
      <c r="OKW70" s="684"/>
      <c r="OKX70" s="684"/>
      <c r="OKY70" s="684"/>
      <c r="OKZ70" s="684"/>
      <c r="OLA70" s="684"/>
      <c r="OLB70" s="684"/>
      <c r="OLC70" s="684"/>
      <c r="OLD70" s="684"/>
      <c r="OLE70" s="684"/>
      <c r="OLF70" s="684"/>
      <c r="OLG70" s="684"/>
      <c r="OLH70" s="684"/>
      <c r="OLI70" s="684"/>
      <c r="OLJ70" s="684"/>
      <c r="OLK70" s="684"/>
      <c r="OLL70" s="684"/>
      <c r="OLM70" s="684"/>
      <c r="OLN70" s="684"/>
      <c r="OLO70" s="684"/>
      <c r="OLP70" s="684"/>
      <c r="OLQ70" s="684"/>
      <c r="OLR70" s="684"/>
      <c r="OLS70" s="684"/>
      <c r="OLT70" s="684"/>
      <c r="OLU70" s="684"/>
      <c r="OLV70" s="684"/>
      <c r="OLW70" s="684"/>
      <c r="OLX70" s="684"/>
      <c r="OLY70" s="684"/>
      <c r="OLZ70" s="684"/>
      <c r="OMA70" s="684"/>
      <c r="OMB70" s="684"/>
      <c r="OMC70" s="684"/>
      <c r="OMD70" s="684"/>
      <c r="OME70" s="684"/>
      <c r="OMF70" s="684"/>
      <c r="OMG70" s="684"/>
      <c r="OMH70" s="684"/>
      <c r="OMI70" s="684"/>
      <c r="OMJ70" s="684"/>
      <c r="OMK70" s="684"/>
      <c r="OML70" s="684"/>
      <c r="OMM70" s="684"/>
      <c r="OMN70" s="684"/>
      <c r="OMO70" s="684"/>
      <c r="OMP70" s="684"/>
      <c r="OMQ70" s="684"/>
      <c r="OMR70" s="684"/>
      <c r="OMS70" s="684"/>
      <c r="OMT70" s="684"/>
      <c r="OMU70" s="684"/>
      <c r="OMV70" s="684"/>
      <c r="OMW70" s="684"/>
      <c r="OMX70" s="684"/>
      <c r="OMY70" s="684"/>
      <c r="OMZ70" s="684"/>
      <c r="ONA70" s="684"/>
      <c r="ONB70" s="684"/>
      <c r="ONC70" s="684"/>
      <c r="OND70" s="684"/>
      <c r="ONE70" s="684"/>
      <c r="ONF70" s="684"/>
      <c r="ONG70" s="684"/>
      <c r="ONH70" s="684"/>
      <c r="ONI70" s="684"/>
      <c r="ONJ70" s="684"/>
      <c r="ONK70" s="684"/>
      <c r="ONL70" s="684"/>
      <c r="ONM70" s="684"/>
      <c r="ONN70" s="684"/>
      <c r="ONO70" s="684"/>
      <c r="ONP70" s="684"/>
      <c r="ONQ70" s="684"/>
      <c r="ONR70" s="684"/>
      <c r="ONS70" s="684"/>
      <c r="ONT70" s="684"/>
      <c r="ONU70" s="684"/>
      <c r="ONV70" s="684"/>
      <c r="ONW70" s="684"/>
      <c r="ONX70" s="684"/>
      <c r="ONY70" s="684"/>
      <c r="ONZ70" s="684"/>
      <c r="OOA70" s="684"/>
      <c r="OOB70" s="684"/>
      <c r="OOC70" s="684"/>
      <c r="OOD70" s="684"/>
      <c r="OOE70" s="684"/>
      <c r="OOF70" s="684"/>
      <c r="OOG70" s="684"/>
      <c r="OOH70" s="684"/>
      <c r="OOI70" s="684"/>
      <c r="OOJ70" s="684"/>
      <c r="OOK70" s="684"/>
      <c r="OOL70" s="684"/>
      <c r="OOM70" s="684"/>
      <c r="OON70" s="684"/>
      <c r="OOO70" s="684"/>
      <c r="OOP70" s="684"/>
      <c r="OOQ70" s="684"/>
      <c r="OOR70" s="684"/>
      <c r="OOS70" s="684"/>
      <c r="OOT70" s="684"/>
      <c r="OOU70" s="684"/>
      <c r="OOV70" s="684"/>
      <c r="OOW70" s="684"/>
      <c r="OOX70" s="684"/>
      <c r="OOY70" s="684"/>
      <c r="OOZ70" s="684"/>
      <c r="OPA70" s="684"/>
      <c r="OPB70" s="684"/>
      <c r="OPC70" s="684"/>
      <c r="OPD70" s="684"/>
      <c r="OPE70" s="684"/>
      <c r="OPF70" s="684"/>
      <c r="OPG70" s="684"/>
      <c r="OPH70" s="684"/>
      <c r="OPI70" s="684"/>
      <c r="OPJ70" s="684"/>
      <c r="OPK70" s="684"/>
      <c r="OPL70" s="684"/>
      <c r="OPM70" s="684"/>
      <c r="OPN70" s="684"/>
      <c r="OPO70" s="684"/>
      <c r="OPP70" s="684"/>
      <c r="OPQ70" s="684"/>
      <c r="OPR70" s="684"/>
      <c r="OPS70" s="684"/>
      <c r="OPT70" s="684"/>
      <c r="OPU70" s="684"/>
      <c r="OPV70" s="684"/>
      <c r="OPW70" s="684"/>
      <c r="OPX70" s="684"/>
      <c r="OPY70" s="684"/>
      <c r="OPZ70" s="684"/>
      <c r="OQA70" s="684"/>
      <c r="OQB70" s="684"/>
      <c r="OQC70" s="684"/>
      <c r="OQD70" s="684"/>
      <c r="OQE70" s="684"/>
      <c r="OQF70" s="684"/>
      <c r="OQG70" s="684"/>
      <c r="OQH70" s="684"/>
      <c r="OQI70" s="684"/>
      <c r="OQJ70" s="684"/>
      <c r="OQK70" s="684"/>
      <c r="OQL70" s="684"/>
      <c r="OQM70" s="684"/>
      <c r="OQN70" s="684"/>
      <c r="OQO70" s="684"/>
      <c r="OQP70" s="684"/>
      <c r="OQQ70" s="684"/>
      <c r="OQR70" s="684"/>
      <c r="OQS70" s="684"/>
      <c r="OQT70" s="684"/>
      <c r="OQU70" s="684"/>
      <c r="OQV70" s="684"/>
      <c r="OQW70" s="684"/>
      <c r="OQX70" s="684"/>
      <c r="OQY70" s="684"/>
      <c r="OQZ70" s="684"/>
      <c r="ORA70" s="684"/>
      <c r="ORB70" s="684"/>
      <c r="ORC70" s="684"/>
      <c r="ORD70" s="684"/>
      <c r="ORE70" s="684"/>
      <c r="ORF70" s="684"/>
      <c r="ORG70" s="684"/>
      <c r="ORH70" s="684"/>
      <c r="ORI70" s="684"/>
      <c r="ORJ70" s="684"/>
      <c r="ORK70" s="684"/>
      <c r="ORL70" s="684"/>
      <c r="ORM70" s="684"/>
      <c r="ORN70" s="684"/>
      <c r="ORO70" s="684"/>
      <c r="ORP70" s="684"/>
      <c r="ORQ70" s="684"/>
      <c r="ORR70" s="684"/>
      <c r="ORS70" s="684"/>
      <c r="ORT70" s="684"/>
      <c r="ORU70" s="684"/>
      <c r="ORV70" s="684"/>
      <c r="ORW70" s="684"/>
      <c r="ORX70" s="684"/>
      <c r="ORY70" s="684"/>
      <c r="ORZ70" s="684"/>
      <c r="OSA70" s="684"/>
      <c r="OSB70" s="684"/>
      <c r="OSC70" s="684"/>
      <c r="OSD70" s="684"/>
      <c r="OSE70" s="684"/>
      <c r="OSF70" s="684"/>
      <c r="OSG70" s="684"/>
      <c r="OSH70" s="684"/>
      <c r="OSI70" s="684"/>
      <c r="OSJ70" s="684"/>
      <c r="OSK70" s="684"/>
      <c r="OSL70" s="684"/>
      <c r="OSM70" s="684"/>
      <c r="OSN70" s="684"/>
      <c r="OSO70" s="684"/>
      <c r="OSP70" s="684"/>
      <c r="OSQ70" s="684"/>
      <c r="OSR70" s="684"/>
      <c r="OSS70" s="684"/>
      <c r="OST70" s="684"/>
      <c r="OSU70" s="684"/>
      <c r="OSV70" s="684"/>
      <c r="OSW70" s="684"/>
      <c r="OSX70" s="684"/>
      <c r="OSY70" s="684"/>
      <c r="OSZ70" s="684"/>
      <c r="OTA70" s="684"/>
      <c r="OTB70" s="684"/>
      <c r="OTC70" s="684"/>
      <c r="OTD70" s="684"/>
      <c r="OTE70" s="684"/>
      <c r="OTF70" s="684"/>
      <c r="OTG70" s="684"/>
      <c r="OTH70" s="684"/>
      <c r="OTI70" s="684"/>
      <c r="OTJ70" s="684"/>
      <c r="OTK70" s="684"/>
      <c r="OTL70" s="684"/>
      <c r="OTM70" s="684"/>
      <c r="OTN70" s="684"/>
      <c r="OTO70" s="684"/>
      <c r="OTP70" s="684"/>
      <c r="OTQ70" s="684"/>
      <c r="OTR70" s="684"/>
      <c r="OTS70" s="684"/>
      <c r="OTT70" s="684"/>
      <c r="OTU70" s="684"/>
      <c r="OTV70" s="684"/>
      <c r="OTW70" s="684"/>
      <c r="OTX70" s="684"/>
      <c r="OTY70" s="684"/>
      <c r="OTZ70" s="684"/>
      <c r="OUA70" s="684"/>
      <c r="OUB70" s="684"/>
      <c r="OUC70" s="684"/>
      <c r="OUD70" s="684"/>
      <c r="OUE70" s="684"/>
      <c r="OUF70" s="684"/>
      <c r="OUG70" s="684"/>
      <c r="OUH70" s="684"/>
      <c r="OUI70" s="684"/>
      <c r="OUJ70" s="684"/>
      <c r="OUK70" s="684"/>
      <c r="OUL70" s="684"/>
      <c r="OUM70" s="684"/>
      <c r="OUN70" s="684"/>
      <c r="OUO70" s="684"/>
      <c r="OUP70" s="684"/>
      <c r="OUQ70" s="684"/>
      <c r="OUR70" s="684"/>
      <c r="OUS70" s="684"/>
      <c r="OUT70" s="684"/>
      <c r="OUU70" s="684"/>
      <c r="OUV70" s="684"/>
      <c r="OUW70" s="684"/>
      <c r="OUX70" s="684"/>
      <c r="OUY70" s="684"/>
      <c r="OUZ70" s="684"/>
      <c r="OVA70" s="684"/>
      <c r="OVB70" s="684"/>
      <c r="OVC70" s="684"/>
      <c r="OVD70" s="684"/>
      <c r="OVE70" s="684"/>
      <c r="OVF70" s="684"/>
      <c r="OVG70" s="684"/>
      <c r="OVH70" s="684"/>
      <c r="OVI70" s="684"/>
      <c r="OVJ70" s="684"/>
      <c r="OVK70" s="684"/>
      <c r="OVL70" s="684"/>
      <c r="OVM70" s="684"/>
      <c r="OVN70" s="684"/>
      <c r="OVO70" s="684"/>
      <c r="OVP70" s="684"/>
      <c r="OVQ70" s="684"/>
      <c r="OVR70" s="684"/>
      <c r="OVS70" s="684"/>
      <c r="OVT70" s="684"/>
      <c r="OVU70" s="684"/>
      <c r="OVV70" s="684"/>
      <c r="OVW70" s="684"/>
      <c r="OVX70" s="684"/>
      <c r="OVY70" s="684"/>
      <c r="OVZ70" s="684"/>
      <c r="OWA70" s="684"/>
      <c r="OWB70" s="684"/>
      <c r="OWC70" s="684"/>
      <c r="OWD70" s="684"/>
      <c r="OWE70" s="684"/>
      <c r="OWF70" s="684"/>
      <c r="OWG70" s="684"/>
      <c r="OWH70" s="684"/>
      <c r="OWI70" s="684"/>
      <c r="OWJ70" s="684"/>
      <c r="OWK70" s="684"/>
      <c r="OWL70" s="684"/>
      <c r="OWM70" s="684"/>
      <c r="OWN70" s="684"/>
      <c r="OWO70" s="684"/>
      <c r="OWP70" s="684"/>
      <c r="OWQ70" s="684"/>
      <c r="OWR70" s="684"/>
      <c r="OWS70" s="684"/>
      <c r="OWT70" s="684"/>
      <c r="OWU70" s="684"/>
      <c r="OWV70" s="684"/>
      <c r="OWW70" s="684"/>
      <c r="OWX70" s="684"/>
      <c r="OWY70" s="684"/>
      <c r="OWZ70" s="684"/>
      <c r="OXA70" s="684"/>
      <c r="OXB70" s="684"/>
      <c r="OXC70" s="684"/>
      <c r="OXD70" s="684"/>
      <c r="OXE70" s="684"/>
      <c r="OXF70" s="684"/>
      <c r="OXG70" s="684"/>
      <c r="OXH70" s="684"/>
      <c r="OXI70" s="684"/>
      <c r="OXJ70" s="684"/>
      <c r="OXK70" s="684"/>
      <c r="OXL70" s="684"/>
      <c r="OXM70" s="684"/>
      <c r="OXN70" s="684"/>
      <c r="OXO70" s="684"/>
      <c r="OXP70" s="684"/>
      <c r="OXQ70" s="684"/>
      <c r="OXR70" s="684"/>
      <c r="OXS70" s="684"/>
      <c r="OXT70" s="684"/>
      <c r="OXU70" s="684"/>
      <c r="OXV70" s="684"/>
      <c r="OXW70" s="684"/>
      <c r="OXX70" s="684"/>
      <c r="OXY70" s="684"/>
      <c r="OXZ70" s="684"/>
      <c r="OYA70" s="684"/>
      <c r="OYB70" s="684"/>
      <c r="OYC70" s="684"/>
      <c r="OYD70" s="684"/>
      <c r="OYE70" s="684"/>
      <c r="OYF70" s="684"/>
      <c r="OYG70" s="684"/>
      <c r="OYH70" s="684"/>
      <c r="OYI70" s="684"/>
      <c r="OYJ70" s="684"/>
      <c r="OYK70" s="684"/>
      <c r="OYL70" s="684"/>
      <c r="OYM70" s="684"/>
      <c r="OYN70" s="684"/>
      <c r="OYO70" s="684"/>
      <c r="OYP70" s="684"/>
      <c r="OYQ70" s="684"/>
      <c r="OYR70" s="684"/>
      <c r="OYS70" s="684"/>
      <c r="OYT70" s="684"/>
      <c r="OYU70" s="684"/>
      <c r="OYV70" s="684"/>
      <c r="OYW70" s="684"/>
      <c r="OYX70" s="684"/>
      <c r="OYY70" s="684"/>
      <c r="OYZ70" s="684"/>
      <c r="OZA70" s="684"/>
      <c r="OZB70" s="684"/>
      <c r="OZC70" s="684"/>
      <c r="OZD70" s="684"/>
      <c r="OZE70" s="684"/>
      <c r="OZF70" s="684"/>
      <c r="OZG70" s="684"/>
      <c r="OZH70" s="684"/>
      <c r="OZI70" s="684"/>
      <c r="OZJ70" s="684"/>
      <c r="OZK70" s="684"/>
      <c r="OZL70" s="684"/>
      <c r="OZM70" s="684"/>
      <c r="OZN70" s="684"/>
      <c r="OZO70" s="684"/>
      <c r="OZP70" s="684"/>
      <c r="OZQ70" s="684"/>
      <c r="OZR70" s="684"/>
      <c r="OZS70" s="684"/>
      <c r="OZT70" s="684"/>
      <c r="OZU70" s="684"/>
      <c r="OZV70" s="684"/>
      <c r="OZW70" s="684"/>
      <c r="OZX70" s="684"/>
      <c r="OZY70" s="684"/>
      <c r="OZZ70" s="684"/>
      <c r="PAA70" s="684"/>
      <c r="PAB70" s="684"/>
      <c r="PAC70" s="684"/>
      <c r="PAD70" s="684"/>
      <c r="PAE70" s="684"/>
      <c r="PAF70" s="684"/>
      <c r="PAG70" s="684"/>
      <c r="PAH70" s="684"/>
      <c r="PAI70" s="684"/>
      <c r="PAJ70" s="684"/>
      <c r="PAK70" s="684"/>
      <c r="PAL70" s="684"/>
      <c r="PAM70" s="684"/>
      <c r="PAN70" s="684"/>
      <c r="PAO70" s="684"/>
      <c r="PAP70" s="684"/>
      <c r="PAQ70" s="684"/>
      <c r="PAR70" s="684"/>
      <c r="PAS70" s="684"/>
      <c r="PAT70" s="684"/>
      <c r="PAU70" s="684"/>
      <c r="PAV70" s="684"/>
      <c r="PAW70" s="684"/>
      <c r="PAX70" s="684"/>
      <c r="PAY70" s="684"/>
      <c r="PAZ70" s="684"/>
      <c r="PBA70" s="684"/>
      <c r="PBB70" s="684"/>
      <c r="PBC70" s="684"/>
      <c r="PBD70" s="684"/>
      <c r="PBE70" s="684"/>
      <c r="PBF70" s="684"/>
      <c r="PBG70" s="684"/>
      <c r="PBH70" s="684"/>
      <c r="PBI70" s="684"/>
      <c r="PBJ70" s="684"/>
      <c r="PBK70" s="684"/>
      <c r="PBL70" s="684"/>
      <c r="PBM70" s="684"/>
      <c r="PBN70" s="684"/>
      <c r="PBO70" s="684"/>
      <c r="PBP70" s="684"/>
      <c r="PBQ70" s="684"/>
      <c r="PBR70" s="684"/>
      <c r="PBS70" s="684"/>
      <c r="PBT70" s="684"/>
      <c r="PBU70" s="684"/>
      <c r="PBV70" s="684"/>
      <c r="PBW70" s="684"/>
      <c r="PBX70" s="684"/>
      <c r="PBY70" s="684"/>
      <c r="PBZ70" s="684"/>
      <c r="PCA70" s="684"/>
      <c r="PCB70" s="684"/>
      <c r="PCC70" s="684"/>
      <c r="PCD70" s="684"/>
      <c r="PCE70" s="684"/>
      <c r="PCF70" s="684"/>
      <c r="PCG70" s="684"/>
      <c r="PCH70" s="684"/>
      <c r="PCI70" s="684"/>
      <c r="PCJ70" s="684"/>
      <c r="PCK70" s="684"/>
      <c r="PCL70" s="684"/>
      <c r="PCM70" s="684"/>
      <c r="PCN70" s="684"/>
      <c r="PCO70" s="684"/>
      <c r="PCP70" s="684"/>
      <c r="PCQ70" s="684"/>
      <c r="PCR70" s="684"/>
      <c r="PCS70" s="684"/>
      <c r="PCT70" s="684"/>
      <c r="PCU70" s="684"/>
      <c r="PCV70" s="684"/>
      <c r="PCW70" s="684"/>
      <c r="PCX70" s="684"/>
      <c r="PCY70" s="684"/>
      <c r="PCZ70" s="684"/>
      <c r="PDA70" s="684"/>
      <c r="PDB70" s="684"/>
      <c r="PDC70" s="684"/>
      <c r="PDD70" s="684"/>
      <c r="PDE70" s="684"/>
      <c r="PDF70" s="684"/>
      <c r="PDG70" s="684"/>
      <c r="PDH70" s="684"/>
      <c r="PDI70" s="684"/>
      <c r="PDJ70" s="684"/>
      <c r="PDK70" s="684"/>
      <c r="PDL70" s="684"/>
      <c r="PDM70" s="684"/>
      <c r="PDN70" s="684"/>
      <c r="PDO70" s="684"/>
      <c r="PDP70" s="684"/>
      <c r="PDQ70" s="684"/>
      <c r="PDR70" s="684"/>
      <c r="PDS70" s="684"/>
      <c r="PDT70" s="684"/>
      <c r="PDU70" s="684"/>
      <c r="PDV70" s="684"/>
      <c r="PDW70" s="684"/>
      <c r="PDX70" s="684"/>
      <c r="PDY70" s="684"/>
      <c r="PDZ70" s="684"/>
      <c r="PEA70" s="684"/>
      <c r="PEB70" s="684"/>
      <c r="PEC70" s="684"/>
      <c r="PED70" s="684"/>
      <c r="PEE70" s="684"/>
      <c r="PEF70" s="684"/>
      <c r="PEG70" s="684"/>
      <c r="PEH70" s="684"/>
      <c r="PEI70" s="684"/>
      <c r="PEJ70" s="684"/>
      <c r="PEK70" s="684"/>
      <c r="PEL70" s="684"/>
      <c r="PEM70" s="684"/>
      <c r="PEN70" s="684"/>
      <c r="PEO70" s="684"/>
      <c r="PEP70" s="684"/>
      <c r="PEQ70" s="684"/>
      <c r="PER70" s="684"/>
      <c r="PES70" s="684"/>
      <c r="PET70" s="684"/>
      <c r="PEU70" s="684"/>
      <c r="PEV70" s="684"/>
      <c r="PEW70" s="684"/>
      <c r="PEX70" s="684"/>
      <c r="PEY70" s="684"/>
      <c r="PEZ70" s="684"/>
      <c r="PFA70" s="684"/>
      <c r="PFB70" s="684"/>
      <c r="PFC70" s="684"/>
      <c r="PFD70" s="684"/>
      <c r="PFE70" s="684"/>
      <c r="PFF70" s="684"/>
      <c r="PFG70" s="684"/>
      <c r="PFH70" s="684"/>
      <c r="PFI70" s="684"/>
      <c r="PFJ70" s="684"/>
      <c r="PFK70" s="684"/>
      <c r="PFL70" s="684"/>
      <c r="PFM70" s="684"/>
      <c r="PFN70" s="684"/>
      <c r="PFO70" s="684"/>
      <c r="PFP70" s="684"/>
      <c r="PFQ70" s="684"/>
      <c r="PFR70" s="684"/>
      <c r="PFS70" s="684"/>
      <c r="PFT70" s="684"/>
      <c r="PFU70" s="684"/>
      <c r="PFV70" s="684"/>
      <c r="PFW70" s="684"/>
      <c r="PFX70" s="684"/>
      <c r="PFY70" s="684"/>
      <c r="PFZ70" s="684"/>
      <c r="PGA70" s="684"/>
      <c r="PGB70" s="684"/>
      <c r="PGC70" s="684"/>
      <c r="PGD70" s="684"/>
      <c r="PGE70" s="684"/>
      <c r="PGF70" s="684"/>
      <c r="PGG70" s="684"/>
      <c r="PGH70" s="684"/>
      <c r="PGI70" s="684"/>
      <c r="PGJ70" s="684"/>
      <c r="PGK70" s="684"/>
      <c r="PGL70" s="684"/>
      <c r="PGM70" s="684"/>
      <c r="PGN70" s="684"/>
      <c r="PGO70" s="684"/>
      <c r="PGP70" s="684"/>
      <c r="PGQ70" s="684"/>
      <c r="PGR70" s="684"/>
      <c r="PGS70" s="684"/>
      <c r="PGT70" s="684"/>
      <c r="PGU70" s="684"/>
      <c r="PGV70" s="684"/>
      <c r="PGW70" s="684"/>
      <c r="PGX70" s="684"/>
      <c r="PGY70" s="684"/>
      <c r="PGZ70" s="684"/>
      <c r="PHA70" s="684"/>
      <c r="PHB70" s="684"/>
      <c r="PHC70" s="684"/>
      <c r="PHD70" s="684"/>
      <c r="PHE70" s="684"/>
      <c r="PHF70" s="684"/>
      <c r="PHG70" s="684"/>
      <c r="PHH70" s="684"/>
      <c r="PHI70" s="684"/>
      <c r="PHJ70" s="684"/>
      <c r="PHK70" s="684"/>
      <c r="PHL70" s="684"/>
      <c r="PHM70" s="684"/>
      <c r="PHN70" s="684"/>
      <c r="PHO70" s="684"/>
      <c r="PHP70" s="684"/>
      <c r="PHQ70" s="684"/>
      <c r="PHR70" s="684"/>
      <c r="PHS70" s="684"/>
      <c r="PHT70" s="684"/>
      <c r="PHU70" s="684"/>
      <c r="PHV70" s="684"/>
      <c r="PHW70" s="684"/>
      <c r="PHX70" s="684"/>
      <c r="PHY70" s="684"/>
      <c r="PHZ70" s="684"/>
      <c r="PIA70" s="684"/>
      <c r="PIB70" s="684"/>
      <c r="PIC70" s="684"/>
      <c r="PID70" s="684"/>
      <c r="PIE70" s="684"/>
      <c r="PIF70" s="684"/>
      <c r="PIG70" s="684"/>
      <c r="PIH70" s="684"/>
      <c r="PII70" s="684"/>
      <c r="PIJ70" s="684"/>
      <c r="PIK70" s="684"/>
      <c r="PIL70" s="684"/>
      <c r="PIM70" s="684"/>
      <c r="PIN70" s="684"/>
      <c r="PIO70" s="684"/>
      <c r="PIP70" s="684"/>
      <c r="PIQ70" s="684"/>
      <c r="PIR70" s="684"/>
      <c r="PIS70" s="684"/>
      <c r="PIT70" s="684"/>
      <c r="PIU70" s="684"/>
      <c r="PIV70" s="684"/>
      <c r="PIW70" s="684"/>
      <c r="PIX70" s="684"/>
      <c r="PIY70" s="684"/>
      <c r="PIZ70" s="684"/>
      <c r="PJA70" s="684"/>
      <c r="PJB70" s="684"/>
      <c r="PJC70" s="684"/>
      <c r="PJD70" s="684"/>
      <c r="PJE70" s="684"/>
      <c r="PJF70" s="684"/>
      <c r="PJG70" s="684"/>
      <c r="PJH70" s="684"/>
      <c r="PJI70" s="684"/>
      <c r="PJJ70" s="684"/>
      <c r="PJK70" s="684"/>
      <c r="PJL70" s="684"/>
      <c r="PJM70" s="684"/>
      <c r="PJN70" s="684"/>
      <c r="PJO70" s="684"/>
      <c r="PJP70" s="684"/>
      <c r="PJQ70" s="684"/>
      <c r="PJR70" s="684"/>
      <c r="PJS70" s="684"/>
      <c r="PJT70" s="684"/>
      <c r="PJU70" s="684"/>
      <c r="PJV70" s="684"/>
      <c r="PJW70" s="684"/>
      <c r="PJX70" s="684"/>
      <c r="PJY70" s="684"/>
      <c r="PJZ70" s="684"/>
      <c r="PKA70" s="684"/>
      <c r="PKB70" s="684"/>
      <c r="PKC70" s="684"/>
      <c r="PKD70" s="684"/>
      <c r="PKE70" s="684"/>
      <c r="PKF70" s="684"/>
      <c r="PKG70" s="684"/>
      <c r="PKH70" s="684"/>
      <c r="PKI70" s="684"/>
      <c r="PKJ70" s="684"/>
      <c r="PKK70" s="684"/>
      <c r="PKL70" s="684"/>
      <c r="PKM70" s="684"/>
      <c r="PKN70" s="684"/>
      <c r="PKO70" s="684"/>
      <c r="PKP70" s="684"/>
      <c r="PKQ70" s="684"/>
      <c r="PKR70" s="684"/>
      <c r="PKS70" s="684"/>
      <c r="PKT70" s="684"/>
      <c r="PKU70" s="684"/>
      <c r="PKV70" s="684"/>
      <c r="PKW70" s="684"/>
      <c r="PKX70" s="684"/>
      <c r="PKY70" s="684"/>
      <c r="PKZ70" s="684"/>
      <c r="PLA70" s="684"/>
      <c r="PLB70" s="684"/>
      <c r="PLC70" s="684"/>
      <c r="PLD70" s="684"/>
      <c r="PLE70" s="684"/>
      <c r="PLF70" s="684"/>
      <c r="PLG70" s="684"/>
      <c r="PLH70" s="684"/>
      <c r="PLI70" s="684"/>
      <c r="PLJ70" s="684"/>
      <c r="PLK70" s="684"/>
      <c r="PLL70" s="684"/>
      <c r="PLM70" s="684"/>
      <c r="PLN70" s="684"/>
      <c r="PLO70" s="684"/>
      <c r="PLP70" s="684"/>
      <c r="PLQ70" s="684"/>
      <c r="PLR70" s="684"/>
      <c r="PLS70" s="684"/>
      <c r="PLT70" s="684"/>
      <c r="PLU70" s="684"/>
      <c r="PLV70" s="684"/>
      <c r="PLW70" s="684"/>
      <c r="PLX70" s="684"/>
      <c r="PLY70" s="684"/>
      <c r="PLZ70" s="684"/>
      <c r="PMA70" s="684"/>
      <c r="PMB70" s="684"/>
      <c r="PMC70" s="684"/>
      <c r="PMD70" s="684"/>
      <c r="PME70" s="684"/>
      <c r="PMF70" s="684"/>
      <c r="PMG70" s="684"/>
      <c r="PMH70" s="684"/>
      <c r="PMI70" s="684"/>
      <c r="PMJ70" s="684"/>
      <c r="PMK70" s="684"/>
      <c r="PML70" s="684"/>
      <c r="PMM70" s="684"/>
      <c r="PMN70" s="684"/>
      <c r="PMO70" s="684"/>
      <c r="PMP70" s="684"/>
      <c r="PMQ70" s="684"/>
      <c r="PMR70" s="684"/>
      <c r="PMS70" s="684"/>
      <c r="PMT70" s="684"/>
      <c r="PMU70" s="684"/>
      <c r="PMV70" s="684"/>
      <c r="PMW70" s="684"/>
      <c r="PMX70" s="684"/>
      <c r="PMY70" s="684"/>
      <c r="PMZ70" s="684"/>
      <c r="PNA70" s="684"/>
      <c r="PNB70" s="684"/>
      <c r="PNC70" s="684"/>
      <c r="PND70" s="684"/>
      <c r="PNE70" s="684"/>
      <c r="PNF70" s="684"/>
      <c r="PNG70" s="684"/>
      <c r="PNH70" s="684"/>
      <c r="PNI70" s="684"/>
      <c r="PNJ70" s="684"/>
      <c r="PNK70" s="684"/>
      <c r="PNL70" s="684"/>
      <c r="PNM70" s="684"/>
      <c r="PNN70" s="684"/>
      <c r="PNO70" s="684"/>
      <c r="PNP70" s="684"/>
      <c r="PNQ70" s="684"/>
      <c r="PNR70" s="684"/>
      <c r="PNS70" s="684"/>
      <c r="PNT70" s="684"/>
      <c r="PNU70" s="684"/>
      <c r="PNV70" s="684"/>
      <c r="PNW70" s="684"/>
      <c r="PNX70" s="684"/>
      <c r="PNY70" s="684"/>
      <c r="PNZ70" s="684"/>
      <c r="POA70" s="684"/>
      <c r="POB70" s="684"/>
      <c r="POC70" s="684"/>
      <c r="POD70" s="684"/>
      <c r="POE70" s="684"/>
      <c r="POF70" s="684"/>
      <c r="POG70" s="684"/>
      <c r="POH70" s="684"/>
      <c r="POI70" s="684"/>
      <c r="POJ70" s="684"/>
      <c r="POK70" s="684"/>
      <c r="POL70" s="684"/>
      <c r="POM70" s="684"/>
      <c r="PON70" s="684"/>
      <c r="POO70" s="684"/>
      <c r="POP70" s="684"/>
      <c r="POQ70" s="684"/>
      <c r="POR70" s="684"/>
      <c r="POS70" s="684"/>
      <c r="POT70" s="684"/>
      <c r="POU70" s="684"/>
      <c r="POV70" s="684"/>
      <c r="POW70" s="684"/>
      <c r="POX70" s="684"/>
      <c r="POY70" s="684"/>
      <c r="POZ70" s="684"/>
      <c r="PPA70" s="684"/>
      <c r="PPB70" s="684"/>
      <c r="PPC70" s="684"/>
      <c r="PPD70" s="684"/>
      <c r="PPE70" s="684"/>
      <c r="PPF70" s="684"/>
      <c r="PPG70" s="684"/>
      <c r="PPH70" s="684"/>
      <c r="PPI70" s="684"/>
      <c r="PPJ70" s="684"/>
      <c r="PPK70" s="684"/>
      <c r="PPL70" s="684"/>
      <c r="PPM70" s="684"/>
      <c r="PPN70" s="684"/>
      <c r="PPO70" s="684"/>
      <c r="PPP70" s="684"/>
      <c r="PPQ70" s="684"/>
      <c r="PPR70" s="684"/>
      <c r="PPS70" s="684"/>
      <c r="PPT70" s="684"/>
      <c r="PPU70" s="684"/>
      <c r="PPV70" s="684"/>
      <c r="PPW70" s="684"/>
      <c r="PPX70" s="684"/>
      <c r="PPY70" s="684"/>
      <c r="PPZ70" s="684"/>
      <c r="PQA70" s="684"/>
      <c r="PQB70" s="684"/>
      <c r="PQC70" s="684"/>
      <c r="PQD70" s="684"/>
      <c r="PQE70" s="684"/>
      <c r="PQF70" s="684"/>
      <c r="PQG70" s="684"/>
      <c r="PQH70" s="684"/>
      <c r="PQI70" s="684"/>
      <c r="PQJ70" s="684"/>
      <c r="PQK70" s="684"/>
      <c r="PQL70" s="684"/>
      <c r="PQM70" s="684"/>
      <c r="PQN70" s="684"/>
      <c r="PQO70" s="684"/>
      <c r="PQP70" s="684"/>
      <c r="PQQ70" s="684"/>
      <c r="PQR70" s="684"/>
      <c r="PQS70" s="684"/>
      <c r="PQT70" s="684"/>
      <c r="PQU70" s="684"/>
      <c r="PQV70" s="684"/>
      <c r="PQW70" s="684"/>
      <c r="PQX70" s="684"/>
      <c r="PQY70" s="684"/>
      <c r="PQZ70" s="684"/>
      <c r="PRA70" s="684"/>
      <c r="PRB70" s="684"/>
      <c r="PRC70" s="684"/>
      <c r="PRD70" s="684"/>
      <c r="PRE70" s="684"/>
      <c r="PRF70" s="684"/>
      <c r="PRG70" s="684"/>
      <c r="PRH70" s="684"/>
      <c r="PRI70" s="684"/>
      <c r="PRJ70" s="684"/>
      <c r="PRK70" s="684"/>
      <c r="PRL70" s="684"/>
      <c r="PRM70" s="684"/>
      <c r="PRN70" s="684"/>
      <c r="PRO70" s="684"/>
      <c r="PRP70" s="684"/>
      <c r="PRQ70" s="684"/>
      <c r="PRR70" s="684"/>
      <c r="PRS70" s="684"/>
      <c r="PRT70" s="684"/>
      <c r="PRU70" s="684"/>
      <c r="PRV70" s="684"/>
      <c r="PRW70" s="684"/>
      <c r="PRX70" s="684"/>
      <c r="PRY70" s="684"/>
      <c r="PRZ70" s="684"/>
      <c r="PSA70" s="684"/>
      <c r="PSB70" s="684"/>
      <c r="PSC70" s="684"/>
      <c r="PSD70" s="684"/>
      <c r="PSE70" s="684"/>
      <c r="PSF70" s="684"/>
      <c r="PSG70" s="684"/>
      <c r="PSH70" s="684"/>
      <c r="PSI70" s="684"/>
      <c r="PSJ70" s="684"/>
      <c r="PSK70" s="684"/>
      <c r="PSL70" s="684"/>
      <c r="PSM70" s="684"/>
      <c r="PSN70" s="684"/>
      <c r="PSO70" s="684"/>
      <c r="PSP70" s="684"/>
      <c r="PSQ70" s="684"/>
      <c r="PSR70" s="684"/>
      <c r="PSS70" s="684"/>
      <c r="PST70" s="684"/>
      <c r="PSU70" s="684"/>
      <c r="PSV70" s="684"/>
      <c r="PSW70" s="684"/>
      <c r="PSX70" s="684"/>
      <c r="PSY70" s="684"/>
      <c r="PSZ70" s="684"/>
      <c r="PTA70" s="684"/>
      <c r="PTB70" s="684"/>
      <c r="PTC70" s="684"/>
      <c r="PTD70" s="684"/>
      <c r="PTE70" s="684"/>
      <c r="PTF70" s="684"/>
      <c r="PTG70" s="684"/>
      <c r="PTH70" s="684"/>
      <c r="PTI70" s="684"/>
      <c r="PTJ70" s="684"/>
      <c r="PTK70" s="684"/>
      <c r="PTL70" s="684"/>
      <c r="PTM70" s="684"/>
      <c r="PTN70" s="684"/>
      <c r="PTO70" s="684"/>
      <c r="PTP70" s="684"/>
      <c r="PTQ70" s="684"/>
      <c r="PTR70" s="684"/>
      <c r="PTS70" s="684"/>
      <c r="PTT70" s="684"/>
      <c r="PTU70" s="684"/>
      <c r="PTV70" s="684"/>
      <c r="PTW70" s="684"/>
      <c r="PTX70" s="684"/>
      <c r="PTY70" s="684"/>
      <c r="PTZ70" s="684"/>
      <c r="PUA70" s="684"/>
      <c r="PUB70" s="684"/>
      <c r="PUC70" s="684"/>
      <c r="PUD70" s="684"/>
      <c r="PUE70" s="684"/>
      <c r="PUF70" s="684"/>
      <c r="PUG70" s="684"/>
      <c r="PUH70" s="684"/>
      <c r="PUI70" s="684"/>
      <c r="PUJ70" s="684"/>
      <c r="PUK70" s="684"/>
      <c r="PUL70" s="684"/>
      <c r="PUM70" s="684"/>
      <c r="PUN70" s="684"/>
      <c r="PUO70" s="684"/>
      <c r="PUP70" s="684"/>
      <c r="PUQ70" s="684"/>
      <c r="PUR70" s="684"/>
      <c r="PUS70" s="684"/>
      <c r="PUT70" s="684"/>
      <c r="PUU70" s="684"/>
      <c r="PUV70" s="684"/>
      <c r="PUW70" s="684"/>
      <c r="PUX70" s="684"/>
      <c r="PUY70" s="684"/>
      <c r="PUZ70" s="684"/>
      <c r="PVA70" s="684"/>
      <c r="PVB70" s="684"/>
      <c r="PVC70" s="684"/>
      <c r="PVD70" s="684"/>
      <c r="PVE70" s="684"/>
      <c r="PVF70" s="684"/>
      <c r="PVG70" s="684"/>
      <c r="PVH70" s="684"/>
      <c r="PVI70" s="684"/>
      <c r="PVJ70" s="684"/>
      <c r="PVK70" s="684"/>
      <c r="PVL70" s="684"/>
      <c r="PVM70" s="684"/>
      <c r="PVN70" s="684"/>
      <c r="PVO70" s="684"/>
      <c r="PVP70" s="684"/>
      <c r="PVQ70" s="684"/>
      <c r="PVR70" s="684"/>
      <c r="PVS70" s="684"/>
      <c r="PVT70" s="684"/>
      <c r="PVU70" s="684"/>
      <c r="PVV70" s="684"/>
      <c r="PVW70" s="684"/>
      <c r="PVX70" s="684"/>
      <c r="PVY70" s="684"/>
      <c r="PVZ70" s="684"/>
      <c r="PWA70" s="684"/>
      <c r="PWB70" s="684"/>
      <c r="PWC70" s="684"/>
      <c r="PWD70" s="684"/>
      <c r="PWE70" s="684"/>
      <c r="PWF70" s="684"/>
      <c r="PWG70" s="684"/>
      <c r="PWH70" s="684"/>
      <c r="PWI70" s="684"/>
      <c r="PWJ70" s="684"/>
      <c r="PWK70" s="684"/>
      <c r="PWL70" s="684"/>
      <c r="PWM70" s="684"/>
      <c r="PWN70" s="684"/>
      <c r="PWO70" s="684"/>
      <c r="PWP70" s="684"/>
      <c r="PWQ70" s="684"/>
      <c r="PWR70" s="684"/>
      <c r="PWS70" s="684"/>
      <c r="PWT70" s="684"/>
      <c r="PWU70" s="684"/>
      <c r="PWV70" s="684"/>
      <c r="PWW70" s="684"/>
      <c r="PWX70" s="684"/>
      <c r="PWY70" s="684"/>
      <c r="PWZ70" s="684"/>
      <c r="PXA70" s="684"/>
      <c r="PXB70" s="684"/>
      <c r="PXC70" s="684"/>
      <c r="PXD70" s="684"/>
      <c r="PXE70" s="684"/>
      <c r="PXF70" s="684"/>
      <c r="PXG70" s="684"/>
      <c r="PXH70" s="684"/>
      <c r="PXI70" s="684"/>
      <c r="PXJ70" s="684"/>
      <c r="PXK70" s="684"/>
      <c r="PXL70" s="684"/>
      <c r="PXM70" s="684"/>
      <c r="PXN70" s="684"/>
      <c r="PXO70" s="684"/>
      <c r="PXP70" s="684"/>
      <c r="PXQ70" s="684"/>
      <c r="PXR70" s="684"/>
      <c r="PXS70" s="684"/>
      <c r="PXT70" s="684"/>
      <c r="PXU70" s="684"/>
      <c r="PXV70" s="684"/>
      <c r="PXW70" s="684"/>
      <c r="PXX70" s="684"/>
      <c r="PXY70" s="684"/>
      <c r="PXZ70" s="684"/>
      <c r="PYA70" s="684"/>
      <c r="PYB70" s="684"/>
      <c r="PYC70" s="684"/>
      <c r="PYD70" s="684"/>
      <c r="PYE70" s="684"/>
      <c r="PYF70" s="684"/>
      <c r="PYG70" s="684"/>
      <c r="PYH70" s="684"/>
      <c r="PYI70" s="684"/>
      <c r="PYJ70" s="684"/>
      <c r="PYK70" s="684"/>
      <c r="PYL70" s="684"/>
      <c r="PYM70" s="684"/>
      <c r="PYN70" s="684"/>
      <c r="PYO70" s="684"/>
      <c r="PYP70" s="684"/>
      <c r="PYQ70" s="684"/>
      <c r="PYR70" s="684"/>
      <c r="PYS70" s="684"/>
      <c r="PYT70" s="684"/>
      <c r="PYU70" s="684"/>
      <c r="PYV70" s="684"/>
      <c r="PYW70" s="684"/>
      <c r="PYX70" s="684"/>
      <c r="PYY70" s="684"/>
      <c r="PYZ70" s="684"/>
      <c r="PZA70" s="684"/>
      <c r="PZB70" s="684"/>
      <c r="PZC70" s="684"/>
      <c r="PZD70" s="684"/>
      <c r="PZE70" s="684"/>
      <c r="PZF70" s="684"/>
      <c r="PZG70" s="684"/>
      <c r="PZH70" s="684"/>
      <c r="PZI70" s="684"/>
      <c r="PZJ70" s="684"/>
      <c r="PZK70" s="684"/>
      <c r="PZL70" s="684"/>
      <c r="PZM70" s="684"/>
      <c r="PZN70" s="684"/>
      <c r="PZO70" s="684"/>
      <c r="PZP70" s="684"/>
      <c r="PZQ70" s="684"/>
      <c r="PZR70" s="684"/>
      <c r="PZS70" s="684"/>
      <c r="PZT70" s="684"/>
      <c r="PZU70" s="684"/>
      <c r="PZV70" s="684"/>
      <c r="PZW70" s="684"/>
      <c r="PZX70" s="684"/>
      <c r="PZY70" s="684"/>
      <c r="PZZ70" s="684"/>
      <c r="QAA70" s="684"/>
      <c r="QAB70" s="684"/>
      <c r="QAC70" s="684"/>
      <c r="QAD70" s="684"/>
      <c r="QAE70" s="684"/>
      <c r="QAF70" s="684"/>
      <c r="QAG70" s="684"/>
      <c r="QAH70" s="684"/>
      <c r="QAI70" s="684"/>
      <c r="QAJ70" s="684"/>
      <c r="QAK70" s="684"/>
      <c r="QAL70" s="684"/>
      <c r="QAM70" s="684"/>
      <c r="QAN70" s="684"/>
      <c r="QAO70" s="684"/>
      <c r="QAP70" s="684"/>
      <c r="QAQ70" s="684"/>
      <c r="QAR70" s="684"/>
      <c r="QAS70" s="684"/>
      <c r="QAT70" s="684"/>
      <c r="QAU70" s="684"/>
      <c r="QAV70" s="684"/>
      <c r="QAW70" s="684"/>
      <c r="QAX70" s="684"/>
      <c r="QAY70" s="684"/>
      <c r="QAZ70" s="684"/>
      <c r="QBA70" s="684"/>
      <c r="QBB70" s="684"/>
      <c r="QBC70" s="684"/>
      <c r="QBD70" s="684"/>
      <c r="QBE70" s="684"/>
      <c r="QBF70" s="684"/>
      <c r="QBG70" s="684"/>
      <c r="QBH70" s="684"/>
      <c r="QBI70" s="684"/>
      <c r="QBJ70" s="684"/>
      <c r="QBK70" s="684"/>
      <c r="QBL70" s="684"/>
      <c r="QBM70" s="684"/>
      <c r="QBN70" s="684"/>
      <c r="QBO70" s="684"/>
      <c r="QBP70" s="684"/>
      <c r="QBQ70" s="684"/>
      <c r="QBR70" s="684"/>
      <c r="QBS70" s="684"/>
      <c r="QBT70" s="684"/>
      <c r="QBU70" s="684"/>
      <c r="QBV70" s="684"/>
      <c r="QBW70" s="684"/>
      <c r="QBX70" s="684"/>
      <c r="QBY70" s="684"/>
      <c r="QBZ70" s="684"/>
      <c r="QCA70" s="684"/>
      <c r="QCB70" s="684"/>
      <c r="QCC70" s="684"/>
      <c r="QCD70" s="684"/>
      <c r="QCE70" s="684"/>
      <c r="QCF70" s="684"/>
      <c r="QCG70" s="684"/>
      <c r="QCH70" s="684"/>
      <c r="QCI70" s="684"/>
      <c r="QCJ70" s="684"/>
      <c r="QCK70" s="684"/>
      <c r="QCL70" s="684"/>
      <c r="QCM70" s="684"/>
      <c r="QCN70" s="684"/>
      <c r="QCO70" s="684"/>
      <c r="QCP70" s="684"/>
      <c r="QCQ70" s="684"/>
      <c r="QCR70" s="684"/>
      <c r="QCS70" s="684"/>
      <c r="QCT70" s="684"/>
      <c r="QCU70" s="684"/>
      <c r="QCV70" s="684"/>
      <c r="QCW70" s="684"/>
      <c r="QCX70" s="684"/>
      <c r="QCY70" s="684"/>
      <c r="QCZ70" s="684"/>
      <c r="QDA70" s="684"/>
      <c r="QDB70" s="684"/>
      <c r="QDC70" s="684"/>
      <c r="QDD70" s="684"/>
      <c r="QDE70" s="684"/>
      <c r="QDF70" s="684"/>
      <c r="QDG70" s="684"/>
      <c r="QDH70" s="684"/>
      <c r="QDI70" s="684"/>
      <c r="QDJ70" s="684"/>
      <c r="QDK70" s="684"/>
      <c r="QDL70" s="684"/>
      <c r="QDM70" s="684"/>
      <c r="QDN70" s="684"/>
      <c r="QDO70" s="684"/>
      <c r="QDP70" s="684"/>
      <c r="QDQ70" s="684"/>
      <c r="QDR70" s="684"/>
      <c r="QDS70" s="684"/>
      <c r="QDT70" s="684"/>
      <c r="QDU70" s="684"/>
      <c r="QDV70" s="684"/>
      <c r="QDW70" s="684"/>
      <c r="QDX70" s="684"/>
      <c r="QDY70" s="684"/>
      <c r="QDZ70" s="684"/>
      <c r="QEA70" s="684"/>
      <c r="QEB70" s="684"/>
      <c r="QEC70" s="684"/>
      <c r="QED70" s="684"/>
      <c r="QEE70" s="684"/>
      <c r="QEF70" s="684"/>
      <c r="QEG70" s="684"/>
      <c r="QEH70" s="684"/>
      <c r="QEI70" s="684"/>
      <c r="QEJ70" s="684"/>
      <c r="QEK70" s="684"/>
      <c r="QEL70" s="684"/>
      <c r="QEM70" s="684"/>
      <c r="QEN70" s="684"/>
      <c r="QEO70" s="684"/>
      <c r="QEP70" s="684"/>
      <c r="QEQ70" s="684"/>
      <c r="QER70" s="684"/>
      <c r="QES70" s="684"/>
      <c r="QET70" s="684"/>
      <c r="QEU70" s="684"/>
      <c r="QEV70" s="684"/>
      <c r="QEW70" s="684"/>
      <c r="QEX70" s="684"/>
      <c r="QEY70" s="684"/>
      <c r="QEZ70" s="684"/>
      <c r="QFA70" s="684"/>
      <c r="QFB70" s="684"/>
      <c r="QFC70" s="684"/>
      <c r="QFD70" s="684"/>
      <c r="QFE70" s="684"/>
      <c r="QFF70" s="684"/>
      <c r="QFG70" s="684"/>
      <c r="QFH70" s="684"/>
      <c r="QFI70" s="684"/>
      <c r="QFJ70" s="684"/>
      <c r="QFK70" s="684"/>
      <c r="QFL70" s="684"/>
      <c r="QFM70" s="684"/>
      <c r="QFN70" s="684"/>
      <c r="QFO70" s="684"/>
      <c r="QFP70" s="684"/>
      <c r="QFQ70" s="684"/>
      <c r="QFR70" s="684"/>
      <c r="QFS70" s="684"/>
      <c r="QFT70" s="684"/>
      <c r="QFU70" s="684"/>
      <c r="QFV70" s="684"/>
      <c r="QFW70" s="684"/>
      <c r="QFX70" s="684"/>
      <c r="QFY70" s="684"/>
      <c r="QFZ70" s="684"/>
      <c r="QGA70" s="684"/>
      <c r="QGB70" s="684"/>
      <c r="QGC70" s="684"/>
      <c r="QGD70" s="684"/>
      <c r="QGE70" s="684"/>
      <c r="QGF70" s="684"/>
      <c r="QGG70" s="684"/>
      <c r="QGH70" s="684"/>
      <c r="QGI70" s="684"/>
      <c r="QGJ70" s="684"/>
      <c r="QGK70" s="684"/>
      <c r="QGL70" s="684"/>
      <c r="QGM70" s="684"/>
      <c r="QGN70" s="684"/>
      <c r="QGO70" s="684"/>
      <c r="QGP70" s="684"/>
      <c r="QGQ70" s="684"/>
      <c r="QGR70" s="684"/>
      <c r="QGS70" s="684"/>
      <c r="QGT70" s="684"/>
      <c r="QGU70" s="684"/>
      <c r="QGV70" s="684"/>
      <c r="QGW70" s="684"/>
      <c r="QGX70" s="684"/>
      <c r="QGY70" s="684"/>
      <c r="QGZ70" s="684"/>
      <c r="QHA70" s="684"/>
      <c r="QHB70" s="684"/>
      <c r="QHC70" s="684"/>
      <c r="QHD70" s="684"/>
      <c r="QHE70" s="684"/>
      <c r="QHF70" s="684"/>
      <c r="QHG70" s="684"/>
      <c r="QHH70" s="684"/>
      <c r="QHI70" s="684"/>
      <c r="QHJ70" s="684"/>
      <c r="QHK70" s="684"/>
      <c r="QHL70" s="684"/>
      <c r="QHM70" s="684"/>
      <c r="QHN70" s="684"/>
      <c r="QHO70" s="684"/>
      <c r="QHP70" s="684"/>
      <c r="QHQ70" s="684"/>
      <c r="QHR70" s="684"/>
      <c r="QHS70" s="684"/>
      <c r="QHT70" s="684"/>
      <c r="QHU70" s="684"/>
      <c r="QHV70" s="684"/>
      <c r="QHW70" s="684"/>
      <c r="QHX70" s="684"/>
      <c r="QHY70" s="684"/>
      <c r="QHZ70" s="684"/>
      <c r="QIA70" s="684"/>
      <c r="QIB70" s="684"/>
      <c r="QIC70" s="684"/>
      <c r="QID70" s="684"/>
      <c r="QIE70" s="684"/>
      <c r="QIF70" s="684"/>
      <c r="QIG70" s="684"/>
      <c r="QIH70" s="684"/>
      <c r="QII70" s="684"/>
      <c r="QIJ70" s="684"/>
      <c r="QIK70" s="684"/>
      <c r="QIL70" s="684"/>
      <c r="QIM70" s="684"/>
      <c r="QIN70" s="684"/>
      <c r="QIO70" s="684"/>
      <c r="QIP70" s="684"/>
      <c r="QIQ70" s="684"/>
      <c r="QIR70" s="684"/>
      <c r="QIS70" s="684"/>
      <c r="QIT70" s="684"/>
      <c r="QIU70" s="684"/>
      <c r="QIV70" s="684"/>
      <c r="QIW70" s="684"/>
      <c r="QIX70" s="684"/>
      <c r="QIY70" s="684"/>
      <c r="QIZ70" s="684"/>
      <c r="QJA70" s="684"/>
      <c r="QJB70" s="684"/>
      <c r="QJC70" s="684"/>
      <c r="QJD70" s="684"/>
      <c r="QJE70" s="684"/>
      <c r="QJF70" s="684"/>
      <c r="QJG70" s="684"/>
      <c r="QJH70" s="684"/>
      <c r="QJI70" s="684"/>
      <c r="QJJ70" s="684"/>
      <c r="QJK70" s="684"/>
      <c r="QJL70" s="684"/>
      <c r="QJM70" s="684"/>
      <c r="QJN70" s="684"/>
      <c r="QJO70" s="684"/>
      <c r="QJP70" s="684"/>
      <c r="QJQ70" s="684"/>
      <c r="QJR70" s="684"/>
      <c r="QJS70" s="684"/>
      <c r="QJT70" s="684"/>
      <c r="QJU70" s="684"/>
      <c r="QJV70" s="684"/>
      <c r="QJW70" s="684"/>
      <c r="QJX70" s="684"/>
      <c r="QJY70" s="684"/>
      <c r="QJZ70" s="684"/>
      <c r="QKA70" s="684"/>
      <c r="QKB70" s="684"/>
      <c r="QKC70" s="684"/>
      <c r="QKD70" s="684"/>
      <c r="QKE70" s="684"/>
      <c r="QKF70" s="684"/>
      <c r="QKG70" s="684"/>
      <c r="QKH70" s="684"/>
      <c r="QKI70" s="684"/>
      <c r="QKJ70" s="684"/>
      <c r="QKK70" s="684"/>
      <c r="QKL70" s="684"/>
      <c r="QKM70" s="684"/>
      <c r="QKN70" s="684"/>
      <c r="QKO70" s="684"/>
      <c r="QKP70" s="684"/>
      <c r="QKQ70" s="684"/>
      <c r="QKR70" s="684"/>
      <c r="QKS70" s="684"/>
      <c r="QKT70" s="684"/>
      <c r="QKU70" s="684"/>
      <c r="QKV70" s="684"/>
      <c r="QKW70" s="684"/>
      <c r="QKX70" s="684"/>
      <c r="QKY70" s="684"/>
      <c r="QKZ70" s="684"/>
      <c r="QLA70" s="684"/>
      <c r="QLB70" s="684"/>
      <c r="QLC70" s="684"/>
      <c r="QLD70" s="684"/>
      <c r="QLE70" s="684"/>
      <c r="QLF70" s="684"/>
      <c r="QLG70" s="684"/>
      <c r="QLH70" s="684"/>
      <c r="QLI70" s="684"/>
      <c r="QLJ70" s="684"/>
      <c r="QLK70" s="684"/>
      <c r="QLL70" s="684"/>
      <c r="QLM70" s="684"/>
      <c r="QLN70" s="684"/>
      <c r="QLO70" s="684"/>
      <c r="QLP70" s="684"/>
      <c r="QLQ70" s="684"/>
      <c r="QLR70" s="684"/>
      <c r="QLS70" s="684"/>
      <c r="QLT70" s="684"/>
      <c r="QLU70" s="684"/>
      <c r="QLV70" s="684"/>
      <c r="QLW70" s="684"/>
      <c r="QLX70" s="684"/>
      <c r="QLY70" s="684"/>
      <c r="QLZ70" s="684"/>
      <c r="QMA70" s="684"/>
      <c r="QMB70" s="684"/>
      <c r="QMC70" s="684"/>
      <c r="QMD70" s="684"/>
      <c r="QME70" s="684"/>
      <c r="QMF70" s="684"/>
      <c r="QMG70" s="684"/>
      <c r="QMH70" s="684"/>
      <c r="QMI70" s="684"/>
      <c r="QMJ70" s="684"/>
      <c r="QMK70" s="684"/>
      <c r="QML70" s="684"/>
      <c r="QMM70" s="684"/>
      <c r="QMN70" s="684"/>
      <c r="QMO70" s="684"/>
      <c r="QMP70" s="684"/>
      <c r="QMQ70" s="684"/>
      <c r="QMR70" s="684"/>
      <c r="QMS70" s="684"/>
      <c r="QMT70" s="684"/>
      <c r="QMU70" s="684"/>
      <c r="QMV70" s="684"/>
      <c r="QMW70" s="684"/>
      <c r="QMX70" s="684"/>
      <c r="QMY70" s="684"/>
      <c r="QMZ70" s="684"/>
      <c r="QNA70" s="684"/>
      <c r="QNB70" s="684"/>
      <c r="QNC70" s="684"/>
      <c r="QND70" s="684"/>
      <c r="QNE70" s="684"/>
      <c r="QNF70" s="684"/>
      <c r="QNG70" s="684"/>
      <c r="QNH70" s="684"/>
      <c r="QNI70" s="684"/>
      <c r="QNJ70" s="684"/>
      <c r="QNK70" s="684"/>
      <c r="QNL70" s="684"/>
      <c r="QNM70" s="684"/>
      <c r="QNN70" s="684"/>
      <c r="QNO70" s="684"/>
      <c r="QNP70" s="684"/>
      <c r="QNQ70" s="684"/>
      <c r="QNR70" s="684"/>
      <c r="QNS70" s="684"/>
      <c r="QNT70" s="684"/>
      <c r="QNU70" s="684"/>
      <c r="QNV70" s="684"/>
      <c r="QNW70" s="684"/>
      <c r="QNX70" s="684"/>
      <c r="QNY70" s="684"/>
      <c r="QNZ70" s="684"/>
      <c r="QOA70" s="684"/>
      <c r="QOB70" s="684"/>
      <c r="QOC70" s="684"/>
      <c r="QOD70" s="684"/>
      <c r="QOE70" s="684"/>
      <c r="QOF70" s="684"/>
      <c r="QOG70" s="684"/>
      <c r="QOH70" s="684"/>
      <c r="QOI70" s="684"/>
      <c r="QOJ70" s="684"/>
      <c r="QOK70" s="684"/>
      <c r="QOL70" s="684"/>
      <c r="QOM70" s="684"/>
      <c r="QON70" s="684"/>
      <c r="QOO70" s="684"/>
      <c r="QOP70" s="684"/>
      <c r="QOQ70" s="684"/>
      <c r="QOR70" s="684"/>
      <c r="QOS70" s="684"/>
      <c r="QOT70" s="684"/>
      <c r="QOU70" s="684"/>
      <c r="QOV70" s="684"/>
      <c r="QOW70" s="684"/>
      <c r="QOX70" s="684"/>
      <c r="QOY70" s="684"/>
      <c r="QOZ70" s="684"/>
      <c r="QPA70" s="684"/>
      <c r="QPB70" s="684"/>
      <c r="QPC70" s="684"/>
      <c r="QPD70" s="684"/>
      <c r="QPE70" s="684"/>
      <c r="QPF70" s="684"/>
      <c r="QPG70" s="684"/>
      <c r="QPH70" s="684"/>
      <c r="QPI70" s="684"/>
      <c r="QPJ70" s="684"/>
      <c r="QPK70" s="684"/>
      <c r="QPL70" s="684"/>
      <c r="QPM70" s="684"/>
      <c r="QPN70" s="684"/>
      <c r="QPO70" s="684"/>
      <c r="QPP70" s="684"/>
      <c r="QPQ70" s="684"/>
      <c r="QPR70" s="684"/>
      <c r="QPS70" s="684"/>
      <c r="QPT70" s="684"/>
      <c r="QPU70" s="684"/>
      <c r="QPV70" s="684"/>
      <c r="QPW70" s="684"/>
      <c r="QPX70" s="684"/>
      <c r="QPY70" s="684"/>
      <c r="QPZ70" s="684"/>
      <c r="QQA70" s="684"/>
      <c r="QQB70" s="684"/>
      <c r="QQC70" s="684"/>
      <c r="QQD70" s="684"/>
      <c r="QQE70" s="684"/>
      <c r="QQF70" s="684"/>
      <c r="QQG70" s="684"/>
      <c r="QQH70" s="684"/>
      <c r="QQI70" s="684"/>
      <c r="QQJ70" s="684"/>
      <c r="QQK70" s="684"/>
      <c r="QQL70" s="684"/>
      <c r="QQM70" s="684"/>
      <c r="QQN70" s="684"/>
      <c r="QQO70" s="684"/>
      <c r="QQP70" s="684"/>
      <c r="QQQ70" s="684"/>
      <c r="QQR70" s="684"/>
      <c r="QQS70" s="684"/>
      <c r="QQT70" s="684"/>
      <c r="QQU70" s="684"/>
      <c r="QQV70" s="684"/>
      <c r="QQW70" s="684"/>
      <c r="QQX70" s="684"/>
      <c r="QQY70" s="684"/>
      <c r="QQZ70" s="684"/>
      <c r="QRA70" s="684"/>
      <c r="QRB70" s="684"/>
      <c r="QRC70" s="684"/>
      <c r="QRD70" s="684"/>
      <c r="QRE70" s="684"/>
      <c r="QRF70" s="684"/>
      <c r="QRG70" s="684"/>
      <c r="QRH70" s="684"/>
      <c r="QRI70" s="684"/>
      <c r="QRJ70" s="684"/>
      <c r="QRK70" s="684"/>
      <c r="QRL70" s="684"/>
      <c r="QRM70" s="684"/>
      <c r="QRN70" s="684"/>
      <c r="QRO70" s="684"/>
      <c r="QRP70" s="684"/>
      <c r="QRQ70" s="684"/>
      <c r="QRR70" s="684"/>
      <c r="QRS70" s="684"/>
      <c r="QRT70" s="684"/>
      <c r="QRU70" s="684"/>
      <c r="QRV70" s="684"/>
      <c r="QRW70" s="684"/>
      <c r="QRX70" s="684"/>
      <c r="QRY70" s="684"/>
      <c r="QRZ70" s="684"/>
      <c r="QSA70" s="684"/>
      <c r="QSB70" s="684"/>
      <c r="QSC70" s="684"/>
      <c r="QSD70" s="684"/>
      <c r="QSE70" s="684"/>
      <c r="QSF70" s="684"/>
      <c r="QSG70" s="684"/>
      <c r="QSH70" s="684"/>
      <c r="QSI70" s="684"/>
      <c r="QSJ70" s="684"/>
      <c r="QSK70" s="684"/>
      <c r="QSL70" s="684"/>
      <c r="QSM70" s="684"/>
      <c r="QSN70" s="684"/>
      <c r="QSO70" s="684"/>
      <c r="QSP70" s="684"/>
      <c r="QSQ70" s="684"/>
      <c r="QSR70" s="684"/>
      <c r="QSS70" s="684"/>
      <c r="QST70" s="684"/>
      <c r="QSU70" s="684"/>
      <c r="QSV70" s="684"/>
      <c r="QSW70" s="684"/>
      <c r="QSX70" s="684"/>
      <c r="QSY70" s="684"/>
      <c r="QSZ70" s="684"/>
      <c r="QTA70" s="684"/>
      <c r="QTB70" s="684"/>
      <c r="QTC70" s="684"/>
      <c r="QTD70" s="684"/>
      <c r="QTE70" s="684"/>
      <c r="QTF70" s="684"/>
      <c r="QTG70" s="684"/>
      <c r="QTH70" s="684"/>
      <c r="QTI70" s="684"/>
      <c r="QTJ70" s="684"/>
      <c r="QTK70" s="684"/>
      <c r="QTL70" s="684"/>
      <c r="QTM70" s="684"/>
      <c r="QTN70" s="684"/>
      <c r="QTO70" s="684"/>
      <c r="QTP70" s="684"/>
      <c r="QTQ70" s="684"/>
      <c r="QTR70" s="684"/>
      <c r="QTS70" s="684"/>
      <c r="QTT70" s="684"/>
      <c r="QTU70" s="684"/>
      <c r="QTV70" s="684"/>
      <c r="QTW70" s="684"/>
      <c r="QTX70" s="684"/>
      <c r="QTY70" s="684"/>
      <c r="QTZ70" s="684"/>
      <c r="QUA70" s="684"/>
      <c r="QUB70" s="684"/>
      <c r="QUC70" s="684"/>
      <c r="QUD70" s="684"/>
      <c r="QUE70" s="684"/>
      <c r="QUF70" s="684"/>
      <c r="QUG70" s="684"/>
      <c r="QUH70" s="684"/>
      <c r="QUI70" s="684"/>
      <c r="QUJ70" s="684"/>
      <c r="QUK70" s="684"/>
      <c r="QUL70" s="684"/>
      <c r="QUM70" s="684"/>
      <c r="QUN70" s="684"/>
      <c r="QUO70" s="684"/>
      <c r="QUP70" s="684"/>
      <c r="QUQ70" s="684"/>
      <c r="QUR70" s="684"/>
      <c r="QUS70" s="684"/>
      <c r="QUT70" s="684"/>
      <c r="QUU70" s="684"/>
      <c r="QUV70" s="684"/>
      <c r="QUW70" s="684"/>
      <c r="QUX70" s="684"/>
      <c r="QUY70" s="684"/>
      <c r="QUZ70" s="684"/>
      <c r="QVA70" s="684"/>
      <c r="QVB70" s="684"/>
      <c r="QVC70" s="684"/>
      <c r="QVD70" s="684"/>
      <c r="QVE70" s="684"/>
      <c r="QVF70" s="684"/>
      <c r="QVG70" s="684"/>
      <c r="QVH70" s="684"/>
      <c r="QVI70" s="684"/>
      <c r="QVJ70" s="684"/>
      <c r="QVK70" s="684"/>
      <c r="QVL70" s="684"/>
      <c r="QVM70" s="684"/>
      <c r="QVN70" s="684"/>
      <c r="QVO70" s="684"/>
      <c r="QVP70" s="684"/>
      <c r="QVQ70" s="684"/>
      <c r="QVR70" s="684"/>
      <c r="QVS70" s="684"/>
      <c r="QVT70" s="684"/>
      <c r="QVU70" s="684"/>
      <c r="QVV70" s="684"/>
      <c r="QVW70" s="684"/>
      <c r="QVX70" s="684"/>
      <c r="QVY70" s="684"/>
      <c r="QVZ70" s="684"/>
      <c r="QWA70" s="684"/>
      <c r="QWB70" s="684"/>
      <c r="QWC70" s="684"/>
      <c r="QWD70" s="684"/>
      <c r="QWE70" s="684"/>
      <c r="QWF70" s="684"/>
      <c r="QWG70" s="684"/>
      <c r="QWH70" s="684"/>
      <c r="QWI70" s="684"/>
      <c r="QWJ70" s="684"/>
      <c r="QWK70" s="684"/>
      <c r="QWL70" s="684"/>
      <c r="QWM70" s="684"/>
      <c r="QWN70" s="684"/>
      <c r="QWO70" s="684"/>
      <c r="QWP70" s="684"/>
      <c r="QWQ70" s="684"/>
      <c r="QWR70" s="684"/>
      <c r="QWS70" s="684"/>
      <c r="QWT70" s="684"/>
      <c r="QWU70" s="684"/>
      <c r="QWV70" s="684"/>
      <c r="QWW70" s="684"/>
      <c r="QWX70" s="684"/>
      <c r="QWY70" s="684"/>
      <c r="QWZ70" s="684"/>
      <c r="QXA70" s="684"/>
      <c r="QXB70" s="684"/>
      <c r="QXC70" s="684"/>
      <c r="QXD70" s="684"/>
      <c r="QXE70" s="684"/>
      <c r="QXF70" s="684"/>
      <c r="QXG70" s="684"/>
      <c r="QXH70" s="684"/>
      <c r="QXI70" s="684"/>
      <c r="QXJ70" s="684"/>
      <c r="QXK70" s="684"/>
      <c r="QXL70" s="684"/>
      <c r="QXM70" s="684"/>
      <c r="QXN70" s="684"/>
      <c r="QXO70" s="684"/>
      <c r="QXP70" s="684"/>
      <c r="QXQ70" s="684"/>
      <c r="QXR70" s="684"/>
      <c r="QXS70" s="684"/>
      <c r="QXT70" s="684"/>
      <c r="QXU70" s="684"/>
      <c r="QXV70" s="684"/>
      <c r="QXW70" s="684"/>
      <c r="QXX70" s="684"/>
      <c r="QXY70" s="684"/>
      <c r="QXZ70" s="684"/>
      <c r="QYA70" s="684"/>
      <c r="QYB70" s="684"/>
      <c r="QYC70" s="684"/>
      <c r="QYD70" s="684"/>
      <c r="QYE70" s="684"/>
      <c r="QYF70" s="684"/>
      <c r="QYG70" s="684"/>
      <c r="QYH70" s="684"/>
      <c r="QYI70" s="684"/>
      <c r="QYJ70" s="684"/>
      <c r="QYK70" s="684"/>
      <c r="QYL70" s="684"/>
      <c r="QYM70" s="684"/>
      <c r="QYN70" s="684"/>
      <c r="QYO70" s="684"/>
      <c r="QYP70" s="684"/>
      <c r="QYQ70" s="684"/>
      <c r="QYR70" s="684"/>
      <c r="QYS70" s="684"/>
      <c r="QYT70" s="684"/>
      <c r="QYU70" s="684"/>
      <c r="QYV70" s="684"/>
      <c r="QYW70" s="684"/>
      <c r="QYX70" s="684"/>
      <c r="QYY70" s="684"/>
      <c r="QYZ70" s="684"/>
      <c r="QZA70" s="684"/>
      <c r="QZB70" s="684"/>
      <c r="QZC70" s="684"/>
      <c r="QZD70" s="684"/>
      <c r="QZE70" s="684"/>
      <c r="QZF70" s="684"/>
      <c r="QZG70" s="684"/>
      <c r="QZH70" s="684"/>
      <c r="QZI70" s="684"/>
      <c r="QZJ70" s="684"/>
      <c r="QZK70" s="684"/>
      <c r="QZL70" s="684"/>
      <c r="QZM70" s="684"/>
      <c r="QZN70" s="684"/>
      <c r="QZO70" s="684"/>
      <c r="QZP70" s="684"/>
      <c r="QZQ70" s="684"/>
      <c r="QZR70" s="684"/>
      <c r="QZS70" s="684"/>
      <c r="QZT70" s="684"/>
      <c r="QZU70" s="684"/>
      <c r="QZV70" s="684"/>
      <c r="QZW70" s="684"/>
      <c r="QZX70" s="684"/>
      <c r="QZY70" s="684"/>
      <c r="QZZ70" s="684"/>
      <c r="RAA70" s="684"/>
      <c r="RAB70" s="684"/>
      <c r="RAC70" s="684"/>
      <c r="RAD70" s="684"/>
      <c r="RAE70" s="684"/>
      <c r="RAF70" s="684"/>
      <c r="RAG70" s="684"/>
      <c r="RAH70" s="684"/>
      <c r="RAI70" s="684"/>
      <c r="RAJ70" s="684"/>
      <c r="RAK70" s="684"/>
      <c r="RAL70" s="684"/>
      <c r="RAM70" s="684"/>
      <c r="RAN70" s="684"/>
      <c r="RAO70" s="684"/>
      <c r="RAP70" s="684"/>
      <c r="RAQ70" s="684"/>
      <c r="RAR70" s="684"/>
      <c r="RAS70" s="684"/>
      <c r="RAT70" s="684"/>
      <c r="RAU70" s="684"/>
      <c r="RAV70" s="684"/>
      <c r="RAW70" s="684"/>
      <c r="RAX70" s="684"/>
      <c r="RAY70" s="684"/>
      <c r="RAZ70" s="684"/>
      <c r="RBA70" s="684"/>
      <c r="RBB70" s="684"/>
      <c r="RBC70" s="684"/>
      <c r="RBD70" s="684"/>
      <c r="RBE70" s="684"/>
      <c r="RBF70" s="684"/>
      <c r="RBG70" s="684"/>
      <c r="RBH70" s="684"/>
      <c r="RBI70" s="684"/>
      <c r="RBJ70" s="684"/>
      <c r="RBK70" s="684"/>
      <c r="RBL70" s="684"/>
      <c r="RBM70" s="684"/>
      <c r="RBN70" s="684"/>
      <c r="RBO70" s="684"/>
      <c r="RBP70" s="684"/>
      <c r="RBQ70" s="684"/>
      <c r="RBR70" s="684"/>
      <c r="RBS70" s="684"/>
      <c r="RBT70" s="684"/>
      <c r="RBU70" s="684"/>
      <c r="RBV70" s="684"/>
      <c r="RBW70" s="684"/>
      <c r="RBX70" s="684"/>
      <c r="RBY70" s="684"/>
      <c r="RBZ70" s="684"/>
      <c r="RCA70" s="684"/>
      <c r="RCB70" s="684"/>
      <c r="RCC70" s="684"/>
      <c r="RCD70" s="684"/>
      <c r="RCE70" s="684"/>
      <c r="RCF70" s="684"/>
      <c r="RCG70" s="684"/>
      <c r="RCH70" s="684"/>
      <c r="RCI70" s="684"/>
      <c r="RCJ70" s="684"/>
      <c r="RCK70" s="684"/>
      <c r="RCL70" s="684"/>
      <c r="RCM70" s="684"/>
      <c r="RCN70" s="684"/>
      <c r="RCO70" s="684"/>
      <c r="RCP70" s="684"/>
      <c r="RCQ70" s="684"/>
      <c r="RCR70" s="684"/>
      <c r="RCS70" s="684"/>
      <c r="RCT70" s="684"/>
      <c r="RCU70" s="684"/>
      <c r="RCV70" s="684"/>
      <c r="RCW70" s="684"/>
      <c r="RCX70" s="684"/>
      <c r="RCY70" s="684"/>
      <c r="RCZ70" s="684"/>
      <c r="RDA70" s="684"/>
      <c r="RDB70" s="684"/>
      <c r="RDC70" s="684"/>
      <c r="RDD70" s="684"/>
      <c r="RDE70" s="684"/>
      <c r="RDF70" s="684"/>
      <c r="RDG70" s="684"/>
      <c r="RDH70" s="684"/>
      <c r="RDI70" s="684"/>
      <c r="RDJ70" s="684"/>
      <c r="RDK70" s="684"/>
      <c r="RDL70" s="684"/>
      <c r="RDM70" s="684"/>
      <c r="RDN70" s="684"/>
      <c r="RDO70" s="684"/>
      <c r="RDP70" s="684"/>
      <c r="RDQ70" s="684"/>
      <c r="RDR70" s="684"/>
      <c r="RDS70" s="684"/>
      <c r="RDT70" s="684"/>
      <c r="RDU70" s="684"/>
      <c r="RDV70" s="684"/>
      <c r="RDW70" s="684"/>
      <c r="RDX70" s="684"/>
      <c r="RDY70" s="684"/>
      <c r="RDZ70" s="684"/>
      <c r="REA70" s="684"/>
      <c r="REB70" s="684"/>
      <c r="REC70" s="684"/>
      <c r="RED70" s="684"/>
      <c r="REE70" s="684"/>
      <c r="REF70" s="684"/>
      <c r="REG70" s="684"/>
      <c r="REH70" s="684"/>
      <c r="REI70" s="684"/>
      <c r="REJ70" s="684"/>
      <c r="REK70" s="684"/>
      <c r="REL70" s="684"/>
      <c r="REM70" s="684"/>
      <c r="REN70" s="684"/>
      <c r="REO70" s="684"/>
      <c r="REP70" s="684"/>
      <c r="REQ70" s="684"/>
      <c r="RER70" s="684"/>
      <c r="RES70" s="684"/>
      <c r="RET70" s="684"/>
      <c r="REU70" s="684"/>
      <c r="REV70" s="684"/>
      <c r="REW70" s="684"/>
      <c r="REX70" s="684"/>
      <c r="REY70" s="684"/>
      <c r="REZ70" s="684"/>
      <c r="RFA70" s="684"/>
      <c r="RFB70" s="684"/>
      <c r="RFC70" s="684"/>
      <c r="RFD70" s="684"/>
      <c r="RFE70" s="684"/>
      <c r="RFF70" s="684"/>
      <c r="RFG70" s="684"/>
      <c r="RFH70" s="684"/>
      <c r="RFI70" s="684"/>
      <c r="RFJ70" s="684"/>
      <c r="RFK70" s="684"/>
      <c r="RFL70" s="684"/>
      <c r="RFM70" s="684"/>
      <c r="RFN70" s="684"/>
      <c r="RFO70" s="684"/>
      <c r="RFP70" s="684"/>
      <c r="RFQ70" s="684"/>
      <c r="RFR70" s="684"/>
      <c r="RFS70" s="684"/>
      <c r="RFT70" s="684"/>
      <c r="RFU70" s="684"/>
      <c r="RFV70" s="684"/>
      <c r="RFW70" s="684"/>
      <c r="RFX70" s="684"/>
      <c r="RFY70" s="684"/>
      <c r="RFZ70" s="684"/>
      <c r="RGA70" s="684"/>
      <c r="RGB70" s="684"/>
      <c r="RGC70" s="684"/>
      <c r="RGD70" s="684"/>
      <c r="RGE70" s="684"/>
      <c r="RGF70" s="684"/>
      <c r="RGG70" s="684"/>
      <c r="RGH70" s="684"/>
      <c r="RGI70" s="684"/>
      <c r="RGJ70" s="684"/>
      <c r="RGK70" s="684"/>
      <c r="RGL70" s="684"/>
      <c r="RGM70" s="684"/>
      <c r="RGN70" s="684"/>
      <c r="RGO70" s="684"/>
      <c r="RGP70" s="684"/>
      <c r="RGQ70" s="684"/>
      <c r="RGR70" s="684"/>
      <c r="RGS70" s="684"/>
      <c r="RGT70" s="684"/>
      <c r="RGU70" s="684"/>
      <c r="RGV70" s="684"/>
      <c r="RGW70" s="684"/>
      <c r="RGX70" s="684"/>
      <c r="RGY70" s="684"/>
      <c r="RGZ70" s="684"/>
      <c r="RHA70" s="684"/>
      <c r="RHB70" s="684"/>
      <c r="RHC70" s="684"/>
      <c r="RHD70" s="684"/>
      <c r="RHE70" s="684"/>
      <c r="RHF70" s="684"/>
      <c r="RHG70" s="684"/>
      <c r="RHH70" s="684"/>
      <c r="RHI70" s="684"/>
      <c r="RHJ70" s="684"/>
      <c r="RHK70" s="684"/>
      <c r="RHL70" s="684"/>
      <c r="RHM70" s="684"/>
      <c r="RHN70" s="684"/>
      <c r="RHO70" s="684"/>
      <c r="RHP70" s="684"/>
      <c r="RHQ70" s="684"/>
      <c r="RHR70" s="684"/>
      <c r="RHS70" s="684"/>
      <c r="RHT70" s="684"/>
      <c r="RHU70" s="684"/>
      <c r="RHV70" s="684"/>
      <c r="RHW70" s="684"/>
      <c r="RHX70" s="684"/>
      <c r="RHY70" s="684"/>
      <c r="RHZ70" s="684"/>
      <c r="RIA70" s="684"/>
      <c r="RIB70" s="684"/>
      <c r="RIC70" s="684"/>
      <c r="RID70" s="684"/>
      <c r="RIE70" s="684"/>
      <c r="RIF70" s="684"/>
      <c r="RIG70" s="684"/>
      <c r="RIH70" s="684"/>
      <c r="RII70" s="684"/>
      <c r="RIJ70" s="684"/>
      <c r="RIK70" s="684"/>
      <c r="RIL70" s="684"/>
      <c r="RIM70" s="684"/>
      <c r="RIN70" s="684"/>
      <c r="RIO70" s="684"/>
      <c r="RIP70" s="684"/>
      <c r="RIQ70" s="684"/>
      <c r="RIR70" s="684"/>
      <c r="RIS70" s="684"/>
      <c r="RIT70" s="684"/>
      <c r="RIU70" s="684"/>
      <c r="RIV70" s="684"/>
      <c r="RIW70" s="684"/>
      <c r="RIX70" s="684"/>
      <c r="RIY70" s="684"/>
      <c r="RIZ70" s="684"/>
      <c r="RJA70" s="684"/>
      <c r="RJB70" s="684"/>
      <c r="RJC70" s="684"/>
      <c r="RJD70" s="684"/>
      <c r="RJE70" s="684"/>
      <c r="RJF70" s="684"/>
      <c r="RJG70" s="684"/>
      <c r="RJH70" s="684"/>
      <c r="RJI70" s="684"/>
      <c r="RJJ70" s="684"/>
      <c r="RJK70" s="684"/>
      <c r="RJL70" s="684"/>
      <c r="RJM70" s="684"/>
      <c r="RJN70" s="684"/>
      <c r="RJO70" s="684"/>
      <c r="RJP70" s="684"/>
      <c r="RJQ70" s="684"/>
      <c r="RJR70" s="684"/>
      <c r="RJS70" s="684"/>
      <c r="RJT70" s="684"/>
      <c r="RJU70" s="684"/>
      <c r="RJV70" s="684"/>
      <c r="RJW70" s="684"/>
      <c r="RJX70" s="684"/>
      <c r="RJY70" s="684"/>
      <c r="RJZ70" s="684"/>
      <c r="RKA70" s="684"/>
      <c r="RKB70" s="684"/>
      <c r="RKC70" s="684"/>
      <c r="RKD70" s="684"/>
      <c r="RKE70" s="684"/>
      <c r="RKF70" s="684"/>
      <c r="RKG70" s="684"/>
      <c r="RKH70" s="684"/>
      <c r="RKI70" s="684"/>
      <c r="RKJ70" s="684"/>
      <c r="RKK70" s="684"/>
      <c r="RKL70" s="684"/>
      <c r="RKM70" s="684"/>
      <c r="RKN70" s="684"/>
      <c r="RKO70" s="684"/>
      <c r="RKP70" s="684"/>
      <c r="RKQ70" s="684"/>
      <c r="RKR70" s="684"/>
      <c r="RKS70" s="684"/>
      <c r="RKT70" s="684"/>
      <c r="RKU70" s="684"/>
      <c r="RKV70" s="684"/>
      <c r="RKW70" s="684"/>
      <c r="RKX70" s="684"/>
      <c r="RKY70" s="684"/>
      <c r="RKZ70" s="684"/>
      <c r="RLA70" s="684"/>
      <c r="RLB70" s="684"/>
      <c r="RLC70" s="684"/>
      <c r="RLD70" s="684"/>
      <c r="RLE70" s="684"/>
      <c r="RLF70" s="684"/>
      <c r="RLG70" s="684"/>
      <c r="RLH70" s="684"/>
      <c r="RLI70" s="684"/>
      <c r="RLJ70" s="684"/>
      <c r="RLK70" s="684"/>
      <c r="RLL70" s="684"/>
      <c r="RLM70" s="684"/>
      <c r="RLN70" s="684"/>
      <c r="RLO70" s="684"/>
      <c r="RLP70" s="684"/>
      <c r="RLQ70" s="684"/>
      <c r="RLR70" s="684"/>
      <c r="RLS70" s="684"/>
      <c r="RLT70" s="684"/>
      <c r="RLU70" s="684"/>
      <c r="RLV70" s="684"/>
      <c r="RLW70" s="684"/>
      <c r="RLX70" s="684"/>
      <c r="RLY70" s="684"/>
      <c r="RLZ70" s="684"/>
      <c r="RMA70" s="684"/>
      <c r="RMB70" s="684"/>
      <c r="RMC70" s="684"/>
      <c r="RMD70" s="684"/>
      <c r="RME70" s="684"/>
      <c r="RMF70" s="684"/>
      <c r="RMG70" s="684"/>
      <c r="RMH70" s="684"/>
      <c r="RMI70" s="684"/>
      <c r="RMJ70" s="684"/>
      <c r="RMK70" s="684"/>
      <c r="RML70" s="684"/>
      <c r="RMM70" s="684"/>
      <c r="RMN70" s="684"/>
      <c r="RMO70" s="684"/>
      <c r="RMP70" s="684"/>
      <c r="RMQ70" s="684"/>
      <c r="RMR70" s="684"/>
      <c r="RMS70" s="684"/>
      <c r="RMT70" s="684"/>
      <c r="RMU70" s="684"/>
      <c r="RMV70" s="684"/>
      <c r="RMW70" s="684"/>
      <c r="RMX70" s="684"/>
      <c r="RMY70" s="684"/>
      <c r="RMZ70" s="684"/>
      <c r="RNA70" s="684"/>
      <c r="RNB70" s="684"/>
      <c r="RNC70" s="684"/>
      <c r="RND70" s="684"/>
      <c r="RNE70" s="684"/>
      <c r="RNF70" s="684"/>
      <c r="RNG70" s="684"/>
      <c r="RNH70" s="684"/>
      <c r="RNI70" s="684"/>
      <c r="RNJ70" s="684"/>
      <c r="RNK70" s="684"/>
      <c r="RNL70" s="684"/>
      <c r="RNM70" s="684"/>
      <c r="RNN70" s="684"/>
      <c r="RNO70" s="684"/>
      <c r="RNP70" s="684"/>
      <c r="RNQ70" s="684"/>
      <c r="RNR70" s="684"/>
      <c r="RNS70" s="684"/>
      <c r="RNT70" s="684"/>
      <c r="RNU70" s="684"/>
      <c r="RNV70" s="684"/>
      <c r="RNW70" s="684"/>
      <c r="RNX70" s="684"/>
      <c r="RNY70" s="684"/>
      <c r="RNZ70" s="684"/>
      <c r="ROA70" s="684"/>
      <c r="ROB70" s="684"/>
      <c r="ROC70" s="684"/>
      <c r="ROD70" s="684"/>
      <c r="ROE70" s="684"/>
      <c r="ROF70" s="684"/>
      <c r="ROG70" s="684"/>
      <c r="ROH70" s="684"/>
      <c r="ROI70" s="684"/>
      <c r="ROJ70" s="684"/>
      <c r="ROK70" s="684"/>
      <c r="ROL70" s="684"/>
      <c r="ROM70" s="684"/>
      <c r="RON70" s="684"/>
      <c r="ROO70" s="684"/>
      <c r="ROP70" s="684"/>
      <c r="ROQ70" s="684"/>
      <c r="ROR70" s="684"/>
      <c r="ROS70" s="684"/>
      <c r="ROT70" s="684"/>
      <c r="ROU70" s="684"/>
      <c r="ROV70" s="684"/>
      <c r="ROW70" s="684"/>
      <c r="ROX70" s="684"/>
      <c r="ROY70" s="684"/>
      <c r="ROZ70" s="684"/>
      <c r="RPA70" s="684"/>
      <c r="RPB70" s="684"/>
      <c r="RPC70" s="684"/>
      <c r="RPD70" s="684"/>
      <c r="RPE70" s="684"/>
      <c r="RPF70" s="684"/>
      <c r="RPG70" s="684"/>
      <c r="RPH70" s="684"/>
      <c r="RPI70" s="684"/>
      <c r="RPJ70" s="684"/>
      <c r="RPK70" s="684"/>
      <c r="RPL70" s="684"/>
      <c r="RPM70" s="684"/>
      <c r="RPN70" s="684"/>
      <c r="RPO70" s="684"/>
      <c r="RPP70" s="684"/>
      <c r="RPQ70" s="684"/>
      <c r="RPR70" s="684"/>
      <c r="RPS70" s="684"/>
      <c r="RPT70" s="684"/>
      <c r="RPU70" s="684"/>
      <c r="RPV70" s="684"/>
      <c r="RPW70" s="684"/>
      <c r="RPX70" s="684"/>
      <c r="RPY70" s="684"/>
      <c r="RPZ70" s="684"/>
      <c r="RQA70" s="684"/>
      <c r="RQB70" s="684"/>
      <c r="RQC70" s="684"/>
      <c r="RQD70" s="684"/>
      <c r="RQE70" s="684"/>
      <c r="RQF70" s="684"/>
      <c r="RQG70" s="684"/>
      <c r="RQH70" s="684"/>
      <c r="RQI70" s="684"/>
      <c r="RQJ70" s="684"/>
      <c r="RQK70" s="684"/>
      <c r="RQL70" s="684"/>
      <c r="RQM70" s="684"/>
      <c r="RQN70" s="684"/>
      <c r="RQO70" s="684"/>
      <c r="RQP70" s="684"/>
      <c r="RQQ70" s="684"/>
      <c r="RQR70" s="684"/>
      <c r="RQS70" s="684"/>
      <c r="RQT70" s="684"/>
      <c r="RQU70" s="684"/>
      <c r="RQV70" s="684"/>
      <c r="RQW70" s="684"/>
      <c r="RQX70" s="684"/>
      <c r="RQY70" s="684"/>
      <c r="RQZ70" s="684"/>
      <c r="RRA70" s="684"/>
      <c r="RRB70" s="684"/>
      <c r="RRC70" s="684"/>
      <c r="RRD70" s="684"/>
      <c r="RRE70" s="684"/>
      <c r="RRF70" s="684"/>
      <c r="RRG70" s="684"/>
      <c r="RRH70" s="684"/>
      <c r="RRI70" s="684"/>
      <c r="RRJ70" s="684"/>
      <c r="RRK70" s="684"/>
      <c r="RRL70" s="684"/>
      <c r="RRM70" s="684"/>
      <c r="RRN70" s="684"/>
      <c r="RRO70" s="684"/>
      <c r="RRP70" s="684"/>
      <c r="RRQ70" s="684"/>
      <c r="RRR70" s="684"/>
      <c r="RRS70" s="684"/>
      <c r="RRT70" s="684"/>
      <c r="RRU70" s="684"/>
      <c r="RRV70" s="684"/>
      <c r="RRW70" s="684"/>
      <c r="RRX70" s="684"/>
      <c r="RRY70" s="684"/>
      <c r="RRZ70" s="684"/>
      <c r="RSA70" s="684"/>
      <c r="RSB70" s="684"/>
      <c r="RSC70" s="684"/>
      <c r="RSD70" s="684"/>
      <c r="RSE70" s="684"/>
      <c r="RSF70" s="684"/>
      <c r="RSG70" s="684"/>
      <c r="RSH70" s="684"/>
      <c r="RSI70" s="684"/>
      <c r="RSJ70" s="684"/>
      <c r="RSK70" s="684"/>
      <c r="RSL70" s="684"/>
      <c r="RSM70" s="684"/>
      <c r="RSN70" s="684"/>
      <c r="RSO70" s="684"/>
      <c r="RSP70" s="684"/>
      <c r="RSQ70" s="684"/>
      <c r="RSR70" s="684"/>
      <c r="RSS70" s="684"/>
      <c r="RST70" s="684"/>
      <c r="RSU70" s="684"/>
      <c r="RSV70" s="684"/>
      <c r="RSW70" s="684"/>
      <c r="RSX70" s="684"/>
      <c r="RSY70" s="684"/>
      <c r="RSZ70" s="684"/>
      <c r="RTA70" s="684"/>
      <c r="RTB70" s="684"/>
      <c r="RTC70" s="684"/>
      <c r="RTD70" s="684"/>
      <c r="RTE70" s="684"/>
      <c r="RTF70" s="684"/>
      <c r="RTG70" s="684"/>
      <c r="RTH70" s="684"/>
      <c r="RTI70" s="684"/>
      <c r="RTJ70" s="684"/>
      <c r="RTK70" s="684"/>
      <c r="RTL70" s="684"/>
      <c r="RTM70" s="684"/>
      <c r="RTN70" s="684"/>
      <c r="RTO70" s="684"/>
      <c r="RTP70" s="684"/>
      <c r="RTQ70" s="684"/>
      <c r="RTR70" s="684"/>
      <c r="RTS70" s="684"/>
      <c r="RTT70" s="684"/>
      <c r="RTU70" s="684"/>
      <c r="RTV70" s="684"/>
      <c r="RTW70" s="684"/>
      <c r="RTX70" s="684"/>
      <c r="RTY70" s="684"/>
      <c r="RTZ70" s="684"/>
      <c r="RUA70" s="684"/>
      <c r="RUB70" s="684"/>
      <c r="RUC70" s="684"/>
      <c r="RUD70" s="684"/>
      <c r="RUE70" s="684"/>
      <c r="RUF70" s="684"/>
      <c r="RUG70" s="684"/>
      <c r="RUH70" s="684"/>
      <c r="RUI70" s="684"/>
      <c r="RUJ70" s="684"/>
      <c r="RUK70" s="684"/>
      <c r="RUL70" s="684"/>
      <c r="RUM70" s="684"/>
      <c r="RUN70" s="684"/>
      <c r="RUO70" s="684"/>
      <c r="RUP70" s="684"/>
      <c r="RUQ70" s="684"/>
      <c r="RUR70" s="684"/>
      <c r="RUS70" s="684"/>
      <c r="RUT70" s="684"/>
      <c r="RUU70" s="684"/>
      <c r="RUV70" s="684"/>
      <c r="RUW70" s="684"/>
      <c r="RUX70" s="684"/>
      <c r="RUY70" s="684"/>
      <c r="RUZ70" s="684"/>
      <c r="RVA70" s="684"/>
      <c r="RVB70" s="684"/>
      <c r="RVC70" s="684"/>
      <c r="RVD70" s="684"/>
      <c r="RVE70" s="684"/>
      <c r="RVF70" s="684"/>
      <c r="RVG70" s="684"/>
      <c r="RVH70" s="684"/>
      <c r="RVI70" s="684"/>
      <c r="RVJ70" s="684"/>
      <c r="RVK70" s="684"/>
      <c r="RVL70" s="684"/>
      <c r="RVM70" s="684"/>
      <c r="RVN70" s="684"/>
      <c r="RVO70" s="684"/>
      <c r="RVP70" s="684"/>
      <c r="RVQ70" s="684"/>
      <c r="RVR70" s="684"/>
      <c r="RVS70" s="684"/>
      <c r="RVT70" s="684"/>
      <c r="RVU70" s="684"/>
      <c r="RVV70" s="684"/>
      <c r="RVW70" s="684"/>
      <c r="RVX70" s="684"/>
      <c r="RVY70" s="684"/>
      <c r="RVZ70" s="684"/>
      <c r="RWA70" s="684"/>
      <c r="RWB70" s="684"/>
      <c r="RWC70" s="684"/>
      <c r="RWD70" s="684"/>
      <c r="RWE70" s="684"/>
      <c r="RWF70" s="684"/>
      <c r="RWG70" s="684"/>
      <c r="RWH70" s="684"/>
      <c r="RWI70" s="684"/>
      <c r="RWJ70" s="684"/>
      <c r="RWK70" s="684"/>
      <c r="RWL70" s="684"/>
      <c r="RWM70" s="684"/>
      <c r="RWN70" s="684"/>
      <c r="RWO70" s="684"/>
      <c r="RWP70" s="684"/>
      <c r="RWQ70" s="684"/>
      <c r="RWR70" s="684"/>
      <c r="RWS70" s="684"/>
      <c r="RWT70" s="684"/>
      <c r="RWU70" s="684"/>
      <c r="RWV70" s="684"/>
      <c r="RWW70" s="684"/>
      <c r="RWX70" s="684"/>
      <c r="RWY70" s="684"/>
      <c r="RWZ70" s="684"/>
      <c r="RXA70" s="684"/>
      <c r="RXB70" s="684"/>
      <c r="RXC70" s="684"/>
      <c r="RXD70" s="684"/>
      <c r="RXE70" s="684"/>
      <c r="RXF70" s="684"/>
      <c r="RXG70" s="684"/>
      <c r="RXH70" s="684"/>
      <c r="RXI70" s="684"/>
      <c r="RXJ70" s="684"/>
      <c r="RXK70" s="684"/>
      <c r="RXL70" s="684"/>
      <c r="RXM70" s="684"/>
      <c r="RXN70" s="684"/>
      <c r="RXO70" s="684"/>
      <c r="RXP70" s="684"/>
      <c r="RXQ70" s="684"/>
      <c r="RXR70" s="684"/>
      <c r="RXS70" s="684"/>
      <c r="RXT70" s="684"/>
      <c r="RXU70" s="684"/>
      <c r="RXV70" s="684"/>
      <c r="RXW70" s="684"/>
      <c r="RXX70" s="684"/>
      <c r="RXY70" s="684"/>
      <c r="RXZ70" s="684"/>
      <c r="RYA70" s="684"/>
      <c r="RYB70" s="684"/>
      <c r="RYC70" s="684"/>
      <c r="RYD70" s="684"/>
      <c r="RYE70" s="684"/>
      <c r="RYF70" s="684"/>
      <c r="RYG70" s="684"/>
      <c r="RYH70" s="684"/>
      <c r="RYI70" s="684"/>
      <c r="RYJ70" s="684"/>
      <c r="RYK70" s="684"/>
      <c r="RYL70" s="684"/>
      <c r="RYM70" s="684"/>
      <c r="RYN70" s="684"/>
      <c r="RYO70" s="684"/>
      <c r="RYP70" s="684"/>
      <c r="RYQ70" s="684"/>
      <c r="RYR70" s="684"/>
      <c r="RYS70" s="684"/>
      <c r="RYT70" s="684"/>
      <c r="RYU70" s="684"/>
      <c r="RYV70" s="684"/>
      <c r="RYW70" s="684"/>
      <c r="RYX70" s="684"/>
      <c r="RYY70" s="684"/>
      <c r="RYZ70" s="684"/>
      <c r="RZA70" s="684"/>
      <c r="RZB70" s="684"/>
      <c r="RZC70" s="684"/>
      <c r="RZD70" s="684"/>
      <c r="RZE70" s="684"/>
      <c r="RZF70" s="684"/>
      <c r="RZG70" s="684"/>
      <c r="RZH70" s="684"/>
      <c r="RZI70" s="684"/>
      <c r="RZJ70" s="684"/>
      <c r="RZK70" s="684"/>
      <c r="RZL70" s="684"/>
      <c r="RZM70" s="684"/>
      <c r="RZN70" s="684"/>
      <c r="RZO70" s="684"/>
      <c r="RZP70" s="684"/>
      <c r="RZQ70" s="684"/>
      <c r="RZR70" s="684"/>
      <c r="RZS70" s="684"/>
      <c r="RZT70" s="684"/>
      <c r="RZU70" s="684"/>
      <c r="RZV70" s="684"/>
      <c r="RZW70" s="684"/>
      <c r="RZX70" s="684"/>
      <c r="RZY70" s="684"/>
      <c r="RZZ70" s="684"/>
      <c r="SAA70" s="684"/>
      <c r="SAB70" s="684"/>
      <c r="SAC70" s="684"/>
      <c r="SAD70" s="684"/>
      <c r="SAE70" s="684"/>
      <c r="SAF70" s="684"/>
      <c r="SAG70" s="684"/>
      <c r="SAH70" s="684"/>
      <c r="SAI70" s="684"/>
      <c r="SAJ70" s="684"/>
      <c r="SAK70" s="684"/>
      <c r="SAL70" s="684"/>
      <c r="SAM70" s="684"/>
      <c r="SAN70" s="684"/>
      <c r="SAO70" s="684"/>
      <c r="SAP70" s="684"/>
      <c r="SAQ70" s="684"/>
      <c r="SAR70" s="684"/>
      <c r="SAS70" s="684"/>
      <c r="SAT70" s="684"/>
      <c r="SAU70" s="684"/>
      <c r="SAV70" s="684"/>
      <c r="SAW70" s="684"/>
      <c r="SAX70" s="684"/>
      <c r="SAY70" s="684"/>
      <c r="SAZ70" s="684"/>
      <c r="SBA70" s="684"/>
      <c r="SBB70" s="684"/>
      <c r="SBC70" s="684"/>
      <c r="SBD70" s="684"/>
      <c r="SBE70" s="684"/>
      <c r="SBF70" s="684"/>
      <c r="SBG70" s="684"/>
      <c r="SBH70" s="684"/>
      <c r="SBI70" s="684"/>
      <c r="SBJ70" s="684"/>
      <c r="SBK70" s="684"/>
      <c r="SBL70" s="684"/>
      <c r="SBM70" s="684"/>
      <c r="SBN70" s="684"/>
      <c r="SBO70" s="684"/>
      <c r="SBP70" s="684"/>
      <c r="SBQ70" s="684"/>
      <c r="SBR70" s="684"/>
      <c r="SBS70" s="684"/>
      <c r="SBT70" s="684"/>
      <c r="SBU70" s="684"/>
      <c r="SBV70" s="684"/>
      <c r="SBW70" s="684"/>
      <c r="SBX70" s="684"/>
      <c r="SBY70" s="684"/>
      <c r="SBZ70" s="684"/>
      <c r="SCA70" s="684"/>
      <c r="SCB70" s="684"/>
      <c r="SCC70" s="684"/>
      <c r="SCD70" s="684"/>
      <c r="SCE70" s="684"/>
      <c r="SCF70" s="684"/>
      <c r="SCG70" s="684"/>
      <c r="SCH70" s="684"/>
      <c r="SCI70" s="684"/>
      <c r="SCJ70" s="684"/>
      <c r="SCK70" s="684"/>
      <c r="SCL70" s="684"/>
      <c r="SCM70" s="684"/>
      <c r="SCN70" s="684"/>
      <c r="SCO70" s="684"/>
      <c r="SCP70" s="684"/>
      <c r="SCQ70" s="684"/>
      <c r="SCR70" s="684"/>
      <c r="SCS70" s="684"/>
      <c r="SCT70" s="684"/>
      <c r="SCU70" s="684"/>
      <c r="SCV70" s="684"/>
      <c r="SCW70" s="684"/>
      <c r="SCX70" s="684"/>
      <c r="SCY70" s="684"/>
      <c r="SCZ70" s="684"/>
      <c r="SDA70" s="684"/>
      <c r="SDB70" s="684"/>
      <c r="SDC70" s="684"/>
      <c r="SDD70" s="684"/>
      <c r="SDE70" s="684"/>
      <c r="SDF70" s="684"/>
      <c r="SDG70" s="684"/>
      <c r="SDH70" s="684"/>
      <c r="SDI70" s="684"/>
      <c r="SDJ70" s="684"/>
      <c r="SDK70" s="684"/>
      <c r="SDL70" s="684"/>
      <c r="SDM70" s="684"/>
      <c r="SDN70" s="684"/>
      <c r="SDO70" s="684"/>
      <c r="SDP70" s="684"/>
      <c r="SDQ70" s="684"/>
      <c r="SDR70" s="684"/>
      <c r="SDS70" s="684"/>
      <c r="SDT70" s="684"/>
      <c r="SDU70" s="684"/>
      <c r="SDV70" s="684"/>
      <c r="SDW70" s="684"/>
      <c r="SDX70" s="684"/>
      <c r="SDY70" s="684"/>
      <c r="SDZ70" s="684"/>
      <c r="SEA70" s="684"/>
      <c r="SEB70" s="684"/>
      <c r="SEC70" s="684"/>
      <c r="SED70" s="684"/>
      <c r="SEE70" s="684"/>
      <c r="SEF70" s="684"/>
      <c r="SEG70" s="684"/>
      <c r="SEH70" s="684"/>
      <c r="SEI70" s="684"/>
      <c r="SEJ70" s="684"/>
      <c r="SEK70" s="684"/>
      <c r="SEL70" s="684"/>
      <c r="SEM70" s="684"/>
      <c r="SEN70" s="684"/>
      <c r="SEO70" s="684"/>
      <c r="SEP70" s="684"/>
      <c r="SEQ70" s="684"/>
      <c r="SER70" s="684"/>
      <c r="SES70" s="684"/>
      <c r="SET70" s="684"/>
      <c r="SEU70" s="684"/>
      <c r="SEV70" s="684"/>
      <c r="SEW70" s="684"/>
      <c r="SEX70" s="684"/>
      <c r="SEY70" s="684"/>
      <c r="SEZ70" s="684"/>
      <c r="SFA70" s="684"/>
      <c r="SFB70" s="684"/>
      <c r="SFC70" s="684"/>
      <c r="SFD70" s="684"/>
      <c r="SFE70" s="684"/>
      <c r="SFF70" s="684"/>
      <c r="SFG70" s="684"/>
      <c r="SFH70" s="684"/>
      <c r="SFI70" s="684"/>
      <c r="SFJ70" s="684"/>
      <c r="SFK70" s="684"/>
      <c r="SFL70" s="684"/>
      <c r="SFM70" s="684"/>
      <c r="SFN70" s="684"/>
      <c r="SFO70" s="684"/>
      <c r="SFP70" s="684"/>
      <c r="SFQ70" s="684"/>
      <c r="SFR70" s="684"/>
      <c r="SFS70" s="684"/>
      <c r="SFT70" s="684"/>
      <c r="SFU70" s="684"/>
      <c r="SFV70" s="684"/>
      <c r="SFW70" s="684"/>
      <c r="SFX70" s="684"/>
      <c r="SFY70" s="684"/>
      <c r="SFZ70" s="684"/>
      <c r="SGA70" s="684"/>
      <c r="SGB70" s="684"/>
      <c r="SGC70" s="684"/>
      <c r="SGD70" s="684"/>
      <c r="SGE70" s="684"/>
      <c r="SGF70" s="684"/>
      <c r="SGG70" s="684"/>
      <c r="SGH70" s="684"/>
      <c r="SGI70" s="684"/>
      <c r="SGJ70" s="684"/>
      <c r="SGK70" s="684"/>
      <c r="SGL70" s="684"/>
      <c r="SGM70" s="684"/>
      <c r="SGN70" s="684"/>
      <c r="SGO70" s="684"/>
      <c r="SGP70" s="684"/>
      <c r="SGQ70" s="684"/>
      <c r="SGR70" s="684"/>
      <c r="SGS70" s="684"/>
      <c r="SGT70" s="684"/>
      <c r="SGU70" s="684"/>
      <c r="SGV70" s="684"/>
      <c r="SGW70" s="684"/>
      <c r="SGX70" s="684"/>
      <c r="SGY70" s="684"/>
      <c r="SGZ70" s="684"/>
      <c r="SHA70" s="684"/>
      <c r="SHB70" s="684"/>
      <c r="SHC70" s="684"/>
      <c r="SHD70" s="684"/>
      <c r="SHE70" s="684"/>
      <c r="SHF70" s="684"/>
      <c r="SHG70" s="684"/>
      <c r="SHH70" s="684"/>
      <c r="SHI70" s="684"/>
      <c r="SHJ70" s="684"/>
      <c r="SHK70" s="684"/>
      <c r="SHL70" s="684"/>
      <c r="SHM70" s="684"/>
      <c r="SHN70" s="684"/>
      <c r="SHO70" s="684"/>
      <c r="SHP70" s="684"/>
      <c r="SHQ70" s="684"/>
      <c r="SHR70" s="684"/>
      <c r="SHS70" s="684"/>
      <c r="SHT70" s="684"/>
      <c r="SHU70" s="684"/>
      <c r="SHV70" s="684"/>
      <c r="SHW70" s="684"/>
      <c r="SHX70" s="684"/>
      <c r="SHY70" s="684"/>
      <c r="SHZ70" s="684"/>
      <c r="SIA70" s="684"/>
      <c r="SIB70" s="684"/>
      <c r="SIC70" s="684"/>
      <c r="SID70" s="684"/>
      <c r="SIE70" s="684"/>
      <c r="SIF70" s="684"/>
      <c r="SIG70" s="684"/>
      <c r="SIH70" s="684"/>
      <c r="SII70" s="684"/>
      <c r="SIJ70" s="684"/>
      <c r="SIK70" s="684"/>
      <c r="SIL70" s="684"/>
      <c r="SIM70" s="684"/>
      <c r="SIN70" s="684"/>
      <c r="SIO70" s="684"/>
      <c r="SIP70" s="684"/>
      <c r="SIQ70" s="684"/>
      <c r="SIR70" s="684"/>
      <c r="SIS70" s="684"/>
      <c r="SIT70" s="684"/>
      <c r="SIU70" s="684"/>
      <c r="SIV70" s="684"/>
      <c r="SIW70" s="684"/>
      <c r="SIX70" s="684"/>
      <c r="SIY70" s="684"/>
      <c r="SIZ70" s="684"/>
      <c r="SJA70" s="684"/>
      <c r="SJB70" s="684"/>
      <c r="SJC70" s="684"/>
      <c r="SJD70" s="684"/>
      <c r="SJE70" s="684"/>
      <c r="SJF70" s="684"/>
      <c r="SJG70" s="684"/>
      <c r="SJH70" s="684"/>
      <c r="SJI70" s="684"/>
      <c r="SJJ70" s="684"/>
      <c r="SJK70" s="684"/>
      <c r="SJL70" s="684"/>
      <c r="SJM70" s="684"/>
      <c r="SJN70" s="684"/>
      <c r="SJO70" s="684"/>
      <c r="SJP70" s="684"/>
      <c r="SJQ70" s="684"/>
      <c r="SJR70" s="684"/>
      <c r="SJS70" s="684"/>
      <c r="SJT70" s="684"/>
      <c r="SJU70" s="684"/>
      <c r="SJV70" s="684"/>
      <c r="SJW70" s="684"/>
      <c r="SJX70" s="684"/>
      <c r="SJY70" s="684"/>
      <c r="SJZ70" s="684"/>
      <c r="SKA70" s="684"/>
      <c r="SKB70" s="684"/>
      <c r="SKC70" s="684"/>
      <c r="SKD70" s="684"/>
      <c r="SKE70" s="684"/>
      <c r="SKF70" s="684"/>
      <c r="SKG70" s="684"/>
      <c r="SKH70" s="684"/>
      <c r="SKI70" s="684"/>
      <c r="SKJ70" s="684"/>
      <c r="SKK70" s="684"/>
      <c r="SKL70" s="684"/>
      <c r="SKM70" s="684"/>
      <c r="SKN70" s="684"/>
      <c r="SKO70" s="684"/>
      <c r="SKP70" s="684"/>
      <c r="SKQ70" s="684"/>
      <c r="SKR70" s="684"/>
      <c r="SKS70" s="684"/>
      <c r="SKT70" s="684"/>
      <c r="SKU70" s="684"/>
      <c r="SKV70" s="684"/>
      <c r="SKW70" s="684"/>
      <c r="SKX70" s="684"/>
      <c r="SKY70" s="684"/>
      <c r="SKZ70" s="684"/>
      <c r="SLA70" s="684"/>
      <c r="SLB70" s="684"/>
      <c r="SLC70" s="684"/>
      <c r="SLD70" s="684"/>
      <c r="SLE70" s="684"/>
      <c r="SLF70" s="684"/>
      <c r="SLG70" s="684"/>
      <c r="SLH70" s="684"/>
      <c r="SLI70" s="684"/>
      <c r="SLJ70" s="684"/>
      <c r="SLK70" s="684"/>
      <c r="SLL70" s="684"/>
      <c r="SLM70" s="684"/>
      <c r="SLN70" s="684"/>
      <c r="SLO70" s="684"/>
      <c r="SLP70" s="684"/>
      <c r="SLQ70" s="684"/>
      <c r="SLR70" s="684"/>
      <c r="SLS70" s="684"/>
      <c r="SLT70" s="684"/>
      <c r="SLU70" s="684"/>
      <c r="SLV70" s="684"/>
      <c r="SLW70" s="684"/>
      <c r="SLX70" s="684"/>
      <c r="SLY70" s="684"/>
      <c r="SLZ70" s="684"/>
      <c r="SMA70" s="684"/>
      <c r="SMB70" s="684"/>
      <c r="SMC70" s="684"/>
      <c r="SMD70" s="684"/>
      <c r="SME70" s="684"/>
      <c r="SMF70" s="684"/>
      <c r="SMG70" s="684"/>
      <c r="SMH70" s="684"/>
      <c r="SMI70" s="684"/>
      <c r="SMJ70" s="684"/>
      <c r="SMK70" s="684"/>
      <c r="SML70" s="684"/>
      <c r="SMM70" s="684"/>
      <c r="SMN70" s="684"/>
      <c r="SMO70" s="684"/>
      <c r="SMP70" s="684"/>
      <c r="SMQ70" s="684"/>
      <c r="SMR70" s="684"/>
      <c r="SMS70" s="684"/>
      <c r="SMT70" s="684"/>
      <c r="SMU70" s="684"/>
      <c r="SMV70" s="684"/>
      <c r="SMW70" s="684"/>
      <c r="SMX70" s="684"/>
      <c r="SMY70" s="684"/>
      <c r="SMZ70" s="684"/>
      <c r="SNA70" s="684"/>
      <c r="SNB70" s="684"/>
      <c r="SNC70" s="684"/>
      <c r="SND70" s="684"/>
      <c r="SNE70" s="684"/>
      <c r="SNF70" s="684"/>
      <c r="SNG70" s="684"/>
      <c r="SNH70" s="684"/>
      <c r="SNI70" s="684"/>
      <c r="SNJ70" s="684"/>
      <c r="SNK70" s="684"/>
      <c r="SNL70" s="684"/>
      <c r="SNM70" s="684"/>
      <c r="SNN70" s="684"/>
      <c r="SNO70" s="684"/>
      <c r="SNP70" s="684"/>
      <c r="SNQ70" s="684"/>
      <c r="SNR70" s="684"/>
      <c r="SNS70" s="684"/>
      <c r="SNT70" s="684"/>
      <c r="SNU70" s="684"/>
      <c r="SNV70" s="684"/>
      <c r="SNW70" s="684"/>
      <c r="SNX70" s="684"/>
      <c r="SNY70" s="684"/>
      <c r="SNZ70" s="684"/>
      <c r="SOA70" s="684"/>
      <c r="SOB70" s="684"/>
      <c r="SOC70" s="684"/>
      <c r="SOD70" s="684"/>
      <c r="SOE70" s="684"/>
      <c r="SOF70" s="684"/>
      <c r="SOG70" s="684"/>
      <c r="SOH70" s="684"/>
      <c r="SOI70" s="684"/>
      <c r="SOJ70" s="684"/>
      <c r="SOK70" s="684"/>
      <c r="SOL70" s="684"/>
      <c r="SOM70" s="684"/>
      <c r="SON70" s="684"/>
      <c r="SOO70" s="684"/>
      <c r="SOP70" s="684"/>
      <c r="SOQ70" s="684"/>
      <c r="SOR70" s="684"/>
      <c r="SOS70" s="684"/>
      <c r="SOT70" s="684"/>
      <c r="SOU70" s="684"/>
      <c r="SOV70" s="684"/>
      <c r="SOW70" s="684"/>
      <c r="SOX70" s="684"/>
      <c r="SOY70" s="684"/>
      <c r="SOZ70" s="684"/>
      <c r="SPA70" s="684"/>
      <c r="SPB70" s="684"/>
      <c r="SPC70" s="684"/>
      <c r="SPD70" s="684"/>
      <c r="SPE70" s="684"/>
      <c r="SPF70" s="684"/>
      <c r="SPG70" s="684"/>
      <c r="SPH70" s="684"/>
      <c r="SPI70" s="684"/>
      <c r="SPJ70" s="684"/>
      <c r="SPK70" s="684"/>
      <c r="SPL70" s="684"/>
      <c r="SPM70" s="684"/>
      <c r="SPN70" s="684"/>
      <c r="SPO70" s="684"/>
      <c r="SPP70" s="684"/>
      <c r="SPQ70" s="684"/>
      <c r="SPR70" s="684"/>
      <c r="SPS70" s="684"/>
      <c r="SPT70" s="684"/>
      <c r="SPU70" s="684"/>
      <c r="SPV70" s="684"/>
      <c r="SPW70" s="684"/>
      <c r="SPX70" s="684"/>
      <c r="SPY70" s="684"/>
      <c r="SPZ70" s="684"/>
      <c r="SQA70" s="684"/>
      <c r="SQB70" s="684"/>
      <c r="SQC70" s="684"/>
      <c r="SQD70" s="684"/>
      <c r="SQE70" s="684"/>
      <c r="SQF70" s="684"/>
      <c r="SQG70" s="684"/>
      <c r="SQH70" s="684"/>
      <c r="SQI70" s="684"/>
      <c r="SQJ70" s="684"/>
      <c r="SQK70" s="684"/>
      <c r="SQL70" s="684"/>
      <c r="SQM70" s="684"/>
      <c r="SQN70" s="684"/>
      <c r="SQO70" s="684"/>
      <c r="SQP70" s="684"/>
      <c r="SQQ70" s="684"/>
      <c r="SQR70" s="684"/>
      <c r="SQS70" s="684"/>
      <c r="SQT70" s="684"/>
      <c r="SQU70" s="684"/>
      <c r="SQV70" s="684"/>
      <c r="SQW70" s="684"/>
      <c r="SQX70" s="684"/>
      <c r="SQY70" s="684"/>
      <c r="SQZ70" s="684"/>
      <c r="SRA70" s="684"/>
      <c r="SRB70" s="684"/>
      <c r="SRC70" s="684"/>
      <c r="SRD70" s="684"/>
      <c r="SRE70" s="684"/>
      <c r="SRF70" s="684"/>
      <c r="SRG70" s="684"/>
      <c r="SRH70" s="684"/>
      <c r="SRI70" s="684"/>
      <c r="SRJ70" s="684"/>
      <c r="SRK70" s="684"/>
      <c r="SRL70" s="684"/>
      <c r="SRM70" s="684"/>
      <c r="SRN70" s="684"/>
      <c r="SRO70" s="684"/>
      <c r="SRP70" s="684"/>
      <c r="SRQ70" s="684"/>
      <c r="SRR70" s="684"/>
      <c r="SRS70" s="684"/>
      <c r="SRT70" s="684"/>
      <c r="SRU70" s="684"/>
      <c r="SRV70" s="684"/>
      <c r="SRW70" s="684"/>
      <c r="SRX70" s="684"/>
      <c r="SRY70" s="684"/>
      <c r="SRZ70" s="684"/>
      <c r="SSA70" s="684"/>
      <c r="SSB70" s="684"/>
      <c r="SSC70" s="684"/>
      <c r="SSD70" s="684"/>
      <c r="SSE70" s="684"/>
      <c r="SSF70" s="684"/>
      <c r="SSG70" s="684"/>
      <c r="SSH70" s="684"/>
      <c r="SSI70" s="684"/>
      <c r="SSJ70" s="684"/>
      <c r="SSK70" s="684"/>
      <c r="SSL70" s="684"/>
      <c r="SSM70" s="684"/>
      <c r="SSN70" s="684"/>
      <c r="SSO70" s="684"/>
      <c r="SSP70" s="684"/>
      <c r="SSQ70" s="684"/>
      <c r="SSR70" s="684"/>
      <c r="SSS70" s="684"/>
      <c r="SST70" s="684"/>
      <c r="SSU70" s="684"/>
      <c r="SSV70" s="684"/>
      <c r="SSW70" s="684"/>
      <c r="SSX70" s="684"/>
      <c r="SSY70" s="684"/>
      <c r="SSZ70" s="684"/>
      <c r="STA70" s="684"/>
      <c r="STB70" s="684"/>
      <c r="STC70" s="684"/>
      <c r="STD70" s="684"/>
      <c r="STE70" s="684"/>
      <c r="STF70" s="684"/>
      <c r="STG70" s="684"/>
      <c r="STH70" s="684"/>
      <c r="STI70" s="684"/>
      <c r="STJ70" s="684"/>
      <c r="STK70" s="684"/>
      <c r="STL70" s="684"/>
      <c r="STM70" s="684"/>
      <c r="STN70" s="684"/>
      <c r="STO70" s="684"/>
      <c r="STP70" s="684"/>
      <c r="STQ70" s="684"/>
      <c r="STR70" s="684"/>
      <c r="STS70" s="684"/>
      <c r="STT70" s="684"/>
      <c r="STU70" s="684"/>
      <c r="STV70" s="684"/>
      <c r="STW70" s="684"/>
      <c r="STX70" s="684"/>
      <c r="STY70" s="684"/>
      <c r="STZ70" s="684"/>
      <c r="SUA70" s="684"/>
      <c r="SUB70" s="684"/>
      <c r="SUC70" s="684"/>
      <c r="SUD70" s="684"/>
      <c r="SUE70" s="684"/>
      <c r="SUF70" s="684"/>
      <c r="SUG70" s="684"/>
      <c r="SUH70" s="684"/>
      <c r="SUI70" s="684"/>
      <c r="SUJ70" s="684"/>
      <c r="SUK70" s="684"/>
      <c r="SUL70" s="684"/>
      <c r="SUM70" s="684"/>
      <c r="SUN70" s="684"/>
      <c r="SUO70" s="684"/>
      <c r="SUP70" s="684"/>
      <c r="SUQ70" s="684"/>
      <c r="SUR70" s="684"/>
      <c r="SUS70" s="684"/>
      <c r="SUT70" s="684"/>
      <c r="SUU70" s="684"/>
      <c r="SUV70" s="684"/>
      <c r="SUW70" s="684"/>
      <c r="SUX70" s="684"/>
      <c r="SUY70" s="684"/>
      <c r="SUZ70" s="684"/>
      <c r="SVA70" s="684"/>
      <c r="SVB70" s="684"/>
      <c r="SVC70" s="684"/>
      <c r="SVD70" s="684"/>
      <c r="SVE70" s="684"/>
      <c r="SVF70" s="684"/>
      <c r="SVG70" s="684"/>
      <c r="SVH70" s="684"/>
      <c r="SVI70" s="684"/>
      <c r="SVJ70" s="684"/>
      <c r="SVK70" s="684"/>
      <c r="SVL70" s="684"/>
      <c r="SVM70" s="684"/>
      <c r="SVN70" s="684"/>
      <c r="SVO70" s="684"/>
      <c r="SVP70" s="684"/>
      <c r="SVQ70" s="684"/>
      <c r="SVR70" s="684"/>
      <c r="SVS70" s="684"/>
      <c r="SVT70" s="684"/>
      <c r="SVU70" s="684"/>
      <c r="SVV70" s="684"/>
      <c r="SVW70" s="684"/>
      <c r="SVX70" s="684"/>
      <c r="SVY70" s="684"/>
      <c r="SVZ70" s="684"/>
      <c r="SWA70" s="684"/>
      <c r="SWB70" s="684"/>
      <c r="SWC70" s="684"/>
      <c r="SWD70" s="684"/>
      <c r="SWE70" s="684"/>
      <c r="SWF70" s="684"/>
      <c r="SWG70" s="684"/>
      <c r="SWH70" s="684"/>
      <c r="SWI70" s="684"/>
      <c r="SWJ70" s="684"/>
      <c r="SWK70" s="684"/>
      <c r="SWL70" s="684"/>
      <c r="SWM70" s="684"/>
      <c r="SWN70" s="684"/>
      <c r="SWO70" s="684"/>
      <c r="SWP70" s="684"/>
      <c r="SWQ70" s="684"/>
      <c r="SWR70" s="684"/>
      <c r="SWS70" s="684"/>
      <c r="SWT70" s="684"/>
      <c r="SWU70" s="684"/>
      <c r="SWV70" s="684"/>
      <c r="SWW70" s="684"/>
      <c r="SWX70" s="684"/>
      <c r="SWY70" s="684"/>
      <c r="SWZ70" s="684"/>
      <c r="SXA70" s="684"/>
      <c r="SXB70" s="684"/>
      <c r="SXC70" s="684"/>
      <c r="SXD70" s="684"/>
      <c r="SXE70" s="684"/>
      <c r="SXF70" s="684"/>
      <c r="SXG70" s="684"/>
      <c r="SXH70" s="684"/>
      <c r="SXI70" s="684"/>
      <c r="SXJ70" s="684"/>
      <c r="SXK70" s="684"/>
      <c r="SXL70" s="684"/>
      <c r="SXM70" s="684"/>
      <c r="SXN70" s="684"/>
      <c r="SXO70" s="684"/>
      <c r="SXP70" s="684"/>
      <c r="SXQ70" s="684"/>
      <c r="SXR70" s="684"/>
      <c r="SXS70" s="684"/>
      <c r="SXT70" s="684"/>
      <c r="SXU70" s="684"/>
      <c r="SXV70" s="684"/>
      <c r="SXW70" s="684"/>
      <c r="SXX70" s="684"/>
      <c r="SXY70" s="684"/>
      <c r="SXZ70" s="684"/>
      <c r="SYA70" s="684"/>
      <c r="SYB70" s="684"/>
      <c r="SYC70" s="684"/>
      <c r="SYD70" s="684"/>
      <c r="SYE70" s="684"/>
      <c r="SYF70" s="684"/>
      <c r="SYG70" s="684"/>
      <c r="SYH70" s="684"/>
      <c r="SYI70" s="684"/>
      <c r="SYJ70" s="684"/>
      <c r="SYK70" s="684"/>
      <c r="SYL70" s="684"/>
      <c r="SYM70" s="684"/>
      <c r="SYN70" s="684"/>
      <c r="SYO70" s="684"/>
      <c r="SYP70" s="684"/>
      <c r="SYQ70" s="684"/>
      <c r="SYR70" s="684"/>
      <c r="SYS70" s="684"/>
      <c r="SYT70" s="684"/>
      <c r="SYU70" s="684"/>
      <c r="SYV70" s="684"/>
      <c r="SYW70" s="684"/>
      <c r="SYX70" s="684"/>
      <c r="SYY70" s="684"/>
      <c r="SYZ70" s="684"/>
      <c r="SZA70" s="684"/>
      <c r="SZB70" s="684"/>
      <c r="SZC70" s="684"/>
      <c r="SZD70" s="684"/>
      <c r="SZE70" s="684"/>
      <c r="SZF70" s="684"/>
      <c r="SZG70" s="684"/>
      <c r="SZH70" s="684"/>
      <c r="SZI70" s="684"/>
      <c r="SZJ70" s="684"/>
      <c r="SZK70" s="684"/>
      <c r="SZL70" s="684"/>
      <c r="SZM70" s="684"/>
      <c r="SZN70" s="684"/>
      <c r="SZO70" s="684"/>
      <c r="SZP70" s="684"/>
      <c r="SZQ70" s="684"/>
      <c r="SZR70" s="684"/>
      <c r="SZS70" s="684"/>
      <c r="SZT70" s="684"/>
      <c r="SZU70" s="684"/>
      <c r="SZV70" s="684"/>
      <c r="SZW70" s="684"/>
      <c r="SZX70" s="684"/>
      <c r="SZY70" s="684"/>
      <c r="SZZ70" s="684"/>
      <c r="TAA70" s="684"/>
      <c r="TAB70" s="684"/>
      <c r="TAC70" s="684"/>
      <c r="TAD70" s="684"/>
      <c r="TAE70" s="684"/>
      <c r="TAF70" s="684"/>
      <c r="TAG70" s="684"/>
      <c r="TAH70" s="684"/>
      <c r="TAI70" s="684"/>
      <c r="TAJ70" s="684"/>
      <c r="TAK70" s="684"/>
      <c r="TAL70" s="684"/>
      <c r="TAM70" s="684"/>
      <c r="TAN70" s="684"/>
      <c r="TAO70" s="684"/>
      <c r="TAP70" s="684"/>
      <c r="TAQ70" s="684"/>
      <c r="TAR70" s="684"/>
      <c r="TAS70" s="684"/>
      <c r="TAT70" s="684"/>
      <c r="TAU70" s="684"/>
      <c r="TAV70" s="684"/>
      <c r="TAW70" s="684"/>
      <c r="TAX70" s="684"/>
      <c r="TAY70" s="684"/>
      <c r="TAZ70" s="684"/>
      <c r="TBA70" s="684"/>
      <c r="TBB70" s="684"/>
      <c r="TBC70" s="684"/>
      <c r="TBD70" s="684"/>
      <c r="TBE70" s="684"/>
      <c r="TBF70" s="684"/>
      <c r="TBG70" s="684"/>
      <c r="TBH70" s="684"/>
      <c r="TBI70" s="684"/>
      <c r="TBJ70" s="684"/>
      <c r="TBK70" s="684"/>
      <c r="TBL70" s="684"/>
      <c r="TBM70" s="684"/>
      <c r="TBN70" s="684"/>
      <c r="TBO70" s="684"/>
      <c r="TBP70" s="684"/>
      <c r="TBQ70" s="684"/>
      <c r="TBR70" s="684"/>
      <c r="TBS70" s="684"/>
      <c r="TBT70" s="684"/>
      <c r="TBU70" s="684"/>
      <c r="TBV70" s="684"/>
      <c r="TBW70" s="684"/>
      <c r="TBX70" s="684"/>
      <c r="TBY70" s="684"/>
      <c r="TBZ70" s="684"/>
      <c r="TCA70" s="684"/>
      <c r="TCB70" s="684"/>
      <c r="TCC70" s="684"/>
      <c r="TCD70" s="684"/>
      <c r="TCE70" s="684"/>
      <c r="TCF70" s="684"/>
      <c r="TCG70" s="684"/>
      <c r="TCH70" s="684"/>
      <c r="TCI70" s="684"/>
      <c r="TCJ70" s="684"/>
      <c r="TCK70" s="684"/>
      <c r="TCL70" s="684"/>
      <c r="TCM70" s="684"/>
      <c r="TCN70" s="684"/>
      <c r="TCO70" s="684"/>
      <c r="TCP70" s="684"/>
      <c r="TCQ70" s="684"/>
      <c r="TCR70" s="684"/>
      <c r="TCS70" s="684"/>
      <c r="TCT70" s="684"/>
      <c r="TCU70" s="684"/>
      <c r="TCV70" s="684"/>
      <c r="TCW70" s="684"/>
      <c r="TCX70" s="684"/>
      <c r="TCY70" s="684"/>
      <c r="TCZ70" s="684"/>
      <c r="TDA70" s="684"/>
      <c r="TDB70" s="684"/>
      <c r="TDC70" s="684"/>
      <c r="TDD70" s="684"/>
      <c r="TDE70" s="684"/>
      <c r="TDF70" s="684"/>
      <c r="TDG70" s="684"/>
      <c r="TDH70" s="684"/>
      <c r="TDI70" s="684"/>
      <c r="TDJ70" s="684"/>
      <c r="TDK70" s="684"/>
      <c r="TDL70" s="684"/>
      <c r="TDM70" s="684"/>
      <c r="TDN70" s="684"/>
      <c r="TDO70" s="684"/>
      <c r="TDP70" s="684"/>
      <c r="TDQ70" s="684"/>
      <c r="TDR70" s="684"/>
      <c r="TDS70" s="684"/>
      <c r="TDT70" s="684"/>
      <c r="TDU70" s="684"/>
      <c r="TDV70" s="684"/>
      <c r="TDW70" s="684"/>
      <c r="TDX70" s="684"/>
      <c r="TDY70" s="684"/>
      <c r="TDZ70" s="684"/>
      <c r="TEA70" s="684"/>
      <c r="TEB70" s="684"/>
      <c r="TEC70" s="684"/>
      <c r="TED70" s="684"/>
      <c r="TEE70" s="684"/>
      <c r="TEF70" s="684"/>
      <c r="TEG70" s="684"/>
      <c r="TEH70" s="684"/>
      <c r="TEI70" s="684"/>
      <c r="TEJ70" s="684"/>
      <c r="TEK70" s="684"/>
      <c r="TEL70" s="684"/>
      <c r="TEM70" s="684"/>
      <c r="TEN70" s="684"/>
      <c r="TEO70" s="684"/>
      <c r="TEP70" s="684"/>
      <c r="TEQ70" s="684"/>
      <c r="TER70" s="684"/>
      <c r="TES70" s="684"/>
      <c r="TET70" s="684"/>
      <c r="TEU70" s="684"/>
      <c r="TEV70" s="684"/>
      <c r="TEW70" s="684"/>
      <c r="TEX70" s="684"/>
      <c r="TEY70" s="684"/>
      <c r="TEZ70" s="684"/>
      <c r="TFA70" s="684"/>
      <c r="TFB70" s="684"/>
      <c r="TFC70" s="684"/>
      <c r="TFD70" s="684"/>
      <c r="TFE70" s="684"/>
      <c r="TFF70" s="684"/>
      <c r="TFG70" s="684"/>
      <c r="TFH70" s="684"/>
      <c r="TFI70" s="684"/>
      <c r="TFJ70" s="684"/>
      <c r="TFK70" s="684"/>
      <c r="TFL70" s="684"/>
      <c r="TFM70" s="684"/>
      <c r="TFN70" s="684"/>
      <c r="TFO70" s="684"/>
      <c r="TFP70" s="684"/>
      <c r="TFQ70" s="684"/>
      <c r="TFR70" s="684"/>
      <c r="TFS70" s="684"/>
      <c r="TFT70" s="684"/>
      <c r="TFU70" s="684"/>
      <c r="TFV70" s="684"/>
      <c r="TFW70" s="684"/>
      <c r="TFX70" s="684"/>
      <c r="TFY70" s="684"/>
      <c r="TFZ70" s="684"/>
      <c r="TGA70" s="684"/>
      <c r="TGB70" s="684"/>
      <c r="TGC70" s="684"/>
      <c r="TGD70" s="684"/>
      <c r="TGE70" s="684"/>
      <c r="TGF70" s="684"/>
      <c r="TGG70" s="684"/>
      <c r="TGH70" s="684"/>
      <c r="TGI70" s="684"/>
      <c r="TGJ70" s="684"/>
      <c r="TGK70" s="684"/>
      <c r="TGL70" s="684"/>
      <c r="TGM70" s="684"/>
      <c r="TGN70" s="684"/>
      <c r="TGO70" s="684"/>
      <c r="TGP70" s="684"/>
      <c r="TGQ70" s="684"/>
      <c r="TGR70" s="684"/>
      <c r="TGS70" s="684"/>
      <c r="TGT70" s="684"/>
      <c r="TGU70" s="684"/>
      <c r="TGV70" s="684"/>
      <c r="TGW70" s="684"/>
      <c r="TGX70" s="684"/>
      <c r="TGY70" s="684"/>
      <c r="TGZ70" s="684"/>
      <c r="THA70" s="684"/>
      <c r="THB70" s="684"/>
      <c r="THC70" s="684"/>
      <c r="THD70" s="684"/>
      <c r="THE70" s="684"/>
      <c r="THF70" s="684"/>
      <c r="THG70" s="684"/>
      <c r="THH70" s="684"/>
      <c r="THI70" s="684"/>
      <c r="THJ70" s="684"/>
      <c r="THK70" s="684"/>
      <c r="THL70" s="684"/>
      <c r="THM70" s="684"/>
      <c r="THN70" s="684"/>
      <c r="THO70" s="684"/>
      <c r="THP70" s="684"/>
      <c r="THQ70" s="684"/>
      <c r="THR70" s="684"/>
      <c r="THS70" s="684"/>
      <c r="THT70" s="684"/>
      <c r="THU70" s="684"/>
      <c r="THV70" s="684"/>
      <c r="THW70" s="684"/>
      <c r="THX70" s="684"/>
      <c r="THY70" s="684"/>
      <c r="THZ70" s="684"/>
      <c r="TIA70" s="684"/>
      <c r="TIB70" s="684"/>
      <c r="TIC70" s="684"/>
      <c r="TID70" s="684"/>
      <c r="TIE70" s="684"/>
      <c r="TIF70" s="684"/>
      <c r="TIG70" s="684"/>
      <c r="TIH70" s="684"/>
      <c r="TII70" s="684"/>
      <c r="TIJ70" s="684"/>
      <c r="TIK70" s="684"/>
      <c r="TIL70" s="684"/>
      <c r="TIM70" s="684"/>
      <c r="TIN70" s="684"/>
      <c r="TIO70" s="684"/>
      <c r="TIP70" s="684"/>
      <c r="TIQ70" s="684"/>
      <c r="TIR70" s="684"/>
      <c r="TIS70" s="684"/>
      <c r="TIT70" s="684"/>
      <c r="TIU70" s="684"/>
      <c r="TIV70" s="684"/>
      <c r="TIW70" s="684"/>
      <c r="TIX70" s="684"/>
      <c r="TIY70" s="684"/>
      <c r="TIZ70" s="684"/>
      <c r="TJA70" s="684"/>
      <c r="TJB70" s="684"/>
      <c r="TJC70" s="684"/>
      <c r="TJD70" s="684"/>
      <c r="TJE70" s="684"/>
      <c r="TJF70" s="684"/>
      <c r="TJG70" s="684"/>
      <c r="TJH70" s="684"/>
      <c r="TJI70" s="684"/>
      <c r="TJJ70" s="684"/>
      <c r="TJK70" s="684"/>
      <c r="TJL70" s="684"/>
      <c r="TJM70" s="684"/>
      <c r="TJN70" s="684"/>
      <c r="TJO70" s="684"/>
      <c r="TJP70" s="684"/>
      <c r="TJQ70" s="684"/>
      <c r="TJR70" s="684"/>
      <c r="TJS70" s="684"/>
      <c r="TJT70" s="684"/>
      <c r="TJU70" s="684"/>
      <c r="TJV70" s="684"/>
      <c r="TJW70" s="684"/>
      <c r="TJX70" s="684"/>
      <c r="TJY70" s="684"/>
      <c r="TJZ70" s="684"/>
      <c r="TKA70" s="684"/>
      <c r="TKB70" s="684"/>
      <c r="TKC70" s="684"/>
      <c r="TKD70" s="684"/>
      <c r="TKE70" s="684"/>
      <c r="TKF70" s="684"/>
      <c r="TKG70" s="684"/>
      <c r="TKH70" s="684"/>
      <c r="TKI70" s="684"/>
      <c r="TKJ70" s="684"/>
      <c r="TKK70" s="684"/>
      <c r="TKL70" s="684"/>
      <c r="TKM70" s="684"/>
      <c r="TKN70" s="684"/>
      <c r="TKO70" s="684"/>
      <c r="TKP70" s="684"/>
      <c r="TKQ70" s="684"/>
      <c r="TKR70" s="684"/>
      <c r="TKS70" s="684"/>
      <c r="TKT70" s="684"/>
      <c r="TKU70" s="684"/>
      <c r="TKV70" s="684"/>
      <c r="TKW70" s="684"/>
      <c r="TKX70" s="684"/>
      <c r="TKY70" s="684"/>
      <c r="TKZ70" s="684"/>
      <c r="TLA70" s="684"/>
      <c r="TLB70" s="684"/>
      <c r="TLC70" s="684"/>
      <c r="TLD70" s="684"/>
      <c r="TLE70" s="684"/>
      <c r="TLF70" s="684"/>
      <c r="TLG70" s="684"/>
      <c r="TLH70" s="684"/>
      <c r="TLI70" s="684"/>
      <c r="TLJ70" s="684"/>
      <c r="TLK70" s="684"/>
      <c r="TLL70" s="684"/>
      <c r="TLM70" s="684"/>
      <c r="TLN70" s="684"/>
      <c r="TLO70" s="684"/>
      <c r="TLP70" s="684"/>
      <c r="TLQ70" s="684"/>
      <c r="TLR70" s="684"/>
      <c r="TLS70" s="684"/>
      <c r="TLT70" s="684"/>
      <c r="TLU70" s="684"/>
      <c r="TLV70" s="684"/>
      <c r="TLW70" s="684"/>
      <c r="TLX70" s="684"/>
      <c r="TLY70" s="684"/>
      <c r="TLZ70" s="684"/>
      <c r="TMA70" s="684"/>
      <c r="TMB70" s="684"/>
      <c r="TMC70" s="684"/>
      <c r="TMD70" s="684"/>
      <c r="TME70" s="684"/>
      <c r="TMF70" s="684"/>
      <c r="TMG70" s="684"/>
      <c r="TMH70" s="684"/>
      <c r="TMI70" s="684"/>
      <c r="TMJ70" s="684"/>
      <c r="TMK70" s="684"/>
      <c r="TML70" s="684"/>
      <c r="TMM70" s="684"/>
      <c r="TMN70" s="684"/>
      <c r="TMO70" s="684"/>
      <c r="TMP70" s="684"/>
      <c r="TMQ70" s="684"/>
      <c r="TMR70" s="684"/>
      <c r="TMS70" s="684"/>
      <c r="TMT70" s="684"/>
      <c r="TMU70" s="684"/>
      <c r="TMV70" s="684"/>
      <c r="TMW70" s="684"/>
      <c r="TMX70" s="684"/>
      <c r="TMY70" s="684"/>
      <c r="TMZ70" s="684"/>
      <c r="TNA70" s="684"/>
      <c r="TNB70" s="684"/>
      <c r="TNC70" s="684"/>
      <c r="TND70" s="684"/>
      <c r="TNE70" s="684"/>
      <c r="TNF70" s="684"/>
      <c r="TNG70" s="684"/>
      <c r="TNH70" s="684"/>
      <c r="TNI70" s="684"/>
      <c r="TNJ70" s="684"/>
      <c r="TNK70" s="684"/>
      <c r="TNL70" s="684"/>
      <c r="TNM70" s="684"/>
      <c r="TNN70" s="684"/>
      <c r="TNO70" s="684"/>
      <c r="TNP70" s="684"/>
      <c r="TNQ70" s="684"/>
      <c r="TNR70" s="684"/>
      <c r="TNS70" s="684"/>
      <c r="TNT70" s="684"/>
      <c r="TNU70" s="684"/>
      <c r="TNV70" s="684"/>
      <c r="TNW70" s="684"/>
      <c r="TNX70" s="684"/>
      <c r="TNY70" s="684"/>
      <c r="TNZ70" s="684"/>
      <c r="TOA70" s="684"/>
      <c r="TOB70" s="684"/>
      <c r="TOC70" s="684"/>
      <c r="TOD70" s="684"/>
      <c r="TOE70" s="684"/>
      <c r="TOF70" s="684"/>
      <c r="TOG70" s="684"/>
      <c r="TOH70" s="684"/>
      <c r="TOI70" s="684"/>
      <c r="TOJ70" s="684"/>
      <c r="TOK70" s="684"/>
      <c r="TOL70" s="684"/>
      <c r="TOM70" s="684"/>
      <c r="TON70" s="684"/>
      <c r="TOO70" s="684"/>
      <c r="TOP70" s="684"/>
      <c r="TOQ70" s="684"/>
      <c r="TOR70" s="684"/>
      <c r="TOS70" s="684"/>
      <c r="TOT70" s="684"/>
      <c r="TOU70" s="684"/>
      <c r="TOV70" s="684"/>
      <c r="TOW70" s="684"/>
      <c r="TOX70" s="684"/>
      <c r="TOY70" s="684"/>
      <c r="TOZ70" s="684"/>
      <c r="TPA70" s="684"/>
      <c r="TPB70" s="684"/>
      <c r="TPC70" s="684"/>
      <c r="TPD70" s="684"/>
      <c r="TPE70" s="684"/>
      <c r="TPF70" s="684"/>
      <c r="TPG70" s="684"/>
      <c r="TPH70" s="684"/>
      <c r="TPI70" s="684"/>
      <c r="TPJ70" s="684"/>
      <c r="TPK70" s="684"/>
      <c r="TPL70" s="684"/>
      <c r="TPM70" s="684"/>
      <c r="TPN70" s="684"/>
      <c r="TPO70" s="684"/>
      <c r="TPP70" s="684"/>
      <c r="TPQ70" s="684"/>
      <c r="TPR70" s="684"/>
      <c r="TPS70" s="684"/>
      <c r="TPT70" s="684"/>
      <c r="TPU70" s="684"/>
      <c r="TPV70" s="684"/>
      <c r="TPW70" s="684"/>
      <c r="TPX70" s="684"/>
      <c r="TPY70" s="684"/>
      <c r="TPZ70" s="684"/>
      <c r="TQA70" s="684"/>
      <c r="TQB70" s="684"/>
      <c r="TQC70" s="684"/>
      <c r="TQD70" s="684"/>
      <c r="TQE70" s="684"/>
      <c r="TQF70" s="684"/>
      <c r="TQG70" s="684"/>
      <c r="TQH70" s="684"/>
      <c r="TQI70" s="684"/>
      <c r="TQJ70" s="684"/>
      <c r="TQK70" s="684"/>
      <c r="TQL70" s="684"/>
      <c r="TQM70" s="684"/>
      <c r="TQN70" s="684"/>
      <c r="TQO70" s="684"/>
      <c r="TQP70" s="684"/>
      <c r="TQQ70" s="684"/>
      <c r="TQR70" s="684"/>
      <c r="TQS70" s="684"/>
      <c r="TQT70" s="684"/>
      <c r="TQU70" s="684"/>
      <c r="TQV70" s="684"/>
      <c r="TQW70" s="684"/>
      <c r="TQX70" s="684"/>
      <c r="TQY70" s="684"/>
      <c r="TQZ70" s="684"/>
      <c r="TRA70" s="684"/>
      <c r="TRB70" s="684"/>
      <c r="TRC70" s="684"/>
      <c r="TRD70" s="684"/>
      <c r="TRE70" s="684"/>
      <c r="TRF70" s="684"/>
      <c r="TRG70" s="684"/>
      <c r="TRH70" s="684"/>
      <c r="TRI70" s="684"/>
      <c r="TRJ70" s="684"/>
      <c r="TRK70" s="684"/>
      <c r="TRL70" s="684"/>
      <c r="TRM70" s="684"/>
      <c r="TRN70" s="684"/>
      <c r="TRO70" s="684"/>
      <c r="TRP70" s="684"/>
      <c r="TRQ70" s="684"/>
      <c r="TRR70" s="684"/>
      <c r="TRS70" s="684"/>
      <c r="TRT70" s="684"/>
      <c r="TRU70" s="684"/>
      <c r="TRV70" s="684"/>
      <c r="TRW70" s="684"/>
      <c r="TRX70" s="684"/>
      <c r="TRY70" s="684"/>
      <c r="TRZ70" s="684"/>
      <c r="TSA70" s="684"/>
      <c r="TSB70" s="684"/>
      <c r="TSC70" s="684"/>
      <c r="TSD70" s="684"/>
      <c r="TSE70" s="684"/>
      <c r="TSF70" s="684"/>
      <c r="TSG70" s="684"/>
      <c r="TSH70" s="684"/>
      <c r="TSI70" s="684"/>
      <c r="TSJ70" s="684"/>
      <c r="TSK70" s="684"/>
      <c r="TSL70" s="684"/>
      <c r="TSM70" s="684"/>
      <c r="TSN70" s="684"/>
      <c r="TSO70" s="684"/>
      <c r="TSP70" s="684"/>
      <c r="TSQ70" s="684"/>
      <c r="TSR70" s="684"/>
      <c r="TSS70" s="684"/>
      <c r="TST70" s="684"/>
      <c r="TSU70" s="684"/>
      <c r="TSV70" s="684"/>
      <c r="TSW70" s="684"/>
      <c r="TSX70" s="684"/>
      <c r="TSY70" s="684"/>
      <c r="TSZ70" s="684"/>
      <c r="TTA70" s="684"/>
      <c r="TTB70" s="684"/>
      <c r="TTC70" s="684"/>
      <c r="TTD70" s="684"/>
      <c r="TTE70" s="684"/>
      <c r="TTF70" s="684"/>
      <c r="TTG70" s="684"/>
      <c r="TTH70" s="684"/>
      <c r="TTI70" s="684"/>
      <c r="TTJ70" s="684"/>
      <c r="TTK70" s="684"/>
      <c r="TTL70" s="684"/>
      <c r="TTM70" s="684"/>
      <c r="TTN70" s="684"/>
      <c r="TTO70" s="684"/>
      <c r="TTP70" s="684"/>
      <c r="TTQ70" s="684"/>
      <c r="TTR70" s="684"/>
      <c r="TTS70" s="684"/>
      <c r="TTT70" s="684"/>
      <c r="TTU70" s="684"/>
      <c r="TTV70" s="684"/>
      <c r="TTW70" s="684"/>
      <c r="TTX70" s="684"/>
      <c r="TTY70" s="684"/>
      <c r="TTZ70" s="684"/>
      <c r="TUA70" s="684"/>
      <c r="TUB70" s="684"/>
      <c r="TUC70" s="684"/>
      <c r="TUD70" s="684"/>
      <c r="TUE70" s="684"/>
      <c r="TUF70" s="684"/>
      <c r="TUG70" s="684"/>
      <c r="TUH70" s="684"/>
      <c r="TUI70" s="684"/>
      <c r="TUJ70" s="684"/>
      <c r="TUK70" s="684"/>
      <c r="TUL70" s="684"/>
      <c r="TUM70" s="684"/>
      <c r="TUN70" s="684"/>
      <c r="TUO70" s="684"/>
      <c r="TUP70" s="684"/>
      <c r="TUQ70" s="684"/>
      <c r="TUR70" s="684"/>
      <c r="TUS70" s="684"/>
      <c r="TUT70" s="684"/>
      <c r="TUU70" s="684"/>
      <c r="TUV70" s="684"/>
      <c r="TUW70" s="684"/>
      <c r="TUX70" s="684"/>
      <c r="TUY70" s="684"/>
      <c r="TUZ70" s="684"/>
      <c r="TVA70" s="684"/>
      <c r="TVB70" s="684"/>
      <c r="TVC70" s="684"/>
      <c r="TVD70" s="684"/>
      <c r="TVE70" s="684"/>
      <c r="TVF70" s="684"/>
      <c r="TVG70" s="684"/>
      <c r="TVH70" s="684"/>
      <c r="TVI70" s="684"/>
      <c r="TVJ70" s="684"/>
      <c r="TVK70" s="684"/>
      <c r="TVL70" s="684"/>
      <c r="TVM70" s="684"/>
      <c r="TVN70" s="684"/>
      <c r="TVO70" s="684"/>
      <c r="TVP70" s="684"/>
      <c r="TVQ70" s="684"/>
      <c r="TVR70" s="684"/>
      <c r="TVS70" s="684"/>
      <c r="TVT70" s="684"/>
      <c r="TVU70" s="684"/>
      <c r="TVV70" s="684"/>
      <c r="TVW70" s="684"/>
      <c r="TVX70" s="684"/>
      <c r="TVY70" s="684"/>
      <c r="TVZ70" s="684"/>
      <c r="TWA70" s="684"/>
      <c r="TWB70" s="684"/>
      <c r="TWC70" s="684"/>
      <c r="TWD70" s="684"/>
      <c r="TWE70" s="684"/>
      <c r="TWF70" s="684"/>
      <c r="TWG70" s="684"/>
      <c r="TWH70" s="684"/>
      <c r="TWI70" s="684"/>
      <c r="TWJ70" s="684"/>
      <c r="TWK70" s="684"/>
      <c r="TWL70" s="684"/>
      <c r="TWM70" s="684"/>
      <c r="TWN70" s="684"/>
      <c r="TWO70" s="684"/>
      <c r="TWP70" s="684"/>
      <c r="TWQ70" s="684"/>
      <c r="TWR70" s="684"/>
      <c r="TWS70" s="684"/>
      <c r="TWT70" s="684"/>
      <c r="TWU70" s="684"/>
      <c r="TWV70" s="684"/>
      <c r="TWW70" s="684"/>
      <c r="TWX70" s="684"/>
      <c r="TWY70" s="684"/>
      <c r="TWZ70" s="684"/>
      <c r="TXA70" s="684"/>
      <c r="TXB70" s="684"/>
      <c r="TXC70" s="684"/>
      <c r="TXD70" s="684"/>
      <c r="TXE70" s="684"/>
      <c r="TXF70" s="684"/>
      <c r="TXG70" s="684"/>
      <c r="TXH70" s="684"/>
      <c r="TXI70" s="684"/>
      <c r="TXJ70" s="684"/>
      <c r="TXK70" s="684"/>
      <c r="TXL70" s="684"/>
      <c r="TXM70" s="684"/>
      <c r="TXN70" s="684"/>
      <c r="TXO70" s="684"/>
      <c r="TXP70" s="684"/>
      <c r="TXQ70" s="684"/>
      <c r="TXR70" s="684"/>
      <c r="TXS70" s="684"/>
      <c r="TXT70" s="684"/>
      <c r="TXU70" s="684"/>
      <c r="TXV70" s="684"/>
      <c r="TXW70" s="684"/>
      <c r="TXX70" s="684"/>
      <c r="TXY70" s="684"/>
      <c r="TXZ70" s="684"/>
      <c r="TYA70" s="684"/>
      <c r="TYB70" s="684"/>
      <c r="TYC70" s="684"/>
      <c r="TYD70" s="684"/>
      <c r="TYE70" s="684"/>
      <c r="TYF70" s="684"/>
      <c r="TYG70" s="684"/>
      <c r="TYH70" s="684"/>
      <c r="TYI70" s="684"/>
      <c r="TYJ70" s="684"/>
      <c r="TYK70" s="684"/>
      <c r="TYL70" s="684"/>
      <c r="TYM70" s="684"/>
      <c r="TYN70" s="684"/>
      <c r="TYO70" s="684"/>
      <c r="TYP70" s="684"/>
      <c r="TYQ70" s="684"/>
      <c r="TYR70" s="684"/>
      <c r="TYS70" s="684"/>
      <c r="TYT70" s="684"/>
      <c r="TYU70" s="684"/>
      <c r="TYV70" s="684"/>
      <c r="TYW70" s="684"/>
      <c r="TYX70" s="684"/>
      <c r="TYY70" s="684"/>
      <c r="TYZ70" s="684"/>
      <c r="TZA70" s="684"/>
      <c r="TZB70" s="684"/>
      <c r="TZC70" s="684"/>
      <c r="TZD70" s="684"/>
      <c r="TZE70" s="684"/>
      <c r="TZF70" s="684"/>
      <c r="TZG70" s="684"/>
      <c r="TZH70" s="684"/>
      <c r="TZI70" s="684"/>
      <c r="TZJ70" s="684"/>
      <c r="TZK70" s="684"/>
      <c r="TZL70" s="684"/>
      <c r="TZM70" s="684"/>
      <c r="TZN70" s="684"/>
      <c r="TZO70" s="684"/>
      <c r="TZP70" s="684"/>
      <c r="TZQ70" s="684"/>
      <c r="TZR70" s="684"/>
      <c r="TZS70" s="684"/>
      <c r="TZT70" s="684"/>
      <c r="TZU70" s="684"/>
      <c r="TZV70" s="684"/>
      <c r="TZW70" s="684"/>
      <c r="TZX70" s="684"/>
      <c r="TZY70" s="684"/>
      <c r="TZZ70" s="684"/>
      <c r="UAA70" s="684"/>
      <c r="UAB70" s="684"/>
      <c r="UAC70" s="684"/>
      <c r="UAD70" s="684"/>
      <c r="UAE70" s="684"/>
      <c r="UAF70" s="684"/>
      <c r="UAG70" s="684"/>
      <c r="UAH70" s="684"/>
      <c r="UAI70" s="684"/>
      <c r="UAJ70" s="684"/>
      <c r="UAK70" s="684"/>
      <c r="UAL70" s="684"/>
      <c r="UAM70" s="684"/>
      <c r="UAN70" s="684"/>
      <c r="UAO70" s="684"/>
      <c r="UAP70" s="684"/>
      <c r="UAQ70" s="684"/>
      <c r="UAR70" s="684"/>
      <c r="UAS70" s="684"/>
      <c r="UAT70" s="684"/>
      <c r="UAU70" s="684"/>
      <c r="UAV70" s="684"/>
      <c r="UAW70" s="684"/>
      <c r="UAX70" s="684"/>
      <c r="UAY70" s="684"/>
      <c r="UAZ70" s="684"/>
      <c r="UBA70" s="684"/>
      <c r="UBB70" s="684"/>
      <c r="UBC70" s="684"/>
      <c r="UBD70" s="684"/>
      <c r="UBE70" s="684"/>
      <c r="UBF70" s="684"/>
      <c r="UBG70" s="684"/>
      <c r="UBH70" s="684"/>
      <c r="UBI70" s="684"/>
      <c r="UBJ70" s="684"/>
      <c r="UBK70" s="684"/>
      <c r="UBL70" s="684"/>
      <c r="UBM70" s="684"/>
      <c r="UBN70" s="684"/>
      <c r="UBO70" s="684"/>
      <c r="UBP70" s="684"/>
      <c r="UBQ70" s="684"/>
      <c r="UBR70" s="684"/>
      <c r="UBS70" s="684"/>
      <c r="UBT70" s="684"/>
      <c r="UBU70" s="684"/>
      <c r="UBV70" s="684"/>
      <c r="UBW70" s="684"/>
      <c r="UBX70" s="684"/>
      <c r="UBY70" s="684"/>
      <c r="UBZ70" s="684"/>
      <c r="UCA70" s="684"/>
      <c r="UCB70" s="684"/>
      <c r="UCC70" s="684"/>
      <c r="UCD70" s="684"/>
      <c r="UCE70" s="684"/>
      <c r="UCF70" s="684"/>
      <c r="UCG70" s="684"/>
      <c r="UCH70" s="684"/>
      <c r="UCI70" s="684"/>
      <c r="UCJ70" s="684"/>
      <c r="UCK70" s="684"/>
      <c r="UCL70" s="684"/>
      <c r="UCM70" s="684"/>
      <c r="UCN70" s="684"/>
      <c r="UCO70" s="684"/>
      <c r="UCP70" s="684"/>
      <c r="UCQ70" s="684"/>
      <c r="UCR70" s="684"/>
      <c r="UCS70" s="684"/>
      <c r="UCT70" s="684"/>
      <c r="UCU70" s="684"/>
      <c r="UCV70" s="684"/>
      <c r="UCW70" s="684"/>
      <c r="UCX70" s="684"/>
      <c r="UCY70" s="684"/>
      <c r="UCZ70" s="684"/>
      <c r="UDA70" s="684"/>
      <c r="UDB70" s="684"/>
      <c r="UDC70" s="684"/>
      <c r="UDD70" s="684"/>
      <c r="UDE70" s="684"/>
      <c r="UDF70" s="684"/>
      <c r="UDG70" s="684"/>
      <c r="UDH70" s="684"/>
      <c r="UDI70" s="684"/>
      <c r="UDJ70" s="684"/>
      <c r="UDK70" s="684"/>
      <c r="UDL70" s="684"/>
      <c r="UDM70" s="684"/>
      <c r="UDN70" s="684"/>
      <c r="UDO70" s="684"/>
      <c r="UDP70" s="684"/>
      <c r="UDQ70" s="684"/>
      <c r="UDR70" s="684"/>
      <c r="UDS70" s="684"/>
      <c r="UDT70" s="684"/>
      <c r="UDU70" s="684"/>
      <c r="UDV70" s="684"/>
      <c r="UDW70" s="684"/>
      <c r="UDX70" s="684"/>
      <c r="UDY70" s="684"/>
      <c r="UDZ70" s="684"/>
      <c r="UEA70" s="684"/>
      <c r="UEB70" s="684"/>
      <c r="UEC70" s="684"/>
      <c r="UED70" s="684"/>
      <c r="UEE70" s="684"/>
      <c r="UEF70" s="684"/>
      <c r="UEG70" s="684"/>
      <c r="UEH70" s="684"/>
      <c r="UEI70" s="684"/>
      <c r="UEJ70" s="684"/>
      <c r="UEK70" s="684"/>
      <c r="UEL70" s="684"/>
      <c r="UEM70" s="684"/>
      <c r="UEN70" s="684"/>
      <c r="UEO70" s="684"/>
      <c r="UEP70" s="684"/>
      <c r="UEQ70" s="684"/>
      <c r="UER70" s="684"/>
      <c r="UES70" s="684"/>
      <c r="UET70" s="684"/>
      <c r="UEU70" s="684"/>
      <c r="UEV70" s="684"/>
      <c r="UEW70" s="684"/>
      <c r="UEX70" s="684"/>
      <c r="UEY70" s="684"/>
      <c r="UEZ70" s="684"/>
      <c r="UFA70" s="684"/>
      <c r="UFB70" s="684"/>
      <c r="UFC70" s="684"/>
      <c r="UFD70" s="684"/>
      <c r="UFE70" s="684"/>
      <c r="UFF70" s="684"/>
      <c r="UFG70" s="684"/>
      <c r="UFH70" s="684"/>
      <c r="UFI70" s="684"/>
      <c r="UFJ70" s="684"/>
      <c r="UFK70" s="684"/>
      <c r="UFL70" s="684"/>
      <c r="UFM70" s="684"/>
      <c r="UFN70" s="684"/>
      <c r="UFO70" s="684"/>
      <c r="UFP70" s="684"/>
      <c r="UFQ70" s="684"/>
      <c r="UFR70" s="684"/>
      <c r="UFS70" s="684"/>
      <c r="UFT70" s="684"/>
      <c r="UFU70" s="684"/>
      <c r="UFV70" s="684"/>
      <c r="UFW70" s="684"/>
      <c r="UFX70" s="684"/>
      <c r="UFY70" s="684"/>
      <c r="UFZ70" s="684"/>
      <c r="UGA70" s="684"/>
      <c r="UGB70" s="684"/>
      <c r="UGC70" s="684"/>
      <c r="UGD70" s="684"/>
      <c r="UGE70" s="684"/>
      <c r="UGF70" s="684"/>
      <c r="UGG70" s="684"/>
      <c r="UGH70" s="684"/>
      <c r="UGI70" s="684"/>
      <c r="UGJ70" s="684"/>
      <c r="UGK70" s="684"/>
      <c r="UGL70" s="684"/>
      <c r="UGM70" s="684"/>
      <c r="UGN70" s="684"/>
      <c r="UGO70" s="684"/>
      <c r="UGP70" s="684"/>
      <c r="UGQ70" s="684"/>
      <c r="UGR70" s="684"/>
      <c r="UGS70" s="684"/>
      <c r="UGT70" s="684"/>
      <c r="UGU70" s="684"/>
      <c r="UGV70" s="684"/>
      <c r="UGW70" s="684"/>
      <c r="UGX70" s="684"/>
      <c r="UGY70" s="684"/>
      <c r="UGZ70" s="684"/>
      <c r="UHA70" s="684"/>
      <c r="UHB70" s="684"/>
      <c r="UHC70" s="684"/>
      <c r="UHD70" s="684"/>
      <c r="UHE70" s="684"/>
      <c r="UHF70" s="684"/>
      <c r="UHG70" s="684"/>
      <c r="UHH70" s="684"/>
      <c r="UHI70" s="684"/>
      <c r="UHJ70" s="684"/>
      <c r="UHK70" s="684"/>
      <c r="UHL70" s="684"/>
      <c r="UHM70" s="684"/>
      <c r="UHN70" s="684"/>
      <c r="UHO70" s="684"/>
      <c r="UHP70" s="684"/>
      <c r="UHQ70" s="684"/>
      <c r="UHR70" s="684"/>
      <c r="UHS70" s="684"/>
      <c r="UHT70" s="684"/>
      <c r="UHU70" s="684"/>
      <c r="UHV70" s="684"/>
      <c r="UHW70" s="684"/>
      <c r="UHX70" s="684"/>
      <c r="UHY70" s="684"/>
      <c r="UHZ70" s="684"/>
      <c r="UIA70" s="684"/>
      <c r="UIB70" s="684"/>
      <c r="UIC70" s="684"/>
      <c r="UID70" s="684"/>
      <c r="UIE70" s="684"/>
      <c r="UIF70" s="684"/>
      <c r="UIG70" s="684"/>
      <c r="UIH70" s="684"/>
      <c r="UII70" s="684"/>
      <c r="UIJ70" s="684"/>
      <c r="UIK70" s="684"/>
      <c r="UIL70" s="684"/>
      <c r="UIM70" s="684"/>
      <c r="UIN70" s="684"/>
      <c r="UIO70" s="684"/>
      <c r="UIP70" s="684"/>
      <c r="UIQ70" s="684"/>
      <c r="UIR70" s="684"/>
      <c r="UIS70" s="684"/>
      <c r="UIT70" s="684"/>
      <c r="UIU70" s="684"/>
      <c r="UIV70" s="684"/>
      <c r="UIW70" s="684"/>
      <c r="UIX70" s="684"/>
      <c r="UIY70" s="684"/>
      <c r="UIZ70" s="684"/>
      <c r="UJA70" s="684"/>
      <c r="UJB70" s="684"/>
      <c r="UJC70" s="684"/>
      <c r="UJD70" s="684"/>
      <c r="UJE70" s="684"/>
      <c r="UJF70" s="684"/>
      <c r="UJG70" s="684"/>
      <c r="UJH70" s="684"/>
      <c r="UJI70" s="684"/>
      <c r="UJJ70" s="684"/>
      <c r="UJK70" s="684"/>
      <c r="UJL70" s="684"/>
      <c r="UJM70" s="684"/>
      <c r="UJN70" s="684"/>
      <c r="UJO70" s="684"/>
      <c r="UJP70" s="684"/>
      <c r="UJQ70" s="684"/>
      <c r="UJR70" s="684"/>
      <c r="UJS70" s="684"/>
      <c r="UJT70" s="684"/>
      <c r="UJU70" s="684"/>
      <c r="UJV70" s="684"/>
      <c r="UJW70" s="684"/>
      <c r="UJX70" s="684"/>
      <c r="UJY70" s="684"/>
      <c r="UJZ70" s="684"/>
      <c r="UKA70" s="684"/>
      <c r="UKB70" s="684"/>
      <c r="UKC70" s="684"/>
      <c r="UKD70" s="684"/>
      <c r="UKE70" s="684"/>
      <c r="UKF70" s="684"/>
      <c r="UKG70" s="684"/>
      <c r="UKH70" s="684"/>
      <c r="UKI70" s="684"/>
      <c r="UKJ70" s="684"/>
      <c r="UKK70" s="684"/>
      <c r="UKL70" s="684"/>
      <c r="UKM70" s="684"/>
      <c r="UKN70" s="684"/>
      <c r="UKO70" s="684"/>
      <c r="UKP70" s="684"/>
      <c r="UKQ70" s="684"/>
      <c r="UKR70" s="684"/>
      <c r="UKS70" s="684"/>
      <c r="UKT70" s="684"/>
      <c r="UKU70" s="684"/>
      <c r="UKV70" s="684"/>
      <c r="UKW70" s="684"/>
      <c r="UKX70" s="684"/>
      <c r="UKY70" s="684"/>
      <c r="UKZ70" s="684"/>
      <c r="ULA70" s="684"/>
      <c r="ULB70" s="684"/>
      <c r="ULC70" s="684"/>
      <c r="ULD70" s="684"/>
      <c r="ULE70" s="684"/>
      <c r="ULF70" s="684"/>
      <c r="ULG70" s="684"/>
      <c r="ULH70" s="684"/>
      <c r="ULI70" s="684"/>
      <c r="ULJ70" s="684"/>
      <c r="ULK70" s="684"/>
      <c r="ULL70" s="684"/>
      <c r="ULM70" s="684"/>
      <c r="ULN70" s="684"/>
      <c r="ULO70" s="684"/>
      <c r="ULP70" s="684"/>
      <c r="ULQ70" s="684"/>
      <c r="ULR70" s="684"/>
      <c r="ULS70" s="684"/>
      <c r="ULT70" s="684"/>
      <c r="ULU70" s="684"/>
      <c r="ULV70" s="684"/>
      <c r="ULW70" s="684"/>
      <c r="ULX70" s="684"/>
      <c r="ULY70" s="684"/>
      <c r="ULZ70" s="684"/>
      <c r="UMA70" s="684"/>
      <c r="UMB70" s="684"/>
      <c r="UMC70" s="684"/>
      <c r="UMD70" s="684"/>
      <c r="UME70" s="684"/>
      <c r="UMF70" s="684"/>
      <c r="UMG70" s="684"/>
      <c r="UMH70" s="684"/>
      <c r="UMI70" s="684"/>
      <c r="UMJ70" s="684"/>
      <c r="UMK70" s="684"/>
      <c r="UML70" s="684"/>
      <c r="UMM70" s="684"/>
      <c r="UMN70" s="684"/>
      <c r="UMO70" s="684"/>
      <c r="UMP70" s="684"/>
      <c r="UMQ70" s="684"/>
      <c r="UMR70" s="684"/>
      <c r="UMS70" s="684"/>
      <c r="UMT70" s="684"/>
      <c r="UMU70" s="684"/>
      <c r="UMV70" s="684"/>
      <c r="UMW70" s="684"/>
      <c r="UMX70" s="684"/>
      <c r="UMY70" s="684"/>
      <c r="UMZ70" s="684"/>
      <c r="UNA70" s="684"/>
      <c r="UNB70" s="684"/>
      <c r="UNC70" s="684"/>
      <c r="UND70" s="684"/>
      <c r="UNE70" s="684"/>
      <c r="UNF70" s="684"/>
      <c r="UNG70" s="684"/>
      <c r="UNH70" s="684"/>
      <c r="UNI70" s="684"/>
      <c r="UNJ70" s="684"/>
      <c r="UNK70" s="684"/>
      <c r="UNL70" s="684"/>
      <c r="UNM70" s="684"/>
      <c r="UNN70" s="684"/>
      <c r="UNO70" s="684"/>
      <c r="UNP70" s="684"/>
      <c r="UNQ70" s="684"/>
      <c r="UNR70" s="684"/>
      <c r="UNS70" s="684"/>
      <c r="UNT70" s="684"/>
      <c r="UNU70" s="684"/>
      <c r="UNV70" s="684"/>
      <c r="UNW70" s="684"/>
      <c r="UNX70" s="684"/>
      <c r="UNY70" s="684"/>
      <c r="UNZ70" s="684"/>
      <c r="UOA70" s="684"/>
      <c r="UOB70" s="684"/>
      <c r="UOC70" s="684"/>
      <c r="UOD70" s="684"/>
      <c r="UOE70" s="684"/>
      <c r="UOF70" s="684"/>
      <c r="UOG70" s="684"/>
      <c r="UOH70" s="684"/>
      <c r="UOI70" s="684"/>
      <c r="UOJ70" s="684"/>
      <c r="UOK70" s="684"/>
      <c r="UOL70" s="684"/>
      <c r="UOM70" s="684"/>
      <c r="UON70" s="684"/>
      <c r="UOO70" s="684"/>
      <c r="UOP70" s="684"/>
      <c r="UOQ70" s="684"/>
      <c r="UOR70" s="684"/>
      <c r="UOS70" s="684"/>
      <c r="UOT70" s="684"/>
      <c r="UOU70" s="684"/>
      <c r="UOV70" s="684"/>
      <c r="UOW70" s="684"/>
      <c r="UOX70" s="684"/>
      <c r="UOY70" s="684"/>
      <c r="UOZ70" s="684"/>
      <c r="UPA70" s="684"/>
      <c r="UPB70" s="684"/>
      <c r="UPC70" s="684"/>
      <c r="UPD70" s="684"/>
      <c r="UPE70" s="684"/>
      <c r="UPF70" s="684"/>
      <c r="UPG70" s="684"/>
      <c r="UPH70" s="684"/>
      <c r="UPI70" s="684"/>
      <c r="UPJ70" s="684"/>
      <c r="UPK70" s="684"/>
      <c r="UPL70" s="684"/>
      <c r="UPM70" s="684"/>
      <c r="UPN70" s="684"/>
      <c r="UPO70" s="684"/>
      <c r="UPP70" s="684"/>
      <c r="UPQ70" s="684"/>
      <c r="UPR70" s="684"/>
      <c r="UPS70" s="684"/>
      <c r="UPT70" s="684"/>
      <c r="UPU70" s="684"/>
      <c r="UPV70" s="684"/>
      <c r="UPW70" s="684"/>
      <c r="UPX70" s="684"/>
      <c r="UPY70" s="684"/>
      <c r="UPZ70" s="684"/>
      <c r="UQA70" s="684"/>
      <c r="UQB70" s="684"/>
      <c r="UQC70" s="684"/>
      <c r="UQD70" s="684"/>
      <c r="UQE70" s="684"/>
      <c r="UQF70" s="684"/>
      <c r="UQG70" s="684"/>
      <c r="UQH70" s="684"/>
      <c r="UQI70" s="684"/>
      <c r="UQJ70" s="684"/>
      <c r="UQK70" s="684"/>
      <c r="UQL70" s="684"/>
      <c r="UQM70" s="684"/>
      <c r="UQN70" s="684"/>
      <c r="UQO70" s="684"/>
      <c r="UQP70" s="684"/>
      <c r="UQQ70" s="684"/>
      <c r="UQR70" s="684"/>
      <c r="UQS70" s="684"/>
      <c r="UQT70" s="684"/>
      <c r="UQU70" s="684"/>
      <c r="UQV70" s="684"/>
      <c r="UQW70" s="684"/>
      <c r="UQX70" s="684"/>
      <c r="UQY70" s="684"/>
      <c r="UQZ70" s="684"/>
      <c r="URA70" s="684"/>
      <c r="URB70" s="684"/>
      <c r="URC70" s="684"/>
      <c r="URD70" s="684"/>
      <c r="URE70" s="684"/>
      <c r="URF70" s="684"/>
      <c r="URG70" s="684"/>
      <c r="URH70" s="684"/>
      <c r="URI70" s="684"/>
      <c r="URJ70" s="684"/>
      <c r="URK70" s="684"/>
      <c r="URL70" s="684"/>
      <c r="URM70" s="684"/>
      <c r="URN70" s="684"/>
      <c r="URO70" s="684"/>
      <c r="URP70" s="684"/>
      <c r="URQ70" s="684"/>
      <c r="URR70" s="684"/>
      <c r="URS70" s="684"/>
      <c r="URT70" s="684"/>
      <c r="URU70" s="684"/>
      <c r="URV70" s="684"/>
      <c r="URW70" s="684"/>
      <c r="URX70" s="684"/>
      <c r="URY70" s="684"/>
      <c r="URZ70" s="684"/>
      <c r="USA70" s="684"/>
      <c r="USB70" s="684"/>
      <c r="USC70" s="684"/>
      <c r="USD70" s="684"/>
      <c r="USE70" s="684"/>
      <c r="USF70" s="684"/>
      <c r="USG70" s="684"/>
      <c r="USH70" s="684"/>
      <c r="USI70" s="684"/>
      <c r="USJ70" s="684"/>
      <c r="USK70" s="684"/>
      <c r="USL70" s="684"/>
      <c r="USM70" s="684"/>
      <c r="USN70" s="684"/>
      <c r="USO70" s="684"/>
      <c r="USP70" s="684"/>
      <c r="USQ70" s="684"/>
      <c r="USR70" s="684"/>
      <c r="USS70" s="684"/>
      <c r="UST70" s="684"/>
      <c r="USU70" s="684"/>
      <c r="USV70" s="684"/>
      <c r="USW70" s="684"/>
      <c r="USX70" s="684"/>
      <c r="USY70" s="684"/>
      <c r="USZ70" s="684"/>
      <c r="UTA70" s="684"/>
      <c r="UTB70" s="684"/>
      <c r="UTC70" s="684"/>
      <c r="UTD70" s="684"/>
      <c r="UTE70" s="684"/>
      <c r="UTF70" s="684"/>
      <c r="UTG70" s="684"/>
      <c r="UTH70" s="684"/>
      <c r="UTI70" s="684"/>
      <c r="UTJ70" s="684"/>
      <c r="UTK70" s="684"/>
      <c r="UTL70" s="684"/>
      <c r="UTM70" s="684"/>
      <c r="UTN70" s="684"/>
      <c r="UTO70" s="684"/>
      <c r="UTP70" s="684"/>
      <c r="UTQ70" s="684"/>
      <c r="UTR70" s="684"/>
      <c r="UTS70" s="684"/>
      <c r="UTT70" s="684"/>
      <c r="UTU70" s="684"/>
      <c r="UTV70" s="684"/>
      <c r="UTW70" s="684"/>
      <c r="UTX70" s="684"/>
      <c r="UTY70" s="684"/>
      <c r="UTZ70" s="684"/>
      <c r="UUA70" s="684"/>
      <c r="UUB70" s="684"/>
      <c r="UUC70" s="684"/>
      <c r="UUD70" s="684"/>
      <c r="UUE70" s="684"/>
      <c r="UUF70" s="684"/>
      <c r="UUG70" s="684"/>
      <c r="UUH70" s="684"/>
      <c r="UUI70" s="684"/>
      <c r="UUJ70" s="684"/>
      <c r="UUK70" s="684"/>
      <c r="UUL70" s="684"/>
      <c r="UUM70" s="684"/>
      <c r="UUN70" s="684"/>
      <c r="UUO70" s="684"/>
      <c r="UUP70" s="684"/>
      <c r="UUQ70" s="684"/>
      <c r="UUR70" s="684"/>
      <c r="UUS70" s="684"/>
      <c r="UUT70" s="684"/>
      <c r="UUU70" s="684"/>
      <c r="UUV70" s="684"/>
      <c r="UUW70" s="684"/>
      <c r="UUX70" s="684"/>
      <c r="UUY70" s="684"/>
      <c r="UUZ70" s="684"/>
      <c r="UVA70" s="684"/>
      <c r="UVB70" s="684"/>
      <c r="UVC70" s="684"/>
      <c r="UVD70" s="684"/>
      <c r="UVE70" s="684"/>
      <c r="UVF70" s="684"/>
      <c r="UVG70" s="684"/>
      <c r="UVH70" s="684"/>
      <c r="UVI70" s="684"/>
      <c r="UVJ70" s="684"/>
      <c r="UVK70" s="684"/>
      <c r="UVL70" s="684"/>
      <c r="UVM70" s="684"/>
      <c r="UVN70" s="684"/>
      <c r="UVO70" s="684"/>
      <c r="UVP70" s="684"/>
      <c r="UVQ70" s="684"/>
      <c r="UVR70" s="684"/>
      <c r="UVS70" s="684"/>
      <c r="UVT70" s="684"/>
      <c r="UVU70" s="684"/>
      <c r="UVV70" s="684"/>
      <c r="UVW70" s="684"/>
      <c r="UVX70" s="684"/>
      <c r="UVY70" s="684"/>
      <c r="UVZ70" s="684"/>
      <c r="UWA70" s="684"/>
      <c r="UWB70" s="684"/>
      <c r="UWC70" s="684"/>
      <c r="UWD70" s="684"/>
      <c r="UWE70" s="684"/>
      <c r="UWF70" s="684"/>
      <c r="UWG70" s="684"/>
      <c r="UWH70" s="684"/>
      <c r="UWI70" s="684"/>
      <c r="UWJ70" s="684"/>
      <c r="UWK70" s="684"/>
      <c r="UWL70" s="684"/>
      <c r="UWM70" s="684"/>
      <c r="UWN70" s="684"/>
      <c r="UWO70" s="684"/>
      <c r="UWP70" s="684"/>
      <c r="UWQ70" s="684"/>
      <c r="UWR70" s="684"/>
      <c r="UWS70" s="684"/>
      <c r="UWT70" s="684"/>
      <c r="UWU70" s="684"/>
      <c r="UWV70" s="684"/>
      <c r="UWW70" s="684"/>
      <c r="UWX70" s="684"/>
      <c r="UWY70" s="684"/>
      <c r="UWZ70" s="684"/>
      <c r="UXA70" s="684"/>
      <c r="UXB70" s="684"/>
      <c r="UXC70" s="684"/>
      <c r="UXD70" s="684"/>
      <c r="UXE70" s="684"/>
      <c r="UXF70" s="684"/>
      <c r="UXG70" s="684"/>
      <c r="UXH70" s="684"/>
      <c r="UXI70" s="684"/>
      <c r="UXJ70" s="684"/>
      <c r="UXK70" s="684"/>
      <c r="UXL70" s="684"/>
      <c r="UXM70" s="684"/>
      <c r="UXN70" s="684"/>
      <c r="UXO70" s="684"/>
      <c r="UXP70" s="684"/>
      <c r="UXQ70" s="684"/>
      <c r="UXR70" s="684"/>
      <c r="UXS70" s="684"/>
      <c r="UXT70" s="684"/>
      <c r="UXU70" s="684"/>
      <c r="UXV70" s="684"/>
      <c r="UXW70" s="684"/>
      <c r="UXX70" s="684"/>
      <c r="UXY70" s="684"/>
      <c r="UXZ70" s="684"/>
      <c r="UYA70" s="684"/>
      <c r="UYB70" s="684"/>
      <c r="UYC70" s="684"/>
      <c r="UYD70" s="684"/>
      <c r="UYE70" s="684"/>
      <c r="UYF70" s="684"/>
      <c r="UYG70" s="684"/>
      <c r="UYH70" s="684"/>
      <c r="UYI70" s="684"/>
      <c r="UYJ70" s="684"/>
      <c r="UYK70" s="684"/>
      <c r="UYL70" s="684"/>
      <c r="UYM70" s="684"/>
      <c r="UYN70" s="684"/>
      <c r="UYO70" s="684"/>
      <c r="UYP70" s="684"/>
      <c r="UYQ70" s="684"/>
      <c r="UYR70" s="684"/>
      <c r="UYS70" s="684"/>
      <c r="UYT70" s="684"/>
      <c r="UYU70" s="684"/>
      <c r="UYV70" s="684"/>
      <c r="UYW70" s="684"/>
      <c r="UYX70" s="684"/>
      <c r="UYY70" s="684"/>
      <c r="UYZ70" s="684"/>
      <c r="UZA70" s="684"/>
      <c r="UZB70" s="684"/>
      <c r="UZC70" s="684"/>
      <c r="UZD70" s="684"/>
      <c r="UZE70" s="684"/>
      <c r="UZF70" s="684"/>
      <c r="UZG70" s="684"/>
      <c r="UZH70" s="684"/>
      <c r="UZI70" s="684"/>
      <c r="UZJ70" s="684"/>
      <c r="UZK70" s="684"/>
      <c r="UZL70" s="684"/>
      <c r="UZM70" s="684"/>
      <c r="UZN70" s="684"/>
      <c r="UZO70" s="684"/>
      <c r="UZP70" s="684"/>
      <c r="UZQ70" s="684"/>
      <c r="UZR70" s="684"/>
      <c r="UZS70" s="684"/>
      <c r="UZT70" s="684"/>
      <c r="UZU70" s="684"/>
      <c r="UZV70" s="684"/>
      <c r="UZW70" s="684"/>
      <c r="UZX70" s="684"/>
      <c r="UZY70" s="684"/>
      <c r="UZZ70" s="684"/>
      <c r="VAA70" s="684"/>
      <c r="VAB70" s="684"/>
      <c r="VAC70" s="684"/>
      <c r="VAD70" s="684"/>
      <c r="VAE70" s="684"/>
      <c r="VAF70" s="684"/>
      <c r="VAG70" s="684"/>
      <c r="VAH70" s="684"/>
      <c r="VAI70" s="684"/>
      <c r="VAJ70" s="684"/>
      <c r="VAK70" s="684"/>
      <c r="VAL70" s="684"/>
      <c r="VAM70" s="684"/>
      <c r="VAN70" s="684"/>
      <c r="VAO70" s="684"/>
      <c r="VAP70" s="684"/>
      <c r="VAQ70" s="684"/>
      <c r="VAR70" s="684"/>
      <c r="VAS70" s="684"/>
      <c r="VAT70" s="684"/>
      <c r="VAU70" s="684"/>
      <c r="VAV70" s="684"/>
      <c r="VAW70" s="684"/>
      <c r="VAX70" s="684"/>
      <c r="VAY70" s="684"/>
      <c r="VAZ70" s="684"/>
      <c r="VBA70" s="684"/>
      <c r="VBB70" s="684"/>
      <c r="VBC70" s="684"/>
      <c r="VBD70" s="684"/>
      <c r="VBE70" s="684"/>
      <c r="VBF70" s="684"/>
      <c r="VBG70" s="684"/>
      <c r="VBH70" s="684"/>
      <c r="VBI70" s="684"/>
      <c r="VBJ70" s="684"/>
      <c r="VBK70" s="684"/>
      <c r="VBL70" s="684"/>
      <c r="VBM70" s="684"/>
      <c r="VBN70" s="684"/>
      <c r="VBO70" s="684"/>
      <c r="VBP70" s="684"/>
      <c r="VBQ70" s="684"/>
      <c r="VBR70" s="684"/>
      <c r="VBS70" s="684"/>
      <c r="VBT70" s="684"/>
      <c r="VBU70" s="684"/>
      <c r="VBV70" s="684"/>
      <c r="VBW70" s="684"/>
      <c r="VBX70" s="684"/>
      <c r="VBY70" s="684"/>
      <c r="VBZ70" s="684"/>
      <c r="VCA70" s="684"/>
      <c r="VCB70" s="684"/>
      <c r="VCC70" s="684"/>
      <c r="VCD70" s="684"/>
      <c r="VCE70" s="684"/>
      <c r="VCF70" s="684"/>
      <c r="VCG70" s="684"/>
      <c r="VCH70" s="684"/>
      <c r="VCI70" s="684"/>
      <c r="VCJ70" s="684"/>
      <c r="VCK70" s="684"/>
      <c r="VCL70" s="684"/>
      <c r="VCM70" s="684"/>
      <c r="VCN70" s="684"/>
      <c r="VCO70" s="684"/>
      <c r="VCP70" s="684"/>
      <c r="VCQ70" s="684"/>
      <c r="VCR70" s="684"/>
      <c r="VCS70" s="684"/>
      <c r="VCT70" s="684"/>
      <c r="VCU70" s="684"/>
      <c r="VCV70" s="684"/>
      <c r="VCW70" s="684"/>
      <c r="VCX70" s="684"/>
      <c r="VCY70" s="684"/>
      <c r="VCZ70" s="684"/>
      <c r="VDA70" s="684"/>
      <c r="VDB70" s="684"/>
      <c r="VDC70" s="684"/>
      <c r="VDD70" s="684"/>
      <c r="VDE70" s="684"/>
      <c r="VDF70" s="684"/>
      <c r="VDG70" s="684"/>
      <c r="VDH70" s="684"/>
      <c r="VDI70" s="684"/>
      <c r="VDJ70" s="684"/>
      <c r="VDK70" s="684"/>
      <c r="VDL70" s="684"/>
      <c r="VDM70" s="684"/>
      <c r="VDN70" s="684"/>
      <c r="VDO70" s="684"/>
      <c r="VDP70" s="684"/>
      <c r="VDQ70" s="684"/>
      <c r="VDR70" s="684"/>
      <c r="VDS70" s="684"/>
      <c r="VDT70" s="684"/>
      <c r="VDU70" s="684"/>
      <c r="VDV70" s="684"/>
      <c r="VDW70" s="684"/>
      <c r="VDX70" s="684"/>
      <c r="VDY70" s="684"/>
      <c r="VDZ70" s="684"/>
      <c r="VEA70" s="684"/>
      <c r="VEB70" s="684"/>
      <c r="VEC70" s="684"/>
      <c r="VED70" s="684"/>
      <c r="VEE70" s="684"/>
      <c r="VEF70" s="684"/>
      <c r="VEG70" s="684"/>
      <c r="VEH70" s="684"/>
      <c r="VEI70" s="684"/>
      <c r="VEJ70" s="684"/>
      <c r="VEK70" s="684"/>
      <c r="VEL70" s="684"/>
      <c r="VEM70" s="684"/>
      <c r="VEN70" s="684"/>
      <c r="VEO70" s="684"/>
      <c r="VEP70" s="684"/>
      <c r="VEQ70" s="684"/>
      <c r="VER70" s="684"/>
      <c r="VES70" s="684"/>
      <c r="VET70" s="684"/>
      <c r="VEU70" s="684"/>
      <c r="VEV70" s="684"/>
      <c r="VEW70" s="684"/>
      <c r="VEX70" s="684"/>
      <c r="VEY70" s="684"/>
      <c r="VEZ70" s="684"/>
      <c r="VFA70" s="684"/>
      <c r="VFB70" s="684"/>
      <c r="VFC70" s="684"/>
      <c r="VFD70" s="684"/>
      <c r="VFE70" s="684"/>
      <c r="VFF70" s="684"/>
      <c r="VFG70" s="684"/>
      <c r="VFH70" s="684"/>
      <c r="VFI70" s="684"/>
      <c r="VFJ70" s="684"/>
      <c r="VFK70" s="684"/>
      <c r="VFL70" s="684"/>
      <c r="VFM70" s="684"/>
      <c r="VFN70" s="684"/>
      <c r="VFO70" s="684"/>
      <c r="VFP70" s="684"/>
      <c r="VFQ70" s="684"/>
      <c r="VFR70" s="684"/>
      <c r="VFS70" s="684"/>
      <c r="VFT70" s="684"/>
      <c r="VFU70" s="684"/>
      <c r="VFV70" s="684"/>
      <c r="VFW70" s="684"/>
      <c r="VFX70" s="684"/>
      <c r="VFY70" s="684"/>
      <c r="VFZ70" s="684"/>
      <c r="VGA70" s="684"/>
      <c r="VGB70" s="684"/>
      <c r="VGC70" s="684"/>
      <c r="VGD70" s="684"/>
      <c r="VGE70" s="684"/>
      <c r="VGF70" s="684"/>
      <c r="VGG70" s="684"/>
      <c r="VGH70" s="684"/>
      <c r="VGI70" s="684"/>
      <c r="VGJ70" s="684"/>
      <c r="VGK70" s="684"/>
      <c r="VGL70" s="684"/>
      <c r="VGM70" s="684"/>
      <c r="VGN70" s="684"/>
      <c r="VGO70" s="684"/>
      <c r="VGP70" s="684"/>
      <c r="VGQ70" s="684"/>
      <c r="VGR70" s="684"/>
      <c r="VGS70" s="684"/>
      <c r="VGT70" s="684"/>
      <c r="VGU70" s="684"/>
      <c r="VGV70" s="684"/>
      <c r="VGW70" s="684"/>
      <c r="VGX70" s="684"/>
      <c r="VGY70" s="684"/>
      <c r="VGZ70" s="684"/>
      <c r="VHA70" s="684"/>
      <c r="VHB70" s="684"/>
      <c r="VHC70" s="684"/>
      <c r="VHD70" s="684"/>
      <c r="VHE70" s="684"/>
      <c r="VHF70" s="684"/>
      <c r="VHG70" s="684"/>
      <c r="VHH70" s="684"/>
      <c r="VHI70" s="684"/>
      <c r="VHJ70" s="684"/>
      <c r="VHK70" s="684"/>
      <c r="VHL70" s="684"/>
      <c r="VHM70" s="684"/>
      <c r="VHN70" s="684"/>
      <c r="VHO70" s="684"/>
      <c r="VHP70" s="684"/>
      <c r="VHQ70" s="684"/>
      <c r="VHR70" s="684"/>
      <c r="VHS70" s="684"/>
      <c r="VHT70" s="684"/>
      <c r="VHU70" s="684"/>
      <c r="VHV70" s="684"/>
      <c r="VHW70" s="684"/>
      <c r="VHX70" s="684"/>
      <c r="VHY70" s="684"/>
      <c r="VHZ70" s="684"/>
      <c r="VIA70" s="684"/>
      <c r="VIB70" s="684"/>
      <c r="VIC70" s="684"/>
      <c r="VID70" s="684"/>
      <c r="VIE70" s="684"/>
      <c r="VIF70" s="684"/>
      <c r="VIG70" s="684"/>
      <c r="VIH70" s="684"/>
      <c r="VII70" s="684"/>
      <c r="VIJ70" s="684"/>
      <c r="VIK70" s="684"/>
      <c r="VIL70" s="684"/>
      <c r="VIM70" s="684"/>
      <c r="VIN70" s="684"/>
      <c r="VIO70" s="684"/>
      <c r="VIP70" s="684"/>
      <c r="VIQ70" s="684"/>
      <c r="VIR70" s="684"/>
      <c r="VIS70" s="684"/>
      <c r="VIT70" s="684"/>
      <c r="VIU70" s="684"/>
      <c r="VIV70" s="684"/>
      <c r="VIW70" s="684"/>
      <c r="VIX70" s="684"/>
      <c r="VIY70" s="684"/>
      <c r="VIZ70" s="684"/>
      <c r="VJA70" s="684"/>
      <c r="VJB70" s="684"/>
      <c r="VJC70" s="684"/>
      <c r="VJD70" s="684"/>
      <c r="VJE70" s="684"/>
      <c r="VJF70" s="684"/>
      <c r="VJG70" s="684"/>
      <c r="VJH70" s="684"/>
      <c r="VJI70" s="684"/>
      <c r="VJJ70" s="684"/>
      <c r="VJK70" s="684"/>
      <c r="VJL70" s="684"/>
      <c r="VJM70" s="684"/>
      <c r="VJN70" s="684"/>
      <c r="VJO70" s="684"/>
      <c r="VJP70" s="684"/>
      <c r="VJQ70" s="684"/>
      <c r="VJR70" s="684"/>
      <c r="VJS70" s="684"/>
      <c r="VJT70" s="684"/>
      <c r="VJU70" s="684"/>
      <c r="VJV70" s="684"/>
      <c r="VJW70" s="684"/>
      <c r="VJX70" s="684"/>
      <c r="VJY70" s="684"/>
      <c r="VJZ70" s="684"/>
      <c r="VKA70" s="684"/>
      <c r="VKB70" s="684"/>
      <c r="VKC70" s="684"/>
      <c r="VKD70" s="684"/>
      <c r="VKE70" s="684"/>
      <c r="VKF70" s="684"/>
      <c r="VKG70" s="684"/>
      <c r="VKH70" s="684"/>
      <c r="VKI70" s="684"/>
      <c r="VKJ70" s="684"/>
      <c r="VKK70" s="684"/>
      <c r="VKL70" s="684"/>
      <c r="VKM70" s="684"/>
      <c r="VKN70" s="684"/>
      <c r="VKO70" s="684"/>
      <c r="VKP70" s="684"/>
      <c r="VKQ70" s="684"/>
      <c r="VKR70" s="684"/>
      <c r="VKS70" s="684"/>
      <c r="VKT70" s="684"/>
      <c r="VKU70" s="684"/>
      <c r="VKV70" s="684"/>
      <c r="VKW70" s="684"/>
      <c r="VKX70" s="684"/>
      <c r="VKY70" s="684"/>
      <c r="VKZ70" s="684"/>
      <c r="VLA70" s="684"/>
      <c r="VLB70" s="684"/>
      <c r="VLC70" s="684"/>
      <c r="VLD70" s="684"/>
      <c r="VLE70" s="684"/>
      <c r="VLF70" s="684"/>
      <c r="VLG70" s="684"/>
      <c r="VLH70" s="684"/>
      <c r="VLI70" s="684"/>
      <c r="VLJ70" s="684"/>
      <c r="VLK70" s="684"/>
      <c r="VLL70" s="684"/>
      <c r="VLM70" s="684"/>
      <c r="VLN70" s="684"/>
      <c r="VLO70" s="684"/>
      <c r="VLP70" s="684"/>
      <c r="VLQ70" s="684"/>
      <c r="VLR70" s="684"/>
      <c r="VLS70" s="684"/>
      <c r="VLT70" s="684"/>
      <c r="VLU70" s="684"/>
      <c r="VLV70" s="684"/>
      <c r="VLW70" s="684"/>
      <c r="VLX70" s="684"/>
      <c r="VLY70" s="684"/>
      <c r="VLZ70" s="684"/>
      <c r="VMA70" s="684"/>
      <c r="VMB70" s="684"/>
      <c r="VMC70" s="684"/>
      <c r="VMD70" s="684"/>
      <c r="VME70" s="684"/>
      <c r="VMF70" s="684"/>
      <c r="VMG70" s="684"/>
      <c r="VMH70" s="684"/>
      <c r="VMI70" s="684"/>
      <c r="VMJ70" s="684"/>
      <c r="VMK70" s="684"/>
      <c r="VML70" s="684"/>
      <c r="VMM70" s="684"/>
      <c r="VMN70" s="684"/>
      <c r="VMO70" s="684"/>
      <c r="VMP70" s="684"/>
      <c r="VMQ70" s="684"/>
      <c r="VMR70" s="684"/>
      <c r="VMS70" s="684"/>
      <c r="VMT70" s="684"/>
      <c r="VMU70" s="684"/>
      <c r="VMV70" s="684"/>
      <c r="VMW70" s="684"/>
      <c r="VMX70" s="684"/>
      <c r="VMY70" s="684"/>
      <c r="VMZ70" s="684"/>
      <c r="VNA70" s="684"/>
      <c r="VNB70" s="684"/>
      <c r="VNC70" s="684"/>
      <c r="VND70" s="684"/>
      <c r="VNE70" s="684"/>
      <c r="VNF70" s="684"/>
      <c r="VNG70" s="684"/>
      <c r="VNH70" s="684"/>
      <c r="VNI70" s="684"/>
      <c r="VNJ70" s="684"/>
      <c r="VNK70" s="684"/>
      <c r="VNL70" s="684"/>
      <c r="VNM70" s="684"/>
      <c r="VNN70" s="684"/>
      <c r="VNO70" s="684"/>
      <c r="VNP70" s="684"/>
      <c r="VNQ70" s="684"/>
      <c r="VNR70" s="684"/>
      <c r="VNS70" s="684"/>
      <c r="VNT70" s="684"/>
      <c r="VNU70" s="684"/>
      <c r="VNV70" s="684"/>
      <c r="VNW70" s="684"/>
      <c r="VNX70" s="684"/>
      <c r="VNY70" s="684"/>
      <c r="VNZ70" s="684"/>
      <c r="VOA70" s="684"/>
      <c r="VOB70" s="684"/>
      <c r="VOC70" s="684"/>
      <c r="VOD70" s="684"/>
      <c r="VOE70" s="684"/>
      <c r="VOF70" s="684"/>
      <c r="VOG70" s="684"/>
      <c r="VOH70" s="684"/>
      <c r="VOI70" s="684"/>
      <c r="VOJ70" s="684"/>
      <c r="VOK70" s="684"/>
      <c r="VOL70" s="684"/>
      <c r="VOM70" s="684"/>
      <c r="VON70" s="684"/>
      <c r="VOO70" s="684"/>
      <c r="VOP70" s="684"/>
      <c r="VOQ70" s="684"/>
      <c r="VOR70" s="684"/>
      <c r="VOS70" s="684"/>
      <c r="VOT70" s="684"/>
      <c r="VOU70" s="684"/>
      <c r="VOV70" s="684"/>
      <c r="VOW70" s="684"/>
      <c r="VOX70" s="684"/>
      <c r="VOY70" s="684"/>
      <c r="VOZ70" s="684"/>
      <c r="VPA70" s="684"/>
      <c r="VPB70" s="684"/>
      <c r="VPC70" s="684"/>
      <c r="VPD70" s="684"/>
      <c r="VPE70" s="684"/>
      <c r="VPF70" s="684"/>
      <c r="VPG70" s="684"/>
      <c r="VPH70" s="684"/>
      <c r="VPI70" s="684"/>
      <c r="VPJ70" s="684"/>
      <c r="VPK70" s="684"/>
      <c r="VPL70" s="684"/>
      <c r="VPM70" s="684"/>
      <c r="VPN70" s="684"/>
      <c r="VPO70" s="684"/>
      <c r="VPP70" s="684"/>
      <c r="VPQ70" s="684"/>
      <c r="VPR70" s="684"/>
      <c r="VPS70" s="684"/>
      <c r="VPT70" s="684"/>
      <c r="VPU70" s="684"/>
      <c r="VPV70" s="684"/>
      <c r="VPW70" s="684"/>
      <c r="VPX70" s="684"/>
      <c r="VPY70" s="684"/>
      <c r="VPZ70" s="684"/>
      <c r="VQA70" s="684"/>
      <c r="VQB70" s="684"/>
      <c r="VQC70" s="684"/>
      <c r="VQD70" s="684"/>
      <c r="VQE70" s="684"/>
      <c r="VQF70" s="684"/>
      <c r="VQG70" s="684"/>
      <c r="VQH70" s="684"/>
      <c r="VQI70" s="684"/>
      <c r="VQJ70" s="684"/>
      <c r="VQK70" s="684"/>
      <c r="VQL70" s="684"/>
      <c r="VQM70" s="684"/>
      <c r="VQN70" s="684"/>
      <c r="VQO70" s="684"/>
      <c r="VQP70" s="684"/>
      <c r="VQQ70" s="684"/>
      <c r="VQR70" s="684"/>
      <c r="VQS70" s="684"/>
      <c r="VQT70" s="684"/>
      <c r="VQU70" s="684"/>
      <c r="VQV70" s="684"/>
      <c r="VQW70" s="684"/>
      <c r="VQX70" s="684"/>
      <c r="VQY70" s="684"/>
      <c r="VQZ70" s="684"/>
      <c r="VRA70" s="684"/>
      <c r="VRB70" s="684"/>
      <c r="VRC70" s="684"/>
      <c r="VRD70" s="684"/>
      <c r="VRE70" s="684"/>
      <c r="VRF70" s="684"/>
      <c r="VRG70" s="684"/>
      <c r="VRH70" s="684"/>
      <c r="VRI70" s="684"/>
      <c r="VRJ70" s="684"/>
      <c r="VRK70" s="684"/>
      <c r="VRL70" s="684"/>
      <c r="VRM70" s="684"/>
      <c r="VRN70" s="684"/>
      <c r="VRO70" s="684"/>
      <c r="VRP70" s="684"/>
      <c r="VRQ70" s="684"/>
      <c r="VRR70" s="684"/>
      <c r="VRS70" s="684"/>
      <c r="VRT70" s="684"/>
      <c r="VRU70" s="684"/>
      <c r="VRV70" s="684"/>
      <c r="VRW70" s="684"/>
      <c r="VRX70" s="684"/>
      <c r="VRY70" s="684"/>
      <c r="VRZ70" s="684"/>
      <c r="VSA70" s="684"/>
      <c r="VSB70" s="684"/>
      <c r="VSC70" s="684"/>
      <c r="VSD70" s="684"/>
      <c r="VSE70" s="684"/>
      <c r="VSF70" s="684"/>
      <c r="VSG70" s="684"/>
      <c r="VSH70" s="684"/>
      <c r="VSI70" s="684"/>
      <c r="VSJ70" s="684"/>
      <c r="VSK70" s="684"/>
      <c r="VSL70" s="684"/>
      <c r="VSM70" s="684"/>
      <c r="VSN70" s="684"/>
      <c r="VSO70" s="684"/>
      <c r="VSP70" s="684"/>
      <c r="VSQ70" s="684"/>
      <c r="VSR70" s="684"/>
      <c r="VSS70" s="684"/>
      <c r="VST70" s="684"/>
      <c r="VSU70" s="684"/>
      <c r="VSV70" s="684"/>
      <c r="VSW70" s="684"/>
      <c r="VSX70" s="684"/>
      <c r="VSY70" s="684"/>
      <c r="VSZ70" s="684"/>
      <c r="VTA70" s="684"/>
      <c r="VTB70" s="684"/>
      <c r="VTC70" s="684"/>
      <c r="VTD70" s="684"/>
      <c r="VTE70" s="684"/>
      <c r="VTF70" s="684"/>
      <c r="VTG70" s="684"/>
      <c r="VTH70" s="684"/>
      <c r="VTI70" s="684"/>
      <c r="VTJ70" s="684"/>
      <c r="VTK70" s="684"/>
      <c r="VTL70" s="684"/>
      <c r="VTM70" s="684"/>
      <c r="VTN70" s="684"/>
      <c r="VTO70" s="684"/>
      <c r="VTP70" s="684"/>
      <c r="VTQ70" s="684"/>
      <c r="VTR70" s="684"/>
      <c r="VTS70" s="684"/>
      <c r="VTT70" s="684"/>
      <c r="VTU70" s="684"/>
      <c r="VTV70" s="684"/>
      <c r="VTW70" s="684"/>
      <c r="VTX70" s="684"/>
      <c r="VTY70" s="684"/>
      <c r="VTZ70" s="684"/>
      <c r="VUA70" s="684"/>
      <c r="VUB70" s="684"/>
      <c r="VUC70" s="684"/>
      <c r="VUD70" s="684"/>
      <c r="VUE70" s="684"/>
      <c r="VUF70" s="684"/>
      <c r="VUG70" s="684"/>
      <c r="VUH70" s="684"/>
      <c r="VUI70" s="684"/>
      <c r="VUJ70" s="684"/>
      <c r="VUK70" s="684"/>
      <c r="VUL70" s="684"/>
      <c r="VUM70" s="684"/>
      <c r="VUN70" s="684"/>
      <c r="VUO70" s="684"/>
      <c r="VUP70" s="684"/>
      <c r="VUQ70" s="684"/>
      <c r="VUR70" s="684"/>
      <c r="VUS70" s="684"/>
      <c r="VUT70" s="684"/>
      <c r="VUU70" s="684"/>
      <c r="VUV70" s="684"/>
      <c r="VUW70" s="684"/>
      <c r="VUX70" s="684"/>
      <c r="VUY70" s="684"/>
      <c r="VUZ70" s="684"/>
      <c r="VVA70" s="684"/>
      <c r="VVB70" s="684"/>
      <c r="VVC70" s="684"/>
      <c r="VVD70" s="684"/>
      <c r="VVE70" s="684"/>
      <c r="VVF70" s="684"/>
      <c r="VVG70" s="684"/>
      <c r="VVH70" s="684"/>
      <c r="VVI70" s="684"/>
      <c r="VVJ70" s="684"/>
      <c r="VVK70" s="684"/>
      <c r="VVL70" s="684"/>
      <c r="VVM70" s="684"/>
      <c r="VVN70" s="684"/>
      <c r="VVO70" s="684"/>
      <c r="VVP70" s="684"/>
      <c r="VVQ70" s="684"/>
      <c r="VVR70" s="684"/>
      <c r="VVS70" s="684"/>
      <c r="VVT70" s="684"/>
      <c r="VVU70" s="684"/>
      <c r="VVV70" s="684"/>
      <c r="VVW70" s="684"/>
      <c r="VVX70" s="684"/>
      <c r="VVY70" s="684"/>
      <c r="VVZ70" s="684"/>
      <c r="VWA70" s="684"/>
      <c r="VWB70" s="684"/>
      <c r="VWC70" s="684"/>
      <c r="VWD70" s="684"/>
      <c r="VWE70" s="684"/>
      <c r="VWF70" s="684"/>
      <c r="VWG70" s="684"/>
      <c r="VWH70" s="684"/>
      <c r="VWI70" s="684"/>
      <c r="VWJ70" s="684"/>
      <c r="VWK70" s="684"/>
      <c r="VWL70" s="684"/>
      <c r="VWM70" s="684"/>
      <c r="VWN70" s="684"/>
      <c r="VWO70" s="684"/>
      <c r="VWP70" s="684"/>
      <c r="VWQ70" s="684"/>
      <c r="VWR70" s="684"/>
      <c r="VWS70" s="684"/>
      <c r="VWT70" s="684"/>
      <c r="VWU70" s="684"/>
      <c r="VWV70" s="684"/>
      <c r="VWW70" s="684"/>
      <c r="VWX70" s="684"/>
      <c r="VWY70" s="684"/>
      <c r="VWZ70" s="684"/>
      <c r="VXA70" s="684"/>
      <c r="VXB70" s="684"/>
      <c r="VXC70" s="684"/>
      <c r="VXD70" s="684"/>
      <c r="VXE70" s="684"/>
      <c r="VXF70" s="684"/>
      <c r="VXG70" s="684"/>
      <c r="VXH70" s="684"/>
      <c r="VXI70" s="684"/>
      <c r="VXJ70" s="684"/>
      <c r="VXK70" s="684"/>
      <c r="VXL70" s="684"/>
      <c r="VXM70" s="684"/>
      <c r="VXN70" s="684"/>
      <c r="VXO70" s="684"/>
      <c r="VXP70" s="684"/>
      <c r="VXQ70" s="684"/>
      <c r="VXR70" s="684"/>
      <c r="VXS70" s="684"/>
      <c r="VXT70" s="684"/>
      <c r="VXU70" s="684"/>
      <c r="VXV70" s="684"/>
      <c r="VXW70" s="684"/>
      <c r="VXX70" s="684"/>
      <c r="VXY70" s="684"/>
      <c r="VXZ70" s="684"/>
      <c r="VYA70" s="684"/>
      <c r="VYB70" s="684"/>
      <c r="VYC70" s="684"/>
      <c r="VYD70" s="684"/>
      <c r="VYE70" s="684"/>
      <c r="VYF70" s="684"/>
      <c r="VYG70" s="684"/>
      <c r="VYH70" s="684"/>
      <c r="VYI70" s="684"/>
      <c r="VYJ70" s="684"/>
      <c r="VYK70" s="684"/>
      <c r="VYL70" s="684"/>
      <c r="VYM70" s="684"/>
      <c r="VYN70" s="684"/>
      <c r="VYO70" s="684"/>
      <c r="VYP70" s="684"/>
      <c r="VYQ70" s="684"/>
      <c r="VYR70" s="684"/>
      <c r="VYS70" s="684"/>
      <c r="VYT70" s="684"/>
      <c r="VYU70" s="684"/>
      <c r="VYV70" s="684"/>
      <c r="VYW70" s="684"/>
      <c r="VYX70" s="684"/>
      <c r="VYY70" s="684"/>
      <c r="VYZ70" s="684"/>
      <c r="VZA70" s="684"/>
      <c r="VZB70" s="684"/>
      <c r="VZC70" s="684"/>
      <c r="VZD70" s="684"/>
      <c r="VZE70" s="684"/>
      <c r="VZF70" s="684"/>
      <c r="VZG70" s="684"/>
      <c r="VZH70" s="684"/>
      <c r="VZI70" s="684"/>
      <c r="VZJ70" s="684"/>
      <c r="VZK70" s="684"/>
      <c r="VZL70" s="684"/>
      <c r="VZM70" s="684"/>
      <c r="VZN70" s="684"/>
      <c r="VZO70" s="684"/>
      <c r="VZP70" s="684"/>
      <c r="VZQ70" s="684"/>
      <c r="VZR70" s="684"/>
      <c r="VZS70" s="684"/>
      <c r="VZT70" s="684"/>
      <c r="VZU70" s="684"/>
      <c r="VZV70" s="684"/>
      <c r="VZW70" s="684"/>
      <c r="VZX70" s="684"/>
      <c r="VZY70" s="684"/>
      <c r="VZZ70" s="684"/>
      <c r="WAA70" s="684"/>
      <c r="WAB70" s="684"/>
      <c r="WAC70" s="684"/>
      <c r="WAD70" s="684"/>
      <c r="WAE70" s="684"/>
      <c r="WAF70" s="684"/>
      <c r="WAG70" s="684"/>
      <c r="WAH70" s="684"/>
      <c r="WAI70" s="684"/>
      <c r="WAJ70" s="684"/>
      <c r="WAK70" s="684"/>
      <c r="WAL70" s="684"/>
      <c r="WAM70" s="684"/>
      <c r="WAN70" s="684"/>
      <c r="WAO70" s="684"/>
      <c r="WAP70" s="684"/>
      <c r="WAQ70" s="684"/>
      <c r="WAR70" s="684"/>
      <c r="WAS70" s="684"/>
      <c r="WAT70" s="684"/>
      <c r="WAU70" s="684"/>
      <c r="WAV70" s="684"/>
      <c r="WAW70" s="684"/>
      <c r="WAX70" s="684"/>
      <c r="WAY70" s="684"/>
      <c r="WAZ70" s="684"/>
      <c r="WBA70" s="684"/>
      <c r="WBB70" s="684"/>
      <c r="WBC70" s="684"/>
      <c r="WBD70" s="684"/>
      <c r="WBE70" s="684"/>
      <c r="WBF70" s="684"/>
      <c r="WBG70" s="684"/>
      <c r="WBH70" s="684"/>
      <c r="WBI70" s="684"/>
      <c r="WBJ70" s="684"/>
      <c r="WBK70" s="684"/>
      <c r="WBL70" s="684"/>
      <c r="WBM70" s="684"/>
      <c r="WBN70" s="684"/>
      <c r="WBO70" s="684"/>
      <c r="WBP70" s="684"/>
      <c r="WBQ70" s="684"/>
      <c r="WBR70" s="684"/>
      <c r="WBS70" s="684"/>
      <c r="WBT70" s="684"/>
      <c r="WBU70" s="684"/>
      <c r="WBV70" s="684"/>
      <c r="WBW70" s="684"/>
      <c r="WBX70" s="684"/>
      <c r="WBY70" s="684"/>
      <c r="WBZ70" s="684"/>
      <c r="WCA70" s="684"/>
      <c r="WCB70" s="684"/>
      <c r="WCC70" s="684"/>
      <c r="WCD70" s="684"/>
      <c r="WCE70" s="684"/>
      <c r="WCF70" s="684"/>
      <c r="WCG70" s="684"/>
      <c r="WCH70" s="684"/>
      <c r="WCI70" s="684"/>
      <c r="WCJ70" s="684"/>
      <c r="WCK70" s="684"/>
      <c r="WCL70" s="684"/>
      <c r="WCM70" s="684"/>
      <c r="WCN70" s="684"/>
      <c r="WCO70" s="684"/>
      <c r="WCP70" s="684"/>
      <c r="WCQ70" s="684"/>
      <c r="WCR70" s="684"/>
      <c r="WCS70" s="684"/>
      <c r="WCT70" s="684"/>
      <c r="WCU70" s="684"/>
      <c r="WCV70" s="684"/>
      <c r="WCW70" s="684"/>
      <c r="WCX70" s="684"/>
      <c r="WCY70" s="684"/>
      <c r="WCZ70" s="684"/>
      <c r="WDA70" s="684"/>
      <c r="WDB70" s="684"/>
      <c r="WDC70" s="684"/>
      <c r="WDD70" s="684"/>
      <c r="WDE70" s="684"/>
      <c r="WDF70" s="684"/>
      <c r="WDG70" s="684"/>
      <c r="WDH70" s="684"/>
      <c r="WDI70" s="684"/>
      <c r="WDJ70" s="684"/>
      <c r="WDK70" s="684"/>
      <c r="WDL70" s="684"/>
      <c r="WDM70" s="684"/>
      <c r="WDN70" s="684"/>
      <c r="WDO70" s="684"/>
      <c r="WDP70" s="684"/>
      <c r="WDQ70" s="684"/>
      <c r="WDR70" s="684"/>
      <c r="WDS70" s="684"/>
      <c r="WDT70" s="684"/>
      <c r="WDU70" s="684"/>
      <c r="WDV70" s="684"/>
      <c r="WDW70" s="684"/>
      <c r="WDX70" s="684"/>
      <c r="WDY70" s="684"/>
      <c r="WDZ70" s="684"/>
      <c r="WEA70" s="684"/>
      <c r="WEB70" s="684"/>
      <c r="WEC70" s="684"/>
      <c r="WED70" s="684"/>
      <c r="WEE70" s="684"/>
      <c r="WEF70" s="684"/>
      <c r="WEG70" s="684"/>
      <c r="WEH70" s="684"/>
      <c r="WEI70" s="684"/>
      <c r="WEJ70" s="684"/>
      <c r="WEK70" s="684"/>
      <c r="WEL70" s="684"/>
      <c r="WEM70" s="684"/>
      <c r="WEN70" s="684"/>
      <c r="WEO70" s="684"/>
      <c r="WEP70" s="684"/>
      <c r="WEQ70" s="684"/>
      <c r="WER70" s="684"/>
      <c r="WES70" s="684"/>
      <c r="WET70" s="684"/>
      <c r="WEU70" s="684"/>
      <c r="WEV70" s="684"/>
      <c r="WEW70" s="684"/>
      <c r="WEX70" s="684"/>
      <c r="WEY70" s="684"/>
      <c r="WEZ70" s="684"/>
      <c r="WFA70" s="684"/>
      <c r="WFB70" s="684"/>
      <c r="WFC70" s="684"/>
      <c r="WFD70" s="684"/>
      <c r="WFE70" s="684"/>
      <c r="WFF70" s="684"/>
      <c r="WFG70" s="684"/>
      <c r="WFH70" s="684"/>
      <c r="WFI70" s="684"/>
      <c r="WFJ70" s="684"/>
      <c r="WFK70" s="684"/>
      <c r="WFL70" s="684"/>
      <c r="WFM70" s="684"/>
      <c r="WFN70" s="684"/>
      <c r="WFO70" s="684"/>
      <c r="WFP70" s="684"/>
      <c r="WFQ70" s="684"/>
      <c r="WFR70" s="684"/>
      <c r="WFS70" s="684"/>
      <c r="WFT70" s="684"/>
      <c r="WFU70" s="684"/>
      <c r="WFV70" s="684"/>
      <c r="WFW70" s="684"/>
      <c r="WFX70" s="684"/>
      <c r="WFY70" s="684"/>
      <c r="WFZ70" s="684"/>
      <c r="WGA70" s="684"/>
      <c r="WGB70" s="684"/>
      <c r="WGC70" s="684"/>
      <c r="WGD70" s="684"/>
      <c r="WGE70" s="684"/>
      <c r="WGF70" s="684"/>
      <c r="WGG70" s="684"/>
      <c r="WGH70" s="684"/>
      <c r="WGI70" s="684"/>
      <c r="WGJ70" s="684"/>
      <c r="WGK70" s="684"/>
      <c r="WGL70" s="684"/>
      <c r="WGM70" s="684"/>
      <c r="WGN70" s="684"/>
      <c r="WGO70" s="684"/>
      <c r="WGP70" s="684"/>
      <c r="WGQ70" s="684"/>
      <c r="WGR70" s="684"/>
      <c r="WGS70" s="684"/>
      <c r="WGT70" s="684"/>
      <c r="WGU70" s="684"/>
      <c r="WGV70" s="684"/>
      <c r="WGW70" s="684"/>
      <c r="WGX70" s="684"/>
      <c r="WGY70" s="684"/>
      <c r="WGZ70" s="684"/>
      <c r="WHA70" s="684"/>
      <c r="WHB70" s="684"/>
      <c r="WHC70" s="684"/>
      <c r="WHD70" s="684"/>
      <c r="WHE70" s="684"/>
      <c r="WHF70" s="684"/>
      <c r="WHG70" s="684"/>
      <c r="WHH70" s="684"/>
      <c r="WHI70" s="684"/>
      <c r="WHJ70" s="684"/>
      <c r="WHK70" s="684"/>
      <c r="WHL70" s="684"/>
      <c r="WHM70" s="684"/>
      <c r="WHN70" s="684"/>
      <c r="WHO70" s="684"/>
      <c r="WHP70" s="684"/>
      <c r="WHQ70" s="684"/>
      <c r="WHR70" s="684"/>
      <c r="WHS70" s="684"/>
      <c r="WHT70" s="684"/>
      <c r="WHU70" s="684"/>
      <c r="WHV70" s="684"/>
      <c r="WHW70" s="684"/>
      <c r="WHX70" s="684"/>
      <c r="WHY70" s="684"/>
      <c r="WHZ70" s="684"/>
      <c r="WIA70" s="684"/>
      <c r="WIB70" s="684"/>
      <c r="WIC70" s="684"/>
      <c r="WID70" s="684"/>
      <c r="WIE70" s="684"/>
      <c r="WIF70" s="684"/>
      <c r="WIG70" s="684"/>
      <c r="WIH70" s="684"/>
      <c r="WII70" s="684"/>
      <c r="WIJ70" s="684"/>
      <c r="WIK70" s="684"/>
      <c r="WIL70" s="684"/>
      <c r="WIM70" s="684"/>
      <c r="WIN70" s="684"/>
      <c r="WIO70" s="684"/>
      <c r="WIP70" s="684"/>
      <c r="WIQ70" s="684"/>
      <c r="WIR70" s="684"/>
      <c r="WIS70" s="684"/>
      <c r="WIT70" s="684"/>
      <c r="WIU70" s="684"/>
      <c r="WIV70" s="684"/>
      <c r="WIW70" s="684"/>
      <c r="WIX70" s="684"/>
      <c r="WIY70" s="684"/>
      <c r="WIZ70" s="684"/>
      <c r="WJA70" s="684"/>
      <c r="WJB70" s="684"/>
      <c r="WJC70" s="684"/>
      <c r="WJD70" s="684"/>
      <c r="WJE70" s="684"/>
      <c r="WJF70" s="684"/>
      <c r="WJG70" s="684"/>
      <c r="WJH70" s="684"/>
      <c r="WJI70" s="684"/>
      <c r="WJJ70" s="684"/>
      <c r="WJK70" s="684"/>
      <c r="WJL70" s="684"/>
      <c r="WJM70" s="684"/>
      <c r="WJN70" s="684"/>
      <c r="WJO70" s="684"/>
      <c r="WJP70" s="684"/>
      <c r="WJQ70" s="684"/>
      <c r="WJR70" s="684"/>
      <c r="WJS70" s="684"/>
      <c r="WJT70" s="684"/>
      <c r="WJU70" s="684"/>
      <c r="WJV70" s="684"/>
      <c r="WJW70" s="684"/>
      <c r="WJX70" s="684"/>
      <c r="WJY70" s="684"/>
      <c r="WJZ70" s="684"/>
      <c r="WKA70" s="684"/>
      <c r="WKB70" s="684"/>
      <c r="WKC70" s="684"/>
      <c r="WKD70" s="684"/>
      <c r="WKE70" s="684"/>
      <c r="WKF70" s="684"/>
      <c r="WKG70" s="684"/>
      <c r="WKH70" s="684"/>
      <c r="WKI70" s="684"/>
      <c r="WKJ70" s="684"/>
      <c r="WKK70" s="684"/>
      <c r="WKL70" s="684"/>
      <c r="WKM70" s="684"/>
      <c r="WKN70" s="684"/>
      <c r="WKO70" s="684"/>
      <c r="WKP70" s="684"/>
      <c r="WKQ70" s="684"/>
      <c r="WKR70" s="684"/>
      <c r="WKS70" s="684"/>
      <c r="WKT70" s="684"/>
      <c r="WKU70" s="684"/>
      <c r="WKV70" s="684"/>
      <c r="WKW70" s="684"/>
      <c r="WKX70" s="684"/>
      <c r="WKY70" s="684"/>
      <c r="WKZ70" s="684"/>
      <c r="WLA70" s="684"/>
      <c r="WLB70" s="684"/>
      <c r="WLC70" s="684"/>
      <c r="WLD70" s="684"/>
      <c r="WLE70" s="684"/>
      <c r="WLF70" s="684"/>
      <c r="WLG70" s="684"/>
      <c r="WLH70" s="684"/>
      <c r="WLI70" s="684"/>
      <c r="WLJ70" s="684"/>
      <c r="WLK70" s="684"/>
      <c r="WLL70" s="684"/>
      <c r="WLM70" s="684"/>
      <c r="WLN70" s="684"/>
      <c r="WLO70" s="684"/>
      <c r="WLP70" s="684"/>
      <c r="WLQ70" s="684"/>
      <c r="WLR70" s="684"/>
      <c r="WLS70" s="684"/>
      <c r="WLT70" s="684"/>
      <c r="WLU70" s="684"/>
      <c r="WLV70" s="684"/>
      <c r="WLW70" s="684"/>
      <c r="WLX70" s="684"/>
      <c r="WLY70" s="684"/>
      <c r="WLZ70" s="684"/>
      <c r="WMA70" s="684"/>
      <c r="WMB70" s="684"/>
      <c r="WMC70" s="684"/>
      <c r="WMD70" s="684"/>
      <c r="WME70" s="684"/>
      <c r="WMF70" s="684"/>
      <c r="WMG70" s="684"/>
      <c r="WMH70" s="684"/>
      <c r="WMI70" s="684"/>
      <c r="WMJ70" s="684"/>
      <c r="WMK70" s="684"/>
      <c r="WML70" s="684"/>
      <c r="WMM70" s="684"/>
      <c r="WMN70" s="684"/>
      <c r="WMO70" s="684"/>
      <c r="WMP70" s="684"/>
      <c r="WMQ70" s="684"/>
      <c r="WMR70" s="684"/>
      <c r="WMS70" s="684"/>
      <c r="WMT70" s="684"/>
      <c r="WMU70" s="684"/>
      <c r="WMV70" s="684"/>
      <c r="WMW70" s="684"/>
      <c r="WMX70" s="684"/>
      <c r="WMY70" s="684"/>
      <c r="WMZ70" s="684"/>
      <c r="WNA70" s="684"/>
      <c r="WNB70" s="684"/>
      <c r="WNC70" s="684"/>
      <c r="WND70" s="684"/>
      <c r="WNE70" s="684"/>
      <c r="WNF70" s="684"/>
      <c r="WNG70" s="684"/>
      <c r="WNH70" s="684"/>
      <c r="WNI70" s="684"/>
      <c r="WNJ70" s="684"/>
      <c r="WNK70" s="684"/>
      <c r="WNL70" s="684"/>
      <c r="WNM70" s="684"/>
      <c r="WNN70" s="684"/>
      <c r="WNO70" s="684"/>
      <c r="WNP70" s="684"/>
      <c r="WNQ70" s="684"/>
      <c r="WNR70" s="684"/>
      <c r="WNS70" s="684"/>
      <c r="WNT70" s="684"/>
      <c r="WNU70" s="684"/>
      <c r="WNV70" s="684"/>
      <c r="WNW70" s="684"/>
      <c r="WNX70" s="684"/>
      <c r="WNY70" s="684"/>
      <c r="WNZ70" s="684"/>
      <c r="WOA70" s="684"/>
      <c r="WOB70" s="684"/>
      <c r="WOC70" s="684"/>
      <c r="WOD70" s="684"/>
      <c r="WOE70" s="684"/>
      <c r="WOF70" s="684"/>
      <c r="WOG70" s="684"/>
      <c r="WOH70" s="684"/>
      <c r="WOI70" s="684"/>
      <c r="WOJ70" s="684"/>
      <c r="WOK70" s="684"/>
      <c r="WOL70" s="684"/>
      <c r="WOM70" s="684"/>
      <c r="WON70" s="684"/>
      <c r="WOO70" s="684"/>
      <c r="WOP70" s="684"/>
      <c r="WOQ70" s="684"/>
      <c r="WOR70" s="684"/>
      <c r="WOS70" s="684"/>
      <c r="WOT70" s="684"/>
      <c r="WOU70" s="684"/>
      <c r="WOV70" s="684"/>
      <c r="WOW70" s="684"/>
      <c r="WOX70" s="684"/>
      <c r="WOY70" s="684"/>
      <c r="WOZ70" s="684"/>
      <c r="WPA70" s="684"/>
      <c r="WPB70" s="684"/>
      <c r="WPC70" s="684"/>
      <c r="WPD70" s="684"/>
      <c r="WPE70" s="684"/>
      <c r="WPF70" s="684"/>
      <c r="WPG70" s="684"/>
      <c r="WPH70" s="684"/>
      <c r="WPI70" s="684"/>
      <c r="WPJ70" s="684"/>
      <c r="WPK70" s="684"/>
      <c r="WPL70" s="684"/>
      <c r="WPM70" s="684"/>
      <c r="WPN70" s="684"/>
      <c r="WPO70" s="684"/>
      <c r="WPP70" s="684"/>
      <c r="WPQ70" s="684"/>
      <c r="WPR70" s="684"/>
      <c r="WPS70" s="684"/>
      <c r="WPT70" s="684"/>
      <c r="WPU70" s="684"/>
      <c r="WPV70" s="684"/>
      <c r="WPW70" s="684"/>
      <c r="WPX70" s="684"/>
      <c r="WPY70" s="684"/>
      <c r="WPZ70" s="684"/>
      <c r="WQA70" s="684"/>
      <c r="WQB70" s="684"/>
      <c r="WQC70" s="684"/>
      <c r="WQD70" s="684"/>
      <c r="WQE70" s="684"/>
      <c r="WQF70" s="684"/>
      <c r="WQG70" s="684"/>
      <c r="WQH70" s="684"/>
      <c r="WQI70" s="684"/>
      <c r="WQJ70" s="684"/>
      <c r="WQK70" s="684"/>
      <c r="WQL70" s="684"/>
      <c r="WQM70" s="684"/>
      <c r="WQN70" s="684"/>
      <c r="WQO70" s="684"/>
      <c r="WQP70" s="684"/>
      <c r="WQQ70" s="684"/>
      <c r="WQR70" s="684"/>
      <c r="WQS70" s="684"/>
      <c r="WQT70" s="684"/>
      <c r="WQU70" s="684"/>
      <c r="WQV70" s="684"/>
      <c r="WQW70" s="684"/>
      <c r="WQX70" s="684"/>
      <c r="WQY70" s="684"/>
      <c r="WQZ70" s="684"/>
      <c r="WRA70" s="684"/>
      <c r="WRB70" s="684"/>
      <c r="WRC70" s="684"/>
      <c r="WRD70" s="684"/>
      <c r="WRE70" s="684"/>
      <c r="WRF70" s="684"/>
      <c r="WRG70" s="684"/>
      <c r="WRH70" s="684"/>
      <c r="WRI70" s="684"/>
      <c r="WRJ70" s="684"/>
      <c r="WRK70" s="684"/>
      <c r="WRL70" s="684"/>
      <c r="WRM70" s="684"/>
      <c r="WRN70" s="684"/>
      <c r="WRO70" s="684"/>
      <c r="WRP70" s="684"/>
      <c r="WRQ70" s="684"/>
      <c r="WRR70" s="684"/>
      <c r="WRS70" s="684"/>
      <c r="WRT70" s="684"/>
      <c r="WRU70" s="684"/>
      <c r="WRV70" s="684"/>
      <c r="WRW70" s="684"/>
      <c r="WRX70" s="684"/>
      <c r="WRY70" s="684"/>
      <c r="WRZ70" s="684"/>
      <c r="WSA70" s="684"/>
      <c r="WSB70" s="684"/>
      <c r="WSC70" s="684"/>
      <c r="WSD70" s="684"/>
      <c r="WSE70" s="684"/>
      <c r="WSF70" s="684"/>
      <c r="WSG70" s="684"/>
      <c r="WSH70" s="684"/>
      <c r="WSI70" s="684"/>
      <c r="WSJ70" s="684"/>
      <c r="WSK70" s="684"/>
      <c r="WSL70" s="684"/>
      <c r="WSM70" s="684"/>
      <c r="WSN70" s="684"/>
      <c r="WSO70" s="684"/>
      <c r="WSP70" s="684"/>
      <c r="WSQ70" s="684"/>
      <c r="WSR70" s="684"/>
      <c r="WSS70" s="684"/>
      <c r="WST70" s="684"/>
      <c r="WSU70" s="684"/>
      <c r="WSV70" s="684"/>
      <c r="WSW70" s="684"/>
      <c r="WSX70" s="684"/>
      <c r="WSY70" s="684"/>
      <c r="WSZ70" s="684"/>
      <c r="WTA70" s="684"/>
      <c r="WTB70" s="684"/>
      <c r="WTC70" s="684"/>
      <c r="WTD70" s="684"/>
      <c r="WTE70" s="684"/>
      <c r="WTF70" s="684"/>
      <c r="WTG70" s="684"/>
      <c r="WTH70" s="684"/>
      <c r="WTI70" s="684"/>
      <c r="WTJ70" s="684"/>
      <c r="WTK70" s="684"/>
      <c r="WTL70" s="684"/>
      <c r="WTM70" s="684"/>
      <c r="WTN70" s="684"/>
      <c r="WTO70" s="684"/>
      <c r="WTP70" s="684"/>
      <c r="WTQ70" s="684"/>
      <c r="WTR70" s="684"/>
      <c r="WTS70" s="684"/>
      <c r="WTT70" s="684"/>
      <c r="WTU70" s="684"/>
      <c r="WTV70" s="684"/>
      <c r="WTW70" s="684"/>
      <c r="WTX70" s="684"/>
      <c r="WTY70" s="684"/>
      <c r="WTZ70" s="684"/>
      <c r="WUA70" s="684"/>
      <c r="WUB70" s="684"/>
      <c r="WUC70" s="684"/>
      <c r="WUD70" s="684"/>
      <c r="WUE70" s="684"/>
      <c r="WUF70" s="684"/>
      <c r="WUG70" s="684"/>
      <c r="WUH70" s="684"/>
      <c r="WUI70" s="684"/>
      <c r="WUJ70" s="684"/>
      <c r="WUK70" s="684"/>
      <c r="WUL70" s="684"/>
      <c r="WUM70" s="684"/>
      <c r="WUN70" s="684"/>
      <c r="WUO70" s="684"/>
      <c r="WUP70" s="684"/>
      <c r="WUQ70" s="684"/>
      <c r="WUR70" s="684"/>
      <c r="WUS70" s="684"/>
      <c r="WUT70" s="684"/>
      <c r="WUU70" s="684"/>
      <c r="WUV70" s="684"/>
      <c r="WUW70" s="684"/>
      <c r="WUX70" s="684"/>
      <c r="WUY70" s="684"/>
      <c r="WUZ70" s="684"/>
      <c r="WVA70" s="684"/>
      <c r="WVB70" s="684"/>
      <c r="WVC70" s="684"/>
      <c r="WVD70" s="684"/>
      <c r="WVE70" s="684"/>
      <c r="WVF70" s="684"/>
      <c r="WVG70" s="684"/>
      <c r="WVH70" s="684"/>
      <c r="WVI70" s="684"/>
      <c r="WVJ70" s="684"/>
      <c r="WVK70" s="684"/>
      <c r="WVL70" s="684"/>
      <c r="WVM70" s="684"/>
      <c r="WVN70" s="684"/>
      <c r="WVO70" s="684"/>
      <c r="WVP70" s="684"/>
      <c r="WVQ70" s="684"/>
      <c r="WVR70" s="684"/>
      <c r="WVS70" s="684"/>
      <c r="WVT70" s="684"/>
      <c r="WVU70" s="684"/>
      <c r="WVV70" s="684"/>
      <c r="WVW70" s="684"/>
      <c r="WVX70" s="684"/>
      <c r="WVY70" s="684"/>
      <c r="WVZ70" s="684"/>
      <c r="WWA70" s="684"/>
      <c r="WWB70" s="684"/>
      <c r="WWC70" s="684"/>
      <c r="WWD70" s="684"/>
      <c r="WWE70" s="684"/>
      <c r="WWF70" s="684"/>
      <c r="WWG70" s="684"/>
      <c r="WWH70" s="684"/>
      <c r="WWI70" s="684"/>
      <c r="WWJ70" s="684"/>
      <c r="WWK70" s="684"/>
      <c r="WWL70" s="684"/>
      <c r="WWM70" s="684"/>
      <c r="WWN70" s="684"/>
      <c r="WWO70" s="684"/>
      <c r="WWP70" s="684"/>
      <c r="WWQ70" s="684"/>
      <c r="WWR70" s="684"/>
      <c r="WWS70" s="684"/>
      <c r="WWT70" s="684"/>
      <c r="WWU70" s="684"/>
      <c r="WWV70" s="684"/>
      <c r="WWW70" s="684"/>
      <c r="WWX70" s="684"/>
      <c r="WWY70" s="684"/>
      <c r="WWZ70" s="684"/>
      <c r="WXA70" s="684"/>
      <c r="WXB70" s="684"/>
      <c r="WXC70" s="684"/>
      <c r="WXD70" s="684"/>
      <c r="WXE70" s="684"/>
      <c r="WXF70" s="684"/>
      <c r="WXG70" s="684"/>
      <c r="WXH70" s="684"/>
      <c r="WXI70" s="684"/>
      <c r="WXJ70" s="684"/>
      <c r="WXK70" s="684"/>
      <c r="WXL70" s="684"/>
      <c r="WXM70" s="684"/>
      <c r="WXN70" s="684"/>
      <c r="WXO70" s="684"/>
      <c r="WXP70" s="684"/>
      <c r="WXQ70" s="684"/>
      <c r="WXR70" s="684"/>
      <c r="WXS70" s="684"/>
      <c r="WXT70" s="684"/>
      <c r="WXU70" s="684"/>
      <c r="WXV70" s="684"/>
      <c r="WXW70" s="684"/>
      <c r="WXX70" s="684"/>
      <c r="WXY70" s="684"/>
      <c r="WXZ70" s="684"/>
      <c r="WYA70" s="684"/>
      <c r="WYB70" s="684"/>
      <c r="WYC70" s="684"/>
      <c r="WYD70" s="684"/>
      <c r="WYE70" s="684"/>
      <c r="WYF70" s="684"/>
      <c r="WYG70" s="684"/>
      <c r="WYH70" s="684"/>
      <c r="WYI70" s="684"/>
      <c r="WYJ70" s="684"/>
      <c r="WYK70" s="684"/>
      <c r="WYL70" s="684"/>
      <c r="WYM70" s="684"/>
      <c r="WYN70" s="684"/>
      <c r="WYO70" s="684"/>
      <c r="WYP70" s="684"/>
      <c r="WYQ70" s="684"/>
      <c r="WYR70" s="684"/>
      <c r="WYS70" s="684"/>
      <c r="WYT70" s="684"/>
      <c r="WYU70" s="684"/>
      <c r="WYV70" s="684"/>
      <c r="WYW70" s="684"/>
      <c r="WYX70" s="684"/>
      <c r="WYY70" s="684"/>
      <c r="WYZ70" s="684"/>
      <c r="WZA70" s="684"/>
      <c r="WZB70" s="684"/>
      <c r="WZC70" s="684"/>
      <c r="WZD70" s="684"/>
      <c r="WZE70" s="684"/>
      <c r="WZF70" s="684"/>
      <c r="WZG70" s="684"/>
      <c r="WZH70" s="684"/>
      <c r="WZI70" s="684"/>
      <c r="WZJ70" s="684"/>
      <c r="WZK70" s="684"/>
      <c r="WZL70" s="684"/>
      <c r="WZM70" s="684"/>
      <c r="WZN70" s="684"/>
      <c r="WZO70" s="684"/>
      <c r="WZP70" s="684"/>
      <c r="WZQ70" s="684"/>
      <c r="WZR70" s="684"/>
      <c r="WZS70" s="684"/>
      <c r="WZT70" s="684"/>
      <c r="WZU70" s="684"/>
      <c r="WZV70" s="684"/>
      <c r="WZW70" s="684"/>
      <c r="WZX70" s="684"/>
      <c r="WZY70" s="684"/>
      <c r="WZZ70" s="684"/>
      <c r="XAA70" s="684"/>
      <c r="XAB70" s="684"/>
      <c r="XAC70" s="684"/>
      <c r="XAD70" s="684"/>
      <c r="XAE70" s="684"/>
      <c r="XAF70" s="684"/>
      <c r="XAG70" s="684"/>
      <c r="XAH70" s="684"/>
      <c r="XAI70" s="684"/>
      <c r="XAJ70" s="684"/>
      <c r="XAK70" s="684"/>
      <c r="XAL70" s="684"/>
      <c r="XAM70" s="684"/>
      <c r="XAN70" s="684"/>
      <c r="XAO70" s="684"/>
      <c r="XAP70" s="684"/>
      <c r="XAQ70" s="684"/>
      <c r="XAR70" s="684"/>
      <c r="XAS70" s="684"/>
      <c r="XAT70" s="684"/>
      <c r="XAU70" s="684"/>
      <c r="XAV70" s="684"/>
      <c r="XAW70" s="684"/>
      <c r="XAX70" s="684"/>
      <c r="XAY70" s="684"/>
      <c r="XAZ70" s="684"/>
      <c r="XBA70" s="684"/>
      <c r="XBB70" s="684"/>
      <c r="XBC70" s="684"/>
      <c r="XBD70" s="684"/>
      <c r="XBE70" s="684"/>
      <c r="XBF70" s="684"/>
      <c r="XBG70" s="684"/>
      <c r="XBH70" s="684"/>
      <c r="XBI70" s="684"/>
      <c r="XBJ70" s="684"/>
      <c r="XBK70" s="684"/>
      <c r="XBL70" s="684"/>
      <c r="XBM70" s="684"/>
      <c r="XBN70" s="684"/>
      <c r="XBO70" s="684"/>
      <c r="XBP70" s="684"/>
      <c r="XBQ70" s="684"/>
      <c r="XBR70" s="684"/>
      <c r="XBS70" s="684"/>
      <c r="XBT70" s="684"/>
      <c r="XBU70" s="684"/>
      <c r="XBV70" s="684"/>
      <c r="XBW70" s="684"/>
      <c r="XBX70" s="684"/>
      <c r="XBY70" s="684"/>
      <c r="XBZ70" s="684"/>
      <c r="XCA70" s="684"/>
      <c r="XCB70" s="684"/>
      <c r="XCC70" s="684"/>
      <c r="XCD70" s="684"/>
      <c r="XCE70" s="684"/>
      <c r="XCF70" s="684"/>
      <c r="XCG70" s="684"/>
      <c r="XCH70" s="684"/>
      <c r="XCI70" s="684"/>
      <c r="XCJ70" s="684"/>
      <c r="XCK70" s="684"/>
      <c r="XCL70" s="684"/>
      <c r="XCM70" s="684"/>
      <c r="XCN70" s="684"/>
      <c r="XCO70" s="684"/>
      <c r="XCP70" s="684"/>
      <c r="XCQ70" s="684"/>
      <c r="XCR70" s="684"/>
      <c r="XCS70" s="684"/>
      <c r="XCT70" s="684"/>
      <c r="XCU70" s="684"/>
      <c r="XCV70" s="684"/>
      <c r="XCW70" s="684"/>
      <c r="XCX70" s="684"/>
      <c r="XCY70" s="684"/>
      <c r="XCZ70" s="684"/>
      <c r="XDA70" s="684"/>
      <c r="XDB70" s="684"/>
      <c r="XDC70" s="684"/>
      <c r="XDD70" s="684"/>
      <c r="XDE70" s="684"/>
      <c r="XDF70" s="684"/>
      <c r="XDG70" s="684"/>
      <c r="XDH70" s="684"/>
      <c r="XDI70" s="684"/>
      <c r="XDJ70" s="684"/>
      <c r="XDK70" s="684"/>
      <c r="XDL70" s="684"/>
      <c r="XDM70" s="684"/>
      <c r="XDN70" s="684"/>
      <c r="XDO70" s="684"/>
      <c r="XDP70" s="684"/>
      <c r="XDQ70" s="684"/>
      <c r="XDR70" s="684"/>
      <c r="XDS70" s="684"/>
      <c r="XDT70" s="684"/>
      <c r="XDU70" s="684"/>
      <c r="XDV70" s="684"/>
      <c r="XDW70" s="684"/>
      <c r="XDX70" s="684"/>
      <c r="XDY70" s="684"/>
      <c r="XDZ70" s="684"/>
      <c r="XEA70" s="684"/>
      <c r="XEB70" s="684"/>
      <c r="XEC70" s="684"/>
      <c r="XED70" s="684"/>
      <c r="XEE70" s="684"/>
      <c r="XEF70" s="684"/>
      <c r="XEG70" s="684"/>
      <c r="XEH70" s="684"/>
      <c r="XEI70" s="684"/>
      <c r="XEJ70" s="684"/>
      <c r="XEK70" s="684"/>
      <c r="XEL70" s="684"/>
      <c r="XEM70" s="684"/>
      <c r="XEN70" s="684"/>
      <c r="XEO70" s="684"/>
      <c r="XEP70" s="684"/>
      <c r="XEQ70" s="684"/>
      <c r="XER70" s="684"/>
      <c r="XES70" s="684"/>
      <c r="XET70" s="684"/>
      <c r="XEU70" s="684"/>
      <c r="XEV70" s="684"/>
      <c r="XEW70" s="684"/>
      <c r="XEX70" s="684"/>
      <c r="XEY70" s="684"/>
      <c r="XEZ70" s="684"/>
      <c r="XFA70" s="684"/>
      <c r="XFB70" s="684"/>
      <c r="XFC70" s="684"/>
      <c r="XFD70" s="684"/>
    </row>
    <row r="71" spans="1:16384" s="774" customFormat="1">
      <c r="A71" s="595" t="s">
        <v>2410</v>
      </c>
      <c r="B71" s="596" t="s">
        <v>2420</v>
      </c>
      <c r="C71" s="596" t="s">
        <v>2420</v>
      </c>
      <c r="D71" s="4304" t="str">
        <f>$A71&amp;"  "&amp;$A72</f>
        <v>pwauslihsapp25  pwauslihsapp26</v>
      </c>
      <c r="E71" s="4305" t="str">
        <f>$B71&amp;"  "&amp;$B72</f>
        <v>10.136.100.63  10.136.100.64</v>
      </c>
      <c r="F71" s="4264" t="s">
        <v>75</v>
      </c>
      <c r="G71" s="4261" t="s">
        <v>3049</v>
      </c>
      <c r="H71" s="4201" t="s">
        <v>3043</v>
      </c>
      <c r="I71" s="4201" t="s">
        <v>3051</v>
      </c>
      <c r="J71" s="684"/>
      <c r="K71" s="684"/>
      <c r="L71" s="684"/>
      <c r="M71" s="684"/>
      <c r="N71" s="684"/>
      <c r="O71" s="684"/>
      <c r="P71" s="684"/>
      <c r="Q71" s="684"/>
      <c r="R71" s="684"/>
      <c r="S71" s="684"/>
      <c r="T71" s="684"/>
      <c r="U71" s="684"/>
      <c r="V71" s="684"/>
      <c r="W71" s="684"/>
      <c r="X71" s="684"/>
      <c r="Y71" s="684"/>
      <c r="Z71" s="684"/>
      <c r="AA71" s="684"/>
      <c r="AB71" s="684"/>
      <c r="AC71" s="684"/>
      <c r="AD71" s="684"/>
      <c r="AE71" s="684"/>
      <c r="AF71" s="684"/>
      <c r="AG71" s="684"/>
      <c r="AH71" s="684"/>
      <c r="AI71" s="684"/>
      <c r="AJ71" s="684"/>
      <c r="AK71" s="684"/>
      <c r="AL71" s="684"/>
      <c r="AM71" s="684"/>
      <c r="AN71" s="684"/>
      <c r="AO71" s="684"/>
      <c r="AP71" s="684"/>
      <c r="AQ71" s="684"/>
      <c r="AR71" s="684"/>
      <c r="AS71" s="684"/>
      <c r="AT71" s="684"/>
      <c r="AU71" s="684"/>
      <c r="AV71" s="684"/>
      <c r="AW71" s="684"/>
      <c r="AX71" s="684"/>
      <c r="AY71" s="684"/>
      <c r="AZ71" s="684"/>
      <c r="BA71" s="684"/>
      <c r="BB71" s="684"/>
      <c r="BC71" s="684"/>
      <c r="BD71" s="684"/>
      <c r="BE71" s="684"/>
      <c r="BF71" s="684"/>
      <c r="BG71" s="684"/>
      <c r="BH71" s="684"/>
      <c r="BI71" s="684"/>
      <c r="BJ71" s="684"/>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c r="CI71" s="684"/>
      <c r="CJ71" s="684"/>
      <c r="CK71" s="684"/>
      <c r="CL71" s="684"/>
      <c r="CM71" s="684"/>
      <c r="CN71" s="684"/>
      <c r="CO71" s="684"/>
      <c r="CP71" s="684"/>
      <c r="CQ71" s="684"/>
      <c r="CR71" s="684"/>
      <c r="CS71" s="684"/>
      <c r="CT71" s="684"/>
      <c r="CU71" s="684"/>
      <c r="CV71" s="684"/>
      <c r="CW71" s="684"/>
      <c r="CX71" s="684"/>
      <c r="CY71" s="684"/>
      <c r="CZ71" s="684"/>
      <c r="DA71" s="684"/>
      <c r="DB71" s="684"/>
      <c r="DC71" s="684"/>
      <c r="DD71" s="684"/>
      <c r="DE71" s="684"/>
      <c r="DF71" s="684"/>
      <c r="DG71" s="684"/>
      <c r="DH71" s="684"/>
      <c r="DI71" s="684"/>
      <c r="DJ71" s="684"/>
      <c r="DK71" s="684"/>
      <c r="DL71" s="684"/>
      <c r="DM71" s="684"/>
      <c r="DN71" s="684"/>
      <c r="DO71" s="684"/>
      <c r="DP71" s="684"/>
      <c r="DQ71" s="684"/>
      <c r="DR71" s="684"/>
      <c r="DS71" s="684"/>
      <c r="DT71" s="684"/>
      <c r="DU71" s="684"/>
      <c r="DV71" s="684"/>
      <c r="DW71" s="684"/>
      <c r="DX71" s="684"/>
      <c r="DY71" s="684"/>
      <c r="DZ71" s="684"/>
      <c r="EA71" s="684"/>
      <c r="EB71" s="684"/>
      <c r="EC71" s="684"/>
      <c r="ED71" s="684"/>
      <c r="EE71" s="684"/>
      <c r="EF71" s="684"/>
      <c r="EG71" s="684"/>
      <c r="EH71" s="684"/>
      <c r="EI71" s="684"/>
      <c r="EJ71" s="684"/>
      <c r="EK71" s="684"/>
      <c r="EL71" s="684"/>
      <c r="EM71" s="684"/>
      <c r="EN71" s="684"/>
      <c r="EO71" s="684"/>
      <c r="EP71" s="684"/>
      <c r="EQ71" s="684"/>
      <c r="ER71" s="684"/>
      <c r="ES71" s="684"/>
      <c r="ET71" s="684"/>
      <c r="EU71" s="684"/>
      <c r="EV71" s="684"/>
      <c r="EW71" s="684"/>
      <c r="EX71" s="684"/>
      <c r="EY71" s="684"/>
      <c r="EZ71" s="684"/>
      <c r="FA71" s="684"/>
      <c r="FB71" s="684"/>
      <c r="FC71" s="684"/>
      <c r="FD71" s="684"/>
      <c r="FE71" s="684"/>
      <c r="FF71" s="684"/>
      <c r="FG71" s="684"/>
      <c r="FH71" s="684"/>
      <c r="FI71" s="684"/>
      <c r="FJ71" s="684"/>
      <c r="FK71" s="684"/>
      <c r="FL71" s="684"/>
      <c r="FM71" s="684"/>
      <c r="FN71" s="684"/>
      <c r="FO71" s="684"/>
      <c r="FP71" s="684"/>
      <c r="FQ71" s="684"/>
      <c r="FR71" s="684"/>
      <c r="FS71" s="684"/>
      <c r="FT71" s="684"/>
      <c r="FU71" s="684"/>
      <c r="FV71" s="684"/>
      <c r="FW71" s="684"/>
      <c r="FX71" s="684"/>
      <c r="FY71" s="684"/>
      <c r="FZ71" s="684"/>
      <c r="GA71" s="684"/>
      <c r="GB71" s="684"/>
      <c r="GC71" s="684"/>
      <c r="GD71" s="684"/>
      <c r="GE71" s="684"/>
      <c r="GF71" s="684"/>
      <c r="GG71" s="684"/>
      <c r="GH71" s="684"/>
      <c r="GI71" s="684"/>
      <c r="GJ71" s="684"/>
      <c r="GK71" s="684"/>
      <c r="GL71" s="684"/>
      <c r="GM71" s="684"/>
      <c r="GN71" s="684"/>
      <c r="GO71" s="684"/>
      <c r="GP71" s="684"/>
      <c r="GQ71" s="684"/>
      <c r="GR71" s="684"/>
      <c r="GS71" s="684"/>
      <c r="GT71" s="684"/>
      <c r="GU71" s="684"/>
      <c r="GV71" s="684"/>
      <c r="GW71" s="684"/>
      <c r="GX71" s="684"/>
      <c r="GY71" s="684"/>
      <c r="GZ71" s="684"/>
      <c r="HA71" s="684"/>
      <c r="HB71" s="684"/>
      <c r="HC71" s="684"/>
      <c r="HD71" s="684"/>
      <c r="HE71" s="684"/>
      <c r="HF71" s="684"/>
      <c r="HG71" s="684"/>
      <c r="HH71" s="684"/>
      <c r="HI71" s="684"/>
      <c r="HJ71" s="684"/>
      <c r="HK71" s="684"/>
      <c r="HL71" s="684"/>
      <c r="HM71" s="684"/>
      <c r="HN71" s="684"/>
      <c r="HO71" s="684"/>
      <c r="HP71" s="684"/>
      <c r="HQ71" s="684"/>
      <c r="HR71" s="684"/>
      <c r="HS71" s="684"/>
      <c r="HT71" s="684"/>
      <c r="HU71" s="684"/>
      <c r="HV71" s="684"/>
      <c r="HW71" s="684"/>
      <c r="HX71" s="684"/>
      <c r="HY71" s="684"/>
      <c r="HZ71" s="684"/>
      <c r="IA71" s="684"/>
      <c r="IB71" s="684"/>
      <c r="IC71" s="684"/>
      <c r="ID71" s="684"/>
      <c r="IE71" s="684"/>
      <c r="IF71" s="684"/>
      <c r="IG71" s="684"/>
      <c r="IH71" s="684"/>
      <c r="II71" s="684"/>
      <c r="IJ71" s="684"/>
      <c r="IK71" s="684"/>
      <c r="IL71" s="684"/>
      <c r="IM71" s="684"/>
      <c r="IN71" s="684"/>
      <c r="IO71" s="684"/>
      <c r="IP71" s="684"/>
      <c r="IQ71" s="684"/>
      <c r="IR71" s="684"/>
      <c r="IS71" s="684"/>
      <c r="IT71" s="684"/>
      <c r="IU71" s="684"/>
      <c r="IV71" s="684"/>
      <c r="IW71" s="684"/>
      <c r="IX71" s="684"/>
      <c r="IY71" s="684"/>
      <c r="IZ71" s="684"/>
      <c r="JA71" s="684"/>
      <c r="JB71" s="684"/>
      <c r="JC71" s="684"/>
      <c r="JD71" s="684"/>
      <c r="JE71" s="684"/>
      <c r="JF71" s="684"/>
      <c r="JG71" s="684"/>
      <c r="JH71" s="684"/>
      <c r="JI71" s="684"/>
      <c r="JJ71" s="684"/>
      <c r="JK71" s="684"/>
      <c r="JL71" s="684"/>
      <c r="JM71" s="684"/>
      <c r="JN71" s="684"/>
      <c r="JO71" s="684"/>
      <c r="JP71" s="684"/>
      <c r="JQ71" s="684"/>
      <c r="JR71" s="684"/>
      <c r="JS71" s="684"/>
      <c r="JT71" s="684"/>
      <c r="JU71" s="684"/>
      <c r="JV71" s="684"/>
      <c r="JW71" s="684"/>
      <c r="JX71" s="684"/>
      <c r="JY71" s="684"/>
      <c r="JZ71" s="684"/>
      <c r="KA71" s="684"/>
      <c r="KB71" s="684"/>
      <c r="KC71" s="684"/>
      <c r="KD71" s="684"/>
      <c r="KE71" s="684"/>
      <c r="KF71" s="684"/>
      <c r="KG71" s="684"/>
      <c r="KH71" s="684"/>
      <c r="KI71" s="684"/>
      <c r="KJ71" s="684"/>
      <c r="KK71" s="684"/>
      <c r="KL71" s="684"/>
      <c r="KM71" s="684"/>
      <c r="KN71" s="684"/>
      <c r="KO71" s="684"/>
      <c r="KP71" s="684"/>
      <c r="KQ71" s="684"/>
      <c r="KR71" s="684"/>
      <c r="KS71" s="684"/>
      <c r="KT71" s="684"/>
      <c r="KU71" s="684"/>
      <c r="KV71" s="684"/>
      <c r="KW71" s="684"/>
      <c r="KX71" s="684"/>
      <c r="KY71" s="684"/>
      <c r="KZ71" s="684"/>
      <c r="LA71" s="684"/>
      <c r="LB71" s="684"/>
      <c r="LC71" s="684"/>
      <c r="LD71" s="684"/>
      <c r="LE71" s="684"/>
      <c r="LF71" s="684"/>
      <c r="LG71" s="684"/>
      <c r="LH71" s="684"/>
      <c r="LI71" s="684"/>
      <c r="LJ71" s="684"/>
      <c r="LK71" s="684"/>
      <c r="LL71" s="684"/>
      <c r="LM71" s="684"/>
      <c r="LN71" s="684"/>
      <c r="LO71" s="684"/>
      <c r="LP71" s="684"/>
      <c r="LQ71" s="684"/>
      <c r="LR71" s="684"/>
      <c r="LS71" s="684"/>
      <c r="LT71" s="684"/>
      <c r="LU71" s="684"/>
      <c r="LV71" s="684"/>
      <c r="LW71" s="684"/>
      <c r="LX71" s="684"/>
      <c r="LY71" s="684"/>
      <c r="LZ71" s="684"/>
      <c r="MA71" s="684"/>
      <c r="MB71" s="684"/>
      <c r="MC71" s="684"/>
      <c r="MD71" s="684"/>
      <c r="ME71" s="684"/>
      <c r="MF71" s="684"/>
      <c r="MG71" s="684"/>
      <c r="MH71" s="684"/>
      <c r="MI71" s="684"/>
      <c r="MJ71" s="684"/>
      <c r="MK71" s="684"/>
      <c r="ML71" s="684"/>
      <c r="MM71" s="684"/>
      <c r="MN71" s="684"/>
      <c r="MO71" s="684"/>
      <c r="MP71" s="684"/>
      <c r="MQ71" s="684"/>
      <c r="MR71" s="684"/>
      <c r="MS71" s="684"/>
      <c r="MT71" s="684"/>
      <c r="MU71" s="684"/>
      <c r="MV71" s="684"/>
      <c r="MW71" s="684"/>
      <c r="MX71" s="684"/>
      <c r="MY71" s="684"/>
      <c r="MZ71" s="684"/>
      <c r="NA71" s="684"/>
      <c r="NB71" s="684"/>
      <c r="NC71" s="684"/>
      <c r="ND71" s="684"/>
      <c r="NE71" s="684"/>
      <c r="NF71" s="684"/>
      <c r="NG71" s="684"/>
      <c r="NH71" s="684"/>
      <c r="NI71" s="684"/>
      <c r="NJ71" s="684"/>
      <c r="NK71" s="684"/>
      <c r="NL71" s="684"/>
      <c r="NM71" s="684"/>
      <c r="NN71" s="684"/>
      <c r="NO71" s="684"/>
      <c r="NP71" s="684"/>
      <c r="NQ71" s="684"/>
      <c r="NR71" s="684"/>
      <c r="NS71" s="684"/>
      <c r="NT71" s="684"/>
      <c r="NU71" s="684"/>
      <c r="NV71" s="684"/>
      <c r="NW71" s="684"/>
      <c r="NX71" s="684"/>
      <c r="NY71" s="684"/>
      <c r="NZ71" s="684"/>
      <c r="OA71" s="684"/>
      <c r="OB71" s="684"/>
      <c r="OC71" s="684"/>
      <c r="OD71" s="684"/>
      <c r="OE71" s="684"/>
      <c r="OF71" s="684"/>
      <c r="OG71" s="684"/>
      <c r="OH71" s="684"/>
      <c r="OI71" s="684"/>
      <c r="OJ71" s="684"/>
      <c r="OK71" s="684"/>
      <c r="OL71" s="684"/>
      <c r="OM71" s="684"/>
      <c r="ON71" s="684"/>
      <c r="OO71" s="684"/>
      <c r="OP71" s="684"/>
      <c r="OQ71" s="684"/>
      <c r="OR71" s="684"/>
      <c r="OS71" s="684"/>
      <c r="OT71" s="684"/>
      <c r="OU71" s="684"/>
      <c r="OV71" s="684"/>
      <c r="OW71" s="684"/>
      <c r="OX71" s="684"/>
      <c r="OY71" s="684"/>
      <c r="OZ71" s="684"/>
      <c r="PA71" s="684"/>
      <c r="PB71" s="684"/>
      <c r="PC71" s="684"/>
      <c r="PD71" s="684"/>
      <c r="PE71" s="684"/>
      <c r="PF71" s="684"/>
      <c r="PG71" s="684"/>
      <c r="PH71" s="684"/>
      <c r="PI71" s="684"/>
      <c r="PJ71" s="684"/>
      <c r="PK71" s="684"/>
      <c r="PL71" s="684"/>
      <c r="PM71" s="684"/>
      <c r="PN71" s="684"/>
      <c r="PO71" s="684"/>
      <c r="PP71" s="684"/>
      <c r="PQ71" s="684"/>
      <c r="PR71" s="684"/>
      <c r="PS71" s="684"/>
      <c r="PT71" s="684"/>
      <c r="PU71" s="684"/>
      <c r="PV71" s="684"/>
      <c r="PW71" s="684"/>
      <c r="PX71" s="684"/>
      <c r="PY71" s="684"/>
      <c r="PZ71" s="684"/>
      <c r="QA71" s="684"/>
      <c r="QB71" s="684"/>
      <c r="QC71" s="684"/>
      <c r="QD71" s="684"/>
      <c r="QE71" s="684"/>
      <c r="QF71" s="684"/>
      <c r="QG71" s="684"/>
      <c r="QH71" s="684"/>
      <c r="QI71" s="684"/>
      <c r="QJ71" s="684"/>
      <c r="QK71" s="684"/>
      <c r="QL71" s="684"/>
      <c r="QM71" s="684"/>
      <c r="QN71" s="684"/>
      <c r="QO71" s="684"/>
      <c r="QP71" s="684"/>
      <c r="QQ71" s="684"/>
      <c r="QR71" s="684"/>
      <c r="QS71" s="684"/>
      <c r="QT71" s="684"/>
      <c r="QU71" s="684"/>
      <c r="QV71" s="684"/>
      <c r="QW71" s="684"/>
      <c r="QX71" s="684"/>
      <c r="QY71" s="684"/>
      <c r="QZ71" s="684"/>
      <c r="RA71" s="684"/>
      <c r="RB71" s="684"/>
      <c r="RC71" s="684"/>
      <c r="RD71" s="684"/>
      <c r="RE71" s="684"/>
      <c r="RF71" s="684"/>
      <c r="RG71" s="684"/>
      <c r="RH71" s="684"/>
      <c r="RI71" s="684"/>
      <c r="RJ71" s="684"/>
      <c r="RK71" s="684"/>
      <c r="RL71" s="684"/>
      <c r="RM71" s="684"/>
      <c r="RN71" s="684"/>
      <c r="RO71" s="684"/>
      <c r="RP71" s="684"/>
      <c r="RQ71" s="684"/>
      <c r="RR71" s="684"/>
      <c r="RS71" s="684"/>
      <c r="RT71" s="684"/>
      <c r="RU71" s="684"/>
      <c r="RV71" s="684"/>
      <c r="RW71" s="684"/>
      <c r="RX71" s="684"/>
      <c r="RY71" s="684"/>
      <c r="RZ71" s="684"/>
      <c r="SA71" s="684"/>
      <c r="SB71" s="684"/>
      <c r="SC71" s="684"/>
      <c r="SD71" s="684"/>
      <c r="SE71" s="684"/>
      <c r="SF71" s="684"/>
      <c r="SG71" s="684"/>
      <c r="SH71" s="684"/>
      <c r="SI71" s="684"/>
      <c r="SJ71" s="684"/>
      <c r="SK71" s="684"/>
      <c r="SL71" s="684"/>
      <c r="SM71" s="684"/>
      <c r="SN71" s="684"/>
      <c r="SO71" s="684"/>
      <c r="SP71" s="684"/>
      <c r="SQ71" s="684"/>
      <c r="SR71" s="684"/>
      <c r="SS71" s="684"/>
      <c r="ST71" s="684"/>
      <c r="SU71" s="684"/>
      <c r="SV71" s="684"/>
      <c r="SW71" s="684"/>
      <c r="SX71" s="684"/>
      <c r="SY71" s="684"/>
      <c r="SZ71" s="684"/>
      <c r="TA71" s="684"/>
      <c r="TB71" s="684"/>
      <c r="TC71" s="684"/>
      <c r="TD71" s="684"/>
      <c r="TE71" s="684"/>
      <c r="TF71" s="684"/>
      <c r="TG71" s="684"/>
      <c r="TH71" s="684"/>
      <c r="TI71" s="684"/>
      <c r="TJ71" s="684"/>
      <c r="TK71" s="684"/>
      <c r="TL71" s="684"/>
      <c r="TM71" s="684"/>
      <c r="TN71" s="684"/>
      <c r="TO71" s="684"/>
      <c r="TP71" s="684"/>
      <c r="TQ71" s="684"/>
      <c r="TR71" s="684"/>
      <c r="TS71" s="684"/>
      <c r="TT71" s="684"/>
      <c r="TU71" s="684"/>
      <c r="TV71" s="684"/>
      <c r="TW71" s="684"/>
      <c r="TX71" s="684"/>
      <c r="TY71" s="684"/>
      <c r="TZ71" s="684"/>
      <c r="UA71" s="684"/>
      <c r="UB71" s="684"/>
      <c r="UC71" s="684"/>
      <c r="UD71" s="684"/>
      <c r="UE71" s="684"/>
      <c r="UF71" s="684"/>
      <c r="UG71" s="684"/>
      <c r="UH71" s="684"/>
      <c r="UI71" s="684"/>
      <c r="UJ71" s="684"/>
      <c r="UK71" s="684"/>
      <c r="UL71" s="684"/>
      <c r="UM71" s="684"/>
      <c r="UN71" s="684"/>
      <c r="UO71" s="684"/>
      <c r="UP71" s="684"/>
      <c r="UQ71" s="684"/>
      <c r="UR71" s="684"/>
      <c r="US71" s="684"/>
      <c r="UT71" s="684"/>
      <c r="UU71" s="684"/>
      <c r="UV71" s="684"/>
      <c r="UW71" s="684"/>
      <c r="UX71" s="684"/>
      <c r="UY71" s="684"/>
      <c r="UZ71" s="684"/>
      <c r="VA71" s="684"/>
      <c r="VB71" s="684"/>
      <c r="VC71" s="684"/>
      <c r="VD71" s="684"/>
      <c r="VE71" s="684"/>
      <c r="VF71" s="684"/>
      <c r="VG71" s="684"/>
      <c r="VH71" s="684"/>
      <c r="VI71" s="684"/>
      <c r="VJ71" s="684"/>
      <c r="VK71" s="684"/>
      <c r="VL71" s="684"/>
      <c r="VM71" s="684"/>
      <c r="VN71" s="684"/>
      <c r="VO71" s="684"/>
      <c r="VP71" s="684"/>
      <c r="VQ71" s="684"/>
      <c r="VR71" s="684"/>
      <c r="VS71" s="684"/>
      <c r="VT71" s="684"/>
      <c r="VU71" s="684"/>
      <c r="VV71" s="684"/>
      <c r="VW71" s="684"/>
      <c r="VX71" s="684"/>
      <c r="VY71" s="684"/>
      <c r="VZ71" s="684"/>
      <c r="WA71" s="684"/>
      <c r="WB71" s="684"/>
      <c r="WC71" s="684"/>
      <c r="WD71" s="684"/>
      <c r="WE71" s="684"/>
      <c r="WF71" s="684"/>
      <c r="WG71" s="684"/>
      <c r="WH71" s="684"/>
      <c r="WI71" s="684"/>
      <c r="WJ71" s="684"/>
      <c r="WK71" s="684"/>
      <c r="WL71" s="684"/>
      <c r="WM71" s="684"/>
      <c r="WN71" s="684"/>
      <c r="WO71" s="684"/>
      <c r="WP71" s="684"/>
      <c r="WQ71" s="684"/>
      <c r="WR71" s="684"/>
      <c r="WS71" s="684"/>
      <c r="WT71" s="684"/>
      <c r="WU71" s="684"/>
      <c r="WV71" s="684"/>
      <c r="WW71" s="684"/>
      <c r="WX71" s="684"/>
      <c r="WY71" s="684"/>
      <c r="WZ71" s="684"/>
      <c r="XA71" s="684"/>
      <c r="XB71" s="684"/>
      <c r="XC71" s="684"/>
      <c r="XD71" s="684"/>
      <c r="XE71" s="684"/>
      <c r="XF71" s="684"/>
      <c r="XG71" s="684"/>
      <c r="XH71" s="684"/>
      <c r="XI71" s="684"/>
      <c r="XJ71" s="684"/>
      <c r="XK71" s="684"/>
      <c r="XL71" s="684"/>
      <c r="XM71" s="684"/>
      <c r="XN71" s="684"/>
      <c r="XO71" s="684"/>
      <c r="XP71" s="684"/>
      <c r="XQ71" s="684"/>
      <c r="XR71" s="684"/>
      <c r="XS71" s="684"/>
      <c r="XT71" s="684"/>
      <c r="XU71" s="684"/>
      <c r="XV71" s="684"/>
      <c r="XW71" s="684"/>
      <c r="XX71" s="684"/>
      <c r="XY71" s="684"/>
      <c r="XZ71" s="684"/>
      <c r="YA71" s="684"/>
      <c r="YB71" s="684"/>
      <c r="YC71" s="684"/>
      <c r="YD71" s="684"/>
      <c r="YE71" s="684"/>
      <c r="YF71" s="684"/>
      <c r="YG71" s="684"/>
      <c r="YH71" s="684"/>
      <c r="YI71" s="684"/>
      <c r="YJ71" s="684"/>
      <c r="YK71" s="684"/>
      <c r="YL71" s="684"/>
      <c r="YM71" s="684"/>
      <c r="YN71" s="684"/>
      <c r="YO71" s="684"/>
      <c r="YP71" s="684"/>
      <c r="YQ71" s="684"/>
      <c r="YR71" s="684"/>
      <c r="YS71" s="684"/>
      <c r="YT71" s="684"/>
      <c r="YU71" s="684"/>
      <c r="YV71" s="684"/>
      <c r="YW71" s="684"/>
      <c r="YX71" s="684"/>
      <c r="YY71" s="684"/>
      <c r="YZ71" s="684"/>
      <c r="ZA71" s="684"/>
      <c r="ZB71" s="684"/>
      <c r="ZC71" s="684"/>
      <c r="ZD71" s="684"/>
      <c r="ZE71" s="684"/>
      <c r="ZF71" s="684"/>
      <c r="ZG71" s="684"/>
      <c r="ZH71" s="684"/>
      <c r="ZI71" s="684"/>
      <c r="ZJ71" s="684"/>
      <c r="ZK71" s="684"/>
      <c r="ZL71" s="684"/>
      <c r="ZM71" s="684"/>
      <c r="ZN71" s="684"/>
      <c r="ZO71" s="684"/>
      <c r="ZP71" s="684"/>
      <c r="ZQ71" s="684"/>
      <c r="ZR71" s="684"/>
      <c r="ZS71" s="684"/>
      <c r="ZT71" s="684"/>
      <c r="ZU71" s="684"/>
      <c r="ZV71" s="684"/>
      <c r="ZW71" s="684"/>
      <c r="ZX71" s="684"/>
      <c r="ZY71" s="684"/>
      <c r="ZZ71" s="684"/>
      <c r="AAA71" s="684"/>
      <c r="AAB71" s="684"/>
      <c r="AAC71" s="684"/>
      <c r="AAD71" s="684"/>
      <c r="AAE71" s="684"/>
      <c r="AAF71" s="684"/>
      <c r="AAG71" s="684"/>
      <c r="AAH71" s="684"/>
      <c r="AAI71" s="684"/>
      <c r="AAJ71" s="684"/>
      <c r="AAK71" s="684"/>
      <c r="AAL71" s="684"/>
      <c r="AAM71" s="684"/>
      <c r="AAN71" s="684"/>
      <c r="AAO71" s="684"/>
      <c r="AAP71" s="684"/>
      <c r="AAQ71" s="684"/>
      <c r="AAR71" s="684"/>
      <c r="AAS71" s="684"/>
      <c r="AAT71" s="684"/>
      <c r="AAU71" s="684"/>
      <c r="AAV71" s="684"/>
      <c r="AAW71" s="684"/>
      <c r="AAX71" s="684"/>
      <c r="AAY71" s="684"/>
      <c r="AAZ71" s="684"/>
      <c r="ABA71" s="684"/>
      <c r="ABB71" s="684"/>
      <c r="ABC71" s="684"/>
      <c r="ABD71" s="684"/>
      <c r="ABE71" s="684"/>
      <c r="ABF71" s="684"/>
      <c r="ABG71" s="684"/>
      <c r="ABH71" s="684"/>
      <c r="ABI71" s="684"/>
      <c r="ABJ71" s="684"/>
      <c r="ABK71" s="684"/>
      <c r="ABL71" s="684"/>
      <c r="ABM71" s="684"/>
      <c r="ABN71" s="684"/>
      <c r="ABO71" s="684"/>
      <c r="ABP71" s="684"/>
      <c r="ABQ71" s="684"/>
      <c r="ABR71" s="684"/>
      <c r="ABS71" s="684"/>
      <c r="ABT71" s="684"/>
      <c r="ABU71" s="684"/>
      <c r="ABV71" s="684"/>
      <c r="ABW71" s="684"/>
      <c r="ABX71" s="684"/>
      <c r="ABY71" s="684"/>
      <c r="ABZ71" s="684"/>
      <c r="ACA71" s="684"/>
      <c r="ACB71" s="684"/>
      <c r="ACC71" s="684"/>
      <c r="ACD71" s="684"/>
      <c r="ACE71" s="684"/>
      <c r="ACF71" s="684"/>
      <c r="ACG71" s="684"/>
      <c r="ACH71" s="684"/>
      <c r="ACI71" s="684"/>
      <c r="ACJ71" s="684"/>
      <c r="ACK71" s="684"/>
      <c r="ACL71" s="684"/>
      <c r="ACM71" s="684"/>
      <c r="ACN71" s="684"/>
      <c r="ACO71" s="684"/>
      <c r="ACP71" s="684"/>
      <c r="ACQ71" s="684"/>
      <c r="ACR71" s="684"/>
      <c r="ACS71" s="684"/>
      <c r="ACT71" s="684"/>
      <c r="ACU71" s="684"/>
      <c r="ACV71" s="684"/>
      <c r="ACW71" s="684"/>
      <c r="ACX71" s="684"/>
      <c r="ACY71" s="684"/>
      <c r="ACZ71" s="684"/>
      <c r="ADA71" s="684"/>
      <c r="ADB71" s="684"/>
      <c r="ADC71" s="684"/>
      <c r="ADD71" s="684"/>
      <c r="ADE71" s="684"/>
      <c r="ADF71" s="684"/>
      <c r="ADG71" s="684"/>
      <c r="ADH71" s="684"/>
      <c r="ADI71" s="684"/>
      <c r="ADJ71" s="684"/>
      <c r="ADK71" s="684"/>
      <c r="ADL71" s="684"/>
      <c r="ADM71" s="684"/>
      <c r="ADN71" s="684"/>
      <c r="ADO71" s="684"/>
      <c r="ADP71" s="684"/>
      <c r="ADQ71" s="684"/>
      <c r="ADR71" s="684"/>
      <c r="ADS71" s="684"/>
      <c r="ADT71" s="684"/>
      <c r="ADU71" s="684"/>
      <c r="ADV71" s="684"/>
      <c r="ADW71" s="684"/>
      <c r="ADX71" s="684"/>
      <c r="ADY71" s="684"/>
      <c r="ADZ71" s="684"/>
      <c r="AEA71" s="684"/>
      <c r="AEB71" s="684"/>
      <c r="AEC71" s="684"/>
      <c r="AED71" s="684"/>
      <c r="AEE71" s="684"/>
      <c r="AEF71" s="684"/>
      <c r="AEG71" s="684"/>
      <c r="AEH71" s="684"/>
      <c r="AEI71" s="684"/>
      <c r="AEJ71" s="684"/>
      <c r="AEK71" s="684"/>
      <c r="AEL71" s="684"/>
      <c r="AEM71" s="684"/>
      <c r="AEN71" s="684"/>
      <c r="AEO71" s="684"/>
      <c r="AEP71" s="684"/>
      <c r="AEQ71" s="684"/>
      <c r="AER71" s="684"/>
      <c r="AES71" s="684"/>
      <c r="AET71" s="684"/>
      <c r="AEU71" s="684"/>
      <c r="AEV71" s="684"/>
      <c r="AEW71" s="684"/>
      <c r="AEX71" s="684"/>
      <c r="AEY71" s="684"/>
      <c r="AEZ71" s="684"/>
      <c r="AFA71" s="684"/>
      <c r="AFB71" s="684"/>
      <c r="AFC71" s="684"/>
      <c r="AFD71" s="684"/>
      <c r="AFE71" s="684"/>
      <c r="AFF71" s="684"/>
      <c r="AFG71" s="684"/>
      <c r="AFH71" s="684"/>
      <c r="AFI71" s="684"/>
      <c r="AFJ71" s="684"/>
      <c r="AFK71" s="684"/>
      <c r="AFL71" s="684"/>
      <c r="AFM71" s="684"/>
      <c r="AFN71" s="684"/>
      <c r="AFO71" s="684"/>
      <c r="AFP71" s="684"/>
      <c r="AFQ71" s="684"/>
      <c r="AFR71" s="684"/>
      <c r="AFS71" s="684"/>
      <c r="AFT71" s="684"/>
      <c r="AFU71" s="684"/>
      <c r="AFV71" s="684"/>
      <c r="AFW71" s="684"/>
      <c r="AFX71" s="684"/>
      <c r="AFY71" s="684"/>
      <c r="AFZ71" s="684"/>
      <c r="AGA71" s="684"/>
      <c r="AGB71" s="684"/>
      <c r="AGC71" s="684"/>
      <c r="AGD71" s="684"/>
      <c r="AGE71" s="684"/>
      <c r="AGF71" s="684"/>
      <c r="AGG71" s="684"/>
      <c r="AGH71" s="684"/>
      <c r="AGI71" s="684"/>
      <c r="AGJ71" s="684"/>
      <c r="AGK71" s="684"/>
      <c r="AGL71" s="684"/>
      <c r="AGM71" s="684"/>
      <c r="AGN71" s="684"/>
      <c r="AGO71" s="684"/>
      <c r="AGP71" s="684"/>
      <c r="AGQ71" s="684"/>
      <c r="AGR71" s="684"/>
      <c r="AGS71" s="684"/>
      <c r="AGT71" s="684"/>
      <c r="AGU71" s="684"/>
      <c r="AGV71" s="684"/>
      <c r="AGW71" s="684"/>
      <c r="AGX71" s="684"/>
      <c r="AGY71" s="684"/>
      <c r="AGZ71" s="684"/>
      <c r="AHA71" s="684"/>
      <c r="AHB71" s="684"/>
      <c r="AHC71" s="684"/>
      <c r="AHD71" s="684"/>
      <c r="AHE71" s="684"/>
      <c r="AHF71" s="684"/>
      <c r="AHG71" s="684"/>
      <c r="AHH71" s="684"/>
      <c r="AHI71" s="684"/>
      <c r="AHJ71" s="684"/>
      <c r="AHK71" s="684"/>
      <c r="AHL71" s="684"/>
      <c r="AHM71" s="684"/>
      <c r="AHN71" s="684"/>
      <c r="AHO71" s="684"/>
      <c r="AHP71" s="684"/>
      <c r="AHQ71" s="684"/>
      <c r="AHR71" s="684"/>
      <c r="AHS71" s="684"/>
      <c r="AHT71" s="684"/>
      <c r="AHU71" s="684"/>
      <c r="AHV71" s="684"/>
      <c r="AHW71" s="684"/>
      <c r="AHX71" s="684"/>
      <c r="AHY71" s="684"/>
      <c r="AHZ71" s="684"/>
      <c r="AIA71" s="684"/>
      <c r="AIB71" s="684"/>
      <c r="AIC71" s="684"/>
      <c r="AID71" s="684"/>
      <c r="AIE71" s="684"/>
      <c r="AIF71" s="684"/>
      <c r="AIG71" s="684"/>
      <c r="AIH71" s="684"/>
      <c r="AII71" s="684"/>
      <c r="AIJ71" s="684"/>
      <c r="AIK71" s="684"/>
      <c r="AIL71" s="684"/>
      <c r="AIM71" s="684"/>
      <c r="AIN71" s="684"/>
      <c r="AIO71" s="684"/>
      <c r="AIP71" s="684"/>
      <c r="AIQ71" s="684"/>
      <c r="AIR71" s="684"/>
      <c r="AIS71" s="684"/>
      <c r="AIT71" s="684"/>
      <c r="AIU71" s="684"/>
      <c r="AIV71" s="684"/>
      <c r="AIW71" s="684"/>
      <c r="AIX71" s="684"/>
      <c r="AIY71" s="684"/>
      <c r="AIZ71" s="684"/>
      <c r="AJA71" s="684"/>
      <c r="AJB71" s="684"/>
      <c r="AJC71" s="684"/>
      <c r="AJD71" s="684"/>
      <c r="AJE71" s="684"/>
      <c r="AJF71" s="684"/>
      <c r="AJG71" s="684"/>
      <c r="AJH71" s="684"/>
      <c r="AJI71" s="684"/>
      <c r="AJJ71" s="684"/>
      <c r="AJK71" s="684"/>
      <c r="AJL71" s="684"/>
      <c r="AJM71" s="684"/>
      <c r="AJN71" s="684"/>
      <c r="AJO71" s="684"/>
      <c r="AJP71" s="684"/>
      <c r="AJQ71" s="684"/>
      <c r="AJR71" s="684"/>
      <c r="AJS71" s="684"/>
      <c r="AJT71" s="684"/>
      <c r="AJU71" s="684"/>
      <c r="AJV71" s="684"/>
      <c r="AJW71" s="684"/>
      <c r="AJX71" s="684"/>
      <c r="AJY71" s="684"/>
      <c r="AJZ71" s="684"/>
      <c r="AKA71" s="684"/>
      <c r="AKB71" s="684"/>
      <c r="AKC71" s="684"/>
      <c r="AKD71" s="684"/>
      <c r="AKE71" s="684"/>
      <c r="AKF71" s="684"/>
      <c r="AKG71" s="684"/>
      <c r="AKH71" s="684"/>
      <c r="AKI71" s="684"/>
      <c r="AKJ71" s="684"/>
      <c r="AKK71" s="684"/>
      <c r="AKL71" s="684"/>
      <c r="AKM71" s="684"/>
      <c r="AKN71" s="684"/>
      <c r="AKO71" s="684"/>
      <c r="AKP71" s="684"/>
      <c r="AKQ71" s="684"/>
      <c r="AKR71" s="684"/>
      <c r="AKS71" s="684"/>
      <c r="AKT71" s="684"/>
      <c r="AKU71" s="684"/>
      <c r="AKV71" s="684"/>
      <c r="AKW71" s="684"/>
      <c r="AKX71" s="684"/>
      <c r="AKY71" s="684"/>
      <c r="AKZ71" s="684"/>
      <c r="ALA71" s="684"/>
      <c r="ALB71" s="684"/>
      <c r="ALC71" s="684"/>
      <c r="ALD71" s="684"/>
      <c r="ALE71" s="684"/>
      <c r="ALF71" s="684"/>
      <c r="ALG71" s="684"/>
      <c r="ALH71" s="684"/>
      <c r="ALI71" s="684"/>
      <c r="ALJ71" s="684"/>
      <c r="ALK71" s="684"/>
      <c r="ALL71" s="684"/>
      <c r="ALM71" s="684"/>
      <c r="ALN71" s="684"/>
      <c r="ALO71" s="684"/>
      <c r="ALP71" s="684"/>
      <c r="ALQ71" s="684"/>
      <c r="ALR71" s="684"/>
      <c r="ALS71" s="684"/>
      <c r="ALT71" s="684"/>
      <c r="ALU71" s="684"/>
      <c r="ALV71" s="684"/>
      <c r="ALW71" s="684"/>
      <c r="ALX71" s="684"/>
      <c r="ALY71" s="684"/>
      <c r="ALZ71" s="684"/>
      <c r="AMA71" s="684"/>
      <c r="AMB71" s="684"/>
      <c r="AMC71" s="684"/>
      <c r="AMD71" s="684"/>
      <c r="AME71" s="684"/>
      <c r="AMF71" s="684"/>
      <c r="AMG71" s="684"/>
      <c r="AMH71" s="684"/>
      <c r="AMI71" s="684"/>
      <c r="AMJ71" s="684"/>
      <c r="AMK71" s="684"/>
      <c r="AML71" s="684"/>
      <c r="AMM71" s="684"/>
      <c r="AMN71" s="684"/>
      <c r="AMO71" s="684"/>
      <c r="AMP71" s="684"/>
      <c r="AMQ71" s="684"/>
      <c r="AMR71" s="684"/>
      <c r="AMS71" s="684"/>
      <c r="AMT71" s="684"/>
      <c r="AMU71" s="684"/>
      <c r="AMV71" s="684"/>
      <c r="AMW71" s="684"/>
      <c r="AMX71" s="684"/>
      <c r="AMY71" s="684"/>
      <c r="AMZ71" s="684"/>
      <c r="ANA71" s="684"/>
      <c r="ANB71" s="684"/>
      <c r="ANC71" s="684"/>
      <c r="AND71" s="684"/>
      <c r="ANE71" s="684"/>
      <c r="ANF71" s="684"/>
      <c r="ANG71" s="684"/>
      <c r="ANH71" s="684"/>
      <c r="ANI71" s="684"/>
      <c r="ANJ71" s="684"/>
      <c r="ANK71" s="684"/>
      <c r="ANL71" s="684"/>
      <c r="ANM71" s="684"/>
      <c r="ANN71" s="684"/>
      <c r="ANO71" s="684"/>
      <c r="ANP71" s="684"/>
      <c r="ANQ71" s="684"/>
      <c r="ANR71" s="684"/>
      <c r="ANS71" s="684"/>
      <c r="ANT71" s="684"/>
      <c r="ANU71" s="684"/>
      <c r="ANV71" s="684"/>
      <c r="ANW71" s="684"/>
      <c r="ANX71" s="684"/>
      <c r="ANY71" s="684"/>
      <c r="ANZ71" s="684"/>
      <c r="AOA71" s="684"/>
      <c r="AOB71" s="684"/>
      <c r="AOC71" s="684"/>
      <c r="AOD71" s="684"/>
      <c r="AOE71" s="684"/>
      <c r="AOF71" s="684"/>
      <c r="AOG71" s="684"/>
      <c r="AOH71" s="684"/>
      <c r="AOI71" s="684"/>
      <c r="AOJ71" s="684"/>
      <c r="AOK71" s="684"/>
      <c r="AOL71" s="684"/>
      <c r="AOM71" s="684"/>
      <c r="AON71" s="684"/>
      <c r="AOO71" s="684"/>
      <c r="AOP71" s="684"/>
      <c r="AOQ71" s="684"/>
      <c r="AOR71" s="684"/>
      <c r="AOS71" s="684"/>
      <c r="AOT71" s="684"/>
      <c r="AOU71" s="684"/>
      <c r="AOV71" s="684"/>
      <c r="AOW71" s="684"/>
      <c r="AOX71" s="684"/>
      <c r="AOY71" s="684"/>
      <c r="AOZ71" s="684"/>
      <c r="APA71" s="684"/>
      <c r="APB71" s="684"/>
      <c r="APC71" s="684"/>
      <c r="APD71" s="684"/>
      <c r="APE71" s="684"/>
      <c r="APF71" s="684"/>
      <c r="APG71" s="684"/>
      <c r="APH71" s="684"/>
      <c r="API71" s="684"/>
      <c r="APJ71" s="684"/>
      <c r="APK71" s="684"/>
      <c r="APL71" s="684"/>
      <c r="APM71" s="684"/>
      <c r="APN71" s="684"/>
      <c r="APO71" s="684"/>
      <c r="APP71" s="684"/>
      <c r="APQ71" s="684"/>
      <c r="APR71" s="684"/>
      <c r="APS71" s="684"/>
      <c r="APT71" s="684"/>
      <c r="APU71" s="684"/>
      <c r="APV71" s="684"/>
      <c r="APW71" s="684"/>
      <c r="APX71" s="684"/>
      <c r="APY71" s="684"/>
      <c r="APZ71" s="684"/>
      <c r="AQA71" s="684"/>
      <c r="AQB71" s="684"/>
      <c r="AQC71" s="684"/>
      <c r="AQD71" s="684"/>
      <c r="AQE71" s="684"/>
      <c r="AQF71" s="684"/>
      <c r="AQG71" s="684"/>
      <c r="AQH71" s="684"/>
      <c r="AQI71" s="684"/>
      <c r="AQJ71" s="684"/>
      <c r="AQK71" s="684"/>
      <c r="AQL71" s="684"/>
      <c r="AQM71" s="684"/>
      <c r="AQN71" s="684"/>
      <c r="AQO71" s="684"/>
      <c r="AQP71" s="684"/>
      <c r="AQQ71" s="684"/>
      <c r="AQR71" s="684"/>
      <c r="AQS71" s="684"/>
      <c r="AQT71" s="684"/>
      <c r="AQU71" s="684"/>
      <c r="AQV71" s="684"/>
      <c r="AQW71" s="684"/>
      <c r="AQX71" s="684"/>
      <c r="AQY71" s="684"/>
      <c r="AQZ71" s="684"/>
      <c r="ARA71" s="684"/>
      <c r="ARB71" s="684"/>
      <c r="ARC71" s="684"/>
      <c r="ARD71" s="684"/>
      <c r="ARE71" s="684"/>
      <c r="ARF71" s="684"/>
      <c r="ARG71" s="684"/>
      <c r="ARH71" s="684"/>
      <c r="ARI71" s="684"/>
      <c r="ARJ71" s="684"/>
      <c r="ARK71" s="684"/>
      <c r="ARL71" s="684"/>
      <c r="ARM71" s="684"/>
      <c r="ARN71" s="684"/>
      <c r="ARO71" s="684"/>
      <c r="ARP71" s="684"/>
      <c r="ARQ71" s="684"/>
      <c r="ARR71" s="684"/>
      <c r="ARS71" s="684"/>
      <c r="ART71" s="684"/>
      <c r="ARU71" s="684"/>
      <c r="ARV71" s="684"/>
      <c r="ARW71" s="684"/>
      <c r="ARX71" s="684"/>
      <c r="ARY71" s="684"/>
      <c r="ARZ71" s="684"/>
      <c r="ASA71" s="684"/>
      <c r="ASB71" s="684"/>
      <c r="ASC71" s="684"/>
      <c r="ASD71" s="684"/>
      <c r="ASE71" s="684"/>
      <c r="ASF71" s="684"/>
      <c r="ASG71" s="684"/>
      <c r="ASH71" s="684"/>
      <c r="ASI71" s="684"/>
      <c r="ASJ71" s="684"/>
      <c r="ASK71" s="684"/>
      <c r="ASL71" s="684"/>
      <c r="ASM71" s="684"/>
      <c r="ASN71" s="684"/>
      <c r="ASO71" s="684"/>
      <c r="ASP71" s="684"/>
      <c r="ASQ71" s="684"/>
      <c r="ASR71" s="684"/>
      <c r="ASS71" s="684"/>
      <c r="AST71" s="684"/>
      <c r="ASU71" s="684"/>
      <c r="ASV71" s="684"/>
      <c r="ASW71" s="684"/>
      <c r="ASX71" s="684"/>
      <c r="ASY71" s="684"/>
      <c r="ASZ71" s="684"/>
      <c r="ATA71" s="684"/>
      <c r="ATB71" s="684"/>
      <c r="ATC71" s="684"/>
      <c r="ATD71" s="684"/>
      <c r="ATE71" s="684"/>
      <c r="ATF71" s="684"/>
      <c r="ATG71" s="684"/>
      <c r="ATH71" s="684"/>
      <c r="ATI71" s="684"/>
      <c r="ATJ71" s="684"/>
      <c r="ATK71" s="684"/>
      <c r="ATL71" s="684"/>
      <c r="ATM71" s="684"/>
      <c r="ATN71" s="684"/>
      <c r="ATO71" s="684"/>
      <c r="ATP71" s="684"/>
      <c r="ATQ71" s="684"/>
      <c r="ATR71" s="684"/>
      <c r="ATS71" s="684"/>
      <c r="ATT71" s="684"/>
      <c r="ATU71" s="684"/>
      <c r="ATV71" s="684"/>
      <c r="ATW71" s="684"/>
      <c r="ATX71" s="684"/>
      <c r="ATY71" s="684"/>
      <c r="ATZ71" s="684"/>
      <c r="AUA71" s="684"/>
      <c r="AUB71" s="684"/>
      <c r="AUC71" s="684"/>
      <c r="AUD71" s="684"/>
      <c r="AUE71" s="684"/>
      <c r="AUF71" s="684"/>
      <c r="AUG71" s="684"/>
      <c r="AUH71" s="684"/>
      <c r="AUI71" s="684"/>
      <c r="AUJ71" s="684"/>
      <c r="AUK71" s="684"/>
      <c r="AUL71" s="684"/>
      <c r="AUM71" s="684"/>
      <c r="AUN71" s="684"/>
      <c r="AUO71" s="684"/>
      <c r="AUP71" s="684"/>
      <c r="AUQ71" s="684"/>
      <c r="AUR71" s="684"/>
      <c r="AUS71" s="684"/>
      <c r="AUT71" s="684"/>
      <c r="AUU71" s="684"/>
      <c r="AUV71" s="684"/>
      <c r="AUW71" s="684"/>
      <c r="AUX71" s="684"/>
      <c r="AUY71" s="684"/>
      <c r="AUZ71" s="684"/>
      <c r="AVA71" s="684"/>
      <c r="AVB71" s="684"/>
      <c r="AVC71" s="684"/>
      <c r="AVD71" s="684"/>
      <c r="AVE71" s="684"/>
      <c r="AVF71" s="684"/>
      <c r="AVG71" s="684"/>
      <c r="AVH71" s="684"/>
      <c r="AVI71" s="684"/>
      <c r="AVJ71" s="684"/>
      <c r="AVK71" s="684"/>
      <c r="AVL71" s="684"/>
      <c r="AVM71" s="684"/>
      <c r="AVN71" s="684"/>
      <c r="AVO71" s="684"/>
      <c r="AVP71" s="684"/>
      <c r="AVQ71" s="684"/>
      <c r="AVR71" s="684"/>
      <c r="AVS71" s="684"/>
      <c r="AVT71" s="684"/>
      <c r="AVU71" s="684"/>
      <c r="AVV71" s="684"/>
      <c r="AVW71" s="684"/>
      <c r="AVX71" s="684"/>
      <c r="AVY71" s="684"/>
      <c r="AVZ71" s="684"/>
      <c r="AWA71" s="684"/>
      <c r="AWB71" s="684"/>
      <c r="AWC71" s="684"/>
      <c r="AWD71" s="684"/>
      <c r="AWE71" s="684"/>
      <c r="AWF71" s="684"/>
      <c r="AWG71" s="684"/>
      <c r="AWH71" s="684"/>
      <c r="AWI71" s="684"/>
      <c r="AWJ71" s="684"/>
      <c r="AWK71" s="684"/>
      <c r="AWL71" s="684"/>
      <c r="AWM71" s="684"/>
      <c r="AWN71" s="684"/>
      <c r="AWO71" s="684"/>
      <c r="AWP71" s="684"/>
      <c r="AWQ71" s="684"/>
      <c r="AWR71" s="684"/>
      <c r="AWS71" s="684"/>
      <c r="AWT71" s="684"/>
      <c r="AWU71" s="684"/>
      <c r="AWV71" s="684"/>
      <c r="AWW71" s="684"/>
      <c r="AWX71" s="684"/>
      <c r="AWY71" s="684"/>
      <c r="AWZ71" s="684"/>
      <c r="AXA71" s="684"/>
      <c r="AXB71" s="684"/>
      <c r="AXC71" s="684"/>
      <c r="AXD71" s="684"/>
      <c r="AXE71" s="684"/>
      <c r="AXF71" s="684"/>
      <c r="AXG71" s="684"/>
      <c r="AXH71" s="684"/>
      <c r="AXI71" s="684"/>
      <c r="AXJ71" s="684"/>
      <c r="AXK71" s="684"/>
      <c r="AXL71" s="684"/>
      <c r="AXM71" s="684"/>
      <c r="AXN71" s="684"/>
      <c r="AXO71" s="684"/>
      <c r="AXP71" s="684"/>
      <c r="AXQ71" s="684"/>
      <c r="AXR71" s="684"/>
      <c r="AXS71" s="684"/>
      <c r="AXT71" s="684"/>
      <c r="AXU71" s="684"/>
      <c r="AXV71" s="684"/>
      <c r="AXW71" s="684"/>
      <c r="AXX71" s="684"/>
      <c r="AXY71" s="684"/>
      <c r="AXZ71" s="684"/>
      <c r="AYA71" s="684"/>
      <c r="AYB71" s="684"/>
      <c r="AYC71" s="684"/>
      <c r="AYD71" s="684"/>
      <c r="AYE71" s="684"/>
      <c r="AYF71" s="684"/>
      <c r="AYG71" s="684"/>
      <c r="AYH71" s="684"/>
      <c r="AYI71" s="684"/>
      <c r="AYJ71" s="684"/>
      <c r="AYK71" s="684"/>
      <c r="AYL71" s="684"/>
      <c r="AYM71" s="684"/>
      <c r="AYN71" s="684"/>
      <c r="AYO71" s="684"/>
      <c r="AYP71" s="684"/>
      <c r="AYQ71" s="684"/>
      <c r="AYR71" s="684"/>
      <c r="AYS71" s="684"/>
      <c r="AYT71" s="684"/>
      <c r="AYU71" s="684"/>
      <c r="AYV71" s="684"/>
      <c r="AYW71" s="684"/>
      <c r="AYX71" s="684"/>
      <c r="AYY71" s="684"/>
      <c r="AYZ71" s="684"/>
      <c r="AZA71" s="684"/>
      <c r="AZB71" s="684"/>
      <c r="AZC71" s="684"/>
      <c r="AZD71" s="684"/>
      <c r="AZE71" s="684"/>
      <c r="AZF71" s="684"/>
      <c r="AZG71" s="684"/>
      <c r="AZH71" s="684"/>
      <c r="AZI71" s="684"/>
      <c r="AZJ71" s="684"/>
      <c r="AZK71" s="684"/>
      <c r="AZL71" s="684"/>
      <c r="AZM71" s="684"/>
      <c r="AZN71" s="684"/>
      <c r="AZO71" s="684"/>
      <c r="AZP71" s="684"/>
      <c r="AZQ71" s="684"/>
      <c r="AZR71" s="684"/>
      <c r="AZS71" s="684"/>
      <c r="AZT71" s="684"/>
      <c r="AZU71" s="684"/>
      <c r="AZV71" s="684"/>
      <c r="AZW71" s="684"/>
      <c r="AZX71" s="684"/>
      <c r="AZY71" s="684"/>
      <c r="AZZ71" s="684"/>
      <c r="BAA71" s="684"/>
      <c r="BAB71" s="684"/>
      <c r="BAC71" s="684"/>
      <c r="BAD71" s="684"/>
      <c r="BAE71" s="684"/>
      <c r="BAF71" s="684"/>
      <c r="BAG71" s="684"/>
      <c r="BAH71" s="684"/>
      <c r="BAI71" s="684"/>
      <c r="BAJ71" s="684"/>
      <c r="BAK71" s="684"/>
      <c r="BAL71" s="684"/>
      <c r="BAM71" s="684"/>
      <c r="BAN71" s="684"/>
      <c r="BAO71" s="684"/>
      <c r="BAP71" s="684"/>
      <c r="BAQ71" s="684"/>
      <c r="BAR71" s="684"/>
      <c r="BAS71" s="684"/>
      <c r="BAT71" s="684"/>
      <c r="BAU71" s="684"/>
      <c r="BAV71" s="684"/>
      <c r="BAW71" s="684"/>
      <c r="BAX71" s="684"/>
      <c r="BAY71" s="684"/>
      <c r="BAZ71" s="684"/>
      <c r="BBA71" s="684"/>
      <c r="BBB71" s="684"/>
      <c r="BBC71" s="684"/>
      <c r="BBD71" s="684"/>
      <c r="BBE71" s="684"/>
      <c r="BBF71" s="684"/>
      <c r="BBG71" s="684"/>
      <c r="BBH71" s="684"/>
      <c r="BBI71" s="684"/>
      <c r="BBJ71" s="684"/>
      <c r="BBK71" s="684"/>
      <c r="BBL71" s="684"/>
      <c r="BBM71" s="684"/>
      <c r="BBN71" s="684"/>
      <c r="BBO71" s="684"/>
      <c r="BBP71" s="684"/>
      <c r="BBQ71" s="684"/>
      <c r="BBR71" s="684"/>
      <c r="BBS71" s="684"/>
      <c r="BBT71" s="684"/>
      <c r="BBU71" s="684"/>
      <c r="BBV71" s="684"/>
      <c r="BBW71" s="684"/>
      <c r="BBX71" s="684"/>
      <c r="BBY71" s="684"/>
      <c r="BBZ71" s="684"/>
      <c r="BCA71" s="684"/>
      <c r="BCB71" s="684"/>
      <c r="BCC71" s="684"/>
      <c r="BCD71" s="684"/>
      <c r="BCE71" s="684"/>
      <c r="BCF71" s="684"/>
      <c r="BCG71" s="684"/>
      <c r="BCH71" s="684"/>
      <c r="BCI71" s="684"/>
      <c r="BCJ71" s="684"/>
      <c r="BCK71" s="684"/>
      <c r="BCL71" s="684"/>
      <c r="BCM71" s="684"/>
      <c r="BCN71" s="684"/>
      <c r="BCO71" s="684"/>
      <c r="BCP71" s="684"/>
      <c r="BCQ71" s="684"/>
      <c r="BCR71" s="684"/>
      <c r="BCS71" s="684"/>
      <c r="BCT71" s="684"/>
      <c r="BCU71" s="684"/>
      <c r="BCV71" s="684"/>
      <c r="BCW71" s="684"/>
      <c r="BCX71" s="684"/>
      <c r="BCY71" s="684"/>
      <c r="BCZ71" s="684"/>
      <c r="BDA71" s="684"/>
      <c r="BDB71" s="684"/>
      <c r="BDC71" s="684"/>
      <c r="BDD71" s="684"/>
      <c r="BDE71" s="684"/>
      <c r="BDF71" s="684"/>
      <c r="BDG71" s="684"/>
      <c r="BDH71" s="684"/>
      <c r="BDI71" s="684"/>
      <c r="BDJ71" s="684"/>
      <c r="BDK71" s="684"/>
      <c r="BDL71" s="684"/>
      <c r="BDM71" s="684"/>
      <c r="BDN71" s="684"/>
      <c r="BDO71" s="684"/>
      <c r="BDP71" s="684"/>
      <c r="BDQ71" s="684"/>
      <c r="BDR71" s="684"/>
      <c r="BDS71" s="684"/>
      <c r="BDT71" s="684"/>
      <c r="BDU71" s="684"/>
      <c r="BDV71" s="684"/>
      <c r="BDW71" s="684"/>
      <c r="BDX71" s="684"/>
      <c r="BDY71" s="684"/>
      <c r="BDZ71" s="684"/>
      <c r="BEA71" s="684"/>
      <c r="BEB71" s="684"/>
      <c r="BEC71" s="684"/>
      <c r="BED71" s="684"/>
      <c r="BEE71" s="684"/>
      <c r="BEF71" s="684"/>
      <c r="BEG71" s="684"/>
      <c r="BEH71" s="684"/>
      <c r="BEI71" s="684"/>
      <c r="BEJ71" s="684"/>
      <c r="BEK71" s="684"/>
      <c r="BEL71" s="684"/>
      <c r="BEM71" s="684"/>
      <c r="BEN71" s="684"/>
      <c r="BEO71" s="684"/>
      <c r="BEP71" s="684"/>
      <c r="BEQ71" s="684"/>
      <c r="BER71" s="684"/>
      <c r="BES71" s="684"/>
      <c r="BET71" s="684"/>
      <c r="BEU71" s="684"/>
      <c r="BEV71" s="684"/>
      <c r="BEW71" s="684"/>
      <c r="BEX71" s="684"/>
      <c r="BEY71" s="684"/>
      <c r="BEZ71" s="684"/>
      <c r="BFA71" s="684"/>
      <c r="BFB71" s="684"/>
      <c r="BFC71" s="684"/>
      <c r="BFD71" s="684"/>
      <c r="BFE71" s="684"/>
      <c r="BFF71" s="684"/>
      <c r="BFG71" s="684"/>
      <c r="BFH71" s="684"/>
      <c r="BFI71" s="684"/>
      <c r="BFJ71" s="684"/>
      <c r="BFK71" s="684"/>
      <c r="BFL71" s="684"/>
      <c r="BFM71" s="684"/>
      <c r="BFN71" s="684"/>
      <c r="BFO71" s="684"/>
      <c r="BFP71" s="684"/>
      <c r="BFQ71" s="684"/>
      <c r="BFR71" s="684"/>
      <c r="BFS71" s="684"/>
      <c r="BFT71" s="684"/>
      <c r="BFU71" s="684"/>
      <c r="BFV71" s="684"/>
      <c r="BFW71" s="684"/>
      <c r="BFX71" s="684"/>
      <c r="BFY71" s="684"/>
      <c r="BFZ71" s="684"/>
      <c r="BGA71" s="684"/>
      <c r="BGB71" s="684"/>
      <c r="BGC71" s="684"/>
      <c r="BGD71" s="684"/>
      <c r="BGE71" s="684"/>
      <c r="BGF71" s="684"/>
      <c r="BGG71" s="684"/>
      <c r="BGH71" s="684"/>
      <c r="BGI71" s="684"/>
      <c r="BGJ71" s="684"/>
      <c r="BGK71" s="684"/>
      <c r="BGL71" s="684"/>
      <c r="BGM71" s="684"/>
      <c r="BGN71" s="684"/>
      <c r="BGO71" s="684"/>
      <c r="BGP71" s="684"/>
      <c r="BGQ71" s="684"/>
      <c r="BGR71" s="684"/>
      <c r="BGS71" s="684"/>
      <c r="BGT71" s="684"/>
      <c r="BGU71" s="684"/>
      <c r="BGV71" s="684"/>
      <c r="BGW71" s="684"/>
      <c r="BGX71" s="684"/>
      <c r="BGY71" s="684"/>
      <c r="BGZ71" s="684"/>
      <c r="BHA71" s="684"/>
      <c r="BHB71" s="684"/>
      <c r="BHC71" s="684"/>
      <c r="BHD71" s="684"/>
      <c r="BHE71" s="684"/>
      <c r="BHF71" s="684"/>
      <c r="BHG71" s="684"/>
      <c r="BHH71" s="684"/>
      <c r="BHI71" s="684"/>
      <c r="BHJ71" s="684"/>
      <c r="BHK71" s="684"/>
      <c r="BHL71" s="684"/>
      <c r="BHM71" s="684"/>
      <c r="BHN71" s="684"/>
      <c r="BHO71" s="684"/>
      <c r="BHP71" s="684"/>
      <c r="BHQ71" s="684"/>
      <c r="BHR71" s="684"/>
      <c r="BHS71" s="684"/>
      <c r="BHT71" s="684"/>
      <c r="BHU71" s="684"/>
      <c r="BHV71" s="684"/>
      <c r="BHW71" s="684"/>
      <c r="BHX71" s="684"/>
      <c r="BHY71" s="684"/>
      <c r="BHZ71" s="684"/>
      <c r="BIA71" s="684"/>
      <c r="BIB71" s="684"/>
      <c r="BIC71" s="684"/>
      <c r="BID71" s="684"/>
      <c r="BIE71" s="684"/>
      <c r="BIF71" s="684"/>
      <c r="BIG71" s="684"/>
      <c r="BIH71" s="684"/>
      <c r="BII71" s="684"/>
      <c r="BIJ71" s="684"/>
      <c r="BIK71" s="684"/>
      <c r="BIL71" s="684"/>
      <c r="BIM71" s="684"/>
      <c r="BIN71" s="684"/>
      <c r="BIO71" s="684"/>
      <c r="BIP71" s="684"/>
      <c r="BIQ71" s="684"/>
      <c r="BIR71" s="684"/>
      <c r="BIS71" s="684"/>
      <c r="BIT71" s="684"/>
      <c r="BIU71" s="684"/>
      <c r="BIV71" s="684"/>
      <c r="BIW71" s="684"/>
      <c r="BIX71" s="684"/>
      <c r="BIY71" s="684"/>
      <c r="BIZ71" s="684"/>
      <c r="BJA71" s="684"/>
      <c r="BJB71" s="684"/>
      <c r="BJC71" s="684"/>
      <c r="BJD71" s="684"/>
      <c r="BJE71" s="684"/>
      <c r="BJF71" s="684"/>
      <c r="BJG71" s="684"/>
      <c r="BJH71" s="684"/>
      <c r="BJI71" s="684"/>
      <c r="BJJ71" s="684"/>
      <c r="BJK71" s="684"/>
      <c r="BJL71" s="684"/>
      <c r="BJM71" s="684"/>
      <c r="BJN71" s="684"/>
      <c r="BJO71" s="684"/>
      <c r="BJP71" s="684"/>
      <c r="BJQ71" s="684"/>
      <c r="BJR71" s="684"/>
      <c r="BJS71" s="684"/>
      <c r="BJT71" s="684"/>
      <c r="BJU71" s="684"/>
      <c r="BJV71" s="684"/>
      <c r="BJW71" s="684"/>
      <c r="BJX71" s="684"/>
      <c r="BJY71" s="684"/>
      <c r="BJZ71" s="684"/>
      <c r="BKA71" s="684"/>
      <c r="BKB71" s="684"/>
      <c r="BKC71" s="684"/>
      <c r="BKD71" s="684"/>
      <c r="BKE71" s="684"/>
      <c r="BKF71" s="684"/>
      <c r="BKG71" s="684"/>
      <c r="BKH71" s="684"/>
      <c r="BKI71" s="684"/>
      <c r="BKJ71" s="684"/>
      <c r="BKK71" s="684"/>
      <c r="BKL71" s="684"/>
      <c r="BKM71" s="684"/>
      <c r="BKN71" s="684"/>
      <c r="BKO71" s="684"/>
      <c r="BKP71" s="684"/>
      <c r="BKQ71" s="684"/>
      <c r="BKR71" s="684"/>
      <c r="BKS71" s="684"/>
      <c r="BKT71" s="684"/>
      <c r="BKU71" s="684"/>
      <c r="BKV71" s="684"/>
      <c r="BKW71" s="684"/>
      <c r="BKX71" s="684"/>
      <c r="BKY71" s="684"/>
      <c r="BKZ71" s="684"/>
      <c r="BLA71" s="684"/>
      <c r="BLB71" s="684"/>
      <c r="BLC71" s="684"/>
      <c r="BLD71" s="684"/>
      <c r="BLE71" s="684"/>
      <c r="BLF71" s="684"/>
      <c r="BLG71" s="684"/>
      <c r="BLH71" s="684"/>
      <c r="BLI71" s="684"/>
      <c r="BLJ71" s="684"/>
      <c r="BLK71" s="684"/>
      <c r="BLL71" s="684"/>
      <c r="BLM71" s="684"/>
      <c r="BLN71" s="684"/>
      <c r="BLO71" s="684"/>
      <c r="BLP71" s="684"/>
      <c r="BLQ71" s="684"/>
      <c r="BLR71" s="684"/>
      <c r="BLS71" s="684"/>
      <c r="BLT71" s="684"/>
      <c r="BLU71" s="684"/>
      <c r="BLV71" s="684"/>
      <c r="BLW71" s="684"/>
      <c r="BLX71" s="684"/>
      <c r="BLY71" s="684"/>
      <c r="BLZ71" s="684"/>
      <c r="BMA71" s="684"/>
      <c r="BMB71" s="684"/>
      <c r="BMC71" s="684"/>
      <c r="BMD71" s="684"/>
      <c r="BME71" s="684"/>
      <c r="BMF71" s="684"/>
      <c r="BMG71" s="684"/>
      <c r="BMH71" s="684"/>
      <c r="BMI71" s="684"/>
      <c r="BMJ71" s="684"/>
      <c r="BMK71" s="684"/>
      <c r="BML71" s="684"/>
      <c r="BMM71" s="684"/>
      <c r="BMN71" s="684"/>
      <c r="BMO71" s="684"/>
      <c r="BMP71" s="684"/>
      <c r="BMQ71" s="684"/>
      <c r="BMR71" s="684"/>
      <c r="BMS71" s="684"/>
      <c r="BMT71" s="684"/>
      <c r="BMU71" s="684"/>
      <c r="BMV71" s="684"/>
      <c r="BMW71" s="684"/>
      <c r="BMX71" s="684"/>
      <c r="BMY71" s="684"/>
      <c r="BMZ71" s="684"/>
      <c r="BNA71" s="684"/>
      <c r="BNB71" s="684"/>
      <c r="BNC71" s="684"/>
      <c r="BND71" s="684"/>
      <c r="BNE71" s="684"/>
      <c r="BNF71" s="684"/>
      <c r="BNG71" s="684"/>
      <c r="BNH71" s="684"/>
      <c r="BNI71" s="684"/>
      <c r="BNJ71" s="684"/>
      <c r="BNK71" s="684"/>
      <c r="BNL71" s="684"/>
      <c r="BNM71" s="684"/>
      <c r="BNN71" s="684"/>
      <c r="BNO71" s="684"/>
      <c r="BNP71" s="684"/>
      <c r="BNQ71" s="684"/>
      <c r="BNR71" s="684"/>
      <c r="BNS71" s="684"/>
      <c r="BNT71" s="684"/>
      <c r="BNU71" s="684"/>
      <c r="BNV71" s="684"/>
      <c r="BNW71" s="684"/>
      <c r="BNX71" s="684"/>
      <c r="BNY71" s="684"/>
      <c r="BNZ71" s="684"/>
      <c r="BOA71" s="684"/>
      <c r="BOB71" s="684"/>
      <c r="BOC71" s="684"/>
      <c r="BOD71" s="684"/>
      <c r="BOE71" s="684"/>
      <c r="BOF71" s="684"/>
      <c r="BOG71" s="684"/>
      <c r="BOH71" s="684"/>
      <c r="BOI71" s="684"/>
      <c r="BOJ71" s="684"/>
      <c r="BOK71" s="684"/>
      <c r="BOL71" s="684"/>
      <c r="BOM71" s="684"/>
      <c r="BON71" s="684"/>
      <c r="BOO71" s="684"/>
      <c r="BOP71" s="684"/>
      <c r="BOQ71" s="684"/>
      <c r="BOR71" s="684"/>
      <c r="BOS71" s="684"/>
      <c r="BOT71" s="684"/>
      <c r="BOU71" s="684"/>
      <c r="BOV71" s="684"/>
      <c r="BOW71" s="684"/>
      <c r="BOX71" s="684"/>
      <c r="BOY71" s="684"/>
      <c r="BOZ71" s="684"/>
      <c r="BPA71" s="684"/>
      <c r="BPB71" s="684"/>
      <c r="BPC71" s="684"/>
      <c r="BPD71" s="684"/>
      <c r="BPE71" s="684"/>
      <c r="BPF71" s="684"/>
      <c r="BPG71" s="684"/>
      <c r="BPH71" s="684"/>
      <c r="BPI71" s="684"/>
      <c r="BPJ71" s="684"/>
      <c r="BPK71" s="684"/>
      <c r="BPL71" s="684"/>
      <c r="BPM71" s="684"/>
      <c r="BPN71" s="684"/>
      <c r="BPO71" s="684"/>
      <c r="BPP71" s="684"/>
      <c r="BPQ71" s="684"/>
      <c r="BPR71" s="684"/>
      <c r="BPS71" s="684"/>
      <c r="BPT71" s="684"/>
      <c r="BPU71" s="684"/>
      <c r="BPV71" s="684"/>
      <c r="BPW71" s="684"/>
      <c r="BPX71" s="684"/>
      <c r="BPY71" s="684"/>
      <c r="BPZ71" s="684"/>
      <c r="BQA71" s="684"/>
      <c r="BQB71" s="684"/>
      <c r="BQC71" s="684"/>
      <c r="BQD71" s="684"/>
      <c r="BQE71" s="684"/>
      <c r="BQF71" s="684"/>
      <c r="BQG71" s="684"/>
      <c r="BQH71" s="684"/>
      <c r="BQI71" s="684"/>
      <c r="BQJ71" s="684"/>
      <c r="BQK71" s="684"/>
      <c r="BQL71" s="684"/>
      <c r="BQM71" s="684"/>
      <c r="BQN71" s="684"/>
      <c r="BQO71" s="684"/>
      <c r="BQP71" s="684"/>
      <c r="BQQ71" s="684"/>
      <c r="BQR71" s="684"/>
      <c r="BQS71" s="684"/>
      <c r="BQT71" s="684"/>
      <c r="BQU71" s="684"/>
      <c r="BQV71" s="684"/>
      <c r="BQW71" s="684"/>
      <c r="BQX71" s="684"/>
      <c r="BQY71" s="684"/>
      <c r="BQZ71" s="684"/>
      <c r="BRA71" s="684"/>
      <c r="BRB71" s="684"/>
      <c r="BRC71" s="684"/>
      <c r="BRD71" s="684"/>
      <c r="BRE71" s="684"/>
      <c r="BRF71" s="684"/>
      <c r="BRG71" s="684"/>
      <c r="BRH71" s="684"/>
      <c r="BRI71" s="684"/>
      <c r="BRJ71" s="684"/>
      <c r="BRK71" s="684"/>
      <c r="BRL71" s="684"/>
      <c r="BRM71" s="684"/>
      <c r="BRN71" s="684"/>
      <c r="BRO71" s="684"/>
      <c r="BRP71" s="684"/>
      <c r="BRQ71" s="684"/>
      <c r="BRR71" s="684"/>
      <c r="BRS71" s="684"/>
      <c r="BRT71" s="684"/>
      <c r="BRU71" s="684"/>
      <c r="BRV71" s="684"/>
      <c r="BRW71" s="684"/>
      <c r="BRX71" s="684"/>
      <c r="BRY71" s="684"/>
      <c r="BRZ71" s="684"/>
      <c r="BSA71" s="684"/>
      <c r="BSB71" s="684"/>
      <c r="BSC71" s="684"/>
      <c r="BSD71" s="684"/>
      <c r="BSE71" s="684"/>
      <c r="BSF71" s="684"/>
      <c r="BSG71" s="684"/>
      <c r="BSH71" s="684"/>
      <c r="BSI71" s="684"/>
      <c r="BSJ71" s="684"/>
      <c r="BSK71" s="684"/>
      <c r="BSL71" s="684"/>
      <c r="BSM71" s="684"/>
      <c r="BSN71" s="684"/>
      <c r="BSO71" s="684"/>
      <c r="BSP71" s="684"/>
      <c r="BSQ71" s="684"/>
      <c r="BSR71" s="684"/>
      <c r="BSS71" s="684"/>
      <c r="BST71" s="684"/>
      <c r="BSU71" s="684"/>
      <c r="BSV71" s="684"/>
      <c r="BSW71" s="684"/>
      <c r="BSX71" s="684"/>
      <c r="BSY71" s="684"/>
      <c r="BSZ71" s="684"/>
      <c r="BTA71" s="684"/>
      <c r="BTB71" s="684"/>
      <c r="BTC71" s="684"/>
      <c r="BTD71" s="684"/>
      <c r="BTE71" s="684"/>
      <c r="BTF71" s="684"/>
      <c r="BTG71" s="684"/>
      <c r="BTH71" s="684"/>
      <c r="BTI71" s="684"/>
      <c r="BTJ71" s="684"/>
      <c r="BTK71" s="684"/>
      <c r="BTL71" s="684"/>
      <c r="BTM71" s="684"/>
      <c r="BTN71" s="684"/>
      <c r="BTO71" s="684"/>
      <c r="BTP71" s="684"/>
      <c r="BTQ71" s="684"/>
      <c r="BTR71" s="684"/>
      <c r="BTS71" s="684"/>
      <c r="BTT71" s="684"/>
      <c r="BTU71" s="684"/>
      <c r="BTV71" s="684"/>
      <c r="BTW71" s="684"/>
      <c r="BTX71" s="684"/>
      <c r="BTY71" s="684"/>
      <c r="BTZ71" s="684"/>
      <c r="BUA71" s="684"/>
      <c r="BUB71" s="684"/>
      <c r="BUC71" s="684"/>
      <c r="BUD71" s="684"/>
      <c r="BUE71" s="684"/>
      <c r="BUF71" s="684"/>
      <c r="BUG71" s="684"/>
      <c r="BUH71" s="684"/>
      <c r="BUI71" s="684"/>
      <c r="BUJ71" s="684"/>
      <c r="BUK71" s="684"/>
      <c r="BUL71" s="684"/>
      <c r="BUM71" s="684"/>
      <c r="BUN71" s="684"/>
      <c r="BUO71" s="684"/>
      <c r="BUP71" s="684"/>
      <c r="BUQ71" s="684"/>
      <c r="BUR71" s="684"/>
      <c r="BUS71" s="684"/>
      <c r="BUT71" s="684"/>
      <c r="BUU71" s="684"/>
      <c r="BUV71" s="684"/>
      <c r="BUW71" s="684"/>
      <c r="BUX71" s="684"/>
      <c r="BUY71" s="684"/>
      <c r="BUZ71" s="684"/>
      <c r="BVA71" s="684"/>
      <c r="BVB71" s="684"/>
      <c r="BVC71" s="684"/>
      <c r="BVD71" s="684"/>
      <c r="BVE71" s="684"/>
      <c r="BVF71" s="684"/>
      <c r="BVG71" s="684"/>
      <c r="BVH71" s="684"/>
      <c r="BVI71" s="684"/>
      <c r="BVJ71" s="684"/>
      <c r="BVK71" s="684"/>
      <c r="BVL71" s="684"/>
      <c r="BVM71" s="684"/>
      <c r="BVN71" s="684"/>
      <c r="BVO71" s="684"/>
      <c r="BVP71" s="684"/>
      <c r="BVQ71" s="684"/>
      <c r="BVR71" s="684"/>
      <c r="BVS71" s="684"/>
      <c r="BVT71" s="684"/>
      <c r="BVU71" s="684"/>
      <c r="BVV71" s="684"/>
      <c r="BVW71" s="684"/>
      <c r="BVX71" s="684"/>
      <c r="BVY71" s="684"/>
      <c r="BVZ71" s="684"/>
      <c r="BWA71" s="684"/>
      <c r="BWB71" s="684"/>
      <c r="BWC71" s="684"/>
      <c r="BWD71" s="684"/>
      <c r="BWE71" s="684"/>
      <c r="BWF71" s="684"/>
      <c r="BWG71" s="684"/>
      <c r="BWH71" s="684"/>
      <c r="BWI71" s="684"/>
      <c r="BWJ71" s="684"/>
      <c r="BWK71" s="684"/>
      <c r="BWL71" s="684"/>
      <c r="BWM71" s="684"/>
      <c r="BWN71" s="684"/>
      <c r="BWO71" s="684"/>
      <c r="BWP71" s="684"/>
      <c r="BWQ71" s="684"/>
      <c r="BWR71" s="684"/>
      <c r="BWS71" s="684"/>
      <c r="BWT71" s="684"/>
      <c r="BWU71" s="684"/>
      <c r="BWV71" s="684"/>
      <c r="BWW71" s="684"/>
      <c r="BWX71" s="684"/>
      <c r="BWY71" s="684"/>
      <c r="BWZ71" s="684"/>
      <c r="BXA71" s="684"/>
      <c r="BXB71" s="684"/>
      <c r="BXC71" s="684"/>
      <c r="BXD71" s="684"/>
      <c r="BXE71" s="684"/>
      <c r="BXF71" s="684"/>
      <c r="BXG71" s="684"/>
      <c r="BXH71" s="684"/>
      <c r="BXI71" s="684"/>
      <c r="BXJ71" s="684"/>
      <c r="BXK71" s="684"/>
      <c r="BXL71" s="684"/>
      <c r="BXM71" s="684"/>
      <c r="BXN71" s="684"/>
      <c r="BXO71" s="684"/>
      <c r="BXP71" s="684"/>
      <c r="BXQ71" s="684"/>
      <c r="BXR71" s="684"/>
      <c r="BXS71" s="684"/>
      <c r="BXT71" s="684"/>
      <c r="BXU71" s="684"/>
      <c r="BXV71" s="684"/>
      <c r="BXW71" s="684"/>
      <c r="BXX71" s="684"/>
      <c r="BXY71" s="684"/>
      <c r="BXZ71" s="684"/>
      <c r="BYA71" s="684"/>
      <c r="BYB71" s="684"/>
      <c r="BYC71" s="684"/>
      <c r="BYD71" s="684"/>
      <c r="BYE71" s="684"/>
      <c r="BYF71" s="684"/>
      <c r="BYG71" s="684"/>
      <c r="BYH71" s="684"/>
      <c r="BYI71" s="684"/>
      <c r="BYJ71" s="684"/>
      <c r="BYK71" s="684"/>
      <c r="BYL71" s="684"/>
      <c r="BYM71" s="684"/>
      <c r="BYN71" s="684"/>
      <c r="BYO71" s="684"/>
      <c r="BYP71" s="684"/>
      <c r="BYQ71" s="684"/>
      <c r="BYR71" s="684"/>
      <c r="BYS71" s="684"/>
      <c r="BYT71" s="684"/>
      <c r="BYU71" s="684"/>
      <c r="BYV71" s="684"/>
      <c r="BYW71" s="684"/>
      <c r="BYX71" s="684"/>
      <c r="BYY71" s="684"/>
      <c r="BYZ71" s="684"/>
      <c r="BZA71" s="684"/>
      <c r="BZB71" s="684"/>
      <c r="BZC71" s="684"/>
      <c r="BZD71" s="684"/>
      <c r="BZE71" s="684"/>
      <c r="BZF71" s="684"/>
      <c r="BZG71" s="684"/>
      <c r="BZH71" s="684"/>
      <c r="BZI71" s="684"/>
      <c r="BZJ71" s="684"/>
      <c r="BZK71" s="684"/>
      <c r="BZL71" s="684"/>
      <c r="BZM71" s="684"/>
      <c r="BZN71" s="684"/>
      <c r="BZO71" s="684"/>
      <c r="BZP71" s="684"/>
      <c r="BZQ71" s="684"/>
      <c r="BZR71" s="684"/>
      <c r="BZS71" s="684"/>
      <c r="BZT71" s="684"/>
      <c r="BZU71" s="684"/>
      <c r="BZV71" s="684"/>
      <c r="BZW71" s="684"/>
      <c r="BZX71" s="684"/>
      <c r="BZY71" s="684"/>
      <c r="BZZ71" s="684"/>
      <c r="CAA71" s="684"/>
      <c r="CAB71" s="684"/>
      <c r="CAC71" s="684"/>
      <c r="CAD71" s="684"/>
      <c r="CAE71" s="684"/>
      <c r="CAF71" s="684"/>
      <c r="CAG71" s="684"/>
      <c r="CAH71" s="684"/>
      <c r="CAI71" s="684"/>
      <c r="CAJ71" s="684"/>
      <c r="CAK71" s="684"/>
      <c r="CAL71" s="684"/>
      <c r="CAM71" s="684"/>
      <c r="CAN71" s="684"/>
      <c r="CAO71" s="684"/>
      <c r="CAP71" s="684"/>
      <c r="CAQ71" s="684"/>
      <c r="CAR71" s="684"/>
      <c r="CAS71" s="684"/>
      <c r="CAT71" s="684"/>
      <c r="CAU71" s="684"/>
      <c r="CAV71" s="684"/>
      <c r="CAW71" s="684"/>
      <c r="CAX71" s="684"/>
      <c r="CAY71" s="684"/>
      <c r="CAZ71" s="684"/>
      <c r="CBA71" s="684"/>
      <c r="CBB71" s="684"/>
      <c r="CBC71" s="684"/>
      <c r="CBD71" s="684"/>
      <c r="CBE71" s="684"/>
      <c r="CBF71" s="684"/>
      <c r="CBG71" s="684"/>
      <c r="CBH71" s="684"/>
      <c r="CBI71" s="684"/>
      <c r="CBJ71" s="684"/>
      <c r="CBK71" s="684"/>
      <c r="CBL71" s="684"/>
      <c r="CBM71" s="684"/>
      <c r="CBN71" s="684"/>
      <c r="CBO71" s="684"/>
      <c r="CBP71" s="684"/>
      <c r="CBQ71" s="684"/>
      <c r="CBR71" s="684"/>
      <c r="CBS71" s="684"/>
      <c r="CBT71" s="684"/>
      <c r="CBU71" s="684"/>
      <c r="CBV71" s="684"/>
      <c r="CBW71" s="684"/>
      <c r="CBX71" s="684"/>
      <c r="CBY71" s="684"/>
      <c r="CBZ71" s="684"/>
      <c r="CCA71" s="684"/>
      <c r="CCB71" s="684"/>
      <c r="CCC71" s="684"/>
      <c r="CCD71" s="684"/>
      <c r="CCE71" s="684"/>
      <c r="CCF71" s="684"/>
      <c r="CCG71" s="684"/>
      <c r="CCH71" s="684"/>
      <c r="CCI71" s="684"/>
      <c r="CCJ71" s="684"/>
      <c r="CCK71" s="684"/>
      <c r="CCL71" s="684"/>
      <c r="CCM71" s="684"/>
      <c r="CCN71" s="684"/>
      <c r="CCO71" s="684"/>
      <c r="CCP71" s="684"/>
      <c r="CCQ71" s="684"/>
      <c r="CCR71" s="684"/>
      <c r="CCS71" s="684"/>
      <c r="CCT71" s="684"/>
      <c r="CCU71" s="684"/>
      <c r="CCV71" s="684"/>
      <c r="CCW71" s="684"/>
      <c r="CCX71" s="684"/>
      <c r="CCY71" s="684"/>
      <c r="CCZ71" s="684"/>
      <c r="CDA71" s="684"/>
      <c r="CDB71" s="684"/>
      <c r="CDC71" s="684"/>
      <c r="CDD71" s="684"/>
      <c r="CDE71" s="684"/>
      <c r="CDF71" s="684"/>
      <c r="CDG71" s="684"/>
      <c r="CDH71" s="684"/>
      <c r="CDI71" s="684"/>
      <c r="CDJ71" s="684"/>
      <c r="CDK71" s="684"/>
      <c r="CDL71" s="684"/>
      <c r="CDM71" s="684"/>
      <c r="CDN71" s="684"/>
      <c r="CDO71" s="684"/>
      <c r="CDP71" s="684"/>
      <c r="CDQ71" s="684"/>
      <c r="CDR71" s="684"/>
      <c r="CDS71" s="684"/>
      <c r="CDT71" s="684"/>
      <c r="CDU71" s="684"/>
      <c r="CDV71" s="684"/>
      <c r="CDW71" s="684"/>
      <c r="CDX71" s="684"/>
      <c r="CDY71" s="684"/>
      <c r="CDZ71" s="684"/>
      <c r="CEA71" s="684"/>
      <c r="CEB71" s="684"/>
      <c r="CEC71" s="684"/>
      <c r="CED71" s="684"/>
      <c r="CEE71" s="684"/>
      <c r="CEF71" s="684"/>
      <c r="CEG71" s="684"/>
      <c r="CEH71" s="684"/>
      <c r="CEI71" s="684"/>
      <c r="CEJ71" s="684"/>
      <c r="CEK71" s="684"/>
      <c r="CEL71" s="684"/>
      <c r="CEM71" s="684"/>
      <c r="CEN71" s="684"/>
      <c r="CEO71" s="684"/>
      <c r="CEP71" s="684"/>
      <c r="CEQ71" s="684"/>
      <c r="CER71" s="684"/>
      <c r="CES71" s="684"/>
      <c r="CET71" s="684"/>
      <c r="CEU71" s="684"/>
      <c r="CEV71" s="684"/>
      <c r="CEW71" s="684"/>
      <c r="CEX71" s="684"/>
      <c r="CEY71" s="684"/>
      <c r="CEZ71" s="684"/>
      <c r="CFA71" s="684"/>
      <c r="CFB71" s="684"/>
      <c r="CFC71" s="684"/>
      <c r="CFD71" s="684"/>
      <c r="CFE71" s="684"/>
      <c r="CFF71" s="684"/>
      <c r="CFG71" s="684"/>
      <c r="CFH71" s="684"/>
      <c r="CFI71" s="684"/>
      <c r="CFJ71" s="684"/>
      <c r="CFK71" s="684"/>
      <c r="CFL71" s="684"/>
      <c r="CFM71" s="684"/>
      <c r="CFN71" s="684"/>
      <c r="CFO71" s="684"/>
      <c r="CFP71" s="684"/>
      <c r="CFQ71" s="684"/>
      <c r="CFR71" s="684"/>
      <c r="CFS71" s="684"/>
      <c r="CFT71" s="684"/>
      <c r="CFU71" s="684"/>
      <c r="CFV71" s="684"/>
      <c r="CFW71" s="684"/>
      <c r="CFX71" s="684"/>
      <c r="CFY71" s="684"/>
      <c r="CFZ71" s="684"/>
      <c r="CGA71" s="684"/>
      <c r="CGB71" s="684"/>
      <c r="CGC71" s="684"/>
      <c r="CGD71" s="684"/>
      <c r="CGE71" s="684"/>
      <c r="CGF71" s="684"/>
      <c r="CGG71" s="684"/>
      <c r="CGH71" s="684"/>
      <c r="CGI71" s="684"/>
      <c r="CGJ71" s="684"/>
      <c r="CGK71" s="684"/>
      <c r="CGL71" s="684"/>
      <c r="CGM71" s="684"/>
      <c r="CGN71" s="684"/>
      <c r="CGO71" s="684"/>
      <c r="CGP71" s="684"/>
      <c r="CGQ71" s="684"/>
      <c r="CGR71" s="684"/>
      <c r="CGS71" s="684"/>
      <c r="CGT71" s="684"/>
      <c r="CGU71" s="684"/>
      <c r="CGV71" s="684"/>
      <c r="CGW71" s="684"/>
      <c r="CGX71" s="684"/>
      <c r="CGY71" s="684"/>
      <c r="CGZ71" s="684"/>
      <c r="CHA71" s="684"/>
      <c r="CHB71" s="684"/>
      <c r="CHC71" s="684"/>
      <c r="CHD71" s="684"/>
      <c r="CHE71" s="684"/>
      <c r="CHF71" s="684"/>
      <c r="CHG71" s="684"/>
      <c r="CHH71" s="684"/>
      <c r="CHI71" s="684"/>
      <c r="CHJ71" s="684"/>
      <c r="CHK71" s="684"/>
      <c r="CHL71" s="684"/>
      <c r="CHM71" s="684"/>
      <c r="CHN71" s="684"/>
      <c r="CHO71" s="684"/>
      <c r="CHP71" s="684"/>
      <c r="CHQ71" s="684"/>
      <c r="CHR71" s="684"/>
      <c r="CHS71" s="684"/>
      <c r="CHT71" s="684"/>
      <c r="CHU71" s="684"/>
      <c r="CHV71" s="684"/>
      <c r="CHW71" s="684"/>
      <c r="CHX71" s="684"/>
      <c r="CHY71" s="684"/>
      <c r="CHZ71" s="684"/>
      <c r="CIA71" s="684"/>
      <c r="CIB71" s="684"/>
      <c r="CIC71" s="684"/>
      <c r="CID71" s="684"/>
      <c r="CIE71" s="684"/>
      <c r="CIF71" s="684"/>
      <c r="CIG71" s="684"/>
      <c r="CIH71" s="684"/>
      <c r="CII71" s="684"/>
      <c r="CIJ71" s="684"/>
      <c r="CIK71" s="684"/>
      <c r="CIL71" s="684"/>
      <c r="CIM71" s="684"/>
      <c r="CIN71" s="684"/>
      <c r="CIO71" s="684"/>
      <c r="CIP71" s="684"/>
      <c r="CIQ71" s="684"/>
      <c r="CIR71" s="684"/>
      <c r="CIS71" s="684"/>
      <c r="CIT71" s="684"/>
      <c r="CIU71" s="684"/>
      <c r="CIV71" s="684"/>
      <c r="CIW71" s="684"/>
      <c r="CIX71" s="684"/>
      <c r="CIY71" s="684"/>
      <c r="CIZ71" s="684"/>
      <c r="CJA71" s="684"/>
      <c r="CJB71" s="684"/>
      <c r="CJC71" s="684"/>
      <c r="CJD71" s="684"/>
      <c r="CJE71" s="684"/>
      <c r="CJF71" s="684"/>
      <c r="CJG71" s="684"/>
      <c r="CJH71" s="684"/>
      <c r="CJI71" s="684"/>
      <c r="CJJ71" s="684"/>
      <c r="CJK71" s="684"/>
      <c r="CJL71" s="684"/>
      <c r="CJM71" s="684"/>
      <c r="CJN71" s="684"/>
      <c r="CJO71" s="684"/>
      <c r="CJP71" s="684"/>
      <c r="CJQ71" s="684"/>
      <c r="CJR71" s="684"/>
      <c r="CJS71" s="684"/>
      <c r="CJT71" s="684"/>
      <c r="CJU71" s="684"/>
      <c r="CJV71" s="684"/>
      <c r="CJW71" s="684"/>
      <c r="CJX71" s="684"/>
      <c r="CJY71" s="684"/>
      <c r="CJZ71" s="684"/>
      <c r="CKA71" s="684"/>
      <c r="CKB71" s="684"/>
      <c r="CKC71" s="684"/>
      <c r="CKD71" s="684"/>
      <c r="CKE71" s="684"/>
      <c r="CKF71" s="684"/>
      <c r="CKG71" s="684"/>
      <c r="CKH71" s="684"/>
      <c r="CKI71" s="684"/>
      <c r="CKJ71" s="684"/>
      <c r="CKK71" s="684"/>
      <c r="CKL71" s="684"/>
      <c r="CKM71" s="684"/>
      <c r="CKN71" s="684"/>
      <c r="CKO71" s="684"/>
      <c r="CKP71" s="684"/>
      <c r="CKQ71" s="684"/>
      <c r="CKR71" s="684"/>
      <c r="CKS71" s="684"/>
      <c r="CKT71" s="684"/>
      <c r="CKU71" s="684"/>
      <c r="CKV71" s="684"/>
      <c r="CKW71" s="684"/>
      <c r="CKX71" s="684"/>
      <c r="CKY71" s="684"/>
      <c r="CKZ71" s="684"/>
      <c r="CLA71" s="684"/>
      <c r="CLB71" s="684"/>
      <c r="CLC71" s="684"/>
      <c r="CLD71" s="684"/>
      <c r="CLE71" s="684"/>
      <c r="CLF71" s="684"/>
      <c r="CLG71" s="684"/>
      <c r="CLH71" s="684"/>
      <c r="CLI71" s="684"/>
      <c r="CLJ71" s="684"/>
      <c r="CLK71" s="684"/>
      <c r="CLL71" s="684"/>
      <c r="CLM71" s="684"/>
      <c r="CLN71" s="684"/>
      <c r="CLO71" s="684"/>
      <c r="CLP71" s="684"/>
      <c r="CLQ71" s="684"/>
      <c r="CLR71" s="684"/>
      <c r="CLS71" s="684"/>
      <c r="CLT71" s="684"/>
      <c r="CLU71" s="684"/>
      <c r="CLV71" s="684"/>
      <c r="CLW71" s="684"/>
      <c r="CLX71" s="684"/>
      <c r="CLY71" s="684"/>
      <c r="CLZ71" s="684"/>
      <c r="CMA71" s="684"/>
      <c r="CMB71" s="684"/>
      <c r="CMC71" s="684"/>
      <c r="CMD71" s="684"/>
      <c r="CME71" s="684"/>
      <c r="CMF71" s="684"/>
      <c r="CMG71" s="684"/>
      <c r="CMH71" s="684"/>
      <c r="CMI71" s="684"/>
      <c r="CMJ71" s="684"/>
      <c r="CMK71" s="684"/>
      <c r="CML71" s="684"/>
      <c r="CMM71" s="684"/>
      <c r="CMN71" s="684"/>
      <c r="CMO71" s="684"/>
      <c r="CMP71" s="684"/>
      <c r="CMQ71" s="684"/>
      <c r="CMR71" s="684"/>
      <c r="CMS71" s="684"/>
      <c r="CMT71" s="684"/>
      <c r="CMU71" s="684"/>
      <c r="CMV71" s="684"/>
      <c r="CMW71" s="684"/>
      <c r="CMX71" s="684"/>
      <c r="CMY71" s="684"/>
      <c r="CMZ71" s="684"/>
      <c r="CNA71" s="684"/>
      <c r="CNB71" s="684"/>
      <c r="CNC71" s="684"/>
      <c r="CND71" s="684"/>
      <c r="CNE71" s="684"/>
      <c r="CNF71" s="684"/>
      <c r="CNG71" s="684"/>
      <c r="CNH71" s="684"/>
      <c r="CNI71" s="684"/>
      <c r="CNJ71" s="684"/>
      <c r="CNK71" s="684"/>
      <c r="CNL71" s="684"/>
      <c r="CNM71" s="684"/>
      <c r="CNN71" s="684"/>
      <c r="CNO71" s="684"/>
      <c r="CNP71" s="684"/>
      <c r="CNQ71" s="684"/>
      <c r="CNR71" s="684"/>
      <c r="CNS71" s="684"/>
      <c r="CNT71" s="684"/>
      <c r="CNU71" s="684"/>
      <c r="CNV71" s="684"/>
      <c r="CNW71" s="684"/>
      <c r="CNX71" s="684"/>
      <c r="CNY71" s="684"/>
      <c r="CNZ71" s="684"/>
      <c r="COA71" s="684"/>
      <c r="COB71" s="684"/>
      <c r="COC71" s="684"/>
      <c r="COD71" s="684"/>
      <c r="COE71" s="684"/>
      <c r="COF71" s="684"/>
      <c r="COG71" s="684"/>
      <c r="COH71" s="684"/>
      <c r="COI71" s="684"/>
      <c r="COJ71" s="684"/>
      <c r="COK71" s="684"/>
      <c r="COL71" s="684"/>
      <c r="COM71" s="684"/>
      <c r="CON71" s="684"/>
      <c r="COO71" s="684"/>
      <c r="COP71" s="684"/>
      <c r="COQ71" s="684"/>
      <c r="COR71" s="684"/>
      <c r="COS71" s="684"/>
      <c r="COT71" s="684"/>
      <c r="COU71" s="684"/>
      <c r="COV71" s="684"/>
      <c r="COW71" s="684"/>
      <c r="COX71" s="684"/>
      <c r="COY71" s="684"/>
      <c r="COZ71" s="684"/>
      <c r="CPA71" s="684"/>
      <c r="CPB71" s="684"/>
      <c r="CPC71" s="684"/>
      <c r="CPD71" s="684"/>
      <c r="CPE71" s="684"/>
      <c r="CPF71" s="684"/>
      <c r="CPG71" s="684"/>
      <c r="CPH71" s="684"/>
      <c r="CPI71" s="684"/>
      <c r="CPJ71" s="684"/>
      <c r="CPK71" s="684"/>
      <c r="CPL71" s="684"/>
      <c r="CPM71" s="684"/>
      <c r="CPN71" s="684"/>
      <c r="CPO71" s="684"/>
      <c r="CPP71" s="684"/>
      <c r="CPQ71" s="684"/>
      <c r="CPR71" s="684"/>
      <c r="CPS71" s="684"/>
      <c r="CPT71" s="684"/>
      <c r="CPU71" s="684"/>
      <c r="CPV71" s="684"/>
      <c r="CPW71" s="684"/>
      <c r="CPX71" s="684"/>
      <c r="CPY71" s="684"/>
      <c r="CPZ71" s="684"/>
      <c r="CQA71" s="684"/>
      <c r="CQB71" s="684"/>
      <c r="CQC71" s="684"/>
      <c r="CQD71" s="684"/>
      <c r="CQE71" s="684"/>
      <c r="CQF71" s="684"/>
      <c r="CQG71" s="684"/>
      <c r="CQH71" s="684"/>
      <c r="CQI71" s="684"/>
      <c r="CQJ71" s="684"/>
      <c r="CQK71" s="684"/>
      <c r="CQL71" s="684"/>
      <c r="CQM71" s="684"/>
      <c r="CQN71" s="684"/>
      <c r="CQO71" s="684"/>
      <c r="CQP71" s="684"/>
      <c r="CQQ71" s="684"/>
      <c r="CQR71" s="684"/>
      <c r="CQS71" s="684"/>
      <c r="CQT71" s="684"/>
      <c r="CQU71" s="684"/>
      <c r="CQV71" s="684"/>
      <c r="CQW71" s="684"/>
      <c r="CQX71" s="684"/>
      <c r="CQY71" s="684"/>
      <c r="CQZ71" s="684"/>
      <c r="CRA71" s="684"/>
      <c r="CRB71" s="684"/>
      <c r="CRC71" s="684"/>
      <c r="CRD71" s="684"/>
      <c r="CRE71" s="684"/>
      <c r="CRF71" s="684"/>
      <c r="CRG71" s="684"/>
      <c r="CRH71" s="684"/>
      <c r="CRI71" s="684"/>
      <c r="CRJ71" s="684"/>
      <c r="CRK71" s="684"/>
      <c r="CRL71" s="684"/>
      <c r="CRM71" s="684"/>
      <c r="CRN71" s="684"/>
      <c r="CRO71" s="684"/>
      <c r="CRP71" s="684"/>
      <c r="CRQ71" s="684"/>
      <c r="CRR71" s="684"/>
      <c r="CRS71" s="684"/>
      <c r="CRT71" s="684"/>
      <c r="CRU71" s="684"/>
      <c r="CRV71" s="684"/>
      <c r="CRW71" s="684"/>
      <c r="CRX71" s="684"/>
      <c r="CRY71" s="684"/>
      <c r="CRZ71" s="684"/>
      <c r="CSA71" s="684"/>
      <c r="CSB71" s="684"/>
      <c r="CSC71" s="684"/>
      <c r="CSD71" s="684"/>
      <c r="CSE71" s="684"/>
      <c r="CSF71" s="684"/>
      <c r="CSG71" s="684"/>
      <c r="CSH71" s="684"/>
      <c r="CSI71" s="684"/>
      <c r="CSJ71" s="684"/>
      <c r="CSK71" s="684"/>
      <c r="CSL71" s="684"/>
      <c r="CSM71" s="684"/>
      <c r="CSN71" s="684"/>
      <c r="CSO71" s="684"/>
      <c r="CSP71" s="684"/>
      <c r="CSQ71" s="684"/>
      <c r="CSR71" s="684"/>
      <c r="CSS71" s="684"/>
      <c r="CST71" s="684"/>
      <c r="CSU71" s="684"/>
      <c r="CSV71" s="684"/>
      <c r="CSW71" s="684"/>
      <c r="CSX71" s="684"/>
      <c r="CSY71" s="684"/>
      <c r="CSZ71" s="684"/>
      <c r="CTA71" s="684"/>
      <c r="CTB71" s="684"/>
      <c r="CTC71" s="684"/>
      <c r="CTD71" s="684"/>
      <c r="CTE71" s="684"/>
      <c r="CTF71" s="684"/>
      <c r="CTG71" s="684"/>
      <c r="CTH71" s="684"/>
      <c r="CTI71" s="684"/>
      <c r="CTJ71" s="684"/>
      <c r="CTK71" s="684"/>
      <c r="CTL71" s="684"/>
      <c r="CTM71" s="684"/>
      <c r="CTN71" s="684"/>
      <c r="CTO71" s="684"/>
      <c r="CTP71" s="684"/>
      <c r="CTQ71" s="684"/>
      <c r="CTR71" s="684"/>
      <c r="CTS71" s="684"/>
      <c r="CTT71" s="684"/>
      <c r="CTU71" s="684"/>
      <c r="CTV71" s="684"/>
      <c r="CTW71" s="684"/>
      <c r="CTX71" s="684"/>
      <c r="CTY71" s="684"/>
      <c r="CTZ71" s="684"/>
      <c r="CUA71" s="684"/>
      <c r="CUB71" s="684"/>
      <c r="CUC71" s="684"/>
      <c r="CUD71" s="684"/>
      <c r="CUE71" s="684"/>
      <c r="CUF71" s="684"/>
      <c r="CUG71" s="684"/>
      <c r="CUH71" s="684"/>
      <c r="CUI71" s="684"/>
      <c r="CUJ71" s="684"/>
      <c r="CUK71" s="684"/>
      <c r="CUL71" s="684"/>
      <c r="CUM71" s="684"/>
      <c r="CUN71" s="684"/>
      <c r="CUO71" s="684"/>
      <c r="CUP71" s="684"/>
      <c r="CUQ71" s="684"/>
      <c r="CUR71" s="684"/>
      <c r="CUS71" s="684"/>
      <c r="CUT71" s="684"/>
      <c r="CUU71" s="684"/>
      <c r="CUV71" s="684"/>
      <c r="CUW71" s="684"/>
      <c r="CUX71" s="684"/>
      <c r="CUY71" s="684"/>
      <c r="CUZ71" s="684"/>
      <c r="CVA71" s="684"/>
      <c r="CVB71" s="684"/>
      <c r="CVC71" s="684"/>
      <c r="CVD71" s="684"/>
      <c r="CVE71" s="684"/>
      <c r="CVF71" s="684"/>
      <c r="CVG71" s="684"/>
      <c r="CVH71" s="684"/>
      <c r="CVI71" s="684"/>
      <c r="CVJ71" s="684"/>
      <c r="CVK71" s="684"/>
      <c r="CVL71" s="684"/>
      <c r="CVM71" s="684"/>
      <c r="CVN71" s="684"/>
      <c r="CVO71" s="684"/>
      <c r="CVP71" s="684"/>
      <c r="CVQ71" s="684"/>
      <c r="CVR71" s="684"/>
      <c r="CVS71" s="684"/>
      <c r="CVT71" s="684"/>
      <c r="CVU71" s="684"/>
      <c r="CVV71" s="684"/>
      <c r="CVW71" s="684"/>
      <c r="CVX71" s="684"/>
      <c r="CVY71" s="684"/>
      <c r="CVZ71" s="684"/>
      <c r="CWA71" s="684"/>
      <c r="CWB71" s="684"/>
      <c r="CWC71" s="684"/>
      <c r="CWD71" s="684"/>
      <c r="CWE71" s="684"/>
      <c r="CWF71" s="684"/>
      <c r="CWG71" s="684"/>
      <c r="CWH71" s="684"/>
      <c r="CWI71" s="684"/>
      <c r="CWJ71" s="684"/>
      <c r="CWK71" s="684"/>
      <c r="CWL71" s="684"/>
      <c r="CWM71" s="684"/>
      <c r="CWN71" s="684"/>
      <c r="CWO71" s="684"/>
      <c r="CWP71" s="684"/>
      <c r="CWQ71" s="684"/>
      <c r="CWR71" s="684"/>
      <c r="CWS71" s="684"/>
      <c r="CWT71" s="684"/>
      <c r="CWU71" s="684"/>
      <c r="CWV71" s="684"/>
      <c r="CWW71" s="684"/>
      <c r="CWX71" s="684"/>
      <c r="CWY71" s="684"/>
      <c r="CWZ71" s="684"/>
      <c r="CXA71" s="684"/>
      <c r="CXB71" s="684"/>
      <c r="CXC71" s="684"/>
      <c r="CXD71" s="684"/>
      <c r="CXE71" s="684"/>
      <c r="CXF71" s="684"/>
      <c r="CXG71" s="684"/>
      <c r="CXH71" s="684"/>
      <c r="CXI71" s="684"/>
      <c r="CXJ71" s="684"/>
      <c r="CXK71" s="684"/>
      <c r="CXL71" s="684"/>
      <c r="CXM71" s="684"/>
      <c r="CXN71" s="684"/>
      <c r="CXO71" s="684"/>
      <c r="CXP71" s="684"/>
      <c r="CXQ71" s="684"/>
      <c r="CXR71" s="684"/>
      <c r="CXS71" s="684"/>
      <c r="CXT71" s="684"/>
      <c r="CXU71" s="684"/>
      <c r="CXV71" s="684"/>
      <c r="CXW71" s="684"/>
      <c r="CXX71" s="684"/>
      <c r="CXY71" s="684"/>
      <c r="CXZ71" s="684"/>
      <c r="CYA71" s="684"/>
      <c r="CYB71" s="684"/>
      <c r="CYC71" s="684"/>
      <c r="CYD71" s="684"/>
      <c r="CYE71" s="684"/>
      <c r="CYF71" s="684"/>
      <c r="CYG71" s="684"/>
      <c r="CYH71" s="684"/>
      <c r="CYI71" s="684"/>
      <c r="CYJ71" s="684"/>
      <c r="CYK71" s="684"/>
      <c r="CYL71" s="684"/>
      <c r="CYM71" s="684"/>
      <c r="CYN71" s="684"/>
      <c r="CYO71" s="684"/>
      <c r="CYP71" s="684"/>
      <c r="CYQ71" s="684"/>
      <c r="CYR71" s="684"/>
      <c r="CYS71" s="684"/>
      <c r="CYT71" s="684"/>
      <c r="CYU71" s="684"/>
      <c r="CYV71" s="684"/>
      <c r="CYW71" s="684"/>
      <c r="CYX71" s="684"/>
      <c r="CYY71" s="684"/>
      <c r="CYZ71" s="684"/>
      <c r="CZA71" s="684"/>
      <c r="CZB71" s="684"/>
      <c r="CZC71" s="684"/>
      <c r="CZD71" s="684"/>
      <c r="CZE71" s="684"/>
      <c r="CZF71" s="684"/>
      <c r="CZG71" s="684"/>
      <c r="CZH71" s="684"/>
      <c r="CZI71" s="684"/>
      <c r="CZJ71" s="684"/>
      <c r="CZK71" s="684"/>
      <c r="CZL71" s="684"/>
      <c r="CZM71" s="684"/>
      <c r="CZN71" s="684"/>
      <c r="CZO71" s="684"/>
      <c r="CZP71" s="684"/>
      <c r="CZQ71" s="684"/>
      <c r="CZR71" s="684"/>
      <c r="CZS71" s="684"/>
      <c r="CZT71" s="684"/>
      <c r="CZU71" s="684"/>
      <c r="CZV71" s="684"/>
      <c r="CZW71" s="684"/>
      <c r="CZX71" s="684"/>
      <c r="CZY71" s="684"/>
      <c r="CZZ71" s="684"/>
      <c r="DAA71" s="684"/>
      <c r="DAB71" s="684"/>
      <c r="DAC71" s="684"/>
      <c r="DAD71" s="684"/>
      <c r="DAE71" s="684"/>
      <c r="DAF71" s="684"/>
      <c r="DAG71" s="684"/>
      <c r="DAH71" s="684"/>
      <c r="DAI71" s="684"/>
      <c r="DAJ71" s="684"/>
      <c r="DAK71" s="684"/>
      <c r="DAL71" s="684"/>
      <c r="DAM71" s="684"/>
      <c r="DAN71" s="684"/>
      <c r="DAO71" s="684"/>
      <c r="DAP71" s="684"/>
      <c r="DAQ71" s="684"/>
      <c r="DAR71" s="684"/>
      <c r="DAS71" s="684"/>
      <c r="DAT71" s="684"/>
      <c r="DAU71" s="684"/>
      <c r="DAV71" s="684"/>
      <c r="DAW71" s="684"/>
      <c r="DAX71" s="684"/>
      <c r="DAY71" s="684"/>
      <c r="DAZ71" s="684"/>
      <c r="DBA71" s="684"/>
      <c r="DBB71" s="684"/>
      <c r="DBC71" s="684"/>
      <c r="DBD71" s="684"/>
      <c r="DBE71" s="684"/>
      <c r="DBF71" s="684"/>
      <c r="DBG71" s="684"/>
      <c r="DBH71" s="684"/>
      <c r="DBI71" s="684"/>
      <c r="DBJ71" s="684"/>
      <c r="DBK71" s="684"/>
      <c r="DBL71" s="684"/>
      <c r="DBM71" s="684"/>
      <c r="DBN71" s="684"/>
      <c r="DBO71" s="684"/>
      <c r="DBP71" s="684"/>
      <c r="DBQ71" s="684"/>
      <c r="DBR71" s="684"/>
      <c r="DBS71" s="684"/>
      <c r="DBT71" s="684"/>
      <c r="DBU71" s="684"/>
      <c r="DBV71" s="684"/>
      <c r="DBW71" s="684"/>
      <c r="DBX71" s="684"/>
      <c r="DBY71" s="684"/>
      <c r="DBZ71" s="684"/>
      <c r="DCA71" s="684"/>
      <c r="DCB71" s="684"/>
      <c r="DCC71" s="684"/>
      <c r="DCD71" s="684"/>
      <c r="DCE71" s="684"/>
      <c r="DCF71" s="684"/>
      <c r="DCG71" s="684"/>
      <c r="DCH71" s="684"/>
      <c r="DCI71" s="684"/>
      <c r="DCJ71" s="684"/>
      <c r="DCK71" s="684"/>
      <c r="DCL71" s="684"/>
      <c r="DCM71" s="684"/>
      <c r="DCN71" s="684"/>
      <c r="DCO71" s="684"/>
      <c r="DCP71" s="684"/>
      <c r="DCQ71" s="684"/>
      <c r="DCR71" s="684"/>
      <c r="DCS71" s="684"/>
      <c r="DCT71" s="684"/>
      <c r="DCU71" s="684"/>
      <c r="DCV71" s="684"/>
      <c r="DCW71" s="684"/>
      <c r="DCX71" s="684"/>
      <c r="DCY71" s="684"/>
      <c r="DCZ71" s="684"/>
      <c r="DDA71" s="684"/>
      <c r="DDB71" s="684"/>
      <c r="DDC71" s="684"/>
      <c r="DDD71" s="684"/>
      <c r="DDE71" s="684"/>
      <c r="DDF71" s="684"/>
      <c r="DDG71" s="684"/>
      <c r="DDH71" s="684"/>
      <c r="DDI71" s="684"/>
      <c r="DDJ71" s="684"/>
      <c r="DDK71" s="684"/>
      <c r="DDL71" s="684"/>
      <c r="DDM71" s="684"/>
      <c r="DDN71" s="684"/>
      <c r="DDO71" s="684"/>
      <c r="DDP71" s="684"/>
      <c r="DDQ71" s="684"/>
      <c r="DDR71" s="684"/>
      <c r="DDS71" s="684"/>
      <c r="DDT71" s="684"/>
      <c r="DDU71" s="684"/>
      <c r="DDV71" s="684"/>
      <c r="DDW71" s="684"/>
      <c r="DDX71" s="684"/>
      <c r="DDY71" s="684"/>
      <c r="DDZ71" s="684"/>
      <c r="DEA71" s="684"/>
      <c r="DEB71" s="684"/>
      <c r="DEC71" s="684"/>
      <c r="DED71" s="684"/>
      <c r="DEE71" s="684"/>
      <c r="DEF71" s="684"/>
      <c r="DEG71" s="684"/>
      <c r="DEH71" s="684"/>
      <c r="DEI71" s="684"/>
      <c r="DEJ71" s="684"/>
      <c r="DEK71" s="684"/>
      <c r="DEL71" s="684"/>
      <c r="DEM71" s="684"/>
      <c r="DEN71" s="684"/>
      <c r="DEO71" s="684"/>
      <c r="DEP71" s="684"/>
      <c r="DEQ71" s="684"/>
      <c r="DER71" s="684"/>
      <c r="DES71" s="684"/>
      <c r="DET71" s="684"/>
      <c r="DEU71" s="684"/>
      <c r="DEV71" s="684"/>
      <c r="DEW71" s="684"/>
      <c r="DEX71" s="684"/>
      <c r="DEY71" s="684"/>
      <c r="DEZ71" s="684"/>
      <c r="DFA71" s="684"/>
      <c r="DFB71" s="684"/>
      <c r="DFC71" s="684"/>
      <c r="DFD71" s="684"/>
      <c r="DFE71" s="684"/>
      <c r="DFF71" s="684"/>
      <c r="DFG71" s="684"/>
      <c r="DFH71" s="684"/>
      <c r="DFI71" s="684"/>
      <c r="DFJ71" s="684"/>
      <c r="DFK71" s="684"/>
      <c r="DFL71" s="684"/>
      <c r="DFM71" s="684"/>
      <c r="DFN71" s="684"/>
      <c r="DFO71" s="684"/>
      <c r="DFP71" s="684"/>
      <c r="DFQ71" s="684"/>
      <c r="DFR71" s="684"/>
      <c r="DFS71" s="684"/>
      <c r="DFT71" s="684"/>
      <c r="DFU71" s="684"/>
      <c r="DFV71" s="684"/>
      <c r="DFW71" s="684"/>
      <c r="DFX71" s="684"/>
      <c r="DFY71" s="684"/>
      <c r="DFZ71" s="684"/>
      <c r="DGA71" s="684"/>
      <c r="DGB71" s="684"/>
      <c r="DGC71" s="684"/>
      <c r="DGD71" s="684"/>
      <c r="DGE71" s="684"/>
      <c r="DGF71" s="684"/>
      <c r="DGG71" s="684"/>
      <c r="DGH71" s="684"/>
      <c r="DGI71" s="684"/>
      <c r="DGJ71" s="684"/>
      <c r="DGK71" s="684"/>
      <c r="DGL71" s="684"/>
      <c r="DGM71" s="684"/>
      <c r="DGN71" s="684"/>
      <c r="DGO71" s="684"/>
      <c r="DGP71" s="684"/>
      <c r="DGQ71" s="684"/>
      <c r="DGR71" s="684"/>
      <c r="DGS71" s="684"/>
      <c r="DGT71" s="684"/>
      <c r="DGU71" s="684"/>
      <c r="DGV71" s="684"/>
      <c r="DGW71" s="684"/>
      <c r="DGX71" s="684"/>
      <c r="DGY71" s="684"/>
      <c r="DGZ71" s="684"/>
      <c r="DHA71" s="684"/>
      <c r="DHB71" s="684"/>
      <c r="DHC71" s="684"/>
      <c r="DHD71" s="684"/>
      <c r="DHE71" s="684"/>
      <c r="DHF71" s="684"/>
      <c r="DHG71" s="684"/>
      <c r="DHH71" s="684"/>
      <c r="DHI71" s="684"/>
      <c r="DHJ71" s="684"/>
      <c r="DHK71" s="684"/>
      <c r="DHL71" s="684"/>
      <c r="DHM71" s="684"/>
      <c r="DHN71" s="684"/>
      <c r="DHO71" s="684"/>
      <c r="DHP71" s="684"/>
      <c r="DHQ71" s="684"/>
      <c r="DHR71" s="684"/>
      <c r="DHS71" s="684"/>
      <c r="DHT71" s="684"/>
      <c r="DHU71" s="684"/>
      <c r="DHV71" s="684"/>
      <c r="DHW71" s="684"/>
      <c r="DHX71" s="684"/>
      <c r="DHY71" s="684"/>
      <c r="DHZ71" s="684"/>
      <c r="DIA71" s="684"/>
      <c r="DIB71" s="684"/>
      <c r="DIC71" s="684"/>
      <c r="DID71" s="684"/>
      <c r="DIE71" s="684"/>
      <c r="DIF71" s="684"/>
      <c r="DIG71" s="684"/>
      <c r="DIH71" s="684"/>
      <c r="DII71" s="684"/>
      <c r="DIJ71" s="684"/>
      <c r="DIK71" s="684"/>
      <c r="DIL71" s="684"/>
      <c r="DIM71" s="684"/>
      <c r="DIN71" s="684"/>
      <c r="DIO71" s="684"/>
      <c r="DIP71" s="684"/>
      <c r="DIQ71" s="684"/>
      <c r="DIR71" s="684"/>
      <c r="DIS71" s="684"/>
      <c r="DIT71" s="684"/>
      <c r="DIU71" s="684"/>
      <c r="DIV71" s="684"/>
      <c r="DIW71" s="684"/>
      <c r="DIX71" s="684"/>
      <c r="DIY71" s="684"/>
      <c r="DIZ71" s="684"/>
      <c r="DJA71" s="684"/>
      <c r="DJB71" s="684"/>
      <c r="DJC71" s="684"/>
      <c r="DJD71" s="684"/>
      <c r="DJE71" s="684"/>
      <c r="DJF71" s="684"/>
      <c r="DJG71" s="684"/>
      <c r="DJH71" s="684"/>
      <c r="DJI71" s="684"/>
      <c r="DJJ71" s="684"/>
      <c r="DJK71" s="684"/>
      <c r="DJL71" s="684"/>
      <c r="DJM71" s="684"/>
      <c r="DJN71" s="684"/>
      <c r="DJO71" s="684"/>
      <c r="DJP71" s="684"/>
      <c r="DJQ71" s="684"/>
      <c r="DJR71" s="684"/>
      <c r="DJS71" s="684"/>
      <c r="DJT71" s="684"/>
      <c r="DJU71" s="684"/>
      <c r="DJV71" s="684"/>
      <c r="DJW71" s="684"/>
      <c r="DJX71" s="684"/>
      <c r="DJY71" s="684"/>
      <c r="DJZ71" s="684"/>
      <c r="DKA71" s="684"/>
      <c r="DKB71" s="684"/>
      <c r="DKC71" s="684"/>
      <c r="DKD71" s="684"/>
      <c r="DKE71" s="684"/>
      <c r="DKF71" s="684"/>
      <c r="DKG71" s="684"/>
      <c r="DKH71" s="684"/>
      <c r="DKI71" s="684"/>
      <c r="DKJ71" s="684"/>
      <c r="DKK71" s="684"/>
      <c r="DKL71" s="684"/>
      <c r="DKM71" s="684"/>
      <c r="DKN71" s="684"/>
      <c r="DKO71" s="684"/>
      <c r="DKP71" s="684"/>
      <c r="DKQ71" s="684"/>
      <c r="DKR71" s="684"/>
      <c r="DKS71" s="684"/>
      <c r="DKT71" s="684"/>
      <c r="DKU71" s="684"/>
      <c r="DKV71" s="684"/>
      <c r="DKW71" s="684"/>
      <c r="DKX71" s="684"/>
      <c r="DKY71" s="684"/>
      <c r="DKZ71" s="684"/>
      <c r="DLA71" s="684"/>
      <c r="DLB71" s="684"/>
      <c r="DLC71" s="684"/>
      <c r="DLD71" s="684"/>
      <c r="DLE71" s="684"/>
      <c r="DLF71" s="684"/>
      <c r="DLG71" s="684"/>
      <c r="DLH71" s="684"/>
      <c r="DLI71" s="684"/>
      <c r="DLJ71" s="684"/>
      <c r="DLK71" s="684"/>
      <c r="DLL71" s="684"/>
      <c r="DLM71" s="684"/>
      <c r="DLN71" s="684"/>
      <c r="DLO71" s="684"/>
      <c r="DLP71" s="684"/>
      <c r="DLQ71" s="684"/>
      <c r="DLR71" s="684"/>
      <c r="DLS71" s="684"/>
      <c r="DLT71" s="684"/>
      <c r="DLU71" s="684"/>
      <c r="DLV71" s="684"/>
      <c r="DLW71" s="684"/>
      <c r="DLX71" s="684"/>
      <c r="DLY71" s="684"/>
      <c r="DLZ71" s="684"/>
      <c r="DMA71" s="684"/>
      <c r="DMB71" s="684"/>
      <c r="DMC71" s="684"/>
      <c r="DMD71" s="684"/>
      <c r="DME71" s="684"/>
      <c r="DMF71" s="684"/>
      <c r="DMG71" s="684"/>
      <c r="DMH71" s="684"/>
      <c r="DMI71" s="684"/>
      <c r="DMJ71" s="684"/>
      <c r="DMK71" s="684"/>
      <c r="DML71" s="684"/>
      <c r="DMM71" s="684"/>
      <c r="DMN71" s="684"/>
      <c r="DMO71" s="684"/>
      <c r="DMP71" s="684"/>
      <c r="DMQ71" s="684"/>
      <c r="DMR71" s="684"/>
      <c r="DMS71" s="684"/>
      <c r="DMT71" s="684"/>
      <c r="DMU71" s="684"/>
      <c r="DMV71" s="684"/>
      <c r="DMW71" s="684"/>
      <c r="DMX71" s="684"/>
      <c r="DMY71" s="684"/>
      <c r="DMZ71" s="684"/>
      <c r="DNA71" s="684"/>
      <c r="DNB71" s="684"/>
      <c r="DNC71" s="684"/>
      <c r="DND71" s="684"/>
      <c r="DNE71" s="684"/>
      <c r="DNF71" s="684"/>
      <c r="DNG71" s="684"/>
      <c r="DNH71" s="684"/>
      <c r="DNI71" s="684"/>
      <c r="DNJ71" s="684"/>
      <c r="DNK71" s="684"/>
      <c r="DNL71" s="684"/>
      <c r="DNM71" s="684"/>
      <c r="DNN71" s="684"/>
      <c r="DNO71" s="684"/>
      <c r="DNP71" s="684"/>
      <c r="DNQ71" s="684"/>
      <c r="DNR71" s="684"/>
      <c r="DNS71" s="684"/>
      <c r="DNT71" s="684"/>
      <c r="DNU71" s="684"/>
      <c r="DNV71" s="684"/>
      <c r="DNW71" s="684"/>
      <c r="DNX71" s="684"/>
      <c r="DNY71" s="684"/>
      <c r="DNZ71" s="684"/>
      <c r="DOA71" s="684"/>
      <c r="DOB71" s="684"/>
      <c r="DOC71" s="684"/>
      <c r="DOD71" s="684"/>
      <c r="DOE71" s="684"/>
      <c r="DOF71" s="684"/>
      <c r="DOG71" s="684"/>
      <c r="DOH71" s="684"/>
      <c r="DOI71" s="684"/>
      <c r="DOJ71" s="684"/>
      <c r="DOK71" s="684"/>
      <c r="DOL71" s="684"/>
      <c r="DOM71" s="684"/>
      <c r="DON71" s="684"/>
      <c r="DOO71" s="684"/>
      <c r="DOP71" s="684"/>
      <c r="DOQ71" s="684"/>
      <c r="DOR71" s="684"/>
      <c r="DOS71" s="684"/>
      <c r="DOT71" s="684"/>
      <c r="DOU71" s="684"/>
      <c r="DOV71" s="684"/>
      <c r="DOW71" s="684"/>
      <c r="DOX71" s="684"/>
      <c r="DOY71" s="684"/>
      <c r="DOZ71" s="684"/>
      <c r="DPA71" s="684"/>
      <c r="DPB71" s="684"/>
      <c r="DPC71" s="684"/>
      <c r="DPD71" s="684"/>
      <c r="DPE71" s="684"/>
      <c r="DPF71" s="684"/>
      <c r="DPG71" s="684"/>
      <c r="DPH71" s="684"/>
      <c r="DPI71" s="684"/>
      <c r="DPJ71" s="684"/>
      <c r="DPK71" s="684"/>
      <c r="DPL71" s="684"/>
      <c r="DPM71" s="684"/>
      <c r="DPN71" s="684"/>
      <c r="DPO71" s="684"/>
      <c r="DPP71" s="684"/>
      <c r="DPQ71" s="684"/>
      <c r="DPR71" s="684"/>
      <c r="DPS71" s="684"/>
      <c r="DPT71" s="684"/>
      <c r="DPU71" s="684"/>
      <c r="DPV71" s="684"/>
      <c r="DPW71" s="684"/>
      <c r="DPX71" s="684"/>
      <c r="DPY71" s="684"/>
      <c r="DPZ71" s="684"/>
      <c r="DQA71" s="684"/>
      <c r="DQB71" s="684"/>
      <c r="DQC71" s="684"/>
      <c r="DQD71" s="684"/>
      <c r="DQE71" s="684"/>
      <c r="DQF71" s="684"/>
      <c r="DQG71" s="684"/>
      <c r="DQH71" s="684"/>
      <c r="DQI71" s="684"/>
      <c r="DQJ71" s="684"/>
      <c r="DQK71" s="684"/>
      <c r="DQL71" s="684"/>
      <c r="DQM71" s="684"/>
      <c r="DQN71" s="684"/>
      <c r="DQO71" s="684"/>
      <c r="DQP71" s="684"/>
      <c r="DQQ71" s="684"/>
      <c r="DQR71" s="684"/>
      <c r="DQS71" s="684"/>
      <c r="DQT71" s="684"/>
      <c r="DQU71" s="684"/>
      <c r="DQV71" s="684"/>
      <c r="DQW71" s="684"/>
      <c r="DQX71" s="684"/>
      <c r="DQY71" s="684"/>
      <c r="DQZ71" s="684"/>
      <c r="DRA71" s="684"/>
      <c r="DRB71" s="684"/>
      <c r="DRC71" s="684"/>
      <c r="DRD71" s="684"/>
      <c r="DRE71" s="684"/>
      <c r="DRF71" s="684"/>
      <c r="DRG71" s="684"/>
      <c r="DRH71" s="684"/>
      <c r="DRI71" s="684"/>
      <c r="DRJ71" s="684"/>
      <c r="DRK71" s="684"/>
      <c r="DRL71" s="684"/>
      <c r="DRM71" s="684"/>
      <c r="DRN71" s="684"/>
      <c r="DRO71" s="684"/>
      <c r="DRP71" s="684"/>
      <c r="DRQ71" s="684"/>
      <c r="DRR71" s="684"/>
      <c r="DRS71" s="684"/>
      <c r="DRT71" s="684"/>
      <c r="DRU71" s="684"/>
      <c r="DRV71" s="684"/>
      <c r="DRW71" s="684"/>
      <c r="DRX71" s="684"/>
      <c r="DRY71" s="684"/>
      <c r="DRZ71" s="684"/>
      <c r="DSA71" s="684"/>
      <c r="DSB71" s="684"/>
      <c r="DSC71" s="684"/>
      <c r="DSD71" s="684"/>
      <c r="DSE71" s="684"/>
      <c r="DSF71" s="684"/>
      <c r="DSG71" s="684"/>
      <c r="DSH71" s="684"/>
      <c r="DSI71" s="684"/>
      <c r="DSJ71" s="684"/>
      <c r="DSK71" s="684"/>
      <c r="DSL71" s="684"/>
      <c r="DSM71" s="684"/>
      <c r="DSN71" s="684"/>
      <c r="DSO71" s="684"/>
      <c r="DSP71" s="684"/>
      <c r="DSQ71" s="684"/>
      <c r="DSR71" s="684"/>
      <c r="DSS71" s="684"/>
      <c r="DST71" s="684"/>
      <c r="DSU71" s="684"/>
      <c r="DSV71" s="684"/>
      <c r="DSW71" s="684"/>
      <c r="DSX71" s="684"/>
      <c r="DSY71" s="684"/>
      <c r="DSZ71" s="684"/>
      <c r="DTA71" s="684"/>
      <c r="DTB71" s="684"/>
      <c r="DTC71" s="684"/>
      <c r="DTD71" s="684"/>
      <c r="DTE71" s="684"/>
      <c r="DTF71" s="684"/>
      <c r="DTG71" s="684"/>
      <c r="DTH71" s="684"/>
      <c r="DTI71" s="684"/>
      <c r="DTJ71" s="684"/>
      <c r="DTK71" s="684"/>
      <c r="DTL71" s="684"/>
      <c r="DTM71" s="684"/>
      <c r="DTN71" s="684"/>
      <c r="DTO71" s="684"/>
      <c r="DTP71" s="684"/>
      <c r="DTQ71" s="684"/>
      <c r="DTR71" s="684"/>
      <c r="DTS71" s="684"/>
      <c r="DTT71" s="684"/>
      <c r="DTU71" s="684"/>
      <c r="DTV71" s="684"/>
      <c r="DTW71" s="684"/>
      <c r="DTX71" s="684"/>
      <c r="DTY71" s="684"/>
      <c r="DTZ71" s="684"/>
      <c r="DUA71" s="684"/>
      <c r="DUB71" s="684"/>
      <c r="DUC71" s="684"/>
      <c r="DUD71" s="684"/>
      <c r="DUE71" s="684"/>
      <c r="DUF71" s="684"/>
      <c r="DUG71" s="684"/>
      <c r="DUH71" s="684"/>
      <c r="DUI71" s="684"/>
      <c r="DUJ71" s="684"/>
      <c r="DUK71" s="684"/>
      <c r="DUL71" s="684"/>
      <c r="DUM71" s="684"/>
      <c r="DUN71" s="684"/>
      <c r="DUO71" s="684"/>
      <c r="DUP71" s="684"/>
      <c r="DUQ71" s="684"/>
      <c r="DUR71" s="684"/>
      <c r="DUS71" s="684"/>
      <c r="DUT71" s="684"/>
      <c r="DUU71" s="684"/>
      <c r="DUV71" s="684"/>
      <c r="DUW71" s="684"/>
      <c r="DUX71" s="684"/>
      <c r="DUY71" s="684"/>
      <c r="DUZ71" s="684"/>
      <c r="DVA71" s="684"/>
      <c r="DVB71" s="684"/>
      <c r="DVC71" s="684"/>
      <c r="DVD71" s="684"/>
      <c r="DVE71" s="684"/>
      <c r="DVF71" s="684"/>
      <c r="DVG71" s="684"/>
      <c r="DVH71" s="684"/>
      <c r="DVI71" s="684"/>
      <c r="DVJ71" s="684"/>
      <c r="DVK71" s="684"/>
      <c r="DVL71" s="684"/>
      <c r="DVM71" s="684"/>
      <c r="DVN71" s="684"/>
      <c r="DVO71" s="684"/>
      <c r="DVP71" s="684"/>
      <c r="DVQ71" s="684"/>
      <c r="DVR71" s="684"/>
      <c r="DVS71" s="684"/>
      <c r="DVT71" s="684"/>
      <c r="DVU71" s="684"/>
      <c r="DVV71" s="684"/>
      <c r="DVW71" s="684"/>
      <c r="DVX71" s="684"/>
      <c r="DVY71" s="684"/>
      <c r="DVZ71" s="684"/>
      <c r="DWA71" s="684"/>
      <c r="DWB71" s="684"/>
      <c r="DWC71" s="684"/>
      <c r="DWD71" s="684"/>
      <c r="DWE71" s="684"/>
      <c r="DWF71" s="684"/>
      <c r="DWG71" s="684"/>
      <c r="DWH71" s="684"/>
      <c r="DWI71" s="684"/>
      <c r="DWJ71" s="684"/>
      <c r="DWK71" s="684"/>
      <c r="DWL71" s="684"/>
      <c r="DWM71" s="684"/>
      <c r="DWN71" s="684"/>
      <c r="DWO71" s="684"/>
      <c r="DWP71" s="684"/>
      <c r="DWQ71" s="684"/>
      <c r="DWR71" s="684"/>
      <c r="DWS71" s="684"/>
      <c r="DWT71" s="684"/>
      <c r="DWU71" s="684"/>
      <c r="DWV71" s="684"/>
      <c r="DWW71" s="684"/>
      <c r="DWX71" s="684"/>
      <c r="DWY71" s="684"/>
      <c r="DWZ71" s="684"/>
      <c r="DXA71" s="684"/>
      <c r="DXB71" s="684"/>
      <c r="DXC71" s="684"/>
      <c r="DXD71" s="684"/>
      <c r="DXE71" s="684"/>
      <c r="DXF71" s="684"/>
      <c r="DXG71" s="684"/>
      <c r="DXH71" s="684"/>
      <c r="DXI71" s="684"/>
      <c r="DXJ71" s="684"/>
      <c r="DXK71" s="684"/>
      <c r="DXL71" s="684"/>
      <c r="DXM71" s="684"/>
      <c r="DXN71" s="684"/>
      <c r="DXO71" s="684"/>
      <c r="DXP71" s="684"/>
      <c r="DXQ71" s="684"/>
      <c r="DXR71" s="684"/>
      <c r="DXS71" s="684"/>
      <c r="DXT71" s="684"/>
      <c r="DXU71" s="684"/>
      <c r="DXV71" s="684"/>
      <c r="DXW71" s="684"/>
      <c r="DXX71" s="684"/>
      <c r="DXY71" s="684"/>
      <c r="DXZ71" s="684"/>
      <c r="DYA71" s="684"/>
      <c r="DYB71" s="684"/>
      <c r="DYC71" s="684"/>
      <c r="DYD71" s="684"/>
      <c r="DYE71" s="684"/>
      <c r="DYF71" s="684"/>
      <c r="DYG71" s="684"/>
      <c r="DYH71" s="684"/>
      <c r="DYI71" s="684"/>
      <c r="DYJ71" s="684"/>
      <c r="DYK71" s="684"/>
      <c r="DYL71" s="684"/>
      <c r="DYM71" s="684"/>
      <c r="DYN71" s="684"/>
      <c r="DYO71" s="684"/>
      <c r="DYP71" s="684"/>
      <c r="DYQ71" s="684"/>
      <c r="DYR71" s="684"/>
      <c r="DYS71" s="684"/>
      <c r="DYT71" s="684"/>
      <c r="DYU71" s="684"/>
      <c r="DYV71" s="684"/>
      <c r="DYW71" s="684"/>
      <c r="DYX71" s="684"/>
      <c r="DYY71" s="684"/>
      <c r="DYZ71" s="684"/>
      <c r="DZA71" s="684"/>
      <c r="DZB71" s="684"/>
      <c r="DZC71" s="684"/>
      <c r="DZD71" s="684"/>
      <c r="DZE71" s="684"/>
      <c r="DZF71" s="684"/>
      <c r="DZG71" s="684"/>
      <c r="DZH71" s="684"/>
      <c r="DZI71" s="684"/>
      <c r="DZJ71" s="684"/>
      <c r="DZK71" s="684"/>
      <c r="DZL71" s="684"/>
      <c r="DZM71" s="684"/>
      <c r="DZN71" s="684"/>
      <c r="DZO71" s="684"/>
      <c r="DZP71" s="684"/>
      <c r="DZQ71" s="684"/>
      <c r="DZR71" s="684"/>
      <c r="DZS71" s="684"/>
      <c r="DZT71" s="684"/>
      <c r="DZU71" s="684"/>
      <c r="DZV71" s="684"/>
      <c r="DZW71" s="684"/>
      <c r="DZX71" s="684"/>
      <c r="DZY71" s="684"/>
      <c r="DZZ71" s="684"/>
      <c r="EAA71" s="684"/>
      <c r="EAB71" s="684"/>
      <c r="EAC71" s="684"/>
      <c r="EAD71" s="684"/>
      <c r="EAE71" s="684"/>
      <c r="EAF71" s="684"/>
      <c r="EAG71" s="684"/>
      <c r="EAH71" s="684"/>
      <c r="EAI71" s="684"/>
      <c r="EAJ71" s="684"/>
      <c r="EAK71" s="684"/>
      <c r="EAL71" s="684"/>
      <c r="EAM71" s="684"/>
      <c r="EAN71" s="684"/>
      <c r="EAO71" s="684"/>
      <c r="EAP71" s="684"/>
      <c r="EAQ71" s="684"/>
      <c r="EAR71" s="684"/>
      <c r="EAS71" s="684"/>
      <c r="EAT71" s="684"/>
      <c r="EAU71" s="684"/>
      <c r="EAV71" s="684"/>
      <c r="EAW71" s="684"/>
      <c r="EAX71" s="684"/>
      <c r="EAY71" s="684"/>
      <c r="EAZ71" s="684"/>
      <c r="EBA71" s="684"/>
      <c r="EBB71" s="684"/>
      <c r="EBC71" s="684"/>
      <c r="EBD71" s="684"/>
      <c r="EBE71" s="684"/>
      <c r="EBF71" s="684"/>
      <c r="EBG71" s="684"/>
      <c r="EBH71" s="684"/>
      <c r="EBI71" s="684"/>
      <c r="EBJ71" s="684"/>
      <c r="EBK71" s="684"/>
      <c r="EBL71" s="684"/>
      <c r="EBM71" s="684"/>
      <c r="EBN71" s="684"/>
      <c r="EBO71" s="684"/>
      <c r="EBP71" s="684"/>
      <c r="EBQ71" s="684"/>
      <c r="EBR71" s="684"/>
      <c r="EBS71" s="684"/>
      <c r="EBT71" s="684"/>
      <c r="EBU71" s="684"/>
      <c r="EBV71" s="684"/>
      <c r="EBW71" s="684"/>
      <c r="EBX71" s="684"/>
      <c r="EBY71" s="684"/>
      <c r="EBZ71" s="684"/>
      <c r="ECA71" s="684"/>
      <c r="ECB71" s="684"/>
      <c r="ECC71" s="684"/>
      <c r="ECD71" s="684"/>
      <c r="ECE71" s="684"/>
      <c r="ECF71" s="684"/>
      <c r="ECG71" s="684"/>
      <c r="ECH71" s="684"/>
      <c r="ECI71" s="684"/>
      <c r="ECJ71" s="684"/>
      <c r="ECK71" s="684"/>
      <c r="ECL71" s="684"/>
      <c r="ECM71" s="684"/>
      <c r="ECN71" s="684"/>
      <c r="ECO71" s="684"/>
      <c r="ECP71" s="684"/>
      <c r="ECQ71" s="684"/>
      <c r="ECR71" s="684"/>
      <c r="ECS71" s="684"/>
      <c r="ECT71" s="684"/>
      <c r="ECU71" s="684"/>
      <c r="ECV71" s="684"/>
      <c r="ECW71" s="684"/>
      <c r="ECX71" s="684"/>
      <c r="ECY71" s="684"/>
      <c r="ECZ71" s="684"/>
      <c r="EDA71" s="684"/>
      <c r="EDB71" s="684"/>
      <c r="EDC71" s="684"/>
      <c r="EDD71" s="684"/>
      <c r="EDE71" s="684"/>
      <c r="EDF71" s="684"/>
      <c r="EDG71" s="684"/>
      <c r="EDH71" s="684"/>
      <c r="EDI71" s="684"/>
      <c r="EDJ71" s="684"/>
      <c r="EDK71" s="684"/>
      <c r="EDL71" s="684"/>
      <c r="EDM71" s="684"/>
      <c r="EDN71" s="684"/>
      <c r="EDO71" s="684"/>
      <c r="EDP71" s="684"/>
      <c r="EDQ71" s="684"/>
      <c r="EDR71" s="684"/>
      <c r="EDS71" s="684"/>
      <c r="EDT71" s="684"/>
      <c r="EDU71" s="684"/>
      <c r="EDV71" s="684"/>
      <c r="EDW71" s="684"/>
      <c r="EDX71" s="684"/>
      <c r="EDY71" s="684"/>
      <c r="EDZ71" s="684"/>
      <c r="EEA71" s="684"/>
      <c r="EEB71" s="684"/>
      <c r="EEC71" s="684"/>
      <c r="EED71" s="684"/>
      <c r="EEE71" s="684"/>
      <c r="EEF71" s="684"/>
      <c r="EEG71" s="684"/>
      <c r="EEH71" s="684"/>
      <c r="EEI71" s="684"/>
      <c r="EEJ71" s="684"/>
      <c r="EEK71" s="684"/>
      <c r="EEL71" s="684"/>
      <c r="EEM71" s="684"/>
      <c r="EEN71" s="684"/>
      <c r="EEO71" s="684"/>
      <c r="EEP71" s="684"/>
      <c r="EEQ71" s="684"/>
      <c r="EER71" s="684"/>
      <c r="EES71" s="684"/>
      <c r="EET71" s="684"/>
      <c r="EEU71" s="684"/>
      <c r="EEV71" s="684"/>
      <c r="EEW71" s="684"/>
      <c r="EEX71" s="684"/>
      <c r="EEY71" s="684"/>
      <c r="EEZ71" s="684"/>
      <c r="EFA71" s="684"/>
      <c r="EFB71" s="684"/>
      <c r="EFC71" s="684"/>
      <c r="EFD71" s="684"/>
      <c r="EFE71" s="684"/>
      <c r="EFF71" s="684"/>
      <c r="EFG71" s="684"/>
      <c r="EFH71" s="684"/>
      <c r="EFI71" s="684"/>
      <c r="EFJ71" s="684"/>
      <c r="EFK71" s="684"/>
      <c r="EFL71" s="684"/>
      <c r="EFM71" s="684"/>
      <c r="EFN71" s="684"/>
      <c r="EFO71" s="684"/>
      <c r="EFP71" s="684"/>
      <c r="EFQ71" s="684"/>
      <c r="EFR71" s="684"/>
      <c r="EFS71" s="684"/>
      <c r="EFT71" s="684"/>
      <c r="EFU71" s="684"/>
      <c r="EFV71" s="684"/>
      <c r="EFW71" s="684"/>
      <c r="EFX71" s="684"/>
      <c r="EFY71" s="684"/>
      <c r="EFZ71" s="684"/>
      <c r="EGA71" s="684"/>
      <c r="EGB71" s="684"/>
      <c r="EGC71" s="684"/>
      <c r="EGD71" s="684"/>
      <c r="EGE71" s="684"/>
      <c r="EGF71" s="684"/>
      <c r="EGG71" s="684"/>
      <c r="EGH71" s="684"/>
      <c r="EGI71" s="684"/>
      <c r="EGJ71" s="684"/>
      <c r="EGK71" s="684"/>
      <c r="EGL71" s="684"/>
      <c r="EGM71" s="684"/>
      <c r="EGN71" s="684"/>
      <c r="EGO71" s="684"/>
      <c r="EGP71" s="684"/>
      <c r="EGQ71" s="684"/>
      <c r="EGR71" s="684"/>
      <c r="EGS71" s="684"/>
      <c r="EGT71" s="684"/>
      <c r="EGU71" s="684"/>
      <c r="EGV71" s="684"/>
      <c r="EGW71" s="684"/>
      <c r="EGX71" s="684"/>
      <c r="EGY71" s="684"/>
      <c r="EGZ71" s="684"/>
      <c r="EHA71" s="684"/>
      <c r="EHB71" s="684"/>
      <c r="EHC71" s="684"/>
      <c r="EHD71" s="684"/>
      <c r="EHE71" s="684"/>
      <c r="EHF71" s="684"/>
      <c r="EHG71" s="684"/>
      <c r="EHH71" s="684"/>
      <c r="EHI71" s="684"/>
      <c r="EHJ71" s="684"/>
      <c r="EHK71" s="684"/>
      <c r="EHL71" s="684"/>
      <c r="EHM71" s="684"/>
      <c r="EHN71" s="684"/>
      <c r="EHO71" s="684"/>
      <c r="EHP71" s="684"/>
      <c r="EHQ71" s="684"/>
      <c r="EHR71" s="684"/>
      <c r="EHS71" s="684"/>
      <c r="EHT71" s="684"/>
      <c r="EHU71" s="684"/>
      <c r="EHV71" s="684"/>
      <c r="EHW71" s="684"/>
      <c r="EHX71" s="684"/>
      <c r="EHY71" s="684"/>
      <c r="EHZ71" s="684"/>
      <c r="EIA71" s="684"/>
      <c r="EIB71" s="684"/>
      <c r="EIC71" s="684"/>
      <c r="EID71" s="684"/>
      <c r="EIE71" s="684"/>
      <c r="EIF71" s="684"/>
      <c r="EIG71" s="684"/>
      <c r="EIH71" s="684"/>
      <c r="EII71" s="684"/>
      <c r="EIJ71" s="684"/>
      <c r="EIK71" s="684"/>
      <c r="EIL71" s="684"/>
      <c r="EIM71" s="684"/>
      <c r="EIN71" s="684"/>
      <c r="EIO71" s="684"/>
      <c r="EIP71" s="684"/>
      <c r="EIQ71" s="684"/>
      <c r="EIR71" s="684"/>
      <c r="EIS71" s="684"/>
      <c r="EIT71" s="684"/>
      <c r="EIU71" s="684"/>
      <c r="EIV71" s="684"/>
      <c r="EIW71" s="684"/>
      <c r="EIX71" s="684"/>
      <c r="EIY71" s="684"/>
      <c r="EIZ71" s="684"/>
      <c r="EJA71" s="684"/>
      <c r="EJB71" s="684"/>
      <c r="EJC71" s="684"/>
      <c r="EJD71" s="684"/>
      <c r="EJE71" s="684"/>
      <c r="EJF71" s="684"/>
      <c r="EJG71" s="684"/>
      <c r="EJH71" s="684"/>
      <c r="EJI71" s="684"/>
      <c r="EJJ71" s="684"/>
      <c r="EJK71" s="684"/>
      <c r="EJL71" s="684"/>
      <c r="EJM71" s="684"/>
      <c r="EJN71" s="684"/>
      <c r="EJO71" s="684"/>
      <c r="EJP71" s="684"/>
      <c r="EJQ71" s="684"/>
      <c r="EJR71" s="684"/>
      <c r="EJS71" s="684"/>
      <c r="EJT71" s="684"/>
      <c r="EJU71" s="684"/>
      <c r="EJV71" s="684"/>
      <c r="EJW71" s="684"/>
      <c r="EJX71" s="684"/>
      <c r="EJY71" s="684"/>
      <c r="EJZ71" s="684"/>
      <c r="EKA71" s="684"/>
      <c r="EKB71" s="684"/>
      <c r="EKC71" s="684"/>
      <c r="EKD71" s="684"/>
      <c r="EKE71" s="684"/>
      <c r="EKF71" s="684"/>
      <c r="EKG71" s="684"/>
      <c r="EKH71" s="684"/>
      <c r="EKI71" s="684"/>
      <c r="EKJ71" s="684"/>
      <c r="EKK71" s="684"/>
      <c r="EKL71" s="684"/>
      <c r="EKM71" s="684"/>
      <c r="EKN71" s="684"/>
      <c r="EKO71" s="684"/>
      <c r="EKP71" s="684"/>
      <c r="EKQ71" s="684"/>
      <c r="EKR71" s="684"/>
      <c r="EKS71" s="684"/>
      <c r="EKT71" s="684"/>
      <c r="EKU71" s="684"/>
      <c r="EKV71" s="684"/>
      <c r="EKW71" s="684"/>
      <c r="EKX71" s="684"/>
      <c r="EKY71" s="684"/>
      <c r="EKZ71" s="684"/>
      <c r="ELA71" s="684"/>
      <c r="ELB71" s="684"/>
      <c r="ELC71" s="684"/>
      <c r="ELD71" s="684"/>
      <c r="ELE71" s="684"/>
      <c r="ELF71" s="684"/>
      <c r="ELG71" s="684"/>
      <c r="ELH71" s="684"/>
      <c r="ELI71" s="684"/>
      <c r="ELJ71" s="684"/>
      <c r="ELK71" s="684"/>
      <c r="ELL71" s="684"/>
      <c r="ELM71" s="684"/>
      <c r="ELN71" s="684"/>
      <c r="ELO71" s="684"/>
      <c r="ELP71" s="684"/>
      <c r="ELQ71" s="684"/>
      <c r="ELR71" s="684"/>
      <c r="ELS71" s="684"/>
      <c r="ELT71" s="684"/>
      <c r="ELU71" s="684"/>
      <c r="ELV71" s="684"/>
      <c r="ELW71" s="684"/>
      <c r="ELX71" s="684"/>
      <c r="ELY71" s="684"/>
      <c r="ELZ71" s="684"/>
      <c r="EMA71" s="684"/>
      <c r="EMB71" s="684"/>
      <c r="EMC71" s="684"/>
      <c r="EMD71" s="684"/>
      <c r="EME71" s="684"/>
      <c r="EMF71" s="684"/>
      <c r="EMG71" s="684"/>
      <c r="EMH71" s="684"/>
      <c r="EMI71" s="684"/>
      <c r="EMJ71" s="684"/>
      <c r="EMK71" s="684"/>
      <c r="EML71" s="684"/>
      <c r="EMM71" s="684"/>
      <c r="EMN71" s="684"/>
      <c r="EMO71" s="684"/>
      <c r="EMP71" s="684"/>
      <c r="EMQ71" s="684"/>
      <c r="EMR71" s="684"/>
      <c r="EMS71" s="684"/>
      <c r="EMT71" s="684"/>
      <c r="EMU71" s="684"/>
      <c r="EMV71" s="684"/>
      <c r="EMW71" s="684"/>
      <c r="EMX71" s="684"/>
      <c r="EMY71" s="684"/>
      <c r="EMZ71" s="684"/>
      <c r="ENA71" s="684"/>
      <c r="ENB71" s="684"/>
      <c r="ENC71" s="684"/>
      <c r="END71" s="684"/>
      <c r="ENE71" s="684"/>
      <c r="ENF71" s="684"/>
      <c r="ENG71" s="684"/>
      <c r="ENH71" s="684"/>
      <c r="ENI71" s="684"/>
      <c r="ENJ71" s="684"/>
      <c r="ENK71" s="684"/>
      <c r="ENL71" s="684"/>
      <c r="ENM71" s="684"/>
      <c r="ENN71" s="684"/>
      <c r="ENO71" s="684"/>
      <c r="ENP71" s="684"/>
      <c r="ENQ71" s="684"/>
      <c r="ENR71" s="684"/>
      <c r="ENS71" s="684"/>
      <c r="ENT71" s="684"/>
      <c r="ENU71" s="684"/>
      <c r="ENV71" s="684"/>
      <c r="ENW71" s="684"/>
      <c r="ENX71" s="684"/>
      <c r="ENY71" s="684"/>
      <c r="ENZ71" s="684"/>
      <c r="EOA71" s="684"/>
      <c r="EOB71" s="684"/>
      <c r="EOC71" s="684"/>
      <c r="EOD71" s="684"/>
      <c r="EOE71" s="684"/>
      <c r="EOF71" s="684"/>
      <c r="EOG71" s="684"/>
      <c r="EOH71" s="684"/>
      <c r="EOI71" s="684"/>
      <c r="EOJ71" s="684"/>
      <c r="EOK71" s="684"/>
      <c r="EOL71" s="684"/>
      <c r="EOM71" s="684"/>
      <c r="EON71" s="684"/>
      <c r="EOO71" s="684"/>
      <c r="EOP71" s="684"/>
      <c r="EOQ71" s="684"/>
      <c r="EOR71" s="684"/>
      <c r="EOS71" s="684"/>
      <c r="EOT71" s="684"/>
      <c r="EOU71" s="684"/>
      <c r="EOV71" s="684"/>
      <c r="EOW71" s="684"/>
      <c r="EOX71" s="684"/>
      <c r="EOY71" s="684"/>
      <c r="EOZ71" s="684"/>
      <c r="EPA71" s="684"/>
      <c r="EPB71" s="684"/>
      <c r="EPC71" s="684"/>
      <c r="EPD71" s="684"/>
      <c r="EPE71" s="684"/>
      <c r="EPF71" s="684"/>
      <c r="EPG71" s="684"/>
      <c r="EPH71" s="684"/>
      <c r="EPI71" s="684"/>
      <c r="EPJ71" s="684"/>
      <c r="EPK71" s="684"/>
      <c r="EPL71" s="684"/>
      <c r="EPM71" s="684"/>
      <c r="EPN71" s="684"/>
      <c r="EPO71" s="684"/>
      <c r="EPP71" s="684"/>
      <c r="EPQ71" s="684"/>
      <c r="EPR71" s="684"/>
      <c r="EPS71" s="684"/>
      <c r="EPT71" s="684"/>
      <c r="EPU71" s="684"/>
      <c r="EPV71" s="684"/>
      <c r="EPW71" s="684"/>
      <c r="EPX71" s="684"/>
      <c r="EPY71" s="684"/>
      <c r="EPZ71" s="684"/>
      <c r="EQA71" s="684"/>
      <c r="EQB71" s="684"/>
      <c r="EQC71" s="684"/>
      <c r="EQD71" s="684"/>
      <c r="EQE71" s="684"/>
      <c r="EQF71" s="684"/>
      <c r="EQG71" s="684"/>
      <c r="EQH71" s="684"/>
      <c r="EQI71" s="684"/>
      <c r="EQJ71" s="684"/>
      <c r="EQK71" s="684"/>
      <c r="EQL71" s="684"/>
      <c r="EQM71" s="684"/>
      <c r="EQN71" s="684"/>
      <c r="EQO71" s="684"/>
      <c r="EQP71" s="684"/>
      <c r="EQQ71" s="684"/>
      <c r="EQR71" s="684"/>
      <c r="EQS71" s="684"/>
      <c r="EQT71" s="684"/>
      <c r="EQU71" s="684"/>
      <c r="EQV71" s="684"/>
      <c r="EQW71" s="684"/>
      <c r="EQX71" s="684"/>
      <c r="EQY71" s="684"/>
      <c r="EQZ71" s="684"/>
      <c r="ERA71" s="684"/>
      <c r="ERB71" s="684"/>
      <c r="ERC71" s="684"/>
      <c r="ERD71" s="684"/>
      <c r="ERE71" s="684"/>
      <c r="ERF71" s="684"/>
      <c r="ERG71" s="684"/>
      <c r="ERH71" s="684"/>
      <c r="ERI71" s="684"/>
      <c r="ERJ71" s="684"/>
      <c r="ERK71" s="684"/>
      <c r="ERL71" s="684"/>
      <c r="ERM71" s="684"/>
      <c r="ERN71" s="684"/>
      <c r="ERO71" s="684"/>
      <c r="ERP71" s="684"/>
      <c r="ERQ71" s="684"/>
      <c r="ERR71" s="684"/>
      <c r="ERS71" s="684"/>
      <c r="ERT71" s="684"/>
      <c r="ERU71" s="684"/>
      <c r="ERV71" s="684"/>
      <c r="ERW71" s="684"/>
      <c r="ERX71" s="684"/>
      <c r="ERY71" s="684"/>
      <c r="ERZ71" s="684"/>
      <c r="ESA71" s="684"/>
      <c r="ESB71" s="684"/>
      <c r="ESC71" s="684"/>
      <c r="ESD71" s="684"/>
      <c r="ESE71" s="684"/>
      <c r="ESF71" s="684"/>
      <c r="ESG71" s="684"/>
      <c r="ESH71" s="684"/>
      <c r="ESI71" s="684"/>
      <c r="ESJ71" s="684"/>
      <c r="ESK71" s="684"/>
      <c r="ESL71" s="684"/>
      <c r="ESM71" s="684"/>
      <c r="ESN71" s="684"/>
      <c r="ESO71" s="684"/>
      <c r="ESP71" s="684"/>
      <c r="ESQ71" s="684"/>
      <c r="ESR71" s="684"/>
      <c r="ESS71" s="684"/>
      <c r="EST71" s="684"/>
      <c r="ESU71" s="684"/>
      <c r="ESV71" s="684"/>
      <c r="ESW71" s="684"/>
      <c r="ESX71" s="684"/>
      <c r="ESY71" s="684"/>
      <c r="ESZ71" s="684"/>
      <c r="ETA71" s="684"/>
      <c r="ETB71" s="684"/>
      <c r="ETC71" s="684"/>
      <c r="ETD71" s="684"/>
      <c r="ETE71" s="684"/>
      <c r="ETF71" s="684"/>
      <c r="ETG71" s="684"/>
      <c r="ETH71" s="684"/>
      <c r="ETI71" s="684"/>
      <c r="ETJ71" s="684"/>
      <c r="ETK71" s="684"/>
      <c r="ETL71" s="684"/>
      <c r="ETM71" s="684"/>
      <c r="ETN71" s="684"/>
      <c r="ETO71" s="684"/>
      <c r="ETP71" s="684"/>
      <c r="ETQ71" s="684"/>
      <c r="ETR71" s="684"/>
      <c r="ETS71" s="684"/>
      <c r="ETT71" s="684"/>
      <c r="ETU71" s="684"/>
      <c r="ETV71" s="684"/>
      <c r="ETW71" s="684"/>
      <c r="ETX71" s="684"/>
      <c r="ETY71" s="684"/>
      <c r="ETZ71" s="684"/>
      <c r="EUA71" s="684"/>
      <c r="EUB71" s="684"/>
      <c r="EUC71" s="684"/>
      <c r="EUD71" s="684"/>
      <c r="EUE71" s="684"/>
      <c r="EUF71" s="684"/>
      <c r="EUG71" s="684"/>
      <c r="EUH71" s="684"/>
      <c r="EUI71" s="684"/>
      <c r="EUJ71" s="684"/>
      <c r="EUK71" s="684"/>
      <c r="EUL71" s="684"/>
      <c r="EUM71" s="684"/>
      <c r="EUN71" s="684"/>
      <c r="EUO71" s="684"/>
      <c r="EUP71" s="684"/>
      <c r="EUQ71" s="684"/>
      <c r="EUR71" s="684"/>
      <c r="EUS71" s="684"/>
      <c r="EUT71" s="684"/>
      <c r="EUU71" s="684"/>
      <c r="EUV71" s="684"/>
      <c r="EUW71" s="684"/>
      <c r="EUX71" s="684"/>
      <c r="EUY71" s="684"/>
      <c r="EUZ71" s="684"/>
      <c r="EVA71" s="684"/>
      <c r="EVB71" s="684"/>
      <c r="EVC71" s="684"/>
      <c r="EVD71" s="684"/>
      <c r="EVE71" s="684"/>
      <c r="EVF71" s="684"/>
      <c r="EVG71" s="684"/>
      <c r="EVH71" s="684"/>
      <c r="EVI71" s="684"/>
      <c r="EVJ71" s="684"/>
      <c r="EVK71" s="684"/>
      <c r="EVL71" s="684"/>
      <c r="EVM71" s="684"/>
      <c r="EVN71" s="684"/>
      <c r="EVO71" s="684"/>
      <c r="EVP71" s="684"/>
      <c r="EVQ71" s="684"/>
      <c r="EVR71" s="684"/>
      <c r="EVS71" s="684"/>
      <c r="EVT71" s="684"/>
      <c r="EVU71" s="684"/>
      <c r="EVV71" s="684"/>
      <c r="EVW71" s="684"/>
      <c r="EVX71" s="684"/>
      <c r="EVY71" s="684"/>
      <c r="EVZ71" s="684"/>
      <c r="EWA71" s="684"/>
      <c r="EWB71" s="684"/>
      <c r="EWC71" s="684"/>
      <c r="EWD71" s="684"/>
      <c r="EWE71" s="684"/>
      <c r="EWF71" s="684"/>
      <c r="EWG71" s="684"/>
      <c r="EWH71" s="684"/>
      <c r="EWI71" s="684"/>
      <c r="EWJ71" s="684"/>
      <c r="EWK71" s="684"/>
      <c r="EWL71" s="684"/>
      <c r="EWM71" s="684"/>
      <c r="EWN71" s="684"/>
      <c r="EWO71" s="684"/>
      <c r="EWP71" s="684"/>
      <c r="EWQ71" s="684"/>
      <c r="EWR71" s="684"/>
      <c r="EWS71" s="684"/>
      <c r="EWT71" s="684"/>
      <c r="EWU71" s="684"/>
      <c r="EWV71" s="684"/>
      <c r="EWW71" s="684"/>
      <c r="EWX71" s="684"/>
      <c r="EWY71" s="684"/>
      <c r="EWZ71" s="684"/>
      <c r="EXA71" s="684"/>
      <c r="EXB71" s="684"/>
      <c r="EXC71" s="684"/>
      <c r="EXD71" s="684"/>
      <c r="EXE71" s="684"/>
      <c r="EXF71" s="684"/>
      <c r="EXG71" s="684"/>
      <c r="EXH71" s="684"/>
      <c r="EXI71" s="684"/>
      <c r="EXJ71" s="684"/>
      <c r="EXK71" s="684"/>
      <c r="EXL71" s="684"/>
      <c r="EXM71" s="684"/>
      <c r="EXN71" s="684"/>
      <c r="EXO71" s="684"/>
      <c r="EXP71" s="684"/>
      <c r="EXQ71" s="684"/>
      <c r="EXR71" s="684"/>
      <c r="EXS71" s="684"/>
      <c r="EXT71" s="684"/>
      <c r="EXU71" s="684"/>
      <c r="EXV71" s="684"/>
      <c r="EXW71" s="684"/>
      <c r="EXX71" s="684"/>
      <c r="EXY71" s="684"/>
      <c r="EXZ71" s="684"/>
      <c r="EYA71" s="684"/>
      <c r="EYB71" s="684"/>
      <c r="EYC71" s="684"/>
      <c r="EYD71" s="684"/>
      <c r="EYE71" s="684"/>
      <c r="EYF71" s="684"/>
      <c r="EYG71" s="684"/>
      <c r="EYH71" s="684"/>
      <c r="EYI71" s="684"/>
      <c r="EYJ71" s="684"/>
      <c r="EYK71" s="684"/>
      <c r="EYL71" s="684"/>
      <c r="EYM71" s="684"/>
      <c r="EYN71" s="684"/>
      <c r="EYO71" s="684"/>
      <c r="EYP71" s="684"/>
      <c r="EYQ71" s="684"/>
      <c r="EYR71" s="684"/>
      <c r="EYS71" s="684"/>
      <c r="EYT71" s="684"/>
      <c r="EYU71" s="684"/>
      <c r="EYV71" s="684"/>
      <c r="EYW71" s="684"/>
      <c r="EYX71" s="684"/>
      <c r="EYY71" s="684"/>
      <c r="EYZ71" s="684"/>
      <c r="EZA71" s="684"/>
      <c r="EZB71" s="684"/>
      <c r="EZC71" s="684"/>
      <c r="EZD71" s="684"/>
      <c r="EZE71" s="684"/>
      <c r="EZF71" s="684"/>
      <c r="EZG71" s="684"/>
      <c r="EZH71" s="684"/>
      <c r="EZI71" s="684"/>
      <c r="EZJ71" s="684"/>
      <c r="EZK71" s="684"/>
      <c r="EZL71" s="684"/>
      <c r="EZM71" s="684"/>
      <c r="EZN71" s="684"/>
      <c r="EZO71" s="684"/>
      <c r="EZP71" s="684"/>
      <c r="EZQ71" s="684"/>
      <c r="EZR71" s="684"/>
      <c r="EZS71" s="684"/>
      <c r="EZT71" s="684"/>
      <c r="EZU71" s="684"/>
      <c r="EZV71" s="684"/>
      <c r="EZW71" s="684"/>
      <c r="EZX71" s="684"/>
      <c r="EZY71" s="684"/>
      <c r="EZZ71" s="684"/>
      <c r="FAA71" s="684"/>
      <c r="FAB71" s="684"/>
      <c r="FAC71" s="684"/>
      <c r="FAD71" s="684"/>
      <c r="FAE71" s="684"/>
      <c r="FAF71" s="684"/>
      <c r="FAG71" s="684"/>
      <c r="FAH71" s="684"/>
      <c r="FAI71" s="684"/>
      <c r="FAJ71" s="684"/>
      <c r="FAK71" s="684"/>
      <c r="FAL71" s="684"/>
      <c r="FAM71" s="684"/>
      <c r="FAN71" s="684"/>
      <c r="FAO71" s="684"/>
      <c r="FAP71" s="684"/>
      <c r="FAQ71" s="684"/>
      <c r="FAR71" s="684"/>
      <c r="FAS71" s="684"/>
      <c r="FAT71" s="684"/>
      <c r="FAU71" s="684"/>
      <c r="FAV71" s="684"/>
      <c r="FAW71" s="684"/>
      <c r="FAX71" s="684"/>
      <c r="FAY71" s="684"/>
      <c r="FAZ71" s="684"/>
      <c r="FBA71" s="684"/>
      <c r="FBB71" s="684"/>
      <c r="FBC71" s="684"/>
      <c r="FBD71" s="684"/>
      <c r="FBE71" s="684"/>
      <c r="FBF71" s="684"/>
      <c r="FBG71" s="684"/>
      <c r="FBH71" s="684"/>
      <c r="FBI71" s="684"/>
      <c r="FBJ71" s="684"/>
      <c r="FBK71" s="684"/>
      <c r="FBL71" s="684"/>
      <c r="FBM71" s="684"/>
      <c r="FBN71" s="684"/>
      <c r="FBO71" s="684"/>
      <c r="FBP71" s="684"/>
      <c r="FBQ71" s="684"/>
      <c r="FBR71" s="684"/>
      <c r="FBS71" s="684"/>
      <c r="FBT71" s="684"/>
      <c r="FBU71" s="684"/>
      <c r="FBV71" s="684"/>
      <c r="FBW71" s="684"/>
      <c r="FBX71" s="684"/>
      <c r="FBY71" s="684"/>
      <c r="FBZ71" s="684"/>
      <c r="FCA71" s="684"/>
      <c r="FCB71" s="684"/>
      <c r="FCC71" s="684"/>
      <c r="FCD71" s="684"/>
      <c r="FCE71" s="684"/>
      <c r="FCF71" s="684"/>
      <c r="FCG71" s="684"/>
      <c r="FCH71" s="684"/>
      <c r="FCI71" s="684"/>
      <c r="FCJ71" s="684"/>
      <c r="FCK71" s="684"/>
      <c r="FCL71" s="684"/>
      <c r="FCM71" s="684"/>
      <c r="FCN71" s="684"/>
      <c r="FCO71" s="684"/>
      <c r="FCP71" s="684"/>
      <c r="FCQ71" s="684"/>
      <c r="FCR71" s="684"/>
      <c r="FCS71" s="684"/>
      <c r="FCT71" s="684"/>
      <c r="FCU71" s="684"/>
      <c r="FCV71" s="684"/>
      <c r="FCW71" s="684"/>
      <c r="FCX71" s="684"/>
      <c r="FCY71" s="684"/>
      <c r="FCZ71" s="684"/>
      <c r="FDA71" s="684"/>
      <c r="FDB71" s="684"/>
      <c r="FDC71" s="684"/>
      <c r="FDD71" s="684"/>
      <c r="FDE71" s="684"/>
      <c r="FDF71" s="684"/>
      <c r="FDG71" s="684"/>
      <c r="FDH71" s="684"/>
      <c r="FDI71" s="684"/>
      <c r="FDJ71" s="684"/>
      <c r="FDK71" s="684"/>
      <c r="FDL71" s="684"/>
      <c r="FDM71" s="684"/>
      <c r="FDN71" s="684"/>
      <c r="FDO71" s="684"/>
      <c r="FDP71" s="684"/>
      <c r="FDQ71" s="684"/>
      <c r="FDR71" s="684"/>
      <c r="FDS71" s="684"/>
      <c r="FDT71" s="684"/>
      <c r="FDU71" s="684"/>
      <c r="FDV71" s="684"/>
      <c r="FDW71" s="684"/>
      <c r="FDX71" s="684"/>
      <c r="FDY71" s="684"/>
      <c r="FDZ71" s="684"/>
      <c r="FEA71" s="684"/>
      <c r="FEB71" s="684"/>
      <c r="FEC71" s="684"/>
      <c r="FED71" s="684"/>
      <c r="FEE71" s="684"/>
      <c r="FEF71" s="684"/>
      <c r="FEG71" s="684"/>
      <c r="FEH71" s="684"/>
      <c r="FEI71" s="684"/>
      <c r="FEJ71" s="684"/>
      <c r="FEK71" s="684"/>
      <c r="FEL71" s="684"/>
      <c r="FEM71" s="684"/>
      <c r="FEN71" s="684"/>
      <c r="FEO71" s="684"/>
      <c r="FEP71" s="684"/>
      <c r="FEQ71" s="684"/>
      <c r="FER71" s="684"/>
      <c r="FES71" s="684"/>
      <c r="FET71" s="684"/>
      <c r="FEU71" s="684"/>
      <c r="FEV71" s="684"/>
      <c r="FEW71" s="684"/>
      <c r="FEX71" s="684"/>
      <c r="FEY71" s="684"/>
      <c r="FEZ71" s="684"/>
      <c r="FFA71" s="684"/>
      <c r="FFB71" s="684"/>
      <c r="FFC71" s="684"/>
      <c r="FFD71" s="684"/>
      <c r="FFE71" s="684"/>
      <c r="FFF71" s="684"/>
      <c r="FFG71" s="684"/>
      <c r="FFH71" s="684"/>
      <c r="FFI71" s="684"/>
      <c r="FFJ71" s="684"/>
      <c r="FFK71" s="684"/>
      <c r="FFL71" s="684"/>
      <c r="FFM71" s="684"/>
      <c r="FFN71" s="684"/>
      <c r="FFO71" s="684"/>
      <c r="FFP71" s="684"/>
      <c r="FFQ71" s="684"/>
      <c r="FFR71" s="684"/>
      <c r="FFS71" s="684"/>
      <c r="FFT71" s="684"/>
      <c r="FFU71" s="684"/>
      <c r="FFV71" s="684"/>
      <c r="FFW71" s="684"/>
      <c r="FFX71" s="684"/>
      <c r="FFY71" s="684"/>
      <c r="FFZ71" s="684"/>
      <c r="FGA71" s="684"/>
      <c r="FGB71" s="684"/>
      <c r="FGC71" s="684"/>
      <c r="FGD71" s="684"/>
      <c r="FGE71" s="684"/>
      <c r="FGF71" s="684"/>
      <c r="FGG71" s="684"/>
      <c r="FGH71" s="684"/>
      <c r="FGI71" s="684"/>
      <c r="FGJ71" s="684"/>
      <c r="FGK71" s="684"/>
      <c r="FGL71" s="684"/>
      <c r="FGM71" s="684"/>
      <c r="FGN71" s="684"/>
      <c r="FGO71" s="684"/>
      <c r="FGP71" s="684"/>
      <c r="FGQ71" s="684"/>
      <c r="FGR71" s="684"/>
      <c r="FGS71" s="684"/>
      <c r="FGT71" s="684"/>
      <c r="FGU71" s="684"/>
      <c r="FGV71" s="684"/>
      <c r="FGW71" s="684"/>
      <c r="FGX71" s="684"/>
      <c r="FGY71" s="684"/>
      <c r="FGZ71" s="684"/>
      <c r="FHA71" s="684"/>
      <c r="FHB71" s="684"/>
      <c r="FHC71" s="684"/>
      <c r="FHD71" s="684"/>
      <c r="FHE71" s="684"/>
      <c r="FHF71" s="684"/>
      <c r="FHG71" s="684"/>
      <c r="FHH71" s="684"/>
      <c r="FHI71" s="684"/>
      <c r="FHJ71" s="684"/>
      <c r="FHK71" s="684"/>
      <c r="FHL71" s="684"/>
      <c r="FHM71" s="684"/>
      <c r="FHN71" s="684"/>
      <c r="FHO71" s="684"/>
      <c r="FHP71" s="684"/>
      <c r="FHQ71" s="684"/>
      <c r="FHR71" s="684"/>
      <c r="FHS71" s="684"/>
      <c r="FHT71" s="684"/>
      <c r="FHU71" s="684"/>
      <c r="FHV71" s="684"/>
      <c r="FHW71" s="684"/>
      <c r="FHX71" s="684"/>
      <c r="FHY71" s="684"/>
      <c r="FHZ71" s="684"/>
      <c r="FIA71" s="684"/>
      <c r="FIB71" s="684"/>
      <c r="FIC71" s="684"/>
      <c r="FID71" s="684"/>
      <c r="FIE71" s="684"/>
      <c r="FIF71" s="684"/>
      <c r="FIG71" s="684"/>
      <c r="FIH71" s="684"/>
      <c r="FII71" s="684"/>
      <c r="FIJ71" s="684"/>
      <c r="FIK71" s="684"/>
      <c r="FIL71" s="684"/>
      <c r="FIM71" s="684"/>
      <c r="FIN71" s="684"/>
      <c r="FIO71" s="684"/>
      <c r="FIP71" s="684"/>
      <c r="FIQ71" s="684"/>
      <c r="FIR71" s="684"/>
      <c r="FIS71" s="684"/>
      <c r="FIT71" s="684"/>
      <c r="FIU71" s="684"/>
      <c r="FIV71" s="684"/>
      <c r="FIW71" s="684"/>
      <c r="FIX71" s="684"/>
      <c r="FIY71" s="684"/>
      <c r="FIZ71" s="684"/>
      <c r="FJA71" s="684"/>
      <c r="FJB71" s="684"/>
      <c r="FJC71" s="684"/>
      <c r="FJD71" s="684"/>
      <c r="FJE71" s="684"/>
      <c r="FJF71" s="684"/>
      <c r="FJG71" s="684"/>
      <c r="FJH71" s="684"/>
      <c r="FJI71" s="684"/>
      <c r="FJJ71" s="684"/>
      <c r="FJK71" s="684"/>
      <c r="FJL71" s="684"/>
      <c r="FJM71" s="684"/>
      <c r="FJN71" s="684"/>
      <c r="FJO71" s="684"/>
      <c r="FJP71" s="684"/>
      <c r="FJQ71" s="684"/>
      <c r="FJR71" s="684"/>
      <c r="FJS71" s="684"/>
      <c r="FJT71" s="684"/>
      <c r="FJU71" s="684"/>
      <c r="FJV71" s="684"/>
      <c r="FJW71" s="684"/>
      <c r="FJX71" s="684"/>
      <c r="FJY71" s="684"/>
      <c r="FJZ71" s="684"/>
      <c r="FKA71" s="684"/>
      <c r="FKB71" s="684"/>
      <c r="FKC71" s="684"/>
      <c r="FKD71" s="684"/>
      <c r="FKE71" s="684"/>
      <c r="FKF71" s="684"/>
      <c r="FKG71" s="684"/>
      <c r="FKH71" s="684"/>
      <c r="FKI71" s="684"/>
      <c r="FKJ71" s="684"/>
      <c r="FKK71" s="684"/>
      <c r="FKL71" s="684"/>
      <c r="FKM71" s="684"/>
      <c r="FKN71" s="684"/>
      <c r="FKO71" s="684"/>
      <c r="FKP71" s="684"/>
      <c r="FKQ71" s="684"/>
      <c r="FKR71" s="684"/>
      <c r="FKS71" s="684"/>
      <c r="FKT71" s="684"/>
      <c r="FKU71" s="684"/>
      <c r="FKV71" s="684"/>
      <c r="FKW71" s="684"/>
      <c r="FKX71" s="684"/>
      <c r="FKY71" s="684"/>
      <c r="FKZ71" s="684"/>
      <c r="FLA71" s="684"/>
      <c r="FLB71" s="684"/>
      <c r="FLC71" s="684"/>
      <c r="FLD71" s="684"/>
      <c r="FLE71" s="684"/>
      <c r="FLF71" s="684"/>
      <c r="FLG71" s="684"/>
      <c r="FLH71" s="684"/>
      <c r="FLI71" s="684"/>
      <c r="FLJ71" s="684"/>
      <c r="FLK71" s="684"/>
      <c r="FLL71" s="684"/>
      <c r="FLM71" s="684"/>
      <c r="FLN71" s="684"/>
      <c r="FLO71" s="684"/>
      <c r="FLP71" s="684"/>
      <c r="FLQ71" s="684"/>
      <c r="FLR71" s="684"/>
      <c r="FLS71" s="684"/>
      <c r="FLT71" s="684"/>
      <c r="FLU71" s="684"/>
      <c r="FLV71" s="684"/>
      <c r="FLW71" s="684"/>
      <c r="FLX71" s="684"/>
      <c r="FLY71" s="684"/>
      <c r="FLZ71" s="684"/>
      <c r="FMA71" s="684"/>
      <c r="FMB71" s="684"/>
      <c r="FMC71" s="684"/>
      <c r="FMD71" s="684"/>
      <c r="FME71" s="684"/>
      <c r="FMF71" s="684"/>
      <c r="FMG71" s="684"/>
      <c r="FMH71" s="684"/>
      <c r="FMI71" s="684"/>
      <c r="FMJ71" s="684"/>
      <c r="FMK71" s="684"/>
      <c r="FML71" s="684"/>
      <c r="FMM71" s="684"/>
      <c r="FMN71" s="684"/>
      <c r="FMO71" s="684"/>
      <c r="FMP71" s="684"/>
      <c r="FMQ71" s="684"/>
      <c r="FMR71" s="684"/>
      <c r="FMS71" s="684"/>
      <c r="FMT71" s="684"/>
      <c r="FMU71" s="684"/>
      <c r="FMV71" s="684"/>
      <c r="FMW71" s="684"/>
      <c r="FMX71" s="684"/>
      <c r="FMY71" s="684"/>
      <c r="FMZ71" s="684"/>
      <c r="FNA71" s="684"/>
      <c r="FNB71" s="684"/>
      <c r="FNC71" s="684"/>
      <c r="FND71" s="684"/>
      <c r="FNE71" s="684"/>
      <c r="FNF71" s="684"/>
      <c r="FNG71" s="684"/>
      <c r="FNH71" s="684"/>
      <c r="FNI71" s="684"/>
      <c r="FNJ71" s="684"/>
      <c r="FNK71" s="684"/>
      <c r="FNL71" s="684"/>
      <c r="FNM71" s="684"/>
      <c r="FNN71" s="684"/>
      <c r="FNO71" s="684"/>
      <c r="FNP71" s="684"/>
      <c r="FNQ71" s="684"/>
      <c r="FNR71" s="684"/>
      <c r="FNS71" s="684"/>
      <c r="FNT71" s="684"/>
      <c r="FNU71" s="684"/>
      <c r="FNV71" s="684"/>
      <c r="FNW71" s="684"/>
      <c r="FNX71" s="684"/>
      <c r="FNY71" s="684"/>
      <c r="FNZ71" s="684"/>
      <c r="FOA71" s="684"/>
      <c r="FOB71" s="684"/>
      <c r="FOC71" s="684"/>
      <c r="FOD71" s="684"/>
      <c r="FOE71" s="684"/>
      <c r="FOF71" s="684"/>
      <c r="FOG71" s="684"/>
      <c r="FOH71" s="684"/>
      <c r="FOI71" s="684"/>
      <c r="FOJ71" s="684"/>
      <c r="FOK71" s="684"/>
      <c r="FOL71" s="684"/>
      <c r="FOM71" s="684"/>
      <c r="FON71" s="684"/>
      <c r="FOO71" s="684"/>
      <c r="FOP71" s="684"/>
      <c r="FOQ71" s="684"/>
      <c r="FOR71" s="684"/>
      <c r="FOS71" s="684"/>
      <c r="FOT71" s="684"/>
      <c r="FOU71" s="684"/>
      <c r="FOV71" s="684"/>
      <c r="FOW71" s="684"/>
      <c r="FOX71" s="684"/>
      <c r="FOY71" s="684"/>
      <c r="FOZ71" s="684"/>
      <c r="FPA71" s="684"/>
      <c r="FPB71" s="684"/>
      <c r="FPC71" s="684"/>
      <c r="FPD71" s="684"/>
      <c r="FPE71" s="684"/>
      <c r="FPF71" s="684"/>
      <c r="FPG71" s="684"/>
      <c r="FPH71" s="684"/>
      <c r="FPI71" s="684"/>
      <c r="FPJ71" s="684"/>
      <c r="FPK71" s="684"/>
      <c r="FPL71" s="684"/>
      <c r="FPM71" s="684"/>
      <c r="FPN71" s="684"/>
      <c r="FPO71" s="684"/>
      <c r="FPP71" s="684"/>
      <c r="FPQ71" s="684"/>
      <c r="FPR71" s="684"/>
      <c r="FPS71" s="684"/>
      <c r="FPT71" s="684"/>
      <c r="FPU71" s="684"/>
      <c r="FPV71" s="684"/>
      <c r="FPW71" s="684"/>
      <c r="FPX71" s="684"/>
      <c r="FPY71" s="684"/>
      <c r="FPZ71" s="684"/>
      <c r="FQA71" s="684"/>
      <c r="FQB71" s="684"/>
      <c r="FQC71" s="684"/>
      <c r="FQD71" s="684"/>
      <c r="FQE71" s="684"/>
      <c r="FQF71" s="684"/>
      <c r="FQG71" s="684"/>
      <c r="FQH71" s="684"/>
      <c r="FQI71" s="684"/>
      <c r="FQJ71" s="684"/>
      <c r="FQK71" s="684"/>
      <c r="FQL71" s="684"/>
      <c r="FQM71" s="684"/>
      <c r="FQN71" s="684"/>
      <c r="FQO71" s="684"/>
      <c r="FQP71" s="684"/>
      <c r="FQQ71" s="684"/>
      <c r="FQR71" s="684"/>
      <c r="FQS71" s="684"/>
      <c r="FQT71" s="684"/>
      <c r="FQU71" s="684"/>
      <c r="FQV71" s="684"/>
      <c r="FQW71" s="684"/>
      <c r="FQX71" s="684"/>
      <c r="FQY71" s="684"/>
      <c r="FQZ71" s="684"/>
      <c r="FRA71" s="684"/>
      <c r="FRB71" s="684"/>
      <c r="FRC71" s="684"/>
      <c r="FRD71" s="684"/>
      <c r="FRE71" s="684"/>
      <c r="FRF71" s="684"/>
      <c r="FRG71" s="684"/>
      <c r="FRH71" s="684"/>
      <c r="FRI71" s="684"/>
      <c r="FRJ71" s="684"/>
      <c r="FRK71" s="684"/>
      <c r="FRL71" s="684"/>
      <c r="FRM71" s="684"/>
      <c r="FRN71" s="684"/>
      <c r="FRO71" s="684"/>
      <c r="FRP71" s="684"/>
      <c r="FRQ71" s="684"/>
      <c r="FRR71" s="684"/>
      <c r="FRS71" s="684"/>
      <c r="FRT71" s="684"/>
      <c r="FRU71" s="684"/>
      <c r="FRV71" s="684"/>
      <c r="FRW71" s="684"/>
      <c r="FRX71" s="684"/>
      <c r="FRY71" s="684"/>
      <c r="FRZ71" s="684"/>
      <c r="FSA71" s="684"/>
      <c r="FSB71" s="684"/>
      <c r="FSC71" s="684"/>
      <c r="FSD71" s="684"/>
      <c r="FSE71" s="684"/>
      <c r="FSF71" s="684"/>
      <c r="FSG71" s="684"/>
      <c r="FSH71" s="684"/>
      <c r="FSI71" s="684"/>
      <c r="FSJ71" s="684"/>
      <c r="FSK71" s="684"/>
      <c r="FSL71" s="684"/>
      <c r="FSM71" s="684"/>
      <c r="FSN71" s="684"/>
      <c r="FSO71" s="684"/>
      <c r="FSP71" s="684"/>
      <c r="FSQ71" s="684"/>
      <c r="FSR71" s="684"/>
      <c r="FSS71" s="684"/>
      <c r="FST71" s="684"/>
      <c r="FSU71" s="684"/>
      <c r="FSV71" s="684"/>
      <c r="FSW71" s="684"/>
      <c r="FSX71" s="684"/>
      <c r="FSY71" s="684"/>
      <c r="FSZ71" s="684"/>
      <c r="FTA71" s="684"/>
      <c r="FTB71" s="684"/>
      <c r="FTC71" s="684"/>
      <c r="FTD71" s="684"/>
      <c r="FTE71" s="684"/>
      <c r="FTF71" s="684"/>
      <c r="FTG71" s="684"/>
      <c r="FTH71" s="684"/>
      <c r="FTI71" s="684"/>
      <c r="FTJ71" s="684"/>
      <c r="FTK71" s="684"/>
      <c r="FTL71" s="684"/>
      <c r="FTM71" s="684"/>
      <c r="FTN71" s="684"/>
      <c r="FTO71" s="684"/>
      <c r="FTP71" s="684"/>
      <c r="FTQ71" s="684"/>
      <c r="FTR71" s="684"/>
      <c r="FTS71" s="684"/>
      <c r="FTT71" s="684"/>
      <c r="FTU71" s="684"/>
      <c r="FTV71" s="684"/>
      <c r="FTW71" s="684"/>
      <c r="FTX71" s="684"/>
      <c r="FTY71" s="684"/>
      <c r="FTZ71" s="684"/>
      <c r="FUA71" s="684"/>
      <c r="FUB71" s="684"/>
      <c r="FUC71" s="684"/>
      <c r="FUD71" s="684"/>
      <c r="FUE71" s="684"/>
      <c r="FUF71" s="684"/>
      <c r="FUG71" s="684"/>
      <c r="FUH71" s="684"/>
      <c r="FUI71" s="684"/>
      <c r="FUJ71" s="684"/>
      <c r="FUK71" s="684"/>
      <c r="FUL71" s="684"/>
      <c r="FUM71" s="684"/>
      <c r="FUN71" s="684"/>
      <c r="FUO71" s="684"/>
      <c r="FUP71" s="684"/>
      <c r="FUQ71" s="684"/>
      <c r="FUR71" s="684"/>
      <c r="FUS71" s="684"/>
      <c r="FUT71" s="684"/>
      <c r="FUU71" s="684"/>
      <c r="FUV71" s="684"/>
      <c r="FUW71" s="684"/>
      <c r="FUX71" s="684"/>
      <c r="FUY71" s="684"/>
      <c r="FUZ71" s="684"/>
      <c r="FVA71" s="684"/>
      <c r="FVB71" s="684"/>
      <c r="FVC71" s="684"/>
      <c r="FVD71" s="684"/>
      <c r="FVE71" s="684"/>
      <c r="FVF71" s="684"/>
      <c r="FVG71" s="684"/>
      <c r="FVH71" s="684"/>
      <c r="FVI71" s="684"/>
      <c r="FVJ71" s="684"/>
      <c r="FVK71" s="684"/>
      <c r="FVL71" s="684"/>
      <c r="FVM71" s="684"/>
      <c r="FVN71" s="684"/>
      <c r="FVO71" s="684"/>
      <c r="FVP71" s="684"/>
      <c r="FVQ71" s="684"/>
      <c r="FVR71" s="684"/>
      <c r="FVS71" s="684"/>
      <c r="FVT71" s="684"/>
      <c r="FVU71" s="684"/>
      <c r="FVV71" s="684"/>
      <c r="FVW71" s="684"/>
      <c r="FVX71" s="684"/>
      <c r="FVY71" s="684"/>
      <c r="FVZ71" s="684"/>
      <c r="FWA71" s="684"/>
      <c r="FWB71" s="684"/>
      <c r="FWC71" s="684"/>
      <c r="FWD71" s="684"/>
      <c r="FWE71" s="684"/>
      <c r="FWF71" s="684"/>
      <c r="FWG71" s="684"/>
      <c r="FWH71" s="684"/>
      <c r="FWI71" s="684"/>
      <c r="FWJ71" s="684"/>
      <c r="FWK71" s="684"/>
      <c r="FWL71" s="684"/>
      <c r="FWM71" s="684"/>
      <c r="FWN71" s="684"/>
      <c r="FWO71" s="684"/>
      <c r="FWP71" s="684"/>
      <c r="FWQ71" s="684"/>
      <c r="FWR71" s="684"/>
      <c r="FWS71" s="684"/>
      <c r="FWT71" s="684"/>
      <c r="FWU71" s="684"/>
      <c r="FWV71" s="684"/>
      <c r="FWW71" s="684"/>
      <c r="FWX71" s="684"/>
      <c r="FWY71" s="684"/>
      <c r="FWZ71" s="684"/>
      <c r="FXA71" s="684"/>
      <c r="FXB71" s="684"/>
      <c r="FXC71" s="684"/>
      <c r="FXD71" s="684"/>
      <c r="FXE71" s="684"/>
      <c r="FXF71" s="684"/>
      <c r="FXG71" s="684"/>
      <c r="FXH71" s="684"/>
      <c r="FXI71" s="684"/>
      <c r="FXJ71" s="684"/>
      <c r="FXK71" s="684"/>
      <c r="FXL71" s="684"/>
      <c r="FXM71" s="684"/>
      <c r="FXN71" s="684"/>
      <c r="FXO71" s="684"/>
      <c r="FXP71" s="684"/>
      <c r="FXQ71" s="684"/>
      <c r="FXR71" s="684"/>
      <c r="FXS71" s="684"/>
      <c r="FXT71" s="684"/>
      <c r="FXU71" s="684"/>
      <c r="FXV71" s="684"/>
      <c r="FXW71" s="684"/>
      <c r="FXX71" s="684"/>
      <c r="FXY71" s="684"/>
      <c r="FXZ71" s="684"/>
      <c r="FYA71" s="684"/>
      <c r="FYB71" s="684"/>
      <c r="FYC71" s="684"/>
      <c r="FYD71" s="684"/>
      <c r="FYE71" s="684"/>
      <c r="FYF71" s="684"/>
      <c r="FYG71" s="684"/>
      <c r="FYH71" s="684"/>
      <c r="FYI71" s="684"/>
      <c r="FYJ71" s="684"/>
      <c r="FYK71" s="684"/>
      <c r="FYL71" s="684"/>
      <c r="FYM71" s="684"/>
      <c r="FYN71" s="684"/>
      <c r="FYO71" s="684"/>
      <c r="FYP71" s="684"/>
      <c r="FYQ71" s="684"/>
      <c r="FYR71" s="684"/>
      <c r="FYS71" s="684"/>
      <c r="FYT71" s="684"/>
      <c r="FYU71" s="684"/>
      <c r="FYV71" s="684"/>
      <c r="FYW71" s="684"/>
      <c r="FYX71" s="684"/>
      <c r="FYY71" s="684"/>
      <c r="FYZ71" s="684"/>
      <c r="FZA71" s="684"/>
      <c r="FZB71" s="684"/>
      <c r="FZC71" s="684"/>
      <c r="FZD71" s="684"/>
      <c r="FZE71" s="684"/>
      <c r="FZF71" s="684"/>
      <c r="FZG71" s="684"/>
      <c r="FZH71" s="684"/>
      <c r="FZI71" s="684"/>
      <c r="FZJ71" s="684"/>
      <c r="FZK71" s="684"/>
      <c r="FZL71" s="684"/>
      <c r="FZM71" s="684"/>
      <c r="FZN71" s="684"/>
      <c r="FZO71" s="684"/>
      <c r="FZP71" s="684"/>
      <c r="FZQ71" s="684"/>
      <c r="FZR71" s="684"/>
      <c r="FZS71" s="684"/>
      <c r="FZT71" s="684"/>
      <c r="FZU71" s="684"/>
      <c r="FZV71" s="684"/>
      <c r="FZW71" s="684"/>
      <c r="FZX71" s="684"/>
      <c r="FZY71" s="684"/>
      <c r="FZZ71" s="684"/>
      <c r="GAA71" s="684"/>
      <c r="GAB71" s="684"/>
      <c r="GAC71" s="684"/>
      <c r="GAD71" s="684"/>
      <c r="GAE71" s="684"/>
      <c r="GAF71" s="684"/>
      <c r="GAG71" s="684"/>
      <c r="GAH71" s="684"/>
      <c r="GAI71" s="684"/>
      <c r="GAJ71" s="684"/>
      <c r="GAK71" s="684"/>
      <c r="GAL71" s="684"/>
      <c r="GAM71" s="684"/>
      <c r="GAN71" s="684"/>
      <c r="GAO71" s="684"/>
      <c r="GAP71" s="684"/>
      <c r="GAQ71" s="684"/>
      <c r="GAR71" s="684"/>
      <c r="GAS71" s="684"/>
      <c r="GAT71" s="684"/>
      <c r="GAU71" s="684"/>
      <c r="GAV71" s="684"/>
      <c r="GAW71" s="684"/>
      <c r="GAX71" s="684"/>
      <c r="GAY71" s="684"/>
      <c r="GAZ71" s="684"/>
      <c r="GBA71" s="684"/>
      <c r="GBB71" s="684"/>
      <c r="GBC71" s="684"/>
      <c r="GBD71" s="684"/>
      <c r="GBE71" s="684"/>
      <c r="GBF71" s="684"/>
      <c r="GBG71" s="684"/>
      <c r="GBH71" s="684"/>
      <c r="GBI71" s="684"/>
      <c r="GBJ71" s="684"/>
      <c r="GBK71" s="684"/>
      <c r="GBL71" s="684"/>
      <c r="GBM71" s="684"/>
      <c r="GBN71" s="684"/>
      <c r="GBO71" s="684"/>
      <c r="GBP71" s="684"/>
      <c r="GBQ71" s="684"/>
      <c r="GBR71" s="684"/>
      <c r="GBS71" s="684"/>
      <c r="GBT71" s="684"/>
      <c r="GBU71" s="684"/>
      <c r="GBV71" s="684"/>
      <c r="GBW71" s="684"/>
      <c r="GBX71" s="684"/>
      <c r="GBY71" s="684"/>
      <c r="GBZ71" s="684"/>
      <c r="GCA71" s="684"/>
      <c r="GCB71" s="684"/>
      <c r="GCC71" s="684"/>
      <c r="GCD71" s="684"/>
      <c r="GCE71" s="684"/>
      <c r="GCF71" s="684"/>
      <c r="GCG71" s="684"/>
      <c r="GCH71" s="684"/>
      <c r="GCI71" s="684"/>
      <c r="GCJ71" s="684"/>
      <c r="GCK71" s="684"/>
      <c r="GCL71" s="684"/>
      <c r="GCM71" s="684"/>
      <c r="GCN71" s="684"/>
      <c r="GCO71" s="684"/>
      <c r="GCP71" s="684"/>
      <c r="GCQ71" s="684"/>
      <c r="GCR71" s="684"/>
      <c r="GCS71" s="684"/>
      <c r="GCT71" s="684"/>
      <c r="GCU71" s="684"/>
      <c r="GCV71" s="684"/>
      <c r="GCW71" s="684"/>
      <c r="GCX71" s="684"/>
      <c r="GCY71" s="684"/>
      <c r="GCZ71" s="684"/>
      <c r="GDA71" s="684"/>
      <c r="GDB71" s="684"/>
      <c r="GDC71" s="684"/>
      <c r="GDD71" s="684"/>
      <c r="GDE71" s="684"/>
      <c r="GDF71" s="684"/>
      <c r="GDG71" s="684"/>
      <c r="GDH71" s="684"/>
      <c r="GDI71" s="684"/>
      <c r="GDJ71" s="684"/>
      <c r="GDK71" s="684"/>
      <c r="GDL71" s="684"/>
      <c r="GDM71" s="684"/>
      <c r="GDN71" s="684"/>
      <c r="GDO71" s="684"/>
      <c r="GDP71" s="684"/>
      <c r="GDQ71" s="684"/>
      <c r="GDR71" s="684"/>
      <c r="GDS71" s="684"/>
      <c r="GDT71" s="684"/>
      <c r="GDU71" s="684"/>
      <c r="GDV71" s="684"/>
      <c r="GDW71" s="684"/>
      <c r="GDX71" s="684"/>
      <c r="GDY71" s="684"/>
      <c r="GDZ71" s="684"/>
      <c r="GEA71" s="684"/>
      <c r="GEB71" s="684"/>
      <c r="GEC71" s="684"/>
      <c r="GED71" s="684"/>
      <c r="GEE71" s="684"/>
      <c r="GEF71" s="684"/>
      <c r="GEG71" s="684"/>
      <c r="GEH71" s="684"/>
      <c r="GEI71" s="684"/>
      <c r="GEJ71" s="684"/>
      <c r="GEK71" s="684"/>
      <c r="GEL71" s="684"/>
      <c r="GEM71" s="684"/>
      <c r="GEN71" s="684"/>
      <c r="GEO71" s="684"/>
      <c r="GEP71" s="684"/>
      <c r="GEQ71" s="684"/>
      <c r="GER71" s="684"/>
      <c r="GES71" s="684"/>
      <c r="GET71" s="684"/>
      <c r="GEU71" s="684"/>
      <c r="GEV71" s="684"/>
      <c r="GEW71" s="684"/>
      <c r="GEX71" s="684"/>
      <c r="GEY71" s="684"/>
      <c r="GEZ71" s="684"/>
      <c r="GFA71" s="684"/>
      <c r="GFB71" s="684"/>
      <c r="GFC71" s="684"/>
      <c r="GFD71" s="684"/>
      <c r="GFE71" s="684"/>
      <c r="GFF71" s="684"/>
      <c r="GFG71" s="684"/>
      <c r="GFH71" s="684"/>
      <c r="GFI71" s="684"/>
      <c r="GFJ71" s="684"/>
      <c r="GFK71" s="684"/>
      <c r="GFL71" s="684"/>
      <c r="GFM71" s="684"/>
      <c r="GFN71" s="684"/>
      <c r="GFO71" s="684"/>
      <c r="GFP71" s="684"/>
      <c r="GFQ71" s="684"/>
      <c r="GFR71" s="684"/>
      <c r="GFS71" s="684"/>
      <c r="GFT71" s="684"/>
      <c r="GFU71" s="684"/>
      <c r="GFV71" s="684"/>
      <c r="GFW71" s="684"/>
      <c r="GFX71" s="684"/>
      <c r="GFY71" s="684"/>
      <c r="GFZ71" s="684"/>
      <c r="GGA71" s="684"/>
      <c r="GGB71" s="684"/>
      <c r="GGC71" s="684"/>
      <c r="GGD71" s="684"/>
      <c r="GGE71" s="684"/>
      <c r="GGF71" s="684"/>
      <c r="GGG71" s="684"/>
      <c r="GGH71" s="684"/>
      <c r="GGI71" s="684"/>
      <c r="GGJ71" s="684"/>
      <c r="GGK71" s="684"/>
      <c r="GGL71" s="684"/>
      <c r="GGM71" s="684"/>
      <c r="GGN71" s="684"/>
      <c r="GGO71" s="684"/>
      <c r="GGP71" s="684"/>
      <c r="GGQ71" s="684"/>
      <c r="GGR71" s="684"/>
      <c r="GGS71" s="684"/>
      <c r="GGT71" s="684"/>
      <c r="GGU71" s="684"/>
      <c r="GGV71" s="684"/>
      <c r="GGW71" s="684"/>
      <c r="GGX71" s="684"/>
      <c r="GGY71" s="684"/>
      <c r="GGZ71" s="684"/>
      <c r="GHA71" s="684"/>
      <c r="GHB71" s="684"/>
      <c r="GHC71" s="684"/>
      <c r="GHD71" s="684"/>
      <c r="GHE71" s="684"/>
      <c r="GHF71" s="684"/>
      <c r="GHG71" s="684"/>
      <c r="GHH71" s="684"/>
      <c r="GHI71" s="684"/>
      <c r="GHJ71" s="684"/>
      <c r="GHK71" s="684"/>
      <c r="GHL71" s="684"/>
      <c r="GHM71" s="684"/>
      <c r="GHN71" s="684"/>
      <c r="GHO71" s="684"/>
      <c r="GHP71" s="684"/>
      <c r="GHQ71" s="684"/>
      <c r="GHR71" s="684"/>
      <c r="GHS71" s="684"/>
      <c r="GHT71" s="684"/>
      <c r="GHU71" s="684"/>
      <c r="GHV71" s="684"/>
      <c r="GHW71" s="684"/>
      <c r="GHX71" s="684"/>
      <c r="GHY71" s="684"/>
      <c r="GHZ71" s="684"/>
      <c r="GIA71" s="684"/>
      <c r="GIB71" s="684"/>
      <c r="GIC71" s="684"/>
      <c r="GID71" s="684"/>
      <c r="GIE71" s="684"/>
      <c r="GIF71" s="684"/>
      <c r="GIG71" s="684"/>
      <c r="GIH71" s="684"/>
      <c r="GII71" s="684"/>
      <c r="GIJ71" s="684"/>
      <c r="GIK71" s="684"/>
      <c r="GIL71" s="684"/>
      <c r="GIM71" s="684"/>
      <c r="GIN71" s="684"/>
      <c r="GIO71" s="684"/>
      <c r="GIP71" s="684"/>
      <c r="GIQ71" s="684"/>
      <c r="GIR71" s="684"/>
      <c r="GIS71" s="684"/>
      <c r="GIT71" s="684"/>
      <c r="GIU71" s="684"/>
      <c r="GIV71" s="684"/>
      <c r="GIW71" s="684"/>
      <c r="GIX71" s="684"/>
      <c r="GIY71" s="684"/>
      <c r="GIZ71" s="684"/>
      <c r="GJA71" s="684"/>
      <c r="GJB71" s="684"/>
      <c r="GJC71" s="684"/>
      <c r="GJD71" s="684"/>
      <c r="GJE71" s="684"/>
      <c r="GJF71" s="684"/>
      <c r="GJG71" s="684"/>
      <c r="GJH71" s="684"/>
      <c r="GJI71" s="684"/>
      <c r="GJJ71" s="684"/>
      <c r="GJK71" s="684"/>
      <c r="GJL71" s="684"/>
      <c r="GJM71" s="684"/>
      <c r="GJN71" s="684"/>
      <c r="GJO71" s="684"/>
      <c r="GJP71" s="684"/>
      <c r="GJQ71" s="684"/>
      <c r="GJR71" s="684"/>
      <c r="GJS71" s="684"/>
      <c r="GJT71" s="684"/>
      <c r="GJU71" s="684"/>
      <c r="GJV71" s="684"/>
      <c r="GJW71" s="684"/>
      <c r="GJX71" s="684"/>
      <c r="GJY71" s="684"/>
      <c r="GJZ71" s="684"/>
      <c r="GKA71" s="684"/>
      <c r="GKB71" s="684"/>
      <c r="GKC71" s="684"/>
      <c r="GKD71" s="684"/>
      <c r="GKE71" s="684"/>
      <c r="GKF71" s="684"/>
      <c r="GKG71" s="684"/>
      <c r="GKH71" s="684"/>
      <c r="GKI71" s="684"/>
      <c r="GKJ71" s="684"/>
      <c r="GKK71" s="684"/>
      <c r="GKL71" s="684"/>
      <c r="GKM71" s="684"/>
      <c r="GKN71" s="684"/>
      <c r="GKO71" s="684"/>
      <c r="GKP71" s="684"/>
      <c r="GKQ71" s="684"/>
      <c r="GKR71" s="684"/>
      <c r="GKS71" s="684"/>
      <c r="GKT71" s="684"/>
      <c r="GKU71" s="684"/>
      <c r="GKV71" s="684"/>
      <c r="GKW71" s="684"/>
      <c r="GKX71" s="684"/>
      <c r="GKY71" s="684"/>
      <c r="GKZ71" s="684"/>
      <c r="GLA71" s="684"/>
      <c r="GLB71" s="684"/>
      <c r="GLC71" s="684"/>
      <c r="GLD71" s="684"/>
      <c r="GLE71" s="684"/>
      <c r="GLF71" s="684"/>
      <c r="GLG71" s="684"/>
      <c r="GLH71" s="684"/>
      <c r="GLI71" s="684"/>
      <c r="GLJ71" s="684"/>
      <c r="GLK71" s="684"/>
      <c r="GLL71" s="684"/>
      <c r="GLM71" s="684"/>
      <c r="GLN71" s="684"/>
      <c r="GLO71" s="684"/>
      <c r="GLP71" s="684"/>
      <c r="GLQ71" s="684"/>
      <c r="GLR71" s="684"/>
      <c r="GLS71" s="684"/>
      <c r="GLT71" s="684"/>
      <c r="GLU71" s="684"/>
      <c r="GLV71" s="684"/>
      <c r="GLW71" s="684"/>
      <c r="GLX71" s="684"/>
      <c r="GLY71" s="684"/>
      <c r="GLZ71" s="684"/>
      <c r="GMA71" s="684"/>
      <c r="GMB71" s="684"/>
      <c r="GMC71" s="684"/>
      <c r="GMD71" s="684"/>
      <c r="GME71" s="684"/>
      <c r="GMF71" s="684"/>
      <c r="GMG71" s="684"/>
      <c r="GMH71" s="684"/>
      <c r="GMI71" s="684"/>
      <c r="GMJ71" s="684"/>
      <c r="GMK71" s="684"/>
      <c r="GML71" s="684"/>
      <c r="GMM71" s="684"/>
      <c r="GMN71" s="684"/>
      <c r="GMO71" s="684"/>
      <c r="GMP71" s="684"/>
      <c r="GMQ71" s="684"/>
      <c r="GMR71" s="684"/>
      <c r="GMS71" s="684"/>
      <c r="GMT71" s="684"/>
      <c r="GMU71" s="684"/>
      <c r="GMV71" s="684"/>
      <c r="GMW71" s="684"/>
      <c r="GMX71" s="684"/>
      <c r="GMY71" s="684"/>
      <c r="GMZ71" s="684"/>
      <c r="GNA71" s="684"/>
      <c r="GNB71" s="684"/>
      <c r="GNC71" s="684"/>
      <c r="GND71" s="684"/>
      <c r="GNE71" s="684"/>
      <c r="GNF71" s="684"/>
      <c r="GNG71" s="684"/>
      <c r="GNH71" s="684"/>
      <c r="GNI71" s="684"/>
      <c r="GNJ71" s="684"/>
      <c r="GNK71" s="684"/>
      <c r="GNL71" s="684"/>
      <c r="GNM71" s="684"/>
      <c r="GNN71" s="684"/>
      <c r="GNO71" s="684"/>
      <c r="GNP71" s="684"/>
      <c r="GNQ71" s="684"/>
      <c r="GNR71" s="684"/>
      <c r="GNS71" s="684"/>
      <c r="GNT71" s="684"/>
      <c r="GNU71" s="684"/>
      <c r="GNV71" s="684"/>
      <c r="GNW71" s="684"/>
      <c r="GNX71" s="684"/>
      <c r="GNY71" s="684"/>
      <c r="GNZ71" s="684"/>
      <c r="GOA71" s="684"/>
      <c r="GOB71" s="684"/>
      <c r="GOC71" s="684"/>
      <c r="GOD71" s="684"/>
      <c r="GOE71" s="684"/>
      <c r="GOF71" s="684"/>
      <c r="GOG71" s="684"/>
      <c r="GOH71" s="684"/>
      <c r="GOI71" s="684"/>
      <c r="GOJ71" s="684"/>
      <c r="GOK71" s="684"/>
      <c r="GOL71" s="684"/>
      <c r="GOM71" s="684"/>
      <c r="GON71" s="684"/>
      <c r="GOO71" s="684"/>
      <c r="GOP71" s="684"/>
      <c r="GOQ71" s="684"/>
      <c r="GOR71" s="684"/>
      <c r="GOS71" s="684"/>
      <c r="GOT71" s="684"/>
      <c r="GOU71" s="684"/>
      <c r="GOV71" s="684"/>
      <c r="GOW71" s="684"/>
      <c r="GOX71" s="684"/>
      <c r="GOY71" s="684"/>
      <c r="GOZ71" s="684"/>
      <c r="GPA71" s="684"/>
      <c r="GPB71" s="684"/>
      <c r="GPC71" s="684"/>
      <c r="GPD71" s="684"/>
      <c r="GPE71" s="684"/>
      <c r="GPF71" s="684"/>
      <c r="GPG71" s="684"/>
      <c r="GPH71" s="684"/>
      <c r="GPI71" s="684"/>
      <c r="GPJ71" s="684"/>
      <c r="GPK71" s="684"/>
      <c r="GPL71" s="684"/>
      <c r="GPM71" s="684"/>
      <c r="GPN71" s="684"/>
      <c r="GPO71" s="684"/>
      <c r="GPP71" s="684"/>
      <c r="GPQ71" s="684"/>
      <c r="GPR71" s="684"/>
      <c r="GPS71" s="684"/>
      <c r="GPT71" s="684"/>
      <c r="GPU71" s="684"/>
      <c r="GPV71" s="684"/>
      <c r="GPW71" s="684"/>
      <c r="GPX71" s="684"/>
      <c r="GPY71" s="684"/>
      <c r="GPZ71" s="684"/>
      <c r="GQA71" s="684"/>
      <c r="GQB71" s="684"/>
      <c r="GQC71" s="684"/>
      <c r="GQD71" s="684"/>
      <c r="GQE71" s="684"/>
      <c r="GQF71" s="684"/>
      <c r="GQG71" s="684"/>
      <c r="GQH71" s="684"/>
      <c r="GQI71" s="684"/>
      <c r="GQJ71" s="684"/>
      <c r="GQK71" s="684"/>
      <c r="GQL71" s="684"/>
      <c r="GQM71" s="684"/>
      <c r="GQN71" s="684"/>
      <c r="GQO71" s="684"/>
      <c r="GQP71" s="684"/>
      <c r="GQQ71" s="684"/>
      <c r="GQR71" s="684"/>
      <c r="GQS71" s="684"/>
      <c r="GQT71" s="684"/>
      <c r="GQU71" s="684"/>
      <c r="GQV71" s="684"/>
      <c r="GQW71" s="684"/>
      <c r="GQX71" s="684"/>
      <c r="GQY71" s="684"/>
      <c r="GQZ71" s="684"/>
      <c r="GRA71" s="684"/>
      <c r="GRB71" s="684"/>
      <c r="GRC71" s="684"/>
      <c r="GRD71" s="684"/>
      <c r="GRE71" s="684"/>
      <c r="GRF71" s="684"/>
      <c r="GRG71" s="684"/>
      <c r="GRH71" s="684"/>
      <c r="GRI71" s="684"/>
      <c r="GRJ71" s="684"/>
      <c r="GRK71" s="684"/>
      <c r="GRL71" s="684"/>
      <c r="GRM71" s="684"/>
      <c r="GRN71" s="684"/>
      <c r="GRO71" s="684"/>
      <c r="GRP71" s="684"/>
      <c r="GRQ71" s="684"/>
      <c r="GRR71" s="684"/>
      <c r="GRS71" s="684"/>
      <c r="GRT71" s="684"/>
      <c r="GRU71" s="684"/>
      <c r="GRV71" s="684"/>
      <c r="GRW71" s="684"/>
      <c r="GRX71" s="684"/>
      <c r="GRY71" s="684"/>
      <c r="GRZ71" s="684"/>
      <c r="GSA71" s="684"/>
      <c r="GSB71" s="684"/>
      <c r="GSC71" s="684"/>
      <c r="GSD71" s="684"/>
      <c r="GSE71" s="684"/>
      <c r="GSF71" s="684"/>
      <c r="GSG71" s="684"/>
      <c r="GSH71" s="684"/>
      <c r="GSI71" s="684"/>
      <c r="GSJ71" s="684"/>
      <c r="GSK71" s="684"/>
      <c r="GSL71" s="684"/>
      <c r="GSM71" s="684"/>
      <c r="GSN71" s="684"/>
      <c r="GSO71" s="684"/>
      <c r="GSP71" s="684"/>
      <c r="GSQ71" s="684"/>
      <c r="GSR71" s="684"/>
      <c r="GSS71" s="684"/>
      <c r="GST71" s="684"/>
      <c r="GSU71" s="684"/>
      <c r="GSV71" s="684"/>
      <c r="GSW71" s="684"/>
      <c r="GSX71" s="684"/>
      <c r="GSY71" s="684"/>
      <c r="GSZ71" s="684"/>
      <c r="GTA71" s="684"/>
      <c r="GTB71" s="684"/>
      <c r="GTC71" s="684"/>
      <c r="GTD71" s="684"/>
      <c r="GTE71" s="684"/>
      <c r="GTF71" s="684"/>
      <c r="GTG71" s="684"/>
      <c r="GTH71" s="684"/>
      <c r="GTI71" s="684"/>
      <c r="GTJ71" s="684"/>
      <c r="GTK71" s="684"/>
      <c r="GTL71" s="684"/>
      <c r="GTM71" s="684"/>
      <c r="GTN71" s="684"/>
      <c r="GTO71" s="684"/>
      <c r="GTP71" s="684"/>
      <c r="GTQ71" s="684"/>
      <c r="GTR71" s="684"/>
      <c r="GTS71" s="684"/>
      <c r="GTT71" s="684"/>
      <c r="GTU71" s="684"/>
      <c r="GTV71" s="684"/>
      <c r="GTW71" s="684"/>
      <c r="GTX71" s="684"/>
      <c r="GTY71" s="684"/>
      <c r="GTZ71" s="684"/>
      <c r="GUA71" s="684"/>
      <c r="GUB71" s="684"/>
      <c r="GUC71" s="684"/>
      <c r="GUD71" s="684"/>
      <c r="GUE71" s="684"/>
      <c r="GUF71" s="684"/>
      <c r="GUG71" s="684"/>
      <c r="GUH71" s="684"/>
      <c r="GUI71" s="684"/>
      <c r="GUJ71" s="684"/>
      <c r="GUK71" s="684"/>
      <c r="GUL71" s="684"/>
      <c r="GUM71" s="684"/>
      <c r="GUN71" s="684"/>
      <c r="GUO71" s="684"/>
      <c r="GUP71" s="684"/>
      <c r="GUQ71" s="684"/>
      <c r="GUR71" s="684"/>
      <c r="GUS71" s="684"/>
      <c r="GUT71" s="684"/>
      <c r="GUU71" s="684"/>
      <c r="GUV71" s="684"/>
      <c r="GUW71" s="684"/>
      <c r="GUX71" s="684"/>
      <c r="GUY71" s="684"/>
      <c r="GUZ71" s="684"/>
      <c r="GVA71" s="684"/>
      <c r="GVB71" s="684"/>
      <c r="GVC71" s="684"/>
      <c r="GVD71" s="684"/>
      <c r="GVE71" s="684"/>
      <c r="GVF71" s="684"/>
      <c r="GVG71" s="684"/>
      <c r="GVH71" s="684"/>
      <c r="GVI71" s="684"/>
      <c r="GVJ71" s="684"/>
      <c r="GVK71" s="684"/>
      <c r="GVL71" s="684"/>
      <c r="GVM71" s="684"/>
      <c r="GVN71" s="684"/>
      <c r="GVO71" s="684"/>
      <c r="GVP71" s="684"/>
      <c r="GVQ71" s="684"/>
      <c r="GVR71" s="684"/>
      <c r="GVS71" s="684"/>
      <c r="GVT71" s="684"/>
      <c r="GVU71" s="684"/>
      <c r="GVV71" s="684"/>
      <c r="GVW71" s="684"/>
      <c r="GVX71" s="684"/>
      <c r="GVY71" s="684"/>
      <c r="GVZ71" s="684"/>
      <c r="GWA71" s="684"/>
      <c r="GWB71" s="684"/>
      <c r="GWC71" s="684"/>
      <c r="GWD71" s="684"/>
      <c r="GWE71" s="684"/>
      <c r="GWF71" s="684"/>
      <c r="GWG71" s="684"/>
      <c r="GWH71" s="684"/>
      <c r="GWI71" s="684"/>
      <c r="GWJ71" s="684"/>
      <c r="GWK71" s="684"/>
      <c r="GWL71" s="684"/>
      <c r="GWM71" s="684"/>
      <c r="GWN71" s="684"/>
      <c r="GWO71" s="684"/>
      <c r="GWP71" s="684"/>
      <c r="GWQ71" s="684"/>
      <c r="GWR71" s="684"/>
      <c r="GWS71" s="684"/>
      <c r="GWT71" s="684"/>
      <c r="GWU71" s="684"/>
      <c r="GWV71" s="684"/>
      <c r="GWW71" s="684"/>
      <c r="GWX71" s="684"/>
      <c r="GWY71" s="684"/>
      <c r="GWZ71" s="684"/>
      <c r="GXA71" s="684"/>
      <c r="GXB71" s="684"/>
      <c r="GXC71" s="684"/>
      <c r="GXD71" s="684"/>
      <c r="GXE71" s="684"/>
      <c r="GXF71" s="684"/>
      <c r="GXG71" s="684"/>
      <c r="GXH71" s="684"/>
      <c r="GXI71" s="684"/>
      <c r="GXJ71" s="684"/>
      <c r="GXK71" s="684"/>
      <c r="GXL71" s="684"/>
      <c r="GXM71" s="684"/>
      <c r="GXN71" s="684"/>
      <c r="GXO71" s="684"/>
      <c r="GXP71" s="684"/>
      <c r="GXQ71" s="684"/>
      <c r="GXR71" s="684"/>
      <c r="GXS71" s="684"/>
      <c r="GXT71" s="684"/>
      <c r="GXU71" s="684"/>
      <c r="GXV71" s="684"/>
      <c r="GXW71" s="684"/>
      <c r="GXX71" s="684"/>
      <c r="GXY71" s="684"/>
      <c r="GXZ71" s="684"/>
      <c r="GYA71" s="684"/>
      <c r="GYB71" s="684"/>
      <c r="GYC71" s="684"/>
      <c r="GYD71" s="684"/>
      <c r="GYE71" s="684"/>
      <c r="GYF71" s="684"/>
      <c r="GYG71" s="684"/>
      <c r="GYH71" s="684"/>
      <c r="GYI71" s="684"/>
      <c r="GYJ71" s="684"/>
      <c r="GYK71" s="684"/>
      <c r="GYL71" s="684"/>
      <c r="GYM71" s="684"/>
      <c r="GYN71" s="684"/>
      <c r="GYO71" s="684"/>
      <c r="GYP71" s="684"/>
      <c r="GYQ71" s="684"/>
      <c r="GYR71" s="684"/>
      <c r="GYS71" s="684"/>
      <c r="GYT71" s="684"/>
      <c r="GYU71" s="684"/>
      <c r="GYV71" s="684"/>
      <c r="GYW71" s="684"/>
      <c r="GYX71" s="684"/>
      <c r="GYY71" s="684"/>
      <c r="GYZ71" s="684"/>
      <c r="GZA71" s="684"/>
      <c r="GZB71" s="684"/>
      <c r="GZC71" s="684"/>
      <c r="GZD71" s="684"/>
      <c r="GZE71" s="684"/>
      <c r="GZF71" s="684"/>
      <c r="GZG71" s="684"/>
      <c r="GZH71" s="684"/>
      <c r="GZI71" s="684"/>
      <c r="GZJ71" s="684"/>
      <c r="GZK71" s="684"/>
      <c r="GZL71" s="684"/>
      <c r="GZM71" s="684"/>
      <c r="GZN71" s="684"/>
      <c r="GZO71" s="684"/>
      <c r="GZP71" s="684"/>
      <c r="GZQ71" s="684"/>
      <c r="GZR71" s="684"/>
      <c r="GZS71" s="684"/>
      <c r="GZT71" s="684"/>
      <c r="GZU71" s="684"/>
      <c r="GZV71" s="684"/>
      <c r="GZW71" s="684"/>
      <c r="GZX71" s="684"/>
      <c r="GZY71" s="684"/>
      <c r="GZZ71" s="684"/>
      <c r="HAA71" s="684"/>
      <c r="HAB71" s="684"/>
      <c r="HAC71" s="684"/>
      <c r="HAD71" s="684"/>
      <c r="HAE71" s="684"/>
      <c r="HAF71" s="684"/>
      <c r="HAG71" s="684"/>
      <c r="HAH71" s="684"/>
      <c r="HAI71" s="684"/>
      <c r="HAJ71" s="684"/>
      <c r="HAK71" s="684"/>
      <c r="HAL71" s="684"/>
      <c r="HAM71" s="684"/>
      <c r="HAN71" s="684"/>
      <c r="HAO71" s="684"/>
      <c r="HAP71" s="684"/>
      <c r="HAQ71" s="684"/>
      <c r="HAR71" s="684"/>
      <c r="HAS71" s="684"/>
      <c r="HAT71" s="684"/>
      <c r="HAU71" s="684"/>
      <c r="HAV71" s="684"/>
      <c r="HAW71" s="684"/>
      <c r="HAX71" s="684"/>
      <c r="HAY71" s="684"/>
      <c r="HAZ71" s="684"/>
      <c r="HBA71" s="684"/>
      <c r="HBB71" s="684"/>
      <c r="HBC71" s="684"/>
      <c r="HBD71" s="684"/>
      <c r="HBE71" s="684"/>
      <c r="HBF71" s="684"/>
      <c r="HBG71" s="684"/>
      <c r="HBH71" s="684"/>
      <c r="HBI71" s="684"/>
      <c r="HBJ71" s="684"/>
      <c r="HBK71" s="684"/>
      <c r="HBL71" s="684"/>
      <c r="HBM71" s="684"/>
      <c r="HBN71" s="684"/>
      <c r="HBO71" s="684"/>
      <c r="HBP71" s="684"/>
      <c r="HBQ71" s="684"/>
      <c r="HBR71" s="684"/>
      <c r="HBS71" s="684"/>
      <c r="HBT71" s="684"/>
      <c r="HBU71" s="684"/>
      <c r="HBV71" s="684"/>
      <c r="HBW71" s="684"/>
      <c r="HBX71" s="684"/>
      <c r="HBY71" s="684"/>
      <c r="HBZ71" s="684"/>
      <c r="HCA71" s="684"/>
      <c r="HCB71" s="684"/>
      <c r="HCC71" s="684"/>
      <c r="HCD71" s="684"/>
      <c r="HCE71" s="684"/>
      <c r="HCF71" s="684"/>
      <c r="HCG71" s="684"/>
      <c r="HCH71" s="684"/>
      <c r="HCI71" s="684"/>
      <c r="HCJ71" s="684"/>
      <c r="HCK71" s="684"/>
      <c r="HCL71" s="684"/>
      <c r="HCM71" s="684"/>
      <c r="HCN71" s="684"/>
      <c r="HCO71" s="684"/>
      <c r="HCP71" s="684"/>
      <c r="HCQ71" s="684"/>
      <c r="HCR71" s="684"/>
      <c r="HCS71" s="684"/>
      <c r="HCT71" s="684"/>
      <c r="HCU71" s="684"/>
      <c r="HCV71" s="684"/>
      <c r="HCW71" s="684"/>
      <c r="HCX71" s="684"/>
      <c r="HCY71" s="684"/>
      <c r="HCZ71" s="684"/>
      <c r="HDA71" s="684"/>
      <c r="HDB71" s="684"/>
      <c r="HDC71" s="684"/>
      <c r="HDD71" s="684"/>
      <c r="HDE71" s="684"/>
      <c r="HDF71" s="684"/>
      <c r="HDG71" s="684"/>
      <c r="HDH71" s="684"/>
      <c r="HDI71" s="684"/>
      <c r="HDJ71" s="684"/>
      <c r="HDK71" s="684"/>
      <c r="HDL71" s="684"/>
      <c r="HDM71" s="684"/>
      <c r="HDN71" s="684"/>
      <c r="HDO71" s="684"/>
      <c r="HDP71" s="684"/>
      <c r="HDQ71" s="684"/>
      <c r="HDR71" s="684"/>
      <c r="HDS71" s="684"/>
      <c r="HDT71" s="684"/>
      <c r="HDU71" s="684"/>
      <c r="HDV71" s="684"/>
      <c r="HDW71" s="684"/>
      <c r="HDX71" s="684"/>
      <c r="HDY71" s="684"/>
      <c r="HDZ71" s="684"/>
      <c r="HEA71" s="684"/>
      <c r="HEB71" s="684"/>
      <c r="HEC71" s="684"/>
      <c r="HED71" s="684"/>
      <c r="HEE71" s="684"/>
      <c r="HEF71" s="684"/>
      <c r="HEG71" s="684"/>
      <c r="HEH71" s="684"/>
      <c r="HEI71" s="684"/>
      <c r="HEJ71" s="684"/>
      <c r="HEK71" s="684"/>
      <c r="HEL71" s="684"/>
      <c r="HEM71" s="684"/>
      <c r="HEN71" s="684"/>
      <c r="HEO71" s="684"/>
      <c r="HEP71" s="684"/>
      <c r="HEQ71" s="684"/>
      <c r="HER71" s="684"/>
      <c r="HES71" s="684"/>
      <c r="HET71" s="684"/>
      <c r="HEU71" s="684"/>
      <c r="HEV71" s="684"/>
      <c r="HEW71" s="684"/>
      <c r="HEX71" s="684"/>
      <c r="HEY71" s="684"/>
      <c r="HEZ71" s="684"/>
      <c r="HFA71" s="684"/>
      <c r="HFB71" s="684"/>
      <c r="HFC71" s="684"/>
      <c r="HFD71" s="684"/>
      <c r="HFE71" s="684"/>
      <c r="HFF71" s="684"/>
      <c r="HFG71" s="684"/>
      <c r="HFH71" s="684"/>
      <c r="HFI71" s="684"/>
      <c r="HFJ71" s="684"/>
      <c r="HFK71" s="684"/>
      <c r="HFL71" s="684"/>
      <c r="HFM71" s="684"/>
      <c r="HFN71" s="684"/>
      <c r="HFO71" s="684"/>
      <c r="HFP71" s="684"/>
      <c r="HFQ71" s="684"/>
      <c r="HFR71" s="684"/>
      <c r="HFS71" s="684"/>
      <c r="HFT71" s="684"/>
      <c r="HFU71" s="684"/>
      <c r="HFV71" s="684"/>
      <c r="HFW71" s="684"/>
      <c r="HFX71" s="684"/>
      <c r="HFY71" s="684"/>
      <c r="HFZ71" s="684"/>
      <c r="HGA71" s="684"/>
      <c r="HGB71" s="684"/>
      <c r="HGC71" s="684"/>
      <c r="HGD71" s="684"/>
      <c r="HGE71" s="684"/>
      <c r="HGF71" s="684"/>
      <c r="HGG71" s="684"/>
      <c r="HGH71" s="684"/>
      <c r="HGI71" s="684"/>
      <c r="HGJ71" s="684"/>
      <c r="HGK71" s="684"/>
      <c r="HGL71" s="684"/>
      <c r="HGM71" s="684"/>
      <c r="HGN71" s="684"/>
      <c r="HGO71" s="684"/>
      <c r="HGP71" s="684"/>
      <c r="HGQ71" s="684"/>
      <c r="HGR71" s="684"/>
      <c r="HGS71" s="684"/>
      <c r="HGT71" s="684"/>
      <c r="HGU71" s="684"/>
      <c r="HGV71" s="684"/>
      <c r="HGW71" s="684"/>
      <c r="HGX71" s="684"/>
      <c r="HGY71" s="684"/>
      <c r="HGZ71" s="684"/>
      <c r="HHA71" s="684"/>
      <c r="HHB71" s="684"/>
      <c r="HHC71" s="684"/>
      <c r="HHD71" s="684"/>
      <c r="HHE71" s="684"/>
      <c r="HHF71" s="684"/>
      <c r="HHG71" s="684"/>
      <c r="HHH71" s="684"/>
      <c r="HHI71" s="684"/>
      <c r="HHJ71" s="684"/>
      <c r="HHK71" s="684"/>
      <c r="HHL71" s="684"/>
      <c r="HHM71" s="684"/>
      <c r="HHN71" s="684"/>
      <c r="HHO71" s="684"/>
      <c r="HHP71" s="684"/>
      <c r="HHQ71" s="684"/>
      <c r="HHR71" s="684"/>
      <c r="HHS71" s="684"/>
      <c r="HHT71" s="684"/>
      <c r="HHU71" s="684"/>
      <c r="HHV71" s="684"/>
      <c r="HHW71" s="684"/>
      <c r="HHX71" s="684"/>
      <c r="HHY71" s="684"/>
      <c r="HHZ71" s="684"/>
      <c r="HIA71" s="684"/>
      <c r="HIB71" s="684"/>
      <c r="HIC71" s="684"/>
      <c r="HID71" s="684"/>
      <c r="HIE71" s="684"/>
      <c r="HIF71" s="684"/>
      <c r="HIG71" s="684"/>
      <c r="HIH71" s="684"/>
      <c r="HII71" s="684"/>
      <c r="HIJ71" s="684"/>
      <c r="HIK71" s="684"/>
      <c r="HIL71" s="684"/>
      <c r="HIM71" s="684"/>
      <c r="HIN71" s="684"/>
      <c r="HIO71" s="684"/>
      <c r="HIP71" s="684"/>
      <c r="HIQ71" s="684"/>
      <c r="HIR71" s="684"/>
      <c r="HIS71" s="684"/>
      <c r="HIT71" s="684"/>
      <c r="HIU71" s="684"/>
      <c r="HIV71" s="684"/>
      <c r="HIW71" s="684"/>
      <c r="HIX71" s="684"/>
      <c r="HIY71" s="684"/>
      <c r="HIZ71" s="684"/>
      <c r="HJA71" s="684"/>
      <c r="HJB71" s="684"/>
      <c r="HJC71" s="684"/>
      <c r="HJD71" s="684"/>
      <c r="HJE71" s="684"/>
      <c r="HJF71" s="684"/>
      <c r="HJG71" s="684"/>
      <c r="HJH71" s="684"/>
      <c r="HJI71" s="684"/>
      <c r="HJJ71" s="684"/>
      <c r="HJK71" s="684"/>
      <c r="HJL71" s="684"/>
      <c r="HJM71" s="684"/>
      <c r="HJN71" s="684"/>
      <c r="HJO71" s="684"/>
      <c r="HJP71" s="684"/>
      <c r="HJQ71" s="684"/>
      <c r="HJR71" s="684"/>
      <c r="HJS71" s="684"/>
      <c r="HJT71" s="684"/>
      <c r="HJU71" s="684"/>
      <c r="HJV71" s="684"/>
      <c r="HJW71" s="684"/>
      <c r="HJX71" s="684"/>
      <c r="HJY71" s="684"/>
      <c r="HJZ71" s="684"/>
      <c r="HKA71" s="684"/>
      <c r="HKB71" s="684"/>
      <c r="HKC71" s="684"/>
      <c r="HKD71" s="684"/>
      <c r="HKE71" s="684"/>
      <c r="HKF71" s="684"/>
      <c r="HKG71" s="684"/>
      <c r="HKH71" s="684"/>
      <c r="HKI71" s="684"/>
      <c r="HKJ71" s="684"/>
      <c r="HKK71" s="684"/>
      <c r="HKL71" s="684"/>
      <c r="HKM71" s="684"/>
      <c r="HKN71" s="684"/>
      <c r="HKO71" s="684"/>
      <c r="HKP71" s="684"/>
      <c r="HKQ71" s="684"/>
      <c r="HKR71" s="684"/>
      <c r="HKS71" s="684"/>
      <c r="HKT71" s="684"/>
      <c r="HKU71" s="684"/>
      <c r="HKV71" s="684"/>
      <c r="HKW71" s="684"/>
      <c r="HKX71" s="684"/>
      <c r="HKY71" s="684"/>
      <c r="HKZ71" s="684"/>
      <c r="HLA71" s="684"/>
      <c r="HLB71" s="684"/>
      <c r="HLC71" s="684"/>
      <c r="HLD71" s="684"/>
      <c r="HLE71" s="684"/>
      <c r="HLF71" s="684"/>
      <c r="HLG71" s="684"/>
      <c r="HLH71" s="684"/>
      <c r="HLI71" s="684"/>
      <c r="HLJ71" s="684"/>
      <c r="HLK71" s="684"/>
      <c r="HLL71" s="684"/>
      <c r="HLM71" s="684"/>
      <c r="HLN71" s="684"/>
      <c r="HLO71" s="684"/>
      <c r="HLP71" s="684"/>
      <c r="HLQ71" s="684"/>
      <c r="HLR71" s="684"/>
      <c r="HLS71" s="684"/>
      <c r="HLT71" s="684"/>
      <c r="HLU71" s="684"/>
      <c r="HLV71" s="684"/>
      <c r="HLW71" s="684"/>
      <c r="HLX71" s="684"/>
      <c r="HLY71" s="684"/>
      <c r="HLZ71" s="684"/>
      <c r="HMA71" s="684"/>
      <c r="HMB71" s="684"/>
      <c r="HMC71" s="684"/>
      <c r="HMD71" s="684"/>
      <c r="HME71" s="684"/>
      <c r="HMF71" s="684"/>
      <c r="HMG71" s="684"/>
      <c r="HMH71" s="684"/>
      <c r="HMI71" s="684"/>
      <c r="HMJ71" s="684"/>
      <c r="HMK71" s="684"/>
      <c r="HML71" s="684"/>
      <c r="HMM71" s="684"/>
      <c r="HMN71" s="684"/>
      <c r="HMO71" s="684"/>
      <c r="HMP71" s="684"/>
      <c r="HMQ71" s="684"/>
      <c r="HMR71" s="684"/>
      <c r="HMS71" s="684"/>
      <c r="HMT71" s="684"/>
      <c r="HMU71" s="684"/>
      <c r="HMV71" s="684"/>
      <c r="HMW71" s="684"/>
      <c r="HMX71" s="684"/>
      <c r="HMY71" s="684"/>
      <c r="HMZ71" s="684"/>
      <c r="HNA71" s="684"/>
      <c r="HNB71" s="684"/>
      <c r="HNC71" s="684"/>
      <c r="HND71" s="684"/>
      <c r="HNE71" s="684"/>
      <c r="HNF71" s="684"/>
      <c r="HNG71" s="684"/>
      <c r="HNH71" s="684"/>
      <c r="HNI71" s="684"/>
      <c r="HNJ71" s="684"/>
      <c r="HNK71" s="684"/>
      <c r="HNL71" s="684"/>
      <c r="HNM71" s="684"/>
      <c r="HNN71" s="684"/>
      <c r="HNO71" s="684"/>
      <c r="HNP71" s="684"/>
      <c r="HNQ71" s="684"/>
      <c r="HNR71" s="684"/>
      <c r="HNS71" s="684"/>
      <c r="HNT71" s="684"/>
      <c r="HNU71" s="684"/>
      <c r="HNV71" s="684"/>
      <c r="HNW71" s="684"/>
      <c r="HNX71" s="684"/>
      <c r="HNY71" s="684"/>
      <c r="HNZ71" s="684"/>
      <c r="HOA71" s="684"/>
      <c r="HOB71" s="684"/>
      <c r="HOC71" s="684"/>
      <c r="HOD71" s="684"/>
      <c r="HOE71" s="684"/>
      <c r="HOF71" s="684"/>
      <c r="HOG71" s="684"/>
      <c r="HOH71" s="684"/>
      <c r="HOI71" s="684"/>
      <c r="HOJ71" s="684"/>
      <c r="HOK71" s="684"/>
      <c r="HOL71" s="684"/>
      <c r="HOM71" s="684"/>
      <c r="HON71" s="684"/>
      <c r="HOO71" s="684"/>
      <c r="HOP71" s="684"/>
      <c r="HOQ71" s="684"/>
      <c r="HOR71" s="684"/>
      <c r="HOS71" s="684"/>
      <c r="HOT71" s="684"/>
      <c r="HOU71" s="684"/>
      <c r="HOV71" s="684"/>
      <c r="HOW71" s="684"/>
      <c r="HOX71" s="684"/>
      <c r="HOY71" s="684"/>
      <c r="HOZ71" s="684"/>
      <c r="HPA71" s="684"/>
      <c r="HPB71" s="684"/>
      <c r="HPC71" s="684"/>
      <c r="HPD71" s="684"/>
      <c r="HPE71" s="684"/>
      <c r="HPF71" s="684"/>
      <c r="HPG71" s="684"/>
      <c r="HPH71" s="684"/>
      <c r="HPI71" s="684"/>
      <c r="HPJ71" s="684"/>
      <c r="HPK71" s="684"/>
      <c r="HPL71" s="684"/>
      <c r="HPM71" s="684"/>
      <c r="HPN71" s="684"/>
      <c r="HPO71" s="684"/>
      <c r="HPP71" s="684"/>
      <c r="HPQ71" s="684"/>
      <c r="HPR71" s="684"/>
      <c r="HPS71" s="684"/>
      <c r="HPT71" s="684"/>
      <c r="HPU71" s="684"/>
      <c r="HPV71" s="684"/>
      <c r="HPW71" s="684"/>
      <c r="HPX71" s="684"/>
      <c r="HPY71" s="684"/>
      <c r="HPZ71" s="684"/>
      <c r="HQA71" s="684"/>
      <c r="HQB71" s="684"/>
      <c r="HQC71" s="684"/>
      <c r="HQD71" s="684"/>
      <c r="HQE71" s="684"/>
      <c r="HQF71" s="684"/>
      <c r="HQG71" s="684"/>
      <c r="HQH71" s="684"/>
      <c r="HQI71" s="684"/>
      <c r="HQJ71" s="684"/>
      <c r="HQK71" s="684"/>
      <c r="HQL71" s="684"/>
      <c r="HQM71" s="684"/>
      <c r="HQN71" s="684"/>
      <c r="HQO71" s="684"/>
      <c r="HQP71" s="684"/>
      <c r="HQQ71" s="684"/>
      <c r="HQR71" s="684"/>
      <c r="HQS71" s="684"/>
      <c r="HQT71" s="684"/>
      <c r="HQU71" s="684"/>
      <c r="HQV71" s="684"/>
      <c r="HQW71" s="684"/>
      <c r="HQX71" s="684"/>
      <c r="HQY71" s="684"/>
      <c r="HQZ71" s="684"/>
      <c r="HRA71" s="684"/>
      <c r="HRB71" s="684"/>
      <c r="HRC71" s="684"/>
      <c r="HRD71" s="684"/>
      <c r="HRE71" s="684"/>
      <c r="HRF71" s="684"/>
      <c r="HRG71" s="684"/>
      <c r="HRH71" s="684"/>
      <c r="HRI71" s="684"/>
      <c r="HRJ71" s="684"/>
      <c r="HRK71" s="684"/>
      <c r="HRL71" s="684"/>
      <c r="HRM71" s="684"/>
      <c r="HRN71" s="684"/>
      <c r="HRO71" s="684"/>
      <c r="HRP71" s="684"/>
      <c r="HRQ71" s="684"/>
      <c r="HRR71" s="684"/>
      <c r="HRS71" s="684"/>
      <c r="HRT71" s="684"/>
      <c r="HRU71" s="684"/>
      <c r="HRV71" s="684"/>
      <c r="HRW71" s="684"/>
      <c r="HRX71" s="684"/>
      <c r="HRY71" s="684"/>
      <c r="HRZ71" s="684"/>
      <c r="HSA71" s="684"/>
      <c r="HSB71" s="684"/>
      <c r="HSC71" s="684"/>
      <c r="HSD71" s="684"/>
      <c r="HSE71" s="684"/>
      <c r="HSF71" s="684"/>
      <c r="HSG71" s="684"/>
      <c r="HSH71" s="684"/>
      <c r="HSI71" s="684"/>
      <c r="HSJ71" s="684"/>
      <c r="HSK71" s="684"/>
      <c r="HSL71" s="684"/>
      <c r="HSM71" s="684"/>
      <c r="HSN71" s="684"/>
      <c r="HSO71" s="684"/>
      <c r="HSP71" s="684"/>
      <c r="HSQ71" s="684"/>
      <c r="HSR71" s="684"/>
      <c r="HSS71" s="684"/>
      <c r="HST71" s="684"/>
      <c r="HSU71" s="684"/>
      <c r="HSV71" s="684"/>
      <c r="HSW71" s="684"/>
      <c r="HSX71" s="684"/>
      <c r="HSY71" s="684"/>
      <c r="HSZ71" s="684"/>
      <c r="HTA71" s="684"/>
      <c r="HTB71" s="684"/>
      <c r="HTC71" s="684"/>
      <c r="HTD71" s="684"/>
      <c r="HTE71" s="684"/>
      <c r="HTF71" s="684"/>
      <c r="HTG71" s="684"/>
      <c r="HTH71" s="684"/>
      <c r="HTI71" s="684"/>
      <c r="HTJ71" s="684"/>
      <c r="HTK71" s="684"/>
      <c r="HTL71" s="684"/>
      <c r="HTM71" s="684"/>
      <c r="HTN71" s="684"/>
      <c r="HTO71" s="684"/>
      <c r="HTP71" s="684"/>
      <c r="HTQ71" s="684"/>
      <c r="HTR71" s="684"/>
      <c r="HTS71" s="684"/>
      <c r="HTT71" s="684"/>
      <c r="HTU71" s="684"/>
      <c r="HTV71" s="684"/>
      <c r="HTW71" s="684"/>
      <c r="HTX71" s="684"/>
      <c r="HTY71" s="684"/>
      <c r="HTZ71" s="684"/>
      <c r="HUA71" s="684"/>
      <c r="HUB71" s="684"/>
      <c r="HUC71" s="684"/>
      <c r="HUD71" s="684"/>
      <c r="HUE71" s="684"/>
      <c r="HUF71" s="684"/>
      <c r="HUG71" s="684"/>
      <c r="HUH71" s="684"/>
      <c r="HUI71" s="684"/>
      <c r="HUJ71" s="684"/>
      <c r="HUK71" s="684"/>
      <c r="HUL71" s="684"/>
      <c r="HUM71" s="684"/>
      <c r="HUN71" s="684"/>
      <c r="HUO71" s="684"/>
      <c r="HUP71" s="684"/>
      <c r="HUQ71" s="684"/>
      <c r="HUR71" s="684"/>
      <c r="HUS71" s="684"/>
      <c r="HUT71" s="684"/>
      <c r="HUU71" s="684"/>
      <c r="HUV71" s="684"/>
      <c r="HUW71" s="684"/>
      <c r="HUX71" s="684"/>
      <c r="HUY71" s="684"/>
      <c r="HUZ71" s="684"/>
      <c r="HVA71" s="684"/>
      <c r="HVB71" s="684"/>
      <c r="HVC71" s="684"/>
      <c r="HVD71" s="684"/>
      <c r="HVE71" s="684"/>
      <c r="HVF71" s="684"/>
      <c r="HVG71" s="684"/>
      <c r="HVH71" s="684"/>
      <c r="HVI71" s="684"/>
      <c r="HVJ71" s="684"/>
      <c r="HVK71" s="684"/>
      <c r="HVL71" s="684"/>
      <c r="HVM71" s="684"/>
      <c r="HVN71" s="684"/>
      <c r="HVO71" s="684"/>
      <c r="HVP71" s="684"/>
      <c r="HVQ71" s="684"/>
      <c r="HVR71" s="684"/>
      <c r="HVS71" s="684"/>
      <c r="HVT71" s="684"/>
      <c r="HVU71" s="684"/>
      <c r="HVV71" s="684"/>
      <c r="HVW71" s="684"/>
      <c r="HVX71" s="684"/>
      <c r="HVY71" s="684"/>
      <c r="HVZ71" s="684"/>
      <c r="HWA71" s="684"/>
      <c r="HWB71" s="684"/>
      <c r="HWC71" s="684"/>
      <c r="HWD71" s="684"/>
      <c r="HWE71" s="684"/>
      <c r="HWF71" s="684"/>
      <c r="HWG71" s="684"/>
      <c r="HWH71" s="684"/>
      <c r="HWI71" s="684"/>
      <c r="HWJ71" s="684"/>
      <c r="HWK71" s="684"/>
      <c r="HWL71" s="684"/>
      <c r="HWM71" s="684"/>
      <c r="HWN71" s="684"/>
      <c r="HWO71" s="684"/>
      <c r="HWP71" s="684"/>
      <c r="HWQ71" s="684"/>
      <c r="HWR71" s="684"/>
      <c r="HWS71" s="684"/>
      <c r="HWT71" s="684"/>
      <c r="HWU71" s="684"/>
      <c r="HWV71" s="684"/>
      <c r="HWW71" s="684"/>
      <c r="HWX71" s="684"/>
      <c r="HWY71" s="684"/>
      <c r="HWZ71" s="684"/>
      <c r="HXA71" s="684"/>
      <c r="HXB71" s="684"/>
      <c r="HXC71" s="684"/>
      <c r="HXD71" s="684"/>
      <c r="HXE71" s="684"/>
      <c r="HXF71" s="684"/>
      <c r="HXG71" s="684"/>
      <c r="HXH71" s="684"/>
      <c r="HXI71" s="684"/>
      <c r="HXJ71" s="684"/>
      <c r="HXK71" s="684"/>
      <c r="HXL71" s="684"/>
      <c r="HXM71" s="684"/>
      <c r="HXN71" s="684"/>
      <c r="HXO71" s="684"/>
      <c r="HXP71" s="684"/>
      <c r="HXQ71" s="684"/>
      <c r="HXR71" s="684"/>
      <c r="HXS71" s="684"/>
      <c r="HXT71" s="684"/>
      <c r="HXU71" s="684"/>
      <c r="HXV71" s="684"/>
      <c r="HXW71" s="684"/>
      <c r="HXX71" s="684"/>
      <c r="HXY71" s="684"/>
      <c r="HXZ71" s="684"/>
      <c r="HYA71" s="684"/>
      <c r="HYB71" s="684"/>
      <c r="HYC71" s="684"/>
      <c r="HYD71" s="684"/>
      <c r="HYE71" s="684"/>
      <c r="HYF71" s="684"/>
      <c r="HYG71" s="684"/>
      <c r="HYH71" s="684"/>
      <c r="HYI71" s="684"/>
      <c r="HYJ71" s="684"/>
      <c r="HYK71" s="684"/>
      <c r="HYL71" s="684"/>
      <c r="HYM71" s="684"/>
      <c r="HYN71" s="684"/>
      <c r="HYO71" s="684"/>
      <c r="HYP71" s="684"/>
      <c r="HYQ71" s="684"/>
      <c r="HYR71" s="684"/>
      <c r="HYS71" s="684"/>
      <c r="HYT71" s="684"/>
      <c r="HYU71" s="684"/>
      <c r="HYV71" s="684"/>
      <c r="HYW71" s="684"/>
      <c r="HYX71" s="684"/>
      <c r="HYY71" s="684"/>
      <c r="HYZ71" s="684"/>
      <c r="HZA71" s="684"/>
      <c r="HZB71" s="684"/>
      <c r="HZC71" s="684"/>
      <c r="HZD71" s="684"/>
      <c r="HZE71" s="684"/>
      <c r="HZF71" s="684"/>
      <c r="HZG71" s="684"/>
      <c r="HZH71" s="684"/>
      <c r="HZI71" s="684"/>
      <c r="HZJ71" s="684"/>
      <c r="HZK71" s="684"/>
      <c r="HZL71" s="684"/>
      <c r="HZM71" s="684"/>
      <c r="HZN71" s="684"/>
      <c r="HZO71" s="684"/>
      <c r="HZP71" s="684"/>
      <c r="HZQ71" s="684"/>
      <c r="HZR71" s="684"/>
      <c r="HZS71" s="684"/>
      <c r="HZT71" s="684"/>
      <c r="HZU71" s="684"/>
      <c r="HZV71" s="684"/>
      <c r="HZW71" s="684"/>
      <c r="HZX71" s="684"/>
      <c r="HZY71" s="684"/>
      <c r="HZZ71" s="684"/>
      <c r="IAA71" s="684"/>
      <c r="IAB71" s="684"/>
      <c r="IAC71" s="684"/>
      <c r="IAD71" s="684"/>
      <c r="IAE71" s="684"/>
      <c r="IAF71" s="684"/>
      <c r="IAG71" s="684"/>
      <c r="IAH71" s="684"/>
      <c r="IAI71" s="684"/>
      <c r="IAJ71" s="684"/>
      <c r="IAK71" s="684"/>
      <c r="IAL71" s="684"/>
      <c r="IAM71" s="684"/>
      <c r="IAN71" s="684"/>
      <c r="IAO71" s="684"/>
      <c r="IAP71" s="684"/>
      <c r="IAQ71" s="684"/>
      <c r="IAR71" s="684"/>
      <c r="IAS71" s="684"/>
      <c r="IAT71" s="684"/>
      <c r="IAU71" s="684"/>
      <c r="IAV71" s="684"/>
      <c r="IAW71" s="684"/>
      <c r="IAX71" s="684"/>
      <c r="IAY71" s="684"/>
      <c r="IAZ71" s="684"/>
      <c r="IBA71" s="684"/>
      <c r="IBB71" s="684"/>
      <c r="IBC71" s="684"/>
      <c r="IBD71" s="684"/>
      <c r="IBE71" s="684"/>
      <c r="IBF71" s="684"/>
      <c r="IBG71" s="684"/>
      <c r="IBH71" s="684"/>
      <c r="IBI71" s="684"/>
      <c r="IBJ71" s="684"/>
      <c r="IBK71" s="684"/>
      <c r="IBL71" s="684"/>
      <c r="IBM71" s="684"/>
      <c r="IBN71" s="684"/>
      <c r="IBO71" s="684"/>
      <c r="IBP71" s="684"/>
      <c r="IBQ71" s="684"/>
      <c r="IBR71" s="684"/>
      <c r="IBS71" s="684"/>
      <c r="IBT71" s="684"/>
      <c r="IBU71" s="684"/>
      <c r="IBV71" s="684"/>
      <c r="IBW71" s="684"/>
      <c r="IBX71" s="684"/>
      <c r="IBY71" s="684"/>
      <c r="IBZ71" s="684"/>
      <c r="ICA71" s="684"/>
      <c r="ICB71" s="684"/>
      <c r="ICC71" s="684"/>
      <c r="ICD71" s="684"/>
      <c r="ICE71" s="684"/>
      <c r="ICF71" s="684"/>
      <c r="ICG71" s="684"/>
      <c r="ICH71" s="684"/>
      <c r="ICI71" s="684"/>
      <c r="ICJ71" s="684"/>
      <c r="ICK71" s="684"/>
      <c r="ICL71" s="684"/>
      <c r="ICM71" s="684"/>
      <c r="ICN71" s="684"/>
      <c r="ICO71" s="684"/>
      <c r="ICP71" s="684"/>
      <c r="ICQ71" s="684"/>
      <c r="ICR71" s="684"/>
      <c r="ICS71" s="684"/>
      <c r="ICT71" s="684"/>
      <c r="ICU71" s="684"/>
      <c r="ICV71" s="684"/>
      <c r="ICW71" s="684"/>
      <c r="ICX71" s="684"/>
      <c r="ICY71" s="684"/>
      <c r="ICZ71" s="684"/>
      <c r="IDA71" s="684"/>
      <c r="IDB71" s="684"/>
      <c r="IDC71" s="684"/>
      <c r="IDD71" s="684"/>
      <c r="IDE71" s="684"/>
      <c r="IDF71" s="684"/>
      <c r="IDG71" s="684"/>
      <c r="IDH71" s="684"/>
      <c r="IDI71" s="684"/>
      <c r="IDJ71" s="684"/>
      <c r="IDK71" s="684"/>
      <c r="IDL71" s="684"/>
      <c r="IDM71" s="684"/>
      <c r="IDN71" s="684"/>
      <c r="IDO71" s="684"/>
      <c r="IDP71" s="684"/>
      <c r="IDQ71" s="684"/>
      <c r="IDR71" s="684"/>
      <c r="IDS71" s="684"/>
      <c r="IDT71" s="684"/>
      <c r="IDU71" s="684"/>
      <c r="IDV71" s="684"/>
      <c r="IDW71" s="684"/>
      <c r="IDX71" s="684"/>
      <c r="IDY71" s="684"/>
      <c r="IDZ71" s="684"/>
      <c r="IEA71" s="684"/>
      <c r="IEB71" s="684"/>
      <c r="IEC71" s="684"/>
      <c r="IED71" s="684"/>
      <c r="IEE71" s="684"/>
      <c r="IEF71" s="684"/>
      <c r="IEG71" s="684"/>
      <c r="IEH71" s="684"/>
      <c r="IEI71" s="684"/>
      <c r="IEJ71" s="684"/>
      <c r="IEK71" s="684"/>
      <c r="IEL71" s="684"/>
      <c r="IEM71" s="684"/>
      <c r="IEN71" s="684"/>
      <c r="IEO71" s="684"/>
      <c r="IEP71" s="684"/>
      <c r="IEQ71" s="684"/>
      <c r="IER71" s="684"/>
      <c r="IES71" s="684"/>
      <c r="IET71" s="684"/>
      <c r="IEU71" s="684"/>
      <c r="IEV71" s="684"/>
      <c r="IEW71" s="684"/>
      <c r="IEX71" s="684"/>
      <c r="IEY71" s="684"/>
      <c r="IEZ71" s="684"/>
      <c r="IFA71" s="684"/>
      <c r="IFB71" s="684"/>
      <c r="IFC71" s="684"/>
      <c r="IFD71" s="684"/>
      <c r="IFE71" s="684"/>
      <c r="IFF71" s="684"/>
      <c r="IFG71" s="684"/>
      <c r="IFH71" s="684"/>
      <c r="IFI71" s="684"/>
      <c r="IFJ71" s="684"/>
      <c r="IFK71" s="684"/>
      <c r="IFL71" s="684"/>
      <c r="IFM71" s="684"/>
      <c r="IFN71" s="684"/>
      <c r="IFO71" s="684"/>
      <c r="IFP71" s="684"/>
      <c r="IFQ71" s="684"/>
      <c r="IFR71" s="684"/>
      <c r="IFS71" s="684"/>
      <c r="IFT71" s="684"/>
      <c r="IFU71" s="684"/>
      <c r="IFV71" s="684"/>
      <c r="IFW71" s="684"/>
      <c r="IFX71" s="684"/>
      <c r="IFY71" s="684"/>
      <c r="IFZ71" s="684"/>
      <c r="IGA71" s="684"/>
      <c r="IGB71" s="684"/>
      <c r="IGC71" s="684"/>
      <c r="IGD71" s="684"/>
      <c r="IGE71" s="684"/>
      <c r="IGF71" s="684"/>
      <c r="IGG71" s="684"/>
      <c r="IGH71" s="684"/>
      <c r="IGI71" s="684"/>
      <c r="IGJ71" s="684"/>
      <c r="IGK71" s="684"/>
      <c r="IGL71" s="684"/>
      <c r="IGM71" s="684"/>
      <c r="IGN71" s="684"/>
      <c r="IGO71" s="684"/>
      <c r="IGP71" s="684"/>
      <c r="IGQ71" s="684"/>
      <c r="IGR71" s="684"/>
      <c r="IGS71" s="684"/>
      <c r="IGT71" s="684"/>
      <c r="IGU71" s="684"/>
      <c r="IGV71" s="684"/>
      <c r="IGW71" s="684"/>
      <c r="IGX71" s="684"/>
      <c r="IGY71" s="684"/>
      <c r="IGZ71" s="684"/>
      <c r="IHA71" s="684"/>
      <c r="IHB71" s="684"/>
      <c r="IHC71" s="684"/>
      <c r="IHD71" s="684"/>
      <c r="IHE71" s="684"/>
      <c r="IHF71" s="684"/>
      <c r="IHG71" s="684"/>
      <c r="IHH71" s="684"/>
      <c r="IHI71" s="684"/>
      <c r="IHJ71" s="684"/>
      <c r="IHK71" s="684"/>
      <c r="IHL71" s="684"/>
      <c r="IHM71" s="684"/>
      <c r="IHN71" s="684"/>
      <c r="IHO71" s="684"/>
      <c r="IHP71" s="684"/>
      <c r="IHQ71" s="684"/>
      <c r="IHR71" s="684"/>
      <c r="IHS71" s="684"/>
      <c r="IHT71" s="684"/>
      <c r="IHU71" s="684"/>
      <c r="IHV71" s="684"/>
      <c r="IHW71" s="684"/>
      <c r="IHX71" s="684"/>
      <c r="IHY71" s="684"/>
      <c r="IHZ71" s="684"/>
      <c r="IIA71" s="684"/>
      <c r="IIB71" s="684"/>
      <c r="IIC71" s="684"/>
      <c r="IID71" s="684"/>
      <c r="IIE71" s="684"/>
      <c r="IIF71" s="684"/>
      <c r="IIG71" s="684"/>
      <c r="IIH71" s="684"/>
      <c r="III71" s="684"/>
      <c r="IIJ71" s="684"/>
      <c r="IIK71" s="684"/>
      <c r="IIL71" s="684"/>
      <c r="IIM71" s="684"/>
      <c r="IIN71" s="684"/>
      <c r="IIO71" s="684"/>
      <c r="IIP71" s="684"/>
      <c r="IIQ71" s="684"/>
      <c r="IIR71" s="684"/>
      <c r="IIS71" s="684"/>
      <c r="IIT71" s="684"/>
      <c r="IIU71" s="684"/>
      <c r="IIV71" s="684"/>
      <c r="IIW71" s="684"/>
      <c r="IIX71" s="684"/>
      <c r="IIY71" s="684"/>
      <c r="IIZ71" s="684"/>
      <c r="IJA71" s="684"/>
      <c r="IJB71" s="684"/>
      <c r="IJC71" s="684"/>
      <c r="IJD71" s="684"/>
      <c r="IJE71" s="684"/>
      <c r="IJF71" s="684"/>
      <c r="IJG71" s="684"/>
      <c r="IJH71" s="684"/>
      <c r="IJI71" s="684"/>
      <c r="IJJ71" s="684"/>
      <c r="IJK71" s="684"/>
      <c r="IJL71" s="684"/>
      <c r="IJM71" s="684"/>
      <c r="IJN71" s="684"/>
      <c r="IJO71" s="684"/>
      <c r="IJP71" s="684"/>
      <c r="IJQ71" s="684"/>
      <c r="IJR71" s="684"/>
      <c r="IJS71" s="684"/>
      <c r="IJT71" s="684"/>
      <c r="IJU71" s="684"/>
      <c r="IJV71" s="684"/>
      <c r="IJW71" s="684"/>
      <c r="IJX71" s="684"/>
      <c r="IJY71" s="684"/>
      <c r="IJZ71" s="684"/>
      <c r="IKA71" s="684"/>
      <c r="IKB71" s="684"/>
      <c r="IKC71" s="684"/>
      <c r="IKD71" s="684"/>
      <c r="IKE71" s="684"/>
      <c r="IKF71" s="684"/>
      <c r="IKG71" s="684"/>
      <c r="IKH71" s="684"/>
      <c r="IKI71" s="684"/>
      <c r="IKJ71" s="684"/>
      <c r="IKK71" s="684"/>
      <c r="IKL71" s="684"/>
      <c r="IKM71" s="684"/>
      <c r="IKN71" s="684"/>
      <c r="IKO71" s="684"/>
      <c r="IKP71" s="684"/>
      <c r="IKQ71" s="684"/>
      <c r="IKR71" s="684"/>
      <c r="IKS71" s="684"/>
      <c r="IKT71" s="684"/>
      <c r="IKU71" s="684"/>
      <c r="IKV71" s="684"/>
      <c r="IKW71" s="684"/>
      <c r="IKX71" s="684"/>
      <c r="IKY71" s="684"/>
      <c r="IKZ71" s="684"/>
      <c r="ILA71" s="684"/>
      <c r="ILB71" s="684"/>
      <c r="ILC71" s="684"/>
      <c r="ILD71" s="684"/>
      <c r="ILE71" s="684"/>
      <c r="ILF71" s="684"/>
      <c r="ILG71" s="684"/>
      <c r="ILH71" s="684"/>
      <c r="ILI71" s="684"/>
      <c r="ILJ71" s="684"/>
      <c r="ILK71" s="684"/>
      <c r="ILL71" s="684"/>
      <c r="ILM71" s="684"/>
      <c r="ILN71" s="684"/>
      <c r="ILO71" s="684"/>
      <c r="ILP71" s="684"/>
      <c r="ILQ71" s="684"/>
      <c r="ILR71" s="684"/>
      <c r="ILS71" s="684"/>
      <c r="ILT71" s="684"/>
      <c r="ILU71" s="684"/>
      <c r="ILV71" s="684"/>
      <c r="ILW71" s="684"/>
      <c r="ILX71" s="684"/>
      <c r="ILY71" s="684"/>
      <c r="ILZ71" s="684"/>
      <c r="IMA71" s="684"/>
      <c r="IMB71" s="684"/>
      <c r="IMC71" s="684"/>
      <c r="IMD71" s="684"/>
      <c r="IME71" s="684"/>
      <c r="IMF71" s="684"/>
      <c r="IMG71" s="684"/>
      <c r="IMH71" s="684"/>
      <c r="IMI71" s="684"/>
      <c r="IMJ71" s="684"/>
      <c r="IMK71" s="684"/>
      <c r="IML71" s="684"/>
      <c r="IMM71" s="684"/>
      <c r="IMN71" s="684"/>
      <c r="IMO71" s="684"/>
      <c r="IMP71" s="684"/>
      <c r="IMQ71" s="684"/>
      <c r="IMR71" s="684"/>
      <c r="IMS71" s="684"/>
      <c r="IMT71" s="684"/>
      <c r="IMU71" s="684"/>
      <c r="IMV71" s="684"/>
      <c r="IMW71" s="684"/>
      <c r="IMX71" s="684"/>
      <c r="IMY71" s="684"/>
      <c r="IMZ71" s="684"/>
      <c r="INA71" s="684"/>
      <c r="INB71" s="684"/>
      <c r="INC71" s="684"/>
      <c r="IND71" s="684"/>
      <c r="INE71" s="684"/>
      <c r="INF71" s="684"/>
      <c r="ING71" s="684"/>
      <c r="INH71" s="684"/>
      <c r="INI71" s="684"/>
      <c r="INJ71" s="684"/>
      <c r="INK71" s="684"/>
      <c r="INL71" s="684"/>
      <c r="INM71" s="684"/>
      <c r="INN71" s="684"/>
      <c r="INO71" s="684"/>
      <c r="INP71" s="684"/>
      <c r="INQ71" s="684"/>
      <c r="INR71" s="684"/>
      <c r="INS71" s="684"/>
      <c r="INT71" s="684"/>
      <c r="INU71" s="684"/>
      <c r="INV71" s="684"/>
      <c r="INW71" s="684"/>
      <c r="INX71" s="684"/>
      <c r="INY71" s="684"/>
      <c r="INZ71" s="684"/>
      <c r="IOA71" s="684"/>
      <c r="IOB71" s="684"/>
      <c r="IOC71" s="684"/>
      <c r="IOD71" s="684"/>
      <c r="IOE71" s="684"/>
      <c r="IOF71" s="684"/>
      <c r="IOG71" s="684"/>
      <c r="IOH71" s="684"/>
      <c r="IOI71" s="684"/>
      <c r="IOJ71" s="684"/>
      <c r="IOK71" s="684"/>
      <c r="IOL71" s="684"/>
      <c r="IOM71" s="684"/>
      <c r="ION71" s="684"/>
      <c r="IOO71" s="684"/>
      <c r="IOP71" s="684"/>
      <c r="IOQ71" s="684"/>
      <c r="IOR71" s="684"/>
      <c r="IOS71" s="684"/>
      <c r="IOT71" s="684"/>
      <c r="IOU71" s="684"/>
      <c r="IOV71" s="684"/>
      <c r="IOW71" s="684"/>
      <c r="IOX71" s="684"/>
      <c r="IOY71" s="684"/>
      <c r="IOZ71" s="684"/>
      <c r="IPA71" s="684"/>
      <c r="IPB71" s="684"/>
      <c r="IPC71" s="684"/>
      <c r="IPD71" s="684"/>
      <c r="IPE71" s="684"/>
      <c r="IPF71" s="684"/>
      <c r="IPG71" s="684"/>
      <c r="IPH71" s="684"/>
      <c r="IPI71" s="684"/>
      <c r="IPJ71" s="684"/>
      <c r="IPK71" s="684"/>
      <c r="IPL71" s="684"/>
      <c r="IPM71" s="684"/>
      <c r="IPN71" s="684"/>
      <c r="IPO71" s="684"/>
      <c r="IPP71" s="684"/>
      <c r="IPQ71" s="684"/>
      <c r="IPR71" s="684"/>
      <c r="IPS71" s="684"/>
      <c r="IPT71" s="684"/>
      <c r="IPU71" s="684"/>
      <c r="IPV71" s="684"/>
      <c r="IPW71" s="684"/>
      <c r="IPX71" s="684"/>
      <c r="IPY71" s="684"/>
      <c r="IPZ71" s="684"/>
      <c r="IQA71" s="684"/>
      <c r="IQB71" s="684"/>
      <c r="IQC71" s="684"/>
      <c r="IQD71" s="684"/>
      <c r="IQE71" s="684"/>
      <c r="IQF71" s="684"/>
      <c r="IQG71" s="684"/>
      <c r="IQH71" s="684"/>
      <c r="IQI71" s="684"/>
      <c r="IQJ71" s="684"/>
      <c r="IQK71" s="684"/>
      <c r="IQL71" s="684"/>
      <c r="IQM71" s="684"/>
      <c r="IQN71" s="684"/>
      <c r="IQO71" s="684"/>
      <c r="IQP71" s="684"/>
      <c r="IQQ71" s="684"/>
      <c r="IQR71" s="684"/>
      <c r="IQS71" s="684"/>
      <c r="IQT71" s="684"/>
      <c r="IQU71" s="684"/>
      <c r="IQV71" s="684"/>
      <c r="IQW71" s="684"/>
      <c r="IQX71" s="684"/>
      <c r="IQY71" s="684"/>
      <c r="IQZ71" s="684"/>
      <c r="IRA71" s="684"/>
      <c r="IRB71" s="684"/>
      <c r="IRC71" s="684"/>
      <c r="IRD71" s="684"/>
      <c r="IRE71" s="684"/>
      <c r="IRF71" s="684"/>
      <c r="IRG71" s="684"/>
      <c r="IRH71" s="684"/>
      <c r="IRI71" s="684"/>
      <c r="IRJ71" s="684"/>
      <c r="IRK71" s="684"/>
      <c r="IRL71" s="684"/>
      <c r="IRM71" s="684"/>
      <c r="IRN71" s="684"/>
      <c r="IRO71" s="684"/>
      <c r="IRP71" s="684"/>
      <c r="IRQ71" s="684"/>
      <c r="IRR71" s="684"/>
      <c r="IRS71" s="684"/>
      <c r="IRT71" s="684"/>
      <c r="IRU71" s="684"/>
      <c r="IRV71" s="684"/>
      <c r="IRW71" s="684"/>
      <c r="IRX71" s="684"/>
      <c r="IRY71" s="684"/>
      <c r="IRZ71" s="684"/>
      <c r="ISA71" s="684"/>
      <c r="ISB71" s="684"/>
      <c r="ISC71" s="684"/>
      <c r="ISD71" s="684"/>
      <c r="ISE71" s="684"/>
      <c r="ISF71" s="684"/>
      <c r="ISG71" s="684"/>
      <c r="ISH71" s="684"/>
      <c r="ISI71" s="684"/>
      <c r="ISJ71" s="684"/>
      <c r="ISK71" s="684"/>
      <c r="ISL71" s="684"/>
      <c r="ISM71" s="684"/>
      <c r="ISN71" s="684"/>
      <c r="ISO71" s="684"/>
      <c r="ISP71" s="684"/>
      <c r="ISQ71" s="684"/>
      <c r="ISR71" s="684"/>
      <c r="ISS71" s="684"/>
      <c r="IST71" s="684"/>
      <c r="ISU71" s="684"/>
      <c r="ISV71" s="684"/>
      <c r="ISW71" s="684"/>
      <c r="ISX71" s="684"/>
      <c r="ISY71" s="684"/>
      <c r="ISZ71" s="684"/>
      <c r="ITA71" s="684"/>
      <c r="ITB71" s="684"/>
      <c r="ITC71" s="684"/>
      <c r="ITD71" s="684"/>
      <c r="ITE71" s="684"/>
      <c r="ITF71" s="684"/>
      <c r="ITG71" s="684"/>
      <c r="ITH71" s="684"/>
      <c r="ITI71" s="684"/>
      <c r="ITJ71" s="684"/>
      <c r="ITK71" s="684"/>
      <c r="ITL71" s="684"/>
      <c r="ITM71" s="684"/>
      <c r="ITN71" s="684"/>
      <c r="ITO71" s="684"/>
      <c r="ITP71" s="684"/>
      <c r="ITQ71" s="684"/>
      <c r="ITR71" s="684"/>
      <c r="ITS71" s="684"/>
      <c r="ITT71" s="684"/>
      <c r="ITU71" s="684"/>
      <c r="ITV71" s="684"/>
      <c r="ITW71" s="684"/>
      <c r="ITX71" s="684"/>
      <c r="ITY71" s="684"/>
      <c r="ITZ71" s="684"/>
      <c r="IUA71" s="684"/>
      <c r="IUB71" s="684"/>
      <c r="IUC71" s="684"/>
      <c r="IUD71" s="684"/>
      <c r="IUE71" s="684"/>
      <c r="IUF71" s="684"/>
      <c r="IUG71" s="684"/>
      <c r="IUH71" s="684"/>
      <c r="IUI71" s="684"/>
      <c r="IUJ71" s="684"/>
      <c r="IUK71" s="684"/>
      <c r="IUL71" s="684"/>
      <c r="IUM71" s="684"/>
      <c r="IUN71" s="684"/>
      <c r="IUO71" s="684"/>
      <c r="IUP71" s="684"/>
      <c r="IUQ71" s="684"/>
      <c r="IUR71" s="684"/>
      <c r="IUS71" s="684"/>
      <c r="IUT71" s="684"/>
      <c r="IUU71" s="684"/>
      <c r="IUV71" s="684"/>
      <c r="IUW71" s="684"/>
      <c r="IUX71" s="684"/>
      <c r="IUY71" s="684"/>
      <c r="IUZ71" s="684"/>
      <c r="IVA71" s="684"/>
      <c r="IVB71" s="684"/>
      <c r="IVC71" s="684"/>
      <c r="IVD71" s="684"/>
      <c r="IVE71" s="684"/>
      <c r="IVF71" s="684"/>
      <c r="IVG71" s="684"/>
      <c r="IVH71" s="684"/>
      <c r="IVI71" s="684"/>
      <c r="IVJ71" s="684"/>
      <c r="IVK71" s="684"/>
      <c r="IVL71" s="684"/>
      <c r="IVM71" s="684"/>
      <c r="IVN71" s="684"/>
      <c r="IVO71" s="684"/>
      <c r="IVP71" s="684"/>
      <c r="IVQ71" s="684"/>
      <c r="IVR71" s="684"/>
      <c r="IVS71" s="684"/>
      <c r="IVT71" s="684"/>
      <c r="IVU71" s="684"/>
      <c r="IVV71" s="684"/>
      <c r="IVW71" s="684"/>
      <c r="IVX71" s="684"/>
      <c r="IVY71" s="684"/>
      <c r="IVZ71" s="684"/>
      <c r="IWA71" s="684"/>
      <c r="IWB71" s="684"/>
      <c r="IWC71" s="684"/>
      <c r="IWD71" s="684"/>
      <c r="IWE71" s="684"/>
      <c r="IWF71" s="684"/>
      <c r="IWG71" s="684"/>
      <c r="IWH71" s="684"/>
      <c r="IWI71" s="684"/>
      <c r="IWJ71" s="684"/>
      <c r="IWK71" s="684"/>
      <c r="IWL71" s="684"/>
      <c r="IWM71" s="684"/>
      <c r="IWN71" s="684"/>
      <c r="IWO71" s="684"/>
      <c r="IWP71" s="684"/>
      <c r="IWQ71" s="684"/>
      <c r="IWR71" s="684"/>
      <c r="IWS71" s="684"/>
      <c r="IWT71" s="684"/>
      <c r="IWU71" s="684"/>
      <c r="IWV71" s="684"/>
      <c r="IWW71" s="684"/>
      <c r="IWX71" s="684"/>
      <c r="IWY71" s="684"/>
      <c r="IWZ71" s="684"/>
      <c r="IXA71" s="684"/>
      <c r="IXB71" s="684"/>
      <c r="IXC71" s="684"/>
      <c r="IXD71" s="684"/>
      <c r="IXE71" s="684"/>
      <c r="IXF71" s="684"/>
      <c r="IXG71" s="684"/>
      <c r="IXH71" s="684"/>
      <c r="IXI71" s="684"/>
      <c r="IXJ71" s="684"/>
      <c r="IXK71" s="684"/>
      <c r="IXL71" s="684"/>
      <c r="IXM71" s="684"/>
      <c r="IXN71" s="684"/>
      <c r="IXO71" s="684"/>
      <c r="IXP71" s="684"/>
      <c r="IXQ71" s="684"/>
      <c r="IXR71" s="684"/>
      <c r="IXS71" s="684"/>
      <c r="IXT71" s="684"/>
      <c r="IXU71" s="684"/>
      <c r="IXV71" s="684"/>
      <c r="IXW71" s="684"/>
      <c r="IXX71" s="684"/>
      <c r="IXY71" s="684"/>
      <c r="IXZ71" s="684"/>
      <c r="IYA71" s="684"/>
      <c r="IYB71" s="684"/>
      <c r="IYC71" s="684"/>
      <c r="IYD71" s="684"/>
      <c r="IYE71" s="684"/>
      <c r="IYF71" s="684"/>
      <c r="IYG71" s="684"/>
      <c r="IYH71" s="684"/>
      <c r="IYI71" s="684"/>
      <c r="IYJ71" s="684"/>
      <c r="IYK71" s="684"/>
      <c r="IYL71" s="684"/>
      <c r="IYM71" s="684"/>
      <c r="IYN71" s="684"/>
      <c r="IYO71" s="684"/>
      <c r="IYP71" s="684"/>
      <c r="IYQ71" s="684"/>
      <c r="IYR71" s="684"/>
      <c r="IYS71" s="684"/>
      <c r="IYT71" s="684"/>
      <c r="IYU71" s="684"/>
      <c r="IYV71" s="684"/>
      <c r="IYW71" s="684"/>
      <c r="IYX71" s="684"/>
      <c r="IYY71" s="684"/>
      <c r="IYZ71" s="684"/>
      <c r="IZA71" s="684"/>
      <c r="IZB71" s="684"/>
      <c r="IZC71" s="684"/>
      <c r="IZD71" s="684"/>
      <c r="IZE71" s="684"/>
      <c r="IZF71" s="684"/>
      <c r="IZG71" s="684"/>
      <c r="IZH71" s="684"/>
      <c r="IZI71" s="684"/>
      <c r="IZJ71" s="684"/>
      <c r="IZK71" s="684"/>
      <c r="IZL71" s="684"/>
      <c r="IZM71" s="684"/>
      <c r="IZN71" s="684"/>
      <c r="IZO71" s="684"/>
      <c r="IZP71" s="684"/>
      <c r="IZQ71" s="684"/>
      <c r="IZR71" s="684"/>
      <c r="IZS71" s="684"/>
      <c r="IZT71" s="684"/>
      <c r="IZU71" s="684"/>
      <c r="IZV71" s="684"/>
      <c r="IZW71" s="684"/>
      <c r="IZX71" s="684"/>
      <c r="IZY71" s="684"/>
      <c r="IZZ71" s="684"/>
      <c r="JAA71" s="684"/>
      <c r="JAB71" s="684"/>
      <c r="JAC71" s="684"/>
      <c r="JAD71" s="684"/>
      <c r="JAE71" s="684"/>
      <c r="JAF71" s="684"/>
      <c r="JAG71" s="684"/>
      <c r="JAH71" s="684"/>
      <c r="JAI71" s="684"/>
      <c r="JAJ71" s="684"/>
      <c r="JAK71" s="684"/>
      <c r="JAL71" s="684"/>
      <c r="JAM71" s="684"/>
      <c r="JAN71" s="684"/>
      <c r="JAO71" s="684"/>
      <c r="JAP71" s="684"/>
      <c r="JAQ71" s="684"/>
      <c r="JAR71" s="684"/>
      <c r="JAS71" s="684"/>
      <c r="JAT71" s="684"/>
      <c r="JAU71" s="684"/>
      <c r="JAV71" s="684"/>
      <c r="JAW71" s="684"/>
      <c r="JAX71" s="684"/>
      <c r="JAY71" s="684"/>
      <c r="JAZ71" s="684"/>
      <c r="JBA71" s="684"/>
      <c r="JBB71" s="684"/>
      <c r="JBC71" s="684"/>
      <c r="JBD71" s="684"/>
      <c r="JBE71" s="684"/>
      <c r="JBF71" s="684"/>
      <c r="JBG71" s="684"/>
      <c r="JBH71" s="684"/>
      <c r="JBI71" s="684"/>
      <c r="JBJ71" s="684"/>
      <c r="JBK71" s="684"/>
      <c r="JBL71" s="684"/>
      <c r="JBM71" s="684"/>
      <c r="JBN71" s="684"/>
      <c r="JBO71" s="684"/>
      <c r="JBP71" s="684"/>
      <c r="JBQ71" s="684"/>
      <c r="JBR71" s="684"/>
      <c r="JBS71" s="684"/>
      <c r="JBT71" s="684"/>
      <c r="JBU71" s="684"/>
      <c r="JBV71" s="684"/>
      <c r="JBW71" s="684"/>
      <c r="JBX71" s="684"/>
      <c r="JBY71" s="684"/>
      <c r="JBZ71" s="684"/>
      <c r="JCA71" s="684"/>
      <c r="JCB71" s="684"/>
      <c r="JCC71" s="684"/>
      <c r="JCD71" s="684"/>
      <c r="JCE71" s="684"/>
      <c r="JCF71" s="684"/>
      <c r="JCG71" s="684"/>
      <c r="JCH71" s="684"/>
      <c r="JCI71" s="684"/>
      <c r="JCJ71" s="684"/>
      <c r="JCK71" s="684"/>
      <c r="JCL71" s="684"/>
      <c r="JCM71" s="684"/>
      <c r="JCN71" s="684"/>
      <c r="JCO71" s="684"/>
      <c r="JCP71" s="684"/>
      <c r="JCQ71" s="684"/>
      <c r="JCR71" s="684"/>
      <c r="JCS71" s="684"/>
      <c r="JCT71" s="684"/>
      <c r="JCU71" s="684"/>
      <c r="JCV71" s="684"/>
      <c r="JCW71" s="684"/>
      <c r="JCX71" s="684"/>
      <c r="JCY71" s="684"/>
      <c r="JCZ71" s="684"/>
      <c r="JDA71" s="684"/>
      <c r="JDB71" s="684"/>
      <c r="JDC71" s="684"/>
      <c r="JDD71" s="684"/>
      <c r="JDE71" s="684"/>
      <c r="JDF71" s="684"/>
      <c r="JDG71" s="684"/>
      <c r="JDH71" s="684"/>
      <c r="JDI71" s="684"/>
      <c r="JDJ71" s="684"/>
      <c r="JDK71" s="684"/>
      <c r="JDL71" s="684"/>
      <c r="JDM71" s="684"/>
      <c r="JDN71" s="684"/>
      <c r="JDO71" s="684"/>
      <c r="JDP71" s="684"/>
      <c r="JDQ71" s="684"/>
      <c r="JDR71" s="684"/>
      <c r="JDS71" s="684"/>
      <c r="JDT71" s="684"/>
      <c r="JDU71" s="684"/>
      <c r="JDV71" s="684"/>
      <c r="JDW71" s="684"/>
      <c r="JDX71" s="684"/>
      <c r="JDY71" s="684"/>
      <c r="JDZ71" s="684"/>
      <c r="JEA71" s="684"/>
      <c r="JEB71" s="684"/>
      <c r="JEC71" s="684"/>
      <c r="JED71" s="684"/>
      <c r="JEE71" s="684"/>
      <c r="JEF71" s="684"/>
      <c r="JEG71" s="684"/>
      <c r="JEH71" s="684"/>
      <c r="JEI71" s="684"/>
      <c r="JEJ71" s="684"/>
      <c r="JEK71" s="684"/>
      <c r="JEL71" s="684"/>
      <c r="JEM71" s="684"/>
      <c r="JEN71" s="684"/>
      <c r="JEO71" s="684"/>
      <c r="JEP71" s="684"/>
      <c r="JEQ71" s="684"/>
      <c r="JER71" s="684"/>
      <c r="JES71" s="684"/>
      <c r="JET71" s="684"/>
      <c r="JEU71" s="684"/>
      <c r="JEV71" s="684"/>
      <c r="JEW71" s="684"/>
      <c r="JEX71" s="684"/>
      <c r="JEY71" s="684"/>
      <c r="JEZ71" s="684"/>
      <c r="JFA71" s="684"/>
      <c r="JFB71" s="684"/>
      <c r="JFC71" s="684"/>
      <c r="JFD71" s="684"/>
      <c r="JFE71" s="684"/>
      <c r="JFF71" s="684"/>
      <c r="JFG71" s="684"/>
      <c r="JFH71" s="684"/>
      <c r="JFI71" s="684"/>
      <c r="JFJ71" s="684"/>
      <c r="JFK71" s="684"/>
      <c r="JFL71" s="684"/>
      <c r="JFM71" s="684"/>
      <c r="JFN71" s="684"/>
      <c r="JFO71" s="684"/>
      <c r="JFP71" s="684"/>
      <c r="JFQ71" s="684"/>
      <c r="JFR71" s="684"/>
      <c r="JFS71" s="684"/>
      <c r="JFT71" s="684"/>
      <c r="JFU71" s="684"/>
      <c r="JFV71" s="684"/>
      <c r="JFW71" s="684"/>
      <c r="JFX71" s="684"/>
      <c r="JFY71" s="684"/>
      <c r="JFZ71" s="684"/>
      <c r="JGA71" s="684"/>
      <c r="JGB71" s="684"/>
      <c r="JGC71" s="684"/>
      <c r="JGD71" s="684"/>
      <c r="JGE71" s="684"/>
      <c r="JGF71" s="684"/>
      <c r="JGG71" s="684"/>
      <c r="JGH71" s="684"/>
      <c r="JGI71" s="684"/>
      <c r="JGJ71" s="684"/>
      <c r="JGK71" s="684"/>
      <c r="JGL71" s="684"/>
      <c r="JGM71" s="684"/>
      <c r="JGN71" s="684"/>
      <c r="JGO71" s="684"/>
      <c r="JGP71" s="684"/>
      <c r="JGQ71" s="684"/>
      <c r="JGR71" s="684"/>
      <c r="JGS71" s="684"/>
      <c r="JGT71" s="684"/>
      <c r="JGU71" s="684"/>
      <c r="JGV71" s="684"/>
      <c r="JGW71" s="684"/>
      <c r="JGX71" s="684"/>
      <c r="JGY71" s="684"/>
      <c r="JGZ71" s="684"/>
      <c r="JHA71" s="684"/>
      <c r="JHB71" s="684"/>
      <c r="JHC71" s="684"/>
      <c r="JHD71" s="684"/>
      <c r="JHE71" s="684"/>
      <c r="JHF71" s="684"/>
      <c r="JHG71" s="684"/>
      <c r="JHH71" s="684"/>
      <c r="JHI71" s="684"/>
      <c r="JHJ71" s="684"/>
      <c r="JHK71" s="684"/>
      <c r="JHL71" s="684"/>
      <c r="JHM71" s="684"/>
      <c r="JHN71" s="684"/>
      <c r="JHO71" s="684"/>
      <c r="JHP71" s="684"/>
      <c r="JHQ71" s="684"/>
      <c r="JHR71" s="684"/>
      <c r="JHS71" s="684"/>
      <c r="JHT71" s="684"/>
      <c r="JHU71" s="684"/>
      <c r="JHV71" s="684"/>
      <c r="JHW71" s="684"/>
      <c r="JHX71" s="684"/>
      <c r="JHY71" s="684"/>
      <c r="JHZ71" s="684"/>
      <c r="JIA71" s="684"/>
      <c r="JIB71" s="684"/>
      <c r="JIC71" s="684"/>
      <c r="JID71" s="684"/>
      <c r="JIE71" s="684"/>
      <c r="JIF71" s="684"/>
      <c r="JIG71" s="684"/>
      <c r="JIH71" s="684"/>
      <c r="JII71" s="684"/>
      <c r="JIJ71" s="684"/>
      <c r="JIK71" s="684"/>
      <c r="JIL71" s="684"/>
      <c r="JIM71" s="684"/>
      <c r="JIN71" s="684"/>
      <c r="JIO71" s="684"/>
      <c r="JIP71" s="684"/>
      <c r="JIQ71" s="684"/>
      <c r="JIR71" s="684"/>
      <c r="JIS71" s="684"/>
      <c r="JIT71" s="684"/>
      <c r="JIU71" s="684"/>
      <c r="JIV71" s="684"/>
      <c r="JIW71" s="684"/>
      <c r="JIX71" s="684"/>
      <c r="JIY71" s="684"/>
      <c r="JIZ71" s="684"/>
      <c r="JJA71" s="684"/>
      <c r="JJB71" s="684"/>
      <c r="JJC71" s="684"/>
      <c r="JJD71" s="684"/>
      <c r="JJE71" s="684"/>
      <c r="JJF71" s="684"/>
      <c r="JJG71" s="684"/>
      <c r="JJH71" s="684"/>
      <c r="JJI71" s="684"/>
      <c r="JJJ71" s="684"/>
      <c r="JJK71" s="684"/>
      <c r="JJL71" s="684"/>
      <c r="JJM71" s="684"/>
      <c r="JJN71" s="684"/>
      <c r="JJO71" s="684"/>
      <c r="JJP71" s="684"/>
      <c r="JJQ71" s="684"/>
      <c r="JJR71" s="684"/>
      <c r="JJS71" s="684"/>
      <c r="JJT71" s="684"/>
      <c r="JJU71" s="684"/>
      <c r="JJV71" s="684"/>
      <c r="JJW71" s="684"/>
      <c r="JJX71" s="684"/>
      <c r="JJY71" s="684"/>
      <c r="JJZ71" s="684"/>
      <c r="JKA71" s="684"/>
      <c r="JKB71" s="684"/>
      <c r="JKC71" s="684"/>
      <c r="JKD71" s="684"/>
      <c r="JKE71" s="684"/>
      <c r="JKF71" s="684"/>
      <c r="JKG71" s="684"/>
      <c r="JKH71" s="684"/>
      <c r="JKI71" s="684"/>
      <c r="JKJ71" s="684"/>
      <c r="JKK71" s="684"/>
      <c r="JKL71" s="684"/>
      <c r="JKM71" s="684"/>
      <c r="JKN71" s="684"/>
      <c r="JKO71" s="684"/>
      <c r="JKP71" s="684"/>
      <c r="JKQ71" s="684"/>
      <c r="JKR71" s="684"/>
      <c r="JKS71" s="684"/>
      <c r="JKT71" s="684"/>
      <c r="JKU71" s="684"/>
      <c r="JKV71" s="684"/>
      <c r="JKW71" s="684"/>
      <c r="JKX71" s="684"/>
      <c r="JKY71" s="684"/>
      <c r="JKZ71" s="684"/>
      <c r="JLA71" s="684"/>
      <c r="JLB71" s="684"/>
      <c r="JLC71" s="684"/>
      <c r="JLD71" s="684"/>
      <c r="JLE71" s="684"/>
      <c r="JLF71" s="684"/>
      <c r="JLG71" s="684"/>
      <c r="JLH71" s="684"/>
      <c r="JLI71" s="684"/>
      <c r="JLJ71" s="684"/>
      <c r="JLK71" s="684"/>
      <c r="JLL71" s="684"/>
      <c r="JLM71" s="684"/>
      <c r="JLN71" s="684"/>
      <c r="JLO71" s="684"/>
      <c r="JLP71" s="684"/>
      <c r="JLQ71" s="684"/>
      <c r="JLR71" s="684"/>
      <c r="JLS71" s="684"/>
      <c r="JLT71" s="684"/>
      <c r="JLU71" s="684"/>
      <c r="JLV71" s="684"/>
      <c r="JLW71" s="684"/>
      <c r="JLX71" s="684"/>
      <c r="JLY71" s="684"/>
      <c r="JLZ71" s="684"/>
      <c r="JMA71" s="684"/>
      <c r="JMB71" s="684"/>
      <c r="JMC71" s="684"/>
      <c r="JMD71" s="684"/>
      <c r="JME71" s="684"/>
      <c r="JMF71" s="684"/>
      <c r="JMG71" s="684"/>
      <c r="JMH71" s="684"/>
      <c r="JMI71" s="684"/>
      <c r="JMJ71" s="684"/>
      <c r="JMK71" s="684"/>
      <c r="JML71" s="684"/>
      <c r="JMM71" s="684"/>
      <c r="JMN71" s="684"/>
      <c r="JMO71" s="684"/>
      <c r="JMP71" s="684"/>
      <c r="JMQ71" s="684"/>
      <c r="JMR71" s="684"/>
      <c r="JMS71" s="684"/>
      <c r="JMT71" s="684"/>
      <c r="JMU71" s="684"/>
      <c r="JMV71" s="684"/>
      <c r="JMW71" s="684"/>
      <c r="JMX71" s="684"/>
      <c r="JMY71" s="684"/>
      <c r="JMZ71" s="684"/>
      <c r="JNA71" s="684"/>
      <c r="JNB71" s="684"/>
      <c r="JNC71" s="684"/>
      <c r="JND71" s="684"/>
      <c r="JNE71" s="684"/>
      <c r="JNF71" s="684"/>
      <c r="JNG71" s="684"/>
      <c r="JNH71" s="684"/>
      <c r="JNI71" s="684"/>
      <c r="JNJ71" s="684"/>
      <c r="JNK71" s="684"/>
      <c r="JNL71" s="684"/>
      <c r="JNM71" s="684"/>
      <c r="JNN71" s="684"/>
      <c r="JNO71" s="684"/>
      <c r="JNP71" s="684"/>
      <c r="JNQ71" s="684"/>
      <c r="JNR71" s="684"/>
      <c r="JNS71" s="684"/>
      <c r="JNT71" s="684"/>
      <c r="JNU71" s="684"/>
      <c r="JNV71" s="684"/>
      <c r="JNW71" s="684"/>
      <c r="JNX71" s="684"/>
      <c r="JNY71" s="684"/>
      <c r="JNZ71" s="684"/>
      <c r="JOA71" s="684"/>
      <c r="JOB71" s="684"/>
      <c r="JOC71" s="684"/>
      <c r="JOD71" s="684"/>
      <c r="JOE71" s="684"/>
      <c r="JOF71" s="684"/>
      <c r="JOG71" s="684"/>
      <c r="JOH71" s="684"/>
      <c r="JOI71" s="684"/>
      <c r="JOJ71" s="684"/>
      <c r="JOK71" s="684"/>
      <c r="JOL71" s="684"/>
      <c r="JOM71" s="684"/>
      <c r="JON71" s="684"/>
      <c r="JOO71" s="684"/>
      <c r="JOP71" s="684"/>
      <c r="JOQ71" s="684"/>
      <c r="JOR71" s="684"/>
      <c r="JOS71" s="684"/>
      <c r="JOT71" s="684"/>
      <c r="JOU71" s="684"/>
      <c r="JOV71" s="684"/>
      <c r="JOW71" s="684"/>
      <c r="JOX71" s="684"/>
      <c r="JOY71" s="684"/>
      <c r="JOZ71" s="684"/>
      <c r="JPA71" s="684"/>
      <c r="JPB71" s="684"/>
      <c r="JPC71" s="684"/>
      <c r="JPD71" s="684"/>
      <c r="JPE71" s="684"/>
      <c r="JPF71" s="684"/>
      <c r="JPG71" s="684"/>
      <c r="JPH71" s="684"/>
      <c r="JPI71" s="684"/>
      <c r="JPJ71" s="684"/>
      <c r="JPK71" s="684"/>
      <c r="JPL71" s="684"/>
      <c r="JPM71" s="684"/>
      <c r="JPN71" s="684"/>
      <c r="JPO71" s="684"/>
      <c r="JPP71" s="684"/>
      <c r="JPQ71" s="684"/>
      <c r="JPR71" s="684"/>
      <c r="JPS71" s="684"/>
      <c r="JPT71" s="684"/>
      <c r="JPU71" s="684"/>
      <c r="JPV71" s="684"/>
      <c r="JPW71" s="684"/>
      <c r="JPX71" s="684"/>
      <c r="JPY71" s="684"/>
      <c r="JPZ71" s="684"/>
      <c r="JQA71" s="684"/>
      <c r="JQB71" s="684"/>
      <c r="JQC71" s="684"/>
      <c r="JQD71" s="684"/>
      <c r="JQE71" s="684"/>
      <c r="JQF71" s="684"/>
      <c r="JQG71" s="684"/>
      <c r="JQH71" s="684"/>
      <c r="JQI71" s="684"/>
      <c r="JQJ71" s="684"/>
      <c r="JQK71" s="684"/>
      <c r="JQL71" s="684"/>
      <c r="JQM71" s="684"/>
      <c r="JQN71" s="684"/>
      <c r="JQO71" s="684"/>
      <c r="JQP71" s="684"/>
      <c r="JQQ71" s="684"/>
      <c r="JQR71" s="684"/>
      <c r="JQS71" s="684"/>
      <c r="JQT71" s="684"/>
      <c r="JQU71" s="684"/>
      <c r="JQV71" s="684"/>
      <c r="JQW71" s="684"/>
      <c r="JQX71" s="684"/>
      <c r="JQY71" s="684"/>
      <c r="JQZ71" s="684"/>
      <c r="JRA71" s="684"/>
      <c r="JRB71" s="684"/>
      <c r="JRC71" s="684"/>
      <c r="JRD71" s="684"/>
      <c r="JRE71" s="684"/>
      <c r="JRF71" s="684"/>
      <c r="JRG71" s="684"/>
      <c r="JRH71" s="684"/>
      <c r="JRI71" s="684"/>
      <c r="JRJ71" s="684"/>
      <c r="JRK71" s="684"/>
      <c r="JRL71" s="684"/>
      <c r="JRM71" s="684"/>
      <c r="JRN71" s="684"/>
      <c r="JRO71" s="684"/>
      <c r="JRP71" s="684"/>
      <c r="JRQ71" s="684"/>
      <c r="JRR71" s="684"/>
      <c r="JRS71" s="684"/>
      <c r="JRT71" s="684"/>
      <c r="JRU71" s="684"/>
      <c r="JRV71" s="684"/>
      <c r="JRW71" s="684"/>
      <c r="JRX71" s="684"/>
      <c r="JRY71" s="684"/>
      <c r="JRZ71" s="684"/>
      <c r="JSA71" s="684"/>
      <c r="JSB71" s="684"/>
      <c r="JSC71" s="684"/>
      <c r="JSD71" s="684"/>
      <c r="JSE71" s="684"/>
      <c r="JSF71" s="684"/>
      <c r="JSG71" s="684"/>
      <c r="JSH71" s="684"/>
      <c r="JSI71" s="684"/>
      <c r="JSJ71" s="684"/>
      <c r="JSK71" s="684"/>
      <c r="JSL71" s="684"/>
      <c r="JSM71" s="684"/>
      <c r="JSN71" s="684"/>
      <c r="JSO71" s="684"/>
      <c r="JSP71" s="684"/>
      <c r="JSQ71" s="684"/>
      <c r="JSR71" s="684"/>
      <c r="JSS71" s="684"/>
      <c r="JST71" s="684"/>
      <c r="JSU71" s="684"/>
      <c r="JSV71" s="684"/>
      <c r="JSW71" s="684"/>
      <c r="JSX71" s="684"/>
      <c r="JSY71" s="684"/>
      <c r="JSZ71" s="684"/>
      <c r="JTA71" s="684"/>
      <c r="JTB71" s="684"/>
      <c r="JTC71" s="684"/>
      <c r="JTD71" s="684"/>
      <c r="JTE71" s="684"/>
      <c r="JTF71" s="684"/>
      <c r="JTG71" s="684"/>
      <c r="JTH71" s="684"/>
      <c r="JTI71" s="684"/>
      <c r="JTJ71" s="684"/>
      <c r="JTK71" s="684"/>
      <c r="JTL71" s="684"/>
      <c r="JTM71" s="684"/>
      <c r="JTN71" s="684"/>
      <c r="JTO71" s="684"/>
      <c r="JTP71" s="684"/>
      <c r="JTQ71" s="684"/>
      <c r="JTR71" s="684"/>
      <c r="JTS71" s="684"/>
      <c r="JTT71" s="684"/>
      <c r="JTU71" s="684"/>
      <c r="JTV71" s="684"/>
      <c r="JTW71" s="684"/>
      <c r="JTX71" s="684"/>
      <c r="JTY71" s="684"/>
      <c r="JTZ71" s="684"/>
      <c r="JUA71" s="684"/>
      <c r="JUB71" s="684"/>
      <c r="JUC71" s="684"/>
      <c r="JUD71" s="684"/>
      <c r="JUE71" s="684"/>
      <c r="JUF71" s="684"/>
      <c r="JUG71" s="684"/>
      <c r="JUH71" s="684"/>
      <c r="JUI71" s="684"/>
      <c r="JUJ71" s="684"/>
      <c r="JUK71" s="684"/>
      <c r="JUL71" s="684"/>
      <c r="JUM71" s="684"/>
      <c r="JUN71" s="684"/>
      <c r="JUO71" s="684"/>
      <c r="JUP71" s="684"/>
      <c r="JUQ71" s="684"/>
      <c r="JUR71" s="684"/>
      <c r="JUS71" s="684"/>
      <c r="JUT71" s="684"/>
      <c r="JUU71" s="684"/>
      <c r="JUV71" s="684"/>
      <c r="JUW71" s="684"/>
      <c r="JUX71" s="684"/>
      <c r="JUY71" s="684"/>
      <c r="JUZ71" s="684"/>
      <c r="JVA71" s="684"/>
      <c r="JVB71" s="684"/>
      <c r="JVC71" s="684"/>
      <c r="JVD71" s="684"/>
      <c r="JVE71" s="684"/>
      <c r="JVF71" s="684"/>
      <c r="JVG71" s="684"/>
      <c r="JVH71" s="684"/>
      <c r="JVI71" s="684"/>
      <c r="JVJ71" s="684"/>
      <c r="JVK71" s="684"/>
      <c r="JVL71" s="684"/>
      <c r="JVM71" s="684"/>
      <c r="JVN71" s="684"/>
      <c r="JVO71" s="684"/>
      <c r="JVP71" s="684"/>
      <c r="JVQ71" s="684"/>
      <c r="JVR71" s="684"/>
      <c r="JVS71" s="684"/>
      <c r="JVT71" s="684"/>
      <c r="JVU71" s="684"/>
      <c r="JVV71" s="684"/>
      <c r="JVW71" s="684"/>
      <c r="JVX71" s="684"/>
      <c r="JVY71" s="684"/>
      <c r="JVZ71" s="684"/>
      <c r="JWA71" s="684"/>
      <c r="JWB71" s="684"/>
      <c r="JWC71" s="684"/>
      <c r="JWD71" s="684"/>
      <c r="JWE71" s="684"/>
      <c r="JWF71" s="684"/>
      <c r="JWG71" s="684"/>
      <c r="JWH71" s="684"/>
      <c r="JWI71" s="684"/>
      <c r="JWJ71" s="684"/>
      <c r="JWK71" s="684"/>
      <c r="JWL71" s="684"/>
      <c r="JWM71" s="684"/>
      <c r="JWN71" s="684"/>
      <c r="JWO71" s="684"/>
      <c r="JWP71" s="684"/>
      <c r="JWQ71" s="684"/>
      <c r="JWR71" s="684"/>
      <c r="JWS71" s="684"/>
      <c r="JWT71" s="684"/>
      <c r="JWU71" s="684"/>
      <c r="JWV71" s="684"/>
      <c r="JWW71" s="684"/>
      <c r="JWX71" s="684"/>
      <c r="JWY71" s="684"/>
      <c r="JWZ71" s="684"/>
      <c r="JXA71" s="684"/>
      <c r="JXB71" s="684"/>
      <c r="JXC71" s="684"/>
      <c r="JXD71" s="684"/>
      <c r="JXE71" s="684"/>
      <c r="JXF71" s="684"/>
      <c r="JXG71" s="684"/>
      <c r="JXH71" s="684"/>
      <c r="JXI71" s="684"/>
      <c r="JXJ71" s="684"/>
      <c r="JXK71" s="684"/>
      <c r="JXL71" s="684"/>
      <c r="JXM71" s="684"/>
      <c r="JXN71" s="684"/>
      <c r="JXO71" s="684"/>
      <c r="JXP71" s="684"/>
      <c r="JXQ71" s="684"/>
      <c r="JXR71" s="684"/>
      <c r="JXS71" s="684"/>
      <c r="JXT71" s="684"/>
      <c r="JXU71" s="684"/>
      <c r="JXV71" s="684"/>
      <c r="JXW71" s="684"/>
      <c r="JXX71" s="684"/>
      <c r="JXY71" s="684"/>
      <c r="JXZ71" s="684"/>
      <c r="JYA71" s="684"/>
      <c r="JYB71" s="684"/>
      <c r="JYC71" s="684"/>
      <c r="JYD71" s="684"/>
      <c r="JYE71" s="684"/>
      <c r="JYF71" s="684"/>
      <c r="JYG71" s="684"/>
      <c r="JYH71" s="684"/>
      <c r="JYI71" s="684"/>
      <c r="JYJ71" s="684"/>
      <c r="JYK71" s="684"/>
      <c r="JYL71" s="684"/>
      <c r="JYM71" s="684"/>
      <c r="JYN71" s="684"/>
      <c r="JYO71" s="684"/>
      <c r="JYP71" s="684"/>
      <c r="JYQ71" s="684"/>
      <c r="JYR71" s="684"/>
      <c r="JYS71" s="684"/>
      <c r="JYT71" s="684"/>
      <c r="JYU71" s="684"/>
      <c r="JYV71" s="684"/>
      <c r="JYW71" s="684"/>
      <c r="JYX71" s="684"/>
      <c r="JYY71" s="684"/>
      <c r="JYZ71" s="684"/>
      <c r="JZA71" s="684"/>
      <c r="JZB71" s="684"/>
      <c r="JZC71" s="684"/>
      <c r="JZD71" s="684"/>
      <c r="JZE71" s="684"/>
      <c r="JZF71" s="684"/>
      <c r="JZG71" s="684"/>
      <c r="JZH71" s="684"/>
      <c r="JZI71" s="684"/>
      <c r="JZJ71" s="684"/>
      <c r="JZK71" s="684"/>
      <c r="JZL71" s="684"/>
      <c r="JZM71" s="684"/>
      <c r="JZN71" s="684"/>
      <c r="JZO71" s="684"/>
      <c r="JZP71" s="684"/>
      <c r="JZQ71" s="684"/>
      <c r="JZR71" s="684"/>
      <c r="JZS71" s="684"/>
      <c r="JZT71" s="684"/>
      <c r="JZU71" s="684"/>
      <c r="JZV71" s="684"/>
      <c r="JZW71" s="684"/>
      <c r="JZX71" s="684"/>
      <c r="JZY71" s="684"/>
      <c r="JZZ71" s="684"/>
      <c r="KAA71" s="684"/>
      <c r="KAB71" s="684"/>
      <c r="KAC71" s="684"/>
      <c r="KAD71" s="684"/>
      <c r="KAE71" s="684"/>
      <c r="KAF71" s="684"/>
      <c r="KAG71" s="684"/>
      <c r="KAH71" s="684"/>
      <c r="KAI71" s="684"/>
      <c r="KAJ71" s="684"/>
      <c r="KAK71" s="684"/>
      <c r="KAL71" s="684"/>
      <c r="KAM71" s="684"/>
      <c r="KAN71" s="684"/>
      <c r="KAO71" s="684"/>
      <c r="KAP71" s="684"/>
      <c r="KAQ71" s="684"/>
      <c r="KAR71" s="684"/>
      <c r="KAS71" s="684"/>
      <c r="KAT71" s="684"/>
      <c r="KAU71" s="684"/>
      <c r="KAV71" s="684"/>
      <c r="KAW71" s="684"/>
      <c r="KAX71" s="684"/>
      <c r="KAY71" s="684"/>
      <c r="KAZ71" s="684"/>
      <c r="KBA71" s="684"/>
      <c r="KBB71" s="684"/>
      <c r="KBC71" s="684"/>
      <c r="KBD71" s="684"/>
      <c r="KBE71" s="684"/>
      <c r="KBF71" s="684"/>
      <c r="KBG71" s="684"/>
      <c r="KBH71" s="684"/>
      <c r="KBI71" s="684"/>
      <c r="KBJ71" s="684"/>
      <c r="KBK71" s="684"/>
      <c r="KBL71" s="684"/>
      <c r="KBM71" s="684"/>
      <c r="KBN71" s="684"/>
      <c r="KBO71" s="684"/>
      <c r="KBP71" s="684"/>
      <c r="KBQ71" s="684"/>
      <c r="KBR71" s="684"/>
      <c r="KBS71" s="684"/>
      <c r="KBT71" s="684"/>
      <c r="KBU71" s="684"/>
      <c r="KBV71" s="684"/>
      <c r="KBW71" s="684"/>
      <c r="KBX71" s="684"/>
      <c r="KBY71" s="684"/>
      <c r="KBZ71" s="684"/>
      <c r="KCA71" s="684"/>
      <c r="KCB71" s="684"/>
      <c r="KCC71" s="684"/>
      <c r="KCD71" s="684"/>
      <c r="KCE71" s="684"/>
      <c r="KCF71" s="684"/>
      <c r="KCG71" s="684"/>
      <c r="KCH71" s="684"/>
      <c r="KCI71" s="684"/>
      <c r="KCJ71" s="684"/>
      <c r="KCK71" s="684"/>
      <c r="KCL71" s="684"/>
      <c r="KCM71" s="684"/>
      <c r="KCN71" s="684"/>
      <c r="KCO71" s="684"/>
      <c r="KCP71" s="684"/>
      <c r="KCQ71" s="684"/>
      <c r="KCR71" s="684"/>
      <c r="KCS71" s="684"/>
      <c r="KCT71" s="684"/>
      <c r="KCU71" s="684"/>
      <c r="KCV71" s="684"/>
      <c r="KCW71" s="684"/>
      <c r="KCX71" s="684"/>
      <c r="KCY71" s="684"/>
      <c r="KCZ71" s="684"/>
      <c r="KDA71" s="684"/>
      <c r="KDB71" s="684"/>
      <c r="KDC71" s="684"/>
      <c r="KDD71" s="684"/>
      <c r="KDE71" s="684"/>
      <c r="KDF71" s="684"/>
      <c r="KDG71" s="684"/>
      <c r="KDH71" s="684"/>
      <c r="KDI71" s="684"/>
      <c r="KDJ71" s="684"/>
      <c r="KDK71" s="684"/>
      <c r="KDL71" s="684"/>
      <c r="KDM71" s="684"/>
      <c r="KDN71" s="684"/>
      <c r="KDO71" s="684"/>
      <c r="KDP71" s="684"/>
      <c r="KDQ71" s="684"/>
      <c r="KDR71" s="684"/>
      <c r="KDS71" s="684"/>
      <c r="KDT71" s="684"/>
      <c r="KDU71" s="684"/>
      <c r="KDV71" s="684"/>
      <c r="KDW71" s="684"/>
      <c r="KDX71" s="684"/>
      <c r="KDY71" s="684"/>
      <c r="KDZ71" s="684"/>
      <c r="KEA71" s="684"/>
      <c r="KEB71" s="684"/>
      <c r="KEC71" s="684"/>
      <c r="KED71" s="684"/>
      <c r="KEE71" s="684"/>
      <c r="KEF71" s="684"/>
      <c r="KEG71" s="684"/>
      <c r="KEH71" s="684"/>
      <c r="KEI71" s="684"/>
      <c r="KEJ71" s="684"/>
      <c r="KEK71" s="684"/>
      <c r="KEL71" s="684"/>
      <c r="KEM71" s="684"/>
      <c r="KEN71" s="684"/>
      <c r="KEO71" s="684"/>
      <c r="KEP71" s="684"/>
      <c r="KEQ71" s="684"/>
      <c r="KER71" s="684"/>
      <c r="KES71" s="684"/>
      <c r="KET71" s="684"/>
      <c r="KEU71" s="684"/>
      <c r="KEV71" s="684"/>
      <c r="KEW71" s="684"/>
      <c r="KEX71" s="684"/>
      <c r="KEY71" s="684"/>
      <c r="KEZ71" s="684"/>
      <c r="KFA71" s="684"/>
      <c r="KFB71" s="684"/>
      <c r="KFC71" s="684"/>
      <c r="KFD71" s="684"/>
      <c r="KFE71" s="684"/>
      <c r="KFF71" s="684"/>
      <c r="KFG71" s="684"/>
      <c r="KFH71" s="684"/>
      <c r="KFI71" s="684"/>
      <c r="KFJ71" s="684"/>
      <c r="KFK71" s="684"/>
      <c r="KFL71" s="684"/>
      <c r="KFM71" s="684"/>
      <c r="KFN71" s="684"/>
      <c r="KFO71" s="684"/>
      <c r="KFP71" s="684"/>
      <c r="KFQ71" s="684"/>
      <c r="KFR71" s="684"/>
      <c r="KFS71" s="684"/>
      <c r="KFT71" s="684"/>
      <c r="KFU71" s="684"/>
      <c r="KFV71" s="684"/>
      <c r="KFW71" s="684"/>
      <c r="KFX71" s="684"/>
      <c r="KFY71" s="684"/>
      <c r="KFZ71" s="684"/>
      <c r="KGA71" s="684"/>
      <c r="KGB71" s="684"/>
      <c r="KGC71" s="684"/>
      <c r="KGD71" s="684"/>
      <c r="KGE71" s="684"/>
      <c r="KGF71" s="684"/>
      <c r="KGG71" s="684"/>
      <c r="KGH71" s="684"/>
      <c r="KGI71" s="684"/>
      <c r="KGJ71" s="684"/>
      <c r="KGK71" s="684"/>
      <c r="KGL71" s="684"/>
      <c r="KGM71" s="684"/>
      <c r="KGN71" s="684"/>
      <c r="KGO71" s="684"/>
      <c r="KGP71" s="684"/>
      <c r="KGQ71" s="684"/>
      <c r="KGR71" s="684"/>
      <c r="KGS71" s="684"/>
      <c r="KGT71" s="684"/>
      <c r="KGU71" s="684"/>
      <c r="KGV71" s="684"/>
      <c r="KGW71" s="684"/>
      <c r="KGX71" s="684"/>
      <c r="KGY71" s="684"/>
      <c r="KGZ71" s="684"/>
      <c r="KHA71" s="684"/>
      <c r="KHB71" s="684"/>
      <c r="KHC71" s="684"/>
      <c r="KHD71" s="684"/>
      <c r="KHE71" s="684"/>
      <c r="KHF71" s="684"/>
      <c r="KHG71" s="684"/>
      <c r="KHH71" s="684"/>
      <c r="KHI71" s="684"/>
      <c r="KHJ71" s="684"/>
      <c r="KHK71" s="684"/>
      <c r="KHL71" s="684"/>
      <c r="KHM71" s="684"/>
      <c r="KHN71" s="684"/>
      <c r="KHO71" s="684"/>
      <c r="KHP71" s="684"/>
      <c r="KHQ71" s="684"/>
      <c r="KHR71" s="684"/>
      <c r="KHS71" s="684"/>
      <c r="KHT71" s="684"/>
      <c r="KHU71" s="684"/>
      <c r="KHV71" s="684"/>
      <c r="KHW71" s="684"/>
      <c r="KHX71" s="684"/>
      <c r="KHY71" s="684"/>
      <c r="KHZ71" s="684"/>
      <c r="KIA71" s="684"/>
      <c r="KIB71" s="684"/>
      <c r="KIC71" s="684"/>
      <c r="KID71" s="684"/>
      <c r="KIE71" s="684"/>
      <c r="KIF71" s="684"/>
      <c r="KIG71" s="684"/>
      <c r="KIH71" s="684"/>
      <c r="KII71" s="684"/>
      <c r="KIJ71" s="684"/>
      <c r="KIK71" s="684"/>
      <c r="KIL71" s="684"/>
      <c r="KIM71" s="684"/>
      <c r="KIN71" s="684"/>
      <c r="KIO71" s="684"/>
      <c r="KIP71" s="684"/>
      <c r="KIQ71" s="684"/>
      <c r="KIR71" s="684"/>
      <c r="KIS71" s="684"/>
      <c r="KIT71" s="684"/>
      <c r="KIU71" s="684"/>
      <c r="KIV71" s="684"/>
      <c r="KIW71" s="684"/>
      <c r="KIX71" s="684"/>
      <c r="KIY71" s="684"/>
      <c r="KIZ71" s="684"/>
      <c r="KJA71" s="684"/>
      <c r="KJB71" s="684"/>
      <c r="KJC71" s="684"/>
      <c r="KJD71" s="684"/>
      <c r="KJE71" s="684"/>
      <c r="KJF71" s="684"/>
      <c r="KJG71" s="684"/>
      <c r="KJH71" s="684"/>
      <c r="KJI71" s="684"/>
      <c r="KJJ71" s="684"/>
      <c r="KJK71" s="684"/>
      <c r="KJL71" s="684"/>
      <c r="KJM71" s="684"/>
      <c r="KJN71" s="684"/>
      <c r="KJO71" s="684"/>
      <c r="KJP71" s="684"/>
      <c r="KJQ71" s="684"/>
      <c r="KJR71" s="684"/>
      <c r="KJS71" s="684"/>
      <c r="KJT71" s="684"/>
      <c r="KJU71" s="684"/>
      <c r="KJV71" s="684"/>
      <c r="KJW71" s="684"/>
      <c r="KJX71" s="684"/>
      <c r="KJY71" s="684"/>
      <c r="KJZ71" s="684"/>
      <c r="KKA71" s="684"/>
      <c r="KKB71" s="684"/>
      <c r="KKC71" s="684"/>
      <c r="KKD71" s="684"/>
      <c r="KKE71" s="684"/>
      <c r="KKF71" s="684"/>
      <c r="KKG71" s="684"/>
      <c r="KKH71" s="684"/>
      <c r="KKI71" s="684"/>
      <c r="KKJ71" s="684"/>
      <c r="KKK71" s="684"/>
      <c r="KKL71" s="684"/>
      <c r="KKM71" s="684"/>
      <c r="KKN71" s="684"/>
      <c r="KKO71" s="684"/>
      <c r="KKP71" s="684"/>
      <c r="KKQ71" s="684"/>
      <c r="KKR71" s="684"/>
      <c r="KKS71" s="684"/>
      <c r="KKT71" s="684"/>
      <c r="KKU71" s="684"/>
      <c r="KKV71" s="684"/>
      <c r="KKW71" s="684"/>
      <c r="KKX71" s="684"/>
      <c r="KKY71" s="684"/>
      <c r="KKZ71" s="684"/>
      <c r="KLA71" s="684"/>
      <c r="KLB71" s="684"/>
      <c r="KLC71" s="684"/>
      <c r="KLD71" s="684"/>
      <c r="KLE71" s="684"/>
      <c r="KLF71" s="684"/>
      <c r="KLG71" s="684"/>
      <c r="KLH71" s="684"/>
      <c r="KLI71" s="684"/>
      <c r="KLJ71" s="684"/>
      <c r="KLK71" s="684"/>
      <c r="KLL71" s="684"/>
      <c r="KLM71" s="684"/>
      <c r="KLN71" s="684"/>
      <c r="KLO71" s="684"/>
      <c r="KLP71" s="684"/>
      <c r="KLQ71" s="684"/>
      <c r="KLR71" s="684"/>
      <c r="KLS71" s="684"/>
      <c r="KLT71" s="684"/>
      <c r="KLU71" s="684"/>
      <c r="KLV71" s="684"/>
      <c r="KLW71" s="684"/>
      <c r="KLX71" s="684"/>
      <c r="KLY71" s="684"/>
      <c r="KLZ71" s="684"/>
      <c r="KMA71" s="684"/>
      <c r="KMB71" s="684"/>
      <c r="KMC71" s="684"/>
      <c r="KMD71" s="684"/>
      <c r="KME71" s="684"/>
      <c r="KMF71" s="684"/>
      <c r="KMG71" s="684"/>
      <c r="KMH71" s="684"/>
      <c r="KMI71" s="684"/>
      <c r="KMJ71" s="684"/>
      <c r="KMK71" s="684"/>
      <c r="KML71" s="684"/>
      <c r="KMM71" s="684"/>
      <c r="KMN71" s="684"/>
      <c r="KMO71" s="684"/>
      <c r="KMP71" s="684"/>
      <c r="KMQ71" s="684"/>
      <c r="KMR71" s="684"/>
      <c r="KMS71" s="684"/>
      <c r="KMT71" s="684"/>
      <c r="KMU71" s="684"/>
      <c r="KMV71" s="684"/>
      <c r="KMW71" s="684"/>
      <c r="KMX71" s="684"/>
      <c r="KMY71" s="684"/>
      <c r="KMZ71" s="684"/>
      <c r="KNA71" s="684"/>
      <c r="KNB71" s="684"/>
      <c r="KNC71" s="684"/>
      <c r="KND71" s="684"/>
      <c r="KNE71" s="684"/>
      <c r="KNF71" s="684"/>
      <c r="KNG71" s="684"/>
      <c r="KNH71" s="684"/>
      <c r="KNI71" s="684"/>
      <c r="KNJ71" s="684"/>
      <c r="KNK71" s="684"/>
      <c r="KNL71" s="684"/>
      <c r="KNM71" s="684"/>
      <c r="KNN71" s="684"/>
      <c r="KNO71" s="684"/>
      <c r="KNP71" s="684"/>
      <c r="KNQ71" s="684"/>
      <c r="KNR71" s="684"/>
      <c r="KNS71" s="684"/>
      <c r="KNT71" s="684"/>
      <c r="KNU71" s="684"/>
      <c r="KNV71" s="684"/>
      <c r="KNW71" s="684"/>
      <c r="KNX71" s="684"/>
      <c r="KNY71" s="684"/>
      <c r="KNZ71" s="684"/>
      <c r="KOA71" s="684"/>
      <c r="KOB71" s="684"/>
      <c r="KOC71" s="684"/>
      <c r="KOD71" s="684"/>
      <c r="KOE71" s="684"/>
      <c r="KOF71" s="684"/>
      <c r="KOG71" s="684"/>
      <c r="KOH71" s="684"/>
      <c r="KOI71" s="684"/>
      <c r="KOJ71" s="684"/>
      <c r="KOK71" s="684"/>
      <c r="KOL71" s="684"/>
      <c r="KOM71" s="684"/>
      <c r="KON71" s="684"/>
      <c r="KOO71" s="684"/>
      <c r="KOP71" s="684"/>
      <c r="KOQ71" s="684"/>
      <c r="KOR71" s="684"/>
      <c r="KOS71" s="684"/>
      <c r="KOT71" s="684"/>
      <c r="KOU71" s="684"/>
      <c r="KOV71" s="684"/>
      <c r="KOW71" s="684"/>
      <c r="KOX71" s="684"/>
      <c r="KOY71" s="684"/>
      <c r="KOZ71" s="684"/>
      <c r="KPA71" s="684"/>
      <c r="KPB71" s="684"/>
      <c r="KPC71" s="684"/>
      <c r="KPD71" s="684"/>
      <c r="KPE71" s="684"/>
      <c r="KPF71" s="684"/>
      <c r="KPG71" s="684"/>
      <c r="KPH71" s="684"/>
      <c r="KPI71" s="684"/>
      <c r="KPJ71" s="684"/>
      <c r="KPK71" s="684"/>
      <c r="KPL71" s="684"/>
      <c r="KPM71" s="684"/>
      <c r="KPN71" s="684"/>
      <c r="KPO71" s="684"/>
      <c r="KPP71" s="684"/>
      <c r="KPQ71" s="684"/>
      <c r="KPR71" s="684"/>
      <c r="KPS71" s="684"/>
      <c r="KPT71" s="684"/>
      <c r="KPU71" s="684"/>
      <c r="KPV71" s="684"/>
      <c r="KPW71" s="684"/>
      <c r="KPX71" s="684"/>
      <c r="KPY71" s="684"/>
      <c r="KPZ71" s="684"/>
      <c r="KQA71" s="684"/>
      <c r="KQB71" s="684"/>
      <c r="KQC71" s="684"/>
      <c r="KQD71" s="684"/>
      <c r="KQE71" s="684"/>
      <c r="KQF71" s="684"/>
      <c r="KQG71" s="684"/>
      <c r="KQH71" s="684"/>
      <c r="KQI71" s="684"/>
      <c r="KQJ71" s="684"/>
      <c r="KQK71" s="684"/>
      <c r="KQL71" s="684"/>
      <c r="KQM71" s="684"/>
      <c r="KQN71" s="684"/>
      <c r="KQO71" s="684"/>
      <c r="KQP71" s="684"/>
      <c r="KQQ71" s="684"/>
      <c r="KQR71" s="684"/>
      <c r="KQS71" s="684"/>
      <c r="KQT71" s="684"/>
      <c r="KQU71" s="684"/>
      <c r="KQV71" s="684"/>
      <c r="KQW71" s="684"/>
      <c r="KQX71" s="684"/>
      <c r="KQY71" s="684"/>
      <c r="KQZ71" s="684"/>
      <c r="KRA71" s="684"/>
      <c r="KRB71" s="684"/>
      <c r="KRC71" s="684"/>
      <c r="KRD71" s="684"/>
      <c r="KRE71" s="684"/>
      <c r="KRF71" s="684"/>
      <c r="KRG71" s="684"/>
      <c r="KRH71" s="684"/>
      <c r="KRI71" s="684"/>
      <c r="KRJ71" s="684"/>
      <c r="KRK71" s="684"/>
      <c r="KRL71" s="684"/>
      <c r="KRM71" s="684"/>
      <c r="KRN71" s="684"/>
      <c r="KRO71" s="684"/>
      <c r="KRP71" s="684"/>
      <c r="KRQ71" s="684"/>
      <c r="KRR71" s="684"/>
      <c r="KRS71" s="684"/>
      <c r="KRT71" s="684"/>
      <c r="KRU71" s="684"/>
      <c r="KRV71" s="684"/>
      <c r="KRW71" s="684"/>
      <c r="KRX71" s="684"/>
      <c r="KRY71" s="684"/>
      <c r="KRZ71" s="684"/>
      <c r="KSA71" s="684"/>
      <c r="KSB71" s="684"/>
      <c r="KSC71" s="684"/>
      <c r="KSD71" s="684"/>
      <c r="KSE71" s="684"/>
      <c r="KSF71" s="684"/>
      <c r="KSG71" s="684"/>
      <c r="KSH71" s="684"/>
      <c r="KSI71" s="684"/>
      <c r="KSJ71" s="684"/>
      <c r="KSK71" s="684"/>
      <c r="KSL71" s="684"/>
      <c r="KSM71" s="684"/>
      <c r="KSN71" s="684"/>
      <c r="KSO71" s="684"/>
      <c r="KSP71" s="684"/>
      <c r="KSQ71" s="684"/>
      <c r="KSR71" s="684"/>
      <c r="KSS71" s="684"/>
      <c r="KST71" s="684"/>
      <c r="KSU71" s="684"/>
      <c r="KSV71" s="684"/>
      <c r="KSW71" s="684"/>
      <c r="KSX71" s="684"/>
      <c r="KSY71" s="684"/>
      <c r="KSZ71" s="684"/>
      <c r="KTA71" s="684"/>
      <c r="KTB71" s="684"/>
      <c r="KTC71" s="684"/>
      <c r="KTD71" s="684"/>
      <c r="KTE71" s="684"/>
      <c r="KTF71" s="684"/>
      <c r="KTG71" s="684"/>
      <c r="KTH71" s="684"/>
      <c r="KTI71" s="684"/>
      <c r="KTJ71" s="684"/>
      <c r="KTK71" s="684"/>
      <c r="KTL71" s="684"/>
      <c r="KTM71" s="684"/>
      <c r="KTN71" s="684"/>
      <c r="KTO71" s="684"/>
      <c r="KTP71" s="684"/>
      <c r="KTQ71" s="684"/>
      <c r="KTR71" s="684"/>
      <c r="KTS71" s="684"/>
      <c r="KTT71" s="684"/>
      <c r="KTU71" s="684"/>
      <c r="KTV71" s="684"/>
      <c r="KTW71" s="684"/>
      <c r="KTX71" s="684"/>
      <c r="KTY71" s="684"/>
      <c r="KTZ71" s="684"/>
      <c r="KUA71" s="684"/>
      <c r="KUB71" s="684"/>
      <c r="KUC71" s="684"/>
      <c r="KUD71" s="684"/>
      <c r="KUE71" s="684"/>
      <c r="KUF71" s="684"/>
      <c r="KUG71" s="684"/>
      <c r="KUH71" s="684"/>
      <c r="KUI71" s="684"/>
      <c r="KUJ71" s="684"/>
      <c r="KUK71" s="684"/>
      <c r="KUL71" s="684"/>
      <c r="KUM71" s="684"/>
      <c r="KUN71" s="684"/>
      <c r="KUO71" s="684"/>
      <c r="KUP71" s="684"/>
      <c r="KUQ71" s="684"/>
      <c r="KUR71" s="684"/>
      <c r="KUS71" s="684"/>
      <c r="KUT71" s="684"/>
      <c r="KUU71" s="684"/>
      <c r="KUV71" s="684"/>
      <c r="KUW71" s="684"/>
      <c r="KUX71" s="684"/>
      <c r="KUY71" s="684"/>
      <c r="KUZ71" s="684"/>
      <c r="KVA71" s="684"/>
      <c r="KVB71" s="684"/>
      <c r="KVC71" s="684"/>
      <c r="KVD71" s="684"/>
      <c r="KVE71" s="684"/>
      <c r="KVF71" s="684"/>
      <c r="KVG71" s="684"/>
      <c r="KVH71" s="684"/>
      <c r="KVI71" s="684"/>
      <c r="KVJ71" s="684"/>
      <c r="KVK71" s="684"/>
      <c r="KVL71" s="684"/>
      <c r="KVM71" s="684"/>
      <c r="KVN71" s="684"/>
      <c r="KVO71" s="684"/>
      <c r="KVP71" s="684"/>
      <c r="KVQ71" s="684"/>
      <c r="KVR71" s="684"/>
      <c r="KVS71" s="684"/>
      <c r="KVT71" s="684"/>
      <c r="KVU71" s="684"/>
      <c r="KVV71" s="684"/>
      <c r="KVW71" s="684"/>
      <c r="KVX71" s="684"/>
      <c r="KVY71" s="684"/>
      <c r="KVZ71" s="684"/>
      <c r="KWA71" s="684"/>
      <c r="KWB71" s="684"/>
      <c r="KWC71" s="684"/>
      <c r="KWD71" s="684"/>
      <c r="KWE71" s="684"/>
      <c r="KWF71" s="684"/>
      <c r="KWG71" s="684"/>
      <c r="KWH71" s="684"/>
      <c r="KWI71" s="684"/>
      <c r="KWJ71" s="684"/>
      <c r="KWK71" s="684"/>
      <c r="KWL71" s="684"/>
      <c r="KWM71" s="684"/>
      <c r="KWN71" s="684"/>
      <c r="KWO71" s="684"/>
      <c r="KWP71" s="684"/>
      <c r="KWQ71" s="684"/>
      <c r="KWR71" s="684"/>
      <c r="KWS71" s="684"/>
      <c r="KWT71" s="684"/>
      <c r="KWU71" s="684"/>
      <c r="KWV71" s="684"/>
      <c r="KWW71" s="684"/>
      <c r="KWX71" s="684"/>
      <c r="KWY71" s="684"/>
      <c r="KWZ71" s="684"/>
      <c r="KXA71" s="684"/>
      <c r="KXB71" s="684"/>
      <c r="KXC71" s="684"/>
      <c r="KXD71" s="684"/>
      <c r="KXE71" s="684"/>
      <c r="KXF71" s="684"/>
      <c r="KXG71" s="684"/>
      <c r="KXH71" s="684"/>
      <c r="KXI71" s="684"/>
      <c r="KXJ71" s="684"/>
      <c r="KXK71" s="684"/>
      <c r="KXL71" s="684"/>
      <c r="KXM71" s="684"/>
      <c r="KXN71" s="684"/>
      <c r="KXO71" s="684"/>
      <c r="KXP71" s="684"/>
      <c r="KXQ71" s="684"/>
      <c r="KXR71" s="684"/>
      <c r="KXS71" s="684"/>
      <c r="KXT71" s="684"/>
      <c r="KXU71" s="684"/>
      <c r="KXV71" s="684"/>
      <c r="KXW71" s="684"/>
      <c r="KXX71" s="684"/>
      <c r="KXY71" s="684"/>
      <c r="KXZ71" s="684"/>
      <c r="KYA71" s="684"/>
      <c r="KYB71" s="684"/>
      <c r="KYC71" s="684"/>
      <c r="KYD71" s="684"/>
      <c r="KYE71" s="684"/>
      <c r="KYF71" s="684"/>
      <c r="KYG71" s="684"/>
      <c r="KYH71" s="684"/>
      <c r="KYI71" s="684"/>
      <c r="KYJ71" s="684"/>
      <c r="KYK71" s="684"/>
      <c r="KYL71" s="684"/>
      <c r="KYM71" s="684"/>
      <c r="KYN71" s="684"/>
      <c r="KYO71" s="684"/>
      <c r="KYP71" s="684"/>
      <c r="KYQ71" s="684"/>
      <c r="KYR71" s="684"/>
      <c r="KYS71" s="684"/>
      <c r="KYT71" s="684"/>
      <c r="KYU71" s="684"/>
      <c r="KYV71" s="684"/>
      <c r="KYW71" s="684"/>
      <c r="KYX71" s="684"/>
      <c r="KYY71" s="684"/>
      <c r="KYZ71" s="684"/>
      <c r="KZA71" s="684"/>
      <c r="KZB71" s="684"/>
      <c r="KZC71" s="684"/>
      <c r="KZD71" s="684"/>
      <c r="KZE71" s="684"/>
      <c r="KZF71" s="684"/>
      <c r="KZG71" s="684"/>
      <c r="KZH71" s="684"/>
      <c r="KZI71" s="684"/>
      <c r="KZJ71" s="684"/>
      <c r="KZK71" s="684"/>
      <c r="KZL71" s="684"/>
      <c r="KZM71" s="684"/>
      <c r="KZN71" s="684"/>
      <c r="KZO71" s="684"/>
      <c r="KZP71" s="684"/>
      <c r="KZQ71" s="684"/>
      <c r="KZR71" s="684"/>
      <c r="KZS71" s="684"/>
      <c r="KZT71" s="684"/>
      <c r="KZU71" s="684"/>
      <c r="KZV71" s="684"/>
      <c r="KZW71" s="684"/>
      <c r="KZX71" s="684"/>
      <c r="KZY71" s="684"/>
      <c r="KZZ71" s="684"/>
      <c r="LAA71" s="684"/>
      <c r="LAB71" s="684"/>
      <c r="LAC71" s="684"/>
      <c r="LAD71" s="684"/>
      <c r="LAE71" s="684"/>
      <c r="LAF71" s="684"/>
      <c r="LAG71" s="684"/>
      <c r="LAH71" s="684"/>
      <c r="LAI71" s="684"/>
      <c r="LAJ71" s="684"/>
      <c r="LAK71" s="684"/>
      <c r="LAL71" s="684"/>
      <c r="LAM71" s="684"/>
      <c r="LAN71" s="684"/>
      <c r="LAO71" s="684"/>
      <c r="LAP71" s="684"/>
      <c r="LAQ71" s="684"/>
      <c r="LAR71" s="684"/>
      <c r="LAS71" s="684"/>
      <c r="LAT71" s="684"/>
      <c r="LAU71" s="684"/>
      <c r="LAV71" s="684"/>
      <c r="LAW71" s="684"/>
      <c r="LAX71" s="684"/>
      <c r="LAY71" s="684"/>
      <c r="LAZ71" s="684"/>
      <c r="LBA71" s="684"/>
      <c r="LBB71" s="684"/>
      <c r="LBC71" s="684"/>
      <c r="LBD71" s="684"/>
      <c r="LBE71" s="684"/>
      <c r="LBF71" s="684"/>
      <c r="LBG71" s="684"/>
      <c r="LBH71" s="684"/>
      <c r="LBI71" s="684"/>
      <c r="LBJ71" s="684"/>
      <c r="LBK71" s="684"/>
      <c r="LBL71" s="684"/>
      <c r="LBM71" s="684"/>
      <c r="LBN71" s="684"/>
      <c r="LBO71" s="684"/>
      <c r="LBP71" s="684"/>
      <c r="LBQ71" s="684"/>
      <c r="LBR71" s="684"/>
      <c r="LBS71" s="684"/>
      <c r="LBT71" s="684"/>
      <c r="LBU71" s="684"/>
      <c r="LBV71" s="684"/>
      <c r="LBW71" s="684"/>
      <c r="LBX71" s="684"/>
      <c r="LBY71" s="684"/>
      <c r="LBZ71" s="684"/>
      <c r="LCA71" s="684"/>
      <c r="LCB71" s="684"/>
      <c r="LCC71" s="684"/>
      <c r="LCD71" s="684"/>
      <c r="LCE71" s="684"/>
      <c r="LCF71" s="684"/>
      <c r="LCG71" s="684"/>
      <c r="LCH71" s="684"/>
      <c r="LCI71" s="684"/>
      <c r="LCJ71" s="684"/>
      <c r="LCK71" s="684"/>
      <c r="LCL71" s="684"/>
      <c r="LCM71" s="684"/>
      <c r="LCN71" s="684"/>
      <c r="LCO71" s="684"/>
      <c r="LCP71" s="684"/>
      <c r="LCQ71" s="684"/>
      <c r="LCR71" s="684"/>
      <c r="LCS71" s="684"/>
      <c r="LCT71" s="684"/>
      <c r="LCU71" s="684"/>
      <c r="LCV71" s="684"/>
      <c r="LCW71" s="684"/>
      <c r="LCX71" s="684"/>
      <c r="LCY71" s="684"/>
      <c r="LCZ71" s="684"/>
      <c r="LDA71" s="684"/>
      <c r="LDB71" s="684"/>
      <c r="LDC71" s="684"/>
      <c r="LDD71" s="684"/>
      <c r="LDE71" s="684"/>
      <c r="LDF71" s="684"/>
      <c r="LDG71" s="684"/>
      <c r="LDH71" s="684"/>
      <c r="LDI71" s="684"/>
      <c r="LDJ71" s="684"/>
      <c r="LDK71" s="684"/>
      <c r="LDL71" s="684"/>
      <c r="LDM71" s="684"/>
      <c r="LDN71" s="684"/>
      <c r="LDO71" s="684"/>
      <c r="LDP71" s="684"/>
      <c r="LDQ71" s="684"/>
      <c r="LDR71" s="684"/>
      <c r="LDS71" s="684"/>
      <c r="LDT71" s="684"/>
      <c r="LDU71" s="684"/>
      <c r="LDV71" s="684"/>
      <c r="LDW71" s="684"/>
      <c r="LDX71" s="684"/>
      <c r="LDY71" s="684"/>
      <c r="LDZ71" s="684"/>
      <c r="LEA71" s="684"/>
      <c r="LEB71" s="684"/>
      <c r="LEC71" s="684"/>
      <c r="LED71" s="684"/>
      <c r="LEE71" s="684"/>
      <c r="LEF71" s="684"/>
      <c r="LEG71" s="684"/>
      <c r="LEH71" s="684"/>
      <c r="LEI71" s="684"/>
      <c r="LEJ71" s="684"/>
      <c r="LEK71" s="684"/>
      <c r="LEL71" s="684"/>
      <c r="LEM71" s="684"/>
      <c r="LEN71" s="684"/>
      <c r="LEO71" s="684"/>
      <c r="LEP71" s="684"/>
      <c r="LEQ71" s="684"/>
      <c r="LER71" s="684"/>
      <c r="LES71" s="684"/>
      <c r="LET71" s="684"/>
      <c r="LEU71" s="684"/>
      <c r="LEV71" s="684"/>
      <c r="LEW71" s="684"/>
      <c r="LEX71" s="684"/>
      <c r="LEY71" s="684"/>
      <c r="LEZ71" s="684"/>
      <c r="LFA71" s="684"/>
      <c r="LFB71" s="684"/>
      <c r="LFC71" s="684"/>
      <c r="LFD71" s="684"/>
      <c r="LFE71" s="684"/>
      <c r="LFF71" s="684"/>
      <c r="LFG71" s="684"/>
      <c r="LFH71" s="684"/>
      <c r="LFI71" s="684"/>
      <c r="LFJ71" s="684"/>
      <c r="LFK71" s="684"/>
      <c r="LFL71" s="684"/>
      <c r="LFM71" s="684"/>
      <c r="LFN71" s="684"/>
      <c r="LFO71" s="684"/>
      <c r="LFP71" s="684"/>
      <c r="LFQ71" s="684"/>
      <c r="LFR71" s="684"/>
      <c r="LFS71" s="684"/>
      <c r="LFT71" s="684"/>
      <c r="LFU71" s="684"/>
      <c r="LFV71" s="684"/>
      <c r="LFW71" s="684"/>
      <c r="LFX71" s="684"/>
      <c r="LFY71" s="684"/>
      <c r="LFZ71" s="684"/>
      <c r="LGA71" s="684"/>
      <c r="LGB71" s="684"/>
      <c r="LGC71" s="684"/>
      <c r="LGD71" s="684"/>
      <c r="LGE71" s="684"/>
      <c r="LGF71" s="684"/>
      <c r="LGG71" s="684"/>
      <c r="LGH71" s="684"/>
      <c r="LGI71" s="684"/>
      <c r="LGJ71" s="684"/>
      <c r="LGK71" s="684"/>
      <c r="LGL71" s="684"/>
      <c r="LGM71" s="684"/>
      <c r="LGN71" s="684"/>
      <c r="LGO71" s="684"/>
      <c r="LGP71" s="684"/>
      <c r="LGQ71" s="684"/>
      <c r="LGR71" s="684"/>
      <c r="LGS71" s="684"/>
      <c r="LGT71" s="684"/>
      <c r="LGU71" s="684"/>
      <c r="LGV71" s="684"/>
      <c r="LGW71" s="684"/>
      <c r="LGX71" s="684"/>
      <c r="LGY71" s="684"/>
      <c r="LGZ71" s="684"/>
      <c r="LHA71" s="684"/>
      <c r="LHB71" s="684"/>
      <c r="LHC71" s="684"/>
      <c r="LHD71" s="684"/>
      <c r="LHE71" s="684"/>
      <c r="LHF71" s="684"/>
      <c r="LHG71" s="684"/>
      <c r="LHH71" s="684"/>
      <c r="LHI71" s="684"/>
      <c r="LHJ71" s="684"/>
      <c r="LHK71" s="684"/>
      <c r="LHL71" s="684"/>
      <c r="LHM71" s="684"/>
      <c r="LHN71" s="684"/>
      <c r="LHO71" s="684"/>
      <c r="LHP71" s="684"/>
      <c r="LHQ71" s="684"/>
      <c r="LHR71" s="684"/>
      <c r="LHS71" s="684"/>
      <c r="LHT71" s="684"/>
      <c r="LHU71" s="684"/>
      <c r="LHV71" s="684"/>
      <c r="LHW71" s="684"/>
      <c r="LHX71" s="684"/>
      <c r="LHY71" s="684"/>
      <c r="LHZ71" s="684"/>
      <c r="LIA71" s="684"/>
      <c r="LIB71" s="684"/>
      <c r="LIC71" s="684"/>
      <c r="LID71" s="684"/>
      <c r="LIE71" s="684"/>
      <c r="LIF71" s="684"/>
      <c r="LIG71" s="684"/>
      <c r="LIH71" s="684"/>
      <c r="LII71" s="684"/>
      <c r="LIJ71" s="684"/>
      <c r="LIK71" s="684"/>
      <c r="LIL71" s="684"/>
      <c r="LIM71" s="684"/>
      <c r="LIN71" s="684"/>
      <c r="LIO71" s="684"/>
      <c r="LIP71" s="684"/>
      <c r="LIQ71" s="684"/>
      <c r="LIR71" s="684"/>
      <c r="LIS71" s="684"/>
      <c r="LIT71" s="684"/>
      <c r="LIU71" s="684"/>
      <c r="LIV71" s="684"/>
      <c r="LIW71" s="684"/>
      <c r="LIX71" s="684"/>
      <c r="LIY71" s="684"/>
      <c r="LIZ71" s="684"/>
      <c r="LJA71" s="684"/>
      <c r="LJB71" s="684"/>
      <c r="LJC71" s="684"/>
      <c r="LJD71" s="684"/>
      <c r="LJE71" s="684"/>
      <c r="LJF71" s="684"/>
      <c r="LJG71" s="684"/>
      <c r="LJH71" s="684"/>
      <c r="LJI71" s="684"/>
      <c r="LJJ71" s="684"/>
      <c r="LJK71" s="684"/>
      <c r="LJL71" s="684"/>
      <c r="LJM71" s="684"/>
      <c r="LJN71" s="684"/>
      <c r="LJO71" s="684"/>
      <c r="LJP71" s="684"/>
      <c r="LJQ71" s="684"/>
      <c r="LJR71" s="684"/>
      <c r="LJS71" s="684"/>
      <c r="LJT71" s="684"/>
      <c r="LJU71" s="684"/>
      <c r="LJV71" s="684"/>
      <c r="LJW71" s="684"/>
      <c r="LJX71" s="684"/>
      <c r="LJY71" s="684"/>
      <c r="LJZ71" s="684"/>
      <c r="LKA71" s="684"/>
      <c r="LKB71" s="684"/>
      <c r="LKC71" s="684"/>
      <c r="LKD71" s="684"/>
      <c r="LKE71" s="684"/>
      <c r="LKF71" s="684"/>
      <c r="LKG71" s="684"/>
      <c r="LKH71" s="684"/>
      <c r="LKI71" s="684"/>
      <c r="LKJ71" s="684"/>
      <c r="LKK71" s="684"/>
      <c r="LKL71" s="684"/>
      <c r="LKM71" s="684"/>
      <c r="LKN71" s="684"/>
      <c r="LKO71" s="684"/>
      <c r="LKP71" s="684"/>
      <c r="LKQ71" s="684"/>
      <c r="LKR71" s="684"/>
      <c r="LKS71" s="684"/>
      <c r="LKT71" s="684"/>
      <c r="LKU71" s="684"/>
      <c r="LKV71" s="684"/>
      <c r="LKW71" s="684"/>
      <c r="LKX71" s="684"/>
      <c r="LKY71" s="684"/>
      <c r="LKZ71" s="684"/>
      <c r="LLA71" s="684"/>
      <c r="LLB71" s="684"/>
      <c r="LLC71" s="684"/>
      <c r="LLD71" s="684"/>
      <c r="LLE71" s="684"/>
      <c r="LLF71" s="684"/>
      <c r="LLG71" s="684"/>
      <c r="LLH71" s="684"/>
      <c r="LLI71" s="684"/>
      <c r="LLJ71" s="684"/>
      <c r="LLK71" s="684"/>
      <c r="LLL71" s="684"/>
      <c r="LLM71" s="684"/>
      <c r="LLN71" s="684"/>
      <c r="LLO71" s="684"/>
      <c r="LLP71" s="684"/>
      <c r="LLQ71" s="684"/>
      <c r="LLR71" s="684"/>
      <c r="LLS71" s="684"/>
      <c r="LLT71" s="684"/>
      <c r="LLU71" s="684"/>
      <c r="LLV71" s="684"/>
      <c r="LLW71" s="684"/>
      <c r="LLX71" s="684"/>
      <c r="LLY71" s="684"/>
      <c r="LLZ71" s="684"/>
      <c r="LMA71" s="684"/>
      <c r="LMB71" s="684"/>
      <c r="LMC71" s="684"/>
      <c r="LMD71" s="684"/>
      <c r="LME71" s="684"/>
      <c r="LMF71" s="684"/>
      <c r="LMG71" s="684"/>
      <c r="LMH71" s="684"/>
      <c r="LMI71" s="684"/>
      <c r="LMJ71" s="684"/>
      <c r="LMK71" s="684"/>
      <c r="LML71" s="684"/>
      <c r="LMM71" s="684"/>
      <c r="LMN71" s="684"/>
      <c r="LMO71" s="684"/>
      <c r="LMP71" s="684"/>
      <c r="LMQ71" s="684"/>
      <c r="LMR71" s="684"/>
      <c r="LMS71" s="684"/>
      <c r="LMT71" s="684"/>
      <c r="LMU71" s="684"/>
      <c r="LMV71" s="684"/>
      <c r="LMW71" s="684"/>
      <c r="LMX71" s="684"/>
      <c r="LMY71" s="684"/>
      <c r="LMZ71" s="684"/>
      <c r="LNA71" s="684"/>
      <c r="LNB71" s="684"/>
      <c r="LNC71" s="684"/>
      <c r="LND71" s="684"/>
      <c r="LNE71" s="684"/>
      <c r="LNF71" s="684"/>
      <c r="LNG71" s="684"/>
      <c r="LNH71" s="684"/>
      <c r="LNI71" s="684"/>
      <c r="LNJ71" s="684"/>
      <c r="LNK71" s="684"/>
      <c r="LNL71" s="684"/>
      <c r="LNM71" s="684"/>
      <c r="LNN71" s="684"/>
      <c r="LNO71" s="684"/>
      <c r="LNP71" s="684"/>
      <c r="LNQ71" s="684"/>
      <c r="LNR71" s="684"/>
      <c r="LNS71" s="684"/>
      <c r="LNT71" s="684"/>
      <c r="LNU71" s="684"/>
      <c r="LNV71" s="684"/>
      <c r="LNW71" s="684"/>
      <c r="LNX71" s="684"/>
      <c r="LNY71" s="684"/>
      <c r="LNZ71" s="684"/>
      <c r="LOA71" s="684"/>
      <c r="LOB71" s="684"/>
      <c r="LOC71" s="684"/>
      <c r="LOD71" s="684"/>
      <c r="LOE71" s="684"/>
      <c r="LOF71" s="684"/>
      <c r="LOG71" s="684"/>
      <c r="LOH71" s="684"/>
      <c r="LOI71" s="684"/>
      <c r="LOJ71" s="684"/>
      <c r="LOK71" s="684"/>
      <c r="LOL71" s="684"/>
      <c r="LOM71" s="684"/>
      <c r="LON71" s="684"/>
      <c r="LOO71" s="684"/>
      <c r="LOP71" s="684"/>
      <c r="LOQ71" s="684"/>
      <c r="LOR71" s="684"/>
      <c r="LOS71" s="684"/>
      <c r="LOT71" s="684"/>
      <c r="LOU71" s="684"/>
      <c r="LOV71" s="684"/>
      <c r="LOW71" s="684"/>
      <c r="LOX71" s="684"/>
      <c r="LOY71" s="684"/>
      <c r="LOZ71" s="684"/>
      <c r="LPA71" s="684"/>
      <c r="LPB71" s="684"/>
      <c r="LPC71" s="684"/>
      <c r="LPD71" s="684"/>
      <c r="LPE71" s="684"/>
      <c r="LPF71" s="684"/>
      <c r="LPG71" s="684"/>
      <c r="LPH71" s="684"/>
      <c r="LPI71" s="684"/>
      <c r="LPJ71" s="684"/>
      <c r="LPK71" s="684"/>
      <c r="LPL71" s="684"/>
      <c r="LPM71" s="684"/>
      <c r="LPN71" s="684"/>
      <c r="LPO71" s="684"/>
      <c r="LPP71" s="684"/>
      <c r="LPQ71" s="684"/>
      <c r="LPR71" s="684"/>
      <c r="LPS71" s="684"/>
      <c r="LPT71" s="684"/>
      <c r="LPU71" s="684"/>
      <c r="LPV71" s="684"/>
      <c r="LPW71" s="684"/>
      <c r="LPX71" s="684"/>
      <c r="LPY71" s="684"/>
      <c r="LPZ71" s="684"/>
      <c r="LQA71" s="684"/>
      <c r="LQB71" s="684"/>
      <c r="LQC71" s="684"/>
      <c r="LQD71" s="684"/>
      <c r="LQE71" s="684"/>
      <c r="LQF71" s="684"/>
      <c r="LQG71" s="684"/>
      <c r="LQH71" s="684"/>
      <c r="LQI71" s="684"/>
      <c r="LQJ71" s="684"/>
      <c r="LQK71" s="684"/>
      <c r="LQL71" s="684"/>
      <c r="LQM71" s="684"/>
      <c r="LQN71" s="684"/>
      <c r="LQO71" s="684"/>
      <c r="LQP71" s="684"/>
      <c r="LQQ71" s="684"/>
      <c r="LQR71" s="684"/>
      <c r="LQS71" s="684"/>
      <c r="LQT71" s="684"/>
      <c r="LQU71" s="684"/>
      <c r="LQV71" s="684"/>
      <c r="LQW71" s="684"/>
      <c r="LQX71" s="684"/>
      <c r="LQY71" s="684"/>
      <c r="LQZ71" s="684"/>
      <c r="LRA71" s="684"/>
      <c r="LRB71" s="684"/>
      <c r="LRC71" s="684"/>
      <c r="LRD71" s="684"/>
      <c r="LRE71" s="684"/>
      <c r="LRF71" s="684"/>
      <c r="LRG71" s="684"/>
      <c r="LRH71" s="684"/>
      <c r="LRI71" s="684"/>
      <c r="LRJ71" s="684"/>
      <c r="LRK71" s="684"/>
      <c r="LRL71" s="684"/>
      <c r="LRM71" s="684"/>
      <c r="LRN71" s="684"/>
      <c r="LRO71" s="684"/>
      <c r="LRP71" s="684"/>
      <c r="LRQ71" s="684"/>
      <c r="LRR71" s="684"/>
      <c r="LRS71" s="684"/>
      <c r="LRT71" s="684"/>
      <c r="LRU71" s="684"/>
      <c r="LRV71" s="684"/>
      <c r="LRW71" s="684"/>
      <c r="LRX71" s="684"/>
      <c r="LRY71" s="684"/>
      <c r="LRZ71" s="684"/>
      <c r="LSA71" s="684"/>
      <c r="LSB71" s="684"/>
      <c r="LSC71" s="684"/>
      <c r="LSD71" s="684"/>
      <c r="LSE71" s="684"/>
      <c r="LSF71" s="684"/>
      <c r="LSG71" s="684"/>
      <c r="LSH71" s="684"/>
      <c r="LSI71" s="684"/>
      <c r="LSJ71" s="684"/>
      <c r="LSK71" s="684"/>
      <c r="LSL71" s="684"/>
      <c r="LSM71" s="684"/>
      <c r="LSN71" s="684"/>
      <c r="LSO71" s="684"/>
      <c r="LSP71" s="684"/>
      <c r="LSQ71" s="684"/>
      <c r="LSR71" s="684"/>
      <c r="LSS71" s="684"/>
      <c r="LST71" s="684"/>
      <c r="LSU71" s="684"/>
      <c r="LSV71" s="684"/>
      <c r="LSW71" s="684"/>
      <c r="LSX71" s="684"/>
      <c r="LSY71" s="684"/>
      <c r="LSZ71" s="684"/>
      <c r="LTA71" s="684"/>
      <c r="LTB71" s="684"/>
      <c r="LTC71" s="684"/>
      <c r="LTD71" s="684"/>
      <c r="LTE71" s="684"/>
      <c r="LTF71" s="684"/>
      <c r="LTG71" s="684"/>
      <c r="LTH71" s="684"/>
      <c r="LTI71" s="684"/>
      <c r="LTJ71" s="684"/>
      <c r="LTK71" s="684"/>
      <c r="LTL71" s="684"/>
      <c r="LTM71" s="684"/>
      <c r="LTN71" s="684"/>
      <c r="LTO71" s="684"/>
      <c r="LTP71" s="684"/>
      <c r="LTQ71" s="684"/>
      <c r="LTR71" s="684"/>
      <c r="LTS71" s="684"/>
      <c r="LTT71" s="684"/>
      <c r="LTU71" s="684"/>
      <c r="LTV71" s="684"/>
      <c r="LTW71" s="684"/>
      <c r="LTX71" s="684"/>
      <c r="LTY71" s="684"/>
      <c r="LTZ71" s="684"/>
      <c r="LUA71" s="684"/>
      <c r="LUB71" s="684"/>
      <c r="LUC71" s="684"/>
      <c r="LUD71" s="684"/>
      <c r="LUE71" s="684"/>
      <c r="LUF71" s="684"/>
      <c r="LUG71" s="684"/>
      <c r="LUH71" s="684"/>
      <c r="LUI71" s="684"/>
      <c r="LUJ71" s="684"/>
      <c r="LUK71" s="684"/>
      <c r="LUL71" s="684"/>
      <c r="LUM71" s="684"/>
      <c r="LUN71" s="684"/>
      <c r="LUO71" s="684"/>
      <c r="LUP71" s="684"/>
      <c r="LUQ71" s="684"/>
      <c r="LUR71" s="684"/>
      <c r="LUS71" s="684"/>
      <c r="LUT71" s="684"/>
      <c r="LUU71" s="684"/>
      <c r="LUV71" s="684"/>
      <c r="LUW71" s="684"/>
      <c r="LUX71" s="684"/>
      <c r="LUY71" s="684"/>
      <c r="LUZ71" s="684"/>
      <c r="LVA71" s="684"/>
      <c r="LVB71" s="684"/>
      <c r="LVC71" s="684"/>
      <c r="LVD71" s="684"/>
      <c r="LVE71" s="684"/>
      <c r="LVF71" s="684"/>
      <c r="LVG71" s="684"/>
      <c r="LVH71" s="684"/>
      <c r="LVI71" s="684"/>
      <c r="LVJ71" s="684"/>
      <c r="LVK71" s="684"/>
      <c r="LVL71" s="684"/>
      <c r="LVM71" s="684"/>
      <c r="LVN71" s="684"/>
      <c r="LVO71" s="684"/>
      <c r="LVP71" s="684"/>
      <c r="LVQ71" s="684"/>
      <c r="LVR71" s="684"/>
      <c r="LVS71" s="684"/>
      <c r="LVT71" s="684"/>
      <c r="LVU71" s="684"/>
      <c r="LVV71" s="684"/>
      <c r="LVW71" s="684"/>
      <c r="LVX71" s="684"/>
      <c r="LVY71" s="684"/>
      <c r="LVZ71" s="684"/>
      <c r="LWA71" s="684"/>
      <c r="LWB71" s="684"/>
      <c r="LWC71" s="684"/>
      <c r="LWD71" s="684"/>
      <c r="LWE71" s="684"/>
      <c r="LWF71" s="684"/>
      <c r="LWG71" s="684"/>
      <c r="LWH71" s="684"/>
      <c r="LWI71" s="684"/>
      <c r="LWJ71" s="684"/>
      <c r="LWK71" s="684"/>
      <c r="LWL71" s="684"/>
      <c r="LWM71" s="684"/>
      <c r="LWN71" s="684"/>
      <c r="LWO71" s="684"/>
      <c r="LWP71" s="684"/>
      <c r="LWQ71" s="684"/>
      <c r="LWR71" s="684"/>
      <c r="LWS71" s="684"/>
      <c r="LWT71" s="684"/>
      <c r="LWU71" s="684"/>
      <c r="LWV71" s="684"/>
      <c r="LWW71" s="684"/>
      <c r="LWX71" s="684"/>
      <c r="LWY71" s="684"/>
      <c r="LWZ71" s="684"/>
      <c r="LXA71" s="684"/>
      <c r="LXB71" s="684"/>
      <c r="LXC71" s="684"/>
      <c r="LXD71" s="684"/>
      <c r="LXE71" s="684"/>
      <c r="LXF71" s="684"/>
      <c r="LXG71" s="684"/>
      <c r="LXH71" s="684"/>
      <c r="LXI71" s="684"/>
      <c r="LXJ71" s="684"/>
      <c r="LXK71" s="684"/>
      <c r="LXL71" s="684"/>
      <c r="LXM71" s="684"/>
      <c r="LXN71" s="684"/>
      <c r="LXO71" s="684"/>
      <c r="LXP71" s="684"/>
      <c r="LXQ71" s="684"/>
      <c r="LXR71" s="684"/>
      <c r="LXS71" s="684"/>
      <c r="LXT71" s="684"/>
      <c r="LXU71" s="684"/>
      <c r="LXV71" s="684"/>
      <c r="LXW71" s="684"/>
      <c r="LXX71" s="684"/>
      <c r="LXY71" s="684"/>
      <c r="LXZ71" s="684"/>
      <c r="LYA71" s="684"/>
      <c r="LYB71" s="684"/>
      <c r="LYC71" s="684"/>
      <c r="LYD71" s="684"/>
      <c r="LYE71" s="684"/>
      <c r="LYF71" s="684"/>
      <c r="LYG71" s="684"/>
      <c r="LYH71" s="684"/>
      <c r="LYI71" s="684"/>
      <c r="LYJ71" s="684"/>
      <c r="LYK71" s="684"/>
      <c r="LYL71" s="684"/>
      <c r="LYM71" s="684"/>
      <c r="LYN71" s="684"/>
      <c r="LYO71" s="684"/>
      <c r="LYP71" s="684"/>
      <c r="LYQ71" s="684"/>
      <c r="LYR71" s="684"/>
      <c r="LYS71" s="684"/>
      <c r="LYT71" s="684"/>
      <c r="LYU71" s="684"/>
      <c r="LYV71" s="684"/>
      <c r="LYW71" s="684"/>
      <c r="LYX71" s="684"/>
      <c r="LYY71" s="684"/>
      <c r="LYZ71" s="684"/>
      <c r="LZA71" s="684"/>
      <c r="LZB71" s="684"/>
      <c r="LZC71" s="684"/>
      <c r="LZD71" s="684"/>
      <c r="LZE71" s="684"/>
      <c r="LZF71" s="684"/>
      <c r="LZG71" s="684"/>
      <c r="LZH71" s="684"/>
      <c r="LZI71" s="684"/>
      <c r="LZJ71" s="684"/>
      <c r="LZK71" s="684"/>
      <c r="LZL71" s="684"/>
      <c r="LZM71" s="684"/>
      <c r="LZN71" s="684"/>
      <c r="LZO71" s="684"/>
      <c r="LZP71" s="684"/>
      <c r="LZQ71" s="684"/>
      <c r="LZR71" s="684"/>
      <c r="LZS71" s="684"/>
      <c r="LZT71" s="684"/>
      <c r="LZU71" s="684"/>
      <c r="LZV71" s="684"/>
      <c r="LZW71" s="684"/>
      <c r="LZX71" s="684"/>
      <c r="LZY71" s="684"/>
      <c r="LZZ71" s="684"/>
      <c r="MAA71" s="684"/>
      <c r="MAB71" s="684"/>
      <c r="MAC71" s="684"/>
      <c r="MAD71" s="684"/>
      <c r="MAE71" s="684"/>
      <c r="MAF71" s="684"/>
      <c r="MAG71" s="684"/>
      <c r="MAH71" s="684"/>
      <c r="MAI71" s="684"/>
      <c r="MAJ71" s="684"/>
      <c r="MAK71" s="684"/>
      <c r="MAL71" s="684"/>
      <c r="MAM71" s="684"/>
      <c r="MAN71" s="684"/>
      <c r="MAO71" s="684"/>
      <c r="MAP71" s="684"/>
      <c r="MAQ71" s="684"/>
      <c r="MAR71" s="684"/>
      <c r="MAS71" s="684"/>
      <c r="MAT71" s="684"/>
      <c r="MAU71" s="684"/>
      <c r="MAV71" s="684"/>
      <c r="MAW71" s="684"/>
      <c r="MAX71" s="684"/>
      <c r="MAY71" s="684"/>
      <c r="MAZ71" s="684"/>
      <c r="MBA71" s="684"/>
      <c r="MBB71" s="684"/>
      <c r="MBC71" s="684"/>
      <c r="MBD71" s="684"/>
      <c r="MBE71" s="684"/>
      <c r="MBF71" s="684"/>
      <c r="MBG71" s="684"/>
      <c r="MBH71" s="684"/>
      <c r="MBI71" s="684"/>
      <c r="MBJ71" s="684"/>
      <c r="MBK71" s="684"/>
      <c r="MBL71" s="684"/>
      <c r="MBM71" s="684"/>
      <c r="MBN71" s="684"/>
      <c r="MBO71" s="684"/>
      <c r="MBP71" s="684"/>
      <c r="MBQ71" s="684"/>
      <c r="MBR71" s="684"/>
      <c r="MBS71" s="684"/>
      <c r="MBT71" s="684"/>
      <c r="MBU71" s="684"/>
      <c r="MBV71" s="684"/>
      <c r="MBW71" s="684"/>
      <c r="MBX71" s="684"/>
      <c r="MBY71" s="684"/>
      <c r="MBZ71" s="684"/>
      <c r="MCA71" s="684"/>
      <c r="MCB71" s="684"/>
      <c r="MCC71" s="684"/>
      <c r="MCD71" s="684"/>
      <c r="MCE71" s="684"/>
      <c r="MCF71" s="684"/>
      <c r="MCG71" s="684"/>
      <c r="MCH71" s="684"/>
      <c r="MCI71" s="684"/>
      <c r="MCJ71" s="684"/>
      <c r="MCK71" s="684"/>
      <c r="MCL71" s="684"/>
      <c r="MCM71" s="684"/>
      <c r="MCN71" s="684"/>
      <c r="MCO71" s="684"/>
      <c r="MCP71" s="684"/>
      <c r="MCQ71" s="684"/>
      <c r="MCR71" s="684"/>
      <c r="MCS71" s="684"/>
      <c r="MCT71" s="684"/>
      <c r="MCU71" s="684"/>
      <c r="MCV71" s="684"/>
      <c r="MCW71" s="684"/>
      <c r="MCX71" s="684"/>
      <c r="MCY71" s="684"/>
      <c r="MCZ71" s="684"/>
      <c r="MDA71" s="684"/>
      <c r="MDB71" s="684"/>
      <c r="MDC71" s="684"/>
      <c r="MDD71" s="684"/>
      <c r="MDE71" s="684"/>
      <c r="MDF71" s="684"/>
      <c r="MDG71" s="684"/>
      <c r="MDH71" s="684"/>
      <c r="MDI71" s="684"/>
      <c r="MDJ71" s="684"/>
      <c r="MDK71" s="684"/>
      <c r="MDL71" s="684"/>
      <c r="MDM71" s="684"/>
      <c r="MDN71" s="684"/>
      <c r="MDO71" s="684"/>
      <c r="MDP71" s="684"/>
      <c r="MDQ71" s="684"/>
      <c r="MDR71" s="684"/>
      <c r="MDS71" s="684"/>
      <c r="MDT71" s="684"/>
      <c r="MDU71" s="684"/>
      <c r="MDV71" s="684"/>
      <c r="MDW71" s="684"/>
      <c r="MDX71" s="684"/>
      <c r="MDY71" s="684"/>
      <c r="MDZ71" s="684"/>
      <c r="MEA71" s="684"/>
      <c r="MEB71" s="684"/>
      <c r="MEC71" s="684"/>
      <c r="MED71" s="684"/>
      <c r="MEE71" s="684"/>
      <c r="MEF71" s="684"/>
      <c r="MEG71" s="684"/>
      <c r="MEH71" s="684"/>
      <c r="MEI71" s="684"/>
      <c r="MEJ71" s="684"/>
      <c r="MEK71" s="684"/>
      <c r="MEL71" s="684"/>
      <c r="MEM71" s="684"/>
      <c r="MEN71" s="684"/>
      <c r="MEO71" s="684"/>
      <c r="MEP71" s="684"/>
      <c r="MEQ71" s="684"/>
      <c r="MER71" s="684"/>
      <c r="MES71" s="684"/>
      <c r="MET71" s="684"/>
      <c r="MEU71" s="684"/>
      <c r="MEV71" s="684"/>
      <c r="MEW71" s="684"/>
      <c r="MEX71" s="684"/>
      <c r="MEY71" s="684"/>
      <c r="MEZ71" s="684"/>
      <c r="MFA71" s="684"/>
      <c r="MFB71" s="684"/>
      <c r="MFC71" s="684"/>
      <c r="MFD71" s="684"/>
      <c r="MFE71" s="684"/>
      <c r="MFF71" s="684"/>
      <c r="MFG71" s="684"/>
      <c r="MFH71" s="684"/>
      <c r="MFI71" s="684"/>
      <c r="MFJ71" s="684"/>
      <c r="MFK71" s="684"/>
      <c r="MFL71" s="684"/>
      <c r="MFM71" s="684"/>
      <c r="MFN71" s="684"/>
      <c r="MFO71" s="684"/>
      <c r="MFP71" s="684"/>
      <c r="MFQ71" s="684"/>
      <c r="MFR71" s="684"/>
      <c r="MFS71" s="684"/>
      <c r="MFT71" s="684"/>
      <c r="MFU71" s="684"/>
      <c r="MFV71" s="684"/>
      <c r="MFW71" s="684"/>
      <c r="MFX71" s="684"/>
      <c r="MFY71" s="684"/>
      <c r="MFZ71" s="684"/>
      <c r="MGA71" s="684"/>
      <c r="MGB71" s="684"/>
      <c r="MGC71" s="684"/>
      <c r="MGD71" s="684"/>
      <c r="MGE71" s="684"/>
      <c r="MGF71" s="684"/>
      <c r="MGG71" s="684"/>
      <c r="MGH71" s="684"/>
      <c r="MGI71" s="684"/>
      <c r="MGJ71" s="684"/>
      <c r="MGK71" s="684"/>
      <c r="MGL71" s="684"/>
      <c r="MGM71" s="684"/>
      <c r="MGN71" s="684"/>
      <c r="MGO71" s="684"/>
      <c r="MGP71" s="684"/>
      <c r="MGQ71" s="684"/>
      <c r="MGR71" s="684"/>
      <c r="MGS71" s="684"/>
      <c r="MGT71" s="684"/>
      <c r="MGU71" s="684"/>
      <c r="MGV71" s="684"/>
      <c r="MGW71" s="684"/>
      <c r="MGX71" s="684"/>
      <c r="MGY71" s="684"/>
      <c r="MGZ71" s="684"/>
      <c r="MHA71" s="684"/>
      <c r="MHB71" s="684"/>
      <c r="MHC71" s="684"/>
      <c r="MHD71" s="684"/>
      <c r="MHE71" s="684"/>
      <c r="MHF71" s="684"/>
      <c r="MHG71" s="684"/>
      <c r="MHH71" s="684"/>
      <c r="MHI71" s="684"/>
      <c r="MHJ71" s="684"/>
      <c r="MHK71" s="684"/>
      <c r="MHL71" s="684"/>
      <c r="MHM71" s="684"/>
      <c r="MHN71" s="684"/>
      <c r="MHO71" s="684"/>
      <c r="MHP71" s="684"/>
      <c r="MHQ71" s="684"/>
      <c r="MHR71" s="684"/>
      <c r="MHS71" s="684"/>
      <c r="MHT71" s="684"/>
      <c r="MHU71" s="684"/>
      <c r="MHV71" s="684"/>
      <c r="MHW71" s="684"/>
      <c r="MHX71" s="684"/>
      <c r="MHY71" s="684"/>
      <c r="MHZ71" s="684"/>
      <c r="MIA71" s="684"/>
      <c r="MIB71" s="684"/>
      <c r="MIC71" s="684"/>
      <c r="MID71" s="684"/>
      <c r="MIE71" s="684"/>
      <c r="MIF71" s="684"/>
      <c r="MIG71" s="684"/>
      <c r="MIH71" s="684"/>
      <c r="MII71" s="684"/>
      <c r="MIJ71" s="684"/>
      <c r="MIK71" s="684"/>
      <c r="MIL71" s="684"/>
      <c r="MIM71" s="684"/>
      <c r="MIN71" s="684"/>
      <c r="MIO71" s="684"/>
      <c r="MIP71" s="684"/>
      <c r="MIQ71" s="684"/>
      <c r="MIR71" s="684"/>
      <c r="MIS71" s="684"/>
      <c r="MIT71" s="684"/>
      <c r="MIU71" s="684"/>
      <c r="MIV71" s="684"/>
      <c r="MIW71" s="684"/>
      <c r="MIX71" s="684"/>
      <c r="MIY71" s="684"/>
      <c r="MIZ71" s="684"/>
      <c r="MJA71" s="684"/>
      <c r="MJB71" s="684"/>
      <c r="MJC71" s="684"/>
      <c r="MJD71" s="684"/>
      <c r="MJE71" s="684"/>
      <c r="MJF71" s="684"/>
      <c r="MJG71" s="684"/>
      <c r="MJH71" s="684"/>
      <c r="MJI71" s="684"/>
      <c r="MJJ71" s="684"/>
      <c r="MJK71" s="684"/>
      <c r="MJL71" s="684"/>
      <c r="MJM71" s="684"/>
      <c r="MJN71" s="684"/>
      <c r="MJO71" s="684"/>
      <c r="MJP71" s="684"/>
      <c r="MJQ71" s="684"/>
      <c r="MJR71" s="684"/>
      <c r="MJS71" s="684"/>
      <c r="MJT71" s="684"/>
      <c r="MJU71" s="684"/>
      <c r="MJV71" s="684"/>
      <c r="MJW71" s="684"/>
      <c r="MJX71" s="684"/>
      <c r="MJY71" s="684"/>
      <c r="MJZ71" s="684"/>
      <c r="MKA71" s="684"/>
      <c r="MKB71" s="684"/>
      <c r="MKC71" s="684"/>
      <c r="MKD71" s="684"/>
      <c r="MKE71" s="684"/>
      <c r="MKF71" s="684"/>
      <c r="MKG71" s="684"/>
      <c r="MKH71" s="684"/>
      <c r="MKI71" s="684"/>
      <c r="MKJ71" s="684"/>
      <c r="MKK71" s="684"/>
      <c r="MKL71" s="684"/>
      <c r="MKM71" s="684"/>
      <c r="MKN71" s="684"/>
      <c r="MKO71" s="684"/>
      <c r="MKP71" s="684"/>
      <c r="MKQ71" s="684"/>
      <c r="MKR71" s="684"/>
      <c r="MKS71" s="684"/>
      <c r="MKT71" s="684"/>
      <c r="MKU71" s="684"/>
      <c r="MKV71" s="684"/>
      <c r="MKW71" s="684"/>
      <c r="MKX71" s="684"/>
      <c r="MKY71" s="684"/>
      <c r="MKZ71" s="684"/>
      <c r="MLA71" s="684"/>
      <c r="MLB71" s="684"/>
      <c r="MLC71" s="684"/>
      <c r="MLD71" s="684"/>
      <c r="MLE71" s="684"/>
      <c r="MLF71" s="684"/>
      <c r="MLG71" s="684"/>
      <c r="MLH71" s="684"/>
      <c r="MLI71" s="684"/>
      <c r="MLJ71" s="684"/>
      <c r="MLK71" s="684"/>
      <c r="MLL71" s="684"/>
      <c r="MLM71" s="684"/>
      <c r="MLN71" s="684"/>
      <c r="MLO71" s="684"/>
      <c r="MLP71" s="684"/>
      <c r="MLQ71" s="684"/>
      <c r="MLR71" s="684"/>
      <c r="MLS71" s="684"/>
      <c r="MLT71" s="684"/>
      <c r="MLU71" s="684"/>
      <c r="MLV71" s="684"/>
      <c r="MLW71" s="684"/>
      <c r="MLX71" s="684"/>
      <c r="MLY71" s="684"/>
      <c r="MLZ71" s="684"/>
      <c r="MMA71" s="684"/>
      <c r="MMB71" s="684"/>
      <c r="MMC71" s="684"/>
      <c r="MMD71" s="684"/>
      <c r="MME71" s="684"/>
      <c r="MMF71" s="684"/>
      <c r="MMG71" s="684"/>
      <c r="MMH71" s="684"/>
      <c r="MMI71" s="684"/>
      <c r="MMJ71" s="684"/>
      <c r="MMK71" s="684"/>
      <c r="MML71" s="684"/>
      <c r="MMM71" s="684"/>
      <c r="MMN71" s="684"/>
      <c r="MMO71" s="684"/>
      <c r="MMP71" s="684"/>
      <c r="MMQ71" s="684"/>
      <c r="MMR71" s="684"/>
      <c r="MMS71" s="684"/>
      <c r="MMT71" s="684"/>
      <c r="MMU71" s="684"/>
      <c r="MMV71" s="684"/>
      <c r="MMW71" s="684"/>
      <c r="MMX71" s="684"/>
      <c r="MMY71" s="684"/>
      <c r="MMZ71" s="684"/>
      <c r="MNA71" s="684"/>
      <c r="MNB71" s="684"/>
      <c r="MNC71" s="684"/>
      <c r="MND71" s="684"/>
      <c r="MNE71" s="684"/>
      <c r="MNF71" s="684"/>
      <c r="MNG71" s="684"/>
      <c r="MNH71" s="684"/>
      <c r="MNI71" s="684"/>
      <c r="MNJ71" s="684"/>
      <c r="MNK71" s="684"/>
      <c r="MNL71" s="684"/>
      <c r="MNM71" s="684"/>
      <c r="MNN71" s="684"/>
      <c r="MNO71" s="684"/>
      <c r="MNP71" s="684"/>
      <c r="MNQ71" s="684"/>
      <c r="MNR71" s="684"/>
      <c r="MNS71" s="684"/>
      <c r="MNT71" s="684"/>
      <c r="MNU71" s="684"/>
      <c r="MNV71" s="684"/>
      <c r="MNW71" s="684"/>
      <c r="MNX71" s="684"/>
      <c r="MNY71" s="684"/>
      <c r="MNZ71" s="684"/>
      <c r="MOA71" s="684"/>
      <c r="MOB71" s="684"/>
      <c r="MOC71" s="684"/>
      <c r="MOD71" s="684"/>
      <c r="MOE71" s="684"/>
      <c r="MOF71" s="684"/>
      <c r="MOG71" s="684"/>
      <c r="MOH71" s="684"/>
      <c r="MOI71" s="684"/>
      <c r="MOJ71" s="684"/>
      <c r="MOK71" s="684"/>
      <c r="MOL71" s="684"/>
      <c r="MOM71" s="684"/>
      <c r="MON71" s="684"/>
      <c r="MOO71" s="684"/>
      <c r="MOP71" s="684"/>
      <c r="MOQ71" s="684"/>
      <c r="MOR71" s="684"/>
      <c r="MOS71" s="684"/>
      <c r="MOT71" s="684"/>
      <c r="MOU71" s="684"/>
      <c r="MOV71" s="684"/>
      <c r="MOW71" s="684"/>
      <c r="MOX71" s="684"/>
      <c r="MOY71" s="684"/>
      <c r="MOZ71" s="684"/>
      <c r="MPA71" s="684"/>
      <c r="MPB71" s="684"/>
      <c r="MPC71" s="684"/>
      <c r="MPD71" s="684"/>
      <c r="MPE71" s="684"/>
      <c r="MPF71" s="684"/>
      <c r="MPG71" s="684"/>
      <c r="MPH71" s="684"/>
      <c r="MPI71" s="684"/>
      <c r="MPJ71" s="684"/>
      <c r="MPK71" s="684"/>
      <c r="MPL71" s="684"/>
      <c r="MPM71" s="684"/>
      <c r="MPN71" s="684"/>
      <c r="MPO71" s="684"/>
      <c r="MPP71" s="684"/>
      <c r="MPQ71" s="684"/>
      <c r="MPR71" s="684"/>
      <c r="MPS71" s="684"/>
      <c r="MPT71" s="684"/>
      <c r="MPU71" s="684"/>
      <c r="MPV71" s="684"/>
      <c r="MPW71" s="684"/>
      <c r="MPX71" s="684"/>
      <c r="MPY71" s="684"/>
      <c r="MPZ71" s="684"/>
      <c r="MQA71" s="684"/>
      <c r="MQB71" s="684"/>
      <c r="MQC71" s="684"/>
      <c r="MQD71" s="684"/>
      <c r="MQE71" s="684"/>
      <c r="MQF71" s="684"/>
      <c r="MQG71" s="684"/>
      <c r="MQH71" s="684"/>
      <c r="MQI71" s="684"/>
      <c r="MQJ71" s="684"/>
      <c r="MQK71" s="684"/>
      <c r="MQL71" s="684"/>
      <c r="MQM71" s="684"/>
      <c r="MQN71" s="684"/>
      <c r="MQO71" s="684"/>
      <c r="MQP71" s="684"/>
      <c r="MQQ71" s="684"/>
      <c r="MQR71" s="684"/>
      <c r="MQS71" s="684"/>
      <c r="MQT71" s="684"/>
      <c r="MQU71" s="684"/>
      <c r="MQV71" s="684"/>
      <c r="MQW71" s="684"/>
      <c r="MQX71" s="684"/>
      <c r="MQY71" s="684"/>
      <c r="MQZ71" s="684"/>
      <c r="MRA71" s="684"/>
      <c r="MRB71" s="684"/>
      <c r="MRC71" s="684"/>
      <c r="MRD71" s="684"/>
      <c r="MRE71" s="684"/>
      <c r="MRF71" s="684"/>
      <c r="MRG71" s="684"/>
      <c r="MRH71" s="684"/>
      <c r="MRI71" s="684"/>
      <c r="MRJ71" s="684"/>
      <c r="MRK71" s="684"/>
      <c r="MRL71" s="684"/>
      <c r="MRM71" s="684"/>
      <c r="MRN71" s="684"/>
      <c r="MRO71" s="684"/>
      <c r="MRP71" s="684"/>
      <c r="MRQ71" s="684"/>
      <c r="MRR71" s="684"/>
      <c r="MRS71" s="684"/>
      <c r="MRT71" s="684"/>
      <c r="MRU71" s="684"/>
      <c r="MRV71" s="684"/>
      <c r="MRW71" s="684"/>
      <c r="MRX71" s="684"/>
      <c r="MRY71" s="684"/>
      <c r="MRZ71" s="684"/>
      <c r="MSA71" s="684"/>
      <c r="MSB71" s="684"/>
      <c r="MSC71" s="684"/>
      <c r="MSD71" s="684"/>
      <c r="MSE71" s="684"/>
      <c r="MSF71" s="684"/>
      <c r="MSG71" s="684"/>
      <c r="MSH71" s="684"/>
      <c r="MSI71" s="684"/>
      <c r="MSJ71" s="684"/>
      <c r="MSK71" s="684"/>
      <c r="MSL71" s="684"/>
      <c r="MSM71" s="684"/>
      <c r="MSN71" s="684"/>
      <c r="MSO71" s="684"/>
      <c r="MSP71" s="684"/>
      <c r="MSQ71" s="684"/>
      <c r="MSR71" s="684"/>
      <c r="MSS71" s="684"/>
      <c r="MST71" s="684"/>
      <c r="MSU71" s="684"/>
      <c r="MSV71" s="684"/>
      <c r="MSW71" s="684"/>
      <c r="MSX71" s="684"/>
      <c r="MSY71" s="684"/>
      <c r="MSZ71" s="684"/>
      <c r="MTA71" s="684"/>
      <c r="MTB71" s="684"/>
      <c r="MTC71" s="684"/>
      <c r="MTD71" s="684"/>
      <c r="MTE71" s="684"/>
      <c r="MTF71" s="684"/>
      <c r="MTG71" s="684"/>
      <c r="MTH71" s="684"/>
      <c r="MTI71" s="684"/>
      <c r="MTJ71" s="684"/>
      <c r="MTK71" s="684"/>
      <c r="MTL71" s="684"/>
      <c r="MTM71" s="684"/>
      <c r="MTN71" s="684"/>
      <c r="MTO71" s="684"/>
      <c r="MTP71" s="684"/>
      <c r="MTQ71" s="684"/>
      <c r="MTR71" s="684"/>
      <c r="MTS71" s="684"/>
      <c r="MTT71" s="684"/>
      <c r="MTU71" s="684"/>
      <c r="MTV71" s="684"/>
      <c r="MTW71" s="684"/>
      <c r="MTX71" s="684"/>
      <c r="MTY71" s="684"/>
      <c r="MTZ71" s="684"/>
      <c r="MUA71" s="684"/>
      <c r="MUB71" s="684"/>
      <c r="MUC71" s="684"/>
      <c r="MUD71" s="684"/>
      <c r="MUE71" s="684"/>
      <c r="MUF71" s="684"/>
      <c r="MUG71" s="684"/>
      <c r="MUH71" s="684"/>
      <c r="MUI71" s="684"/>
      <c r="MUJ71" s="684"/>
      <c r="MUK71" s="684"/>
      <c r="MUL71" s="684"/>
      <c r="MUM71" s="684"/>
      <c r="MUN71" s="684"/>
      <c r="MUO71" s="684"/>
      <c r="MUP71" s="684"/>
      <c r="MUQ71" s="684"/>
      <c r="MUR71" s="684"/>
      <c r="MUS71" s="684"/>
      <c r="MUT71" s="684"/>
      <c r="MUU71" s="684"/>
      <c r="MUV71" s="684"/>
      <c r="MUW71" s="684"/>
      <c r="MUX71" s="684"/>
      <c r="MUY71" s="684"/>
      <c r="MUZ71" s="684"/>
      <c r="MVA71" s="684"/>
      <c r="MVB71" s="684"/>
      <c r="MVC71" s="684"/>
      <c r="MVD71" s="684"/>
      <c r="MVE71" s="684"/>
      <c r="MVF71" s="684"/>
      <c r="MVG71" s="684"/>
      <c r="MVH71" s="684"/>
      <c r="MVI71" s="684"/>
      <c r="MVJ71" s="684"/>
      <c r="MVK71" s="684"/>
      <c r="MVL71" s="684"/>
      <c r="MVM71" s="684"/>
      <c r="MVN71" s="684"/>
      <c r="MVO71" s="684"/>
      <c r="MVP71" s="684"/>
      <c r="MVQ71" s="684"/>
      <c r="MVR71" s="684"/>
      <c r="MVS71" s="684"/>
      <c r="MVT71" s="684"/>
      <c r="MVU71" s="684"/>
      <c r="MVV71" s="684"/>
      <c r="MVW71" s="684"/>
      <c r="MVX71" s="684"/>
      <c r="MVY71" s="684"/>
      <c r="MVZ71" s="684"/>
      <c r="MWA71" s="684"/>
      <c r="MWB71" s="684"/>
      <c r="MWC71" s="684"/>
      <c r="MWD71" s="684"/>
      <c r="MWE71" s="684"/>
      <c r="MWF71" s="684"/>
      <c r="MWG71" s="684"/>
      <c r="MWH71" s="684"/>
      <c r="MWI71" s="684"/>
      <c r="MWJ71" s="684"/>
      <c r="MWK71" s="684"/>
      <c r="MWL71" s="684"/>
      <c r="MWM71" s="684"/>
      <c r="MWN71" s="684"/>
      <c r="MWO71" s="684"/>
      <c r="MWP71" s="684"/>
      <c r="MWQ71" s="684"/>
      <c r="MWR71" s="684"/>
      <c r="MWS71" s="684"/>
      <c r="MWT71" s="684"/>
      <c r="MWU71" s="684"/>
      <c r="MWV71" s="684"/>
      <c r="MWW71" s="684"/>
      <c r="MWX71" s="684"/>
      <c r="MWY71" s="684"/>
      <c r="MWZ71" s="684"/>
      <c r="MXA71" s="684"/>
      <c r="MXB71" s="684"/>
      <c r="MXC71" s="684"/>
      <c r="MXD71" s="684"/>
      <c r="MXE71" s="684"/>
      <c r="MXF71" s="684"/>
      <c r="MXG71" s="684"/>
      <c r="MXH71" s="684"/>
      <c r="MXI71" s="684"/>
      <c r="MXJ71" s="684"/>
      <c r="MXK71" s="684"/>
      <c r="MXL71" s="684"/>
      <c r="MXM71" s="684"/>
      <c r="MXN71" s="684"/>
      <c r="MXO71" s="684"/>
      <c r="MXP71" s="684"/>
      <c r="MXQ71" s="684"/>
      <c r="MXR71" s="684"/>
      <c r="MXS71" s="684"/>
      <c r="MXT71" s="684"/>
      <c r="MXU71" s="684"/>
      <c r="MXV71" s="684"/>
      <c r="MXW71" s="684"/>
      <c r="MXX71" s="684"/>
      <c r="MXY71" s="684"/>
      <c r="MXZ71" s="684"/>
      <c r="MYA71" s="684"/>
      <c r="MYB71" s="684"/>
      <c r="MYC71" s="684"/>
      <c r="MYD71" s="684"/>
      <c r="MYE71" s="684"/>
      <c r="MYF71" s="684"/>
      <c r="MYG71" s="684"/>
      <c r="MYH71" s="684"/>
      <c r="MYI71" s="684"/>
      <c r="MYJ71" s="684"/>
      <c r="MYK71" s="684"/>
      <c r="MYL71" s="684"/>
      <c r="MYM71" s="684"/>
      <c r="MYN71" s="684"/>
      <c r="MYO71" s="684"/>
      <c r="MYP71" s="684"/>
      <c r="MYQ71" s="684"/>
      <c r="MYR71" s="684"/>
      <c r="MYS71" s="684"/>
      <c r="MYT71" s="684"/>
      <c r="MYU71" s="684"/>
      <c r="MYV71" s="684"/>
      <c r="MYW71" s="684"/>
      <c r="MYX71" s="684"/>
      <c r="MYY71" s="684"/>
      <c r="MYZ71" s="684"/>
      <c r="MZA71" s="684"/>
      <c r="MZB71" s="684"/>
      <c r="MZC71" s="684"/>
      <c r="MZD71" s="684"/>
      <c r="MZE71" s="684"/>
      <c r="MZF71" s="684"/>
      <c r="MZG71" s="684"/>
      <c r="MZH71" s="684"/>
      <c r="MZI71" s="684"/>
      <c r="MZJ71" s="684"/>
      <c r="MZK71" s="684"/>
      <c r="MZL71" s="684"/>
      <c r="MZM71" s="684"/>
      <c r="MZN71" s="684"/>
      <c r="MZO71" s="684"/>
      <c r="MZP71" s="684"/>
      <c r="MZQ71" s="684"/>
      <c r="MZR71" s="684"/>
      <c r="MZS71" s="684"/>
      <c r="MZT71" s="684"/>
      <c r="MZU71" s="684"/>
      <c r="MZV71" s="684"/>
      <c r="MZW71" s="684"/>
      <c r="MZX71" s="684"/>
      <c r="MZY71" s="684"/>
      <c r="MZZ71" s="684"/>
      <c r="NAA71" s="684"/>
      <c r="NAB71" s="684"/>
      <c r="NAC71" s="684"/>
      <c r="NAD71" s="684"/>
      <c r="NAE71" s="684"/>
      <c r="NAF71" s="684"/>
      <c r="NAG71" s="684"/>
      <c r="NAH71" s="684"/>
      <c r="NAI71" s="684"/>
      <c r="NAJ71" s="684"/>
      <c r="NAK71" s="684"/>
      <c r="NAL71" s="684"/>
      <c r="NAM71" s="684"/>
      <c r="NAN71" s="684"/>
      <c r="NAO71" s="684"/>
      <c r="NAP71" s="684"/>
      <c r="NAQ71" s="684"/>
      <c r="NAR71" s="684"/>
      <c r="NAS71" s="684"/>
      <c r="NAT71" s="684"/>
      <c r="NAU71" s="684"/>
      <c r="NAV71" s="684"/>
      <c r="NAW71" s="684"/>
      <c r="NAX71" s="684"/>
      <c r="NAY71" s="684"/>
      <c r="NAZ71" s="684"/>
      <c r="NBA71" s="684"/>
      <c r="NBB71" s="684"/>
      <c r="NBC71" s="684"/>
      <c r="NBD71" s="684"/>
      <c r="NBE71" s="684"/>
      <c r="NBF71" s="684"/>
      <c r="NBG71" s="684"/>
      <c r="NBH71" s="684"/>
      <c r="NBI71" s="684"/>
      <c r="NBJ71" s="684"/>
      <c r="NBK71" s="684"/>
      <c r="NBL71" s="684"/>
      <c r="NBM71" s="684"/>
      <c r="NBN71" s="684"/>
      <c r="NBO71" s="684"/>
      <c r="NBP71" s="684"/>
      <c r="NBQ71" s="684"/>
      <c r="NBR71" s="684"/>
      <c r="NBS71" s="684"/>
      <c r="NBT71" s="684"/>
      <c r="NBU71" s="684"/>
      <c r="NBV71" s="684"/>
      <c r="NBW71" s="684"/>
      <c r="NBX71" s="684"/>
      <c r="NBY71" s="684"/>
      <c r="NBZ71" s="684"/>
      <c r="NCA71" s="684"/>
      <c r="NCB71" s="684"/>
      <c r="NCC71" s="684"/>
      <c r="NCD71" s="684"/>
      <c r="NCE71" s="684"/>
      <c r="NCF71" s="684"/>
      <c r="NCG71" s="684"/>
      <c r="NCH71" s="684"/>
      <c r="NCI71" s="684"/>
      <c r="NCJ71" s="684"/>
      <c r="NCK71" s="684"/>
      <c r="NCL71" s="684"/>
      <c r="NCM71" s="684"/>
      <c r="NCN71" s="684"/>
      <c r="NCO71" s="684"/>
      <c r="NCP71" s="684"/>
      <c r="NCQ71" s="684"/>
      <c r="NCR71" s="684"/>
      <c r="NCS71" s="684"/>
      <c r="NCT71" s="684"/>
      <c r="NCU71" s="684"/>
      <c r="NCV71" s="684"/>
      <c r="NCW71" s="684"/>
      <c r="NCX71" s="684"/>
      <c r="NCY71" s="684"/>
      <c r="NCZ71" s="684"/>
      <c r="NDA71" s="684"/>
      <c r="NDB71" s="684"/>
      <c r="NDC71" s="684"/>
      <c r="NDD71" s="684"/>
      <c r="NDE71" s="684"/>
      <c r="NDF71" s="684"/>
      <c r="NDG71" s="684"/>
      <c r="NDH71" s="684"/>
      <c r="NDI71" s="684"/>
      <c r="NDJ71" s="684"/>
      <c r="NDK71" s="684"/>
      <c r="NDL71" s="684"/>
      <c r="NDM71" s="684"/>
      <c r="NDN71" s="684"/>
      <c r="NDO71" s="684"/>
      <c r="NDP71" s="684"/>
      <c r="NDQ71" s="684"/>
      <c r="NDR71" s="684"/>
      <c r="NDS71" s="684"/>
      <c r="NDT71" s="684"/>
      <c r="NDU71" s="684"/>
      <c r="NDV71" s="684"/>
      <c r="NDW71" s="684"/>
      <c r="NDX71" s="684"/>
      <c r="NDY71" s="684"/>
      <c r="NDZ71" s="684"/>
      <c r="NEA71" s="684"/>
      <c r="NEB71" s="684"/>
      <c r="NEC71" s="684"/>
      <c r="NED71" s="684"/>
      <c r="NEE71" s="684"/>
      <c r="NEF71" s="684"/>
      <c r="NEG71" s="684"/>
      <c r="NEH71" s="684"/>
      <c r="NEI71" s="684"/>
      <c r="NEJ71" s="684"/>
      <c r="NEK71" s="684"/>
      <c r="NEL71" s="684"/>
      <c r="NEM71" s="684"/>
      <c r="NEN71" s="684"/>
      <c r="NEO71" s="684"/>
      <c r="NEP71" s="684"/>
      <c r="NEQ71" s="684"/>
      <c r="NER71" s="684"/>
      <c r="NES71" s="684"/>
      <c r="NET71" s="684"/>
      <c r="NEU71" s="684"/>
      <c r="NEV71" s="684"/>
      <c r="NEW71" s="684"/>
      <c r="NEX71" s="684"/>
      <c r="NEY71" s="684"/>
      <c r="NEZ71" s="684"/>
      <c r="NFA71" s="684"/>
      <c r="NFB71" s="684"/>
      <c r="NFC71" s="684"/>
      <c r="NFD71" s="684"/>
      <c r="NFE71" s="684"/>
      <c r="NFF71" s="684"/>
      <c r="NFG71" s="684"/>
      <c r="NFH71" s="684"/>
      <c r="NFI71" s="684"/>
      <c r="NFJ71" s="684"/>
      <c r="NFK71" s="684"/>
      <c r="NFL71" s="684"/>
      <c r="NFM71" s="684"/>
      <c r="NFN71" s="684"/>
      <c r="NFO71" s="684"/>
      <c r="NFP71" s="684"/>
      <c r="NFQ71" s="684"/>
      <c r="NFR71" s="684"/>
      <c r="NFS71" s="684"/>
      <c r="NFT71" s="684"/>
      <c r="NFU71" s="684"/>
      <c r="NFV71" s="684"/>
      <c r="NFW71" s="684"/>
      <c r="NFX71" s="684"/>
      <c r="NFY71" s="684"/>
      <c r="NFZ71" s="684"/>
      <c r="NGA71" s="684"/>
      <c r="NGB71" s="684"/>
      <c r="NGC71" s="684"/>
      <c r="NGD71" s="684"/>
      <c r="NGE71" s="684"/>
      <c r="NGF71" s="684"/>
      <c r="NGG71" s="684"/>
      <c r="NGH71" s="684"/>
      <c r="NGI71" s="684"/>
      <c r="NGJ71" s="684"/>
      <c r="NGK71" s="684"/>
      <c r="NGL71" s="684"/>
      <c r="NGM71" s="684"/>
      <c r="NGN71" s="684"/>
      <c r="NGO71" s="684"/>
      <c r="NGP71" s="684"/>
      <c r="NGQ71" s="684"/>
      <c r="NGR71" s="684"/>
      <c r="NGS71" s="684"/>
      <c r="NGT71" s="684"/>
      <c r="NGU71" s="684"/>
      <c r="NGV71" s="684"/>
      <c r="NGW71" s="684"/>
      <c r="NGX71" s="684"/>
      <c r="NGY71" s="684"/>
      <c r="NGZ71" s="684"/>
      <c r="NHA71" s="684"/>
      <c r="NHB71" s="684"/>
      <c r="NHC71" s="684"/>
      <c r="NHD71" s="684"/>
      <c r="NHE71" s="684"/>
      <c r="NHF71" s="684"/>
      <c r="NHG71" s="684"/>
      <c r="NHH71" s="684"/>
      <c r="NHI71" s="684"/>
      <c r="NHJ71" s="684"/>
      <c r="NHK71" s="684"/>
      <c r="NHL71" s="684"/>
      <c r="NHM71" s="684"/>
      <c r="NHN71" s="684"/>
      <c r="NHO71" s="684"/>
      <c r="NHP71" s="684"/>
      <c r="NHQ71" s="684"/>
      <c r="NHR71" s="684"/>
      <c r="NHS71" s="684"/>
      <c r="NHT71" s="684"/>
      <c r="NHU71" s="684"/>
      <c r="NHV71" s="684"/>
      <c r="NHW71" s="684"/>
      <c r="NHX71" s="684"/>
      <c r="NHY71" s="684"/>
      <c r="NHZ71" s="684"/>
      <c r="NIA71" s="684"/>
      <c r="NIB71" s="684"/>
      <c r="NIC71" s="684"/>
      <c r="NID71" s="684"/>
      <c r="NIE71" s="684"/>
      <c r="NIF71" s="684"/>
      <c r="NIG71" s="684"/>
      <c r="NIH71" s="684"/>
      <c r="NII71" s="684"/>
      <c r="NIJ71" s="684"/>
      <c r="NIK71" s="684"/>
      <c r="NIL71" s="684"/>
      <c r="NIM71" s="684"/>
      <c r="NIN71" s="684"/>
      <c r="NIO71" s="684"/>
      <c r="NIP71" s="684"/>
      <c r="NIQ71" s="684"/>
      <c r="NIR71" s="684"/>
      <c r="NIS71" s="684"/>
      <c r="NIT71" s="684"/>
      <c r="NIU71" s="684"/>
      <c r="NIV71" s="684"/>
      <c r="NIW71" s="684"/>
      <c r="NIX71" s="684"/>
      <c r="NIY71" s="684"/>
      <c r="NIZ71" s="684"/>
      <c r="NJA71" s="684"/>
      <c r="NJB71" s="684"/>
      <c r="NJC71" s="684"/>
      <c r="NJD71" s="684"/>
      <c r="NJE71" s="684"/>
      <c r="NJF71" s="684"/>
      <c r="NJG71" s="684"/>
      <c r="NJH71" s="684"/>
      <c r="NJI71" s="684"/>
      <c r="NJJ71" s="684"/>
      <c r="NJK71" s="684"/>
      <c r="NJL71" s="684"/>
      <c r="NJM71" s="684"/>
      <c r="NJN71" s="684"/>
      <c r="NJO71" s="684"/>
      <c r="NJP71" s="684"/>
      <c r="NJQ71" s="684"/>
      <c r="NJR71" s="684"/>
      <c r="NJS71" s="684"/>
      <c r="NJT71" s="684"/>
      <c r="NJU71" s="684"/>
      <c r="NJV71" s="684"/>
      <c r="NJW71" s="684"/>
      <c r="NJX71" s="684"/>
      <c r="NJY71" s="684"/>
      <c r="NJZ71" s="684"/>
      <c r="NKA71" s="684"/>
      <c r="NKB71" s="684"/>
      <c r="NKC71" s="684"/>
      <c r="NKD71" s="684"/>
      <c r="NKE71" s="684"/>
      <c r="NKF71" s="684"/>
      <c r="NKG71" s="684"/>
      <c r="NKH71" s="684"/>
      <c r="NKI71" s="684"/>
      <c r="NKJ71" s="684"/>
      <c r="NKK71" s="684"/>
      <c r="NKL71" s="684"/>
      <c r="NKM71" s="684"/>
      <c r="NKN71" s="684"/>
      <c r="NKO71" s="684"/>
      <c r="NKP71" s="684"/>
      <c r="NKQ71" s="684"/>
      <c r="NKR71" s="684"/>
      <c r="NKS71" s="684"/>
      <c r="NKT71" s="684"/>
      <c r="NKU71" s="684"/>
      <c r="NKV71" s="684"/>
      <c r="NKW71" s="684"/>
      <c r="NKX71" s="684"/>
      <c r="NKY71" s="684"/>
      <c r="NKZ71" s="684"/>
      <c r="NLA71" s="684"/>
      <c r="NLB71" s="684"/>
      <c r="NLC71" s="684"/>
      <c r="NLD71" s="684"/>
      <c r="NLE71" s="684"/>
      <c r="NLF71" s="684"/>
      <c r="NLG71" s="684"/>
      <c r="NLH71" s="684"/>
      <c r="NLI71" s="684"/>
      <c r="NLJ71" s="684"/>
      <c r="NLK71" s="684"/>
      <c r="NLL71" s="684"/>
      <c r="NLM71" s="684"/>
      <c r="NLN71" s="684"/>
      <c r="NLO71" s="684"/>
      <c r="NLP71" s="684"/>
      <c r="NLQ71" s="684"/>
      <c r="NLR71" s="684"/>
      <c r="NLS71" s="684"/>
      <c r="NLT71" s="684"/>
      <c r="NLU71" s="684"/>
      <c r="NLV71" s="684"/>
      <c r="NLW71" s="684"/>
      <c r="NLX71" s="684"/>
      <c r="NLY71" s="684"/>
      <c r="NLZ71" s="684"/>
      <c r="NMA71" s="684"/>
      <c r="NMB71" s="684"/>
      <c r="NMC71" s="684"/>
      <c r="NMD71" s="684"/>
      <c r="NME71" s="684"/>
      <c r="NMF71" s="684"/>
      <c r="NMG71" s="684"/>
      <c r="NMH71" s="684"/>
      <c r="NMI71" s="684"/>
      <c r="NMJ71" s="684"/>
      <c r="NMK71" s="684"/>
      <c r="NML71" s="684"/>
      <c r="NMM71" s="684"/>
      <c r="NMN71" s="684"/>
      <c r="NMO71" s="684"/>
      <c r="NMP71" s="684"/>
      <c r="NMQ71" s="684"/>
      <c r="NMR71" s="684"/>
      <c r="NMS71" s="684"/>
      <c r="NMT71" s="684"/>
      <c r="NMU71" s="684"/>
      <c r="NMV71" s="684"/>
      <c r="NMW71" s="684"/>
      <c r="NMX71" s="684"/>
      <c r="NMY71" s="684"/>
      <c r="NMZ71" s="684"/>
      <c r="NNA71" s="684"/>
      <c r="NNB71" s="684"/>
      <c r="NNC71" s="684"/>
      <c r="NND71" s="684"/>
      <c r="NNE71" s="684"/>
      <c r="NNF71" s="684"/>
      <c r="NNG71" s="684"/>
      <c r="NNH71" s="684"/>
      <c r="NNI71" s="684"/>
      <c r="NNJ71" s="684"/>
      <c r="NNK71" s="684"/>
      <c r="NNL71" s="684"/>
      <c r="NNM71" s="684"/>
      <c r="NNN71" s="684"/>
      <c r="NNO71" s="684"/>
      <c r="NNP71" s="684"/>
      <c r="NNQ71" s="684"/>
      <c r="NNR71" s="684"/>
      <c r="NNS71" s="684"/>
      <c r="NNT71" s="684"/>
      <c r="NNU71" s="684"/>
      <c r="NNV71" s="684"/>
      <c r="NNW71" s="684"/>
      <c r="NNX71" s="684"/>
      <c r="NNY71" s="684"/>
      <c r="NNZ71" s="684"/>
      <c r="NOA71" s="684"/>
      <c r="NOB71" s="684"/>
      <c r="NOC71" s="684"/>
      <c r="NOD71" s="684"/>
      <c r="NOE71" s="684"/>
      <c r="NOF71" s="684"/>
      <c r="NOG71" s="684"/>
      <c r="NOH71" s="684"/>
      <c r="NOI71" s="684"/>
      <c r="NOJ71" s="684"/>
      <c r="NOK71" s="684"/>
      <c r="NOL71" s="684"/>
      <c r="NOM71" s="684"/>
      <c r="NON71" s="684"/>
      <c r="NOO71" s="684"/>
      <c r="NOP71" s="684"/>
      <c r="NOQ71" s="684"/>
      <c r="NOR71" s="684"/>
      <c r="NOS71" s="684"/>
      <c r="NOT71" s="684"/>
      <c r="NOU71" s="684"/>
      <c r="NOV71" s="684"/>
      <c r="NOW71" s="684"/>
      <c r="NOX71" s="684"/>
      <c r="NOY71" s="684"/>
      <c r="NOZ71" s="684"/>
      <c r="NPA71" s="684"/>
      <c r="NPB71" s="684"/>
      <c r="NPC71" s="684"/>
      <c r="NPD71" s="684"/>
      <c r="NPE71" s="684"/>
      <c r="NPF71" s="684"/>
      <c r="NPG71" s="684"/>
      <c r="NPH71" s="684"/>
      <c r="NPI71" s="684"/>
      <c r="NPJ71" s="684"/>
      <c r="NPK71" s="684"/>
      <c r="NPL71" s="684"/>
      <c r="NPM71" s="684"/>
      <c r="NPN71" s="684"/>
      <c r="NPO71" s="684"/>
      <c r="NPP71" s="684"/>
      <c r="NPQ71" s="684"/>
      <c r="NPR71" s="684"/>
      <c r="NPS71" s="684"/>
      <c r="NPT71" s="684"/>
      <c r="NPU71" s="684"/>
      <c r="NPV71" s="684"/>
      <c r="NPW71" s="684"/>
      <c r="NPX71" s="684"/>
      <c r="NPY71" s="684"/>
      <c r="NPZ71" s="684"/>
      <c r="NQA71" s="684"/>
      <c r="NQB71" s="684"/>
      <c r="NQC71" s="684"/>
      <c r="NQD71" s="684"/>
      <c r="NQE71" s="684"/>
      <c r="NQF71" s="684"/>
      <c r="NQG71" s="684"/>
      <c r="NQH71" s="684"/>
      <c r="NQI71" s="684"/>
      <c r="NQJ71" s="684"/>
      <c r="NQK71" s="684"/>
      <c r="NQL71" s="684"/>
      <c r="NQM71" s="684"/>
      <c r="NQN71" s="684"/>
      <c r="NQO71" s="684"/>
      <c r="NQP71" s="684"/>
      <c r="NQQ71" s="684"/>
      <c r="NQR71" s="684"/>
      <c r="NQS71" s="684"/>
      <c r="NQT71" s="684"/>
      <c r="NQU71" s="684"/>
      <c r="NQV71" s="684"/>
      <c r="NQW71" s="684"/>
      <c r="NQX71" s="684"/>
      <c r="NQY71" s="684"/>
      <c r="NQZ71" s="684"/>
      <c r="NRA71" s="684"/>
      <c r="NRB71" s="684"/>
      <c r="NRC71" s="684"/>
      <c r="NRD71" s="684"/>
      <c r="NRE71" s="684"/>
      <c r="NRF71" s="684"/>
      <c r="NRG71" s="684"/>
      <c r="NRH71" s="684"/>
      <c r="NRI71" s="684"/>
      <c r="NRJ71" s="684"/>
      <c r="NRK71" s="684"/>
      <c r="NRL71" s="684"/>
      <c r="NRM71" s="684"/>
      <c r="NRN71" s="684"/>
      <c r="NRO71" s="684"/>
      <c r="NRP71" s="684"/>
      <c r="NRQ71" s="684"/>
      <c r="NRR71" s="684"/>
      <c r="NRS71" s="684"/>
      <c r="NRT71" s="684"/>
      <c r="NRU71" s="684"/>
      <c r="NRV71" s="684"/>
      <c r="NRW71" s="684"/>
      <c r="NRX71" s="684"/>
      <c r="NRY71" s="684"/>
      <c r="NRZ71" s="684"/>
      <c r="NSA71" s="684"/>
      <c r="NSB71" s="684"/>
      <c r="NSC71" s="684"/>
      <c r="NSD71" s="684"/>
      <c r="NSE71" s="684"/>
      <c r="NSF71" s="684"/>
      <c r="NSG71" s="684"/>
      <c r="NSH71" s="684"/>
      <c r="NSI71" s="684"/>
      <c r="NSJ71" s="684"/>
      <c r="NSK71" s="684"/>
      <c r="NSL71" s="684"/>
      <c r="NSM71" s="684"/>
      <c r="NSN71" s="684"/>
      <c r="NSO71" s="684"/>
      <c r="NSP71" s="684"/>
      <c r="NSQ71" s="684"/>
      <c r="NSR71" s="684"/>
      <c r="NSS71" s="684"/>
      <c r="NST71" s="684"/>
      <c r="NSU71" s="684"/>
      <c r="NSV71" s="684"/>
      <c r="NSW71" s="684"/>
      <c r="NSX71" s="684"/>
      <c r="NSY71" s="684"/>
      <c r="NSZ71" s="684"/>
      <c r="NTA71" s="684"/>
      <c r="NTB71" s="684"/>
      <c r="NTC71" s="684"/>
      <c r="NTD71" s="684"/>
      <c r="NTE71" s="684"/>
      <c r="NTF71" s="684"/>
      <c r="NTG71" s="684"/>
      <c r="NTH71" s="684"/>
      <c r="NTI71" s="684"/>
      <c r="NTJ71" s="684"/>
      <c r="NTK71" s="684"/>
      <c r="NTL71" s="684"/>
      <c r="NTM71" s="684"/>
      <c r="NTN71" s="684"/>
      <c r="NTO71" s="684"/>
      <c r="NTP71" s="684"/>
      <c r="NTQ71" s="684"/>
      <c r="NTR71" s="684"/>
      <c r="NTS71" s="684"/>
      <c r="NTT71" s="684"/>
      <c r="NTU71" s="684"/>
      <c r="NTV71" s="684"/>
      <c r="NTW71" s="684"/>
      <c r="NTX71" s="684"/>
      <c r="NTY71" s="684"/>
      <c r="NTZ71" s="684"/>
      <c r="NUA71" s="684"/>
      <c r="NUB71" s="684"/>
      <c r="NUC71" s="684"/>
      <c r="NUD71" s="684"/>
      <c r="NUE71" s="684"/>
      <c r="NUF71" s="684"/>
      <c r="NUG71" s="684"/>
      <c r="NUH71" s="684"/>
      <c r="NUI71" s="684"/>
      <c r="NUJ71" s="684"/>
      <c r="NUK71" s="684"/>
      <c r="NUL71" s="684"/>
      <c r="NUM71" s="684"/>
      <c r="NUN71" s="684"/>
      <c r="NUO71" s="684"/>
      <c r="NUP71" s="684"/>
      <c r="NUQ71" s="684"/>
      <c r="NUR71" s="684"/>
      <c r="NUS71" s="684"/>
      <c r="NUT71" s="684"/>
      <c r="NUU71" s="684"/>
      <c r="NUV71" s="684"/>
      <c r="NUW71" s="684"/>
      <c r="NUX71" s="684"/>
      <c r="NUY71" s="684"/>
      <c r="NUZ71" s="684"/>
      <c r="NVA71" s="684"/>
      <c r="NVB71" s="684"/>
      <c r="NVC71" s="684"/>
      <c r="NVD71" s="684"/>
      <c r="NVE71" s="684"/>
      <c r="NVF71" s="684"/>
      <c r="NVG71" s="684"/>
      <c r="NVH71" s="684"/>
      <c r="NVI71" s="684"/>
      <c r="NVJ71" s="684"/>
      <c r="NVK71" s="684"/>
      <c r="NVL71" s="684"/>
      <c r="NVM71" s="684"/>
      <c r="NVN71" s="684"/>
      <c r="NVO71" s="684"/>
      <c r="NVP71" s="684"/>
      <c r="NVQ71" s="684"/>
      <c r="NVR71" s="684"/>
      <c r="NVS71" s="684"/>
      <c r="NVT71" s="684"/>
      <c r="NVU71" s="684"/>
      <c r="NVV71" s="684"/>
      <c r="NVW71" s="684"/>
      <c r="NVX71" s="684"/>
      <c r="NVY71" s="684"/>
      <c r="NVZ71" s="684"/>
      <c r="NWA71" s="684"/>
      <c r="NWB71" s="684"/>
      <c r="NWC71" s="684"/>
      <c r="NWD71" s="684"/>
      <c r="NWE71" s="684"/>
      <c r="NWF71" s="684"/>
      <c r="NWG71" s="684"/>
      <c r="NWH71" s="684"/>
      <c r="NWI71" s="684"/>
      <c r="NWJ71" s="684"/>
      <c r="NWK71" s="684"/>
      <c r="NWL71" s="684"/>
      <c r="NWM71" s="684"/>
      <c r="NWN71" s="684"/>
      <c r="NWO71" s="684"/>
      <c r="NWP71" s="684"/>
      <c r="NWQ71" s="684"/>
      <c r="NWR71" s="684"/>
      <c r="NWS71" s="684"/>
      <c r="NWT71" s="684"/>
      <c r="NWU71" s="684"/>
      <c r="NWV71" s="684"/>
      <c r="NWW71" s="684"/>
      <c r="NWX71" s="684"/>
      <c r="NWY71" s="684"/>
      <c r="NWZ71" s="684"/>
      <c r="NXA71" s="684"/>
      <c r="NXB71" s="684"/>
      <c r="NXC71" s="684"/>
      <c r="NXD71" s="684"/>
      <c r="NXE71" s="684"/>
      <c r="NXF71" s="684"/>
      <c r="NXG71" s="684"/>
      <c r="NXH71" s="684"/>
      <c r="NXI71" s="684"/>
      <c r="NXJ71" s="684"/>
      <c r="NXK71" s="684"/>
      <c r="NXL71" s="684"/>
      <c r="NXM71" s="684"/>
      <c r="NXN71" s="684"/>
      <c r="NXO71" s="684"/>
      <c r="NXP71" s="684"/>
      <c r="NXQ71" s="684"/>
      <c r="NXR71" s="684"/>
      <c r="NXS71" s="684"/>
      <c r="NXT71" s="684"/>
      <c r="NXU71" s="684"/>
      <c r="NXV71" s="684"/>
      <c r="NXW71" s="684"/>
      <c r="NXX71" s="684"/>
      <c r="NXY71" s="684"/>
      <c r="NXZ71" s="684"/>
      <c r="NYA71" s="684"/>
      <c r="NYB71" s="684"/>
      <c r="NYC71" s="684"/>
      <c r="NYD71" s="684"/>
      <c r="NYE71" s="684"/>
      <c r="NYF71" s="684"/>
      <c r="NYG71" s="684"/>
      <c r="NYH71" s="684"/>
      <c r="NYI71" s="684"/>
      <c r="NYJ71" s="684"/>
      <c r="NYK71" s="684"/>
      <c r="NYL71" s="684"/>
      <c r="NYM71" s="684"/>
      <c r="NYN71" s="684"/>
      <c r="NYO71" s="684"/>
      <c r="NYP71" s="684"/>
      <c r="NYQ71" s="684"/>
      <c r="NYR71" s="684"/>
      <c r="NYS71" s="684"/>
      <c r="NYT71" s="684"/>
      <c r="NYU71" s="684"/>
      <c r="NYV71" s="684"/>
      <c r="NYW71" s="684"/>
      <c r="NYX71" s="684"/>
      <c r="NYY71" s="684"/>
      <c r="NYZ71" s="684"/>
      <c r="NZA71" s="684"/>
      <c r="NZB71" s="684"/>
      <c r="NZC71" s="684"/>
      <c r="NZD71" s="684"/>
      <c r="NZE71" s="684"/>
      <c r="NZF71" s="684"/>
      <c r="NZG71" s="684"/>
      <c r="NZH71" s="684"/>
      <c r="NZI71" s="684"/>
      <c r="NZJ71" s="684"/>
      <c r="NZK71" s="684"/>
      <c r="NZL71" s="684"/>
      <c r="NZM71" s="684"/>
      <c r="NZN71" s="684"/>
      <c r="NZO71" s="684"/>
      <c r="NZP71" s="684"/>
      <c r="NZQ71" s="684"/>
      <c r="NZR71" s="684"/>
      <c r="NZS71" s="684"/>
      <c r="NZT71" s="684"/>
      <c r="NZU71" s="684"/>
      <c r="NZV71" s="684"/>
      <c r="NZW71" s="684"/>
      <c r="NZX71" s="684"/>
      <c r="NZY71" s="684"/>
      <c r="NZZ71" s="684"/>
      <c r="OAA71" s="684"/>
      <c r="OAB71" s="684"/>
      <c r="OAC71" s="684"/>
      <c r="OAD71" s="684"/>
      <c r="OAE71" s="684"/>
      <c r="OAF71" s="684"/>
      <c r="OAG71" s="684"/>
      <c r="OAH71" s="684"/>
      <c r="OAI71" s="684"/>
      <c r="OAJ71" s="684"/>
      <c r="OAK71" s="684"/>
      <c r="OAL71" s="684"/>
      <c r="OAM71" s="684"/>
      <c r="OAN71" s="684"/>
      <c r="OAO71" s="684"/>
      <c r="OAP71" s="684"/>
      <c r="OAQ71" s="684"/>
      <c r="OAR71" s="684"/>
      <c r="OAS71" s="684"/>
      <c r="OAT71" s="684"/>
      <c r="OAU71" s="684"/>
      <c r="OAV71" s="684"/>
      <c r="OAW71" s="684"/>
      <c r="OAX71" s="684"/>
      <c r="OAY71" s="684"/>
      <c r="OAZ71" s="684"/>
      <c r="OBA71" s="684"/>
      <c r="OBB71" s="684"/>
      <c r="OBC71" s="684"/>
      <c r="OBD71" s="684"/>
      <c r="OBE71" s="684"/>
      <c r="OBF71" s="684"/>
      <c r="OBG71" s="684"/>
      <c r="OBH71" s="684"/>
      <c r="OBI71" s="684"/>
      <c r="OBJ71" s="684"/>
      <c r="OBK71" s="684"/>
      <c r="OBL71" s="684"/>
      <c r="OBM71" s="684"/>
      <c r="OBN71" s="684"/>
      <c r="OBO71" s="684"/>
      <c r="OBP71" s="684"/>
      <c r="OBQ71" s="684"/>
      <c r="OBR71" s="684"/>
      <c r="OBS71" s="684"/>
      <c r="OBT71" s="684"/>
      <c r="OBU71" s="684"/>
      <c r="OBV71" s="684"/>
      <c r="OBW71" s="684"/>
      <c r="OBX71" s="684"/>
      <c r="OBY71" s="684"/>
      <c r="OBZ71" s="684"/>
      <c r="OCA71" s="684"/>
      <c r="OCB71" s="684"/>
      <c r="OCC71" s="684"/>
      <c r="OCD71" s="684"/>
      <c r="OCE71" s="684"/>
      <c r="OCF71" s="684"/>
      <c r="OCG71" s="684"/>
      <c r="OCH71" s="684"/>
      <c r="OCI71" s="684"/>
      <c r="OCJ71" s="684"/>
      <c r="OCK71" s="684"/>
      <c r="OCL71" s="684"/>
      <c r="OCM71" s="684"/>
      <c r="OCN71" s="684"/>
      <c r="OCO71" s="684"/>
      <c r="OCP71" s="684"/>
      <c r="OCQ71" s="684"/>
      <c r="OCR71" s="684"/>
      <c r="OCS71" s="684"/>
      <c r="OCT71" s="684"/>
      <c r="OCU71" s="684"/>
      <c r="OCV71" s="684"/>
      <c r="OCW71" s="684"/>
      <c r="OCX71" s="684"/>
      <c r="OCY71" s="684"/>
      <c r="OCZ71" s="684"/>
      <c r="ODA71" s="684"/>
      <c r="ODB71" s="684"/>
      <c r="ODC71" s="684"/>
      <c r="ODD71" s="684"/>
      <c r="ODE71" s="684"/>
      <c r="ODF71" s="684"/>
      <c r="ODG71" s="684"/>
      <c r="ODH71" s="684"/>
      <c r="ODI71" s="684"/>
      <c r="ODJ71" s="684"/>
      <c r="ODK71" s="684"/>
      <c r="ODL71" s="684"/>
      <c r="ODM71" s="684"/>
      <c r="ODN71" s="684"/>
      <c r="ODO71" s="684"/>
      <c r="ODP71" s="684"/>
      <c r="ODQ71" s="684"/>
      <c r="ODR71" s="684"/>
      <c r="ODS71" s="684"/>
      <c r="ODT71" s="684"/>
      <c r="ODU71" s="684"/>
      <c r="ODV71" s="684"/>
      <c r="ODW71" s="684"/>
      <c r="ODX71" s="684"/>
      <c r="ODY71" s="684"/>
      <c r="ODZ71" s="684"/>
      <c r="OEA71" s="684"/>
      <c r="OEB71" s="684"/>
      <c r="OEC71" s="684"/>
      <c r="OED71" s="684"/>
      <c r="OEE71" s="684"/>
      <c r="OEF71" s="684"/>
      <c r="OEG71" s="684"/>
      <c r="OEH71" s="684"/>
      <c r="OEI71" s="684"/>
      <c r="OEJ71" s="684"/>
      <c r="OEK71" s="684"/>
      <c r="OEL71" s="684"/>
      <c r="OEM71" s="684"/>
      <c r="OEN71" s="684"/>
      <c r="OEO71" s="684"/>
      <c r="OEP71" s="684"/>
      <c r="OEQ71" s="684"/>
      <c r="OER71" s="684"/>
      <c r="OES71" s="684"/>
      <c r="OET71" s="684"/>
      <c r="OEU71" s="684"/>
      <c r="OEV71" s="684"/>
      <c r="OEW71" s="684"/>
      <c r="OEX71" s="684"/>
      <c r="OEY71" s="684"/>
      <c r="OEZ71" s="684"/>
      <c r="OFA71" s="684"/>
      <c r="OFB71" s="684"/>
      <c r="OFC71" s="684"/>
      <c r="OFD71" s="684"/>
      <c r="OFE71" s="684"/>
      <c r="OFF71" s="684"/>
      <c r="OFG71" s="684"/>
      <c r="OFH71" s="684"/>
      <c r="OFI71" s="684"/>
      <c r="OFJ71" s="684"/>
      <c r="OFK71" s="684"/>
      <c r="OFL71" s="684"/>
      <c r="OFM71" s="684"/>
      <c r="OFN71" s="684"/>
      <c r="OFO71" s="684"/>
      <c r="OFP71" s="684"/>
      <c r="OFQ71" s="684"/>
      <c r="OFR71" s="684"/>
      <c r="OFS71" s="684"/>
      <c r="OFT71" s="684"/>
      <c r="OFU71" s="684"/>
      <c r="OFV71" s="684"/>
      <c r="OFW71" s="684"/>
      <c r="OFX71" s="684"/>
      <c r="OFY71" s="684"/>
      <c r="OFZ71" s="684"/>
      <c r="OGA71" s="684"/>
      <c r="OGB71" s="684"/>
      <c r="OGC71" s="684"/>
      <c r="OGD71" s="684"/>
      <c r="OGE71" s="684"/>
      <c r="OGF71" s="684"/>
      <c r="OGG71" s="684"/>
      <c r="OGH71" s="684"/>
      <c r="OGI71" s="684"/>
      <c r="OGJ71" s="684"/>
      <c r="OGK71" s="684"/>
      <c r="OGL71" s="684"/>
      <c r="OGM71" s="684"/>
      <c r="OGN71" s="684"/>
      <c r="OGO71" s="684"/>
      <c r="OGP71" s="684"/>
      <c r="OGQ71" s="684"/>
      <c r="OGR71" s="684"/>
      <c r="OGS71" s="684"/>
      <c r="OGT71" s="684"/>
      <c r="OGU71" s="684"/>
      <c r="OGV71" s="684"/>
      <c r="OGW71" s="684"/>
      <c r="OGX71" s="684"/>
      <c r="OGY71" s="684"/>
      <c r="OGZ71" s="684"/>
      <c r="OHA71" s="684"/>
      <c r="OHB71" s="684"/>
      <c r="OHC71" s="684"/>
      <c r="OHD71" s="684"/>
      <c r="OHE71" s="684"/>
      <c r="OHF71" s="684"/>
      <c r="OHG71" s="684"/>
      <c r="OHH71" s="684"/>
      <c r="OHI71" s="684"/>
      <c r="OHJ71" s="684"/>
      <c r="OHK71" s="684"/>
      <c r="OHL71" s="684"/>
      <c r="OHM71" s="684"/>
      <c r="OHN71" s="684"/>
      <c r="OHO71" s="684"/>
      <c r="OHP71" s="684"/>
      <c r="OHQ71" s="684"/>
      <c r="OHR71" s="684"/>
      <c r="OHS71" s="684"/>
      <c r="OHT71" s="684"/>
      <c r="OHU71" s="684"/>
      <c r="OHV71" s="684"/>
      <c r="OHW71" s="684"/>
      <c r="OHX71" s="684"/>
      <c r="OHY71" s="684"/>
      <c r="OHZ71" s="684"/>
      <c r="OIA71" s="684"/>
      <c r="OIB71" s="684"/>
      <c r="OIC71" s="684"/>
      <c r="OID71" s="684"/>
      <c r="OIE71" s="684"/>
      <c r="OIF71" s="684"/>
      <c r="OIG71" s="684"/>
      <c r="OIH71" s="684"/>
      <c r="OII71" s="684"/>
      <c r="OIJ71" s="684"/>
      <c r="OIK71" s="684"/>
      <c r="OIL71" s="684"/>
      <c r="OIM71" s="684"/>
      <c r="OIN71" s="684"/>
      <c r="OIO71" s="684"/>
      <c r="OIP71" s="684"/>
      <c r="OIQ71" s="684"/>
      <c r="OIR71" s="684"/>
      <c r="OIS71" s="684"/>
      <c r="OIT71" s="684"/>
      <c r="OIU71" s="684"/>
      <c r="OIV71" s="684"/>
      <c r="OIW71" s="684"/>
      <c r="OIX71" s="684"/>
      <c r="OIY71" s="684"/>
      <c r="OIZ71" s="684"/>
      <c r="OJA71" s="684"/>
      <c r="OJB71" s="684"/>
      <c r="OJC71" s="684"/>
      <c r="OJD71" s="684"/>
      <c r="OJE71" s="684"/>
      <c r="OJF71" s="684"/>
      <c r="OJG71" s="684"/>
      <c r="OJH71" s="684"/>
      <c r="OJI71" s="684"/>
      <c r="OJJ71" s="684"/>
      <c r="OJK71" s="684"/>
      <c r="OJL71" s="684"/>
      <c r="OJM71" s="684"/>
      <c r="OJN71" s="684"/>
      <c r="OJO71" s="684"/>
      <c r="OJP71" s="684"/>
      <c r="OJQ71" s="684"/>
      <c r="OJR71" s="684"/>
      <c r="OJS71" s="684"/>
      <c r="OJT71" s="684"/>
      <c r="OJU71" s="684"/>
      <c r="OJV71" s="684"/>
      <c r="OJW71" s="684"/>
      <c r="OJX71" s="684"/>
      <c r="OJY71" s="684"/>
      <c r="OJZ71" s="684"/>
      <c r="OKA71" s="684"/>
      <c r="OKB71" s="684"/>
      <c r="OKC71" s="684"/>
      <c r="OKD71" s="684"/>
      <c r="OKE71" s="684"/>
      <c r="OKF71" s="684"/>
      <c r="OKG71" s="684"/>
      <c r="OKH71" s="684"/>
      <c r="OKI71" s="684"/>
      <c r="OKJ71" s="684"/>
      <c r="OKK71" s="684"/>
      <c r="OKL71" s="684"/>
      <c r="OKM71" s="684"/>
      <c r="OKN71" s="684"/>
      <c r="OKO71" s="684"/>
      <c r="OKP71" s="684"/>
      <c r="OKQ71" s="684"/>
      <c r="OKR71" s="684"/>
      <c r="OKS71" s="684"/>
      <c r="OKT71" s="684"/>
      <c r="OKU71" s="684"/>
      <c r="OKV71" s="684"/>
      <c r="OKW71" s="684"/>
      <c r="OKX71" s="684"/>
      <c r="OKY71" s="684"/>
      <c r="OKZ71" s="684"/>
      <c r="OLA71" s="684"/>
      <c r="OLB71" s="684"/>
      <c r="OLC71" s="684"/>
      <c r="OLD71" s="684"/>
      <c r="OLE71" s="684"/>
      <c r="OLF71" s="684"/>
      <c r="OLG71" s="684"/>
      <c r="OLH71" s="684"/>
      <c r="OLI71" s="684"/>
      <c r="OLJ71" s="684"/>
      <c r="OLK71" s="684"/>
      <c r="OLL71" s="684"/>
      <c r="OLM71" s="684"/>
      <c r="OLN71" s="684"/>
      <c r="OLO71" s="684"/>
      <c r="OLP71" s="684"/>
      <c r="OLQ71" s="684"/>
      <c r="OLR71" s="684"/>
      <c r="OLS71" s="684"/>
      <c r="OLT71" s="684"/>
      <c r="OLU71" s="684"/>
      <c r="OLV71" s="684"/>
      <c r="OLW71" s="684"/>
      <c r="OLX71" s="684"/>
      <c r="OLY71" s="684"/>
      <c r="OLZ71" s="684"/>
      <c r="OMA71" s="684"/>
      <c r="OMB71" s="684"/>
      <c r="OMC71" s="684"/>
      <c r="OMD71" s="684"/>
      <c r="OME71" s="684"/>
      <c r="OMF71" s="684"/>
      <c r="OMG71" s="684"/>
      <c r="OMH71" s="684"/>
      <c r="OMI71" s="684"/>
      <c r="OMJ71" s="684"/>
      <c r="OMK71" s="684"/>
      <c r="OML71" s="684"/>
      <c r="OMM71" s="684"/>
      <c r="OMN71" s="684"/>
      <c r="OMO71" s="684"/>
      <c r="OMP71" s="684"/>
      <c r="OMQ71" s="684"/>
      <c r="OMR71" s="684"/>
      <c r="OMS71" s="684"/>
      <c r="OMT71" s="684"/>
      <c r="OMU71" s="684"/>
      <c r="OMV71" s="684"/>
      <c r="OMW71" s="684"/>
      <c r="OMX71" s="684"/>
      <c r="OMY71" s="684"/>
      <c r="OMZ71" s="684"/>
      <c r="ONA71" s="684"/>
      <c r="ONB71" s="684"/>
      <c r="ONC71" s="684"/>
      <c r="OND71" s="684"/>
      <c r="ONE71" s="684"/>
      <c r="ONF71" s="684"/>
      <c r="ONG71" s="684"/>
      <c r="ONH71" s="684"/>
      <c r="ONI71" s="684"/>
      <c r="ONJ71" s="684"/>
      <c r="ONK71" s="684"/>
      <c r="ONL71" s="684"/>
      <c r="ONM71" s="684"/>
      <c r="ONN71" s="684"/>
      <c r="ONO71" s="684"/>
      <c r="ONP71" s="684"/>
      <c r="ONQ71" s="684"/>
      <c r="ONR71" s="684"/>
      <c r="ONS71" s="684"/>
      <c r="ONT71" s="684"/>
      <c r="ONU71" s="684"/>
      <c r="ONV71" s="684"/>
      <c r="ONW71" s="684"/>
      <c r="ONX71" s="684"/>
      <c r="ONY71" s="684"/>
      <c r="ONZ71" s="684"/>
      <c r="OOA71" s="684"/>
      <c r="OOB71" s="684"/>
      <c r="OOC71" s="684"/>
      <c r="OOD71" s="684"/>
      <c r="OOE71" s="684"/>
      <c r="OOF71" s="684"/>
      <c r="OOG71" s="684"/>
      <c r="OOH71" s="684"/>
      <c r="OOI71" s="684"/>
      <c r="OOJ71" s="684"/>
      <c r="OOK71" s="684"/>
      <c r="OOL71" s="684"/>
      <c r="OOM71" s="684"/>
      <c r="OON71" s="684"/>
      <c r="OOO71" s="684"/>
      <c r="OOP71" s="684"/>
      <c r="OOQ71" s="684"/>
      <c r="OOR71" s="684"/>
      <c r="OOS71" s="684"/>
      <c r="OOT71" s="684"/>
      <c r="OOU71" s="684"/>
      <c r="OOV71" s="684"/>
      <c r="OOW71" s="684"/>
      <c r="OOX71" s="684"/>
      <c r="OOY71" s="684"/>
      <c r="OOZ71" s="684"/>
      <c r="OPA71" s="684"/>
      <c r="OPB71" s="684"/>
      <c r="OPC71" s="684"/>
      <c r="OPD71" s="684"/>
      <c r="OPE71" s="684"/>
      <c r="OPF71" s="684"/>
      <c r="OPG71" s="684"/>
      <c r="OPH71" s="684"/>
      <c r="OPI71" s="684"/>
      <c r="OPJ71" s="684"/>
      <c r="OPK71" s="684"/>
      <c r="OPL71" s="684"/>
      <c r="OPM71" s="684"/>
      <c r="OPN71" s="684"/>
      <c r="OPO71" s="684"/>
      <c r="OPP71" s="684"/>
      <c r="OPQ71" s="684"/>
      <c r="OPR71" s="684"/>
      <c r="OPS71" s="684"/>
      <c r="OPT71" s="684"/>
      <c r="OPU71" s="684"/>
      <c r="OPV71" s="684"/>
      <c r="OPW71" s="684"/>
      <c r="OPX71" s="684"/>
      <c r="OPY71" s="684"/>
      <c r="OPZ71" s="684"/>
      <c r="OQA71" s="684"/>
      <c r="OQB71" s="684"/>
      <c r="OQC71" s="684"/>
      <c r="OQD71" s="684"/>
      <c r="OQE71" s="684"/>
      <c r="OQF71" s="684"/>
      <c r="OQG71" s="684"/>
      <c r="OQH71" s="684"/>
      <c r="OQI71" s="684"/>
      <c r="OQJ71" s="684"/>
      <c r="OQK71" s="684"/>
      <c r="OQL71" s="684"/>
      <c r="OQM71" s="684"/>
      <c r="OQN71" s="684"/>
      <c r="OQO71" s="684"/>
      <c r="OQP71" s="684"/>
      <c r="OQQ71" s="684"/>
      <c r="OQR71" s="684"/>
      <c r="OQS71" s="684"/>
      <c r="OQT71" s="684"/>
      <c r="OQU71" s="684"/>
      <c r="OQV71" s="684"/>
      <c r="OQW71" s="684"/>
      <c r="OQX71" s="684"/>
      <c r="OQY71" s="684"/>
      <c r="OQZ71" s="684"/>
      <c r="ORA71" s="684"/>
      <c r="ORB71" s="684"/>
      <c r="ORC71" s="684"/>
      <c r="ORD71" s="684"/>
      <c r="ORE71" s="684"/>
      <c r="ORF71" s="684"/>
      <c r="ORG71" s="684"/>
      <c r="ORH71" s="684"/>
      <c r="ORI71" s="684"/>
      <c r="ORJ71" s="684"/>
      <c r="ORK71" s="684"/>
      <c r="ORL71" s="684"/>
      <c r="ORM71" s="684"/>
      <c r="ORN71" s="684"/>
      <c r="ORO71" s="684"/>
      <c r="ORP71" s="684"/>
      <c r="ORQ71" s="684"/>
      <c r="ORR71" s="684"/>
      <c r="ORS71" s="684"/>
      <c r="ORT71" s="684"/>
      <c r="ORU71" s="684"/>
      <c r="ORV71" s="684"/>
      <c r="ORW71" s="684"/>
      <c r="ORX71" s="684"/>
      <c r="ORY71" s="684"/>
      <c r="ORZ71" s="684"/>
      <c r="OSA71" s="684"/>
      <c r="OSB71" s="684"/>
      <c r="OSC71" s="684"/>
      <c r="OSD71" s="684"/>
      <c r="OSE71" s="684"/>
      <c r="OSF71" s="684"/>
      <c r="OSG71" s="684"/>
      <c r="OSH71" s="684"/>
      <c r="OSI71" s="684"/>
      <c r="OSJ71" s="684"/>
      <c r="OSK71" s="684"/>
      <c r="OSL71" s="684"/>
      <c r="OSM71" s="684"/>
      <c r="OSN71" s="684"/>
      <c r="OSO71" s="684"/>
      <c r="OSP71" s="684"/>
      <c r="OSQ71" s="684"/>
      <c r="OSR71" s="684"/>
      <c r="OSS71" s="684"/>
      <c r="OST71" s="684"/>
      <c r="OSU71" s="684"/>
      <c r="OSV71" s="684"/>
      <c r="OSW71" s="684"/>
      <c r="OSX71" s="684"/>
      <c r="OSY71" s="684"/>
      <c r="OSZ71" s="684"/>
      <c r="OTA71" s="684"/>
      <c r="OTB71" s="684"/>
      <c r="OTC71" s="684"/>
      <c r="OTD71" s="684"/>
      <c r="OTE71" s="684"/>
      <c r="OTF71" s="684"/>
      <c r="OTG71" s="684"/>
      <c r="OTH71" s="684"/>
      <c r="OTI71" s="684"/>
      <c r="OTJ71" s="684"/>
      <c r="OTK71" s="684"/>
      <c r="OTL71" s="684"/>
      <c r="OTM71" s="684"/>
      <c r="OTN71" s="684"/>
      <c r="OTO71" s="684"/>
      <c r="OTP71" s="684"/>
      <c r="OTQ71" s="684"/>
      <c r="OTR71" s="684"/>
      <c r="OTS71" s="684"/>
      <c r="OTT71" s="684"/>
      <c r="OTU71" s="684"/>
      <c r="OTV71" s="684"/>
      <c r="OTW71" s="684"/>
      <c r="OTX71" s="684"/>
      <c r="OTY71" s="684"/>
      <c r="OTZ71" s="684"/>
      <c r="OUA71" s="684"/>
      <c r="OUB71" s="684"/>
      <c r="OUC71" s="684"/>
      <c r="OUD71" s="684"/>
      <c r="OUE71" s="684"/>
      <c r="OUF71" s="684"/>
      <c r="OUG71" s="684"/>
      <c r="OUH71" s="684"/>
      <c r="OUI71" s="684"/>
      <c r="OUJ71" s="684"/>
      <c r="OUK71" s="684"/>
      <c r="OUL71" s="684"/>
      <c r="OUM71" s="684"/>
      <c r="OUN71" s="684"/>
      <c r="OUO71" s="684"/>
      <c r="OUP71" s="684"/>
      <c r="OUQ71" s="684"/>
      <c r="OUR71" s="684"/>
      <c r="OUS71" s="684"/>
      <c r="OUT71" s="684"/>
      <c r="OUU71" s="684"/>
      <c r="OUV71" s="684"/>
      <c r="OUW71" s="684"/>
      <c r="OUX71" s="684"/>
      <c r="OUY71" s="684"/>
      <c r="OUZ71" s="684"/>
      <c r="OVA71" s="684"/>
      <c r="OVB71" s="684"/>
      <c r="OVC71" s="684"/>
      <c r="OVD71" s="684"/>
      <c r="OVE71" s="684"/>
      <c r="OVF71" s="684"/>
      <c r="OVG71" s="684"/>
      <c r="OVH71" s="684"/>
      <c r="OVI71" s="684"/>
      <c r="OVJ71" s="684"/>
      <c r="OVK71" s="684"/>
      <c r="OVL71" s="684"/>
      <c r="OVM71" s="684"/>
      <c r="OVN71" s="684"/>
      <c r="OVO71" s="684"/>
      <c r="OVP71" s="684"/>
      <c r="OVQ71" s="684"/>
      <c r="OVR71" s="684"/>
      <c r="OVS71" s="684"/>
      <c r="OVT71" s="684"/>
      <c r="OVU71" s="684"/>
      <c r="OVV71" s="684"/>
      <c r="OVW71" s="684"/>
      <c r="OVX71" s="684"/>
      <c r="OVY71" s="684"/>
      <c r="OVZ71" s="684"/>
      <c r="OWA71" s="684"/>
      <c r="OWB71" s="684"/>
      <c r="OWC71" s="684"/>
      <c r="OWD71" s="684"/>
      <c r="OWE71" s="684"/>
      <c r="OWF71" s="684"/>
      <c r="OWG71" s="684"/>
      <c r="OWH71" s="684"/>
      <c r="OWI71" s="684"/>
      <c r="OWJ71" s="684"/>
      <c r="OWK71" s="684"/>
      <c r="OWL71" s="684"/>
      <c r="OWM71" s="684"/>
      <c r="OWN71" s="684"/>
      <c r="OWO71" s="684"/>
      <c r="OWP71" s="684"/>
      <c r="OWQ71" s="684"/>
      <c r="OWR71" s="684"/>
      <c r="OWS71" s="684"/>
      <c r="OWT71" s="684"/>
      <c r="OWU71" s="684"/>
      <c r="OWV71" s="684"/>
      <c r="OWW71" s="684"/>
      <c r="OWX71" s="684"/>
      <c r="OWY71" s="684"/>
      <c r="OWZ71" s="684"/>
      <c r="OXA71" s="684"/>
      <c r="OXB71" s="684"/>
      <c r="OXC71" s="684"/>
      <c r="OXD71" s="684"/>
      <c r="OXE71" s="684"/>
      <c r="OXF71" s="684"/>
      <c r="OXG71" s="684"/>
      <c r="OXH71" s="684"/>
      <c r="OXI71" s="684"/>
      <c r="OXJ71" s="684"/>
      <c r="OXK71" s="684"/>
      <c r="OXL71" s="684"/>
      <c r="OXM71" s="684"/>
      <c r="OXN71" s="684"/>
      <c r="OXO71" s="684"/>
      <c r="OXP71" s="684"/>
      <c r="OXQ71" s="684"/>
      <c r="OXR71" s="684"/>
      <c r="OXS71" s="684"/>
      <c r="OXT71" s="684"/>
      <c r="OXU71" s="684"/>
      <c r="OXV71" s="684"/>
      <c r="OXW71" s="684"/>
      <c r="OXX71" s="684"/>
      <c r="OXY71" s="684"/>
      <c r="OXZ71" s="684"/>
      <c r="OYA71" s="684"/>
      <c r="OYB71" s="684"/>
      <c r="OYC71" s="684"/>
      <c r="OYD71" s="684"/>
      <c r="OYE71" s="684"/>
      <c r="OYF71" s="684"/>
      <c r="OYG71" s="684"/>
      <c r="OYH71" s="684"/>
      <c r="OYI71" s="684"/>
      <c r="OYJ71" s="684"/>
      <c r="OYK71" s="684"/>
      <c r="OYL71" s="684"/>
      <c r="OYM71" s="684"/>
      <c r="OYN71" s="684"/>
      <c r="OYO71" s="684"/>
      <c r="OYP71" s="684"/>
      <c r="OYQ71" s="684"/>
      <c r="OYR71" s="684"/>
      <c r="OYS71" s="684"/>
      <c r="OYT71" s="684"/>
      <c r="OYU71" s="684"/>
      <c r="OYV71" s="684"/>
      <c r="OYW71" s="684"/>
      <c r="OYX71" s="684"/>
      <c r="OYY71" s="684"/>
      <c r="OYZ71" s="684"/>
      <c r="OZA71" s="684"/>
      <c r="OZB71" s="684"/>
      <c r="OZC71" s="684"/>
      <c r="OZD71" s="684"/>
      <c r="OZE71" s="684"/>
      <c r="OZF71" s="684"/>
      <c r="OZG71" s="684"/>
      <c r="OZH71" s="684"/>
      <c r="OZI71" s="684"/>
      <c r="OZJ71" s="684"/>
      <c r="OZK71" s="684"/>
      <c r="OZL71" s="684"/>
      <c r="OZM71" s="684"/>
      <c r="OZN71" s="684"/>
      <c r="OZO71" s="684"/>
      <c r="OZP71" s="684"/>
      <c r="OZQ71" s="684"/>
      <c r="OZR71" s="684"/>
      <c r="OZS71" s="684"/>
      <c r="OZT71" s="684"/>
      <c r="OZU71" s="684"/>
      <c r="OZV71" s="684"/>
      <c r="OZW71" s="684"/>
      <c r="OZX71" s="684"/>
      <c r="OZY71" s="684"/>
      <c r="OZZ71" s="684"/>
      <c r="PAA71" s="684"/>
      <c r="PAB71" s="684"/>
      <c r="PAC71" s="684"/>
      <c r="PAD71" s="684"/>
      <c r="PAE71" s="684"/>
      <c r="PAF71" s="684"/>
      <c r="PAG71" s="684"/>
      <c r="PAH71" s="684"/>
      <c r="PAI71" s="684"/>
      <c r="PAJ71" s="684"/>
      <c r="PAK71" s="684"/>
      <c r="PAL71" s="684"/>
      <c r="PAM71" s="684"/>
      <c r="PAN71" s="684"/>
      <c r="PAO71" s="684"/>
      <c r="PAP71" s="684"/>
      <c r="PAQ71" s="684"/>
      <c r="PAR71" s="684"/>
      <c r="PAS71" s="684"/>
      <c r="PAT71" s="684"/>
      <c r="PAU71" s="684"/>
      <c r="PAV71" s="684"/>
      <c r="PAW71" s="684"/>
      <c r="PAX71" s="684"/>
      <c r="PAY71" s="684"/>
      <c r="PAZ71" s="684"/>
      <c r="PBA71" s="684"/>
      <c r="PBB71" s="684"/>
      <c r="PBC71" s="684"/>
      <c r="PBD71" s="684"/>
      <c r="PBE71" s="684"/>
      <c r="PBF71" s="684"/>
      <c r="PBG71" s="684"/>
      <c r="PBH71" s="684"/>
      <c r="PBI71" s="684"/>
      <c r="PBJ71" s="684"/>
      <c r="PBK71" s="684"/>
      <c r="PBL71" s="684"/>
      <c r="PBM71" s="684"/>
      <c r="PBN71" s="684"/>
      <c r="PBO71" s="684"/>
      <c r="PBP71" s="684"/>
      <c r="PBQ71" s="684"/>
      <c r="PBR71" s="684"/>
      <c r="PBS71" s="684"/>
      <c r="PBT71" s="684"/>
      <c r="PBU71" s="684"/>
      <c r="PBV71" s="684"/>
      <c r="PBW71" s="684"/>
      <c r="PBX71" s="684"/>
      <c r="PBY71" s="684"/>
      <c r="PBZ71" s="684"/>
      <c r="PCA71" s="684"/>
      <c r="PCB71" s="684"/>
      <c r="PCC71" s="684"/>
      <c r="PCD71" s="684"/>
      <c r="PCE71" s="684"/>
      <c r="PCF71" s="684"/>
      <c r="PCG71" s="684"/>
      <c r="PCH71" s="684"/>
      <c r="PCI71" s="684"/>
      <c r="PCJ71" s="684"/>
      <c r="PCK71" s="684"/>
      <c r="PCL71" s="684"/>
      <c r="PCM71" s="684"/>
      <c r="PCN71" s="684"/>
      <c r="PCO71" s="684"/>
      <c r="PCP71" s="684"/>
      <c r="PCQ71" s="684"/>
      <c r="PCR71" s="684"/>
      <c r="PCS71" s="684"/>
      <c r="PCT71" s="684"/>
      <c r="PCU71" s="684"/>
      <c r="PCV71" s="684"/>
      <c r="PCW71" s="684"/>
      <c r="PCX71" s="684"/>
      <c r="PCY71" s="684"/>
      <c r="PCZ71" s="684"/>
      <c r="PDA71" s="684"/>
      <c r="PDB71" s="684"/>
      <c r="PDC71" s="684"/>
      <c r="PDD71" s="684"/>
      <c r="PDE71" s="684"/>
      <c r="PDF71" s="684"/>
      <c r="PDG71" s="684"/>
      <c r="PDH71" s="684"/>
      <c r="PDI71" s="684"/>
      <c r="PDJ71" s="684"/>
      <c r="PDK71" s="684"/>
      <c r="PDL71" s="684"/>
      <c r="PDM71" s="684"/>
      <c r="PDN71" s="684"/>
      <c r="PDO71" s="684"/>
      <c r="PDP71" s="684"/>
      <c r="PDQ71" s="684"/>
      <c r="PDR71" s="684"/>
      <c r="PDS71" s="684"/>
      <c r="PDT71" s="684"/>
      <c r="PDU71" s="684"/>
      <c r="PDV71" s="684"/>
      <c r="PDW71" s="684"/>
      <c r="PDX71" s="684"/>
      <c r="PDY71" s="684"/>
      <c r="PDZ71" s="684"/>
      <c r="PEA71" s="684"/>
      <c r="PEB71" s="684"/>
      <c r="PEC71" s="684"/>
      <c r="PED71" s="684"/>
      <c r="PEE71" s="684"/>
      <c r="PEF71" s="684"/>
      <c r="PEG71" s="684"/>
      <c r="PEH71" s="684"/>
      <c r="PEI71" s="684"/>
      <c r="PEJ71" s="684"/>
      <c r="PEK71" s="684"/>
      <c r="PEL71" s="684"/>
      <c r="PEM71" s="684"/>
      <c r="PEN71" s="684"/>
      <c r="PEO71" s="684"/>
      <c r="PEP71" s="684"/>
      <c r="PEQ71" s="684"/>
      <c r="PER71" s="684"/>
      <c r="PES71" s="684"/>
      <c r="PET71" s="684"/>
      <c r="PEU71" s="684"/>
      <c r="PEV71" s="684"/>
      <c r="PEW71" s="684"/>
      <c r="PEX71" s="684"/>
      <c r="PEY71" s="684"/>
      <c r="PEZ71" s="684"/>
      <c r="PFA71" s="684"/>
      <c r="PFB71" s="684"/>
      <c r="PFC71" s="684"/>
      <c r="PFD71" s="684"/>
      <c r="PFE71" s="684"/>
      <c r="PFF71" s="684"/>
      <c r="PFG71" s="684"/>
      <c r="PFH71" s="684"/>
      <c r="PFI71" s="684"/>
      <c r="PFJ71" s="684"/>
      <c r="PFK71" s="684"/>
      <c r="PFL71" s="684"/>
      <c r="PFM71" s="684"/>
      <c r="PFN71" s="684"/>
      <c r="PFO71" s="684"/>
      <c r="PFP71" s="684"/>
      <c r="PFQ71" s="684"/>
      <c r="PFR71" s="684"/>
      <c r="PFS71" s="684"/>
      <c r="PFT71" s="684"/>
      <c r="PFU71" s="684"/>
      <c r="PFV71" s="684"/>
      <c r="PFW71" s="684"/>
      <c r="PFX71" s="684"/>
      <c r="PFY71" s="684"/>
      <c r="PFZ71" s="684"/>
      <c r="PGA71" s="684"/>
      <c r="PGB71" s="684"/>
      <c r="PGC71" s="684"/>
      <c r="PGD71" s="684"/>
      <c r="PGE71" s="684"/>
      <c r="PGF71" s="684"/>
      <c r="PGG71" s="684"/>
      <c r="PGH71" s="684"/>
      <c r="PGI71" s="684"/>
      <c r="PGJ71" s="684"/>
      <c r="PGK71" s="684"/>
      <c r="PGL71" s="684"/>
      <c r="PGM71" s="684"/>
      <c r="PGN71" s="684"/>
      <c r="PGO71" s="684"/>
      <c r="PGP71" s="684"/>
      <c r="PGQ71" s="684"/>
      <c r="PGR71" s="684"/>
      <c r="PGS71" s="684"/>
      <c r="PGT71" s="684"/>
      <c r="PGU71" s="684"/>
      <c r="PGV71" s="684"/>
      <c r="PGW71" s="684"/>
      <c r="PGX71" s="684"/>
      <c r="PGY71" s="684"/>
      <c r="PGZ71" s="684"/>
      <c r="PHA71" s="684"/>
      <c r="PHB71" s="684"/>
      <c r="PHC71" s="684"/>
      <c r="PHD71" s="684"/>
      <c r="PHE71" s="684"/>
      <c r="PHF71" s="684"/>
      <c r="PHG71" s="684"/>
      <c r="PHH71" s="684"/>
      <c r="PHI71" s="684"/>
      <c r="PHJ71" s="684"/>
      <c r="PHK71" s="684"/>
      <c r="PHL71" s="684"/>
      <c r="PHM71" s="684"/>
      <c r="PHN71" s="684"/>
      <c r="PHO71" s="684"/>
      <c r="PHP71" s="684"/>
      <c r="PHQ71" s="684"/>
      <c r="PHR71" s="684"/>
      <c r="PHS71" s="684"/>
      <c r="PHT71" s="684"/>
      <c r="PHU71" s="684"/>
      <c r="PHV71" s="684"/>
      <c r="PHW71" s="684"/>
      <c r="PHX71" s="684"/>
      <c r="PHY71" s="684"/>
      <c r="PHZ71" s="684"/>
      <c r="PIA71" s="684"/>
      <c r="PIB71" s="684"/>
      <c r="PIC71" s="684"/>
      <c r="PID71" s="684"/>
      <c r="PIE71" s="684"/>
      <c r="PIF71" s="684"/>
      <c r="PIG71" s="684"/>
      <c r="PIH71" s="684"/>
      <c r="PII71" s="684"/>
      <c r="PIJ71" s="684"/>
      <c r="PIK71" s="684"/>
      <c r="PIL71" s="684"/>
      <c r="PIM71" s="684"/>
      <c r="PIN71" s="684"/>
      <c r="PIO71" s="684"/>
      <c r="PIP71" s="684"/>
      <c r="PIQ71" s="684"/>
      <c r="PIR71" s="684"/>
      <c r="PIS71" s="684"/>
      <c r="PIT71" s="684"/>
      <c r="PIU71" s="684"/>
      <c r="PIV71" s="684"/>
      <c r="PIW71" s="684"/>
      <c r="PIX71" s="684"/>
      <c r="PIY71" s="684"/>
      <c r="PIZ71" s="684"/>
      <c r="PJA71" s="684"/>
      <c r="PJB71" s="684"/>
      <c r="PJC71" s="684"/>
      <c r="PJD71" s="684"/>
      <c r="PJE71" s="684"/>
      <c r="PJF71" s="684"/>
      <c r="PJG71" s="684"/>
      <c r="PJH71" s="684"/>
      <c r="PJI71" s="684"/>
      <c r="PJJ71" s="684"/>
      <c r="PJK71" s="684"/>
      <c r="PJL71" s="684"/>
      <c r="PJM71" s="684"/>
      <c r="PJN71" s="684"/>
      <c r="PJO71" s="684"/>
      <c r="PJP71" s="684"/>
      <c r="PJQ71" s="684"/>
      <c r="PJR71" s="684"/>
      <c r="PJS71" s="684"/>
      <c r="PJT71" s="684"/>
      <c r="PJU71" s="684"/>
      <c r="PJV71" s="684"/>
      <c r="PJW71" s="684"/>
      <c r="PJX71" s="684"/>
      <c r="PJY71" s="684"/>
      <c r="PJZ71" s="684"/>
      <c r="PKA71" s="684"/>
      <c r="PKB71" s="684"/>
      <c r="PKC71" s="684"/>
      <c r="PKD71" s="684"/>
      <c r="PKE71" s="684"/>
      <c r="PKF71" s="684"/>
      <c r="PKG71" s="684"/>
      <c r="PKH71" s="684"/>
      <c r="PKI71" s="684"/>
      <c r="PKJ71" s="684"/>
      <c r="PKK71" s="684"/>
      <c r="PKL71" s="684"/>
      <c r="PKM71" s="684"/>
      <c r="PKN71" s="684"/>
      <c r="PKO71" s="684"/>
      <c r="PKP71" s="684"/>
      <c r="PKQ71" s="684"/>
      <c r="PKR71" s="684"/>
      <c r="PKS71" s="684"/>
      <c r="PKT71" s="684"/>
      <c r="PKU71" s="684"/>
      <c r="PKV71" s="684"/>
      <c r="PKW71" s="684"/>
      <c r="PKX71" s="684"/>
      <c r="PKY71" s="684"/>
      <c r="PKZ71" s="684"/>
      <c r="PLA71" s="684"/>
      <c r="PLB71" s="684"/>
      <c r="PLC71" s="684"/>
      <c r="PLD71" s="684"/>
      <c r="PLE71" s="684"/>
      <c r="PLF71" s="684"/>
      <c r="PLG71" s="684"/>
      <c r="PLH71" s="684"/>
      <c r="PLI71" s="684"/>
      <c r="PLJ71" s="684"/>
      <c r="PLK71" s="684"/>
      <c r="PLL71" s="684"/>
      <c r="PLM71" s="684"/>
      <c r="PLN71" s="684"/>
      <c r="PLO71" s="684"/>
      <c r="PLP71" s="684"/>
      <c r="PLQ71" s="684"/>
      <c r="PLR71" s="684"/>
      <c r="PLS71" s="684"/>
      <c r="PLT71" s="684"/>
      <c r="PLU71" s="684"/>
      <c r="PLV71" s="684"/>
      <c r="PLW71" s="684"/>
      <c r="PLX71" s="684"/>
      <c r="PLY71" s="684"/>
      <c r="PLZ71" s="684"/>
      <c r="PMA71" s="684"/>
      <c r="PMB71" s="684"/>
      <c r="PMC71" s="684"/>
      <c r="PMD71" s="684"/>
      <c r="PME71" s="684"/>
      <c r="PMF71" s="684"/>
      <c r="PMG71" s="684"/>
      <c r="PMH71" s="684"/>
      <c r="PMI71" s="684"/>
      <c r="PMJ71" s="684"/>
      <c r="PMK71" s="684"/>
      <c r="PML71" s="684"/>
      <c r="PMM71" s="684"/>
      <c r="PMN71" s="684"/>
      <c r="PMO71" s="684"/>
      <c r="PMP71" s="684"/>
      <c r="PMQ71" s="684"/>
      <c r="PMR71" s="684"/>
      <c r="PMS71" s="684"/>
      <c r="PMT71" s="684"/>
      <c r="PMU71" s="684"/>
      <c r="PMV71" s="684"/>
      <c r="PMW71" s="684"/>
      <c r="PMX71" s="684"/>
      <c r="PMY71" s="684"/>
      <c r="PMZ71" s="684"/>
      <c r="PNA71" s="684"/>
      <c r="PNB71" s="684"/>
      <c r="PNC71" s="684"/>
      <c r="PND71" s="684"/>
      <c r="PNE71" s="684"/>
      <c r="PNF71" s="684"/>
      <c r="PNG71" s="684"/>
      <c r="PNH71" s="684"/>
      <c r="PNI71" s="684"/>
      <c r="PNJ71" s="684"/>
      <c r="PNK71" s="684"/>
      <c r="PNL71" s="684"/>
      <c r="PNM71" s="684"/>
      <c r="PNN71" s="684"/>
      <c r="PNO71" s="684"/>
      <c r="PNP71" s="684"/>
      <c r="PNQ71" s="684"/>
      <c r="PNR71" s="684"/>
      <c r="PNS71" s="684"/>
      <c r="PNT71" s="684"/>
      <c r="PNU71" s="684"/>
      <c r="PNV71" s="684"/>
      <c r="PNW71" s="684"/>
      <c r="PNX71" s="684"/>
      <c r="PNY71" s="684"/>
      <c r="PNZ71" s="684"/>
      <c r="POA71" s="684"/>
      <c r="POB71" s="684"/>
      <c r="POC71" s="684"/>
      <c r="POD71" s="684"/>
      <c r="POE71" s="684"/>
      <c r="POF71" s="684"/>
      <c r="POG71" s="684"/>
      <c r="POH71" s="684"/>
      <c r="POI71" s="684"/>
      <c r="POJ71" s="684"/>
      <c r="POK71" s="684"/>
      <c r="POL71" s="684"/>
      <c r="POM71" s="684"/>
      <c r="PON71" s="684"/>
      <c r="POO71" s="684"/>
      <c r="POP71" s="684"/>
      <c r="POQ71" s="684"/>
      <c r="POR71" s="684"/>
      <c r="POS71" s="684"/>
      <c r="POT71" s="684"/>
      <c r="POU71" s="684"/>
      <c r="POV71" s="684"/>
      <c r="POW71" s="684"/>
      <c r="POX71" s="684"/>
      <c r="POY71" s="684"/>
      <c r="POZ71" s="684"/>
      <c r="PPA71" s="684"/>
      <c r="PPB71" s="684"/>
      <c r="PPC71" s="684"/>
      <c r="PPD71" s="684"/>
      <c r="PPE71" s="684"/>
      <c r="PPF71" s="684"/>
      <c r="PPG71" s="684"/>
      <c r="PPH71" s="684"/>
      <c r="PPI71" s="684"/>
      <c r="PPJ71" s="684"/>
      <c r="PPK71" s="684"/>
      <c r="PPL71" s="684"/>
      <c r="PPM71" s="684"/>
      <c r="PPN71" s="684"/>
      <c r="PPO71" s="684"/>
      <c r="PPP71" s="684"/>
      <c r="PPQ71" s="684"/>
      <c r="PPR71" s="684"/>
      <c r="PPS71" s="684"/>
      <c r="PPT71" s="684"/>
      <c r="PPU71" s="684"/>
      <c r="PPV71" s="684"/>
      <c r="PPW71" s="684"/>
      <c r="PPX71" s="684"/>
      <c r="PPY71" s="684"/>
      <c r="PPZ71" s="684"/>
      <c r="PQA71" s="684"/>
      <c r="PQB71" s="684"/>
      <c r="PQC71" s="684"/>
      <c r="PQD71" s="684"/>
      <c r="PQE71" s="684"/>
      <c r="PQF71" s="684"/>
      <c r="PQG71" s="684"/>
      <c r="PQH71" s="684"/>
      <c r="PQI71" s="684"/>
      <c r="PQJ71" s="684"/>
      <c r="PQK71" s="684"/>
      <c r="PQL71" s="684"/>
      <c r="PQM71" s="684"/>
      <c r="PQN71" s="684"/>
      <c r="PQO71" s="684"/>
      <c r="PQP71" s="684"/>
      <c r="PQQ71" s="684"/>
      <c r="PQR71" s="684"/>
      <c r="PQS71" s="684"/>
      <c r="PQT71" s="684"/>
      <c r="PQU71" s="684"/>
      <c r="PQV71" s="684"/>
      <c r="PQW71" s="684"/>
      <c r="PQX71" s="684"/>
      <c r="PQY71" s="684"/>
      <c r="PQZ71" s="684"/>
      <c r="PRA71" s="684"/>
      <c r="PRB71" s="684"/>
      <c r="PRC71" s="684"/>
      <c r="PRD71" s="684"/>
      <c r="PRE71" s="684"/>
      <c r="PRF71" s="684"/>
      <c r="PRG71" s="684"/>
      <c r="PRH71" s="684"/>
      <c r="PRI71" s="684"/>
      <c r="PRJ71" s="684"/>
      <c r="PRK71" s="684"/>
      <c r="PRL71" s="684"/>
      <c r="PRM71" s="684"/>
      <c r="PRN71" s="684"/>
      <c r="PRO71" s="684"/>
      <c r="PRP71" s="684"/>
      <c r="PRQ71" s="684"/>
      <c r="PRR71" s="684"/>
      <c r="PRS71" s="684"/>
      <c r="PRT71" s="684"/>
      <c r="PRU71" s="684"/>
      <c r="PRV71" s="684"/>
      <c r="PRW71" s="684"/>
      <c r="PRX71" s="684"/>
      <c r="PRY71" s="684"/>
      <c r="PRZ71" s="684"/>
      <c r="PSA71" s="684"/>
      <c r="PSB71" s="684"/>
      <c r="PSC71" s="684"/>
      <c r="PSD71" s="684"/>
      <c r="PSE71" s="684"/>
      <c r="PSF71" s="684"/>
      <c r="PSG71" s="684"/>
      <c r="PSH71" s="684"/>
      <c r="PSI71" s="684"/>
      <c r="PSJ71" s="684"/>
      <c r="PSK71" s="684"/>
      <c r="PSL71" s="684"/>
      <c r="PSM71" s="684"/>
      <c r="PSN71" s="684"/>
      <c r="PSO71" s="684"/>
      <c r="PSP71" s="684"/>
      <c r="PSQ71" s="684"/>
      <c r="PSR71" s="684"/>
      <c r="PSS71" s="684"/>
      <c r="PST71" s="684"/>
      <c r="PSU71" s="684"/>
      <c r="PSV71" s="684"/>
      <c r="PSW71" s="684"/>
      <c r="PSX71" s="684"/>
      <c r="PSY71" s="684"/>
      <c r="PSZ71" s="684"/>
      <c r="PTA71" s="684"/>
      <c r="PTB71" s="684"/>
      <c r="PTC71" s="684"/>
      <c r="PTD71" s="684"/>
      <c r="PTE71" s="684"/>
      <c r="PTF71" s="684"/>
      <c r="PTG71" s="684"/>
      <c r="PTH71" s="684"/>
      <c r="PTI71" s="684"/>
      <c r="PTJ71" s="684"/>
      <c r="PTK71" s="684"/>
      <c r="PTL71" s="684"/>
      <c r="PTM71" s="684"/>
      <c r="PTN71" s="684"/>
      <c r="PTO71" s="684"/>
      <c r="PTP71" s="684"/>
      <c r="PTQ71" s="684"/>
      <c r="PTR71" s="684"/>
      <c r="PTS71" s="684"/>
      <c r="PTT71" s="684"/>
      <c r="PTU71" s="684"/>
      <c r="PTV71" s="684"/>
      <c r="PTW71" s="684"/>
      <c r="PTX71" s="684"/>
      <c r="PTY71" s="684"/>
      <c r="PTZ71" s="684"/>
      <c r="PUA71" s="684"/>
      <c r="PUB71" s="684"/>
      <c r="PUC71" s="684"/>
      <c r="PUD71" s="684"/>
      <c r="PUE71" s="684"/>
      <c r="PUF71" s="684"/>
      <c r="PUG71" s="684"/>
      <c r="PUH71" s="684"/>
      <c r="PUI71" s="684"/>
      <c r="PUJ71" s="684"/>
      <c r="PUK71" s="684"/>
      <c r="PUL71" s="684"/>
      <c r="PUM71" s="684"/>
      <c r="PUN71" s="684"/>
      <c r="PUO71" s="684"/>
      <c r="PUP71" s="684"/>
      <c r="PUQ71" s="684"/>
      <c r="PUR71" s="684"/>
      <c r="PUS71" s="684"/>
      <c r="PUT71" s="684"/>
      <c r="PUU71" s="684"/>
      <c r="PUV71" s="684"/>
      <c r="PUW71" s="684"/>
      <c r="PUX71" s="684"/>
      <c r="PUY71" s="684"/>
      <c r="PUZ71" s="684"/>
      <c r="PVA71" s="684"/>
      <c r="PVB71" s="684"/>
      <c r="PVC71" s="684"/>
      <c r="PVD71" s="684"/>
      <c r="PVE71" s="684"/>
      <c r="PVF71" s="684"/>
      <c r="PVG71" s="684"/>
      <c r="PVH71" s="684"/>
      <c r="PVI71" s="684"/>
      <c r="PVJ71" s="684"/>
      <c r="PVK71" s="684"/>
      <c r="PVL71" s="684"/>
      <c r="PVM71" s="684"/>
      <c r="PVN71" s="684"/>
      <c r="PVO71" s="684"/>
      <c r="PVP71" s="684"/>
      <c r="PVQ71" s="684"/>
      <c r="PVR71" s="684"/>
      <c r="PVS71" s="684"/>
      <c r="PVT71" s="684"/>
      <c r="PVU71" s="684"/>
      <c r="PVV71" s="684"/>
      <c r="PVW71" s="684"/>
      <c r="PVX71" s="684"/>
      <c r="PVY71" s="684"/>
      <c r="PVZ71" s="684"/>
      <c r="PWA71" s="684"/>
      <c r="PWB71" s="684"/>
      <c r="PWC71" s="684"/>
      <c r="PWD71" s="684"/>
      <c r="PWE71" s="684"/>
      <c r="PWF71" s="684"/>
      <c r="PWG71" s="684"/>
      <c r="PWH71" s="684"/>
      <c r="PWI71" s="684"/>
      <c r="PWJ71" s="684"/>
      <c r="PWK71" s="684"/>
      <c r="PWL71" s="684"/>
      <c r="PWM71" s="684"/>
      <c r="PWN71" s="684"/>
      <c r="PWO71" s="684"/>
      <c r="PWP71" s="684"/>
      <c r="PWQ71" s="684"/>
      <c r="PWR71" s="684"/>
      <c r="PWS71" s="684"/>
      <c r="PWT71" s="684"/>
      <c r="PWU71" s="684"/>
      <c r="PWV71" s="684"/>
      <c r="PWW71" s="684"/>
      <c r="PWX71" s="684"/>
      <c r="PWY71" s="684"/>
      <c r="PWZ71" s="684"/>
      <c r="PXA71" s="684"/>
      <c r="PXB71" s="684"/>
      <c r="PXC71" s="684"/>
      <c r="PXD71" s="684"/>
      <c r="PXE71" s="684"/>
      <c r="PXF71" s="684"/>
      <c r="PXG71" s="684"/>
      <c r="PXH71" s="684"/>
      <c r="PXI71" s="684"/>
      <c r="PXJ71" s="684"/>
      <c r="PXK71" s="684"/>
      <c r="PXL71" s="684"/>
      <c r="PXM71" s="684"/>
      <c r="PXN71" s="684"/>
      <c r="PXO71" s="684"/>
      <c r="PXP71" s="684"/>
      <c r="PXQ71" s="684"/>
      <c r="PXR71" s="684"/>
      <c r="PXS71" s="684"/>
      <c r="PXT71" s="684"/>
      <c r="PXU71" s="684"/>
      <c r="PXV71" s="684"/>
      <c r="PXW71" s="684"/>
      <c r="PXX71" s="684"/>
      <c r="PXY71" s="684"/>
      <c r="PXZ71" s="684"/>
      <c r="PYA71" s="684"/>
      <c r="PYB71" s="684"/>
      <c r="PYC71" s="684"/>
      <c r="PYD71" s="684"/>
      <c r="PYE71" s="684"/>
      <c r="PYF71" s="684"/>
      <c r="PYG71" s="684"/>
      <c r="PYH71" s="684"/>
      <c r="PYI71" s="684"/>
      <c r="PYJ71" s="684"/>
      <c r="PYK71" s="684"/>
      <c r="PYL71" s="684"/>
      <c r="PYM71" s="684"/>
      <c r="PYN71" s="684"/>
      <c r="PYO71" s="684"/>
      <c r="PYP71" s="684"/>
      <c r="PYQ71" s="684"/>
      <c r="PYR71" s="684"/>
      <c r="PYS71" s="684"/>
      <c r="PYT71" s="684"/>
      <c r="PYU71" s="684"/>
      <c r="PYV71" s="684"/>
      <c r="PYW71" s="684"/>
      <c r="PYX71" s="684"/>
      <c r="PYY71" s="684"/>
      <c r="PYZ71" s="684"/>
      <c r="PZA71" s="684"/>
      <c r="PZB71" s="684"/>
      <c r="PZC71" s="684"/>
      <c r="PZD71" s="684"/>
      <c r="PZE71" s="684"/>
      <c r="PZF71" s="684"/>
      <c r="PZG71" s="684"/>
      <c r="PZH71" s="684"/>
      <c r="PZI71" s="684"/>
      <c r="PZJ71" s="684"/>
      <c r="PZK71" s="684"/>
      <c r="PZL71" s="684"/>
      <c r="PZM71" s="684"/>
      <c r="PZN71" s="684"/>
      <c r="PZO71" s="684"/>
      <c r="PZP71" s="684"/>
      <c r="PZQ71" s="684"/>
      <c r="PZR71" s="684"/>
      <c r="PZS71" s="684"/>
      <c r="PZT71" s="684"/>
      <c r="PZU71" s="684"/>
      <c r="PZV71" s="684"/>
      <c r="PZW71" s="684"/>
      <c r="PZX71" s="684"/>
      <c r="PZY71" s="684"/>
      <c r="PZZ71" s="684"/>
      <c r="QAA71" s="684"/>
      <c r="QAB71" s="684"/>
      <c r="QAC71" s="684"/>
      <c r="QAD71" s="684"/>
      <c r="QAE71" s="684"/>
      <c r="QAF71" s="684"/>
      <c r="QAG71" s="684"/>
      <c r="QAH71" s="684"/>
      <c r="QAI71" s="684"/>
      <c r="QAJ71" s="684"/>
      <c r="QAK71" s="684"/>
      <c r="QAL71" s="684"/>
      <c r="QAM71" s="684"/>
      <c r="QAN71" s="684"/>
      <c r="QAO71" s="684"/>
      <c r="QAP71" s="684"/>
      <c r="QAQ71" s="684"/>
      <c r="QAR71" s="684"/>
      <c r="QAS71" s="684"/>
      <c r="QAT71" s="684"/>
      <c r="QAU71" s="684"/>
      <c r="QAV71" s="684"/>
      <c r="QAW71" s="684"/>
      <c r="QAX71" s="684"/>
      <c r="QAY71" s="684"/>
      <c r="QAZ71" s="684"/>
      <c r="QBA71" s="684"/>
      <c r="QBB71" s="684"/>
      <c r="QBC71" s="684"/>
      <c r="QBD71" s="684"/>
      <c r="QBE71" s="684"/>
      <c r="QBF71" s="684"/>
      <c r="QBG71" s="684"/>
      <c r="QBH71" s="684"/>
      <c r="QBI71" s="684"/>
      <c r="QBJ71" s="684"/>
      <c r="QBK71" s="684"/>
      <c r="QBL71" s="684"/>
      <c r="QBM71" s="684"/>
      <c r="QBN71" s="684"/>
      <c r="QBO71" s="684"/>
      <c r="QBP71" s="684"/>
      <c r="QBQ71" s="684"/>
      <c r="QBR71" s="684"/>
      <c r="QBS71" s="684"/>
      <c r="QBT71" s="684"/>
      <c r="QBU71" s="684"/>
      <c r="QBV71" s="684"/>
      <c r="QBW71" s="684"/>
      <c r="QBX71" s="684"/>
      <c r="QBY71" s="684"/>
      <c r="QBZ71" s="684"/>
      <c r="QCA71" s="684"/>
      <c r="QCB71" s="684"/>
      <c r="QCC71" s="684"/>
      <c r="QCD71" s="684"/>
      <c r="QCE71" s="684"/>
      <c r="QCF71" s="684"/>
      <c r="QCG71" s="684"/>
      <c r="QCH71" s="684"/>
      <c r="QCI71" s="684"/>
      <c r="QCJ71" s="684"/>
      <c r="QCK71" s="684"/>
      <c r="QCL71" s="684"/>
      <c r="QCM71" s="684"/>
      <c r="QCN71" s="684"/>
      <c r="QCO71" s="684"/>
      <c r="QCP71" s="684"/>
      <c r="QCQ71" s="684"/>
      <c r="QCR71" s="684"/>
      <c r="QCS71" s="684"/>
      <c r="QCT71" s="684"/>
      <c r="QCU71" s="684"/>
      <c r="QCV71" s="684"/>
      <c r="QCW71" s="684"/>
      <c r="QCX71" s="684"/>
      <c r="QCY71" s="684"/>
      <c r="QCZ71" s="684"/>
      <c r="QDA71" s="684"/>
      <c r="QDB71" s="684"/>
      <c r="QDC71" s="684"/>
      <c r="QDD71" s="684"/>
      <c r="QDE71" s="684"/>
      <c r="QDF71" s="684"/>
      <c r="QDG71" s="684"/>
      <c r="QDH71" s="684"/>
      <c r="QDI71" s="684"/>
      <c r="QDJ71" s="684"/>
      <c r="QDK71" s="684"/>
      <c r="QDL71" s="684"/>
      <c r="QDM71" s="684"/>
      <c r="QDN71" s="684"/>
      <c r="QDO71" s="684"/>
      <c r="QDP71" s="684"/>
      <c r="QDQ71" s="684"/>
      <c r="QDR71" s="684"/>
      <c r="QDS71" s="684"/>
      <c r="QDT71" s="684"/>
      <c r="QDU71" s="684"/>
      <c r="QDV71" s="684"/>
      <c r="QDW71" s="684"/>
      <c r="QDX71" s="684"/>
      <c r="QDY71" s="684"/>
      <c r="QDZ71" s="684"/>
      <c r="QEA71" s="684"/>
      <c r="QEB71" s="684"/>
      <c r="QEC71" s="684"/>
      <c r="QED71" s="684"/>
      <c r="QEE71" s="684"/>
      <c r="QEF71" s="684"/>
      <c r="QEG71" s="684"/>
      <c r="QEH71" s="684"/>
      <c r="QEI71" s="684"/>
      <c r="QEJ71" s="684"/>
      <c r="QEK71" s="684"/>
      <c r="QEL71" s="684"/>
      <c r="QEM71" s="684"/>
      <c r="QEN71" s="684"/>
      <c r="QEO71" s="684"/>
      <c r="QEP71" s="684"/>
      <c r="QEQ71" s="684"/>
      <c r="QER71" s="684"/>
      <c r="QES71" s="684"/>
      <c r="QET71" s="684"/>
      <c r="QEU71" s="684"/>
      <c r="QEV71" s="684"/>
      <c r="QEW71" s="684"/>
      <c r="QEX71" s="684"/>
      <c r="QEY71" s="684"/>
      <c r="QEZ71" s="684"/>
      <c r="QFA71" s="684"/>
      <c r="QFB71" s="684"/>
      <c r="QFC71" s="684"/>
      <c r="QFD71" s="684"/>
      <c r="QFE71" s="684"/>
      <c r="QFF71" s="684"/>
      <c r="QFG71" s="684"/>
      <c r="QFH71" s="684"/>
      <c r="QFI71" s="684"/>
      <c r="QFJ71" s="684"/>
      <c r="QFK71" s="684"/>
      <c r="QFL71" s="684"/>
      <c r="QFM71" s="684"/>
      <c r="QFN71" s="684"/>
      <c r="QFO71" s="684"/>
      <c r="QFP71" s="684"/>
      <c r="QFQ71" s="684"/>
      <c r="QFR71" s="684"/>
      <c r="QFS71" s="684"/>
      <c r="QFT71" s="684"/>
      <c r="QFU71" s="684"/>
      <c r="QFV71" s="684"/>
      <c r="QFW71" s="684"/>
      <c r="QFX71" s="684"/>
      <c r="QFY71" s="684"/>
      <c r="QFZ71" s="684"/>
      <c r="QGA71" s="684"/>
      <c r="QGB71" s="684"/>
      <c r="QGC71" s="684"/>
      <c r="QGD71" s="684"/>
      <c r="QGE71" s="684"/>
      <c r="QGF71" s="684"/>
      <c r="QGG71" s="684"/>
      <c r="QGH71" s="684"/>
      <c r="QGI71" s="684"/>
      <c r="QGJ71" s="684"/>
      <c r="QGK71" s="684"/>
      <c r="QGL71" s="684"/>
      <c r="QGM71" s="684"/>
      <c r="QGN71" s="684"/>
      <c r="QGO71" s="684"/>
      <c r="QGP71" s="684"/>
      <c r="QGQ71" s="684"/>
      <c r="QGR71" s="684"/>
      <c r="QGS71" s="684"/>
      <c r="QGT71" s="684"/>
      <c r="QGU71" s="684"/>
      <c r="QGV71" s="684"/>
      <c r="QGW71" s="684"/>
      <c r="QGX71" s="684"/>
      <c r="QGY71" s="684"/>
      <c r="QGZ71" s="684"/>
      <c r="QHA71" s="684"/>
      <c r="QHB71" s="684"/>
      <c r="QHC71" s="684"/>
      <c r="QHD71" s="684"/>
      <c r="QHE71" s="684"/>
      <c r="QHF71" s="684"/>
      <c r="QHG71" s="684"/>
      <c r="QHH71" s="684"/>
      <c r="QHI71" s="684"/>
      <c r="QHJ71" s="684"/>
      <c r="QHK71" s="684"/>
      <c r="QHL71" s="684"/>
      <c r="QHM71" s="684"/>
      <c r="QHN71" s="684"/>
      <c r="QHO71" s="684"/>
      <c r="QHP71" s="684"/>
      <c r="QHQ71" s="684"/>
      <c r="QHR71" s="684"/>
      <c r="QHS71" s="684"/>
      <c r="QHT71" s="684"/>
      <c r="QHU71" s="684"/>
      <c r="QHV71" s="684"/>
      <c r="QHW71" s="684"/>
      <c r="QHX71" s="684"/>
      <c r="QHY71" s="684"/>
      <c r="QHZ71" s="684"/>
      <c r="QIA71" s="684"/>
      <c r="QIB71" s="684"/>
      <c r="QIC71" s="684"/>
      <c r="QID71" s="684"/>
      <c r="QIE71" s="684"/>
      <c r="QIF71" s="684"/>
      <c r="QIG71" s="684"/>
      <c r="QIH71" s="684"/>
      <c r="QII71" s="684"/>
      <c r="QIJ71" s="684"/>
      <c r="QIK71" s="684"/>
      <c r="QIL71" s="684"/>
      <c r="QIM71" s="684"/>
      <c r="QIN71" s="684"/>
      <c r="QIO71" s="684"/>
      <c r="QIP71" s="684"/>
      <c r="QIQ71" s="684"/>
      <c r="QIR71" s="684"/>
      <c r="QIS71" s="684"/>
      <c r="QIT71" s="684"/>
      <c r="QIU71" s="684"/>
      <c r="QIV71" s="684"/>
      <c r="QIW71" s="684"/>
      <c r="QIX71" s="684"/>
      <c r="QIY71" s="684"/>
      <c r="QIZ71" s="684"/>
      <c r="QJA71" s="684"/>
      <c r="QJB71" s="684"/>
      <c r="QJC71" s="684"/>
      <c r="QJD71" s="684"/>
      <c r="QJE71" s="684"/>
      <c r="QJF71" s="684"/>
      <c r="QJG71" s="684"/>
      <c r="QJH71" s="684"/>
      <c r="QJI71" s="684"/>
      <c r="QJJ71" s="684"/>
      <c r="QJK71" s="684"/>
      <c r="QJL71" s="684"/>
      <c r="QJM71" s="684"/>
      <c r="QJN71" s="684"/>
      <c r="QJO71" s="684"/>
      <c r="QJP71" s="684"/>
      <c r="QJQ71" s="684"/>
      <c r="QJR71" s="684"/>
      <c r="QJS71" s="684"/>
      <c r="QJT71" s="684"/>
      <c r="QJU71" s="684"/>
      <c r="QJV71" s="684"/>
      <c r="QJW71" s="684"/>
      <c r="QJX71" s="684"/>
      <c r="QJY71" s="684"/>
      <c r="QJZ71" s="684"/>
      <c r="QKA71" s="684"/>
      <c r="QKB71" s="684"/>
      <c r="QKC71" s="684"/>
      <c r="QKD71" s="684"/>
      <c r="QKE71" s="684"/>
      <c r="QKF71" s="684"/>
      <c r="QKG71" s="684"/>
      <c r="QKH71" s="684"/>
      <c r="QKI71" s="684"/>
      <c r="QKJ71" s="684"/>
      <c r="QKK71" s="684"/>
      <c r="QKL71" s="684"/>
      <c r="QKM71" s="684"/>
      <c r="QKN71" s="684"/>
      <c r="QKO71" s="684"/>
      <c r="QKP71" s="684"/>
      <c r="QKQ71" s="684"/>
      <c r="QKR71" s="684"/>
      <c r="QKS71" s="684"/>
      <c r="QKT71" s="684"/>
      <c r="QKU71" s="684"/>
      <c r="QKV71" s="684"/>
      <c r="QKW71" s="684"/>
      <c r="QKX71" s="684"/>
      <c r="QKY71" s="684"/>
      <c r="QKZ71" s="684"/>
      <c r="QLA71" s="684"/>
      <c r="QLB71" s="684"/>
      <c r="QLC71" s="684"/>
      <c r="QLD71" s="684"/>
      <c r="QLE71" s="684"/>
      <c r="QLF71" s="684"/>
      <c r="QLG71" s="684"/>
      <c r="QLH71" s="684"/>
      <c r="QLI71" s="684"/>
      <c r="QLJ71" s="684"/>
      <c r="QLK71" s="684"/>
      <c r="QLL71" s="684"/>
      <c r="QLM71" s="684"/>
      <c r="QLN71" s="684"/>
      <c r="QLO71" s="684"/>
      <c r="QLP71" s="684"/>
      <c r="QLQ71" s="684"/>
      <c r="QLR71" s="684"/>
      <c r="QLS71" s="684"/>
      <c r="QLT71" s="684"/>
      <c r="QLU71" s="684"/>
      <c r="QLV71" s="684"/>
      <c r="QLW71" s="684"/>
      <c r="QLX71" s="684"/>
      <c r="QLY71" s="684"/>
      <c r="QLZ71" s="684"/>
      <c r="QMA71" s="684"/>
      <c r="QMB71" s="684"/>
      <c r="QMC71" s="684"/>
      <c r="QMD71" s="684"/>
      <c r="QME71" s="684"/>
      <c r="QMF71" s="684"/>
      <c r="QMG71" s="684"/>
      <c r="QMH71" s="684"/>
      <c r="QMI71" s="684"/>
      <c r="QMJ71" s="684"/>
      <c r="QMK71" s="684"/>
      <c r="QML71" s="684"/>
      <c r="QMM71" s="684"/>
      <c r="QMN71" s="684"/>
      <c r="QMO71" s="684"/>
      <c r="QMP71" s="684"/>
      <c r="QMQ71" s="684"/>
      <c r="QMR71" s="684"/>
      <c r="QMS71" s="684"/>
      <c r="QMT71" s="684"/>
      <c r="QMU71" s="684"/>
      <c r="QMV71" s="684"/>
      <c r="QMW71" s="684"/>
      <c r="QMX71" s="684"/>
      <c r="QMY71" s="684"/>
      <c r="QMZ71" s="684"/>
      <c r="QNA71" s="684"/>
      <c r="QNB71" s="684"/>
      <c r="QNC71" s="684"/>
      <c r="QND71" s="684"/>
      <c r="QNE71" s="684"/>
      <c r="QNF71" s="684"/>
      <c r="QNG71" s="684"/>
      <c r="QNH71" s="684"/>
      <c r="QNI71" s="684"/>
      <c r="QNJ71" s="684"/>
      <c r="QNK71" s="684"/>
      <c r="QNL71" s="684"/>
      <c r="QNM71" s="684"/>
      <c r="QNN71" s="684"/>
      <c r="QNO71" s="684"/>
      <c r="QNP71" s="684"/>
      <c r="QNQ71" s="684"/>
      <c r="QNR71" s="684"/>
      <c r="QNS71" s="684"/>
      <c r="QNT71" s="684"/>
      <c r="QNU71" s="684"/>
      <c r="QNV71" s="684"/>
      <c r="QNW71" s="684"/>
      <c r="QNX71" s="684"/>
      <c r="QNY71" s="684"/>
      <c r="QNZ71" s="684"/>
      <c r="QOA71" s="684"/>
      <c r="QOB71" s="684"/>
      <c r="QOC71" s="684"/>
      <c r="QOD71" s="684"/>
      <c r="QOE71" s="684"/>
      <c r="QOF71" s="684"/>
      <c r="QOG71" s="684"/>
      <c r="QOH71" s="684"/>
      <c r="QOI71" s="684"/>
      <c r="QOJ71" s="684"/>
      <c r="QOK71" s="684"/>
      <c r="QOL71" s="684"/>
      <c r="QOM71" s="684"/>
      <c r="QON71" s="684"/>
      <c r="QOO71" s="684"/>
      <c r="QOP71" s="684"/>
      <c r="QOQ71" s="684"/>
      <c r="QOR71" s="684"/>
      <c r="QOS71" s="684"/>
      <c r="QOT71" s="684"/>
      <c r="QOU71" s="684"/>
      <c r="QOV71" s="684"/>
      <c r="QOW71" s="684"/>
      <c r="QOX71" s="684"/>
      <c r="QOY71" s="684"/>
      <c r="QOZ71" s="684"/>
      <c r="QPA71" s="684"/>
      <c r="QPB71" s="684"/>
      <c r="QPC71" s="684"/>
      <c r="QPD71" s="684"/>
      <c r="QPE71" s="684"/>
      <c r="QPF71" s="684"/>
      <c r="QPG71" s="684"/>
      <c r="QPH71" s="684"/>
      <c r="QPI71" s="684"/>
      <c r="QPJ71" s="684"/>
      <c r="QPK71" s="684"/>
      <c r="QPL71" s="684"/>
      <c r="QPM71" s="684"/>
      <c r="QPN71" s="684"/>
      <c r="QPO71" s="684"/>
      <c r="QPP71" s="684"/>
      <c r="QPQ71" s="684"/>
      <c r="QPR71" s="684"/>
      <c r="QPS71" s="684"/>
      <c r="QPT71" s="684"/>
      <c r="QPU71" s="684"/>
      <c r="QPV71" s="684"/>
      <c r="QPW71" s="684"/>
      <c r="QPX71" s="684"/>
      <c r="QPY71" s="684"/>
      <c r="QPZ71" s="684"/>
      <c r="QQA71" s="684"/>
      <c r="QQB71" s="684"/>
      <c r="QQC71" s="684"/>
      <c r="QQD71" s="684"/>
      <c r="QQE71" s="684"/>
      <c r="QQF71" s="684"/>
      <c r="QQG71" s="684"/>
      <c r="QQH71" s="684"/>
      <c r="QQI71" s="684"/>
      <c r="QQJ71" s="684"/>
      <c r="QQK71" s="684"/>
      <c r="QQL71" s="684"/>
      <c r="QQM71" s="684"/>
      <c r="QQN71" s="684"/>
      <c r="QQO71" s="684"/>
      <c r="QQP71" s="684"/>
      <c r="QQQ71" s="684"/>
      <c r="QQR71" s="684"/>
      <c r="QQS71" s="684"/>
      <c r="QQT71" s="684"/>
      <c r="QQU71" s="684"/>
      <c r="QQV71" s="684"/>
      <c r="QQW71" s="684"/>
      <c r="QQX71" s="684"/>
      <c r="QQY71" s="684"/>
      <c r="QQZ71" s="684"/>
      <c r="QRA71" s="684"/>
      <c r="QRB71" s="684"/>
      <c r="QRC71" s="684"/>
      <c r="QRD71" s="684"/>
      <c r="QRE71" s="684"/>
      <c r="QRF71" s="684"/>
      <c r="QRG71" s="684"/>
      <c r="QRH71" s="684"/>
      <c r="QRI71" s="684"/>
      <c r="QRJ71" s="684"/>
      <c r="QRK71" s="684"/>
      <c r="QRL71" s="684"/>
      <c r="QRM71" s="684"/>
      <c r="QRN71" s="684"/>
      <c r="QRO71" s="684"/>
      <c r="QRP71" s="684"/>
      <c r="QRQ71" s="684"/>
      <c r="QRR71" s="684"/>
      <c r="QRS71" s="684"/>
      <c r="QRT71" s="684"/>
      <c r="QRU71" s="684"/>
      <c r="QRV71" s="684"/>
      <c r="QRW71" s="684"/>
      <c r="QRX71" s="684"/>
      <c r="QRY71" s="684"/>
      <c r="QRZ71" s="684"/>
      <c r="QSA71" s="684"/>
      <c r="QSB71" s="684"/>
      <c r="QSC71" s="684"/>
      <c r="QSD71" s="684"/>
      <c r="QSE71" s="684"/>
      <c r="QSF71" s="684"/>
      <c r="QSG71" s="684"/>
      <c r="QSH71" s="684"/>
      <c r="QSI71" s="684"/>
      <c r="QSJ71" s="684"/>
      <c r="QSK71" s="684"/>
      <c r="QSL71" s="684"/>
      <c r="QSM71" s="684"/>
      <c r="QSN71" s="684"/>
      <c r="QSO71" s="684"/>
      <c r="QSP71" s="684"/>
      <c r="QSQ71" s="684"/>
      <c r="QSR71" s="684"/>
      <c r="QSS71" s="684"/>
      <c r="QST71" s="684"/>
      <c r="QSU71" s="684"/>
      <c r="QSV71" s="684"/>
      <c r="QSW71" s="684"/>
      <c r="QSX71" s="684"/>
      <c r="QSY71" s="684"/>
      <c r="QSZ71" s="684"/>
      <c r="QTA71" s="684"/>
      <c r="QTB71" s="684"/>
      <c r="QTC71" s="684"/>
      <c r="QTD71" s="684"/>
      <c r="QTE71" s="684"/>
      <c r="QTF71" s="684"/>
      <c r="QTG71" s="684"/>
      <c r="QTH71" s="684"/>
      <c r="QTI71" s="684"/>
      <c r="QTJ71" s="684"/>
      <c r="QTK71" s="684"/>
      <c r="QTL71" s="684"/>
      <c r="QTM71" s="684"/>
      <c r="QTN71" s="684"/>
      <c r="QTO71" s="684"/>
      <c r="QTP71" s="684"/>
      <c r="QTQ71" s="684"/>
      <c r="QTR71" s="684"/>
      <c r="QTS71" s="684"/>
      <c r="QTT71" s="684"/>
      <c r="QTU71" s="684"/>
      <c r="QTV71" s="684"/>
      <c r="QTW71" s="684"/>
      <c r="QTX71" s="684"/>
      <c r="QTY71" s="684"/>
      <c r="QTZ71" s="684"/>
      <c r="QUA71" s="684"/>
      <c r="QUB71" s="684"/>
      <c r="QUC71" s="684"/>
      <c r="QUD71" s="684"/>
      <c r="QUE71" s="684"/>
      <c r="QUF71" s="684"/>
      <c r="QUG71" s="684"/>
      <c r="QUH71" s="684"/>
      <c r="QUI71" s="684"/>
      <c r="QUJ71" s="684"/>
      <c r="QUK71" s="684"/>
      <c r="QUL71" s="684"/>
      <c r="QUM71" s="684"/>
      <c r="QUN71" s="684"/>
      <c r="QUO71" s="684"/>
      <c r="QUP71" s="684"/>
      <c r="QUQ71" s="684"/>
      <c r="QUR71" s="684"/>
      <c r="QUS71" s="684"/>
      <c r="QUT71" s="684"/>
      <c r="QUU71" s="684"/>
      <c r="QUV71" s="684"/>
      <c r="QUW71" s="684"/>
      <c r="QUX71" s="684"/>
      <c r="QUY71" s="684"/>
      <c r="QUZ71" s="684"/>
      <c r="QVA71" s="684"/>
      <c r="QVB71" s="684"/>
      <c r="QVC71" s="684"/>
      <c r="QVD71" s="684"/>
      <c r="QVE71" s="684"/>
      <c r="QVF71" s="684"/>
      <c r="QVG71" s="684"/>
      <c r="QVH71" s="684"/>
      <c r="QVI71" s="684"/>
      <c r="QVJ71" s="684"/>
      <c r="QVK71" s="684"/>
      <c r="QVL71" s="684"/>
      <c r="QVM71" s="684"/>
      <c r="QVN71" s="684"/>
      <c r="QVO71" s="684"/>
      <c r="QVP71" s="684"/>
      <c r="QVQ71" s="684"/>
      <c r="QVR71" s="684"/>
      <c r="QVS71" s="684"/>
      <c r="QVT71" s="684"/>
      <c r="QVU71" s="684"/>
      <c r="QVV71" s="684"/>
      <c r="QVW71" s="684"/>
      <c r="QVX71" s="684"/>
      <c r="QVY71" s="684"/>
      <c r="QVZ71" s="684"/>
      <c r="QWA71" s="684"/>
      <c r="QWB71" s="684"/>
      <c r="QWC71" s="684"/>
      <c r="QWD71" s="684"/>
      <c r="QWE71" s="684"/>
      <c r="QWF71" s="684"/>
      <c r="QWG71" s="684"/>
      <c r="QWH71" s="684"/>
      <c r="QWI71" s="684"/>
      <c r="QWJ71" s="684"/>
      <c r="QWK71" s="684"/>
      <c r="QWL71" s="684"/>
      <c r="QWM71" s="684"/>
      <c r="QWN71" s="684"/>
      <c r="QWO71" s="684"/>
      <c r="QWP71" s="684"/>
      <c r="QWQ71" s="684"/>
      <c r="QWR71" s="684"/>
      <c r="QWS71" s="684"/>
      <c r="QWT71" s="684"/>
      <c r="QWU71" s="684"/>
      <c r="QWV71" s="684"/>
      <c r="QWW71" s="684"/>
      <c r="QWX71" s="684"/>
      <c r="QWY71" s="684"/>
      <c r="QWZ71" s="684"/>
      <c r="QXA71" s="684"/>
      <c r="QXB71" s="684"/>
      <c r="QXC71" s="684"/>
      <c r="QXD71" s="684"/>
      <c r="QXE71" s="684"/>
      <c r="QXF71" s="684"/>
      <c r="QXG71" s="684"/>
      <c r="QXH71" s="684"/>
      <c r="QXI71" s="684"/>
      <c r="QXJ71" s="684"/>
      <c r="QXK71" s="684"/>
      <c r="QXL71" s="684"/>
      <c r="QXM71" s="684"/>
      <c r="QXN71" s="684"/>
      <c r="QXO71" s="684"/>
      <c r="QXP71" s="684"/>
      <c r="QXQ71" s="684"/>
      <c r="QXR71" s="684"/>
      <c r="QXS71" s="684"/>
      <c r="QXT71" s="684"/>
      <c r="QXU71" s="684"/>
      <c r="QXV71" s="684"/>
      <c r="QXW71" s="684"/>
      <c r="QXX71" s="684"/>
      <c r="QXY71" s="684"/>
      <c r="QXZ71" s="684"/>
      <c r="QYA71" s="684"/>
      <c r="QYB71" s="684"/>
      <c r="QYC71" s="684"/>
      <c r="QYD71" s="684"/>
      <c r="QYE71" s="684"/>
      <c r="QYF71" s="684"/>
      <c r="QYG71" s="684"/>
      <c r="QYH71" s="684"/>
      <c r="QYI71" s="684"/>
      <c r="QYJ71" s="684"/>
      <c r="QYK71" s="684"/>
      <c r="QYL71" s="684"/>
      <c r="QYM71" s="684"/>
      <c r="QYN71" s="684"/>
      <c r="QYO71" s="684"/>
      <c r="QYP71" s="684"/>
      <c r="QYQ71" s="684"/>
      <c r="QYR71" s="684"/>
      <c r="QYS71" s="684"/>
      <c r="QYT71" s="684"/>
      <c r="QYU71" s="684"/>
      <c r="QYV71" s="684"/>
      <c r="QYW71" s="684"/>
      <c r="QYX71" s="684"/>
      <c r="QYY71" s="684"/>
      <c r="QYZ71" s="684"/>
      <c r="QZA71" s="684"/>
      <c r="QZB71" s="684"/>
      <c r="QZC71" s="684"/>
      <c r="QZD71" s="684"/>
      <c r="QZE71" s="684"/>
      <c r="QZF71" s="684"/>
      <c r="QZG71" s="684"/>
      <c r="QZH71" s="684"/>
      <c r="QZI71" s="684"/>
      <c r="QZJ71" s="684"/>
      <c r="QZK71" s="684"/>
      <c r="QZL71" s="684"/>
      <c r="QZM71" s="684"/>
      <c r="QZN71" s="684"/>
      <c r="QZO71" s="684"/>
      <c r="QZP71" s="684"/>
      <c r="QZQ71" s="684"/>
      <c r="QZR71" s="684"/>
      <c r="QZS71" s="684"/>
      <c r="QZT71" s="684"/>
      <c r="QZU71" s="684"/>
      <c r="QZV71" s="684"/>
      <c r="QZW71" s="684"/>
      <c r="QZX71" s="684"/>
      <c r="QZY71" s="684"/>
      <c r="QZZ71" s="684"/>
      <c r="RAA71" s="684"/>
      <c r="RAB71" s="684"/>
      <c r="RAC71" s="684"/>
      <c r="RAD71" s="684"/>
      <c r="RAE71" s="684"/>
      <c r="RAF71" s="684"/>
      <c r="RAG71" s="684"/>
      <c r="RAH71" s="684"/>
      <c r="RAI71" s="684"/>
      <c r="RAJ71" s="684"/>
      <c r="RAK71" s="684"/>
      <c r="RAL71" s="684"/>
      <c r="RAM71" s="684"/>
      <c r="RAN71" s="684"/>
      <c r="RAO71" s="684"/>
      <c r="RAP71" s="684"/>
      <c r="RAQ71" s="684"/>
      <c r="RAR71" s="684"/>
      <c r="RAS71" s="684"/>
      <c r="RAT71" s="684"/>
      <c r="RAU71" s="684"/>
      <c r="RAV71" s="684"/>
      <c r="RAW71" s="684"/>
      <c r="RAX71" s="684"/>
      <c r="RAY71" s="684"/>
      <c r="RAZ71" s="684"/>
      <c r="RBA71" s="684"/>
      <c r="RBB71" s="684"/>
      <c r="RBC71" s="684"/>
      <c r="RBD71" s="684"/>
      <c r="RBE71" s="684"/>
      <c r="RBF71" s="684"/>
      <c r="RBG71" s="684"/>
      <c r="RBH71" s="684"/>
      <c r="RBI71" s="684"/>
      <c r="RBJ71" s="684"/>
      <c r="RBK71" s="684"/>
      <c r="RBL71" s="684"/>
      <c r="RBM71" s="684"/>
      <c r="RBN71" s="684"/>
      <c r="RBO71" s="684"/>
      <c r="RBP71" s="684"/>
      <c r="RBQ71" s="684"/>
      <c r="RBR71" s="684"/>
      <c r="RBS71" s="684"/>
      <c r="RBT71" s="684"/>
      <c r="RBU71" s="684"/>
      <c r="RBV71" s="684"/>
      <c r="RBW71" s="684"/>
      <c r="RBX71" s="684"/>
      <c r="RBY71" s="684"/>
      <c r="RBZ71" s="684"/>
      <c r="RCA71" s="684"/>
      <c r="RCB71" s="684"/>
      <c r="RCC71" s="684"/>
      <c r="RCD71" s="684"/>
      <c r="RCE71" s="684"/>
      <c r="RCF71" s="684"/>
      <c r="RCG71" s="684"/>
      <c r="RCH71" s="684"/>
      <c r="RCI71" s="684"/>
      <c r="RCJ71" s="684"/>
      <c r="RCK71" s="684"/>
      <c r="RCL71" s="684"/>
      <c r="RCM71" s="684"/>
      <c r="RCN71" s="684"/>
      <c r="RCO71" s="684"/>
      <c r="RCP71" s="684"/>
      <c r="RCQ71" s="684"/>
      <c r="RCR71" s="684"/>
      <c r="RCS71" s="684"/>
      <c r="RCT71" s="684"/>
      <c r="RCU71" s="684"/>
      <c r="RCV71" s="684"/>
      <c r="RCW71" s="684"/>
      <c r="RCX71" s="684"/>
      <c r="RCY71" s="684"/>
      <c r="RCZ71" s="684"/>
      <c r="RDA71" s="684"/>
      <c r="RDB71" s="684"/>
      <c r="RDC71" s="684"/>
      <c r="RDD71" s="684"/>
      <c r="RDE71" s="684"/>
      <c r="RDF71" s="684"/>
      <c r="RDG71" s="684"/>
      <c r="RDH71" s="684"/>
      <c r="RDI71" s="684"/>
      <c r="RDJ71" s="684"/>
      <c r="RDK71" s="684"/>
      <c r="RDL71" s="684"/>
      <c r="RDM71" s="684"/>
      <c r="RDN71" s="684"/>
      <c r="RDO71" s="684"/>
      <c r="RDP71" s="684"/>
      <c r="RDQ71" s="684"/>
      <c r="RDR71" s="684"/>
      <c r="RDS71" s="684"/>
      <c r="RDT71" s="684"/>
      <c r="RDU71" s="684"/>
      <c r="RDV71" s="684"/>
      <c r="RDW71" s="684"/>
      <c r="RDX71" s="684"/>
      <c r="RDY71" s="684"/>
      <c r="RDZ71" s="684"/>
      <c r="REA71" s="684"/>
      <c r="REB71" s="684"/>
      <c r="REC71" s="684"/>
      <c r="RED71" s="684"/>
      <c r="REE71" s="684"/>
      <c r="REF71" s="684"/>
      <c r="REG71" s="684"/>
      <c r="REH71" s="684"/>
      <c r="REI71" s="684"/>
      <c r="REJ71" s="684"/>
      <c r="REK71" s="684"/>
      <c r="REL71" s="684"/>
      <c r="REM71" s="684"/>
      <c r="REN71" s="684"/>
      <c r="REO71" s="684"/>
      <c r="REP71" s="684"/>
      <c r="REQ71" s="684"/>
      <c r="RER71" s="684"/>
      <c r="RES71" s="684"/>
      <c r="RET71" s="684"/>
      <c r="REU71" s="684"/>
      <c r="REV71" s="684"/>
      <c r="REW71" s="684"/>
      <c r="REX71" s="684"/>
      <c r="REY71" s="684"/>
      <c r="REZ71" s="684"/>
      <c r="RFA71" s="684"/>
      <c r="RFB71" s="684"/>
      <c r="RFC71" s="684"/>
      <c r="RFD71" s="684"/>
      <c r="RFE71" s="684"/>
      <c r="RFF71" s="684"/>
      <c r="RFG71" s="684"/>
      <c r="RFH71" s="684"/>
      <c r="RFI71" s="684"/>
      <c r="RFJ71" s="684"/>
      <c r="RFK71" s="684"/>
      <c r="RFL71" s="684"/>
      <c r="RFM71" s="684"/>
      <c r="RFN71" s="684"/>
      <c r="RFO71" s="684"/>
      <c r="RFP71" s="684"/>
      <c r="RFQ71" s="684"/>
      <c r="RFR71" s="684"/>
      <c r="RFS71" s="684"/>
      <c r="RFT71" s="684"/>
      <c r="RFU71" s="684"/>
      <c r="RFV71" s="684"/>
      <c r="RFW71" s="684"/>
      <c r="RFX71" s="684"/>
      <c r="RFY71" s="684"/>
      <c r="RFZ71" s="684"/>
      <c r="RGA71" s="684"/>
      <c r="RGB71" s="684"/>
      <c r="RGC71" s="684"/>
      <c r="RGD71" s="684"/>
      <c r="RGE71" s="684"/>
      <c r="RGF71" s="684"/>
      <c r="RGG71" s="684"/>
      <c r="RGH71" s="684"/>
      <c r="RGI71" s="684"/>
      <c r="RGJ71" s="684"/>
      <c r="RGK71" s="684"/>
      <c r="RGL71" s="684"/>
      <c r="RGM71" s="684"/>
      <c r="RGN71" s="684"/>
      <c r="RGO71" s="684"/>
      <c r="RGP71" s="684"/>
      <c r="RGQ71" s="684"/>
      <c r="RGR71" s="684"/>
      <c r="RGS71" s="684"/>
      <c r="RGT71" s="684"/>
      <c r="RGU71" s="684"/>
      <c r="RGV71" s="684"/>
      <c r="RGW71" s="684"/>
      <c r="RGX71" s="684"/>
      <c r="RGY71" s="684"/>
      <c r="RGZ71" s="684"/>
      <c r="RHA71" s="684"/>
      <c r="RHB71" s="684"/>
      <c r="RHC71" s="684"/>
      <c r="RHD71" s="684"/>
      <c r="RHE71" s="684"/>
      <c r="RHF71" s="684"/>
      <c r="RHG71" s="684"/>
      <c r="RHH71" s="684"/>
      <c r="RHI71" s="684"/>
      <c r="RHJ71" s="684"/>
      <c r="RHK71" s="684"/>
      <c r="RHL71" s="684"/>
      <c r="RHM71" s="684"/>
      <c r="RHN71" s="684"/>
      <c r="RHO71" s="684"/>
      <c r="RHP71" s="684"/>
      <c r="RHQ71" s="684"/>
      <c r="RHR71" s="684"/>
      <c r="RHS71" s="684"/>
      <c r="RHT71" s="684"/>
      <c r="RHU71" s="684"/>
      <c r="RHV71" s="684"/>
      <c r="RHW71" s="684"/>
      <c r="RHX71" s="684"/>
      <c r="RHY71" s="684"/>
      <c r="RHZ71" s="684"/>
      <c r="RIA71" s="684"/>
      <c r="RIB71" s="684"/>
      <c r="RIC71" s="684"/>
      <c r="RID71" s="684"/>
      <c r="RIE71" s="684"/>
      <c r="RIF71" s="684"/>
      <c r="RIG71" s="684"/>
      <c r="RIH71" s="684"/>
      <c r="RII71" s="684"/>
      <c r="RIJ71" s="684"/>
      <c r="RIK71" s="684"/>
      <c r="RIL71" s="684"/>
      <c r="RIM71" s="684"/>
      <c r="RIN71" s="684"/>
      <c r="RIO71" s="684"/>
      <c r="RIP71" s="684"/>
      <c r="RIQ71" s="684"/>
      <c r="RIR71" s="684"/>
      <c r="RIS71" s="684"/>
      <c r="RIT71" s="684"/>
      <c r="RIU71" s="684"/>
      <c r="RIV71" s="684"/>
      <c r="RIW71" s="684"/>
      <c r="RIX71" s="684"/>
      <c r="RIY71" s="684"/>
      <c r="RIZ71" s="684"/>
      <c r="RJA71" s="684"/>
      <c r="RJB71" s="684"/>
      <c r="RJC71" s="684"/>
      <c r="RJD71" s="684"/>
      <c r="RJE71" s="684"/>
      <c r="RJF71" s="684"/>
      <c r="RJG71" s="684"/>
      <c r="RJH71" s="684"/>
      <c r="RJI71" s="684"/>
      <c r="RJJ71" s="684"/>
      <c r="RJK71" s="684"/>
      <c r="RJL71" s="684"/>
      <c r="RJM71" s="684"/>
      <c r="RJN71" s="684"/>
      <c r="RJO71" s="684"/>
      <c r="RJP71" s="684"/>
      <c r="RJQ71" s="684"/>
      <c r="RJR71" s="684"/>
      <c r="RJS71" s="684"/>
      <c r="RJT71" s="684"/>
      <c r="RJU71" s="684"/>
      <c r="RJV71" s="684"/>
      <c r="RJW71" s="684"/>
      <c r="RJX71" s="684"/>
      <c r="RJY71" s="684"/>
      <c r="RJZ71" s="684"/>
      <c r="RKA71" s="684"/>
      <c r="RKB71" s="684"/>
      <c r="RKC71" s="684"/>
      <c r="RKD71" s="684"/>
      <c r="RKE71" s="684"/>
      <c r="RKF71" s="684"/>
      <c r="RKG71" s="684"/>
      <c r="RKH71" s="684"/>
      <c r="RKI71" s="684"/>
      <c r="RKJ71" s="684"/>
      <c r="RKK71" s="684"/>
      <c r="RKL71" s="684"/>
      <c r="RKM71" s="684"/>
      <c r="RKN71" s="684"/>
      <c r="RKO71" s="684"/>
      <c r="RKP71" s="684"/>
      <c r="RKQ71" s="684"/>
      <c r="RKR71" s="684"/>
      <c r="RKS71" s="684"/>
      <c r="RKT71" s="684"/>
      <c r="RKU71" s="684"/>
      <c r="RKV71" s="684"/>
      <c r="RKW71" s="684"/>
      <c r="RKX71" s="684"/>
      <c r="RKY71" s="684"/>
      <c r="RKZ71" s="684"/>
      <c r="RLA71" s="684"/>
      <c r="RLB71" s="684"/>
      <c r="RLC71" s="684"/>
      <c r="RLD71" s="684"/>
      <c r="RLE71" s="684"/>
      <c r="RLF71" s="684"/>
      <c r="RLG71" s="684"/>
      <c r="RLH71" s="684"/>
      <c r="RLI71" s="684"/>
      <c r="RLJ71" s="684"/>
      <c r="RLK71" s="684"/>
      <c r="RLL71" s="684"/>
      <c r="RLM71" s="684"/>
      <c r="RLN71" s="684"/>
      <c r="RLO71" s="684"/>
      <c r="RLP71" s="684"/>
      <c r="RLQ71" s="684"/>
      <c r="RLR71" s="684"/>
      <c r="RLS71" s="684"/>
      <c r="RLT71" s="684"/>
      <c r="RLU71" s="684"/>
      <c r="RLV71" s="684"/>
      <c r="RLW71" s="684"/>
      <c r="RLX71" s="684"/>
      <c r="RLY71" s="684"/>
      <c r="RLZ71" s="684"/>
      <c r="RMA71" s="684"/>
      <c r="RMB71" s="684"/>
      <c r="RMC71" s="684"/>
      <c r="RMD71" s="684"/>
      <c r="RME71" s="684"/>
      <c r="RMF71" s="684"/>
      <c r="RMG71" s="684"/>
      <c r="RMH71" s="684"/>
      <c r="RMI71" s="684"/>
      <c r="RMJ71" s="684"/>
      <c r="RMK71" s="684"/>
      <c r="RML71" s="684"/>
      <c r="RMM71" s="684"/>
      <c r="RMN71" s="684"/>
      <c r="RMO71" s="684"/>
      <c r="RMP71" s="684"/>
      <c r="RMQ71" s="684"/>
      <c r="RMR71" s="684"/>
      <c r="RMS71" s="684"/>
      <c r="RMT71" s="684"/>
      <c r="RMU71" s="684"/>
      <c r="RMV71" s="684"/>
      <c r="RMW71" s="684"/>
      <c r="RMX71" s="684"/>
      <c r="RMY71" s="684"/>
      <c r="RMZ71" s="684"/>
      <c r="RNA71" s="684"/>
      <c r="RNB71" s="684"/>
      <c r="RNC71" s="684"/>
      <c r="RND71" s="684"/>
      <c r="RNE71" s="684"/>
      <c r="RNF71" s="684"/>
      <c r="RNG71" s="684"/>
      <c r="RNH71" s="684"/>
      <c r="RNI71" s="684"/>
      <c r="RNJ71" s="684"/>
      <c r="RNK71" s="684"/>
      <c r="RNL71" s="684"/>
      <c r="RNM71" s="684"/>
      <c r="RNN71" s="684"/>
      <c r="RNO71" s="684"/>
      <c r="RNP71" s="684"/>
      <c r="RNQ71" s="684"/>
      <c r="RNR71" s="684"/>
      <c r="RNS71" s="684"/>
      <c r="RNT71" s="684"/>
      <c r="RNU71" s="684"/>
      <c r="RNV71" s="684"/>
      <c r="RNW71" s="684"/>
      <c r="RNX71" s="684"/>
      <c r="RNY71" s="684"/>
      <c r="RNZ71" s="684"/>
      <c r="ROA71" s="684"/>
      <c r="ROB71" s="684"/>
      <c r="ROC71" s="684"/>
      <c r="ROD71" s="684"/>
      <c r="ROE71" s="684"/>
      <c r="ROF71" s="684"/>
      <c r="ROG71" s="684"/>
      <c r="ROH71" s="684"/>
      <c r="ROI71" s="684"/>
      <c r="ROJ71" s="684"/>
      <c r="ROK71" s="684"/>
      <c r="ROL71" s="684"/>
      <c r="ROM71" s="684"/>
      <c r="RON71" s="684"/>
      <c r="ROO71" s="684"/>
      <c r="ROP71" s="684"/>
      <c r="ROQ71" s="684"/>
      <c r="ROR71" s="684"/>
      <c r="ROS71" s="684"/>
      <c r="ROT71" s="684"/>
      <c r="ROU71" s="684"/>
      <c r="ROV71" s="684"/>
      <c r="ROW71" s="684"/>
      <c r="ROX71" s="684"/>
      <c r="ROY71" s="684"/>
      <c r="ROZ71" s="684"/>
      <c r="RPA71" s="684"/>
      <c r="RPB71" s="684"/>
      <c r="RPC71" s="684"/>
      <c r="RPD71" s="684"/>
      <c r="RPE71" s="684"/>
      <c r="RPF71" s="684"/>
      <c r="RPG71" s="684"/>
      <c r="RPH71" s="684"/>
      <c r="RPI71" s="684"/>
      <c r="RPJ71" s="684"/>
      <c r="RPK71" s="684"/>
      <c r="RPL71" s="684"/>
      <c r="RPM71" s="684"/>
      <c r="RPN71" s="684"/>
      <c r="RPO71" s="684"/>
      <c r="RPP71" s="684"/>
      <c r="RPQ71" s="684"/>
      <c r="RPR71" s="684"/>
      <c r="RPS71" s="684"/>
      <c r="RPT71" s="684"/>
      <c r="RPU71" s="684"/>
      <c r="RPV71" s="684"/>
      <c r="RPW71" s="684"/>
      <c r="RPX71" s="684"/>
      <c r="RPY71" s="684"/>
      <c r="RPZ71" s="684"/>
      <c r="RQA71" s="684"/>
      <c r="RQB71" s="684"/>
      <c r="RQC71" s="684"/>
      <c r="RQD71" s="684"/>
      <c r="RQE71" s="684"/>
      <c r="RQF71" s="684"/>
      <c r="RQG71" s="684"/>
      <c r="RQH71" s="684"/>
      <c r="RQI71" s="684"/>
      <c r="RQJ71" s="684"/>
      <c r="RQK71" s="684"/>
      <c r="RQL71" s="684"/>
      <c r="RQM71" s="684"/>
      <c r="RQN71" s="684"/>
      <c r="RQO71" s="684"/>
      <c r="RQP71" s="684"/>
      <c r="RQQ71" s="684"/>
      <c r="RQR71" s="684"/>
      <c r="RQS71" s="684"/>
      <c r="RQT71" s="684"/>
      <c r="RQU71" s="684"/>
      <c r="RQV71" s="684"/>
      <c r="RQW71" s="684"/>
      <c r="RQX71" s="684"/>
      <c r="RQY71" s="684"/>
      <c r="RQZ71" s="684"/>
      <c r="RRA71" s="684"/>
      <c r="RRB71" s="684"/>
      <c r="RRC71" s="684"/>
      <c r="RRD71" s="684"/>
      <c r="RRE71" s="684"/>
      <c r="RRF71" s="684"/>
      <c r="RRG71" s="684"/>
      <c r="RRH71" s="684"/>
      <c r="RRI71" s="684"/>
      <c r="RRJ71" s="684"/>
      <c r="RRK71" s="684"/>
      <c r="RRL71" s="684"/>
      <c r="RRM71" s="684"/>
      <c r="RRN71" s="684"/>
      <c r="RRO71" s="684"/>
      <c r="RRP71" s="684"/>
      <c r="RRQ71" s="684"/>
      <c r="RRR71" s="684"/>
      <c r="RRS71" s="684"/>
      <c r="RRT71" s="684"/>
      <c r="RRU71" s="684"/>
      <c r="RRV71" s="684"/>
      <c r="RRW71" s="684"/>
      <c r="RRX71" s="684"/>
      <c r="RRY71" s="684"/>
      <c r="RRZ71" s="684"/>
      <c r="RSA71" s="684"/>
      <c r="RSB71" s="684"/>
      <c r="RSC71" s="684"/>
      <c r="RSD71" s="684"/>
      <c r="RSE71" s="684"/>
      <c r="RSF71" s="684"/>
      <c r="RSG71" s="684"/>
      <c r="RSH71" s="684"/>
      <c r="RSI71" s="684"/>
      <c r="RSJ71" s="684"/>
      <c r="RSK71" s="684"/>
      <c r="RSL71" s="684"/>
      <c r="RSM71" s="684"/>
      <c r="RSN71" s="684"/>
      <c r="RSO71" s="684"/>
      <c r="RSP71" s="684"/>
      <c r="RSQ71" s="684"/>
      <c r="RSR71" s="684"/>
      <c r="RSS71" s="684"/>
      <c r="RST71" s="684"/>
      <c r="RSU71" s="684"/>
      <c r="RSV71" s="684"/>
      <c r="RSW71" s="684"/>
      <c r="RSX71" s="684"/>
      <c r="RSY71" s="684"/>
      <c r="RSZ71" s="684"/>
      <c r="RTA71" s="684"/>
      <c r="RTB71" s="684"/>
      <c r="RTC71" s="684"/>
      <c r="RTD71" s="684"/>
      <c r="RTE71" s="684"/>
      <c r="RTF71" s="684"/>
      <c r="RTG71" s="684"/>
      <c r="RTH71" s="684"/>
      <c r="RTI71" s="684"/>
      <c r="RTJ71" s="684"/>
      <c r="RTK71" s="684"/>
      <c r="RTL71" s="684"/>
      <c r="RTM71" s="684"/>
      <c r="RTN71" s="684"/>
      <c r="RTO71" s="684"/>
      <c r="RTP71" s="684"/>
      <c r="RTQ71" s="684"/>
      <c r="RTR71" s="684"/>
      <c r="RTS71" s="684"/>
      <c r="RTT71" s="684"/>
      <c r="RTU71" s="684"/>
      <c r="RTV71" s="684"/>
      <c r="RTW71" s="684"/>
      <c r="RTX71" s="684"/>
      <c r="RTY71" s="684"/>
      <c r="RTZ71" s="684"/>
      <c r="RUA71" s="684"/>
      <c r="RUB71" s="684"/>
      <c r="RUC71" s="684"/>
      <c r="RUD71" s="684"/>
      <c r="RUE71" s="684"/>
      <c r="RUF71" s="684"/>
      <c r="RUG71" s="684"/>
      <c r="RUH71" s="684"/>
      <c r="RUI71" s="684"/>
      <c r="RUJ71" s="684"/>
      <c r="RUK71" s="684"/>
      <c r="RUL71" s="684"/>
      <c r="RUM71" s="684"/>
      <c r="RUN71" s="684"/>
      <c r="RUO71" s="684"/>
      <c r="RUP71" s="684"/>
      <c r="RUQ71" s="684"/>
      <c r="RUR71" s="684"/>
      <c r="RUS71" s="684"/>
      <c r="RUT71" s="684"/>
      <c r="RUU71" s="684"/>
      <c r="RUV71" s="684"/>
      <c r="RUW71" s="684"/>
      <c r="RUX71" s="684"/>
      <c r="RUY71" s="684"/>
      <c r="RUZ71" s="684"/>
      <c r="RVA71" s="684"/>
      <c r="RVB71" s="684"/>
      <c r="RVC71" s="684"/>
      <c r="RVD71" s="684"/>
      <c r="RVE71" s="684"/>
      <c r="RVF71" s="684"/>
      <c r="RVG71" s="684"/>
      <c r="RVH71" s="684"/>
      <c r="RVI71" s="684"/>
      <c r="RVJ71" s="684"/>
      <c r="RVK71" s="684"/>
      <c r="RVL71" s="684"/>
      <c r="RVM71" s="684"/>
      <c r="RVN71" s="684"/>
      <c r="RVO71" s="684"/>
      <c r="RVP71" s="684"/>
      <c r="RVQ71" s="684"/>
      <c r="RVR71" s="684"/>
      <c r="RVS71" s="684"/>
      <c r="RVT71" s="684"/>
      <c r="RVU71" s="684"/>
      <c r="RVV71" s="684"/>
      <c r="RVW71" s="684"/>
      <c r="RVX71" s="684"/>
      <c r="RVY71" s="684"/>
      <c r="RVZ71" s="684"/>
      <c r="RWA71" s="684"/>
      <c r="RWB71" s="684"/>
      <c r="RWC71" s="684"/>
      <c r="RWD71" s="684"/>
      <c r="RWE71" s="684"/>
      <c r="RWF71" s="684"/>
      <c r="RWG71" s="684"/>
      <c r="RWH71" s="684"/>
      <c r="RWI71" s="684"/>
      <c r="RWJ71" s="684"/>
      <c r="RWK71" s="684"/>
      <c r="RWL71" s="684"/>
      <c r="RWM71" s="684"/>
      <c r="RWN71" s="684"/>
      <c r="RWO71" s="684"/>
      <c r="RWP71" s="684"/>
      <c r="RWQ71" s="684"/>
      <c r="RWR71" s="684"/>
      <c r="RWS71" s="684"/>
      <c r="RWT71" s="684"/>
      <c r="RWU71" s="684"/>
      <c r="RWV71" s="684"/>
      <c r="RWW71" s="684"/>
      <c r="RWX71" s="684"/>
      <c r="RWY71" s="684"/>
      <c r="RWZ71" s="684"/>
      <c r="RXA71" s="684"/>
      <c r="RXB71" s="684"/>
      <c r="RXC71" s="684"/>
      <c r="RXD71" s="684"/>
      <c r="RXE71" s="684"/>
      <c r="RXF71" s="684"/>
      <c r="RXG71" s="684"/>
      <c r="RXH71" s="684"/>
      <c r="RXI71" s="684"/>
      <c r="RXJ71" s="684"/>
      <c r="RXK71" s="684"/>
      <c r="RXL71" s="684"/>
      <c r="RXM71" s="684"/>
      <c r="RXN71" s="684"/>
      <c r="RXO71" s="684"/>
      <c r="RXP71" s="684"/>
      <c r="RXQ71" s="684"/>
      <c r="RXR71" s="684"/>
      <c r="RXS71" s="684"/>
      <c r="RXT71" s="684"/>
      <c r="RXU71" s="684"/>
      <c r="RXV71" s="684"/>
      <c r="RXW71" s="684"/>
      <c r="RXX71" s="684"/>
      <c r="RXY71" s="684"/>
      <c r="RXZ71" s="684"/>
      <c r="RYA71" s="684"/>
      <c r="RYB71" s="684"/>
      <c r="RYC71" s="684"/>
      <c r="RYD71" s="684"/>
      <c r="RYE71" s="684"/>
      <c r="RYF71" s="684"/>
      <c r="RYG71" s="684"/>
      <c r="RYH71" s="684"/>
      <c r="RYI71" s="684"/>
      <c r="RYJ71" s="684"/>
      <c r="RYK71" s="684"/>
      <c r="RYL71" s="684"/>
      <c r="RYM71" s="684"/>
      <c r="RYN71" s="684"/>
      <c r="RYO71" s="684"/>
      <c r="RYP71" s="684"/>
      <c r="RYQ71" s="684"/>
      <c r="RYR71" s="684"/>
      <c r="RYS71" s="684"/>
      <c r="RYT71" s="684"/>
      <c r="RYU71" s="684"/>
      <c r="RYV71" s="684"/>
      <c r="RYW71" s="684"/>
      <c r="RYX71" s="684"/>
      <c r="RYY71" s="684"/>
      <c r="RYZ71" s="684"/>
      <c r="RZA71" s="684"/>
      <c r="RZB71" s="684"/>
      <c r="RZC71" s="684"/>
      <c r="RZD71" s="684"/>
      <c r="RZE71" s="684"/>
      <c r="RZF71" s="684"/>
      <c r="RZG71" s="684"/>
      <c r="RZH71" s="684"/>
      <c r="RZI71" s="684"/>
      <c r="RZJ71" s="684"/>
      <c r="RZK71" s="684"/>
      <c r="RZL71" s="684"/>
      <c r="RZM71" s="684"/>
      <c r="RZN71" s="684"/>
      <c r="RZO71" s="684"/>
      <c r="RZP71" s="684"/>
      <c r="RZQ71" s="684"/>
      <c r="RZR71" s="684"/>
      <c r="RZS71" s="684"/>
      <c r="RZT71" s="684"/>
      <c r="RZU71" s="684"/>
      <c r="RZV71" s="684"/>
      <c r="RZW71" s="684"/>
      <c r="RZX71" s="684"/>
      <c r="RZY71" s="684"/>
      <c r="RZZ71" s="684"/>
      <c r="SAA71" s="684"/>
      <c r="SAB71" s="684"/>
      <c r="SAC71" s="684"/>
      <c r="SAD71" s="684"/>
      <c r="SAE71" s="684"/>
      <c r="SAF71" s="684"/>
      <c r="SAG71" s="684"/>
      <c r="SAH71" s="684"/>
      <c r="SAI71" s="684"/>
      <c r="SAJ71" s="684"/>
      <c r="SAK71" s="684"/>
      <c r="SAL71" s="684"/>
      <c r="SAM71" s="684"/>
      <c r="SAN71" s="684"/>
      <c r="SAO71" s="684"/>
      <c r="SAP71" s="684"/>
      <c r="SAQ71" s="684"/>
      <c r="SAR71" s="684"/>
      <c r="SAS71" s="684"/>
      <c r="SAT71" s="684"/>
      <c r="SAU71" s="684"/>
      <c r="SAV71" s="684"/>
      <c r="SAW71" s="684"/>
      <c r="SAX71" s="684"/>
      <c r="SAY71" s="684"/>
      <c r="SAZ71" s="684"/>
      <c r="SBA71" s="684"/>
      <c r="SBB71" s="684"/>
      <c r="SBC71" s="684"/>
      <c r="SBD71" s="684"/>
      <c r="SBE71" s="684"/>
      <c r="SBF71" s="684"/>
      <c r="SBG71" s="684"/>
      <c r="SBH71" s="684"/>
      <c r="SBI71" s="684"/>
      <c r="SBJ71" s="684"/>
      <c r="SBK71" s="684"/>
      <c r="SBL71" s="684"/>
      <c r="SBM71" s="684"/>
      <c r="SBN71" s="684"/>
      <c r="SBO71" s="684"/>
      <c r="SBP71" s="684"/>
      <c r="SBQ71" s="684"/>
      <c r="SBR71" s="684"/>
      <c r="SBS71" s="684"/>
      <c r="SBT71" s="684"/>
      <c r="SBU71" s="684"/>
      <c r="SBV71" s="684"/>
      <c r="SBW71" s="684"/>
      <c r="SBX71" s="684"/>
      <c r="SBY71" s="684"/>
      <c r="SBZ71" s="684"/>
      <c r="SCA71" s="684"/>
      <c r="SCB71" s="684"/>
      <c r="SCC71" s="684"/>
      <c r="SCD71" s="684"/>
      <c r="SCE71" s="684"/>
      <c r="SCF71" s="684"/>
      <c r="SCG71" s="684"/>
      <c r="SCH71" s="684"/>
      <c r="SCI71" s="684"/>
      <c r="SCJ71" s="684"/>
      <c r="SCK71" s="684"/>
      <c r="SCL71" s="684"/>
      <c r="SCM71" s="684"/>
      <c r="SCN71" s="684"/>
      <c r="SCO71" s="684"/>
      <c r="SCP71" s="684"/>
      <c r="SCQ71" s="684"/>
      <c r="SCR71" s="684"/>
      <c r="SCS71" s="684"/>
      <c r="SCT71" s="684"/>
      <c r="SCU71" s="684"/>
      <c r="SCV71" s="684"/>
      <c r="SCW71" s="684"/>
      <c r="SCX71" s="684"/>
      <c r="SCY71" s="684"/>
      <c r="SCZ71" s="684"/>
      <c r="SDA71" s="684"/>
      <c r="SDB71" s="684"/>
      <c r="SDC71" s="684"/>
      <c r="SDD71" s="684"/>
      <c r="SDE71" s="684"/>
      <c r="SDF71" s="684"/>
      <c r="SDG71" s="684"/>
      <c r="SDH71" s="684"/>
      <c r="SDI71" s="684"/>
      <c r="SDJ71" s="684"/>
      <c r="SDK71" s="684"/>
      <c r="SDL71" s="684"/>
      <c r="SDM71" s="684"/>
      <c r="SDN71" s="684"/>
      <c r="SDO71" s="684"/>
      <c r="SDP71" s="684"/>
      <c r="SDQ71" s="684"/>
      <c r="SDR71" s="684"/>
      <c r="SDS71" s="684"/>
      <c r="SDT71" s="684"/>
      <c r="SDU71" s="684"/>
      <c r="SDV71" s="684"/>
      <c r="SDW71" s="684"/>
      <c r="SDX71" s="684"/>
      <c r="SDY71" s="684"/>
      <c r="SDZ71" s="684"/>
      <c r="SEA71" s="684"/>
      <c r="SEB71" s="684"/>
      <c r="SEC71" s="684"/>
      <c r="SED71" s="684"/>
      <c r="SEE71" s="684"/>
      <c r="SEF71" s="684"/>
      <c r="SEG71" s="684"/>
      <c r="SEH71" s="684"/>
      <c r="SEI71" s="684"/>
      <c r="SEJ71" s="684"/>
      <c r="SEK71" s="684"/>
      <c r="SEL71" s="684"/>
      <c r="SEM71" s="684"/>
      <c r="SEN71" s="684"/>
      <c r="SEO71" s="684"/>
      <c r="SEP71" s="684"/>
      <c r="SEQ71" s="684"/>
      <c r="SER71" s="684"/>
      <c r="SES71" s="684"/>
      <c r="SET71" s="684"/>
      <c r="SEU71" s="684"/>
      <c r="SEV71" s="684"/>
      <c r="SEW71" s="684"/>
      <c r="SEX71" s="684"/>
      <c r="SEY71" s="684"/>
      <c r="SEZ71" s="684"/>
      <c r="SFA71" s="684"/>
      <c r="SFB71" s="684"/>
      <c r="SFC71" s="684"/>
      <c r="SFD71" s="684"/>
      <c r="SFE71" s="684"/>
      <c r="SFF71" s="684"/>
      <c r="SFG71" s="684"/>
      <c r="SFH71" s="684"/>
      <c r="SFI71" s="684"/>
      <c r="SFJ71" s="684"/>
      <c r="SFK71" s="684"/>
      <c r="SFL71" s="684"/>
      <c r="SFM71" s="684"/>
      <c r="SFN71" s="684"/>
      <c r="SFO71" s="684"/>
      <c r="SFP71" s="684"/>
      <c r="SFQ71" s="684"/>
      <c r="SFR71" s="684"/>
      <c r="SFS71" s="684"/>
      <c r="SFT71" s="684"/>
      <c r="SFU71" s="684"/>
      <c r="SFV71" s="684"/>
      <c r="SFW71" s="684"/>
      <c r="SFX71" s="684"/>
      <c r="SFY71" s="684"/>
      <c r="SFZ71" s="684"/>
      <c r="SGA71" s="684"/>
      <c r="SGB71" s="684"/>
      <c r="SGC71" s="684"/>
      <c r="SGD71" s="684"/>
      <c r="SGE71" s="684"/>
      <c r="SGF71" s="684"/>
      <c r="SGG71" s="684"/>
      <c r="SGH71" s="684"/>
      <c r="SGI71" s="684"/>
      <c r="SGJ71" s="684"/>
      <c r="SGK71" s="684"/>
      <c r="SGL71" s="684"/>
      <c r="SGM71" s="684"/>
      <c r="SGN71" s="684"/>
      <c r="SGO71" s="684"/>
      <c r="SGP71" s="684"/>
      <c r="SGQ71" s="684"/>
      <c r="SGR71" s="684"/>
      <c r="SGS71" s="684"/>
      <c r="SGT71" s="684"/>
      <c r="SGU71" s="684"/>
      <c r="SGV71" s="684"/>
      <c r="SGW71" s="684"/>
      <c r="SGX71" s="684"/>
      <c r="SGY71" s="684"/>
      <c r="SGZ71" s="684"/>
      <c r="SHA71" s="684"/>
      <c r="SHB71" s="684"/>
      <c r="SHC71" s="684"/>
      <c r="SHD71" s="684"/>
      <c r="SHE71" s="684"/>
      <c r="SHF71" s="684"/>
      <c r="SHG71" s="684"/>
      <c r="SHH71" s="684"/>
      <c r="SHI71" s="684"/>
      <c r="SHJ71" s="684"/>
      <c r="SHK71" s="684"/>
      <c r="SHL71" s="684"/>
      <c r="SHM71" s="684"/>
      <c r="SHN71" s="684"/>
      <c r="SHO71" s="684"/>
      <c r="SHP71" s="684"/>
      <c r="SHQ71" s="684"/>
      <c r="SHR71" s="684"/>
      <c r="SHS71" s="684"/>
      <c r="SHT71" s="684"/>
      <c r="SHU71" s="684"/>
      <c r="SHV71" s="684"/>
      <c r="SHW71" s="684"/>
      <c r="SHX71" s="684"/>
      <c r="SHY71" s="684"/>
      <c r="SHZ71" s="684"/>
      <c r="SIA71" s="684"/>
      <c r="SIB71" s="684"/>
      <c r="SIC71" s="684"/>
      <c r="SID71" s="684"/>
      <c r="SIE71" s="684"/>
      <c r="SIF71" s="684"/>
      <c r="SIG71" s="684"/>
      <c r="SIH71" s="684"/>
      <c r="SII71" s="684"/>
      <c r="SIJ71" s="684"/>
      <c r="SIK71" s="684"/>
      <c r="SIL71" s="684"/>
      <c r="SIM71" s="684"/>
      <c r="SIN71" s="684"/>
      <c r="SIO71" s="684"/>
      <c r="SIP71" s="684"/>
      <c r="SIQ71" s="684"/>
      <c r="SIR71" s="684"/>
      <c r="SIS71" s="684"/>
      <c r="SIT71" s="684"/>
      <c r="SIU71" s="684"/>
      <c r="SIV71" s="684"/>
      <c r="SIW71" s="684"/>
      <c r="SIX71" s="684"/>
      <c r="SIY71" s="684"/>
      <c r="SIZ71" s="684"/>
      <c r="SJA71" s="684"/>
      <c r="SJB71" s="684"/>
      <c r="SJC71" s="684"/>
      <c r="SJD71" s="684"/>
      <c r="SJE71" s="684"/>
      <c r="SJF71" s="684"/>
      <c r="SJG71" s="684"/>
      <c r="SJH71" s="684"/>
      <c r="SJI71" s="684"/>
      <c r="SJJ71" s="684"/>
      <c r="SJK71" s="684"/>
      <c r="SJL71" s="684"/>
      <c r="SJM71" s="684"/>
      <c r="SJN71" s="684"/>
      <c r="SJO71" s="684"/>
      <c r="SJP71" s="684"/>
      <c r="SJQ71" s="684"/>
      <c r="SJR71" s="684"/>
      <c r="SJS71" s="684"/>
      <c r="SJT71" s="684"/>
      <c r="SJU71" s="684"/>
      <c r="SJV71" s="684"/>
      <c r="SJW71" s="684"/>
      <c r="SJX71" s="684"/>
      <c r="SJY71" s="684"/>
      <c r="SJZ71" s="684"/>
      <c r="SKA71" s="684"/>
      <c r="SKB71" s="684"/>
      <c r="SKC71" s="684"/>
      <c r="SKD71" s="684"/>
      <c r="SKE71" s="684"/>
      <c r="SKF71" s="684"/>
      <c r="SKG71" s="684"/>
      <c r="SKH71" s="684"/>
      <c r="SKI71" s="684"/>
      <c r="SKJ71" s="684"/>
      <c r="SKK71" s="684"/>
      <c r="SKL71" s="684"/>
      <c r="SKM71" s="684"/>
      <c r="SKN71" s="684"/>
      <c r="SKO71" s="684"/>
      <c r="SKP71" s="684"/>
      <c r="SKQ71" s="684"/>
      <c r="SKR71" s="684"/>
      <c r="SKS71" s="684"/>
      <c r="SKT71" s="684"/>
      <c r="SKU71" s="684"/>
      <c r="SKV71" s="684"/>
      <c r="SKW71" s="684"/>
      <c r="SKX71" s="684"/>
      <c r="SKY71" s="684"/>
      <c r="SKZ71" s="684"/>
      <c r="SLA71" s="684"/>
      <c r="SLB71" s="684"/>
      <c r="SLC71" s="684"/>
      <c r="SLD71" s="684"/>
      <c r="SLE71" s="684"/>
      <c r="SLF71" s="684"/>
      <c r="SLG71" s="684"/>
      <c r="SLH71" s="684"/>
      <c r="SLI71" s="684"/>
      <c r="SLJ71" s="684"/>
      <c r="SLK71" s="684"/>
      <c r="SLL71" s="684"/>
      <c r="SLM71" s="684"/>
      <c r="SLN71" s="684"/>
      <c r="SLO71" s="684"/>
      <c r="SLP71" s="684"/>
      <c r="SLQ71" s="684"/>
      <c r="SLR71" s="684"/>
      <c r="SLS71" s="684"/>
      <c r="SLT71" s="684"/>
      <c r="SLU71" s="684"/>
      <c r="SLV71" s="684"/>
      <c r="SLW71" s="684"/>
      <c r="SLX71" s="684"/>
      <c r="SLY71" s="684"/>
      <c r="SLZ71" s="684"/>
      <c r="SMA71" s="684"/>
      <c r="SMB71" s="684"/>
      <c r="SMC71" s="684"/>
      <c r="SMD71" s="684"/>
      <c r="SME71" s="684"/>
      <c r="SMF71" s="684"/>
      <c r="SMG71" s="684"/>
      <c r="SMH71" s="684"/>
      <c r="SMI71" s="684"/>
      <c r="SMJ71" s="684"/>
      <c r="SMK71" s="684"/>
      <c r="SML71" s="684"/>
      <c r="SMM71" s="684"/>
      <c r="SMN71" s="684"/>
      <c r="SMO71" s="684"/>
      <c r="SMP71" s="684"/>
      <c r="SMQ71" s="684"/>
      <c r="SMR71" s="684"/>
      <c r="SMS71" s="684"/>
      <c r="SMT71" s="684"/>
      <c r="SMU71" s="684"/>
      <c r="SMV71" s="684"/>
      <c r="SMW71" s="684"/>
      <c r="SMX71" s="684"/>
      <c r="SMY71" s="684"/>
      <c r="SMZ71" s="684"/>
      <c r="SNA71" s="684"/>
      <c r="SNB71" s="684"/>
      <c r="SNC71" s="684"/>
      <c r="SND71" s="684"/>
      <c r="SNE71" s="684"/>
      <c r="SNF71" s="684"/>
      <c r="SNG71" s="684"/>
      <c r="SNH71" s="684"/>
      <c r="SNI71" s="684"/>
      <c r="SNJ71" s="684"/>
      <c r="SNK71" s="684"/>
      <c r="SNL71" s="684"/>
      <c r="SNM71" s="684"/>
      <c r="SNN71" s="684"/>
      <c r="SNO71" s="684"/>
      <c r="SNP71" s="684"/>
      <c r="SNQ71" s="684"/>
      <c r="SNR71" s="684"/>
      <c r="SNS71" s="684"/>
      <c r="SNT71" s="684"/>
      <c r="SNU71" s="684"/>
      <c r="SNV71" s="684"/>
      <c r="SNW71" s="684"/>
      <c r="SNX71" s="684"/>
      <c r="SNY71" s="684"/>
      <c r="SNZ71" s="684"/>
      <c r="SOA71" s="684"/>
      <c r="SOB71" s="684"/>
      <c r="SOC71" s="684"/>
      <c r="SOD71" s="684"/>
      <c r="SOE71" s="684"/>
      <c r="SOF71" s="684"/>
      <c r="SOG71" s="684"/>
      <c r="SOH71" s="684"/>
      <c r="SOI71" s="684"/>
      <c r="SOJ71" s="684"/>
      <c r="SOK71" s="684"/>
      <c r="SOL71" s="684"/>
      <c r="SOM71" s="684"/>
      <c r="SON71" s="684"/>
      <c r="SOO71" s="684"/>
      <c r="SOP71" s="684"/>
      <c r="SOQ71" s="684"/>
      <c r="SOR71" s="684"/>
      <c r="SOS71" s="684"/>
      <c r="SOT71" s="684"/>
      <c r="SOU71" s="684"/>
      <c r="SOV71" s="684"/>
      <c r="SOW71" s="684"/>
      <c r="SOX71" s="684"/>
      <c r="SOY71" s="684"/>
      <c r="SOZ71" s="684"/>
      <c r="SPA71" s="684"/>
      <c r="SPB71" s="684"/>
      <c r="SPC71" s="684"/>
      <c r="SPD71" s="684"/>
      <c r="SPE71" s="684"/>
      <c r="SPF71" s="684"/>
      <c r="SPG71" s="684"/>
      <c r="SPH71" s="684"/>
      <c r="SPI71" s="684"/>
      <c r="SPJ71" s="684"/>
      <c r="SPK71" s="684"/>
      <c r="SPL71" s="684"/>
      <c r="SPM71" s="684"/>
      <c r="SPN71" s="684"/>
      <c r="SPO71" s="684"/>
      <c r="SPP71" s="684"/>
      <c r="SPQ71" s="684"/>
      <c r="SPR71" s="684"/>
      <c r="SPS71" s="684"/>
      <c r="SPT71" s="684"/>
      <c r="SPU71" s="684"/>
      <c r="SPV71" s="684"/>
      <c r="SPW71" s="684"/>
      <c r="SPX71" s="684"/>
      <c r="SPY71" s="684"/>
      <c r="SPZ71" s="684"/>
      <c r="SQA71" s="684"/>
      <c r="SQB71" s="684"/>
      <c r="SQC71" s="684"/>
      <c r="SQD71" s="684"/>
      <c r="SQE71" s="684"/>
      <c r="SQF71" s="684"/>
      <c r="SQG71" s="684"/>
      <c r="SQH71" s="684"/>
      <c r="SQI71" s="684"/>
      <c r="SQJ71" s="684"/>
      <c r="SQK71" s="684"/>
      <c r="SQL71" s="684"/>
      <c r="SQM71" s="684"/>
      <c r="SQN71" s="684"/>
      <c r="SQO71" s="684"/>
      <c r="SQP71" s="684"/>
      <c r="SQQ71" s="684"/>
      <c r="SQR71" s="684"/>
      <c r="SQS71" s="684"/>
      <c r="SQT71" s="684"/>
      <c r="SQU71" s="684"/>
      <c r="SQV71" s="684"/>
      <c r="SQW71" s="684"/>
      <c r="SQX71" s="684"/>
      <c r="SQY71" s="684"/>
      <c r="SQZ71" s="684"/>
      <c r="SRA71" s="684"/>
      <c r="SRB71" s="684"/>
      <c r="SRC71" s="684"/>
      <c r="SRD71" s="684"/>
      <c r="SRE71" s="684"/>
      <c r="SRF71" s="684"/>
      <c r="SRG71" s="684"/>
      <c r="SRH71" s="684"/>
      <c r="SRI71" s="684"/>
      <c r="SRJ71" s="684"/>
      <c r="SRK71" s="684"/>
      <c r="SRL71" s="684"/>
      <c r="SRM71" s="684"/>
      <c r="SRN71" s="684"/>
      <c r="SRO71" s="684"/>
      <c r="SRP71" s="684"/>
      <c r="SRQ71" s="684"/>
      <c r="SRR71" s="684"/>
      <c r="SRS71" s="684"/>
      <c r="SRT71" s="684"/>
      <c r="SRU71" s="684"/>
      <c r="SRV71" s="684"/>
      <c r="SRW71" s="684"/>
      <c r="SRX71" s="684"/>
      <c r="SRY71" s="684"/>
      <c r="SRZ71" s="684"/>
      <c r="SSA71" s="684"/>
      <c r="SSB71" s="684"/>
      <c r="SSC71" s="684"/>
      <c r="SSD71" s="684"/>
      <c r="SSE71" s="684"/>
      <c r="SSF71" s="684"/>
      <c r="SSG71" s="684"/>
      <c r="SSH71" s="684"/>
      <c r="SSI71" s="684"/>
      <c r="SSJ71" s="684"/>
      <c r="SSK71" s="684"/>
      <c r="SSL71" s="684"/>
      <c r="SSM71" s="684"/>
      <c r="SSN71" s="684"/>
      <c r="SSO71" s="684"/>
      <c r="SSP71" s="684"/>
      <c r="SSQ71" s="684"/>
      <c r="SSR71" s="684"/>
      <c r="SSS71" s="684"/>
      <c r="SST71" s="684"/>
      <c r="SSU71" s="684"/>
      <c r="SSV71" s="684"/>
      <c r="SSW71" s="684"/>
      <c r="SSX71" s="684"/>
      <c r="SSY71" s="684"/>
      <c r="SSZ71" s="684"/>
      <c r="STA71" s="684"/>
      <c r="STB71" s="684"/>
      <c r="STC71" s="684"/>
      <c r="STD71" s="684"/>
      <c r="STE71" s="684"/>
      <c r="STF71" s="684"/>
      <c r="STG71" s="684"/>
      <c r="STH71" s="684"/>
      <c r="STI71" s="684"/>
      <c r="STJ71" s="684"/>
      <c r="STK71" s="684"/>
      <c r="STL71" s="684"/>
      <c r="STM71" s="684"/>
      <c r="STN71" s="684"/>
      <c r="STO71" s="684"/>
      <c r="STP71" s="684"/>
      <c r="STQ71" s="684"/>
      <c r="STR71" s="684"/>
      <c r="STS71" s="684"/>
      <c r="STT71" s="684"/>
      <c r="STU71" s="684"/>
      <c r="STV71" s="684"/>
      <c r="STW71" s="684"/>
      <c r="STX71" s="684"/>
      <c r="STY71" s="684"/>
      <c r="STZ71" s="684"/>
      <c r="SUA71" s="684"/>
      <c r="SUB71" s="684"/>
      <c r="SUC71" s="684"/>
      <c r="SUD71" s="684"/>
      <c r="SUE71" s="684"/>
      <c r="SUF71" s="684"/>
      <c r="SUG71" s="684"/>
      <c r="SUH71" s="684"/>
      <c r="SUI71" s="684"/>
      <c r="SUJ71" s="684"/>
      <c r="SUK71" s="684"/>
      <c r="SUL71" s="684"/>
      <c r="SUM71" s="684"/>
      <c r="SUN71" s="684"/>
      <c r="SUO71" s="684"/>
      <c r="SUP71" s="684"/>
      <c r="SUQ71" s="684"/>
      <c r="SUR71" s="684"/>
      <c r="SUS71" s="684"/>
      <c r="SUT71" s="684"/>
      <c r="SUU71" s="684"/>
      <c r="SUV71" s="684"/>
      <c r="SUW71" s="684"/>
      <c r="SUX71" s="684"/>
      <c r="SUY71" s="684"/>
      <c r="SUZ71" s="684"/>
      <c r="SVA71" s="684"/>
      <c r="SVB71" s="684"/>
      <c r="SVC71" s="684"/>
      <c r="SVD71" s="684"/>
      <c r="SVE71" s="684"/>
      <c r="SVF71" s="684"/>
      <c r="SVG71" s="684"/>
      <c r="SVH71" s="684"/>
      <c r="SVI71" s="684"/>
      <c r="SVJ71" s="684"/>
      <c r="SVK71" s="684"/>
      <c r="SVL71" s="684"/>
      <c r="SVM71" s="684"/>
      <c r="SVN71" s="684"/>
      <c r="SVO71" s="684"/>
      <c r="SVP71" s="684"/>
      <c r="SVQ71" s="684"/>
      <c r="SVR71" s="684"/>
      <c r="SVS71" s="684"/>
      <c r="SVT71" s="684"/>
      <c r="SVU71" s="684"/>
      <c r="SVV71" s="684"/>
      <c r="SVW71" s="684"/>
      <c r="SVX71" s="684"/>
      <c r="SVY71" s="684"/>
      <c r="SVZ71" s="684"/>
      <c r="SWA71" s="684"/>
      <c r="SWB71" s="684"/>
      <c r="SWC71" s="684"/>
      <c r="SWD71" s="684"/>
      <c r="SWE71" s="684"/>
      <c r="SWF71" s="684"/>
      <c r="SWG71" s="684"/>
      <c r="SWH71" s="684"/>
      <c r="SWI71" s="684"/>
      <c r="SWJ71" s="684"/>
      <c r="SWK71" s="684"/>
      <c r="SWL71" s="684"/>
      <c r="SWM71" s="684"/>
      <c r="SWN71" s="684"/>
      <c r="SWO71" s="684"/>
      <c r="SWP71" s="684"/>
      <c r="SWQ71" s="684"/>
      <c r="SWR71" s="684"/>
      <c r="SWS71" s="684"/>
      <c r="SWT71" s="684"/>
      <c r="SWU71" s="684"/>
      <c r="SWV71" s="684"/>
      <c r="SWW71" s="684"/>
      <c r="SWX71" s="684"/>
      <c r="SWY71" s="684"/>
      <c r="SWZ71" s="684"/>
      <c r="SXA71" s="684"/>
      <c r="SXB71" s="684"/>
      <c r="SXC71" s="684"/>
      <c r="SXD71" s="684"/>
      <c r="SXE71" s="684"/>
      <c r="SXF71" s="684"/>
      <c r="SXG71" s="684"/>
      <c r="SXH71" s="684"/>
      <c r="SXI71" s="684"/>
      <c r="SXJ71" s="684"/>
      <c r="SXK71" s="684"/>
      <c r="SXL71" s="684"/>
      <c r="SXM71" s="684"/>
      <c r="SXN71" s="684"/>
      <c r="SXO71" s="684"/>
      <c r="SXP71" s="684"/>
      <c r="SXQ71" s="684"/>
      <c r="SXR71" s="684"/>
      <c r="SXS71" s="684"/>
      <c r="SXT71" s="684"/>
      <c r="SXU71" s="684"/>
      <c r="SXV71" s="684"/>
      <c r="SXW71" s="684"/>
      <c r="SXX71" s="684"/>
      <c r="SXY71" s="684"/>
      <c r="SXZ71" s="684"/>
      <c r="SYA71" s="684"/>
      <c r="SYB71" s="684"/>
      <c r="SYC71" s="684"/>
      <c r="SYD71" s="684"/>
      <c r="SYE71" s="684"/>
      <c r="SYF71" s="684"/>
      <c r="SYG71" s="684"/>
      <c r="SYH71" s="684"/>
      <c r="SYI71" s="684"/>
      <c r="SYJ71" s="684"/>
      <c r="SYK71" s="684"/>
      <c r="SYL71" s="684"/>
      <c r="SYM71" s="684"/>
      <c r="SYN71" s="684"/>
      <c r="SYO71" s="684"/>
      <c r="SYP71" s="684"/>
      <c r="SYQ71" s="684"/>
      <c r="SYR71" s="684"/>
      <c r="SYS71" s="684"/>
      <c r="SYT71" s="684"/>
      <c r="SYU71" s="684"/>
      <c r="SYV71" s="684"/>
      <c r="SYW71" s="684"/>
      <c r="SYX71" s="684"/>
      <c r="SYY71" s="684"/>
      <c r="SYZ71" s="684"/>
      <c r="SZA71" s="684"/>
      <c r="SZB71" s="684"/>
      <c r="SZC71" s="684"/>
      <c r="SZD71" s="684"/>
      <c r="SZE71" s="684"/>
      <c r="SZF71" s="684"/>
      <c r="SZG71" s="684"/>
      <c r="SZH71" s="684"/>
      <c r="SZI71" s="684"/>
      <c r="SZJ71" s="684"/>
      <c r="SZK71" s="684"/>
      <c r="SZL71" s="684"/>
      <c r="SZM71" s="684"/>
      <c r="SZN71" s="684"/>
      <c r="SZO71" s="684"/>
      <c r="SZP71" s="684"/>
      <c r="SZQ71" s="684"/>
      <c r="SZR71" s="684"/>
      <c r="SZS71" s="684"/>
      <c r="SZT71" s="684"/>
      <c r="SZU71" s="684"/>
      <c r="SZV71" s="684"/>
      <c r="SZW71" s="684"/>
      <c r="SZX71" s="684"/>
      <c r="SZY71" s="684"/>
      <c r="SZZ71" s="684"/>
      <c r="TAA71" s="684"/>
      <c r="TAB71" s="684"/>
      <c r="TAC71" s="684"/>
      <c r="TAD71" s="684"/>
      <c r="TAE71" s="684"/>
      <c r="TAF71" s="684"/>
      <c r="TAG71" s="684"/>
      <c r="TAH71" s="684"/>
      <c r="TAI71" s="684"/>
      <c r="TAJ71" s="684"/>
      <c r="TAK71" s="684"/>
      <c r="TAL71" s="684"/>
      <c r="TAM71" s="684"/>
      <c r="TAN71" s="684"/>
      <c r="TAO71" s="684"/>
      <c r="TAP71" s="684"/>
      <c r="TAQ71" s="684"/>
      <c r="TAR71" s="684"/>
      <c r="TAS71" s="684"/>
      <c r="TAT71" s="684"/>
      <c r="TAU71" s="684"/>
      <c r="TAV71" s="684"/>
      <c r="TAW71" s="684"/>
      <c r="TAX71" s="684"/>
      <c r="TAY71" s="684"/>
      <c r="TAZ71" s="684"/>
      <c r="TBA71" s="684"/>
      <c r="TBB71" s="684"/>
      <c r="TBC71" s="684"/>
      <c r="TBD71" s="684"/>
      <c r="TBE71" s="684"/>
      <c r="TBF71" s="684"/>
      <c r="TBG71" s="684"/>
      <c r="TBH71" s="684"/>
      <c r="TBI71" s="684"/>
      <c r="TBJ71" s="684"/>
      <c r="TBK71" s="684"/>
      <c r="TBL71" s="684"/>
      <c r="TBM71" s="684"/>
      <c r="TBN71" s="684"/>
      <c r="TBO71" s="684"/>
      <c r="TBP71" s="684"/>
      <c r="TBQ71" s="684"/>
      <c r="TBR71" s="684"/>
      <c r="TBS71" s="684"/>
      <c r="TBT71" s="684"/>
      <c r="TBU71" s="684"/>
      <c r="TBV71" s="684"/>
      <c r="TBW71" s="684"/>
      <c r="TBX71" s="684"/>
      <c r="TBY71" s="684"/>
      <c r="TBZ71" s="684"/>
      <c r="TCA71" s="684"/>
      <c r="TCB71" s="684"/>
      <c r="TCC71" s="684"/>
      <c r="TCD71" s="684"/>
      <c r="TCE71" s="684"/>
      <c r="TCF71" s="684"/>
      <c r="TCG71" s="684"/>
      <c r="TCH71" s="684"/>
      <c r="TCI71" s="684"/>
      <c r="TCJ71" s="684"/>
      <c r="TCK71" s="684"/>
      <c r="TCL71" s="684"/>
      <c r="TCM71" s="684"/>
      <c r="TCN71" s="684"/>
      <c r="TCO71" s="684"/>
      <c r="TCP71" s="684"/>
      <c r="TCQ71" s="684"/>
      <c r="TCR71" s="684"/>
      <c r="TCS71" s="684"/>
      <c r="TCT71" s="684"/>
      <c r="TCU71" s="684"/>
      <c r="TCV71" s="684"/>
      <c r="TCW71" s="684"/>
      <c r="TCX71" s="684"/>
      <c r="TCY71" s="684"/>
      <c r="TCZ71" s="684"/>
      <c r="TDA71" s="684"/>
      <c r="TDB71" s="684"/>
      <c r="TDC71" s="684"/>
      <c r="TDD71" s="684"/>
      <c r="TDE71" s="684"/>
      <c r="TDF71" s="684"/>
      <c r="TDG71" s="684"/>
      <c r="TDH71" s="684"/>
      <c r="TDI71" s="684"/>
      <c r="TDJ71" s="684"/>
      <c r="TDK71" s="684"/>
      <c r="TDL71" s="684"/>
      <c r="TDM71" s="684"/>
      <c r="TDN71" s="684"/>
      <c r="TDO71" s="684"/>
      <c r="TDP71" s="684"/>
      <c r="TDQ71" s="684"/>
      <c r="TDR71" s="684"/>
      <c r="TDS71" s="684"/>
      <c r="TDT71" s="684"/>
      <c r="TDU71" s="684"/>
      <c r="TDV71" s="684"/>
      <c r="TDW71" s="684"/>
      <c r="TDX71" s="684"/>
      <c r="TDY71" s="684"/>
      <c r="TDZ71" s="684"/>
      <c r="TEA71" s="684"/>
      <c r="TEB71" s="684"/>
      <c r="TEC71" s="684"/>
      <c r="TED71" s="684"/>
      <c r="TEE71" s="684"/>
      <c r="TEF71" s="684"/>
      <c r="TEG71" s="684"/>
      <c r="TEH71" s="684"/>
      <c r="TEI71" s="684"/>
      <c r="TEJ71" s="684"/>
      <c r="TEK71" s="684"/>
      <c r="TEL71" s="684"/>
      <c r="TEM71" s="684"/>
      <c r="TEN71" s="684"/>
      <c r="TEO71" s="684"/>
      <c r="TEP71" s="684"/>
      <c r="TEQ71" s="684"/>
      <c r="TER71" s="684"/>
      <c r="TES71" s="684"/>
      <c r="TET71" s="684"/>
      <c r="TEU71" s="684"/>
      <c r="TEV71" s="684"/>
      <c r="TEW71" s="684"/>
      <c r="TEX71" s="684"/>
      <c r="TEY71" s="684"/>
      <c r="TEZ71" s="684"/>
      <c r="TFA71" s="684"/>
      <c r="TFB71" s="684"/>
      <c r="TFC71" s="684"/>
      <c r="TFD71" s="684"/>
      <c r="TFE71" s="684"/>
      <c r="TFF71" s="684"/>
      <c r="TFG71" s="684"/>
      <c r="TFH71" s="684"/>
      <c r="TFI71" s="684"/>
      <c r="TFJ71" s="684"/>
      <c r="TFK71" s="684"/>
      <c r="TFL71" s="684"/>
      <c r="TFM71" s="684"/>
      <c r="TFN71" s="684"/>
      <c r="TFO71" s="684"/>
      <c r="TFP71" s="684"/>
      <c r="TFQ71" s="684"/>
      <c r="TFR71" s="684"/>
      <c r="TFS71" s="684"/>
      <c r="TFT71" s="684"/>
      <c r="TFU71" s="684"/>
      <c r="TFV71" s="684"/>
      <c r="TFW71" s="684"/>
      <c r="TFX71" s="684"/>
      <c r="TFY71" s="684"/>
      <c r="TFZ71" s="684"/>
      <c r="TGA71" s="684"/>
      <c r="TGB71" s="684"/>
      <c r="TGC71" s="684"/>
      <c r="TGD71" s="684"/>
      <c r="TGE71" s="684"/>
      <c r="TGF71" s="684"/>
      <c r="TGG71" s="684"/>
      <c r="TGH71" s="684"/>
      <c r="TGI71" s="684"/>
      <c r="TGJ71" s="684"/>
      <c r="TGK71" s="684"/>
      <c r="TGL71" s="684"/>
      <c r="TGM71" s="684"/>
      <c r="TGN71" s="684"/>
      <c r="TGO71" s="684"/>
      <c r="TGP71" s="684"/>
      <c r="TGQ71" s="684"/>
      <c r="TGR71" s="684"/>
      <c r="TGS71" s="684"/>
      <c r="TGT71" s="684"/>
      <c r="TGU71" s="684"/>
      <c r="TGV71" s="684"/>
      <c r="TGW71" s="684"/>
      <c r="TGX71" s="684"/>
      <c r="TGY71" s="684"/>
      <c r="TGZ71" s="684"/>
      <c r="THA71" s="684"/>
      <c r="THB71" s="684"/>
      <c r="THC71" s="684"/>
      <c r="THD71" s="684"/>
      <c r="THE71" s="684"/>
      <c r="THF71" s="684"/>
      <c r="THG71" s="684"/>
      <c r="THH71" s="684"/>
      <c r="THI71" s="684"/>
      <c r="THJ71" s="684"/>
      <c r="THK71" s="684"/>
      <c r="THL71" s="684"/>
      <c r="THM71" s="684"/>
      <c r="THN71" s="684"/>
      <c r="THO71" s="684"/>
      <c r="THP71" s="684"/>
      <c r="THQ71" s="684"/>
      <c r="THR71" s="684"/>
      <c r="THS71" s="684"/>
      <c r="THT71" s="684"/>
      <c r="THU71" s="684"/>
      <c r="THV71" s="684"/>
      <c r="THW71" s="684"/>
      <c r="THX71" s="684"/>
      <c r="THY71" s="684"/>
      <c r="THZ71" s="684"/>
      <c r="TIA71" s="684"/>
      <c r="TIB71" s="684"/>
      <c r="TIC71" s="684"/>
      <c r="TID71" s="684"/>
      <c r="TIE71" s="684"/>
      <c r="TIF71" s="684"/>
      <c r="TIG71" s="684"/>
      <c r="TIH71" s="684"/>
      <c r="TII71" s="684"/>
      <c r="TIJ71" s="684"/>
      <c r="TIK71" s="684"/>
      <c r="TIL71" s="684"/>
      <c r="TIM71" s="684"/>
      <c r="TIN71" s="684"/>
      <c r="TIO71" s="684"/>
      <c r="TIP71" s="684"/>
      <c r="TIQ71" s="684"/>
      <c r="TIR71" s="684"/>
      <c r="TIS71" s="684"/>
      <c r="TIT71" s="684"/>
      <c r="TIU71" s="684"/>
      <c r="TIV71" s="684"/>
      <c r="TIW71" s="684"/>
      <c r="TIX71" s="684"/>
      <c r="TIY71" s="684"/>
      <c r="TIZ71" s="684"/>
      <c r="TJA71" s="684"/>
      <c r="TJB71" s="684"/>
      <c r="TJC71" s="684"/>
      <c r="TJD71" s="684"/>
      <c r="TJE71" s="684"/>
      <c r="TJF71" s="684"/>
      <c r="TJG71" s="684"/>
      <c r="TJH71" s="684"/>
      <c r="TJI71" s="684"/>
      <c r="TJJ71" s="684"/>
      <c r="TJK71" s="684"/>
      <c r="TJL71" s="684"/>
      <c r="TJM71" s="684"/>
      <c r="TJN71" s="684"/>
      <c r="TJO71" s="684"/>
      <c r="TJP71" s="684"/>
      <c r="TJQ71" s="684"/>
      <c r="TJR71" s="684"/>
      <c r="TJS71" s="684"/>
      <c r="TJT71" s="684"/>
      <c r="TJU71" s="684"/>
      <c r="TJV71" s="684"/>
      <c r="TJW71" s="684"/>
      <c r="TJX71" s="684"/>
      <c r="TJY71" s="684"/>
      <c r="TJZ71" s="684"/>
      <c r="TKA71" s="684"/>
      <c r="TKB71" s="684"/>
      <c r="TKC71" s="684"/>
      <c r="TKD71" s="684"/>
      <c r="TKE71" s="684"/>
      <c r="TKF71" s="684"/>
      <c r="TKG71" s="684"/>
      <c r="TKH71" s="684"/>
      <c r="TKI71" s="684"/>
      <c r="TKJ71" s="684"/>
      <c r="TKK71" s="684"/>
      <c r="TKL71" s="684"/>
      <c r="TKM71" s="684"/>
      <c r="TKN71" s="684"/>
      <c r="TKO71" s="684"/>
      <c r="TKP71" s="684"/>
      <c r="TKQ71" s="684"/>
      <c r="TKR71" s="684"/>
      <c r="TKS71" s="684"/>
      <c r="TKT71" s="684"/>
      <c r="TKU71" s="684"/>
      <c r="TKV71" s="684"/>
      <c r="TKW71" s="684"/>
      <c r="TKX71" s="684"/>
      <c r="TKY71" s="684"/>
      <c r="TKZ71" s="684"/>
      <c r="TLA71" s="684"/>
      <c r="TLB71" s="684"/>
      <c r="TLC71" s="684"/>
      <c r="TLD71" s="684"/>
      <c r="TLE71" s="684"/>
      <c r="TLF71" s="684"/>
      <c r="TLG71" s="684"/>
      <c r="TLH71" s="684"/>
      <c r="TLI71" s="684"/>
      <c r="TLJ71" s="684"/>
      <c r="TLK71" s="684"/>
      <c r="TLL71" s="684"/>
      <c r="TLM71" s="684"/>
      <c r="TLN71" s="684"/>
      <c r="TLO71" s="684"/>
      <c r="TLP71" s="684"/>
      <c r="TLQ71" s="684"/>
      <c r="TLR71" s="684"/>
      <c r="TLS71" s="684"/>
      <c r="TLT71" s="684"/>
      <c r="TLU71" s="684"/>
      <c r="TLV71" s="684"/>
      <c r="TLW71" s="684"/>
      <c r="TLX71" s="684"/>
      <c r="TLY71" s="684"/>
      <c r="TLZ71" s="684"/>
      <c r="TMA71" s="684"/>
      <c r="TMB71" s="684"/>
      <c r="TMC71" s="684"/>
      <c r="TMD71" s="684"/>
      <c r="TME71" s="684"/>
      <c r="TMF71" s="684"/>
      <c r="TMG71" s="684"/>
      <c r="TMH71" s="684"/>
      <c r="TMI71" s="684"/>
      <c r="TMJ71" s="684"/>
      <c r="TMK71" s="684"/>
      <c r="TML71" s="684"/>
      <c r="TMM71" s="684"/>
      <c r="TMN71" s="684"/>
      <c r="TMO71" s="684"/>
      <c r="TMP71" s="684"/>
      <c r="TMQ71" s="684"/>
      <c r="TMR71" s="684"/>
      <c r="TMS71" s="684"/>
      <c r="TMT71" s="684"/>
      <c r="TMU71" s="684"/>
      <c r="TMV71" s="684"/>
      <c r="TMW71" s="684"/>
      <c r="TMX71" s="684"/>
      <c r="TMY71" s="684"/>
      <c r="TMZ71" s="684"/>
      <c r="TNA71" s="684"/>
      <c r="TNB71" s="684"/>
      <c r="TNC71" s="684"/>
      <c r="TND71" s="684"/>
      <c r="TNE71" s="684"/>
      <c r="TNF71" s="684"/>
      <c r="TNG71" s="684"/>
      <c r="TNH71" s="684"/>
      <c r="TNI71" s="684"/>
      <c r="TNJ71" s="684"/>
      <c r="TNK71" s="684"/>
      <c r="TNL71" s="684"/>
      <c r="TNM71" s="684"/>
      <c r="TNN71" s="684"/>
      <c r="TNO71" s="684"/>
      <c r="TNP71" s="684"/>
      <c r="TNQ71" s="684"/>
      <c r="TNR71" s="684"/>
      <c r="TNS71" s="684"/>
      <c r="TNT71" s="684"/>
      <c r="TNU71" s="684"/>
      <c r="TNV71" s="684"/>
      <c r="TNW71" s="684"/>
      <c r="TNX71" s="684"/>
      <c r="TNY71" s="684"/>
      <c r="TNZ71" s="684"/>
      <c r="TOA71" s="684"/>
      <c r="TOB71" s="684"/>
      <c r="TOC71" s="684"/>
      <c r="TOD71" s="684"/>
      <c r="TOE71" s="684"/>
      <c r="TOF71" s="684"/>
      <c r="TOG71" s="684"/>
      <c r="TOH71" s="684"/>
      <c r="TOI71" s="684"/>
      <c r="TOJ71" s="684"/>
      <c r="TOK71" s="684"/>
      <c r="TOL71" s="684"/>
      <c r="TOM71" s="684"/>
      <c r="TON71" s="684"/>
      <c r="TOO71" s="684"/>
      <c r="TOP71" s="684"/>
      <c r="TOQ71" s="684"/>
      <c r="TOR71" s="684"/>
      <c r="TOS71" s="684"/>
      <c r="TOT71" s="684"/>
      <c r="TOU71" s="684"/>
      <c r="TOV71" s="684"/>
      <c r="TOW71" s="684"/>
      <c r="TOX71" s="684"/>
      <c r="TOY71" s="684"/>
      <c r="TOZ71" s="684"/>
      <c r="TPA71" s="684"/>
      <c r="TPB71" s="684"/>
      <c r="TPC71" s="684"/>
      <c r="TPD71" s="684"/>
      <c r="TPE71" s="684"/>
      <c r="TPF71" s="684"/>
      <c r="TPG71" s="684"/>
      <c r="TPH71" s="684"/>
      <c r="TPI71" s="684"/>
      <c r="TPJ71" s="684"/>
      <c r="TPK71" s="684"/>
      <c r="TPL71" s="684"/>
      <c r="TPM71" s="684"/>
      <c r="TPN71" s="684"/>
      <c r="TPO71" s="684"/>
      <c r="TPP71" s="684"/>
      <c r="TPQ71" s="684"/>
      <c r="TPR71" s="684"/>
      <c r="TPS71" s="684"/>
      <c r="TPT71" s="684"/>
      <c r="TPU71" s="684"/>
      <c r="TPV71" s="684"/>
      <c r="TPW71" s="684"/>
      <c r="TPX71" s="684"/>
      <c r="TPY71" s="684"/>
      <c r="TPZ71" s="684"/>
      <c r="TQA71" s="684"/>
      <c r="TQB71" s="684"/>
      <c r="TQC71" s="684"/>
      <c r="TQD71" s="684"/>
      <c r="TQE71" s="684"/>
      <c r="TQF71" s="684"/>
      <c r="TQG71" s="684"/>
      <c r="TQH71" s="684"/>
      <c r="TQI71" s="684"/>
      <c r="TQJ71" s="684"/>
      <c r="TQK71" s="684"/>
      <c r="TQL71" s="684"/>
      <c r="TQM71" s="684"/>
      <c r="TQN71" s="684"/>
      <c r="TQO71" s="684"/>
      <c r="TQP71" s="684"/>
      <c r="TQQ71" s="684"/>
      <c r="TQR71" s="684"/>
      <c r="TQS71" s="684"/>
      <c r="TQT71" s="684"/>
      <c r="TQU71" s="684"/>
      <c r="TQV71" s="684"/>
      <c r="TQW71" s="684"/>
      <c r="TQX71" s="684"/>
      <c r="TQY71" s="684"/>
      <c r="TQZ71" s="684"/>
      <c r="TRA71" s="684"/>
      <c r="TRB71" s="684"/>
      <c r="TRC71" s="684"/>
      <c r="TRD71" s="684"/>
      <c r="TRE71" s="684"/>
      <c r="TRF71" s="684"/>
      <c r="TRG71" s="684"/>
      <c r="TRH71" s="684"/>
      <c r="TRI71" s="684"/>
      <c r="TRJ71" s="684"/>
      <c r="TRK71" s="684"/>
      <c r="TRL71" s="684"/>
      <c r="TRM71" s="684"/>
      <c r="TRN71" s="684"/>
      <c r="TRO71" s="684"/>
      <c r="TRP71" s="684"/>
      <c r="TRQ71" s="684"/>
      <c r="TRR71" s="684"/>
      <c r="TRS71" s="684"/>
      <c r="TRT71" s="684"/>
      <c r="TRU71" s="684"/>
      <c r="TRV71" s="684"/>
      <c r="TRW71" s="684"/>
      <c r="TRX71" s="684"/>
      <c r="TRY71" s="684"/>
      <c r="TRZ71" s="684"/>
      <c r="TSA71" s="684"/>
      <c r="TSB71" s="684"/>
      <c r="TSC71" s="684"/>
      <c r="TSD71" s="684"/>
      <c r="TSE71" s="684"/>
      <c r="TSF71" s="684"/>
      <c r="TSG71" s="684"/>
      <c r="TSH71" s="684"/>
      <c r="TSI71" s="684"/>
      <c r="TSJ71" s="684"/>
      <c r="TSK71" s="684"/>
      <c r="TSL71" s="684"/>
      <c r="TSM71" s="684"/>
      <c r="TSN71" s="684"/>
      <c r="TSO71" s="684"/>
      <c r="TSP71" s="684"/>
      <c r="TSQ71" s="684"/>
      <c r="TSR71" s="684"/>
      <c r="TSS71" s="684"/>
      <c r="TST71" s="684"/>
      <c r="TSU71" s="684"/>
      <c r="TSV71" s="684"/>
      <c r="TSW71" s="684"/>
      <c r="TSX71" s="684"/>
      <c r="TSY71" s="684"/>
      <c r="TSZ71" s="684"/>
      <c r="TTA71" s="684"/>
      <c r="TTB71" s="684"/>
      <c r="TTC71" s="684"/>
      <c r="TTD71" s="684"/>
      <c r="TTE71" s="684"/>
      <c r="TTF71" s="684"/>
      <c r="TTG71" s="684"/>
      <c r="TTH71" s="684"/>
      <c r="TTI71" s="684"/>
      <c r="TTJ71" s="684"/>
      <c r="TTK71" s="684"/>
      <c r="TTL71" s="684"/>
      <c r="TTM71" s="684"/>
      <c r="TTN71" s="684"/>
      <c r="TTO71" s="684"/>
      <c r="TTP71" s="684"/>
      <c r="TTQ71" s="684"/>
      <c r="TTR71" s="684"/>
      <c r="TTS71" s="684"/>
      <c r="TTT71" s="684"/>
      <c r="TTU71" s="684"/>
      <c r="TTV71" s="684"/>
      <c r="TTW71" s="684"/>
      <c r="TTX71" s="684"/>
      <c r="TTY71" s="684"/>
      <c r="TTZ71" s="684"/>
      <c r="TUA71" s="684"/>
      <c r="TUB71" s="684"/>
      <c r="TUC71" s="684"/>
      <c r="TUD71" s="684"/>
      <c r="TUE71" s="684"/>
      <c r="TUF71" s="684"/>
      <c r="TUG71" s="684"/>
      <c r="TUH71" s="684"/>
      <c r="TUI71" s="684"/>
      <c r="TUJ71" s="684"/>
      <c r="TUK71" s="684"/>
      <c r="TUL71" s="684"/>
      <c r="TUM71" s="684"/>
      <c r="TUN71" s="684"/>
      <c r="TUO71" s="684"/>
      <c r="TUP71" s="684"/>
      <c r="TUQ71" s="684"/>
      <c r="TUR71" s="684"/>
      <c r="TUS71" s="684"/>
      <c r="TUT71" s="684"/>
      <c r="TUU71" s="684"/>
      <c r="TUV71" s="684"/>
      <c r="TUW71" s="684"/>
      <c r="TUX71" s="684"/>
      <c r="TUY71" s="684"/>
      <c r="TUZ71" s="684"/>
      <c r="TVA71" s="684"/>
      <c r="TVB71" s="684"/>
      <c r="TVC71" s="684"/>
      <c r="TVD71" s="684"/>
      <c r="TVE71" s="684"/>
      <c r="TVF71" s="684"/>
      <c r="TVG71" s="684"/>
      <c r="TVH71" s="684"/>
      <c r="TVI71" s="684"/>
      <c r="TVJ71" s="684"/>
      <c r="TVK71" s="684"/>
      <c r="TVL71" s="684"/>
      <c r="TVM71" s="684"/>
      <c r="TVN71" s="684"/>
      <c r="TVO71" s="684"/>
      <c r="TVP71" s="684"/>
      <c r="TVQ71" s="684"/>
      <c r="TVR71" s="684"/>
      <c r="TVS71" s="684"/>
      <c r="TVT71" s="684"/>
      <c r="TVU71" s="684"/>
      <c r="TVV71" s="684"/>
      <c r="TVW71" s="684"/>
      <c r="TVX71" s="684"/>
      <c r="TVY71" s="684"/>
      <c r="TVZ71" s="684"/>
      <c r="TWA71" s="684"/>
      <c r="TWB71" s="684"/>
      <c r="TWC71" s="684"/>
      <c r="TWD71" s="684"/>
      <c r="TWE71" s="684"/>
      <c r="TWF71" s="684"/>
      <c r="TWG71" s="684"/>
      <c r="TWH71" s="684"/>
      <c r="TWI71" s="684"/>
      <c r="TWJ71" s="684"/>
      <c r="TWK71" s="684"/>
      <c r="TWL71" s="684"/>
      <c r="TWM71" s="684"/>
      <c r="TWN71" s="684"/>
      <c r="TWO71" s="684"/>
      <c r="TWP71" s="684"/>
      <c r="TWQ71" s="684"/>
      <c r="TWR71" s="684"/>
      <c r="TWS71" s="684"/>
      <c r="TWT71" s="684"/>
      <c r="TWU71" s="684"/>
      <c r="TWV71" s="684"/>
      <c r="TWW71" s="684"/>
      <c r="TWX71" s="684"/>
      <c r="TWY71" s="684"/>
      <c r="TWZ71" s="684"/>
      <c r="TXA71" s="684"/>
      <c r="TXB71" s="684"/>
      <c r="TXC71" s="684"/>
      <c r="TXD71" s="684"/>
      <c r="TXE71" s="684"/>
      <c r="TXF71" s="684"/>
      <c r="TXG71" s="684"/>
      <c r="TXH71" s="684"/>
      <c r="TXI71" s="684"/>
      <c r="TXJ71" s="684"/>
      <c r="TXK71" s="684"/>
      <c r="TXL71" s="684"/>
      <c r="TXM71" s="684"/>
      <c r="TXN71" s="684"/>
      <c r="TXO71" s="684"/>
      <c r="TXP71" s="684"/>
      <c r="TXQ71" s="684"/>
      <c r="TXR71" s="684"/>
      <c r="TXS71" s="684"/>
      <c r="TXT71" s="684"/>
      <c r="TXU71" s="684"/>
      <c r="TXV71" s="684"/>
      <c r="TXW71" s="684"/>
      <c r="TXX71" s="684"/>
      <c r="TXY71" s="684"/>
      <c r="TXZ71" s="684"/>
      <c r="TYA71" s="684"/>
      <c r="TYB71" s="684"/>
      <c r="TYC71" s="684"/>
      <c r="TYD71" s="684"/>
      <c r="TYE71" s="684"/>
      <c r="TYF71" s="684"/>
      <c r="TYG71" s="684"/>
      <c r="TYH71" s="684"/>
      <c r="TYI71" s="684"/>
      <c r="TYJ71" s="684"/>
      <c r="TYK71" s="684"/>
      <c r="TYL71" s="684"/>
      <c r="TYM71" s="684"/>
      <c r="TYN71" s="684"/>
      <c r="TYO71" s="684"/>
      <c r="TYP71" s="684"/>
      <c r="TYQ71" s="684"/>
      <c r="TYR71" s="684"/>
      <c r="TYS71" s="684"/>
      <c r="TYT71" s="684"/>
      <c r="TYU71" s="684"/>
      <c r="TYV71" s="684"/>
      <c r="TYW71" s="684"/>
      <c r="TYX71" s="684"/>
      <c r="TYY71" s="684"/>
      <c r="TYZ71" s="684"/>
      <c r="TZA71" s="684"/>
      <c r="TZB71" s="684"/>
      <c r="TZC71" s="684"/>
      <c r="TZD71" s="684"/>
      <c r="TZE71" s="684"/>
      <c r="TZF71" s="684"/>
      <c r="TZG71" s="684"/>
      <c r="TZH71" s="684"/>
      <c r="TZI71" s="684"/>
      <c r="TZJ71" s="684"/>
      <c r="TZK71" s="684"/>
      <c r="TZL71" s="684"/>
      <c r="TZM71" s="684"/>
      <c r="TZN71" s="684"/>
      <c r="TZO71" s="684"/>
      <c r="TZP71" s="684"/>
      <c r="TZQ71" s="684"/>
      <c r="TZR71" s="684"/>
      <c r="TZS71" s="684"/>
      <c r="TZT71" s="684"/>
      <c r="TZU71" s="684"/>
      <c r="TZV71" s="684"/>
      <c r="TZW71" s="684"/>
      <c r="TZX71" s="684"/>
      <c r="TZY71" s="684"/>
      <c r="TZZ71" s="684"/>
      <c r="UAA71" s="684"/>
      <c r="UAB71" s="684"/>
      <c r="UAC71" s="684"/>
      <c r="UAD71" s="684"/>
      <c r="UAE71" s="684"/>
      <c r="UAF71" s="684"/>
      <c r="UAG71" s="684"/>
      <c r="UAH71" s="684"/>
      <c r="UAI71" s="684"/>
      <c r="UAJ71" s="684"/>
      <c r="UAK71" s="684"/>
      <c r="UAL71" s="684"/>
      <c r="UAM71" s="684"/>
      <c r="UAN71" s="684"/>
      <c r="UAO71" s="684"/>
      <c r="UAP71" s="684"/>
      <c r="UAQ71" s="684"/>
      <c r="UAR71" s="684"/>
      <c r="UAS71" s="684"/>
      <c r="UAT71" s="684"/>
      <c r="UAU71" s="684"/>
      <c r="UAV71" s="684"/>
      <c r="UAW71" s="684"/>
      <c r="UAX71" s="684"/>
      <c r="UAY71" s="684"/>
      <c r="UAZ71" s="684"/>
      <c r="UBA71" s="684"/>
      <c r="UBB71" s="684"/>
      <c r="UBC71" s="684"/>
      <c r="UBD71" s="684"/>
      <c r="UBE71" s="684"/>
      <c r="UBF71" s="684"/>
      <c r="UBG71" s="684"/>
      <c r="UBH71" s="684"/>
      <c r="UBI71" s="684"/>
      <c r="UBJ71" s="684"/>
      <c r="UBK71" s="684"/>
      <c r="UBL71" s="684"/>
      <c r="UBM71" s="684"/>
      <c r="UBN71" s="684"/>
      <c r="UBO71" s="684"/>
      <c r="UBP71" s="684"/>
      <c r="UBQ71" s="684"/>
      <c r="UBR71" s="684"/>
      <c r="UBS71" s="684"/>
      <c r="UBT71" s="684"/>
      <c r="UBU71" s="684"/>
      <c r="UBV71" s="684"/>
      <c r="UBW71" s="684"/>
      <c r="UBX71" s="684"/>
      <c r="UBY71" s="684"/>
      <c r="UBZ71" s="684"/>
      <c r="UCA71" s="684"/>
      <c r="UCB71" s="684"/>
      <c r="UCC71" s="684"/>
      <c r="UCD71" s="684"/>
      <c r="UCE71" s="684"/>
      <c r="UCF71" s="684"/>
      <c r="UCG71" s="684"/>
      <c r="UCH71" s="684"/>
      <c r="UCI71" s="684"/>
      <c r="UCJ71" s="684"/>
      <c r="UCK71" s="684"/>
      <c r="UCL71" s="684"/>
      <c r="UCM71" s="684"/>
      <c r="UCN71" s="684"/>
      <c r="UCO71" s="684"/>
      <c r="UCP71" s="684"/>
      <c r="UCQ71" s="684"/>
      <c r="UCR71" s="684"/>
      <c r="UCS71" s="684"/>
      <c r="UCT71" s="684"/>
      <c r="UCU71" s="684"/>
      <c r="UCV71" s="684"/>
      <c r="UCW71" s="684"/>
      <c r="UCX71" s="684"/>
      <c r="UCY71" s="684"/>
      <c r="UCZ71" s="684"/>
      <c r="UDA71" s="684"/>
      <c r="UDB71" s="684"/>
      <c r="UDC71" s="684"/>
      <c r="UDD71" s="684"/>
      <c r="UDE71" s="684"/>
      <c r="UDF71" s="684"/>
      <c r="UDG71" s="684"/>
      <c r="UDH71" s="684"/>
      <c r="UDI71" s="684"/>
      <c r="UDJ71" s="684"/>
      <c r="UDK71" s="684"/>
      <c r="UDL71" s="684"/>
      <c r="UDM71" s="684"/>
      <c r="UDN71" s="684"/>
      <c r="UDO71" s="684"/>
      <c r="UDP71" s="684"/>
      <c r="UDQ71" s="684"/>
      <c r="UDR71" s="684"/>
      <c r="UDS71" s="684"/>
      <c r="UDT71" s="684"/>
      <c r="UDU71" s="684"/>
      <c r="UDV71" s="684"/>
      <c r="UDW71" s="684"/>
      <c r="UDX71" s="684"/>
      <c r="UDY71" s="684"/>
      <c r="UDZ71" s="684"/>
      <c r="UEA71" s="684"/>
      <c r="UEB71" s="684"/>
      <c r="UEC71" s="684"/>
      <c r="UED71" s="684"/>
      <c r="UEE71" s="684"/>
      <c r="UEF71" s="684"/>
      <c r="UEG71" s="684"/>
      <c r="UEH71" s="684"/>
      <c r="UEI71" s="684"/>
      <c r="UEJ71" s="684"/>
      <c r="UEK71" s="684"/>
      <c r="UEL71" s="684"/>
      <c r="UEM71" s="684"/>
      <c r="UEN71" s="684"/>
      <c r="UEO71" s="684"/>
      <c r="UEP71" s="684"/>
      <c r="UEQ71" s="684"/>
      <c r="UER71" s="684"/>
      <c r="UES71" s="684"/>
      <c r="UET71" s="684"/>
      <c r="UEU71" s="684"/>
      <c r="UEV71" s="684"/>
      <c r="UEW71" s="684"/>
      <c r="UEX71" s="684"/>
      <c r="UEY71" s="684"/>
      <c r="UEZ71" s="684"/>
      <c r="UFA71" s="684"/>
      <c r="UFB71" s="684"/>
      <c r="UFC71" s="684"/>
      <c r="UFD71" s="684"/>
      <c r="UFE71" s="684"/>
      <c r="UFF71" s="684"/>
      <c r="UFG71" s="684"/>
      <c r="UFH71" s="684"/>
      <c r="UFI71" s="684"/>
      <c r="UFJ71" s="684"/>
      <c r="UFK71" s="684"/>
      <c r="UFL71" s="684"/>
      <c r="UFM71" s="684"/>
      <c r="UFN71" s="684"/>
      <c r="UFO71" s="684"/>
      <c r="UFP71" s="684"/>
      <c r="UFQ71" s="684"/>
      <c r="UFR71" s="684"/>
      <c r="UFS71" s="684"/>
      <c r="UFT71" s="684"/>
      <c r="UFU71" s="684"/>
      <c r="UFV71" s="684"/>
      <c r="UFW71" s="684"/>
      <c r="UFX71" s="684"/>
      <c r="UFY71" s="684"/>
      <c r="UFZ71" s="684"/>
      <c r="UGA71" s="684"/>
      <c r="UGB71" s="684"/>
      <c r="UGC71" s="684"/>
      <c r="UGD71" s="684"/>
      <c r="UGE71" s="684"/>
      <c r="UGF71" s="684"/>
      <c r="UGG71" s="684"/>
      <c r="UGH71" s="684"/>
      <c r="UGI71" s="684"/>
      <c r="UGJ71" s="684"/>
      <c r="UGK71" s="684"/>
      <c r="UGL71" s="684"/>
      <c r="UGM71" s="684"/>
      <c r="UGN71" s="684"/>
      <c r="UGO71" s="684"/>
      <c r="UGP71" s="684"/>
      <c r="UGQ71" s="684"/>
      <c r="UGR71" s="684"/>
      <c r="UGS71" s="684"/>
      <c r="UGT71" s="684"/>
      <c r="UGU71" s="684"/>
      <c r="UGV71" s="684"/>
      <c r="UGW71" s="684"/>
      <c r="UGX71" s="684"/>
      <c r="UGY71" s="684"/>
      <c r="UGZ71" s="684"/>
      <c r="UHA71" s="684"/>
      <c r="UHB71" s="684"/>
      <c r="UHC71" s="684"/>
      <c r="UHD71" s="684"/>
      <c r="UHE71" s="684"/>
      <c r="UHF71" s="684"/>
      <c r="UHG71" s="684"/>
      <c r="UHH71" s="684"/>
      <c r="UHI71" s="684"/>
      <c r="UHJ71" s="684"/>
      <c r="UHK71" s="684"/>
      <c r="UHL71" s="684"/>
      <c r="UHM71" s="684"/>
      <c r="UHN71" s="684"/>
      <c r="UHO71" s="684"/>
      <c r="UHP71" s="684"/>
      <c r="UHQ71" s="684"/>
      <c r="UHR71" s="684"/>
      <c r="UHS71" s="684"/>
      <c r="UHT71" s="684"/>
      <c r="UHU71" s="684"/>
      <c r="UHV71" s="684"/>
      <c r="UHW71" s="684"/>
      <c r="UHX71" s="684"/>
      <c r="UHY71" s="684"/>
      <c r="UHZ71" s="684"/>
      <c r="UIA71" s="684"/>
      <c r="UIB71" s="684"/>
      <c r="UIC71" s="684"/>
      <c r="UID71" s="684"/>
      <c r="UIE71" s="684"/>
      <c r="UIF71" s="684"/>
      <c r="UIG71" s="684"/>
      <c r="UIH71" s="684"/>
      <c r="UII71" s="684"/>
      <c r="UIJ71" s="684"/>
      <c r="UIK71" s="684"/>
      <c r="UIL71" s="684"/>
      <c r="UIM71" s="684"/>
      <c r="UIN71" s="684"/>
      <c r="UIO71" s="684"/>
      <c r="UIP71" s="684"/>
      <c r="UIQ71" s="684"/>
      <c r="UIR71" s="684"/>
      <c r="UIS71" s="684"/>
      <c r="UIT71" s="684"/>
      <c r="UIU71" s="684"/>
      <c r="UIV71" s="684"/>
      <c r="UIW71" s="684"/>
      <c r="UIX71" s="684"/>
      <c r="UIY71" s="684"/>
      <c r="UIZ71" s="684"/>
      <c r="UJA71" s="684"/>
      <c r="UJB71" s="684"/>
      <c r="UJC71" s="684"/>
      <c r="UJD71" s="684"/>
      <c r="UJE71" s="684"/>
      <c r="UJF71" s="684"/>
      <c r="UJG71" s="684"/>
      <c r="UJH71" s="684"/>
      <c r="UJI71" s="684"/>
      <c r="UJJ71" s="684"/>
      <c r="UJK71" s="684"/>
      <c r="UJL71" s="684"/>
      <c r="UJM71" s="684"/>
      <c r="UJN71" s="684"/>
      <c r="UJO71" s="684"/>
      <c r="UJP71" s="684"/>
      <c r="UJQ71" s="684"/>
      <c r="UJR71" s="684"/>
      <c r="UJS71" s="684"/>
      <c r="UJT71" s="684"/>
      <c r="UJU71" s="684"/>
      <c r="UJV71" s="684"/>
      <c r="UJW71" s="684"/>
      <c r="UJX71" s="684"/>
      <c r="UJY71" s="684"/>
      <c r="UJZ71" s="684"/>
      <c r="UKA71" s="684"/>
      <c r="UKB71" s="684"/>
      <c r="UKC71" s="684"/>
      <c r="UKD71" s="684"/>
      <c r="UKE71" s="684"/>
      <c r="UKF71" s="684"/>
      <c r="UKG71" s="684"/>
      <c r="UKH71" s="684"/>
      <c r="UKI71" s="684"/>
      <c r="UKJ71" s="684"/>
      <c r="UKK71" s="684"/>
      <c r="UKL71" s="684"/>
      <c r="UKM71" s="684"/>
      <c r="UKN71" s="684"/>
      <c r="UKO71" s="684"/>
      <c r="UKP71" s="684"/>
      <c r="UKQ71" s="684"/>
      <c r="UKR71" s="684"/>
      <c r="UKS71" s="684"/>
      <c r="UKT71" s="684"/>
      <c r="UKU71" s="684"/>
      <c r="UKV71" s="684"/>
      <c r="UKW71" s="684"/>
      <c r="UKX71" s="684"/>
      <c r="UKY71" s="684"/>
      <c r="UKZ71" s="684"/>
      <c r="ULA71" s="684"/>
      <c r="ULB71" s="684"/>
      <c r="ULC71" s="684"/>
      <c r="ULD71" s="684"/>
      <c r="ULE71" s="684"/>
      <c r="ULF71" s="684"/>
      <c r="ULG71" s="684"/>
      <c r="ULH71" s="684"/>
      <c r="ULI71" s="684"/>
      <c r="ULJ71" s="684"/>
      <c r="ULK71" s="684"/>
      <c r="ULL71" s="684"/>
      <c r="ULM71" s="684"/>
      <c r="ULN71" s="684"/>
      <c r="ULO71" s="684"/>
      <c r="ULP71" s="684"/>
      <c r="ULQ71" s="684"/>
      <c r="ULR71" s="684"/>
      <c r="ULS71" s="684"/>
      <c r="ULT71" s="684"/>
      <c r="ULU71" s="684"/>
      <c r="ULV71" s="684"/>
      <c r="ULW71" s="684"/>
      <c r="ULX71" s="684"/>
      <c r="ULY71" s="684"/>
      <c r="ULZ71" s="684"/>
      <c r="UMA71" s="684"/>
      <c r="UMB71" s="684"/>
      <c r="UMC71" s="684"/>
      <c r="UMD71" s="684"/>
      <c r="UME71" s="684"/>
      <c r="UMF71" s="684"/>
      <c r="UMG71" s="684"/>
      <c r="UMH71" s="684"/>
      <c r="UMI71" s="684"/>
      <c r="UMJ71" s="684"/>
      <c r="UMK71" s="684"/>
      <c r="UML71" s="684"/>
      <c r="UMM71" s="684"/>
      <c r="UMN71" s="684"/>
      <c r="UMO71" s="684"/>
      <c r="UMP71" s="684"/>
      <c r="UMQ71" s="684"/>
      <c r="UMR71" s="684"/>
      <c r="UMS71" s="684"/>
      <c r="UMT71" s="684"/>
      <c r="UMU71" s="684"/>
      <c r="UMV71" s="684"/>
      <c r="UMW71" s="684"/>
      <c r="UMX71" s="684"/>
      <c r="UMY71" s="684"/>
      <c r="UMZ71" s="684"/>
      <c r="UNA71" s="684"/>
      <c r="UNB71" s="684"/>
      <c r="UNC71" s="684"/>
      <c r="UND71" s="684"/>
      <c r="UNE71" s="684"/>
      <c r="UNF71" s="684"/>
      <c r="UNG71" s="684"/>
      <c r="UNH71" s="684"/>
      <c r="UNI71" s="684"/>
      <c r="UNJ71" s="684"/>
      <c r="UNK71" s="684"/>
      <c r="UNL71" s="684"/>
      <c r="UNM71" s="684"/>
      <c r="UNN71" s="684"/>
      <c r="UNO71" s="684"/>
      <c r="UNP71" s="684"/>
      <c r="UNQ71" s="684"/>
      <c r="UNR71" s="684"/>
      <c r="UNS71" s="684"/>
      <c r="UNT71" s="684"/>
      <c r="UNU71" s="684"/>
      <c r="UNV71" s="684"/>
      <c r="UNW71" s="684"/>
      <c r="UNX71" s="684"/>
      <c r="UNY71" s="684"/>
      <c r="UNZ71" s="684"/>
      <c r="UOA71" s="684"/>
      <c r="UOB71" s="684"/>
      <c r="UOC71" s="684"/>
      <c r="UOD71" s="684"/>
      <c r="UOE71" s="684"/>
      <c r="UOF71" s="684"/>
      <c r="UOG71" s="684"/>
      <c r="UOH71" s="684"/>
      <c r="UOI71" s="684"/>
      <c r="UOJ71" s="684"/>
      <c r="UOK71" s="684"/>
      <c r="UOL71" s="684"/>
      <c r="UOM71" s="684"/>
      <c r="UON71" s="684"/>
      <c r="UOO71" s="684"/>
      <c r="UOP71" s="684"/>
      <c r="UOQ71" s="684"/>
      <c r="UOR71" s="684"/>
      <c r="UOS71" s="684"/>
      <c r="UOT71" s="684"/>
      <c r="UOU71" s="684"/>
      <c r="UOV71" s="684"/>
      <c r="UOW71" s="684"/>
      <c r="UOX71" s="684"/>
      <c r="UOY71" s="684"/>
      <c r="UOZ71" s="684"/>
      <c r="UPA71" s="684"/>
      <c r="UPB71" s="684"/>
      <c r="UPC71" s="684"/>
      <c r="UPD71" s="684"/>
      <c r="UPE71" s="684"/>
      <c r="UPF71" s="684"/>
      <c r="UPG71" s="684"/>
      <c r="UPH71" s="684"/>
      <c r="UPI71" s="684"/>
      <c r="UPJ71" s="684"/>
      <c r="UPK71" s="684"/>
      <c r="UPL71" s="684"/>
      <c r="UPM71" s="684"/>
      <c r="UPN71" s="684"/>
      <c r="UPO71" s="684"/>
      <c r="UPP71" s="684"/>
      <c r="UPQ71" s="684"/>
      <c r="UPR71" s="684"/>
      <c r="UPS71" s="684"/>
      <c r="UPT71" s="684"/>
      <c r="UPU71" s="684"/>
      <c r="UPV71" s="684"/>
      <c r="UPW71" s="684"/>
      <c r="UPX71" s="684"/>
      <c r="UPY71" s="684"/>
      <c r="UPZ71" s="684"/>
      <c r="UQA71" s="684"/>
      <c r="UQB71" s="684"/>
      <c r="UQC71" s="684"/>
      <c r="UQD71" s="684"/>
      <c r="UQE71" s="684"/>
      <c r="UQF71" s="684"/>
      <c r="UQG71" s="684"/>
      <c r="UQH71" s="684"/>
      <c r="UQI71" s="684"/>
      <c r="UQJ71" s="684"/>
      <c r="UQK71" s="684"/>
      <c r="UQL71" s="684"/>
      <c r="UQM71" s="684"/>
      <c r="UQN71" s="684"/>
      <c r="UQO71" s="684"/>
      <c r="UQP71" s="684"/>
      <c r="UQQ71" s="684"/>
      <c r="UQR71" s="684"/>
      <c r="UQS71" s="684"/>
      <c r="UQT71" s="684"/>
      <c r="UQU71" s="684"/>
      <c r="UQV71" s="684"/>
      <c r="UQW71" s="684"/>
      <c r="UQX71" s="684"/>
      <c r="UQY71" s="684"/>
      <c r="UQZ71" s="684"/>
      <c r="URA71" s="684"/>
      <c r="URB71" s="684"/>
      <c r="URC71" s="684"/>
      <c r="URD71" s="684"/>
      <c r="URE71" s="684"/>
      <c r="URF71" s="684"/>
      <c r="URG71" s="684"/>
      <c r="URH71" s="684"/>
      <c r="URI71" s="684"/>
      <c r="URJ71" s="684"/>
      <c r="URK71" s="684"/>
      <c r="URL71" s="684"/>
      <c r="URM71" s="684"/>
      <c r="URN71" s="684"/>
      <c r="URO71" s="684"/>
      <c r="URP71" s="684"/>
      <c r="URQ71" s="684"/>
      <c r="URR71" s="684"/>
      <c r="URS71" s="684"/>
      <c r="URT71" s="684"/>
      <c r="URU71" s="684"/>
      <c r="URV71" s="684"/>
      <c r="URW71" s="684"/>
      <c r="URX71" s="684"/>
      <c r="URY71" s="684"/>
      <c r="URZ71" s="684"/>
      <c r="USA71" s="684"/>
      <c r="USB71" s="684"/>
      <c r="USC71" s="684"/>
      <c r="USD71" s="684"/>
      <c r="USE71" s="684"/>
      <c r="USF71" s="684"/>
      <c r="USG71" s="684"/>
      <c r="USH71" s="684"/>
      <c r="USI71" s="684"/>
      <c r="USJ71" s="684"/>
      <c r="USK71" s="684"/>
      <c r="USL71" s="684"/>
      <c r="USM71" s="684"/>
      <c r="USN71" s="684"/>
      <c r="USO71" s="684"/>
      <c r="USP71" s="684"/>
      <c r="USQ71" s="684"/>
      <c r="USR71" s="684"/>
      <c r="USS71" s="684"/>
      <c r="UST71" s="684"/>
      <c r="USU71" s="684"/>
      <c r="USV71" s="684"/>
      <c r="USW71" s="684"/>
      <c r="USX71" s="684"/>
      <c r="USY71" s="684"/>
      <c r="USZ71" s="684"/>
      <c r="UTA71" s="684"/>
      <c r="UTB71" s="684"/>
      <c r="UTC71" s="684"/>
      <c r="UTD71" s="684"/>
      <c r="UTE71" s="684"/>
      <c r="UTF71" s="684"/>
      <c r="UTG71" s="684"/>
      <c r="UTH71" s="684"/>
      <c r="UTI71" s="684"/>
      <c r="UTJ71" s="684"/>
      <c r="UTK71" s="684"/>
      <c r="UTL71" s="684"/>
      <c r="UTM71" s="684"/>
      <c r="UTN71" s="684"/>
      <c r="UTO71" s="684"/>
      <c r="UTP71" s="684"/>
      <c r="UTQ71" s="684"/>
      <c r="UTR71" s="684"/>
      <c r="UTS71" s="684"/>
      <c r="UTT71" s="684"/>
      <c r="UTU71" s="684"/>
      <c r="UTV71" s="684"/>
      <c r="UTW71" s="684"/>
      <c r="UTX71" s="684"/>
      <c r="UTY71" s="684"/>
      <c r="UTZ71" s="684"/>
      <c r="UUA71" s="684"/>
      <c r="UUB71" s="684"/>
      <c r="UUC71" s="684"/>
      <c r="UUD71" s="684"/>
      <c r="UUE71" s="684"/>
      <c r="UUF71" s="684"/>
      <c r="UUG71" s="684"/>
      <c r="UUH71" s="684"/>
      <c r="UUI71" s="684"/>
      <c r="UUJ71" s="684"/>
      <c r="UUK71" s="684"/>
      <c r="UUL71" s="684"/>
      <c r="UUM71" s="684"/>
      <c r="UUN71" s="684"/>
      <c r="UUO71" s="684"/>
      <c r="UUP71" s="684"/>
      <c r="UUQ71" s="684"/>
      <c r="UUR71" s="684"/>
      <c r="UUS71" s="684"/>
      <c r="UUT71" s="684"/>
      <c r="UUU71" s="684"/>
      <c r="UUV71" s="684"/>
      <c r="UUW71" s="684"/>
      <c r="UUX71" s="684"/>
      <c r="UUY71" s="684"/>
      <c r="UUZ71" s="684"/>
      <c r="UVA71" s="684"/>
      <c r="UVB71" s="684"/>
      <c r="UVC71" s="684"/>
      <c r="UVD71" s="684"/>
      <c r="UVE71" s="684"/>
      <c r="UVF71" s="684"/>
      <c r="UVG71" s="684"/>
      <c r="UVH71" s="684"/>
      <c r="UVI71" s="684"/>
      <c r="UVJ71" s="684"/>
      <c r="UVK71" s="684"/>
      <c r="UVL71" s="684"/>
      <c r="UVM71" s="684"/>
      <c r="UVN71" s="684"/>
      <c r="UVO71" s="684"/>
      <c r="UVP71" s="684"/>
      <c r="UVQ71" s="684"/>
      <c r="UVR71" s="684"/>
      <c r="UVS71" s="684"/>
      <c r="UVT71" s="684"/>
      <c r="UVU71" s="684"/>
      <c r="UVV71" s="684"/>
      <c r="UVW71" s="684"/>
      <c r="UVX71" s="684"/>
      <c r="UVY71" s="684"/>
      <c r="UVZ71" s="684"/>
      <c r="UWA71" s="684"/>
      <c r="UWB71" s="684"/>
      <c r="UWC71" s="684"/>
      <c r="UWD71" s="684"/>
      <c r="UWE71" s="684"/>
      <c r="UWF71" s="684"/>
      <c r="UWG71" s="684"/>
      <c r="UWH71" s="684"/>
      <c r="UWI71" s="684"/>
      <c r="UWJ71" s="684"/>
      <c r="UWK71" s="684"/>
      <c r="UWL71" s="684"/>
      <c r="UWM71" s="684"/>
      <c r="UWN71" s="684"/>
      <c r="UWO71" s="684"/>
      <c r="UWP71" s="684"/>
      <c r="UWQ71" s="684"/>
      <c r="UWR71" s="684"/>
      <c r="UWS71" s="684"/>
      <c r="UWT71" s="684"/>
      <c r="UWU71" s="684"/>
      <c r="UWV71" s="684"/>
      <c r="UWW71" s="684"/>
      <c r="UWX71" s="684"/>
      <c r="UWY71" s="684"/>
      <c r="UWZ71" s="684"/>
      <c r="UXA71" s="684"/>
      <c r="UXB71" s="684"/>
      <c r="UXC71" s="684"/>
      <c r="UXD71" s="684"/>
      <c r="UXE71" s="684"/>
      <c r="UXF71" s="684"/>
      <c r="UXG71" s="684"/>
      <c r="UXH71" s="684"/>
      <c r="UXI71" s="684"/>
      <c r="UXJ71" s="684"/>
      <c r="UXK71" s="684"/>
      <c r="UXL71" s="684"/>
      <c r="UXM71" s="684"/>
      <c r="UXN71" s="684"/>
      <c r="UXO71" s="684"/>
      <c r="UXP71" s="684"/>
      <c r="UXQ71" s="684"/>
      <c r="UXR71" s="684"/>
      <c r="UXS71" s="684"/>
      <c r="UXT71" s="684"/>
      <c r="UXU71" s="684"/>
      <c r="UXV71" s="684"/>
      <c r="UXW71" s="684"/>
      <c r="UXX71" s="684"/>
      <c r="UXY71" s="684"/>
      <c r="UXZ71" s="684"/>
      <c r="UYA71" s="684"/>
      <c r="UYB71" s="684"/>
      <c r="UYC71" s="684"/>
      <c r="UYD71" s="684"/>
      <c r="UYE71" s="684"/>
      <c r="UYF71" s="684"/>
      <c r="UYG71" s="684"/>
      <c r="UYH71" s="684"/>
      <c r="UYI71" s="684"/>
      <c r="UYJ71" s="684"/>
      <c r="UYK71" s="684"/>
      <c r="UYL71" s="684"/>
      <c r="UYM71" s="684"/>
      <c r="UYN71" s="684"/>
      <c r="UYO71" s="684"/>
      <c r="UYP71" s="684"/>
      <c r="UYQ71" s="684"/>
      <c r="UYR71" s="684"/>
      <c r="UYS71" s="684"/>
      <c r="UYT71" s="684"/>
      <c r="UYU71" s="684"/>
      <c r="UYV71" s="684"/>
      <c r="UYW71" s="684"/>
      <c r="UYX71" s="684"/>
      <c r="UYY71" s="684"/>
      <c r="UYZ71" s="684"/>
      <c r="UZA71" s="684"/>
      <c r="UZB71" s="684"/>
      <c r="UZC71" s="684"/>
      <c r="UZD71" s="684"/>
      <c r="UZE71" s="684"/>
      <c r="UZF71" s="684"/>
      <c r="UZG71" s="684"/>
      <c r="UZH71" s="684"/>
      <c r="UZI71" s="684"/>
      <c r="UZJ71" s="684"/>
      <c r="UZK71" s="684"/>
      <c r="UZL71" s="684"/>
      <c r="UZM71" s="684"/>
      <c r="UZN71" s="684"/>
      <c r="UZO71" s="684"/>
      <c r="UZP71" s="684"/>
      <c r="UZQ71" s="684"/>
      <c r="UZR71" s="684"/>
      <c r="UZS71" s="684"/>
      <c r="UZT71" s="684"/>
      <c r="UZU71" s="684"/>
      <c r="UZV71" s="684"/>
      <c r="UZW71" s="684"/>
      <c r="UZX71" s="684"/>
      <c r="UZY71" s="684"/>
      <c r="UZZ71" s="684"/>
      <c r="VAA71" s="684"/>
      <c r="VAB71" s="684"/>
      <c r="VAC71" s="684"/>
      <c r="VAD71" s="684"/>
      <c r="VAE71" s="684"/>
      <c r="VAF71" s="684"/>
      <c r="VAG71" s="684"/>
      <c r="VAH71" s="684"/>
      <c r="VAI71" s="684"/>
      <c r="VAJ71" s="684"/>
      <c r="VAK71" s="684"/>
      <c r="VAL71" s="684"/>
      <c r="VAM71" s="684"/>
      <c r="VAN71" s="684"/>
      <c r="VAO71" s="684"/>
      <c r="VAP71" s="684"/>
      <c r="VAQ71" s="684"/>
      <c r="VAR71" s="684"/>
      <c r="VAS71" s="684"/>
      <c r="VAT71" s="684"/>
      <c r="VAU71" s="684"/>
      <c r="VAV71" s="684"/>
      <c r="VAW71" s="684"/>
      <c r="VAX71" s="684"/>
      <c r="VAY71" s="684"/>
      <c r="VAZ71" s="684"/>
      <c r="VBA71" s="684"/>
      <c r="VBB71" s="684"/>
      <c r="VBC71" s="684"/>
      <c r="VBD71" s="684"/>
      <c r="VBE71" s="684"/>
      <c r="VBF71" s="684"/>
      <c r="VBG71" s="684"/>
      <c r="VBH71" s="684"/>
      <c r="VBI71" s="684"/>
      <c r="VBJ71" s="684"/>
      <c r="VBK71" s="684"/>
      <c r="VBL71" s="684"/>
      <c r="VBM71" s="684"/>
      <c r="VBN71" s="684"/>
      <c r="VBO71" s="684"/>
      <c r="VBP71" s="684"/>
      <c r="VBQ71" s="684"/>
      <c r="VBR71" s="684"/>
      <c r="VBS71" s="684"/>
      <c r="VBT71" s="684"/>
      <c r="VBU71" s="684"/>
      <c r="VBV71" s="684"/>
      <c r="VBW71" s="684"/>
      <c r="VBX71" s="684"/>
      <c r="VBY71" s="684"/>
      <c r="VBZ71" s="684"/>
      <c r="VCA71" s="684"/>
      <c r="VCB71" s="684"/>
      <c r="VCC71" s="684"/>
      <c r="VCD71" s="684"/>
      <c r="VCE71" s="684"/>
      <c r="VCF71" s="684"/>
      <c r="VCG71" s="684"/>
      <c r="VCH71" s="684"/>
      <c r="VCI71" s="684"/>
      <c r="VCJ71" s="684"/>
      <c r="VCK71" s="684"/>
      <c r="VCL71" s="684"/>
      <c r="VCM71" s="684"/>
      <c r="VCN71" s="684"/>
      <c r="VCO71" s="684"/>
      <c r="VCP71" s="684"/>
      <c r="VCQ71" s="684"/>
      <c r="VCR71" s="684"/>
      <c r="VCS71" s="684"/>
      <c r="VCT71" s="684"/>
      <c r="VCU71" s="684"/>
      <c r="VCV71" s="684"/>
      <c r="VCW71" s="684"/>
      <c r="VCX71" s="684"/>
      <c r="VCY71" s="684"/>
      <c r="VCZ71" s="684"/>
      <c r="VDA71" s="684"/>
      <c r="VDB71" s="684"/>
      <c r="VDC71" s="684"/>
      <c r="VDD71" s="684"/>
      <c r="VDE71" s="684"/>
      <c r="VDF71" s="684"/>
      <c r="VDG71" s="684"/>
      <c r="VDH71" s="684"/>
      <c r="VDI71" s="684"/>
      <c r="VDJ71" s="684"/>
      <c r="VDK71" s="684"/>
      <c r="VDL71" s="684"/>
      <c r="VDM71" s="684"/>
      <c r="VDN71" s="684"/>
      <c r="VDO71" s="684"/>
      <c r="VDP71" s="684"/>
      <c r="VDQ71" s="684"/>
      <c r="VDR71" s="684"/>
      <c r="VDS71" s="684"/>
      <c r="VDT71" s="684"/>
      <c r="VDU71" s="684"/>
      <c r="VDV71" s="684"/>
      <c r="VDW71" s="684"/>
      <c r="VDX71" s="684"/>
      <c r="VDY71" s="684"/>
      <c r="VDZ71" s="684"/>
      <c r="VEA71" s="684"/>
      <c r="VEB71" s="684"/>
      <c r="VEC71" s="684"/>
      <c r="VED71" s="684"/>
      <c r="VEE71" s="684"/>
      <c r="VEF71" s="684"/>
      <c r="VEG71" s="684"/>
      <c r="VEH71" s="684"/>
      <c r="VEI71" s="684"/>
      <c r="VEJ71" s="684"/>
      <c r="VEK71" s="684"/>
      <c r="VEL71" s="684"/>
      <c r="VEM71" s="684"/>
      <c r="VEN71" s="684"/>
      <c r="VEO71" s="684"/>
      <c r="VEP71" s="684"/>
      <c r="VEQ71" s="684"/>
      <c r="VER71" s="684"/>
      <c r="VES71" s="684"/>
      <c r="VET71" s="684"/>
      <c r="VEU71" s="684"/>
      <c r="VEV71" s="684"/>
      <c r="VEW71" s="684"/>
      <c r="VEX71" s="684"/>
      <c r="VEY71" s="684"/>
      <c r="VEZ71" s="684"/>
      <c r="VFA71" s="684"/>
      <c r="VFB71" s="684"/>
      <c r="VFC71" s="684"/>
      <c r="VFD71" s="684"/>
      <c r="VFE71" s="684"/>
      <c r="VFF71" s="684"/>
      <c r="VFG71" s="684"/>
      <c r="VFH71" s="684"/>
      <c r="VFI71" s="684"/>
      <c r="VFJ71" s="684"/>
      <c r="VFK71" s="684"/>
      <c r="VFL71" s="684"/>
      <c r="VFM71" s="684"/>
      <c r="VFN71" s="684"/>
      <c r="VFO71" s="684"/>
      <c r="VFP71" s="684"/>
      <c r="VFQ71" s="684"/>
      <c r="VFR71" s="684"/>
      <c r="VFS71" s="684"/>
      <c r="VFT71" s="684"/>
      <c r="VFU71" s="684"/>
      <c r="VFV71" s="684"/>
      <c r="VFW71" s="684"/>
      <c r="VFX71" s="684"/>
      <c r="VFY71" s="684"/>
      <c r="VFZ71" s="684"/>
      <c r="VGA71" s="684"/>
      <c r="VGB71" s="684"/>
      <c r="VGC71" s="684"/>
      <c r="VGD71" s="684"/>
      <c r="VGE71" s="684"/>
      <c r="VGF71" s="684"/>
      <c r="VGG71" s="684"/>
      <c r="VGH71" s="684"/>
      <c r="VGI71" s="684"/>
      <c r="VGJ71" s="684"/>
      <c r="VGK71" s="684"/>
      <c r="VGL71" s="684"/>
      <c r="VGM71" s="684"/>
      <c r="VGN71" s="684"/>
      <c r="VGO71" s="684"/>
      <c r="VGP71" s="684"/>
      <c r="VGQ71" s="684"/>
      <c r="VGR71" s="684"/>
      <c r="VGS71" s="684"/>
      <c r="VGT71" s="684"/>
      <c r="VGU71" s="684"/>
      <c r="VGV71" s="684"/>
      <c r="VGW71" s="684"/>
      <c r="VGX71" s="684"/>
      <c r="VGY71" s="684"/>
      <c r="VGZ71" s="684"/>
      <c r="VHA71" s="684"/>
      <c r="VHB71" s="684"/>
      <c r="VHC71" s="684"/>
      <c r="VHD71" s="684"/>
      <c r="VHE71" s="684"/>
      <c r="VHF71" s="684"/>
      <c r="VHG71" s="684"/>
      <c r="VHH71" s="684"/>
      <c r="VHI71" s="684"/>
      <c r="VHJ71" s="684"/>
      <c r="VHK71" s="684"/>
      <c r="VHL71" s="684"/>
      <c r="VHM71" s="684"/>
      <c r="VHN71" s="684"/>
      <c r="VHO71" s="684"/>
      <c r="VHP71" s="684"/>
      <c r="VHQ71" s="684"/>
      <c r="VHR71" s="684"/>
      <c r="VHS71" s="684"/>
      <c r="VHT71" s="684"/>
      <c r="VHU71" s="684"/>
      <c r="VHV71" s="684"/>
      <c r="VHW71" s="684"/>
      <c r="VHX71" s="684"/>
      <c r="VHY71" s="684"/>
      <c r="VHZ71" s="684"/>
      <c r="VIA71" s="684"/>
      <c r="VIB71" s="684"/>
      <c r="VIC71" s="684"/>
      <c r="VID71" s="684"/>
      <c r="VIE71" s="684"/>
      <c r="VIF71" s="684"/>
      <c r="VIG71" s="684"/>
      <c r="VIH71" s="684"/>
      <c r="VII71" s="684"/>
      <c r="VIJ71" s="684"/>
      <c r="VIK71" s="684"/>
      <c r="VIL71" s="684"/>
      <c r="VIM71" s="684"/>
      <c r="VIN71" s="684"/>
      <c r="VIO71" s="684"/>
      <c r="VIP71" s="684"/>
      <c r="VIQ71" s="684"/>
      <c r="VIR71" s="684"/>
      <c r="VIS71" s="684"/>
      <c r="VIT71" s="684"/>
      <c r="VIU71" s="684"/>
      <c r="VIV71" s="684"/>
      <c r="VIW71" s="684"/>
      <c r="VIX71" s="684"/>
      <c r="VIY71" s="684"/>
      <c r="VIZ71" s="684"/>
      <c r="VJA71" s="684"/>
      <c r="VJB71" s="684"/>
      <c r="VJC71" s="684"/>
      <c r="VJD71" s="684"/>
      <c r="VJE71" s="684"/>
      <c r="VJF71" s="684"/>
      <c r="VJG71" s="684"/>
      <c r="VJH71" s="684"/>
      <c r="VJI71" s="684"/>
      <c r="VJJ71" s="684"/>
      <c r="VJK71" s="684"/>
      <c r="VJL71" s="684"/>
      <c r="VJM71" s="684"/>
      <c r="VJN71" s="684"/>
      <c r="VJO71" s="684"/>
      <c r="VJP71" s="684"/>
      <c r="VJQ71" s="684"/>
      <c r="VJR71" s="684"/>
      <c r="VJS71" s="684"/>
      <c r="VJT71" s="684"/>
      <c r="VJU71" s="684"/>
      <c r="VJV71" s="684"/>
      <c r="VJW71" s="684"/>
      <c r="VJX71" s="684"/>
      <c r="VJY71" s="684"/>
      <c r="VJZ71" s="684"/>
      <c r="VKA71" s="684"/>
      <c r="VKB71" s="684"/>
      <c r="VKC71" s="684"/>
      <c r="VKD71" s="684"/>
      <c r="VKE71" s="684"/>
      <c r="VKF71" s="684"/>
      <c r="VKG71" s="684"/>
      <c r="VKH71" s="684"/>
      <c r="VKI71" s="684"/>
      <c r="VKJ71" s="684"/>
      <c r="VKK71" s="684"/>
      <c r="VKL71" s="684"/>
      <c r="VKM71" s="684"/>
      <c r="VKN71" s="684"/>
      <c r="VKO71" s="684"/>
      <c r="VKP71" s="684"/>
      <c r="VKQ71" s="684"/>
      <c r="VKR71" s="684"/>
      <c r="VKS71" s="684"/>
      <c r="VKT71" s="684"/>
      <c r="VKU71" s="684"/>
      <c r="VKV71" s="684"/>
      <c r="VKW71" s="684"/>
      <c r="VKX71" s="684"/>
      <c r="VKY71" s="684"/>
      <c r="VKZ71" s="684"/>
      <c r="VLA71" s="684"/>
      <c r="VLB71" s="684"/>
      <c r="VLC71" s="684"/>
      <c r="VLD71" s="684"/>
      <c r="VLE71" s="684"/>
      <c r="VLF71" s="684"/>
      <c r="VLG71" s="684"/>
      <c r="VLH71" s="684"/>
      <c r="VLI71" s="684"/>
      <c r="VLJ71" s="684"/>
      <c r="VLK71" s="684"/>
      <c r="VLL71" s="684"/>
      <c r="VLM71" s="684"/>
      <c r="VLN71" s="684"/>
      <c r="VLO71" s="684"/>
      <c r="VLP71" s="684"/>
      <c r="VLQ71" s="684"/>
      <c r="VLR71" s="684"/>
      <c r="VLS71" s="684"/>
      <c r="VLT71" s="684"/>
      <c r="VLU71" s="684"/>
      <c r="VLV71" s="684"/>
      <c r="VLW71" s="684"/>
      <c r="VLX71" s="684"/>
      <c r="VLY71" s="684"/>
      <c r="VLZ71" s="684"/>
      <c r="VMA71" s="684"/>
      <c r="VMB71" s="684"/>
      <c r="VMC71" s="684"/>
      <c r="VMD71" s="684"/>
      <c r="VME71" s="684"/>
      <c r="VMF71" s="684"/>
      <c r="VMG71" s="684"/>
      <c r="VMH71" s="684"/>
      <c r="VMI71" s="684"/>
      <c r="VMJ71" s="684"/>
      <c r="VMK71" s="684"/>
      <c r="VML71" s="684"/>
      <c r="VMM71" s="684"/>
      <c r="VMN71" s="684"/>
      <c r="VMO71" s="684"/>
      <c r="VMP71" s="684"/>
      <c r="VMQ71" s="684"/>
      <c r="VMR71" s="684"/>
      <c r="VMS71" s="684"/>
      <c r="VMT71" s="684"/>
      <c r="VMU71" s="684"/>
      <c r="VMV71" s="684"/>
      <c r="VMW71" s="684"/>
      <c r="VMX71" s="684"/>
      <c r="VMY71" s="684"/>
      <c r="VMZ71" s="684"/>
      <c r="VNA71" s="684"/>
      <c r="VNB71" s="684"/>
      <c r="VNC71" s="684"/>
      <c r="VND71" s="684"/>
      <c r="VNE71" s="684"/>
      <c r="VNF71" s="684"/>
      <c r="VNG71" s="684"/>
      <c r="VNH71" s="684"/>
      <c r="VNI71" s="684"/>
      <c r="VNJ71" s="684"/>
      <c r="VNK71" s="684"/>
      <c r="VNL71" s="684"/>
      <c r="VNM71" s="684"/>
      <c r="VNN71" s="684"/>
      <c r="VNO71" s="684"/>
      <c r="VNP71" s="684"/>
      <c r="VNQ71" s="684"/>
      <c r="VNR71" s="684"/>
      <c r="VNS71" s="684"/>
      <c r="VNT71" s="684"/>
      <c r="VNU71" s="684"/>
      <c r="VNV71" s="684"/>
      <c r="VNW71" s="684"/>
      <c r="VNX71" s="684"/>
      <c r="VNY71" s="684"/>
      <c r="VNZ71" s="684"/>
      <c r="VOA71" s="684"/>
      <c r="VOB71" s="684"/>
      <c r="VOC71" s="684"/>
      <c r="VOD71" s="684"/>
      <c r="VOE71" s="684"/>
      <c r="VOF71" s="684"/>
      <c r="VOG71" s="684"/>
      <c r="VOH71" s="684"/>
      <c r="VOI71" s="684"/>
      <c r="VOJ71" s="684"/>
      <c r="VOK71" s="684"/>
      <c r="VOL71" s="684"/>
      <c r="VOM71" s="684"/>
      <c r="VON71" s="684"/>
      <c r="VOO71" s="684"/>
      <c r="VOP71" s="684"/>
      <c r="VOQ71" s="684"/>
      <c r="VOR71" s="684"/>
      <c r="VOS71" s="684"/>
      <c r="VOT71" s="684"/>
      <c r="VOU71" s="684"/>
      <c r="VOV71" s="684"/>
      <c r="VOW71" s="684"/>
      <c r="VOX71" s="684"/>
      <c r="VOY71" s="684"/>
      <c r="VOZ71" s="684"/>
      <c r="VPA71" s="684"/>
      <c r="VPB71" s="684"/>
      <c r="VPC71" s="684"/>
      <c r="VPD71" s="684"/>
      <c r="VPE71" s="684"/>
      <c r="VPF71" s="684"/>
      <c r="VPG71" s="684"/>
      <c r="VPH71" s="684"/>
      <c r="VPI71" s="684"/>
      <c r="VPJ71" s="684"/>
      <c r="VPK71" s="684"/>
      <c r="VPL71" s="684"/>
      <c r="VPM71" s="684"/>
      <c r="VPN71" s="684"/>
      <c r="VPO71" s="684"/>
      <c r="VPP71" s="684"/>
      <c r="VPQ71" s="684"/>
      <c r="VPR71" s="684"/>
      <c r="VPS71" s="684"/>
      <c r="VPT71" s="684"/>
      <c r="VPU71" s="684"/>
      <c r="VPV71" s="684"/>
      <c r="VPW71" s="684"/>
      <c r="VPX71" s="684"/>
      <c r="VPY71" s="684"/>
      <c r="VPZ71" s="684"/>
      <c r="VQA71" s="684"/>
      <c r="VQB71" s="684"/>
      <c r="VQC71" s="684"/>
      <c r="VQD71" s="684"/>
      <c r="VQE71" s="684"/>
      <c r="VQF71" s="684"/>
      <c r="VQG71" s="684"/>
      <c r="VQH71" s="684"/>
      <c r="VQI71" s="684"/>
      <c r="VQJ71" s="684"/>
      <c r="VQK71" s="684"/>
      <c r="VQL71" s="684"/>
      <c r="VQM71" s="684"/>
      <c r="VQN71" s="684"/>
      <c r="VQO71" s="684"/>
      <c r="VQP71" s="684"/>
      <c r="VQQ71" s="684"/>
      <c r="VQR71" s="684"/>
      <c r="VQS71" s="684"/>
      <c r="VQT71" s="684"/>
      <c r="VQU71" s="684"/>
      <c r="VQV71" s="684"/>
      <c r="VQW71" s="684"/>
      <c r="VQX71" s="684"/>
      <c r="VQY71" s="684"/>
      <c r="VQZ71" s="684"/>
      <c r="VRA71" s="684"/>
      <c r="VRB71" s="684"/>
      <c r="VRC71" s="684"/>
      <c r="VRD71" s="684"/>
      <c r="VRE71" s="684"/>
      <c r="VRF71" s="684"/>
      <c r="VRG71" s="684"/>
      <c r="VRH71" s="684"/>
      <c r="VRI71" s="684"/>
      <c r="VRJ71" s="684"/>
      <c r="VRK71" s="684"/>
      <c r="VRL71" s="684"/>
      <c r="VRM71" s="684"/>
      <c r="VRN71" s="684"/>
      <c r="VRO71" s="684"/>
      <c r="VRP71" s="684"/>
      <c r="VRQ71" s="684"/>
      <c r="VRR71" s="684"/>
      <c r="VRS71" s="684"/>
      <c r="VRT71" s="684"/>
      <c r="VRU71" s="684"/>
      <c r="VRV71" s="684"/>
      <c r="VRW71" s="684"/>
      <c r="VRX71" s="684"/>
      <c r="VRY71" s="684"/>
      <c r="VRZ71" s="684"/>
      <c r="VSA71" s="684"/>
      <c r="VSB71" s="684"/>
      <c r="VSC71" s="684"/>
      <c r="VSD71" s="684"/>
      <c r="VSE71" s="684"/>
      <c r="VSF71" s="684"/>
      <c r="VSG71" s="684"/>
      <c r="VSH71" s="684"/>
      <c r="VSI71" s="684"/>
      <c r="VSJ71" s="684"/>
      <c r="VSK71" s="684"/>
      <c r="VSL71" s="684"/>
      <c r="VSM71" s="684"/>
      <c r="VSN71" s="684"/>
      <c r="VSO71" s="684"/>
      <c r="VSP71" s="684"/>
      <c r="VSQ71" s="684"/>
      <c r="VSR71" s="684"/>
      <c r="VSS71" s="684"/>
      <c r="VST71" s="684"/>
      <c r="VSU71" s="684"/>
      <c r="VSV71" s="684"/>
      <c r="VSW71" s="684"/>
      <c r="VSX71" s="684"/>
      <c r="VSY71" s="684"/>
      <c r="VSZ71" s="684"/>
      <c r="VTA71" s="684"/>
      <c r="VTB71" s="684"/>
      <c r="VTC71" s="684"/>
      <c r="VTD71" s="684"/>
      <c r="VTE71" s="684"/>
      <c r="VTF71" s="684"/>
      <c r="VTG71" s="684"/>
      <c r="VTH71" s="684"/>
      <c r="VTI71" s="684"/>
      <c r="VTJ71" s="684"/>
      <c r="VTK71" s="684"/>
      <c r="VTL71" s="684"/>
      <c r="VTM71" s="684"/>
      <c r="VTN71" s="684"/>
      <c r="VTO71" s="684"/>
      <c r="VTP71" s="684"/>
      <c r="VTQ71" s="684"/>
      <c r="VTR71" s="684"/>
      <c r="VTS71" s="684"/>
      <c r="VTT71" s="684"/>
      <c r="VTU71" s="684"/>
      <c r="VTV71" s="684"/>
      <c r="VTW71" s="684"/>
      <c r="VTX71" s="684"/>
      <c r="VTY71" s="684"/>
      <c r="VTZ71" s="684"/>
      <c r="VUA71" s="684"/>
      <c r="VUB71" s="684"/>
      <c r="VUC71" s="684"/>
      <c r="VUD71" s="684"/>
      <c r="VUE71" s="684"/>
      <c r="VUF71" s="684"/>
      <c r="VUG71" s="684"/>
      <c r="VUH71" s="684"/>
      <c r="VUI71" s="684"/>
      <c r="VUJ71" s="684"/>
      <c r="VUK71" s="684"/>
      <c r="VUL71" s="684"/>
      <c r="VUM71" s="684"/>
      <c r="VUN71" s="684"/>
      <c r="VUO71" s="684"/>
      <c r="VUP71" s="684"/>
      <c r="VUQ71" s="684"/>
      <c r="VUR71" s="684"/>
      <c r="VUS71" s="684"/>
      <c r="VUT71" s="684"/>
      <c r="VUU71" s="684"/>
      <c r="VUV71" s="684"/>
      <c r="VUW71" s="684"/>
      <c r="VUX71" s="684"/>
      <c r="VUY71" s="684"/>
      <c r="VUZ71" s="684"/>
      <c r="VVA71" s="684"/>
      <c r="VVB71" s="684"/>
      <c r="VVC71" s="684"/>
      <c r="VVD71" s="684"/>
      <c r="VVE71" s="684"/>
      <c r="VVF71" s="684"/>
      <c r="VVG71" s="684"/>
      <c r="VVH71" s="684"/>
      <c r="VVI71" s="684"/>
      <c r="VVJ71" s="684"/>
      <c r="VVK71" s="684"/>
      <c r="VVL71" s="684"/>
      <c r="VVM71" s="684"/>
      <c r="VVN71" s="684"/>
      <c r="VVO71" s="684"/>
      <c r="VVP71" s="684"/>
      <c r="VVQ71" s="684"/>
      <c r="VVR71" s="684"/>
      <c r="VVS71" s="684"/>
      <c r="VVT71" s="684"/>
      <c r="VVU71" s="684"/>
      <c r="VVV71" s="684"/>
      <c r="VVW71" s="684"/>
      <c r="VVX71" s="684"/>
      <c r="VVY71" s="684"/>
      <c r="VVZ71" s="684"/>
      <c r="VWA71" s="684"/>
      <c r="VWB71" s="684"/>
      <c r="VWC71" s="684"/>
      <c r="VWD71" s="684"/>
      <c r="VWE71" s="684"/>
      <c r="VWF71" s="684"/>
      <c r="VWG71" s="684"/>
      <c r="VWH71" s="684"/>
      <c r="VWI71" s="684"/>
      <c r="VWJ71" s="684"/>
      <c r="VWK71" s="684"/>
      <c r="VWL71" s="684"/>
      <c r="VWM71" s="684"/>
      <c r="VWN71" s="684"/>
      <c r="VWO71" s="684"/>
      <c r="VWP71" s="684"/>
      <c r="VWQ71" s="684"/>
      <c r="VWR71" s="684"/>
      <c r="VWS71" s="684"/>
      <c r="VWT71" s="684"/>
      <c r="VWU71" s="684"/>
      <c r="VWV71" s="684"/>
      <c r="VWW71" s="684"/>
      <c r="VWX71" s="684"/>
      <c r="VWY71" s="684"/>
      <c r="VWZ71" s="684"/>
      <c r="VXA71" s="684"/>
      <c r="VXB71" s="684"/>
      <c r="VXC71" s="684"/>
      <c r="VXD71" s="684"/>
      <c r="VXE71" s="684"/>
      <c r="VXF71" s="684"/>
      <c r="VXG71" s="684"/>
      <c r="VXH71" s="684"/>
      <c r="VXI71" s="684"/>
      <c r="VXJ71" s="684"/>
      <c r="VXK71" s="684"/>
      <c r="VXL71" s="684"/>
      <c r="VXM71" s="684"/>
      <c r="VXN71" s="684"/>
      <c r="VXO71" s="684"/>
      <c r="VXP71" s="684"/>
      <c r="VXQ71" s="684"/>
      <c r="VXR71" s="684"/>
      <c r="VXS71" s="684"/>
      <c r="VXT71" s="684"/>
      <c r="VXU71" s="684"/>
      <c r="VXV71" s="684"/>
      <c r="VXW71" s="684"/>
      <c r="VXX71" s="684"/>
      <c r="VXY71" s="684"/>
      <c r="VXZ71" s="684"/>
      <c r="VYA71" s="684"/>
      <c r="VYB71" s="684"/>
      <c r="VYC71" s="684"/>
      <c r="VYD71" s="684"/>
      <c r="VYE71" s="684"/>
      <c r="VYF71" s="684"/>
      <c r="VYG71" s="684"/>
      <c r="VYH71" s="684"/>
      <c r="VYI71" s="684"/>
      <c r="VYJ71" s="684"/>
      <c r="VYK71" s="684"/>
      <c r="VYL71" s="684"/>
      <c r="VYM71" s="684"/>
      <c r="VYN71" s="684"/>
      <c r="VYO71" s="684"/>
      <c r="VYP71" s="684"/>
      <c r="VYQ71" s="684"/>
      <c r="VYR71" s="684"/>
      <c r="VYS71" s="684"/>
      <c r="VYT71" s="684"/>
      <c r="VYU71" s="684"/>
      <c r="VYV71" s="684"/>
      <c r="VYW71" s="684"/>
      <c r="VYX71" s="684"/>
      <c r="VYY71" s="684"/>
      <c r="VYZ71" s="684"/>
      <c r="VZA71" s="684"/>
      <c r="VZB71" s="684"/>
      <c r="VZC71" s="684"/>
      <c r="VZD71" s="684"/>
      <c r="VZE71" s="684"/>
      <c r="VZF71" s="684"/>
      <c r="VZG71" s="684"/>
      <c r="VZH71" s="684"/>
      <c r="VZI71" s="684"/>
      <c r="VZJ71" s="684"/>
      <c r="VZK71" s="684"/>
      <c r="VZL71" s="684"/>
      <c r="VZM71" s="684"/>
      <c r="VZN71" s="684"/>
      <c r="VZO71" s="684"/>
      <c r="VZP71" s="684"/>
      <c r="VZQ71" s="684"/>
      <c r="VZR71" s="684"/>
      <c r="VZS71" s="684"/>
      <c r="VZT71" s="684"/>
      <c r="VZU71" s="684"/>
      <c r="VZV71" s="684"/>
      <c r="VZW71" s="684"/>
      <c r="VZX71" s="684"/>
      <c r="VZY71" s="684"/>
      <c r="VZZ71" s="684"/>
      <c r="WAA71" s="684"/>
      <c r="WAB71" s="684"/>
      <c r="WAC71" s="684"/>
      <c r="WAD71" s="684"/>
      <c r="WAE71" s="684"/>
      <c r="WAF71" s="684"/>
      <c r="WAG71" s="684"/>
      <c r="WAH71" s="684"/>
      <c r="WAI71" s="684"/>
      <c r="WAJ71" s="684"/>
      <c r="WAK71" s="684"/>
      <c r="WAL71" s="684"/>
      <c r="WAM71" s="684"/>
      <c r="WAN71" s="684"/>
      <c r="WAO71" s="684"/>
      <c r="WAP71" s="684"/>
      <c r="WAQ71" s="684"/>
      <c r="WAR71" s="684"/>
      <c r="WAS71" s="684"/>
      <c r="WAT71" s="684"/>
      <c r="WAU71" s="684"/>
      <c r="WAV71" s="684"/>
      <c r="WAW71" s="684"/>
      <c r="WAX71" s="684"/>
      <c r="WAY71" s="684"/>
      <c r="WAZ71" s="684"/>
      <c r="WBA71" s="684"/>
      <c r="WBB71" s="684"/>
      <c r="WBC71" s="684"/>
      <c r="WBD71" s="684"/>
      <c r="WBE71" s="684"/>
      <c r="WBF71" s="684"/>
      <c r="WBG71" s="684"/>
      <c r="WBH71" s="684"/>
      <c r="WBI71" s="684"/>
      <c r="WBJ71" s="684"/>
      <c r="WBK71" s="684"/>
      <c r="WBL71" s="684"/>
      <c r="WBM71" s="684"/>
      <c r="WBN71" s="684"/>
      <c r="WBO71" s="684"/>
      <c r="WBP71" s="684"/>
      <c r="WBQ71" s="684"/>
      <c r="WBR71" s="684"/>
      <c r="WBS71" s="684"/>
      <c r="WBT71" s="684"/>
      <c r="WBU71" s="684"/>
      <c r="WBV71" s="684"/>
      <c r="WBW71" s="684"/>
      <c r="WBX71" s="684"/>
      <c r="WBY71" s="684"/>
      <c r="WBZ71" s="684"/>
      <c r="WCA71" s="684"/>
      <c r="WCB71" s="684"/>
      <c r="WCC71" s="684"/>
      <c r="WCD71" s="684"/>
      <c r="WCE71" s="684"/>
      <c r="WCF71" s="684"/>
      <c r="WCG71" s="684"/>
      <c r="WCH71" s="684"/>
      <c r="WCI71" s="684"/>
      <c r="WCJ71" s="684"/>
      <c r="WCK71" s="684"/>
      <c r="WCL71" s="684"/>
      <c r="WCM71" s="684"/>
      <c r="WCN71" s="684"/>
      <c r="WCO71" s="684"/>
      <c r="WCP71" s="684"/>
      <c r="WCQ71" s="684"/>
      <c r="WCR71" s="684"/>
      <c r="WCS71" s="684"/>
      <c r="WCT71" s="684"/>
      <c r="WCU71" s="684"/>
      <c r="WCV71" s="684"/>
      <c r="WCW71" s="684"/>
      <c r="WCX71" s="684"/>
      <c r="WCY71" s="684"/>
      <c r="WCZ71" s="684"/>
      <c r="WDA71" s="684"/>
      <c r="WDB71" s="684"/>
      <c r="WDC71" s="684"/>
      <c r="WDD71" s="684"/>
      <c r="WDE71" s="684"/>
      <c r="WDF71" s="684"/>
      <c r="WDG71" s="684"/>
      <c r="WDH71" s="684"/>
      <c r="WDI71" s="684"/>
      <c r="WDJ71" s="684"/>
      <c r="WDK71" s="684"/>
      <c r="WDL71" s="684"/>
      <c r="WDM71" s="684"/>
      <c r="WDN71" s="684"/>
      <c r="WDO71" s="684"/>
      <c r="WDP71" s="684"/>
      <c r="WDQ71" s="684"/>
      <c r="WDR71" s="684"/>
      <c r="WDS71" s="684"/>
      <c r="WDT71" s="684"/>
      <c r="WDU71" s="684"/>
      <c r="WDV71" s="684"/>
      <c r="WDW71" s="684"/>
      <c r="WDX71" s="684"/>
      <c r="WDY71" s="684"/>
      <c r="WDZ71" s="684"/>
      <c r="WEA71" s="684"/>
      <c r="WEB71" s="684"/>
      <c r="WEC71" s="684"/>
      <c r="WED71" s="684"/>
      <c r="WEE71" s="684"/>
      <c r="WEF71" s="684"/>
      <c r="WEG71" s="684"/>
      <c r="WEH71" s="684"/>
      <c r="WEI71" s="684"/>
      <c r="WEJ71" s="684"/>
      <c r="WEK71" s="684"/>
      <c r="WEL71" s="684"/>
      <c r="WEM71" s="684"/>
      <c r="WEN71" s="684"/>
      <c r="WEO71" s="684"/>
      <c r="WEP71" s="684"/>
      <c r="WEQ71" s="684"/>
      <c r="WER71" s="684"/>
      <c r="WES71" s="684"/>
      <c r="WET71" s="684"/>
      <c r="WEU71" s="684"/>
      <c r="WEV71" s="684"/>
      <c r="WEW71" s="684"/>
      <c r="WEX71" s="684"/>
      <c r="WEY71" s="684"/>
      <c r="WEZ71" s="684"/>
      <c r="WFA71" s="684"/>
      <c r="WFB71" s="684"/>
      <c r="WFC71" s="684"/>
      <c r="WFD71" s="684"/>
      <c r="WFE71" s="684"/>
      <c r="WFF71" s="684"/>
      <c r="WFG71" s="684"/>
      <c r="WFH71" s="684"/>
      <c r="WFI71" s="684"/>
      <c r="WFJ71" s="684"/>
      <c r="WFK71" s="684"/>
      <c r="WFL71" s="684"/>
      <c r="WFM71" s="684"/>
      <c r="WFN71" s="684"/>
      <c r="WFO71" s="684"/>
      <c r="WFP71" s="684"/>
      <c r="WFQ71" s="684"/>
      <c r="WFR71" s="684"/>
      <c r="WFS71" s="684"/>
      <c r="WFT71" s="684"/>
      <c r="WFU71" s="684"/>
      <c r="WFV71" s="684"/>
      <c r="WFW71" s="684"/>
      <c r="WFX71" s="684"/>
      <c r="WFY71" s="684"/>
      <c r="WFZ71" s="684"/>
      <c r="WGA71" s="684"/>
      <c r="WGB71" s="684"/>
      <c r="WGC71" s="684"/>
      <c r="WGD71" s="684"/>
      <c r="WGE71" s="684"/>
      <c r="WGF71" s="684"/>
      <c r="WGG71" s="684"/>
      <c r="WGH71" s="684"/>
      <c r="WGI71" s="684"/>
      <c r="WGJ71" s="684"/>
      <c r="WGK71" s="684"/>
      <c r="WGL71" s="684"/>
      <c r="WGM71" s="684"/>
      <c r="WGN71" s="684"/>
      <c r="WGO71" s="684"/>
      <c r="WGP71" s="684"/>
      <c r="WGQ71" s="684"/>
      <c r="WGR71" s="684"/>
      <c r="WGS71" s="684"/>
      <c r="WGT71" s="684"/>
      <c r="WGU71" s="684"/>
      <c r="WGV71" s="684"/>
      <c r="WGW71" s="684"/>
      <c r="WGX71" s="684"/>
      <c r="WGY71" s="684"/>
      <c r="WGZ71" s="684"/>
      <c r="WHA71" s="684"/>
      <c r="WHB71" s="684"/>
      <c r="WHC71" s="684"/>
      <c r="WHD71" s="684"/>
      <c r="WHE71" s="684"/>
      <c r="WHF71" s="684"/>
      <c r="WHG71" s="684"/>
      <c r="WHH71" s="684"/>
      <c r="WHI71" s="684"/>
      <c r="WHJ71" s="684"/>
      <c r="WHK71" s="684"/>
      <c r="WHL71" s="684"/>
      <c r="WHM71" s="684"/>
      <c r="WHN71" s="684"/>
      <c r="WHO71" s="684"/>
      <c r="WHP71" s="684"/>
      <c r="WHQ71" s="684"/>
      <c r="WHR71" s="684"/>
      <c r="WHS71" s="684"/>
      <c r="WHT71" s="684"/>
      <c r="WHU71" s="684"/>
      <c r="WHV71" s="684"/>
      <c r="WHW71" s="684"/>
      <c r="WHX71" s="684"/>
      <c r="WHY71" s="684"/>
      <c r="WHZ71" s="684"/>
      <c r="WIA71" s="684"/>
      <c r="WIB71" s="684"/>
      <c r="WIC71" s="684"/>
      <c r="WID71" s="684"/>
      <c r="WIE71" s="684"/>
      <c r="WIF71" s="684"/>
      <c r="WIG71" s="684"/>
      <c r="WIH71" s="684"/>
      <c r="WII71" s="684"/>
      <c r="WIJ71" s="684"/>
      <c r="WIK71" s="684"/>
      <c r="WIL71" s="684"/>
      <c r="WIM71" s="684"/>
      <c r="WIN71" s="684"/>
      <c r="WIO71" s="684"/>
      <c r="WIP71" s="684"/>
      <c r="WIQ71" s="684"/>
      <c r="WIR71" s="684"/>
      <c r="WIS71" s="684"/>
      <c r="WIT71" s="684"/>
      <c r="WIU71" s="684"/>
      <c r="WIV71" s="684"/>
      <c r="WIW71" s="684"/>
      <c r="WIX71" s="684"/>
      <c r="WIY71" s="684"/>
      <c r="WIZ71" s="684"/>
      <c r="WJA71" s="684"/>
      <c r="WJB71" s="684"/>
      <c r="WJC71" s="684"/>
      <c r="WJD71" s="684"/>
      <c r="WJE71" s="684"/>
      <c r="WJF71" s="684"/>
      <c r="WJG71" s="684"/>
      <c r="WJH71" s="684"/>
      <c r="WJI71" s="684"/>
      <c r="WJJ71" s="684"/>
      <c r="WJK71" s="684"/>
      <c r="WJL71" s="684"/>
      <c r="WJM71" s="684"/>
      <c r="WJN71" s="684"/>
      <c r="WJO71" s="684"/>
      <c r="WJP71" s="684"/>
      <c r="WJQ71" s="684"/>
      <c r="WJR71" s="684"/>
      <c r="WJS71" s="684"/>
      <c r="WJT71" s="684"/>
      <c r="WJU71" s="684"/>
      <c r="WJV71" s="684"/>
      <c r="WJW71" s="684"/>
      <c r="WJX71" s="684"/>
      <c r="WJY71" s="684"/>
      <c r="WJZ71" s="684"/>
      <c r="WKA71" s="684"/>
      <c r="WKB71" s="684"/>
      <c r="WKC71" s="684"/>
      <c r="WKD71" s="684"/>
      <c r="WKE71" s="684"/>
      <c r="WKF71" s="684"/>
      <c r="WKG71" s="684"/>
      <c r="WKH71" s="684"/>
      <c r="WKI71" s="684"/>
      <c r="WKJ71" s="684"/>
      <c r="WKK71" s="684"/>
      <c r="WKL71" s="684"/>
      <c r="WKM71" s="684"/>
      <c r="WKN71" s="684"/>
      <c r="WKO71" s="684"/>
      <c r="WKP71" s="684"/>
      <c r="WKQ71" s="684"/>
      <c r="WKR71" s="684"/>
      <c r="WKS71" s="684"/>
      <c r="WKT71" s="684"/>
      <c r="WKU71" s="684"/>
      <c r="WKV71" s="684"/>
      <c r="WKW71" s="684"/>
      <c r="WKX71" s="684"/>
      <c r="WKY71" s="684"/>
      <c r="WKZ71" s="684"/>
      <c r="WLA71" s="684"/>
      <c r="WLB71" s="684"/>
      <c r="WLC71" s="684"/>
      <c r="WLD71" s="684"/>
      <c r="WLE71" s="684"/>
      <c r="WLF71" s="684"/>
      <c r="WLG71" s="684"/>
      <c r="WLH71" s="684"/>
      <c r="WLI71" s="684"/>
      <c r="WLJ71" s="684"/>
      <c r="WLK71" s="684"/>
      <c r="WLL71" s="684"/>
      <c r="WLM71" s="684"/>
      <c r="WLN71" s="684"/>
      <c r="WLO71" s="684"/>
      <c r="WLP71" s="684"/>
      <c r="WLQ71" s="684"/>
      <c r="WLR71" s="684"/>
      <c r="WLS71" s="684"/>
      <c r="WLT71" s="684"/>
      <c r="WLU71" s="684"/>
      <c r="WLV71" s="684"/>
      <c r="WLW71" s="684"/>
      <c r="WLX71" s="684"/>
      <c r="WLY71" s="684"/>
      <c r="WLZ71" s="684"/>
      <c r="WMA71" s="684"/>
      <c r="WMB71" s="684"/>
      <c r="WMC71" s="684"/>
      <c r="WMD71" s="684"/>
      <c r="WME71" s="684"/>
      <c r="WMF71" s="684"/>
      <c r="WMG71" s="684"/>
      <c r="WMH71" s="684"/>
      <c r="WMI71" s="684"/>
      <c r="WMJ71" s="684"/>
      <c r="WMK71" s="684"/>
      <c r="WML71" s="684"/>
      <c r="WMM71" s="684"/>
      <c r="WMN71" s="684"/>
      <c r="WMO71" s="684"/>
      <c r="WMP71" s="684"/>
      <c r="WMQ71" s="684"/>
      <c r="WMR71" s="684"/>
      <c r="WMS71" s="684"/>
      <c r="WMT71" s="684"/>
      <c r="WMU71" s="684"/>
      <c r="WMV71" s="684"/>
      <c r="WMW71" s="684"/>
      <c r="WMX71" s="684"/>
      <c r="WMY71" s="684"/>
      <c r="WMZ71" s="684"/>
      <c r="WNA71" s="684"/>
      <c r="WNB71" s="684"/>
      <c r="WNC71" s="684"/>
      <c r="WND71" s="684"/>
      <c r="WNE71" s="684"/>
      <c r="WNF71" s="684"/>
      <c r="WNG71" s="684"/>
      <c r="WNH71" s="684"/>
      <c r="WNI71" s="684"/>
      <c r="WNJ71" s="684"/>
      <c r="WNK71" s="684"/>
      <c r="WNL71" s="684"/>
      <c r="WNM71" s="684"/>
      <c r="WNN71" s="684"/>
      <c r="WNO71" s="684"/>
      <c r="WNP71" s="684"/>
      <c r="WNQ71" s="684"/>
      <c r="WNR71" s="684"/>
      <c r="WNS71" s="684"/>
      <c r="WNT71" s="684"/>
      <c r="WNU71" s="684"/>
      <c r="WNV71" s="684"/>
      <c r="WNW71" s="684"/>
      <c r="WNX71" s="684"/>
      <c r="WNY71" s="684"/>
      <c r="WNZ71" s="684"/>
      <c r="WOA71" s="684"/>
      <c r="WOB71" s="684"/>
      <c r="WOC71" s="684"/>
      <c r="WOD71" s="684"/>
      <c r="WOE71" s="684"/>
      <c r="WOF71" s="684"/>
      <c r="WOG71" s="684"/>
      <c r="WOH71" s="684"/>
      <c r="WOI71" s="684"/>
      <c r="WOJ71" s="684"/>
      <c r="WOK71" s="684"/>
      <c r="WOL71" s="684"/>
      <c r="WOM71" s="684"/>
      <c r="WON71" s="684"/>
      <c r="WOO71" s="684"/>
      <c r="WOP71" s="684"/>
      <c r="WOQ71" s="684"/>
      <c r="WOR71" s="684"/>
      <c r="WOS71" s="684"/>
      <c r="WOT71" s="684"/>
      <c r="WOU71" s="684"/>
      <c r="WOV71" s="684"/>
      <c r="WOW71" s="684"/>
      <c r="WOX71" s="684"/>
      <c r="WOY71" s="684"/>
      <c r="WOZ71" s="684"/>
      <c r="WPA71" s="684"/>
      <c r="WPB71" s="684"/>
      <c r="WPC71" s="684"/>
      <c r="WPD71" s="684"/>
      <c r="WPE71" s="684"/>
      <c r="WPF71" s="684"/>
      <c r="WPG71" s="684"/>
      <c r="WPH71" s="684"/>
      <c r="WPI71" s="684"/>
      <c r="WPJ71" s="684"/>
      <c r="WPK71" s="684"/>
      <c r="WPL71" s="684"/>
      <c r="WPM71" s="684"/>
      <c r="WPN71" s="684"/>
      <c r="WPO71" s="684"/>
      <c r="WPP71" s="684"/>
      <c r="WPQ71" s="684"/>
      <c r="WPR71" s="684"/>
      <c r="WPS71" s="684"/>
      <c r="WPT71" s="684"/>
      <c r="WPU71" s="684"/>
      <c r="WPV71" s="684"/>
      <c r="WPW71" s="684"/>
      <c r="WPX71" s="684"/>
      <c r="WPY71" s="684"/>
      <c r="WPZ71" s="684"/>
      <c r="WQA71" s="684"/>
      <c r="WQB71" s="684"/>
      <c r="WQC71" s="684"/>
      <c r="WQD71" s="684"/>
      <c r="WQE71" s="684"/>
      <c r="WQF71" s="684"/>
      <c r="WQG71" s="684"/>
      <c r="WQH71" s="684"/>
      <c r="WQI71" s="684"/>
      <c r="WQJ71" s="684"/>
      <c r="WQK71" s="684"/>
      <c r="WQL71" s="684"/>
      <c r="WQM71" s="684"/>
      <c r="WQN71" s="684"/>
      <c r="WQO71" s="684"/>
      <c r="WQP71" s="684"/>
      <c r="WQQ71" s="684"/>
      <c r="WQR71" s="684"/>
      <c r="WQS71" s="684"/>
      <c r="WQT71" s="684"/>
      <c r="WQU71" s="684"/>
      <c r="WQV71" s="684"/>
      <c r="WQW71" s="684"/>
      <c r="WQX71" s="684"/>
      <c r="WQY71" s="684"/>
      <c r="WQZ71" s="684"/>
      <c r="WRA71" s="684"/>
      <c r="WRB71" s="684"/>
      <c r="WRC71" s="684"/>
      <c r="WRD71" s="684"/>
      <c r="WRE71" s="684"/>
      <c r="WRF71" s="684"/>
      <c r="WRG71" s="684"/>
      <c r="WRH71" s="684"/>
      <c r="WRI71" s="684"/>
      <c r="WRJ71" s="684"/>
      <c r="WRK71" s="684"/>
      <c r="WRL71" s="684"/>
      <c r="WRM71" s="684"/>
      <c r="WRN71" s="684"/>
      <c r="WRO71" s="684"/>
      <c r="WRP71" s="684"/>
      <c r="WRQ71" s="684"/>
      <c r="WRR71" s="684"/>
      <c r="WRS71" s="684"/>
      <c r="WRT71" s="684"/>
      <c r="WRU71" s="684"/>
      <c r="WRV71" s="684"/>
      <c r="WRW71" s="684"/>
      <c r="WRX71" s="684"/>
      <c r="WRY71" s="684"/>
      <c r="WRZ71" s="684"/>
      <c r="WSA71" s="684"/>
      <c r="WSB71" s="684"/>
      <c r="WSC71" s="684"/>
      <c r="WSD71" s="684"/>
      <c r="WSE71" s="684"/>
      <c r="WSF71" s="684"/>
      <c r="WSG71" s="684"/>
      <c r="WSH71" s="684"/>
      <c r="WSI71" s="684"/>
      <c r="WSJ71" s="684"/>
      <c r="WSK71" s="684"/>
      <c r="WSL71" s="684"/>
      <c r="WSM71" s="684"/>
      <c r="WSN71" s="684"/>
      <c r="WSO71" s="684"/>
      <c r="WSP71" s="684"/>
      <c r="WSQ71" s="684"/>
      <c r="WSR71" s="684"/>
      <c r="WSS71" s="684"/>
      <c r="WST71" s="684"/>
      <c r="WSU71" s="684"/>
      <c r="WSV71" s="684"/>
      <c r="WSW71" s="684"/>
      <c r="WSX71" s="684"/>
      <c r="WSY71" s="684"/>
      <c r="WSZ71" s="684"/>
      <c r="WTA71" s="684"/>
      <c r="WTB71" s="684"/>
      <c r="WTC71" s="684"/>
      <c r="WTD71" s="684"/>
      <c r="WTE71" s="684"/>
      <c r="WTF71" s="684"/>
      <c r="WTG71" s="684"/>
      <c r="WTH71" s="684"/>
      <c r="WTI71" s="684"/>
      <c r="WTJ71" s="684"/>
      <c r="WTK71" s="684"/>
      <c r="WTL71" s="684"/>
      <c r="WTM71" s="684"/>
      <c r="WTN71" s="684"/>
      <c r="WTO71" s="684"/>
      <c r="WTP71" s="684"/>
      <c r="WTQ71" s="684"/>
      <c r="WTR71" s="684"/>
      <c r="WTS71" s="684"/>
      <c r="WTT71" s="684"/>
      <c r="WTU71" s="684"/>
      <c r="WTV71" s="684"/>
      <c r="WTW71" s="684"/>
      <c r="WTX71" s="684"/>
      <c r="WTY71" s="684"/>
      <c r="WTZ71" s="684"/>
      <c r="WUA71" s="684"/>
      <c r="WUB71" s="684"/>
      <c r="WUC71" s="684"/>
      <c r="WUD71" s="684"/>
      <c r="WUE71" s="684"/>
      <c r="WUF71" s="684"/>
      <c r="WUG71" s="684"/>
      <c r="WUH71" s="684"/>
      <c r="WUI71" s="684"/>
      <c r="WUJ71" s="684"/>
      <c r="WUK71" s="684"/>
      <c r="WUL71" s="684"/>
      <c r="WUM71" s="684"/>
      <c r="WUN71" s="684"/>
      <c r="WUO71" s="684"/>
      <c r="WUP71" s="684"/>
      <c r="WUQ71" s="684"/>
      <c r="WUR71" s="684"/>
      <c r="WUS71" s="684"/>
      <c r="WUT71" s="684"/>
      <c r="WUU71" s="684"/>
      <c r="WUV71" s="684"/>
      <c r="WUW71" s="684"/>
      <c r="WUX71" s="684"/>
      <c r="WUY71" s="684"/>
      <c r="WUZ71" s="684"/>
      <c r="WVA71" s="684"/>
      <c r="WVB71" s="684"/>
      <c r="WVC71" s="684"/>
      <c r="WVD71" s="684"/>
      <c r="WVE71" s="684"/>
      <c r="WVF71" s="684"/>
      <c r="WVG71" s="684"/>
      <c r="WVH71" s="684"/>
      <c r="WVI71" s="684"/>
      <c r="WVJ71" s="684"/>
      <c r="WVK71" s="684"/>
      <c r="WVL71" s="684"/>
      <c r="WVM71" s="684"/>
      <c r="WVN71" s="684"/>
      <c r="WVO71" s="684"/>
      <c r="WVP71" s="684"/>
      <c r="WVQ71" s="684"/>
      <c r="WVR71" s="684"/>
      <c r="WVS71" s="684"/>
      <c r="WVT71" s="684"/>
      <c r="WVU71" s="684"/>
      <c r="WVV71" s="684"/>
      <c r="WVW71" s="684"/>
      <c r="WVX71" s="684"/>
      <c r="WVY71" s="684"/>
      <c r="WVZ71" s="684"/>
      <c r="WWA71" s="684"/>
      <c r="WWB71" s="684"/>
      <c r="WWC71" s="684"/>
      <c r="WWD71" s="684"/>
      <c r="WWE71" s="684"/>
      <c r="WWF71" s="684"/>
      <c r="WWG71" s="684"/>
      <c r="WWH71" s="684"/>
      <c r="WWI71" s="684"/>
      <c r="WWJ71" s="684"/>
      <c r="WWK71" s="684"/>
      <c r="WWL71" s="684"/>
      <c r="WWM71" s="684"/>
      <c r="WWN71" s="684"/>
      <c r="WWO71" s="684"/>
      <c r="WWP71" s="684"/>
      <c r="WWQ71" s="684"/>
      <c r="WWR71" s="684"/>
      <c r="WWS71" s="684"/>
      <c r="WWT71" s="684"/>
      <c r="WWU71" s="684"/>
      <c r="WWV71" s="684"/>
      <c r="WWW71" s="684"/>
      <c r="WWX71" s="684"/>
      <c r="WWY71" s="684"/>
      <c r="WWZ71" s="684"/>
      <c r="WXA71" s="684"/>
      <c r="WXB71" s="684"/>
      <c r="WXC71" s="684"/>
      <c r="WXD71" s="684"/>
      <c r="WXE71" s="684"/>
      <c r="WXF71" s="684"/>
      <c r="WXG71" s="684"/>
      <c r="WXH71" s="684"/>
      <c r="WXI71" s="684"/>
      <c r="WXJ71" s="684"/>
      <c r="WXK71" s="684"/>
      <c r="WXL71" s="684"/>
      <c r="WXM71" s="684"/>
      <c r="WXN71" s="684"/>
      <c r="WXO71" s="684"/>
      <c r="WXP71" s="684"/>
      <c r="WXQ71" s="684"/>
      <c r="WXR71" s="684"/>
      <c r="WXS71" s="684"/>
      <c r="WXT71" s="684"/>
      <c r="WXU71" s="684"/>
      <c r="WXV71" s="684"/>
      <c r="WXW71" s="684"/>
      <c r="WXX71" s="684"/>
      <c r="WXY71" s="684"/>
      <c r="WXZ71" s="684"/>
      <c r="WYA71" s="684"/>
      <c r="WYB71" s="684"/>
      <c r="WYC71" s="684"/>
      <c r="WYD71" s="684"/>
      <c r="WYE71" s="684"/>
      <c r="WYF71" s="684"/>
      <c r="WYG71" s="684"/>
      <c r="WYH71" s="684"/>
      <c r="WYI71" s="684"/>
      <c r="WYJ71" s="684"/>
      <c r="WYK71" s="684"/>
      <c r="WYL71" s="684"/>
      <c r="WYM71" s="684"/>
      <c r="WYN71" s="684"/>
      <c r="WYO71" s="684"/>
      <c r="WYP71" s="684"/>
      <c r="WYQ71" s="684"/>
      <c r="WYR71" s="684"/>
      <c r="WYS71" s="684"/>
      <c r="WYT71" s="684"/>
      <c r="WYU71" s="684"/>
      <c r="WYV71" s="684"/>
      <c r="WYW71" s="684"/>
      <c r="WYX71" s="684"/>
      <c r="WYY71" s="684"/>
      <c r="WYZ71" s="684"/>
      <c r="WZA71" s="684"/>
      <c r="WZB71" s="684"/>
      <c r="WZC71" s="684"/>
      <c r="WZD71" s="684"/>
      <c r="WZE71" s="684"/>
      <c r="WZF71" s="684"/>
      <c r="WZG71" s="684"/>
      <c r="WZH71" s="684"/>
      <c r="WZI71" s="684"/>
      <c r="WZJ71" s="684"/>
      <c r="WZK71" s="684"/>
      <c r="WZL71" s="684"/>
      <c r="WZM71" s="684"/>
      <c r="WZN71" s="684"/>
      <c r="WZO71" s="684"/>
      <c r="WZP71" s="684"/>
      <c r="WZQ71" s="684"/>
      <c r="WZR71" s="684"/>
      <c r="WZS71" s="684"/>
      <c r="WZT71" s="684"/>
      <c r="WZU71" s="684"/>
      <c r="WZV71" s="684"/>
      <c r="WZW71" s="684"/>
      <c r="WZX71" s="684"/>
      <c r="WZY71" s="684"/>
      <c r="WZZ71" s="684"/>
      <c r="XAA71" s="684"/>
      <c r="XAB71" s="684"/>
      <c r="XAC71" s="684"/>
      <c r="XAD71" s="684"/>
      <c r="XAE71" s="684"/>
      <c r="XAF71" s="684"/>
      <c r="XAG71" s="684"/>
      <c r="XAH71" s="684"/>
      <c r="XAI71" s="684"/>
      <c r="XAJ71" s="684"/>
      <c r="XAK71" s="684"/>
      <c r="XAL71" s="684"/>
      <c r="XAM71" s="684"/>
      <c r="XAN71" s="684"/>
      <c r="XAO71" s="684"/>
      <c r="XAP71" s="684"/>
      <c r="XAQ71" s="684"/>
      <c r="XAR71" s="684"/>
      <c r="XAS71" s="684"/>
      <c r="XAT71" s="684"/>
      <c r="XAU71" s="684"/>
      <c r="XAV71" s="684"/>
      <c r="XAW71" s="684"/>
      <c r="XAX71" s="684"/>
      <c r="XAY71" s="684"/>
      <c r="XAZ71" s="684"/>
      <c r="XBA71" s="684"/>
      <c r="XBB71" s="684"/>
      <c r="XBC71" s="684"/>
      <c r="XBD71" s="684"/>
      <c r="XBE71" s="684"/>
      <c r="XBF71" s="684"/>
      <c r="XBG71" s="684"/>
      <c r="XBH71" s="684"/>
      <c r="XBI71" s="684"/>
      <c r="XBJ71" s="684"/>
      <c r="XBK71" s="684"/>
      <c r="XBL71" s="684"/>
      <c r="XBM71" s="684"/>
      <c r="XBN71" s="684"/>
      <c r="XBO71" s="684"/>
      <c r="XBP71" s="684"/>
      <c r="XBQ71" s="684"/>
      <c r="XBR71" s="684"/>
      <c r="XBS71" s="684"/>
      <c r="XBT71" s="684"/>
      <c r="XBU71" s="684"/>
      <c r="XBV71" s="684"/>
      <c r="XBW71" s="684"/>
      <c r="XBX71" s="684"/>
      <c r="XBY71" s="684"/>
      <c r="XBZ71" s="684"/>
      <c r="XCA71" s="684"/>
      <c r="XCB71" s="684"/>
      <c r="XCC71" s="684"/>
      <c r="XCD71" s="684"/>
      <c r="XCE71" s="684"/>
      <c r="XCF71" s="684"/>
      <c r="XCG71" s="684"/>
      <c r="XCH71" s="684"/>
      <c r="XCI71" s="684"/>
      <c r="XCJ71" s="684"/>
      <c r="XCK71" s="684"/>
      <c r="XCL71" s="684"/>
      <c r="XCM71" s="684"/>
      <c r="XCN71" s="684"/>
      <c r="XCO71" s="684"/>
      <c r="XCP71" s="684"/>
      <c r="XCQ71" s="684"/>
      <c r="XCR71" s="684"/>
      <c r="XCS71" s="684"/>
      <c r="XCT71" s="684"/>
      <c r="XCU71" s="684"/>
      <c r="XCV71" s="684"/>
      <c r="XCW71" s="684"/>
      <c r="XCX71" s="684"/>
      <c r="XCY71" s="684"/>
      <c r="XCZ71" s="684"/>
      <c r="XDA71" s="684"/>
      <c r="XDB71" s="684"/>
      <c r="XDC71" s="684"/>
      <c r="XDD71" s="684"/>
      <c r="XDE71" s="684"/>
      <c r="XDF71" s="684"/>
      <c r="XDG71" s="684"/>
      <c r="XDH71" s="684"/>
      <c r="XDI71" s="684"/>
      <c r="XDJ71" s="684"/>
      <c r="XDK71" s="684"/>
      <c r="XDL71" s="684"/>
      <c r="XDM71" s="684"/>
      <c r="XDN71" s="684"/>
      <c r="XDO71" s="684"/>
      <c r="XDP71" s="684"/>
      <c r="XDQ71" s="684"/>
      <c r="XDR71" s="684"/>
      <c r="XDS71" s="684"/>
      <c r="XDT71" s="684"/>
      <c r="XDU71" s="684"/>
      <c r="XDV71" s="684"/>
      <c r="XDW71" s="684"/>
      <c r="XDX71" s="684"/>
      <c r="XDY71" s="684"/>
      <c r="XDZ71" s="684"/>
      <c r="XEA71" s="684"/>
      <c r="XEB71" s="684"/>
      <c r="XEC71" s="684"/>
      <c r="XED71" s="684"/>
      <c r="XEE71" s="684"/>
      <c r="XEF71" s="684"/>
      <c r="XEG71" s="684"/>
      <c r="XEH71" s="684"/>
      <c r="XEI71" s="684"/>
      <c r="XEJ71" s="684"/>
      <c r="XEK71" s="684"/>
      <c r="XEL71" s="684"/>
      <c r="XEM71" s="684"/>
      <c r="XEN71" s="684"/>
      <c r="XEO71" s="684"/>
      <c r="XEP71" s="684"/>
      <c r="XEQ71" s="684"/>
      <c r="XER71" s="684"/>
      <c r="XES71" s="684"/>
      <c r="XET71" s="684"/>
      <c r="XEU71" s="684"/>
      <c r="XEV71" s="684"/>
      <c r="XEW71" s="684"/>
      <c r="XEX71" s="684"/>
      <c r="XEY71" s="684"/>
      <c r="XEZ71" s="684"/>
      <c r="XFA71" s="684"/>
      <c r="XFB71" s="684"/>
      <c r="XFC71" s="684"/>
      <c r="XFD71" s="684"/>
    </row>
    <row r="72" spans="1:16384" s="774" customFormat="1">
      <c r="A72" s="597" t="s">
        <v>2411</v>
      </c>
      <c r="B72" s="488" t="s">
        <v>2421</v>
      </c>
      <c r="C72" s="488" t="s">
        <v>2421</v>
      </c>
      <c r="D72" s="4295"/>
      <c r="E72" s="4289"/>
      <c r="F72" s="4265"/>
      <c r="G72" s="4262"/>
      <c r="H72" s="4202"/>
      <c r="I72" s="4202"/>
      <c r="J72" s="684"/>
      <c r="K72" s="684"/>
      <c r="L72" s="684"/>
      <c r="M72" s="684"/>
      <c r="N72" s="684"/>
      <c r="O72" s="684"/>
      <c r="P72" s="684"/>
      <c r="Q72" s="684"/>
      <c r="R72" s="684"/>
      <c r="S72" s="684"/>
      <c r="T72" s="684"/>
      <c r="U72" s="684"/>
      <c r="V72" s="684"/>
      <c r="W72" s="684"/>
      <c r="X72" s="684"/>
      <c r="Y72" s="684"/>
      <c r="Z72" s="684"/>
      <c r="AA72" s="684"/>
      <c r="AB72" s="684"/>
      <c r="AC72" s="684"/>
      <c r="AD72" s="684"/>
      <c r="AE72" s="684"/>
      <c r="AF72" s="684"/>
      <c r="AG72" s="684"/>
      <c r="AH72" s="684"/>
      <c r="AI72" s="684"/>
      <c r="AJ72" s="684"/>
      <c r="AK72" s="684"/>
      <c r="AL72" s="684"/>
      <c r="AM72" s="684"/>
      <c r="AN72" s="684"/>
      <c r="AO72" s="684"/>
      <c r="AP72" s="684"/>
      <c r="AQ72" s="684"/>
      <c r="AR72" s="684"/>
      <c r="AS72" s="684"/>
      <c r="AT72" s="684"/>
      <c r="AU72" s="684"/>
      <c r="AV72" s="684"/>
      <c r="AW72" s="684"/>
      <c r="AX72" s="684"/>
      <c r="AY72" s="684"/>
      <c r="AZ72" s="684"/>
      <c r="BA72" s="684"/>
      <c r="BB72" s="684"/>
      <c r="BC72" s="684"/>
      <c r="BD72" s="684"/>
      <c r="BE72" s="684"/>
      <c r="BF72" s="684"/>
      <c r="BG72" s="684"/>
      <c r="BH72" s="684"/>
      <c r="BI72" s="684"/>
      <c r="BJ72" s="684"/>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c r="CI72" s="684"/>
      <c r="CJ72" s="684"/>
      <c r="CK72" s="684"/>
      <c r="CL72" s="684"/>
      <c r="CM72" s="684"/>
      <c r="CN72" s="684"/>
      <c r="CO72" s="684"/>
      <c r="CP72" s="684"/>
      <c r="CQ72" s="684"/>
      <c r="CR72" s="684"/>
      <c r="CS72" s="684"/>
      <c r="CT72" s="684"/>
      <c r="CU72" s="684"/>
      <c r="CV72" s="684"/>
      <c r="CW72" s="684"/>
      <c r="CX72" s="684"/>
      <c r="CY72" s="684"/>
      <c r="CZ72" s="684"/>
      <c r="DA72" s="684"/>
      <c r="DB72" s="684"/>
      <c r="DC72" s="684"/>
      <c r="DD72" s="684"/>
      <c r="DE72" s="684"/>
      <c r="DF72" s="684"/>
      <c r="DG72" s="684"/>
      <c r="DH72" s="684"/>
      <c r="DI72" s="684"/>
      <c r="DJ72" s="684"/>
      <c r="DK72" s="684"/>
      <c r="DL72" s="684"/>
      <c r="DM72" s="684"/>
      <c r="DN72" s="684"/>
      <c r="DO72" s="684"/>
      <c r="DP72" s="684"/>
      <c r="DQ72" s="684"/>
      <c r="DR72" s="684"/>
      <c r="DS72" s="684"/>
      <c r="DT72" s="684"/>
      <c r="DU72" s="684"/>
      <c r="DV72" s="684"/>
      <c r="DW72" s="684"/>
      <c r="DX72" s="684"/>
      <c r="DY72" s="684"/>
      <c r="DZ72" s="684"/>
      <c r="EA72" s="684"/>
      <c r="EB72" s="684"/>
      <c r="EC72" s="684"/>
      <c r="ED72" s="684"/>
      <c r="EE72" s="684"/>
      <c r="EF72" s="684"/>
      <c r="EG72" s="684"/>
      <c r="EH72" s="684"/>
      <c r="EI72" s="684"/>
      <c r="EJ72" s="684"/>
      <c r="EK72" s="684"/>
      <c r="EL72" s="684"/>
      <c r="EM72" s="684"/>
      <c r="EN72" s="684"/>
      <c r="EO72" s="684"/>
      <c r="EP72" s="684"/>
      <c r="EQ72" s="684"/>
      <c r="ER72" s="684"/>
      <c r="ES72" s="684"/>
      <c r="ET72" s="684"/>
      <c r="EU72" s="684"/>
      <c r="EV72" s="684"/>
      <c r="EW72" s="684"/>
      <c r="EX72" s="684"/>
      <c r="EY72" s="684"/>
      <c r="EZ72" s="684"/>
      <c r="FA72" s="684"/>
      <c r="FB72" s="684"/>
      <c r="FC72" s="684"/>
      <c r="FD72" s="684"/>
      <c r="FE72" s="684"/>
      <c r="FF72" s="684"/>
      <c r="FG72" s="684"/>
      <c r="FH72" s="684"/>
      <c r="FI72" s="684"/>
      <c r="FJ72" s="684"/>
      <c r="FK72" s="684"/>
      <c r="FL72" s="684"/>
      <c r="FM72" s="684"/>
      <c r="FN72" s="684"/>
      <c r="FO72" s="684"/>
      <c r="FP72" s="684"/>
      <c r="FQ72" s="684"/>
      <c r="FR72" s="684"/>
      <c r="FS72" s="684"/>
      <c r="FT72" s="684"/>
      <c r="FU72" s="684"/>
      <c r="FV72" s="684"/>
      <c r="FW72" s="684"/>
      <c r="FX72" s="684"/>
      <c r="FY72" s="684"/>
      <c r="FZ72" s="684"/>
      <c r="GA72" s="684"/>
      <c r="GB72" s="684"/>
      <c r="GC72" s="684"/>
      <c r="GD72" s="684"/>
      <c r="GE72" s="684"/>
      <c r="GF72" s="684"/>
      <c r="GG72" s="684"/>
      <c r="GH72" s="684"/>
      <c r="GI72" s="684"/>
      <c r="GJ72" s="684"/>
      <c r="GK72" s="684"/>
      <c r="GL72" s="684"/>
      <c r="GM72" s="684"/>
      <c r="GN72" s="684"/>
      <c r="GO72" s="684"/>
      <c r="GP72" s="684"/>
      <c r="GQ72" s="684"/>
      <c r="GR72" s="684"/>
      <c r="GS72" s="684"/>
      <c r="GT72" s="684"/>
      <c r="GU72" s="684"/>
      <c r="GV72" s="684"/>
      <c r="GW72" s="684"/>
      <c r="GX72" s="684"/>
      <c r="GY72" s="684"/>
      <c r="GZ72" s="684"/>
      <c r="HA72" s="684"/>
      <c r="HB72" s="684"/>
      <c r="HC72" s="684"/>
      <c r="HD72" s="684"/>
      <c r="HE72" s="684"/>
      <c r="HF72" s="684"/>
      <c r="HG72" s="684"/>
      <c r="HH72" s="684"/>
      <c r="HI72" s="684"/>
      <c r="HJ72" s="684"/>
      <c r="HK72" s="684"/>
      <c r="HL72" s="684"/>
      <c r="HM72" s="684"/>
      <c r="HN72" s="684"/>
      <c r="HO72" s="684"/>
      <c r="HP72" s="684"/>
      <c r="HQ72" s="684"/>
      <c r="HR72" s="684"/>
      <c r="HS72" s="684"/>
      <c r="HT72" s="684"/>
      <c r="HU72" s="684"/>
      <c r="HV72" s="684"/>
      <c r="HW72" s="684"/>
      <c r="HX72" s="684"/>
      <c r="HY72" s="684"/>
      <c r="HZ72" s="684"/>
      <c r="IA72" s="684"/>
      <c r="IB72" s="684"/>
      <c r="IC72" s="684"/>
      <c r="ID72" s="684"/>
      <c r="IE72" s="684"/>
      <c r="IF72" s="684"/>
      <c r="IG72" s="684"/>
      <c r="IH72" s="684"/>
      <c r="II72" s="684"/>
      <c r="IJ72" s="684"/>
      <c r="IK72" s="684"/>
      <c r="IL72" s="684"/>
      <c r="IM72" s="684"/>
      <c r="IN72" s="684"/>
      <c r="IO72" s="684"/>
      <c r="IP72" s="684"/>
      <c r="IQ72" s="684"/>
      <c r="IR72" s="684"/>
      <c r="IS72" s="684"/>
      <c r="IT72" s="684"/>
      <c r="IU72" s="684"/>
      <c r="IV72" s="684"/>
      <c r="IW72" s="684"/>
      <c r="IX72" s="684"/>
      <c r="IY72" s="684"/>
      <c r="IZ72" s="684"/>
      <c r="JA72" s="684"/>
      <c r="JB72" s="684"/>
      <c r="JC72" s="684"/>
      <c r="JD72" s="684"/>
      <c r="JE72" s="684"/>
      <c r="JF72" s="684"/>
      <c r="JG72" s="684"/>
      <c r="JH72" s="684"/>
      <c r="JI72" s="684"/>
      <c r="JJ72" s="684"/>
      <c r="JK72" s="684"/>
      <c r="JL72" s="684"/>
      <c r="JM72" s="684"/>
      <c r="JN72" s="684"/>
      <c r="JO72" s="684"/>
      <c r="JP72" s="684"/>
      <c r="JQ72" s="684"/>
      <c r="JR72" s="684"/>
      <c r="JS72" s="684"/>
      <c r="JT72" s="684"/>
      <c r="JU72" s="684"/>
      <c r="JV72" s="684"/>
      <c r="JW72" s="684"/>
      <c r="JX72" s="684"/>
      <c r="JY72" s="684"/>
      <c r="JZ72" s="684"/>
      <c r="KA72" s="684"/>
      <c r="KB72" s="684"/>
      <c r="KC72" s="684"/>
      <c r="KD72" s="684"/>
      <c r="KE72" s="684"/>
      <c r="KF72" s="684"/>
      <c r="KG72" s="684"/>
      <c r="KH72" s="684"/>
      <c r="KI72" s="684"/>
      <c r="KJ72" s="684"/>
      <c r="KK72" s="684"/>
      <c r="KL72" s="684"/>
      <c r="KM72" s="684"/>
      <c r="KN72" s="684"/>
      <c r="KO72" s="684"/>
      <c r="KP72" s="684"/>
      <c r="KQ72" s="684"/>
      <c r="KR72" s="684"/>
      <c r="KS72" s="684"/>
      <c r="KT72" s="684"/>
      <c r="KU72" s="684"/>
      <c r="KV72" s="684"/>
      <c r="KW72" s="684"/>
      <c r="KX72" s="684"/>
      <c r="KY72" s="684"/>
      <c r="KZ72" s="684"/>
      <c r="LA72" s="684"/>
      <c r="LB72" s="684"/>
      <c r="LC72" s="684"/>
      <c r="LD72" s="684"/>
      <c r="LE72" s="684"/>
      <c r="LF72" s="684"/>
      <c r="LG72" s="684"/>
      <c r="LH72" s="684"/>
      <c r="LI72" s="684"/>
      <c r="LJ72" s="684"/>
      <c r="LK72" s="684"/>
      <c r="LL72" s="684"/>
      <c r="LM72" s="684"/>
      <c r="LN72" s="684"/>
      <c r="LO72" s="684"/>
      <c r="LP72" s="684"/>
      <c r="LQ72" s="684"/>
      <c r="LR72" s="684"/>
      <c r="LS72" s="684"/>
      <c r="LT72" s="684"/>
      <c r="LU72" s="684"/>
      <c r="LV72" s="684"/>
      <c r="LW72" s="684"/>
      <c r="LX72" s="684"/>
      <c r="LY72" s="684"/>
      <c r="LZ72" s="684"/>
      <c r="MA72" s="684"/>
      <c r="MB72" s="684"/>
      <c r="MC72" s="684"/>
      <c r="MD72" s="684"/>
      <c r="ME72" s="684"/>
      <c r="MF72" s="684"/>
      <c r="MG72" s="684"/>
      <c r="MH72" s="684"/>
      <c r="MI72" s="684"/>
      <c r="MJ72" s="684"/>
      <c r="MK72" s="684"/>
      <c r="ML72" s="684"/>
      <c r="MM72" s="684"/>
      <c r="MN72" s="684"/>
      <c r="MO72" s="684"/>
      <c r="MP72" s="684"/>
      <c r="MQ72" s="684"/>
      <c r="MR72" s="684"/>
      <c r="MS72" s="684"/>
      <c r="MT72" s="684"/>
      <c r="MU72" s="684"/>
      <c r="MV72" s="684"/>
      <c r="MW72" s="684"/>
      <c r="MX72" s="684"/>
      <c r="MY72" s="684"/>
      <c r="MZ72" s="684"/>
      <c r="NA72" s="684"/>
      <c r="NB72" s="684"/>
      <c r="NC72" s="684"/>
      <c r="ND72" s="684"/>
      <c r="NE72" s="684"/>
      <c r="NF72" s="684"/>
      <c r="NG72" s="684"/>
      <c r="NH72" s="684"/>
      <c r="NI72" s="684"/>
      <c r="NJ72" s="684"/>
      <c r="NK72" s="684"/>
      <c r="NL72" s="684"/>
      <c r="NM72" s="684"/>
      <c r="NN72" s="684"/>
      <c r="NO72" s="684"/>
      <c r="NP72" s="684"/>
      <c r="NQ72" s="684"/>
      <c r="NR72" s="684"/>
      <c r="NS72" s="684"/>
      <c r="NT72" s="684"/>
      <c r="NU72" s="684"/>
      <c r="NV72" s="684"/>
      <c r="NW72" s="684"/>
      <c r="NX72" s="684"/>
      <c r="NY72" s="684"/>
      <c r="NZ72" s="684"/>
      <c r="OA72" s="684"/>
      <c r="OB72" s="684"/>
      <c r="OC72" s="684"/>
      <c r="OD72" s="684"/>
      <c r="OE72" s="684"/>
      <c r="OF72" s="684"/>
      <c r="OG72" s="684"/>
      <c r="OH72" s="684"/>
      <c r="OI72" s="684"/>
      <c r="OJ72" s="684"/>
      <c r="OK72" s="684"/>
      <c r="OL72" s="684"/>
      <c r="OM72" s="684"/>
      <c r="ON72" s="684"/>
      <c r="OO72" s="684"/>
      <c r="OP72" s="684"/>
      <c r="OQ72" s="684"/>
      <c r="OR72" s="684"/>
      <c r="OS72" s="684"/>
      <c r="OT72" s="684"/>
      <c r="OU72" s="684"/>
      <c r="OV72" s="684"/>
      <c r="OW72" s="684"/>
      <c r="OX72" s="684"/>
      <c r="OY72" s="684"/>
      <c r="OZ72" s="684"/>
      <c r="PA72" s="684"/>
      <c r="PB72" s="684"/>
      <c r="PC72" s="684"/>
      <c r="PD72" s="684"/>
      <c r="PE72" s="684"/>
      <c r="PF72" s="684"/>
      <c r="PG72" s="684"/>
      <c r="PH72" s="684"/>
      <c r="PI72" s="684"/>
      <c r="PJ72" s="684"/>
      <c r="PK72" s="684"/>
      <c r="PL72" s="684"/>
      <c r="PM72" s="684"/>
      <c r="PN72" s="684"/>
      <c r="PO72" s="684"/>
      <c r="PP72" s="684"/>
      <c r="PQ72" s="684"/>
      <c r="PR72" s="684"/>
      <c r="PS72" s="684"/>
      <c r="PT72" s="684"/>
      <c r="PU72" s="684"/>
      <c r="PV72" s="684"/>
      <c r="PW72" s="684"/>
      <c r="PX72" s="684"/>
      <c r="PY72" s="684"/>
      <c r="PZ72" s="684"/>
      <c r="QA72" s="684"/>
      <c r="QB72" s="684"/>
      <c r="QC72" s="684"/>
      <c r="QD72" s="684"/>
      <c r="QE72" s="684"/>
      <c r="QF72" s="684"/>
      <c r="QG72" s="684"/>
      <c r="QH72" s="684"/>
      <c r="QI72" s="684"/>
      <c r="QJ72" s="684"/>
      <c r="QK72" s="684"/>
      <c r="QL72" s="684"/>
      <c r="QM72" s="684"/>
      <c r="QN72" s="684"/>
      <c r="QO72" s="684"/>
      <c r="QP72" s="684"/>
      <c r="QQ72" s="684"/>
      <c r="QR72" s="684"/>
      <c r="QS72" s="684"/>
      <c r="QT72" s="684"/>
      <c r="QU72" s="684"/>
      <c r="QV72" s="684"/>
      <c r="QW72" s="684"/>
      <c r="QX72" s="684"/>
      <c r="QY72" s="684"/>
      <c r="QZ72" s="684"/>
      <c r="RA72" s="684"/>
      <c r="RB72" s="684"/>
      <c r="RC72" s="684"/>
      <c r="RD72" s="684"/>
      <c r="RE72" s="684"/>
      <c r="RF72" s="684"/>
      <c r="RG72" s="684"/>
      <c r="RH72" s="684"/>
      <c r="RI72" s="684"/>
      <c r="RJ72" s="684"/>
      <c r="RK72" s="684"/>
      <c r="RL72" s="684"/>
      <c r="RM72" s="684"/>
      <c r="RN72" s="684"/>
      <c r="RO72" s="684"/>
      <c r="RP72" s="684"/>
      <c r="RQ72" s="684"/>
      <c r="RR72" s="684"/>
      <c r="RS72" s="684"/>
      <c r="RT72" s="684"/>
      <c r="RU72" s="684"/>
      <c r="RV72" s="684"/>
      <c r="RW72" s="684"/>
      <c r="RX72" s="684"/>
      <c r="RY72" s="684"/>
      <c r="RZ72" s="684"/>
      <c r="SA72" s="684"/>
      <c r="SB72" s="684"/>
      <c r="SC72" s="684"/>
      <c r="SD72" s="684"/>
      <c r="SE72" s="684"/>
      <c r="SF72" s="684"/>
      <c r="SG72" s="684"/>
      <c r="SH72" s="684"/>
      <c r="SI72" s="684"/>
      <c r="SJ72" s="684"/>
      <c r="SK72" s="684"/>
      <c r="SL72" s="684"/>
      <c r="SM72" s="684"/>
      <c r="SN72" s="684"/>
      <c r="SO72" s="684"/>
      <c r="SP72" s="684"/>
      <c r="SQ72" s="684"/>
      <c r="SR72" s="684"/>
      <c r="SS72" s="684"/>
      <c r="ST72" s="684"/>
      <c r="SU72" s="684"/>
      <c r="SV72" s="684"/>
      <c r="SW72" s="684"/>
      <c r="SX72" s="684"/>
      <c r="SY72" s="684"/>
      <c r="SZ72" s="684"/>
      <c r="TA72" s="684"/>
      <c r="TB72" s="684"/>
      <c r="TC72" s="684"/>
      <c r="TD72" s="684"/>
      <c r="TE72" s="684"/>
      <c r="TF72" s="684"/>
      <c r="TG72" s="684"/>
      <c r="TH72" s="684"/>
      <c r="TI72" s="684"/>
      <c r="TJ72" s="684"/>
      <c r="TK72" s="684"/>
      <c r="TL72" s="684"/>
      <c r="TM72" s="684"/>
      <c r="TN72" s="684"/>
      <c r="TO72" s="684"/>
      <c r="TP72" s="684"/>
      <c r="TQ72" s="684"/>
      <c r="TR72" s="684"/>
      <c r="TS72" s="684"/>
      <c r="TT72" s="684"/>
      <c r="TU72" s="684"/>
      <c r="TV72" s="684"/>
      <c r="TW72" s="684"/>
      <c r="TX72" s="684"/>
      <c r="TY72" s="684"/>
      <c r="TZ72" s="684"/>
      <c r="UA72" s="684"/>
      <c r="UB72" s="684"/>
      <c r="UC72" s="684"/>
      <c r="UD72" s="684"/>
      <c r="UE72" s="684"/>
      <c r="UF72" s="684"/>
      <c r="UG72" s="684"/>
      <c r="UH72" s="684"/>
      <c r="UI72" s="684"/>
      <c r="UJ72" s="684"/>
      <c r="UK72" s="684"/>
      <c r="UL72" s="684"/>
      <c r="UM72" s="684"/>
      <c r="UN72" s="684"/>
      <c r="UO72" s="684"/>
      <c r="UP72" s="684"/>
      <c r="UQ72" s="684"/>
      <c r="UR72" s="684"/>
      <c r="US72" s="684"/>
      <c r="UT72" s="684"/>
      <c r="UU72" s="684"/>
      <c r="UV72" s="684"/>
      <c r="UW72" s="684"/>
      <c r="UX72" s="684"/>
      <c r="UY72" s="684"/>
      <c r="UZ72" s="684"/>
      <c r="VA72" s="684"/>
      <c r="VB72" s="684"/>
      <c r="VC72" s="684"/>
      <c r="VD72" s="684"/>
      <c r="VE72" s="684"/>
      <c r="VF72" s="684"/>
      <c r="VG72" s="684"/>
      <c r="VH72" s="684"/>
      <c r="VI72" s="684"/>
      <c r="VJ72" s="684"/>
      <c r="VK72" s="684"/>
      <c r="VL72" s="684"/>
      <c r="VM72" s="684"/>
      <c r="VN72" s="684"/>
      <c r="VO72" s="684"/>
      <c r="VP72" s="684"/>
      <c r="VQ72" s="684"/>
      <c r="VR72" s="684"/>
      <c r="VS72" s="684"/>
      <c r="VT72" s="684"/>
      <c r="VU72" s="684"/>
      <c r="VV72" s="684"/>
      <c r="VW72" s="684"/>
      <c r="VX72" s="684"/>
      <c r="VY72" s="684"/>
      <c r="VZ72" s="684"/>
      <c r="WA72" s="684"/>
      <c r="WB72" s="684"/>
      <c r="WC72" s="684"/>
      <c r="WD72" s="684"/>
      <c r="WE72" s="684"/>
      <c r="WF72" s="684"/>
      <c r="WG72" s="684"/>
      <c r="WH72" s="684"/>
      <c r="WI72" s="684"/>
      <c r="WJ72" s="684"/>
      <c r="WK72" s="684"/>
      <c r="WL72" s="684"/>
      <c r="WM72" s="684"/>
      <c r="WN72" s="684"/>
      <c r="WO72" s="684"/>
      <c r="WP72" s="684"/>
      <c r="WQ72" s="684"/>
      <c r="WR72" s="684"/>
      <c r="WS72" s="684"/>
      <c r="WT72" s="684"/>
      <c r="WU72" s="684"/>
      <c r="WV72" s="684"/>
      <c r="WW72" s="684"/>
      <c r="WX72" s="684"/>
      <c r="WY72" s="684"/>
      <c r="WZ72" s="684"/>
      <c r="XA72" s="684"/>
      <c r="XB72" s="684"/>
      <c r="XC72" s="684"/>
      <c r="XD72" s="684"/>
      <c r="XE72" s="684"/>
      <c r="XF72" s="684"/>
      <c r="XG72" s="684"/>
      <c r="XH72" s="684"/>
      <c r="XI72" s="684"/>
      <c r="XJ72" s="684"/>
      <c r="XK72" s="684"/>
      <c r="XL72" s="684"/>
      <c r="XM72" s="684"/>
      <c r="XN72" s="684"/>
      <c r="XO72" s="684"/>
      <c r="XP72" s="684"/>
      <c r="XQ72" s="684"/>
      <c r="XR72" s="684"/>
      <c r="XS72" s="684"/>
      <c r="XT72" s="684"/>
      <c r="XU72" s="684"/>
      <c r="XV72" s="684"/>
      <c r="XW72" s="684"/>
      <c r="XX72" s="684"/>
      <c r="XY72" s="684"/>
      <c r="XZ72" s="684"/>
      <c r="YA72" s="684"/>
      <c r="YB72" s="684"/>
      <c r="YC72" s="684"/>
      <c r="YD72" s="684"/>
      <c r="YE72" s="684"/>
      <c r="YF72" s="684"/>
      <c r="YG72" s="684"/>
      <c r="YH72" s="684"/>
      <c r="YI72" s="684"/>
      <c r="YJ72" s="684"/>
      <c r="YK72" s="684"/>
      <c r="YL72" s="684"/>
      <c r="YM72" s="684"/>
      <c r="YN72" s="684"/>
      <c r="YO72" s="684"/>
      <c r="YP72" s="684"/>
      <c r="YQ72" s="684"/>
      <c r="YR72" s="684"/>
      <c r="YS72" s="684"/>
      <c r="YT72" s="684"/>
      <c r="YU72" s="684"/>
      <c r="YV72" s="684"/>
      <c r="YW72" s="684"/>
      <c r="YX72" s="684"/>
      <c r="YY72" s="684"/>
      <c r="YZ72" s="684"/>
      <c r="ZA72" s="684"/>
      <c r="ZB72" s="684"/>
      <c r="ZC72" s="684"/>
      <c r="ZD72" s="684"/>
      <c r="ZE72" s="684"/>
      <c r="ZF72" s="684"/>
      <c r="ZG72" s="684"/>
      <c r="ZH72" s="684"/>
      <c r="ZI72" s="684"/>
      <c r="ZJ72" s="684"/>
      <c r="ZK72" s="684"/>
      <c r="ZL72" s="684"/>
      <c r="ZM72" s="684"/>
      <c r="ZN72" s="684"/>
      <c r="ZO72" s="684"/>
      <c r="ZP72" s="684"/>
      <c r="ZQ72" s="684"/>
      <c r="ZR72" s="684"/>
      <c r="ZS72" s="684"/>
      <c r="ZT72" s="684"/>
      <c r="ZU72" s="684"/>
      <c r="ZV72" s="684"/>
      <c r="ZW72" s="684"/>
      <c r="ZX72" s="684"/>
      <c r="ZY72" s="684"/>
      <c r="ZZ72" s="684"/>
      <c r="AAA72" s="684"/>
      <c r="AAB72" s="684"/>
      <c r="AAC72" s="684"/>
      <c r="AAD72" s="684"/>
      <c r="AAE72" s="684"/>
      <c r="AAF72" s="684"/>
      <c r="AAG72" s="684"/>
      <c r="AAH72" s="684"/>
      <c r="AAI72" s="684"/>
      <c r="AAJ72" s="684"/>
      <c r="AAK72" s="684"/>
      <c r="AAL72" s="684"/>
      <c r="AAM72" s="684"/>
      <c r="AAN72" s="684"/>
      <c r="AAO72" s="684"/>
      <c r="AAP72" s="684"/>
      <c r="AAQ72" s="684"/>
      <c r="AAR72" s="684"/>
      <c r="AAS72" s="684"/>
      <c r="AAT72" s="684"/>
      <c r="AAU72" s="684"/>
      <c r="AAV72" s="684"/>
      <c r="AAW72" s="684"/>
      <c r="AAX72" s="684"/>
      <c r="AAY72" s="684"/>
      <c r="AAZ72" s="684"/>
      <c r="ABA72" s="684"/>
      <c r="ABB72" s="684"/>
      <c r="ABC72" s="684"/>
      <c r="ABD72" s="684"/>
      <c r="ABE72" s="684"/>
      <c r="ABF72" s="684"/>
      <c r="ABG72" s="684"/>
      <c r="ABH72" s="684"/>
      <c r="ABI72" s="684"/>
      <c r="ABJ72" s="684"/>
      <c r="ABK72" s="684"/>
      <c r="ABL72" s="684"/>
      <c r="ABM72" s="684"/>
      <c r="ABN72" s="684"/>
      <c r="ABO72" s="684"/>
      <c r="ABP72" s="684"/>
      <c r="ABQ72" s="684"/>
      <c r="ABR72" s="684"/>
      <c r="ABS72" s="684"/>
      <c r="ABT72" s="684"/>
      <c r="ABU72" s="684"/>
      <c r="ABV72" s="684"/>
      <c r="ABW72" s="684"/>
      <c r="ABX72" s="684"/>
      <c r="ABY72" s="684"/>
      <c r="ABZ72" s="684"/>
      <c r="ACA72" s="684"/>
      <c r="ACB72" s="684"/>
      <c r="ACC72" s="684"/>
      <c r="ACD72" s="684"/>
      <c r="ACE72" s="684"/>
      <c r="ACF72" s="684"/>
      <c r="ACG72" s="684"/>
      <c r="ACH72" s="684"/>
      <c r="ACI72" s="684"/>
      <c r="ACJ72" s="684"/>
      <c r="ACK72" s="684"/>
      <c r="ACL72" s="684"/>
      <c r="ACM72" s="684"/>
      <c r="ACN72" s="684"/>
      <c r="ACO72" s="684"/>
      <c r="ACP72" s="684"/>
      <c r="ACQ72" s="684"/>
      <c r="ACR72" s="684"/>
      <c r="ACS72" s="684"/>
      <c r="ACT72" s="684"/>
      <c r="ACU72" s="684"/>
      <c r="ACV72" s="684"/>
      <c r="ACW72" s="684"/>
      <c r="ACX72" s="684"/>
      <c r="ACY72" s="684"/>
      <c r="ACZ72" s="684"/>
      <c r="ADA72" s="684"/>
      <c r="ADB72" s="684"/>
      <c r="ADC72" s="684"/>
      <c r="ADD72" s="684"/>
      <c r="ADE72" s="684"/>
      <c r="ADF72" s="684"/>
      <c r="ADG72" s="684"/>
      <c r="ADH72" s="684"/>
      <c r="ADI72" s="684"/>
      <c r="ADJ72" s="684"/>
      <c r="ADK72" s="684"/>
      <c r="ADL72" s="684"/>
      <c r="ADM72" s="684"/>
      <c r="ADN72" s="684"/>
      <c r="ADO72" s="684"/>
      <c r="ADP72" s="684"/>
      <c r="ADQ72" s="684"/>
      <c r="ADR72" s="684"/>
      <c r="ADS72" s="684"/>
      <c r="ADT72" s="684"/>
      <c r="ADU72" s="684"/>
      <c r="ADV72" s="684"/>
      <c r="ADW72" s="684"/>
      <c r="ADX72" s="684"/>
      <c r="ADY72" s="684"/>
      <c r="ADZ72" s="684"/>
      <c r="AEA72" s="684"/>
      <c r="AEB72" s="684"/>
      <c r="AEC72" s="684"/>
      <c r="AED72" s="684"/>
      <c r="AEE72" s="684"/>
      <c r="AEF72" s="684"/>
      <c r="AEG72" s="684"/>
      <c r="AEH72" s="684"/>
      <c r="AEI72" s="684"/>
      <c r="AEJ72" s="684"/>
      <c r="AEK72" s="684"/>
      <c r="AEL72" s="684"/>
      <c r="AEM72" s="684"/>
      <c r="AEN72" s="684"/>
      <c r="AEO72" s="684"/>
      <c r="AEP72" s="684"/>
      <c r="AEQ72" s="684"/>
      <c r="AER72" s="684"/>
      <c r="AES72" s="684"/>
      <c r="AET72" s="684"/>
      <c r="AEU72" s="684"/>
      <c r="AEV72" s="684"/>
      <c r="AEW72" s="684"/>
      <c r="AEX72" s="684"/>
      <c r="AEY72" s="684"/>
      <c r="AEZ72" s="684"/>
      <c r="AFA72" s="684"/>
      <c r="AFB72" s="684"/>
      <c r="AFC72" s="684"/>
      <c r="AFD72" s="684"/>
      <c r="AFE72" s="684"/>
      <c r="AFF72" s="684"/>
      <c r="AFG72" s="684"/>
      <c r="AFH72" s="684"/>
      <c r="AFI72" s="684"/>
      <c r="AFJ72" s="684"/>
      <c r="AFK72" s="684"/>
      <c r="AFL72" s="684"/>
      <c r="AFM72" s="684"/>
      <c r="AFN72" s="684"/>
      <c r="AFO72" s="684"/>
      <c r="AFP72" s="684"/>
      <c r="AFQ72" s="684"/>
      <c r="AFR72" s="684"/>
      <c r="AFS72" s="684"/>
      <c r="AFT72" s="684"/>
      <c r="AFU72" s="684"/>
      <c r="AFV72" s="684"/>
      <c r="AFW72" s="684"/>
      <c r="AFX72" s="684"/>
      <c r="AFY72" s="684"/>
      <c r="AFZ72" s="684"/>
      <c r="AGA72" s="684"/>
      <c r="AGB72" s="684"/>
      <c r="AGC72" s="684"/>
      <c r="AGD72" s="684"/>
      <c r="AGE72" s="684"/>
      <c r="AGF72" s="684"/>
      <c r="AGG72" s="684"/>
      <c r="AGH72" s="684"/>
      <c r="AGI72" s="684"/>
      <c r="AGJ72" s="684"/>
      <c r="AGK72" s="684"/>
      <c r="AGL72" s="684"/>
      <c r="AGM72" s="684"/>
      <c r="AGN72" s="684"/>
      <c r="AGO72" s="684"/>
      <c r="AGP72" s="684"/>
      <c r="AGQ72" s="684"/>
      <c r="AGR72" s="684"/>
      <c r="AGS72" s="684"/>
      <c r="AGT72" s="684"/>
      <c r="AGU72" s="684"/>
      <c r="AGV72" s="684"/>
      <c r="AGW72" s="684"/>
      <c r="AGX72" s="684"/>
      <c r="AGY72" s="684"/>
      <c r="AGZ72" s="684"/>
      <c r="AHA72" s="684"/>
      <c r="AHB72" s="684"/>
      <c r="AHC72" s="684"/>
      <c r="AHD72" s="684"/>
      <c r="AHE72" s="684"/>
      <c r="AHF72" s="684"/>
      <c r="AHG72" s="684"/>
      <c r="AHH72" s="684"/>
      <c r="AHI72" s="684"/>
      <c r="AHJ72" s="684"/>
      <c r="AHK72" s="684"/>
      <c r="AHL72" s="684"/>
      <c r="AHM72" s="684"/>
      <c r="AHN72" s="684"/>
      <c r="AHO72" s="684"/>
      <c r="AHP72" s="684"/>
      <c r="AHQ72" s="684"/>
      <c r="AHR72" s="684"/>
      <c r="AHS72" s="684"/>
      <c r="AHT72" s="684"/>
      <c r="AHU72" s="684"/>
      <c r="AHV72" s="684"/>
      <c r="AHW72" s="684"/>
      <c r="AHX72" s="684"/>
      <c r="AHY72" s="684"/>
      <c r="AHZ72" s="684"/>
      <c r="AIA72" s="684"/>
      <c r="AIB72" s="684"/>
      <c r="AIC72" s="684"/>
      <c r="AID72" s="684"/>
      <c r="AIE72" s="684"/>
      <c r="AIF72" s="684"/>
      <c r="AIG72" s="684"/>
      <c r="AIH72" s="684"/>
      <c r="AII72" s="684"/>
      <c r="AIJ72" s="684"/>
      <c r="AIK72" s="684"/>
      <c r="AIL72" s="684"/>
      <c r="AIM72" s="684"/>
      <c r="AIN72" s="684"/>
      <c r="AIO72" s="684"/>
      <c r="AIP72" s="684"/>
      <c r="AIQ72" s="684"/>
      <c r="AIR72" s="684"/>
      <c r="AIS72" s="684"/>
      <c r="AIT72" s="684"/>
      <c r="AIU72" s="684"/>
      <c r="AIV72" s="684"/>
      <c r="AIW72" s="684"/>
      <c r="AIX72" s="684"/>
      <c r="AIY72" s="684"/>
      <c r="AIZ72" s="684"/>
      <c r="AJA72" s="684"/>
      <c r="AJB72" s="684"/>
      <c r="AJC72" s="684"/>
      <c r="AJD72" s="684"/>
      <c r="AJE72" s="684"/>
      <c r="AJF72" s="684"/>
      <c r="AJG72" s="684"/>
      <c r="AJH72" s="684"/>
      <c r="AJI72" s="684"/>
      <c r="AJJ72" s="684"/>
      <c r="AJK72" s="684"/>
      <c r="AJL72" s="684"/>
      <c r="AJM72" s="684"/>
      <c r="AJN72" s="684"/>
      <c r="AJO72" s="684"/>
      <c r="AJP72" s="684"/>
      <c r="AJQ72" s="684"/>
      <c r="AJR72" s="684"/>
      <c r="AJS72" s="684"/>
      <c r="AJT72" s="684"/>
      <c r="AJU72" s="684"/>
      <c r="AJV72" s="684"/>
      <c r="AJW72" s="684"/>
      <c r="AJX72" s="684"/>
      <c r="AJY72" s="684"/>
      <c r="AJZ72" s="684"/>
      <c r="AKA72" s="684"/>
      <c r="AKB72" s="684"/>
      <c r="AKC72" s="684"/>
      <c r="AKD72" s="684"/>
      <c r="AKE72" s="684"/>
      <c r="AKF72" s="684"/>
      <c r="AKG72" s="684"/>
      <c r="AKH72" s="684"/>
      <c r="AKI72" s="684"/>
      <c r="AKJ72" s="684"/>
      <c r="AKK72" s="684"/>
      <c r="AKL72" s="684"/>
      <c r="AKM72" s="684"/>
      <c r="AKN72" s="684"/>
      <c r="AKO72" s="684"/>
      <c r="AKP72" s="684"/>
      <c r="AKQ72" s="684"/>
      <c r="AKR72" s="684"/>
      <c r="AKS72" s="684"/>
      <c r="AKT72" s="684"/>
      <c r="AKU72" s="684"/>
      <c r="AKV72" s="684"/>
      <c r="AKW72" s="684"/>
      <c r="AKX72" s="684"/>
      <c r="AKY72" s="684"/>
      <c r="AKZ72" s="684"/>
      <c r="ALA72" s="684"/>
      <c r="ALB72" s="684"/>
      <c r="ALC72" s="684"/>
      <c r="ALD72" s="684"/>
      <c r="ALE72" s="684"/>
      <c r="ALF72" s="684"/>
      <c r="ALG72" s="684"/>
      <c r="ALH72" s="684"/>
      <c r="ALI72" s="684"/>
      <c r="ALJ72" s="684"/>
      <c r="ALK72" s="684"/>
      <c r="ALL72" s="684"/>
      <c r="ALM72" s="684"/>
      <c r="ALN72" s="684"/>
      <c r="ALO72" s="684"/>
      <c r="ALP72" s="684"/>
      <c r="ALQ72" s="684"/>
      <c r="ALR72" s="684"/>
      <c r="ALS72" s="684"/>
      <c r="ALT72" s="684"/>
      <c r="ALU72" s="684"/>
      <c r="ALV72" s="684"/>
      <c r="ALW72" s="684"/>
      <c r="ALX72" s="684"/>
      <c r="ALY72" s="684"/>
      <c r="ALZ72" s="684"/>
      <c r="AMA72" s="684"/>
      <c r="AMB72" s="684"/>
      <c r="AMC72" s="684"/>
      <c r="AMD72" s="684"/>
      <c r="AME72" s="684"/>
      <c r="AMF72" s="684"/>
      <c r="AMG72" s="684"/>
      <c r="AMH72" s="684"/>
      <c r="AMI72" s="684"/>
      <c r="AMJ72" s="684"/>
      <c r="AMK72" s="684"/>
      <c r="AML72" s="684"/>
      <c r="AMM72" s="684"/>
      <c r="AMN72" s="684"/>
      <c r="AMO72" s="684"/>
      <c r="AMP72" s="684"/>
      <c r="AMQ72" s="684"/>
      <c r="AMR72" s="684"/>
      <c r="AMS72" s="684"/>
      <c r="AMT72" s="684"/>
      <c r="AMU72" s="684"/>
      <c r="AMV72" s="684"/>
      <c r="AMW72" s="684"/>
      <c r="AMX72" s="684"/>
      <c r="AMY72" s="684"/>
      <c r="AMZ72" s="684"/>
      <c r="ANA72" s="684"/>
      <c r="ANB72" s="684"/>
      <c r="ANC72" s="684"/>
      <c r="AND72" s="684"/>
      <c r="ANE72" s="684"/>
      <c r="ANF72" s="684"/>
      <c r="ANG72" s="684"/>
      <c r="ANH72" s="684"/>
      <c r="ANI72" s="684"/>
      <c r="ANJ72" s="684"/>
      <c r="ANK72" s="684"/>
      <c r="ANL72" s="684"/>
      <c r="ANM72" s="684"/>
      <c r="ANN72" s="684"/>
      <c r="ANO72" s="684"/>
      <c r="ANP72" s="684"/>
      <c r="ANQ72" s="684"/>
      <c r="ANR72" s="684"/>
      <c r="ANS72" s="684"/>
      <c r="ANT72" s="684"/>
      <c r="ANU72" s="684"/>
      <c r="ANV72" s="684"/>
      <c r="ANW72" s="684"/>
      <c r="ANX72" s="684"/>
      <c r="ANY72" s="684"/>
      <c r="ANZ72" s="684"/>
      <c r="AOA72" s="684"/>
      <c r="AOB72" s="684"/>
      <c r="AOC72" s="684"/>
      <c r="AOD72" s="684"/>
      <c r="AOE72" s="684"/>
      <c r="AOF72" s="684"/>
      <c r="AOG72" s="684"/>
      <c r="AOH72" s="684"/>
      <c r="AOI72" s="684"/>
      <c r="AOJ72" s="684"/>
      <c r="AOK72" s="684"/>
      <c r="AOL72" s="684"/>
      <c r="AOM72" s="684"/>
      <c r="AON72" s="684"/>
      <c r="AOO72" s="684"/>
      <c r="AOP72" s="684"/>
      <c r="AOQ72" s="684"/>
      <c r="AOR72" s="684"/>
      <c r="AOS72" s="684"/>
      <c r="AOT72" s="684"/>
      <c r="AOU72" s="684"/>
      <c r="AOV72" s="684"/>
      <c r="AOW72" s="684"/>
      <c r="AOX72" s="684"/>
      <c r="AOY72" s="684"/>
      <c r="AOZ72" s="684"/>
      <c r="APA72" s="684"/>
      <c r="APB72" s="684"/>
      <c r="APC72" s="684"/>
      <c r="APD72" s="684"/>
      <c r="APE72" s="684"/>
      <c r="APF72" s="684"/>
      <c r="APG72" s="684"/>
      <c r="APH72" s="684"/>
      <c r="API72" s="684"/>
      <c r="APJ72" s="684"/>
      <c r="APK72" s="684"/>
      <c r="APL72" s="684"/>
      <c r="APM72" s="684"/>
      <c r="APN72" s="684"/>
      <c r="APO72" s="684"/>
      <c r="APP72" s="684"/>
      <c r="APQ72" s="684"/>
      <c r="APR72" s="684"/>
      <c r="APS72" s="684"/>
      <c r="APT72" s="684"/>
      <c r="APU72" s="684"/>
      <c r="APV72" s="684"/>
      <c r="APW72" s="684"/>
      <c r="APX72" s="684"/>
      <c r="APY72" s="684"/>
      <c r="APZ72" s="684"/>
      <c r="AQA72" s="684"/>
      <c r="AQB72" s="684"/>
      <c r="AQC72" s="684"/>
      <c r="AQD72" s="684"/>
      <c r="AQE72" s="684"/>
      <c r="AQF72" s="684"/>
      <c r="AQG72" s="684"/>
      <c r="AQH72" s="684"/>
      <c r="AQI72" s="684"/>
      <c r="AQJ72" s="684"/>
      <c r="AQK72" s="684"/>
      <c r="AQL72" s="684"/>
      <c r="AQM72" s="684"/>
      <c r="AQN72" s="684"/>
      <c r="AQO72" s="684"/>
      <c r="AQP72" s="684"/>
      <c r="AQQ72" s="684"/>
      <c r="AQR72" s="684"/>
      <c r="AQS72" s="684"/>
      <c r="AQT72" s="684"/>
      <c r="AQU72" s="684"/>
      <c r="AQV72" s="684"/>
      <c r="AQW72" s="684"/>
      <c r="AQX72" s="684"/>
      <c r="AQY72" s="684"/>
      <c r="AQZ72" s="684"/>
      <c r="ARA72" s="684"/>
      <c r="ARB72" s="684"/>
      <c r="ARC72" s="684"/>
      <c r="ARD72" s="684"/>
      <c r="ARE72" s="684"/>
      <c r="ARF72" s="684"/>
      <c r="ARG72" s="684"/>
      <c r="ARH72" s="684"/>
      <c r="ARI72" s="684"/>
      <c r="ARJ72" s="684"/>
      <c r="ARK72" s="684"/>
      <c r="ARL72" s="684"/>
      <c r="ARM72" s="684"/>
      <c r="ARN72" s="684"/>
      <c r="ARO72" s="684"/>
      <c r="ARP72" s="684"/>
      <c r="ARQ72" s="684"/>
      <c r="ARR72" s="684"/>
      <c r="ARS72" s="684"/>
      <c r="ART72" s="684"/>
      <c r="ARU72" s="684"/>
      <c r="ARV72" s="684"/>
      <c r="ARW72" s="684"/>
      <c r="ARX72" s="684"/>
      <c r="ARY72" s="684"/>
      <c r="ARZ72" s="684"/>
      <c r="ASA72" s="684"/>
      <c r="ASB72" s="684"/>
      <c r="ASC72" s="684"/>
      <c r="ASD72" s="684"/>
      <c r="ASE72" s="684"/>
      <c r="ASF72" s="684"/>
      <c r="ASG72" s="684"/>
      <c r="ASH72" s="684"/>
      <c r="ASI72" s="684"/>
      <c r="ASJ72" s="684"/>
      <c r="ASK72" s="684"/>
      <c r="ASL72" s="684"/>
      <c r="ASM72" s="684"/>
      <c r="ASN72" s="684"/>
      <c r="ASO72" s="684"/>
      <c r="ASP72" s="684"/>
      <c r="ASQ72" s="684"/>
      <c r="ASR72" s="684"/>
      <c r="ASS72" s="684"/>
      <c r="AST72" s="684"/>
      <c r="ASU72" s="684"/>
      <c r="ASV72" s="684"/>
      <c r="ASW72" s="684"/>
      <c r="ASX72" s="684"/>
      <c r="ASY72" s="684"/>
      <c r="ASZ72" s="684"/>
      <c r="ATA72" s="684"/>
      <c r="ATB72" s="684"/>
      <c r="ATC72" s="684"/>
      <c r="ATD72" s="684"/>
      <c r="ATE72" s="684"/>
      <c r="ATF72" s="684"/>
      <c r="ATG72" s="684"/>
      <c r="ATH72" s="684"/>
      <c r="ATI72" s="684"/>
      <c r="ATJ72" s="684"/>
      <c r="ATK72" s="684"/>
      <c r="ATL72" s="684"/>
      <c r="ATM72" s="684"/>
      <c r="ATN72" s="684"/>
      <c r="ATO72" s="684"/>
      <c r="ATP72" s="684"/>
      <c r="ATQ72" s="684"/>
      <c r="ATR72" s="684"/>
      <c r="ATS72" s="684"/>
      <c r="ATT72" s="684"/>
      <c r="ATU72" s="684"/>
      <c r="ATV72" s="684"/>
      <c r="ATW72" s="684"/>
      <c r="ATX72" s="684"/>
      <c r="ATY72" s="684"/>
      <c r="ATZ72" s="684"/>
      <c r="AUA72" s="684"/>
      <c r="AUB72" s="684"/>
      <c r="AUC72" s="684"/>
      <c r="AUD72" s="684"/>
      <c r="AUE72" s="684"/>
      <c r="AUF72" s="684"/>
      <c r="AUG72" s="684"/>
      <c r="AUH72" s="684"/>
      <c r="AUI72" s="684"/>
      <c r="AUJ72" s="684"/>
      <c r="AUK72" s="684"/>
      <c r="AUL72" s="684"/>
      <c r="AUM72" s="684"/>
      <c r="AUN72" s="684"/>
      <c r="AUO72" s="684"/>
      <c r="AUP72" s="684"/>
      <c r="AUQ72" s="684"/>
      <c r="AUR72" s="684"/>
      <c r="AUS72" s="684"/>
      <c r="AUT72" s="684"/>
      <c r="AUU72" s="684"/>
      <c r="AUV72" s="684"/>
      <c r="AUW72" s="684"/>
      <c r="AUX72" s="684"/>
      <c r="AUY72" s="684"/>
      <c r="AUZ72" s="684"/>
      <c r="AVA72" s="684"/>
      <c r="AVB72" s="684"/>
      <c r="AVC72" s="684"/>
      <c r="AVD72" s="684"/>
      <c r="AVE72" s="684"/>
      <c r="AVF72" s="684"/>
      <c r="AVG72" s="684"/>
      <c r="AVH72" s="684"/>
      <c r="AVI72" s="684"/>
      <c r="AVJ72" s="684"/>
      <c r="AVK72" s="684"/>
      <c r="AVL72" s="684"/>
      <c r="AVM72" s="684"/>
      <c r="AVN72" s="684"/>
      <c r="AVO72" s="684"/>
      <c r="AVP72" s="684"/>
      <c r="AVQ72" s="684"/>
      <c r="AVR72" s="684"/>
      <c r="AVS72" s="684"/>
      <c r="AVT72" s="684"/>
      <c r="AVU72" s="684"/>
      <c r="AVV72" s="684"/>
      <c r="AVW72" s="684"/>
      <c r="AVX72" s="684"/>
      <c r="AVY72" s="684"/>
      <c r="AVZ72" s="684"/>
      <c r="AWA72" s="684"/>
      <c r="AWB72" s="684"/>
      <c r="AWC72" s="684"/>
      <c r="AWD72" s="684"/>
      <c r="AWE72" s="684"/>
      <c r="AWF72" s="684"/>
      <c r="AWG72" s="684"/>
      <c r="AWH72" s="684"/>
      <c r="AWI72" s="684"/>
      <c r="AWJ72" s="684"/>
      <c r="AWK72" s="684"/>
      <c r="AWL72" s="684"/>
      <c r="AWM72" s="684"/>
      <c r="AWN72" s="684"/>
      <c r="AWO72" s="684"/>
      <c r="AWP72" s="684"/>
      <c r="AWQ72" s="684"/>
      <c r="AWR72" s="684"/>
      <c r="AWS72" s="684"/>
      <c r="AWT72" s="684"/>
      <c r="AWU72" s="684"/>
      <c r="AWV72" s="684"/>
      <c r="AWW72" s="684"/>
      <c r="AWX72" s="684"/>
      <c r="AWY72" s="684"/>
      <c r="AWZ72" s="684"/>
      <c r="AXA72" s="684"/>
      <c r="AXB72" s="684"/>
      <c r="AXC72" s="684"/>
      <c r="AXD72" s="684"/>
      <c r="AXE72" s="684"/>
      <c r="AXF72" s="684"/>
      <c r="AXG72" s="684"/>
      <c r="AXH72" s="684"/>
      <c r="AXI72" s="684"/>
      <c r="AXJ72" s="684"/>
      <c r="AXK72" s="684"/>
      <c r="AXL72" s="684"/>
      <c r="AXM72" s="684"/>
      <c r="AXN72" s="684"/>
      <c r="AXO72" s="684"/>
      <c r="AXP72" s="684"/>
      <c r="AXQ72" s="684"/>
      <c r="AXR72" s="684"/>
      <c r="AXS72" s="684"/>
      <c r="AXT72" s="684"/>
      <c r="AXU72" s="684"/>
      <c r="AXV72" s="684"/>
      <c r="AXW72" s="684"/>
      <c r="AXX72" s="684"/>
      <c r="AXY72" s="684"/>
      <c r="AXZ72" s="684"/>
      <c r="AYA72" s="684"/>
      <c r="AYB72" s="684"/>
      <c r="AYC72" s="684"/>
      <c r="AYD72" s="684"/>
      <c r="AYE72" s="684"/>
      <c r="AYF72" s="684"/>
      <c r="AYG72" s="684"/>
      <c r="AYH72" s="684"/>
      <c r="AYI72" s="684"/>
      <c r="AYJ72" s="684"/>
      <c r="AYK72" s="684"/>
      <c r="AYL72" s="684"/>
      <c r="AYM72" s="684"/>
      <c r="AYN72" s="684"/>
      <c r="AYO72" s="684"/>
      <c r="AYP72" s="684"/>
      <c r="AYQ72" s="684"/>
      <c r="AYR72" s="684"/>
      <c r="AYS72" s="684"/>
      <c r="AYT72" s="684"/>
      <c r="AYU72" s="684"/>
      <c r="AYV72" s="684"/>
      <c r="AYW72" s="684"/>
      <c r="AYX72" s="684"/>
      <c r="AYY72" s="684"/>
      <c r="AYZ72" s="684"/>
      <c r="AZA72" s="684"/>
      <c r="AZB72" s="684"/>
      <c r="AZC72" s="684"/>
      <c r="AZD72" s="684"/>
      <c r="AZE72" s="684"/>
      <c r="AZF72" s="684"/>
      <c r="AZG72" s="684"/>
      <c r="AZH72" s="684"/>
      <c r="AZI72" s="684"/>
      <c r="AZJ72" s="684"/>
      <c r="AZK72" s="684"/>
      <c r="AZL72" s="684"/>
      <c r="AZM72" s="684"/>
      <c r="AZN72" s="684"/>
      <c r="AZO72" s="684"/>
      <c r="AZP72" s="684"/>
      <c r="AZQ72" s="684"/>
      <c r="AZR72" s="684"/>
      <c r="AZS72" s="684"/>
      <c r="AZT72" s="684"/>
      <c r="AZU72" s="684"/>
      <c r="AZV72" s="684"/>
      <c r="AZW72" s="684"/>
      <c r="AZX72" s="684"/>
      <c r="AZY72" s="684"/>
      <c r="AZZ72" s="684"/>
      <c r="BAA72" s="684"/>
      <c r="BAB72" s="684"/>
      <c r="BAC72" s="684"/>
      <c r="BAD72" s="684"/>
      <c r="BAE72" s="684"/>
      <c r="BAF72" s="684"/>
      <c r="BAG72" s="684"/>
      <c r="BAH72" s="684"/>
      <c r="BAI72" s="684"/>
      <c r="BAJ72" s="684"/>
      <c r="BAK72" s="684"/>
      <c r="BAL72" s="684"/>
      <c r="BAM72" s="684"/>
      <c r="BAN72" s="684"/>
      <c r="BAO72" s="684"/>
      <c r="BAP72" s="684"/>
      <c r="BAQ72" s="684"/>
      <c r="BAR72" s="684"/>
      <c r="BAS72" s="684"/>
      <c r="BAT72" s="684"/>
      <c r="BAU72" s="684"/>
      <c r="BAV72" s="684"/>
      <c r="BAW72" s="684"/>
      <c r="BAX72" s="684"/>
      <c r="BAY72" s="684"/>
      <c r="BAZ72" s="684"/>
      <c r="BBA72" s="684"/>
      <c r="BBB72" s="684"/>
      <c r="BBC72" s="684"/>
      <c r="BBD72" s="684"/>
      <c r="BBE72" s="684"/>
      <c r="BBF72" s="684"/>
      <c r="BBG72" s="684"/>
      <c r="BBH72" s="684"/>
      <c r="BBI72" s="684"/>
      <c r="BBJ72" s="684"/>
      <c r="BBK72" s="684"/>
      <c r="BBL72" s="684"/>
      <c r="BBM72" s="684"/>
      <c r="BBN72" s="684"/>
      <c r="BBO72" s="684"/>
      <c r="BBP72" s="684"/>
      <c r="BBQ72" s="684"/>
      <c r="BBR72" s="684"/>
      <c r="BBS72" s="684"/>
      <c r="BBT72" s="684"/>
      <c r="BBU72" s="684"/>
      <c r="BBV72" s="684"/>
      <c r="BBW72" s="684"/>
      <c r="BBX72" s="684"/>
      <c r="BBY72" s="684"/>
      <c r="BBZ72" s="684"/>
      <c r="BCA72" s="684"/>
      <c r="BCB72" s="684"/>
      <c r="BCC72" s="684"/>
      <c r="BCD72" s="684"/>
      <c r="BCE72" s="684"/>
      <c r="BCF72" s="684"/>
      <c r="BCG72" s="684"/>
      <c r="BCH72" s="684"/>
      <c r="BCI72" s="684"/>
      <c r="BCJ72" s="684"/>
      <c r="BCK72" s="684"/>
      <c r="BCL72" s="684"/>
      <c r="BCM72" s="684"/>
      <c r="BCN72" s="684"/>
      <c r="BCO72" s="684"/>
      <c r="BCP72" s="684"/>
      <c r="BCQ72" s="684"/>
      <c r="BCR72" s="684"/>
      <c r="BCS72" s="684"/>
      <c r="BCT72" s="684"/>
      <c r="BCU72" s="684"/>
      <c r="BCV72" s="684"/>
      <c r="BCW72" s="684"/>
      <c r="BCX72" s="684"/>
      <c r="BCY72" s="684"/>
      <c r="BCZ72" s="684"/>
      <c r="BDA72" s="684"/>
      <c r="BDB72" s="684"/>
      <c r="BDC72" s="684"/>
      <c r="BDD72" s="684"/>
      <c r="BDE72" s="684"/>
      <c r="BDF72" s="684"/>
      <c r="BDG72" s="684"/>
      <c r="BDH72" s="684"/>
      <c r="BDI72" s="684"/>
      <c r="BDJ72" s="684"/>
      <c r="BDK72" s="684"/>
      <c r="BDL72" s="684"/>
      <c r="BDM72" s="684"/>
      <c r="BDN72" s="684"/>
      <c r="BDO72" s="684"/>
      <c r="BDP72" s="684"/>
      <c r="BDQ72" s="684"/>
      <c r="BDR72" s="684"/>
      <c r="BDS72" s="684"/>
      <c r="BDT72" s="684"/>
      <c r="BDU72" s="684"/>
      <c r="BDV72" s="684"/>
      <c r="BDW72" s="684"/>
      <c r="BDX72" s="684"/>
      <c r="BDY72" s="684"/>
      <c r="BDZ72" s="684"/>
      <c r="BEA72" s="684"/>
      <c r="BEB72" s="684"/>
      <c r="BEC72" s="684"/>
      <c r="BED72" s="684"/>
      <c r="BEE72" s="684"/>
      <c r="BEF72" s="684"/>
      <c r="BEG72" s="684"/>
      <c r="BEH72" s="684"/>
      <c r="BEI72" s="684"/>
      <c r="BEJ72" s="684"/>
      <c r="BEK72" s="684"/>
      <c r="BEL72" s="684"/>
      <c r="BEM72" s="684"/>
      <c r="BEN72" s="684"/>
      <c r="BEO72" s="684"/>
      <c r="BEP72" s="684"/>
      <c r="BEQ72" s="684"/>
      <c r="BER72" s="684"/>
      <c r="BES72" s="684"/>
      <c r="BET72" s="684"/>
      <c r="BEU72" s="684"/>
      <c r="BEV72" s="684"/>
      <c r="BEW72" s="684"/>
      <c r="BEX72" s="684"/>
      <c r="BEY72" s="684"/>
      <c r="BEZ72" s="684"/>
      <c r="BFA72" s="684"/>
      <c r="BFB72" s="684"/>
      <c r="BFC72" s="684"/>
      <c r="BFD72" s="684"/>
      <c r="BFE72" s="684"/>
      <c r="BFF72" s="684"/>
      <c r="BFG72" s="684"/>
      <c r="BFH72" s="684"/>
      <c r="BFI72" s="684"/>
      <c r="BFJ72" s="684"/>
      <c r="BFK72" s="684"/>
      <c r="BFL72" s="684"/>
      <c r="BFM72" s="684"/>
      <c r="BFN72" s="684"/>
      <c r="BFO72" s="684"/>
      <c r="BFP72" s="684"/>
      <c r="BFQ72" s="684"/>
      <c r="BFR72" s="684"/>
      <c r="BFS72" s="684"/>
      <c r="BFT72" s="684"/>
      <c r="BFU72" s="684"/>
      <c r="BFV72" s="684"/>
      <c r="BFW72" s="684"/>
      <c r="BFX72" s="684"/>
      <c r="BFY72" s="684"/>
      <c r="BFZ72" s="684"/>
      <c r="BGA72" s="684"/>
      <c r="BGB72" s="684"/>
      <c r="BGC72" s="684"/>
      <c r="BGD72" s="684"/>
      <c r="BGE72" s="684"/>
      <c r="BGF72" s="684"/>
      <c r="BGG72" s="684"/>
      <c r="BGH72" s="684"/>
      <c r="BGI72" s="684"/>
      <c r="BGJ72" s="684"/>
      <c r="BGK72" s="684"/>
      <c r="BGL72" s="684"/>
      <c r="BGM72" s="684"/>
      <c r="BGN72" s="684"/>
      <c r="BGO72" s="684"/>
      <c r="BGP72" s="684"/>
      <c r="BGQ72" s="684"/>
      <c r="BGR72" s="684"/>
      <c r="BGS72" s="684"/>
      <c r="BGT72" s="684"/>
      <c r="BGU72" s="684"/>
      <c r="BGV72" s="684"/>
      <c r="BGW72" s="684"/>
      <c r="BGX72" s="684"/>
      <c r="BGY72" s="684"/>
      <c r="BGZ72" s="684"/>
      <c r="BHA72" s="684"/>
      <c r="BHB72" s="684"/>
      <c r="BHC72" s="684"/>
      <c r="BHD72" s="684"/>
      <c r="BHE72" s="684"/>
      <c r="BHF72" s="684"/>
      <c r="BHG72" s="684"/>
      <c r="BHH72" s="684"/>
      <c r="BHI72" s="684"/>
      <c r="BHJ72" s="684"/>
      <c r="BHK72" s="684"/>
      <c r="BHL72" s="684"/>
      <c r="BHM72" s="684"/>
      <c r="BHN72" s="684"/>
      <c r="BHO72" s="684"/>
      <c r="BHP72" s="684"/>
      <c r="BHQ72" s="684"/>
      <c r="BHR72" s="684"/>
      <c r="BHS72" s="684"/>
      <c r="BHT72" s="684"/>
      <c r="BHU72" s="684"/>
      <c r="BHV72" s="684"/>
      <c r="BHW72" s="684"/>
      <c r="BHX72" s="684"/>
      <c r="BHY72" s="684"/>
      <c r="BHZ72" s="684"/>
      <c r="BIA72" s="684"/>
      <c r="BIB72" s="684"/>
      <c r="BIC72" s="684"/>
      <c r="BID72" s="684"/>
      <c r="BIE72" s="684"/>
      <c r="BIF72" s="684"/>
      <c r="BIG72" s="684"/>
      <c r="BIH72" s="684"/>
      <c r="BII72" s="684"/>
      <c r="BIJ72" s="684"/>
      <c r="BIK72" s="684"/>
      <c r="BIL72" s="684"/>
      <c r="BIM72" s="684"/>
      <c r="BIN72" s="684"/>
      <c r="BIO72" s="684"/>
      <c r="BIP72" s="684"/>
      <c r="BIQ72" s="684"/>
      <c r="BIR72" s="684"/>
      <c r="BIS72" s="684"/>
      <c r="BIT72" s="684"/>
      <c r="BIU72" s="684"/>
      <c r="BIV72" s="684"/>
      <c r="BIW72" s="684"/>
      <c r="BIX72" s="684"/>
      <c r="BIY72" s="684"/>
      <c r="BIZ72" s="684"/>
      <c r="BJA72" s="684"/>
      <c r="BJB72" s="684"/>
      <c r="BJC72" s="684"/>
      <c r="BJD72" s="684"/>
      <c r="BJE72" s="684"/>
      <c r="BJF72" s="684"/>
      <c r="BJG72" s="684"/>
      <c r="BJH72" s="684"/>
      <c r="BJI72" s="684"/>
      <c r="BJJ72" s="684"/>
      <c r="BJK72" s="684"/>
      <c r="BJL72" s="684"/>
      <c r="BJM72" s="684"/>
      <c r="BJN72" s="684"/>
      <c r="BJO72" s="684"/>
      <c r="BJP72" s="684"/>
      <c r="BJQ72" s="684"/>
      <c r="BJR72" s="684"/>
      <c r="BJS72" s="684"/>
      <c r="BJT72" s="684"/>
      <c r="BJU72" s="684"/>
      <c r="BJV72" s="684"/>
      <c r="BJW72" s="684"/>
      <c r="BJX72" s="684"/>
      <c r="BJY72" s="684"/>
      <c r="BJZ72" s="684"/>
      <c r="BKA72" s="684"/>
      <c r="BKB72" s="684"/>
      <c r="BKC72" s="684"/>
      <c r="BKD72" s="684"/>
      <c r="BKE72" s="684"/>
      <c r="BKF72" s="684"/>
      <c r="BKG72" s="684"/>
      <c r="BKH72" s="684"/>
      <c r="BKI72" s="684"/>
      <c r="BKJ72" s="684"/>
      <c r="BKK72" s="684"/>
      <c r="BKL72" s="684"/>
      <c r="BKM72" s="684"/>
      <c r="BKN72" s="684"/>
      <c r="BKO72" s="684"/>
      <c r="BKP72" s="684"/>
      <c r="BKQ72" s="684"/>
      <c r="BKR72" s="684"/>
      <c r="BKS72" s="684"/>
      <c r="BKT72" s="684"/>
      <c r="BKU72" s="684"/>
      <c r="BKV72" s="684"/>
      <c r="BKW72" s="684"/>
      <c r="BKX72" s="684"/>
      <c r="BKY72" s="684"/>
      <c r="BKZ72" s="684"/>
      <c r="BLA72" s="684"/>
      <c r="BLB72" s="684"/>
      <c r="BLC72" s="684"/>
      <c r="BLD72" s="684"/>
      <c r="BLE72" s="684"/>
      <c r="BLF72" s="684"/>
      <c r="BLG72" s="684"/>
      <c r="BLH72" s="684"/>
      <c r="BLI72" s="684"/>
      <c r="BLJ72" s="684"/>
      <c r="BLK72" s="684"/>
      <c r="BLL72" s="684"/>
      <c r="BLM72" s="684"/>
      <c r="BLN72" s="684"/>
      <c r="BLO72" s="684"/>
      <c r="BLP72" s="684"/>
      <c r="BLQ72" s="684"/>
      <c r="BLR72" s="684"/>
      <c r="BLS72" s="684"/>
      <c r="BLT72" s="684"/>
      <c r="BLU72" s="684"/>
      <c r="BLV72" s="684"/>
      <c r="BLW72" s="684"/>
      <c r="BLX72" s="684"/>
      <c r="BLY72" s="684"/>
      <c r="BLZ72" s="684"/>
      <c r="BMA72" s="684"/>
      <c r="BMB72" s="684"/>
      <c r="BMC72" s="684"/>
      <c r="BMD72" s="684"/>
      <c r="BME72" s="684"/>
      <c r="BMF72" s="684"/>
      <c r="BMG72" s="684"/>
      <c r="BMH72" s="684"/>
      <c r="BMI72" s="684"/>
      <c r="BMJ72" s="684"/>
      <c r="BMK72" s="684"/>
      <c r="BML72" s="684"/>
      <c r="BMM72" s="684"/>
      <c r="BMN72" s="684"/>
      <c r="BMO72" s="684"/>
      <c r="BMP72" s="684"/>
      <c r="BMQ72" s="684"/>
      <c r="BMR72" s="684"/>
      <c r="BMS72" s="684"/>
      <c r="BMT72" s="684"/>
      <c r="BMU72" s="684"/>
      <c r="BMV72" s="684"/>
      <c r="BMW72" s="684"/>
      <c r="BMX72" s="684"/>
      <c r="BMY72" s="684"/>
      <c r="BMZ72" s="684"/>
      <c r="BNA72" s="684"/>
      <c r="BNB72" s="684"/>
      <c r="BNC72" s="684"/>
      <c r="BND72" s="684"/>
      <c r="BNE72" s="684"/>
      <c r="BNF72" s="684"/>
      <c r="BNG72" s="684"/>
      <c r="BNH72" s="684"/>
      <c r="BNI72" s="684"/>
      <c r="BNJ72" s="684"/>
      <c r="BNK72" s="684"/>
      <c r="BNL72" s="684"/>
      <c r="BNM72" s="684"/>
      <c r="BNN72" s="684"/>
      <c r="BNO72" s="684"/>
      <c r="BNP72" s="684"/>
      <c r="BNQ72" s="684"/>
      <c r="BNR72" s="684"/>
      <c r="BNS72" s="684"/>
      <c r="BNT72" s="684"/>
      <c r="BNU72" s="684"/>
      <c r="BNV72" s="684"/>
      <c r="BNW72" s="684"/>
      <c r="BNX72" s="684"/>
      <c r="BNY72" s="684"/>
      <c r="BNZ72" s="684"/>
      <c r="BOA72" s="684"/>
      <c r="BOB72" s="684"/>
      <c r="BOC72" s="684"/>
      <c r="BOD72" s="684"/>
      <c r="BOE72" s="684"/>
      <c r="BOF72" s="684"/>
      <c r="BOG72" s="684"/>
      <c r="BOH72" s="684"/>
      <c r="BOI72" s="684"/>
      <c r="BOJ72" s="684"/>
      <c r="BOK72" s="684"/>
      <c r="BOL72" s="684"/>
      <c r="BOM72" s="684"/>
      <c r="BON72" s="684"/>
      <c r="BOO72" s="684"/>
      <c r="BOP72" s="684"/>
      <c r="BOQ72" s="684"/>
      <c r="BOR72" s="684"/>
      <c r="BOS72" s="684"/>
      <c r="BOT72" s="684"/>
      <c r="BOU72" s="684"/>
      <c r="BOV72" s="684"/>
      <c r="BOW72" s="684"/>
      <c r="BOX72" s="684"/>
      <c r="BOY72" s="684"/>
      <c r="BOZ72" s="684"/>
      <c r="BPA72" s="684"/>
      <c r="BPB72" s="684"/>
      <c r="BPC72" s="684"/>
      <c r="BPD72" s="684"/>
      <c r="BPE72" s="684"/>
      <c r="BPF72" s="684"/>
      <c r="BPG72" s="684"/>
      <c r="BPH72" s="684"/>
      <c r="BPI72" s="684"/>
      <c r="BPJ72" s="684"/>
      <c r="BPK72" s="684"/>
      <c r="BPL72" s="684"/>
      <c r="BPM72" s="684"/>
      <c r="BPN72" s="684"/>
      <c r="BPO72" s="684"/>
      <c r="BPP72" s="684"/>
      <c r="BPQ72" s="684"/>
      <c r="BPR72" s="684"/>
      <c r="BPS72" s="684"/>
      <c r="BPT72" s="684"/>
      <c r="BPU72" s="684"/>
      <c r="BPV72" s="684"/>
      <c r="BPW72" s="684"/>
      <c r="BPX72" s="684"/>
      <c r="BPY72" s="684"/>
      <c r="BPZ72" s="684"/>
      <c r="BQA72" s="684"/>
      <c r="BQB72" s="684"/>
      <c r="BQC72" s="684"/>
      <c r="BQD72" s="684"/>
      <c r="BQE72" s="684"/>
      <c r="BQF72" s="684"/>
      <c r="BQG72" s="684"/>
      <c r="BQH72" s="684"/>
      <c r="BQI72" s="684"/>
      <c r="BQJ72" s="684"/>
      <c r="BQK72" s="684"/>
      <c r="BQL72" s="684"/>
      <c r="BQM72" s="684"/>
      <c r="BQN72" s="684"/>
      <c r="BQO72" s="684"/>
      <c r="BQP72" s="684"/>
      <c r="BQQ72" s="684"/>
      <c r="BQR72" s="684"/>
      <c r="BQS72" s="684"/>
      <c r="BQT72" s="684"/>
      <c r="BQU72" s="684"/>
      <c r="BQV72" s="684"/>
      <c r="BQW72" s="684"/>
      <c r="BQX72" s="684"/>
      <c r="BQY72" s="684"/>
      <c r="BQZ72" s="684"/>
      <c r="BRA72" s="684"/>
      <c r="BRB72" s="684"/>
      <c r="BRC72" s="684"/>
      <c r="BRD72" s="684"/>
      <c r="BRE72" s="684"/>
      <c r="BRF72" s="684"/>
      <c r="BRG72" s="684"/>
      <c r="BRH72" s="684"/>
      <c r="BRI72" s="684"/>
      <c r="BRJ72" s="684"/>
      <c r="BRK72" s="684"/>
      <c r="BRL72" s="684"/>
      <c r="BRM72" s="684"/>
      <c r="BRN72" s="684"/>
      <c r="BRO72" s="684"/>
      <c r="BRP72" s="684"/>
      <c r="BRQ72" s="684"/>
      <c r="BRR72" s="684"/>
      <c r="BRS72" s="684"/>
      <c r="BRT72" s="684"/>
      <c r="BRU72" s="684"/>
      <c r="BRV72" s="684"/>
      <c r="BRW72" s="684"/>
      <c r="BRX72" s="684"/>
      <c r="BRY72" s="684"/>
      <c r="BRZ72" s="684"/>
      <c r="BSA72" s="684"/>
      <c r="BSB72" s="684"/>
      <c r="BSC72" s="684"/>
      <c r="BSD72" s="684"/>
      <c r="BSE72" s="684"/>
      <c r="BSF72" s="684"/>
      <c r="BSG72" s="684"/>
      <c r="BSH72" s="684"/>
      <c r="BSI72" s="684"/>
      <c r="BSJ72" s="684"/>
      <c r="BSK72" s="684"/>
      <c r="BSL72" s="684"/>
      <c r="BSM72" s="684"/>
      <c r="BSN72" s="684"/>
      <c r="BSO72" s="684"/>
      <c r="BSP72" s="684"/>
      <c r="BSQ72" s="684"/>
      <c r="BSR72" s="684"/>
      <c r="BSS72" s="684"/>
      <c r="BST72" s="684"/>
      <c r="BSU72" s="684"/>
      <c r="BSV72" s="684"/>
      <c r="BSW72" s="684"/>
      <c r="BSX72" s="684"/>
      <c r="BSY72" s="684"/>
      <c r="BSZ72" s="684"/>
      <c r="BTA72" s="684"/>
      <c r="BTB72" s="684"/>
      <c r="BTC72" s="684"/>
      <c r="BTD72" s="684"/>
      <c r="BTE72" s="684"/>
      <c r="BTF72" s="684"/>
      <c r="BTG72" s="684"/>
      <c r="BTH72" s="684"/>
      <c r="BTI72" s="684"/>
      <c r="BTJ72" s="684"/>
      <c r="BTK72" s="684"/>
      <c r="BTL72" s="684"/>
      <c r="BTM72" s="684"/>
      <c r="BTN72" s="684"/>
      <c r="BTO72" s="684"/>
      <c r="BTP72" s="684"/>
      <c r="BTQ72" s="684"/>
      <c r="BTR72" s="684"/>
      <c r="BTS72" s="684"/>
      <c r="BTT72" s="684"/>
      <c r="BTU72" s="684"/>
      <c r="BTV72" s="684"/>
      <c r="BTW72" s="684"/>
      <c r="BTX72" s="684"/>
      <c r="BTY72" s="684"/>
      <c r="BTZ72" s="684"/>
      <c r="BUA72" s="684"/>
      <c r="BUB72" s="684"/>
      <c r="BUC72" s="684"/>
      <c r="BUD72" s="684"/>
      <c r="BUE72" s="684"/>
      <c r="BUF72" s="684"/>
      <c r="BUG72" s="684"/>
      <c r="BUH72" s="684"/>
      <c r="BUI72" s="684"/>
      <c r="BUJ72" s="684"/>
      <c r="BUK72" s="684"/>
      <c r="BUL72" s="684"/>
      <c r="BUM72" s="684"/>
      <c r="BUN72" s="684"/>
      <c r="BUO72" s="684"/>
      <c r="BUP72" s="684"/>
      <c r="BUQ72" s="684"/>
      <c r="BUR72" s="684"/>
      <c r="BUS72" s="684"/>
      <c r="BUT72" s="684"/>
      <c r="BUU72" s="684"/>
      <c r="BUV72" s="684"/>
      <c r="BUW72" s="684"/>
      <c r="BUX72" s="684"/>
      <c r="BUY72" s="684"/>
      <c r="BUZ72" s="684"/>
      <c r="BVA72" s="684"/>
      <c r="BVB72" s="684"/>
      <c r="BVC72" s="684"/>
      <c r="BVD72" s="684"/>
      <c r="BVE72" s="684"/>
      <c r="BVF72" s="684"/>
      <c r="BVG72" s="684"/>
      <c r="BVH72" s="684"/>
      <c r="BVI72" s="684"/>
      <c r="BVJ72" s="684"/>
      <c r="BVK72" s="684"/>
      <c r="BVL72" s="684"/>
      <c r="BVM72" s="684"/>
      <c r="BVN72" s="684"/>
      <c r="BVO72" s="684"/>
      <c r="BVP72" s="684"/>
      <c r="BVQ72" s="684"/>
      <c r="BVR72" s="684"/>
      <c r="BVS72" s="684"/>
      <c r="BVT72" s="684"/>
      <c r="BVU72" s="684"/>
      <c r="BVV72" s="684"/>
      <c r="BVW72" s="684"/>
      <c r="BVX72" s="684"/>
      <c r="BVY72" s="684"/>
      <c r="BVZ72" s="684"/>
      <c r="BWA72" s="684"/>
      <c r="BWB72" s="684"/>
      <c r="BWC72" s="684"/>
      <c r="BWD72" s="684"/>
      <c r="BWE72" s="684"/>
      <c r="BWF72" s="684"/>
      <c r="BWG72" s="684"/>
      <c r="BWH72" s="684"/>
      <c r="BWI72" s="684"/>
      <c r="BWJ72" s="684"/>
      <c r="BWK72" s="684"/>
      <c r="BWL72" s="684"/>
      <c r="BWM72" s="684"/>
      <c r="BWN72" s="684"/>
      <c r="BWO72" s="684"/>
      <c r="BWP72" s="684"/>
      <c r="BWQ72" s="684"/>
      <c r="BWR72" s="684"/>
      <c r="BWS72" s="684"/>
      <c r="BWT72" s="684"/>
      <c r="BWU72" s="684"/>
      <c r="BWV72" s="684"/>
      <c r="BWW72" s="684"/>
      <c r="BWX72" s="684"/>
      <c r="BWY72" s="684"/>
      <c r="BWZ72" s="684"/>
      <c r="BXA72" s="684"/>
      <c r="BXB72" s="684"/>
      <c r="BXC72" s="684"/>
      <c r="BXD72" s="684"/>
      <c r="BXE72" s="684"/>
      <c r="BXF72" s="684"/>
      <c r="BXG72" s="684"/>
      <c r="BXH72" s="684"/>
      <c r="BXI72" s="684"/>
      <c r="BXJ72" s="684"/>
      <c r="BXK72" s="684"/>
      <c r="BXL72" s="684"/>
      <c r="BXM72" s="684"/>
      <c r="BXN72" s="684"/>
      <c r="BXO72" s="684"/>
      <c r="BXP72" s="684"/>
      <c r="BXQ72" s="684"/>
      <c r="BXR72" s="684"/>
      <c r="BXS72" s="684"/>
      <c r="BXT72" s="684"/>
      <c r="BXU72" s="684"/>
      <c r="BXV72" s="684"/>
      <c r="BXW72" s="684"/>
      <c r="BXX72" s="684"/>
      <c r="BXY72" s="684"/>
      <c r="BXZ72" s="684"/>
      <c r="BYA72" s="684"/>
      <c r="BYB72" s="684"/>
      <c r="BYC72" s="684"/>
      <c r="BYD72" s="684"/>
      <c r="BYE72" s="684"/>
      <c r="BYF72" s="684"/>
      <c r="BYG72" s="684"/>
      <c r="BYH72" s="684"/>
      <c r="BYI72" s="684"/>
      <c r="BYJ72" s="684"/>
      <c r="BYK72" s="684"/>
      <c r="BYL72" s="684"/>
      <c r="BYM72" s="684"/>
      <c r="BYN72" s="684"/>
      <c r="BYO72" s="684"/>
      <c r="BYP72" s="684"/>
      <c r="BYQ72" s="684"/>
      <c r="BYR72" s="684"/>
      <c r="BYS72" s="684"/>
      <c r="BYT72" s="684"/>
      <c r="BYU72" s="684"/>
      <c r="BYV72" s="684"/>
      <c r="BYW72" s="684"/>
      <c r="BYX72" s="684"/>
      <c r="BYY72" s="684"/>
      <c r="BYZ72" s="684"/>
      <c r="BZA72" s="684"/>
      <c r="BZB72" s="684"/>
      <c r="BZC72" s="684"/>
      <c r="BZD72" s="684"/>
      <c r="BZE72" s="684"/>
      <c r="BZF72" s="684"/>
      <c r="BZG72" s="684"/>
      <c r="BZH72" s="684"/>
      <c r="BZI72" s="684"/>
      <c r="BZJ72" s="684"/>
      <c r="BZK72" s="684"/>
      <c r="BZL72" s="684"/>
      <c r="BZM72" s="684"/>
      <c r="BZN72" s="684"/>
      <c r="BZO72" s="684"/>
      <c r="BZP72" s="684"/>
      <c r="BZQ72" s="684"/>
      <c r="BZR72" s="684"/>
      <c r="BZS72" s="684"/>
      <c r="BZT72" s="684"/>
      <c r="BZU72" s="684"/>
      <c r="BZV72" s="684"/>
      <c r="BZW72" s="684"/>
      <c r="BZX72" s="684"/>
      <c r="BZY72" s="684"/>
      <c r="BZZ72" s="684"/>
      <c r="CAA72" s="684"/>
      <c r="CAB72" s="684"/>
      <c r="CAC72" s="684"/>
      <c r="CAD72" s="684"/>
      <c r="CAE72" s="684"/>
      <c r="CAF72" s="684"/>
      <c r="CAG72" s="684"/>
      <c r="CAH72" s="684"/>
      <c r="CAI72" s="684"/>
      <c r="CAJ72" s="684"/>
      <c r="CAK72" s="684"/>
      <c r="CAL72" s="684"/>
      <c r="CAM72" s="684"/>
      <c r="CAN72" s="684"/>
      <c r="CAO72" s="684"/>
      <c r="CAP72" s="684"/>
      <c r="CAQ72" s="684"/>
      <c r="CAR72" s="684"/>
      <c r="CAS72" s="684"/>
      <c r="CAT72" s="684"/>
      <c r="CAU72" s="684"/>
      <c r="CAV72" s="684"/>
      <c r="CAW72" s="684"/>
      <c r="CAX72" s="684"/>
      <c r="CAY72" s="684"/>
      <c r="CAZ72" s="684"/>
      <c r="CBA72" s="684"/>
      <c r="CBB72" s="684"/>
      <c r="CBC72" s="684"/>
      <c r="CBD72" s="684"/>
      <c r="CBE72" s="684"/>
      <c r="CBF72" s="684"/>
      <c r="CBG72" s="684"/>
      <c r="CBH72" s="684"/>
      <c r="CBI72" s="684"/>
      <c r="CBJ72" s="684"/>
      <c r="CBK72" s="684"/>
      <c r="CBL72" s="684"/>
      <c r="CBM72" s="684"/>
      <c r="CBN72" s="684"/>
      <c r="CBO72" s="684"/>
      <c r="CBP72" s="684"/>
      <c r="CBQ72" s="684"/>
      <c r="CBR72" s="684"/>
      <c r="CBS72" s="684"/>
      <c r="CBT72" s="684"/>
      <c r="CBU72" s="684"/>
      <c r="CBV72" s="684"/>
      <c r="CBW72" s="684"/>
      <c r="CBX72" s="684"/>
      <c r="CBY72" s="684"/>
      <c r="CBZ72" s="684"/>
      <c r="CCA72" s="684"/>
      <c r="CCB72" s="684"/>
      <c r="CCC72" s="684"/>
      <c r="CCD72" s="684"/>
      <c r="CCE72" s="684"/>
      <c r="CCF72" s="684"/>
      <c r="CCG72" s="684"/>
      <c r="CCH72" s="684"/>
      <c r="CCI72" s="684"/>
      <c r="CCJ72" s="684"/>
      <c r="CCK72" s="684"/>
      <c r="CCL72" s="684"/>
      <c r="CCM72" s="684"/>
      <c r="CCN72" s="684"/>
      <c r="CCO72" s="684"/>
      <c r="CCP72" s="684"/>
      <c r="CCQ72" s="684"/>
      <c r="CCR72" s="684"/>
      <c r="CCS72" s="684"/>
      <c r="CCT72" s="684"/>
      <c r="CCU72" s="684"/>
      <c r="CCV72" s="684"/>
      <c r="CCW72" s="684"/>
      <c r="CCX72" s="684"/>
      <c r="CCY72" s="684"/>
      <c r="CCZ72" s="684"/>
      <c r="CDA72" s="684"/>
      <c r="CDB72" s="684"/>
      <c r="CDC72" s="684"/>
      <c r="CDD72" s="684"/>
      <c r="CDE72" s="684"/>
      <c r="CDF72" s="684"/>
      <c r="CDG72" s="684"/>
      <c r="CDH72" s="684"/>
      <c r="CDI72" s="684"/>
      <c r="CDJ72" s="684"/>
      <c r="CDK72" s="684"/>
      <c r="CDL72" s="684"/>
      <c r="CDM72" s="684"/>
      <c r="CDN72" s="684"/>
      <c r="CDO72" s="684"/>
      <c r="CDP72" s="684"/>
      <c r="CDQ72" s="684"/>
      <c r="CDR72" s="684"/>
      <c r="CDS72" s="684"/>
      <c r="CDT72" s="684"/>
      <c r="CDU72" s="684"/>
      <c r="CDV72" s="684"/>
      <c r="CDW72" s="684"/>
      <c r="CDX72" s="684"/>
      <c r="CDY72" s="684"/>
      <c r="CDZ72" s="684"/>
      <c r="CEA72" s="684"/>
      <c r="CEB72" s="684"/>
      <c r="CEC72" s="684"/>
      <c r="CED72" s="684"/>
      <c r="CEE72" s="684"/>
      <c r="CEF72" s="684"/>
      <c r="CEG72" s="684"/>
      <c r="CEH72" s="684"/>
      <c r="CEI72" s="684"/>
      <c r="CEJ72" s="684"/>
      <c r="CEK72" s="684"/>
      <c r="CEL72" s="684"/>
      <c r="CEM72" s="684"/>
      <c r="CEN72" s="684"/>
      <c r="CEO72" s="684"/>
      <c r="CEP72" s="684"/>
      <c r="CEQ72" s="684"/>
      <c r="CER72" s="684"/>
      <c r="CES72" s="684"/>
      <c r="CET72" s="684"/>
      <c r="CEU72" s="684"/>
      <c r="CEV72" s="684"/>
      <c r="CEW72" s="684"/>
      <c r="CEX72" s="684"/>
      <c r="CEY72" s="684"/>
      <c r="CEZ72" s="684"/>
      <c r="CFA72" s="684"/>
      <c r="CFB72" s="684"/>
      <c r="CFC72" s="684"/>
      <c r="CFD72" s="684"/>
      <c r="CFE72" s="684"/>
      <c r="CFF72" s="684"/>
      <c r="CFG72" s="684"/>
      <c r="CFH72" s="684"/>
      <c r="CFI72" s="684"/>
      <c r="CFJ72" s="684"/>
      <c r="CFK72" s="684"/>
      <c r="CFL72" s="684"/>
      <c r="CFM72" s="684"/>
      <c r="CFN72" s="684"/>
      <c r="CFO72" s="684"/>
      <c r="CFP72" s="684"/>
      <c r="CFQ72" s="684"/>
      <c r="CFR72" s="684"/>
      <c r="CFS72" s="684"/>
      <c r="CFT72" s="684"/>
      <c r="CFU72" s="684"/>
      <c r="CFV72" s="684"/>
      <c r="CFW72" s="684"/>
      <c r="CFX72" s="684"/>
      <c r="CFY72" s="684"/>
      <c r="CFZ72" s="684"/>
      <c r="CGA72" s="684"/>
      <c r="CGB72" s="684"/>
      <c r="CGC72" s="684"/>
      <c r="CGD72" s="684"/>
      <c r="CGE72" s="684"/>
      <c r="CGF72" s="684"/>
      <c r="CGG72" s="684"/>
      <c r="CGH72" s="684"/>
      <c r="CGI72" s="684"/>
      <c r="CGJ72" s="684"/>
      <c r="CGK72" s="684"/>
      <c r="CGL72" s="684"/>
      <c r="CGM72" s="684"/>
      <c r="CGN72" s="684"/>
      <c r="CGO72" s="684"/>
      <c r="CGP72" s="684"/>
      <c r="CGQ72" s="684"/>
      <c r="CGR72" s="684"/>
      <c r="CGS72" s="684"/>
      <c r="CGT72" s="684"/>
      <c r="CGU72" s="684"/>
      <c r="CGV72" s="684"/>
      <c r="CGW72" s="684"/>
      <c r="CGX72" s="684"/>
      <c r="CGY72" s="684"/>
      <c r="CGZ72" s="684"/>
      <c r="CHA72" s="684"/>
      <c r="CHB72" s="684"/>
      <c r="CHC72" s="684"/>
      <c r="CHD72" s="684"/>
      <c r="CHE72" s="684"/>
      <c r="CHF72" s="684"/>
      <c r="CHG72" s="684"/>
      <c r="CHH72" s="684"/>
      <c r="CHI72" s="684"/>
      <c r="CHJ72" s="684"/>
      <c r="CHK72" s="684"/>
      <c r="CHL72" s="684"/>
      <c r="CHM72" s="684"/>
      <c r="CHN72" s="684"/>
      <c r="CHO72" s="684"/>
      <c r="CHP72" s="684"/>
      <c r="CHQ72" s="684"/>
      <c r="CHR72" s="684"/>
      <c r="CHS72" s="684"/>
      <c r="CHT72" s="684"/>
      <c r="CHU72" s="684"/>
      <c r="CHV72" s="684"/>
      <c r="CHW72" s="684"/>
      <c r="CHX72" s="684"/>
      <c r="CHY72" s="684"/>
      <c r="CHZ72" s="684"/>
      <c r="CIA72" s="684"/>
      <c r="CIB72" s="684"/>
      <c r="CIC72" s="684"/>
      <c r="CID72" s="684"/>
      <c r="CIE72" s="684"/>
      <c r="CIF72" s="684"/>
      <c r="CIG72" s="684"/>
      <c r="CIH72" s="684"/>
      <c r="CII72" s="684"/>
      <c r="CIJ72" s="684"/>
      <c r="CIK72" s="684"/>
      <c r="CIL72" s="684"/>
      <c r="CIM72" s="684"/>
      <c r="CIN72" s="684"/>
      <c r="CIO72" s="684"/>
      <c r="CIP72" s="684"/>
      <c r="CIQ72" s="684"/>
      <c r="CIR72" s="684"/>
      <c r="CIS72" s="684"/>
      <c r="CIT72" s="684"/>
      <c r="CIU72" s="684"/>
      <c r="CIV72" s="684"/>
      <c r="CIW72" s="684"/>
      <c r="CIX72" s="684"/>
      <c r="CIY72" s="684"/>
      <c r="CIZ72" s="684"/>
      <c r="CJA72" s="684"/>
      <c r="CJB72" s="684"/>
      <c r="CJC72" s="684"/>
      <c r="CJD72" s="684"/>
      <c r="CJE72" s="684"/>
      <c r="CJF72" s="684"/>
      <c r="CJG72" s="684"/>
      <c r="CJH72" s="684"/>
      <c r="CJI72" s="684"/>
      <c r="CJJ72" s="684"/>
      <c r="CJK72" s="684"/>
      <c r="CJL72" s="684"/>
      <c r="CJM72" s="684"/>
      <c r="CJN72" s="684"/>
      <c r="CJO72" s="684"/>
      <c r="CJP72" s="684"/>
      <c r="CJQ72" s="684"/>
      <c r="CJR72" s="684"/>
      <c r="CJS72" s="684"/>
      <c r="CJT72" s="684"/>
      <c r="CJU72" s="684"/>
      <c r="CJV72" s="684"/>
      <c r="CJW72" s="684"/>
      <c r="CJX72" s="684"/>
      <c r="CJY72" s="684"/>
      <c r="CJZ72" s="684"/>
      <c r="CKA72" s="684"/>
      <c r="CKB72" s="684"/>
      <c r="CKC72" s="684"/>
      <c r="CKD72" s="684"/>
      <c r="CKE72" s="684"/>
      <c r="CKF72" s="684"/>
      <c r="CKG72" s="684"/>
      <c r="CKH72" s="684"/>
      <c r="CKI72" s="684"/>
      <c r="CKJ72" s="684"/>
      <c r="CKK72" s="684"/>
      <c r="CKL72" s="684"/>
      <c r="CKM72" s="684"/>
      <c r="CKN72" s="684"/>
      <c r="CKO72" s="684"/>
      <c r="CKP72" s="684"/>
      <c r="CKQ72" s="684"/>
      <c r="CKR72" s="684"/>
      <c r="CKS72" s="684"/>
      <c r="CKT72" s="684"/>
      <c r="CKU72" s="684"/>
      <c r="CKV72" s="684"/>
      <c r="CKW72" s="684"/>
      <c r="CKX72" s="684"/>
      <c r="CKY72" s="684"/>
      <c r="CKZ72" s="684"/>
      <c r="CLA72" s="684"/>
      <c r="CLB72" s="684"/>
      <c r="CLC72" s="684"/>
      <c r="CLD72" s="684"/>
      <c r="CLE72" s="684"/>
      <c r="CLF72" s="684"/>
      <c r="CLG72" s="684"/>
      <c r="CLH72" s="684"/>
      <c r="CLI72" s="684"/>
      <c r="CLJ72" s="684"/>
      <c r="CLK72" s="684"/>
      <c r="CLL72" s="684"/>
      <c r="CLM72" s="684"/>
      <c r="CLN72" s="684"/>
      <c r="CLO72" s="684"/>
      <c r="CLP72" s="684"/>
      <c r="CLQ72" s="684"/>
      <c r="CLR72" s="684"/>
      <c r="CLS72" s="684"/>
      <c r="CLT72" s="684"/>
      <c r="CLU72" s="684"/>
      <c r="CLV72" s="684"/>
      <c r="CLW72" s="684"/>
      <c r="CLX72" s="684"/>
      <c r="CLY72" s="684"/>
      <c r="CLZ72" s="684"/>
      <c r="CMA72" s="684"/>
      <c r="CMB72" s="684"/>
      <c r="CMC72" s="684"/>
      <c r="CMD72" s="684"/>
      <c r="CME72" s="684"/>
      <c r="CMF72" s="684"/>
      <c r="CMG72" s="684"/>
      <c r="CMH72" s="684"/>
      <c r="CMI72" s="684"/>
      <c r="CMJ72" s="684"/>
      <c r="CMK72" s="684"/>
      <c r="CML72" s="684"/>
      <c r="CMM72" s="684"/>
      <c r="CMN72" s="684"/>
      <c r="CMO72" s="684"/>
      <c r="CMP72" s="684"/>
      <c r="CMQ72" s="684"/>
      <c r="CMR72" s="684"/>
      <c r="CMS72" s="684"/>
      <c r="CMT72" s="684"/>
      <c r="CMU72" s="684"/>
      <c r="CMV72" s="684"/>
      <c r="CMW72" s="684"/>
      <c r="CMX72" s="684"/>
      <c r="CMY72" s="684"/>
      <c r="CMZ72" s="684"/>
      <c r="CNA72" s="684"/>
      <c r="CNB72" s="684"/>
      <c r="CNC72" s="684"/>
      <c r="CND72" s="684"/>
      <c r="CNE72" s="684"/>
      <c r="CNF72" s="684"/>
      <c r="CNG72" s="684"/>
      <c r="CNH72" s="684"/>
      <c r="CNI72" s="684"/>
      <c r="CNJ72" s="684"/>
      <c r="CNK72" s="684"/>
      <c r="CNL72" s="684"/>
      <c r="CNM72" s="684"/>
      <c r="CNN72" s="684"/>
      <c r="CNO72" s="684"/>
      <c r="CNP72" s="684"/>
      <c r="CNQ72" s="684"/>
      <c r="CNR72" s="684"/>
      <c r="CNS72" s="684"/>
      <c r="CNT72" s="684"/>
      <c r="CNU72" s="684"/>
      <c r="CNV72" s="684"/>
      <c r="CNW72" s="684"/>
      <c r="CNX72" s="684"/>
      <c r="CNY72" s="684"/>
      <c r="CNZ72" s="684"/>
      <c r="COA72" s="684"/>
      <c r="COB72" s="684"/>
      <c r="COC72" s="684"/>
      <c r="COD72" s="684"/>
      <c r="COE72" s="684"/>
      <c r="COF72" s="684"/>
      <c r="COG72" s="684"/>
      <c r="COH72" s="684"/>
      <c r="COI72" s="684"/>
      <c r="COJ72" s="684"/>
      <c r="COK72" s="684"/>
      <c r="COL72" s="684"/>
      <c r="COM72" s="684"/>
      <c r="CON72" s="684"/>
      <c r="COO72" s="684"/>
      <c r="COP72" s="684"/>
      <c r="COQ72" s="684"/>
      <c r="COR72" s="684"/>
      <c r="COS72" s="684"/>
      <c r="COT72" s="684"/>
      <c r="COU72" s="684"/>
      <c r="COV72" s="684"/>
      <c r="COW72" s="684"/>
      <c r="COX72" s="684"/>
      <c r="COY72" s="684"/>
      <c r="COZ72" s="684"/>
      <c r="CPA72" s="684"/>
      <c r="CPB72" s="684"/>
      <c r="CPC72" s="684"/>
      <c r="CPD72" s="684"/>
      <c r="CPE72" s="684"/>
      <c r="CPF72" s="684"/>
      <c r="CPG72" s="684"/>
      <c r="CPH72" s="684"/>
      <c r="CPI72" s="684"/>
      <c r="CPJ72" s="684"/>
      <c r="CPK72" s="684"/>
      <c r="CPL72" s="684"/>
      <c r="CPM72" s="684"/>
      <c r="CPN72" s="684"/>
      <c r="CPO72" s="684"/>
      <c r="CPP72" s="684"/>
      <c r="CPQ72" s="684"/>
      <c r="CPR72" s="684"/>
      <c r="CPS72" s="684"/>
      <c r="CPT72" s="684"/>
      <c r="CPU72" s="684"/>
      <c r="CPV72" s="684"/>
      <c r="CPW72" s="684"/>
      <c r="CPX72" s="684"/>
      <c r="CPY72" s="684"/>
      <c r="CPZ72" s="684"/>
      <c r="CQA72" s="684"/>
      <c r="CQB72" s="684"/>
      <c r="CQC72" s="684"/>
      <c r="CQD72" s="684"/>
      <c r="CQE72" s="684"/>
      <c r="CQF72" s="684"/>
      <c r="CQG72" s="684"/>
      <c r="CQH72" s="684"/>
      <c r="CQI72" s="684"/>
      <c r="CQJ72" s="684"/>
      <c r="CQK72" s="684"/>
      <c r="CQL72" s="684"/>
      <c r="CQM72" s="684"/>
      <c r="CQN72" s="684"/>
      <c r="CQO72" s="684"/>
      <c r="CQP72" s="684"/>
      <c r="CQQ72" s="684"/>
      <c r="CQR72" s="684"/>
      <c r="CQS72" s="684"/>
      <c r="CQT72" s="684"/>
      <c r="CQU72" s="684"/>
      <c r="CQV72" s="684"/>
      <c r="CQW72" s="684"/>
      <c r="CQX72" s="684"/>
      <c r="CQY72" s="684"/>
      <c r="CQZ72" s="684"/>
      <c r="CRA72" s="684"/>
      <c r="CRB72" s="684"/>
      <c r="CRC72" s="684"/>
      <c r="CRD72" s="684"/>
      <c r="CRE72" s="684"/>
      <c r="CRF72" s="684"/>
      <c r="CRG72" s="684"/>
      <c r="CRH72" s="684"/>
      <c r="CRI72" s="684"/>
      <c r="CRJ72" s="684"/>
      <c r="CRK72" s="684"/>
      <c r="CRL72" s="684"/>
      <c r="CRM72" s="684"/>
      <c r="CRN72" s="684"/>
      <c r="CRO72" s="684"/>
      <c r="CRP72" s="684"/>
      <c r="CRQ72" s="684"/>
      <c r="CRR72" s="684"/>
      <c r="CRS72" s="684"/>
      <c r="CRT72" s="684"/>
      <c r="CRU72" s="684"/>
      <c r="CRV72" s="684"/>
      <c r="CRW72" s="684"/>
      <c r="CRX72" s="684"/>
      <c r="CRY72" s="684"/>
      <c r="CRZ72" s="684"/>
      <c r="CSA72" s="684"/>
      <c r="CSB72" s="684"/>
      <c r="CSC72" s="684"/>
      <c r="CSD72" s="684"/>
      <c r="CSE72" s="684"/>
      <c r="CSF72" s="684"/>
      <c r="CSG72" s="684"/>
      <c r="CSH72" s="684"/>
      <c r="CSI72" s="684"/>
      <c r="CSJ72" s="684"/>
      <c r="CSK72" s="684"/>
      <c r="CSL72" s="684"/>
      <c r="CSM72" s="684"/>
      <c r="CSN72" s="684"/>
      <c r="CSO72" s="684"/>
      <c r="CSP72" s="684"/>
      <c r="CSQ72" s="684"/>
      <c r="CSR72" s="684"/>
      <c r="CSS72" s="684"/>
      <c r="CST72" s="684"/>
      <c r="CSU72" s="684"/>
      <c r="CSV72" s="684"/>
      <c r="CSW72" s="684"/>
      <c r="CSX72" s="684"/>
      <c r="CSY72" s="684"/>
      <c r="CSZ72" s="684"/>
      <c r="CTA72" s="684"/>
      <c r="CTB72" s="684"/>
      <c r="CTC72" s="684"/>
      <c r="CTD72" s="684"/>
      <c r="CTE72" s="684"/>
      <c r="CTF72" s="684"/>
      <c r="CTG72" s="684"/>
      <c r="CTH72" s="684"/>
      <c r="CTI72" s="684"/>
      <c r="CTJ72" s="684"/>
      <c r="CTK72" s="684"/>
      <c r="CTL72" s="684"/>
      <c r="CTM72" s="684"/>
      <c r="CTN72" s="684"/>
      <c r="CTO72" s="684"/>
      <c r="CTP72" s="684"/>
      <c r="CTQ72" s="684"/>
      <c r="CTR72" s="684"/>
      <c r="CTS72" s="684"/>
      <c r="CTT72" s="684"/>
      <c r="CTU72" s="684"/>
      <c r="CTV72" s="684"/>
      <c r="CTW72" s="684"/>
      <c r="CTX72" s="684"/>
      <c r="CTY72" s="684"/>
      <c r="CTZ72" s="684"/>
      <c r="CUA72" s="684"/>
      <c r="CUB72" s="684"/>
      <c r="CUC72" s="684"/>
      <c r="CUD72" s="684"/>
      <c r="CUE72" s="684"/>
      <c r="CUF72" s="684"/>
      <c r="CUG72" s="684"/>
      <c r="CUH72" s="684"/>
      <c r="CUI72" s="684"/>
      <c r="CUJ72" s="684"/>
      <c r="CUK72" s="684"/>
      <c r="CUL72" s="684"/>
      <c r="CUM72" s="684"/>
      <c r="CUN72" s="684"/>
      <c r="CUO72" s="684"/>
      <c r="CUP72" s="684"/>
      <c r="CUQ72" s="684"/>
      <c r="CUR72" s="684"/>
      <c r="CUS72" s="684"/>
      <c r="CUT72" s="684"/>
      <c r="CUU72" s="684"/>
      <c r="CUV72" s="684"/>
      <c r="CUW72" s="684"/>
      <c r="CUX72" s="684"/>
      <c r="CUY72" s="684"/>
      <c r="CUZ72" s="684"/>
      <c r="CVA72" s="684"/>
      <c r="CVB72" s="684"/>
      <c r="CVC72" s="684"/>
      <c r="CVD72" s="684"/>
      <c r="CVE72" s="684"/>
      <c r="CVF72" s="684"/>
      <c r="CVG72" s="684"/>
      <c r="CVH72" s="684"/>
      <c r="CVI72" s="684"/>
      <c r="CVJ72" s="684"/>
      <c r="CVK72" s="684"/>
      <c r="CVL72" s="684"/>
      <c r="CVM72" s="684"/>
      <c r="CVN72" s="684"/>
      <c r="CVO72" s="684"/>
      <c r="CVP72" s="684"/>
      <c r="CVQ72" s="684"/>
      <c r="CVR72" s="684"/>
      <c r="CVS72" s="684"/>
      <c r="CVT72" s="684"/>
      <c r="CVU72" s="684"/>
      <c r="CVV72" s="684"/>
      <c r="CVW72" s="684"/>
      <c r="CVX72" s="684"/>
      <c r="CVY72" s="684"/>
      <c r="CVZ72" s="684"/>
      <c r="CWA72" s="684"/>
      <c r="CWB72" s="684"/>
      <c r="CWC72" s="684"/>
      <c r="CWD72" s="684"/>
      <c r="CWE72" s="684"/>
      <c r="CWF72" s="684"/>
      <c r="CWG72" s="684"/>
      <c r="CWH72" s="684"/>
      <c r="CWI72" s="684"/>
      <c r="CWJ72" s="684"/>
      <c r="CWK72" s="684"/>
      <c r="CWL72" s="684"/>
      <c r="CWM72" s="684"/>
      <c r="CWN72" s="684"/>
      <c r="CWO72" s="684"/>
      <c r="CWP72" s="684"/>
      <c r="CWQ72" s="684"/>
      <c r="CWR72" s="684"/>
      <c r="CWS72" s="684"/>
      <c r="CWT72" s="684"/>
      <c r="CWU72" s="684"/>
      <c r="CWV72" s="684"/>
      <c r="CWW72" s="684"/>
      <c r="CWX72" s="684"/>
      <c r="CWY72" s="684"/>
      <c r="CWZ72" s="684"/>
      <c r="CXA72" s="684"/>
      <c r="CXB72" s="684"/>
      <c r="CXC72" s="684"/>
      <c r="CXD72" s="684"/>
      <c r="CXE72" s="684"/>
      <c r="CXF72" s="684"/>
      <c r="CXG72" s="684"/>
      <c r="CXH72" s="684"/>
      <c r="CXI72" s="684"/>
      <c r="CXJ72" s="684"/>
      <c r="CXK72" s="684"/>
      <c r="CXL72" s="684"/>
      <c r="CXM72" s="684"/>
      <c r="CXN72" s="684"/>
      <c r="CXO72" s="684"/>
      <c r="CXP72" s="684"/>
      <c r="CXQ72" s="684"/>
      <c r="CXR72" s="684"/>
      <c r="CXS72" s="684"/>
      <c r="CXT72" s="684"/>
      <c r="CXU72" s="684"/>
      <c r="CXV72" s="684"/>
      <c r="CXW72" s="684"/>
      <c r="CXX72" s="684"/>
      <c r="CXY72" s="684"/>
      <c r="CXZ72" s="684"/>
      <c r="CYA72" s="684"/>
      <c r="CYB72" s="684"/>
      <c r="CYC72" s="684"/>
      <c r="CYD72" s="684"/>
      <c r="CYE72" s="684"/>
      <c r="CYF72" s="684"/>
      <c r="CYG72" s="684"/>
      <c r="CYH72" s="684"/>
      <c r="CYI72" s="684"/>
      <c r="CYJ72" s="684"/>
      <c r="CYK72" s="684"/>
      <c r="CYL72" s="684"/>
      <c r="CYM72" s="684"/>
      <c r="CYN72" s="684"/>
      <c r="CYO72" s="684"/>
      <c r="CYP72" s="684"/>
      <c r="CYQ72" s="684"/>
      <c r="CYR72" s="684"/>
      <c r="CYS72" s="684"/>
      <c r="CYT72" s="684"/>
      <c r="CYU72" s="684"/>
      <c r="CYV72" s="684"/>
      <c r="CYW72" s="684"/>
      <c r="CYX72" s="684"/>
      <c r="CYY72" s="684"/>
      <c r="CYZ72" s="684"/>
      <c r="CZA72" s="684"/>
      <c r="CZB72" s="684"/>
      <c r="CZC72" s="684"/>
      <c r="CZD72" s="684"/>
      <c r="CZE72" s="684"/>
      <c r="CZF72" s="684"/>
      <c r="CZG72" s="684"/>
      <c r="CZH72" s="684"/>
      <c r="CZI72" s="684"/>
      <c r="CZJ72" s="684"/>
      <c r="CZK72" s="684"/>
      <c r="CZL72" s="684"/>
      <c r="CZM72" s="684"/>
      <c r="CZN72" s="684"/>
      <c r="CZO72" s="684"/>
      <c r="CZP72" s="684"/>
      <c r="CZQ72" s="684"/>
      <c r="CZR72" s="684"/>
      <c r="CZS72" s="684"/>
      <c r="CZT72" s="684"/>
      <c r="CZU72" s="684"/>
      <c r="CZV72" s="684"/>
      <c r="CZW72" s="684"/>
      <c r="CZX72" s="684"/>
      <c r="CZY72" s="684"/>
      <c r="CZZ72" s="684"/>
      <c r="DAA72" s="684"/>
      <c r="DAB72" s="684"/>
      <c r="DAC72" s="684"/>
      <c r="DAD72" s="684"/>
      <c r="DAE72" s="684"/>
      <c r="DAF72" s="684"/>
      <c r="DAG72" s="684"/>
      <c r="DAH72" s="684"/>
      <c r="DAI72" s="684"/>
      <c r="DAJ72" s="684"/>
      <c r="DAK72" s="684"/>
      <c r="DAL72" s="684"/>
      <c r="DAM72" s="684"/>
      <c r="DAN72" s="684"/>
      <c r="DAO72" s="684"/>
      <c r="DAP72" s="684"/>
      <c r="DAQ72" s="684"/>
      <c r="DAR72" s="684"/>
      <c r="DAS72" s="684"/>
      <c r="DAT72" s="684"/>
      <c r="DAU72" s="684"/>
      <c r="DAV72" s="684"/>
      <c r="DAW72" s="684"/>
      <c r="DAX72" s="684"/>
      <c r="DAY72" s="684"/>
      <c r="DAZ72" s="684"/>
      <c r="DBA72" s="684"/>
      <c r="DBB72" s="684"/>
      <c r="DBC72" s="684"/>
      <c r="DBD72" s="684"/>
      <c r="DBE72" s="684"/>
      <c r="DBF72" s="684"/>
      <c r="DBG72" s="684"/>
      <c r="DBH72" s="684"/>
      <c r="DBI72" s="684"/>
      <c r="DBJ72" s="684"/>
      <c r="DBK72" s="684"/>
      <c r="DBL72" s="684"/>
      <c r="DBM72" s="684"/>
      <c r="DBN72" s="684"/>
      <c r="DBO72" s="684"/>
      <c r="DBP72" s="684"/>
      <c r="DBQ72" s="684"/>
      <c r="DBR72" s="684"/>
      <c r="DBS72" s="684"/>
      <c r="DBT72" s="684"/>
      <c r="DBU72" s="684"/>
      <c r="DBV72" s="684"/>
      <c r="DBW72" s="684"/>
      <c r="DBX72" s="684"/>
      <c r="DBY72" s="684"/>
      <c r="DBZ72" s="684"/>
      <c r="DCA72" s="684"/>
      <c r="DCB72" s="684"/>
      <c r="DCC72" s="684"/>
      <c r="DCD72" s="684"/>
      <c r="DCE72" s="684"/>
      <c r="DCF72" s="684"/>
      <c r="DCG72" s="684"/>
      <c r="DCH72" s="684"/>
      <c r="DCI72" s="684"/>
      <c r="DCJ72" s="684"/>
      <c r="DCK72" s="684"/>
      <c r="DCL72" s="684"/>
      <c r="DCM72" s="684"/>
      <c r="DCN72" s="684"/>
      <c r="DCO72" s="684"/>
      <c r="DCP72" s="684"/>
      <c r="DCQ72" s="684"/>
      <c r="DCR72" s="684"/>
      <c r="DCS72" s="684"/>
      <c r="DCT72" s="684"/>
      <c r="DCU72" s="684"/>
      <c r="DCV72" s="684"/>
      <c r="DCW72" s="684"/>
      <c r="DCX72" s="684"/>
      <c r="DCY72" s="684"/>
      <c r="DCZ72" s="684"/>
      <c r="DDA72" s="684"/>
      <c r="DDB72" s="684"/>
      <c r="DDC72" s="684"/>
      <c r="DDD72" s="684"/>
      <c r="DDE72" s="684"/>
      <c r="DDF72" s="684"/>
      <c r="DDG72" s="684"/>
      <c r="DDH72" s="684"/>
      <c r="DDI72" s="684"/>
      <c r="DDJ72" s="684"/>
      <c r="DDK72" s="684"/>
      <c r="DDL72" s="684"/>
      <c r="DDM72" s="684"/>
      <c r="DDN72" s="684"/>
      <c r="DDO72" s="684"/>
      <c r="DDP72" s="684"/>
      <c r="DDQ72" s="684"/>
      <c r="DDR72" s="684"/>
      <c r="DDS72" s="684"/>
      <c r="DDT72" s="684"/>
      <c r="DDU72" s="684"/>
      <c r="DDV72" s="684"/>
      <c r="DDW72" s="684"/>
      <c r="DDX72" s="684"/>
      <c r="DDY72" s="684"/>
      <c r="DDZ72" s="684"/>
      <c r="DEA72" s="684"/>
      <c r="DEB72" s="684"/>
      <c r="DEC72" s="684"/>
      <c r="DED72" s="684"/>
      <c r="DEE72" s="684"/>
      <c r="DEF72" s="684"/>
      <c r="DEG72" s="684"/>
      <c r="DEH72" s="684"/>
      <c r="DEI72" s="684"/>
      <c r="DEJ72" s="684"/>
      <c r="DEK72" s="684"/>
      <c r="DEL72" s="684"/>
      <c r="DEM72" s="684"/>
      <c r="DEN72" s="684"/>
      <c r="DEO72" s="684"/>
      <c r="DEP72" s="684"/>
      <c r="DEQ72" s="684"/>
      <c r="DER72" s="684"/>
      <c r="DES72" s="684"/>
      <c r="DET72" s="684"/>
      <c r="DEU72" s="684"/>
      <c r="DEV72" s="684"/>
      <c r="DEW72" s="684"/>
      <c r="DEX72" s="684"/>
      <c r="DEY72" s="684"/>
      <c r="DEZ72" s="684"/>
      <c r="DFA72" s="684"/>
      <c r="DFB72" s="684"/>
      <c r="DFC72" s="684"/>
      <c r="DFD72" s="684"/>
      <c r="DFE72" s="684"/>
      <c r="DFF72" s="684"/>
      <c r="DFG72" s="684"/>
      <c r="DFH72" s="684"/>
      <c r="DFI72" s="684"/>
      <c r="DFJ72" s="684"/>
      <c r="DFK72" s="684"/>
      <c r="DFL72" s="684"/>
      <c r="DFM72" s="684"/>
      <c r="DFN72" s="684"/>
      <c r="DFO72" s="684"/>
      <c r="DFP72" s="684"/>
      <c r="DFQ72" s="684"/>
      <c r="DFR72" s="684"/>
      <c r="DFS72" s="684"/>
      <c r="DFT72" s="684"/>
      <c r="DFU72" s="684"/>
      <c r="DFV72" s="684"/>
      <c r="DFW72" s="684"/>
      <c r="DFX72" s="684"/>
      <c r="DFY72" s="684"/>
      <c r="DFZ72" s="684"/>
      <c r="DGA72" s="684"/>
      <c r="DGB72" s="684"/>
      <c r="DGC72" s="684"/>
      <c r="DGD72" s="684"/>
      <c r="DGE72" s="684"/>
      <c r="DGF72" s="684"/>
      <c r="DGG72" s="684"/>
      <c r="DGH72" s="684"/>
      <c r="DGI72" s="684"/>
      <c r="DGJ72" s="684"/>
      <c r="DGK72" s="684"/>
      <c r="DGL72" s="684"/>
      <c r="DGM72" s="684"/>
      <c r="DGN72" s="684"/>
      <c r="DGO72" s="684"/>
      <c r="DGP72" s="684"/>
      <c r="DGQ72" s="684"/>
      <c r="DGR72" s="684"/>
      <c r="DGS72" s="684"/>
      <c r="DGT72" s="684"/>
      <c r="DGU72" s="684"/>
      <c r="DGV72" s="684"/>
      <c r="DGW72" s="684"/>
      <c r="DGX72" s="684"/>
      <c r="DGY72" s="684"/>
      <c r="DGZ72" s="684"/>
      <c r="DHA72" s="684"/>
      <c r="DHB72" s="684"/>
      <c r="DHC72" s="684"/>
      <c r="DHD72" s="684"/>
      <c r="DHE72" s="684"/>
      <c r="DHF72" s="684"/>
      <c r="DHG72" s="684"/>
      <c r="DHH72" s="684"/>
      <c r="DHI72" s="684"/>
      <c r="DHJ72" s="684"/>
      <c r="DHK72" s="684"/>
      <c r="DHL72" s="684"/>
      <c r="DHM72" s="684"/>
      <c r="DHN72" s="684"/>
      <c r="DHO72" s="684"/>
      <c r="DHP72" s="684"/>
      <c r="DHQ72" s="684"/>
      <c r="DHR72" s="684"/>
      <c r="DHS72" s="684"/>
      <c r="DHT72" s="684"/>
      <c r="DHU72" s="684"/>
      <c r="DHV72" s="684"/>
      <c r="DHW72" s="684"/>
      <c r="DHX72" s="684"/>
      <c r="DHY72" s="684"/>
      <c r="DHZ72" s="684"/>
      <c r="DIA72" s="684"/>
      <c r="DIB72" s="684"/>
      <c r="DIC72" s="684"/>
      <c r="DID72" s="684"/>
      <c r="DIE72" s="684"/>
      <c r="DIF72" s="684"/>
      <c r="DIG72" s="684"/>
      <c r="DIH72" s="684"/>
      <c r="DII72" s="684"/>
      <c r="DIJ72" s="684"/>
      <c r="DIK72" s="684"/>
      <c r="DIL72" s="684"/>
      <c r="DIM72" s="684"/>
      <c r="DIN72" s="684"/>
      <c r="DIO72" s="684"/>
      <c r="DIP72" s="684"/>
      <c r="DIQ72" s="684"/>
      <c r="DIR72" s="684"/>
      <c r="DIS72" s="684"/>
      <c r="DIT72" s="684"/>
      <c r="DIU72" s="684"/>
      <c r="DIV72" s="684"/>
      <c r="DIW72" s="684"/>
      <c r="DIX72" s="684"/>
      <c r="DIY72" s="684"/>
      <c r="DIZ72" s="684"/>
      <c r="DJA72" s="684"/>
      <c r="DJB72" s="684"/>
      <c r="DJC72" s="684"/>
      <c r="DJD72" s="684"/>
      <c r="DJE72" s="684"/>
      <c r="DJF72" s="684"/>
      <c r="DJG72" s="684"/>
      <c r="DJH72" s="684"/>
      <c r="DJI72" s="684"/>
      <c r="DJJ72" s="684"/>
      <c r="DJK72" s="684"/>
      <c r="DJL72" s="684"/>
      <c r="DJM72" s="684"/>
      <c r="DJN72" s="684"/>
      <c r="DJO72" s="684"/>
      <c r="DJP72" s="684"/>
      <c r="DJQ72" s="684"/>
      <c r="DJR72" s="684"/>
      <c r="DJS72" s="684"/>
      <c r="DJT72" s="684"/>
      <c r="DJU72" s="684"/>
      <c r="DJV72" s="684"/>
      <c r="DJW72" s="684"/>
      <c r="DJX72" s="684"/>
      <c r="DJY72" s="684"/>
      <c r="DJZ72" s="684"/>
      <c r="DKA72" s="684"/>
      <c r="DKB72" s="684"/>
      <c r="DKC72" s="684"/>
      <c r="DKD72" s="684"/>
      <c r="DKE72" s="684"/>
      <c r="DKF72" s="684"/>
      <c r="DKG72" s="684"/>
      <c r="DKH72" s="684"/>
      <c r="DKI72" s="684"/>
      <c r="DKJ72" s="684"/>
      <c r="DKK72" s="684"/>
      <c r="DKL72" s="684"/>
      <c r="DKM72" s="684"/>
      <c r="DKN72" s="684"/>
      <c r="DKO72" s="684"/>
      <c r="DKP72" s="684"/>
      <c r="DKQ72" s="684"/>
      <c r="DKR72" s="684"/>
      <c r="DKS72" s="684"/>
      <c r="DKT72" s="684"/>
      <c r="DKU72" s="684"/>
      <c r="DKV72" s="684"/>
      <c r="DKW72" s="684"/>
      <c r="DKX72" s="684"/>
      <c r="DKY72" s="684"/>
      <c r="DKZ72" s="684"/>
      <c r="DLA72" s="684"/>
      <c r="DLB72" s="684"/>
      <c r="DLC72" s="684"/>
      <c r="DLD72" s="684"/>
      <c r="DLE72" s="684"/>
      <c r="DLF72" s="684"/>
      <c r="DLG72" s="684"/>
      <c r="DLH72" s="684"/>
      <c r="DLI72" s="684"/>
      <c r="DLJ72" s="684"/>
      <c r="DLK72" s="684"/>
      <c r="DLL72" s="684"/>
      <c r="DLM72" s="684"/>
      <c r="DLN72" s="684"/>
      <c r="DLO72" s="684"/>
      <c r="DLP72" s="684"/>
      <c r="DLQ72" s="684"/>
      <c r="DLR72" s="684"/>
      <c r="DLS72" s="684"/>
      <c r="DLT72" s="684"/>
      <c r="DLU72" s="684"/>
      <c r="DLV72" s="684"/>
      <c r="DLW72" s="684"/>
      <c r="DLX72" s="684"/>
      <c r="DLY72" s="684"/>
      <c r="DLZ72" s="684"/>
      <c r="DMA72" s="684"/>
      <c r="DMB72" s="684"/>
      <c r="DMC72" s="684"/>
      <c r="DMD72" s="684"/>
      <c r="DME72" s="684"/>
      <c r="DMF72" s="684"/>
      <c r="DMG72" s="684"/>
      <c r="DMH72" s="684"/>
      <c r="DMI72" s="684"/>
      <c r="DMJ72" s="684"/>
      <c r="DMK72" s="684"/>
      <c r="DML72" s="684"/>
      <c r="DMM72" s="684"/>
      <c r="DMN72" s="684"/>
      <c r="DMO72" s="684"/>
      <c r="DMP72" s="684"/>
      <c r="DMQ72" s="684"/>
      <c r="DMR72" s="684"/>
      <c r="DMS72" s="684"/>
      <c r="DMT72" s="684"/>
      <c r="DMU72" s="684"/>
      <c r="DMV72" s="684"/>
      <c r="DMW72" s="684"/>
      <c r="DMX72" s="684"/>
      <c r="DMY72" s="684"/>
      <c r="DMZ72" s="684"/>
      <c r="DNA72" s="684"/>
      <c r="DNB72" s="684"/>
      <c r="DNC72" s="684"/>
      <c r="DND72" s="684"/>
      <c r="DNE72" s="684"/>
      <c r="DNF72" s="684"/>
      <c r="DNG72" s="684"/>
      <c r="DNH72" s="684"/>
      <c r="DNI72" s="684"/>
      <c r="DNJ72" s="684"/>
      <c r="DNK72" s="684"/>
      <c r="DNL72" s="684"/>
      <c r="DNM72" s="684"/>
      <c r="DNN72" s="684"/>
      <c r="DNO72" s="684"/>
      <c r="DNP72" s="684"/>
      <c r="DNQ72" s="684"/>
      <c r="DNR72" s="684"/>
      <c r="DNS72" s="684"/>
      <c r="DNT72" s="684"/>
      <c r="DNU72" s="684"/>
      <c r="DNV72" s="684"/>
      <c r="DNW72" s="684"/>
      <c r="DNX72" s="684"/>
      <c r="DNY72" s="684"/>
      <c r="DNZ72" s="684"/>
      <c r="DOA72" s="684"/>
      <c r="DOB72" s="684"/>
      <c r="DOC72" s="684"/>
      <c r="DOD72" s="684"/>
      <c r="DOE72" s="684"/>
      <c r="DOF72" s="684"/>
      <c r="DOG72" s="684"/>
      <c r="DOH72" s="684"/>
      <c r="DOI72" s="684"/>
      <c r="DOJ72" s="684"/>
      <c r="DOK72" s="684"/>
      <c r="DOL72" s="684"/>
      <c r="DOM72" s="684"/>
      <c r="DON72" s="684"/>
      <c r="DOO72" s="684"/>
      <c r="DOP72" s="684"/>
      <c r="DOQ72" s="684"/>
      <c r="DOR72" s="684"/>
      <c r="DOS72" s="684"/>
      <c r="DOT72" s="684"/>
      <c r="DOU72" s="684"/>
      <c r="DOV72" s="684"/>
      <c r="DOW72" s="684"/>
      <c r="DOX72" s="684"/>
      <c r="DOY72" s="684"/>
      <c r="DOZ72" s="684"/>
      <c r="DPA72" s="684"/>
      <c r="DPB72" s="684"/>
      <c r="DPC72" s="684"/>
      <c r="DPD72" s="684"/>
      <c r="DPE72" s="684"/>
      <c r="DPF72" s="684"/>
      <c r="DPG72" s="684"/>
      <c r="DPH72" s="684"/>
      <c r="DPI72" s="684"/>
      <c r="DPJ72" s="684"/>
      <c r="DPK72" s="684"/>
      <c r="DPL72" s="684"/>
      <c r="DPM72" s="684"/>
      <c r="DPN72" s="684"/>
      <c r="DPO72" s="684"/>
      <c r="DPP72" s="684"/>
      <c r="DPQ72" s="684"/>
      <c r="DPR72" s="684"/>
      <c r="DPS72" s="684"/>
      <c r="DPT72" s="684"/>
      <c r="DPU72" s="684"/>
      <c r="DPV72" s="684"/>
      <c r="DPW72" s="684"/>
      <c r="DPX72" s="684"/>
      <c r="DPY72" s="684"/>
      <c r="DPZ72" s="684"/>
      <c r="DQA72" s="684"/>
      <c r="DQB72" s="684"/>
      <c r="DQC72" s="684"/>
      <c r="DQD72" s="684"/>
      <c r="DQE72" s="684"/>
      <c r="DQF72" s="684"/>
      <c r="DQG72" s="684"/>
      <c r="DQH72" s="684"/>
      <c r="DQI72" s="684"/>
      <c r="DQJ72" s="684"/>
      <c r="DQK72" s="684"/>
      <c r="DQL72" s="684"/>
      <c r="DQM72" s="684"/>
      <c r="DQN72" s="684"/>
      <c r="DQO72" s="684"/>
      <c r="DQP72" s="684"/>
      <c r="DQQ72" s="684"/>
      <c r="DQR72" s="684"/>
      <c r="DQS72" s="684"/>
      <c r="DQT72" s="684"/>
      <c r="DQU72" s="684"/>
      <c r="DQV72" s="684"/>
      <c r="DQW72" s="684"/>
      <c r="DQX72" s="684"/>
      <c r="DQY72" s="684"/>
      <c r="DQZ72" s="684"/>
      <c r="DRA72" s="684"/>
      <c r="DRB72" s="684"/>
      <c r="DRC72" s="684"/>
      <c r="DRD72" s="684"/>
      <c r="DRE72" s="684"/>
      <c r="DRF72" s="684"/>
      <c r="DRG72" s="684"/>
      <c r="DRH72" s="684"/>
      <c r="DRI72" s="684"/>
      <c r="DRJ72" s="684"/>
      <c r="DRK72" s="684"/>
      <c r="DRL72" s="684"/>
      <c r="DRM72" s="684"/>
      <c r="DRN72" s="684"/>
      <c r="DRO72" s="684"/>
      <c r="DRP72" s="684"/>
      <c r="DRQ72" s="684"/>
      <c r="DRR72" s="684"/>
      <c r="DRS72" s="684"/>
      <c r="DRT72" s="684"/>
      <c r="DRU72" s="684"/>
      <c r="DRV72" s="684"/>
      <c r="DRW72" s="684"/>
      <c r="DRX72" s="684"/>
      <c r="DRY72" s="684"/>
      <c r="DRZ72" s="684"/>
      <c r="DSA72" s="684"/>
      <c r="DSB72" s="684"/>
      <c r="DSC72" s="684"/>
      <c r="DSD72" s="684"/>
      <c r="DSE72" s="684"/>
      <c r="DSF72" s="684"/>
      <c r="DSG72" s="684"/>
      <c r="DSH72" s="684"/>
      <c r="DSI72" s="684"/>
      <c r="DSJ72" s="684"/>
      <c r="DSK72" s="684"/>
      <c r="DSL72" s="684"/>
      <c r="DSM72" s="684"/>
      <c r="DSN72" s="684"/>
      <c r="DSO72" s="684"/>
      <c r="DSP72" s="684"/>
      <c r="DSQ72" s="684"/>
      <c r="DSR72" s="684"/>
      <c r="DSS72" s="684"/>
      <c r="DST72" s="684"/>
      <c r="DSU72" s="684"/>
      <c r="DSV72" s="684"/>
      <c r="DSW72" s="684"/>
      <c r="DSX72" s="684"/>
      <c r="DSY72" s="684"/>
      <c r="DSZ72" s="684"/>
      <c r="DTA72" s="684"/>
      <c r="DTB72" s="684"/>
      <c r="DTC72" s="684"/>
      <c r="DTD72" s="684"/>
      <c r="DTE72" s="684"/>
      <c r="DTF72" s="684"/>
      <c r="DTG72" s="684"/>
      <c r="DTH72" s="684"/>
      <c r="DTI72" s="684"/>
      <c r="DTJ72" s="684"/>
      <c r="DTK72" s="684"/>
      <c r="DTL72" s="684"/>
      <c r="DTM72" s="684"/>
      <c r="DTN72" s="684"/>
      <c r="DTO72" s="684"/>
      <c r="DTP72" s="684"/>
      <c r="DTQ72" s="684"/>
      <c r="DTR72" s="684"/>
      <c r="DTS72" s="684"/>
      <c r="DTT72" s="684"/>
      <c r="DTU72" s="684"/>
      <c r="DTV72" s="684"/>
      <c r="DTW72" s="684"/>
      <c r="DTX72" s="684"/>
      <c r="DTY72" s="684"/>
      <c r="DTZ72" s="684"/>
      <c r="DUA72" s="684"/>
      <c r="DUB72" s="684"/>
      <c r="DUC72" s="684"/>
      <c r="DUD72" s="684"/>
      <c r="DUE72" s="684"/>
      <c r="DUF72" s="684"/>
      <c r="DUG72" s="684"/>
      <c r="DUH72" s="684"/>
      <c r="DUI72" s="684"/>
      <c r="DUJ72" s="684"/>
      <c r="DUK72" s="684"/>
      <c r="DUL72" s="684"/>
      <c r="DUM72" s="684"/>
      <c r="DUN72" s="684"/>
      <c r="DUO72" s="684"/>
      <c r="DUP72" s="684"/>
      <c r="DUQ72" s="684"/>
      <c r="DUR72" s="684"/>
      <c r="DUS72" s="684"/>
      <c r="DUT72" s="684"/>
      <c r="DUU72" s="684"/>
      <c r="DUV72" s="684"/>
      <c r="DUW72" s="684"/>
      <c r="DUX72" s="684"/>
      <c r="DUY72" s="684"/>
      <c r="DUZ72" s="684"/>
      <c r="DVA72" s="684"/>
      <c r="DVB72" s="684"/>
      <c r="DVC72" s="684"/>
      <c r="DVD72" s="684"/>
      <c r="DVE72" s="684"/>
      <c r="DVF72" s="684"/>
      <c r="DVG72" s="684"/>
      <c r="DVH72" s="684"/>
      <c r="DVI72" s="684"/>
      <c r="DVJ72" s="684"/>
      <c r="DVK72" s="684"/>
      <c r="DVL72" s="684"/>
      <c r="DVM72" s="684"/>
      <c r="DVN72" s="684"/>
      <c r="DVO72" s="684"/>
      <c r="DVP72" s="684"/>
      <c r="DVQ72" s="684"/>
      <c r="DVR72" s="684"/>
      <c r="DVS72" s="684"/>
      <c r="DVT72" s="684"/>
      <c r="DVU72" s="684"/>
      <c r="DVV72" s="684"/>
      <c r="DVW72" s="684"/>
      <c r="DVX72" s="684"/>
      <c r="DVY72" s="684"/>
      <c r="DVZ72" s="684"/>
      <c r="DWA72" s="684"/>
      <c r="DWB72" s="684"/>
      <c r="DWC72" s="684"/>
      <c r="DWD72" s="684"/>
      <c r="DWE72" s="684"/>
      <c r="DWF72" s="684"/>
      <c r="DWG72" s="684"/>
      <c r="DWH72" s="684"/>
      <c r="DWI72" s="684"/>
      <c r="DWJ72" s="684"/>
      <c r="DWK72" s="684"/>
      <c r="DWL72" s="684"/>
      <c r="DWM72" s="684"/>
      <c r="DWN72" s="684"/>
      <c r="DWO72" s="684"/>
      <c r="DWP72" s="684"/>
      <c r="DWQ72" s="684"/>
      <c r="DWR72" s="684"/>
      <c r="DWS72" s="684"/>
      <c r="DWT72" s="684"/>
      <c r="DWU72" s="684"/>
      <c r="DWV72" s="684"/>
      <c r="DWW72" s="684"/>
      <c r="DWX72" s="684"/>
      <c r="DWY72" s="684"/>
      <c r="DWZ72" s="684"/>
      <c r="DXA72" s="684"/>
      <c r="DXB72" s="684"/>
      <c r="DXC72" s="684"/>
      <c r="DXD72" s="684"/>
      <c r="DXE72" s="684"/>
      <c r="DXF72" s="684"/>
      <c r="DXG72" s="684"/>
      <c r="DXH72" s="684"/>
      <c r="DXI72" s="684"/>
      <c r="DXJ72" s="684"/>
      <c r="DXK72" s="684"/>
      <c r="DXL72" s="684"/>
      <c r="DXM72" s="684"/>
      <c r="DXN72" s="684"/>
      <c r="DXO72" s="684"/>
      <c r="DXP72" s="684"/>
      <c r="DXQ72" s="684"/>
      <c r="DXR72" s="684"/>
      <c r="DXS72" s="684"/>
      <c r="DXT72" s="684"/>
      <c r="DXU72" s="684"/>
      <c r="DXV72" s="684"/>
      <c r="DXW72" s="684"/>
      <c r="DXX72" s="684"/>
      <c r="DXY72" s="684"/>
      <c r="DXZ72" s="684"/>
      <c r="DYA72" s="684"/>
      <c r="DYB72" s="684"/>
      <c r="DYC72" s="684"/>
      <c r="DYD72" s="684"/>
      <c r="DYE72" s="684"/>
      <c r="DYF72" s="684"/>
      <c r="DYG72" s="684"/>
      <c r="DYH72" s="684"/>
      <c r="DYI72" s="684"/>
      <c r="DYJ72" s="684"/>
      <c r="DYK72" s="684"/>
      <c r="DYL72" s="684"/>
      <c r="DYM72" s="684"/>
      <c r="DYN72" s="684"/>
      <c r="DYO72" s="684"/>
      <c r="DYP72" s="684"/>
      <c r="DYQ72" s="684"/>
      <c r="DYR72" s="684"/>
      <c r="DYS72" s="684"/>
      <c r="DYT72" s="684"/>
      <c r="DYU72" s="684"/>
      <c r="DYV72" s="684"/>
      <c r="DYW72" s="684"/>
      <c r="DYX72" s="684"/>
      <c r="DYY72" s="684"/>
      <c r="DYZ72" s="684"/>
      <c r="DZA72" s="684"/>
      <c r="DZB72" s="684"/>
      <c r="DZC72" s="684"/>
      <c r="DZD72" s="684"/>
      <c r="DZE72" s="684"/>
      <c r="DZF72" s="684"/>
      <c r="DZG72" s="684"/>
      <c r="DZH72" s="684"/>
      <c r="DZI72" s="684"/>
      <c r="DZJ72" s="684"/>
      <c r="DZK72" s="684"/>
      <c r="DZL72" s="684"/>
      <c r="DZM72" s="684"/>
      <c r="DZN72" s="684"/>
      <c r="DZO72" s="684"/>
      <c r="DZP72" s="684"/>
      <c r="DZQ72" s="684"/>
      <c r="DZR72" s="684"/>
      <c r="DZS72" s="684"/>
      <c r="DZT72" s="684"/>
      <c r="DZU72" s="684"/>
      <c r="DZV72" s="684"/>
      <c r="DZW72" s="684"/>
      <c r="DZX72" s="684"/>
      <c r="DZY72" s="684"/>
      <c r="DZZ72" s="684"/>
      <c r="EAA72" s="684"/>
      <c r="EAB72" s="684"/>
      <c r="EAC72" s="684"/>
      <c r="EAD72" s="684"/>
      <c r="EAE72" s="684"/>
      <c r="EAF72" s="684"/>
      <c r="EAG72" s="684"/>
      <c r="EAH72" s="684"/>
      <c r="EAI72" s="684"/>
      <c r="EAJ72" s="684"/>
      <c r="EAK72" s="684"/>
      <c r="EAL72" s="684"/>
      <c r="EAM72" s="684"/>
      <c r="EAN72" s="684"/>
      <c r="EAO72" s="684"/>
      <c r="EAP72" s="684"/>
      <c r="EAQ72" s="684"/>
      <c r="EAR72" s="684"/>
      <c r="EAS72" s="684"/>
      <c r="EAT72" s="684"/>
      <c r="EAU72" s="684"/>
      <c r="EAV72" s="684"/>
      <c r="EAW72" s="684"/>
      <c r="EAX72" s="684"/>
      <c r="EAY72" s="684"/>
      <c r="EAZ72" s="684"/>
      <c r="EBA72" s="684"/>
      <c r="EBB72" s="684"/>
      <c r="EBC72" s="684"/>
      <c r="EBD72" s="684"/>
      <c r="EBE72" s="684"/>
      <c r="EBF72" s="684"/>
      <c r="EBG72" s="684"/>
      <c r="EBH72" s="684"/>
      <c r="EBI72" s="684"/>
      <c r="EBJ72" s="684"/>
      <c r="EBK72" s="684"/>
      <c r="EBL72" s="684"/>
      <c r="EBM72" s="684"/>
      <c r="EBN72" s="684"/>
      <c r="EBO72" s="684"/>
      <c r="EBP72" s="684"/>
      <c r="EBQ72" s="684"/>
      <c r="EBR72" s="684"/>
      <c r="EBS72" s="684"/>
      <c r="EBT72" s="684"/>
      <c r="EBU72" s="684"/>
      <c r="EBV72" s="684"/>
      <c r="EBW72" s="684"/>
      <c r="EBX72" s="684"/>
      <c r="EBY72" s="684"/>
      <c r="EBZ72" s="684"/>
      <c r="ECA72" s="684"/>
      <c r="ECB72" s="684"/>
      <c r="ECC72" s="684"/>
      <c r="ECD72" s="684"/>
      <c r="ECE72" s="684"/>
      <c r="ECF72" s="684"/>
      <c r="ECG72" s="684"/>
      <c r="ECH72" s="684"/>
      <c r="ECI72" s="684"/>
      <c r="ECJ72" s="684"/>
      <c r="ECK72" s="684"/>
      <c r="ECL72" s="684"/>
      <c r="ECM72" s="684"/>
      <c r="ECN72" s="684"/>
      <c r="ECO72" s="684"/>
      <c r="ECP72" s="684"/>
      <c r="ECQ72" s="684"/>
      <c r="ECR72" s="684"/>
      <c r="ECS72" s="684"/>
      <c r="ECT72" s="684"/>
      <c r="ECU72" s="684"/>
      <c r="ECV72" s="684"/>
      <c r="ECW72" s="684"/>
      <c r="ECX72" s="684"/>
      <c r="ECY72" s="684"/>
      <c r="ECZ72" s="684"/>
      <c r="EDA72" s="684"/>
      <c r="EDB72" s="684"/>
      <c r="EDC72" s="684"/>
      <c r="EDD72" s="684"/>
      <c r="EDE72" s="684"/>
      <c r="EDF72" s="684"/>
      <c r="EDG72" s="684"/>
      <c r="EDH72" s="684"/>
      <c r="EDI72" s="684"/>
      <c r="EDJ72" s="684"/>
      <c r="EDK72" s="684"/>
      <c r="EDL72" s="684"/>
      <c r="EDM72" s="684"/>
      <c r="EDN72" s="684"/>
      <c r="EDO72" s="684"/>
      <c r="EDP72" s="684"/>
      <c r="EDQ72" s="684"/>
      <c r="EDR72" s="684"/>
      <c r="EDS72" s="684"/>
      <c r="EDT72" s="684"/>
      <c r="EDU72" s="684"/>
      <c r="EDV72" s="684"/>
      <c r="EDW72" s="684"/>
      <c r="EDX72" s="684"/>
      <c r="EDY72" s="684"/>
      <c r="EDZ72" s="684"/>
      <c r="EEA72" s="684"/>
      <c r="EEB72" s="684"/>
      <c r="EEC72" s="684"/>
      <c r="EED72" s="684"/>
      <c r="EEE72" s="684"/>
      <c r="EEF72" s="684"/>
      <c r="EEG72" s="684"/>
      <c r="EEH72" s="684"/>
      <c r="EEI72" s="684"/>
      <c r="EEJ72" s="684"/>
      <c r="EEK72" s="684"/>
      <c r="EEL72" s="684"/>
      <c r="EEM72" s="684"/>
      <c r="EEN72" s="684"/>
      <c r="EEO72" s="684"/>
      <c r="EEP72" s="684"/>
      <c r="EEQ72" s="684"/>
      <c r="EER72" s="684"/>
      <c r="EES72" s="684"/>
      <c r="EET72" s="684"/>
      <c r="EEU72" s="684"/>
      <c r="EEV72" s="684"/>
      <c r="EEW72" s="684"/>
      <c r="EEX72" s="684"/>
      <c r="EEY72" s="684"/>
      <c r="EEZ72" s="684"/>
      <c r="EFA72" s="684"/>
      <c r="EFB72" s="684"/>
      <c r="EFC72" s="684"/>
      <c r="EFD72" s="684"/>
      <c r="EFE72" s="684"/>
      <c r="EFF72" s="684"/>
      <c r="EFG72" s="684"/>
      <c r="EFH72" s="684"/>
      <c r="EFI72" s="684"/>
      <c r="EFJ72" s="684"/>
      <c r="EFK72" s="684"/>
      <c r="EFL72" s="684"/>
      <c r="EFM72" s="684"/>
      <c r="EFN72" s="684"/>
      <c r="EFO72" s="684"/>
      <c r="EFP72" s="684"/>
      <c r="EFQ72" s="684"/>
      <c r="EFR72" s="684"/>
      <c r="EFS72" s="684"/>
      <c r="EFT72" s="684"/>
      <c r="EFU72" s="684"/>
      <c r="EFV72" s="684"/>
      <c r="EFW72" s="684"/>
      <c r="EFX72" s="684"/>
      <c r="EFY72" s="684"/>
      <c r="EFZ72" s="684"/>
      <c r="EGA72" s="684"/>
      <c r="EGB72" s="684"/>
      <c r="EGC72" s="684"/>
      <c r="EGD72" s="684"/>
      <c r="EGE72" s="684"/>
      <c r="EGF72" s="684"/>
      <c r="EGG72" s="684"/>
      <c r="EGH72" s="684"/>
      <c r="EGI72" s="684"/>
      <c r="EGJ72" s="684"/>
      <c r="EGK72" s="684"/>
      <c r="EGL72" s="684"/>
      <c r="EGM72" s="684"/>
      <c r="EGN72" s="684"/>
      <c r="EGO72" s="684"/>
      <c r="EGP72" s="684"/>
      <c r="EGQ72" s="684"/>
      <c r="EGR72" s="684"/>
      <c r="EGS72" s="684"/>
      <c r="EGT72" s="684"/>
      <c r="EGU72" s="684"/>
      <c r="EGV72" s="684"/>
      <c r="EGW72" s="684"/>
      <c r="EGX72" s="684"/>
      <c r="EGY72" s="684"/>
      <c r="EGZ72" s="684"/>
      <c r="EHA72" s="684"/>
      <c r="EHB72" s="684"/>
      <c r="EHC72" s="684"/>
      <c r="EHD72" s="684"/>
      <c r="EHE72" s="684"/>
      <c r="EHF72" s="684"/>
      <c r="EHG72" s="684"/>
      <c r="EHH72" s="684"/>
      <c r="EHI72" s="684"/>
      <c r="EHJ72" s="684"/>
      <c r="EHK72" s="684"/>
      <c r="EHL72" s="684"/>
      <c r="EHM72" s="684"/>
      <c r="EHN72" s="684"/>
      <c r="EHO72" s="684"/>
      <c r="EHP72" s="684"/>
      <c r="EHQ72" s="684"/>
      <c r="EHR72" s="684"/>
      <c r="EHS72" s="684"/>
      <c r="EHT72" s="684"/>
      <c r="EHU72" s="684"/>
      <c r="EHV72" s="684"/>
      <c r="EHW72" s="684"/>
      <c r="EHX72" s="684"/>
      <c r="EHY72" s="684"/>
      <c r="EHZ72" s="684"/>
      <c r="EIA72" s="684"/>
      <c r="EIB72" s="684"/>
      <c r="EIC72" s="684"/>
      <c r="EID72" s="684"/>
      <c r="EIE72" s="684"/>
      <c r="EIF72" s="684"/>
      <c r="EIG72" s="684"/>
      <c r="EIH72" s="684"/>
      <c r="EII72" s="684"/>
      <c r="EIJ72" s="684"/>
      <c r="EIK72" s="684"/>
      <c r="EIL72" s="684"/>
      <c r="EIM72" s="684"/>
      <c r="EIN72" s="684"/>
      <c r="EIO72" s="684"/>
      <c r="EIP72" s="684"/>
      <c r="EIQ72" s="684"/>
      <c r="EIR72" s="684"/>
      <c r="EIS72" s="684"/>
      <c r="EIT72" s="684"/>
      <c r="EIU72" s="684"/>
      <c r="EIV72" s="684"/>
      <c r="EIW72" s="684"/>
      <c r="EIX72" s="684"/>
      <c r="EIY72" s="684"/>
      <c r="EIZ72" s="684"/>
      <c r="EJA72" s="684"/>
      <c r="EJB72" s="684"/>
      <c r="EJC72" s="684"/>
      <c r="EJD72" s="684"/>
      <c r="EJE72" s="684"/>
      <c r="EJF72" s="684"/>
      <c r="EJG72" s="684"/>
      <c r="EJH72" s="684"/>
      <c r="EJI72" s="684"/>
      <c r="EJJ72" s="684"/>
      <c r="EJK72" s="684"/>
      <c r="EJL72" s="684"/>
      <c r="EJM72" s="684"/>
      <c r="EJN72" s="684"/>
      <c r="EJO72" s="684"/>
      <c r="EJP72" s="684"/>
      <c r="EJQ72" s="684"/>
      <c r="EJR72" s="684"/>
      <c r="EJS72" s="684"/>
      <c r="EJT72" s="684"/>
      <c r="EJU72" s="684"/>
      <c r="EJV72" s="684"/>
      <c r="EJW72" s="684"/>
      <c r="EJX72" s="684"/>
      <c r="EJY72" s="684"/>
      <c r="EJZ72" s="684"/>
      <c r="EKA72" s="684"/>
      <c r="EKB72" s="684"/>
      <c r="EKC72" s="684"/>
      <c r="EKD72" s="684"/>
      <c r="EKE72" s="684"/>
      <c r="EKF72" s="684"/>
      <c r="EKG72" s="684"/>
      <c r="EKH72" s="684"/>
      <c r="EKI72" s="684"/>
      <c r="EKJ72" s="684"/>
      <c r="EKK72" s="684"/>
      <c r="EKL72" s="684"/>
      <c r="EKM72" s="684"/>
      <c r="EKN72" s="684"/>
      <c r="EKO72" s="684"/>
      <c r="EKP72" s="684"/>
      <c r="EKQ72" s="684"/>
      <c r="EKR72" s="684"/>
      <c r="EKS72" s="684"/>
      <c r="EKT72" s="684"/>
      <c r="EKU72" s="684"/>
      <c r="EKV72" s="684"/>
      <c r="EKW72" s="684"/>
      <c r="EKX72" s="684"/>
      <c r="EKY72" s="684"/>
      <c r="EKZ72" s="684"/>
      <c r="ELA72" s="684"/>
      <c r="ELB72" s="684"/>
      <c r="ELC72" s="684"/>
      <c r="ELD72" s="684"/>
      <c r="ELE72" s="684"/>
      <c r="ELF72" s="684"/>
      <c r="ELG72" s="684"/>
      <c r="ELH72" s="684"/>
      <c r="ELI72" s="684"/>
      <c r="ELJ72" s="684"/>
      <c r="ELK72" s="684"/>
      <c r="ELL72" s="684"/>
      <c r="ELM72" s="684"/>
      <c r="ELN72" s="684"/>
      <c r="ELO72" s="684"/>
      <c r="ELP72" s="684"/>
      <c r="ELQ72" s="684"/>
      <c r="ELR72" s="684"/>
      <c r="ELS72" s="684"/>
      <c r="ELT72" s="684"/>
      <c r="ELU72" s="684"/>
      <c r="ELV72" s="684"/>
      <c r="ELW72" s="684"/>
      <c r="ELX72" s="684"/>
      <c r="ELY72" s="684"/>
      <c r="ELZ72" s="684"/>
      <c r="EMA72" s="684"/>
      <c r="EMB72" s="684"/>
      <c r="EMC72" s="684"/>
      <c r="EMD72" s="684"/>
      <c r="EME72" s="684"/>
      <c r="EMF72" s="684"/>
      <c r="EMG72" s="684"/>
      <c r="EMH72" s="684"/>
      <c r="EMI72" s="684"/>
      <c r="EMJ72" s="684"/>
      <c r="EMK72" s="684"/>
      <c r="EML72" s="684"/>
      <c r="EMM72" s="684"/>
      <c r="EMN72" s="684"/>
      <c r="EMO72" s="684"/>
      <c r="EMP72" s="684"/>
      <c r="EMQ72" s="684"/>
      <c r="EMR72" s="684"/>
      <c r="EMS72" s="684"/>
      <c r="EMT72" s="684"/>
      <c r="EMU72" s="684"/>
      <c r="EMV72" s="684"/>
      <c r="EMW72" s="684"/>
      <c r="EMX72" s="684"/>
      <c r="EMY72" s="684"/>
      <c r="EMZ72" s="684"/>
      <c r="ENA72" s="684"/>
      <c r="ENB72" s="684"/>
      <c r="ENC72" s="684"/>
      <c r="END72" s="684"/>
      <c r="ENE72" s="684"/>
      <c r="ENF72" s="684"/>
      <c r="ENG72" s="684"/>
      <c r="ENH72" s="684"/>
      <c r="ENI72" s="684"/>
      <c r="ENJ72" s="684"/>
      <c r="ENK72" s="684"/>
      <c r="ENL72" s="684"/>
      <c r="ENM72" s="684"/>
      <c r="ENN72" s="684"/>
      <c r="ENO72" s="684"/>
      <c r="ENP72" s="684"/>
      <c r="ENQ72" s="684"/>
      <c r="ENR72" s="684"/>
      <c r="ENS72" s="684"/>
      <c r="ENT72" s="684"/>
      <c r="ENU72" s="684"/>
      <c r="ENV72" s="684"/>
      <c r="ENW72" s="684"/>
      <c r="ENX72" s="684"/>
      <c r="ENY72" s="684"/>
      <c r="ENZ72" s="684"/>
      <c r="EOA72" s="684"/>
      <c r="EOB72" s="684"/>
      <c r="EOC72" s="684"/>
      <c r="EOD72" s="684"/>
      <c r="EOE72" s="684"/>
      <c r="EOF72" s="684"/>
      <c r="EOG72" s="684"/>
      <c r="EOH72" s="684"/>
      <c r="EOI72" s="684"/>
      <c r="EOJ72" s="684"/>
      <c r="EOK72" s="684"/>
      <c r="EOL72" s="684"/>
      <c r="EOM72" s="684"/>
      <c r="EON72" s="684"/>
      <c r="EOO72" s="684"/>
      <c r="EOP72" s="684"/>
      <c r="EOQ72" s="684"/>
      <c r="EOR72" s="684"/>
      <c r="EOS72" s="684"/>
      <c r="EOT72" s="684"/>
      <c r="EOU72" s="684"/>
      <c r="EOV72" s="684"/>
      <c r="EOW72" s="684"/>
      <c r="EOX72" s="684"/>
      <c r="EOY72" s="684"/>
      <c r="EOZ72" s="684"/>
      <c r="EPA72" s="684"/>
      <c r="EPB72" s="684"/>
      <c r="EPC72" s="684"/>
      <c r="EPD72" s="684"/>
      <c r="EPE72" s="684"/>
      <c r="EPF72" s="684"/>
      <c r="EPG72" s="684"/>
      <c r="EPH72" s="684"/>
      <c r="EPI72" s="684"/>
      <c r="EPJ72" s="684"/>
      <c r="EPK72" s="684"/>
      <c r="EPL72" s="684"/>
      <c r="EPM72" s="684"/>
      <c r="EPN72" s="684"/>
      <c r="EPO72" s="684"/>
      <c r="EPP72" s="684"/>
      <c r="EPQ72" s="684"/>
      <c r="EPR72" s="684"/>
      <c r="EPS72" s="684"/>
      <c r="EPT72" s="684"/>
      <c r="EPU72" s="684"/>
      <c r="EPV72" s="684"/>
      <c r="EPW72" s="684"/>
      <c r="EPX72" s="684"/>
      <c r="EPY72" s="684"/>
      <c r="EPZ72" s="684"/>
      <c r="EQA72" s="684"/>
      <c r="EQB72" s="684"/>
      <c r="EQC72" s="684"/>
      <c r="EQD72" s="684"/>
      <c r="EQE72" s="684"/>
      <c r="EQF72" s="684"/>
      <c r="EQG72" s="684"/>
      <c r="EQH72" s="684"/>
      <c r="EQI72" s="684"/>
      <c r="EQJ72" s="684"/>
      <c r="EQK72" s="684"/>
      <c r="EQL72" s="684"/>
      <c r="EQM72" s="684"/>
      <c r="EQN72" s="684"/>
      <c r="EQO72" s="684"/>
      <c r="EQP72" s="684"/>
      <c r="EQQ72" s="684"/>
      <c r="EQR72" s="684"/>
      <c r="EQS72" s="684"/>
      <c r="EQT72" s="684"/>
      <c r="EQU72" s="684"/>
      <c r="EQV72" s="684"/>
      <c r="EQW72" s="684"/>
      <c r="EQX72" s="684"/>
      <c r="EQY72" s="684"/>
      <c r="EQZ72" s="684"/>
      <c r="ERA72" s="684"/>
      <c r="ERB72" s="684"/>
      <c r="ERC72" s="684"/>
      <c r="ERD72" s="684"/>
      <c r="ERE72" s="684"/>
      <c r="ERF72" s="684"/>
      <c r="ERG72" s="684"/>
      <c r="ERH72" s="684"/>
      <c r="ERI72" s="684"/>
      <c r="ERJ72" s="684"/>
      <c r="ERK72" s="684"/>
      <c r="ERL72" s="684"/>
      <c r="ERM72" s="684"/>
      <c r="ERN72" s="684"/>
      <c r="ERO72" s="684"/>
      <c r="ERP72" s="684"/>
      <c r="ERQ72" s="684"/>
      <c r="ERR72" s="684"/>
      <c r="ERS72" s="684"/>
      <c r="ERT72" s="684"/>
      <c r="ERU72" s="684"/>
      <c r="ERV72" s="684"/>
      <c r="ERW72" s="684"/>
      <c r="ERX72" s="684"/>
      <c r="ERY72" s="684"/>
      <c r="ERZ72" s="684"/>
      <c r="ESA72" s="684"/>
      <c r="ESB72" s="684"/>
      <c r="ESC72" s="684"/>
      <c r="ESD72" s="684"/>
      <c r="ESE72" s="684"/>
      <c r="ESF72" s="684"/>
      <c r="ESG72" s="684"/>
      <c r="ESH72" s="684"/>
      <c r="ESI72" s="684"/>
      <c r="ESJ72" s="684"/>
      <c r="ESK72" s="684"/>
      <c r="ESL72" s="684"/>
      <c r="ESM72" s="684"/>
      <c r="ESN72" s="684"/>
      <c r="ESO72" s="684"/>
      <c r="ESP72" s="684"/>
      <c r="ESQ72" s="684"/>
      <c r="ESR72" s="684"/>
      <c r="ESS72" s="684"/>
      <c r="EST72" s="684"/>
      <c r="ESU72" s="684"/>
      <c r="ESV72" s="684"/>
      <c r="ESW72" s="684"/>
      <c r="ESX72" s="684"/>
      <c r="ESY72" s="684"/>
      <c r="ESZ72" s="684"/>
      <c r="ETA72" s="684"/>
      <c r="ETB72" s="684"/>
      <c r="ETC72" s="684"/>
      <c r="ETD72" s="684"/>
      <c r="ETE72" s="684"/>
      <c r="ETF72" s="684"/>
      <c r="ETG72" s="684"/>
      <c r="ETH72" s="684"/>
      <c r="ETI72" s="684"/>
      <c r="ETJ72" s="684"/>
      <c r="ETK72" s="684"/>
      <c r="ETL72" s="684"/>
      <c r="ETM72" s="684"/>
      <c r="ETN72" s="684"/>
      <c r="ETO72" s="684"/>
      <c r="ETP72" s="684"/>
      <c r="ETQ72" s="684"/>
      <c r="ETR72" s="684"/>
      <c r="ETS72" s="684"/>
      <c r="ETT72" s="684"/>
      <c r="ETU72" s="684"/>
      <c r="ETV72" s="684"/>
      <c r="ETW72" s="684"/>
      <c r="ETX72" s="684"/>
      <c r="ETY72" s="684"/>
      <c r="ETZ72" s="684"/>
      <c r="EUA72" s="684"/>
      <c r="EUB72" s="684"/>
      <c r="EUC72" s="684"/>
      <c r="EUD72" s="684"/>
      <c r="EUE72" s="684"/>
      <c r="EUF72" s="684"/>
      <c r="EUG72" s="684"/>
      <c r="EUH72" s="684"/>
      <c r="EUI72" s="684"/>
      <c r="EUJ72" s="684"/>
      <c r="EUK72" s="684"/>
      <c r="EUL72" s="684"/>
      <c r="EUM72" s="684"/>
      <c r="EUN72" s="684"/>
      <c r="EUO72" s="684"/>
      <c r="EUP72" s="684"/>
      <c r="EUQ72" s="684"/>
      <c r="EUR72" s="684"/>
      <c r="EUS72" s="684"/>
      <c r="EUT72" s="684"/>
      <c r="EUU72" s="684"/>
      <c r="EUV72" s="684"/>
      <c r="EUW72" s="684"/>
      <c r="EUX72" s="684"/>
      <c r="EUY72" s="684"/>
      <c r="EUZ72" s="684"/>
      <c r="EVA72" s="684"/>
      <c r="EVB72" s="684"/>
      <c r="EVC72" s="684"/>
      <c r="EVD72" s="684"/>
      <c r="EVE72" s="684"/>
      <c r="EVF72" s="684"/>
      <c r="EVG72" s="684"/>
      <c r="EVH72" s="684"/>
      <c r="EVI72" s="684"/>
      <c r="EVJ72" s="684"/>
      <c r="EVK72" s="684"/>
      <c r="EVL72" s="684"/>
      <c r="EVM72" s="684"/>
      <c r="EVN72" s="684"/>
      <c r="EVO72" s="684"/>
      <c r="EVP72" s="684"/>
      <c r="EVQ72" s="684"/>
      <c r="EVR72" s="684"/>
      <c r="EVS72" s="684"/>
      <c r="EVT72" s="684"/>
      <c r="EVU72" s="684"/>
      <c r="EVV72" s="684"/>
      <c r="EVW72" s="684"/>
      <c r="EVX72" s="684"/>
      <c r="EVY72" s="684"/>
      <c r="EVZ72" s="684"/>
      <c r="EWA72" s="684"/>
      <c r="EWB72" s="684"/>
      <c r="EWC72" s="684"/>
      <c r="EWD72" s="684"/>
      <c r="EWE72" s="684"/>
      <c r="EWF72" s="684"/>
      <c r="EWG72" s="684"/>
      <c r="EWH72" s="684"/>
      <c r="EWI72" s="684"/>
      <c r="EWJ72" s="684"/>
      <c r="EWK72" s="684"/>
      <c r="EWL72" s="684"/>
      <c r="EWM72" s="684"/>
      <c r="EWN72" s="684"/>
      <c r="EWO72" s="684"/>
      <c r="EWP72" s="684"/>
      <c r="EWQ72" s="684"/>
      <c r="EWR72" s="684"/>
      <c r="EWS72" s="684"/>
      <c r="EWT72" s="684"/>
      <c r="EWU72" s="684"/>
      <c r="EWV72" s="684"/>
      <c r="EWW72" s="684"/>
      <c r="EWX72" s="684"/>
      <c r="EWY72" s="684"/>
      <c r="EWZ72" s="684"/>
      <c r="EXA72" s="684"/>
      <c r="EXB72" s="684"/>
      <c r="EXC72" s="684"/>
      <c r="EXD72" s="684"/>
      <c r="EXE72" s="684"/>
      <c r="EXF72" s="684"/>
      <c r="EXG72" s="684"/>
      <c r="EXH72" s="684"/>
      <c r="EXI72" s="684"/>
      <c r="EXJ72" s="684"/>
      <c r="EXK72" s="684"/>
      <c r="EXL72" s="684"/>
      <c r="EXM72" s="684"/>
      <c r="EXN72" s="684"/>
      <c r="EXO72" s="684"/>
      <c r="EXP72" s="684"/>
      <c r="EXQ72" s="684"/>
      <c r="EXR72" s="684"/>
      <c r="EXS72" s="684"/>
      <c r="EXT72" s="684"/>
      <c r="EXU72" s="684"/>
      <c r="EXV72" s="684"/>
      <c r="EXW72" s="684"/>
      <c r="EXX72" s="684"/>
      <c r="EXY72" s="684"/>
      <c r="EXZ72" s="684"/>
      <c r="EYA72" s="684"/>
      <c r="EYB72" s="684"/>
      <c r="EYC72" s="684"/>
      <c r="EYD72" s="684"/>
      <c r="EYE72" s="684"/>
      <c r="EYF72" s="684"/>
      <c r="EYG72" s="684"/>
      <c r="EYH72" s="684"/>
      <c r="EYI72" s="684"/>
      <c r="EYJ72" s="684"/>
      <c r="EYK72" s="684"/>
      <c r="EYL72" s="684"/>
      <c r="EYM72" s="684"/>
      <c r="EYN72" s="684"/>
      <c r="EYO72" s="684"/>
      <c r="EYP72" s="684"/>
      <c r="EYQ72" s="684"/>
      <c r="EYR72" s="684"/>
      <c r="EYS72" s="684"/>
      <c r="EYT72" s="684"/>
      <c r="EYU72" s="684"/>
      <c r="EYV72" s="684"/>
      <c r="EYW72" s="684"/>
      <c r="EYX72" s="684"/>
      <c r="EYY72" s="684"/>
      <c r="EYZ72" s="684"/>
      <c r="EZA72" s="684"/>
      <c r="EZB72" s="684"/>
      <c r="EZC72" s="684"/>
      <c r="EZD72" s="684"/>
      <c r="EZE72" s="684"/>
      <c r="EZF72" s="684"/>
      <c r="EZG72" s="684"/>
      <c r="EZH72" s="684"/>
      <c r="EZI72" s="684"/>
      <c r="EZJ72" s="684"/>
      <c r="EZK72" s="684"/>
      <c r="EZL72" s="684"/>
      <c r="EZM72" s="684"/>
      <c r="EZN72" s="684"/>
      <c r="EZO72" s="684"/>
      <c r="EZP72" s="684"/>
      <c r="EZQ72" s="684"/>
      <c r="EZR72" s="684"/>
      <c r="EZS72" s="684"/>
      <c r="EZT72" s="684"/>
      <c r="EZU72" s="684"/>
      <c r="EZV72" s="684"/>
      <c r="EZW72" s="684"/>
      <c r="EZX72" s="684"/>
      <c r="EZY72" s="684"/>
      <c r="EZZ72" s="684"/>
      <c r="FAA72" s="684"/>
      <c r="FAB72" s="684"/>
      <c r="FAC72" s="684"/>
      <c r="FAD72" s="684"/>
      <c r="FAE72" s="684"/>
      <c r="FAF72" s="684"/>
      <c r="FAG72" s="684"/>
      <c r="FAH72" s="684"/>
      <c r="FAI72" s="684"/>
      <c r="FAJ72" s="684"/>
      <c r="FAK72" s="684"/>
      <c r="FAL72" s="684"/>
      <c r="FAM72" s="684"/>
      <c r="FAN72" s="684"/>
      <c r="FAO72" s="684"/>
      <c r="FAP72" s="684"/>
      <c r="FAQ72" s="684"/>
      <c r="FAR72" s="684"/>
      <c r="FAS72" s="684"/>
      <c r="FAT72" s="684"/>
      <c r="FAU72" s="684"/>
      <c r="FAV72" s="684"/>
      <c r="FAW72" s="684"/>
      <c r="FAX72" s="684"/>
      <c r="FAY72" s="684"/>
      <c r="FAZ72" s="684"/>
      <c r="FBA72" s="684"/>
      <c r="FBB72" s="684"/>
      <c r="FBC72" s="684"/>
      <c r="FBD72" s="684"/>
      <c r="FBE72" s="684"/>
      <c r="FBF72" s="684"/>
      <c r="FBG72" s="684"/>
      <c r="FBH72" s="684"/>
      <c r="FBI72" s="684"/>
      <c r="FBJ72" s="684"/>
      <c r="FBK72" s="684"/>
      <c r="FBL72" s="684"/>
      <c r="FBM72" s="684"/>
      <c r="FBN72" s="684"/>
      <c r="FBO72" s="684"/>
      <c r="FBP72" s="684"/>
      <c r="FBQ72" s="684"/>
      <c r="FBR72" s="684"/>
      <c r="FBS72" s="684"/>
      <c r="FBT72" s="684"/>
      <c r="FBU72" s="684"/>
      <c r="FBV72" s="684"/>
      <c r="FBW72" s="684"/>
      <c r="FBX72" s="684"/>
      <c r="FBY72" s="684"/>
      <c r="FBZ72" s="684"/>
      <c r="FCA72" s="684"/>
      <c r="FCB72" s="684"/>
      <c r="FCC72" s="684"/>
      <c r="FCD72" s="684"/>
      <c r="FCE72" s="684"/>
      <c r="FCF72" s="684"/>
      <c r="FCG72" s="684"/>
      <c r="FCH72" s="684"/>
      <c r="FCI72" s="684"/>
      <c r="FCJ72" s="684"/>
      <c r="FCK72" s="684"/>
      <c r="FCL72" s="684"/>
      <c r="FCM72" s="684"/>
      <c r="FCN72" s="684"/>
      <c r="FCO72" s="684"/>
      <c r="FCP72" s="684"/>
      <c r="FCQ72" s="684"/>
      <c r="FCR72" s="684"/>
      <c r="FCS72" s="684"/>
      <c r="FCT72" s="684"/>
      <c r="FCU72" s="684"/>
      <c r="FCV72" s="684"/>
      <c r="FCW72" s="684"/>
      <c r="FCX72" s="684"/>
      <c r="FCY72" s="684"/>
      <c r="FCZ72" s="684"/>
      <c r="FDA72" s="684"/>
      <c r="FDB72" s="684"/>
      <c r="FDC72" s="684"/>
      <c r="FDD72" s="684"/>
      <c r="FDE72" s="684"/>
      <c r="FDF72" s="684"/>
      <c r="FDG72" s="684"/>
      <c r="FDH72" s="684"/>
      <c r="FDI72" s="684"/>
      <c r="FDJ72" s="684"/>
      <c r="FDK72" s="684"/>
      <c r="FDL72" s="684"/>
      <c r="FDM72" s="684"/>
      <c r="FDN72" s="684"/>
      <c r="FDO72" s="684"/>
      <c r="FDP72" s="684"/>
      <c r="FDQ72" s="684"/>
      <c r="FDR72" s="684"/>
      <c r="FDS72" s="684"/>
      <c r="FDT72" s="684"/>
      <c r="FDU72" s="684"/>
      <c r="FDV72" s="684"/>
      <c r="FDW72" s="684"/>
      <c r="FDX72" s="684"/>
      <c r="FDY72" s="684"/>
      <c r="FDZ72" s="684"/>
      <c r="FEA72" s="684"/>
      <c r="FEB72" s="684"/>
      <c r="FEC72" s="684"/>
      <c r="FED72" s="684"/>
      <c r="FEE72" s="684"/>
      <c r="FEF72" s="684"/>
      <c r="FEG72" s="684"/>
      <c r="FEH72" s="684"/>
      <c r="FEI72" s="684"/>
      <c r="FEJ72" s="684"/>
      <c r="FEK72" s="684"/>
      <c r="FEL72" s="684"/>
      <c r="FEM72" s="684"/>
      <c r="FEN72" s="684"/>
      <c r="FEO72" s="684"/>
      <c r="FEP72" s="684"/>
      <c r="FEQ72" s="684"/>
      <c r="FER72" s="684"/>
      <c r="FES72" s="684"/>
      <c r="FET72" s="684"/>
      <c r="FEU72" s="684"/>
      <c r="FEV72" s="684"/>
      <c r="FEW72" s="684"/>
      <c r="FEX72" s="684"/>
      <c r="FEY72" s="684"/>
      <c r="FEZ72" s="684"/>
      <c r="FFA72" s="684"/>
      <c r="FFB72" s="684"/>
      <c r="FFC72" s="684"/>
      <c r="FFD72" s="684"/>
      <c r="FFE72" s="684"/>
      <c r="FFF72" s="684"/>
      <c r="FFG72" s="684"/>
      <c r="FFH72" s="684"/>
      <c r="FFI72" s="684"/>
      <c r="FFJ72" s="684"/>
      <c r="FFK72" s="684"/>
      <c r="FFL72" s="684"/>
      <c r="FFM72" s="684"/>
      <c r="FFN72" s="684"/>
      <c r="FFO72" s="684"/>
      <c r="FFP72" s="684"/>
      <c r="FFQ72" s="684"/>
      <c r="FFR72" s="684"/>
      <c r="FFS72" s="684"/>
      <c r="FFT72" s="684"/>
      <c r="FFU72" s="684"/>
      <c r="FFV72" s="684"/>
      <c r="FFW72" s="684"/>
      <c r="FFX72" s="684"/>
      <c r="FFY72" s="684"/>
      <c r="FFZ72" s="684"/>
      <c r="FGA72" s="684"/>
      <c r="FGB72" s="684"/>
      <c r="FGC72" s="684"/>
      <c r="FGD72" s="684"/>
      <c r="FGE72" s="684"/>
      <c r="FGF72" s="684"/>
      <c r="FGG72" s="684"/>
      <c r="FGH72" s="684"/>
      <c r="FGI72" s="684"/>
      <c r="FGJ72" s="684"/>
      <c r="FGK72" s="684"/>
      <c r="FGL72" s="684"/>
      <c r="FGM72" s="684"/>
      <c r="FGN72" s="684"/>
      <c r="FGO72" s="684"/>
      <c r="FGP72" s="684"/>
      <c r="FGQ72" s="684"/>
      <c r="FGR72" s="684"/>
      <c r="FGS72" s="684"/>
      <c r="FGT72" s="684"/>
      <c r="FGU72" s="684"/>
      <c r="FGV72" s="684"/>
      <c r="FGW72" s="684"/>
      <c r="FGX72" s="684"/>
      <c r="FGY72" s="684"/>
      <c r="FGZ72" s="684"/>
      <c r="FHA72" s="684"/>
      <c r="FHB72" s="684"/>
      <c r="FHC72" s="684"/>
      <c r="FHD72" s="684"/>
      <c r="FHE72" s="684"/>
      <c r="FHF72" s="684"/>
      <c r="FHG72" s="684"/>
      <c r="FHH72" s="684"/>
      <c r="FHI72" s="684"/>
      <c r="FHJ72" s="684"/>
      <c r="FHK72" s="684"/>
      <c r="FHL72" s="684"/>
      <c r="FHM72" s="684"/>
      <c r="FHN72" s="684"/>
      <c r="FHO72" s="684"/>
      <c r="FHP72" s="684"/>
      <c r="FHQ72" s="684"/>
      <c r="FHR72" s="684"/>
      <c r="FHS72" s="684"/>
      <c r="FHT72" s="684"/>
      <c r="FHU72" s="684"/>
      <c r="FHV72" s="684"/>
      <c r="FHW72" s="684"/>
      <c r="FHX72" s="684"/>
      <c r="FHY72" s="684"/>
      <c r="FHZ72" s="684"/>
      <c r="FIA72" s="684"/>
      <c r="FIB72" s="684"/>
      <c r="FIC72" s="684"/>
      <c r="FID72" s="684"/>
      <c r="FIE72" s="684"/>
      <c r="FIF72" s="684"/>
      <c r="FIG72" s="684"/>
      <c r="FIH72" s="684"/>
      <c r="FII72" s="684"/>
      <c r="FIJ72" s="684"/>
      <c r="FIK72" s="684"/>
      <c r="FIL72" s="684"/>
      <c r="FIM72" s="684"/>
      <c r="FIN72" s="684"/>
      <c r="FIO72" s="684"/>
      <c r="FIP72" s="684"/>
      <c r="FIQ72" s="684"/>
      <c r="FIR72" s="684"/>
      <c r="FIS72" s="684"/>
      <c r="FIT72" s="684"/>
      <c r="FIU72" s="684"/>
      <c r="FIV72" s="684"/>
      <c r="FIW72" s="684"/>
      <c r="FIX72" s="684"/>
      <c r="FIY72" s="684"/>
      <c r="FIZ72" s="684"/>
      <c r="FJA72" s="684"/>
      <c r="FJB72" s="684"/>
      <c r="FJC72" s="684"/>
      <c r="FJD72" s="684"/>
      <c r="FJE72" s="684"/>
      <c r="FJF72" s="684"/>
      <c r="FJG72" s="684"/>
      <c r="FJH72" s="684"/>
      <c r="FJI72" s="684"/>
      <c r="FJJ72" s="684"/>
      <c r="FJK72" s="684"/>
      <c r="FJL72" s="684"/>
      <c r="FJM72" s="684"/>
      <c r="FJN72" s="684"/>
      <c r="FJO72" s="684"/>
      <c r="FJP72" s="684"/>
      <c r="FJQ72" s="684"/>
      <c r="FJR72" s="684"/>
      <c r="FJS72" s="684"/>
      <c r="FJT72" s="684"/>
      <c r="FJU72" s="684"/>
      <c r="FJV72" s="684"/>
      <c r="FJW72" s="684"/>
      <c r="FJX72" s="684"/>
      <c r="FJY72" s="684"/>
      <c r="FJZ72" s="684"/>
      <c r="FKA72" s="684"/>
      <c r="FKB72" s="684"/>
      <c r="FKC72" s="684"/>
      <c r="FKD72" s="684"/>
      <c r="FKE72" s="684"/>
      <c r="FKF72" s="684"/>
      <c r="FKG72" s="684"/>
      <c r="FKH72" s="684"/>
      <c r="FKI72" s="684"/>
      <c r="FKJ72" s="684"/>
      <c r="FKK72" s="684"/>
      <c r="FKL72" s="684"/>
      <c r="FKM72" s="684"/>
      <c r="FKN72" s="684"/>
      <c r="FKO72" s="684"/>
      <c r="FKP72" s="684"/>
      <c r="FKQ72" s="684"/>
      <c r="FKR72" s="684"/>
      <c r="FKS72" s="684"/>
      <c r="FKT72" s="684"/>
      <c r="FKU72" s="684"/>
      <c r="FKV72" s="684"/>
      <c r="FKW72" s="684"/>
      <c r="FKX72" s="684"/>
      <c r="FKY72" s="684"/>
      <c r="FKZ72" s="684"/>
      <c r="FLA72" s="684"/>
      <c r="FLB72" s="684"/>
      <c r="FLC72" s="684"/>
      <c r="FLD72" s="684"/>
      <c r="FLE72" s="684"/>
      <c r="FLF72" s="684"/>
      <c r="FLG72" s="684"/>
      <c r="FLH72" s="684"/>
      <c r="FLI72" s="684"/>
      <c r="FLJ72" s="684"/>
      <c r="FLK72" s="684"/>
      <c r="FLL72" s="684"/>
      <c r="FLM72" s="684"/>
      <c r="FLN72" s="684"/>
      <c r="FLO72" s="684"/>
      <c r="FLP72" s="684"/>
      <c r="FLQ72" s="684"/>
      <c r="FLR72" s="684"/>
      <c r="FLS72" s="684"/>
      <c r="FLT72" s="684"/>
      <c r="FLU72" s="684"/>
      <c r="FLV72" s="684"/>
      <c r="FLW72" s="684"/>
      <c r="FLX72" s="684"/>
      <c r="FLY72" s="684"/>
      <c r="FLZ72" s="684"/>
      <c r="FMA72" s="684"/>
      <c r="FMB72" s="684"/>
      <c r="FMC72" s="684"/>
      <c r="FMD72" s="684"/>
      <c r="FME72" s="684"/>
      <c r="FMF72" s="684"/>
      <c r="FMG72" s="684"/>
      <c r="FMH72" s="684"/>
      <c r="FMI72" s="684"/>
      <c r="FMJ72" s="684"/>
      <c r="FMK72" s="684"/>
      <c r="FML72" s="684"/>
      <c r="FMM72" s="684"/>
      <c r="FMN72" s="684"/>
      <c r="FMO72" s="684"/>
      <c r="FMP72" s="684"/>
      <c r="FMQ72" s="684"/>
      <c r="FMR72" s="684"/>
      <c r="FMS72" s="684"/>
      <c r="FMT72" s="684"/>
      <c r="FMU72" s="684"/>
      <c r="FMV72" s="684"/>
      <c r="FMW72" s="684"/>
      <c r="FMX72" s="684"/>
      <c r="FMY72" s="684"/>
      <c r="FMZ72" s="684"/>
      <c r="FNA72" s="684"/>
      <c r="FNB72" s="684"/>
      <c r="FNC72" s="684"/>
      <c r="FND72" s="684"/>
      <c r="FNE72" s="684"/>
      <c r="FNF72" s="684"/>
      <c r="FNG72" s="684"/>
      <c r="FNH72" s="684"/>
      <c r="FNI72" s="684"/>
      <c r="FNJ72" s="684"/>
      <c r="FNK72" s="684"/>
      <c r="FNL72" s="684"/>
      <c r="FNM72" s="684"/>
      <c r="FNN72" s="684"/>
      <c r="FNO72" s="684"/>
      <c r="FNP72" s="684"/>
      <c r="FNQ72" s="684"/>
      <c r="FNR72" s="684"/>
      <c r="FNS72" s="684"/>
      <c r="FNT72" s="684"/>
      <c r="FNU72" s="684"/>
      <c r="FNV72" s="684"/>
      <c r="FNW72" s="684"/>
      <c r="FNX72" s="684"/>
      <c r="FNY72" s="684"/>
      <c r="FNZ72" s="684"/>
      <c r="FOA72" s="684"/>
      <c r="FOB72" s="684"/>
      <c r="FOC72" s="684"/>
      <c r="FOD72" s="684"/>
      <c r="FOE72" s="684"/>
      <c r="FOF72" s="684"/>
      <c r="FOG72" s="684"/>
      <c r="FOH72" s="684"/>
      <c r="FOI72" s="684"/>
      <c r="FOJ72" s="684"/>
      <c r="FOK72" s="684"/>
      <c r="FOL72" s="684"/>
      <c r="FOM72" s="684"/>
      <c r="FON72" s="684"/>
      <c r="FOO72" s="684"/>
      <c r="FOP72" s="684"/>
      <c r="FOQ72" s="684"/>
      <c r="FOR72" s="684"/>
      <c r="FOS72" s="684"/>
      <c r="FOT72" s="684"/>
      <c r="FOU72" s="684"/>
      <c r="FOV72" s="684"/>
      <c r="FOW72" s="684"/>
      <c r="FOX72" s="684"/>
      <c r="FOY72" s="684"/>
      <c r="FOZ72" s="684"/>
      <c r="FPA72" s="684"/>
      <c r="FPB72" s="684"/>
      <c r="FPC72" s="684"/>
      <c r="FPD72" s="684"/>
      <c r="FPE72" s="684"/>
      <c r="FPF72" s="684"/>
      <c r="FPG72" s="684"/>
      <c r="FPH72" s="684"/>
      <c r="FPI72" s="684"/>
      <c r="FPJ72" s="684"/>
      <c r="FPK72" s="684"/>
      <c r="FPL72" s="684"/>
      <c r="FPM72" s="684"/>
      <c r="FPN72" s="684"/>
      <c r="FPO72" s="684"/>
      <c r="FPP72" s="684"/>
      <c r="FPQ72" s="684"/>
      <c r="FPR72" s="684"/>
      <c r="FPS72" s="684"/>
      <c r="FPT72" s="684"/>
      <c r="FPU72" s="684"/>
      <c r="FPV72" s="684"/>
      <c r="FPW72" s="684"/>
      <c r="FPX72" s="684"/>
      <c r="FPY72" s="684"/>
      <c r="FPZ72" s="684"/>
      <c r="FQA72" s="684"/>
      <c r="FQB72" s="684"/>
      <c r="FQC72" s="684"/>
      <c r="FQD72" s="684"/>
      <c r="FQE72" s="684"/>
      <c r="FQF72" s="684"/>
      <c r="FQG72" s="684"/>
      <c r="FQH72" s="684"/>
      <c r="FQI72" s="684"/>
      <c r="FQJ72" s="684"/>
      <c r="FQK72" s="684"/>
      <c r="FQL72" s="684"/>
      <c r="FQM72" s="684"/>
      <c r="FQN72" s="684"/>
      <c r="FQO72" s="684"/>
      <c r="FQP72" s="684"/>
      <c r="FQQ72" s="684"/>
      <c r="FQR72" s="684"/>
      <c r="FQS72" s="684"/>
      <c r="FQT72" s="684"/>
      <c r="FQU72" s="684"/>
      <c r="FQV72" s="684"/>
      <c r="FQW72" s="684"/>
      <c r="FQX72" s="684"/>
      <c r="FQY72" s="684"/>
      <c r="FQZ72" s="684"/>
      <c r="FRA72" s="684"/>
      <c r="FRB72" s="684"/>
      <c r="FRC72" s="684"/>
      <c r="FRD72" s="684"/>
      <c r="FRE72" s="684"/>
      <c r="FRF72" s="684"/>
      <c r="FRG72" s="684"/>
      <c r="FRH72" s="684"/>
      <c r="FRI72" s="684"/>
      <c r="FRJ72" s="684"/>
      <c r="FRK72" s="684"/>
      <c r="FRL72" s="684"/>
      <c r="FRM72" s="684"/>
      <c r="FRN72" s="684"/>
      <c r="FRO72" s="684"/>
      <c r="FRP72" s="684"/>
      <c r="FRQ72" s="684"/>
      <c r="FRR72" s="684"/>
      <c r="FRS72" s="684"/>
      <c r="FRT72" s="684"/>
      <c r="FRU72" s="684"/>
      <c r="FRV72" s="684"/>
      <c r="FRW72" s="684"/>
      <c r="FRX72" s="684"/>
      <c r="FRY72" s="684"/>
      <c r="FRZ72" s="684"/>
      <c r="FSA72" s="684"/>
      <c r="FSB72" s="684"/>
      <c r="FSC72" s="684"/>
      <c r="FSD72" s="684"/>
      <c r="FSE72" s="684"/>
      <c r="FSF72" s="684"/>
      <c r="FSG72" s="684"/>
      <c r="FSH72" s="684"/>
      <c r="FSI72" s="684"/>
      <c r="FSJ72" s="684"/>
      <c r="FSK72" s="684"/>
      <c r="FSL72" s="684"/>
      <c r="FSM72" s="684"/>
      <c r="FSN72" s="684"/>
      <c r="FSO72" s="684"/>
      <c r="FSP72" s="684"/>
      <c r="FSQ72" s="684"/>
      <c r="FSR72" s="684"/>
      <c r="FSS72" s="684"/>
      <c r="FST72" s="684"/>
      <c r="FSU72" s="684"/>
      <c r="FSV72" s="684"/>
      <c r="FSW72" s="684"/>
      <c r="FSX72" s="684"/>
      <c r="FSY72" s="684"/>
      <c r="FSZ72" s="684"/>
      <c r="FTA72" s="684"/>
      <c r="FTB72" s="684"/>
      <c r="FTC72" s="684"/>
      <c r="FTD72" s="684"/>
      <c r="FTE72" s="684"/>
      <c r="FTF72" s="684"/>
      <c r="FTG72" s="684"/>
      <c r="FTH72" s="684"/>
      <c r="FTI72" s="684"/>
      <c r="FTJ72" s="684"/>
      <c r="FTK72" s="684"/>
      <c r="FTL72" s="684"/>
      <c r="FTM72" s="684"/>
      <c r="FTN72" s="684"/>
      <c r="FTO72" s="684"/>
      <c r="FTP72" s="684"/>
      <c r="FTQ72" s="684"/>
      <c r="FTR72" s="684"/>
      <c r="FTS72" s="684"/>
      <c r="FTT72" s="684"/>
      <c r="FTU72" s="684"/>
      <c r="FTV72" s="684"/>
      <c r="FTW72" s="684"/>
      <c r="FTX72" s="684"/>
      <c r="FTY72" s="684"/>
      <c r="FTZ72" s="684"/>
      <c r="FUA72" s="684"/>
      <c r="FUB72" s="684"/>
      <c r="FUC72" s="684"/>
      <c r="FUD72" s="684"/>
      <c r="FUE72" s="684"/>
      <c r="FUF72" s="684"/>
      <c r="FUG72" s="684"/>
      <c r="FUH72" s="684"/>
      <c r="FUI72" s="684"/>
      <c r="FUJ72" s="684"/>
      <c r="FUK72" s="684"/>
      <c r="FUL72" s="684"/>
      <c r="FUM72" s="684"/>
      <c r="FUN72" s="684"/>
      <c r="FUO72" s="684"/>
      <c r="FUP72" s="684"/>
      <c r="FUQ72" s="684"/>
      <c r="FUR72" s="684"/>
      <c r="FUS72" s="684"/>
      <c r="FUT72" s="684"/>
      <c r="FUU72" s="684"/>
      <c r="FUV72" s="684"/>
      <c r="FUW72" s="684"/>
      <c r="FUX72" s="684"/>
      <c r="FUY72" s="684"/>
      <c r="FUZ72" s="684"/>
      <c r="FVA72" s="684"/>
      <c r="FVB72" s="684"/>
      <c r="FVC72" s="684"/>
      <c r="FVD72" s="684"/>
      <c r="FVE72" s="684"/>
      <c r="FVF72" s="684"/>
      <c r="FVG72" s="684"/>
      <c r="FVH72" s="684"/>
      <c r="FVI72" s="684"/>
      <c r="FVJ72" s="684"/>
      <c r="FVK72" s="684"/>
      <c r="FVL72" s="684"/>
      <c r="FVM72" s="684"/>
      <c r="FVN72" s="684"/>
      <c r="FVO72" s="684"/>
      <c r="FVP72" s="684"/>
      <c r="FVQ72" s="684"/>
      <c r="FVR72" s="684"/>
      <c r="FVS72" s="684"/>
      <c r="FVT72" s="684"/>
      <c r="FVU72" s="684"/>
      <c r="FVV72" s="684"/>
      <c r="FVW72" s="684"/>
      <c r="FVX72" s="684"/>
      <c r="FVY72" s="684"/>
      <c r="FVZ72" s="684"/>
      <c r="FWA72" s="684"/>
      <c r="FWB72" s="684"/>
      <c r="FWC72" s="684"/>
      <c r="FWD72" s="684"/>
      <c r="FWE72" s="684"/>
      <c r="FWF72" s="684"/>
      <c r="FWG72" s="684"/>
      <c r="FWH72" s="684"/>
      <c r="FWI72" s="684"/>
      <c r="FWJ72" s="684"/>
      <c r="FWK72" s="684"/>
      <c r="FWL72" s="684"/>
      <c r="FWM72" s="684"/>
      <c r="FWN72" s="684"/>
      <c r="FWO72" s="684"/>
      <c r="FWP72" s="684"/>
      <c r="FWQ72" s="684"/>
      <c r="FWR72" s="684"/>
      <c r="FWS72" s="684"/>
      <c r="FWT72" s="684"/>
      <c r="FWU72" s="684"/>
      <c r="FWV72" s="684"/>
      <c r="FWW72" s="684"/>
      <c r="FWX72" s="684"/>
      <c r="FWY72" s="684"/>
      <c r="FWZ72" s="684"/>
      <c r="FXA72" s="684"/>
      <c r="FXB72" s="684"/>
      <c r="FXC72" s="684"/>
      <c r="FXD72" s="684"/>
      <c r="FXE72" s="684"/>
      <c r="FXF72" s="684"/>
      <c r="FXG72" s="684"/>
      <c r="FXH72" s="684"/>
      <c r="FXI72" s="684"/>
      <c r="FXJ72" s="684"/>
      <c r="FXK72" s="684"/>
      <c r="FXL72" s="684"/>
      <c r="FXM72" s="684"/>
      <c r="FXN72" s="684"/>
      <c r="FXO72" s="684"/>
      <c r="FXP72" s="684"/>
      <c r="FXQ72" s="684"/>
      <c r="FXR72" s="684"/>
      <c r="FXS72" s="684"/>
      <c r="FXT72" s="684"/>
      <c r="FXU72" s="684"/>
      <c r="FXV72" s="684"/>
      <c r="FXW72" s="684"/>
      <c r="FXX72" s="684"/>
      <c r="FXY72" s="684"/>
      <c r="FXZ72" s="684"/>
      <c r="FYA72" s="684"/>
      <c r="FYB72" s="684"/>
      <c r="FYC72" s="684"/>
      <c r="FYD72" s="684"/>
      <c r="FYE72" s="684"/>
      <c r="FYF72" s="684"/>
      <c r="FYG72" s="684"/>
      <c r="FYH72" s="684"/>
      <c r="FYI72" s="684"/>
      <c r="FYJ72" s="684"/>
      <c r="FYK72" s="684"/>
      <c r="FYL72" s="684"/>
      <c r="FYM72" s="684"/>
      <c r="FYN72" s="684"/>
      <c r="FYO72" s="684"/>
      <c r="FYP72" s="684"/>
      <c r="FYQ72" s="684"/>
      <c r="FYR72" s="684"/>
      <c r="FYS72" s="684"/>
      <c r="FYT72" s="684"/>
      <c r="FYU72" s="684"/>
      <c r="FYV72" s="684"/>
      <c r="FYW72" s="684"/>
      <c r="FYX72" s="684"/>
      <c r="FYY72" s="684"/>
      <c r="FYZ72" s="684"/>
      <c r="FZA72" s="684"/>
      <c r="FZB72" s="684"/>
      <c r="FZC72" s="684"/>
      <c r="FZD72" s="684"/>
      <c r="FZE72" s="684"/>
      <c r="FZF72" s="684"/>
      <c r="FZG72" s="684"/>
      <c r="FZH72" s="684"/>
      <c r="FZI72" s="684"/>
      <c r="FZJ72" s="684"/>
      <c r="FZK72" s="684"/>
      <c r="FZL72" s="684"/>
      <c r="FZM72" s="684"/>
      <c r="FZN72" s="684"/>
      <c r="FZO72" s="684"/>
      <c r="FZP72" s="684"/>
      <c r="FZQ72" s="684"/>
      <c r="FZR72" s="684"/>
      <c r="FZS72" s="684"/>
      <c r="FZT72" s="684"/>
      <c r="FZU72" s="684"/>
      <c r="FZV72" s="684"/>
      <c r="FZW72" s="684"/>
      <c r="FZX72" s="684"/>
      <c r="FZY72" s="684"/>
      <c r="FZZ72" s="684"/>
      <c r="GAA72" s="684"/>
      <c r="GAB72" s="684"/>
      <c r="GAC72" s="684"/>
      <c r="GAD72" s="684"/>
      <c r="GAE72" s="684"/>
      <c r="GAF72" s="684"/>
      <c r="GAG72" s="684"/>
      <c r="GAH72" s="684"/>
      <c r="GAI72" s="684"/>
      <c r="GAJ72" s="684"/>
      <c r="GAK72" s="684"/>
      <c r="GAL72" s="684"/>
      <c r="GAM72" s="684"/>
      <c r="GAN72" s="684"/>
      <c r="GAO72" s="684"/>
      <c r="GAP72" s="684"/>
      <c r="GAQ72" s="684"/>
      <c r="GAR72" s="684"/>
      <c r="GAS72" s="684"/>
      <c r="GAT72" s="684"/>
      <c r="GAU72" s="684"/>
      <c r="GAV72" s="684"/>
      <c r="GAW72" s="684"/>
      <c r="GAX72" s="684"/>
      <c r="GAY72" s="684"/>
      <c r="GAZ72" s="684"/>
      <c r="GBA72" s="684"/>
      <c r="GBB72" s="684"/>
      <c r="GBC72" s="684"/>
      <c r="GBD72" s="684"/>
      <c r="GBE72" s="684"/>
      <c r="GBF72" s="684"/>
      <c r="GBG72" s="684"/>
      <c r="GBH72" s="684"/>
      <c r="GBI72" s="684"/>
      <c r="GBJ72" s="684"/>
      <c r="GBK72" s="684"/>
      <c r="GBL72" s="684"/>
      <c r="GBM72" s="684"/>
      <c r="GBN72" s="684"/>
      <c r="GBO72" s="684"/>
      <c r="GBP72" s="684"/>
      <c r="GBQ72" s="684"/>
      <c r="GBR72" s="684"/>
      <c r="GBS72" s="684"/>
      <c r="GBT72" s="684"/>
      <c r="GBU72" s="684"/>
      <c r="GBV72" s="684"/>
      <c r="GBW72" s="684"/>
      <c r="GBX72" s="684"/>
      <c r="GBY72" s="684"/>
      <c r="GBZ72" s="684"/>
      <c r="GCA72" s="684"/>
      <c r="GCB72" s="684"/>
      <c r="GCC72" s="684"/>
      <c r="GCD72" s="684"/>
      <c r="GCE72" s="684"/>
      <c r="GCF72" s="684"/>
      <c r="GCG72" s="684"/>
      <c r="GCH72" s="684"/>
      <c r="GCI72" s="684"/>
      <c r="GCJ72" s="684"/>
      <c r="GCK72" s="684"/>
      <c r="GCL72" s="684"/>
      <c r="GCM72" s="684"/>
      <c r="GCN72" s="684"/>
      <c r="GCO72" s="684"/>
      <c r="GCP72" s="684"/>
      <c r="GCQ72" s="684"/>
      <c r="GCR72" s="684"/>
      <c r="GCS72" s="684"/>
      <c r="GCT72" s="684"/>
      <c r="GCU72" s="684"/>
      <c r="GCV72" s="684"/>
      <c r="GCW72" s="684"/>
      <c r="GCX72" s="684"/>
      <c r="GCY72" s="684"/>
      <c r="GCZ72" s="684"/>
      <c r="GDA72" s="684"/>
      <c r="GDB72" s="684"/>
      <c r="GDC72" s="684"/>
      <c r="GDD72" s="684"/>
      <c r="GDE72" s="684"/>
      <c r="GDF72" s="684"/>
      <c r="GDG72" s="684"/>
      <c r="GDH72" s="684"/>
      <c r="GDI72" s="684"/>
      <c r="GDJ72" s="684"/>
      <c r="GDK72" s="684"/>
      <c r="GDL72" s="684"/>
      <c r="GDM72" s="684"/>
      <c r="GDN72" s="684"/>
      <c r="GDO72" s="684"/>
      <c r="GDP72" s="684"/>
      <c r="GDQ72" s="684"/>
      <c r="GDR72" s="684"/>
      <c r="GDS72" s="684"/>
      <c r="GDT72" s="684"/>
      <c r="GDU72" s="684"/>
      <c r="GDV72" s="684"/>
      <c r="GDW72" s="684"/>
      <c r="GDX72" s="684"/>
      <c r="GDY72" s="684"/>
      <c r="GDZ72" s="684"/>
      <c r="GEA72" s="684"/>
      <c r="GEB72" s="684"/>
      <c r="GEC72" s="684"/>
      <c r="GED72" s="684"/>
      <c r="GEE72" s="684"/>
      <c r="GEF72" s="684"/>
      <c r="GEG72" s="684"/>
      <c r="GEH72" s="684"/>
      <c r="GEI72" s="684"/>
      <c r="GEJ72" s="684"/>
      <c r="GEK72" s="684"/>
      <c r="GEL72" s="684"/>
      <c r="GEM72" s="684"/>
      <c r="GEN72" s="684"/>
      <c r="GEO72" s="684"/>
      <c r="GEP72" s="684"/>
      <c r="GEQ72" s="684"/>
      <c r="GER72" s="684"/>
      <c r="GES72" s="684"/>
      <c r="GET72" s="684"/>
      <c r="GEU72" s="684"/>
      <c r="GEV72" s="684"/>
      <c r="GEW72" s="684"/>
      <c r="GEX72" s="684"/>
      <c r="GEY72" s="684"/>
      <c r="GEZ72" s="684"/>
      <c r="GFA72" s="684"/>
      <c r="GFB72" s="684"/>
      <c r="GFC72" s="684"/>
      <c r="GFD72" s="684"/>
      <c r="GFE72" s="684"/>
      <c r="GFF72" s="684"/>
      <c r="GFG72" s="684"/>
      <c r="GFH72" s="684"/>
      <c r="GFI72" s="684"/>
      <c r="GFJ72" s="684"/>
      <c r="GFK72" s="684"/>
      <c r="GFL72" s="684"/>
      <c r="GFM72" s="684"/>
      <c r="GFN72" s="684"/>
      <c r="GFO72" s="684"/>
      <c r="GFP72" s="684"/>
      <c r="GFQ72" s="684"/>
      <c r="GFR72" s="684"/>
      <c r="GFS72" s="684"/>
      <c r="GFT72" s="684"/>
      <c r="GFU72" s="684"/>
      <c r="GFV72" s="684"/>
      <c r="GFW72" s="684"/>
      <c r="GFX72" s="684"/>
      <c r="GFY72" s="684"/>
      <c r="GFZ72" s="684"/>
      <c r="GGA72" s="684"/>
      <c r="GGB72" s="684"/>
      <c r="GGC72" s="684"/>
      <c r="GGD72" s="684"/>
      <c r="GGE72" s="684"/>
      <c r="GGF72" s="684"/>
      <c r="GGG72" s="684"/>
      <c r="GGH72" s="684"/>
      <c r="GGI72" s="684"/>
      <c r="GGJ72" s="684"/>
      <c r="GGK72" s="684"/>
      <c r="GGL72" s="684"/>
      <c r="GGM72" s="684"/>
      <c r="GGN72" s="684"/>
      <c r="GGO72" s="684"/>
      <c r="GGP72" s="684"/>
      <c r="GGQ72" s="684"/>
      <c r="GGR72" s="684"/>
      <c r="GGS72" s="684"/>
      <c r="GGT72" s="684"/>
      <c r="GGU72" s="684"/>
      <c r="GGV72" s="684"/>
      <c r="GGW72" s="684"/>
      <c r="GGX72" s="684"/>
      <c r="GGY72" s="684"/>
      <c r="GGZ72" s="684"/>
      <c r="GHA72" s="684"/>
      <c r="GHB72" s="684"/>
      <c r="GHC72" s="684"/>
      <c r="GHD72" s="684"/>
      <c r="GHE72" s="684"/>
      <c r="GHF72" s="684"/>
      <c r="GHG72" s="684"/>
      <c r="GHH72" s="684"/>
      <c r="GHI72" s="684"/>
      <c r="GHJ72" s="684"/>
      <c r="GHK72" s="684"/>
      <c r="GHL72" s="684"/>
      <c r="GHM72" s="684"/>
      <c r="GHN72" s="684"/>
      <c r="GHO72" s="684"/>
      <c r="GHP72" s="684"/>
      <c r="GHQ72" s="684"/>
      <c r="GHR72" s="684"/>
      <c r="GHS72" s="684"/>
      <c r="GHT72" s="684"/>
      <c r="GHU72" s="684"/>
      <c r="GHV72" s="684"/>
      <c r="GHW72" s="684"/>
      <c r="GHX72" s="684"/>
      <c r="GHY72" s="684"/>
      <c r="GHZ72" s="684"/>
      <c r="GIA72" s="684"/>
      <c r="GIB72" s="684"/>
      <c r="GIC72" s="684"/>
      <c r="GID72" s="684"/>
      <c r="GIE72" s="684"/>
      <c r="GIF72" s="684"/>
      <c r="GIG72" s="684"/>
      <c r="GIH72" s="684"/>
      <c r="GII72" s="684"/>
      <c r="GIJ72" s="684"/>
      <c r="GIK72" s="684"/>
      <c r="GIL72" s="684"/>
      <c r="GIM72" s="684"/>
      <c r="GIN72" s="684"/>
      <c r="GIO72" s="684"/>
      <c r="GIP72" s="684"/>
      <c r="GIQ72" s="684"/>
      <c r="GIR72" s="684"/>
      <c r="GIS72" s="684"/>
      <c r="GIT72" s="684"/>
      <c r="GIU72" s="684"/>
      <c r="GIV72" s="684"/>
      <c r="GIW72" s="684"/>
      <c r="GIX72" s="684"/>
      <c r="GIY72" s="684"/>
      <c r="GIZ72" s="684"/>
      <c r="GJA72" s="684"/>
      <c r="GJB72" s="684"/>
      <c r="GJC72" s="684"/>
      <c r="GJD72" s="684"/>
      <c r="GJE72" s="684"/>
      <c r="GJF72" s="684"/>
      <c r="GJG72" s="684"/>
      <c r="GJH72" s="684"/>
      <c r="GJI72" s="684"/>
      <c r="GJJ72" s="684"/>
      <c r="GJK72" s="684"/>
      <c r="GJL72" s="684"/>
      <c r="GJM72" s="684"/>
      <c r="GJN72" s="684"/>
      <c r="GJO72" s="684"/>
      <c r="GJP72" s="684"/>
      <c r="GJQ72" s="684"/>
      <c r="GJR72" s="684"/>
      <c r="GJS72" s="684"/>
      <c r="GJT72" s="684"/>
      <c r="GJU72" s="684"/>
      <c r="GJV72" s="684"/>
      <c r="GJW72" s="684"/>
      <c r="GJX72" s="684"/>
      <c r="GJY72" s="684"/>
      <c r="GJZ72" s="684"/>
      <c r="GKA72" s="684"/>
      <c r="GKB72" s="684"/>
      <c r="GKC72" s="684"/>
      <c r="GKD72" s="684"/>
      <c r="GKE72" s="684"/>
      <c r="GKF72" s="684"/>
      <c r="GKG72" s="684"/>
      <c r="GKH72" s="684"/>
      <c r="GKI72" s="684"/>
      <c r="GKJ72" s="684"/>
      <c r="GKK72" s="684"/>
      <c r="GKL72" s="684"/>
      <c r="GKM72" s="684"/>
      <c r="GKN72" s="684"/>
      <c r="GKO72" s="684"/>
      <c r="GKP72" s="684"/>
      <c r="GKQ72" s="684"/>
      <c r="GKR72" s="684"/>
      <c r="GKS72" s="684"/>
      <c r="GKT72" s="684"/>
      <c r="GKU72" s="684"/>
      <c r="GKV72" s="684"/>
      <c r="GKW72" s="684"/>
      <c r="GKX72" s="684"/>
      <c r="GKY72" s="684"/>
      <c r="GKZ72" s="684"/>
      <c r="GLA72" s="684"/>
      <c r="GLB72" s="684"/>
      <c r="GLC72" s="684"/>
      <c r="GLD72" s="684"/>
      <c r="GLE72" s="684"/>
      <c r="GLF72" s="684"/>
      <c r="GLG72" s="684"/>
      <c r="GLH72" s="684"/>
      <c r="GLI72" s="684"/>
      <c r="GLJ72" s="684"/>
      <c r="GLK72" s="684"/>
      <c r="GLL72" s="684"/>
      <c r="GLM72" s="684"/>
      <c r="GLN72" s="684"/>
      <c r="GLO72" s="684"/>
      <c r="GLP72" s="684"/>
      <c r="GLQ72" s="684"/>
      <c r="GLR72" s="684"/>
      <c r="GLS72" s="684"/>
      <c r="GLT72" s="684"/>
      <c r="GLU72" s="684"/>
      <c r="GLV72" s="684"/>
      <c r="GLW72" s="684"/>
      <c r="GLX72" s="684"/>
      <c r="GLY72" s="684"/>
      <c r="GLZ72" s="684"/>
      <c r="GMA72" s="684"/>
      <c r="GMB72" s="684"/>
      <c r="GMC72" s="684"/>
      <c r="GMD72" s="684"/>
      <c r="GME72" s="684"/>
      <c r="GMF72" s="684"/>
      <c r="GMG72" s="684"/>
      <c r="GMH72" s="684"/>
      <c r="GMI72" s="684"/>
      <c r="GMJ72" s="684"/>
      <c r="GMK72" s="684"/>
      <c r="GML72" s="684"/>
      <c r="GMM72" s="684"/>
      <c r="GMN72" s="684"/>
      <c r="GMO72" s="684"/>
      <c r="GMP72" s="684"/>
      <c r="GMQ72" s="684"/>
      <c r="GMR72" s="684"/>
      <c r="GMS72" s="684"/>
      <c r="GMT72" s="684"/>
      <c r="GMU72" s="684"/>
      <c r="GMV72" s="684"/>
      <c r="GMW72" s="684"/>
      <c r="GMX72" s="684"/>
      <c r="GMY72" s="684"/>
      <c r="GMZ72" s="684"/>
      <c r="GNA72" s="684"/>
      <c r="GNB72" s="684"/>
      <c r="GNC72" s="684"/>
      <c r="GND72" s="684"/>
      <c r="GNE72" s="684"/>
      <c r="GNF72" s="684"/>
      <c r="GNG72" s="684"/>
      <c r="GNH72" s="684"/>
      <c r="GNI72" s="684"/>
      <c r="GNJ72" s="684"/>
      <c r="GNK72" s="684"/>
      <c r="GNL72" s="684"/>
      <c r="GNM72" s="684"/>
      <c r="GNN72" s="684"/>
      <c r="GNO72" s="684"/>
      <c r="GNP72" s="684"/>
      <c r="GNQ72" s="684"/>
      <c r="GNR72" s="684"/>
      <c r="GNS72" s="684"/>
      <c r="GNT72" s="684"/>
      <c r="GNU72" s="684"/>
      <c r="GNV72" s="684"/>
      <c r="GNW72" s="684"/>
      <c r="GNX72" s="684"/>
      <c r="GNY72" s="684"/>
      <c r="GNZ72" s="684"/>
      <c r="GOA72" s="684"/>
      <c r="GOB72" s="684"/>
      <c r="GOC72" s="684"/>
      <c r="GOD72" s="684"/>
      <c r="GOE72" s="684"/>
      <c r="GOF72" s="684"/>
      <c r="GOG72" s="684"/>
      <c r="GOH72" s="684"/>
      <c r="GOI72" s="684"/>
      <c r="GOJ72" s="684"/>
      <c r="GOK72" s="684"/>
      <c r="GOL72" s="684"/>
      <c r="GOM72" s="684"/>
      <c r="GON72" s="684"/>
      <c r="GOO72" s="684"/>
      <c r="GOP72" s="684"/>
      <c r="GOQ72" s="684"/>
      <c r="GOR72" s="684"/>
      <c r="GOS72" s="684"/>
      <c r="GOT72" s="684"/>
      <c r="GOU72" s="684"/>
      <c r="GOV72" s="684"/>
      <c r="GOW72" s="684"/>
      <c r="GOX72" s="684"/>
      <c r="GOY72" s="684"/>
      <c r="GOZ72" s="684"/>
      <c r="GPA72" s="684"/>
      <c r="GPB72" s="684"/>
      <c r="GPC72" s="684"/>
      <c r="GPD72" s="684"/>
      <c r="GPE72" s="684"/>
      <c r="GPF72" s="684"/>
      <c r="GPG72" s="684"/>
      <c r="GPH72" s="684"/>
      <c r="GPI72" s="684"/>
      <c r="GPJ72" s="684"/>
      <c r="GPK72" s="684"/>
      <c r="GPL72" s="684"/>
      <c r="GPM72" s="684"/>
      <c r="GPN72" s="684"/>
      <c r="GPO72" s="684"/>
      <c r="GPP72" s="684"/>
      <c r="GPQ72" s="684"/>
      <c r="GPR72" s="684"/>
      <c r="GPS72" s="684"/>
      <c r="GPT72" s="684"/>
      <c r="GPU72" s="684"/>
      <c r="GPV72" s="684"/>
      <c r="GPW72" s="684"/>
      <c r="GPX72" s="684"/>
      <c r="GPY72" s="684"/>
      <c r="GPZ72" s="684"/>
      <c r="GQA72" s="684"/>
      <c r="GQB72" s="684"/>
      <c r="GQC72" s="684"/>
      <c r="GQD72" s="684"/>
      <c r="GQE72" s="684"/>
      <c r="GQF72" s="684"/>
      <c r="GQG72" s="684"/>
      <c r="GQH72" s="684"/>
      <c r="GQI72" s="684"/>
      <c r="GQJ72" s="684"/>
      <c r="GQK72" s="684"/>
      <c r="GQL72" s="684"/>
      <c r="GQM72" s="684"/>
      <c r="GQN72" s="684"/>
      <c r="GQO72" s="684"/>
      <c r="GQP72" s="684"/>
      <c r="GQQ72" s="684"/>
      <c r="GQR72" s="684"/>
      <c r="GQS72" s="684"/>
      <c r="GQT72" s="684"/>
      <c r="GQU72" s="684"/>
      <c r="GQV72" s="684"/>
      <c r="GQW72" s="684"/>
      <c r="GQX72" s="684"/>
      <c r="GQY72" s="684"/>
      <c r="GQZ72" s="684"/>
      <c r="GRA72" s="684"/>
      <c r="GRB72" s="684"/>
      <c r="GRC72" s="684"/>
      <c r="GRD72" s="684"/>
      <c r="GRE72" s="684"/>
      <c r="GRF72" s="684"/>
      <c r="GRG72" s="684"/>
      <c r="GRH72" s="684"/>
      <c r="GRI72" s="684"/>
      <c r="GRJ72" s="684"/>
      <c r="GRK72" s="684"/>
      <c r="GRL72" s="684"/>
      <c r="GRM72" s="684"/>
      <c r="GRN72" s="684"/>
      <c r="GRO72" s="684"/>
      <c r="GRP72" s="684"/>
      <c r="GRQ72" s="684"/>
      <c r="GRR72" s="684"/>
      <c r="GRS72" s="684"/>
      <c r="GRT72" s="684"/>
      <c r="GRU72" s="684"/>
      <c r="GRV72" s="684"/>
      <c r="GRW72" s="684"/>
      <c r="GRX72" s="684"/>
      <c r="GRY72" s="684"/>
      <c r="GRZ72" s="684"/>
      <c r="GSA72" s="684"/>
      <c r="GSB72" s="684"/>
      <c r="GSC72" s="684"/>
      <c r="GSD72" s="684"/>
      <c r="GSE72" s="684"/>
      <c r="GSF72" s="684"/>
      <c r="GSG72" s="684"/>
      <c r="GSH72" s="684"/>
      <c r="GSI72" s="684"/>
      <c r="GSJ72" s="684"/>
      <c r="GSK72" s="684"/>
      <c r="GSL72" s="684"/>
      <c r="GSM72" s="684"/>
      <c r="GSN72" s="684"/>
      <c r="GSO72" s="684"/>
      <c r="GSP72" s="684"/>
      <c r="GSQ72" s="684"/>
      <c r="GSR72" s="684"/>
      <c r="GSS72" s="684"/>
      <c r="GST72" s="684"/>
      <c r="GSU72" s="684"/>
      <c r="GSV72" s="684"/>
      <c r="GSW72" s="684"/>
      <c r="GSX72" s="684"/>
      <c r="GSY72" s="684"/>
      <c r="GSZ72" s="684"/>
      <c r="GTA72" s="684"/>
      <c r="GTB72" s="684"/>
      <c r="GTC72" s="684"/>
      <c r="GTD72" s="684"/>
      <c r="GTE72" s="684"/>
      <c r="GTF72" s="684"/>
      <c r="GTG72" s="684"/>
      <c r="GTH72" s="684"/>
      <c r="GTI72" s="684"/>
      <c r="GTJ72" s="684"/>
      <c r="GTK72" s="684"/>
      <c r="GTL72" s="684"/>
      <c r="GTM72" s="684"/>
      <c r="GTN72" s="684"/>
      <c r="GTO72" s="684"/>
      <c r="GTP72" s="684"/>
      <c r="GTQ72" s="684"/>
      <c r="GTR72" s="684"/>
      <c r="GTS72" s="684"/>
      <c r="GTT72" s="684"/>
      <c r="GTU72" s="684"/>
      <c r="GTV72" s="684"/>
      <c r="GTW72" s="684"/>
      <c r="GTX72" s="684"/>
      <c r="GTY72" s="684"/>
      <c r="GTZ72" s="684"/>
      <c r="GUA72" s="684"/>
      <c r="GUB72" s="684"/>
      <c r="GUC72" s="684"/>
      <c r="GUD72" s="684"/>
      <c r="GUE72" s="684"/>
      <c r="GUF72" s="684"/>
      <c r="GUG72" s="684"/>
      <c r="GUH72" s="684"/>
      <c r="GUI72" s="684"/>
      <c r="GUJ72" s="684"/>
      <c r="GUK72" s="684"/>
      <c r="GUL72" s="684"/>
      <c r="GUM72" s="684"/>
      <c r="GUN72" s="684"/>
      <c r="GUO72" s="684"/>
      <c r="GUP72" s="684"/>
      <c r="GUQ72" s="684"/>
      <c r="GUR72" s="684"/>
      <c r="GUS72" s="684"/>
      <c r="GUT72" s="684"/>
      <c r="GUU72" s="684"/>
      <c r="GUV72" s="684"/>
      <c r="GUW72" s="684"/>
      <c r="GUX72" s="684"/>
      <c r="GUY72" s="684"/>
      <c r="GUZ72" s="684"/>
      <c r="GVA72" s="684"/>
      <c r="GVB72" s="684"/>
      <c r="GVC72" s="684"/>
      <c r="GVD72" s="684"/>
      <c r="GVE72" s="684"/>
      <c r="GVF72" s="684"/>
      <c r="GVG72" s="684"/>
      <c r="GVH72" s="684"/>
      <c r="GVI72" s="684"/>
      <c r="GVJ72" s="684"/>
      <c r="GVK72" s="684"/>
      <c r="GVL72" s="684"/>
      <c r="GVM72" s="684"/>
      <c r="GVN72" s="684"/>
      <c r="GVO72" s="684"/>
      <c r="GVP72" s="684"/>
      <c r="GVQ72" s="684"/>
      <c r="GVR72" s="684"/>
      <c r="GVS72" s="684"/>
      <c r="GVT72" s="684"/>
      <c r="GVU72" s="684"/>
      <c r="GVV72" s="684"/>
      <c r="GVW72" s="684"/>
      <c r="GVX72" s="684"/>
      <c r="GVY72" s="684"/>
      <c r="GVZ72" s="684"/>
      <c r="GWA72" s="684"/>
      <c r="GWB72" s="684"/>
      <c r="GWC72" s="684"/>
      <c r="GWD72" s="684"/>
      <c r="GWE72" s="684"/>
      <c r="GWF72" s="684"/>
      <c r="GWG72" s="684"/>
      <c r="GWH72" s="684"/>
      <c r="GWI72" s="684"/>
      <c r="GWJ72" s="684"/>
      <c r="GWK72" s="684"/>
      <c r="GWL72" s="684"/>
      <c r="GWM72" s="684"/>
      <c r="GWN72" s="684"/>
      <c r="GWO72" s="684"/>
      <c r="GWP72" s="684"/>
      <c r="GWQ72" s="684"/>
      <c r="GWR72" s="684"/>
      <c r="GWS72" s="684"/>
      <c r="GWT72" s="684"/>
      <c r="GWU72" s="684"/>
      <c r="GWV72" s="684"/>
      <c r="GWW72" s="684"/>
      <c r="GWX72" s="684"/>
      <c r="GWY72" s="684"/>
      <c r="GWZ72" s="684"/>
      <c r="GXA72" s="684"/>
      <c r="GXB72" s="684"/>
      <c r="GXC72" s="684"/>
      <c r="GXD72" s="684"/>
      <c r="GXE72" s="684"/>
      <c r="GXF72" s="684"/>
      <c r="GXG72" s="684"/>
      <c r="GXH72" s="684"/>
      <c r="GXI72" s="684"/>
      <c r="GXJ72" s="684"/>
      <c r="GXK72" s="684"/>
      <c r="GXL72" s="684"/>
      <c r="GXM72" s="684"/>
      <c r="GXN72" s="684"/>
      <c r="GXO72" s="684"/>
      <c r="GXP72" s="684"/>
      <c r="GXQ72" s="684"/>
      <c r="GXR72" s="684"/>
      <c r="GXS72" s="684"/>
      <c r="GXT72" s="684"/>
      <c r="GXU72" s="684"/>
      <c r="GXV72" s="684"/>
      <c r="GXW72" s="684"/>
      <c r="GXX72" s="684"/>
      <c r="GXY72" s="684"/>
      <c r="GXZ72" s="684"/>
      <c r="GYA72" s="684"/>
      <c r="GYB72" s="684"/>
      <c r="GYC72" s="684"/>
      <c r="GYD72" s="684"/>
      <c r="GYE72" s="684"/>
      <c r="GYF72" s="684"/>
      <c r="GYG72" s="684"/>
      <c r="GYH72" s="684"/>
      <c r="GYI72" s="684"/>
      <c r="GYJ72" s="684"/>
      <c r="GYK72" s="684"/>
      <c r="GYL72" s="684"/>
      <c r="GYM72" s="684"/>
      <c r="GYN72" s="684"/>
      <c r="GYO72" s="684"/>
      <c r="GYP72" s="684"/>
      <c r="GYQ72" s="684"/>
      <c r="GYR72" s="684"/>
      <c r="GYS72" s="684"/>
      <c r="GYT72" s="684"/>
      <c r="GYU72" s="684"/>
      <c r="GYV72" s="684"/>
      <c r="GYW72" s="684"/>
      <c r="GYX72" s="684"/>
      <c r="GYY72" s="684"/>
      <c r="GYZ72" s="684"/>
      <c r="GZA72" s="684"/>
      <c r="GZB72" s="684"/>
      <c r="GZC72" s="684"/>
      <c r="GZD72" s="684"/>
      <c r="GZE72" s="684"/>
      <c r="GZF72" s="684"/>
      <c r="GZG72" s="684"/>
      <c r="GZH72" s="684"/>
      <c r="GZI72" s="684"/>
      <c r="GZJ72" s="684"/>
      <c r="GZK72" s="684"/>
      <c r="GZL72" s="684"/>
      <c r="GZM72" s="684"/>
      <c r="GZN72" s="684"/>
      <c r="GZO72" s="684"/>
      <c r="GZP72" s="684"/>
      <c r="GZQ72" s="684"/>
      <c r="GZR72" s="684"/>
      <c r="GZS72" s="684"/>
      <c r="GZT72" s="684"/>
      <c r="GZU72" s="684"/>
      <c r="GZV72" s="684"/>
      <c r="GZW72" s="684"/>
      <c r="GZX72" s="684"/>
      <c r="GZY72" s="684"/>
      <c r="GZZ72" s="684"/>
      <c r="HAA72" s="684"/>
      <c r="HAB72" s="684"/>
      <c r="HAC72" s="684"/>
      <c r="HAD72" s="684"/>
      <c r="HAE72" s="684"/>
      <c r="HAF72" s="684"/>
      <c r="HAG72" s="684"/>
      <c r="HAH72" s="684"/>
      <c r="HAI72" s="684"/>
      <c r="HAJ72" s="684"/>
      <c r="HAK72" s="684"/>
      <c r="HAL72" s="684"/>
      <c r="HAM72" s="684"/>
      <c r="HAN72" s="684"/>
      <c r="HAO72" s="684"/>
      <c r="HAP72" s="684"/>
      <c r="HAQ72" s="684"/>
      <c r="HAR72" s="684"/>
      <c r="HAS72" s="684"/>
      <c r="HAT72" s="684"/>
      <c r="HAU72" s="684"/>
      <c r="HAV72" s="684"/>
      <c r="HAW72" s="684"/>
      <c r="HAX72" s="684"/>
      <c r="HAY72" s="684"/>
      <c r="HAZ72" s="684"/>
      <c r="HBA72" s="684"/>
      <c r="HBB72" s="684"/>
      <c r="HBC72" s="684"/>
      <c r="HBD72" s="684"/>
      <c r="HBE72" s="684"/>
      <c r="HBF72" s="684"/>
      <c r="HBG72" s="684"/>
      <c r="HBH72" s="684"/>
      <c r="HBI72" s="684"/>
      <c r="HBJ72" s="684"/>
      <c r="HBK72" s="684"/>
      <c r="HBL72" s="684"/>
      <c r="HBM72" s="684"/>
      <c r="HBN72" s="684"/>
      <c r="HBO72" s="684"/>
      <c r="HBP72" s="684"/>
      <c r="HBQ72" s="684"/>
      <c r="HBR72" s="684"/>
      <c r="HBS72" s="684"/>
      <c r="HBT72" s="684"/>
      <c r="HBU72" s="684"/>
      <c r="HBV72" s="684"/>
      <c r="HBW72" s="684"/>
      <c r="HBX72" s="684"/>
      <c r="HBY72" s="684"/>
      <c r="HBZ72" s="684"/>
      <c r="HCA72" s="684"/>
      <c r="HCB72" s="684"/>
      <c r="HCC72" s="684"/>
      <c r="HCD72" s="684"/>
      <c r="HCE72" s="684"/>
      <c r="HCF72" s="684"/>
      <c r="HCG72" s="684"/>
      <c r="HCH72" s="684"/>
      <c r="HCI72" s="684"/>
      <c r="HCJ72" s="684"/>
      <c r="HCK72" s="684"/>
      <c r="HCL72" s="684"/>
      <c r="HCM72" s="684"/>
      <c r="HCN72" s="684"/>
      <c r="HCO72" s="684"/>
      <c r="HCP72" s="684"/>
      <c r="HCQ72" s="684"/>
      <c r="HCR72" s="684"/>
      <c r="HCS72" s="684"/>
      <c r="HCT72" s="684"/>
      <c r="HCU72" s="684"/>
      <c r="HCV72" s="684"/>
      <c r="HCW72" s="684"/>
      <c r="HCX72" s="684"/>
      <c r="HCY72" s="684"/>
      <c r="HCZ72" s="684"/>
      <c r="HDA72" s="684"/>
      <c r="HDB72" s="684"/>
      <c r="HDC72" s="684"/>
      <c r="HDD72" s="684"/>
      <c r="HDE72" s="684"/>
      <c r="HDF72" s="684"/>
      <c r="HDG72" s="684"/>
      <c r="HDH72" s="684"/>
      <c r="HDI72" s="684"/>
      <c r="HDJ72" s="684"/>
      <c r="HDK72" s="684"/>
      <c r="HDL72" s="684"/>
      <c r="HDM72" s="684"/>
      <c r="HDN72" s="684"/>
      <c r="HDO72" s="684"/>
      <c r="HDP72" s="684"/>
      <c r="HDQ72" s="684"/>
      <c r="HDR72" s="684"/>
      <c r="HDS72" s="684"/>
      <c r="HDT72" s="684"/>
      <c r="HDU72" s="684"/>
      <c r="HDV72" s="684"/>
      <c r="HDW72" s="684"/>
      <c r="HDX72" s="684"/>
      <c r="HDY72" s="684"/>
      <c r="HDZ72" s="684"/>
      <c r="HEA72" s="684"/>
      <c r="HEB72" s="684"/>
      <c r="HEC72" s="684"/>
      <c r="HED72" s="684"/>
      <c r="HEE72" s="684"/>
      <c r="HEF72" s="684"/>
      <c r="HEG72" s="684"/>
      <c r="HEH72" s="684"/>
      <c r="HEI72" s="684"/>
      <c r="HEJ72" s="684"/>
      <c r="HEK72" s="684"/>
      <c r="HEL72" s="684"/>
      <c r="HEM72" s="684"/>
      <c r="HEN72" s="684"/>
      <c r="HEO72" s="684"/>
      <c r="HEP72" s="684"/>
      <c r="HEQ72" s="684"/>
      <c r="HER72" s="684"/>
      <c r="HES72" s="684"/>
      <c r="HET72" s="684"/>
      <c r="HEU72" s="684"/>
      <c r="HEV72" s="684"/>
      <c r="HEW72" s="684"/>
      <c r="HEX72" s="684"/>
      <c r="HEY72" s="684"/>
      <c r="HEZ72" s="684"/>
      <c r="HFA72" s="684"/>
      <c r="HFB72" s="684"/>
      <c r="HFC72" s="684"/>
      <c r="HFD72" s="684"/>
      <c r="HFE72" s="684"/>
      <c r="HFF72" s="684"/>
      <c r="HFG72" s="684"/>
      <c r="HFH72" s="684"/>
      <c r="HFI72" s="684"/>
      <c r="HFJ72" s="684"/>
      <c r="HFK72" s="684"/>
      <c r="HFL72" s="684"/>
      <c r="HFM72" s="684"/>
      <c r="HFN72" s="684"/>
      <c r="HFO72" s="684"/>
      <c r="HFP72" s="684"/>
      <c r="HFQ72" s="684"/>
      <c r="HFR72" s="684"/>
      <c r="HFS72" s="684"/>
      <c r="HFT72" s="684"/>
      <c r="HFU72" s="684"/>
      <c r="HFV72" s="684"/>
      <c r="HFW72" s="684"/>
      <c r="HFX72" s="684"/>
      <c r="HFY72" s="684"/>
      <c r="HFZ72" s="684"/>
      <c r="HGA72" s="684"/>
      <c r="HGB72" s="684"/>
      <c r="HGC72" s="684"/>
      <c r="HGD72" s="684"/>
      <c r="HGE72" s="684"/>
      <c r="HGF72" s="684"/>
      <c r="HGG72" s="684"/>
      <c r="HGH72" s="684"/>
      <c r="HGI72" s="684"/>
      <c r="HGJ72" s="684"/>
      <c r="HGK72" s="684"/>
      <c r="HGL72" s="684"/>
      <c r="HGM72" s="684"/>
      <c r="HGN72" s="684"/>
      <c r="HGO72" s="684"/>
      <c r="HGP72" s="684"/>
      <c r="HGQ72" s="684"/>
      <c r="HGR72" s="684"/>
      <c r="HGS72" s="684"/>
      <c r="HGT72" s="684"/>
      <c r="HGU72" s="684"/>
      <c r="HGV72" s="684"/>
      <c r="HGW72" s="684"/>
      <c r="HGX72" s="684"/>
      <c r="HGY72" s="684"/>
      <c r="HGZ72" s="684"/>
      <c r="HHA72" s="684"/>
      <c r="HHB72" s="684"/>
      <c r="HHC72" s="684"/>
      <c r="HHD72" s="684"/>
      <c r="HHE72" s="684"/>
      <c r="HHF72" s="684"/>
      <c r="HHG72" s="684"/>
      <c r="HHH72" s="684"/>
      <c r="HHI72" s="684"/>
      <c r="HHJ72" s="684"/>
      <c r="HHK72" s="684"/>
      <c r="HHL72" s="684"/>
      <c r="HHM72" s="684"/>
      <c r="HHN72" s="684"/>
      <c r="HHO72" s="684"/>
      <c r="HHP72" s="684"/>
      <c r="HHQ72" s="684"/>
      <c r="HHR72" s="684"/>
      <c r="HHS72" s="684"/>
      <c r="HHT72" s="684"/>
      <c r="HHU72" s="684"/>
      <c r="HHV72" s="684"/>
      <c r="HHW72" s="684"/>
      <c r="HHX72" s="684"/>
      <c r="HHY72" s="684"/>
      <c r="HHZ72" s="684"/>
      <c r="HIA72" s="684"/>
      <c r="HIB72" s="684"/>
      <c r="HIC72" s="684"/>
      <c r="HID72" s="684"/>
      <c r="HIE72" s="684"/>
      <c r="HIF72" s="684"/>
      <c r="HIG72" s="684"/>
      <c r="HIH72" s="684"/>
      <c r="HII72" s="684"/>
      <c r="HIJ72" s="684"/>
      <c r="HIK72" s="684"/>
      <c r="HIL72" s="684"/>
      <c r="HIM72" s="684"/>
      <c r="HIN72" s="684"/>
      <c r="HIO72" s="684"/>
      <c r="HIP72" s="684"/>
      <c r="HIQ72" s="684"/>
      <c r="HIR72" s="684"/>
      <c r="HIS72" s="684"/>
      <c r="HIT72" s="684"/>
      <c r="HIU72" s="684"/>
      <c r="HIV72" s="684"/>
      <c r="HIW72" s="684"/>
      <c r="HIX72" s="684"/>
      <c r="HIY72" s="684"/>
      <c r="HIZ72" s="684"/>
      <c r="HJA72" s="684"/>
      <c r="HJB72" s="684"/>
      <c r="HJC72" s="684"/>
      <c r="HJD72" s="684"/>
      <c r="HJE72" s="684"/>
      <c r="HJF72" s="684"/>
      <c r="HJG72" s="684"/>
      <c r="HJH72" s="684"/>
      <c r="HJI72" s="684"/>
      <c r="HJJ72" s="684"/>
      <c r="HJK72" s="684"/>
      <c r="HJL72" s="684"/>
      <c r="HJM72" s="684"/>
      <c r="HJN72" s="684"/>
      <c r="HJO72" s="684"/>
      <c r="HJP72" s="684"/>
      <c r="HJQ72" s="684"/>
      <c r="HJR72" s="684"/>
      <c r="HJS72" s="684"/>
      <c r="HJT72" s="684"/>
      <c r="HJU72" s="684"/>
      <c r="HJV72" s="684"/>
      <c r="HJW72" s="684"/>
      <c r="HJX72" s="684"/>
      <c r="HJY72" s="684"/>
      <c r="HJZ72" s="684"/>
      <c r="HKA72" s="684"/>
      <c r="HKB72" s="684"/>
      <c r="HKC72" s="684"/>
      <c r="HKD72" s="684"/>
      <c r="HKE72" s="684"/>
      <c r="HKF72" s="684"/>
      <c r="HKG72" s="684"/>
      <c r="HKH72" s="684"/>
      <c r="HKI72" s="684"/>
      <c r="HKJ72" s="684"/>
      <c r="HKK72" s="684"/>
      <c r="HKL72" s="684"/>
      <c r="HKM72" s="684"/>
      <c r="HKN72" s="684"/>
      <c r="HKO72" s="684"/>
      <c r="HKP72" s="684"/>
      <c r="HKQ72" s="684"/>
      <c r="HKR72" s="684"/>
      <c r="HKS72" s="684"/>
      <c r="HKT72" s="684"/>
      <c r="HKU72" s="684"/>
      <c r="HKV72" s="684"/>
      <c r="HKW72" s="684"/>
      <c r="HKX72" s="684"/>
      <c r="HKY72" s="684"/>
      <c r="HKZ72" s="684"/>
      <c r="HLA72" s="684"/>
      <c r="HLB72" s="684"/>
      <c r="HLC72" s="684"/>
      <c r="HLD72" s="684"/>
      <c r="HLE72" s="684"/>
      <c r="HLF72" s="684"/>
      <c r="HLG72" s="684"/>
      <c r="HLH72" s="684"/>
      <c r="HLI72" s="684"/>
      <c r="HLJ72" s="684"/>
      <c r="HLK72" s="684"/>
      <c r="HLL72" s="684"/>
      <c r="HLM72" s="684"/>
      <c r="HLN72" s="684"/>
      <c r="HLO72" s="684"/>
      <c r="HLP72" s="684"/>
      <c r="HLQ72" s="684"/>
      <c r="HLR72" s="684"/>
      <c r="HLS72" s="684"/>
      <c r="HLT72" s="684"/>
      <c r="HLU72" s="684"/>
      <c r="HLV72" s="684"/>
      <c r="HLW72" s="684"/>
      <c r="HLX72" s="684"/>
      <c r="HLY72" s="684"/>
      <c r="HLZ72" s="684"/>
      <c r="HMA72" s="684"/>
      <c r="HMB72" s="684"/>
      <c r="HMC72" s="684"/>
      <c r="HMD72" s="684"/>
      <c r="HME72" s="684"/>
      <c r="HMF72" s="684"/>
      <c r="HMG72" s="684"/>
      <c r="HMH72" s="684"/>
      <c r="HMI72" s="684"/>
      <c r="HMJ72" s="684"/>
      <c r="HMK72" s="684"/>
      <c r="HML72" s="684"/>
      <c r="HMM72" s="684"/>
      <c r="HMN72" s="684"/>
      <c r="HMO72" s="684"/>
      <c r="HMP72" s="684"/>
      <c r="HMQ72" s="684"/>
      <c r="HMR72" s="684"/>
      <c r="HMS72" s="684"/>
      <c r="HMT72" s="684"/>
      <c r="HMU72" s="684"/>
      <c r="HMV72" s="684"/>
      <c r="HMW72" s="684"/>
      <c r="HMX72" s="684"/>
      <c r="HMY72" s="684"/>
      <c r="HMZ72" s="684"/>
      <c r="HNA72" s="684"/>
      <c r="HNB72" s="684"/>
      <c r="HNC72" s="684"/>
      <c r="HND72" s="684"/>
      <c r="HNE72" s="684"/>
      <c r="HNF72" s="684"/>
      <c r="HNG72" s="684"/>
      <c r="HNH72" s="684"/>
      <c r="HNI72" s="684"/>
      <c r="HNJ72" s="684"/>
      <c r="HNK72" s="684"/>
      <c r="HNL72" s="684"/>
      <c r="HNM72" s="684"/>
      <c r="HNN72" s="684"/>
      <c r="HNO72" s="684"/>
      <c r="HNP72" s="684"/>
      <c r="HNQ72" s="684"/>
      <c r="HNR72" s="684"/>
      <c r="HNS72" s="684"/>
      <c r="HNT72" s="684"/>
      <c r="HNU72" s="684"/>
      <c r="HNV72" s="684"/>
      <c r="HNW72" s="684"/>
      <c r="HNX72" s="684"/>
      <c r="HNY72" s="684"/>
      <c r="HNZ72" s="684"/>
      <c r="HOA72" s="684"/>
      <c r="HOB72" s="684"/>
      <c r="HOC72" s="684"/>
      <c r="HOD72" s="684"/>
      <c r="HOE72" s="684"/>
      <c r="HOF72" s="684"/>
      <c r="HOG72" s="684"/>
      <c r="HOH72" s="684"/>
      <c r="HOI72" s="684"/>
      <c r="HOJ72" s="684"/>
      <c r="HOK72" s="684"/>
      <c r="HOL72" s="684"/>
      <c r="HOM72" s="684"/>
      <c r="HON72" s="684"/>
      <c r="HOO72" s="684"/>
      <c r="HOP72" s="684"/>
      <c r="HOQ72" s="684"/>
      <c r="HOR72" s="684"/>
      <c r="HOS72" s="684"/>
      <c r="HOT72" s="684"/>
      <c r="HOU72" s="684"/>
      <c r="HOV72" s="684"/>
      <c r="HOW72" s="684"/>
      <c r="HOX72" s="684"/>
      <c r="HOY72" s="684"/>
      <c r="HOZ72" s="684"/>
      <c r="HPA72" s="684"/>
      <c r="HPB72" s="684"/>
      <c r="HPC72" s="684"/>
      <c r="HPD72" s="684"/>
      <c r="HPE72" s="684"/>
      <c r="HPF72" s="684"/>
      <c r="HPG72" s="684"/>
      <c r="HPH72" s="684"/>
      <c r="HPI72" s="684"/>
      <c r="HPJ72" s="684"/>
      <c r="HPK72" s="684"/>
      <c r="HPL72" s="684"/>
      <c r="HPM72" s="684"/>
      <c r="HPN72" s="684"/>
      <c r="HPO72" s="684"/>
      <c r="HPP72" s="684"/>
      <c r="HPQ72" s="684"/>
      <c r="HPR72" s="684"/>
      <c r="HPS72" s="684"/>
      <c r="HPT72" s="684"/>
      <c r="HPU72" s="684"/>
      <c r="HPV72" s="684"/>
      <c r="HPW72" s="684"/>
      <c r="HPX72" s="684"/>
      <c r="HPY72" s="684"/>
      <c r="HPZ72" s="684"/>
      <c r="HQA72" s="684"/>
      <c r="HQB72" s="684"/>
      <c r="HQC72" s="684"/>
      <c r="HQD72" s="684"/>
      <c r="HQE72" s="684"/>
      <c r="HQF72" s="684"/>
      <c r="HQG72" s="684"/>
      <c r="HQH72" s="684"/>
      <c r="HQI72" s="684"/>
      <c r="HQJ72" s="684"/>
      <c r="HQK72" s="684"/>
      <c r="HQL72" s="684"/>
      <c r="HQM72" s="684"/>
      <c r="HQN72" s="684"/>
      <c r="HQO72" s="684"/>
      <c r="HQP72" s="684"/>
      <c r="HQQ72" s="684"/>
      <c r="HQR72" s="684"/>
      <c r="HQS72" s="684"/>
      <c r="HQT72" s="684"/>
      <c r="HQU72" s="684"/>
      <c r="HQV72" s="684"/>
      <c r="HQW72" s="684"/>
      <c r="HQX72" s="684"/>
      <c r="HQY72" s="684"/>
      <c r="HQZ72" s="684"/>
      <c r="HRA72" s="684"/>
      <c r="HRB72" s="684"/>
      <c r="HRC72" s="684"/>
      <c r="HRD72" s="684"/>
      <c r="HRE72" s="684"/>
      <c r="HRF72" s="684"/>
      <c r="HRG72" s="684"/>
      <c r="HRH72" s="684"/>
      <c r="HRI72" s="684"/>
      <c r="HRJ72" s="684"/>
      <c r="HRK72" s="684"/>
      <c r="HRL72" s="684"/>
      <c r="HRM72" s="684"/>
      <c r="HRN72" s="684"/>
      <c r="HRO72" s="684"/>
      <c r="HRP72" s="684"/>
      <c r="HRQ72" s="684"/>
      <c r="HRR72" s="684"/>
      <c r="HRS72" s="684"/>
      <c r="HRT72" s="684"/>
      <c r="HRU72" s="684"/>
      <c r="HRV72" s="684"/>
      <c r="HRW72" s="684"/>
      <c r="HRX72" s="684"/>
      <c r="HRY72" s="684"/>
      <c r="HRZ72" s="684"/>
      <c r="HSA72" s="684"/>
      <c r="HSB72" s="684"/>
      <c r="HSC72" s="684"/>
      <c r="HSD72" s="684"/>
      <c r="HSE72" s="684"/>
      <c r="HSF72" s="684"/>
      <c r="HSG72" s="684"/>
      <c r="HSH72" s="684"/>
      <c r="HSI72" s="684"/>
      <c r="HSJ72" s="684"/>
      <c r="HSK72" s="684"/>
      <c r="HSL72" s="684"/>
      <c r="HSM72" s="684"/>
      <c r="HSN72" s="684"/>
      <c r="HSO72" s="684"/>
      <c r="HSP72" s="684"/>
      <c r="HSQ72" s="684"/>
      <c r="HSR72" s="684"/>
      <c r="HSS72" s="684"/>
      <c r="HST72" s="684"/>
      <c r="HSU72" s="684"/>
      <c r="HSV72" s="684"/>
      <c r="HSW72" s="684"/>
      <c r="HSX72" s="684"/>
      <c r="HSY72" s="684"/>
      <c r="HSZ72" s="684"/>
      <c r="HTA72" s="684"/>
      <c r="HTB72" s="684"/>
      <c r="HTC72" s="684"/>
      <c r="HTD72" s="684"/>
      <c r="HTE72" s="684"/>
      <c r="HTF72" s="684"/>
      <c r="HTG72" s="684"/>
      <c r="HTH72" s="684"/>
      <c r="HTI72" s="684"/>
      <c r="HTJ72" s="684"/>
      <c r="HTK72" s="684"/>
      <c r="HTL72" s="684"/>
      <c r="HTM72" s="684"/>
      <c r="HTN72" s="684"/>
      <c r="HTO72" s="684"/>
      <c r="HTP72" s="684"/>
      <c r="HTQ72" s="684"/>
      <c r="HTR72" s="684"/>
      <c r="HTS72" s="684"/>
      <c r="HTT72" s="684"/>
      <c r="HTU72" s="684"/>
      <c r="HTV72" s="684"/>
      <c r="HTW72" s="684"/>
      <c r="HTX72" s="684"/>
      <c r="HTY72" s="684"/>
      <c r="HTZ72" s="684"/>
      <c r="HUA72" s="684"/>
      <c r="HUB72" s="684"/>
      <c r="HUC72" s="684"/>
      <c r="HUD72" s="684"/>
      <c r="HUE72" s="684"/>
      <c r="HUF72" s="684"/>
      <c r="HUG72" s="684"/>
      <c r="HUH72" s="684"/>
      <c r="HUI72" s="684"/>
      <c r="HUJ72" s="684"/>
      <c r="HUK72" s="684"/>
      <c r="HUL72" s="684"/>
      <c r="HUM72" s="684"/>
      <c r="HUN72" s="684"/>
      <c r="HUO72" s="684"/>
      <c r="HUP72" s="684"/>
      <c r="HUQ72" s="684"/>
      <c r="HUR72" s="684"/>
      <c r="HUS72" s="684"/>
      <c r="HUT72" s="684"/>
      <c r="HUU72" s="684"/>
      <c r="HUV72" s="684"/>
      <c r="HUW72" s="684"/>
      <c r="HUX72" s="684"/>
      <c r="HUY72" s="684"/>
      <c r="HUZ72" s="684"/>
      <c r="HVA72" s="684"/>
      <c r="HVB72" s="684"/>
      <c r="HVC72" s="684"/>
      <c r="HVD72" s="684"/>
      <c r="HVE72" s="684"/>
      <c r="HVF72" s="684"/>
      <c r="HVG72" s="684"/>
      <c r="HVH72" s="684"/>
      <c r="HVI72" s="684"/>
      <c r="HVJ72" s="684"/>
      <c r="HVK72" s="684"/>
      <c r="HVL72" s="684"/>
      <c r="HVM72" s="684"/>
      <c r="HVN72" s="684"/>
      <c r="HVO72" s="684"/>
      <c r="HVP72" s="684"/>
      <c r="HVQ72" s="684"/>
      <c r="HVR72" s="684"/>
      <c r="HVS72" s="684"/>
      <c r="HVT72" s="684"/>
      <c r="HVU72" s="684"/>
      <c r="HVV72" s="684"/>
      <c r="HVW72" s="684"/>
      <c r="HVX72" s="684"/>
      <c r="HVY72" s="684"/>
      <c r="HVZ72" s="684"/>
      <c r="HWA72" s="684"/>
      <c r="HWB72" s="684"/>
      <c r="HWC72" s="684"/>
      <c r="HWD72" s="684"/>
      <c r="HWE72" s="684"/>
      <c r="HWF72" s="684"/>
      <c r="HWG72" s="684"/>
      <c r="HWH72" s="684"/>
      <c r="HWI72" s="684"/>
      <c r="HWJ72" s="684"/>
      <c r="HWK72" s="684"/>
      <c r="HWL72" s="684"/>
      <c r="HWM72" s="684"/>
      <c r="HWN72" s="684"/>
      <c r="HWO72" s="684"/>
      <c r="HWP72" s="684"/>
      <c r="HWQ72" s="684"/>
      <c r="HWR72" s="684"/>
      <c r="HWS72" s="684"/>
      <c r="HWT72" s="684"/>
      <c r="HWU72" s="684"/>
      <c r="HWV72" s="684"/>
      <c r="HWW72" s="684"/>
      <c r="HWX72" s="684"/>
      <c r="HWY72" s="684"/>
      <c r="HWZ72" s="684"/>
      <c r="HXA72" s="684"/>
      <c r="HXB72" s="684"/>
      <c r="HXC72" s="684"/>
      <c r="HXD72" s="684"/>
      <c r="HXE72" s="684"/>
      <c r="HXF72" s="684"/>
      <c r="HXG72" s="684"/>
      <c r="HXH72" s="684"/>
      <c r="HXI72" s="684"/>
      <c r="HXJ72" s="684"/>
      <c r="HXK72" s="684"/>
      <c r="HXL72" s="684"/>
      <c r="HXM72" s="684"/>
      <c r="HXN72" s="684"/>
      <c r="HXO72" s="684"/>
      <c r="HXP72" s="684"/>
      <c r="HXQ72" s="684"/>
      <c r="HXR72" s="684"/>
      <c r="HXS72" s="684"/>
      <c r="HXT72" s="684"/>
      <c r="HXU72" s="684"/>
      <c r="HXV72" s="684"/>
      <c r="HXW72" s="684"/>
      <c r="HXX72" s="684"/>
      <c r="HXY72" s="684"/>
      <c r="HXZ72" s="684"/>
      <c r="HYA72" s="684"/>
      <c r="HYB72" s="684"/>
      <c r="HYC72" s="684"/>
      <c r="HYD72" s="684"/>
      <c r="HYE72" s="684"/>
      <c r="HYF72" s="684"/>
      <c r="HYG72" s="684"/>
      <c r="HYH72" s="684"/>
      <c r="HYI72" s="684"/>
      <c r="HYJ72" s="684"/>
      <c r="HYK72" s="684"/>
      <c r="HYL72" s="684"/>
      <c r="HYM72" s="684"/>
      <c r="HYN72" s="684"/>
      <c r="HYO72" s="684"/>
      <c r="HYP72" s="684"/>
      <c r="HYQ72" s="684"/>
      <c r="HYR72" s="684"/>
      <c r="HYS72" s="684"/>
      <c r="HYT72" s="684"/>
      <c r="HYU72" s="684"/>
      <c r="HYV72" s="684"/>
      <c r="HYW72" s="684"/>
      <c r="HYX72" s="684"/>
      <c r="HYY72" s="684"/>
      <c r="HYZ72" s="684"/>
      <c r="HZA72" s="684"/>
      <c r="HZB72" s="684"/>
      <c r="HZC72" s="684"/>
      <c r="HZD72" s="684"/>
      <c r="HZE72" s="684"/>
      <c r="HZF72" s="684"/>
      <c r="HZG72" s="684"/>
      <c r="HZH72" s="684"/>
      <c r="HZI72" s="684"/>
      <c r="HZJ72" s="684"/>
      <c r="HZK72" s="684"/>
      <c r="HZL72" s="684"/>
      <c r="HZM72" s="684"/>
      <c r="HZN72" s="684"/>
      <c r="HZO72" s="684"/>
      <c r="HZP72" s="684"/>
      <c r="HZQ72" s="684"/>
      <c r="HZR72" s="684"/>
      <c r="HZS72" s="684"/>
      <c r="HZT72" s="684"/>
      <c r="HZU72" s="684"/>
      <c r="HZV72" s="684"/>
      <c r="HZW72" s="684"/>
      <c r="HZX72" s="684"/>
      <c r="HZY72" s="684"/>
      <c r="HZZ72" s="684"/>
      <c r="IAA72" s="684"/>
      <c r="IAB72" s="684"/>
      <c r="IAC72" s="684"/>
      <c r="IAD72" s="684"/>
      <c r="IAE72" s="684"/>
      <c r="IAF72" s="684"/>
      <c r="IAG72" s="684"/>
      <c r="IAH72" s="684"/>
      <c r="IAI72" s="684"/>
      <c r="IAJ72" s="684"/>
      <c r="IAK72" s="684"/>
      <c r="IAL72" s="684"/>
      <c r="IAM72" s="684"/>
      <c r="IAN72" s="684"/>
      <c r="IAO72" s="684"/>
      <c r="IAP72" s="684"/>
      <c r="IAQ72" s="684"/>
      <c r="IAR72" s="684"/>
      <c r="IAS72" s="684"/>
      <c r="IAT72" s="684"/>
      <c r="IAU72" s="684"/>
      <c r="IAV72" s="684"/>
      <c r="IAW72" s="684"/>
      <c r="IAX72" s="684"/>
      <c r="IAY72" s="684"/>
      <c r="IAZ72" s="684"/>
      <c r="IBA72" s="684"/>
      <c r="IBB72" s="684"/>
      <c r="IBC72" s="684"/>
      <c r="IBD72" s="684"/>
      <c r="IBE72" s="684"/>
      <c r="IBF72" s="684"/>
      <c r="IBG72" s="684"/>
      <c r="IBH72" s="684"/>
      <c r="IBI72" s="684"/>
      <c r="IBJ72" s="684"/>
      <c r="IBK72" s="684"/>
      <c r="IBL72" s="684"/>
      <c r="IBM72" s="684"/>
      <c r="IBN72" s="684"/>
      <c r="IBO72" s="684"/>
      <c r="IBP72" s="684"/>
      <c r="IBQ72" s="684"/>
      <c r="IBR72" s="684"/>
      <c r="IBS72" s="684"/>
      <c r="IBT72" s="684"/>
      <c r="IBU72" s="684"/>
      <c r="IBV72" s="684"/>
      <c r="IBW72" s="684"/>
      <c r="IBX72" s="684"/>
      <c r="IBY72" s="684"/>
      <c r="IBZ72" s="684"/>
      <c r="ICA72" s="684"/>
      <c r="ICB72" s="684"/>
      <c r="ICC72" s="684"/>
      <c r="ICD72" s="684"/>
      <c r="ICE72" s="684"/>
      <c r="ICF72" s="684"/>
      <c r="ICG72" s="684"/>
      <c r="ICH72" s="684"/>
      <c r="ICI72" s="684"/>
      <c r="ICJ72" s="684"/>
      <c r="ICK72" s="684"/>
      <c r="ICL72" s="684"/>
      <c r="ICM72" s="684"/>
      <c r="ICN72" s="684"/>
      <c r="ICO72" s="684"/>
      <c r="ICP72" s="684"/>
      <c r="ICQ72" s="684"/>
      <c r="ICR72" s="684"/>
      <c r="ICS72" s="684"/>
      <c r="ICT72" s="684"/>
      <c r="ICU72" s="684"/>
      <c r="ICV72" s="684"/>
      <c r="ICW72" s="684"/>
      <c r="ICX72" s="684"/>
      <c r="ICY72" s="684"/>
      <c r="ICZ72" s="684"/>
      <c r="IDA72" s="684"/>
      <c r="IDB72" s="684"/>
      <c r="IDC72" s="684"/>
      <c r="IDD72" s="684"/>
      <c r="IDE72" s="684"/>
      <c r="IDF72" s="684"/>
      <c r="IDG72" s="684"/>
      <c r="IDH72" s="684"/>
      <c r="IDI72" s="684"/>
      <c r="IDJ72" s="684"/>
      <c r="IDK72" s="684"/>
      <c r="IDL72" s="684"/>
      <c r="IDM72" s="684"/>
      <c r="IDN72" s="684"/>
      <c r="IDO72" s="684"/>
      <c r="IDP72" s="684"/>
      <c r="IDQ72" s="684"/>
      <c r="IDR72" s="684"/>
      <c r="IDS72" s="684"/>
      <c r="IDT72" s="684"/>
      <c r="IDU72" s="684"/>
      <c r="IDV72" s="684"/>
      <c r="IDW72" s="684"/>
      <c r="IDX72" s="684"/>
      <c r="IDY72" s="684"/>
      <c r="IDZ72" s="684"/>
      <c r="IEA72" s="684"/>
      <c r="IEB72" s="684"/>
      <c r="IEC72" s="684"/>
      <c r="IED72" s="684"/>
      <c r="IEE72" s="684"/>
      <c r="IEF72" s="684"/>
      <c r="IEG72" s="684"/>
      <c r="IEH72" s="684"/>
      <c r="IEI72" s="684"/>
      <c r="IEJ72" s="684"/>
      <c r="IEK72" s="684"/>
      <c r="IEL72" s="684"/>
      <c r="IEM72" s="684"/>
      <c r="IEN72" s="684"/>
      <c r="IEO72" s="684"/>
      <c r="IEP72" s="684"/>
      <c r="IEQ72" s="684"/>
      <c r="IER72" s="684"/>
      <c r="IES72" s="684"/>
      <c r="IET72" s="684"/>
      <c r="IEU72" s="684"/>
      <c r="IEV72" s="684"/>
      <c r="IEW72" s="684"/>
      <c r="IEX72" s="684"/>
      <c r="IEY72" s="684"/>
      <c r="IEZ72" s="684"/>
      <c r="IFA72" s="684"/>
      <c r="IFB72" s="684"/>
      <c r="IFC72" s="684"/>
      <c r="IFD72" s="684"/>
      <c r="IFE72" s="684"/>
      <c r="IFF72" s="684"/>
      <c r="IFG72" s="684"/>
      <c r="IFH72" s="684"/>
      <c r="IFI72" s="684"/>
      <c r="IFJ72" s="684"/>
      <c r="IFK72" s="684"/>
      <c r="IFL72" s="684"/>
      <c r="IFM72" s="684"/>
      <c r="IFN72" s="684"/>
      <c r="IFO72" s="684"/>
      <c r="IFP72" s="684"/>
      <c r="IFQ72" s="684"/>
      <c r="IFR72" s="684"/>
      <c r="IFS72" s="684"/>
      <c r="IFT72" s="684"/>
      <c r="IFU72" s="684"/>
      <c r="IFV72" s="684"/>
      <c r="IFW72" s="684"/>
      <c r="IFX72" s="684"/>
      <c r="IFY72" s="684"/>
      <c r="IFZ72" s="684"/>
      <c r="IGA72" s="684"/>
      <c r="IGB72" s="684"/>
      <c r="IGC72" s="684"/>
      <c r="IGD72" s="684"/>
      <c r="IGE72" s="684"/>
      <c r="IGF72" s="684"/>
      <c r="IGG72" s="684"/>
      <c r="IGH72" s="684"/>
      <c r="IGI72" s="684"/>
      <c r="IGJ72" s="684"/>
      <c r="IGK72" s="684"/>
      <c r="IGL72" s="684"/>
      <c r="IGM72" s="684"/>
      <c r="IGN72" s="684"/>
      <c r="IGO72" s="684"/>
      <c r="IGP72" s="684"/>
      <c r="IGQ72" s="684"/>
      <c r="IGR72" s="684"/>
      <c r="IGS72" s="684"/>
      <c r="IGT72" s="684"/>
      <c r="IGU72" s="684"/>
      <c r="IGV72" s="684"/>
      <c r="IGW72" s="684"/>
      <c r="IGX72" s="684"/>
      <c r="IGY72" s="684"/>
      <c r="IGZ72" s="684"/>
      <c r="IHA72" s="684"/>
      <c r="IHB72" s="684"/>
      <c r="IHC72" s="684"/>
      <c r="IHD72" s="684"/>
      <c r="IHE72" s="684"/>
      <c r="IHF72" s="684"/>
      <c r="IHG72" s="684"/>
      <c r="IHH72" s="684"/>
      <c r="IHI72" s="684"/>
      <c r="IHJ72" s="684"/>
      <c r="IHK72" s="684"/>
      <c r="IHL72" s="684"/>
      <c r="IHM72" s="684"/>
      <c r="IHN72" s="684"/>
      <c r="IHO72" s="684"/>
      <c r="IHP72" s="684"/>
      <c r="IHQ72" s="684"/>
      <c r="IHR72" s="684"/>
      <c r="IHS72" s="684"/>
      <c r="IHT72" s="684"/>
      <c r="IHU72" s="684"/>
      <c r="IHV72" s="684"/>
      <c r="IHW72" s="684"/>
      <c r="IHX72" s="684"/>
      <c r="IHY72" s="684"/>
      <c r="IHZ72" s="684"/>
      <c r="IIA72" s="684"/>
      <c r="IIB72" s="684"/>
      <c r="IIC72" s="684"/>
      <c r="IID72" s="684"/>
      <c r="IIE72" s="684"/>
      <c r="IIF72" s="684"/>
      <c r="IIG72" s="684"/>
      <c r="IIH72" s="684"/>
      <c r="III72" s="684"/>
      <c r="IIJ72" s="684"/>
      <c r="IIK72" s="684"/>
      <c r="IIL72" s="684"/>
      <c r="IIM72" s="684"/>
      <c r="IIN72" s="684"/>
      <c r="IIO72" s="684"/>
      <c r="IIP72" s="684"/>
      <c r="IIQ72" s="684"/>
      <c r="IIR72" s="684"/>
      <c r="IIS72" s="684"/>
      <c r="IIT72" s="684"/>
      <c r="IIU72" s="684"/>
      <c r="IIV72" s="684"/>
      <c r="IIW72" s="684"/>
      <c r="IIX72" s="684"/>
      <c r="IIY72" s="684"/>
      <c r="IIZ72" s="684"/>
      <c r="IJA72" s="684"/>
      <c r="IJB72" s="684"/>
      <c r="IJC72" s="684"/>
      <c r="IJD72" s="684"/>
      <c r="IJE72" s="684"/>
      <c r="IJF72" s="684"/>
      <c r="IJG72" s="684"/>
      <c r="IJH72" s="684"/>
      <c r="IJI72" s="684"/>
      <c r="IJJ72" s="684"/>
      <c r="IJK72" s="684"/>
      <c r="IJL72" s="684"/>
      <c r="IJM72" s="684"/>
      <c r="IJN72" s="684"/>
      <c r="IJO72" s="684"/>
      <c r="IJP72" s="684"/>
      <c r="IJQ72" s="684"/>
      <c r="IJR72" s="684"/>
      <c r="IJS72" s="684"/>
      <c r="IJT72" s="684"/>
      <c r="IJU72" s="684"/>
      <c r="IJV72" s="684"/>
      <c r="IJW72" s="684"/>
      <c r="IJX72" s="684"/>
      <c r="IJY72" s="684"/>
      <c r="IJZ72" s="684"/>
      <c r="IKA72" s="684"/>
      <c r="IKB72" s="684"/>
      <c r="IKC72" s="684"/>
      <c r="IKD72" s="684"/>
      <c r="IKE72" s="684"/>
      <c r="IKF72" s="684"/>
      <c r="IKG72" s="684"/>
      <c r="IKH72" s="684"/>
      <c r="IKI72" s="684"/>
      <c r="IKJ72" s="684"/>
      <c r="IKK72" s="684"/>
      <c r="IKL72" s="684"/>
      <c r="IKM72" s="684"/>
      <c r="IKN72" s="684"/>
      <c r="IKO72" s="684"/>
      <c r="IKP72" s="684"/>
      <c r="IKQ72" s="684"/>
      <c r="IKR72" s="684"/>
      <c r="IKS72" s="684"/>
      <c r="IKT72" s="684"/>
      <c r="IKU72" s="684"/>
      <c r="IKV72" s="684"/>
      <c r="IKW72" s="684"/>
      <c r="IKX72" s="684"/>
      <c r="IKY72" s="684"/>
      <c r="IKZ72" s="684"/>
      <c r="ILA72" s="684"/>
      <c r="ILB72" s="684"/>
      <c r="ILC72" s="684"/>
      <c r="ILD72" s="684"/>
      <c r="ILE72" s="684"/>
      <c r="ILF72" s="684"/>
      <c r="ILG72" s="684"/>
      <c r="ILH72" s="684"/>
      <c r="ILI72" s="684"/>
      <c r="ILJ72" s="684"/>
      <c r="ILK72" s="684"/>
      <c r="ILL72" s="684"/>
      <c r="ILM72" s="684"/>
      <c r="ILN72" s="684"/>
      <c r="ILO72" s="684"/>
      <c r="ILP72" s="684"/>
      <c r="ILQ72" s="684"/>
      <c r="ILR72" s="684"/>
      <c r="ILS72" s="684"/>
      <c r="ILT72" s="684"/>
      <c r="ILU72" s="684"/>
      <c r="ILV72" s="684"/>
      <c r="ILW72" s="684"/>
      <c r="ILX72" s="684"/>
      <c r="ILY72" s="684"/>
      <c r="ILZ72" s="684"/>
      <c r="IMA72" s="684"/>
      <c r="IMB72" s="684"/>
      <c r="IMC72" s="684"/>
      <c r="IMD72" s="684"/>
      <c r="IME72" s="684"/>
      <c r="IMF72" s="684"/>
      <c r="IMG72" s="684"/>
      <c r="IMH72" s="684"/>
      <c r="IMI72" s="684"/>
      <c r="IMJ72" s="684"/>
      <c r="IMK72" s="684"/>
      <c r="IML72" s="684"/>
      <c r="IMM72" s="684"/>
      <c r="IMN72" s="684"/>
      <c r="IMO72" s="684"/>
      <c r="IMP72" s="684"/>
      <c r="IMQ72" s="684"/>
      <c r="IMR72" s="684"/>
      <c r="IMS72" s="684"/>
      <c r="IMT72" s="684"/>
      <c r="IMU72" s="684"/>
      <c r="IMV72" s="684"/>
      <c r="IMW72" s="684"/>
      <c r="IMX72" s="684"/>
      <c r="IMY72" s="684"/>
      <c r="IMZ72" s="684"/>
      <c r="INA72" s="684"/>
      <c r="INB72" s="684"/>
      <c r="INC72" s="684"/>
      <c r="IND72" s="684"/>
      <c r="INE72" s="684"/>
      <c r="INF72" s="684"/>
      <c r="ING72" s="684"/>
      <c r="INH72" s="684"/>
      <c r="INI72" s="684"/>
      <c r="INJ72" s="684"/>
      <c r="INK72" s="684"/>
      <c r="INL72" s="684"/>
      <c r="INM72" s="684"/>
      <c r="INN72" s="684"/>
      <c r="INO72" s="684"/>
      <c r="INP72" s="684"/>
      <c r="INQ72" s="684"/>
      <c r="INR72" s="684"/>
      <c r="INS72" s="684"/>
      <c r="INT72" s="684"/>
      <c r="INU72" s="684"/>
      <c r="INV72" s="684"/>
      <c r="INW72" s="684"/>
      <c r="INX72" s="684"/>
      <c r="INY72" s="684"/>
      <c r="INZ72" s="684"/>
      <c r="IOA72" s="684"/>
      <c r="IOB72" s="684"/>
      <c r="IOC72" s="684"/>
      <c r="IOD72" s="684"/>
      <c r="IOE72" s="684"/>
      <c r="IOF72" s="684"/>
      <c r="IOG72" s="684"/>
      <c r="IOH72" s="684"/>
      <c r="IOI72" s="684"/>
      <c r="IOJ72" s="684"/>
      <c r="IOK72" s="684"/>
      <c r="IOL72" s="684"/>
      <c r="IOM72" s="684"/>
      <c r="ION72" s="684"/>
      <c r="IOO72" s="684"/>
      <c r="IOP72" s="684"/>
      <c r="IOQ72" s="684"/>
      <c r="IOR72" s="684"/>
      <c r="IOS72" s="684"/>
      <c r="IOT72" s="684"/>
      <c r="IOU72" s="684"/>
      <c r="IOV72" s="684"/>
      <c r="IOW72" s="684"/>
      <c r="IOX72" s="684"/>
      <c r="IOY72" s="684"/>
      <c r="IOZ72" s="684"/>
      <c r="IPA72" s="684"/>
      <c r="IPB72" s="684"/>
      <c r="IPC72" s="684"/>
      <c r="IPD72" s="684"/>
      <c r="IPE72" s="684"/>
      <c r="IPF72" s="684"/>
      <c r="IPG72" s="684"/>
      <c r="IPH72" s="684"/>
      <c r="IPI72" s="684"/>
      <c r="IPJ72" s="684"/>
      <c r="IPK72" s="684"/>
      <c r="IPL72" s="684"/>
      <c r="IPM72" s="684"/>
      <c r="IPN72" s="684"/>
      <c r="IPO72" s="684"/>
      <c r="IPP72" s="684"/>
      <c r="IPQ72" s="684"/>
      <c r="IPR72" s="684"/>
      <c r="IPS72" s="684"/>
      <c r="IPT72" s="684"/>
      <c r="IPU72" s="684"/>
      <c r="IPV72" s="684"/>
      <c r="IPW72" s="684"/>
      <c r="IPX72" s="684"/>
      <c r="IPY72" s="684"/>
      <c r="IPZ72" s="684"/>
      <c r="IQA72" s="684"/>
      <c r="IQB72" s="684"/>
      <c r="IQC72" s="684"/>
      <c r="IQD72" s="684"/>
      <c r="IQE72" s="684"/>
      <c r="IQF72" s="684"/>
      <c r="IQG72" s="684"/>
      <c r="IQH72" s="684"/>
      <c r="IQI72" s="684"/>
      <c r="IQJ72" s="684"/>
      <c r="IQK72" s="684"/>
      <c r="IQL72" s="684"/>
      <c r="IQM72" s="684"/>
      <c r="IQN72" s="684"/>
      <c r="IQO72" s="684"/>
      <c r="IQP72" s="684"/>
      <c r="IQQ72" s="684"/>
      <c r="IQR72" s="684"/>
      <c r="IQS72" s="684"/>
      <c r="IQT72" s="684"/>
      <c r="IQU72" s="684"/>
      <c r="IQV72" s="684"/>
      <c r="IQW72" s="684"/>
      <c r="IQX72" s="684"/>
      <c r="IQY72" s="684"/>
      <c r="IQZ72" s="684"/>
      <c r="IRA72" s="684"/>
      <c r="IRB72" s="684"/>
      <c r="IRC72" s="684"/>
      <c r="IRD72" s="684"/>
      <c r="IRE72" s="684"/>
      <c r="IRF72" s="684"/>
      <c r="IRG72" s="684"/>
      <c r="IRH72" s="684"/>
      <c r="IRI72" s="684"/>
      <c r="IRJ72" s="684"/>
      <c r="IRK72" s="684"/>
      <c r="IRL72" s="684"/>
      <c r="IRM72" s="684"/>
      <c r="IRN72" s="684"/>
      <c r="IRO72" s="684"/>
      <c r="IRP72" s="684"/>
      <c r="IRQ72" s="684"/>
      <c r="IRR72" s="684"/>
      <c r="IRS72" s="684"/>
      <c r="IRT72" s="684"/>
      <c r="IRU72" s="684"/>
      <c r="IRV72" s="684"/>
      <c r="IRW72" s="684"/>
      <c r="IRX72" s="684"/>
      <c r="IRY72" s="684"/>
      <c r="IRZ72" s="684"/>
      <c r="ISA72" s="684"/>
      <c r="ISB72" s="684"/>
      <c r="ISC72" s="684"/>
      <c r="ISD72" s="684"/>
      <c r="ISE72" s="684"/>
      <c r="ISF72" s="684"/>
      <c r="ISG72" s="684"/>
      <c r="ISH72" s="684"/>
      <c r="ISI72" s="684"/>
      <c r="ISJ72" s="684"/>
      <c r="ISK72" s="684"/>
      <c r="ISL72" s="684"/>
      <c r="ISM72" s="684"/>
      <c r="ISN72" s="684"/>
      <c r="ISO72" s="684"/>
      <c r="ISP72" s="684"/>
      <c r="ISQ72" s="684"/>
      <c r="ISR72" s="684"/>
      <c r="ISS72" s="684"/>
      <c r="IST72" s="684"/>
      <c r="ISU72" s="684"/>
      <c r="ISV72" s="684"/>
      <c r="ISW72" s="684"/>
      <c r="ISX72" s="684"/>
      <c r="ISY72" s="684"/>
      <c r="ISZ72" s="684"/>
      <c r="ITA72" s="684"/>
      <c r="ITB72" s="684"/>
      <c r="ITC72" s="684"/>
      <c r="ITD72" s="684"/>
      <c r="ITE72" s="684"/>
      <c r="ITF72" s="684"/>
      <c r="ITG72" s="684"/>
      <c r="ITH72" s="684"/>
      <c r="ITI72" s="684"/>
      <c r="ITJ72" s="684"/>
      <c r="ITK72" s="684"/>
      <c r="ITL72" s="684"/>
      <c r="ITM72" s="684"/>
      <c r="ITN72" s="684"/>
      <c r="ITO72" s="684"/>
      <c r="ITP72" s="684"/>
      <c r="ITQ72" s="684"/>
      <c r="ITR72" s="684"/>
      <c r="ITS72" s="684"/>
      <c r="ITT72" s="684"/>
      <c r="ITU72" s="684"/>
      <c r="ITV72" s="684"/>
      <c r="ITW72" s="684"/>
      <c r="ITX72" s="684"/>
      <c r="ITY72" s="684"/>
      <c r="ITZ72" s="684"/>
      <c r="IUA72" s="684"/>
      <c r="IUB72" s="684"/>
      <c r="IUC72" s="684"/>
      <c r="IUD72" s="684"/>
      <c r="IUE72" s="684"/>
      <c r="IUF72" s="684"/>
      <c r="IUG72" s="684"/>
      <c r="IUH72" s="684"/>
      <c r="IUI72" s="684"/>
      <c r="IUJ72" s="684"/>
      <c r="IUK72" s="684"/>
      <c r="IUL72" s="684"/>
      <c r="IUM72" s="684"/>
      <c r="IUN72" s="684"/>
      <c r="IUO72" s="684"/>
      <c r="IUP72" s="684"/>
      <c r="IUQ72" s="684"/>
      <c r="IUR72" s="684"/>
      <c r="IUS72" s="684"/>
      <c r="IUT72" s="684"/>
      <c r="IUU72" s="684"/>
      <c r="IUV72" s="684"/>
      <c r="IUW72" s="684"/>
      <c r="IUX72" s="684"/>
      <c r="IUY72" s="684"/>
      <c r="IUZ72" s="684"/>
      <c r="IVA72" s="684"/>
      <c r="IVB72" s="684"/>
      <c r="IVC72" s="684"/>
      <c r="IVD72" s="684"/>
      <c r="IVE72" s="684"/>
      <c r="IVF72" s="684"/>
      <c r="IVG72" s="684"/>
      <c r="IVH72" s="684"/>
      <c r="IVI72" s="684"/>
      <c r="IVJ72" s="684"/>
      <c r="IVK72" s="684"/>
      <c r="IVL72" s="684"/>
      <c r="IVM72" s="684"/>
      <c r="IVN72" s="684"/>
      <c r="IVO72" s="684"/>
      <c r="IVP72" s="684"/>
      <c r="IVQ72" s="684"/>
      <c r="IVR72" s="684"/>
      <c r="IVS72" s="684"/>
      <c r="IVT72" s="684"/>
      <c r="IVU72" s="684"/>
      <c r="IVV72" s="684"/>
      <c r="IVW72" s="684"/>
      <c r="IVX72" s="684"/>
      <c r="IVY72" s="684"/>
      <c r="IVZ72" s="684"/>
      <c r="IWA72" s="684"/>
      <c r="IWB72" s="684"/>
      <c r="IWC72" s="684"/>
      <c r="IWD72" s="684"/>
      <c r="IWE72" s="684"/>
      <c r="IWF72" s="684"/>
      <c r="IWG72" s="684"/>
      <c r="IWH72" s="684"/>
      <c r="IWI72" s="684"/>
      <c r="IWJ72" s="684"/>
      <c r="IWK72" s="684"/>
      <c r="IWL72" s="684"/>
      <c r="IWM72" s="684"/>
      <c r="IWN72" s="684"/>
      <c r="IWO72" s="684"/>
      <c r="IWP72" s="684"/>
      <c r="IWQ72" s="684"/>
      <c r="IWR72" s="684"/>
      <c r="IWS72" s="684"/>
      <c r="IWT72" s="684"/>
      <c r="IWU72" s="684"/>
      <c r="IWV72" s="684"/>
      <c r="IWW72" s="684"/>
      <c r="IWX72" s="684"/>
      <c r="IWY72" s="684"/>
      <c r="IWZ72" s="684"/>
      <c r="IXA72" s="684"/>
      <c r="IXB72" s="684"/>
      <c r="IXC72" s="684"/>
      <c r="IXD72" s="684"/>
      <c r="IXE72" s="684"/>
      <c r="IXF72" s="684"/>
      <c r="IXG72" s="684"/>
      <c r="IXH72" s="684"/>
      <c r="IXI72" s="684"/>
      <c r="IXJ72" s="684"/>
      <c r="IXK72" s="684"/>
      <c r="IXL72" s="684"/>
      <c r="IXM72" s="684"/>
      <c r="IXN72" s="684"/>
      <c r="IXO72" s="684"/>
      <c r="IXP72" s="684"/>
      <c r="IXQ72" s="684"/>
      <c r="IXR72" s="684"/>
      <c r="IXS72" s="684"/>
      <c r="IXT72" s="684"/>
      <c r="IXU72" s="684"/>
      <c r="IXV72" s="684"/>
      <c r="IXW72" s="684"/>
      <c r="IXX72" s="684"/>
      <c r="IXY72" s="684"/>
      <c r="IXZ72" s="684"/>
      <c r="IYA72" s="684"/>
      <c r="IYB72" s="684"/>
      <c r="IYC72" s="684"/>
      <c r="IYD72" s="684"/>
      <c r="IYE72" s="684"/>
      <c r="IYF72" s="684"/>
      <c r="IYG72" s="684"/>
      <c r="IYH72" s="684"/>
      <c r="IYI72" s="684"/>
      <c r="IYJ72" s="684"/>
      <c r="IYK72" s="684"/>
      <c r="IYL72" s="684"/>
      <c r="IYM72" s="684"/>
      <c r="IYN72" s="684"/>
      <c r="IYO72" s="684"/>
      <c r="IYP72" s="684"/>
      <c r="IYQ72" s="684"/>
      <c r="IYR72" s="684"/>
      <c r="IYS72" s="684"/>
      <c r="IYT72" s="684"/>
      <c r="IYU72" s="684"/>
      <c r="IYV72" s="684"/>
      <c r="IYW72" s="684"/>
      <c r="IYX72" s="684"/>
      <c r="IYY72" s="684"/>
      <c r="IYZ72" s="684"/>
      <c r="IZA72" s="684"/>
      <c r="IZB72" s="684"/>
      <c r="IZC72" s="684"/>
      <c r="IZD72" s="684"/>
      <c r="IZE72" s="684"/>
      <c r="IZF72" s="684"/>
      <c r="IZG72" s="684"/>
      <c r="IZH72" s="684"/>
      <c r="IZI72" s="684"/>
      <c r="IZJ72" s="684"/>
      <c r="IZK72" s="684"/>
      <c r="IZL72" s="684"/>
      <c r="IZM72" s="684"/>
      <c r="IZN72" s="684"/>
      <c r="IZO72" s="684"/>
      <c r="IZP72" s="684"/>
      <c r="IZQ72" s="684"/>
      <c r="IZR72" s="684"/>
      <c r="IZS72" s="684"/>
      <c r="IZT72" s="684"/>
      <c r="IZU72" s="684"/>
      <c r="IZV72" s="684"/>
      <c r="IZW72" s="684"/>
      <c r="IZX72" s="684"/>
      <c r="IZY72" s="684"/>
      <c r="IZZ72" s="684"/>
      <c r="JAA72" s="684"/>
      <c r="JAB72" s="684"/>
      <c r="JAC72" s="684"/>
      <c r="JAD72" s="684"/>
      <c r="JAE72" s="684"/>
      <c r="JAF72" s="684"/>
      <c r="JAG72" s="684"/>
      <c r="JAH72" s="684"/>
      <c r="JAI72" s="684"/>
      <c r="JAJ72" s="684"/>
      <c r="JAK72" s="684"/>
      <c r="JAL72" s="684"/>
      <c r="JAM72" s="684"/>
      <c r="JAN72" s="684"/>
      <c r="JAO72" s="684"/>
      <c r="JAP72" s="684"/>
      <c r="JAQ72" s="684"/>
      <c r="JAR72" s="684"/>
      <c r="JAS72" s="684"/>
      <c r="JAT72" s="684"/>
      <c r="JAU72" s="684"/>
      <c r="JAV72" s="684"/>
      <c r="JAW72" s="684"/>
      <c r="JAX72" s="684"/>
      <c r="JAY72" s="684"/>
      <c r="JAZ72" s="684"/>
      <c r="JBA72" s="684"/>
      <c r="JBB72" s="684"/>
      <c r="JBC72" s="684"/>
      <c r="JBD72" s="684"/>
      <c r="JBE72" s="684"/>
      <c r="JBF72" s="684"/>
      <c r="JBG72" s="684"/>
      <c r="JBH72" s="684"/>
      <c r="JBI72" s="684"/>
      <c r="JBJ72" s="684"/>
      <c r="JBK72" s="684"/>
      <c r="JBL72" s="684"/>
      <c r="JBM72" s="684"/>
      <c r="JBN72" s="684"/>
      <c r="JBO72" s="684"/>
      <c r="JBP72" s="684"/>
      <c r="JBQ72" s="684"/>
      <c r="JBR72" s="684"/>
      <c r="JBS72" s="684"/>
      <c r="JBT72" s="684"/>
      <c r="JBU72" s="684"/>
      <c r="JBV72" s="684"/>
      <c r="JBW72" s="684"/>
      <c r="JBX72" s="684"/>
      <c r="JBY72" s="684"/>
      <c r="JBZ72" s="684"/>
      <c r="JCA72" s="684"/>
      <c r="JCB72" s="684"/>
      <c r="JCC72" s="684"/>
      <c r="JCD72" s="684"/>
      <c r="JCE72" s="684"/>
      <c r="JCF72" s="684"/>
      <c r="JCG72" s="684"/>
      <c r="JCH72" s="684"/>
      <c r="JCI72" s="684"/>
      <c r="JCJ72" s="684"/>
      <c r="JCK72" s="684"/>
      <c r="JCL72" s="684"/>
      <c r="JCM72" s="684"/>
      <c r="JCN72" s="684"/>
      <c r="JCO72" s="684"/>
      <c r="JCP72" s="684"/>
      <c r="JCQ72" s="684"/>
      <c r="JCR72" s="684"/>
      <c r="JCS72" s="684"/>
      <c r="JCT72" s="684"/>
      <c r="JCU72" s="684"/>
      <c r="JCV72" s="684"/>
      <c r="JCW72" s="684"/>
      <c r="JCX72" s="684"/>
      <c r="JCY72" s="684"/>
      <c r="JCZ72" s="684"/>
      <c r="JDA72" s="684"/>
      <c r="JDB72" s="684"/>
      <c r="JDC72" s="684"/>
      <c r="JDD72" s="684"/>
      <c r="JDE72" s="684"/>
      <c r="JDF72" s="684"/>
      <c r="JDG72" s="684"/>
      <c r="JDH72" s="684"/>
      <c r="JDI72" s="684"/>
      <c r="JDJ72" s="684"/>
      <c r="JDK72" s="684"/>
      <c r="JDL72" s="684"/>
      <c r="JDM72" s="684"/>
      <c r="JDN72" s="684"/>
      <c r="JDO72" s="684"/>
      <c r="JDP72" s="684"/>
      <c r="JDQ72" s="684"/>
      <c r="JDR72" s="684"/>
      <c r="JDS72" s="684"/>
      <c r="JDT72" s="684"/>
      <c r="JDU72" s="684"/>
      <c r="JDV72" s="684"/>
      <c r="JDW72" s="684"/>
      <c r="JDX72" s="684"/>
      <c r="JDY72" s="684"/>
      <c r="JDZ72" s="684"/>
      <c r="JEA72" s="684"/>
      <c r="JEB72" s="684"/>
      <c r="JEC72" s="684"/>
      <c r="JED72" s="684"/>
      <c r="JEE72" s="684"/>
      <c r="JEF72" s="684"/>
      <c r="JEG72" s="684"/>
      <c r="JEH72" s="684"/>
      <c r="JEI72" s="684"/>
      <c r="JEJ72" s="684"/>
      <c r="JEK72" s="684"/>
      <c r="JEL72" s="684"/>
      <c r="JEM72" s="684"/>
      <c r="JEN72" s="684"/>
      <c r="JEO72" s="684"/>
      <c r="JEP72" s="684"/>
      <c r="JEQ72" s="684"/>
      <c r="JER72" s="684"/>
      <c r="JES72" s="684"/>
      <c r="JET72" s="684"/>
      <c r="JEU72" s="684"/>
      <c r="JEV72" s="684"/>
      <c r="JEW72" s="684"/>
      <c r="JEX72" s="684"/>
      <c r="JEY72" s="684"/>
      <c r="JEZ72" s="684"/>
      <c r="JFA72" s="684"/>
      <c r="JFB72" s="684"/>
      <c r="JFC72" s="684"/>
      <c r="JFD72" s="684"/>
      <c r="JFE72" s="684"/>
      <c r="JFF72" s="684"/>
      <c r="JFG72" s="684"/>
      <c r="JFH72" s="684"/>
      <c r="JFI72" s="684"/>
      <c r="JFJ72" s="684"/>
      <c r="JFK72" s="684"/>
      <c r="JFL72" s="684"/>
      <c r="JFM72" s="684"/>
      <c r="JFN72" s="684"/>
      <c r="JFO72" s="684"/>
      <c r="JFP72" s="684"/>
      <c r="JFQ72" s="684"/>
      <c r="JFR72" s="684"/>
      <c r="JFS72" s="684"/>
      <c r="JFT72" s="684"/>
      <c r="JFU72" s="684"/>
      <c r="JFV72" s="684"/>
      <c r="JFW72" s="684"/>
      <c r="JFX72" s="684"/>
      <c r="JFY72" s="684"/>
      <c r="JFZ72" s="684"/>
      <c r="JGA72" s="684"/>
      <c r="JGB72" s="684"/>
      <c r="JGC72" s="684"/>
      <c r="JGD72" s="684"/>
      <c r="JGE72" s="684"/>
      <c r="JGF72" s="684"/>
      <c r="JGG72" s="684"/>
      <c r="JGH72" s="684"/>
      <c r="JGI72" s="684"/>
      <c r="JGJ72" s="684"/>
      <c r="JGK72" s="684"/>
      <c r="JGL72" s="684"/>
      <c r="JGM72" s="684"/>
      <c r="JGN72" s="684"/>
      <c r="JGO72" s="684"/>
      <c r="JGP72" s="684"/>
      <c r="JGQ72" s="684"/>
      <c r="JGR72" s="684"/>
      <c r="JGS72" s="684"/>
      <c r="JGT72" s="684"/>
      <c r="JGU72" s="684"/>
      <c r="JGV72" s="684"/>
      <c r="JGW72" s="684"/>
      <c r="JGX72" s="684"/>
      <c r="JGY72" s="684"/>
      <c r="JGZ72" s="684"/>
      <c r="JHA72" s="684"/>
      <c r="JHB72" s="684"/>
      <c r="JHC72" s="684"/>
      <c r="JHD72" s="684"/>
      <c r="JHE72" s="684"/>
      <c r="JHF72" s="684"/>
      <c r="JHG72" s="684"/>
      <c r="JHH72" s="684"/>
      <c r="JHI72" s="684"/>
      <c r="JHJ72" s="684"/>
      <c r="JHK72" s="684"/>
      <c r="JHL72" s="684"/>
      <c r="JHM72" s="684"/>
      <c r="JHN72" s="684"/>
      <c r="JHO72" s="684"/>
      <c r="JHP72" s="684"/>
      <c r="JHQ72" s="684"/>
      <c r="JHR72" s="684"/>
      <c r="JHS72" s="684"/>
      <c r="JHT72" s="684"/>
      <c r="JHU72" s="684"/>
      <c r="JHV72" s="684"/>
      <c r="JHW72" s="684"/>
      <c r="JHX72" s="684"/>
      <c r="JHY72" s="684"/>
      <c r="JHZ72" s="684"/>
      <c r="JIA72" s="684"/>
      <c r="JIB72" s="684"/>
      <c r="JIC72" s="684"/>
      <c r="JID72" s="684"/>
      <c r="JIE72" s="684"/>
      <c r="JIF72" s="684"/>
      <c r="JIG72" s="684"/>
      <c r="JIH72" s="684"/>
      <c r="JII72" s="684"/>
      <c r="JIJ72" s="684"/>
      <c r="JIK72" s="684"/>
      <c r="JIL72" s="684"/>
      <c r="JIM72" s="684"/>
      <c r="JIN72" s="684"/>
      <c r="JIO72" s="684"/>
      <c r="JIP72" s="684"/>
      <c r="JIQ72" s="684"/>
      <c r="JIR72" s="684"/>
      <c r="JIS72" s="684"/>
      <c r="JIT72" s="684"/>
      <c r="JIU72" s="684"/>
      <c r="JIV72" s="684"/>
      <c r="JIW72" s="684"/>
      <c r="JIX72" s="684"/>
      <c r="JIY72" s="684"/>
      <c r="JIZ72" s="684"/>
      <c r="JJA72" s="684"/>
      <c r="JJB72" s="684"/>
      <c r="JJC72" s="684"/>
      <c r="JJD72" s="684"/>
      <c r="JJE72" s="684"/>
      <c r="JJF72" s="684"/>
      <c r="JJG72" s="684"/>
      <c r="JJH72" s="684"/>
      <c r="JJI72" s="684"/>
      <c r="JJJ72" s="684"/>
      <c r="JJK72" s="684"/>
      <c r="JJL72" s="684"/>
      <c r="JJM72" s="684"/>
      <c r="JJN72" s="684"/>
      <c r="JJO72" s="684"/>
      <c r="JJP72" s="684"/>
      <c r="JJQ72" s="684"/>
      <c r="JJR72" s="684"/>
      <c r="JJS72" s="684"/>
      <c r="JJT72" s="684"/>
      <c r="JJU72" s="684"/>
      <c r="JJV72" s="684"/>
      <c r="JJW72" s="684"/>
      <c r="JJX72" s="684"/>
      <c r="JJY72" s="684"/>
      <c r="JJZ72" s="684"/>
      <c r="JKA72" s="684"/>
      <c r="JKB72" s="684"/>
      <c r="JKC72" s="684"/>
      <c r="JKD72" s="684"/>
      <c r="JKE72" s="684"/>
      <c r="JKF72" s="684"/>
      <c r="JKG72" s="684"/>
      <c r="JKH72" s="684"/>
      <c r="JKI72" s="684"/>
      <c r="JKJ72" s="684"/>
      <c r="JKK72" s="684"/>
      <c r="JKL72" s="684"/>
      <c r="JKM72" s="684"/>
      <c r="JKN72" s="684"/>
      <c r="JKO72" s="684"/>
      <c r="JKP72" s="684"/>
      <c r="JKQ72" s="684"/>
      <c r="JKR72" s="684"/>
      <c r="JKS72" s="684"/>
      <c r="JKT72" s="684"/>
      <c r="JKU72" s="684"/>
      <c r="JKV72" s="684"/>
      <c r="JKW72" s="684"/>
      <c r="JKX72" s="684"/>
      <c r="JKY72" s="684"/>
      <c r="JKZ72" s="684"/>
      <c r="JLA72" s="684"/>
      <c r="JLB72" s="684"/>
      <c r="JLC72" s="684"/>
      <c r="JLD72" s="684"/>
      <c r="JLE72" s="684"/>
      <c r="JLF72" s="684"/>
      <c r="JLG72" s="684"/>
      <c r="JLH72" s="684"/>
      <c r="JLI72" s="684"/>
      <c r="JLJ72" s="684"/>
      <c r="JLK72" s="684"/>
      <c r="JLL72" s="684"/>
      <c r="JLM72" s="684"/>
      <c r="JLN72" s="684"/>
      <c r="JLO72" s="684"/>
      <c r="JLP72" s="684"/>
      <c r="JLQ72" s="684"/>
      <c r="JLR72" s="684"/>
      <c r="JLS72" s="684"/>
      <c r="JLT72" s="684"/>
      <c r="JLU72" s="684"/>
      <c r="JLV72" s="684"/>
      <c r="JLW72" s="684"/>
      <c r="JLX72" s="684"/>
      <c r="JLY72" s="684"/>
      <c r="JLZ72" s="684"/>
      <c r="JMA72" s="684"/>
      <c r="JMB72" s="684"/>
      <c r="JMC72" s="684"/>
      <c r="JMD72" s="684"/>
      <c r="JME72" s="684"/>
      <c r="JMF72" s="684"/>
      <c r="JMG72" s="684"/>
      <c r="JMH72" s="684"/>
      <c r="JMI72" s="684"/>
      <c r="JMJ72" s="684"/>
      <c r="JMK72" s="684"/>
      <c r="JML72" s="684"/>
      <c r="JMM72" s="684"/>
      <c r="JMN72" s="684"/>
      <c r="JMO72" s="684"/>
      <c r="JMP72" s="684"/>
      <c r="JMQ72" s="684"/>
      <c r="JMR72" s="684"/>
      <c r="JMS72" s="684"/>
      <c r="JMT72" s="684"/>
      <c r="JMU72" s="684"/>
      <c r="JMV72" s="684"/>
      <c r="JMW72" s="684"/>
      <c r="JMX72" s="684"/>
      <c r="JMY72" s="684"/>
      <c r="JMZ72" s="684"/>
      <c r="JNA72" s="684"/>
      <c r="JNB72" s="684"/>
      <c r="JNC72" s="684"/>
      <c r="JND72" s="684"/>
      <c r="JNE72" s="684"/>
      <c r="JNF72" s="684"/>
      <c r="JNG72" s="684"/>
      <c r="JNH72" s="684"/>
      <c r="JNI72" s="684"/>
      <c r="JNJ72" s="684"/>
      <c r="JNK72" s="684"/>
      <c r="JNL72" s="684"/>
      <c r="JNM72" s="684"/>
      <c r="JNN72" s="684"/>
      <c r="JNO72" s="684"/>
      <c r="JNP72" s="684"/>
      <c r="JNQ72" s="684"/>
      <c r="JNR72" s="684"/>
      <c r="JNS72" s="684"/>
      <c r="JNT72" s="684"/>
      <c r="JNU72" s="684"/>
      <c r="JNV72" s="684"/>
      <c r="JNW72" s="684"/>
      <c r="JNX72" s="684"/>
      <c r="JNY72" s="684"/>
      <c r="JNZ72" s="684"/>
      <c r="JOA72" s="684"/>
      <c r="JOB72" s="684"/>
      <c r="JOC72" s="684"/>
      <c r="JOD72" s="684"/>
      <c r="JOE72" s="684"/>
      <c r="JOF72" s="684"/>
      <c r="JOG72" s="684"/>
      <c r="JOH72" s="684"/>
      <c r="JOI72" s="684"/>
      <c r="JOJ72" s="684"/>
      <c r="JOK72" s="684"/>
      <c r="JOL72" s="684"/>
      <c r="JOM72" s="684"/>
      <c r="JON72" s="684"/>
      <c r="JOO72" s="684"/>
      <c r="JOP72" s="684"/>
      <c r="JOQ72" s="684"/>
      <c r="JOR72" s="684"/>
      <c r="JOS72" s="684"/>
      <c r="JOT72" s="684"/>
      <c r="JOU72" s="684"/>
      <c r="JOV72" s="684"/>
      <c r="JOW72" s="684"/>
      <c r="JOX72" s="684"/>
      <c r="JOY72" s="684"/>
      <c r="JOZ72" s="684"/>
      <c r="JPA72" s="684"/>
      <c r="JPB72" s="684"/>
      <c r="JPC72" s="684"/>
      <c r="JPD72" s="684"/>
      <c r="JPE72" s="684"/>
      <c r="JPF72" s="684"/>
      <c r="JPG72" s="684"/>
      <c r="JPH72" s="684"/>
      <c r="JPI72" s="684"/>
      <c r="JPJ72" s="684"/>
      <c r="JPK72" s="684"/>
      <c r="JPL72" s="684"/>
      <c r="JPM72" s="684"/>
      <c r="JPN72" s="684"/>
      <c r="JPO72" s="684"/>
      <c r="JPP72" s="684"/>
      <c r="JPQ72" s="684"/>
      <c r="JPR72" s="684"/>
      <c r="JPS72" s="684"/>
      <c r="JPT72" s="684"/>
      <c r="JPU72" s="684"/>
      <c r="JPV72" s="684"/>
      <c r="JPW72" s="684"/>
      <c r="JPX72" s="684"/>
      <c r="JPY72" s="684"/>
      <c r="JPZ72" s="684"/>
      <c r="JQA72" s="684"/>
      <c r="JQB72" s="684"/>
      <c r="JQC72" s="684"/>
      <c r="JQD72" s="684"/>
      <c r="JQE72" s="684"/>
      <c r="JQF72" s="684"/>
      <c r="JQG72" s="684"/>
      <c r="JQH72" s="684"/>
      <c r="JQI72" s="684"/>
      <c r="JQJ72" s="684"/>
      <c r="JQK72" s="684"/>
      <c r="JQL72" s="684"/>
      <c r="JQM72" s="684"/>
      <c r="JQN72" s="684"/>
      <c r="JQO72" s="684"/>
      <c r="JQP72" s="684"/>
      <c r="JQQ72" s="684"/>
      <c r="JQR72" s="684"/>
      <c r="JQS72" s="684"/>
      <c r="JQT72" s="684"/>
      <c r="JQU72" s="684"/>
      <c r="JQV72" s="684"/>
      <c r="JQW72" s="684"/>
      <c r="JQX72" s="684"/>
      <c r="JQY72" s="684"/>
      <c r="JQZ72" s="684"/>
      <c r="JRA72" s="684"/>
      <c r="JRB72" s="684"/>
      <c r="JRC72" s="684"/>
      <c r="JRD72" s="684"/>
      <c r="JRE72" s="684"/>
      <c r="JRF72" s="684"/>
      <c r="JRG72" s="684"/>
      <c r="JRH72" s="684"/>
      <c r="JRI72" s="684"/>
      <c r="JRJ72" s="684"/>
      <c r="JRK72" s="684"/>
      <c r="JRL72" s="684"/>
      <c r="JRM72" s="684"/>
      <c r="JRN72" s="684"/>
      <c r="JRO72" s="684"/>
      <c r="JRP72" s="684"/>
      <c r="JRQ72" s="684"/>
      <c r="JRR72" s="684"/>
      <c r="JRS72" s="684"/>
      <c r="JRT72" s="684"/>
      <c r="JRU72" s="684"/>
      <c r="JRV72" s="684"/>
      <c r="JRW72" s="684"/>
      <c r="JRX72" s="684"/>
      <c r="JRY72" s="684"/>
      <c r="JRZ72" s="684"/>
      <c r="JSA72" s="684"/>
      <c r="JSB72" s="684"/>
      <c r="JSC72" s="684"/>
      <c r="JSD72" s="684"/>
      <c r="JSE72" s="684"/>
      <c r="JSF72" s="684"/>
      <c r="JSG72" s="684"/>
      <c r="JSH72" s="684"/>
      <c r="JSI72" s="684"/>
      <c r="JSJ72" s="684"/>
      <c r="JSK72" s="684"/>
      <c r="JSL72" s="684"/>
      <c r="JSM72" s="684"/>
      <c r="JSN72" s="684"/>
      <c r="JSO72" s="684"/>
      <c r="JSP72" s="684"/>
      <c r="JSQ72" s="684"/>
      <c r="JSR72" s="684"/>
      <c r="JSS72" s="684"/>
      <c r="JST72" s="684"/>
      <c r="JSU72" s="684"/>
      <c r="JSV72" s="684"/>
      <c r="JSW72" s="684"/>
      <c r="JSX72" s="684"/>
      <c r="JSY72" s="684"/>
      <c r="JSZ72" s="684"/>
      <c r="JTA72" s="684"/>
      <c r="JTB72" s="684"/>
      <c r="JTC72" s="684"/>
      <c r="JTD72" s="684"/>
      <c r="JTE72" s="684"/>
      <c r="JTF72" s="684"/>
      <c r="JTG72" s="684"/>
      <c r="JTH72" s="684"/>
      <c r="JTI72" s="684"/>
      <c r="JTJ72" s="684"/>
      <c r="JTK72" s="684"/>
      <c r="JTL72" s="684"/>
      <c r="JTM72" s="684"/>
      <c r="JTN72" s="684"/>
      <c r="JTO72" s="684"/>
      <c r="JTP72" s="684"/>
      <c r="JTQ72" s="684"/>
      <c r="JTR72" s="684"/>
      <c r="JTS72" s="684"/>
      <c r="JTT72" s="684"/>
      <c r="JTU72" s="684"/>
      <c r="JTV72" s="684"/>
      <c r="JTW72" s="684"/>
      <c r="JTX72" s="684"/>
      <c r="JTY72" s="684"/>
      <c r="JTZ72" s="684"/>
      <c r="JUA72" s="684"/>
      <c r="JUB72" s="684"/>
      <c r="JUC72" s="684"/>
      <c r="JUD72" s="684"/>
      <c r="JUE72" s="684"/>
      <c r="JUF72" s="684"/>
      <c r="JUG72" s="684"/>
      <c r="JUH72" s="684"/>
      <c r="JUI72" s="684"/>
      <c r="JUJ72" s="684"/>
      <c r="JUK72" s="684"/>
      <c r="JUL72" s="684"/>
      <c r="JUM72" s="684"/>
      <c r="JUN72" s="684"/>
      <c r="JUO72" s="684"/>
      <c r="JUP72" s="684"/>
      <c r="JUQ72" s="684"/>
      <c r="JUR72" s="684"/>
      <c r="JUS72" s="684"/>
      <c r="JUT72" s="684"/>
      <c r="JUU72" s="684"/>
      <c r="JUV72" s="684"/>
      <c r="JUW72" s="684"/>
      <c r="JUX72" s="684"/>
      <c r="JUY72" s="684"/>
      <c r="JUZ72" s="684"/>
      <c r="JVA72" s="684"/>
      <c r="JVB72" s="684"/>
      <c r="JVC72" s="684"/>
      <c r="JVD72" s="684"/>
      <c r="JVE72" s="684"/>
      <c r="JVF72" s="684"/>
      <c r="JVG72" s="684"/>
      <c r="JVH72" s="684"/>
      <c r="JVI72" s="684"/>
      <c r="JVJ72" s="684"/>
      <c r="JVK72" s="684"/>
      <c r="JVL72" s="684"/>
      <c r="JVM72" s="684"/>
      <c r="JVN72" s="684"/>
      <c r="JVO72" s="684"/>
      <c r="JVP72" s="684"/>
      <c r="JVQ72" s="684"/>
      <c r="JVR72" s="684"/>
      <c r="JVS72" s="684"/>
      <c r="JVT72" s="684"/>
      <c r="JVU72" s="684"/>
      <c r="JVV72" s="684"/>
      <c r="JVW72" s="684"/>
      <c r="JVX72" s="684"/>
      <c r="JVY72" s="684"/>
      <c r="JVZ72" s="684"/>
      <c r="JWA72" s="684"/>
      <c r="JWB72" s="684"/>
      <c r="JWC72" s="684"/>
      <c r="JWD72" s="684"/>
      <c r="JWE72" s="684"/>
      <c r="JWF72" s="684"/>
      <c r="JWG72" s="684"/>
      <c r="JWH72" s="684"/>
      <c r="JWI72" s="684"/>
      <c r="JWJ72" s="684"/>
      <c r="JWK72" s="684"/>
      <c r="JWL72" s="684"/>
      <c r="JWM72" s="684"/>
      <c r="JWN72" s="684"/>
      <c r="JWO72" s="684"/>
      <c r="JWP72" s="684"/>
      <c r="JWQ72" s="684"/>
      <c r="JWR72" s="684"/>
      <c r="JWS72" s="684"/>
      <c r="JWT72" s="684"/>
      <c r="JWU72" s="684"/>
      <c r="JWV72" s="684"/>
      <c r="JWW72" s="684"/>
      <c r="JWX72" s="684"/>
      <c r="JWY72" s="684"/>
      <c r="JWZ72" s="684"/>
      <c r="JXA72" s="684"/>
      <c r="JXB72" s="684"/>
      <c r="JXC72" s="684"/>
      <c r="JXD72" s="684"/>
      <c r="JXE72" s="684"/>
      <c r="JXF72" s="684"/>
      <c r="JXG72" s="684"/>
      <c r="JXH72" s="684"/>
      <c r="JXI72" s="684"/>
      <c r="JXJ72" s="684"/>
      <c r="JXK72" s="684"/>
      <c r="JXL72" s="684"/>
      <c r="JXM72" s="684"/>
      <c r="JXN72" s="684"/>
      <c r="JXO72" s="684"/>
      <c r="JXP72" s="684"/>
      <c r="JXQ72" s="684"/>
      <c r="JXR72" s="684"/>
      <c r="JXS72" s="684"/>
      <c r="JXT72" s="684"/>
      <c r="JXU72" s="684"/>
      <c r="JXV72" s="684"/>
      <c r="JXW72" s="684"/>
      <c r="JXX72" s="684"/>
      <c r="JXY72" s="684"/>
      <c r="JXZ72" s="684"/>
      <c r="JYA72" s="684"/>
      <c r="JYB72" s="684"/>
      <c r="JYC72" s="684"/>
      <c r="JYD72" s="684"/>
      <c r="JYE72" s="684"/>
      <c r="JYF72" s="684"/>
      <c r="JYG72" s="684"/>
      <c r="JYH72" s="684"/>
      <c r="JYI72" s="684"/>
      <c r="JYJ72" s="684"/>
      <c r="JYK72" s="684"/>
      <c r="JYL72" s="684"/>
      <c r="JYM72" s="684"/>
      <c r="JYN72" s="684"/>
      <c r="JYO72" s="684"/>
      <c r="JYP72" s="684"/>
      <c r="JYQ72" s="684"/>
      <c r="JYR72" s="684"/>
      <c r="JYS72" s="684"/>
      <c r="JYT72" s="684"/>
      <c r="JYU72" s="684"/>
      <c r="JYV72" s="684"/>
      <c r="JYW72" s="684"/>
      <c r="JYX72" s="684"/>
      <c r="JYY72" s="684"/>
      <c r="JYZ72" s="684"/>
      <c r="JZA72" s="684"/>
      <c r="JZB72" s="684"/>
      <c r="JZC72" s="684"/>
      <c r="JZD72" s="684"/>
      <c r="JZE72" s="684"/>
      <c r="JZF72" s="684"/>
      <c r="JZG72" s="684"/>
      <c r="JZH72" s="684"/>
      <c r="JZI72" s="684"/>
      <c r="JZJ72" s="684"/>
      <c r="JZK72" s="684"/>
      <c r="JZL72" s="684"/>
      <c r="JZM72" s="684"/>
      <c r="JZN72" s="684"/>
      <c r="JZO72" s="684"/>
      <c r="JZP72" s="684"/>
      <c r="JZQ72" s="684"/>
      <c r="JZR72" s="684"/>
      <c r="JZS72" s="684"/>
      <c r="JZT72" s="684"/>
      <c r="JZU72" s="684"/>
      <c r="JZV72" s="684"/>
      <c r="JZW72" s="684"/>
      <c r="JZX72" s="684"/>
      <c r="JZY72" s="684"/>
      <c r="JZZ72" s="684"/>
      <c r="KAA72" s="684"/>
      <c r="KAB72" s="684"/>
      <c r="KAC72" s="684"/>
      <c r="KAD72" s="684"/>
      <c r="KAE72" s="684"/>
      <c r="KAF72" s="684"/>
      <c r="KAG72" s="684"/>
      <c r="KAH72" s="684"/>
      <c r="KAI72" s="684"/>
      <c r="KAJ72" s="684"/>
      <c r="KAK72" s="684"/>
      <c r="KAL72" s="684"/>
      <c r="KAM72" s="684"/>
      <c r="KAN72" s="684"/>
      <c r="KAO72" s="684"/>
      <c r="KAP72" s="684"/>
      <c r="KAQ72" s="684"/>
      <c r="KAR72" s="684"/>
      <c r="KAS72" s="684"/>
      <c r="KAT72" s="684"/>
      <c r="KAU72" s="684"/>
      <c r="KAV72" s="684"/>
      <c r="KAW72" s="684"/>
      <c r="KAX72" s="684"/>
      <c r="KAY72" s="684"/>
      <c r="KAZ72" s="684"/>
      <c r="KBA72" s="684"/>
      <c r="KBB72" s="684"/>
      <c r="KBC72" s="684"/>
      <c r="KBD72" s="684"/>
      <c r="KBE72" s="684"/>
      <c r="KBF72" s="684"/>
      <c r="KBG72" s="684"/>
      <c r="KBH72" s="684"/>
      <c r="KBI72" s="684"/>
      <c r="KBJ72" s="684"/>
      <c r="KBK72" s="684"/>
      <c r="KBL72" s="684"/>
      <c r="KBM72" s="684"/>
      <c r="KBN72" s="684"/>
      <c r="KBO72" s="684"/>
      <c r="KBP72" s="684"/>
      <c r="KBQ72" s="684"/>
      <c r="KBR72" s="684"/>
      <c r="KBS72" s="684"/>
      <c r="KBT72" s="684"/>
      <c r="KBU72" s="684"/>
      <c r="KBV72" s="684"/>
      <c r="KBW72" s="684"/>
      <c r="KBX72" s="684"/>
      <c r="KBY72" s="684"/>
      <c r="KBZ72" s="684"/>
      <c r="KCA72" s="684"/>
      <c r="KCB72" s="684"/>
      <c r="KCC72" s="684"/>
      <c r="KCD72" s="684"/>
      <c r="KCE72" s="684"/>
      <c r="KCF72" s="684"/>
      <c r="KCG72" s="684"/>
      <c r="KCH72" s="684"/>
      <c r="KCI72" s="684"/>
      <c r="KCJ72" s="684"/>
      <c r="KCK72" s="684"/>
      <c r="KCL72" s="684"/>
      <c r="KCM72" s="684"/>
      <c r="KCN72" s="684"/>
      <c r="KCO72" s="684"/>
      <c r="KCP72" s="684"/>
      <c r="KCQ72" s="684"/>
      <c r="KCR72" s="684"/>
      <c r="KCS72" s="684"/>
      <c r="KCT72" s="684"/>
      <c r="KCU72" s="684"/>
      <c r="KCV72" s="684"/>
      <c r="KCW72" s="684"/>
      <c r="KCX72" s="684"/>
      <c r="KCY72" s="684"/>
      <c r="KCZ72" s="684"/>
      <c r="KDA72" s="684"/>
      <c r="KDB72" s="684"/>
      <c r="KDC72" s="684"/>
      <c r="KDD72" s="684"/>
      <c r="KDE72" s="684"/>
      <c r="KDF72" s="684"/>
      <c r="KDG72" s="684"/>
      <c r="KDH72" s="684"/>
      <c r="KDI72" s="684"/>
      <c r="KDJ72" s="684"/>
      <c r="KDK72" s="684"/>
      <c r="KDL72" s="684"/>
      <c r="KDM72" s="684"/>
      <c r="KDN72" s="684"/>
      <c r="KDO72" s="684"/>
      <c r="KDP72" s="684"/>
      <c r="KDQ72" s="684"/>
      <c r="KDR72" s="684"/>
      <c r="KDS72" s="684"/>
      <c r="KDT72" s="684"/>
      <c r="KDU72" s="684"/>
      <c r="KDV72" s="684"/>
      <c r="KDW72" s="684"/>
      <c r="KDX72" s="684"/>
      <c r="KDY72" s="684"/>
      <c r="KDZ72" s="684"/>
      <c r="KEA72" s="684"/>
      <c r="KEB72" s="684"/>
      <c r="KEC72" s="684"/>
      <c r="KED72" s="684"/>
      <c r="KEE72" s="684"/>
      <c r="KEF72" s="684"/>
      <c r="KEG72" s="684"/>
      <c r="KEH72" s="684"/>
      <c r="KEI72" s="684"/>
      <c r="KEJ72" s="684"/>
      <c r="KEK72" s="684"/>
      <c r="KEL72" s="684"/>
      <c r="KEM72" s="684"/>
      <c r="KEN72" s="684"/>
      <c r="KEO72" s="684"/>
      <c r="KEP72" s="684"/>
      <c r="KEQ72" s="684"/>
      <c r="KER72" s="684"/>
      <c r="KES72" s="684"/>
      <c r="KET72" s="684"/>
      <c r="KEU72" s="684"/>
      <c r="KEV72" s="684"/>
      <c r="KEW72" s="684"/>
      <c r="KEX72" s="684"/>
      <c r="KEY72" s="684"/>
      <c r="KEZ72" s="684"/>
      <c r="KFA72" s="684"/>
      <c r="KFB72" s="684"/>
      <c r="KFC72" s="684"/>
      <c r="KFD72" s="684"/>
      <c r="KFE72" s="684"/>
      <c r="KFF72" s="684"/>
      <c r="KFG72" s="684"/>
      <c r="KFH72" s="684"/>
      <c r="KFI72" s="684"/>
      <c r="KFJ72" s="684"/>
      <c r="KFK72" s="684"/>
      <c r="KFL72" s="684"/>
      <c r="KFM72" s="684"/>
      <c r="KFN72" s="684"/>
      <c r="KFO72" s="684"/>
      <c r="KFP72" s="684"/>
      <c r="KFQ72" s="684"/>
      <c r="KFR72" s="684"/>
      <c r="KFS72" s="684"/>
      <c r="KFT72" s="684"/>
      <c r="KFU72" s="684"/>
      <c r="KFV72" s="684"/>
      <c r="KFW72" s="684"/>
      <c r="KFX72" s="684"/>
      <c r="KFY72" s="684"/>
      <c r="KFZ72" s="684"/>
      <c r="KGA72" s="684"/>
      <c r="KGB72" s="684"/>
      <c r="KGC72" s="684"/>
      <c r="KGD72" s="684"/>
      <c r="KGE72" s="684"/>
      <c r="KGF72" s="684"/>
      <c r="KGG72" s="684"/>
      <c r="KGH72" s="684"/>
      <c r="KGI72" s="684"/>
      <c r="KGJ72" s="684"/>
      <c r="KGK72" s="684"/>
      <c r="KGL72" s="684"/>
      <c r="KGM72" s="684"/>
      <c r="KGN72" s="684"/>
      <c r="KGO72" s="684"/>
      <c r="KGP72" s="684"/>
      <c r="KGQ72" s="684"/>
      <c r="KGR72" s="684"/>
      <c r="KGS72" s="684"/>
      <c r="KGT72" s="684"/>
      <c r="KGU72" s="684"/>
      <c r="KGV72" s="684"/>
      <c r="KGW72" s="684"/>
      <c r="KGX72" s="684"/>
      <c r="KGY72" s="684"/>
      <c r="KGZ72" s="684"/>
      <c r="KHA72" s="684"/>
      <c r="KHB72" s="684"/>
      <c r="KHC72" s="684"/>
      <c r="KHD72" s="684"/>
      <c r="KHE72" s="684"/>
      <c r="KHF72" s="684"/>
      <c r="KHG72" s="684"/>
      <c r="KHH72" s="684"/>
      <c r="KHI72" s="684"/>
      <c r="KHJ72" s="684"/>
      <c r="KHK72" s="684"/>
      <c r="KHL72" s="684"/>
      <c r="KHM72" s="684"/>
      <c r="KHN72" s="684"/>
      <c r="KHO72" s="684"/>
      <c r="KHP72" s="684"/>
      <c r="KHQ72" s="684"/>
      <c r="KHR72" s="684"/>
      <c r="KHS72" s="684"/>
      <c r="KHT72" s="684"/>
      <c r="KHU72" s="684"/>
      <c r="KHV72" s="684"/>
      <c r="KHW72" s="684"/>
      <c r="KHX72" s="684"/>
      <c r="KHY72" s="684"/>
      <c r="KHZ72" s="684"/>
      <c r="KIA72" s="684"/>
      <c r="KIB72" s="684"/>
      <c r="KIC72" s="684"/>
      <c r="KID72" s="684"/>
      <c r="KIE72" s="684"/>
      <c r="KIF72" s="684"/>
      <c r="KIG72" s="684"/>
      <c r="KIH72" s="684"/>
      <c r="KII72" s="684"/>
      <c r="KIJ72" s="684"/>
      <c r="KIK72" s="684"/>
      <c r="KIL72" s="684"/>
      <c r="KIM72" s="684"/>
      <c r="KIN72" s="684"/>
      <c r="KIO72" s="684"/>
      <c r="KIP72" s="684"/>
      <c r="KIQ72" s="684"/>
      <c r="KIR72" s="684"/>
      <c r="KIS72" s="684"/>
      <c r="KIT72" s="684"/>
      <c r="KIU72" s="684"/>
      <c r="KIV72" s="684"/>
      <c r="KIW72" s="684"/>
      <c r="KIX72" s="684"/>
      <c r="KIY72" s="684"/>
      <c r="KIZ72" s="684"/>
      <c r="KJA72" s="684"/>
      <c r="KJB72" s="684"/>
      <c r="KJC72" s="684"/>
      <c r="KJD72" s="684"/>
      <c r="KJE72" s="684"/>
      <c r="KJF72" s="684"/>
      <c r="KJG72" s="684"/>
      <c r="KJH72" s="684"/>
      <c r="KJI72" s="684"/>
      <c r="KJJ72" s="684"/>
      <c r="KJK72" s="684"/>
      <c r="KJL72" s="684"/>
      <c r="KJM72" s="684"/>
      <c r="KJN72" s="684"/>
      <c r="KJO72" s="684"/>
      <c r="KJP72" s="684"/>
      <c r="KJQ72" s="684"/>
      <c r="KJR72" s="684"/>
      <c r="KJS72" s="684"/>
      <c r="KJT72" s="684"/>
      <c r="KJU72" s="684"/>
      <c r="KJV72" s="684"/>
      <c r="KJW72" s="684"/>
      <c r="KJX72" s="684"/>
      <c r="KJY72" s="684"/>
      <c r="KJZ72" s="684"/>
      <c r="KKA72" s="684"/>
      <c r="KKB72" s="684"/>
      <c r="KKC72" s="684"/>
      <c r="KKD72" s="684"/>
      <c r="KKE72" s="684"/>
      <c r="KKF72" s="684"/>
      <c r="KKG72" s="684"/>
      <c r="KKH72" s="684"/>
      <c r="KKI72" s="684"/>
      <c r="KKJ72" s="684"/>
      <c r="KKK72" s="684"/>
      <c r="KKL72" s="684"/>
      <c r="KKM72" s="684"/>
      <c r="KKN72" s="684"/>
      <c r="KKO72" s="684"/>
      <c r="KKP72" s="684"/>
      <c r="KKQ72" s="684"/>
      <c r="KKR72" s="684"/>
      <c r="KKS72" s="684"/>
      <c r="KKT72" s="684"/>
      <c r="KKU72" s="684"/>
      <c r="KKV72" s="684"/>
      <c r="KKW72" s="684"/>
      <c r="KKX72" s="684"/>
      <c r="KKY72" s="684"/>
      <c r="KKZ72" s="684"/>
      <c r="KLA72" s="684"/>
      <c r="KLB72" s="684"/>
      <c r="KLC72" s="684"/>
      <c r="KLD72" s="684"/>
      <c r="KLE72" s="684"/>
      <c r="KLF72" s="684"/>
      <c r="KLG72" s="684"/>
      <c r="KLH72" s="684"/>
      <c r="KLI72" s="684"/>
      <c r="KLJ72" s="684"/>
      <c r="KLK72" s="684"/>
      <c r="KLL72" s="684"/>
      <c r="KLM72" s="684"/>
      <c r="KLN72" s="684"/>
      <c r="KLO72" s="684"/>
      <c r="KLP72" s="684"/>
      <c r="KLQ72" s="684"/>
      <c r="KLR72" s="684"/>
      <c r="KLS72" s="684"/>
      <c r="KLT72" s="684"/>
      <c r="KLU72" s="684"/>
      <c r="KLV72" s="684"/>
      <c r="KLW72" s="684"/>
      <c r="KLX72" s="684"/>
      <c r="KLY72" s="684"/>
      <c r="KLZ72" s="684"/>
      <c r="KMA72" s="684"/>
      <c r="KMB72" s="684"/>
      <c r="KMC72" s="684"/>
      <c r="KMD72" s="684"/>
      <c r="KME72" s="684"/>
      <c r="KMF72" s="684"/>
      <c r="KMG72" s="684"/>
      <c r="KMH72" s="684"/>
      <c r="KMI72" s="684"/>
      <c r="KMJ72" s="684"/>
      <c r="KMK72" s="684"/>
      <c r="KML72" s="684"/>
      <c r="KMM72" s="684"/>
      <c r="KMN72" s="684"/>
      <c r="KMO72" s="684"/>
      <c r="KMP72" s="684"/>
      <c r="KMQ72" s="684"/>
      <c r="KMR72" s="684"/>
      <c r="KMS72" s="684"/>
      <c r="KMT72" s="684"/>
      <c r="KMU72" s="684"/>
      <c r="KMV72" s="684"/>
      <c r="KMW72" s="684"/>
      <c r="KMX72" s="684"/>
      <c r="KMY72" s="684"/>
      <c r="KMZ72" s="684"/>
      <c r="KNA72" s="684"/>
      <c r="KNB72" s="684"/>
      <c r="KNC72" s="684"/>
      <c r="KND72" s="684"/>
      <c r="KNE72" s="684"/>
      <c r="KNF72" s="684"/>
      <c r="KNG72" s="684"/>
      <c r="KNH72" s="684"/>
      <c r="KNI72" s="684"/>
      <c r="KNJ72" s="684"/>
      <c r="KNK72" s="684"/>
      <c r="KNL72" s="684"/>
      <c r="KNM72" s="684"/>
      <c r="KNN72" s="684"/>
      <c r="KNO72" s="684"/>
      <c r="KNP72" s="684"/>
      <c r="KNQ72" s="684"/>
      <c r="KNR72" s="684"/>
      <c r="KNS72" s="684"/>
      <c r="KNT72" s="684"/>
      <c r="KNU72" s="684"/>
      <c r="KNV72" s="684"/>
      <c r="KNW72" s="684"/>
      <c r="KNX72" s="684"/>
      <c r="KNY72" s="684"/>
      <c r="KNZ72" s="684"/>
      <c r="KOA72" s="684"/>
      <c r="KOB72" s="684"/>
      <c r="KOC72" s="684"/>
      <c r="KOD72" s="684"/>
      <c r="KOE72" s="684"/>
      <c r="KOF72" s="684"/>
      <c r="KOG72" s="684"/>
      <c r="KOH72" s="684"/>
      <c r="KOI72" s="684"/>
      <c r="KOJ72" s="684"/>
      <c r="KOK72" s="684"/>
      <c r="KOL72" s="684"/>
      <c r="KOM72" s="684"/>
      <c r="KON72" s="684"/>
      <c r="KOO72" s="684"/>
      <c r="KOP72" s="684"/>
      <c r="KOQ72" s="684"/>
      <c r="KOR72" s="684"/>
      <c r="KOS72" s="684"/>
      <c r="KOT72" s="684"/>
      <c r="KOU72" s="684"/>
      <c r="KOV72" s="684"/>
      <c r="KOW72" s="684"/>
      <c r="KOX72" s="684"/>
      <c r="KOY72" s="684"/>
      <c r="KOZ72" s="684"/>
      <c r="KPA72" s="684"/>
      <c r="KPB72" s="684"/>
      <c r="KPC72" s="684"/>
      <c r="KPD72" s="684"/>
      <c r="KPE72" s="684"/>
      <c r="KPF72" s="684"/>
      <c r="KPG72" s="684"/>
      <c r="KPH72" s="684"/>
      <c r="KPI72" s="684"/>
      <c r="KPJ72" s="684"/>
      <c r="KPK72" s="684"/>
      <c r="KPL72" s="684"/>
      <c r="KPM72" s="684"/>
      <c r="KPN72" s="684"/>
      <c r="KPO72" s="684"/>
      <c r="KPP72" s="684"/>
      <c r="KPQ72" s="684"/>
      <c r="KPR72" s="684"/>
      <c r="KPS72" s="684"/>
      <c r="KPT72" s="684"/>
      <c r="KPU72" s="684"/>
      <c r="KPV72" s="684"/>
      <c r="KPW72" s="684"/>
      <c r="KPX72" s="684"/>
      <c r="KPY72" s="684"/>
      <c r="KPZ72" s="684"/>
      <c r="KQA72" s="684"/>
      <c r="KQB72" s="684"/>
      <c r="KQC72" s="684"/>
      <c r="KQD72" s="684"/>
      <c r="KQE72" s="684"/>
      <c r="KQF72" s="684"/>
      <c r="KQG72" s="684"/>
      <c r="KQH72" s="684"/>
      <c r="KQI72" s="684"/>
      <c r="KQJ72" s="684"/>
      <c r="KQK72" s="684"/>
      <c r="KQL72" s="684"/>
      <c r="KQM72" s="684"/>
      <c r="KQN72" s="684"/>
      <c r="KQO72" s="684"/>
      <c r="KQP72" s="684"/>
      <c r="KQQ72" s="684"/>
      <c r="KQR72" s="684"/>
      <c r="KQS72" s="684"/>
      <c r="KQT72" s="684"/>
      <c r="KQU72" s="684"/>
      <c r="KQV72" s="684"/>
      <c r="KQW72" s="684"/>
      <c r="KQX72" s="684"/>
      <c r="KQY72" s="684"/>
      <c r="KQZ72" s="684"/>
      <c r="KRA72" s="684"/>
      <c r="KRB72" s="684"/>
      <c r="KRC72" s="684"/>
      <c r="KRD72" s="684"/>
      <c r="KRE72" s="684"/>
      <c r="KRF72" s="684"/>
      <c r="KRG72" s="684"/>
      <c r="KRH72" s="684"/>
      <c r="KRI72" s="684"/>
      <c r="KRJ72" s="684"/>
      <c r="KRK72" s="684"/>
      <c r="KRL72" s="684"/>
      <c r="KRM72" s="684"/>
      <c r="KRN72" s="684"/>
      <c r="KRO72" s="684"/>
      <c r="KRP72" s="684"/>
      <c r="KRQ72" s="684"/>
      <c r="KRR72" s="684"/>
      <c r="KRS72" s="684"/>
      <c r="KRT72" s="684"/>
      <c r="KRU72" s="684"/>
      <c r="KRV72" s="684"/>
      <c r="KRW72" s="684"/>
      <c r="KRX72" s="684"/>
      <c r="KRY72" s="684"/>
      <c r="KRZ72" s="684"/>
      <c r="KSA72" s="684"/>
      <c r="KSB72" s="684"/>
      <c r="KSC72" s="684"/>
      <c r="KSD72" s="684"/>
      <c r="KSE72" s="684"/>
      <c r="KSF72" s="684"/>
      <c r="KSG72" s="684"/>
      <c r="KSH72" s="684"/>
      <c r="KSI72" s="684"/>
      <c r="KSJ72" s="684"/>
      <c r="KSK72" s="684"/>
      <c r="KSL72" s="684"/>
      <c r="KSM72" s="684"/>
      <c r="KSN72" s="684"/>
      <c r="KSO72" s="684"/>
      <c r="KSP72" s="684"/>
      <c r="KSQ72" s="684"/>
      <c r="KSR72" s="684"/>
      <c r="KSS72" s="684"/>
      <c r="KST72" s="684"/>
      <c r="KSU72" s="684"/>
      <c r="KSV72" s="684"/>
      <c r="KSW72" s="684"/>
      <c r="KSX72" s="684"/>
      <c r="KSY72" s="684"/>
      <c r="KSZ72" s="684"/>
      <c r="KTA72" s="684"/>
      <c r="KTB72" s="684"/>
      <c r="KTC72" s="684"/>
      <c r="KTD72" s="684"/>
      <c r="KTE72" s="684"/>
      <c r="KTF72" s="684"/>
      <c r="KTG72" s="684"/>
      <c r="KTH72" s="684"/>
      <c r="KTI72" s="684"/>
      <c r="KTJ72" s="684"/>
      <c r="KTK72" s="684"/>
      <c r="KTL72" s="684"/>
      <c r="KTM72" s="684"/>
      <c r="KTN72" s="684"/>
      <c r="KTO72" s="684"/>
      <c r="KTP72" s="684"/>
      <c r="KTQ72" s="684"/>
      <c r="KTR72" s="684"/>
      <c r="KTS72" s="684"/>
      <c r="KTT72" s="684"/>
      <c r="KTU72" s="684"/>
      <c r="KTV72" s="684"/>
      <c r="KTW72" s="684"/>
      <c r="KTX72" s="684"/>
      <c r="KTY72" s="684"/>
      <c r="KTZ72" s="684"/>
      <c r="KUA72" s="684"/>
      <c r="KUB72" s="684"/>
      <c r="KUC72" s="684"/>
      <c r="KUD72" s="684"/>
      <c r="KUE72" s="684"/>
      <c r="KUF72" s="684"/>
      <c r="KUG72" s="684"/>
      <c r="KUH72" s="684"/>
      <c r="KUI72" s="684"/>
      <c r="KUJ72" s="684"/>
      <c r="KUK72" s="684"/>
      <c r="KUL72" s="684"/>
      <c r="KUM72" s="684"/>
      <c r="KUN72" s="684"/>
      <c r="KUO72" s="684"/>
      <c r="KUP72" s="684"/>
      <c r="KUQ72" s="684"/>
      <c r="KUR72" s="684"/>
      <c r="KUS72" s="684"/>
      <c r="KUT72" s="684"/>
      <c r="KUU72" s="684"/>
      <c r="KUV72" s="684"/>
      <c r="KUW72" s="684"/>
      <c r="KUX72" s="684"/>
      <c r="KUY72" s="684"/>
      <c r="KUZ72" s="684"/>
      <c r="KVA72" s="684"/>
      <c r="KVB72" s="684"/>
      <c r="KVC72" s="684"/>
      <c r="KVD72" s="684"/>
      <c r="KVE72" s="684"/>
      <c r="KVF72" s="684"/>
      <c r="KVG72" s="684"/>
      <c r="KVH72" s="684"/>
      <c r="KVI72" s="684"/>
      <c r="KVJ72" s="684"/>
      <c r="KVK72" s="684"/>
      <c r="KVL72" s="684"/>
      <c r="KVM72" s="684"/>
      <c r="KVN72" s="684"/>
      <c r="KVO72" s="684"/>
      <c r="KVP72" s="684"/>
      <c r="KVQ72" s="684"/>
      <c r="KVR72" s="684"/>
      <c r="KVS72" s="684"/>
      <c r="KVT72" s="684"/>
      <c r="KVU72" s="684"/>
      <c r="KVV72" s="684"/>
      <c r="KVW72" s="684"/>
      <c r="KVX72" s="684"/>
      <c r="KVY72" s="684"/>
      <c r="KVZ72" s="684"/>
      <c r="KWA72" s="684"/>
      <c r="KWB72" s="684"/>
      <c r="KWC72" s="684"/>
      <c r="KWD72" s="684"/>
      <c r="KWE72" s="684"/>
      <c r="KWF72" s="684"/>
      <c r="KWG72" s="684"/>
      <c r="KWH72" s="684"/>
      <c r="KWI72" s="684"/>
      <c r="KWJ72" s="684"/>
      <c r="KWK72" s="684"/>
      <c r="KWL72" s="684"/>
      <c r="KWM72" s="684"/>
      <c r="KWN72" s="684"/>
      <c r="KWO72" s="684"/>
      <c r="KWP72" s="684"/>
      <c r="KWQ72" s="684"/>
      <c r="KWR72" s="684"/>
      <c r="KWS72" s="684"/>
      <c r="KWT72" s="684"/>
      <c r="KWU72" s="684"/>
      <c r="KWV72" s="684"/>
      <c r="KWW72" s="684"/>
      <c r="KWX72" s="684"/>
      <c r="KWY72" s="684"/>
      <c r="KWZ72" s="684"/>
      <c r="KXA72" s="684"/>
      <c r="KXB72" s="684"/>
      <c r="KXC72" s="684"/>
      <c r="KXD72" s="684"/>
      <c r="KXE72" s="684"/>
      <c r="KXF72" s="684"/>
      <c r="KXG72" s="684"/>
      <c r="KXH72" s="684"/>
      <c r="KXI72" s="684"/>
      <c r="KXJ72" s="684"/>
      <c r="KXK72" s="684"/>
      <c r="KXL72" s="684"/>
      <c r="KXM72" s="684"/>
      <c r="KXN72" s="684"/>
      <c r="KXO72" s="684"/>
      <c r="KXP72" s="684"/>
      <c r="KXQ72" s="684"/>
      <c r="KXR72" s="684"/>
      <c r="KXS72" s="684"/>
      <c r="KXT72" s="684"/>
      <c r="KXU72" s="684"/>
      <c r="KXV72" s="684"/>
      <c r="KXW72" s="684"/>
      <c r="KXX72" s="684"/>
      <c r="KXY72" s="684"/>
      <c r="KXZ72" s="684"/>
      <c r="KYA72" s="684"/>
      <c r="KYB72" s="684"/>
      <c r="KYC72" s="684"/>
      <c r="KYD72" s="684"/>
      <c r="KYE72" s="684"/>
      <c r="KYF72" s="684"/>
      <c r="KYG72" s="684"/>
      <c r="KYH72" s="684"/>
      <c r="KYI72" s="684"/>
      <c r="KYJ72" s="684"/>
      <c r="KYK72" s="684"/>
      <c r="KYL72" s="684"/>
      <c r="KYM72" s="684"/>
      <c r="KYN72" s="684"/>
      <c r="KYO72" s="684"/>
      <c r="KYP72" s="684"/>
      <c r="KYQ72" s="684"/>
      <c r="KYR72" s="684"/>
      <c r="KYS72" s="684"/>
      <c r="KYT72" s="684"/>
      <c r="KYU72" s="684"/>
      <c r="KYV72" s="684"/>
      <c r="KYW72" s="684"/>
      <c r="KYX72" s="684"/>
      <c r="KYY72" s="684"/>
      <c r="KYZ72" s="684"/>
      <c r="KZA72" s="684"/>
      <c r="KZB72" s="684"/>
      <c r="KZC72" s="684"/>
      <c r="KZD72" s="684"/>
      <c r="KZE72" s="684"/>
      <c r="KZF72" s="684"/>
      <c r="KZG72" s="684"/>
      <c r="KZH72" s="684"/>
      <c r="KZI72" s="684"/>
      <c r="KZJ72" s="684"/>
      <c r="KZK72" s="684"/>
      <c r="KZL72" s="684"/>
      <c r="KZM72" s="684"/>
      <c r="KZN72" s="684"/>
      <c r="KZO72" s="684"/>
      <c r="KZP72" s="684"/>
      <c r="KZQ72" s="684"/>
      <c r="KZR72" s="684"/>
      <c r="KZS72" s="684"/>
      <c r="KZT72" s="684"/>
      <c r="KZU72" s="684"/>
      <c r="KZV72" s="684"/>
      <c r="KZW72" s="684"/>
      <c r="KZX72" s="684"/>
      <c r="KZY72" s="684"/>
      <c r="KZZ72" s="684"/>
      <c r="LAA72" s="684"/>
      <c r="LAB72" s="684"/>
      <c r="LAC72" s="684"/>
      <c r="LAD72" s="684"/>
      <c r="LAE72" s="684"/>
      <c r="LAF72" s="684"/>
      <c r="LAG72" s="684"/>
      <c r="LAH72" s="684"/>
      <c r="LAI72" s="684"/>
      <c r="LAJ72" s="684"/>
      <c r="LAK72" s="684"/>
      <c r="LAL72" s="684"/>
      <c r="LAM72" s="684"/>
      <c r="LAN72" s="684"/>
      <c r="LAO72" s="684"/>
      <c r="LAP72" s="684"/>
      <c r="LAQ72" s="684"/>
      <c r="LAR72" s="684"/>
      <c r="LAS72" s="684"/>
      <c r="LAT72" s="684"/>
      <c r="LAU72" s="684"/>
      <c r="LAV72" s="684"/>
      <c r="LAW72" s="684"/>
      <c r="LAX72" s="684"/>
      <c r="LAY72" s="684"/>
      <c r="LAZ72" s="684"/>
      <c r="LBA72" s="684"/>
      <c r="LBB72" s="684"/>
      <c r="LBC72" s="684"/>
      <c r="LBD72" s="684"/>
      <c r="LBE72" s="684"/>
      <c r="LBF72" s="684"/>
      <c r="LBG72" s="684"/>
      <c r="LBH72" s="684"/>
      <c r="LBI72" s="684"/>
      <c r="LBJ72" s="684"/>
      <c r="LBK72" s="684"/>
      <c r="LBL72" s="684"/>
      <c r="LBM72" s="684"/>
      <c r="LBN72" s="684"/>
      <c r="LBO72" s="684"/>
      <c r="LBP72" s="684"/>
      <c r="LBQ72" s="684"/>
      <c r="LBR72" s="684"/>
      <c r="LBS72" s="684"/>
      <c r="LBT72" s="684"/>
      <c r="LBU72" s="684"/>
      <c r="LBV72" s="684"/>
      <c r="LBW72" s="684"/>
      <c r="LBX72" s="684"/>
      <c r="LBY72" s="684"/>
      <c r="LBZ72" s="684"/>
      <c r="LCA72" s="684"/>
      <c r="LCB72" s="684"/>
      <c r="LCC72" s="684"/>
      <c r="LCD72" s="684"/>
      <c r="LCE72" s="684"/>
      <c r="LCF72" s="684"/>
      <c r="LCG72" s="684"/>
      <c r="LCH72" s="684"/>
      <c r="LCI72" s="684"/>
      <c r="LCJ72" s="684"/>
      <c r="LCK72" s="684"/>
      <c r="LCL72" s="684"/>
      <c r="LCM72" s="684"/>
      <c r="LCN72" s="684"/>
      <c r="LCO72" s="684"/>
      <c r="LCP72" s="684"/>
      <c r="LCQ72" s="684"/>
      <c r="LCR72" s="684"/>
      <c r="LCS72" s="684"/>
      <c r="LCT72" s="684"/>
      <c r="LCU72" s="684"/>
      <c r="LCV72" s="684"/>
      <c r="LCW72" s="684"/>
      <c r="LCX72" s="684"/>
      <c r="LCY72" s="684"/>
      <c r="LCZ72" s="684"/>
      <c r="LDA72" s="684"/>
      <c r="LDB72" s="684"/>
      <c r="LDC72" s="684"/>
      <c r="LDD72" s="684"/>
      <c r="LDE72" s="684"/>
      <c r="LDF72" s="684"/>
      <c r="LDG72" s="684"/>
      <c r="LDH72" s="684"/>
      <c r="LDI72" s="684"/>
      <c r="LDJ72" s="684"/>
      <c r="LDK72" s="684"/>
      <c r="LDL72" s="684"/>
      <c r="LDM72" s="684"/>
      <c r="LDN72" s="684"/>
      <c r="LDO72" s="684"/>
      <c r="LDP72" s="684"/>
      <c r="LDQ72" s="684"/>
      <c r="LDR72" s="684"/>
      <c r="LDS72" s="684"/>
      <c r="LDT72" s="684"/>
      <c r="LDU72" s="684"/>
      <c r="LDV72" s="684"/>
      <c r="LDW72" s="684"/>
      <c r="LDX72" s="684"/>
      <c r="LDY72" s="684"/>
      <c r="LDZ72" s="684"/>
      <c r="LEA72" s="684"/>
      <c r="LEB72" s="684"/>
      <c r="LEC72" s="684"/>
      <c r="LED72" s="684"/>
      <c r="LEE72" s="684"/>
      <c r="LEF72" s="684"/>
      <c r="LEG72" s="684"/>
      <c r="LEH72" s="684"/>
      <c r="LEI72" s="684"/>
      <c r="LEJ72" s="684"/>
      <c r="LEK72" s="684"/>
      <c r="LEL72" s="684"/>
      <c r="LEM72" s="684"/>
      <c r="LEN72" s="684"/>
      <c r="LEO72" s="684"/>
      <c r="LEP72" s="684"/>
      <c r="LEQ72" s="684"/>
      <c r="LER72" s="684"/>
      <c r="LES72" s="684"/>
      <c r="LET72" s="684"/>
      <c r="LEU72" s="684"/>
      <c r="LEV72" s="684"/>
      <c r="LEW72" s="684"/>
      <c r="LEX72" s="684"/>
      <c r="LEY72" s="684"/>
      <c r="LEZ72" s="684"/>
      <c r="LFA72" s="684"/>
      <c r="LFB72" s="684"/>
      <c r="LFC72" s="684"/>
      <c r="LFD72" s="684"/>
      <c r="LFE72" s="684"/>
      <c r="LFF72" s="684"/>
      <c r="LFG72" s="684"/>
      <c r="LFH72" s="684"/>
      <c r="LFI72" s="684"/>
      <c r="LFJ72" s="684"/>
      <c r="LFK72" s="684"/>
      <c r="LFL72" s="684"/>
      <c r="LFM72" s="684"/>
      <c r="LFN72" s="684"/>
      <c r="LFO72" s="684"/>
      <c r="LFP72" s="684"/>
      <c r="LFQ72" s="684"/>
      <c r="LFR72" s="684"/>
      <c r="LFS72" s="684"/>
      <c r="LFT72" s="684"/>
      <c r="LFU72" s="684"/>
      <c r="LFV72" s="684"/>
      <c r="LFW72" s="684"/>
      <c r="LFX72" s="684"/>
      <c r="LFY72" s="684"/>
      <c r="LFZ72" s="684"/>
      <c r="LGA72" s="684"/>
      <c r="LGB72" s="684"/>
      <c r="LGC72" s="684"/>
      <c r="LGD72" s="684"/>
      <c r="LGE72" s="684"/>
      <c r="LGF72" s="684"/>
      <c r="LGG72" s="684"/>
      <c r="LGH72" s="684"/>
      <c r="LGI72" s="684"/>
      <c r="LGJ72" s="684"/>
      <c r="LGK72" s="684"/>
      <c r="LGL72" s="684"/>
      <c r="LGM72" s="684"/>
      <c r="LGN72" s="684"/>
      <c r="LGO72" s="684"/>
      <c r="LGP72" s="684"/>
      <c r="LGQ72" s="684"/>
      <c r="LGR72" s="684"/>
      <c r="LGS72" s="684"/>
      <c r="LGT72" s="684"/>
      <c r="LGU72" s="684"/>
      <c r="LGV72" s="684"/>
      <c r="LGW72" s="684"/>
      <c r="LGX72" s="684"/>
      <c r="LGY72" s="684"/>
      <c r="LGZ72" s="684"/>
      <c r="LHA72" s="684"/>
      <c r="LHB72" s="684"/>
      <c r="LHC72" s="684"/>
      <c r="LHD72" s="684"/>
      <c r="LHE72" s="684"/>
      <c r="LHF72" s="684"/>
      <c r="LHG72" s="684"/>
      <c r="LHH72" s="684"/>
      <c r="LHI72" s="684"/>
      <c r="LHJ72" s="684"/>
      <c r="LHK72" s="684"/>
      <c r="LHL72" s="684"/>
      <c r="LHM72" s="684"/>
      <c r="LHN72" s="684"/>
      <c r="LHO72" s="684"/>
      <c r="LHP72" s="684"/>
      <c r="LHQ72" s="684"/>
      <c r="LHR72" s="684"/>
      <c r="LHS72" s="684"/>
      <c r="LHT72" s="684"/>
      <c r="LHU72" s="684"/>
      <c r="LHV72" s="684"/>
      <c r="LHW72" s="684"/>
      <c r="LHX72" s="684"/>
      <c r="LHY72" s="684"/>
      <c r="LHZ72" s="684"/>
      <c r="LIA72" s="684"/>
      <c r="LIB72" s="684"/>
      <c r="LIC72" s="684"/>
      <c r="LID72" s="684"/>
      <c r="LIE72" s="684"/>
      <c r="LIF72" s="684"/>
      <c r="LIG72" s="684"/>
      <c r="LIH72" s="684"/>
      <c r="LII72" s="684"/>
      <c r="LIJ72" s="684"/>
      <c r="LIK72" s="684"/>
      <c r="LIL72" s="684"/>
      <c r="LIM72" s="684"/>
      <c r="LIN72" s="684"/>
      <c r="LIO72" s="684"/>
      <c r="LIP72" s="684"/>
      <c r="LIQ72" s="684"/>
      <c r="LIR72" s="684"/>
      <c r="LIS72" s="684"/>
      <c r="LIT72" s="684"/>
      <c r="LIU72" s="684"/>
      <c r="LIV72" s="684"/>
      <c r="LIW72" s="684"/>
      <c r="LIX72" s="684"/>
      <c r="LIY72" s="684"/>
      <c r="LIZ72" s="684"/>
      <c r="LJA72" s="684"/>
      <c r="LJB72" s="684"/>
      <c r="LJC72" s="684"/>
      <c r="LJD72" s="684"/>
      <c r="LJE72" s="684"/>
      <c r="LJF72" s="684"/>
      <c r="LJG72" s="684"/>
      <c r="LJH72" s="684"/>
      <c r="LJI72" s="684"/>
      <c r="LJJ72" s="684"/>
      <c r="LJK72" s="684"/>
      <c r="LJL72" s="684"/>
      <c r="LJM72" s="684"/>
      <c r="LJN72" s="684"/>
      <c r="LJO72" s="684"/>
      <c r="LJP72" s="684"/>
      <c r="LJQ72" s="684"/>
      <c r="LJR72" s="684"/>
      <c r="LJS72" s="684"/>
      <c r="LJT72" s="684"/>
      <c r="LJU72" s="684"/>
      <c r="LJV72" s="684"/>
      <c r="LJW72" s="684"/>
      <c r="LJX72" s="684"/>
      <c r="LJY72" s="684"/>
      <c r="LJZ72" s="684"/>
      <c r="LKA72" s="684"/>
      <c r="LKB72" s="684"/>
      <c r="LKC72" s="684"/>
      <c r="LKD72" s="684"/>
      <c r="LKE72" s="684"/>
      <c r="LKF72" s="684"/>
      <c r="LKG72" s="684"/>
      <c r="LKH72" s="684"/>
      <c r="LKI72" s="684"/>
      <c r="LKJ72" s="684"/>
      <c r="LKK72" s="684"/>
      <c r="LKL72" s="684"/>
      <c r="LKM72" s="684"/>
      <c r="LKN72" s="684"/>
      <c r="LKO72" s="684"/>
      <c r="LKP72" s="684"/>
      <c r="LKQ72" s="684"/>
      <c r="LKR72" s="684"/>
      <c r="LKS72" s="684"/>
      <c r="LKT72" s="684"/>
      <c r="LKU72" s="684"/>
      <c r="LKV72" s="684"/>
      <c r="LKW72" s="684"/>
      <c r="LKX72" s="684"/>
      <c r="LKY72" s="684"/>
      <c r="LKZ72" s="684"/>
      <c r="LLA72" s="684"/>
      <c r="LLB72" s="684"/>
      <c r="LLC72" s="684"/>
      <c r="LLD72" s="684"/>
      <c r="LLE72" s="684"/>
      <c r="LLF72" s="684"/>
      <c r="LLG72" s="684"/>
      <c r="LLH72" s="684"/>
      <c r="LLI72" s="684"/>
      <c r="LLJ72" s="684"/>
      <c r="LLK72" s="684"/>
      <c r="LLL72" s="684"/>
      <c r="LLM72" s="684"/>
      <c r="LLN72" s="684"/>
      <c r="LLO72" s="684"/>
      <c r="LLP72" s="684"/>
      <c r="LLQ72" s="684"/>
      <c r="LLR72" s="684"/>
      <c r="LLS72" s="684"/>
      <c r="LLT72" s="684"/>
      <c r="LLU72" s="684"/>
      <c r="LLV72" s="684"/>
      <c r="LLW72" s="684"/>
      <c r="LLX72" s="684"/>
      <c r="LLY72" s="684"/>
      <c r="LLZ72" s="684"/>
      <c r="LMA72" s="684"/>
      <c r="LMB72" s="684"/>
      <c r="LMC72" s="684"/>
      <c r="LMD72" s="684"/>
      <c r="LME72" s="684"/>
      <c r="LMF72" s="684"/>
      <c r="LMG72" s="684"/>
      <c r="LMH72" s="684"/>
      <c r="LMI72" s="684"/>
      <c r="LMJ72" s="684"/>
      <c r="LMK72" s="684"/>
      <c r="LML72" s="684"/>
      <c r="LMM72" s="684"/>
      <c r="LMN72" s="684"/>
      <c r="LMO72" s="684"/>
      <c r="LMP72" s="684"/>
      <c r="LMQ72" s="684"/>
      <c r="LMR72" s="684"/>
      <c r="LMS72" s="684"/>
      <c r="LMT72" s="684"/>
      <c r="LMU72" s="684"/>
      <c r="LMV72" s="684"/>
      <c r="LMW72" s="684"/>
      <c r="LMX72" s="684"/>
      <c r="LMY72" s="684"/>
      <c r="LMZ72" s="684"/>
      <c r="LNA72" s="684"/>
      <c r="LNB72" s="684"/>
      <c r="LNC72" s="684"/>
      <c r="LND72" s="684"/>
      <c r="LNE72" s="684"/>
      <c r="LNF72" s="684"/>
      <c r="LNG72" s="684"/>
      <c r="LNH72" s="684"/>
      <c r="LNI72" s="684"/>
      <c r="LNJ72" s="684"/>
      <c r="LNK72" s="684"/>
      <c r="LNL72" s="684"/>
      <c r="LNM72" s="684"/>
      <c r="LNN72" s="684"/>
      <c r="LNO72" s="684"/>
      <c r="LNP72" s="684"/>
      <c r="LNQ72" s="684"/>
      <c r="LNR72" s="684"/>
      <c r="LNS72" s="684"/>
      <c r="LNT72" s="684"/>
      <c r="LNU72" s="684"/>
      <c r="LNV72" s="684"/>
      <c r="LNW72" s="684"/>
      <c r="LNX72" s="684"/>
      <c r="LNY72" s="684"/>
      <c r="LNZ72" s="684"/>
      <c r="LOA72" s="684"/>
      <c r="LOB72" s="684"/>
      <c r="LOC72" s="684"/>
      <c r="LOD72" s="684"/>
      <c r="LOE72" s="684"/>
      <c r="LOF72" s="684"/>
      <c r="LOG72" s="684"/>
      <c r="LOH72" s="684"/>
      <c r="LOI72" s="684"/>
      <c r="LOJ72" s="684"/>
      <c r="LOK72" s="684"/>
      <c r="LOL72" s="684"/>
      <c r="LOM72" s="684"/>
      <c r="LON72" s="684"/>
      <c r="LOO72" s="684"/>
      <c r="LOP72" s="684"/>
      <c r="LOQ72" s="684"/>
      <c r="LOR72" s="684"/>
      <c r="LOS72" s="684"/>
      <c r="LOT72" s="684"/>
      <c r="LOU72" s="684"/>
      <c r="LOV72" s="684"/>
      <c r="LOW72" s="684"/>
      <c r="LOX72" s="684"/>
      <c r="LOY72" s="684"/>
      <c r="LOZ72" s="684"/>
      <c r="LPA72" s="684"/>
      <c r="LPB72" s="684"/>
      <c r="LPC72" s="684"/>
      <c r="LPD72" s="684"/>
      <c r="LPE72" s="684"/>
      <c r="LPF72" s="684"/>
      <c r="LPG72" s="684"/>
      <c r="LPH72" s="684"/>
      <c r="LPI72" s="684"/>
      <c r="LPJ72" s="684"/>
      <c r="LPK72" s="684"/>
      <c r="LPL72" s="684"/>
      <c r="LPM72" s="684"/>
      <c r="LPN72" s="684"/>
      <c r="LPO72" s="684"/>
      <c r="LPP72" s="684"/>
      <c r="LPQ72" s="684"/>
      <c r="LPR72" s="684"/>
      <c r="LPS72" s="684"/>
      <c r="LPT72" s="684"/>
      <c r="LPU72" s="684"/>
      <c r="LPV72" s="684"/>
      <c r="LPW72" s="684"/>
      <c r="LPX72" s="684"/>
      <c r="LPY72" s="684"/>
      <c r="LPZ72" s="684"/>
      <c r="LQA72" s="684"/>
      <c r="LQB72" s="684"/>
      <c r="LQC72" s="684"/>
      <c r="LQD72" s="684"/>
      <c r="LQE72" s="684"/>
      <c r="LQF72" s="684"/>
      <c r="LQG72" s="684"/>
      <c r="LQH72" s="684"/>
      <c r="LQI72" s="684"/>
      <c r="LQJ72" s="684"/>
      <c r="LQK72" s="684"/>
      <c r="LQL72" s="684"/>
      <c r="LQM72" s="684"/>
      <c r="LQN72" s="684"/>
      <c r="LQO72" s="684"/>
      <c r="LQP72" s="684"/>
      <c r="LQQ72" s="684"/>
      <c r="LQR72" s="684"/>
      <c r="LQS72" s="684"/>
      <c r="LQT72" s="684"/>
      <c r="LQU72" s="684"/>
      <c r="LQV72" s="684"/>
      <c r="LQW72" s="684"/>
      <c r="LQX72" s="684"/>
      <c r="LQY72" s="684"/>
      <c r="LQZ72" s="684"/>
      <c r="LRA72" s="684"/>
      <c r="LRB72" s="684"/>
      <c r="LRC72" s="684"/>
      <c r="LRD72" s="684"/>
      <c r="LRE72" s="684"/>
      <c r="LRF72" s="684"/>
      <c r="LRG72" s="684"/>
      <c r="LRH72" s="684"/>
      <c r="LRI72" s="684"/>
      <c r="LRJ72" s="684"/>
      <c r="LRK72" s="684"/>
      <c r="LRL72" s="684"/>
      <c r="LRM72" s="684"/>
      <c r="LRN72" s="684"/>
      <c r="LRO72" s="684"/>
      <c r="LRP72" s="684"/>
      <c r="LRQ72" s="684"/>
      <c r="LRR72" s="684"/>
      <c r="LRS72" s="684"/>
      <c r="LRT72" s="684"/>
      <c r="LRU72" s="684"/>
      <c r="LRV72" s="684"/>
      <c r="LRW72" s="684"/>
      <c r="LRX72" s="684"/>
      <c r="LRY72" s="684"/>
      <c r="LRZ72" s="684"/>
      <c r="LSA72" s="684"/>
      <c r="LSB72" s="684"/>
      <c r="LSC72" s="684"/>
      <c r="LSD72" s="684"/>
      <c r="LSE72" s="684"/>
      <c r="LSF72" s="684"/>
      <c r="LSG72" s="684"/>
      <c r="LSH72" s="684"/>
      <c r="LSI72" s="684"/>
      <c r="LSJ72" s="684"/>
      <c r="LSK72" s="684"/>
      <c r="LSL72" s="684"/>
      <c r="LSM72" s="684"/>
      <c r="LSN72" s="684"/>
      <c r="LSO72" s="684"/>
      <c r="LSP72" s="684"/>
      <c r="LSQ72" s="684"/>
      <c r="LSR72" s="684"/>
      <c r="LSS72" s="684"/>
      <c r="LST72" s="684"/>
      <c r="LSU72" s="684"/>
      <c r="LSV72" s="684"/>
      <c r="LSW72" s="684"/>
      <c r="LSX72" s="684"/>
      <c r="LSY72" s="684"/>
      <c r="LSZ72" s="684"/>
      <c r="LTA72" s="684"/>
      <c r="LTB72" s="684"/>
      <c r="LTC72" s="684"/>
      <c r="LTD72" s="684"/>
      <c r="LTE72" s="684"/>
      <c r="LTF72" s="684"/>
      <c r="LTG72" s="684"/>
      <c r="LTH72" s="684"/>
      <c r="LTI72" s="684"/>
      <c r="LTJ72" s="684"/>
      <c r="LTK72" s="684"/>
      <c r="LTL72" s="684"/>
      <c r="LTM72" s="684"/>
      <c r="LTN72" s="684"/>
      <c r="LTO72" s="684"/>
      <c r="LTP72" s="684"/>
      <c r="LTQ72" s="684"/>
      <c r="LTR72" s="684"/>
      <c r="LTS72" s="684"/>
      <c r="LTT72" s="684"/>
      <c r="LTU72" s="684"/>
      <c r="LTV72" s="684"/>
      <c r="LTW72" s="684"/>
      <c r="LTX72" s="684"/>
      <c r="LTY72" s="684"/>
      <c r="LTZ72" s="684"/>
      <c r="LUA72" s="684"/>
      <c r="LUB72" s="684"/>
      <c r="LUC72" s="684"/>
      <c r="LUD72" s="684"/>
      <c r="LUE72" s="684"/>
      <c r="LUF72" s="684"/>
      <c r="LUG72" s="684"/>
      <c r="LUH72" s="684"/>
      <c r="LUI72" s="684"/>
      <c r="LUJ72" s="684"/>
      <c r="LUK72" s="684"/>
      <c r="LUL72" s="684"/>
      <c r="LUM72" s="684"/>
      <c r="LUN72" s="684"/>
      <c r="LUO72" s="684"/>
      <c r="LUP72" s="684"/>
      <c r="LUQ72" s="684"/>
      <c r="LUR72" s="684"/>
      <c r="LUS72" s="684"/>
      <c r="LUT72" s="684"/>
      <c r="LUU72" s="684"/>
      <c r="LUV72" s="684"/>
      <c r="LUW72" s="684"/>
      <c r="LUX72" s="684"/>
      <c r="LUY72" s="684"/>
      <c r="LUZ72" s="684"/>
      <c r="LVA72" s="684"/>
      <c r="LVB72" s="684"/>
      <c r="LVC72" s="684"/>
      <c r="LVD72" s="684"/>
      <c r="LVE72" s="684"/>
      <c r="LVF72" s="684"/>
      <c r="LVG72" s="684"/>
      <c r="LVH72" s="684"/>
      <c r="LVI72" s="684"/>
      <c r="LVJ72" s="684"/>
      <c r="LVK72" s="684"/>
      <c r="LVL72" s="684"/>
      <c r="LVM72" s="684"/>
      <c r="LVN72" s="684"/>
      <c r="LVO72" s="684"/>
      <c r="LVP72" s="684"/>
      <c r="LVQ72" s="684"/>
      <c r="LVR72" s="684"/>
      <c r="LVS72" s="684"/>
      <c r="LVT72" s="684"/>
      <c r="LVU72" s="684"/>
      <c r="LVV72" s="684"/>
      <c r="LVW72" s="684"/>
      <c r="LVX72" s="684"/>
      <c r="LVY72" s="684"/>
      <c r="LVZ72" s="684"/>
      <c r="LWA72" s="684"/>
      <c r="LWB72" s="684"/>
      <c r="LWC72" s="684"/>
      <c r="LWD72" s="684"/>
      <c r="LWE72" s="684"/>
      <c r="LWF72" s="684"/>
      <c r="LWG72" s="684"/>
      <c r="LWH72" s="684"/>
      <c r="LWI72" s="684"/>
      <c r="LWJ72" s="684"/>
      <c r="LWK72" s="684"/>
      <c r="LWL72" s="684"/>
      <c r="LWM72" s="684"/>
      <c r="LWN72" s="684"/>
      <c r="LWO72" s="684"/>
      <c r="LWP72" s="684"/>
      <c r="LWQ72" s="684"/>
      <c r="LWR72" s="684"/>
      <c r="LWS72" s="684"/>
      <c r="LWT72" s="684"/>
      <c r="LWU72" s="684"/>
      <c r="LWV72" s="684"/>
      <c r="LWW72" s="684"/>
      <c r="LWX72" s="684"/>
      <c r="LWY72" s="684"/>
      <c r="LWZ72" s="684"/>
      <c r="LXA72" s="684"/>
      <c r="LXB72" s="684"/>
      <c r="LXC72" s="684"/>
      <c r="LXD72" s="684"/>
      <c r="LXE72" s="684"/>
      <c r="LXF72" s="684"/>
      <c r="LXG72" s="684"/>
      <c r="LXH72" s="684"/>
      <c r="LXI72" s="684"/>
      <c r="LXJ72" s="684"/>
      <c r="LXK72" s="684"/>
      <c r="LXL72" s="684"/>
      <c r="LXM72" s="684"/>
      <c r="LXN72" s="684"/>
      <c r="LXO72" s="684"/>
      <c r="LXP72" s="684"/>
      <c r="LXQ72" s="684"/>
      <c r="LXR72" s="684"/>
      <c r="LXS72" s="684"/>
      <c r="LXT72" s="684"/>
      <c r="LXU72" s="684"/>
      <c r="LXV72" s="684"/>
      <c r="LXW72" s="684"/>
      <c r="LXX72" s="684"/>
      <c r="LXY72" s="684"/>
      <c r="LXZ72" s="684"/>
      <c r="LYA72" s="684"/>
      <c r="LYB72" s="684"/>
      <c r="LYC72" s="684"/>
      <c r="LYD72" s="684"/>
      <c r="LYE72" s="684"/>
      <c r="LYF72" s="684"/>
      <c r="LYG72" s="684"/>
      <c r="LYH72" s="684"/>
      <c r="LYI72" s="684"/>
      <c r="LYJ72" s="684"/>
      <c r="LYK72" s="684"/>
      <c r="LYL72" s="684"/>
      <c r="LYM72" s="684"/>
      <c r="LYN72" s="684"/>
      <c r="LYO72" s="684"/>
      <c r="LYP72" s="684"/>
      <c r="LYQ72" s="684"/>
      <c r="LYR72" s="684"/>
      <c r="LYS72" s="684"/>
      <c r="LYT72" s="684"/>
      <c r="LYU72" s="684"/>
      <c r="LYV72" s="684"/>
      <c r="LYW72" s="684"/>
      <c r="LYX72" s="684"/>
      <c r="LYY72" s="684"/>
      <c r="LYZ72" s="684"/>
      <c r="LZA72" s="684"/>
      <c r="LZB72" s="684"/>
      <c r="LZC72" s="684"/>
      <c r="LZD72" s="684"/>
      <c r="LZE72" s="684"/>
      <c r="LZF72" s="684"/>
      <c r="LZG72" s="684"/>
      <c r="LZH72" s="684"/>
      <c r="LZI72" s="684"/>
      <c r="LZJ72" s="684"/>
      <c r="LZK72" s="684"/>
      <c r="LZL72" s="684"/>
      <c r="LZM72" s="684"/>
      <c r="LZN72" s="684"/>
      <c r="LZO72" s="684"/>
      <c r="LZP72" s="684"/>
      <c r="LZQ72" s="684"/>
      <c r="LZR72" s="684"/>
      <c r="LZS72" s="684"/>
      <c r="LZT72" s="684"/>
      <c r="LZU72" s="684"/>
      <c r="LZV72" s="684"/>
      <c r="LZW72" s="684"/>
      <c r="LZX72" s="684"/>
      <c r="LZY72" s="684"/>
      <c r="LZZ72" s="684"/>
      <c r="MAA72" s="684"/>
      <c r="MAB72" s="684"/>
      <c r="MAC72" s="684"/>
      <c r="MAD72" s="684"/>
      <c r="MAE72" s="684"/>
      <c r="MAF72" s="684"/>
      <c r="MAG72" s="684"/>
      <c r="MAH72" s="684"/>
      <c r="MAI72" s="684"/>
      <c r="MAJ72" s="684"/>
      <c r="MAK72" s="684"/>
      <c r="MAL72" s="684"/>
      <c r="MAM72" s="684"/>
      <c r="MAN72" s="684"/>
      <c r="MAO72" s="684"/>
      <c r="MAP72" s="684"/>
      <c r="MAQ72" s="684"/>
      <c r="MAR72" s="684"/>
      <c r="MAS72" s="684"/>
      <c r="MAT72" s="684"/>
      <c r="MAU72" s="684"/>
      <c r="MAV72" s="684"/>
      <c r="MAW72" s="684"/>
      <c r="MAX72" s="684"/>
      <c r="MAY72" s="684"/>
      <c r="MAZ72" s="684"/>
      <c r="MBA72" s="684"/>
      <c r="MBB72" s="684"/>
      <c r="MBC72" s="684"/>
      <c r="MBD72" s="684"/>
      <c r="MBE72" s="684"/>
      <c r="MBF72" s="684"/>
      <c r="MBG72" s="684"/>
      <c r="MBH72" s="684"/>
      <c r="MBI72" s="684"/>
      <c r="MBJ72" s="684"/>
      <c r="MBK72" s="684"/>
      <c r="MBL72" s="684"/>
      <c r="MBM72" s="684"/>
      <c r="MBN72" s="684"/>
      <c r="MBO72" s="684"/>
      <c r="MBP72" s="684"/>
      <c r="MBQ72" s="684"/>
      <c r="MBR72" s="684"/>
      <c r="MBS72" s="684"/>
      <c r="MBT72" s="684"/>
      <c r="MBU72" s="684"/>
      <c r="MBV72" s="684"/>
      <c r="MBW72" s="684"/>
      <c r="MBX72" s="684"/>
      <c r="MBY72" s="684"/>
      <c r="MBZ72" s="684"/>
      <c r="MCA72" s="684"/>
      <c r="MCB72" s="684"/>
      <c r="MCC72" s="684"/>
      <c r="MCD72" s="684"/>
      <c r="MCE72" s="684"/>
      <c r="MCF72" s="684"/>
      <c r="MCG72" s="684"/>
      <c r="MCH72" s="684"/>
      <c r="MCI72" s="684"/>
      <c r="MCJ72" s="684"/>
      <c r="MCK72" s="684"/>
      <c r="MCL72" s="684"/>
      <c r="MCM72" s="684"/>
      <c r="MCN72" s="684"/>
      <c r="MCO72" s="684"/>
      <c r="MCP72" s="684"/>
      <c r="MCQ72" s="684"/>
      <c r="MCR72" s="684"/>
      <c r="MCS72" s="684"/>
      <c r="MCT72" s="684"/>
      <c r="MCU72" s="684"/>
      <c r="MCV72" s="684"/>
      <c r="MCW72" s="684"/>
      <c r="MCX72" s="684"/>
      <c r="MCY72" s="684"/>
      <c r="MCZ72" s="684"/>
      <c r="MDA72" s="684"/>
      <c r="MDB72" s="684"/>
      <c r="MDC72" s="684"/>
      <c r="MDD72" s="684"/>
      <c r="MDE72" s="684"/>
      <c r="MDF72" s="684"/>
      <c r="MDG72" s="684"/>
      <c r="MDH72" s="684"/>
      <c r="MDI72" s="684"/>
      <c r="MDJ72" s="684"/>
      <c r="MDK72" s="684"/>
      <c r="MDL72" s="684"/>
      <c r="MDM72" s="684"/>
      <c r="MDN72" s="684"/>
      <c r="MDO72" s="684"/>
      <c r="MDP72" s="684"/>
      <c r="MDQ72" s="684"/>
      <c r="MDR72" s="684"/>
      <c r="MDS72" s="684"/>
      <c r="MDT72" s="684"/>
      <c r="MDU72" s="684"/>
      <c r="MDV72" s="684"/>
      <c r="MDW72" s="684"/>
      <c r="MDX72" s="684"/>
      <c r="MDY72" s="684"/>
      <c r="MDZ72" s="684"/>
      <c r="MEA72" s="684"/>
      <c r="MEB72" s="684"/>
      <c r="MEC72" s="684"/>
      <c r="MED72" s="684"/>
      <c r="MEE72" s="684"/>
      <c r="MEF72" s="684"/>
      <c r="MEG72" s="684"/>
      <c r="MEH72" s="684"/>
      <c r="MEI72" s="684"/>
      <c r="MEJ72" s="684"/>
      <c r="MEK72" s="684"/>
      <c r="MEL72" s="684"/>
      <c r="MEM72" s="684"/>
      <c r="MEN72" s="684"/>
      <c r="MEO72" s="684"/>
      <c r="MEP72" s="684"/>
      <c r="MEQ72" s="684"/>
      <c r="MER72" s="684"/>
      <c r="MES72" s="684"/>
      <c r="MET72" s="684"/>
      <c r="MEU72" s="684"/>
      <c r="MEV72" s="684"/>
      <c r="MEW72" s="684"/>
      <c r="MEX72" s="684"/>
      <c r="MEY72" s="684"/>
      <c r="MEZ72" s="684"/>
      <c r="MFA72" s="684"/>
      <c r="MFB72" s="684"/>
      <c r="MFC72" s="684"/>
      <c r="MFD72" s="684"/>
      <c r="MFE72" s="684"/>
      <c r="MFF72" s="684"/>
      <c r="MFG72" s="684"/>
      <c r="MFH72" s="684"/>
      <c r="MFI72" s="684"/>
      <c r="MFJ72" s="684"/>
      <c r="MFK72" s="684"/>
      <c r="MFL72" s="684"/>
      <c r="MFM72" s="684"/>
      <c r="MFN72" s="684"/>
      <c r="MFO72" s="684"/>
      <c r="MFP72" s="684"/>
      <c r="MFQ72" s="684"/>
      <c r="MFR72" s="684"/>
      <c r="MFS72" s="684"/>
      <c r="MFT72" s="684"/>
      <c r="MFU72" s="684"/>
      <c r="MFV72" s="684"/>
      <c r="MFW72" s="684"/>
      <c r="MFX72" s="684"/>
      <c r="MFY72" s="684"/>
      <c r="MFZ72" s="684"/>
      <c r="MGA72" s="684"/>
      <c r="MGB72" s="684"/>
      <c r="MGC72" s="684"/>
      <c r="MGD72" s="684"/>
      <c r="MGE72" s="684"/>
      <c r="MGF72" s="684"/>
      <c r="MGG72" s="684"/>
      <c r="MGH72" s="684"/>
      <c r="MGI72" s="684"/>
      <c r="MGJ72" s="684"/>
      <c r="MGK72" s="684"/>
      <c r="MGL72" s="684"/>
      <c r="MGM72" s="684"/>
      <c r="MGN72" s="684"/>
      <c r="MGO72" s="684"/>
      <c r="MGP72" s="684"/>
      <c r="MGQ72" s="684"/>
      <c r="MGR72" s="684"/>
      <c r="MGS72" s="684"/>
      <c r="MGT72" s="684"/>
      <c r="MGU72" s="684"/>
      <c r="MGV72" s="684"/>
      <c r="MGW72" s="684"/>
      <c r="MGX72" s="684"/>
      <c r="MGY72" s="684"/>
      <c r="MGZ72" s="684"/>
      <c r="MHA72" s="684"/>
      <c r="MHB72" s="684"/>
      <c r="MHC72" s="684"/>
      <c r="MHD72" s="684"/>
      <c r="MHE72" s="684"/>
      <c r="MHF72" s="684"/>
      <c r="MHG72" s="684"/>
      <c r="MHH72" s="684"/>
      <c r="MHI72" s="684"/>
      <c r="MHJ72" s="684"/>
      <c r="MHK72" s="684"/>
      <c r="MHL72" s="684"/>
      <c r="MHM72" s="684"/>
      <c r="MHN72" s="684"/>
      <c r="MHO72" s="684"/>
      <c r="MHP72" s="684"/>
      <c r="MHQ72" s="684"/>
      <c r="MHR72" s="684"/>
      <c r="MHS72" s="684"/>
      <c r="MHT72" s="684"/>
      <c r="MHU72" s="684"/>
      <c r="MHV72" s="684"/>
      <c r="MHW72" s="684"/>
      <c r="MHX72" s="684"/>
      <c r="MHY72" s="684"/>
      <c r="MHZ72" s="684"/>
      <c r="MIA72" s="684"/>
      <c r="MIB72" s="684"/>
      <c r="MIC72" s="684"/>
      <c r="MID72" s="684"/>
      <c r="MIE72" s="684"/>
      <c r="MIF72" s="684"/>
      <c r="MIG72" s="684"/>
      <c r="MIH72" s="684"/>
      <c r="MII72" s="684"/>
      <c r="MIJ72" s="684"/>
      <c r="MIK72" s="684"/>
      <c r="MIL72" s="684"/>
      <c r="MIM72" s="684"/>
      <c r="MIN72" s="684"/>
      <c r="MIO72" s="684"/>
      <c r="MIP72" s="684"/>
      <c r="MIQ72" s="684"/>
      <c r="MIR72" s="684"/>
      <c r="MIS72" s="684"/>
      <c r="MIT72" s="684"/>
      <c r="MIU72" s="684"/>
      <c r="MIV72" s="684"/>
      <c r="MIW72" s="684"/>
      <c r="MIX72" s="684"/>
      <c r="MIY72" s="684"/>
      <c r="MIZ72" s="684"/>
      <c r="MJA72" s="684"/>
      <c r="MJB72" s="684"/>
      <c r="MJC72" s="684"/>
      <c r="MJD72" s="684"/>
      <c r="MJE72" s="684"/>
      <c r="MJF72" s="684"/>
      <c r="MJG72" s="684"/>
      <c r="MJH72" s="684"/>
      <c r="MJI72" s="684"/>
      <c r="MJJ72" s="684"/>
      <c r="MJK72" s="684"/>
      <c r="MJL72" s="684"/>
      <c r="MJM72" s="684"/>
      <c r="MJN72" s="684"/>
      <c r="MJO72" s="684"/>
      <c r="MJP72" s="684"/>
      <c r="MJQ72" s="684"/>
      <c r="MJR72" s="684"/>
      <c r="MJS72" s="684"/>
      <c r="MJT72" s="684"/>
      <c r="MJU72" s="684"/>
      <c r="MJV72" s="684"/>
      <c r="MJW72" s="684"/>
      <c r="MJX72" s="684"/>
      <c r="MJY72" s="684"/>
      <c r="MJZ72" s="684"/>
      <c r="MKA72" s="684"/>
      <c r="MKB72" s="684"/>
      <c r="MKC72" s="684"/>
      <c r="MKD72" s="684"/>
      <c r="MKE72" s="684"/>
      <c r="MKF72" s="684"/>
      <c r="MKG72" s="684"/>
      <c r="MKH72" s="684"/>
      <c r="MKI72" s="684"/>
      <c r="MKJ72" s="684"/>
      <c r="MKK72" s="684"/>
      <c r="MKL72" s="684"/>
      <c r="MKM72" s="684"/>
      <c r="MKN72" s="684"/>
      <c r="MKO72" s="684"/>
      <c r="MKP72" s="684"/>
      <c r="MKQ72" s="684"/>
      <c r="MKR72" s="684"/>
      <c r="MKS72" s="684"/>
      <c r="MKT72" s="684"/>
      <c r="MKU72" s="684"/>
      <c r="MKV72" s="684"/>
      <c r="MKW72" s="684"/>
      <c r="MKX72" s="684"/>
      <c r="MKY72" s="684"/>
      <c r="MKZ72" s="684"/>
      <c r="MLA72" s="684"/>
      <c r="MLB72" s="684"/>
      <c r="MLC72" s="684"/>
      <c r="MLD72" s="684"/>
      <c r="MLE72" s="684"/>
      <c r="MLF72" s="684"/>
      <c r="MLG72" s="684"/>
      <c r="MLH72" s="684"/>
      <c r="MLI72" s="684"/>
      <c r="MLJ72" s="684"/>
      <c r="MLK72" s="684"/>
      <c r="MLL72" s="684"/>
      <c r="MLM72" s="684"/>
      <c r="MLN72" s="684"/>
      <c r="MLO72" s="684"/>
      <c r="MLP72" s="684"/>
      <c r="MLQ72" s="684"/>
      <c r="MLR72" s="684"/>
      <c r="MLS72" s="684"/>
      <c r="MLT72" s="684"/>
      <c r="MLU72" s="684"/>
      <c r="MLV72" s="684"/>
      <c r="MLW72" s="684"/>
      <c r="MLX72" s="684"/>
      <c r="MLY72" s="684"/>
      <c r="MLZ72" s="684"/>
      <c r="MMA72" s="684"/>
      <c r="MMB72" s="684"/>
      <c r="MMC72" s="684"/>
      <c r="MMD72" s="684"/>
      <c r="MME72" s="684"/>
      <c r="MMF72" s="684"/>
      <c r="MMG72" s="684"/>
      <c r="MMH72" s="684"/>
      <c r="MMI72" s="684"/>
      <c r="MMJ72" s="684"/>
      <c r="MMK72" s="684"/>
      <c r="MML72" s="684"/>
      <c r="MMM72" s="684"/>
      <c r="MMN72" s="684"/>
      <c r="MMO72" s="684"/>
      <c r="MMP72" s="684"/>
      <c r="MMQ72" s="684"/>
      <c r="MMR72" s="684"/>
      <c r="MMS72" s="684"/>
      <c r="MMT72" s="684"/>
      <c r="MMU72" s="684"/>
      <c r="MMV72" s="684"/>
      <c r="MMW72" s="684"/>
      <c r="MMX72" s="684"/>
      <c r="MMY72" s="684"/>
      <c r="MMZ72" s="684"/>
      <c r="MNA72" s="684"/>
      <c r="MNB72" s="684"/>
      <c r="MNC72" s="684"/>
      <c r="MND72" s="684"/>
      <c r="MNE72" s="684"/>
      <c r="MNF72" s="684"/>
      <c r="MNG72" s="684"/>
      <c r="MNH72" s="684"/>
      <c r="MNI72" s="684"/>
      <c r="MNJ72" s="684"/>
      <c r="MNK72" s="684"/>
      <c r="MNL72" s="684"/>
      <c r="MNM72" s="684"/>
      <c r="MNN72" s="684"/>
      <c r="MNO72" s="684"/>
      <c r="MNP72" s="684"/>
      <c r="MNQ72" s="684"/>
      <c r="MNR72" s="684"/>
      <c r="MNS72" s="684"/>
      <c r="MNT72" s="684"/>
      <c r="MNU72" s="684"/>
      <c r="MNV72" s="684"/>
      <c r="MNW72" s="684"/>
      <c r="MNX72" s="684"/>
      <c r="MNY72" s="684"/>
      <c r="MNZ72" s="684"/>
      <c r="MOA72" s="684"/>
      <c r="MOB72" s="684"/>
      <c r="MOC72" s="684"/>
      <c r="MOD72" s="684"/>
      <c r="MOE72" s="684"/>
      <c r="MOF72" s="684"/>
      <c r="MOG72" s="684"/>
      <c r="MOH72" s="684"/>
      <c r="MOI72" s="684"/>
      <c r="MOJ72" s="684"/>
      <c r="MOK72" s="684"/>
      <c r="MOL72" s="684"/>
      <c r="MOM72" s="684"/>
      <c r="MON72" s="684"/>
      <c r="MOO72" s="684"/>
      <c r="MOP72" s="684"/>
      <c r="MOQ72" s="684"/>
      <c r="MOR72" s="684"/>
      <c r="MOS72" s="684"/>
      <c r="MOT72" s="684"/>
      <c r="MOU72" s="684"/>
      <c r="MOV72" s="684"/>
      <c r="MOW72" s="684"/>
      <c r="MOX72" s="684"/>
      <c r="MOY72" s="684"/>
      <c r="MOZ72" s="684"/>
      <c r="MPA72" s="684"/>
      <c r="MPB72" s="684"/>
      <c r="MPC72" s="684"/>
      <c r="MPD72" s="684"/>
      <c r="MPE72" s="684"/>
      <c r="MPF72" s="684"/>
      <c r="MPG72" s="684"/>
      <c r="MPH72" s="684"/>
      <c r="MPI72" s="684"/>
      <c r="MPJ72" s="684"/>
      <c r="MPK72" s="684"/>
      <c r="MPL72" s="684"/>
      <c r="MPM72" s="684"/>
      <c r="MPN72" s="684"/>
      <c r="MPO72" s="684"/>
      <c r="MPP72" s="684"/>
      <c r="MPQ72" s="684"/>
      <c r="MPR72" s="684"/>
      <c r="MPS72" s="684"/>
      <c r="MPT72" s="684"/>
      <c r="MPU72" s="684"/>
      <c r="MPV72" s="684"/>
      <c r="MPW72" s="684"/>
      <c r="MPX72" s="684"/>
      <c r="MPY72" s="684"/>
      <c r="MPZ72" s="684"/>
      <c r="MQA72" s="684"/>
      <c r="MQB72" s="684"/>
      <c r="MQC72" s="684"/>
      <c r="MQD72" s="684"/>
      <c r="MQE72" s="684"/>
      <c r="MQF72" s="684"/>
      <c r="MQG72" s="684"/>
      <c r="MQH72" s="684"/>
      <c r="MQI72" s="684"/>
      <c r="MQJ72" s="684"/>
      <c r="MQK72" s="684"/>
      <c r="MQL72" s="684"/>
      <c r="MQM72" s="684"/>
      <c r="MQN72" s="684"/>
      <c r="MQO72" s="684"/>
      <c r="MQP72" s="684"/>
      <c r="MQQ72" s="684"/>
      <c r="MQR72" s="684"/>
      <c r="MQS72" s="684"/>
      <c r="MQT72" s="684"/>
      <c r="MQU72" s="684"/>
      <c r="MQV72" s="684"/>
      <c r="MQW72" s="684"/>
      <c r="MQX72" s="684"/>
      <c r="MQY72" s="684"/>
      <c r="MQZ72" s="684"/>
      <c r="MRA72" s="684"/>
      <c r="MRB72" s="684"/>
      <c r="MRC72" s="684"/>
      <c r="MRD72" s="684"/>
      <c r="MRE72" s="684"/>
      <c r="MRF72" s="684"/>
      <c r="MRG72" s="684"/>
      <c r="MRH72" s="684"/>
      <c r="MRI72" s="684"/>
      <c r="MRJ72" s="684"/>
      <c r="MRK72" s="684"/>
      <c r="MRL72" s="684"/>
      <c r="MRM72" s="684"/>
      <c r="MRN72" s="684"/>
      <c r="MRO72" s="684"/>
      <c r="MRP72" s="684"/>
      <c r="MRQ72" s="684"/>
      <c r="MRR72" s="684"/>
      <c r="MRS72" s="684"/>
      <c r="MRT72" s="684"/>
      <c r="MRU72" s="684"/>
      <c r="MRV72" s="684"/>
      <c r="MRW72" s="684"/>
      <c r="MRX72" s="684"/>
      <c r="MRY72" s="684"/>
      <c r="MRZ72" s="684"/>
      <c r="MSA72" s="684"/>
      <c r="MSB72" s="684"/>
      <c r="MSC72" s="684"/>
      <c r="MSD72" s="684"/>
      <c r="MSE72" s="684"/>
      <c r="MSF72" s="684"/>
      <c r="MSG72" s="684"/>
      <c r="MSH72" s="684"/>
      <c r="MSI72" s="684"/>
      <c r="MSJ72" s="684"/>
      <c r="MSK72" s="684"/>
      <c r="MSL72" s="684"/>
      <c r="MSM72" s="684"/>
      <c r="MSN72" s="684"/>
      <c r="MSO72" s="684"/>
      <c r="MSP72" s="684"/>
      <c r="MSQ72" s="684"/>
      <c r="MSR72" s="684"/>
      <c r="MSS72" s="684"/>
      <c r="MST72" s="684"/>
      <c r="MSU72" s="684"/>
      <c r="MSV72" s="684"/>
      <c r="MSW72" s="684"/>
      <c r="MSX72" s="684"/>
      <c r="MSY72" s="684"/>
      <c r="MSZ72" s="684"/>
      <c r="MTA72" s="684"/>
      <c r="MTB72" s="684"/>
      <c r="MTC72" s="684"/>
      <c r="MTD72" s="684"/>
      <c r="MTE72" s="684"/>
      <c r="MTF72" s="684"/>
      <c r="MTG72" s="684"/>
      <c r="MTH72" s="684"/>
      <c r="MTI72" s="684"/>
      <c r="MTJ72" s="684"/>
      <c r="MTK72" s="684"/>
      <c r="MTL72" s="684"/>
      <c r="MTM72" s="684"/>
      <c r="MTN72" s="684"/>
      <c r="MTO72" s="684"/>
      <c r="MTP72" s="684"/>
      <c r="MTQ72" s="684"/>
      <c r="MTR72" s="684"/>
      <c r="MTS72" s="684"/>
      <c r="MTT72" s="684"/>
      <c r="MTU72" s="684"/>
      <c r="MTV72" s="684"/>
      <c r="MTW72" s="684"/>
      <c r="MTX72" s="684"/>
      <c r="MTY72" s="684"/>
      <c r="MTZ72" s="684"/>
      <c r="MUA72" s="684"/>
      <c r="MUB72" s="684"/>
      <c r="MUC72" s="684"/>
      <c r="MUD72" s="684"/>
      <c r="MUE72" s="684"/>
      <c r="MUF72" s="684"/>
      <c r="MUG72" s="684"/>
      <c r="MUH72" s="684"/>
      <c r="MUI72" s="684"/>
      <c r="MUJ72" s="684"/>
      <c r="MUK72" s="684"/>
      <c r="MUL72" s="684"/>
      <c r="MUM72" s="684"/>
      <c r="MUN72" s="684"/>
      <c r="MUO72" s="684"/>
      <c r="MUP72" s="684"/>
      <c r="MUQ72" s="684"/>
      <c r="MUR72" s="684"/>
      <c r="MUS72" s="684"/>
      <c r="MUT72" s="684"/>
      <c r="MUU72" s="684"/>
      <c r="MUV72" s="684"/>
      <c r="MUW72" s="684"/>
      <c r="MUX72" s="684"/>
      <c r="MUY72" s="684"/>
      <c r="MUZ72" s="684"/>
      <c r="MVA72" s="684"/>
      <c r="MVB72" s="684"/>
      <c r="MVC72" s="684"/>
      <c r="MVD72" s="684"/>
      <c r="MVE72" s="684"/>
      <c r="MVF72" s="684"/>
      <c r="MVG72" s="684"/>
      <c r="MVH72" s="684"/>
      <c r="MVI72" s="684"/>
      <c r="MVJ72" s="684"/>
      <c r="MVK72" s="684"/>
      <c r="MVL72" s="684"/>
      <c r="MVM72" s="684"/>
      <c r="MVN72" s="684"/>
      <c r="MVO72" s="684"/>
      <c r="MVP72" s="684"/>
      <c r="MVQ72" s="684"/>
      <c r="MVR72" s="684"/>
      <c r="MVS72" s="684"/>
      <c r="MVT72" s="684"/>
      <c r="MVU72" s="684"/>
      <c r="MVV72" s="684"/>
      <c r="MVW72" s="684"/>
      <c r="MVX72" s="684"/>
      <c r="MVY72" s="684"/>
      <c r="MVZ72" s="684"/>
      <c r="MWA72" s="684"/>
      <c r="MWB72" s="684"/>
      <c r="MWC72" s="684"/>
      <c r="MWD72" s="684"/>
      <c r="MWE72" s="684"/>
      <c r="MWF72" s="684"/>
      <c r="MWG72" s="684"/>
      <c r="MWH72" s="684"/>
      <c r="MWI72" s="684"/>
      <c r="MWJ72" s="684"/>
      <c r="MWK72" s="684"/>
      <c r="MWL72" s="684"/>
      <c r="MWM72" s="684"/>
      <c r="MWN72" s="684"/>
      <c r="MWO72" s="684"/>
      <c r="MWP72" s="684"/>
      <c r="MWQ72" s="684"/>
      <c r="MWR72" s="684"/>
      <c r="MWS72" s="684"/>
      <c r="MWT72" s="684"/>
      <c r="MWU72" s="684"/>
      <c r="MWV72" s="684"/>
      <c r="MWW72" s="684"/>
      <c r="MWX72" s="684"/>
      <c r="MWY72" s="684"/>
      <c r="MWZ72" s="684"/>
      <c r="MXA72" s="684"/>
      <c r="MXB72" s="684"/>
      <c r="MXC72" s="684"/>
      <c r="MXD72" s="684"/>
      <c r="MXE72" s="684"/>
      <c r="MXF72" s="684"/>
      <c r="MXG72" s="684"/>
      <c r="MXH72" s="684"/>
      <c r="MXI72" s="684"/>
      <c r="MXJ72" s="684"/>
      <c r="MXK72" s="684"/>
      <c r="MXL72" s="684"/>
      <c r="MXM72" s="684"/>
      <c r="MXN72" s="684"/>
      <c r="MXO72" s="684"/>
      <c r="MXP72" s="684"/>
      <c r="MXQ72" s="684"/>
      <c r="MXR72" s="684"/>
      <c r="MXS72" s="684"/>
      <c r="MXT72" s="684"/>
      <c r="MXU72" s="684"/>
      <c r="MXV72" s="684"/>
      <c r="MXW72" s="684"/>
      <c r="MXX72" s="684"/>
      <c r="MXY72" s="684"/>
      <c r="MXZ72" s="684"/>
      <c r="MYA72" s="684"/>
      <c r="MYB72" s="684"/>
      <c r="MYC72" s="684"/>
      <c r="MYD72" s="684"/>
      <c r="MYE72" s="684"/>
      <c r="MYF72" s="684"/>
      <c r="MYG72" s="684"/>
      <c r="MYH72" s="684"/>
      <c r="MYI72" s="684"/>
      <c r="MYJ72" s="684"/>
      <c r="MYK72" s="684"/>
      <c r="MYL72" s="684"/>
      <c r="MYM72" s="684"/>
      <c r="MYN72" s="684"/>
      <c r="MYO72" s="684"/>
      <c r="MYP72" s="684"/>
      <c r="MYQ72" s="684"/>
      <c r="MYR72" s="684"/>
      <c r="MYS72" s="684"/>
      <c r="MYT72" s="684"/>
      <c r="MYU72" s="684"/>
      <c r="MYV72" s="684"/>
      <c r="MYW72" s="684"/>
      <c r="MYX72" s="684"/>
      <c r="MYY72" s="684"/>
      <c r="MYZ72" s="684"/>
      <c r="MZA72" s="684"/>
      <c r="MZB72" s="684"/>
      <c r="MZC72" s="684"/>
      <c r="MZD72" s="684"/>
      <c r="MZE72" s="684"/>
      <c r="MZF72" s="684"/>
      <c r="MZG72" s="684"/>
      <c r="MZH72" s="684"/>
      <c r="MZI72" s="684"/>
      <c r="MZJ72" s="684"/>
      <c r="MZK72" s="684"/>
      <c r="MZL72" s="684"/>
      <c r="MZM72" s="684"/>
      <c r="MZN72" s="684"/>
      <c r="MZO72" s="684"/>
      <c r="MZP72" s="684"/>
      <c r="MZQ72" s="684"/>
      <c r="MZR72" s="684"/>
      <c r="MZS72" s="684"/>
      <c r="MZT72" s="684"/>
      <c r="MZU72" s="684"/>
      <c r="MZV72" s="684"/>
      <c r="MZW72" s="684"/>
      <c r="MZX72" s="684"/>
      <c r="MZY72" s="684"/>
      <c r="MZZ72" s="684"/>
      <c r="NAA72" s="684"/>
      <c r="NAB72" s="684"/>
      <c r="NAC72" s="684"/>
      <c r="NAD72" s="684"/>
      <c r="NAE72" s="684"/>
      <c r="NAF72" s="684"/>
      <c r="NAG72" s="684"/>
      <c r="NAH72" s="684"/>
      <c r="NAI72" s="684"/>
      <c r="NAJ72" s="684"/>
      <c r="NAK72" s="684"/>
      <c r="NAL72" s="684"/>
      <c r="NAM72" s="684"/>
      <c r="NAN72" s="684"/>
      <c r="NAO72" s="684"/>
      <c r="NAP72" s="684"/>
      <c r="NAQ72" s="684"/>
      <c r="NAR72" s="684"/>
      <c r="NAS72" s="684"/>
      <c r="NAT72" s="684"/>
      <c r="NAU72" s="684"/>
      <c r="NAV72" s="684"/>
      <c r="NAW72" s="684"/>
      <c r="NAX72" s="684"/>
      <c r="NAY72" s="684"/>
      <c r="NAZ72" s="684"/>
      <c r="NBA72" s="684"/>
      <c r="NBB72" s="684"/>
      <c r="NBC72" s="684"/>
      <c r="NBD72" s="684"/>
      <c r="NBE72" s="684"/>
      <c r="NBF72" s="684"/>
      <c r="NBG72" s="684"/>
      <c r="NBH72" s="684"/>
      <c r="NBI72" s="684"/>
      <c r="NBJ72" s="684"/>
      <c r="NBK72" s="684"/>
      <c r="NBL72" s="684"/>
      <c r="NBM72" s="684"/>
      <c r="NBN72" s="684"/>
      <c r="NBO72" s="684"/>
      <c r="NBP72" s="684"/>
      <c r="NBQ72" s="684"/>
      <c r="NBR72" s="684"/>
      <c r="NBS72" s="684"/>
      <c r="NBT72" s="684"/>
      <c r="NBU72" s="684"/>
      <c r="NBV72" s="684"/>
      <c r="NBW72" s="684"/>
      <c r="NBX72" s="684"/>
      <c r="NBY72" s="684"/>
      <c r="NBZ72" s="684"/>
      <c r="NCA72" s="684"/>
      <c r="NCB72" s="684"/>
      <c r="NCC72" s="684"/>
      <c r="NCD72" s="684"/>
      <c r="NCE72" s="684"/>
      <c r="NCF72" s="684"/>
      <c r="NCG72" s="684"/>
      <c r="NCH72" s="684"/>
      <c r="NCI72" s="684"/>
      <c r="NCJ72" s="684"/>
      <c r="NCK72" s="684"/>
      <c r="NCL72" s="684"/>
      <c r="NCM72" s="684"/>
      <c r="NCN72" s="684"/>
      <c r="NCO72" s="684"/>
      <c r="NCP72" s="684"/>
      <c r="NCQ72" s="684"/>
      <c r="NCR72" s="684"/>
      <c r="NCS72" s="684"/>
      <c r="NCT72" s="684"/>
      <c r="NCU72" s="684"/>
      <c r="NCV72" s="684"/>
      <c r="NCW72" s="684"/>
      <c r="NCX72" s="684"/>
      <c r="NCY72" s="684"/>
      <c r="NCZ72" s="684"/>
      <c r="NDA72" s="684"/>
      <c r="NDB72" s="684"/>
      <c r="NDC72" s="684"/>
      <c r="NDD72" s="684"/>
      <c r="NDE72" s="684"/>
      <c r="NDF72" s="684"/>
      <c r="NDG72" s="684"/>
      <c r="NDH72" s="684"/>
      <c r="NDI72" s="684"/>
      <c r="NDJ72" s="684"/>
      <c r="NDK72" s="684"/>
      <c r="NDL72" s="684"/>
      <c r="NDM72" s="684"/>
      <c r="NDN72" s="684"/>
      <c r="NDO72" s="684"/>
      <c r="NDP72" s="684"/>
      <c r="NDQ72" s="684"/>
      <c r="NDR72" s="684"/>
      <c r="NDS72" s="684"/>
      <c r="NDT72" s="684"/>
      <c r="NDU72" s="684"/>
      <c r="NDV72" s="684"/>
      <c r="NDW72" s="684"/>
      <c r="NDX72" s="684"/>
      <c r="NDY72" s="684"/>
      <c r="NDZ72" s="684"/>
      <c r="NEA72" s="684"/>
      <c r="NEB72" s="684"/>
      <c r="NEC72" s="684"/>
      <c r="NED72" s="684"/>
      <c r="NEE72" s="684"/>
      <c r="NEF72" s="684"/>
      <c r="NEG72" s="684"/>
      <c r="NEH72" s="684"/>
      <c r="NEI72" s="684"/>
      <c r="NEJ72" s="684"/>
      <c r="NEK72" s="684"/>
      <c r="NEL72" s="684"/>
      <c r="NEM72" s="684"/>
      <c r="NEN72" s="684"/>
      <c r="NEO72" s="684"/>
      <c r="NEP72" s="684"/>
      <c r="NEQ72" s="684"/>
      <c r="NER72" s="684"/>
      <c r="NES72" s="684"/>
      <c r="NET72" s="684"/>
      <c r="NEU72" s="684"/>
      <c r="NEV72" s="684"/>
      <c r="NEW72" s="684"/>
      <c r="NEX72" s="684"/>
      <c r="NEY72" s="684"/>
      <c r="NEZ72" s="684"/>
      <c r="NFA72" s="684"/>
      <c r="NFB72" s="684"/>
      <c r="NFC72" s="684"/>
      <c r="NFD72" s="684"/>
      <c r="NFE72" s="684"/>
      <c r="NFF72" s="684"/>
      <c r="NFG72" s="684"/>
      <c r="NFH72" s="684"/>
      <c r="NFI72" s="684"/>
      <c r="NFJ72" s="684"/>
      <c r="NFK72" s="684"/>
      <c r="NFL72" s="684"/>
      <c r="NFM72" s="684"/>
      <c r="NFN72" s="684"/>
      <c r="NFO72" s="684"/>
      <c r="NFP72" s="684"/>
      <c r="NFQ72" s="684"/>
      <c r="NFR72" s="684"/>
      <c r="NFS72" s="684"/>
      <c r="NFT72" s="684"/>
      <c r="NFU72" s="684"/>
      <c r="NFV72" s="684"/>
      <c r="NFW72" s="684"/>
      <c r="NFX72" s="684"/>
      <c r="NFY72" s="684"/>
      <c r="NFZ72" s="684"/>
      <c r="NGA72" s="684"/>
      <c r="NGB72" s="684"/>
      <c r="NGC72" s="684"/>
      <c r="NGD72" s="684"/>
      <c r="NGE72" s="684"/>
      <c r="NGF72" s="684"/>
      <c r="NGG72" s="684"/>
      <c r="NGH72" s="684"/>
      <c r="NGI72" s="684"/>
      <c r="NGJ72" s="684"/>
      <c r="NGK72" s="684"/>
      <c r="NGL72" s="684"/>
      <c r="NGM72" s="684"/>
      <c r="NGN72" s="684"/>
      <c r="NGO72" s="684"/>
      <c r="NGP72" s="684"/>
      <c r="NGQ72" s="684"/>
      <c r="NGR72" s="684"/>
      <c r="NGS72" s="684"/>
      <c r="NGT72" s="684"/>
      <c r="NGU72" s="684"/>
      <c r="NGV72" s="684"/>
      <c r="NGW72" s="684"/>
      <c r="NGX72" s="684"/>
      <c r="NGY72" s="684"/>
      <c r="NGZ72" s="684"/>
      <c r="NHA72" s="684"/>
      <c r="NHB72" s="684"/>
      <c r="NHC72" s="684"/>
      <c r="NHD72" s="684"/>
      <c r="NHE72" s="684"/>
      <c r="NHF72" s="684"/>
      <c r="NHG72" s="684"/>
      <c r="NHH72" s="684"/>
      <c r="NHI72" s="684"/>
      <c r="NHJ72" s="684"/>
      <c r="NHK72" s="684"/>
      <c r="NHL72" s="684"/>
      <c r="NHM72" s="684"/>
      <c r="NHN72" s="684"/>
      <c r="NHO72" s="684"/>
      <c r="NHP72" s="684"/>
      <c r="NHQ72" s="684"/>
      <c r="NHR72" s="684"/>
      <c r="NHS72" s="684"/>
      <c r="NHT72" s="684"/>
      <c r="NHU72" s="684"/>
      <c r="NHV72" s="684"/>
      <c r="NHW72" s="684"/>
      <c r="NHX72" s="684"/>
      <c r="NHY72" s="684"/>
      <c r="NHZ72" s="684"/>
      <c r="NIA72" s="684"/>
      <c r="NIB72" s="684"/>
      <c r="NIC72" s="684"/>
      <c r="NID72" s="684"/>
      <c r="NIE72" s="684"/>
      <c r="NIF72" s="684"/>
      <c r="NIG72" s="684"/>
      <c r="NIH72" s="684"/>
      <c r="NII72" s="684"/>
      <c r="NIJ72" s="684"/>
      <c r="NIK72" s="684"/>
      <c r="NIL72" s="684"/>
      <c r="NIM72" s="684"/>
      <c r="NIN72" s="684"/>
      <c r="NIO72" s="684"/>
      <c r="NIP72" s="684"/>
      <c r="NIQ72" s="684"/>
      <c r="NIR72" s="684"/>
      <c r="NIS72" s="684"/>
      <c r="NIT72" s="684"/>
      <c r="NIU72" s="684"/>
      <c r="NIV72" s="684"/>
      <c r="NIW72" s="684"/>
      <c r="NIX72" s="684"/>
      <c r="NIY72" s="684"/>
      <c r="NIZ72" s="684"/>
      <c r="NJA72" s="684"/>
      <c r="NJB72" s="684"/>
      <c r="NJC72" s="684"/>
      <c r="NJD72" s="684"/>
      <c r="NJE72" s="684"/>
      <c r="NJF72" s="684"/>
      <c r="NJG72" s="684"/>
      <c r="NJH72" s="684"/>
      <c r="NJI72" s="684"/>
      <c r="NJJ72" s="684"/>
      <c r="NJK72" s="684"/>
      <c r="NJL72" s="684"/>
      <c r="NJM72" s="684"/>
      <c r="NJN72" s="684"/>
      <c r="NJO72" s="684"/>
      <c r="NJP72" s="684"/>
      <c r="NJQ72" s="684"/>
      <c r="NJR72" s="684"/>
      <c r="NJS72" s="684"/>
      <c r="NJT72" s="684"/>
      <c r="NJU72" s="684"/>
      <c r="NJV72" s="684"/>
      <c r="NJW72" s="684"/>
      <c r="NJX72" s="684"/>
      <c r="NJY72" s="684"/>
      <c r="NJZ72" s="684"/>
      <c r="NKA72" s="684"/>
      <c r="NKB72" s="684"/>
      <c r="NKC72" s="684"/>
      <c r="NKD72" s="684"/>
      <c r="NKE72" s="684"/>
      <c r="NKF72" s="684"/>
      <c r="NKG72" s="684"/>
      <c r="NKH72" s="684"/>
      <c r="NKI72" s="684"/>
      <c r="NKJ72" s="684"/>
      <c r="NKK72" s="684"/>
      <c r="NKL72" s="684"/>
      <c r="NKM72" s="684"/>
      <c r="NKN72" s="684"/>
      <c r="NKO72" s="684"/>
      <c r="NKP72" s="684"/>
      <c r="NKQ72" s="684"/>
      <c r="NKR72" s="684"/>
      <c r="NKS72" s="684"/>
      <c r="NKT72" s="684"/>
      <c r="NKU72" s="684"/>
      <c r="NKV72" s="684"/>
      <c r="NKW72" s="684"/>
      <c r="NKX72" s="684"/>
      <c r="NKY72" s="684"/>
      <c r="NKZ72" s="684"/>
      <c r="NLA72" s="684"/>
      <c r="NLB72" s="684"/>
      <c r="NLC72" s="684"/>
      <c r="NLD72" s="684"/>
      <c r="NLE72" s="684"/>
      <c r="NLF72" s="684"/>
      <c r="NLG72" s="684"/>
      <c r="NLH72" s="684"/>
      <c r="NLI72" s="684"/>
      <c r="NLJ72" s="684"/>
      <c r="NLK72" s="684"/>
      <c r="NLL72" s="684"/>
      <c r="NLM72" s="684"/>
      <c r="NLN72" s="684"/>
      <c r="NLO72" s="684"/>
      <c r="NLP72" s="684"/>
      <c r="NLQ72" s="684"/>
      <c r="NLR72" s="684"/>
      <c r="NLS72" s="684"/>
      <c r="NLT72" s="684"/>
      <c r="NLU72" s="684"/>
      <c r="NLV72" s="684"/>
      <c r="NLW72" s="684"/>
      <c r="NLX72" s="684"/>
      <c r="NLY72" s="684"/>
      <c r="NLZ72" s="684"/>
      <c r="NMA72" s="684"/>
      <c r="NMB72" s="684"/>
      <c r="NMC72" s="684"/>
      <c r="NMD72" s="684"/>
      <c r="NME72" s="684"/>
      <c r="NMF72" s="684"/>
      <c r="NMG72" s="684"/>
      <c r="NMH72" s="684"/>
      <c r="NMI72" s="684"/>
      <c r="NMJ72" s="684"/>
      <c r="NMK72" s="684"/>
      <c r="NML72" s="684"/>
      <c r="NMM72" s="684"/>
      <c r="NMN72" s="684"/>
      <c r="NMO72" s="684"/>
      <c r="NMP72" s="684"/>
      <c r="NMQ72" s="684"/>
      <c r="NMR72" s="684"/>
      <c r="NMS72" s="684"/>
      <c r="NMT72" s="684"/>
      <c r="NMU72" s="684"/>
      <c r="NMV72" s="684"/>
      <c r="NMW72" s="684"/>
      <c r="NMX72" s="684"/>
      <c r="NMY72" s="684"/>
      <c r="NMZ72" s="684"/>
      <c r="NNA72" s="684"/>
      <c r="NNB72" s="684"/>
      <c r="NNC72" s="684"/>
      <c r="NND72" s="684"/>
      <c r="NNE72" s="684"/>
      <c r="NNF72" s="684"/>
      <c r="NNG72" s="684"/>
      <c r="NNH72" s="684"/>
      <c r="NNI72" s="684"/>
      <c r="NNJ72" s="684"/>
      <c r="NNK72" s="684"/>
      <c r="NNL72" s="684"/>
      <c r="NNM72" s="684"/>
      <c r="NNN72" s="684"/>
      <c r="NNO72" s="684"/>
      <c r="NNP72" s="684"/>
      <c r="NNQ72" s="684"/>
      <c r="NNR72" s="684"/>
      <c r="NNS72" s="684"/>
      <c r="NNT72" s="684"/>
      <c r="NNU72" s="684"/>
      <c r="NNV72" s="684"/>
      <c r="NNW72" s="684"/>
      <c r="NNX72" s="684"/>
      <c r="NNY72" s="684"/>
      <c r="NNZ72" s="684"/>
      <c r="NOA72" s="684"/>
      <c r="NOB72" s="684"/>
      <c r="NOC72" s="684"/>
      <c r="NOD72" s="684"/>
      <c r="NOE72" s="684"/>
      <c r="NOF72" s="684"/>
      <c r="NOG72" s="684"/>
      <c r="NOH72" s="684"/>
      <c r="NOI72" s="684"/>
      <c r="NOJ72" s="684"/>
      <c r="NOK72" s="684"/>
      <c r="NOL72" s="684"/>
      <c r="NOM72" s="684"/>
      <c r="NON72" s="684"/>
      <c r="NOO72" s="684"/>
      <c r="NOP72" s="684"/>
      <c r="NOQ72" s="684"/>
      <c r="NOR72" s="684"/>
      <c r="NOS72" s="684"/>
      <c r="NOT72" s="684"/>
      <c r="NOU72" s="684"/>
      <c r="NOV72" s="684"/>
      <c r="NOW72" s="684"/>
      <c r="NOX72" s="684"/>
      <c r="NOY72" s="684"/>
      <c r="NOZ72" s="684"/>
      <c r="NPA72" s="684"/>
      <c r="NPB72" s="684"/>
      <c r="NPC72" s="684"/>
      <c r="NPD72" s="684"/>
      <c r="NPE72" s="684"/>
      <c r="NPF72" s="684"/>
      <c r="NPG72" s="684"/>
      <c r="NPH72" s="684"/>
      <c r="NPI72" s="684"/>
      <c r="NPJ72" s="684"/>
      <c r="NPK72" s="684"/>
      <c r="NPL72" s="684"/>
      <c r="NPM72" s="684"/>
      <c r="NPN72" s="684"/>
      <c r="NPO72" s="684"/>
      <c r="NPP72" s="684"/>
      <c r="NPQ72" s="684"/>
      <c r="NPR72" s="684"/>
      <c r="NPS72" s="684"/>
      <c r="NPT72" s="684"/>
      <c r="NPU72" s="684"/>
      <c r="NPV72" s="684"/>
      <c r="NPW72" s="684"/>
      <c r="NPX72" s="684"/>
      <c r="NPY72" s="684"/>
      <c r="NPZ72" s="684"/>
      <c r="NQA72" s="684"/>
      <c r="NQB72" s="684"/>
      <c r="NQC72" s="684"/>
      <c r="NQD72" s="684"/>
      <c r="NQE72" s="684"/>
      <c r="NQF72" s="684"/>
      <c r="NQG72" s="684"/>
      <c r="NQH72" s="684"/>
      <c r="NQI72" s="684"/>
      <c r="NQJ72" s="684"/>
      <c r="NQK72" s="684"/>
      <c r="NQL72" s="684"/>
      <c r="NQM72" s="684"/>
      <c r="NQN72" s="684"/>
      <c r="NQO72" s="684"/>
      <c r="NQP72" s="684"/>
      <c r="NQQ72" s="684"/>
      <c r="NQR72" s="684"/>
      <c r="NQS72" s="684"/>
      <c r="NQT72" s="684"/>
      <c r="NQU72" s="684"/>
      <c r="NQV72" s="684"/>
      <c r="NQW72" s="684"/>
      <c r="NQX72" s="684"/>
      <c r="NQY72" s="684"/>
      <c r="NQZ72" s="684"/>
      <c r="NRA72" s="684"/>
      <c r="NRB72" s="684"/>
      <c r="NRC72" s="684"/>
      <c r="NRD72" s="684"/>
      <c r="NRE72" s="684"/>
      <c r="NRF72" s="684"/>
      <c r="NRG72" s="684"/>
      <c r="NRH72" s="684"/>
      <c r="NRI72" s="684"/>
      <c r="NRJ72" s="684"/>
      <c r="NRK72" s="684"/>
      <c r="NRL72" s="684"/>
      <c r="NRM72" s="684"/>
      <c r="NRN72" s="684"/>
      <c r="NRO72" s="684"/>
      <c r="NRP72" s="684"/>
      <c r="NRQ72" s="684"/>
      <c r="NRR72" s="684"/>
      <c r="NRS72" s="684"/>
      <c r="NRT72" s="684"/>
      <c r="NRU72" s="684"/>
      <c r="NRV72" s="684"/>
      <c r="NRW72" s="684"/>
      <c r="NRX72" s="684"/>
      <c r="NRY72" s="684"/>
      <c r="NRZ72" s="684"/>
      <c r="NSA72" s="684"/>
      <c r="NSB72" s="684"/>
      <c r="NSC72" s="684"/>
      <c r="NSD72" s="684"/>
      <c r="NSE72" s="684"/>
      <c r="NSF72" s="684"/>
      <c r="NSG72" s="684"/>
      <c r="NSH72" s="684"/>
      <c r="NSI72" s="684"/>
      <c r="NSJ72" s="684"/>
      <c r="NSK72" s="684"/>
      <c r="NSL72" s="684"/>
      <c r="NSM72" s="684"/>
      <c r="NSN72" s="684"/>
      <c r="NSO72" s="684"/>
      <c r="NSP72" s="684"/>
      <c r="NSQ72" s="684"/>
      <c r="NSR72" s="684"/>
      <c r="NSS72" s="684"/>
      <c r="NST72" s="684"/>
      <c r="NSU72" s="684"/>
      <c r="NSV72" s="684"/>
      <c r="NSW72" s="684"/>
      <c r="NSX72" s="684"/>
      <c r="NSY72" s="684"/>
      <c r="NSZ72" s="684"/>
      <c r="NTA72" s="684"/>
      <c r="NTB72" s="684"/>
      <c r="NTC72" s="684"/>
      <c r="NTD72" s="684"/>
      <c r="NTE72" s="684"/>
      <c r="NTF72" s="684"/>
      <c r="NTG72" s="684"/>
      <c r="NTH72" s="684"/>
      <c r="NTI72" s="684"/>
      <c r="NTJ72" s="684"/>
      <c r="NTK72" s="684"/>
      <c r="NTL72" s="684"/>
      <c r="NTM72" s="684"/>
      <c r="NTN72" s="684"/>
      <c r="NTO72" s="684"/>
      <c r="NTP72" s="684"/>
      <c r="NTQ72" s="684"/>
      <c r="NTR72" s="684"/>
      <c r="NTS72" s="684"/>
      <c r="NTT72" s="684"/>
      <c r="NTU72" s="684"/>
      <c r="NTV72" s="684"/>
      <c r="NTW72" s="684"/>
      <c r="NTX72" s="684"/>
      <c r="NTY72" s="684"/>
      <c r="NTZ72" s="684"/>
      <c r="NUA72" s="684"/>
      <c r="NUB72" s="684"/>
      <c r="NUC72" s="684"/>
      <c r="NUD72" s="684"/>
      <c r="NUE72" s="684"/>
      <c r="NUF72" s="684"/>
      <c r="NUG72" s="684"/>
      <c r="NUH72" s="684"/>
      <c r="NUI72" s="684"/>
      <c r="NUJ72" s="684"/>
      <c r="NUK72" s="684"/>
      <c r="NUL72" s="684"/>
      <c r="NUM72" s="684"/>
      <c r="NUN72" s="684"/>
      <c r="NUO72" s="684"/>
      <c r="NUP72" s="684"/>
      <c r="NUQ72" s="684"/>
      <c r="NUR72" s="684"/>
      <c r="NUS72" s="684"/>
      <c r="NUT72" s="684"/>
      <c r="NUU72" s="684"/>
      <c r="NUV72" s="684"/>
      <c r="NUW72" s="684"/>
      <c r="NUX72" s="684"/>
      <c r="NUY72" s="684"/>
      <c r="NUZ72" s="684"/>
      <c r="NVA72" s="684"/>
      <c r="NVB72" s="684"/>
      <c r="NVC72" s="684"/>
      <c r="NVD72" s="684"/>
      <c r="NVE72" s="684"/>
      <c r="NVF72" s="684"/>
      <c r="NVG72" s="684"/>
      <c r="NVH72" s="684"/>
      <c r="NVI72" s="684"/>
      <c r="NVJ72" s="684"/>
      <c r="NVK72" s="684"/>
      <c r="NVL72" s="684"/>
      <c r="NVM72" s="684"/>
      <c r="NVN72" s="684"/>
      <c r="NVO72" s="684"/>
      <c r="NVP72" s="684"/>
      <c r="NVQ72" s="684"/>
      <c r="NVR72" s="684"/>
      <c r="NVS72" s="684"/>
      <c r="NVT72" s="684"/>
      <c r="NVU72" s="684"/>
      <c r="NVV72" s="684"/>
      <c r="NVW72" s="684"/>
      <c r="NVX72" s="684"/>
      <c r="NVY72" s="684"/>
      <c r="NVZ72" s="684"/>
      <c r="NWA72" s="684"/>
      <c r="NWB72" s="684"/>
      <c r="NWC72" s="684"/>
      <c r="NWD72" s="684"/>
      <c r="NWE72" s="684"/>
      <c r="NWF72" s="684"/>
      <c r="NWG72" s="684"/>
      <c r="NWH72" s="684"/>
      <c r="NWI72" s="684"/>
      <c r="NWJ72" s="684"/>
      <c r="NWK72" s="684"/>
      <c r="NWL72" s="684"/>
      <c r="NWM72" s="684"/>
      <c r="NWN72" s="684"/>
      <c r="NWO72" s="684"/>
      <c r="NWP72" s="684"/>
      <c r="NWQ72" s="684"/>
      <c r="NWR72" s="684"/>
      <c r="NWS72" s="684"/>
      <c r="NWT72" s="684"/>
      <c r="NWU72" s="684"/>
      <c r="NWV72" s="684"/>
      <c r="NWW72" s="684"/>
      <c r="NWX72" s="684"/>
      <c r="NWY72" s="684"/>
      <c r="NWZ72" s="684"/>
      <c r="NXA72" s="684"/>
      <c r="NXB72" s="684"/>
      <c r="NXC72" s="684"/>
      <c r="NXD72" s="684"/>
      <c r="NXE72" s="684"/>
      <c r="NXF72" s="684"/>
      <c r="NXG72" s="684"/>
      <c r="NXH72" s="684"/>
      <c r="NXI72" s="684"/>
      <c r="NXJ72" s="684"/>
      <c r="NXK72" s="684"/>
      <c r="NXL72" s="684"/>
      <c r="NXM72" s="684"/>
      <c r="NXN72" s="684"/>
      <c r="NXO72" s="684"/>
      <c r="NXP72" s="684"/>
      <c r="NXQ72" s="684"/>
      <c r="NXR72" s="684"/>
      <c r="NXS72" s="684"/>
      <c r="NXT72" s="684"/>
      <c r="NXU72" s="684"/>
      <c r="NXV72" s="684"/>
      <c r="NXW72" s="684"/>
      <c r="NXX72" s="684"/>
      <c r="NXY72" s="684"/>
      <c r="NXZ72" s="684"/>
      <c r="NYA72" s="684"/>
      <c r="NYB72" s="684"/>
      <c r="NYC72" s="684"/>
      <c r="NYD72" s="684"/>
      <c r="NYE72" s="684"/>
      <c r="NYF72" s="684"/>
      <c r="NYG72" s="684"/>
      <c r="NYH72" s="684"/>
      <c r="NYI72" s="684"/>
      <c r="NYJ72" s="684"/>
      <c r="NYK72" s="684"/>
      <c r="NYL72" s="684"/>
      <c r="NYM72" s="684"/>
      <c r="NYN72" s="684"/>
      <c r="NYO72" s="684"/>
      <c r="NYP72" s="684"/>
      <c r="NYQ72" s="684"/>
      <c r="NYR72" s="684"/>
      <c r="NYS72" s="684"/>
      <c r="NYT72" s="684"/>
      <c r="NYU72" s="684"/>
      <c r="NYV72" s="684"/>
      <c r="NYW72" s="684"/>
      <c r="NYX72" s="684"/>
      <c r="NYY72" s="684"/>
      <c r="NYZ72" s="684"/>
      <c r="NZA72" s="684"/>
      <c r="NZB72" s="684"/>
      <c r="NZC72" s="684"/>
      <c r="NZD72" s="684"/>
      <c r="NZE72" s="684"/>
      <c r="NZF72" s="684"/>
      <c r="NZG72" s="684"/>
      <c r="NZH72" s="684"/>
      <c r="NZI72" s="684"/>
      <c r="NZJ72" s="684"/>
      <c r="NZK72" s="684"/>
      <c r="NZL72" s="684"/>
      <c r="NZM72" s="684"/>
      <c r="NZN72" s="684"/>
      <c r="NZO72" s="684"/>
      <c r="NZP72" s="684"/>
      <c r="NZQ72" s="684"/>
      <c r="NZR72" s="684"/>
      <c r="NZS72" s="684"/>
      <c r="NZT72" s="684"/>
      <c r="NZU72" s="684"/>
      <c r="NZV72" s="684"/>
      <c r="NZW72" s="684"/>
      <c r="NZX72" s="684"/>
      <c r="NZY72" s="684"/>
      <c r="NZZ72" s="684"/>
      <c r="OAA72" s="684"/>
      <c r="OAB72" s="684"/>
      <c r="OAC72" s="684"/>
      <c r="OAD72" s="684"/>
      <c r="OAE72" s="684"/>
      <c r="OAF72" s="684"/>
      <c r="OAG72" s="684"/>
      <c r="OAH72" s="684"/>
      <c r="OAI72" s="684"/>
      <c r="OAJ72" s="684"/>
      <c r="OAK72" s="684"/>
      <c r="OAL72" s="684"/>
      <c r="OAM72" s="684"/>
      <c r="OAN72" s="684"/>
      <c r="OAO72" s="684"/>
      <c r="OAP72" s="684"/>
      <c r="OAQ72" s="684"/>
      <c r="OAR72" s="684"/>
      <c r="OAS72" s="684"/>
      <c r="OAT72" s="684"/>
      <c r="OAU72" s="684"/>
      <c r="OAV72" s="684"/>
      <c r="OAW72" s="684"/>
      <c r="OAX72" s="684"/>
      <c r="OAY72" s="684"/>
      <c r="OAZ72" s="684"/>
      <c r="OBA72" s="684"/>
      <c r="OBB72" s="684"/>
      <c r="OBC72" s="684"/>
      <c r="OBD72" s="684"/>
      <c r="OBE72" s="684"/>
      <c r="OBF72" s="684"/>
      <c r="OBG72" s="684"/>
      <c r="OBH72" s="684"/>
      <c r="OBI72" s="684"/>
      <c r="OBJ72" s="684"/>
      <c r="OBK72" s="684"/>
      <c r="OBL72" s="684"/>
      <c r="OBM72" s="684"/>
      <c r="OBN72" s="684"/>
      <c r="OBO72" s="684"/>
      <c r="OBP72" s="684"/>
      <c r="OBQ72" s="684"/>
      <c r="OBR72" s="684"/>
      <c r="OBS72" s="684"/>
      <c r="OBT72" s="684"/>
      <c r="OBU72" s="684"/>
      <c r="OBV72" s="684"/>
      <c r="OBW72" s="684"/>
      <c r="OBX72" s="684"/>
      <c r="OBY72" s="684"/>
      <c r="OBZ72" s="684"/>
      <c r="OCA72" s="684"/>
      <c r="OCB72" s="684"/>
      <c r="OCC72" s="684"/>
      <c r="OCD72" s="684"/>
      <c r="OCE72" s="684"/>
      <c r="OCF72" s="684"/>
      <c r="OCG72" s="684"/>
      <c r="OCH72" s="684"/>
      <c r="OCI72" s="684"/>
      <c r="OCJ72" s="684"/>
      <c r="OCK72" s="684"/>
      <c r="OCL72" s="684"/>
      <c r="OCM72" s="684"/>
      <c r="OCN72" s="684"/>
      <c r="OCO72" s="684"/>
      <c r="OCP72" s="684"/>
      <c r="OCQ72" s="684"/>
      <c r="OCR72" s="684"/>
      <c r="OCS72" s="684"/>
      <c r="OCT72" s="684"/>
      <c r="OCU72" s="684"/>
      <c r="OCV72" s="684"/>
      <c r="OCW72" s="684"/>
      <c r="OCX72" s="684"/>
      <c r="OCY72" s="684"/>
      <c r="OCZ72" s="684"/>
      <c r="ODA72" s="684"/>
      <c r="ODB72" s="684"/>
      <c r="ODC72" s="684"/>
      <c r="ODD72" s="684"/>
      <c r="ODE72" s="684"/>
      <c r="ODF72" s="684"/>
      <c r="ODG72" s="684"/>
      <c r="ODH72" s="684"/>
      <c r="ODI72" s="684"/>
      <c r="ODJ72" s="684"/>
      <c r="ODK72" s="684"/>
      <c r="ODL72" s="684"/>
      <c r="ODM72" s="684"/>
      <c r="ODN72" s="684"/>
      <c r="ODO72" s="684"/>
      <c r="ODP72" s="684"/>
      <c r="ODQ72" s="684"/>
      <c r="ODR72" s="684"/>
      <c r="ODS72" s="684"/>
      <c r="ODT72" s="684"/>
      <c r="ODU72" s="684"/>
      <c r="ODV72" s="684"/>
      <c r="ODW72" s="684"/>
      <c r="ODX72" s="684"/>
      <c r="ODY72" s="684"/>
      <c r="ODZ72" s="684"/>
      <c r="OEA72" s="684"/>
      <c r="OEB72" s="684"/>
      <c r="OEC72" s="684"/>
      <c r="OED72" s="684"/>
      <c r="OEE72" s="684"/>
      <c r="OEF72" s="684"/>
      <c r="OEG72" s="684"/>
      <c r="OEH72" s="684"/>
      <c r="OEI72" s="684"/>
      <c r="OEJ72" s="684"/>
      <c r="OEK72" s="684"/>
      <c r="OEL72" s="684"/>
      <c r="OEM72" s="684"/>
      <c r="OEN72" s="684"/>
      <c r="OEO72" s="684"/>
      <c r="OEP72" s="684"/>
      <c r="OEQ72" s="684"/>
      <c r="OER72" s="684"/>
      <c r="OES72" s="684"/>
      <c r="OET72" s="684"/>
      <c r="OEU72" s="684"/>
      <c r="OEV72" s="684"/>
      <c r="OEW72" s="684"/>
      <c r="OEX72" s="684"/>
      <c r="OEY72" s="684"/>
      <c r="OEZ72" s="684"/>
      <c r="OFA72" s="684"/>
      <c r="OFB72" s="684"/>
      <c r="OFC72" s="684"/>
      <c r="OFD72" s="684"/>
      <c r="OFE72" s="684"/>
      <c r="OFF72" s="684"/>
      <c r="OFG72" s="684"/>
      <c r="OFH72" s="684"/>
      <c r="OFI72" s="684"/>
      <c r="OFJ72" s="684"/>
      <c r="OFK72" s="684"/>
      <c r="OFL72" s="684"/>
      <c r="OFM72" s="684"/>
      <c r="OFN72" s="684"/>
      <c r="OFO72" s="684"/>
      <c r="OFP72" s="684"/>
      <c r="OFQ72" s="684"/>
      <c r="OFR72" s="684"/>
      <c r="OFS72" s="684"/>
      <c r="OFT72" s="684"/>
      <c r="OFU72" s="684"/>
      <c r="OFV72" s="684"/>
      <c r="OFW72" s="684"/>
      <c r="OFX72" s="684"/>
      <c r="OFY72" s="684"/>
      <c r="OFZ72" s="684"/>
      <c r="OGA72" s="684"/>
      <c r="OGB72" s="684"/>
      <c r="OGC72" s="684"/>
      <c r="OGD72" s="684"/>
      <c r="OGE72" s="684"/>
      <c r="OGF72" s="684"/>
      <c r="OGG72" s="684"/>
      <c r="OGH72" s="684"/>
      <c r="OGI72" s="684"/>
      <c r="OGJ72" s="684"/>
      <c r="OGK72" s="684"/>
      <c r="OGL72" s="684"/>
      <c r="OGM72" s="684"/>
      <c r="OGN72" s="684"/>
      <c r="OGO72" s="684"/>
      <c r="OGP72" s="684"/>
      <c r="OGQ72" s="684"/>
      <c r="OGR72" s="684"/>
      <c r="OGS72" s="684"/>
      <c r="OGT72" s="684"/>
      <c r="OGU72" s="684"/>
      <c r="OGV72" s="684"/>
      <c r="OGW72" s="684"/>
      <c r="OGX72" s="684"/>
      <c r="OGY72" s="684"/>
      <c r="OGZ72" s="684"/>
      <c r="OHA72" s="684"/>
      <c r="OHB72" s="684"/>
      <c r="OHC72" s="684"/>
      <c r="OHD72" s="684"/>
      <c r="OHE72" s="684"/>
      <c r="OHF72" s="684"/>
      <c r="OHG72" s="684"/>
      <c r="OHH72" s="684"/>
      <c r="OHI72" s="684"/>
      <c r="OHJ72" s="684"/>
      <c r="OHK72" s="684"/>
      <c r="OHL72" s="684"/>
      <c r="OHM72" s="684"/>
      <c r="OHN72" s="684"/>
      <c r="OHO72" s="684"/>
      <c r="OHP72" s="684"/>
      <c r="OHQ72" s="684"/>
      <c r="OHR72" s="684"/>
      <c r="OHS72" s="684"/>
      <c r="OHT72" s="684"/>
      <c r="OHU72" s="684"/>
      <c r="OHV72" s="684"/>
      <c r="OHW72" s="684"/>
      <c r="OHX72" s="684"/>
      <c r="OHY72" s="684"/>
      <c r="OHZ72" s="684"/>
      <c r="OIA72" s="684"/>
      <c r="OIB72" s="684"/>
      <c r="OIC72" s="684"/>
      <c r="OID72" s="684"/>
      <c r="OIE72" s="684"/>
      <c r="OIF72" s="684"/>
      <c r="OIG72" s="684"/>
      <c r="OIH72" s="684"/>
      <c r="OII72" s="684"/>
      <c r="OIJ72" s="684"/>
      <c r="OIK72" s="684"/>
      <c r="OIL72" s="684"/>
      <c r="OIM72" s="684"/>
      <c r="OIN72" s="684"/>
      <c r="OIO72" s="684"/>
      <c r="OIP72" s="684"/>
      <c r="OIQ72" s="684"/>
      <c r="OIR72" s="684"/>
      <c r="OIS72" s="684"/>
      <c r="OIT72" s="684"/>
      <c r="OIU72" s="684"/>
      <c r="OIV72" s="684"/>
      <c r="OIW72" s="684"/>
      <c r="OIX72" s="684"/>
      <c r="OIY72" s="684"/>
      <c r="OIZ72" s="684"/>
      <c r="OJA72" s="684"/>
      <c r="OJB72" s="684"/>
      <c r="OJC72" s="684"/>
      <c r="OJD72" s="684"/>
      <c r="OJE72" s="684"/>
      <c r="OJF72" s="684"/>
      <c r="OJG72" s="684"/>
      <c r="OJH72" s="684"/>
      <c r="OJI72" s="684"/>
      <c r="OJJ72" s="684"/>
      <c r="OJK72" s="684"/>
      <c r="OJL72" s="684"/>
      <c r="OJM72" s="684"/>
      <c r="OJN72" s="684"/>
      <c r="OJO72" s="684"/>
      <c r="OJP72" s="684"/>
      <c r="OJQ72" s="684"/>
      <c r="OJR72" s="684"/>
      <c r="OJS72" s="684"/>
      <c r="OJT72" s="684"/>
      <c r="OJU72" s="684"/>
      <c r="OJV72" s="684"/>
      <c r="OJW72" s="684"/>
      <c r="OJX72" s="684"/>
      <c r="OJY72" s="684"/>
      <c r="OJZ72" s="684"/>
      <c r="OKA72" s="684"/>
      <c r="OKB72" s="684"/>
      <c r="OKC72" s="684"/>
      <c r="OKD72" s="684"/>
      <c r="OKE72" s="684"/>
      <c r="OKF72" s="684"/>
      <c r="OKG72" s="684"/>
      <c r="OKH72" s="684"/>
      <c r="OKI72" s="684"/>
      <c r="OKJ72" s="684"/>
      <c r="OKK72" s="684"/>
      <c r="OKL72" s="684"/>
      <c r="OKM72" s="684"/>
      <c r="OKN72" s="684"/>
      <c r="OKO72" s="684"/>
      <c r="OKP72" s="684"/>
      <c r="OKQ72" s="684"/>
      <c r="OKR72" s="684"/>
      <c r="OKS72" s="684"/>
      <c r="OKT72" s="684"/>
      <c r="OKU72" s="684"/>
      <c r="OKV72" s="684"/>
      <c r="OKW72" s="684"/>
      <c r="OKX72" s="684"/>
      <c r="OKY72" s="684"/>
      <c r="OKZ72" s="684"/>
      <c r="OLA72" s="684"/>
      <c r="OLB72" s="684"/>
      <c r="OLC72" s="684"/>
      <c r="OLD72" s="684"/>
      <c r="OLE72" s="684"/>
      <c r="OLF72" s="684"/>
      <c r="OLG72" s="684"/>
      <c r="OLH72" s="684"/>
      <c r="OLI72" s="684"/>
      <c r="OLJ72" s="684"/>
      <c r="OLK72" s="684"/>
      <c r="OLL72" s="684"/>
      <c r="OLM72" s="684"/>
      <c r="OLN72" s="684"/>
      <c r="OLO72" s="684"/>
      <c r="OLP72" s="684"/>
      <c r="OLQ72" s="684"/>
      <c r="OLR72" s="684"/>
      <c r="OLS72" s="684"/>
      <c r="OLT72" s="684"/>
      <c r="OLU72" s="684"/>
      <c r="OLV72" s="684"/>
      <c r="OLW72" s="684"/>
      <c r="OLX72" s="684"/>
      <c r="OLY72" s="684"/>
      <c r="OLZ72" s="684"/>
      <c r="OMA72" s="684"/>
      <c r="OMB72" s="684"/>
      <c r="OMC72" s="684"/>
      <c r="OMD72" s="684"/>
      <c r="OME72" s="684"/>
      <c r="OMF72" s="684"/>
      <c r="OMG72" s="684"/>
      <c r="OMH72" s="684"/>
      <c r="OMI72" s="684"/>
      <c r="OMJ72" s="684"/>
      <c r="OMK72" s="684"/>
      <c r="OML72" s="684"/>
      <c r="OMM72" s="684"/>
      <c r="OMN72" s="684"/>
      <c r="OMO72" s="684"/>
      <c r="OMP72" s="684"/>
      <c r="OMQ72" s="684"/>
      <c r="OMR72" s="684"/>
      <c r="OMS72" s="684"/>
      <c r="OMT72" s="684"/>
      <c r="OMU72" s="684"/>
      <c r="OMV72" s="684"/>
      <c r="OMW72" s="684"/>
      <c r="OMX72" s="684"/>
      <c r="OMY72" s="684"/>
      <c r="OMZ72" s="684"/>
      <c r="ONA72" s="684"/>
      <c r="ONB72" s="684"/>
      <c r="ONC72" s="684"/>
      <c r="OND72" s="684"/>
      <c r="ONE72" s="684"/>
      <c r="ONF72" s="684"/>
      <c r="ONG72" s="684"/>
      <c r="ONH72" s="684"/>
      <c r="ONI72" s="684"/>
      <c r="ONJ72" s="684"/>
      <c r="ONK72" s="684"/>
      <c r="ONL72" s="684"/>
      <c r="ONM72" s="684"/>
      <c r="ONN72" s="684"/>
      <c r="ONO72" s="684"/>
      <c r="ONP72" s="684"/>
      <c r="ONQ72" s="684"/>
      <c r="ONR72" s="684"/>
      <c r="ONS72" s="684"/>
      <c r="ONT72" s="684"/>
      <c r="ONU72" s="684"/>
      <c r="ONV72" s="684"/>
      <c r="ONW72" s="684"/>
      <c r="ONX72" s="684"/>
      <c r="ONY72" s="684"/>
      <c r="ONZ72" s="684"/>
      <c r="OOA72" s="684"/>
      <c r="OOB72" s="684"/>
      <c r="OOC72" s="684"/>
      <c r="OOD72" s="684"/>
      <c r="OOE72" s="684"/>
      <c r="OOF72" s="684"/>
      <c r="OOG72" s="684"/>
      <c r="OOH72" s="684"/>
      <c r="OOI72" s="684"/>
      <c r="OOJ72" s="684"/>
      <c r="OOK72" s="684"/>
      <c r="OOL72" s="684"/>
      <c r="OOM72" s="684"/>
      <c r="OON72" s="684"/>
      <c r="OOO72" s="684"/>
      <c r="OOP72" s="684"/>
      <c r="OOQ72" s="684"/>
      <c r="OOR72" s="684"/>
      <c r="OOS72" s="684"/>
      <c r="OOT72" s="684"/>
      <c r="OOU72" s="684"/>
      <c r="OOV72" s="684"/>
      <c r="OOW72" s="684"/>
      <c r="OOX72" s="684"/>
      <c r="OOY72" s="684"/>
      <c r="OOZ72" s="684"/>
      <c r="OPA72" s="684"/>
      <c r="OPB72" s="684"/>
      <c r="OPC72" s="684"/>
      <c r="OPD72" s="684"/>
      <c r="OPE72" s="684"/>
      <c r="OPF72" s="684"/>
      <c r="OPG72" s="684"/>
      <c r="OPH72" s="684"/>
      <c r="OPI72" s="684"/>
      <c r="OPJ72" s="684"/>
      <c r="OPK72" s="684"/>
      <c r="OPL72" s="684"/>
      <c r="OPM72" s="684"/>
      <c r="OPN72" s="684"/>
      <c r="OPO72" s="684"/>
      <c r="OPP72" s="684"/>
      <c r="OPQ72" s="684"/>
      <c r="OPR72" s="684"/>
      <c r="OPS72" s="684"/>
      <c r="OPT72" s="684"/>
      <c r="OPU72" s="684"/>
      <c r="OPV72" s="684"/>
      <c r="OPW72" s="684"/>
      <c r="OPX72" s="684"/>
      <c r="OPY72" s="684"/>
      <c r="OPZ72" s="684"/>
      <c r="OQA72" s="684"/>
      <c r="OQB72" s="684"/>
      <c r="OQC72" s="684"/>
      <c r="OQD72" s="684"/>
      <c r="OQE72" s="684"/>
      <c r="OQF72" s="684"/>
      <c r="OQG72" s="684"/>
      <c r="OQH72" s="684"/>
      <c r="OQI72" s="684"/>
      <c r="OQJ72" s="684"/>
      <c r="OQK72" s="684"/>
      <c r="OQL72" s="684"/>
      <c r="OQM72" s="684"/>
      <c r="OQN72" s="684"/>
      <c r="OQO72" s="684"/>
      <c r="OQP72" s="684"/>
      <c r="OQQ72" s="684"/>
      <c r="OQR72" s="684"/>
      <c r="OQS72" s="684"/>
      <c r="OQT72" s="684"/>
      <c r="OQU72" s="684"/>
      <c r="OQV72" s="684"/>
      <c r="OQW72" s="684"/>
      <c r="OQX72" s="684"/>
      <c r="OQY72" s="684"/>
      <c r="OQZ72" s="684"/>
      <c r="ORA72" s="684"/>
      <c r="ORB72" s="684"/>
      <c r="ORC72" s="684"/>
      <c r="ORD72" s="684"/>
      <c r="ORE72" s="684"/>
      <c r="ORF72" s="684"/>
      <c r="ORG72" s="684"/>
      <c r="ORH72" s="684"/>
      <c r="ORI72" s="684"/>
      <c r="ORJ72" s="684"/>
      <c r="ORK72" s="684"/>
      <c r="ORL72" s="684"/>
      <c r="ORM72" s="684"/>
      <c r="ORN72" s="684"/>
      <c r="ORO72" s="684"/>
      <c r="ORP72" s="684"/>
      <c r="ORQ72" s="684"/>
      <c r="ORR72" s="684"/>
      <c r="ORS72" s="684"/>
      <c r="ORT72" s="684"/>
      <c r="ORU72" s="684"/>
      <c r="ORV72" s="684"/>
      <c r="ORW72" s="684"/>
      <c r="ORX72" s="684"/>
      <c r="ORY72" s="684"/>
      <c r="ORZ72" s="684"/>
      <c r="OSA72" s="684"/>
      <c r="OSB72" s="684"/>
      <c r="OSC72" s="684"/>
      <c r="OSD72" s="684"/>
      <c r="OSE72" s="684"/>
      <c r="OSF72" s="684"/>
      <c r="OSG72" s="684"/>
      <c r="OSH72" s="684"/>
      <c r="OSI72" s="684"/>
      <c r="OSJ72" s="684"/>
      <c r="OSK72" s="684"/>
      <c r="OSL72" s="684"/>
      <c r="OSM72" s="684"/>
      <c r="OSN72" s="684"/>
      <c r="OSO72" s="684"/>
      <c r="OSP72" s="684"/>
      <c r="OSQ72" s="684"/>
      <c r="OSR72" s="684"/>
      <c r="OSS72" s="684"/>
      <c r="OST72" s="684"/>
      <c r="OSU72" s="684"/>
      <c r="OSV72" s="684"/>
      <c r="OSW72" s="684"/>
      <c r="OSX72" s="684"/>
      <c r="OSY72" s="684"/>
      <c r="OSZ72" s="684"/>
      <c r="OTA72" s="684"/>
      <c r="OTB72" s="684"/>
      <c r="OTC72" s="684"/>
      <c r="OTD72" s="684"/>
      <c r="OTE72" s="684"/>
      <c r="OTF72" s="684"/>
      <c r="OTG72" s="684"/>
      <c r="OTH72" s="684"/>
      <c r="OTI72" s="684"/>
      <c r="OTJ72" s="684"/>
      <c r="OTK72" s="684"/>
      <c r="OTL72" s="684"/>
      <c r="OTM72" s="684"/>
      <c r="OTN72" s="684"/>
      <c r="OTO72" s="684"/>
      <c r="OTP72" s="684"/>
      <c r="OTQ72" s="684"/>
      <c r="OTR72" s="684"/>
      <c r="OTS72" s="684"/>
      <c r="OTT72" s="684"/>
      <c r="OTU72" s="684"/>
      <c r="OTV72" s="684"/>
      <c r="OTW72" s="684"/>
      <c r="OTX72" s="684"/>
      <c r="OTY72" s="684"/>
      <c r="OTZ72" s="684"/>
      <c r="OUA72" s="684"/>
      <c r="OUB72" s="684"/>
      <c r="OUC72" s="684"/>
      <c r="OUD72" s="684"/>
      <c r="OUE72" s="684"/>
      <c r="OUF72" s="684"/>
      <c r="OUG72" s="684"/>
      <c r="OUH72" s="684"/>
      <c r="OUI72" s="684"/>
      <c r="OUJ72" s="684"/>
      <c r="OUK72" s="684"/>
      <c r="OUL72" s="684"/>
      <c r="OUM72" s="684"/>
      <c r="OUN72" s="684"/>
      <c r="OUO72" s="684"/>
      <c r="OUP72" s="684"/>
      <c r="OUQ72" s="684"/>
      <c r="OUR72" s="684"/>
      <c r="OUS72" s="684"/>
      <c r="OUT72" s="684"/>
      <c r="OUU72" s="684"/>
      <c r="OUV72" s="684"/>
      <c r="OUW72" s="684"/>
      <c r="OUX72" s="684"/>
      <c r="OUY72" s="684"/>
      <c r="OUZ72" s="684"/>
      <c r="OVA72" s="684"/>
      <c r="OVB72" s="684"/>
      <c r="OVC72" s="684"/>
      <c r="OVD72" s="684"/>
      <c r="OVE72" s="684"/>
      <c r="OVF72" s="684"/>
      <c r="OVG72" s="684"/>
      <c r="OVH72" s="684"/>
      <c r="OVI72" s="684"/>
      <c r="OVJ72" s="684"/>
      <c r="OVK72" s="684"/>
      <c r="OVL72" s="684"/>
      <c r="OVM72" s="684"/>
      <c r="OVN72" s="684"/>
      <c r="OVO72" s="684"/>
      <c r="OVP72" s="684"/>
      <c r="OVQ72" s="684"/>
      <c r="OVR72" s="684"/>
      <c r="OVS72" s="684"/>
      <c r="OVT72" s="684"/>
      <c r="OVU72" s="684"/>
      <c r="OVV72" s="684"/>
      <c r="OVW72" s="684"/>
      <c r="OVX72" s="684"/>
      <c r="OVY72" s="684"/>
      <c r="OVZ72" s="684"/>
      <c r="OWA72" s="684"/>
      <c r="OWB72" s="684"/>
      <c r="OWC72" s="684"/>
      <c r="OWD72" s="684"/>
      <c r="OWE72" s="684"/>
      <c r="OWF72" s="684"/>
      <c r="OWG72" s="684"/>
      <c r="OWH72" s="684"/>
      <c r="OWI72" s="684"/>
      <c r="OWJ72" s="684"/>
      <c r="OWK72" s="684"/>
      <c r="OWL72" s="684"/>
      <c r="OWM72" s="684"/>
      <c r="OWN72" s="684"/>
      <c r="OWO72" s="684"/>
      <c r="OWP72" s="684"/>
      <c r="OWQ72" s="684"/>
      <c r="OWR72" s="684"/>
      <c r="OWS72" s="684"/>
      <c r="OWT72" s="684"/>
      <c r="OWU72" s="684"/>
      <c r="OWV72" s="684"/>
      <c r="OWW72" s="684"/>
      <c r="OWX72" s="684"/>
      <c r="OWY72" s="684"/>
      <c r="OWZ72" s="684"/>
      <c r="OXA72" s="684"/>
      <c r="OXB72" s="684"/>
      <c r="OXC72" s="684"/>
      <c r="OXD72" s="684"/>
      <c r="OXE72" s="684"/>
      <c r="OXF72" s="684"/>
      <c r="OXG72" s="684"/>
      <c r="OXH72" s="684"/>
      <c r="OXI72" s="684"/>
      <c r="OXJ72" s="684"/>
      <c r="OXK72" s="684"/>
      <c r="OXL72" s="684"/>
      <c r="OXM72" s="684"/>
      <c r="OXN72" s="684"/>
      <c r="OXO72" s="684"/>
      <c r="OXP72" s="684"/>
      <c r="OXQ72" s="684"/>
      <c r="OXR72" s="684"/>
      <c r="OXS72" s="684"/>
      <c r="OXT72" s="684"/>
      <c r="OXU72" s="684"/>
      <c r="OXV72" s="684"/>
      <c r="OXW72" s="684"/>
      <c r="OXX72" s="684"/>
      <c r="OXY72" s="684"/>
      <c r="OXZ72" s="684"/>
      <c r="OYA72" s="684"/>
      <c r="OYB72" s="684"/>
      <c r="OYC72" s="684"/>
      <c r="OYD72" s="684"/>
      <c r="OYE72" s="684"/>
      <c r="OYF72" s="684"/>
      <c r="OYG72" s="684"/>
      <c r="OYH72" s="684"/>
      <c r="OYI72" s="684"/>
      <c r="OYJ72" s="684"/>
      <c r="OYK72" s="684"/>
      <c r="OYL72" s="684"/>
      <c r="OYM72" s="684"/>
      <c r="OYN72" s="684"/>
      <c r="OYO72" s="684"/>
      <c r="OYP72" s="684"/>
      <c r="OYQ72" s="684"/>
      <c r="OYR72" s="684"/>
      <c r="OYS72" s="684"/>
      <c r="OYT72" s="684"/>
      <c r="OYU72" s="684"/>
      <c r="OYV72" s="684"/>
      <c r="OYW72" s="684"/>
      <c r="OYX72" s="684"/>
      <c r="OYY72" s="684"/>
      <c r="OYZ72" s="684"/>
      <c r="OZA72" s="684"/>
      <c r="OZB72" s="684"/>
      <c r="OZC72" s="684"/>
      <c r="OZD72" s="684"/>
      <c r="OZE72" s="684"/>
      <c r="OZF72" s="684"/>
      <c r="OZG72" s="684"/>
      <c r="OZH72" s="684"/>
      <c r="OZI72" s="684"/>
      <c r="OZJ72" s="684"/>
      <c r="OZK72" s="684"/>
      <c r="OZL72" s="684"/>
      <c r="OZM72" s="684"/>
      <c r="OZN72" s="684"/>
      <c r="OZO72" s="684"/>
      <c r="OZP72" s="684"/>
      <c r="OZQ72" s="684"/>
      <c r="OZR72" s="684"/>
      <c r="OZS72" s="684"/>
      <c r="OZT72" s="684"/>
      <c r="OZU72" s="684"/>
      <c r="OZV72" s="684"/>
      <c r="OZW72" s="684"/>
      <c r="OZX72" s="684"/>
      <c r="OZY72" s="684"/>
      <c r="OZZ72" s="684"/>
      <c r="PAA72" s="684"/>
      <c r="PAB72" s="684"/>
      <c r="PAC72" s="684"/>
      <c r="PAD72" s="684"/>
      <c r="PAE72" s="684"/>
      <c r="PAF72" s="684"/>
      <c r="PAG72" s="684"/>
      <c r="PAH72" s="684"/>
      <c r="PAI72" s="684"/>
      <c r="PAJ72" s="684"/>
      <c r="PAK72" s="684"/>
      <c r="PAL72" s="684"/>
      <c r="PAM72" s="684"/>
      <c r="PAN72" s="684"/>
      <c r="PAO72" s="684"/>
      <c r="PAP72" s="684"/>
      <c r="PAQ72" s="684"/>
      <c r="PAR72" s="684"/>
      <c r="PAS72" s="684"/>
      <c r="PAT72" s="684"/>
      <c r="PAU72" s="684"/>
      <c r="PAV72" s="684"/>
      <c r="PAW72" s="684"/>
      <c r="PAX72" s="684"/>
      <c r="PAY72" s="684"/>
      <c r="PAZ72" s="684"/>
      <c r="PBA72" s="684"/>
      <c r="PBB72" s="684"/>
      <c r="PBC72" s="684"/>
      <c r="PBD72" s="684"/>
      <c r="PBE72" s="684"/>
      <c r="PBF72" s="684"/>
      <c r="PBG72" s="684"/>
      <c r="PBH72" s="684"/>
      <c r="PBI72" s="684"/>
      <c r="PBJ72" s="684"/>
      <c r="PBK72" s="684"/>
      <c r="PBL72" s="684"/>
      <c r="PBM72" s="684"/>
      <c r="PBN72" s="684"/>
      <c r="PBO72" s="684"/>
      <c r="PBP72" s="684"/>
      <c r="PBQ72" s="684"/>
      <c r="PBR72" s="684"/>
      <c r="PBS72" s="684"/>
      <c r="PBT72" s="684"/>
      <c r="PBU72" s="684"/>
      <c r="PBV72" s="684"/>
      <c r="PBW72" s="684"/>
      <c r="PBX72" s="684"/>
      <c r="PBY72" s="684"/>
      <c r="PBZ72" s="684"/>
      <c r="PCA72" s="684"/>
      <c r="PCB72" s="684"/>
      <c r="PCC72" s="684"/>
      <c r="PCD72" s="684"/>
      <c r="PCE72" s="684"/>
      <c r="PCF72" s="684"/>
      <c r="PCG72" s="684"/>
      <c r="PCH72" s="684"/>
      <c r="PCI72" s="684"/>
      <c r="PCJ72" s="684"/>
      <c r="PCK72" s="684"/>
      <c r="PCL72" s="684"/>
      <c r="PCM72" s="684"/>
      <c r="PCN72" s="684"/>
      <c r="PCO72" s="684"/>
      <c r="PCP72" s="684"/>
      <c r="PCQ72" s="684"/>
      <c r="PCR72" s="684"/>
      <c r="PCS72" s="684"/>
      <c r="PCT72" s="684"/>
      <c r="PCU72" s="684"/>
      <c r="PCV72" s="684"/>
      <c r="PCW72" s="684"/>
      <c r="PCX72" s="684"/>
      <c r="PCY72" s="684"/>
      <c r="PCZ72" s="684"/>
      <c r="PDA72" s="684"/>
      <c r="PDB72" s="684"/>
      <c r="PDC72" s="684"/>
      <c r="PDD72" s="684"/>
      <c r="PDE72" s="684"/>
      <c r="PDF72" s="684"/>
      <c r="PDG72" s="684"/>
      <c r="PDH72" s="684"/>
      <c r="PDI72" s="684"/>
      <c r="PDJ72" s="684"/>
      <c r="PDK72" s="684"/>
      <c r="PDL72" s="684"/>
      <c r="PDM72" s="684"/>
      <c r="PDN72" s="684"/>
      <c r="PDO72" s="684"/>
      <c r="PDP72" s="684"/>
      <c r="PDQ72" s="684"/>
      <c r="PDR72" s="684"/>
      <c r="PDS72" s="684"/>
      <c r="PDT72" s="684"/>
      <c r="PDU72" s="684"/>
      <c r="PDV72" s="684"/>
      <c r="PDW72" s="684"/>
      <c r="PDX72" s="684"/>
      <c r="PDY72" s="684"/>
      <c r="PDZ72" s="684"/>
      <c r="PEA72" s="684"/>
      <c r="PEB72" s="684"/>
      <c r="PEC72" s="684"/>
      <c r="PED72" s="684"/>
      <c r="PEE72" s="684"/>
      <c r="PEF72" s="684"/>
      <c r="PEG72" s="684"/>
      <c r="PEH72" s="684"/>
      <c r="PEI72" s="684"/>
      <c r="PEJ72" s="684"/>
      <c r="PEK72" s="684"/>
      <c r="PEL72" s="684"/>
      <c r="PEM72" s="684"/>
      <c r="PEN72" s="684"/>
      <c r="PEO72" s="684"/>
      <c r="PEP72" s="684"/>
      <c r="PEQ72" s="684"/>
      <c r="PER72" s="684"/>
      <c r="PES72" s="684"/>
      <c r="PET72" s="684"/>
      <c r="PEU72" s="684"/>
      <c r="PEV72" s="684"/>
      <c r="PEW72" s="684"/>
      <c r="PEX72" s="684"/>
      <c r="PEY72" s="684"/>
      <c r="PEZ72" s="684"/>
      <c r="PFA72" s="684"/>
      <c r="PFB72" s="684"/>
      <c r="PFC72" s="684"/>
      <c r="PFD72" s="684"/>
      <c r="PFE72" s="684"/>
      <c r="PFF72" s="684"/>
      <c r="PFG72" s="684"/>
      <c r="PFH72" s="684"/>
      <c r="PFI72" s="684"/>
      <c r="PFJ72" s="684"/>
      <c r="PFK72" s="684"/>
      <c r="PFL72" s="684"/>
      <c r="PFM72" s="684"/>
      <c r="PFN72" s="684"/>
      <c r="PFO72" s="684"/>
      <c r="PFP72" s="684"/>
      <c r="PFQ72" s="684"/>
      <c r="PFR72" s="684"/>
      <c r="PFS72" s="684"/>
      <c r="PFT72" s="684"/>
      <c r="PFU72" s="684"/>
      <c r="PFV72" s="684"/>
      <c r="PFW72" s="684"/>
      <c r="PFX72" s="684"/>
      <c r="PFY72" s="684"/>
      <c r="PFZ72" s="684"/>
      <c r="PGA72" s="684"/>
      <c r="PGB72" s="684"/>
      <c r="PGC72" s="684"/>
      <c r="PGD72" s="684"/>
      <c r="PGE72" s="684"/>
      <c r="PGF72" s="684"/>
      <c r="PGG72" s="684"/>
      <c r="PGH72" s="684"/>
      <c r="PGI72" s="684"/>
      <c r="PGJ72" s="684"/>
      <c r="PGK72" s="684"/>
      <c r="PGL72" s="684"/>
      <c r="PGM72" s="684"/>
      <c r="PGN72" s="684"/>
      <c r="PGO72" s="684"/>
      <c r="PGP72" s="684"/>
      <c r="PGQ72" s="684"/>
      <c r="PGR72" s="684"/>
      <c r="PGS72" s="684"/>
      <c r="PGT72" s="684"/>
      <c r="PGU72" s="684"/>
      <c r="PGV72" s="684"/>
      <c r="PGW72" s="684"/>
      <c r="PGX72" s="684"/>
      <c r="PGY72" s="684"/>
      <c r="PGZ72" s="684"/>
      <c r="PHA72" s="684"/>
      <c r="PHB72" s="684"/>
      <c r="PHC72" s="684"/>
      <c r="PHD72" s="684"/>
      <c r="PHE72" s="684"/>
      <c r="PHF72" s="684"/>
      <c r="PHG72" s="684"/>
      <c r="PHH72" s="684"/>
      <c r="PHI72" s="684"/>
      <c r="PHJ72" s="684"/>
      <c r="PHK72" s="684"/>
      <c r="PHL72" s="684"/>
      <c r="PHM72" s="684"/>
      <c r="PHN72" s="684"/>
      <c r="PHO72" s="684"/>
      <c r="PHP72" s="684"/>
      <c r="PHQ72" s="684"/>
      <c r="PHR72" s="684"/>
      <c r="PHS72" s="684"/>
      <c r="PHT72" s="684"/>
      <c r="PHU72" s="684"/>
      <c r="PHV72" s="684"/>
      <c r="PHW72" s="684"/>
      <c r="PHX72" s="684"/>
      <c r="PHY72" s="684"/>
      <c r="PHZ72" s="684"/>
      <c r="PIA72" s="684"/>
      <c r="PIB72" s="684"/>
      <c r="PIC72" s="684"/>
      <c r="PID72" s="684"/>
      <c r="PIE72" s="684"/>
      <c r="PIF72" s="684"/>
      <c r="PIG72" s="684"/>
      <c r="PIH72" s="684"/>
      <c r="PII72" s="684"/>
      <c r="PIJ72" s="684"/>
      <c r="PIK72" s="684"/>
      <c r="PIL72" s="684"/>
      <c r="PIM72" s="684"/>
      <c r="PIN72" s="684"/>
      <c r="PIO72" s="684"/>
      <c r="PIP72" s="684"/>
      <c r="PIQ72" s="684"/>
      <c r="PIR72" s="684"/>
      <c r="PIS72" s="684"/>
      <c r="PIT72" s="684"/>
      <c r="PIU72" s="684"/>
      <c r="PIV72" s="684"/>
      <c r="PIW72" s="684"/>
      <c r="PIX72" s="684"/>
      <c r="PIY72" s="684"/>
      <c r="PIZ72" s="684"/>
      <c r="PJA72" s="684"/>
      <c r="PJB72" s="684"/>
      <c r="PJC72" s="684"/>
      <c r="PJD72" s="684"/>
      <c r="PJE72" s="684"/>
      <c r="PJF72" s="684"/>
      <c r="PJG72" s="684"/>
      <c r="PJH72" s="684"/>
      <c r="PJI72" s="684"/>
      <c r="PJJ72" s="684"/>
      <c r="PJK72" s="684"/>
      <c r="PJL72" s="684"/>
      <c r="PJM72" s="684"/>
      <c r="PJN72" s="684"/>
      <c r="PJO72" s="684"/>
      <c r="PJP72" s="684"/>
      <c r="PJQ72" s="684"/>
      <c r="PJR72" s="684"/>
      <c r="PJS72" s="684"/>
      <c r="PJT72" s="684"/>
      <c r="PJU72" s="684"/>
      <c r="PJV72" s="684"/>
      <c r="PJW72" s="684"/>
      <c r="PJX72" s="684"/>
      <c r="PJY72" s="684"/>
      <c r="PJZ72" s="684"/>
      <c r="PKA72" s="684"/>
      <c r="PKB72" s="684"/>
      <c r="PKC72" s="684"/>
      <c r="PKD72" s="684"/>
      <c r="PKE72" s="684"/>
      <c r="PKF72" s="684"/>
      <c r="PKG72" s="684"/>
      <c r="PKH72" s="684"/>
      <c r="PKI72" s="684"/>
      <c r="PKJ72" s="684"/>
      <c r="PKK72" s="684"/>
      <c r="PKL72" s="684"/>
      <c r="PKM72" s="684"/>
      <c r="PKN72" s="684"/>
      <c r="PKO72" s="684"/>
      <c r="PKP72" s="684"/>
      <c r="PKQ72" s="684"/>
      <c r="PKR72" s="684"/>
      <c r="PKS72" s="684"/>
      <c r="PKT72" s="684"/>
      <c r="PKU72" s="684"/>
      <c r="PKV72" s="684"/>
      <c r="PKW72" s="684"/>
      <c r="PKX72" s="684"/>
      <c r="PKY72" s="684"/>
      <c r="PKZ72" s="684"/>
      <c r="PLA72" s="684"/>
      <c r="PLB72" s="684"/>
      <c r="PLC72" s="684"/>
      <c r="PLD72" s="684"/>
      <c r="PLE72" s="684"/>
      <c r="PLF72" s="684"/>
      <c r="PLG72" s="684"/>
      <c r="PLH72" s="684"/>
      <c r="PLI72" s="684"/>
      <c r="PLJ72" s="684"/>
      <c r="PLK72" s="684"/>
      <c r="PLL72" s="684"/>
      <c r="PLM72" s="684"/>
      <c r="PLN72" s="684"/>
      <c r="PLO72" s="684"/>
      <c r="PLP72" s="684"/>
      <c r="PLQ72" s="684"/>
      <c r="PLR72" s="684"/>
      <c r="PLS72" s="684"/>
      <c r="PLT72" s="684"/>
      <c r="PLU72" s="684"/>
      <c r="PLV72" s="684"/>
      <c r="PLW72" s="684"/>
      <c r="PLX72" s="684"/>
      <c r="PLY72" s="684"/>
      <c r="PLZ72" s="684"/>
      <c r="PMA72" s="684"/>
      <c r="PMB72" s="684"/>
      <c r="PMC72" s="684"/>
      <c r="PMD72" s="684"/>
      <c r="PME72" s="684"/>
      <c r="PMF72" s="684"/>
      <c r="PMG72" s="684"/>
      <c r="PMH72" s="684"/>
      <c r="PMI72" s="684"/>
      <c r="PMJ72" s="684"/>
      <c r="PMK72" s="684"/>
      <c r="PML72" s="684"/>
      <c r="PMM72" s="684"/>
      <c r="PMN72" s="684"/>
      <c r="PMO72" s="684"/>
      <c r="PMP72" s="684"/>
      <c r="PMQ72" s="684"/>
      <c r="PMR72" s="684"/>
      <c r="PMS72" s="684"/>
      <c r="PMT72" s="684"/>
      <c r="PMU72" s="684"/>
      <c r="PMV72" s="684"/>
      <c r="PMW72" s="684"/>
      <c r="PMX72" s="684"/>
      <c r="PMY72" s="684"/>
      <c r="PMZ72" s="684"/>
      <c r="PNA72" s="684"/>
      <c r="PNB72" s="684"/>
      <c r="PNC72" s="684"/>
      <c r="PND72" s="684"/>
      <c r="PNE72" s="684"/>
      <c r="PNF72" s="684"/>
      <c r="PNG72" s="684"/>
      <c r="PNH72" s="684"/>
      <c r="PNI72" s="684"/>
      <c r="PNJ72" s="684"/>
      <c r="PNK72" s="684"/>
      <c r="PNL72" s="684"/>
      <c r="PNM72" s="684"/>
      <c r="PNN72" s="684"/>
      <c r="PNO72" s="684"/>
      <c r="PNP72" s="684"/>
      <c r="PNQ72" s="684"/>
      <c r="PNR72" s="684"/>
      <c r="PNS72" s="684"/>
      <c r="PNT72" s="684"/>
      <c r="PNU72" s="684"/>
      <c r="PNV72" s="684"/>
      <c r="PNW72" s="684"/>
      <c r="PNX72" s="684"/>
      <c r="PNY72" s="684"/>
      <c r="PNZ72" s="684"/>
      <c r="POA72" s="684"/>
      <c r="POB72" s="684"/>
      <c r="POC72" s="684"/>
      <c r="POD72" s="684"/>
      <c r="POE72" s="684"/>
      <c r="POF72" s="684"/>
      <c r="POG72" s="684"/>
      <c r="POH72" s="684"/>
      <c r="POI72" s="684"/>
      <c r="POJ72" s="684"/>
      <c r="POK72" s="684"/>
      <c r="POL72" s="684"/>
      <c r="POM72" s="684"/>
      <c r="PON72" s="684"/>
      <c r="POO72" s="684"/>
      <c r="POP72" s="684"/>
      <c r="POQ72" s="684"/>
      <c r="POR72" s="684"/>
      <c r="POS72" s="684"/>
      <c r="POT72" s="684"/>
      <c r="POU72" s="684"/>
      <c r="POV72" s="684"/>
      <c r="POW72" s="684"/>
      <c r="POX72" s="684"/>
      <c r="POY72" s="684"/>
      <c r="POZ72" s="684"/>
      <c r="PPA72" s="684"/>
      <c r="PPB72" s="684"/>
      <c r="PPC72" s="684"/>
      <c r="PPD72" s="684"/>
      <c r="PPE72" s="684"/>
      <c r="PPF72" s="684"/>
      <c r="PPG72" s="684"/>
      <c r="PPH72" s="684"/>
      <c r="PPI72" s="684"/>
      <c r="PPJ72" s="684"/>
      <c r="PPK72" s="684"/>
      <c r="PPL72" s="684"/>
      <c r="PPM72" s="684"/>
      <c r="PPN72" s="684"/>
      <c r="PPO72" s="684"/>
      <c r="PPP72" s="684"/>
      <c r="PPQ72" s="684"/>
      <c r="PPR72" s="684"/>
      <c r="PPS72" s="684"/>
      <c r="PPT72" s="684"/>
      <c r="PPU72" s="684"/>
      <c r="PPV72" s="684"/>
      <c r="PPW72" s="684"/>
      <c r="PPX72" s="684"/>
      <c r="PPY72" s="684"/>
      <c r="PPZ72" s="684"/>
      <c r="PQA72" s="684"/>
      <c r="PQB72" s="684"/>
      <c r="PQC72" s="684"/>
      <c r="PQD72" s="684"/>
      <c r="PQE72" s="684"/>
      <c r="PQF72" s="684"/>
      <c r="PQG72" s="684"/>
      <c r="PQH72" s="684"/>
      <c r="PQI72" s="684"/>
      <c r="PQJ72" s="684"/>
      <c r="PQK72" s="684"/>
      <c r="PQL72" s="684"/>
      <c r="PQM72" s="684"/>
      <c r="PQN72" s="684"/>
      <c r="PQO72" s="684"/>
      <c r="PQP72" s="684"/>
      <c r="PQQ72" s="684"/>
      <c r="PQR72" s="684"/>
      <c r="PQS72" s="684"/>
      <c r="PQT72" s="684"/>
      <c r="PQU72" s="684"/>
      <c r="PQV72" s="684"/>
      <c r="PQW72" s="684"/>
      <c r="PQX72" s="684"/>
      <c r="PQY72" s="684"/>
      <c r="PQZ72" s="684"/>
      <c r="PRA72" s="684"/>
      <c r="PRB72" s="684"/>
      <c r="PRC72" s="684"/>
      <c r="PRD72" s="684"/>
      <c r="PRE72" s="684"/>
      <c r="PRF72" s="684"/>
      <c r="PRG72" s="684"/>
      <c r="PRH72" s="684"/>
      <c r="PRI72" s="684"/>
      <c r="PRJ72" s="684"/>
      <c r="PRK72" s="684"/>
      <c r="PRL72" s="684"/>
      <c r="PRM72" s="684"/>
      <c r="PRN72" s="684"/>
      <c r="PRO72" s="684"/>
      <c r="PRP72" s="684"/>
      <c r="PRQ72" s="684"/>
      <c r="PRR72" s="684"/>
      <c r="PRS72" s="684"/>
      <c r="PRT72" s="684"/>
      <c r="PRU72" s="684"/>
      <c r="PRV72" s="684"/>
      <c r="PRW72" s="684"/>
      <c r="PRX72" s="684"/>
      <c r="PRY72" s="684"/>
      <c r="PRZ72" s="684"/>
      <c r="PSA72" s="684"/>
      <c r="PSB72" s="684"/>
      <c r="PSC72" s="684"/>
      <c r="PSD72" s="684"/>
      <c r="PSE72" s="684"/>
      <c r="PSF72" s="684"/>
      <c r="PSG72" s="684"/>
      <c r="PSH72" s="684"/>
      <c r="PSI72" s="684"/>
      <c r="PSJ72" s="684"/>
      <c r="PSK72" s="684"/>
      <c r="PSL72" s="684"/>
      <c r="PSM72" s="684"/>
      <c r="PSN72" s="684"/>
      <c r="PSO72" s="684"/>
      <c r="PSP72" s="684"/>
      <c r="PSQ72" s="684"/>
      <c r="PSR72" s="684"/>
      <c r="PSS72" s="684"/>
      <c r="PST72" s="684"/>
      <c r="PSU72" s="684"/>
      <c r="PSV72" s="684"/>
      <c r="PSW72" s="684"/>
      <c r="PSX72" s="684"/>
      <c r="PSY72" s="684"/>
      <c r="PSZ72" s="684"/>
      <c r="PTA72" s="684"/>
      <c r="PTB72" s="684"/>
      <c r="PTC72" s="684"/>
      <c r="PTD72" s="684"/>
      <c r="PTE72" s="684"/>
      <c r="PTF72" s="684"/>
      <c r="PTG72" s="684"/>
      <c r="PTH72" s="684"/>
      <c r="PTI72" s="684"/>
      <c r="PTJ72" s="684"/>
      <c r="PTK72" s="684"/>
      <c r="PTL72" s="684"/>
      <c r="PTM72" s="684"/>
      <c r="PTN72" s="684"/>
      <c r="PTO72" s="684"/>
      <c r="PTP72" s="684"/>
      <c r="PTQ72" s="684"/>
      <c r="PTR72" s="684"/>
      <c r="PTS72" s="684"/>
      <c r="PTT72" s="684"/>
      <c r="PTU72" s="684"/>
      <c r="PTV72" s="684"/>
      <c r="PTW72" s="684"/>
      <c r="PTX72" s="684"/>
      <c r="PTY72" s="684"/>
      <c r="PTZ72" s="684"/>
      <c r="PUA72" s="684"/>
      <c r="PUB72" s="684"/>
      <c r="PUC72" s="684"/>
      <c r="PUD72" s="684"/>
      <c r="PUE72" s="684"/>
      <c r="PUF72" s="684"/>
      <c r="PUG72" s="684"/>
      <c r="PUH72" s="684"/>
      <c r="PUI72" s="684"/>
      <c r="PUJ72" s="684"/>
      <c r="PUK72" s="684"/>
      <c r="PUL72" s="684"/>
      <c r="PUM72" s="684"/>
      <c r="PUN72" s="684"/>
      <c r="PUO72" s="684"/>
      <c r="PUP72" s="684"/>
      <c r="PUQ72" s="684"/>
      <c r="PUR72" s="684"/>
      <c r="PUS72" s="684"/>
      <c r="PUT72" s="684"/>
      <c r="PUU72" s="684"/>
      <c r="PUV72" s="684"/>
      <c r="PUW72" s="684"/>
      <c r="PUX72" s="684"/>
      <c r="PUY72" s="684"/>
      <c r="PUZ72" s="684"/>
      <c r="PVA72" s="684"/>
      <c r="PVB72" s="684"/>
      <c r="PVC72" s="684"/>
      <c r="PVD72" s="684"/>
      <c r="PVE72" s="684"/>
      <c r="PVF72" s="684"/>
      <c r="PVG72" s="684"/>
      <c r="PVH72" s="684"/>
      <c r="PVI72" s="684"/>
      <c r="PVJ72" s="684"/>
      <c r="PVK72" s="684"/>
      <c r="PVL72" s="684"/>
      <c r="PVM72" s="684"/>
      <c r="PVN72" s="684"/>
      <c r="PVO72" s="684"/>
      <c r="PVP72" s="684"/>
      <c r="PVQ72" s="684"/>
      <c r="PVR72" s="684"/>
      <c r="PVS72" s="684"/>
      <c r="PVT72" s="684"/>
      <c r="PVU72" s="684"/>
      <c r="PVV72" s="684"/>
      <c r="PVW72" s="684"/>
      <c r="PVX72" s="684"/>
      <c r="PVY72" s="684"/>
      <c r="PVZ72" s="684"/>
      <c r="PWA72" s="684"/>
      <c r="PWB72" s="684"/>
      <c r="PWC72" s="684"/>
      <c r="PWD72" s="684"/>
      <c r="PWE72" s="684"/>
      <c r="PWF72" s="684"/>
      <c r="PWG72" s="684"/>
      <c r="PWH72" s="684"/>
      <c r="PWI72" s="684"/>
      <c r="PWJ72" s="684"/>
      <c r="PWK72" s="684"/>
      <c r="PWL72" s="684"/>
      <c r="PWM72" s="684"/>
      <c r="PWN72" s="684"/>
      <c r="PWO72" s="684"/>
      <c r="PWP72" s="684"/>
      <c r="PWQ72" s="684"/>
      <c r="PWR72" s="684"/>
      <c r="PWS72" s="684"/>
      <c r="PWT72" s="684"/>
      <c r="PWU72" s="684"/>
      <c r="PWV72" s="684"/>
      <c r="PWW72" s="684"/>
      <c r="PWX72" s="684"/>
      <c r="PWY72" s="684"/>
      <c r="PWZ72" s="684"/>
      <c r="PXA72" s="684"/>
      <c r="PXB72" s="684"/>
      <c r="PXC72" s="684"/>
      <c r="PXD72" s="684"/>
      <c r="PXE72" s="684"/>
      <c r="PXF72" s="684"/>
      <c r="PXG72" s="684"/>
      <c r="PXH72" s="684"/>
      <c r="PXI72" s="684"/>
      <c r="PXJ72" s="684"/>
      <c r="PXK72" s="684"/>
      <c r="PXL72" s="684"/>
      <c r="PXM72" s="684"/>
      <c r="PXN72" s="684"/>
      <c r="PXO72" s="684"/>
      <c r="PXP72" s="684"/>
      <c r="PXQ72" s="684"/>
      <c r="PXR72" s="684"/>
      <c r="PXS72" s="684"/>
      <c r="PXT72" s="684"/>
      <c r="PXU72" s="684"/>
      <c r="PXV72" s="684"/>
      <c r="PXW72" s="684"/>
      <c r="PXX72" s="684"/>
      <c r="PXY72" s="684"/>
      <c r="PXZ72" s="684"/>
      <c r="PYA72" s="684"/>
      <c r="PYB72" s="684"/>
      <c r="PYC72" s="684"/>
      <c r="PYD72" s="684"/>
      <c r="PYE72" s="684"/>
      <c r="PYF72" s="684"/>
      <c r="PYG72" s="684"/>
      <c r="PYH72" s="684"/>
      <c r="PYI72" s="684"/>
      <c r="PYJ72" s="684"/>
      <c r="PYK72" s="684"/>
      <c r="PYL72" s="684"/>
      <c r="PYM72" s="684"/>
      <c r="PYN72" s="684"/>
      <c r="PYO72" s="684"/>
      <c r="PYP72" s="684"/>
      <c r="PYQ72" s="684"/>
      <c r="PYR72" s="684"/>
      <c r="PYS72" s="684"/>
      <c r="PYT72" s="684"/>
      <c r="PYU72" s="684"/>
      <c r="PYV72" s="684"/>
      <c r="PYW72" s="684"/>
      <c r="PYX72" s="684"/>
      <c r="PYY72" s="684"/>
      <c r="PYZ72" s="684"/>
      <c r="PZA72" s="684"/>
      <c r="PZB72" s="684"/>
      <c r="PZC72" s="684"/>
      <c r="PZD72" s="684"/>
      <c r="PZE72" s="684"/>
      <c r="PZF72" s="684"/>
      <c r="PZG72" s="684"/>
      <c r="PZH72" s="684"/>
      <c r="PZI72" s="684"/>
      <c r="PZJ72" s="684"/>
      <c r="PZK72" s="684"/>
      <c r="PZL72" s="684"/>
      <c r="PZM72" s="684"/>
      <c r="PZN72" s="684"/>
      <c r="PZO72" s="684"/>
      <c r="PZP72" s="684"/>
      <c r="PZQ72" s="684"/>
      <c r="PZR72" s="684"/>
      <c r="PZS72" s="684"/>
      <c r="PZT72" s="684"/>
      <c r="PZU72" s="684"/>
      <c r="PZV72" s="684"/>
      <c r="PZW72" s="684"/>
      <c r="PZX72" s="684"/>
      <c r="PZY72" s="684"/>
      <c r="PZZ72" s="684"/>
      <c r="QAA72" s="684"/>
      <c r="QAB72" s="684"/>
      <c r="QAC72" s="684"/>
      <c r="QAD72" s="684"/>
      <c r="QAE72" s="684"/>
      <c r="QAF72" s="684"/>
      <c r="QAG72" s="684"/>
      <c r="QAH72" s="684"/>
      <c r="QAI72" s="684"/>
      <c r="QAJ72" s="684"/>
      <c r="QAK72" s="684"/>
      <c r="QAL72" s="684"/>
      <c r="QAM72" s="684"/>
      <c r="QAN72" s="684"/>
      <c r="QAO72" s="684"/>
      <c r="QAP72" s="684"/>
      <c r="QAQ72" s="684"/>
      <c r="QAR72" s="684"/>
      <c r="QAS72" s="684"/>
      <c r="QAT72" s="684"/>
      <c r="QAU72" s="684"/>
      <c r="QAV72" s="684"/>
      <c r="QAW72" s="684"/>
      <c r="QAX72" s="684"/>
      <c r="QAY72" s="684"/>
      <c r="QAZ72" s="684"/>
      <c r="QBA72" s="684"/>
      <c r="QBB72" s="684"/>
      <c r="QBC72" s="684"/>
      <c r="QBD72" s="684"/>
      <c r="QBE72" s="684"/>
      <c r="QBF72" s="684"/>
      <c r="QBG72" s="684"/>
      <c r="QBH72" s="684"/>
      <c r="QBI72" s="684"/>
      <c r="QBJ72" s="684"/>
      <c r="QBK72" s="684"/>
      <c r="QBL72" s="684"/>
      <c r="QBM72" s="684"/>
      <c r="QBN72" s="684"/>
      <c r="QBO72" s="684"/>
      <c r="QBP72" s="684"/>
      <c r="QBQ72" s="684"/>
      <c r="QBR72" s="684"/>
      <c r="QBS72" s="684"/>
      <c r="QBT72" s="684"/>
      <c r="QBU72" s="684"/>
      <c r="QBV72" s="684"/>
      <c r="QBW72" s="684"/>
      <c r="QBX72" s="684"/>
      <c r="QBY72" s="684"/>
      <c r="QBZ72" s="684"/>
      <c r="QCA72" s="684"/>
      <c r="QCB72" s="684"/>
      <c r="QCC72" s="684"/>
      <c r="QCD72" s="684"/>
      <c r="QCE72" s="684"/>
      <c r="QCF72" s="684"/>
      <c r="QCG72" s="684"/>
      <c r="QCH72" s="684"/>
      <c r="QCI72" s="684"/>
      <c r="QCJ72" s="684"/>
      <c r="QCK72" s="684"/>
      <c r="QCL72" s="684"/>
      <c r="QCM72" s="684"/>
      <c r="QCN72" s="684"/>
      <c r="QCO72" s="684"/>
      <c r="QCP72" s="684"/>
      <c r="QCQ72" s="684"/>
      <c r="QCR72" s="684"/>
      <c r="QCS72" s="684"/>
      <c r="QCT72" s="684"/>
      <c r="QCU72" s="684"/>
      <c r="QCV72" s="684"/>
      <c r="QCW72" s="684"/>
      <c r="QCX72" s="684"/>
      <c r="QCY72" s="684"/>
      <c r="QCZ72" s="684"/>
      <c r="QDA72" s="684"/>
      <c r="QDB72" s="684"/>
      <c r="QDC72" s="684"/>
      <c r="QDD72" s="684"/>
      <c r="QDE72" s="684"/>
      <c r="QDF72" s="684"/>
      <c r="QDG72" s="684"/>
      <c r="QDH72" s="684"/>
      <c r="QDI72" s="684"/>
      <c r="QDJ72" s="684"/>
      <c r="QDK72" s="684"/>
      <c r="QDL72" s="684"/>
      <c r="QDM72" s="684"/>
      <c r="QDN72" s="684"/>
      <c r="QDO72" s="684"/>
      <c r="QDP72" s="684"/>
      <c r="QDQ72" s="684"/>
      <c r="QDR72" s="684"/>
      <c r="QDS72" s="684"/>
      <c r="QDT72" s="684"/>
      <c r="QDU72" s="684"/>
      <c r="QDV72" s="684"/>
      <c r="QDW72" s="684"/>
      <c r="QDX72" s="684"/>
      <c r="QDY72" s="684"/>
      <c r="QDZ72" s="684"/>
      <c r="QEA72" s="684"/>
      <c r="QEB72" s="684"/>
      <c r="QEC72" s="684"/>
      <c r="QED72" s="684"/>
      <c r="QEE72" s="684"/>
      <c r="QEF72" s="684"/>
      <c r="QEG72" s="684"/>
      <c r="QEH72" s="684"/>
      <c r="QEI72" s="684"/>
      <c r="QEJ72" s="684"/>
      <c r="QEK72" s="684"/>
      <c r="QEL72" s="684"/>
      <c r="QEM72" s="684"/>
      <c r="QEN72" s="684"/>
      <c r="QEO72" s="684"/>
      <c r="QEP72" s="684"/>
      <c r="QEQ72" s="684"/>
      <c r="QER72" s="684"/>
      <c r="QES72" s="684"/>
      <c r="QET72" s="684"/>
      <c r="QEU72" s="684"/>
      <c r="QEV72" s="684"/>
      <c r="QEW72" s="684"/>
      <c r="QEX72" s="684"/>
      <c r="QEY72" s="684"/>
      <c r="QEZ72" s="684"/>
      <c r="QFA72" s="684"/>
      <c r="QFB72" s="684"/>
      <c r="QFC72" s="684"/>
      <c r="QFD72" s="684"/>
      <c r="QFE72" s="684"/>
      <c r="QFF72" s="684"/>
      <c r="QFG72" s="684"/>
      <c r="QFH72" s="684"/>
      <c r="QFI72" s="684"/>
      <c r="QFJ72" s="684"/>
      <c r="QFK72" s="684"/>
      <c r="QFL72" s="684"/>
      <c r="QFM72" s="684"/>
      <c r="QFN72" s="684"/>
      <c r="QFO72" s="684"/>
      <c r="QFP72" s="684"/>
      <c r="QFQ72" s="684"/>
      <c r="QFR72" s="684"/>
      <c r="QFS72" s="684"/>
      <c r="QFT72" s="684"/>
      <c r="QFU72" s="684"/>
      <c r="QFV72" s="684"/>
      <c r="QFW72" s="684"/>
      <c r="QFX72" s="684"/>
      <c r="QFY72" s="684"/>
      <c r="QFZ72" s="684"/>
      <c r="QGA72" s="684"/>
      <c r="QGB72" s="684"/>
      <c r="QGC72" s="684"/>
      <c r="QGD72" s="684"/>
      <c r="QGE72" s="684"/>
      <c r="QGF72" s="684"/>
      <c r="QGG72" s="684"/>
      <c r="QGH72" s="684"/>
      <c r="QGI72" s="684"/>
      <c r="QGJ72" s="684"/>
      <c r="QGK72" s="684"/>
      <c r="QGL72" s="684"/>
      <c r="QGM72" s="684"/>
      <c r="QGN72" s="684"/>
      <c r="QGO72" s="684"/>
      <c r="QGP72" s="684"/>
      <c r="QGQ72" s="684"/>
      <c r="QGR72" s="684"/>
      <c r="QGS72" s="684"/>
      <c r="QGT72" s="684"/>
      <c r="QGU72" s="684"/>
      <c r="QGV72" s="684"/>
      <c r="QGW72" s="684"/>
      <c r="QGX72" s="684"/>
      <c r="QGY72" s="684"/>
      <c r="QGZ72" s="684"/>
      <c r="QHA72" s="684"/>
      <c r="QHB72" s="684"/>
      <c r="QHC72" s="684"/>
      <c r="QHD72" s="684"/>
      <c r="QHE72" s="684"/>
      <c r="QHF72" s="684"/>
      <c r="QHG72" s="684"/>
      <c r="QHH72" s="684"/>
      <c r="QHI72" s="684"/>
      <c r="QHJ72" s="684"/>
      <c r="QHK72" s="684"/>
      <c r="QHL72" s="684"/>
      <c r="QHM72" s="684"/>
      <c r="QHN72" s="684"/>
      <c r="QHO72" s="684"/>
      <c r="QHP72" s="684"/>
      <c r="QHQ72" s="684"/>
      <c r="QHR72" s="684"/>
      <c r="QHS72" s="684"/>
      <c r="QHT72" s="684"/>
      <c r="QHU72" s="684"/>
      <c r="QHV72" s="684"/>
      <c r="QHW72" s="684"/>
      <c r="QHX72" s="684"/>
      <c r="QHY72" s="684"/>
      <c r="QHZ72" s="684"/>
      <c r="QIA72" s="684"/>
      <c r="QIB72" s="684"/>
      <c r="QIC72" s="684"/>
      <c r="QID72" s="684"/>
      <c r="QIE72" s="684"/>
      <c r="QIF72" s="684"/>
      <c r="QIG72" s="684"/>
      <c r="QIH72" s="684"/>
      <c r="QII72" s="684"/>
      <c r="QIJ72" s="684"/>
      <c r="QIK72" s="684"/>
      <c r="QIL72" s="684"/>
      <c r="QIM72" s="684"/>
      <c r="QIN72" s="684"/>
      <c r="QIO72" s="684"/>
      <c r="QIP72" s="684"/>
      <c r="QIQ72" s="684"/>
      <c r="QIR72" s="684"/>
      <c r="QIS72" s="684"/>
      <c r="QIT72" s="684"/>
      <c r="QIU72" s="684"/>
      <c r="QIV72" s="684"/>
      <c r="QIW72" s="684"/>
      <c r="QIX72" s="684"/>
      <c r="QIY72" s="684"/>
      <c r="QIZ72" s="684"/>
      <c r="QJA72" s="684"/>
      <c r="QJB72" s="684"/>
      <c r="QJC72" s="684"/>
      <c r="QJD72" s="684"/>
      <c r="QJE72" s="684"/>
      <c r="QJF72" s="684"/>
      <c r="QJG72" s="684"/>
      <c r="QJH72" s="684"/>
      <c r="QJI72" s="684"/>
      <c r="QJJ72" s="684"/>
      <c r="QJK72" s="684"/>
      <c r="QJL72" s="684"/>
      <c r="QJM72" s="684"/>
      <c r="QJN72" s="684"/>
      <c r="QJO72" s="684"/>
      <c r="QJP72" s="684"/>
      <c r="QJQ72" s="684"/>
      <c r="QJR72" s="684"/>
      <c r="QJS72" s="684"/>
      <c r="QJT72" s="684"/>
      <c r="QJU72" s="684"/>
      <c r="QJV72" s="684"/>
      <c r="QJW72" s="684"/>
      <c r="QJX72" s="684"/>
      <c r="QJY72" s="684"/>
      <c r="QJZ72" s="684"/>
      <c r="QKA72" s="684"/>
      <c r="QKB72" s="684"/>
      <c r="QKC72" s="684"/>
      <c r="QKD72" s="684"/>
      <c r="QKE72" s="684"/>
      <c r="QKF72" s="684"/>
      <c r="QKG72" s="684"/>
      <c r="QKH72" s="684"/>
      <c r="QKI72" s="684"/>
      <c r="QKJ72" s="684"/>
      <c r="QKK72" s="684"/>
      <c r="QKL72" s="684"/>
      <c r="QKM72" s="684"/>
      <c r="QKN72" s="684"/>
      <c r="QKO72" s="684"/>
      <c r="QKP72" s="684"/>
      <c r="QKQ72" s="684"/>
      <c r="QKR72" s="684"/>
      <c r="QKS72" s="684"/>
      <c r="QKT72" s="684"/>
      <c r="QKU72" s="684"/>
      <c r="QKV72" s="684"/>
      <c r="QKW72" s="684"/>
      <c r="QKX72" s="684"/>
      <c r="QKY72" s="684"/>
      <c r="QKZ72" s="684"/>
      <c r="QLA72" s="684"/>
      <c r="QLB72" s="684"/>
      <c r="QLC72" s="684"/>
      <c r="QLD72" s="684"/>
      <c r="QLE72" s="684"/>
      <c r="QLF72" s="684"/>
      <c r="QLG72" s="684"/>
      <c r="QLH72" s="684"/>
      <c r="QLI72" s="684"/>
      <c r="QLJ72" s="684"/>
      <c r="QLK72" s="684"/>
      <c r="QLL72" s="684"/>
      <c r="QLM72" s="684"/>
      <c r="QLN72" s="684"/>
      <c r="QLO72" s="684"/>
      <c r="QLP72" s="684"/>
      <c r="QLQ72" s="684"/>
      <c r="QLR72" s="684"/>
      <c r="QLS72" s="684"/>
      <c r="QLT72" s="684"/>
      <c r="QLU72" s="684"/>
      <c r="QLV72" s="684"/>
      <c r="QLW72" s="684"/>
      <c r="QLX72" s="684"/>
      <c r="QLY72" s="684"/>
      <c r="QLZ72" s="684"/>
      <c r="QMA72" s="684"/>
      <c r="QMB72" s="684"/>
      <c r="QMC72" s="684"/>
      <c r="QMD72" s="684"/>
      <c r="QME72" s="684"/>
      <c r="QMF72" s="684"/>
      <c r="QMG72" s="684"/>
      <c r="QMH72" s="684"/>
      <c r="QMI72" s="684"/>
      <c r="QMJ72" s="684"/>
      <c r="QMK72" s="684"/>
      <c r="QML72" s="684"/>
      <c r="QMM72" s="684"/>
      <c r="QMN72" s="684"/>
      <c r="QMO72" s="684"/>
      <c r="QMP72" s="684"/>
      <c r="QMQ72" s="684"/>
      <c r="QMR72" s="684"/>
      <c r="QMS72" s="684"/>
      <c r="QMT72" s="684"/>
      <c r="QMU72" s="684"/>
      <c r="QMV72" s="684"/>
      <c r="QMW72" s="684"/>
      <c r="QMX72" s="684"/>
      <c r="QMY72" s="684"/>
      <c r="QMZ72" s="684"/>
      <c r="QNA72" s="684"/>
      <c r="QNB72" s="684"/>
      <c r="QNC72" s="684"/>
      <c r="QND72" s="684"/>
      <c r="QNE72" s="684"/>
      <c r="QNF72" s="684"/>
      <c r="QNG72" s="684"/>
      <c r="QNH72" s="684"/>
      <c r="QNI72" s="684"/>
      <c r="QNJ72" s="684"/>
      <c r="QNK72" s="684"/>
      <c r="QNL72" s="684"/>
      <c r="QNM72" s="684"/>
      <c r="QNN72" s="684"/>
      <c r="QNO72" s="684"/>
      <c r="QNP72" s="684"/>
      <c r="QNQ72" s="684"/>
      <c r="QNR72" s="684"/>
      <c r="QNS72" s="684"/>
      <c r="QNT72" s="684"/>
      <c r="QNU72" s="684"/>
      <c r="QNV72" s="684"/>
      <c r="QNW72" s="684"/>
      <c r="QNX72" s="684"/>
      <c r="QNY72" s="684"/>
      <c r="QNZ72" s="684"/>
      <c r="QOA72" s="684"/>
      <c r="QOB72" s="684"/>
      <c r="QOC72" s="684"/>
      <c r="QOD72" s="684"/>
      <c r="QOE72" s="684"/>
      <c r="QOF72" s="684"/>
      <c r="QOG72" s="684"/>
      <c r="QOH72" s="684"/>
      <c r="QOI72" s="684"/>
      <c r="QOJ72" s="684"/>
      <c r="QOK72" s="684"/>
      <c r="QOL72" s="684"/>
      <c r="QOM72" s="684"/>
      <c r="QON72" s="684"/>
      <c r="QOO72" s="684"/>
      <c r="QOP72" s="684"/>
      <c r="QOQ72" s="684"/>
      <c r="QOR72" s="684"/>
      <c r="QOS72" s="684"/>
      <c r="QOT72" s="684"/>
      <c r="QOU72" s="684"/>
      <c r="QOV72" s="684"/>
      <c r="QOW72" s="684"/>
      <c r="QOX72" s="684"/>
      <c r="QOY72" s="684"/>
      <c r="QOZ72" s="684"/>
      <c r="QPA72" s="684"/>
      <c r="QPB72" s="684"/>
      <c r="QPC72" s="684"/>
      <c r="QPD72" s="684"/>
      <c r="QPE72" s="684"/>
      <c r="QPF72" s="684"/>
      <c r="QPG72" s="684"/>
      <c r="QPH72" s="684"/>
      <c r="QPI72" s="684"/>
      <c r="QPJ72" s="684"/>
      <c r="QPK72" s="684"/>
      <c r="QPL72" s="684"/>
      <c r="QPM72" s="684"/>
      <c r="QPN72" s="684"/>
      <c r="QPO72" s="684"/>
      <c r="QPP72" s="684"/>
      <c r="QPQ72" s="684"/>
      <c r="QPR72" s="684"/>
      <c r="QPS72" s="684"/>
      <c r="QPT72" s="684"/>
      <c r="QPU72" s="684"/>
      <c r="QPV72" s="684"/>
      <c r="QPW72" s="684"/>
      <c r="QPX72" s="684"/>
      <c r="QPY72" s="684"/>
      <c r="QPZ72" s="684"/>
      <c r="QQA72" s="684"/>
      <c r="QQB72" s="684"/>
      <c r="QQC72" s="684"/>
      <c r="QQD72" s="684"/>
      <c r="QQE72" s="684"/>
      <c r="QQF72" s="684"/>
      <c r="QQG72" s="684"/>
      <c r="QQH72" s="684"/>
      <c r="QQI72" s="684"/>
      <c r="QQJ72" s="684"/>
      <c r="QQK72" s="684"/>
      <c r="QQL72" s="684"/>
      <c r="QQM72" s="684"/>
      <c r="QQN72" s="684"/>
      <c r="QQO72" s="684"/>
      <c r="QQP72" s="684"/>
      <c r="QQQ72" s="684"/>
      <c r="QQR72" s="684"/>
      <c r="QQS72" s="684"/>
      <c r="QQT72" s="684"/>
      <c r="QQU72" s="684"/>
      <c r="QQV72" s="684"/>
      <c r="QQW72" s="684"/>
      <c r="QQX72" s="684"/>
      <c r="QQY72" s="684"/>
      <c r="QQZ72" s="684"/>
      <c r="QRA72" s="684"/>
      <c r="QRB72" s="684"/>
      <c r="QRC72" s="684"/>
      <c r="QRD72" s="684"/>
      <c r="QRE72" s="684"/>
      <c r="QRF72" s="684"/>
      <c r="QRG72" s="684"/>
      <c r="QRH72" s="684"/>
      <c r="QRI72" s="684"/>
      <c r="QRJ72" s="684"/>
      <c r="QRK72" s="684"/>
      <c r="QRL72" s="684"/>
      <c r="QRM72" s="684"/>
      <c r="QRN72" s="684"/>
      <c r="QRO72" s="684"/>
      <c r="QRP72" s="684"/>
      <c r="QRQ72" s="684"/>
      <c r="QRR72" s="684"/>
      <c r="QRS72" s="684"/>
      <c r="QRT72" s="684"/>
      <c r="QRU72" s="684"/>
      <c r="QRV72" s="684"/>
      <c r="QRW72" s="684"/>
      <c r="QRX72" s="684"/>
      <c r="QRY72" s="684"/>
      <c r="QRZ72" s="684"/>
      <c r="QSA72" s="684"/>
      <c r="QSB72" s="684"/>
      <c r="QSC72" s="684"/>
      <c r="QSD72" s="684"/>
      <c r="QSE72" s="684"/>
      <c r="QSF72" s="684"/>
      <c r="QSG72" s="684"/>
      <c r="QSH72" s="684"/>
      <c r="QSI72" s="684"/>
      <c r="QSJ72" s="684"/>
      <c r="QSK72" s="684"/>
      <c r="QSL72" s="684"/>
      <c r="QSM72" s="684"/>
      <c r="QSN72" s="684"/>
      <c r="QSO72" s="684"/>
      <c r="QSP72" s="684"/>
      <c r="QSQ72" s="684"/>
      <c r="QSR72" s="684"/>
      <c r="QSS72" s="684"/>
      <c r="QST72" s="684"/>
      <c r="QSU72" s="684"/>
      <c r="QSV72" s="684"/>
      <c r="QSW72" s="684"/>
      <c r="QSX72" s="684"/>
      <c r="QSY72" s="684"/>
      <c r="QSZ72" s="684"/>
      <c r="QTA72" s="684"/>
      <c r="QTB72" s="684"/>
      <c r="QTC72" s="684"/>
      <c r="QTD72" s="684"/>
      <c r="QTE72" s="684"/>
      <c r="QTF72" s="684"/>
      <c r="QTG72" s="684"/>
      <c r="QTH72" s="684"/>
      <c r="QTI72" s="684"/>
      <c r="QTJ72" s="684"/>
      <c r="QTK72" s="684"/>
      <c r="QTL72" s="684"/>
      <c r="QTM72" s="684"/>
      <c r="QTN72" s="684"/>
      <c r="QTO72" s="684"/>
      <c r="QTP72" s="684"/>
      <c r="QTQ72" s="684"/>
      <c r="QTR72" s="684"/>
      <c r="QTS72" s="684"/>
      <c r="QTT72" s="684"/>
      <c r="QTU72" s="684"/>
      <c r="QTV72" s="684"/>
      <c r="QTW72" s="684"/>
      <c r="QTX72" s="684"/>
      <c r="QTY72" s="684"/>
      <c r="QTZ72" s="684"/>
      <c r="QUA72" s="684"/>
      <c r="QUB72" s="684"/>
      <c r="QUC72" s="684"/>
      <c r="QUD72" s="684"/>
      <c r="QUE72" s="684"/>
      <c r="QUF72" s="684"/>
      <c r="QUG72" s="684"/>
      <c r="QUH72" s="684"/>
      <c r="QUI72" s="684"/>
      <c r="QUJ72" s="684"/>
      <c r="QUK72" s="684"/>
      <c r="QUL72" s="684"/>
      <c r="QUM72" s="684"/>
      <c r="QUN72" s="684"/>
      <c r="QUO72" s="684"/>
      <c r="QUP72" s="684"/>
      <c r="QUQ72" s="684"/>
      <c r="QUR72" s="684"/>
      <c r="QUS72" s="684"/>
      <c r="QUT72" s="684"/>
      <c r="QUU72" s="684"/>
      <c r="QUV72" s="684"/>
      <c r="QUW72" s="684"/>
      <c r="QUX72" s="684"/>
      <c r="QUY72" s="684"/>
      <c r="QUZ72" s="684"/>
      <c r="QVA72" s="684"/>
      <c r="QVB72" s="684"/>
      <c r="QVC72" s="684"/>
      <c r="QVD72" s="684"/>
      <c r="QVE72" s="684"/>
      <c r="QVF72" s="684"/>
      <c r="QVG72" s="684"/>
      <c r="QVH72" s="684"/>
      <c r="QVI72" s="684"/>
      <c r="QVJ72" s="684"/>
      <c r="QVK72" s="684"/>
      <c r="QVL72" s="684"/>
      <c r="QVM72" s="684"/>
      <c r="QVN72" s="684"/>
      <c r="QVO72" s="684"/>
      <c r="QVP72" s="684"/>
      <c r="QVQ72" s="684"/>
      <c r="QVR72" s="684"/>
      <c r="QVS72" s="684"/>
      <c r="QVT72" s="684"/>
      <c r="QVU72" s="684"/>
      <c r="QVV72" s="684"/>
      <c r="QVW72" s="684"/>
      <c r="QVX72" s="684"/>
      <c r="QVY72" s="684"/>
      <c r="QVZ72" s="684"/>
      <c r="QWA72" s="684"/>
      <c r="QWB72" s="684"/>
      <c r="QWC72" s="684"/>
      <c r="QWD72" s="684"/>
      <c r="QWE72" s="684"/>
      <c r="QWF72" s="684"/>
      <c r="QWG72" s="684"/>
      <c r="QWH72" s="684"/>
      <c r="QWI72" s="684"/>
      <c r="QWJ72" s="684"/>
      <c r="QWK72" s="684"/>
      <c r="QWL72" s="684"/>
      <c r="QWM72" s="684"/>
      <c r="QWN72" s="684"/>
      <c r="QWO72" s="684"/>
      <c r="QWP72" s="684"/>
      <c r="QWQ72" s="684"/>
      <c r="QWR72" s="684"/>
      <c r="QWS72" s="684"/>
      <c r="QWT72" s="684"/>
      <c r="QWU72" s="684"/>
      <c r="QWV72" s="684"/>
      <c r="QWW72" s="684"/>
      <c r="QWX72" s="684"/>
      <c r="QWY72" s="684"/>
      <c r="QWZ72" s="684"/>
      <c r="QXA72" s="684"/>
      <c r="QXB72" s="684"/>
      <c r="QXC72" s="684"/>
      <c r="QXD72" s="684"/>
      <c r="QXE72" s="684"/>
      <c r="QXF72" s="684"/>
      <c r="QXG72" s="684"/>
      <c r="QXH72" s="684"/>
      <c r="QXI72" s="684"/>
      <c r="QXJ72" s="684"/>
      <c r="QXK72" s="684"/>
      <c r="QXL72" s="684"/>
      <c r="QXM72" s="684"/>
      <c r="QXN72" s="684"/>
      <c r="QXO72" s="684"/>
      <c r="QXP72" s="684"/>
      <c r="QXQ72" s="684"/>
      <c r="QXR72" s="684"/>
      <c r="QXS72" s="684"/>
      <c r="QXT72" s="684"/>
      <c r="QXU72" s="684"/>
      <c r="QXV72" s="684"/>
      <c r="QXW72" s="684"/>
      <c r="QXX72" s="684"/>
      <c r="QXY72" s="684"/>
      <c r="QXZ72" s="684"/>
      <c r="QYA72" s="684"/>
      <c r="QYB72" s="684"/>
      <c r="QYC72" s="684"/>
      <c r="QYD72" s="684"/>
      <c r="QYE72" s="684"/>
      <c r="QYF72" s="684"/>
      <c r="QYG72" s="684"/>
      <c r="QYH72" s="684"/>
      <c r="QYI72" s="684"/>
      <c r="QYJ72" s="684"/>
      <c r="QYK72" s="684"/>
      <c r="QYL72" s="684"/>
      <c r="QYM72" s="684"/>
      <c r="QYN72" s="684"/>
      <c r="QYO72" s="684"/>
      <c r="QYP72" s="684"/>
      <c r="QYQ72" s="684"/>
      <c r="QYR72" s="684"/>
      <c r="QYS72" s="684"/>
      <c r="QYT72" s="684"/>
      <c r="QYU72" s="684"/>
      <c r="QYV72" s="684"/>
      <c r="QYW72" s="684"/>
      <c r="QYX72" s="684"/>
      <c r="QYY72" s="684"/>
      <c r="QYZ72" s="684"/>
      <c r="QZA72" s="684"/>
      <c r="QZB72" s="684"/>
      <c r="QZC72" s="684"/>
      <c r="QZD72" s="684"/>
      <c r="QZE72" s="684"/>
      <c r="QZF72" s="684"/>
      <c r="QZG72" s="684"/>
      <c r="QZH72" s="684"/>
      <c r="QZI72" s="684"/>
      <c r="QZJ72" s="684"/>
      <c r="QZK72" s="684"/>
      <c r="QZL72" s="684"/>
      <c r="QZM72" s="684"/>
      <c r="QZN72" s="684"/>
      <c r="QZO72" s="684"/>
      <c r="QZP72" s="684"/>
      <c r="QZQ72" s="684"/>
      <c r="QZR72" s="684"/>
      <c r="QZS72" s="684"/>
      <c r="QZT72" s="684"/>
      <c r="QZU72" s="684"/>
      <c r="QZV72" s="684"/>
      <c r="QZW72" s="684"/>
      <c r="QZX72" s="684"/>
      <c r="QZY72" s="684"/>
      <c r="QZZ72" s="684"/>
      <c r="RAA72" s="684"/>
      <c r="RAB72" s="684"/>
      <c r="RAC72" s="684"/>
      <c r="RAD72" s="684"/>
      <c r="RAE72" s="684"/>
      <c r="RAF72" s="684"/>
      <c r="RAG72" s="684"/>
      <c r="RAH72" s="684"/>
      <c r="RAI72" s="684"/>
      <c r="RAJ72" s="684"/>
      <c r="RAK72" s="684"/>
      <c r="RAL72" s="684"/>
      <c r="RAM72" s="684"/>
      <c r="RAN72" s="684"/>
      <c r="RAO72" s="684"/>
      <c r="RAP72" s="684"/>
      <c r="RAQ72" s="684"/>
      <c r="RAR72" s="684"/>
      <c r="RAS72" s="684"/>
      <c r="RAT72" s="684"/>
      <c r="RAU72" s="684"/>
      <c r="RAV72" s="684"/>
      <c r="RAW72" s="684"/>
      <c r="RAX72" s="684"/>
      <c r="RAY72" s="684"/>
      <c r="RAZ72" s="684"/>
      <c r="RBA72" s="684"/>
      <c r="RBB72" s="684"/>
      <c r="RBC72" s="684"/>
      <c r="RBD72" s="684"/>
      <c r="RBE72" s="684"/>
      <c r="RBF72" s="684"/>
      <c r="RBG72" s="684"/>
      <c r="RBH72" s="684"/>
      <c r="RBI72" s="684"/>
      <c r="RBJ72" s="684"/>
      <c r="RBK72" s="684"/>
      <c r="RBL72" s="684"/>
      <c r="RBM72" s="684"/>
      <c r="RBN72" s="684"/>
      <c r="RBO72" s="684"/>
      <c r="RBP72" s="684"/>
      <c r="RBQ72" s="684"/>
      <c r="RBR72" s="684"/>
      <c r="RBS72" s="684"/>
      <c r="RBT72" s="684"/>
      <c r="RBU72" s="684"/>
      <c r="RBV72" s="684"/>
      <c r="RBW72" s="684"/>
      <c r="RBX72" s="684"/>
      <c r="RBY72" s="684"/>
      <c r="RBZ72" s="684"/>
      <c r="RCA72" s="684"/>
      <c r="RCB72" s="684"/>
      <c r="RCC72" s="684"/>
      <c r="RCD72" s="684"/>
      <c r="RCE72" s="684"/>
      <c r="RCF72" s="684"/>
      <c r="RCG72" s="684"/>
      <c r="RCH72" s="684"/>
      <c r="RCI72" s="684"/>
      <c r="RCJ72" s="684"/>
      <c r="RCK72" s="684"/>
      <c r="RCL72" s="684"/>
      <c r="RCM72" s="684"/>
      <c r="RCN72" s="684"/>
      <c r="RCO72" s="684"/>
      <c r="RCP72" s="684"/>
      <c r="RCQ72" s="684"/>
      <c r="RCR72" s="684"/>
      <c r="RCS72" s="684"/>
      <c r="RCT72" s="684"/>
      <c r="RCU72" s="684"/>
      <c r="RCV72" s="684"/>
      <c r="RCW72" s="684"/>
      <c r="RCX72" s="684"/>
      <c r="RCY72" s="684"/>
      <c r="RCZ72" s="684"/>
      <c r="RDA72" s="684"/>
      <c r="RDB72" s="684"/>
      <c r="RDC72" s="684"/>
      <c r="RDD72" s="684"/>
      <c r="RDE72" s="684"/>
      <c r="RDF72" s="684"/>
      <c r="RDG72" s="684"/>
      <c r="RDH72" s="684"/>
      <c r="RDI72" s="684"/>
      <c r="RDJ72" s="684"/>
      <c r="RDK72" s="684"/>
      <c r="RDL72" s="684"/>
      <c r="RDM72" s="684"/>
      <c r="RDN72" s="684"/>
      <c r="RDO72" s="684"/>
      <c r="RDP72" s="684"/>
      <c r="RDQ72" s="684"/>
      <c r="RDR72" s="684"/>
      <c r="RDS72" s="684"/>
      <c r="RDT72" s="684"/>
      <c r="RDU72" s="684"/>
      <c r="RDV72" s="684"/>
      <c r="RDW72" s="684"/>
      <c r="RDX72" s="684"/>
      <c r="RDY72" s="684"/>
      <c r="RDZ72" s="684"/>
      <c r="REA72" s="684"/>
      <c r="REB72" s="684"/>
      <c r="REC72" s="684"/>
      <c r="RED72" s="684"/>
      <c r="REE72" s="684"/>
      <c r="REF72" s="684"/>
      <c r="REG72" s="684"/>
      <c r="REH72" s="684"/>
      <c r="REI72" s="684"/>
      <c r="REJ72" s="684"/>
      <c r="REK72" s="684"/>
      <c r="REL72" s="684"/>
      <c r="REM72" s="684"/>
      <c r="REN72" s="684"/>
      <c r="REO72" s="684"/>
      <c r="REP72" s="684"/>
      <c r="REQ72" s="684"/>
      <c r="RER72" s="684"/>
      <c r="RES72" s="684"/>
      <c r="RET72" s="684"/>
      <c r="REU72" s="684"/>
      <c r="REV72" s="684"/>
      <c r="REW72" s="684"/>
      <c r="REX72" s="684"/>
      <c r="REY72" s="684"/>
      <c r="REZ72" s="684"/>
      <c r="RFA72" s="684"/>
      <c r="RFB72" s="684"/>
      <c r="RFC72" s="684"/>
      <c r="RFD72" s="684"/>
      <c r="RFE72" s="684"/>
      <c r="RFF72" s="684"/>
      <c r="RFG72" s="684"/>
      <c r="RFH72" s="684"/>
      <c r="RFI72" s="684"/>
      <c r="RFJ72" s="684"/>
      <c r="RFK72" s="684"/>
      <c r="RFL72" s="684"/>
      <c r="RFM72" s="684"/>
      <c r="RFN72" s="684"/>
      <c r="RFO72" s="684"/>
      <c r="RFP72" s="684"/>
      <c r="RFQ72" s="684"/>
      <c r="RFR72" s="684"/>
      <c r="RFS72" s="684"/>
      <c r="RFT72" s="684"/>
      <c r="RFU72" s="684"/>
      <c r="RFV72" s="684"/>
      <c r="RFW72" s="684"/>
      <c r="RFX72" s="684"/>
      <c r="RFY72" s="684"/>
      <c r="RFZ72" s="684"/>
      <c r="RGA72" s="684"/>
      <c r="RGB72" s="684"/>
      <c r="RGC72" s="684"/>
      <c r="RGD72" s="684"/>
      <c r="RGE72" s="684"/>
      <c r="RGF72" s="684"/>
      <c r="RGG72" s="684"/>
      <c r="RGH72" s="684"/>
      <c r="RGI72" s="684"/>
      <c r="RGJ72" s="684"/>
      <c r="RGK72" s="684"/>
      <c r="RGL72" s="684"/>
      <c r="RGM72" s="684"/>
      <c r="RGN72" s="684"/>
      <c r="RGO72" s="684"/>
      <c r="RGP72" s="684"/>
      <c r="RGQ72" s="684"/>
      <c r="RGR72" s="684"/>
      <c r="RGS72" s="684"/>
      <c r="RGT72" s="684"/>
      <c r="RGU72" s="684"/>
      <c r="RGV72" s="684"/>
      <c r="RGW72" s="684"/>
      <c r="RGX72" s="684"/>
      <c r="RGY72" s="684"/>
      <c r="RGZ72" s="684"/>
      <c r="RHA72" s="684"/>
      <c r="RHB72" s="684"/>
      <c r="RHC72" s="684"/>
      <c r="RHD72" s="684"/>
      <c r="RHE72" s="684"/>
      <c r="RHF72" s="684"/>
      <c r="RHG72" s="684"/>
      <c r="RHH72" s="684"/>
      <c r="RHI72" s="684"/>
      <c r="RHJ72" s="684"/>
      <c r="RHK72" s="684"/>
      <c r="RHL72" s="684"/>
      <c r="RHM72" s="684"/>
      <c r="RHN72" s="684"/>
      <c r="RHO72" s="684"/>
      <c r="RHP72" s="684"/>
      <c r="RHQ72" s="684"/>
      <c r="RHR72" s="684"/>
      <c r="RHS72" s="684"/>
      <c r="RHT72" s="684"/>
      <c r="RHU72" s="684"/>
      <c r="RHV72" s="684"/>
      <c r="RHW72" s="684"/>
      <c r="RHX72" s="684"/>
      <c r="RHY72" s="684"/>
      <c r="RHZ72" s="684"/>
      <c r="RIA72" s="684"/>
      <c r="RIB72" s="684"/>
      <c r="RIC72" s="684"/>
      <c r="RID72" s="684"/>
      <c r="RIE72" s="684"/>
      <c r="RIF72" s="684"/>
      <c r="RIG72" s="684"/>
      <c r="RIH72" s="684"/>
      <c r="RII72" s="684"/>
      <c r="RIJ72" s="684"/>
      <c r="RIK72" s="684"/>
      <c r="RIL72" s="684"/>
      <c r="RIM72" s="684"/>
      <c r="RIN72" s="684"/>
      <c r="RIO72" s="684"/>
      <c r="RIP72" s="684"/>
      <c r="RIQ72" s="684"/>
      <c r="RIR72" s="684"/>
      <c r="RIS72" s="684"/>
      <c r="RIT72" s="684"/>
      <c r="RIU72" s="684"/>
      <c r="RIV72" s="684"/>
      <c r="RIW72" s="684"/>
      <c r="RIX72" s="684"/>
      <c r="RIY72" s="684"/>
      <c r="RIZ72" s="684"/>
      <c r="RJA72" s="684"/>
      <c r="RJB72" s="684"/>
      <c r="RJC72" s="684"/>
      <c r="RJD72" s="684"/>
      <c r="RJE72" s="684"/>
      <c r="RJF72" s="684"/>
      <c r="RJG72" s="684"/>
      <c r="RJH72" s="684"/>
      <c r="RJI72" s="684"/>
      <c r="RJJ72" s="684"/>
      <c r="RJK72" s="684"/>
      <c r="RJL72" s="684"/>
      <c r="RJM72" s="684"/>
      <c r="RJN72" s="684"/>
      <c r="RJO72" s="684"/>
      <c r="RJP72" s="684"/>
      <c r="RJQ72" s="684"/>
      <c r="RJR72" s="684"/>
      <c r="RJS72" s="684"/>
      <c r="RJT72" s="684"/>
      <c r="RJU72" s="684"/>
      <c r="RJV72" s="684"/>
      <c r="RJW72" s="684"/>
      <c r="RJX72" s="684"/>
      <c r="RJY72" s="684"/>
      <c r="RJZ72" s="684"/>
      <c r="RKA72" s="684"/>
      <c r="RKB72" s="684"/>
      <c r="RKC72" s="684"/>
      <c r="RKD72" s="684"/>
      <c r="RKE72" s="684"/>
      <c r="RKF72" s="684"/>
      <c r="RKG72" s="684"/>
      <c r="RKH72" s="684"/>
      <c r="RKI72" s="684"/>
      <c r="RKJ72" s="684"/>
      <c r="RKK72" s="684"/>
      <c r="RKL72" s="684"/>
      <c r="RKM72" s="684"/>
      <c r="RKN72" s="684"/>
      <c r="RKO72" s="684"/>
      <c r="RKP72" s="684"/>
      <c r="RKQ72" s="684"/>
      <c r="RKR72" s="684"/>
      <c r="RKS72" s="684"/>
      <c r="RKT72" s="684"/>
      <c r="RKU72" s="684"/>
      <c r="RKV72" s="684"/>
      <c r="RKW72" s="684"/>
      <c r="RKX72" s="684"/>
      <c r="RKY72" s="684"/>
      <c r="RKZ72" s="684"/>
      <c r="RLA72" s="684"/>
      <c r="RLB72" s="684"/>
      <c r="RLC72" s="684"/>
      <c r="RLD72" s="684"/>
      <c r="RLE72" s="684"/>
      <c r="RLF72" s="684"/>
      <c r="RLG72" s="684"/>
      <c r="RLH72" s="684"/>
      <c r="RLI72" s="684"/>
      <c r="RLJ72" s="684"/>
      <c r="RLK72" s="684"/>
      <c r="RLL72" s="684"/>
      <c r="RLM72" s="684"/>
      <c r="RLN72" s="684"/>
      <c r="RLO72" s="684"/>
      <c r="RLP72" s="684"/>
      <c r="RLQ72" s="684"/>
      <c r="RLR72" s="684"/>
      <c r="RLS72" s="684"/>
      <c r="RLT72" s="684"/>
      <c r="RLU72" s="684"/>
      <c r="RLV72" s="684"/>
      <c r="RLW72" s="684"/>
      <c r="RLX72" s="684"/>
      <c r="RLY72" s="684"/>
      <c r="RLZ72" s="684"/>
      <c r="RMA72" s="684"/>
      <c r="RMB72" s="684"/>
      <c r="RMC72" s="684"/>
      <c r="RMD72" s="684"/>
      <c r="RME72" s="684"/>
      <c r="RMF72" s="684"/>
      <c r="RMG72" s="684"/>
      <c r="RMH72" s="684"/>
      <c r="RMI72" s="684"/>
      <c r="RMJ72" s="684"/>
      <c r="RMK72" s="684"/>
      <c r="RML72" s="684"/>
      <c r="RMM72" s="684"/>
      <c r="RMN72" s="684"/>
      <c r="RMO72" s="684"/>
      <c r="RMP72" s="684"/>
      <c r="RMQ72" s="684"/>
      <c r="RMR72" s="684"/>
      <c r="RMS72" s="684"/>
      <c r="RMT72" s="684"/>
      <c r="RMU72" s="684"/>
      <c r="RMV72" s="684"/>
      <c r="RMW72" s="684"/>
      <c r="RMX72" s="684"/>
      <c r="RMY72" s="684"/>
      <c r="RMZ72" s="684"/>
      <c r="RNA72" s="684"/>
      <c r="RNB72" s="684"/>
      <c r="RNC72" s="684"/>
      <c r="RND72" s="684"/>
      <c r="RNE72" s="684"/>
      <c r="RNF72" s="684"/>
      <c r="RNG72" s="684"/>
      <c r="RNH72" s="684"/>
      <c r="RNI72" s="684"/>
      <c r="RNJ72" s="684"/>
      <c r="RNK72" s="684"/>
      <c r="RNL72" s="684"/>
      <c r="RNM72" s="684"/>
      <c r="RNN72" s="684"/>
      <c r="RNO72" s="684"/>
      <c r="RNP72" s="684"/>
      <c r="RNQ72" s="684"/>
      <c r="RNR72" s="684"/>
      <c r="RNS72" s="684"/>
      <c r="RNT72" s="684"/>
      <c r="RNU72" s="684"/>
      <c r="RNV72" s="684"/>
      <c r="RNW72" s="684"/>
      <c r="RNX72" s="684"/>
      <c r="RNY72" s="684"/>
      <c r="RNZ72" s="684"/>
      <c r="ROA72" s="684"/>
      <c r="ROB72" s="684"/>
      <c r="ROC72" s="684"/>
      <c r="ROD72" s="684"/>
      <c r="ROE72" s="684"/>
      <c r="ROF72" s="684"/>
      <c r="ROG72" s="684"/>
      <c r="ROH72" s="684"/>
      <c r="ROI72" s="684"/>
      <c r="ROJ72" s="684"/>
      <c r="ROK72" s="684"/>
      <c r="ROL72" s="684"/>
      <c r="ROM72" s="684"/>
      <c r="RON72" s="684"/>
      <c r="ROO72" s="684"/>
      <c r="ROP72" s="684"/>
      <c r="ROQ72" s="684"/>
      <c r="ROR72" s="684"/>
      <c r="ROS72" s="684"/>
      <c r="ROT72" s="684"/>
      <c r="ROU72" s="684"/>
      <c r="ROV72" s="684"/>
      <c r="ROW72" s="684"/>
      <c r="ROX72" s="684"/>
      <c r="ROY72" s="684"/>
      <c r="ROZ72" s="684"/>
      <c r="RPA72" s="684"/>
      <c r="RPB72" s="684"/>
      <c r="RPC72" s="684"/>
      <c r="RPD72" s="684"/>
      <c r="RPE72" s="684"/>
      <c r="RPF72" s="684"/>
      <c r="RPG72" s="684"/>
      <c r="RPH72" s="684"/>
      <c r="RPI72" s="684"/>
      <c r="RPJ72" s="684"/>
      <c r="RPK72" s="684"/>
      <c r="RPL72" s="684"/>
      <c r="RPM72" s="684"/>
      <c r="RPN72" s="684"/>
      <c r="RPO72" s="684"/>
      <c r="RPP72" s="684"/>
      <c r="RPQ72" s="684"/>
      <c r="RPR72" s="684"/>
      <c r="RPS72" s="684"/>
      <c r="RPT72" s="684"/>
      <c r="RPU72" s="684"/>
      <c r="RPV72" s="684"/>
      <c r="RPW72" s="684"/>
      <c r="RPX72" s="684"/>
      <c r="RPY72" s="684"/>
      <c r="RPZ72" s="684"/>
      <c r="RQA72" s="684"/>
      <c r="RQB72" s="684"/>
      <c r="RQC72" s="684"/>
      <c r="RQD72" s="684"/>
      <c r="RQE72" s="684"/>
      <c r="RQF72" s="684"/>
      <c r="RQG72" s="684"/>
      <c r="RQH72" s="684"/>
      <c r="RQI72" s="684"/>
      <c r="RQJ72" s="684"/>
      <c r="RQK72" s="684"/>
      <c r="RQL72" s="684"/>
      <c r="RQM72" s="684"/>
      <c r="RQN72" s="684"/>
      <c r="RQO72" s="684"/>
      <c r="RQP72" s="684"/>
      <c r="RQQ72" s="684"/>
      <c r="RQR72" s="684"/>
      <c r="RQS72" s="684"/>
      <c r="RQT72" s="684"/>
      <c r="RQU72" s="684"/>
      <c r="RQV72" s="684"/>
      <c r="RQW72" s="684"/>
      <c r="RQX72" s="684"/>
      <c r="RQY72" s="684"/>
      <c r="RQZ72" s="684"/>
      <c r="RRA72" s="684"/>
      <c r="RRB72" s="684"/>
      <c r="RRC72" s="684"/>
      <c r="RRD72" s="684"/>
      <c r="RRE72" s="684"/>
      <c r="RRF72" s="684"/>
      <c r="RRG72" s="684"/>
      <c r="RRH72" s="684"/>
      <c r="RRI72" s="684"/>
      <c r="RRJ72" s="684"/>
      <c r="RRK72" s="684"/>
      <c r="RRL72" s="684"/>
      <c r="RRM72" s="684"/>
      <c r="RRN72" s="684"/>
      <c r="RRO72" s="684"/>
      <c r="RRP72" s="684"/>
      <c r="RRQ72" s="684"/>
      <c r="RRR72" s="684"/>
      <c r="RRS72" s="684"/>
      <c r="RRT72" s="684"/>
      <c r="RRU72" s="684"/>
      <c r="RRV72" s="684"/>
      <c r="RRW72" s="684"/>
      <c r="RRX72" s="684"/>
      <c r="RRY72" s="684"/>
      <c r="RRZ72" s="684"/>
      <c r="RSA72" s="684"/>
      <c r="RSB72" s="684"/>
      <c r="RSC72" s="684"/>
      <c r="RSD72" s="684"/>
      <c r="RSE72" s="684"/>
      <c r="RSF72" s="684"/>
      <c r="RSG72" s="684"/>
      <c r="RSH72" s="684"/>
      <c r="RSI72" s="684"/>
      <c r="RSJ72" s="684"/>
      <c r="RSK72" s="684"/>
      <c r="RSL72" s="684"/>
      <c r="RSM72" s="684"/>
      <c r="RSN72" s="684"/>
      <c r="RSO72" s="684"/>
      <c r="RSP72" s="684"/>
      <c r="RSQ72" s="684"/>
      <c r="RSR72" s="684"/>
      <c r="RSS72" s="684"/>
      <c r="RST72" s="684"/>
      <c r="RSU72" s="684"/>
      <c r="RSV72" s="684"/>
      <c r="RSW72" s="684"/>
      <c r="RSX72" s="684"/>
      <c r="RSY72" s="684"/>
      <c r="RSZ72" s="684"/>
      <c r="RTA72" s="684"/>
      <c r="RTB72" s="684"/>
      <c r="RTC72" s="684"/>
      <c r="RTD72" s="684"/>
      <c r="RTE72" s="684"/>
      <c r="RTF72" s="684"/>
      <c r="RTG72" s="684"/>
      <c r="RTH72" s="684"/>
      <c r="RTI72" s="684"/>
      <c r="RTJ72" s="684"/>
      <c r="RTK72" s="684"/>
      <c r="RTL72" s="684"/>
      <c r="RTM72" s="684"/>
      <c r="RTN72" s="684"/>
      <c r="RTO72" s="684"/>
      <c r="RTP72" s="684"/>
      <c r="RTQ72" s="684"/>
      <c r="RTR72" s="684"/>
      <c r="RTS72" s="684"/>
      <c r="RTT72" s="684"/>
      <c r="RTU72" s="684"/>
      <c r="RTV72" s="684"/>
      <c r="RTW72" s="684"/>
      <c r="RTX72" s="684"/>
      <c r="RTY72" s="684"/>
      <c r="RTZ72" s="684"/>
      <c r="RUA72" s="684"/>
      <c r="RUB72" s="684"/>
      <c r="RUC72" s="684"/>
      <c r="RUD72" s="684"/>
      <c r="RUE72" s="684"/>
      <c r="RUF72" s="684"/>
      <c r="RUG72" s="684"/>
      <c r="RUH72" s="684"/>
      <c r="RUI72" s="684"/>
      <c r="RUJ72" s="684"/>
      <c r="RUK72" s="684"/>
      <c r="RUL72" s="684"/>
      <c r="RUM72" s="684"/>
      <c r="RUN72" s="684"/>
      <c r="RUO72" s="684"/>
      <c r="RUP72" s="684"/>
      <c r="RUQ72" s="684"/>
      <c r="RUR72" s="684"/>
      <c r="RUS72" s="684"/>
      <c r="RUT72" s="684"/>
      <c r="RUU72" s="684"/>
      <c r="RUV72" s="684"/>
      <c r="RUW72" s="684"/>
      <c r="RUX72" s="684"/>
      <c r="RUY72" s="684"/>
      <c r="RUZ72" s="684"/>
      <c r="RVA72" s="684"/>
      <c r="RVB72" s="684"/>
      <c r="RVC72" s="684"/>
      <c r="RVD72" s="684"/>
      <c r="RVE72" s="684"/>
      <c r="RVF72" s="684"/>
      <c r="RVG72" s="684"/>
      <c r="RVH72" s="684"/>
      <c r="RVI72" s="684"/>
      <c r="RVJ72" s="684"/>
      <c r="RVK72" s="684"/>
      <c r="RVL72" s="684"/>
      <c r="RVM72" s="684"/>
      <c r="RVN72" s="684"/>
      <c r="RVO72" s="684"/>
      <c r="RVP72" s="684"/>
      <c r="RVQ72" s="684"/>
      <c r="RVR72" s="684"/>
      <c r="RVS72" s="684"/>
      <c r="RVT72" s="684"/>
      <c r="RVU72" s="684"/>
      <c r="RVV72" s="684"/>
      <c r="RVW72" s="684"/>
      <c r="RVX72" s="684"/>
      <c r="RVY72" s="684"/>
      <c r="RVZ72" s="684"/>
      <c r="RWA72" s="684"/>
      <c r="RWB72" s="684"/>
      <c r="RWC72" s="684"/>
      <c r="RWD72" s="684"/>
      <c r="RWE72" s="684"/>
      <c r="RWF72" s="684"/>
      <c r="RWG72" s="684"/>
      <c r="RWH72" s="684"/>
      <c r="RWI72" s="684"/>
      <c r="RWJ72" s="684"/>
      <c r="RWK72" s="684"/>
      <c r="RWL72" s="684"/>
      <c r="RWM72" s="684"/>
      <c r="RWN72" s="684"/>
      <c r="RWO72" s="684"/>
      <c r="RWP72" s="684"/>
      <c r="RWQ72" s="684"/>
      <c r="RWR72" s="684"/>
      <c r="RWS72" s="684"/>
      <c r="RWT72" s="684"/>
      <c r="RWU72" s="684"/>
      <c r="RWV72" s="684"/>
      <c r="RWW72" s="684"/>
      <c r="RWX72" s="684"/>
      <c r="RWY72" s="684"/>
      <c r="RWZ72" s="684"/>
      <c r="RXA72" s="684"/>
      <c r="RXB72" s="684"/>
      <c r="RXC72" s="684"/>
      <c r="RXD72" s="684"/>
      <c r="RXE72" s="684"/>
      <c r="RXF72" s="684"/>
      <c r="RXG72" s="684"/>
      <c r="RXH72" s="684"/>
      <c r="RXI72" s="684"/>
      <c r="RXJ72" s="684"/>
      <c r="RXK72" s="684"/>
      <c r="RXL72" s="684"/>
      <c r="RXM72" s="684"/>
      <c r="RXN72" s="684"/>
      <c r="RXO72" s="684"/>
      <c r="RXP72" s="684"/>
      <c r="RXQ72" s="684"/>
      <c r="RXR72" s="684"/>
      <c r="RXS72" s="684"/>
      <c r="RXT72" s="684"/>
      <c r="RXU72" s="684"/>
      <c r="RXV72" s="684"/>
      <c r="RXW72" s="684"/>
      <c r="RXX72" s="684"/>
      <c r="RXY72" s="684"/>
      <c r="RXZ72" s="684"/>
      <c r="RYA72" s="684"/>
      <c r="RYB72" s="684"/>
      <c r="RYC72" s="684"/>
      <c r="RYD72" s="684"/>
      <c r="RYE72" s="684"/>
      <c r="RYF72" s="684"/>
      <c r="RYG72" s="684"/>
      <c r="RYH72" s="684"/>
      <c r="RYI72" s="684"/>
      <c r="RYJ72" s="684"/>
      <c r="RYK72" s="684"/>
      <c r="RYL72" s="684"/>
      <c r="RYM72" s="684"/>
      <c r="RYN72" s="684"/>
      <c r="RYO72" s="684"/>
      <c r="RYP72" s="684"/>
      <c r="RYQ72" s="684"/>
      <c r="RYR72" s="684"/>
      <c r="RYS72" s="684"/>
      <c r="RYT72" s="684"/>
      <c r="RYU72" s="684"/>
      <c r="RYV72" s="684"/>
      <c r="RYW72" s="684"/>
      <c r="RYX72" s="684"/>
      <c r="RYY72" s="684"/>
      <c r="RYZ72" s="684"/>
      <c r="RZA72" s="684"/>
      <c r="RZB72" s="684"/>
      <c r="RZC72" s="684"/>
      <c r="RZD72" s="684"/>
      <c r="RZE72" s="684"/>
      <c r="RZF72" s="684"/>
      <c r="RZG72" s="684"/>
      <c r="RZH72" s="684"/>
      <c r="RZI72" s="684"/>
      <c r="RZJ72" s="684"/>
      <c r="RZK72" s="684"/>
      <c r="RZL72" s="684"/>
      <c r="RZM72" s="684"/>
      <c r="RZN72" s="684"/>
      <c r="RZO72" s="684"/>
      <c r="RZP72" s="684"/>
      <c r="RZQ72" s="684"/>
      <c r="RZR72" s="684"/>
      <c r="RZS72" s="684"/>
      <c r="RZT72" s="684"/>
      <c r="RZU72" s="684"/>
      <c r="RZV72" s="684"/>
      <c r="RZW72" s="684"/>
      <c r="RZX72" s="684"/>
      <c r="RZY72" s="684"/>
      <c r="RZZ72" s="684"/>
      <c r="SAA72" s="684"/>
      <c r="SAB72" s="684"/>
      <c r="SAC72" s="684"/>
      <c r="SAD72" s="684"/>
      <c r="SAE72" s="684"/>
      <c r="SAF72" s="684"/>
      <c r="SAG72" s="684"/>
      <c r="SAH72" s="684"/>
      <c r="SAI72" s="684"/>
      <c r="SAJ72" s="684"/>
      <c r="SAK72" s="684"/>
      <c r="SAL72" s="684"/>
      <c r="SAM72" s="684"/>
      <c r="SAN72" s="684"/>
      <c r="SAO72" s="684"/>
      <c r="SAP72" s="684"/>
      <c r="SAQ72" s="684"/>
      <c r="SAR72" s="684"/>
      <c r="SAS72" s="684"/>
      <c r="SAT72" s="684"/>
      <c r="SAU72" s="684"/>
      <c r="SAV72" s="684"/>
      <c r="SAW72" s="684"/>
      <c r="SAX72" s="684"/>
      <c r="SAY72" s="684"/>
      <c r="SAZ72" s="684"/>
      <c r="SBA72" s="684"/>
      <c r="SBB72" s="684"/>
      <c r="SBC72" s="684"/>
      <c r="SBD72" s="684"/>
      <c r="SBE72" s="684"/>
      <c r="SBF72" s="684"/>
      <c r="SBG72" s="684"/>
      <c r="SBH72" s="684"/>
      <c r="SBI72" s="684"/>
      <c r="SBJ72" s="684"/>
      <c r="SBK72" s="684"/>
      <c r="SBL72" s="684"/>
      <c r="SBM72" s="684"/>
      <c r="SBN72" s="684"/>
      <c r="SBO72" s="684"/>
      <c r="SBP72" s="684"/>
      <c r="SBQ72" s="684"/>
      <c r="SBR72" s="684"/>
      <c r="SBS72" s="684"/>
      <c r="SBT72" s="684"/>
      <c r="SBU72" s="684"/>
      <c r="SBV72" s="684"/>
      <c r="SBW72" s="684"/>
      <c r="SBX72" s="684"/>
      <c r="SBY72" s="684"/>
      <c r="SBZ72" s="684"/>
      <c r="SCA72" s="684"/>
      <c r="SCB72" s="684"/>
      <c r="SCC72" s="684"/>
      <c r="SCD72" s="684"/>
      <c r="SCE72" s="684"/>
      <c r="SCF72" s="684"/>
      <c r="SCG72" s="684"/>
      <c r="SCH72" s="684"/>
      <c r="SCI72" s="684"/>
      <c r="SCJ72" s="684"/>
      <c r="SCK72" s="684"/>
      <c r="SCL72" s="684"/>
      <c r="SCM72" s="684"/>
      <c r="SCN72" s="684"/>
      <c r="SCO72" s="684"/>
      <c r="SCP72" s="684"/>
      <c r="SCQ72" s="684"/>
      <c r="SCR72" s="684"/>
      <c r="SCS72" s="684"/>
      <c r="SCT72" s="684"/>
      <c r="SCU72" s="684"/>
      <c r="SCV72" s="684"/>
      <c r="SCW72" s="684"/>
      <c r="SCX72" s="684"/>
      <c r="SCY72" s="684"/>
      <c r="SCZ72" s="684"/>
      <c r="SDA72" s="684"/>
      <c r="SDB72" s="684"/>
      <c r="SDC72" s="684"/>
      <c r="SDD72" s="684"/>
      <c r="SDE72" s="684"/>
      <c r="SDF72" s="684"/>
      <c r="SDG72" s="684"/>
      <c r="SDH72" s="684"/>
      <c r="SDI72" s="684"/>
      <c r="SDJ72" s="684"/>
      <c r="SDK72" s="684"/>
      <c r="SDL72" s="684"/>
      <c r="SDM72" s="684"/>
      <c r="SDN72" s="684"/>
      <c r="SDO72" s="684"/>
      <c r="SDP72" s="684"/>
      <c r="SDQ72" s="684"/>
      <c r="SDR72" s="684"/>
      <c r="SDS72" s="684"/>
      <c r="SDT72" s="684"/>
      <c r="SDU72" s="684"/>
      <c r="SDV72" s="684"/>
      <c r="SDW72" s="684"/>
      <c r="SDX72" s="684"/>
      <c r="SDY72" s="684"/>
      <c r="SDZ72" s="684"/>
      <c r="SEA72" s="684"/>
      <c r="SEB72" s="684"/>
      <c r="SEC72" s="684"/>
      <c r="SED72" s="684"/>
      <c r="SEE72" s="684"/>
      <c r="SEF72" s="684"/>
      <c r="SEG72" s="684"/>
      <c r="SEH72" s="684"/>
      <c r="SEI72" s="684"/>
      <c r="SEJ72" s="684"/>
      <c r="SEK72" s="684"/>
      <c r="SEL72" s="684"/>
      <c r="SEM72" s="684"/>
      <c r="SEN72" s="684"/>
      <c r="SEO72" s="684"/>
      <c r="SEP72" s="684"/>
      <c r="SEQ72" s="684"/>
      <c r="SER72" s="684"/>
      <c r="SES72" s="684"/>
      <c r="SET72" s="684"/>
      <c r="SEU72" s="684"/>
      <c r="SEV72" s="684"/>
      <c r="SEW72" s="684"/>
      <c r="SEX72" s="684"/>
      <c r="SEY72" s="684"/>
      <c r="SEZ72" s="684"/>
      <c r="SFA72" s="684"/>
      <c r="SFB72" s="684"/>
      <c r="SFC72" s="684"/>
      <c r="SFD72" s="684"/>
      <c r="SFE72" s="684"/>
      <c r="SFF72" s="684"/>
      <c r="SFG72" s="684"/>
      <c r="SFH72" s="684"/>
      <c r="SFI72" s="684"/>
      <c r="SFJ72" s="684"/>
      <c r="SFK72" s="684"/>
      <c r="SFL72" s="684"/>
      <c r="SFM72" s="684"/>
      <c r="SFN72" s="684"/>
      <c r="SFO72" s="684"/>
      <c r="SFP72" s="684"/>
      <c r="SFQ72" s="684"/>
      <c r="SFR72" s="684"/>
      <c r="SFS72" s="684"/>
      <c r="SFT72" s="684"/>
      <c r="SFU72" s="684"/>
      <c r="SFV72" s="684"/>
      <c r="SFW72" s="684"/>
      <c r="SFX72" s="684"/>
      <c r="SFY72" s="684"/>
      <c r="SFZ72" s="684"/>
      <c r="SGA72" s="684"/>
      <c r="SGB72" s="684"/>
      <c r="SGC72" s="684"/>
      <c r="SGD72" s="684"/>
      <c r="SGE72" s="684"/>
      <c r="SGF72" s="684"/>
      <c r="SGG72" s="684"/>
      <c r="SGH72" s="684"/>
      <c r="SGI72" s="684"/>
      <c r="SGJ72" s="684"/>
      <c r="SGK72" s="684"/>
      <c r="SGL72" s="684"/>
      <c r="SGM72" s="684"/>
      <c r="SGN72" s="684"/>
      <c r="SGO72" s="684"/>
      <c r="SGP72" s="684"/>
      <c r="SGQ72" s="684"/>
      <c r="SGR72" s="684"/>
      <c r="SGS72" s="684"/>
      <c r="SGT72" s="684"/>
      <c r="SGU72" s="684"/>
      <c r="SGV72" s="684"/>
      <c r="SGW72" s="684"/>
      <c r="SGX72" s="684"/>
      <c r="SGY72" s="684"/>
      <c r="SGZ72" s="684"/>
      <c r="SHA72" s="684"/>
      <c r="SHB72" s="684"/>
      <c r="SHC72" s="684"/>
      <c r="SHD72" s="684"/>
      <c r="SHE72" s="684"/>
      <c r="SHF72" s="684"/>
      <c r="SHG72" s="684"/>
      <c r="SHH72" s="684"/>
      <c r="SHI72" s="684"/>
      <c r="SHJ72" s="684"/>
      <c r="SHK72" s="684"/>
      <c r="SHL72" s="684"/>
      <c r="SHM72" s="684"/>
      <c r="SHN72" s="684"/>
      <c r="SHO72" s="684"/>
      <c r="SHP72" s="684"/>
      <c r="SHQ72" s="684"/>
      <c r="SHR72" s="684"/>
      <c r="SHS72" s="684"/>
      <c r="SHT72" s="684"/>
      <c r="SHU72" s="684"/>
      <c r="SHV72" s="684"/>
      <c r="SHW72" s="684"/>
      <c r="SHX72" s="684"/>
      <c r="SHY72" s="684"/>
      <c r="SHZ72" s="684"/>
      <c r="SIA72" s="684"/>
      <c r="SIB72" s="684"/>
      <c r="SIC72" s="684"/>
      <c r="SID72" s="684"/>
      <c r="SIE72" s="684"/>
      <c r="SIF72" s="684"/>
      <c r="SIG72" s="684"/>
      <c r="SIH72" s="684"/>
      <c r="SII72" s="684"/>
      <c r="SIJ72" s="684"/>
      <c r="SIK72" s="684"/>
      <c r="SIL72" s="684"/>
      <c r="SIM72" s="684"/>
      <c r="SIN72" s="684"/>
      <c r="SIO72" s="684"/>
      <c r="SIP72" s="684"/>
      <c r="SIQ72" s="684"/>
      <c r="SIR72" s="684"/>
      <c r="SIS72" s="684"/>
      <c r="SIT72" s="684"/>
      <c r="SIU72" s="684"/>
      <c r="SIV72" s="684"/>
      <c r="SIW72" s="684"/>
      <c r="SIX72" s="684"/>
      <c r="SIY72" s="684"/>
      <c r="SIZ72" s="684"/>
      <c r="SJA72" s="684"/>
      <c r="SJB72" s="684"/>
      <c r="SJC72" s="684"/>
      <c r="SJD72" s="684"/>
      <c r="SJE72" s="684"/>
      <c r="SJF72" s="684"/>
      <c r="SJG72" s="684"/>
      <c r="SJH72" s="684"/>
      <c r="SJI72" s="684"/>
      <c r="SJJ72" s="684"/>
      <c r="SJK72" s="684"/>
      <c r="SJL72" s="684"/>
      <c r="SJM72" s="684"/>
      <c r="SJN72" s="684"/>
      <c r="SJO72" s="684"/>
      <c r="SJP72" s="684"/>
      <c r="SJQ72" s="684"/>
      <c r="SJR72" s="684"/>
      <c r="SJS72" s="684"/>
      <c r="SJT72" s="684"/>
      <c r="SJU72" s="684"/>
      <c r="SJV72" s="684"/>
      <c r="SJW72" s="684"/>
      <c r="SJX72" s="684"/>
      <c r="SJY72" s="684"/>
      <c r="SJZ72" s="684"/>
      <c r="SKA72" s="684"/>
      <c r="SKB72" s="684"/>
      <c r="SKC72" s="684"/>
      <c r="SKD72" s="684"/>
      <c r="SKE72" s="684"/>
      <c r="SKF72" s="684"/>
      <c r="SKG72" s="684"/>
      <c r="SKH72" s="684"/>
      <c r="SKI72" s="684"/>
      <c r="SKJ72" s="684"/>
      <c r="SKK72" s="684"/>
      <c r="SKL72" s="684"/>
      <c r="SKM72" s="684"/>
      <c r="SKN72" s="684"/>
      <c r="SKO72" s="684"/>
      <c r="SKP72" s="684"/>
      <c r="SKQ72" s="684"/>
      <c r="SKR72" s="684"/>
      <c r="SKS72" s="684"/>
      <c r="SKT72" s="684"/>
      <c r="SKU72" s="684"/>
      <c r="SKV72" s="684"/>
      <c r="SKW72" s="684"/>
      <c r="SKX72" s="684"/>
      <c r="SKY72" s="684"/>
      <c r="SKZ72" s="684"/>
      <c r="SLA72" s="684"/>
      <c r="SLB72" s="684"/>
      <c r="SLC72" s="684"/>
      <c r="SLD72" s="684"/>
      <c r="SLE72" s="684"/>
      <c r="SLF72" s="684"/>
      <c r="SLG72" s="684"/>
      <c r="SLH72" s="684"/>
      <c r="SLI72" s="684"/>
      <c r="SLJ72" s="684"/>
      <c r="SLK72" s="684"/>
      <c r="SLL72" s="684"/>
      <c r="SLM72" s="684"/>
      <c r="SLN72" s="684"/>
      <c r="SLO72" s="684"/>
      <c r="SLP72" s="684"/>
      <c r="SLQ72" s="684"/>
      <c r="SLR72" s="684"/>
      <c r="SLS72" s="684"/>
      <c r="SLT72" s="684"/>
      <c r="SLU72" s="684"/>
      <c r="SLV72" s="684"/>
      <c r="SLW72" s="684"/>
      <c r="SLX72" s="684"/>
      <c r="SLY72" s="684"/>
      <c r="SLZ72" s="684"/>
      <c r="SMA72" s="684"/>
      <c r="SMB72" s="684"/>
      <c r="SMC72" s="684"/>
      <c r="SMD72" s="684"/>
      <c r="SME72" s="684"/>
      <c r="SMF72" s="684"/>
      <c r="SMG72" s="684"/>
      <c r="SMH72" s="684"/>
      <c r="SMI72" s="684"/>
      <c r="SMJ72" s="684"/>
      <c r="SMK72" s="684"/>
      <c r="SML72" s="684"/>
      <c r="SMM72" s="684"/>
      <c r="SMN72" s="684"/>
      <c r="SMO72" s="684"/>
      <c r="SMP72" s="684"/>
      <c r="SMQ72" s="684"/>
      <c r="SMR72" s="684"/>
      <c r="SMS72" s="684"/>
      <c r="SMT72" s="684"/>
      <c r="SMU72" s="684"/>
      <c r="SMV72" s="684"/>
      <c r="SMW72" s="684"/>
      <c r="SMX72" s="684"/>
      <c r="SMY72" s="684"/>
      <c r="SMZ72" s="684"/>
      <c r="SNA72" s="684"/>
      <c r="SNB72" s="684"/>
      <c r="SNC72" s="684"/>
      <c r="SND72" s="684"/>
      <c r="SNE72" s="684"/>
      <c r="SNF72" s="684"/>
      <c r="SNG72" s="684"/>
      <c r="SNH72" s="684"/>
      <c r="SNI72" s="684"/>
      <c r="SNJ72" s="684"/>
      <c r="SNK72" s="684"/>
      <c r="SNL72" s="684"/>
      <c r="SNM72" s="684"/>
      <c r="SNN72" s="684"/>
      <c r="SNO72" s="684"/>
      <c r="SNP72" s="684"/>
      <c r="SNQ72" s="684"/>
      <c r="SNR72" s="684"/>
      <c r="SNS72" s="684"/>
      <c r="SNT72" s="684"/>
      <c r="SNU72" s="684"/>
      <c r="SNV72" s="684"/>
      <c r="SNW72" s="684"/>
      <c r="SNX72" s="684"/>
      <c r="SNY72" s="684"/>
      <c r="SNZ72" s="684"/>
      <c r="SOA72" s="684"/>
      <c r="SOB72" s="684"/>
      <c r="SOC72" s="684"/>
      <c r="SOD72" s="684"/>
      <c r="SOE72" s="684"/>
      <c r="SOF72" s="684"/>
      <c r="SOG72" s="684"/>
      <c r="SOH72" s="684"/>
      <c r="SOI72" s="684"/>
      <c r="SOJ72" s="684"/>
      <c r="SOK72" s="684"/>
      <c r="SOL72" s="684"/>
      <c r="SOM72" s="684"/>
      <c r="SON72" s="684"/>
      <c r="SOO72" s="684"/>
      <c r="SOP72" s="684"/>
      <c r="SOQ72" s="684"/>
      <c r="SOR72" s="684"/>
      <c r="SOS72" s="684"/>
      <c r="SOT72" s="684"/>
      <c r="SOU72" s="684"/>
      <c r="SOV72" s="684"/>
      <c r="SOW72" s="684"/>
      <c r="SOX72" s="684"/>
      <c r="SOY72" s="684"/>
      <c r="SOZ72" s="684"/>
      <c r="SPA72" s="684"/>
      <c r="SPB72" s="684"/>
      <c r="SPC72" s="684"/>
      <c r="SPD72" s="684"/>
      <c r="SPE72" s="684"/>
      <c r="SPF72" s="684"/>
      <c r="SPG72" s="684"/>
      <c r="SPH72" s="684"/>
      <c r="SPI72" s="684"/>
      <c r="SPJ72" s="684"/>
      <c r="SPK72" s="684"/>
      <c r="SPL72" s="684"/>
      <c r="SPM72" s="684"/>
      <c r="SPN72" s="684"/>
      <c r="SPO72" s="684"/>
      <c r="SPP72" s="684"/>
      <c r="SPQ72" s="684"/>
      <c r="SPR72" s="684"/>
      <c r="SPS72" s="684"/>
      <c r="SPT72" s="684"/>
      <c r="SPU72" s="684"/>
      <c r="SPV72" s="684"/>
      <c r="SPW72" s="684"/>
      <c r="SPX72" s="684"/>
      <c r="SPY72" s="684"/>
      <c r="SPZ72" s="684"/>
      <c r="SQA72" s="684"/>
      <c r="SQB72" s="684"/>
      <c r="SQC72" s="684"/>
      <c r="SQD72" s="684"/>
      <c r="SQE72" s="684"/>
      <c r="SQF72" s="684"/>
      <c r="SQG72" s="684"/>
      <c r="SQH72" s="684"/>
      <c r="SQI72" s="684"/>
      <c r="SQJ72" s="684"/>
      <c r="SQK72" s="684"/>
      <c r="SQL72" s="684"/>
      <c r="SQM72" s="684"/>
      <c r="SQN72" s="684"/>
      <c r="SQO72" s="684"/>
      <c r="SQP72" s="684"/>
      <c r="SQQ72" s="684"/>
      <c r="SQR72" s="684"/>
      <c r="SQS72" s="684"/>
      <c r="SQT72" s="684"/>
      <c r="SQU72" s="684"/>
      <c r="SQV72" s="684"/>
      <c r="SQW72" s="684"/>
      <c r="SQX72" s="684"/>
      <c r="SQY72" s="684"/>
      <c r="SQZ72" s="684"/>
      <c r="SRA72" s="684"/>
      <c r="SRB72" s="684"/>
      <c r="SRC72" s="684"/>
      <c r="SRD72" s="684"/>
      <c r="SRE72" s="684"/>
      <c r="SRF72" s="684"/>
      <c r="SRG72" s="684"/>
      <c r="SRH72" s="684"/>
      <c r="SRI72" s="684"/>
      <c r="SRJ72" s="684"/>
      <c r="SRK72" s="684"/>
      <c r="SRL72" s="684"/>
      <c r="SRM72" s="684"/>
      <c r="SRN72" s="684"/>
      <c r="SRO72" s="684"/>
      <c r="SRP72" s="684"/>
      <c r="SRQ72" s="684"/>
      <c r="SRR72" s="684"/>
      <c r="SRS72" s="684"/>
      <c r="SRT72" s="684"/>
      <c r="SRU72" s="684"/>
      <c r="SRV72" s="684"/>
      <c r="SRW72" s="684"/>
      <c r="SRX72" s="684"/>
      <c r="SRY72" s="684"/>
      <c r="SRZ72" s="684"/>
      <c r="SSA72" s="684"/>
      <c r="SSB72" s="684"/>
      <c r="SSC72" s="684"/>
      <c r="SSD72" s="684"/>
      <c r="SSE72" s="684"/>
      <c r="SSF72" s="684"/>
      <c r="SSG72" s="684"/>
      <c r="SSH72" s="684"/>
      <c r="SSI72" s="684"/>
      <c r="SSJ72" s="684"/>
      <c r="SSK72" s="684"/>
      <c r="SSL72" s="684"/>
      <c r="SSM72" s="684"/>
      <c r="SSN72" s="684"/>
      <c r="SSO72" s="684"/>
      <c r="SSP72" s="684"/>
      <c r="SSQ72" s="684"/>
      <c r="SSR72" s="684"/>
      <c r="SSS72" s="684"/>
      <c r="SST72" s="684"/>
      <c r="SSU72" s="684"/>
      <c r="SSV72" s="684"/>
      <c r="SSW72" s="684"/>
      <c r="SSX72" s="684"/>
      <c r="SSY72" s="684"/>
      <c r="SSZ72" s="684"/>
      <c r="STA72" s="684"/>
      <c r="STB72" s="684"/>
      <c r="STC72" s="684"/>
      <c r="STD72" s="684"/>
      <c r="STE72" s="684"/>
      <c r="STF72" s="684"/>
      <c r="STG72" s="684"/>
      <c r="STH72" s="684"/>
      <c r="STI72" s="684"/>
      <c r="STJ72" s="684"/>
      <c r="STK72" s="684"/>
      <c r="STL72" s="684"/>
      <c r="STM72" s="684"/>
      <c r="STN72" s="684"/>
      <c r="STO72" s="684"/>
      <c r="STP72" s="684"/>
      <c r="STQ72" s="684"/>
      <c r="STR72" s="684"/>
      <c r="STS72" s="684"/>
      <c r="STT72" s="684"/>
      <c r="STU72" s="684"/>
      <c r="STV72" s="684"/>
      <c r="STW72" s="684"/>
      <c r="STX72" s="684"/>
      <c r="STY72" s="684"/>
      <c r="STZ72" s="684"/>
      <c r="SUA72" s="684"/>
      <c r="SUB72" s="684"/>
      <c r="SUC72" s="684"/>
      <c r="SUD72" s="684"/>
      <c r="SUE72" s="684"/>
      <c r="SUF72" s="684"/>
      <c r="SUG72" s="684"/>
      <c r="SUH72" s="684"/>
      <c r="SUI72" s="684"/>
      <c r="SUJ72" s="684"/>
      <c r="SUK72" s="684"/>
      <c r="SUL72" s="684"/>
      <c r="SUM72" s="684"/>
      <c r="SUN72" s="684"/>
      <c r="SUO72" s="684"/>
      <c r="SUP72" s="684"/>
      <c r="SUQ72" s="684"/>
      <c r="SUR72" s="684"/>
      <c r="SUS72" s="684"/>
      <c r="SUT72" s="684"/>
      <c r="SUU72" s="684"/>
      <c r="SUV72" s="684"/>
      <c r="SUW72" s="684"/>
      <c r="SUX72" s="684"/>
      <c r="SUY72" s="684"/>
      <c r="SUZ72" s="684"/>
      <c r="SVA72" s="684"/>
      <c r="SVB72" s="684"/>
      <c r="SVC72" s="684"/>
      <c r="SVD72" s="684"/>
      <c r="SVE72" s="684"/>
      <c r="SVF72" s="684"/>
      <c r="SVG72" s="684"/>
      <c r="SVH72" s="684"/>
      <c r="SVI72" s="684"/>
      <c r="SVJ72" s="684"/>
      <c r="SVK72" s="684"/>
      <c r="SVL72" s="684"/>
      <c r="SVM72" s="684"/>
      <c r="SVN72" s="684"/>
      <c r="SVO72" s="684"/>
      <c r="SVP72" s="684"/>
      <c r="SVQ72" s="684"/>
      <c r="SVR72" s="684"/>
      <c r="SVS72" s="684"/>
      <c r="SVT72" s="684"/>
      <c r="SVU72" s="684"/>
      <c r="SVV72" s="684"/>
      <c r="SVW72" s="684"/>
      <c r="SVX72" s="684"/>
      <c r="SVY72" s="684"/>
      <c r="SVZ72" s="684"/>
      <c r="SWA72" s="684"/>
      <c r="SWB72" s="684"/>
      <c r="SWC72" s="684"/>
      <c r="SWD72" s="684"/>
      <c r="SWE72" s="684"/>
      <c r="SWF72" s="684"/>
      <c r="SWG72" s="684"/>
      <c r="SWH72" s="684"/>
      <c r="SWI72" s="684"/>
      <c r="SWJ72" s="684"/>
      <c r="SWK72" s="684"/>
      <c r="SWL72" s="684"/>
      <c r="SWM72" s="684"/>
      <c r="SWN72" s="684"/>
      <c r="SWO72" s="684"/>
      <c r="SWP72" s="684"/>
      <c r="SWQ72" s="684"/>
      <c r="SWR72" s="684"/>
      <c r="SWS72" s="684"/>
      <c r="SWT72" s="684"/>
      <c r="SWU72" s="684"/>
      <c r="SWV72" s="684"/>
      <c r="SWW72" s="684"/>
      <c r="SWX72" s="684"/>
      <c r="SWY72" s="684"/>
      <c r="SWZ72" s="684"/>
      <c r="SXA72" s="684"/>
      <c r="SXB72" s="684"/>
      <c r="SXC72" s="684"/>
      <c r="SXD72" s="684"/>
      <c r="SXE72" s="684"/>
      <c r="SXF72" s="684"/>
      <c r="SXG72" s="684"/>
      <c r="SXH72" s="684"/>
      <c r="SXI72" s="684"/>
      <c r="SXJ72" s="684"/>
      <c r="SXK72" s="684"/>
      <c r="SXL72" s="684"/>
      <c r="SXM72" s="684"/>
      <c r="SXN72" s="684"/>
      <c r="SXO72" s="684"/>
      <c r="SXP72" s="684"/>
      <c r="SXQ72" s="684"/>
      <c r="SXR72" s="684"/>
      <c r="SXS72" s="684"/>
      <c r="SXT72" s="684"/>
      <c r="SXU72" s="684"/>
      <c r="SXV72" s="684"/>
      <c r="SXW72" s="684"/>
      <c r="SXX72" s="684"/>
      <c r="SXY72" s="684"/>
      <c r="SXZ72" s="684"/>
      <c r="SYA72" s="684"/>
      <c r="SYB72" s="684"/>
      <c r="SYC72" s="684"/>
      <c r="SYD72" s="684"/>
      <c r="SYE72" s="684"/>
      <c r="SYF72" s="684"/>
      <c r="SYG72" s="684"/>
      <c r="SYH72" s="684"/>
      <c r="SYI72" s="684"/>
      <c r="SYJ72" s="684"/>
      <c r="SYK72" s="684"/>
      <c r="SYL72" s="684"/>
      <c r="SYM72" s="684"/>
      <c r="SYN72" s="684"/>
      <c r="SYO72" s="684"/>
      <c r="SYP72" s="684"/>
      <c r="SYQ72" s="684"/>
      <c r="SYR72" s="684"/>
      <c r="SYS72" s="684"/>
      <c r="SYT72" s="684"/>
      <c r="SYU72" s="684"/>
      <c r="SYV72" s="684"/>
      <c r="SYW72" s="684"/>
      <c r="SYX72" s="684"/>
      <c r="SYY72" s="684"/>
      <c r="SYZ72" s="684"/>
      <c r="SZA72" s="684"/>
      <c r="SZB72" s="684"/>
      <c r="SZC72" s="684"/>
      <c r="SZD72" s="684"/>
      <c r="SZE72" s="684"/>
      <c r="SZF72" s="684"/>
      <c r="SZG72" s="684"/>
      <c r="SZH72" s="684"/>
      <c r="SZI72" s="684"/>
      <c r="SZJ72" s="684"/>
      <c r="SZK72" s="684"/>
      <c r="SZL72" s="684"/>
      <c r="SZM72" s="684"/>
      <c r="SZN72" s="684"/>
      <c r="SZO72" s="684"/>
      <c r="SZP72" s="684"/>
      <c r="SZQ72" s="684"/>
      <c r="SZR72" s="684"/>
      <c r="SZS72" s="684"/>
      <c r="SZT72" s="684"/>
      <c r="SZU72" s="684"/>
      <c r="SZV72" s="684"/>
      <c r="SZW72" s="684"/>
      <c r="SZX72" s="684"/>
      <c r="SZY72" s="684"/>
      <c r="SZZ72" s="684"/>
      <c r="TAA72" s="684"/>
      <c r="TAB72" s="684"/>
      <c r="TAC72" s="684"/>
      <c r="TAD72" s="684"/>
      <c r="TAE72" s="684"/>
      <c r="TAF72" s="684"/>
      <c r="TAG72" s="684"/>
      <c r="TAH72" s="684"/>
      <c r="TAI72" s="684"/>
      <c r="TAJ72" s="684"/>
      <c r="TAK72" s="684"/>
      <c r="TAL72" s="684"/>
      <c r="TAM72" s="684"/>
      <c r="TAN72" s="684"/>
      <c r="TAO72" s="684"/>
      <c r="TAP72" s="684"/>
      <c r="TAQ72" s="684"/>
      <c r="TAR72" s="684"/>
      <c r="TAS72" s="684"/>
      <c r="TAT72" s="684"/>
      <c r="TAU72" s="684"/>
      <c r="TAV72" s="684"/>
      <c r="TAW72" s="684"/>
      <c r="TAX72" s="684"/>
      <c r="TAY72" s="684"/>
      <c r="TAZ72" s="684"/>
      <c r="TBA72" s="684"/>
      <c r="TBB72" s="684"/>
      <c r="TBC72" s="684"/>
      <c r="TBD72" s="684"/>
      <c r="TBE72" s="684"/>
      <c r="TBF72" s="684"/>
      <c r="TBG72" s="684"/>
      <c r="TBH72" s="684"/>
      <c r="TBI72" s="684"/>
      <c r="TBJ72" s="684"/>
      <c r="TBK72" s="684"/>
      <c r="TBL72" s="684"/>
      <c r="TBM72" s="684"/>
      <c r="TBN72" s="684"/>
      <c r="TBO72" s="684"/>
      <c r="TBP72" s="684"/>
      <c r="TBQ72" s="684"/>
      <c r="TBR72" s="684"/>
      <c r="TBS72" s="684"/>
      <c r="TBT72" s="684"/>
      <c r="TBU72" s="684"/>
      <c r="TBV72" s="684"/>
      <c r="TBW72" s="684"/>
      <c r="TBX72" s="684"/>
      <c r="TBY72" s="684"/>
      <c r="TBZ72" s="684"/>
      <c r="TCA72" s="684"/>
      <c r="TCB72" s="684"/>
      <c r="TCC72" s="684"/>
      <c r="TCD72" s="684"/>
      <c r="TCE72" s="684"/>
      <c r="TCF72" s="684"/>
      <c r="TCG72" s="684"/>
      <c r="TCH72" s="684"/>
      <c r="TCI72" s="684"/>
      <c r="TCJ72" s="684"/>
      <c r="TCK72" s="684"/>
      <c r="TCL72" s="684"/>
      <c r="TCM72" s="684"/>
      <c r="TCN72" s="684"/>
      <c r="TCO72" s="684"/>
      <c r="TCP72" s="684"/>
      <c r="TCQ72" s="684"/>
      <c r="TCR72" s="684"/>
      <c r="TCS72" s="684"/>
      <c r="TCT72" s="684"/>
      <c r="TCU72" s="684"/>
      <c r="TCV72" s="684"/>
      <c r="TCW72" s="684"/>
      <c r="TCX72" s="684"/>
      <c r="TCY72" s="684"/>
      <c r="TCZ72" s="684"/>
      <c r="TDA72" s="684"/>
      <c r="TDB72" s="684"/>
      <c r="TDC72" s="684"/>
      <c r="TDD72" s="684"/>
      <c r="TDE72" s="684"/>
      <c r="TDF72" s="684"/>
      <c r="TDG72" s="684"/>
      <c r="TDH72" s="684"/>
      <c r="TDI72" s="684"/>
      <c r="TDJ72" s="684"/>
      <c r="TDK72" s="684"/>
      <c r="TDL72" s="684"/>
      <c r="TDM72" s="684"/>
      <c r="TDN72" s="684"/>
      <c r="TDO72" s="684"/>
      <c r="TDP72" s="684"/>
      <c r="TDQ72" s="684"/>
      <c r="TDR72" s="684"/>
      <c r="TDS72" s="684"/>
      <c r="TDT72" s="684"/>
      <c r="TDU72" s="684"/>
      <c r="TDV72" s="684"/>
      <c r="TDW72" s="684"/>
      <c r="TDX72" s="684"/>
      <c r="TDY72" s="684"/>
      <c r="TDZ72" s="684"/>
      <c r="TEA72" s="684"/>
      <c r="TEB72" s="684"/>
      <c r="TEC72" s="684"/>
      <c r="TED72" s="684"/>
      <c r="TEE72" s="684"/>
      <c r="TEF72" s="684"/>
      <c r="TEG72" s="684"/>
      <c r="TEH72" s="684"/>
      <c r="TEI72" s="684"/>
      <c r="TEJ72" s="684"/>
      <c r="TEK72" s="684"/>
      <c r="TEL72" s="684"/>
      <c r="TEM72" s="684"/>
      <c r="TEN72" s="684"/>
      <c r="TEO72" s="684"/>
      <c r="TEP72" s="684"/>
      <c r="TEQ72" s="684"/>
      <c r="TER72" s="684"/>
      <c r="TES72" s="684"/>
      <c r="TET72" s="684"/>
      <c r="TEU72" s="684"/>
      <c r="TEV72" s="684"/>
      <c r="TEW72" s="684"/>
      <c r="TEX72" s="684"/>
      <c r="TEY72" s="684"/>
      <c r="TEZ72" s="684"/>
      <c r="TFA72" s="684"/>
      <c r="TFB72" s="684"/>
      <c r="TFC72" s="684"/>
      <c r="TFD72" s="684"/>
      <c r="TFE72" s="684"/>
      <c r="TFF72" s="684"/>
      <c r="TFG72" s="684"/>
      <c r="TFH72" s="684"/>
      <c r="TFI72" s="684"/>
      <c r="TFJ72" s="684"/>
      <c r="TFK72" s="684"/>
      <c r="TFL72" s="684"/>
      <c r="TFM72" s="684"/>
      <c r="TFN72" s="684"/>
      <c r="TFO72" s="684"/>
      <c r="TFP72" s="684"/>
      <c r="TFQ72" s="684"/>
      <c r="TFR72" s="684"/>
      <c r="TFS72" s="684"/>
      <c r="TFT72" s="684"/>
      <c r="TFU72" s="684"/>
      <c r="TFV72" s="684"/>
      <c r="TFW72" s="684"/>
      <c r="TFX72" s="684"/>
      <c r="TFY72" s="684"/>
      <c r="TFZ72" s="684"/>
      <c r="TGA72" s="684"/>
      <c r="TGB72" s="684"/>
      <c r="TGC72" s="684"/>
      <c r="TGD72" s="684"/>
      <c r="TGE72" s="684"/>
      <c r="TGF72" s="684"/>
      <c r="TGG72" s="684"/>
      <c r="TGH72" s="684"/>
      <c r="TGI72" s="684"/>
      <c r="TGJ72" s="684"/>
      <c r="TGK72" s="684"/>
      <c r="TGL72" s="684"/>
      <c r="TGM72" s="684"/>
      <c r="TGN72" s="684"/>
      <c r="TGO72" s="684"/>
      <c r="TGP72" s="684"/>
      <c r="TGQ72" s="684"/>
      <c r="TGR72" s="684"/>
      <c r="TGS72" s="684"/>
      <c r="TGT72" s="684"/>
      <c r="TGU72" s="684"/>
      <c r="TGV72" s="684"/>
      <c r="TGW72" s="684"/>
      <c r="TGX72" s="684"/>
      <c r="TGY72" s="684"/>
      <c r="TGZ72" s="684"/>
      <c r="THA72" s="684"/>
      <c r="THB72" s="684"/>
      <c r="THC72" s="684"/>
      <c r="THD72" s="684"/>
      <c r="THE72" s="684"/>
      <c r="THF72" s="684"/>
      <c r="THG72" s="684"/>
      <c r="THH72" s="684"/>
      <c r="THI72" s="684"/>
      <c r="THJ72" s="684"/>
      <c r="THK72" s="684"/>
      <c r="THL72" s="684"/>
      <c r="THM72" s="684"/>
      <c r="THN72" s="684"/>
      <c r="THO72" s="684"/>
      <c r="THP72" s="684"/>
      <c r="THQ72" s="684"/>
      <c r="THR72" s="684"/>
      <c r="THS72" s="684"/>
      <c r="THT72" s="684"/>
      <c r="THU72" s="684"/>
      <c r="THV72" s="684"/>
      <c r="THW72" s="684"/>
      <c r="THX72" s="684"/>
      <c r="THY72" s="684"/>
      <c r="THZ72" s="684"/>
      <c r="TIA72" s="684"/>
      <c r="TIB72" s="684"/>
      <c r="TIC72" s="684"/>
      <c r="TID72" s="684"/>
      <c r="TIE72" s="684"/>
      <c r="TIF72" s="684"/>
      <c r="TIG72" s="684"/>
      <c r="TIH72" s="684"/>
      <c r="TII72" s="684"/>
      <c r="TIJ72" s="684"/>
      <c r="TIK72" s="684"/>
      <c r="TIL72" s="684"/>
      <c r="TIM72" s="684"/>
      <c r="TIN72" s="684"/>
      <c r="TIO72" s="684"/>
      <c r="TIP72" s="684"/>
      <c r="TIQ72" s="684"/>
      <c r="TIR72" s="684"/>
      <c r="TIS72" s="684"/>
      <c r="TIT72" s="684"/>
      <c r="TIU72" s="684"/>
      <c r="TIV72" s="684"/>
      <c r="TIW72" s="684"/>
      <c r="TIX72" s="684"/>
      <c r="TIY72" s="684"/>
      <c r="TIZ72" s="684"/>
      <c r="TJA72" s="684"/>
      <c r="TJB72" s="684"/>
      <c r="TJC72" s="684"/>
      <c r="TJD72" s="684"/>
      <c r="TJE72" s="684"/>
      <c r="TJF72" s="684"/>
      <c r="TJG72" s="684"/>
      <c r="TJH72" s="684"/>
      <c r="TJI72" s="684"/>
      <c r="TJJ72" s="684"/>
      <c r="TJK72" s="684"/>
      <c r="TJL72" s="684"/>
      <c r="TJM72" s="684"/>
      <c r="TJN72" s="684"/>
      <c r="TJO72" s="684"/>
      <c r="TJP72" s="684"/>
      <c r="TJQ72" s="684"/>
      <c r="TJR72" s="684"/>
      <c r="TJS72" s="684"/>
      <c r="TJT72" s="684"/>
      <c r="TJU72" s="684"/>
      <c r="TJV72" s="684"/>
      <c r="TJW72" s="684"/>
      <c r="TJX72" s="684"/>
      <c r="TJY72" s="684"/>
      <c r="TJZ72" s="684"/>
      <c r="TKA72" s="684"/>
      <c r="TKB72" s="684"/>
      <c r="TKC72" s="684"/>
      <c r="TKD72" s="684"/>
      <c r="TKE72" s="684"/>
      <c r="TKF72" s="684"/>
      <c r="TKG72" s="684"/>
      <c r="TKH72" s="684"/>
      <c r="TKI72" s="684"/>
      <c r="TKJ72" s="684"/>
      <c r="TKK72" s="684"/>
      <c r="TKL72" s="684"/>
      <c r="TKM72" s="684"/>
      <c r="TKN72" s="684"/>
      <c r="TKO72" s="684"/>
      <c r="TKP72" s="684"/>
      <c r="TKQ72" s="684"/>
      <c r="TKR72" s="684"/>
      <c r="TKS72" s="684"/>
      <c r="TKT72" s="684"/>
      <c r="TKU72" s="684"/>
      <c r="TKV72" s="684"/>
      <c r="TKW72" s="684"/>
      <c r="TKX72" s="684"/>
      <c r="TKY72" s="684"/>
      <c r="TKZ72" s="684"/>
      <c r="TLA72" s="684"/>
      <c r="TLB72" s="684"/>
      <c r="TLC72" s="684"/>
      <c r="TLD72" s="684"/>
      <c r="TLE72" s="684"/>
      <c r="TLF72" s="684"/>
      <c r="TLG72" s="684"/>
      <c r="TLH72" s="684"/>
      <c r="TLI72" s="684"/>
      <c r="TLJ72" s="684"/>
      <c r="TLK72" s="684"/>
      <c r="TLL72" s="684"/>
      <c r="TLM72" s="684"/>
      <c r="TLN72" s="684"/>
      <c r="TLO72" s="684"/>
      <c r="TLP72" s="684"/>
      <c r="TLQ72" s="684"/>
      <c r="TLR72" s="684"/>
      <c r="TLS72" s="684"/>
      <c r="TLT72" s="684"/>
      <c r="TLU72" s="684"/>
      <c r="TLV72" s="684"/>
      <c r="TLW72" s="684"/>
      <c r="TLX72" s="684"/>
      <c r="TLY72" s="684"/>
      <c r="TLZ72" s="684"/>
      <c r="TMA72" s="684"/>
      <c r="TMB72" s="684"/>
      <c r="TMC72" s="684"/>
      <c r="TMD72" s="684"/>
      <c r="TME72" s="684"/>
      <c r="TMF72" s="684"/>
      <c r="TMG72" s="684"/>
      <c r="TMH72" s="684"/>
      <c r="TMI72" s="684"/>
      <c r="TMJ72" s="684"/>
      <c r="TMK72" s="684"/>
      <c r="TML72" s="684"/>
      <c r="TMM72" s="684"/>
      <c r="TMN72" s="684"/>
      <c r="TMO72" s="684"/>
      <c r="TMP72" s="684"/>
      <c r="TMQ72" s="684"/>
      <c r="TMR72" s="684"/>
      <c r="TMS72" s="684"/>
      <c r="TMT72" s="684"/>
      <c r="TMU72" s="684"/>
      <c r="TMV72" s="684"/>
      <c r="TMW72" s="684"/>
      <c r="TMX72" s="684"/>
      <c r="TMY72" s="684"/>
      <c r="TMZ72" s="684"/>
      <c r="TNA72" s="684"/>
      <c r="TNB72" s="684"/>
      <c r="TNC72" s="684"/>
      <c r="TND72" s="684"/>
      <c r="TNE72" s="684"/>
      <c r="TNF72" s="684"/>
      <c r="TNG72" s="684"/>
      <c r="TNH72" s="684"/>
      <c r="TNI72" s="684"/>
      <c r="TNJ72" s="684"/>
      <c r="TNK72" s="684"/>
      <c r="TNL72" s="684"/>
      <c r="TNM72" s="684"/>
      <c r="TNN72" s="684"/>
      <c r="TNO72" s="684"/>
      <c r="TNP72" s="684"/>
      <c r="TNQ72" s="684"/>
      <c r="TNR72" s="684"/>
      <c r="TNS72" s="684"/>
      <c r="TNT72" s="684"/>
      <c r="TNU72" s="684"/>
      <c r="TNV72" s="684"/>
      <c r="TNW72" s="684"/>
      <c r="TNX72" s="684"/>
      <c r="TNY72" s="684"/>
      <c r="TNZ72" s="684"/>
      <c r="TOA72" s="684"/>
      <c r="TOB72" s="684"/>
      <c r="TOC72" s="684"/>
      <c r="TOD72" s="684"/>
      <c r="TOE72" s="684"/>
      <c r="TOF72" s="684"/>
      <c r="TOG72" s="684"/>
      <c r="TOH72" s="684"/>
      <c r="TOI72" s="684"/>
      <c r="TOJ72" s="684"/>
      <c r="TOK72" s="684"/>
      <c r="TOL72" s="684"/>
      <c r="TOM72" s="684"/>
      <c r="TON72" s="684"/>
      <c r="TOO72" s="684"/>
      <c r="TOP72" s="684"/>
      <c r="TOQ72" s="684"/>
      <c r="TOR72" s="684"/>
      <c r="TOS72" s="684"/>
      <c r="TOT72" s="684"/>
      <c r="TOU72" s="684"/>
      <c r="TOV72" s="684"/>
      <c r="TOW72" s="684"/>
      <c r="TOX72" s="684"/>
      <c r="TOY72" s="684"/>
      <c r="TOZ72" s="684"/>
      <c r="TPA72" s="684"/>
      <c r="TPB72" s="684"/>
      <c r="TPC72" s="684"/>
      <c r="TPD72" s="684"/>
      <c r="TPE72" s="684"/>
      <c r="TPF72" s="684"/>
      <c r="TPG72" s="684"/>
      <c r="TPH72" s="684"/>
      <c r="TPI72" s="684"/>
      <c r="TPJ72" s="684"/>
      <c r="TPK72" s="684"/>
      <c r="TPL72" s="684"/>
      <c r="TPM72" s="684"/>
      <c r="TPN72" s="684"/>
      <c r="TPO72" s="684"/>
      <c r="TPP72" s="684"/>
      <c r="TPQ72" s="684"/>
      <c r="TPR72" s="684"/>
      <c r="TPS72" s="684"/>
      <c r="TPT72" s="684"/>
      <c r="TPU72" s="684"/>
      <c r="TPV72" s="684"/>
      <c r="TPW72" s="684"/>
      <c r="TPX72" s="684"/>
      <c r="TPY72" s="684"/>
      <c r="TPZ72" s="684"/>
      <c r="TQA72" s="684"/>
      <c r="TQB72" s="684"/>
      <c r="TQC72" s="684"/>
      <c r="TQD72" s="684"/>
      <c r="TQE72" s="684"/>
      <c r="TQF72" s="684"/>
      <c r="TQG72" s="684"/>
      <c r="TQH72" s="684"/>
      <c r="TQI72" s="684"/>
      <c r="TQJ72" s="684"/>
      <c r="TQK72" s="684"/>
      <c r="TQL72" s="684"/>
      <c r="TQM72" s="684"/>
      <c r="TQN72" s="684"/>
      <c r="TQO72" s="684"/>
      <c r="TQP72" s="684"/>
      <c r="TQQ72" s="684"/>
      <c r="TQR72" s="684"/>
      <c r="TQS72" s="684"/>
      <c r="TQT72" s="684"/>
      <c r="TQU72" s="684"/>
      <c r="TQV72" s="684"/>
      <c r="TQW72" s="684"/>
      <c r="TQX72" s="684"/>
      <c r="TQY72" s="684"/>
      <c r="TQZ72" s="684"/>
      <c r="TRA72" s="684"/>
      <c r="TRB72" s="684"/>
      <c r="TRC72" s="684"/>
      <c r="TRD72" s="684"/>
      <c r="TRE72" s="684"/>
      <c r="TRF72" s="684"/>
      <c r="TRG72" s="684"/>
      <c r="TRH72" s="684"/>
      <c r="TRI72" s="684"/>
      <c r="TRJ72" s="684"/>
      <c r="TRK72" s="684"/>
      <c r="TRL72" s="684"/>
      <c r="TRM72" s="684"/>
      <c r="TRN72" s="684"/>
      <c r="TRO72" s="684"/>
      <c r="TRP72" s="684"/>
      <c r="TRQ72" s="684"/>
      <c r="TRR72" s="684"/>
      <c r="TRS72" s="684"/>
      <c r="TRT72" s="684"/>
      <c r="TRU72" s="684"/>
      <c r="TRV72" s="684"/>
      <c r="TRW72" s="684"/>
      <c r="TRX72" s="684"/>
      <c r="TRY72" s="684"/>
      <c r="TRZ72" s="684"/>
      <c r="TSA72" s="684"/>
      <c r="TSB72" s="684"/>
      <c r="TSC72" s="684"/>
      <c r="TSD72" s="684"/>
      <c r="TSE72" s="684"/>
      <c r="TSF72" s="684"/>
      <c r="TSG72" s="684"/>
      <c r="TSH72" s="684"/>
      <c r="TSI72" s="684"/>
      <c r="TSJ72" s="684"/>
      <c r="TSK72" s="684"/>
      <c r="TSL72" s="684"/>
      <c r="TSM72" s="684"/>
      <c r="TSN72" s="684"/>
      <c r="TSO72" s="684"/>
      <c r="TSP72" s="684"/>
      <c r="TSQ72" s="684"/>
      <c r="TSR72" s="684"/>
      <c r="TSS72" s="684"/>
      <c r="TST72" s="684"/>
      <c r="TSU72" s="684"/>
      <c r="TSV72" s="684"/>
      <c r="TSW72" s="684"/>
      <c r="TSX72" s="684"/>
      <c r="TSY72" s="684"/>
      <c r="TSZ72" s="684"/>
      <c r="TTA72" s="684"/>
      <c r="TTB72" s="684"/>
      <c r="TTC72" s="684"/>
      <c r="TTD72" s="684"/>
      <c r="TTE72" s="684"/>
      <c r="TTF72" s="684"/>
      <c r="TTG72" s="684"/>
      <c r="TTH72" s="684"/>
      <c r="TTI72" s="684"/>
      <c r="TTJ72" s="684"/>
      <c r="TTK72" s="684"/>
      <c r="TTL72" s="684"/>
      <c r="TTM72" s="684"/>
      <c r="TTN72" s="684"/>
      <c r="TTO72" s="684"/>
      <c r="TTP72" s="684"/>
      <c r="TTQ72" s="684"/>
      <c r="TTR72" s="684"/>
      <c r="TTS72" s="684"/>
      <c r="TTT72" s="684"/>
      <c r="TTU72" s="684"/>
      <c r="TTV72" s="684"/>
      <c r="TTW72" s="684"/>
      <c r="TTX72" s="684"/>
      <c r="TTY72" s="684"/>
      <c r="TTZ72" s="684"/>
      <c r="TUA72" s="684"/>
      <c r="TUB72" s="684"/>
      <c r="TUC72" s="684"/>
      <c r="TUD72" s="684"/>
      <c r="TUE72" s="684"/>
      <c r="TUF72" s="684"/>
      <c r="TUG72" s="684"/>
      <c r="TUH72" s="684"/>
      <c r="TUI72" s="684"/>
      <c r="TUJ72" s="684"/>
      <c r="TUK72" s="684"/>
      <c r="TUL72" s="684"/>
      <c r="TUM72" s="684"/>
      <c r="TUN72" s="684"/>
      <c r="TUO72" s="684"/>
      <c r="TUP72" s="684"/>
      <c r="TUQ72" s="684"/>
      <c r="TUR72" s="684"/>
      <c r="TUS72" s="684"/>
      <c r="TUT72" s="684"/>
      <c r="TUU72" s="684"/>
      <c r="TUV72" s="684"/>
      <c r="TUW72" s="684"/>
      <c r="TUX72" s="684"/>
      <c r="TUY72" s="684"/>
      <c r="TUZ72" s="684"/>
      <c r="TVA72" s="684"/>
      <c r="TVB72" s="684"/>
      <c r="TVC72" s="684"/>
      <c r="TVD72" s="684"/>
      <c r="TVE72" s="684"/>
      <c r="TVF72" s="684"/>
      <c r="TVG72" s="684"/>
      <c r="TVH72" s="684"/>
      <c r="TVI72" s="684"/>
      <c r="TVJ72" s="684"/>
      <c r="TVK72" s="684"/>
      <c r="TVL72" s="684"/>
      <c r="TVM72" s="684"/>
      <c r="TVN72" s="684"/>
      <c r="TVO72" s="684"/>
      <c r="TVP72" s="684"/>
      <c r="TVQ72" s="684"/>
      <c r="TVR72" s="684"/>
      <c r="TVS72" s="684"/>
      <c r="TVT72" s="684"/>
      <c r="TVU72" s="684"/>
      <c r="TVV72" s="684"/>
      <c r="TVW72" s="684"/>
      <c r="TVX72" s="684"/>
      <c r="TVY72" s="684"/>
      <c r="TVZ72" s="684"/>
      <c r="TWA72" s="684"/>
      <c r="TWB72" s="684"/>
      <c r="TWC72" s="684"/>
      <c r="TWD72" s="684"/>
      <c r="TWE72" s="684"/>
      <c r="TWF72" s="684"/>
      <c r="TWG72" s="684"/>
      <c r="TWH72" s="684"/>
      <c r="TWI72" s="684"/>
      <c r="TWJ72" s="684"/>
      <c r="TWK72" s="684"/>
      <c r="TWL72" s="684"/>
      <c r="TWM72" s="684"/>
      <c r="TWN72" s="684"/>
      <c r="TWO72" s="684"/>
      <c r="TWP72" s="684"/>
      <c r="TWQ72" s="684"/>
      <c r="TWR72" s="684"/>
      <c r="TWS72" s="684"/>
      <c r="TWT72" s="684"/>
      <c r="TWU72" s="684"/>
      <c r="TWV72" s="684"/>
      <c r="TWW72" s="684"/>
      <c r="TWX72" s="684"/>
      <c r="TWY72" s="684"/>
      <c r="TWZ72" s="684"/>
      <c r="TXA72" s="684"/>
      <c r="TXB72" s="684"/>
      <c r="TXC72" s="684"/>
      <c r="TXD72" s="684"/>
      <c r="TXE72" s="684"/>
      <c r="TXF72" s="684"/>
      <c r="TXG72" s="684"/>
      <c r="TXH72" s="684"/>
      <c r="TXI72" s="684"/>
      <c r="TXJ72" s="684"/>
      <c r="TXK72" s="684"/>
      <c r="TXL72" s="684"/>
      <c r="TXM72" s="684"/>
      <c r="TXN72" s="684"/>
      <c r="TXO72" s="684"/>
      <c r="TXP72" s="684"/>
      <c r="TXQ72" s="684"/>
      <c r="TXR72" s="684"/>
      <c r="TXS72" s="684"/>
      <c r="TXT72" s="684"/>
      <c r="TXU72" s="684"/>
      <c r="TXV72" s="684"/>
      <c r="TXW72" s="684"/>
      <c r="TXX72" s="684"/>
      <c r="TXY72" s="684"/>
      <c r="TXZ72" s="684"/>
      <c r="TYA72" s="684"/>
      <c r="TYB72" s="684"/>
      <c r="TYC72" s="684"/>
      <c r="TYD72" s="684"/>
      <c r="TYE72" s="684"/>
      <c r="TYF72" s="684"/>
      <c r="TYG72" s="684"/>
      <c r="TYH72" s="684"/>
      <c r="TYI72" s="684"/>
      <c r="TYJ72" s="684"/>
      <c r="TYK72" s="684"/>
      <c r="TYL72" s="684"/>
      <c r="TYM72" s="684"/>
      <c r="TYN72" s="684"/>
      <c r="TYO72" s="684"/>
      <c r="TYP72" s="684"/>
      <c r="TYQ72" s="684"/>
      <c r="TYR72" s="684"/>
      <c r="TYS72" s="684"/>
      <c r="TYT72" s="684"/>
      <c r="TYU72" s="684"/>
      <c r="TYV72" s="684"/>
      <c r="TYW72" s="684"/>
      <c r="TYX72" s="684"/>
      <c r="TYY72" s="684"/>
      <c r="TYZ72" s="684"/>
      <c r="TZA72" s="684"/>
      <c r="TZB72" s="684"/>
      <c r="TZC72" s="684"/>
      <c r="TZD72" s="684"/>
      <c r="TZE72" s="684"/>
      <c r="TZF72" s="684"/>
      <c r="TZG72" s="684"/>
      <c r="TZH72" s="684"/>
      <c r="TZI72" s="684"/>
      <c r="TZJ72" s="684"/>
      <c r="TZK72" s="684"/>
      <c r="TZL72" s="684"/>
      <c r="TZM72" s="684"/>
      <c r="TZN72" s="684"/>
      <c r="TZO72" s="684"/>
      <c r="TZP72" s="684"/>
      <c r="TZQ72" s="684"/>
      <c r="TZR72" s="684"/>
      <c r="TZS72" s="684"/>
      <c r="TZT72" s="684"/>
      <c r="TZU72" s="684"/>
      <c r="TZV72" s="684"/>
      <c r="TZW72" s="684"/>
      <c r="TZX72" s="684"/>
      <c r="TZY72" s="684"/>
      <c r="TZZ72" s="684"/>
      <c r="UAA72" s="684"/>
      <c r="UAB72" s="684"/>
      <c r="UAC72" s="684"/>
      <c r="UAD72" s="684"/>
      <c r="UAE72" s="684"/>
      <c r="UAF72" s="684"/>
      <c r="UAG72" s="684"/>
      <c r="UAH72" s="684"/>
      <c r="UAI72" s="684"/>
      <c r="UAJ72" s="684"/>
      <c r="UAK72" s="684"/>
      <c r="UAL72" s="684"/>
      <c r="UAM72" s="684"/>
      <c r="UAN72" s="684"/>
      <c r="UAO72" s="684"/>
      <c r="UAP72" s="684"/>
      <c r="UAQ72" s="684"/>
      <c r="UAR72" s="684"/>
      <c r="UAS72" s="684"/>
      <c r="UAT72" s="684"/>
      <c r="UAU72" s="684"/>
      <c r="UAV72" s="684"/>
      <c r="UAW72" s="684"/>
      <c r="UAX72" s="684"/>
      <c r="UAY72" s="684"/>
      <c r="UAZ72" s="684"/>
      <c r="UBA72" s="684"/>
      <c r="UBB72" s="684"/>
      <c r="UBC72" s="684"/>
      <c r="UBD72" s="684"/>
      <c r="UBE72" s="684"/>
      <c r="UBF72" s="684"/>
      <c r="UBG72" s="684"/>
      <c r="UBH72" s="684"/>
      <c r="UBI72" s="684"/>
      <c r="UBJ72" s="684"/>
      <c r="UBK72" s="684"/>
      <c r="UBL72" s="684"/>
      <c r="UBM72" s="684"/>
      <c r="UBN72" s="684"/>
      <c r="UBO72" s="684"/>
      <c r="UBP72" s="684"/>
      <c r="UBQ72" s="684"/>
      <c r="UBR72" s="684"/>
      <c r="UBS72" s="684"/>
      <c r="UBT72" s="684"/>
      <c r="UBU72" s="684"/>
      <c r="UBV72" s="684"/>
      <c r="UBW72" s="684"/>
      <c r="UBX72" s="684"/>
      <c r="UBY72" s="684"/>
      <c r="UBZ72" s="684"/>
      <c r="UCA72" s="684"/>
      <c r="UCB72" s="684"/>
      <c r="UCC72" s="684"/>
      <c r="UCD72" s="684"/>
      <c r="UCE72" s="684"/>
      <c r="UCF72" s="684"/>
      <c r="UCG72" s="684"/>
      <c r="UCH72" s="684"/>
      <c r="UCI72" s="684"/>
      <c r="UCJ72" s="684"/>
      <c r="UCK72" s="684"/>
      <c r="UCL72" s="684"/>
      <c r="UCM72" s="684"/>
      <c r="UCN72" s="684"/>
      <c r="UCO72" s="684"/>
      <c r="UCP72" s="684"/>
      <c r="UCQ72" s="684"/>
      <c r="UCR72" s="684"/>
      <c r="UCS72" s="684"/>
      <c r="UCT72" s="684"/>
      <c r="UCU72" s="684"/>
      <c r="UCV72" s="684"/>
      <c r="UCW72" s="684"/>
      <c r="UCX72" s="684"/>
      <c r="UCY72" s="684"/>
      <c r="UCZ72" s="684"/>
      <c r="UDA72" s="684"/>
      <c r="UDB72" s="684"/>
      <c r="UDC72" s="684"/>
      <c r="UDD72" s="684"/>
      <c r="UDE72" s="684"/>
      <c r="UDF72" s="684"/>
      <c r="UDG72" s="684"/>
      <c r="UDH72" s="684"/>
      <c r="UDI72" s="684"/>
      <c r="UDJ72" s="684"/>
      <c r="UDK72" s="684"/>
      <c r="UDL72" s="684"/>
      <c r="UDM72" s="684"/>
      <c r="UDN72" s="684"/>
      <c r="UDO72" s="684"/>
      <c r="UDP72" s="684"/>
      <c r="UDQ72" s="684"/>
      <c r="UDR72" s="684"/>
      <c r="UDS72" s="684"/>
      <c r="UDT72" s="684"/>
      <c r="UDU72" s="684"/>
      <c r="UDV72" s="684"/>
      <c r="UDW72" s="684"/>
      <c r="UDX72" s="684"/>
      <c r="UDY72" s="684"/>
      <c r="UDZ72" s="684"/>
      <c r="UEA72" s="684"/>
      <c r="UEB72" s="684"/>
      <c r="UEC72" s="684"/>
      <c r="UED72" s="684"/>
      <c r="UEE72" s="684"/>
      <c r="UEF72" s="684"/>
      <c r="UEG72" s="684"/>
      <c r="UEH72" s="684"/>
      <c r="UEI72" s="684"/>
      <c r="UEJ72" s="684"/>
      <c r="UEK72" s="684"/>
      <c r="UEL72" s="684"/>
      <c r="UEM72" s="684"/>
      <c r="UEN72" s="684"/>
      <c r="UEO72" s="684"/>
      <c r="UEP72" s="684"/>
      <c r="UEQ72" s="684"/>
      <c r="UER72" s="684"/>
      <c r="UES72" s="684"/>
      <c r="UET72" s="684"/>
      <c r="UEU72" s="684"/>
      <c r="UEV72" s="684"/>
      <c r="UEW72" s="684"/>
      <c r="UEX72" s="684"/>
      <c r="UEY72" s="684"/>
      <c r="UEZ72" s="684"/>
      <c r="UFA72" s="684"/>
      <c r="UFB72" s="684"/>
      <c r="UFC72" s="684"/>
      <c r="UFD72" s="684"/>
      <c r="UFE72" s="684"/>
      <c r="UFF72" s="684"/>
      <c r="UFG72" s="684"/>
      <c r="UFH72" s="684"/>
      <c r="UFI72" s="684"/>
      <c r="UFJ72" s="684"/>
      <c r="UFK72" s="684"/>
      <c r="UFL72" s="684"/>
      <c r="UFM72" s="684"/>
      <c r="UFN72" s="684"/>
      <c r="UFO72" s="684"/>
      <c r="UFP72" s="684"/>
      <c r="UFQ72" s="684"/>
      <c r="UFR72" s="684"/>
      <c r="UFS72" s="684"/>
      <c r="UFT72" s="684"/>
      <c r="UFU72" s="684"/>
      <c r="UFV72" s="684"/>
      <c r="UFW72" s="684"/>
      <c r="UFX72" s="684"/>
      <c r="UFY72" s="684"/>
      <c r="UFZ72" s="684"/>
      <c r="UGA72" s="684"/>
      <c r="UGB72" s="684"/>
      <c r="UGC72" s="684"/>
      <c r="UGD72" s="684"/>
      <c r="UGE72" s="684"/>
      <c r="UGF72" s="684"/>
      <c r="UGG72" s="684"/>
      <c r="UGH72" s="684"/>
      <c r="UGI72" s="684"/>
      <c r="UGJ72" s="684"/>
      <c r="UGK72" s="684"/>
      <c r="UGL72" s="684"/>
      <c r="UGM72" s="684"/>
      <c r="UGN72" s="684"/>
      <c r="UGO72" s="684"/>
      <c r="UGP72" s="684"/>
      <c r="UGQ72" s="684"/>
      <c r="UGR72" s="684"/>
      <c r="UGS72" s="684"/>
      <c r="UGT72" s="684"/>
      <c r="UGU72" s="684"/>
      <c r="UGV72" s="684"/>
      <c r="UGW72" s="684"/>
      <c r="UGX72" s="684"/>
      <c r="UGY72" s="684"/>
      <c r="UGZ72" s="684"/>
      <c r="UHA72" s="684"/>
      <c r="UHB72" s="684"/>
      <c r="UHC72" s="684"/>
      <c r="UHD72" s="684"/>
      <c r="UHE72" s="684"/>
      <c r="UHF72" s="684"/>
      <c r="UHG72" s="684"/>
      <c r="UHH72" s="684"/>
      <c r="UHI72" s="684"/>
      <c r="UHJ72" s="684"/>
      <c r="UHK72" s="684"/>
      <c r="UHL72" s="684"/>
      <c r="UHM72" s="684"/>
      <c r="UHN72" s="684"/>
      <c r="UHO72" s="684"/>
      <c r="UHP72" s="684"/>
      <c r="UHQ72" s="684"/>
      <c r="UHR72" s="684"/>
      <c r="UHS72" s="684"/>
      <c r="UHT72" s="684"/>
      <c r="UHU72" s="684"/>
      <c r="UHV72" s="684"/>
      <c r="UHW72" s="684"/>
      <c r="UHX72" s="684"/>
      <c r="UHY72" s="684"/>
      <c r="UHZ72" s="684"/>
      <c r="UIA72" s="684"/>
      <c r="UIB72" s="684"/>
      <c r="UIC72" s="684"/>
      <c r="UID72" s="684"/>
      <c r="UIE72" s="684"/>
      <c r="UIF72" s="684"/>
      <c r="UIG72" s="684"/>
      <c r="UIH72" s="684"/>
      <c r="UII72" s="684"/>
      <c r="UIJ72" s="684"/>
      <c r="UIK72" s="684"/>
      <c r="UIL72" s="684"/>
      <c r="UIM72" s="684"/>
      <c r="UIN72" s="684"/>
      <c r="UIO72" s="684"/>
      <c r="UIP72" s="684"/>
      <c r="UIQ72" s="684"/>
      <c r="UIR72" s="684"/>
      <c r="UIS72" s="684"/>
      <c r="UIT72" s="684"/>
      <c r="UIU72" s="684"/>
      <c r="UIV72" s="684"/>
      <c r="UIW72" s="684"/>
      <c r="UIX72" s="684"/>
      <c r="UIY72" s="684"/>
      <c r="UIZ72" s="684"/>
      <c r="UJA72" s="684"/>
      <c r="UJB72" s="684"/>
      <c r="UJC72" s="684"/>
      <c r="UJD72" s="684"/>
      <c r="UJE72" s="684"/>
      <c r="UJF72" s="684"/>
      <c r="UJG72" s="684"/>
      <c r="UJH72" s="684"/>
      <c r="UJI72" s="684"/>
      <c r="UJJ72" s="684"/>
      <c r="UJK72" s="684"/>
      <c r="UJL72" s="684"/>
      <c r="UJM72" s="684"/>
      <c r="UJN72" s="684"/>
      <c r="UJO72" s="684"/>
      <c r="UJP72" s="684"/>
      <c r="UJQ72" s="684"/>
      <c r="UJR72" s="684"/>
      <c r="UJS72" s="684"/>
      <c r="UJT72" s="684"/>
      <c r="UJU72" s="684"/>
      <c r="UJV72" s="684"/>
      <c r="UJW72" s="684"/>
      <c r="UJX72" s="684"/>
      <c r="UJY72" s="684"/>
      <c r="UJZ72" s="684"/>
      <c r="UKA72" s="684"/>
      <c r="UKB72" s="684"/>
      <c r="UKC72" s="684"/>
      <c r="UKD72" s="684"/>
      <c r="UKE72" s="684"/>
      <c r="UKF72" s="684"/>
      <c r="UKG72" s="684"/>
      <c r="UKH72" s="684"/>
      <c r="UKI72" s="684"/>
      <c r="UKJ72" s="684"/>
      <c r="UKK72" s="684"/>
      <c r="UKL72" s="684"/>
      <c r="UKM72" s="684"/>
      <c r="UKN72" s="684"/>
      <c r="UKO72" s="684"/>
      <c r="UKP72" s="684"/>
      <c r="UKQ72" s="684"/>
      <c r="UKR72" s="684"/>
      <c r="UKS72" s="684"/>
      <c r="UKT72" s="684"/>
      <c r="UKU72" s="684"/>
      <c r="UKV72" s="684"/>
      <c r="UKW72" s="684"/>
      <c r="UKX72" s="684"/>
      <c r="UKY72" s="684"/>
      <c r="UKZ72" s="684"/>
      <c r="ULA72" s="684"/>
      <c r="ULB72" s="684"/>
      <c r="ULC72" s="684"/>
      <c r="ULD72" s="684"/>
      <c r="ULE72" s="684"/>
      <c r="ULF72" s="684"/>
      <c r="ULG72" s="684"/>
      <c r="ULH72" s="684"/>
      <c r="ULI72" s="684"/>
      <c r="ULJ72" s="684"/>
      <c r="ULK72" s="684"/>
      <c r="ULL72" s="684"/>
      <c r="ULM72" s="684"/>
      <c r="ULN72" s="684"/>
      <c r="ULO72" s="684"/>
      <c r="ULP72" s="684"/>
      <c r="ULQ72" s="684"/>
      <c r="ULR72" s="684"/>
      <c r="ULS72" s="684"/>
      <c r="ULT72" s="684"/>
      <c r="ULU72" s="684"/>
      <c r="ULV72" s="684"/>
      <c r="ULW72" s="684"/>
      <c r="ULX72" s="684"/>
      <c r="ULY72" s="684"/>
      <c r="ULZ72" s="684"/>
      <c r="UMA72" s="684"/>
      <c r="UMB72" s="684"/>
      <c r="UMC72" s="684"/>
      <c r="UMD72" s="684"/>
      <c r="UME72" s="684"/>
      <c r="UMF72" s="684"/>
      <c r="UMG72" s="684"/>
      <c r="UMH72" s="684"/>
      <c r="UMI72" s="684"/>
      <c r="UMJ72" s="684"/>
      <c r="UMK72" s="684"/>
      <c r="UML72" s="684"/>
      <c r="UMM72" s="684"/>
      <c r="UMN72" s="684"/>
      <c r="UMO72" s="684"/>
      <c r="UMP72" s="684"/>
      <c r="UMQ72" s="684"/>
      <c r="UMR72" s="684"/>
      <c r="UMS72" s="684"/>
      <c r="UMT72" s="684"/>
      <c r="UMU72" s="684"/>
      <c r="UMV72" s="684"/>
      <c r="UMW72" s="684"/>
      <c r="UMX72" s="684"/>
      <c r="UMY72" s="684"/>
      <c r="UMZ72" s="684"/>
      <c r="UNA72" s="684"/>
      <c r="UNB72" s="684"/>
      <c r="UNC72" s="684"/>
      <c r="UND72" s="684"/>
      <c r="UNE72" s="684"/>
      <c r="UNF72" s="684"/>
      <c r="UNG72" s="684"/>
      <c r="UNH72" s="684"/>
      <c r="UNI72" s="684"/>
      <c r="UNJ72" s="684"/>
      <c r="UNK72" s="684"/>
      <c r="UNL72" s="684"/>
      <c r="UNM72" s="684"/>
      <c r="UNN72" s="684"/>
      <c r="UNO72" s="684"/>
      <c r="UNP72" s="684"/>
      <c r="UNQ72" s="684"/>
      <c r="UNR72" s="684"/>
      <c r="UNS72" s="684"/>
      <c r="UNT72" s="684"/>
      <c r="UNU72" s="684"/>
      <c r="UNV72" s="684"/>
      <c r="UNW72" s="684"/>
      <c r="UNX72" s="684"/>
      <c r="UNY72" s="684"/>
      <c r="UNZ72" s="684"/>
      <c r="UOA72" s="684"/>
      <c r="UOB72" s="684"/>
      <c r="UOC72" s="684"/>
      <c r="UOD72" s="684"/>
      <c r="UOE72" s="684"/>
      <c r="UOF72" s="684"/>
      <c r="UOG72" s="684"/>
      <c r="UOH72" s="684"/>
      <c r="UOI72" s="684"/>
      <c r="UOJ72" s="684"/>
      <c r="UOK72" s="684"/>
      <c r="UOL72" s="684"/>
      <c r="UOM72" s="684"/>
      <c r="UON72" s="684"/>
      <c r="UOO72" s="684"/>
      <c r="UOP72" s="684"/>
      <c r="UOQ72" s="684"/>
      <c r="UOR72" s="684"/>
      <c r="UOS72" s="684"/>
      <c r="UOT72" s="684"/>
      <c r="UOU72" s="684"/>
      <c r="UOV72" s="684"/>
      <c r="UOW72" s="684"/>
      <c r="UOX72" s="684"/>
      <c r="UOY72" s="684"/>
      <c r="UOZ72" s="684"/>
      <c r="UPA72" s="684"/>
      <c r="UPB72" s="684"/>
      <c r="UPC72" s="684"/>
      <c r="UPD72" s="684"/>
      <c r="UPE72" s="684"/>
      <c r="UPF72" s="684"/>
      <c r="UPG72" s="684"/>
      <c r="UPH72" s="684"/>
      <c r="UPI72" s="684"/>
      <c r="UPJ72" s="684"/>
      <c r="UPK72" s="684"/>
      <c r="UPL72" s="684"/>
      <c r="UPM72" s="684"/>
      <c r="UPN72" s="684"/>
      <c r="UPO72" s="684"/>
      <c r="UPP72" s="684"/>
      <c r="UPQ72" s="684"/>
      <c r="UPR72" s="684"/>
      <c r="UPS72" s="684"/>
      <c r="UPT72" s="684"/>
      <c r="UPU72" s="684"/>
      <c r="UPV72" s="684"/>
      <c r="UPW72" s="684"/>
      <c r="UPX72" s="684"/>
      <c r="UPY72" s="684"/>
      <c r="UPZ72" s="684"/>
      <c r="UQA72" s="684"/>
      <c r="UQB72" s="684"/>
      <c r="UQC72" s="684"/>
      <c r="UQD72" s="684"/>
      <c r="UQE72" s="684"/>
      <c r="UQF72" s="684"/>
      <c r="UQG72" s="684"/>
      <c r="UQH72" s="684"/>
      <c r="UQI72" s="684"/>
      <c r="UQJ72" s="684"/>
      <c r="UQK72" s="684"/>
      <c r="UQL72" s="684"/>
      <c r="UQM72" s="684"/>
      <c r="UQN72" s="684"/>
      <c r="UQO72" s="684"/>
      <c r="UQP72" s="684"/>
      <c r="UQQ72" s="684"/>
      <c r="UQR72" s="684"/>
      <c r="UQS72" s="684"/>
      <c r="UQT72" s="684"/>
      <c r="UQU72" s="684"/>
      <c r="UQV72" s="684"/>
      <c r="UQW72" s="684"/>
      <c r="UQX72" s="684"/>
      <c r="UQY72" s="684"/>
      <c r="UQZ72" s="684"/>
      <c r="URA72" s="684"/>
      <c r="URB72" s="684"/>
      <c r="URC72" s="684"/>
      <c r="URD72" s="684"/>
      <c r="URE72" s="684"/>
      <c r="URF72" s="684"/>
      <c r="URG72" s="684"/>
      <c r="URH72" s="684"/>
      <c r="URI72" s="684"/>
      <c r="URJ72" s="684"/>
      <c r="URK72" s="684"/>
      <c r="URL72" s="684"/>
      <c r="URM72" s="684"/>
      <c r="URN72" s="684"/>
      <c r="URO72" s="684"/>
      <c r="URP72" s="684"/>
      <c r="URQ72" s="684"/>
      <c r="URR72" s="684"/>
      <c r="URS72" s="684"/>
      <c r="URT72" s="684"/>
      <c r="URU72" s="684"/>
      <c r="URV72" s="684"/>
      <c r="URW72" s="684"/>
      <c r="URX72" s="684"/>
      <c r="URY72" s="684"/>
      <c r="URZ72" s="684"/>
      <c r="USA72" s="684"/>
      <c r="USB72" s="684"/>
      <c r="USC72" s="684"/>
      <c r="USD72" s="684"/>
      <c r="USE72" s="684"/>
      <c r="USF72" s="684"/>
      <c r="USG72" s="684"/>
      <c r="USH72" s="684"/>
      <c r="USI72" s="684"/>
      <c r="USJ72" s="684"/>
      <c r="USK72" s="684"/>
      <c r="USL72" s="684"/>
      <c r="USM72" s="684"/>
      <c r="USN72" s="684"/>
      <c r="USO72" s="684"/>
      <c r="USP72" s="684"/>
      <c r="USQ72" s="684"/>
      <c r="USR72" s="684"/>
      <c r="USS72" s="684"/>
      <c r="UST72" s="684"/>
      <c r="USU72" s="684"/>
      <c r="USV72" s="684"/>
      <c r="USW72" s="684"/>
      <c r="USX72" s="684"/>
      <c r="USY72" s="684"/>
      <c r="USZ72" s="684"/>
      <c r="UTA72" s="684"/>
      <c r="UTB72" s="684"/>
      <c r="UTC72" s="684"/>
      <c r="UTD72" s="684"/>
      <c r="UTE72" s="684"/>
      <c r="UTF72" s="684"/>
      <c r="UTG72" s="684"/>
      <c r="UTH72" s="684"/>
      <c r="UTI72" s="684"/>
      <c r="UTJ72" s="684"/>
      <c r="UTK72" s="684"/>
      <c r="UTL72" s="684"/>
      <c r="UTM72" s="684"/>
      <c r="UTN72" s="684"/>
      <c r="UTO72" s="684"/>
      <c r="UTP72" s="684"/>
      <c r="UTQ72" s="684"/>
      <c r="UTR72" s="684"/>
      <c r="UTS72" s="684"/>
      <c r="UTT72" s="684"/>
      <c r="UTU72" s="684"/>
      <c r="UTV72" s="684"/>
      <c r="UTW72" s="684"/>
      <c r="UTX72" s="684"/>
      <c r="UTY72" s="684"/>
      <c r="UTZ72" s="684"/>
      <c r="UUA72" s="684"/>
      <c r="UUB72" s="684"/>
      <c r="UUC72" s="684"/>
      <c r="UUD72" s="684"/>
      <c r="UUE72" s="684"/>
      <c r="UUF72" s="684"/>
      <c r="UUG72" s="684"/>
      <c r="UUH72" s="684"/>
      <c r="UUI72" s="684"/>
      <c r="UUJ72" s="684"/>
      <c r="UUK72" s="684"/>
      <c r="UUL72" s="684"/>
      <c r="UUM72" s="684"/>
      <c r="UUN72" s="684"/>
      <c r="UUO72" s="684"/>
      <c r="UUP72" s="684"/>
      <c r="UUQ72" s="684"/>
      <c r="UUR72" s="684"/>
      <c r="UUS72" s="684"/>
      <c r="UUT72" s="684"/>
      <c r="UUU72" s="684"/>
      <c r="UUV72" s="684"/>
      <c r="UUW72" s="684"/>
      <c r="UUX72" s="684"/>
      <c r="UUY72" s="684"/>
      <c r="UUZ72" s="684"/>
      <c r="UVA72" s="684"/>
      <c r="UVB72" s="684"/>
      <c r="UVC72" s="684"/>
      <c r="UVD72" s="684"/>
      <c r="UVE72" s="684"/>
      <c r="UVF72" s="684"/>
      <c r="UVG72" s="684"/>
      <c r="UVH72" s="684"/>
      <c r="UVI72" s="684"/>
      <c r="UVJ72" s="684"/>
      <c r="UVK72" s="684"/>
      <c r="UVL72" s="684"/>
      <c r="UVM72" s="684"/>
      <c r="UVN72" s="684"/>
      <c r="UVO72" s="684"/>
      <c r="UVP72" s="684"/>
      <c r="UVQ72" s="684"/>
      <c r="UVR72" s="684"/>
      <c r="UVS72" s="684"/>
      <c r="UVT72" s="684"/>
      <c r="UVU72" s="684"/>
      <c r="UVV72" s="684"/>
      <c r="UVW72" s="684"/>
      <c r="UVX72" s="684"/>
      <c r="UVY72" s="684"/>
      <c r="UVZ72" s="684"/>
      <c r="UWA72" s="684"/>
      <c r="UWB72" s="684"/>
      <c r="UWC72" s="684"/>
      <c r="UWD72" s="684"/>
      <c r="UWE72" s="684"/>
      <c r="UWF72" s="684"/>
      <c r="UWG72" s="684"/>
      <c r="UWH72" s="684"/>
      <c r="UWI72" s="684"/>
      <c r="UWJ72" s="684"/>
      <c r="UWK72" s="684"/>
      <c r="UWL72" s="684"/>
      <c r="UWM72" s="684"/>
      <c r="UWN72" s="684"/>
      <c r="UWO72" s="684"/>
      <c r="UWP72" s="684"/>
      <c r="UWQ72" s="684"/>
      <c r="UWR72" s="684"/>
      <c r="UWS72" s="684"/>
      <c r="UWT72" s="684"/>
      <c r="UWU72" s="684"/>
      <c r="UWV72" s="684"/>
      <c r="UWW72" s="684"/>
      <c r="UWX72" s="684"/>
      <c r="UWY72" s="684"/>
      <c r="UWZ72" s="684"/>
      <c r="UXA72" s="684"/>
      <c r="UXB72" s="684"/>
      <c r="UXC72" s="684"/>
      <c r="UXD72" s="684"/>
      <c r="UXE72" s="684"/>
      <c r="UXF72" s="684"/>
      <c r="UXG72" s="684"/>
      <c r="UXH72" s="684"/>
      <c r="UXI72" s="684"/>
      <c r="UXJ72" s="684"/>
      <c r="UXK72" s="684"/>
      <c r="UXL72" s="684"/>
      <c r="UXM72" s="684"/>
      <c r="UXN72" s="684"/>
      <c r="UXO72" s="684"/>
      <c r="UXP72" s="684"/>
      <c r="UXQ72" s="684"/>
      <c r="UXR72" s="684"/>
      <c r="UXS72" s="684"/>
      <c r="UXT72" s="684"/>
      <c r="UXU72" s="684"/>
      <c r="UXV72" s="684"/>
      <c r="UXW72" s="684"/>
      <c r="UXX72" s="684"/>
      <c r="UXY72" s="684"/>
      <c r="UXZ72" s="684"/>
      <c r="UYA72" s="684"/>
      <c r="UYB72" s="684"/>
      <c r="UYC72" s="684"/>
      <c r="UYD72" s="684"/>
      <c r="UYE72" s="684"/>
      <c r="UYF72" s="684"/>
      <c r="UYG72" s="684"/>
      <c r="UYH72" s="684"/>
      <c r="UYI72" s="684"/>
      <c r="UYJ72" s="684"/>
      <c r="UYK72" s="684"/>
      <c r="UYL72" s="684"/>
      <c r="UYM72" s="684"/>
      <c r="UYN72" s="684"/>
      <c r="UYO72" s="684"/>
      <c r="UYP72" s="684"/>
      <c r="UYQ72" s="684"/>
      <c r="UYR72" s="684"/>
      <c r="UYS72" s="684"/>
      <c r="UYT72" s="684"/>
      <c r="UYU72" s="684"/>
      <c r="UYV72" s="684"/>
      <c r="UYW72" s="684"/>
      <c r="UYX72" s="684"/>
      <c r="UYY72" s="684"/>
      <c r="UYZ72" s="684"/>
      <c r="UZA72" s="684"/>
      <c r="UZB72" s="684"/>
      <c r="UZC72" s="684"/>
      <c r="UZD72" s="684"/>
      <c r="UZE72" s="684"/>
      <c r="UZF72" s="684"/>
      <c r="UZG72" s="684"/>
      <c r="UZH72" s="684"/>
      <c r="UZI72" s="684"/>
      <c r="UZJ72" s="684"/>
      <c r="UZK72" s="684"/>
      <c r="UZL72" s="684"/>
      <c r="UZM72" s="684"/>
      <c r="UZN72" s="684"/>
      <c r="UZO72" s="684"/>
      <c r="UZP72" s="684"/>
      <c r="UZQ72" s="684"/>
      <c r="UZR72" s="684"/>
      <c r="UZS72" s="684"/>
      <c r="UZT72" s="684"/>
      <c r="UZU72" s="684"/>
      <c r="UZV72" s="684"/>
      <c r="UZW72" s="684"/>
      <c r="UZX72" s="684"/>
      <c r="UZY72" s="684"/>
      <c r="UZZ72" s="684"/>
      <c r="VAA72" s="684"/>
      <c r="VAB72" s="684"/>
      <c r="VAC72" s="684"/>
      <c r="VAD72" s="684"/>
      <c r="VAE72" s="684"/>
      <c r="VAF72" s="684"/>
      <c r="VAG72" s="684"/>
      <c r="VAH72" s="684"/>
      <c r="VAI72" s="684"/>
      <c r="VAJ72" s="684"/>
      <c r="VAK72" s="684"/>
      <c r="VAL72" s="684"/>
      <c r="VAM72" s="684"/>
      <c r="VAN72" s="684"/>
      <c r="VAO72" s="684"/>
      <c r="VAP72" s="684"/>
      <c r="VAQ72" s="684"/>
      <c r="VAR72" s="684"/>
      <c r="VAS72" s="684"/>
      <c r="VAT72" s="684"/>
      <c r="VAU72" s="684"/>
      <c r="VAV72" s="684"/>
      <c r="VAW72" s="684"/>
      <c r="VAX72" s="684"/>
      <c r="VAY72" s="684"/>
      <c r="VAZ72" s="684"/>
      <c r="VBA72" s="684"/>
      <c r="VBB72" s="684"/>
      <c r="VBC72" s="684"/>
      <c r="VBD72" s="684"/>
      <c r="VBE72" s="684"/>
      <c r="VBF72" s="684"/>
      <c r="VBG72" s="684"/>
      <c r="VBH72" s="684"/>
      <c r="VBI72" s="684"/>
      <c r="VBJ72" s="684"/>
      <c r="VBK72" s="684"/>
      <c r="VBL72" s="684"/>
      <c r="VBM72" s="684"/>
      <c r="VBN72" s="684"/>
      <c r="VBO72" s="684"/>
      <c r="VBP72" s="684"/>
      <c r="VBQ72" s="684"/>
      <c r="VBR72" s="684"/>
      <c r="VBS72" s="684"/>
      <c r="VBT72" s="684"/>
      <c r="VBU72" s="684"/>
      <c r="VBV72" s="684"/>
      <c r="VBW72" s="684"/>
      <c r="VBX72" s="684"/>
      <c r="VBY72" s="684"/>
      <c r="VBZ72" s="684"/>
      <c r="VCA72" s="684"/>
      <c r="VCB72" s="684"/>
      <c r="VCC72" s="684"/>
      <c r="VCD72" s="684"/>
      <c r="VCE72" s="684"/>
      <c r="VCF72" s="684"/>
      <c r="VCG72" s="684"/>
      <c r="VCH72" s="684"/>
      <c r="VCI72" s="684"/>
      <c r="VCJ72" s="684"/>
      <c r="VCK72" s="684"/>
      <c r="VCL72" s="684"/>
      <c r="VCM72" s="684"/>
      <c r="VCN72" s="684"/>
      <c r="VCO72" s="684"/>
      <c r="VCP72" s="684"/>
      <c r="VCQ72" s="684"/>
      <c r="VCR72" s="684"/>
      <c r="VCS72" s="684"/>
      <c r="VCT72" s="684"/>
      <c r="VCU72" s="684"/>
      <c r="VCV72" s="684"/>
      <c r="VCW72" s="684"/>
      <c r="VCX72" s="684"/>
      <c r="VCY72" s="684"/>
      <c r="VCZ72" s="684"/>
      <c r="VDA72" s="684"/>
      <c r="VDB72" s="684"/>
      <c r="VDC72" s="684"/>
      <c r="VDD72" s="684"/>
      <c r="VDE72" s="684"/>
      <c r="VDF72" s="684"/>
      <c r="VDG72" s="684"/>
      <c r="VDH72" s="684"/>
      <c r="VDI72" s="684"/>
      <c r="VDJ72" s="684"/>
      <c r="VDK72" s="684"/>
      <c r="VDL72" s="684"/>
      <c r="VDM72" s="684"/>
      <c r="VDN72" s="684"/>
      <c r="VDO72" s="684"/>
      <c r="VDP72" s="684"/>
      <c r="VDQ72" s="684"/>
      <c r="VDR72" s="684"/>
      <c r="VDS72" s="684"/>
      <c r="VDT72" s="684"/>
      <c r="VDU72" s="684"/>
      <c r="VDV72" s="684"/>
      <c r="VDW72" s="684"/>
      <c r="VDX72" s="684"/>
      <c r="VDY72" s="684"/>
      <c r="VDZ72" s="684"/>
      <c r="VEA72" s="684"/>
      <c r="VEB72" s="684"/>
      <c r="VEC72" s="684"/>
      <c r="VED72" s="684"/>
      <c r="VEE72" s="684"/>
      <c r="VEF72" s="684"/>
      <c r="VEG72" s="684"/>
      <c r="VEH72" s="684"/>
      <c r="VEI72" s="684"/>
      <c r="VEJ72" s="684"/>
      <c r="VEK72" s="684"/>
      <c r="VEL72" s="684"/>
      <c r="VEM72" s="684"/>
      <c r="VEN72" s="684"/>
      <c r="VEO72" s="684"/>
      <c r="VEP72" s="684"/>
      <c r="VEQ72" s="684"/>
      <c r="VER72" s="684"/>
      <c r="VES72" s="684"/>
      <c r="VET72" s="684"/>
      <c r="VEU72" s="684"/>
      <c r="VEV72" s="684"/>
      <c r="VEW72" s="684"/>
      <c r="VEX72" s="684"/>
      <c r="VEY72" s="684"/>
      <c r="VEZ72" s="684"/>
      <c r="VFA72" s="684"/>
      <c r="VFB72" s="684"/>
      <c r="VFC72" s="684"/>
      <c r="VFD72" s="684"/>
      <c r="VFE72" s="684"/>
      <c r="VFF72" s="684"/>
      <c r="VFG72" s="684"/>
      <c r="VFH72" s="684"/>
      <c r="VFI72" s="684"/>
      <c r="VFJ72" s="684"/>
      <c r="VFK72" s="684"/>
      <c r="VFL72" s="684"/>
      <c r="VFM72" s="684"/>
      <c r="VFN72" s="684"/>
      <c r="VFO72" s="684"/>
      <c r="VFP72" s="684"/>
      <c r="VFQ72" s="684"/>
      <c r="VFR72" s="684"/>
      <c r="VFS72" s="684"/>
      <c r="VFT72" s="684"/>
      <c r="VFU72" s="684"/>
      <c r="VFV72" s="684"/>
      <c r="VFW72" s="684"/>
      <c r="VFX72" s="684"/>
      <c r="VFY72" s="684"/>
      <c r="VFZ72" s="684"/>
      <c r="VGA72" s="684"/>
      <c r="VGB72" s="684"/>
      <c r="VGC72" s="684"/>
      <c r="VGD72" s="684"/>
      <c r="VGE72" s="684"/>
      <c r="VGF72" s="684"/>
      <c r="VGG72" s="684"/>
      <c r="VGH72" s="684"/>
      <c r="VGI72" s="684"/>
      <c r="VGJ72" s="684"/>
      <c r="VGK72" s="684"/>
      <c r="VGL72" s="684"/>
      <c r="VGM72" s="684"/>
      <c r="VGN72" s="684"/>
      <c r="VGO72" s="684"/>
      <c r="VGP72" s="684"/>
      <c r="VGQ72" s="684"/>
      <c r="VGR72" s="684"/>
      <c r="VGS72" s="684"/>
      <c r="VGT72" s="684"/>
      <c r="VGU72" s="684"/>
      <c r="VGV72" s="684"/>
      <c r="VGW72" s="684"/>
      <c r="VGX72" s="684"/>
      <c r="VGY72" s="684"/>
      <c r="VGZ72" s="684"/>
      <c r="VHA72" s="684"/>
      <c r="VHB72" s="684"/>
      <c r="VHC72" s="684"/>
      <c r="VHD72" s="684"/>
      <c r="VHE72" s="684"/>
      <c r="VHF72" s="684"/>
      <c r="VHG72" s="684"/>
      <c r="VHH72" s="684"/>
      <c r="VHI72" s="684"/>
      <c r="VHJ72" s="684"/>
      <c r="VHK72" s="684"/>
      <c r="VHL72" s="684"/>
      <c r="VHM72" s="684"/>
      <c r="VHN72" s="684"/>
      <c r="VHO72" s="684"/>
      <c r="VHP72" s="684"/>
      <c r="VHQ72" s="684"/>
      <c r="VHR72" s="684"/>
      <c r="VHS72" s="684"/>
      <c r="VHT72" s="684"/>
      <c r="VHU72" s="684"/>
      <c r="VHV72" s="684"/>
      <c r="VHW72" s="684"/>
      <c r="VHX72" s="684"/>
      <c r="VHY72" s="684"/>
      <c r="VHZ72" s="684"/>
      <c r="VIA72" s="684"/>
      <c r="VIB72" s="684"/>
      <c r="VIC72" s="684"/>
      <c r="VID72" s="684"/>
      <c r="VIE72" s="684"/>
      <c r="VIF72" s="684"/>
      <c r="VIG72" s="684"/>
      <c r="VIH72" s="684"/>
      <c r="VII72" s="684"/>
      <c r="VIJ72" s="684"/>
      <c r="VIK72" s="684"/>
      <c r="VIL72" s="684"/>
      <c r="VIM72" s="684"/>
      <c r="VIN72" s="684"/>
      <c r="VIO72" s="684"/>
      <c r="VIP72" s="684"/>
      <c r="VIQ72" s="684"/>
      <c r="VIR72" s="684"/>
      <c r="VIS72" s="684"/>
      <c r="VIT72" s="684"/>
      <c r="VIU72" s="684"/>
      <c r="VIV72" s="684"/>
      <c r="VIW72" s="684"/>
      <c r="VIX72" s="684"/>
      <c r="VIY72" s="684"/>
      <c r="VIZ72" s="684"/>
      <c r="VJA72" s="684"/>
      <c r="VJB72" s="684"/>
      <c r="VJC72" s="684"/>
      <c r="VJD72" s="684"/>
      <c r="VJE72" s="684"/>
      <c r="VJF72" s="684"/>
      <c r="VJG72" s="684"/>
      <c r="VJH72" s="684"/>
      <c r="VJI72" s="684"/>
      <c r="VJJ72" s="684"/>
      <c r="VJK72" s="684"/>
      <c r="VJL72" s="684"/>
      <c r="VJM72" s="684"/>
      <c r="VJN72" s="684"/>
      <c r="VJO72" s="684"/>
      <c r="VJP72" s="684"/>
      <c r="VJQ72" s="684"/>
      <c r="VJR72" s="684"/>
      <c r="VJS72" s="684"/>
      <c r="VJT72" s="684"/>
      <c r="VJU72" s="684"/>
      <c r="VJV72" s="684"/>
      <c r="VJW72" s="684"/>
      <c r="VJX72" s="684"/>
      <c r="VJY72" s="684"/>
      <c r="VJZ72" s="684"/>
      <c r="VKA72" s="684"/>
      <c r="VKB72" s="684"/>
      <c r="VKC72" s="684"/>
      <c r="VKD72" s="684"/>
      <c r="VKE72" s="684"/>
      <c r="VKF72" s="684"/>
      <c r="VKG72" s="684"/>
      <c r="VKH72" s="684"/>
      <c r="VKI72" s="684"/>
      <c r="VKJ72" s="684"/>
      <c r="VKK72" s="684"/>
      <c r="VKL72" s="684"/>
      <c r="VKM72" s="684"/>
      <c r="VKN72" s="684"/>
      <c r="VKO72" s="684"/>
      <c r="VKP72" s="684"/>
      <c r="VKQ72" s="684"/>
      <c r="VKR72" s="684"/>
      <c r="VKS72" s="684"/>
      <c r="VKT72" s="684"/>
      <c r="VKU72" s="684"/>
      <c r="VKV72" s="684"/>
      <c r="VKW72" s="684"/>
      <c r="VKX72" s="684"/>
      <c r="VKY72" s="684"/>
      <c r="VKZ72" s="684"/>
      <c r="VLA72" s="684"/>
      <c r="VLB72" s="684"/>
      <c r="VLC72" s="684"/>
      <c r="VLD72" s="684"/>
      <c r="VLE72" s="684"/>
      <c r="VLF72" s="684"/>
      <c r="VLG72" s="684"/>
      <c r="VLH72" s="684"/>
      <c r="VLI72" s="684"/>
      <c r="VLJ72" s="684"/>
      <c r="VLK72" s="684"/>
      <c r="VLL72" s="684"/>
      <c r="VLM72" s="684"/>
      <c r="VLN72" s="684"/>
      <c r="VLO72" s="684"/>
      <c r="VLP72" s="684"/>
      <c r="VLQ72" s="684"/>
      <c r="VLR72" s="684"/>
      <c r="VLS72" s="684"/>
      <c r="VLT72" s="684"/>
      <c r="VLU72" s="684"/>
      <c r="VLV72" s="684"/>
      <c r="VLW72" s="684"/>
      <c r="VLX72" s="684"/>
      <c r="VLY72" s="684"/>
      <c r="VLZ72" s="684"/>
      <c r="VMA72" s="684"/>
      <c r="VMB72" s="684"/>
      <c r="VMC72" s="684"/>
      <c r="VMD72" s="684"/>
      <c r="VME72" s="684"/>
      <c r="VMF72" s="684"/>
      <c r="VMG72" s="684"/>
      <c r="VMH72" s="684"/>
      <c r="VMI72" s="684"/>
      <c r="VMJ72" s="684"/>
      <c r="VMK72" s="684"/>
      <c r="VML72" s="684"/>
      <c r="VMM72" s="684"/>
      <c r="VMN72" s="684"/>
      <c r="VMO72" s="684"/>
      <c r="VMP72" s="684"/>
      <c r="VMQ72" s="684"/>
      <c r="VMR72" s="684"/>
      <c r="VMS72" s="684"/>
      <c r="VMT72" s="684"/>
      <c r="VMU72" s="684"/>
      <c r="VMV72" s="684"/>
      <c r="VMW72" s="684"/>
      <c r="VMX72" s="684"/>
      <c r="VMY72" s="684"/>
      <c r="VMZ72" s="684"/>
      <c r="VNA72" s="684"/>
      <c r="VNB72" s="684"/>
      <c r="VNC72" s="684"/>
      <c r="VND72" s="684"/>
      <c r="VNE72" s="684"/>
      <c r="VNF72" s="684"/>
      <c r="VNG72" s="684"/>
      <c r="VNH72" s="684"/>
      <c r="VNI72" s="684"/>
      <c r="VNJ72" s="684"/>
      <c r="VNK72" s="684"/>
      <c r="VNL72" s="684"/>
      <c r="VNM72" s="684"/>
      <c r="VNN72" s="684"/>
      <c r="VNO72" s="684"/>
      <c r="VNP72" s="684"/>
      <c r="VNQ72" s="684"/>
      <c r="VNR72" s="684"/>
      <c r="VNS72" s="684"/>
      <c r="VNT72" s="684"/>
      <c r="VNU72" s="684"/>
      <c r="VNV72" s="684"/>
      <c r="VNW72" s="684"/>
      <c r="VNX72" s="684"/>
      <c r="VNY72" s="684"/>
      <c r="VNZ72" s="684"/>
      <c r="VOA72" s="684"/>
      <c r="VOB72" s="684"/>
      <c r="VOC72" s="684"/>
      <c r="VOD72" s="684"/>
      <c r="VOE72" s="684"/>
      <c r="VOF72" s="684"/>
      <c r="VOG72" s="684"/>
      <c r="VOH72" s="684"/>
      <c r="VOI72" s="684"/>
      <c r="VOJ72" s="684"/>
      <c r="VOK72" s="684"/>
      <c r="VOL72" s="684"/>
      <c r="VOM72" s="684"/>
      <c r="VON72" s="684"/>
      <c r="VOO72" s="684"/>
      <c r="VOP72" s="684"/>
      <c r="VOQ72" s="684"/>
      <c r="VOR72" s="684"/>
      <c r="VOS72" s="684"/>
      <c r="VOT72" s="684"/>
      <c r="VOU72" s="684"/>
      <c r="VOV72" s="684"/>
      <c r="VOW72" s="684"/>
      <c r="VOX72" s="684"/>
      <c r="VOY72" s="684"/>
      <c r="VOZ72" s="684"/>
      <c r="VPA72" s="684"/>
      <c r="VPB72" s="684"/>
      <c r="VPC72" s="684"/>
      <c r="VPD72" s="684"/>
      <c r="VPE72" s="684"/>
      <c r="VPF72" s="684"/>
      <c r="VPG72" s="684"/>
      <c r="VPH72" s="684"/>
      <c r="VPI72" s="684"/>
      <c r="VPJ72" s="684"/>
      <c r="VPK72" s="684"/>
      <c r="VPL72" s="684"/>
      <c r="VPM72" s="684"/>
      <c r="VPN72" s="684"/>
      <c r="VPO72" s="684"/>
      <c r="VPP72" s="684"/>
      <c r="VPQ72" s="684"/>
      <c r="VPR72" s="684"/>
      <c r="VPS72" s="684"/>
      <c r="VPT72" s="684"/>
      <c r="VPU72" s="684"/>
      <c r="VPV72" s="684"/>
      <c r="VPW72" s="684"/>
      <c r="VPX72" s="684"/>
      <c r="VPY72" s="684"/>
      <c r="VPZ72" s="684"/>
      <c r="VQA72" s="684"/>
      <c r="VQB72" s="684"/>
      <c r="VQC72" s="684"/>
      <c r="VQD72" s="684"/>
      <c r="VQE72" s="684"/>
      <c r="VQF72" s="684"/>
      <c r="VQG72" s="684"/>
      <c r="VQH72" s="684"/>
      <c r="VQI72" s="684"/>
      <c r="VQJ72" s="684"/>
      <c r="VQK72" s="684"/>
      <c r="VQL72" s="684"/>
      <c r="VQM72" s="684"/>
      <c r="VQN72" s="684"/>
      <c r="VQO72" s="684"/>
      <c r="VQP72" s="684"/>
      <c r="VQQ72" s="684"/>
      <c r="VQR72" s="684"/>
      <c r="VQS72" s="684"/>
      <c r="VQT72" s="684"/>
      <c r="VQU72" s="684"/>
      <c r="VQV72" s="684"/>
      <c r="VQW72" s="684"/>
      <c r="VQX72" s="684"/>
      <c r="VQY72" s="684"/>
      <c r="VQZ72" s="684"/>
      <c r="VRA72" s="684"/>
      <c r="VRB72" s="684"/>
      <c r="VRC72" s="684"/>
      <c r="VRD72" s="684"/>
      <c r="VRE72" s="684"/>
      <c r="VRF72" s="684"/>
      <c r="VRG72" s="684"/>
      <c r="VRH72" s="684"/>
      <c r="VRI72" s="684"/>
      <c r="VRJ72" s="684"/>
      <c r="VRK72" s="684"/>
      <c r="VRL72" s="684"/>
      <c r="VRM72" s="684"/>
      <c r="VRN72" s="684"/>
      <c r="VRO72" s="684"/>
      <c r="VRP72" s="684"/>
      <c r="VRQ72" s="684"/>
      <c r="VRR72" s="684"/>
      <c r="VRS72" s="684"/>
      <c r="VRT72" s="684"/>
      <c r="VRU72" s="684"/>
      <c r="VRV72" s="684"/>
      <c r="VRW72" s="684"/>
      <c r="VRX72" s="684"/>
      <c r="VRY72" s="684"/>
      <c r="VRZ72" s="684"/>
      <c r="VSA72" s="684"/>
      <c r="VSB72" s="684"/>
      <c r="VSC72" s="684"/>
      <c r="VSD72" s="684"/>
      <c r="VSE72" s="684"/>
      <c r="VSF72" s="684"/>
      <c r="VSG72" s="684"/>
      <c r="VSH72" s="684"/>
      <c r="VSI72" s="684"/>
      <c r="VSJ72" s="684"/>
      <c r="VSK72" s="684"/>
      <c r="VSL72" s="684"/>
      <c r="VSM72" s="684"/>
      <c r="VSN72" s="684"/>
      <c r="VSO72" s="684"/>
      <c r="VSP72" s="684"/>
      <c r="VSQ72" s="684"/>
      <c r="VSR72" s="684"/>
      <c r="VSS72" s="684"/>
      <c r="VST72" s="684"/>
      <c r="VSU72" s="684"/>
      <c r="VSV72" s="684"/>
      <c r="VSW72" s="684"/>
      <c r="VSX72" s="684"/>
      <c r="VSY72" s="684"/>
      <c r="VSZ72" s="684"/>
      <c r="VTA72" s="684"/>
      <c r="VTB72" s="684"/>
      <c r="VTC72" s="684"/>
      <c r="VTD72" s="684"/>
      <c r="VTE72" s="684"/>
      <c r="VTF72" s="684"/>
      <c r="VTG72" s="684"/>
      <c r="VTH72" s="684"/>
      <c r="VTI72" s="684"/>
      <c r="VTJ72" s="684"/>
      <c r="VTK72" s="684"/>
      <c r="VTL72" s="684"/>
      <c r="VTM72" s="684"/>
      <c r="VTN72" s="684"/>
      <c r="VTO72" s="684"/>
      <c r="VTP72" s="684"/>
      <c r="VTQ72" s="684"/>
      <c r="VTR72" s="684"/>
      <c r="VTS72" s="684"/>
      <c r="VTT72" s="684"/>
      <c r="VTU72" s="684"/>
      <c r="VTV72" s="684"/>
      <c r="VTW72" s="684"/>
      <c r="VTX72" s="684"/>
      <c r="VTY72" s="684"/>
      <c r="VTZ72" s="684"/>
      <c r="VUA72" s="684"/>
      <c r="VUB72" s="684"/>
      <c r="VUC72" s="684"/>
      <c r="VUD72" s="684"/>
      <c r="VUE72" s="684"/>
      <c r="VUF72" s="684"/>
      <c r="VUG72" s="684"/>
      <c r="VUH72" s="684"/>
      <c r="VUI72" s="684"/>
      <c r="VUJ72" s="684"/>
      <c r="VUK72" s="684"/>
      <c r="VUL72" s="684"/>
      <c r="VUM72" s="684"/>
      <c r="VUN72" s="684"/>
      <c r="VUO72" s="684"/>
      <c r="VUP72" s="684"/>
      <c r="VUQ72" s="684"/>
      <c r="VUR72" s="684"/>
      <c r="VUS72" s="684"/>
      <c r="VUT72" s="684"/>
      <c r="VUU72" s="684"/>
      <c r="VUV72" s="684"/>
      <c r="VUW72" s="684"/>
      <c r="VUX72" s="684"/>
      <c r="VUY72" s="684"/>
      <c r="VUZ72" s="684"/>
      <c r="VVA72" s="684"/>
      <c r="VVB72" s="684"/>
      <c r="VVC72" s="684"/>
      <c r="VVD72" s="684"/>
      <c r="VVE72" s="684"/>
      <c r="VVF72" s="684"/>
      <c r="VVG72" s="684"/>
      <c r="VVH72" s="684"/>
      <c r="VVI72" s="684"/>
      <c r="VVJ72" s="684"/>
      <c r="VVK72" s="684"/>
      <c r="VVL72" s="684"/>
      <c r="VVM72" s="684"/>
      <c r="VVN72" s="684"/>
      <c r="VVO72" s="684"/>
      <c r="VVP72" s="684"/>
      <c r="VVQ72" s="684"/>
      <c r="VVR72" s="684"/>
      <c r="VVS72" s="684"/>
      <c r="VVT72" s="684"/>
      <c r="VVU72" s="684"/>
      <c r="VVV72" s="684"/>
      <c r="VVW72" s="684"/>
      <c r="VVX72" s="684"/>
      <c r="VVY72" s="684"/>
      <c r="VVZ72" s="684"/>
      <c r="VWA72" s="684"/>
      <c r="VWB72" s="684"/>
      <c r="VWC72" s="684"/>
      <c r="VWD72" s="684"/>
      <c r="VWE72" s="684"/>
      <c r="VWF72" s="684"/>
      <c r="VWG72" s="684"/>
      <c r="VWH72" s="684"/>
      <c r="VWI72" s="684"/>
      <c r="VWJ72" s="684"/>
      <c r="VWK72" s="684"/>
      <c r="VWL72" s="684"/>
      <c r="VWM72" s="684"/>
      <c r="VWN72" s="684"/>
      <c r="VWO72" s="684"/>
      <c r="VWP72" s="684"/>
      <c r="VWQ72" s="684"/>
      <c r="VWR72" s="684"/>
      <c r="VWS72" s="684"/>
      <c r="VWT72" s="684"/>
      <c r="VWU72" s="684"/>
      <c r="VWV72" s="684"/>
      <c r="VWW72" s="684"/>
      <c r="VWX72" s="684"/>
      <c r="VWY72" s="684"/>
      <c r="VWZ72" s="684"/>
      <c r="VXA72" s="684"/>
      <c r="VXB72" s="684"/>
      <c r="VXC72" s="684"/>
      <c r="VXD72" s="684"/>
      <c r="VXE72" s="684"/>
      <c r="VXF72" s="684"/>
      <c r="VXG72" s="684"/>
      <c r="VXH72" s="684"/>
      <c r="VXI72" s="684"/>
      <c r="VXJ72" s="684"/>
      <c r="VXK72" s="684"/>
      <c r="VXL72" s="684"/>
      <c r="VXM72" s="684"/>
      <c r="VXN72" s="684"/>
      <c r="VXO72" s="684"/>
      <c r="VXP72" s="684"/>
      <c r="VXQ72" s="684"/>
      <c r="VXR72" s="684"/>
      <c r="VXS72" s="684"/>
      <c r="VXT72" s="684"/>
      <c r="VXU72" s="684"/>
      <c r="VXV72" s="684"/>
      <c r="VXW72" s="684"/>
      <c r="VXX72" s="684"/>
      <c r="VXY72" s="684"/>
      <c r="VXZ72" s="684"/>
      <c r="VYA72" s="684"/>
      <c r="VYB72" s="684"/>
      <c r="VYC72" s="684"/>
      <c r="VYD72" s="684"/>
      <c r="VYE72" s="684"/>
      <c r="VYF72" s="684"/>
      <c r="VYG72" s="684"/>
      <c r="VYH72" s="684"/>
      <c r="VYI72" s="684"/>
      <c r="VYJ72" s="684"/>
      <c r="VYK72" s="684"/>
      <c r="VYL72" s="684"/>
      <c r="VYM72" s="684"/>
      <c r="VYN72" s="684"/>
      <c r="VYO72" s="684"/>
      <c r="VYP72" s="684"/>
      <c r="VYQ72" s="684"/>
      <c r="VYR72" s="684"/>
      <c r="VYS72" s="684"/>
      <c r="VYT72" s="684"/>
      <c r="VYU72" s="684"/>
      <c r="VYV72" s="684"/>
      <c r="VYW72" s="684"/>
      <c r="VYX72" s="684"/>
      <c r="VYY72" s="684"/>
      <c r="VYZ72" s="684"/>
      <c r="VZA72" s="684"/>
      <c r="VZB72" s="684"/>
      <c r="VZC72" s="684"/>
      <c r="VZD72" s="684"/>
      <c r="VZE72" s="684"/>
      <c r="VZF72" s="684"/>
      <c r="VZG72" s="684"/>
      <c r="VZH72" s="684"/>
      <c r="VZI72" s="684"/>
      <c r="VZJ72" s="684"/>
      <c r="VZK72" s="684"/>
      <c r="VZL72" s="684"/>
      <c r="VZM72" s="684"/>
      <c r="VZN72" s="684"/>
      <c r="VZO72" s="684"/>
      <c r="VZP72" s="684"/>
      <c r="VZQ72" s="684"/>
      <c r="VZR72" s="684"/>
      <c r="VZS72" s="684"/>
      <c r="VZT72" s="684"/>
      <c r="VZU72" s="684"/>
      <c r="VZV72" s="684"/>
      <c r="VZW72" s="684"/>
      <c r="VZX72" s="684"/>
      <c r="VZY72" s="684"/>
      <c r="VZZ72" s="684"/>
      <c r="WAA72" s="684"/>
      <c r="WAB72" s="684"/>
      <c r="WAC72" s="684"/>
      <c r="WAD72" s="684"/>
      <c r="WAE72" s="684"/>
      <c r="WAF72" s="684"/>
      <c r="WAG72" s="684"/>
      <c r="WAH72" s="684"/>
      <c r="WAI72" s="684"/>
      <c r="WAJ72" s="684"/>
      <c r="WAK72" s="684"/>
      <c r="WAL72" s="684"/>
      <c r="WAM72" s="684"/>
      <c r="WAN72" s="684"/>
      <c r="WAO72" s="684"/>
      <c r="WAP72" s="684"/>
      <c r="WAQ72" s="684"/>
      <c r="WAR72" s="684"/>
      <c r="WAS72" s="684"/>
      <c r="WAT72" s="684"/>
      <c r="WAU72" s="684"/>
      <c r="WAV72" s="684"/>
      <c r="WAW72" s="684"/>
      <c r="WAX72" s="684"/>
      <c r="WAY72" s="684"/>
      <c r="WAZ72" s="684"/>
      <c r="WBA72" s="684"/>
      <c r="WBB72" s="684"/>
      <c r="WBC72" s="684"/>
      <c r="WBD72" s="684"/>
      <c r="WBE72" s="684"/>
      <c r="WBF72" s="684"/>
      <c r="WBG72" s="684"/>
      <c r="WBH72" s="684"/>
      <c r="WBI72" s="684"/>
      <c r="WBJ72" s="684"/>
      <c r="WBK72" s="684"/>
      <c r="WBL72" s="684"/>
      <c r="WBM72" s="684"/>
      <c r="WBN72" s="684"/>
      <c r="WBO72" s="684"/>
      <c r="WBP72" s="684"/>
      <c r="WBQ72" s="684"/>
      <c r="WBR72" s="684"/>
      <c r="WBS72" s="684"/>
      <c r="WBT72" s="684"/>
      <c r="WBU72" s="684"/>
      <c r="WBV72" s="684"/>
      <c r="WBW72" s="684"/>
      <c r="WBX72" s="684"/>
      <c r="WBY72" s="684"/>
      <c r="WBZ72" s="684"/>
      <c r="WCA72" s="684"/>
      <c r="WCB72" s="684"/>
      <c r="WCC72" s="684"/>
      <c r="WCD72" s="684"/>
      <c r="WCE72" s="684"/>
      <c r="WCF72" s="684"/>
      <c r="WCG72" s="684"/>
      <c r="WCH72" s="684"/>
      <c r="WCI72" s="684"/>
      <c r="WCJ72" s="684"/>
      <c r="WCK72" s="684"/>
      <c r="WCL72" s="684"/>
      <c r="WCM72" s="684"/>
      <c r="WCN72" s="684"/>
      <c r="WCO72" s="684"/>
      <c r="WCP72" s="684"/>
      <c r="WCQ72" s="684"/>
      <c r="WCR72" s="684"/>
      <c r="WCS72" s="684"/>
      <c r="WCT72" s="684"/>
      <c r="WCU72" s="684"/>
      <c r="WCV72" s="684"/>
      <c r="WCW72" s="684"/>
      <c r="WCX72" s="684"/>
      <c r="WCY72" s="684"/>
      <c r="WCZ72" s="684"/>
      <c r="WDA72" s="684"/>
      <c r="WDB72" s="684"/>
      <c r="WDC72" s="684"/>
      <c r="WDD72" s="684"/>
      <c r="WDE72" s="684"/>
      <c r="WDF72" s="684"/>
      <c r="WDG72" s="684"/>
      <c r="WDH72" s="684"/>
      <c r="WDI72" s="684"/>
      <c r="WDJ72" s="684"/>
      <c r="WDK72" s="684"/>
      <c r="WDL72" s="684"/>
      <c r="WDM72" s="684"/>
      <c r="WDN72" s="684"/>
      <c r="WDO72" s="684"/>
      <c r="WDP72" s="684"/>
      <c r="WDQ72" s="684"/>
      <c r="WDR72" s="684"/>
      <c r="WDS72" s="684"/>
      <c r="WDT72" s="684"/>
      <c r="WDU72" s="684"/>
      <c r="WDV72" s="684"/>
      <c r="WDW72" s="684"/>
      <c r="WDX72" s="684"/>
      <c r="WDY72" s="684"/>
      <c r="WDZ72" s="684"/>
      <c r="WEA72" s="684"/>
      <c r="WEB72" s="684"/>
      <c r="WEC72" s="684"/>
      <c r="WED72" s="684"/>
      <c r="WEE72" s="684"/>
      <c r="WEF72" s="684"/>
      <c r="WEG72" s="684"/>
      <c r="WEH72" s="684"/>
      <c r="WEI72" s="684"/>
      <c r="WEJ72" s="684"/>
      <c r="WEK72" s="684"/>
      <c r="WEL72" s="684"/>
      <c r="WEM72" s="684"/>
      <c r="WEN72" s="684"/>
      <c r="WEO72" s="684"/>
      <c r="WEP72" s="684"/>
      <c r="WEQ72" s="684"/>
      <c r="WER72" s="684"/>
      <c r="WES72" s="684"/>
      <c r="WET72" s="684"/>
      <c r="WEU72" s="684"/>
      <c r="WEV72" s="684"/>
      <c r="WEW72" s="684"/>
      <c r="WEX72" s="684"/>
      <c r="WEY72" s="684"/>
      <c r="WEZ72" s="684"/>
      <c r="WFA72" s="684"/>
      <c r="WFB72" s="684"/>
      <c r="WFC72" s="684"/>
      <c r="WFD72" s="684"/>
      <c r="WFE72" s="684"/>
      <c r="WFF72" s="684"/>
      <c r="WFG72" s="684"/>
      <c r="WFH72" s="684"/>
      <c r="WFI72" s="684"/>
      <c r="WFJ72" s="684"/>
      <c r="WFK72" s="684"/>
      <c r="WFL72" s="684"/>
      <c r="WFM72" s="684"/>
      <c r="WFN72" s="684"/>
      <c r="WFO72" s="684"/>
      <c r="WFP72" s="684"/>
      <c r="WFQ72" s="684"/>
      <c r="WFR72" s="684"/>
      <c r="WFS72" s="684"/>
      <c r="WFT72" s="684"/>
      <c r="WFU72" s="684"/>
      <c r="WFV72" s="684"/>
      <c r="WFW72" s="684"/>
      <c r="WFX72" s="684"/>
      <c r="WFY72" s="684"/>
      <c r="WFZ72" s="684"/>
      <c r="WGA72" s="684"/>
      <c r="WGB72" s="684"/>
      <c r="WGC72" s="684"/>
      <c r="WGD72" s="684"/>
      <c r="WGE72" s="684"/>
      <c r="WGF72" s="684"/>
      <c r="WGG72" s="684"/>
      <c r="WGH72" s="684"/>
      <c r="WGI72" s="684"/>
      <c r="WGJ72" s="684"/>
      <c r="WGK72" s="684"/>
      <c r="WGL72" s="684"/>
      <c r="WGM72" s="684"/>
      <c r="WGN72" s="684"/>
      <c r="WGO72" s="684"/>
      <c r="WGP72" s="684"/>
      <c r="WGQ72" s="684"/>
      <c r="WGR72" s="684"/>
      <c r="WGS72" s="684"/>
      <c r="WGT72" s="684"/>
      <c r="WGU72" s="684"/>
      <c r="WGV72" s="684"/>
      <c r="WGW72" s="684"/>
      <c r="WGX72" s="684"/>
      <c r="WGY72" s="684"/>
      <c r="WGZ72" s="684"/>
      <c r="WHA72" s="684"/>
      <c r="WHB72" s="684"/>
      <c r="WHC72" s="684"/>
      <c r="WHD72" s="684"/>
      <c r="WHE72" s="684"/>
      <c r="WHF72" s="684"/>
      <c r="WHG72" s="684"/>
      <c r="WHH72" s="684"/>
      <c r="WHI72" s="684"/>
      <c r="WHJ72" s="684"/>
      <c r="WHK72" s="684"/>
      <c r="WHL72" s="684"/>
      <c r="WHM72" s="684"/>
      <c r="WHN72" s="684"/>
      <c r="WHO72" s="684"/>
      <c r="WHP72" s="684"/>
      <c r="WHQ72" s="684"/>
      <c r="WHR72" s="684"/>
      <c r="WHS72" s="684"/>
      <c r="WHT72" s="684"/>
      <c r="WHU72" s="684"/>
      <c r="WHV72" s="684"/>
      <c r="WHW72" s="684"/>
      <c r="WHX72" s="684"/>
      <c r="WHY72" s="684"/>
      <c r="WHZ72" s="684"/>
      <c r="WIA72" s="684"/>
      <c r="WIB72" s="684"/>
      <c r="WIC72" s="684"/>
      <c r="WID72" s="684"/>
      <c r="WIE72" s="684"/>
      <c r="WIF72" s="684"/>
      <c r="WIG72" s="684"/>
      <c r="WIH72" s="684"/>
      <c r="WII72" s="684"/>
      <c r="WIJ72" s="684"/>
      <c r="WIK72" s="684"/>
      <c r="WIL72" s="684"/>
      <c r="WIM72" s="684"/>
      <c r="WIN72" s="684"/>
      <c r="WIO72" s="684"/>
      <c r="WIP72" s="684"/>
      <c r="WIQ72" s="684"/>
      <c r="WIR72" s="684"/>
      <c r="WIS72" s="684"/>
      <c r="WIT72" s="684"/>
      <c r="WIU72" s="684"/>
      <c r="WIV72" s="684"/>
      <c r="WIW72" s="684"/>
      <c r="WIX72" s="684"/>
      <c r="WIY72" s="684"/>
      <c r="WIZ72" s="684"/>
      <c r="WJA72" s="684"/>
      <c r="WJB72" s="684"/>
      <c r="WJC72" s="684"/>
      <c r="WJD72" s="684"/>
      <c r="WJE72" s="684"/>
      <c r="WJF72" s="684"/>
      <c r="WJG72" s="684"/>
      <c r="WJH72" s="684"/>
      <c r="WJI72" s="684"/>
      <c r="WJJ72" s="684"/>
      <c r="WJK72" s="684"/>
      <c r="WJL72" s="684"/>
      <c r="WJM72" s="684"/>
      <c r="WJN72" s="684"/>
      <c r="WJO72" s="684"/>
      <c r="WJP72" s="684"/>
      <c r="WJQ72" s="684"/>
      <c r="WJR72" s="684"/>
      <c r="WJS72" s="684"/>
      <c r="WJT72" s="684"/>
      <c r="WJU72" s="684"/>
      <c r="WJV72" s="684"/>
      <c r="WJW72" s="684"/>
      <c r="WJX72" s="684"/>
      <c r="WJY72" s="684"/>
      <c r="WJZ72" s="684"/>
      <c r="WKA72" s="684"/>
      <c r="WKB72" s="684"/>
      <c r="WKC72" s="684"/>
      <c r="WKD72" s="684"/>
      <c r="WKE72" s="684"/>
      <c r="WKF72" s="684"/>
      <c r="WKG72" s="684"/>
      <c r="WKH72" s="684"/>
      <c r="WKI72" s="684"/>
      <c r="WKJ72" s="684"/>
      <c r="WKK72" s="684"/>
      <c r="WKL72" s="684"/>
      <c r="WKM72" s="684"/>
      <c r="WKN72" s="684"/>
      <c r="WKO72" s="684"/>
      <c r="WKP72" s="684"/>
      <c r="WKQ72" s="684"/>
      <c r="WKR72" s="684"/>
      <c r="WKS72" s="684"/>
      <c r="WKT72" s="684"/>
      <c r="WKU72" s="684"/>
      <c r="WKV72" s="684"/>
      <c r="WKW72" s="684"/>
      <c r="WKX72" s="684"/>
      <c r="WKY72" s="684"/>
      <c r="WKZ72" s="684"/>
      <c r="WLA72" s="684"/>
      <c r="WLB72" s="684"/>
      <c r="WLC72" s="684"/>
      <c r="WLD72" s="684"/>
      <c r="WLE72" s="684"/>
      <c r="WLF72" s="684"/>
      <c r="WLG72" s="684"/>
      <c r="WLH72" s="684"/>
      <c r="WLI72" s="684"/>
      <c r="WLJ72" s="684"/>
      <c r="WLK72" s="684"/>
      <c r="WLL72" s="684"/>
      <c r="WLM72" s="684"/>
      <c r="WLN72" s="684"/>
      <c r="WLO72" s="684"/>
      <c r="WLP72" s="684"/>
      <c r="WLQ72" s="684"/>
      <c r="WLR72" s="684"/>
      <c r="WLS72" s="684"/>
      <c r="WLT72" s="684"/>
      <c r="WLU72" s="684"/>
      <c r="WLV72" s="684"/>
      <c r="WLW72" s="684"/>
      <c r="WLX72" s="684"/>
      <c r="WLY72" s="684"/>
      <c r="WLZ72" s="684"/>
      <c r="WMA72" s="684"/>
      <c r="WMB72" s="684"/>
      <c r="WMC72" s="684"/>
      <c r="WMD72" s="684"/>
      <c r="WME72" s="684"/>
      <c r="WMF72" s="684"/>
      <c r="WMG72" s="684"/>
      <c r="WMH72" s="684"/>
      <c r="WMI72" s="684"/>
      <c r="WMJ72" s="684"/>
      <c r="WMK72" s="684"/>
      <c r="WML72" s="684"/>
      <c r="WMM72" s="684"/>
      <c r="WMN72" s="684"/>
      <c r="WMO72" s="684"/>
      <c r="WMP72" s="684"/>
      <c r="WMQ72" s="684"/>
      <c r="WMR72" s="684"/>
      <c r="WMS72" s="684"/>
      <c r="WMT72" s="684"/>
      <c r="WMU72" s="684"/>
      <c r="WMV72" s="684"/>
      <c r="WMW72" s="684"/>
      <c r="WMX72" s="684"/>
      <c r="WMY72" s="684"/>
      <c r="WMZ72" s="684"/>
      <c r="WNA72" s="684"/>
      <c r="WNB72" s="684"/>
      <c r="WNC72" s="684"/>
      <c r="WND72" s="684"/>
      <c r="WNE72" s="684"/>
      <c r="WNF72" s="684"/>
      <c r="WNG72" s="684"/>
      <c r="WNH72" s="684"/>
      <c r="WNI72" s="684"/>
      <c r="WNJ72" s="684"/>
      <c r="WNK72" s="684"/>
      <c r="WNL72" s="684"/>
      <c r="WNM72" s="684"/>
      <c r="WNN72" s="684"/>
      <c r="WNO72" s="684"/>
      <c r="WNP72" s="684"/>
      <c r="WNQ72" s="684"/>
      <c r="WNR72" s="684"/>
      <c r="WNS72" s="684"/>
      <c r="WNT72" s="684"/>
      <c r="WNU72" s="684"/>
      <c r="WNV72" s="684"/>
      <c r="WNW72" s="684"/>
      <c r="WNX72" s="684"/>
      <c r="WNY72" s="684"/>
      <c r="WNZ72" s="684"/>
      <c r="WOA72" s="684"/>
      <c r="WOB72" s="684"/>
      <c r="WOC72" s="684"/>
      <c r="WOD72" s="684"/>
      <c r="WOE72" s="684"/>
      <c r="WOF72" s="684"/>
      <c r="WOG72" s="684"/>
      <c r="WOH72" s="684"/>
      <c r="WOI72" s="684"/>
      <c r="WOJ72" s="684"/>
      <c r="WOK72" s="684"/>
      <c r="WOL72" s="684"/>
      <c r="WOM72" s="684"/>
      <c r="WON72" s="684"/>
      <c r="WOO72" s="684"/>
      <c r="WOP72" s="684"/>
      <c r="WOQ72" s="684"/>
      <c r="WOR72" s="684"/>
      <c r="WOS72" s="684"/>
      <c r="WOT72" s="684"/>
      <c r="WOU72" s="684"/>
      <c r="WOV72" s="684"/>
      <c r="WOW72" s="684"/>
      <c r="WOX72" s="684"/>
      <c r="WOY72" s="684"/>
      <c r="WOZ72" s="684"/>
      <c r="WPA72" s="684"/>
      <c r="WPB72" s="684"/>
      <c r="WPC72" s="684"/>
      <c r="WPD72" s="684"/>
      <c r="WPE72" s="684"/>
      <c r="WPF72" s="684"/>
      <c r="WPG72" s="684"/>
      <c r="WPH72" s="684"/>
      <c r="WPI72" s="684"/>
      <c r="WPJ72" s="684"/>
      <c r="WPK72" s="684"/>
      <c r="WPL72" s="684"/>
      <c r="WPM72" s="684"/>
      <c r="WPN72" s="684"/>
      <c r="WPO72" s="684"/>
      <c r="WPP72" s="684"/>
      <c r="WPQ72" s="684"/>
      <c r="WPR72" s="684"/>
      <c r="WPS72" s="684"/>
      <c r="WPT72" s="684"/>
      <c r="WPU72" s="684"/>
      <c r="WPV72" s="684"/>
      <c r="WPW72" s="684"/>
      <c r="WPX72" s="684"/>
      <c r="WPY72" s="684"/>
      <c r="WPZ72" s="684"/>
      <c r="WQA72" s="684"/>
      <c r="WQB72" s="684"/>
      <c r="WQC72" s="684"/>
      <c r="WQD72" s="684"/>
      <c r="WQE72" s="684"/>
      <c r="WQF72" s="684"/>
      <c r="WQG72" s="684"/>
      <c r="WQH72" s="684"/>
      <c r="WQI72" s="684"/>
      <c r="WQJ72" s="684"/>
      <c r="WQK72" s="684"/>
      <c r="WQL72" s="684"/>
      <c r="WQM72" s="684"/>
      <c r="WQN72" s="684"/>
      <c r="WQO72" s="684"/>
      <c r="WQP72" s="684"/>
      <c r="WQQ72" s="684"/>
      <c r="WQR72" s="684"/>
      <c r="WQS72" s="684"/>
      <c r="WQT72" s="684"/>
      <c r="WQU72" s="684"/>
      <c r="WQV72" s="684"/>
      <c r="WQW72" s="684"/>
      <c r="WQX72" s="684"/>
      <c r="WQY72" s="684"/>
      <c r="WQZ72" s="684"/>
      <c r="WRA72" s="684"/>
      <c r="WRB72" s="684"/>
      <c r="WRC72" s="684"/>
      <c r="WRD72" s="684"/>
      <c r="WRE72" s="684"/>
      <c r="WRF72" s="684"/>
      <c r="WRG72" s="684"/>
      <c r="WRH72" s="684"/>
      <c r="WRI72" s="684"/>
      <c r="WRJ72" s="684"/>
      <c r="WRK72" s="684"/>
      <c r="WRL72" s="684"/>
      <c r="WRM72" s="684"/>
      <c r="WRN72" s="684"/>
      <c r="WRO72" s="684"/>
      <c r="WRP72" s="684"/>
      <c r="WRQ72" s="684"/>
      <c r="WRR72" s="684"/>
      <c r="WRS72" s="684"/>
      <c r="WRT72" s="684"/>
      <c r="WRU72" s="684"/>
      <c r="WRV72" s="684"/>
      <c r="WRW72" s="684"/>
      <c r="WRX72" s="684"/>
      <c r="WRY72" s="684"/>
      <c r="WRZ72" s="684"/>
      <c r="WSA72" s="684"/>
      <c r="WSB72" s="684"/>
      <c r="WSC72" s="684"/>
      <c r="WSD72" s="684"/>
      <c r="WSE72" s="684"/>
      <c r="WSF72" s="684"/>
      <c r="WSG72" s="684"/>
      <c r="WSH72" s="684"/>
      <c r="WSI72" s="684"/>
      <c r="WSJ72" s="684"/>
      <c r="WSK72" s="684"/>
      <c r="WSL72" s="684"/>
      <c r="WSM72" s="684"/>
      <c r="WSN72" s="684"/>
      <c r="WSO72" s="684"/>
      <c r="WSP72" s="684"/>
      <c r="WSQ72" s="684"/>
      <c r="WSR72" s="684"/>
      <c r="WSS72" s="684"/>
      <c r="WST72" s="684"/>
      <c r="WSU72" s="684"/>
      <c r="WSV72" s="684"/>
      <c r="WSW72" s="684"/>
      <c r="WSX72" s="684"/>
      <c r="WSY72" s="684"/>
      <c r="WSZ72" s="684"/>
      <c r="WTA72" s="684"/>
      <c r="WTB72" s="684"/>
      <c r="WTC72" s="684"/>
      <c r="WTD72" s="684"/>
      <c r="WTE72" s="684"/>
      <c r="WTF72" s="684"/>
      <c r="WTG72" s="684"/>
      <c r="WTH72" s="684"/>
      <c r="WTI72" s="684"/>
      <c r="WTJ72" s="684"/>
      <c r="WTK72" s="684"/>
      <c r="WTL72" s="684"/>
      <c r="WTM72" s="684"/>
      <c r="WTN72" s="684"/>
      <c r="WTO72" s="684"/>
      <c r="WTP72" s="684"/>
      <c r="WTQ72" s="684"/>
      <c r="WTR72" s="684"/>
      <c r="WTS72" s="684"/>
      <c r="WTT72" s="684"/>
      <c r="WTU72" s="684"/>
      <c r="WTV72" s="684"/>
      <c r="WTW72" s="684"/>
      <c r="WTX72" s="684"/>
      <c r="WTY72" s="684"/>
      <c r="WTZ72" s="684"/>
      <c r="WUA72" s="684"/>
      <c r="WUB72" s="684"/>
      <c r="WUC72" s="684"/>
      <c r="WUD72" s="684"/>
      <c r="WUE72" s="684"/>
      <c r="WUF72" s="684"/>
      <c r="WUG72" s="684"/>
      <c r="WUH72" s="684"/>
      <c r="WUI72" s="684"/>
      <c r="WUJ72" s="684"/>
      <c r="WUK72" s="684"/>
      <c r="WUL72" s="684"/>
      <c r="WUM72" s="684"/>
      <c r="WUN72" s="684"/>
      <c r="WUO72" s="684"/>
      <c r="WUP72" s="684"/>
      <c r="WUQ72" s="684"/>
      <c r="WUR72" s="684"/>
      <c r="WUS72" s="684"/>
      <c r="WUT72" s="684"/>
      <c r="WUU72" s="684"/>
      <c r="WUV72" s="684"/>
      <c r="WUW72" s="684"/>
      <c r="WUX72" s="684"/>
      <c r="WUY72" s="684"/>
      <c r="WUZ72" s="684"/>
      <c r="WVA72" s="684"/>
      <c r="WVB72" s="684"/>
      <c r="WVC72" s="684"/>
      <c r="WVD72" s="684"/>
      <c r="WVE72" s="684"/>
      <c r="WVF72" s="684"/>
      <c r="WVG72" s="684"/>
      <c r="WVH72" s="684"/>
      <c r="WVI72" s="684"/>
      <c r="WVJ72" s="684"/>
      <c r="WVK72" s="684"/>
      <c r="WVL72" s="684"/>
      <c r="WVM72" s="684"/>
      <c r="WVN72" s="684"/>
      <c r="WVO72" s="684"/>
      <c r="WVP72" s="684"/>
      <c r="WVQ72" s="684"/>
      <c r="WVR72" s="684"/>
      <c r="WVS72" s="684"/>
      <c r="WVT72" s="684"/>
      <c r="WVU72" s="684"/>
      <c r="WVV72" s="684"/>
      <c r="WVW72" s="684"/>
      <c r="WVX72" s="684"/>
      <c r="WVY72" s="684"/>
      <c r="WVZ72" s="684"/>
      <c r="WWA72" s="684"/>
      <c r="WWB72" s="684"/>
      <c r="WWC72" s="684"/>
      <c r="WWD72" s="684"/>
      <c r="WWE72" s="684"/>
      <c r="WWF72" s="684"/>
      <c r="WWG72" s="684"/>
      <c r="WWH72" s="684"/>
      <c r="WWI72" s="684"/>
      <c r="WWJ72" s="684"/>
      <c r="WWK72" s="684"/>
      <c r="WWL72" s="684"/>
      <c r="WWM72" s="684"/>
      <c r="WWN72" s="684"/>
      <c r="WWO72" s="684"/>
      <c r="WWP72" s="684"/>
      <c r="WWQ72" s="684"/>
      <c r="WWR72" s="684"/>
      <c r="WWS72" s="684"/>
      <c r="WWT72" s="684"/>
      <c r="WWU72" s="684"/>
      <c r="WWV72" s="684"/>
      <c r="WWW72" s="684"/>
      <c r="WWX72" s="684"/>
      <c r="WWY72" s="684"/>
      <c r="WWZ72" s="684"/>
      <c r="WXA72" s="684"/>
      <c r="WXB72" s="684"/>
      <c r="WXC72" s="684"/>
      <c r="WXD72" s="684"/>
      <c r="WXE72" s="684"/>
      <c r="WXF72" s="684"/>
      <c r="WXG72" s="684"/>
      <c r="WXH72" s="684"/>
      <c r="WXI72" s="684"/>
      <c r="WXJ72" s="684"/>
      <c r="WXK72" s="684"/>
      <c r="WXL72" s="684"/>
      <c r="WXM72" s="684"/>
      <c r="WXN72" s="684"/>
      <c r="WXO72" s="684"/>
      <c r="WXP72" s="684"/>
      <c r="WXQ72" s="684"/>
      <c r="WXR72" s="684"/>
      <c r="WXS72" s="684"/>
      <c r="WXT72" s="684"/>
      <c r="WXU72" s="684"/>
      <c r="WXV72" s="684"/>
      <c r="WXW72" s="684"/>
      <c r="WXX72" s="684"/>
      <c r="WXY72" s="684"/>
      <c r="WXZ72" s="684"/>
      <c r="WYA72" s="684"/>
      <c r="WYB72" s="684"/>
      <c r="WYC72" s="684"/>
      <c r="WYD72" s="684"/>
      <c r="WYE72" s="684"/>
      <c r="WYF72" s="684"/>
      <c r="WYG72" s="684"/>
      <c r="WYH72" s="684"/>
      <c r="WYI72" s="684"/>
      <c r="WYJ72" s="684"/>
      <c r="WYK72" s="684"/>
      <c r="WYL72" s="684"/>
      <c r="WYM72" s="684"/>
      <c r="WYN72" s="684"/>
      <c r="WYO72" s="684"/>
      <c r="WYP72" s="684"/>
      <c r="WYQ72" s="684"/>
      <c r="WYR72" s="684"/>
      <c r="WYS72" s="684"/>
      <c r="WYT72" s="684"/>
      <c r="WYU72" s="684"/>
      <c r="WYV72" s="684"/>
      <c r="WYW72" s="684"/>
      <c r="WYX72" s="684"/>
      <c r="WYY72" s="684"/>
      <c r="WYZ72" s="684"/>
      <c r="WZA72" s="684"/>
      <c r="WZB72" s="684"/>
      <c r="WZC72" s="684"/>
      <c r="WZD72" s="684"/>
      <c r="WZE72" s="684"/>
      <c r="WZF72" s="684"/>
      <c r="WZG72" s="684"/>
      <c r="WZH72" s="684"/>
      <c r="WZI72" s="684"/>
      <c r="WZJ72" s="684"/>
      <c r="WZK72" s="684"/>
      <c r="WZL72" s="684"/>
      <c r="WZM72" s="684"/>
      <c r="WZN72" s="684"/>
      <c r="WZO72" s="684"/>
      <c r="WZP72" s="684"/>
      <c r="WZQ72" s="684"/>
      <c r="WZR72" s="684"/>
      <c r="WZS72" s="684"/>
      <c r="WZT72" s="684"/>
      <c r="WZU72" s="684"/>
      <c r="WZV72" s="684"/>
      <c r="WZW72" s="684"/>
      <c r="WZX72" s="684"/>
      <c r="WZY72" s="684"/>
      <c r="WZZ72" s="684"/>
      <c r="XAA72" s="684"/>
      <c r="XAB72" s="684"/>
      <c r="XAC72" s="684"/>
      <c r="XAD72" s="684"/>
      <c r="XAE72" s="684"/>
      <c r="XAF72" s="684"/>
      <c r="XAG72" s="684"/>
      <c r="XAH72" s="684"/>
      <c r="XAI72" s="684"/>
      <c r="XAJ72" s="684"/>
      <c r="XAK72" s="684"/>
      <c r="XAL72" s="684"/>
      <c r="XAM72" s="684"/>
      <c r="XAN72" s="684"/>
      <c r="XAO72" s="684"/>
      <c r="XAP72" s="684"/>
      <c r="XAQ72" s="684"/>
      <c r="XAR72" s="684"/>
      <c r="XAS72" s="684"/>
      <c r="XAT72" s="684"/>
      <c r="XAU72" s="684"/>
      <c r="XAV72" s="684"/>
      <c r="XAW72" s="684"/>
      <c r="XAX72" s="684"/>
      <c r="XAY72" s="684"/>
      <c r="XAZ72" s="684"/>
      <c r="XBA72" s="684"/>
      <c r="XBB72" s="684"/>
      <c r="XBC72" s="684"/>
      <c r="XBD72" s="684"/>
      <c r="XBE72" s="684"/>
      <c r="XBF72" s="684"/>
      <c r="XBG72" s="684"/>
      <c r="XBH72" s="684"/>
      <c r="XBI72" s="684"/>
      <c r="XBJ72" s="684"/>
      <c r="XBK72" s="684"/>
      <c r="XBL72" s="684"/>
      <c r="XBM72" s="684"/>
      <c r="XBN72" s="684"/>
      <c r="XBO72" s="684"/>
      <c r="XBP72" s="684"/>
      <c r="XBQ72" s="684"/>
      <c r="XBR72" s="684"/>
      <c r="XBS72" s="684"/>
      <c r="XBT72" s="684"/>
      <c r="XBU72" s="684"/>
      <c r="XBV72" s="684"/>
      <c r="XBW72" s="684"/>
      <c r="XBX72" s="684"/>
      <c r="XBY72" s="684"/>
      <c r="XBZ72" s="684"/>
      <c r="XCA72" s="684"/>
      <c r="XCB72" s="684"/>
      <c r="XCC72" s="684"/>
      <c r="XCD72" s="684"/>
      <c r="XCE72" s="684"/>
      <c r="XCF72" s="684"/>
      <c r="XCG72" s="684"/>
      <c r="XCH72" s="684"/>
      <c r="XCI72" s="684"/>
      <c r="XCJ72" s="684"/>
      <c r="XCK72" s="684"/>
      <c r="XCL72" s="684"/>
      <c r="XCM72" s="684"/>
      <c r="XCN72" s="684"/>
      <c r="XCO72" s="684"/>
      <c r="XCP72" s="684"/>
      <c r="XCQ72" s="684"/>
      <c r="XCR72" s="684"/>
      <c r="XCS72" s="684"/>
      <c r="XCT72" s="684"/>
      <c r="XCU72" s="684"/>
      <c r="XCV72" s="684"/>
      <c r="XCW72" s="684"/>
      <c r="XCX72" s="684"/>
      <c r="XCY72" s="684"/>
      <c r="XCZ72" s="684"/>
      <c r="XDA72" s="684"/>
      <c r="XDB72" s="684"/>
      <c r="XDC72" s="684"/>
      <c r="XDD72" s="684"/>
      <c r="XDE72" s="684"/>
      <c r="XDF72" s="684"/>
      <c r="XDG72" s="684"/>
      <c r="XDH72" s="684"/>
      <c r="XDI72" s="684"/>
      <c r="XDJ72" s="684"/>
      <c r="XDK72" s="684"/>
      <c r="XDL72" s="684"/>
      <c r="XDM72" s="684"/>
      <c r="XDN72" s="684"/>
      <c r="XDO72" s="684"/>
      <c r="XDP72" s="684"/>
      <c r="XDQ72" s="684"/>
      <c r="XDR72" s="684"/>
      <c r="XDS72" s="684"/>
      <c r="XDT72" s="684"/>
      <c r="XDU72" s="684"/>
      <c r="XDV72" s="684"/>
      <c r="XDW72" s="684"/>
      <c r="XDX72" s="684"/>
      <c r="XDY72" s="684"/>
      <c r="XDZ72" s="684"/>
      <c r="XEA72" s="684"/>
      <c r="XEB72" s="684"/>
      <c r="XEC72" s="684"/>
      <c r="XED72" s="684"/>
      <c r="XEE72" s="684"/>
      <c r="XEF72" s="684"/>
      <c r="XEG72" s="684"/>
      <c r="XEH72" s="684"/>
      <c r="XEI72" s="684"/>
      <c r="XEJ72" s="684"/>
      <c r="XEK72" s="684"/>
      <c r="XEL72" s="684"/>
      <c r="XEM72" s="684"/>
      <c r="XEN72" s="684"/>
      <c r="XEO72" s="684"/>
      <c r="XEP72" s="684"/>
      <c r="XEQ72" s="684"/>
      <c r="XER72" s="684"/>
      <c r="XES72" s="684"/>
      <c r="XET72" s="684"/>
      <c r="XEU72" s="684"/>
      <c r="XEV72" s="684"/>
      <c r="XEW72" s="684"/>
      <c r="XEX72" s="684"/>
      <c r="XEY72" s="684"/>
      <c r="XEZ72" s="684"/>
      <c r="XFA72" s="684"/>
      <c r="XFB72" s="684"/>
      <c r="XFC72" s="684"/>
      <c r="XFD72" s="684"/>
    </row>
    <row r="73" spans="1:16384" s="774" customFormat="1">
      <c r="A73" s="597" t="s">
        <v>2412</v>
      </c>
      <c r="B73" s="488" t="s">
        <v>2422</v>
      </c>
      <c r="C73" s="488" t="s">
        <v>2422</v>
      </c>
      <c r="D73" s="4295" t="str">
        <f>$A73&amp;"  "&amp;$A74</f>
        <v>pwauslihsapp27  pwauslihsapp28</v>
      </c>
      <c r="E73" s="4289" t="str">
        <f>$B73&amp;"  "&amp;$B74</f>
        <v>10.136.100.65  10.136.100.66</v>
      </c>
      <c r="F73" s="4265" t="s">
        <v>75</v>
      </c>
      <c r="G73" s="4262"/>
      <c r="H73" s="4202"/>
      <c r="I73" s="4202"/>
      <c r="J73" s="684"/>
      <c r="K73" s="684"/>
      <c r="L73" s="684"/>
      <c r="M73" s="684"/>
      <c r="N73" s="684"/>
      <c r="O73" s="684"/>
      <c r="P73" s="684"/>
      <c r="Q73" s="684"/>
      <c r="R73" s="684"/>
      <c r="S73" s="684"/>
      <c r="T73" s="684"/>
      <c r="U73" s="684"/>
      <c r="V73" s="684"/>
      <c r="W73" s="684"/>
      <c r="X73" s="684"/>
      <c r="Y73" s="684"/>
      <c r="Z73" s="684"/>
      <c r="AA73" s="684"/>
      <c r="AB73" s="684"/>
      <c r="AC73" s="684"/>
      <c r="AD73" s="684"/>
      <c r="AE73" s="684"/>
      <c r="AF73" s="684"/>
      <c r="AG73" s="684"/>
      <c r="AH73" s="684"/>
      <c r="AI73" s="684"/>
      <c r="AJ73" s="684"/>
      <c r="AK73" s="684"/>
      <c r="AL73" s="684"/>
      <c r="AM73" s="684"/>
      <c r="AN73" s="684"/>
      <c r="AO73" s="684"/>
      <c r="AP73" s="684"/>
      <c r="AQ73" s="684"/>
      <c r="AR73" s="684"/>
      <c r="AS73" s="684"/>
      <c r="AT73" s="684"/>
      <c r="AU73" s="684"/>
      <c r="AV73" s="684"/>
      <c r="AW73" s="684"/>
      <c r="AX73" s="684"/>
      <c r="AY73" s="684"/>
      <c r="AZ73" s="684"/>
      <c r="BA73" s="684"/>
      <c r="BB73" s="684"/>
      <c r="BC73" s="684"/>
      <c r="BD73" s="684"/>
      <c r="BE73" s="684"/>
      <c r="BF73" s="684"/>
      <c r="BG73" s="684"/>
      <c r="BH73" s="684"/>
      <c r="BI73" s="684"/>
      <c r="BJ73" s="684"/>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c r="CI73" s="684"/>
      <c r="CJ73" s="684"/>
      <c r="CK73" s="684"/>
      <c r="CL73" s="684"/>
      <c r="CM73" s="684"/>
      <c r="CN73" s="684"/>
      <c r="CO73" s="684"/>
      <c r="CP73" s="684"/>
      <c r="CQ73" s="684"/>
      <c r="CR73" s="684"/>
      <c r="CS73" s="684"/>
      <c r="CT73" s="684"/>
      <c r="CU73" s="684"/>
      <c r="CV73" s="684"/>
      <c r="CW73" s="684"/>
      <c r="CX73" s="684"/>
      <c r="CY73" s="684"/>
      <c r="CZ73" s="684"/>
      <c r="DA73" s="684"/>
      <c r="DB73" s="684"/>
      <c r="DC73" s="684"/>
      <c r="DD73" s="684"/>
      <c r="DE73" s="684"/>
      <c r="DF73" s="684"/>
      <c r="DG73" s="684"/>
      <c r="DH73" s="684"/>
      <c r="DI73" s="684"/>
      <c r="DJ73" s="684"/>
      <c r="DK73" s="684"/>
      <c r="DL73" s="684"/>
      <c r="DM73" s="684"/>
      <c r="DN73" s="684"/>
      <c r="DO73" s="684"/>
      <c r="DP73" s="684"/>
      <c r="DQ73" s="684"/>
      <c r="DR73" s="684"/>
      <c r="DS73" s="684"/>
      <c r="DT73" s="684"/>
      <c r="DU73" s="684"/>
      <c r="DV73" s="684"/>
      <c r="DW73" s="684"/>
      <c r="DX73" s="684"/>
      <c r="DY73" s="684"/>
      <c r="DZ73" s="684"/>
      <c r="EA73" s="684"/>
      <c r="EB73" s="684"/>
      <c r="EC73" s="684"/>
      <c r="ED73" s="684"/>
      <c r="EE73" s="684"/>
      <c r="EF73" s="684"/>
      <c r="EG73" s="684"/>
      <c r="EH73" s="684"/>
      <c r="EI73" s="684"/>
      <c r="EJ73" s="684"/>
      <c r="EK73" s="684"/>
      <c r="EL73" s="684"/>
      <c r="EM73" s="684"/>
      <c r="EN73" s="684"/>
      <c r="EO73" s="684"/>
      <c r="EP73" s="684"/>
      <c r="EQ73" s="684"/>
      <c r="ER73" s="684"/>
      <c r="ES73" s="684"/>
      <c r="ET73" s="684"/>
      <c r="EU73" s="684"/>
      <c r="EV73" s="684"/>
      <c r="EW73" s="684"/>
      <c r="EX73" s="684"/>
      <c r="EY73" s="684"/>
      <c r="EZ73" s="684"/>
      <c r="FA73" s="684"/>
      <c r="FB73" s="684"/>
      <c r="FC73" s="684"/>
      <c r="FD73" s="684"/>
      <c r="FE73" s="684"/>
      <c r="FF73" s="684"/>
      <c r="FG73" s="684"/>
      <c r="FH73" s="684"/>
      <c r="FI73" s="684"/>
      <c r="FJ73" s="684"/>
      <c r="FK73" s="684"/>
      <c r="FL73" s="684"/>
      <c r="FM73" s="684"/>
      <c r="FN73" s="684"/>
      <c r="FO73" s="684"/>
      <c r="FP73" s="684"/>
      <c r="FQ73" s="684"/>
      <c r="FR73" s="684"/>
      <c r="FS73" s="684"/>
      <c r="FT73" s="684"/>
      <c r="FU73" s="684"/>
      <c r="FV73" s="684"/>
      <c r="FW73" s="684"/>
      <c r="FX73" s="684"/>
      <c r="FY73" s="684"/>
      <c r="FZ73" s="684"/>
      <c r="GA73" s="684"/>
      <c r="GB73" s="684"/>
      <c r="GC73" s="684"/>
      <c r="GD73" s="684"/>
      <c r="GE73" s="684"/>
      <c r="GF73" s="684"/>
      <c r="GG73" s="684"/>
      <c r="GH73" s="684"/>
      <c r="GI73" s="684"/>
      <c r="GJ73" s="684"/>
      <c r="GK73" s="684"/>
      <c r="GL73" s="684"/>
      <c r="GM73" s="684"/>
      <c r="GN73" s="684"/>
      <c r="GO73" s="684"/>
      <c r="GP73" s="684"/>
      <c r="GQ73" s="684"/>
      <c r="GR73" s="684"/>
      <c r="GS73" s="684"/>
      <c r="GT73" s="684"/>
      <c r="GU73" s="684"/>
      <c r="GV73" s="684"/>
      <c r="GW73" s="684"/>
      <c r="GX73" s="684"/>
      <c r="GY73" s="684"/>
      <c r="GZ73" s="684"/>
      <c r="HA73" s="684"/>
      <c r="HB73" s="684"/>
      <c r="HC73" s="684"/>
      <c r="HD73" s="684"/>
      <c r="HE73" s="684"/>
      <c r="HF73" s="684"/>
      <c r="HG73" s="684"/>
      <c r="HH73" s="684"/>
      <c r="HI73" s="684"/>
      <c r="HJ73" s="684"/>
      <c r="HK73" s="684"/>
      <c r="HL73" s="684"/>
      <c r="HM73" s="684"/>
      <c r="HN73" s="684"/>
      <c r="HO73" s="684"/>
      <c r="HP73" s="684"/>
      <c r="HQ73" s="684"/>
      <c r="HR73" s="684"/>
      <c r="HS73" s="684"/>
      <c r="HT73" s="684"/>
      <c r="HU73" s="684"/>
      <c r="HV73" s="684"/>
      <c r="HW73" s="684"/>
      <c r="HX73" s="684"/>
      <c r="HY73" s="684"/>
      <c r="HZ73" s="684"/>
      <c r="IA73" s="684"/>
      <c r="IB73" s="684"/>
      <c r="IC73" s="684"/>
      <c r="ID73" s="684"/>
      <c r="IE73" s="684"/>
      <c r="IF73" s="684"/>
      <c r="IG73" s="684"/>
      <c r="IH73" s="684"/>
      <c r="II73" s="684"/>
      <c r="IJ73" s="684"/>
      <c r="IK73" s="684"/>
      <c r="IL73" s="684"/>
      <c r="IM73" s="684"/>
      <c r="IN73" s="684"/>
      <c r="IO73" s="684"/>
      <c r="IP73" s="684"/>
      <c r="IQ73" s="684"/>
      <c r="IR73" s="684"/>
      <c r="IS73" s="684"/>
      <c r="IT73" s="684"/>
      <c r="IU73" s="684"/>
      <c r="IV73" s="684"/>
      <c r="IW73" s="684"/>
      <c r="IX73" s="684"/>
      <c r="IY73" s="684"/>
      <c r="IZ73" s="684"/>
      <c r="JA73" s="684"/>
      <c r="JB73" s="684"/>
      <c r="JC73" s="684"/>
      <c r="JD73" s="684"/>
      <c r="JE73" s="684"/>
      <c r="JF73" s="684"/>
      <c r="JG73" s="684"/>
      <c r="JH73" s="684"/>
      <c r="JI73" s="684"/>
      <c r="JJ73" s="684"/>
      <c r="JK73" s="684"/>
      <c r="JL73" s="684"/>
      <c r="JM73" s="684"/>
      <c r="JN73" s="684"/>
      <c r="JO73" s="684"/>
      <c r="JP73" s="684"/>
      <c r="JQ73" s="684"/>
      <c r="JR73" s="684"/>
      <c r="JS73" s="684"/>
      <c r="JT73" s="684"/>
      <c r="JU73" s="684"/>
      <c r="JV73" s="684"/>
      <c r="JW73" s="684"/>
      <c r="JX73" s="684"/>
      <c r="JY73" s="684"/>
      <c r="JZ73" s="684"/>
      <c r="KA73" s="684"/>
      <c r="KB73" s="684"/>
      <c r="KC73" s="684"/>
      <c r="KD73" s="684"/>
      <c r="KE73" s="684"/>
      <c r="KF73" s="684"/>
      <c r="KG73" s="684"/>
      <c r="KH73" s="684"/>
      <c r="KI73" s="684"/>
      <c r="KJ73" s="684"/>
      <c r="KK73" s="684"/>
      <c r="KL73" s="684"/>
      <c r="KM73" s="684"/>
      <c r="KN73" s="684"/>
      <c r="KO73" s="684"/>
      <c r="KP73" s="684"/>
      <c r="KQ73" s="684"/>
      <c r="KR73" s="684"/>
      <c r="KS73" s="684"/>
      <c r="KT73" s="684"/>
      <c r="KU73" s="684"/>
      <c r="KV73" s="684"/>
      <c r="KW73" s="684"/>
      <c r="KX73" s="684"/>
      <c r="KY73" s="684"/>
      <c r="KZ73" s="684"/>
      <c r="LA73" s="684"/>
      <c r="LB73" s="684"/>
      <c r="LC73" s="684"/>
      <c r="LD73" s="684"/>
      <c r="LE73" s="684"/>
      <c r="LF73" s="684"/>
      <c r="LG73" s="684"/>
      <c r="LH73" s="684"/>
      <c r="LI73" s="684"/>
      <c r="LJ73" s="684"/>
      <c r="LK73" s="684"/>
      <c r="LL73" s="684"/>
      <c r="LM73" s="684"/>
      <c r="LN73" s="684"/>
      <c r="LO73" s="684"/>
      <c r="LP73" s="684"/>
      <c r="LQ73" s="684"/>
      <c r="LR73" s="684"/>
      <c r="LS73" s="684"/>
      <c r="LT73" s="684"/>
      <c r="LU73" s="684"/>
      <c r="LV73" s="684"/>
      <c r="LW73" s="684"/>
      <c r="LX73" s="684"/>
      <c r="LY73" s="684"/>
      <c r="LZ73" s="684"/>
      <c r="MA73" s="684"/>
      <c r="MB73" s="684"/>
      <c r="MC73" s="684"/>
      <c r="MD73" s="684"/>
      <c r="ME73" s="684"/>
      <c r="MF73" s="684"/>
      <c r="MG73" s="684"/>
      <c r="MH73" s="684"/>
      <c r="MI73" s="684"/>
      <c r="MJ73" s="684"/>
      <c r="MK73" s="684"/>
      <c r="ML73" s="684"/>
      <c r="MM73" s="684"/>
      <c r="MN73" s="684"/>
      <c r="MO73" s="684"/>
      <c r="MP73" s="684"/>
      <c r="MQ73" s="684"/>
      <c r="MR73" s="684"/>
      <c r="MS73" s="684"/>
      <c r="MT73" s="684"/>
      <c r="MU73" s="684"/>
      <c r="MV73" s="684"/>
      <c r="MW73" s="684"/>
      <c r="MX73" s="684"/>
      <c r="MY73" s="684"/>
      <c r="MZ73" s="684"/>
      <c r="NA73" s="684"/>
      <c r="NB73" s="684"/>
      <c r="NC73" s="684"/>
      <c r="ND73" s="684"/>
      <c r="NE73" s="684"/>
      <c r="NF73" s="684"/>
      <c r="NG73" s="684"/>
      <c r="NH73" s="684"/>
      <c r="NI73" s="684"/>
      <c r="NJ73" s="684"/>
      <c r="NK73" s="684"/>
      <c r="NL73" s="684"/>
      <c r="NM73" s="684"/>
      <c r="NN73" s="684"/>
      <c r="NO73" s="684"/>
      <c r="NP73" s="684"/>
      <c r="NQ73" s="684"/>
      <c r="NR73" s="684"/>
      <c r="NS73" s="684"/>
      <c r="NT73" s="684"/>
      <c r="NU73" s="684"/>
      <c r="NV73" s="684"/>
      <c r="NW73" s="684"/>
      <c r="NX73" s="684"/>
      <c r="NY73" s="684"/>
      <c r="NZ73" s="684"/>
      <c r="OA73" s="684"/>
      <c r="OB73" s="684"/>
      <c r="OC73" s="684"/>
      <c r="OD73" s="684"/>
      <c r="OE73" s="684"/>
      <c r="OF73" s="684"/>
      <c r="OG73" s="684"/>
      <c r="OH73" s="684"/>
      <c r="OI73" s="684"/>
      <c r="OJ73" s="684"/>
      <c r="OK73" s="684"/>
      <c r="OL73" s="684"/>
      <c r="OM73" s="684"/>
      <c r="ON73" s="684"/>
      <c r="OO73" s="684"/>
      <c r="OP73" s="684"/>
      <c r="OQ73" s="684"/>
      <c r="OR73" s="684"/>
      <c r="OS73" s="684"/>
      <c r="OT73" s="684"/>
      <c r="OU73" s="684"/>
      <c r="OV73" s="684"/>
      <c r="OW73" s="684"/>
      <c r="OX73" s="684"/>
      <c r="OY73" s="684"/>
      <c r="OZ73" s="684"/>
      <c r="PA73" s="684"/>
      <c r="PB73" s="684"/>
      <c r="PC73" s="684"/>
      <c r="PD73" s="684"/>
      <c r="PE73" s="684"/>
      <c r="PF73" s="684"/>
      <c r="PG73" s="684"/>
      <c r="PH73" s="684"/>
      <c r="PI73" s="684"/>
      <c r="PJ73" s="684"/>
      <c r="PK73" s="684"/>
      <c r="PL73" s="684"/>
      <c r="PM73" s="684"/>
      <c r="PN73" s="684"/>
      <c r="PO73" s="684"/>
      <c r="PP73" s="684"/>
      <c r="PQ73" s="684"/>
      <c r="PR73" s="684"/>
      <c r="PS73" s="684"/>
      <c r="PT73" s="684"/>
      <c r="PU73" s="684"/>
      <c r="PV73" s="684"/>
      <c r="PW73" s="684"/>
      <c r="PX73" s="684"/>
      <c r="PY73" s="684"/>
      <c r="PZ73" s="684"/>
      <c r="QA73" s="684"/>
      <c r="QB73" s="684"/>
      <c r="QC73" s="684"/>
      <c r="QD73" s="684"/>
      <c r="QE73" s="684"/>
      <c r="QF73" s="684"/>
      <c r="QG73" s="684"/>
      <c r="QH73" s="684"/>
      <c r="QI73" s="684"/>
      <c r="QJ73" s="684"/>
      <c r="QK73" s="684"/>
      <c r="QL73" s="684"/>
      <c r="QM73" s="684"/>
      <c r="QN73" s="684"/>
      <c r="QO73" s="684"/>
      <c r="QP73" s="684"/>
      <c r="QQ73" s="684"/>
      <c r="QR73" s="684"/>
      <c r="QS73" s="684"/>
      <c r="QT73" s="684"/>
      <c r="QU73" s="684"/>
      <c r="QV73" s="684"/>
      <c r="QW73" s="684"/>
      <c r="QX73" s="684"/>
      <c r="QY73" s="684"/>
      <c r="QZ73" s="684"/>
      <c r="RA73" s="684"/>
      <c r="RB73" s="684"/>
      <c r="RC73" s="684"/>
      <c r="RD73" s="684"/>
      <c r="RE73" s="684"/>
      <c r="RF73" s="684"/>
      <c r="RG73" s="684"/>
      <c r="RH73" s="684"/>
      <c r="RI73" s="684"/>
      <c r="RJ73" s="684"/>
      <c r="RK73" s="684"/>
      <c r="RL73" s="684"/>
      <c r="RM73" s="684"/>
      <c r="RN73" s="684"/>
      <c r="RO73" s="684"/>
      <c r="RP73" s="684"/>
      <c r="RQ73" s="684"/>
      <c r="RR73" s="684"/>
      <c r="RS73" s="684"/>
      <c r="RT73" s="684"/>
      <c r="RU73" s="684"/>
      <c r="RV73" s="684"/>
      <c r="RW73" s="684"/>
      <c r="RX73" s="684"/>
      <c r="RY73" s="684"/>
      <c r="RZ73" s="684"/>
      <c r="SA73" s="684"/>
      <c r="SB73" s="684"/>
      <c r="SC73" s="684"/>
      <c r="SD73" s="684"/>
      <c r="SE73" s="684"/>
      <c r="SF73" s="684"/>
      <c r="SG73" s="684"/>
      <c r="SH73" s="684"/>
      <c r="SI73" s="684"/>
      <c r="SJ73" s="684"/>
      <c r="SK73" s="684"/>
      <c r="SL73" s="684"/>
      <c r="SM73" s="684"/>
      <c r="SN73" s="684"/>
      <c r="SO73" s="684"/>
      <c r="SP73" s="684"/>
      <c r="SQ73" s="684"/>
      <c r="SR73" s="684"/>
      <c r="SS73" s="684"/>
      <c r="ST73" s="684"/>
      <c r="SU73" s="684"/>
      <c r="SV73" s="684"/>
      <c r="SW73" s="684"/>
      <c r="SX73" s="684"/>
      <c r="SY73" s="684"/>
      <c r="SZ73" s="684"/>
      <c r="TA73" s="684"/>
      <c r="TB73" s="684"/>
      <c r="TC73" s="684"/>
      <c r="TD73" s="684"/>
      <c r="TE73" s="684"/>
      <c r="TF73" s="684"/>
      <c r="TG73" s="684"/>
      <c r="TH73" s="684"/>
      <c r="TI73" s="684"/>
      <c r="TJ73" s="684"/>
      <c r="TK73" s="684"/>
      <c r="TL73" s="684"/>
      <c r="TM73" s="684"/>
      <c r="TN73" s="684"/>
      <c r="TO73" s="684"/>
      <c r="TP73" s="684"/>
      <c r="TQ73" s="684"/>
      <c r="TR73" s="684"/>
      <c r="TS73" s="684"/>
      <c r="TT73" s="684"/>
      <c r="TU73" s="684"/>
      <c r="TV73" s="684"/>
      <c r="TW73" s="684"/>
      <c r="TX73" s="684"/>
      <c r="TY73" s="684"/>
      <c r="TZ73" s="684"/>
      <c r="UA73" s="684"/>
      <c r="UB73" s="684"/>
      <c r="UC73" s="684"/>
      <c r="UD73" s="684"/>
      <c r="UE73" s="684"/>
      <c r="UF73" s="684"/>
      <c r="UG73" s="684"/>
      <c r="UH73" s="684"/>
      <c r="UI73" s="684"/>
      <c r="UJ73" s="684"/>
      <c r="UK73" s="684"/>
      <c r="UL73" s="684"/>
      <c r="UM73" s="684"/>
      <c r="UN73" s="684"/>
      <c r="UO73" s="684"/>
      <c r="UP73" s="684"/>
      <c r="UQ73" s="684"/>
      <c r="UR73" s="684"/>
      <c r="US73" s="684"/>
      <c r="UT73" s="684"/>
      <c r="UU73" s="684"/>
      <c r="UV73" s="684"/>
      <c r="UW73" s="684"/>
      <c r="UX73" s="684"/>
      <c r="UY73" s="684"/>
      <c r="UZ73" s="684"/>
      <c r="VA73" s="684"/>
      <c r="VB73" s="684"/>
      <c r="VC73" s="684"/>
      <c r="VD73" s="684"/>
      <c r="VE73" s="684"/>
      <c r="VF73" s="684"/>
      <c r="VG73" s="684"/>
      <c r="VH73" s="684"/>
      <c r="VI73" s="684"/>
      <c r="VJ73" s="684"/>
      <c r="VK73" s="684"/>
      <c r="VL73" s="684"/>
      <c r="VM73" s="684"/>
      <c r="VN73" s="684"/>
      <c r="VO73" s="684"/>
      <c r="VP73" s="684"/>
      <c r="VQ73" s="684"/>
      <c r="VR73" s="684"/>
      <c r="VS73" s="684"/>
      <c r="VT73" s="684"/>
      <c r="VU73" s="684"/>
      <c r="VV73" s="684"/>
      <c r="VW73" s="684"/>
      <c r="VX73" s="684"/>
      <c r="VY73" s="684"/>
      <c r="VZ73" s="684"/>
      <c r="WA73" s="684"/>
      <c r="WB73" s="684"/>
      <c r="WC73" s="684"/>
      <c r="WD73" s="684"/>
      <c r="WE73" s="684"/>
      <c r="WF73" s="684"/>
      <c r="WG73" s="684"/>
      <c r="WH73" s="684"/>
      <c r="WI73" s="684"/>
      <c r="WJ73" s="684"/>
      <c r="WK73" s="684"/>
      <c r="WL73" s="684"/>
      <c r="WM73" s="684"/>
      <c r="WN73" s="684"/>
      <c r="WO73" s="684"/>
      <c r="WP73" s="684"/>
      <c r="WQ73" s="684"/>
      <c r="WR73" s="684"/>
      <c r="WS73" s="684"/>
      <c r="WT73" s="684"/>
      <c r="WU73" s="684"/>
      <c r="WV73" s="684"/>
      <c r="WW73" s="684"/>
      <c r="WX73" s="684"/>
      <c r="WY73" s="684"/>
      <c r="WZ73" s="684"/>
      <c r="XA73" s="684"/>
      <c r="XB73" s="684"/>
      <c r="XC73" s="684"/>
      <c r="XD73" s="684"/>
      <c r="XE73" s="684"/>
      <c r="XF73" s="684"/>
      <c r="XG73" s="684"/>
      <c r="XH73" s="684"/>
      <c r="XI73" s="684"/>
      <c r="XJ73" s="684"/>
      <c r="XK73" s="684"/>
      <c r="XL73" s="684"/>
      <c r="XM73" s="684"/>
      <c r="XN73" s="684"/>
      <c r="XO73" s="684"/>
      <c r="XP73" s="684"/>
      <c r="XQ73" s="684"/>
      <c r="XR73" s="684"/>
      <c r="XS73" s="684"/>
      <c r="XT73" s="684"/>
      <c r="XU73" s="684"/>
      <c r="XV73" s="684"/>
      <c r="XW73" s="684"/>
      <c r="XX73" s="684"/>
      <c r="XY73" s="684"/>
      <c r="XZ73" s="684"/>
      <c r="YA73" s="684"/>
      <c r="YB73" s="684"/>
      <c r="YC73" s="684"/>
      <c r="YD73" s="684"/>
      <c r="YE73" s="684"/>
      <c r="YF73" s="684"/>
      <c r="YG73" s="684"/>
      <c r="YH73" s="684"/>
      <c r="YI73" s="684"/>
      <c r="YJ73" s="684"/>
      <c r="YK73" s="684"/>
      <c r="YL73" s="684"/>
      <c r="YM73" s="684"/>
      <c r="YN73" s="684"/>
      <c r="YO73" s="684"/>
      <c r="YP73" s="684"/>
      <c r="YQ73" s="684"/>
      <c r="YR73" s="684"/>
      <c r="YS73" s="684"/>
      <c r="YT73" s="684"/>
      <c r="YU73" s="684"/>
      <c r="YV73" s="684"/>
      <c r="YW73" s="684"/>
      <c r="YX73" s="684"/>
      <c r="YY73" s="684"/>
      <c r="YZ73" s="684"/>
      <c r="ZA73" s="684"/>
      <c r="ZB73" s="684"/>
      <c r="ZC73" s="684"/>
      <c r="ZD73" s="684"/>
      <c r="ZE73" s="684"/>
      <c r="ZF73" s="684"/>
      <c r="ZG73" s="684"/>
      <c r="ZH73" s="684"/>
      <c r="ZI73" s="684"/>
      <c r="ZJ73" s="684"/>
      <c r="ZK73" s="684"/>
      <c r="ZL73" s="684"/>
      <c r="ZM73" s="684"/>
      <c r="ZN73" s="684"/>
      <c r="ZO73" s="684"/>
      <c r="ZP73" s="684"/>
      <c r="ZQ73" s="684"/>
      <c r="ZR73" s="684"/>
      <c r="ZS73" s="684"/>
      <c r="ZT73" s="684"/>
      <c r="ZU73" s="684"/>
      <c r="ZV73" s="684"/>
      <c r="ZW73" s="684"/>
      <c r="ZX73" s="684"/>
      <c r="ZY73" s="684"/>
      <c r="ZZ73" s="684"/>
      <c r="AAA73" s="684"/>
      <c r="AAB73" s="684"/>
      <c r="AAC73" s="684"/>
      <c r="AAD73" s="684"/>
      <c r="AAE73" s="684"/>
      <c r="AAF73" s="684"/>
      <c r="AAG73" s="684"/>
      <c r="AAH73" s="684"/>
      <c r="AAI73" s="684"/>
      <c r="AAJ73" s="684"/>
      <c r="AAK73" s="684"/>
      <c r="AAL73" s="684"/>
      <c r="AAM73" s="684"/>
      <c r="AAN73" s="684"/>
      <c r="AAO73" s="684"/>
      <c r="AAP73" s="684"/>
      <c r="AAQ73" s="684"/>
      <c r="AAR73" s="684"/>
      <c r="AAS73" s="684"/>
      <c r="AAT73" s="684"/>
      <c r="AAU73" s="684"/>
      <c r="AAV73" s="684"/>
      <c r="AAW73" s="684"/>
      <c r="AAX73" s="684"/>
      <c r="AAY73" s="684"/>
      <c r="AAZ73" s="684"/>
      <c r="ABA73" s="684"/>
      <c r="ABB73" s="684"/>
      <c r="ABC73" s="684"/>
      <c r="ABD73" s="684"/>
      <c r="ABE73" s="684"/>
      <c r="ABF73" s="684"/>
      <c r="ABG73" s="684"/>
      <c r="ABH73" s="684"/>
      <c r="ABI73" s="684"/>
      <c r="ABJ73" s="684"/>
      <c r="ABK73" s="684"/>
      <c r="ABL73" s="684"/>
      <c r="ABM73" s="684"/>
      <c r="ABN73" s="684"/>
      <c r="ABO73" s="684"/>
      <c r="ABP73" s="684"/>
      <c r="ABQ73" s="684"/>
      <c r="ABR73" s="684"/>
      <c r="ABS73" s="684"/>
      <c r="ABT73" s="684"/>
      <c r="ABU73" s="684"/>
      <c r="ABV73" s="684"/>
      <c r="ABW73" s="684"/>
      <c r="ABX73" s="684"/>
      <c r="ABY73" s="684"/>
      <c r="ABZ73" s="684"/>
      <c r="ACA73" s="684"/>
      <c r="ACB73" s="684"/>
      <c r="ACC73" s="684"/>
      <c r="ACD73" s="684"/>
      <c r="ACE73" s="684"/>
      <c r="ACF73" s="684"/>
      <c r="ACG73" s="684"/>
      <c r="ACH73" s="684"/>
      <c r="ACI73" s="684"/>
      <c r="ACJ73" s="684"/>
      <c r="ACK73" s="684"/>
      <c r="ACL73" s="684"/>
      <c r="ACM73" s="684"/>
      <c r="ACN73" s="684"/>
      <c r="ACO73" s="684"/>
      <c r="ACP73" s="684"/>
      <c r="ACQ73" s="684"/>
      <c r="ACR73" s="684"/>
      <c r="ACS73" s="684"/>
      <c r="ACT73" s="684"/>
      <c r="ACU73" s="684"/>
      <c r="ACV73" s="684"/>
      <c r="ACW73" s="684"/>
      <c r="ACX73" s="684"/>
      <c r="ACY73" s="684"/>
      <c r="ACZ73" s="684"/>
      <c r="ADA73" s="684"/>
      <c r="ADB73" s="684"/>
      <c r="ADC73" s="684"/>
      <c r="ADD73" s="684"/>
      <c r="ADE73" s="684"/>
      <c r="ADF73" s="684"/>
      <c r="ADG73" s="684"/>
      <c r="ADH73" s="684"/>
      <c r="ADI73" s="684"/>
      <c r="ADJ73" s="684"/>
      <c r="ADK73" s="684"/>
      <c r="ADL73" s="684"/>
      <c r="ADM73" s="684"/>
      <c r="ADN73" s="684"/>
      <c r="ADO73" s="684"/>
      <c r="ADP73" s="684"/>
      <c r="ADQ73" s="684"/>
      <c r="ADR73" s="684"/>
      <c r="ADS73" s="684"/>
      <c r="ADT73" s="684"/>
      <c r="ADU73" s="684"/>
      <c r="ADV73" s="684"/>
      <c r="ADW73" s="684"/>
      <c r="ADX73" s="684"/>
      <c r="ADY73" s="684"/>
      <c r="ADZ73" s="684"/>
      <c r="AEA73" s="684"/>
      <c r="AEB73" s="684"/>
      <c r="AEC73" s="684"/>
      <c r="AED73" s="684"/>
      <c r="AEE73" s="684"/>
      <c r="AEF73" s="684"/>
      <c r="AEG73" s="684"/>
      <c r="AEH73" s="684"/>
      <c r="AEI73" s="684"/>
      <c r="AEJ73" s="684"/>
      <c r="AEK73" s="684"/>
      <c r="AEL73" s="684"/>
      <c r="AEM73" s="684"/>
      <c r="AEN73" s="684"/>
      <c r="AEO73" s="684"/>
      <c r="AEP73" s="684"/>
      <c r="AEQ73" s="684"/>
      <c r="AER73" s="684"/>
      <c r="AES73" s="684"/>
      <c r="AET73" s="684"/>
      <c r="AEU73" s="684"/>
      <c r="AEV73" s="684"/>
      <c r="AEW73" s="684"/>
      <c r="AEX73" s="684"/>
      <c r="AEY73" s="684"/>
      <c r="AEZ73" s="684"/>
      <c r="AFA73" s="684"/>
      <c r="AFB73" s="684"/>
      <c r="AFC73" s="684"/>
      <c r="AFD73" s="684"/>
      <c r="AFE73" s="684"/>
      <c r="AFF73" s="684"/>
      <c r="AFG73" s="684"/>
      <c r="AFH73" s="684"/>
      <c r="AFI73" s="684"/>
      <c r="AFJ73" s="684"/>
      <c r="AFK73" s="684"/>
      <c r="AFL73" s="684"/>
      <c r="AFM73" s="684"/>
      <c r="AFN73" s="684"/>
      <c r="AFO73" s="684"/>
      <c r="AFP73" s="684"/>
      <c r="AFQ73" s="684"/>
      <c r="AFR73" s="684"/>
      <c r="AFS73" s="684"/>
      <c r="AFT73" s="684"/>
      <c r="AFU73" s="684"/>
      <c r="AFV73" s="684"/>
      <c r="AFW73" s="684"/>
      <c r="AFX73" s="684"/>
      <c r="AFY73" s="684"/>
      <c r="AFZ73" s="684"/>
      <c r="AGA73" s="684"/>
      <c r="AGB73" s="684"/>
      <c r="AGC73" s="684"/>
      <c r="AGD73" s="684"/>
      <c r="AGE73" s="684"/>
      <c r="AGF73" s="684"/>
      <c r="AGG73" s="684"/>
      <c r="AGH73" s="684"/>
      <c r="AGI73" s="684"/>
      <c r="AGJ73" s="684"/>
      <c r="AGK73" s="684"/>
      <c r="AGL73" s="684"/>
      <c r="AGM73" s="684"/>
      <c r="AGN73" s="684"/>
      <c r="AGO73" s="684"/>
      <c r="AGP73" s="684"/>
      <c r="AGQ73" s="684"/>
      <c r="AGR73" s="684"/>
      <c r="AGS73" s="684"/>
      <c r="AGT73" s="684"/>
      <c r="AGU73" s="684"/>
      <c r="AGV73" s="684"/>
      <c r="AGW73" s="684"/>
      <c r="AGX73" s="684"/>
      <c r="AGY73" s="684"/>
      <c r="AGZ73" s="684"/>
      <c r="AHA73" s="684"/>
      <c r="AHB73" s="684"/>
      <c r="AHC73" s="684"/>
      <c r="AHD73" s="684"/>
      <c r="AHE73" s="684"/>
      <c r="AHF73" s="684"/>
      <c r="AHG73" s="684"/>
      <c r="AHH73" s="684"/>
      <c r="AHI73" s="684"/>
      <c r="AHJ73" s="684"/>
      <c r="AHK73" s="684"/>
      <c r="AHL73" s="684"/>
      <c r="AHM73" s="684"/>
      <c r="AHN73" s="684"/>
      <c r="AHO73" s="684"/>
      <c r="AHP73" s="684"/>
      <c r="AHQ73" s="684"/>
      <c r="AHR73" s="684"/>
      <c r="AHS73" s="684"/>
      <c r="AHT73" s="684"/>
      <c r="AHU73" s="684"/>
      <c r="AHV73" s="684"/>
      <c r="AHW73" s="684"/>
      <c r="AHX73" s="684"/>
      <c r="AHY73" s="684"/>
      <c r="AHZ73" s="684"/>
      <c r="AIA73" s="684"/>
      <c r="AIB73" s="684"/>
      <c r="AIC73" s="684"/>
      <c r="AID73" s="684"/>
      <c r="AIE73" s="684"/>
      <c r="AIF73" s="684"/>
      <c r="AIG73" s="684"/>
      <c r="AIH73" s="684"/>
      <c r="AII73" s="684"/>
      <c r="AIJ73" s="684"/>
      <c r="AIK73" s="684"/>
      <c r="AIL73" s="684"/>
      <c r="AIM73" s="684"/>
      <c r="AIN73" s="684"/>
      <c r="AIO73" s="684"/>
      <c r="AIP73" s="684"/>
      <c r="AIQ73" s="684"/>
      <c r="AIR73" s="684"/>
      <c r="AIS73" s="684"/>
      <c r="AIT73" s="684"/>
      <c r="AIU73" s="684"/>
      <c r="AIV73" s="684"/>
      <c r="AIW73" s="684"/>
      <c r="AIX73" s="684"/>
      <c r="AIY73" s="684"/>
      <c r="AIZ73" s="684"/>
      <c r="AJA73" s="684"/>
      <c r="AJB73" s="684"/>
      <c r="AJC73" s="684"/>
      <c r="AJD73" s="684"/>
      <c r="AJE73" s="684"/>
      <c r="AJF73" s="684"/>
      <c r="AJG73" s="684"/>
      <c r="AJH73" s="684"/>
      <c r="AJI73" s="684"/>
      <c r="AJJ73" s="684"/>
      <c r="AJK73" s="684"/>
      <c r="AJL73" s="684"/>
      <c r="AJM73" s="684"/>
      <c r="AJN73" s="684"/>
      <c r="AJO73" s="684"/>
      <c r="AJP73" s="684"/>
      <c r="AJQ73" s="684"/>
      <c r="AJR73" s="684"/>
      <c r="AJS73" s="684"/>
      <c r="AJT73" s="684"/>
      <c r="AJU73" s="684"/>
      <c r="AJV73" s="684"/>
      <c r="AJW73" s="684"/>
      <c r="AJX73" s="684"/>
      <c r="AJY73" s="684"/>
      <c r="AJZ73" s="684"/>
      <c r="AKA73" s="684"/>
      <c r="AKB73" s="684"/>
      <c r="AKC73" s="684"/>
      <c r="AKD73" s="684"/>
      <c r="AKE73" s="684"/>
      <c r="AKF73" s="684"/>
      <c r="AKG73" s="684"/>
      <c r="AKH73" s="684"/>
      <c r="AKI73" s="684"/>
      <c r="AKJ73" s="684"/>
      <c r="AKK73" s="684"/>
      <c r="AKL73" s="684"/>
      <c r="AKM73" s="684"/>
      <c r="AKN73" s="684"/>
      <c r="AKO73" s="684"/>
      <c r="AKP73" s="684"/>
      <c r="AKQ73" s="684"/>
      <c r="AKR73" s="684"/>
      <c r="AKS73" s="684"/>
      <c r="AKT73" s="684"/>
      <c r="AKU73" s="684"/>
      <c r="AKV73" s="684"/>
      <c r="AKW73" s="684"/>
      <c r="AKX73" s="684"/>
      <c r="AKY73" s="684"/>
      <c r="AKZ73" s="684"/>
      <c r="ALA73" s="684"/>
      <c r="ALB73" s="684"/>
      <c r="ALC73" s="684"/>
      <c r="ALD73" s="684"/>
      <c r="ALE73" s="684"/>
      <c r="ALF73" s="684"/>
      <c r="ALG73" s="684"/>
      <c r="ALH73" s="684"/>
      <c r="ALI73" s="684"/>
      <c r="ALJ73" s="684"/>
      <c r="ALK73" s="684"/>
      <c r="ALL73" s="684"/>
      <c r="ALM73" s="684"/>
      <c r="ALN73" s="684"/>
      <c r="ALO73" s="684"/>
      <c r="ALP73" s="684"/>
      <c r="ALQ73" s="684"/>
      <c r="ALR73" s="684"/>
      <c r="ALS73" s="684"/>
      <c r="ALT73" s="684"/>
      <c r="ALU73" s="684"/>
      <c r="ALV73" s="684"/>
      <c r="ALW73" s="684"/>
      <c r="ALX73" s="684"/>
      <c r="ALY73" s="684"/>
      <c r="ALZ73" s="684"/>
      <c r="AMA73" s="684"/>
      <c r="AMB73" s="684"/>
      <c r="AMC73" s="684"/>
      <c r="AMD73" s="684"/>
      <c r="AME73" s="684"/>
      <c r="AMF73" s="684"/>
      <c r="AMG73" s="684"/>
      <c r="AMH73" s="684"/>
      <c r="AMI73" s="684"/>
      <c r="AMJ73" s="684"/>
      <c r="AMK73" s="684"/>
      <c r="AML73" s="684"/>
      <c r="AMM73" s="684"/>
      <c r="AMN73" s="684"/>
      <c r="AMO73" s="684"/>
      <c r="AMP73" s="684"/>
      <c r="AMQ73" s="684"/>
      <c r="AMR73" s="684"/>
      <c r="AMS73" s="684"/>
      <c r="AMT73" s="684"/>
      <c r="AMU73" s="684"/>
      <c r="AMV73" s="684"/>
      <c r="AMW73" s="684"/>
      <c r="AMX73" s="684"/>
      <c r="AMY73" s="684"/>
      <c r="AMZ73" s="684"/>
      <c r="ANA73" s="684"/>
      <c r="ANB73" s="684"/>
      <c r="ANC73" s="684"/>
      <c r="AND73" s="684"/>
      <c r="ANE73" s="684"/>
      <c r="ANF73" s="684"/>
      <c r="ANG73" s="684"/>
      <c r="ANH73" s="684"/>
      <c r="ANI73" s="684"/>
      <c r="ANJ73" s="684"/>
      <c r="ANK73" s="684"/>
      <c r="ANL73" s="684"/>
      <c r="ANM73" s="684"/>
      <c r="ANN73" s="684"/>
      <c r="ANO73" s="684"/>
      <c r="ANP73" s="684"/>
      <c r="ANQ73" s="684"/>
      <c r="ANR73" s="684"/>
      <c r="ANS73" s="684"/>
      <c r="ANT73" s="684"/>
      <c r="ANU73" s="684"/>
      <c r="ANV73" s="684"/>
      <c r="ANW73" s="684"/>
      <c r="ANX73" s="684"/>
      <c r="ANY73" s="684"/>
      <c r="ANZ73" s="684"/>
      <c r="AOA73" s="684"/>
      <c r="AOB73" s="684"/>
      <c r="AOC73" s="684"/>
      <c r="AOD73" s="684"/>
      <c r="AOE73" s="684"/>
      <c r="AOF73" s="684"/>
      <c r="AOG73" s="684"/>
      <c r="AOH73" s="684"/>
      <c r="AOI73" s="684"/>
      <c r="AOJ73" s="684"/>
      <c r="AOK73" s="684"/>
      <c r="AOL73" s="684"/>
      <c r="AOM73" s="684"/>
      <c r="AON73" s="684"/>
      <c r="AOO73" s="684"/>
      <c r="AOP73" s="684"/>
      <c r="AOQ73" s="684"/>
      <c r="AOR73" s="684"/>
      <c r="AOS73" s="684"/>
      <c r="AOT73" s="684"/>
      <c r="AOU73" s="684"/>
      <c r="AOV73" s="684"/>
      <c r="AOW73" s="684"/>
      <c r="AOX73" s="684"/>
      <c r="AOY73" s="684"/>
      <c r="AOZ73" s="684"/>
      <c r="APA73" s="684"/>
      <c r="APB73" s="684"/>
      <c r="APC73" s="684"/>
      <c r="APD73" s="684"/>
      <c r="APE73" s="684"/>
      <c r="APF73" s="684"/>
      <c r="APG73" s="684"/>
      <c r="APH73" s="684"/>
      <c r="API73" s="684"/>
      <c r="APJ73" s="684"/>
      <c r="APK73" s="684"/>
      <c r="APL73" s="684"/>
      <c r="APM73" s="684"/>
      <c r="APN73" s="684"/>
      <c r="APO73" s="684"/>
      <c r="APP73" s="684"/>
      <c r="APQ73" s="684"/>
      <c r="APR73" s="684"/>
      <c r="APS73" s="684"/>
      <c r="APT73" s="684"/>
      <c r="APU73" s="684"/>
      <c r="APV73" s="684"/>
      <c r="APW73" s="684"/>
      <c r="APX73" s="684"/>
      <c r="APY73" s="684"/>
      <c r="APZ73" s="684"/>
      <c r="AQA73" s="684"/>
      <c r="AQB73" s="684"/>
      <c r="AQC73" s="684"/>
      <c r="AQD73" s="684"/>
      <c r="AQE73" s="684"/>
      <c r="AQF73" s="684"/>
      <c r="AQG73" s="684"/>
      <c r="AQH73" s="684"/>
      <c r="AQI73" s="684"/>
      <c r="AQJ73" s="684"/>
      <c r="AQK73" s="684"/>
      <c r="AQL73" s="684"/>
      <c r="AQM73" s="684"/>
      <c r="AQN73" s="684"/>
      <c r="AQO73" s="684"/>
      <c r="AQP73" s="684"/>
      <c r="AQQ73" s="684"/>
      <c r="AQR73" s="684"/>
      <c r="AQS73" s="684"/>
      <c r="AQT73" s="684"/>
      <c r="AQU73" s="684"/>
      <c r="AQV73" s="684"/>
      <c r="AQW73" s="684"/>
      <c r="AQX73" s="684"/>
      <c r="AQY73" s="684"/>
      <c r="AQZ73" s="684"/>
      <c r="ARA73" s="684"/>
      <c r="ARB73" s="684"/>
      <c r="ARC73" s="684"/>
      <c r="ARD73" s="684"/>
      <c r="ARE73" s="684"/>
      <c r="ARF73" s="684"/>
      <c r="ARG73" s="684"/>
      <c r="ARH73" s="684"/>
      <c r="ARI73" s="684"/>
      <c r="ARJ73" s="684"/>
      <c r="ARK73" s="684"/>
      <c r="ARL73" s="684"/>
      <c r="ARM73" s="684"/>
      <c r="ARN73" s="684"/>
      <c r="ARO73" s="684"/>
      <c r="ARP73" s="684"/>
      <c r="ARQ73" s="684"/>
      <c r="ARR73" s="684"/>
      <c r="ARS73" s="684"/>
      <c r="ART73" s="684"/>
      <c r="ARU73" s="684"/>
      <c r="ARV73" s="684"/>
      <c r="ARW73" s="684"/>
      <c r="ARX73" s="684"/>
      <c r="ARY73" s="684"/>
      <c r="ARZ73" s="684"/>
      <c r="ASA73" s="684"/>
      <c r="ASB73" s="684"/>
      <c r="ASC73" s="684"/>
      <c r="ASD73" s="684"/>
      <c r="ASE73" s="684"/>
      <c r="ASF73" s="684"/>
      <c r="ASG73" s="684"/>
      <c r="ASH73" s="684"/>
      <c r="ASI73" s="684"/>
      <c r="ASJ73" s="684"/>
      <c r="ASK73" s="684"/>
      <c r="ASL73" s="684"/>
      <c r="ASM73" s="684"/>
      <c r="ASN73" s="684"/>
      <c r="ASO73" s="684"/>
      <c r="ASP73" s="684"/>
      <c r="ASQ73" s="684"/>
      <c r="ASR73" s="684"/>
      <c r="ASS73" s="684"/>
      <c r="AST73" s="684"/>
      <c r="ASU73" s="684"/>
      <c r="ASV73" s="684"/>
      <c r="ASW73" s="684"/>
      <c r="ASX73" s="684"/>
      <c r="ASY73" s="684"/>
      <c r="ASZ73" s="684"/>
      <c r="ATA73" s="684"/>
      <c r="ATB73" s="684"/>
      <c r="ATC73" s="684"/>
      <c r="ATD73" s="684"/>
      <c r="ATE73" s="684"/>
      <c r="ATF73" s="684"/>
      <c r="ATG73" s="684"/>
      <c r="ATH73" s="684"/>
      <c r="ATI73" s="684"/>
      <c r="ATJ73" s="684"/>
      <c r="ATK73" s="684"/>
      <c r="ATL73" s="684"/>
      <c r="ATM73" s="684"/>
      <c r="ATN73" s="684"/>
      <c r="ATO73" s="684"/>
      <c r="ATP73" s="684"/>
      <c r="ATQ73" s="684"/>
      <c r="ATR73" s="684"/>
      <c r="ATS73" s="684"/>
      <c r="ATT73" s="684"/>
      <c r="ATU73" s="684"/>
      <c r="ATV73" s="684"/>
      <c r="ATW73" s="684"/>
      <c r="ATX73" s="684"/>
      <c r="ATY73" s="684"/>
      <c r="ATZ73" s="684"/>
      <c r="AUA73" s="684"/>
      <c r="AUB73" s="684"/>
      <c r="AUC73" s="684"/>
      <c r="AUD73" s="684"/>
      <c r="AUE73" s="684"/>
      <c r="AUF73" s="684"/>
      <c r="AUG73" s="684"/>
      <c r="AUH73" s="684"/>
      <c r="AUI73" s="684"/>
      <c r="AUJ73" s="684"/>
      <c r="AUK73" s="684"/>
      <c r="AUL73" s="684"/>
      <c r="AUM73" s="684"/>
      <c r="AUN73" s="684"/>
      <c r="AUO73" s="684"/>
      <c r="AUP73" s="684"/>
      <c r="AUQ73" s="684"/>
      <c r="AUR73" s="684"/>
      <c r="AUS73" s="684"/>
      <c r="AUT73" s="684"/>
      <c r="AUU73" s="684"/>
      <c r="AUV73" s="684"/>
      <c r="AUW73" s="684"/>
      <c r="AUX73" s="684"/>
      <c r="AUY73" s="684"/>
      <c r="AUZ73" s="684"/>
      <c r="AVA73" s="684"/>
      <c r="AVB73" s="684"/>
      <c r="AVC73" s="684"/>
      <c r="AVD73" s="684"/>
      <c r="AVE73" s="684"/>
      <c r="AVF73" s="684"/>
      <c r="AVG73" s="684"/>
      <c r="AVH73" s="684"/>
      <c r="AVI73" s="684"/>
      <c r="AVJ73" s="684"/>
      <c r="AVK73" s="684"/>
      <c r="AVL73" s="684"/>
      <c r="AVM73" s="684"/>
      <c r="AVN73" s="684"/>
      <c r="AVO73" s="684"/>
      <c r="AVP73" s="684"/>
      <c r="AVQ73" s="684"/>
      <c r="AVR73" s="684"/>
      <c r="AVS73" s="684"/>
      <c r="AVT73" s="684"/>
      <c r="AVU73" s="684"/>
      <c r="AVV73" s="684"/>
      <c r="AVW73" s="684"/>
      <c r="AVX73" s="684"/>
      <c r="AVY73" s="684"/>
      <c r="AVZ73" s="684"/>
      <c r="AWA73" s="684"/>
      <c r="AWB73" s="684"/>
      <c r="AWC73" s="684"/>
      <c r="AWD73" s="684"/>
      <c r="AWE73" s="684"/>
      <c r="AWF73" s="684"/>
      <c r="AWG73" s="684"/>
      <c r="AWH73" s="684"/>
      <c r="AWI73" s="684"/>
      <c r="AWJ73" s="684"/>
      <c r="AWK73" s="684"/>
      <c r="AWL73" s="684"/>
      <c r="AWM73" s="684"/>
      <c r="AWN73" s="684"/>
      <c r="AWO73" s="684"/>
      <c r="AWP73" s="684"/>
      <c r="AWQ73" s="684"/>
      <c r="AWR73" s="684"/>
      <c r="AWS73" s="684"/>
      <c r="AWT73" s="684"/>
      <c r="AWU73" s="684"/>
      <c r="AWV73" s="684"/>
      <c r="AWW73" s="684"/>
      <c r="AWX73" s="684"/>
      <c r="AWY73" s="684"/>
      <c r="AWZ73" s="684"/>
      <c r="AXA73" s="684"/>
      <c r="AXB73" s="684"/>
      <c r="AXC73" s="684"/>
      <c r="AXD73" s="684"/>
      <c r="AXE73" s="684"/>
      <c r="AXF73" s="684"/>
      <c r="AXG73" s="684"/>
      <c r="AXH73" s="684"/>
      <c r="AXI73" s="684"/>
      <c r="AXJ73" s="684"/>
      <c r="AXK73" s="684"/>
      <c r="AXL73" s="684"/>
      <c r="AXM73" s="684"/>
      <c r="AXN73" s="684"/>
      <c r="AXO73" s="684"/>
      <c r="AXP73" s="684"/>
      <c r="AXQ73" s="684"/>
      <c r="AXR73" s="684"/>
      <c r="AXS73" s="684"/>
      <c r="AXT73" s="684"/>
      <c r="AXU73" s="684"/>
      <c r="AXV73" s="684"/>
      <c r="AXW73" s="684"/>
      <c r="AXX73" s="684"/>
      <c r="AXY73" s="684"/>
      <c r="AXZ73" s="684"/>
      <c r="AYA73" s="684"/>
      <c r="AYB73" s="684"/>
      <c r="AYC73" s="684"/>
      <c r="AYD73" s="684"/>
      <c r="AYE73" s="684"/>
      <c r="AYF73" s="684"/>
      <c r="AYG73" s="684"/>
      <c r="AYH73" s="684"/>
      <c r="AYI73" s="684"/>
      <c r="AYJ73" s="684"/>
      <c r="AYK73" s="684"/>
      <c r="AYL73" s="684"/>
      <c r="AYM73" s="684"/>
      <c r="AYN73" s="684"/>
      <c r="AYO73" s="684"/>
      <c r="AYP73" s="684"/>
      <c r="AYQ73" s="684"/>
      <c r="AYR73" s="684"/>
      <c r="AYS73" s="684"/>
      <c r="AYT73" s="684"/>
      <c r="AYU73" s="684"/>
      <c r="AYV73" s="684"/>
      <c r="AYW73" s="684"/>
      <c r="AYX73" s="684"/>
      <c r="AYY73" s="684"/>
      <c r="AYZ73" s="684"/>
      <c r="AZA73" s="684"/>
      <c r="AZB73" s="684"/>
      <c r="AZC73" s="684"/>
      <c r="AZD73" s="684"/>
      <c r="AZE73" s="684"/>
      <c r="AZF73" s="684"/>
      <c r="AZG73" s="684"/>
      <c r="AZH73" s="684"/>
      <c r="AZI73" s="684"/>
      <c r="AZJ73" s="684"/>
      <c r="AZK73" s="684"/>
      <c r="AZL73" s="684"/>
      <c r="AZM73" s="684"/>
      <c r="AZN73" s="684"/>
      <c r="AZO73" s="684"/>
      <c r="AZP73" s="684"/>
      <c r="AZQ73" s="684"/>
      <c r="AZR73" s="684"/>
      <c r="AZS73" s="684"/>
      <c r="AZT73" s="684"/>
      <c r="AZU73" s="684"/>
      <c r="AZV73" s="684"/>
      <c r="AZW73" s="684"/>
      <c r="AZX73" s="684"/>
      <c r="AZY73" s="684"/>
      <c r="AZZ73" s="684"/>
      <c r="BAA73" s="684"/>
      <c r="BAB73" s="684"/>
      <c r="BAC73" s="684"/>
      <c r="BAD73" s="684"/>
      <c r="BAE73" s="684"/>
      <c r="BAF73" s="684"/>
      <c r="BAG73" s="684"/>
      <c r="BAH73" s="684"/>
      <c r="BAI73" s="684"/>
      <c r="BAJ73" s="684"/>
      <c r="BAK73" s="684"/>
      <c r="BAL73" s="684"/>
      <c r="BAM73" s="684"/>
      <c r="BAN73" s="684"/>
      <c r="BAO73" s="684"/>
      <c r="BAP73" s="684"/>
      <c r="BAQ73" s="684"/>
      <c r="BAR73" s="684"/>
      <c r="BAS73" s="684"/>
      <c r="BAT73" s="684"/>
      <c r="BAU73" s="684"/>
      <c r="BAV73" s="684"/>
      <c r="BAW73" s="684"/>
      <c r="BAX73" s="684"/>
      <c r="BAY73" s="684"/>
      <c r="BAZ73" s="684"/>
      <c r="BBA73" s="684"/>
      <c r="BBB73" s="684"/>
      <c r="BBC73" s="684"/>
      <c r="BBD73" s="684"/>
      <c r="BBE73" s="684"/>
      <c r="BBF73" s="684"/>
      <c r="BBG73" s="684"/>
      <c r="BBH73" s="684"/>
      <c r="BBI73" s="684"/>
      <c r="BBJ73" s="684"/>
      <c r="BBK73" s="684"/>
      <c r="BBL73" s="684"/>
      <c r="BBM73" s="684"/>
      <c r="BBN73" s="684"/>
      <c r="BBO73" s="684"/>
      <c r="BBP73" s="684"/>
      <c r="BBQ73" s="684"/>
      <c r="BBR73" s="684"/>
      <c r="BBS73" s="684"/>
      <c r="BBT73" s="684"/>
      <c r="BBU73" s="684"/>
      <c r="BBV73" s="684"/>
      <c r="BBW73" s="684"/>
      <c r="BBX73" s="684"/>
      <c r="BBY73" s="684"/>
      <c r="BBZ73" s="684"/>
      <c r="BCA73" s="684"/>
      <c r="BCB73" s="684"/>
      <c r="BCC73" s="684"/>
      <c r="BCD73" s="684"/>
      <c r="BCE73" s="684"/>
      <c r="BCF73" s="684"/>
      <c r="BCG73" s="684"/>
      <c r="BCH73" s="684"/>
      <c r="BCI73" s="684"/>
      <c r="BCJ73" s="684"/>
      <c r="BCK73" s="684"/>
      <c r="BCL73" s="684"/>
      <c r="BCM73" s="684"/>
      <c r="BCN73" s="684"/>
      <c r="BCO73" s="684"/>
      <c r="BCP73" s="684"/>
      <c r="BCQ73" s="684"/>
      <c r="BCR73" s="684"/>
      <c r="BCS73" s="684"/>
      <c r="BCT73" s="684"/>
      <c r="BCU73" s="684"/>
      <c r="BCV73" s="684"/>
      <c r="BCW73" s="684"/>
      <c r="BCX73" s="684"/>
      <c r="BCY73" s="684"/>
      <c r="BCZ73" s="684"/>
      <c r="BDA73" s="684"/>
      <c r="BDB73" s="684"/>
      <c r="BDC73" s="684"/>
      <c r="BDD73" s="684"/>
      <c r="BDE73" s="684"/>
      <c r="BDF73" s="684"/>
      <c r="BDG73" s="684"/>
      <c r="BDH73" s="684"/>
      <c r="BDI73" s="684"/>
      <c r="BDJ73" s="684"/>
      <c r="BDK73" s="684"/>
      <c r="BDL73" s="684"/>
      <c r="BDM73" s="684"/>
      <c r="BDN73" s="684"/>
      <c r="BDO73" s="684"/>
      <c r="BDP73" s="684"/>
      <c r="BDQ73" s="684"/>
      <c r="BDR73" s="684"/>
      <c r="BDS73" s="684"/>
      <c r="BDT73" s="684"/>
      <c r="BDU73" s="684"/>
      <c r="BDV73" s="684"/>
      <c r="BDW73" s="684"/>
      <c r="BDX73" s="684"/>
      <c r="BDY73" s="684"/>
      <c r="BDZ73" s="684"/>
      <c r="BEA73" s="684"/>
      <c r="BEB73" s="684"/>
      <c r="BEC73" s="684"/>
      <c r="BED73" s="684"/>
      <c r="BEE73" s="684"/>
      <c r="BEF73" s="684"/>
      <c r="BEG73" s="684"/>
      <c r="BEH73" s="684"/>
      <c r="BEI73" s="684"/>
      <c r="BEJ73" s="684"/>
      <c r="BEK73" s="684"/>
      <c r="BEL73" s="684"/>
      <c r="BEM73" s="684"/>
      <c r="BEN73" s="684"/>
      <c r="BEO73" s="684"/>
      <c r="BEP73" s="684"/>
      <c r="BEQ73" s="684"/>
      <c r="BER73" s="684"/>
      <c r="BES73" s="684"/>
      <c r="BET73" s="684"/>
      <c r="BEU73" s="684"/>
      <c r="BEV73" s="684"/>
      <c r="BEW73" s="684"/>
      <c r="BEX73" s="684"/>
      <c r="BEY73" s="684"/>
      <c r="BEZ73" s="684"/>
      <c r="BFA73" s="684"/>
      <c r="BFB73" s="684"/>
      <c r="BFC73" s="684"/>
      <c r="BFD73" s="684"/>
      <c r="BFE73" s="684"/>
      <c r="BFF73" s="684"/>
      <c r="BFG73" s="684"/>
      <c r="BFH73" s="684"/>
      <c r="BFI73" s="684"/>
      <c r="BFJ73" s="684"/>
      <c r="BFK73" s="684"/>
      <c r="BFL73" s="684"/>
      <c r="BFM73" s="684"/>
      <c r="BFN73" s="684"/>
      <c r="BFO73" s="684"/>
      <c r="BFP73" s="684"/>
      <c r="BFQ73" s="684"/>
      <c r="BFR73" s="684"/>
      <c r="BFS73" s="684"/>
      <c r="BFT73" s="684"/>
      <c r="BFU73" s="684"/>
      <c r="BFV73" s="684"/>
      <c r="BFW73" s="684"/>
      <c r="BFX73" s="684"/>
      <c r="BFY73" s="684"/>
      <c r="BFZ73" s="684"/>
      <c r="BGA73" s="684"/>
      <c r="BGB73" s="684"/>
      <c r="BGC73" s="684"/>
      <c r="BGD73" s="684"/>
      <c r="BGE73" s="684"/>
      <c r="BGF73" s="684"/>
      <c r="BGG73" s="684"/>
      <c r="BGH73" s="684"/>
      <c r="BGI73" s="684"/>
      <c r="BGJ73" s="684"/>
      <c r="BGK73" s="684"/>
      <c r="BGL73" s="684"/>
      <c r="BGM73" s="684"/>
      <c r="BGN73" s="684"/>
      <c r="BGO73" s="684"/>
      <c r="BGP73" s="684"/>
      <c r="BGQ73" s="684"/>
      <c r="BGR73" s="684"/>
      <c r="BGS73" s="684"/>
      <c r="BGT73" s="684"/>
      <c r="BGU73" s="684"/>
      <c r="BGV73" s="684"/>
      <c r="BGW73" s="684"/>
      <c r="BGX73" s="684"/>
      <c r="BGY73" s="684"/>
      <c r="BGZ73" s="684"/>
      <c r="BHA73" s="684"/>
      <c r="BHB73" s="684"/>
      <c r="BHC73" s="684"/>
      <c r="BHD73" s="684"/>
      <c r="BHE73" s="684"/>
      <c r="BHF73" s="684"/>
      <c r="BHG73" s="684"/>
      <c r="BHH73" s="684"/>
      <c r="BHI73" s="684"/>
      <c r="BHJ73" s="684"/>
      <c r="BHK73" s="684"/>
      <c r="BHL73" s="684"/>
      <c r="BHM73" s="684"/>
      <c r="BHN73" s="684"/>
      <c r="BHO73" s="684"/>
      <c r="BHP73" s="684"/>
      <c r="BHQ73" s="684"/>
      <c r="BHR73" s="684"/>
      <c r="BHS73" s="684"/>
      <c r="BHT73" s="684"/>
      <c r="BHU73" s="684"/>
      <c r="BHV73" s="684"/>
      <c r="BHW73" s="684"/>
      <c r="BHX73" s="684"/>
      <c r="BHY73" s="684"/>
      <c r="BHZ73" s="684"/>
      <c r="BIA73" s="684"/>
      <c r="BIB73" s="684"/>
      <c r="BIC73" s="684"/>
      <c r="BID73" s="684"/>
      <c r="BIE73" s="684"/>
      <c r="BIF73" s="684"/>
      <c r="BIG73" s="684"/>
      <c r="BIH73" s="684"/>
      <c r="BII73" s="684"/>
      <c r="BIJ73" s="684"/>
      <c r="BIK73" s="684"/>
      <c r="BIL73" s="684"/>
      <c r="BIM73" s="684"/>
      <c r="BIN73" s="684"/>
      <c r="BIO73" s="684"/>
      <c r="BIP73" s="684"/>
      <c r="BIQ73" s="684"/>
      <c r="BIR73" s="684"/>
      <c r="BIS73" s="684"/>
      <c r="BIT73" s="684"/>
      <c r="BIU73" s="684"/>
      <c r="BIV73" s="684"/>
      <c r="BIW73" s="684"/>
      <c r="BIX73" s="684"/>
      <c r="BIY73" s="684"/>
      <c r="BIZ73" s="684"/>
      <c r="BJA73" s="684"/>
      <c r="BJB73" s="684"/>
      <c r="BJC73" s="684"/>
      <c r="BJD73" s="684"/>
      <c r="BJE73" s="684"/>
      <c r="BJF73" s="684"/>
      <c r="BJG73" s="684"/>
      <c r="BJH73" s="684"/>
      <c r="BJI73" s="684"/>
      <c r="BJJ73" s="684"/>
      <c r="BJK73" s="684"/>
      <c r="BJL73" s="684"/>
      <c r="BJM73" s="684"/>
      <c r="BJN73" s="684"/>
      <c r="BJO73" s="684"/>
      <c r="BJP73" s="684"/>
      <c r="BJQ73" s="684"/>
      <c r="BJR73" s="684"/>
      <c r="BJS73" s="684"/>
      <c r="BJT73" s="684"/>
      <c r="BJU73" s="684"/>
      <c r="BJV73" s="684"/>
      <c r="BJW73" s="684"/>
      <c r="BJX73" s="684"/>
      <c r="BJY73" s="684"/>
      <c r="BJZ73" s="684"/>
      <c r="BKA73" s="684"/>
      <c r="BKB73" s="684"/>
      <c r="BKC73" s="684"/>
      <c r="BKD73" s="684"/>
      <c r="BKE73" s="684"/>
      <c r="BKF73" s="684"/>
      <c r="BKG73" s="684"/>
      <c r="BKH73" s="684"/>
      <c r="BKI73" s="684"/>
      <c r="BKJ73" s="684"/>
      <c r="BKK73" s="684"/>
      <c r="BKL73" s="684"/>
      <c r="BKM73" s="684"/>
      <c r="BKN73" s="684"/>
      <c r="BKO73" s="684"/>
      <c r="BKP73" s="684"/>
      <c r="BKQ73" s="684"/>
      <c r="BKR73" s="684"/>
      <c r="BKS73" s="684"/>
      <c r="BKT73" s="684"/>
      <c r="BKU73" s="684"/>
      <c r="BKV73" s="684"/>
      <c r="BKW73" s="684"/>
      <c r="BKX73" s="684"/>
      <c r="BKY73" s="684"/>
      <c r="BKZ73" s="684"/>
      <c r="BLA73" s="684"/>
      <c r="BLB73" s="684"/>
      <c r="BLC73" s="684"/>
      <c r="BLD73" s="684"/>
      <c r="BLE73" s="684"/>
      <c r="BLF73" s="684"/>
      <c r="BLG73" s="684"/>
      <c r="BLH73" s="684"/>
      <c r="BLI73" s="684"/>
      <c r="BLJ73" s="684"/>
      <c r="BLK73" s="684"/>
      <c r="BLL73" s="684"/>
      <c r="BLM73" s="684"/>
      <c r="BLN73" s="684"/>
      <c r="BLO73" s="684"/>
      <c r="BLP73" s="684"/>
      <c r="BLQ73" s="684"/>
      <c r="BLR73" s="684"/>
      <c r="BLS73" s="684"/>
      <c r="BLT73" s="684"/>
      <c r="BLU73" s="684"/>
      <c r="BLV73" s="684"/>
      <c r="BLW73" s="684"/>
      <c r="BLX73" s="684"/>
      <c r="BLY73" s="684"/>
      <c r="BLZ73" s="684"/>
      <c r="BMA73" s="684"/>
      <c r="BMB73" s="684"/>
      <c r="BMC73" s="684"/>
      <c r="BMD73" s="684"/>
      <c r="BME73" s="684"/>
      <c r="BMF73" s="684"/>
      <c r="BMG73" s="684"/>
      <c r="BMH73" s="684"/>
      <c r="BMI73" s="684"/>
      <c r="BMJ73" s="684"/>
      <c r="BMK73" s="684"/>
      <c r="BML73" s="684"/>
      <c r="BMM73" s="684"/>
      <c r="BMN73" s="684"/>
      <c r="BMO73" s="684"/>
      <c r="BMP73" s="684"/>
      <c r="BMQ73" s="684"/>
      <c r="BMR73" s="684"/>
      <c r="BMS73" s="684"/>
      <c r="BMT73" s="684"/>
      <c r="BMU73" s="684"/>
      <c r="BMV73" s="684"/>
      <c r="BMW73" s="684"/>
      <c r="BMX73" s="684"/>
      <c r="BMY73" s="684"/>
      <c r="BMZ73" s="684"/>
      <c r="BNA73" s="684"/>
      <c r="BNB73" s="684"/>
      <c r="BNC73" s="684"/>
      <c r="BND73" s="684"/>
      <c r="BNE73" s="684"/>
      <c r="BNF73" s="684"/>
      <c r="BNG73" s="684"/>
      <c r="BNH73" s="684"/>
      <c r="BNI73" s="684"/>
      <c r="BNJ73" s="684"/>
      <c r="BNK73" s="684"/>
      <c r="BNL73" s="684"/>
      <c r="BNM73" s="684"/>
      <c r="BNN73" s="684"/>
      <c r="BNO73" s="684"/>
      <c r="BNP73" s="684"/>
      <c r="BNQ73" s="684"/>
      <c r="BNR73" s="684"/>
      <c r="BNS73" s="684"/>
      <c r="BNT73" s="684"/>
      <c r="BNU73" s="684"/>
      <c r="BNV73" s="684"/>
      <c r="BNW73" s="684"/>
      <c r="BNX73" s="684"/>
      <c r="BNY73" s="684"/>
      <c r="BNZ73" s="684"/>
      <c r="BOA73" s="684"/>
      <c r="BOB73" s="684"/>
      <c r="BOC73" s="684"/>
      <c r="BOD73" s="684"/>
      <c r="BOE73" s="684"/>
      <c r="BOF73" s="684"/>
      <c r="BOG73" s="684"/>
      <c r="BOH73" s="684"/>
      <c r="BOI73" s="684"/>
      <c r="BOJ73" s="684"/>
      <c r="BOK73" s="684"/>
      <c r="BOL73" s="684"/>
      <c r="BOM73" s="684"/>
      <c r="BON73" s="684"/>
      <c r="BOO73" s="684"/>
      <c r="BOP73" s="684"/>
      <c r="BOQ73" s="684"/>
      <c r="BOR73" s="684"/>
      <c r="BOS73" s="684"/>
      <c r="BOT73" s="684"/>
      <c r="BOU73" s="684"/>
      <c r="BOV73" s="684"/>
      <c r="BOW73" s="684"/>
      <c r="BOX73" s="684"/>
      <c r="BOY73" s="684"/>
      <c r="BOZ73" s="684"/>
      <c r="BPA73" s="684"/>
      <c r="BPB73" s="684"/>
      <c r="BPC73" s="684"/>
      <c r="BPD73" s="684"/>
      <c r="BPE73" s="684"/>
      <c r="BPF73" s="684"/>
      <c r="BPG73" s="684"/>
      <c r="BPH73" s="684"/>
      <c r="BPI73" s="684"/>
      <c r="BPJ73" s="684"/>
      <c r="BPK73" s="684"/>
      <c r="BPL73" s="684"/>
      <c r="BPM73" s="684"/>
      <c r="BPN73" s="684"/>
      <c r="BPO73" s="684"/>
      <c r="BPP73" s="684"/>
      <c r="BPQ73" s="684"/>
      <c r="BPR73" s="684"/>
      <c r="BPS73" s="684"/>
      <c r="BPT73" s="684"/>
      <c r="BPU73" s="684"/>
      <c r="BPV73" s="684"/>
      <c r="BPW73" s="684"/>
      <c r="BPX73" s="684"/>
      <c r="BPY73" s="684"/>
      <c r="BPZ73" s="684"/>
      <c r="BQA73" s="684"/>
      <c r="BQB73" s="684"/>
      <c r="BQC73" s="684"/>
      <c r="BQD73" s="684"/>
      <c r="BQE73" s="684"/>
      <c r="BQF73" s="684"/>
      <c r="BQG73" s="684"/>
      <c r="BQH73" s="684"/>
      <c r="BQI73" s="684"/>
      <c r="BQJ73" s="684"/>
      <c r="BQK73" s="684"/>
      <c r="BQL73" s="684"/>
      <c r="BQM73" s="684"/>
      <c r="BQN73" s="684"/>
      <c r="BQO73" s="684"/>
      <c r="BQP73" s="684"/>
      <c r="BQQ73" s="684"/>
      <c r="BQR73" s="684"/>
      <c r="BQS73" s="684"/>
      <c r="BQT73" s="684"/>
      <c r="BQU73" s="684"/>
      <c r="BQV73" s="684"/>
      <c r="BQW73" s="684"/>
      <c r="BQX73" s="684"/>
      <c r="BQY73" s="684"/>
      <c r="BQZ73" s="684"/>
      <c r="BRA73" s="684"/>
      <c r="BRB73" s="684"/>
      <c r="BRC73" s="684"/>
      <c r="BRD73" s="684"/>
      <c r="BRE73" s="684"/>
      <c r="BRF73" s="684"/>
      <c r="BRG73" s="684"/>
      <c r="BRH73" s="684"/>
      <c r="BRI73" s="684"/>
      <c r="BRJ73" s="684"/>
      <c r="BRK73" s="684"/>
      <c r="BRL73" s="684"/>
      <c r="BRM73" s="684"/>
      <c r="BRN73" s="684"/>
      <c r="BRO73" s="684"/>
      <c r="BRP73" s="684"/>
      <c r="BRQ73" s="684"/>
      <c r="BRR73" s="684"/>
      <c r="BRS73" s="684"/>
      <c r="BRT73" s="684"/>
      <c r="BRU73" s="684"/>
      <c r="BRV73" s="684"/>
      <c r="BRW73" s="684"/>
      <c r="BRX73" s="684"/>
      <c r="BRY73" s="684"/>
      <c r="BRZ73" s="684"/>
      <c r="BSA73" s="684"/>
      <c r="BSB73" s="684"/>
      <c r="BSC73" s="684"/>
      <c r="BSD73" s="684"/>
      <c r="BSE73" s="684"/>
      <c r="BSF73" s="684"/>
      <c r="BSG73" s="684"/>
      <c r="BSH73" s="684"/>
      <c r="BSI73" s="684"/>
      <c r="BSJ73" s="684"/>
      <c r="BSK73" s="684"/>
      <c r="BSL73" s="684"/>
      <c r="BSM73" s="684"/>
      <c r="BSN73" s="684"/>
      <c r="BSO73" s="684"/>
      <c r="BSP73" s="684"/>
      <c r="BSQ73" s="684"/>
      <c r="BSR73" s="684"/>
      <c r="BSS73" s="684"/>
      <c r="BST73" s="684"/>
      <c r="BSU73" s="684"/>
      <c r="BSV73" s="684"/>
      <c r="BSW73" s="684"/>
      <c r="BSX73" s="684"/>
      <c r="BSY73" s="684"/>
      <c r="BSZ73" s="684"/>
      <c r="BTA73" s="684"/>
      <c r="BTB73" s="684"/>
      <c r="BTC73" s="684"/>
      <c r="BTD73" s="684"/>
      <c r="BTE73" s="684"/>
      <c r="BTF73" s="684"/>
      <c r="BTG73" s="684"/>
      <c r="BTH73" s="684"/>
      <c r="BTI73" s="684"/>
      <c r="BTJ73" s="684"/>
      <c r="BTK73" s="684"/>
      <c r="BTL73" s="684"/>
      <c r="BTM73" s="684"/>
      <c r="BTN73" s="684"/>
      <c r="BTO73" s="684"/>
      <c r="BTP73" s="684"/>
      <c r="BTQ73" s="684"/>
      <c r="BTR73" s="684"/>
      <c r="BTS73" s="684"/>
      <c r="BTT73" s="684"/>
      <c r="BTU73" s="684"/>
      <c r="BTV73" s="684"/>
      <c r="BTW73" s="684"/>
      <c r="BTX73" s="684"/>
      <c r="BTY73" s="684"/>
      <c r="BTZ73" s="684"/>
      <c r="BUA73" s="684"/>
      <c r="BUB73" s="684"/>
      <c r="BUC73" s="684"/>
      <c r="BUD73" s="684"/>
      <c r="BUE73" s="684"/>
      <c r="BUF73" s="684"/>
      <c r="BUG73" s="684"/>
      <c r="BUH73" s="684"/>
      <c r="BUI73" s="684"/>
      <c r="BUJ73" s="684"/>
      <c r="BUK73" s="684"/>
      <c r="BUL73" s="684"/>
      <c r="BUM73" s="684"/>
      <c r="BUN73" s="684"/>
      <c r="BUO73" s="684"/>
      <c r="BUP73" s="684"/>
      <c r="BUQ73" s="684"/>
      <c r="BUR73" s="684"/>
      <c r="BUS73" s="684"/>
      <c r="BUT73" s="684"/>
      <c r="BUU73" s="684"/>
      <c r="BUV73" s="684"/>
      <c r="BUW73" s="684"/>
      <c r="BUX73" s="684"/>
      <c r="BUY73" s="684"/>
      <c r="BUZ73" s="684"/>
      <c r="BVA73" s="684"/>
      <c r="BVB73" s="684"/>
      <c r="BVC73" s="684"/>
      <c r="BVD73" s="684"/>
      <c r="BVE73" s="684"/>
      <c r="BVF73" s="684"/>
      <c r="BVG73" s="684"/>
      <c r="BVH73" s="684"/>
      <c r="BVI73" s="684"/>
      <c r="BVJ73" s="684"/>
      <c r="BVK73" s="684"/>
      <c r="BVL73" s="684"/>
      <c r="BVM73" s="684"/>
      <c r="BVN73" s="684"/>
      <c r="BVO73" s="684"/>
      <c r="BVP73" s="684"/>
      <c r="BVQ73" s="684"/>
      <c r="BVR73" s="684"/>
      <c r="BVS73" s="684"/>
      <c r="BVT73" s="684"/>
      <c r="BVU73" s="684"/>
      <c r="BVV73" s="684"/>
      <c r="BVW73" s="684"/>
      <c r="BVX73" s="684"/>
      <c r="BVY73" s="684"/>
      <c r="BVZ73" s="684"/>
      <c r="BWA73" s="684"/>
      <c r="BWB73" s="684"/>
      <c r="BWC73" s="684"/>
      <c r="BWD73" s="684"/>
      <c r="BWE73" s="684"/>
      <c r="BWF73" s="684"/>
      <c r="BWG73" s="684"/>
      <c r="BWH73" s="684"/>
      <c r="BWI73" s="684"/>
      <c r="BWJ73" s="684"/>
      <c r="BWK73" s="684"/>
      <c r="BWL73" s="684"/>
      <c r="BWM73" s="684"/>
      <c r="BWN73" s="684"/>
      <c r="BWO73" s="684"/>
      <c r="BWP73" s="684"/>
      <c r="BWQ73" s="684"/>
      <c r="BWR73" s="684"/>
      <c r="BWS73" s="684"/>
      <c r="BWT73" s="684"/>
      <c r="BWU73" s="684"/>
      <c r="BWV73" s="684"/>
      <c r="BWW73" s="684"/>
      <c r="BWX73" s="684"/>
      <c r="BWY73" s="684"/>
      <c r="BWZ73" s="684"/>
      <c r="BXA73" s="684"/>
      <c r="BXB73" s="684"/>
      <c r="BXC73" s="684"/>
      <c r="BXD73" s="684"/>
      <c r="BXE73" s="684"/>
      <c r="BXF73" s="684"/>
      <c r="BXG73" s="684"/>
      <c r="BXH73" s="684"/>
      <c r="BXI73" s="684"/>
      <c r="BXJ73" s="684"/>
      <c r="BXK73" s="684"/>
      <c r="BXL73" s="684"/>
      <c r="BXM73" s="684"/>
      <c r="BXN73" s="684"/>
      <c r="BXO73" s="684"/>
      <c r="BXP73" s="684"/>
      <c r="BXQ73" s="684"/>
      <c r="BXR73" s="684"/>
      <c r="BXS73" s="684"/>
      <c r="BXT73" s="684"/>
      <c r="BXU73" s="684"/>
      <c r="BXV73" s="684"/>
      <c r="BXW73" s="684"/>
      <c r="BXX73" s="684"/>
      <c r="BXY73" s="684"/>
      <c r="BXZ73" s="684"/>
      <c r="BYA73" s="684"/>
      <c r="BYB73" s="684"/>
      <c r="BYC73" s="684"/>
      <c r="BYD73" s="684"/>
      <c r="BYE73" s="684"/>
      <c r="BYF73" s="684"/>
      <c r="BYG73" s="684"/>
      <c r="BYH73" s="684"/>
      <c r="BYI73" s="684"/>
      <c r="BYJ73" s="684"/>
      <c r="BYK73" s="684"/>
      <c r="BYL73" s="684"/>
      <c r="BYM73" s="684"/>
      <c r="BYN73" s="684"/>
      <c r="BYO73" s="684"/>
      <c r="BYP73" s="684"/>
      <c r="BYQ73" s="684"/>
      <c r="BYR73" s="684"/>
      <c r="BYS73" s="684"/>
      <c r="BYT73" s="684"/>
      <c r="BYU73" s="684"/>
      <c r="BYV73" s="684"/>
      <c r="BYW73" s="684"/>
      <c r="BYX73" s="684"/>
      <c r="BYY73" s="684"/>
      <c r="BYZ73" s="684"/>
      <c r="BZA73" s="684"/>
      <c r="BZB73" s="684"/>
      <c r="BZC73" s="684"/>
      <c r="BZD73" s="684"/>
      <c r="BZE73" s="684"/>
      <c r="BZF73" s="684"/>
      <c r="BZG73" s="684"/>
      <c r="BZH73" s="684"/>
      <c r="BZI73" s="684"/>
      <c r="BZJ73" s="684"/>
      <c r="BZK73" s="684"/>
      <c r="BZL73" s="684"/>
      <c r="BZM73" s="684"/>
      <c r="BZN73" s="684"/>
      <c r="BZO73" s="684"/>
      <c r="BZP73" s="684"/>
      <c r="BZQ73" s="684"/>
      <c r="BZR73" s="684"/>
      <c r="BZS73" s="684"/>
      <c r="BZT73" s="684"/>
      <c r="BZU73" s="684"/>
      <c r="BZV73" s="684"/>
      <c r="BZW73" s="684"/>
      <c r="BZX73" s="684"/>
      <c r="BZY73" s="684"/>
      <c r="BZZ73" s="684"/>
      <c r="CAA73" s="684"/>
      <c r="CAB73" s="684"/>
      <c r="CAC73" s="684"/>
      <c r="CAD73" s="684"/>
      <c r="CAE73" s="684"/>
      <c r="CAF73" s="684"/>
      <c r="CAG73" s="684"/>
      <c r="CAH73" s="684"/>
      <c r="CAI73" s="684"/>
      <c r="CAJ73" s="684"/>
      <c r="CAK73" s="684"/>
      <c r="CAL73" s="684"/>
      <c r="CAM73" s="684"/>
      <c r="CAN73" s="684"/>
      <c r="CAO73" s="684"/>
      <c r="CAP73" s="684"/>
      <c r="CAQ73" s="684"/>
      <c r="CAR73" s="684"/>
      <c r="CAS73" s="684"/>
      <c r="CAT73" s="684"/>
      <c r="CAU73" s="684"/>
      <c r="CAV73" s="684"/>
      <c r="CAW73" s="684"/>
      <c r="CAX73" s="684"/>
      <c r="CAY73" s="684"/>
      <c r="CAZ73" s="684"/>
      <c r="CBA73" s="684"/>
      <c r="CBB73" s="684"/>
      <c r="CBC73" s="684"/>
      <c r="CBD73" s="684"/>
      <c r="CBE73" s="684"/>
      <c r="CBF73" s="684"/>
      <c r="CBG73" s="684"/>
      <c r="CBH73" s="684"/>
      <c r="CBI73" s="684"/>
      <c r="CBJ73" s="684"/>
      <c r="CBK73" s="684"/>
      <c r="CBL73" s="684"/>
      <c r="CBM73" s="684"/>
      <c r="CBN73" s="684"/>
      <c r="CBO73" s="684"/>
      <c r="CBP73" s="684"/>
      <c r="CBQ73" s="684"/>
      <c r="CBR73" s="684"/>
      <c r="CBS73" s="684"/>
      <c r="CBT73" s="684"/>
      <c r="CBU73" s="684"/>
      <c r="CBV73" s="684"/>
      <c r="CBW73" s="684"/>
      <c r="CBX73" s="684"/>
      <c r="CBY73" s="684"/>
      <c r="CBZ73" s="684"/>
      <c r="CCA73" s="684"/>
      <c r="CCB73" s="684"/>
      <c r="CCC73" s="684"/>
      <c r="CCD73" s="684"/>
      <c r="CCE73" s="684"/>
      <c r="CCF73" s="684"/>
      <c r="CCG73" s="684"/>
      <c r="CCH73" s="684"/>
      <c r="CCI73" s="684"/>
      <c r="CCJ73" s="684"/>
      <c r="CCK73" s="684"/>
      <c r="CCL73" s="684"/>
      <c r="CCM73" s="684"/>
      <c r="CCN73" s="684"/>
      <c r="CCO73" s="684"/>
      <c r="CCP73" s="684"/>
      <c r="CCQ73" s="684"/>
      <c r="CCR73" s="684"/>
      <c r="CCS73" s="684"/>
      <c r="CCT73" s="684"/>
      <c r="CCU73" s="684"/>
      <c r="CCV73" s="684"/>
      <c r="CCW73" s="684"/>
      <c r="CCX73" s="684"/>
      <c r="CCY73" s="684"/>
      <c r="CCZ73" s="684"/>
      <c r="CDA73" s="684"/>
      <c r="CDB73" s="684"/>
      <c r="CDC73" s="684"/>
      <c r="CDD73" s="684"/>
      <c r="CDE73" s="684"/>
      <c r="CDF73" s="684"/>
      <c r="CDG73" s="684"/>
      <c r="CDH73" s="684"/>
      <c r="CDI73" s="684"/>
      <c r="CDJ73" s="684"/>
      <c r="CDK73" s="684"/>
      <c r="CDL73" s="684"/>
      <c r="CDM73" s="684"/>
      <c r="CDN73" s="684"/>
      <c r="CDO73" s="684"/>
      <c r="CDP73" s="684"/>
      <c r="CDQ73" s="684"/>
      <c r="CDR73" s="684"/>
      <c r="CDS73" s="684"/>
      <c r="CDT73" s="684"/>
      <c r="CDU73" s="684"/>
      <c r="CDV73" s="684"/>
      <c r="CDW73" s="684"/>
      <c r="CDX73" s="684"/>
      <c r="CDY73" s="684"/>
      <c r="CDZ73" s="684"/>
      <c r="CEA73" s="684"/>
      <c r="CEB73" s="684"/>
      <c r="CEC73" s="684"/>
      <c r="CED73" s="684"/>
      <c r="CEE73" s="684"/>
      <c r="CEF73" s="684"/>
      <c r="CEG73" s="684"/>
      <c r="CEH73" s="684"/>
      <c r="CEI73" s="684"/>
      <c r="CEJ73" s="684"/>
      <c r="CEK73" s="684"/>
      <c r="CEL73" s="684"/>
      <c r="CEM73" s="684"/>
      <c r="CEN73" s="684"/>
      <c r="CEO73" s="684"/>
      <c r="CEP73" s="684"/>
      <c r="CEQ73" s="684"/>
      <c r="CER73" s="684"/>
      <c r="CES73" s="684"/>
      <c r="CET73" s="684"/>
      <c r="CEU73" s="684"/>
      <c r="CEV73" s="684"/>
      <c r="CEW73" s="684"/>
      <c r="CEX73" s="684"/>
      <c r="CEY73" s="684"/>
      <c r="CEZ73" s="684"/>
      <c r="CFA73" s="684"/>
      <c r="CFB73" s="684"/>
      <c r="CFC73" s="684"/>
      <c r="CFD73" s="684"/>
      <c r="CFE73" s="684"/>
      <c r="CFF73" s="684"/>
      <c r="CFG73" s="684"/>
      <c r="CFH73" s="684"/>
      <c r="CFI73" s="684"/>
      <c r="CFJ73" s="684"/>
      <c r="CFK73" s="684"/>
      <c r="CFL73" s="684"/>
      <c r="CFM73" s="684"/>
      <c r="CFN73" s="684"/>
      <c r="CFO73" s="684"/>
      <c r="CFP73" s="684"/>
      <c r="CFQ73" s="684"/>
      <c r="CFR73" s="684"/>
      <c r="CFS73" s="684"/>
      <c r="CFT73" s="684"/>
      <c r="CFU73" s="684"/>
      <c r="CFV73" s="684"/>
      <c r="CFW73" s="684"/>
      <c r="CFX73" s="684"/>
      <c r="CFY73" s="684"/>
      <c r="CFZ73" s="684"/>
      <c r="CGA73" s="684"/>
      <c r="CGB73" s="684"/>
      <c r="CGC73" s="684"/>
      <c r="CGD73" s="684"/>
      <c r="CGE73" s="684"/>
      <c r="CGF73" s="684"/>
      <c r="CGG73" s="684"/>
      <c r="CGH73" s="684"/>
      <c r="CGI73" s="684"/>
      <c r="CGJ73" s="684"/>
      <c r="CGK73" s="684"/>
      <c r="CGL73" s="684"/>
      <c r="CGM73" s="684"/>
      <c r="CGN73" s="684"/>
      <c r="CGO73" s="684"/>
      <c r="CGP73" s="684"/>
      <c r="CGQ73" s="684"/>
      <c r="CGR73" s="684"/>
      <c r="CGS73" s="684"/>
      <c r="CGT73" s="684"/>
      <c r="CGU73" s="684"/>
      <c r="CGV73" s="684"/>
      <c r="CGW73" s="684"/>
      <c r="CGX73" s="684"/>
      <c r="CGY73" s="684"/>
      <c r="CGZ73" s="684"/>
      <c r="CHA73" s="684"/>
      <c r="CHB73" s="684"/>
      <c r="CHC73" s="684"/>
      <c r="CHD73" s="684"/>
      <c r="CHE73" s="684"/>
      <c r="CHF73" s="684"/>
      <c r="CHG73" s="684"/>
      <c r="CHH73" s="684"/>
      <c r="CHI73" s="684"/>
      <c r="CHJ73" s="684"/>
      <c r="CHK73" s="684"/>
      <c r="CHL73" s="684"/>
      <c r="CHM73" s="684"/>
      <c r="CHN73" s="684"/>
      <c r="CHO73" s="684"/>
      <c r="CHP73" s="684"/>
      <c r="CHQ73" s="684"/>
      <c r="CHR73" s="684"/>
      <c r="CHS73" s="684"/>
      <c r="CHT73" s="684"/>
      <c r="CHU73" s="684"/>
      <c r="CHV73" s="684"/>
      <c r="CHW73" s="684"/>
      <c r="CHX73" s="684"/>
      <c r="CHY73" s="684"/>
      <c r="CHZ73" s="684"/>
      <c r="CIA73" s="684"/>
      <c r="CIB73" s="684"/>
      <c r="CIC73" s="684"/>
      <c r="CID73" s="684"/>
      <c r="CIE73" s="684"/>
      <c r="CIF73" s="684"/>
      <c r="CIG73" s="684"/>
      <c r="CIH73" s="684"/>
      <c r="CII73" s="684"/>
      <c r="CIJ73" s="684"/>
      <c r="CIK73" s="684"/>
      <c r="CIL73" s="684"/>
      <c r="CIM73" s="684"/>
      <c r="CIN73" s="684"/>
      <c r="CIO73" s="684"/>
      <c r="CIP73" s="684"/>
      <c r="CIQ73" s="684"/>
      <c r="CIR73" s="684"/>
      <c r="CIS73" s="684"/>
      <c r="CIT73" s="684"/>
      <c r="CIU73" s="684"/>
      <c r="CIV73" s="684"/>
      <c r="CIW73" s="684"/>
      <c r="CIX73" s="684"/>
      <c r="CIY73" s="684"/>
      <c r="CIZ73" s="684"/>
      <c r="CJA73" s="684"/>
      <c r="CJB73" s="684"/>
      <c r="CJC73" s="684"/>
      <c r="CJD73" s="684"/>
      <c r="CJE73" s="684"/>
      <c r="CJF73" s="684"/>
      <c r="CJG73" s="684"/>
      <c r="CJH73" s="684"/>
      <c r="CJI73" s="684"/>
      <c r="CJJ73" s="684"/>
      <c r="CJK73" s="684"/>
      <c r="CJL73" s="684"/>
      <c r="CJM73" s="684"/>
      <c r="CJN73" s="684"/>
      <c r="CJO73" s="684"/>
      <c r="CJP73" s="684"/>
      <c r="CJQ73" s="684"/>
      <c r="CJR73" s="684"/>
      <c r="CJS73" s="684"/>
      <c r="CJT73" s="684"/>
      <c r="CJU73" s="684"/>
      <c r="CJV73" s="684"/>
      <c r="CJW73" s="684"/>
      <c r="CJX73" s="684"/>
      <c r="CJY73" s="684"/>
      <c r="CJZ73" s="684"/>
      <c r="CKA73" s="684"/>
      <c r="CKB73" s="684"/>
      <c r="CKC73" s="684"/>
      <c r="CKD73" s="684"/>
      <c r="CKE73" s="684"/>
      <c r="CKF73" s="684"/>
      <c r="CKG73" s="684"/>
      <c r="CKH73" s="684"/>
      <c r="CKI73" s="684"/>
      <c r="CKJ73" s="684"/>
      <c r="CKK73" s="684"/>
      <c r="CKL73" s="684"/>
      <c r="CKM73" s="684"/>
      <c r="CKN73" s="684"/>
      <c r="CKO73" s="684"/>
      <c r="CKP73" s="684"/>
      <c r="CKQ73" s="684"/>
      <c r="CKR73" s="684"/>
      <c r="CKS73" s="684"/>
      <c r="CKT73" s="684"/>
      <c r="CKU73" s="684"/>
      <c r="CKV73" s="684"/>
      <c r="CKW73" s="684"/>
      <c r="CKX73" s="684"/>
      <c r="CKY73" s="684"/>
      <c r="CKZ73" s="684"/>
      <c r="CLA73" s="684"/>
      <c r="CLB73" s="684"/>
      <c r="CLC73" s="684"/>
      <c r="CLD73" s="684"/>
      <c r="CLE73" s="684"/>
      <c r="CLF73" s="684"/>
      <c r="CLG73" s="684"/>
      <c r="CLH73" s="684"/>
      <c r="CLI73" s="684"/>
      <c r="CLJ73" s="684"/>
      <c r="CLK73" s="684"/>
      <c r="CLL73" s="684"/>
      <c r="CLM73" s="684"/>
      <c r="CLN73" s="684"/>
      <c r="CLO73" s="684"/>
      <c r="CLP73" s="684"/>
      <c r="CLQ73" s="684"/>
      <c r="CLR73" s="684"/>
      <c r="CLS73" s="684"/>
      <c r="CLT73" s="684"/>
      <c r="CLU73" s="684"/>
      <c r="CLV73" s="684"/>
      <c r="CLW73" s="684"/>
      <c r="CLX73" s="684"/>
      <c r="CLY73" s="684"/>
      <c r="CLZ73" s="684"/>
      <c r="CMA73" s="684"/>
      <c r="CMB73" s="684"/>
      <c r="CMC73" s="684"/>
      <c r="CMD73" s="684"/>
      <c r="CME73" s="684"/>
      <c r="CMF73" s="684"/>
      <c r="CMG73" s="684"/>
      <c r="CMH73" s="684"/>
      <c r="CMI73" s="684"/>
      <c r="CMJ73" s="684"/>
      <c r="CMK73" s="684"/>
      <c r="CML73" s="684"/>
      <c r="CMM73" s="684"/>
      <c r="CMN73" s="684"/>
      <c r="CMO73" s="684"/>
      <c r="CMP73" s="684"/>
      <c r="CMQ73" s="684"/>
      <c r="CMR73" s="684"/>
      <c r="CMS73" s="684"/>
      <c r="CMT73" s="684"/>
      <c r="CMU73" s="684"/>
      <c r="CMV73" s="684"/>
      <c r="CMW73" s="684"/>
      <c r="CMX73" s="684"/>
      <c r="CMY73" s="684"/>
      <c r="CMZ73" s="684"/>
      <c r="CNA73" s="684"/>
      <c r="CNB73" s="684"/>
      <c r="CNC73" s="684"/>
      <c r="CND73" s="684"/>
      <c r="CNE73" s="684"/>
      <c r="CNF73" s="684"/>
      <c r="CNG73" s="684"/>
      <c r="CNH73" s="684"/>
      <c r="CNI73" s="684"/>
      <c r="CNJ73" s="684"/>
      <c r="CNK73" s="684"/>
      <c r="CNL73" s="684"/>
      <c r="CNM73" s="684"/>
      <c r="CNN73" s="684"/>
      <c r="CNO73" s="684"/>
      <c r="CNP73" s="684"/>
      <c r="CNQ73" s="684"/>
      <c r="CNR73" s="684"/>
      <c r="CNS73" s="684"/>
      <c r="CNT73" s="684"/>
      <c r="CNU73" s="684"/>
      <c r="CNV73" s="684"/>
      <c r="CNW73" s="684"/>
      <c r="CNX73" s="684"/>
      <c r="CNY73" s="684"/>
      <c r="CNZ73" s="684"/>
      <c r="COA73" s="684"/>
      <c r="COB73" s="684"/>
      <c r="COC73" s="684"/>
      <c r="COD73" s="684"/>
      <c r="COE73" s="684"/>
      <c r="COF73" s="684"/>
      <c r="COG73" s="684"/>
      <c r="COH73" s="684"/>
      <c r="COI73" s="684"/>
      <c r="COJ73" s="684"/>
      <c r="COK73" s="684"/>
      <c r="COL73" s="684"/>
      <c r="COM73" s="684"/>
      <c r="CON73" s="684"/>
      <c r="COO73" s="684"/>
      <c r="COP73" s="684"/>
      <c r="COQ73" s="684"/>
      <c r="COR73" s="684"/>
      <c r="COS73" s="684"/>
      <c r="COT73" s="684"/>
      <c r="COU73" s="684"/>
      <c r="COV73" s="684"/>
      <c r="COW73" s="684"/>
      <c r="COX73" s="684"/>
      <c r="COY73" s="684"/>
      <c r="COZ73" s="684"/>
      <c r="CPA73" s="684"/>
      <c r="CPB73" s="684"/>
      <c r="CPC73" s="684"/>
      <c r="CPD73" s="684"/>
      <c r="CPE73" s="684"/>
      <c r="CPF73" s="684"/>
      <c r="CPG73" s="684"/>
      <c r="CPH73" s="684"/>
      <c r="CPI73" s="684"/>
      <c r="CPJ73" s="684"/>
      <c r="CPK73" s="684"/>
      <c r="CPL73" s="684"/>
      <c r="CPM73" s="684"/>
      <c r="CPN73" s="684"/>
      <c r="CPO73" s="684"/>
      <c r="CPP73" s="684"/>
      <c r="CPQ73" s="684"/>
      <c r="CPR73" s="684"/>
      <c r="CPS73" s="684"/>
      <c r="CPT73" s="684"/>
      <c r="CPU73" s="684"/>
      <c r="CPV73" s="684"/>
      <c r="CPW73" s="684"/>
      <c r="CPX73" s="684"/>
      <c r="CPY73" s="684"/>
      <c r="CPZ73" s="684"/>
      <c r="CQA73" s="684"/>
      <c r="CQB73" s="684"/>
      <c r="CQC73" s="684"/>
      <c r="CQD73" s="684"/>
      <c r="CQE73" s="684"/>
      <c r="CQF73" s="684"/>
      <c r="CQG73" s="684"/>
      <c r="CQH73" s="684"/>
      <c r="CQI73" s="684"/>
      <c r="CQJ73" s="684"/>
      <c r="CQK73" s="684"/>
      <c r="CQL73" s="684"/>
      <c r="CQM73" s="684"/>
      <c r="CQN73" s="684"/>
      <c r="CQO73" s="684"/>
      <c r="CQP73" s="684"/>
      <c r="CQQ73" s="684"/>
      <c r="CQR73" s="684"/>
      <c r="CQS73" s="684"/>
      <c r="CQT73" s="684"/>
      <c r="CQU73" s="684"/>
      <c r="CQV73" s="684"/>
      <c r="CQW73" s="684"/>
      <c r="CQX73" s="684"/>
      <c r="CQY73" s="684"/>
      <c r="CQZ73" s="684"/>
      <c r="CRA73" s="684"/>
      <c r="CRB73" s="684"/>
      <c r="CRC73" s="684"/>
      <c r="CRD73" s="684"/>
      <c r="CRE73" s="684"/>
      <c r="CRF73" s="684"/>
      <c r="CRG73" s="684"/>
      <c r="CRH73" s="684"/>
      <c r="CRI73" s="684"/>
      <c r="CRJ73" s="684"/>
      <c r="CRK73" s="684"/>
      <c r="CRL73" s="684"/>
      <c r="CRM73" s="684"/>
      <c r="CRN73" s="684"/>
      <c r="CRO73" s="684"/>
      <c r="CRP73" s="684"/>
      <c r="CRQ73" s="684"/>
      <c r="CRR73" s="684"/>
      <c r="CRS73" s="684"/>
      <c r="CRT73" s="684"/>
      <c r="CRU73" s="684"/>
      <c r="CRV73" s="684"/>
      <c r="CRW73" s="684"/>
      <c r="CRX73" s="684"/>
      <c r="CRY73" s="684"/>
      <c r="CRZ73" s="684"/>
      <c r="CSA73" s="684"/>
      <c r="CSB73" s="684"/>
      <c r="CSC73" s="684"/>
      <c r="CSD73" s="684"/>
      <c r="CSE73" s="684"/>
      <c r="CSF73" s="684"/>
      <c r="CSG73" s="684"/>
      <c r="CSH73" s="684"/>
      <c r="CSI73" s="684"/>
      <c r="CSJ73" s="684"/>
      <c r="CSK73" s="684"/>
      <c r="CSL73" s="684"/>
      <c r="CSM73" s="684"/>
      <c r="CSN73" s="684"/>
      <c r="CSO73" s="684"/>
      <c r="CSP73" s="684"/>
      <c r="CSQ73" s="684"/>
      <c r="CSR73" s="684"/>
      <c r="CSS73" s="684"/>
      <c r="CST73" s="684"/>
      <c r="CSU73" s="684"/>
      <c r="CSV73" s="684"/>
      <c r="CSW73" s="684"/>
      <c r="CSX73" s="684"/>
      <c r="CSY73" s="684"/>
      <c r="CSZ73" s="684"/>
      <c r="CTA73" s="684"/>
      <c r="CTB73" s="684"/>
      <c r="CTC73" s="684"/>
      <c r="CTD73" s="684"/>
      <c r="CTE73" s="684"/>
      <c r="CTF73" s="684"/>
      <c r="CTG73" s="684"/>
      <c r="CTH73" s="684"/>
      <c r="CTI73" s="684"/>
      <c r="CTJ73" s="684"/>
      <c r="CTK73" s="684"/>
      <c r="CTL73" s="684"/>
      <c r="CTM73" s="684"/>
      <c r="CTN73" s="684"/>
      <c r="CTO73" s="684"/>
      <c r="CTP73" s="684"/>
      <c r="CTQ73" s="684"/>
      <c r="CTR73" s="684"/>
      <c r="CTS73" s="684"/>
      <c r="CTT73" s="684"/>
      <c r="CTU73" s="684"/>
      <c r="CTV73" s="684"/>
      <c r="CTW73" s="684"/>
      <c r="CTX73" s="684"/>
      <c r="CTY73" s="684"/>
      <c r="CTZ73" s="684"/>
      <c r="CUA73" s="684"/>
      <c r="CUB73" s="684"/>
      <c r="CUC73" s="684"/>
      <c r="CUD73" s="684"/>
      <c r="CUE73" s="684"/>
      <c r="CUF73" s="684"/>
      <c r="CUG73" s="684"/>
      <c r="CUH73" s="684"/>
      <c r="CUI73" s="684"/>
      <c r="CUJ73" s="684"/>
      <c r="CUK73" s="684"/>
      <c r="CUL73" s="684"/>
      <c r="CUM73" s="684"/>
      <c r="CUN73" s="684"/>
      <c r="CUO73" s="684"/>
      <c r="CUP73" s="684"/>
      <c r="CUQ73" s="684"/>
      <c r="CUR73" s="684"/>
      <c r="CUS73" s="684"/>
      <c r="CUT73" s="684"/>
      <c r="CUU73" s="684"/>
      <c r="CUV73" s="684"/>
      <c r="CUW73" s="684"/>
      <c r="CUX73" s="684"/>
      <c r="CUY73" s="684"/>
      <c r="CUZ73" s="684"/>
      <c r="CVA73" s="684"/>
      <c r="CVB73" s="684"/>
      <c r="CVC73" s="684"/>
      <c r="CVD73" s="684"/>
      <c r="CVE73" s="684"/>
      <c r="CVF73" s="684"/>
      <c r="CVG73" s="684"/>
      <c r="CVH73" s="684"/>
      <c r="CVI73" s="684"/>
      <c r="CVJ73" s="684"/>
      <c r="CVK73" s="684"/>
      <c r="CVL73" s="684"/>
      <c r="CVM73" s="684"/>
      <c r="CVN73" s="684"/>
      <c r="CVO73" s="684"/>
      <c r="CVP73" s="684"/>
      <c r="CVQ73" s="684"/>
      <c r="CVR73" s="684"/>
      <c r="CVS73" s="684"/>
      <c r="CVT73" s="684"/>
      <c r="CVU73" s="684"/>
      <c r="CVV73" s="684"/>
      <c r="CVW73" s="684"/>
      <c r="CVX73" s="684"/>
      <c r="CVY73" s="684"/>
      <c r="CVZ73" s="684"/>
      <c r="CWA73" s="684"/>
      <c r="CWB73" s="684"/>
      <c r="CWC73" s="684"/>
      <c r="CWD73" s="684"/>
      <c r="CWE73" s="684"/>
      <c r="CWF73" s="684"/>
      <c r="CWG73" s="684"/>
      <c r="CWH73" s="684"/>
      <c r="CWI73" s="684"/>
      <c r="CWJ73" s="684"/>
      <c r="CWK73" s="684"/>
      <c r="CWL73" s="684"/>
      <c r="CWM73" s="684"/>
      <c r="CWN73" s="684"/>
      <c r="CWO73" s="684"/>
      <c r="CWP73" s="684"/>
      <c r="CWQ73" s="684"/>
      <c r="CWR73" s="684"/>
      <c r="CWS73" s="684"/>
      <c r="CWT73" s="684"/>
      <c r="CWU73" s="684"/>
      <c r="CWV73" s="684"/>
      <c r="CWW73" s="684"/>
      <c r="CWX73" s="684"/>
      <c r="CWY73" s="684"/>
      <c r="CWZ73" s="684"/>
      <c r="CXA73" s="684"/>
      <c r="CXB73" s="684"/>
      <c r="CXC73" s="684"/>
      <c r="CXD73" s="684"/>
      <c r="CXE73" s="684"/>
      <c r="CXF73" s="684"/>
      <c r="CXG73" s="684"/>
      <c r="CXH73" s="684"/>
      <c r="CXI73" s="684"/>
      <c r="CXJ73" s="684"/>
      <c r="CXK73" s="684"/>
      <c r="CXL73" s="684"/>
      <c r="CXM73" s="684"/>
      <c r="CXN73" s="684"/>
      <c r="CXO73" s="684"/>
      <c r="CXP73" s="684"/>
      <c r="CXQ73" s="684"/>
      <c r="CXR73" s="684"/>
      <c r="CXS73" s="684"/>
      <c r="CXT73" s="684"/>
      <c r="CXU73" s="684"/>
      <c r="CXV73" s="684"/>
      <c r="CXW73" s="684"/>
      <c r="CXX73" s="684"/>
      <c r="CXY73" s="684"/>
      <c r="CXZ73" s="684"/>
      <c r="CYA73" s="684"/>
      <c r="CYB73" s="684"/>
      <c r="CYC73" s="684"/>
      <c r="CYD73" s="684"/>
      <c r="CYE73" s="684"/>
      <c r="CYF73" s="684"/>
      <c r="CYG73" s="684"/>
      <c r="CYH73" s="684"/>
      <c r="CYI73" s="684"/>
      <c r="CYJ73" s="684"/>
      <c r="CYK73" s="684"/>
      <c r="CYL73" s="684"/>
      <c r="CYM73" s="684"/>
      <c r="CYN73" s="684"/>
      <c r="CYO73" s="684"/>
      <c r="CYP73" s="684"/>
      <c r="CYQ73" s="684"/>
      <c r="CYR73" s="684"/>
      <c r="CYS73" s="684"/>
      <c r="CYT73" s="684"/>
      <c r="CYU73" s="684"/>
      <c r="CYV73" s="684"/>
      <c r="CYW73" s="684"/>
      <c r="CYX73" s="684"/>
      <c r="CYY73" s="684"/>
      <c r="CYZ73" s="684"/>
      <c r="CZA73" s="684"/>
      <c r="CZB73" s="684"/>
      <c r="CZC73" s="684"/>
      <c r="CZD73" s="684"/>
      <c r="CZE73" s="684"/>
      <c r="CZF73" s="684"/>
      <c r="CZG73" s="684"/>
      <c r="CZH73" s="684"/>
      <c r="CZI73" s="684"/>
      <c r="CZJ73" s="684"/>
      <c r="CZK73" s="684"/>
      <c r="CZL73" s="684"/>
      <c r="CZM73" s="684"/>
      <c r="CZN73" s="684"/>
      <c r="CZO73" s="684"/>
      <c r="CZP73" s="684"/>
      <c r="CZQ73" s="684"/>
      <c r="CZR73" s="684"/>
      <c r="CZS73" s="684"/>
      <c r="CZT73" s="684"/>
      <c r="CZU73" s="684"/>
      <c r="CZV73" s="684"/>
      <c r="CZW73" s="684"/>
      <c r="CZX73" s="684"/>
      <c r="CZY73" s="684"/>
      <c r="CZZ73" s="684"/>
      <c r="DAA73" s="684"/>
      <c r="DAB73" s="684"/>
      <c r="DAC73" s="684"/>
      <c r="DAD73" s="684"/>
      <c r="DAE73" s="684"/>
      <c r="DAF73" s="684"/>
      <c r="DAG73" s="684"/>
      <c r="DAH73" s="684"/>
      <c r="DAI73" s="684"/>
      <c r="DAJ73" s="684"/>
      <c r="DAK73" s="684"/>
      <c r="DAL73" s="684"/>
      <c r="DAM73" s="684"/>
      <c r="DAN73" s="684"/>
      <c r="DAO73" s="684"/>
      <c r="DAP73" s="684"/>
      <c r="DAQ73" s="684"/>
      <c r="DAR73" s="684"/>
      <c r="DAS73" s="684"/>
      <c r="DAT73" s="684"/>
      <c r="DAU73" s="684"/>
      <c r="DAV73" s="684"/>
      <c r="DAW73" s="684"/>
      <c r="DAX73" s="684"/>
      <c r="DAY73" s="684"/>
      <c r="DAZ73" s="684"/>
      <c r="DBA73" s="684"/>
      <c r="DBB73" s="684"/>
      <c r="DBC73" s="684"/>
      <c r="DBD73" s="684"/>
      <c r="DBE73" s="684"/>
      <c r="DBF73" s="684"/>
      <c r="DBG73" s="684"/>
      <c r="DBH73" s="684"/>
      <c r="DBI73" s="684"/>
      <c r="DBJ73" s="684"/>
      <c r="DBK73" s="684"/>
      <c r="DBL73" s="684"/>
      <c r="DBM73" s="684"/>
      <c r="DBN73" s="684"/>
      <c r="DBO73" s="684"/>
      <c r="DBP73" s="684"/>
      <c r="DBQ73" s="684"/>
      <c r="DBR73" s="684"/>
      <c r="DBS73" s="684"/>
      <c r="DBT73" s="684"/>
      <c r="DBU73" s="684"/>
      <c r="DBV73" s="684"/>
      <c r="DBW73" s="684"/>
      <c r="DBX73" s="684"/>
      <c r="DBY73" s="684"/>
      <c r="DBZ73" s="684"/>
      <c r="DCA73" s="684"/>
      <c r="DCB73" s="684"/>
      <c r="DCC73" s="684"/>
      <c r="DCD73" s="684"/>
      <c r="DCE73" s="684"/>
      <c r="DCF73" s="684"/>
      <c r="DCG73" s="684"/>
      <c r="DCH73" s="684"/>
      <c r="DCI73" s="684"/>
      <c r="DCJ73" s="684"/>
      <c r="DCK73" s="684"/>
      <c r="DCL73" s="684"/>
      <c r="DCM73" s="684"/>
      <c r="DCN73" s="684"/>
      <c r="DCO73" s="684"/>
      <c r="DCP73" s="684"/>
      <c r="DCQ73" s="684"/>
      <c r="DCR73" s="684"/>
      <c r="DCS73" s="684"/>
      <c r="DCT73" s="684"/>
      <c r="DCU73" s="684"/>
      <c r="DCV73" s="684"/>
      <c r="DCW73" s="684"/>
      <c r="DCX73" s="684"/>
      <c r="DCY73" s="684"/>
      <c r="DCZ73" s="684"/>
      <c r="DDA73" s="684"/>
      <c r="DDB73" s="684"/>
      <c r="DDC73" s="684"/>
      <c r="DDD73" s="684"/>
      <c r="DDE73" s="684"/>
      <c r="DDF73" s="684"/>
      <c r="DDG73" s="684"/>
      <c r="DDH73" s="684"/>
      <c r="DDI73" s="684"/>
      <c r="DDJ73" s="684"/>
      <c r="DDK73" s="684"/>
      <c r="DDL73" s="684"/>
      <c r="DDM73" s="684"/>
      <c r="DDN73" s="684"/>
      <c r="DDO73" s="684"/>
      <c r="DDP73" s="684"/>
      <c r="DDQ73" s="684"/>
      <c r="DDR73" s="684"/>
      <c r="DDS73" s="684"/>
      <c r="DDT73" s="684"/>
      <c r="DDU73" s="684"/>
      <c r="DDV73" s="684"/>
      <c r="DDW73" s="684"/>
      <c r="DDX73" s="684"/>
      <c r="DDY73" s="684"/>
      <c r="DDZ73" s="684"/>
      <c r="DEA73" s="684"/>
      <c r="DEB73" s="684"/>
      <c r="DEC73" s="684"/>
      <c r="DED73" s="684"/>
      <c r="DEE73" s="684"/>
      <c r="DEF73" s="684"/>
      <c r="DEG73" s="684"/>
      <c r="DEH73" s="684"/>
      <c r="DEI73" s="684"/>
      <c r="DEJ73" s="684"/>
      <c r="DEK73" s="684"/>
      <c r="DEL73" s="684"/>
      <c r="DEM73" s="684"/>
      <c r="DEN73" s="684"/>
      <c r="DEO73" s="684"/>
      <c r="DEP73" s="684"/>
      <c r="DEQ73" s="684"/>
      <c r="DER73" s="684"/>
      <c r="DES73" s="684"/>
      <c r="DET73" s="684"/>
      <c r="DEU73" s="684"/>
      <c r="DEV73" s="684"/>
      <c r="DEW73" s="684"/>
      <c r="DEX73" s="684"/>
      <c r="DEY73" s="684"/>
      <c r="DEZ73" s="684"/>
      <c r="DFA73" s="684"/>
      <c r="DFB73" s="684"/>
      <c r="DFC73" s="684"/>
      <c r="DFD73" s="684"/>
      <c r="DFE73" s="684"/>
      <c r="DFF73" s="684"/>
      <c r="DFG73" s="684"/>
      <c r="DFH73" s="684"/>
      <c r="DFI73" s="684"/>
      <c r="DFJ73" s="684"/>
      <c r="DFK73" s="684"/>
      <c r="DFL73" s="684"/>
      <c r="DFM73" s="684"/>
      <c r="DFN73" s="684"/>
      <c r="DFO73" s="684"/>
      <c r="DFP73" s="684"/>
      <c r="DFQ73" s="684"/>
      <c r="DFR73" s="684"/>
      <c r="DFS73" s="684"/>
      <c r="DFT73" s="684"/>
      <c r="DFU73" s="684"/>
      <c r="DFV73" s="684"/>
      <c r="DFW73" s="684"/>
      <c r="DFX73" s="684"/>
      <c r="DFY73" s="684"/>
      <c r="DFZ73" s="684"/>
      <c r="DGA73" s="684"/>
      <c r="DGB73" s="684"/>
      <c r="DGC73" s="684"/>
      <c r="DGD73" s="684"/>
      <c r="DGE73" s="684"/>
      <c r="DGF73" s="684"/>
      <c r="DGG73" s="684"/>
      <c r="DGH73" s="684"/>
      <c r="DGI73" s="684"/>
      <c r="DGJ73" s="684"/>
      <c r="DGK73" s="684"/>
      <c r="DGL73" s="684"/>
      <c r="DGM73" s="684"/>
      <c r="DGN73" s="684"/>
      <c r="DGO73" s="684"/>
      <c r="DGP73" s="684"/>
      <c r="DGQ73" s="684"/>
      <c r="DGR73" s="684"/>
      <c r="DGS73" s="684"/>
      <c r="DGT73" s="684"/>
      <c r="DGU73" s="684"/>
      <c r="DGV73" s="684"/>
      <c r="DGW73" s="684"/>
      <c r="DGX73" s="684"/>
      <c r="DGY73" s="684"/>
      <c r="DGZ73" s="684"/>
      <c r="DHA73" s="684"/>
      <c r="DHB73" s="684"/>
      <c r="DHC73" s="684"/>
      <c r="DHD73" s="684"/>
      <c r="DHE73" s="684"/>
      <c r="DHF73" s="684"/>
      <c r="DHG73" s="684"/>
      <c r="DHH73" s="684"/>
      <c r="DHI73" s="684"/>
      <c r="DHJ73" s="684"/>
      <c r="DHK73" s="684"/>
      <c r="DHL73" s="684"/>
      <c r="DHM73" s="684"/>
      <c r="DHN73" s="684"/>
      <c r="DHO73" s="684"/>
      <c r="DHP73" s="684"/>
      <c r="DHQ73" s="684"/>
      <c r="DHR73" s="684"/>
      <c r="DHS73" s="684"/>
      <c r="DHT73" s="684"/>
      <c r="DHU73" s="684"/>
      <c r="DHV73" s="684"/>
      <c r="DHW73" s="684"/>
      <c r="DHX73" s="684"/>
      <c r="DHY73" s="684"/>
      <c r="DHZ73" s="684"/>
      <c r="DIA73" s="684"/>
      <c r="DIB73" s="684"/>
      <c r="DIC73" s="684"/>
      <c r="DID73" s="684"/>
      <c r="DIE73" s="684"/>
      <c r="DIF73" s="684"/>
      <c r="DIG73" s="684"/>
      <c r="DIH73" s="684"/>
      <c r="DII73" s="684"/>
      <c r="DIJ73" s="684"/>
      <c r="DIK73" s="684"/>
      <c r="DIL73" s="684"/>
      <c r="DIM73" s="684"/>
      <c r="DIN73" s="684"/>
      <c r="DIO73" s="684"/>
      <c r="DIP73" s="684"/>
      <c r="DIQ73" s="684"/>
      <c r="DIR73" s="684"/>
      <c r="DIS73" s="684"/>
      <c r="DIT73" s="684"/>
      <c r="DIU73" s="684"/>
      <c r="DIV73" s="684"/>
      <c r="DIW73" s="684"/>
      <c r="DIX73" s="684"/>
      <c r="DIY73" s="684"/>
      <c r="DIZ73" s="684"/>
      <c r="DJA73" s="684"/>
      <c r="DJB73" s="684"/>
      <c r="DJC73" s="684"/>
      <c r="DJD73" s="684"/>
      <c r="DJE73" s="684"/>
      <c r="DJF73" s="684"/>
      <c r="DJG73" s="684"/>
      <c r="DJH73" s="684"/>
      <c r="DJI73" s="684"/>
      <c r="DJJ73" s="684"/>
      <c r="DJK73" s="684"/>
      <c r="DJL73" s="684"/>
      <c r="DJM73" s="684"/>
      <c r="DJN73" s="684"/>
      <c r="DJO73" s="684"/>
      <c r="DJP73" s="684"/>
      <c r="DJQ73" s="684"/>
      <c r="DJR73" s="684"/>
      <c r="DJS73" s="684"/>
      <c r="DJT73" s="684"/>
      <c r="DJU73" s="684"/>
      <c r="DJV73" s="684"/>
      <c r="DJW73" s="684"/>
      <c r="DJX73" s="684"/>
      <c r="DJY73" s="684"/>
      <c r="DJZ73" s="684"/>
      <c r="DKA73" s="684"/>
      <c r="DKB73" s="684"/>
      <c r="DKC73" s="684"/>
      <c r="DKD73" s="684"/>
      <c r="DKE73" s="684"/>
      <c r="DKF73" s="684"/>
      <c r="DKG73" s="684"/>
      <c r="DKH73" s="684"/>
      <c r="DKI73" s="684"/>
      <c r="DKJ73" s="684"/>
      <c r="DKK73" s="684"/>
      <c r="DKL73" s="684"/>
      <c r="DKM73" s="684"/>
      <c r="DKN73" s="684"/>
      <c r="DKO73" s="684"/>
      <c r="DKP73" s="684"/>
      <c r="DKQ73" s="684"/>
      <c r="DKR73" s="684"/>
      <c r="DKS73" s="684"/>
      <c r="DKT73" s="684"/>
      <c r="DKU73" s="684"/>
      <c r="DKV73" s="684"/>
      <c r="DKW73" s="684"/>
      <c r="DKX73" s="684"/>
      <c r="DKY73" s="684"/>
      <c r="DKZ73" s="684"/>
      <c r="DLA73" s="684"/>
      <c r="DLB73" s="684"/>
      <c r="DLC73" s="684"/>
      <c r="DLD73" s="684"/>
      <c r="DLE73" s="684"/>
      <c r="DLF73" s="684"/>
      <c r="DLG73" s="684"/>
      <c r="DLH73" s="684"/>
      <c r="DLI73" s="684"/>
      <c r="DLJ73" s="684"/>
      <c r="DLK73" s="684"/>
      <c r="DLL73" s="684"/>
      <c r="DLM73" s="684"/>
      <c r="DLN73" s="684"/>
      <c r="DLO73" s="684"/>
      <c r="DLP73" s="684"/>
      <c r="DLQ73" s="684"/>
      <c r="DLR73" s="684"/>
      <c r="DLS73" s="684"/>
      <c r="DLT73" s="684"/>
      <c r="DLU73" s="684"/>
      <c r="DLV73" s="684"/>
      <c r="DLW73" s="684"/>
      <c r="DLX73" s="684"/>
      <c r="DLY73" s="684"/>
      <c r="DLZ73" s="684"/>
      <c r="DMA73" s="684"/>
      <c r="DMB73" s="684"/>
      <c r="DMC73" s="684"/>
      <c r="DMD73" s="684"/>
      <c r="DME73" s="684"/>
      <c r="DMF73" s="684"/>
      <c r="DMG73" s="684"/>
      <c r="DMH73" s="684"/>
      <c r="DMI73" s="684"/>
      <c r="DMJ73" s="684"/>
      <c r="DMK73" s="684"/>
      <c r="DML73" s="684"/>
      <c r="DMM73" s="684"/>
      <c r="DMN73" s="684"/>
      <c r="DMO73" s="684"/>
      <c r="DMP73" s="684"/>
      <c r="DMQ73" s="684"/>
      <c r="DMR73" s="684"/>
      <c r="DMS73" s="684"/>
      <c r="DMT73" s="684"/>
      <c r="DMU73" s="684"/>
      <c r="DMV73" s="684"/>
      <c r="DMW73" s="684"/>
      <c r="DMX73" s="684"/>
      <c r="DMY73" s="684"/>
      <c r="DMZ73" s="684"/>
      <c r="DNA73" s="684"/>
      <c r="DNB73" s="684"/>
      <c r="DNC73" s="684"/>
      <c r="DND73" s="684"/>
      <c r="DNE73" s="684"/>
      <c r="DNF73" s="684"/>
      <c r="DNG73" s="684"/>
      <c r="DNH73" s="684"/>
      <c r="DNI73" s="684"/>
      <c r="DNJ73" s="684"/>
      <c r="DNK73" s="684"/>
      <c r="DNL73" s="684"/>
      <c r="DNM73" s="684"/>
      <c r="DNN73" s="684"/>
      <c r="DNO73" s="684"/>
      <c r="DNP73" s="684"/>
      <c r="DNQ73" s="684"/>
      <c r="DNR73" s="684"/>
      <c r="DNS73" s="684"/>
      <c r="DNT73" s="684"/>
      <c r="DNU73" s="684"/>
      <c r="DNV73" s="684"/>
      <c r="DNW73" s="684"/>
      <c r="DNX73" s="684"/>
      <c r="DNY73" s="684"/>
      <c r="DNZ73" s="684"/>
      <c r="DOA73" s="684"/>
      <c r="DOB73" s="684"/>
      <c r="DOC73" s="684"/>
      <c r="DOD73" s="684"/>
      <c r="DOE73" s="684"/>
      <c r="DOF73" s="684"/>
      <c r="DOG73" s="684"/>
      <c r="DOH73" s="684"/>
      <c r="DOI73" s="684"/>
      <c r="DOJ73" s="684"/>
      <c r="DOK73" s="684"/>
      <c r="DOL73" s="684"/>
      <c r="DOM73" s="684"/>
      <c r="DON73" s="684"/>
      <c r="DOO73" s="684"/>
      <c r="DOP73" s="684"/>
      <c r="DOQ73" s="684"/>
      <c r="DOR73" s="684"/>
      <c r="DOS73" s="684"/>
      <c r="DOT73" s="684"/>
      <c r="DOU73" s="684"/>
      <c r="DOV73" s="684"/>
      <c r="DOW73" s="684"/>
      <c r="DOX73" s="684"/>
      <c r="DOY73" s="684"/>
      <c r="DOZ73" s="684"/>
      <c r="DPA73" s="684"/>
      <c r="DPB73" s="684"/>
      <c r="DPC73" s="684"/>
      <c r="DPD73" s="684"/>
      <c r="DPE73" s="684"/>
      <c r="DPF73" s="684"/>
      <c r="DPG73" s="684"/>
      <c r="DPH73" s="684"/>
      <c r="DPI73" s="684"/>
      <c r="DPJ73" s="684"/>
      <c r="DPK73" s="684"/>
      <c r="DPL73" s="684"/>
      <c r="DPM73" s="684"/>
      <c r="DPN73" s="684"/>
      <c r="DPO73" s="684"/>
      <c r="DPP73" s="684"/>
      <c r="DPQ73" s="684"/>
      <c r="DPR73" s="684"/>
      <c r="DPS73" s="684"/>
      <c r="DPT73" s="684"/>
      <c r="DPU73" s="684"/>
      <c r="DPV73" s="684"/>
      <c r="DPW73" s="684"/>
      <c r="DPX73" s="684"/>
      <c r="DPY73" s="684"/>
      <c r="DPZ73" s="684"/>
      <c r="DQA73" s="684"/>
      <c r="DQB73" s="684"/>
      <c r="DQC73" s="684"/>
      <c r="DQD73" s="684"/>
      <c r="DQE73" s="684"/>
      <c r="DQF73" s="684"/>
      <c r="DQG73" s="684"/>
      <c r="DQH73" s="684"/>
      <c r="DQI73" s="684"/>
      <c r="DQJ73" s="684"/>
      <c r="DQK73" s="684"/>
      <c r="DQL73" s="684"/>
      <c r="DQM73" s="684"/>
      <c r="DQN73" s="684"/>
      <c r="DQO73" s="684"/>
      <c r="DQP73" s="684"/>
      <c r="DQQ73" s="684"/>
      <c r="DQR73" s="684"/>
      <c r="DQS73" s="684"/>
      <c r="DQT73" s="684"/>
      <c r="DQU73" s="684"/>
      <c r="DQV73" s="684"/>
      <c r="DQW73" s="684"/>
      <c r="DQX73" s="684"/>
      <c r="DQY73" s="684"/>
      <c r="DQZ73" s="684"/>
      <c r="DRA73" s="684"/>
      <c r="DRB73" s="684"/>
      <c r="DRC73" s="684"/>
      <c r="DRD73" s="684"/>
      <c r="DRE73" s="684"/>
      <c r="DRF73" s="684"/>
      <c r="DRG73" s="684"/>
      <c r="DRH73" s="684"/>
      <c r="DRI73" s="684"/>
      <c r="DRJ73" s="684"/>
      <c r="DRK73" s="684"/>
      <c r="DRL73" s="684"/>
      <c r="DRM73" s="684"/>
      <c r="DRN73" s="684"/>
      <c r="DRO73" s="684"/>
      <c r="DRP73" s="684"/>
      <c r="DRQ73" s="684"/>
      <c r="DRR73" s="684"/>
      <c r="DRS73" s="684"/>
      <c r="DRT73" s="684"/>
      <c r="DRU73" s="684"/>
      <c r="DRV73" s="684"/>
      <c r="DRW73" s="684"/>
      <c r="DRX73" s="684"/>
      <c r="DRY73" s="684"/>
      <c r="DRZ73" s="684"/>
      <c r="DSA73" s="684"/>
      <c r="DSB73" s="684"/>
      <c r="DSC73" s="684"/>
      <c r="DSD73" s="684"/>
      <c r="DSE73" s="684"/>
      <c r="DSF73" s="684"/>
      <c r="DSG73" s="684"/>
      <c r="DSH73" s="684"/>
      <c r="DSI73" s="684"/>
      <c r="DSJ73" s="684"/>
      <c r="DSK73" s="684"/>
      <c r="DSL73" s="684"/>
      <c r="DSM73" s="684"/>
      <c r="DSN73" s="684"/>
      <c r="DSO73" s="684"/>
      <c r="DSP73" s="684"/>
      <c r="DSQ73" s="684"/>
      <c r="DSR73" s="684"/>
      <c r="DSS73" s="684"/>
      <c r="DST73" s="684"/>
      <c r="DSU73" s="684"/>
      <c r="DSV73" s="684"/>
      <c r="DSW73" s="684"/>
      <c r="DSX73" s="684"/>
      <c r="DSY73" s="684"/>
      <c r="DSZ73" s="684"/>
      <c r="DTA73" s="684"/>
      <c r="DTB73" s="684"/>
      <c r="DTC73" s="684"/>
      <c r="DTD73" s="684"/>
      <c r="DTE73" s="684"/>
      <c r="DTF73" s="684"/>
      <c r="DTG73" s="684"/>
      <c r="DTH73" s="684"/>
      <c r="DTI73" s="684"/>
      <c r="DTJ73" s="684"/>
      <c r="DTK73" s="684"/>
      <c r="DTL73" s="684"/>
      <c r="DTM73" s="684"/>
      <c r="DTN73" s="684"/>
      <c r="DTO73" s="684"/>
      <c r="DTP73" s="684"/>
      <c r="DTQ73" s="684"/>
      <c r="DTR73" s="684"/>
      <c r="DTS73" s="684"/>
      <c r="DTT73" s="684"/>
      <c r="DTU73" s="684"/>
      <c r="DTV73" s="684"/>
      <c r="DTW73" s="684"/>
      <c r="DTX73" s="684"/>
      <c r="DTY73" s="684"/>
      <c r="DTZ73" s="684"/>
      <c r="DUA73" s="684"/>
      <c r="DUB73" s="684"/>
      <c r="DUC73" s="684"/>
      <c r="DUD73" s="684"/>
      <c r="DUE73" s="684"/>
      <c r="DUF73" s="684"/>
      <c r="DUG73" s="684"/>
      <c r="DUH73" s="684"/>
      <c r="DUI73" s="684"/>
      <c r="DUJ73" s="684"/>
      <c r="DUK73" s="684"/>
      <c r="DUL73" s="684"/>
      <c r="DUM73" s="684"/>
      <c r="DUN73" s="684"/>
      <c r="DUO73" s="684"/>
      <c r="DUP73" s="684"/>
      <c r="DUQ73" s="684"/>
      <c r="DUR73" s="684"/>
      <c r="DUS73" s="684"/>
      <c r="DUT73" s="684"/>
      <c r="DUU73" s="684"/>
      <c r="DUV73" s="684"/>
      <c r="DUW73" s="684"/>
      <c r="DUX73" s="684"/>
      <c r="DUY73" s="684"/>
      <c r="DUZ73" s="684"/>
      <c r="DVA73" s="684"/>
      <c r="DVB73" s="684"/>
      <c r="DVC73" s="684"/>
      <c r="DVD73" s="684"/>
      <c r="DVE73" s="684"/>
      <c r="DVF73" s="684"/>
      <c r="DVG73" s="684"/>
      <c r="DVH73" s="684"/>
      <c r="DVI73" s="684"/>
      <c r="DVJ73" s="684"/>
      <c r="DVK73" s="684"/>
      <c r="DVL73" s="684"/>
      <c r="DVM73" s="684"/>
      <c r="DVN73" s="684"/>
      <c r="DVO73" s="684"/>
      <c r="DVP73" s="684"/>
      <c r="DVQ73" s="684"/>
      <c r="DVR73" s="684"/>
      <c r="DVS73" s="684"/>
      <c r="DVT73" s="684"/>
      <c r="DVU73" s="684"/>
      <c r="DVV73" s="684"/>
      <c r="DVW73" s="684"/>
      <c r="DVX73" s="684"/>
      <c r="DVY73" s="684"/>
      <c r="DVZ73" s="684"/>
      <c r="DWA73" s="684"/>
      <c r="DWB73" s="684"/>
      <c r="DWC73" s="684"/>
      <c r="DWD73" s="684"/>
      <c r="DWE73" s="684"/>
      <c r="DWF73" s="684"/>
      <c r="DWG73" s="684"/>
      <c r="DWH73" s="684"/>
      <c r="DWI73" s="684"/>
      <c r="DWJ73" s="684"/>
      <c r="DWK73" s="684"/>
      <c r="DWL73" s="684"/>
      <c r="DWM73" s="684"/>
      <c r="DWN73" s="684"/>
      <c r="DWO73" s="684"/>
      <c r="DWP73" s="684"/>
      <c r="DWQ73" s="684"/>
      <c r="DWR73" s="684"/>
      <c r="DWS73" s="684"/>
      <c r="DWT73" s="684"/>
      <c r="DWU73" s="684"/>
      <c r="DWV73" s="684"/>
      <c r="DWW73" s="684"/>
      <c r="DWX73" s="684"/>
      <c r="DWY73" s="684"/>
      <c r="DWZ73" s="684"/>
      <c r="DXA73" s="684"/>
      <c r="DXB73" s="684"/>
      <c r="DXC73" s="684"/>
      <c r="DXD73" s="684"/>
      <c r="DXE73" s="684"/>
      <c r="DXF73" s="684"/>
      <c r="DXG73" s="684"/>
      <c r="DXH73" s="684"/>
      <c r="DXI73" s="684"/>
      <c r="DXJ73" s="684"/>
      <c r="DXK73" s="684"/>
      <c r="DXL73" s="684"/>
      <c r="DXM73" s="684"/>
      <c r="DXN73" s="684"/>
      <c r="DXO73" s="684"/>
      <c r="DXP73" s="684"/>
      <c r="DXQ73" s="684"/>
      <c r="DXR73" s="684"/>
      <c r="DXS73" s="684"/>
      <c r="DXT73" s="684"/>
      <c r="DXU73" s="684"/>
      <c r="DXV73" s="684"/>
      <c r="DXW73" s="684"/>
      <c r="DXX73" s="684"/>
      <c r="DXY73" s="684"/>
      <c r="DXZ73" s="684"/>
      <c r="DYA73" s="684"/>
      <c r="DYB73" s="684"/>
      <c r="DYC73" s="684"/>
      <c r="DYD73" s="684"/>
      <c r="DYE73" s="684"/>
      <c r="DYF73" s="684"/>
      <c r="DYG73" s="684"/>
      <c r="DYH73" s="684"/>
      <c r="DYI73" s="684"/>
      <c r="DYJ73" s="684"/>
      <c r="DYK73" s="684"/>
      <c r="DYL73" s="684"/>
      <c r="DYM73" s="684"/>
      <c r="DYN73" s="684"/>
      <c r="DYO73" s="684"/>
      <c r="DYP73" s="684"/>
      <c r="DYQ73" s="684"/>
      <c r="DYR73" s="684"/>
      <c r="DYS73" s="684"/>
      <c r="DYT73" s="684"/>
      <c r="DYU73" s="684"/>
      <c r="DYV73" s="684"/>
      <c r="DYW73" s="684"/>
      <c r="DYX73" s="684"/>
      <c r="DYY73" s="684"/>
      <c r="DYZ73" s="684"/>
      <c r="DZA73" s="684"/>
      <c r="DZB73" s="684"/>
      <c r="DZC73" s="684"/>
      <c r="DZD73" s="684"/>
      <c r="DZE73" s="684"/>
      <c r="DZF73" s="684"/>
      <c r="DZG73" s="684"/>
      <c r="DZH73" s="684"/>
      <c r="DZI73" s="684"/>
      <c r="DZJ73" s="684"/>
      <c r="DZK73" s="684"/>
      <c r="DZL73" s="684"/>
      <c r="DZM73" s="684"/>
      <c r="DZN73" s="684"/>
      <c r="DZO73" s="684"/>
      <c r="DZP73" s="684"/>
      <c r="DZQ73" s="684"/>
      <c r="DZR73" s="684"/>
      <c r="DZS73" s="684"/>
      <c r="DZT73" s="684"/>
      <c r="DZU73" s="684"/>
      <c r="DZV73" s="684"/>
      <c r="DZW73" s="684"/>
      <c r="DZX73" s="684"/>
      <c r="DZY73" s="684"/>
      <c r="DZZ73" s="684"/>
      <c r="EAA73" s="684"/>
      <c r="EAB73" s="684"/>
      <c r="EAC73" s="684"/>
      <c r="EAD73" s="684"/>
      <c r="EAE73" s="684"/>
      <c r="EAF73" s="684"/>
      <c r="EAG73" s="684"/>
      <c r="EAH73" s="684"/>
      <c r="EAI73" s="684"/>
      <c r="EAJ73" s="684"/>
      <c r="EAK73" s="684"/>
      <c r="EAL73" s="684"/>
      <c r="EAM73" s="684"/>
      <c r="EAN73" s="684"/>
      <c r="EAO73" s="684"/>
      <c r="EAP73" s="684"/>
      <c r="EAQ73" s="684"/>
      <c r="EAR73" s="684"/>
      <c r="EAS73" s="684"/>
      <c r="EAT73" s="684"/>
      <c r="EAU73" s="684"/>
      <c r="EAV73" s="684"/>
      <c r="EAW73" s="684"/>
      <c r="EAX73" s="684"/>
      <c r="EAY73" s="684"/>
      <c r="EAZ73" s="684"/>
      <c r="EBA73" s="684"/>
      <c r="EBB73" s="684"/>
      <c r="EBC73" s="684"/>
      <c r="EBD73" s="684"/>
      <c r="EBE73" s="684"/>
      <c r="EBF73" s="684"/>
      <c r="EBG73" s="684"/>
      <c r="EBH73" s="684"/>
      <c r="EBI73" s="684"/>
      <c r="EBJ73" s="684"/>
      <c r="EBK73" s="684"/>
      <c r="EBL73" s="684"/>
      <c r="EBM73" s="684"/>
      <c r="EBN73" s="684"/>
      <c r="EBO73" s="684"/>
      <c r="EBP73" s="684"/>
      <c r="EBQ73" s="684"/>
      <c r="EBR73" s="684"/>
      <c r="EBS73" s="684"/>
      <c r="EBT73" s="684"/>
      <c r="EBU73" s="684"/>
      <c r="EBV73" s="684"/>
      <c r="EBW73" s="684"/>
      <c r="EBX73" s="684"/>
      <c r="EBY73" s="684"/>
      <c r="EBZ73" s="684"/>
      <c r="ECA73" s="684"/>
      <c r="ECB73" s="684"/>
      <c r="ECC73" s="684"/>
      <c r="ECD73" s="684"/>
      <c r="ECE73" s="684"/>
      <c r="ECF73" s="684"/>
      <c r="ECG73" s="684"/>
      <c r="ECH73" s="684"/>
      <c r="ECI73" s="684"/>
      <c r="ECJ73" s="684"/>
      <c r="ECK73" s="684"/>
      <c r="ECL73" s="684"/>
      <c r="ECM73" s="684"/>
      <c r="ECN73" s="684"/>
      <c r="ECO73" s="684"/>
      <c r="ECP73" s="684"/>
      <c r="ECQ73" s="684"/>
      <c r="ECR73" s="684"/>
      <c r="ECS73" s="684"/>
      <c r="ECT73" s="684"/>
      <c r="ECU73" s="684"/>
      <c r="ECV73" s="684"/>
      <c r="ECW73" s="684"/>
      <c r="ECX73" s="684"/>
      <c r="ECY73" s="684"/>
      <c r="ECZ73" s="684"/>
      <c r="EDA73" s="684"/>
      <c r="EDB73" s="684"/>
      <c r="EDC73" s="684"/>
      <c r="EDD73" s="684"/>
      <c r="EDE73" s="684"/>
      <c r="EDF73" s="684"/>
      <c r="EDG73" s="684"/>
      <c r="EDH73" s="684"/>
      <c r="EDI73" s="684"/>
      <c r="EDJ73" s="684"/>
      <c r="EDK73" s="684"/>
      <c r="EDL73" s="684"/>
      <c r="EDM73" s="684"/>
      <c r="EDN73" s="684"/>
      <c r="EDO73" s="684"/>
      <c r="EDP73" s="684"/>
      <c r="EDQ73" s="684"/>
      <c r="EDR73" s="684"/>
      <c r="EDS73" s="684"/>
      <c r="EDT73" s="684"/>
      <c r="EDU73" s="684"/>
      <c r="EDV73" s="684"/>
      <c r="EDW73" s="684"/>
      <c r="EDX73" s="684"/>
      <c r="EDY73" s="684"/>
      <c r="EDZ73" s="684"/>
      <c r="EEA73" s="684"/>
      <c r="EEB73" s="684"/>
      <c r="EEC73" s="684"/>
      <c r="EED73" s="684"/>
      <c r="EEE73" s="684"/>
      <c r="EEF73" s="684"/>
      <c r="EEG73" s="684"/>
      <c r="EEH73" s="684"/>
      <c r="EEI73" s="684"/>
      <c r="EEJ73" s="684"/>
      <c r="EEK73" s="684"/>
      <c r="EEL73" s="684"/>
      <c r="EEM73" s="684"/>
      <c r="EEN73" s="684"/>
      <c r="EEO73" s="684"/>
      <c r="EEP73" s="684"/>
      <c r="EEQ73" s="684"/>
      <c r="EER73" s="684"/>
      <c r="EES73" s="684"/>
      <c r="EET73" s="684"/>
      <c r="EEU73" s="684"/>
      <c r="EEV73" s="684"/>
      <c r="EEW73" s="684"/>
      <c r="EEX73" s="684"/>
      <c r="EEY73" s="684"/>
      <c r="EEZ73" s="684"/>
      <c r="EFA73" s="684"/>
      <c r="EFB73" s="684"/>
      <c r="EFC73" s="684"/>
      <c r="EFD73" s="684"/>
      <c r="EFE73" s="684"/>
      <c r="EFF73" s="684"/>
      <c r="EFG73" s="684"/>
      <c r="EFH73" s="684"/>
      <c r="EFI73" s="684"/>
      <c r="EFJ73" s="684"/>
      <c r="EFK73" s="684"/>
      <c r="EFL73" s="684"/>
      <c r="EFM73" s="684"/>
      <c r="EFN73" s="684"/>
      <c r="EFO73" s="684"/>
      <c r="EFP73" s="684"/>
      <c r="EFQ73" s="684"/>
      <c r="EFR73" s="684"/>
      <c r="EFS73" s="684"/>
      <c r="EFT73" s="684"/>
      <c r="EFU73" s="684"/>
      <c r="EFV73" s="684"/>
      <c r="EFW73" s="684"/>
      <c r="EFX73" s="684"/>
      <c r="EFY73" s="684"/>
      <c r="EFZ73" s="684"/>
      <c r="EGA73" s="684"/>
      <c r="EGB73" s="684"/>
      <c r="EGC73" s="684"/>
      <c r="EGD73" s="684"/>
      <c r="EGE73" s="684"/>
      <c r="EGF73" s="684"/>
      <c r="EGG73" s="684"/>
      <c r="EGH73" s="684"/>
      <c r="EGI73" s="684"/>
      <c r="EGJ73" s="684"/>
      <c r="EGK73" s="684"/>
      <c r="EGL73" s="684"/>
      <c r="EGM73" s="684"/>
      <c r="EGN73" s="684"/>
      <c r="EGO73" s="684"/>
      <c r="EGP73" s="684"/>
      <c r="EGQ73" s="684"/>
      <c r="EGR73" s="684"/>
      <c r="EGS73" s="684"/>
      <c r="EGT73" s="684"/>
      <c r="EGU73" s="684"/>
      <c r="EGV73" s="684"/>
      <c r="EGW73" s="684"/>
      <c r="EGX73" s="684"/>
      <c r="EGY73" s="684"/>
      <c r="EGZ73" s="684"/>
      <c r="EHA73" s="684"/>
      <c r="EHB73" s="684"/>
      <c r="EHC73" s="684"/>
      <c r="EHD73" s="684"/>
      <c r="EHE73" s="684"/>
      <c r="EHF73" s="684"/>
      <c r="EHG73" s="684"/>
      <c r="EHH73" s="684"/>
      <c r="EHI73" s="684"/>
      <c r="EHJ73" s="684"/>
      <c r="EHK73" s="684"/>
      <c r="EHL73" s="684"/>
      <c r="EHM73" s="684"/>
      <c r="EHN73" s="684"/>
      <c r="EHO73" s="684"/>
      <c r="EHP73" s="684"/>
      <c r="EHQ73" s="684"/>
      <c r="EHR73" s="684"/>
      <c r="EHS73" s="684"/>
      <c r="EHT73" s="684"/>
      <c r="EHU73" s="684"/>
      <c r="EHV73" s="684"/>
      <c r="EHW73" s="684"/>
      <c r="EHX73" s="684"/>
      <c r="EHY73" s="684"/>
      <c r="EHZ73" s="684"/>
      <c r="EIA73" s="684"/>
      <c r="EIB73" s="684"/>
      <c r="EIC73" s="684"/>
      <c r="EID73" s="684"/>
      <c r="EIE73" s="684"/>
      <c r="EIF73" s="684"/>
      <c r="EIG73" s="684"/>
      <c r="EIH73" s="684"/>
      <c r="EII73" s="684"/>
      <c r="EIJ73" s="684"/>
      <c r="EIK73" s="684"/>
      <c r="EIL73" s="684"/>
      <c r="EIM73" s="684"/>
      <c r="EIN73" s="684"/>
      <c r="EIO73" s="684"/>
      <c r="EIP73" s="684"/>
      <c r="EIQ73" s="684"/>
      <c r="EIR73" s="684"/>
      <c r="EIS73" s="684"/>
      <c r="EIT73" s="684"/>
      <c r="EIU73" s="684"/>
      <c r="EIV73" s="684"/>
      <c r="EIW73" s="684"/>
      <c r="EIX73" s="684"/>
      <c r="EIY73" s="684"/>
      <c r="EIZ73" s="684"/>
      <c r="EJA73" s="684"/>
      <c r="EJB73" s="684"/>
      <c r="EJC73" s="684"/>
      <c r="EJD73" s="684"/>
      <c r="EJE73" s="684"/>
      <c r="EJF73" s="684"/>
      <c r="EJG73" s="684"/>
      <c r="EJH73" s="684"/>
      <c r="EJI73" s="684"/>
      <c r="EJJ73" s="684"/>
      <c r="EJK73" s="684"/>
      <c r="EJL73" s="684"/>
      <c r="EJM73" s="684"/>
      <c r="EJN73" s="684"/>
      <c r="EJO73" s="684"/>
      <c r="EJP73" s="684"/>
      <c r="EJQ73" s="684"/>
      <c r="EJR73" s="684"/>
      <c r="EJS73" s="684"/>
      <c r="EJT73" s="684"/>
      <c r="EJU73" s="684"/>
      <c r="EJV73" s="684"/>
      <c r="EJW73" s="684"/>
      <c r="EJX73" s="684"/>
      <c r="EJY73" s="684"/>
      <c r="EJZ73" s="684"/>
      <c r="EKA73" s="684"/>
      <c r="EKB73" s="684"/>
      <c r="EKC73" s="684"/>
      <c r="EKD73" s="684"/>
      <c r="EKE73" s="684"/>
      <c r="EKF73" s="684"/>
      <c r="EKG73" s="684"/>
      <c r="EKH73" s="684"/>
      <c r="EKI73" s="684"/>
      <c r="EKJ73" s="684"/>
      <c r="EKK73" s="684"/>
      <c r="EKL73" s="684"/>
      <c r="EKM73" s="684"/>
      <c r="EKN73" s="684"/>
      <c r="EKO73" s="684"/>
      <c r="EKP73" s="684"/>
      <c r="EKQ73" s="684"/>
      <c r="EKR73" s="684"/>
      <c r="EKS73" s="684"/>
      <c r="EKT73" s="684"/>
      <c r="EKU73" s="684"/>
      <c r="EKV73" s="684"/>
      <c r="EKW73" s="684"/>
      <c r="EKX73" s="684"/>
      <c r="EKY73" s="684"/>
      <c r="EKZ73" s="684"/>
      <c r="ELA73" s="684"/>
      <c r="ELB73" s="684"/>
      <c r="ELC73" s="684"/>
      <c r="ELD73" s="684"/>
      <c r="ELE73" s="684"/>
      <c r="ELF73" s="684"/>
      <c r="ELG73" s="684"/>
      <c r="ELH73" s="684"/>
      <c r="ELI73" s="684"/>
      <c r="ELJ73" s="684"/>
      <c r="ELK73" s="684"/>
      <c r="ELL73" s="684"/>
      <c r="ELM73" s="684"/>
      <c r="ELN73" s="684"/>
      <c r="ELO73" s="684"/>
      <c r="ELP73" s="684"/>
      <c r="ELQ73" s="684"/>
      <c r="ELR73" s="684"/>
      <c r="ELS73" s="684"/>
      <c r="ELT73" s="684"/>
      <c r="ELU73" s="684"/>
      <c r="ELV73" s="684"/>
      <c r="ELW73" s="684"/>
      <c r="ELX73" s="684"/>
      <c r="ELY73" s="684"/>
      <c r="ELZ73" s="684"/>
      <c r="EMA73" s="684"/>
      <c r="EMB73" s="684"/>
      <c r="EMC73" s="684"/>
      <c r="EMD73" s="684"/>
      <c r="EME73" s="684"/>
      <c r="EMF73" s="684"/>
      <c r="EMG73" s="684"/>
      <c r="EMH73" s="684"/>
      <c r="EMI73" s="684"/>
      <c r="EMJ73" s="684"/>
      <c r="EMK73" s="684"/>
      <c r="EML73" s="684"/>
      <c r="EMM73" s="684"/>
      <c r="EMN73" s="684"/>
      <c r="EMO73" s="684"/>
      <c r="EMP73" s="684"/>
      <c r="EMQ73" s="684"/>
      <c r="EMR73" s="684"/>
      <c r="EMS73" s="684"/>
      <c r="EMT73" s="684"/>
      <c r="EMU73" s="684"/>
      <c r="EMV73" s="684"/>
      <c r="EMW73" s="684"/>
      <c r="EMX73" s="684"/>
      <c r="EMY73" s="684"/>
      <c r="EMZ73" s="684"/>
      <c r="ENA73" s="684"/>
      <c r="ENB73" s="684"/>
      <c r="ENC73" s="684"/>
      <c r="END73" s="684"/>
      <c r="ENE73" s="684"/>
      <c r="ENF73" s="684"/>
      <c r="ENG73" s="684"/>
      <c r="ENH73" s="684"/>
      <c r="ENI73" s="684"/>
      <c r="ENJ73" s="684"/>
      <c r="ENK73" s="684"/>
      <c r="ENL73" s="684"/>
      <c r="ENM73" s="684"/>
      <c r="ENN73" s="684"/>
      <c r="ENO73" s="684"/>
      <c r="ENP73" s="684"/>
      <c r="ENQ73" s="684"/>
      <c r="ENR73" s="684"/>
      <c r="ENS73" s="684"/>
      <c r="ENT73" s="684"/>
      <c r="ENU73" s="684"/>
      <c r="ENV73" s="684"/>
      <c r="ENW73" s="684"/>
      <c r="ENX73" s="684"/>
      <c r="ENY73" s="684"/>
      <c r="ENZ73" s="684"/>
      <c r="EOA73" s="684"/>
      <c r="EOB73" s="684"/>
      <c r="EOC73" s="684"/>
      <c r="EOD73" s="684"/>
      <c r="EOE73" s="684"/>
      <c r="EOF73" s="684"/>
      <c r="EOG73" s="684"/>
      <c r="EOH73" s="684"/>
      <c r="EOI73" s="684"/>
      <c r="EOJ73" s="684"/>
      <c r="EOK73" s="684"/>
      <c r="EOL73" s="684"/>
      <c r="EOM73" s="684"/>
      <c r="EON73" s="684"/>
      <c r="EOO73" s="684"/>
      <c r="EOP73" s="684"/>
      <c r="EOQ73" s="684"/>
      <c r="EOR73" s="684"/>
      <c r="EOS73" s="684"/>
      <c r="EOT73" s="684"/>
      <c r="EOU73" s="684"/>
      <c r="EOV73" s="684"/>
      <c r="EOW73" s="684"/>
      <c r="EOX73" s="684"/>
      <c r="EOY73" s="684"/>
      <c r="EOZ73" s="684"/>
      <c r="EPA73" s="684"/>
      <c r="EPB73" s="684"/>
      <c r="EPC73" s="684"/>
      <c r="EPD73" s="684"/>
      <c r="EPE73" s="684"/>
      <c r="EPF73" s="684"/>
      <c r="EPG73" s="684"/>
      <c r="EPH73" s="684"/>
      <c r="EPI73" s="684"/>
      <c r="EPJ73" s="684"/>
      <c r="EPK73" s="684"/>
      <c r="EPL73" s="684"/>
      <c r="EPM73" s="684"/>
      <c r="EPN73" s="684"/>
      <c r="EPO73" s="684"/>
      <c r="EPP73" s="684"/>
      <c r="EPQ73" s="684"/>
      <c r="EPR73" s="684"/>
      <c r="EPS73" s="684"/>
      <c r="EPT73" s="684"/>
      <c r="EPU73" s="684"/>
      <c r="EPV73" s="684"/>
      <c r="EPW73" s="684"/>
      <c r="EPX73" s="684"/>
      <c r="EPY73" s="684"/>
      <c r="EPZ73" s="684"/>
      <c r="EQA73" s="684"/>
      <c r="EQB73" s="684"/>
      <c r="EQC73" s="684"/>
      <c r="EQD73" s="684"/>
      <c r="EQE73" s="684"/>
      <c r="EQF73" s="684"/>
      <c r="EQG73" s="684"/>
      <c r="EQH73" s="684"/>
      <c r="EQI73" s="684"/>
      <c r="EQJ73" s="684"/>
      <c r="EQK73" s="684"/>
      <c r="EQL73" s="684"/>
      <c r="EQM73" s="684"/>
      <c r="EQN73" s="684"/>
      <c r="EQO73" s="684"/>
      <c r="EQP73" s="684"/>
      <c r="EQQ73" s="684"/>
      <c r="EQR73" s="684"/>
      <c r="EQS73" s="684"/>
      <c r="EQT73" s="684"/>
      <c r="EQU73" s="684"/>
      <c r="EQV73" s="684"/>
      <c r="EQW73" s="684"/>
      <c r="EQX73" s="684"/>
      <c r="EQY73" s="684"/>
      <c r="EQZ73" s="684"/>
      <c r="ERA73" s="684"/>
      <c r="ERB73" s="684"/>
      <c r="ERC73" s="684"/>
      <c r="ERD73" s="684"/>
      <c r="ERE73" s="684"/>
      <c r="ERF73" s="684"/>
      <c r="ERG73" s="684"/>
      <c r="ERH73" s="684"/>
      <c r="ERI73" s="684"/>
      <c r="ERJ73" s="684"/>
      <c r="ERK73" s="684"/>
      <c r="ERL73" s="684"/>
      <c r="ERM73" s="684"/>
      <c r="ERN73" s="684"/>
      <c r="ERO73" s="684"/>
      <c r="ERP73" s="684"/>
      <c r="ERQ73" s="684"/>
      <c r="ERR73" s="684"/>
      <c r="ERS73" s="684"/>
      <c r="ERT73" s="684"/>
      <c r="ERU73" s="684"/>
      <c r="ERV73" s="684"/>
      <c r="ERW73" s="684"/>
      <c r="ERX73" s="684"/>
      <c r="ERY73" s="684"/>
      <c r="ERZ73" s="684"/>
      <c r="ESA73" s="684"/>
      <c r="ESB73" s="684"/>
      <c r="ESC73" s="684"/>
      <c r="ESD73" s="684"/>
      <c r="ESE73" s="684"/>
      <c r="ESF73" s="684"/>
      <c r="ESG73" s="684"/>
      <c r="ESH73" s="684"/>
      <c r="ESI73" s="684"/>
      <c r="ESJ73" s="684"/>
      <c r="ESK73" s="684"/>
      <c r="ESL73" s="684"/>
      <c r="ESM73" s="684"/>
      <c r="ESN73" s="684"/>
      <c r="ESO73" s="684"/>
      <c r="ESP73" s="684"/>
      <c r="ESQ73" s="684"/>
      <c r="ESR73" s="684"/>
      <c r="ESS73" s="684"/>
      <c r="EST73" s="684"/>
      <c r="ESU73" s="684"/>
      <c r="ESV73" s="684"/>
      <c r="ESW73" s="684"/>
      <c r="ESX73" s="684"/>
      <c r="ESY73" s="684"/>
      <c r="ESZ73" s="684"/>
      <c r="ETA73" s="684"/>
      <c r="ETB73" s="684"/>
      <c r="ETC73" s="684"/>
      <c r="ETD73" s="684"/>
      <c r="ETE73" s="684"/>
      <c r="ETF73" s="684"/>
      <c r="ETG73" s="684"/>
      <c r="ETH73" s="684"/>
      <c r="ETI73" s="684"/>
      <c r="ETJ73" s="684"/>
      <c r="ETK73" s="684"/>
      <c r="ETL73" s="684"/>
      <c r="ETM73" s="684"/>
      <c r="ETN73" s="684"/>
      <c r="ETO73" s="684"/>
      <c r="ETP73" s="684"/>
      <c r="ETQ73" s="684"/>
      <c r="ETR73" s="684"/>
      <c r="ETS73" s="684"/>
      <c r="ETT73" s="684"/>
      <c r="ETU73" s="684"/>
      <c r="ETV73" s="684"/>
      <c r="ETW73" s="684"/>
      <c r="ETX73" s="684"/>
      <c r="ETY73" s="684"/>
      <c r="ETZ73" s="684"/>
      <c r="EUA73" s="684"/>
      <c r="EUB73" s="684"/>
      <c r="EUC73" s="684"/>
      <c r="EUD73" s="684"/>
      <c r="EUE73" s="684"/>
      <c r="EUF73" s="684"/>
      <c r="EUG73" s="684"/>
      <c r="EUH73" s="684"/>
      <c r="EUI73" s="684"/>
      <c r="EUJ73" s="684"/>
      <c r="EUK73" s="684"/>
      <c r="EUL73" s="684"/>
      <c r="EUM73" s="684"/>
      <c r="EUN73" s="684"/>
      <c r="EUO73" s="684"/>
      <c r="EUP73" s="684"/>
      <c r="EUQ73" s="684"/>
      <c r="EUR73" s="684"/>
      <c r="EUS73" s="684"/>
      <c r="EUT73" s="684"/>
      <c r="EUU73" s="684"/>
      <c r="EUV73" s="684"/>
      <c r="EUW73" s="684"/>
      <c r="EUX73" s="684"/>
      <c r="EUY73" s="684"/>
      <c r="EUZ73" s="684"/>
      <c r="EVA73" s="684"/>
      <c r="EVB73" s="684"/>
      <c r="EVC73" s="684"/>
      <c r="EVD73" s="684"/>
      <c r="EVE73" s="684"/>
      <c r="EVF73" s="684"/>
      <c r="EVG73" s="684"/>
      <c r="EVH73" s="684"/>
      <c r="EVI73" s="684"/>
      <c r="EVJ73" s="684"/>
      <c r="EVK73" s="684"/>
      <c r="EVL73" s="684"/>
      <c r="EVM73" s="684"/>
      <c r="EVN73" s="684"/>
      <c r="EVO73" s="684"/>
      <c r="EVP73" s="684"/>
      <c r="EVQ73" s="684"/>
      <c r="EVR73" s="684"/>
      <c r="EVS73" s="684"/>
      <c r="EVT73" s="684"/>
      <c r="EVU73" s="684"/>
      <c r="EVV73" s="684"/>
      <c r="EVW73" s="684"/>
      <c r="EVX73" s="684"/>
      <c r="EVY73" s="684"/>
      <c r="EVZ73" s="684"/>
      <c r="EWA73" s="684"/>
      <c r="EWB73" s="684"/>
      <c r="EWC73" s="684"/>
      <c r="EWD73" s="684"/>
      <c r="EWE73" s="684"/>
      <c r="EWF73" s="684"/>
      <c r="EWG73" s="684"/>
      <c r="EWH73" s="684"/>
      <c r="EWI73" s="684"/>
      <c r="EWJ73" s="684"/>
      <c r="EWK73" s="684"/>
      <c r="EWL73" s="684"/>
      <c r="EWM73" s="684"/>
      <c r="EWN73" s="684"/>
      <c r="EWO73" s="684"/>
      <c r="EWP73" s="684"/>
      <c r="EWQ73" s="684"/>
      <c r="EWR73" s="684"/>
      <c r="EWS73" s="684"/>
      <c r="EWT73" s="684"/>
      <c r="EWU73" s="684"/>
      <c r="EWV73" s="684"/>
      <c r="EWW73" s="684"/>
      <c r="EWX73" s="684"/>
      <c r="EWY73" s="684"/>
      <c r="EWZ73" s="684"/>
      <c r="EXA73" s="684"/>
      <c r="EXB73" s="684"/>
      <c r="EXC73" s="684"/>
      <c r="EXD73" s="684"/>
      <c r="EXE73" s="684"/>
      <c r="EXF73" s="684"/>
      <c r="EXG73" s="684"/>
      <c r="EXH73" s="684"/>
      <c r="EXI73" s="684"/>
      <c r="EXJ73" s="684"/>
      <c r="EXK73" s="684"/>
      <c r="EXL73" s="684"/>
      <c r="EXM73" s="684"/>
      <c r="EXN73" s="684"/>
      <c r="EXO73" s="684"/>
      <c r="EXP73" s="684"/>
      <c r="EXQ73" s="684"/>
      <c r="EXR73" s="684"/>
      <c r="EXS73" s="684"/>
      <c r="EXT73" s="684"/>
      <c r="EXU73" s="684"/>
      <c r="EXV73" s="684"/>
      <c r="EXW73" s="684"/>
      <c r="EXX73" s="684"/>
      <c r="EXY73" s="684"/>
      <c r="EXZ73" s="684"/>
      <c r="EYA73" s="684"/>
      <c r="EYB73" s="684"/>
      <c r="EYC73" s="684"/>
      <c r="EYD73" s="684"/>
      <c r="EYE73" s="684"/>
      <c r="EYF73" s="684"/>
      <c r="EYG73" s="684"/>
      <c r="EYH73" s="684"/>
      <c r="EYI73" s="684"/>
      <c r="EYJ73" s="684"/>
      <c r="EYK73" s="684"/>
      <c r="EYL73" s="684"/>
      <c r="EYM73" s="684"/>
      <c r="EYN73" s="684"/>
      <c r="EYO73" s="684"/>
      <c r="EYP73" s="684"/>
      <c r="EYQ73" s="684"/>
      <c r="EYR73" s="684"/>
      <c r="EYS73" s="684"/>
      <c r="EYT73" s="684"/>
      <c r="EYU73" s="684"/>
      <c r="EYV73" s="684"/>
      <c r="EYW73" s="684"/>
      <c r="EYX73" s="684"/>
      <c r="EYY73" s="684"/>
      <c r="EYZ73" s="684"/>
      <c r="EZA73" s="684"/>
      <c r="EZB73" s="684"/>
      <c r="EZC73" s="684"/>
      <c r="EZD73" s="684"/>
      <c r="EZE73" s="684"/>
      <c r="EZF73" s="684"/>
      <c r="EZG73" s="684"/>
      <c r="EZH73" s="684"/>
      <c r="EZI73" s="684"/>
      <c r="EZJ73" s="684"/>
      <c r="EZK73" s="684"/>
      <c r="EZL73" s="684"/>
      <c r="EZM73" s="684"/>
      <c r="EZN73" s="684"/>
      <c r="EZO73" s="684"/>
      <c r="EZP73" s="684"/>
      <c r="EZQ73" s="684"/>
      <c r="EZR73" s="684"/>
      <c r="EZS73" s="684"/>
      <c r="EZT73" s="684"/>
      <c r="EZU73" s="684"/>
      <c r="EZV73" s="684"/>
      <c r="EZW73" s="684"/>
      <c r="EZX73" s="684"/>
      <c r="EZY73" s="684"/>
      <c r="EZZ73" s="684"/>
      <c r="FAA73" s="684"/>
      <c r="FAB73" s="684"/>
      <c r="FAC73" s="684"/>
      <c r="FAD73" s="684"/>
      <c r="FAE73" s="684"/>
      <c r="FAF73" s="684"/>
      <c r="FAG73" s="684"/>
      <c r="FAH73" s="684"/>
      <c r="FAI73" s="684"/>
      <c r="FAJ73" s="684"/>
      <c r="FAK73" s="684"/>
      <c r="FAL73" s="684"/>
      <c r="FAM73" s="684"/>
      <c r="FAN73" s="684"/>
      <c r="FAO73" s="684"/>
      <c r="FAP73" s="684"/>
      <c r="FAQ73" s="684"/>
      <c r="FAR73" s="684"/>
      <c r="FAS73" s="684"/>
      <c r="FAT73" s="684"/>
      <c r="FAU73" s="684"/>
      <c r="FAV73" s="684"/>
      <c r="FAW73" s="684"/>
      <c r="FAX73" s="684"/>
      <c r="FAY73" s="684"/>
      <c r="FAZ73" s="684"/>
      <c r="FBA73" s="684"/>
      <c r="FBB73" s="684"/>
      <c r="FBC73" s="684"/>
      <c r="FBD73" s="684"/>
      <c r="FBE73" s="684"/>
      <c r="FBF73" s="684"/>
      <c r="FBG73" s="684"/>
      <c r="FBH73" s="684"/>
      <c r="FBI73" s="684"/>
      <c r="FBJ73" s="684"/>
      <c r="FBK73" s="684"/>
      <c r="FBL73" s="684"/>
      <c r="FBM73" s="684"/>
      <c r="FBN73" s="684"/>
      <c r="FBO73" s="684"/>
      <c r="FBP73" s="684"/>
      <c r="FBQ73" s="684"/>
      <c r="FBR73" s="684"/>
      <c r="FBS73" s="684"/>
      <c r="FBT73" s="684"/>
      <c r="FBU73" s="684"/>
      <c r="FBV73" s="684"/>
      <c r="FBW73" s="684"/>
      <c r="FBX73" s="684"/>
      <c r="FBY73" s="684"/>
      <c r="FBZ73" s="684"/>
      <c r="FCA73" s="684"/>
      <c r="FCB73" s="684"/>
      <c r="FCC73" s="684"/>
      <c r="FCD73" s="684"/>
      <c r="FCE73" s="684"/>
      <c r="FCF73" s="684"/>
      <c r="FCG73" s="684"/>
      <c r="FCH73" s="684"/>
      <c r="FCI73" s="684"/>
      <c r="FCJ73" s="684"/>
      <c r="FCK73" s="684"/>
      <c r="FCL73" s="684"/>
      <c r="FCM73" s="684"/>
      <c r="FCN73" s="684"/>
      <c r="FCO73" s="684"/>
      <c r="FCP73" s="684"/>
      <c r="FCQ73" s="684"/>
      <c r="FCR73" s="684"/>
      <c r="FCS73" s="684"/>
      <c r="FCT73" s="684"/>
      <c r="FCU73" s="684"/>
      <c r="FCV73" s="684"/>
      <c r="FCW73" s="684"/>
      <c r="FCX73" s="684"/>
      <c r="FCY73" s="684"/>
      <c r="FCZ73" s="684"/>
      <c r="FDA73" s="684"/>
      <c r="FDB73" s="684"/>
      <c r="FDC73" s="684"/>
      <c r="FDD73" s="684"/>
      <c r="FDE73" s="684"/>
      <c r="FDF73" s="684"/>
      <c r="FDG73" s="684"/>
      <c r="FDH73" s="684"/>
      <c r="FDI73" s="684"/>
      <c r="FDJ73" s="684"/>
      <c r="FDK73" s="684"/>
      <c r="FDL73" s="684"/>
      <c r="FDM73" s="684"/>
      <c r="FDN73" s="684"/>
      <c r="FDO73" s="684"/>
      <c r="FDP73" s="684"/>
      <c r="FDQ73" s="684"/>
      <c r="FDR73" s="684"/>
      <c r="FDS73" s="684"/>
      <c r="FDT73" s="684"/>
      <c r="FDU73" s="684"/>
      <c r="FDV73" s="684"/>
      <c r="FDW73" s="684"/>
      <c r="FDX73" s="684"/>
      <c r="FDY73" s="684"/>
      <c r="FDZ73" s="684"/>
      <c r="FEA73" s="684"/>
      <c r="FEB73" s="684"/>
      <c r="FEC73" s="684"/>
      <c r="FED73" s="684"/>
      <c r="FEE73" s="684"/>
      <c r="FEF73" s="684"/>
      <c r="FEG73" s="684"/>
      <c r="FEH73" s="684"/>
      <c r="FEI73" s="684"/>
      <c r="FEJ73" s="684"/>
      <c r="FEK73" s="684"/>
      <c r="FEL73" s="684"/>
      <c r="FEM73" s="684"/>
      <c r="FEN73" s="684"/>
      <c r="FEO73" s="684"/>
      <c r="FEP73" s="684"/>
      <c r="FEQ73" s="684"/>
      <c r="FER73" s="684"/>
      <c r="FES73" s="684"/>
      <c r="FET73" s="684"/>
      <c r="FEU73" s="684"/>
      <c r="FEV73" s="684"/>
      <c r="FEW73" s="684"/>
      <c r="FEX73" s="684"/>
      <c r="FEY73" s="684"/>
      <c r="FEZ73" s="684"/>
      <c r="FFA73" s="684"/>
      <c r="FFB73" s="684"/>
      <c r="FFC73" s="684"/>
      <c r="FFD73" s="684"/>
      <c r="FFE73" s="684"/>
      <c r="FFF73" s="684"/>
      <c r="FFG73" s="684"/>
      <c r="FFH73" s="684"/>
      <c r="FFI73" s="684"/>
      <c r="FFJ73" s="684"/>
      <c r="FFK73" s="684"/>
      <c r="FFL73" s="684"/>
      <c r="FFM73" s="684"/>
      <c r="FFN73" s="684"/>
      <c r="FFO73" s="684"/>
      <c r="FFP73" s="684"/>
      <c r="FFQ73" s="684"/>
      <c r="FFR73" s="684"/>
      <c r="FFS73" s="684"/>
      <c r="FFT73" s="684"/>
      <c r="FFU73" s="684"/>
      <c r="FFV73" s="684"/>
      <c r="FFW73" s="684"/>
      <c r="FFX73" s="684"/>
      <c r="FFY73" s="684"/>
      <c r="FFZ73" s="684"/>
      <c r="FGA73" s="684"/>
      <c r="FGB73" s="684"/>
      <c r="FGC73" s="684"/>
      <c r="FGD73" s="684"/>
      <c r="FGE73" s="684"/>
      <c r="FGF73" s="684"/>
      <c r="FGG73" s="684"/>
      <c r="FGH73" s="684"/>
      <c r="FGI73" s="684"/>
      <c r="FGJ73" s="684"/>
      <c r="FGK73" s="684"/>
      <c r="FGL73" s="684"/>
      <c r="FGM73" s="684"/>
      <c r="FGN73" s="684"/>
      <c r="FGO73" s="684"/>
      <c r="FGP73" s="684"/>
      <c r="FGQ73" s="684"/>
      <c r="FGR73" s="684"/>
      <c r="FGS73" s="684"/>
      <c r="FGT73" s="684"/>
      <c r="FGU73" s="684"/>
      <c r="FGV73" s="684"/>
      <c r="FGW73" s="684"/>
      <c r="FGX73" s="684"/>
      <c r="FGY73" s="684"/>
      <c r="FGZ73" s="684"/>
      <c r="FHA73" s="684"/>
      <c r="FHB73" s="684"/>
      <c r="FHC73" s="684"/>
      <c r="FHD73" s="684"/>
      <c r="FHE73" s="684"/>
      <c r="FHF73" s="684"/>
      <c r="FHG73" s="684"/>
      <c r="FHH73" s="684"/>
      <c r="FHI73" s="684"/>
      <c r="FHJ73" s="684"/>
      <c r="FHK73" s="684"/>
      <c r="FHL73" s="684"/>
      <c r="FHM73" s="684"/>
      <c r="FHN73" s="684"/>
      <c r="FHO73" s="684"/>
      <c r="FHP73" s="684"/>
      <c r="FHQ73" s="684"/>
      <c r="FHR73" s="684"/>
      <c r="FHS73" s="684"/>
      <c r="FHT73" s="684"/>
      <c r="FHU73" s="684"/>
      <c r="FHV73" s="684"/>
      <c r="FHW73" s="684"/>
      <c r="FHX73" s="684"/>
      <c r="FHY73" s="684"/>
      <c r="FHZ73" s="684"/>
      <c r="FIA73" s="684"/>
      <c r="FIB73" s="684"/>
      <c r="FIC73" s="684"/>
      <c r="FID73" s="684"/>
      <c r="FIE73" s="684"/>
      <c r="FIF73" s="684"/>
      <c r="FIG73" s="684"/>
      <c r="FIH73" s="684"/>
      <c r="FII73" s="684"/>
      <c r="FIJ73" s="684"/>
      <c r="FIK73" s="684"/>
      <c r="FIL73" s="684"/>
      <c r="FIM73" s="684"/>
      <c r="FIN73" s="684"/>
      <c r="FIO73" s="684"/>
      <c r="FIP73" s="684"/>
      <c r="FIQ73" s="684"/>
      <c r="FIR73" s="684"/>
      <c r="FIS73" s="684"/>
      <c r="FIT73" s="684"/>
      <c r="FIU73" s="684"/>
      <c r="FIV73" s="684"/>
      <c r="FIW73" s="684"/>
      <c r="FIX73" s="684"/>
      <c r="FIY73" s="684"/>
      <c r="FIZ73" s="684"/>
      <c r="FJA73" s="684"/>
      <c r="FJB73" s="684"/>
      <c r="FJC73" s="684"/>
      <c r="FJD73" s="684"/>
      <c r="FJE73" s="684"/>
      <c r="FJF73" s="684"/>
      <c r="FJG73" s="684"/>
      <c r="FJH73" s="684"/>
      <c r="FJI73" s="684"/>
      <c r="FJJ73" s="684"/>
      <c r="FJK73" s="684"/>
      <c r="FJL73" s="684"/>
      <c r="FJM73" s="684"/>
      <c r="FJN73" s="684"/>
      <c r="FJO73" s="684"/>
      <c r="FJP73" s="684"/>
      <c r="FJQ73" s="684"/>
      <c r="FJR73" s="684"/>
      <c r="FJS73" s="684"/>
      <c r="FJT73" s="684"/>
      <c r="FJU73" s="684"/>
      <c r="FJV73" s="684"/>
      <c r="FJW73" s="684"/>
      <c r="FJX73" s="684"/>
      <c r="FJY73" s="684"/>
      <c r="FJZ73" s="684"/>
      <c r="FKA73" s="684"/>
      <c r="FKB73" s="684"/>
      <c r="FKC73" s="684"/>
      <c r="FKD73" s="684"/>
      <c r="FKE73" s="684"/>
      <c r="FKF73" s="684"/>
      <c r="FKG73" s="684"/>
      <c r="FKH73" s="684"/>
      <c r="FKI73" s="684"/>
      <c r="FKJ73" s="684"/>
      <c r="FKK73" s="684"/>
      <c r="FKL73" s="684"/>
      <c r="FKM73" s="684"/>
      <c r="FKN73" s="684"/>
      <c r="FKO73" s="684"/>
      <c r="FKP73" s="684"/>
      <c r="FKQ73" s="684"/>
      <c r="FKR73" s="684"/>
      <c r="FKS73" s="684"/>
      <c r="FKT73" s="684"/>
      <c r="FKU73" s="684"/>
      <c r="FKV73" s="684"/>
      <c r="FKW73" s="684"/>
      <c r="FKX73" s="684"/>
      <c r="FKY73" s="684"/>
      <c r="FKZ73" s="684"/>
      <c r="FLA73" s="684"/>
      <c r="FLB73" s="684"/>
      <c r="FLC73" s="684"/>
      <c r="FLD73" s="684"/>
      <c r="FLE73" s="684"/>
      <c r="FLF73" s="684"/>
      <c r="FLG73" s="684"/>
      <c r="FLH73" s="684"/>
      <c r="FLI73" s="684"/>
      <c r="FLJ73" s="684"/>
      <c r="FLK73" s="684"/>
      <c r="FLL73" s="684"/>
      <c r="FLM73" s="684"/>
      <c r="FLN73" s="684"/>
      <c r="FLO73" s="684"/>
      <c r="FLP73" s="684"/>
      <c r="FLQ73" s="684"/>
      <c r="FLR73" s="684"/>
      <c r="FLS73" s="684"/>
      <c r="FLT73" s="684"/>
      <c r="FLU73" s="684"/>
      <c r="FLV73" s="684"/>
      <c r="FLW73" s="684"/>
      <c r="FLX73" s="684"/>
      <c r="FLY73" s="684"/>
      <c r="FLZ73" s="684"/>
      <c r="FMA73" s="684"/>
      <c r="FMB73" s="684"/>
      <c r="FMC73" s="684"/>
      <c r="FMD73" s="684"/>
      <c r="FME73" s="684"/>
      <c r="FMF73" s="684"/>
      <c r="FMG73" s="684"/>
      <c r="FMH73" s="684"/>
      <c r="FMI73" s="684"/>
      <c r="FMJ73" s="684"/>
      <c r="FMK73" s="684"/>
      <c r="FML73" s="684"/>
      <c r="FMM73" s="684"/>
      <c r="FMN73" s="684"/>
      <c r="FMO73" s="684"/>
      <c r="FMP73" s="684"/>
      <c r="FMQ73" s="684"/>
      <c r="FMR73" s="684"/>
      <c r="FMS73" s="684"/>
      <c r="FMT73" s="684"/>
      <c r="FMU73" s="684"/>
      <c r="FMV73" s="684"/>
      <c r="FMW73" s="684"/>
      <c r="FMX73" s="684"/>
      <c r="FMY73" s="684"/>
      <c r="FMZ73" s="684"/>
      <c r="FNA73" s="684"/>
      <c r="FNB73" s="684"/>
      <c r="FNC73" s="684"/>
      <c r="FND73" s="684"/>
      <c r="FNE73" s="684"/>
      <c r="FNF73" s="684"/>
      <c r="FNG73" s="684"/>
      <c r="FNH73" s="684"/>
      <c r="FNI73" s="684"/>
      <c r="FNJ73" s="684"/>
      <c r="FNK73" s="684"/>
      <c r="FNL73" s="684"/>
      <c r="FNM73" s="684"/>
      <c r="FNN73" s="684"/>
      <c r="FNO73" s="684"/>
      <c r="FNP73" s="684"/>
      <c r="FNQ73" s="684"/>
      <c r="FNR73" s="684"/>
      <c r="FNS73" s="684"/>
      <c r="FNT73" s="684"/>
      <c r="FNU73" s="684"/>
      <c r="FNV73" s="684"/>
      <c r="FNW73" s="684"/>
      <c r="FNX73" s="684"/>
      <c r="FNY73" s="684"/>
      <c r="FNZ73" s="684"/>
      <c r="FOA73" s="684"/>
      <c r="FOB73" s="684"/>
      <c r="FOC73" s="684"/>
      <c r="FOD73" s="684"/>
      <c r="FOE73" s="684"/>
      <c r="FOF73" s="684"/>
      <c r="FOG73" s="684"/>
      <c r="FOH73" s="684"/>
      <c r="FOI73" s="684"/>
      <c r="FOJ73" s="684"/>
      <c r="FOK73" s="684"/>
      <c r="FOL73" s="684"/>
      <c r="FOM73" s="684"/>
      <c r="FON73" s="684"/>
      <c r="FOO73" s="684"/>
      <c r="FOP73" s="684"/>
      <c r="FOQ73" s="684"/>
      <c r="FOR73" s="684"/>
      <c r="FOS73" s="684"/>
      <c r="FOT73" s="684"/>
      <c r="FOU73" s="684"/>
      <c r="FOV73" s="684"/>
      <c r="FOW73" s="684"/>
      <c r="FOX73" s="684"/>
      <c r="FOY73" s="684"/>
      <c r="FOZ73" s="684"/>
      <c r="FPA73" s="684"/>
      <c r="FPB73" s="684"/>
      <c r="FPC73" s="684"/>
      <c r="FPD73" s="684"/>
      <c r="FPE73" s="684"/>
      <c r="FPF73" s="684"/>
      <c r="FPG73" s="684"/>
      <c r="FPH73" s="684"/>
      <c r="FPI73" s="684"/>
      <c r="FPJ73" s="684"/>
      <c r="FPK73" s="684"/>
      <c r="FPL73" s="684"/>
      <c r="FPM73" s="684"/>
      <c r="FPN73" s="684"/>
      <c r="FPO73" s="684"/>
      <c r="FPP73" s="684"/>
      <c r="FPQ73" s="684"/>
      <c r="FPR73" s="684"/>
      <c r="FPS73" s="684"/>
      <c r="FPT73" s="684"/>
      <c r="FPU73" s="684"/>
      <c r="FPV73" s="684"/>
      <c r="FPW73" s="684"/>
      <c r="FPX73" s="684"/>
      <c r="FPY73" s="684"/>
      <c r="FPZ73" s="684"/>
      <c r="FQA73" s="684"/>
      <c r="FQB73" s="684"/>
      <c r="FQC73" s="684"/>
      <c r="FQD73" s="684"/>
      <c r="FQE73" s="684"/>
      <c r="FQF73" s="684"/>
      <c r="FQG73" s="684"/>
      <c r="FQH73" s="684"/>
      <c r="FQI73" s="684"/>
      <c r="FQJ73" s="684"/>
      <c r="FQK73" s="684"/>
      <c r="FQL73" s="684"/>
      <c r="FQM73" s="684"/>
      <c r="FQN73" s="684"/>
      <c r="FQO73" s="684"/>
      <c r="FQP73" s="684"/>
      <c r="FQQ73" s="684"/>
      <c r="FQR73" s="684"/>
      <c r="FQS73" s="684"/>
      <c r="FQT73" s="684"/>
      <c r="FQU73" s="684"/>
      <c r="FQV73" s="684"/>
      <c r="FQW73" s="684"/>
      <c r="FQX73" s="684"/>
      <c r="FQY73" s="684"/>
      <c r="FQZ73" s="684"/>
      <c r="FRA73" s="684"/>
      <c r="FRB73" s="684"/>
      <c r="FRC73" s="684"/>
      <c r="FRD73" s="684"/>
      <c r="FRE73" s="684"/>
      <c r="FRF73" s="684"/>
      <c r="FRG73" s="684"/>
      <c r="FRH73" s="684"/>
      <c r="FRI73" s="684"/>
      <c r="FRJ73" s="684"/>
      <c r="FRK73" s="684"/>
      <c r="FRL73" s="684"/>
      <c r="FRM73" s="684"/>
      <c r="FRN73" s="684"/>
      <c r="FRO73" s="684"/>
      <c r="FRP73" s="684"/>
      <c r="FRQ73" s="684"/>
      <c r="FRR73" s="684"/>
      <c r="FRS73" s="684"/>
      <c r="FRT73" s="684"/>
      <c r="FRU73" s="684"/>
      <c r="FRV73" s="684"/>
      <c r="FRW73" s="684"/>
      <c r="FRX73" s="684"/>
      <c r="FRY73" s="684"/>
      <c r="FRZ73" s="684"/>
      <c r="FSA73" s="684"/>
      <c r="FSB73" s="684"/>
      <c r="FSC73" s="684"/>
      <c r="FSD73" s="684"/>
      <c r="FSE73" s="684"/>
      <c r="FSF73" s="684"/>
      <c r="FSG73" s="684"/>
      <c r="FSH73" s="684"/>
      <c r="FSI73" s="684"/>
      <c r="FSJ73" s="684"/>
      <c r="FSK73" s="684"/>
      <c r="FSL73" s="684"/>
      <c r="FSM73" s="684"/>
      <c r="FSN73" s="684"/>
      <c r="FSO73" s="684"/>
      <c r="FSP73" s="684"/>
      <c r="FSQ73" s="684"/>
      <c r="FSR73" s="684"/>
      <c r="FSS73" s="684"/>
      <c r="FST73" s="684"/>
      <c r="FSU73" s="684"/>
      <c r="FSV73" s="684"/>
      <c r="FSW73" s="684"/>
      <c r="FSX73" s="684"/>
      <c r="FSY73" s="684"/>
      <c r="FSZ73" s="684"/>
      <c r="FTA73" s="684"/>
      <c r="FTB73" s="684"/>
      <c r="FTC73" s="684"/>
      <c r="FTD73" s="684"/>
      <c r="FTE73" s="684"/>
      <c r="FTF73" s="684"/>
      <c r="FTG73" s="684"/>
      <c r="FTH73" s="684"/>
      <c r="FTI73" s="684"/>
      <c r="FTJ73" s="684"/>
      <c r="FTK73" s="684"/>
      <c r="FTL73" s="684"/>
      <c r="FTM73" s="684"/>
      <c r="FTN73" s="684"/>
      <c r="FTO73" s="684"/>
      <c r="FTP73" s="684"/>
      <c r="FTQ73" s="684"/>
      <c r="FTR73" s="684"/>
      <c r="FTS73" s="684"/>
      <c r="FTT73" s="684"/>
      <c r="FTU73" s="684"/>
      <c r="FTV73" s="684"/>
      <c r="FTW73" s="684"/>
      <c r="FTX73" s="684"/>
      <c r="FTY73" s="684"/>
      <c r="FTZ73" s="684"/>
      <c r="FUA73" s="684"/>
      <c r="FUB73" s="684"/>
      <c r="FUC73" s="684"/>
      <c r="FUD73" s="684"/>
      <c r="FUE73" s="684"/>
      <c r="FUF73" s="684"/>
      <c r="FUG73" s="684"/>
      <c r="FUH73" s="684"/>
      <c r="FUI73" s="684"/>
      <c r="FUJ73" s="684"/>
      <c r="FUK73" s="684"/>
      <c r="FUL73" s="684"/>
      <c r="FUM73" s="684"/>
      <c r="FUN73" s="684"/>
      <c r="FUO73" s="684"/>
      <c r="FUP73" s="684"/>
      <c r="FUQ73" s="684"/>
      <c r="FUR73" s="684"/>
      <c r="FUS73" s="684"/>
      <c r="FUT73" s="684"/>
      <c r="FUU73" s="684"/>
      <c r="FUV73" s="684"/>
      <c r="FUW73" s="684"/>
      <c r="FUX73" s="684"/>
      <c r="FUY73" s="684"/>
      <c r="FUZ73" s="684"/>
      <c r="FVA73" s="684"/>
      <c r="FVB73" s="684"/>
      <c r="FVC73" s="684"/>
      <c r="FVD73" s="684"/>
      <c r="FVE73" s="684"/>
      <c r="FVF73" s="684"/>
      <c r="FVG73" s="684"/>
      <c r="FVH73" s="684"/>
      <c r="FVI73" s="684"/>
      <c r="FVJ73" s="684"/>
      <c r="FVK73" s="684"/>
      <c r="FVL73" s="684"/>
      <c r="FVM73" s="684"/>
      <c r="FVN73" s="684"/>
      <c r="FVO73" s="684"/>
      <c r="FVP73" s="684"/>
      <c r="FVQ73" s="684"/>
      <c r="FVR73" s="684"/>
      <c r="FVS73" s="684"/>
      <c r="FVT73" s="684"/>
      <c r="FVU73" s="684"/>
      <c r="FVV73" s="684"/>
      <c r="FVW73" s="684"/>
      <c r="FVX73" s="684"/>
      <c r="FVY73" s="684"/>
      <c r="FVZ73" s="684"/>
      <c r="FWA73" s="684"/>
      <c r="FWB73" s="684"/>
      <c r="FWC73" s="684"/>
      <c r="FWD73" s="684"/>
      <c r="FWE73" s="684"/>
      <c r="FWF73" s="684"/>
      <c r="FWG73" s="684"/>
      <c r="FWH73" s="684"/>
      <c r="FWI73" s="684"/>
      <c r="FWJ73" s="684"/>
      <c r="FWK73" s="684"/>
      <c r="FWL73" s="684"/>
      <c r="FWM73" s="684"/>
      <c r="FWN73" s="684"/>
      <c r="FWO73" s="684"/>
      <c r="FWP73" s="684"/>
      <c r="FWQ73" s="684"/>
      <c r="FWR73" s="684"/>
      <c r="FWS73" s="684"/>
      <c r="FWT73" s="684"/>
      <c r="FWU73" s="684"/>
      <c r="FWV73" s="684"/>
      <c r="FWW73" s="684"/>
      <c r="FWX73" s="684"/>
      <c r="FWY73" s="684"/>
      <c r="FWZ73" s="684"/>
      <c r="FXA73" s="684"/>
      <c r="FXB73" s="684"/>
      <c r="FXC73" s="684"/>
      <c r="FXD73" s="684"/>
      <c r="FXE73" s="684"/>
      <c r="FXF73" s="684"/>
      <c r="FXG73" s="684"/>
      <c r="FXH73" s="684"/>
      <c r="FXI73" s="684"/>
      <c r="FXJ73" s="684"/>
      <c r="FXK73" s="684"/>
      <c r="FXL73" s="684"/>
      <c r="FXM73" s="684"/>
      <c r="FXN73" s="684"/>
      <c r="FXO73" s="684"/>
      <c r="FXP73" s="684"/>
      <c r="FXQ73" s="684"/>
      <c r="FXR73" s="684"/>
      <c r="FXS73" s="684"/>
      <c r="FXT73" s="684"/>
      <c r="FXU73" s="684"/>
      <c r="FXV73" s="684"/>
      <c r="FXW73" s="684"/>
      <c r="FXX73" s="684"/>
      <c r="FXY73" s="684"/>
      <c r="FXZ73" s="684"/>
      <c r="FYA73" s="684"/>
      <c r="FYB73" s="684"/>
      <c r="FYC73" s="684"/>
      <c r="FYD73" s="684"/>
      <c r="FYE73" s="684"/>
      <c r="FYF73" s="684"/>
      <c r="FYG73" s="684"/>
      <c r="FYH73" s="684"/>
      <c r="FYI73" s="684"/>
      <c r="FYJ73" s="684"/>
      <c r="FYK73" s="684"/>
      <c r="FYL73" s="684"/>
      <c r="FYM73" s="684"/>
      <c r="FYN73" s="684"/>
      <c r="FYO73" s="684"/>
      <c r="FYP73" s="684"/>
      <c r="FYQ73" s="684"/>
      <c r="FYR73" s="684"/>
      <c r="FYS73" s="684"/>
      <c r="FYT73" s="684"/>
      <c r="FYU73" s="684"/>
      <c r="FYV73" s="684"/>
      <c r="FYW73" s="684"/>
      <c r="FYX73" s="684"/>
      <c r="FYY73" s="684"/>
      <c r="FYZ73" s="684"/>
      <c r="FZA73" s="684"/>
      <c r="FZB73" s="684"/>
      <c r="FZC73" s="684"/>
      <c r="FZD73" s="684"/>
      <c r="FZE73" s="684"/>
      <c r="FZF73" s="684"/>
      <c r="FZG73" s="684"/>
      <c r="FZH73" s="684"/>
      <c r="FZI73" s="684"/>
      <c r="FZJ73" s="684"/>
      <c r="FZK73" s="684"/>
      <c r="FZL73" s="684"/>
      <c r="FZM73" s="684"/>
      <c r="FZN73" s="684"/>
      <c r="FZO73" s="684"/>
      <c r="FZP73" s="684"/>
      <c r="FZQ73" s="684"/>
      <c r="FZR73" s="684"/>
      <c r="FZS73" s="684"/>
      <c r="FZT73" s="684"/>
      <c r="FZU73" s="684"/>
      <c r="FZV73" s="684"/>
      <c r="FZW73" s="684"/>
      <c r="FZX73" s="684"/>
      <c r="FZY73" s="684"/>
      <c r="FZZ73" s="684"/>
      <c r="GAA73" s="684"/>
      <c r="GAB73" s="684"/>
      <c r="GAC73" s="684"/>
      <c r="GAD73" s="684"/>
      <c r="GAE73" s="684"/>
      <c r="GAF73" s="684"/>
      <c r="GAG73" s="684"/>
      <c r="GAH73" s="684"/>
      <c r="GAI73" s="684"/>
      <c r="GAJ73" s="684"/>
      <c r="GAK73" s="684"/>
      <c r="GAL73" s="684"/>
      <c r="GAM73" s="684"/>
      <c r="GAN73" s="684"/>
      <c r="GAO73" s="684"/>
      <c r="GAP73" s="684"/>
      <c r="GAQ73" s="684"/>
      <c r="GAR73" s="684"/>
      <c r="GAS73" s="684"/>
      <c r="GAT73" s="684"/>
      <c r="GAU73" s="684"/>
      <c r="GAV73" s="684"/>
      <c r="GAW73" s="684"/>
      <c r="GAX73" s="684"/>
      <c r="GAY73" s="684"/>
      <c r="GAZ73" s="684"/>
      <c r="GBA73" s="684"/>
      <c r="GBB73" s="684"/>
      <c r="GBC73" s="684"/>
      <c r="GBD73" s="684"/>
      <c r="GBE73" s="684"/>
      <c r="GBF73" s="684"/>
      <c r="GBG73" s="684"/>
      <c r="GBH73" s="684"/>
      <c r="GBI73" s="684"/>
      <c r="GBJ73" s="684"/>
      <c r="GBK73" s="684"/>
      <c r="GBL73" s="684"/>
      <c r="GBM73" s="684"/>
      <c r="GBN73" s="684"/>
      <c r="GBO73" s="684"/>
      <c r="GBP73" s="684"/>
      <c r="GBQ73" s="684"/>
      <c r="GBR73" s="684"/>
      <c r="GBS73" s="684"/>
      <c r="GBT73" s="684"/>
      <c r="GBU73" s="684"/>
      <c r="GBV73" s="684"/>
      <c r="GBW73" s="684"/>
      <c r="GBX73" s="684"/>
      <c r="GBY73" s="684"/>
      <c r="GBZ73" s="684"/>
      <c r="GCA73" s="684"/>
      <c r="GCB73" s="684"/>
      <c r="GCC73" s="684"/>
      <c r="GCD73" s="684"/>
      <c r="GCE73" s="684"/>
      <c r="GCF73" s="684"/>
      <c r="GCG73" s="684"/>
      <c r="GCH73" s="684"/>
      <c r="GCI73" s="684"/>
      <c r="GCJ73" s="684"/>
      <c r="GCK73" s="684"/>
      <c r="GCL73" s="684"/>
      <c r="GCM73" s="684"/>
      <c r="GCN73" s="684"/>
      <c r="GCO73" s="684"/>
      <c r="GCP73" s="684"/>
      <c r="GCQ73" s="684"/>
      <c r="GCR73" s="684"/>
      <c r="GCS73" s="684"/>
      <c r="GCT73" s="684"/>
      <c r="GCU73" s="684"/>
      <c r="GCV73" s="684"/>
      <c r="GCW73" s="684"/>
      <c r="GCX73" s="684"/>
      <c r="GCY73" s="684"/>
      <c r="GCZ73" s="684"/>
      <c r="GDA73" s="684"/>
      <c r="GDB73" s="684"/>
      <c r="GDC73" s="684"/>
      <c r="GDD73" s="684"/>
      <c r="GDE73" s="684"/>
      <c r="GDF73" s="684"/>
      <c r="GDG73" s="684"/>
      <c r="GDH73" s="684"/>
      <c r="GDI73" s="684"/>
      <c r="GDJ73" s="684"/>
      <c r="GDK73" s="684"/>
      <c r="GDL73" s="684"/>
      <c r="GDM73" s="684"/>
      <c r="GDN73" s="684"/>
      <c r="GDO73" s="684"/>
      <c r="GDP73" s="684"/>
      <c r="GDQ73" s="684"/>
      <c r="GDR73" s="684"/>
      <c r="GDS73" s="684"/>
      <c r="GDT73" s="684"/>
      <c r="GDU73" s="684"/>
      <c r="GDV73" s="684"/>
      <c r="GDW73" s="684"/>
      <c r="GDX73" s="684"/>
      <c r="GDY73" s="684"/>
      <c r="GDZ73" s="684"/>
      <c r="GEA73" s="684"/>
      <c r="GEB73" s="684"/>
      <c r="GEC73" s="684"/>
      <c r="GED73" s="684"/>
      <c r="GEE73" s="684"/>
      <c r="GEF73" s="684"/>
      <c r="GEG73" s="684"/>
      <c r="GEH73" s="684"/>
      <c r="GEI73" s="684"/>
      <c r="GEJ73" s="684"/>
      <c r="GEK73" s="684"/>
      <c r="GEL73" s="684"/>
      <c r="GEM73" s="684"/>
      <c r="GEN73" s="684"/>
      <c r="GEO73" s="684"/>
      <c r="GEP73" s="684"/>
      <c r="GEQ73" s="684"/>
      <c r="GER73" s="684"/>
      <c r="GES73" s="684"/>
      <c r="GET73" s="684"/>
      <c r="GEU73" s="684"/>
      <c r="GEV73" s="684"/>
      <c r="GEW73" s="684"/>
      <c r="GEX73" s="684"/>
      <c r="GEY73" s="684"/>
      <c r="GEZ73" s="684"/>
      <c r="GFA73" s="684"/>
      <c r="GFB73" s="684"/>
      <c r="GFC73" s="684"/>
      <c r="GFD73" s="684"/>
      <c r="GFE73" s="684"/>
      <c r="GFF73" s="684"/>
      <c r="GFG73" s="684"/>
      <c r="GFH73" s="684"/>
      <c r="GFI73" s="684"/>
      <c r="GFJ73" s="684"/>
      <c r="GFK73" s="684"/>
      <c r="GFL73" s="684"/>
      <c r="GFM73" s="684"/>
      <c r="GFN73" s="684"/>
      <c r="GFO73" s="684"/>
      <c r="GFP73" s="684"/>
      <c r="GFQ73" s="684"/>
      <c r="GFR73" s="684"/>
      <c r="GFS73" s="684"/>
      <c r="GFT73" s="684"/>
      <c r="GFU73" s="684"/>
      <c r="GFV73" s="684"/>
      <c r="GFW73" s="684"/>
      <c r="GFX73" s="684"/>
      <c r="GFY73" s="684"/>
      <c r="GFZ73" s="684"/>
      <c r="GGA73" s="684"/>
      <c r="GGB73" s="684"/>
      <c r="GGC73" s="684"/>
      <c r="GGD73" s="684"/>
      <c r="GGE73" s="684"/>
      <c r="GGF73" s="684"/>
      <c r="GGG73" s="684"/>
      <c r="GGH73" s="684"/>
      <c r="GGI73" s="684"/>
      <c r="GGJ73" s="684"/>
      <c r="GGK73" s="684"/>
      <c r="GGL73" s="684"/>
      <c r="GGM73" s="684"/>
      <c r="GGN73" s="684"/>
      <c r="GGO73" s="684"/>
      <c r="GGP73" s="684"/>
      <c r="GGQ73" s="684"/>
      <c r="GGR73" s="684"/>
      <c r="GGS73" s="684"/>
      <c r="GGT73" s="684"/>
      <c r="GGU73" s="684"/>
      <c r="GGV73" s="684"/>
      <c r="GGW73" s="684"/>
      <c r="GGX73" s="684"/>
      <c r="GGY73" s="684"/>
      <c r="GGZ73" s="684"/>
      <c r="GHA73" s="684"/>
      <c r="GHB73" s="684"/>
      <c r="GHC73" s="684"/>
      <c r="GHD73" s="684"/>
      <c r="GHE73" s="684"/>
      <c r="GHF73" s="684"/>
      <c r="GHG73" s="684"/>
      <c r="GHH73" s="684"/>
      <c r="GHI73" s="684"/>
      <c r="GHJ73" s="684"/>
      <c r="GHK73" s="684"/>
      <c r="GHL73" s="684"/>
      <c r="GHM73" s="684"/>
      <c r="GHN73" s="684"/>
      <c r="GHO73" s="684"/>
      <c r="GHP73" s="684"/>
      <c r="GHQ73" s="684"/>
      <c r="GHR73" s="684"/>
      <c r="GHS73" s="684"/>
      <c r="GHT73" s="684"/>
      <c r="GHU73" s="684"/>
      <c r="GHV73" s="684"/>
      <c r="GHW73" s="684"/>
      <c r="GHX73" s="684"/>
      <c r="GHY73" s="684"/>
      <c r="GHZ73" s="684"/>
      <c r="GIA73" s="684"/>
      <c r="GIB73" s="684"/>
      <c r="GIC73" s="684"/>
      <c r="GID73" s="684"/>
      <c r="GIE73" s="684"/>
      <c r="GIF73" s="684"/>
      <c r="GIG73" s="684"/>
      <c r="GIH73" s="684"/>
      <c r="GII73" s="684"/>
      <c r="GIJ73" s="684"/>
      <c r="GIK73" s="684"/>
      <c r="GIL73" s="684"/>
      <c r="GIM73" s="684"/>
      <c r="GIN73" s="684"/>
      <c r="GIO73" s="684"/>
      <c r="GIP73" s="684"/>
      <c r="GIQ73" s="684"/>
      <c r="GIR73" s="684"/>
      <c r="GIS73" s="684"/>
      <c r="GIT73" s="684"/>
      <c r="GIU73" s="684"/>
      <c r="GIV73" s="684"/>
      <c r="GIW73" s="684"/>
      <c r="GIX73" s="684"/>
      <c r="GIY73" s="684"/>
      <c r="GIZ73" s="684"/>
      <c r="GJA73" s="684"/>
      <c r="GJB73" s="684"/>
      <c r="GJC73" s="684"/>
      <c r="GJD73" s="684"/>
      <c r="GJE73" s="684"/>
      <c r="GJF73" s="684"/>
      <c r="GJG73" s="684"/>
      <c r="GJH73" s="684"/>
      <c r="GJI73" s="684"/>
      <c r="GJJ73" s="684"/>
      <c r="GJK73" s="684"/>
      <c r="GJL73" s="684"/>
      <c r="GJM73" s="684"/>
      <c r="GJN73" s="684"/>
      <c r="GJO73" s="684"/>
      <c r="GJP73" s="684"/>
      <c r="GJQ73" s="684"/>
      <c r="GJR73" s="684"/>
      <c r="GJS73" s="684"/>
      <c r="GJT73" s="684"/>
      <c r="GJU73" s="684"/>
      <c r="GJV73" s="684"/>
      <c r="GJW73" s="684"/>
      <c r="GJX73" s="684"/>
      <c r="GJY73" s="684"/>
      <c r="GJZ73" s="684"/>
      <c r="GKA73" s="684"/>
      <c r="GKB73" s="684"/>
      <c r="GKC73" s="684"/>
      <c r="GKD73" s="684"/>
      <c r="GKE73" s="684"/>
      <c r="GKF73" s="684"/>
      <c r="GKG73" s="684"/>
      <c r="GKH73" s="684"/>
      <c r="GKI73" s="684"/>
      <c r="GKJ73" s="684"/>
      <c r="GKK73" s="684"/>
      <c r="GKL73" s="684"/>
      <c r="GKM73" s="684"/>
      <c r="GKN73" s="684"/>
      <c r="GKO73" s="684"/>
      <c r="GKP73" s="684"/>
      <c r="GKQ73" s="684"/>
      <c r="GKR73" s="684"/>
      <c r="GKS73" s="684"/>
      <c r="GKT73" s="684"/>
      <c r="GKU73" s="684"/>
      <c r="GKV73" s="684"/>
      <c r="GKW73" s="684"/>
      <c r="GKX73" s="684"/>
      <c r="GKY73" s="684"/>
      <c r="GKZ73" s="684"/>
      <c r="GLA73" s="684"/>
      <c r="GLB73" s="684"/>
      <c r="GLC73" s="684"/>
      <c r="GLD73" s="684"/>
      <c r="GLE73" s="684"/>
      <c r="GLF73" s="684"/>
      <c r="GLG73" s="684"/>
      <c r="GLH73" s="684"/>
      <c r="GLI73" s="684"/>
      <c r="GLJ73" s="684"/>
      <c r="GLK73" s="684"/>
      <c r="GLL73" s="684"/>
      <c r="GLM73" s="684"/>
      <c r="GLN73" s="684"/>
      <c r="GLO73" s="684"/>
      <c r="GLP73" s="684"/>
      <c r="GLQ73" s="684"/>
      <c r="GLR73" s="684"/>
      <c r="GLS73" s="684"/>
      <c r="GLT73" s="684"/>
      <c r="GLU73" s="684"/>
      <c r="GLV73" s="684"/>
      <c r="GLW73" s="684"/>
      <c r="GLX73" s="684"/>
      <c r="GLY73" s="684"/>
      <c r="GLZ73" s="684"/>
      <c r="GMA73" s="684"/>
      <c r="GMB73" s="684"/>
      <c r="GMC73" s="684"/>
      <c r="GMD73" s="684"/>
      <c r="GME73" s="684"/>
      <c r="GMF73" s="684"/>
      <c r="GMG73" s="684"/>
      <c r="GMH73" s="684"/>
      <c r="GMI73" s="684"/>
      <c r="GMJ73" s="684"/>
      <c r="GMK73" s="684"/>
      <c r="GML73" s="684"/>
      <c r="GMM73" s="684"/>
      <c r="GMN73" s="684"/>
      <c r="GMO73" s="684"/>
      <c r="GMP73" s="684"/>
      <c r="GMQ73" s="684"/>
      <c r="GMR73" s="684"/>
      <c r="GMS73" s="684"/>
      <c r="GMT73" s="684"/>
      <c r="GMU73" s="684"/>
      <c r="GMV73" s="684"/>
      <c r="GMW73" s="684"/>
      <c r="GMX73" s="684"/>
      <c r="GMY73" s="684"/>
      <c r="GMZ73" s="684"/>
      <c r="GNA73" s="684"/>
      <c r="GNB73" s="684"/>
      <c r="GNC73" s="684"/>
      <c r="GND73" s="684"/>
      <c r="GNE73" s="684"/>
      <c r="GNF73" s="684"/>
      <c r="GNG73" s="684"/>
      <c r="GNH73" s="684"/>
      <c r="GNI73" s="684"/>
      <c r="GNJ73" s="684"/>
      <c r="GNK73" s="684"/>
      <c r="GNL73" s="684"/>
      <c r="GNM73" s="684"/>
      <c r="GNN73" s="684"/>
      <c r="GNO73" s="684"/>
      <c r="GNP73" s="684"/>
      <c r="GNQ73" s="684"/>
      <c r="GNR73" s="684"/>
      <c r="GNS73" s="684"/>
      <c r="GNT73" s="684"/>
      <c r="GNU73" s="684"/>
      <c r="GNV73" s="684"/>
      <c r="GNW73" s="684"/>
      <c r="GNX73" s="684"/>
      <c r="GNY73" s="684"/>
      <c r="GNZ73" s="684"/>
      <c r="GOA73" s="684"/>
      <c r="GOB73" s="684"/>
      <c r="GOC73" s="684"/>
      <c r="GOD73" s="684"/>
      <c r="GOE73" s="684"/>
      <c r="GOF73" s="684"/>
      <c r="GOG73" s="684"/>
      <c r="GOH73" s="684"/>
      <c r="GOI73" s="684"/>
      <c r="GOJ73" s="684"/>
      <c r="GOK73" s="684"/>
      <c r="GOL73" s="684"/>
      <c r="GOM73" s="684"/>
      <c r="GON73" s="684"/>
      <c r="GOO73" s="684"/>
      <c r="GOP73" s="684"/>
      <c r="GOQ73" s="684"/>
      <c r="GOR73" s="684"/>
      <c r="GOS73" s="684"/>
      <c r="GOT73" s="684"/>
      <c r="GOU73" s="684"/>
      <c r="GOV73" s="684"/>
      <c r="GOW73" s="684"/>
      <c r="GOX73" s="684"/>
      <c r="GOY73" s="684"/>
      <c r="GOZ73" s="684"/>
      <c r="GPA73" s="684"/>
      <c r="GPB73" s="684"/>
      <c r="GPC73" s="684"/>
      <c r="GPD73" s="684"/>
      <c r="GPE73" s="684"/>
      <c r="GPF73" s="684"/>
      <c r="GPG73" s="684"/>
      <c r="GPH73" s="684"/>
      <c r="GPI73" s="684"/>
      <c r="GPJ73" s="684"/>
      <c r="GPK73" s="684"/>
      <c r="GPL73" s="684"/>
      <c r="GPM73" s="684"/>
      <c r="GPN73" s="684"/>
      <c r="GPO73" s="684"/>
      <c r="GPP73" s="684"/>
      <c r="GPQ73" s="684"/>
      <c r="GPR73" s="684"/>
      <c r="GPS73" s="684"/>
      <c r="GPT73" s="684"/>
      <c r="GPU73" s="684"/>
      <c r="GPV73" s="684"/>
      <c r="GPW73" s="684"/>
      <c r="GPX73" s="684"/>
      <c r="GPY73" s="684"/>
      <c r="GPZ73" s="684"/>
      <c r="GQA73" s="684"/>
      <c r="GQB73" s="684"/>
      <c r="GQC73" s="684"/>
      <c r="GQD73" s="684"/>
      <c r="GQE73" s="684"/>
      <c r="GQF73" s="684"/>
      <c r="GQG73" s="684"/>
      <c r="GQH73" s="684"/>
      <c r="GQI73" s="684"/>
      <c r="GQJ73" s="684"/>
      <c r="GQK73" s="684"/>
      <c r="GQL73" s="684"/>
      <c r="GQM73" s="684"/>
      <c r="GQN73" s="684"/>
      <c r="GQO73" s="684"/>
      <c r="GQP73" s="684"/>
      <c r="GQQ73" s="684"/>
      <c r="GQR73" s="684"/>
      <c r="GQS73" s="684"/>
      <c r="GQT73" s="684"/>
      <c r="GQU73" s="684"/>
      <c r="GQV73" s="684"/>
      <c r="GQW73" s="684"/>
      <c r="GQX73" s="684"/>
      <c r="GQY73" s="684"/>
      <c r="GQZ73" s="684"/>
      <c r="GRA73" s="684"/>
      <c r="GRB73" s="684"/>
      <c r="GRC73" s="684"/>
      <c r="GRD73" s="684"/>
      <c r="GRE73" s="684"/>
      <c r="GRF73" s="684"/>
      <c r="GRG73" s="684"/>
      <c r="GRH73" s="684"/>
      <c r="GRI73" s="684"/>
      <c r="GRJ73" s="684"/>
      <c r="GRK73" s="684"/>
      <c r="GRL73" s="684"/>
      <c r="GRM73" s="684"/>
      <c r="GRN73" s="684"/>
      <c r="GRO73" s="684"/>
      <c r="GRP73" s="684"/>
      <c r="GRQ73" s="684"/>
      <c r="GRR73" s="684"/>
      <c r="GRS73" s="684"/>
      <c r="GRT73" s="684"/>
      <c r="GRU73" s="684"/>
      <c r="GRV73" s="684"/>
      <c r="GRW73" s="684"/>
      <c r="GRX73" s="684"/>
      <c r="GRY73" s="684"/>
      <c r="GRZ73" s="684"/>
      <c r="GSA73" s="684"/>
      <c r="GSB73" s="684"/>
      <c r="GSC73" s="684"/>
      <c r="GSD73" s="684"/>
      <c r="GSE73" s="684"/>
      <c r="GSF73" s="684"/>
      <c r="GSG73" s="684"/>
      <c r="GSH73" s="684"/>
      <c r="GSI73" s="684"/>
      <c r="GSJ73" s="684"/>
      <c r="GSK73" s="684"/>
      <c r="GSL73" s="684"/>
      <c r="GSM73" s="684"/>
      <c r="GSN73" s="684"/>
      <c r="GSO73" s="684"/>
      <c r="GSP73" s="684"/>
      <c r="GSQ73" s="684"/>
      <c r="GSR73" s="684"/>
      <c r="GSS73" s="684"/>
      <c r="GST73" s="684"/>
      <c r="GSU73" s="684"/>
      <c r="GSV73" s="684"/>
      <c r="GSW73" s="684"/>
      <c r="GSX73" s="684"/>
      <c r="GSY73" s="684"/>
      <c r="GSZ73" s="684"/>
      <c r="GTA73" s="684"/>
      <c r="GTB73" s="684"/>
      <c r="GTC73" s="684"/>
      <c r="GTD73" s="684"/>
      <c r="GTE73" s="684"/>
      <c r="GTF73" s="684"/>
      <c r="GTG73" s="684"/>
      <c r="GTH73" s="684"/>
      <c r="GTI73" s="684"/>
      <c r="GTJ73" s="684"/>
      <c r="GTK73" s="684"/>
      <c r="GTL73" s="684"/>
      <c r="GTM73" s="684"/>
      <c r="GTN73" s="684"/>
      <c r="GTO73" s="684"/>
      <c r="GTP73" s="684"/>
      <c r="GTQ73" s="684"/>
      <c r="GTR73" s="684"/>
      <c r="GTS73" s="684"/>
      <c r="GTT73" s="684"/>
      <c r="GTU73" s="684"/>
      <c r="GTV73" s="684"/>
      <c r="GTW73" s="684"/>
      <c r="GTX73" s="684"/>
      <c r="GTY73" s="684"/>
      <c r="GTZ73" s="684"/>
      <c r="GUA73" s="684"/>
      <c r="GUB73" s="684"/>
      <c r="GUC73" s="684"/>
      <c r="GUD73" s="684"/>
      <c r="GUE73" s="684"/>
      <c r="GUF73" s="684"/>
      <c r="GUG73" s="684"/>
      <c r="GUH73" s="684"/>
      <c r="GUI73" s="684"/>
      <c r="GUJ73" s="684"/>
      <c r="GUK73" s="684"/>
      <c r="GUL73" s="684"/>
      <c r="GUM73" s="684"/>
      <c r="GUN73" s="684"/>
      <c r="GUO73" s="684"/>
      <c r="GUP73" s="684"/>
      <c r="GUQ73" s="684"/>
      <c r="GUR73" s="684"/>
      <c r="GUS73" s="684"/>
      <c r="GUT73" s="684"/>
      <c r="GUU73" s="684"/>
      <c r="GUV73" s="684"/>
      <c r="GUW73" s="684"/>
      <c r="GUX73" s="684"/>
      <c r="GUY73" s="684"/>
      <c r="GUZ73" s="684"/>
      <c r="GVA73" s="684"/>
      <c r="GVB73" s="684"/>
      <c r="GVC73" s="684"/>
      <c r="GVD73" s="684"/>
      <c r="GVE73" s="684"/>
      <c r="GVF73" s="684"/>
      <c r="GVG73" s="684"/>
      <c r="GVH73" s="684"/>
      <c r="GVI73" s="684"/>
      <c r="GVJ73" s="684"/>
      <c r="GVK73" s="684"/>
      <c r="GVL73" s="684"/>
      <c r="GVM73" s="684"/>
      <c r="GVN73" s="684"/>
      <c r="GVO73" s="684"/>
      <c r="GVP73" s="684"/>
      <c r="GVQ73" s="684"/>
      <c r="GVR73" s="684"/>
      <c r="GVS73" s="684"/>
      <c r="GVT73" s="684"/>
      <c r="GVU73" s="684"/>
      <c r="GVV73" s="684"/>
      <c r="GVW73" s="684"/>
      <c r="GVX73" s="684"/>
      <c r="GVY73" s="684"/>
      <c r="GVZ73" s="684"/>
      <c r="GWA73" s="684"/>
      <c r="GWB73" s="684"/>
      <c r="GWC73" s="684"/>
      <c r="GWD73" s="684"/>
      <c r="GWE73" s="684"/>
      <c r="GWF73" s="684"/>
      <c r="GWG73" s="684"/>
      <c r="GWH73" s="684"/>
      <c r="GWI73" s="684"/>
      <c r="GWJ73" s="684"/>
      <c r="GWK73" s="684"/>
      <c r="GWL73" s="684"/>
      <c r="GWM73" s="684"/>
      <c r="GWN73" s="684"/>
      <c r="GWO73" s="684"/>
      <c r="GWP73" s="684"/>
      <c r="GWQ73" s="684"/>
      <c r="GWR73" s="684"/>
      <c r="GWS73" s="684"/>
      <c r="GWT73" s="684"/>
      <c r="GWU73" s="684"/>
      <c r="GWV73" s="684"/>
      <c r="GWW73" s="684"/>
      <c r="GWX73" s="684"/>
      <c r="GWY73" s="684"/>
      <c r="GWZ73" s="684"/>
      <c r="GXA73" s="684"/>
      <c r="GXB73" s="684"/>
      <c r="GXC73" s="684"/>
      <c r="GXD73" s="684"/>
      <c r="GXE73" s="684"/>
      <c r="GXF73" s="684"/>
      <c r="GXG73" s="684"/>
      <c r="GXH73" s="684"/>
      <c r="GXI73" s="684"/>
      <c r="GXJ73" s="684"/>
      <c r="GXK73" s="684"/>
      <c r="GXL73" s="684"/>
      <c r="GXM73" s="684"/>
      <c r="GXN73" s="684"/>
      <c r="GXO73" s="684"/>
      <c r="GXP73" s="684"/>
      <c r="GXQ73" s="684"/>
      <c r="GXR73" s="684"/>
      <c r="GXS73" s="684"/>
      <c r="GXT73" s="684"/>
      <c r="GXU73" s="684"/>
      <c r="GXV73" s="684"/>
      <c r="GXW73" s="684"/>
      <c r="GXX73" s="684"/>
      <c r="GXY73" s="684"/>
      <c r="GXZ73" s="684"/>
      <c r="GYA73" s="684"/>
      <c r="GYB73" s="684"/>
      <c r="GYC73" s="684"/>
      <c r="GYD73" s="684"/>
      <c r="GYE73" s="684"/>
      <c r="GYF73" s="684"/>
      <c r="GYG73" s="684"/>
      <c r="GYH73" s="684"/>
      <c r="GYI73" s="684"/>
      <c r="GYJ73" s="684"/>
      <c r="GYK73" s="684"/>
      <c r="GYL73" s="684"/>
      <c r="GYM73" s="684"/>
      <c r="GYN73" s="684"/>
      <c r="GYO73" s="684"/>
      <c r="GYP73" s="684"/>
      <c r="GYQ73" s="684"/>
      <c r="GYR73" s="684"/>
      <c r="GYS73" s="684"/>
      <c r="GYT73" s="684"/>
      <c r="GYU73" s="684"/>
      <c r="GYV73" s="684"/>
      <c r="GYW73" s="684"/>
      <c r="GYX73" s="684"/>
      <c r="GYY73" s="684"/>
      <c r="GYZ73" s="684"/>
      <c r="GZA73" s="684"/>
      <c r="GZB73" s="684"/>
      <c r="GZC73" s="684"/>
      <c r="GZD73" s="684"/>
      <c r="GZE73" s="684"/>
      <c r="GZF73" s="684"/>
      <c r="GZG73" s="684"/>
      <c r="GZH73" s="684"/>
      <c r="GZI73" s="684"/>
      <c r="GZJ73" s="684"/>
      <c r="GZK73" s="684"/>
      <c r="GZL73" s="684"/>
      <c r="GZM73" s="684"/>
      <c r="GZN73" s="684"/>
      <c r="GZO73" s="684"/>
      <c r="GZP73" s="684"/>
      <c r="GZQ73" s="684"/>
      <c r="GZR73" s="684"/>
      <c r="GZS73" s="684"/>
      <c r="GZT73" s="684"/>
      <c r="GZU73" s="684"/>
      <c r="GZV73" s="684"/>
      <c r="GZW73" s="684"/>
      <c r="GZX73" s="684"/>
      <c r="GZY73" s="684"/>
      <c r="GZZ73" s="684"/>
      <c r="HAA73" s="684"/>
      <c r="HAB73" s="684"/>
      <c r="HAC73" s="684"/>
      <c r="HAD73" s="684"/>
      <c r="HAE73" s="684"/>
      <c r="HAF73" s="684"/>
      <c r="HAG73" s="684"/>
      <c r="HAH73" s="684"/>
      <c r="HAI73" s="684"/>
      <c r="HAJ73" s="684"/>
      <c r="HAK73" s="684"/>
      <c r="HAL73" s="684"/>
      <c r="HAM73" s="684"/>
      <c r="HAN73" s="684"/>
      <c r="HAO73" s="684"/>
      <c r="HAP73" s="684"/>
      <c r="HAQ73" s="684"/>
      <c r="HAR73" s="684"/>
      <c r="HAS73" s="684"/>
      <c r="HAT73" s="684"/>
      <c r="HAU73" s="684"/>
      <c r="HAV73" s="684"/>
      <c r="HAW73" s="684"/>
      <c r="HAX73" s="684"/>
      <c r="HAY73" s="684"/>
      <c r="HAZ73" s="684"/>
      <c r="HBA73" s="684"/>
      <c r="HBB73" s="684"/>
      <c r="HBC73" s="684"/>
      <c r="HBD73" s="684"/>
      <c r="HBE73" s="684"/>
      <c r="HBF73" s="684"/>
      <c r="HBG73" s="684"/>
      <c r="HBH73" s="684"/>
      <c r="HBI73" s="684"/>
      <c r="HBJ73" s="684"/>
      <c r="HBK73" s="684"/>
      <c r="HBL73" s="684"/>
      <c r="HBM73" s="684"/>
      <c r="HBN73" s="684"/>
      <c r="HBO73" s="684"/>
      <c r="HBP73" s="684"/>
      <c r="HBQ73" s="684"/>
      <c r="HBR73" s="684"/>
      <c r="HBS73" s="684"/>
      <c r="HBT73" s="684"/>
      <c r="HBU73" s="684"/>
      <c r="HBV73" s="684"/>
      <c r="HBW73" s="684"/>
      <c r="HBX73" s="684"/>
      <c r="HBY73" s="684"/>
      <c r="HBZ73" s="684"/>
      <c r="HCA73" s="684"/>
      <c r="HCB73" s="684"/>
      <c r="HCC73" s="684"/>
      <c r="HCD73" s="684"/>
      <c r="HCE73" s="684"/>
      <c r="HCF73" s="684"/>
      <c r="HCG73" s="684"/>
      <c r="HCH73" s="684"/>
      <c r="HCI73" s="684"/>
      <c r="HCJ73" s="684"/>
      <c r="HCK73" s="684"/>
      <c r="HCL73" s="684"/>
      <c r="HCM73" s="684"/>
      <c r="HCN73" s="684"/>
      <c r="HCO73" s="684"/>
      <c r="HCP73" s="684"/>
      <c r="HCQ73" s="684"/>
      <c r="HCR73" s="684"/>
      <c r="HCS73" s="684"/>
      <c r="HCT73" s="684"/>
      <c r="HCU73" s="684"/>
      <c r="HCV73" s="684"/>
      <c r="HCW73" s="684"/>
      <c r="HCX73" s="684"/>
      <c r="HCY73" s="684"/>
      <c r="HCZ73" s="684"/>
      <c r="HDA73" s="684"/>
      <c r="HDB73" s="684"/>
      <c r="HDC73" s="684"/>
      <c r="HDD73" s="684"/>
      <c r="HDE73" s="684"/>
      <c r="HDF73" s="684"/>
      <c r="HDG73" s="684"/>
      <c r="HDH73" s="684"/>
      <c r="HDI73" s="684"/>
      <c r="HDJ73" s="684"/>
      <c r="HDK73" s="684"/>
      <c r="HDL73" s="684"/>
      <c r="HDM73" s="684"/>
      <c r="HDN73" s="684"/>
      <c r="HDO73" s="684"/>
      <c r="HDP73" s="684"/>
      <c r="HDQ73" s="684"/>
      <c r="HDR73" s="684"/>
      <c r="HDS73" s="684"/>
      <c r="HDT73" s="684"/>
      <c r="HDU73" s="684"/>
      <c r="HDV73" s="684"/>
      <c r="HDW73" s="684"/>
      <c r="HDX73" s="684"/>
      <c r="HDY73" s="684"/>
      <c r="HDZ73" s="684"/>
      <c r="HEA73" s="684"/>
      <c r="HEB73" s="684"/>
      <c r="HEC73" s="684"/>
      <c r="HED73" s="684"/>
      <c r="HEE73" s="684"/>
      <c r="HEF73" s="684"/>
      <c r="HEG73" s="684"/>
      <c r="HEH73" s="684"/>
      <c r="HEI73" s="684"/>
      <c r="HEJ73" s="684"/>
      <c r="HEK73" s="684"/>
      <c r="HEL73" s="684"/>
      <c r="HEM73" s="684"/>
      <c r="HEN73" s="684"/>
      <c r="HEO73" s="684"/>
      <c r="HEP73" s="684"/>
      <c r="HEQ73" s="684"/>
      <c r="HER73" s="684"/>
      <c r="HES73" s="684"/>
      <c r="HET73" s="684"/>
      <c r="HEU73" s="684"/>
      <c r="HEV73" s="684"/>
      <c r="HEW73" s="684"/>
      <c r="HEX73" s="684"/>
      <c r="HEY73" s="684"/>
      <c r="HEZ73" s="684"/>
      <c r="HFA73" s="684"/>
      <c r="HFB73" s="684"/>
      <c r="HFC73" s="684"/>
      <c r="HFD73" s="684"/>
      <c r="HFE73" s="684"/>
      <c r="HFF73" s="684"/>
      <c r="HFG73" s="684"/>
      <c r="HFH73" s="684"/>
      <c r="HFI73" s="684"/>
      <c r="HFJ73" s="684"/>
      <c r="HFK73" s="684"/>
      <c r="HFL73" s="684"/>
      <c r="HFM73" s="684"/>
      <c r="HFN73" s="684"/>
      <c r="HFO73" s="684"/>
      <c r="HFP73" s="684"/>
      <c r="HFQ73" s="684"/>
      <c r="HFR73" s="684"/>
      <c r="HFS73" s="684"/>
      <c r="HFT73" s="684"/>
      <c r="HFU73" s="684"/>
      <c r="HFV73" s="684"/>
      <c r="HFW73" s="684"/>
      <c r="HFX73" s="684"/>
      <c r="HFY73" s="684"/>
      <c r="HFZ73" s="684"/>
      <c r="HGA73" s="684"/>
      <c r="HGB73" s="684"/>
      <c r="HGC73" s="684"/>
      <c r="HGD73" s="684"/>
      <c r="HGE73" s="684"/>
      <c r="HGF73" s="684"/>
      <c r="HGG73" s="684"/>
      <c r="HGH73" s="684"/>
      <c r="HGI73" s="684"/>
      <c r="HGJ73" s="684"/>
      <c r="HGK73" s="684"/>
      <c r="HGL73" s="684"/>
      <c r="HGM73" s="684"/>
      <c r="HGN73" s="684"/>
      <c r="HGO73" s="684"/>
      <c r="HGP73" s="684"/>
      <c r="HGQ73" s="684"/>
      <c r="HGR73" s="684"/>
      <c r="HGS73" s="684"/>
      <c r="HGT73" s="684"/>
      <c r="HGU73" s="684"/>
      <c r="HGV73" s="684"/>
      <c r="HGW73" s="684"/>
      <c r="HGX73" s="684"/>
      <c r="HGY73" s="684"/>
      <c r="HGZ73" s="684"/>
      <c r="HHA73" s="684"/>
      <c r="HHB73" s="684"/>
      <c r="HHC73" s="684"/>
      <c r="HHD73" s="684"/>
      <c r="HHE73" s="684"/>
      <c r="HHF73" s="684"/>
      <c r="HHG73" s="684"/>
      <c r="HHH73" s="684"/>
      <c r="HHI73" s="684"/>
      <c r="HHJ73" s="684"/>
      <c r="HHK73" s="684"/>
      <c r="HHL73" s="684"/>
      <c r="HHM73" s="684"/>
      <c r="HHN73" s="684"/>
      <c r="HHO73" s="684"/>
      <c r="HHP73" s="684"/>
      <c r="HHQ73" s="684"/>
      <c r="HHR73" s="684"/>
      <c r="HHS73" s="684"/>
      <c r="HHT73" s="684"/>
      <c r="HHU73" s="684"/>
      <c r="HHV73" s="684"/>
      <c r="HHW73" s="684"/>
      <c r="HHX73" s="684"/>
      <c r="HHY73" s="684"/>
      <c r="HHZ73" s="684"/>
      <c r="HIA73" s="684"/>
      <c r="HIB73" s="684"/>
      <c r="HIC73" s="684"/>
      <c r="HID73" s="684"/>
      <c r="HIE73" s="684"/>
      <c r="HIF73" s="684"/>
      <c r="HIG73" s="684"/>
      <c r="HIH73" s="684"/>
      <c r="HII73" s="684"/>
      <c r="HIJ73" s="684"/>
      <c r="HIK73" s="684"/>
      <c r="HIL73" s="684"/>
      <c r="HIM73" s="684"/>
      <c r="HIN73" s="684"/>
      <c r="HIO73" s="684"/>
      <c r="HIP73" s="684"/>
      <c r="HIQ73" s="684"/>
      <c r="HIR73" s="684"/>
      <c r="HIS73" s="684"/>
      <c r="HIT73" s="684"/>
      <c r="HIU73" s="684"/>
      <c r="HIV73" s="684"/>
      <c r="HIW73" s="684"/>
      <c r="HIX73" s="684"/>
      <c r="HIY73" s="684"/>
      <c r="HIZ73" s="684"/>
      <c r="HJA73" s="684"/>
      <c r="HJB73" s="684"/>
      <c r="HJC73" s="684"/>
      <c r="HJD73" s="684"/>
      <c r="HJE73" s="684"/>
      <c r="HJF73" s="684"/>
      <c r="HJG73" s="684"/>
      <c r="HJH73" s="684"/>
      <c r="HJI73" s="684"/>
      <c r="HJJ73" s="684"/>
      <c r="HJK73" s="684"/>
      <c r="HJL73" s="684"/>
      <c r="HJM73" s="684"/>
      <c r="HJN73" s="684"/>
      <c r="HJO73" s="684"/>
      <c r="HJP73" s="684"/>
      <c r="HJQ73" s="684"/>
      <c r="HJR73" s="684"/>
      <c r="HJS73" s="684"/>
      <c r="HJT73" s="684"/>
      <c r="HJU73" s="684"/>
      <c r="HJV73" s="684"/>
      <c r="HJW73" s="684"/>
      <c r="HJX73" s="684"/>
      <c r="HJY73" s="684"/>
      <c r="HJZ73" s="684"/>
      <c r="HKA73" s="684"/>
      <c r="HKB73" s="684"/>
      <c r="HKC73" s="684"/>
      <c r="HKD73" s="684"/>
      <c r="HKE73" s="684"/>
      <c r="HKF73" s="684"/>
      <c r="HKG73" s="684"/>
      <c r="HKH73" s="684"/>
      <c r="HKI73" s="684"/>
      <c r="HKJ73" s="684"/>
      <c r="HKK73" s="684"/>
      <c r="HKL73" s="684"/>
      <c r="HKM73" s="684"/>
      <c r="HKN73" s="684"/>
      <c r="HKO73" s="684"/>
      <c r="HKP73" s="684"/>
      <c r="HKQ73" s="684"/>
      <c r="HKR73" s="684"/>
      <c r="HKS73" s="684"/>
      <c r="HKT73" s="684"/>
      <c r="HKU73" s="684"/>
      <c r="HKV73" s="684"/>
      <c r="HKW73" s="684"/>
      <c r="HKX73" s="684"/>
      <c r="HKY73" s="684"/>
      <c r="HKZ73" s="684"/>
      <c r="HLA73" s="684"/>
      <c r="HLB73" s="684"/>
      <c r="HLC73" s="684"/>
      <c r="HLD73" s="684"/>
      <c r="HLE73" s="684"/>
      <c r="HLF73" s="684"/>
      <c r="HLG73" s="684"/>
      <c r="HLH73" s="684"/>
      <c r="HLI73" s="684"/>
      <c r="HLJ73" s="684"/>
      <c r="HLK73" s="684"/>
      <c r="HLL73" s="684"/>
      <c r="HLM73" s="684"/>
      <c r="HLN73" s="684"/>
      <c r="HLO73" s="684"/>
      <c r="HLP73" s="684"/>
      <c r="HLQ73" s="684"/>
      <c r="HLR73" s="684"/>
      <c r="HLS73" s="684"/>
      <c r="HLT73" s="684"/>
      <c r="HLU73" s="684"/>
      <c r="HLV73" s="684"/>
      <c r="HLW73" s="684"/>
      <c r="HLX73" s="684"/>
      <c r="HLY73" s="684"/>
      <c r="HLZ73" s="684"/>
      <c r="HMA73" s="684"/>
      <c r="HMB73" s="684"/>
      <c r="HMC73" s="684"/>
      <c r="HMD73" s="684"/>
      <c r="HME73" s="684"/>
      <c r="HMF73" s="684"/>
      <c r="HMG73" s="684"/>
      <c r="HMH73" s="684"/>
      <c r="HMI73" s="684"/>
      <c r="HMJ73" s="684"/>
      <c r="HMK73" s="684"/>
      <c r="HML73" s="684"/>
      <c r="HMM73" s="684"/>
      <c r="HMN73" s="684"/>
      <c r="HMO73" s="684"/>
      <c r="HMP73" s="684"/>
      <c r="HMQ73" s="684"/>
      <c r="HMR73" s="684"/>
      <c r="HMS73" s="684"/>
      <c r="HMT73" s="684"/>
      <c r="HMU73" s="684"/>
      <c r="HMV73" s="684"/>
      <c r="HMW73" s="684"/>
      <c r="HMX73" s="684"/>
      <c r="HMY73" s="684"/>
      <c r="HMZ73" s="684"/>
      <c r="HNA73" s="684"/>
      <c r="HNB73" s="684"/>
      <c r="HNC73" s="684"/>
      <c r="HND73" s="684"/>
      <c r="HNE73" s="684"/>
      <c r="HNF73" s="684"/>
      <c r="HNG73" s="684"/>
      <c r="HNH73" s="684"/>
      <c r="HNI73" s="684"/>
      <c r="HNJ73" s="684"/>
      <c r="HNK73" s="684"/>
      <c r="HNL73" s="684"/>
      <c r="HNM73" s="684"/>
      <c r="HNN73" s="684"/>
      <c r="HNO73" s="684"/>
      <c r="HNP73" s="684"/>
      <c r="HNQ73" s="684"/>
      <c r="HNR73" s="684"/>
      <c r="HNS73" s="684"/>
      <c r="HNT73" s="684"/>
      <c r="HNU73" s="684"/>
      <c r="HNV73" s="684"/>
      <c r="HNW73" s="684"/>
      <c r="HNX73" s="684"/>
      <c r="HNY73" s="684"/>
      <c r="HNZ73" s="684"/>
      <c r="HOA73" s="684"/>
      <c r="HOB73" s="684"/>
      <c r="HOC73" s="684"/>
      <c r="HOD73" s="684"/>
      <c r="HOE73" s="684"/>
      <c r="HOF73" s="684"/>
      <c r="HOG73" s="684"/>
      <c r="HOH73" s="684"/>
      <c r="HOI73" s="684"/>
      <c r="HOJ73" s="684"/>
      <c r="HOK73" s="684"/>
      <c r="HOL73" s="684"/>
      <c r="HOM73" s="684"/>
      <c r="HON73" s="684"/>
      <c r="HOO73" s="684"/>
      <c r="HOP73" s="684"/>
      <c r="HOQ73" s="684"/>
      <c r="HOR73" s="684"/>
      <c r="HOS73" s="684"/>
      <c r="HOT73" s="684"/>
      <c r="HOU73" s="684"/>
      <c r="HOV73" s="684"/>
      <c r="HOW73" s="684"/>
      <c r="HOX73" s="684"/>
      <c r="HOY73" s="684"/>
      <c r="HOZ73" s="684"/>
      <c r="HPA73" s="684"/>
      <c r="HPB73" s="684"/>
      <c r="HPC73" s="684"/>
      <c r="HPD73" s="684"/>
      <c r="HPE73" s="684"/>
      <c r="HPF73" s="684"/>
      <c r="HPG73" s="684"/>
      <c r="HPH73" s="684"/>
      <c r="HPI73" s="684"/>
      <c r="HPJ73" s="684"/>
      <c r="HPK73" s="684"/>
      <c r="HPL73" s="684"/>
      <c r="HPM73" s="684"/>
      <c r="HPN73" s="684"/>
      <c r="HPO73" s="684"/>
      <c r="HPP73" s="684"/>
      <c r="HPQ73" s="684"/>
      <c r="HPR73" s="684"/>
      <c r="HPS73" s="684"/>
      <c r="HPT73" s="684"/>
      <c r="HPU73" s="684"/>
      <c r="HPV73" s="684"/>
      <c r="HPW73" s="684"/>
      <c r="HPX73" s="684"/>
      <c r="HPY73" s="684"/>
      <c r="HPZ73" s="684"/>
      <c r="HQA73" s="684"/>
      <c r="HQB73" s="684"/>
      <c r="HQC73" s="684"/>
      <c r="HQD73" s="684"/>
      <c r="HQE73" s="684"/>
      <c r="HQF73" s="684"/>
      <c r="HQG73" s="684"/>
      <c r="HQH73" s="684"/>
      <c r="HQI73" s="684"/>
      <c r="HQJ73" s="684"/>
      <c r="HQK73" s="684"/>
      <c r="HQL73" s="684"/>
      <c r="HQM73" s="684"/>
      <c r="HQN73" s="684"/>
      <c r="HQO73" s="684"/>
      <c r="HQP73" s="684"/>
      <c r="HQQ73" s="684"/>
      <c r="HQR73" s="684"/>
      <c r="HQS73" s="684"/>
      <c r="HQT73" s="684"/>
      <c r="HQU73" s="684"/>
      <c r="HQV73" s="684"/>
      <c r="HQW73" s="684"/>
      <c r="HQX73" s="684"/>
      <c r="HQY73" s="684"/>
      <c r="HQZ73" s="684"/>
      <c r="HRA73" s="684"/>
      <c r="HRB73" s="684"/>
      <c r="HRC73" s="684"/>
      <c r="HRD73" s="684"/>
      <c r="HRE73" s="684"/>
      <c r="HRF73" s="684"/>
      <c r="HRG73" s="684"/>
      <c r="HRH73" s="684"/>
      <c r="HRI73" s="684"/>
      <c r="HRJ73" s="684"/>
      <c r="HRK73" s="684"/>
      <c r="HRL73" s="684"/>
      <c r="HRM73" s="684"/>
      <c r="HRN73" s="684"/>
      <c r="HRO73" s="684"/>
      <c r="HRP73" s="684"/>
      <c r="HRQ73" s="684"/>
      <c r="HRR73" s="684"/>
      <c r="HRS73" s="684"/>
      <c r="HRT73" s="684"/>
      <c r="HRU73" s="684"/>
      <c r="HRV73" s="684"/>
      <c r="HRW73" s="684"/>
      <c r="HRX73" s="684"/>
      <c r="HRY73" s="684"/>
      <c r="HRZ73" s="684"/>
      <c r="HSA73" s="684"/>
      <c r="HSB73" s="684"/>
      <c r="HSC73" s="684"/>
      <c r="HSD73" s="684"/>
      <c r="HSE73" s="684"/>
      <c r="HSF73" s="684"/>
      <c r="HSG73" s="684"/>
      <c r="HSH73" s="684"/>
      <c r="HSI73" s="684"/>
      <c r="HSJ73" s="684"/>
      <c r="HSK73" s="684"/>
      <c r="HSL73" s="684"/>
      <c r="HSM73" s="684"/>
      <c r="HSN73" s="684"/>
      <c r="HSO73" s="684"/>
      <c r="HSP73" s="684"/>
      <c r="HSQ73" s="684"/>
      <c r="HSR73" s="684"/>
      <c r="HSS73" s="684"/>
      <c r="HST73" s="684"/>
      <c r="HSU73" s="684"/>
      <c r="HSV73" s="684"/>
      <c r="HSW73" s="684"/>
      <c r="HSX73" s="684"/>
      <c r="HSY73" s="684"/>
      <c r="HSZ73" s="684"/>
      <c r="HTA73" s="684"/>
      <c r="HTB73" s="684"/>
      <c r="HTC73" s="684"/>
      <c r="HTD73" s="684"/>
      <c r="HTE73" s="684"/>
      <c r="HTF73" s="684"/>
      <c r="HTG73" s="684"/>
      <c r="HTH73" s="684"/>
      <c r="HTI73" s="684"/>
      <c r="HTJ73" s="684"/>
      <c r="HTK73" s="684"/>
      <c r="HTL73" s="684"/>
      <c r="HTM73" s="684"/>
      <c r="HTN73" s="684"/>
      <c r="HTO73" s="684"/>
      <c r="HTP73" s="684"/>
      <c r="HTQ73" s="684"/>
      <c r="HTR73" s="684"/>
      <c r="HTS73" s="684"/>
      <c r="HTT73" s="684"/>
      <c r="HTU73" s="684"/>
      <c r="HTV73" s="684"/>
      <c r="HTW73" s="684"/>
      <c r="HTX73" s="684"/>
      <c r="HTY73" s="684"/>
      <c r="HTZ73" s="684"/>
      <c r="HUA73" s="684"/>
      <c r="HUB73" s="684"/>
      <c r="HUC73" s="684"/>
      <c r="HUD73" s="684"/>
      <c r="HUE73" s="684"/>
      <c r="HUF73" s="684"/>
      <c r="HUG73" s="684"/>
      <c r="HUH73" s="684"/>
      <c r="HUI73" s="684"/>
      <c r="HUJ73" s="684"/>
      <c r="HUK73" s="684"/>
      <c r="HUL73" s="684"/>
      <c r="HUM73" s="684"/>
      <c r="HUN73" s="684"/>
      <c r="HUO73" s="684"/>
      <c r="HUP73" s="684"/>
      <c r="HUQ73" s="684"/>
      <c r="HUR73" s="684"/>
      <c r="HUS73" s="684"/>
      <c r="HUT73" s="684"/>
      <c r="HUU73" s="684"/>
      <c r="HUV73" s="684"/>
      <c r="HUW73" s="684"/>
      <c r="HUX73" s="684"/>
      <c r="HUY73" s="684"/>
      <c r="HUZ73" s="684"/>
      <c r="HVA73" s="684"/>
      <c r="HVB73" s="684"/>
      <c r="HVC73" s="684"/>
      <c r="HVD73" s="684"/>
      <c r="HVE73" s="684"/>
      <c r="HVF73" s="684"/>
      <c r="HVG73" s="684"/>
      <c r="HVH73" s="684"/>
      <c r="HVI73" s="684"/>
      <c r="HVJ73" s="684"/>
      <c r="HVK73" s="684"/>
      <c r="HVL73" s="684"/>
      <c r="HVM73" s="684"/>
      <c r="HVN73" s="684"/>
      <c r="HVO73" s="684"/>
      <c r="HVP73" s="684"/>
      <c r="HVQ73" s="684"/>
      <c r="HVR73" s="684"/>
      <c r="HVS73" s="684"/>
      <c r="HVT73" s="684"/>
      <c r="HVU73" s="684"/>
      <c r="HVV73" s="684"/>
      <c r="HVW73" s="684"/>
      <c r="HVX73" s="684"/>
      <c r="HVY73" s="684"/>
      <c r="HVZ73" s="684"/>
      <c r="HWA73" s="684"/>
      <c r="HWB73" s="684"/>
      <c r="HWC73" s="684"/>
      <c r="HWD73" s="684"/>
      <c r="HWE73" s="684"/>
      <c r="HWF73" s="684"/>
      <c r="HWG73" s="684"/>
      <c r="HWH73" s="684"/>
      <c r="HWI73" s="684"/>
      <c r="HWJ73" s="684"/>
      <c r="HWK73" s="684"/>
      <c r="HWL73" s="684"/>
      <c r="HWM73" s="684"/>
      <c r="HWN73" s="684"/>
      <c r="HWO73" s="684"/>
      <c r="HWP73" s="684"/>
      <c r="HWQ73" s="684"/>
      <c r="HWR73" s="684"/>
      <c r="HWS73" s="684"/>
      <c r="HWT73" s="684"/>
      <c r="HWU73" s="684"/>
      <c r="HWV73" s="684"/>
      <c r="HWW73" s="684"/>
      <c r="HWX73" s="684"/>
      <c r="HWY73" s="684"/>
      <c r="HWZ73" s="684"/>
      <c r="HXA73" s="684"/>
      <c r="HXB73" s="684"/>
      <c r="HXC73" s="684"/>
      <c r="HXD73" s="684"/>
      <c r="HXE73" s="684"/>
      <c r="HXF73" s="684"/>
      <c r="HXG73" s="684"/>
      <c r="HXH73" s="684"/>
      <c r="HXI73" s="684"/>
      <c r="HXJ73" s="684"/>
      <c r="HXK73" s="684"/>
      <c r="HXL73" s="684"/>
      <c r="HXM73" s="684"/>
      <c r="HXN73" s="684"/>
      <c r="HXO73" s="684"/>
      <c r="HXP73" s="684"/>
      <c r="HXQ73" s="684"/>
      <c r="HXR73" s="684"/>
      <c r="HXS73" s="684"/>
      <c r="HXT73" s="684"/>
      <c r="HXU73" s="684"/>
      <c r="HXV73" s="684"/>
      <c r="HXW73" s="684"/>
      <c r="HXX73" s="684"/>
      <c r="HXY73" s="684"/>
      <c r="HXZ73" s="684"/>
      <c r="HYA73" s="684"/>
      <c r="HYB73" s="684"/>
      <c r="HYC73" s="684"/>
      <c r="HYD73" s="684"/>
      <c r="HYE73" s="684"/>
      <c r="HYF73" s="684"/>
      <c r="HYG73" s="684"/>
      <c r="HYH73" s="684"/>
      <c r="HYI73" s="684"/>
      <c r="HYJ73" s="684"/>
      <c r="HYK73" s="684"/>
      <c r="HYL73" s="684"/>
      <c r="HYM73" s="684"/>
      <c r="HYN73" s="684"/>
      <c r="HYO73" s="684"/>
      <c r="HYP73" s="684"/>
      <c r="HYQ73" s="684"/>
      <c r="HYR73" s="684"/>
      <c r="HYS73" s="684"/>
      <c r="HYT73" s="684"/>
      <c r="HYU73" s="684"/>
      <c r="HYV73" s="684"/>
      <c r="HYW73" s="684"/>
      <c r="HYX73" s="684"/>
      <c r="HYY73" s="684"/>
      <c r="HYZ73" s="684"/>
      <c r="HZA73" s="684"/>
      <c r="HZB73" s="684"/>
      <c r="HZC73" s="684"/>
      <c r="HZD73" s="684"/>
      <c r="HZE73" s="684"/>
      <c r="HZF73" s="684"/>
      <c r="HZG73" s="684"/>
      <c r="HZH73" s="684"/>
      <c r="HZI73" s="684"/>
      <c r="HZJ73" s="684"/>
      <c r="HZK73" s="684"/>
      <c r="HZL73" s="684"/>
      <c r="HZM73" s="684"/>
      <c r="HZN73" s="684"/>
      <c r="HZO73" s="684"/>
      <c r="HZP73" s="684"/>
      <c r="HZQ73" s="684"/>
      <c r="HZR73" s="684"/>
      <c r="HZS73" s="684"/>
      <c r="HZT73" s="684"/>
      <c r="HZU73" s="684"/>
      <c r="HZV73" s="684"/>
      <c r="HZW73" s="684"/>
      <c r="HZX73" s="684"/>
      <c r="HZY73" s="684"/>
      <c r="HZZ73" s="684"/>
      <c r="IAA73" s="684"/>
      <c r="IAB73" s="684"/>
      <c r="IAC73" s="684"/>
      <c r="IAD73" s="684"/>
      <c r="IAE73" s="684"/>
      <c r="IAF73" s="684"/>
      <c r="IAG73" s="684"/>
      <c r="IAH73" s="684"/>
      <c r="IAI73" s="684"/>
      <c r="IAJ73" s="684"/>
      <c r="IAK73" s="684"/>
      <c r="IAL73" s="684"/>
      <c r="IAM73" s="684"/>
      <c r="IAN73" s="684"/>
      <c r="IAO73" s="684"/>
      <c r="IAP73" s="684"/>
      <c r="IAQ73" s="684"/>
      <c r="IAR73" s="684"/>
      <c r="IAS73" s="684"/>
      <c r="IAT73" s="684"/>
      <c r="IAU73" s="684"/>
      <c r="IAV73" s="684"/>
      <c r="IAW73" s="684"/>
      <c r="IAX73" s="684"/>
      <c r="IAY73" s="684"/>
      <c r="IAZ73" s="684"/>
      <c r="IBA73" s="684"/>
      <c r="IBB73" s="684"/>
      <c r="IBC73" s="684"/>
      <c r="IBD73" s="684"/>
      <c r="IBE73" s="684"/>
      <c r="IBF73" s="684"/>
      <c r="IBG73" s="684"/>
      <c r="IBH73" s="684"/>
      <c r="IBI73" s="684"/>
      <c r="IBJ73" s="684"/>
      <c r="IBK73" s="684"/>
      <c r="IBL73" s="684"/>
      <c r="IBM73" s="684"/>
      <c r="IBN73" s="684"/>
      <c r="IBO73" s="684"/>
      <c r="IBP73" s="684"/>
      <c r="IBQ73" s="684"/>
      <c r="IBR73" s="684"/>
      <c r="IBS73" s="684"/>
      <c r="IBT73" s="684"/>
      <c r="IBU73" s="684"/>
      <c r="IBV73" s="684"/>
      <c r="IBW73" s="684"/>
      <c r="IBX73" s="684"/>
      <c r="IBY73" s="684"/>
      <c r="IBZ73" s="684"/>
      <c r="ICA73" s="684"/>
      <c r="ICB73" s="684"/>
      <c r="ICC73" s="684"/>
      <c r="ICD73" s="684"/>
      <c r="ICE73" s="684"/>
      <c r="ICF73" s="684"/>
      <c r="ICG73" s="684"/>
      <c r="ICH73" s="684"/>
      <c r="ICI73" s="684"/>
      <c r="ICJ73" s="684"/>
      <c r="ICK73" s="684"/>
      <c r="ICL73" s="684"/>
      <c r="ICM73" s="684"/>
      <c r="ICN73" s="684"/>
      <c r="ICO73" s="684"/>
      <c r="ICP73" s="684"/>
      <c r="ICQ73" s="684"/>
      <c r="ICR73" s="684"/>
      <c r="ICS73" s="684"/>
      <c r="ICT73" s="684"/>
      <c r="ICU73" s="684"/>
      <c r="ICV73" s="684"/>
      <c r="ICW73" s="684"/>
      <c r="ICX73" s="684"/>
      <c r="ICY73" s="684"/>
      <c r="ICZ73" s="684"/>
      <c r="IDA73" s="684"/>
      <c r="IDB73" s="684"/>
      <c r="IDC73" s="684"/>
      <c r="IDD73" s="684"/>
      <c r="IDE73" s="684"/>
      <c r="IDF73" s="684"/>
      <c r="IDG73" s="684"/>
      <c r="IDH73" s="684"/>
      <c r="IDI73" s="684"/>
      <c r="IDJ73" s="684"/>
      <c r="IDK73" s="684"/>
      <c r="IDL73" s="684"/>
      <c r="IDM73" s="684"/>
      <c r="IDN73" s="684"/>
      <c r="IDO73" s="684"/>
      <c r="IDP73" s="684"/>
      <c r="IDQ73" s="684"/>
      <c r="IDR73" s="684"/>
      <c r="IDS73" s="684"/>
      <c r="IDT73" s="684"/>
      <c r="IDU73" s="684"/>
      <c r="IDV73" s="684"/>
      <c r="IDW73" s="684"/>
      <c r="IDX73" s="684"/>
      <c r="IDY73" s="684"/>
      <c r="IDZ73" s="684"/>
      <c r="IEA73" s="684"/>
      <c r="IEB73" s="684"/>
      <c r="IEC73" s="684"/>
      <c r="IED73" s="684"/>
      <c r="IEE73" s="684"/>
      <c r="IEF73" s="684"/>
      <c r="IEG73" s="684"/>
      <c r="IEH73" s="684"/>
      <c r="IEI73" s="684"/>
      <c r="IEJ73" s="684"/>
      <c r="IEK73" s="684"/>
      <c r="IEL73" s="684"/>
      <c r="IEM73" s="684"/>
      <c r="IEN73" s="684"/>
      <c r="IEO73" s="684"/>
      <c r="IEP73" s="684"/>
      <c r="IEQ73" s="684"/>
      <c r="IER73" s="684"/>
      <c r="IES73" s="684"/>
      <c r="IET73" s="684"/>
      <c r="IEU73" s="684"/>
      <c r="IEV73" s="684"/>
      <c r="IEW73" s="684"/>
      <c r="IEX73" s="684"/>
      <c r="IEY73" s="684"/>
      <c r="IEZ73" s="684"/>
      <c r="IFA73" s="684"/>
      <c r="IFB73" s="684"/>
      <c r="IFC73" s="684"/>
      <c r="IFD73" s="684"/>
      <c r="IFE73" s="684"/>
      <c r="IFF73" s="684"/>
      <c r="IFG73" s="684"/>
      <c r="IFH73" s="684"/>
      <c r="IFI73" s="684"/>
      <c r="IFJ73" s="684"/>
      <c r="IFK73" s="684"/>
      <c r="IFL73" s="684"/>
      <c r="IFM73" s="684"/>
      <c r="IFN73" s="684"/>
      <c r="IFO73" s="684"/>
      <c r="IFP73" s="684"/>
      <c r="IFQ73" s="684"/>
      <c r="IFR73" s="684"/>
      <c r="IFS73" s="684"/>
      <c r="IFT73" s="684"/>
      <c r="IFU73" s="684"/>
      <c r="IFV73" s="684"/>
      <c r="IFW73" s="684"/>
      <c r="IFX73" s="684"/>
      <c r="IFY73" s="684"/>
      <c r="IFZ73" s="684"/>
      <c r="IGA73" s="684"/>
      <c r="IGB73" s="684"/>
      <c r="IGC73" s="684"/>
      <c r="IGD73" s="684"/>
      <c r="IGE73" s="684"/>
      <c r="IGF73" s="684"/>
      <c r="IGG73" s="684"/>
      <c r="IGH73" s="684"/>
      <c r="IGI73" s="684"/>
      <c r="IGJ73" s="684"/>
      <c r="IGK73" s="684"/>
      <c r="IGL73" s="684"/>
      <c r="IGM73" s="684"/>
      <c r="IGN73" s="684"/>
      <c r="IGO73" s="684"/>
      <c r="IGP73" s="684"/>
      <c r="IGQ73" s="684"/>
      <c r="IGR73" s="684"/>
      <c r="IGS73" s="684"/>
      <c r="IGT73" s="684"/>
      <c r="IGU73" s="684"/>
      <c r="IGV73" s="684"/>
      <c r="IGW73" s="684"/>
      <c r="IGX73" s="684"/>
      <c r="IGY73" s="684"/>
      <c r="IGZ73" s="684"/>
      <c r="IHA73" s="684"/>
      <c r="IHB73" s="684"/>
      <c r="IHC73" s="684"/>
      <c r="IHD73" s="684"/>
      <c r="IHE73" s="684"/>
      <c r="IHF73" s="684"/>
      <c r="IHG73" s="684"/>
      <c r="IHH73" s="684"/>
      <c r="IHI73" s="684"/>
      <c r="IHJ73" s="684"/>
      <c r="IHK73" s="684"/>
      <c r="IHL73" s="684"/>
      <c r="IHM73" s="684"/>
      <c r="IHN73" s="684"/>
      <c r="IHO73" s="684"/>
      <c r="IHP73" s="684"/>
      <c r="IHQ73" s="684"/>
      <c r="IHR73" s="684"/>
      <c r="IHS73" s="684"/>
      <c r="IHT73" s="684"/>
      <c r="IHU73" s="684"/>
      <c r="IHV73" s="684"/>
      <c r="IHW73" s="684"/>
      <c r="IHX73" s="684"/>
      <c r="IHY73" s="684"/>
      <c r="IHZ73" s="684"/>
      <c r="IIA73" s="684"/>
      <c r="IIB73" s="684"/>
      <c r="IIC73" s="684"/>
      <c r="IID73" s="684"/>
      <c r="IIE73" s="684"/>
      <c r="IIF73" s="684"/>
      <c r="IIG73" s="684"/>
      <c r="IIH73" s="684"/>
      <c r="III73" s="684"/>
      <c r="IIJ73" s="684"/>
      <c r="IIK73" s="684"/>
      <c r="IIL73" s="684"/>
      <c r="IIM73" s="684"/>
      <c r="IIN73" s="684"/>
      <c r="IIO73" s="684"/>
      <c r="IIP73" s="684"/>
      <c r="IIQ73" s="684"/>
      <c r="IIR73" s="684"/>
      <c r="IIS73" s="684"/>
      <c r="IIT73" s="684"/>
      <c r="IIU73" s="684"/>
      <c r="IIV73" s="684"/>
      <c r="IIW73" s="684"/>
      <c r="IIX73" s="684"/>
      <c r="IIY73" s="684"/>
      <c r="IIZ73" s="684"/>
      <c r="IJA73" s="684"/>
      <c r="IJB73" s="684"/>
      <c r="IJC73" s="684"/>
      <c r="IJD73" s="684"/>
      <c r="IJE73" s="684"/>
      <c r="IJF73" s="684"/>
      <c r="IJG73" s="684"/>
      <c r="IJH73" s="684"/>
      <c r="IJI73" s="684"/>
      <c r="IJJ73" s="684"/>
      <c r="IJK73" s="684"/>
      <c r="IJL73" s="684"/>
      <c r="IJM73" s="684"/>
      <c r="IJN73" s="684"/>
      <c r="IJO73" s="684"/>
      <c r="IJP73" s="684"/>
      <c r="IJQ73" s="684"/>
      <c r="IJR73" s="684"/>
      <c r="IJS73" s="684"/>
      <c r="IJT73" s="684"/>
      <c r="IJU73" s="684"/>
      <c r="IJV73" s="684"/>
      <c r="IJW73" s="684"/>
      <c r="IJX73" s="684"/>
      <c r="IJY73" s="684"/>
      <c r="IJZ73" s="684"/>
      <c r="IKA73" s="684"/>
      <c r="IKB73" s="684"/>
      <c r="IKC73" s="684"/>
      <c r="IKD73" s="684"/>
      <c r="IKE73" s="684"/>
      <c r="IKF73" s="684"/>
      <c r="IKG73" s="684"/>
      <c r="IKH73" s="684"/>
      <c r="IKI73" s="684"/>
      <c r="IKJ73" s="684"/>
      <c r="IKK73" s="684"/>
      <c r="IKL73" s="684"/>
      <c r="IKM73" s="684"/>
      <c r="IKN73" s="684"/>
      <c r="IKO73" s="684"/>
      <c r="IKP73" s="684"/>
      <c r="IKQ73" s="684"/>
      <c r="IKR73" s="684"/>
      <c r="IKS73" s="684"/>
      <c r="IKT73" s="684"/>
      <c r="IKU73" s="684"/>
      <c r="IKV73" s="684"/>
      <c r="IKW73" s="684"/>
      <c r="IKX73" s="684"/>
      <c r="IKY73" s="684"/>
      <c r="IKZ73" s="684"/>
      <c r="ILA73" s="684"/>
      <c r="ILB73" s="684"/>
      <c r="ILC73" s="684"/>
      <c r="ILD73" s="684"/>
      <c r="ILE73" s="684"/>
      <c r="ILF73" s="684"/>
      <c r="ILG73" s="684"/>
      <c r="ILH73" s="684"/>
      <c r="ILI73" s="684"/>
      <c r="ILJ73" s="684"/>
      <c r="ILK73" s="684"/>
      <c r="ILL73" s="684"/>
      <c r="ILM73" s="684"/>
      <c r="ILN73" s="684"/>
      <c r="ILO73" s="684"/>
      <c r="ILP73" s="684"/>
      <c r="ILQ73" s="684"/>
      <c r="ILR73" s="684"/>
      <c r="ILS73" s="684"/>
      <c r="ILT73" s="684"/>
      <c r="ILU73" s="684"/>
      <c r="ILV73" s="684"/>
      <c r="ILW73" s="684"/>
      <c r="ILX73" s="684"/>
      <c r="ILY73" s="684"/>
      <c r="ILZ73" s="684"/>
      <c r="IMA73" s="684"/>
      <c r="IMB73" s="684"/>
      <c r="IMC73" s="684"/>
      <c r="IMD73" s="684"/>
      <c r="IME73" s="684"/>
      <c r="IMF73" s="684"/>
      <c r="IMG73" s="684"/>
      <c r="IMH73" s="684"/>
      <c r="IMI73" s="684"/>
      <c r="IMJ73" s="684"/>
      <c r="IMK73" s="684"/>
      <c r="IML73" s="684"/>
      <c r="IMM73" s="684"/>
      <c r="IMN73" s="684"/>
      <c r="IMO73" s="684"/>
      <c r="IMP73" s="684"/>
      <c r="IMQ73" s="684"/>
      <c r="IMR73" s="684"/>
      <c r="IMS73" s="684"/>
      <c r="IMT73" s="684"/>
      <c r="IMU73" s="684"/>
      <c r="IMV73" s="684"/>
      <c r="IMW73" s="684"/>
      <c r="IMX73" s="684"/>
      <c r="IMY73" s="684"/>
      <c r="IMZ73" s="684"/>
      <c r="INA73" s="684"/>
      <c r="INB73" s="684"/>
      <c r="INC73" s="684"/>
      <c r="IND73" s="684"/>
      <c r="INE73" s="684"/>
      <c r="INF73" s="684"/>
      <c r="ING73" s="684"/>
      <c r="INH73" s="684"/>
      <c r="INI73" s="684"/>
      <c r="INJ73" s="684"/>
      <c r="INK73" s="684"/>
      <c r="INL73" s="684"/>
      <c r="INM73" s="684"/>
      <c r="INN73" s="684"/>
      <c r="INO73" s="684"/>
      <c r="INP73" s="684"/>
      <c r="INQ73" s="684"/>
      <c r="INR73" s="684"/>
      <c r="INS73" s="684"/>
      <c r="INT73" s="684"/>
      <c r="INU73" s="684"/>
      <c r="INV73" s="684"/>
      <c r="INW73" s="684"/>
      <c r="INX73" s="684"/>
      <c r="INY73" s="684"/>
      <c r="INZ73" s="684"/>
      <c r="IOA73" s="684"/>
      <c r="IOB73" s="684"/>
      <c r="IOC73" s="684"/>
      <c r="IOD73" s="684"/>
      <c r="IOE73" s="684"/>
      <c r="IOF73" s="684"/>
      <c r="IOG73" s="684"/>
      <c r="IOH73" s="684"/>
      <c r="IOI73" s="684"/>
      <c r="IOJ73" s="684"/>
      <c r="IOK73" s="684"/>
      <c r="IOL73" s="684"/>
      <c r="IOM73" s="684"/>
      <c r="ION73" s="684"/>
      <c r="IOO73" s="684"/>
      <c r="IOP73" s="684"/>
      <c r="IOQ73" s="684"/>
      <c r="IOR73" s="684"/>
      <c r="IOS73" s="684"/>
      <c r="IOT73" s="684"/>
      <c r="IOU73" s="684"/>
      <c r="IOV73" s="684"/>
      <c r="IOW73" s="684"/>
      <c r="IOX73" s="684"/>
      <c r="IOY73" s="684"/>
      <c r="IOZ73" s="684"/>
      <c r="IPA73" s="684"/>
      <c r="IPB73" s="684"/>
      <c r="IPC73" s="684"/>
      <c r="IPD73" s="684"/>
      <c r="IPE73" s="684"/>
      <c r="IPF73" s="684"/>
      <c r="IPG73" s="684"/>
      <c r="IPH73" s="684"/>
      <c r="IPI73" s="684"/>
      <c r="IPJ73" s="684"/>
      <c r="IPK73" s="684"/>
      <c r="IPL73" s="684"/>
      <c r="IPM73" s="684"/>
      <c r="IPN73" s="684"/>
      <c r="IPO73" s="684"/>
      <c r="IPP73" s="684"/>
      <c r="IPQ73" s="684"/>
      <c r="IPR73" s="684"/>
      <c r="IPS73" s="684"/>
      <c r="IPT73" s="684"/>
      <c r="IPU73" s="684"/>
      <c r="IPV73" s="684"/>
      <c r="IPW73" s="684"/>
      <c r="IPX73" s="684"/>
      <c r="IPY73" s="684"/>
      <c r="IPZ73" s="684"/>
      <c r="IQA73" s="684"/>
      <c r="IQB73" s="684"/>
      <c r="IQC73" s="684"/>
      <c r="IQD73" s="684"/>
      <c r="IQE73" s="684"/>
      <c r="IQF73" s="684"/>
      <c r="IQG73" s="684"/>
      <c r="IQH73" s="684"/>
      <c r="IQI73" s="684"/>
      <c r="IQJ73" s="684"/>
      <c r="IQK73" s="684"/>
      <c r="IQL73" s="684"/>
      <c r="IQM73" s="684"/>
      <c r="IQN73" s="684"/>
      <c r="IQO73" s="684"/>
      <c r="IQP73" s="684"/>
      <c r="IQQ73" s="684"/>
      <c r="IQR73" s="684"/>
      <c r="IQS73" s="684"/>
      <c r="IQT73" s="684"/>
      <c r="IQU73" s="684"/>
      <c r="IQV73" s="684"/>
      <c r="IQW73" s="684"/>
      <c r="IQX73" s="684"/>
      <c r="IQY73" s="684"/>
      <c r="IQZ73" s="684"/>
      <c r="IRA73" s="684"/>
      <c r="IRB73" s="684"/>
      <c r="IRC73" s="684"/>
      <c r="IRD73" s="684"/>
      <c r="IRE73" s="684"/>
      <c r="IRF73" s="684"/>
      <c r="IRG73" s="684"/>
      <c r="IRH73" s="684"/>
      <c r="IRI73" s="684"/>
      <c r="IRJ73" s="684"/>
      <c r="IRK73" s="684"/>
      <c r="IRL73" s="684"/>
      <c r="IRM73" s="684"/>
      <c r="IRN73" s="684"/>
      <c r="IRO73" s="684"/>
      <c r="IRP73" s="684"/>
      <c r="IRQ73" s="684"/>
      <c r="IRR73" s="684"/>
      <c r="IRS73" s="684"/>
      <c r="IRT73" s="684"/>
      <c r="IRU73" s="684"/>
      <c r="IRV73" s="684"/>
      <c r="IRW73" s="684"/>
      <c r="IRX73" s="684"/>
      <c r="IRY73" s="684"/>
      <c r="IRZ73" s="684"/>
      <c r="ISA73" s="684"/>
      <c r="ISB73" s="684"/>
      <c r="ISC73" s="684"/>
      <c r="ISD73" s="684"/>
      <c r="ISE73" s="684"/>
      <c r="ISF73" s="684"/>
      <c r="ISG73" s="684"/>
      <c r="ISH73" s="684"/>
      <c r="ISI73" s="684"/>
      <c r="ISJ73" s="684"/>
      <c r="ISK73" s="684"/>
      <c r="ISL73" s="684"/>
      <c r="ISM73" s="684"/>
      <c r="ISN73" s="684"/>
      <c r="ISO73" s="684"/>
      <c r="ISP73" s="684"/>
      <c r="ISQ73" s="684"/>
      <c r="ISR73" s="684"/>
      <c r="ISS73" s="684"/>
      <c r="IST73" s="684"/>
      <c r="ISU73" s="684"/>
      <c r="ISV73" s="684"/>
      <c r="ISW73" s="684"/>
      <c r="ISX73" s="684"/>
      <c r="ISY73" s="684"/>
      <c r="ISZ73" s="684"/>
      <c r="ITA73" s="684"/>
      <c r="ITB73" s="684"/>
      <c r="ITC73" s="684"/>
      <c r="ITD73" s="684"/>
      <c r="ITE73" s="684"/>
      <c r="ITF73" s="684"/>
      <c r="ITG73" s="684"/>
      <c r="ITH73" s="684"/>
      <c r="ITI73" s="684"/>
      <c r="ITJ73" s="684"/>
      <c r="ITK73" s="684"/>
      <c r="ITL73" s="684"/>
      <c r="ITM73" s="684"/>
      <c r="ITN73" s="684"/>
      <c r="ITO73" s="684"/>
      <c r="ITP73" s="684"/>
      <c r="ITQ73" s="684"/>
      <c r="ITR73" s="684"/>
      <c r="ITS73" s="684"/>
      <c r="ITT73" s="684"/>
      <c r="ITU73" s="684"/>
      <c r="ITV73" s="684"/>
      <c r="ITW73" s="684"/>
      <c r="ITX73" s="684"/>
      <c r="ITY73" s="684"/>
      <c r="ITZ73" s="684"/>
      <c r="IUA73" s="684"/>
      <c r="IUB73" s="684"/>
      <c r="IUC73" s="684"/>
      <c r="IUD73" s="684"/>
      <c r="IUE73" s="684"/>
      <c r="IUF73" s="684"/>
      <c r="IUG73" s="684"/>
      <c r="IUH73" s="684"/>
      <c r="IUI73" s="684"/>
      <c r="IUJ73" s="684"/>
      <c r="IUK73" s="684"/>
      <c r="IUL73" s="684"/>
      <c r="IUM73" s="684"/>
      <c r="IUN73" s="684"/>
      <c r="IUO73" s="684"/>
      <c r="IUP73" s="684"/>
      <c r="IUQ73" s="684"/>
      <c r="IUR73" s="684"/>
      <c r="IUS73" s="684"/>
      <c r="IUT73" s="684"/>
      <c r="IUU73" s="684"/>
      <c r="IUV73" s="684"/>
      <c r="IUW73" s="684"/>
      <c r="IUX73" s="684"/>
      <c r="IUY73" s="684"/>
      <c r="IUZ73" s="684"/>
      <c r="IVA73" s="684"/>
      <c r="IVB73" s="684"/>
      <c r="IVC73" s="684"/>
      <c r="IVD73" s="684"/>
      <c r="IVE73" s="684"/>
      <c r="IVF73" s="684"/>
      <c r="IVG73" s="684"/>
      <c r="IVH73" s="684"/>
      <c r="IVI73" s="684"/>
      <c r="IVJ73" s="684"/>
      <c r="IVK73" s="684"/>
      <c r="IVL73" s="684"/>
      <c r="IVM73" s="684"/>
      <c r="IVN73" s="684"/>
      <c r="IVO73" s="684"/>
      <c r="IVP73" s="684"/>
      <c r="IVQ73" s="684"/>
      <c r="IVR73" s="684"/>
      <c r="IVS73" s="684"/>
      <c r="IVT73" s="684"/>
      <c r="IVU73" s="684"/>
      <c r="IVV73" s="684"/>
      <c r="IVW73" s="684"/>
      <c r="IVX73" s="684"/>
      <c r="IVY73" s="684"/>
      <c r="IVZ73" s="684"/>
      <c r="IWA73" s="684"/>
      <c r="IWB73" s="684"/>
      <c r="IWC73" s="684"/>
      <c r="IWD73" s="684"/>
      <c r="IWE73" s="684"/>
      <c r="IWF73" s="684"/>
      <c r="IWG73" s="684"/>
      <c r="IWH73" s="684"/>
      <c r="IWI73" s="684"/>
      <c r="IWJ73" s="684"/>
      <c r="IWK73" s="684"/>
      <c r="IWL73" s="684"/>
      <c r="IWM73" s="684"/>
      <c r="IWN73" s="684"/>
      <c r="IWO73" s="684"/>
      <c r="IWP73" s="684"/>
      <c r="IWQ73" s="684"/>
      <c r="IWR73" s="684"/>
      <c r="IWS73" s="684"/>
      <c r="IWT73" s="684"/>
      <c r="IWU73" s="684"/>
      <c r="IWV73" s="684"/>
      <c r="IWW73" s="684"/>
      <c r="IWX73" s="684"/>
      <c r="IWY73" s="684"/>
      <c r="IWZ73" s="684"/>
      <c r="IXA73" s="684"/>
      <c r="IXB73" s="684"/>
      <c r="IXC73" s="684"/>
      <c r="IXD73" s="684"/>
      <c r="IXE73" s="684"/>
      <c r="IXF73" s="684"/>
      <c r="IXG73" s="684"/>
      <c r="IXH73" s="684"/>
      <c r="IXI73" s="684"/>
      <c r="IXJ73" s="684"/>
      <c r="IXK73" s="684"/>
      <c r="IXL73" s="684"/>
      <c r="IXM73" s="684"/>
      <c r="IXN73" s="684"/>
      <c r="IXO73" s="684"/>
      <c r="IXP73" s="684"/>
      <c r="IXQ73" s="684"/>
      <c r="IXR73" s="684"/>
      <c r="IXS73" s="684"/>
      <c r="IXT73" s="684"/>
      <c r="IXU73" s="684"/>
      <c r="IXV73" s="684"/>
      <c r="IXW73" s="684"/>
      <c r="IXX73" s="684"/>
      <c r="IXY73" s="684"/>
      <c r="IXZ73" s="684"/>
      <c r="IYA73" s="684"/>
      <c r="IYB73" s="684"/>
      <c r="IYC73" s="684"/>
      <c r="IYD73" s="684"/>
      <c r="IYE73" s="684"/>
      <c r="IYF73" s="684"/>
      <c r="IYG73" s="684"/>
      <c r="IYH73" s="684"/>
      <c r="IYI73" s="684"/>
      <c r="IYJ73" s="684"/>
      <c r="IYK73" s="684"/>
      <c r="IYL73" s="684"/>
      <c r="IYM73" s="684"/>
      <c r="IYN73" s="684"/>
      <c r="IYO73" s="684"/>
      <c r="IYP73" s="684"/>
      <c r="IYQ73" s="684"/>
      <c r="IYR73" s="684"/>
      <c r="IYS73" s="684"/>
      <c r="IYT73" s="684"/>
      <c r="IYU73" s="684"/>
      <c r="IYV73" s="684"/>
      <c r="IYW73" s="684"/>
      <c r="IYX73" s="684"/>
      <c r="IYY73" s="684"/>
      <c r="IYZ73" s="684"/>
      <c r="IZA73" s="684"/>
      <c r="IZB73" s="684"/>
      <c r="IZC73" s="684"/>
      <c r="IZD73" s="684"/>
      <c r="IZE73" s="684"/>
      <c r="IZF73" s="684"/>
      <c r="IZG73" s="684"/>
      <c r="IZH73" s="684"/>
      <c r="IZI73" s="684"/>
      <c r="IZJ73" s="684"/>
      <c r="IZK73" s="684"/>
      <c r="IZL73" s="684"/>
      <c r="IZM73" s="684"/>
      <c r="IZN73" s="684"/>
      <c r="IZO73" s="684"/>
      <c r="IZP73" s="684"/>
      <c r="IZQ73" s="684"/>
      <c r="IZR73" s="684"/>
      <c r="IZS73" s="684"/>
      <c r="IZT73" s="684"/>
      <c r="IZU73" s="684"/>
      <c r="IZV73" s="684"/>
      <c r="IZW73" s="684"/>
      <c r="IZX73" s="684"/>
      <c r="IZY73" s="684"/>
      <c r="IZZ73" s="684"/>
      <c r="JAA73" s="684"/>
      <c r="JAB73" s="684"/>
      <c r="JAC73" s="684"/>
      <c r="JAD73" s="684"/>
      <c r="JAE73" s="684"/>
      <c r="JAF73" s="684"/>
      <c r="JAG73" s="684"/>
      <c r="JAH73" s="684"/>
      <c r="JAI73" s="684"/>
      <c r="JAJ73" s="684"/>
      <c r="JAK73" s="684"/>
      <c r="JAL73" s="684"/>
      <c r="JAM73" s="684"/>
      <c r="JAN73" s="684"/>
      <c r="JAO73" s="684"/>
      <c r="JAP73" s="684"/>
      <c r="JAQ73" s="684"/>
      <c r="JAR73" s="684"/>
      <c r="JAS73" s="684"/>
      <c r="JAT73" s="684"/>
      <c r="JAU73" s="684"/>
      <c r="JAV73" s="684"/>
      <c r="JAW73" s="684"/>
      <c r="JAX73" s="684"/>
      <c r="JAY73" s="684"/>
      <c r="JAZ73" s="684"/>
      <c r="JBA73" s="684"/>
      <c r="JBB73" s="684"/>
      <c r="JBC73" s="684"/>
      <c r="JBD73" s="684"/>
      <c r="JBE73" s="684"/>
      <c r="JBF73" s="684"/>
      <c r="JBG73" s="684"/>
      <c r="JBH73" s="684"/>
      <c r="JBI73" s="684"/>
      <c r="JBJ73" s="684"/>
      <c r="JBK73" s="684"/>
      <c r="JBL73" s="684"/>
      <c r="JBM73" s="684"/>
      <c r="JBN73" s="684"/>
      <c r="JBO73" s="684"/>
      <c r="JBP73" s="684"/>
      <c r="JBQ73" s="684"/>
      <c r="JBR73" s="684"/>
      <c r="JBS73" s="684"/>
      <c r="JBT73" s="684"/>
      <c r="JBU73" s="684"/>
      <c r="JBV73" s="684"/>
      <c r="JBW73" s="684"/>
      <c r="JBX73" s="684"/>
      <c r="JBY73" s="684"/>
      <c r="JBZ73" s="684"/>
      <c r="JCA73" s="684"/>
      <c r="JCB73" s="684"/>
      <c r="JCC73" s="684"/>
      <c r="JCD73" s="684"/>
      <c r="JCE73" s="684"/>
      <c r="JCF73" s="684"/>
      <c r="JCG73" s="684"/>
      <c r="JCH73" s="684"/>
      <c r="JCI73" s="684"/>
      <c r="JCJ73" s="684"/>
      <c r="JCK73" s="684"/>
      <c r="JCL73" s="684"/>
      <c r="JCM73" s="684"/>
      <c r="JCN73" s="684"/>
      <c r="JCO73" s="684"/>
      <c r="JCP73" s="684"/>
      <c r="JCQ73" s="684"/>
      <c r="JCR73" s="684"/>
      <c r="JCS73" s="684"/>
      <c r="JCT73" s="684"/>
      <c r="JCU73" s="684"/>
      <c r="JCV73" s="684"/>
      <c r="JCW73" s="684"/>
      <c r="JCX73" s="684"/>
      <c r="JCY73" s="684"/>
      <c r="JCZ73" s="684"/>
      <c r="JDA73" s="684"/>
      <c r="JDB73" s="684"/>
      <c r="JDC73" s="684"/>
      <c r="JDD73" s="684"/>
      <c r="JDE73" s="684"/>
      <c r="JDF73" s="684"/>
      <c r="JDG73" s="684"/>
      <c r="JDH73" s="684"/>
      <c r="JDI73" s="684"/>
      <c r="JDJ73" s="684"/>
      <c r="JDK73" s="684"/>
      <c r="JDL73" s="684"/>
      <c r="JDM73" s="684"/>
      <c r="JDN73" s="684"/>
      <c r="JDO73" s="684"/>
      <c r="JDP73" s="684"/>
      <c r="JDQ73" s="684"/>
      <c r="JDR73" s="684"/>
      <c r="JDS73" s="684"/>
      <c r="JDT73" s="684"/>
      <c r="JDU73" s="684"/>
      <c r="JDV73" s="684"/>
      <c r="JDW73" s="684"/>
      <c r="JDX73" s="684"/>
      <c r="JDY73" s="684"/>
      <c r="JDZ73" s="684"/>
      <c r="JEA73" s="684"/>
      <c r="JEB73" s="684"/>
      <c r="JEC73" s="684"/>
      <c r="JED73" s="684"/>
      <c r="JEE73" s="684"/>
      <c r="JEF73" s="684"/>
      <c r="JEG73" s="684"/>
      <c r="JEH73" s="684"/>
      <c r="JEI73" s="684"/>
      <c r="JEJ73" s="684"/>
      <c r="JEK73" s="684"/>
      <c r="JEL73" s="684"/>
      <c r="JEM73" s="684"/>
      <c r="JEN73" s="684"/>
      <c r="JEO73" s="684"/>
      <c r="JEP73" s="684"/>
      <c r="JEQ73" s="684"/>
      <c r="JER73" s="684"/>
      <c r="JES73" s="684"/>
      <c r="JET73" s="684"/>
      <c r="JEU73" s="684"/>
      <c r="JEV73" s="684"/>
      <c r="JEW73" s="684"/>
      <c r="JEX73" s="684"/>
      <c r="JEY73" s="684"/>
      <c r="JEZ73" s="684"/>
      <c r="JFA73" s="684"/>
      <c r="JFB73" s="684"/>
      <c r="JFC73" s="684"/>
      <c r="JFD73" s="684"/>
      <c r="JFE73" s="684"/>
      <c r="JFF73" s="684"/>
      <c r="JFG73" s="684"/>
      <c r="JFH73" s="684"/>
      <c r="JFI73" s="684"/>
      <c r="JFJ73" s="684"/>
      <c r="JFK73" s="684"/>
      <c r="JFL73" s="684"/>
      <c r="JFM73" s="684"/>
      <c r="JFN73" s="684"/>
      <c r="JFO73" s="684"/>
      <c r="JFP73" s="684"/>
      <c r="JFQ73" s="684"/>
      <c r="JFR73" s="684"/>
      <c r="JFS73" s="684"/>
      <c r="JFT73" s="684"/>
      <c r="JFU73" s="684"/>
      <c r="JFV73" s="684"/>
      <c r="JFW73" s="684"/>
      <c r="JFX73" s="684"/>
      <c r="JFY73" s="684"/>
      <c r="JFZ73" s="684"/>
      <c r="JGA73" s="684"/>
      <c r="JGB73" s="684"/>
      <c r="JGC73" s="684"/>
      <c r="JGD73" s="684"/>
      <c r="JGE73" s="684"/>
      <c r="JGF73" s="684"/>
      <c r="JGG73" s="684"/>
      <c r="JGH73" s="684"/>
      <c r="JGI73" s="684"/>
      <c r="JGJ73" s="684"/>
      <c r="JGK73" s="684"/>
      <c r="JGL73" s="684"/>
      <c r="JGM73" s="684"/>
      <c r="JGN73" s="684"/>
      <c r="JGO73" s="684"/>
      <c r="JGP73" s="684"/>
      <c r="JGQ73" s="684"/>
      <c r="JGR73" s="684"/>
      <c r="JGS73" s="684"/>
      <c r="JGT73" s="684"/>
      <c r="JGU73" s="684"/>
      <c r="JGV73" s="684"/>
      <c r="JGW73" s="684"/>
      <c r="JGX73" s="684"/>
      <c r="JGY73" s="684"/>
      <c r="JGZ73" s="684"/>
      <c r="JHA73" s="684"/>
      <c r="JHB73" s="684"/>
      <c r="JHC73" s="684"/>
      <c r="JHD73" s="684"/>
      <c r="JHE73" s="684"/>
      <c r="JHF73" s="684"/>
      <c r="JHG73" s="684"/>
      <c r="JHH73" s="684"/>
      <c r="JHI73" s="684"/>
      <c r="JHJ73" s="684"/>
      <c r="JHK73" s="684"/>
      <c r="JHL73" s="684"/>
      <c r="JHM73" s="684"/>
      <c r="JHN73" s="684"/>
      <c r="JHO73" s="684"/>
      <c r="JHP73" s="684"/>
      <c r="JHQ73" s="684"/>
      <c r="JHR73" s="684"/>
      <c r="JHS73" s="684"/>
      <c r="JHT73" s="684"/>
      <c r="JHU73" s="684"/>
      <c r="JHV73" s="684"/>
      <c r="JHW73" s="684"/>
      <c r="JHX73" s="684"/>
      <c r="JHY73" s="684"/>
      <c r="JHZ73" s="684"/>
      <c r="JIA73" s="684"/>
      <c r="JIB73" s="684"/>
      <c r="JIC73" s="684"/>
      <c r="JID73" s="684"/>
      <c r="JIE73" s="684"/>
      <c r="JIF73" s="684"/>
      <c r="JIG73" s="684"/>
      <c r="JIH73" s="684"/>
      <c r="JII73" s="684"/>
      <c r="JIJ73" s="684"/>
      <c r="JIK73" s="684"/>
      <c r="JIL73" s="684"/>
      <c r="JIM73" s="684"/>
      <c r="JIN73" s="684"/>
      <c r="JIO73" s="684"/>
      <c r="JIP73" s="684"/>
      <c r="JIQ73" s="684"/>
      <c r="JIR73" s="684"/>
      <c r="JIS73" s="684"/>
      <c r="JIT73" s="684"/>
      <c r="JIU73" s="684"/>
      <c r="JIV73" s="684"/>
      <c r="JIW73" s="684"/>
      <c r="JIX73" s="684"/>
      <c r="JIY73" s="684"/>
      <c r="JIZ73" s="684"/>
      <c r="JJA73" s="684"/>
      <c r="JJB73" s="684"/>
      <c r="JJC73" s="684"/>
      <c r="JJD73" s="684"/>
      <c r="JJE73" s="684"/>
      <c r="JJF73" s="684"/>
      <c r="JJG73" s="684"/>
      <c r="JJH73" s="684"/>
      <c r="JJI73" s="684"/>
      <c r="JJJ73" s="684"/>
      <c r="JJK73" s="684"/>
      <c r="JJL73" s="684"/>
      <c r="JJM73" s="684"/>
      <c r="JJN73" s="684"/>
      <c r="JJO73" s="684"/>
      <c r="JJP73" s="684"/>
      <c r="JJQ73" s="684"/>
      <c r="JJR73" s="684"/>
      <c r="JJS73" s="684"/>
      <c r="JJT73" s="684"/>
      <c r="JJU73" s="684"/>
      <c r="JJV73" s="684"/>
      <c r="JJW73" s="684"/>
      <c r="JJX73" s="684"/>
      <c r="JJY73" s="684"/>
      <c r="JJZ73" s="684"/>
      <c r="JKA73" s="684"/>
      <c r="JKB73" s="684"/>
      <c r="JKC73" s="684"/>
      <c r="JKD73" s="684"/>
      <c r="JKE73" s="684"/>
      <c r="JKF73" s="684"/>
      <c r="JKG73" s="684"/>
      <c r="JKH73" s="684"/>
      <c r="JKI73" s="684"/>
      <c r="JKJ73" s="684"/>
      <c r="JKK73" s="684"/>
      <c r="JKL73" s="684"/>
      <c r="JKM73" s="684"/>
      <c r="JKN73" s="684"/>
      <c r="JKO73" s="684"/>
      <c r="JKP73" s="684"/>
      <c r="JKQ73" s="684"/>
      <c r="JKR73" s="684"/>
      <c r="JKS73" s="684"/>
      <c r="JKT73" s="684"/>
      <c r="JKU73" s="684"/>
      <c r="JKV73" s="684"/>
      <c r="JKW73" s="684"/>
      <c r="JKX73" s="684"/>
      <c r="JKY73" s="684"/>
      <c r="JKZ73" s="684"/>
      <c r="JLA73" s="684"/>
      <c r="JLB73" s="684"/>
      <c r="JLC73" s="684"/>
      <c r="JLD73" s="684"/>
      <c r="JLE73" s="684"/>
      <c r="JLF73" s="684"/>
      <c r="JLG73" s="684"/>
      <c r="JLH73" s="684"/>
      <c r="JLI73" s="684"/>
      <c r="JLJ73" s="684"/>
      <c r="JLK73" s="684"/>
      <c r="JLL73" s="684"/>
      <c r="JLM73" s="684"/>
      <c r="JLN73" s="684"/>
      <c r="JLO73" s="684"/>
      <c r="JLP73" s="684"/>
      <c r="JLQ73" s="684"/>
      <c r="JLR73" s="684"/>
      <c r="JLS73" s="684"/>
      <c r="JLT73" s="684"/>
      <c r="JLU73" s="684"/>
      <c r="JLV73" s="684"/>
      <c r="JLW73" s="684"/>
      <c r="JLX73" s="684"/>
      <c r="JLY73" s="684"/>
      <c r="JLZ73" s="684"/>
      <c r="JMA73" s="684"/>
      <c r="JMB73" s="684"/>
      <c r="JMC73" s="684"/>
      <c r="JMD73" s="684"/>
      <c r="JME73" s="684"/>
      <c r="JMF73" s="684"/>
      <c r="JMG73" s="684"/>
      <c r="JMH73" s="684"/>
      <c r="JMI73" s="684"/>
      <c r="JMJ73" s="684"/>
      <c r="JMK73" s="684"/>
      <c r="JML73" s="684"/>
      <c r="JMM73" s="684"/>
      <c r="JMN73" s="684"/>
      <c r="JMO73" s="684"/>
      <c r="JMP73" s="684"/>
      <c r="JMQ73" s="684"/>
      <c r="JMR73" s="684"/>
      <c r="JMS73" s="684"/>
      <c r="JMT73" s="684"/>
      <c r="JMU73" s="684"/>
      <c r="JMV73" s="684"/>
      <c r="JMW73" s="684"/>
      <c r="JMX73" s="684"/>
      <c r="JMY73" s="684"/>
      <c r="JMZ73" s="684"/>
      <c r="JNA73" s="684"/>
      <c r="JNB73" s="684"/>
      <c r="JNC73" s="684"/>
      <c r="JND73" s="684"/>
      <c r="JNE73" s="684"/>
      <c r="JNF73" s="684"/>
      <c r="JNG73" s="684"/>
      <c r="JNH73" s="684"/>
      <c r="JNI73" s="684"/>
      <c r="JNJ73" s="684"/>
      <c r="JNK73" s="684"/>
      <c r="JNL73" s="684"/>
      <c r="JNM73" s="684"/>
      <c r="JNN73" s="684"/>
      <c r="JNO73" s="684"/>
      <c r="JNP73" s="684"/>
      <c r="JNQ73" s="684"/>
      <c r="JNR73" s="684"/>
      <c r="JNS73" s="684"/>
      <c r="JNT73" s="684"/>
      <c r="JNU73" s="684"/>
      <c r="JNV73" s="684"/>
      <c r="JNW73" s="684"/>
      <c r="JNX73" s="684"/>
      <c r="JNY73" s="684"/>
      <c r="JNZ73" s="684"/>
      <c r="JOA73" s="684"/>
      <c r="JOB73" s="684"/>
      <c r="JOC73" s="684"/>
      <c r="JOD73" s="684"/>
      <c r="JOE73" s="684"/>
      <c r="JOF73" s="684"/>
      <c r="JOG73" s="684"/>
      <c r="JOH73" s="684"/>
      <c r="JOI73" s="684"/>
      <c r="JOJ73" s="684"/>
      <c r="JOK73" s="684"/>
      <c r="JOL73" s="684"/>
      <c r="JOM73" s="684"/>
      <c r="JON73" s="684"/>
      <c r="JOO73" s="684"/>
      <c r="JOP73" s="684"/>
      <c r="JOQ73" s="684"/>
      <c r="JOR73" s="684"/>
      <c r="JOS73" s="684"/>
      <c r="JOT73" s="684"/>
      <c r="JOU73" s="684"/>
      <c r="JOV73" s="684"/>
      <c r="JOW73" s="684"/>
      <c r="JOX73" s="684"/>
      <c r="JOY73" s="684"/>
      <c r="JOZ73" s="684"/>
      <c r="JPA73" s="684"/>
      <c r="JPB73" s="684"/>
      <c r="JPC73" s="684"/>
      <c r="JPD73" s="684"/>
      <c r="JPE73" s="684"/>
      <c r="JPF73" s="684"/>
      <c r="JPG73" s="684"/>
      <c r="JPH73" s="684"/>
      <c r="JPI73" s="684"/>
      <c r="JPJ73" s="684"/>
      <c r="JPK73" s="684"/>
      <c r="JPL73" s="684"/>
      <c r="JPM73" s="684"/>
      <c r="JPN73" s="684"/>
      <c r="JPO73" s="684"/>
      <c r="JPP73" s="684"/>
      <c r="JPQ73" s="684"/>
      <c r="JPR73" s="684"/>
      <c r="JPS73" s="684"/>
      <c r="JPT73" s="684"/>
      <c r="JPU73" s="684"/>
      <c r="JPV73" s="684"/>
      <c r="JPW73" s="684"/>
      <c r="JPX73" s="684"/>
      <c r="JPY73" s="684"/>
      <c r="JPZ73" s="684"/>
      <c r="JQA73" s="684"/>
      <c r="JQB73" s="684"/>
      <c r="JQC73" s="684"/>
      <c r="JQD73" s="684"/>
      <c r="JQE73" s="684"/>
      <c r="JQF73" s="684"/>
      <c r="JQG73" s="684"/>
      <c r="JQH73" s="684"/>
      <c r="JQI73" s="684"/>
      <c r="JQJ73" s="684"/>
      <c r="JQK73" s="684"/>
      <c r="JQL73" s="684"/>
      <c r="JQM73" s="684"/>
      <c r="JQN73" s="684"/>
      <c r="JQO73" s="684"/>
      <c r="JQP73" s="684"/>
      <c r="JQQ73" s="684"/>
      <c r="JQR73" s="684"/>
      <c r="JQS73" s="684"/>
      <c r="JQT73" s="684"/>
      <c r="JQU73" s="684"/>
      <c r="JQV73" s="684"/>
      <c r="JQW73" s="684"/>
      <c r="JQX73" s="684"/>
      <c r="JQY73" s="684"/>
      <c r="JQZ73" s="684"/>
      <c r="JRA73" s="684"/>
      <c r="JRB73" s="684"/>
      <c r="JRC73" s="684"/>
      <c r="JRD73" s="684"/>
      <c r="JRE73" s="684"/>
      <c r="JRF73" s="684"/>
      <c r="JRG73" s="684"/>
      <c r="JRH73" s="684"/>
      <c r="JRI73" s="684"/>
      <c r="JRJ73" s="684"/>
      <c r="JRK73" s="684"/>
      <c r="JRL73" s="684"/>
      <c r="JRM73" s="684"/>
      <c r="JRN73" s="684"/>
      <c r="JRO73" s="684"/>
      <c r="JRP73" s="684"/>
      <c r="JRQ73" s="684"/>
      <c r="JRR73" s="684"/>
      <c r="JRS73" s="684"/>
      <c r="JRT73" s="684"/>
      <c r="JRU73" s="684"/>
      <c r="JRV73" s="684"/>
      <c r="JRW73" s="684"/>
      <c r="JRX73" s="684"/>
      <c r="JRY73" s="684"/>
      <c r="JRZ73" s="684"/>
      <c r="JSA73" s="684"/>
      <c r="JSB73" s="684"/>
      <c r="JSC73" s="684"/>
      <c r="JSD73" s="684"/>
      <c r="JSE73" s="684"/>
      <c r="JSF73" s="684"/>
      <c r="JSG73" s="684"/>
      <c r="JSH73" s="684"/>
      <c r="JSI73" s="684"/>
      <c r="JSJ73" s="684"/>
      <c r="JSK73" s="684"/>
      <c r="JSL73" s="684"/>
      <c r="JSM73" s="684"/>
      <c r="JSN73" s="684"/>
      <c r="JSO73" s="684"/>
      <c r="JSP73" s="684"/>
      <c r="JSQ73" s="684"/>
      <c r="JSR73" s="684"/>
      <c r="JSS73" s="684"/>
      <c r="JST73" s="684"/>
      <c r="JSU73" s="684"/>
      <c r="JSV73" s="684"/>
      <c r="JSW73" s="684"/>
      <c r="JSX73" s="684"/>
      <c r="JSY73" s="684"/>
      <c r="JSZ73" s="684"/>
      <c r="JTA73" s="684"/>
      <c r="JTB73" s="684"/>
      <c r="JTC73" s="684"/>
      <c r="JTD73" s="684"/>
      <c r="JTE73" s="684"/>
      <c r="JTF73" s="684"/>
      <c r="JTG73" s="684"/>
      <c r="JTH73" s="684"/>
      <c r="JTI73" s="684"/>
      <c r="JTJ73" s="684"/>
      <c r="JTK73" s="684"/>
      <c r="JTL73" s="684"/>
      <c r="JTM73" s="684"/>
      <c r="JTN73" s="684"/>
      <c r="JTO73" s="684"/>
      <c r="JTP73" s="684"/>
      <c r="JTQ73" s="684"/>
      <c r="JTR73" s="684"/>
      <c r="JTS73" s="684"/>
      <c r="JTT73" s="684"/>
      <c r="JTU73" s="684"/>
      <c r="JTV73" s="684"/>
      <c r="JTW73" s="684"/>
      <c r="JTX73" s="684"/>
      <c r="JTY73" s="684"/>
      <c r="JTZ73" s="684"/>
      <c r="JUA73" s="684"/>
      <c r="JUB73" s="684"/>
      <c r="JUC73" s="684"/>
      <c r="JUD73" s="684"/>
      <c r="JUE73" s="684"/>
      <c r="JUF73" s="684"/>
      <c r="JUG73" s="684"/>
      <c r="JUH73" s="684"/>
      <c r="JUI73" s="684"/>
      <c r="JUJ73" s="684"/>
      <c r="JUK73" s="684"/>
      <c r="JUL73" s="684"/>
      <c r="JUM73" s="684"/>
      <c r="JUN73" s="684"/>
      <c r="JUO73" s="684"/>
      <c r="JUP73" s="684"/>
      <c r="JUQ73" s="684"/>
      <c r="JUR73" s="684"/>
      <c r="JUS73" s="684"/>
      <c r="JUT73" s="684"/>
      <c r="JUU73" s="684"/>
      <c r="JUV73" s="684"/>
      <c r="JUW73" s="684"/>
      <c r="JUX73" s="684"/>
      <c r="JUY73" s="684"/>
      <c r="JUZ73" s="684"/>
      <c r="JVA73" s="684"/>
      <c r="JVB73" s="684"/>
      <c r="JVC73" s="684"/>
      <c r="JVD73" s="684"/>
      <c r="JVE73" s="684"/>
      <c r="JVF73" s="684"/>
      <c r="JVG73" s="684"/>
      <c r="JVH73" s="684"/>
      <c r="JVI73" s="684"/>
      <c r="JVJ73" s="684"/>
      <c r="JVK73" s="684"/>
      <c r="JVL73" s="684"/>
      <c r="JVM73" s="684"/>
      <c r="JVN73" s="684"/>
      <c r="JVO73" s="684"/>
      <c r="JVP73" s="684"/>
      <c r="JVQ73" s="684"/>
      <c r="JVR73" s="684"/>
      <c r="JVS73" s="684"/>
      <c r="JVT73" s="684"/>
      <c r="JVU73" s="684"/>
      <c r="JVV73" s="684"/>
      <c r="JVW73" s="684"/>
      <c r="JVX73" s="684"/>
      <c r="JVY73" s="684"/>
      <c r="JVZ73" s="684"/>
      <c r="JWA73" s="684"/>
      <c r="JWB73" s="684"/>
      <c r="JWC73" s="684"/>
      <c r="JWD73" s="684"/>
      <c r="JWE73" s="684"/>
      <c r="JWF73" s="684"/>
      <c r="JWG73" s="684"/>
      <c r="JWH73" s="684"/>
      <c r="JWI73" s="684"/>
      <c r="JWJ73" s="684"/>
      <c r="JWK73" s="684"/>
      <c r="JWL73" s="684"/>
      <c r="JWM73" s="684"/>
      <c r="JWN73" s="684"/>
      <c r="JWO73" s="684"/>
      <c r="JWP73" s="684"/>
      <c r="JWQ73" s="684"/>
      <c r="JWR73" s="684"/>
      <c r="JWS73" s="684"/>
      <c r="JWT73" s="684"/>
      <c r="JWU73" s="684"/>
      <c r="JWV73" s="684"/>
      <c r="JWW73" s="684"/>
      <c r="JWX73" s="684"/>
      <c r="JWY73" s="684"/>
      <c r="JWZ73" s="684"/>
      <c r="JXA73" s="684"/>
      <c r="JXB73" s="684"/>
      <c r="JXC73" s="684"/>
      <c r="JXD73" s="684"/>
      <c r="JXE73" s="684"/>
      <c r="JXF73" s="684"/>
      <c r="JXG73" s="684"/>
      <c r="JXH73" s="684"/>
      <c r="JXI73" s="684"/>
      <c r="JXJ73" s="684"/>
      <c r="JXK73" s="684"/>
      <c r="JXL73" s="684"/>
      <c r="JXM73" s="684"/>
      <c r="JXN73" s="684"/>
      <c r="JXO73" s="684"/>
      <c r="JXP73" s="684"/>
      <c r="JXQ73" s="684"/>
      <c r="JXR73" s="684"/>
      <c r="JXS73" s="684"/>
      <c r="JXT73" s="684"/>
      <c r="JXU73" s="684"/>
      <c r="JXV73" s="684"/>
      <c r="JXW73" s="684"/>
      <c r="JXX73" s="684"/>
      <c r="JXY73" s="684"/>
      <c r="JXZ73" s="684"/>
      <c r="JYA73" s="684"/>
      <c r="JYB73" s="684"/>
      <c r="JYC73" s="684"/>
      <c r="JYD73" s="684"/>
      <c r="JYE73" s="684"/>
      <c r="JYF73" s="684"/>
      <c r="JYG73" s="684"/>
      <c r="JYH73" s="684"/>
      <c r="JYI73" s="684"/>
      <c r="JYJ73" s="684"/>
      <c r="JYK73" s="684"/>
      <c r="JYL73" s="684"/>
      <c r="JYM73" s="684"/>
      <c r="JYN73" s="684"/>
      <c r="JYO73" s="684"/>
      <c r="JYP73" s="684"/>
      <c r="JYQ73" s="684"/>
      <c r="JYR73" s="684"/>
      <c r="JYS73" s="684"/>
      <c r="JYT73" s="684"/>
      <c r="JYU73" s="684"/>
      <c r="JYV73" s="684"/>
      <c r="JYW73" s="684"/>
      <c r="JYX73" s="684"/>
      <c r="JYY73" s="684"/>
      <c r="JYZ73" s="684"/>
      <c r="JZA73" s="684"/>
      <c r="JZB73" s="684"/>
      <c r="JZC73" s="684"/>
      <c r="JZD73" s="684"/>
      <c r="JZE73" s="684"/>
      <c r="JZF73" s="684"/>
      <c r="JZG73" s="684"/>
      <c r="JZH73" s="684"/>
      <c r="JZI73" s="684"/>
      <c r="JZJ73" s="684"/>
      <c r="JZK73" s="684"/>
      <c r="JZL73" s="684"/>
      <c r="JZM73" s="684"/>
      <c r="JZN73" s="684"/>
      <c r="JZO73" s="684"/>
      <c r="JZP73" s="684"/>
      <c r="JZQ73" s="684"/>
      <c r="JZR73" s="684"/>
      <c r="JZS73" s="684"/>
      <c r="JZT73" s="684"/>
      <c r="JZU73" s="684"/>
      <c r="JZV73" s="684"/>
      <c r="JZW73" s="684"/>
      <c r="JZX73" s="684"/>
      <c r="JZY73" s="684"/>
      <c r="JZZ73" s="684"/>
      <c r="KAA73" s="684"/>
      <c r="KAB73" s="684"/>
      <c r="KAC73" s="684"/>
      <c r="KAD73" s="684"/>
      <c r="KAE73" s="684"/>
      <c r="KAF73" s="684"/>
      <c r="KAG73" s="684"/>
      <c r="KAH73" s="684"/>
      <c r="KAI73" s="684"/>
      <c r="KAJ73" s="684"/>
      <c r="KAK73" s="684"/>
      <c r="KAL73" s="684"/>
      <c r="KAM73" s="684"/>
      <c r="KAN73" s="684"/>
      <c r="KAO73" s="684"/>
      <c r="KAP73" s="684"/>
      <c r="KAQ73" s="684"/>
      <c r="KAR73" s="684"/>
      <c r="KAS73" s="684"/>
      <c r="KAT73" s="684"/>
      <c r="KAU73" s="684"/>
      <c r="KAV73" s="684"/>
      <c r="KAW73" s="684"/>
      <c r="KAX73" s="684"/>
      <c r="KAY73" s="684"/>
      <c r="KAZ73" s="684"/>
      <c r="KBA73" s="684"/>
      <c r="KBB73" s="684"/>
      <c r="KBC73" s="684"/>
      <c r="KBD73" s="684"/>
      <c r="KBE73" s="684"/>
      <c r="KBF73" s="684"/>
      <c r="KBG73" s="684"/>
      <c r="KBH73" s="684"/>
      <c r="KBI73" s="684"/>
      <c r="KBJ73" s="684"/>
      <c r="KBK73" s="684"/>
      <c r="KBL73" s="684"/>
      <c r="KBM73" s="684"/>
      <c r="KBN73" s="684"/>
      <c r="KBO73" s="684"/>
      <c r="KBP73" s="684"/>
      <c r="KBQ73" s="684"/>
      <c r="KBR73" s="684"/>
      <c r="KBS73" s="684"/>
      <c r="KBT73" s="684"/>
      <c r="KBU73" s="684"/>
      <c r="KBV73" s="684"/>
      <c r="KBW73" s="684"/>
      <c r="KBX73" s="684"/>
      <c r="KBY73" s="684"/>
      <c r="KBZ73" s="684"/>
      <c r="KCA73" s="684"/>
      <c r="KCB73" s="684"/>
      <c r="KCC73" s="684"/>
      <c r="KCD73" s="684"/>
      <c r="KCE73" s="684"/>
      <c r="KCF73" s="684"/>
      <c r="KCG73" s="684"/>
      <c r="KCH73" s="684"/>
      <c r="KCI73" s="684"/>
      <c r="KCJ73" s="684"/>
      <c r="KCK73" s="684"/>
      <c r="KCL73" s="684"/>
      <c r="KCM73" s="684"/>
      <c r="KCN73" s="684"/>
      <c r="KCO73" s="684"/>
      <c r="KCP73" s="684"/>
      <c r="KCQ73" s="684"/>
      <c r="KCR73" s="684"/>
      <c r="KCS73" s="684"/>
      <c r="KCT73" s="684"/>
      <c r="KCU73" s="684"/>
      <c r="KCV73" s="684"/>
      <c r="KCW73" s="684"/>
      <c r="KCX73" s="684"/>
      <c r="KCY73" s="684"/>
      <c r="KCZ73" s="684"/>
      <c r="KDA73" s="684"/>
      <c r="KDB73" s="684"/>
      <c r="KDC73" s="684"/>
      <c r="KDD73" s="684"/>
      <c r="KDE73" s="684"/>
      <c r="KDF73" s="684"/>
      <c r="KDG73" s="684"/>
      <c r="KDH73" s="684"/>
      <c r="KDI73" s="684"/>
      <c r="KDJ73" s="684"/>
      <c r="KDK73" s="684"/>
      <c r="KDL73" s="684"/>
      <c r="KDM73" s="684"/>
      <c r="KDN73" s="684"/>
      <c r="KDO73" s="684"/>
      <c r="KDP73" s="684"/>
      <c r="KDQ73" s="684"/>
      <c r="KDR73" s="684"/>
      <c r="KDS73" s="684"/>
      <c r="KDT73" s="684"/>
      <c r="KDU73" s="684"/>
      <c r="KDV73" s="684"/>
      <c r="KDW73" s="684"/>
      <c r="KDX73" s="684"/>
      <c r="KDY73" s="684"/>
      <c r="KDZ73" s="684"/>
      <c r="KEA73" s="684"/>
      <c r="KEB73" s="684"/>
      <c r="KEC73" s="684"/>
      <c r="KED73" s="684"/>
      <c r="KEE73" s="684"/>
      <c r="KEF73" s="684"/>
      <c r="KEG73" s="684"/>
      <c r="KEH73" s="684"/>
      <c r="KEI73" s="684"/>
      <c r="KEJ73" s="684"/>
      <c r="KEK73" s="684"/>
      <c r="KEL73" s="684"/>
      <c r="KEM73" s="684"/>
      <c r="KEN73" s="684"/>
      <c r="KEO73" s="684"/>
      <c r="KEP73" s="684"/>
      <c r="KEQ73" s="684"/>
      <c r="KER73" s="684"/>
      <c r="KES73" s="684"/>
      <c r="KET73" s="684"/>
      <c r="KEU73" s="684"/>
      <c r="KEV73" s="684"/>
      <c r="KEW73" s="684"/>
      <c r="KEX73" s="684"/>
      <c r="KEY73" s="684"/>
      <c r="KEZ73" s="684"/>
      <c r="KFA73" s="684"/>
      <c r="KFB73" s="684"/>
      <c r="KFC73" s="684"/>
      <c r="KFD73" s="684"/>
      <c r="KFE73" s="684"/>
      <c r="KFF73" s="684"/>
      <c r="KFG73" s="684"/>
      <c r="KFH73" s="684"/>
      <c r="KFI73" s="684"/>
      <c r="KFJ73" s="684"/>
      <c r="KFK73" s="684"/>
      <c r="KFL73" s="684"/>
      <c r="KFM73" s="684"/>
      <c r="KFN73" s="684"/>
      <c r="KFO73" s="684"/>
      <c r="KFP73" s="684"/>
      <c r="KFQ73" s="684"/>
      <c r="KFR73" s="684"/>
      <c r="KFS73" s="684"/>
      <c r="KFT73" s="684"/>
      <c r="KFU73" s="684"/>
      <c r="KFV73" s="684"/>
      <c r="KFW73" s="684"/>
      <c r="KFX73" s="684"/>
      <c r="KFY73" s="684"/>
      <c r="KFZ73" s="684"/>
      <c r="KGA73" s="684"/>
      <c r="KGB73" s="684"/>
      <c r="KGC73" s="684"/>
      <c r="KGD73" s="684"/>
      <c r="KGE73" s="684"/>
      <c r="KGF73" s="684"/>
      <c r="KGG73" s="684"/>
      <c r="KGH73" s="684"/>
      <c r="KGI73" s="684"/>
      <c r="KGJ73" s="684"/>
      <c r="KGK73" s="684"/>
      <c r="KGL73" s="684"/>
      <c r="KGM73" s="684"/>
      <c r="KGN73" s="684"/>
      <c r="KGO73" s="684"/>
      <c r="KGP73" s="684"/>
      <c r="KGQ73" s="684"/>
      <c r="KGR73" s="684"/>
      <c r="KGS73" s="684"/>
      <c r="KGT73" s="684"/>
      <c r="KGU73" s="684"/>
      <c r="KGV73" s="684"/>
      <c r="KGW73" s="684"/>
      <c r="KGX73" s="684"/>
      <c r="KGY73" s="684"/>
      <c r="KGZ73" s="684"/>
      <c r="KHA73" s="684"/>
      <c r="KHB73" s="684"/>
      <c r="KHC73" s="684"/>
      <c r="KHD73" s="684"/>
      <c r="KHE73" s="684"/>
      <c r="KHF73" s="684"/>
      <c r="KHG73" s="684"/>
      <c r="KHH73" s="684"/>
      <c r="KHI73" s="684"/>
      <c r="KHJ73" s="684"/>
      <c r="KHK73" s="684"/>
      <c r="KHL73" s="684"/>
      <c r="KHM73" s="684"/>
      <c r="KHN73" s="684"/>
      <c r="KHO73" s="684"/>
      <c r="KHP73" s="684"/>
      <c r="KHQ73" s="684"/>
      <c r="KHR73" s="684"/>
      <c r="KHS73" s="684"/>
      <c r="KHT73" s="684"/>
      <c r="KHU73" s="684"/>
      <c r="KHV73" s="684"/>
      <c r="KHW73" s="684"/>
      <c r="KHX73" s="684"/>
      <c r="KHY73" s="684"/>
      <c r="KHZ73" s="684"/>
      <c r="KIA73" s="684"/>
      <c r="KIB73" s="684"/>
      <c r="KIC73" s="684"/>
      <c r="KID73" s="684"/>
      <c r="KIE73" s="684"/>
      <c r="KIF73" s="684"/>
      <c r="KIG73" s="684"/>
      <c r="KIH73" s="684"/>
      <c r="KII73" s="684"/>
      <c r="KIJ73" s="684"/>
      <c r="KIK73" s="684"/>
      <c r="KIL73" s="684"/>
      <c r="KIM73" s="684"/>
      <c r="KIN73" s="684"/>
      <c r="KIO73" s="684"/>
      <c r="KIP73" s="684"/>
      <c r="KIQ73" s="684"/>
      <c r="KIR73" s="684"/>
      <c r="KIS73" s="684"/>
      <c r="KIT73" s="684"/>
      <c r="KIU73" s="684"/>
      <c r="KIV73" s="684"/>
      <c r="KIW73" s="684"/>
      <c r="KIX73" s="684"/>
      <c r="KIY73" s="684"/>
      <c r="KIZ73" s="684"/>
      <c r="KJA73" s="684"/>
      <c r="KJB73" s="684"/>
      <c r="KJC73" s="684"/>
      <c r="KJD73" s="684"/>
      <c r="KJE73" s="684"/>
      <c r="KJF73" s="684"/>
      <c r="KJG73" s="684"/>
      <c r="KJH73" s="684"/>
      <c r="KJI73" s="684"/>
      <c r="KJJ73" s="684"/>
      <c r="KJK73" s="684"/>
      <c r="KJL73" s="684"/>
      <c r="KJM73" s="684"/>
      <c r="KJN73" s="684"/>
      <c r="KJO73" s="684"/>
      <c r="KJP73" s="684"/>
      <c r="KJQ73" s="684"/>
      <c r="KJR73" s="684"/>
      <c r="KJS73" s="684"/>
      <c r="KJT73" s="684"/>
      <c r="KJU73" s="684"/>
      <c r="KJV73" s="684"/>
      <c r="KJW73" s="684"/>
      <c r="KJX73" s="684"/>
      <c r="KJY73" s="684"/>
      <c r="KJZ73" s="684"/>
      <c r="KKA73" s="684"/>
      <c r="KKB73" s="684"/>
      <c r="KKC73" s="684"/>
      <c r="KKD73" s="684"/>
      <c r="KKE73" s="684"/>
      <c r="KKF73" s="684"/>
      <c r="KKG73" s="684"/>
      <c r="KKH73" s="684"/>
      <c r="KKI73" s="684"/>
      <c r="KKJ73" s="684"/>
      <c r="KKK73" s="684"/>
      <c r="KKL73" s="684"/>
      <c r="KKM73" s="684"/>
      <c r="KKN73" s="684"/>
      <c r="KKO73" s="684"/>
      <c r="KKP73" s="684"/>
      <c r="KKQ73" s="684"/>
      <c r="KKR73" s="684"/>
      <c r="KKS73" s="684"/>
      <c r="KKT73" s="684"/>
      <c r="KKU73" s="684"/>
      <c r="KKV73" s="684"/>
      <c r="KKW73" s="684"/>
      <c r="KKX73" s="684"/>
      <c r="KKY73" s="684"/>
      <c r="KKZ73" s="684"/>
      <c r="KLA73" s="684"/>
      <c r="KLB73" s="684"/>
      <c r="KLC73" s="684"/>
      <c r="KLD73" s="684"/>
      <c r="KLE73" s="684"/>
      <c r="KLF73" s="684"/>
      <c r="KLG73" s="684"/>
      <c r="KLH73" s="684"/>
      <c r="KLI73" s="684"/>
      <c r="KLJ73" s="684"/>
      <c r="KLK73" s="684"/>
      <c r="KLL73" s="684"/>
      <c r="KLM73" s="684"/>
      <c r="KLN73" s="684"/>
      <c r="KLO73" s="684"/>
      <c r="KLP73" s="684"/>
      <c r="KLQ73" s="684"/>
      <c r="KLR73" s="684"/>
      <c r="KLS73" s="684"/>
      <c r="KLT73" s="684"/>
      <c r="KLU73" s="684"/>
      <c r="KLV73" s="684"/>
      <c r="KLW73" s="684"/>
      <c r="KLX73" s="684"/>
      <c r="KLY73" s="684"/>
      <c r="KLZ73" s="684"/>
      <c r="KMA73" s="684"/>
      <c r="KMB73" s="684"/>
      <c r="KMC73" s="684"/>
      <c r="KMD73" s="684"/>
      <c r="KME73" s="684"/>
      <c r="KMF73" s="684"/>
      <c r="KMG73" s="684"/>
      <c r="KMH73" s="684"/>
      <c r="KMI73" s="684"/>
      <c r="KMJ73" s="684"/>
      <c r="KMK73" s="684"/>
      <c r="KML73" s="684"/>
      <c r="KMM73" s="684"/>
      <c r="KMN73" s="684"/>
      <c r="KMO73" s="684"/>
      <c r="KMP73" s="684"/>
      <c r="KMQ73" s="684"/>
      <c r="KMR73" s="684"/>
      <c r="KMS73" s="684"/>
      <c r="KMT73" s="684"/>
      <c r="KMU73" s="684"/>
      <c r="KMV73" s="684"/>
      <c r="KMW73" s="684"/>
      <c r="KMX73" s="684"/>
      <c r="KMY73" s="684"/>
      <c r="KMZ73" s="684"/>
      <c r="KNA73" s="684"/>
      <c r="KNB73" s="684"/>
      <c r="KNC73" s="684"/>
      <c r="KND73" s="684"/>
      <c r="KNE73" s="684"/>
      <c r="KNF73" s="684"/>
      <c r="KNG73" s="684"/>
      <c r="KNH73" s="684"/>
      <c r="KNI73" s="684"/>
      <c r="KNJ73" s="684"/>
      <c r="KNK73" s="684"/>
      <c r="KNL73" s="684"/>
      <c r="KNM73" s="684"/>
      <c r="KNN73" s="684"/>
      <c r="KNO73" s="684"/>
      <c r="KNP73" s="684"/>
      <c r="KNQ73" s="684"/>
      <c r="KNR73" s="684"/>
      <c r="KNS73" s="684"/>
      <c r="KNT73" s="684"/>
      <c r="KNU73" s="684"/>
      <c r="KNV73" s="684"/>
      <c r="KNW73" s="684"/>
      <c r="KNX73" s="684"/>
      <c r="KNY73" s="684"/>
      <c r="KNZ73" s="684"/>
      <c r="KOA73" s="684"/>
      <c r="KOB73" s="684"/>
      <c r="KOC73" s="684"/>
      <c r="KOD73" s="684"/>
      <c r="KOE73" s="684"/>
      <c r="KOF73" s="684"/>
      <c r="KOG73" s="684"/>
      <c r="KOH73" s="684"/>
      <c r="KOI73" s="684"/>
      <c r="KOJ73" s="684"/>
      <c r="KOK73" s="684"/>
      <c r="KOL73" s="684"/>
      <c r="KOM73" s="684"/>
      <c r="KON73" s="684"/>
      <c r="KOO73" s="684"/>
      <c r="KOP73" s="684"/>
      <c r="KOQ73" s="684"/>
      <c r="KOR73" s="684"/>
      <c r="KOS73" s="684"/>
      <c r="KOT73" s="684"/>
      <c r="KOU73" s="684"/>
      <c r="KOV73" s="684"/>
      <c r="KOW73" s="684"/>
      <c r="KOX73" s="684"/>
      <c r="KOY73" s="684"/>
      <c r="KOZ73" s="684"/>
      <c r="KPA73" s="684"/>
      <c r="KPB73" s="684"/>
      <c r="KPC73" s="684"/>
      <c r="KPD73" s="684"/>
      <c r="KPE73" s="684"/>
      <c r="KPF73" s="684"/>
      <c r="KPG73" s="684"/>
      <c r="KPH73" s="684"/>
      <c r="KPI73" s="684"/>
      <c r="KPJ73" s="684"/>
      <c r="KPK73" s="684"/>
      <c r="KPL73" s="684"/>
      <c r="KPM73" s="684"/>
      <c r="KPN73" s="684"/>
      <c r="KPO73" s="684"/>
      <c r="KPP73" s="684"/>
      <c r="KPQ73" s="684"/>
      <c r="KPR73" s="684"/>
      <c r="KPS73" s="684"/>
      <c r="KPT73" s="684"/>
      <c r="KPU73" s="684"/>
      <c r="KPV73" s="684"/>
      <c r="KPW73" s="684"/>
      <c r="KPX73" s="684"/>
      <c r="KPY73" s="684"/>
      <c r="KPZ73" s="684"/>
      <c r="KQA73" s="684"/>
      <c r="KQB73" s="684"/>
      <c r="KQC73" s="684"/>
      <c r="KQD73" s="684"/>
      <c r="KQE73" s="684"/>
      <c r="KQF73" s="684"/>
      <c r="KQG73" s="684"/>
      <c r="KQH73" s="684"/>
      <c r="KQI73" s="684"/>
      <c r="KQJ73" s="684"/>
      <c r="KQK73" s="684"/>
      <c r="KQL73" s="684"/>
      <c r="KQM73" s="684"/>
      <c r="KQN73" s="684"/>
      <c r="KQO73" s="684"/>
      <c r="KQP73" s="684"/>
      <c r="KQQ73" s="684"/>
      <c r="KQR73" s="684"/>
      <c r="KQS73" s="684"/>
      <c r="KQT73" s="684"/>
      <c r="KQU73" s="684"/>
      <c r="KQV73" s="684"/>
      <c r="KQW73" s="684"/>
      <c r="KQX73" s="684"/>
      <c r="KQY73" s="684"/>
      <c r="KQZ73" s="684"/>
      <c r="KRA73" s="684"/>
      <c r="KRB73" s="684"/>
      <c r="KRC73" s="684"/>
      <c r="KRD73" s="684"/>
      <c r="KRE73" s="684"/>
      <c r="KRF73" s="684"/>
      <c r="KRG73" s="684"/>
      <c r="KRH73" s="684"/>
      <c r="KRI73" s="684"/>
      <c r="KRJ73" s="684"/>
      <c r="KRK73" s="684"/>
      <c r="KRL73" s="684"/>
      <c r="KRM73" s="684"/>
      <c r="KRN73" s="684"/>
      <c r="KRO73" s="684"/>
      <c r="KRP73" s="684"/>
      <c r="KRQ73" s="684"/>
      <c r="KRR73" s="684"/>
      <c r="KRS73" s="684"/>
      <c r="KRT73" s="684"/>
      <c r="KRU73" s="684"/>
      <c r="KRV73" s="684"/>
      <c r="KRW73" s="684"/>
      <c r="KRX73" s="684"/>
      <c r="KRY73" s="684"/>
      <c r="KRZ73" s="684"/>
      <c r="KSA73" s="684"/>
      <c r="KSB73" s="684"/>
      <c r="KSC73" s="684"/>
      <c r="KSD73" s="684"/>
      <c r="KSE73" s="684"/>
      <c r="KSF73" s="684"/>
      <c r="KSG73" s="684"/>
      <c r="KSH73" s="684"/>
      <c r="KSI73" s="684"/>
      <c r="KSJ73" s="684"/>
      <c r="KSK73" s="684"/>
      <c r="KSL73" s="684"/>
      <c r="KSM73" s="684"/>
      <c r="KSN73" s="684"/>
      <c r="KSO73" s="684"/>
      <c r="KSP73" s="684"/>
      <c r="KSQ73" s="684"/>
      <c r="KSR73" s="684"/>
      <c r="KSS73" s="684"/>
      <c r="KST73" s="684"/>
      <c r="KSU73" s="684"/>
      <c r="KSV73" s="684"/>
      <c r="KSW73" s="684"/>
      <c r="KSX73" s="684"/>
      <c r="KSY73" s="684"/>
      <c r="KSZ73" s="684"/>
      <c r="KTA73" s="684"/>
      <c r="KTB73" s="684"/>
      <c r="KTC73" s="684"/>
      <c r="KTD73" s="684"/>
      <c r="KTE73" s="684"/>
      <c r="KTF73" s="684"/>
      <c r="KTG73" s="684"/>
      <c r="KTH73" s="684"/>
      <c r="KTI73" s="684"/>
      <c r="KTJ73" s="684"/>
      <c r="KTK73" s="684"/>
      <c r="KTL73" s="684"/>
      <c r="KTM73" s="684"/>
      <c r="KTN73" s="684"/>
      <c r="KTO73" s="684"/>
      <c r="KTP73" s="684"/>
      <c r="KTQ73" s="684"/>
      <c r="KTR73" s="684"/>
      <c r="KTS73" s="684"/>
      <c r="KTT73" s="684"/>
      <c r="KTU73" s="684"/>
      <c r="KTV73" s="684"/>
      <c r="KTW73" s="684"/>
      <c r="KTX73" s="684"/>
      <c r="KTY73" s="684"/>
      <c r="KTZ73" s="684"/>
      <c r="KUA73" s="684"/>
      <c r="KUB73" s="684"/>
      <c r="KUC73" s="684"/>
      <c r="KUD73" s="684"/>
      <c r="KUE73" s="684"/>
      <c r="KUF73" s="684"/>
      <c r="KUG73" s="684"/>
      <c r="KUH73" s="684"/>
      <c r="KUI73" s="684"/>
      <c r="KUJ73" s="684"/>
      <c r="KUK73" s="684"/>
      <c r="KUL73" s="684"/>
      <c r="KUM73" s="684"/>
      <c r="KUN73" s="684"/>
      <c r="KUO73" s="684"/>
      <c r="KUP73" s="684"/>
      <c r="KUQ73" s="684"/>
      <c r="KUR73" s="684"/>
      <c r="KUS73" s="684"/>
      <c r="KUT73" s="684"/>
      <c r="KUU73" s="684"/>
      <c r="KUV73" s="684"/>
      <c r="KUW73" s="684"/>
      <c r="KUX73" s="684"/>
      <c r="KUY73" s="684"/>
      <c r="KUZ73" s="684"/>
      <c r="KVA73" s="684"/>
      <c r="KVB73" s="684"/>
      <c r="KVC73" s="684"/>
      <c r="KVD73" s="684"/>
      <c r="KVE73" s="684"/>
      <c r="KVF73" s="684"/>
      <c r="KVG73" s="684"/>
      <c r="KVH73" s="684"/>
      <c r="KVI73" s="684"/>
      <c r="KVJ73" s="684"/>
      <c r="KVK73" s="684"/>
      <c r="KVL73" s="684"/>
      <c r="KVM73" s="684"/>
      <c r="KVN73" s="684"/>
      <c r="KVO73" s="684"/>
      <c r="KVP73" s="684"/>
      <c r="KVQ73" s="684"/>
      <c r="KVR73" s="684"/>
      <c r="KVS73" s="684"/>
      <c r="KVT73" s="684"/>
      <c r="KVU73" s="684"/>
      <c r="KVV73" s="684"/>
      <c r="KVW73" s="684"/>
      <c r="KVX73" s="684"/>
      <c r="KVY73" s="684"/>
      <c r="KVZ73" s="684"/>
      <c r="KWA73" s="684"/>
      <c r="KWB73" s="684"/>
      <c r="KWC73" s="684"/>
      <c r="KWD73" s="684"/>
      <c r="KWE73" s="684"/>
      <c r="KWF73" s="684"/>
      <c r="KWG73" s="684"/>
      <c r="KWH73" s="684"/>
      <c r="KWI73" s="684"/>
      <c r="KWJ73" s="684"/>
      <c r="KWK73" s="684"/>
      <c r="KWL73" s="684"/>
      <c r="KWM73" s="684"/>
      <c r="KWN73" s="684"/>
      <c r="KWO73" s="684"/>
      <c r="KWP73" s="684"/>
      <c r="KWQ73" s="684"/>
      <c r="KWR73" s="684"/>
      <c r="KWS73" s="684"/>
      <c r="KWT73" s="684"/>
      <c r="KWU73" s="684"/>
      <c r="KWV73" s="684"/>
      <c r="KWW73" s="684"/>
      <c r="KWX73" s="684"/>
      <c r="KWY73" s="684"/>
      <c r="KWZ73" s="684"/>
      <c r="KXA73" s="684"/>
      <c r="KXB73" s="684"/>
      <c r="KXC73" s="684"/>
      <c r="KXD73" s="684"/>
      <c r="KXE73" s="684"/>
      <c r="KXF73" s="684"/>
      <c r="KXG73" s="684"/>
      <c r="KXH73" s="684"/>
      <c r="KXI73" s="684"/>
      <c r="KXJ73" s="684"/>
      <c r="KXK73" s="684"/>
      <c r="KXL73" s="684"/>
      <c r="KXM73" s="684"/>
      <c r="KXN73" s="684"/>
      <c r="KXO73" s="684"/>
      <c r="KXP73" s="684"/>
      <c r="KXQ73" s="684"/>
      <c r="KXR73" s="684"/>
      <c r="KXS73" s="684"/>
      <c r="KXT73" s="684"/>
      <c r="KXU73" s="684"/>
      <c r="KXV73" s="684"/>
      <c r="KXW73" s="684"/>
      <c r="KXX73" s="684"/>
      <c r="KXY73" s="684"/>
      <c r="KXZ73" s="684"/>
      <c r="KYA73" s="684"/>
      <c r="KYB73" s="684"/>
      <c r="KYC73" s="684"/>
      <c r="KYD73" s="684"/>
      <c r="KYE73" s="684"/>
      <c r="KYF73" s="684"/>
      <c r="KYG73" s="684"/>
      <c r="KYH73" s="684"/>
      <c r="KYI73" s="684"/>
      <c r="KYJ73" s="684"/>
      <c r="KYK73" s="684"/>
      <c r="KYL73" s="684"/>
      <c r="KYM73" s="684"/>
      <c r="KYN73" s="684"/>
      <c r="KYO73" s="684"/>
      <c r="KYP73" s="684"/>
      <c r="KYQ73" s="684"/>
      <c r="KYR73" s="684"/>
      <c r="KYS73" s="684"/>
      <c r="KYT73" s="684"/>
      <c r="KYU73" s="684"/>
      <c r="KYV73" s="684"/>
      <c r="KYW73" s="684"/>
      <c r="KYX73" s="684"/>
      <c r="KYY73" s="684"/>
      <c r="KYZ73" s="684"/>
      <c r="KZA73" s="684"/>
      <c r="KZB73" s="684"/>
      <c r="KZC73" s="684"/>
      <c r="KZD73" s="684"/>
      <c r="KZE73" s="684"/>
      <c r="KZF73" s="684"/>
      <c r="KZG73" s="684"/>
      <c r="KZH73" s="684"/>
      <c r="KZI73" s="684"/>
      <c r="KZJ73" s="684"/>
      <c r="KZK73" s="684"/>
      <c r="KZL73" s="684"/>
      <c r="KZM73" s="684"/>
      <c r="KZN73" s="684"/>
      <c r="KZO73" s="684"/>
      <c r="KZP73" s="684"/>
      <c r="KZQ73" s="684"/>
      <c r="KZR73" s="684"/>
      <c r="KZS73" s="684"/>
      <c r="KZT73" s="684"/>
      <c r="KZU73" s="684"/>
      <c r="KZV73" s="684"/>
      <c r="KZW73" s="684"/>
      <c r="KZX73" s="684"/>
      <c r="KZY73" s="684"/>
      <c r="KZZ73" s="684"/>
      <c r="LAA73" s="684"/>
      <c r="LAB73" s="684"/>
      <c r="LAC73" s="684"/>
      <c r="LAD73" s="684"/>
      <c r="LAE73" s="684"/>
      <c r="LAF73" s="684"/>
      <c r="LAG73" s="684"/>
      <c r="LAH73" s="684"/>
      <c r="LAI73" s="684"/>
      <c r="LAJ73" s="684"/>
      <c r="LAK73" s="684"/>
      <c r="LAL73" s="684"/>
      <c r="LAM73" s="684"/>
      <c r="LAN73" s="684"/>
      <c r="LAO73" s="684"/>
      <c r="LAP73" s="684"/>
      <c r="LAQ73" s="684"/>
      <c r="LAR73" s="684"/>
      <c r="LAS73" s="684"/>
      <c r="LAT73" s="684"/>
      <c r="LAU73" s="684"/>
      <c r="LAV73" s="684"/>
      <c r="LAW73" s="684"/>
      <c r="LAX73" s="684"/>
      <c r="LAY73" s="684"/>
      <c r="LAZ73" s="684"/>
      <c r="LBA73" s="684"/>
      <c r="LBB73" s="684"/>
      <c r="LBC73" s="684"/>
      <c r="LBD73" s="684"/>
      <c r="LBE73" s="684"/>
      <c r="LBF73" s="684"/>
      <c r="LBG73" s="684"/>
      <c r="LBH73" s="684"/>
      <c r="LBI73" s="684"/>
      <c r="LBJ73" s="684"/>
      <c r="LBK73" s="684"/>
      <c r="LBL73" s="684"/>
      <c r="LBM73" s="684"/>
      <c r="LBN73" s="684"/>
      <c r="LBO73" s="684"/>
      <c r="LBP73" s="684"/>
      <c r="LBQ73" s="684"/>
      <c r="LBR73" s="684"/>
      <c r="LBS73" s="684"/>
      <c r="LBT73" s="684"/>
      <c r="LBU73" s="684"/>
      <c r="LBV73" s="684"/>
      <c r="LBW73" s="684"/>
      <c r="LBX73" s="684"/>
      <c r="LBY73" s="684"/>
      <c r="LBZ73" s="684"/>
      <c r="LCA73" s="684"/>
      <c r="LCB73" s="684"/>
      <c r="LCC73" s="684"/>
      <c r="LCD73" s="684"/>
      <c r="LCE73" s="684"/>
      <c r="LCF73" s="684"/>
      <c r="LCG73" s="684"/>
      <c r="LCH73" s="684"/>
      <c r="LCI73" s="684"/>
      <c r="LCJ73" s="684"/>
      <c r="LCK73" s="684"/>
      <c r="LCL73" s="684"/>
      <c r="LCM73" s="684"/>
      <c r="LCN73" s="684"/>
      <c r="LCO73" s="684"/>
      <c r="LCP73" s="684"/>
      <c r="LCQ73" s="684"/>
      <c r="LCR73" s="684"/>
      <c r="LCS73" s="684"/>
      <c r="LCT73" s="684"/>
      <c r="LCU73" s="684"/>
      <c r="LCV73" s="684"/>
      <c r="LCW73" s="684"/>
      <c r="LCX73" s="684"/>
      <c r="LCY73" s="684"/>
      <c r="LCZ73" s="684"/>
      <c r="LDA73" s="684"/>
      <c r="LDB73" s="684"/>
      <c r="LDC73" s="684"/>
      <c r="LDD73" s="684"/>
      <c r="LDE73" s="684"/>
      <c r="LDF73" s="684"/>
      <c r="LDG73" s="684"/>
      <c r="LDH73" s="684"/>
      <c r="LDI73" s="684"/>
      <c r="LDJ73" s="684"/>
      <c r="LDK73" s="684"/>
      <c r="LDL73" s="684"/>
      <c r="LDM73" s="684"/>
      <c r="LDN73" s="684"/>
      <c r="LDO73" s="684"/>
      <c r="LDP73" s="684"/>
      <c r="LDQ73" s="684"/>
      <c r="LDR73" s="684"/>
      <c r="LDS73" s="684"/>
      <c r="LDT73" s="684"/>
      <c r="LDU73" s="684"/>
      <c r="LDV73" s="684"/>
      <c r="LDW73" s="684"/>
      <c r="LDX73" s="684"/>
      <c r="LDY73" s="684"/>
      <c r="LDZ73" s="684"/>
      <c r="LEA73" s="684"/>
      <c r="LEB73" s="684"/>
      <c r="LEC73" s="684"/>
      <c r="LED73" s="684"/>
      <c r="LEE73" s="684"/>
      <c r="LEF73" s="684"/>
      <c r="LEG73" s="684"/>
      <c r="LEH73" s="684"/>
      <c r="LEI73" s="684"/>
      <c r="LEJ73" s="684"/>
      <c r="LEK73" s="684"/>
      <c r="LEL73" s="684"/>
      <c r="LEM73" s="684"/>
      <c r="LEN73" s="684"/>
      <c r="LEO73" s="684"/>
      <c r="LEP73" s="684"/>
      <c r="LEQ73" s="684"/>
      <c r="LER73" s="684"/>
      <c r="LES73" s="684"/>
      <c r="LET73" s="684"/>
      <c r="LEU73" s="684"/>
      <c r="LEV73" s="684"/>
      <c r="LEW73" s="684"/>
      <c r="LEX73" s="684"/>
      <c r="LEY73" s="684"/>
      <c r="LEZ73" s="684"/>
      <c r="LFA73" s="684"/>
      <c r="LFB73" s="684"/>
      <c r="LFC73" s="684"/>
      <c r="LFD73" s="684"/>
      <c r="LFE73" s="684"/>
      <c r="LFF73" s="684"/>
      <c r="LFG73" s="684"/>
      <c r="LFH73" s="684"/>
      <c r="LFI73" s="684"/>
      <c r="LFJ73" s="684"/>
      <c r="LFK73" s="684"/>
      <c r="LFL73" s="684"/>
      <c r="LFM73" s="684"/>
      <c r="LFN73" s="684"/>
      <c r="LFO73" s="684"/>
      <c r="LFP73" s="684"/>
      <c r="LFQ73" s="684"/>
      <c r="LFR73" s="684"/>
      <c r="LFS73" s="684"/>
      <c r="LFT73" s="684"/>
      <c r="LFU73" s="684"/>
      <c r="LFV73" s="684"/>
      <c r="LFW73" s="684"/>
      <c r="LFX73" s="684"/>
      <c r="LFY73" s="684"/>
      <c r="LFZ73" s="684"/>
      <c r="LGA73" s="684"/>
      <c r="LGB73" s="684"/>
      <c r="LGC73" s="684"/>
      <c r="LGD73" s="684"/>
      <c r="LGE73" s="684"/>
      <c r="LGF73" s="684"/>
      <c r="LGG73" s="684"/>
      <c r="LGH73" s="684"/>
      <c r="LGI73" s="684"/>
      <c r="LGJ73" s="684"/>
      <c r="LGK73" s="684"/>
      <c r="LGL73" s="684"/>
      <c r="LGM73" s="684"/>
      <c r="LGN73" s="684"/>
      <c r="LGO73" s="684"/>
      <c r="LGP73" s="684"/>
      <c r="LGQ73" s="684"/>
      <c r="LGR73" s="684"/>
      <c r="LGS73" s="684"/>
      <c r="LGT73" s="684"/>
      <c r="LGU73" s="684"/>
      <c r="LGV73" s="684"/>
      <c r="LGW73" s="684"/>
      <c r="LGX73" s="684"/>
      <c r="LGY73" s="684"/>
      <c r="LGZ73" s="684"/>
      <c r="LHA73" s="684"/>
      <c r="LHB73" s="684"/>
      <c r="LHC73" s="684"/>
      <c r="LHD73" s="684"/>
      <c r="LHE73" s="684"/>
      <c r="LHF73" s="684"/>
      <c r="LHG73" s="684"/>
      <c r="LHH73" s="684"/>
      <c r="LHI73" s="684"/>
      <c r="LHJ73" s="684"/>
      <c r="LHK73" s="684"/>
      <c r="LHL73" s="684"/>
      <c r="LHM73" s="684"/>
      <c r="LHN73" s="684"/>
      <c r="LHO73" s="684"/>
      <c r="LHP73" s="684"/>
      <c r="LHQ73" s="684"/>
      <c r="LHR73" s="684"/>
      <c r="LHS73" s="684"/>
      <c r="LHT73" s="684"/>
      <c r="LHU73" s="684"/>
      <c r="LHV73" s="684"/>
      <c r="LHW73" s="684"/>
      <c r="LHX73" s="684"/>
      <c r="LHY73" s="684"/>
      <c r="LHZ73" s="684"/>
      <c r="LIA73" s="684"/>
      <c r="LIB73" s="684"/>
      <c r="LIC73" s="684"/>
      <c r="LID73" s="684"/>
      <c r="LIE73" s="684"/>
      <c r="LIF73" s="684"/>
      <c r="LIG73" s="684"/>
      <c r="LIH73" s="684"/>
      <c r="LII73" s="684"/>
      <c r="LIJ73" s="684"/>
      <c r="LIK73" s="684"/>
      <c r="LIL73" s="684"/>
      <c r="LIM73" s="684"/>
      <c r="LIN73" s="684"/>
      <c r="LIO73" s="684"/>
      <c r="LIP73" s="684"/>
      <c r="LIQ73" s="684"/>
      <c r="LIR73" s="684"/>
      <c r="LIS73" s="684"/>
      <c r="LIT73" s="684"/>
      <c r="LIU73" s="684"/>
      <c r="LIV73" s="684"/>
      <c r="LIW73" s="684"/>
      <c r="LIX73" s="684"/>
      <c r="LIY73" s="684"/>
      <c r="LIZ73" s="684"/>
      <c r="LJA73" s="684"/>
      <c r="LJB73" s="684"/>
      <c r="LJC73" s="684"/>
      <c r="LJD73" s="684"/>
      <c r="LJE73" s="684"/>
      <c r="LJF73" s="684"/>
      <c r="LJG73" s="684"/>
      <c r="LJH73" s="684"/>
      <c r="LJI73" s="684"/>
      <c r="LJJ73" s="684"/>
      <c r="LJK73" s="684"/>
      <c r="LJL73" s="684"/>
      <c r="LJM73" s="684"/>
      <c r="LJN73" s="684"/>
      <c r="LJO73" s="684"/>
      <c r="LJP73" s="684"/>
      <c r="LJQ73" s="684"/>
      <c r="LJR73" s="684"/>
      <c r="LJS73" s="684"/>
      <c r="LJT73" s="684"/>
      <c r="LJU73" s="684"/>
      <c r="LJV73" s="684"/>
      <c r="LJW73" s="684"/>
      <c r="LJX73" s="684"/>
      <c r="LJY73" s="684"/>
      <c r="LJZ73" s="684"/>
      <c r="LKA73" s="684"/>
      <c r="LKB73" s="684"/>
      <c r="LKC73" s="684"/>
      <c r="LKD73" s="684"/>
      <c r="LKE73" s="684"/>
      <c r="LKF73" s="684"/>
      <c r="LKG73" s="684"/>
      <c r="LKH73" s="684"/>
      <c r="LKI73" s="684"/>
      <c r="LKJ73" s="684"/>
      <c r="LKK73" s="684"/>
      <c r="LKL73" s="684"/>
      <c r="LKM73" s="684"/>
      <c r="LKN73" s="684"/>
      <c r="LKO73" s="684"/>
      <c r="LKP73" s="684"/>
      <c r="LKQ73" s="684"/>
      <c r="LKR73" s="684"/>
      <c r="LKS73" s="684"/>
      <c r="LKT73" s="684"/>
      <c r="LKU73" s="684"/>
      <c r="LKV73" s="684"/>
      <c r="LKW73" s="684"/>
      <c r="LKX73" s="684"/>
      <c r="LKY73" s="684"/>
      <c r="LKZ73" s="684"/>
      <c r="LLA73" s="684"/>
      <c r="LLB73" s="684"/>
      <c r="LLC73" s="684"/>
      <c r="LLD73" s="684"/>
      <c r="LLE73" s="684"/>
      <c r="LLF73" s="684"/>
      <c r="LLG73" s="684"/>
      <c r="LLH73" s="684"/>
      <c r="LLI73" s="684"/>
      <c r="LLJ73" s="684"/>
      <c r="LLK73" s="684"/>
      <c r="LLL73" s="684"/>
      <c r="LLM73" s="684"/>
      <c r="LLN73" s="684"/>
      <c r="LLO73" s="684"/>
      <c r="LLP73" s="684"/>
      <c r="LLQ73" s="684"/>
      <c r="LLR73" s="684"/>
      <c r="LLS73" s="684"/>
      <c r="LLT73" s="684"/>
      <c r="LLU73" s="684"/>
      <c r="LLV73" s="684"/>
      <c r="LLW73" s="684"/>
      <c r="LLX73" s="684"/>
      <c r="LLY73" s="684"/>
      <c r="LLZ73" s="684"/>
      <c r="LMA73" s="684"/>
      <c r="LMB73" s="684"/>
      <c r="LMC73" s="684"/>
      <c r="LMD73" s="684"/>
      <c r="LME73" s="684"/>
      <c r="LMF73" s="684"/>
      <c r="LMG73" s="684"/>
      <c r="LMH73" s="684"/>
      <c r="LMI73" s="684"/>
      <c r="LMJ73" s="684"/>
      <c r="LMK73" s="684"/>
      <c r="LML73" s="684"/>
      <c r="LMM73" s="684"/>
      <c r="LMN73" s="684"/>
      <c r="LMO73" s="684"/>
      <c r="LMP73" s="684"/>
      <c r="LMQ73" s="684"/>
      <c r="LMR73" s="684"/>
      <c r="LMS73" s="684"/>
      <c r="LMT73" s="684"/>
      <c r="LMU73" s="684"/>
      <c r="LMV73" s="684"/>
      <c r="LMW73" s="684"/>
      <c r="LMX73" s="684"/>
      <c r="LMY73" s="684"/>
      <c r="LMZ73" s="684"/>
      <c r="LNA73" s="684"/>
      <c r="LNB73" s="684"/>
      <c r="LNC73" s="684"/>
      <c r="LND73" s="684"/>
      <c r="LNE73" s="684"/>
      <c r="LNF73" s="684"/>
      <c r="LNG73" s="684"/>
      <c r="LNH73" s="684"/>
      <c r="LNI73" s="684"/>
      <c r="LNJ73" s="684"/>
      <c r="LNK73" s="684"/>
      <c r="LNL73" s="684"/>
      <c r="LNM73" s="684"/>
      <c r="LNN73" s="684"/>
      <c r="LNO73" s="684"/>
      <c r="LNP73" s="684"/>
      <c r="LNQ73" s="684"/>
      <c r="LNR73" s="684"/>
      <c r="LNS73" s="684"/>
      <c r="LNT73" s="684"/>
      <c r="LNU73" s="684"/>
      <c r="LNV73" s="684"/>
      <c r="LNW73" s="684"/>
      <c r="LNX73" s="684"/>
      <c r="LNY73" s="684"/>
      <c r="LNZ73" s="684"/>
      <c r="LOA73" s="684"/>
      <c r="LOB73" s="684"/>
      <c r="LOC73" s="684"/>
      <c r="LOD73" s="684"/>
      <c r="LOE73" s="684"/>
      <c r="LOF73" s="684"/>
      <c r="LOG73" s="684"/>
      <c r="LOH73" s="684"/>
      <c r="LOI73" s="684"/>
      <c r="LOJ73" s="684"/>
      <c r="LOK73" s="684"/>
      <c r="LOL73" s="684"/>
      <c r="LOM73" s="684"/>
      <c r="LON73" s="684"/>
      <c r="LOO73" s="684"/>
      <c r="LOP73" s="684"/>
      <c r="LOQ73" s="684"/>
      <c r="LOR73" s="684"/>
      <c r="LOS73" s="684"/>
      <c r="LOT73" s="684"/>
      <c r="LOU73" s="684"/>
      <c r="LOV73" s="684"/>
      <c r="LOW73" s="684"/>
      <c r="LOX73" s="684"/>
      <c r="LOY73" s="684"/>
      <c r="LOZ73" s="684"/>
      <c r="LPA73" s="684"/>
      <c r="LPB73" s="684"/>
      <c r="LPC73" s="684"/>
      <c r="LPD73" s="684"/>
      <c r="LPE73" s="684"/>
      <c r="LPF73" s="684"/>
      <c r="LPG73" s="684"/>
      <c r="LPH73" s="684"/>
      <c r="LPI73" s="684"/>
      <c r="LPJ73" s="684"/>
      <c r="LPK73" s="684"/>
      <c r="LPL73" s="684"/>
      <c r="LPM73" s="684"/>
      <c r="LPN73" s="684"/>
      <c r="LPO73" s="684"/>
      <c r="LPP73" s="684"/>
      <c r="LPQ73" s="684"/>
      <c r="LPR73" s="684"/>
      <c r="LPS73" s="684"/>
      <c r="LPT73" s="684"/>
      <c r="LPU73" s="684"/>
      <c r="LPV73" s="684"/>
      <c r="LPW73" s="684"/>
      <c r="LPX73" s="684"/>
      <c r="LPY73" s="684"/>
      <c r="LPZ73" s="684"/>
      <c r="LQA73" s="684"/>
      <c r="LQB73" s="684"/>
      <c r="LQC73" s="684"/>
      <c r="LQD73" s="684"/>
      <c r="LQE73" s="684"/>
      <c r="LQF73" s="684"/>
      <c r="LQG73" s="684"/>
      <c r="LQH73" s="684"/>
      <c r="LQI73" s="684"/>
      <c r="LQJ73" s="684"/>
      <c r="LQK73" s="684"/>
      <c r="LQL73" s="684"/>
      <c r="LQM73" s="684"/>
      <c r="LQN73" s="684"/>
      <c r="LQO73" s="684"/>
      <c r="LQP73" s="684"/>
      <c r="LQQ73" s="684"/>
      <c r="LQR73" s="684"/>
      <c r="LQS73" s="684"/>
      <c r="LQT73" s="684"/>
      <c r="LQU73" s="684"/>
      <c r="LQV73" s="684"/>
      <c r="LQW73" s="684"/>
      <c r="LQX73" s="684"/>
      <c r="LQY73" s="684"/>
      <c r="LQZ73" s="684"/>
      <c r="LRA73" s="684"/>
      <c r="LRB73" s="684"/>
      <c r="LRC73" s="684"/>
      <c r="LRD73" s="684"/>
      <c r="LRE73" s="684"/>
      <c r="LRF73" s="684"/>
      <c r="LRG73" s="684"/>
      <c r="LRH73" s="684"/>
      <c r="LRI73" s="684"/>
      <c r="LRJ73" s="684"/>
      <c r="LRK73" s="684"/>
      <c r="LRL73" s="684"/>
      <c r="LRM73" s="684"/>
      <c r="LRN73" s="684"/>
      <c r="LRO73" s="684"/>
      <c r="LRP73" s="684"/>
      <c r="LRQ73" s="684"/>
      <c r="LRR73" s="684"/>
      <c r="LRS73" s="684"/>
      <c r="LRT73" s="684"/>
      <c r="LRU73" s="684"/>
      <c r="LRV73" s="684"/>
      <c r="LRW73" s="684"/>
      <c r="LRX73" s="684"/>
      <c r="LRY73" s="684"/>
      <c r="LRZ73" s="684"/>
      <c r="LSA73" s="684"/>
      <c r="LSB73" s="684"/>
      <c r="LSC73" s="684"/>
      <c r="LSD73" s="684"/>
      <c r="LSE73" s="684"/>
      <c r="LSF73" s="684"/>
      <c r="LSG73" s="684"/>
      <c r="LSH73" s="684"/>
      <c r="LSI73" s="684"/>
      <c r="LSJ73" s="684"/>
      <c r="LSK73" s="684"/>
      <c r="LSL73" s="684"/>
      <c r="LSM73" s="684"/>
      <c r="LSN73" s="684"/>
      <c r="LSO73" s="684"/>
      <c r="LSP73" s="684"/>
      <c r="LSQ73" s="684"/>
      <c r="LSR73" s="684"/>
      <c r="LSS73" s="684"/>
      <c r="LST73" s="684"/>
      <c r="LSU73" s="684"/>
      <c r="LSV73" s="684"/>
      <c r="LSW73" s="684"/>
      <c r="LSX73" s="684"/>
      <c r="LSY73" s="684"/>
      <c r="LSZ73" s="684"/>
      <c r="LTA73" s="684"/>
      <c r="LTB73" s="684"/>
      <c r="LTC73" s="684"/>
      <c r="LTD73" s="684"/>
      <c r="LTE73" s="684"/>
      <c r="LTF73" s="684"/>
      <c r="LTG73" s="684"/>
      <c r="LTH73" s="684"/>
      <c r="LTI73" s="684"/>
      <c r="LTJ73" s="684"/>
      <c r="LTK73" s="684"/>
      <c r="LTL73" s="684"/>
      <c r="LTM73" s="684"/>
      <c r="LTN73" s="684"/>
      <c r="LTO73" s="684"/>
      <c r="LTP73" s="684"/>
      <c r="LTQ73" s="684"/>
      <c r="LTR73" s="684"/>
      <c r="LTS73" s="684"/>
      <c r="LTT73" s="684"/>
      <c r="LTU73" s="684"/>
      <c r="LTV73" s="684"/>
      <c r="LTW73" s="684"/>
      <c r="LTX73" s="684"/>
      <c r="LTY73" s="684"/>
      <c r="LTZ73" s="684"/>
      <c r="LUA73" s="684"/>
      <c r="LUB73" s="684"/>
      <c r="LUC73" s="684"/>
      <c r="LUD73" s="684"/>
      <c r="LUE73" s="684"/>
      <c r="LUF73" s="684"/>
      <c r="LUG73" s="684"/>
      <c r="LUH73" s="684"/>
      <c r="LUI73" s="684"/>
      <c r="LUJ73" s="684"/>
      <c r="LUK73" s="684"/>
      <c r="LUL73" s="684"/>
      <c r="LUM73" s="684"/>
      <c r="LUN73" s="684"/>
      <c r="LUO73" s="684"/>
      <c r="LUP73" s="684"/>
      <c r="LUQ73" s="684"/>
      <c r="LUR73" s="684"/>
      <c r="LUS73" s="684"/>
      <c r="LUT73" s="684"/>
      <c r="LUU73" s="684"/>
      <c r="LUV73" s="684"/>
      <c r="LUW73" s="684"/>
      <c r="LUX73" s="684"/>
      <c r="LUY73" s="684"/>
      <c r="LUZ73" s="684"/>
      <c r="LVA73" s="684"/>
      <c r="LVB73" s="684"/>
      <c r="LVC73" s="684"/>
      <c r="LVD73" s="684"/>
      <c r="LVE73" s="684"/>
      <c r="LVF73" s="684"/>
      <c r="LVG73" s="684"/>
      <c r="LVH73" s="684"/>
      <c r="LVI73" s="684"/>
      <c r="LVJ73" s="684"/>
      <c r="LVK73" s="684"/>
      <c r="LVL73" s="684"/>
      <c r="LVM73" s="684"/>
      <c r="LVN73" s="684"/>
      <c r="LVO73" s="684"/>
      <c r="LVP73" s="684"/>
      <c r="LVQ73" s="684"/>
      <c r="LVR73" s="684"/>
      <c r="LVS73" s="684"/>
      <c r="LVT73" s="684"/>
      <c r="LVU73" s="684"/>
      <c r="LVV73" s="684"/>
      <c r="LVW73" s="684"/>
      <c r="LVX73" s="684"/>
      <c r="LVY73" s="684"/>
      <c r="LVZ73" s="684"/>
      <c r="LWA73" s="684"/>
      <c r="LWB73" s="684"/>
      <c r="LWC73" s="684"/>
      <c r="LWD73" s="684"/>
      <c r="LWE73" s="684"/>
      <c r="LWF73" s="684"/>
      <c r="LWG73" s="684"/>
      <c r="LWH73" s="684"/>
      <c r="LWI73" s="684"/>
      <c r="LWJ73" s="684"/>
      <c r="LWK73" s="684"/>
      <c r="LWL73" s="684"/>
      <c r="LWM73" s="684"/>
      <c r="LWN73" s="684"/>
      <c r="LWO73" s="684"/>
      <c r="LWP73" s="684"/>
      <c r="LWQ73" s="684"/>
      <c r="LWR73" s="684"/>
      <c r="LWS73" s="684"/>
      <c r="LWT73" s="684"/>
      <c r="LWU73" s="684"/>
      <c r="LWV73" s="684"/>
      <c r="LWW73" s="684"/>
      <c r="LWX73" s="684"/>
      <c r="LWY73" s="684"/>
      <c r="LWZ73" s="684"/>
      <c r="LXA73" s="684"/>
      <c r="LXB73" s="684"/>
      <c r="LXC73" s="684"/>
      <c r="LXD73" s="684"/>
      <c r="LXE73" s="684"/>
      <c r="LXF73" s="684"/>
      <c r="LXG73" s="684"/>
      <c r="LXH73" s="684"/>
      <c r="LXI73" s="684"/>
      <c r="LXJ73" s="684"/>
      <c r="LXK73" s="684"/>
      <c r="LXL73" s="684"/>
      <c r="LXM73" s="684"/>
      <c r="LXN73" s="684"/>
      <c r="LXO73" s="684"/>
      <c r="LXP73" s="684"/>
      <c r="LXQ73" s="684"/>
      <c r="LXR73" s="684"/>
      <c r="LXS73" s="684"/>
      <c r="LXT73" s="684"/>
      <c r="LXU73" s="684"/>
      <c r="LXV73" s="684"/>
      <c r="LXW73" s="684"/>
      <c r="LXX73" s="684"/>
      <c r="LXY73" s="684"/>
      <c r="LXZ73" s="684"/>
      <c r="LYA73" s="684"/>
      <c r="LYB73" s="684"/>
      <c r="LYC73" s="684"/>
      <c r="LYD73" s="684"/>
      <c r="LYE73" s="684"/>
      <c r="LYF73" s="684"/>
      <c r="LYG73" s="684"/>
      <c r="LYH73" s="684"/>
      <c r="LYI73" s="684"/>
      <c r="LYJ73" s="684"/>
      <c r="LYK73" s="684"/>
      <c r="LYL73" s="684"/>
      <c r="LYM73" s="684"/>
      <c r="LYN73" s="684"/>
      <c r="LYO73" s="684"/>
      <c r="LYP73" s="684"/>
      <c r="LYQ73" s="684"/>
      <c r="LYR73" s="684"/>
      <c r="LYS73" s="684"/>
      <c r="LYT73" s="684"/>
      <c r="LYU73" s="684"/>
      <c r="LYV73" s="684"/>
      <c r="LYW73" s="684"/>
      <c r="LYX73" s="684"/>
      <c r="LYY73" s="684"/>
      <c r="LYZ73" s="684"/>
      <c r="LZA73" s="684"/>
      <c r="LZB73" s="684"/>
      <c r="LZC73" s="684"/>
      <c r="LZD73" s="684"/>
      <c r="LZE73" s="684"/>
      <c r="LZF73" s="684"/>
      <c r="LZG73" s="684"/>
      <c r="LZH73" s="684"/>
      <c r="LZI73" s="684"/>
      <c r="LZJ73" s="684"/>
      <c r="LZK73" s="684"/>
      <c r="LZL73" s="684"/>
      <c r="LZM73" s="684"/>
      <c r="LZN73" s="684"/>
      <c r="LZO73" s="684"/>
      <c r="LZP73" s="684"/>
      <c r="LZQ73" s="684"/>
      <c r="LZR73" s="684"/>
      <c r="LZS73" s="684"/>
      <c r="LZT73" s="684"/>
      <c r="LZU73" s="684"/>
      <c r="LZV73" s="684"/>
      <c r="LZW73" s="684"/>
      <c r="LZX73" s="684"/>
      <c r="LZY73" s="684"/>
      <c r="LZZ73" s="684"/>
      <c r="MAA73" s="684"/>
      <c r="MAB73" s="684"/>
      <c r="MAC73" s="684"/>
      <c r="MAD73" s="684"/>
      <c r="MAE73" s="684"/>
      <c r="MAF73" s="684"/>
      <c r="MAG73" s="684"/>
      <c r="MAH73" s="684"/>
      <c r="MAI73" s="684"/>
      <c r="MAJ73" s="684"/>
      <c r="MAK73" s="684"/>
      <c r="MAL73" s="684"/>
      <c r="MAM73" s="684"/>
      <c r="MAN73" s="684"/>
      <c r="MAO73" s="684"/>
      <c r="MAP73" s="684"/>
      <c r="MAQ73" s="684"/>
      <c r="MAR73" s="684"/>
      <c r="MAS73" s="684"/>
      <c r="MAT73" s="684"/>
      <c r="MAU73" s="684"/>
      <c r="MAV73" s="684"/>
      <c r="MAW73" s="684"/>
      <c r="MAX73" s="684"/>
      <c r="MAY73" s="684"/>
      <c r="MAZ73" s="684"/>
      <c r="MBA73" s="684"/>
      <c r="MBB73" s="684"/>
      <c r="MBC73" s="684"/>
      <c r="MBD73" s="684"/>
      <c r="MBE73" s="684"/>
      <c r="MBF73" s="684"/>
      <c r="MBG73" s="684"/>
      <c r="MBH73" s="684"/>
      <c r="MBI73" s="684"/>
      <c r="MBJ73" s="684"/>
      <c r="MBK73" s="684"/>
      <c r="MBL73" s="684"/>
      <c r="MBM73" s="684"/>
      <c r="MBN73" s="684"/>
      <c r="MBO73" s="684"/>
      <c r="MBP73" s="684"/>
      <c r="MBQ73" s="684"/>
      <c r="MBR73" s="684"/>
      <c r="MBS73" s="684"/>
      <c r="MBT73" s="684"/>
      <c r="MBU73" s="684"/>
      <c r="MBV73" s="684"/>
      <c r="MBW73" s="684"/>
      <c r="MBX73" s="684"/>
      <c r="MBY73" s="684"/>
      <c r="MBZ73" s="684"/>
      <c r="MCA73" s="684"/>
      <c r="MCB73" s="684"/>
      <c r="MCC73" s="684"/>
      <c r="MCD73" s="684"/>
      <c r="MCE73" s="684"/>
      <c r="MCF73" s="684"/>
      <c r="MCG73" s="684"/>
      <c r="MCH73" s="684"/>
      <c r="MCI73" s="684"/>
      <c r="MCJ73" s="684"/>
      <c r="MCK73" s="684"/>
      <c r="MCL73" s="684"/>
      <c r="MCM73" s="684"/>
      <c r="MCN73" s="684"/>
      <c r="MCO73" s="684"/>
      <c r="MCP73" s="684"/>
      <c r="MCQ73" s="684"/>
      <c r="MCR73" s="684"/>
      <c r="MCS73" s="684"/>
      <c r="MCT73" s="684"/>
      <c r="MCU73" s="684"/>
      <c r="MCV73" s="684"/>
      <c r="MCW73" s="684"/>
      <c r="MCX73" s="684"/>
      <c r="MCY73" s="684"/>
      <c r="MCZ73" s="684"/>
      <c r="MDA73" s="684"/>
      <c r="MDB73" s="684"/>
      <c r="MDC73" s="684"/>
      <c r="MDD73" s="684"/>
      <c r="MDE73" s="684"/>
      <c r="MDF73" s="684"/>
      <c r="MDG73" s="684"/>
      <c r="MDH73" s="684"/>
      <c r="MDI73" s="684"/>
      <c r="MDJ73" s="684"/>
      <c r="MDK73" s="684"/>
      <c r="MDL73" s="684"/>
      <c r="MDM73" s="684"/>
      <c r="MDN73" s="684"/>
      <c r="MDO73" s="684"/>
      <c r="MDP73" s="684"/>
      <c r="MDQ73" s="684"/>
      <c r="MDR73" s="684"/>
      <c r="MDS73" s="684"/>
      <c r="MDT73" s="684"/>
      <c r="MDU73" s="684"/>
      <c r="MDV73" s="684"/>
      <c r="MDW73" s="684"/>
      <c r="MDX73" s="684"/>
      <c r="MDY73" s="684"/>
      <c r="MDZ73" s="684"/>
      <c r="MEA73" s="684"/>
      <c r="MEB73" s="684"/>
      <c r="MEC73" s="684"/>
      <c r="MED73" s="684"/>
      <c r="MEE73" s="684"/>
      <c r="MEF73" s="684"/>
      <c r="MEG73" s="684"/>
      <c r="MEH73" s="684"/>
      <c r="MEI73" s="684"/>
      <c r="MEJ73" s="684"/>
      <c r="MEK73" s="684"/>
      <c r="MEL73" s="684"/>
      <c r="MEM73" s="684"/>
      <c r="MEN73" s="684"/>
      <c r="MEO73" s="684"/>
      <c r="MEP73" s="684"/>
      <c r="MEQ73" s="684"/>
      <c r="MER73" s="684"/>
      <c r="MES73" s="684"/>
      <c r="MET73" s="684"/>
      <c r="MEU73" s="684"/>
      <c r="MEV73" s="684"/>
      <c r="MEW73" s="684"/>
      <c r="MEX73" s="684"/>
      <c r="MEY73" s="684"/>
      <c r="MEZ73" s="684"/>
      <c r="MFA73" s="684"/>
      <c r="MFB73" s="684"/>
      <c r="MFC73" s="684"/>
      <c r="MFD73" s="684"/>
      <c r="MFE73" s="684"/>
      <c r="MFF73" s="684"/>
      <c r="MFG73" s="684"/>
      <c r="MFH73" s="684"/>
      <c r="MFI73" s="684"/>
      <c r="MFJ73" s="684"/>
      <c r="MFK73" s="684"/>
      <c r="MFL73" s="684"/>
      <c r="MFM73" s="684"/>
      <c r="MFN73" s="684"/>
      <c r="MFO73" s="684"/>
      <c r="MFP73" s="684"/>
      <c r="MFQ73" s="684"/>
      <c r="MFR73" s="684"/>
      <c r="MFS73" s="684"/>
      <c r="MFT73" s="684"/>
      <c r="MFU73" s="684"/>
      <c r="MFV73" s="684"/>
      <c r="MFW73" s="684"/>
      <c r="MFX73" s="684"/>
      <c r="MFY73" s="684"/>
      <c r="MFZ73" s="684"/>
      <c r="MGA73" s="684"/>
      <c r="MGB73" s="684"/>
      <c r="MGC73" s="684"/>
      <c r="MGD73" s="684"/>
      <c r="MGE73" s="684"/>
      <c r="MGF73" s="684"/>
      <c r="MGG73" s="684"/>
      <c r="MGH73" s="684"/>
      <c r="MGI73" s="684"/>
      <c r="MGJ73" s="684"/>
      <c r="MGK73" s="684"/>
      <c r="MGL73" s="684"/>
      <c r="MGM73" s="684"/>
      <c r="MGN73" s="684"/>
      <c r="MGO73" s="684"/>
      <c r="MGP73" s="684"/>
      <c r="MGQ73" s="684"/>
      <c r="MGR73" s="684"/>
      <c r="MGS73" s="684"/>
      <c r="MGT73" s="684"/>
      <c r="MGU73" s="684"/>
      <c r="MGV73" s="684"/>
      <c r="MGW73" s="684"/>
      <c r="MGX73" s="684"/>
      <c r="MGY73" s="684"/>
      <c r="MGZ73" s="684"/>
      <c r="MHA73" s="684"/>
      <c r="MHB73" s="684"/>
      <c r="MHC73" s="684"/>
      <c r="MHD73" s="684"/>
      <c r="MHE73" s="684"/>
      <c r="MHF73" s="684"/>
      <c r="MHG73" s="684"/>
      <c r="MHH73" s="684"/>
      <c r="MHI73" s="684"/>
      <c r="MHJ73" s="684"/>
      <c r="MHK73" s="684"/>
      <c r="MHL73" s="684"/>
      <c r="MHM73" s="684"/>
      <c r="MHN73" s="684"/>
      <c r="MHO73" s="684"/>
      <c r="MHP73" s="684"/>
      <c r="MHQ73" s="684"/>
      <c r="MHR73" s="684"/>
      <c r="MHS73" s="684"/>
      <c r="MHT73" s="684"/>
      <c r="MHU73" s="684"/>
      <c r="MHV73" s="684"/>
      <c r="MHW73" s="684"/>
      <c r="MHX73" s="684"/>
      <c r="MHY73" s="684"/>
      <c r="MHZ73" s="684"/>
      <c r="MIA73" s="684"/>
      <c r="MIB73" s="684"/>
      <c r="MIC73" s="684"/>
      <c r="MID73" s="684"/>
      <c r="MIE73" s="684"/>
      <c r="MIF73" s="684"/>
      <c r="MIG73" s="684"/>
      <c r="MIH73" s="684"/>
      <c r="MII73" s="684"/>
      <c r="MIJ73" s="684"/>
      <c r="MIK73" s="684"/>
      <c r="MIL73" s="684"/>
      <c r="MIM73" s="684"/>
      <c r="MIN73" s="684"/>
      <c r="MIO73" s="684"/>
      <c r="MIP73" s="684"/>
      <c r="MIQ73" s="684"/>
      <c r="MIR73" s="684"/>
      <c r="MIS73" s="684"/>
      <c r="MIT73" s="684"/>
      <c r="MIU73" s="684"/>
      <c r="MIV73" s="684"/>
      <c r="MIW73" s="684"/>
      <c r="MIX73" s="684"/>
      <c r="MIY73" s="684"/>
      <c r="MIZ73" s="684"/>
      <c r="MJA73" s="684"/>
      <c r="MJB73" s="684"/>
      <c r="MJC73" s="684"/>
      <c r="MJD73" s="684"/>
      <c r="MJE73" s="684"/>
      <c r="MJF73" s="684"/>
      <c r="MJG73" s="684"/>
      <c r="MJH73" s="684"/>
      <c r="MJI73" s="684"/>
      <c r="MJJ73" s="684"/>
      <c r="MJK73" s="684"/>
      <c r="MJL73" s="684"/>
      <c r="MJM73" s="684"/>
      <c r="MJN73" s="684"/>
      <c r="MJO73" s="684"/>
      <c r="MJP73" s="684"/>
      <c r="MJQ73" s="684"/>
      <c r="MJR73" s="684"/>
      <c r="MJS73" s="684"/>
      <c r="MJT73" s="684"/>
      <c r="MJU73" s="684"/>
      <c r="MJV73" s="684"/>
      <c r="MJW73" s="684"/>
      <c r="MJX73" s="684"/>
      <c r="MJY73" s="684"/>
      <c r="MJZ73" s="684"/>
      <c r="MKA73" s="684"/>
      <c r="MKB73" s="684"/>
      <c r="MKC73" s="684"/>
      <c r="MKD73" s="684"/>
      <c r="MKE73" s="684"/>
      <c r="MKF73" s="684"/>
      <c r="MKG73" s="684"/>
      <c r="MKH73" s="684"/>
      <c r="MKI73" s="684"/>
      <c r="MKJ73" s="684"/>
      <c r="MKK73" s="684"/>
      <c r="MKL73" s="684"/>
      <c r="MKM73" s="684"/>
      <c r="MKN73" s="684"/>
      <c r="MKO73" s="684"/>
      <c r="MKP73" s="684"/>
      <c r="MKQ73" s="684"/>
      <c r="MKR73" s="684"/>
      <c r="MKS73" s="684"/>
      <c r="MKT73" s="684"/>
      <c r="MKU73" s="684"/>
      <c r="MKV73" s="684"/>
      <c r="MKW73" s="684"/>
      <c r="MKX73" s="684"/>
      <c r="MKY73" s="684"/>
      <c r="MKZ73" s="684"/>
      <c r="MLA73" s="684"/>
      <c r="MLB73" s="684"/>
      <c r="MLC73" s="684"/>
      <c r="MLD73" s="684"/>
      <c r="MLE73" s="684"/>
      <c r="MLF73" s="684"/>
      <c r="MLG73" s="684"/>
      <c r="MLH73" s="684"/>
      <c r="MLI73" s="684"/>
      <c r="MLJ73" s="684"/>
      <c r="MLK73" s="684"/>
      <c r="MLL73" s="684"/>
      <c r="MLM73" s="684"/>
      <c r="MLN73" s="684"/>
      <c r="MLO73" s="684"/>
      <c r="MLP73" s="684"/>
      <c r="MLQ73" s="684"/>
      <c r="MLR73" s="684"/>
      <c r="MLS73" s="684"/>
      <c r="MLT73" s="684"/>
      <c r="MLU73" s="684"/>
      <c r="MLV73" s="684"/>
      <c r="MLW73" s="684"/>
      <c r="MLX73" s="684"/>
      <c r="MLY73" s="684"/>
      <c r="MLZ73" s="684"/>
      <c r="MMA73" s="684"/>
      <c r="MMB73" s="684"/>
      <c r="MMC73" s="684"/>
      <c r="MMD73" s="684"/>
      <c r="MME73" s="684"/>
      <c r="MMF73" s="684"/>
      <c r="MMG73" s="684"/>
      <c r="MMH73" s="684"/>
      <c r="MMI73" s="684"/>
      <c r="MMJ73" s="684"/>
      <c r="MMK73" s="684"/>
      <c r="MML73" s="684"/>
      <c r="MMM73" s="684"/>
      <c r="MMN73" s="684"/>
      <c r="MMO73" s="684"/>
      <c r="MMP73" s="684"/>
      <c r="MMQ73" s="684"/>
      <c r="MMR73" s="684"/>
      <c r="MMS73" s="684"/>
      <c r="MMT73" s="684"/>
      <c r="MMU73" s="684"/>
      <c r="MMV73" s="684"/>
      <c r="MMW73" s="684"/>
      <c r="MMX73" s="684"/>
      <c r="MMY73" s="684"/>
      <c r="MMZ73" s="684"/>
      <c r="MNA73" s="684"/>
      <c r="MNB73" s="684"/>
      <c r="MNC73" s="684"/>
      <c r="MND73" s="684"/>
      <c r="MNE73" s="684"/>
      <c r="MNF73" s="684"/>
      <c r="MNG73" s="684"/>
      <c r="MNH73" s="684"/>
      <c r="MNI73" s="684"/>
      <c r="MNJ73" s="684"/>
      <c r="MNK73" s="684"/>
      <c r="MNL73" s="684"/>
      <c r="MNM73" s="684"/>
      <c r="MNN73" s="684"/>
      <c r="MNO73" s="684"/>
      <c r="MNP73" s="684"/>
      <c r="MNQ73" s="684"/>
      <c r="MNR73" s="684"/>
      <c r="MNS73" s="684"/>
      <c r="MNT73" s="684"/>
      <c r="MNU73" s="684"/>
      <c r="MNV73" s="684"/>
      <c r="MNW73" s="684"/>
      <c r="MNX73" s="684"/>
      <c r="MNY73" s="684"/>
      <c r="MNZ73" s="684"/>
      <c r="MOA73" s="684"/>
      <c r="MOB73" s="684"/>
      <c r="MOC73" s="684"/>
      <c r="MOD73" s="684"/>
      <c r="MOE73" s="684"/>
      <c r="MOF73" s="684"/>
      <c r="MOG73" s="684"/>
      <c r="MOH73" s="684"/>
      <c r="MOI73" s="684"/>
      <c r="MOJ73" s="684"/>
      <c r="MOK73" s="684"/>
      <c r="MOL73" s="684"/>
      <c r="MOM73" s="684"/>
      <c r="MON73" s="684"/>
      <c r="MOO73" s="684"/>
      <c r="MOP73" s="684"/>
      <c r="MOQ73" s="684"/>
      <c r="MOR73" s="684"/>
      <c r="MOS73" s="684"/>
      <c r="MOT73" s="684"/>
      <c r="MOU73" s="684"/>
      <c r="MOV73" s="684"/>
      <c r="MOW73" s="684"/>
      <c r="MOX73" s="684"/>
      <c r="MOY73" s="684"/>
      <c r="MOZ73" s="684"/>
      <c r="MPA73" s="684"/>
      <c r="MPB73" s="684"/>
      <c r="MPC73" s="684"/>
      <c r="MPD73" s="684"/>
      <c r="MPE73" s="684"/>
      <c r="MPF73" s="684"/>
      <c r="MPG73" s="684"/>
      <c r="MPH73" s="684"/>
      <c r="MPI73" s="684"/>
      <c r="MPJ73" s="684"/>
      <c r="MPK73" s="684"/>
      <c r="MPL73" s="684"/>
      <c r="MPM73" s="684"/>
      <c r="MPN73" s="684"/>
      <c r="MPO73" s="684"/>
      <c r="MPP73" s="684"/>
      <c r="MPQ73" s="684"/>
      <c r="MPR73" s="684"/>
      <c r="MPS73" s="684"/>
      <c r="MPT73" s="684"/>
      <c r="MPU73" s="684"/>
      <c r="MPV73" s="684"/>
      <c r="MPW73" s="684"/>
      <c r="MPX73" s="684"/>
      <c r="MPY73" s="684"/>
      <c r="MPZ73" s="684"/>
      <c r="MQA73" s="684"/>
      <c r="MQB73" s="684"/>
      <c r="MQC73" s="684"/>
      <c r="MQD73" s="684"/>
      <c r="MQE73" s="684"/>
      <c r="MQF73" s="684"/>
      <c r="MQG73" s="684"/>
      <c r="MQH73" s="684"/>
      <c r="MQI73" s="684"/>
      <c r="MQJ73" s="684"/>
      <c r="MQK73" s="684"/>
      <c r="MQL73" s="684"/>
      <c r="MQM73" s="684"/>
      <c r="MQN73" s="684"/>
      <c r="MQO73" s="684"/>
      <c r="MQP73" s="684"/>
      <c r="MQQ73" s="684"/>
      <c r="MQR73" s="684"/>
      <c r="MQS73" s="684"/>
      <c r="MQT73" s="684"/>
      <c r="MQU73" s="684"/>
      <c r="MQV73" s="684"/>
      <c r="MQW73" s="684"/>
      <c r="MQX73" s="684"/>
      <c r="MQY73" s="684"/>
      <c r="MQZ73" s="684"/>
      <c r="MRA73" s="684"/>
      <c r="MRB73" s="684"/>
      <c r="MRC73" s="684"/>
      <c r="MRD73" s="684"/>
      <c r="MRE73" s="684"/>
      <c r="MRF73" s="684"/>
      <c r="MRG73" s="684"/>
      <c r="MRH73" s="684"/>
      <c r="MRI73" s="684"/>
      <c r="MRJ73" s="684"/>
      <c r="MRK73" s="684"/>
      <c r="MRL73" s="684"/>
      <c r="MRM73" s="684"/>
      <c r="MRN73" s="684"/>
      <c r="MRO73" s="684"/>
      <c r="MRP73" s="684"/>
      <c r="MRQ73" s="684"/>
      <c r="MRR73" s="684"/>
      <c r="MRS73" s="684"/>
      <c r="MRT73" s="684"/>
      <c r="MRU73" s="684"/>
      <c r="MRV73" s="684"/>
      <c r="MRW73" s="684"/>
      <c r="MRX73" s="684"/>
      <c r="MRY73" s="684"/>
      <c r="MRZ73" s="684"/>
      <c r="MSA73" s="684"/>
      <c r="MSB73" s="684"/>
      <c r="MSC73" s="684"/>
      <c r="MSD73" s="684"/>
      <c r="MSE73" s="684"/>
      <c r="MSF73" s="684"/>
      <c r="MSG73" s="684"/>
      <c r="MSH73" s="684"/>
      <c r="MSI73" s="684"/>
      <c r="MSJ73" s="684"/>
      <c r="MSK73" s="684"/>
      <c r="MSL73" s="684"/>
      <c r="MSM73" s="684"/>
      <c r="MSN73" s="684"/>
      <c r="MSO73" s="684"/>
      <c r="MSP73" s="684"/>
      <c r="MSQ73" s="684"/>
      <c r="MSR73" s="684"/>
      <c r="MSS73" s="684"/>
      <c r="MST73" s="684"/>
      <c r="MSU73" s="684"/>
      <c r="MSV73" s="684"/>
      <c r="MSW73" s="684"/>
      <c r="MSX73" s="684"/>
      <c r="MSY73" s="684"/>
      <c r="MSZ73" s="684"/>
      <c r="MTA73" s="684"/>
      <c r="MTB73" s="684"/>
      <c r="MTC73" s="684"/>
      <c r="MTD73" s="684"/>
      <c r="MTE73" s="684"/>
      <c r="MTF73" s="684"/>
      <c r="MTG73" s="684"/>
      <c r="MTH73" s="684"/>
      <c r="MTI73" s="684"/>
      <c r="MTJ73" s="684"/>
      <c r="MTK73" s="684"/>
      <c r="MTL73" s="684"/>
      <c r="MTM73" s="684"/>
      <c r="MTN73" s="684"/>
      <c r="MTO73" s="684"/>
      <c r="MTP73" s="684"/>
      <c r="MTQ73" s="684"/>
      <c r="MTR73" s="684"/>
      <c r="MTS73" s="684"/>
      <c r="MTT73" s="684"/>
      <c r="MTU73" s="684"/>
      <c r="MTV73" s="684"/>
      <c r="MTW73" s="684"/>
      <c r="MTX73" s="684"/>
      <c r="MTY73" s="684"/>
      <c r="MTZ73" s="684"/>
      <c r="MUA73" s="684"/>
      <c r="MUB73" s="684"/>
      <c r="MUC73" s="684"/>
      <c r="MUD73" s="684"/>
      <c r="MUE73" s="684"/>
      <c r="MUF73" s="684"/>
      <c r="MUG73" s="684"/>
      <c r="MUH73" s="684"/>
      <c r="MUI73" s="684"/>
      <c r="MUJ73" s="684"/>
      <c r="MUK73" s="684"/>
      <c r="MUL73" s="684"/>
      <c r="MUM73" s="684"/>
      <c r="MUN73" s="684"/>
      <c r="MUO73" s="684"/>
      <c r="MUP73" s="684"/>
      <c r="MUQ73" s="684"/>
      <c r="MUR73" s="684"/>
      <c r="MUS73" s="684"/>
      <c r="MUT73" s="684"/>
      <c r="MUU73" s="684"/>
      <c r="MUV73" s="684"/>
      <c r="MUW73" s="684"/>
      <c r="MUX73" s="684"/>
      <c r="MUY73" s="684"/>
      <c r="MUZ73" s="684"/>
      <c r="MVA73" s="684"/>
      <c r="MVB73" s="684"/>
      <c r="MVC73" s="684"/>
      <c r="MVD73" s="684"/>
      <c r="MVE73" s="684"/>
      <c r="MVF73" s="684"/>
      <c r="MVG73" s="684"/>
      <c r="MVH73" s="684"/>
      <c r="MVI73" s="684"/>
      <c r="MVJ73" s="684"/>
      <c r="MVK73" s="684"/>
      <c r="MVL73" s="684"/>
      <c r="MVM73" s="684"/>
      <c r="MVN73" s="684"/>
      <c r="MVO73" s="684"/>
      <c r="MVP73" s="684"/>
      <c r="MVQ73" s="684"/>
      <c r="MVR73" s="684"/>
      <c r="MVS73" s="684"/>
      <c r="MVT73" s="684"/>
      <c r="MVU73" s="684"/>
      <c r="MVV73" s="684"/>
      <c r="MVW73" s="684"/>
      <c r="MVX73" s="684"/>
      <c r="MVY73" s="684"/>
      <c r="MVZ73" s="684"/>
      <c r="MWA73" s="684"/>
      <c r="MWB73" s="684"/>
      <c r="MWC73" s="684"/>
      <c r="MWD73" s="684"/>
      <c r="MWE73" s="684"/>
      <c r="MWF73" s="684"/>
      <c r="MWG73" s="684"/>
      <c r="MWH73" s="684"/>
      <c r="MWI73" s="684"/>
      <c r="MWJ73" s="684"/>
      <c r="MWK73" s="684"/>
      <c r="MWL73" s="684"/>
      <c r="MWM73" s="684"/>
      <c r="MWN73" s="684"/>
      <c r="MWO73" s="684"/>
      <c r="MWP73" s="684"/>
      <c r="MWQ73" s="684"/>
      <c r="MWR73" s="684"/>
      <c r="MWS73" s="684"/>
      <c r="MWT73" s="684"/>
      <c r="MWU73" s="684"/>
      <c r="MWV73" s="684"/>
      <c r="MWW73" s="684"/>
      <c r="MWX73" s="684"/>
      <c r="MWY73" s="684"/>
      <c r="MWZ73" s="684"/>
      <c r="MXA73" s="684"/>
      <c r="MXB73" s="684"/>
      <c r="MXC73" s="684"/>
      <c r="MXD73" s="684"/>
      <c r="MXE73" s="684"/>
      <c r="MXF73" s="684"/>
      <c r="MXG73" s="684"/>
      <c r="MXH73" s="684"/>
      <c r="MXI73" s="684"/>
      <c r="MXJ73" s="684"/>
      <c r="MXK73" s="684"/>
      <c r="MXL73" s="684"/>
      <c r="MXM73" s="684"/>
      <c r="MXN73" s="684"/>
      <c r="MXO73" s="684"/>
      <c r="MXP73" s="684"/>
      <c r="MXQ73" s="684"/>
      <c r="MXR73" s="684"/>
      <c r="MXS73" s="684"/>
      <c r="MXT73" s="684"/>
      <c r="MXU73" s="684"/>
      <c r="MXV73" s="684"/>
      <c r="MXW73" s="684"/>
      <c r="MXX73" s="684"/>
      <c r="MXY73" s="684"/>
      <c r="MXZ73" s="684"/>
      <c r="MYA73" s="684"/>
      <c r="MYB73" s="684"/>
      <c r="MYC73" s="684"/>
      <c r="MYD73" s="684"/>
      <c r="MYE73" s="684"/>
      <c r="MYF73" s="684"/>
      <c r="MYG73" s="684"/>
      <c r="MYH73" s="684"/>
      <c r="MYI73" s="684"/>
      <c r="MYJ73" s="684"/>
      <c r="MYK73" s="684"/>
      <c r="MYL73" s="684"/>
      <c r="MYM73" s="684"/>
      <c r="MYN73" s="684"/>
      <c r="MYO73" s="684"/>
      <c r="MYP73" s="684"/>
      <c r="MYQ73" s="684"/>
      <c r="MYR73" s="684"/>
      <c r="MYS73" s="684"/>
      <c r="MYT73" s="684"/>
      <c r="MYU73" s="684"/>
      <c r="MYV73" s="684"/>
      <c r="MYW73" s="684"/>
      <c r="MYX73" s="684"/>
      <c r="MYY73" s="684"/>
      <c r="MYZ73" s="684"/>
      <c r="MZA73" s="684"/>
      <c r="MZB73" s="684"/>
      <c r="MZC73" s="684"/>
      <c r="MZD73" s="684"/>
      <c r="MZE73" s="684"/>
      <c r="MZF73" s="684"/>
      <c r="MZG73" s="684"/>
      <c r="MZH73" s="684"/>
      <c r="MZI73" s="684"/>
      <c r="MZJ73" s="684"/>
      <c r="MZK73" s="684"/>
      <c r="MZL73" s="684"/>
      <c r="MZM73" s="684"/>
      <c r="MZN73" s="684"/>
      <c r="MZO73" s="684"/>
      <c r="MZP73" s="684"/>
      <c r="MZQ73" s="684"/>
      <c r="MZR73" s="684"/>
      <c r="MZS73" s="684"/>
      <c r="MZT73" s="684"/>
      <c r="MZU73" s="684"/>
      <c r="MZV73" s="684"/>
      <c r="MZW73" s="684"/>
      <c r="MZX73" s="684"/>
      <c r="MZY73" s="684"/>
      <c r="MZZ73" s="684"/>
      <c r="NAA73" s="684"/>
      <c r="NAB73" s="684"/>
      <c r="NAC73" s="684"/>
      <c r="NAD73" s="684"/>
      <c r="NAE73" s="684"/>
      <c r="NAF73" s="684"/>
      <c r="NAG73" s="684"/>
      <c r="NAH73" s="684"/>
      <c r="NAI73" s="684"/>
      <c r="NAJ73" s="684"/>
      <c r="NAK73" s="684"/>
      <c r="NAL73" s="684"/>
      <c r="NAM73" s="684"/>
      <c r="NAN73" s="684"/>
      <c r="NAO73" s="684"/>
      <c r="NAP73" s="684"/>
      <c r="NAQ73" s="684"/>
      <c r="NAR73" s="684"/>
      <c r="NAS73" s="684"/>
      <c r="NAT73" s="684"/>
      <c r="NAU73" s="684"/>
      <c r="NAV73" s="684"/>
      <c r="NAW73" s="684"/>
      <c r="NAX73" s="684"/>
      <c r="NAY73" s="684"/>
      <c r="NAZ73" s="684"/>
      <c r="NBA73" s="684"/>
      <c r="NBB73" s="684"/>
      <c r="NBC73" s="684"/>
      <c r="NBD73" s="684"/>
      <c r="NBE73" s="684"/>
      <c r="NBF73" s="684"/>
      <c r="NBG73" s="684"/>
      <c r="NBH73" s="684"/>
      <c r="NBI73" s="684"/>
      <c r="NBJ73" s="684"/>
      <c r="NBK73" s="684"/>
      <c r="NBL73" s="684"/>
      <c r="NBM73" s="684"/>
      <c r="NBN73" s="684"/>
      <c r="NBO73" s="684"/>
      <c r="NBP73" s="684"/>
      <c r="NBQ73" s="684"/>
      <c r="NBR73" s="684"/>
      <c r="NBS73" s="684"/>
      <c r="NBT73" s="684"/>
      <c r="NBU73" s="684"/>
      <c r="NBV73" s="684"/>
      <c r="NBW73" s="684"/>
      <c r="NBX73" s="684"/>
      <c r="NBY73" s="684"/>
      <c r="NBZ73" s="684"/>
      <c r="NCA73" s="684"/>
      <c r="NCB73" s="684"/>
      <c r="NCC73" s="684"/>
      <c r="NCD73" s="684"/>
      <c r="NCE73" s="684"/>
      <c r="NCF73" s="684"/>
      <c r="NCG73" s="684"/>
      <c r="NCH73" s="684"/>
      <c r="NCI73" s="684"/>
      <c r="NCJ73" s="684"/>
      <c r="NCK73" s="684"/>
      <c r="NCL73" s="684"/>
      <c r="NCM73" s="684"/>
      <c r="NCN73" s="684"/>
      <c r="NCO73" s="684"/>
      <c r="NCP73" s="684"/>
      <c r="NCQ73" s="684"/>
      <c r="NCR73" s="684"/>
      <c r="NCS73" s="684"/>
      <c r="NCT73" s="684"/>
      <c r="NCU73" s="684"/>
      <c r="NCV73" s="684"/>
      <c r="NCW73" s="684"/>
      <c r="NCX73" s="684"/>
      <c r="NCY73" s="684"/>
      <c r="NCZ73" s="684"/>
      <c r="NDA73" s="684"/>
      <c r="NDB73" s="684"/>
      <c r="NDC73" s="684"/>
      <c r="NDD73" s="684"/>
      <c r="NDE73" s="684"/>
      <c r="NDF73" s="684"/>
      <c r="NDG73" s="684"/>
      <c r="NDH73" s="684"/>
      <c r="NDI73" s="684"/>
      <c r="NDJ73" s="684"/>
      <c r="NDK73" s="684"/>
      <c r="NDL73" s="684"/>
      <c r="NDM73" s="684"/>
      <c r="NDN73" s="684"/>
      <c r="NDO73" s="684"/>
      <c r="NDP73" s="684"/>
      <c r="NDQ73" s="684"/>
      <c r="NDR73" s="684"/>
      <c r="NDS73" s="684"/>
      <c r="NDT73" s="684"/>
      <c r="NDU73" s="684"/>
      <c r="NDV73" s="684"/>
      <c r="NDW73" s="684"/>
      <c r="NDX73" s="684"/>
      <c r="NDY73" s="684"/>
      <c r="NDZ73" s="684"/>
      <c r="NEA73" s="684"/>
      <c r="NEB73" s="684"/>
      <c r="NEC73" s="684"/>
      <c r="NED73" s="684"/>
      <c r="NEE73" s="684"/>
      <c r="NEF73" s="684"/>
      <c r="NEG73" s="684"/>
      <c r="NEH73" s="684"/>
      <c r="NEI73" s="684"/>
      <c r="NEJ73" s="684"/>
      <c r="NEK73" s="684"/>
      <c r="NEL73" s="684"/>
      <c r="NEM73" s="684"/>
      <c r="NEN73" s="684"/>
      <c r="NEO73" s="684"/>
      <c r="NEP73" s="684"/>
      <c r="NEQ73" s="684"/>
      <c r="NER73" s="684"/>
      <c r="NES73" s="684"/>
      <c r="NET73" s="684"/>
      <c r="NEU73" s="684"/>
      <c r="NEV73" s="684"/>
      <c r="NEW73" s="684"/>
      <c r="NEX73" s="684"/>
      <c r="NEY73" s="684"/>
      <c r="NEZ73" s="684"/>
      <c r="NFA73" s="684"/>
      <c r="NFB73" s="684"/>
      <c r="NFC73" s="684"/>
      <c r="NFD73" s="684"/>
      <c r="NFE73" s="684"/>
      <c r="NFF73" s="684"/>
      <c r="NFG73" s="684"/>
      <c r="NFH73" s="684"/>
      <c r="NFI73" s="684"/>
      <c r="NFJ73" s="684"/>
      <c r="NFK73" s="684"/>
      <c r="NFL73" s="684"/>
      <c r="NFM73" s="684"/>
      <c r="NFN73" s="684"/>
      <c r="NFO73" s="684"/>
      <c r="NFP73" s="684"/>
      <c r="NFQ73" s="684"/>
      <c r="NFR73" s="684"/>
      <c r="NFS73" s="684"/>
      <c r="NFT73" s="684"/>
      <c r="NFU73" s="684"/>
      <c r="NFV73" s="684"/>
      <c r="NFW73" s="684"/>
      <c r="NFX73" s="684"/>
      <c r="NFY73" s="684"/>
      <c r="NFZ73" s="684"/>
      <c r="NGA73" s="684"/>
      <c r="NGB73" s="684"/>
      <c r="NGC73" s="684"/>
      <c r="NGD73" s="684"/>
      <c r="NGE73" s="684"/>
      <c r="NGF73" s="684"/>
      <c r="NGG73" s="684"/>
      <c r="NGH73" s="684"/>
      <c r="NGI73" s="684"/>
      <c r="NGJ73" s="684"/>
      <c r="NGK73" s="684"/>
      <c r="NGL73" s="684"/>
      <c r="NGM73" s="684"/>
      <c r="NGN73" s="684"/>
      <c r="NGO73" s="684"/>
      <c r="NGP73" s="684"/>
      <c r="NGQ73" s="684"/>
      <c r="NGR73" s="684"/>
      <c r="NGS73" s="684"/>
      <c r="NGT73" s="684"/>
      <c r="NGU73" s="684"/>
      <c r="NGV73" s="684"/>
      <c r="NGW73" s="684"/>
      <c r="NGX73" s="684"/>
      <c r="NGY73" s="684"/>
      <c r="NGZ73" s="684"/>
      <c r="NHA73" s="684"/>
      <c r="NHB73" s="684"/>
      <c r="NHC73" s="684"/>
      <c r="NHD73" s="684"/>
      <c r="NHE73" s="684"/>
      <c r="NHF73" s="684"/>
      <c r="NHG73" s="684"/>
      <c r="NHH73" s="684"/>
      <c r="NHI73" s="684"/>
      <c r="NHJ73" s="684"/>
      <c r="NHK73" s="684"/>
      <c r="NHL73" s="684"/>
      <c r="NHM73" s="684"/>
      <c r="NHN73" s="684"/>
      <c r="NHO73" s="684"/>
      <c r="NHP73" s="684"/>
      <c r="NHQ73" s="684"/>
      <c r="NHR73" s="684"/>
      <c r="NHS73" s="684"/>
      <c r="NHT73" s="684"/>
      <c r="NHU73" s="684"/>
      <c r="NHV73" s="684"/>
      <c r="NHW73" s="684"/>
      <c r="NHX73" s="684"/>
      <c r="NHY73" s="684"/>
      <c r="NHZ73" s="684"/>
      <c r="NIA73" s="684"/>
      <c r="NIB73" s="684"/>
      <c r="NIC73" s="684"/>
      <c r="NID73" s="684"/>
      <c r="NIE73" s="684"/>
      <c r="NIF73" s="684"/>
      <c r="NIG73" s="684"/>
      <c r="NIH73" s="684"/>
      <c r="NII73" s="684"/>
      <c r="NIJ73" s="684"/>
      <c r="NIK73" s="684"/>
      <c r="NIL73" s="684"/>
      <c r="NIM73" s="684"/>
      <c r="NIN73" s="684"/>
      <c r="NIO73" s="684"/>
      <c r="NIP73" s="684"/>
      <c r="NIQ73" s="684"/>
      <c r="NIR73" s="684"/>
      <c r="NIS73" s="684"/>
      <c r="NIT73" s="684"/>
      <c r="NIU73" s="684"/>
      <c r="NIV73" s="684"/>
      <c r="NIW73" s="684"/>
      <c r="NIX73" s="684"/>
      <c r="NIY73" s="684"/>
      <c r="NIZ73" s="684"/>
      <c r="NJA73" s="684"/>
      <c r="NJB73" s="684"/>
      <c r="NJC73" s="684"/>
      <c r="NJD73" s="684"/>
      <c r="NJE73" s="684"/>
      <c r="NJF73" s="684"/>
      <c r="NJG73" s="684"/>
      <c r="NJH73" s="684"/>
      <c r="NJI73" s="684"/>
      <c r="NJJ73" s="684"/>
      <c r="NJK73" s="684"/>
      <c r="NJL73" s="684"/>
      <c r="NJM73" s="684"/>
      <c r="NJN73" s="684"/>
      <c r="NJO73" s="684"/>
      <c r="NJP73" s="684"/>
      <c r="NJQ73" s="684"/>
      <c r="NJR73" s="684"/>
      <c r="NJS73" s="684"/>
      <c r="NJT73" s="684"/>
      <c r="NJU73" s="684"/>
      <c r="NJV73" s="684"/>
      <c r="NJW73" s="684"/>
      <c r="NJX73" s="684"/>
      <c r="NJY73" s="684"/>
      <c r="NJZ73" s="684"/>
      <c r="NKA73" s="684"/>
      <c r="NKB73" s="684"/>
      <c r="NKC73" s="684"/>
      <c r="NKD73" s="684"/>
      <c r="NKE73" s="684"/>
      <c r="NKF73" s="684"/>
      <c r="NKG73" s="684"/>
      <c r="NKH73" s="684"/>
      <c r="NKI73" s="684"/>
      <c r="NKJ73" s="684"/>
      <c r="NKK73" s="684"/>
      <c r="NKL73" s="684"/>
      <c r="NKM73" s="684"/>
      <c r="NKN73" s="684"/>
      <c r="NKO73" s="684"/>
      <c r="NKP73" s="684"/>
      <c r="NKQ73" s="684"/>
      <c r="NKR73" s="684"/>
      <c r="NKS73" s="684"/>
      <c r="NKT73" s="684"/>
      <c r="NKU73" s="684"/>
      <c r="NKV73" s="684"/>
      <c r="NKW73" s="684"/>
      <c r="NKX73" s="684"/>
      <c r="NKY73" s="684"/>
      <c r="NKZ73" s="684"/>
      <c r="NLA73" s="684"/>
      <c r="NLB73" s="684"/>
      <c r="NLC73" s="684"/>
      <c r="NLD73" s="684"/>
      <c r="NLE73" s="684"/>
      <c r="NLF73" s="684"/>
      <c r="NLG73" s="684"/>
      <c r="NLH73" s="684"/>
      <c r="NLI73" s="684"/>
      <c r="NLJ73" s="684"/>
      <c r="NLK73" s="684"/>
      <c r="NLL73" s="684"/>
      <c r="NLM73" s="684"/>
      <c r="NLN73" s="684"/>
      <c r="NLO73" s="684"/>
      <c r="NLP73" s="684"/>
      <c r="NLQ73" s="684"/>
      <c r="NLR73" s="684"/>
      <c r="NLS73" s="684"/>
      <c r="NLT73" s="684"/>
      <c r="NLU73" s="684"/>
      <c r="NLV73" s="684"/>
      <c r="NLW73" s="684"/>
      <c r="NLX73" s="684"/>
      <c r="NLY73" s="684"/>
      <c r="NLZ73" s="684"/>
      <c r="NMA73" s="684"/>
      <c r="NMB73" s="684"/>
      <c r="NMC73" s="684"/>
      <c r="NMD73" s="684"/>
      <c r="NME73" s="684"/>
      <c r="NMF73" s="684"/>
      <c r="NMG73" s="684"/>
      <c r="NMH73" s="684"/>
      <c r="NMI73" s="684"/>
      <c r="NMJ73" s="684"/>
      <c r="NMK73" s="684"/>
      <c r="NML73" s="684"/>
      <c r="NMM73" s="684"/>
      <c r="NMN73" s="684"/>
      <c r="NMO73" s="684"/>
      <c r="NMP73" s="684"/>
      <c r="NMQ73" s="684"/>
      <c r="NMR73" s="684"/>
      <c r="NMS73" s="684"/>
      <c r="NMT73" s="684"/>
      <c r="NMU73" s="684"/>
      <c r="NMV73" s="684"/>
      <c r="NMW73" s="684"/>
      <c r="NMX73" s="684"/>
      <c r="NMY73" s="684"/>
      <c r="NMZ73" s="684"/>
      <c r="NNA73" s="684"/>
      <c r="NNB73" s="684"/>
      <c r="NNC73" s="684"/>
      <c r="NND73" s="684"/>
      <c r="NNE73" s="684"/>
      <c r="NNF73" s="684"/>
      <c r="NNG73" s="684"/>
      <c r="NNH73" s="684"/>
      <c r="NNI73" s="684"/>
      <c r="NNJ73" s="684"/>
      <c r="NNK73" s="684"/>
      <c r="NNL73" s="684"/>
      <c r="NNM73" s="684"/>
      <c r="NNN73" s="684"/>
      <c r="NNO73" s="684"/>
      <c r="NNP73" s="684"/>
      <c r="NNQ73" s="684"/>
      <c r="NNR73" s="684"/>
      <c r="NNS73" s="684"/>
      <c r="NNT73" s="684"/>
      <c r="NNU73" s="684"/>
      <c r="NNV73" s="684"/>
      <c r="NNW73" s="684"/>
      <c r="NNX73" s="684"/>
      <c r="NNY73" s="684"/>
      <c r="NNZ73" s="684"/>
      <c r="NOA73" s="684"/>
      <c r="NOB73" s="684"/>
      <c r="NOC73" s="684"/>
      <c r="NOD73" s="684"/>
      <c r="NOE73" s="684"/>
      <c r="NOF73" s="684"/>
      <c r="NOG73" s="684"/>
      <c r="NOH73" s="684"/>
      <c r="NOI73" s="684"/>
      <c r="NOJ73" s="684"/>
      <c r="NOK73" s="684"/>
      <c r="NOL73" s="684"/>
      <c r="NOM73" s="684"/>
      <c r="NON73" s="684"/>
      <c r="NOO73" s="684"/>
      <c r="NOP73" s="684"/>
      <c r="NOQ73" s="684"/>
      <c r="NOR73" s="684"/>
      <c r="NOS73" s="684"/>
      <c r="NOT73" s="684"/>
      <c r="NOU73" s="684"/>
      <c r="NOV73" s="684"/>
      <c r="NOW73" s="684"/>
      <c r="NOX73" s="684"/>
      <c r="NOY73" s="684"/>
      <c r="NOZ73" s="684"/>
      <c r="NPA73" s="684"/>
      <c r="NPB73" s="684"/>
      <c r="NPC73" s="684"/>
      <c r="NPD73" s="684"/>
      <c r="NPE73" s="684"/>
      <c r="NPF73" s="684"/>
      <c r="NPG73" s="684"/>
      <c r="NPH73" s="684"/>
      <c r="NPI73" s="684"/>
      <c r="NPJ73" s="684"/>
      <c r="NPK73" s="684"/>
      <c r="NPL73" s="684"/>
      <c r="NPM73" s="684"/>
      <c r="NPN73" s="684"/>
      <c r="NPO73" s="684"/>
      <c r="NPP73" s="684"/>
      <c r="NPQ73" s="684"/>
      <c r="NPR73" s="684"/>
      <c r="NPS73" s="684"/>
      <c r="NPT73" s="684"/>
      <c r="NPU73" s="684"/>
      <c r="NPV73" s="684"/>
      <c r="NPW73" s="684"/>
      <c r="NPX73" s="684"/>
      <c r="NPY73" s="684"/>
      <c r="NPZ73" s="684"/>
      <c r="NQA73" s="684"/>
      <c r="NQB73" s="684"/>
      <c r="NQC73" s="684"/>
      <c r="NQD73" s="684"/>
      <c r="NQE73" s="684"/>
      <c r="NQF73" s="684"/>
      <c r="NQG73" s="684"/>
      <c r="NQH73" s="684"/>
      <c r="NQI73" s="684"/>
      <c r="NQJ73" s="684"/>
      <c r="NQK73" s="684"/>
      <c r="NQL73" s="684"/>
      <c r="NQM73" s="684"/>
      <c r="NQN73" s="684"/>
      <c r="NQO73" s="684"/>
      <c r="NQP73" s="684"/>
      <c r="NQQ73" s="684"/>
      <c r="NQR73" s="684"/>
      <c r="NQS73" s="684"/>
      <c r="NQT73" s="684"/>
      <c r="NQU73" s="684"/>
      <c r="NQV73" s="684"/>
      <c r="NQW73" s="684"/>
      <c r="NQX73" s="684"/>
      <c r="NQY73" s="684"/>
      <c r="NQZ73" s="684"/>
      <c r="NRA73" s="684"/>
      <c r="NRB73" s="684"/>
      <c r="NRC73" s="684"/>
      <c r="NRD73" s="684"/>
      <c r="NRE73" s="684"/>
      <c r="NRF73" s="684"/>
      <c r="NRG73" s="684"/>
      <c r="NRH73" s="684"/>
      <c r="NRI73" s="684"/>
      <c r="NRJ73" s="684"/>
      <c r="NRK73" s="684"/>
      <c r="NRL73" s="684"/>
      <c r="NRM73" s="684"/>
      <c r="NRN73" s="684"/>
      <c r="NRO73" s="684"/>
      <c r="NRP73" s="684"/>
      <c r="NRQ73" s="684"/>
      <c r="NRR73" s="684"/>
      <c r="NRS73" s="684"/>
      <c r="NRT73" s="684"/>
      <c r="NRU73" s="684"/>
      <c r="NRV73" s="684"/>
      <c r="NRW73" s="684"/>
      <c r="NRX73" s="684"/>
      <c r="NRY73" s="684"/>
      <c r="NRZ73" s="684"/>
      <c r="NSA73" s="684"/>
      <c r="NSB73" s="684"/>
      <c r="NSC73" s="684"/>
      <c r="NSD73" s="684"/>
      <c r="NSE73" s="684"/>
      <c r="NSF73" s="684"/>
      <c r="NSG73" s="684"/>
      <c r="NSH73" s="684"/>
      <c r="NSI73" s="684"/>
      <c r="NSJ73" s="684"/>
      <c r="NSK73" s="684"/>
      <c r="NSL73" s="684"/>
      <c r="NSM73" s="684"/>
      <c r="NSN73" s="684"/>
      <c r="NSO73" s="684"/>
      <c r="NSP73" s="684"/>
      <c r="NSQ73" s="684"/>
      <c r="NSR73" s="684"/>
      <c r="NSS73" s="684"/>
      <c r="NST73" s="684"/>
      <c r="NSU73" s="684"/>
      <c r="NSV73" s="684"/>
      <c r="NSW73" s="684"/>
      <c r="NSX73" s="684"/>
      <c r="NSY73" s="684"/>
      <c r="NSZ73" s="684"/>
      <c r="NTA73" s="684"/>
      <c r="NTB73" s="684"/>
      <c r="NTC73" s="684"/>
      <c r="NTD73" s="684"/>
      <c r="NTE73" s="684"/>
      <c r="NTF73" s="684"/>
      <c r="NTG73" s="684"/>
      <c r="NTH73" s="684"/>
      <c r="NTI73" s="684"/>
      <c r="NTJ73" s="684"/>
      <c r="NTK73" s="684"/>
      <c r="NTL73" s="684"/>
      <c r="NTM73" s="684"/>
      <c r="NTN73" s="684"/>
      <c r="NTO73" s="684"/>
      <c r="NTP73" s="684"/>
      <c r="NTQ73" s="684"/>
      <c r="NTR73" s="684"/>
      <c r="NTS73" s="684"/>
      <c r="NTT73" s="684"/>
      <c r="NTU73" s="684"/>
      <c r="NTV73" s="684"/>
      <c r="NTW73" s="684"/>
      <c r="NTX73" s="684"/>
      <c r="NTY73" s="684"/>
      <c r="NTZ73" s="684"/>
      <c r="NUA73" s="684"/>
      <c r="NUB73" s="684"/>
      <c r="NUC73" s="684"/>
      <c r="NUD73" s="684"/>
      <c r="NUE73" s="684"/>
      <c r="NUF73" s="684"/>
      <c r="NUG73" s="684"/>
      <c r="NUH73" s="684"/>
      <c r="NUI73" s="684"/>
      <c r="NUJ73" s="684"/>
      <c r="NUK73" s="684"/>
      <c r="NUL73" s="684"/>
      <c r="NUM73" s="684"/>
      <c r="NUN73" s="684"/>
      <c r="NUO73" s="684"/>
      <c r="NUP73" s="684"/>
      <c r="NUQ73" s="684"/>
      <c r="NUR73" s="684"/>
      <c r="NUS73" s="684"/>
      <c r="NUT73" s="684"/>
      <c r="NUU73" s="684"/>
      <c r="NUV73" s="684"/>
      <c r="NUW73" s="684"/>
      <c r="NUX73" s="684"/>
      <c r="NUY73" s="684"/>
      <c r="NUZ73" s="684"/>
      <c r="NVA73" s="684"/>
      <c r="NVB73" s="684"/>
      <c r="NVC73" s="684"/>
      <c r="NVD73" s="684"/>
      <c r="NVE73" s="684"/>
      <c r="NVF73" s="684"/>
      <c r="NVG73" s="684"/>
      <c r="NVH73" s="684"/>
      <c r="NVI73" s="684"/>
      <c r="NVJ73" s="684"/>
      <c r="NVK73" s="684"/>
      <c r="NVL73" s="684"/>
      <c r="NVM73" s="684"/>
      <c r="NVN73" s="684"/>
      <c r="NVO73" s="684"/>
      <c r="NVP73" s="684"/>
      <c r="NVQ73" s="684"/>
      <c r="NVR73" s="684"/>
      <c r="NVS73" s="684"/>
      <c r="NVT73" s="684"/>
      <c r="NVU73" s="684"/>
      <c r="NVV73" s="684"/>
      <c r="NVW73" s="684"/>
      <c r="NVX73" s="684"/>
      <c r="NVY73" s="684"/>
      <c r="NVZ73" s="684"/>
      <c r="NWA73" s="684"/>
      <c r="NWB73" s="684"/>
      <c r="NWC73" s="684"/>
      <c r="NWD73" s="684"/>
      <c r="NWE73" s="684"/>
      <c r="NWF73" s="684"/>
      <c r="NWG73" s="684"/>
      <c r="NWH73" s="684"/>
      <c r="NWI73" s="684"/>
      <c r="NWJ73" s="684"/>
      <c r="NWK73" s="684"/>
      <c r="NWL73" s="684"/>
      <c r="NWM73" s="684"/>
      <c r="NWN73" s="684"/>
      <c r="NWO73" s="684"/>
      <c r="NWP73" s="684"/>
      <c r="NWQ73" s="684"/>
      <c r="NWR73" s="684"/>
      <c r="NWS73" s="684"/>
      <c r="NWT73" s="684"/>
      <c r="NWU73" s="684"/>
      <c r="NWV73" s="684"/>
      <c r="NWW73" s="684"/>
      <c r="NWX73" s="684"/>
      <c r="NWY73" s="684"/>
      <c r="NWZ73" s="684"/>
      <c r="NXA73" s="684"/>
      <c r="NXB73" s="684"/>
      <c r="NXC73" s="684"/>
      <c r="NXD73" s="684"/>
      <c r="NXE73" s="684"/>
      <c r="NXF73" s="684"/>
      <c r="NXG73" s="684"/>
      <c r="NXH73" s="684"/>
      <c r="NXI73" s="684"/>
      <c r="NXJ73" s="684"/>
      <c r="NXK73" s="684"/>
      <c r="NXL73" s="684"/>
      <c r="NXM73" s="684"/>
      <c r="NXN73" s="684"/>
      <c r="NXO73" s="684"/>
      <c r="NXP73" s="684"/>
      <c r="NXQ73" s="684"/>
      <c r="NXR73" s="684"/>
      <c r="NXS73" s="684"/>
      <c r="NXT73" s="684"/>
      <c r="NXU73" s="684"/>
      <c r="NXV73" s="684"/>
      <c r="NXW73" s="684"/>
      <c r="NXX73" s="684"/>
      <c r="NXY73" s="684"/>
      <c r="NXZ73" s="684"/>
      <c r="NYA73" s="684"/>
      <c r="NYB73" s="684"/>
      <c r="NYC73" s="684"/>
      <c r="NYD73" s="684"/>
      <c r="NYE73" s="684"/>
      <c r="NYF73" s="684"/>
      <c r="NYG73" s="684"/>
      <c r="NYH73" s="684"/>
      <c r="NYI73" s="684"/>
      <c r="NYJ73" s="684"/>
      <c r="NYK73" s="684"/>
      <c r="NYL73" s="684"/>
      <c r="NYM73" s="684"/>
      <c r="NYN73" s="684"/>
      <c r="NYO73" s="684"/>
      <c r="NYP73" s="684"/>
      <c r="NYQ73" s="684"/>
      <c r="NYR73" s="684"/>
      <c r="NYS73" s="684"/>
      <c r="NYT73" s="684"/>
      <c r="NYU73" s="684"/>
      <c r="NYV73" s="684"/>
      <c r="NYW73" s="684"/>
      <c r="NYX73" s="684"/>
      <c r="NYY73" s="684"/>
      <c r="NYZ73" s="684"/>
      <c r="NZA73" s="684"/>
      <c r="NZB73" s="684"/>
      <c r="NZC73" s="684"/>
      <c r="NZD73" s="684"/>
      <c r="NZE73" s="684"/>
      <c r="NZF73" s="684"/>
      <c r="NZG73" s="684"/>
      <c r="NZH73" s="684"/>
      <c r="NZI73" s="684"/>
      <c r="NZJ73" s="684"/>
      <c r="NZK73" s="684"/>
      <c r="NZL73" s="684"/>
      <c r="NZM73" s="684"/>
      <c r="NZN73" s="684"/>
      <c r="NZO73" s="684"/>
      <c r="NZP73" s="684"/>
      <c r="NZQ73" s="684"/>
      <c r="NZR73" s="684"/>
      <c r="NZS73" s="684"/>
      <c r="NZT73" s="684"/>
      <c r="NZU73" s="684"/>
      <c r="NZV73" s="684"/>
      <c r="NZW73" s="684"/>
      <c r="NZX73" s="684"/>
      <c r="NZY73" s="684"/>
      <c r="NZZ73" s="684"/>
      <c r="OAA73" s="684"/>
      <c r="OAB73" s="684"/>
      <c r="OAC73" s="684"/>
      <c r="OAD73" s="684"/>
      <c r="OAE73" s="684"/>
      <c r="OAF73" s="684"/>
      <c r="OAG73" s="684"/>
      <c r="OAH73" s="684"/>
      <c r="OAI73" s="684"/>
      <c r="OAJ73" s="684"/>
      <c r="OAK73" s="684"/>
      <c r="OAL73" s="684"/>
      <c r="OAM73" s="684"/>
      <c r="OAN73" s="684"/>
      <c r="OAO73" s="684"/>
      <c r="OAP73" s="684"/>
      <c r="OAQ73" s="684"/>
      <c r="OAR73" s="684"/>
      <c r="OAS73" s="684"/>
      <c r="OAT73" s="684"/>
      <c r="OAU73" s="684"/>
      <c r="OAV73" s="684"/>
      <c r="OAW73" s="684"/>
      <c r="OAX73" s="684"/>
      <c r="OAY73" s="684"/>
      <c r="OAZ73" s="684"/>
      <c r="OBA73" s="684"/>
      <c r="OBB73" s="684"/>
      <c r="OBC73" s="684"/>
      <c r="OBD73" s="684"/>
      <c r="OBE73" s="684"/>
      <c r="OBF73" s="684"/>
      <c r="OBG73" s="684"/>
      <c r="OBH73" s="684"/>
      <c r="OBI73" s="684"/>
      <c r="OBJ73" s="684"/>
      <c r="OBK73" s="684"/>
      <c r="OBL73" s="684"/>
      <c r="OBM73" s="684"/>
      <c r="OBN73" s="684"/>
      <c r="OBO73" s="684"/>
      <c r="OBP73" s="684"/>
      <c r="OBQ73" s="684"/>
      <c r="OBR73" s="684"/>
      <c r="OBS73" s="684"/>
      <c r="OBT73" s="684"/>
      <c r="OBU73" s="684"/>
      <c r="OBV73" s="684"/>
      <c r="OBW73" s="684"/>
      <c r="OBX73" s="684"/>
      <c r="OBY73" s="684"/>
      <c r="OBZ73" s="684"/>
      <c r="OCA73" s="684"/>
      <c r="OCB73" s="684"/>
      <c r="OCC73" s="684"/>
      <c r="OCD73" s="684"/>
      <c r="OCE73" s="684"/>
      <c r="OCF73" s="684"/>
      <c r="OCG73" s="684"/>
      <c r="OCH73" s="684"/>
      <c r="OCI73" s="684"/>
      <c r="OCJ73" s="684"/>
      <c r="OCK73" s="684"/>
      <c r="OCL73" s="684"/>
      <c r="OCM73" s="684"/>
      <c r="OCN73" s="684"/>
      <c r="OCO73" s="684"/>
      <c r="OCP73" s="684"/>
      <c r="OCQ73" s="684"/>
      <c r="OCR73" s="684"/>
      <c r="OCS73" s="684"/>
      <c r="OCT73" s="684"/>
      <c r="OCU73" s="684"/>
      <c r="OCV73" s="684"/>
      <c r="OCW73" s="684"/>
      <c r="OCX73" s="684"/>
      <c r="OCY73" s="684"/>
      <c r="OCZ73" s="684"/>
      <c r="ODA73" s="684"/>
      <c r="ODB73" s="684"/>
      <c r="ODC73" s="684"/>
      <c r="ODD73" s="684"/>
      <c r="ODE73" s="684"/>
      <c r="ODF73" s="684"/>
      <c r="ODG73" s="684"/>
      <c r="ODH73" s="684"/>
      <c r="ODI73" s="684"/>
      <c r="ODJ73" s="684"/>
      <c r="ODK73" s="684"/>
      <c r="ODL73" s="684"/>
      <c r="ODM73" s="684"/>
      <c r="ODN73" s="684"/>
      <c r="ODO73" s="684"/>
      <c r="ODP73" s="684"/>
      <c r="ODQ73" s="684"/>
      <c r="ODR73" s="684"/>
      <c r="ODS73" s="684"/>
      <c r="ODT73" s="684"/>
      <c r="ODU73" s="684"/>
      <c r="ODV73" s="684"/>
      <c r="ODW73" s="684"/>
      <c r="ODX73" s="684"/>
      <c r="ODY73" s="684"/>
      <c r="ODZ73" s="684"/>
      <c r="OEA73" s="684"/>
      <c r="OEB73" s="684"/>
      <c r="OEC73" s="684"/>
      <c r="OED73" s="684"/>
      <c r="OEE73" s="684"/>
      <c r="OEF73" s="684"/>
      <c r="OEG73" s="684"/>
      <c r="OEH73" s="684"/>
      <c r="OEI73" s="684"/>
      <c r="OEJ73" s="684"/>
      <c r="OEK73" s="684"/>
      <c r="OEL73" s="684"/>
      <c r="OEM73" s="684"/>
      <c r="OEN73" s="684"/>
      <c r="OEO73" s="684"/>
      <c r="OEP73" s="684"/>
      <c r="OEQ73" s="684"/>
      <c r="OER73" s="684"/>
      <c r="OES73" s="684"/>
      <c r="OET73" s="684"/>
      <c r="OEU73" s="684"/>
      <c r="OEV73" s="684"/>
      <c r="OEW73" s="684"/>
      <c r="OEX73" s="684"/>
      <c r="OEY73" s="684"/>
      <c r="OEZ73" s="684"/>
      <c r="OFA73" s="684"/>
      <c r="OFB73" s="684"/>
      <c r="OFC73" s="684"/>
      <c r="OFD73" s="684"/>
      <c r="OFE73" s="684"/>
      <c r="OFF73" s="684"/>
      <c r="OFG73" s="684"/>
      <c r="OFH73" s="684"/>
      <c r="OFI73" s="684"/>
      <c r="OFJ73" s="684"/>
      <c r="OFK73" s="684"/>
      <c r="OFL73" s="684"/>
      <c r="OFM73" s="684"/>
      <c r="OFN73" s="684"/>
      <c r="OFO73" s="684"/>
      <c r="OFP73" s="684"/>
      <c r="OFQ73" s="684"/>
      <c r="OFR73" s="684"/>
      <c r="OFS73" s="684"/>
      <c r="OFT73" s="684"/>
      <c r="OFU73" s="684"/>
      <c r="OFV73" s="684"/>
      <c r="OFW73" s="684"/>
      <c r="OFX73" s="684"/>
      <c r="OFY73" s="684"/>
      <c r="OFZ73" s="684"/>
      <c r="OGA73" s="684"/>
      <c r="OGB73" s="684"/>
      <c r="OGC73" s="684"/>
      <c r="OGD73" s="684"/>
      <c r="OGE73" s="684"/>
      <c r="OGF73" s="684"/>
      <c r="OGG73" s="684"/>
      <c r="OGH73" s="684"/>
      <c r="OGI73" s="684"/>
      <c r="OGJ73" s="684"/>
      <c r="OGK73" s="684"/>
      <c r="OGL73" s="684"/>
      <c r="OGM73" s="684"/>
      <c r="OGN73" s="684"/>
      <c r="OGO73" s="684"/>
      <c r="OGP73" s="684"/>
      <c r="OGQ73" s="684"/>
      <c r="OGR73" s="684"/>
      <c r="OGS73" s="684"/>
      <c r="OGT73" s="684"/>
      <c r="OGU73" s="684"/>
      <c r="OGV73" s="684"/>
      <c r="OGW73" s="684"/>
      <c r="OGX73" s="684"/>
      <c r="OGY73" s="684"/>
      <c r="OGZ73" s="684"/>
      <c r="OHA73" s="684"/>
      <c r="OHB73" s="684"/>
      <c r="OHC73" s="684"/>
      <c r="OHD73" s="684"/>
      <c r="OHE73" s="684"/>
      <c r="OHF73" s="684"/>
      <c r="OHG73" s="684"/>
      <c r="OHH73" s="684"/>
      <c r="OHI73" s="684"/>
      <c r="OHJ73" s="684"/>
      <c r="OHK73" s="684"/>
      <c r="OHL73" s="684"/>
      <c r="OHM73" s="684"/>
      <c r="OHN73" s="684"/>
      <c r="OHO73" s="684"/>
      <c r="OHP73" s="684"/>
      <c r="OHQ73" s="684"/>
      <c r="OHR73" s="684"/>
      <c r="OHS73" s="684"/>
      <c r="OHT73" s="684"/>
      <c r="OHU73" s="684"/>
      <c r="OHV73" s="684"/>
      <c r="OHW73" s="684"/>
      <c r="OHX73" s="684"/>
      <c r="OHY73" s="684"/>
      <c r="OHZ73" s="684"/>
      <c r="OIA73" s="684"/>
      <c r="OIB73" s="684"/>
      <c r="OIC73" s="684"/>
      <c r="OID73" s="684"/>
      <c r="OIE73" s="684"/>
      <c r="OIF73" s="684"/>
      <c r="OIG73" s="684"/>
      <c r="OIH73" s="684"/>
      <c r="OII73" s="684"/>
      <c r="OIJ73" s="684"/>
      <c r="OIK73" s="684"/>
      <c r="OIL73" s="684"/>
      <c r="OIM73" s="684"/>
      <c r="OIN73" s="684"/>
      <c r="OIO73" s="684"/>
      <c r="OIP73" s="684"/>
      <c r="OIQ73" s="684"/>
      <c r="OIR73" s="684"/>
      <c r="OIS73" s="684"/>
      <c r="OIT73" s="684"/>
      <c r="OIU73" s="684"/>
      <c r="OIV73" s="684"/>
      <c r="OIW73" s="684"/>
      <c r="OIX73" s="684"/>
      <c r="OIY73" s="684"/>
      <c r="OIZ73" s="684"/>
      <c r="OJA73" s="684"/>
      <c r="OJB73" s="684"/>
      <c r="OJC73" s="684"/>
      <c r="OJD73" s="684"/>
      <c r="OJE73" s="684"/>
      <c r="OJF73" s="684"/>
      <c r="OJG73" s="684"/>
      <c r="OJH73" s="684"/>
      <c r="OJI73" s="684"/>
      <c r="OJJ73" s="684"/>
      <c r="OJK73" s="684"/>
      <c r="OJL73" s="684"/>
      <c r="OJM73" s="684"/>
      <c r="OJN73" s="684"/>
      <c r="OJO73" s="684"/>
      <c r="OJP73" s="684"/>
      <c r="OJQ73" s="684"/>
      <c r="OJR73" s="684"/>
      <c r="OJS73" s="684"/>
      <c r="OJT73" s="684"/>
      <c r="OJU73" s="684"/>
      <c r="OJV73" s="684"/>
      <c r="OJW73" s="684"/>
      <c r="OJX73" s="684"/>
      <c r="OJY73" s="684"/>
      <c r="OJZ73" s="684"/>
      <c r="OKA73" s="684"/>
      <c r="OKB73" s="684"/>
      <c r="OKC73" s="684"/>
      <c r="OKD73" s="684"/>
      <c r="OKE73" s="684"/>
      <c r="OKF73" s="684"/>
      <c r="OKG73" s="684"/>
      <c r="OKH73" s="684"/>
      <c r="OKI73" s="684"/>
      <c r="OKJ73" s="684"/>
      <c r="OKK73" s="684"/>
      <c r="OKL73" s="684"/>
      <c r="OKM73" s="684"/>
      <c r="OKN73" s="684"/>
      <c r="OKO73" s="684"/>
      <c r="OKP73" s="684"/>
      <c r="OKQ73" s="684"/>
      <c r="OKR73" s="684"/>
      <c r="OKS73" s="684"/>
      <c r="OKT73" s="684"/>
      <c r="OKU73" s="684"/>
      <c r="OKV73" s="684"/>
      <c r="OKW73" s="684"/>
      <c r="OKX73" s="684"/>
      <c r="OKY73" s="684"/>
      <c r="OKZ73" s="684"/>
      <c r="OLA73" s="684"/>
      <c r="OLB73" s="684"/>
      <c r="OLC73" s="684"/>
      <c r="OLD73" s="684"/>
      <c r="OLE73" s="684"/>
      <c r="OLF73" s="684"/>
      <c r="OLG73" s="684"/>
      <c r="OLH73" s="684"/>
      <c r="OLI73" s="684"/>
      <c r="OLJ73" s="684"/>
      <c r="OLK73" s="684"/>
      <c r="OLL73" s="684"/>
      <c r="OLM73" s="684"/>
      <c r="OLN73" s="684"/>
      <c r="OLO73" s="684"/>
      <c r="OLP73" s="684"/>
      <c r="OLQ73" s="684"/>
      <c r="OLR73" s="684"/>
      <c r="OLS73" s="684"/>
      <c r="OLT73" s="684"/>
      <c r="OLU73" s="684"/>
      <c r="OLV73" s="684"/>
      <c r="OLW73" s="684"/>
      <c r="OLX73" s="684"/>
      <c r="OLY73" s="684"/>
      <c r="OLZ73" s="684"/>
      <c r="OMA73" s="684"/>
      <c r="OMB73" s="684"/>
      <c r="OMC73" s="684"/>
      <c r="OMD73" s="684"/>
      <c r="OME73" s="684"/>
      <c r="OMF73" s="684"/>
      <c r="OMG73" s="684"/>
      <c r="OMH73" s="684"/>
      <c r="OMI73" s="684"/>
      <c r="OMJ73" s="684"/>
      <c r="OMK73" s="684"/>
      <c r="OML73" s="684"/>
      <c r="OMM73" s="684"/>
      <c r="OMN73" s="684"/>
      <c r="OMO73" s="684"/>
      <c r="OMP73" s="684"/>
      <c r="OMQ73" s="684"/>
      <c r="OMR73" s="684"/>
      <c r="OMS73" s="684"/>
      <c r="OMT73" s="684"/>
      <c r="OMU73" s="684"/>
      <c r="OMV73" s="684"/>
      <c r="OMW73" s="684"/>
      <c r="OMX73" s="684"/>
      <c r="OMY73" s="684"/>
      <c r="OMZ73" s="684"/>
      <c r="ONA73" s="684"/>
      <c r="ONB73" s="684"/>
      <c r="ONC73" s="684"/>
      <c r="OND73" s="684"/>
      <c r="ONE73" s="684"/>
      <c r="ONF73" s="684"/>
      <c r="ONG73" s="684"/>
      <c r="ONH73" s="684"/>
      <c r="ONI73" s="684"/>
      <c r="ONJ73" s="684"/>
      <c r="ONK73" s="684"/>
      <c r="ONL73" s="684"/>
      <c r="ONM73" s="684"/>
      <c r="ONN73" s="684"/>
      <c r="ONO73" s="684"/>
      <c r="ONP73" s="684"/>
      <c r="ONQ73" s="684"/>
      <c r="ONR73" s="684"/>
      <c r="ONS73" s="684"/>
      <c r="ONT73" s="684"/>
      <c r="ONU73" s="684"/>
      <c r="ONV73" s="684"/>
      <c r="ONW73" s="684"/>
      <c r="ONX73" s="684"/>
      <c r="ONY73" s="684"/>
      <c r="ONZ73" s="684"/>
      <c r="OOA73" s="684"/>
      <c r="OOB73" s="684"/>
      <c r="OOC73" s="684"/>
      <c r="OOD73" s="684"/>
      <c r="OOE73" s="684"/>
      <c r="OOF73" s="684"/>
      <c r="OOG73" s="684"/>
      <c r="OOH73" s="684"/>
      <c r="OOI73" s="684"/>
      <c r="OOJ73" s="684"/>
      <c r="OOK73" s="684"/>
      <c r="OOL73" s="684"/>
      <c r="OOM73" s="684"/>
      <c r="OON73" s="684"/>
      <c r="OOO73" s="684"/>
      <c r="OOP73" s="684"/>
      <c r="OOQ73" s="684"/>
      <c r="OOR73" s="684"/>
      <c r="OOS73" s="684"/>
      <c r="OOT73" s="684"/>
      <c r="OOU73" s="684"/>
      <c r="OOV73" s="684"/>
      <c r="OOW73" s="684"/>
      <c r="OOX73" s="684"/>
      <c r="OOY73" s="684"/>
      <c r="OOZ73" s="684"/>
      <c r="OPA73" s="684"/>
      <c r="OPB73" s="684"/>
      <c r="OPC73" s="684"/>
      <c r="OPD73" s="684"/>
      <c r="OPE73" s="684"/>
      <c r="OPF73" s="684"/>
      <c r="OPG73" s="684"/>
      <c r="OPH73" s="684"/>
      <c r="OPI73" s="684"/>
      <c r="OPJ73" s="684"/>
      <c r="OPK73" s="684"/>
      <c r="OPL73" s="684"/>
      <c r="OPM73" s="684"/>
      <c r="OPN73" s="684"/>
      <c r="OPO73" s="684"/>
      <c r="OPP73" s="684"/>
      <c r="OPQ73" s="684"/>
      <c r="OPR73" s="684"/>
      <c r="OPS73" s="684"/>
      <c r="OPT73" s="684"/>
      <c r="OPU73" s="684"/>
      <c r="OPV73" s="684"/>
      <c r="OPW73" s="684"/>
      <c r="OPX73" s="684"/>
      <c r="OPY73" s="684"/>
      <c r="OPZ73" s="684"/>
      <c r="OQA73" s="684"/>
      <c r="OQB73" s="684"/>
      <c r="OQC73" s="684"/>
      <c r="OQD73" s="684"/>
      <c r="OQE73" s="684"/>
      <c r="OQF73" s="684"/>
      <c r="OQG73" s="684"/>
      <c r="OQH73" s="684"/>
      <c r="OQI73" s="684"/>
      <c r="OQJ73" s="684"/>
      <c r="OQK73" s="684"/>
      <c r="OQL73" s="684"/>
      <c r="OQM73" s="684"/>
      <c r="OQN73" s="684"/>
      <c r="OQO73" s="684"/>
      <c r="OQP73" s="684"/>
      <c r="OQQ73" s="684"/>
      <c r="OQR73" s="684"/>
      <c r="OQS73" s="684"/>
      <c r="OQT73" s="684"/>
      <c r="OQU73" s="684"/>
      <c r="OQV73" s="684"/>
      <c r="OQW73" s="684"/>
      <c r="OQX73" s="684"/>
      <c r="OQY73" s="684"/>
      <c r="OQZ73" s="684"/>
      <c r="ORA73" s="684"/>
      <c r="ORB73" s="684"/>
      <c r="ORC73" s="684"/>
      <c r="ORD73" s="684"/>
      <c r="ORE73" s="684"/>
      <c r="ORF73" s="684"/>
      <c r="ORG73" s="684"/>
      <c r="ORH73" s="684"/>
      <c r="ORI73" s="684"/>
      <c r="ORJ73" s="684"/>
      <c r="ORK73" s="684"/>
      <c r="ORL73" s="684"/>
      <c r="ORM73" s="684"/>
      <c r="ORN73" s="684"/>
      <c r="ORO73" s="684"/>
      <c r="ORP73" s="684"/>
      <c r="ORQ73" s="684"/>
      <c r="ORR73" s="684"/>
      <c r="ORS73" s="684"/>
      <c r="ORT73" s="684"/>
      <c r="ORU73" s="684"/>
      <c r="ORV73" s="684"/>
      <c r="ORW73" s="684"/>
      <c r="ORX73" s="684"/>
      <c r="ORY73" s="684"/>
      <c r="ORZ73" s="684"/>
      <c r="OSA73" s="684"/>
      <c r="OSB73" s="684"/>
      <c r="OSC73" s="684"/>
      <c r="OSD73" s="684"/>
      <c r="OSE73" s="684"/>
      <c r="OSF73" s="684"/>
      <c r="OSG73" s="684"/>
      <c r="OSH73" s="684"/>
      <c r="OSI73" s="684"/>
      <c r="OSJ73" s="684"/>
      <c r="OSK73" s="684"/>
      <c r="OSL73" s="684"/>
      <c r="OSM73" s="684"/>
      <c r="OSN73" s="684"/>
      <c r="OSO73" s="684"/>
      <c r="OSP73" s="684"/>
      <c r="OSQ73" s="684"/>
      <c r="OSR73" s="684"/>
      <c r="OSS73" s="684"/>
      <c r="OST73" s="684"/>
      <c r="OSU73" s="684"/>
      <c r="OSV73" s="684"/>
      <c r="OSW73" s="684"/>
      <c r="OSX73" s="684"/>
      <c r="OSY73" s="684"/>
      <c r="OSZ73" s="684"/>
      <c r="OTA73" s="684"/>
      <c r="OTB73" s="684"/>
      <c r="OTC73" s="684"/>
      <c r="OTD73" s="684"/>
      <c r="OTE73" s="684"/>
      <c r="OTF73" s="684"/>
      <c r="OTG73" s="684"/>
      <c r="OTH73" s="684"/>
      <c r="OTI73" s="684"/>
      <c r="OTJ73" s="684"/>
      <c r="OTK73" s="684"/>
      <c r="OTL73" s="684"/>
      <c r="OTM73" s="684"/>
      <c r="OTN73" s="684"/>
      <c r="OTO73" s="684"/>
      <c r="OTP73" s="684"/>
      <c r="OTQ73" s="684"/>
      <c r="OTR73" s="684"/>
      <c r="OTS73" s="684"/>
      <c r="OTT73" s="684"/>
      <c r="OTU73" s="684"/>
      <c r="OTV73" s="684"/>
      <c r="OTW73" s="684"/>
      <c r="OTX73" s="684"/>
      <c r="OTY73" s="684"/>
      <c r="OTZ73" s="684"/>
      <c r="OUA73" s="684"/>
      <c r="OUB73" s="684"/>
      <c r="OUC73" s="684"/>
      <c r="OUD73" s="684"/>
      <c r="OUE73" s="684"/>
      <c r="OUF73" s="684"/>
      <c r="OUG73" s="684"/>
      <c r="OUH73" s="684"/>
      <c r="OUI73" s="684"/>
      <c r="OUJ73" s="684"/>
      <c r="OUK73" s="684"/>
      <c r="OUL73" s="684"/>
      <c r="OUM73" s="684"/>
      <c r="OUN73" s="684"/>
      <c r="OUO73" s="684"/>
      <c r="OUP73" s="684"/>
      <c r="OUQ73" s="684"/>
      <c r="OUR73" s="684"/>
      <c r="OUS73" s="684"/>
      <c r="OUT73" s="684"/>
      <c r="OUU73" s="684"/>
      <c r="OUV73" s="684"/>
      <c r="OUW73" s="684"/>
      <c r="OUX73" s="684"/>
      <c r="OUY73" s="684"/>
      <c r="OUZ73" s="684"/>
      <c r="OVA73" s="684"/>
      <c r="OVB73" s="684"/>
      <c r="OVC73" s="684"/>
      <c r="OVD73" s="684"/>
      <c r="OVE73" s="684"/>
      <c r="OVF73" s="684"/>
      <c r="OVG73" s="684"/>
      <c r="OVH73" s="684"/>
      <c r="OVI73" s="684"/>
      <c r="OVJ73" s="684"/>
      <c r="OVK73" s="684"/>
      <c r="OVL73" s="684"/>
      <c r="OVM73" s="684"/>
      <c r="OVN73" s="684"/>
      <c r="OVO73" s="684"/>
      <c r="OVP73" s="684"/>
      <c r="OVQ73" s="684"/>
      <c r="OVR73" s="684"/>
      <c r="OVS73" s="684"/>
      <c r="OVT73" s="684"/>
      <c r="OVU73" s="684"/>
      <c r="OVV73" s="684"/>
      <c r="OVW73" s="684"/>
      <c r="OVX73" s="684"/>
      <c r="OVY73" s="684"/>
      <c r="OVZ73" s="684"/>
      <c r="OWA73" s="684"/>
      <c r="OWB73" s="684"/>
      <c r="OWC73" s="684"/>
      <c r="OWD73" s="684"/>
      <c r="OWE73" s="684"/>
      <c r="OWF73" s="684"/>
      <c r="OWG73" s="684"/>
      <c r="OWH73" s="684"/>
      <c r="OWI73" s="684"/>
      <c r="OWJ73" s="684"/>
      <c r="OWK73" s="684"/>
      <c r="OWL73" s="684"/>
      <c r="OWM73" s="684"/>
      <c r="OWN73" s="684"/>
      <c r="OWO73" s="684"/>
      <c r="OWP73" s="684"/>
      <c r="OWQ73" s="684"/>
      <c r="OWR73" s="684"/>
      <c r="OWS73" s="684"/>
      <c r="OWT73" s="684"/>
      <c r="OWU73" s="684"/>
      <c r="OWV73" s="684"/>
      <c r="OWW73" s="684"/>
      <c r="OWX73" s="684"/>
      <c r="OWY73" s="684"/>
      <c r="OWZ73" s="684"/>
      <c r="OXA73" s="684"/>
      <c r="OXB73" s="684"/>
      <c r="OXC73" s="684"/>
      <c r="OXD73" s="684"/>
      <c r="OXE73" s="684"/>
      <c r="OXF73" s="684"/>
      <c r="OXG73" s="684"/>
      <c r="OXH73" s="684"/>
      <c r="OXI73" s="684"/>
      <c r="OXJ73" s="684"/>
      <c r="OXK73" s="684"/>
      <c r="OXL73" s="684"/>
      <c r="OXM73" s="684"/>
      <c r="OXN73" s="684"/>
      <c r="OXO73" s="684"/>
      <c r="OXP73" s="684"/>
      <c r="OXQ73" s="684"/>
      <c r="OXR73" s="684"/>
      <c r="OXS73" s="684"/>
      <c r="OXT73" s="684"/>
      <c r="OXU73" s="684"/>
      <c r="OXV73" s="684"/>
      <c r="OXW73" s="684"/>
      <c r="OXX73" s="684"/>
      <c r="OXY73" s="684"/>
      <c r="OXZ73" s="684"/>
      <c r="OYA73" s="684"/>
      <c r="OYB73" s="684"/>
      <c r="OYC73" s="684"/>
      <c r="OYD73" s="684"/>
      <c r="OYE73" s="684"/>
      <c r="OYF73" s="684"/>
      <c r="OYG73" s="684"/>
      <c r="OYH73" s="684"/>
      <c r="OYI73" s="684"/>
      <c r="OYJ73" s="684"/>
      <c r="OYK73" s="684"/>
      <c r="OYL73" s="684"/>
      <c r="OYM73" s="684"/>
      <c r="OYN73" s="684"/>
      <c r="OYO73" s="684"/>
      <c r="OYP73" s="684"/>
      <c r="OYQ73" s="684"/>
      <c r="OYR73" s="684"/>
      <c r="OYS73" s="684"/>
      <c r="OYT73" s="684"/>
      <c r="OYU73" s="684"/>
      <c r="OYV73" s="684"/>
      <c r="OYW73" s="684"/>
      <c r="OYX73" s="684"/>
      <c r="OYY73" s="684"/>
      <c r="OYZ73" s="684"/>
      <c r="OZA73" s="684"/>
      <c r="OZB73" s="684"/>
      <c r="OZC73" s="684"/>
      <c r="OZD73" s="684"/>
      <c r="OZE73" s="684"/>
      <c r="OZF73" s="684"/>
      <c r="OZG73" s="684"/>
      <c r="OZH73" s="684"/>
      <c r="OZI73" s="684"/>
      <c r="OZJ73" s="684"/>
      <c r="OZK73" s="684"/>
      <c r="OZL73" s="684"/>
      <c r="OZM73" s="684"/>
      <c r="OZN73" s="684"/>
      <c r="OZO73" s="684"/>
      <c r="OZP73" s="684"/>
      <c r="OZQ73" s="684"/>
      <c r="OZR73" s="684"/>
      <c r="OZS73" s="684"/>
      <c r="OZT73" s="684"/>
      <c r="OZU73" s="684"/>
      <c r="OZV73" s="684"/>
      <c r="OZW73" s="684"/>
      <c r="OZX73" s="684"/>
      <c r="OZY73" s="684"/>
      <c r="OZZ73" s="684"/>
      <c r="PAA73" s="684"/>
      <c r="PAB73" s="684"/>
      <c r="PAC73" s="684"/>
      <c r="PAD73" s="684"/>
      <c r="PAE73" s="684"/>
      <c r="PAF73" s="684"/>
      <c r="PAG73" s="684"/>
      <c r="PAH73" s="684"/>
      <c r="PAI73" s="684"/>
      <c r="PAJ73" s="684"/>
      <c r="PAK73" s="684"/>
      <c r="PAL73" s="684"/>
      <c r="PAM73" s="684"/>
      <c r="PAN73" s="684"/>
      <c r="PAO73" s="684"/>
      <c r="PAP73" s="684"/>
      <c r="PAQ73" s="684"/>
      <c r="PAR73" s="684"/>
      <c r="PAS73" s="684"/>
      <c r="PAT73" s="684"/>
      <c r="PAU73" s="684"/>
      <c r="PAV73" s="684"/>
      <c r="PAW73" s="684"/>
      <c r="PAX73" s="684"/>
      <c r="PAY73" s="684"/>
      <c r="PAZ73" s="684"/>
      <c r="PBA73" s="684"/>
      <c r="PBB73" s="684"/>
      <c r="PBC73" s="684"/>
      <c r="PBD73" s="684"/>
      <c r="PBE73" s="684"/>
      <c r="PBF73" s="684"/>
      <c r="PBG73" s="684"/>
      <c r="PBH73" s="684"/>
      <c r="PBI73" s="684"/>
      <c r="PBJ73" s="684"/>
      <c r="PBK73" s="684"/>
      <c r="PBL73" s="684"/>
      <c r="PBM73" s="684"/>
      <c r="PBN73" s="684"/>
      <c r="PBO73" s="684"/>
      <c r="PBP73" s="684"/>
      <c r="PBQ73" s="684"/>
      <c r="PBR73" s="684"/>
      <c r="PBS73" s="684"/>
      <c r="PBT73" s="684"/>
      <c r="PBU73" s="684"/>
      <c r="PBV73" s="684"/>
      <c r="PBW73" s="684"/>
      <c r="PBX73" s="684"/>
      <c r="PBY73" s="684"/>
      <c r="PBZ73" s="684"/>
      <c r="PCA73" s="684"/>
      <c r="PCB73" s="684"/>
      <c r="PCC73" s="684"/>
      <c r="PCD73" s="684"/>
      <c r="PCE73" s="684"/>
      <c r="PCF73" s="684"/>
      <c r="PCG73" s="684"/>
      <c r="PCH73" s="684"/>
      <c r="PCI73" s="684"/>
      <c r="PCJ73" s="684"/>
      <c r="PCK73" s="684"/>
      <c r="PCL73" s="684"/>
      <c r="PCM73" s="684"/>
      <c r="PCN73" s="684"/>
      <c r="PCO73" s="684"/>
      <c r="PCP73" s="684"/>
      <c r="PCQ73" s="684"/>
      <c r="PCR73" s="684"/>
      <c r="PCS73" s="684"/>
      <c r="PCT73" s="684"/>
      <c r="PCU73" s="684"/>
      <c r="PCV73" s="684"/>
      <c r="PCW73" s="684"/>
      <c r="PCX73" s="684"/>
      <c r="PCY73" s="684"/>
      <c r="PCZ73" s="684"/>
      <c r="PDA73" s="684"/>
      <c r="PDB73" s="684"/>
      <c r="PDC73" s="684"/>
      <c r="PDD73" s="684"/>
      <c r="PDE73" s="684"/>
      <c r="PDF73" s="684"/>
      <c r="PDG73" s="684"/>
      <c r="PDH73" s="684"/>
      <c r="PDI73" s="684"/>
      <c r="PDJ73" s="684"/>
      <c r="PDK73" s="684"/>
      <c r="PDL73" s="684"/>
      <c r="PDM73" s="684"/>
      <c r="PDN73" s="684"/>
      <c r="PDO73" s="684"/>
      <c r="PDP73" s="684"/>
      <c r="PDQ73" s="684"/>
      <c r="PDR73" s="684"/>
      <c r="PDS73" s="684"/>
      <c r="PDT73" s="684"/>
      <c r="PDU73" s="684"/>
      <c r="PDV73" s="684"/>
      <c r="PDW73" s="684"/>
      <c r="PDX73" s="684"/>
      <c r="PDY73" s="684"/>
      <c r="PDZ73" s="684"/>
      <c r="PEA73" s="684"/>
      <c r="PEB73" s="684"/>
      <c r="PEC73" s="684"/>
      <c r="PED73" s="684"/>
      <c r="PEE73" s="684"/>
      <c r="PEF73" s="684"/>
      <c r="PEG73" s="684"/>
      <c r="PEH73" s="684"/>
      <c r="PEI73" s="684"/>
      <c r="PEJ73" s="684"/>
      <c r="PEK73" s="684"/>
      <c r="PEL73" s="684"/>
      <c r="PEM73" s="684"/>
      <c r="PEN73" s="684"/>
      <c r="PEO73" s="684"/>
      <c r="PEP73" s="684"/>
      <c r="PEQ73" s="684"/>
      <c r="PER73" s="684"/>
      <c r="PES73" s="684"/>
      <c r="PET73" s="684"/>
      <c r="PEU73" s="684"/>
      <c r="PEV73" s="684"/>
      <c r="PEW73" s="684"/>
      <c r="PEX73" s="684"/>
      <c r="PEY73" s="684"/>
      <c r="PEZ73" s="684"/>
      <c r="PFA73" s="684"/>
      <c r="PFB73" s="684"/>
      <c r="PFC73" s="684"/>
      <c r="PFD73" s="684"/>
      <c r="PFE73" s="684"/>
      <c r="PFF73" s="684"/>
      <c r="PFG73" s="684"/>
      <c r="PFH73" s="684"/>
      <c r="PFI73" s="684"/>
      <c r="PFJ73" s="684"/>
      <c r="PFK73" s="684"/>
      <c r="PFL73" s="684"/>
      <c r="PFM73" s="684"/>
      <c r="PFN73" s="684"/>
      <c r="PFO73" s="684"/>
      <c r="PFP73" s="684"/>
      <c r="PFQ73" s="684"/>
      <c r="PFR73" s="684"/>
      <c r="PFS73" s="684"/>
      <c r="PFT73" s="684"/>
      <c r="PFU73" s="684"/>
      <c r="PFV73" s="684"/>
      <c r="PFW73" s="684"/>
      <c r="PFX73" s="684"/>
      <c r="PFY73" s="684"/>
      <c r="PFZ73" s="684"/>
      <c r="PGA73" s="684"/>
      <c r="PGB73" s="684"/>
      <c r="PGC73" s="684"/>
      <c r="PGD73" s="684"/>
      <c r="PGE73" s="684"/>
      <c r="PGF73" s="684"/>
      <c r="PGG73" s="684"/>
      <c r="PGH73" s="684"/>
      <c r="PGI73" s="684"/>
      <c r="PGJ73" s="684"/>
      <c r="PGK73" s="684"/>
      <c r="PGL73" s="684"/>
      <c r="PGM73" s="684"/>
      <c r="PGN73" s="684"/>
      <c r="PGO73" s="684"/>
      <c r="PGP73" s="684"/>
      <c r="PGQ73" s="684"/>
      <c r="PGR73" s="684"/>
      <c r="PGS73" s="684"/>
      <c r="PGT73" s="684"/>
      <c r="PGU73" s="684"/>
      <c r="PGV73" s="684"/>
      <c r="PGW73" s="684"/>
      <c r="PGX73" s="684"/>
      <c r="PGY73" s="684"/>
      <c r="PGZ73" s="684"/>
      <c r="PHA73" s="684"/>
      <c r="PHB73" s="684"/>
      <c r="PHC73" s="684"/>
      <c r="PHD73" s="684"/>
      <c r="PHE73" s="684"/>
      <c r="PHF73" s="684"/>
      <c r="PHG73" s="684"/>
      <c r="PHH73" s="684"/>
      <c r="PHI73" s="684"/>
      <c r="PHJ73" s="684"/>
      <c r="PHK73" s="684"/>
      <c r="PHL73" s="684"/>
      <c r="PHM73" s="684"/>
      <c r="PHN73" s="684"/>
      <c r="PHO73" s="684"/>
      <c r="PHP73" s="684"/>
      <c r="PHQ73" s="684"/>
      <c r="PHR73" s="684"/>
      <c r="PHS73" s="684"/>
      <c r="PHT73" s="684"/>
      <c r="PHU73" s="684"/>
      <c r="PHV73" s="684"/>
      <c r="PHW73" s="684"/>
      <c r="PHX73" s="684"/>
      <c r="PHY73" s="684"/>
      <c r="PHZ73" s="684"/>
      <c r="PIA73" s="684"/>
      <c r="PIB73" s="684"/>
      <c r="PIC73" s="684"/>
      <c r="PID73" s="684"/>
      <c r="PIE73" s="684"/>
      <c r="PIF73" s="684"/>
      <c r="PIG73" s="684"/>
      <c r="PIH73" s="684"/>
      <c r="PII73" s="684"/>
      <c r="PIJ73" s="684"/>
      <c r="PIK73" s="684"/>
      <c r="PIL73" s="684"/>
      <c r="PIM73" s="684"/>
      <c r="PIN73" s="684"/>
      <c r="PIO73" s="684"/>
      <c r="PIP73" s="684"/>
      <c r="PIQ73" s="684"/>
      <c r="PIR73" s="684"/>
      <c r="PIS73" s="684"/>
      <c r="PIT73" s="684"/>
      <c r="PIU73" s="684"/>
      <c r="PIV73" s="684"/>
      <c r="PIW73" s="684"/>
      <c r="PIX73" s="684"/>
      <c r="PIY73" s="684"/>
      <c r="PIZ73" s="684"/>
      <c r="PJA73" s="684"/>
      <c r="PJB73" s="684"/>
      <c r="PJC73" s="684"/>
      <c r="PJD73" s="684"/>
      <c r="PJE73" s="684"/>
      <c r="PJF73" s="684"/>
      <c r="PJG73" s="684"/>
      <c r="PJH73" s="684"/>
      <c r="PJI73" s="684"/>
      <c r="PJJ73" s="684"/>
      <c r="PJK73" s="684"/>
      <c r="PJL73" s="684"/>
      <c r="PJM73" s="684"/>
      <c r="PJN73" s="684"/>
      <c r="PJO73" s="684"/>
      <c r="PJP73" s="684"/>
      <c r="PJQ73" s="684"/>
      <c r="PJR73" s="684"/>
      <c r="PJS73" s="684"/>
      <c r="PJT73" s="684"/>
      <c r="PJU73" s="684"/>
      <c r="PJV73" s="684"/>
      <c r="PJW73" s="684"/>
      <c r="PJX73" s="684"/>
      <c r="PJY73" s="684"/>
      <c r="PJZ73" s="684"/>
      <c r="PKA73" s="684"/>
      <c r="PKB73" s="684"/>
      <c r="PKC73" s="684"/>
      <c r="PKD73" s="684"/>
      <c r="PKE73" s="684"/>
      <c r="PKF73" s="684"/>
      <c r="PKG73" s="684"/>
      <c r="PKH73" s="684"/>
      <c r="PKI73" s="684"/>
      <c r="PKJ73" s="684"/>
      <c r="PKK73" s="684"/>
      <c r="PKL73" s="684"/>
      <c r="PKM73" s="684"/>
      <c r="PKN73" s="684"/>
      <c r="PKO73" s="684"/>
      <c r="PKP73" s="684"/>
      <c r="PKQ73" s="684"/>
      <c r="PKR73" s="684"/>
      <c r="PKS73" s="684"/>
      <c r="PKT73" s="684"/>
      <c r="PKU73" s="684"/>
      <c r="PKV73" s="684"/>
      <c r="PKW73" s="684"/>
      <c r="PKX73" s="684"/>
      <c r="PKY73" s="684"/>
      <c r="PKZ73" s="684"/>
      <c r="PLA73" s="684"/>
      <c r="PLB73" s="684"/>
      <c r="PLC73" s="684"/>
      <c r="PLD73" s="684"/>
      <c r="PLE73" s="684"/>
      <c r="PLF73" s="684"/>
      <c r="PLG73" s="684"/>
      <c r="PLH73" s="684"/>
      <c r="PLI73" s="684"/>
      <c r="PLJ73" s="684"/>
      <c r="PLK73" s="684"/>
      <c r="PLL73" s="684"/>
      <c r="PLM73" s="684"/>
      <c r="PLN73" s="684"/>
      <c r="PLO73" s="684"/>
      <c r="PLP73" s="684"/>
      <c r="PLQ73" s="684"/>
      <c r="PLR73" s="684"/>
      <c r="PLS73" s="684"/>
      <c r="PLT73" s="684"/>
      <c r="PLU73" s="684"/>
      <c r="PLV73" s="684"/>
      <c r="PLW73" s="684"/>
      <c r="PLX73" s="684"/>
      <c r="PLY73" s="684"/>
      <c r="PLZ73" s="684"/>
      <c r="PMA73" s="684"/>
      <c r="PMB73" s="684"/>
      <c r="PMC73" s="684"/>
      <c r="PMD73" s="684"/>
      <c r="PME73" s="684"/>
      <c r="PMF73" s="684"/>
      <c r="PMG73" s="684"/>
      <c r="PMH73" s="684"/>
      <c r="PMI73" s="684"/>
      <c r="PMJ73" s="684"/>
      <c r="PMK73" s="684"/>
      <c r="PML73" s="684"/>
      <c r="PMM73" s="684"/>
      <c r="PMN73" s="684"/>
      <c r="PMO73" s="684"/>
      <c r="PMP73" s="684"/>
      <c r="PMQ73" s="684"/>
      <c r="PMR73" s="684"/>
      <c r="PMS73" s="684"/>
      <c r="PMT73" s="684"/>
      <c r="PMU73" s="684"/>
      <c r="PMV73" s="684"/>
      <c r="PMW73" s="684"/>
      <c r="PMX73" s="684"/>
      <c r="PMY73" s="684"/>
      <c r="PMZ73" s="684"/>
      <c r="PNA73" s="684"/>
      <c r="PNB73" s="684"/>
      <c r="PNC73" s="684"/>
      <c r="PND73" s="684"/>
      <c r="PNE73" s="684"/>
      <c r="PNF73" s="684"/>
      <c r="PNG73" s="684"/>
      <c r="PNH73" s="684"/>
      <c r="PNI73" s="684"/>
      <c r="PNJ73" s="684"/>
      <c r="PNK73" s="684"/>
      <c r="PNL73" s="684"/>
      <c r="PNM73" s="684"/>
      <c r="PNN73" s="684"/>
      <c r="PNO73" s="684"/>
      <c r="PNP73" s="684"/>
      <c r="PNQ73" s="684"/>
      <c r="PNR73" s="684"/>
      <c r="PNS73" s="684"/>
      <c r="PNT73" s="684"/>
      <c r="PNU73" s="684"/>
      <c r="PNV73" s="684"/>
      <c r="PNW73" s="684"/>
      <c r="PNX73" s="684"/>
      <c r="PNY73" s="684"/>
      <c r="PNZ73" s="684"/>
      <c r="POA73" s="684"/>
      <c r="POB73" s="684"/>
      <c r="POC73" s="684"/>
      <c r="POD73" s="684"/>
      <c r="POE73" s="684"/>
      <c r="POF73" s="684"/>
      <c r="POG73" s="684"/>
      <c r="POH73" s="684"/>
      <c r="POI73" s="684"/>
      <c r="POJ73" s="684"/>
      <c r="POK73" s="684"/>
      <c r="POL73" s="684"/>
      <c r="POM73" s="684"/>
      <c r="PON73" s="684"/>
      <c r="POO73" s="684"/>
      <c r="POP73" s="684"/>
      <c r="POQ73" s="684"/>
      <c r="POR73" s="684"/>
      <c r="POS73" s="684"/>
      <c r="POT73" s="684"/>
      <c r="POU73" s="684"/>
      <c r="POV73" s="684"/>
      <c r="POW73" s="684"/>
      <c r="POX73" s="684"/>
      <c r="POY73" s="684"/>
      <c r="POZ73" s="684"/>
      <c r="PPA73" s="684"/>
      <c r="PPB73" s="684"/>
      <c r="PPC73" s="684"/>
      <c r="PPD73" s="684"/>
      <c r="PPE73" s="684"/>
      <c r="PPF73" s="684"/>
      <c r="PPG73" s="684"/>
      <c r="PPH73" s="684"/>
      <c r="PPI73" s="684"/>
      <c r="PPJ73" s="684"/>
      <c r="PPK73" s="684"/>
      <c r="PPL73" s="684"/>
      <c r="PPM73" s="684"/>
      <c r="PPN73" s="684"/>
      <c r="PPO73" s="684"/>
      <c r="PPP73" s="684"/>
      <c r="PPQ73" s="684"/>
      <c r="PPR73" s="684"/>
      <c r="PPS73" s="684"/>
      <c r="PPT73" s="684"/>
      <c r="PPU73" s="684"/>
      <c r="PPV73" s="684"/>
      <c r="PPW73" s="684"/>
      <c r="PPX73" s="684"/>
      <c r="PPY73" s="684"/>
      <c r="PPZ73" s="684"/>
      <c r="PQA73" s="684"/>
      <c r="PQB73" s="684"/>
      <c r="PQC73" s="684"/>
      <c r="PQD73" s="684"/>
      <c r="PQE73" s="684"/>
      <c r="PQF73" s="684"/>
      <c r="PQG73" s="684"/>
      <c r="PQH73" s="684"/>
      <c r="PQI73" s="684"/>
      <c r="PQJ73" s="684"/>
      <c r="PQK73" s="684"/>
      <c r="PQL73" s="684"/>
      <c r="PQM73" s="684"/>
      <c r="PQN73" s="684"/>
      <c r="PQO73" s="684"/>
      <c r="PQP73" s="684"/>
      <c r="PQQ73" s="684"/>
      <c r="PQR73" s="684"/>
      <c r="PQS73" s="684"/>
      <c r="PQT73" s="684"/>
      <c r="PQU73" s="684"/>
      <c r="PQV73" s="684"/>
      <c r="PQW73" s="684"/>
      <c r="PQX73" s="684"/>
      <c r="PQY73" s="684"/>
      <c r="PQZ73" s="684"/>
      <c r="PRA73" s="684"/>
      <c r="PRB73" s="684"/>
      <c r="PRC73" s="684"/>
      <c r="PRD73" s="684"/>
      <c r="PRE73" s="684"/>
      <c r="PRF73" s="684"/>
      <c r="PRG73" s="684"/>
      <c r="PRH73" s="684"/>
      <c r="PRI73" s="684"/>
      <c r="PRJ73" s="684"/>
      <c r="PRK73" s="684"/>
      <c r="PRL73" s="684"/>
      <c r="PRM73" s="684"/>
      <c r="PRN73" s="684"/>
      <c r="PRO73" s="684"/>
      <c r="PRP73" s="684"/>
      <c r="PRQ73" s="684"/>
      <c r="PRR73" s="684"/>
      <c r="PRS73" s="684"/>
      <c r="PRT73" s="684"/>
      <c r="PRU73" s="684"/>
      <c r="PRV73" s="684"/>
      <c r="PRW73" s="684"/>
      <c r="PRX73" s="684"/>
      <c r="PRY73" s="684"/>
      <c r="PRZ73" s="684"/>
      <c r="PSA73" s="684"/>
      <c r="PSB73" s="684"/>
      <c r="PSC73" s="684"/>
      <c r="PSD73" s="684"/>
      <c r="PSE73" s="684"/>
      <c r="PSF73" s="684"/>
      <c r="PSG73" s="684"/>
      <c r="PSH73" s="684"/>
      <c r="PSI73" s="684"/>
      <c r="PSJ73" s="684"/>
      <c r="PSK73" s="684"/>
      <c r="PSL73" s="684"/>
      <c r="PSM73" s="684"/>
      <c r="PSN73" s="684"/>
      <c r="PSO73" s="684"/>
      <c r="PSP73" s="684"/>
      <c r="PSQ73" s="684"/>
      <c r="PSR73" s="684"/>
      <c r="PSS73" s="684"/>
      <c r="PST73" s="684"/>
      <c r="PSU73" s="684"/>
      <c r="PSV73" s="684"/>
      <c r="PSW73" s="684"/>
      <c r="PSX73" s="684"/>
      <c r="PSY73" s="684"/>
      <c r="PSZ73" s="684"/>
      <c r="PTA73" s="684"/>
      <c r="PTB73" s="684"/>
      <c r="PTC73" s="684"/>
      <c r="PTD73" s="684"/>
      <c r="PTE73" s="684"/>
      <c r="PTF73" s="684"/>
      <c r="PTG73" s="684"/>
      <c r="PTH73" s="684"/>
      <c r="PTI73" s="684"/>
      <c r="PTJ73" s="684"/>
      <c r="PTK73" s="684"/>
      <c r="PTL73" s="684"/>
      <c r="PTM73" s="684"/>
      <c r="PTN73" s="684"/>
      <c r="PTO73" s="684"/>
      <c r="PTP73" s="684"/>
      <c r="PTQ73" s="684"/>
      <c r="PTR73" s="684"/>
      <c r="PTS73" s="684"/>
      <c r="PTT73" s="684"/>
      <c r="PTU73" s="684"/>
      <c r="PTV73" s="684"/>
      <c r="PTW73" s="684"/>
      <c r="PTX73" s="684"/>
      <c r="PTY73" s="684"/>
      <c r="PTZ73" s="684"/>
      <c r="PUA73" s="684"/>
      <c r="PUB73" s="684"/>
      <c r="PUC73" s="684"/>
      <c r="PUD73" s="684"/>
      <c r="PUE73" s="684"/>
      <c r="PUF73" s="684"/>
      <c r="PUG73" s="684"/>
      <c r="PUH73" s="684"/>
      <c r="PUI73" s="684"/>
      <c r="PUJ73" s="684"/>
      <c r="PUK73" s="684"/>
      <c r="PUL73" s="684"/>
      <c r="PUM73" s="684"/>
      <c r="PUN73" s="684"/>
      <c r="PUO73" s="684"/>
      <c r="PUP73" s="684"/>
      <c r="PUQ73" s="684"/>
      <c r="PUR73" s="684"/>
      <c r="PUS73" s="684"/>
      <c r="PUT73" s="684"/>
      <c r="PUU73" s="684"/>
      <c r="PUV73" s="684"/>
      <c r="PUW73" s="684"/>
      <c r="PUX73" s="684"/>
      <c r="PUY73" s="684"/>
      <c r="PUZ73" s="684"/>
      <c r="PVA73" s="684"/>
      <c r="PVB73" s="684"/>
      <c r="PVC73" s="684"/>
      <c r="PVD73" s="684"/>
      <c r="PVE73" s="684"/>
      <c r="PVF73" s="684"/>
      <c r="PVG73" s="684"/>
      <c r="PVH73" s="684"/>
      <c r="PVI73" s="684"/>
      <c r="PVJ73" s="684"/>
      <c r="PVK73" s="684"/>
      <c r="PVL73" s="684"/>
      <c r="PVM73" s="684"/>
      <c r="PVN73" s="684"/>
      <c r="PVO73" s="684"/>
      <c r="PVP73" s="684"/>
      <c r="PVQ73" s="684"/>
      <c r="PVR73" s="684"/>
      <c r="PVS73" s="684"/>
      <c r="PVT73" s="684"/>
      <c r="PVU73" s="684"/>
      <c r="PVV73" s="684"/>
      <c r="PVW73" s="684"/>
      <c r="PVX73" s="684"/>
      <c r="PVY73" s="684"/>
      <c r="PVZ73" s="684"/>
      <c r="PWA73" s="684"/>
      <c r="PWB73" s="684"/>
      <c r="PWC73" s="684"/>
      <c r="PWD73" s="684"/>
      <c r="PWE73" s="684"/>
      <c r="PWF73" s="684"/>
      <c r="PWG73" s="684"/>
      <c r="PWH73" s="684"/>
      <c r="PWI73" s="684"/>
      <c r="PWJ73" s="684"/>
      <c r="PWK73" s="684"/>
      <c r="PWL73" s="684"/>
      <c r="PWM73" s="684"/>
      <c r="PWN73" s="684"/>
      <c r="PWO73" s="684"/>
      <c r="PWP73" s="684"/>
      <c r="PWQ73" s="684"/>
      <c r="PWR73" s="684"/>
      <c r="PWS73" s="684"/>
      <c r="PWT73" s="684"/>
      <c r="PWU73" s="684"/>
      <c r="PWV73" s="684"/>
      <c r="PWW73" s="684"/>
      <c r="PWX73" s="684"/>
      <c r="PWY73" s="684"/>
      <c r="PWZ73" s="684"/>
      <c r="PXA73" s="684"/>
      <c r="PXB73" s="684"/>
      <c r="PXC73" s="684"/>
      <c r="PXD73" s="684"/>
      <c r="PXE73" s="684"/>
      <c r="PXF73" s="684"/>
      <c r="PXG73" s="684"/>
      <c r="PXH73" s="684"/>
      <c r="PXI73" s="684"/>
      <c r="PXJ73" s="684"/>
      <c r="PXK73" s="684"/>
      <c r="PXL73" s="684"/>
      <c r="PXM73" s="684"/>
      <c r="PXN73" s="684"/>
      <c r="PXO73" s="684"/>
      <c r="PXP73" s="684"/>
      <c r="PXQ73" s="684"/>
      <c r="PXR73" s="684"/>
      <c r="PXS73" s="684"/>
      <c r="PXT73" s="684"/>
      <c r="PXU73" s="684"/>
      <c r="PXV73" s="684"/>
      <c r="PXW73" s="684"/>
      <c r="PXX73" s="684"/>
      <c r="PXY73" s="684"/>
      <c r="PXZ73" s="684"/>
      <c r="PYA73" s="684"/>
      <c r="PYB73" s="684"/>
      <c r="PYC73" s="684"/>
      <c r="PYD73" s="684"/>
      <c r="PYE73" s="684"/>
      <c r="PYF73" s="684"/>
      <c r="PYG73" s="684"/>
      <c r="PYH73" s="684"/>
      <c r="PYI73" s="684"/>
      <c r="PYJ73" s="684"/>
      <c r="PYK73" s="684"/>
      <c r="PYL73" s="684"/>
      <c r="PYM73" s="684"/>
      <c r="PYN73" s="684"/>
      <c r="PYO73" s="684"/>
      <c r="PYP73" s="684"/>
      <c r="PYQ73" s="684"/>
      <c r="PYR73" s="684"/>
      <c r="PYS73" s="684"/>
      <c r="PYT73" s="684"/>
      <c r="PYU73" s="684"/>
      <c r="PYV73" s="684"/>
      <c r="PYW73" s="684"/>
      <c r="PYX73" s="684"/>
      <c r="PYY73" s="684"/>
      <c r="PYZ73" s="684"/>
      <c r="PZA73" s="684"/>
      <c r="PZB73" s="684"/>
      <c r="PZC73" s="684"/>
      <c r="PZD73" s="684"/>
      <c r="PZE73" s="684"/>
      <c r="PZF73" s="684"/>
      <c r="PZG73" s="684"/>
      <c r="PZH73" s="684"/>
      <c r="PZI73" s="684"/>
      <c r="PZJ73" s="684"/>
      <c r="PZK73" s="684"/>
      <c r="PZL73" s="684"/>
      <c r="PZM73" s="684"/>
      <c r="PZN73" s="684"/>
      <c r="PZO73" s="684"/>
      <c r="PZP73" s="684"/>
      <c r="PZQ73" s="684"/>
      <c r="PZR73" s="684"/>
      <c r="PZS73" s="684"/>
      <c r="PZT73" s="684"/>
      <c r="PZU73" s="684"/>
      <c r="PZV73" s="684"/>
      <c r="PZW73" s="684"/>
      <c r="PZX73" s="684"/>
      <c r="PZY73" s="684"/>
      <c r="PZZ73" s="684"/>
      <c r="QAA73" s="684"/>
      <c r="QAB73" s="684"/>
      <c r="QAC73" s="684"/>
      <c r="QAD73" s="684"/>
      <c r="QAE73" s="684"/>
      <c r="QAF73" s="684"/>
      <c r="QAG73" s="684"/>
      <c r="QAH73" s="684"/>
      <c r="QAI73" s="684"/>
      <c r="QAJ73" s="684"/>
      <c r="QAK73" s="684"/>
      <c r="QAL73" s="684"/>
      <c r="QAM73" s="684"/>
      <c r="QAN73" s="684"/>
      <c r="QAO73" s="684"/>
      <c r="QAP73" s="684"/>
      <c r="QAQ73" s="684"/>
      <c r="QAR73" s="684"/>
      <c r="QAS73" s="684"/>
      <c r="QAT73" s="684"/>
      <c r="QAU73" s="684"/>
      <c r="QAV73" s="684"/>
      <c r="QAW73" s="684"/>
      <c r="QAX73" s="684"/>
      <c r="QAY73" s="684"/>
      <c r="QAZ73" s="684"/>
      <c r="QBA73" s="684"/>
      <c r="QBB73" s="684"/>
      <c r="QBC73" s="684"/>
      <c r="QBD73" s="684"/>
      <c r="QBE73" s="684"/>
      <c r="QBF73" s="684"/>
      <c r="QBG73" s="684"/>
      <c r="QBH73" s="684"/>
      <c r="QBI73" s="684"/>
      <c r="QBJ73" s="684"/>
      <c r="QBK73" s="684"/>
      <c r="QBL73" s="684"/>
      <c r="QBM73" s="684"/>
      <c r="QBN73" s="684"/>
      <c r="QBO73" s="684"/>
      <c r="QBP73" s="684"/>
      <c r="QBQ73" s="684"/>
      <c r="QBR73" s="684"/>
      <c r="QBS73" s="684"/>
      <c r="QBT73" s="684"/>
      <c r="QBU73" s="684"/>
      <c r="QBV73" s="684"/>
      <c r="QBW73" s="684"/>
      <c r="QBX73" s="684"/>
      <c r="QBY73" s="684"/>
      <c r="QBZ73" s="684"/>
      <c r="QCA73" s="684"/>
      <c r="QCB73" s="684"/>
      <c r="QCC73" s="684"/>
      <c r="QCD73" s="684"/>
      <c r="QCE73" s="684"/>
      <c r="QCF73" s="684"/>
      <c r="QCG73" s="684"/>
      <c r="QCH73" s="684"/>
      <c r="QCI73" s="684"/>
      <c r="QCJ73" s="684"/>
      <c r="QCK73" s="684"/>
      <c r="QCL73" s="684"/>
      <c r="QCM73" s="684"/>
      <c r="QCN73" s="684"/>
      <c r="QCO73" s="684"/>
      <c r="QCP73" s="684"/>
      <c r="QCQ73" s="684"/>
      <c r="QCR73" s="684"/>
      <c r="QCS73" s="684"/>
      <c r="QCT73" s="684"/>
      <c r="QCU73" s="684"/>
      <c r="QCV73" s="684"/>
      <c r="QCW73" s="684"/>
      <c r="QCX73" s="684"/>
      <c r="QCY73" s="684"/>
      <c r="QCZ73" s="684"/>
      <c r="QDA73" s="684"/>
      <c r="QDB73" s="684"/>
      <c r="QDC73" s="684"/>
      <c r="QDD73" s="684"/>
      <c r="QDE73" s="684"/>
      <c r="QDF73" s="684"/>
      <c r="QDG73" s="684"/>
      <c r="QDH73" s="684"/>
      <c r="QDI73" s="684"/>
      <c r="QDJ73" s="684"/>
      <c r="QDK73" s="684"/>
      <c r="QDL73" s="684"/>
      <c r="QDM73" s="684"/>
      <c r="QDN73" s="684"/>
      <c r="QDO73" s="684"/>
      <c r="QDP73" s="684"/>
      <c r="QDQ73" s="684"/>
      <c r="QDR73" s="684"/>
      <c r="QDS73" s="684"/>
      <c r="QDT73" s="684"/>
      <c r="QDU73" s="684"/>
      <c r="QDV73" s="684"/>
      <c r="QDW73" s="684"/>
      <c r="QDX73" s="684"/>
      <c r="QDY73" s="684"/>
      <c r="QDZ73" s="684"/>
      <c r="QEA73" s="684"/>
      <c r="QEB73" s="684"/>
      <c r="QEC73" s="684"/>
      <c r="QED73" s="684"/>
      <c r="QEE73" s="684"/>
      <c r="QEF73" s="684"/>
      <c r="QEG73" s="684"/>
      <c r="QEH73" s="684"/>
      <c r="QEI73" s="684"/>
      <c r="QEJ73" s="684"/>
      <c r="QEK73" s="684"/>
      <c r="QEL73" s="684"/>
      <c r="QEM73" s="684"/>
      <c r="QEN73" s="684"/>
      <c r="QEO73" s="684"/>
      <c r="QEP73" s="684"/>
      <c r="QEQ73" s="684"/>
      <c r="QER73" s="684"/>
      <c r="QES73" s="684"/>
      <c r="QET73" s="684"/>
      <c r="QEU73" s="684"/>
      <c r="QEV73" s="684"/>
      <c r="QEW73" s="684"/>
      <c r="QEX73" s="684"/>
      <c r="QEY73" s="684"/>
      <c r="QEZ73" s="684"/>
      <c r="QFA73" s="684"/>
      <c r="QFB73" s="684"/>
      <c r="QFC73" s="684"/>
      <c r="QFD73" s="684"/>
      <c r="QFE73" s="684"/>
      <c r="QFF73" s="684"/>
      <c r="QFG73" s="684"/>
      <c r="QFH73" s="684"/>
      <c r="QFI73" s="684"/>
      <c r="QFJ73" s="684"/>
      <c r="QFK73" s="684"/>
      <c r="QFL73" s="684"/>
      <c r="QFM73" s="684"/>
      <c r="QFN73" s="684"/>
      <c r="QFO73" s="684"/>
      <c r="QFP73" s="684"/>
      <c r="QFQ73" s="684"/>
      <c r="QFR73" s="684"/>
      <c r="QFS73" s="684"/>
      <c r="QFT73" s="684"/>
      <c r="QFU73" s="684"/>
      <c r="QFV73" s="684"/>
      <c r="QFW73" s="684"/>
      <c r="QFX73" s="684"/>
      <c r="QFY73" s="684"/>
      <c r="QFZ73" s="684"/>
      <c r="QGA73" s="684"/>
      <c r="QGB73" s="684"/>
      <c r="QGC73" s="684"/>
      <c r="QGD73" s="684"/>
      <c r="QGE73" s="684"/>
      <c r="QGF73" s="684"/>
      <c r="QGG73" s="684"/>
      <c r="QGH73" s="684"/>
      <c r="QGI73" s="684"/>
      <c r="QGJ73" s="684"/>
      <c r="QGK73" s="684"/>
      <c r="QGL73" s="684"/>
      <c r="QGM73" s="684"/>
      <c r="QGN73" s="684"/>
      <c r="QGO73" s="684"/>
      <c r="QGP73" s="684"/>
      <c r="QGQ73" s="684"/>
      <c r="QGR73" s="684"/>
      <c r="QGS73" s="684"/>
      <c r="QGT73" s="684"/>
      <c r="QGU73" s="684"/>
      <c r="QGV73" s="684"/>
      <c r="QGW73" s="684"/>
      <c r="QGX73" s="684"/>
      <c r="QGY73" s="684"/>
      <c r="QGZ73" s="684"/>
      <c r="QHA73" s="684"/>
      <c r="QHB73" s="684"/>
      <c r="QHC73" s="684"/>
      <c r="QHD73" s="684"/>
      <c r="QHE73" s="684"/>
      <c r="QHF73" s="684"/>
      <c r="QHG73" s="684"/>
      <c r="QHH73" s="684"/>
      <c r="QHI73" s="684"/>
      <c r="QHJ73" s="684"/>
      <c r="QHK73" s="684"/>
      <c r="QHL73" s="684"/>
      <c r="QHM73" s="684"/>
      <c r="QHN73" s="684"/>
      <c r="QHO73" s="684"/>
      <c r="QHP73" s="684"/>
      <c r="QHQ73" s="684"/>
      <c r="QHR73" s="684"/>
      <c r="QHS73" s="684"/>
      <c r="QHT73" s="684"/>
      <c r="QHU73" s="684"/>
      <c r="QHV73" s="684"/>
      <c r="QHW73" s="684"/>
      <c r="QHX73" s="684"/>
      <c r="QHY73" s="684"/>
      <c r="QHZ73" s="684"/>
      <c r="QIA73" s="684"/>
      <c r="QIB73" s="684"/>
      <c r="QIC73" s="684"/>
      <c r="QID73" s="684"/>
      <c r="QIE73" s="684"/>
      <c r="QIF73" s="684"/>
      <c r="QIG73" s="684"/>
      <c r="QIH73" s="684"/>
      <c r="QII73" s="684"/>
      <c r="QIJ73" s="684"/>
      <c r="QIK73" s="684"/>
      <c r="QIL73" s="684"/>
      <c r="QIM73" s="684"/>
      <c r="QIN73" s="684"/>
      <c r="QIO73" s="684"/>
      <c r="QIP73" s="684"/>
      <c r="QIQ73" s="684"/>
      <c r="QIR73" s="684"/>
      <c r="QIS73" s="684"/>
      <c r="QIT73" s="684"/>
      <c r="QIU73" s="684"/>
      <c r="QIV73" s="684"/>
      <c r="QIW73" s="684"/>
      <c r="QIX73" s="684"/>
      <c r="QIY73" s="684"/>
      <c r="QIZ73" s="684"/>
      <c r="QJA73" s="684"/>
      <c r="QJB73" s="684"/>
      <c r="QJC73" s="684"/>
      <c r="QJD73" s="684"/>
      <c r="QJE73" s="684"/>
      <c r="QJF73" s="684"/>
      <c r="QJG73" s="684"/>
      <c r="QJH73" s="684"/>
      <c r="QJI73" s="684"/>
      <c r="QJJ73" s="684"/>
      <c r="QJK73" s="684"/>
      <c r="QJL73" s="684"/>
      <c r="QJM73" s="684"/>
      <c r="QJN73" s="684"/>
      <c r="QJO73" s="684"/>
      <c r="QJP73" s="684"/>
      <c r="QJQ73" s="684"/>
      <c r="QJR73" s="684"/>
      <c r="QJS73" s="684"/>
      <c r="QJT73" s="684"/>
      <c r="QJU73" s="684"/>
      <c r="QJV73" s="684"/>
      <c r="QJW73" s="684"/>
      <c r="QJX73" s="684"/>
      <c r="QJY73" s="684"/>
      <c r="QJZ73" s="684"/>
      <c r="QKA73" s="684"/>
      <c r="QKB73" s="684"/>
      <c r="QKC73" s="684"/>
      <c r="QKD73" s="684"/>
      <c r="QKE73" s="684"/>
      <c r="QKF73" s="684"/>
      <c r="QKG73" s="684"/>
      <c r="QKH73" s="684"/>
      <c r="QKI73" s="684"/>
      <c r="QKJ73" s="684"/>
      <c r="QKK73" s="684"/>
      <c r="QKL73" s="684"/>
      <c r="QKM73" s="684"/>
      <c r="QKN73" s="684"/>
      <c r="QKO73" s="684"/>
      <c r="QKP73" s="684"/>
      <c r="QKQ73" s="684"/>
      <c r="QKR73" s="684"/>
      <c r="QKS73" s="684"/>
      <c r="QKT73" s="684"/>
      <c r="QKU73" s="684"/>
      <c r="QKV73" s="684"/>
      <c r="QKW73" s="684"/>
      <c r="QKX73" s="684"/>
      <c r="QKY73" s="684"/>
      <c r="QKZ73" s="684"/>
      <c r="QLA73" s="684"/>
      <c r="QLB73" s="684"/>
      <c r="QLC73" s="684"/>
      <c r="QLD73" s="684"/>
      <c r="QLE73" s="684"/>
      <c r="QLF73" s="684"/>
      <c r="QLG73" s="684"/>
      <c r="QLH73" s="684"/>
      <c r="QLI73" s="684"/>
      <c r="QLJ73" s="684"/>
      <c r="QLK73" s="684"/>
      <c r="QLL73" s="684"/>
      <c r="QLM73" s="684"/>
      <c r="QLN73" s="684"/>
      <c r="QLO73" s="684"/>
      <c r="QLP73" s="684"/>
      <c r="QLQ73" s="684"/>
      <c r="QLR73" s="684"/>
      <c r="QLS73" s="684"/>
      <c r="QLT73" s="684"/>
      <c r="QLU73" s="684"/>
      <c r="QLV73" s="684"/>
      <c r="QLW73" s="684"/>
      <c r="QLX73" s="684"/>
      <c r="QLY73" s="684"/>
      <c r="QLZ73" s="684"/>
      <c r="QMA73" s="684"/>
      <c r="QMB73" s="684"/>
      <c r="QMC73" s="684"/>
      <c r="QMD73" s="684"/>
      <c r="QME73" s="684"/>
      <c r="QMF73" s="684"/>
      <c r="QMG73" s="684"/>
      <c r="QMH73" s="684"/>
      <c r="QMI73" s="684"/>
      <c r="QMJ73" s="684"/>
      <c r="QMK73" s="684"/>
      <c r="QML73" s="684"/>
      <c r="QMM73" s="684"/>
      <c r="QMN73" s="684"/>
      <c r="QMO73" s="684"/>
      <c r="QMP73" s="684"/>
      <c r="QMQ73" s="684"/>
      <c r="QMR73" s="684"/>
      <c r="QMS73" s="684"/>
      <c r="QMT73" s="684"/>
      <c r="QMU73" s="684"/>
      <c r="QMV73" s="684"/>
      <c r="QMW73" s="684"/>
      <c r="QMX73" s="684"/>
      <c r="QMY73" s="684"/>
      <c r="QMZ73" s="684"/>
      <c r="QNA73" s="684"/>
      <c r="QNB73" s="684"/>
      <c r="QNC73" s="684"/>
      <c r="QND73" s="684"/>
      <c r="QNE73" s="684"/>
      <c r="QNF73" s="684"/>
      <c r="QNG73" s="684"/>
      <c r="QNH73" s="684"/>
      <c r="QNI73" s="684"/>
      <c r="QNJ73" s="684"/>
      <c r="QNK73" s="684"/>
      <c r="QNL73" s="684"/>
      <c r="QNM73" s="684"/>
      <c r="QNN73" s="684"/>
      <c r="QNO73" s="684"/>
      <c r="QNP73" s="684"/>
      <c r="QNQ73" s="684"/>
      <c r="QNR73" s="684"/>
      <c r="QNS73" s="684"/>
      <c r="QNT73" s="684"/>
      <c r="QNU73" s="684"/>
      <c r="QNV73" s="684"/>
      <c r="QNW73" s="684"/>
      <c r="QNX73" s="684"/>
      <c r="QNY73" s="684"/>
      <c r="QNZ73" s="684"/>
      <c r="QOA73" s="684"/>
      <c r="QOB73" s="684"/>
      <c r="QOC73" s="684"/>
      <c r="QOD73" s="684"/>
      <c r="QOE73" s="684"/>
      <c r="QOF73" s="684"/>
      <c r="QOG73" s="684"/>
      <c r="QOH73" s="684"/>
      <c r="QOI73" s="684"/>
      <c r="QOJ73" s="684"/>
      <c r="QOK73" s="684"/>
      <c r="QOL73" s="684"/>
      <c r="QOM73" s="684"/>
      <c r="QON73" s="684"/>
      <c r="QOO73" s="684"/>
      <c r="QOP73" s="684"/>
      <c r="QOQ73" s="684"/>
      <c r="QOR73" s="684"/>
      <c r="QOS73" s="684"/>
      <c r="QOT73" s="684"/>
      <c r="QOU73" s="684"/>
      <c r="QOV73" s="684"/>
      <c r="QOW73" s="684"/>
      <c r="QOX73" s="684"/>
      <c r="QOY73" s="684"/>
      <c r="QOZ73" s="684"/>
      <c r="QPA73" s="684"/>
      <c r="QPB73" s="684"/>
      <c r="QPC73" s="684"/>
      <c r="QPD73" s="684"/>
      <c r="QPE73" s="684"/>
      <c r="QPF73" s="684"/>
      <c r="QPG73" s="684"/>
      <c r="QPH73" s="684"/>
      <c r="QPI73" s="684"/>
      <c r="QPJ73" s="684"/>
      <c r="QPK73" s="684"/>
      <c r="QPL73" s="684"/>
      <c r="QPM73" s="684"/>
      <c r="QPN73" s="684"/>
      <c r="QPO73" s="684"/>
      <c r="QPP73" s="684"/>
      <c r="QPQ73" s="684"/>
      <c r="QPR73" s="684"/>
      <c r="QPS73" s="684"/>
      <c r="QPT73" s="684"/>
      <c r="QPU73" s="684"/>
      <c r="QPV73" s="684"/>
      <c r="QPW73" s="684"/>
      <c r="QPX73" s="684"/>
      <c r="QPY73" s="684"/>
      <c r="QPZ73" s="684"/>
      <c r="QQA73" s="684"/>
      <c r="QQB73" s="684"/>
      <c r="QQC73" s="684"/>
      <c r="QQD73" s="684"/>
      <c r="QQE73" s="684"/>
      <c r="QQF73" s="684"/>
      <c r="QQG73" s="684"/>
      <c r="QQH73" s="684"/>
      <c r="QQI73" s="684"/>
      <c r="QQJ73" s="684"/>
      <c r="QQK73" s="684"/>
      <c r="QQL73" s="684"/>
      <c r="QQM73" s="684"/>
      <c r="QQN73" s="684"/>
      <c r="QQO73" s="684"/>
      <c r="QQP73" s="684"/>
      <c r="QQQ73" s="684"/>
      <c r="QQR73" s="684"/>
      <c r="QQS73" s="684"/>
      <c r="QQT73" s="684"/>
      <c r="QQU73" s="684"/>
      <c r="QQV73" s="684"/>
      <c r="QQW73" s="684"/>
      <c r="QQX73" s="684"/>
      <c r="QQY73" s="684"/>
      <c r="QQZ73" s="684"/>
      <c r="QRA73" s="684"/>
      <c r="QRB73" s="684"/>
      <c r="QRC73" s="684"/>
      <c r="QRD73" s="684"/>
      <c r="QRE73" s="684"/>
      <c r="QRF73" s="684"/>
      <c r="QRG73" s="684"/>
      <c r="QRH73" s="684"/>
      <c r="QRI73" s="684"/>
      <c r="QRJ73" s="684"/>
      <c r="QRK73" s="684"/>
      <c r="QRL73" s="684"/>
      <c r="QRM73" s="684"/>
      <c r="QRN73" s="684"/>
      <c r="QRO73" s="684"/>
      <c r="QRP73" s="684"/>
      <c r="QRQ73" s="684"/>
      <c r="QRR73" s="684"/>
      <c r="QRS73" s="684"/>
      <c r="QRT73" s="684"/>
      <c r="QRU73" s="684"/>
      <c r="QRV73" s="684"/>
      <c r="QRW73" s="684"/>
      <c r="QRX73" s="684"/>
      <c r="QRY73" s="684"/>
      <c r="QRZ73" s="684"/>
      <c r="QSA73" s="684"/>
      <c r="QSB73" s="684"/>
      <c r="QSC73" s="684"/>
      <c r="QSD73" s="684"/>
      <c r="QSE73" s="684"/>
      <c r="QSF73" s="684"/>
      <c r="QSG73" s="684"/>
      <c r="QSH73" s="684"/>
      <c r="QSI73" s="684"/>
      <c r="QSJ73" s="684"/>
      <c r="QSK73" s="684"/>
      <c r="QSL73" s="684"/>
      <c r="QSM73" s="684"/>
      <c r="QSN73" s="684"/>
      <c r="QSO73" s="684"/>
      <c r="QSP73" s="684"/>
      <c r="QSQ73" s="684"/>
      <c r="QSR73" s="684"/>
      <c r="QSS73" s="684"/>
      <c r="QST73" s="684"/>
      <c r="QSU73" s="684"/>
      <c r="QSV73" s="684"/>
      <c r="QSW73" s="684"/>
      <c r="QSX73" s="684"/>
      <c r="QSY73" s="684"/>
      <c r="QSZ73" s="684"/>
      <c r="QTA73" s="684"/>
      <c r="QTB73" s="684"/>
      <c r="QTC73" s="684"/>
      <c r="QTD73" s="684"/>
      <c r="QTE73" s="684"/>
      <c r="QTF73" s="684"/>
      <c r="QTG73" s="684"/>
      <c r="QTH73" s="684"/>
      <c r="QTI73" s="684"/>
      <c r="QTJ73" s="684"/>
      <c r="QTK73" s="684"/>
      <c r="QTL73" s="684"/>
      <c r="QTM73" s="684"/>
      <c r="QTN73" s="684"/>
      <c r="QTO73" s="684"/>
      <c r="QTP73" s="684"/>
      <c r="QTQ73" s="684"/>
      <c r="QTR73" s="684"/>
      <c r="QTS73" s="684"/>
      <c r="QTT73" s="684"/>
      <c r="QTU73" s="684"/>
      <c r="QTV73" s="684"/>
      <c r="QTW73" s="684"/>
      <c r="QTX73" s="684"/>
      <c r="QTY73" s="684"/>
      <c r="QTZ73" s="684"/>
      <c r="QUA73" s="684"/>
      <c r="QUB73" s="684"/>
      <c r="QUC73" s="684"/>
      <c r="QUD73" s="684"/>
      <c r="QUE73" s="684"/>
      <c r="QUF73" s="684"/>
      <c r="QUG73" s="684"/>
      <c r="QUH73" s="684"/>
      <c r="QUI73" s="684"/>
      <c r="QUJ73" s="684"/>
      <c r="QUK73" s="684"/>
      <c r="QUL73" s="684"/>
      <c r="QUM73" s="684"/>
      <c r="QUN73" s="684"/>
      <c r="QUO73" s="684"/>
      <c r="QUP73" s="684"/>
      <c r="QUQ73" s="684"/>
      <c r="QUR73" s="684"/>
      <c r="QUS73" s="684"/>
      <c r="QUT73" s="684"/>
      <c r="QUU73" s="684"/>
      <c r="QUV73" s="684"/>
      <c r="QUW73" s="684"/>
      <c r="QUX73" s="684"/>
      <c r="QUY73" s="684"/>
      <c r="QUZ73" s="684"/>
      <c r="QVA73" s="684"/>
      <c r="QVB73" s="684"/>
      <c r="QVC73" s="684"/>
      <c r="QVD73" s="684"/>
      <c r="QVE73" s="684"/>
      <c r="QVF73" s="684"/>
      <c r="QVG73" s="684"/>
      <c r="QVH73" s="684"/>
      <c r="QVI73" s="684"/>
      <c r="QVJ73" s="684"/>
      <c r="QVK73" s="684"/>
      <c r="QVL73" s="684"/>
      <c r="QVM73" s="684"/>
      <c r="QVN73" s="684"/>
      <c r="QVO73" s="684"/>
      <c r="QVP73" s="684"/>
      <c r="QVQ73" s="684"/>
      <c r="QVR73" s="684"/>
      <c r="QVS73" s="684"/>
      <c r="QVT73" s="684"/>
      <c r="QVU73" s="684"/>
      <c r="QVV73" s="684"/>
      <c r="QVW73" s="684"/>
      <c r="QVX73" s="684"/>
      <c r="QVY73" s="684"/>
      <c r="QVZ73" s="684"/>
      <c r="QWA73" s="684"/>
      <c r="QWB73" s="684"/>
      <c r="QWC73" s="684"/>
      <c r="QWD73" s="684"/>
      <c r="QWE73" s="684"/>
      <c r="QWF73" s="684"/>
      <c r="QWG73" s="684"/>
      <c r="QWH73" s="684"/>
      <c r="QWI73" s="684"/>
      <c r="QWJ73" s="684"/>
      <c r="QWK73" s="684"/>
      <c r="QWL73" s="684"/>
      <c r="QWM73" s="684"/>
      <c r="QWN73" s="684"/>
      <c r="QWO73" s="684"/>
      <c r="QWP73" s="684"/>
      <c r="QWQ73" s="684"/>
      <c r="QWR73" s="684"/>
      <c r="QWS73" s="684"/>
      <c r="QWT73" s="684"/>
      <c r="QWU73" s="684"/>
      <c r="QWV73" s="684"/>
      <c r="QWW73" s="684"/>
      <c r="QWX73" s="684"/>
      <c r="QWY73" s="684"/>
      <c r="QWZ73" s="684"/>
      <c r="QXA73" s="684"/>
      <c r="QXB73" s="684"/>
      <c r="QXC73" s="684"/>
      <c r="QXD73" s="684"/>
      <c r="QXE73" s="684"/>
      <c r="QXF73" s="684"/>
      <c r="QXG73" s="684"/>
      <c r="QXH73" s="684"/>
      <c r="QXI73" s="684"/>
      <c r="QXJ73" s="684"/>
      <c r="QXK73" s="684"/>
      <c r="QXL73" s="684"/>
      <c r="QXM73" s="684"/>
      <c r="QXN73" s="684"/>
      <c r="QXO73" s="684"/>
      <c r="QXP73" s="684"/>
      <c r="QXQ73" s="684"/>
      <c r="QXR73" s="684"/>
      <c r="QXS73" s="684"/>
      <c r="QXT73" s="684"/>
      <c r="QXU73" s="684"/>
      <c r="QXV73" s="684"/>
      <c r="QXW73" s="684"/>
      <c r="QXX73" s="684"/>
      <c r="QXY73" s="684"/>
      <c r="QXZ73" s="684"/>
      <c r="QYA73" s="684"/>
      <c r="QYB73" s="684"/>
      <c r="QYC73" s="684"/>
      <c r="QYD73" s="684"/>
      <c r="QYE73" s="684"/>
      <c r="QYF73" s="684"/>
      <c r="QYG73" s="684"/>
      <c r="QYH73" s="684"/>
      <c r="QYI73" s="684"/>
      <c r="QYJ73" s="684"/>
      <c r="QYK73" s="684"/>
      <c r="QYL73" s="684"/>
      <c r="QYM73" s="684"/>
      <c r="QYN73" s="684"/>
      <c r="QYO73" s="684"/>
      <c r="QYP73" s="684"/>
      <c r="QYQ73" s="684"/>
      <c r="QYR73" s="684"/>
      <c r="QYS73" s="684"/>
      <c r="QYT73" s="684"/>
      <c r="QYU73" s="684"/>
      <c r="QYV73" s="684"/>
      <c r="QYW73" s="684"/>
      <c r="QYX73" s="684"/>
      <c r="QYY73" s="684"/>
      <c r="QYZ73" s="684"/>
      <c r="QZA73" s="684"/>
      <c r="QZB73" s="684"/>
      <c r="QZC73" s="684"/>
      <c r="QZD73" s="684"/>
      <c r="QZE73" s="684"/>
      <c r="QZF73" s="684"/>
      <c r="QZG73" s="684"/>
      <c r="QZH73" s="684"/>
      <c r="QZI73" s="684"/>
      <c r="QZJ73" s="684"/>
      <c r="QZK73" s="684"/>
      <c r="QZL73" s="684"/>
      <c r="QZM73" s="684"/>
      <c r="QZN73" s="684"/>
      <c r="QZO73" s="684"/>
      <c r="QZP73" s="684"/>
      <c r="QZQ73" s="684"/>
      <c r="QZR73" s="684"/>
      <c r="QZS73" s="684"/>
      <c r="QZT73" s="684"/>
      <c r="QZU73" s="684"/>
      <c r="QZV73" s="684"/>
      <c r="QZW73" s="684"/>
      <c r="QZX73" s="684"/>
      <c r="QZY73" s="684"/>
      <c r="QZZ73" s="684"/>
      <c r="RAA73" s="684"/>
      <c r="RAB73" s="684"/>
      <c r="RAC73" s="684"/>
      <c r="RAD73" s="684"/>
      <c r="RAE73" s="684"/>
      <c r="RAF73" s="684"/>
      <c r="RAG73" s="684"/>
      <c r="RAH73" s="684"/>
      <c r="RAI73" s="684"/>
      <c r="RAJ73" s="684"/>
      <c r="RAK73" s="684"/>
      <c r="RAL73" s="684"/>
      <c r="RAM73" s="684"/>
      <c r="RAN73" s="684"/>
      <c r="RAO73" s="684"/>
      <c r="RAP73" s="684"/>
      <c r="RAQ73" s="684"/>
      <c r="RAR73" s="684"/>
      <c r="RAS73" s="684"/>
      <c r="RAT73" s="684"/>
      <c r="RAU73" s="684"/>
      <c r="RAV73" s="684"/>
      <c r="RAW73" s="684"/>
      <c r="RAX73" s="684"/>
      <c r="RAY73" s="684"/>
      <c r="RAZ73" s="684"/>
      <c r="RBA73" s="684"/>
      <c r="RBB73" s="684"/>
      <c r="RBC73" s="684"/>
      <c r="RBD73" s="684"/>
      <c r="RBE73" s="684"/>
      <c r="RBF73" s="684"/>
      <c r="RBG73" s="684"/>
      <c r="RBH73" s="684"/>
      <c r="RBI73" s="684"/>
      <c r="RBJ73" s="684"/>
      <c r="RBK73" s="684"/>
      <c r="RBL73" s="684"/>
      <c r="RBM73" s="684"/>
      <c r="RBN73" s="684"/>
      <c r="RBO73" s="684"/>
      <c r="RBP73" s="684"/>
      <c r="RBQ73" s="684"/>
      <c r="RBR73" s="684"/>
      <c r="RBS73" s="684"/>
      <c r="RBT73" s="684"/>
      <c r="RBU73" s="684"/>
      <c r="RBV73" s="684"/>
      <c r="RBW73" s="684"/>
      <c r="RBX73" s="684"/>
      <c r="RBY73" s="684"/>
      <c r="RBZ73" s="684"/>
      <c r="RCA73" s="684"/>
      <c r="RCB73" s="684"/>
      <c r="RCC73" s="684"/>
      <c r="RCD73" s="684"/>
      <c r="RCE73" s="684"/>
      <c r="RCF73" s="684"/>
      <c r="RCG73" s="684"/>
      <c r="RCH73" s="684"/>
      <c r="RCI73" s="684"/>
      <c r="RCJ73" s="684"/>
      <c r="RCK73" s="684"/>
      <c r="RCL73" s="684"/>
      <c r="RCM73" s="684"/>
      <c r="RCN73" s="684"/>
      <c r="RCO73" s="684"/>
      <c r="RCP73" s="684"/>
      <c r="RCQ73" s="684"/>
      <c r="RCR73" s="684"/>
      <c r="RCS73" s="684"/>
      <c r="RCT73" s="684"/>
      <c r="RCU73" s="684"/>
      <c r="RCV73" s="684"/>
      <c r="RCW73" s="684"/>
      <c r="RCX73" s="684"/>
      <c r="RCY73" s="684"/>
      <c r="RCZ73" s="684"/>
      <c r="RDA73" s="684"/>
      <c r="RDB73" s="684"/>
      <c r="RDC73" s="684"/>
      <c r="RDD73" s="684"/>
      <c r="RDE73" s="684"/>
      <c r="RDF73" s="684"/>
      <c r="RDG73" s="684"/>
      <c r="RDH73" s="684"/>
      <c r="RDI73" s="684"/>
      <c r="RDJ73" s="684"/>
      <c r="RDK73" s="684"/>
      <c r="RDL73" s="684"/>
      <c r="RDM73" s="684"/>
      <c r="RDN73" s="684"/>
      <c r="RDO73" s="684"/>
      <c r="RDP73" s="684"/>
      <c r="RDQ73" s="684"/>
      <c r="RDR73" s="684"/>
      <c r="RDS73" s="684"/>
      <c r="RDT73" s="684"/>
      <c r="RDU73" s="684"/>
      <c r="RDV73" s="684"/>
      <c r="RDW73" s="684"/>
      <c r="RDX73" s="684"/>
      <c r="RDY73" s="684"/>
      <c r="RDZ73" s="684"/>
      <c r="REA73" s="684"/>
      <c r="REB73" s="684"/>
      <c r="REC73" s="684"/>
      <c r="RED73" s="684"/>
      <c r="REE73" s="684"/>
      <c r="REF73" s="684"/>
      <c r="REG73" s="684"/>
      <c r="REH73" s="684"/>
      <c r="REI73" s="684"/>
      <c r="REJ73" s="684"/>
      <c r="REK73" s="684"/>
      <c r="REL73" s="684"/>
      <c r="REM73" s="684"/>
      <c r="REN73" s="684"/>
      <c r="REO73" s="684"/>
      <c r="REP73" s="684"/>
      <c r="REQ73" s="684"/>
      <c r="RER73" s="684"/>
      <c r="RES73" s="684"/>
      <c r="RET73" s="684"/>
      <c r="REU73" s="684"/>
      <c r="REV73" s="684"/>
      <c r="REW73" s="684"/>
      <c r="REX73" s="684"/>
      <c r="REY73" s="684"/>
      <c r="REZ73" s="684"/>
      <c r="RFA73" s="684"/>
      <c r="RFB73" s="684"/>
      <c r="RFC73" s="684"/>
      <c r="RFD73" s="684"/>
      <c r="RFE73" s="684"/>
      <c r="RFF73" s="684"/>
      <c r="RFG73" s="684"/>
      <c r="RFH73" s="684"/>
      <c r="RFI73" s="684"/>
      <c r="RFJ73" s="684"/>
      <c r="RFK73" s="684"/>
      <c r="RFL73" s="684"/>
      <c r="RFM73" s="684"/>
      <c r="RFN73" s="684"/>
      <c r="RFO73" s="684"/>
      <c r="RFP73" s="684"/>
      <c r="RFQ73" s="684"/>
      <c r="RFR73" s="684"/>
      <c r="RFS73" s="684"/>
      <c r="RFT73" s="684"/>
      <c r="RFU73" s="684"/>
      <c r="RFV73" s="684"/>
      <c r="RFW73" s="684"/>
      <c r="RFX73" s="684"/>
      <c r="RFY73" s="684"/>
      <c r="RFZ73" s="684"/>
      <c r="RGA73" s="684"/>
      <c r="RGB73" s="684"/>
      <c r="RGC73" s="684"/>
      <c r="RGD73" s="684"/>
      <c r="RGE73" s="684"/>
      <c r="RGF73" s="684"/>
      <c r="RGG73" s="684"/>
      <c r="RGH73" s="684"/>
      <c r="RGI73" s="684"/>
      <c r="RGJ73" s="684"/>
      <c r="RGK73" s="684"/>
      <c r="RGL73" s="684"/>
      <c r="RGM73" s="684"/>
      <c r="RGN73" s="684"/>
      <c r="RGO73" s="684"/>
      <c r="RGP73" s="684"/>
      <c r="RGQ73" s="684"/>
      <c r="RGR73" s="684"/>
      <c r="RGS73" s="684"/>
      <c r="RGT73" s="684"/>
      <c r="RGU73" s="684"/>
      <c r="RGV73" s="684"/>
      <c r="RGW73" s="684"/>
      <c r="RGX73" s="684"/>
      <c r="RGY73" s="684"/>
      <c r="RGZ73" s="684"/>
      <c r="RHA73" s="684"/>
      <c r="RHB73" s="684"/>
      <c r="RHC73" s="684"/>
      <c r="RHD73" s="684"/>
      <c r="RHE73" s="684"/>
      <c r="RHF73" s="684"/>
      <c r="RHG73" s="684"/>
      <c r="RHH73" s="684"/>
      <c r="RHI73" s="684"/>
      <c r="RHJ73" s="684"/>
      <c r="RHK73" s="684"/>
      <c r="RHL73" s="684"/>
      <c r="RHM73" s="684"/>
      <c r="RHN73" s="684"/>
      <c r="RHO73" s="684"/>
      <c r="RHP73" s="684"/>
      <c r="RHQ73" s="684"/>
      <c r="RHR73" s="684"/>
      <c r="RHS73" s="684"/>
      <c r="RHT73" s="684"/>
      <c r="RHU73" s="684"/>
      <c r="RHV73" s="684"/>
      <c r="RHW73" s="684"/>
      <c r="RHX73" s="684"/>
      <c r="RHY73" s="684"/>
      <c r="RHZ73" s="684"/>
      <c r="RIA73" s="684"/>
      <c r="RIB73" s="684"/>
      <c r="RIC73" s="684"/>
      <c r="RID73" s="684"/>
      <c r="RIE73" s="684"/>
      <c r="RIF73" s="684"/>
      <c r="RIG73" s="684"/>
      <c r="RIH73" s="684"/>
      <c r="RII73" s="684"/>
      <c r="RIJ73" s="684"/>
      <c r="RIK73" s="684"/>
      <c r="RIL73" s="684"/>
      <c r="RIM73" s="684"/>
      <c r="RIN73" s="684"/>
      <c r="RIO73" s="684"/>
      <c r="RIP73" s="684"/>
      <c r="RIQ73" s="684"/>
      <c r="RIR73" s="684"/>
      <c r="RIS73" s="684"/>
      <c r="RIT73" s="684"/>
      <c r="RIU73" s="684"/>
      <c r="RIV73" s="684"/>
      <c r="RIW73" s="684"/>
      <c r="RIX73" s="684"/>
      <c r="RIY73" s="684"/>
      <c r="RIZ73" s="684"/>
      <c r="RJA73" s="684"/>
      <c r="RJB73" s="684"/>
      <c r="RJC73" s="684"/>
      <c r="RJD73" s="684"/>
      <c r="RJE73" s="684"/>
      <c r="RJF73" s="684"/>
      <c r="RJG73" s="684"/>
      <c r="RJH73" s="684"/>
      <c r="RJI73" s="684"/>
      <c r="RJJ73" s="684"/>
      <c r="RJK73" s="684"/>
      <c r="RJL73" s="684"/>
      <c r="RJM73" s="684"/>
      <c r="RJN73" s="684"/>
      <c r="RJO73" s="684"/>
      <c r="RJP73" s="684"/>
      <c r="RJQ73" s="684"/>
      <c r="RJR73" s="684"/>
      <c r="RJS73" s="684"/>
      <c r="RJT73" s="684"/>
      <c r="RJU73" s="684"/>
      <c r="RJV73" s="684"/>
      <c r="RJW73" s="684"/>
      <c r="RJX73" s="684"/>
      <c r="RJY73" s="684"/>
      <c r="RJZ73" s="684"/>
      <c r="RKA73" s="684"/>
      <c r="RKB73" s="684"/>
      <c r="RKC73" s="684"/>
      <c r="RKD73" s="684"/>
      <c r="RKE73" s="684"/>
      <c r="RKF73" s="684"/>
      <c r="RKG73" s="684"/>
      <c r="RKH73" s="684"/>
      <c r="RKI73" s="684"/>
      <c r="RKJ73" s="684"/>
      <c r="RKK73" s="684"/>
      <c r="RKL73" s="684"/>
      <c r="RKM73" s="684"/>
      <c r="RKN73" s="684"/>
      <c r="RKO73" s="684"/>
      <c r="RKP73" s="684"/>
      <c r="RKQ73" s="684"/>
      <c r="RKR73" s="684"/>
      <c r="RKS73" s="684"/>
      <c r="RKT73" s="684"/>
      <c r="RKU73" s="684"/>
      <c r="RKV73" s="684"/>
      <c r="RKW73" s="684"/>
      <c r="RKX73" s="684"/>
      <c r="RKY73" s="684"/>
      <c r="RKZ73" s="684"/>
      <c r="RLA73" s="684"/>
      <c r="RLB73" s="684"/>
      <c r="RLC73" s="684"/>
      <c r="RLD73" s="684"/>
      <c r="RLE73" s="684"/>
      <c r="RLF73" s="684"/>
      <c r="RLG73" s="684"/>
      <c r="RLH73" s="684"/>
      <c r="RLI73" s="684"/>
      <c r="RLJ73" s="684"/>
      <c r="RLK73" s="684"/>
      <c r="RLL73" s="684"/>
      <c r="RLM73" s="684"/>
      <c r="RLN73" s="684"/>
      <c r="RLO73" s="684"/>
      <c r="RLP73" s="684"/>
      <c r="RLQ73" s="684"/>
      <c r="RLR73" s="684"/>
      <c r="RLS73" s="684"/>
      <c r="RLT73" s="684"/>
      <c r="RLU73" s="684"/>
      <c r="RLV73" s="684"/>
      <c r="RLW73" s="684"/>
      <c r="RLX73" s="684"/>
      <c r="RLY73" s="684"/>
      <c r="RLZ73" s="684"/>
      <c r="RMA73" s="684"/>
      <c r="RMB73" s="684"/>
      <c r="RMC73" s="684"/>
      <c r="RMD73" s="684"/>
      <c r="RME73" s="684"/>
      <c r="RMF73" s="684"/>
      <c r="RMG73" s="684"/>
      <c r="RMH73" s="684"/>
      <c r="RMI73" s="684"/>
      <c r="RMJ73" s="684"/>
      <c r="RMK73" s="684"/>
      <c r="RML73" s="684"/>
      <c r="RMM73" s="684"/>
      <c r="RMN73" s="684"/>
      <c r="RMO73" s="684"/>
      <c r="RMP73" s="684"/>
      <c r="RMQ73" s="684"/>
      <c r="RMR73" s="684"/>
      <c r="RMS73" s="684"/>
      <c r="RMT73" s="684"/>
      <c r="RMU73" s="684"/>
      <c r="RMV73" s="684"/>
      <c r="RMW73" s="684"/>
      <c r="RMX73" s="684"/>
      <c r="RMY73" s="684"/>
      <c r="RMZ73" s="684"/>
      <c r="RNA73" s="684"/>
      <c r="RNB73" s="684"/>
      <c r="RNC73" s="684"/>
      <c r="RND73" s="684"/>
      <c r="RNE73" s="684"/>
      <c r="RNF73" s="684"/>
      <c r="RNG73" s="684"/>
      <c r="RNH73" s="684"/>
      <c r="RNI73" s="684"/>
      <c r="RNJ73" s="684"/>
      <c r="RNK73" s="684"/>
      <c r="RNL73" s="684"/>
      <c r="RNM73" s="684"/>
      <c r="RNN73" s="684"/>
      <c r="RNO73" s="684"/>
      <c r="RNP73" s="684"/>
      <c r="RNQ73" s="684"/>
      <c r="RNR73" s="684"/>
      <c r="RNS73" s="684"/>
      <c r="RNT73" s="684"/>
      <c r="RNU73" s="684"/>
      <c r="RNV73" s="684"/>
      <c r="RNW73" s="684"/>
      <c r="RNX73" s="684"/>
      <c r="RNY73" s="684"/>
      <c r="RNZ73" s="684"/>
      <c r="ROA73" s="684"/>
      <c r="ROB73" s="684"/>
      <c r="ROC73" s="684"/>
      <c r="ROD73" s="684"/>
      <c r="ROE73" s="684"/>
      <c r="ROF73" s="684"/>
      <c r="ROG73" s="684"/>
      <c r="ROH73" s="684"/>
      <c r="ROI73" s="684"/>
      <c r="ROJ73" s="684"/>
      <c r="ROK73" s="684"/>
      <c r="ROL73" s="684"/>
      <c r="ROM73" s="684"/>
      <c r="RON73" s="684"/>
      <c r="ROO73" s="684"/>
      <c r="ROP73" s="684"/>
      <c r="ROQ73" s="684"/>
      <c r="ROR73" s="684"/>
      <c r="ROS73" s="684"/>
      <c r="ROT73" s="684"/>
      <c r="ROU73" s="684"/>
      <c r="ROV73" s="684"/>
      <c r="ROW73" s="684"/>
      <c r="ROX73" s="684"/>
      <c r="ROY73" s="684"/>
      <c r="ROZ73" s="684"/>
      <c r="RPA73" s="684"/>
      <c r="RPB73" s="684"/>
      <c r="RPC73" s="684"/>
      <c r="RPD73" s="684"/>
      <c r="RPE73" s="684"/>
      <c r="RPF73" s="684"/>
      <c r="RPG73" s="684"/>
      <c r="RPH73" s="684"/>
      <c r="RPI73" s="684"/>
      <c r="RPJ73" s="684"/>
      <c r="RPK73" s="684"/>
      <c r="RPL73" s="684"/>
      <c r="RPM73" s="684"/>
      <c r="RPN73" s="684"/>
      <c r="RPO73" s="684"/>
      <c r="RPP73" s="684"/>
      <c r="RPQ73" s="684"/>
      <c r="RPR73" s="684"/>
      <c r="RPS73" s="684"/>
      <c r="RPT73" s="684"/>
      <c r="RPU73" s="684"/>
      <c r="RPV73" s="684"/>
      <c r="RPW73" s="684"/>
      <c r="RPX73" s="684"/>
      <c r="RPY73" s="684"/>
      <c r="RPZ73" s="684"/>
      <c r="RQA73" s="684"/>
      <c r="RQB73" s="684"/>
      <c r="RQC73" s="684"/>
      <c r="RQD73" s="684"/>
      <c r="RQE73" s="684"/>
      <c r="RQF73" s="684"/>
      <c r="RQG73" s="684"/>
      <c r="RQH73" s="684"/>
      <c r="RQI73" s="684"/>
      <c r="RQJ73" s="684"/>
      <c r="RQK73" s="684"/>
      <c r="RQL73" s="684"/>
      <c r="RQM73" s="684"/>
      <c r="RQN73" s="684"/>
      <c r="RQO73" s="684"/>
      <c r="RQP73" s="684"/>
      <c r="RQQ73" s="684"/>
      <c r="RQR73" s="684"/>
      <c r="RQS73" s="684"/>
      <c r="RQT73" s="684"/>
      <c r="RQU73" s="684"/>
      <c r="RQV73" s="684"/>
      <c r="RQW73" s="684"/>
      <c r="RQX73" s="684"/>
      <c r="RQY73" s="684"/>
      <c r="RQZ73" s="684"/>
      <c r="RRA73" s="684"/>
      <c r="RRB73" s="684"/>
      <c r="RRC73" s="684"/>
      <c r="RRD73" s="684"/>
      <c r="RRE73" s="684"/>
      <c r="RRF73" s="684"/>
      <c r="RRG73" s="684"/>
      <c r="RRH73" s="684"/>
      <c r="RRI73" s="684"/>
      <c r="RRJ73" s="684"/>
      <c r="RRK73" s="684"/>
      <c r="RRL73" s="684"/>
      <c r="RRM73" s="684"/>
      <c r="RRN73" s="684"/>
      <c r="RRO73" s="684"/>
      <c r="RRP73" s="684"/>
      <c r="RRQ73" s="684"/>
      <c r="RRR73" s="684"/>
      <c r="RRS73" s="684"/>
      <c r="RRT73" s="684"/>
      <c r="RRU73" s="684"/>
      <c r="RRV73" s="684"/>
      <c r="RRW73" s="684"/>
      <c r="RRX73" s="684"/>
      <c r="RRY73" s="684"/>
      <c r="RRZ73" s="684"/>
      <c r="RSA73" s="684"/>
      <c r="RSB73" s="684"/>
      <c r="RSC73" s="684"/>
      <c r="RSD73" s="684"/>
      <c r="RSE73" s="684"/>
      <c r="RSF73" s="684"/>
      <c r="RSG73" s="684"/>
      <c r="RSH73" s="684"/>
      <c r="RSI73" s="684"/>
      <c r="RSJ73" s="684"/>
      <c r="RSK73" s="684"/>
      <c r="RSL73" s="684"/>
      <c r="RSM73" s="684"/>
      <c r="RSN73" s="684"/>
      <c r="RSO73" s="684"/>
      <c r="RSP73" s="684"/>
      <c r="RSQ73" s="684"/>
      <c r="RSR73" s="684"/>
      <c r="RSS73" s="684"/>
      <c r="RST73" s="684"/>
      <c r="RSU73" s="684"/>
      <c r="RSV73" s="684"/>
      <c r="RSW73" s="684"/>
      <c r="RSX73" s="684"/>
      <c r="RSY73" s="684"/>
      <c r="RSZ73" s="684"/>
      <c r="RTA73" s="684"/>
      <c r="RTB73" s="684"/>
      <c r="RTC73" s="684"/>
      <c r="RTD73" s="684"/>
      <c r="RTE73" s="684"/>
      <c r="RTF73" s="684"/>
      <c r="RTG73" s="684"/>
      <c r="RTH73" s="684"/>
      <c r="RTI73" s="684"/>
      <c r="RTJ73" s="684"/>
      <c r="RTK73" s="684"/>
      <c r="RTL73" s="684"/>
      <c r="RTM73" s="684"/>
      <c r="RTN73" s="684"/>
      <c r="RTO73" s="684"/>
      <c r="RTP73" s="684"/>
      <c r="RTQ73" s="684"/>
      <c r="RTR73" s="684"/>
      <c r="RTS73" s="684"/>
      <c r="RTT73" s="684"/>
      <c r="RTU73" s="684"/>
      <c r="RTV73" s="684"/>
      <c r="RTW73" s="684"/>
      <c r="RTX73" s="684"/>
      <c r="RTY73" s="684"/>
      <c r="RTZ73" s="684"/>
      <c r="RUA73" s="684"/>
      <c r="RUB73" s="684"/>
      <c r="RUC73" s="684"/>
      <c r="RUD73" s="684"/>
      <c r="RUE73" s="684"/>
      <c r="RUF73" s="684"/>
      <c r="RUG73" s="684"/>
      <c r="RUH73" s="684"/>
      <c r="RUI73" s="684"/>
      <c r="RUJ73" s="684"/>
      <c r="RUK73" s="684"/>
      <c r="RUL73" s="684"/>
      <c r="RUM73" s="684"/>
      <c r="RUN73" s="684"/>
      <c r="RUO73" s="684"/>
      <c r="RUP73" s="684"/>
      <c r="RUQ73" s="684"/>
      <c r="RUR73" s="684"/>
      <c r="RUS73" s="684"/>
      <c r="RUT73" s="684"/>
      <c r="RUU73" s="684"/>
      <c r="RUV73" s="684"/>
      <c r="RUW73" s="684"/>
      <c r="RUX73" s="684"/>
      <c r="RUY73" s="684"/>
      <c r="RUZ73" s="684"/>
      <c r="RVA73" s="684"/>
      <c r="RVB73" s="684"/>
      <c r="RVC73" s="684"/>
      <c r="RVD73" s="684"/>
      <c r="RVE73" s="684"/>
      <c r="RVF73" s="684"/>
      <c r="RVG73" s="684"/>
      <c r="RVH73" s="684"/>
      <c r="RVI73" s="684"/>
      <c r="RVJ73" s="684"/>
      <c r="RVK73" s="684"/>
      <c r="RVL73" s="684"/>
      <c r="RVM73" s="684"/>
      <c r="RVN73" s="684"/>
      <c r="RVO73" s="684"/>
      <c r="RVP73" s="684"/>
      <c r="RVQ73" s="684"/>
      <c r="RVR73" s="684"/>
      <c r="RVS73" s="684"/>
      <c r="RVT73" s="684"/>
      <c r="RVU73" s="684"/>
      <c r="RVV73" s="684"/>
      <c r="RVW73" s="684"/>
      <c r="RVX73" s="684"/>
      <c r="RVY73" s="684"/>
      <c r="RVZ73" s="684"/>
      <c r="RWA73" s="684"/>
      <c r="RWB73" s="684"/>
      <c r="RWC73" s="684"/>
      <c r="RWD73" s="684"/>
      <c r="RWE73" s="684"/>
      <c r="RWF73" s="684"/>
      <c r="RWG73" s="684"/>
      <c r="RWH73" s="684"/>
      <c r="RWI73" s="684"/>
      <c r="RWJ73" s="684"/>
      <c r="RWK73" s="684"/>
      <c r="RWL73" s="684"/>
      <c r="RWM73" s="684"/>
      <c r="RWN73" s="684"/>
      <c r="RWO73" s="684"/>
      <c r="RWP73" s="684"/>
      <c r="RWQ73" s="684"/>
      <c r="RWR73" s="684"/>
      <c r="RWS73" s="684"/>
      <c r="RWT73" s="684"/>
      <c r="RWU73" s="684"/>
      <c r="RWV73" s="684"/>
      <c r="RWW73" s="684"/>
      <c r="RWX73" s="684"/>
      <c r="RWY73" s="684"/>
      <c r="RWZ73" s="684"/>
      <c r="RXA73" s="684"/>
      <c r="RXB73" s="684"/>
      <c r="RXC73" s="684"/>
      <c r="RXD73" s="684"/>
      <c r="RXE73" s="684"/>
      <c r="RXF73" s="684"/>
      <c r="RXG73" s="684"/>
      <c r="RXH73" s="684"/>
      <c r="RXI73" s="684"/>
      <c r="RXJ73" s="684"/>
      <c r="RXK73" s="684"/>
      <c r="RXL73" s="684"/>
      <c r="RXM73" s="684"/>
      <c r="RXN73" s="684"/>
      <c r="RXO73" s="684"/>
      <c r="RXP73" s="684"/>
      <c r="RXQ73" s="684"/>
      <c r="RXR73" s="684"/>
      <c r="RXS73" s="684"/>
      <c r="RXT73" s="684"/>
      <c r="RXU73" s="684"/>
      <c r="RXV73" s="684"/>
      <c r="RXW73" s="684"/>
      <c r="RXX73" s="684"/>
      <c r="RXY73" s="684"/>
      <c r="RXZ73" s="684"/>
      <c r="RYA73" s="684"/>
      <c r="RYB73" s="684"/>
      <c r="RYC73" s="684"/>
      <c r="RYD73" s="684"/>
      <c r="RYE73" s="684"/>
      <c r="RYF73" s="684"/>
      <c r="RYG73" s="684"/>
      <c r="RYH73" s="684"/>
      <c r="RYI73" s="684"/>
      <c r="RYJ73" s="684"/>
      <c r="RYK73" s="684"/>
      <c r="RYL73" s="684"/>
      <c r="RYM73" s="684"/>
      <c r="RYN73" s="684"/>
      <c r="RYO73" s="684"/>
      <c r="RYP73" s="684"/>
      <c r="RYQ73" s="684"/>
      <c r="RYR73" s="684"/>
      <c r="RYS73" s="684"/>
      <c r="RYT73" s="684"/>
      <c r="RYU73" s="684"/>
      <c r="RYV73" s="684"/>
      <c r="RYW73" s="684"/>
      <c r="RYX73" s="684"/>
      <c r="RYY73" s="684"/>
      <c r="RYZ73" s="684"/>
      <c r="RZA73" s="684"/>
      <c r="RZB73" s="684"/>
      <c r="RZC73" s="684"/>
      <c r="RZD73" s="684"/>
      <c r="RZE73" s="684"/>
      <c r="RZF73" s="684"/>
      <c r="RZG73" s="684"/>
      <c r="RZH73" s="684"/>
      <c r="RZI73" s="684"/>
      <c r="RZJ73" s="684"/>
      <c r="RZK73" s="684"/>
      <c r="RZL73" s="684"/>
      <c r="RZM73" s="684"/>
      <c r="RZN73" s="684"/>
      <c r="RZO73" s="684"/>
      <c r="RZP73" s="684"/>
      <c r="RZQ73" s="684"/>
      <c r="RZR73" s="684"/>
      <c r="RZS73" s="684"/>
      <c r="RZT73" s="684"/>
      <c r="RZU73" s="684"/>
      <c r="RZV73" s="684"/>
      <c r="RZW73" s="684"/>
      <c r="RZX73" s="684"/>
      <c r="RZY73" s="684"/>
      <c r="RZZ73" s="684"/>
      <c r="SAA73" s="684"/>
      <c r="SAB73" s="684"/>
      <c r="SAC73" s="684"/>
      <c r="SAD73" s="684"/>
      <c r="SAE73" s="684"/>
      <c r="SAF73" s="684"/>
      <c r="SAG73" s="684"/>
      <c r="SAH73" s="684"/>
      <c r="SAI73" s="684"/>
      <c r="SAJ73" s="684"/>
      <c r="SAK73" s="684"/>
      <c r="SAL73" s="684"/>
      <c r="SAM73" s="684"/>
      <c r="SAN73" s="684"/>
      <c r="SAO73" s="684"/>
      <c r="SAP73" s="684"/>
      <c r="SAQ73" s="684"/>
      <c r="SAR73" s="684"/>
      <c r="SAS73" s="684"/>
      <c r="SAT73" s="684"/>
      <c r="SAU73" s="684"/>
      <c r="SAV73" s="684"/>
      <c r="SAW73" s="684"/>
      <c r="SAX73" s="684"/>
      <c r="SAY73" s="684"/>
      <c r="SAZ73" s="684"/>
      <c r="SBA73" s="684"/>
      <c r="SBB73" s="684"/>
      <c r="SBC73" s="684"/>
      <c r="SBD73" s="684"/>
      <c r="SBE73" s="684"/>
      <c r="SBF73" s="684"/>
      <c r="SBG73" s="684"/>
      <c r="SBH73" s="684"/>
      <c r="SBI73" s="684"/>
      <c r="SBJ73" s="684"/>
      <c r="SBK73" s="684"/>
      <c r="SBL73" s="684"/>
      <c r="SBM73" s="684"/>
      <c r="SBN73" s="684"/>
      <c r="SBO73" s="684"/>
      <c r="SBP73" s="684"/>
      <c r="SBQ73" s="684"/>
      <c r="SBR73" s="684"/>
      <c r="SBS73" s="684"/>
      <c r="SBT73" s="684"/>
      <c r="SBU73" s="684"/>
      <c r="SBV73" s="684"/>
      <c r="SBW73" s="684"/>
      <c r="SBX73" s="684"/>
      <c r="SBY73" s="684"/>
      <c r="SBZ73" s="684"/>
      <c r="SCA73" s="684"/>
      <c r="SCB73" s="684"/>
      <c r="SCC73" s="684"/>
      <c r="SCD73" s="684"/>
      <c r="SCE73" s="684"/>
      <c r="SCF73" s="684"/>
      <c r="SCG73" s="684"/>
      <c r="SCH73" s="684"/>
      <c r="SCI73" s="684"/>
      <c r="SCJ73" s="684"/>
      <c r="SCK73" s="684"/>
      <c r="SCL73" s="684"/>
      <c r="SCM73" s="684"/>
      <c r="SCN73" s="684"/>
      <c r="SCO73" s="684"/>
      <c r="SCP73" s="684"/>
      <c r="SCQ73" s="684"/>
      <c r="SCR73" s="684"/>
      <c r="SCS73" s="684"/>
      <c r="SCT73" s="684"/>
      <c r="SCU73" s="684"/>
      <c r="SCV73" s="684"/>
      <c r="SCW73" s="684"/>
      <c r="SCX73" s="684"/>
      <c r="SCY73" s="684"/>
      <c r="SCZ73" s="684"/>
      <c r="SDA73" s="684"/>
      <c r="SDB73" s="684"/>
      <c r="SDC73" s="684"/>
      <c r="SDD73" s="684"/>
      <c r="SDE73" s="684"/>
      <c r="SDF73" s="684"/>
      <c r="SDG73" s="684"/>
      <c r="SDH73" s="684"/>
      <c r="SDI73" s="684"/>
      <c r="SDJ73" s="684"/>
      <c r="SDK73" s="684"/>
      <c r="SDL73" s="684"/>
      <c r="SDM73" s="684"/>
      <c r="SDN73" s="684"/>
      <c r="SDO73" s="684"/>
      <c r="SDP73" s="684"/>
      <c r="SDQ73" s="684"/>
      <c r="SDR73" s="684"/>
      <c r="SDS73" s="684"/>
      <c r="SDT73" s="684"/>
      <c r="SDU73" s="684"/>
      <c r="SDV73" s="684"/>
      <c r="SDW73" s="684"/>
      <c r="SDX73" s="684"/>
      <c r="SDY73" s="684"/>
      <c r="SDZ73" s="684"/>
      <c r="SEA73" s="684"/>
      <c r="SEB73" s="684"/>
      <c r="SEC73" s="684"/>
      <c r="SED73" s="684"/>
      <c r="SEE73" s="684"/>
      <c r="SEF73" s="684"/>
      <c r="SEG73" s="684"/>
      <c r="SEH73" s="684"/>
      <c r="SEI73" s="684"/>
      <c r="SEJ73" s="684"/>
      <c r="SEK73" s="684"/>
      <c r="SEL73" s="684"/>
      <c r="SEM73" s="684"/>
      <c r="SEN73" s="684"/>
      <c r="SEO73" s="684"/>
      <c r="SEP73" s="684"/>
      <c r="SEQ73" s="684"/>
      <c r="SER73" s="684"/>
      <c r="SES73" s="684"/>
      <c r="SET73" s="684"/>
      <c r="SEU73" s="684"/>
      <c r="SEV73" s="684"/>
      <c r="SEW73" s="684"/>
      <c r="SEX73" s="684"/>
      <c r="SEY73" s="684"/>
      <c r="SEZ73" s="684"/>
      <c r="SFA73" s="684"/>
      <c r="SFB73" s="684"/>
      <c r="SFC73" s="684"/>
      <c r="SFD73" s="684"/>
      <c r="SFE73" s="684"/>
      <c r="SFF73" s="684"/>
      <c r="SFG73" s="684"/>
      <c r="SFH73" s="684"/>
      <c r="SFI73" s="684"/>
      <c r="SFJ73" s="684"/>
      <c r="SFK73" s="684"/>
      <c r="SFL73" s="684"/>
      <c r="SFM73" s="684"/>
      <c r="SFN73" s="684"/>
      <c r="SFO73" s="684"/>
      <c r="SFP73" s="684"/>
      <c r="SFQ73" s="684"/>
      <c r="SFR73" s="684"/>
      <c r="SFS73" s="684"/>
      <c r="SFT73" s="684"/>
      <c r="SFU73" s="684"/>
      <c r="SFV73" s="684"/>
      <c r="SFW73" s="684"/>
      <c r="SFX73" s="684"/>
      <c r="SFY73" s="684"/>
      <c r="SFZ73" s="684"/>
      <c r="SGA73" s="684"/>
      <c r="SGB73" s="684"/>
      <c r="SGC73" s="684"/>
      <c r="SGD73" s="684"/>
      <c r="SGE73" s="684"/>
      <c r="SGF73" s="684"/>
      <c r="SGG73" s="684"/>
      <c r="SGH73" s="684"/>
      <c r="SGI73" s="684"/>
      <c r="SGJ73" s="684"/>
      <c r="SGK73" s="684"/>
      <c r="SGL73" s="684"/>
      <c r="SGM73" s="684"/>
      <c r="SGN73" s="684"/>
      <c r="SGO73" s="684"/>
      <c r="SGP73" s="684"/>
      <c r="SGQ73" s="684"/>
      <c r="SGR73" s="684"/>
      <c r="SGS73" s="684"/>
      <c r="SGT73" s="684"/>
      <c r="SGU73" s="684"/>
      <c r="SGV73" s="684"/>
      <c r="SGW73" s="684"/>
      <c r="SGX73" s="684"/>
      <c r="SGY73" s="684"/>
      <c r="SGZ73" s="684"/>
      <c r="SHA73" s="684"/>
      <c r="SHB73" s="684"/>
      <c r="SHC73" s="684"/>
      <c r="SHD73" s="684"/>
      <c r="SHE73" s="684"/>
      <c r="SHF73" s="684"/>
      <c r="SHG73" s="684"/>
      <c r="SHH73" s="684"/>
      <c r="SHI73" s="684"/>
      <c r="SHJ73" s="684"/>
      <c r="SHK73" s="684"/>
      <c r="SHL73" s="684"/>
      <c r="SHM73" s="684"/>
      <c r="SHN73" s="684"/>
      <c r="SHO73" s="684"/>
      <c r="SHP73" s="684"/>
      <c r="SHQ73" s="684"/>
      <c r="SHR73" s="684"/>
      <c r="SHS73" s="684"/>
      <c r="SHT73" s="684"/>
      <c r="SHU73" s="684"/>
      <c r="SHV73" s="684"/>
      <c r="SHW73" s="684"/>
      <c r="SHX73" s="684"/>
      <c r="SHY73" s="684"/>
      <c r="SHZ73" s="684"/>
      <c r="SIA73" s="684"/>
      <c r="SIB73" s="684"/>
      <c r="SIC73" s="684"/>
      <c r="SID73" s="684"/>
      <c r="SIE73" s="684"/>
      <c r="SIF73" s="684"/>
      <c r="SIG73" s="684"/>
      <c r="SIH73" s="684"/>
      <c r="SII73" s="684"/>
      <c r="SIJ73" s="684"/>
      <c r="SIK73" s="684"/>
      <c r="SIL73" s="684"/>
      <c r="SIM73" s="684"/>
      <c r="SIN73" s="684"/>
      <c r="SIO73" s="684"/>
      <c r="SIP73" s="684"/>
      <c r="SIQ73" s="684"/>
      <c r="SIR73" s="684"/>
      <c r="SIS73" s="684"/>
      <c r="SIT73" s="684"/>
      <c r="SIU73" s="684"/>
      <c r="SIV73" s="684"/>
      <c r="SIW73" s="684"/>
      <c r="SIX73" s="684"/>
      <c r="SIY73" s="684"/>
      <c r="SIZ73" s="684"/>
      <c r="SJA73" s="684"/>
      <c r="SJB73" s="684"/>
      <c r="SJC73" s="684"/>
      <c r="SJD73" s="684"/>
      <c r="SJE73" s="684"/>
      <c r="SJF73" s="684"/>
      <c r="SJG73" s="684"/>
      <c r="SJH73" s="684"/>
      <c r="SJI73" s="684"/>
      <c r="SJJ73" s="684"/>
      <c r="SJK73" s="684"/>
      <c r="SJL73" s="684"/>
      <c r="SJM73" s="684"/>
      <c r="SJN73" s="684"/>
      <c r="SJO73" s="684"/>
      <c r="SJP73" s="684"/>
      <c r="SJQ73" s="684"/>
      <c r="SJR73" s="684"/>
      <c r="SJS73" s="684"/>
      <c r="SJT73" s="684"/>
      <c r="SJU73" s="684"/>
      <c r="SJV73" s="684"/>
      <c r="SJW73" s="684"/>
      <c r="SJX73" s="684"/>
      <c r="SJY73" s="684"/>
      <c r="SJZ73" s="684"/>
      <c r="SKA73" s="684"/>
      <c r="SKB73" s="684"/>
      <c r="SKC73" s="684"/>
      <c r="SKD73" s="684"/>
      <c r="SKE73" s="684"/>
      <c r="SKF73" s="684"/>
      <c r="SKG73" s="684"/>
      <c r="SKH73" s="684"/>
      <c r="SKI73" s="684"/>
      <c r="SKJ73" s="684"/>
      <c r="SKK73" s="684"/>
      <c r="SKL73" s="684"/>
      <c r="SKM73" s="684"/>
      <c r="SKN73" s="684"/>
      <c r="SKO73" s="684"/>
      <c r="SKP73" s="684"/>
      <c r="SKQ73" s="684"/>
      <c r="SKR73" s="684"/>
      <c r="SKS73" s="684"/>
      <c r="SKT73" s="684"/>
      <c r="SKU73" s="684"/>
      <c r="SKV73" s="684"/>
      <c r="SKW73" s="684"/>
      <c r="SKX73" s="684"/>
      <c r="SKY73" s="684"/>
      <c r="SKZ73" s="684"/>
      <c r="SLA73" s="684"/>
      <c r="SLB73" s="684"/>
      <c r="SLC73" s="684"/>
      <c r="SLD73" s="684"/>
      <c r="SLE73" s="684"/>
      <c r="SLF73" s="684"/>
      <c r="SLG73" s="684"/>
      <c r="SLH73" s="684"/>
      <c r="SLI73" s="684"/>
      <c r="SLJ73" s="684"/>
      <c r="SLK73" s="684"/>
      <c r="SLL73" s="684"/>
      <c r="SLM73" s="684"/>
      <c r="SLN73" s="684"/>
      <c r="SLO73" s="684"/>
      <c r="SLP73" s="684"/>
      <c r="SLQ73" s="684"/>
      <c r="SLR73" s="684"/>
      <c r="SLS73" s="684"/>
      <c r="SLT73" s="684"/>
      <c r="SLU73" s="684"/>
      <c r="SLV73" s="684"/>
      <c r="SLW73" s="684"/>
      <c r="SLX73" s="684"/>
      <c r="SLY73" s="684"/>
      <c r="SLZ73" s="684"/>
      <c r="SMA73" s="684"/>
      <c r="SMB73" s="684"/>
      <c r="SMC73" s="684"/>
      <c r="SMD73" s="684"/>
      <c r="SME73" s="684"/>
      <c r="SMF73" s="684"/>
      <c r="SMG73" s="684"/>
      <c r="SMH73" s="684"/>
      <c r="SMI73" s="684"/>
      <c r="SMJ73" s="684"/>
      <c r="SMK73" s="684"/>
      <c r="SML73" s="684"/>
      <c r="SMM73" s="684"/>
      <c r="SMN73" s="684"/>
      <c r="SMO73" s="684"/>
      <c r="SMP73" s="684"/>
      <c r="SMQ73" s="684"/>
      <c r="SMR73" s="684"/>
      <c r="SMS73" s="684"/>
      <c r="SMT73" s="684"/>
      <c r="SMU73" s="684"/>
      <c r="SMV73" s="684"/>
      <c r="SMW73" s="684"/>
      <c r="SMX73" s="684"/>
      <c r="SMY73" s="684"/>
      <c r="SMZ73" s="684"/>
      <c r="SNA73" s="684"/>
      <c r="SNB73" s="684"/>
      <c r="SNC73" s="684"/>
      <c r="SND73" s="684"/>
      <c r="SNE73" s="684"/>
      <c r="SNF73" s="684"/>
      <c r="SNG73" s="684"/>
      <c r="SNH73" s="684"/>
      <c r="SNI73" s="684"/>
      <c r="SNJ73" s="684"/>
      <c r="SNK73" s="684"/>
      <c r="SNL73" s="684"/>
      <c r="SNM73" s="684"/>
      <c r="SNN73" s="684"/>
      <c r="SNO73" s="684"/>
      <c r="SNP73" s="684"/>
      <c r="SNQ73" s="684"/>
      <c r="SNR73" s="684"/>
      <c r="SNS73" s="684"/>
      <c r="SNT73" s="684"/>
      <c r="SNU73" s="684"/>
      <c r="SNV73" s="684"/>
      <c r="SNW73" s="684"/>
      <c r="SNX73" s="684"/>
      <c r="SNY73" s="684"/>
      <c r="SNZ73" s="684"/>
      <c r="SOA73" s="684"/>
      <c r="SOB73" s="684"/>
      <c r="SOC73" s="684"/>
      <c r="SOD73" s="684"/>
      <c r="SOE73" s="684"/>
      <c r="SOF73" s="684"/>
      <c r="SOG73" s="684"/>
      <c r="SOH73" s="684"/>
      <c r="SOI73" s="684"/>
      <c r="SOJ73" s="684"/>
      <c r="SOK73" s="684"/>
      <c r="SOL73" s="684"/>
      <c r="SOM73" s="684"/>
      <c r="SON73" s="684"/>
      <c r="SOO73" s="684"/>
      <c r="SOP73" s="684"/>
      <c r="SOQ73" s="684"/>
      <c r="SOR73" s="684"/>
      <c r="SOS73" s="684"/>
      <c r="SOT73" s="684"/>
      <c r="SOU73" s="684"/>
      <c r="SOV73" s="684"/>
      <c r="SOW73" s="684"/>
      <c r="SOX73" s="684"/>
      <c r="SOY73" s="684"/>
      <c r="SOZ73" s="684"/>
      <c r="SPA73" s="684"/>
      <c r="SPB73" s="684"/>
      <c r="SPC73" s="684"/>
      <c r="SPD73" s="684"/>
      <c r="SPE73" s="684"/>
      <c r="SPF73" s="684"/>
      <c r="SPG73" s="684"/>
      <c r="SPH73" s="684"/>
      <c r="SPI73" s="684"/>
      <c r="SPJ73" s="684"/>
      <c r="SPK73" s="684"/>
      <c r="SPL73" s="684"/>
      <c r="SPM73" s="684"/>
      <c r="SPN73" s="684"/>
      <c r="SPO73" s="684"/>
      <c r="SPP73" s="684"/>
      <c r="SPQ73" s="684"/>
      <c r="SPR73" s="684"/>
      <c r="SPS73" s="684"/>
      <c r="SPT73" s="684"/>
      <c r="SPU73" s="684"/>
      <c r="SPV73" s="684"/>
      <c r="SPW73" s="684"/>
      <c r="SPX73" s="684"/>
      <c r="SPY73" s="684"/>
      <c r="SPZ73" s="684"/>
      <c r="SQA73" s="684"/>
      <c r="SQB73" s="684"/>
      <c r="SQC73" s="684"/>
      <c r="SQD73" s="684"/>
      <c r="SQE73" s="684"/>
      <c r="SQF73" s="684"/>
      <c r="SQG73" s="684"/>
      <c r="SQH73" s="684"/>
      <c r="SQI73" s="684"/>
      <c r="SQJ73" s="684"/>
      <c r="SQK73" s="684"/>
      <c r="SQL73" s="684"/>
      <c r="SQM73" s="684"/>
      <c r="SQN73" s="684"/>
      <c r="SQO73" s="684"/>
      <c r="SQP73" s="684"/>
      <c r="SQQ73" s="684"/>
      <c r="SQR73" s="684"/>
      <c r="SQS73" s="684"/>
      <c r="SQT73" s="684"/>
      <c r="SQU73" s="684"/>
      <c r="SQV73" s="684"/>
      <c r="SQW73" s="684"/>
      <c r="SQX73" s="684"/>
      <c r="SQY73" s="684"/>
      <c r="SQZ73" s="684"/>
      <c r="SRA73" s="684"/>
      <c r="SRB73" s="684"/>
      <c r="SRC73" s="684"/>
      <c r="SRD73" s="684"/>
      <c r="SRE73" s="684"/>
      <c r="SRF73" s="684"/>
      <c r="SRG73" s="684"/>
      <c r="SRH73" s="684"/>
      <c r="SRI73" s="684"/>
      <c r="SRJ73" s="684"/>
      <c r="SRK73" s="684"/>
      <c r="SRL73" s="684"/>
      <c r="SRM73" s="684"/>
      <c r="SRN73" s="684"/>
      <c r="SRO73" s="684"/>
      <c r="SRP73" s="684"/>
      <c r="SRQ73" s="684"/>
      <c r="SRR73" s="684"/>
      <c r="SRS73" s="684"/>
      <c r="SRT73" s="684"/>
      <c r="SRU73" s="684"/>
      <c r="SRV73" s="684"/>
      <c r="SRW73" s="684"/>
      <c r="SRX73" s="684"/>
      <c r="SRY73" s="684"/>
      <c r="SRZ73" s="684"/>
      <c r="SSA73" s="684"/>
      <c r="SSB73" s="684"/>
      <c r="SSC73" s="684"/>
      <c r="SSD73" s="684"/>
      <c r="SSE73" s="684"/>
      <c r="SSF73" s="684"/>
      <c r="SSG73" s="684"/>
      <c r="SSH73" s="684"/>
      <c r="SSI73" s="684"/>
      <c r="SSJ73" s="684"/>
      <c r="SSK73" s="684"/>
      <c r="SSL73" s="684"/>
      <c r="SSM73" s="684"/>
      <c r="SSN73" s="684"/>
      <c r="SSO73" s="684"/>
      <c r="SSP73" s="684"/>
      <c r="SSQ73" s="684"/>
      <c r="SSR73" s="684"/>
      <c r="SSS73" s="684"/>
      <c r="SST73" s="684"/>
      <c r="SSU73" s="684"/>
      <c r="SSV73" s="684"/>
      <c r="SSW73" s="684"/>
      <c r="SSX73" s="684"/>
      <c r="SSY73" s="684"/>
      <c r="SSZ73" s="684"/>
      <c r="STA73" s="684"/>
      <c r="STB73" s="684"/>
      <c r="STC73" s="684"/>
      <c r="STD73" s="684"/>
      <c r="STE73" s="684"/>
      <c r="STF73" s="684"/>
      <c r="STG73" s="684"/>
      <c r="STH73" s="684"/>
      <c r="STI73" s="684"/>
      <c r="STJ73" s="684"/>
      <c r="STK73" s="684"/>
      <c r="STL73" s="684"/>
      <c r="STM73" s="684"/>
      <c r="STN73" s="684"/>
      <c r="STO73" s="684"/>
      <c r="STP73" s="684"/>
      <c r="STQ73" s="684"/>
      <c r="STR73" s="684"/>
      <c r="STS73" s="684"/>
      <c r="STT73" s="684"/>
      <c r="STU73" s="684"/>
      <c r="STV73" s="684"/>
      <c r="STW73" s="684"/>
      <c r="STX73" s="684"/>
      <c r="STY73" s="684"/>
      <c r="STZ73" s="684"/>
      <c r="SUA73" s="684"/>
      <c r="SUB73" s="684"/>
      <c r="SUC73" s="684"/>
      <c r="SUD73" s="684"/>
      <c r="SUE73" s="684"/>
      <c r="SUF73" s="684"/>
      <c r="SUG73" s="684"/>
      <c r="SUH73" s="684"/>
      <c r="SUI73" s="684"/>
      <c r="SUJ73" s="684"/>
      <c r="SUK73" s="684"/>
      <c r="SUL73" s="684"/>
      <c r="SUM73" s="684"/>
      <c r="SUN73" s="684"/>
      <c r="SUO73" s="684"/>
      <c r="SUP73" s="684"/>
      <c r="SUQ73" s="684"/>
      <c r="SUR73" s="684"/>
      <c r="SUS73" s="684"/>
      <c r="SUT73" s="684"/>
      <c r="SUU73" s="684"/>
      <c r="SUV73" s="684"/>
      <c r="SUW73" s="684"/>
      <c r="SUX73" s="684"/>
      <c r="SUY73" s="684"/>
      <c r="SUZ73" s="684"/>
      <c r="SVA73" s="684"/>
      <c r="SVB73" s="684"/>
      <c r="SVC73" s="684"/>
      <c r="SVD73" s="684"/>
      <c r="SVE73" s="684"/>
      <c r="SVF73" s="684"/>
      <c r="SVG73" s="684"/>
      <c r="SVH73" s="684"/>
      <c r="SVI73" s="684"/>
      <c r="SVJ73" s="684"/>
      <c r="SVK73" s="684"/>
      <c r="SVL73" s="684"/>
      <c r="SVM73" s="684"/>
      <c r="SVN73" s="684"/>
      <c r="SVO73" s="684"/>
      <c r="SVP73" s="684"/>
      <c r="SVQ73" s="684"/>
      <c r="SVR73" s="684"/>
      <c r="SVS73" s="684"/>
      <c r="SVT73" s="684"/>
      <c r="SVU73" s="684"/>
      <c r="SVV73" s="684"/>
      <c r="SVW73" s="684"/>
      <c r="SVX73" s="684"/>
      <c r="SVY73" s="684"/>
      <c r="SVZ73" s="684"/>
      <c r="SWA73" s="684"/>
      <c r="SWB73" s="684"/>
      <c r="SWC73" s="684"/>
      <c r="SWD73" s="684"/>
      <c r="SWE73" s="684"/>
      <c r="SWF73" s="684"/>
      <c r="SWG73" s="684"/>
      <c r="SWH73" s="684"/>
      <c r="SWI73" s="684"/>
      <c r="SWJ73" s="684"/>
      <c r="SWK73" s="684"/>
      <c r="SWL73" s="684"/>
      <c r="SWM73" s="684"/>
      <c r="SWN73" s="684"/>
      <c r="SWO73" s="684"/>
      <c r="SWP73" s="684"/>
      <c r="SWQ73" s="684"/>
      <c r="SWR73" s="684"/>
      <c r="SWS73" s="684"/>
      <c r="SWT73" s="684"/>
      <c r="SWU73" s="684"/>
      <c r="SWV73" s="684"/>
      <c r="SWW73" s="684"/>
      <c r="SWX73" s="684"/>
      <c r="SWY73" s="684"/>
      <c r="SWZ73" s="684"/>
      <c r="SXA73" s="684"/>
      <c r="SXB73" s="684"/>
      <c r="SXC73" s="684"/>
      <c r="SXD73" s="684"/>
      <c r="SXE73" s="684"/>
      <c r="SXF73" s="684"/>
      <c r="SXG73" s="684"/>
      <c r="SXH73" s="684"/>
      <c r="SXI73" s="684"/>
      <c r="SXJ73" s="684"/>
      <c r="SXK73" s="684"/>
      <c r="SXL73" s="684"/>
      <c r="SXM73" s="684"/>
      <c r="SXN73" s="684"/>
      <c r="SXO73" s="684"/>
      <c r="SXP73" s="684"/>
      <c r="SXQ73" s="684"/>
      <c r="SXR73" s="684"/>
      <c r="SXS73" s="684"/>
      <c r="SXT73" s="684"/>
      <c r="SXU73" s="684"/>
      <c r="SXV73" s="684"/>
      <c r="SXW73" s="684"/>
      <c r="SXX73" s="684"/>
      <c r="SXY73" s="684"/>
      <c r="SXZ73" s="684"/>
      <c r="SYA73" s="684"/>
      <c r="SYB73" s="684"/>
      <c r="SYC73" s="684"/>
      <c r="SYD73" s="684"/>
      <c r="SYE73" s="684"/>
      <c r="SYF73" s="684"/>
      <c r="SYG73" s="684"/>
      <c r="SYH73" s="684"/>
      <c r="SYI73" s="684"/>
      <c r="SYJ73" s="684"/>
      <c r="SYK73" s="684"/>
      <c r="SYL73" s="684"/>
      <c r="SYM73" s="684"/>
      <c r="SYN73" s="684"/>
      <c r="SYO73" s="684"/>
      <c r="SYP73" s="684"/>
      <c r="SYQ73" s="684"/>
      <c r="SYR73" s="684"/>
      <c r="SYS73" s="684"/>
      <c r="SYT73" s="684"/>
      <c r="SYU73" s="684"/>
      <c r="SYV73" s="684"/>
      <c r="SYW73" s="684"/>
      <c r="SYX73" s="684"/>
      <c r="SYY73" s="684"/>
      <c r="SYZ73" s="684"/>
      <c r="SZA73" s="684"/>
      <c r="SZB73" s="684"/>
      <c r="SZC73" s="684"/>
      <c r="SZD73" s="684"/>
      <c r="SZE73" s="684"/>
      <c r="SZF73" s="684"/>
      <c r="SZG73" s="684"/>
      <c r="SZH73" s="684"/>
      <c r="SZI73" s="684"/>
      <c r="SZJ73" s="684"/>
      <c r="SZK73" s="684"/>
      <c r="SZL73" s="684"/>
      <c r="SZM73" s="684"/>
      <c r="SZN73" s="684"/>
      <c r="SZO73" s="684"/>
      <c r="SZP73" s="684"/>
      <c r="SZQ73" s="684"/>
      <c r="SZR73" s="684"/>
      <c r="SZS73" s="684"/>
      <c r="SZT73" s="684"/>
      <c r="SZU73" s="684"/>
      <c r="SZV73" s="684"/>
      <c r="SZW73" s="684"/>
      <c r="SZX73" s="684"/>
      <c r="SZY73" s="684"/>
      <c r="SZZ73" s="684"/>
      <c r="TAA73" s="684"/>
      <c r="TAB73" s="684"/>
      <c r="TAC73" s="684"/>
      <c r="TAD73" s="684"/>
      <c r="TAE73" s="684"/>
      <c r="TAF73" s="684"/>
      <c r="TAG73" s="684"/>
      <c r="TAH73" s="684"/>
      <c r="TAI73" s="684"/>
      <c r="TAJ73" s="684"/>
      <c r="TAK73" s="684"/>
      <c r="TAL73" s="684"/>
      <c r="TAM73" s="684"/>
      <c r="TAN73" s="684"/>
      <c r="TAO73" s="684"/>
      <c r="TAP73" s="684"/>
      <c r="TAQ73" s="684"/>
      <c r="TAR73" s="684"/>
      <c r="TAS73" s="684"/>
      <c r="TAT73" s="684"/>
      <c r="TAU73" s="684"/>
      <c r="TAV73" s="684"/>
      <c r="TAW73" s="684"/>
      <c r="TAX73" s="684"/>
      <c r="TAY73" s="684"/>
      <c r="TAZ73" s="684"/>
      <c r="TBA73" s="684"/>
      <c r="TBB73" s="684"/>
      <c r="TBC73" s="684"/>
      <c r="TBD73" s="684"/>
      <c r="TBE73" s="684"/>
      <c r="TBF73" s="684"/>
      <c r="TBG73" s="684"/>
      <c r="TBH73" s="684"/>
      <c r="TBI73" s="684"/>
      <c r="TBJ73" s="684"/>
      <c r="TBK73" s="684"/>
      <c r="TBL73" s="684"/>
      <c r="TBM73" s="684"/>
      <c r="TBN73" s="684"/>
      <c r="TBO73" s="684"/>
      <c r="TBP73" s="684"/>
      <c r="TBQ73" s="684"/>
      <c r="TBR73" s="684"/>
      <c r="TBS73" s="684"/>
      <c r="TBT73" s="684"/>
      <c r="TBU73" s="684"/>
      <c r="TBV73" s="684"/>
      <c r="TBW73" s="684"/>
      <c r="TBX73" s="684"/>
      <c r="TBY73" s="684"/>
      <c r="TBZ73" s="684"/>
      <c r="TCA73" s="684"/>
      <c r="TCB73" s="684"/>
      <c r="TCC73" s="684"/>
      <c r="TCD73" s="684"/>
      <c r="TCE73" s="684"/>
      <c r="TCF73" s="684"/>
      <c r="TCG73" s="684"/>
      <c r="TCH73" s="684"/>
      <c r="TCI73" s="684"/>
      <c r="TCJ73" s="684"/>
      <c r="TCK73" s="684"/>
      <c r="TCL73" s="684"/>
      <c r="TCM73" s="684"/>
      <c r="TCN73" s="684"/>
      <c r="TCO73" s="684"/>
      <c r="TCP73" s="684"/>
      <c r="TCQ73" s="684"/>
      <c r="TCR73" s="684"/>
      <c r="TCS73" s="684"/>
      <c r="TCT73" s="684"/>
      <c r="TCU73" s="684"/>
      <c r="TCV73" s="684"/>
      <c r="TCW73" s="684"/>
      <c r="TCX73" s="684"/>
      <c r="TCY73" s="684"/>
      <c r="TCZ73" s="684"/>
      <c r="TDA73" s="684"/>
      <c r="TDB73" s="684"/>
      <c r="TDC73" s="684"/>
      <c r="TDD73" s="684"/>
      <c r="TDE73" s="684"/>
      <c r="TDF73" s="684"/>
      <c r="TDG73" s="684"/>
      <c r="TDH73" s="684"/>
      <c r="TDI73" s="684"/>
      <c r="TDJ73" s="684"/>
      <c r="TDK73" s="684"/>
      <c r="TDL73" s="684"/>
      <c r="TDM73" s="684"/>
      <c r="TDN73" s="684"/>
      <c r="TDO73" s="684"/>
      <c r="TDP73" s="684"/>
      <c r="TDQ73" s="684"/>
      <c r="TDR73" s="684"/>
      <c r="TDS73" s="684"/>
      <c r="TDT73" s="684"/>
      <c r="TDU73" s="684"/>
      <c r="TDV73" s="684"/>
      <c r="TDW73" s="684"/>
      <c r="TDX73" s="684"/>
      <c r="TDY73" s="684"/>
      <c r="TDZ73" s="684"/>
      <c r="TEA73" s="684"/>
      <c r="TEB73" s="684"/>
      <c r="TEC73" s="684"/>
      <c r="TED73" s="684"/>
      <c r="TEE73" s="684"/>
      <c r="TEF73" s="684"/>
      <c r="TEG73" s="684"/>
      <c r="TEH73" s="684"/>
      <c r="TEI73" s="684"/>
      <c r="TEJ73" s="684"/>
      <c r="TEK73" s="684"/>
      <c r="TEL73" s="684"/>
      <c r="TEM73" s="684"/>
      <c r="TEN73" s="684"/>
      <c r="TEO73" s="684"/>
      <c r="TEP73" s="684"/>
      <c r="TEQ73" s="684"/>
      <c r="TER73" s="684"/>
      <c r="TES73" s="684"/>
      <c r="TET73" s="684"/>
      <c r="TEU73" s="684"/>
      <c r="TEV73" s="684"/>
      <c r="TEW73" s="684"/>
      <c r="TEX73" s="684"/>
      <c r="TEY73" s="684"/>
      <c r="TEZ73" s="684"/>
      <c r="TFA73" s="684"/>
      <c r="TFB73" s="684"/>
      <c r="TFC73" s="684"/>
      <c r="TFD73" s="684"/>
      <c r="TFE73" s="684"/>
      <c r="TFF73" s="684"/>
      <c r="TFG73" s="684"/>
      <c r="TFH73" s="684"/>
      <c r="TFI73" s="684"/>
      <c r="TFJ73" s="684"/>
      <c r="TFK73" s="684"/>
      <c r="TFL73" s="684"/>
      <c r="TFM73" s="684"/>
      <c r="TFN73" s="684"/>
      <c r="TFO73" s="684"/>
      <c r="TFP73" s="684"/>
      <c r="TFQ73" s="684"/>
      <c r="TFR73" s="684"/>
      <c r="TFS73" s="684"/>
      <c r="TFT73" s="684"/>
      <c r="TFU73" s="684"/>
      <c r="TFV73" s="684"/>
      <c r="TFW73" s="684"/>
      <c r="TFX73" s="684"/>
      <c r="TFY73" s="684"/>
      <c r="TFZ73" s="684"/>
      <c r="TGA73" s="684"/>
      <c r="TGB73" s="684"/>
      <c r="TGC73" s="684"/>
      <c r="TGD73" s="684"/>
      <c r="TGE73" s="684"/>
      <c r="TGF73" s="684"/>
      <c r="TGG73" s="684"/>
      <c r="TGH73" s="684"/>
      <c r="TGI73" s="684"/>
      <c r="TGJ73" s="684"/>
      <c r="TGK73" s="684"/>
      <c r="TGL73" s="684"/>
      <c r="TGM73" s="684"/>
      <c r="TGN73" s="684"/>
      <c r="TGO73" s="684"/>
      <c r="TGP73" s="684"/>
      <c r="TGQ73" s="684"/>
      <c r="TGR73" s="684"/>
      <c r="TGS73" s="684"/>
      <c r="TGT73" s="684"/>
      <c r="TGU73" s="684"/>
      <c r="TGV73" s="684"/>
      <c r="TGW73" s="684"/>
      <c r="TGX73" s="684"/>
      <c r="TGY73" s="684"/>
      <c r="TGZ73" s="684"/>
      <c r="THA73" s="684"/>
      <c r="THB73" s="684"/>
      <c r="THC73" s="684"/>
      <c r="THD73" s="684"/>
      <c r="THE73" s="684"/>
      <c r="THF73" s="684"/>
      <c r="THG73" s="684"/>
      <c r="THH73" s="684"/>
      <c r="THI73" s="684"/>
      <c r="THJ73" s="684"/>
      <c r="THK73" s="684"/>
      <c r="THL73" s="684"/>
      <c r="THM73" s="684"/>
      <c r="THN73" s="684"/>
      <c r="THO73" s="684"/>
      <c r="THP73" s="684"/>
      <c r="THQ73" s="684"/>
      <c r="THR73" s="684"/>
      <c r="THS73" s="684"/>
      <c r="THT73" s="684"/>
      <c r="THU73" s="684"/>
      <c r="THV73" s="684"/>
      <c r="THW73" s="684"/>
      <c r="THX73" s="684"/>
      <c r="THY73" s="684"/>
      <c r="THZ73" s="684"/>
      <c r="TIA73" s="684"/>
      <c r="TIB73" s="684"/>
      <c r="TIC73" s="684"/>
      <c r="TID73" s="684"/>
      <c r="TIE73" s="684"/>
      <c r="TIF73" s="684"/>
      <c r="TIG73" s="684"/>
      <c r="TIH73" s="684"/>
      <c r="TII73" s="684"/>
      <c r="TIJ73" s="684"/>
      <c r="TIK73" s="684"/>
      <c r="TIL73" s="684"/>
      <c r="TIM73" s="684"/>
      <c r="TIN73" s="684"/>
      <c r="TIO73" s="684"/>
      <c r="TIP73" s="684"/>
      <c r="TIQ73" s="684"/>
      <c r="TIR73" s="684"/>
      <c r="TIS73" s="684"/>
      <c r="TIT73" s="684"/>
      <c r="TIU73" s="684"/>
      <c r="TIV73" s="684"/>
      <c r="TIW73" s="684"/>
      <c r="TIX73" s="684"/>
      <c r="TIY73" s="684"/>
      <c r="TIZ73" s="684"/>
      <c r="TJA73" s="684"/>
      <c r="TJB73" s="684"/>
      <c r="TJC73" s="684"/>
      <c r="TJD73" s="684"/>
      <c r="TJE73" s="684"/>
      <c r="TJF73" s="684"/>
      <c r="TJG73" s="684"/>
      <c r="TJH73" s="684"/>
      <c r="TJI73" s="684"/>
      <c r="TJJ73" s="684"/>
      <c r="TJK73" s="684"/>
      <c r="TJL73" s="684"/>
      <c r="TJM73" s="684"/>
      <c r="TJN73" s="684"/>
      <c r="TJO73" s="684"/>
      <c r="TJP73" s="684"/>
      <c r="TJQ73" s="684"/>
      <c r="TJR73" s="684"/>
      <c r="TJS73" s="684"/>
      <c r="TJT73" s="684"/>
      <c r="TJU73" s="684"/>
      <c r="TJV73" s="684"/>
      <c r="TJW73" s="684"/>
      <c r="TJX73" s="684"/>
      <c r="TJY73" s="684"/>
      <c r="TJZ73" s="684"/>
      <c r="TKA73" s="684"/>
      <c r="TKB73" s="684"/>
      <c r="TKC73" s="684"/>
      <c r="TKD73" s="684"/>
      <c r="TKE73" s="684"/>
      <c r="TKF73" s="684"/>
      <c r="TKG73" s="684"/>
      <c r="TKH73" s="684"/>
      <c r="TKI73" s="684"/>
      <c r="TKJ73" s="684"/>
      <c r="TKK73" s="684"/>
      <c r="TKL73" s="684"/>
      <c r="TKM73" s="684"/>
      <c r="TKN73" s="684"/>
      <c r="TKO73" s="684"/>
      <c r="TKP73" s="684"/>
      <c r="TKQ73" s="684"/>
      <c r="TKR73" s="684"/>
      <c r="TKS73" s="684"/>
      <c r="TKT73" s="684"/>
      <c r="TKU73" s="684"/>
      <c r="TKV73" s="684"/>
      <c r="TKW73" s="684"/>
      <c r="TKX73" s="684"/>
      <c r="TKY73" s="684"/>
      <c r="TKZ73" s="684"/>
      <c r="TLA73" s="684"/>
      <c r="TLB73" s="684"/>
      <c r="TLC73" s="684"/>
      <c r="TLD73" s="684"/>
      <c r="TLE73" s="684"/>
      <c r="TLF73" s="684"/>
      <c r="TLG73" s="684"/>
      <c r="TLH73" s="684"/>
      <c r="TLI73" s="684"/>
      <c r="TLJ73" s="684"/>
      <c r="TLK73" s="684"/>
      <c r="TLL73" s="684"/>
      <c r="TLM73" s="684"/>
      <c r="TLN73" s="684"/>
      <c r="TLO73" s="684"/>
      <c r="TLP73" s="684"/>
      <c r="TLQ73" s="684"/>
      <c r="TLR73" s="684"/>
      <c r="TLS73" s="684"/>
      <c r="TLT73" s="684"/>
      <c r="TLU73" s="684"/>
      <c r="TLV73" s="684"/>
      <c r="TLW73" s="684"/>
      <c r="TLX73" s="684"/>
      <c r="TLY73" s="684"/>
      <c r="TLZ73" s="684"/>
      <c r="TMA73" s="684"/>
      <c r="TMB73" s="684"/>
      <c r="TMC73" s="684"/>
      <c r="TMD73" s="684"/>
      <c r="TME73" s="684"/>
      <c r="TMF73" s="684"/>
      <c r="TMG73" s="684"/>
      <c r="TMH73" s="684"/>
      <c r="TMI73" s="684"/>
      <c r="TMJ73" s="684"/>
      <c r="TMK73" s="684"/>
      <c r="TML73" s="684"/>
      <c r="TMM73" s="684"/>
      <c r="TMN73" s="684"/>
      <c r="TMO73" s="684"/>
      <c r="TMP73" s="684"/>
      <c r="TMQ73" s="684"/>
      <c r="TMR73" s="684"/>
      <c r="TMS73" s="684"/>
      <c r="TMT73" s="684"/>
      <c r="TMU73" s="684"/>
      <c r="TMV73" s="684"/>
      <c r="TMW73" s="684"/>
      <c r="TMX73" s="684"/>
      <c r="TMY73" s="684"/>
      <c r="TMZ73" s="684"/>
      <c r="TNA73" s="684"/>
      <c r="TNB73" s="684"/>
      <c r="TNC73" s="684"/>
      <c r="TND73" s="684"/>
      <c r="TNE73" s="684"/>
      <c r="TNF73" s="684"/>
      <c r="TNG73" s="684"/>
      <c r="TNH73" s="684"/>
      <c r="TNI73" s="684"/>
      <c r="TNJ73" s="684"/>
      <c r="TNK73" s="684"/>
      <c r="TNL73" s="684"/>
      <c r="TNM73" s="684"/>
      <c r="TNN73" s="684"/>
      <c r="TNO73" s="684"/>
      <c r="TNP73" s="684"/>
      <c r="TNQ73" s="684"/>
      <c r="TNR73" s="684"/>
      <c r="TNS73" s="684"/>
      <c r="TNT73" s="684"/>
      <c r="TNU73" s="684"/>
      <c r="TNV73" s="684"/>
      <c r="TNW73" s="684"/>
      <c r="TNX73" s="684"/>
      <c r="TNY73" s="684"/>
      <c r="TNZ73" s="684"/>
      <c r="TOA73" s="684"/>
      <c r="TOB73" s="684"/>
      <c r="TOC73" s="684"/>
      <c r="TOD73" s="684"/>
      <c r="TOE73" s="684"/>
      <c r="TOF73" s="684"/>
      <c r="TOG73" s="684"/>
      <c r="TOH73" s="684"/>
      <c r="TOI73" s="684"/>
      <c r="TOJ73" s="684"/>
      <c r="TOK73" s="684"/>
      <c r="TOL73" s="684"/>
      <c r="TOM73" s="684"/>
      <c r="TON73" s="684"/>
      <c r="TOO73" s="684"/>
      <c r="TOP73" s="684"/>
      <c r="TOQ73" s="684"/>
      <c r="TOR73" s="684"/>
      <c r="TOS73" s="684"/>
      <c r="TOT73" s="684"/>
      <c r="TOU73" s="684"/>
      <c r="TOV73" s="684"/>
      <c r="TOW73" s="684"/>
      <c r="TOX73" s="684"/>
      <c r="TOY73" s="684"/>
      <c r="TOZ73" s="684"/>
      <c r="TPA73" s="684"/>
      <c r="TPB73" s="684"/>
      <c r="TPC73" s="684"/>
      <c r="TPD73" s="684"/>
      <c r="TPE73" s="684"/>
      <c r="TPF73" s="684"/>
      <c r="TPG73" s="684"/>
      <c r="TPH73" s="684"/>
      <c r="TPI73" s="684"/>
      <c r="TPJ73" s="684"/>
      <c r="TPK73" s="684"/>
      <c r="TPL73" s="684"/>
      <c r="TPM73" s="684"/>
      <c r="TPN73" s="684"/>
      <c r="TPO73" s="684"/>
      <c r="TPP73" s="684"/>
      <c r="TPQ73" s="684"/>
      <c r="TPR73" s="684"/>
      <c r="TPS73" s="684"/>
      <c r="TPT73" s="684"/>
      <c r="TPU73" s="684"/>
      <c r="TPV73" s="684"/>
      <c r="TPW73" s="684"/>
      <c r="TPX73" s="684"/>
      <c r="TPY73" s="684"/>
      <c r="TPZ73" s="684"/>
      <c r="TQA73" s="684"/>
      <c r="TQB73" s="684"/>
      <c r="TQC73" s="684"/>
      <c r="TQD73" s="684"/>
      <c r="TQE73" s="684"/>
      <c r="TQF73" s="684"/>
      <c r="TQG73" s="684"/>
      <c r="TQH73" s="684"/>
      <c r="TQI73" s="684"/>
      <c r="TQJ73" s="684"/>
      <c r="TQK73" s="684"/>
      <c r="TQL73" s="684"/>
      <c r="TQM73" s="684"/>
      <c r="TQN73" s="684"/>
      <c r="TQO73" s="684"/>
      <c r="TQP73" s="684"/>
      <c r="TQQ73" s="684"/>
      <c r="TQR73" s="684"/>
      <c r="TQS73" s="684"/>
      <c r="TQT73" s="684"/>
      <c r="TQU73" s="684"/>
      <c r="TQV73" s="684"/>
      <c r="TQW73" s="684"/>
      <c r="TQX73" s="684"/>
      <c r="TQY73" s="684"/>
      <c r="TQZ73" s="684"/>
      <c r="TRA73" s="684"/>
      <c r="TRB73" s="684"/>
      <c r="TRC73" s="684"/>
      <c r="TRD73" s="684"/>
      <c r="TRE73" s="684"/>
      <c r="TRF73" s="684"/>
      <c r="TRG73" s="684"/>
      <c r="TRH73" s="684"/>
      <c r="TRI73" s="684"/>
      <c r="TRJ73" s="684"/>
      <c r="TRK73" s="684"/>
      <c r="TRL73" s="684"/>
      <c r="TRM73" s="684"/>
      <c r="TRN73" s="684"/>
      <c r="TRO73" s="684"/>
      <c r="TRP73" s="684"/>
      <c r="TRQ73" s="684"/>
      <c r="TRR73" s="684"/>
      <c r="TRS73" s="684"/>
      <c r="TRT73" s="684"/>
      <c r="TRU73" s="684"/>
      <c r="TRV73" s="684"/>
      <c r="TRW73" s="684"/>
      <c r="TRX73" s="684"/>
      <c r="TRY73" s="684"/>
      <c r="TRZ73" s="684"/>
      <c r="TSA73" s="684"/>
      <c r="TSB73" s="684"/>
      <c r="TSC73" s="684"/>
      <c r="TSD73" s="684"/>
      <c r="TSE73" s="684"/>
      <c r="TSF73" s="684"/>
      <c r="TSG73" s="684"/>
      <c r="TSH73" s="684"/>
      <c r="TSI73" s="684"/>
      <c r="TSJ73" s="684"/>
      <c r="TSK73" s="684"/>
      <c r="TSL73" s="684"/>
      <c r="TSM73" s="684"/>
      <c r="TSN73" s="684"/>
      <c r="TSO73" s="684"/>
      <c r="TSP73" s="684"/>
      <c r="TSQ73" s="684"/>
      <c r="TSR73" s="684"/>
      <c r="TSS73" s="684"/>
      <c r="TST73" s="684"/>
      <c r="TSU73" s="684"/>
      <c r="TSV73" s="684"/>
      <c r="TSW73" s="684"/>
      <c r="TSX73" s="684"/>
      <c r="TSY73" s="684"/>
      <c r="TSZ73" s="684"/>
      <c r="TTA73" s="684"/>
      <c r="TTB73" s="684"/>
      <c r="TTC73" s="684"/>
      <c r="TTD73" s="684"/>
      <c r="TTE73" s="684"/>
      <c r="TTF73" s="684"/>
      <c r="TTG73" s="684"/>
      <c r="TTH73" s="684"/>
      <c r="TTI73" s="684"/>
      <c r="TTJ73" s="684"/>
      <c r="TTK73" s="684"/>
      <c r="TTL73" s="684"/>
      <c r="TTM73" s="684"/>
      <c r="TTN73" s="684"/>
      <c r="TTO73" s="684"/>
      <c r="TTP73" s="684"/>
      <c r="TTQ73" s="684"/>
      <c r="TTR73" s="684"/>
      <c r="TTS73" s="684"/>
      <c r="TTT73" s="684"/>
      <c r="TTU73" s="684"/>
      <c r="TTV73" s="684"/>
      <c r="TTW73" s="684"/>
      <c r="TTX73" s="684"/>
      <c r="TTY73" s="684"/>
      <c r="TTZ73" s="684"/>
      <c r="TUA73" s="684"/>
      <c r="TUB73" s="684"/>
      <c r="TUC73" s="684"/>
      <c r="TUD73" s="684"/>
      <c r="TUE73" s="684"/>
      <c r="TUF73" s="684"/>
      <c r="TUG73" s="684"/>
      <c r="TUH73" s="684"/>
      <c r="TUI73" s="684"/>
      <c r="TUJ73" s="684"/>
      <c r="TUK73" s="684"/>
      <c r="TUL73" s="684"/>
      <c r="TUM73" s="684"/>
      <c r="TUN73" s="684"/>
      <c r="TUO73" s="684"/>
      <c r="TUP73" s="684"/>
      <c r="TUQ73" s="684"/>
      <c r="TUR73" s="684"/>
      <c r="TUS73" s="684"/>
      <c r="TUT73" s="684"/>
      <c r="TUU73" s="684"/>
      <c r="TUV73" s="684"/>
      <c r="TUW73" s="684"/>
      <c r="TUX73" s="684"/>
      <c r="TUY73" s="684"/>
      <c r="TUZ73" s="684"/>
      <c r="TVA73" s="684"/>
      <c r="TVB73" s="684"/>
      <c r="TVC73" s="684"/>
      <c r="TVD73" s="684"/>
      <c r="TVE73" s="684"/>
      <c r="TVF73" s="684"/>
      <c r="TVG73" s="684"/>
      <c r="TVH73" s="684"/>
      <c r="TVI73" s="684"/>
      <c r="TVJ73" s="684"/>
      <c r="TVK73" s="684"/>
      <c r="TVL73" s="684"/>
      <c r="TVM73" s="684"/>
      <c r="TVN73" s="684"/>
      <c r="TVO73" s="684"/>
      <c r="TVP73" s="684"/>
      <c r="TVQ73" s="684"/>
      <c r="TVR73" s="684"/>
      <c r="TVS73" s="684"/>
      <c r="TVT73" s="684"/>
      <c r="TVU73" s="684"/>
      <c r="TVV73" s="684"/>
      <c r="TVW73" s="684"/>
      <c r="TVX73" s="684"/>
      <c r="TVY73" s="684"/>
      <c r="TVZ73" s="684"/>
      <c r="TWA73" s="684"/>
      <c r="TWB73" s="684"/>
      <c r="TWC73" s="684"/>
      <c r="TWD73" s="684"/>
      <c r="TWE73" s="684"/>
      <c r="TWF73" s="684"/>
      <c r="TWG73" s="684"/>
      <c r="TWH73" s="684"/>
      <c r="TWI73" s="684"/>
      <c r="TWJ73" s="684"/>
      <c r="TWK73" s="684"/>
      <c r="TWL73" s="684"/>
      <c r="TWM73" s="684"/>
      <c r="TWN73" s="684"/>
      <c r="TWO73" s="684"/>
      <c r="TWP73" s="684"/>
      <c r="TWQ73" s="684"/>
      <c r="TWR73" s="684"/>
      <c r="TWS73" s="684"/>
      <c r="TWT73" s="684"/>
      <c r="TWU73" s="684"/>
      <c r="TWV73" s="684"/>
      <c r="TWW73" s="684"/>
      <c r="TWX73" s="684"/>
      <c r="TWY73" s="684"/>
      <c r="TWZ73" s="684"/>
      <c r="TXA73" s="684"/>
      <c r="TXB73" s="684"/>
      <c r="TXC73" s="684"/>
      <c r="TXD73" s="684"/>
      <c r="TXE73" s="684"/>
      <c r="TXF73" s="684"/>
      <c r="TXG73" s="684"/>
      <c r="TXH73" s="684"/>
      <c r="TXI73" s="684"/>
      <c r="TXJ73" s="684"/>
      <c r="TXK73" s="684"/>
      <c r="TXL73" s="684"/>
      <c r="TXM73" s="684"/>
      <c r="TXN73" s="684"/>
      <c r="TXO73" s="684"/>
      <c r="TXP73" s="684"/>
      <c r="TXQ73" s="684"/>
      <c r="TXR73" s="684"/>
      <c r="TXS73" s="684"/>
      <c r="TXT73" s="684"/>
      <c r="TXU73" s="684"/>
      <c r="TXV73" s="684"/>
      <c r="TXW73" s="684"/>
      <c r="TXX73" s="684"/>
      <c r="TXY73" s="684"/>
      <c r="TXZ73" s="684"/>
      <c r="TYA73" s="684"/>
      <c r="TYB73" s="684"/>
      <c r="TYC73" s="684"/>
      <c r="TYD73" s="684"/>
      <c r="TYE73" s="684"/>
      <c r="TYF73" s="684"/>
      <c r="TYG73" s="684"/>
      <c r="TYH73" s="684"/>
      <c r="TYI73" s="684"/>
      <c r="TYJ73" s="684"/>
      <c r="TYK73" s="684"/>
      <c r="TYL73" s="684"/>
      <c r="TYM73" s="684"/>
      <c r="TYN73" s="684"/>
      <c r="TYO73" s="684"/>
      <c r="TYP73" s="684"/>
      <c r="TYQ73" s="684"/>
      <c r="TYR73" s="684"/>
      <c r="TYS73" s="684"/>
      <c r="TYT73" s="684"/>
      <c r="TYU73" s="684"/>
      <c r="TYV73" s="684"/>
      <c r="TYW73" s="684"/>
      <c r="TYX73" s="684"/>
      <c r="TYY73" s="684"/>
      <c r="TYZ73" s="684"/>
      <c r="TZA73" s="684"/>
      <c r="TZB73" s="684"/>
      <c r="TZC73" s="684"/>
      <c r="TZD73" s="684"/>
      <c r="TZE73" s="684"/>
      <c r="TZF73" s="684"/>
      <c r="TZG73" s="684"/>
      <c r="TZH73" s="684"/>
      <c r="TZI73" s="684"/>
      <c r="TZJ73" s="684"/>
      <c r="TZK73" s="684"/>
      <c r="TZL73" s="684"/>
      <c r="TZM73" s="684"/>
      <c r="TZN73" s="684"/>
      <c r="TZO73" s="684"/>
      <c r="TZP73" s="684"/>
      <c r="TZQ73" s="684"/>
      <c r="TZR73" s="684"/>
      <c r="TZS73" s="684"/>
      <c r="TZT73" s="684"/>
      <c r="TZU73" s="684"/>
      <c r="TZV73" s="684"/>
      <c r="TZW73" s="684"/>
      <c r="TZX73" s="684"/>
      <c r="TZY73" s="684"/>
      <c r="TZZ73" s="684"/>
      <c r="UAA73" s="684"/>
      <c r="UAB73" s="684"/>
      <c r="UAC73" s="684"/>
      <c r="UAD73" s="684"/>
      <c r="UAE73" s="684"/>
      <c r="UAF73" s="684"/>
      <c r="UAG73" s="684"/>
      <c r="UAH73" s="684"/>
      <c r="UAI73" s="684"/>
      <c r="UAJ73" s="684"/>
      <c r="UAK73" s="684"/>
      <c r="UAL73" s="684"/>
      <c r="UAM73" s="684"/>
      <c r="UAN73" s="684"/>
      <c r="UAO73" s="684"/>
      <c r="UAP73" s="684"/>
      <c r="UAQ73" s="684"/>
      <c r="UAR73" s="684"/>
      <c r="UAS73" s="684"/>
      <c r="UAT73" s="684"/>
      <c r="UAU73" s="684"/>
      <c r="UAV73" s="684"/>
      <c r="UAW73" s="684"/>
      <c r="UAX73" s="684"/>
      <c r="UAY73" s="684"/>
      <c r="UAZ73" s="684"/>
      <c r="UBA73" s="684"/>
      <c r="UBB73" s="684"/>
      <c r="UBC73" s="684"/>
      <c r="UBD73" s="684"/>
      <c r="UBE73" s="684"/>
      <c r="UBF73" s="684"/>
      <c r="UBG73" s="684"/>
      <c r="UBH73" s="684"/>
      <c r="UBI73" s="684"/>
      <c r="UBJ73" s="684"/>
      <c r="UBK73" s="684"/>
      <c r="UBL73" s="684"/>
      <c r="UBM73" s="684"/>
      <c r="UBN73" s="684"/>
      <c r="UBO73" s="684"/>
      <c r="UBP73" s="684"/>
      <c r="UBQ73" s="684"/>
      <c r="UBR73" s="684"/>
      <c r="UBS73" s="684"/>
      <c r="UBT73" s="684"/>
      <c r="UBU73" s="684"/>
      <c r="UBV73" s="684"/>
      <c r="UBW73" s="684"/>
      <c r="UBX73" s="684"/>
      <c r="UBY73" s="684"/>
      <c r="UBZ73" s="684"/>
      <c r="UCA73" s="684"/>
      <c r="UCB73" s="684"/>
      <c r="UCC73" s="684"/>
      <c r="UCD73" s="684"/>
      <c r="UCE73" s="684"/>
      <c r="UCF73" s="684"/>
      <c r="UCG73" s="684"/>
      <c r="UCH73" s="684"/>
      <c r="UCI73" s="684"/>
      <c r="UCJ73" s="684"/>
      <c r="UCK73" s="684"/>
      <c r="UCL73" s="684"/>
      <c r="UCM73" s="684"/>
      <c r="UCN73" s="684"/>
      <c r="UCO73" s="684"/>
      <c r="UCP73" s="684"/>
      <c r="UCQ73" s="684"/>
      <c r="UCR73" s="684"/>
      <c r="UCS73" s="684"/>
      <c r="UCT73" s="684"/>
      <c r="UCU73" s="684"/>
      <c r="UCV73" s="684"/>
      <c r="UCW73" s="684"/>
      <c r="UCX73" s="684"/>
      <c r="UCY73" s="684"/>
      <c r="UCZ73" s="684"/>
      <c r="UDA73" s="684"/>
      <c r="UDB73" s="684"/>
      <c r="UDC73" s="684"/>
      <c r="UDD73" s="684"/>
      <c r="UDE73" s="684"/>
      <c r="UDF73" s="684"/>
      <c r="UDG73" s="684"/>
      <c r="UDH73" s="684"/>
      <c r="UDI73" s="684"/>
      <c r="UDJ73" s="684"/>
      <c r="UDK73" s="684"/>
      <c r="UDL73" s="684"/>
      <c r="UDM73" s="684"/>
      <c r="UDN73" s="684"/>
      <c r="UDO73" s="684"/>
      <c r="UDP73" s="684"/>
      <c r="UDQ73" s="684"/>
      <c r="UDR73" s="684"/>
      <c r="UDS73" s="684"/>
      <c r="UDT73" s="684"/>
      <c r="UDU73" s="684"/>
      <c r="UDV73" s="684"/>
      <c r="UDW73" s="684"/>
      <c r="UDX73" s="684"/>
      <c r="UDY73" s="684"/>
      <c r="UDZ73" s="684"/>
      <c r="UEA73" s="684"/>
      <c r="UEB73" s="684"/>
      <c r="UEC73" s="684"/>
      <c r="UED73" s="684"/>
      <c r="UEE73" s="684"/>
      <c r="UEF73" s="684"/>
      <c r="UEG73" s="684"/>
      <c r="UEH73" s="684"/>
      <c r="UEI73" s="684"/>
      <c r="UEJ73" s="684"/>
      <c r="UEK73" s="684"/>
      <c r="UEL73" s="684"/>
      <c r="UEM73" s="684"/>
      <c r="UEN73" s="684"/>
      <c r="UEO73" s="684"/>
      <c r="UEP73" s="684"/>
      <c r="UEQ73" s="684"/>
      <c r="UER73" s="684"/>
      <c r="UES73" s="684"/>
      <c r="UET73" s="684"/>
      <c r="UEU73" s="684"/>
      <c r="UEV73" s="684"/>
      <c r="UEW73" s="684"/>
      <c r="UEX73" s="684"/>
      <c r="UEY73" s="684"/>
      <c r="UEZ73" s="684"/>
      <c r="UFA73" s="684"/>
      <c r="UFB73" s="684"/>
      <c r="UFC73" s="684"/>
      <c r="UFD73" s="684"/>
      <c r="UFE73" s="684"/>
      <c r="UFF73" s="684"/>
      <c r="UFG73" s="684"/>
      <c r="UFH73" s="684"/>
      <c r="UFI73" s="684"/>
      <c r="UFJ73" s="684"/>
      <c r="UFK73" s="684"/>
      <c r="UFL73" s="684"/>
      <c r="UFM73" s="684"/>
      <c r="UFN73" s="684"/>
      <c r="UFO73" s="684"/>
      <c r="UFP73" s="684"/>
      <c r="UFQ73" s="684"/>
      <c r="UFR73" s="684"/>
      <c r="UFS73" s="684"/>
      <c r="UFT73" s="684"/>
      <c r="UFU73" s="684"/>
      <c r="UFV73" s="684"/>
      <c r="UFW73" s="684"/>
      <c r="UFX73" s="684"/>
      <c r="UFY73" s="684"/>
      <c r="UFZ73" s="684"/>
      <c r="UGA73" s="684"/>
      <c r="UGB73" s="684"/>
      <c r="UGC73" s="684"/>
      <c r="UGD73" s="684"/>
      <c r="UGE73" s="684"/>
      <c r="UGF73" s="684"/>
      <c r="UGG73" s="684"/>
      <c r="UGH73" s="684"/>
      <c r="UGI73" s="684"/>
      <c r="UGJ73" s="684"/>
      <c r="UGK73" s="684"/>
      <c r="UGL73" s="684"/>
      <c r="UGM73" s="684"/>
      <c r="UGN73" s="684"/>
      <c r="UGO73" s="684"/>
      <c r="UGP73" s="684"/>
      <c r="UGQ73" s="684"/>
      <c r="UGR73" s="684"/>
      <c r="UGS73" s="684"/>
      <c r="UGT73" s="684"/>
      <c r="UGU73" s="684"/>
      <c r="UGV73" s="684"/>
      <c r="UGW73" s="684"/>
      <c r="UGX73" s="684"/>
      <c r="UGY73" s="684"/>
      <c r="UGZ73" s="684"/>
      <c r="UHA73" s="684"/>
      <c r="UHB73" s="684"/>
      <c r="UHC73" s="684"/>
      <c r="UHD73" s="684"/>
      <c r="UHE73" s="684"/>
      <c r="UHF73" s="684"/>
      <c r="UHG73" s="684"/>
      <c r="UHH73" s="684"/>
      <c r="UHI73" s="684"/>
      <c r="UHJ73" s="684"/>
      <c r="UHK73" s="684"/>
      <c r="UHL73" s="684"/>
      <c r="UHM73" s="684"/>
      <c r="UHN73" s="684"/>
      <c r="UHO73" s="684"/>
      <c r="UHP73" s="684"/>
      <c r="UHQ73" s="684"/>
      <c r="UHR73" s="684"/>
      <c r="UHS73" s="684"/>
      <c r="UHT73" s="684"/>
      <c r="UHU73" s="684"/>
      <c r="UHV73" s="684"/>
      <c r="UHW73" s="684"/>
      <c r="UHX73" s="684"/>
      <c r="UHY73" s="684"/>
      <c r="UHZ73" s="684"/>
      <c r="UIA73" s="684"/>
      <c r="UIB73" s="684"/>
      <c r="UIC73" s="684"/>
      <c r="UID73" s="684"/>
      <c r="UIE73" s="684"/>
      <c r="UIF73" s="684"/>
      <c r="UIG73" s="684"/>
      <c r="UIH73" s="684"/>
      <c r="UII73" s="684"/>
      <c r="UIJ73" s="684"/>
      <c r="UIK73" s="684"/>
      <c r="UIL73" s="684"/>
      <c r="UIM73" s="684"/>
      <c r="UIN73" s="684"/>
      <c r="UIO73" s="684"/>
      <c r="UIP73" s="684"/>
      <c r="UIQ73" s="684"/>
      <c r="UIR73" s="684"/>
      <c r="UIS73" s="684"/>
      <c r="UIT73" s="684"/>
      <c r="UIU73" s="684"/>
      <c r="UIV73" s="684"/>
      <c r="UIW73" s="684"/>
      <c r="UIX73" s="684"/>
      <c r="UIY73" s="684"/>
      <c r="UIZ73" s="684"/>
      <c r="UJA73" s="684"/>
      <c r="UJB73" s="684"/>
      <c r="UJC73" s="684"/>
      <c r="UJD73" s="684"/>
      <c r="UJE73" s="684"/>
      <c r="UJF73" s="684"/>
      <c r="UJG73" s="684"/>
      <c r="UJH73" s="684"/>
      <c r="UJI73" s="684"/>
      <c r="UJJ73" s="684"/>
      <c r="UJK73" s="684"/>
      <c r="UJL73" s="684"/>
      <c r="UJM73" s="684"/>
      <c r="UJN73" s="684"/>
      <c r="UJO73" s="684"/>
      <c r="UJP73" s="684"/>
      <c r="UJQ73" s="684"/>
      <c r="UJR73" s="684"/>
      <c r="UJS73" s="684"/>
      <c r="UJT73" s="684"/>
      <c r="UJU73" s="684"/>
      <c r="UJV73" s="684"/>
      <c r="UJW73" s="684"/>
      <c r="UJX73" s="684"/>
      <c r="UJY73" s="684"/>
      <c r="UJZ73" s="684"/>
      <c r="UKA73" s="684"/>
      <c r="UKB73" s="684"/>
      <c r="UKC73" s="684"/>
      <c r="UKD73" s="684"/>
      <c r="UKE73" s="684"/>
      <c r="UKF73" s="684"/>
      <c r="UKG73" s="684"/>
      <c r="UKH73" s="684"/>
      <c r="UKI73" s="684"/>
      <c r="UKJ73" s="684"/>
      <c r="UKK73" s="684"/>
      <c r="UKL73" s="684"/>
      <c r="UKM73" s="684"/>
      <c r="UKN73" s="684"/>
      <c r="UKO73" s="684"/>
      <c r="UKP73" s="684"/>
      <c r="UKQ73" s="684"/>
      <c r="UKR73" s="684"/>
      <c r="UKS73" s="684"/>
      <c r="UKT73" s="684"/>
      <c r="UKU73" s="684"/>
      <c r="UKV73" s="684"/>
      <c r="UKW73" s="684"/>
      <c r="UKX73" s="684"/>
      <c r="UKY73" s="684"/>
      <c r="UKZ73" s="684"/>
      <c r="ULA73" s="684"/>
      <c r="ULB73" s="684"/>
      <c r="ULC73" s="684"/>
      <c r="ULD73" s="684"/>
      <c r="ULE73" s="684"/>
      <c r="ULF73" s="684"/>
      <c r="ULG73" s="684"/>
      <c r="ULH73" s="684"/>
      <c r="ULI73" s="684"/>
      <c r="ULJ73" s="684"/>
      <c r="ULK73" s="684"/>
      <c r="ULL73" s="684"/>
      <c r="ULM73" s="684"/>
      <c r="ULN73" s="684"/>
      <c r="ULO73" s="684"/>
      <c r="ULP73" s="684"/>
      <c r="ULQ73" s="684"/>
      <c r="ULR73" s="684"/>
      <c r="ULS73" s="684"/>
      <c r="ULT73" s="684"/>
      <c r="ULU73" s="684"/>
      <c r="ULV73" s="684"/>
      <c r="ULW73" s="684"/>
      <c r="ULX73" s="684"/>
      <c r="ULY73" s="684"/>
      <c r="ULZ73" s="684"/>
      <c r="UMA73" s="684"/>
      <c r="UMB73" s="684"/>
      <c r="UMC73" s="684"/>
      <c r="UMD73" s="684"/>
      <c r="UME73" s="684"/>
      <c r="UMF73" s="684"/>
      <c r="UMG73" s="684"/>
      <c r="UMH73" s="684"/>
      <c r="UMI73" s="684"/>
      <c r="UMJ73" s="684"/>
      <c r="UMK73" s="684"/>
      <c r="UML73" s="684"/>
      <c r="UMM73" s="684"/>
      <c r="UMN73" s="684"/>
      <c r="UMO73" s="684"/>
      <c r="UMP73" s="684"/>
      <c r="UMQ73" s="684"/>
      <c r="UMR73" s="684"/>
      <c r="UMS73" s="684"/>
      <c r="UMT73" s="684"/>
      <c r="UMU73" s="684"/>
      <c r="UMV73" s="684"/>
      <c r="UMW73" s="684"/>
      <c r="UMX73" s="684"/>
      <c r="UMY73" s="684"/>
      <c r="UMZ73" s="684"/>
      <c r="UNA73" s="684"/>
      <c r="UNB73" s="684"/>
      <c r="UNC73" s="684"/>
      <c r="UND73" s="684"/>
      <c r="UNE73" s="684"/>
      <c r="UNF73" s="684"/>
      <c r="UNG73" s="684"/>
      <c r="UNH73" s="684"/>
      <c r="UNI73" s="684"/>
      <c r="UNJ73" s="684"/>
      <c r="UNK73" s="684"/>
      <c r="UNL73" s="684"/>
      <c r="UNM73" s="684"/>
      <c r="UNN73" s="684"/>
      <c r="UNO73" s="684"/>
      <c r="UNP73" s="684"/>
      <c r="UNQ73" s="684"/>
      <c r="UNR73" s="684"/>
      <c r="UNS73" s="684"/>
      <c r="UNT73" s="684"/>
      <c r="UNU73" s="684"/>
      <c r="UNV73" s="684"/>
      <c r="UNW73" s="684"/>
      <c r="UNX73" s="684"/>
      <c r="UNY73" s="684"/>
      <c r="UNZ73" s="684"/>
      <c r="UOA73" s="684"/>
      <c r="UOB73" s="684"/>
      <c r="UOC73" s="684"/>
      <c r="UOD73" s="684"/>
      <c r="UOE73" s="684"/>
      <c r="UOF73" s="684"/>
      <c r="UOG73" s="684"/>
      <c r="UOH73" s="684"/>
      <c r="UOI73" s="684"/>
      <c r="UOJ73" s="684"/>
      <c r="UOK73" s="684"/>
      <c r="UOL73" s="684"/>
      <c r="UOM73" s="684"/>
      <c r="UON73" s="684"/>
      <c r="UOO73" s="684"/>
      <c r="UOP73" s="684"/>
      <c r="UOQ73" s="684"/>
      <c r="UOR73" s="684"/>
      <c r="UOS73" s="684"/>
      <c r="UOT73" s="684"/>
      <c r="UOU73" s="684"/>
      <c r="UOV73" s="684"/>
      <c r="UOW73" s="684"/>
      <c r="UOX73" s="684"/>
      <c r="UOY73" s="684"/>
      <c r="UOZ73" s="684"/>
      <c r="UPA73" s="684"/>
      <c r="UPB73" s="684"/>
      <c r="UPC73" s="684"/>
      <c r="UPD73" s="684"/>
      <c r="UPE73" s="684"/>
      <c r="UPF73" s="684"/>
      <c r="UPG73" s="684"/>
      <c r="UPH73" s="684"/>
      <c r="UPI73" s="684"/>
      <c r="UPJ73" s="684"/>
      <c r="UPK73" s="684"/>
      <c r="UPL73" s="684"/>
      <c r="UPM73" s="684"/>
      <c r="UPN73" s="684"/>
      <c r="UPO73" s="684"/>
      <c r="UPP73" s="684"/>
      <c r="UPQ73" s="684"/>
      <c r="UPR73" s="684"/>
      <c r="UPS73" s="684"/>
      <c r="UPT73" s="684"/>
      <c r="UPU73" s="684"/>
      <c r="UPV73" s="684"/>
      <c r="UPW73" s="684"/>
      <c r="UPX73" s="684"/>
      <c r="UPY73" s="684"/>
      <c r="UPZ73" s="684"/>
      <c r="UQA73" s="684"/>
      <c r="UQB73" s="684"/>
      <c r="UQC73" s="684"/>
      <c r="UQD73" s="684"/>
      <c r="UQE73" s="684"/>
      <c r="UQF73" s="684"/>
      <c r="UQG73" s="684"/>
      <c r="UQH73" s="684"/>
      <c r="UQI73" s="684"/>
      <c r="UQJ73" s="684"/>
      <c r="UQK73" s="684"/>
      <c r="UQL73" s="684"/>
      <c r="UQM73" s="684"/>
      <c r="UQN73" s="684"/>
      <c r="UQO73" s="684"/>
      <c r="UQP73" s="684"/>
      <c r="UQQ73" s="684"/>
      <c r="UQR73" s="684"/>
      <c r="UQS73" s="684"/>
      <c r="UQT73" s="684"/>
      <c r="UQU73" s="684"/>
      <c r="UQV73" s="684"/>
      <c r="UQW73" s="684"/>
      <c r="UQX73" s="684"/>
      <c r="UQY73" s="684"/>
      <c r="UQZ73" s="684"/>
      <c r="URA73" s="684"/>
      <c r="URB73" s="684"/>
      <c r="URC73" s="684"/>
      <c r="URD73" s="684"/>
      <c r="URE73" s="684"/>
      <c r="URF73" s="684"/>
      <c r="URG73" s="684"/>
      <c r="URH73" s="684"/>
      <c r="URI73" s="684"/>
      <c r="URJ73" s="684"/>
      <c r="URK73" s="684"/>
      <c r="URL73" s="684"/>
      <c r="URM73" s="684"/>
      <c r="URN73" s="684"/>
      <c r="URO73" s="684"/>
      <c r="URP73" s="684"/>
      <c r="URQ73" s="684"/>
      <c r="URR73" s="684"/>
      <c r="URS73" s="684"/>
      <c r="URT73" s="684"/>
      <c r="URU73" s="684"/>
      <c r="URV73" s="684"/>
      <c r="URW73" s="684"/>
      <c r="URX73" s="684"/>
      <c r="URY73" s="684"/>
      <c r="URZ73" s="684"/>
      <c r="USA73" s="684"/>
      <c r="USB73" s="684"/>
      <c r="USC73" s="684"/>
      <c r="USD73" s="684"/>
      <c r="USE73" s="684"/>
      <c r="USF73" s="684"/>
      <c r="USG73" s="684"/>
      <c r="USH73" s="684"/>
      <c r="USI73" s="684"/>
      <c r="USJ73" s="684"/>
      <c r="USK73" s="684"/>
      <c r="USL73" s="684"/>
      <c r="USM73" s="684"/>
      <c r="USN73" s="684"/>
      <c r="USO73" s="684"/>
      <c r="USP73" s="684"/>
      <c r="USQ73" s="684"/>
      <c r="USR73" s="684"/>
      <c r="USS73" s="684"/>
      <c r="UST73" s="684"/>
      <c r="USU73" s="684"/>
      <c r="USV73" s="684"/>
      <c r="USW73" s="684"/>
      <c r="USX73" s="684"/>
      <c r="USY73" s="684"/>
      <c r="USZ73" s="684"/>
      <c r="UTA73" s="684"/>
      <c r="UTB73" s="684"/>
      <c r="UTC73" s="684"/>
      <c r="UTD73" s="684"/>
      <c r="UTE73" s="684"/>
      <c r="UTF73" s="684"/>
      <c r="UTG73" s="684"/>
      <c r="UTH73" s="684"/>
      <c r="UTI73" s="684"/>
      <c r="UTJ73" s="684"/>
      <c r="UTK73" s="684"/>
      <c r="UTL73" s="684"/>
      <c r="UTM73" s="684"/>
      <c r="UTN73" s="684"/>
      <c r="UTO73" s="684"/>
      <c r="UTP73" s="684"/>
      <c r="UTQ73" s="684"/>
      <c r="UTR73" s="684"/>
      <c r="UTS73" s="684"/>
      <c r="UTT73" s="684"/>
      <c r="UTU73" s="684"/>
      <c r="UTV73" s="684"/>
      <c r="UTW73" s="684"/>
      <c r="UTX73" s="684"/>
      <c r="UTY73" s="684"/>
      <c r="UTZ73" s="684"/>
      <c r="UUA73" s="684"/>
      <c r="UUB73" s="684"/>
      <c r="UUC73" s="684"/>
      <c r="UUD73" s="684"/>
      <c r="UUE73" s="684"/>
      <c r="UUF73" s="684"/>
      <c r="UUG73" s="684"/>
      <c r="UUH73" s="684"/>
      <c r="UUI73" s="684"/>
      <c r="UUJ73" s="684"/>
      <c r="UUK73" s="684"/>
      <c r="UUL73" s="684"/>
      <c r="UUM73" s="684"/>
      <c r="UUN73" s="684"/>
      <c r="UUO73" s="684"/>
      <c r="UUP73" s="684"/>
      <c r="UUQ73" s="684"/>
      <c r="UUR73" s="684"/>
      <c r="UUS73" s="684"/>
      <c r="UUT73" s="684"/>
      <c r="UUU73" s="684"/>
      <c r="UUV73" s="684"/>
      <c r="UUW73" s="684"/>
      <c r="UUX73" s="684"/>
      <c r="UUY73" s="684"/>
      <c r="UUZ73" s="684"/>
      <c r="UVA73" s="684"/>
      <c r="UVB73" s="684"/>
      <c r="UVC73" s="684"/>
      <c r="UVD73" s="684"/>
      <c r="UVE73" s="684"/>
      <c r="UVF73" s="684"/>
      <c r="UVG73" s="684"/>
      <c r="UVH73" s="684"/>
      <c r="UVI73" s="684"/>
      <c r="UVJ73" s="684"/>
      <c r="UVK73" s="684"/>
      <c r="UVL73" s="684"/>
      <c r="UVM73" s="684"/>
      <c r="UVN73" s="684"/>
      <c r="UVO73" s="684"/>
      <c r="UVP73" s="684"/>
      <c r="UVQ73" s="684"/>
      <c r="UVR73" s="684"/>
      <c r="UVS73" s="684"/>
      <c r="UVT73" s="684"/>
      <c r="UVU73" s="684"/>
      <c r="UVV73" s="684"/>
      <c r="UVW73" s="684"/>
      <c r="UVX73" s="684"/>
      <c r="UVY73" s="684"/>
      <c r="UVZ73" s="684"/>
      <c r="UWA73" s="684"/>
      <c r="UWB73" s="684"/>
      <c r="UWC73" s="684"/>
      <c r="UWD73" s="684"/>
      <c r="UWE73" s="684"/>
      <c r="UWF73" s="684"/>
      <c r="UWG73" s="684"/>
      <c r="UWH73" s="684"/>
      <c r="UWI73" s="684"/>
      <c r="UWJ73" s="684"/>
      <c r="UWK73" s="684"/>
      <c r="UWL73" s="684"/>
      <c r="UWM73" s="684"/>
      <c r="UWN73" s="684"/>
      <c r="UWO73" s="684"/>
      <c r="UWP73" s="684"/>
      <c r="UWQ73" s="684"/>
      <c r="UWR73" s="684"/>
      <c r="UWS73" s="684"/>
      <c r="UWT73" s="684"/>
      <c r="UWU73" s="684"/>
      <c r="UWV73" s="684"/>
      <c r="UWW73" s="684"/>
      <c r="UWX73" s="684"/>
      <c r="UWY73" s="684"/>
      <c r="UWZ73" s="684"/>
      <c r="UXA73" s="684"/>
      <c r="UXB73" s="684"/>
      <c r="UXC73" s="684"/>
      <c r="UXD73" s="684"/>
      <c r="UXE73" s="684"/>
      <c r="UXF73" s="684"/>
      <c r="UXG73" s="684"/>
      <c r="UXH73" s="684"/>
      <c r="UXI73" s="684"/>
      <c r="UXJ73" s="684"/>
      <c r="UXK73" s="684"/>
      <c r="UXL73" s="684"/>
      <c r="UXM73" s="684"/>
      <c r="UXN73" s="684"/>
      <c r="UXO73" s="684"/>
      <c r="UXP73" s="684"/>
      <c r="UXQ73" s="684"/>
      <c r="UXR73" s="684"/>
      <c r="UXS73" s="684"/>
      <c r="UXT73" s="684"/>
      <c r="UXU73" s="684"/>
      <c r="UXV73" s="684"/>
      <c r="UXW73" s="684"/>
      <c r="UXX73" s="684"/>
      <c r="UXY73" s="684"/>
      <c r="UXZ73" s="684"/>
      <c r="UYA73" s="684"/>
      <c r="UYB73" s="684"/>
      <c r="UYC73" s="684"/>
      <c r="UYD73" s="684"/>
      <c r="UYE73" s="684"/>
      <c r="UYF73" s="684"/>
      <c r="UYG73" s="684"/>
      <c r="UYH73" s="684"/>
      <c r="UYI73" s="684"/>
      <c r="UYJ73" s="684"/>
      <c r="UYK73" s="684"/>
      <c r="UYL73" s="684"/>
      <c r="UYM73" s="684"/>
      <c r="UYN73" s="684"/>
      <c r="UYO73" s="684"/>
      <c r="UYP73" s="684"/>
      <c r="UYQ73" s="684"/>
      <c r="UYR73" s="684"/>
      <c r="UYS73" s="684"/>
      <c r="UYT73" s="684"/>
      <c r="UYU73" s="684"/>
      <c r="UYV73" s="684"/>
      <c r="UYW73" s="684"/>
      <c r="UYX73" s="684"/>
      <c r="UYY73" s="684"/>
      <c r="UYZ73" s="684"/>
      <c r="UZA73" s="684"/>
      <c r="UZB73" s="684"/>
      <c r="UZC73" s="684"/>
      <c r="UZD73" s="684"/>
      <c r="UZE73" s="684"/>
      <c r="UZF73" s="684"/>
      <c r="UZG73" s="684"/>
      <c r="UZH73" s="684"/>
      <c r="UZI73" s="684"/>
      <c r="UZJ73" s="684"/>
      <c r="UZK73" s="684"/>
      <c r="UZL73" s="684"/>
      <c r="UZM73" s="684"/>
      <c r="UZN73" s="684"/>
      <c r="UZO73" s="684"/>
      <c r="UZP73" s="684"/>
      <c r="UZQ73" s="684"/>
      <c r="UZR73" s="684"/>
      <c r="UZS73" s="684"/>
      <c r="UZT73" s="684"/>
      <c r="UZU73" s="684"/>
      <c r="UZV73" s="684"/>
      <c r="UZW73" s="684"/>
      <c r="UZX73" s="684"/>
      <c r="UZY73" s="684"/>
      <c r="UZZ73" s="684"/>
      <c r="VAA73" s="684"/>
      <c r="VAB73" s="684"/>
      <c r="VAC73" s="684"/>
      <c r="VAD73" s="684"/>
      <c r="VAE73" s="684"/>
      <c r="VAF73" s="684"/>
      <c r="VAG73" s="684"/>
      <c r="VAH73" s="684"/>
      <c r="VAI73" s="684"/>
      <c r="VAJ73" s="684"/>
      <c r="VAK73" s="684"/>
      <c r="VAL73" s="684"/>
      <c r="VAM73" s="684"/>
      <c r="VAN73" s="684"/>
      <c r="VAO73" s="684"/>
      <c r="VAP73" s="684"/>
      <c r="VAQ73" s="684"/>
      <c r="VAR73" s="684"/>
      <c r="VAS73" s="684"/>
      <c r="VAT73" s="684"/>
      <c r="VAU73" s="684"/>
      <c r="VAV73" s="684"/>
      <c r="VAW73" s="684"/>
      <c r="VAX73" s="684"/>
      <c r="VAY73" s="684"/>
      <c r="VAZ73" s="684"/>
      <c r="VBA73" s="684"/>
      <c r="VBB73" s="684"/>
      <c r="VBC73" s="684"/>
      <c r="VBD73" s="684"/>
      <c r="VBE73" s="684"/>
      <c r="VBF73" s="684"/>
      <c r="VBG73" s="684"/>
      <c r="VBH73" s="684"/>
      <c r="VBI73" s="684"/>
      <c r="VBJ73" s="684"/>
      <c r="VBK73" s="684"/>
      <c r="VBL73" s="684"/>
      <c r="VBM73" s="684"/>
      <c r="VBN73" s="684"/>
      <c r="VBO73" s="684"/>
      <c r="VBP73" s="684"/>
      <c r="VBQ73" s="684"/>
      <c r="VBR73" s="684"/>
      <c r="VBS73" s="684"/>
      <c r="VBT73" s="684"/>
      <c r="VBU73" s="684"/>
      <c r="VBV73" s="684"/>
      <c r="VBW73" s="684"/>
      <c r="VBX73" s="684"/>
      <c r="VBY73" s="684"/>
      <c r="VBZ73" s="684"/>
      <c r="VCA73" s="684"/>
      <c r="VCB73" s="684"/>
      <c r="VCC73" s="684"/>
      <c r="VCD73" s="684"/>
      <c r="VCE73" s="684"/>
      <c r="VCF73" s="684"/>
      <c r="VCG73" s="684"/>
      <c r="VCH73" s="684"/>
      <c r="VCI73" s="684"/>
      <c r="VCJ73" s="684"/>
      <c r="VCK73" s="684"/>
      <c r="VCL73" s="684"/>
      <c r="VCM73" s="684"/>
      <c r="VCN73" s="684"/>
      <c r="VCO73" s="684"/>
      <c r="VCP73" s="684"/>
      <c r="VCQ73" s="684"/>
      <c r="VCR73" s="684"/>
      <c r="VCS73" s="684"/>
      <c r="VCT73" s="684"/>
      <c r="VCU73" s="684"/>
      <c r="VCV73" s="684"/>
      <c r="VCW73" s="684"/>
      <c r="VCX73" s="684"/>
      <c r="VCY73" s="684"/>
      <c r="VCZ73" s="684"/>
      <c r="VDA73" s="684"/>
      <c r="VDB73" s="684"/>
      <c r="VDC73" s="684"/>
      <c r="VDD73" s="684"/>
      <c r="VDE73" s="684"/>
      <c r="VDF73" s="684"/>
      <c r="VDG73" s="684"/>
      <c r="VDH73" s="684"/>
      <c r="VDI73" s="684"/>
      <c r="VDJ73" s="684"/>
      <c r="VDK73" s="684"/>
      <c r="VDL73" s="684"/>
      <c r="VDM73" s="684"/>
      <c r="VDN73" s="684"/>
      <c r="VDO73" s="684"/>
      <c r="VDP73" s="684"/>
      <c r="VDQ73" s="684"/>
      <c r="VDR73" s="684"/>
      <c r="VDS73" s="684"/>
      <c r="VDT73" s="684"/>
      <c r="VDU73" s="684"/>
      <c r="VDV73" s="684"/>
      <c r="VDW73" s="684"/>
      <c r="VDX73" s="684"/>
      <c r="VDY73" s="684"/>
      <c r="VDZ73" s="684"/>
      <c r="VEA73" s="684"/>
      <c r="VEB73" s="684"/>
      <c r="VEC73" s="684"/>
      <c r="VED73" s="684"/>
      <c r="VEE73" s="684"/>
      <c r="VEF73" s="684"/>
      <c r="VEG73" s="684"/>
      <c r="VEH73" s="684"/>
      <c r="VEI73" s="684"/>
      <c r="VEJ73" s="684"/>
      <c r="VEK73" s="684"/>
      <c r="VEL73" s="684"/>
      <c r="VEM73" s="684"/>
      <c r="VEN73" s="684"/>
      <c r="VEO73" s="684"/>
      <c r="VEP73" s="684"/>
      <c r="VEQ73" s="684"/>
      <c r="VER73" s="684"/>
      <c r="VES73" s="684"/>
      <c r="VET73" s="684"/>
      <c r="VEU73" s="684"/>
      <c r="VEV73" s="684"/>
      <c r="VEW73" s="684"/>
      <c r="VEX73" s="684"/>
      <c r="VEY73" s="684"/>
      <c r="VEZ73" s="684"/>
      <c r="VFA73" s="684"/>
      <c r="VFB73" s="684"/>
      <c r="VFC73" s="684"/>
      <c r="VFD73" s="684"/>
      <c r="VFE73" s="684"/>
      <c r="VFF73" s="684"/>
      <c r="VFG73" s="684"/>
      <c r="VFH73" s="684"/>
      <c r="VFI73" s="684"/>
      <c r="VFJ73" s="684"/>
      <c r="VFK73" s="684"/>
      <c r="VFL73" s="684"/>
      <c r="VFM73" s="684"/>
      <c r="VFN73" s="684"/>
      <c r="VFO73" s="684"/>
      <c r="VFP73" s="684"/>
      <c r="VFQ73" s="684"/>
      <c r="VFR73" s="684"/>
      <c r="VFS73" s="684"/>
      <c r="VFT73" s="684"/>
      <c r="VFU73" s="684"/>
      <c r="VFV73" s="684"/>
      <c r="VFW73" s="684"/>
      <c r="VFX73" s="684"/>
      <c r="VFY73" s="684"/>
      <c r="VFZ73" s="684"/>
      <c r="VGA73" s="684"/>
      <c r="VGB73" s="684"/>
      <c r="VGC73" s="684"/>
      <c r="VGD73" s="684"/>
      <c r="VGE73" s="684"/>
      <c r="VGF73" s="684"/>
      <c r="VGG73" s="684"/>
      <c r="VGH73" s="684"/>
      <c r="VGI73" s="684"/>
      <c r="VGJ73" s="684"/>
      <c r="VGK73" s="684"/>
      <c r="VGL73" s="684"/>
      <c r="VGM73" s="684"/>
      <c r="VGN73" s="684"/>
      <c r="VGO73" s="684"/>
      <c r="VGP73" s="684"/>
      <c r="VGQ73" s="684"/>
      <c r="VGR73" s="684"/>
      <c r="VGS73" s="684"/>
      <c r="VGT73" s="684"/>
      <c r="VGU73" s="684"/>
      <c r="VGV73" s="684"/>
      <c r="VGW73" s="684"/>
      <c r="VGX73" s="684"/>
      <c r="VGY73" s="684"/>
      <c r="VGZ73" s="684"/>
      <c r="VHA73" s="684"/>
      <c r="VHB73" s="684"/>
      <c r="VHC73" s="684"/>
      <c r="VHD73" s="684"/>
      <c r="VHE73" s="684"/>
      <c r="VHF73" s="684"/>
      <c r="VHG73" s="684"/>
      <c r="VHH73" s="684"/>
      <c r="VHI73" s="684"/>
      <c r="VHJ73" s="684"/>
      <c r="VHK73" s="684"/>
      <c r="VHL73" s="684"/>
      <c r="VHM73" s="684"/>
      <c r="VHN73" s="684"/>
      <c r="VHO73" s="684"/>
      <c r="VHP73" s="684"/>
      <c r="VHQ73" s="684"/>
      <c r="VHR73" s="684"/>
      <c r="VHS73" s="684"/>
      <c r="VHT73" s="684"/>
      <c r="VHU73" s="684"/>
      <c r="VHV73" s="684"/>
      <c r="VHW73" s="684"/>
      <c r="VHX73" s="684"/>
      <c r="VHY73" s="684"/>
      <c r="VHZ73" s="684"/>
      <c r="VIA73" s="684"/>
      <c r="VIB73" s="684"/>
      <c r="VIC73" s="684"/>
      <c r="VID73" s="684"/>
      <c r="VIE73" s="684"/>
      <c r="VIF73" s="684"/>
      <c r="VIG73" s="684"/>
      <c r="VIH73" s="684"/>
      <c r="VII73" s="684"/>
      <c r="VIJ73" s="684"/>
      <c r="VIK73" s="684"/>
      <c r="VIL73" s="684"/>
      <c r="VIM73" s="684"/>
      <c r="VIN73" s="684"/>
      <c r="VIO73" s="684"/>
      <c r="VIP73" s="684"/>
      <c r="VIQ73" s="684"/>
      <c r="VIR73" s="684"/>
      <c r="VIS73" s="684"/>
      <c r="VIT73" s="684"/>
      <c r="VIU73" s="684"/>
      <c r="VIV73" s="684"/>
      <c r="VIW73" s="684"/>
      <c r="VIX73" s="684"/>
      <c r="VIY73" s="684"/>
      <c r="VIZ73" s="684"/>
      <c r="VJA73" s="684"/>
      <c r="VJB73" s="684"/>
      <c r="VJC73" s="684"/>
      <c r="VJD73" s="684"/>
      <c r="VJE73" s="684"/>
      <c r="VJF73" s="684"/>
      <c r="VJG73" s="684"/>
      <c r="VJH73" s="684"/>
      <c r="VJI73" s="684"/>
      <c r="VJJ73" s="684"/>
      <c r="VJK73" s="684"/>
      <c r="VJL73" s="684"/>
      <c r="VJM73" s="684"/>
      <c r="VJN73" s="684"/>
      <c r="VJO73" s="684"/>
      <c r="VJP73" s="684"/>
      <c r="VJQ73" s="684"/>
      <c r="VJR73" s="684"/>
      <c r="VJS73" s="684"/>
      <c r="VJT73" s="684"/>
      <c r="VJU73" s="684"/>
      <c r="VJV73" s="684"/>
      <c r="VJW73" s="684"/>
      <c r="VJX73" s="684"/>
      <c r="VJY73" s="684"/>
      <c r="VJZ73" s="684"/>
      <c r="VKA73" s="684"/>
      <c r="VKB73" s="684"/>
      <c r="VKC73" s="684"/>
      <c r="VKD73" s="684"/>
      <c r="VKE73" s="684"/>
      <c r="VKF73" s="684"/>
      <c r="VKG73" s="684"/>
      <c r="VKH73" s="684"/>
      <c r="VKI73" s="684"/>
      <c r="VKJ73" s="684"/>
      <c r="VKK73" s="684"/>
      <c r="VKL73" s="684"/>
      <c r="VKM73" s="684"/>
      <c r="VKN73" s="684"/>
      <c r="VKO73" s="684"/>
      <c r="VKP73" s="684"/>
      <c r="VKQ73" s="684"/>
      <c r="VKR73" s="684"/>
      <c r="VKS73" s="684"/>
      <c r="VKT73" s="684"/>
      <c r="VKU73" s="684"/>
      <c r="VKV73" s="684"/>
      <c r="VKW73" s="684"/>
      <c r="VKX73" s="684"/>
      <c r="VKY73" s="684"/>
      <c r="VKZ73" s="684"/>
      <c r="VLA73" s="684"/>
      <c r="VLB73" s="684"/>
      <c r="VLC73" s="684"/>
      <c r="VLD73" s="684"/>
      <c r="VLE73" s="684"/>
      <c r="VLF73" s="684"/>
      <c r="VLG73" s="684"/>
      <c r="VLH73" s="684"/>
      <c r="VLI73" s="684"/>
      <c r="VLJ73" s="684"/>
      <c r="VLK73" s="684"/>
      <c r="VLL73" s="684"/>
      <c r="VLM73" s="684"/>
      <c r="VLN73" s="684"/>
      <c r="VLO73" s="684"/>
      <c r="VLP73" s="684"/>
      <c r="VLQ73" s="684"/>
      <c r="VLR73" s="684"/>
      <c r="VLS73" s="684"/>
      <c r="VLT73" s="684"/>
      <c r="VLU73" s="684"/>
      <c r="VLV73" s="684"/>
      <c r="VLW73" s="684"/>
      <c r="VLX73" s="684"/>
      <c r="VLY73" s="684"/>
      <c r="VLZ73" s="684"/>
      <c r="VMA73" s="684"/>
      <c r="VMB73" s="684"/>
      <c r="VMC73" s="684"/>
      <c r="VMD73" s="684"/>
      <c r="VME73" s="684"/>
      <c r="VMF73" s="684"/>
      <c r="VMG73" s="684"/>
      <c r="VMH73" s="684"/>
      <c r="VMI73" s="684"/>
      <c r="VMJ73" s="684"/>
      <c r="VMK73" s="684"/>
      <c r="VML73" s="684"/>
      <c r="VMM73" s="684"/>
      <c r="VMN73" s="684"/>
      <c r="VMO73" s="684"/>
      <c r="VMP73" s="684"/>
      <c r="VMQ73" s="684"/>
      <c r="VMR73" s="684"/>
      <c r="VMS73" s="684"/>
      <c r="VMT73" s="684"/>
      <c r="VMU73" s="684"/>
      <c r="VMV73" s="684"/>
      <c r="VMW73" s="684"/>
      <c r="VMX73" s="684"/>
      <c r="VMY73" s="684"/>
      <c r="VMZ73" s="684"/>
      <c r="VNA73" s="684"/>
      <c r="VNB73" s="684"/>
      <c r="VNC73" s="684"/>
      <c r="VND73" s="684"/>
      <c r="VNE73" s="684"/>
      <c r="VNF73" s="684"/>
      <c r="VNG73" s="684"/>
      <c r="VNH73" s="684"/>
      <c r="VNI73" s="684"/>
      <c r="VNJ73" s="684"/>
      <c r="VNK73" s="684"/>
      <c r="VNL73" s="684"/>
      <c r="VNM73" s="684"/>
      <c r="VNN73" s="684"/>
      <c r="VNO73" s="684"/>
      <c r="VNP73" s="684"/>
      <c r="VNQ73" s="684"/>
      <c r="VNR73" s="684"/>
      <c r="VNS73" s="684"/>
      <c r="VNT73" s="684"/>
      <c r="VNU73" s="684"/>
      <c r="VNV73" s="684"/>
      <c r="VNW73" s="684"/>
      <c r="VNX73" s="684"/>
      <c r="VNY73" s="684"/>
      <c r="VNZ73" s="684"/>
      <c r="VOA73" s="684"/>
      <c r="VOB73" s="684"/>
      <c r="VOC73" s="684"/>
      <c r="VOD73" s="684"/>
      <c r="VOE73" s="684"/>
      <c r="VOF73" s="684"/>
      <c r="VOG73" s="684"/>
      <c r="VOH73" s="684"/>
      <c r="VOI73" s="684"/>
      <c r="VOJ73" s="684"/>
      <c r="VOK73" s="684"/>
      <c r="VOL73" s="684"/>
      <c r="VOM73" s="684"/>
      <c r="VON73" s="684"/>
      <c r="VOO73" s="684"/>
      <c r="VOP73" s="684"/>
      <c r="VOQ73" s="684"/>
      <c r="VOR73" s="684"/>
      <c r="VOS73" s="684"/>
      <c r="VOT73" s="684"/>
      <c r="VOU73" s="684"/>
      <c r="VOV73" s="684"/>
      <c r="VOW73" s="684"/>
      <c r="VOX73" s="684"/>
      <c r="VOY73" s="684"/>
      <c r="VOZ73" s="684"/>
      <c r="VPA73" s="684"/>
      <c r="VPB73" s="684"/>
      <c r="VPC73" s="684"/>
      <c r="VPD73" s="684"/>
      <c r="VPE73" s="684"/>
      <c r="VPF73" s="684"/>
      <c r="VPG73" s="684"/>
      <c r="VPH73" s="684"/>
      <c r="VPI73" s="684"/>
      <c r="VPJ73" s="684"/>
      <c r="VPK73" s="684"/>
      <c r="VPL73" s="684"/>
      <c r="VPM73" s="684"/>
      <c r="VPN73" s="684"/>
      <c r="VPO73" s="684"/>
      <c r="VPP73" s="684"/>
      <c r="VPQ73" s="684"/>
      <c r="VPR73" s="684"/>
      <c r="VPS73" s="684"/>
      <c r="VPT73" s="684"/>
      <c r="VPU73" s="684"/>
      <c r="VPV73" s="684"/>
      <c r="VPW73" s="684"/>
      <c r="VPX73" s="684"/>
      <c r="VPY73" s="684"/>
      <c r="VPZ73" s="684"/>
      <c r="VQA73" s="684"/>
      <c r="VQB73" s="684"/>
      <c r="VQC73" s="684"/>
      <c r="VQD73" s="684"/>
      <c r="VQE73" s="684"/>
      <c r="VQF73" s="684"/>
      <c r="VQG73" s="684"/>
      <c r="VQH73" s="684"/>
      <c r="VQI73" s="684"/>
      <c r="VQJ73" s="684"/>
      <c r="VQK73" s="684"/>
      <c r="VQL73" s="684"/>
      <c r="VQM73" s="684"/>
      <c r="VQN73" s="684"/>
      <c r="VQO73" s="684"/>
      <c r="VQP73" s="684"/>
      <c r="VQQ73" s="684"/>
      <c r="VQR73" s="684"/>
      <c r="VQS73" s="684"/>
      <c r="VQT73" s="684"/>
      <c r="VQU73" s="684"/>
      <c r="VQV73" s="684"/>
      <c r="VQW73" s="684"/>
      <c r="VQX73" s="684"/>
      <c r="VQY73" s="684"/>
      <c r="VQZ73" s="684"/>
      <c r="VRA73" s="684"/>
      <c r="VRB73" s="684"/>
      <c r="VRC73" s="684"/>
      <c r="VRD73" s="684"/>
      <c r="VRE73" s="684"/>
      <c r="VRF73" s="684"/>
      <c r="VRG73" s="684"/>
      <c r="VRH73" s="684"/>
      <c r="VRI73" s="684"/>
      <c r="VRJ73" s="684"/>
      <c r="VRK73" s="684"/>
      <c r="VRL73" s="684"/>
      <c r="VRM73" s="684"/>
      <c r="VRN73" s="684"/>
      <c r="VRO73" s="684"/>
      <c r="VRP73" s="684"/>
      <c r="VRQ73" s="684"/>
      <c r="VRR73" s="684"/>
      <c r="VRS73" s="684"/>
      <c r="VRT73" s="684"/>
      <c r="VRU73" s="684"/>
      <c r="VRV73" s="684"/>
      <c r="VRW73" s="684"/>
      <c r="VRX73" s="684"/>
      <c r="VRY73" s="684"/>
      <c r="VRZ73" s="684"/>
      <c r="VSA73" s="684"/>
      <c r="VSB73" s="684"/>
      <c r="VSC73" s="684"/>
      <c r="VSD73" s="684"/>
      <c r="VSE73" s="684"/>
      <c r="VSF73" s="684"/>
      <c r="VSG73" s="684"/>
      <c r="VSH73" s="684"/>
      <c r="VSI73" s="684"/>
      <c r="VSJ73" s="684"/>
      <c r="VSK73" s="684"/>
      <c r="VSL73" s="684"/>
      <c r="VSM73" s="684"/>
      <c r="VSN73" s="684"/>
      <c r="VSO73" s="684"/>
      <c r="VSP73" s="684"/>
      <c r="VSQ73" s="684"/>
      <c r="VSR73" s="684"/>
      <c r="VSS73" s="684"/>
      <c r="VST73" s="684"/>
      <c r="VSU73" s="684"/>
      <c r="VSV73" s="684"/>
      <c r="VSW73" s="684"/>
      <c r="VSX73" s="684"/>
      <c r="VSY73" s="684"/>
      <c r="VSZ73" s="684"/>
      <c r="VTA73" s="684"/>
      <c r="VTB73" s="684"/>
      <c r="VTC73" s="684"/>
      <c r="VTD73" s="684"/>
      <c r="VTE73" s="684"/>
      <c r="VTF73" s="684"/>
      <c r="VTG73" s="684"/>
      <c r="VTH73" s="684"/>
      <c r="VTI73" s="684"/>
      <c r="VTJ73" s="684"/>
      <c r="VTK73" s="684"/>
      <c r="VTL73" s="684"/>
      <c r="VTM73" s="684"/>
      <c r="VTN73" s="684"/>
      <c r="VTO73" s="684"/>
      <c r="VTP73" s="684"/>
      <c r="VTQ73" s="684"/>
      <c r="VTR73" s="684"/>
      <c r="VTS73" s="684"/>
      <c r="VTT73" s="684"/>
      <c r="VTU73" s="684"/>
      <c r="VTV73" s="684"/>
      <c r="VTW73" s="684"/>
      <c r="VTX73" s="684"/>
      <c r="VTY73" s="684"/>
      <c r="VTZ73" s="684"/>
      <c r="VUA73" s="684"/>
      <c r="VUB73" s="684"/>
      <c r="VUC73" s="684"/>
      <c r="VUD73" s="684"/>
      <c r="VUE73" s="684"/>
      <c r="VUF73" s="684"/>
      <c r="VUG73" s="684"/>
      <c r="VUH73" s="684"/>
      <c r="VUI73" s="684"/>
      <c r="VUJ73" s="684"/>
      <c r="VUK73" s="684"/>
      <c r="VUL73" s="684"/>
      <c r="VUM73" s="684"/>
      <c r="VUN73" s="684"/>
      <c r="VUO73" s="684"/>
      <c r="VUP73" s="684"/>
      <c r="VUQ73" s="684"/>
      <c r="VUR73" s="684"/>
      <c r="VUS73" s="684"/>
      <c r="VUT73" s="684"/>
      <c r="VUU73" s="684"/>
      <c r="VUV73" s="684"/>
      <c r="VUW73" s="684"/>
      <c r="VUX73" s="684"/>
      <c r="VUY73" s="684"/>
      <c r="VUZ73" s="684"/>
      <c r="VVA73" s="684"/>
      <c r="VVB73" s="684"/>
      <c r="VVC73" s="684"/>
      <c r="VVD73" s="684"/>
      <c r="VVE73" s="684"/>
      <c r="VVF73" s="684"/>
      <c r="VVG73" s="684"/>
      <c r="VVH73" s="684"/>
      <c r="VVI73" s="684"/>
      <c r="VVJ73" s="684"/>
      <c r="VVK73" s="684"/>
      <c r="VVL73" s="684"/>
      <c r="VVM73" s="684"/>
      <c r="VVN73" s="684"/>
      <c r="VVO73" s="684"/>
      <c r="VVP73" s="684"/>
      <c r="VVQ73" s="684"/>
      <c r="VVR73" s="684"/>
      <c r="VVS73" s="684"/>
      <c r="VVT73" s="684"/>
      <c r="VVU73" s="684"/>
      <c r="VVV73" s="684"/>
      <c r="VVW73" s="684"/>
      <c r="VVX73" s="684"/>
      <c r="VVY73" s="684"/>
      <c r="VVZ73" s="684"/>
      <c r="VWA73" s="684"/>
      <c r="VWB73" s="684"/>
      <c r="VWC73" s="684"/>
      <c r="VWD73" s="684"/>
      <c r="VWE73" s="684"/>
      <c r="VWF73" s="684"/>
      <c r="VWG73" s="684"/>
      <c r="VWH73" s="684"/>
      <c r="VWI73" s="684"/>
      <c r="VWJ73" s="684"/>
      <c r="VWK73" s="684"/>
      <c r="VWL73" s="684"/>
      <c r="VWM73" s="684"/>
      <c r="VWN73" s="684"/>
      <c r="VWO73" s="684"/>
      <c r="VWP73" s="684"/>
      <c r="VWQ73" s="684"/>
      <c r="VWR73" s="684"/>
      <c r="VWS73" s="684"/>
      <c r="VWT73" s="684"/>
      <c r="VWU73" s="684"/>
      <c r="VWV73" s="684"/>
      <c r="VWW73" s="684"/>
      <c r="VWX73" s="684"/>
      <c r="VWY73" s="684"/>
      <c r="VWZ73" s="684"/>
      <c r="VXA73" s="684"/>
      <c r="VXB73" s="684"/>
      <c r="VXC73" s="684"/>
      <c r="VXD73" s="684"/>
      <c r="VXE73" s="684"/>
      <c r="VXF73" s="684"/>
      <c r="VXG73" s="684"/>
      <c r="VXH73" s="684"/>
      <c r="VXI73" s="684"/>
      <c r="VXJ73" s="684"/>
      <c r="VXK73" s="684"/>
      <c r="VXL73" s="684"/>
      <c r="VXM73" s="684"/>
      <c r="VXN73" s="684"/>
      <c r="VXO73" s="684"/>
      <c r="VXP73" s="684"/>
      <c r="VXQ73" s="684"/>
      <c r="VXR73" s="684"/>
      <c r="VXS73" s="684"/>
      <c r="VXT73" s="684"/>
      <c r="VXU73" s="684"/>
      <c r="VXV73" s="684"/>
      <c r="VXW73" s="684"/>
      <c r="VXX73" s="684"/>
      <c r="VXY73" s="684"/>
      <c r="VXZ73" s="684"/>
      <c r="VYA73" s="684"/>
      <c r="VYB73" s="684"/>
      <c r="VYC73" s="684"/>
      <c r="VYD73" s="684"/>
      <c r="VYE73" s="684"/>
      <c r="VYF73" s="684"/>
      <c r="VYG73" s="684"/>
      <c r="VYH73" s="684"/>
      <c r="VYI73" s="684"/>
      <c r="VYJ73" s="684"/>
      <c r="VYK73" s="684"/>
      <c r="VYL73" s="684"/>
      <c r="VYM73" s="684"/>
      <c r="VYN73" s="684"/>
      <c r="VYO73" s="684"/>
      <c r="VYP73" s="684"/>
      <c r="VYQ73" s="684"/>
      <c r="VYR73" s="684"/>
      <c r="VYS73" s="684"/>
      <c r="VYT73" s="684"/>
      <c r="VYU73" s="684"/>
      <c r="VYV73" s="684"/>
      <c r="VYW73" s="684"/>
      <c r="VYX73" s="684"/>
      <c r="VYY73" s="684"/>
      <c r="VYZ73" s="684"/>
      <c r="VZA73" s="684"/>
      <c r="VZB73" s="684"/>
      <c r="VZC73" s="684"/>
      <c r="VZD73" s="684"/>
      <c r="VZE73" s="684"/>
      <c r="VZF73" s="684"/>
      <c r="VZG73" s="684"/>
      <c r="VZH73" s="684"/>
      <c r="VZI73" s="684"/>
      <c r="VZJ73" s="684"/>
      <c r="VZK73" s="684"/>
      <c r="VZL73" s="684"/>
      <c r="VZM73" s="684"/>
      <c r="VZN73" s="684"/>
      <c r="VZO73" s="684"/>
      <c r="VZP73" s="684"/>
      <c r="VZQ73" s="684"/>
      <c r="VZR73" s="684"/>
      <c r="VZS73" s="684"/>
      <c r="VZT73" s="684"/>
      <c r="VZU73" s="684"/>
      <c r="VZV73" s="684"/>
      <c r="VZW73" s="684"/>
      <c r="VZX73" s="684"/>
      <c r="VZY73" s="684"/>
      <c r="VZZ73" s="684"/>
      <c r="WAA73" s="684"/>
      <c r="WAB73" s="684"/>
      <c r="WAC73" s="684"/>
      <c r="WAD73" s="684"/>
      <c r="WAE73" s="684"/>
      <c r="WAF73" s="684"/>
      <c r="WAG73" s="684"/>
      <c r="WAH73" s="684"/>
      <c r="WAI73" s="684"/>
      <c r="WAJ73" s="684"/>
      <c r="WAK73" s="684"/>
      <c r="WAL73" s="684"/>
      <c r="WAM73" s="684"/>
      <c r="WAN73" s="684"/>
      <c r="WAO73" s="684"/>
      <c r="WAP73" s="684"/>
      <c r="WAQ73" s="684"/>
      <c r="WAR73" s="684"/>
      <c r="WAS73" s="684"/>
      <c r="WAT73" s="684"/>
      <c r="WAU73" s="684"/>
      <c r="WAV73" s="684"/>
      <c r="WAW73" s="684"/>
      <c r="WAX73" s="684"/>
      <c r="WAY73" s="684"/>
      <c r="WAZ73" s="684"/>
      <c r="WBA73" s="684"/>
      <c r="WBB73" s="684"/>
      <c r="WBC73" s="684"/>
      <c r="WBD73" s="684"/>
      <c r="WBE73" s="684"/>
      <c r="WBF73" s="684"/>
      <c r="WBG73" s="684"/>
      <c r="WBH73" s="684"/>
      <c r="WBI73" s="684"/>
      <c r="WBJ73" s="684"/>
      <c r="WBK73" s="684"/>
      <c r="WBL73" s="684"/>
      <c r="WBM73" s="684"/>
      <c r="WBN73" s="684"/>
      <c r="WBO73" s="684"/>
      <c r="WBP73" s="684"/>
      <c r="WBQ73" s="684"/>
      <c r="WBR73" s="684"/>
      <c r="WBS73" s="684"/>
      <c r="WBT73" s="684"/>
      <c r="WBU73" s="684"/>
      <c r="WBV73" s="684"/>
      <c r="WBW73" s="684"/>
      <c r="WBX73" s="684"/>
      <c r="WBY73" s="684"/>
      <c r="WBZ73" s="684"/>
      <c r="WCA73" s="684"/>
      <c r="WCB73" s="684"/>
      <c r="WCC73" s="684"/>
      <c r="WCD73" s="684"/>
      <c r="WCE73" s="684"/>
      <c r="WCF73" s="684"/>
      <c r="WCG73" s="684"/>
      <c r="WCH73" s="684"/>
      <c r="WCI73" s="684"/>
      <c r="WCJ73" s="684"/>
      <c r="WCK73" s="684"/>
      <c r="WCL73" s="684"/>
      <c r="WCM73" s="684"/>
      <c r="WCN73" s="684"/>
      <c r="WCO73" s="684"/>
      <c r="WCP73" s="684"/>
      <c r="WCQ73" s="684"/>
      <c r="WCR73" s="684"/>
      <c r="WCS73" s="684"/>
      <c r="WCT73" s="684"/>
      <c r="WCU73" s="684"/>
      <c r="WCV73" s="684"/>
      <c r="WCW73" s="684"/>
      <c r="WCX73" s="684"/>
      <c r="WCY73" s="684"/>
      <c r="WCZ73" s="684"/>
      <c r="WDA73" s="684"/>
      <c r="WDB73" s="684"/>
      <c r="WDC73" s="684"/>
      <c r="WDD73" s="684"/>
      <c r="WDE73" s="684"/>
      <c r="WDF73" s="684"/>
      <c r="WDG73" s="684"/>
      <c r="WDH73" s="684"/>
      <c r="WDI73" s="684"/>
      <c r="WDJ73" s="684"/>
      <c r="WDK73" s="684"/>
      <c r="WDL73" s="684"/>
      <c r="WDM73" s="684"/>
      <c r="WDN73" s="684"/>
      <c r="WDO73" s="684"/>
      <c r="WDP73" s="684"/>
      <c r="WDQ73" s="684"/>
      <c r="WDR73" s="684"/>
      <c r="WDS73" s="684"/>
      <c r="WDT73" s="684"/>
      <c r="WDU73" s="684"/>
      <c r="WDV73" s="684"/>
      <c r="WDW73" s="684"/>
      <c r="WDX73" s="684"/>
      <c r="WDY73" s="684"/>
      <c r="WDZ73" s="684"/>
      <c r="WEA73" s="684"/>
      <c r="WEB73" s="684"/>
      <c r="WEC73" s="684"/>
      <c r="WED73" s="684"/>
      <c r="WEE73" s="684"/>
      <c r="WEF73" s="684"/>
      <c r="WEG73" s="684"/>
      <c r="WEH73" s="684"/>
      <c r="WEI73" s="684"/>
      <c r="WEJ73" s="684"/>
      <c r="WEK73" s="684"/>
      <c r="WEL73" s="684"/>
      <c r="WEM73" s="684"/>
      <c r="WEN73" s="684"/>
      <c r="WEO73" s="684"/>
      <c r="WEP73" s="684"/>
      <c r="WEQ73" s="684"/>
      <c r="WER73" s="684"/>
      <c r="WES73" s="684"/>
      <c r="WET73" s="684"/>
      <c r="WEU73" s="684"/>
      <c r="WEV73" s="684"/>
      <c r="WEW73" s="684"/>
      <c r="WEX73" s="684"/>
      <c r="WEY73" s="684"/>
      <c r="WEZ73" s="684"/>
      <c r="WFA73" s="684"/>
      <c r="WFB73" s="684"/>
      <c r="WFC73" s="684"/>
      <c r="WFD73" s="684"/>
      <c r="WFE73" s="684"/>
      <c r="WFF73" s="684"/>
      <c r="WFG73" s="684"/>
      <c r="WFH73" s="684"/>
      <c r="WFI73" s="684"/>
      <c r="WFJ73" s="684"/>
      <c r="WFK73" s="684"/>
      <c r="WFL73" s="684"/>
      <c r="WFM73" s="684"/>
      <c r="WFN73" s="684"/>
      <c r="WFO73" s="684"/>
      <c r="WFP73" s="684"/>
      <c r="WFQ73" s="684"/>
      <c r="WFR73" s="684"/>
      <c r="WFS73" s="684"/>
      <c r="WFT73" s="684"/>
      <c r="WFU73" s="684"/>
      <c r="WFV73" s="684"/>
      <c r="WFW73" s="684"/>
      <c r="WFX73" s="684"/>
      <c r="WFY73" s="684"/>
      <c r="WFZ73" s="684"/>
      <c r="WGA73" s="684"/>
      <c r="WGB73" s="684"/>
      <c r="WGC73" s="684"/>
      <c r="WGD73" s="684"/>
      <c r="WGE73" s="684"/>
      <c r="WGF73" s="684"/>
      <c r="WGG73" s="684"/>
      <c r="WGH73" s="684"/>
      <c r="WGI73" s="684"/>
      <c r="WGJ73" s="684"/>
      <c r="WGK73" s="684"/>
      <c r="WGL73" s="684"/>
      <c r="WGM73" s="684"/>
      <c r="WGN73" s="684"/>
      <c r="WGO73" s="684"/>
      <c r="WGP73" s="684"/>
      <c r="WGQ73" s="684"/>
      <c r="WGR73" s="684"/>
      <c r="WGS73" s="684"/>
      <c r="WGT73" s="684"/>
      <c r="WGU73" s="684"/>
      <c r="WGV73" s="684"/>
      <c r="WGW73" s="684"/>
      <c r="WGX73" s="684"/>
      <c r="WGY73" s="684"/>
      <c r="WGZ73" s="684"/>
      <c r="WHA73" s="684"/>
      <c r="WHB73" s="684"/>
      <c r="WHC73" s="684"/>
      <c r="WHD73" s="684"/>
      <c r="WHE73" s="684"/>
      <c r="WHF73" s="684"/>
      <c r="WHG73" s="684"/>
      <c r="WHH73" s="684"/>
      <c r="WHI73" s="684"/>
      <c r="WHJ73" s="684"/>
      <c r="WHK73" s="684"/>
      <c r="WHL73" s="684"/>
      <c r="WHM73" s="684"/>
      <c r="WHN73" s="684"/>
      <c r="WHO73" s="684"/>
      <c r="WHP73" s="684"/>
      <c r="WHQ73" s="684"/>
      <c r="WHR73" s="684"/>
      <c r="WHS73" s="684"/>
      <c r="WHT73" s="684"/>
      <c r="WHU73" s="684"/>
      <c r="WHV73" s="684"/>
      <c r="WHW73" s="684"/>
      <c r="WHX73" s="684"/>
      <c r="WHY73" s="684"/>
      <c r="WHZ73" s="684"/>
      <c r="WIA73" s="684"/>
      <c r="WIB73" s="684"/>
      <c r="WIC73" s="684"/>
      <c r="WID73" s="684"/>
      <c r="WIE73" s="684"/>
      <c r="WIF73" s="684"/>
      <c r="WIG73" s="684"/>
      <c r="WIH73" s="684"/>
      <c r="WII73" s="684"/>
      <c r="WIJ73" s="684"/>
      <c r="WIK73" s="684"/>
      <c r="WIL73" s="684"/>
      <c r="WIM73" s="684"/>
      <c r="WIN73" s="684"/>
      <c r="WIO73" s="684"/>
      <c r="WIP73" s="684"/>
      <c r="WIQ73" s="684"/>
      <c r="WIR73" s="684"/>
      <c r="WIS73" s="684"/>
      <c r="WIT73" s="684"/>
      <c r="WIU73" s="684"/>
      <c r="WIV73" s="684"/>
      <c r="WIW73" s="684"/>
      <c r="WIX73" s="684"/>
      <c r="WIY73" s="684"/>
      <c r="WIZ73" s="684"/>
      <c r="WJA73" s="684"/>
      <c r="WJB73" s="684"/>
      <c r="WJC73" s="684"/>
      <c r="WJD73" s="684"/>
      <c r="WJE73" s="684"/>
      <c r="WJF73" s="684"/>
      <c r="WJG73" s="684"/>
      <c r="WJH73" s="684"/>
      <c r="WJI73" s="684"/>
      <c r="WJJ73" s="684"/>
      <c r="WJK73" s="684"/>
      <c r="WJL73" s="684"/>
      <c r="WJM73" s="684"/>
      <c r="WJN73" s="684"/>
      <c r="WJO73" s="684"/>
      <c r="WJP73" s="684"/>
      <c r="WJQ73" s="684"/>
      <c r="WJR73" s="684"/>
      <c r="WJS73" s="684"/>
      <c r="WJT73" s="684"/>
      <c r="WJU73" s="684"/>
      <c r="WJV73" s="684"/>
      <c r="WJW73" s="684"/>
      <c r="WJX73" s="684"/>
      <c r="WJY73" s="684"/>
      <c r="WJZ73" s="684"/>
      <c r="WKA73" s="684"/>
      <c r="WKB73" s="684"/>
      <c r="WKC73" s="684"/>
      <c r="WKD73" s="684"/>
      <c r="WKE73" s="684"/>
      <c r="WKF73" s="684"/>
      <c r="WKG73" s="684"/>
      <c r="WKH73" s="684"/>
      <c r="WKI73" s="684"/>
      <c r="WKJ73" s="684"/>
      <c r="WKK73" s="684"/>
      <c r="WKL73" s="684"/>
      <c r="WKM73" s="684"/>
      <c r="WKN73" s="684"/>
      <c r="WKO73" s="684"/>
      <c r="WKP73" s="684"/>
      <c r="WKQ73" s="684"/>
      <c r="WKR73" s="684"/>
      <c r="WKS73" s="684"/>
      <c r="WKT73" s="684"/>
      <c r="WKU73" s="684"/>
      <c r="WKV73" s="684"/>
      <c r="WKW73" s="684"/>
      <c r="WKX73" s="684"/>
      <c r="WKY73" s="684"/>
      <c r="WKZ73" s="684"/>
      <c r="WLA73" s="684"/>
      <c r="WLB73" s="684"/>
      <c r="WLC73" s="684"/>
      <c r="WLD73" s="684"/>
      <c r="WLE73" s="684"/>
      <c r="WLF73" s="684"/>
      <c r="WLG73" s="684"/>
      <c r="WLH73" s="684"/>
      <c r="WLI73" s="684"/>
      <c r="WLJ73" s="684"/>
      <c r="WLK73" s="684"/>
      <c r="WLL73" s="684"/>
      <c r="WLM73" s="684"/>
      <c r="WLN73" s="684"/>
      <c r="WLO73" s="684"/>
      <c r="WLP73" s="684"/>
      <c r="WLQ73" s="684"/>
      <c r="WLR73" s="684"/>
      <c r="WLS73" s="684"/>
      <c r="WLT73" s="684"/>
      <c r="WLU73" s="684"/>
      <c r="WLV73" s="684"/>
      <c r="WLW73" s="684"/>
      <c r="WLX73" s="684"/>
      <c r="WLY73" s="684"/>
      <c r="WLZ73" s="684"/>
      <c r="WMA73" s="684"/>
      <c r="WMB73" s="684"/>
      <c r="WMC73" s="684"/>
      <c r="WMD73" s="684"/>
      <c r="WME73" s="684"/>
      <c r="WMF73" s="684"/>
      <c r="WMG73" s="684"/>
      <c r="WMH73" s="684"/>
      <c r="WMI73" s="684"/>
      <c r="WMJ73" s="684"/>
      <c r="WMK73" s="684"/>
      <c r="WML73" s="684"/>
      <c r="WMM73" s="684"/>
      <c r="WMN73" s="684"/>
      <c r="WMO73" s="684"/>
      <c r="WMP73" s="684"/>
      <c r="WMQ73" s="684"/>
      <c r="WMR73" s="684"/>
      <c r="WMS73" s="684"/>
      <c r="WMT73" s="684"/>
      <c r="WMU73" s="684"/>
      <c r="WMV73" s="684"/>
      <c r="WMW73" s="684"/>
      <c r="WMX73" s="684"/>
      <c r="WMY73" s="684"/>
      <c r="WMZ73" s="684"/>
      <c r="WNA73" s="684"/>
      <c r="WNB73" s="684"/>
      <c r="WNC73" s="684"/>
      <c r="WND73" s="684"/>
      <c r="WNE73" s="684"/>
      <c r="WNF73" s="684"/>
      <c r="WNG73" s="684"/>
      <c r="WNH73" s="684"/>
      <c r="WNI73" s="684"/>
      <c r="WNJ73" s="684"/>
      <c r="WNK73" s="684"/>
      <c r="WNL73" s="684"/>
      <c r="WNM73" s="684"/>
      <c r="WNN73" s="684"/>
      <c r="WNO73" s="684"/>
      <c r="WNP73" s="684"/>
      <c r="WNQ73" s="684"/>
      <c r="WNR73" s="684"/>
      <c r="WNS73" s="684"/>
      <c r="WNT73" s="684"/>
      <c r="WNU73" s="684"/>
      <c r="WNV73" s="684"/>
      <c r="WNW73" s="684"/>
      <c r="WNX73" s="684"/>
      <c r="WNY73" s="684"/>
      <c r="WNZ73" s="684"/>
      <c r="WOA73" s="684"/>
      <c r="WOB73" s="684"/>
      <c r="WOC73" s="684"/>
      <c r="WOD73" s="684"/>
      <c r="WOE73" s="684"/>
      <c r="WOF73" s="684"/>
      <c r="WOG73" s="684"/>
      <c r="WOH73" s="684"/>
      <c r="WOI73" s="684"/>
      <c r="WOJ73" s="684"/>
      <c r="WOK73" s="684"/>
      <c r="WOL73" s="684"/>
      <c r="WOM73" s="684"/>
      <c r="WON73" s="684"/>
      <c r="WOO73" s="684"/>
      <c r="WOP73" s="684"/>
      <c r="WOQ73" s="684"/>
      <c r="WOR73" s="684"/>
      <c r="WOS73" s="684"/>
      <c r="WOT73" s="684"/>
      <c r="WOU73" s="684"/>
      <c r="WOV73" s="684"/>
      <c r="WOW73" s="684"/>
      <c r="WOX73" s="684"/>
      <c r="WOY73" s="684"/>
      <c r="WOZ73" s="684"/>
      <c r="WPA73" s="684"/>
      <c r="WPB73" s="684"/>
      <c r="WPC73" s="684"/>
      <c r="WPD73" s="684"/>
      <c r="WPE73" s="684"/>
      <c r="WPF73" s="684"/>
      <c r="WPG73" s="684"/>
      <c r="WPH73" s="684"/>
      <c r="WPI73" s="684"/>
      <c r="WPJ73" s="684"/>
      <c r="WPK73" s="684"/>
      <c r="WPL73" s="684"/>
      <c r="WPM73" s="684"/>
      <c r="WPN73" s="684"/>
      <c r="WPO73" s="684"/>
      <c r="WPP73" s="684"/>
      <c r="WPQ73" s="684"/>
      <c r="WPR73" s="684"/>
      <c r="WPS73" s="684"/>
      <c r="WPT73" s="684"/>
      <c r="WPU73" s="684"/>
      <c r="WPV73" s="684"/>
      <c r="WPW73" s="684"/>
      <c r="WPX73" s="684"/>
      <c r="WPY73" s="684"/>
      <c r="WPZ73" s="684"/>
      <c r="WQA73" s="684"/>
      <c r="WQB73" s="684"/>
      <c r="WQC73" s="684"/>
      <c r="WQD73" s="684"/>
      <c r="WQE73" s="684"/>
      <c r="WQF73" s="684"/>
      <c r="WQG73" s="684"/>
      <c r="WQH73" s="684"/>
      <c r="WQI73" s="684"/>
      <c r="WQJ73" s="684"/>
      <c r="WQK73" s="684"/>
      <c r="WQL73" s="684"/>
      <c r="WQM73" s="684"/>
      <c r="WQN73" s="684"/>
      <c r="WQO73" s="684"/>
      <c r="WQP73" s="684"/>
      <c r="WQQ73" s="684"/>
      <c r="WQR73" s="684"/>
      <c r="WQS73" s="684"/>
      <c r="WQT73" s="684"/>
      <c r="WQU73" s="684"/>
      <c r="WQV73" s="684"/>
      <c r="WQW73" s="684"/>
      <c r="WQX73" s="684"/>
      <c r="WQY73" s="684"/>
      <c r="WQZ73" s="684"/>
      <c r="WRA73" s="684"/>
      <c r="WRB73" s="684"/>
      <c r="WRC73" s="684"/>
      <c r="WRD73" s="684"/>
      <c r="WRE73" s="684"/>
      <c r="WRF73" s="684"/>
      <c r="WRG73" s="684"/>
      <c r="WRH73" s="684"/>
      <c r="WRI73" s="684"/>
      <c r="WRJ73" s="684"/>
      <c r="WRK73" s="684"/>
      <c r="WRL73" s="684"/>
      <c r="WRM73" s="684"/>
      <c r="WRN73" s="684"/>
      <c r="WRO73" s="684"/>
      <c r="WRP73" s="684"/>
      <c r="WRQ73" s="684"/>
      <c r="WRR73" s="684"/>
      <c r="WRS73" s="684"/>
      <c r="WRT73" s="684"/>
      <c r="WRU73" s="684"/>
      <c r="WRV73" s="684"/>
      <c r="WRW73" s="684"/>
      <c r="WRX73" s="684"/>
      <c r="WRY73" s="684"/>
      <c r="WRZ73" s="684"/>
      <c r="WSA73" s="684"/>
      <c r="WSB73" s="684"/>
      <c r="WSC73" s="684"/>
      <c r="WSD73" s="684"/>
      <c r="WSE73" s="684"/>
      <c r="WSF73" s="684"/>
      <c r="WSG73" s="684"/>
      <c r="WSH73" s="684"/>
      <c r="WSI73" s="684"/>
      <c r="WSJ73" s="684"/>
      <c r="WSK73" s="684"/>
      <c r="WSL73" s="684"/>
      <c r="WSM73" s="684"/>
      <c r="WSN73" s="684"/>
      <c r="WSO73" s="684"/>
      <c r="WSP73" s="684"/>
      <c r="WSQ73" s="684"/>
      <c r="WSR73" s="684"/>
      <c r="WSS73" s="684"/>
      <c r="WST73" s="684"/>
      <c r="WSU73" s="684"/>
      <c r="WSV73" s="684"/>
      <c r="WSW73" s="684"/>
      <c r="WSX73" s="684"/>
      <c r="WSY73" s="684"/>
      <c r="WSZ73" s="684"/>
      <c r="WTA73" s="684"/>
      <c r="WTB73" s="684"/>
      <c r="WTC73" s="684"/>
      <c r="WTD73" s="684"/>
      <c r="WTE73" s="684"/>
      <c r="WTF73" s="684"/>
      <c r="WTG73" s="684"/>
      <c r="WTH73" s="684"/>
      <c r="WTI73" s="684"/>
      <c r="WTJ73" s="684"/>
      <c r="WTK73" s="684"/>
      <c r="WTL73" s="684"/>
      <c r="WTM73" s="684"/>
      <c r="WTN73" s="684"/>
      <c r="WTO73" s="684"/>
      <c r="WTP73" s="684"/>
      <c r="WTQ73" s="684"/>
      <c r="WTR73" s="684"/>
      <c r="WTS73" s="684"/>
      <c r="WTT73" s="684"/>
      <c r="WTU73" s="684"/>
      <c r="WTV73" s="684"/>
      <c r="WTW73" s="684"/>
      <c r="WTX73" s="684"/>
      <c r="WTY73" s="684"/>
      <c r="WTZ73" s="684"/>
      <c r="WUA73" s="684"/>
      <c r="WUB73" s="684"/>
      <c r="WUC73" s="684"/>
      <c r="WUD73" s="684"/>
      <c r="WUE73" s="684"/>
      <c r="WUF73" s="684"/>
      <c r="WUG73" s="684"/>
      <c r="WUH73" s="684"/>
      <c r="WUI73" s="684"/>
      <c r="WUJ73" s="684"/>
      <c r="WUK73" s="684"/>
      <c r="WUL73" s="684"/>
      <c r="WUM73" s="684"/>
      <c r="WUN73" s="684"/>
      <c r="WUO73" s="684"/>
      <c r="WUP73" s="684"/>
      <c r="WUQ73" s="684"/>
      <c r="WUR73" s="684"/>
      <c r="WUS73" s="684"/>
      <c r="WUT73" s="684"/>
      <c r="WUU73" s="684"/>
      <c r="WUV73" s="684"/>
      <c r="WUW73" s="684"/>
      <c r="WUX73" s="684"/>
      <c r="WUY73" s="684"/>
      <c r="WUZ73" s="684"/>
      <c r="WVA73" s="684"/>
      <c r="WVB73" s="684"/>
      <c r="WVC73" s="684"/>
      <c r="WVD73" s="684"/>
      <c r="WVE73" s="684"/>
      <c r="WVF73" s="684"/>
      <c r="WVG73" s="684"/>
      <c r="WVH73" s="684"/>
      <c r="WVI73" s="684"/>
      <c r="WVJ73" s="684"/>
      <c r="WVK73" s="684"/>
      <c r="WVL73" s="684"/>
      <c r="WVM73" s="684"/>
      <c r="WVN73" s="684"/>
      <c r="WVO73" s="684"/>
      <c r="WVP73" s="684"/>
      <c r="WVQ73" s="684"/>
      <c r="WVR73" s="684"/>
      <c r="WVS73" s="684"/>
      <c r="WVT73" s="684"/>
      <c r="WVU73" s="684"/>
      <c r="WVV73" s="684"/>
      <c r="WVW73" s="684"/>
      <c r="WVX73" s="684"/>
      <c r="WVY73" s="684"/>
      <c r="WVZ73" s="684"/>
      <c r="WWA73" s="684"/>
      <c r="WWB73" s="684"/>
      <c r="WWC73" s="684"/>
      <c r="WWD73" s="684"/>
      <c r="WWE73" s="684"/>
      <c r="WWF73" s="684"/>
      <c r="WWG73" s="684"/>
      <c r="WWH73" s="684"/>
      <c r="WWI73" s="684"/>
      <c r="WWJ73" s="684"/>
      <c r="WWK73" s="684"/>
      <c r="WWL73" s="684"/>
      <c r="WWM73" s="684"/>
      <c r="WWN73" s="684"/>
      <c r="WWO73" s="684"/>
      <c r="WWP73" s="684"/>
      <c r="WWQ73" s="684"/>
      <c r="WWR73" s="684"/>
      <c r="WWS73" s="684"/>
      <c r="WWT73" s="684"/>
      <c r="WWU73" s="684"/>
      <c r="WWV73" s="684"/>
      <c r="WWW73" s="684"/>
      <c r="WWX73" s="684"/>
      <c r="WWY73" s="684"/>
      <c r="WWZ73" s="684"/>
      <c r="WXA73" s="684"/>
      <c r="WXB73" s="684"/>
      <c r="WXC73" s="684"/>
      <c r="WXD73" s="684"/>
      <c r="WXE73" s="684"/>
      <c r="WXF73" s="684"/>
      <c r="WXG73" s="684"/>
      <c r="WXH73" s="684"/>
      <c r="WXI73" s="684"/>
      <c r="WXJ73" s="684"/>
      <c r="WXK73" s="684"/>
      <c r="WXL73" s="684"/>
      <c r="WXM73" s="684"/>
      <c r="WXN73" s="684"/>
      <c r="WXO73" s="684"/>
      <c r="WXP73" s="684"/>
      <c r="WXQ73" s="684"/>
      <c r="WXR73" s="684"/>
      <c r="WXS73" s="684"/>
      <c r="WXT73" s="684"/>
      <c r="WXU73" s="684"/>
      <c r="WXV73" s="684"/>
      <c r="WXW73" s="684"/>
      <c r="WXX73" s="684"/>
      <c r="WXY73" s="684"/>
      <c r="WXZ73" s="684"/>
      <c r="WYA73" s="684"/>
      <c r="WYB73" s="684"/>
      <c r="WYC73" s="684"/>
      <c r="WYD73" s="684"/>
      <c r="WYE73" s="684"/>
      <c r="WYF73" s="684"/>
      <c r="WYG73" s="684"/>
      <c r="WYH73" s="684"/>
      <c r="WYI73" s="684"/>
      <c r="WYJ73" s="684"/>
      <c r="WYK73" s="684"/>
      <c r="WYL73" s="684"/>
      <c r="WYM73" s="684"/>
      <c r="WYN73" s="684"/>
      <c r="WYO73" s="684"/>
      <c r="WYP73" s="684"/>
      <c r="WYQ73" s="684"/>
      <c r="WYR73" s="684"/>
      <c r="WYS73" s="684"/>
      <c r="WYT73" s="684"/>
      <c r="WYU73" s="684"/>
      <c r="WYV73" s="684"/>
      <c r="WYW73" s="684"/>
      <c r="WYX73" s="684"/>
      <c r="WYY73" s="684"/>
      <c r="WYZ73" s="684"/>
      <c r="WZA73" s="684"/>
      <c r="WZB73" s="684"/>
      <c r="WZC73" s="684"/>
      <c r="WZD73" s="684"/>
      <c r="WZE73" s="684"/>
      <c r="WZF73" s="684"/>
      <c r="WZG73" s="684"/>
      <c r="WZH73" s="684"/>
      <c r="WZI73" s="684"/>
      <c r="WZJ73" s="684"/>
      <c r="WZK73" s="684"/>
      <c r="WZL73" s="684"/>
      <c r="WZM73" s="684"/>
      <c r="WZN73" s="684"/>
      <c r="WZO73" s="684"/>
      <c r="WZP73" s="684"/>
      <c r="WZQ73" s="684"/>
      <c r="WZR73" s="684"/>
      <c r="WZS73" s="684"/>
      <c r="WZT73" s="684"/>
      <c r="WZU73" s="684"/>
      <c r="WZV73" s="684"/>
      <c r="WZW73" s="684"/>
      <c r="WZX73" s="684"/>
      <c r="WZY73" s="684"/>
      <c r="WZZ73" s="684"/>
      <c r="XAA73" s="684"/>
      <c r="XAB73" s="684"/>
      <c r="XAC73" s="684"/>
      <c r="XAD73" s="684"/>
      <c r="XAE73" s="684"/>
      <c r="XAF73" s="684"/>
      <c r="XAG73" s="684"/>
      <c r="XAH73" s="684"/>
      <c r="XAI73" s="684"/>
      <c r="XAJ73" s="684"/>
      <c r="XAK73" s="684"/>
      <c r="XAL73" s="684"/>
      <c r="XAM73" s="684"/>
      <c r="XAN73" s="684"/>
      <c r="XAO73" s="684"/>
      <c r="XAP73" s="684"/>
      <c r="XAQ73" s="684"/>
      <c r="XAR73" s="684"/>
      <c r="XAS73" s="684"/>
      <c r="XAT73" s="684"/>
      <c r="XAU73" s="684"/>
      <c r="XAV73" s="684"/>
      <c r="XAW73" s="684"/>
      <c r="XAX73" s="684"/>
      <c r="XAY73" s="684"/>
      <c r="XAZ73" s="684"/>
      <c r="XBA73" s="684"/>
      <c r="XBB73" s="684"/>
      <c r="XBC73" s="684"/>
      <c r="XBD73" s="684"/>
      <c r="XBE73" s="684"/>
      <c r="XBF73" s="684"/>
      <c r="XBG73" s="684"/>
      <c r="XBH73" s="684"/>
      <c r="XBI73" s="684"/>
      <c r="XBJ73" s="684"/>
      <c r="XBK73" s="684"/>
      <c r="XBL73" s="684"/>
      <c r="XBM73" s="684"/>
      <c r="XBN73" s="684"/>
      <c r="XBO73" s="684"/>
      <c r="XBP73" s="684"/>
      <c r="XBQ73" s="684"/>
      <c r="XBR73" s="684"/>
      <c r="XBS73" s="684"/>
      <c r="XBT73" s="684"/>
      <c r="XBU73" s="684"/>
      <c r="XBV73" s="684"/>
      <c r="XBW73" s="684"/>
      <c r="XBX73" s="684"/>
      <c r="XBY73" s="684"/>
      <c r="XBZ73" s="684"/>
      <c r="XCA73" s="684"/>
      <c r="XCB73" s="684"/>
      <c r="XCC73" s="684"/>
      <c r="XCD73" s="684"/>
      <c r="XCE73" s="684"/>
      <c r="XCF73" s="684"/>
      <c r="XCG73" s="684"/>
      <c r="XCH73" s="684"/>
      <c r="XCI73" s="684"/>
      <c r="XCJ73" s="684"/>
      <c r="XCK73" s="684"/>
      <c r="XCL73" s="684"/>
      <c r="XCM73" s="684"/>
      <c r="XCN73" s="684"/>
      <c r="XCO73" s="684"/>
      <c r="XCP73" s="684"/>
      <c r="XCQ73" s="684"/>
      <c r="XCR73" s="684"/>
      <c r="XCS73" s="684"/>
      <c r="XCT73" s="684"/>
      <c r="XCU73" s="684"/>
      <c r="XCV73" s="684"/>
      <c r="XCW73" s="684"/>
      <c r="XCX73" s="684"/>
      <c r="XCY73" s="684"/>
      <c r="XCZ73" s="684"/>
      <c r="XDA73" s="684"/>
      <c r="XDB73" s="684"/>
      <c r="XDC73" s="684"/>
      <c r="XDD73" s="684"/>
      <c r="XDE73" s="684"/>
      <c r="XDF73" s="684"/>
      <c r="XDG73" s="684"/>
      <c r="XDH73" s="684"/>
      <c r="XDI73" s="684"/>
      <c r="XDJ73" s="684"/>
      <c r="XDK73" s="684"/>
      <c r="XDL73" s="684"/>
      <c r="XDM73" s="684"/>
      <c r="XDN73" s="684"/>
      <c r="XDO73" s="684"/>
      <c r="XDP73" s="684"/>
      <c r="XDQ73" s="684"/>
      <c r="XDR73" s="684"/>
      <c r="XDS73" s="684"/>
      <c r="XDT73" s="684"/>
      <c r="XDU73" s="684"/>
      <c r="XDV73" s="684"/>
      <c r="XDW73" s="684"/>
      <c r="XDX73" s="684"/>
      <c r="XDY73" s="684"/>
      <c r="XDZ73" s="684"/>
      <c r="XEA73" s="684"/>
      <c r="XEB73" s="684"/>
      <c r="XEC73" s="684"/>
      <c r="XED73" s="684"/>
      <c r="XEE73" s="684"/>
      <c r="XEF73" s="684"/>
      <c r="XEG73" s="684"/>
      <c r="XEH73" s="684"/>
      <c r="XEI73" s="684"/>
      <c r="XEJ73" s="684"/>
      <c r="XEK73" s="684"/>
      <c r="XEL73" s="684"/>
      <c r="XEM73" s="684"/>
      <c r="XEN73" s="684"/>
      <c r="XEO73" s="684"/>
      <c r="XEP73" s="684"/>
      <c r="XEQ73" s="684"/>
      <c r="XER73" s="684"/>
      <c r="XES73" s="684"/>
      <c r="XET73" s="684"/>
      <c r="XEU73" s="684"/>
      <c r="XEV73" s="684"/>
      <c r="XEW73" s="684"/>
      <c r="XEX73" s="684"/>
      <c r="XEY73" s="684"/>
      <c r="XEZ73" s="684"/>
      <c r="XFA73" s="684"/>
      <c r="XFB73" s="684"/>
      <c r="XFC73" s="684"/>
      <c r="XFD73" s="684"/>
    </row>
    <row r="74" spans="1:16384" s="774" customFormat="1">
      <c r="A74" s="597" t="s">
        <v>2413</v>
      </c>
      <c r="B74" s="488" t="s">
        <v>2423</v>
      </c>
      <c r="C74" s="488" t="s">
        <v>2423</v>
      </c>
      <c r="D74" s="4295"/>
      <c r="E74" s="4289"/>
      <c r="F74" s="4265"/>
      <c r="G74" s="4262"/>
      <c r="H74" s="4202"/>
      <c r="I74" s="4202"/>
      <c r="J74" s="684"/>
      <c r="K74" s="684"/>
      <c r="L74" s="684"/>
      <c r="M74" s="684"/>
      <c r="N74" s="684"/>
      <c r="O74" s="684"/>
      <c r="P74" s="684"/>
      <c r="Q74" s="684"/>
      <c r="R74" s="684"/>
      <c r="S74" s="684"/>
      <c r="T74" s="684"/>
      <c r="U74" s="684"/>
      <c r="V74" s="684"/>
      <c r="W74" s="684"/>
      <c r="X74" s="684"/>
      <c r="Y74" s="684"/>
      <c r="Z74" s="684"/>
      <c r="AA74" s="684"/>
      <c r="AB74" s="684"/>
      <c r="AC74" s="684"/>
      <c r="AD74" s="684"/>
      <c r="AE74" s="684"/>
      <c r="AF74" s="684"/>
      <c r="AG74" s="684"/>
      <c r="AH74" s="684"/>
      <c r="AI74" s="684"/>
      <c r="AJ74" s="684"/>
      <c r="AK74" s="684"/>
      <c r="AL74" s="684"/>
      <c r="AM74" s="684"/>
      <c r="AN74" s="684"/>
      <c r="AO74" s="684"/>
      <c r="AP74" s="684"/>
      <c r="AQ74" s="684"/>
      <c r="AR74" s="684"/>
      <c r="AS74" s="684"/>
      <c r="AT74" s="684"/>
      <c r="AU74" s="684"/>
      <c r="AV74" s="684"/>
      <c r="AW74" s="684"/>
      <c r="AX74" s="684"/>
      <c r="AY74" s="684"/>
      <c r="AZ74" s="684"/>
      <c r="BA74" s="684"/>
      <c r="BB74" s="684"/>
      <c r="BC74" s="684"/>
      <c r="BD74" s="684"/>
      <c r="BE74" s="684"/>
      <c r="BF74" s="684"/>
      <c r="BG74" s="684"/>
      <c r="BH74" s="684"/>
      <c r="BI74" s="684"/>
      <c r="BJ74" s="684"/>
      <c r="BK74" s="684"/>
      <c r="BL74" s="684"/>
      <c r="BM74" s="684"/>
      <c r="BN74" s="684"/>
      <c r="BO74" s="684"/>
      <c r="BP74" s="684"/>
      <c r="BQ74" s="684"/>
      <c r="BR74" s="684"/>
      <c r="BS74" s="684"/>
      <c r="BT74" s="684"/>
      <c r="BU74" s="684"/>
      <c r="BV74" s="684"/>
      <c r="BW74" s="684"/>
      <c r="BX74" s="684"/>
      <c r="BY74" s="684"/>
      <c r="BZ74" s="684"/>
      <c r="CA74" s="684"/>
      <c r="CB74" s="684"/>
      <c r="CC74" s="684"/>
      <c r="CD74" s="684"/>
      <c r="CE74" s="684"/>
      <c r="CF74" s="684"/>
      <c r="CG74" s="684"/>
      <c r="CH74" s="684"/>
      <c r="CI74" s="684"/>
      <c r="CJ74" s="684"/>
      <c r="CK74" s="684"/>
      <c r="CL74" s="684"/>
      <c r="CM74" s="684"/>
      <c r="CN74" s="684"/>
      <c r="CO74" s="684"/>
      <c r="CP74" s="684"/>
      <c r="CQ74" s="684"/>
      <c r="CR74" s="684"/>
      <c r="CS74" s="684"/>
      <c r="CT74" s="684"/>
      <c r="CU74" s="684"/>
      <c r="CV74" s="684"/>
      <c r="CW74" s="684"/>
      <c r="CX74" s="684"/>
      <c r="CY74" s="684"/>
      <c r="CZ74" s="684"/>
      <c r="DA74" s="684"/>
      <c r="DB74" s="684"/>
      <c r="DC74" s="684"/>
      <c r="DD74" s="684"/>
      <c r="DE74" s="684"/>
      <c r="DF74" s="684"/>
      <c r="DG74" s="684"/>
      <c r="DH74" s="684"/>
      <c r="DI74" s="684"/>
      <c r="DJ74" s="684"/>
      <c r="DK74" s="684"/>
      <c r="DL74" s="684"/>
      <c r="DM74" s="684"/>
      <c r="DN74" s="684"/>
      <c r="DO74" s="684"/>
      <c r="DP74" s="684"/>
      <c r="DQ74" s="684"/>
      <c r="DR74" s="684"/>
      <c r="DS74" s="684"/>
      <c r="DT74" s="684"/>
      <c r="DU74" s="684"/>
      <c r="DV74" s="684"/>
      <c r="DW74" s="684"/>
      <c r="DX74" s="684"/>
      <c r="DY74" s="684"/>
      <c r="DZ74" s="684"/>
      <c r="EA74" s="684"/>
      <c r="EB74" s="684"/>
      <c r="EC74" s="684"/>
      <c r="ED74" s="684"/>
      <c r="EE74" s="684"/>
      <c r="EF74" s="684"/>
      <c r="EG74" s="684"/>
      <c r="EH74" s="684"/>
      <c r="EI74" s="684"/>
      <c r="EJ74" s="684"/>
      <c r="EK74" s="684"/>
      <c r="EL74" s="684"/>
      <c r="EM74" s="684"/>
      <c r="EN74" s="684"/>
      <c r="EO74" s="684"/>
      <c r="EP74" s="684"/>
      <c r="EQ74" s="684"/>
      <c r="ER74" s="684"/>
      <c r="ES74" s="684"/>
      <c r="ET74" s="684"/>
      <c r="EU74" s="684"/>
      <c r="EV74" s="684"/>
      <c r="EW74" s="684"/>
      <c r="EX74" s="684"/>
      <c r="EY74" s="684"/>
      <c r="EZ74" s="684"/>
      <c r="FA74" s="684"/>
      <c r="FB74" s="684"/>
      <c r="FC74" s="684"/>
      <c r="FD74" s="684"/>
      <c r="FE74" s="684"/>
      <c r="FF74" s="684"/>
      <c r="FG74" s="684"/>
      <c r="FH74" s="684"/>
      <c r="FI74" s="684"/>
      <c r="FJ74" s="684"/>
      <c r="FK74" s="684"/>
      <c r="FL74" s="684"/>
      <c r="FM74" s="684"/>
      <c r="FN74" s="684"/>
      <c r="FO74" s="684"/>
      <c r="FP74" s="684"/>
      <c r="FQ74" s="684"/>
      <c r="FR74" s="684"/>
      <c r="FS74" s="684"/>
      <c r="FT74" s="684"/>
      <c r="FU74" s="684"/>
      <c r="FV74" s="684"/>
      <c r="FW74" s="684"/>
      <c r="FX74" s="684"/>
      <c r="FY74" s="684"/>
      <c r="FZ74" s="684"/>
      <c r="GA74" s="684"/>
      <c r="GB74" s="684"/>
      <c r="GC74" s="684"/>
      <c r="GD74" s="684"/>
      <c r="GE74" s="684"/>
      <c r="GF74" s="684"/>
      <c r="GG74" s="684"/>
      <c r="GH74" s="684"/>
      <c r="GI74" s="684"/>
      <c r="GJ74" s="684"/>
      <c r="GK74" s="684"/>
      <c r="GL74" s="684"/>
      <c r="GM74" s="684"/>
      <c r="GN74" s="684"/>
      <c r="GO74" s="684"/>
      <c r="GP74" s="684"/>
      <c r="GQ74" s="684"/>
      <c r="GR74" s="684"/>
      <c r="GS74" s="684"/>
      <c r="GT74" s="684"/>
      <c r="GU74" s="684"/>
      <c r="GV74" s="684"/>
      <c r="GW74" s="684"/>
      <c r="GX74" s="684"/>
      <c r="GY74" s="684"/>
      <c r="GZ74" s="684"/>
      <c r="HA74" s="684"/>
      <c r="HB74" s="684"/>
      <c r="HC74" s="684"/>
      <c r="HD74" s="684"/>
      <c r="HE74" s="684"/>
      <c r="HF74" s="684"/>
      <c r="HG74" s="684"/>
      <c r="HH74" s="684"/>
      <c r="HI74" s="684"/>
      <c r="HJ74" s="684"/>
      <c r="HK74" s="684"/>
      <c r="HL74" s="684"/>
      <c r="HM74" s="684"/>
      <c r="HN74" s="684"/>
      <c r="HO74" s="684"/>
      <c r="HP74" s="684"/>
      <c r="HQ74" s="684"/>
      <c r="HR74" s="684"/>
      <c r="HS74" s="684"/>
      <c r="HT74" s="684"/>
      <c r="HU74" s="684"/>
      <c r="HV74" s="684"/>
      <c r="HW74" s="684"/>
      <c r="HX74" s="684"/>
      <c r="HY74" s="684"/>
      <c r="HZ74" s="684"/>
      <c r="IA74" s="684"/>
      <c r="IB74" s="684"/>
      <c r="IC74" s="684"/>
      <c r="ID74" s="684"/>
      <c r="IE74" s="684"/>
      <c r="IF74" s="684"/>
      <c r="IG74" s="684"/>
      <c r="IH74" s="684"/>
      <c r="II74" s="684"/>
      <c r="IJ74" s="684"/>
      <c r="IK74" s="684"/>
      <c r="IL74" s="684"/>
      <c r="IM74" s="684"/>
      <c r="IN74" s="684"/>
      <c r="IO74" s="684"/>
      <c r="IP74" s="684"/>
      <c r="IQ74" s="684"/>
      <c r="IR74" s="684"/>
      <c r="IS74" s="684"/>
      <c r="IT74" s="684"/>
      <c r="IU74" s="684"/>
      <c r="IV74" s="684"/>
      <c r="IW74" s="684"/>
      <c r="IX74" s="684"/>
      <c r="IY74" s="684"/>
      <c r="IZ74" s="684"/>
      <c r="JA74" s="684"/>
      <c r="JB74" s="684"/>
      <c r="JC74" s="684"/>
      <c r="JD74" s="684"/>
      <c r="JE74" s="684"/>
      <c r="JF74" s="684"/>
      <c r="JG74" s="684"/>
      <c r="JH74" s="684"/>
      <c r="JI74" s="684"/>
      <c r="JJ74" s="684"/>
      <c r="JK74" s="684"/>
      <c r="JL74" s="684"/>
      <c r="JM74" s="684"/>
      <c r="JN74" s="684"/>
      <c r="JO74" s="684"/>
      <c r="JP74" s="684"/>
      <c r="JQ74" s="684"/>
      <c r="JR74" s="684"/>
      <c r="JS74" s="684"/>
      <c r="JT74" s="684"/>
      <c r="JU74" s="684"/>
      <c r="JV74" s="684"/>
      <c r="JW74" s="684"/>
      <c r="JX74" s="684"/>
      <c r="JY74" s="684"/>
      <c r="JZ74" s="684"/>
      <c r="KA74" s="684"/>
      <c r="KB74" s="684"/>
      <c r="KC74" s="684"/>
      <c r="KD74" s="684"/>
      <c r="KE74" s="684"/>
      <c r="KF74" s="684"/>
      <c r="KG74" s="684"/>
      <c r="KH74" s="684"/>
      <c r="KI74" s="684"/>
      <c r="KJ74" s="684"/>
      <c r="KK74" s="684"/>
      <c r="KL74" s="684"/>
      <c r="KM74" s="684"/>
      <c r="KN74" s="684"/>
      <c r="KO74" s="684"/>
      <c r="KP74" s="684"/>
      <c r="KQ74" s="684"/>
      <c r="KR74" s="684"/>
      <c r="KS74" s="684"/>
      <c r="KT74" s="684"/>
      <c r="KU74" s="684"/>
      <c r="KV74" s="684"/>
      <c r="KW74" s="684"/>
      <c r="KX74" s="684"/>
      <c r="KY74" s="684"/>
      <c r="KZ74" s="684"/>
      <c r="LA74" s="684"/>
      <c r="LB74" s="684"/>
      <c r="LC74" s="684"/>
      <c r="LD74" s="684"/>
      <c r="LE74" s="684"/>
      <c r="LF74" s="684"/>
      <c r="LG74" s="684"/>
      <c r="LH74" s="684"/>
      <c r="LI74" s="684"/>
      <c r="LJ74" s="684"/>
      <c r="LK74" s="684"/>
      <c r="LL74" s="684"/>
      <c r="LM74" s="684"/>
      <c r="LN74" s="684"/>
      <c r="LO74" s="684"/>
      <c r="LP74" s="684"/>
      <c r="LQ74" s="684"/>
      <c r="LR74" s="684"/>
      <c r="LS74" s="684"/>
      <c r="LT74" s="684"/>
      <c r="LU74" s="684"/>
      <c r="LV74" s="684"/>
      <c r="LW74" s="684"/>
      <c r="LX74" s="684"/>
      <c r="LY74" s="684"/>
      <c r="LZ74" s="684"/>
      <c r="MA74" s="684"/>
      <c r="MB74" s="684"/>
      <c r="MC74" s="684"/>
      <c r="MD74" s="684"/>
      <c r="ME74" s="684"/>
      <c r="MF74" s="684"/>
      <c r="MG74" s="684"/>
      <c r="MH74" s="684"/>
      <c r="MI74" s="684"/>
      <c r="MJ74" s="684"/>
      <c r="MK74" s="684"/>
      <c r="ML74" s="684"/>
      <c r="MM74" s="684"/>
      <c r="MN74" s="684"/>
      <c r="MO74" s="684"/>
      <c r="MP74" s="684"/>
      <c r="MQ74" s="684"/>
      <c r="MR74" s="684"/>
      <c r="MS74" s="684"/>
      <c r="MT74" s="684"/>
      <c r="MU74" s="684"/>
      <c r="MV74" s="684"/>
      <c r="MW74" s="684"/>
      <c r="MX74" s="684"/>
      <c r="MY74" s="684"/>
      <c r="MZ74" s="684"/>
      <c r="NA74" s="684"/>
      <c r="NB74" s="684"/>
      <c r="NC74" s="684"/>
      <c r="ND74" s="684"/>
      <c r="NE74" s="684"/>
      <c r="NF74" s="684"/>
      <c r="NG74" s="684"/>
      <c r="NH74" s="684"/>
      <c r="NI74" s="684"/>
      <c r="NJ74" s="684"/>
      <c r="NK74" s="684"/>
      <c r="NL74" s="684"/>
      <c r="NM74" s="684"/>
      <c r="NN74" s="684"/>
      <c r="NO74" s="684"/>
      <c r="NP74" s="684"/>
      <c r="NQ74" s="684"/>
      <c r="NR74" s="684"/>
      <c r="NS74" s="684"/>
      <c r="NT74" s="684"/>
      <c r="NU74" s="684"/>
      <c r="NV74" s="684"/>
      <c r="NW74" s="684"/>
      <c r="NX74" s="684"/>
      <c r="NY74" s="684"/>
      <c r="NZ74" s="684"/>
      <c r="OA74" s="684"/>
      <c r="OB74" s="684"/>
      <c r="OC74" s="684"/>
      <c r="OD74" s="684"/>
      <c r="OE74" s="684"/>
      <c r="OF74" s="684"/>
      <c r="OG74" s="684"/>
      <c r="OH74" s="684"/>
      <c r="OI74" s="684"/>
      <c r="OJ74" s="684"/>
      <c r="OK74" s="684"/>
      <c r="OL74" s="684"/>
      <c r="OM74" s="684"/>
      <c r="ON74" s="684"/>
      <c r="OO74" s="684"/>
      <c r="OP74" s="684"/>
      <c r="OQ74" s="684"/>
      <c r="OR74" s="684"/>
      <c r="OS74" s="684"/>
      <c r="OT74" s="684"/>
      <c r="OU74" s="684"/>
      <c r="OV74" s="684"/>
      <c r="OW74" s="684"/>
      <c r="OX74" s="684"/>
      <c r="OY74" s="684"/>
      <c r="OZ74" s="684"/>
      <c r="PA74" s="684"/>
      <c r="PB74" s="684"/>
      <c r="PC74" s="684"/>
      <c r="PD74" s="684"/>
      <c r="PE74" s="684"/>
      <c r="PF74" s="684"/>
      <c r="PG74" s="684"/>
      <c r="PH74" s="684"/>
      <c r="PI74" s="684"/>
      <c r="PJ74" s="684"/>
      <c r="PK74" s="684"/>
      <c r="PL74" s="684"/>
      <c r="PM74" s="684"/>
      <c r="PN74" s="684"/>
      <c r="PO74" s="684"/>
      <c r="PP74" s="684"/>
      <c r="PQ74" s="684"/>
      <c r="PR74" s="684"/>
      <c r="PS74" s="684"/>
      <c r="PT74" s="684"/>
      <c r="PU74" s="684"/>
      <c r="PV74" s="684"/>
      <c r="PW74" s="684"/>
      <c r="PX74" s="684"/>
      <c r="PY74" s="684"/>
      <c r="PZ74" s="684"/>
      <c r="QA74" s="684"/>
      <c r="QB74" s="684"/>
      <c r="QC74" s="684"/>
      <c r="QD74" s="684"/>
      <c r="QE74" s="684"/>
      <c r="QF74" s="684"/>
      <c r="QG74" s="684"/>
      <c r="QH74" s="684"/>
      <c r="QI74" s="684"/>
      <c r="QJ74" s="684"/>
      <c r="QK74" s="684"/>
      <c r="QL74" s="684"/>
      <c r="QM74" s="684"/>
      <c r="QN74" s="684"/>
      <c r="QO74" s="684"/>
      <c r="QP74" s="684"/>
      <c r="QQ74" s="684"/>
      <c r="QR74" s="684"/>
      <c r="QS74" s="684"/>
      <c r="QT74" s="684"/>
      <c r="QU74" s="684"/>
      <c r="QV74" s="684"/>
      <c r="QW74" s="684"/>
      <c r="QX74" s="684"/>
      <c r="QY74" s="684"/>
      <c r="QZ74" s="684"/>
      <c r="RA74" s="684"/>
      <c r="RB74" s="684"/>
      <c r="RC74" s="684"/>
      <c r="RD74" s="684"/>
      <c r="RE74" s="684"/>
      <c r="RF74" s="684"/>
      <c r="RG74" s="684"/>
      <c r="RH74" s="684"/>
      <c r="RI74" s="684"/>
      <c r="RJ74" s="684"/>
      <c r="RK74" s="684"/>
      <c r="RL74" s="684"/>
      <c r="RM74" s="684"/>
      <c r="RN74" s="684"/>
      <c r="RO74" s="684"/>
      <c r="RP74" s="684"/>
      <c r="RQ74" s="684"/>
      <c r="RR74" s="684"/>
      <c r="RS74" s="684"/>
      <c r="RT74" s="684"/>
      <c r="RU74" s="684"/>
      <c r="RV74" s="684"/>
      <c r="RW74" s="684"/>
      <c r="RX74" s="684"/>
      <c r="RY74" s="684"/>
      <c r="RZ74" s="684"/>
      <c r="SA74" s="684"/>
      <c r="SB74" s="684"/>
      <c r="SC74" s="684"/>
      <c r="SD74" s="684"/>
      <c r="SE74" s="684"/>
      <c r="SF74" s="684"/>
      <c r="SG74" s="684"/>
      <c r="SH74" s="684"/>
      <c r="SI74" s="684"/>
      <c r="SJ74" s="684"/>
      <c r="SK74" s="684"/>
      <c r="SL74" s="684"/>
      <c r="SM74" s="684"/>
      <c r="SN74" s="684"/>
      <c r="SO74" s="684"/>
      <c r="SP74" s="684"/>
      <c r="SQ74" s="684"/>
      <c r="SR74" s="684"/>
      <c r="SS74" s="684"/>
      <c r="ST74" s="684"/>
      <c r="SU74" s="684"/>
      <c r="SV74" s="684"/>
      <c r="SW74" s="684"/>
      <c r="SX74" s="684"/>
      <c r="SY74" s="684"/>
      <c r="SZ74" s="684"/>
      <c r="TA74" s="684"/>
      <c r="TB74" s="684"/>
      <c r="TC74" s="684"/>
      <c r="TD74" s="684"/>
      <c r="TE74" s="684"/>
      <c r="TF74" s="684"/>
      <c r="TG74" s="684"/>
      <c r="TH74" s="684"/>
      <c r="TI74" s="684"/>
      <c r="TJ74" s="684"/>
      <c r="TK74" s="684"/>
      <c r="TL74" s="684"/>
      <c r="TM74" s="684"/>
      <c r="TN74" s="684"/>
      <c r="TO74" s="684"/>
      <c r="TP74" s="684"/>
      <c r="TQ74" s="684"/>
      <c r="TR74" s="684"/>
      <c r="TS74" s="684"/>
      <c r="TT74" s="684"/>
      <c r="TU74" s="684"/>
      <c r="TV74" s="684"/>
      <c r="TW74" s="684"/>
      <c r="TX74" s="684"/>
      <c r="TY74" s="684"/>
      <c r="TZ74" s="684"/>
      <c r="UA74" s="684"/>
      <c r="UB74" s="684"/>
      <c r="UC74" s="684"/>
      <c r="UD74" s="684"/>
      <c r="UE74" s="684"/>
      <c r="UF74" s="684"/>
      <c r="UG74" s="684"/>
      <c r="UH74" s="684"/>
      <c r="UI74" s="684"/>
      <c r="UJ74" s="684"/>
      <c r="UK74" s="684"/>
      <c r="UL74" s="684"/>
      <c r="UM74" s="684"/>
      <c r="UN74" s="684"/>
      <c r="UO74" s="684"/>
      <c r="UP74" s="684"/>
      <c r="UQ74" s="684"/>
      <c r="UR74" s="684"/>
      <c r="US74" s="684"/>
      <c r="UT74" s="684"/>
      <c r="UU74" s="684"/>
      <c r="UV74" s="684"/>
      <c r="UW74" s="684"/>
      <c r="UX74" s="684"/>
      <c r="UY74" s="684"/>
      <c r="UZ74" s="684"/>
      <c r="VA74" s="684"/>
      <c r="VB74" s="684"/>
      <c r="VC74" s="684"/>
      <c r="VD74" s="684"/>
      <c r="VE74" s="684"/>
      <c r="VF74" s="684"/>
      <c r="VG74" s="684"/>
      <c r="VH74" s="684"/>
      <c r="VI74" s="684"/>
      <c r="VJ74" s="684"/>
      <c r="VK74" s="684"/>
      <c r="VL74" s="684"/>
      <c r="VM74" s="684"/>
      <c r="VN74" s="684"/>
      <c r="VO74" s="684"/>
      <c r="VP74" s="684"/>
      <c r="VQ74" s="684"/>
      <c r="VR74" s="684"/>
      <c r="VS74" s="684"/>
      <c r="VT74" s="684"/>
      <c r="VU74" s="684"/>
      <c r="VV74" s="684"/>
      <c r="VW74" s="684"/>
      <c r="VX74" s="684"/>
      <c r="VY74" s="684"/>
      <c r="VZ74" s="684"/>
      <c r="WA74" s="684"/>
      <c r="WB74" s="684"/>
      <c r="WC74" s="684"/>
      <c r="WD74" s="684"/>
      <c r="WE74" s="684"/>
      <c r="WF74" s="684"/>
      <c r="WG74" s="684"/>
      <c r="WH74" s="684"/>
      <c r="WI74" s="684"/>
      <c r="WJ74" s="684"/>
      <c r="WK74" s="684"/>
      <c r="WL74" s="684"/>
      <c r="WM74" s="684"/>
      <c r="WN74" s="684"/>
      <c r="WO74" s="684"/>
      <c r="WP74" s="684"/>
      <c r="WQ74" s="684"/>
      <c r="WR74" s="684"/>
      <c r="WS74" s="684"/>
      <c r="WT74" s="684"/>
      <c r="WU74" s="684"/>
      <c r="WV74" s="684"/>
      <c r="WW74" s="684"/>
      <c r="WX74" s="684"/>
      <c r="WY74" s="684"/>
      <c r="WZ74" s="684"/>
      <c r="XA74" s="684"/>
      <c r="XB74" s="684"/>
      <c r="XC74" s="684"/>
      <c r="XD74" s="684"/>
      <c r="XE74" s="684"/>
      <c r="XF74" s="684"/>
      <c r="XG74" s="684"/>
      <c r="XH74" s="684"/>
      <c r="XI74" s="684"/>
      <c r="XJ74" s="684"/>
      <c r="XK74" s="684"/>
      <c r="XL74" s="684"/>
      <c r="XM74" s="684"/>
      <c r="XN74" s="684"/>
      <c r="XO74" s="684"/>
      <c r="XP74" s="684"/>
      <c r="XQ74" s="684"/>
      <c r="XR74" s="684"/>
      <c r="XS74" s="684"/>
      <c r="XT74" s="684"/>
      <c r="XU74" s="684"/>
      <c r="XV74" s="684"/>
      <c r="XW74" s="684"/>
      <c r="XX74" s="684"/>
      <c r="XY74" s="684"/>
      <c r="XZ74" s="684"/>
      <c r="YA74" s="684"/>
      <c r="YB74" s="684"/>
      <c r="YC74" s="684"/>
      <c r="YD74" s="684"/>
      <c r="YE74" s="684"/>
      <c r="YF74" s="684"/>
      <c r="YG74" s="684"/>
      <c r="YH74" s="684"/>
      <c r="YI74" s="684"/>
      <c r="YJ74" s="684"/>
      <c r="YK74" s="684"/>
      <c r="YL74" s="684"/>
      <c r="YM74" s="684"/>
      <c r="YN74" s="684"/>
      <c r="YO74" s="684"/>
      <c r="YP74" s="684"/>
      <c r="YQ74" s="684"/>
      <c r="YR74" s="684"/>
      <c r="YS74" s="684"/>
      <c r="YT74" s="684"/>
      <c r="YU74" s="684"/>
      <c r="YV74" s="684"/>
      <c r="YW74" s="684"/>
      <c r="YX74" s="684"/>
      <c r="YY74" s="684"/>
      <c r="YZ74" s="684"/>
      <c r="ZA74" s="684"/>
      <c r="ZB74" s="684"/>
      <c r="ZC74" s="684"/>
      <c r="ZD74" s="684"/>
      <c r="ZE74" s="684"/>
      <c r="ZF74" s="684"/>
      <c r="ZG74" s="684"/>
      <c r="ZH74" s="684"/>
      <c r="ZI74" s="684"/>
      <c r="ZJ74" s="684"/>
      <c r="ZK74" s="684"/>
      <c r="ZL74" s="684"/>
      <c r="ZM74" s="684"/>
      <c r="ZN74" s="684"/>
      <c r="ZO74" s="684"/>
      <c r="ZP74" s="684"/>
      <c r="ZQ74" s="684"/>
      <c r="ZR74" s="684"/>
      <c r="ZS74" s="684"/>
      <c r="ZT74" s="684"/>
      <c r="ZU74" s="684"/>
      <c r="ZV74" s="684"/>
      <c r="ZW74" s="684"/>
      <c r="ZX74" s="684"/>
      <c r="ZY74" s="684"/>
      <c r="ZZ74" s="684"/>
      <c r="AAA74" s="684"/>
      <c r="AAB74" s="684"/>
      <c r="AAC74" s="684"/>
      <c r="AAD74" s="684"/>
      <c r="AAE74" s="684"/>
      <c r="AAF74" s="684"/>
      <c r="AAG74" s="684"/>
      <c r="AAH74" s="684"/>
      <c r="AAI74" s="684"/>
      <c r="AAJ74" s="684"/>
      <c r="AAK74" s="684"/>
      <c r="AAL74" s="684"/>
      <c r="AAM74" s="684"/>
      <c r="AAN74" s="684"/>
      <c r="AAO74" s="684"/>
      <c r="AAP74" s="684"/>
      <c r="AAQ74" s="684"/>
      <c r="AAR74" s="684"/>
      <c r="AAS74" s="684"/>
      <c r="AAT74" s="684"/>
      <c r="AAU74" s="684"/>
      <c r="AAV74" s="684"/>
      <c r="AAW74" s="684"/>
      <c r="AAX74" s="684"/>
      <c r="AAY74" s="684"/>
      <c r="AAZ74" s="684"/>
      <c r="ABA74" s="684"/>
      <c r="ABB74" s="684"/>
      <c r="ABC74" s="684"/>
      <c r="ABD74" s="684"/>
      <c r="ABE74" s="684"/>
      <c r="ABF74" s="684"/>
      <c r="ABG74" s="684"/>
      <c r="ABH74" s="684"/>
      <c r="ABI74" s="684"/>
      <c r="ABJ74" s="684"/>
      <c r="ABK74" s="684"/>
      <c r="ABL74" s="684"/>
      <c r="ABM74" s="684"/>
      <c r="ABN74" s="684"/>
      <c r="ABO74" s="684"/>
      <c r="ABP74" s="684"/>
      <c r="ABQ74" s="684"/>
      <c r="ABR74" s="684"/>
      <c r="ABS74" s="684"/>
      <c r="ABT74" s="684"/>
      <c r="ABU74" s="684"/>
      <c r="ABV74" s="684"/>
      <c r="ABW74" s="684"/>
      <c r="ABX74" s="684"/>
      <c r="ABY74" s="684"/>
      <c r="ABZ74" s="684"/>
      <c r="ACA74" s="684"/>
      <c r="ACB74" s="684"/>
      <c r="ACC74" s="684"/>
      <c r="ACD74" s="684"/>
      <c r="ACE74" s="684"/>
      <c r="ACF74" s="684"/>
      <c r="ACG74" s="684"/>
      <c r="ACH74" s="684"/>
      <c r="ACI74" s="684"/>
      <c r="ACJ74" s="684"/>
      <c r="ACK74" s="684"/>
      <c r="ACL74" s="684"/>
      <c r="ACM74" s="684"/>
      <c r="ACN74" s="684"/>
      <c r="ACO74" s="684"/>
      <c r="ACP74" s="684"/>
      <c r="ACQ74" s="684"/>
      <c r="ACR74" s="684"/>
      <c r="ACS74" s="684"/>
      <c r="ACT74" s="684"/>
      <c r="ACU74" s="684"/>
      <c r="ACV74" s="684"/>
      <c r="ACW74" s="684"/>
      <c r="ACX74" s="684"/>
      <c r="ACY74" s="684"/>
      <c r="ACZ74" s="684"/>
      <c r="ADA74" s="684"/>
      <c r="ADB74" s="684"/>
      <c r="ADC74" s="684"/>
      <c r="ADD74" s="684"/>
      <c r="ADE74" s="684"/>
      <c r="ADF74" s="684"/>
      <c r="ADG74" s="684"/>
      <c r="ADH74" s="684"/>
      <c r="ADI74" s="684"/>
      <c r="ADJ74" s="684"/>
      <c r="ADK74" s="684"/>
      <c r="ADL74" s="684"/>
      <c r="ADM74" s="684"/>
      <c r="ADN74" s="684"/>
      <c r="ADO74" s="684"/>
      <c r="ADP74" s="684"/>
      <c r="ADQ74" s="684"/>
      <c r="ADR74" s="684"/>
      <c r="ADS74" s="684"/>
      <c r="ADT74" s="684"/>
      <c r="ADU74" s="684"/>
      <c r="ADV74" s="684"/>
      <c r="ADW74" s="684"/>
      <c r="ADX74" s="684"/>
      <c r="ADY74" s="684"/>
      <c r="ADZ74" s="684"/>
      <c r="AEA74" s="684"/>
      <c r="AEB74" s="684"/>
      <c r="AEC74" s="684"/>
      <c r="AED74" s="684"/>
      <c r="AEE74" s="684"/>
      <c r="AEF74" s="684"/>
      <c r="AEG74" s="684"/>
      <c r="AEH74" s="684"/>
      <c r="AEI74" s="684"/>
      <c r="AEJ74" s="684"/>
      <c r="AEK74" s="684"/>
      <c r="AEL74" s="684"/>
      <c r="AEM74" s="684"/>
      <c r="AEN74" s="684"/>
      <c r="AEO74" s="684"/>
      <c r="AEP74" s="684"/>
      <c r="AEQ74" s="684"/>
      <c r="AER74" s="684"/>
      <c r="AES74" s="684"/>
      <c r="AET74" s="684"/>
      <c r="AEU74" s="684"/>
      <c r="AEV74" s="684"/>
      <c r="AEW74" s="684"/>
      <c r="AEX74" s="684"/>
      <c r="AEY74" s="684"/>
      <c r="AEZ74" s="684"/>
      <c r="AFA74" s="684"/>
      <c r="AFB74" s="684"/>
      <c r="AFC74" s="684"/>
      <c r="AFD74" s="684"/>
      <c r="AFE74" s="684"/>
      <c r="AFF74" s="684"/>
      <c r="AFG74" s="684"/>
      <c r="AFH74" s="684"/>
      <c r="AFI74" s="684"/>
      <c r="AFJ74" s="684"/>
      <c r="AFK74" s="684"/>
      <c r="AFL74" s="684"/>
      <c r="AFM74" s="684"/>
      <c r="AFN74" s="684"/>
      <c r="AFO74" s="684"/>
      <c r="AFP74" s="684"/>
      <c r="AFQ74" s="684"/>
      <c r="AFR74" s="684"/>
      <c r="AFS74" s="684"/>
      <c r="AFT74" s="684"/>
      <c r="AFU74" s="684"/>
      <c r="AFV74" s="684"/>
      <c r="AFW74" s="684"/>
      <c r="AFX74" s="684"/>
      <c r="AFY74" s="684"/>
      <c r="AFZ74" s="684"/>
      <c r="AGA74" s="684"/>
      <c r="AGB74" s="684"/>
      <c r="AGC74" s="684"/>
      <c r="AGD74" s="684"/>
      <c r="AGE74" s="684"/>
      <c r="AGF74" s="684"/>
      <c r="AGG74" s="684"/>
      <c r="AGH74" s="684"/>
      <c r="AGI74" s="684"/>
      <c r="AGJ74" s="684"/>
      <c r="AGK74" s="684"/>
      <c r="AGL74" s="684"/>
      <c r="AGM74" s="684"/>
      <c r="AGN74" s="684"/>
      <c r="AGO74" s="684"/>
      <c r="AGP74" s="684"/>
      <c r="AGQ74" s="684"/>
      <c r="AGR74" s="684"/>
      <c r="AGS74" s="684"/>
      <c r="AGT74" s="684"/>
      <c r="AGU74" s="684"/>
      <c r="AGV74" s="684"/>
      <c r="AGW74" s="684"/>
      <c r="AGX74" s="684"/>
      <c r="AGY74" s="684"/>
      <c r="AGZ74" s="684"/>
      <c r="AHA74" s="684"/>
      <c r="AHB74" s="684"/>
      <c r="AHC74" s="684"/>
      <c r="AHD74" s="684"/>
      <c r="AHE74" s="684"/>
      <c r="AHF74" s="684"/>
      <c r="AHG74" s="684"/>
      <c r="AHH74" s="684"/>
      <c r="AHI74" s="684"/>
      <c r="AHJ74" s="684"/>
      <c r="AHK74" s="684"/>
      <c r="AHL74" s="684"/>
      <c r="AHM74" s="684"/>
      <c r="AHN74" s="684"/>
      <c r="AHO74" s="684"/>
      <c r="AHP74" s="684"/>
      <c r="AHQ74" s="684"/>
      <c r="AHR74" s="684"/>
      <c r="AHS74" s="684"/>
      <c r="AHT74" s="684"/>
      <c r="AHU74" s="684"/>
      <c r="AHV74" s="684"/>
      <c r="AHW74" s="684"/>
      <c r="AHX74" s="684"/>
      <c r="AHY74" s="684"/>
      <c r="AHZ74" s="684"/>
      <c r="AIA74" s="684"/>
      <c r="AIB74" s="684"/>
      <c r="AIC74" s="684"/>
      <c r="AID74" s="684"/>
      <c r="AIE74" s="684"/>
      <c r="AIF74" s="684"/>
      <c r="AIG74" s="684"/>
      <c r="AIH74" s="684"/>
      <c r="AII74" s="684"/>
      <c r="AIJ74" s="684"/>
      <c r="AIK74" s="684"/>
      <c r="AIL74" s="684"/>
      <c r="AIM74" s="684"/>
      <c r="AIN74" s="684"/>
      <c r="AIO74" s="684"/>
      <c r="AIP74" s="684"/>
      <c r="AIQ74" s="684"/>
      <c r="AIR74" s="684"/>
      <c r="AIS74" s="684"/>
      <c r="AIT74" s="684"/>
      <c r="AIU74" s="684"/>
      <c r="AIV74" s="684"/>
      <c r="AIW74" s="684"/>
      <c r="AIX74" s="684"/>
      <c r="AIY74" s="684"/>
      <c r="AIZ74" s="684"/>
      <c r="AJA74" s="684"/>
      <c r="AJB74" s="684"/>
      <c r="AJC74" s="684"/>
      <c r="AJD74" s="684"/>
      <c r="AJE74" s="684"/>
      <c r="AJF74" s="684"/>
      <c r="AJG74" s="684"/>
      <c r="AJH74" s="684"/>
      <c r="AJI74" s="684"/>
      <c r="AJJ74" s="684"/>
      <c r="AJK74" s="684"/>
      <c r="AJL74" s="684"/>
      <c r="AJM74" s="684"/>
      <c r="AJN74" s="684"/>
      <c r="AJO74" s="684"/>
      <c r="AJP74" s="684"/>
      <c r="AJQ74" s="684"/>
      <c r="AJR74" s="684"/>
      <c r="AJS74" s="684"/>
      <c r="AJT74" s="684"/>
      <c r="AJU74" s="684"/>
      <c r="AJV74" s="684"/>
      <c r="AJW74" s="684"/>
      <c r="AJX74" s="684"/>
      <c r="AJY74" s="684"/>
      <c r="AJZ74" s="684"/>
      <c r="AKA74" s="684"/>
      <c r="AKB74" s="684"/>
      <c r="AKC74" s="684"/>
      <c r="AKD74" s="684"/>
      <c r="AKE74" s="684"/>
      <c r="AKF74" s="684"/>
      <c r="AKG74" s="684"/>
      <c r="AKH74" s="684"/>
      <c r="AKI74" s="684"/>
      <c r="AKJ74" s="684"/>
      <c r="AKK74" s="684"/>
      <c r="AKL74" s="684"/>
      <c r="AKM74" s="684"/>
      <c r="AKN74" s="684"/>
      <c r="AKO74" s="684"/>
      <c r="AKP74" s="684"/>
      <c r="AKQ74" s="684"/>
      <c r="AKR74" s="684"/>
      <c r="AKS74" s="684"/>
      <c r="AKT74" s="684"/>
      <c r="AKU74" s="684"/>
      <c r="AKV74" s="684"/>
      <c r="AKW74" s="684"/>
      <c r="AKX74" s="684"/>
      <c r="AKY74" s="684"/>
      <c r="AKZ74" s="684"/>
      <c r="ALA74" s="684"/>
      <c r="ALB74" s="684"/>
      <c r="ALC74" s="684"/>
      <c r="ALD74" s="684"/>
      <c r="ALE74" s="684"/>
      <c r="ALF74" s="684"/>
      <c r="ALG74" s="684"/>
      <c r="ALH74" s="684"/>
      <c r="ALI74" s="684"/>
      <c r="ALJ74" s="684"/>
      <c r="ALK74" s="684"/>
      <c r="ALL74" s="684"/>
      <c r="ALM74" s="684"/>
      <c r="ALN74" s="684"/>
      <c r="ALO74" s="684"/>
      <c r="ALP74" s="684"/>
      <c r="ALQ74" s="684"/>
      <c r="ALR74" s="684"/>
      <c r="ALS74" s="684"/>
      <c r="ALT74" s="684"/>
      <c r="ALU74" s="684"/>
      <c r="ALV74" s="684"/>
      <c r="ALW74" s="684"/>
      <c r="ALX74" s="684"/>
      <c r="ALY74" s="684"/>
      <c r="ALZ74" s="684"/>
      <c r="AMA74" s="684"/>
      <c r="AMB74" s="684"/>
      <c r="AMC74" s="684"/>
      <c r="AMD74" s="684"/>
      <c r="AME74" s="684"/>
      <c r="AMF74" s="684"/>
      <c r="AMG74" s="684"/>
      <c r="AMH74" s="684"/>
      <c r="AMI74" s="684"/>
      <c r="AMJ74" s="684"/>
      <c r="AMK74" s="684"/>
      <c r="AML74" s="684"/>
      <c r="AMM74" s="684"/>
      <c r="AMN74" s="684"/>
      <c r="AMO74" s="684"/>
      <c r="AMP74" s="684"/>
      <c r="AMQ74" s="684"/>
      <c r="AMR74" s="684"/>
      <c r="AMS74" s="684"/>
      <c r="AMT74" s="684"/>
      <c r="AMU74" s="684"/>
      <c r="AMV74" s="684"/>
      <c r="AMW74" s="684"/>
      <c r="AMX74" s="684"/>
      <c r="AMY74" s="684"/>
      <c r="AMZ74" s="684"/>
      <c r="ANA74" s="684"/>
      <c r="ANB74" s="684"/>
      <c r="ANC74" s="684"/>
      <c r="AND74" s="684"/>
      <c r="ANE74" s="684"/>
      <c r="ANF74" s="684"/>
      <c r="ANG74" s="684"/>
      <c r="ANH74" s="684"/>
      <c r="ANI74" s="684"/>
      <c r="ANJ74" s="684"/>
      <c r="ANK74" s="684"/>
      <c r="ANL74" s="684"/>
      <c r="ANM74" s="684"/>
      <c r="ANN74" s="684"/>
      <c r="ANO74" s="684"/>
      <c r="ANP74" s="684"/>
      <c r="ANQ74" s="684"/>
      <c r="ANR74" s="684"/>
      <c r="ANS74" s="684"/>
      <c r="ANT74" s="684"/>
      <c r="ANU74" s="684"/>
      <c r="ANV74" s="684"/>
      <c r="ANW74" s="684"/>
      <c r="ANX74" s="684"/>
      <c r="ANY74" s="684"/>
      <c r="ANZ74" s="684"/>
      <c r="AOA74" s="684"/>
      <c r="AOB74" s="684"/>
      <c r="AOC74" s="684"/>
      <c r="AOD74" s="684"/>
      <c r="AOE74" s="684"/>
      <c r="AOF74" s="684"/>
      <c r="AOG74" s="684"/>
      <c r="AOH74" s="684"/>
      <c r="AOI74" s="684"/>
      <c r="AOJ74" s="684"/>
      <c r="AOK74" s="684"/>
      <c r="AOL74" s="684"/>
      <c r="AOM74" s="684"/>
      <c r="AON74" s="684"/>
      <c r="AOO74" s="684"/>
      <c r="AOP74" s="684"/>
      <c r="AOQ74" s="684"/>
      <c r="AOR74" s="684"/>
      <c r="AOS74" s="684"/>
      <c r="AOT74" s="684"/>
      <c r="AOU74" s="684"/>
      <c r="AOV74" s="684"/>
      <c r="AOW74" s="684"/>
      <c r="AOX74" s="684"/>
      <c r="AOY74" s="684"/>
      <c r="AOZ74" s="684"/>
      <c r="APA74" s="684"/>
      <c r="APB74" s="684"/>
      <c r="APC74" s="684"/>
      <c r="APD74" s="684"/>
      <c r="APE74" s="684"/>
      <c r="APF74" s="684"/>
      <c r="APG74" s="684"/>
      <c r="APH74" s="684"/>
      <c r="API74" s="684"/>
      <c r="APJ74" s="684"/>
      <c r="APK74" s="684"/>
      <c r="APL74" s="684"/>
      <c r="APM74" s="684"/>
      <c r="APN74" s="684"/>
      <c r="APO74" s="684"/>
      <c r="APP74" s="684"/>
      <c r="APQ74" s="684"/>
      <c r="APR74" s="684"/>
      <c r="APS74" s="684"/>
      <c r="APT74" s="684"/>
      <c r="APU74" s="684"/>
      <c r="APV74" s="684"/>
      <c r="APW74" s="684"/>
      <c r="APX74" s="684"/>
      <c r="APY74" s="684"/>
      <c r="APZ74" s="684"/>
      <c r="AQA74" s="684"/>
      <c r="AQB74" s="684"/>
      <c r="AQC74" s="684"/>
      <c r="AQD74" s="684"/>
      <c r="AQE74" s="684"/>
      <c r="AQF74" s="684"/>
      <c r="AQG74" s="684"/>
      <c r="AQH74" s="684"/>
      <c r="AQI74" s="684"/>
      <c r="AQJ74" s="684"/>
      <c r="AQK74" s="684"/>
      <c r="AQL74" s="684"/>
      <c r="AQM74" s="684"/>
      <c r="AQN74" s="684"/>
      <c r="AQO74" s="684"/>
      <c r="AQP74" s="684"/>
      <c r="AQQ74" s="684"/>
      <c r="AQR74" s="684"/>
      <c r="AQS74" s="684"/>
      <c r="AQT74" s="684"/>
      <c r="AQU74" s="684"/>
      <c r="AQV74" s="684"/>
      <c r="AQW74" s="684"/>
      <c r="AQX74" s="684"/>
      <c r="AQY74" s="684"/>
      <c r="AQZ74" s="684"/>
      <c r="ARA74" s="684"/>
      <c r="ARB74" s="684"/>
      <c r="ARC74" s="684"/>
      <c r="ARD74" s="684"/>
      <c r="ARE74" s="684"/>
      <c r="ARF74" s="684"/>
      <c r="ARG74" s="684"/>
      <c r="ARH74" s="684"/>
      <c r="ARI74" s="684"/>
      <c r="ARJ74" s="684"/>
      <c r="ARK74" s="684"/>
      <c r="ARL74" s="684"/>
      <c r="ARM74" s="684"/>
      <c r="ARN74" s="684"/>
      <c r="ARO74" s="684"/>
      <c r="ARP74" s="684"/>
      <c r="ARQ74" s="684"/>
      <c r="ARR74" s="684"/>
      <c r="ARS74" s="684"/>
      <c r="ART74" s="684"/>
      <c r="ARU74" s="684"/>
      <c r="ARV74" s="684"/>
      <c r="ARW74" s="684"/>
      <c r="ARX74" s="684"/>
      <c r="ARY74" s="684"/>
      <c r="ARZ74" s="684"/>
      <c r="ASA74" s="684"/>
      <c r="ASB74" s="684"/>
      <c r="ASC74" s="684"/>
      <c r="ASD74" s="684"/>
      <c r="ASE74" s="684"/>
      <c r="ASF74" s="684"/>
      <c r="ASG74" s="684"/>
      <c r="ASH74" s="684"/>
      <c r="ASI74" s="684"/>
      <c r="ASJ74" s="684"/>
      <c r="ASK74" s="684"/>
      <c r="ASL74" s="684"/>
      <c r="ASM74" s="684"/>
      <c r="ASN74" s="684"/>
      <c r="ASO74" s="684"/>
      <c r="ASP74" s="684"/>
      <c r="ASQ74" s="684"/>
      <c r="ASR74" s="684"/>
      <c r="ASS74" s="684"/>
      <c r="AST74" s="684"/>
      <c r="ASU74" s="684"/>
      <c r="ASV74" s="684"/>
      <c r="ASW74" s="684"/>
      <c r="ASX74" s="684"/>
      <c r="ASY74" s="684"/>
      <c r="ASZ74" s="684"/>
      <c r="ATA74" s="684"/>
      <c r="ATB74" s="684"/>
      <c r="ATC74" s="684"/>
      <c r="ATD74" s="684"/>
      <c r="ATE74" s="684"/>
      <c r="ATF74" s="684"/>
      <c r="ATG74" s="684"/>
      <c r="ATH74" s="684"/>
      <c r="ATI74" s="684"/>
      <c r="ATJ74" s="684"/>
      <c r="ATK74" s="684"/>
      <c r="ATL74" s="684"/>
      <c r="ATM74" s="684"/>
      <c r="ATN74" s="684"/>
      <c r="ATO74" s="684"/>
      <c r="ATP74" s="684"/>
      <c r="ATQ74" s="684"/>
      <c r="ATR74" s="684"/>
      <c r="ATS74" s="684"/>
      <c r="ATT74" s="684"/>
      <c r="ATU74" s="684"/>
      <c r="ATV74" s="684"/>
      <c r="ATW74" s="684"/>
      <c r="ATX74" s="684"/>
      <c r="ATY74" s="684"/>
      <c r="ATZ74" s="684"/>
      <c r="AUA74" s="684"/>
      <c r="AUB74" s="684"/>
      <c r="AUC74" s="684"/>
      <c r="AUD74" s="684"/>
      <c r="AUE74" s="684"/>
      <c r="AUF74" s="684"/>
      <c r="AUG74" s="684"/>
      <c r="AUH74" s="684"/>
      <c r="AUI74" s="684"/>
      <c r="AUJ74" s="684"/>
      <c r="AUK74" s="684"/>
      <c r="AUL74" s="684"/>
      <c r="AUM74" s="684"/>
      <c r="AUN74" s="684"/>
      <c r="AUO74" s="684"/>
      <c r="AUP74" s="684"/>
      <c r="AUQ74" s="684"/>
      <c r="AUR74" s="684"/>
      <c r="AUS74" s="684"/>
      <c r="AUT74" s="684"/>
      <c r="AUU74" s="684"/>
      <c r="AUV74" s="684"/>
      <c r="AUW74" s="684"/>
      <c r="AUX74" s="684"/>
      <c r="AUY74" s="684"/>
      <c r="AUZ74" s="684"/>
      <c r="AVA74" s="684"/>
      <c r="AVB74" s="684"/>
      <c r="AVC74" s="684"/>
      <c r="AVD74" s="684"/>
      <c r="AVE74" s="684"/>
      <c r="AVF74" s="684"/>
      <c r="AVG74" s="684"/>
      <c r="AVH74" s="684"/>
      <c r="AVI74" s="684"/>
      <c r="AVJ74" s="684"/>
      <c r="AVK74" s="684"/>
      <c r="AVL74" s="684"/>
      <c r="AVM74" s="684"/>
      <c r="AVN74" s="684"/>
      <c r="AVO74" s="684"/>
      <c r="AVP74" s="684"/>
      <c r="AVQ74" s="684"/>
      <c r="AVR74" s="684"/>
      <c r="AVS74" s="684"/>
      <c r="AVT74" s="684"/>
      <c r="AVU74" s="684"/>
      <c r="AVV74" s="684"/>
      <c r="AVW74" s="684"/>
      <c r="AVX74" s="684"/>
      <c r="AVY74" s="684"/>
      <c r="AVZ74" s="684"/>
      <c r="AWA74" s="684"/>
      <c r="AWB74" s="684"/>
      <c r="AWC74" s="684"/>
      <c r="AWD74" s="684"/>
      <c r="AWE74" s="684"/>
      <c r="AWF74" s="684"/>
      <c r="AWG74" s="684"/>
      <c r="AWH74" s="684"/>
      <c r="AWI74" s="684"/>
      <c r="AWJ74" s="684"/>
      <c r="AWK74" s="684"/>
      <c r="AWL74" s="684"/>
      <c r="AWM74" s="684"/>
      <c r="AWN74" s="684"/>
      <c r="AWO74" s="684"/>
      <c r="AWP74" s="684"/>
      <c r="AWQ74" s="684"/>
      <c r="AWR74" s="684"/>
      <c r="AWS74" s="684"/>
      <c r="AWT74" s="684"/>
      <c r="AWU74" s="684"/>
      <c r="AWV74" s="684"/>
      <c r="AWW74" s="684"/>
      <c r="AWX74" s="684"/>
      <c r="AWY74" s="684"/>
      <c r="AWZ74" s="684"/>
      <c r="AXA74" s="684"/>
      <c r="AXB74" s="684"/>
      <c r="AXC74" s="684"/>
      <c r="AXD74" s="684"/>
      <c r="AXE74" s="684"/>
      <c r="AXF74" s="684"/>
      <c r="AXG74" s="684"/>
      <c r="AXH74" s="684"/>
      <c r="AXI74" s="684"/>
      <c r="AXJ74" s="684"/>
      <c r="AXK74" s="684"/>
      <c r="AXL74" s="684"/>
      <c r="AXM74" s="684"/>
      <c r="AXN74" s="684"/>
      <c r="AXO74" s="684"/>
      <c r="AXP74" s="684"/>
      <c r="AXQ74" s="684"/>
      <c r="AXR74" s="684"/>
      <c r="AXS74" s="684"/>
      <c r="AXT74" s="684"/>
      <c r="AXU74" s="684"/>
      <c r="AXV74" s="684"/>
      <c r="AXW74" s="684"/>
      <c r="AXX74" s="684"/>
      <c r="AXY74" s="684"/>
      <c r="AXZ74" s="684"/>
      <c r="AYA74" s="684"/>
      <c r="AYB74" s="684"/>
      <c r="AYC74" s="684"/>
      <c r="AYD74" s="684"/>
      <c r="AYE74" s="684"/>
      <c r="AYF74" s="684"/>
      <c r="AYG74" s="684"/>
      <c r="AYH74" s="684"/>
      <c r="AYI74" s="684"/>
      <c r="AYJ74" s="684"/>
      <c r="AYK74" s="684"/>
      <c r="AYL74" s="684"/>
      <c r="AYM74" s="684"/>
      <c r="AYN74" s="684"/>
      <c r="AYO74" s="684"/>
      <c r="AYP74" s="684"/>
      <c r="AYQ74" s="684"/>
      <c r="AYR74" s="684"/>
      <c r="AYS74" s="684"/>
      <c r="AYT74" s="684"/>
      <c r="AYU74" s="684"/>
      <c r="AYV74" s="684"/>
      <c r="AYW74" s="684"/>
      <c r="AYX74" s="684"/>
      <c r="AYY74" s="684"/>
      <c r="AYZ74" s="684"/>
      <c r="AZA74" s="684"/>
      <c r="AZB74" s="684"/>
      <c r="AZC74" s="684"/>
      <c r="AZD74" s="684"/>
      <c r="AZE74" s="684"/>
      <c r="AZF74" s="684"/>
      <c r="AZG74" s="684"/>
      <c r="AZH74" s="684"/>
      <c r="AZI74" s="684"/>
      <c r="AZJ74" s="684"/>
      <c r="AZK74" s="684"/>
      <c r="AZL74" s="684"/>
      <c r="AZM74" s="684"/>
      <c r="AZN74" s="684"/>
      <c r="AZO74" s="684"/>
      <c r="AZP74" s="684"/>
      <c r="AZQ74" s="684"/>
      <c r="AZR74" s="684"/>
      <c r="AZS74" s="684"/>
      <c r="AZT74" s="684"/>
      <c r="AZU74" s="684"/>
      <c r="AZV74" s="684"/>
      <c r="AZW74" s="684"/>
      <c r="AZX74" s="684"/>
      <c r="AZY74" s="684"/>
      <c r="AZZ74" s="684"/>
      <c r="BAA74" s="684"/>
      <c r="BAB74" s="684"/>
      <c r="BAC74" s="684"/>
      <c r="BAD74" s="684"/>
      <c r="BAE74" s="684"/>
      <c r="BAF74" s="684"/>
      <c r="BAG74" s="684"/>
      <c r="BAH74" s="684"/>
      <c r="BAI74" s="684"/>
      <c r="BAJ74" s="684"/>
      <c r="BAK74" s="684"/>
      <c r="BAL74" s="684"/>
      <c r="BAM74" s="684"/>
      <c r="BAN74" s="684"/>
      <c r="BAO74" s="684"/>
      <c r="BAP74" s="684"/>
      <c r="BAQ74" s="684"/>
      <c r="BAR74" s="684"/>
      <c r="BAS74" s="684"/>
      <c r="BAT74" s="684"/>
      <c r="BAU74" s="684"/>
      <c r="BAV74" s="684"/>
      <c r="BAW74" s="684"/>
      <c r="BAX74" s="684"/>
      <c r="BAY74" s="684"/>
      <c r="BAZ74" s="684"/>
      <c r="BBA74" s="684"/>
      <c r="BBB74" s="684"/>
      <c r="BBC74" s="684"/>
      <c r="BBD74" s="684"/>
      <c r="BBE74" s="684"/>
      <c r="BBF74" s="684"/>
      <c r="BBG74" s="684"/>
      <c r="BBH74" s="684"/>
      <c r="BBI74" s="684"/>
      <c r="BBJ74" s="684"/>
      <c r="BBK74" s="684"/>
      <c r="BBL74" s="684"/>
      <c r="BBM74" s="684"/>
      <c r="BBN74" s="684"/>
      <c r="BBO74" s="684"/>
      <c r="BBP74" s="684"/>
      <c r="BBQ74" s="684"/>
      <c r="BBR74" s="684"/>
      <c r="BBS74" s="684"/>
      <c r="BBT74" s="684"/>
      <c r="BBU74" s="684"/>
      <c r="BBV74" s="684"/>
      <c r="BBW74" s="684"/>
      <c r="BBX74" s="684"/>
      <c r="BBY74" s="684"/>
      <c r="BBZ74" s="684"/>
      <c r="BCA74" s="684"/>
      <c r="BCB74" s="684"/>
      <c r="BCC74" s="684"/>
      <c r="BCD74" s="684"/>
      <c r="BCE74" s="684"/>
      <c r="BCF74" s="684"/>
      <c r="BCG74" s="684"/>
      <c r="BCH74" s="684"/>
      <c r="BCI74" s="684"/>
      <c r="BCJ74" s="684"/>
      <c r="BCK74" s="684"/>
      <c r="BCL74" s="684"/>
      <c r="BCM74" s="684"/>
      <c r="BCN74" s="684"/>
      <c r="BCO74" s="684"/>
      <c r="BCP74" s="684"/>
      <c r="BCQ74" s="684"/>
      <c r="BCR74" s="684"/>
      <c r="BCS74" s="684"/>
      <c r="BCT74" s="684"/>
      <c r="BCU74" s="684"/>
      <c r="BCV74" s="684"/>
      <c r="BCW74" s="684"/>
      <c r="BCX74" s="684"/>
      <c r="BCY74" s="684"/>
      <c r="BCZ74" s="684"/>
      <c r="BDA74" s="684"/>
      <c r="BDB74" s="684"/>
      <c r="BDC74" s="684"/>
      <c r="BDD74" s="684"/>
      <c r="BDE74" s="684"/>
      <c r="BDF74" s="684"/>
      <c r="BDG74" s="684"/>
      <c r="BDH74" s="684"/>
      <c r="BDI74" s="684"/>
      <c r="BDJ74" s="684"/>
      <c r="BDK74" s="684"/>
      <c r="BDL74" s="684"/>
      <c r="BDM74" s="684"/>
      <c r="BDN74" s="684"/>
      <c r="BDO74" s="684"/>
      <c r="BDP74" s="684"/>
      <c r="BDQ74" s="684"/>
      <c r="BDR74" s="684"/>
      <c r="BDS74" s="684"/>
      <c r="BDT74" s="684"/>
      <c r="BDU74" s="684"/>
      <c r="BDV74" s="684"/>
      <c r="BDW74" s="684"/>
      <c r="BDX74" s="684"/>
      <c r="BDY74" s="684"/>
      <c r="BDZ74" s="684"/>
      <c r="BEA74" s="684"/>
      <c r="BEB74" s="684"/>
      <c r="BEC74" s="684"/>
      <c r="BED74" s="684"/>
      <c r="BEE74" s="684"/>
      <c r="BEF74" s="684"/>
      <c r="BEG74" s="684"/>
      <c r="BEH74" s="684"/>
      <c r="BEI74" s="684"/>
      <c r="BEJ74" s="684"/>
      <c r="BEK74" s="684"/>
      <c r="BEL74" s="684"/>
      <c r="BEM74" s="684"/>
      <c r="BEN74" s="684"/>
      <c r="BEO74" s="684"/>
      <c r="BEP74" s="684"/>
      <c r="BEQ74" s="684"/>
      <c r="BER74" s="684"/>
      <c r="BES74" s="684"/>
      <c r="BET74" s="684"/>
      <c r="BEU74" s="684"/>
      <c r="BEV74" s="684"/>
      <c r="BEW74" s="684"/>
      <c r="BEX74" s="684"/>
      <c r="BEY74" s="684"/>
      <c r="BEZ74" s="684"/>
      <c r="BFA74" s="684"/>
      <c r="BFB74" s="684"/>
      <c r="BFC74" s="684"/>
      <c r="BFD74" s="684"/>
      <c r="BFE74" s="684"/>
      <c r="BFF74" s="684"/>
      <c r="BFG74" s="684"/>
      <c r="BFH74" s="684"/>
      <c r="BFI74" s="684"/>
      <c r="BFJ74" s="684"/>
      <c r="BFK74" s="684"/>
      <c r="BFL74" s="684"/>
      <c r="BFM74" s="684"/>
      <c r="BFN74" s="684"/>
      <c r="BFO74" s="684"/>
      <c r="BFP74" s="684"/>
      <c r="BFQ74" s="684"/>
      <c r="BFR74" s="684"/>
      <c r="BFS74" s="684"/>
      <c r="BFT74" s="684"/>
      <c r="BFU74" s="684"/>
      <c r="BFV74" s="684"/>
      <c r="BFW74" s="684"/>
      <c r="BFX74" s="684"/>
      <c r="BFY74" s="684"/>
      <c r="BFZ74" s="684"/>
      <c r="BGA74" s="684"/>
      <c r="BGB74" s="684"/>
      <c r="BGC74" s="684"/>
      <c r="BGD74" s="684"/>
      <c r="BGE74" s="684"/>
      <c r="BGF74" s="684"/>
      <c r="BGG74" s="684"/>
      <c r="BGH74" s="684"/>
      <c r="BGI74" s="684"/>
      <c r="BGJ74" s="684"/>
      <c r="BGK74" s="684"/>
      <c r="BGL74" s="684"/>
      <c r="BGM74" s="684"/>
      <c r="BGN74" s="684"/>
      <c r="BGO74" s="684"/>
      <c r="BGP74" s="684"/>
      <c r="BGQ74" s="684"/>
      <c r="BGR74" s="684"/>
      <c r="BGS74" s="684"/>
      <c r="BGT74" s="684"/>
      <c r="BGU74" s="684"/>
      <c r="BGV74" s="684"/>
      <c r="BGW74" s="684"/>
      <c r="BGX74" s="684"/>
      <c r="BGY74" s="684"/>
      <c r="BGZ74" s="684"/>
      <c r="BHA74" s="684"/>
      <c r="BHB74" s="684"/>
      <c r="BHC74" s="684"/>
      <c r="BHD74" s="684"/>
      <c r="BHE74" s="684"/>
      <c r="BHF74" s="684"/>
      <c r="BHG74" s="684"/>
      <c r="BHH74" s="684"/>
      <c r="BHI74" s="684"/>
      <c r="BHJ74" s="684"/>
      <c r="BHK74" s="684"/>
      <c r="BHL74" s="684"/>
      <c r="BHM74" s="684"/>
      <c r="BHN74" s="684"/>
      <c r="BHO74" s="684"/>
      <c r="BHP74" s="684"/>
      <c r="BHQ74" s="684"/>
      <c r="BHR74" s="684"/>
      <c r="BHS74" s="684"/>
      <c r="BHT74" s="684"/>
      <c r="BHU74" s="684"/>
      <c r="BHV74" s="684"/>
      <c r="BHW74" s="684"/>
      <c r="BHX74" s="684"/>
      <c r="BHY74" s="684"/>
      <c r="BHZ74" s="684"/>
      <c r="BIA74" s="684"/>
      <c r="BIB74" s="684"/>
      <c r="BIC74" s="684"/>
      <c r="BID74" s="684"/>
      <c r="BIE74" s="684"/>
      <c r="BIF74" s="684"/>
      <c r="BIG74" s="684"/>
      <c r="BIH74" s="684"/>
      <c r="BII74" s="684"/>
      <c r="BIJ74" s="684"/>
      <c r="BIK74" s="684"/>
      <c r="BIL74" s="684"/>
      <c r="BIM74" s="684"/>
      <c r="BIN74" s="684"/>
      <c r="BIO74" s="684"/>
      <c r="BIP74" s="684"/>
      <c r="BIQ74" s="684"/>
      <c r="BIR74" s="684"/>
      <c r="BIS74" s="684"/>
      <c r="BIT74" s="684"/>
      <c r="BIU74" s="684"/>
      <c r="BIV74" s="684"/>
      <c r="BIW74" s="684"/>
      <c r="BIX74" s="684"/>
      <c r="BIY74" s="684"/>
      <c r="BIZ74" s="684"/>
      <c r="BJA74" s="684"/>
      <c r="BJB74" s="684"/>
      <c r="BJC74" s="684"/>
      <c r="BJD74" s="684"/>
      <c r="BJE74" s="684"/>
      <c r="BJF74" s="684"/>
      <c r="BJG74" s="684"/>
      <c r="BJH74" s="684"/>
      <c r="BJI74" s="684"/>
      <c r="BJJ74" s="684"/>
      <c r="BJK74" s="684"/>
      <c r="BJL74" s="684"/>
      <c r="BJM74" s="684"/>
      <c r="BJN74" s="684"/>
      <c r="BJO74" s="684"/>
      <c r="BJP74" s="684"/>
      <c r="BJQ74" s="684"/>
      <c r="BJR74" s="684"/>
      <c r="BJS74" s="684"/>
      <c r="BJT74" s="684"/>
      <c r="BJU74" s="684"/>
      <c r="BJV74" s="684"/>
      <c r="BJW74" s="684"/>
      <c r="BJX74" s="684"/>
      <c r="BJY74" s="684"/>
      <c r="BJZ74" s="684"/>
      <c r="BKA74" s="684"/>
      <c r="BKB74" s="684"/>
      <c r="BKC74" s="684"/>
      <c r="BKD74" s="684"/>
      <c r="BKE74" s="684"/>
      <c r="BKF74" s="684"/>
      <c r="BKG74" s="684"/>
      <c r="BKH74" s="684"/>
      <c r="BKI74" s="684"/>
      <c r="BKJ74" s="684"/>
      <c r="BKK74" s="684"/>
      <c r="BKL74" s="684"/>
      <c r="BKM74" s="684"/>
      <c r="BKN74" s="684"/>
      <c r="BKO74" s="684"/>
      <c r="BKP74" s="684"/>
      <c r="BKQ74" s="684"/>
      <c r="BKR74" s="684"/>
      <c r="BKS74" s="684"/>
      <c r="BKT74" s="684"/>
      <c r="BKU74" s="684"/>
      <c r="BKV74" s="684"/>
      <c r="BKW74" s="684"/>
      <c r="BKX74" s="684"/>
      <c r="BKY74" s="684"/>
      <c r="BKZ74" s="684"/>
      <c r="BLA74" s="684"/>
      <c r="BLB74" s="684"/>
      <c r="BLC74" s="684"/>
      <c r="BLD74" s="684"/>
      <c r="BLE74" s="684"/>
      <c r="BLF74" s="684"/>
      <c r="BLG74" s="684"/>
      <c r="BLH74" s="684"/>
      <c r="BLI74" s="684"/>
      <c r="BLJ74" s="684"/>
      <c r="BLK74" s="684"/>
      <c r="BLL74" s="684"/>
      <c r="BLM74" s="684"/>
      <c r="BLN74" s="684"/>
      <c r="BLO74" s="684"/>
      <c r="BLP74" s="684"/>
      <c r="BLQ74" s="684"/>
      <c r="BLR74" s="684"/>
      <c r="BLS74" s="684"/>
      <c r="BLT74" s="684"/>
      <c r="BLU74" s="684"/>
      <c r="BLV74" s="684"/>
      <c r="BLW74" s="684"/>
      <c r="BLX74" s="684"/>
      <c r="BLY74" s="684"/>
      <c r="BLZ74" s="684"/>
      <c r="BMA74" s="684"/>
      <c r="BMB74" s="684"/>
      <c r="BMC74" s="684"/>
      <c r="BMD74" s="684"/>
      <c r="BME74" s="684"/>
      <c r="BMF74" s="684"/>
      <c r="BMG74" s="684"/>
      <c r="BMH74" s="684"/>
      <c r="BMI74" s="684"/>
      <c r="BMJ74" s="684"/>
      <c r="BMK74" s="684"/>
      <c r="BML74" s="684"/>
      <c r="BMM74" s="684"/>
      <c r="BMN74" s="684"/>
      <c r="BMO74" s="684"/>
      <c r="BMP74" s="684"/>
      <c r="BMQ74" s="684"/>
      <c r="BMR74" s="684"/>
      <c r="BMS74" s="684"/>
      <c r="BMT74" s="684"/>
      <c r="BMU74" s="684"/>
      <c r="BMV74" s="684"/>
      <c r="BMW74" s="684"/>
      <c r="BMX74" s="684"/>
      <c r="BMY74" s="684"/>
      <c r="BMZ74" s="684"/>
      <c r="BNA74" s="684"/>
      <c r="BNB74" s="684"/>
      <c r="BNC74" s="684"/>
      <c r="BND74" s="684"/>
      <c r="BNE74" s="684"/>
      <c r="BNF74" s="684"/>
      <c r="BNG74" s="684"/>
      <c r="BNH74" s="684"/>
      <c r="BNI74" s="684"/>
      <c r="BNJ74" s="684"/>
      <c r="BNK74" s="684"/>
      <c r="BNL74" s="684"/>
      <c r="BNM74" s="684"/>
      <c r="BNN74" s="684"/>
      <c r="BNO74" s="684"/>
      <c r="BNP74" s="684"/>
      <c r="BNQ74" s="684"/>
      <c r="BNR74" s="684"/>
      <c r="BNS74" s="684"/>
      <c r="BNT74" s="684"/>
      <c r="BNU74" s="684"/>
      <c r="BNV74" s="684"/>
      <c r="BNW74" s="684"/>
      <c r="BNX74" s="684"/>
      <c r="BNY74" s="684"/>
      <c r="BNZ74" s="684"/>
      <c r="BOA74" s="684"/>
      <c r="BOB74" s="684"/>
      <c r="BOC74" s="684"/>
      <c r="BOD74" s="684"/>
      <c r="BOE74" s="684"/>
      <c r="BOF74" s="684"/>
      <c r="BOG74" s="684"/>
      <c r="BOH74" s="684"/>
      <c r="BOI74" s="684"/>
      <c r="BOJ74" s="684"/>
      <c r="BOK74" s="684"/>
      <c r="BOL74" s="684"/>
      <c r="BOM74" s="684"/>
      <c r="BON74" s="684"/>
      <c r="BOO74" s="684"/>
      <c r="BOP74" s="684"/>
      <c r="BOQ74" s="684"/>
      <c r="BOR74" s="684"/>
      <c r="BOS74" s="684"/>
      <c r="BOT74" s="684"/>
      <c r="BOU74" s="684"/>
      <c r="BOV74" s="684"/>
      <c r="BOW74" s="684"/>
      <c r="BOX74" s="684"/>
      <c r="BOY74" s="684"/>
      <c r="BOZ74" s="684"/>
      <c r="BPA74" s="684"/>
      <c r="BPB74" s="684"/>
      <c r="BPC74" s="684"/>
      <c r="BPD74" s="684"/>
      <c r="BPE74" s="684"/>
      <c r="BPF74" s="684"/>
      <c r="BPG74" s="684"/>
      <c r="BPH74" s="684"/>
      <c r="BPI74" s="684"/>
      <c r="BPJ74" s="684"/>
      <c r="BPK74" s="684"/>
      <c r="BPL74" s="684"/>
      <c r="BPM74" s="684"/>
      <c r="BPN74" s="684"/>
      <c r="BPO74" s="684"/>
      <c r="BPP74" s="684"/>
      <c r="BPQ74" s="684"/>
      <c r="BPR74" s="684"/>
      <c r="BPS74" s="684"/>
      <c r="BPT74" s="684"/>
      <c r="BPU74" s="684"/>
      <c r="BPV74" s="684"/>
      <c r="BPW74" s="684"/>
      <c r="BPX74" s="684"/>
      <c r="BPY74" s="684"/>
      <c r="BPZ74" s="684"/>
      <c r="BQA74" s="684"/>
      <c r="BQB74" s="684"/>
      <c r="BQC74" s="684"/>
      <c r="BQD74" s="684"/>
      <c r="BQE74" s="684"/>
      <c r="BQF74" s="684"/>
      <c r="BQG74" s="684"/>
      <c r="BQH74" s="684"/>
      <c r="BQI74" s="684"/>
      <c r="BQJ74" s="684"/>
      <c r="BQK74" s="684"/>
      <c r="BQL74" s="684"/>
      <c r="BQM74" s="684"/>
      <c r="BQN74" s="684"/>
      <c r="BQO74" s="684"/>
      <c r="BQP74" s="684"/>
      <c r="BQQ74" s="684"/>
      <c r="BQR74" s="684"/>
      <c r="BQS74" s="684"/>
      <c r="BQT74" s="684"/>
      <c r="BQU74" s="684"/>
      <c r="BQV74" s="684"/>
      <c r="BQW74" s="684"/>
      <c r="BQX74" s="684"/>
      <c r="BQY74" s="684"/>
      <c r="BQZ74" s="684"/>
      <c r="BRA74" s="684"/>
      <c r="BRB74" s="684"/>
      <c r="BRC74" s="684"/>
      <c r="BRD74" s="684"/>
      <c r="BRE74" s="684"/>
      <c r="BRF74" s="684"/>
      <c r="BRG74" s="684"/>
      <c r="BRH74" s="684"/>
      <c r="BRI74" s="684"/>
      <c r="BRJ74" s="684"/>
      <c r="BRK74" s="684"/>
      <c r="BRL74" s="684"/>
      <c r="BRM74" s="684"/>
      <c r="BRN74" s="684"/>
      <c r="BRO74" s="684"/>
      <c r="BRP74" s="684"/>
      <c r="BRQ74" s="684"/>
      <c r="BRR74" s="684"/>
      <c r="BRS74" s="684"/>
      <c r="BRT74" s="684"/>
      <c r="BRU74" s="684"/>
      <c r="BRV74" s="684"/>
      <c r="BRW74" s="684"/>
      <c r="BRX74" s="684"/>
      <c r="BRY74" s="684"/>
      <c r="BRZ74" s="684"/>
      <c r="BSA74" s="684"/>
      <c r="BSB74" s="684"/>
      <c r="BSC74" s="684"/>
      <c r="BSD74" s="684"/>
      <c r="BSE74" s="684"/>
      <c r="BSF74" s="684"/>
      <c r="BSG74" s="684"/>
      <c r="BSH74" s="684"/>
      <c r="BSI74" s="684"/>
      <c r="BSJ74" s="684"/>
      <c r="BSK74" s="684"/>
      <c r="BSL74" s="684"/>
      <c r="BSM74" s="684"/>
      <c r="BSN74" s="684"/>
      <c r="BSO74" s="684"/>
      <c r="BSP74" s="684"/>
      <c r="BSQ74" s="684"/>
      <c r="BSR74" s="684"/>
      <c r="BSS74" s="684"/>
      <c r="BST74" s="684"/>
      <c r="BSU74" s="684"/>
      <c r="BSV74" s="684"/>
      <c r="BSW74" s="684"/>
      <c r="BSX74" s="684"/>
      <c r="BSY74" s="684"/>
      <c r="BSZ74" s="684"/>
      <c r="BTA74" s="684"/>
      <c r="BTB74" s="684"/>
      <c r="BTC74" s="684"/>
      <c r="BTD74" s="684"/>
      <c r="BTE74" s="684"/>
      <c r="BTF74" s="684"/>
      <c r="BTG74" s="684"/>
      <c r="BTH74" s="684"/>
      <c r="BTI74" s="684"/>
      <c r="BTJ74" s="684"/>
      <c r="BTK74" s="684"/>
      <c r="BTL74" s="684"/>
      <c r="BTM74" s="684"/>
      <c r="BTN74" s="684"/>
      <c r="BTO74" s="684"/>
      <c r="BTP74" s="684"/>
      <c r="BTQ74" s="684"/>
      <c r="BTR74" s="684"/>
      <c r="BTS74" s="684"/>
      <c r="BTT74" s="684"/>
      <c r="BTU74" s="684"/>
      <c r="BTV74" s="684"/>
      <c r="BTW74" s="684"/>
      <c r="BTX74" s="684"/>
      <c r="BTY74" s="684"/>
      <c r="BTZ74" s="684"/>
      <c r="BUA74" s="684"/>
      <c r="BUB74" s="684"/>
      <c r="BUC74" s="684"/>
      <c r="BUD74" s="684"/>
      <c r="BUE74" s="684"/>
      <c r="BUF74" s="684"/>
      <c r="BUG74" s="684"/>
      <c r="BUH74" s="684"/>
      <c r="BUI74" s="684"/>
      <c r="BUJ74" s="684"/>
      <c r="BUK74" s="684"/>
      <c r="BUL74" s="684"/>
      <c r="BUM74" s="684"/>
      <c r="BUN74" s="684"/>
      <c r="BUO74" s="684"/>
      <c r="BUP74" s="684"/>
      <c r="BUQ74" s="684"/>
      <c r="BUR74" s="684"/>
      <c r="BUS74" s="684"/>
      <c r="BUT74" s="684"/>
      <c r="BUU74" s="684"/>
      <c r="BUV74" s="684"/>
      <c r="BUW74" s="684"/>
      <c r="BUX74" s="684"/>
      <c r="BUY74" s="684"/>
      <c r="BUZ74" s="684"/>
      <c r="BVA74" s="684"/>
      <c r="BVB74" s="684"/>
      <c r="BVC74" s="684"/>
      <c r="BVD74" s="684"/>
      <c r="BVE74" s="684"/>
      <c r="BVF74" s="684"/>
      <c r="BVG74" s="684"/>
      <c r="BVH74" s="684"/>
      <c r="BVI74" s="684"/>
      <c r="BVJ74" s="684"/>
      <c r="BVK74" s="684"/>
      <c r="BVL74" s="684"/>
      <c r="BVM74" s="684"/>
      <c r="BVN74" s="684"/>
      <c r="BVO74" s="684"/>
      <c r="BVP74" s="684"/>
      <c r="BVQ74" s="684"/>
      <c r="BVR74" s="684"/>
      <c r="BVS74" s="684"/>
      <c r="BVT74" s="684"/>
      <c r="BVU74" s="684"/>
      <c r="BVV74" s="684"/>
      <c r="BVW74" s="684"/>
      <c r="BVX74" s="684"/>
      <c r="BVY74" s="684"/>
      <c r="BVZ74" s="684"/>
      <c r="BWA74" s="684"/>
      <c r="BWB74" s="684"/>
      <c r="BWC74" s="684"/>
      <c r="BWD74" s="684"/>
      <c r="BWE74" s="684"/>
      <c r="BWF74" s="684"/>
      <c r="BWG74" s="684"/>
      <c r="BWH74" s="684"/>
      <c r="BWI74" s="684"/>
      <c r="BWJ74" s="684"/>
      <c r="BWK74" s="684"/>
      <c r="BWL74" s="684"/>
      <c r="BWM74" s="684"/>
      <c r="BWN74" s="684"/>
      <c r="BWO74" s="684"/>
      <c r="BWP74" s="684"/>
      <c r="BWQ74" s="684"/>
      <c r="BWR74" s="684"/>
      <c r="BWS74" s="684"/>
      <c r="BWT74" s="684"/>
      <c r="BWU74" s="684"/>
      <c r="BWV74" s="684"/>
      <c r="BWW74" s="684"/>
      <c r="BWX74" s="684"/>
      <c r="BWY74" s="684"/>
      <c r="BWZ74" s="684"/>
      <c r="BXA74" s="684"/>
      <c r="BXB74" s="684"/>
      <c r="BXC74" s="684"/>
      <c r="BXD74" s="684"/>
      <c r="BXE74" s="684"/>
      <c r="BXF74" s="684"/>
      <c r="BXG74" s="684"/>
      <c r="BXH74" s="684"/>
      <c r="BXI74" s="684"/>
      <c r="BXJ74" s="684"/>
      <c r="BXK74" s="684"/>
      <c r="BXL74" s="684"/>
      <c r="BXM74" s="684"/>
      <c r="BXN74" s="684"/>
      <c r="BXO74" s="684"/>
      <c r="BXP74" s="684"/>
      <c r="BXQ74" s="684"/>
      <c r="BXR74" s="684"/>
      <c r="BXS74" s="684"/>
      <c r="BXT74" s="684"/>
      <c r="BXU74" s="684"/>
      <c r="BXV74" s="684"/>
      <c r="BXW74" s="684"/>
      <c r="BXX74" s="684"/>
      <c r="BXY74" s="684"/>
      <c r="BXZ74" s="684"/>
      <c r="BYA74" s="684"/>
      <c r="BYB74" s="684"/>
      <c r="BYC74" s="684"/>
      <c r="BYD74" s="684"/>
      <c r="BYE74" s="684"/>
      <c r="BYF74" s="684"/>
      <c r="BYG74" s="684"/>
      <c r="BYH74" s="684"/>
      <c r="BYI74" s="684"/>
      <c r="BYJ74" s="684"/>
      <c r="BYK74" s="684"/>
      <c r="BYL74" s="684"/>
      <c r="BYM74" s="684"/>
      <c r="BYN74" s="684"/>
      <c r="BYO74" s="684"/>
      <c r="BYP74" s="684"/>
      <c r="BYQ74" s="684"/>
      <c r="BYR74" s="684"/>
      <c r="BYS74" s="684"/>
      <c r="BYT74" s="684"/>
      <c r="BYU74" s="684"/>
      <c r="BYV74" s="684"/>
      <c r="BYW74" s="684"/>
      <c r="BYX74" s="684"/>
      <c r="BYY74" s="684"/>
      <c r="BYZ74" s="684"/>
      <c r="BZA74" s="684"/>
      <c r="BZB74" s="684"/>
      <c r="BZC74" s="684"/>
      <c r="BZD74" s="684"/>
      <c r="BZE74" s="684"/>
      <c r="BZF74" s="684"/>
      <c r="BZG74" s="684"/>
      <c r="BZH74" s="684"/>
      <c r="BZI74" s="684"/>
      <c r="BZJ74" s="684"/>
      <c r="BZK74" s="684"/>
      <c r="BZL74" s="684"/>
      <c r="BZM74" s="684"/>
      <c r="BZN74" s="684"/>
      <c r="BZO74" s="684"/>
      <c r="BZP74" s="684"/>
      <c r="BZQ74" s="684"/>
      <c r="BZR74" s="684"/>
      <c r="BZS74" s="684"/>
      <c r="BZT74" s="684"/>
      <c r="BZU74" s="684"/>
      <c r="BZV74" s="684"/>
      <c r="BZW74" s="684"/>
      <c r="BZX74" s="684"/>
      <c r="BZY74" s="684"/>
      <c r="BZZ74" s="684"/>
      <c r="CAA74" s="684"/>
      <c r="CAB74" s="684"/>
      <c r="CAC74" s="684"/>
      <c r="CAD74" s="684"/>
      <c r="CAE74" s="684"/>
      <c r="CAF74" s="684"/>
      <c r="CAG74" s="684"/>
      <c r="CAH74" s="684"/>
      <c r="CAI74" s="684"/>
      <c r="CAJ74" s="684"/>
      <c r="CAK74" s="684"/>
      <c r="CAL74" s="684"/>
      <c r="CAM74" s="684"/>
      <c r="CAN74" s="684"/>
      <c r="CAO74" s="684"/>
      <c r="CAP74" s="684"/>
      <c r="CAQ74" s="684"/>
      <c r="CAR74" s="684"/>
      <c r="CAS74" s="684"/>
      <c r="CAT74" s="684"/>
      <c r="CAU74" s="684"/>
      <c r="CAV74" s="684"/>
      <c r="CAW74" s="684"/>
      <c r="CAX74" s="684"/>
      <c r="CAY74" s="684"/>
      <c r="CAZ74" s="684"/>
      <c r="CBA74" s="684"/>
      <c r="CBB74" s="684"/>
      <c r="CBC74" s="684"/>
      <c r="CBD74" s="684"/>
      <c r="CBE74" s="684"/>
      <c r="CBF74" s="684"/>
      <c r="CBG74" s="684"/>
      <c r="CBH74" s="684"/>
      <c r="CBI74" s="684"/>
      <c r="CBJ74" s="684"/>
      <c r="CBK74" s="684"/>
      <c r="CBL74" s="684"/>
      <c r="CBM74" s="684"/>
      <c r="CBN74" s="684"/>
      <c r="CBO74" s="684"/>
      <c r="CBP74" s="684"/>
      <c r="CBQ74" s="684"/>
      <c r="CBR74" s="684"/>
      <c r="CBS74" s="684"/>
      <c r="CBT74" s="684"/>
      <c r="CBU74" s="684"/>
      <c r="CBV74" s="684"/>
      <c r="CBW74" s="684"/>
      <c r="CBX74" s="684"/>
      <c r="CBY74" s="684"/>
      <c r="CBZ74" s="684"/>
      <c r="CCA74" s="684"/>
      <c r="CCB74" s="684"/>
      <c r="CCC74" s="684"/>
      <c r="CCD74" s="684"/>
      <c r="CCE74" s="684"/>
      <c r="CCF74" s="684"/>
      <c r="CCG74" s="684"/>
      <c r="CCH74" s="684"/>
      <c r="CCI74" s="684"/>
      <c r="CCJ74" s="684"/>
      <c r="CCK74" s="684"/>
      <c r="CCL74" s="684"/>
      <c r="CCM74" s="684"/>
      <c r="CCN74" s="684"/>
      <c r="CCO74" s="684"/>
      <c r="CCP74" s="684"/>
      <c r="CCQ74" s="684"/>
      <c r="CCR74" s="684"/>
      <c r="CCS74" s="684"/>
      <c r="CCT74" s="684"/>
      <c r="CCU74" s="684"/>
      <c r="CCV74" s="684"/>
      <c r="CCW74" s="684"/>
      <c r="CCX74" s="684"/>
      <c r="CCY74" s="684"/>
      <c r="CCZ74" s="684"/>
      <c r="CDA74" s="684"/>
      <c r="CDB74" s="684"/>
      <c r="CDC74" s="684"/>
      <c r="CDD74" s="684"/>
      <c r="CDE74" s="684"/>
      <c r="CDF74" s="684"/>
      <c r="CDG74" s="684"/>
      <c r="CDH74" s="684"/>
      <c r="CDI74" s="684"/>
      <c r="CDJ74" s="684"/>
      <c r="CDK74" s="684"/>
      <c r="CDL74" s="684"/>
      <c r="CDM74" s="684"/>
      <c r="CDN74" s="684"/>
      <c r="CDO74" s="684"/>
      <c r="CDP74" s="684"/>
      <c r="CDQ74" s="684"/>
      <c r="CDR74" s="684"/>
      <c r="CDS74" s="684"/>
      <c r="CDT74" s="684"/>
      <c r="CDU74" s="684"/>
      <c r="CDV74" s="684"/>
      <c r="CDW74" s="684"/>
      <c r="CDX74" s="684"/>
      <c r="CDY74" s="684"/>
      <c r="CDZ74" s="684"/>
      <c r="CEA74" s="684"/>
      <c r="CEB74" s="684"/>
      <c r="CEC74" s="684"/>
      <c r="CED74" s="684"/>
      <c r="CEE74" s="684"/>
      <c r="CEF74" s="684"/>
      <c r="CEG74" s="684"/>
      <c r="CEH74" s="684"/>
      <c r="CEI74" s="684"/>
      <c r="CEJ74" s="684"/>
      <c r="CEK74" s="684"/>
      <c r="CEL74" s="684"/>
      <c r="CEM74" s="684"/>
      <c r="CEN74" s="684"/>
      <c r="CEO74" s="684"/>
      <c r="CEP74" s="684"/>
      <c r="CEQ74" s="684"/>
      <c r="CER74" s="684"/>
      <c r="CES74" s="684"/>
      <c r="CET74" s="684"/>
      <c r="CEU74" s="684"/>
      <c r="CEV74" s="684"/>
      <c r="CEW74" s="684"/>
      <c r="CEX74" s="684"/>
      <c r="CEY74" s="684"/>
      <c r="CEZ74" s="684"/>
      <c r="CFA74" s="684"/>
      <c r="CFB74" s="684"/>
      <c r="CFC74" s="684"/>
      <c r="CFD74" s="684"/>
      <c r="CFE74" s="684"/>
      <c r="CFF74" s="684"/>
      <c r="CFG74" s="684"/>
      <c r="CFH74" s="684"/>
      <c r="CFI74" s="684"/>
      <c r="CFJ74" s="684"/>
      <c r="CFK74" s="684"/>
      <c r="CFL74" s="684"/>
      <c r="CFM74" s="684"/>
      <c r="CFN74" s="684"/>
      <c r="CFO74" s="684"/>
      <c r="CFP74" s="684"/>
      <c r="CFQ74" s="684"/>
      <c r="CFR74" s="684"/>
      <c r="CFS74" s="684"/>
      <c r="CFT74" s="684"/>
      <c r="CFU74" s="684"/>
      <c r="CFV74" s="684"/>
      <c r="CFW74" s="684"/>
      <c r="CFX74" s="684"/>
      <c r="CFY74" s="684"/>
      <c r="CFZ74" s="684"/>
      <c r="CGA74" s="684"/>
      <c r="CGB74" s="684"/>
      <c r="CGC74" s="684"/>
      <c r="CGD74" s="684"/>
      <c r="CGE74" s="684"/>
      <c r="CGF74" s="684"/>
      <c r="CGG74" s="684"/>
      <c r="CGH74" s="684"/>
      <c r="CGI74" s="684"/>
      <c r="CGJ74" s="684"/>
      <c r="CGK74" s="684"/>
      <c r="CGL74" s="684"/>
      <c r="CGM74" s="684"/>
      <c r="CGN74" s="684"/>
      <c r="CGO74" s="684"/>
      <c r="CGP74" s="684"/>
      <c r="CGQ74" s="684"/>
      <c r="CGR74" s="684"/>
      <c r="CGS74" s="684"/>
      <c r="CGT74" s="684"/>
      <c r="CGU74" s="684"/>
      <c r="CGV74" s="684"/>
      <c r="CGW74" s="684"/>
      <c r="CGX74" s="684"/>
      <c r="CGY74" s="684"/>
      <c r="CGZ74" s="684"/>
      <c r="CHA74" s="684"/>
      <c r="CHB74" s="684"/>
      <c r="CHC74" s="684"/>
      <c r="CHD74" s="684"/>
      <c r="CHE74" s="684"/>
      <c r="CHF74" s="684"/>
      <c r="CHG74" s="684"/>
      <c r="CHH74" s="684"/>
      <c r="CHI74" s="684"/>
      <c r="CHJ74" s="684"/>
      <c r="CHK74" s="684"/>
      <c r="CHL74" s="684"/>
      <c r="CHM74" s="684"/>
      <c r="CHN74" s="684"/>
      <c r="CHO74" s="684"/>
      <c r="CHP74" s="684"/>
      <c r="CHQ74" s="684"/>
      <c r="CHR74" s="684"/>
      <c r="CHS74" s="684"/>
      <c r="CHT74" s="684"/>
      <c r="CHU74" s="684"/>
      <c r="CHV74" s="684"/>
      <c r="CHW74" s="684"/>
      <c r="CHX74" s="684"/>
      <c r="CHY74" s="684"/>
      <c r="CHZ74" s="684"/>
      <c r="CIA74" s="684"/>
      <c r="CIB74" s="684"/>
      <c r="CIC74" s="684"/>
      <c r="CID74" s="684"/>
      <c r="CIE74" s="684"/>
      <c r="CIF74" s="684"/>
      <c r="CIG74" s="684"/>
      <c r="CIH74" s="684"/>
      <c r="CII74" s="684"/>
      <c r="CIJ74" s="684"/>
      <c r="CIK74" s="684"/>
      <c r="CIL74" s="684"/>
      <c r="CIM74" s="684"/>
      <c r="CIN74" s="684"/>
      <c r="CIO74" s="684"/>
      <c r="CIP74" s="684"/>
      <c r="CIQ74" s="684"/>
      <c r="CIR74" s="684"/>
      <c r="CIS74" s="684"/>
      <c r="CIT74" s="684"/>
      <c r="CIU74" s="684"/>
      <c r="CIV74" s="684"/>
      <c r="CIW74" s="684"/>
      <c r="CIX74" s="684"/>
      <c r="CIY74" s="684"/>
      <c r="CIZ74" s="684"/>
      <c r="CJA74" s="684"/>
      <c r="CJB74" s="684"/>
      <c r="CJC74" s="684"/>
      <c r="CJD74" s="684"/>
      <c r="CJE74" s="684"/>
      <c r="CJF74" s="684"/>
      <c r="CJG74" s="684"/>
      <c r="CJH74" s="684"/>
      <c r="CJI74" s="684"/>
      <c r="CJJ74" s="684"/>
      <c r="CJK74" s="684"/>
      <c r="CJL74" s="684"/>
      <c r="CJM74" s="684"/>
      <c r="CJN74" s="684"/>
      <c r="CJO74" s="684"/>
      <c r="CJP74" s="684"/>
      <c r="CJQ74" s="684"/>
      <c r="CJR74" s="684"/>
      <c r="CJS74" s="684"/>
      <c r="CJT74" s="684"/>
      <c r="CJU74" s="684"/>
      <c r="CJV74" s="684"/>
      <c r="CJW74" s="684"/>
      <c r="CJX74" s="684"/>
      <c r="CJY74" s="684"/>
      <c r="CJZ74" s="684"/>
      <c r="CKA74" s="684"/>
      <c r="CKB74" s="684"/>
      <c r="CKC74" s="684"/>
      <c r="CKD74" s="684"/>
      <c r="CKE74" s="684"/>
      <c r="CKF74" s="684"/>
      <c r="CKG74" s="684"/>
      <c r="CKH74" s="684"/>
      <c r="CKI74" s="684"/>
      <c r="CKJ74" s="684"/>
      <c r="CKK74" s="684"/>
      <c r="CKL74" s="684"/>
      <c r="CKM74" s="684"/>
      <c r="CKN74" s="684"/>
      <c r="CKO74" s="684"/>
      <c r="CKP74" s="684"/>
      <c r="CKQ74" s="684"/>
      <c r="CKR74" s="684"/>
      <c r="CKS74" s="684"/>
      <c r="CKT74" s="684"/>
      <c r="CKU74" s="684"/>
      <c r="CKV74" s="684"/>
      <c r="CKW74" s="684"/>
      <c r="CKX74" s="684"/>
      <c r="CKY74" s="684"/>
      <c r="CKZ74" s="684"/>
      <c r="CLA74" s="684"/>
      <c r="CLB74" s="684"/>
      <c r="CLC74" s="684"/>
      <c r="CLD74" s="684"/>
      <c r="CLE74" s="684"/>
      <c r="CLF74" s="684"/>
      <c r="CLG74" s="684"/>
      <c r="CLH74" s="684"/>
      <c r="CLI74" s="684"/>
      <c r="CLJ74" s="684"/>
      <c r="CLK74" s="684"/>
      <c r="CLL74" s="684"/>
      <c r="CLM74" s="684"/>
      <c r="CLN74" s="684"/>
      <c r="CLO74" s="684"/>
      <c r="CLP74" s="684"/>
      <c r="CLQ74" s="684"/>
      <c r="CLR74" s="684"/>
      <c r="CLS74" s="684"/>
      <c r="CLT74" s="684"/>
      <c r="CLU74" s="684"/>
      <c r="CLV74" s="684"/>
      <c r="CLW74" s="684"/>
      <c r="CLX74" s="684"/>
      <c r="CLY74" s="684"/>
      <c r="CLZ74" s="684"/>
      <c r="CMA74" s="684"/>
      <c r="CMB74" s="684"/>
      <c r="CMC74" s="684"/>
      <c r="CMD74" s="684"/>
      <c r="CME74" s="684"/>
      <c r="CMF74" s="684"/>
      <c r="CMG74" s="684"/>
      <c r="CMH74" s="684"/>
      <c r="CMI74" s="684"/>
      <c r="CMJ74" s="684"/>
      <c r="CMK74" s="684"/>
      <c r="CML74" s="684"/>
      <c r="CMM74" s="684"/>
      <c r="CMN74" s="684"/>
      <c r="CMO74" s="684"/>
      <c r="CMP74" s="684"/>
      <c r="CMQ74" s="684"/>
      <c r="CMR74" s="684"/>
      <c r="CMS74" s="684"/>
      <c r="CMT74" s="684"/>
      <c r="CMU74" s="684"/>
      <c r="CMV74" s="684"/>
      <c r="CMW74" s="684"/>
      <c r="CMX74" s="684"/>
      <c r="CMY74" s="684"/>
      <c r="CMZ74" s="684"/>
      <c r="CNA74" s="684"/>
      <c r="CNB74" s="684"/>
      <c r="CNC74" s="684"/>
      <c r="CND74" s="684"/>
      <c r="CNE74" s="684"/>
      <c r="CNF74" s="684"/>
      <c r="CNG74" s="684"/>
      <c r="CNH74" s="684"/>
      <c r="CNI74" s="684"/>
      <c r="CNJ74" s="684"/>
      <c r="CNK74" s="684"/>
      <c r="CNL74" s="684"/>
      <c r="CNM74" s="684"/>
      <c r="CNN74" s="684"/>
      <c r="CNO74" s="684"/>
      <c r="CNP74" s="684"/>
      <c r="CNQ74" s="684"/>
      <c r="CNR74" s="684"/>
      <c r="CNS74" s="684"/>
      <c r="CNT74" s="684"/>
      <c r="CNU74" s="684"/>
      <c r="CNV74" s="684"/>
      <c r="CNW74" s="684"/>
      <c r="CNX74" s="684"/>
      <c r="CNY74" s="684"/>
      <c r="CNZ74" s="684"/>
      <c r="COA74" s="684"/>
      <c r="COB74" s="684"/>
      <c r="COC74" s="684"/>
      <c r="COD74" s="684"/>
      <c r="COE74" s="684"/>
      <c r="COF74" s="684"/>
      <c r="COG74" s="684"/>
      <c r="COH74" s="684"/>
      <c r="COI74" s="684"/>
      <c r="COJ74" s="684"/>
      <c r="COK74" s="684"/>
      <c r="COL74" s="684"/>
      <c r="COM74" s="684"/>
      <c r="CON74" s="684"/>
      <c r="COO74" s="684"/>
      <c r="COP74" s="684"/>
      <c r="COQ74" s="684"/>
      <c r="COR74" s="684"/>
      <c r="COS74" s="684"/>
      <c r="COT74" s="684"/>
      <c r="COU74" s="684"/>
      <c r="COV74" s="684"/>
      <c r="COW74" s="684"/>
      <c r="COX74" s="684"/>
      <c r="COY74" s="684"/>
      <c r="COZ74" s="684"/>
      <c r="CPA74" s="684"/>
      <c r="CPB74" s="684"/>
      <c r="CPC74" s="684"/>
      <c r="CPD74" s="684"/>
      <c r="CPE74" s="684"/>
      <c r="CPF74" s="684"/>
      <c r="CPG74" s="684"/>
      <c r="CPH74" s="684"/>
      <c r="CPI74" s="684"/>
      <c r="CPJ74" s="684"/>
      <c r="CPK74" s="684"/>
      <c r="CPL74" s="684"/>
      <c r="CPM74" s="684"/>
      <c r="CPN74" s="684"/>
      <c r="CPO74" s="684"/>
      <c r="CPP74" s="684"/>
      <c r="CPQ74" s="684"/>
      <c r="CPR74" s="684"/>
      <c r="CPS74" s="684"/>
      <c r="CPT74" s="684"/>
      <c r="CPU74" s="684"/>
      <c r="CPV74" s="684"/>
      <c r="CPW74" s="684"/>
      <c r="CPX74" s="684"/>
      <c r="CPY74" s="684"/>
      <c r="CPZ74" s="684"/>
      <c r="CQA74" s="684"/>
      <c r="CQB74" s="684"/>
      <c r="CQC74" s="684"/>
      <c r="CQD74" s="684"/>
      <c r="CQE74" s="684"/>
      <c r="CQF74" s="684"/>
      <c r="CQG74" s="684"/>
      <c r="CQH74" s="684"/>
      <c r="CQI74" s="684"/>
      <c r="CQJ74" s="684"/>
      <c r="CQK74" s="684"/>
      <c r="CQL74" s="684"/>
      <c r="CQM74" s="684"/>
      <c r="CQN74" s="684"/>
      <c r="CQO74" s="684"/>
      <c r="CQP74" s="684"/>
      <c r="CQQ74" s="684"/>
      <c r="CQR74" s="684"/>
      <c r="CQS74" s="684"/>
      <c r="CQT74" s="684"/>
      <c r="CQU74" s="684"/>
      <c r="CQV74" s="684"/>
      <c r="CQW74" s="684"/>
      <c r="CQX74" s="684"/>
      <c r="CQY74" s="684"/>
      <c r="CQZ74" s="684"/>
      <c r="CRA74" s="684"/>
      <c r="CRB74" s="684"/>
      <c r="CRC74" s="684"/>
      <c r="CRD74" s="684"/>
      <c r="CRE74" s="684"/>
      <c r="CRF74" s="684"/>
      <c r="CRG74" s="684"/>
      <c r="CRH74" s="684"/>
      <c r="CRI74" s="684"/>
      <c r="CRJ74" s="684"/>
      <c r="CRK74" s="684"/>
      <c r="CRL74" s="684"/>
      <c r="CRM74" s="684"/>
      <c r="CRN74" s="684"/>
      <c r="CRO74" s="684"/>
      <c r="CRP74" s="684"/>
      <c r="CRQ74" s="684"/>
      <c r="CRR74" s="684"/>
      <c r="CRS74" s="684"/>
      <c r="CRT74" s="684"/>
      <c r="CRU74" s="684"/>
      <c r="CRV74" s="684"/>
      <c r="CRW74" s="684"/>
      <c r="CRX74" s="684"/>
      <c r="CRY74" s="684"/>
      <c r="CRZ74" s="684"/>
      <c r="CSA74" s="684"/>
      <c r="CSB74" s="684"/>
      <c r="CSC74" s="684"/>
      <c r="CSD74" s="684"/>
      <c r="CSE74" s="684"/>
      <c r="CSF74" s="684"/>
      <c r="CSG74" s="684"/>
      <c r="CSH74" s="684"/>
      <c r="CSI74" s="684"/>
      <c r="CSJ74" s="684"/>
      <c r="CSK74" s="684"/>
      <c r="CSL74" s="684"/>
      <c r="CSM74" s="684"/>
      <c r="CSN74" s="684"/>
      <c r="CSO74" s="684"/>
      <c r="CSP74" s="684"/>
      <c r="CSQ74" s="684"/>
      <c r="CSR74" s="684"/>
      <c r="CSS74" s="684"/>
      <c r="CST74" s="684"/>
      <c r="CSU74" s="684"/>
      <c r="CSV74" s="684"/>
      <c r="CSW74" s="684"/>
      <c r="CSX74" s="684"/>
      <c r="CSY74" s="684"/>
      <c r="CSZ74" s="684"/>
      <c r="CTA74" s="684"/>
      <c r="CTB74" s="684"/>
      <c r="CTC74" s="684"/>
      <c r="CTD74" s="684"/>
      <c r="CTE74" s="684"/>
      <c r="CTF74" s="684"/>
      <c r="CTG74" s="684"/>
      <c r="CTH74" s="684"/>
      <c r="CTI74" s="684"/>
      <c r="CTJ74" s="684"/>
      <c r="CTK74" s="684"/>
      <c r="CTL74" s="684"/>
      <c r="CTM74" s="684"/>
      <c r="CTN74" s="684"/>
      <c r="CTO74" s="684"/>
      <c r="CTP74" s="684"/>
      <c r="CTQ74" s="684"/>
      <c r="CTR74" s="684"/>
      <c r="CTS74" s="684"/>
      <c r="CTT74" s="684"/>
      <c r="CTU74" s="684"/>
      <c r="CTV74" s="684"/>
      <c r="CTW74" s="684"/>
      <c r="CTX74" s="684"/>
      <c r="CTY74" s="684"/>
      <c r="CTZ74" s="684"/>
      <c r="CUA74" s="684"/>
      <c r="CUB74" s="684"/>
      <c r="CUC74" s="684"/>
      <c r="CUD74" s="684"/>
      <c r="CUE74" s="684"/>
      <c r="CUF74" s="684"/>
      <c r="CUG74" s="684"/>
      <c r="CUH74" s="684"/>
      <c r="CUI74" s="684"/>
      <c r="CUJ74" s="684"/>
      <c r="CUK74" s="684"/>
      <c r="CUL74" s="684"/>
      <c r="CUM74" s="684"/>
      <c r="CUN74" s="684"/>
      <c r="CUO74" s="684"/>
      <c r="CUP74" s="684"/>
      <c r="CUQ74" s="684"/>
      <c r="CUR74" s="684"/>
      <c r="CUS74" s="684"/>
      <c r="CUT74" s="684"/>
      <c r="CUU74" s="684"/>
      <c r="CUV74" s="684"/>
      <c r="CUW74" s="684"/>
      <c r="CUX74" s="684"/>
      <c r="CUY74" s="684"/>
      <c r="CUZ74" s="684"/>
      <c r="CVA74" s="684"/>
      <c r="CVB74" s="684"/>
      <c r="CVC74" s="684"/>
      <c r="CVD74" s="684"/>
      <c r="CVE74" s="684"/>
      <c r="CVF74" s="684"/>
      <c r="CVG74" s="684"/>
      <c r="CVH74" s="684"/>
      <c r="CVI74" s="684"/>
      <c r="CVJ74" s="684"/>
      <c r="CVK74" s="684"/>
      <c r="CVL74" s="684"/>
      <c r="CVM74" s="684"/>
      <c r="CVN74" s="684"/>
      <c r="CVO74" s="684"/>
      <c r="CVP74" s="684"/>
      <c r="CVQ74" s="684"/>
      <c r="CVR74" s="684"/>
      <c r="CVS74" s="684"/>
      <c r="CVT74" s="684"/>
      <c r="CVU74" s="684"/>
      <c r="CVV74" s="684"/>
      <c r="CVW74" s="684"/>
      <c r="CVX74" s="684"/>
      <c r="CVY74" s="684"/>
      <c r="CVZ74" s="684"/>
      <c r="CWA74" s="684"/>
      <c r="CWB74" s="684"/>
      <c r="CWC74" s="684"/>
      <c r="CWD74" s="684"/>
      <c r="CWE74" s="684"/>
      <c r="CWF74" s="684"/>
      <c r="CWG74" s="684"/>
      <c r="CWH74" s="684"/>
      <c r="CWI74" s="684"/>
      <c r="CWJ74" s="684"/>
      <c r="CWK74" s="684"/>
      <c r="CWL74" s="684"/>
      <c r="CWM74" s="684"/>
      <c r="CWN74" s="684"/>
      <c r="CWO74" s="684"/>
      <c r="CWP74" s="684"/>
      <c r="CWQ74" s="684"/>
      <c r="CWR74" s="684"/>
      <c r="CWS74" s="684"/>
      <c r="CWT74" s="684"/>
      <c r="CWU74" s="684"/>
      <c r="CWV74" s="684"/>
      <c r="CWW74" s="684"/>
      <c r="CWX74" s="684"/>
      <c r="CWY74" s="684"/>
      <c r="CWZ74" s="684"/>
      <c r="CXA74" s="684"/>
      <c r="CXB74" s="684"/>
      <c r="CXC74" s="684"/>
      <c r="CXD74" s="684"/>
      <c r="CXE74" s="684"/>
      <c r="CXF74" s="684"/>
      <c r="CXG74" s="684"/>
      <c r="CXH74" s="684"/>
      <c r="CXI74" s="684"/>
      <c r="CXJ74" s="684"/>
      <c r="CXK74" s="684"/>
      <c r="CXL74" s="684"/>
      <c r="CXM74" s="684"/>
      <c r="CXN74" s="684"/>
      <c r="CXO74" s="684"/>
      <c r="CXP74" s="684"/>
      <c r="CXQ74" s="684"/>
      <c r="CXR74" s="684"/>
      <c r="CXS74" s="684"/>
      <c r="CXT74" s="684"/>
      <c r="CXU74" s="684"/>
      <c r="CXV74" s="684"/>
      <c r="CXW74" s="684"/>
      <c r="CXX74" s="684"/>
      <c r="CXY74" s="684"/>
      <c r="CXZ74" s="684"/>
      <c r="CYA74" s="684"/>
      <c r="CYB74" s="684"/>
      <c r="CYC74" s="684"/>
      <c r="CYD74" s="684"/>
      <c r="CYE74" s="684"/>
      <c r="CYF74" s="684"/>
      <c r="CYG74" s="684"/>
      <c r="CYH74" s="684"/>
      <c r="CYI74" s="684"/>
      <c r="CYJ74" s="684"/>
      <c r="CYK74" s="684"/>
      <c r="CYL74" s="684"/>
      <c r="CYM74" s="684"/>
      <c r="CYN74" s="684"/>
      <c r="CYO74" s="684"/>
      <c r="CYP74" s="684"/>
      <c r="CYQ74" s="684"/>
      <c r="CYR74" s="684"/>
      <c r="CYS74" s="684"/>
      <c r="CYT74" s="684"/>
      <c r="CYU74" s="684"/>
      <c r="CYV74" s="684"/>
      <c r="CYW74" s="684"/>
      <c r="CYX74" s="684"/>
      <c r="CYY74" s="684"/>
      <c r="CYZ74" s="684"/>
      <c r="CZA74" s="684"/>
      <c r="CZB74" s="684"/>
      <c r="CZC74" s="684"/>
      <c r="CZD74" s="684"/>
      <c r="CZE74" s="684"/>
      <c r="CZF74" s="684"/>
      <c r="CZG74" s="684"/>
      <c r="CZH74" s="684"/>
      <c r="CZI74" s="684"/>
      <c r="CZJ74" s="684"/>
      <c r="CZK74" s="684"/>
      <c r="CZL74" s="684"/>
      <c r="CZM74" s="684"/>
      <c r="CZN74" s="684"/>
      <c r="CZO74" s="684"/>
      <c r="CZP74" s="684"/>
      <c r="CZQ74" s="684"/>
      <c r="CZR74" s="684"/>
      <c r="CZS74" s="684"/>
      <c r="CZT74" s="684"/>
      <c r="CZU74" s="684"/>
      <c r="CZV74" s="684"/>
      <c r="CZW74" s="684"/>
      <c r="CZX74" s="684"/>
      <c r="CZY74" s="684"/>
      <c r="CZZ74" s="684"/>
      <c r="DAA74" s="684"/>
      <c r="DAB74" s="684"/>
      <c r="DAC74" s="684"/>
      <c r="DAD74" s="684"/>
      <c r="DAE74" s="684"/>
      <c r="DAF74" s="684"/>
      <c r="DAG74" s="684"/>
      <c r="DAH74" s="684"/>
      <c r="DAI74" s="684"/>
      <c r="DAJ74" s="684"/>
      <c r="DAK74" s="684"/>
      <c r="DAL74" s="684"/>
      <c r="DAM74" s="684"/>
      <c r="DAN74" s="684"/>
      <c r="DAO74" s="684"/>
      <c r="DAP74" s="684"/>
      <c r="DAQ74" s="684"/>
      <c r="DAR74" s="684"/>
      <c r="DAS74" s="684"/>
      <c r="DAT74" s="684"/>
      <c r="DAU74" s="684"/>
      <c r="DAV74" s="684"/>
      <c r="DAW74" s="684"/>
      <c r="DAX74" s="684"/>
      <c r="DAY74" s="684"/>
      <c r="DAZ74" s="684"/>
      <c r="DBA74" s="684"/>
      <c r="DBB74" s="684"/>
      <c r="DBC74" s="684"/>
      <c r="DBD74" s="684"/>
      <c r="DBE74" s="684"/>
      <c r="DBF74" s="684"/>
      <c r="DBG74" s="684"/>
      <c r="DBH74" s="684"/>
      <c r="DBI74" s="684"/>
      <c r="DBJ74" s="684"/>
      <c r="DBK74" s="684"/>
      <c r="DBL74" s="684"/>
      <c r="DBM74" s="684"/>
      <c r="DBN74" s="684"/>
      <c r="DBO74" s="684"/>
      <c r="DBP74" s="684"/>
      <c r="DBQ74" s="684"/>
      <c r="DBR74" s="684"/>
      <c r="DBS74" s="684"/>
      <c r="DBT74" s="684"/>
      <c r="DBU74" s="684"/>
      <c r="DBV74" s="684"/>
      <c r="DBW74" s="684"/>
      <c r="DBX74" s="684"/>
      <c r="DBY74" s="684"/>
      <c r="DBZ74" s="684"/>
      <c r="DCA74" s="684"/>
      <c r="DCB74" s="684"/>
      <c r="DCC74" s="684"/>
      <c r="DCD74" s="684"/>
      <c r="DCE74" s="684"/>
      <c r="DCF74" s="684"/>
      <c r="DCG74" s="684"/>
      <c r="DCH74" s="684"/>
      <c r="DCI74" s="684"/>
      <c r="DCJ74" s="684"/>
      <c r="DCK74" s="684"/>
      <c r="DCL74" s="684"/>
      <c r="DCM74" s="684"/>
      <c r="DCN74" s="684"/>
      <c r="DCO74" s="684"/>
      <c r="DCP74" s="684"/>
      <c r="DCQ74" s="684"/>
      <c r="DCR74" s="684"/>
      <c r="DCS74" s="684"/>
      <c r="DCT74" s="684"/>
      <c r="DCU74" s="684"/>
      <c r="DCV74" s="684"/>
      <c r="DCW74" s="684"/>
      <c r="DCX74" s="684"/>
      <c r="DCY74" s="684"/>
      <c r="DCZ74" s="684"/>
      <c r="DDA74" s="684"/>
      <c r="DDB74" s="684"/>
      <c r="DDC74" s="684"/>
      <c r="DDD74" s="684"/>
      <c r="DDE74" s="684"/>
      <c r="DDF74" s="684"/>
      <c r="DDG74" s="684"/>
      <c r="DDH74" s="684"/>
      <c r="DDI74" s="684"/>
      <c r="DDJ74" s="684"/>
      <c r="DDK74" s="684"/>
      <c r="DDL74" s="684"/>
      <c r="DDM74" s="684"/>
      <c r="DDN74" s="684"/>
      <c r="DDO74" s="684"/>
      <c r="DDP74" s="684"/>
      <c r="DDQ74" s="684"/>
      <c r="DDR74" s="684"/>
      <c r="DDS74" s="684"/>
      <c r="DDT74" s="684"/>
      <c r="DDU74" s="684"/>
      <c r="DDV74" s="684"/>
      <c r="DDW74" s="684"/>
      <c r="DDX74" s="684"/>
      <c r="DDY74" s="684"/>
      <c r="DDZ74" s="684"/>
      <c r="DEA74" s="684"/>
      <c r="DEB74" s="684"/>
      <c r="DEC74" s="684"/>
      <c r="DED74" s="684"/>
      <c r="DEE74" s="684"/>
      <c r="DEF74" s="684"/>
      <c r="DEG74" s="684"/>
      <c r="DEH74" s="684"/>
      <c r="DEI74" s="684"/>
      <c r="DEJ74" s="684"/>
      <c r="DEK74" s="684"/>
      <c r="DEL74" s="684"/>
      <c r="DEM74" s="684"/>
      <c r="DEN74" s="684"/>
      <c r="DEO74" s="684"/>
      <c r="DEP74" s="684"/>
      <c r="DEQ74" s="684"/>
      <c r="DER74" s="684"/>
      <c r="DES74" s="684"/>
      <c r="DET74" s="684"/>
      <c r="DEU74" s="684"/>
      <c r="DEV74" s="684"/>
      <c r="DEW74" s="684"/>
      <c r="DEX74" s="684"/>
      <c r="DEY74" s="684"/>
      <c r="DEZ74" s="684"/>
      <c r="DFA74" s="684"/>
      <c r="DFB74" s="684"/>
      <c r="DFC74" s="684"/>
      <c r="DFD74" s="684"/>
      <c r="DFE74" s="684"/>
      <c r="DFF74" s="684"/>
      <c r="DFG74" s="684"/>
      <c r="DFH74" s="684"/>
      <c r="DFI74" s="684"/>
      <c r="DFJ74" s="684"/>
      <c r="DFK74" s="684"/>
      <c r="DFL74" s="684"/>
      <c r="DFM74" s="684"/>
      <c r="DFN74" s="684"/>
      <c r="DFO74" s="684"/>
      <c r="DFP74" s="684"/>
      <c r="DFQ74" s="684"/>
      <c r="DFR74" s="684"/>
      <c r="DFS74" s="684"/>
      <c r="DFT74" s="684"/>
      <c r="DFU74" s="684"/>
      <c r="DFV74" s="684"/>
      <c r="DFW74" s="684"/>
      <c r="DFX74" s="684"/>
      <c r="DFY74" s="684"/>
      <c r="DFZ74" s="684"/>
      <c r="DGA74" s="684"/>
      <c r="DGB74" s="684"/>
      <c r="DGC74" s="684"/>
      <c r="DGD74" s="684"/>
      <c r="DGE74" s="684"/>
      <c r="DGF74" s="684"/>
      <c r="DGG74" s="684"/>
      <c r="DGH74" s="684"/>
      <c r="DGI74" s="684"/>
      <c r="DGJ74" s="684"/>
      <c r="DGK74" s="684"/>
      <c r="DGL74" s="684"/>
      <c r="DGM74" s="684"/>
      <c r="DGN74" s="684"/>
      <c r="DGO74" s="684"/>
      <c r="DGP74" s="684"/>
      <c r="DGQ74" s="684"/>
      <c r="DGR74" s="684"/>
      <c r="DGS74" s="684"/>
      <c r="DGT74" s="684"/>
      <c r="DGU74" s="684"/>
      <c r="DGV74" s="684"/>
      <c r="DGW74" s="684"/>
      <c r="DGX74" s="684"/>
      <c r="DGY74" s="684"/>
      <c r="DGZ74" s="684"/>
      <c r="DHA74" s="684"/>
      <c r="DHB74" s="684"/>
      <c r="DHC74" s="684"/>
      <c r="DHD74" s="684"/>
      <c r="DHE74" s="684"/>
      <c r="DHF74" s="684"/>
      <c r="DHG74" s="684"/>
      <c r="DHH74" s="684"/>
      <c r="DHI74" s="684"/>
      <c r="DHJ74" s="684"/>
      <c r="DHK74" s="684"/>
      <c r="DHL74" s="684"/>
      <c r="DHM74" s="684"/>
      <c r="DHN74" s="684"/>
      <c r="DHO74" s="684"/>
      <c r="DHP74" s="684"/>
      <c r="DHQ74" s="684"/>
      <c r="DHR74" s="684"/>
      <c r="DHS74" s="684"/>
      <c r="DHT74" s="684"/>
      <c r="DHU74" s="684"/>
      <c r="DHV74" s="684"/>
      <c r="DHW74" s="684"/>
      <c r="DHX74" s="684"/>
      <c r="DHY74" s="684"/>
      <c r="DHZ74" s="684"/>
      <c r="DIA74" s="684"/>
      <c r="DIB74" s="684"/>
      <c r="DIC74" s="684"/>
      <c r="DID74" s="684"/>
      <c r="DIE74" s="684"/>
      <c r="DIF74" s="684"/>
      <c r="DIG74" s="684"/>
      <c r="DIH74" s="684"/>
      <c r="DII74" s="684"/>
      <c r="DIJ74" s="684"/>
      <c r="DIK74" s="684"/>
      <c r="DIL74" s="684"/>
      <c r="DIM74" s="684"/>
      <c r="DIN74" s="684"/>
      <c r="DIO74" s="684"/>
      <c r="DIP74" s="684"/>
      <c r="DIQ74" s="684"/>
      <c r="DIR74" s="684"/>
      <c r="DIS74" s="684"/>
      <c r="DIT74" s="684"/>
      <c r="DIU74" s="684"/>
      <c r="DIV74" s="684"/>
      <c r="DIW74" s="684"/>
      <c r="DIX74" s="684"/>
      <c r="DIY74" s="684"/>
      <c r="DIZ74" s="684"/>
      <c r="DJA74" s="684"/>
      <c r="DJB74" s="684"/>
      <c r="DJC74" s="684"/>
      <c r="DJD74" s="684"/>
      <c r="DJE74" s="684"/>
      <c r="DJF74" s="684"/>
      <c r="DJG74" s="684"/>
      <c r="DJH74" s="684"/>
      <c r="DJI74" s="684"/>
      <c r="DJJ74" s="684"/>
      <c r="DJK74" s="684"/>
      <c r="DJL74" s="684"/>
      <c r="DJM74" s="684"/>
      <c r="DJN74" s="684"/>
      <c r="DJO74" s="684"/>
      <c r="DJP74" s="684"/>
      <c r="DJQ74" s="684"/>
      <c r="DJR74" s="684"/>
      <c r="DJS74" s="684"/>
      <c r="DJT74" s="684"/>
      <c r="DJU74" s="684"/>
      <c r="DJV74" s="684"/>
      <c r="DJW74" s="684"/>
      <c r="DJX74" s="684"/>
      <c r="DJY74" s="684"/>
      <c r="DJZ74" s="684"/>
      <c r="DKA74" s="684"/>
      <c r="DKB74" s="684"/>
      <c r="DKC74" s="684"/>
      <c r="DKD74" s="684"/>
      <c r="DKE74" s="684"/>
      <c r="DKF74" s="684"/>
      <c r="DKG74" s="684"/>
      <c r="DKH74" s="684"/>
      <c r="DKI74" s="684"/>
      <c r="DKJ74" s="684"/>
      <c r="DKK74" s="684"/>
      <c r="DKL74" s="684"/>
      <c r="DKM74" s="684"/>
      <c r="DKN74" s="684"/>
      <c r="DKO74" s="684"/>
      <c r="DKP74" s="684"/>
      <c r="DKQ74" s="684"/>
      <c r="DKR74" s="684"/>
      <c r="DKS74" s="684"/>
      <c r="DKT74" s="684"/>
      <c r="DKU74" s="684"/>
      <c r="DKV74" s="684"/>
      <c r="DKW74" s="684"/>
      <c r="DKX74" s="684"/>
      <c r="DKY74" s="684"/>
      <c r="DKZ74" s="684"/>
      <c r="DLA74" s="684"/>
      <c r="DLB74" s="684"/>
      <c r="DLC74" s="684"/>
      <c r="DLD74" s="684"/>
      <c r="DLE74" s="684"/>
      <c r="DLF74" s="684"/>
      <c r="DLG74" s="684"/>
      <c r="DLH74" s="684"/>
      <c r="DLI74" s="684"/>
      <c r="DLJ74" s="684"/>
      <c r="DLK74" s="684"/>
      <c r="DLL74" s="684"/>
      <c r="DLM74" s="684"/>
      <c r="DLN74" s="684"/>
      <c r="DLO74" s="684"/>
      <c r="DLP74" s="684"/>
      <c r="DLQ74" s="684"/>
      <c r="DLR74" s="684"/>
      <c r="DLS74" s="684"/>
      <c r="DLT74" s="684"/>
      <c r="DLU74" s="684"/>
      <c r="DLV74" s="684"/>
      <c r="DLW74" s="684"/>
      <c r="DLX74" s="684"/>
      <c r="DLY74" s="684"/>
      <c r="DLZ74" s="684"/>
      <c r="DMA74" s="684"/>
      <c r="DMB74" s="684"/>
      <c r="DMC74" s="684"/>
      <c r="DMD74" s="684"/>
      <c r="DME74" s="684"/>
      <c r="DMF74" s="684"/>
      <c r="DMG74" s="684"/>
      <c r="DMH74" s="684"/>
      <c r="DMI74" s="684"/>
      <c r="DMJ74" s="684"/>
      <c r="DMK74" s="684"/>
      <c r="DML74" s="684"/>
      <c r="DMM74" s="684"/>
      <c r="DMN74" s="684"/>
      <c r="DMO74" s="684"/>
      <c r="DMP74" s="684"/>
      <c r="DMQ74" s="684"/>
      <c r="DMR74" s="684"/>
      <c r="DMS74" s="684"/>
      <c r="DMT74" s="684"/>
      <c r="DMU74" s="684"/>
      <c r="DMV74" s="684"/>
      <c r="DMW74" s="684"/>
      <c r="DMX74" s="684"/>
      <c r="DMY74" s="684"/>
      <c r="DMZ74" s="684"/>
      <c r="DNA74" s="684"/>
      <c r="DNB74" s="684"/>
      <c r="DNC74" s="684"/>
      <c r="DND74" s="684"/>
      <c r="DNE74" s="684"/>
      <c r="DNF74" s="684"/>
      <c r="DNG74" s="684"/>
      <c r="DNH74" s="684"/>
      <c r="DNI74" s="684"/>
      <c r="DNJ74" s="684"/>
      <c r="DNK74" s="684"/>
      <c r="DNL74" s="684"/>
      <c r="DNM74" s="684"/>
      <c r="DNN74" s="684"/>
      <c r="DNO74" s="684"/>
      <c r="DNP74" s="684"/>
      <c r="DNQ74" s="684"/>
      <c r="DNR74" s="684"/>
      <c r="DNS74" s="684"/>
      <c r="DNT74" s="684"/>
      <c r="DNU74" s="684"/>
      <c r="DNV74" s="684"/>
      <c r="DNW74" s="684"/>
      <c r="DNX74" s="684"/>
      <c r="DNY74" s="684"/>
      <c r="DNZ74" s="684"/>
      <c r="DOA74" s="684"/>
      <c r="DOB74" s="684"/>
      <c r="DOC74" s="684"/>
      <c r="DOD74" s="684"/>
      <c r="DOE74" s="684"/>
      <c r="DOF74" s="684"/>
      <c r="DOG74" s="684"/>
      <c r="DOH74" s="684"/>
      <c r="DOI74" s="684"/>
      <c r="DOJ74" s="684"/>
      <c r="DOK74" s="684"/>
      <c r="DOL74" s="684"/>
      <c r="DOM74" s="684"/>
      <c r="DON74" s="684"/>
      <c r="DOO74" s="684"/>
      <c r="DOP74" s="684"/>
      <c r="DOQ74" s="684"/>
      <c r="DOR74" s="684"/>
      <c r="DOS74" s="684"/>
      <c r="DOT74" s="684"/>
      <c r="DOU74" s="684"/>
      <c r="DOV74" s="684"/>
      <c r="DOW74" s="684"/>
      <c r="DOX74" s="684"/>
      <c r="DOY74" s="684"/>
      <c r="DOZ74" s="684"/>
      <c r="DPA74" s="684"/>
      <c r="DPB74" s="684"/>
      <c r="DPC74" s="684"/>
      <c r="DPD74" s="684"/>
      <c r="DPE74" s="684"/>
      <c r="DPF74" s="684"/>
      <c r="DPG74" s="684"/>
      <c r="DPH74" s="684"/>
      <c r="DPI74" s="684"/>
      <c r="DPJ74" s="684"/>
      <c r="DPK74" s="684"/>
      <c r="DPL74" s="684"/>
      <c r="DPM74" s="684"/>
      <c r="DPN74" s="684"/>
      <c r="DPO74" s="684"/>
      <c r="DPP74" s="684"/>
      <c r="DPQ74" s="684"/>
      <c r="DPR74" s="684"/>
      <c r="DPS74" s="684"/>
      <c r="DPT74" s="684"/>
      <c r="DPU74" s="684"/>
      <c r="DPV74" s="684"/>
      <c r="DPW74" s="684"/>
      <c r="DPX74" s="684"/>
      <c r="DPY74" s="684"/>
      <c r="DPZ74" s="684"/>
      <c r="DQA74" s="684"/>
      <c r="DQB74" s="684"/>
      <c r="DQC74" s="684"/>
      <c r="DQD74" s="684"/>
      <c r="DQE74" s="684"/>
      <c r="DQF74" s="684"/>
      <c r="DQG74" s="684"/>
      <c r="DQH74" s="684"/>
      <c r="DQI74" s="684"/>
      <c r="DQJ74" s="684"/>
      <c r="DQK74" s="684"/>
      <c r="DQL74" s="684"/>
      <c r="DQM74" s="684"/>
      <c r="DQN74" s="684"/>
      <c r="DQO74" s="684"/>
      <c r="DQP74" s="684"/>
      <c r="DQQ74" s="684"/>
      <c r="DQR74" s="684"/>
      <c r="DQS74" s="684"/>
      <c r="DQT74" s="684"/>
      <c r="DQU74" s="684"/>
      <c r="DQV74" s="684"/>
      <c r="DQW74" s="684"/>
      <c r="DQX74" s="684"/>
      <c r="DQY74" s="684"/>
      <c r="DQZ74" s="684"/>
      <c r="DRA74" s="684"/>
      <c r="DRB74" s="684"/>
      <c r="DRC74" s="684"/>
      <c r="DRD74" s="684"/>
      <c r="DRE74" s="684"/>
      <c r="DRF74" s="684"/>
      <c r="DRG74" s="684"/>
      <c r="DRH74" s="684"/>
      <c r="DRI74" s="684"/>
      <c r="DRJ74" s="684"/>
      <c r="DRK74" s="684"/>
      <c r="DRL74" s="684"/>
      <c r="DRM74" s="684"/>
      <c r="DRN74" s="684"/>
      <c r="DRO74" s="684"/>
      <c r="DRP74" s="684"/>
      <c r="DRQ74" s="684"/>
      <c r="DRR74" s="684"/>
      <c r="DRS74" s="684"/>
      <c r="DRT74" s="684"/>
      <c r="DRU74" s="684"/>
      <c r="DRV74" s="684"/>
      <c r="DRW74" s="684"/>
      <c r="DRX74" s="684"/>
      <c r="DRY74" s="684"/>
      <c r="DRZ74" s="684"/>
      <c r="DSA74" s="684"/>
      <c r="DSB74" s="684"/>
      <c r="DSC74" s="684"/>
      <c r="DSD74" s="684"/>
      <c r="DSE74" s="684"/>
      <c r="DSF74" s="684"/>
      <c r="DSG74" s="684"/>
      <c r="DSH74" s="684"/>
      <c r="DSI74" s="684"/>
      <c r="DSJ74" s="684"/>
      <c r="DSK74" s="684"/>
      <c r="DSL74" s="684"/>
      <c r="DSM74" s="684"/>
      <c r="DSN74" s="684"/>
      <c r="DSO74" s="684"/>
      <c r="DSP74" s="684"/>
      <c r="DSQ74" s="684"/>
      <c r="DSR74" s="684"/>
      <c r="DSS74" s="684"/>
      <c r="DST74" s="684"/>
      <c r="DSU74" s="684"/>
      <c r="DSV74" s="684"/>
      <c r="DSW74" s="684"/>
      <c r="DSX74" s="684"/>
      <c r="DSY74" s="684"/>
      <c r="DSZ74" s="684"/>
      <c r="DTA74" s="684"/>
      <c r="DTB74" s="684"/>
      <c r="DTC74" s="684"/>
      <c r="DTD74" s="684"/>
      <c r="DTE74" s="684"/>
      <c r="DTF74" s="684"/>
      <c r="DTG74" s="684"/>
      <c r="DTH74" s="684"/>
      <c r="DTI74" s="684"/>
      <c r="DTJ74" s="684"/>
      <c r="DTK74" s="684"/>
      <c r="DTL74" s="684"/>
      <c r="DTM74" s="684"/>
      <c r="DTN74" s="684"/>
      <c r="DTO74" s="684"/>
      <c r="DTP74" s="684"/>
      <c r="DTQ74" s="684"/>
      <c r="DTR74" s="684"/>
      <c r="DTS74" s="684"/>
      <c r="DTT74" s="684"/>
      <c r="DTU74" s="684"/>
      <c r="DTV74" s="684"/>
      <c r="DTW74" s="684"/>
      <c r="DTX74" s="684"/>
      <c r="DTY74" s="684"/>
      <c r="DTZ74" s="684"/>
      <c r="DUA74" s="684"/>
      <c r="DUB74" s="684"/>
      <c r="DUC74" s="684"/>
      <c r="DUD74" s="684"/>
      <c r="DUE74" s="684"/>
      <c r="DUF74" s="684"/>
      <c r="DUG74" s="684"/>
      <c r="DUH74" s="684"/>
      <c r="DUI74" s="684"/>
      <c r="DUJ74" s="684"/>
      <c r="DUK74" s="684"/>
      <c r="DUL74" s="684"/>
      <c r="DUM74" s="684"/>
      <c r="DUN74" s="684"/>
      <c r="DUO74" s="684"/>
      <c r="DUP74" s="684"/>
      <c r="DUQ74" s="684"/>
      <c r="DUR74" s="684"/>
      <c r="DUS74" s="684"/>
      <c r="DUT74" s="684"/>
      <c r="DUU74" s="684"/>
      <c r="DUV74" s="684"/>
      <c r="DUW74" s="684"/>
      <c r="DUX74" s="684"/>
      <c r="DUY74" s="684"/>
      <c r="DUZ74" s="684"/>
      <c r="DVA74" s="684"/>
      <c r="DVB74" s="684"/>
      <c r="DVC74" s="684"/>
      <c r="DVD74" s="684"/>
      <c r="DVE74" s="684"/>
      <c r="DVF74" s="684"/>
      <c r="DVG74" s="684"/>
      <c r="DVH74" s="684"/>
      <c r="DVI74" s="684"/>
      <c r="DVJ74" s="684"/>
      <c r="DVK74" s="684"/>
      <c r="DVL74" s="684"/>
      <c r="DVM74" s="684"/>
      <c r="DVN74" s="684"/>
      <c r="DVO74" s="684"/>
      <c r="DVP74" s="684"/>
      <c r="DVQ74" s="684"/>
      <c r="DVR74" s="684"/>
      <c r="DVS74" s="684"/>
      <c r="DVT74" s="684"/>
      <c r="DVU74" s="684"/>
      <c r="DVV74" s="684"/>
      <c r="DVW74" s="684"/>
      <c r="DVX74" s="684"/>
      <c r="DVY74" s="684"/>
      <c r="DVZ74" s="684"/>
      <c r="DWA74" s="684"/>
      <c r="DWB74" s="684"/>
      <c r="DWC74" s="684"/>
      <c r="DWD74" s="684"/>
      <c r="DWE74" s="684"/>
      <c r="DWF74" s="684"/>
      <c r="DWG74" s="684"/>
      <c r="DWH74" s="684"/>
      <c r="DWI74" s="684"/>
      <c r="DWJ74" s="684"/>
      <c r="DWK74" s="684"/>
      <c r="DWL74" s="684"/>
      <c r="DWM74" s="684"/>
      <c r="DWN74" s="684"/>
      <c r="DWO74" s="684"/>
      <c r="DWP74" s="684"/>
      <c r="DWQ74" s="684"/>
      <c r="DWR74" s="684"/>
      <c r="DWS74" s="684"/>
      <c r="DWT74" s="684"/>
      <c r="DWU74" s="684"/>
      <c r="DWV74" s="684"/>
      <c r="DWW74" s="684"/>
      <c r="DWX74" s="684"/>
      <c r="DWY74" s="684"/>
      <c r="DWZ74" s="684"/>
      <c r="DXA74" s="684"/>
      <c r="DXB74" s="684"/>
      <c r="DXC74" s="684"/>
      <c r="DXD74" s="684"/>
      <c r="DXE74" s="684"/>
      <c r="DXF74" s="684"/>
      <c r="DXG74" s="684"/>
      <c r="DXH74" s="684"/>
      <c r="DXI74" s="684"/>
      <c r="DXJ74" s="684"/>
      <c r="DXK74" s="684"/>
      <c r="DXL74" s="684"/>
      <c r="DXM74" s="684"/>
      <c r="DXN74" s="684"/>
      <c r="DXO74" s="684"/>
      <c r="DXP74" s="684"/>
      <c r="DXQ74" s="684"/>
      <c r="DXR74" s="684"/>
      <c r="DXS74" s="684"/>
      <c r="DXT74" s="684"/>
      <c r="DXU74" s="684"/>
      <c r="DXV74" s="684"/>
      <c r="DXW74" s="684"/>
      <c r="DXX74" s="684"/>
      <c r="DXY74" s="684"/>
      <c r="DXZ74" s="684"/>
      <c r="DYA74" s="684"/>
      <c r="DYB74" s="684"/>
      <c r="DYC74" s="684"/>
      <c r="DYD74" s="684"/>
      <c r="DYE74" s="684"/>
      <c r="DYF74" s="684"/>
      <c r="DYG74" s="684"/>
      <c r="DYH74" s="684"/>
      <c r="DYI74" s="684"/>
      <c r="DYJ74" s="684"/>
      <c r="DYK74" s="684"/>
      <c r="DYL74" s="684"/>
      <c r="DYM74" s="684"/>
      <c r="DYN74" s="684"/>
      <c r="DYO74" s="684"/>
      <c r="DYP74" s="684"/>
      <c r="DYQ74" s="684"/>
      <c r="DYR74" s="684"/>
      <c r="DYS74" s="684"/>
      <c r="DYT74" s="684"/>
      <c r="DYU74" s="684"/>
      <c r="DYV74" s="684"/>
      <c r="DYW74" s="684"/>
      <c r="DYX74" s="684"/>
      <c r="DYY74" s="684"/>
      <c r="DYZ74" s="684"/>
      <c r="DZA74" s="684"/>
      <c r="DZB74" s="684"/>
      <c r="DZC74" s="684"/>
      <c r="DZD74" s="684"/>
      <c r="DZE74" s="684"/>
      <c r="DZF74" s="684"/>
      <c r="DZG74" s="684"/>
      <c r="DZH74" s="684"/>
      <c r="DZI74" s="684"/>
      <c r="DZJ74" s="684"/>
      <c r="DZK74" s="684"/>
      <c r="DZL74" s="684"/>
      <c r="DZM74" s="684"/>
      <c r="DZN74" s="684"/>
      <c r="DZO74" s="684"/>
      <c r="DZP74" s="684"/>
      <c r="DZQ74" s="684"/>
      <c r="DZR74" s="684"/>
      <c r="DZS74" s="684"/>
      <c r="DZT74" s="684"/>
      <c r="DZU74" s="684"/>
      <c r="DZV74" s="684"/>
      <c r="DZW74" s="684"/>
      <c r="DZX74" s="684"/>
      <c r="DZY74" s="684"/>
      <c r="DZZ74" s="684"/>
      <c r="EAA74" s="684"/>
      <c r="EAB74" s="684"/>
      <c r="EAC74" s="684"/>
      <c r="EAD74" s="684"/>
      <c r="EAE74" s="684"/>
      <c r="EAF74" s="684"/>
      <c r="EAG74" s="684"/>
      <c r="EAH74" s="684"/>
      <c r="EAI74" s="684"/>
      <c r="EAJ74" s="684"/>
      <c r="EAK74" s="684"/>
      <c r="EAL74" s="684"/>
      <c r="EAM74" s="684"/>
      <c r="EAN74" s="684"/>
      <c r="EAO74" s="684"/>
      <c r="EAP74" s="684"/>
      <c r="EAQ74" s="684"/>
      <c r="EAR74" s="684"/>
      <c r="EAS74" s="684"/>
      <c r="EAT74" s="684"/>
      <c r="EAU74" s="684"/>
      <c r="EAV74" s="684"/>
      <c r="EAW74" s="684"/>
      <c r="EAX74" s="684"/>
      <c r="EAY74" s="684"/>
      <c r="EAZ74" s="684"/>
      <c r="EBA74" s="684"/>
      <c r="EBB74" s="684"/>
      <c r="EBC74" s="684"/>
      <c r="EBD74" s="684"/>
      <c r="EBE74" s="684"/>
      <c r="EBF74" s="684"/>
      <c r="EBG74" s="684"/>
      <c r="EBH74" s="684"/>
      <c r="EBI74" s="684"/>
      <c r="EBJ74" s="684"/>
      <c r="EBK74" s="684"/>
      <c r="EBL74" s="684"/>
      <c r="EBM74" s="684"/>
      <c r="EBN74" s="684"/>
      <c r="EBO74" s="684"/>
      <c r="EBP74" s="684"/>
      <c r="EBQ74" s="684"/>
      <c r="EBR74" s="684"/>
      <c r="EBS74" s="684"/>
      <c r="EBT74" s="684"/>
      <c r="EBU74" s="684"/>
      <c r="EBV74" s="684"/>
      <c r="EBW74" s="684"/>
      <c r="EBX74" s="684"/>
      <c r="EBY74" s="684"/>
      <c r="EBZ74" s="684"/>
      <c r="ECA74" s="684"/>
      <c r="ECB74" s="684"/>
      <c r="ECC74" s="684"/>
      <c r="ECD74" s="684"/>
      <c r="ECE74" s="684"/>
      <c r="ECF74" s="684"/>
      <c r="ECG74" s="684"/>
      <c r="ECH74" s="684"/>
      <c r="ECI74" s="684"/>
      <c r="ECJ74" s="684"/>
      <c r="ECK74" s="684"/>
      <c r="ECL74" s="684"/>
      <c r="ECM74" s="684"/>
      <c r="ECN74" s="684"/>
      <c r="ECO74" s="684"/>
      <c r="ECP74" s="684"/>
      <c r="ECQ74" s="684"/>
      <c r="ECR74" s="684"/>
      <c r="ECS74" s="684"/>
      <c r="ECT74" s="684"/>
      <c r="ECU74" s="684"/>
      <c r="ECV74" s="684"/>
      <c r="ECW74" s="684"/>
      <c r="ECX74" s="684"/>
      <c r="ECY74" s="684"/>
      <c r="ECZ74" s="684"/>
      <c r="EDA74" s="684"/>
      <c r="EDB74" s="684"/>
      <c r="EDC74" s="684"/>
      <c r="EDD74" s="684"/>
      <c r="EDE74" s="684"/>
      <c r="EDF74" s="684"/>
      <c r="EDG74" s="684"/>
      <c r="EDH74" s="684"/>
      <c r="EDI74" s="684"/>
      <c r="EDJ74" s="684"/>
      <c r="EDK74" s="684"/>
      <c r="EDL74" s="684"/>
      <c r="EDM74" s="684"/>
      <c r="EDN74" s="684"/>
      <c r="EDO74" s="684"/>
      <c r="EDP74" s="684"/>
      <c r="EDQ74" s="684"/>
      <c r="EDR74" s="684"/>
      <c r="EDS74" s="684"/>
      <c r="EDT74" s="684"/>
      <c r="EDU74" s="684"/>
      <c r="EDV74" s="684"/>
      <c r="EDW74" s="684"/>
      <c r="EDX74" s="684"/>
      <c r="EDY74" s="684"/>
      <c r="EDZ74" s="684"/>
      <c r="EEA74" s="684"/>
      <c r="EEB74" s="684"/>
      <c r="EEC74" s="684"/>
      <c r="EED74" s="684"/>
      <c r="EEE74" s="684"/>
      <c r="EEF74" s="684"/>
      <c r="EEG74" s="684"/>
      <c r="EEH74" s="684"/>
      <c r="EEI74" s="684"/>
      <c r="EEJ74" s="684"/>
      <c r="EEK74" s="684"/>
      <c r="EEL74" s="684"/>
      <c r="EEM74" s="684"/>
      <c r="EEN74" s="684"/>
      <c r="EEO74" s="684"/>
      <c r="EEP74" s="684"/>
      <c r="EEQ74" s="684"/>
      <c r="EER74" s="684"/>
      <c r="EES74" s="684"/>
      <c r="EET74" s="684"/>
      <c r="EEU74" s="684"/>
      <c r="EEV74" s="684"/>
      <c r="EEW74" s="684"/>
      <c r="EEX74" s="684"/>
      <c r="EEY74" s="684"/>
      <c r="EEZ74" s="684"/>
      <c r="EFA74" s="684"/>
      <c r="EFB74" s="684"/>
      <c r="EFC74" s="684"/>
      <c r="EFD74" s="684"/>
      <c r="EFE74" s="684"/>
      <c r="EFF74" s="684"/>
      <c r="EFG74" s="684"/>
      <c r="EFH74" s="684"/>
      <c r="EFI74" s="684"/>
      <c r="EFJ74" s="684"/>
      <c r="EFK74" s="684"/>
      <c r="EFL74" s="684"/>
      <c r="EFM74" s="684"/>
      <c r="EFN74" s="684"/>
      <c r="EFO74" s="684"/>
      <c r="EFP74" s="684"/>
      <c r="EFQ74" s="684"/>
      <c r="EFR74" s="684"/>
      <c r="EFS74" s="684"/>
      <c r="EFT74" s="684"/>
      <c r="EFU74" s="684"/>
      <c r="EFV74" s="684"/>
      <c r="EFW74" s="684"/>
      <c r="EFX74" s="684"/>
      <c r="EFY74" s="684"/>
      <c r="EFZ74" s="684"/>
      <c r="EGA74" s="684"/>
      <c r="EGB74" s="684"/>
      <c r="EGC74" s="684"/>
      <c r="EGD74" s="684"/>
      <c r="EGE74" s="684"/>
      <c r="EGF74" s="684"/>
      <c r="EGG74" s="684"/>
      <c r="EGH74" s="684"/>
      <c r="EGI74" s="684"/>
      <c r="EGJ74" s="684"/>
      <c r="EGK74" s="684"/>
      <c r="EGL74" s="684"/>
      <c r="EGM74" s="684"/>
      <c r="EGN74" s="684"/>
      <c r="EGO74" s="684"/>
      <c r="EGP74" s="684"/>
      <c r="EGQ74" s="684"/>
      <c r="EGR74" s="684"/>
      <c r="EGS74" s="684"/>
      <c r="EGT74" s="684"/>
      <c r="EGU74" s="684"/>
      <c r="EGV74" s="684"/>
      <c r="EGW74" s="684"/>
      <c r="EGX74" s="684"/>
      <c r="EGY74" s="684"/>
      <c r="EGZ74" s="684"/>
      <c r="EHA74" s="684"/>
      <c r="EHB74" s="684"/>
      <c r="EHC74" s="684"/>
      <c r="EHD74" s="684"/>
      <c r="EHE74" s="684"/>
      <c r="EHF74" s="684"/>
      <c r="EHG74" s="684"/>
      <c r="EHH74" s="684"/>
      <c r="EHI74" s="684"/>
      <c r="EHJ74" s="684"/>
      <c r="EHK74" s="684"/>
      <c r="EHL74" s="684"/>
      <c r="EHM74" s="684"/>
      <c r="EHN74" s="684"/>
      <c r="EHO74" s="684"/>
      <c r="EHP74" s="684"/>
      <c r="EHQ74" s="684"/>
      <c r="EHR74" s="684"/>
      <c r="EHS74" s="684"/>
      <c r="EHT74" s="684"/>
      <c r="EHU74" s="684"/>
      <c r="EHV74" s="684"/>
      <c r="EHW74" s="684"/>
      <c r="EHX74" s="684"/>
      <c r="EHY74" s="684"/>
      <c r="EHZ74" s="684"/>
      <c r="EIA74" s="684"/>
      <c r="EIB74" s="684"/>
      <c r="EIC74" s="684"/>
      <c r="EID74" s="684"/>
      <c r="EIE74" s="684"/>
      <c r="EIF74" s="684"/>
      <c r="EIG74" s="684"/>
      <c r="EIH74" s="684"/>
      <c r="EII74" s="684"/>
      <c r="EIJ74" s="684"/>
      <c r="EIK74" s="684"/>
      <c r="EIL74" s="684"/>
      <c r="EIM74" s="684"/>
      <c r="EIN74" s="684"/>
      <c r="EIO74" s="684"/>
      <c r="EIP74" s="684"/>
      <c r="EIQ74" s="684"/>
      <c r="EIR74" s="684"/>
      <c r="EIS74" s="684"/>
      <c r="EIT74" s="684"/>
      <c r="EIU74" s="684"/>
      <c r="EIV74" s="684"/>
      <c r="EIW74" s="684"/>
      <c r="EIX74" s="684"/>
      <c r="EIY74" s="684"/>
      <c r="EIZ74" s="684"/>
      <c r="EJA74" s="684"/>
      <c r="EJB74" s="684"/>
      <c r="EJC74" s="684"/>
      <c r="EJD74" s="684"/>
      <c r="EJE74" s="684"/>
      <c r="EJF74" s="684"/>
      <c r="EJG74" s="684"/>
      <c r="EJH74" s="684"/>
      <c r="EJI74" s="684"/>
      <c r="EJJ74" s="684"/>
      <c r="EJK74" s="684"/>
      <c r="EJL74" s="684"/>
      <c r="EJM74" s="684"/>
      <c r="EJN74" s="684"/>
      <c r="EJO74" s="684"/>
      <c r="EJP74" s="684"/>
      <c r="EJQ74" s="684"/>
      <c r="EJR74" s="684"/>
      <c r="EJS74" s="684"/>
      <c r="EJT74" s="684"/>
      <c r="EJU74" s="684"/>
      <c r="EJV74" s="684"/>
      <c r="EJW74" s="684"/>
      <c r="EJX74" s="684"/>
      <c r="EJY74" s="684"/>
      <c r="EJZ74" s="684"/>
      <c r="EKA74" s="684"/>
      <c r="EKB74" s="684"/>
      <c r="EKC74" s="684"/>
      <c r="EKD74" s="684"/>
      <c r="EKE74" s="684"/>
      <c r="EKF74" s="684"/>
      <c r="EKG74" s="684"/>
      <c r="EKH74" s="684"/>
      <c r="EKI74" s="684"/>
      <c r="EKJ74" s="684"/>
      <c r="EKK74" s="684"/>
      <c r="EKL74" s="684"/>
      <c r="EKM74" s="684"/>
      <c r="EKN74" s="684"/>
      <c r="EKO74" s="684"/>
      <c r="EKP74" s="684"/>
      <c r="EKQ74" s="684"/>
      <c r="EKR74" s="684"/>
      <c r="EKS74" s="684"/>
      <c r="EKT74" s="684"/>
      <c r="EKU74" s="684"/>
      <c r="EKV74" s="684"/>
      <c r="EKW74" s="684"/>
      <c r="EKX74" s="684"/>
      <c r="EKY74" s="684"/>
      <c r="EKZ74" s="684"/>
      <c r="ELA74" s="684"/>
      <c r="ELB74" s="684"/>
      <c r="ELC74" s="684"/>
      <c r="ELD74" s="684"/>
      <c r="ELE74" s="684"/>
      <c r="ELF74" s="684"/>
      <c r="ELG74" s="684"/>
      <c r="ELH74" s="684"/>
      <c r="ELI74" s="684"/>
      <c r="ELJ74" s="684"/>
      <c r="ELK74" s="684"/>
      <c r="ELL74" s="684"/>
      <c r="ELM74" s="684"/>
      <c r="ELN74" s="684"/>
      <c r="ELO74" s="684"/>
      <c r="ELP74" s="684"/>
      <c r="ELQ74" s="684"/>
      <c r="ELR74" s="684"/>
      <c r="ELS74" s="684"/>
      <c r="ELT74" s="684"/>
      <c r="ELU74" s="684"/>
      <c r="ELV74" s="684"/>
      <c r="ELW74" s="684"/>
      <c r="ELX74" s="684"/>
      <c r="ELY74" s="684"/>
      <c r="ELZ74" s="684"/>
      <c r="EMA74" s="684"/>
      <c r="EMB74" s="684"/>
      <c r="EMC74" s="684"/>
      <c r="EMD74" s="684"/>
      <c r="EME74" s="684"/>
      <c r="EMF74" s="684"/>
      <c r="EMG74" s="684"/>
      <c r="EMH74" s="684"/>
      <c r="EMI74" s="684"/>
      <c r="EMJ74" s="684"/>
      <c r="EMK74" s="684"/>
      <c r="EML74" s="684"/>
      <c r="EMM74" s="684"/>
      <c r="EMN74" s="684"/>
      <c r="EMO74" s="684"/>
      <c r="EMP74" s="684"/>
      <c r="EMQ74" s="684"/>
      <c r="EMR74" s="684"/>
      <c r="EMS74" s="684"/>
      <c r="EMT74" s="684"/>
      <c r="EMU74" s="684"/>
      <c r="EMV74" s="684"/>
      <c r="EMW74" s="684"/>
      <c r="EMX74" s="684"/>
      <c r="EMY74" s="684"/>
      <c r="EMZ74" s="684"/>
      <c r="ENA74" s="684"/>
      <c r="ENB74" s="684"/>
      <c r="ENC74" s="684"/>
      <c r="END74" s="684"/>
      <c r="ENE74" s="684"/>
      <c r="ENF74" s="684"/>
      <c r="ENG74" s="684"/>
      <c r="ENH74" s="684"/>
      <c r="ENI74" s="684"/>
      <c r="ENJ74" s="684"/>
      <c r="ENK74" s="684"/>
      <c r="ENL74" s="684"/>
      <c r="ENM74" s="684"/>
      <c r="ENN74" s="684"/>
      <c r="ENO74" s="684"/>
      <c r="ENP74" s="684"/>
      <c r="ENQ74" s="684"/>
      <c r="ENR74" s="684"/>
      <c r="ENS74" s="684"/>
      <c r="ENT74" s="684"/>
      <c r="ENU74" s="684"/>
      <c r="ENV74" s="684"/>
      <c r="ENW74" s="684"/>
      <c r="ENX74" s="684"/>
      <c r="ENY74" s="684"/>
      <c r="ENZ74" s="684"/>
      <c r="EOA74" s="684"/>
      <c r="EOB74" s="684"/>
      <c r="EOC74" s="684"/>
      <c r="EOD74" s="684"/>
      <c r="EOE74" s="684"/>
      <c r="EOF74" s="684"/>
      <c r="EOG74" s="684"/>
      <c r="EOH74" s="684"/>
      <c r="EOI74" s="684"/>
      <c r="EOJ74" s="684"/>
      <c r="EOK74" s="684"/>
      <c r="EOL74" s="684"/>
      <c r="EOM74" s="684"/>
      <c r="EON74" s="684"/>
      <c r="EOO74" s="684"/>
      <c r="EOP74" s="684"/>
      <c r="EOQ74" s="684"/>
      <c r="EOR74" s="684"/>
      <c r="EOS74" s="684"/>
      <c r="EOT74" s="684"/>
      <c r="EOU74" s="684"/>
      <c r="EOV74" s="684"/>
      <c r="EOW74" s="684"/>
      <c r="EOX74" s="684"/>
      <c r="EOY74" s="684"/>
      <c r="EOZ74" s="684"/>
      <c r="EPA74" s="684"/>
      <c r="EPB74" s="684"/>
      <c r="EPC74" s="684"/>
      <c r="EPD74" s="684"/>
      <c r="EPE74" s="684"/>
      <c r="EPF74" s="684"/>
      <c r="EPG74" s="684"/>
      <c r="EPH74" s="684"/>
      <c r="EPI74" s="684"/>
      <c r="EPJ74" s="684"/>
      <c r="EPK74" s="684"/>
      <c r="EPL74" s="684"/>
      <c r="EPM74" s="684"/>
      <c r="EPN74" s="684"/>
      <c r="EPO74" s="684"/>
      <c r="EPP74" s="684"/>
      <c r="EPQ74" s="684"/>
      <c r="EPR74" s="684"/>
      <c r="EPS74" s="684"/>
      <c r="EPT74" s="684"/>
      <c r="EPU74" s="684"/>
      <c r="EPV74" s="684"/>
      <c r="EPW74" s="684"/>
      <c r="EPX74" s="684"/>
      <c r="EPY74" s="684"/>
      <c r="EPZ74" s="684"/>
      <c r="EQA74" s="684"/>
      <c r="EQB74" s="684"/>
      <c r="EQC74" s="684"/>
      <c r="EQD74" s="684"/>
      <c r="EQE74" s="684"/>
      <c r="EQF74" s="684"/>
      <c r="EQG74" s="684"/>
      <c r="EQH74" s="684"/>
      <c r="EQI74" s="684"/>
      <c r="EQJ74" s="684"/>
      <c r="EQK74" s="684"/>
      <c r="EQL74" s="684"/>
      <c r="EQM74" s="684"/>
      <c r="EQN74" s="684"/>
      <c r="EQO74" s="684"/>
      <c r="EQP74" s="684"/>
      <c r="EQQ74" s="684"/>
      <c r="EQR74" s="684"/>
      <c r="EQS74" s="684"/>
      <c r="EQT74" s="684"/>
      <c r="EQU74" s="684"/>
      <c r="EQV74" s="684"/>
      <c r="EQW74" s="684"/>
      <c r="EQX74" s="684"/>
      <c r="EQY74" s="684"/>
      <c r="EQZ74" s="684"/>
      <c r="ERA74" s="684"/>
      <c r="ERB74" s="684"/>
      <c r="ERC74" s="684"/>
      <c r="ERD74" s="684"/>
      <c r="ERE74" s="684"/>
      <c r="ERF74" s="684"/>
      <c r="ERG74" s="684"/>
      <c r="ERH74" s="684"/>
      <c r="ERI74" s="684"/>
      <c r="ERJ74" s="684"/>
      <c r="ERK74" s="684"/>
      <c r="ERL74" s="684"/>
      <c r="ERM74" s="684"/>
      <c r="ERN74" s="684"/>
      <c r="ERO74" s="684"/>
      <c r="ERP74" s="684"/>
      <c r="ERQ74" s="684"/>
      <c r="ERR74" s="684"/>
      <c r="ERS74" s="684"/>
      <c r="ERT74" s="684"/>
      <c r="ERU74" s="684"/>
      <c r="ERV74" s="684"/>
      <c r="ERW74" s="684"/>
      <c r="ERX74" s="684"/>
      <c r="ERY74" s="684"/>
      <c r="ERZ74" s="684"/>
      <c r="ESA74" s="684"/>
      <c r="ESB74" s="684"/>
      <c r="ESC74" s="684"/>
      <c r="ESD74" s="684"/>
      <c r="ESE74" s="684"/>
      <c r="ESF74" s="684"/>
      <c r="ESG74" s="684"/>
      <c r="ESH74" s="684"/>
      <c r="ESI74" s="684"/>
      <c r="ESJ74" s="684"/>
      <c r="ESK74" s="684"/>
      <c r="ESL74" s="684"/>
      <c r="ESM74" s="684"/>
      <c r="ESN74" s="684"/>
      <c r="ESO74" s="684"/>
      <c r="ESP74" s="684"/>
      <c r="ESQ74" s="684"/>
      <c r="ESR74" s="684"/>
      <c r="ESS74" s="684"/>
      <c r="EST74" s="684"/>
      <c r="ESU74" s="684"/>
      <c r="ESV74" s="684"/>
      <c r="ESW74" s="684"/>
      <c r="ESX74" s="684"/>
      <c r="ESY74" s="684"/>
      <c r="ESZ74" s="684"/>
      <c r="ETA74" s="684"/>
      <c r="ETB74" s="684"/>
      <c r="ETC74" s="684"/>
      <c r="ETD74" s="684"/>
      <c r="ETE74" s="684"/>
      <c r="ETF74" s="684"/>
      <c r="ETG74" s="684"/>
      <c r="ETH74" s="684"/>
      <c r="ETI74" s="684"/>
      <c r="ETJ74" s="684"/>
      <c r="ETK74" s="684"/>
      <c r="ETL74" s="684"/>
      <c r="ETM74" s="684"/>
      <c r="ETN74" s="684"/>
      <c r="ETO74" s="684"/>
      <c r="ETP74" s="684"/>
      <c r="ETQ74" s="684"/>
      <c r="ETR74" s="684"/>
      <c r="ETS74" s="684"/>
      <c r="ETT74" s="684"/>
      <c r="ETU74" s="684"/>
      <c r="ETV74" s="684"/>
      <c r="ETW74" s="684"/>
      <c r="ETX74" s="684"/>
      <c r="ETY74" s="684"/>
      <c r="ETZ74" s="684"/>
      <c r="EUA74" s="684"/>
      <c r="EUB74" s="684"/>
      <c r="EUC74" s="684"/>
      <c r="EUD74" s="684"/>
      <c r="EUE74" s="684"/>
      <c r="EUF74" s="684"/>
      <c r="EUG74" s="684"/>
      <c r="EUH74" s="684"/>
      <c r="EUI74" s="684"/>
      <c r="EUJ74" s="684"/>
      <c r="EUK74" s="684"/>
      <c r="EUL74" s="684"/>
      <c r="EUM74" s="684"/>
      <c r="EUN74" s="684"/>
      <c r="EUO74" s="684"/>
      <c r="EUP74" s="684"/>
      <c r="EUQ74" s="684"/>
      <c r="EUR74" s="684"/>
      <c r="EUS74" s="684"/>
      <c r="EUT74" s="684"/>
      <c r="EUU74" s="684"/>
      <c r="EUV74" s="684"/>
      <c r="EUW74" s="684"/>
      <c r="EUX74" s="684"/>
      <c r="EUY74" s="684"/>
      <c r="EUZ74" s="684"/>
      <c r="EVA74" s="684"/>
      <c r="EVB74" s="684"/>
      <c r="EVC74" s="684"/>
      <c r="EVD74" s="684"/>
      <c r="EVE74" s="684"/>
      <c r="EVF74" s="684"/>
      <c r="EVG74" s="684"/>
      <c r="EVH74" s="684"/>
      <c r="EVI74" s="684"/>
      <c r="EVJ74" s="684"/>
      <c r="EVK74" s="684"/>
      <c r="EVL74" s="684"/>
      <c r="EVM74" s="684"/>
      <c r="EVN74" s="684"/>
      <c r="EVO74" s="684"/>
      <c r="EVP74" s="684"/>
      <c r="EVQ74" s="684"/>
      <c r="EVR74" s="684"/>
      <c r="EVS74" s="684"/>
      <c r="EVT74" s="684"/>
      <c r="EVU74" s="684"/>
      <c r="EVV74" s="684"/>
      <c r="EVW74" s="684"/>
      <c r="EVX74" s="684"/>
      <c r="EVY74" s="684"/>
      <c r="EVZ74" s="684"/>
      <c r="EWA74" s="684"/>
      <c r="EWB74" s="684"/>
      <c r="EWC74" s="684"/>
      <c r="EWD74" s="684"/>
      <c r="EWE74" s="684"/>
      <c r="EWF74" s="684"/>
      <c r="EWG74" s="684"/>
      <c r="EWH74" s="684"/>
      <c r="EWI74" s="684"/>
      <c r="EWJ74" s="684"/>
      <c r="EWK74" s="684"/>
      <c r="EWL74" s="684"/>
      <c r="EWM74" s="684"/>
      <c r="EWN74" s="684"/>
      <c r="EWO74" s="684"/>
      <c r="EWP74" s="684"/>
      <c r="EWQ74" s="684"/>
      <c r="EWR74" s="684"/>
      <c r="EWS74" s="684"/>
      <c r="EWT74" s="684"/>
      <c r="EWU74" s="684"/>
      <c r="EWV74" s="684"/>
      <c r="EWW74" s="684"/>
      <c r="EWX74" s="684"/>
      <c r="EWY74" s="684"/>
      <c r="EWZ74" s="684"/>
      <c r="EXA74" s="684"/>
      <c r="EXB74" s="684"/>
      <c r="EXC74" s="684"/>
      <c r="EXD74" s="684"/>
      <c r="EXE74" s="684"/>
      <c r="EXF74" s="684"/>
      <c r="EXG74" s="684"/>
      <c r="EXH74" s="684"/>
      <c r="EXI74" s="684"/>
      <c r="EXJ74" s="684"/>
      <c r="EXK74" s="684"/>
      <c r="EXL74" s="684"/>
      <c r="EXM74" s="684"/>
      <c r="EXN74" s="684"/>
      <c r="EXO74" s="684"/>
      <c r="EXP74" s="684"/>
      <c r="EXQ74" s="684"/>
      <c r="EXR74" s="684"/>
      <c r="EXS74" s="684"/>
      <c r="EXT74" s="684"/>
      <c r="EXU74" s="684"/>
      <c r="EXV74" s="684"/>
      <c r="EXW74" s="684"/>
      <c r="EXX74" s="684"/>
      <c r="EXY74" s="684"/>
      <c r="EXZ74" s="684"/>
      <c r="EYA74" s="684"/>
      <c r="EYB74" s="684"/>
      <c r="EYC74" s="684"/>
      <c r="EYD74" s="684"/>
      <c r="EYE74" s="684"/>
      <c r="EYF74" s="684"/>
      <c r="EYG74" s="684"/>
      <c r="EYH74" s="684"/>
      <c r="EYI74" s="684"/>
      <c r="EYJ74" s="684"/>
      <c r="EYK74" s="684"/>
      <c r="EYL74" s="684"/>
      <c r="EYM74" s="684"/>
      <c r="EYN74" s="684"/>
      <c r="EYO74" s="684"/>
      <c r="EYP74" s="684"/>
      <c r="EYQ74" s="684"/>
      <c r="EYR74" s="684"/>
      <c r="EYS74" s="684"/>
      <c r="EYT74" s="684"/>
      <c r="EYU74" s="684"/>
      <c r="EYV74" s="684"/>
      <c r="EYW74" s="684"/>
      <c r="EYX74" s="684"/>
      <c r="EYY74" s="684"/>
      <c r="EYZ74" s="684"/>
      <c r="EZA74" s="684"/>
      <c r="EZB74" s="684"/>
      <c r="EZC74" s="684"/>
      <c r="EZD74" s="684"/>
      <c r="EZE74" s="684"/>
      <c r="EZF74" s="684"/>
      <c r="EZG74" s="684"/>
      <c r="EZH74" s="684"/>
      <c r="EZI74" s="684"/>
      <c r="EZJ74" s="684"/>
      <c r="EZK74" s="684"/>
      <c r="EZL74" s="684"/>
      <c r="EZM74" s="684"/>
      <c r="EZN74" s="684"/>
      <c r="EZO74" s="684"/>
      <c r="EZP74" s="684"/>
      <c r="EZQ74" s="684"/>
      <c r="EZR74" s="684"/>
      <c r="EZS74" s="684"/>
      <c r="EZT74" s="684"/>
      <c r="EZU74" s="684"/>
      <c r="EZV74" s="684"/>
      <c r="EZW74" s="684"/>
      <c r="EZX74" s="684"/>
      <c r="EZY74" s="684"/>
      <c r="EZZ74" s="684"/>
      <c r="FAA74" s="684"/>
      <c r="FAB74" s="684"/>
      <c r="FAC74" s="684"/>
      <c r="FAD74" s="684"/>
      <c r="FAE74" s="684"/>
      <c r="FAF74" s="684"/>
      <c r="FAG74" s="684"/>
      <c r="FAH74" s="684"/>
      <c r="FAI74" s="684"/>
      <c r="FAJ74" s="684"/>
      <c r="FAK74" s="684"/>
      <c r="FAL74" s="684"/>
      <c r="FAM74" s="684"/>
      <c r="FAN74" s="684"/>
      <c r="FAO74" s="684"/>
      <c r="FAP74" s="684"/>
      <c r="FAQ74" s="684"/>
      <c r="FAR74" s="684"/>
      <c r="FAS74" s="684"/>
      <c r="FAT74" s="684"/>
      <c r="FAU74" s="684"/>
      <c r="FAV74" s="684"/>
      <c r="FAW74" s="684"/>
      <c r="FAX74" s="684"/>
      <c r="FAY74" s="684"/>
      <c r="FAZ74" s="684"/>
      <c r="FBA74" s="684"/>
      <c r="FBB74" s="684"/>
      <c r="FBC74" s="684"/>
      <c r="FBD74" s="684"/>
      <c r="FBE74" s="684"/>
      <c r="FBF74" s="684"/>
      <c r="FBG74" s="684"/>
      <c r="FBH74" s="684"/>
      <c r="FBI74" s="684"/>
      <c r="FBJ74" s="684"/>
      <c r="FBK74" s="684"/>
      <c r="FBL74" s="684"/>
      <c r="FBM74" s="684"/>
      <c r="FBN74" s="684"/>
      <c r="FBO74" s="684"/>
      <c r="FBP74" s="684"/>
      <c r="FBQ74" s="684"/>
      <c r="FBR74" s="684"/>
      <c r="FBS74" s="684"/>
      <c r="FBT74" s="684"/>
      <c r="FBU74" s="684"/>
      <c r="FBV74" s="684"/>
      <c r="FBW74" s="684"/>
      <c r="FBX74" s="684"/>
      <c r="FBY74" s="684"/>
      <c r="FBZ74" s="684"/>
      <c r="FCA74" s="684"/>
      <c r="FCB74" s="684"/>
      <c r="FCC74" s="684"/>
      <c r="FCD74" s="684"/>
      <c r="FCE74" s="684"/>
      <c r="FCF74" s="684"/>
      <c r="FCG74" s="684"/>
      <c r="FCH74" s="684"/>
      <c r="FCI74" s="684"/>
      <c r="FCJ74" s="684"/>
      <c r="FCK74" s="684"/>
      <c r="FCL74" s="684"/>
      <c r="FCM74" s="684"/>
      <c r="FCN74" s="684"/>
      <c r="FCO74" s="684"/>
      <c r="FCP74" s="684"/>
      <c r="FCQ74" s="684"/>
      <c r="FCR74" s="684"/>
      <c r="FCS74" s="684"/>
      <c r="FCT74" s="684"/>
      <c r="FCU74" s="684"/>
      <c r="FCV74" s="684"/>
      <c r="FCW74" s="684"/>
      <c r="FCX74" s="684"/>
      <c r="FCY74" s="684"/>
      <c r="FCZ74" s="684"/>
      <c r="FDA74" s="684"/>
      <c r="FDB74" s="684"/>
      <c r="FDC74" s="684"/>
      <c r="FDD74" s="684"/>
      <c r="FDE74" s="684"/>
      <c r="FDF74" s="684"/>
      <c r="FDG74" s="684"/>
      <c r="FDH74" s="684"/>
      <c r="FDI74" s="684"/>
      <c r="FDJ74" s="684"/>
      <c r="FDK74" s="684"/>
      <c r="FDL74" s="684"/>
      <c r="FDM74" s="684"/>
      <c r="FDN74" s="684"/>
      <c r="FDO74" s="684"/>
      <c r="FDP74" s="684"/>
      <c r="FDQ74" s="684"/>
      <c r="FDR74" s="684"/>
      <c r="FDS74" s="684"/>
      <c r="FDT74" s="684"/>
      <c r="FDU74" s="684"/>
      <c r="FDV74" s="684"/>
      <c r="FDW74" s="684"/>
      <c r="FDX74" s="684"/>
      <c r="FDY74" s="684"/>
      <c r="FDZ74" s="684"/>
      <c r="FEA74" s="684"/>
      <c r="FEB74" s="684"/>
      <c r="FEC74" s="684"/>
      <c r="FED74" s="684"/>
      <c r="FEE74" s="684"/>
      <c r="FEF74" s="684"/>
      <c r="FEG74" s="684"/>
      <c r="FEH74" s="684"/>
      <c r="FEI74" s="684"/>
      <c r="FEJ74" s="684"/>
      <c r="FEK74" s="684"/>
      <c r="FEL74" s="684"/>
      <c r="FEM74" s="684"/>
      <c r="FEN74" s="684"/>
      <c r="FEO74" s="684"/>
      <c r="FEP74" s="684"/>
      <c r="FEQ74" s="684"/>
      <c r="FER74" s="684"/>
      <c r="FES74" s="684"/>
      <c r="FET74" s="684"/>
      <c r="FEU74" s="684"/>
      <c r="FEV74" s="684"/>
      <c r="FEW74" s="684"/>
      <c r="FEX74" s="684"/>
      <c r="FEY74" s="684"/>
      <c r="FEZ74" s="684"/>
      <c r="FFA74" s="684"/>
      <c r="FFB74" s="684"/>
      <c r="FFC74" s="684"/>
      <c r="FFD74" s="684"/>
      <c r="FFE74" s="684"/>
      <c r="FFF74" s="684"/>
      <c r="FFG74" s="684"/>
      <c r="FFH74" s="684"/>
      <c r="FFI74" s="684"/>
      <c r="FFJ74" s="684"/>
      <c r="FFK74" s="684"/>
      <c r="FFL74" s="684"/>
      <c r="FFM74" s="684"/>
      <c r="FFN74" s="684"/>
      <c r="FFO74" s="684"/>
      <c r="FFP74" s="684"/>
      <c r="FFQ74" s="684"/>
      <c r="FFR74" s="684"/>
      <c r="FFS74" s="684"/>
      <c r="FFT74" s="684"/>
      <c r="FFU74" s="684"/>
      <c r="FFV74" s="684"/>
      <c r="FFW74" s="684"/>
      <c r="FFX74" s="684"/>
      <c r="FFY74" s="684"/>
      <c r="FFZ74" s="684"/>
      <c r="FGA74" s="684"/>
      <c r="FGB74" s="684"/>
      <c r="FGC74" s="684"/>
      <c r="FGD74" s="684"/>
      <c r="FGE74" s="684"/>
      <c r="FGF74" s="684"/>
      <c r="FGG74" s="684"/>
      <c r="FGH74" s="684"/>
      <c r="FGI74" s="684"/>
      <c r="FGJ74" s="684"/>
      <c r="FGK74" s="684"/>
      <c r="FGL74" s="684"/>
      <c r="FGM74" s="684"/>
      <c r="FGN74" s="684"/>
      <c r="FGO74" s="684"/>
      <c r="FGP74" s="684"/>
      <c r="FGQ74" s="684"/>
      <c r="FGR74" s="684"/>
      <c r="FGS74" s="684"/>
      <c r="FGT74" s="684"/>
      <c r="FGU74" s="684"/>
      <c r="FGV74" s="684"/>
      <c r="FGW74" s="684"/>
      <c r="FGX74" s="684"/>
      <c r="FGY74" s="684"/>
      <c r="FGZ74" s="684"/>
      <c r="FHA74" s="684"/>
      <c r="FHB74" s="684"/>
      <c r="FHC74" s="684"/>
      <c r="FHD74" s="684"/>
      <c r="FHE74" s="684"/>
      <c r="FHF74" s="684"/>
      <c r="FHG74" s="684"/>
      <c r="FHH74" s="684"/>
      <c r="FHI74" s="684"/>
      <c r="FHJ74" s="684"/>
      <c r="FHK74" s="684"/>
      <c r="FHL74" s="684"/>
      <c r="FHM74" s="684"/>
      <c r="FHN74" s="684"/>
      <c r="FHO74" s="684"/>
      <c r="FHP74" s="684"/>
      <c r="FHQ74" s="684"/>
      <c r="FHR74" s="684"/>
      <c r="FHS74" s="684"/>
      <c r="FHT74" s="684"/>
      <c r="FHU74" s="684"/>
      <c r="FHV74" s="684"/>
      <c r="FHW74" s="684"/>
      <c r="FHX74" s="684"/>
      <c r="FHY74" s="684"/>
      <c r="FHZ74" s="684"/>
      <c r="FIA74" s="684"/>
      <c r="FIB74" s="684"/>
      <c r="FIC74" s="684"/>
      <c r="FID74" s="684"/>
      <c r="FIE74" s="684"/>
      <c r="FIF74" s="684"/>
      <c r="FIG74" s="684"/>
      <c r="FIH74" s="684"/>
      <c r="FII74" s="684"/>
      <c r="FIJ74" s="684"/>
      <c r="FIK74" s="684"/>
      <c r="FIL74" s="684"/>
      <c r="FIM74" s="684"/>
      <c r="FIN74" s="684"/>
      <c r="FIO74" s="684"/>
      <c r="FIP74" s="684"/>
      <c r="FIQ74" s="684"/>
      <c r="FIR74" s="684"/>
      <c r="FIS74" s="684"/>
      <c r="FIT74" s="684"/>
      <c r="FIU74" s="684"/>
      <c r="FIV74" s="684"/>
      <c r="FIW74" s="684"/>
      <c r="FIX74" s="684"/>
      <c r="FIY74" s="684"/>
      <c r="FIZ74" s="684"/>
      <c r="FJA74" s="684"/>
      <c r="FJB74" s="684"/>
      <c r="FJC74" s="684"/>
      <c r="FJD74" s="684"/>
      <c r="FJE74" s="684"/>
      <c r="FJF74" s="684"/>
      <c r="FJG74" s="684"/>
      <c r="FJH74" s="684"/>
      <c r="FJI74" s="684"/>
      <c r="FJJ74" s="684"/>
      <c r="FJK74" s="684"/>
      <c r="FJL74" s="684"/>
      <c r="FJM74" s="684"/>
      <c r="FJN74" s="684"/>
      <c r="FJO74" s="684"/>
      <c r="FJP74" s="684"/>
      <c r="FJQ74" s="684"/>
      <c r="FJR74" s="684"/>
      <c r="FJS74" s="684"/>
      <c r="FJT74" s="684"/>
      <c r="FJU74" s="684"/>
      <c r="FJV74" s="684"/>
      <c r="FJW74" s="684"/>
      <c r="FJX74" s="684"/>
      <c r="FJY74" s="684"/>
      <c r="FJZ74" s="684"/>
      <c r="FKA74" s="684"/>
      <c r="FKB74" s="684"/>
      <c r="FKC74" s="684"/>
      <c r="FKD74" s="684"/>
      <c r="FKE74" s="684"/>
      <c r="FKF74" s="684"/>
      <c r="FKG74" s="684"/>
      <c r="FKH74" s="684"/>
      <c r="FKI74" s="684"/>
      <c r="FKJ74" s="684"/>
      <c r="FKK74" s="684"/>
      <c r="FKL74" s="684"/>
      <c r="FKM74" s="684"/>
      <c r="FKN74" s="684"/>
      <c r="FKO74" s="684"/>
      <c r="FKP74" s="684"/>
      <c r="FKQ74" s="684"/>
      <c r="FKR74" s="684"/>
      <c r="FKS74" s="684"/>
      <c r="FKT74" s="684"/>
      <c r="FKU74" s="684"/>
      <c r="FKV74" s="684"/>
      <c r="FKW74" s="684"/>
      <c r="FKX74" s="684"/>
      <c r="FKY74" s="684"/>
      <c r="FKZ74" s="684"/>
      <c r="FLA74" s="684"/>
      <c r="FLB74" s="684"/>
      <c r="FLC74" s="684"/>
      <c r="FLD74" s="684"/>
      <c r="FLE74" s="684"/>
      <c r="FLF74" s="684"/>
      <c r="FLG74" s="684"/>
      <c r="FLH74" s="684"/>
      <c r="FLI74" s="684"/>
      <c r="FLJ74" s="684"/>
      <c r="FLK74" s="684"/>
      <c r="FLL74" s="684"/>
      <c r="FLM74" s="684"/>
      <c r="FLN74" s="684"/>
      <c r="FLO74" s="684"/>
      <c r="FLP74" s="684"/>
      <c r="FLQ74" s="684"/>
      <c r="FLR74" s="684"/>
      <c r="FLS74" s="684"/>
      <c r="FLT74" s="684"/>
      <c r="FLU74" s="684"/>
      <c r="FLV74" s="684"/>
      <c r="FLW74" s="684"/>
      <c r="FLX74" s="684"/>
      <c r="FLY74" s="684"/>
      <c r="FLZ74" s="684"/>
      <c r="FMA74" s="684"/>
      <c r="FMB74" s="684"/>
      <c r="FMC74" s="684"/>
      <c r="FMD74" s="684"/>
      <c r="FME74" s="684"/>
      <c r="FMF74" s="684"/>
      <c r="FMG74" s="684"/>
      <c r="FMH74" s="684"/>
      <c r="FMI74" s="684"/>
      <c r="FMJ74" s="684"/>
      <c r="FMK74" s="684"/>
      <c r="FML74" s="684"/>
      <c r="FMM74" s="684"/>
      <c r="FMN74" s="684"/>
      <c r="FMO74" s="684"/>
      <c r="FMP74" s="684"/>
      <c r="FMQ74" s="684"/>
      <c r="FMR74" s="684"/>
      <c r="FMS74" s="684"/>
      <c r="FMT74" s="684"/>
      <c r="FMU74" s="684"/>
      <c r="FMV74" s="684"/>
      <c r="FMW74" s="684"/>
      <c r="FMX74" s="684"/>
      <c r="FMY74" s="684"/>
      <c r="FMZ74" s="684"/>
      <c r="FNA74" s="684"/>
      <c r="FNB74" s="684"/>
      <c r="FNC74" s="684"/>
      <c r="FND74" s="684"/>
      <c r="FNE74" s="684"/>
      <c r="FNF74" s="684"/>
      <c r="FNG74" s="684"/>
      <c r="FNH74" s="684"/>
      <c r="FNI74" s="684"/>
      <c r="FNJ74" s="684"/>
      <c r="FNK74" s="684"/>
      <c r="FNL74" s="684"/>
      <c r="FNM74" s="684"/>
      <c r="FNN74" s="684"/>
      <c r="FNO74" s="684"/>
      <c r="FNP74" s="684"/>
      <c r="FNQ74" s="684"/>
      <c r="FNR74" s="684"/>
      <c r="FNS74" s="684"/>
      <c r="FNT74" s="684"/>
      <c r="FNU74" s="684"/>
      <c r="FNV74" s="684"/>
      <c r="FNW74" s="684"/>
      <c r="FNX74" s="684"/>
      <c r="FNY74" s="684"/>
      <c r="FNZ74" s="684"/>
      <c r="FOA74" s="684"/>
      <c r="FOB74" s="684"/>
      <c r="FOC74" s="684"/>
      <c r="FOD74" s="684"/>
      <c r="FOE74" s="684"/>
      <c r="FOF74" s="684"/>
      <c r="FOG74" s="684"/>
      <c r="FOH74" s="684"/>
      <c r="FOI74" s="684"/>
      <c r="FOJ74" s="684"/>
      <c r="FOK74" s="684"/>
      <c r="FOL74" s="684"/>
      <c r="FOM74" s="684"/>
      <c r="FON74" s="684"/>
      <c r="FOO74" s="684"/>
      <c r="FOP74" s="684"/>
      <c r="FOQ74" s="684"/>
      <c r="FOR74" s="684"/>
      <c r="FOS74" s="684"/>
      <c r="FOT74" s="684"/>
      <c r="FOU74" s="684"/>
      <c r="FOV74" s="684"/>
      <c r="FOW74" s="684"/>
      <c r="FOX74" s="684"/>
      <c r="FOY74" s="684"/>
      <c r="FOZ74" s="684"/>
      <c r="FPA74" s="684"/>
      <c r="FPB74" s="684"/>
      <c r="FPC74" s="684"/>
      <c r="FPD74" s="684"/>
      <c r="FPE74" s="684"/>
      <c r="FPF74" s="684"/>
      <c r="FPG74" s="684"/>
      <c r="FPH74" s="684"/>
      <c r="FPI74" s="684"/>
      <c r="FPJ74" s="684"/>
      <c r="FPK74" s="684"/>
      <c r="FPL74" s="684"/>
      <c r="FPM74" s="684"/>
      <c r="FPN74" s="684"/>
      <c r="FPO74" s="684"/>
      <c r="FPP74" s="684"/>
      <c r="FPQ74" s="684"/>
      <c r="FPR74" s="684"/>
      <c r="FPS74" s="684"/>
      <c r="FPT74" s="684"/>
      <c r="FPU74" s="684"/>
      <c r="FPV74" s="684"/>
      <c r="FPW74" s="684"/>
      <c r="FPX74" s="684"/>
      <c r="FPY74" s="684"/>
      <c r="FPZ74" s="684"/>
      <c r="FQA74" s="684"/>
      <c r="FQB74" s="684"/>
      <c r="FQC74" s="684"/>
      <c r="FQD74" s="684"/>
      <c r="FQE74" s="684"/>
      <c r="FQF74" s="684"/>
      <c r="FQG74" s="684"/>
      <c r="FQH74" s="684"/>
      <c r="FQI74" s="684"/>
      <c r="FQJ74" s="684"/>
      <c r="FQK74" s="684"/>
      <c r="FQL74" s="684"/>
      <c r="FQM74" s="684"/>
      <c r="FQN74" s="684"/>
      <c r="FQO74" s="684"/>
      <c r="FQP74" s="684"/>
      <c r="FQQ74" s="684"/>
      <c r="FQR74" s="684"/>
      <c r="FQS74" s="684"/>
      <c r="FQT74" s="684"/>
      <c r="FQU74" s="684"/>
      <c r="FQV74" s="684"/>
      <c r="FQW74" s="684"/>
      <c r="FQX74" s="684"/>
      <c r="FQY74" s="684"/>
      <c r="FQZ74" s="684"/>
      <c r="FRA74" s="684"/>
      <c r="FRB74" s="684"/>
      <c r="FRC74" s="684"/>
      <c r="FRD74" s="684"/>
      <c r="FRE74" s="684"/>
      <c r="FRF74" s="684"/>
      <c r="FRG74" s="684"/>
      <c r="FRH74" s="684"/>
      <c r="FRI74" s="684"/>
      <c r="FRJ74" s="684"/>
      <c r="FRK74" s="684"/>
      <c r="FRL74" s="684"/>
      <c r="FRM74" s="684"/>
      <c r="FRN74" s="684"/>
      <c r="FRO74" s="684"/>
      <c r="FRP74" s="684"/>
      <c r="FRQ74" s="684"/>
      <c r="FRR74" s="684"/>
      <c r="FRS74" s="684"/>
      <c r="FRT74" s="684"/>
      <c r="FRU74" s="684"/>
      <c r="FRV74" s="684"/>
      <c r="FRW74" s="684"/>
      <c r="FRX74" s="684"/>
      <c r="FRY74" s="684"/>
      <c r="FRZ74" s="684"/>
      <c r="FSA74" s="684"/>
      <c r="FSB74" s="684"/>
      <c r="FSC74" s="684"/>
      <c r="FSD74" s="684"/>
      <c r="FSE74" s="684"/>
      <c r="FSF74" s="684"/>
      <c r="FSG74" s="684"/>
      <c r="FSH74" s="684"/>
      <c r="FSI74" s="684"/>
      <c r="FSJ74" s="684"/>
      <c r="FSK74" s="684"/>
      <c r="FSL74" s="684"/>
      <c r="FSM74" s="684"/>
      <c r="FSN74" s="684"/>
      <c r="FSO74" s="684"/>
      <c r="FSP74" s="684"/>
      <c r="FSQ74" s="684"/>
      <c r="FSR74" s="684"/>
      <c r="FSS74" s="684"/>
      <c r="FST74" s="684"/>
      <c r="FSU74" s="684"/>
      <c r="FSV74" s="684"/>
      <c r="FSW74" s="684"/>
      <c r="FSX74" s="684"/>
      <c r="FSY74" s="684"/>
      <c r="FSZ74" s="684"/>
      <c r="FTA74" s="684"/>
      <c r="FTB74" s="684"/>
      <c r="FTC74" s="684"/>
      <c r="FTD74" s="684"/>
      <c r="FTE74" s="684"/>
      <c r="FTF74" s="684"/>
      <c r="FTG74" s="684"/>
      <c r="FTH74" s="684"/>
      <c r="FTI74" s="684"/>
      <c r="FTJ74" s="684"/>
      <c r="FTK74" s="684"/>
      <c r="FTL74" s="684"/>
      <c r="FTM74" s="684"/>
      <c r="FTN74" s="684"/>
      <c r="FTO74" s="684"/>
      <c r="FTP74" s="684"/>
      <c r="FTQ74" s="684"/>
      <c r="FTR74" s="684"/>
      <c r="FTS74" s="684"/>
      <c r="FTT74" s="684"/>
      <c r="FTU74" s="684"/>
      <c r="FTV74" s="684"/>
      <c r="FTW74" s="684"/>
      <c r="FTX74" s="684"/>
      <c r="FTY74" s="684"/>
      <c r="FTZ74" s="684"/>
      <c r="FUA74" s="684"/>
      <c r="FUB74" s="684"/>
      <c r="FUC74" s="684"/>
      <c r="FUD74" s="684"/>
      <c r="FUE74" s="684"/>
      <c r="FUF74" s="684"/>
      <c r="FUG74" s="684"/>
      <c r="FUH74" s="684"/>
      <c r="FUI74" s="684"/>
      <c r="FUJ74" s="684"/>
      <c r="FUK74" s="684"/>
      <c r="FUL74" s="684"/>
      <c r="FUM74" s="684"/>
      <c r="FUN74" s="684"/>
      <c r="FUO74" s="684"/>
      <c r="FUP74" s="684"/>
      <c r="FUQ74" s="684"/>
      <c r="FUR74" s="684"/>
      <c r="FUS74" s="684"/>
      <c r="FUT74" s="684"/>
      <c r="FUU74" s="684"/>
      <c r="FUV74" s="684"/>
      <c r="FUW74" s="684"/>
      <c r="FUX74" s="684"/>
      <c r="FUY74" s="684"/>
      <c r="FUZ74" s="684"/>
      <c r="FVA74" s="684"/>
      <c r="FVB74" s="684"/>
      <c r="FVC74" s="684"/>
      <c r="FVD74" s="684"/>
      <c r="FVE74" s="684"/>
      <c r="FVF74" s="684"/>
      <c r="FVG74" s="684"/>
      <c r="FVH74" s="684"/>
      <c r="FVI74" s="684"/>
      <c r="FVJ74" s="684"/>
      <c r="FVK74" s="684"/>
      <c r="FVL74" s="684"/>
      <c r="FVM74" s="684"/>
      <c r="FVN74" s="684"/>
      <c r="FVO74" s="684"/>
      <c r="FVP74" s="684"/>
      <c r="FVQ74" s="684"/>
      <c r="FVR74" s="684"/>
      <c r="FVS74" s="684"/>
      <c r="FVT74" s="684"/>
      <c r="FVU74" s="684"/>
      <c r="FVV74" s="684"/>
      <c r="FVW74" s="684"/>
      <c r="FVX74" s="684"/>
      <c r="FVY74" s="684"/>
      <c r="FVZ74" s="684"/>
      <c r="FWA74" s="684"/>
      <c r="FWB74" s="684"/>
      <c r="FWC74" s="684"/>
      <c r="FWD74" s="684"/>
      <c r="FWE74" s="684"/>
      <c r="FWF74" s="684"/>
      <c r="FWG74" s="684"/>
      <c r="FWH74" s="684"/>
      <c r="FWI74" s="684"/>
      <c r="FWJ74" s="684"/>
      <c r="FWK74" s="684"/>
      <c r="FWL74" s="684"/>
      <c r="FWM74" s="684"/>
      <c r="FWN74" s="684"/>
      <c r="FWO74" s="684"/>
      <c r="FWP74" s="684"/>
      <c r="FWQ74" s="684"/>
      <c r="FWR74" s="684"/>
      <c r="FWS74" s="684"/>
      <c r="FWT74" s="684"/>
      <c r="FWU74" s="684"/>
      <c r="FWV74" s="684"/>
      <c r="FWW74" s="684"/>
      <c r="FWX74" s="684"/>
      <c r="FWY74" s="684"/>
      <c r="FWZ74" s="684"/>
      <c r="FXA74" s="684"/>
      <c r="FXB74" s="684"/>
      <c r="FXC74" s="684"/>
      <c r="FXD74" s="684"/>
      <c r="FXE74" s="684"/>
      <c r="FXF74" s="684"/>
      <c r="FXG74" s="684"/>
      <c r="FXH74" s="684"/>
      <c r="FXI74" s="684"/>
      <c r="FXJ74" s="684"/>
      <c r="FXK74" s="684"/>
      <c r="FXL74" s="684"/>
      <c r="FXM74" s="684"/>
      <c r="FXN74" s="684"/>
      <c r="FXO74" s="684"/>
      <c r="FXP74" s="684"/>
      <c r="FXQ74" s="684"/>
      <c r="FXR74" s="684"/>
      <c r="FXS74" s="684"/>
      <c r="FXT74" s="684"/>
      <c r="FXU74" s="684"/>
      <c r="FXV74" s="684"/>
      <c r="FXW74" s="684"/>
      <c r="FXX74" s="684"/>
      <c r="FXY74" s="684"/>
      <c r="FXZ74" s="684"/>
      <c r="FYA74" s="684"/>
      <c r="FYB74" s="684"/>
      <c r="FYC74" s="684"/>
      <c r="FYD74" s="684"/>
      <c r="FYE74" s="684"/>
      <c r="FYF74" s="684"/>
      <c r="FYG74" s="684"/>
      <c r="FYH74" s="684"/>
      <c r="FYI74" s="684"/>
      <c r="FYJ74" s="684"/>
      <c r="FYK74" s="684"/>
      <c r="FYL74" s="684"/>
      <c r="FYM74" s="684"/>
      <c r="FYN74" s="684"/>
      <c r="FYO74" s="684"/>
      <c r="FYP74" s="684"/>
      <c r="FYQ74" s="684"/>
      <c r="FYR74" s="684"/>
      <c r="FYS74" s="684"/>
      <c r="FYT74" s="684"/>
      <c r="FYU74" s="684"/>
      <c r="FYV74" s="684"/>
      <c r="FYW74" s="684"/>
      <c r="FYX74" s="684"/>
      <c r="FYY74" s="684"/>
      <c r="FYZ74" s="684"/>
      <c r="FZA74" s="684"/>
      <c r="FZB74" s="684"/>
      <c r="FZC74" s="684"/>
      <c r="FZD74" s="684"/>
      <c r="FZE74" s="684"/>
      <c r="FZF74" s="684"/>
      <c r="FZG74" s="684"/>
      <c r="FZH74" s="684"/>
      <c r="FZI74" s="684"/>
      <c r="FZJ74" s="684"/>
      <c r="FZK74" s="684"/>
      <c r="FZL74" s="684"/>
      <c r="FZM74" s="684"/>
      <c r="FZN74" s="684"/>
      <c r="FZO74" s="684"/>
      <c r="FZP74" s="684"/>
      <c r="FZQ74" s="684"/>
      <c r="FZR74" s="684"/>
      <c r="FZS74" s="684"/>
      <c r="FZT74" s="684"/>
      <c r="FZU74" s="684"/>
      <c r="FZV74" s="684"/>
      <c r="FZW74" s="684"/>
      <c r="FZX74" s="684"/>
      <c r="FZY74" s="684"/>
      <c r="FZZ74" s="684"/>
      <c r="GAA74" s="684"/>
      <c r="GAB74" s="684"/>
      <c r="GAC74" s="684"/>
      <c r="GAD74" s="684"/>
      <c r="GAE74" s="684"/>
      <c r="GAF74" s="684"/>
      <c r="GAG74" s="684"/>
      <c r="GAH74" s="684"/>
      <c r="GAI74" s="684"/>
      <c r="GAJ74" s="684"/>
      <c r="GAK74" s="684"/>
      <c r="GAL74" s="684"/>
      <c r="GAM74" s="684"/>
      <c r="GAN74" s="684"/>
      <c r="GAO74" s="684"/>
      <c r="GAP74" s="684"/>
      <c r="GAQ74" s="684"/>
      <c r="GAR74" s="684"/>
      <c r="GAS74" s="684"/>
      <c r="GAT74" s="684"/>
      <c r="GAU74" s="684"/>
      <c r="GAV74" s="684"/>
      <c r="GAW74" s="684"/>
      <c r="GAX74" s="684"/>
      <c r="GAY74" s="684"/>
      <c r="GAZ74" s="684"/>
      <c r="GBA74" s="684"/>
      <c r="GBB74" s="684"/>
      <c r="GBC74" s="684"/>
      <c r="GBD74" s="684"/>
      <c r="GBE74" s="684"/>
      <c r="GBF74" s="684"/>
      <c r="GBG74" s="684"/>
      <c r="GBH74" s="684"/>
      <c r="GBI74" s="684"/>
      <c r="GBJ74" s="684"/>
      <c r="GBK74" s="684"/>
      <c r="GBL74" s="684"/>
      <c r="GBM74" s="684"/>
      <c r="GBN74" s="684"/>
      <c r="GBO74" s="684"/>
      <c r="GBP74" s="684"/>
      <c r="GBQ74" s="684"/>
      <c r="GBR74" s="684"/>
      <c r="GBS74" s="684"/>
      <c r="GBT74" s="684"/>
      <c r="GBU74" s="684"/>
      <c r="GBV74" s="684"/>
      <c r="GBW74" s="684"/>
      <c r="GBX74" s="684"/>
      <c r="GBY74" s="684"/>
      <c r="GBZ74" s="684"/>
      <c r="GCA74" s="684"/>
      <c r="GCB74" s="684"/>
      <c r="GCC74" s="684"/>
      <c r="GCD74" s="684"/>
      <c r="GCE74" s="684"/>
      <c r="GCF74" s="684"/>
      <c r="GCG74" s="684"/>
      <c r="GCH74" s="684"/>
      <c r="GCI74" s="684"/>
      <c r="GCJ74" s="684"/>
      <c r="GCK74" s="684"/>
      <c r="GCL74" s="684"/>
      <c r="GCM74" s="684"/>
      <c r="GCN74" s="684"/>
      <c r="GCO74" s="684"/>
      <c r="GCP74" s="684"/>
      <c r="GCQ74" s="684"/>
      <c r="GCR74" s="684"/>
      <c r="GCS74" s="684"/>
      <c r="GCT74" s="684"/>
      <c r="GCU74" s="684"/>
      <c r="GCV74" s="684"/>
      <c r="GCW74" s="684"/>
      <c r="GCX74" s="684"/>
      <c r="GCY74" s="684"/>
      <c r="GCZ74" s="684"/>
      <c r="GDA74" s="684"/>
      <c r="GDB74" s="684"/>
      <c r="GDC74" s="684"/>
      <c r="GDD74" s="684"/>
      <c r="GDE74" s="684"/>
      <c r="GDF74" s="684"/>
      <c r="GDG74" s="684"/>
      <c r="GDH74" s="684"/>
      <c r="GDI74" s="684"/>
      <c r="GDJ74" s="684"/>
      <c r="GDK74" s="684"/>
      <c r="GDL74" s="684"/>
      <c r="GDM74" s="684"/>
      <c r="GDN74" s="684"/>
      <c r="GDO74" s="684"/>
      <c r="GDP74" s="684"/>
      <c r="GDQ74" s="684"/>
      <c r="GDR74" s="684"/>
      <c r="GDS74" s="684"/>
      <c r="GDT74" s="684"/>
      <c r="GDU74" s="684"/>
      <c r="GDV74" s="684"/>
      <c r="GDW74" s="684"/>
      <c r="GDX74" s="684"/>
      <c r="GDY74" s="684"/>
      <c r="GDZ74" s="684"/>
      <c r="GEA74" s="684"/>
      <c r="GEB74" s="684"/>
      <c r="GEC74" s="684"/>
      <c r="GED74" s="684"/>
      <c r="GEE74" s="684"/>
      <c r="GEF74" s="684"/>
      <c r="GEG74" s="684"/>
      <c r="GEH74" s="684"/>
      <c r="GEI74" s="684"/>
      <c r="GEJ74" s="684"/>
      <c r="GEK74" s="684"/>
      <c r="GEL74" s="684"/>
      <c r="GEM74" s="684"/>
      <c r="GEN74" s="684"/>
      <c r="GEO74" s="684"/>
      <c r="GEP74" s="684"/>
      <c r="GEQ74" s="684"/>
      <c r="GER74" s="684"/>
      <c r="GES74" s="684"/>
      <c r="GET74" s="684"/>
      <c r="GEU74" s="684"/>
      <c r="GEV74" s="684"/>
      <c r="GEW74" s="684"/>
      <c r="GEX74" s="684"/>
      <c r="GEY74" s="684"/>
      <c r="GEZ74" s="684"/>
      <c r="GFA74" s="684"/>
      <c r="GFB74" s="684"/>
      <c r="GFC74" s="684"/>
      <c r="GFD74" s="684"/>
      <c r="GFE74" s="684"/>
      <c r="GFF74" s="684"/>
      <c r="GFG74" s="684"/>
      <c r="GFH74" s="684"/>
      <c r="GFI74" s="684"/>
      <c r="GFJ74" s="684"/>
      <c r="GFK74" s="684"/>
      <c r="GFL74" s="684"/>
      <c r="GFM74" s="684"/>
      <c r="GFN74" s="684"/>
      <c r="GFO74" s="684"/>
      <c r="GFP74" s="684"/>
      <c r="GFQ74" s="684"/>
      <c r="GFR74" s="684"/>
      <c r="GFS74" s="684"/>
      <c r="GFT74" s="684"/>
      <c r="GFU74" s="684"/>
      <c r="GFV74" s="684"/>
      <c r="GFW74" s="684"/>
      <c r="GFX74" s="684"/>
      <c r="GFY74" s="684"/>
      <c r="GFZ74" s="684"/>
      <c r="GGA74" s="684"/>
      <c r="GGB74" s="684"/>
      <c r="GGC74" s="684"/>
      <c r="GGD74" s="684"/>
      <c r="GGE74" s="684"/>
      <c r="GGF74" s="684"/>
      <c r="GGG74" s="684"/>
      <c r="GGH74" s="684"/>
      <c r="GGI74" s="684"/>
      <c r="GGJ74" s="684"/>
      <c r="GGK74" s="684"/>
      <c r="GGL74" s="684"/>
      <c r="GGM74" s="684"/>
      <c r="GGN74" s="684"/>
      <c r="GGO74" s="684"/>
      <c r="GGP74" s="684"/>
      <c r="GGQ74" s="684"/>
      <c r="GGR74" s="684"/>
      <c r="GGS74" s="684"/>
      <c r="GGT74" s="684"/>
      <c r="GGU74" s="684"/>
      <c r="GGV74" s="684"/>
      <c r="GGW74" s="684"/>
      <c r="GGX74" s="684"/>
      <c r="GGY74" s="684"/>
      <c r="GGZ74" s="684"/>
      <c r="GHA74" s="684"/>
      <c r="GHB74" s="684"/>
      <c r="GHC74" s="684"/>
      <c r="GHD74" s="684"/>
      <c r="GHE74" s="684"/>
      <c r="GHF74" s="684"/>
      <c r="GHG74" s="684"/>
      <c r="GHH74" s="684"/>
      <c r="GHI74" s="684"/>
      <c r="GHJ74" s="684"/>
      <c r="GHK74" s="684"/>
      <c r="GHL74" s="684"/>
      <c r="GHM74" s="684"/>
      <c r="GHN74" s="684"/>
      <c r="GHO74" s="684"/>
      <c r="GHP74" s="684"/>
      <c r="GHQ74" s="684"/>
      <c r="GHR74" s="684"/>
      <c r="GHS74" s="684"/>
      <c r="GHT74" s="684"/>
      <c r="GHU74" s="684"/>
      <c r="GHV74" s="684"/>
      <c r="GHW74" s="684"/>
      <c r="GHX74" s="684"/>
      <c r="GHY74" s="684"/>
      <c r="GHZ74" s="684"/>
      <c r="GIA74" s="684"/>
      <c r="GIB74" s="684"/>
      <c r="GIC74" s="684"/>
      <c r="GID74" s="684"/>
      <c r="GIE74" s="684"/>
      <c r="GIF74" s="684"/>
      <c r="GIG74" s="684"/>
      <c r="GIH74" s="684"/>
      <c r="GII74" s="684"/>
      <c r="GIJ74" s="684"/>
      <c r="GIK74" s="684"/>
      <c r="GIL74" s="684"/>
      <c r="GIM74" s="684"/>
      <c r="GIN74" s="684"/>
      <c r="GIO74" s="684"/>
      <c r="GIP74" s="684"/>
      <c r="GIQ74" s="684"/>
      <c r="GIR74" s="684"/>
      <c r="GIS74" s="684"/>
      <c r="GIT74" s="684"/>
      <c r="GIU74" s="684"/>
      <c r="GIV74" s="684"/>
      <c r="GIW74" s="684"/>
      <c r="GIX74" s="684"/>
      <c r="GIY74" s="684"/>
      <c r="GIZ74" s="684"/>
      <c r="GJA74" s="684"/>
      <c r="GJB74" s="684"/>
      <c r="GJC74" s="684"/>
      <c r="GJD74" s="684"/>
      <c r="GJE74" s="684"/>
      <c r="GJF74" s="684"/>
      <c r="GJG74" s="684"/>
      <c r="GJH74" s="684"/>
      <c r="GJI74" s="684"/>
      <c r="GJJ74" s="684"/>
      <c r="GJK74" s="684"/>
      <c r="GJL74" s="684"/>
      <c r="GJM74" s="684"/>
      <c r="GJN74" s="684"/>
      <c r="GJO74" s="684"/>
      <c r="GJP74" s="684"/>
      <c r="GJQ74" s="684"/>
      <c r="GJR74" s="684"/>
      <c r="GJS74" s="684"/>
      <c r="GJT74" s="684"/>
      <c r="GJU74" s="684"/>
      <c r="GJV74" s="684"/>
      <c r="GJW74" s="684"/>
      <c r="GJX74" s="684"/>
      <c r="GJY74" s="684"/>
      <c r="GJZ74" s="684"/>
      <c r="GKA74" s="684"/>
      <c r="GKB74" s="684"/>
      <c r="GKC74" s="684"/>
      <c r="GKD74" s="684"/>
      <c r="GKE74" s="684"/>
      <c r="GKF74" s="684"/>
      <c r="GKG74" s="684"/>
      <c r="GKH74" s="684"/>
      <c r="GKI74" s="684"/>
      <c r="GKJ74" s="684"/>
      <c r="GKK74" s="684"/>
      <c r="GKL74" s="684"/>
      <c r="GKM74" s="684"/>
      <c r="GKN74" s="684"/>
      <c r="GKO74" s="684"/>
      <c r="GKP74" s="684"/>
      <c r="GKQ74" s="684"/>
      <c r="GKR74" s="684"/>
      <c r="GKS74" s="684"/>
      <c r="GKT74" s="684"/>
      <c r="GKU74" s="684"/>
      <c r="GKV74" s="684"/>
      <c r="GKW74" s="684"/>
      <c r="GKX74" s="684"/>
      <c r="GKY74" s="684"/>
      <c r="GKZ74" s="684"/>
      <c r="GLA74" s="684"/>
      <c r="GLB74" s="684"/>
      <c r="GLC74" s="684"/>
      <c r="GLD74" s="684"/>
      <c r="GLE74" s="684"/>
      <c r="GLF74" s="684"/>
      <c r="GLG74" s="684"/>
      <c r="GLH74" s="684"/>
      <c r="GLI74" s="684"/>
      <c r="GLJ74" s="684"/>
      <c r="GLK74" s="684"/>
      <c r="GLL74" s="684"/>
      <c r="GLM74" s="684"/>
      <c r="GLN74" s="684"/>
      <c r="GLO74" s="684"/>
      <c r="GLP74" s="684"/>
      <c r="GLQ74" s="684"/>
      <c r="GLR74" s="684"/>
      <c r="GLS74" s="684"/>
      <c r="GLT74" s="684"/>
      <c r="GLU74" s="684"/>
      <c r="GLV74" s="684"/>
      <c r="GLW74" s="684"/>
      <c r="GLX74" s="684"/>
      <c r="GLY74" s="684"/>
      <c r="GLZ74" s="684"/>
      <c r="GMA74" s="684"/>
      <c r="GMB74" s="684"/>
      <c r="GMC74" s="684"/>
      <c r="GMD74" s="684"/>
      <c r="GME74" s="684"/>
      <c r="GMF74" s="684"/>
      <c r="GMG74" s="684"/>
      <c r="GMH74" s="684"/>
      <c r="GMI74" s="684"/>
      <c r="GMJ74" s="684"/>
      <c r="GMK74" s="684"/>
      <c r="GML74" s="684"/>
      <c r="GMM74" s="684"/>
      <c r="GMN74" s="684"/>
      <c r="GMO74" s="684"/>
      <c r="GMP74" s="684"/>
      <c r="GMQ74" s="684"/>
      <c r="GMR74" s="684"/>
      <c r="GMS74" s="684"/>
      <c r="GMT74" s="684"/>
      <c r="GMU74" s="684"/>
      <c r="GMV74" s="684"/>
      <c r="GMW74" s="684"/>
      <c r="GMX74" s="684"/>
      <c r="GMY74" s="684"/>
      <c r="GMZ74" s="684"/>
      <c r="GNA74" s="684"/>
      <c r="GNB74" s="684"/>
      <c r="GNC74" s="684"/>
      <c r="GND74" s="684"/>
      <c r="GNE74" s="684"/>
      <c r="GNF74" s="684"/>
      <c r="GNG74" s="684"/>
      <c r="GNH74" s="684"/>
      <c r="GNI74" s="684"/>
      <c r="GNJ74" s="684"/>
      <c r="GNK74" s="684"/>
      <c r="GNL74" s="684"/>
      <c r="GNM74" s="684"/>
      <c r="GNN74" s="684"/>
      <c r="GNO74" s="684"/>
      <c r="GNP74" s="684"/>
      <c r="GNQ74" s="684"/>
      <c r="GNR74" s="684"/>
      <c r="GNS74" s="684"/>
      <c r="GNT74" s="684"/>
      <c r="GNU74" s="684"/>
      <c r="GNV74" s="684"/>
      <c r="GNW74" s="684"/>
      <c r="GNX74" s="684"/>
      <c r="GNY74" s="684"/>
      <c r="GNZ74" s="684"/>
      <c r="GOA74" s="684"/>
      <c r="GOB74" s="684"/>
      <c r="GOC74" s="684"/>
      <c r="GOD74" s="684"/>
      <c r="GOE74" s="684"/>
      <c r="GOF74" s="684"/>
      <c r="GOG74" s="684"/>
      <c r="GOH74" s="684"/>
      <c r="GOI74" s="684"/>
      <c r="GOJ74" s="684"/>
      <c r="GOK74" s="684"/>
      <c r="GOL74" s="684"/>
      <c r="GOM74" s="684"/>
      <c r="GON74" s="684"/>
      <c r="GOO74" s="684"/>
      <c r="GOP74" s="684"/>
      <c r="GOQ74" s="684"/>
      <c r="GOR74" s="684"/>
      <c r="GOS74" s="684"/>
      <c r="GOT74" s="684"/>
      <c r="GOU74" s="684"/>
      <c r="GOV74" s="684"/>
      <c r="GOW74" s="684"/>
      <c r="GOX74" s="684"/>
      <c r="GOY74" s="684"/>
      <c r="GOZ74" s="684"/>
      <c r="GPA74" s="684"/>
      <c r="GPB74" s="684"/>
      <c r="GPC74" s="684"/>
      <c r="GPD74" s="684"/>
      <c r="GPE74" s="684"/>
      <c r="GPF74" s="684"/>
      <c r="GPG74" s="684"/>
      <c r="GPH74" s="684"/>
      <c r="GPI74" s="684"/>
      <c r="GPJ74" s="684"/>
      <c r="GPK74" s="684"/>
      <c r="GPL74" s="684"/>
      <c r="GPM74" s="684"/>
      <c r="GPN74" s="684"/>
      <c r="GPO74" s="684"/>
      <c r="GPP74" s="684"/>
      <c r="GPQ74" s="684"/>
      <c r="GPR74" s="684"/>
      <c r="GPS74" s="684"/>
      <c r="GPT74" s="684"/>
      <c r="GPU74" s="684"/>
      <c r="GPV74" s="684"/>
      <c r="GPW74" s="684"/>
      <c r="GPX74" s="684"/>
      <c r="GPY74" s="684"/>
      <c r="GPZ74" s="684"/>
      <c r="GQA74" s="684"/>
      <c r="GQB74" s="684"/>
      <c r="GQC74" s="684"/>
      <c r="GQD74" s="684"/>
      <c r="GQE74" s="684"/>
      <c r="GQF74" s="684"/>
      <c r="GQG74" s="684"/>
      <c r="GQH74" s="684"/>
      <c r="GQI74" s="684"/>
      <c r="GQJ74" s="684"/>
      <c r="GQK74" s="684"/>
      <c r="GQL74" s="684"/>
      <c r="GQM74" s="684"/>
      <c r="GQN74" s="684"/>
      <c r="GQO74" s="684"/>
      <c r="GQP74" s="684"/>
      <c r="GQQ74" s="684"/>
      <c r="GQR74" s="684"/>
      <c r="GQS74" s="684"/>
      <c r="GQT74" s="684"/>
      <c r="GQU74" s="684"/>
      <c r="GQV74" s="684"/>
      <c r="GQW74" s="684"/>
      <c r="GQX74" s="684"/>
      <c r="GQY74" s="684"/>
      <c r="GQZ74" s="684"/>
      <c r="GRA74" s="684"/>
      <c r="GRB74" s="684"/>
      <c r="GRC74" s="684"/>
      <c r="GRD74" s="684"/>
      <c r="GRE74" s="684"/>
      <c r="GRF74" s="684"/>
      <c r="GRG74" s="684"/>
      <c r="GRH74" s="684"/>
      <c r="GRI74" s="684"/>
      <c r="GRJ74" s="684"/>
      <c r="GRK74" s="684"/>
      <c r="GRL74" s="684"/>
      <c r="GRM74" s="684"/>
      <c r="GRN74" s="684"/>
      <c r="GRO74" s="684"/>
      <c r="GRP74" s="684"/>
      <c r="GRQ74" s="684"/>
      <c r="GRR74" s="684"/>
      <c r="GRS74" s="684"/>
      <c r="GRT74" s="684"/>
      <c r="GRU74" s="684"/>
      <c r="GRV74" s="684"/>
      <c r="GRW74" s="684"/>
      <c r="GRX74" s="684"/>
      <c r="GRY74" s="684"/>
      <c r="GRZ74" s="684"/>
      <c r="GSA74" s="684"/>
      <c r="GSB74" s="684"/>
      <c r="GSC74" s="684"/>
      <c r="GSD74" s="684"/>
      <c r="GSE74" s="684"/>
      <c r="GSF74" s="684"/>
      <c r="GSG74" s="684"/>
      <c r="GSH74" s="684"/>
      <c r="GSI74" s="684"/>
      <c r="GSJ74" s="684"/>
      <c r="GSK74" s="684"/>
      <c r="GSL74" s="684"/>
      <c r="GSM74" s="684"/>
      <c r="GSN74" s="684"/>
      <c r="GSO74" s="684"/>
      <c r="GSP74" s="684"/>
      <c r="GSQ74" s="684"/>
      <c r="GSR74" s="684"/>
      <c r="GSS74" s="684"/>
      <c r="GST74" s="684"/>
      <c r="GSU74" s="684"/>
      <c r="GSV74" s="684"/>
      <c r="GSW74" s="684"/>
      <c r="GSX74" s="684"/>
      <c r="GSY74" s="684"/>
      <c r="GSZ74" s="684"/>
      <c r="GTA74" s="684"/>
      <c r="GTB74" s="684"/>
      <c r="GTC74" s="684"/>
      <c r="GTD74" s="684"/>
      <c r="GTE74" s="684"/>
      <c r="GTF74" s="684"/>
      <c r="GTG74" s="684"/>
      <c r="GTH74" s="684"/>
      <c r="GTI74" s="684"/>
      <c r="GTJ74" s="684"/>
      <c r="GTK74" s="684"/>
      <c r="GTL74" s="684"/>
      <c r="GTM74" s="684"/>
      <c r="GTN74" s="684"/>
      <c r="GTO74" s="684"/>
      <c r="GTP74" s="684"/>
      <c r="GTQ74" s="684"/>
      <c r="GTR74" s="684"/>
      <c r="GTS74" s="684"/>
      <c r="GTT74" s="684"/>
      <c r="GTU74" s="684"/>
      <c r="GTV74" s="684"/>
      <c r="GTW74" s="684"/>
      <c r="GTX74" s="684"/>
      <c r="GTY74" s="684"/>
      <c r="GTZ74" s="684"/>
      <c r="GUA74" s="684"/>
      <c r="GUB74" s="684"/>
      <c r="GUC74" s="684"/>
      <c r="GUD74" s="684"/>
      <c r="GUE74" s="684"/>
      <c r="GUF74" s="684"/>
      <c r="GUG74" s="684"/>
      <c r="GUH74" s="684"/>
      <c r="GUI74" s="684"/>
      <c r="GUJ74" s="684"/>
      <c r="GUK74" s="684"/>
      <c r="GUL74" s="684"/>
      <c r="GUM74" s="684"/>
      <c r="GUN74" s="684"/>
      <c r="GUO74" s="684"/>
      <c r="GUP74" s="684"/>
      <c r="GUQ74" s="684"/>
      <c r="GUR74" s="684"/>
      <c r="GUS74" s="684"/>
      <c r="GUT74" s="684"/>
      <c r="GUU74" s="684"/>
      <c r="GUV74" s="684"/>
      <c r="GUW74" s="684"/>
      <c r="GUX74" s="684"/>
      <c r="GUY74" s="684"/>
      <c r="GUZ74" s="684"/>
      <c r="GVA74" s="684"/>
      <c r="GVB74" s="684"/>
      <c r="GVC74" s="684"/>
      <c r="GVD74" s="684"/>
      <c r="GVE74" s="684"/>
      <c r="GVF74" s="684"/>
      <c r="GVG74" s="684"/>
      <c r="GVH74" s="684"/>
      <c r="GVI74" s="684"/>
      <c r="GVJ74" s="684"/>
      <c r="GVK74" s="684"/>
      <c r="GVL74" s="684"/>
      <c r="GVM74" s="684"/>
      <c r="GVN74" s="684"/>
      <c r="GVO74" s="684"/>
      <c r="GVP74" s="684"/>
      <c r="GVQ74" s="684"/>
      <c r="GVR74" s="684"/>
      <c r="GVS74" s="684"/>
      <c r="GVT74" s="684"/>
      <c r="GVU74" s="684"/>
      <c r="GVV74" s="684"/>
      <c r="GVW74" s="684"/>
      <c r="GVX74" s="684"/>
      <c r="GVY74" s="684"/>
      <c r="GVZ74" s="684"/>
      <c r="GWA74" s="684"/>
      <c r="GWB74" s="684"/>
      <c r="GWC74" s="684"/>
      <c r="GWD74" s="684"/>
      <c r="GWE74" s="684"/>
      <c r="GWF74" s="684"/>
      <c r="GWG74" s="684"/>
      <c r="GWH74" s="684"/>
      <c r="GWI74" s="684"/>
      <c r="GWJ74" s="684"/>
      <c r="GWK74" s="684"/>
      <c r="GWL74" s="684"/>
      <c r="GWM74" s="684"/>
      <c r="GWN74" s="684"/>
      <c r="GWO74" s="684"/>
      <c r="GWP74" s="684"/>
      <c r="GWQ74" s="684"/>
      <c r="GWR74" s="684"/>
      <c r="GWS74" s="684"/>
      <c r="GWT74" s="684"/>
      <c r="GWU74" s="684"/>
      <c r="GWV74" s="684"/>
      <c r="GWW74" s="684"/>
      <c r="GWX74" s="684"/>
      <c r="GWY74" s="684"/>
      <c r="GWZ74" s="684"/>
      <c r="GXA74" s="684"/>
      <c r="GXB74" s="684"/>
      <c r="GXC74" s="684"/>
      <c r="GXD74" s="684"/>
      <c r="GXE74" s="684"/>
      <c r="GXF74" s="684"/>
      <c r="GXG74" s="684"/>
      <c r="GXH74" s="684"/>
      <c r="GXI74" s="684"/>
      <c r="GXJ74" s="684"/>
      <c r="GXK74" s="684"/>
      <c r="GXL74" s="684"/>
      <c r="GXM74" s="684"/>
      <c r="GXN74" s="684"/>
      <c r="GXO74" s="684"/>
      <c r="GXP74" s="684"/>
      <c r="GXQ74" s="684"/>
      <c r="GXR74" s="684"/>
      <c r="GXS74" s="684"/>
      <c r="GXT74" s="684"/>
      <c r="GXU74" s="684"/>
      <c r="GXV74" s="684"/>
      <c r="GXW74" s="684"/>
      <c r="GXX74" s="684"/>
      <c r="GXY74" s="684"/>
      <c r="GXZ74" s="684"/>
      <c r="GYA74" s="684"/>
      <c r="GYB74" s="684"/>
      <c r="GYC74" s="684"/>
      <c r="GYD74" s="684"/>
      <c r="GYE74" s="684"/>
      <c r="GYF74" s="684"/>
      <c r="GYG74" s="684"/>
      <c r="GYH74" s="684"/>
      <c r="GYI74" s="684"/>
      <c r="GYJ74" s="684"/>
      <c r="GYK74" s="684"/>
      <c r="GYL74" s="684"/>
      <c r="GYM74" s="684"/>
      <c r="GYN74" s="684"/>
      <c r="GYO74" s="684"/>
      <c r="GYP74" s="684"/>
      <c r="GYQ74" s="684"/>
      <c r="GYR74" s="684"/>
      <c r="GYS74" s="684"/>
      <c r="GYT74" s="684"/>
      <c r="GYU74" s="684"/>
      <c r="GYV74" s="684"/>
      <c r="GYW74" s="684"/>
      <c r="GYX74" s="684"/>
      <c r="GYY74" s="684"/>
      <c r="GYZ74" s="684"/>
      <c r="GZA74" s="684"/>
      <c r="GZB74" s="684"/>
      <c r="GZC74" s="684"/>
      <c r="GZD74" s="684"/>
      <c r="GZE74" s="684"/>
      <c r="GZF74" s="684"/>
      <c r="GZG74" s="684"/>
      <c r="GZH74" s="684"/>
      <c r="GZI74" s="684"/>
      <c r="GZJ74" s="684"/>
      <c r="GZK74" s="684"/>
      <c r="GZL74" s="684"/>
      <c r="GZM74" s="684"/>
      <c r="GZN74" s="684"/>
      <c r="GZO74" s="684"/>
      <c r="GZP74" s="684"/>
      <c r="GZQ74" s="684"/>
      <c r="GZR74" s="684"/>
      <c r="GZS74" s="684"/>
      <c r="GZT74" s="684"/>
      <c r="GZU74" s="684"/>
      <c r="GZV74" s="684"/>
      <c r="GZW74" s="684"/>
      <c r="GZX74" s="684"/>
      <c r="GZY74" s="684"/>
      <c r="GZZ74" s="684"/>
      <c r="HAA74" s="684"/>
      <c r="HAB74" s="684"/>
      <c r="HAC74" s="684"/>
      <c r="HAD74" s="684"/>
      <c r="HAE74" s="684"/>
      <c r="HAF74" s="684"/>
      <c r="HAG74" s="684"/>
      <c r="HAH74" s="684"/>
      <c r="HAI74" s="684"/>
      <c r="HAJ74" s="684"/>
      <c r="HAK74" s="684"/>
      <c r="HAL74" s="684"/>
      <c r="HAM74" s="684"/>
      <c r="HAN74" s="684"/>
      <c r="HAO74" s="684"/>
      <c r="HAP74" s="684"/>
      <c r="HAQ74" s="684"/>
      <c r="HAR74" s="684"/>
      <c r="HAS74" s="684"/>
      <c r="HAT74" s="684"/>
      <c r="HAU74" s="684"/>
      <c r="HAV74" s="684"/>
      <c r="HAW74" s="684"/>
      <c r="HAX74" s="684"/>
      <c r="HAY74" s="684"/>
      <c r="HAZ74" s="684"/>
      <c r="HBA74" s="684"/>
      <c r="HBB74" s="684"/>
      <c r="HBC74" s="684"/>
      <c r="HBD74" s="684"/>
      <c r="HBE74" s="684"/>
      <c r="HBF74" s="684"/>
      <c r="HBG74" s="684"/>
      <c r="HBH74" s="684"/>
      <c r="HBI74" s="684"/>
      <c r="HBJ74" s="684"/>
      <c r="HBK74" s="684"/>
      <c r="HBL74" s="684"/>
      <c r="HBM74" s="684"/>
      <c r="HBN74" s="684"/>
      <c r="HBO74" s="684"/>
      <c r="HBP74" s="684"/>
      <c r="HBQ74" s="684"/>
      <c r="HBR74" s="684"/>
      <c r="HBS74" s="684"/>
      <c r="HBT74" s="684"/>
      <c r="HBU74" s="684"/>
      <c r="HBV74" s="684"/>
      <c r="HBW74" s="684"/>
      <c r="HBX74" s="684"/>
      <c r="HBY74" s="684"/>
      <c r="HBZ74" s="684"/>
      <c r="HCA74" s="684"/>
      <c r="HCB74" s="684"/>
      <c r="HCC74" s="684"/>
      <c r="HCD74" s="684"/>
      <c r="HCE74" s="684"/>
      <c r="HCF74" s="684"/>
      <c r="HCG74" s="684"/>
      <c r="HCH74" s="684"/>
      <c r="HCI74" s="684"/>
      <c r="HCJ74" s="684"/>
      <c r="HCK74" s="684"/>
      <c r="HCL74" s="684"/>
      <c r="HCM74" s="684"/>
      <c r="HCN74" s="684"/>
      <c r="HCO74" s="684"/>
      <c r="HCP74" s="684"/>
      <c r="HCQ74" s="684"/>
      <c r="HCR74" s="684"/>
      <c r="HCS74" s="684"/>
      <c r="HCT74" s="684"/>
      <c r="HCU74" s="684"/>
      <c r="HCV74" s="684"/>
      <c r="HCW74" s="684"/>
      <c r="HCX74" s="684"/>
      <c r="HCY74" s="684"/>
      <c r="HCZ74" s="684"/>
      <c r="HDA74" s="684"/>
      <c r="HDB74" s="684"/>
      <c r="HDC74" s="684"/>
      <c r="HDD74" s="684"/>
      <c r="HDE74" s="684"/>
      <c r="HDF74" s="684"/>
      <c r="HDG74" s="684"/>
      <c r="HDH74" s="684"/>
      <c r="HDI74" s="684"/>
      <c r="HDJ74" s="684"/>
      <c r="HDK74" s="684"/>
      <c r="HDL74" s="684"/>
      <c r="HDM74" s="684"/>
      <c r="HDN74" s="684"/>
      <c r="HDO74" s="684"/>
      <c r="HDP74" s="684"/>
      <c r="HDQ74" s="684"/>
      <c r="HDR74" s="684"/>
      <c r="HDS74" s="684"/>
      <c r="HDT74" s="684"/>
      <c r="HDU74" s="684"/>
      <c r="HDV74" s="684"/>
      <c r="HDW74" s="684"/>
      <c r="HDX74" s="684"/>
      <c r="HDY74" s="684"/>
      <c r="HDZ74" s="684"/>
      <c r="HEA74" s="684"/>
      <c r="HEB74" s="684"/>
      <c r="HEC74" s="684"/>
      <c r="HED74" s="684"/>
      <c r="HEE74" s="684"/>
      <c r="HEF74" s="684"/>
      <c r="HEG74" s="684"/>
      <c r="HEH74" s="684"/>
      <c r="HEI74" s="684"/>
      <c r="HEJ74" s="684"/>
      <c r="HEK74" s="684"/>
      <c r="HEL74" s="684"/>
      <c r="HEM74" s="684"/>
      <c r="HEN74" s="684"/>
      <c r="HEO74" s="684"/>
      <c r="HEP74" s="684"/>
      <c r="HEQ74" s="684"/>
      <c r="HER74" s="684"/>
      <c r="HES74" s="684"/>
      <c r="HET74" s="684"/>
      <c r="HEU74" s="684"/>
      <c r="HEV74" s="684"/>
      <c r="HEW74" s="684"/>
      <c r="HEX74" s="684"/>
      <c r="HEY74" s="684"/>
      <c r="HEZ74" s="684"/>
      <c r="HFA74" s="684"/>
      <c r="HFB74" s="684"/>
      <c r="HFC74" s="684"/>
      <c r="HFD74" s="684"/>
      <c r="HFE74" s="684"/>
      <c r="HFF74" s="684"/>
      <c r="HFG74" s="684"/>
      <c r="HFH74" s="684"/>
      <c r="HFI74" s="684"/>
      <c r="HFJ74" s="684"/>
      <c r="HFK74" s="684"/>
      <c r="HFL74" s="684"/>
      <c r="HFM74" s="684"/>
      <c r="HFN74" s="684"/>
      <c r="HFO74" s="684"/>
      <c r="HFP74" s="684"/>
      <c r="HFQ74" s="684"/>
      <c r="HFR74" s="684"/>
      <c r="HFS74" s="684"/>
      <c r="HFT74" s="684"/>
      <c r="HFU74" s="684"/>
      <c r="HFV74" s="684"/>
      <c r="HFW74" s="684"/>
      <c r="HFX74" s="684"/>
      <c r="HFY74" s="684"/>
      <c r="HFZ74" s="684"/>
      <c r="HGA74" s="684"/>
      <c r="HGB74" s="684"/>
      <c r="HGC74" s="684"/>
      <c r="HGD74" s="684"/>
      <c r="HGE74" s="684"/>
      <c r="HGF74" s="684"/>
      <c r="HGG74" s="684"/>
      <c r="HGH74" s="684"/>
      <c r="HGI74" s="684"/>
      <c r="HGJ74" s="684"/>
      <c r="HGK74" s="684"/>
      <c r="HGL74" s="684"/>
      <c r="HGM74" s="684"/>
      <c r="HGN74" s="684"/>
      <c r="HGO74" s="684"/>
      <c r="HGP74" s="684"/>
      <c r="HGQ74" s="684"/>
      <c r="HGR74" s="684"/>
      <c r="HGS74" s="684"/>
      <c r="HGT74" s="684"/>
      <c r="HGU74" s="684"/>
      <c r="HGV74" s="684"/>
      <c r="HGW74" s="684"/>
      <c r="HGX74" s="684"/>
      <c r="HGY74" s="684"/>
      <c r="HGZ74" s="684"/>
      <c r="HHA74" s="684"/>
      <c r="HHB74" s="684"/>
      <c r="HHC74" s="684"/>
      <c r="HHD74" s="684"/>
      <c r="HHE74" s="684"/>
      <c r="HHF74" s="684"/>
      <c r="HHG74" s="684"/>
      <c r="HHH74" s="684"/>
      <c r="HHI74" s="684"/>
      <c r="HHJ74" s="684"/>
      <c r="HHK74" s="684"/>
      <c r="HHL74" s="684"/>
      <c r="HHM74" s="684"/>
      <c r="HHN74" s="684"/>
      <c r="HHO74" s="684"/>
      <c r="HHP74" s="684"/>
      <c r="HHQ74" s="684"/>
      <c r="HHR74" s="684"/>
      <c r="HHS74" s="684"/>
      <c r="HHT74" s="684"/>
      <c r="HHU74" s="684"/>
      <c r="HHV74" s="684"/>
      <c r="HHW74" s="684"/>
      <c r="HHX74" s="684"/>
      <c r="HHY74" s="684"/>
      <c r="HHZ74" s="684"/>
      <c r="HIA74" s="684"/>
      <c r="HIB74" s="684"/>
      <c r="HIC74" s="684"/>
      <c r="HID74" s="684"/>
      <c r="HIE74" s="684"/>
      <c r="HIF74" s="684"/>
      <c r="HIG74" s="684"/>
      <c r="HIH74" s="684"/>
      <c r="HII74" s="684"/>
      <c r="HIJ74" s="684"/>
      <c r="HIK74" s="684"/>
      <c r="HIL74" s="684"/>
      <c r="HIM74" s="684"/>
      <c r="HIN74" s="684"/>
      <c r="HIO74" s="684"/>
      <c r="HIP74" s="684"/>
      <c r="HIQ74" s="684"/>
      <c r="HIR74" s="684"/>
      <c r="HIS74" s="684"/>
      <c r="HIT74" s="684"/>
      <c r="HIU74" s="684"/>
      <c r="HIV74" s="684"/>
      <c r="HIW74" s="684"/>
      <c r="HIX74" s="684"/>
      <c r="HIY74" s="684"/>
      <c r="HIZ74" s="684"/>
      <c r="HJA74" s="684"/>
      <c r="HJB74" s="684"/>
      <c r="HJC74" s="684"/>
      <c r="HJD74" s="684"/>
      <c r="HJE74" s="684"/>
      <c r="HJF74" s="684"/>
      <c r="HJG74" s="684"/>
      <c r="HJH74" s="684"/>
      <c r="HJI74" s="684"/>
      <c r="HJJ74" s="684"/>
      <c r="HJK74" s="684"/>
      <c r="HJL74" s="684"/>
      <c r="HJM74" s="684"/>
      <c r="HJN74" s="684"/>
      <c r="HJO74" s="684"/>
      <c r="HJP74" s="684"/>
      <c r="HJQ74" s="684"/>
      <c r="HJR74" s="684"/>
      <c r="HJS74" s="684"/>
      <c r="HJT74" s="684"/>
      <c r="HJU74" s="684"/>
      <c r="HJV74" s="684"/>
      <c r="HJW74" s="684"/>
      <c r="HJX74" s="684"/>
      <c r="HJY74" s="684"/>
      <c r="HJZ74" s="684"/>
      <c r="HKA74" s="684"/>
      <c r="HKB74" s="684"/>
      <c r="HKC74" s="684"/>
      <c r="HKD74" s="684"/>
      <c r="HKE74" s="684"/>
      <c r="HKF74" s="684"/>
      <c r="HKG74" s="684"/>
      <c r="HKH74" s="684"/>
      <c r="HKI74" s="684"/>
      <c r="HKJ74" s="684"/>
      <c r="HKK74" s="684"/>
      <c r="HKL74" s="684"/>
      <c r="HKM74" s="684"/>
      <c r="HKN74" s="684"/>
      <c r="HKO74" s="684"/>
      <c r="HKP74" s="684"/>
      <c r="HKQ74" s="684"/>
      <c r="HKR74" s="684"/>
      <c r="HKS74" s="684"/>
      <c r="HKT74" s="684"/>
      <c r="HKU74" s="684"/>
      <c r="HKV74" s="684"/>
      <c r="HKW74" s="684"/>
      <c r="HKX74" s="684"/>
      <c r="HKY74" s="684"/>
      <c r="HKZ74" s="684"/>
      <c r="HLA74" s="684"/>
      <c r="HLB74" s="684"/>
      <c r="HLC74" s="684"/>
      <c r="HLD74" s="684"/>
      <c r="HLE74" s="684"/>
      <c r="HLF74" s="684"/>
      <c r="HLG74" s="684"/>
      <c r="HLH74" s="684"/>
      <c r="HLI74" s="684"/>
      <c r="HLJ74" s="684"/>
      <c r="HLK74" s="684"/>
      <c r="HLL74" s="684"/>
      <c r="HLM74" s="684"/>
      <c r="HLN74" s="684"/>
      <c r="HLO74" s="684"/>
      <c r="HLP74" s="684"/>
      <c r="HLQ74" s="684"/>
      <c r="HLR74" s="684"/>
      <c r="HLS74" s="684"/>
      <c r="HLT74" s="684"/>
      <c r="HLU74" s="684"/>
      <c r="HLV74" s="684"/>
      <c r="HLW74" s="684"/>
      <c r="HLX74" s="684"/>
      <c r="HLY74" s="684"/>
      <c r="HLZ74" s="684"/>
      <c r="HMA74" s="684"/>
      <c r="HMB74" s="684"/>
      <c r="HMC74" s="684"/>
      <c r="HMD74" s="684"/>
      <c r="HME74" s="684"/>
      <c r="HMF74" s="684"/>
      <c r="HMG74" s="684"/>
      <c r="HMH74" s="684"/>
      <c r="HMI74" s="684"/>
      <c r="HMJ74" s="684"/>
      <c r="HMK74" s="684"/>
      <c r="HML74" s="684"/>
      <c r="HMM74" s="684"/>
      <c r="HMN74" s="684"/>
      <c r="HMO74" s="684"/>
      <c r="HMP74" s="684"/>
      <c r="HMQ74" s="684"/>
      <c r="HMR74" s="684"/>
      <c r="HMS74" s="684"/>
      <c r="HMT74" s="684"/>
      <c r="HMU74" s="684"/>
      <c r="HMV74" s="684"/>
      <c r="HMW74" s="684"/>
      <c r="HMX74" s="684"/>
      <c r="HMY74" s="684"/>
      <c r="HMZ74" s="684"/>
      <c r="HNA74" s="684"/>
      <c r="HNB74" s="684"/>
      <c r="HNC74" s="684"/>
      <c r="HND74" s="684"/>
      <c r="HNE74" s="684"/>
      <c r="HNF74" s="684"/>
      <c r="HNG74" s="684"/>
      <c r="HNH74" s="684"/>
      <c r="HNI74" s="684"/>
      <c r="HNJ74" s="684"/>
      <c r="HNK74" s="684"/>
      <c r="HNL74" s="684"/>
      <c r="HNM74" s="684"/>
      <c r="HNN74" s="684"/>
      <c r="HNO74" s="684"/>
      <c r="HNP74" s="684"/>
      <c r="HNQ74" s="684"/>
      <c r="HNR74" s="684"/>
      <c r="HNS74" s="684"/>
      <c r="HNT74" s="684"/>
      <c r="HNU74" s="684"/>
      <c r="HNV74" s="684"/>
      <c r="HNW74" s="684"/>
      <c r="HNX74" s="684"/>
      <c r="HNY74" s="684"/>
      <c r="HNZ74" s="684"/>
      <c r="HOA74" s="684"/>
      <c r="HOB74" s="684"/>
      <c r="HOC74" s="684"/>
      <c r="HOD74" s="684"/>
      <c r="HOE74" s="684"/>
      <c r="HOF74" s="684"/>
      <c r="HOG74" s="684"/>
      <c r="HOH74" s="684"/>
      <c r="HOI74" s="684"/>
      <c r="HOJ74" s="684"/>
      <c r="HOK74" s="684"/>
      <c r="HOL74" s="684"/>
      <c r="HOM74" s="684"/>
      <c r="HON74" s="684"/>
      <c r="HOO74" s="684"/>
      <c r="HOP74" s="684"/>
      <c r="HOQ74" s="684"/>
      <c r="HOR74" s="684"/>
      <c r="HOS74" s="684"/>
      <c r="HOT74" s="684"/>
      <c r="HOU74" s="684"/>
      <c r="HOV74" s="684"/>
      <c r="HOW74" s="684"/>
      <c r="HOX74" s="684"/>
      <c r="HOY74" s="684"/>
      <c r="HOZ74" s="684"/>
      <c r="HPA74" s="684"/>
      <c r="HPB74" s="684"/>
      <c r="HPC74" s="684"/>
      <c r="HPD74" s="684"/>
      <c r="HPE74" s="684"/>
      <c r="HPF74" s="684"/>
      <c r="HPG74" s="684"/>
      <c r="HPH74" s="684"/>
      <c r="HPI74" s="684"/>
      <c r="HPJ74" s="684"/>
      <c r="HPK74" s="684"/>
      <c r="HPL74" s="684"/>
      <c r="HPM74" s="684"/>
      <c r="HPN74" s="684"/>
      <c r="HPO74" s="684"/>
      <c r="HPP74" s="684"/>
      <c r="HPQ74" s="684"/>
      <c r="HPR74" s="684"/>
      <c r="HPS74" s="684"/>
      <c r="HPT74" s="684"/>
      <c r="HPU74" s="684"/>
      <c r="HPV74" s="684"/>
      <c r="HPW74" s="684"/>
      <c r="HPX74" s="684"/>
      <c r="HPY74" s="684"/>
      <c r="HPZ74" s="684"/>
      <c r="HQA74" s="684"/>
      <c r="HQB74" s="684"/>
      <c r="HQC74" s="684"/>
      <c r="HQD74" s="684"/>
      <c r="HQE74" s="684"/>
      <c r="HQF74" s="684"/>
      <c r="HQG74" s="684"/>
      <c r="HQH74" s="684"/>
      <c r="HQI74" s="684"/>
      <c r="HQJ74" s="684"/>
      <c r="HQK74" s="684"/>
      <c r="HQL74" s="684"/>
      <c r="HQM74" s="684"/>
      <c r="HQN74" s="684"/>
      <c r="HQO74" s="684"/>
      <c r="HQP74" s="684"/>
      <c r="HQQ74" s="684"/>
      <c r="HQR74" s="684"/>
      <c r="HQS74" s="684"/>
      <c r="HQT74" s="684"/>
      <c r="HQU74" s="684"/>
      <c r="HQV74" s="684"/>
      <c r="HQW74" s="684"/>
      <c r="HQX74" s="684"/>
      <c r="HQY74" s="684"/>
      <c r="HQZ74" s="684"/>
      <c r="HRA74" s="684"/>
      <c r="HRB74" s="684"/>
      <c r="HRC74" s="684"/>
      <c r="HRD74" s="684"/>
      <c r="HRE74" s="684"/>
      <c r="HRF74" s="684"/>
      <c r="HRG74" s="684"/>
      <c r="HRH74" s="684"/>
      <c r="HRI74" s="684"/>
      <c r="HRJ74" s="684"/>
      <c r="HRK74" s="684"/>
      <c r="HRL74" s="684"/>
      <c r="HRM74" s="684"/>
      <c r="HRN74" s="684"/>
      <c r="HRO74" s="684"/>
      <c r="HRP74" s="684"/>
      <c r="HRQ74" s="684"/>
      <c r="HRR74" s="684"/>
      <c r="HRS74" s="684"/>
      <c r="HRT74" s="684"/>
      <c r="HRU74" s="684"/>
      <c r="HRV74" s="684"/>
      <c r="HRW74" s="684"/>
      <c r="HRX74" s="684"/>
      <c r="HRY74" s="684"/>
      <c r="HRZ74" s="684"/>
      <c r="HSA74" s="684"/>
      <c r="HSB74" s="684"/>
      <c r="HSC74" s="684"/>
      <c r="HSD74" s="684"/>
      <c r="HSE74" s="684"/>
      <c r="HSF74" s="684"/>
      <c r="HSG74" s="684"/>
      <c r="HSH74" s="684"/>
      <c r="HSI74" s="684"/>
      <c r="HSJ74" s="684"/>
      <c r="HSK74" s="684"/>
      <c r="HSL74" s="684"/>
      <c r="HSM74" s="684"/>
      <c r="HSN74" s="684"/>
      <c r="HSO74" s="684"/>
      <c r="HSP74" s="684"/>
      <c r="HSQ74" s="684"/>
      <c r="HSR74" s="684"/>
      <c r="HSS74" s="684"/>
      <c r="HST74" s="684"/>
      <c r="HSU74" s="684"/>
      <c r="HSV74" s="684"/>
      <c r="HSW74" s="684"/>
      <c r="HSX74" s="684"/>
      <c r="HSY74" s="684"/>
      <c r="HSZ74" s="684"/>
      <c r="HTA74" s="684"/>
      <c r="HTB74" s="684"/>
      <c r="HTC74" s="684"/>
      <c r="HTD74" s="684"/>
      <c r="HTE74" s="684"/>
      <c r="HTF74" s="684"/>
      <c r="HTG74" s="684"/>
      <c r="HTH74" s="684"/>
      <c r="HTI74" s="684"/>
      <c r="HTJ74" s="684"/>
      <c r="HTK74" s="684"/>
      <c r="HTL74" s="684"/>
      <c r="HTM74" s="684"/>
      <c r="HTN74" s="684"/>
      <c r="HTO74" s="684"/>
      <c r="HTP74" s="684"/>
      <c r="HTQ74" s="684"/>
      <c r="HTR74" s="684"/>
      <c r="HTS74" s="684"/>
      <c r="HTT74" s="684"/>
      <c r="HTU74" s="684"/>
      <c r="HTV74" s="684"/>
      <c r="HTW74" s="684"/>
      <c r="HTX74" s="684"/>
      <c r="HTY74" s="684"/>
      <c r="HTZ74" s="684"/>
      <c r="HUA74" s="684"/>
      <c r="HUB74" s="684"/>
      <c r="HUC74" s="684"/>
      <c r="HUD74" s="684"/>
      <c r="HUE74" s="684"/>
      <c r="HUF74" s="684"/>
      <c r="HUG74" s="684"/>
      <c r="HUH74" s="684"/>
      <c r="HUI74" s="684"/>
      <c r="HUJ74" s="684"/>
      <c r="HUK74" s="684"/>
      <c r="HUL74" s="684"/>
      <c r="HUM74" s="684"/>
      <c r="HUN74" s="684"/>
      <c r="HUO74" s="684"/>
      <c r="HUP74" s="684"/>
      <c r="HUQ74" s="684"/>
      <c r="HUR74" s="684"/>
      <c r="HUS74" s="684"/>
      <c r="HUT74" s="684"/>
      <c r="HUU74" s="684"/>
      <c r="HUV74" s="684"/>
      <c r="HUW74" s="684"/>
      <c r="HUX74" s="684"/>
      <c r="HUY74" s="684"/>
      <c r="HUZ74" s="684"/>
      <c r="HVA74" s="684"/>
      <c r="HVB74" s="684"/>
      <c r="HVC74" s="684"/>
      <c r="HVD74" s="684"/>
      <c r="HVE74" s="684"/>
      <c r="HVF74" s="684"/>
      <c r="HVG74" s="684"/>
      <c r="HVH74" s="684"/>
      <c r="HVI74" s="684"/>
      <c r="HVJ74" s="684"/>
      <c r="HVK74" s="684"/>
      <c r="HVL74" s="684"/>
      <c r="HVM74" s="684"/>
      <c r="HVN74" s="684"/>
      <c r="HVO74" s="684"/>
      <c r="HVP74" s="684"/>
      <c r="HVQ74" s="684"/>
      <c r="HVR74" s="684"/>
      <c r="HVS74" s="684"/>
      <c r="HVT74" s="684"/>
      <c r="HVU74" s="684"/>
      <c r="HVV74" s="684"/>
      <c r="HVW74" s="684"/>
      <c r="HVX74" s="684"/>
      <c r="HVY74" s="684"/>
      <c r="HVZ74" s="684"/>
      <c r="HWA74" s="684"/>
      <c r="HWB74" s="684"/>
      <c r="HWC74" s="684"/>
      <c r="HWD74" s="684"/>
      <c r="HWE74" s="684"/>
      <c r="HWF74" s="684"/>
      <c r="HWG74" s="684"/>
      <c r="HWH74" s="684"/>
      <c r="HWI74" s="684"/>
      <c r="HWJ74" s="684"/>
      <c r="HWK74" s="684"/>
      <c r="HWL74" s="684"/>
      <c r="HWM74" s="684"/>
      <c r="HWN74" s="684"/>
      <c r="HWO74" s="684"/>
      <c r="HWP74" s="684"/>
      <c r="HWQ74" s="684"/>
      <c r="HWR74" s="684"/>
      <c r="HWS74" s="684"/>
      <c r="HWT74" s="684"/>
      <c r="HWU74" s="684"/>
      <c r="HWV74" s="684"/>
      <c r="HWW74" s="684"/>
      <c r="HWX74" s="684"/>
      <c r="HWY74" s="684"/>
      <c r="HWZ74" s="684"/>
      <c r="HXA74" s="684"/>
      <c r="HXB74" s="684"/>
      <c r="HXC74" s="684"/>
      <c r="HXD74" s="684"/>
      <c r="HXE74" s="684"/>
      <c r="HXF74" s="684"/>
      <c r="HXG74" s="684"/>
      <c r="HXH74" s="684"/>
      <c r="HXI74" s="684"/>
      <c r="HXJ74" s="684"/>
      <c r="HXK74" s="684"/>
      <c r="HXL74" s="684"/>
      <c r="HXM74" s="684"/>
      <c r="HXN74" s="684"/>
      <c r="HXO74" s="684"/>
      <c r="HXP74" s="684"/>
      <c r="HXQ74" s="684"/>
      <c r="HXR74" s="684"/>
      <c r="HXS74" s="684"/>
      <c r="HXT74" s="684"/>
      <c r="HXU74" s="684"/>
      <c r="HXV74" s="684"/>
      <c r="HXW74" s="684"/>
      <c r="HXX74" s="684"/>
      <c r="HXY74" s="684"/>
      <c r="HXZ74" s="684"/>
      <c r="HYA74" s="684"/>
      <c r="HYB74" s="684"/>
      <c r="HYC74" s="684"/>
      <c r="HYD74" s="684"/>
      <c r="HYE74" s="684"/>
      <c r="HYF74" s="684"/>
      <c r="HYG74" s="684"/>
      <c r="HYH74" s="684"/>
      <c r="HYI74" s="684"/>
      <c r="HYJ74" s="684"/>
      <c r="HYK74" s="684"/>
      <c r="HYL74" s="684"/>
      <c r="HYM74" s="684"/>
      <c r="HYN74" s="684"/>
      <c r="HYO74" s="684"/>
      <c r="HYP74" s="684"/>
      <c r="HYQ74" s="684"/>
      <c r="HYR74" s="684"/>
      <c r="HYS74" s="684"/>
      <c r="HYT74" s="684"/>
      <c r="HYU74" s="684"/>
      <c r="HYV74" s="684"/>
      <c r="HYW74" s="684"/>
      <c r="HYX74" s="684"/>
      <c r="HYY74" s="684"/>
      <c r="HYZ74" s="684"/>
      <c r="HZA74" s="684"/>
      <c r="HZB74" s="684"/>
      <c r="HZC74" s="684"/>
      <c r="HZD74" s="684"/>
      <c r="HZE74" s="684"/>
      <c r="HZF74" s="684"/>
      <c r="HZG74" s="684"/>
      <c r="HZH74" s="684"/>
      <c r="HZI74" s="684"/>
      <c r="HZJ74" s="684"/>
      <c r="HZK74" s="684"/>
      <c r="HZL74" s="684"/>
      <c r="HZM74" s="684"/>
      <c r="HZN74" s="684"/>
      <c r="HZO74" s="684"/>
      <c r="HZP74" s="684"/>
      <c r="HZQ74" s="684"/>
      <c r="HZR74" s="684"/>
      <c r="HZS74" s="684"/>
      <c r="HZT74" s="684"/>
      <c r="HZU74" s="684"/>
      <c r="HZV74" s="684"/>
      <c r="HZW74" s="684"/>
      <c r="HZX74" s="684"/>
      <c r="HZY74" s="684"/>
      <c r="HZZ74" s="684"/>
      <c r="IAA74" s="684"/>
      <c r="IAB74" s="684"/>
      <c r="IAC74" s="684"/>
      <c r="IAD74" s="684"/>
      <c r="IAE74" s="684"/>
      <c r="IAF74" s="684"/>
      <c r="IAG74" s="684"/>
      <c r="IAH74" s="684"/>
      <c r="IAI74" s="684"/>
      <c r="IAJ74" s="684"/>
      <c r="IAK74" s="684"/>
      <c r="IAL74" s="684"/>
      <c r="IAM74" s="684"/>
      <c r="IAN74" s="684"/>
      <c r="IAO74" s="684"/>
      <c r="IAP74" s="684"/>
      <c r="IAQ74" s="684"/>
      <c r="IAR74" s="684"/>
      <c r="IAS74" s="684"/>
      <c r="IAT74" s="684"/>
      <c r="IAU74" s="684"/>
      <c r="IAV74" s="684"/>
      <c r="IAW74" s="684"/>
      <c r="IAX74" s="684"/>
      <c r="IAY74" s="684"/>
      <c r="IAZ74" s="684"/>
      <c r="IBA74" s="684"/>
      <c r="IBB74" s="684"/>
      <c r="IBC74" s="684"/>
      <c r="IBD74" s="684"/>
      <c r="IBE74" s="684"/>
      <c r="IBF74" s="684"/>
      <c r="IBG74" s="684"/>
      <c r="IBH74" s="684"/>
      <c r="IBI74" s="684"/>
      <c r="IBJ74" s="684"/>
      <c r="IBK74" s="684"/>
      <c r="IBL74" s="684"/>
      <c r="IBM74" s="684"/>
      <c r="IBN74" s="684"/>
      <c r="IBO74" s="684"/>
      <c r="IBP74" s="684"/>
      <c r="IBQ74" s="684"/>
      <c r="IBR74" s="684"/>
      <c r="IBS74" s="684"/>
      <c r="IBT74" s="684"/>
      <c r="IBU74" s="684"/>
      <c r="IBV74" s="684"/>
      <c r="IBW74" s="684"/>
      <c r="IBX74" s="684"/>
      <c r="IBY74" s="684"/>
      <c r="IBZ74" s="684"/>
      <c r="ICA74" s="684"/>
      <c r="ICB74" s="684"/>
      <c r="ICC74" s="684"/>
      <c r="ICD74" s="684"/>
      <c r="ICE74" s="684"/>
      <c r="ICF74" s="684"/>
      <c r="ICG74" s="684"/>
      <c r="ICH74" s="684"/>
      <c r="ICI74" s="684"/>
      <c r="ICJ74" s="684"/>
      <c r="ICK74" s="684"/>
      <c r="ICL74" s="684"/>
      <c r="ICM74" s="684"/>
      <c r="ICN74" s="684"/>
      <c r="ICO74" s="684"/>
      <c r="ICP74" s="684"/>
      <c r="ICQ74" s="684"/>
      <c r="ICR74" s="684"/>
      <c r="ICS74" s="684"/>
      <c r="ICT74" s="684"/>
      <c r="ICU74" s="684"/>
      <c r="ICV74" s="684"/>
      <c r="ICW74" s="684"/>
      <c r="ICX74" s="684"/>
      <c r="ICY74" s="684"/>
      <c r="ICZ74" s="684"/>
      <c r="IDA74" s="684"/>
      <c r="IDB74" s="684"/>
      <c r="IDC74" s="684"/>
      <c r="IDD74" s="684"/>
      <c r="IDE74" s="684"/>
      <c r="IDF74" s="684"/>
      <c r="IDG74" s="684"/>
      <c r="IDH74" s="684"/>
      <c r="IDI74" s="684"/>
      <c r="IDJ74" s="684"/>
      <c r="IDK74" s="684"/>
      <c r="IDL74" s="684"/>
      <c r="IDM74" s="684"/>
      <c r="IDN74" s="684"/>
      <c r="IDO74" s="684"/>
      <c r="IDP74" s="684"/>
      <c r="IDQ74" s="684"/>
      <c r="IDR74" s="684"/>
      <c r="IDS74" s="684"/>
      <c r="IDT74" s="684"/>
      <c r="IDU74" s="684"/>
      <c r="IDV74" s="684"/>
      <c r="IDW74" s="684"/>
      <c r="IDX74" s="684"/>
      <c r="IDY74" s="684"/>
      <c r="IDZ74" s="684"/>
      <c r="IEA74" s="684"/>
      <c r="IEB74" s="684"/>
      <c r="IEC74" s="684"/>
      <c r="IED74" s="684"/>
      <c r="IEE74" s="684"/>
      <c r="IEF74" s="684"/>
      <c r="IEG74" s="684"/>
      <c r="IEH74" s="684"/>
      <c r="IEI74" s="684"/>
      <c r="IEJ74" s="684"/>
      <c r="IEK74" s="684"/>
      <c r="IEL74" s="684"/>
      <c r="IEM74" s="684"/>
      <c r="IEN74" s="684"/>
      <c r="IEO74" s="684"/>
      <c r="IEP74" s="684"/>
      <c r="IEQ74" s="684"/>
      <c r="IER74" s="684"/>
      <c r="IES74" s="684"/>
      <c r="IET74" s="684"/>
      <c r="IEU74" s="684"/>
      <c r="IEV74" s="684"/>
      <c r="IEW74" s="684"/>
      <c r="IEX74" s="684"/>
      <c r="IEY74" s="684"/>
      <c r="IEZ74" s="684"/>
      <c r="IFA74" s="684"/>
      <c r="IFB74" s="684"/>
      <c r="IFC74" s="684"/>
      <c r="IFD74" s="684"/>
      <c r="IFE74" s="684"/>
      <c r="IFF74" s="684"/>
      <c r="IFG74" s="684"/>
      <c r="IFH74" s="684"/>
      <c r="IFI74" s="684"/>
      <c r="IFJ74" s="684"/>
      <c r="IFK74" s="684"/>
      <c r="IFL74" s="684"/>
      <c r="IFM74" s="684"/>
      <c r="IFN74" s="684"/>
      <c r="IFO74" s="684"/>
      <c r="IFP74" s="684"/>
      <c r="IFQ74" s="684"/>
      <c r="IFR74" s="684"/>
      <c r="IFS74" s="684"/>
      <c r="IFT74" s="684"/>
      <c r="IFU74" s="684"/>
      <c r="IFV74" s="684"/>
      <c r="IFW74" s="684"/>
      <c r="IFX74" s="684"/>
      <c r="IFY74" s="684"/>
      <c r="IFZ74" s="684"/>
      <c r="IGA74" s="684"/>
      <c r="IGB74" s="684"/>
      <c r="IGC74" s="684"/>
      <c r="IGD74" s="684"/>
      <c r="IGE74" s="684"/>
      <c r="IGF74" s="684"/>
      <c r="IGG74" s="684"/>
      <c r="IGH74" s="684"/>
      <c r="IGI74" s="684"/>
      <c r="IGJ74" s="684"/>
      <c r="IGK74" s="684"/>
      <c r="IGL74" s="684"/>
      <c r="IGM74" s="684"/>
      <c r="IGN74" s="684"/>
      <c r="IGO74" s="684"/>
      <c r="IGP74" s="684"/>
      <c r="IGQ74" s="684"/>
      <c r="IGR74" s="684"/>
      <c r="IGS74" s="684"/>
      <c r="IGT74" s="684"/>
      <c r="IGU74" s="684"/>
      <c r="IGV74" s="684"/>
      <c r="IGW74" s="684"/>
      <c r="IGX74" s="684"/>
      <c r="IGY74" s="684"/>
      <c r="IGZ74" s="684"/>
      <c r="IHA74" s="684"/>
      <c r="IHB74" s="684"/>
      <c r="IHC74" s="684"/>
      <c r="IHD74" s="684"/>
      <c r="IHE74" s="684"/>
      <c r="IHF74" s="684"/>
      <c r="IHG74" s="684"/>
      <c r="IHH74" s="684"/>
      <c r="IHI74" s="684"/>
      <c r="IHJ74" s="684"/>
      <c r="IHK74" s="684"/>
      <c r="IHL74" s="684"/>
      <c r="IHM74" s="684"/>
      <c r="IHN74" s="684"/>
      <c r="IHO74" s="684"/>
      <c r="IHP74" s="684"/>
      <c r="IHQ74" s="684"/>
      <c r="IHR74" s="684"/>
      <c r="IHS74" s="684"/>
      <c r="IHT74" s="684"/>
      <c r="IHU74" s="684"/>
      <c r="IHV74" s="684"/>
      <c r="IHW74" s="684"/>
      <c r="IHX74" s="684"/>
      <c r="IHY74" s="684"/>
      <c r="IHZ74" s="684"/>
      <c r="IIA74" s="684"/>
      <c r="IIB74" s="684"/>
      <c r="IIC74" s="684"/>
      <c r="IID74" s="684"/>
      <c r="IIE74" s="684"/>
      <c r="IIF74" s="684"/>
      <c r="IIG74" s="684"/>
      <c r="IIH74" s="684"/>
      <c r="III74" s="684"/>
      <c r="IIJ74" s="684"/>
      <c r="IIK74" s="684"/>
      <c r="IIL74" s="684"/>
      <c r="IIM74" s="684"/>
      <c r="IIN74" s="684"/>
      <c r="IIO74" s="684"/>
      <c r="IIP74" s="684"/>
      <c r="IIQ74" s="684"/>
      <c r="IIR74" s="684"/>
      <c r="IIS74" s="684"/>
      <c r="IIT74" s="684"/>
      <c r="IIU74" s="684"/>
      <c r="IIV74" s="684"/>
      <c r="IIW74" s="684"/>
      <c r="IIX74" s="684"/>
      <c r="IIY74" s="684"/>
      <c r="IIZ74" s="684"/>
      <c r="IJA74" s="684"/>
      <c r="IJB74" s="684"/>
      <c r="IJC74" s="684"/>
      <c r="IJD74" s="684"/>
      <c r="IJE74" s="684"/>
      <c r="IJF74" s="684"/>
      <c r="IJG74" s="684"/>
      <c r="IJH74" s="684"/>
      <c r="IJI74" s="684"/>
      <c r="IJJ74" s="684"/>
      <c r="IJK74" s="684"/>
      <c r="IJL74" s="684"/>
      <c r="IJM74" s="684"/>
      <c r="IJN74" s="684"/>
      <c r="IJO74" s="684"/>
      <c r="IJP74" s="684"/>
      <c r="IJQ74" s="684"/>
      <c r="IJR74" s="684"/>
      <c r="IJS74" s="684"/>
      <c r="IJT74" s="684"/>
      <c r="IJU74" s="684"/>
      <c r="IJV74" s="684"/>
      <c r="IJW74" s="684"/>
      <c r="IJX74" s="684"/>
      <c r="IJY74" s="684"/>
      <c r="IJZ74" s="684"/>
      <c r="IKA74" s="684"/>
      <c r="IKB74" s="684"/>
      <c r="IKC74" s="684"/>
      <c r="IKD74" s="684"/>
      <c r="IKE74" s="684"/>
      <c r="IKF74" s="684"/>
      <c r="IKG74" s="684"/>
      <c r="IKH74" s="684"/>
      <c r="IKI74" s="684"/>
      <c r="IKJ74" s="684"/>
      <c r="IKK74" s="684"/>
      <c r="IKL74" s="684"/>
      <c r="IKM74" s="684"/>
      <c r="IKN74" s="684"/>
      <c r="IKO74" s="684"/>
      <c r="IKP74" s="684"/>
      <c r="IKQ74" s="684"/>
      <c r="IKR74" s="684"/>
      <c r="IKS74" s="684"/>
      <c r="IKT74" s="684"/>
      <c r="IKU74" s="684"/>
      <c r="IKV74" s="684"/>
      <c r="IKW74" s="684"/>
      <c r="IKX74" s="684"/>
      <c r="IKY74" s="684"/>
      <c r="IKZ74" s="684"/>
      <c r="ILA74" s="684"/>
      <c r="ILB74" s="684"/>
      <c r="ILC74" s="684"/>
      <c r="ILD74" s="684"/>
      <c r="ILE74" s="684"/>
      <c r="ILF74" s="684"/>
      <c r="ILG74" s="684"/>
      <c r="ILH74" s="684"/>
      <c r="ILI74" s="684"/>
      <c r="ILJ74" s="684"/>
      <c r="ILK74" s="684"/>
      <c r="ILL74" s="684"/>
      <c r="ILM74" s="684"/>
      <c r="ILN74" s="684"/>
      <c r="ILO74" s="684"/>
      <c r="ILP74" s="684"/>
      <c r="ILQ74" s="684"/>
      <c r="ILR74" s="684"/>
      <c r="ILS74" s="684"/>
      <c r="ILT74" s="684"/>
      <c r="ILU74" s="684"/>
      <c r="ILV74" s="684"/>
      <c r="ILW74" s="684"/>
      <c r="ILX74" s="684"/>
      <c r="ILY74" s="684"/>
      <c r="ILZ74" s="684"/>
      <c r="IMA74" s="684"/>
      <c r="IMB74" s="684"/>
      <c r="IMC74" s="684"/>
      <c r="IMD74" s="684"/>
      <c r="IME74" s="684"/>
      <c r="IMF74" s="684"/>
      <c r="IMG74" s="684"/>
      <c r="IMH74" s="684"/>
      <c r="IMI74" s="684"/>
      <c r="IMJ74" s="684"/>
      <c r="IMK74" s="684"/>
      <c r="IML74" s="684"/>
      <c r="IMM74" s="684"/>
      <c r="IMN74" s="684"/>
      <c r="IMO74" s="684"/>
      <c r="IMP74" s="684"/>
      <c r="IMQ74" s="684"/>
      <c r="IMR74" s="684"/>
      <c r="IMS74" s="684"/>
      <c r="IMT74" s="684"/>
      <c r="IMU74" s="684"/>
      <c r="IMV74" s="684"/>
      <c r="IMW74" s="684"/>
      <c r="IMX74" s="684"/>
      <c r="IMY74" s="684"/>
      <c r="IMZ74" s="684"/>
      <c r="INA74" s="684"/>
      <c r="INB74" s="684"/>
      <c r="INC74" s="684"/>
      <c r="IND74" s="684"/>
      <c r="INE74" s="684"/>
      <c r="INF74" s="684"/>
      <c r="ING74" s="684"/>
      <c r="INH74" s="684"/>
      <c r="INI74" s="684"/>
      <c r="INJ74" s="684"/>
      <c r="INK74" s="684"/>
      <c r="INL74" s="684"/>
      <c r="INM74" s="684"/>
      <c r="INN74" s="684"/>
      <c r="INO74" s="684"/>
      <c r="INP74" s="684"/>
      <c r="INQ74" s="684"/>
      <c r="INR74" s="684"/>
      <c r="INS74" s="684"/>
      <c r="INT74" s="684"/>
      <c r="INU74" s="684"/>
      <c r="INV74" s="684"/>
      <c r="INW74" s="684"/>
      <c r="INX74" s="684"/>
      <c r="INY74" s="684"/>
      <c r="INZ74" s="684"/>
      <c r="IOA74" s="684"/>
      <c r="IOB74" s="684"/>
      <c r="IOC74" s="684"/>
      <c r="IOD74" s="684"/>
      <c r="IOE74" s="684"/>
      <c r="IOF74" s="684"/>
      <c r="IOG74" s="684"/>
      <c r="IOH74" s="684"/>
      <c r="IOI74" s="684"/>
      <c r="IOJ74" s="684"/>
      <c r="IOK74" s="684"/>
      <c r="IOL74" s="684"/>
      <c r="IOM74" s="684"/>
      <c r="ION74" s="684"/>
      <c r="IOO74" s="684"/>
      <c r="IOP74" s="684"/>
      <c r="IOQ74" s="684"/>
      <c r="IOR74" s="684"/>
      <c r="IOS74" s="684"/>
      <c r="IOT74" s="684"/>
      <c r="IOU74" s="684"/>
      <c r="IOV74" s="684"/>
      <c r="IOW74" s="684"/>
      <c r="IOX74" s="684"/>
      <c r="IOY74" s="684"/>
      <c r="IOZ74" s="684"/>
      <c r="IPA74" s="684"/>
      <c r="IPB74" s="684"/>
      <c r="IPC74" s="684"/>
      <c r="IPD74" s="684"/>
      <c r="IPE74" s="684"/>
      <c r="IPF74" s="684"/>
      <c r="IPG74" s="684"/>
      <c r="IPH74" s="684"/>
      <c r="IPI74" s="684"/>
      <c r="IPJ74" s="684"/>
      <c r="IPK74" s="684"/>
      <c r="IPL74" s="684"/>
      <c r="IPM74" s="684"/>
      <c r="IPN74" s="684"/>
      <c r="IPO74" s="684"/>
      <c r="IPP74" s="684"/>
      <c r="IPQ74" s="684"/>
      <c r="IPR74" s="684"/>
      <c r="IPS74" s="684"/>
      <c r="IPT74" s="684"/>
      <c r="IPU74" s="684"/>
      <c r="IPV74" s="684"/>
      <c r="IPW74" s="684"/>
      <c r="IPX74" s="684"/>
      <c r="IPY74" s="684"/>
      <c r="IPZ74" s="684"/>
      <c r="IQA74" s="684"/>
      <c r="IQB74" s="684"/>
      <c r="IQC74" s="684"/>
      <c r="IQD74" s="684"/>
      <c r="IQE74" s="684"/>
      <c r="IQF74" s="684"/>
      <c r="IQG74" s="684"/>
      <c r="IQH74" s="684"/>
      <c r="IQI74" s="684"/>
      <c r="IQJ74" s="684"/>
      <c r="IQK74" s="684"/>
      <c r="IQL74" s="684"/>
      <c r="IQM74" s="684"/>
      <c r="IQN74" s="684"/>
      <c r="IQO74" s="684"/>
      <c r="IQP74" s="684"/>
      <c r="IQQ74" s="684"/>
      <c r="IQR74" s="684"/>
      <c r="IQS74" s="684"/>
      <c r="IQT74" s="684"/>
      <c r="IQU74" s="684"/>
      <c r="IQV74" s="684"/>
      <c r="IQW74" s="684"/>
      <c r="IQX74" s="684"/>
      <c r="IQY74" s="684"/>
      <c r="IQZ74" s="684"/>
      <c r="IRA74" s="684"/>
      <c r="IRB74" s="684"/>
      <c r="IRC74" s="684"/>
      <c r="IRD74" s="684"/>
      <c r="IRE74" s="684"/>
      <c r="IRF74" s="684"/>
      <c r="IRG74" s="684"/>
      <c r="IRH74" s="684"/>
      <c r="IRI74" s="684"/>
      <c r="IRJ74" s="684"/>
      <c r="IRK74" s="684"/>
      <c r="IRL74" s="684"/>
      <c r="IRM74" s="684"/>
      <c r="IRN74" s="684"/>
      <c r="IRO74" s="684"/>
      <c r="IRP74" s="684"/>
      <c r="IRQ74" s="684"/>
      <c r="IRR74" s="684"/>
      <c r="IRS74" s="684"/>
      <c r="IRT74" s="684"/>
      <c r="IRU74" s="684"/>
      <c r="IRV74" s="684"/>
      <c r="IRW74" s="684"/>
      <c r="IRX74" s="684"/>
      <c r="IRY74" s="684"/>
      <c r="IRZ74" s="684"/>
      <c r="ISA74" s="684"/>
      <c r="ISB74" s="684"/>
      <c r="ISC74" s="684"/>
      <c r="ISD74" s="684"/>
      <c r="ISE74" s="684"/>
      <c r="ISF74" s="684"/>
      <c r="ISG74" s="684"/>
      <c r="ISH74" s="684"/>
      <c r="ISI74" s="684"/>
      <c r="ISJ74" s="684"/>
      <c r="ISK74" s="684"/>
      <c r="ISL74" s="684"/>
      <c r="ISM74" s="684"/>
      <c r="ISN74" s="684"/>
      <c r="ISO74" s="684"/>
      <c r="ISP74" s="684"/>
      <c r="ISQ74" s="684"/>
      <c r="ISR74" s="684"/>
      <c r="ISS74" s="684"/>
      <c r="IST74" s="684"/>
      <c r="ISU74" s="684"/>
      <c r="ISV74" s="684"/>
      <c r="ISW74" s="684"/>
      <c r="ISX74" s="684"/>
      <c r="ISY74" s="684"/>
      <c r="ISZ74" s="684"/>
      <c r="ITA74" s="684"/>
      <c r="ITB74" s="684"/>
      <c r="ITC74" s="684"/>
      <c r="ITD74" s="684"/>
      <c r="ITE74" s="684"/>
      <c r="ITF74" s="684"/>
      <c r="ITG74" s="684"/>
      <c r="ITH74" s="684"/>
      <c r="ITI74" s="684"/>
      <c r="ITJ74" s="684"/>
      <c r="ITK74" s="684"/>
      <c r="ITL74" s="684"/>
      <c r="ITM74" s="684"/>
      <c r="ITN74" s="684"/>
      <c r="ITO74" s="684"/>
      <c r="ITP74" s="684"/>
      <c r="ITQ74" s="684"/>
      <c r="ITR74" s="684"/>
      <c r="ITS74" s="684"/>
      <c r="ITT74" s="684"/>
      <c r="ITU74" s="684"/>
      <c r="ITV74" s="684"/>
      <c r="ITW74" s="684"/>
      <c r="ITX74" s="684"/>
      <c r="ITY74" s="684"/>
      <c r="ITZ74" s="684"/>
      <c r="IUA74" s="684"/>
      <c r="IUB74" s="684"/>
      <c r="IUC74" s="684"/>
      <c r="IUD74" s="684"/>
      <c r="IUE74" s="684"/>
      <c r="IUF74" s="684"/>
      <c r="IUG74" s="684"/>
      <c r="IUH74" s="684"/>
      <c r="IUI74" s="684"/>
      <c r="IUJ74" s="684"/>
      <c r="IUK74" s="684"/>
      <c r="IUL74" s="684"/>
      <c r="IUM74" s="684"/>
      <c r="IUN74" s="684"/>
      <c r="IUO74" s="684"/>
      <c r="IUP74" s="684"/>
      <c r="IUQ74" s="684"/>
      <c r="IUR74" s="684"/>
      <c r="IUS74" s="684"/>
      <c r="IUT74" s="684"/>
      <c r="IUU74" s="684"/>
      <c r="IUV74" s="684"/>
      <c r="IUW74" s="684"/>
      <c r="IUX74" s="684"/>
      <c r="IUY74" s="684"/>
      <c r="IUZ74" s="684"/>
      <c r="IVA74" s="684"/>
      <c r="IVB74" s="684"/>
      <c r="IVC74" s="684"/>
      <c r="IVD74" s="684"/>
      <c r="IVE74" s="684"/>
      <c r="IVF74" s="684"/>
      <c r="IVG74" s="684"/>
      <c r="IVH74" s="684"/>
      <c r="IVI74" s="684"/>
      <c r="IVJ74" s="684"/>
      <c r="IVK74" s="684"/>
      <c r="IVL74" s="684"/>
      <c r="IVM74" s="684"/>
      <c r="IVN74" s="684"/>
      <c r="IVO74" s="684"/>
      <c r="IVP74" s="684"/>
      <c r="IVQ74" s="684"/>
      <c r="IVR74" s="684"/>
      <c r="IVS74" s="684"/>
      <c r="IVT74" s="684"/>
      <c r="IVU74" s="684"/>
      <c r="IVV74" s="684"/>
      <c r="IVW74" s="684"/>
      <c r="IVX74" s="684"/>
      <c r="IVY74" s="684"/>
      <c r="IVZ74" s="684"/>
      <c r="IWA74" s="684"/>
      <c r="IWB74" s="684"/>
      <c r="IWC74" s="684"/>
      <c r="IWD74" s="684"/>
      <c r="IWE74" s="684"/>
      <c r="IWF74" s="684"/>
      <c r="IWG74" s="684"/>
      <c r="IWH74" s="684"/>
      <c r="IWI74" s="684"/>
      <c r="IWJ74" s="684"/>
      <c r="IWK74" s="684"/>
      <c r="IWL74" s="684"/>
      <c r="IWM74" s="684"/>
      <c r="IWN74" s="684"/>
      <c r="IWO74" s="684"/>
      <c r="IWP74" s="684"/>
      <c r="IWQ74" s="684"/>
      <c r="IWR74" s="684"/>
      <c r="IWS74" s="684"/>
      <c r="IWT74" s="684"/>
      <c r="IWU74" s="684"/>
      <c r="IWV74" s="684"/>
      <c r="IWW74" s="684"/>
      <c r="IWX74" s="684"/>
      <c r="IWY74" s="684"/>
      <c r="IWZ74" s="684"/>
      <c r="IXA74" s="684"/>
      <c r="IXB74" s="684"/>
      <c r="IXC74" s="684"/>
      <c r="IXD74" s="684"/>
      <c r="IXE74" s="684"/>
      <c r="IXF74" s="684"/>
      <c r="IXG74" s="684"/>
      <c r="IXH74" s="684"/>
      <c r="IXI74" s="684"/>
      <c r="IXJ74" s="684"/>
      <c r="IXK74" s="684"/>
      <c r="IXL74" s="684"/>
      <c r="IXM74" s="684"/>
      <c r="IXN74" s="684"/>
      <c r="IXO74" s="684"/>
      <c r="IXP74" s="684"/>
      <c r="IXQ74" s="684"/>
      <c r="IXR74" s="684"/>
      <c r="IXS74" s="684"/>
      <c r="IXT74" s="684"/>
      <c r="IXU74" s="684"/>
      <c r="IXV74" s="684"/>
      <c r="IXW74" s="684"/>
      <c r="IXX74" s="684"/>
      <c r="IXY74" s="684"/>
      <c r="IXZ74" s="684"/>
      <c r="IYA74" s="684"/>
      <c r="IYB74" s="684"/>
      <c r="IYC74" s="684"/>
      <c r="IYD74" s="684"/>
      <c r="IYE74" s="684"/>
      <c r="IYF74" s="684"/>
      <c r="IYG74" s="684"/>
      <c r="IYH74" s="684"/>
      <c r="IYI74" s="684"/>
      <c r="IYJ74" s="684"/>
      <c r="IYK74" s="684"/>
      <c r="IYL74" s="684"/>
      <c r="IYM74" s="684"/>
      <c r="IYN74" s="684"/>
      <c r="IYO74" s="684"/>
      <c r="IYP74" s="684"/>
      <c r="IYQ74" s="684"/>
      <c r="IYR74" s="684"/>
      <c r="IYS74" s="684"/>
      <c r="IYT74" s="684"/>
      <c r="IYU74" s="684"/>
      <c r="IYV74" s="684"/>
      <c r="IYW74" s="684"/>
      <c r="IYX74" s="684"/>
      <c r="IYY74" s="684"/>
      <c r="IYZ74" s="684"/>
      <c r="IZA74" s="684"/>
      <c r="IZB74" s="684"/>
      <c r="IZC74" s="684"/>
      <c r="IZD74" s="684"/>
      <c r="IZE74" s="684"/>
      <c r="IZF74" s="684"/>
      <c r="IZG74" s="684"/>
      <c r="IZH74" s="684"/>
      <c r="IZI74" s="684"/>
      <c r="IZJ74" s="684"/>
      <c r="IZK74" s="684"/>
      <c r="IZL74" s="684"/>
      <c r="IZM74" s="684"/>
      <c r="IZN74" s="684"/>
      <c r="IZO74" s="684"/>
      <c r="IZP74" s="684"/>
      <c r="IZQ74" s="684"/>
      <c r="IZR74" s="684"/>
      <c r="IZS74" s="684"/>
      <c r="IZT74" s="684"/>
      <c r="IZU74" s="684"/>
      <c r="IZV74" s="684"/>
      <c r="IZW74" s="684"/>
      <c r="IZX74" s="684"/>
      <c r="IZY74" s="684"/>
      <c r="IZZ74" s="684"/>
      <c r="JAA74" s="684"/>
      <c r="JAB74" s="684"/>
      <c r="JAC74" s="684"/>
      <c r="JAD74" s="684"/>
      <c r="JAE74" s="684"/>
      <c r="JAF74" s="684"/>
      <c r="JAG74" s="684"/>
      <c r="JAH74" s="684"/>
      <c r="JAI74" s="684"/>
      <c r="JAJ74" s="684"/>
      <c r="JAK74" s="684"/>
      <c r="JAL74" s="684"/>
      <c r="JAM74" s="684"/>
      <c r="JAN74" s="684"/>
      <c r="JAO74" s="684"/>
      <c r="JAP74" s="684"/>
      <c r="JAQ74" s="684"/>
      <c r="JAR74" s="684"/>
      <c r="JAS74" s="684"/>
      <c r="JAT74" s="684"/>
      <c r="JAU74" s="684"/>
      <c r="JAV74" s="684"/>
      <c r="JAW74" s="684"/>
      <c r="JAX74" s="684"/>
      <c r="JAY74" s="684"/>
      <c r="JAZ74" s="684"/>
      <c r="JBA74" s="684"/>
      <c r="JBB74" s="684"/>
      <c r="JBC74" s="684"/>
      <c r="JBD74" s="684"/>
      <c r="JBE74" s="684"/>
      <c r="JBF74" s="684"/>
      <c r="JBG74" s="684"/>
      <c r="JBH74" s="684"/>
      <c r="JBI74" s="684"/>
      <c r="JBJ74" s="684"/>
      <c r="JBK74" s="684"/>
      <c r="JBL74" s="684"/>
      <c r="JBM74" s="684"/>
      <c r="JBN74" s="684"/>
      <c r="JBO74" s="684"/>
      <c r="JBP74" s="684"/>
      <c r="JBQ74" s="684"/>
      <c r="JBR74" s="684"/>
      <c r="JBS74" s="684"/>
      <c r="JBT74" s="684"/>
      <c r="JBU74" s="684"/>
      <c r="JBV74" s="684"/>
      <c r="JBW74" s="684"/>
      <c r="JBX74" s="684"/>
      <c r="JBY74" s="684"/>
      <c r="JBZ74" s="684"/>
      <c r="JCA74" s="684"/>
      <c r="JCB74" s="684"/>
      <c r="JCC74" s="684"/>
      <c r="JCD74" s="684"/>
      <c r="JCE74" s="684"/>
      <c r="JCF74" s="684"/>
      <c r="JCG74" s="684"/>
      <c r="JCH74" s="684"/>
      <c r="JCI74" s="684"/>
      <c r="JCJ74" s="684"/>
      <c r="JCK74" s="684"/>
      <c r="JCL74" s="684"/>
      <c r="JCM74" s="684"/>
      <c r="JCN74" s="684"/>
      <c r="JCO74" s="684"/>
      <c r="JCP74" s="684"/>
      <c r="JCQ74" s="684"/>
      <c r="JCR74" s="684"/>
      <c r="JCS74" s="684"/>
      <c r="JCT74" s="684"/>
      <c r="JCU74" s="684"/>
      <c r="JCV74" s="684"/>
      <c r="JCW74" s="684"/>
      <c r="JCX74" s="684"/>
      <c r="JCY74" s="684"/>
      <c r="JCZ74" s="684"/>
      <c r="JDA74" s="684"/>
      <c r="JDB74" s="684"/>
      <c r="JDC74" s="684"/>
      <c r="JDD74" s="684"/>
      <c r="JDE74" s="684"/>
      <c r="JDF74" s="684"/>
      <c r="JDG74" s="684"/>
      <c r="JDH74" s="684"/>
      <c r="JDI74" s="684"/>
      <c r="JDJ74" s="684"/>
      <c r="JDK74" s="684"/>
      <c r="JDL74" s="684"/>
      <c r="JDM74" s="684"/>
      <c r="JDN74" s="684"/>
      <c r="JDO74" s="684"/>
      <c r="JDP74" s="684"/>
      <c r="JDQ74" s="684"/>
      <c r="JDR74" s="684"/>
      <c r="JDS74" s="684"/>
      <c r="JDT74" s="684"/>
      <c r="JDU74" s="684"/>
      <c r="JDV74" s="684"/>
      <c r="JDW74" s="684"/>
      <c r="JDX74" s="684"/>
      <c r="JDY74" s="684"/>
      <c r="JDZ74" s="684"/>
      <c r="JEA74" s="684"/>
      <c r="JEB74" s="684"/>
      <c r="JEC74" s="684"/>
      <c r="JED74" s="684"/>
      <c r="JEE74" s="684"/>
      <c r="JEF74" s="684"/>
      <c r="JEG74" s="684"/>
      <c r="JEH74" s="684"/>
      <c r="JEI74" s="684"/>
      <c r="JEJ74" s="684"/>
      <c r="JEK74" s="684"/>
      <c r="JEL74" s="684"/>
      <c r="JEM74" s="684"/>
      <c r="JEN74" s="684"/>
      <c r="JEO74" s="684"/>
      <c r="JEP74" s="684"/>
      <c r="JEQ74" s="684"/>
      <c r="JER74" s="684"/>
      <c r="JES74" s="684"/>
      <c r="JET74" s="684"/>
      <c r="JEU74" s="684"/>
      <c r="JEV74" s="684"/>
      <c r="JEW74" s="684"/>
      <c r="JEX74" s="684"/>
      <c r="JEY74" s="684"/>
      <c r="JEZ74" s="684"/>
      <c r="JFA74" s="684"/>
      <c r="JFB74" s="684"/>
      <c r="JFC74" s="684"/>
      <c r="JFD74" s="684"/>
      <c r="JFE74" s="684"/>
      <c r="JFF74" s="684"/>
      <c r="JFG74" s="684"/>
      <c r="JFH74" s="684"/>
      <c r="JFI74" s="684"/>
      <c r="JFJ74" s="684"/>
      <c r="JFK74" s="684"/>
      <c r="JFL74" s="684"/>
      <c r="JFM74" s="684"/>
      <c r="JFN74" s="684"/>
      <c r="JFO74" s="684"/>
      <c r="JFP74" s="684"/>
      <c r="JFQ74" s="684"/>
      <c r="JFR74" s="684"/>
      <c r="JFS74" s="684"/>
      <c r="JFT74" s="684"/>
      <c r="JFU74" s="684"/>
      <c r="JFV74" s="684"/>
      <c r="JFW74" s="684"/>
      <c r="JFX74" s="684"/>
      <c r="JFY74" s="684"/>
      <c r="JFZ74" s="684"/>
      <c r="JGA74" s="684"/>
      <c r="JGB74" s="684"/>
      <c r="JGC74" s="684"/>
      <c r="JGD74" s="684"/>
      <c r="JGE74" s="684"/>
      <c r="JGF74" s="684"/>
      <c r="JGG74" s="684"/>
      <c r="JGH74" s="684"/>
      <c r="JGI74" s="684"/>
      <c r="JGJ74" s="684"/>
      <c r="JGK74" s="684"/>
      <c r="JGL74" s="684"/>
      <c r="JGM74" s="684"/>
      <c r="JGN74" s="684"/>
      <c r="JGO74" s="684"/>
      <c r="JGP74" s="684"/>
      <c r="JGQ74" s="684"/>
      <c r="JGR74" s="684"/>
      <c r="JGS74" s="684"/>
      <c r="JGT74" s="684"/>
      <c r="JGU74" s="684"/>
      <c r="JGV74" s="684"/>
      <c r="JGW74" s="684"/>
      <c r="JGX74" s="684"/>
      <c r="JGY74" s="684"/>
      <c r="JGZ74" s="684"/>
      <c r="JHA74" s="684"/>
      <c r="JHB74" s="684"/>
      <c r="JHC74" s="684"/>
      <c r="JHD74" s="684"/>
      <c r="JHE74" s="684"/>
      <c r="JHF74" s="684"/>
      <c r="JHG74" s="684"/>
      <c r="JHH74" s="684"/>
      <c r="JHI74" s="684"/>
      <c r="JHJ74" s="684"/>
      <c r="JHK74" s="684"/>
      <c r="JHL74" s="684"/>
      <c r="JHM74" s="684"/>
      <c r="JHN74" s="684"/>
      <c r="JHO74" s="684"/>
      <c r="JHP74" s="684"/>
      <c r="JHQ74" s="684"/>
      <c r="JHR74" s="684"/>
      <c r="JHS74" s="684"/>
      <c r="JHT74" s="684"/>
      <c r="JHU74" s="684"/>
      <c r="JHV74" s="684"/>
      <c r="JHW74" s="684"/>
      <c r="JHX74" s="684"/>
      <c r="JHY74" s="684"/>
      <c r="JHZ74" s="684"/>
      <c r="JIA74" s="684"/>
      <c r="JIB74" s="684"/>
      <c r="JIC74" s="684"/>
      <c r="JID74" s="684"/>
      <c r="JIE74" s="684"/>
      <c r="JIF74" s="684"/>
      <c r="JIG74" s="684"/>
      <c r="JIH74" s="684"/>
      <c r="JII74" s="684"/>
      <c r="JIJ74" s="684"/>
      <c r="JIK74" s="684"/>
      <c r="JIL74" s="684"/>
      <c r="JIM74" s="684"/>
      <c r="JIN74" s="684"/>
      <c r="JIO74" s="684"/>
      <c r="JIP74" s="684"/>
      <c r="JIQ74" s="684"/>
      <c r="JIR74" s="684"/>
      <c r="JIS74" s="684"/>
      <c r="JIT74" s="684"/>
      <c r="JIU74" s="684"/>
      <c r="JIV74" s="684"/>
      <c r="JIW74" s="684"/>
      <c r="JIX74" s="684"/>
      <c r="JIY74" s="684"/>
      <c r="JIZ74" s="684"/>
      <c r="JJA74" s="684"/>
      <c r="JJB74" s="684"/>
      <c r="JJC74" s="684"/>
      <c r="JJD74" s="684"/>
      <c r="JJE74" s="684"/>
      <c r="JJF74" s="684"/>
      <c r="JJG74" s="684"/>
      <c r="JJH74" s="684"/>
      <c r="JJI74" s="684"/>
      <c r="JJJ74" s="684"/>
      <c r="JJK74" s="684"/>
      <c r="JJL74" s="684"/>
      <c r="JJM74" s="684"/>
      <c r="JJN74" s="684"/>
      <c r="JJO74" s="684"/>
      <c r="JJP74" s="684"/>
      <c r="JJQ74" s="684"/>
      <c r="JJR74" s="684"/>
      <c r="JJS74" s="684"/>
      <c r="JJT74" s="684"/>
      <c r="JJU74" s="684"/>
      <c r="JJV74" s="684"/>
      <c r="JJW74" s="684"/>
      <c r="JJX74" s="684"/>
      <c r="JJY74" s="684"/>
      <c r="JJZ74" s="684"/>
      <c r="JKA74" s="684"/>
      <c r="JKB74" s="684"/>
      <c r="JKC74" s="684"/>
      <c r="JKD74" s="684"/>
      <c r="JKE74" s="684"/>
      <c r="JKF74" s="684"/>
      <c r="JKG74" s="684"/>
      <c r="JKH74" s="684"/>
      <c r="JKI74" s="684"/>
      <c r="JKJ74" s="684"/>
      <c r="JKK74" s="684"/>
      <c r="JKL74" s="684"/>
      <c r="JKM74" s="684"/>
      <c r="JKN74" s="684"/>
      <c r="JKO74" s="684"/>
      <c r="JKP74" s="684"/>
      <c r="JKQ74" s="684"/>
      <c r="JKR74" s="684"/>
      <c r="JKS74" s="684"/>
      <c r="JKT74" s="684"/>
      <c r="JKU74" s="684"/>
      <c r="JKV74" s="684"/>
      <c r="JKW74" s="684"/>
      <c r="JKX74" s="684"/>
      <c r="JKY74" s="684"/>
      <c r="JKZ74" s="684"/>
      <c r="JLA74" s="684"/>
      <c r="JLB74" s="684"/>
      <c r="JLC74" s="684"/>
      <c r="JLD74" s="684"/>
      <c r="JLE74" s="684"/>
      <c r="JLF74" s="684"/>
      <c r="JLG74" s="684"/>
      <c r="JLH74" s="684"/>
      <c r="JLI74" s="684"/>
      <c r="JLJ74" s="684"/>
      <c r="JLK74" s="684"/>
      <c r="JLL74" s="684"/>
      <c r="JLM74" s="684"/>
      <c r="JLN74" s="684"/>
      <c r="JLO74" s="684"/>
      <c r="JLP74" s="684"/>
      <c r="JLQ74" s="684"/>
      <c r="JLR74" s="684"/>
      <c r="JLS74" s="684"/>
      <c r="JLT74" s="684"/>
      <c r="JLU74" s="684"/>
      <c r="JLV74" s="684"/>
      <c r="JLW74" s="684"/>
      <c r="JLX74" s="684"/>
      <c r="JLY74" s="684"/>
      <c r="JLZ74" s="684"/>
      <c r="JMA74" s="684"/>
      <c r="JMB74" s="684"/>
      <c r="JMC74" s="684"/>
      <c r="JMD74" s="684"/>
      <c r="JME74" s="684"/>
      <c r="JMF74" s="684"/>
      <c r="JMG74" s="684"/>
      <c r="JMH74" s="684"/>
      <c r="JMI74" s="684"/>
      <c r="JMJ74" s="684"/>
      <c r="JMK74" s="684"/>
      <c r="JML74" s="684"/>
      <c r="JMM74" s="684"/>
      <c r="JMN74" s="684"/>
      <c r="JMO74" s="684"/>
      <c r="JMP74" s="684"/>
      <c r="JMQ74" s="684"/>
      <c r="JMR74" s="684"/>
      <c r="JMS74" s="684"/>
      <c r="JMT74" s="684"/>
      <c r="JMU74" s="684"/>
      <c r="JMV74" s="684"/>
      <c r="JMW74" s="684"/>
      <c r="JMX74" s="684"/>
      <c r="JMY74" s="684"/>
      <c r="JMZ74" s="684"/>
      <c r="JNA74" s="684"/>
      <c r="JNB74" s="684"/>
      <c r="JNC74" s="684"/>
      <c r="JND74" s="684"/>
      <c r="JNE74" s="684"/>
      <c r="JNF74" s="684"/>
      <c r="JNG74" s="684"/>
      <c r="JNH74" s="684"/>
      <c r="JNI74" s="684"/>
      <c r="JNJ74" s="684"/>
      <c r="JNK74" s="684"/>
      <c r="JNL74" s="684"/>
      <c r="JNM74" s="684"/>
      <c r="JNN74" s="684"/>
      <c r="JNO74" s="684"/>
      <c r="JNP74" s="684"/>
      <c r="JNQ74" s="684"/>
      <c r="JNR74" s="684"/>
      <c r="JNS74" s="684"/>
      <c r="JNT74" s="684"/>
      <c r="JNU74" s="684"/>
      <c r="JNV74" s="684"/>
      <c r="JNW74" s="684"/>
      <c r="JNX74" s="684"/>
      <c r="JNY74" s="684"/>
      <c r="JNZ74" s="684"/>
      <c r="JOA74" s="684"/>
      <c r="JOB74" s="684"/>
      <c r="JOC74" s="684"/>
      <c r="JOD74" s="684"/>
      <c r="JOE74" s="684"/>
      <c r="JOF74" s="684"/>
      <c r="JOG74" s="684"/>
      <c r="JOH74" s="684"/>
      <c r="JOI74" s="684"/>
      <c r="JOJ74" s="684"/>
      <c r="JOK74" s="684"/>
      <c r="JOL74" s="684"/>
      <c r="JOM74" s="684"/>
      <c r="JON74" s="684"/>
      <c r="JOO74" s="684"/>
      <c r="JOP74" s="684"/>
      <c r="JOQ74" s="684"/>
      <c r="JOR74" s="684"/>
      <c r="JOS74" s="684"/>
      <c r="JOT74" s="684"/>
      <c r="JOU74" s="684"/>
      <c r="JOV74" s="684"/>
      <c r="JOW74" s="684"/>
      <c r="JOX74" s="684"/>
      <c r="JOY74" s="684"/>
      <c r="JOZ74" s="684"/>
      <c r="JPA74" s="684"/>
      <c r="JPB74" s="684"/>
      <c r="JPC74" s="684"/>
      <c r="JPD74" s="684"/>
      <c r="JPE74" s="684"/>
      <c r="JPF74" s="684"/>
      <c r="JPG74" s="684"/>
      <c r="JPH74" s="684"/>
      <c r="JPI74" s="684"/>
      <c r="JPJ74" s="684"/>
      <c r="JPK74" s="684"/>
      <c r="JPL74" s="684"/>
      <c r="JPM74" s="684"/>
      <c r="JPN74" s="684"/>
      <c r="JPO74" s="684"/>
      <c r="JPP74" s="684"/>
      <c r="JPQ74" s="684"/>
      <c r="JPR74" s="684"/>
      <c r="JPS74" s="684"/>
      <c r="JPT74" s="684"/>
      <c r="JPU74" s="684"/>
      <c r="JPV74" s="684"/>
      <c r="JPW74" s="684"/>
      <c r="JPX74" s="684"/>
      <c r="JPY74" s="684"/>
      <c r="JPZ74" s="684"/>
      <c r="JQA74" s="684"/>
      <c r="JQB74" s="684"/>
      <c r="JQC74" s="684"/>
      <c r="JQD74" s="684"/>
      <c r="JQE74" s="684"/>
      <c r="JQF74" s="684"/>
      <c r="JQG74" s="684"/>
      <c r="JQH74" s="684"/>
      <c r="JQI74" s="684"/>
      <c r="JQJ74" s="684"/>
      <c r="JQK74" s="684"/>
      <c r="JQL74" s="684"/>
      <c r="JQM74" s="684"/>
      <c r="JQN74" s="684"/>
      <c r="JQO74" s="684"/>
      <c r="JQP74" s="684"/>
      <c r="JQQ74" s="684"/>
      <c r="JQR74" s="684"/>
      <c r="JQS74" s="684"/>
      <c r="JQT74" s="684"/>
      <c r="JQU74" s="684"/>
      <c r="JQV74" s="684"/>
      <c r="JQW74" s="684"/>
      <c r="JQX74" s="684"/>
      <c r="JQY74" s="684"/>
      <c r="JQZ74" s="684"/>
      <c r="JRA74" s="684"/>
      <c r="JRB74" s="684"/>
      <c r="JRC74" s="684"/>
      <c r="JRD74" s="684"/>
      <c r="JRE74" s="684"/>
      <c r="JRF74" s="684"/>
      <c r="JRG74" s="684"/>
      <c r="JRH74" s="684"/>
      <c r="JRI74" s="684"/>
      <c r="JRJ74" s="684"/>
      <c r="JRK74" s="684"/>
      <c r="JRL74" s="684"/>
      <c r="JRM74" s="684"/>
      <c r="JRN74" s="684"/>
      <c r="JRO74" s="684"/>
      <c r="JRP74" s="684"/>
      <c r="JRQ74" s="684"/>
      <c r="JRR74" s="684"/>
      <c r="JRS74" s="684"/>
      <c r="JRT74" s="684"/>
      <c r="JRU74" s="684"/>
      <c r="JRV74" s="684"/>
      <c r="JRW74" s="684"/>
      <c r="JRX74" s="684"/>
      <c r="JRY74" s="684"/>
      <c r="JRZ74" s="684"/>
      <c r="JSA74" s="684"/>
      <c r="JSB74" s="684"/>
      <c r="JSC74" s="684"/>
      <c r="JSD74" s="684"/>
      <c r="JSE74" s="684"/>
      <c r="JSF74" s="684"/>
      <c r="JSG74" s="684"/>
      <c r="JSH74" s="684"/>
      <c r="JSI74" s="684"/>
      <c r="JSJ74" s="684"/>
      <c r="JSK74" s="684"/>
      <c r="JSL74" s="684"/>
      <c r="JSM74" s="684"/>
      <c r="JSN74" s="684"/>
      <c r="JSO74" s="684"/>
      <c r="JSP74" s="684"/>
      <c r="JSQ74" s="684"/>
      <c r="JSR74" s="684"/>
      <c r="JSS74" s="684"/>
      <c r="JST74" s="684"/>
      <c r="JSU74" s="684"/>
      <c r="JSV74" s="684"/>
      <c r="JSW74" s="684"/>
      <c r="JSX74" s="684"/>
      <c r="JSY74" s="684"/>
      <c r="JSZ74" s="684"/>
      <c r="JTA74" s="684"/>
      <c r="JTB74" s="684"/>
      <c r="JTC74" s="684"/>
      <c r="JTD74" s="684"/>
      <c r="JTE74" s="684"/>
      <c r="JTF74" s="684"/>
      <c r="JTG74" s="684"/>
      <c r="JTH74" s="684"/>
      <c r="JTI74" s="684"/>
      <c r="JTJ74" s="684"/>
      <c r="JTK74" s="684"/>
      <c r="JTL74" s="684"/>
      <c r="JTM74" s="684"/>
      <c r="JTN74" s="684"/>
      <c r="JTO74" s="684"/>
      <c r="JTP74" s="684"/>
      <c r="JTQ74" s="684"/>
      <c r="JTR74" s="684"/>
      <c r="JTS74" s="684"/>
      <c r="JTT74" s="684"/>
      <c r="JTU74" s="684"/>
      <c r="JTV74" s="684"/>
      <c r="JTW74" s="684"/>
      <c r="JTX74" s="684"/>
      <c r="JTY74" s="684"/>
      <c r="JTZ74" s="684"/>
      <c r="JUA74" s="684"/>
      <c r="JUB74" s="684"/>
      <c r="JUC74" s="684"/>
      <c r="JUD74" s="684"/>
      <c r="JUE74" s="684"/>
      <c r="JUF74" s="684"/>
      <c r="JUG74" s="684"/>
      <c r="JUH74" s="684"/>
      <c r="JUI74" s="684"/>
      <c r="JUJ74" s="684"/>
      <c r="JUK74" s="684"/>
      <c r="JUL74" s="684"/>
      <c r="JUM74" s="684"/>
      <c r="JUN74" s="684"/>
      <c r="JUO74" s="684"/>
      <c r="JUP74" s="684"/>
      <c r="JUQ74" s="684"/>
      <c r="JUR74" s="684"/>
      <c r="JUS74" s="684"/>
      <c r="JUT74" s="684"/>
      <c r="JUU74" s="684"/>
      <c r="JUV74" s="684"/>
      <c r="JUW74" s="684"/>
      <c r="JUX74" s="684"/>
      <c r="JUY74" s="684"/>
      <c r="JUZ74" s="684"/>
      <c r="JVA74" s="684"/>
      <c r="JVB74" s="684"/>
      <c r="JVC74" s="684"/>
      <c r="JVD74" s="684"/>
      <c r="JVE74" s="684"/>
      <c r="JVF74" s="684"/>
      <c r="JVG74" s="684"/>
      <c r="JVH74" s="684"/>
      <c r="JVI74" s="684"/>
      <c r="JVJ74" s="684"/>
      <c r="JVK74" s="684"/>
      <c r="JVL74" s="684"/>
      <c r="JVM74" s="684"/>
      <c r="JVN74" s="684"/>
      <c r="JVO74" s="684"/>
      <c r="JVP74" s="684"/>
      <c r="JVQ74" s="684"/>
      <c r="JVR74" s="684"/>
      <c r="JVS74" s="684"/>
      <c r="JVT74" s="684"/>
      <c r="JVU74" s="684"/>
      <c r="JVV74" s="684"/>
      <c r="JVW74" s="684"/>
      <c r="JVX74" s="684"/>
      <c r="JVY74" s="684"/>
      <c r="JVZ74" s="684"/>
      <c r="JWA74" s="684"/>
      <c r="JWB74" s="684"/>
      <c r="JWC74" s="684"/>
      <c r="JWD74" s="684"/>
      <c r="JWE74" s="684"/>
      <c r="JWF74" s="684"/>
      <c r="JWG74" s="684"/>
      <c r="JWH74" s="684"/>
      <c r="JWI74" s="684"/>
      <c r="JWJ74" s="684"/>
      <c r="JWK74" s="684"/>
      <c r="JWL74" s="684"/>
      <c r="JWM74" s="684"/>
      <c r="JWN74" s="684"/>
      <c r="JWO74" s="684"/>
      <c r="JWP74" s="684"/>
      <c r="JWQ74" s="684"/>
      <c r="JWR74" s="684"/>
      <c r="JWS74" s="684"/>
      <c r="JWT74" s="684"/>
      <c r="JWU74" s="684"/>
      <c r="JWV74" s="684"/>
      <c r="JWW74" s="684"/>
      <c r="JWX74" s="684"/>
      <c r="JWY74" s="684"/>
      <c r="JWZ74" s="684"/>
      <c r="JXA74" s="684"/>
      <c r="JXB74" s="684"/>
      <c r="JXC74" s="684"/>
      <c r="JXD74" s="684"/>
      <c r="JXE74" s="684"/>
      <c r="JXF74" s="684"/>
      <c r="JXG74" s="684"/>
      <c r="JXH74" s="684"/>
      <c r="JXI74" s="684"/>
      <c r="JXJ74" s="684"/>
      <c r="JXK74" s="684"/>
      <c r="JXL74" s="684"/>
      <c r="JXM74" s="684"/>
      <c r="JXN74" s="684"/>
      <c r="JXO74" s="684"/>
      <c r="JXP74" s="684"/>
      <c r="JXQ74" s="684"/>
      <c r="JXR74" s="684"/>
      <c r="JXS74" s="684"/>
      <c r="JXT74" s="684"/>
      <c r="JXU74" s="684"/>
      <c r="JXV74" s="684"/>
      <c r="JXW74" s="684"/>
      <c r="JXX74" s="684"/>
      <c r="JXY74" s="684"/>
      <c r="JXZ74" s="684"/>
      <c r="JYA74" s="684"/>
      <c r="JYB74" s="684"/>
      <c r="JYC74" s="684"/>
      <c r="JYD74" s="684"/>
      <c r="JYE74" s="684"/>
      <c r="JYF74" s="684"/>
      <c r="JYG74" s="684"/>
      <c r="JYH74" s="684"/>
      <c r="JYI74" s="684"/>
      <c r="JYJ74" s="684"/>
      <c r="JYK74" s="684"/>
      <c r="JYL74" s="684"/>
      <c r="JYM74" s="684"/>
      <c r="JYN74" s="684"/>
      <c r="JYO74" s="684"/>
      <c r="JYP74" s="684"/>
      <c r="JYQ74" s="684"/>
      <c r="JYR74" s="684"/>
      <c r="JYS74" s="684"/>
      <c r="JYT74" s="684"/>
      <c r="JYU74" s="684"/>
      <c r="JYV74" s="684"/>
      <c r="JYW74" s="684"/>
      <c r="JYX74" s="684"/>
      <c r="JYY74" s="684"/>
      <c r="JYZ74" s="684"/>
      <c r="JZA74" s="684"/>
      <c r="JZB74" s="684"/>
      <c r="JZC74" s="684"/>
      <c r="JZD74" s="684"/>
      <c r="JZE74" s="684"/>
      <c r="JZF74" s="684"/>
      <c r="JZG74" s="684"/>
      <c r="JZH74" s="684"/>
      <c r="JZI74" s="684"/>
      <c r="JZJ74" s="684"/>
      <c r="JZK74" s="684"/>
      <c r="JZL74" s="684"/>
      <c r="JZM74" s="684"/>
      <c r="JZN74" s="684"/>
      <c r="JZO74" s="684"/>
      <c r="JZP74" s="684"/>
      <c r="JZQ74" s="684"/>
      <c r="JZR74" s="684"/>
      <c r="JZS74" s="684"/>
      <c r="JZT74" s="684"/>
      <c r="JZU74" s="684"/>
      <c r="JZV74" s="684"/>
      <c r="JZW74" s="684"/>
      <c r="JZX74" s="684"/>
      <c r="JZY74" s="684"/>
      <c r="JZZ74" s="684"/>
      <c r="KAA74" s="684"/>
      <c r="KAB74" s="684"/>
      <c r="KAC74" s="684"/>
      <c r="KAD74" s="684"/>
      <c r="KAE74" s="684"/>
      <c r="KAF74" s="684"/>
      <c r="KAG74" s="684"/>
      <c r="KAH74" s="684"/>
      <c r="KAI74" s="684"/>
      <c r="KAJ74" s="684"/>
      <c r="KAK74" s="684"/>
      <c r="KAL74" s="684"/>
      <c r="KAM74" s="684"/>
      <c r="KAN74" s="684"/>
      <c r="KAO74" s="684"/>
      <c r="KAP74" s="684"/>
      <c r="KAQ74" s="684"/>
      <c r="KAR74" s="684"/>
      <c r="KAS74" s="684"/>
      <c r="KAT74" s="684"/>
      <c r="KAU74" s="684"/>
      <c r="KAV74" s="684"/>
      <c r="KAW74" s="684"/>
      <c r="KAX74" s="684"/>
      <c r="KAY74" s="684"/>
      <c r="KAZ74" s="684"/>
      <c r="KBA74" s="684"/>
      <c r="KBB74" s="684"/>
      <c r="KBC74" s="684"/>
      <c r="KBD74" s="684"/>
      <c r="KBE74" s="684"/>
      <c r="KBF74" s="684"/>
      <c r="KBG74" s="684"/>
      <c r="KBH74" s="684"/>
      <c r="KBI74" s="684"/>
      <c r="KBJ74" s="684"/>
      <c r="KBK74" s="684"/>
      <c r="KBL74" s="684"/>
      <c r="KBM74" s="684"/>
      <c r="KBN74" s="684"/>
      <c r="KBO74" s="684"/>
      <c r="KBP74" s="684"/>
      <c r="KBQ74" s="684"/>
      <c r="KBR74" s="684"/>
      <c r="KBS74" s="684"/>
      <c r="KBT74" s="684"/>
      <c r="KBU74" s="684"/>
      <c r="KBV74" s="684"/>
      <c r="KBW74" s="684"/>
      <c r="KBX74" s="684"/>
      <c r="KBY74" s="684"/>
      <c r="KBZ74" s="684"/>
      <c r="KCA74" s="684"/>
      <c r="KCB74" s="684"/>
      <c r="KCC74" s="684"/>
      <c r="KCD74" s="684"/>
      <c r="KCE74" s="684"/>
      <c r="KCF74" s="684"/>
      <c r="KCG74" s="684"/>
      <c r="KCH74" s="684"/>
      <c r="KCI74" s="684"/>
      <c r="KCJ74" s="684"/>
      <c r="KCK74" s="684"/>
      <c r="KCL74" s="684"/>
      <c r="KCM74" s="684"/>
      <c r="KCN74" s="684"/>
      <c r="KCO74" s="684"/>
      <c r="KCP74" s="684"/>
      <c r="KCQ74" s="684"/>
      <c r="KCR74" s="684"/>
      <c r="KCS74" s="684"/>
      <c r="KCT74" s="684"/>
      <c r="KCU74" s="684"/>
      <c r="KCV74" s="684"/>
      <c r="KCW74" s="684"/>
      <c r="KCX74" s="684"/>
      <c r="KCY74" s="684"/>
      <c r="KCZ74" s="684"/>
      <c r="KDA74" s="684"/>
      <c r="KDB74" s="684"/>
      <c r="KDC74" s="684"/>
      <c r="KDD74" s="684"/>
      <c r="KDE74" s="684"/>
      <c r="KDF74" s="684"/>
      <c r="KDG74" s="684"/>
      <c r="KDH74" s="684"/>
      <c r="KDI74" s="684"/>
      <c r="KDJ74" s="684"/>
      <c r="KDK74" s="684"/>
      <c r="KDL74" s="684"/>
      <c r="KDM74" s="684"/>
      <c r="KDN74" s="684"/>
      <c r="KDO74" s="684"/>
      <c r="KDP74" s="684"/>
      <c r="KDQ74" s="684"/>
      <c r="KDR74" s="684"/>
      <c r="KDS74" s="684"/>
      <c r="KDT74" s="684"/>
      <c r="KDU74" s="684"/>
      <c r="KDV74" s="684"/>
      <c r="KDW74" s="684"/>
      <c r="KDX74" s="684"/>
      <c r="KDY74" s="684"/>
      <c r="KDZ74" s="684"/>
      <c r="KEA74" s="684"/>
      <c r="KEB74" s="684"/>
      <c r="KEC74" s="684"/>
      <c r="KED74" s="684"/>
      <c r="KEE74" s="684"/>
      <c r="KEF74" s="684"/>
      <c r="KEG74" s="684"/>
      <c r="KEH74" s="684"/>
      <c r="KEI74" s="684"/>
      <c r="KEJ74" s="684"/>
      <c r="KEK74" s="684"/>
      <c r="KEL74" s="684"/>
      <c r="KEM74" s="684"/>
      <c r="KEN74" s="684"/>
      <c r="KEO74" s="684"/>
      <c r="KEP74" s="684"/>
      <c r="KEQ74" s="684"/>
      <c r="KER74" s="684"/>
      <c r="KES74" s="684"/>
      <c r="KET74" s="684"/>
      <c r="KEU74" s="684"/>
      <c r="KEV74" s="684"/>
      <c r="KEW74" s="684"/>
      <c r="KEX74" s="684"/>
      <c r="KEY74" s="684"/>
      <c r="KEZ74" s="684"/>
      <c r="KFA74" s="684"/>
      <c r="KFB74" s="684"/>
      <c r="KFC74" s="684"/>
      <c r="KFD74" s="684"/>
      <c r="KFE74" s="684"/>
      <c r="KFF74" s="684"/>
      <c r="KFG74" s="684"/>
      <c r="KFH74" s="684"/>
      <c r="KFI74" s="684"/>
      <c r="KFJ74" s="684"/>
      <c r="KFK74" s="684"/>
      <c r="KFL74" s="684"/>
      <c r="KFM74" s="684"/>
      <c r="KFN74" s="684"/>
      <c r="KFO74" s="684"/>
      <c r="KFP74" s="684"/>
      <c r="KFQ74" s="684"/>
      <c r="KFR74" s="684"/>
      <c r="KFS74" s="684"/>
      <c r="KFT74" s="684"/>
      <c r="KFU74" s="684"/>
      <c r="KFV74" s="684"/>
      <c r="KFW74" s="684"/>
      <c r="KFX74" s="684"/>
      <c r="KFY74" s="684"/>
      <c r="KFZ74" s="684"/>
      <c r="KGA74" s="684"/>
      <c r="KGB74" s="684"/>
      <c r="KGC74" s="684"/>
      <c r="KGD74" s="684"/>
      <c r="KGE74" s="684"/>
      <c r="KGF74" s="684"/>
      <c r="KGG74" s="684"/>
      <c r="KGH74" s="684"/>
      <c r="KGI74" s="684"/>
      <c r="KGJ74" s="684"/>
      <c r="KGK74" s="684"/>
      <c r="KGL74" s="684"/>
      <c r="KGM74" s="684"/>
      <c r="KGN74" s="684"/>
      <c r="KGO74" s="684"/>
      <c r="KGP74" s="684"/>
      <c r="KGQ74" s="684"/>
      <c r="KGR74" s="684"/>
      <c r="KGS74" s="684"/>
      <c r="KGT74" s="684"/>
      <c r="KGU74" s="684"/>
      <c r="KGV74" s="684"/>
      <c r="KGW74" s="684"/>
      <c r="KGX74" s="684"/>
      <c r="KGY74" s="684"/>
      <c r="KGZ74" s="684"/>
      <c r="KHA74" s="684"/>
      <c r="KHB74" s="684"/>
      <c r="KHC74" s="684"/>
      <c r="KHD74" s="684"/>
      <c r="KHE74" s="684"/>
      <c r="KHF74" s="684"/>
      <c r="KHG74" s="684"/>
      <c r="KHH74" s="684"/>
      <c r="KHI74" s="684"/>
      <c r="KHJ74" s="684"/>
      <c r="KHK74" s="684"/>
      <c r="KHL74" s="684"/>
      <c r="KHM74" s="684"/>
      <c r="KHN74" s="684"/>
      <c r="KHO74" s="684"/>
      <c r="KHP74" s="684"/>
      <c r="KHQ74" s="684"/>
      <c r="KHR74" s="684"/>
      <c r="KHS74" s="684"/>
      <c r="KHT74" s="684"/>
      <c r="KHU74" s="684"/>
      <c r="KHV74" s="684"/>
      <c r="KHW74" s="684"/>
      <c r="KHX74" s="684"/>
      <c r="KHY74" s="684"/>
      <c r="KHZ74" s="684"/>
      <c r="KIA74" s="684"/>
      <c r="KIB74" s="684"/>
      <c r="KIC74" s="684"/>
      <c r="KID74" s="684"/>
      <c r="KIE74" s="684"/>
      <c r="KIF74" s="684"/>
      <c r="KIG74" s="684"/>
      <c r="KIH74" s="684"/>
      <c r="KII74" s="684"/>
      <c r="KIJ74" s="684"/>
      <c r="KIK74" s="684"/>
      <c r="KIL74" s="684"/>
      <c r="KIM74" s="684"/>
      <c r="KIN74" s="684"/>
      <c r="KIO74" s="684"/>
      <c r="KIP74" s="684"/>
      <c r="KIQ74" s="684"/>
      <c r="KIR74" s="684"/>
      <c r="KIS74" s="684"/>
      <c r="KIT74" s="684"/>
      <c r="KIU74" s="684"/>
      <c r="KIV74" s="684"/>
      <c r="KIW74" s="684"/>
      <c r="KIX74" s="684"/>
      <c r="KIY74" s="684"/>
      <c r="KIZ74" s="684"/>
      <c r="KJA74" s="684"/>
      <c r="KJB74" s="684"/>
      <c r="KJC74" s="684"/>
      <c r="KJD74" s="684"/>
      <c r="KJE74" s="684"/>
      <c r="KJF74" s="684"/>
      <c r="KJG74" s="684"/>
      <c r="KJH74" s="684"/>
      <c r="KJI74" s="684"/>
      <c r="KJJ74" s="684"/>
      <c r="KJK74" s="684"/>
      <c r="KJL74" s="684"/>
      <c r="KJM74" s="684"/>
      <c r="KJN74" s="684"/>
      <c r="KJO74" s="684"/>
      <c r="KJP74" s="684"/>
      <c r="KJQ74" s="684"/>
      <c r="KJR74" s="684"/>
      <c r="KJS74" s="684"/>
      <c r="KJT74" s="684"/>
      <c r="KJU74" s="684"/>
      <c r="KJV74" s="684"/>
      <c r="KJW74" s="684"/>
      <c r="KJX74" s="684"/>
      <c r="KJY74" s="684"/>
      <c r="KJZ74" s="684"/>
      <c r="KKA74" s="684"/>
      <c r="KKB74" s="684"/>
      <c r="KKC74" s="684"/>
      <c r="KKD74" s="684"/>
      <c r="KKE74" s="684"/>
      <c r="KKF74" s="684"/>
      <c r="KKG74" s="684"/>
      <c r="KKH74" s="684"/>
      <c r="KKI74" s="684"/>
      <c r="KKJ74" s="684"/>
      <c r="KKK74" s="684"/>
      <c r="KKL74" s="684"/>
      <c r="KKM74" s="684"/>
      <c r="KKN74" s="684"/>
      <c r="KKO74" s="684"/>
      <c r="KKP74" s="684"/>
      <c r="KKQ74" s="684"/>
      <c r="KKR74" s="684"/>
      <c r="KKS74" s="684"/>
      <c r="KKT74" s="684"/>
      <c r="KKU74" s="684"/>
      <c r="KKV74" s="684"/>
      <c r="KKW74" s="684"/>
      <c r="KKX74" s="684"/>
      <c r="KKY74" s="684"/>
      <c r="KKZ74" s="684"/>
      <c r="KLA74" s="684"/>
      <c r="KLB74" s="684"/>
      <c r="KLC74" s="684"/>
      <c r="KLD74" s="684"/>
      <c r="KLE74" s="684"/>
      <c r="KLF74" s="684"/>
      <c r="KLG74" s="684"/>
      <c r="KLH74" s="684"/>
      <c r="KLI74" s="684"/>
      <c r="KLJ74" s="684"/>
      <c r="KLK74" s="684"/>
      <c r="KLL74" s="684"/>
      <c r="KLM74" s="684"/>
      <c r="KLN74" s="684"/>
      <c r="KLO74" s="684"/>
      <c r="KLP74" s="684"/>
      <c r="KLQ74" s="684"/>
      <c r="KLR74" s="684"/>
      <c r="KLS74" s="684"/>
      <c r="KLT74" s="684"/>
      <c r="KLU74" s="684"/>
      <c r="KLV74" s="684"/>
      <c r="KLW74" s="684"/>
      <c r="KLX74" s="684"/>
      <c r="KLY74" s="684"/>
      <c r="KLZ74" s="684"/>
      <c r="KMA74" s="684"/>
      <c r="KMB74" s="684"/>
      <c r="KMC74" s="684"/>
      <c r="KMD74" s="684"/>
      <c r="KME74" s="684"/>
      <c r="KMF74" s="684"/>
      <c r="KMG74" s="684"/>
      <c r="KMH74" s="684"/>
      <c r="KMI74" s="684"/>
      <c r="KMJ74" s="684"/>
      <c r="KMK74" s="684"/>
      <c r="KML74" s="684"/>
      <c r="KMM74" s="684"/>
      <c r="KMN74" s="684"/>
      <c r="KMO74" s="684"/>
      <c r="KMP74" s="684"/>
      <c r="KMQ74" s="684"/>
      <c r="KMR74" s="684"/>
      <c r="KMS74" s="684"/>
      <c r="KMT74" s="684"/>
      <c r="KMU74" s="684"/>
      <c r="KMV74" s="684"/>
      <c r="KMW74" s="684"/>
      <c r="KMX74" s="684"/>
      <c r="KMY74" s="684"/>
      <c r="KMZ74" s="684"/>
      <c r="KNA74" s="684"/>
      <c r="KNB74" s="684"/>
      <c r="KNC74" s="684"/>
      <c r="KND74" s="684"/>
      <c r="KNE74" s="684"/>
      <c r="KNF74" s="684"/>
      <c r="KNG74" s="684"/>
      <c r="KNH74" s="684"/>
      <c r="KNI74" s="684"/>
      <c r="KNJ74" s="684"/>
      <c r="KNK74" s="684"/>
      <c r="KNL74" s="684"/>
      <c r="KNM74" s="684"/>
      <c r="KNN74" s="684"/>
      <c r="KNO74" s="684"/>
      <c r="KNP74" s="684"/>
      <c r="KNQ74" s="684"/>
      <c r="KNR74" s="684"/>
      <c r="KNS74" s="684"/>
      <c r="KNT74" s="684"/>
      <c r="KNU74" s="684"/>
      <c r="KNV74" s="684"/>
      <c r="KNW74" s="684"/>
      <c r="KNX74" s="684"/>
      <c r="KNY74" s="684"/>
      <c r="KNZ74" s="684"/>
      <c r="KOA74" s="684"/>
      <c r="KOB74" s="684"/>
      <c r="KOC74" s="684"/>
      <c r="KOD74" s="684"/>
      <c r="KOE74" s="684"/>
      <c r="KOF74" s="684"/>
      <c r="KOG74" s="684"/>
      <c r="KOH74" s="684"/>
      <c r="KOI74" s="684"/>
      <c r="KOJ74" s="684"/>
      <c r="KOK74" s="684"/>
      <c r="KOL74" s="684"/>
      <c r="KOM74" s="684"/>
      <c r="KON74" s="684"/>
      <c r="KOO74" s="684"/>
      <c r="KOP74" s="684"/>
      <c r="KOQ74" s="684"/>
      <c r="KOR74" s="684"/>
      <c r="KOS74" s="684"/>
      <c r="KOT74" s="684"/>
      <c r="KOU74" s="684"/>
      <c r="KOV74" s="684"/>
      <c r="KOW74" s="684"/>
      <c r="KOX74" s="684"/>
      <c r="KOY74" s="684"/>
      <c r="KOZ74" s="684"/>
      <c r="KPA74" s="684"/>
      <c r="KPB74" s="684"/>
      <c r="KPC74" s="684"/>
      <c r="KPD74" s="684"/>
      <c r="KPE74" s="684"/>
      <c r="KPF74" s="684"/>
      <c r="KPG74" s="684"/>
      <c r="KPH74" s="684"/>
      <c r="KPI74" s="684"/>
      <c r="KPJ74" s="684"/>
      <c r="KPK74" s="684"/>
      <c r="KPL74" s="684"/>
      <c r="KPM74" s="684"/>
      <c r="KPN74" s="684"/>
      <c r="KPO74" s="684"/>
      <c r="KPP74" s="684"/>
      <c r="KPQ74" s="684"/>
      <c r="KPR74" s="684"/>
      <c r="KPS74" s="684"/>
      <c r="KPT74" s="684"/>
      <c r="KPU74" s="684"/>
      <c r="KPV74" s="684"/>
      <c r="KPW74" s="684"/>
      <c r="KPX74" s="684"/>
      <c r="KPY74" s="684"/>
      <c r="KPZ74" s="684"/>
      <c r="KQA74" s="684"/>
      <c r="KQB74" s="684"/>
      <c r="KQC74" s="684"/>
      <c r="KQD74" s="684"/>
      <c r="KQE74" s="684"/>
      <c r="KQF74" s="684"/>
      <c r="KQG74" s="684"/>
      <c r="KQH74" s="684"/>
      <c r="KQI74" s="684"/>
      <c r="KQJ74" s="684"/>
      <c r="KQK74" s="684"/>
      <c r="KQL74" s="684"/>
      <c r="KQM74" s="684"/>
      <c r="KQN74" s="684"/>
      <c r="KQO74" s="684"/>
      <c r="KQP74" s="684"/>
      <c r="KQQ74" s="684"/>
      <c r="KQR74" s="684"/>
      <c r="KQS74" s="684"/>
      <c r="KQT74" s="684"/>
      <c r="KQU74" s="684"/>
      <c r="KQV74" s="684"/>
      <c r="KQW74" s="684"/>
      <c r="KQX74" s="684"/>
      <c r="KQY74" s="684"/>
      <c r="KQZ74" s="684"/>
      <c r="KRA74" s="684"/>
      <c r="KRB74" s="684"/>
      <c r="KRC74" s="684"/>
      <c r="KRD74" s="684"/>
      <c r="KRE74" s="684"/>
      <c r="KRF74" s="684"/>
      <c r="KRG74" s="684"/>
      <c r="KRH74" s="684"/>
      <c r="KRI74" s="684"/>
      <c r="KRJ74" s="684"/>
      <c r="KRK74" s="684"/>
      <c r="KRL74" s="684"/>
      <c r="KRM74" s="684"/>
      <c r="KRN74" s="684"/>
      <c r="KRO74" s="684"/>
      <c r="KRP74" s="684"/>
      <c r="KRQ74" s="684"/>
      <c r="KRR74" s="684"/>
      <c r="KRS74" s="684"/>
      <c r="KRT74" s="684"/>
      <c r="KRU74" s="684"/>
      <c r="KRV74" s="684"/>
      <c r="KRW74" s="684"/>
      <c r="KRX74" s="684"/>
      <c r="KRY74" s="684"/>
      <c r="KRZ74" s="684"/>
      <c r="KSA74" s="684"/>
      <c r="KSB74" s="684"/>
      <c r="KSC74" s="684"/>
      <c r="KSD74" s="684"/>
      <c r="KSE74" s="684"/>
      <c r="KSF74" s="684"/>
      <c r="KSG74" s="684"/>
      <c r="KSH74" s="684"/>
      <c r="KSI74" s="684"/>
      <c r="KSJ74" s="684"/>
      <c r="KSK74" s="684"/>
      <c r="KSL74" s="684"/>
      <c r="KSM74" s="684"/>
      <c r="KSN74" s="684"/>
      <c r="KSO74" s="684"/>
      <c r="KSP74" s="684"/>
      <c r="KSQ74" s="684"/>
      <c r="KSR74" s="684"/>
      <c r="KSS74" s="684"/>
      <c r="KST74" s="684"/>
      <c r="KSU74" s="684"/>
      <c r="KSV74" s="684"/>
      <c r="KSW74" s="684"/>
      <c r="KSX74" s="684"/>
      <c r="KSY74" s="684"/>
      <c r="KSZ74" s="684"/>
      <c r="KTA74" s="684"/>
      <c r="KTB74" s="684"/>
      <c r="KTC74" s="684"/>
      <c r="KTD74" s="684"/>
      <c r="KTE74" s="684"/>
      <c r="KTF74" s="684"/>
      <c r="KTG74" s="684"/>
      <c r="KTH74" s="684"/>
      <c r="KTI74" s="684"/>
      <c r="KTJ74" s="684"/>
      <c r="KTK74" s="684"/>
      <c r="KTL74" s="684"/>
      <c r="KTM74" s="684"/>
      <c r="KTN74" s="684"/>
      <c r="KTO74" s="684"/>
      <c r="KTP74" s="684"/>
      <c r="KTQ74" s="684"/>
      <c r="KTR74" s="684"/>
      <c r="KTS74" s="684"/>
      <c r="KTT74" s="684"/>
      <c r="KTU74" s="684"/>
      <c r="KTV74" s="684"/>
      <c r="KTW74" s="684"/>
      <c r="KTX74" s="684"/>
      <c r="KTY74" s="684"/>
      <c r="KTZ74" s="684"/>
      <c r="KUA74" s="684"/>
      <c r="KUB74" s="684"/>
      <c r="KUC74" s="684"/>
      <c r="KUD74" s="684"/>
      <c r="KUE74" s="684"/>
      <c r="KUF74" s="684"/>
      <c r="KUG74" s="684"/>
      <c r="KUH74" s="684"/>
      <c r="KUI74" s="684"/>
      <c r="KUJ74" s="684"/>
      <c r="KUK74" s="684"/>
      <c r="KUL74" s="684"/>
      <c r="KUM74" s="684"/>
      <c r="KUN74" s="684"/>
      <c r="KUO74" s="684"/>
      <c r="KUP74" s="684"/>
      <c r="KUQ74" s="684"/>
      <c r="KUR74" s="684"/>
      <c r="KUS74" s="684"/>
      <c r="KUT74" s="684"/>
      <c r="KUU74" s="684"/>
      <c r="KUV74" s="684"/>
      <c r="KUW74" s="684"/>
      <c r="KUX74" s="684"/>
      <c r="KUY74" s="684"/>
      <c r="KUZ74" s="684"/>
      <c r="KVA74" s="684"/>
      <c r="KVB74" s="684"/>
      <c r="KVC74" s="684"/>
      <c r="KVD74" s="684"/>
      <c r="KVE74" s="684"/>
      <c r="KVF74" s="684"/>
      <c r="KVG74" s="684"/>
      <c r="KVH74" s="684"/>
      <c r="KVI74" s="684"/>
      <c r="KVJ74" s="684"/>
      <c r="KVK74" s="684"/>
      <c r="KVL74" s="684"/>
      <c r="KVM74" s="684"/>
      <c r="KVN74" s="684"/>
      <c r="KVO74" s="684"/>
      <c r="KVP74" s="684"/>
      <c r="KVQ74" s="684"/>
      <c r="KVR74" s="684"/>
      <c r="KVS74" s="684"/>
      <c r="KVT74" s="684"/>
      <c r="KVU74" s="684"/>
      <c r="KVV74" s="684"/>
      <c r="KVW74" s="684"/>
      <c r="KVX74" s="684"/>
      <c r="KVY74" s="684"/>
      <c r="KVZ74" s="684"/>
      <c r="KWA74" s="684"/>
      <c r="KWB74" s="684"/>
      <c r="KWC74" s="684"/>
      <c r="KWD74" s="684"/>
      <c r="KWE74" s="684"/>
      <c r="KWF74" s="684"/>
      <c r="KWG74" s="684"/>
      <c r="KWH74" s="684"/>
      <c r="KWI74" s="684"/>
      <c r="KWJ74" s="684"/>
      <c r="KWK74" s="684"/>
      <c r="KWL74" s="684"/>
      <c r="KWM74" s="684"/>
      <c r="KWN74" s="684"/>
      <c r="KWO74" s="684"/>
      <c r="KWP74" s="684"/>
      <c r="KWQ74" s="684"/>
      <c r="KWR74" s="684"/>
      <c r="KWS74" s="684"/>
      <c r="KWT74" s="684"/>
      <c r="KWU74" s="684"/>
      <c r="KWV74" s="684"/>
      <c r="KWW74" s="684"/>
      <c r="KWX74" s="684"/>
      <c r="KWY74" s="684"/>
      <c r="KWZ74" s="684"/>
      <c r="KXA74" s="684"/>
      <c r="KXB74" s="684"/>
      <c r="KXC74" s="684"/>
      <c r="KXD74" s="684"/>
      <c r="KXE74" s="684"/>
      <c r="KXF74" s="684"/>
      <c r="KXG74" s="684"/>
      <c r="KXH74" s="684"/>
      <c r="KXI74" s="684"/>
      <c r="KXJ74" s="684"/>
      <c r="KXK74" s="684"/>
      <c r="KXL74" s="684"/>
      <c r="KXM74" s="684"/>
      <c r="KXN74" s="684"/>
      <c r="KXO74" s="684"/>
      <c r="KXP74" s="684"/>
      <c r="KXQ74" s="684"/>
      <c r="KXR74" s="684"/>
      <c r="KXS74" s="684"/>
      <c r="KXT74" s="684"/>
      <c r="KXU74" s="684"/>
      <c r="KXV74" s="684"/>
      <c r="KXW74" s="684"/>
      <c r="KXX74" s="684"/>
      <c r="KXY74" s="684"/>
      <c r="KXZ74" s="684"/>
      <c r="KYA74" s="684"/>
      <c r="KYB74" s="684"/>
      <c r="KYC74" s="684"/>
      <c r="KYD74" s="684"/>
      <c r="KYE74" s="684"/>
      <c r="KYF74" s="684"/>
      <c r="KYG74" s="684"/>
      <c r="KYH74" s="684"/>
      <c r="KYI74" s="684"/>
      <c r="KYJ74" s="684"/>
      <c r="KYK74" s="684"/>
      <c r="KYL74" s="684"/>
      <c r="KYM74" s="684"/>
      <c r="KYN74" s="684"/>
      <c r="KYO74" s="684"/>
      <c r="KYP74" s="684"/>
      <c r="KYQ74" s="684"/>
      <c r="KYR74" s="684"/>
      <c r="KYS74" s="684"/>
      <c r="KYT74" s="684"/>
      <c r="KYU74" s="684"/>
      <c r="KYV74" s="684"/>
      <c r="KYW74" s="684"/>
      <c r="KYX74" s="684"/>
      <c r="KYY74" s="684"/>
      <c r="KYZ74" s="684"/>
      <c r="KZA74" s="684"/>
      <c r="KZB74" s="684"/>
      <c r="KZC74" s="684"/>
      <c r="KZD74" s="684"/>
      <c r="KZE74" s="684"/>
      <c r="KZF74" s="684"/>
      <c r="KZG74" s="684"/>
      <c r="KZH74" s="684"/>
      <c r="KZI74" s="684"/>
      <c r="KZJ74" s="684"/>
      <c r="KZK74" s="684"/>
      <c r="KZL74" s="684"/>
      <c r="KZM74" s="684"/>
      <c r="KZN74" s="684"/>
      <c r="KZO74" s="684"/>
      <c r="KZP74" s="684"/>
      <c r="KZQ74" s="684"/>
      <c r="KZR74" s="684"/>
      <c r="KZS74" s="684"/>
      <c r="KZT74" s="684"/>
      <c r="KZU74" s="684"/>
      <c r="KZV74" s="684"/>
      <c r="KZW74" s="684"/>
      <c r="KZX74" s="684"/>
      <c r="KZY74" s="684"/>
      <c r="KZZ74" s="684"/>
      <c r="LAA74" s="684"/>
      <c r="LAB74" s="684"/>
      <c r="LAC74" s="684"/>
      <c r="LAD74" s="684"/>
      <c r="LAE74" s="684"/>
      <c r="LAF74" s="684"/>
      <c r="LAG74" s="684"/>
      <c r="LAH74" s="684"/>
      <c r="LAI74" s="684"/>
      <c r="LAJ74" s="684"/>
      <c r="LAK74" s="684"/>
      <c r="LAL74" s="684"/>
      <c r="LAM74" s="684"/>
      <c r="LAN74" s="684"/>
      <c r="LAO74" s="684"/>
      <c r="LAP74" s="684"/>
      <c r="LAQ74" s="684"/>
      <c r="LAR74" s="684"/>
      <c r="LAS74" s="684"/>
      <c r="LAT74" s="684"/>
      <c r="LAU74" s="684"/>
      <c r="LAV74" s="684"/>
      <c r="LAW74" s="684"/>
      <c r="LAX74" s="684"/>
      <c r="LAY74" s="684"/>
      <c r="LAZ74" s="684"/>
      <c r="LBA74" s="684"/>
      <c r="LBB74" s="684"/>
      <c r="LBC74" s="684"/>
      <c r="LBD74" s="684"/>
      <c r="LBE74" s="684"/>
      <c r="LBF74" s="684"/>
      <c r="LBG74" s="684"/>
      <c r="LBH74" s="684"/>
      <c r="LBI74" s="684"/>
      <c r="LBJ74" s="684"/>
      <c r="LBK74" s="684"/>
      <c r="LBL74" s="684"/>
      <c r="LBM74" s="684"/>
      <c r="LBN74" s="684"/>
      <c r="LBO74" s="684"/>
      <c r="LBP74" s="684"/>
      <c r="LBQ74" s="684"/>
      <c r="LBR74" s="684"/>
      <c r="LBS74" s="684"/>
      <c r="LBT74" s="684"/>
      <c r="LBU74" s="684"/>
      <c r="LBV74" s="684"/>
      <c r="LBW74" s="684"/>
      <c r="LBX74" s="684"/>
      <c r="LBY74" s="684"/>
      <c r="LBZ74" s="684"/>
      <c r="LCA74" s="684"/>
      <c r="LCB74" s="684"/>
      <c r="LCC74" s="684"/>
      <c r="LCD74" s="684"/>
      <c r="LCE74" s="684"/>
      <c r="LCF74" s="684"/>
      <c r="LCG74" s="684"/>
      <c r="LCH74" s="684"/>
      <c r="LCI74" s="684"/>
      <c r="LCJ74" s="684"/>
      <c r="LCK74" s="684"/>
      <c r="LCL74" s="684"/>
      <c r="LCM74" s="684"/>
      <c r="LCN74" s="684"/>
      <c r="LCO74" s="684"/>
      <c r="LCP74" s="684"/>
      <c r="LCQ74" s="684"/>
      <c r="LCR74" s="684"/>
      <c r="LCS74" s="684"/>
      <c r="LCT74" s="684"/>
      <c r="LCU74" s="684"/>
      <c r="LCV74" s="684"/>
      <c r="LCW74" s="684"/>
      <c r="LCX74" s="684"/>
      <c r="LCY74" s="684"/>
      <c r="LCZ74" s="684"/>
      <c r="LDA74" s="684"/>
      <c r="LDB74" s="684"/>
      <c r="LDC74" s="684"/>
      <c r="LDD74" s="684"/>
      <c r="LDE74" s="684"/>
      <c r="LDF74" s="684"/>
      <c r="LDG74" s="684"/>
      <c r="LDH74" s="684"/>
      <c r="LDI74" s="684"/>
      <c r="LDJ74" s="684"/>
      <c r="LDK74" s="684"/>
      <c r="LDL74" s="684"/>
      <c r="LDM74" s="684"/>
      <c r="LDN74" s="684"/>
      <c r="LDO74" s="684"/>
      <c r="LDP74" s="684"/>
      <c r="LDQ74" s="684"/>
      <c r="LDR74" s="684"/>
      <c r="LDS74" s="684"/>
      <c r="LDT74" s="684"/>
      <c r="LDU74" s="684"/>
      <c r="LDV74" s="684"/>
      <c r="LDW74" s="684"/>
      <c r="LDX74" s="684"/>
      <c r="LDY74" s="684"/>
      <c r="LDZ74" s="684"/>
      <c r="LEA74" s="684"/>
      <c r="LEB74" s="684"/>
      <c r="LEC74" s="684"/>
      <c r="LED74" s="684"/>
      <c r="LEE74" s="684"/>
      <c r="LEF74" s="684"/>
      <c r="LEG74" s="684"/>
      <c r="LEH74" s="684"/>
      <c r="LEI74" s="684"/>
      <c r="LEJ74" s="684"/>
      <c r="LEK74" s="684"/>
      <c r="LEL74" s="684"/>
      <c r="LEM74" s="684"/>
      <c r="LEN74" s="684"/>
      <c r="LEO74" s="684"/>
      <c r="LEP74" s="684"/>
      <c r="LEQ74" s="684"/>
      <c r="LER74" s="684"/>
      <c r="LES74" s="684"/>
      <c r="LET74" s="684"/>
      <c r="LEU74" s="684"/>
      <c r="LEV74" s="684"/>
      <c r="LEW74" s="684"/>
      <c r="LEX74" s="684"/>
      <c r="LEY74" s="684"/>
      <c r="LEZ74" s="684"/>
      <c r="LFA74" s="684"/>
      <c r="LFB74" s="684"/>
      <c r="LFC74" s="684"/>
      <c r="LFD74" s="684"/>
      <c r="LFE74" s="684"/>
      <c r="LFF74" s="684"/>
      <c r="LFG74" s="684"/>
      <c r="LFH74" s="684"/>
      <c r="LFI74" s="684"/>
      <c r="LFJ74" s="684"/>
      <c r="LFK74" s="684"/>
      <c r="LFL74" s="684"/>
      <c r="LFM74" s="684"/>
      <c r="LFN74" s="684"/>
      <c r="LFO74" s="684"/>
      <c r="LFP74" s="684"/>
      <c r="LFQ74" s="684"/>
      <c r="LFR74" s="684"/>
      <c r="LFS74" s="684"/>
      <c r="LFT74" s="684"/>
      <c r="LFU74" s="684"/>
      <c r="LFV74" s="684"/>
      <c r="LFW74" s="684"/>
      <c r="LFX74" s="684"/>
      <c r="LFY74" s="684"/>
      <c r="LFZ74" s="684"/>
      <c r="LGA74" s="684"/>
      <c r="LGB74" s="684"/>
      <c r="LGC74" s="684"/>
      <c r="LGD74" s="684"/>
      <c r="LGE74" s="684"/>
      <c r="LGF74" s="684"/>
      <c r="LGG74" s="684"/>
      <c r="LGH74" s="684"/>
      <c r="LGI74" s="684"/>
      <c r="LGJ74" s="684"/>
      <c r="LGK74" s="684"/>
      <c r="LGL74" s="684"/>
      <c r="LGM74" s="684"/>
      <c r="LGN74" s="684"/>
      <c r="LGO74" s="684"/>
      <c r="LGP74" s="684"/>
      <c r="LGQ74" s="684"/>
      <c r="LGR74" s="684"/>
      <c r="LGS74" s="684"/>
      <c r="LGT74" s="684"/>
      <c r="LGU74" s="684"/>
      <c r="LGV74" s="684"/>
      <c r="LGW74" s="684"/>
      <c r="LGX74" s="684"/>
      <c r="LGY74" s="684"/>
      <c r="LGZ74" s="684"/>
      <c r="LHA74" s="684"/>
      <c r="LHB74" s="684"/>
      <c r="LHC74" s="684"/>
      <c r="LHD74" s="684"/>
      <c r="LHE74" s="684"/>
      <c r="LHF74" s="684"/>
      <c r="LHG74" s="684"/>
      <c r="LHH74" s="684"/>
      <c r="LHI74" s="684"/>
      <c r="LHJ74" s="684"/>
      <c r="LHK74" s="684"/>
      <c r="LHL74" s="684"/>
      <c r="LHM74" s="684"/>
      <c r="LHN74" s="684"/>
      <c r="LHO74" s="684"/>
      <c r="LHP74" s="684"/>
      <c r="LHQ74" s="684"/>
      <c r="LHR74" s="684"/>
      <c r="LHS74" s="684"/>
      <c r="LHT74" s="684"/>
      <c r="LHU74" s="684"/>
      <c r="LHV74" s="684"/>
      <c r="LHW74" s="684"/>
      <c r="LHX74" s="684"/>
      <c r="LHY74" s="684"/>
      <c r="LHZ74" s="684"/>
      <c r="LIA74" s="684"/>
      <c r="LIB74" s="684"/>
      <c r="LIC74" s="684"/>
      <c r="LID74" s="684"/>
      <c r="LIE74" s="684"/>
      <c r="LIF74" s="684"/>
      <c r="LIG74" s="684"/>
      <c r="LIH74" s="684"/>
      <c r="LII74" s="684"/>
      <c r="LIJ74" s="684"/>
      <c r="LIK74" s="684"/>
      <c r="LIL74" s="684"/>
      <c r="LIM74" s="684"/>
      <c r="LIN74" s="684"/>
      <c r="LIO74" s="684"/>
      <c r="LIP74" s="684"/>
      <c r="LIQ74" s="684"/>
      <c r="LIR74" s="684"/>
      <c r="LIS74" s="684"/>
      <c r="LIT74" s="684"/>
      <c r="LIU74" s="684"/>
      <c r="LIV74" s="684"/>
      <c r="LIW74" s="684"/>
      <c r="LIX74" s="684"/>
      <c r="LIY74" s="684"/>
      <c r="LIZ74" s="684"/>
      <c r="LJA74" s="684"/>
      <c r="LJB74" s="684"/>
      <c r="LJC74" s="684"/>
      <c r="LJD74" s="684"/>
      <c r="LJE74" s="684"/>
      <c r="LJF74" s="684"/>
      <c r="LJG74" s="684"/>
      <c r="LJH74" s="684"/>
      <c r="LJI74" s="684"/>
      <c r="LJJ74" s="684"/>
      <c r="LJK74" s="684"/>
      <c r="LJL74" s="684"/>
      <c r="LJM74" s="684"/>
      <c r="LJN74" s="684"/>
      <c r="LJO74" s="684"/>
      <c r="LJP74" s="684"/>
      <c r="LJQ74" s="684"/>
      <c r="LJR74" s="684"/>
      <c r="LJS74" s="684"/>
      <c r="LJT74" s="684"/>
      <c r="LJU74" s="684"/>
      <c r="LJV74" s="684"/>
      <c r="LJW74" s="684"/>
      <c r="LJX74" s="684"/>
      <c r="LJY74" s="684"/>
      <c r="LJZ74" s="684"/>
      <c r="LKA74" s="684"/>
      <c r="LKB74" s="684"/>
      <c r="LKC74" s="684"/>
      <c r="LKD74" s="684"/>
      <c r="LKE74" s="684"/>
      <c r="LKF74" s="684"/>
      <c r="LKG74" s="684"/>
      <c r="LKH74" s="684"/>
      <c r="LKI74" s="684"/>
      <c r="LKJ74" s="684"/>
      <c r="LKK74" s="684"/>
      <c r="LKL74" s="684"/>
      <c r="LKM74" s="684"/>
      <c r="LKN74" s="684"/>
      <c r="LKO74" s="684"/>
      <c r="LKP74" s="684"/>
      <c r="LKQ74" s="684"/>
      <c r="LKR74" s="684"/>
      <c r="LKS74" s="684"/>
      <c r="LKT74" s="684"/>
      <c r="LKU74" s="684"/>
      <c r="LKV74" s="684"/>
      <c r="LKW74" s="684"/>
      <c r="LKX74" s="684"/>
      <c r="LKY74" s="684"/>
      <c r="LKZ74" s="684"/>
      <c r="LLA74" s="684"/>
      <c r="LLB74" s="684"/>
      <c r="LLC74" s="684"/>
      <c r="LLD74" s="684"/>
      <c r="LLE74" s="684"/>
      <c r="LLF74" s="684"/>
      <c r="LLG74" s="684"/>
      <c r="LLH74" s="684"/>
      <c r="LLI74" s="684"/>
      <c r="LLJ74" s="684"/>
      <c r="LLK74" s="684"/>
      <c r="LLL74" s="684"/>
      <c r="LLM74" s="684"/>
      <c r="LLN74" s="684"/>
      <c r="LLO74" s="684"/>
      <c r="LLP74" s="684"/>
      <c r="LLQ74" s="684"/>
      <c r="LLR74" s="684"/>
      <c r="LLS74" s="684"/>
      <c r="LLT74" s="684"/>
      <c r="LLU74" s="684"/>
      <c r="LLV74" s="684"/>
      <c r="LLW74" s="684"/>
      <c r="LLX74" s="684"/>
      <c r="LLY74" s="684"/>
      <c r="LLZ74" s="684"/>
      <c r="LMA74" s="684"/>
      <c r="LMB74" s="684"/>
      <c r="LMC74" s="684"/>
      <c r="LMD74" s="684"/>
      <c r="LME74" s="684"/>
      <c r="LMF74" s="684"/>
      <c r="LMG74" s="684"/>
      <c r="LMH74" s="684"/>
      <c r="LMI74" s="684"/>
      <c r="LMJ74" s="684"/>
      <c r="LMK74" s="684"/>
      <c r="LML74" s="684"/>
      <c r="LMM74" s="684"/>
      <c r="LMN74" s="684"/>
      <c r="LMO74" s="684"/>
      <c r="LMP74" s="684"/>
      <c r="LMQ74" s="684"/>
      <c r="LMR74" s="684"/>
      <c r="LMS74" s="684"/>
      <c r="LMT74" s="684"/>
      <c r="LMU74" s="684"/>
      <c r="LMV74" s="684"/>
      <c r="LMW74" s="684"/>
      <c r="LMX74" s="684"/>
      <c r="LMY74" s="684"/>
      <c r="LMZ74" s="684"/>
      <c r="LNA74" s="684"/>
      <c r="LNB74" s="684"/>
      <c r="LNC74" s="684"/>
      <c r="LND74" s="684"/>
      <c r="LNE74" s="684"/>
      <c r="LNF74" s="684"/>
      <c r="LNG74" s="684"/>
      <c r="LNH74" s="684"/>
      <c r="LNI74" s="684"/>
      <c r="LNJ74" s="684"/>
      <c r="LNK74" s="684"/>
      <c r="LNL74" s="684"/>
      <c r="LNM74" s="684"/>
      <c r="LNN74" s="684"/>
      <c r="LNO74" s="684"/>
      <c r="LNP74" s="684"/>
      <c r="LNQ74" s="684"/>
      <c r="LNR74" s="684"/>
      <c r="LNS74" s="684"/>
      <c r="LNT74" s="684"/>
      <c r="LNU74" s="684"/>
      <c r="LNV74" s="684"/>
      <c r="LNW74" s="684"/>
      <c r="LNX74" s="684"/>
      <c r="LNY74" s="684"/>
      <c r="LNZ74" s="684"/>
      <c r="LOA74" s="684"/>
      <c r="LOB74" s="684"/>
      <c r="LOC74" s="684"/>
      <c r="LOD74" s="684"/>
      <c r="LOE74" s="684"/>
      <c r="LOF74" s="684"/>
      <c r="LOG74" s="684"/>
      <c r="LOH74" s="684"/>
      <c r="LOI74" s="684"/>
      <c r="LOJ74" s="684"/>
      <c r="LOK74" s="684"/>
      <c r="LOL74" s="684"/>
      <c r="LOM74" s="684"/>
      <c r="LON74" s="684"/>
      <c r="LOO74" s="684"/>
      <c r="LOP74" s="684"/>
      <c r="LOQ74" s="684"/>
      <c r="LOR74" s="684"/>
      <c r="LOS74" s="684"/>
      <c r="LOT74" s="684"/>
      <c r="LOU74" s="684"/>
      <c r="LOV74" s="684"/>
      <c r="LOW74" s="684"/>
      <c r="LOX74" s="684"/>
      <c r="LOY74" s="684"/>
      <c r="LOZ74" s="684"/>
      <c r="LPA74" s="684"/>
      <c r="LPB74" s="684"/>
      <c r="LPC74" s="684"/>
      <c r="LPD74" s="684"/>
      <c r="LPE74" s="684"/>
      <c r="LPF74" s="684"/>
      <c r="LPG74" s="684"/>
      <c r="LPH74" s="684"/>
      <c r="LPI74" s="684"/>
      <c r="LPJ74" s="684"/>
      <c r="LPK74" s="684"/>
      <c r="LPL74" s="684"/>
      <c r="LPM74" s="684"/>
      <c r="LPN74" s="684"/>
      <c r="LPO74" s="684"/>
      <c r="LPP74" s="684"/>
      <c r="LPQ74" s="684"/>
      <c r="LPR74" s="684"/>
      <c r="LPS74" s="684"/>
      <c r="LPT74" s="684"/>
      <c r="LPU74" s="684"/>
      <c r="LPV74" s="684"/>
      <c r="LPW74" s="684"/>
      <c r="LPX74" s="684"/>
      <c r="LPY74" s="684"/>
      <c r="LPZ74" s="684"/>
      <c r="LQA74" s="684"/>
      <c r="LQB74" s="684"/>
      <c r="LQC74" s="684"/>
      <c r="LQD74" s="684"/>
      <c r="LQE74" s="684"/>
      <c r="LQF74" s="684"/>
      <c r="LQG74" s="684"/>
      <c r="LQH74" s="684"/>
      <c r="LQI74" s="684"/>
      <c r="LQJ74" s="684"/>
      <c r="LQK74" s="684"/>
      <c r="LQL74" s="684"/>
      <c r="LQM74" s="684"/>
      <c r="LQN74" s="684"/>
      <c r="LQO74" s="684"/>
      <c r="LQP74" s="684"/>
      <c r="LQQ74" s="684"/>
      <c r="LQR74" s="684"/>
      <c r="LQS74" s="684"/>
      <c r="LQT74" s="684"/>
      <c r="LQU74" s="684"/>
      <c r="LQV74" s="684"/>
      <c r="LQW74" s="684"/>
      <c r="LQX74" s="684"/>
      <c r="LQY74" s="684"/>
      <c r="LQZ74" s="684"/>
      <c r="LRA74" s="684"/>
      <c r="LRB74" s="684"/>
      <c r="LRC74" s="684"/>
      <c r="LRD74" s="684"/>
      <c r="LRE74" s="684"/>
      <c r="LRF74" s="684"/>
      <c r="LRG74" s="684"/>
      <c r="LRH74" s="684"/>
      <c r="LRI74" s="684"/>
      <c r="LRJ74" s="684"/>
      <c r="LRK74" s="684"/>
      <c r="LRL74" s="684"/>
      <c r="LRM74" s="684"/>
      <c r="LRN74" s="684"/>
      <c r="LRO74" s="684"/>
      <c r="LRP74" s="684"/>
      <c r="LRQ74" s="684"/>
      <c r="LRR74" s="684"/>
      <c r="LRS74" s="684"/>
      <c r="LRT74" s="684"/>
      <c r="LRU74" s="684"/>
      <c r="LRV74" s="684"/>
      <c r="LRW74" s="684"/>
      <c r="LRX74" s="684"/>
      <c r="LRY74" s="684"/>
      <c r="LRZ74" s="684"/>
      <c r="LSA74" s="684"/>
      <c r="LSB74" s="684"/>
      <c r="LSC74" s="684"/>
      <c r="LSD74" s="684"/>
      <c r="LSE74" s="684"/>
      <c r="LSF74" s="684"/>
      <c r="LSG74" s="684"/>
      <c r="LSH74" s="684"/>
      <c r="LSI74" s="684"/>
      <c r="LSJ74" s="684"/>
      <c r="LSK74" s="684"/>
      <c r="LSL74" s="684"/>
      <c r="LSM74" s="684"/>
      <c r="LSN74" s="684"/>
      <c r="LSO74" s="684"/>
      <c r="LSP74" s="684"/>
      <c r="LSQ74" s="684"/>
      <c r="LSR74" s="684"/>
      <c r="LSS74" s="684"/>
      <c r="LST74" s="684"/>
      <c r="LSU74" s="684"/>
      <c r="LSV74" s="684"/>
      <c r="LSW74" s="684"/>
      <c r="LSX74" s="684"/>
      <c r="LSY74" s="684"/>
      <c r="LSZ74" s="684"/>
      <c r="LTA74" s="684"/>
      <c r="LTB74" s="684"/>
      <c r="LTC74" s="684"/>
      <c r="LTD74" s="684"/>
      <c r="LTE74" s="684"/>
      <c r="LTF74" s="684"/>
      <c r="LTG74" s="684"/>
      <c r="LTH74" s="684"/>
      <c r="LTI74" s="684"/>
      <c r="LTJ74" s="684"/>
      <c r="LTK74" s="684"/>
      <c r="LTL74" s="684"/>
      <c r="LTM74" s="684"/>
      <c r="LTN74" s="684"/>
      <c r="LTO74" s="684"/>
      <c r="LTP74" s="684"/>
      <c r="LTQ74" s="684"/>
      <c r="LTR74" s="684"/>
      <c r="LTS74" s="684"/>
      <c r="LTT74" s="684"/>
      <c r="LTU74" s="684"/>
      <c r="LTV74" s="684"/>
      <c r="LTW74" s="684"/>
      <c r="LTX74" s="684"/>
      <c r="LTY74" s="684"/>
      <c r="LTZ74" s="684"/>
      <c r="LUA74" s="684"/>
      <c r="LUB74" s="684"/>
      <c r="LUC74" s="684"/>
      <c r="LUD74" s="684"/>
      <c r="LUE74" s="684"/>
      <c r="LUF74" s="684"/>
      <c r="LUG74" s="684"/>
      <c r="LUH74" s="684"/>
      <c r="LUI74" s="684"/>
      <c r="LUJ74" s="684"/>
      <c r="LUK74" s="684"/>
      <c r="LUL74" s="684"/>
      <c r="LUM74" s="684"/>
      <c r="LUN74" s="684"/>
      <c r="LUO74" s="684"/>
      <c r="LUP74" s="684"/>
      <c r="LUQ74" s="684"/>
      <c r="LUR74" s="684"/>
      <c r="LUS74" s="684"/>
      <c r="LUT74" s="684"/>
      <c r="LUU74" s="684"/>
      <c r="LUV74" s="684"/>
      <c r="LUW74" s="684"/>
      <c r="LUX74" s="684"/>
      <c r="LUY74" s="684"/>
      <c r="LUZ74" s="684"/>
      <c r="LVA74" s="684"/>
      <c r="LVB74" s="684"/>
      <c r="LVC74" s="684"/>
      <c r="LVD74" s="684"/>
      <c r="LVE74" s="684"/>
      <c r="LVF74" s="684"/>
      <c r="LVG74" s="684"/>
      <c r="LVH74" s="684"/>
      <c r="LVI74" s="684"/>
      <c r="LVJ74" s="684"/>
      <c r="LVK74" s="684"/>
      <c r="LVL74" s="684"/>
      <c r="LVM74" s="684"/>
      <c r="LVN74" s="684"/>
      <c r="LVO74" s="684"/>
      <c r="LVP74" s="684"/>
      <c r="LVQ74" s="684"/>
      <c r="LVR74" s="684"/>
      <c r="LVS74" s="684"/>
      <c r="LVT74" s="684"/>
      <c r="LVU74" s="684"/>
      <c r="LVV74" s="684"/>
      <c r="LVW74" s="684"/>
      <c r="LVX74" s="684"/>
      <c r="LVY74" s="684"/>
      <c r="LVZ74" s="684"/>
      <c r="LWA74" s="684"/>
      <c r="LWB74" s="684"/>
      <c r="LWC74" s="684"/>
      <c r="LWD74" s="684"/>
      <c r="LWE74" s="684"/>
      <c r="LWF74" s="684"/>
      <c r="LWG74" s="684"/>
      <c r="LWH74" s="684"/>
      <c r="LWI74" s="684"/>
      <c r="LWJ74" s="684"/>
      <c r="LWK74" s="684"/>
      <c r="LWL74" s="684"/>
      <c r="LWM74" s="684"/>
      <c r="LWN74" s="684"/>
      <c r="LWO74" s="684"/>
      <c r="LWP74" s="684"/>
      <c r="LWQ74" s="684"/>
      <c r="LWR74" s="684"/>
      <c r="LWS74" s="684"/>
      <c r="LWT74" s="684"/>
      <c r="LWU74" s="684"/>
      <c r="LWV74" s="684"/>
      <c r="LWW74" s="684"/>
      <c r="LWX74" s="684"/>
      <c r="LWY74" s="684"/>
      <c r="LWZ74" s="684"/>
      <c r="LXA74" s="684"/>
      <c r="LXB74" s="684"/>
      <c r="LXC74" s="684"/>
      <c r="LXD74" s="684"/>
      <c r="LXE74" s="684"/>
      <c r="LXF74" s="684"/>
      <c r="LXG74" s="684"/>
      <c r="LXH74" s="684"/>
      <c r="LXI74" s="684"/>
      <c r="LXJ74" s="684"/>
      <c r="LXK74" s="684"/>
      <c r="LXL74" s="684"/>
      <c r="LXM74" s="684"/>
      <c r="LXN74" s="684"/>
      <c r="LXO74" s="684"/>
      <c r="LXP74" s="684"/>
      <c r="LXQ74" s="684"/>
      <c r="LXR74" s="684"/>
      <c r="LXS74" s="684"/>
      <c r="LXT74" s="684"/>
      <c r="LXU74" s="684"/>
      <c r="LXV74" s="684"/>
      <c r="LXW74" s="684"/>
      <c r="LXX74" s="684"/>
      <c r="LXY74" s="684"/>
      <c r="LXZ74" s="684"/>
      <c r="LYA74" s="684"/>
      <c r="LYB74" s="684"/>
      <c r="LYC74" s="684"/>
      <c r="LYD74" s="684"/>
      <c r="LYE74" s="684"/>
      <c r="LYF74" s="684"/>
      <c r="LYG74" s="684"/>
      <c r="LYH74" s="684"/>
      <c r="LYI74" s="684"/>
      <c r="LYJ74" s="684"/>
      <c r="LYK74" s="684"/>
      <c r="LYL74" s="684"/>
      <c r="LYM74" s="684"/>
      <c r="LYN74" s="684"/>
      <c r="LYO74" s="684"/>
      <c r="LYP74" s="684"/>
      <c r="LYQ74" s="684"/>
      <c r="LYR74" s="684"/>
      <c r="LYS74" s="684"/>
      <c r="LYT74" s="684"/>
      <c r="LYU74" s="684"/>
      <c r="LYV74" s="684"/>
      <c r="LYW74" s="684"/>
      <c r="LYX74" s="684"/>
      <c r="LYY74" s="684"/>
      <c r="LYZ74" s="684"/>
      <c r="LZA74" s="684"/>
      <c r="LZB74" s="684"/>
      <c r="LZC74" s="684"/>
      <c r="LZD74" s="684"/>
      <c r="LZE74" s="684"/>
      <c r="LZF74" s="684"/>
      <c r="LZG74" s="684"/>
      <c r="LZH74" s="684"/>
      <c r="LZI74" s="684"/>
      <c r="LZJ74" s="684"/>
      <c r="LZK74" s="684"/>
      <c r="LZL74" s="684"/>
      <c r="LZM74" s="684"/>
      <c r="LZN74" s="684"/>
      <c r="LZO74" s="684"/>
      <c r="LZP74" s="684"/>
      <c r="LZQ74" s="684"/>
      <c r="LZR74" s="684"/>
      <c r="LZS74" s="684"/>
      <c r="LZT74" s="684"/>
      <c r="LZU74" s="684"/>
      <c r="LZV74" s="684"/>
      <c r="LZW74" s="684"/>
      <c r="LZX74" s="684"/>
      <c r="LZY74" s="684"/>
      <c r="LZZ74" s="684"/>
      <c r="MAA74" s="684"/>
      <c r="MAB74" s="684"/>
      <c r="MAC74" s="684"/>
      <c r="MAD74" s="684"/>
      <c r="MAE74" s="684"/>
      <c r="MAF74" s="684"/>
      <c r="MAG74" s="684"/>
      <c r="MAH74" s="684"/>
      <c r="MAI74" s="684"/>
      <c r="MAJ74" s="684"/>
      <c r="MAK74" s="684"/>
      <c r="MAL74" s="684"/>
      <c r="MAM74" s="684"/>
      <c r="MAN74" s="684"/>
      <c r="MAO74" s="684"/>
      <c r="MAP74" s="684"/>
      <c r="MAQ74" s="684"/>
      <c r="MAR74" s="684"/>
      <c r="MAS74" s="684"/>
      <c r="MAT74" s="684"/>
      <c r="MAU74" s="684"/>
      <c r="MAV74" s="684"/>
      <c r="MAW74" s="684"/>
      <c r="MAX74" s="684"/>
      <c r="MAY74" s="684"/>
      <c r="MAZ74" s="684"/>
      <c r="MBA74" s="684"/>
      <c r="MBB74" s="684"/>
      <c r="MBC74" s="684"/>
      <c r="MBD74" s="684"/>
      <c r="MBE74" s="684"/>
      <c r="MBF74" s="684"/>
      <c r="MBG74" s="684"/>
      <c r="MBH74" s="684"/>
      <c r="MBI74" s="684"/>
      <c r="MBJ74" s="684"/>
      <c r="MBK74" s="684"/>
      <c r="MBL74" s="684"/>
      <c r="MBM74" s="684"/>
      <c r="MBN74" s="684"/>
      <c r="MBO74" s="684"/>
      <c r="MBP74" s="684"/>
      <c r="MBQ74" s="684"/>
      <c r="MBR74" s="684"/>
      <c r="MBS74" s="684"/>
      <c r="MBT74" s="684"/>
      <c r="MBU74" s="684"/>
      <c r="MBV74" s="684"/>
      <c r="MBW74" s="684"/>
      <c r="MBX74" s="684"/>
      <c r="MBY74" s="684"/>
      <c r="MBZ74" s="684"/>
      <c r="MCA74" s="684"/>
      <c r="MCB74" s="684"/>
      <c r="MCC74" s="684"/>
      <c r="MCD74" s="684"/>
      <c r="MCE74" s="684"/>
      <c r="MCF74" s="684"/>
      <c r="MCG74" s="684"/>
      <c r="MCH74" s="684"/>
      <c r="MCI74" s="684"/>
      <c r="MCJ74" s="684"/>
      <c r="MCK74" s="684"/>
      <c r="MCL74" s="684"/>
      <c r="MCM74" s="684"/>
      <c r="MCN74" s="684"/>
      <c r="MCO74" s="684"/>
      <c r="MCP74" s="684"/>
      <c r="MCQ74" s="684"/>
      <c r="MCR74" s="684"/>
      <c r="MCS74" s="684"/>
      <c r="MCT74" s="684"/>
      <c r="MCU74" s="684"/>
      <c r="MCV74" s="684"/>
      <c r="MCW74" s="684"/>
      <c r="MCX74" s="684"/>
      <c r="MCY74" s="684"/>
      <c r="MCZ74" s="684"/>
      <c r="MDA74" s="684"/>
      <c r="MDB74" s="684"/>
      <c r="MDC74" s="684"/>
      <c r="MDD74" s="684"/>
      <c r="MDE74" s="684"/>
      <c r="MDF74" s="684"/>
      <c r="MDG74" s="684"/>
      <c r="MDH74" s="684"/>
      <c r="MDI74" s="684"/>
      <c r="MDJ74" s="684"/>
      <c r="MDK74" s="684"/>
      <c r="MDL74" s="684"/>
      <c r="MDM74" s="684"/>
      <c r="MDN74" s="684"/>
      <c r="MDO74" s="684"/>
      <c r="MDP74" s="684"/>
      <c r="MDQ74" s="684"/>
      <c r="MDR74" s="684"/>
      <c r="MDS74" s="684"/>
      <c r="MDT74" s="684"/>
      <c r="MDU74" s="684"/>
      <c r="MDV74" s="684"/>
      <c r="MDW74" s="684"/>
      <c r="MDX74" s="684"/>
      <c r="MDY74" s="684"/>
      <c r="MDZ74" s="684"/>
      <c r="MEA74" s="684"/>
      <c r="MEB74" s="684"/>
      <c r="MEC74" s="684"/>
      <c r="MED74" s="684"/>
      <c r="MEE74" s="684"/>
      <c r="MEF74" s="684"/>
      <c r="MEG74" s="684"/>
      <c r="MEH74" s="684"/>
      <c r="MEI74" s="684"/>
      <c r="MEJ74" s="684"/>
      <c r="MEK74" s="684"/>
      <c r="MEL74" s="684"/>
      <c r="MEM74" s="684"/>
      <c r="MEN74" s="684"/>
      <c r="MEO74" s="684"/>
      <c r="MEP74" s="684"/>
      <c r="MEQ74" s="684"/>
      <c r="MER74" s="684"/>
      <c r="MES74" s="684"/>
      <c r="MET74" s="684"/>
      <c r="MEU74" s="684"/>
      <c r="MEV74" s="684"/>
      <c r="MEW74" s="684"/>
      <c r="MEX74" s="684"/>
      <c r="MEY74" s="684"/>
      <c r="MEZ74" s="684"/>
      <c r="MFA74" s="684"/>
      <c r="MFB74" s="684"/>
      <c r="MFC74" s="684"/>
      <c r="MFD74" s="684"/>
      <c r="MFE74" s="684"/>
      <c r="MFF74" s="684"/>
      <c r="MFG74" s="684"/>
      <c r="MFH74" s="684"/>
      <c r="MFI74" s="684"/>
      <c r="MFJ74" s="684"/>
      <c r="MFK74" s="684"/>
      <c r="MFL74" s="684"/>
      <c r="MFM74" s="684"/>
      <c r="MFN74" s="684"/>
      <c r="MFO74" s="684"/>
      <c r="MFP74" s="684"/>
      <c r="MFQ74" s="684"/>
      <c r="MFR74" s="684"/>
      <c r="MFS74" s="684"/>
      <c r="MFT74" s="684"/>
      <c r="MFU74" s="684"/>
      <c r="MFV74" s="684"/>
      <c r="MFW74" s="684"/>
      <c r="MFX74" s="684"/>
      <c r="MFY74" s="684"/>
      <c r="MFZ74" s="684"/>
      <c r="MGA74" s="684"/>
      <c r="MGB74" s="684"/>
      <c r="MGC74" s="684"/>
      <c r="MGD74" s="684"/>
      <c r="MGE74" s="684"/>
      <c r="MGF74" s="684"/>
      <c r="MGG74" s="684"/>
      <c r="MGH74" s="684"/>
      <c r="MGI74" s="684"/>
      <c r="MGJ74" s="684"/>
      <c r="MGK74" s="684"/>
      <c r="MGL74" s="684"/>
      <c r="MGM74" s="684"/>
      <c r="MGN74" s="684"/>
      <c r="MGO74" s="684"/>
      <c r="MGP74" s="684"/>
      <c r="MGQ74" s="684"/>
      <c r="MGR74" s="684"/>
      <c r="MGS74" s="684"/>
      <c r="MGT74" s="684"/>
      <c r="MGU74" s="684"/>
      <c r="MGV74" s="684"/>
      <c r="MGW74" s="684"/>
      <c r="MGX74" s="684"/>
      <c r="MGY74" s="684"/>
      <c r="MGZ74" s="684"/>
      <c r="MHA74" s="684"/>
      <c r="MHB74" s="684"/>
      <c r="MHC74" s="684"/>
      <c r="MHD74" s="684"/>
      <c r="MHE74" s="684"/>
      <c r="MHF74" s="684"/>
      <c r="MHG74" s="684"/>
      <c r="MHH74" s="684"/>
      <c r="MHI74" s="684"/>
      <c r="MHJ74" s="684"/>
      <c r="MHK74" s="684"/>
      <c r="MHL74" s="684"/>
      <c r="MHM74" s="684"/>
      <c r="MHN74" s="684"/>
      <c r="MHO74" s="684"/>
      <c r="MHP74" s="684"/>
      <c r="MHQ74" s="684"/>
      <c r="MHR74" s="684"/>
      <c r="MHS74" s="684"/>
      <c r="MHT74" s="684"/>
      <c r="MHU74" s="684"/>
      <c r="MHV74" s="684"/>
      <c r="MHW74" s="684"/>
      <c r="MHX74" s="684"/>
      <c r="MHY74" s="684"/>
      <c r="MHZ74" s="684"/>
      <c r="MIA74" s="684"/>
      <c r="MIB74" s="684"/>
      <c r="MIC74" s="684"/>
      <c r="MID74" s="684"/>
      <c r="MIE74" s="684"/>
      <c r="MIF74" s="684"/>
      <c r="MIG74" s="684"/>
      <c r="MIH74" s="684"/>
      <c r="MII74" s="684"/>
      <c r="MIJ74" s="684"/>
      <c r="MIK74" s="684"/>
      <c r="MIL74" s="684"/>
      <c r="MIM74" s="684"/>
      <c r="MIN74" s="684"/>
      <c r="MIO74" s="684"/>
      <c r="MIP74" s="684"/>
      <c r="MIQ74" s="684"/>
      <c r="MIR74" s="684"/>
      <c r="MIS74" s="684"/>
      <c r="MIT74" s="684"/>
      <c r="MIU74" s="684"/>
      <c r="MIV74" s="684"/>
      <c r="MIW74" s="684"/>
      <c r="MIX74" s="684"/>
      <c r="MIY74" s="684"/>
      <c r="MIZ74" s="684"/>
      <c r="MJA74" s="684"/>
      <c r="MJB74" s="684"/>
      <c r="MJC74" s="684"/>
      <c r="MJD74" s="684"/>
      <c r="MJE74" s="684"/>
      <c r="MJF74" s="684"/>
      <c r="MJG74" s="684"/>
      <c r="MJH74" s="684"/>
      <c r="MJI74" s="684"/>
      <c r="MJJ74" s="684"/>
      <c r="MJK74" s="684"/>
      <c r="MJL74" s="684"/>
      <c r="MJM74" s="684"/>
      <c r="MJN74" s="684"/>
      <c r="MJO74" s="684"/>
      <c r="MJP74" s="684"/>
      <c r="MJQ74" s="684"/>
      <c r="MJR74" s="684"/>
      <c r="MJS74" s="684"/>
      <c r="MJT74" s="684"/>
      <c r="MJU74" s="684"/>
      <c r="MJV74" s="684"/>
      <c r="MJW74" s="684"/>
      <c r="MJX74" s="684"/>
      <c r="MJY74" s="684"/>
      <c r="MJZ74" s="684"/>
      <c r="MKA74" s="684"/>
      <c r="MKB74" s="684"/>
      <c r="MKC74" s="684"/>
      <c r="MKD74" s="684"/>
      <c r="MKE74" s="684"/>
      <c r="MKF74" s="684"/>
      <c r="MKG74" s="684"/>
      <c r="MKH74" s="684"/>
      <c r="MKI74" s="684"/>
      <c r="MKJ74" s="684"/>
      <c r="MKK74" s="684"/>
      <c r="MKL74" s="684"/>
      <c r="MKM74" s="684"/>
      <c r="MKN74" s="684"/>
      <c r="MKO74" s="684"/>
      <c r="MKP74" s="684"/>
      <c r="MKQ74" s="684"/>
      <c r="MKR74" s="684"/>
      <c r="MKS74" s="684"/>
      <c r="MKT74" s="684"/>
      <c r="MKU74" s="684"/>
      <c r="MKV74" s="684"/>
      <c r="MKW74" s="684"/>
      <c r="MKX74" s="684"/>
      <c r="MKY74" s="684"/>
      <c r="MKZ74" s="684"/>
      <c r="MLA74" s="684"/>
      <c r="MLB74" s="684"/>
      <c r="MLC74" s="684"/>
      <c r="MLD74" s="684"/>
      <c r="MLE74" s="684"/>
      <c r="MLF74" s="684"/>
      <c r="MLG74" s="684"/>
      <c r="MLH74" s="684"/>
      <c r="MLI74" s="684"/>
      <c r="MLJ74" s="684"/>
      <c r="MLK74" s="684"/>
      <c r="MLL74" s="684"/>
      <c r="MLM74" s="684"/>
      <c r="MLN74" s="684"/>
      <c r="MLO74" s="684"/>
      <c r="MLP74" s="684"/>
      <c r="MLQ74" s="684"/>
      <c r="MLR74" s="684"/>
      <c r="MLS74" s="684"/>
      <c r="MLT74" s="684"/>
      <c r="MLU74" s="684"/>
      <c r="MLV74" s="684"/>
      <c r="MLW74" s="684"/>
      <c r="MLX74" s="684"/>
      <c r="MLY74" s="684"/>
      <c r="MLZ74" s="684"/>
      <c r="MMA74" s="684"/>
      <c r="MMB74" s="684"/>
      <c r="MMC74" s="684"/>
      <c r="MMD74" s="684"/>
      <c r="MME74" s="684"/>
      <c r="MMF74" s="684"/>
      <c r="MMG74" s="684"/>
      <c r="MMH74" s="684"/>
      <c r="MMI74" s="684"/>
      <c r="MMJ74" s="684"/>
      <c r="MMK74" s="684"/>
      <c r="MML74" s="684"/>
      <c r="MMM74" s="684"/>
      <c r="MMN74" s="684"/>
      <c r="MMO74" s="684"/>
      <c r="MMP74" s="684"/>
      <c r="MMQ74" s="684"/>
      <c r="MMR74" s="684"/>
      <c r="MMS74" s="684"/>
      <c r="MMT74" s="684"/>
      <c r="MMU74" s="684"/>
      <c r="MMV74" s="684"/>
      <c r="MMW74" s="684"/>
      <c r="MMX74" s="684"/>
      <c r="MMY74" s="684"/>
      <c r="MMZ74" s="684"/>
      <c r="MNA74" s="684"/>
      <c r="MNB74" s="684"/>
      <c r="MNC74" s="684"/>
      <c r="MND74" s="684"/>
      <c r="MNE74" s="684"/>
      <c r="MNF74" s="684"/>
      <c r="MNG74" s="684"/>
      <c r="MNH74" s="684"/>
      <c r="MNI74" s="684"/>
      <c r="MNJ74" s="684"/>
      <c r="MNK74" s="684"/>
      <c r="MNL74" s="684"/>
      <c r="MNM74" s="684"/>
      <c r="MNN74" s="684"/>
      <c r="MNO74" s="684"/>
      <c r="MNP74" s="684"/>
      <c r="MNQ74" s="684"/>
      <c r="MNR74" s="684"/>
      <c r="MNS74" s="684"/>
      <c r="MNT74" s="684"/>
      <c r="MNU74" s="684"/>
      <c r="MNV74" s="684"/>
      <c r="MNW74" s="684"/>
      <c r="MNX74" s="684"/>
      <c r="MNY74" s="684"/>
      <c r="MNZ74" s="684"/>
      <c r="MOA74" s="684"/>
      <c r="MOB74" s="684"/>
      <c r="MOC74" s="684"/>
      <c r="MOD74" s="684"/>
      <c r="MOE74" s="684"/>
      <c r="MOF74" s="684"/>
      <c r="MOG74" s="684"/>
      <c r="MOH74" s="684"/>
      <c r="MOI74" s="684"/>
      <c r="MOJ74" s="684"/>
      <c r="MOK74" s="684"/>
      <c r="MOL74" s="684"/>
      <c r="MOM74" s="684"/>
      <c r="MON74" s="684"/>
      <c r="MOO74" s="684"/>
      <c r="MOP74" s="684"/>
      <c r="MOQ74" s="684"/>
      <c r="MOR74" s="684"/>
      <c r="MOS74" s="684"/>
      <c r="MOT74" s="684"/>
      <c r="MOU74" s="684"/>
      <c r="MOV74" s="684"/>
      <c r="MOW74" s="684"/>
      <c r="MOX74" s="684"/>
      <c r="MOY74" s="684"/>
      <c r="MOZ74" s="684"/>
      <c r="MPA74" s="684"/>
      <c r="MPB74" s="684"/>
      <c r="MPC74" s="684"/>
      <c r="MPD74" s="684"/>
      <c r="MPE74" s="684"/>
      <c r="MPF74" s="684"/>
      <c r="MPG74" s="684"/>
      <c r="MPH74" s="684"/>
      <c r="MPI74" s="684"/>
      <c r="MPJ74" s="684"/>
      <c r="MPK74" s="684"/>
      <c r="MPL74" s="684"/>
      <c r="MPM74" s="684"/>
      <c r="MPN74" s="684"/>
      <c r="MPO74" s="684"/>
      <c r="MPP74" s="684"/>
      <c r="MPQ74" s="684"/>
      <c r="MPR74" s="684"/>
      <c r="MPS74" s="684"/>
      <c r="MPT74" s="684"/>
      <c r="MPU74" s="684"/>
      <c r="MPV74" s="684"/>
      <c r="MPW74" s="684"/>
      <c r="MPX74" s="684"/>
      <c r="MPY74" s="684"/>
      <c r="MPZ74" s="684"/>
      <c r="MQA74" s="684"/>
      <c r="MQB74" s="684"/>
      <c r="MQC74" s="684"/>
      <c r="MQD74" s="684"/>
      <c r="MQE74" s="684"/>
      <c r="MQF74" s="684"/>
      <c r="MQG74" s="684"/>
      <c r="MQH74" s="684"/>
      <c r="MQI74" s="684"/>
      <c r="MQJ74" s="684"/>
      <c r="MQK74" s="684"/>
      <c r="MQL74" s="684"/>
      <c r="MQM74" s="684"/>
      <c r="MQN74" s="684"/>
      <c r="MQO74" s="684"/>
      <c r="MQP74" s="684"/>
      <c r="MQQ74" s="684"/>
      <c r="MQR74" s="684"/>
      <c r="MQS74" s="684"/>
      <c r="MQT74" s="684"/>
      <c r="MQU74" s="684"/>
      <c r="MQV74" s="684"/>
      <c r="MQW74" s="684"/>
      <c r="MQX74" s="684"/>
      <c r="MQY74" s="684"/>
      <c r="MQZ74" s="684"/>
      <c r="MRA74" s="684"/>
      <c r="MRB74" s="684"/>
      <c r="MRC74" s="684"/>
      <c r="MRD74" s="684"/>
      <c r="MRE74" s="684"/>
      <c r="MRF74" s="684"/>
      <c r="MRG74" s="684"/>
      <c r="MRH74" s="684"/>
      <c r="MRI74" s="684"/>
      <c r="MRJ74" s="684"/>
      <c r="MRK74" s="684"/>
      <c r="MRL74" s="684"/>
      <c r="MRM74" s="684"/>
      <c r="MRN74" s="684"/>
      <c r="MRO74" s="684"/>
      <c r="MRP74" s="684"/>
      <c r="MRQ74" s="684"/>
      <c r="MRR74" s="684"/>
      <c r="MRS74" s="684"/>
      <c r="MRT74" s="684"/>
      <c r="MRU74" s="684"/>
      <c r="MRV74" s="684"/>
      <c r="MRW74" s="684"/>
      <c r="MRX74" s="684"/>
      <c r="MRY74" s="684"/>
      <c r="MRZ74" s="684"/>
      <c r="MSA74" s="684"/>
      <c r="MSB74" s="684"/>
      <c r="MSC74" s="684"/>
      <c r="MSD74" s="684"/>
      <c r="MSE74" s="684"/>
      <c r="MSF74" s="684"/>
      <c r="MSG74" s="684"/>
      <c r="MSH74" s="684"/>
      <c r="MSI74" s="684"/>
      <c r="MSJ74" s="684"/>
      <c r="MSK74" s="684"/>
      <c r="MSL74" s="684"/>
      <c r="MSM74" s="684"/>
      <c r="MSN74" s="684"/>
      <c r="MSO74" s="684"/>
      <c r="MSP74" s="684"/>
      <c r="MSQ74" s="684"/>
      <c r="MSR74" s="684"/>
      <c r="MSS74" s="684"/>
      <c r="MST74" s="684"/>
      <c r="MSU74" s="684"/>
      <c r="MSV74" s="684"/>
      <c r="MSW74" s="684"/>
      <c r="MSX74" s="684"/>
      <c r="MSY74" s="684"/>
      <c r="MSZ74" s="684"/>
      <c r="MTA74" s="684"/>
      <c r="MTB74" s="684"/>
      <c r="MTC74" s="684"/>
      <c r="MTD74" s="684"/>
      <c r="MTE74" s="684"/>
      <c r="MTF74" s="684"/>
      <c r="MTG74" s="684"/>
      <c r="MTH74" s="684"/>
      <c r="MTI74" s="684"/>
      <c r="MTJ74" s="684"/>
      <c r="MTK74" s="684"/>
      <c r="MTL74" s="684"/>
      <c r="MTM74" s="684"/>
      <c r="MTN74" s="684"/>
      <c r="MTO74" s="684"/>
      <c r="MTP74" s="684"/>
      <c r="MTQ74" s="684"/>
      <c r="MTR74" s="684"/>
      <c r="MTS74" s="684"/>
      <c r="MTT74" s="684"/>
      <c r="MTU74" s="684"/>
      <c r="MTV74" s="684"/>
      <c r="MTW74" s="684"/>
      <c r="MTX74" s="684"/>
      <c r="MTY74" s="684"/>
      <c r="MTZ74" s="684"/>
      <c r="MUA74" s="684"/>
      <c r="MUB74" s="684"/>
      <c r="MUC74" s="684"/>
      <c r="MUD74" s="684"/>
      <c r="MUE74" s="684"/>
      <c r="MUF74" s="684"/>
      <c r="MUG74" s="684"/>
      <c r="MUH74" s="684"/>
      <c r="MUI74" s="684"/>
      <c r="MUJ74" s="684"/>
      <c r="MUK74" s="684"/>
      <c r="MUL74" s="684"/>
      <c r="MUM74" s="684"/>
      <c r="MUN74" s="684"/>
      <c r="MUO74" s="684"/>
      <c r="MUP74" s="684"/>
      <c r="MUQ74" s="684"/>
      <c r="MUR74" s="684"/>
      <c r="MUS74" s="684"/>
      <c r="MUT74" s="684"/>
      <c r="MUU74" s="684"/>
      <c r="MUV74" s="684"/>
      <c r="MUW74" s="684"/>
      <c r="MUX74" s="684"/>
      <c r="MUY74" s="684"/>
      <c r="MUZ74" s="684"/>
      <c r="MVA74" s="684"/>
      <c r="MVB74" s="684"/>
      <c r="MVC74" s="684"/>
      <c r="MVD74" s="684"/>
      <c r="MVE74" s="684"/>
      <c r="MVF74" s="684"/>
      <c r="MVG74" s="684"/>
      <c r="MVH74" s="684"/>
      <c r="MVI74" s="684"/>
      <c r="MVJ74" s="684"/>
      <c r="MVK74" s="684"/>
      <c r="MVL74" s="684"/>
      <c r="MVM74" s="684"/>
      <c r="MVN74" s="684"/>
      <c r="MVO74" s="684"/>
      <c r="MVP74" s="684"/>
      <c r="MVQ74" s="684"/>
      <c r="MVR74" s="684"/>
      <c r="MVS74" s="684"/>
      <c r="MVT74" s="684"/>
      <c r="MVU74" s="684"/>
      <c r="MVV74" s="684"/>
      <c r="MVW74" s="684"/>
      <c r="MVX74" s="684"/>
      <c r="MVY74" s="684"/>
      <c r="MVZ74" s="684"/>
      <c r="MWA74" s="684"/>
      <c r="MWB74" s="684"/>
      <c r="MWC74" s="684"/>
      <c r="MWD74" s="684"/>
      <c r="MWE74" s="684"/>
      <c r="MWF74" s="684"/>
      <c r="MWG74" s="684"/>
      <c r="MWH74" s="684"/>
      <c r="MWI74" s="684"/>
      <c r="MWJ74" s="684"/>
      <c r="MWK74" s="684"/>
      <c r="MWL74" s="684"/>
      <c r="MWM74" s="684"/>
      <c r="MWN74" s="684"/>
      <c r="MWO74" s="684"/>
      <c r="MWP74" s="684"/>
      <c r="MWQ74" s="684"/>
      <c r="MWR74" s="684"/>
      <c r="MWS74" s="684"/>
      <c r="MWT74" s="684"/>
      <c r="MWU74" s="684"/>
      <c r="MWV74" s="684"/>
      <c r="MWW74" s="684"/>
      <c r="MWX74" s="684"/>
      <c r="MWY74" s="684"/>
      <c r="MWZ74" s="684"/>
      <c r="MXA74" s="684"/>
      <c r="MXB74" s="684"/>
      <c r="MXC74" s="684"/>
      <c r="MXD74" s="684"/>
      <c r="MXE74" s="684"/>
      <c r="MXF74" s="684"/>
      <c r="MXG74" s="684"/>
      <c r="MXH74" s="684"/>
      <c r="MXI74" s="684"/>
      <c r="MXJ74" s="684"/>
      <c r="MXK74" s="684"/>
      <c r="MXL74" s="684"/>
      <c r="MXM74" s="684"/>
      <c r="MXN74" s="684"/>
      <c r="MXO74" s="684"/>
      <c r="MXP74" s="684"/>
      <c r="MXQ74" s="684"/>
      <c r="MXR74" s="684"/>
      <c r="MXS74" s="684"/>
      <c r="MXT74" s="684"/>
      <c r="MXU74" s="684"/>
      <c r="MXV74" s="684"/>
      <c r="MXW74" s="684"/>
      <c r="MXX74" s="684"/>
      <c r="MXY74" s="684"/>
      <c r="MXZ74" s="684"/>
      <c r="MYA74" s="684"/>
      <c r="MYB74" s="684"/>
      <c r="MYC74" s="684"/>
      <c r="MYD74" s="684"/>
      <c r="MYE74" s="684"/>
      <c r="MYF74" s="684"/>
      <c r="MYG74" s="684"/>
      <c r="MYH74" s="684"/>
      <c r="MYI74" s="684"/>
      <c r="MYJ74" s="684"/>
      <c r="MYK74" s="684"/>
      <c r="MYL74" s="684"/>
      <c r="MYM74" s="684"/>
      <c r="MYN74" s="684"/>
      <c r="MYO74" s="684"/>
      <c r="MYP74" s="684"/>
      <c r="MYQ74" s="684"/>
      <c r="MYR74" s="684"/>
      <c r="MYS74" s="684"/>
      <c r="MYT74" s="684"/>
      <c r="MYU74" s="684"/>
      <c r="MYV74" s="684"/>
      <c r="MYW74" s="684"/>
      <c r="MYX74" s="684"/>
      <c r="MYY74" s="684"/>
      <c r="MYZ74" s="684"/>
      <c r="MZA74" s="684"/>
      <c r="MZB74" s="684"/>
      <c r="MZC74" s="684"/>
      <c r="MZD74" s="684"/>
      <c r="MZE74" s="684"/>
      <c r="MZF74" s="684"/>
      <c r="MZG74" s="684"/>
      <c r="MZH74" s="684"/>
      <c r="MZI74" s="684"/>
      <c r="MZJ74" s="684"/>
      <c r="MZK74" s="684"/>
      <c r="MZL74" s="684"/>
      <c r="MZM74" s="684"/>
      <c r="MZN74" s="684"/>
      <c r="MZO74" s="684"/>
      <c r="MZP74" s="684"/>
      <c r="MZQ74" s="684"/>
      <c r="MZR74" s="684"/>
      <c r="MZS74" s="684"/>
      <c r="MZT74" s="684"/>
      <c r="MZU74" s="684"/>
      <c r="MZV74" s="684"/>
      <c r="MZW74" s="684"/>
      <c r="MZX74" s="684"/>
      <c r="MZY74" s="684"/>
      <c r="MZZ74" s="684"/>
      <c r="NAA74" s="684"/>
      <c r="NAB74" s="684"/>
      <c r="NAC74" s="684"/>
      <c r="NAD74" s="684"/>
      <c r="NAE74" s="684"/>
      <c r="NAF74" s="684"/>
      <c r="NAG74" s="684"/>
      <c r="NAH74" s="684"/>
      <c r="NAI74" s="684"/>
      <c r="NAJ74" s="684"/>
      <c r="NAK74" s="684"/>
      <c r="NAL74" s="684"/>
      <c r="NAM74" s="684"/>
      <c r="NAN74" s="684"/>
      <c r="NAO74" s="684"/>
      <c r="NAP74" s="684"/>
      <c r="NAQ74" s="684"/>
      <c r="NAR74" s="684"/>
      <c r="NAS74" s="684"/>
      <c r="NAT74" s="684"/>
      <c r="NAU74" s="684"/>
      <c r="NAV74" s="684"/>
      <c r="NAW74" s="684"/>
      <c r="NAX74" s="684"/>
      <c r="NAY74" s="684"/>
      <c r="NAZ74" s="684"/>
      <c r="NBA74" s="684"/>
      <c r="NBB74" s="684"/>
      <c r="NBC74" s="684"/>
      <c r="NBD74" s="684"/>
      <c r="NBE74" s="684"/>
      <c r="NBF74" s="684"/>
      <c r="NBG74" s="684"/>
      <c r="NBH74" s="684"/>
      <c r="NBI74" s="684"/>
      <c r="NBJ74" s="684"/>
      <c r="NBK74" s="684"/>
      <c r="NBL74" s="684"/>
      <c r="NBM74" s="684"/>
      <c r="NBN74" s="684"/>
      <c r="NBO74" s="684"/>
      <c r="NBP74" s="684"/>
      <c r="NBQ74" s="684"/>
      <c r="NBR74" s="684"/>
      <c r="NBS74" s="684"/>
      <c r="NBT74" s="684"/>
      <c r="NBU74" s="684"/>
      <c r="NBV74" s="684"/>
      <c r="NBW74" s="684"/>
      <c r="NBX74" s="684"/>
      <c r="NBY74" s="684"/>
      <c r="NBZ74" s="684"/>
      <c r="NCA74" s="684"/>
      <c r="NCB74" s="684"/>
      <c r="NCC74" s="684"/>
      <c r="NCD74" s="684"/>
      <c r="NCE74" s="684"/>
      <c r="NCF74" s="684"/>
      <c r="NCG74" s="684"/>
      <c r="NCH74" s="684"/>
      <c r="NCI74" s="684"/>
      <c r="NCJ74" s="684"/>
      <c r="NCK74" s="684"/>
      <c r="NCL74" s="684"/>
      <c r="NCM74" s="684"/>
      <c r="NCN74" s="684"/>
      <c r="NCO74" s="684"/>
      <c r="NCP74" s="684"/>
      <c r="NCQ74" s="684"/>
      <c r="NCR74" s="684"/>
      <c r="NCS74" s="684"/>
      <c r="NCT74" s="684"/>
      <c r="NCU74" s="684"/>
      <c r="NCV74" s="684"/>
      <c r="NCW74" s="684"/>
      <c r="NCX74" s="684"/>
      <c r="NCY74" s="684"/>
      <c r="NCZ74" s="684"/>
      <c r="NDA74" s="684"/>
      <c r="NDB74" s="684"/>
      <c r="NDC74" s="684"/>
      <c r="NDD74" s="684"/>
      <c r="NDE74" s="684"/>
      <c r="NDF74" s="684"/>
      <c r="NDG74" s="684"/>
      <c r="NDH74" s="684"/>
      <c r="NDI74" s="684"/>
      <c r="NDJ74" s="684"/>
      <c r="NDK74" s="684"/>
      <c r="NDL74" s="684"/>
      <c r="NDM74" s="684"/>
      <c r="NDN74" s="684"/>
      <c r="NDO74" s="684"/>
      <c r="NDP74" s="684"/>
      <c r="NDQ74" s="684"/>
      <c r="NDR74" s="684"/>
      <c r="NDS74" s="684"/>
      <c r="NDT74" s="684"/>
      <c r="NDU74" s="684"/>
      <c r="NDV74" s="684"/>
      <c r="NDW74" s="684"/>
      <c r="NDX74" s="684"/>
      <c r="NDY74" s="684"/>
      <c r="NDZ74" s="684"/>
      <c r="NEA74" s="684"/>
      <c r="NEB74" s="684"/>
      <c r="NEC74" s="684"/>
      <c r="NED74" s="684"/>
      <c r="NEE74" s="684"/>
      <c r="NEF74" s="684"/>
      <c r="NEG74" s="684"/>
      <c r="NEH74" s="684"/>
      <c r="NEI74" s="684"/>
      <c r="NEJ74" s="684"/>
      <c r="NEK74" s="684"/>
      <c r="NEL74" s="684"/>
      <c r="NEM74" s="684"/>
      <c r="NEN74" s="684"/>
      <c r="NEO74" s="684"/>
      <c r="NEP74" s="684"/>
      <c r="NEQ74" s="684"/>
      <c r="NER74" s="684"/>
      <c r="NES74" s="684"/>
      <c r="NET74" s="684"/>
      <c r="NEU74" s="684"/>
      <c r="NEV74" s="684"/>
      <c r="NEW74" s="684"/>
      <c r="NEX74" s="684"/>
      <c r="NEY74" s="684"/>
      <c r="NEZ74" s="684"/>
      <c r="NFA74" s="684"/>
      <c r="NFB74" s="684"/>
      <c r="NFC74" s="684"/>
      <c r="NFD74" s="684"/>
      <c r="NFE74" s="684"/>
      <c r="NFF74" s="684"/>
      <c r="NFG74" s="684"/>
      <c r="NFH74" s="684"/>
      <c r="NFI74" s="684"/>
      <c r="NFJ74" s="684"/>
      <c r="NFK74" s="684"/>
      <c r="NFL74" s="684"/>
      <c r="NFM74" s="684"/>
      <c r="NFN74" s="684"/>
      <c r="NFO74" s="684"/>
      <c r="NFP74" s="684"/>
      <c r="NFQ74" s="684"/>
      <c r="NFR74" s="684"/>
      <c r="NFS74" s="684"/>
      <c r="NFT74" s="684"/>
      <c r="NFU74" s="684"/>
      <c r="NFV74" s="684"/>
      <c r="NFW74" s="684"/>
      <c r="NFX74" s="684"/>
      <c r="NFY74" s="684"/>
      <c r="NFZ74" s="684"/>
      <c r="NGA74" s="684"/>
      <c r="NGB74" s="684"/>
      <c r="NGC74" s="684"/>
      <c r="NGD74" s="684"/>
      <c r="NGE74" s="684"/>
      <c r="NGF74" s="684"/>
      <c r="NGG74" s="684"/>
      <c r="NGH74" s="684"/>
      <c r="NGI74" s="684"/>
      <c r="NGJ74" s="684"/>
      <c r="NGK74" s="684"/>
      <c r="NGL74" s="684"/>
      <c r="NGM74" s="684"/>
      <c r="NGN74" s="684"/>
      <c r="NGO74" s="684"/>
      <c r="NGP74" s="684"/>
      <c r="NGQ74" s="684"/>
      <c r="NGR74" s="684"/>
      <c r="NGS74" s="684"/>
      <c r="NGT74" s="684"/>
      <c r="NGU74" s="684"/>
      <c r="NGV74" s="684"/>
      <c r="NGW74" s="684"/>
      <c r="NGX74" s="684"/>
      <c r="NGY74" s="684"/>
      <c r="NGZ74" s="684"/>
      <c r="NHA74" s="684"/>
      <c r="NHB74" s="684"/>
      <c r="NHC74" s="684"/>
      <c r="NHD74" s="684"/>
      <c r="NHE74" s="684"/>
      <c r="NHF74" s="684"/>
      <c r="NHG74" s="684"/>
      <c r="NHH74" s="684"/>
      <c r="NHI74" s="684"/>
      <c r="NHJ74" s="684"/>
      <c r="NHK74" s="684"/>
      <c r="NHL74" s="684"/>
      <c r="NHM74" s="684"/>
      <c r="NHN74" s="684"/>
      <c r="NHO74" s="684"/>
      <c r="NHP74" s="684"/>
      <c r="NHQ74" s="684"/>
      <c r="NHR74" s="684"/>
      <c r="NHS74" s="684"/>
      <c r="NHT74" s="684"/>
      <c r="NHU74" s="684"/>
      <c r="NHV74" s="684"/>
      <c r="NHW74" s="684"/>
      <c r="NHX74" s="684"/>
      <c r="NHY74" s="684"/>
      <c r="NHZ74" s="684"/>
      <c r="NIA74" s="684"/>
      <c r="NIB74" s="684"/>
      <c r="NIC74" s="684"/>
      <c r="NID74" s="684"/>
      <c r="NIE74" s="684"/>
      <c r="NIF74" s="684"/>
      <c r="NIG74" s="684"/>
      <c r="NIH74" s="684"/>
      <c r="NII74" s="684"/>
      <c r="NIJ74" s="684"/>
      <c r="NIK74" s="684"/>
      <c r="NIL74" s="684"/>
      <c r="NIM74" s="684"/>
      <c r="NIN74" s="684"/>
      <c r="NIO74" s="684"/>
      <c r="NIP74" s="684"/>
      <c r="NIQ74" s="684"/>
      <c r="NIR74" s="684"/>
      <c r="NIS74" s="684"/>
      <c r="NIT74" s="684"/>
      <c r="NIU74" s="684"/>
      <c r="NIV74" s="684"/>
      <c r="NIW74" s="684"/>
      <c r="NIX74" s="684"/>
      <c r="NIY74" s="684"/>
      <c r="NIZ74" s="684"/>
      <c r="NJA74" s="684"/>
      <c r="NJB74" s="684"/>
      <c r="NJC74" s="684"/>
      <c r="NJD74" s="684"/>
      <c r="NJE74" s="684"/>
      <c r="NJF74" s="684"/>
      <c r="NJG74" s="684"/>
      <c r="NJH74" s="684"/>
      <c r="NJI74" s="684"/>
      <c r="NJJ74" s="684"/>
      <c r="NJK74" s="684"/>
      <c r="NJL74" s="684"/>
      <c r="NJM74" s="684"/>
      <c r="NJN74" s="684"/>
      <c r="NJO74" s="684"/>
      <c r="NJP74" s="684"/>
      <c r="NJQ74" s="684"/>
      <c r="NJR74" s="684"/>
      <c r="NJS74" s="684"/>
      <c r="NJT74" s="684"/>
      <c r="NJU74" s="684"/>
      <c r="NJV74" s="684"/>
      <c r="NJW74" s="684"/>
      <c r="NJX74" s="684"/>
      <c r="NJY74" s="684"/>
      <c r="NJZ74" s="684"/>
      <c r="NKA74" s="684"/>
      <c r="NKB74" s="684"/>
      <c r="NKC74" s="684"/>
      <c r="NKD74" s="684"/>
      <c r="NKE74" s="684"/>
      <c r="NKF74" s="684"/>
      <c r="NKG74" s="684"/>
      <c r="NKH74" s="684"/>
      <c r="NKI74" s="684"/>
      <c r="NKJ74" s="684"/>
      <c r="NKK74" s="684"/>
      <c r="NKL74" s="684"/>
      <c r="NKM74" s="684"/>
      <c r="NKN74" s="684"/>
      <c r="NKO74" s="684"/>
      <c r="NKP74" s="684"/>
      <c r="NKQ74" s="684"/>
      <c r="NKR74" s="684"/>
      <c r="NKS74" s="684"/>
      <c r="NKT74" s="684"/>
      <c r="NKU74" s="684"/>
      <c r="NKV74" s="684"/>
      <c r="NKW74" s="684"/>
      <c r="NKX74" s="684"/>
      <c r="NKY74" s="684"/>
      <c r="NKZ74" s="684"/>
      <c r="NLA74" s="684"/>
      <c r="NLB74" s="684"/>
      <c r="NLC74" s="684"/>
      <c r="NLD74" s="684"/>
      <c r="NLE74" s="684"/>
      <c r="NLF74" s="684"/>
      <c r="NLG74" s="684"/>
      <c r="NLH74" s="684"/>
      <c r="NLI74" s="684"/>
      <c r="NLJ74" s="684"/>
      <c r="NLK74" s="684"/>
      <c r="NLL74" s="684"/>
      <c r="NLM74" s="684"/>
      <c r="NLN74" s="684"/>
      <c r="NLO74" s="684"/>
      <c r="NLP74" s="684"/>
      <c r="NLQ74" s="684"/>
      <c r="NLR74" s="684"/>
      <c r="NLS74" s="684"/>
      <c r="NLT74" s="684"/>
      <c r="NLU74" s="684"/>
      <c r="NLV74" s="684"/>
      <c r="NLW74" s="684"/>
      <c r="NLX74" s="684"/>
      <c r="NLY74" s="684"/>
      <c r="NLZ74" s="684"/>
      <c r="NMA74" s="684"/>
      <c r="NMB74" s="684"/>
      <c r="NMC74" s="684"/>
      <c r="NMD74" s="684"/>
      <c r="NME74" s="684"/>
      <c r="NMF74" s="684"/>
      <c r="NMG74" s="684"/>
      <c r="NMH74" s="684"/>
      <c r="NMI74" s="684"/>
      <c r="NMJ74" s="684"/>
      <c r="NMK74" s="684"/>
      <c r="NML74" s="684"/>
      <c r="NMM74" s="684"/>
      <c r="NMN74" s="684"/>
      <c r="NMO74" s="684"/>
      <c r="NMP74" s="684"/>
      <c r="NMQ74" s="684"/>
      <c r="NMR74" s="684"/>
      <c r="NMS74" s="684"/>
      <c r="NMT74" s="684"/>
      <c r="NMU74" s="684"/>
      <c r="NMV74" s="684"/>
      <c r="NMW74" s="684"/>
      <c r="NMX74" s="684"/>
      <c r="NMY74" s="684"/>
      <c r="NMZ74" s="684"/>
      <c r="NNA74" s="684"/>
      <c r="NNB74" s="684"/>
      <c r="NNC74" s="684"/>
      <c r="NND74" s="684"/>
      <c r="NNE74" s="684"/>
      <c r="NNF74" s="684"/>
      <c r="NNG74" s="684"/>
      <c r="NNH74" s="684"/>
      <c r="NNI74" s="684"/>
      <c r="NNJ74" s="684"/>
      <c r="NNK74" s="684"/>
      <c r="NNL74" s="684"/>
      <c r="NNM74" s="684"/>
      <c r="NNN74" s="684"/>
      <c r="NNO74" s="684"/>
      <c r="NNP74" s="684"/>
      <c r="NNQ74" s="684"/>
      <c r="NNR74" s="684"/>
      <c r="NNS74" s="684"/>
      <c r="NNT74" s="684"/>
      <c r="NNU74" s="684"/>
      <c r="NNV74" s="684"/>
      <c r="NNW74" s="684"/>
      <c r="NNX74" s="684"/>
      <c r="NNY74" s="684"/>
      <c r="NNZ74" s="684"/>
      <c r="NOA74" s="684"/>
      <c r="NOB74" s="684"/>
      <c r="NOC74" s="684"/>
      <c r="NOD74" s="684"/>
      <c r="NOE74" s="684"/>
      <c r="NOF74" s="684"/>
      <c r="NOG74" s="684"/>
      <c r="NOH74" s="684"/>
      <c r="NOI74" s="684"/>
      <c r="NOJ74" s="684"/>
      <c r="NOK74" s="684"/>
      <c r="NOL74" s="684"/>
      <c r="NOM74" s="684"/>
      <c r="NON74" s="684"/>
      <c r="NOO74" s="684"/>
      <c r="NOP74" s="684"/>
      <c r="NOQ74" s="684"/>
      <c r="NOR74" s="684"/>
      <c r="NOS74" s="684"/>
      <c r="NOT74" s="684"/>
      <c r="NOU74" s="684"/>
      <c r="NOV74" s="684"/>
      <c r="NOW74" s="684"/>
      <c r="NOX74" s="684"/>
      <c r="NOY74" s="684"/>
      <c r="NOZ74" s="684"/>
      <c r="NPA74" s="684"/>
      <c r="NPB74" s="684"/>
      <c r="NPC74" s="684"/>
      <c r="NPD74" s="684"/>
      <c r="NPE74" s="684"/>
      <c r="NPF74" s="684"/>
      <c r="NPG74" s="684"/>
      <c r="NPH74" s="684"/>
      <c r="NPI74" s="684"/>
      <c r="NPJ74" s="684"/>
      <c r="NPK74" s="684"/>
      <c r="NPL74" s="684"/>
      <c r="NPM74" s="684"/>
      <c r="NPN74" s="684"/>
      <c r="NPO74" s="684"/>
      <c r="NPP74" s="684"/>
      <c r="NPQ74" s="684"/>
      <c r="NPR74" s="684"/>
      <c r="NPS74" s="684"/>
      <c r="NPT74" s="684"/>
      <c r="NPU74" s="684"/>
      <c r="NPV74" s="684"/>
      <c r="NPW74" s="684"/>
      <c r="NPX74" s="684"/>
      <c r="NPY74" s="684"/>
      <c r="NPZ74" s="684"/>
      <c r="NQA74" s="684"/>
      <c r="NQB74" s="684"/>
      <c r="NQC74" s="684"/>
      <c r="NQD74" s="684"/>
      <c r="NQE74" s="684"/>
      <c r="NQF74" s="684"/>
      <c r="NQG74" s="684"/>
      <c r="NQH74" s="684"/>
      <c r="NQI74" s="684"/>
      <c r="NQJ74" s="684"/>
      <c r="NQK74" s="684"/>
      <c r="NQL74" s="684"/>
      <c r="NQM74" s="684"/>
      <c r="NQN74" s="684"/>
      <c r="NQO74" s="684"/>
      <c r="NQP74" s="684"/>
      <c r="NQQ74" s="684"/>
      <c r="NQR74" s="684"/>
      <c r="NQS74" s="684"/>
      <c r="NQT74" s="684"/>
      <c r="NQU74" s="684"/>
      <c r="NQV74" s="684"/>
      <c r="NQW74" s="684"/>
      <c r="NQX74" s="684"/>
      <c r="NQY74" s="684"/>
      <c r="NQZ74" s="684"/>
      <c r="NRA74" s="684"/>
      <c r="NRB74" s="684"/>
      <c r="NRC74" s="684"/>
      <c r="NRD74" s="684"/>
      <c r="NRE74" s="684"/>
      <c r="NRF74" s="684"/>
      <c r="NRG74" s="684"/>
      <c r="NRH74" s="684"/>
      <c r="NRI74" s="684"/>
      <c r="NRJ74" s="684"/>
      <c r="NRK74" s="684"/>
      <c r="NRL74" s="684"/>
      <c r="NRM74" s="684"/>
      <c r="NRN74" s="684"/>
      <c r="NRO74" s="684"/>
      <c r="NRP74" s="684"/>
      <c r="NRQ74" s="684"/>
      <c r="NRR74" s="684"/>
      <c r="NRS74" s="684"/>
      <c r="NRT74" s="684"/>
      <c r="NRU74" s="684"/>
      <c r="NRV74" s="684"/>
      <c r="NRW74" s="684"/>
      <c r="NRX74" s="684"/>
      <c r="NRY74" s="684"/>
      <c r="NRZ74" s="684"/>
      <c r="NSA74" s="684"/>
      <c r="NSB74" s="684"/>
      <c r="NSC74" s="684"/>
      <c r="NSD74" s="684"/>
      <c r="NSE74" s="684"/>
      <c r="NSF74" s="684"/>
      <c r="NSG74" s="684"/>
      <c r="NSH74" s="684"/>
      <c r="NSI74" s="684"/>
      <c r="NSJ74" s="684"/>
      <c r="NSK74" s="684"/>
      <c r="NSL74" s="684"/>
      <c r="NSM74" s="684"/>
      <c r="NSN74" s="684"/>
      <c r="NSO74" s="684"/>
      <c r="NSP74" s="684"/>
      <c r="NSQ74" s="684"/>
      <c r="NSR74" s="684"/>
      <c r="NSS74" s="684"/>
      <c r="NST74" s="684"/>
      <c r="NSU74" s="684"/>
      <c r="NSV74" s="684"/>
      <c r="NSW74" s="684"/>
      <c r="NSX74" s="684"/>
      <c r="NSY74" s="684"/>
      <c r="NSZ74" s="684"/>
      <c r="NTA74" s="684"/>
      <c r="NTB74" s="684"/>
      <c r="NTC74" s="684"/>
      <c r="NTD74" s="684"/>
      <c r="NTE74" s="684"/>
      <c r="NTF74" s="684"/>
      <c r="NTG74" s="684"/>
      <c r="NTH74" s="684"/>
      <c r="NTI74" s="684"/>
      <c r="NTJ74" s="684"/>
      <c r="NTK74" s="684"/>
      <c r="NTL74" s="684"/>
      <c r="NTM74" s="684"/>
      <c r="NTN74" s="684"/>
      <c r="NTO74" s="684"/>
      <c r="NTP74" s="684"/>
      <c r="NTQ74" s="684"/>
      <c r="NTR74" s="684"/>
      <c r="NTS74" s="684"/>
      <c r="NTT74" s="684"/>
      <c r="NTU74" s="684"/>
      <c r="NTV74" s="684"/>
      <c r="NTW74" s="684"/>
      <c r="NTX74" s="684"/>
      <c r="NTY74" s="684"/>
      <c r="NTZ74" s="684"/>
      <c r="NUA74" s="684"/>
      <c r="NUB74" s="684"/>
      <c r="NUC74" s="684"/>
      <c r="NUD74" s="684"/>
      <c r="NUE74" s="684"/>
      <c r="NUF74" s="684"/>
      <c r="NUG74" s="684"/>
      <c r="NUH74" s="684"/>
      <c r="NUI74" s="684"/>
      <c r="NUJ74" s="684"/>
      <c r="NUK74" s="684"/>
      <c r="NUL74" s="684"/>
      <c r="NUM74" s="684"/>
      <c r="NUN74" s="684"/>
      <c r="NUO74" s="684"/>
      <c r="NUP74" s="684"/>
      <c r="NUQ74" s="684"/>
      <c r="NUR74" s="684"/>
      <c r="NUS74" s="684"/>
      <c r="NUT74" s="684"/>
      <c r="NUU74" s="684"/>
      <c r="NUV74" s="684"/>
      <c r="NUW74" s="684"/>
      <c r="NUX74" s="684"/>
      <c r="NUY74" s="684"/>
      <c r="NUZ74" s="684"/>
      <c r="NVA74" s="684"/>
      <c r="NVB74" s="684"/>
      <c r="NVC74" s="684"/>
      <c r="NVD74" s="684"/>
      <c r="NVE74" s="684"/>
      <c r="NVF74" s="684"/>
      <c r="NVG74" s="684"/>
      <c r="NVH74" s="684"/>
      <c r="NVI74" s="684"/>
      <c r="NVJ74" s="684"/>
      <c r="NVK74" s="684"/>
      <c r="NVL74" s="684"/>
      <c r="NVM74" s="684"/>
      <c r="NVN74" s="684"/>
      <c r="NVO74" s="684"/>
      <c r="NVP74" s="684"/>
      <c r="NVQ74" s="684"/>
      <c r="NVR74" s="684"/>
      <c r="NVS74" s="684"/>
      <c r="NVT74" s="684"/>
      <c r="NVU74" s="684"/>
      <c r="NVV74" s="684"/>
      <c r="NVW74" s="684"/>
      <c r="NVX74" s="684"/>
      <c r="NVY74" s="684"/>
      <c r="NVZ74" s="684"/>
      <c r="NWA74" s="684"/>
      <c r="NWB74" s="684"/>
      <c r="NWC74" s="684"/>
      <c r="NWD74" s="684"/>
      <c r="NWE74" s="684"/>
      <c r="NWF74" s="684"/>
      <c r="NWG74" s="684"/>
      <c r="NWH74" s="684"/>
      <c r="NWI74" s="684"/>
      <c r="NWJ74" s="684"/>
      <c r="NWK74" s="684"/>
      <c r="NWL74" s="684"/>
      <c r="NWM74" s="684"/>
      <c r="NWN74" s="684"/>
      <c r="NWO74" s="684"/>
      <c r="NWP74" s="684"/>
      <c r="NWQ74" s="684"/>
      <c r="NWR74" s="684"/>
      <c r="NWS74" s="684"/>
      <c r="NWT74" s="684"/>
      <c r="NWU74" s="684"/>
      <c r="NWV74" s="684"/>
      <c r="NWW74" s="684"/>
      <c r="NWX74" s="684"/>
      <c r="NWY74" s="684"/>
      <c r="NWZ74" s="684"/>
      <c r="NXA74" s="684"/>
      <c r="NXB74" s="684"/>
      <c r="NXC74" s="684"/>
      <c r="NXD74" s="684"/>
      <c r="NXE74" s="684"/>
      <c r="NXF74" s="684"/>
      <c r="NXG74" s="684"/>
      <c r="NXH74" s="684"/>
      <c r="NXI74" s="684"/>
      <c r="NXJ74" s="684"/>
      <c r="NXK74" s="684"/>
      <c r="NXL74" s="684"/>
      <c r="NXM74" s="684"/>
      <c r="NXN74" s="684"/>
      <c r="NXO74" s="684"/>
      <c r="NXP74" s="684"/>
      <c r="NXQ74" s="684"/>
      <c r="NXR74" s="684"/>
      <c r="NXS74" s="684"/>
      <c r="NXT74" s="684"/>
      <c r="NXU74" s="684"/>
      <c r="NXV74" s="684"/>
      <c r="NXW74" s="684"/>
      <c r="NXX74" s="684"/>
      <c r="NXY74" s="684"/>
      <c r="NXZ74" s="684"/>
      <c r="NYA74" s="684"/>
      <c r="NYB74" s="684"/>
      <c r="NYC74" s="684"/>
      <c r="NYD74" s="684"/>
      <c r="NYE74" s="684"/>
      <c r="NYF74" s="684"/>
      <c r="NYG74" s="684"/>
      <c r="NYH74" s="684"/>
      <c r="NYI74" s="684"/>
      <c r="NYJ74" s="684"/>
      <c r="NYK74" s="684"/>
      <c r="NYL74" s="684"/>
      <c r="NYM74" s="684"/>
      <c r="NYN74" s="684"/>
      <c r="NYO74" s="684"/>
      <c r="NYP74" s="684"/>
      <c r="NYQ74" s="684"/>
      <c r="NYR74" s="684"/>
      <c r="NYS74" s="684"/>
      <c r="NYT74" s="684"/>
      <c r="NYU74" s="684"/>
      <c r="NYV74" s="684"/>
      <c r="NYW74" s="684"/>
      <c r="NYX74" s="684"/>
      <c r="NYY74" s="684"/>
      <c r="NYZ74" s="684"/>
      <c r="NZA74" s="684"/>
      <c r="NZB74" s="684"/>
      <c r="NZC74" s="684"/>
      <c r="NZD74" s="684"/>
      <c r="NZE74" s="684"/>
      <c r="NZF74" s="684"/>
      <c r="NZG74" s="684"/>
      <c r="NZH74" s="684"/>
      <c r="NZI74" s="684"/>
      <c r="NZJ74" s="684"/>
      <c r="NZK74" s="684"/>
      <c r="NZL74" s="684"/>
      <c r="NZM74" s="684"/>
      <c r="NZN74" s="684"/>
      <c r="NZO74" s="684"/>
      <c r="NZP74" s="684"/>
      <c r="NZQ74" s="684"/>
      <c r="NZR74" s="684"/>
      <c r="NZS74" s="684"/>
      <c r="NZT74" s="684"/>
      <c r="NZU74" s="684"/>
      <c r="NZV74" s="684"/>
      <c r="NZW74" s="684"/>
      <c r="NZX74" s="684"/>
      <c r="NZY74" s="684"/>
      <c r="NZZ74" s="684"/>
      <c r="OAA74" s="684"/>
      <c r="OAB74" s="684"/>
      <c r="OAC74" s="684"/>
      <c r="OAD74" s="684"/>
      <c r="OAE74" s="684"/>
      <c r="OAF74" s="684"/>
      <c r="OAG74" s="684"/>
      <c r="OAH74" s="684"/>
      <c r="OAI74" s="684"/>
      <c r="OAJ74" s="684"/>
      <c r="OAK74" s="684"/>
      <c r="OAL74" s="684"/>
      <c r="OAM74" s="684"/>
      <c r="OAN74" s="684"/>
      <c r="OAO74" s="684"/>
      <c r="OAP74" s="684"/>
      <c r="OAQ74" s="684"/>
      <c r="OAR74" s="684"/>
      <c r="OAS74" s="684"/>
      <c r="OAT74" s="684"/>
      <c r="OAU74" s="684"/>
      <c r="OAV74" s="684"/>
      <c r="OAW74" s="684"/>
      <c r="OAX74" s="684"/>
      <c r="OAY74" s="684"/>
      <c r="OAZ74" s="684"/>
      <c r="OBA74" s="684"/>
      <c r="OBB74" s="684"/>
      <c r="OBC74" s="684"/>
      <c r="OBD74" s="684"/>
      <c r="OBE74" s="684"/>
      <c r="OBF74" s="684"/>
      <c r="OBG74" s="684"/>
      <c r="OBH74" s="684"/>
      <c r="OBI74" s="684"/>
      <c r="OBJ74" s="684"/>
      <c r="OBK74" s="684"/>
      <c r="OBL74" s="684"/>
      <c r="OBM74" s="684"/>
      <c r="OBN74" s="684"/>
      <c r="OBO74" s="684"/>
      <c r="OBP74" s="684"/>
      <c r="OBQ74" s="684"/>
      <c r="OBR74" s="684"/>
      <c r="OBS74" s="684"/>
      <c r="OBT74" s="684"/>
      <c r="OBU74" s="684"/>
      <c r="OBV74" s="684"/>
      <c r="OBW74" s="684"/>
      <c r="OBX74" s="684"/>
      <c r="OBY74" s="684"/>
      <c r="OBZ74" s="684"/>
      <c r="OCA74" s="684"/>
      <c r="OCB74" s="684"/>
      <c r="OCC74" s="684"/>
      <c r="OCD74" s="684"/>
      <c r="OCE74" s="684"/>
      <c r="OCF74" s="684"/>
      <c r="OCG74" s="684"/>
      <c r="OCH74" s="684"/>
      <c r="OCI74" s="684"/>
      <c r="OCJ74" s="684"/>
      <c r="OCK74" s="684"/>
      <c r="OCL74" s="684"/>
      <c r="OCM74" s="684"/>
      <c r="OCN74" s="684"/>
      <c r="OCO74" s="684"/>
      <c r="OCP74" s="684"/>
      <c r="OCQ74" s="684"/>
      <c r="OCR74" s="684"/>
      <c r="OCS74" s="684"/>
      <c r="OCT74" s="684"/>
      <c r="OCU74" s="684"/>
      <c r="OCV74" s="684"/>
      <c r="OCW74" s="684"/>
      <c r="OCX74" s="684"/>
      <c r="OCY74" s="684"/>
      <c r="OCZ74" s="684"/>
      <c r="ODA74" s="684"/>
      <c r="ODB74" s="684"/>
      <c r="ODC74" s="684"/>
      <c r="ODD74" s="684"/>
      <c r="ODE74" s="684"/>
      <c r="ODF74" s="684"/>
      <c r="ODG74" s="684"/>
      <c r="ODH74" s="684"/>
      <c r="ODI74" s="684"/>
      <c r="ODJ74" s="684"/>
      <c r="ODK74" s="684"/>
      <c r="ODL74" s="684"/>
      <c r="ODM74" s="684"/>
      <c r="ODN74" s="684"/>
      <c r="ODO74" s="684"/>
      <c r="ODP74" s="684"/>
      <c r="ODQ74" s="684"/>
      <c r="ODR74" s="684"/>
      <c r="ODS74" s="684"/>
      <c r="ODT74" s="684"/>
      <c r="ODU74" s="684"/>
      <c r="ODV74" s="684"/>
      <c r="ODW74" s="684"/>
      <c r="ODX74" s="684"/>
      <c r="ODY74" s="684"/>
      <c r="ODZ74" s="684"/>
      <c r="OEA74" s="684"/>
      <c r="OEB74" s="684"/>
      <c r="OEC74" s="684"/>
      <c r="OED74" s="684"/>
      <c r="OEE74" s="684"/>
      <c r="OEF74" s="684"/>
      <c r="OEG74" s="684"/>
      <c r="OEH74" s="684"/>
      <c r="OEI74" s="684"/>
      <c r="OEJ74" s="684"/>
      <c r="OEK74" s="684"/>
      <c r="OEL74" s="684"/>
      <c r="OEM74" s="684"/>
      <c r="OEN74" s="684"/>
      <c r="OEO74" s="684"/>
      <c r="OEP74" s="684"/>
      <c r="OEQ74" s="684"/>
      <c r="OER74" s="684"/>
      <c r="OES74" s="684"/>
      <c r="OET74" s="684"/>
      <c r="OEU74" s="684"/>
      <c r="OEV74" s="684"/>
      <c r="OEW74" s="684"/>
      <c r="OEX74" s="684"/>
      <c r="OEY74" s="684"/>
      <c r="OEZ74" s="684"/>
      <c r="OFA74" s="684"/>
      <c r="OFB74" s="684"/>
      <c r="OFC74" s="684"/>
      <c r="OFD74" s="684"/>
      <c r="OFE74" s="684"/>
      <c r="OFF74" s="684"/>
      <c r="OFG74" s="684"/>
      <c r="OFH74" s="684"/>
      <c r="OFI74" s="684"/>
      <c r="OFJ74" s="684"/>
      <c r="OFK74" s="684"/>
      <c r="OFL74" s="684"/>
      <c r="OFM74" s="684"/>
      <c r="OFN74" s="684"/>
      <c r="OFO74" s="684"/>
      <c r="OFP74" s="684"/>
      <c r="OFQ74" s="684"/>
      <c r="OFR74" s="684"/>
      <c r="OFS74" s="684"/>
      <c r="OFT74" s="684"/>
      <c r="OFU74" s="684"/>
      <c r="OFV74" s="684"/>
      <c r="OFW74" s="684"/>
      <c r="OFX74" s="684"/>
      <c r="OFY74" s="684"/>
      <c r="OFZ74" s="684"/>
      <c r="OGA74" s="684"/>
      <c r="OGB74" s="684"/>
      <c r="OGC74" s="684"/>
      <c r="OGD74" s="684"/>
      <c r="OGE74" s="684"/>
      <c r="OGF74" s="684"/>
      <c r="OGG74" s="684"/>
      <c r="OGH74" s="684"/>
      <c r="OGI74" s="684"/>
      <c r="OGJ74" s="684"/>
      <c r="OGK74" s="684"/>
      <c r="OGL74" s="684"/>
      <c r="OGM74" s="684"/>
      <c r="OGN74" s="684"/>
      <c r="OGO74" s="684"/>
      <c r="OGP74" s="684"/>
      <c r="OGQ74" s="684"/>
      <c r="OGR74" s="684"/>
      <c r="OGS74" s="684"/>
      <c r="OGT74" s="684"/>
      <c r="OGU74" s="684"/>
      <c r="OGV74" s="684"/>
      <c r="OGW74" s="684"/>
      <c r="OGX74" s="684"/>
      <c r="OGY74" s="684"/>
      <c r="OGZ74" s="684"/>
      <c r="OHA74" s="684"/>
      <c r="OHB74" s="684"/>
      <c r="OHC74" s="684"/>
      <c r="OHD74" s="684"/>
      <c r="OHE74" s="684"/>
      <c r="OHF74" s="684"/>
      <c r="OHG74" s="684"/>
      <c r="OHH74" s="684"/>
      <c r="OHI74" s="684"/>
      <c r="OHJ74" s="684"/>
      <c r="OHK74" s="684"/>
      <c r="OHL74" s="684"/>
      <c r="OHM74" s="684"/>
      <c r="OHN74" s="684"/>
      <c r="OHO74" s="684"/>
      <c r="OHP74" s="684"/>
      <c r="OHQ74" s="684"/>
      <c r="OHR74" s="684"/>
      <c r="OHS74" s="684"/>
      <c r="OHT74" s="684"/>
      <c r="OHU74" s="684"/>
      <c r="OHV74" s="684"/>
      <c r="OHW74" s="684"/>
      <c r="OHX74" s="684"/>
      <c r="OHY74" s="684"/>
      <c r="OHZ74" s="684"/>
      <c r="OIA74" s="684"/>
      <c r="OIB74" s="684"/>
      <c r="OIC74" s="684"/>
      <c r="OID74" s="684"/>
      <c r="OIE74" s="684"/>
      <c r="OIF74" s="684"/>
      <c r="OIG74" s="684"/>
      <c r="OIH74" s="684"/>
      <c r="OII74" s="684"/>
      <c r="OIJ74" s="684"/>
      <c r="OIK74" s="684"/>
      <c r="OIL74" s="684"/>
      <c r="OIM74" s="684"/>
      <c r="OIN74" s="684"/>
      <c r="OIO74" s="684"/>
      <c r="OIP74" s="684"/>
      <c r="OIQ74" s="684"/>
      <c r="OIR74" s="684"/>
      <c r="OIS74" s="684"/>
      <c r="OIT74" s="684"/>
      <c r="OIU74" s="684"/>
      <c r="OIV74" s="684"/>
      <c r="OIW74" s="684"/>
      <c r="OIX74" s="684"/>
      <c r="OIY74" s="684"/>
      <c r="OIZ74" s="684"/>
      <c r="OJA74" s="684"/>
      <c r="OJB74" s="684"/>
      <c r="OJC74" s="684"/>
      <c r="OJD74" s="684"/>
      <c r="OJE74" s="684"/>
      <c r="OJF74" s="684"/>
      <c r="OJG74" s="684"/>
      <c r="OJH74" s="684"/>
      <c r="OJI74" s="684"/>
      <c r="OJJ74" s="684"/>
      <c r="OJK74" s="684"/>
      <c r="OJL74" s="684"/>
      <c r="OJM74" s="684"/>
      <c r="OJN74" s="684"/>
      <c r="OJO74" s="684"/>
      <c r="OJP74" s="684"/>
      <c r="OJQ74" s="684"/>
      <c r="OJR74" s="684"/>
      <c r="OJS74" s="684"/>
      <c r="OJT74" s="684"/>
      <c r="OJU74" s="684"/>
      <c r="OJV74" s="684"/>
      <c r="OJW74" s="684"/>
      <c r="OJX74" s="684"/>
      <c r="OJY74" s="684"/>
      <c r="OJZ74" s="684"/>
      <c r="OKA74" s="684"/>
      <c r="OKB74" s="684"/>
      <c r="OKC74" s="684"/>
      <c r="OKD74" s="684"/>
      <c r="OKE74" s="684"/>
      <c r="OKF74" s="684"/>
      <c r="OKG74" s="684"/>
      <c r="OKH74" s="684"/>
      <c r="OKI74" s="684"/>
      <c r="OKJ74" s="684"/>
      <c r="OKK74" s="684"/>
      <c r="OKL74" s="684"/>
      <c r="OKM74" s="684"/>
      <c r="OKN74" s="684"/>
      <c r="OKO74" s="684"/>
      <c r="OKP74" s="684"/>
      <c r="OKQ74" s="684"/>
      <c r="OKR74" s="684"/>
      <c r="OKS74" s="684"/>
      <c r="OKT74" s="684"/>
      <c r="OKU74" s="684"/>
      <c r="OKV74" s="684"/>
      <c r="OKW74" s="684"/>
      <c r="OKX74" s="684"/>
      <c r="OKY74" s="684"/>
      <c r="OKZ74" s="684"/>
      <c r="OLA74" s="684"/>
      <c r="OLB74" s="684"/>
      <c r="OLC74" s="684"/>
      <c r="OLD74" s="684"/>
      <c r="OLE74" s="684"/>
      <c r="OLF74" s="684"/>
      <c r="OLG74" s="684"/>
      <c r="OLH74" s="684"/>
      <c r="OLI74" s="684"/>
      <c r="OLJ74" s="684"/>
      <c r="OLK74" s="684"/>
      <c r="OLL74" s="684"/>
      <c r="OLM74" s="684"/>
      <c r="OLN74" s="684"/>
      <c r="OLO74" s="684"/>
      <c r="OLP74" s="684"/>
      <c r="OLQ74" s="684"/>
      <c r="OLR74" s="684"/>
      <c r="OLS74" s="684"/>
      <c r="OLT74" s="684"/>
      <c r="OLU74" s="684"/>
      <c r="OLV74" s="684"/>
      <c r="OLW74" s="684"/>
      <c r="OLX74" s="684"/>
      <c r="OLY74" s="684"/>
      <c r="OLZ74" s="684"/>
      <c r="OMA74" s="684"/>
      <c r="OMB74" s="684"/>
      <c r="OMC74" s="684"/>
      <c r="OMD74" s="684"/>
      <c r="OME74" s="684"/>
      <c r="OMF74" s="684"/>
      <c r="OMG74" s="684"/>
      <c r="OMH74" s="684"/>
      <c r="OMI74" s="684"/>
      <c r="OMJ74" s="684"/>
      <c r="OMK74" s="684"/>
      <c r="OML74" s="684"/>
      <c r="OMM74" s="684"/>
      <c r="OMN74" s="684"/>
      <c r="OMO74" s="684"/>
      <c r="OMP74" s="684"/>
      <c r="OMQ74" s="684"/>
      <c r="OMR74" s="684"/>
      <c r="OMS74" s="684"/>
      <c r="OMT74" s="684"/>
      <c r="OMU74" s="684"/>
      <c r="OMV74" s="684"/>
      <c r="OMW74" s="684"/>
      <c r="OMX74" s="684"/>
      <c r="OMY74" s="684"/>
      <c r="OMZ74" s="684"/>
      <c r="ONA74" s="684"/>
      <c r="ONB74" s="684"/>
      <c r="ONC74" s="684"/>
      <c r="OND74" s="684"/>
      <c r="ONE74" s="684"/>
      <c r="ONF74" s="684"/>
      <c r="ONG74" s="684"/>
      <c r="ONH74" s="684"/>
      <c r="ONI74" s="684"/>
      <c r="ONJ74" s="684"/>
      <c r="ONK74" s="684"/>
      <c r="ONL74" s="684"/>
      <c r="ONM74" s="684"/>
      <c r="ONN74" s="684"/>
      <c r="ONO74" s="684"/>
      <c r="ONP74" s="684"/>
      <c r="ONQ74" s="684"/>
      <c r="ONR74" s="684"/>
      <c r="ONS74" s="684"/>
      <c r="ONT74" s="684"/>
      <c r="ONU74" s="684"/>
      <c r="ONV74" s="684"/>
      <c r="ONW74" s="684"/>
      <c r="ONX74" s="684"/>
      <c r="ONY74" s="684"/>
      <c r="ONZ74" s="684"/>
      <c r="OOA74" s="684"/>
      <c r="OOB74" s="684"/>
      <c r="OOC74" s="684"/>
      <c r="OOD74" s="684"/>
      <c r="OOE74" s="684"/>
      <c r="OOF74" s="684"/>
      <c r="OOG74" s="684"/>
      <c r="OOH74" s="684"/>
      <c r="OOI74" s="684"/>
      <c r="OOJ74" s="684"/>
      <c r="OOK74" s="684"/>
      <c r="OOL74" s="684"/>
      <c r="OOM74" s="684"/>
      <c r="OON74" s="684"/>
      <c r="OOO74" s="684"/>
      <c r="OOP74" s="684"/>
      <c r="OOQ74" s="684"/>
      <c r="OOR74" s="684"/>
      <c r="OOS74" s="684"/>
      <c r="OOT74" s="684"/>
      <c r="OOU74" s="684"/>
      <c r="OOV74" s="684"/>
      <c r="OOW74" s="684"/>
      <c r="OOX74" s="684"/>
      <c r="OOY74" s="684"/>
      <c r="OOZ74" s="684"/>
      <c r="OPA74" s="684"/>
      <c r="OPB74" s="684"/>
      <c r="OPC74" s="684"/>
      <c r="OPD74" s="684"/>
      <c r="OPE74" s="684"/>
      <c r="OPF74" s="684"/>
      <c r="OPG74" s="684"/>
      <c r="OPH74" s="684"/>
      <c r="OPI74" s="684"/>
      <c r="OPJ74" s="684"/>
      <c r="OPK74" s="684"/>
      <c r="OPL74" s="684"/>
      <c r="OPM74" s="684"/>
      <c r="OPN74" s="684"/>
      <c r="OPO74" s="684"/>
      <c r="OPP74" s="684"/>
      <c r="OPQ74" s="684"/>
      <c r="OPR74" s="684"/>
      <c r="OPS74" s="684"/>
      <c r="OPT74" s="684"/>
      <c r="OPU74" s="684"/>
      <c r="OPV74" s="684"/>
      <c r="OPW74" s="684"/>
      <c r="OPX74" s="684"/>
      <c r="OPY74" s="684"/>
      <c r="OPZ74" s="684"/>
      <c r="OQA74" s="684"/>
      <c r="OQB74" s="684"/>
      <c r="OQC74" s="684"/>
      <c r="OQD74" s="684"/>
      <c r="OQE74" s="684"/>
      <c r="OQF74" s="684"/>
      <c r="OQG74" s="684"/>
      <c r="OQH74" s="684"/>
      <c r="OQI74" s="684"/>
      <c r="OQJ74" s="684"/>
      <c r="OQK74" s="684"/>
      <c r="OQL74" s="684"/>
      <c r="OQM74" s="684"/>
      <c r="OQN74" s="684"/>
      <c r="OQO74" s="684"/>
      <c r="OQP74" s="684"/>
      <c r="OQQ74" s="684"/>
      <c r="OQR74" s="684"/>
      <c r="OQS74" s="684"/>
      <c r="OQT74" s="684"/>
      <c r="OQU74" s="684"/>
      <c r="OQV74" s="684"/>
      <c r="OQW74" s="684"/>
      <c r="OQX74" s="684"/>
      <c r="OQY74" s="684"/>
      <c r="OQZ74" s="684"/>
      <c r="ORA74" s="684"/>
      <c r="ORB74" s="684"/>
      <c r="ORC74" s="684"/>
      <c r="ORD74" s="684"/>
      <c r="ORE74" s="684"/>
      <c r="ORF74" s="684"/>
      <c r="ORG74" s="684"/>
      <c r="ORH74" s="684"/>
      <c r="ORI74" s="684"/>
      <c r="ORJ74" s="684"/>
      <c r="ORK74" s="684"/>
      <c r="ORL74" s="684"/>
      <c r="ORM74" s="684"/>
      <c r="ORN74" s="684"/>
      <c r="ORO74" s="684"/>
      <c r="ORP74" s="684"/>
      <c r="ORQ74" s="684"/>
      <c r="ORR74" s="684"/>
      <c r="ORS74" s="684"/>
      <c r="ORT74" s="684"/>
      <c r="ORU74" s="684"/>
      <c r="ORV74" s="684"/>
      <c r="ORW74" s="684"/>
      <c r="ORX74" s="684"/>
      <c r="ORY74" s="684"/>
      <c r="ORZ74" s="684"/>
      <c r="OSA74" s="684"/>
      <c r="OSB74" s="684"/>
      <c r="OSC74" s="684"/>
      <c r="OSD74" s="684"/>
      <c r="OSE74" s="684"/>
      <c r="OSF74" s="684"/>
      <c r="OSG74" s="684"/>
      <c r="OSH74" s="684"/>
      <c r="OSI74" s="684"/>
      <c r="OSJ74" s="684"/>
      <c r="OSK74" s="684"/>
      <c r="OSL74" s="684"/>
      <c r="OSM74" s="684"/>
      <c r="OSN74" s="684"/>
      <c r="OSO74" s="684"/>
      <c r="OSP74" s="684"/>
      <c r="OSQ74" s="684"/>
      <c r="OSR74" s="684"/>
      <c r="OSS74" s="684"/>
      <c r="OST74" s="684"/>
      <c r="OSU74" s="684"/>
      <c r="OSV74" s="684"/>
      <c r="OSW74" s="684"/>
      <c r="OSX74" s="684"/>
      <c r="OSY74" s="684"/>
      <c r="OSZ74" s="684"/>
      <c r="OTA74" s="684"/>
      <c r="OTB74" s="684"/>
      <c r="OTC74" s="684"/>
      <c r="OTD74" s="684"/>
      <c r="OTE74" s="684"/>
      <c r="OTF74" s="684"/>
      <c r="OTG74" s="684"/>
      <c r="OTH74" s="684"/>
      <c r="OTI74" s="684"/>
      <c r="OTJ74" s="684"/>
      <c r="OTK74" s="684"/>
      <c r="OTL74" s="684"/>
      <c r="OTM74" s="684"/>
      <c r="OTN74" s="684"/>
      <c r="OTO74" s="684"/>
      <c r="OTP74" s="684"/>
      <c r="OTQ74" s="684"/>
      <c r="OTR74" s="684"/>
      <c r="OTS74" s="684"/>
      <c r="OTT74" s="684"/>
      <c r="OTU74" s="684"/>
      <c r="OTV74" s="684"/>
      <c r="OTW74" s="684"/>
      <c r="OTX74" s="684"/>
      <c r="OTY74" s="684"/>
      <c r="OTZ74" s="684"/>
      <c r="OUA74" s="684"/>
      <c r="OUB74" s="684"/>
      <c r="OUC74" s="684"/>
      <c r="OUD74" s="684"/>
      <c r="OUE74" s="684"/>
      <c r="OUF74" s="684"/>
      <c r="OUG74" s="684"/>
      <c r="OUH74" s="684"/>
      <c r="OUI74" s="684"/>
      <c r="OUJ74" s="684"/>
      <c r="OUK74" s="684"/>
      <c r="OUL74" s="684"/>
      <c r="OUM74" s="684"/>
      <c r="OUN74" s="684"/>
      <c r="OUO74" s="684"/>
      <c r="OUP74" s="684"/>
      <c r="OUQ74" s="684"/>
      <c r="OUR74" s="684"/>
      <c r="OUS74" s="684"/>
      <c r="OUT74" s="684"/>
      <c r="OUU74" s="684"/>
      <c r="OUV74" s="684"/>
      <c r="OUW74" s="684"/>
      <c r="OUX74" s="684"/>
      <c r="OUY74" s="684"/>
      <c r="OUZ74" s="684"/>
      <c r="OVA74" s="684"/>
      <c r="OVB74" s="684"/>
      <c r="OVC74" s="684"/>
      <c r="OVD74" s="684"/>
      <c r="OVE74" s="684"/>
      <c r="OVF74" s="684"/>
      <c r="OVG74" s="684"/>
      <c r="OVH74" s="684"/>
      <c r="OVI74" s="684"/>
      <c r="OVJ74" s="684"/>
      <c r="OVK74" s="684"/>
      <c r="OVL74" s="684"/>
      <c r="OVM74" s="684"/>
      <c r="OVN74" s="684"/>
      <c r="OVO74" s="684"/>
      <c r="OVP74" s="684"/>
      <c r="OVQ74" s="684"/>
      <c r="OVR74" s="684"/>
      <c r="OVS74" s="684"/>
      <c r="OVT74" s="684"/>
      <c r="OVU74" s="684"/>
      <c r="OVV74" s="684"/>
      <c r="OVW74" s="684"/>
      <c r="OVX74" s="684"/>
      <c r="OVY74" s="684"/>
      <c r="OVZ74" s="684"/>
      <c r="OWA74" s="684"/>
      <c r="OWB74" s="684"/>
      <c r="OWC74" s="684"/>
      <c r="OWD74" s="684"/>
      <c r="OWE74" s="684"/>
      <c r="OWF74" s="684"/>
      <c r="OWG74" s="684"/>
      <c r="OWH74" s="684"/>
      <c r="OWI74" s="684"/>
      <c r="OWJ74" s="684"/>
      <c r="OWK74" s="684"/>
      <c r="OWL74" s="684"/>
      <c r="OWM74" s="684"/>
      <c r="OWN74" s="684"/>
      <c r="OWO74" s="684"/>
      <c r="OWP74" s="684"/>
      <c r="OWQ74" s="684"/>
      <c r="OWR74" s="684"/>
      <c r="OWS74" s="684"/>
      <c r="OWT74" s="684"/>
      <c r="OWU74" s="684"/>
      <c r="OWV74" s="684"/>
      <c r="OWW74" s="684"/>
      <c r="OWX74" s="684"/>
      <c r="OWY74" s="684"/>
      <c r="OWZ74" s="684"/>
      <c r="OXA74" s="684"/>
      <c r="OXB74" s="684"/>
      <c r="OXC74" s="684"/>
      <c r="OXD74" s="684"/>
      <c r="OXE74" s="684"/>
      <c r="OXF74" s="684"/>
      <c r="OXG74" s="684"/>
      <c r="OXH74" s="684"/>
      <c r="OXI74" s="684"/>
      <c r="OXJ74" s="684"/>
      <c r="OXK74" s="684"/>
      <c r="OXL74" s="684"/>
      <c r="OXM74" s="684"/>
      <c r="OXN74" s="684"/>
      <c r="OXO74" s="684"/>
      <c r="OXP74" s="684"/>
      <c r="OXQ74" s="684"/>
      <c r="OXR74" s="684"/>
      <c r="OXS74" s="684"/>
      <c r="OXT74" s="684"/>
      <c r="OXU74" s="684"/>
      <c r="OXV74" s="684"/>
      <c r="OXW74" s="684"/>
      <c r="OXX74" s="684"/>
      <c r="OXY74" s="684"/>
      <c r="OXZ74" s="684"/>
      <c r="OYA74" s="684"/>
      <c r="OYB74" s="684"/>
      <c r="OYC74" s="684"/>
      <c r="OYD74" s="684"/>
      <c r="OYE74" s="684"/>
      <c r="OYF74" s="684"/>
      <c r="OYG74" s="684"/>
      <c r="OYH74" s="684"/>
      <c r="OYI74" s="684"/>
      <c r="OYJ74" s="684"/>
      <c r="OYK74" s="684"/>
      <c r="OYL74" s="684"/>
      <c r="OYM74" s="684"/>
      <c r="OYN74" s="684"/>
      <c r="OYO74" s="684"/>
      <c r="OYP74" s="684"/>
      <c r="OYQ74" s="684"/>
      <c r="OYR74" s="684"/>
      <c r="OYS74" s="684"/>
      <c r="OYT74" s="684"/>
      <c r="OYU74" s="684"/>
      <c r="OYV74" s="684"/>
      <c r="OYW74" s="684"/>
      <c r="OYX74" s="684"/>
      <c r="OYY74" s="684"/>
      <c r="OYZ74" s="684"/>
      <c r="OZA74" s="684"/>
      <c r="OZB74" s="684"/>
      <c r="OZC74" s="684"/>
      <c r="OZD74" s="684"/>
      <c r="OZE74" s="684"/>
      <c r="OZF74" s="684"/>
      <c r="OZG74" s="684"/>
      <c r="OZH74" s="684"/>
      <c r="OZI74" s="684"/>
      <c r="OZJ74" s="684"/>
      <c r="OZK74" s="684"/>
      <c r="OZL74" s="684"/>
      <c r="OZM74" s="684"/>
      <c r="OZN74" s="684"/>
      <c r="OZO74" s="684"/>
      <c r="OZP74" s="684"/>
      <c r="OZQ74" s="684"/>
      <c r="OZR74" s="684"/>
      <c r="OZS74" s="684"/>
      <c r="OZT74" s="684"/>
      <c r="OZU74" s="684"/>
      <c r="OZV74" s="684"/>
      <c r="OZW74" s="684"/>
      <c r="OZX74" s="684"/>
      <c r="OZY74" s="684"/>
      <c r="OZZ74" s="684"/>
      <c r="PAA74" s="684"/>
      <c r="PAB74" s="684"/>
      <c r="PAC74" s="684"/>
      <c r="PAD74" s="684"/>
      <c r="PAE74" s="684"/>
      <c r="PAF74" s="684"/>
      <c r="PAG74" s="684"/>
      <c r="PAH74" s="684"/>
      <c r="PAI74" s="684"/>
      <c r="PAJ74" s="684"/>
      <c r="PAK74" s="684"/>
      <c r="PAL74" s="684"/>
      <c r="PAM74" s="684"/>
      <c r="PAN74" s="684"/>
      <c r="PAO74" s="684"/>
      <c r="PAP74" s="684"/>
      <c r="PAQ74" s="684"/>
      <c r="PAR74" s="684"/>
      <c r="PAS74" s="684"/>
      <c r="PAT74" s="684"/>
      <c r="PAU74" s="684"/>
      <c r="PAV74" s="684"/>
      <c r="PAW74" s="684"/>
      <c r="PAX74" s="684"/>
      <c r="PAY74" s="684"/>
      <c r="PAZ74" s="684"/>
      <c r="PBA74" s="684"/>
      <c r="PBB74" s="684"/>
      <c r="PBC74" s="684"/>
      <c r="PBD74" s="684"/>
      <c r="PBE74" s="684"/>
      <c r="PBF74" s="684"/>
      <c r="PBG74" s="684"/>
      <c r="PBH74" s="684"/>
      <c r="PBI74" s="684"/>
      <c r="PBJ74" s="684"/>
      <c r="PBK74" s="684"/>
      <c r="PBL74" s="684"/>
      <c r="PBM74" s="684"/>
      <c r="PBN74" s="684"/>
      <c r="PBO74" s="684"/>
      <c r="PBP74" s="684"/>
      <c r="PBQ74" s="684"/>
      <c r="PBR74" s="684"/>
      <c r="PBS74" s="684"/>
      <c r="PBT74" s="684"/>
      <c r="PBU74" s="684"/>
      <c r="PBV74" s="684"/>
      <c r="PBW74" s="684"/>
      <c r="PBX74" s="684"/>
      <c r="PBY74" s="684"/>
      <c r="PBZ74" s="684"/>
      <c r="PCA74" s="684"/>
      <c r="PCB74" s="684"/>
      <c r="PCC74" s="684"/>
      <c r="PCD74" s="684"/>
      <c r="PCE74" s="684"/>
      <c r="PCF74" s="684"/>
      <c r="PCG74" s="684"/>
      <c r="PCH74" s="684"/>
      <c r="PCI74" s="684"/>
      <c r="PCJ74" s="684"/>
      <c r="PCK74" s="684"/>
      <c r="PCL74" s="684"/>
      <c r="PCM74" s="684"/>
      <c r="PCN74" s="684"/>
      <c r="PCO74" s="684"/>
      <c r="PCP74" s="684"/>
      <c r="PCQ74" s="684"/>
      <c r="PCR74" s="684"/>
      <c r="PCS74" s="684"/>
      <c r="PCT74" s="684"/>
      <c r="PCU74" s="684"/>
      <c r="PCV74" s="684"/>
      <c r="PCW74" s="684"/>
      <c r="PCX74" s="684"/>
      <c r="PCY74" s="684"/>
      <c r="PCZ74" s="684"/>
      <c r="PDA74" s="684"/>
      <c r="PDB74" s="684"/>
      <c r="PDC74" s="684"/>
      <c r="PDD74" s="684"/>
      <c r="PDE74" s="684"/>
      <c r="PDF74" s="684"/>
      <c r="PDG74" s="684"/>
      <c r="PDH74" s="684"/>
      <c r="PDI74" s="684"/>
      <c r="PDJ74" s="684"/>
      <c r="PDK74" s="684"/>
      <c r="PDL74" s="684"/>
      <c r="PDM74" s="684"/>
      <c r="PDN74" s="684"/>
      <c r="PDO74" s="684"/>
      <c r="PDP74" s="684"/>
      <c r="PDQ74" s="684"/>
      <c r="PDR74" s="684"/>
      <c r="PDS74" s="684"/>
      <c r="PDT74" s="684"/>
      <c r="PDU74" s="684"/>
      <c r="PDV74" s="684"/>
      <c r="PDW74" s="684"/>
      <c r="PDX74" s="684"/>
      <c r="PDY74" s="684"/>
      <c r="PDZ74" s="684"/>
      <c r="PEA74" s="684"/>
      <c r="PEB74" s="684"/>
      <c r="PEC74" s="684"/>
      <c r="PED74" s="684"/>
      <c r="PEE74" s="684"/>
      <c r="PEF74" s="684"/>
      <c r="PEG74" s="684"/>
      <c r="PEH74" s="684"/>
      <c r="PEI74" s="684"/>
      <c r="PEJ74" s="684"/>
      <c r="PEK74" s="684"/>
      <c r="PEL74" s="684"/>
      <c r="PEM74" s="684"/>
      <c r="PEN74" s="684"/>
      <c r="PEO74" s="684"/>
      <c r="PEP74" s="684"/>
      <c r="PEQ74" s="684"/>
      <c r="PER74" s="684"/>
      <c r="PES74" s="684"/>
      <c r="PET74" s="684"/>
      <c r="PEU74" s="684"/>
      <c r="PEV74" s="684"/>
      <c r="PEW74" s="684"/>
      <c r="PEX74" s="684"/>
      <c r="PEY74" s="684"/>
      <c r="PEZ74" s="684"/>
      <c r="PFA74" s="684"/>
      <c r="PFB74" s="684"/>
      <c r="PFC74" s="684"/>
      <c r="PFD74" s="684"/>
      <c r="PFE74" s="684"/>
      <c r="PFF74" s="684"/>
      <c r="PFG74" s="684"/>
      <c r="PFH74" s="684"/>
      <c r="PFI74" s="684"/>
      <c r="PFJ74" s="684"/>
      <c r="PFK74" s="684"/>
      <c r="PFL74" s="684"/>
      <c r="PFM74" s="684"/>
      <c r="PFN74" s="684"/>
      <c r="PFO74" s="684"/>
      <c r="PFP74" s="684"/>
      <c r="PFQ74" s="684"/>
      <c r="PFR74" s="684"/>
      <c r="PFS74" s="684"/>
      <c r="PFT74" s="684"/>
      <c r="PFU74" s="684"/>
      <c r="PFV74" s="684"/>
      <c r="PFW74" s="684"/>
      <c r="PFX74" s="684"/>
      <c r="PFY74" s="684"/>
      <c r="PFZ74" s="684"/>
      <c r="PGA74" s="684"/>
      <c r="PGB74" s="684"/>
      <c r="PGC74" s="684"/>
      <c r="PGD74" s="684"/>
      <c r="PGE74" s="684"/>
      <c r="PGF74" s="684"/>
      <c r="PGG74" s="684"/>
      <c r="PGH74" s="684"/>
      <c r="PGI74" s="684"/>
      <c r="PGJ74" s="684"/>
      <c r="PGK74" s="684"/>
      <c r="PGL74" s="684"/>
      <c r="PGM74" s="684"/>
      <c r="PGN74" s="684"/>
      <c r="PGO74" s="684"/>
      <c r="PGP74" s="684"/>
      <c r="PGQ74" s="684"/>
      <c r="PGR74" s="684"/>
      <c r="PGS74" s="684"/>
      <c r="PGT74" s="684"/>
      <c r="PGU74" s="684"/>
      <c r="PGV74" s="684"/>
      <c r="PGW74" s="684"/>
      <c r="PGX74" s="684"/>
      <c r="PGY74" s="684"/>
      <c r="PGZ74" s="684"/>
      <c r="PHA74" s="684"/>
      <c r="PHB74" s="684"/>
      <c r="PHC74" s="684"/>
      <c r="PHD74" s="684"/>
      <c r="PHE74" s="684"/>
      <c r="PHF74" s="684"/>
      <c r="PHG74" s="684"/>
      <c r="PHH74" s="684"/>
      <c r="PHI74" s="684"/>
      <c r="PHJ74" s="684"/>
      <c r="PHK74" s="684"/>
      <c r="PHL74" s="684"/>
      <c r="PHM74" s="684"/>
      <c r="PHN74" s="684"/>
      <c r="PHO74" s="684"/>
      <c r="PHP74" s="684"/>
      <c r="PHQ74" s="684"/>
      <c r="PHR74" s="684"/>
      <c r="PHS74" s="684"/>
      <c r="PHT74" s="684"/>
      <c r="PHU74" s="684"/>
      <c r="PHV74" s="684"/>
      <c r="PHW74" s="684"/>
      <c r="PHX74" s="684"/>
      <c r="PHY74" s="684"/>
      <c r="PHZ74" s="684"/>
      <c r="PIA74" s="684"/>
      <c r="PIB74" s="684"/>
      <c r="PIC74" s="684"/>
      <c r="PID74" s="684"/>
      <c r="PIE74" s="684"/>
      <c r="PIF74" s="684"/>
      <c r="PIG74" s="684"/>
      <c r="PIH74" s="684"/>
      <c r="PII74" s="684"/>
      <c r="PIJ74" s="684"/>
      <c r="PIK74" s="684"/>
      <c r="PIL74" s="684"/>
      <c r="PIM74" s="684"/>
      <c r="PIN74" s="684"/>
      <c r="PIO74" s="684"/>
      <c r="PIP74" s="684"/>
      <c r="PIQ74" s="684"/>
      <c r="PIR74" s="684"/>
      <c r="PIS74" s="684"/>
      <c r="PIT74" s="684"/>
      <c r="PIU74" s="684"/>
      <c r="PIV74" s="684"/>
      <c r="PIW74" s="684"/>
      <c r="PIX74" s="684"/>
      <c r="PIY74" s="684"/>
      <c r="PIZ74" s="684"/>
      <c r="PJA74" s="684"/>
      <c r="PJB74" s="684"/>
      <c r="PJC74" s="684"/>
      <c r="PJD74" s="684"/>
      <c r="PJE74" s="684"/>
      <c r="PJF74" s="684"/>
      <c r="PJG74" s="684"/>
      <c r="PJH74" s="684"/>
      <c r="PJI74" s="684"/>
      <c r="PJJ74" s="684"/>
      <c r="PJK74" s="684"/>
      <c r="PJL74" s="684"/>
      <c r="PJM74" s="684"/>
      <c r="PJN74" s="684"/>
      <c r="PJO74" s="684"/>
      <c r="PJP74" s="684"/>
      <c r="PJQ74" s="684"/>
      <c r="PJR74" s="684"/>
      <c r="PJS74" s="684"/>
      <c r="PJT74" s="684"/>
      <c r="PJU74" s="684"/>
      <c r="PJV74" s="684"/>
      <c r="PJW74" s="684"/>
      <c r="PJX74" s="684"/>
      <c r="PJY74" s="684"/>
      <c r="PJZ74" s="684"/>
      <c r="PKA74" s="684"/>
      <c r="PKB74" s="684"/>
      <c r="PKC74" s="684"/>
      <c r="PKD74" s="684"/>
      <c r="PKE74" s="684"/>
      <c r="PKF74" s="684"/>
      <c r="PKG74" s="684"/>
      <c r="PKH74" s="684"/>
      <c r="PKI74" s="684"/>
      <c r="PKJ74" s="684"/>
      <c r="PKK74" s="684"/>
      <c r="PKL74" s="684"/>
      <c r="PKM74" s="684"/>
      <c r="PKN74" s="684"/>
      <c r="PKO74" s="684"/>
      <c r="PKP74" s="684"/>
      <c r="PKQ74" s="684"/>
      <c r="PKR74" s="684"/>
      <c r="PKS74" s="684"/>
      <c r="PKT74" s="684"/>
      <c r="PKU74" s="684"/>
      <c r="PKV74" s="684"/>
      <c r="PKW74" s="684"/>
      <c r="PKX74" s="684"/>
      <c r="PKY74" s="684"/>
      <c r="PKZ74" s="684"/>
      <c r="PLA74" s="684"/>
      <c r="PLB74" s="684"/>
      <c r="PLC74" s="684"/>
      <c r="PLD74" s="684"/>
      <c r="PLE74" s="684"/>
      <c r="PLF74" s="684"/>
      <c r="PLG74" s="684"/>
      <c r="PLH74" s="684"/>
      <c r="PLI74" s="684"/>
      <c r="PLJ74" s="684"/>
      <c r="PLK74" s="684"/>
      <c r="PLL74" s="684"/>
      <c r="PLM74" s="684"/>
      <c r="PLN74" s="684"/>
      <c r="PLO74" s="684"/>
      <c r="PLP74" s="684"/>
      <c r="PLQ74" s="684"/>
      <c r="PLR74" s="684"/>
      <c r="PLS74" s="684"/>
      <c r="PLT74" s="684"/>
      <c r="PLU74" s="684"/>
      <c r="PLV74" s="684"/>
      <c r="PLW74" s="684"/>
      <c r="PLX74" s="684"/>
      <c r="PLY74" s="684"/>
      <c r="PLZ74" s="684"/>
      <c r="PMA74" s="684"/>
      <c r="PMB74" s="684"/>
      <c r="PMC74" s="684"/>
      <c r="PMD74" s="684"/>
      <c r="PME74" s="684"/>
      <c r="PMF74" s="684"/>
      <c r="PMG74" s="684"/>
      <c r="PMH74" s="684"/>
      <c r="PMI74" s="684"/>
      <c r="PMJ74" s="684"/>
      <c r="PMK74" s="684"/>
      <c r="PML74" s="684"/>
      <c r="PMM74" s="684"/>
      <c r="PMN74" s="684"/>
      <c r="PMO74" s="684"/>
      <c r="PMP74" s="684"/>
      <c r="PMQ74" s="684"/>
      <c r="PMR74" s="684"/>
      <c r="PMS74" s="684"/>
      <c r="PMT74" s="684"/>
      <c r="PMU74" s="684"/>
      <c r="PMV74" s="684"/>
      <c r="PMW74" s="684"/>
      <c r="PMX74" s="684"/>
      <c r="PMY74" s="684"/>
      <c r="PMZ74" s="684"/>
      <c r="PNA74" s="684"/>
      <c r="PNB74" s="684"/>
      <c r="PNC74" s="684"/>
      <c r="PND74" s="684"/>
      <c r="PNE74" s="684"/>
      <c r="PNF74" s="684"/>
      <c r="PNG74" s="684"/>
      <c r="PNH74" s="684"/>
      <c r="PNI74" s="684"/>
      <c r="PNJ74" s="684"/>
      <c r="PNK74" s="684"/>
      <c r="PNL74" s="684"/>
      <c r="PNM74" s="684"/>
      <c r="PNN74" s="684"/>
      <c r="PNO74" s="684"/>
      <c r="PNP74" s="684"/>
      <c r="PNQ74" s="684"/>
      <c r="PNR74" s="684"/>
      <c r="PNS74" s="684"/>
      <c r="PNT74" s="684"/>
      <c r="PNU74" s="684"/>
      <c r="PNV74" s="684"/>
      <c r="PNW74" s="684"/>
      <c r="PNX74" s="684"/>
      <c r="PNY74" s="684"/>
      <c r="PNZ74" s="684"/>
      <c r="POA74" s="684"/>
      <c r="POB74" s="684"/>
      <c r="POC74" s="684"/>
      <c r="POD74" s="684"/>
      <c r="POE74" s="684"/>
      <c r="POF74" s="684"/>
      <c r="POG74" s="684"/>
      <c r="POH74" s="684"/>
      <c r="POI74" s="684"/>
      <c r="POJ74" s="684"/>
      <c r="POK74" s="684"/>
      <c r="POL74" s="684"/>
      <c r="POM74" s="684"/>
      <c r="PON74" s="684"/>
      <c r="POO74" s="684"/>
      <c r="POP74" s="684"/>
      <c r="POQ74" s="684"/>
      <c r="POR74" s="684"/>
      <c r="POS74" s="684"/>
      <c r="POT74" s="684"/>
      <c r="POU74" s="684"/>
      <c r="POV74" s="684"/>
      <c r="POW74" s="684"/>
      <c r="POX74" s="684"/>
      <c r="POY74" s="684"/>
      <c r="POZ74" s="684"/>
      <c r="PPA74" s="684"/>
      <c r="PPB74" s="684"/>
      <c r="PPC74" s="684"/>
      <c r="PPD74" s="684"/>
      <c r="PPE74" s="684"/>
      <c r="PPF74" s="684"/>
      <c r="PPG74" s="684"/>
      <c r="PPH74" s="684"/>
      <c r="PPI74" s="684"/>
      <c r="PPJ74" s="684"/>
      <c r="PPK74" s="684"/>
      <c r="PPL74" s="684"/>
      <c r="PPM74" s="684"/>
      <c r="PPN74" s="684"/>
      <c r="PPO74" s="684"/>
      <c r="PPP74" s="684"/>
      <c r="PPQ74" s="684"/>
      <c r="PPR74" s="684"/>
      <c r="PPS74" s="684"/>
      <c r="PPT74" s="684"/>
      <c r="PPU74" s="684"/>
      <c r="PPV74" s="684"/>
      <c r="PPW74" s="684"/>
      <c r="PPX74" s="684"/>
      <c r="PPY74" s="684"/>
      <c r="PPZ74" s="684"/>
      <c r="PQA74" s="684"/>
      <c r="PQB74" s="684"/>
      <c r="PQC74" s="684"/>
      <c r="PQD74" s="684"/>
      <c r="PQE74" s="684"/>
      <c r="PQF74" s="684"/>
      <c r="PQG74" s="684"/>
      <c r="PQH74" s="684"/>
      <c r="PQI74" s="684"/>
      <c r="PQJ74" s="684"/>
      <c r="PQK74" s="684"/>
      <c r="PQL74" s="684"/>
      <c r="PQM74" s="684"/>
      <c r="PQN74" s="684"/>
      <c r="PQO74" s="684"/>
      <c r="PQP74" s="684"/>
      <c r="PQQ74" s="684"/>
      <c r="PQR74" s="684"/>
      <c r="PQS74" s="684"/>
      <c r="PQT74" s="684"/>
      <c r="PQU74" s="684"/>
      <c r="PQV74" s="684"/>
      <c r="PQW74" s="684"/>
      <c r="PQX74" s="684"/>
      <c r="PQY74" s="684"/>
      <c r="PQZ74" s="684"/>
      <c r="PRA74" s="684"/>
      <c r="PRB74" s="684"/>
      <c r="PRC74" s="684"/>
      <c r="PRD74" s="684"/>
      <c r="PRE74" s="684"/>
      <c r="PRF74" s="684"/>
      <c r="PRG74" s="684"/>
      <c r="PRH74" s="684"/>
      <c r="PRI74" s="684"/>
      <c r="PRJ74" s="684"/>
      <c r="PRK74" s="684"/>
      <c r="PRL74" s="684"/>
      <c r="PRM74" s="684"/>
      <c r="PRN74" s="684"/>
      <c r="PRO74" s="684"/>
      <c r="PRP74" s="684"/>
      <c r="PRQ74" s="684"/>
      <c r="PRR74" s="684"/>
      <c r="PRS74" s="684"/>
      <c r="PRT74" s="684"/>
      <c r="PRU74" s="684"/>
      <c r="PRV74" s="684"/>
      <c r="PRW74" s="684"/>
      <c r="PRX74" s="684"/>
      <c r="PRY74" s="684"/>
      <c r="PRZ74" s="684"/>
      <c r="PSA74" s="684"/>
      <c r="PSB74" s="684"/>
      <c r="PSC74" s="684"/>
      <c r="PSD74" s="684"/>
      <c r="PSE74" s="684"/>
      <c r="PSF74" s="684"/>
      <c r="PSG74" s="684"/>
      <c r="PSH74" s="684"/>
      <c r="PSI74" s="684"/>
      <c r="PSJ74" s="684"/>
      <c r="PSK74" s="684"/>
      <c r="PSL74" s="684"/>
      <c r="PSM74" s="684"/>
      <c r="PSN74" s="684"/>
      <c r="PSO74" s="684"/>
      <c r="PSP74" s="684"/>
      <c r="PSQ74" s="684"/>
      <c r="PSR74" s="684"/>
      <c r="PSS74" s="684"/>
      <c r="PST74" s="684"/>
      <c r="PSU74" s="684"/>
      <c r="PSV74" s="684"/>
      <c r="PSW74" s="684"/>
      <c r="PSX74" s="684"/>
      <c r="PSY74" s="684"/>
      <c r="PSZ74" s="684"/>
      <c r="PTA74" s="684"/>
      <c r="PTB74" s="684"/>
      <c r="PTC74" s="684"/>
      <c r="PTD74" s="684"/>
      <c r="PTE74" s="684"/>
      <c r="PTF74" s="684"/>
      <c r="PTG74" s="684"/>
      <c r="PTH74" s="684"/>
      <c r="PTI74" s="684"/>
      <c r="PTJ74" s="684"/>
      <c r="PTK74" s="684"/>
      <c r="PTL74" s="684"/>
      <c r="PTM74" s="684"/>
      <c r="PTN74" s="684"/>
      <c r="PTO74" s="684"/>
      <c r="PTP74" s="684"/>
      <c r="PTQ74" s="684"/>
      <c r="PTR74" s="684"/>
      <c r="PTS74" s="684"/>
      <c r="PTT74" s="684"/>
      <c r="PTU74" s="684"/>
      <c r="PTV74" s="684"/>
      <c r="PTW74" s="684"/>
      <c r="PTX74" s="684"/>
      <c r="PTY74" s="684"/>
      <c r="PTZ74" s="684"/>
      <c r="PUA74" s="684"/>
      <c r="PUB74" s="684"/>
      <c r="PUC74" s="684"/>
      <c r="PUD74" s="684"/>
      <c r="PUE74" s="684"/>
      <c r="PUF74" s="684"/>
      <c r="PUG74" s="684"/>
      <c r="PUH74" s="684"/>
      <c r="PUI74" s="684"/>
      <c r="PUJ74" s="684"/>
      <c r="PUK74" s="684"/>
      <c r="PUL74" s="684"/>
      <c r="PUM74" s="684"/>
      <c r="PUN74" s="684"/>
      <c r="PUO74" s="684"/>
      <c r="PUP74" s="684"/>
      <c r="PUQ74" s="684"/>
      <c r="PUR74" s="684"/>
      <c r="PUS74" s="684"/>
      <c r="PUT74" s="684"/>
      <c r="PUU74" s="684"/>
      <c r="PUV74" s="684"/>
      <c r="PUW74" s="684"/>
      <c r="PUX74" s="684"/>
      <c r="PUY74" s="684"/>
      <c r="PUZ74" s="684"/>
      <c r="PVA74" s="684"/>
      <c r="PVB74" s="684"/>
      <c r="PVC74" s="684"/>
      <c r="PVD74" s="684"/>
      <c r="PVE74" s="684"/>
      <c r="PVF74" s="684"/>
      <c r="PVG74" s="684"/>
      <c r="PVH74" s="684"/>
      <c r="PVI74" s="684"/>
      <c r="PVJ74" s="684"/>
      <c r="PVK74" s="684"/>
      <c r="PVL74" s="684"/>
      <c r="PVM74" s="684"/>
      <c r="PVN74" s="684"/>
      <c r="PVO74" s="684"/>
      <c r="PVP74" s="684"/>
      <c r="PVQ74" s="684"/>
      <c r="PVR74" s="684"/>
      <c r="PVS74" s="684"/>
      <c r="PVT74" s="684"/>
      <c r="PVU74" s="684"/>
      <c r="PVV74" s="684"/>
      <c r="PVW74" s="684"/>
      <c r="PVX74" s="684"/>
      <c r="PVY74" s="684"/>
      <c r="PVZ74" s="684"/>
      <c r="PWA74" s="684"/>
      <c r="PWB74" s="684"/>
      <c r="PWC74" s="684"/>
      <c r="PWD74" s="684"/>
      <c r="PWE74" s="684"/>
      <c r="PWF74" s="684"/>
      <c r="PWG74" s="684"/>
      <c r="PWH74" s="684"/>
      <c r="PWI74" s="684"/>
      <c r="PWJ74" s="684"/>
      <c r="PWK74" s="684"/>
      <c r="PWL74" s="684"/>
      <c r="PWM74" s="684"/>
      <c r="PWN74" s="684"/>
      <c r="PWO74" s="684"/>
      <c r="PWP74" s="684"/>
      <c r="PWQ74" s="684"/>
      <c r="PWR74" s="684"/>
      <c r="PWS74" s="684"/>
      <c r="PWT74" s="684"/>
      <c r="PWU74" s="684"/>
      <c r="PWV74" s="684"/>
      <c r="PWW74" s="684"/>
      <c r="PWX74" s="684"/>
      <c r="PWY74" s="684"/>
      <c r="PWZ74" s="684"/>
      <c r="PXA74" s="684"/>
      <c r="PXB74" s="684"/>
      <c r="PXC74" s="684"/>
      <c r="PXD74" s="684"/>
      <c r="PXE74" s="684"/>
      <c r="PXF74" s="684"/>
      <c r="PXG74" s="684"/>
      <c r="PXH74" s="684"/>
      <c r="PXI74" s="684"/>
      <c r="PXJ74" s="684"/>
      <c r="PXK74" s="684"/>
      <c r="PXL74" s="684"/>
      <c r="PXM74" s="684"/>
      <c r="PXN74" s="684"/>
      <c r="PXO74" s="684"/>
      <c r="PXP74" s="684"/>
      <c r="PXQ74" s="684"/>
      <c r="PXR74" s="684"/>
      <c r="PXS74" s="684"/>
      <c r="PXT74" s="684"/>
      <c r="PXU74" s="684"/>
      <c r="PXV74" s="684"/>
      <c r="PXW74" s="684"/>
      <c r="PXX74" s="684"/>
      <c r="PXY74" s="684"/>
      <c r="PXZ74" s="684"/>
      <c r="PYA74" s="684"/>
      <c r="PYB74" s="684"/>
      <c r="PYC74" s="684"/>
      <c r="PYD74" s="684"/>
      <c r="PYE74" s="684"/>
      <c r="PYF74" s="684"/>
      <c r="PYG74" s="684"/>
      <c r="PYH74" s="684"/>
      <c r="PYI74" s="684"/>
      <c r="PYJ74" s="684"/>
      <c r="PYK74" s="684"/>
      <c r="PYL74" s="684"/>
      <c r="PYM74" s="684"/>
      <c r="PYN74" s="684"/>
      <c r="PYO74" s="684"/>
      <c r="PYP74" s="684"/>
      <c r="PYQ74" s="684"/>
      <c r="PYR74" s="684"/>
      <c r="PYS74" s="684"/>
      <c r="PYT74" s="684"/>
      <c r="PYU74" s="684"/>
      <c r="PYV74" s="684"/>
      <c r="PYW74" s="684"/>
      <c r="PYX74" s="684"/>
      <c r="PYY74" s="684"/>
      <c r="PYZ74" s="684"/>
      <c r="PZA74" s="684"/>
      <c r="PZB74" s="684"/>
      <c r="PZC74" s="684"/>
      <c r="PZD74" s="684"/>
      <c r="PZE74" s="684"/>
      <c r="PZF74" s="684"/>
      <c r="PZG74" s="684"/>
      <c r="PZH74" s="684"/>
      <c r="PZI74" s="684"/>
      <c r="PZJ74" s="684"/>
      <c r="PZK74" s="684"/>
      <c r="PZL74" s="684"/>
      <c r="PZM74" s="684"/>
      <c r="PZN74" s="684"/>
      <c r="PZO74" s="684"/>
      <c r="PZP74" s="684"/>
      <c r="PZQ74" s="684"/>
      <c r="PZR74" s="684"/>
      <c r="PZS74" s="684"/>
      <c r="PZT74" s="684"/>
      <c r="PZU74" s="684"/>
      <c r="PZV74" s="684"/>
      <c r="PZW74" s="684"/>
      <c r="PZX74" s="684"/>
      <c r="PZY74" s="684"/>
      <c r="PZZ74" s="684"/>
      <c r="QAA74" s="684"/>
      <c r="QAB74" s="684"/>
      <c r="QAC74" s="684"/>
      <c r="QAD74" s="684"/>
      <c r="QAE74" s="684"/>
      <c r="QAF74" s="684"/>
      <c r="QAG74" s="684"/>
      <c r="QAH74" s="684"/>
      <c r="QAI74" s="684"/>
      <c r="QAJ74" s="684"/>
      <c r="QAK74" s="684"/>
      <c r="QAL74" s="684"/>
      <c r="QAM74" s="684"/>
      <c r="QAN74" s="684"/>
      <c r="QAO74" s="684"/>
      <c r="QAP74" s="684"/>
      <c r="QAQ74" s="684"/>
      <c r="QAR74" s="684"/>
      <c r="QAS74" s="684"/>
      <c r="QAT74" s="684"/>
      <c r="QAU74" s="684"/>
      <c r="QAV74" s="684"/>
      <c r="QAW74" s="684"/>
      <c r="QAX74" s="684"/>
      <c r="QAY74" s="684"/>
      <c r="QAZ74" s="684"/>
      <c r="QBA74" s="684"/>
      <c r="QBB74" s="684"/>
      <c r="QBC74" s="684"/>
      <c r="QBD74" s="684"/>
      <c r="QBE74" s="684"/>
      <c r="QBF74" s="684"/>
      <c r="QBG74" s="684"/>
      <c r="QBH74" s="684"/>
      <c r="QBI74" s="684"/>
      <c r="QBJ74" s="684"/>
      <c r="QBK74" s="684"/>
      <c r="QBL74" s="684"/>
      <c r="QBM74" s="684"/>
      <c r="QBN74" s="684"/>
      <c r="QBO74" s="684"/>
      <c r="QBP74" s="684"/>
      <c r="QBQ74" s="684"/>
      <c r="QBR74" s="684"/>
      <c r="QBS74" s="684"/>
      <c r="QBT74" s="684"/>
      <c r="QBU74" s="684"/>
      <c r="QBV74" s="684"/>
      <c r="QBW74" s="684"/>
      <c r="QBX74" s="684"/>
      <c r="QBY74" s="684"/>
      <c r="QBZ74" s="684"/>
      <c r="QCA74" s="684"/>
      <c r="QCB74" s="684"/>
      <c r="QCC74" s="684"/>
      <c r="QCD74" s="684"/>
      <c r="QCE74" s="684"/>
      <c r="QCF74" s="684"/>
      <c r="QCG74" s="684"/>
      <c r="QCH74" s="684"/>
      <c r="QCI74" s="684"/>
      <c r="QCJ74" s="684"/>
      <c r="QCK74" s="684"/>
      <c r="QCL74" s="684"/>
      <c r="QCM74" s="684"/>
      <c r="QCN74" s="684"/>
      <c r="QCO74" s="684"/>
      <c r="QCP74" s="684"/>
      <c r="QCQ74" s="684"/>
      <c r="QCR74" s="684"/>
      <c r="QCS74" s="684"/>
      <c r="QCT74" s="684"/>
      <c r="QCU74" s="684"/>
      <c r="QCV74" s="684"/>
      <c r="QCW74" s="684"/>
      <c r="QCX74" s="684"/>
      <c r="QCY74" s="684"/>
      <c r="QCZ74" s="684"/>
      <c r="QDA74" s="684"/>
      <c r="QDB74" s="684"/>
      <c r="QDC74" s="684"/>
      <c r="QDD74" s="684"/>
      <c r="QDE74" s="684"/>
      <c r="QDF74" s="684"/>
      <c r="QDG74" s="684"/>
      <c r="QDH74" s="684"/>
      <c r="QDI74" s="684"/>
      <c r="QDJ74" s="684"/>
      <c r="QDK74" s="684"/>
      <c r="QDL74" s="684"/>
      <c r="QDM74" s="684"/>
      <c r="QDN74" s="684"/>
      <c r="QDO74" s="684"/>
      <c r="QDP74" s="684"/>
      <c r="QDQ74" s="684"/>
      <c r="QDR74" s="684"/>
      <c r="QDS74" s="684"/>
      <c r="QDT74" s="684"/>
      <c r="QDU74" s="684"/>
      <c r="QDV74" s="684"/>
      <c r="QDW74" s="684"/>
      <c r="QDX74" s="684"/>
      <c r="QDY74" s="684"/>
      <c r="QDZ74" s="684"/>
      <c r="QEA74" s="684"/>
      <c r="QEB74" s="684"/>
      <c r="QEC74" s="684"/>
      <c r="QED74" s="684"/>
      <c r="QEE74" s="684"/>
      <c r="QEF74" s="684"/>
      <c r="QEG74" s="684"/>
      <c r="QEH74" s="684"/>
      <c r="QEI74" s="684"/>
      <c r="QEJ74" s="684"/>
      <c r="QEK74" s="684"/>
      <c r="QEL74" s="684"/>
      <c r="QEM74" s="684"/>
      <c r="QEN74" s="684"/>
      <c r="QEO74" s="684"/>
      <c r="QEP74" s="684"/>
      <c r="QEQ74" s="684"/>
      <c r="QER74" s="684"/>
      <c r="QES74" s="684"/>
      <c r="QET74" s="684"/>
      <c r="QEU74" s="684"/>
      <c r="QEV74" s="684"/>
      <c r="QEW74" s="684"/>
      <c r="QEX74" s="684"/>
      <c r="QEY74" s="684"/>
      <c r="QEZ74" s="684"/>
      <c r="QFA74" s="684"/>
      <c r="QFB74" s="684"/>
      <c r="QFC74" s="684"/>
      <c r="QFD74" s="684"/>
      <c r="QFE74" s="684"/>
      <c r="QFF74" s="684"/>
      <c r="QFG74" s="684"/>
      <c r="QFH74" s="684"/>
      <c r="QFI74" s="684"/>
      <c r="QFJ74" s="684"/>
      <c r="QFK74" s="684"/>
      <c r="QFL74" s="684"/>
      <c r="QFM74" s="684"/>
      <c r="QFN74" s="684"/>
      <c r="QFO74" s="684"/>
      <c r="QFP74" s="684"/>
      <c r="QFQ74" s="684"/>
      <c r="QFR74" s="684"/>
      <c r="QFS74" s="684"/>
      <c r="QFT74" s="684"/>
      <c r="QFU74" s="684"/>
      <c r="QFV74" s="684"/>
      <c r="QFW74" s="684"/>
      <c r="QFX74" s="684"/>
      <c r="QFY74" s="684"/>
      <c r="QFZ74" s="684"/>
      <c r="QGA74" s="684"/>
      <c r="QGB74" s="684"/>
      <c r="QGC74" s="684"/>
      <c r="QGD74" s="684"/>
      <c r="QGE74" s="684"/>
      <c r="QGF74" s="684"/>
      <c r="QGG74" s="684"/>
      <c r="QGH74" s="684"/>
      <c r="QGI74" s="684"/>
      <c r="QGJ74" s="684"/>
      <c r="QGK74" s="684"/>
      <c r="QGL74" s="684"/>
      <c r="QGM74" s="684"/>
      <c r="QGN74" s="684"/>
      <c r="QGO74" s="684"/>
      <c r="QGP74" s="684"/>
      <c r="QGQ74" s="684"/>
      <c r="QGR74" s="684"/>
      <c r="QGS74" s="684"/>
      <c r="QGT74" s="684"/>
      <c r="QGU74" s="684"/>
      <c r="QGV74" s="684"/>
      <c r="QGW74" s="684"/>
      <c r="QGX74" s="684"/>
      <c r="QGY74" s="684"/>
      <c r="QGZ74" s="684"/>
      <c r="QHA74" s="684"/>
      <c r="QHB74" s="684"/>
      <c r="QHC74" s="684"/>
      <c r="QHD74" s="684"/>
      <c r="QHE74" s="684"/>
      <c r="QHF74" s="684"/>
      <c r="QHG74" s="684"/>
      <c r="QHH74" s="684"/>
      <c r="QHI74" s="684"/>
      <c r="QHJ74" s="684"/>
      <c r="QHK74" s="684"/>
      <c r="QHL74" s="684"/>
      <c r="QHM74" s="684"/>
      <c r="QHN74" s="684"/>
      <c r="QHO74" s="684"/>
      <c r="QHP74" s="684"/>
      <c r="QHQ74" s="684"/>
      <c r="QHR74" s="684"/>
      <c r="QHS74" s="684"/>
      <c r="QHT74" s="684"/>
      <c r="QHU74" s="684"/>
      <c r="QHV74" s="684"/>
      <c r="QHW74" s="684"/>
      <c r="QHX74" s="684"/>
      <c r="QHY74" s="684"/>
      <c r="QHZ74" s="684"/>
      <c r="QIA74" s="684"/>
      <c r="QIB74" s="684"/>
      <c r="QIC74" s="684"/>
      <c r="QID74" s="684"/>
      <c r="QIE74" s="684"/>
      <c r="QIF74" s="684"/>
      <c r="QIG74" s="684"/>
      <c r="QIH74" s="684"/>
      <c r="QII74" s="684"/>
      <c r="QIJ74" s="684"/>
      <c r="QIK74" s="684"/>
      <c r="QIL74" s="684"/>
      <c r="QIM74" s="684"/>
      <c r="QIN74" s="684"/>
      <c r="QIO74" s="684"/>
      <c r="QIP74" s="684"/>
      <c r="QIQ74" s="684"/>
      <c r="QIR74" s="684"/>
      <c r="QIS74" s="684"/>
      <c r="QIT74" s="684"/>
      <c r="QIU74" s="684"/>
      <c r="QIV74" s="684"/>
      <c r="QIW74" s="684"/>
      <c r="QIX74" s="684"/>
      <c r="QIY74" s="684"/>
      <c r="QIZ74" s="684"/>
      <c r="QJA74" s="684"/>
      <c r="QJB74" s="684"/>
      <c r="QJC74" s="684"/>
      <c r="QJD74" s="684"/>
      <c r="QJE74" s="684"/>
      <c r="QJF74" s="684"/>
      <c r="QJG74" s="684"/>
      <c r="QJH74" s="684"/>
      <c r="QJI74" s="684"/>
      <c r="QJJ74" s="684"/>
      <c r="QJK74" s="684"/>
      <c r="QJL74" s="684"/>
      <c r="QJM74" s="684"/>
      <c r="QJN74" s="684"/>
      <c r="QJO74" s="684"/>
      <c r="QJP74" s="684"/>
      <c r="QJQ74" s="684"/>
      <c r="QJR74" s="684"/>
      <c r="QJS74" s="684"/>
      <c r="QJT74" s="684"/>
      <c r="QJU74" s="684"/>
      <c r="QJV74" s="684"/>
      <c r="QJW74" s="684"/>
      <c r="QJX74" s="684"/>
      <c r="QJY74" s="684"/>
      <c r="QJZ74" s="684"/>
      <c r="QKA74" s="684"/>
      <c r="QKB74" s="684"/>
      <c r="QKC74" s="684"/>
      <c r="QKD74" s="684"/>
      <c r="QKE74" s="684"/>
      <c r="QKF74" s="684"/>
      <c r="QKG74" s="684"/>
      <c r="QKH74" s="684"/>
      <c r="QKI74" s="684"/>
      <c r="QKJ74" s="684"/>
      <c r="QKK74" s="684"/>
      <c r="QKL74" s="684"/>
      <c r="QKM74" s="684"/>
      <c r="QKN74" s="684"/>
      <c r="QKO74" s="684"/>
      <c r="QKP74" s="684"/>
      <c r="QKQ74" s="684"/>
      <c r="QKR74" s="684"/>
      <c r="QKS74" s="684"/>
      <c r="QKT74" s="684"/>
      <c r="QKU74" s="684"/>
      <c r="QKV74" s="684"/>
      <c r="QKW74" s="684"/>
      <c r="QKX74" s="684"/>
      <c r="QKY74" s="684"/>
      <c r="QKZ74" s="684"/>
      <c r="QLA74" s="684"/>
      <c r="QLB74" s="684"/>
      <c r="QLC74" s="684"/>
      <c r="QLD74" s="684"/>
      <c r="QLE74" s="684"/>
      <c r="QLF74" s="684"/>
      <c r="QLG74" s="684"/>
      <c r="QLH74" s="684"/>
      <c r="QLI74" s="684"/>
      <c r="QLJ74" s="684"/>
      <c r="QLK74" s="684"/>
      <c r="QLL74" s="684"/>
      <c r="QLM74" s="684"/>
      <c r="QLN74" s="684"/>
      <c r="QLO74" s="684"/>
      <c r="QLP74" s="684"/>
      <c r="QLQ74" s="684"/>
      <c r="QLR74" s="684"/>
      <c r="QLS74" s="684"/>
      <c r="QLT74" s="684"/>
      <c r="QLU74" s="684"/>
      <c r="QLV74" s="684"/>
      <c r="QLW74" s="684"/>
      <c r="QLX74" s="684"/>
      <c r="QLY74" s="684"/>
      <c r="QLZ74" s="684"/>
      <c r="QMA74" s="684"/>
      <c r="QMB74" s="684"/>
      <c r="QMC74" s="684"/>
      <c r="QMD74" s="684"/>
      <c r="QME74" s="684"/>
      <c r="QMF74" s="684"/>
      <c r="QMG74" s="684"/>
      <c r="QMH74" s="684"/>
      <c r="QMI74" s="684"/>
      <c r="QMJ74" s="684"/>
      <c r="QMK74" s="684"/>
      <c r="QML74" s="684"/>
      <c r="QMM74" s="684"/>
      <c r="QMN74" s="684"/>
      <c r="QMO74" s="684"/>
      <c r="QMP74" s="684"/>
      <c r="QMQ74" s="684"/>
      <c r="QMR74" s="684"/>
      <c r="QMS74" s="684"/>
      <c r="QMT74" s="684"/>
      <c r="QMU74" s="684"/>
      <c r="QMV74" s="684"/>
      <c r="QMW74" s="684"/>
      <c r="QMX74" s="684"/>
      <c r="QMY74" s="684"/>
      <c r="QMZ74" s="684"/>
      <c r="QNA74" s="684"/>
      <c r="QNB74" s="684"/>
      <c r="QNC74" s="684"/>
      <c r="QND74" s="684"/>
      <c r="QNE74" s="684"/>
      <c r="QNF74" s="684"/>
      <c r="QNG74" s="684"/>
      <c r="QNH74" s="684"/>
      <c r="QNI74" s="684"/>
      <c r="QNJ74" s="684"/>
      <c r="QNK74" s="684"/>
      <c r="QNL74" s="684"/>
      <c r="QNM74" s="684"/>
      <c r="QNN74" s="684"/>
      <c r="QNO74" s="684"/>
      <c r="QNP74" s="684"/>
      <c r="QNQ74" s="684"/>
      <c r="QNR74" s="684"/>
      <c r="QNS74" s="684"/>
      <c r="QNT74" s="684"/>
      <c r="QNU74" s="684"/>
      <c r="QNV74" s="684"/>
      <c r="QNW74" s="684"/>
      <c r="QNX74" s="684"/>
      <c r="QNY74" s="684"/>
      <c r="QNZ74" s="684"/>
      <c r="QOA74" s="684"/>
      <c r="QOB74" s="684"/>
      <c r="QOC74" s="684"/>
      <c r="QOD74" s="684"/>
      <c r="QOE74" s="684"/>
      <c r="QOF74" s="684"/>
      <c r="QOG74" s="684"/>
      <c r="QOH74" s="684"/>
      <c r="QOI74" s="684"/>
      <c r="QOJ74" s="684"/>
      <c r="QOK74" s="684"/>
      <c r="QOL74" s="684"/>
      <c r="QOM74" s="684"/>
      <c r="QON74" s="684"/>
      <c r="QOO74" s="684"/>
      <c r="QOP74" s="684"/>
      <c r="QOQ74" s="684"/>
      <c r="QOR74" s="684"/>
      <c r="QOS74" s="684"/>
      <c r="QOT74" s="684"/>
      <c r="QOU74" s="684"/>
      <c r="QOV74" s="684"/>
      <c r="QOW74" s="684"/>
      <c r="QOX74" s="684"/>
      <c r="QOY74" s="684"/>
      <c r="QOZ74" s="684"/>
      <c r="QPA74" s="684"/>
      <c r="QPB74" s="684"/>
      <c r="QPC74" s="684"/>
      <c r="QPD74" s="684"/>
      <c r="QPE74" s="684"/>
      <c r="QPF74" s="684"/>
      <c r="QPG74" s="684"/>
      <c r="QPH74" s="684"/>
      <c r="QPI74" s="684"/>
      <c r="QPJ74" s="684"/>
      <c r="QPK74" s="684"/>
      <c r="QPL74" s="684"/>
      <c r="QPM74" s="684"/>
      <c r="QPN74" s="684"/>
      <c r="QPO74" s="684"/>
      <c r="QPP74" s="684"/>
      <c r="QPQ74" s="684"/>
      <c r="QPR74" s="684"/>
      <c r="QPS74" s="684"/>
      <c r="QPT74" s="684"/>
      <c r="QPU74" s="684"/>
      <c r="QPV74" s="684"/>
      <c r="QPW74" s="684"/>
      <c r="QPX74" s="684"/>
      <c r="QPY74" s="684"/>
      <c r="QPZ74" s="684"/>
      <c r="QQA74" s="684"/>
      <c r="QQB74" s="684"/>
      <c r="QQC74" s="684"/>
      <c r="QQD74" s="684"/>
      <c r="QQE74" s="684"/>
      <c r="QQF74" s="684"/>
      <c r="QQG74" s="684"/>
      <c r="QQH74" s="684"/>
      <c r="QQI74" s="684"/>
      <c r="QQJ74" s="684"/>
      <c r="QQK74" s="684"/>
      <c r="QQL74" s="684"/>
      <c r="QQM74" s="684"/>
      <c r="QQN74" s="684"/>
      <c r="QQO74" s="684"/>
      <c r="QQP74" s="684"/>
      <c r="QQQ74" s="684"/>
      <c r="QQR74" s="684"/>
      <c r="QQS74" s="684"/>
      <c r="QQT74" s="684"/>
      <c r="QQU74" s="684"/>
      <c r="QQV74" s="684"/>
      <c r="QQW74" s="684"/>
      <c r="QQX74" s="684"/>
      <c r="QQY74" s="684"/>
      <c r="QQZ74" s="684"/>
      <c r="QRA74" s="684"/>
      <c r="QRB74" s="684"/>
      <c r="QRC74" s="684"/>
      <c r="QRD74" s="684"/>
      <c r="QRE74" s="684"/>
      <c r="QRF74" s="684"/>
      <c r="QRG74" s="684"/>
      <c r="QRH74" s="684"/>
      <c r="QRI74" s="684"/>
      <c r="QRJ74" s="684"/>
      <c r="QRK74" s="684"/>
      <c r="QRL74" s="684"/>
      <c r="QRM74" s="684"/>
      <c r="QRN74" s="684"/>
      <c r="QRO74" s="684"/>
      <c r="QRP74" s="684"/>
      <c r="QRQ74" s="684"/>
      <c r="QRR74" s="684"/>
      <c r="QRS74" s="684"/>
      <c r="QRT74" s="684"/>
      <c r="QRU74" s="684"/>
      <c r="QRV74" s="684"/>
      <c r="QRW74" s="684"/>
      <c r="QRX74" s="684"/>
      <c r="QRY74" s="684"/>
      <c r="QRZ74" s="684"/>
      <c r="QSA74" s="684"/>
      <c r="QSB74" s="684"/>
      <c r="QSC74" s="684"/>
      <c r="QSD74" s="684"/>
      <c r="QSE74" s="684"/>
      <c r="QSF74" s="684"/>
      <c r="QSG74" s="684"/>
      <c r="QSH74" s="684"/>
      <c r="QSI74" s="684"/>
      <c r="QSJ74" s="684"/>
      <c r="QSK74" s="684"/>
      <c r="QSL74" s="684"/>
      <c r="QSM74" s="684"/>
      <c r="QSN74" s="684"/>
      <c r="QSO74" s="684"/>
      <c r="QSP74" s="684"/>
      <c r="QSQ74" s="684"/>
      <c r="QSR74" s="684"/>
      <c r="QSS74" s="684"/>
      <c r="QST74" s="684"/>
      <c r="QSU74" s="684"/>
      <c r="QSV74" s="684"/>
      <c r="QSW74" s="684"/>
      <c r="QSX74" s="684"/>
      <c r="QSY74" s="684"/>
      <c r="QSZ74" s="684"/>
      <c r="QTA74" s="684"/>
      <c r="QTB74" s="684"/>
      <c r="QTC74" s="684"/>
      <c r="QTD74" s="684"/>
      <c r="QTE74" s="684"/>
      <c r="QTF74" s="684"/>
      <c r="QTG74" s="684"/>
      <c r="QTH74" s="684"/>
      <c r="QTI74" s="684"/>
      <c r="QTJ74" s="684"/>
      <c r="QTK74" s="684"/>
      <c r="QTL74" s="684"/>
      <c r="QTM74" s="684"/>
      <c r="QTN74" s="684"/>
      <c r="QTO74" s="684"/>
      <c r="QTP74" s="684"/>
      <c r="QTQ74" s="684"/>
      <c r="QTR74" s="684"/>
      <c r="QTS74" s="684"/>
      <c r="QTT74" s="684"/>
      <c r="QTU74" s="684"/>
      <c r="QTV74" s="684"/>
      <c r="QTW74" s="684"/>
      <c r="QTX74" s="684"/>
      <c r="QTY74" s="684"/>
      <c r="QTZ74" s="684"/>
      <c r="QUA74" s="684"/>
      <c r="QUB74" s="684"/>
      <c r="QUC74" s="684"/>
      <c r="QUD74" s="684"/>
      <c r="QUE74" s="684"/>
      <c r="QUF74" s="684"/>
      <c r="QUG74" s="684"/>
      <c r="QUH74" s="684"/>
      <c r="QUI74" s="684"/>
      <c r="QUJ74" s="684"/>
      <c r="QUK74" s="684"/>
      <c r="QUL74" s="684"/>
      <c r="QUM74" s="684"/>
      <c r="QUN74" s="684"/>
      <c r="QUO74" s="684"/>
      <c r="QUP74" s="684"/>
      <c r="QUQ74" s="684"/>
      <c r="QUR74" s="684"/>
      <c r="QUS74" s="684"/>
      <c r="QUT74" s="684"/>
      <c r="QUU74" s="684"/>
      <c r="QUV74" s="684"/>
      <c r="QUW74" s="684"/>
      <c r="QUX74" s="684"/>
      <c r="QUY74" s="684"/>
      <c r="QUZ74" s="684"/>
      <c r="QVA74" s="684"/>
      <c r="QVB74" s="684"/>
      <c r="QVC74" s="684"/>
      <c r="QVD74" s="684"/>
      <c r="QVE74" s="684"/>
      <c r="QVF74" s="684"/>
      <c r="QVG74" s="684"/>
      <c r="QVH74" s="684"/>
      <c r="QVI74" s="684"/>
      <c r="QVJ74" s="684"/>
      <c r="QVK74" s="684"/>
      <c r="QVL74" s="684"/>
      <c r="QVM74" s="684"/>
      <c r="QVN74" s="684"/>
      <c r="QVO74" s="684"/>
      <c r="QVP74" s="684"/>
      <c r="QVQ74" s="684"/>
      <c r="QVR74" s="684"/>
      <c r="QVS74" s="684"/>
      <c r="QVT74" s="684"/>
      <c r="QVU74" s="684"/>
      <c r="QVV74" s="684"/>
      <c r="QVW74" s="684"/>
      <c r="QVX74" s="684"/>
      <c r="QVY74" s="684"/>
      <c r="QVZ74" s="684"/>
      <c r="QWA74" s="684"/>
      <c r="QWB74" s="684"/>
      <c r="QWC74" s="684"/>
      <c r="QWD74" s="684"/>
      <c r="QWE74" s="684"/>
      <c r="QWF74" s="684"/>
      <c r="QWG74" s="684"/>
      <c r="QWH74" s="684"/>
      <c r="QWI74" s="684"/>
      <c r="QWJ74" s="684"/>
      <c r="QWK74" s="684"/>
      <c r="QWL74" s="684"/>
      <c r="QWM74" s="684"/>
      <c r="QWN74" s="684"/>
      <c r="QWO74" s="684"/>
      <c r="QWP74" s="684"/>
      <c r="QWQ74" s="684"/>
      <c r="QWR74" s="684"/>
      <c r="QWS74" s="684"/>
      <c r="QWT74" s="684"/>
      <c r="QWU74" s="684"/>
      <c r="QWV74" s="684"/>
      <c r="QWW74" s="684"/>
      <c r="QWX74" s="684"/>
      <c r="QWY74" s="684"/>
      <c r="QWZ74" s="684"/>
      <c r="QXA74" s="684"/>
      <c r="QXB74" s="684"/>
      <c r="QXC74" s="684"/>
      <c r="QXD74" s="684"/>
      <c r="QXE74" s="684"/>
      <c r="QXF74" s="684"/>
      <c r="QXG74" s="684"/>
      <c r="QXH74" s="684"/>
      <c r="QXI74" s="684"/>
      <c r="QXJ74" s="684"/>
      <c r="QXK74" s="684"/>
      <c r="QXL74" s="684"/>
      <c r="QXM74" s="684"/>
      <c r="QXN74" s="684"/>
      <c r="QXO74" s="684"/>
      <c r="QXP74" s="684"/>
      <c r="QXQ74" s="684"/>
      <c r="QXR74" s="684"/>
      <c r="QXS74" s="684"/>
      <c r="QXT74" s="684"/>
      <c r="QXU74" s="684"/>
      <c r="QXV74" s="684"/>
      <c r="QXW74" s="684"/>
      <c r="QXX74" s="684"/>
      <c r="QXY74" s="684"/>
      <c r="QXZ74" s="684"/>
      <c r="QYA74" s="684"/>
      <c r="QYB74" s="684"/>
      <c r="QYC74" s="684"/>
      <c r="QYD74" s="684"/>
      <c r="QYE74" s="684"/>
      <c r="QYF74" s="684"/>
      <c r="QYG74" s="684"/>
      <c r="QYH74" s="684"/>
      <c r="QYI74" s="684"/>
      <c r="QYJ74" s="684"/>
      <c r="QYK74" s="684"/>
      <c r="QYL74" s="684"/>
      <c r="QYM74" s="684"/>
      <c r="QYN74" s="684"/>
      <c r="QYO74" s="684"/>
      <c r="QYP74" s="684"/>
      <c r="QYQ74" s="684"/>
      <c r="QYR74" s="684"/>
      <c r="QYS74" s="684"/>
      <c r="QYT74" s="684"/>
      <c r="QYU74" s="684"/>
      <c r="QYV74" s="684"/>
      <c r="QYW74" s="684"/>
      <c r="QYX74" s="684"/>
      <c r="QYY74" s="684"/>
      <c r="QYZ74" s="684"/>
      <c r="QZA74" s="684"/>
      <c r="QZB74" s="684"/>
      <c r="QZC74" s="684"/>
      <c r="QZD74" s="684"/>
      <c r="QZE74" s="684"/>
      <c r="QZF74" s="684"/>
      <c r="QZG74" s="684"/>
      <c r="QZH74" s="684"/>
      <c r="QZI74" s="684"/>
      <c r="QZJ74" s="684"/>
      <c r="QZK74" s="684"/>
      <c r="QZL74" s="684"/>
      <c r="QZM74" s="684"/>
      <c r="QZN74" s="684"/>
      <c r="QZO74" s="684"/>
      <c r="QZP74" s="684"/>
      <c r="QZQ74" s="684"/>
      <c r="QZR74" s="684"/>
      <c r="QZS74" s="684"/>
      <c r="QZT74" s="684"/>
      <c r="QZU74" s="684"/>
      <c r="QZV74" s="684"/>
      <c r="QZW74" s="684"/>
      <c r="QZX74" s="684"/>
      <c r="QZY74" s="684"/>
      <c r="QZZ74" s="684"/>
      <c r="RAA74" s="684"/>
      <c r="RAB74" s="684"/>
      <c r="RAC74" s="684"/>
      <c r="RAD74" s="684"/>
      <c r="RAE74" s="684"/>
      <c r="RAF74" s="684"/>
      <c r="RAG74" s="684"/>
      <c r="RAH74" s="684"/>
      <c r="RAI74" s="684"/>
      <c r="RAJ74" s="684"/>
      <c r="RAK74" s="684"/>
      <c r="RAL74" s="684"/>
      <c r="RAM74" s="684"/>
      <c r="RAN74" s="684"/>
      <c r="RAO74" s="684"/>
      <c r="RAP74" s="684"/>
      <c r="RAQ74" s="684"/>
      <c r="RAR74" s="684"/>
      <c r="RAS74" s="684"/>
      <c r="RAT74" s="684"/>
      <c r="RAU74" s="684"/>
      <c r="RAV74" s="684"/>
      <c r="RAW74" s="684"/>
      <c r="RAX74" s="684"/>
      <c r="RAY74" s="684"/>
      <c r="RAZ74" s="684"/>
      <c r="RBA74" s="684"/>
      <c r="RBB74" s="684"/>
      <c r="RBC74" s="684"/>
      <c r="RBD74" s="684"/>
      <c r="RBE74" s="684"/>
      <c r="RBF74" s="684"/>
      <c r="RBG74" s="684"/>
      <c r="RBH74" s="684"/>
      <c r="RBI74" s="684"/>
      <c r="RBJ74" s="684"/>
      <c r="RBK74" s="684"/>
      <c r="RBL74" s="684"/>
      <c r="RBM74" s="684"/>
      <c r="RBN74" s="684"/>
      <c r="RBO74" s="684"/>
      <c r="RBP74" s="684"/>
      <c r="RBQ74" s="684"/>
      <c r="RBR74" s="684"/>
      <c r="RBS74" s="684"/>
      <c r="RBT74" s="684"/>
      <c r="RBU74" s="684"/>
      <c r="RBV74" s="684"/>
      <c r="RBW74" s="684"/>
      <c r="RBX74" s="684"/>
      <c r="RBY74" s="684"/>
      <c r="RBZ74" s="684"/>
      <c r="RCA74" s="684"/>
      <c r="RCB74" s="684"/>
      <c r="RCC74" s="684"/>
      <c r="RCD74" s="684"/>
      <c r="RCE74" s="684"/>
      <c r="RCF74" s="684"/>
      <c r="RCG74" s="684"/>
      <c r="RCH74" s="684"/>
      <c r="RCI74" s="684"/>
      <c r="RCJ74" s="684"/>
      <c r="RCK74" s="684"/>
      <c r="RCL74" s="684"/>
      <c r="RCM74" s="684"/>
      <c r="RCN74" s="684"/>
      <c r="RCO74" s="684"/>
      <c r="RCP74" s="684"/>
      <c r="RCQ74" s="684"/>
      <c r="RCR74" s="684"/>
      <c r="RCS74" s="684"/>
      <c r="RCT74" s="684"/>
      <c r="RCU74" s="684"/>
      <c r="RCV74" s="684"/>
      <c r="RCW74" s="684"/>
      <c r="RCX74" s="684"/>
      <c r="RCY74" s="684"/>
      <c r="RCZ74" s="684"/>
      <c r="RDA74" s="684"/>
      <c r="RDB74" s="684"/>
      <c r="RDC74" s="684"/>
      <c r="RDD74" s="684"/>
      <c r="RDE74" s="684"/>
      <c r="RDF74" s="684"/>
      <c r="RDG74" s="684"/>
      <c r="RDH74" s="684"/>
      <c r="RDI74" s="684"/>
      <c r="RDJ74" s="684"/>
      <c r="RDK74" s="684"/>
      <c r="RDL74" s="684"/>
      <c r="RDM74" s="684"/>
      <c r="RDN74" s="684"/>
      <c r="RDO74" s="684"/>
      <c r="RDP74" s="684"/>
      <c r="RDQ74" s="684"/>
      <c r="RDR74" s="684"/>
      <c r="RDS74" s="684"/>
      <c r="RDT74" s="684"/>
      <c r="RDU74" s="684"/>
      <c r="RDV74" s="684"/>
      <c r="RDW74" s="684"/>
      <c r="RDX74" s="684"/>
      <c r="RDY74" s="684"/>
      <c r="RDZ74" s="684"/>
      <c r="REA74" s="684"/>
      <c r="REB74" s="684"/>
      <c r="REC74" s="684"/>
      <c r="RED74" s="684"/>
      <c r="REE74" s="684"/>
      <c r="REF74" s="684"/>
      <c r="REG74" s="684"/>
      <c r="REH74" s="684"/>
      <c r="REI74" s="684"/>
      <c r="REJ74" s="684"/>
      <c r="REK74" s="684"/>
      <c r="REL74" s="684"/>
      <c r="REM74" s="684"/>
      <c r="REN74" s="684"/>
      <c r="REO74" s="684"/>
      <c r="REP74" s="684"/>
      <c r="REQ74" s="684"/>
      <c r="RER74" s="684"/>
      <c r="RES74" s="684"/>
      <c r="RET74" s="684"/>
      <c r="REU74" s="684"/>
      <c r="REV74" s="684"/>
      <c r="REW74" s="684"/>
      <c r="REX74" s="684"/>
      <c r="REY74" s="684"/>
      <c r="REZ74" s="684"/>
      <c r="RFA74" s="684"/>
      <c r="RFB74" s="684"/>
      <c r="RFC74" s="684"/>
      <c r="RFD74" s="684"/>
      <c r="RFE74" s="684"/>
      <c r="RFF74" s="684"/>
      <c r="RFG74" s="684"/>
      <c r="RFH74" s="684"/>
      <c r="RFI74" s="684"/>
      <c r="RFJ74" s="684"/>
      <c r="RFK74" s="684"/>
      <c r="RFL74" s="684"/>
      <c r="RFM74" s="684"/>
      <c r="RFN74" s="684"/>
      <c r="RFO74" s="684"/>
      <c r="RFP74" s="684"/>
      <c r="RFQ74" s="684"/>
      <c r="RFR74" s="684"/>
      <c r="RFS74" s="684"/>
      <c r="RFT74" s="684"/>
      <c r="RFU74" s="684"/>
      <c r="RFV74" s="684"/>
      <c r="RFW74" s="684"/>
      <c r="RFX74" s="684"/>
      <c r="RFY74" s="684"/>
      <c r="RFZ74" s="684"/>
      <c r="RGA74" s="684"/>
      <c r="RGB74" s="684"/>
      <c r="RGC74" s="684"/>
      <c r="RGD74" s="684"/>
      <c r="RGE74" s="684"/>
      <c r="RGF74" s="684"/>
      <c r="RGG74" s="684"/>
      <c r="RGH74" s="684"/>
      <c r="RGI74" s="684"/>
      <c r="RGJ74" s="684"/>
      <c r="RGK74" s="684"/>
      <c r="RGL74" s="684"/>
      <c r="RGM74" s="684"/>
      <c r="RGN74" s="684"/>
      <c r="RGO74" s="684"/>
      <c r="RGP74" s="684"/>
      <c r="RGQ74" s="684"/>
      <c r="RGR74" s="684"/>
      <c r="RGS74" s="684"/>
      <c r="RGT74" s="684"/>
      <c r="RGU74" s="684"/>
      <c r="RGV74" s="684"/>
      <c r="RGW74" s="684"/>
      <c r="RGX74" s="684"/>
      <c r="RGY74" s="684"/>
      <c r="RGZ74" s="684"/>
      <c r="RHA74" s="684"/>
      <c r="RHB74" s="684"/>
      <c r="RHC74" s="684"/>
      <c r="RHD74" s="684"/>
      <c r="RHE74" s="684"/>
      <c r="RHF74" s="684"/>
      <c r="RHG74" s="684"/>
      <c r="RHH74" s="684"/>
      <c r="RHI74" s="684"/>
      <c r="RHJ74" s="684"/>
      <c r="RHK74" s="684"/>
      <c r="RHL74" s="684"/>
      <c r="RHM74" s="684"/>
      <c r="RHN74" s="684"/>
      <c r="RHO74" s="684"/>
      <c r="RHP74" s="684"/>
      <c r="RHQ74" s="684"/>
      <c r="RHR74" s="684"/>
      <c r="RHS74" s="684"/>
      <c r="RHT74" s="684"/>
      <c r="RHU74" s="684"/>
      <c r="RHV74" s="684"/>
      <c r="RHW74" s="684"/>
      <c r="RHX74" s="684"/>
      <c r="RHY74" s="684"/>
      <c r="RHZ74" s="684"/>
      <c r="RIA74" s="684"/>
      <c r="RIB74" s="684"/>
      <c r="RIC74" s="684"/>
      <c r="RID74" s="684"/>
      <c r="RIE74" s="684"/>
      <c r="RIF74" s="684"/>
      <c r="RIG74" s="684"/>
      <c r="RIH74" s="684"/>
      <c r="RII74" s="684"/>
      <c r="RIJ74" s="684"/>
      <c r="RIK74" s="684"/>
      <c r="RIL74" s="684"/>
      <c r="RIM74" s="684"/>
      <c r="RIN74" s="684"/>
      <c r="RIO74" s="684"/>
      <c r="RIP74" s="684"/>
      <c r="RIQ74" s="684"/>
      <c r="RIR74" s="684"/>
      <c r="RIS74" s="684"/>
      <c r="RIT74" s="684"/>
      <c r="RIU74" s="684"/>
      <c r="RIV74" s="684"/>
      <c r="RIW74" s="684"/>
      <c r="RIX74" s="684"/>
      <c r="RIY74" s="684"/>
      <c r="RIZ74" s="684"/>
      <c r="RJA74" s="684"/>
      <c r="RJB74" s="684"/>
      <c r="RJC74" s="684"/>
      <c r="RJD74" s="684"/>
      <c r="RJE74" s="684"/>
      <c r="RJF74" s="684"/>
      <c r="RJG74" s="684"/>
      <c r="RJH74" s="684"/>
      <c r="RJI74" s="684"/>
      <c r="RJJ74" s="684"/>
      <c r="RJK74" s="684"/>
      <c r="RJL74" s="684"/>
      <c r="RJM74" s="684"/>
      <c r="RJN74" s="684"/>
      <c r="RJO74" s="684"/>
      <c r="RJP74" s="684"/>
      <c r="RJQ74" s="684"/>
      <c r="RJR74" s="684"/>
      <c r="RJS74" s="684"/>
      <c r="RJT74" s="684"/>
      <c r="RJU74" s="684"/>
      <c r="RJV74" s="684"/>
      <c r="RJW74" s="684"/>
      <c r="RJX74" s="684"/>
      <c r="RJY74" s="684"/>
      <c r="RJZ74" s="684"/>
      <c r="RKA74" s="684"/>
      <c r="RKB74" s="684"/>
      <c r="RKC74" s="684"/>
      <c r="RKD74" s="684"/>
      <c r="RKE74" s="684"/>
      <c r="RKF74" s="684"/>
      <c r="RKG74" s="684"/>
      <c r="RKH74" s="684"/>
      <c r="RKI74" s="684"/>
      <c r="RKJ74" s="684"/>
      <c r="RKK74" s="684"/>
      <c r="RKL74" s="684"/>
      <c r="RKM74" s="684"/>
      <c r="RKN74" s="684"/>
      <c r="RKO74" s="684"/>
      <c r="RKP74" s="684"/>
      <c r="RKQ74" s="684"/>
      <c r="RKR74" s="684"/>
      <c r="RKS74" s="684"/>
      <c r="RKT74" s="684"/>
      <c r="RKU74" s="684"/>
      <c r="RKV74" s="684"/>
      <c r="RKW74" s="684"/>
      <c r="RKX74" s="684"/>
      <c r="RKY74" s="684"/>
      <c r="RKZ74" s="684"/>
      <c r="RLA74" s="684"/>
      <c r="RLB74" s="684"/>
      <c r="RLC74" s="684"/>
      <c r="RLD74" s="684"/>
      <c r="RLE74" s="684"/>
      <c r="RLF74" s="684"/>
      <c r="RLG74" s="684"/>
      <c r="RLH74" s="684"/>
      <c r="RLI74" s="684"/>
      <c r="RLJ74" s="684"/>
      <c r="RLK74" s="684"/>
      <c r="RLL74" s="684"/>
      <c r="RLM74" s="684"/>
      <c r="RLN74" s="684"/>
      <c r="RLO74" s="684"/>
      <c r="RLP74" s="684"/>
      <c r="RLQ74" s="684"/>
      <c r="RLR74" s="684"/>
      <c r="RLS74" s="684"/>
      <c r="RLT74" s="684"/>
      <c r="RLU74" s="684"/>
      <c r="RLV74" s="684"/>
      <c r="RLW74" s="684"/>
      <c r="RLX74" s="684"/>
      <c r="RLY74" s="684"/>
      <c r="RLZ74" s="684"/>
      <c r="RMA74" s="684"/>
      <c r="RMB74" s="684"/>
      <c r="RMC74" s="684"/>
      <c r="RMD74" s="684"/>
      <c r="RME74" s="684"/>
      <c r="RMF74" s="684"/>
      <c r="RMG74" s="684"/>
      <c r="RMH74" s="684"/>
      <c r="RMI74" s="684"/>
      <c r="RMJ74" s="684"/>
      <c r="RMK74" s="684"/>
      <c r="RML74" s="684"/>
      <c r="RMM74" s="684"/>
      <c r="RMN74" s="684"/>
      <c r="RMO74" s="684"/>
      <c r="RMP74" s="684"/>
      <c r="RMQ74" s="684"/>
      <c r="RMR74" s="684"/>
      <c r="RMS74" s="684"/>
      <c r="RMT74" s="684"/>
      <c r="RMU74" s="684"/>
      <c r="RMV74" s="684"/>
      <c r="RMW74" s="684"/>
      <c r="RMX74" s="684"/>
      <c r="RMY74" s="684"/>
      <c r="RMZ74" s="684"/>
      <c r="RNA74" s="684"/>
      <c r="RNB74" s="684"/>
      <c r="RNC74" s="684"/>
      <c r="RND74" s="684"/>
      <c r="RNE74" s="684"/>
      <c r="RNF74" s="684"/>
      <c r="RNG74" s="684"/>
      <c r="RNH74" s="684"/>
      <c r="RNI74" s="684"/>
      <c r="RNJ74" s="684"/>
      <c r="RNK74" s="684"/>
      <c r="RNL74" s="684"/>
      <c r="RNM74" s="684"/>
      <c r="RNN74" s="684"/>
      <c r="RNO74" s="684"/>
      <c r="RNP74" s="684"/>
      <c r="RNQ74" s="684"/>
      <c r="RNR74" s="684"/>
      <c r="RNS74" s="684"/>
      <c r="RNT74" s="684"/>
      <c r="RNU74" s="684"/>
      <c r="RNV74" s="684"/>
      <c r="RNW74" s="684"/>
      <c r="RNX74" s="684"/>
      <c r="RNY74" s="684"/>
      <c r="RNZ74" s="684"/>
      <c r="ROA74" s="684"/>
      <c r="ROB74" s="684"/>
      <c r="ROC74" s="684"/>
      <c r="ROD74" s="684"/>
      <c r="ROE74" s="684"/>
      <c r="ROF74" s="684"/>
      <c r="ROG74" s="684"/>
      <c r="ROH74" s="684"/>
      <c r="ROI74" s="684"/>
      <c r="ROJ74" s="684"/>
      <c r="ROK74" s="684"/>
      <c r="ROL74" s="684"/>
      <c r="ROM74" s="684"/>
      <c r="RON74" s="684"/>
      <c r="ROO74" s="684"/>
      <c r="ROP74" s="684"/>
      <c r="ROQ74" s="684"/>
      <c r="ROR74" s="684"/>
      <c r="ROS74" s="684"/>
      <c r="ROT74" s="684"/>
      <c r="ROU74" s="684"/>
      <c r="ROV74" s="684"/>
      <c r="ROW74" s="684"/>
      <c r="ROX74" s="684"/>
      <c r="ROY74" s="684"/>
      <c r="ROZ74" s="684"/>
      <c r="RPA74" s="684"/>
      <c r="RPB74" s="684"/>
      <c r="RPC74" s="684"/>
      <c r="RPD74" s="684"/>
      <c r="RPE74" s="684"/>
      <c r="RPF74" s="684"/>
      <c r="RPG74" s="684"/>
      <c r="RPH74" s="684"/>
      <c r="RPI74" s="684"/>
      <c r="RPJ74" s="684"/>
      <c r="RPK74" s="684"/>
      <c r="RPL74" s="684"/>
      <c r="RPM74" s="684"/>
      <c r="RPN74" s="684"/>
      <c r="RPO74" s="684"/>
      <c r="RPP74" s="684"/>
      <c r="RPQ74" s="684"/>
      <c r="RPR74" s="684"/>
      <c r="RPS74" s="684"/>
      <c r="RPT74" s="684"/>
      <c r="RPU74" s="684"/>
      <c r="RPV74" s="684"/>
      <c r="RPW74" s="684"/>
      <c r="RPX74" s="684"/>
      <c r="RPY74" s="684"/>
      <c r="RPZ74" s="684"/>
      <c r="RQA74" s="684"/>
      <c r="RQB74" s="684"/>
      <c r="RQC74" s="684"/>
      <c r="RQD74" s="684"/>
      <c r="RQE74" s="684"/>
      <c r="RQF74" s="684"/>
      <c r="RQG74" s="684"/>
      <c r="RQH74" s="684"/>
      <c r="RQI74" s="684"/>
      <c r="RQJ74" s="684"/>
      <c r="RQK74" s="684"/>
      <c r="RQL74" s="684"/>
      <c r="RQM74" s="684"/>
      <c r="RQN74" s="684"/>
      <c r="RQO74" s="684"/>
      <c r="RQP74" s="684"/>
      <c r="RQQ74" s="684"/>
      <c r="RQR74" s="684"/>
      <c r="RQS74" s="684"/>
      <c r="RQT74" s="684"/>
      <c r="RQU74" s="684"/>
      <c r="RQV74" s="684"/>
      <c r="RQW74" s="684"/>
      <c r="RQX74" s="684"/>
      <c r="RQY74" s="684"/>
      <c r="RQZ74" s="684"/>
      <c r="RRA74" s="684"/>
      <c r="RRB74" s="684"/>
      <c r="RRC74" s="684"/>
      <c r="RRD74" s="684"/>
      <c r="RRE74" s="684"/>
      <c r="RRF74" s="684"/>
      <c r="RRG74" s="684"/>
      <c r="RRH74" s="684"/>
      <c r="RRI74" s="684"/>
      <c r="RRJ74" s="684"/>
      <c r="RRK74" s="684"/>
      <c r="RRL74" s="684"/>
      <c r="RRM74" s="684"/>
      <c r="RRN74" s="684"/>
      <c r="RRO74" s="684"/>
      <c r="RRP74" s="684"/>
      <c r="RRQ74" s="684"/>
      <c r="RRR74" s="684"/>
      <c r="RRS74" s="684"/>
      <c r="RRT74" s="684"/>
      <c r="RRU74" s="684"/>
      <c r="RRV74" s="684"/>
      <c r="RRW74" s="684"/>
      <c r="RRX74" s="684"/>
      <c r="RRY74" s="684"/>
      <c r="RRZ74" s="684"/>
      <c r="RSA74" s="684"/>
      <c r="RSB74" s="684"/>
      <c r="RSC74" s="684"/>
      <c r="RSD74" s="684"/>
      <c r="RSE74" s="684"/>
      <c r="RSF74" s="684"/>
      <c r="RSG74" s="684"/>
      <c r="RSH74" s="684"/>
      <c r="RSI74" s="684"/>
      <c r="RSJ74" s="684"/>
      <c r="RSK74" s="684"/>
      <c r="RSL74" s="684"/>
      <c r="RSM74" s="684"/>
      <c r="RSN74" s="684"/>
      <c r="RSO74" s="684"/>
      <c r="RSP74" s="684"/>
      <c r="RSQ74" s="684"/>
      <c r="RSR74" s="684"/>
      <c r="RSS74" s="684"/>
      <c r="RST74" s="684"/>
      <c r="RSU74" s="684"/>
      <c r="RSV74" s="684"/>
      <c r="RSW74" s="684"/>
      <c r="RSX74" s="684"/>
      <c r="RSY74" s="684"/>
      <c r="RSZ74" s="684"/>
      <c r="RTA74" s="684"/>
      <c r="RTB74" s="684"/>
      <c r="RTC74" s="684"/>
      <c r="RTD74" s="684"/>
      <c r="RTE74" s="684"/>
      <c r="RTF74" s="684"/>
      <c r="RTG74" s="684"/>
      <c r="RTH74" s="684"/>
      <c r="RTI74" s="684"/>
      <c r="RTJ74" s="684"/>
      <c r="RTK74" s="684"/>
      <c r="RTL74" s="684"/>
      <c r="RTM74" s="684"/>
      <c r="RTN74" s="684"/>
      <c r="RTO74" s="684"/>
      <c r="RTP74" s="684"/>
      <c r="RTQ74" s="684"/>
      <c r="RTR74" s="684"/>
      <c r="RTS74" s="684"/>
      <c r="RTT74" s="684"/>
      <c r="RTU74" s="684"/>
      <c r="RTV74" s="684"/>
      <c r="RTW74" s="684"/>
      <c r="RTX74" s="684"/>
      <c r="RTY74" s="684"/>
      <c r="RTZ74" s="684"/>
      <c r="RUA74" s="684"/>
      <c r="RUB74" s="684"/>
      <c r="RUC74" s="684"/>
      <c r="RUD74" s="684"/>
      <c r="RUE74" s="684"/>
      <c r="RUF74" s="684"/>
      <c r="RUG74" s="684"/>
      <c r="RUH74" s="684"/>
      <c r="RUI74" s="684"/>
      <c r="RUJ74" s="684"/>
      <c r="RUK74" s="684"/>
      <c r="RUL74" s="684"/>
      <c r="RUM74" s="684"/>
      <c r="RUN74" s="684"/>
      <c r="RUO74" s="684"/>
      <c r="RUP74" s="684"/>
      <c r="RUQ74" s="684"/>
      <c r="RUR74" s="684"/>
      <c r="RUS74" s="684"/>
      <c r="RUT74" s="684"/>
      <c r="RUU74" s="684"/>
      <c r="RUV74" s="684"/>
      <c r="RUW74" s="684"/>
      <c r="RUX74" s="684"/>
      <c r="RUY74" s="684"/>
      <c r="RUZ74" s="684"/>
      <c r="RVA74" s="684"/>
      <c r="RVB74" s="684"/>
      <c r="RVC74" s="684"/>
      <c r="RVD74" s="684"/>
      <c r="RVE74" s="684"/>
      <c r="RVF74" s="684"/>
      <c r="RVG74" s="684"/>
      <c r="RVH74" s="684"/>
      <c r="RVI74" s="684"/>
      <c r="RVJ74" s="684"/>
      <c r="RVK74" s="684"/>
      <c r="RVL74" s="684"/>
      <c r="RVM74" s="684"/>
      <c r="RVN74" s="684"/>
      <c r="RVO74" s="684"/>
      <c r="RVP74" s="684"/>
      <c r="RVQ74" s="684"/>
      <c r="RVR74" s="684"/>
      <c r="RVS74" s="684"/>
      <c r="RVT74" s="684"/>
      <c r="RVU74" s="684"/>
      <c r="RVV74" s="684"/>
      <c r="RVW74" s="684"/>
      <c r="RVX74" s="684"/>
      <c r="RVY74" s="684"/>
      <c r="RVZ74" s="684"/>
      <c r="RWA74" s="684"/>
      <c r="RWB74" s="684"/>
      <c r="RWC74" s="684"/>
      <c r="RWD74" s="684"/>
      <c r="RWE74" s="684"/>
      <c r="RWF74" s="684"/>
      <c r="RWG74" s="684"/>
      <c r="RWH74" s="684"/>
      <c r="RWI74" s="684"/>
      <c r="RWJ74" s="684"/>
      <c r="RWK74" s="684"/>
      <c r="RWL74" s="684"/>
      <c r="RWM74" s="684"/>
      <c r="RWN74" s="684"/>
      <c r="RWO74" s="684"/>
      <c r="RWP74" s="684"/>
      <c r="RWQ74" s="684"/>
      <c r="RWR74" s="684"/>
      <c r="RWS74" s="684"/>
      <c r="RWT74" s="684"/>
      <c r="RWU74" s="684"/>
      <c r="RWV74" s="684"/>
      <c r="RWW74" s="684"/>
      <c r="RWX74" s="684"/>
      <c r="RWY74" s="684"/>
      <c r="RWZ74" s="684"/>
      <c r="RXA74" s="684"/>
      <c r="RXB74" s="684"/>
      <c r="RXC74" s="684"/>
      <c r="RXD74" s="684"/>
      <c r="RXE74" s="684"/>
      <c r="RXF74" s="684"/>
      <c r="RXG74" s="684"/>
      <c r="RXH74" s="684"/>
      <c r="RXI74" s="684"/>
      <c r="RXJ74" s="684"/>
      <c r="RXK74" s="684"/>
      <c r="RXL74" s="684"/>
      <c r="RXM74" s="684"/>
      <c r="RXN74" s="684"/>
      <c r="RXO74" s="684"/>
      <c r="RXP74" s="684"/>
      <c r="RXQ74" s="684"/>
      <c r="RXR74" s="684"/>
      <c r="RXS74" s="684"/>
      <c r="RXT74" s="684"/>
      <c r="RXU74" s="684"/>
      <c r="RXV74" s="684"/>
      <c r="RXW74" s="684"/>
      <c r="RXX74" s="684"/>
      <c r="RXY74" s="684"/>
      <c r="RXZ74" s="684"/>
      <c r="RYA74" s="684"/>
      <c r="RYB74" s="684"/>
      <c r="RYC74" s="684"/>
      <c r="RYD74" s="684"/>
      <c r="RYE74" s="684"/>
      <c r="RYF74" s="684"/>
      <c r="RYG74" s="684"/>
      <c r="RYH74" s="684"/>
      <c r="RYI74" s="684"/>
      <c r="RYJ74" s="684"/>
      <c r="RYK74" s="684"/>
      <c r="RYL74" s="684"/>
      <c r="RYM74" s="684"/>
      <c r="RYN74" s="684"/>
      <c r="RYO74" s="684"/>
      <c r="RYP74" s="684"/>
      <c r="RYQ74" s="684"/>
      <c r="RYR74" s="684"/>
      <c r="RYS74" s="684"/>
      <c r="RYT74" s="684"/>
      <c r="RYU74" s="684"/>
      <c r="RYV74" s="684"/>
      <c r="RYW74" s="684"/>
      <c r="RYX74" s="684"/>
      <c r="RYY74" s="684"/>
      <c r="RYZ74" s="684"/>
      <c r="RZA74" s="684"/>
      <c r="RZB74" s="684"/>
      <c r="RZC74" s="684"/>
      <c r="RZD74" s="684"/>
      <c r="RZE74" s="684"/>
      <c r="RZF74" s="684"/>
      <c r="RZG74" s="684"/>
      <c r="RZH74" s="684"/>
      <c r="RZI74" s="684"/>
      <c r="RZJ74" s="684"/>
      <c r="RZK74" s="684"/>
      <c r="RZL74" s="684"/>
      <c r="RZM74" s="684"/>
      <c r="RZN74" s="684"/>
      <c r="RZO74" s="684"/>
      <c r="RZP74" s="684"/>
      <c r="RZQ74" s="684"/>
      <c r="RZR74" s="684"/>
      <c r="RZS74" s="684"/>
      <c r="RZT74" s="684"/>
      <c r="RZU74" s="684"/>
      <c r="RZV74" s="684"/>
      <c r="RZW74" s="684"/>
      <c r="RZX74" s="684"/>
      <c r="RZY74" s="684"/>
      <c r="RZZ74" s="684"/>
      <c r="SAA74" s="684"/>
      <c r="SAB74" s="684"/>
      <c r="SAC74" s="684"/>
      <c r="SAD74" s="684"/>
      <c r="SAE74" s="684"/>
      <c r="SAF74" s="684"/>
      <c r="SAG74" s="684"/>
      <c r="SAH74" s="684"/>
      <c r="SAI74" s="684"/>
      <c r="SAJ74" s="684"/>
      <c r="SAK74" s="684"/>
      <c r="SAL74" s="684"/>
      <c r="SAM74" s="684"/>
      <c r="SAN74" s="684"/>
      <c r="SAO74" s="684"/>
      <c r="SAP74" s="684"/>
      <c r="SAQ74" s="684"/>
      <c r="SAR74" s="684"/>
      <c r="SAS74" s="684"/>
      <c r="SAT74" s="684"/>
      <c r="SAU74" s="684"/>
      <c r="SAV74" s="684"/>
      <c r="SAW74" s="684"/>
      <c r="SAX74" s="684"/>
      <c r="SAY74" s="684"/>
      <c r="SAZ74" s="684"/>
      <c r="SBA74" s="684"/>
      <c r="SBB74" s="684"/>
      <c r="SBC74" s="684"/>
      <c r="SBD74" s="684"/>
      <c r="SBE74" s="684"/>
      <c r="SBF74" s="684"/>
      <c r="SBG74" s="684"/>
      <c r="SBH74" s="684"/>
      <c r="SBI74" s="684"/>
      <c r="SBJ74" s="684"/>
      <c r="SBK74" s="684"/>
      <c r="SBL74" s="684"/>
      <c r="SBM74" s="684"/>
      <c r="SBN74" s="684"/>
      <c r="SBO74" s="684"/>
      <c r="SBP74" s="684"/>
      <c r="SBQ74" s="684"/>
      <c r="SBR74" s="684"/>
      <c r="SBS74" s="684"/>
      <c r="SBT74" s="684"/>
      <c r="SBU74" s="684"/>
      <c r="SBV74" s="684"/>
      <c r="SBW74" s="684"/>
      <c r="SBX74" s="684"/>
      <c r="SBY74" s="684"/>
      <c r="SBZ74" s="684"/>
      <c r="SCA74" s="684"/>
      <c r="SCB74" s="684"/>
      <c r="SCC74" s="684"/>
      <c r="SCD74" s="684"/>
      <c r="SCE74" s="684"/>
      <c r="SCF74" s="684"/>
      <c r="SCG74" s="684"/>
      <c r="SCH74" s="684"/>
      <c r="SCI74" s="684"/>
      <c r="SCJ74" s="684"/>
      <c r="SCK74" s="684"/>
      <c r="SCL74" s="684"/>
      <c r="SCM74" s="684"/>
      <c r="SCN74" s="684"/>
      <c r="SCO74" s="684"/>
      <c r="SCP74" s="684"/>
      <c r="SCQ74" s="684"/>
      <c r="SCR74" s="684"/>
      <c r="SCS74" s="684"/>
      <c r="SCT74" s="684"/>
      <c r="SCU74" s="684"/>
      <c r="SCV74" s="684"/>
      <c r="SCW74" s="684"/>
      <c r="SCX74" s="684"/>
      <c r="SCY74" s="684"/>
      <c r="SCZ74" s="684"/>
      <c r="SDA74" s="684"/>
      <c r="SDB74" s="684"/>
      <c r="SDC74" s="684"/>
      <c r="SDD74" s="684"/>
      <c r="SDE74" s="684"/>
      <c r="SDF74" s="684"/>
      <c r="SDG74" s="684"/>
      <c r="SDH74" s="684"/>
      <c r="SDI74" s="684"/>
      <c r="SDJ74" s="684"/>
      <c r="SDK74" s="684"/>
      <c r="SDL74" s="684"/>
      <c r="SDM74" s="684"/>
      <c r="SDN74" s="684"/>
      <c r="SDO74" s="684"/>
      <c r="SDP74" s="684"/>
      <c r="SDQ74" s="684"/>
      <c r="SDR74" s="684"/>
      <c r="SDS74" s="684"/>
      <c r="SDT74" s="684"/>
      <c r="SDU74" s="684"/>
      <c r="SDV74" s="684"/>
      <c r="SDW74" s="684"/>
      <c r="SDX74" s="684"/>
      <c r="SDY74" s="684"/>
      <c r="SDZ74" s="684"/>
      <c r="SEA74" s="684"/>
      <c r="SEB74" s="684"/>
      <c r="SEC74" s="684"/>
      <c r="SED74" s="684"/>
      <c r="SEE74" s="684"/>
      <c r="SEF74" s="684"/>
      <c r="SEG74" s="684"/>
      <c r="SEH74" s="684"/>
      <c r="SEI74" s="684"/>
      <c r="SEJ74" s="684"/>
      <c r="SEK74" s="684"/>
      <c r="SEL74" s="684"/>
      <c r="SEM74" s="684"/>
      <c r="SEN74" s="684"/>
      <c r="SEO74" s="684"/>
      <c r="SEP74" s="684"/>
      <c r="SEQ74" s="684"/>
      <c r="SER74" s="684"/>
      <c r="SES74" s="684"/>
      <c r="SET74" s="684"/>
      <c r="SEU74" s="684"/>
      <c r="SEV74" s="684"/>
      <c r="SEW74" s="684"/>
      <c r="SEX74" s="684"/>
      <c r="SEY74" s="684"/>
      <c r="SEZ74" s="684"/>
      <c r="SFA74" s="684"/>
      <c r="SFB74" s="684"/>
      <c r="SFC74" s="684"/>
      <c r="SFD74" s="684"/>
      <c r="SFE74" s="684"/>
      <c r="SFF74" s="684"/>
      <c r="SFG74" s="684"/>
      <c r="SFH74" s="684"/>
      <c r="SFI74" s="684"/>
      <c r="SFJ74" s="684"/>
      <c r="SFK74" s="684"/>
      <c r="SFL74" s="684"/>
      <c r="SFM74" s="684"/>
      <c r="SFN74" s="684"/>
      <c r="SFO74" s="684"/>
      <c r="SFP74" s="684"/>
      <c r="SFQ74" s="684"/>
      <c r="SFR74" s="684"/>
      <c r="SFS74" s="684"/>
      <c r="SFT74" s="684"/>
      <c r="SFU74" s="684"/>
      <c r="SFV74" s="684"/>
      <c r="SFW74" s="684"/>
      <c r="SFX74" s="684"/>
      <c r="SFY74" s="684"/>
      <c r="SFZ74" s="684"/>
      <c r="SGA74" s="684"/>
      <c r="SGB74" s="684"/>
      <c r="SGC74" s="684"/>
      <c r="SGD74" s="684"/>
      <c r="SGE74" s="684"/>
      <c r="SGF74" s="684"/>
      <c r="SGG74" s="684"/>
      <c r="SGH74" s="684"/>
      <c r="SGI74" s="684"/>
      <c r="SGJ74" s="684"/>
      <c r="SGK74" s="684"/>
      <c r="SGL74" s="684"/>
      <c r="SGM74" s="684"/>
      <c r="SGN74" s="684"/>
      <c r="SGO74" s="684"/>
      <c r="SGP74" s="684"/>
      <c r="SGQ74" s="684"/>
      <c r="SGR74" s="684"/>
      <c r="SGS74" s="684"/>
      <c r="SGT74" s="684"/>
      <c r="SGU74" s="684"/>
      <c r="SGV74" s="684"/>
      <c r="SGW74" s="684"/>
      <c r="SGX74" s="684"/>
      <c r="SGY74" s="684"/>
      <c r="SGZ74" s="684"/>
      <c r="SHA74" s="684"/>
      <c r="SHB74" s="684"/>
      <c r="SHC74" s="684"/>
      <c r="SHD74" s="684"/>
      <c r="SHE74" s="684"/>
      <c r="SHF74" s="684"/>
      <c r="SHG74" s="684"/>
      <c r="SHH74" s="684"/>
      <c r="SHI74" s="684"/>
      <c r="SHJ74" s="684"/>
      <c r="SHK74" s="684"/>
      <c r="SHL74" s="684"/>
      <c r="SHM74" s="684"/>
      <c r="SHN74" s="684"/>
      <c r="SHO74" s="684"/>
      <c r="SHP74" s="684"/>
      <c r="SHQ74" s="684"/>
      <c r="SHR74" s="684"/>
      <c r="SHS74" s="684"/>
      <c r="SHT74" s="684"/>
      <c r="SHU74" s="684"/>
      <c r="SHV74" s="684"/>
      <c r="SHW74" s="684"/>
      <c r="SHX74" s="684"/>
      <c r="SHY74" s="684"/>
      <c r="SHZ74" s="684"/>
      <c r="SIA74" s="684"/>
      <c r="SIB74" s="684"/>
      <c r="SIC74" s="684"/>
      <c r="SID74" s="684"/>
      <c r="SIE74" s="684"/>
      <c r="SIF74" s="684"/>
      <c r="SIG74" s="684"/>
      <c r="SIH74" s="684"/>
      <c r="SII74" s="684"/>
      <c r="SIJ74" s="684"/>
      <c r="SIK74" s="684"/>
      <c r="SIL74" s="684"/>
      <c r="SIM74" s="684"/>
      <c r="SIN74" s="684"/>
      <c r="SIO74" s="684"/>
      <c r="SIP74" s="684"/>
      <c r="SIQ74" s="684"/>
      <c r="SIR74" s="684"/>
      <c r="SIS74" s="684"/>
      <c r="SIT74" s="684"/>
      <c r="SIU74" s="684"/>
      <c r="SIV74" s="684"/>
      <c r="SIW74" s="684"/>
      <c r="SIX74" s="684"/>
      <c r="SIY74" s="684"/>
      <c r="SIZ74" s="684"/>
      <c r="SJA74" s="684"/>
      <c r="SJB74" s="684"/>
      <c r="SJC74" s="684"/>
      <c r="SJD74" s="684"/>
      <c r="SJE74" s="684"/>
      <c r="SJF74" s="684"/>
      <c r="SJG74" s="684"/>
      <c r="SJH74" s="684"/>
      <c r="SJI74" s="684"/>
      <c r="SJJ74" s="684"/>
      <c r="SJK74" s="684"/>
      <c r="SJL74" s="684"/>
      <c r="SJM74" s="684"/>
      <c r="SJN74" s="684"/>
      <c r="SJO74" s="684"/>
      <c r="SJP74" s="684"/>
      <c r="SJQ74" s="684"/>
      <c r="SJR74" s="684"/>
      <c r="SJS74" s="684"/>
      <c r="SJT74" s="684"/>
      <c r="SJU74" s="684"/>
      <c r="SJV74" s="684"/>
      <c r="SJW74" s="684"/>
      <c r="SJX74" s="684"/>
      <c r="SJY74" s="684"/>
      <c r="SJZ74" s="684"/>
      <c r="SKA74" s="684"/>
      <c r="SKB74" s="684"/>
      <c r="SKC74" s="684"/>
      <c r="SKD74" s="684"/>
      <c r="SKE74" s="684"/>
      <c r="SKF74" s="684"/>
      <c r="SKG74" s="684"/>
      <c r="SKH74" s="684"/>
      <c r="SKI74" s="684"/>
      <c r="SKJ74" s="684"/>
      <c r="SKK74" s="684"/>
      <c r="SKL74" s="684"/>
      <c r="SKM74" s="684"/>
      <c r="SKN74" s="684"/>
      <c r="SKO74" s="684"/>
      <c r="SKP74" s="684"/>
      <c r="SKQ74" s="684"/>
      <c r="SKR74" s="684"/>
      <c r="SKS74" s="684"/>
      <c r="SKT74" s="684"/>
      <c r="SKU74" s="684"/>
      <c r="SKV74" s="684"/>
      <c r="SKW74" s="684"/>
      <c r="SKX74" s="684"/>
      <c r="SKY74" s="684"/>
      <c r="SKZ74" s="684"/>
      <c r="SLA74" s="684"/>
      <c r="SLB74" s="684"/>
      <c r="SLC74" s="684"/>
      <c r="SLD74" s="684"/>
      <c r="SLE74" s="684"/>
      <c r="SLF74" s="684"/>
      <c r="SLG74" s="684"/>
      <c r="SLH74" s="684"/>
      <c r="SLI74" s="684"/>
      <c r="SLJ74" s="684"/>
      <c r="SLK74" s="684"/>
      <c r="SLL74" s="684"/>
      <c r="SLM74" s="684"/>
      <c r="SLN74" s="684"/>
      <c r="SLO74" s="684"/>
      <c r="SLP74" s="684"/>
      <c r="SLQ74" s="684"/>
      <c r="SLR74" s="684"/>
      <c r="SLS74" s="684"/>
      <c r="SLT74" s="684"/>
      <c r="SLU74" s="684"/>
      <c r="SLV74" s="684"/>
      <c r="SLW74" s="684"/>
      <c r="SLX74" s="684"/>
      <c r="SLY74" s="684"/>
      <c r="SLZ74" s="684"/>
      <c r="SMA74" s="684"/>
      <c r="SMB74" s="684"/>
      <c r="SMC74" s="684"/>
      <c r="SMD74" s="684"/>
      <c r="SME74" s="684"/>
      <c r="SMF74" s="684"/>
      <c r="SMG74" s="684"/>
      <c r="SMH74" s="684"/>
      <c r="SMI74" s="684"/>
      <c r="SMJ74" s="684"/>
      <c r="SMK74" s="684"/>
      <c r="SML74" s="684"/>
      <c r="SMM74" s="684"/>
      <c r="SMN74" s="684"/>
      <c r="SMO74" s="684"/>
      <c r="SMP74" s="684"/>
      <c r="SMQ74" s="684"/>
      <c r="SMR74" s="684"/>
      <c r="SMS74" s="684"/>
      <c r="SMT74" s="684"/>
      <c r="SMU74" s="684"/>
      <c r="SMV74" s="684"/>
      <c r="SMW74" s="684"/>
      <c r="SMX74" s="684"/>
      <c r="SMY74" s="684"/>
      <c r="SMZ74" s="684"/>
      <c r="SNA74" s="684"/>
      <c r="SNB74" s="684"/>
      <c r="SNC74" s="684"/>
      <c r="SND74" s="684"/>
      <c r="SNE74" s="684"/>
      <c r="SNF74" s="684"/>
      <c r="SNG74" s="684"/>
      <c r="SNH74" s="684"/>
      <c r="SNI74" s="684"/>
      <c r="SNJ74" s="684"/>
      <c r="SNK74" s="684"/>
      <c r="SNL74" s="684"/>
      <c r="SNM74" s="684"/>
      <c r="SNN74" s="684"/>
      <c r="SNO74" s="684"/>
      <c r="SNP74" s="684"/>
      <c r="SNQ74" s="684"/>
      <c r="SNR74" s="684"/>
      <c r="SNS74" s="684"/>
      <c r="SNT74" s="684"/>
      <c r="SNU74" s="684"/>
      <c r="SNV74" s="684"/>
      <c r="SNW74" s="684"/>
      <c r="SNX74" s="684"/>
      <c r="SNY74" s="684"/>
      <c r="SNZ74" s="684"/>
      <c r="SOA74" s="684"/>
      <c r="SOB74" s="684"/>
      <c r="SOC74" s="684"/>
      <c r="SOD74" s="684"/>
      <c r="SOE74" s="684"/>
      <c r="SOF74" s="684"/>
      <c r="SOG74" s="684"/>
      <c r="SOH74" s="684"/>
      <c r="SOI74" s="684"/>
      <c r="SOJ74" s="684"/>
      <c r="SOK74" s="684"/>
      <c r="SOL74" s="684"/>
      <c r="SOM74" s="684"/>
      <c r="SON74" s="684"/>
      <c r="SOO74" s="684"/>
      <c r="SOP74" s="684"/>
      <c r="SOQ74" s="684"/>
      <c r="SOR74" s="684"/>
      <c r="SOS74" s="684"/>
      <c r="SOT74" s="684"/>
      <c r="SOU74" s="684"/>
      <c r="SOV74" s="684"/>
      <c r="SOW74" s="684"/>
      <c r="SOX74" s="684"/>
      <c r="SOY74" s="684"/>
      <c r="SOZ74" s="684"/>
      <c r="SPA74" s="684"/>
      <c r="SPB74" s="684"/>
      <c r="SPC74" s="684"/>
      <c r="SPD74" s="684"/>
      <c r="SPE74" s="684"/>
      <c r="SPF74" s="684"/>
      <c r="SPG74" s="684"/>
      <c r="SPH74" s="684"/>
      <c r="SPI74" s="684"/>
      <c r="SPJ74" s="684"/>
      <c r="SPK74" s="684"/>
      <c r="SPL74" s="684"/>
      <c r="SPM74" s="684"/>
      <c r="SPN74" s="684"/>
      <c r="SPO74" s="684"/>
      <c r="SPP74" s="684"/>
      <c r="SPQ74" s="684"/>
      <c r="SPR74" s="684"/>
      <c r="SPS74" s="684"/>
      <c r="SPT74" s="684"/>
      <c r="SPU74" s="684"/>
      <c r="SPV74" s="684"/>
      <c r="SPW74" s="684"/>
      <c r="SPX74" s="684"/>
      <c r="SPY74" s="684"/>
      <c r="SPZ74" s="684"/>
      <c r="SQA74" s="684"/>
      <c r="SQB74" s="684"/>
      <c r="SQC74" s="684"/>
      <c r="SQD74" s="684"/>
      <c r="SQE74" s="684"/>
      <c r="SQF74" s="684"/>
      <c r="SQG74" s="684"/>
      <c r="SQH74" s="684"/>
      <c r="SQI74" s="684"/>
      <c r="SQJ74" s="684"/>
      <c r="SQK74" s="684"/>
      <c r="SQL74" s="684"/>
      <c r="SQM74" s="684"/>
      <c r="SQN74" s="684"/>
      <c r="SQO74" s="684"/>
      <c r="SQP74" s="684"/>
      <c r="SQQ74" s="684"/>
      <c r="SQR74" s="684"/>
      <c r="SQS74" s="684"/>
      <c r="SQT74" s="684"/>
      <c r="SQU74" s="684"/>
      <c r="SQV74" s="684"/>
      <c r="SQW74" s="684"/>
      <c r="SQX74" s="684"/>
      <c r="SQY74" s="684"/>
      <c r="SQZ74" s="684"/>
      <c r="SRA74" s="684"/>
      <c r="SRB74" s="684"/>
      <c r="SRC74" s="684"/>
      <c r="SRD74" s="684"/>
      <c r="SRE74" s="684"/>
      <c r="SRF74" s="684"/>
      <c r="SRG74" s="684"/>
      <c r="SRH74" s="684"/>
      <c r="SRI74" s="684"/>
      <c r="SRJ74" s="684"/>
      <c r="SRK74" s="684"/>
      <c r="SRL74" s="684"/>
      <c r="SRM74" s="684"/>
      <c r="SRN74" s="684"/>
      <c r="SRO74" s="684"/>
      <c r="SRP74" s="684"/>
      <c r="SRQ74" s="684"/>
      <c r="SRR74" s="684"/>
      <c r="SRS74" s="684"/>
      <c r="SRT74" s="684"/>
      <c r="SRU74" s="684"/>
      <c r="SRV74" s="684"/>
      <c r="SRW74" s="684"/>
      <c r="SRX74" s="684"/>
      <c r="SRY74" s="684"/>
      <c r="SRZ74" s="684"/>
      <c r="SSA74" s="684"/>
      <c r="SSB74" s="684"/>
      <c r="SSC74" s="684"/>
      <c r="SSD74" s="684"/>
      <c r="SSE74" s="684"/>
      <c r="SSF74" s="684"/>
      <c r="SSG74" s="684"/>
      <c r="SSH74" s="684"/>
      <c r="SSI74" s="684"/>
      <c r="SSJ74" s="684"/>
      <c r="SSK74" s="684"/>
      <c r="SSL74" s="684"/>
      <c r="SSM74" s="684"/>
      <c r="SSN74" s="684"/>
      <c r="SSO74" s="684"/>
      <c r="SSP74" s="684"/>
      <c r="SSQ74" s="684"/>
      <c r="SSR74" s="684"/>
      <c r="SSS74" s="684"/>
      <c r="SST74" s="684"/>
      <c r="SSU74" s="684"/>
      <c r="SSV74" s="684"/>
      <c r="SSW74" s="684"/>
      <c r="SSX74" s="684"/>
      <c r="SSY74" s="684"/>
      <c r="SSZ74" s="684"/>
      <c r="STA74" s="684"/>
      <c r="STB74" s="684"/>
      <c r="STC74" s="684"/>
      <c r="STD74" s="684"/>
      <c r="STE74" s="684"/>
      <c r="STF74" s="684"/>
      <c r="STG74" s="684"/>
      <c r="STH74" s="684"/>
      <c r="STI74" s="684"/>
      <c r="STJ74" s="684"/>
      <c r="STK74" s="684"/>
      <c r="STL74" s="684"/>
      <c r="STM74" s="684"/>
      <c r="STN74" s="684"/>
      <c r="STO74" s="684"/>
      <c r="STP74" s="684"/>
      <c r="STQ74" s="684"/>
      <c r="STR74" s="684"/>
      <c r="STS74" s="684"/>
      <c r="STT74" s="684"/>
      <c r="STU74" s="684"/>
      <c r="STV74" s="684"/>
      <c r="STW74" s="684"/>
      <c r="STX74" s="684"/>
      <c r="STY74" s="684"/>
      <c r="STZ74" s="684"/>
      <c r="SUA74" s="684"/>
      <c r="SUB74" s="684"/>
      <c r="SUC74" s="684"/>
      <c r="SUD74" s="684"/>
      <c r="SUE74" s="684"/>
      <c r="SUF74" s="684"/>
      <c r="SUG74" s="684"/>
      <c r="SUH74" s="684"/>
      <c r="SUI74" s="684"/>
      <c r="SUJ74" s="684"/>
      <c r="SUK74" s="684"/>
      <c r="SUL74" s="684"/>
      <c r="SUM74" s="684"/>
      <c r="SUN74" s="684"/>
      <c r="SUO74" s="684"/>
      <c r="SUP74" s="684"/>
      <c r="SUQ74" s="684"/>
      <c r="SUR74" s="684"/>
      <c r="SUS74" s="684"/>
      <c r="SUT74" s="684"/>
      <c r="SUU74" s="684"/>
      <c r="SUV74" s="684"/>
      <c r="SUW74" s="684"/>
      <c r="SUX74" s="684"/>
      <c r="SUY74" s="684"/>
      <c r="SUZ74" s="684"/>
      <c r="SVA74" s="684"/>
      <c r="SVB74" s="684"/>
      <c r="SVC74" s="684"/>
      <c r="SVD74" s="684"/>
      <c r="SVE74" s="684"/>
      <c r="SVF74" s="684"/>
      <c r="SVG74" s="684"/>
      <c r="SVH74" s="684"/>
      <c r="SVI74" s="684"/>
      <c r="SVJ74" s="684"/>
      <c r="SVK74" s="684"/>
      <c r="SVL74" s="684"/>
      <c r="SVM74" s="684"/>
      <c r="SVN74" s="684"/>
      <c r="SVO74" s="684"/>
      <c r="SVP74" s="684"/>
      <c r="SVQ74" s="684"/>
      <c r="SVR74" s="684"/>
      <c r="SVS74" s="684"/>
      <c r="SVT74" s="684"/>
      <c r="SVU74" s="684"/>
      <c r="SVV74" s="684"/>
      <c r="SVW74" s="684"/>
      <c r="SVX74" s="684"/>
      <c r="SVY74" s="684"/>
      <c r="SVZ74" s="684"/>
      <c r="SWA74" s="684"/>
      <c r="SWB74" s="684"/>
      <c r="SWC74" s="684"/>
      <c r="SWD74" s="684"/>
      <c r="SWE74" s="684"/>
      <c r="SWF74" s="684"/>
      <c r="SWG74" s="684"/>
      <c r="SWH74" s="684"/>
      <c r="SWI74" s="684"/>
      <c r="SWJ74" s="684"/>
      <c r="SWK74" s="684"/>
      <c r="SWL74" s="684"/>
      <c r="SWM74" s="684"/>
      <c r="SWN74" s="684"/>
      <c r="SWO74" s="684"/>
      <c r="SWP74" s="684"/>
      <c r="SWQ74" s="684"/>
      <c r="SWR74" s="684"/>
      <c r="SWS74" s="684"/>
      <c r="SWT74" s="684"/>
      <c r="SWU74" s="684"/>
      <c r="SWV74" s="684"/>
      <c r="SWW74" s="684"/>
      <c r="SWX74" s="684"/>
      <c r="SWY74" s="684"/>
      <c r="SWZ74" s="684"/>
      <c r="SXA74" s="684"/>
      <c r="SXB74" s="684"/>
      <c r="SXC74" s="684"/>
      <c r="SXD74" s="684"/>
      <c r="SXE74" s="684"/>
      <c r="SXF74" s="684"/>
      <c r="SXG74" s="684"/>
      <c r="SXH74" s="684"/>
      <c r="SXI74" s="684"/>
      <c r="SXJ74" s="684"/>
      <c r="SXK74" s="684"/>
      <c r="SXL74" s="684"/>
      <c r="SXM74" s="684"/>
      <c r="SXN74" s="684"/>
      <c r="SXO74" s="684"/>
      <c r="SXP74" s="684"/>
      <c r="SXQ74" s="684"/>
      <c r="SXR74" s="684"/>
      <c r="SXS74" s="684"/>
      <c r="SXT74" s="684"/>
      <c r="SXU74" s="684"/>
      <c r="SXV74" s="684"/>
      <c r="SXW74" s="684"/>
      <c r="SXX74" s="684"/>
      <c r="SXY74" s="684"/>
      <c r="SXZ74" s="684"/>
      <c r="SYA74" s="684"/>
      <c r="SYB74" s="684"/>
      <c r="SYC74" s="684"/>
      <c r="SYD74" s="684"/>
      <c r="SYE74" s="684"/>
      <c r="SYF74" s="684"/>
      <c r="SYG74" s="684"/>
      <c r="SYH74" s="684"/>
      <c r="SYI74" s="684"/>
      <c r="SYJ74" s="684"/>
      <c r="SYK74" s="684"/>
      <c r="SYL74" s="684"/>
      <c r="SYM74" s="684"/>
      <c r="SYN74" s="684"/>
      <c r="SYO74" s="684"/>
      <c r="SYP74" s="684"/>
      <c r="SYQ74" s="684"/>
      <c r="SYR74" s="684"/>
      <c r="SYS74" s="684"/>
      <c r="SYT74" s="684"/>
      <c r="SYU74" s="684"/>
      <c r="SYV74" s="684"/>
      <c r="SYW74" s="684"/>
      <c r="SYX74" s="684"/>
      <c r="SYY74" s="684"/>
      <c r="SYZ74" s="684"/>
      <c r="SZA74" s="684"/>
      <c r="SZB74" s="684"/>
      <c r="SZC74" s="684"/>
      <c r="SZD74" s="684"/>
      <c r="SZE74" s="684"/>
      <c r="SZF74" s="684"/>
      <c r="SZG74" s="684"/>
      <c r="SZH74" s="684"/>
      <c r="SZI74" s="684"/>
      <c r="SZJ74" s="684"/>
      <c r="SZK74" s="684"/>
      <c r="SZL74" s="684"/>
      <c r="SZM74" s="684"/>
      <c r="SZN74" s="684"/>
      <c r="SZO74" s="684"/>
      <c r="SZP74" s="684"/>
      <c r="SZQ74" s="684"/>
      <c r="SZR74" s="684"/>
      <c r="SZS74" s="684"/>
      <c r="SZT74" s="684"/>
      <c r="SZU74" s="684"/>
      <c r="SZV74" s="684"/>
      <c r="SZW74" s="684"/>
      <c r="SZX74" s="684"/>
      <c r="SZY74" s="684"/>
      <c r="SZZ74" s="684"/>
      <c r="TAA74" s="684"/>
      <c r="TAB74" s="684"/>
      <c r="TAC74" s="684"/>
      <c r="TAD74" s="684"/>
      <c r="TAE74" s="684"/>
      <c r="TAF74" s="684"/>
      <c r="TAG74" s="684"/>
      <c r="TAH74" s="684"/>
      <c r="TAI74" s="684"/>
      <c r="TAJ74" s="684"/>
      <c r="TAK74" s="684"/>
      <c r="TAL74" s="684"/>
      <c r="TAM74" s="684"/>
      <c r="TAN74" s="684"/>
      <c r="TAO74" s="684"/>
      <c r="TAP74" s="684"/>
      <c r="TAQ74" s="684"/>
      <c r="TAR74" s="684"/>
      <c r="TAS74" s="684"/>
      <c r="TAT74" s="684"/>
      <c r="TAU74" s="684"/>
      <c r="TAV74" s="684"/>
      <c r="TAW74" s="684"/>
      <c r="TAX74" s="684"/>
      <c r="TAY74" s="684"/>
      <c r="TAZ74" s="684"/>
      <c r="TBA74" s="684"/>
      <c r="TBB74" s="684"/>
      <c r="TBC74" s="684"/>
      <c r="TBD74" s="684"/>
      <c r="TBE74" s="684"/>
      <c r="TBF74" s="684"/>
      <c r="TBG74" s="684"/>
      <c r="TBH74" s="684"/>
      <c r="TBI74" s="684"/>
      <c r="TBJ74" s="684"/>
      <c r="TBK74" s="684"/>
      <c r="TBL74" s="684"/>
      <c r="TBM74" s="684"/>
      <c r="TBN74" s="684"/>
      <c r="TBO74" s="684"/>
      <c r="TBP74" s="684"/>
      <c r="TBQ74" s="684"/>
      <c r="TBR74" s="684"/>
      <c r="TBS74" s="684"/>
      <c r="TBT74" s="684"/>
      <c r="TBU74" s="684"/>
      <c r="TBV74" s="684"/>
      <c r="TBW74" s="684"/>
      <c r="TBX74" s="684"/>
      <c r="TBY74" s="684"/>
      <c r="TBZ74" s="684"/>
      <c r="TCA74" s="684"/>
      <c r="TCB74" s="684"/>
      <c r="TCC74" s="684"/>
      <c r="TCD74" s="684"/>
      <c r="TCE74" s="684"/>
      <c r="TCF74" s="684"/>
      <c r="TCG74" s="684"/>
      <c r="TCH74" s="684"/>
      <c r="TCI74" s="684"/>
      <c r="TCJ74" s="684"/>
      <c r="TCK74" s="684"/>
      <c r="TCL74" s="684"/>
      <c r="TCM74" s="684"/>
      <c r="TCN74" s="684"/>
      <c r="TCO74" s="684"/>
      <c r="TCP74" s="684"/>
      <c r="TCQ74" s="684"/>
      <c r="TCR74" s="684"/>
      <c r="TCS74" s="684"/>
      <c r="TCT74" s="684"/>
      <c r="TCU74" s="684"/>
      <c r="TCV74" s="684"/>
      <c r="TCW74" s="684"/>
      <c r="TCX74" s="684"/>
      <c r="TCY74" s="684"/>
      <c r="TCZ74" s="684"/>
      <c r="TDA74" s="684"/>
      <c r="TDB74" s="684"/>
      <c r="TDC74" s="684"/>
      <c r="TDD74" s="684"/>
      <c r="TDE74" s="684"/>
      <c r="TDF74" s="684"/>
      <c r="TDG74" s="684"/>
      <c r="TDH74" s="684"/>
      <c r="TDI74" s="684"/>
      <c r="TDJ74" s="684"/>
      <c r="TDK74" s="684"/>
      <c r="TDL74" s="684"/>
      <c r="TDM74" s="684"/>
      <c r="TDN74" s="684"/>
      <c r="TDO74" s="684"/>
      <c r="TDP74" s="684"/>
      <c r="TDQ74" s="684"/>
      <c r="TDR74" s="684"/>
      <c r="TDS74" s="684"/>
      <c r="TDT74" s="684"/>
      <c r="TDU74" s="684"/>
      <c r="TDV74" s="684"/>
      <c r="TDW74" s="684"/>
      <c r="TDX74" s="684"/>
      <c r="TDY74" s="684"/>
      <c r="TDZ74" s="684"/>
      <c r="TEA74" s="684"/>
      <c r="TEB74" s="684"/>
      <c r="TEC74" s="684"/>
      <c r="TED74" s="684"/>
      <c r="TEE74" s="684"/>
      <c r="TEF74" s="684"/>
      <c r="TEG74" s="684"/>
      <c r="TEH74" s="684"/>
      <c r="TEI74" s="684"/>
      <c r="TEJ74" s="684"/>
      <c r="TEK74" s="684"/>
      <c r="TEL74" s="684"/>
      <c r="TEM74" s="684"/>
      <c r="TEN74" s="684"/>
      <c r="TEO74" s="684"/>
      <c r="TEP74" s="684"/>
      <c r="TEQ74" s="684"/>
      <c r="TER74" s="684"/>
      <c r="TES74" s="684"/>
      <c r="TET74" s="684"/>
      <c r="TEU74" s="684"/>
      <c r="TEV74" s="684"/>
      <c r="TEW74" s="684"/>
      <c r="TEX74" s="684"/>
      <c r="TEY74" s="684"/>
      <c r="TEZ74" s="684"/>
      <c r="TFA74" s="684"/>
      <c r="TFB74" s="684"/>
      <c r="TFC74" s="684"/>
      <c r="TFD74" s="684"/>
      <c r="TFE74" s="684"/>
      <c r="TFF74" s="684"/>
      <c r="TFG74" s="684"/>
      <c r="TFH74" s="684"/>
      <c r="TFI74" s="684"/>
      <c r="TFJ74" s="684"/>
      <c r="TFK74" s="684"/>
      <c r="TFL74" s="684"/>
      <c r="TFM74" s="684"/>
      <c r="TFN74" s="684"/>
      <c r="TFO74" s="684"/>
      <c r="TFP74" s="684"/>
      <c r="TFQ74" s="684"/>
      <c r="TFR74" s="684"/>
      <c r="TFS74" s="684"/>
      <c r="TFT74" s="684"/>
      <c r="TFU74" s="684"/>
      <c r="TFV74" s="684"/>
      <c r="TFW74" s="684"/>
      <c r="TFX74" s="684"/>
      <c r="TFY74" s="684"/>
      <c r="TFZ74" s="684"/>
      <c r="TGA74" s="684"/>
      <c r="TGB74" s="684"/>
      <c r="TGC74" s="684"/>
      <c r="TGD74" s="684"/>
      <c r="TGE74" s="684"/>
      <c r="TGF74" s="684"/>
      <c r="TGG74" s="684"/>
      <c r="TGH74" s="684"/>
      <c r="TGI74" s="684"/>
      <c r="TGJ74" s="684"/>
      <c r="TGK74" s="684"/>
      <c r="TGL74" s="684"/>
      <c r="TGM74" s="684"/>
      <c r="TGN74" s="684"/>
      <c r="TGO74" s="684"/>
      <c r="TGP74" s="684"/>
      <c r="TGQ74" s="684"/>
      <c r="TGR74" s="684"/>
      <c r="TGS74" s="684"/>
      <c r="TGT74" s="684"/>
      <c r="TGU74" s="684"/>
      <c r="TGV74" s="684"/>
      <c r="TGW74" s="684"/>
      <c r="TGX74" s="684"/>
      <c r="TGY74" s="684"/>
      <c r="TGZ74" s="684"/>
      <c r="THA74" s="684"/>
      <c r="THB74" s="684"/>
      <c r="THC74" s="684"/>
      <c r="THD74" s="684"/>
      <c r="THE74" s="684"/>
      <c r="THF74" s="684"/>
      <c r="THG74" s="684"/>
      <c r="THH74" s="684"/>
      <c r="THI74" s="684"/>
      <c r="THJ74" s="684"/>
      <c r="THK74" s="684"/>
      <c r="THL74" s="684"/>
      <c r="THM74" s="684"/>
      <c r="THN74" s="684"/>
      <c r="THO74" s="684"/>
      <c r="THP74" s="684"/>
      <c r="THQ74" s="684"/>
      <c r="THR74" s="684"/>
      <c r="THS74" s="684"/>
      <c r="THT74" s="684"/>
      <c r="THU74" s="684"/>
      <c r="THV74" s="684"/>
      <c r="THW74" s="684"/>
      <c r="THX74" s="684"/>
      <c r="THY74" s="684"/>
      <c r="THZ74" s="684"/>
      <c r="TIA74" s="684"/>
      <c r="TIB74" s="684"/>
      <c r="TIC74" s="684"/>
      <c r="TID74" s="684"/>
      <c r="TIE74" s="684"/>
      <c r="TIF74" s="684"/>
      <c r="TIG74" s="684"/>
      <c r="TIH74" s="684"/>
      <c r="TII74" s="684"/>
      <c r="TIJ74" s="684"/>
      <c r="TIK74" s="684"/>
      <c r="TIL74" s="684"/>
      <c r="TIM74" s="684"/>
      <c r="TIN74" s="684"/>
      <c r="TIO74" s="684"/>
      <c r="TIP74" s="684"/>
      <c r="TIQ74" s="684"/>
      <c r="TIR74" s="684"/>
      <c r="TIS74" s="684"/>
      <c r="TIT74" s="684"/>
      <c r="TIU74" s="684"/>
      <c r="TIV74" s="684"/>
      <c r="TIW74" s="684"/>
      <c r="TIX74" s="684"/>
      <c r="TIY74" s="684"/>
      <c r="TIZ74" s="684"/>
      <c r="TJA74" s="684"/>
      <c r="TJB74" s="684"/>
      <c r="TJC74" s="684"/>
      <c r="TJD74" s="684"/>
      <c r="TJE74" s="684"/>
      <c r="TJF74" s="684"/>
      <c r="TJG74" s="684"/>
      <c r="TJH74" s="684"/>
      <c r="TJI74" s="684"/>
      <c r="TJJ74" s="684"/>
      <c r="TJK74" s="684"/>
      <c r="TJL74" s="684"/>
      <c r="TJM74" s="684"/>
      <c r="TJN74" s="684"/>
      <c r="TJO74" s="684"/>
      <c r="TJP74" s="684"/>
      <c r="TJQ74" s="684"/>
      <c r="TJR74" s="684"/>
      <c r="TJS74" s="684"/>
      <c r="TJT74" s="684"/>
      <c r="TJU74" s="684"/>
      <c r="TJV74" s="684"/>
      <c r="TJW74" s="684"/>
      <c r="TJX74" s="684"/>
      <c r="TJY74" s="684"/>
      <c r="TJZ74" s="684"/>
      <c r="TKA74" s="684"/>
      <c r="TKB74" s="684"/>
      <c r="TKC74" s="684"/>
      <c r="TKD74" s="684"/>
      <c r="TKE74" s="684"/>
      <c r="TKF74" s="684"/>
      <c r="TKG74" s="684"/>
      <c r="TKH74" s="684"/>
      <c r="TKI74" s="684"/>
      <c r="TKJ74" s="684"/>
      <c r="TKK74" s="684"/>
      <c r="TKL74" s="684"/>
      <c r="TKM74" s="684"/>
      <c r="TKN74" s="684"/>
      <c r="TKO74" s="684"/>
      <c r="TKP74" s="684"/>
      <c r="TKQ74" s="684"/>
      <c r="TKR74" s="684"/>
      <c r="TKS74" s="684"/>
      <c r="TKT74" s="684"/>
      <c r="TKU74" s="684"/>
      <c r="TKV74" s="684"/>
      <c r="TKW74" s="684"/>
      <c r="TKX74" s="684"/>
      <c r="TKY74" s="684"/>
      <c r="TKZ74" s="684"/>
      <c r="TLA74" s="684"/>
      <c r="TLB74" s="684"/>
      <c r="TLC74" s="684"/>
      <c r="TLD74" s="684"/>
      <c r="TLE74" s="684"/>
      <c r="TLF74" s="684"/>
      <c r="TLG74" s="684"/>
      <c r="TLH74" s="684"/>
      <c r="TLI74" s="684"/>
      <c r="TLJ74" s="684"/>
      <c r="TLK74" s="684"/>
      <c r="TLL74" s="684"/>
      <c r="TLM74" s="684"/>
      <c r="TLN74" s="684"/>
      <c r="TLO74" s="684"/>
      <c r="TLP74" s="684"/>
      <c r="TLQ74" s="684"/>
      <c r="TLR74" s="684"/>
      <c r="TLS74" s="684"/>
      <c r="TLT74" s="684"/>
      <c r="TLU74" s="684"/>
      <c r="TLV74" s="684"/>
      <c r="TLW74" s="684"/>
      <c r="TLX74" s="684"/>
      <c r="TLY74" s="684"/>
      <c r="TLZ74" s="684"/>
      <c r="TMA74" s="684"/>
      <c r="TMB74" s="684"/>
      <c r="TMC74" s="684"/>
      <c r="TMD74" s="684"/>
      <c r="TME74" s="684"/>
      <c r="TMF74" s="684"/>
      <c r="TMG74" s="684"/>
      <c r="TMH74" s="684"/>
      <c r="TMI74" s="684"/>
      <c r="TMJ74" s="684"/>
      <c r="TMK74" s="684"/>
      <c r="TML74" s="684"/>
      <c r="TMM74" s="684"/>
      <c r="TMN74" s="684"/>
      <c r="TMO74" s="684"/>
      <c r="TMP74" s="684"/>
      <c r="TMQ74" s="684"/>
      <c r="TMR74" s="684"/>
      <c r="TMS74" s="684"/>
      <c r="TMT74" s="684"/>
      <c r="TMU74" s="684"/>
      <c r="TMV74" s="684"/>
      <c r="TMW74" s="684"/>
      <c r="TMX74" s="684"/>
      <c r="TMY74" s="684"/>
      <c r="TMZ74" s="684"/>
      <c r="TNA74" s="684"/>
      <c r="TNB74" s="684"/>
      <c r="TNC74" s="684"/>
      <c r="TND74" s="684"/>
      <c r="TNE74" s="684"/>
      <c r="TNF74" s="684"/>
      <c r="TNG74" s="684"/>
      <c r="TNH74" s="684"/>
      <c r="TNI74" s="684"/>
      <c r="TNJ74" s="684"/>
      <c r="TNK74" s="684"/>
      <c r="TNL74" s="684"/>
      <c r="TNM74" s="684"/>
      <c r="TNN74" s="684"/>
      <c r="TNO74" s="684"/>
      <c r="TNP74" s="684"/>
      <c r="TNQ74" s="684"/>
      <c r="TNR74" s="684"/>
      <c r="TNS74" s="684"/>
      <c r="TNT74" s="684"/>
      <c r="TNU74" s="684"/>
      <c r="TNV74" s="684"/>
      <c r="TNW74" s="684"/>
      <c r="TNX74" s="684"/>
      <c r="TNY74" s="684"/>
      <c r="TNZ74" s="684"/>
      <c r="TOA74" s="684"/>
      <c r="TOB74" s="684"/>
      <c r="TOC74" s="684"/>
      <c r="TOD74" s="684"/>
      <c r="TOE74" s="684"/>
      <c r="TOF74" s="684"/>
      <c r="TOG74" s="684"/>
      <c r="TOH74" s="684"/>
      <c r="TOI74" s="684"/>
      <c r="TOJ74" s="684"/>
      <c r="TOK74" s="684"/>
      <c r="TOL74" s="684"/>
      <c r="TOM74" s="684"/>
      <c r="TON74" s="684"/>
      <c r="TOO74" s="684"/>
      <c r="TOP74" s="684"/>
      <c r="TOQ74" s="684"/>
      <c r="TOR74" s="684"/>
      <c r="TOS74" s="684"/>
      <c r="TOT74" s="684"/>
      <c r="TOU74" s="684"/>
      <c r="TOV74" s="684"/>
      <c r="TOW74" s="684"/>
      <c r="TOX74" s="684"/>
      <c r="TOY74" s="684"/>
      <c r="TOZ74" s="684"/>
      <c r="TPA74" s="684"/>
      <c r="TPB74" s="684"/>
      <c r="TPC74" s="684"/>
      <c r="TPD74" s="684"/>
      <c r="TPE74" s="684"/>
      <c r="TPF74" s="684"/>
      <c r="TPG74" s="684"/>
      <c r="TPH74" s="684"/>
      <c r="TPI74" s="684"/>
      <c r="TPJ74" s="684"/>
      <c r="TPK74" s="684"/>
      <c r="TPL74" s="684"/>
      <c r="TPM74" s="684"/>
      <c r="TPN74" s="684"/>
      <c r="TPO74" s="684"/>
      <c r="TPP74" s="684"/>
      <c r="TPQ74" s="684"/>
      <c r="TPR74" s="684"/>
      <c r="TPS74" s="684"/>
      <c r="TPT74" s="684"/>
      <c r="TPU74" s="684"/>
      <c r="TPV74" s="684"/>
      <c r="TPW74" s="684"/>
      <c r="TPX74" s="684"/>
      <c r="TPY74" s="684"/>
      <c r="TPZ74" s="684"/>
      <c r="TQA74" s="684"/>
      <c r="TQB74" s="684"/>
      <c r="TQC74" s="684"/>
      <c r="TQD74" s="684"/>
      <c r="TQE74" s="684"/>
      <c r="TQF74" s="684"/>
      <c r="TQG74" s="684"/>
      <c r="TQH74" s="684"/>
      <c r="TQI74" s="684"/>
      <c r="TQJ74" s="684"/>
      <c r="TQK74" s="684"/>
      <c r="TQL74" s="684"/>
      <c r="TQM74" s="684"/>
      <c r="TQN74" s="684"/>
      <c r="TQO74" s="684"/>
      <c r="TQP74" s="684"/>
      <c r="TQQ74" s="684"/>
      <c r="TQR74" s="684"/>
      <c r="TQS74" s="684"/>
      <c r="TQT74" s="684"/>
      <c r="TQU74" s="684"/>
      <c r="TQV74" s="684"/>
      <c r="TQW74" s="684"/>
      <c r="TQX74" s="684"/>
      <c r="TQY74" s="684"/>
      <c r="TQZ74" s="684"/>
      <c r="TRA74" s="684"/>
      <c r="TRB74" s="684"/>
      <c r="TRC74" s="684"/>
      <c r="TRD74" s="684"/>
      <c r="TRE74" s="684"/>
      <c r="TRF74" s="684"/>
      <c r="TRG74" s="684"/>
      <c r="TRH74" s="684"/>
      <c r="TRI74" s="684"/>
      <c r="TRJ74" s="684"/>
      <c r="TRK74" s="684"/>
      <c r="TRL74" s="684"/>
      <c r="TRM74" s="684"/>
      <c r="TRN74" s="684"/>
      <c r="TRO74" s="684"/>
      <c r="TRP74" s="684"/>
      <c r="TRQ74" s="684"/>
      <c r="TRR74" s="684"/>
      <c r="TRS74" s="684"/>
      <c r="TRT74" s="684"/>
      <c r="TRU74" s="684"/>
      <c r="TRV74" s="684"/>
      <c r="TRW74" s="684"/>
      <c r="TRX74" s="684"/>
      <c r="TRY74" s="684"/>
      <c r="TRZ74" s="684"/>
      <c r="TSA74" s="684"/>
      <c r="TSB74" s="684"/>
      <c r="TSC74" s="684"/>
      <c r="TSD74" s="684"/>
      <c r="TSE74" s="684"/>
      <c r="TSF74" s="684"/>
      <c r="TSG74" s="684"/>
      <c r="TSH74" s="684"/>
      <c r="TSI74" s="684"/>
      <c r="TSJ74" s="684"/>
      <c r="TSK74" s="684"/>
      <c r="TSL74" s="684"/>
      <c r="TSM74" s="684"/>
      <c r="TSN74" s="684"/>
      <c r="TSO74" s="684"/>
      <c r="TSP74" s="684"/>
      <c r="TSQ74" s="684"/>
      <c r="TSR74" s="684"/>
      <c r="TSS74" s="684"/>
      <c r="TST74" s="684"/>
      <c r="TSU74" s="684"/>
      <c r="TSV74" s="684"/>
      <c r="TSW74" s="684"/>
      <c r="TSX74" s="684"/>
      <c r="TSY74" s="684"/>
      <c r="TSZ74" s="684"/>
      <c r="TTA74" s="684"/>
      <c r="TTB74" s="684"/>
      <c r="TTC74" s="684"/>
      <c r="TTD74" s="684"/>
      <c r="TTE74" s="684"/>
      <c r="TTF74" s="684"/>
      <c r="TTG74" s="684"/>
      <c r="TTH74" s="684"/>
      <c r="TTI74" s="684"/>
      <c r="TTJ74" s="684"/>
      <c r="TTK74" s="684"/>
      <c r="TTL74" s="684"/>
      <c r="TTM74" s="684"/>
      <c r="TTN74" s="684"/>
      <c r="TTO74" s="684"/>
      <c r="TTP74" s="684"/>
      <c r="TTQ74" s="684"/>
      <c r="TTR74" s="684"/>
      <c r="TTS74" s="684"/>
      <c r="TTT74" s="684"/>
      <c r="TTU74" s="684"/>
      <c r="TTV74" s="684"/>
      <c r="TTW74" s="684"/>
      <c r="TTX74" s="684"/>
      <c r="TTY74" s="684"/>
      <c r="TTZ74" s="684"/>
      <c r="TUA74" s="684"/>
      <c r="TUB74" s="684"/>
      <c r="TUC74" s="684"/>
      <c r="TUD74" s="684"/>
      <c r="TUE74" s="684"/>
      <c r="TUF74" s="684"/>
      <c r="TUG74" s="684"/>
      <c r="TUH74" s="684"/>
      <c r="TUI74" s="684"/>
      <c r="TUJ74" s="684"/>
      <c r="TUK74" s="684"/>
      <c r="TUL74" s="684"/>
      <c r="TUM74" s="684"/>
      <c r="TUN74" s="684"/>
      <c r="TUO74" s="684"/>
      <c r="TUP74" s="684"/>
      <c r="TUQ74" s="684"/>
      <c r="TUR74" s="684"/>
      <c r="TUS74" s="684"/>
      <c r="TUT74" s="684"/>
      <c r="TUU74" s="684"/>
      <c r="TUV74" s="684"/>
      <c r="TUW74" s="684"/>
      <c r="TUX74" s="684"/>
      <c r="TUY74" s="684"/>
      <c r="TUZ74" s="684"/>
      <c r="TVA74" s="684"/>
      <c r="TVB74" s="684"/>
      <c r="TVC74" s="684"/>
      <c r="TVD74" s="684"/>
      <c r="TVE74" s="684"/>
      <c r="TVF74" s="684"/>
      <c r="TVG74" s="684"/>
      <c r="TVH74" s="684"/>
      <c r="TVI74" s="684"/>
      <c r="TVJ74" s="684"/>
      <c r="TVK74" s="684"/>
      <c r="TVL74" s="684"/>
      <c r="TVM74" s="684"/>
      <c r="TVN74" s="684"/>
      <c r="TVO74" s="684"/>
      <c r="TVP74" s="684"/>
      <c r="TVQ74" s="684"/>
      <c r="TVR74" s="684"/>
      <c r="TVS74" s="684"/>
      <c r="TVT74" s="684"/>
      <c r="TVU74" s="684"/>
      <c r="TVV74" s="684"/>
      <c r="TVW74" s="684"/>
      <c r="TVX74" s="684"/>
      <c r="TVY74" s="684"/>
      <c r="TVZ74" s="684"/>
      <c r="TWA74" s="684"/>
      <c r="TWB74" s="684"/>
      <c r="TWC74" s="684"/>
      <c r="TWD74" s="684"/>
      <c r="TWE74" s="684"/>
      <c r="TWF74" s="684"/>
      <c r="TWG74" s="684"/>
      <c r="TWH74" s="684"/>
      <c r="TWI74" s="684"/>
      <c r="TWJ74" s="684"/>
      <c r="TWK74" s="684"/>
      <c r="TWL74" s="684"/>
      <c r="TWM74" s="684"/>
      <c r="TWN74" s="684"/>
      <c r="TWO74" s="684"/>
      <c r="TWP74" s="684"/>
      <c r="TWQ74" s="684"/>
      <c r="TWR74" s="684"/>
      <c r="TWS74" s="684"/>
      <c r="TWT74" s="684"/>
      <c r="TWU74" s="684"/>
      <c r="TWV74" s="684"/>
      <c r="TWW74" s="684"/>
      <c r="TWX74" s="684"/>
      <c r="TWY74" s="684"/>
      <c r="TWZ74" s="684"/>
      <c r="TXA74" s="684"/>
      <c r="TXB74" s="684"/>
      <c r="TXC74" s="684"/>
      <c r="TXD74" s="684"/>
      <c r="TXE74" s="684"/>
      <c r="TXF74" s="684"/>
      <c r="TXG74" s="684"/>
      <c r="TXH74" s="684"/>
      <c r="TXI74" s="684"/>
      <c r="TXJ74" s="684"/>
      <c r="TXK74" s="684"/>
      <c r="TXL74" s="684"/>
      <c r="TXM74" s="684"/>
      <c r="TXN74" s="684"/>
      <c r="TXO74" s="684"/>
      <c r="TXP74" s="684"/>
      <c r="TXQ74" s="684"/>
      <c r="TXR74" s="684"/>
      <c r="TXS74" s="684"/>
      <c r="TXT74" s="684"/>
      <c r="TXU74" s="684"/>
      <c r="TXV74" s="684"/>
      <c r="TXW74" s="684"/>
      <c r="TXX74" s="684"/>
      <c r="TXY74" s="684"/>
      <c r="TXZ74" s="684"/>
      <c r="TYA74" s="684"/>
      <c r="TYB74" s="684"/>
      <c r="TYC74" s="684"/>
      <c r="TYD74" s="684"/>
      <c r="TYE74" s="684"/>
      <c r="TYF74" s="684"/>
      <c r="TYG74" s="684"/>
      <c r="TYH74" s="684"/>
      <c r="TYI74" s="684"/>
      <c r="TYJ74" s="684"/>
      <c r="TYK74" s="684"/>
      <c r="TYL74" s="684"/>
      <c r="TYM74" s="684"/>
      <c r="TYN74" s="684"/>
      <c r="TYO74" s="684"/>
      <c r="TYP74" s="684"/>
      <c r="TYQ74" s="684"/>
      <c r="TYR74" s="684"/>
      <c r="TYS74" s="684"/>
      <c r="TYT74" s="684"/>
      <c r="TYU74" s="684"/>
      <c r="TYV74" s="684"/>
      <c r="TYW74" s="684"/>
      <c r="TYX74" s="684"/>
      <c r="TYY74" s="684"/>
      <c r="TYZ74" s="684"/>
      <c r="TZA74" s="684"/>
      <c r="TZB74" s="684"/>
      <c r="TZC74" s="684"/>
      <c r="TZD74" s="684"/>
      <c r="TZE74" s="684"/>
      <c r="TZF74" s="684"/>
      <c r="TZG74" s="684"/>
      <c r="TZH74" s="684"/>
      <c r="TZI74" s="684"/>
      <c r="TZJ74" s="684"/>
      <c r="TZK74" s="684"/>
      <c r="TZL74" s="684"/>
      <c r="TZM74" s="684"/>
      <c r="TZN74" s="684"/>
      <c r="TZO74" s="684"/>
      <c r="TZP74" s="684"/>
      <c r="TZQ74" s="684"/>
      <c r="TZR74" s="684"/>
      <c r="TZS74" s="684"/>
      <c r="TZT74" s="684"/>
      <c r="TZU74" s="684"/>
      <c r="TZV74" s="684"/>
      <c r="TZW74" s="684"/>
      <c r="TZX74" s="684"/>
      <c r="TZY74" s="684"/>
      <c r="TZZ74" s="684"/>
      <c r="UAA74" s="684"/>
      <c r="UAB74" s="684"/>
      <c r="UAC74" s="684"/>
      <c r="UAD74" s="684"/>
      <c r="UAE74" s="684"/>
      <c r="UAF74" s="684"/>
      <c r="UAG74" s="684"/>
      <c r="UAH74" s="684"/>
      <c r="UAI74" s="684"/>
      <c r="UAJ74" s="684"/>
      <c r="UAK74" s="684"/>
      <c r="UAL74" s="684"/>
      <c r="UAM74" s="684"/>
      <c r="UAN74" s="684"/>
      <c r="UAO74" s="684"/>
      <c r="UAP74" s="684"/>
      <c r="UAQ74" s="684"/>
      <c r="UAR74" s="684"/>
      <c r="UAS74" s="684"/>
      <c r="UAT74" s="684"/>
      <c r="UAU74" s="684"/>
      <c r="UAV74" s="684"/>
      <c r="UAW74" s="684"/>
      <c r="UAX74" s="684"/>
      <c r="UAY74" s="684"/>
      <c r="UAZ74" s="684"/>
      <c r="UBA74" s="684"/>
      <c r="UBB74" s="684"/>
      <c r="UBC74" s="684"/>
      <c r="UBD74" s="684"/>
      <c r="UBE74" s="684"/>
      <c r="UBF74" s="684"/>
      <c r="UBG74" s="684"/>
      <c r="UBH74" s="684"/>
      <c r="UBI74" s="684"/>
      <c r="UBJ74" s="684"/>
      <c r="UBK74" s="684"/>
      <c r="UBL74" s="684"/>
      <c r="UBM74" s="684"/>
      <c r="UBN74" s="684"/>
      <c r="UBO74" s="684"/>
      <c r="UBP74" s="684"/>
      <c r="UBQ74" s="684"/>
      <c r="UBR74" s="684"/>
      <c r="UBS74" s="684"/>
      <c r="UBT74" s="684"/>
      <c r="UBU74" s="684"/>
      <c r="UBV74" s="684"/>
      <c r="UBW74" s="684"/>
      <c r="UBX74" s="684"/>
      <c r="UBY74" s="684"/>
      <c r="UBZ74" s="684"/>
      <c r="UCA74" s="684"/>
      <c r="UCB74" s="684"/>
      <c r="UCC74" s="684"/>
      <c r="UCD74" s="684"/>
      <c r="UCE74" s="684"/>
      <c r="UCF74" s="684"/>
      <c r="UCG74" s="684"/>
      <c r="UCH74" s="684"/>
      <c r="UCI74" s="684"/>
      <c r="UCJ74" s="684"/>
      <c r="UCK74" s="684"/>
      <c r="UCL74" s="684"/>
      <c r="UCM74" s="684"/>
      <c r="UCN74" s="684"/>
      <c r="UCO74" s="684"/>
      <c r="UCP74" s="684"/>
      <c r="UCQ74" s="684"/>
      <c r="UCR74" s="684"/>
      <c r="UCS74" s="684"/>
      <c r="UCT74" s="684"/>
      <c r="UCU74" s="684"/>
      <c r="UCV74" s="684"/>
      <c r="UCW74" s="684"/>
      <c r="UCX74" s="684"/>
      <c r="UCY74" s="684"/>
      <c r="UCZ74" s="684"/>
      <c r="UDA74" s="684"/>
      <c r="UDB74" s="684"/>
      <c r="UDC74" s="684"/>
      <c r="UDD74" s="684"/>
      <c r="UDE74" s="684"/>
      <c r="UDF74" s="684"/>
      <c r="UDG74" s="684"/>
      <c r="UDH74" s="684"/>
      <c r="UDI74" s="684"/>
      <c r="UDJ74" s="684"/>
      <c r="UDK74" s="684"/>
      <c r="UDL74" s="684"/>
      <c r="UDM74" s="684"/>
      <c r="UDN74" s="684"/>
      <c r="UDO74" s="684"/>
      <c r="UDP74" s="684"/>
      <c r="UDQ74" s="684"/>
      <c r="UDR74" s="684"/>
      <c r="UDS74" s="684"/>
      <c r="UDT74" s="684"/>
      <c r="UDU74" s="684"/>
      <c r="UDV74" s="684"/>
      <c r="UDW74" s="684"/>
      <c r="UDX74" s="684"/>
      <c r="UDY74" s="684"/>
      <c r="UDZ74" s="684"/>
      <c r="UEA74" s="684"/>
      <c r="UEB74" s="684"/>
      <c r="UEC74" s="684"/>
      <c r="UED74" s="684"/>
      <c r="UEE74" s="684"/>
      <c r="UEF74" s="684"/>
      <c r="UEG74" s="684"/>
      <c r="UEH74" s="684"/>
      <c r="UEI74" s="684"/>
      <c r="UEJ74" s="684"/>
      <c r="UEK74" s="684"/>
      <c r="UEL74" s="684"/>
      <c r="UEM74" s="684"/>
      <c r="UEN74" s="684"/>
      <c r="UEO74" s="684"/>
      <c r="UEP74" s="684"/>
      <c r="UEQ74" s="684"/>
      <c r="UER74" s="684"/>
      <c r="UES74" s="684"/>
      <c r="UET74" s="684"/>
      <c r="UEU74" s="684"/>
      <c r="UEV74" s="684"/>
      <c r="UEW74" s="684"/>
      <c r="UEX74" s="684"/>
      <c r="UEY74" s="684"/>
      <c r="UEZ74" s="684"/>
      <c r="UFA74" s="684"/>
      <c r="UFB74" s="684"/>
      <c r="UFC74" s="684"/>
      <c r="UFD74" s="684"/>
      <c r="UFE74" s="684"/>
      <c r="UFF74" s="684"/>
      <c r="UFG74" s="684"/>
      <c r="UFH74" s="684"/>
      <c r="UFI74" s="684"/>
      <c r="UFJ74" s="684"/>
      <c r="UFK74" s="684"/>
      <c r="UFL74" s="684"/>
      <c r="UFM74" s="684"/>
      <c r="UFN74" s="684"/>
      <c r="UFO74" s="684"/>
      <c r="UFP74" s="684"/>
      <c r="UFQ74" s="684"/>
      <c r="UFR74" s="684"/>
      <c r="UFS74" s="684"/>
      <c r="UFT74" s="684"/>
      <c r="UFU74" s="684"/>
      <c r="UFV74" s="684"/>
      <c r="UFW74" s="684"/>
      <c r="UFX74" s="684"/>
      <c r="UFY74" s="684"/>
      <c r="UFZ74" s="684"/>
      <c r="UGA74" s="684"/>
      <c r="UGB74" s="684"/>
      <c r="UGC74" s="684"/>
      <c r="UGD74" s="684"/>
      <c r="UGE74" s="684"/>
      <c r="UGF74" s="684"/>
      <c r="UGG74" s="684"/>
      <c r="UGH74" s="684"/>
      <c r="UGI74" s="684"/>
      <c r="UGJ74" s="684"/>
      <c r="UGK74" s="684"/>
      <c r="UGL74" s="684"/>
      <c r="UGM74" s="684"/>
      <c r="UGN74" s="684"/>
      <c r="UGO74" s="684"/>
      <c r="UGP74" s="684"/>
      <c r="UGQ74" s="684"/>
      <c r="UGR74" s="684"/>
      <c r="UGS74" s="684"/>
      <c r="UGT74" s="684"/>
      <c r="UGU74" s="684"/>
      <c r="UGV74" s="684"/>
      <c r="UGW74" s="684"/>
      <c r="UGX74" s="684"/>
      <c r="UGY74" s="684"/>
      <c r="UGZ74" s="684"/>
      <c r="UHA74" s="684"/>
      <c r="UHB74" s="684"/>
      <c r="UHC74" s="684"/>
      <c r="UHD74" s="684"/>
      <c r="UHE74" s="684"/>
      <c r="UHF74" s="684"/>
      <c r="UHG74" s="684"/>
      <c r="UHH74" s="684"/>
      <c r="UHI74" s="684"/>
      <c r="UHJ74" s="684"/>
      <c r="UHK74" s="684"/>
      <c r="UHL74" s="684"/>
      <c r="UHM74" s="684"/>
      <c r="UHN74" s="684"/>
      <c r="UHO74" s="684"/>
      <c r="UHP74" s="684"/>
      <c r="UHQ74" s="684"/>
      <c r="UHR74" s="684"/>
      <c r="UHS74" s="684"/>
      <c r="UHT74" s="684"/>
      <c r="UHU74" s="684"/>
      <c r="UHV74" s="684"/>
      <c r="UHW74" s="684"/>
      <c r="UHX74" s="684"/>
      <c r="UHY74" s="684"/>
      <c r="UHZ74" s="684"/>
      <c r="UIA74" s="684"/>
      <c r="UIB74" s="684"/>
      <c r="UIC74" s="684"/>
      <c r="UID74" s="684"/>
      <c r="UIE74" s="684"/>
      <c r="UIF74" s="684"/>
      <c r="UIG74" s="684"/>
      <c r="UIH74" s="684"/>
      <c r="UII74" s="684"/>
      <c r="UIJ74" s="684"/>
      <c r="UIK74" s="684"/>
      <c r="UIL74" s="684"/>
      <c r="UIM74" s="684"/>
      <c r="UIN74" s="684"/>
      <c r="UIO74" s="684"/>
      <c r="UIP74" s="684"/>
      <c r="UIQ74" s="684"/>
      <c r="UIR74" s="684"/>
      <c r="UIS74" s="684"/>
      <c r="UIT74" s="684"/>
      <c r="UIU74" s="684"/>
      <c r="UIV74" s="684"/>
      <c r="UIW74" s="684"/>
      <c r="UIX74" s="684"/>
      <c r="UIY74" s="684"/>
      <c r="UIZ74" s="684"/>
      <c r="UJA74" s="684"/>
      <c r="UJB74" s="684"/>
      <c r="UJC74" s="684"/>
      <c r="UJD74" s="684"/>
      <c r="UJE74" s="684"/>
      <c r="UJF74" s="684"/>
      <c r="UJG74" s="684"/>
      <c r="UJH74" s="684"/>
      <c r="UJI74" s="684"/>
      <c r="UJJ74" s="684"/>
      <c r="UJK74" s="684"/>
      <c r="UJL74" s="684"/>
      <c r="UJM74" s="684"/>
      <c r="UJN74" s="684"/>
      <c r="UJO74" s="684"/>
      <c r="UJP74" s="684"/>
      <c r="UJQ74" s="684"/>
      <c r="UJR74" s="684"/>
      <c r="UJS74" s="684"/>
      <c r="UJT74" s="684"/>
      <c r="UJU74" s="684"/>
      <c r="UJV74" s="684"/>
      <c r="UJW74" s="684"/>
      <c r="UJX74" s="684"/>
      <c r="UJY74" s="684"/>
      <c r="UJZ74" s="684"/>
      <c r="UKA74" s="684"/>
      <c r="UKB74" s="684"/>
      <c r="UKC74" s="684"/>
      <c r="UKD74" s="684"/>
      <c r="UKE74" s="684"/>
      <c r="UKF74" s="684"/>
      <c r="UKG74" s="684"/>
      <c r="UKH74" s="684"/>
      <c r="UKI74" s="684"/>
      <c r="UKJ74" s="684"/>
      <c r="UKK74" s="684"/>
      <c r="UKL74" s="684"/>
      <c r="UKM74" s="684"/>
      <c r="UKN74" s="684"/>
      <c r="UKO74" s="684"/>
      <c r="UKP74" s="684"/>
      <c r="UKQ74" s="684"/>
      <c r="UKR74" s="684"/>
      <c r="UKS74" s="684"/>
      <c r="UKT74" s="684"/>
      <c r="UKU74" s="684"/>
      <c r="UKV74" s="684"/>
      <c r="UKW74" s="684"/>
      <c r="UKX74" s="684"/>
      <c r="UKY74" s="684"/>
      <c r="UKZ74" s="684"/>
      <c r="ULA74" s="684"/>
      <c r="ULB74" s="684"/>
      <c r="ULC74" s="684"/>
      <c r="ULD74" s="684"/>
      <c r="ULE74" s="684"/>
      <c r="ULF74" s="684"/>
      <c r="ULG74" s="684"/>
      <c r="ULH74" s="684"/>
      <c r="ULI74" s="684"/>
      <c r="ULJ74" s="684"/>
      <c r="ULK74" s="684"/>
      <c r="ULL74" s="684"/>
      <c r="ULM74" s="684"/>
      <c r="ULN74" s="684"/>
      <c r="ULO74" s="684"/>
      <c r="ULP74" s="684"/>
      <c r="ULQ74" s="684"/>
      <c r="ULR74" s="684"/>
      <c r="ULS74" s="684"/>
      <c r="ULT74" s="684"/>
      <c r="ULU74" s="684"/>
      <c r="ULV74" s="684"/>
      <c r="ULW74" s="684"/>
      <c r="ULX74" s="684"/>
      <c r="ULY74" s="684"/>
      <c r="ULZ74" s="684"/>
      <c r="UMA74" s="684"/>
      <c r="UMB74" s="684"/>
      <c r="UMC74" s="684"/>
      <c r="UMD74" s="684"/>
      <c r="UME74" s="684"/>
      <c r="UMF74" s="684"/>
      <c r="UMG74" s="684"/>
      <c r="UMH74" s="684"/>
      <c r="UMI74" s="684"/>
      <c r="UMJ74" s="684"/>
      <c r="UMK74" s="684"/>
      <c r="UML74" s="684"/>
      <c r="UMM74" s="684"/>
      <c r="UMN74" s="684"/>
      <c r="UMO74" s="684"/>
      <c r="UMP74" s="684"/>
      <c r="UMQ74" s="684"/>
      <c r="UMR74" s="684"/>
      <c r="UMS74" s="684"/>
      <c r="UMT74" s="684"/>
      <c r="UMU74" s="684"/>
      <c r="UMV74" s="684"/>
      <c r="UMW74" s="684"/>
      <c r="UMX74" s="684"/>
      <c r="UMY74" s="684"/>
      <c r="UMZ74" s="684"/>
      <c r="UNA74" s="684"/>
      <c r="UNB74" s="684"/>
      <c r="UNC74" s="684"/>
      <c r="UND74" s="684"/>
      <c r="UNE74" s="684"/>
      <c r="UNF74" s="684"/>
      <c r="UNG74" s="684"/>
      <c r="UNH74" s="684"/>
      <c r="UNI74" s="684"/>
      <c r="UNJ74" s="684"/>
      <c r="UNK74" s="684"/>
      <c r="UNL74" s="684"/>
      <c r="UNM74" s="684"/>
      <c r="UNN74" s="684"/>
      <c r="UNO74" s="684"/>
      <c r="UNP74" s="684"/>
      <c r="UNQ74" s="684"/>
      <c r="UNR74" s="684"/>
      <c r="UNS74" s="684"/>
      <c r="UNT74" s="684"/>
      <c r="UNU74" s="684"/>
      <c r="UNV74" s="684"/>
      <c r="UNW74" s="684"/>
      <c r="UNX74" s="684"/>
      <c r="UNY74" s="684"/>
      <c r="UNZ74" s="684"/>
      <c r="UOA74" s="684"/>
      <c r="UOB74" s="684"/>
      <c r="UOC74" s="684"/>
      <c r="UOD74" s="684"/>
      <c r="UOE74" s="684"/>
      <c r="UOF74" s="684"/>
      <c r="UOG74" s="684"/>
      <c r="UOH74" s="684"/>
      <c r="UOI74" s="684"/>
      <c r="UOJ74" s="684"/>
      <c r="UOK74" s="684"/>
      <c r="UOL74" s="684"/>
      <c r="UOM74" s="684"/>
      <c r="UON74" s="684"/>
      <c r="UOO74" s="684"/>
      <c r="UOP74" s="684"/>
      <c r="UOQ74" s="684"/>
      <c r="UOR74" s="684"/>
      <c r="UOS74" s="684"/>
      <c r="UOT74" s="684"/>
      <c r="UOU74" s="684"/>
      <c r="UOV74" s="684"/>
      <c r="UOW74" s="684"/>
      <c r="UOX74" s="684"/>
      <c r="UOY74" s="684"/>
      <c r="UOZ74" s="684"/>
      <c r="UPA74" s="684"/>
      <c r="UPB74" s="684"/>
      <c r="UPC74" s="684"/>
      <c r="UPD74" s="684"/>
      <c r="UPE74" s="684"/>
      <c r="UPF74" s="684"/>
      <c r="UPG74" s="684"/>
      <c r="UPH74" s="684"/>
      <c r="UPI74" s="684"/>
      <c r="UPJ74" s="684"/>
      <c r="UPK74" s="684"/>
      <c r="UPL74" s="684"/>
      <c r="UPM74" s="684"/>
      <c r="UPN74" s="684"/>
      <c r="UPO74" s="684"/>
      <c r="UPP74" s="684"/>
      <c r="UPQ74" s="684"/>
      <c r="UPR74" s="684"/>
      <c r="UPS74" s="684"/>
      <c r="UPT74" s="684"/>
      <c r="UPU74" s="684"/>
      <c r="UPV74" s="684"/>
      <c r="UPW74" s="684"/>
      <c r="UPX74" s="684"/>
      <c r="UPY74" s="684"/>
      <c r="UPZ74" s="684"/>
      <c r="UQA74" s="684"/>
      <c r="UQB74" s="684"/>
      <c r="UQC74" s="684"/>
      <c r="UQD74" s="684"/>
      <c r="UQE74" s="684"/>
      <c r="UQF74" s="684"/>
      <c r="UQG74" s="684"/>
      <c r="UQH74" s="684"/>
      <c r="UQI74" s="684"/>
      <c r="UQJ74" s="684"/>
      <c r="UQK74" s="684"/>
      <c r="UQL74" s="684"/>
      <c r="UQM74" s="684"/>
      <c r="UQN74" s="684"/>
      <c r="UQO74" s="684"/>
      <c r="UQP74" s="684"/>
      <c r="UQQ74" s="684"/>
      <c r="UQR74" s="684"/>
      <c r="UQS74" s="684"/>
      <c r="UQT74" s="684"/>
      <c r="UQU74" s="684"/>
      <c r="UQV74" s="684"/>
      <c r="UQW74" s="684"/>
      <c r="UQX74" s="684"/>
      <c r="UQY74" s="684"/>
      <c r="UQZ74" s="684"/>
      <c r="URA74" s="684"/>
      <c r="URB74" s="684"/>
      <c r="URC74" s="684"/>
      <c r="URD74" s="684"/>
      <c r="URE74" s="684"/>
      <c r="URF74" s="684"/>
      <c r="URG74" s="684"/>
      <c r="URH74" s="684"/>
      <c r="URI74" s="684"/>
      <c r="URJ74" s="684"/>
      <c r="URK74" s="684"/>
      <c r="URL74" s="684"/>
      <c r="URM74" s="684"/>
      <c r="URN74" s="684"/>
      <c r="URO74" s="684"/>
      <c r="URP74" s="684"/>
      <c r="URQ74" s="684"/>
      <c r="URR74" s="684"/>
      <c r="URS74" s="684"/>
      <c r="URT74" s="684"/>
      <c r="URU74" s="684"/>
      <c r="URV74" s="684"/>
      <c r="URW74" s="684"/>
      <c r="URX74" s="684"/>
      <c r="URY74" s="684"/>
      <c r="URZ74" s="684"/>
      <c r="USA74" s="684"/>
      <c r="USB74" s="684"/>
      <c r="USC74" s="684"/>
      <c r="USD74" s="684"/>
      <c r="USE74" s="684"/>
      <c r="USF74" s="684"/>
      <c r="USG74" s="684"/>
      <c r="USH74" s="684"/>
      <c r="USI74" s="684"/>
      <c r="USJ74" s="684"/>
      <c r="USK74" s="684"/>
      <c r="USL74" s="684"/>
      <c r="USM74" s="684"/>
      <c r="USN74" s="684"/>
      <c r="USO74" s="684"/>
      <c r="USP74" s="684"/>
      <c r="USQ74" s="684"/>
      <c r="USR74" s="684"/>
      <c r="USS74" s="684"/>
      <c r="UST74" s="684"/>
      <c r="USU74" s="684"/>
      <c r="USV74" s="684"/>
      <c r="USW74" s="684"/>
      <c r="USX74" s="684"/>
      <c r="USY74" s="684"/>
      <c r="USZ74" s="684"/>
      <c r="UTA74" s="684"/>
      <c r="UTB74" s="684"/>
      <c r="UTC74" s="684"/>
      <c r="UTD74" s="684"/>
      <c r="UTE74" s="684"/>
      <c r="UTF74" s="684"/>
      <c r="UTG74" s="684"/>
      <c r="UTH74" s="684"/>
      <c r="UTI74" s="684"/>
      <c r="UTJ74" s="684"/>
      <c r="UTK74" s="684"/>
      <c r="UTL74" s="684"/>
      <c r="UTM74" s="684"/>
      <c r="UTN74" s="684"/>
      <c r="UTO74" s="684"/>
      <c r="UTP74" s="684"/>
      <c r="UTQ74" s="684"/>
      <c r="UTR74" s="684"/>
      <c r="UTS74" s="684"/>
      <c r="UTT74" s="684"/>
      <c r="UTU74" s="684"/>
      <c r="UTV74" s="684"/>
      <c r="UTW74" s="684"/>
      <c r="UTX74" s="684"/>
      <c r="UTY74" s="684"/>
      <c r="UTZ74" s="684"/>
      <c r="UUA74" s="684"/>
      <c r="UUB74" s="684"/>
      <c r="UUC74" s="684"/>
      <c r="UUD74" s="684"/>
      <c r="UUE74" s="684"/>
      <c r="UUF74" s="684"/>
      <c r="UUG74" s="684"/>
      <c r="UUH74" s="684"/>
      <c r="UUI74" s="684"/>
      <c r="UUJ74" s="684"/>
      <c r="UUK74" s="684"/>
      <c r="UUL74" s="684"/>
      <c r="UUM74" s="684"/>
      <c r="UUN74" s="684"/>
      <c r="UUO74" s="684"/>
      <c r="UUP74" s="684"/>
      <c r="UUQ74" s="684"/>
      <c r="UUR74" s="684"/>
      <c r="UUS74" s="684"/>
      <c r="UUT74" s="684"/>
      <c r="UUU74" s="684"/>
      <c r="UUV74" s="684"/>
      <c r="UUW74" s="684"/>
      <c r="UUX74" s="684"/>
      <c r="UUY74" s="684"/>
      <c r="UUZ74" s="684"/>
      <c r="UVA74" s="684"/>
      <c r="UVB74" s="684"/>
      <c r="UVC74" s="684"/>
      <c r="UVD74" s="684"/>
      <c r="UVE74" s="684"/>
      <c r="UVF74" s="684"/>
      <c r="UVG74" s="684"/>
      <c r="UVH74" s="684"/>
      <c r="UVI74" s="684"/>
      <c r="UVJ74" s="684"/>
      <c r="UVK74" s="684"/>
      <c r="UVL74" s="684"/>
      <c r="UVM74" s="684"/>
      <c r="UVN74" s="684"/>
      <c r="UVO74" s="684"/>
      <c r="UVP74" s="684"/>
      <c r="UVQ74" s="684"/>
      <c r="UVR74" s="684"/>
      <c r="UVS74" s="684"/>
      <c r="UVT74" s="684"/>
      <c r="UVU74" s="684"/>
      <c r="UVV74" s="684"/>
      <c r="UVW74" s="684"/>
      <c r="UVX74" s="684"/>
      <c r="UVY74" s="684"/>
      <c r="UVZ74" s="684"/>
      <c r="UWA74" s="684"/>
      <c r="UWB74" s="684"/>
      <c r="UWC74" s="684"/>
      <c r="UWD74" s="684"/>
      <c r="UWE74" s="684"/>
      <c r="UWF74" s="684"/>
      <c r="UWG74" s="684"/>
      <c r="UWH74" s="684"/>
      <c r="UWI74" s="684"/>
      <c r="UWJ74" s="684"/>
      <c r="UWK74" s="684"/>
      <c r="UWL74" s="684"/>
      <c r="UWM74" s="684"/>
      <c r="UWN74" s="684"/>
      <c r="UWO74" s="684"/>
      <c r="UWP74" s="684"/>
      <c r="UWQ74" s="684"/>
      <c r="UWR74" s="684"/>
      <c r="UWS74" s="684"/>
      <c r="UWT74" s="684"/>
      <c r="UWU74" s="684"/>
      <c r="UWV74" s="684"/>
      <c r="UWW74" s="684"/>
      <c r="UWX74" s="684"/>
      <c r="UWY74" s="684"/>
      <c r="UWZ74" s="684"/>
      <c r="UXA74" s="684"/>
      <c r="UXB74" s="684"/>
      <c r="UXC74" s="684"/>
      <c r="UXD74" s="684"/>
      <c r="UXE74" s="684"/>
      <c r="UXF74" s="684"/>
      <c r="UXG74" s="684"/>
      <c r="UXH74" s="684"/>
      <c r="UXI74" s="684"/>
      <c r="UXJ74" s="684"/>
      <c r="UXK74" s="684"/>
      <c r="UXL74" s="684"/>
      <c r="UXM74" s="684"/>
      <c r="UXN74" s="684"/>
      <c r="UXO74" s="684"/>
      <c r="UXP74" s="684"/>
      <c r="UXQ74" s="684"/>
      <c r="UXR74" s="684"/>
      <c r="UXS74" s="684"/>
      <c r="UXT74" s="684"/>
      <c r="UXU74" s="684"/>
      <c r="UXV74" s="684"/>
      <c r="UXW74" s="684"/>
      <c r="UXX74" s="684"/>
      <c r="UXY74" s="684"/>
      <c r="UXZ74" s="684"/>
      <c r="UYA74" s="684"/>
      <c r="UYB74" s="684"/>
      <c r="UYC74" s="684"/>
      <c r="UYD74" s="684"/>
      <c r="UYE74" s="684"/>
      <c r="UYF74" s="684"/>
      <c r="UYG74" s="684"/>
      <c r="UYH74" s="684"/>
      <c r="UYI74" s="684"/>
      <c r="UYJ74" s="684"/>
      <c r="UYK74" s="684"/>
      <c r="UYL74" s="684"/>
      <c r="UYM74" s="684"/>
      <c r="UYN74" s="684"/>
      <c r="UYO74" s="684"/>
      <c r="UYP74" s="684"/>
      <c r="UYQ74" s="684"/>
      <c r="UYR74" s="684"/>
      <c r="UYS74" s="684"/>
      <c r="UYT74" s="684"/>
      <c r="UYU74" s="684"/>
      <c r="UYV74" s="684"/>
      <c r="UYW74" s="684"/>
      <c r="UYX74" s="684"/>
      <c r="UYY74" s="684"/>
      <c r="UYZ74" s="684"/>
      <c r="UZA74" s="684"/>
      <c r="UZB74" s="684"/>
      <c r="UZC74" s="684"/>
      <c r="UZD74" s="684"/>
      <c r="UZE74" s="684"/>
      <c r="UZF74" s="684"/>
      <c r="UZG74" s="684"/>
      <c r="UZH74" s="684"/>
      <c r="UZI74" s="684"/>
      <c r="UZJ74" s="684"/>
      <c r="UZK74" s="684"/>
      <c r="UZL74" s="684"/>
      <c r="UZM74" s="684"/>
      <c r="UZN74" s="684"/>
      <c r="UZO74" s="684"/>
      <c r="UZP74" s="684"/>
      <c r="UZQ74" s="684"/>
      <c r="UZR74" s="684"/>
      <c r="UZS74" s="684"/>
      <c r="UZT74" s="684"/>
      <c r="UZU74" s="684"/>
      <c r="UZV74" s="684"/>
      <c r="UZW74" s="684"/>
      <c r="UZX74" s="684"/>
      <c r="UZY74" s="684"/>
      <c r="UZZ74" s="684"/>
      <c r="VAA74" s="684"/>
      <c r="VAB74" s="684"/>
      <c r="VAC74" s="684"/>
      <c r="VAD74" s="684"/>
      <c r="VAE74" s="684"/>
      <c r="VAF74" s="684"/>
      <c r="VAG74" s="684"/>
      <c r="VAH74" s="684"/>
      <c r="VAI74" s="684"/>
      <c r="VAJ74" s="684"/>
      <c r="VAK74" s="684"/>
      <c r="VAL74" s="684"/>
      <c r="VAM74" s="684"/>
      <c r="VAN74" s="684"/>
      <c r="VAO74" s="684"/>
      <c r="VAP74" s="684"/>
      <c r="VAQ74" s="684"/>
      <c r="VAR74" s="684"/>
      <c r="VAS74" s="684"/>
      <c r="VAT74" s="684"/>
      <c r="VAU74" s="684"/>
      <c r="VAV74" s="684"/>
      <c r="VAW74" s="684"/>
      <c r="VAX74" s="684"/>
      <c r="VAY74" s="684"/>
      <c r="VAZ74" s="684"/>
      <c r="VBA74" s="684"/>
      <c r="VBB74" s="684"/>
      <c r="VBC74" s="684"/>
      <c r="VBD74" s="684"/>
      <c r="VBE74" s="684"/>
      <c r="VBF74" s="684"/>
      <c r="VBG74" s="684"/>
      <c r="VBH74" s="684"/>
      <c r="VBI74" s="684"/>
      <c r="VBJ74" s="684"/>
      <c r="VBK74" s="684"/>
      <c r="VBL74" s="684"/>
      <c r="VBM74" s="684"/>
      <c r="VBN74" s="684"/>
      <c r="VBO74" s="684"/>
      <c r="VBP74" s="684"/>
      <c r="VBQ74" s="684"/>
      <c r="VBR74" s="684"/>
      <c r="VBS74" s="684"/>
      <c r="VBT74" s="684"/>
      <c r="VBU74" s="684"/>
      <c r="VBV74" s="684"/>
      <c r="VBW74" s="684"/>
      <c r="VBX74" s="684"/>
      <c r="VBY74" s="684"/>
      <c r="VBZ74" s="684"/>
      <c r="VCA74" s="684"/>
      <c r="VCB74" s="684"/>
      <c r="VCC74" s="684"/>
      <c r="VCD74" s="684"/>
      <c r="VCE74" s="684"/>
      <c r="VCF74" s="684"/>
      <c r="VCG74" s="684"/>
      <c r="VCH74" s="684"/>
      <c r="VCI74" s="684"/>
      <c r="VCJ74" s="684"/>
      <c r="VCK74" s="684"/>
      <c r="VCL74" s="684"/>
      <c r="VCM74" s="684"/>
      <c r="VCN74" s="684"/>
      <c r="VCO74" s="684"/>
      <c r="VCP74" s="684"/>
      <c r="VCQ74" s="684"/>
      <c r="VCR74" s="684"/>
      <c r="VCS74" s="684"/>
      <c r="VCT74" s="684"/>
      <c r="VCU74" s="684"/>
      <c r="VCV74" s="684"/>
      <c r="VCW74" s="684"/>
      <c r="VCX74" s="684"/>
      <c r="VCY74" s="684"/>
      <c r="VCZ74" s="684"/>
      <c r="VDA74" s="684"/>
      <c r="VDB74" s="684"/>
      <c r="VDC74" s="684"/>
      <c r="VDD74" s="684"/>
      <c r="VDE74" s="684"/>
      <c r="VDF74" s="684"/>
      <c r="VDG74" s="684"/>
      <c r="VDH74" s="684"/>
      <c r="VDI74" s="684"/>
      <c r="VDJ74" s="684"/>
      <c r="VDK74" s="684"/>
      <c r="VDL74" s="684"/>
      <c r="VDM74" s="684"/>
      <c r="VDN74" s="684"/>
      <c r="VDO74" s="684"/>
      <c r="VDP74" s="684"/>
      <c r="VDQ74" s="684"/>
      <c r="VDR74" s="684"/>
      <c r="VDS74" s="684"/>
      <c r="VDT74" s="684"/>
      <c r="VDU74" s="684"/>
      <c r="VDV74" s="684"/>
      <c r="VDW74" s="684"/>
      <c r="VDX74" s="684"/>
      <c r="VDY74" s="684"/>
      <c r="VDZ74" s="684"/>
      <c r="VEA74" s="684"/>
      <c r="VEB74" s="684"/>
      <c r="VEC74" s="684"/>
      <c r="VED74" s="684"/>
      <c r="VEE74" s="684"/>
      <c r="VEF74" s="684"/>
      <c r="VEG74" s="684"/>
      <c r="VEH74" s="684"/>
      <c r="VEI74" s="684"/>
      <c r="VEJ74" s="684"/>
      <c r="VEK74" s="684"/>
      <c r="VEL74" s="684"/>
      <c r="VEM74" s="684"/>
      <c r="VEN74" s="684"/>
      <c r="VEO74" s="684"/>
      <c r="VEP74" s="684"/>
      <c r="VEQ74" s="684"/>
      <c r="VER74" s="684"/>
      <c r="VES74" s="684"/>
      <c r="VET74" s="684"/>
      <c r="VEU74" s="684"/>
      <c r="VEV74" s="684"/>
      <c r="VEW74" s="684"/>
      <c r="VEX74" s="684"/>
      <c r="VEY74" s="684"/>
      <c r="VEZ74" s="684"/>
      <c r="VFA74" s="684"/>
      <c r="VFB74" s="684"/>
      <c r="VFC74" s="684"/>
      <c r="VFD74" s="684"/>
      <c r="VFE74" s="684"/>
      <c r="VFF74" s="684"/>
      <c r="VFG74" s="684"/>
      <c r="VFH74" s="684"/>
      <c r="VFI74" s="684"/>
      <c r="VFJ74" s="684"/>
      <c r="VFK74" s="684"/>
      <c r="VFL74" s="684"/>
      <c r="VFM74" s="684"/>
      <c r="VFN74" s="684"/>
      <c r="VFO74" s="684"/>
      <c r="VFP74" s="684"/>
      <c r="VFQ74" s="684"/>
      <c r="VFR74" s="684"/>
      <c r="VFS74" s="684"/>
      <c r="VFT74" s="684"/>
      <c r="VFU74" s="684"/>
      <c r="VFV74" s="684"/>
      <c r="VFW74" s="684"/>
      <c r="VFX74" s="684"/>
      <c r="VFY74" s="684"/>
      <c r="VFZ74" s="684"/>
      <c r="VGA74" s="684"/>
      <c r="VGB74" s="684"/>
      <c r="VGC74" s="684"/>
      <c r="VGD74" s="684"/>
      <c r="VGE74" s="684"/>
      <c r="VGF74" s="684"/>
      <c r="VGG74" s="684"/>
      <c r="VGH74" s="684"/>
      <c r="VGI74" s="684"/>
      <c r="VGJ74" s="684"/>
      <c r="VGK74" s="684"/>
      <c r="VGL74" s="684"/>
      <c r="VGM74" s="684"/>
      <c r="VGN74" s="684"/>
      <c r="VGO74" s="684"/>
      <c r="VGP74" s="684"/>
      <c r="VGQ74" s="684"/>
      <c r="VGR74" s="684"/>
      <c r="VGS74" s="684"/>
      <c r="VGT74" s="684"/>
      <c r="VGU74" s="684"/>
      <c r="VGV74" s="684"/>
      <c r="VGW74" s="684"/>
      <c r="VGX74" s="684"/>
      <c r="VGY74" s="684"/>
      <c r="VGZ74" s="684"/>
      <c r="VHA74" s="684"/>
      <c r="VHB74" s="684"/>
      <c r="VHC74" s="684"/>
      <c r="VHD74" s="684"/>
      <c r="VHE74" s="684"/>
      <c r="VHF74" s="684"/>
      <c r="VHG74" s="684"/>
      <c r="VHH74" s="684"/>
      <c r="VHI74" s="684"/>
      <c r="VHJ74" s="684"/>
      <c r="VHK74" s="684"/>
      <c r="VHL74" s="684"/>
      <c r="VHM74" s="684"/>
      <c r="VHN74" s="684"/>
      <c r="VHO74" s="684"/>
      <c r="VHP74" s="684"/>
      <c r="VHQ74" s="684"/>
      <c r="VHR74" s="684"/>
      <c r="VHS74" s="684"/>
      <c r="VHT74" s="684"/>
      <c r="VHU74" s="684"/>
      <c r="VHV74" s="684"/>
      <c r="VHW74" s="684"/>
      <c r="VHX74" s="684"/>
      <c r="VHY74" s="684"/>
      <c r="VHZ74" s="684"/>
      <c r="VIA74" s="684"/>
      <c r="VIB74" s="684"/>
      <c r="VIC74" s="684"/>
      <c r="VID74" s="684"/>
      <c r="VIE74" s="684"/>
      <c r="VIF74" s="684"/>
      <c r="VIG74" s="684"/>
      <c r="VIH74" s="684"/>
      <c r="VII74" s="684"/>
      <c r="VIJ74" s="684"/>
      <c r="VIK74" s="684"/>
      <c r="VIL74" s="684"/>
      <c r="VIM74" s="684"/>
      <c r="VIN74" s="684"/>
      <c r="VIO74" s="684"/>
      <c r="VIP74" s="684"/>
      <c r="VIQ74" s="684"/>
      <c r="VIR74" s="684"/>
      <c r="VIS74" s="684"/>
      <c r="VIT74" s="684"/>
      <c r="VIU74" s="684"/>
      <c r="VIV74" s="684"/>
      <c r="VIW74" s="684"/>
      <c r="VIX74" s="684"/>
      <c r="VIY74" s="684"/>
      <c r="VIZ74" s="684"/>
      <c r="VJA74" s="684"/>
      <c r="VJB74" s="684"/>
      <c r="VJC74" s="684"/>
      <c r="VJD74" s="684"/>
      <c r="VJE74" s="684"/>
      <c r="VJF74" s="684"/>
      <c r="VJG74" s="684"/>
      <c r="VJH74" s="684"/>
      <c r="VJI74" s="684"/>
      <c r="VJJ74" s="684"/>
      <c r="VJK74" s="684"/>
      <c r="VJL74" s="684"/>
      <c r="VJM74" s="684"/>
      <c r="VJN74" s="684"/>
      <c r="VJO74" s="684"/>
      <c r="VJP74" s="684"/>
      <c r="VJQ74" s="684"/>
      <c r="VJR74" s="684"/>
      <c r="VJS74" s="684"/>
      <c r="VJT74" s="684"/>
      <c r="VJU74" s="684"/>
      <c r="VJV74" s="684"/>
      <c r="VJW74" s="684"/>
      <c r="VJX74" s="684"/>
      <c r="VJY74" s="684"/>
      <c r="VJZ74" s="684"/>
      <c r="VKA74" s="684"/>
      <c r="VKB74" s="684"/>
      <c r="VKC74" s="684"/>
      <c r="VKD74" s="684"/>
      <c r="VKE74" s="684"/>
      <c r="VKF74" s="684"/>
      <c r="VKG74" s="684"/>
      <c r="VKH74" s="684"/>
      <c r="VKI74" s="684"/>
      <c r="VKJ74" s="684"/>
      <c r="VKK74" s="684"/>
      <c r="VKL74" s="684"/>
      <c r="VKM74" s="684"/>
      <c r="VKN74" s="684"/>
      <c r="VKO74" s="684"/>
      <c r="VKP74" s="684"/>
      <c r="VKQ74" s="684"/>
      <c r="VKR74" s="684"/>
      <c r="VKS74" s="684"/>
      <c r="VKT74" s="684"/>
      <c r="VKU74" s="684"/>
      <c r="VKV74" s="684"/>
      <c r="VKW74" s="684"/>
      <c r="VKX74" s="684"/>
      <c r="VKY74" s="684"/>
      <c r="VKZ74" s="684"/>
      <c r="VLA74" s="684"/>
      <c r="VLB74" s="684"/>
      <c r="VLC74" s="684"/>
      <c r="VLD74" s="684"/>
      <c r="VLE74" s="684"/>
      <c r="VLF74" s="684"/>
      <c r="VLG74" s="684"/>
      <c r="VLH74" s="684"/>
      <c r="VLI74" s="684"/>
      <c r="VLJ74" s="684"/>
      <c r="VLK74" s="684"/>
      <c r="VLL74" s="684"/>
      <c r="VLM74" s="684"/>
      <c r="VLN74" s="684"/>
      <c r="VLO74" s="684"/>
      <c r="VLP74" s="684"/>
      <c r="VLQ74" s="684"/>
      <c r="VLR74" s="684"/>
      <c r="VLS74" s="684"/>
      <c r="VLT74" s="684"/>
      <c r="VLU74" s="684"/>
      <c r="VLV74" s="684"/>
      <c r="VLW74" s="684"/>
      <c r="VLX74" s="684"/>
      <c r="VLY74" s="684"/>
      <c r="VLZ74" s="684"/>
      <c r="VMA74" s="684"/>
      <c r="VMB74" s="684"/>
      <c r="VMC74" s="684"/>
      <c r="VMD74" s="684"/>
      <c r="VME74" s="684"/>
      <c r="VMF74" s="684"/>
      <c r="VMG74" s="684"/>
      <c r="VMH74" s="684"/>
      <c r="VMI74" s="684"/>
      <c r="VMJ74" s="684"/>
      <c r="VMK74" s="684"/>
      <c r="VML74" s="684"/>
      <c r="VMM74" s="684"/>
      <c r="VMN74" s="684"/>
      <c r="VMO74" s="684"/>
      <c r="VMP74" s="684"/>
      <c r="VMQ74" s="684"/>
      <c r="VMR74" s="684"/>
      <c r="VMS74" s="684"/>
      <c r="VMT74" s="684"/>
      <c r="VMU74" s="684"/>
      <c r="VMV74" s="684"/>
      <c r="VMW74" s="684"/>
      <c r="VMX74" s="684"/>
      <c r="VMY74" s="684"/>
      <c r="VMZ74" s="684"/>
      <c r="VNA74" s="684"/>
      <c r="VNB74" s="684"/>
      <c r="VNC74" s="684"/>
      <c r="VND74" s="684"/>
      <c r="VNE74" s="684"/>
      <c r="VNF74" s="684"/>
      <c r="VNG74" s="684"/>
      <c r="VNH74" s="684"/>
      <c r="VNI74" s="684"/>
      <c r="VNJ74" s="684"/>
      <c r="VNK74" s="684"/>
      <c r="VNL74" s="684"/>
      <c r="VNM74" s="684"/>
      <c r="VNN74" s="684"/>
      <c r="VNO74" s="684"/>
      <c r="VNP74" s="684"/>
      <c r="VNQ74" s="684"/>
      <c r="VNR74" s="684"/>
      <c r="VNS74" s="684"/>
      <c r="VNT74" s="684"/>
      <c r="VNU74" s="684"/>
      <c r="VNV74" s="684"/>
      <c r="VNW74" s="684"/>
      <c r="VNX74" s="684"/>
      <c r="VNY74" s="684"/>
      <c r="VNZ74" s="684"/>
      <c r="VOA74" s="684"/>
      <c r="VOB74" s="684"/>
      <c r="VOC74" s="684"/>
      <c r="VOD74" s="684"/>
      <c r="VOE74" s="684"/>
      <c r="VOF74" s="684"/>
      <c r="VOG74" s="684"/>
      <c r="VOH74" s="684"/>
      <c r="VOI74" s="684"/>
      <c r="VOJ74" s="684"/>
      <c r="VOK74" s="684"/>
      <c r="VOL74" s="684"/>
      <c r="VOM74" s="684"/>
      <c r="VON74" s="684"/>
      <c r="VOO74" s="684"/>
      <c r="VOP74" s="684"/>
      <c r="VOQ74" s="684"/>
      <c r="VOR74" s="684"/>
      <c r="VOS74" s="684"/>
      <c r="VOT74" s="684"/>
      <c r="VOU74" s="684"/>
      <c r="VOV74" s="684"/>
      <c r="VOW74" s="684"/>
      <c r="VOX74" s="684"/>
      <c r="VOY74" s="684"/>
      <c r="VOZ74" s="684"/>
      <c r="VPA74" s="684"/>
      <c r="VPB74" s="684"/>
      <c r="VPC74" s="684"/>
      <c r="VPD74" s="684"/>
      <c r="VPE74" s="684"/>
      <c r="VPF74" s="684"/>
      <c r="VPG74" s="684"/>
      <c r="VPH74" s="684"/>
      <c r="VPI74" s="684"/>
      <c r="VPJ74" s="684"/>
      <c r="VPK74" s="684"/>
      <c r="VPL74" s="684"/>
      <c r="VPM74" s="684"/>
      <c r="VPN74" s="684"/>
      <c r="VPO74" s="684"/>
      <c r="VPP74" s="684"/>
      <c r="VPQ74" s="684"/>
      <c r="VPR74" s="684"/>
      <c r="VPS74" s="684"/>
      <c r="VPT74" s="684"/>
      <c r="VPU74" s="684"/>
      <c r="VPV74" s="684"/>
      <c r="VPW74" s="684"/>
      <c r="VPX74" s="684"/>
      <c r="VPY74" s="684"/>
      <c r="VPZ74" s="684"/>
      <c r="VQA74" s="684"/>
      <c r="VQB74" s="684"/>
      <c r="VQC74" s="684"/>
      <c r="VQD74" s="684"/>
      <c r="VQE74" s="684"/>
      <c r="VQF74" s="684"/>
      <c r="VQG74" s="684"/>
      <c r="VQH74" s="684"/>
      <c r="VQI74" s="684"/>
      <c r="VQJ74" s="684"/>
      <c r="VQK74" s="684"/>
      <c r="VQL74" s="684"/>
      <c r="VQM74" s="684"/>
      <c r="VQN74" s="684"/>
      <c r="VQO74" s="684"/>
      <c r="VQP74" s="684"/>
      <c r="VQQ74" s="684"/>
      <c r="VQR74" s="684"/>
      <c r="VQS74" s="684"/>
      <c r="VQT74" s="684"/>
      <c r="VQU74" s="684"/>
      <c r="VQV74" s="684"/>
      <c r="VQW74" s="684"/>
      <c r="VQX74" s="684"/>
      <c r="VQY74" s="684"/>
      <c r="VQZ74" s="684"/>
      <c r="VRA74" s="684"/>
      <c r="VRB74" s="684"/>
      <c r="VRC74" s="684"/>
      <c r="VRD74" s="684"/>
      <c r="VRE74" s="684"/>
      <c r="VRF74" s="684"/>
      <c r="VRG74" s="684"/>
      <c r="VRH74" s="684"/>
      <c r="VRI74" s="684"/>
      <c r="VRJ74" s="684"/>
      <c r="VRK74" s="684"/>
      <c r="VRL74" s="684"/>
      <c r="VRM74" s="684"/>
      <c r="VRN74" s="684"/>
      <c r="VRO74" s="684"/>
      <c r="VRP74" s="684"/>
      <c r="VRQ74" s="684"/>
      <c r="VRR74" s="684"/>
      <c r="VRS74" s="684"/>
      <c r="VRT74" s="684"/>
      <c r="VRU74" s="684"/>
      <c r="VRV74" s="684"/>
      <c r="VRW74" s="684"/>
      <c r="VRX74" s="684"/>
      <c r="VRY74" s="684"/>
      <c r="VRZ74" s="684"/>
      <c r="VSA74" s="684"/>
      <c r="VSB74" s="684"/>
      <c r="VSC74" s="684"/>
      <c r="VSD74" s="684"/>
      <c r="VSE74" s="684"/>
      <c r="VSF74" s="684"/>
      <c r="VSG74" s="684"/>
      <c r="VSH74" s="684"/>
      <c r="VSI74" s="684"/>
      <c r="VSJ74" s="684"/>
      <c r="VSK74" s="684"/>
      <c r="VSL74" s="684"/>
      <c r="VSM74" s="684"/>
      <c r="VSN74" s="684"/>
      <c r="VSO74" s="684"/>
      <c r="VSP74" s="684"/>
      <c r="VSQ74" s="684"/>
      <c r="VSR74" s="684"/>
      <c r="VSS74" s="684"/>
      <c r="VST74" s="684"/>
      <c r="VSU74" s="684"/>
      <c r="VSV74" s="684"/>
      <c r="VSW74" s="684"/>
      <c r="VSX74" s="684"/>
      <c r="VSY74" s="684"/>
      <c r="VSZ74" s="684"/>
      <c r="VTA74" s="684"/>
      <c r="VTB74" s="684"/>
      <c r="VTC74" s="684"/>
      <c r="VTD74" s="684"/>
      <c r="VTE74" s="684"/>
      <c r="VTF74" s="684"/>
      <c r="VTG74" s="684"/>
      <c r="VTH74" s="684"/>
      <c r="VTI74" s="684"/>
      <c r="VTJ74" s="684"/>
      <c r="VTK74" s="684"/>
      <c r="VTL74" s="684"/>
      <c r="VTM74" s="684"/>
      <c r="VTN74" s="684"/>
      <c r="VTO74" s="684"/>
      <c r="VTP74" s="684"/>
      <c r="VTQ74" s="684"/>
      <c r="VTR74" s="684"/>
      <c r="VTS74" s="684"/>
      <c r="VTT74" s="684"/>
      <c r="VTU74" s="684"/>
      <c r="VTV74" s="684"/>
      <c r="VTW74" s="684"/>
      <c r="VTX74" s="684"/>
      <c r="VTY74" s="684"/>
      <c r="VTZ74" s="684"/>
      <c r="VUA74" s="684"/>
      <c r="VUB74" s="684"/>
      <c r="VUC74" s="684"/>
      <c r="VUD74" s="684"/>
      <c r="VUE74" s="684"/>
      <c r="VUF74" s="684"/>
      <c r="VUG74" s="684"/>
      <c r="VUH74" s="684"/>
      <c r="VUI74" s="684"/>
      <c r="VUJ74" s="684"/>
      <c r="VUK74" s="684"/>
      <c r="VUL74" s="684"/>
      <c r="VUM74" s="684"/>
      <c r="VUN74" s="684"/>
      <c r="VUO74" s="684"/>
      <c r="VUP74" s="684"/>
      <c r="VUQ74" s="684"/>
      <c r="VUR74" s="684"/>
      <c r="VUS74" s="684"/>
      <c r="VUT74" s="684"/>
      <c r="VUU74" s="684"/>
      <c r="VUV74" s="684"/>
      <c r="VUW74" s="684"/>
      <c r="VUX74" s="684"/>
      <c r="VUY74" s="684"/>
      <c r="VUZ74" s="684"/>
      <c r="VVA74" s="684"/>
      <c r="VVB74" s="684"/>
      <c r="VVC74" s="684"/>
      <c r="VVD74" s="684"/>
      <c r="VVE74" s="684"/>
      <c r="VVF74" s="684"/>
      <c r="VVG74" s="684"/>
      <c r="VVH74" s="684"/>
      <c r="VVI74" s="684"/>
      <c r="VVJ74" s="684"/>
      <c r="VVK74" s="684"/>
      <c r="VVL74" s="684"/>
      <c r="VVM74" s="684"/>
      <c r="VVN74" s="684"/>
      <c r="VVO74" s="684"/>
      <c r="VVP74" s="684"/>
      <c r="VVQ74" s="684"/>
      <c r="VVR74" s="684"/>
      <c r="VVS74" s="684"/>
      <c r="VVT74" s="684"/>
      <c r="VVU74" s="684"/>
      <c r="VVV74" s="684"/>
      <c r="VVW74" s="684"/>
      <c r="VVX74" s="684"/>
      <c r="VVY74" s="684"/>
      <c r="VVZ74" s="684"/>
      <c r="VWA74" s="684"/>
      <c r="VWB74" s="684"/>
      <c r="VWC74" s="684"/>
      <c r="VWD74" s="684"/>
      <c r="VWE74" s="684"/>
      <c r="VWF74" s="684"/>
      <c r="VWG74" s="684"/>
      <c r="VWH74" s="684"/>
      <c r="VWI74" s="684"/>
      <c r="VWJ74" s="684"/>
      <c r="VWK74" s="684"/>
      <c r="VWL74" s="684"/>
      <c r="VWM74" s="684"/>
      <c r="VWN74" s="684"/>
      <c r="VWO74" s="684"/>
      <c r="VWP74" s="684"/>
      <c r="VWQ74" s="684"/>
      <c r="VWR74" s="684"/>
      <c r="VWS74" s="684"/>
      <c r="VWT74" s="684"/>
      <c r="VWU74" s="684"/>
      <c r="VWV74" s="684"/>
      <c r="VWW74" s="684"/>
      <c r="VWX74" s="684"/>
      <c r="VWY74" s="684"/>
      <c r="VWZ74" s="684"/>
      <c r="VXA74" s="684"/>
      <c r="VXB74" s="684"/>
      <c r="VXC74" s="684"/>
      <c r="VXD74" s="684"/>
      <c r="VXE74" s="684"/>
      <c r="VXF74" s="684"/>
      <c r="VXG74" s="684"/>
      <c r="VXH74" s="684"/>
      <c r="VXI74" s="684"/>
      <c r="VXJ74" s="684"/>
      <c r="VXK74" s="684"/>
      <c r="VXL74" s="684"/>
      <c r="VXM74" s="684"/>
      <c r="VXN74" s="684"/>
      <c r="VXO74" s="684"/>
      <c r="VXP74" s="684"/>
      <c r="VXQ74" s="684"/>
      <c r="VXR74" s="684"/>
      <c r="VXS74" s="684"/>
      <c r="VXT74" s="684"/>
      <c r="VXU74" s="684"/>
      <c r="VXV74" s="684"/>
      <c r="VXW74" s="684"/>
      <c r="VXX74" s="684"/>
      <c r="VXY74" s="684"/>
      <c r="VXZ74" s="684"/>
      <c r="VYA74" s="684"/>
      <c r="VYB74" s="684"/>
      <c r="VYC74" s="684"/>
      <c r="VYD74" s="684"/>
      <c r="VYE74" s="684"/>
      <c r="VYF74" s="684"/>
      <c r="VYG74" s="684"/>
      <c r="VYH74" s="684"/>
      <c r="VYI74" s="684"/>
      <c r="VYJ74" s="684"/>
      <c r="VYK74" s="684"/>
      <c r="VYL74" s="684"/>
      <c r="VYM74" s="684"/>
      <c r="VYN74" s="684"/>
      <c r="VYO74" s="684"/>
      <c r="VYP74" s="684"/>
      <c r="VYQ74" s="684"/>
      <c r="VYR74" s="684"/>
      <c r="VYS74" s="684"/>
      <c r="VYT74" s="684"/>
      <c r="VYU74" s="684"/>
      <c r="VYV74" s="684"/>
      <c r="VYW74" s="684"/>
      <c r="VYX74" s="684"/>
      <c r="VYY74" s="684"/>
      <c r="VYZ74" s="684"/>
      <c r="VZA74" s="684"/>
      <c r="VZB74" s="684"/>
      <c r="VZC74" s="684"/>
      <c r="VZD74" s="684"/>
      <c r="VZE74" s="684"/>
      <c r="VZF74" s="684"/>
      <c r="VZG74" s="684"/>
      <c r="VZH74" s="684"/>
      <c r="VZI74" s="684"/>
      <c r="VZJ74" s="684"/>
      <c r="VZK74" s="684"/>
      <c r="VZL74" s="684"/>
      <c r="VZM74" s="684"/>
      <c r="VZN74" s="684"/>
      <c r="VZO74" s="684"/>
      <c r="VZP74" s="684"/>
      <c r="VZQ74" s="684"/>
      <c r="VZR74" s="684"/>
      <c r="VZS74" s="684"/>
      <c r="VZT74" s="684"/>
      <c r="VZU74" s="684"/>
      <c r="VZV74" s="684"/>
      <c r="VZW74" s="684"/>
      <c r="VZX74" s="684"/>
      <c r="VZY74" s="684"/>
      <c r="VZZ74" s="684"/>
      <c r="WAA74" s="684"/>
      <c r="WAB74" s="684"/>
      <c r="WAC74" s="684"/>
      <c r="WAD74" s="684"/>
      <c r="WAE74" s="684"/>
      <c r="WAF74" s="684"/>
      <c r="WAG74" s="684"/>
      <c r="WAH74" s="684"/>
      <c r="WAI74" s="684"/>
      <c r="WAJ74" s="684"/>
      <c r="WAK74" s="684"/>
      <c r="WAL74" s="684"/>
      <c r="WAM74" s="684"/>
      <c r="WAN74" s="684"/>
      <c r="WAO74" s="684"/>
      <c r="WAP74" s="684"/>
      <c r="WAQ74" s="684"/>
      <c r="WAR74" s="684"/>
      <c r="WAS74" s="684"/>
      <c r="WAT74" s="684"/>
      <c r="WAU74" s="684"/>
      <c r="WAV74" s="684"/>
      <c r="WAW74" s="684"/>
      <c r="WAX74" s="684"/>
      <c r="WAY74" s="684"/>
      <c r="WAZ74" s="684"/>
      <c r="WBA74" s="684"/>
      <c r="WBB74" s="684"/>
      <c r="WBC74" s="684"/>
      <c r="WBD74" s="684"/>
      <c r="WBE74" s="684"/>
      <c r="WBF74" s="684"/>
      <c r="WBG74" s="684"/>
      <c r="WBH74" s="684"/>
      <c r="WBI74" s="684"/>
      <c r="WBJ74" s="684"/>
      <c r="WBK74" s="684"/>
      <c r="WBL74" s="684"/>
      <c r="WBM74" s="684"/>
      <c r="WBN74" s="684"/>
      <c r="WBO74" s="684"/>
      <c r="WBP74" s="684"/>
      <c r="WBQ74" s="684"/>
      <c r="WBR74" s="684"/>
      <c r="WBS74" s="684"/>
      <c r="WBT74" s="684"/>
      <c r="WBU74" s="684"/>
      <c r="WBV74" s="684"/>
      <c r="WBW74" s="684"/>
      <c r="WBX74" s="684"/>
      <c r="WBY74" s="684"/>
      <c r="WBZ74" s="684"/>
      <c r="WCA74" s="684"/>
      <c r="WCB74" s="684"/>
      <c r="WCC74" s="684"/>
      <c r="WCD74" s="684"/>
      <c r="WCE74" s="684"/>
      <c r="WCF74" s="684"/>
      <c r="WCG74" s="684"/>
      <c r="WCH74" s="684"/>
      <c r="WCI74" s="684"/>
      <c r="WCJ74" s="684"/>
      <c r="WCK74" s="684"/>
      <c r="WCL74" s="684"/>
      <c r="WCM74" s="684"/>
      <c r="WCN74" s="684"/>
      <c r="WCO74" s="684"/>
      <c r="WCP74" s="684"/>
      <c r="WCQ74" s="684"/>
      <c r="WCR74" s="684"/>
      <c r="WCS74" s="684"/>
      <c r="WCT74" s="684"/>
      <c r="WCU74" s="684"/>
      <c r="WCV74" s="684"/>
      <c r="WCW74" s="684"/>
      <c r="WCX74" s="684"/>
      <c r="WCY74" s="684"/>
      <c r="WCZ74" s="684"/>
      <c r="WDA74" s="684"/>
      <c r="WDB74" s="684"/>
      <c r="WDC74" s="684"/>
      <c r="WDD74" s="684"/>
      <c r="WDE74" s="684"/>
      <c r="WDF74" s="684"/>
      <c r="WDG74" s="684"/>
      <c r="WDH74" s="684"/>
      <c r="WDI74" s="684"/>
      <c r="WDJ74" s="684"/>
      <c r="WDK74" s="684"/>
      <c r="WDL74" s="684"/>
      <c r="WDM74" s="684"/>
      <c r="WDN74" s="684"/>
      <c r="WDO74" s="684"/>
      <c r="WDP74" s="684"/>
      <c r="WDQ74" s="684"/>
      <c r="WDR74" s="684"/>
      <c r="WDS74" s="684"/>
      <c r="WDT74" s="684"/>
      <c r="WDU74" s="684"/>
      <c r="WDV74" s="684"/>
      <c r="WDW74" s="684"/>
      <c r="WDX74" s="684"/>
      <c r="WDY74" s="684"/>
      <c r="WDZ74" s="684"/>
      <c r="WEA74" s="684"/>
      <c r="WEB74" s="684"/>
      <c r="WEC74" s="684"/>
      <c r="WED74" s="684"/>
      <c r="WEE74" s="684"/>
      <c r="WEF74" s="684"/>
      <c r="WEG74" s="684"/>
      <c r="WEH74" s="684"/>
      <c r="WEI74" s="684"/>
      <c r="WEJ74" s="684"/>
      <c r="WEK74" s="684"/>
      <c r="WEL74" s="684"/>
      <c r="WEM74" s="684"/>
      <c r="WEN74" s="684"/>
      <c r="WEO74" s="684"/>
      <c r="WEP74" s="684"/>
      <c r="WEQ74" s="684"/>
      <c r="WER74" s="684"/>
      <c r="WES74" s="684"/>
      <c r="WET74" s="684"/>
      <c r="WEU74" s="684"/>
      <c r="WEV74" s="684"/>
      <c r="WEW74" s="684"/>
      <c r="WEX74" s="684"/>
      <c r="WEY74" s="684"/>
      <c r="WEZ74" s="684"/>
      <c r="WFA74" s="684"/>
      <c r="WFB74" s="684"/>
      <c r="WFC74" s="684"/>
      <c r="WFD74" s="684"/>
      <c r="WFE74" s="684"/>
      <c r="WFF74" s="684"/>
      <c r="WFG74" s="684"/>
      <c r="WFH74" s="684"/>
      <c r="WFI74" s="684"/>
      <c r="WFJ74" s="684"/>
      <c r="WFK74" s="684"/>
      <c r="WFL74" s="684"/>
      <c r="WFM74" s="684"/>
      <c r="WFN74" s="684"/>
      <c r="WFO74" s="684"/>
      <c r="WFP74" s="684"/>
      <c r="WFQ74" s="684"/>
      <c r="WFR74" s="684"/>
      <c r="WFS74" s="684"/>
      <c r="WFT74" s="684"/>
      <c r="WFU74" s="684"/>
      <c r="WFV74" s="684"/>
      <c r="WFW74" s="684"/>
      <c r="WFX74" s="684"/>
      <c r="WFY74" s="684"/>
      <c r="WFZ74" s="684"/>
      <c r="WGA74" s="684"/>
      <c r="WGB74" s="684"/>
      <c r="WGC74" s="684"/>
      <c r="WGD74" s="684"/>
      <c r="WGE74" s="684"/>
      <c r="WGF74" s="684"/>
      <c r="WGG74" s="684"/>
      <c r="WGH74" s="684"/>
      <c r="WGI74" s="684"/>
      <c r="WGJ74" s="684"/>
      <c r="WGK74" s="684"/>
      <c r="WGL74" s="684"/>
      <c r="WGM74" s="684"/>
      <c r="WGN74" s="684"/>
      <c r="WGO74" s="684"/>
      <c r="WGP74" s="684"/>
      <c r="WGQ74" s="684"/>
      <c r="WGR74" s="684"/>
      <c r="WGS74" s="684"/>
      <c r="WGT74" s="684"/>
      <c r="WGU74" s="684"/>
      <c r="WGV74" s="684"/>
      <c r="WGW74" s="684"/>
      <c r="WGX74" s="684"/>
      <c r="WGY74" s="684"/>
      <c r="WGZ74" s="684"/>
      <c r="WHA74" s="684"/>
      <c r="WHB74" s="684"/>
      <c r="WHC74" s="684"/>
      <c r="WHD74" s="684"/>
      <c r="WHE74" s="684"/>
      <c r="WHF74" s="684"/>
      <c r="WHG74" s="684"/>
      <c r="WHH74" s="684"/>
      <c r="WHI74" s="684"/>
      <c r="WHJ74" s="684"/>
      <c r="WHK74" s="684"/>
      <c r="WHL74" s="684"/>
      <c r="WHM74" s="684"/>
      <c r="WHN74" s="684"/>
      <c r="WHO74" s="684"/>
      <c r="WHP74" s="684"/>
      <c r="WHQ74" s="684"/>
      <c r="WHR74" s="684"/>
      <c r="WHS74" s="684"/>
      <c r="WHT74" s="684"/>
      <c r="WHU74" s="684"/>
      <c r="WHV74" s="684"/>
      <c r="WHW74" s="684"/>
      <c r="WHX74" s="684"/>
      <c r="WHY74" s="684"/>
      <c r="WHZ74" s="684"/>
      <c r="WIA74" s="684"/>
      <c r="WIB74" s="684"/>
      <c r="WIC74" s="684"/>
      <c r="WID74" s="684"/>
      <c r="WIE74" s="684"/>
      <c r="WIF74" s="684"/>
      <c r="WIG74" s="684"/>
      <c r="WIH74" s="684"/>
      <c r="WII74" s="684"/>
      <c r="WIJ74" s="684"/>
      <c r="WIK74" s="684"/>
      <c r="WIL74" s="684"/>
      <c r="WIM74" s="684"/>
      <c r="WIN74" s="684"/>
      <c r="WIO74" s="684"/>
      <c r="WIP74" s="684"/>
      <c r="WIQ74" s="684"/>
      <c r="WIR74" s="684"/>
      <c r="WIS74" s="684"/>
      <c r="WIT74" s="684"/>
      <c r="WIU74" s="684"/>
      <c r="WIV74" s="684"/>
      <c r="WIW74" s="684"/>
      <c r="WIX74" s="684"/>
      <c r="WIY74" s="684"/>
      <c r="WIZ74" s="684"/>
      <c r="WJA74" s="684"/>
      <c r="WJB74" s="684"/>
      <c r="WJC74" s="684"/>
      <c r="WJD74" s="684"/>
      <c r="WJE74" s="684"/>
      <c r="WJF74" s="684"/>
      <c r="WJG74" s="684"/>
      <c r="WJH74" s="684"/>
      <c r="WJI74" s="684"/>
      <c r="WJJ74" s="684"/>
      <c r="WJK74" s="684"/>
      <c r="WJL74" s="684"/>
      <c r="WJM74" s="684"/>
      <c r="WJN74" s="684"/>
      <c r="WJO74" s="684"/>
      <c r="WJP74" s="684"/>
      <c r="WJQ74" s="684"/>
      <c r="WJR74" s="684"/>
      <c r="WJS74" s="684"/>
      <c r="WJT74" s="684"/>
      <c r="WJU74" s="684"/>
      <c r="WJV74" s="684"/>
      <c r="WJW74" s="684"/>
      <c r="WJX74" s="684"/>
      <c r="WJY74" s="684"/>
      <c r="WJZ74" s="684"/>
      <c r="WKA74" s="684"/>
      <c r="WKB74" s="684"/>
      <c r="WKC74" s="684"/>
      <c r="WKD74" s="684"/>
      <c r="WKE74" s="684"/>
      <c r="WKF74" s="684"/>
      <c r="WKG74" s="684"/>
      <c r="WKH74" s="684"/>
      <c r="WKI74" s="684"/>
      <c r="WKJ74" s="684"/>
      <c r="WKK74" s="684"/>
      <c r="WKL74" s="684"/>
      <c r="WKM74" s="684"/>
      <c r="WKN74" s="684"/>
      <c r="WKO74" s="684"/>
      <c r="WKP74" s="684"/>
      <c r="WKQ74" s="684"/>
      <c r="WKR74" s="684"/>
      <c r="WKS74" s="684"/>
      <c r="WKT74" s="684"/>
      <c r="WKU74" s="684"/>
      <c r="WKV74" s="684"/>
      <c r="WKW74" s="684"/>
      <c r="WKX74" s="684"/>
      <c r="WKY74" s="684"/>
      <c r="WKZ74" s="684"/>
      <c r="WLA74" s="684"/>
      <c r="WLB74" s="684"/>
      <c r="WLC74" s="684"/>
      <c r="WLD74" s="684"/>
      <c r="WLE74" s="684"/>
      <c r="WLF74" s="684"/>
      <c r="WLG74" s="684"/>
      <c r="WLH74" s="684"/>
      <c r="WLI74" s="684"/>
      <c r="WLJ74" s="684"/>
      <c r="WLK74" s="684"/>
      <c r="WLL74" s="684"/>
      <c r="WLM74" s="684"/>
      <c r="WLN74" s="684"/>
      <c r="WLO74" s="684"/>
      <c r="WLP74" s="684"/>
      <c r="WLQ74" s="684"/>
      <c r="WLR74" s="684"/>
      <c r="WLS74" s="684"/>
      <c r="WLT74" s="684"/>
      <c r="WLU74" s="684"/>
      <c r="WLV74" s="684"/>
      <c r="WLW74" s="684"/>
      <c r="WLX74" s="684"/>
      <c r="WLY74" s="684"/>
      <c r="WLZ74" s="684"/>
      <c r="WMA74" s="684"/>
      <c r="WMB74" s="684"/>
      <c r="WMC74" s="684"/>
      <c r="WMD74" s="684"/>
      <c r="WME74" s="684"/>
      <c r="WMF74" s="684"/>
      <c r="WMG74" s="684"/>
      <c r="WMH74" s="684"/>
      <c r="WMI74" s="684"/>
      <c r="WMJ74" s="684"/>
      <c r="WMK74" s="684"/>
      <c r="WML74" s="684"/>
      <c r="WMM74" s="684"/>
      <c r="WMN74" s="684"/>
      <c r="WMO74" s="684"/>
      <c r="WMP74" s="684"/>
      <c r="WMQ74" s="684"/>
      <c r="WMR74" s="684"/>
      <c r="WMS74" s="684"/>
      <c r="WMT74" s="684"/>
      <c r="WMU74" s="684"/>
      <c r="WMV74" s="684"/>
      <c r="WMW74" s="684"/>
      <c r="WMX74" s="684"/>
      <c r="WMY74" s="684"/>
      <c r="WMZ74" s="684"/>
      <c r="WNA74" s="684"/>
      <c r="WNB74" s="684"/>
      <c r="WNC74" s="684"/>
      <c r="WND74" s="684"/>
      <c r="WNE74" s="684"/>
      <c r="WNF74" s="684"/>
      <c r="WNG74" s="684"/>
      <c r="WNH74" s="684"/>
      <c r="WNI74" s="684"/>
      <c r="WNJ74" s="684"/>
      <c r="WNK74" s="684"/>
      <c r="WNL74" s="684"/>
      <c r="WNM74" s="684"/>
      <c r="WNN74" s="684"/>
      <c r="WNO74" s="684"/>
      <c r="WNP74" s="684"/>
      <c r="WNQ74" s="684"/>
      <c r="WNR74" s="684"/>
      <c r="WNS74" s="684"/>
      <c r="WNT74" s="684"/>
      <c r="WNU74" s="684"/>
      <c r="WNV74" s="684"/>
      <c r="WNW74" s="684"/>
      <c r="WNX74" s="684"/>
      <c r="WNY74" s="684"/>
      <c r="WNZ74" s="684"/>
      <c r="WOA74" s="684"/>
      <c r="WOB74" s="684"/>
      <c r="WOC74" s="684"/>
      <c r="WOD74" s="684"/>
      <c r="WOE74" s="684"/>
      <c r="WOF74" s="684"/>
      <c r="WOG74" s="684"/>
      <c r="WOH74" s="684"/>
      <c r="WOI74" s="684"/>
      <c r="WOJ74" s="684"/>
      <c r="WOK74" s="684"/>
      <c r="WOL74" s="684"/>
      <c r="WOM74" s="684"/>
      <c r="WON74" s="684"/>
      <c r="WOO74" s="684"/>
      <c r="WOP74" s="684"/>
      <c r="WOQ74" s="684"/>
      <c r="WOR74" s="684"/>
      <c r="WOS74" s="684"/>
      <c r="WOT74" s="684"/>
      <c r="WOU74" s="684"/>
      <c r="WOV74" s="684"/>
      <c r="WOW74" s="684"/>
      <c r="WOX74" s="684"/>
      <c r="WOY74" s="684"/>
      <c r="WOZ74" s="684"/>
      <c r="WPA74" s="684"/>
      <c r="WPB74" s="684"/>
      <c r="WPC74" s="684"/>
      <c r="WPD74" s="684"/>
      <c r="WPE74" s="684"/>
      <c r="WPF74" s="684"/>
      <c r="WPG74" s="684"/>
      <c r="WPH74" s="684"/>
      <c r="WPI74" s="684"/>
      <c r="WPJ74" s="684"/>
      <c r="WPK74" s="684"/>
      <c r="WPL74" s="684"/>
      <c r="WPM74" s="684"/>
      <c r="WPN74" s="684"/>
      <c r="WPO74" s="684"/>
      <c r="WPP74" s="684"/>
      <c r="WPQ74" s="684"/>
      <c r="WPR74" s="684"/>
      <c r="WPS74" s="684"/>
      <c r="WPT74" s="684"/>
      <c r="WPU74" s="684"/>
      <c r="WPV74" s="684"/>
      <c r="WPW74" s="684"/>
      <c r="WPX74" s="684"/>
      <c r="WPY74" s="684"/>
      <c r="WPZ74" s="684"/>
      <c r="WQA74" s="684"/>
      <c r="WQB74" s="684"/>
      <c r="WQC74" s="684"/>
      <c r="WQD74" s="684"/>
      <c r="WQE74" s="684"/>
      <c r="WQF74" s="684"/>
      <c r="WQG74" s="684"/>
      <c r="WQH74" s="684"/>
      <c r="WQI74" s="684"/>
      <c r="WQJ74" s="684"/>
      <c r="WQK74" s="684"/>
      <c r="WQL74" s="684"/>
      <c r="WQM74" s="684"/>
      <c r="WQN74" s="684"/>
      <c r="WQO74" s="684"/>
      <c r="WQP74" s="684"/>
      <c r="WQQ74" s="684"/>
      <c r="WQR74" s="684"/>
      <c r="WQS74" s="684"/>
      <c r="WQT74" s="684"/>
      <c r="WQU74" s="684"/>
      <c r="WQV74" s="684"/>
      <c r="WQW74" s="684"/>
      <c r="WQX74" s="684"/>
      <c r="WQY74" s="684"/>
      <c r="WQZ74" s="684"/>
      <c r="WRA74" s="684"/>
      <c r="WRB74" s="684"/>
      <c r="WRC74" s="684"/>
      <c r="WRD74" s="684"/>
      <c r="WRE74" s="684"/>
      <c r="WRF74" s="684"/>
      <c r="WRG74" s="684"/>
      <c r="WRH74" s="684"/>
      <c r="WRI74" s="684"/>
      <c r="WRJ74" s="684"/>
      <c r="WRK74" s="684"/>
      <c r="WRL74" s="684"/>
      <c r="WRM74" s="684"/>
      <c r="WRN74" s="684"/>
      <c r="WRO74" s="684"/>
      <c r="WRP74" s="684"/>
      <c r="WRQ74" s="684"/>
      <c r="WRR74" s="684"/>
      <c r="WRS74" s="684"/>
      <c r="WRT74" s="684"/>
      <c r="WRU74" s="684"/>
      <c r="WRV74" s="684"/>
      <c r="WRW74" s="684"/>
      <c r="WRX74" s="684"/>
      <c r="WRY74" s="684"/>
      <c r="WRZ74" s="684"/>
      <c r="WSA74" s="684"/>
      <c r="WSB74" s="684"/>
      <c r="WSC74" s="684"/>
      <c r="WSD74" s="684"/>
      <c r="WSE74" s="684"/>
      <c r="WSF74" s="684"/>
      <c r="WSG74" s="684"/>
      <c r="WSH74" s="684"/>
      <c r="WSI74" s="684"/>
      <c r="WSJ74" s="684"/>
      <c r="WSK74" s="684"/>
      <c r="WSL74" s="684"/>
      <c r="WSM74" s="684"/>
      <c r="WSN74" s="684"/>
      <c r="WSO74" s="684"/>
      <c r="WSP74" s="684"/>
      <c r="WSQ74" s="684"/>
      <c r="WSR74" s="684"/>
      <c r="WSS74" s="684"/>
      <c r="WST74" s="684"/>
      <c r="WSU74" s="684"/>
      <c r="WSV74" s="684"/>
      <c r="WSW74" s="684"/>
      <c r="WSX74" s="684"/>
      <c r="WSY74" s="684"/>
      <c r="WSZ74" s="684"/>
      <c r="WTA74" s="684"/>
      <c r="WTB74" s="684"/>
      <c r="WTC74" s="684"/>
      <c r="WTD74" s="684"/>
      <c r="WTE74" s="684"/>
      <c r="WTF74" s="684"/>
      <c r="WTG74" s="684"/>
      <c r="WTH74" s="684"/>
      <c r="WTI74" s="684"/>
      <c r="WTJ74" s="684"/>
      <c r="WTK74" s="684"/>
      <c r="WTL74" s="684"/>
      <c r="WTM74" s="684"/>
      <c r="WTN74" s="684"/>
      <c r="WTO74" s="684"/>
      <c r="WTP74" s="684"/>
      <c r="WTQ74" s="684"/>
      <c r="WTR74" s="684"/>
      <c r="WTS74" s="684"/>
      <c r="WTT74" s="684"/>
      <c r="WTU74" s="684"/>
      <c r="WTV74" s="684"/>
      <c r="WTW74" s="684"/>
      <c r="WTX74" s="684"/>
      <c r="WTY74" s="684"/>
      <c r="WTZ74" s="684"/>
      <c r="WUA74" s="684"/>
      <c r="WUB74" s="684"/>
      <c r="WUC74" s="684"/>
      <c r="WUD74" s="684"/>
      <c r="WUE74" s="684"/>
      <c r="WUF74" s="684"/>
      <c r="WUG74" s="684"/>
      <c r="WUH74" s="684"/>
      <c r="WUI74" s="684"/>
      <c r="WUJ74" s="684"/>
      <c r="WUK74" s="684"/>
      <c r="WUL74" s="684"/>
      <c r="WUM74" s="684"/>
      <c r="WUN74" s="684"/>
      <c r="WUO74" s="684"/>
      <c r="WUP74" s="684"/>
      <c r="WUQ74" s="684"/>
      <c r="WUR74" s="684"/>
      <c r="WUS74" s="684"/>
      <c r="WUT74" s="684"/>
      <c r="WUU74" s="684"/>
      <c r="WUV74" s="684"/>
      <c r="WUW74" s="684"/>
      <c r="WUX74" s="684"/>
      <c r="WUY74" s="684"/>
      <c r="WUZ74" s="684"/>
      <c r="WVA74" s="684"/>
      <c r="WVB74" s="684"/>
      <c r="WVC74" s="684"/>
      <c r="WVD74" s="684"/>
      <c r="WVE74" s="684"/>
      <c r="WVF74" s="684"/>
      <c r="WVG74" s="684"/>
      <c r="WVH74" s="684"/>
      <c r="WVI74" s="684"/>
      <c r="WVJ74" s="684"/>
      <c r="WVK74" s="684"/>
      <c r="WVL74" s="684"/>
      <c r="WVM74" s="684"/>
      <c r="WVN74" s="684"/>
      <c r="WVO74" s="684"/>
      <c r="WVP74" s="684"/>
      <c r="WVQ74" s="684"/>
      <c r="WVR74" s="684"/>
      <c r="WVS74" s="684"/>
      <c r="WVT74" s="684"/>
      <c r="WVU74" s="684"/>
      <c r="WVV74" s="684"/>
      <c r="WVW74" s="684"/>
      <c r="WVX74" s="684"/>
      <c r="WVY74" s="684"/>
      <c r="WVZ74" s="684"/>
      <c r="WWA74" s="684"/>
      <c r="WWB74" s="684"/>
      <c r="WWC74" s="684"/>
      <c r="WWD74" s="684"/>
      <c r="WWE74" s="684"/>
      <c r="WWF74" s="684"/>
      <c r="WWG74" s="684"/>
      <c r="WWH74" s="684"/>
      <c r="WWI74" s="684"/>
      <c r="WWJ74" s="684"/>
      <c r="WWK74" s="684"/>
      <c r="WWL74" s="684"/>
      <c r="WWM74" s="684"/>
      <c r="WWN74" s="684"/>
      <c r="WWO74" s="684"/>
      <c r="WWP74" s="684"/>
      <c r="WWQ74" s="684"/>
      <c r="WWR74" s="684"/>
      <c r="WWS74" s="684"/>
      <c r="WWT74" s="684"/>
      <c r="WWU74" s="684"/>
      <c r="WWV74" s="684"/>
      <c r="WWW74" s="684"/>
      <c r="WWX74" s="684"/>
      <c r="WWY74" s="684"/>
      <c r="WWZ74" s="684"/>
      <c r="WXA74" s="684"/>
      <c r="WXB74" s="684"/>
      <c r="WXC74" s="684"/>
      <c r="WXD74" s="684"/>
      <c r="WXE74" s="684"/>
      <c r="WXF74" s="684"/>
      <c r="WXG74" s="684"/>
      <c r="WXH74" s="684"/>
      <c r="WXI74" s="684"/>
      <c r="WXJ74" s="684"/>
      <c r="WXK74" s="684"/>
      <c r="WXL74" s="684"/>
      <c r="WXM74" s="684"/>
      <c r="WXN74" s="684"/>
      <c r="WXO74" s="684"/>
      <c r="WXP74" s="684"/>
      <c r="WXQ74" s="684"/>
      <c r="WXR74" s="684"/>
      <c r="WXS74" s="684"/>
      <c r="WXT74" s="684"/>
      <c r="WXU74" s="684"/>
      <c r="WXV74" s="684"/>
      <c r="WXW74" s="684"/>
      <c r="WXX74" s="684"/>
      <c r="WXY74" s="684"/>
      <c r="WXZ74" s="684"/>
      <c r="WYA74" s="684"/>
      <c r="WYB74" s="684"/>
      <c r="WYC74" s="684"/>
      <c r="WYD74" s="684"/>
      <c r="WYE74" s="684"/>
      <c r="WYF74" s="684"/>
      <c r="WYG74" s="684"/>
      <c r="WYH74" s="684"/>
      <c r="WYI74" s="684"/>
      <c r="WYJ74" s="684"/>
      <c r="WYK74" s="684"/>
      <c r="WYL74" s="684"/>
      <c r="WYM74" s="684"/>
      <c r="WYN74" s="684"/>
      <c r="WYO74" s="684"/>
      <c r="WYP74" s="684"/>
      <c r="WYQ74" s="684"/>
      <c r="WYR74" s="684"/>
      <c r="WYS74" s="684"/>
      <c r="WYT74" s="684"/>
      <c r="WYU74" s="684"/>
      <c r="WYV74" s="684"/>
      <c r="WYW74" s="684"/>
      <c r="WYX74" s="684"/>
      <c r="WYY74" s="684"/>
      <c r="WYZ74" s="684"/>
      <c r="WZA74" s="684"/>
      <c r="WZB74" s="684"/>
      <c r="WZC74" s="684"/>
      <c r="WZD74" s="684"/>
      <c r="WZE74" s="684"/>
      <c r="WZF74" s="684"/>
      <c r="WZG74" s="684"/>
      <c r="WZH74" s="684"/>
      <c r="WZI74" s="684"/>
      <c r="WZJ74" s="684"/>
      <c r="WZK74" s="684"/>
      <c r="WZL74" s="684"/>
      <c r="WZM74" s="684"/>
      <c r="WZN74" s="684"/>
      <c r="WZO74" s="684"/>
      <c r="WZP74" s="684"/>
      <c r="WZQ74" s="684"/>
      <c r="WZR74" s="684"/>
      <c r="WZS74" s="684"/>
      <c r="WZT74" s="684"/>
      <c r="WZU74" s="684"/>
      <c r="WZV74" s="684"/>
      <c r="WZW74" s="684"/>
      <c r="WZX74" s="684"/>
      <c r="WZY74" s="684"/>
      <c r="WZZ74" s="684"/>
      <c r="XAA74" s="684"/>
      <c r="XAB74" s="684"/>
      <c r="XAC74" s="684"/>
      <c r="XAD74" s="684"/>
      <c r="XAE74" s="684"/>
      <c r="XAF74" s="684"/>
      <c r="XAG74" s="684"/>
      <c r="XAH74" s="684"/>
      <c r="XAI74" s="684"/>
      <c r="XAJ74" s="684"/>
      <c r="XAK74" s="684"/>
      <c r="XAL74" s="684"/>
      <c r="XAM74" s="684"/>
      <c r="XAN74" s="684"/>
      <c r="XAO74" s="684"/>
      <c r="XAP74" s="684"/>
      <c r="XAQ74" s="684"/>
      <c r="XAR74" s="684"/>
      <c r="XAS74" s="684"/>
      <c r="XAT74" s="684"/>
      <c r="XAU74" s="684"/>
      <c r="XAV74" s="684"/>
      <c r="XAW74" s="684"/>
      <c r="XAX74" s="684"/>
      <c r="XAY74" s="684"/>
      <c r="XAZ74" s="684"/>
      <c r="XBA74" s="684"/>
      <c r="XBB74" s="684"/>
      <c r="XBC74" s="684"/>
      <c r="XBD74" s="684"/>
      <c r="XBE74" s="684"/>
      <c r="XBF74" s="684"/>
      <c r="XBG74" s="684"/>
      <c r="XBH74" s="684"/>
      <c r="XBI74" s="684"/>
      <c r="XBJ74" s="684"/>
      <c r="XBK74" s="684"/>
      <c r="XBL74" s="684"/>
      <c r="XBM74" s="684"/>
      <c r="XBN74" s="684"/>
      <c r="XBO74" s="684"/>
      <c r="XBP74" s="684"/>
      <c r="XBQ74" s="684"/>
      <c r="XBR74" s="684"/>
      <c r="XBS74" s="684"/>
      <c r="XBT74" s="684"/>
      <c r="XBU74" s="684"/>
      <c r="XBV74" s="684"/>
      <c r="XBW74" s="684"/>
      <c r="XBX74" s="684"/>
      <c r="XBY74" s="684"/>
      <c r="XBZ74" s="684"/>
      <c r="XCA74" s="684"/>
      <c r="XCB74" s="684"/>
      <c r="XCC74" s="684"/>
      <c r="XCD74" s="684"/>
      <c r="XCE74" s="684"/>
      <c r="XCF74" s="684"/>
      <c r="XCG74" s="684"/>
      <c r="XCH74" s="684"/>
      <c r="XCI74" s="684"/>
      <c r="XCJ74" s="684"/>
      <c r="XCK74" s="684"/>
      <c r="XCL74" s="684"/>
      <c r="XCM74" s="684"/>
      <c r="XCN74" s="684"/>
      <c r="XCO74" s="684"/>
      <c r="XCP74" s="684"/>
      <c r="XCQ74" s="684"/>
      <c r="XCR74" s="684"/>
      <c r="XCS74" s="684"/>
      <c r="XCT74" s="684"/>
      <c r="XCU74" s="684"/>
      <c r="XCV74" s="684"/>
      <c r="XCW74" s="684"/>
      <c r="XCX74" s="684"/>
      <c r="XCY74" s="684"/>
      <c r="XCZ74" s="684"/>
      <c r="XDA74" s="684"/>
      <c r="XDB74" s="684"/>
      <c r="XDC74" s="684"/>
      <c r="XDD74" s="684"/>
      <c r="XDE74" s="684"/>
      <c r="XDF74" s="684"/>
      <c r="XDG74" s="684"/>
      <c r="XDH74" s="684"/>
      <c r="XDI74" s="684"/>
      <c r="XDJ74" s="684"/>
      <c r="XDK74" s="684"/>
      <c r="XDL74" s="684"/>
      <c r="XDM74" s="684"/>
      <c r="XDN74" s="684"/>
      <c r="XDO74" s="684"/>
      <c r="XDP74" s="684"/>
      <c r="XDQ74" s="684"/>
      <c r="XDR74" s="684"/>
      <c r="XDS74" s="684"/>
      <c r="XDT74" s="684"/>
      <c r="XDU74" s="684"/>
      <c r="XDV74" s="684"/>
      <c r="XDW74" s="684"/>
      <c r="XDX74" s="684"/>
      <c r="XDY74" s="684"/>
      <c r="XDZ74" s="684"/>
      <c r="XEA74" s="684"/>
      <c r="XEB74" s="684"/>
      <c r="XEC74" s="684"/>
      <c r="XED74" s="684"/>
      <c r="XEE74" s="684"/>
      <c r="XEF74" s="684"/>
      <c r="XEG74" s="684"/>
      <c r="XEH74" s="684"/>
      <c r="XEI74" s="684"/>
      <c r="XEJ74" s="684"/>
      <c r="XEK74" s="684"/>
      <c r="XEL74" s="684"/>
      <c r="XEM74" s="684"/>
      <c r="XEN74" s="684"/>
      <c r="XEO74" s="684"/>
      <c r="XEP74" s="684"/>
      <c r="XEQ74" s="684"/>
      <c r="XER74" s="684"/>
      <c r="XES74" s="684"/>
      <c r="XET74" s="684"/>
      <c r="XEU74" s="684"/>
      <c r="XEV74" s="684"/>
      <c r="XEW74" s="684"/>
      <c r="XEX74" s="684"/>
      <c r="XEY74" s="684"/>
      <c r="XEZ74" s="684"/>
      <c r="XFA74" s="684"/>
      <c r="XFB74" s="684"/>
      <c r="XFC74" s="684"/>
      <c r="XFD74" s="684"/>
    </row>
    <row r="75" spans="1:16384" s="853" customFormat="1">
      <c r="A75" s="597" t="s">
        <v>2414</v>
      </c>
      <c r="B75" s="488" t="s">
        <v>2424</v>
      </c>
      <c r="C75" s="488" t="s">
        <v>2424</v>
      </c>
      <c r="D75" s="4295" t="str">
        <f>$A75&amp;"  "&amp;$A76</f>
        <v>pwauslihsapp29  pwauslihsapp30</v>
      </c>
      <c r="E75" s="4289" t="str">
        <f>$B75&amp;"  "&amp;$B76</f>
        <v>10.136.100.67  10.136.100.68</v>
      </c>
      <c r="F75" s="4265" t="s">
        <v>75</v>
      </c>
      <c r="G75" s="4262"/>
      <c r="H75" s="4202"/>
      <c r="I75" s="4202"/>
      <c r="J75" s="684"/>
      <c r="K75" s="684"/>
      <c r="L75" s="684"/>
      <c r="M75" s="684"/>
      <c r="N75" s="684"/>
      <c r="O75" s="684"/>
      <c r="P75" s="684"/>
      <c r="Q75" s="684"/>
      <c r="R75" s="684"/>
      <c r="S75" s="684"/>
      <c r="T75" s="684"/>
      <c r="U75" s="684"/>
      <c r="V75" s="684"/>
      <c r="W75" s="684"/>
      <c r="X75" s="684"/>
      <c r="Y75" s="684"/>
      <c r="Z75" s="684"/>
      <c r="AA75" s="684"/>
      <c r="AB75" s="684"/>
      <c r="AC75" s="684"/>
      <c r="AD75" s="684"/>
      <c r="AE75" s="684"/>
      <c r="AF75" s="684"/>
      <c r="AG75" s="684"/>
      <c r="AH75" s="684"/>
      <c r="AI75" s="684"/>
      <c r="AJ75" s="684"/>
      <c r="AK75" s="684"/>
      <c r="AL75" s="684"/>
      <c r="AM75" s="684"/>
      <c r="AN75" s="684"/>
      <c r="AO75" s="684"/>
      <c r="AP75" s="684"/>
      <c r="AQ75" s="684"/>
      <c r="AR75" s="684"/>
      <c r="AS75" s="684"/>
      <c r="AT75" s="684"/>
      <c r="AU75" s="684"/>
      <c r="AV75" s="684"/>
      <c r="AW75" s="684"/>
      <c r="AX75" s="684"/>
      <c r="AY75" s="684"/>
      <c r="AZ75" s="684"/>
      <c r="BA75" s="684"/>
      <c r="BB75" s="684"/>
      <c r="BC75" s="684"/>
      <c r="BD75" s="684"/>
      <c r="BE75" s="684"/>
      <c r="BF75" s="684"/>
      <c r="BG75" s="684"/>
      <c r="BH75" s="684"/>
      <c r="BI75" s="684"/>
      <c r="BJ75" s="684"/>
      <c r="BK75" s="684"/>
      <c r="BL75" s="684"/>
      <c r="BM75" s="684"/>
      <c r="BN75" s="684"/>
      <c r="BO75" s="684"/>
      <c r="BP75" s="684"/>
      <c r="BQ75" s="684"/>
      <c r="BR75" s="684"/>
      <c r="BS75" s="684"/>
      <c r="BT75" s="684"/>
      <c r="BU75" s="684"/>
      <c r="BV75" s="684"/>
      <c r="BW75" s="684"/>
      <c r="BX75" s="684"/>
      <c r="BY75" s="684"/>
      <c r="BZ75" s="684"/>
      <c r="CA75" s="684"/>
      <c r="CB75" s="684"/>
      <c r="CC75" s="684"/>
      <c r="CD75" s="684"/>
      <c r="CE75" s="684"/>
      <c r="CF75" s="684"/>
      <c r="CG75" s="684"/>
      <c r="CH75" s="684"/>
      <c r="CI75" s="684"/>
      <c r="CJ75" s="684"/>
      <c r="CK75" s="684"/>
      <c r="CL75" s="684"/>
      <c r="CM75" s="684"/>
      <c r="CN75" s="684"/>
      <c r="CO75" s="684"/>
      <c r="CP75" s="684"/>
      <c r="CQ75" s="684"/>
      <c r="CR75" s="684"/>
      <c r="CS75" s="684"/>
      <c r="CT75" s="684"/>
      <c r="CU75" s="684"/>
      <c r="CV75" s="684"/>
      <c r="CW75" s="684"/>
      <c r="CX75" s="684"/>
      <c r="CY75" s="684"/>
      <c r="CZ75" s="684"/>
      <c r="DA75" s="684"/>
      <c r="DB75" s="684"/>
      <c r="DC75" s="684"/>
      <c r="DD75" s="684"/>
      <c r="DE75" s="684"/>
      <c r="DF75" s="684"/>
      <c r="DG75" s="684"/>
      <c r="DH75" s="684"/>
      <c r="DI75" s="684"/>
      <c r="DJ75" s="684"/>
      <c r="DK75" s="684"/>
      <c r="DL75" s="684"/>
      <c r="DM75" s="684"/>
      <c r="DN75" s="684"/>
      <c r="DO75" s="684"/>
      <c r="DP75" s="684"/>
      <c r="DQ75" s="684"/>
      <c r="DR75" s="684"/>
      <c r="DS75" s="684"/>
      <c r="DT75" s="684"/>
      <c r="DU75" s="684"/>
      <c r="DV75" s="684"/>
      <c r="DW75" s="684"/>
      <c r="DX75" s="684"/>
      <c r="DY75" s="684"/>
      <c r="DZ75" s="684"/>
      <c r="EA75" s="684"/>
      <c r="EB75" s="684"/>
      <c r="EC75" s="684"/>
      <c r="ED75" s="684"/>
      <c r="EE75" s="684"/>
      <c r="EF75" s="684"/>
      <c r="EG75" s="684"/>
      <c r="EH75" s="684"/>
      <c r="EI75" s="684"/>
      <c r="EJ75" s="684"/>
      <c r="EK75" s="684"/>
      <c r="EL75" s="684"/>
      <c r="EM75" s="684"/>
      <c r="EN75" s="684"/>
      <c r="EO75" s="684"/>
      <c r="EP75" s="684"/>
      <c r="EQ75" s="684"/>
      <c r="ER75" s="684"/>
      <c r="ES75" s="684"/>
      <c r="ET75" s="684"/>
      <c r="EU75" s="684"/>
      <c r="EV75" s="684"/>
      <c r="EW75" s="684"/>
      <c r="EX75" s="684"/>
      <c r="EY75" s="684"/>
      <c r="EZ75" s="684"/>
      <c r="FA75" s="684"/>
      <c r="FB75" s="684"/>
      <c r="FC75" s="684"/>
      <c r="FD75" s="684"/>
      <c r="FE75" s="684"/>
      <c r="FF75" s="684"/>
      <c r="FG75" s="684"/>
      <c r="FH75" s="684"/>
      <c r="FI75" s="684"/>
      <c r="FJ75" s="684"/>
      <c r="FK75" s="684"/>
      <c r="FL75" s="684"/>
      <c r="FM75" s="684"/>
      <c r="FN75" s="684"/>
      <c r="FO75" s="684"/>
      <c r="FP75" s="684"/>
      <c r="FQ75" s="684"/>
      <c r="FR75" s="684"/>
      <c r="FS75" s="684"/>
      <c r="FT75" s="684"/>
      <c r="FU75" s="684"/>
      <c r="FV75" s="684"/>
      <c r="FW75" s="684"/>
      <c r="FX75" s="684"/>
      <c r="FY75" s="684"/>
      <c r="FZ75" s="684"/>
      <c r="GA75" s="684"/>
      <c r="GB75" s="684"/>
      <c r="GC75" s="684"/>
      <c r="GD75" s="684"/>
      <c r="GE75" s="684"/>
      <c r="GF75" s="684"/>
      <c r="GG75" s="684"/>
      <c r="GH75" s="684"/>
      <c r="GI75" s="684"/>
      <c r="GJ75" s="684"/>
      <c r="GK75" s="684"/>
      <c r="GL75" s="684"/>
      <c r="GM75" s="684"/>
      <c r="GN75" s="684"/>
      <c r="GO75" s="684"/>
      <c r="GP75" s="684"/>
      <c r="GQ75" s="684"/>
      <c r="GR75" s="684"/>
      <c r="GS75" s="684"/>
      <c r="GT75" s="684"/>
      <c r="GU75" s="684"/>
      <c r="GV75" s="684"/>
      <c r="GW75" s="684"/>
      <c r="GX75" s="684"/>
      <c r="GY75" s="684"/>
      <c r="GZ75" s="684"/>
      <c r="HA75" s="684"/>
      <c r="HB75" s="684"/>
      <c r="HC75" s="684"/>
      <c r="HD75" s="684"/>
      <c r="HE75" s="684"/>
      <c r="HF75" s="684"/>
      <c r="HG75" s="684"/>
      <c r="HH75" s="684"/>
      <c r="HI75" s="684"/>
      <c r="HJ75" s="684"/>
      <c r="HK75" s="684"/>
      <c r="HL75" s="684"/>
      <c r="HM75" s="684"/>
      <c r="HN75" s="684"/>
      <c r="HO75" s="684"/>
      <c r="HP75" s="684"/>
      <c r="HQ75" s="684"/>
      <c r="HR75" s="684"/>
      <c r="HS75" s="684"/>
      <c r="HT75" s="684"/>
      <c r="HU75" s="684"/>
      <c r="HV75" s="684"/>
      <c r="HW75" s="684"/>
      <c r="HX75" s="684"/>
      <c r="HY75" s="684"/>
      <c r="HZ75" s="684"/>
      <c r="IA75" s="684"/>
      <c r="IB75" s="684"/>
      <c r="IC75" s="684"/>
      <c r="ID75" s="684"/>
      <c r="IE75" s="684"/>
      <c r="IF75" s="684"/>
      <c r="IG75" s="684"/>
      <c r="IH75" s="684"/>
      <c r="II75" s="684"/>
      <c r="IJ75" s="684"/>
      <c r="IK75" s="684"/>
      <c r="IL75" s="684"/>
      <c r="IM75" s="684"/>
      <c r="IN75" s="684"/>
      <c r="IO75" s="684"/>
      <c r="IP75" s="684"/>
      <c r="IQ75" s="684"/>
      <c r="IR75" s="684"/>
      <c r="IS75" s="684"/>
      <c r="IT75" s="684"/>
      <c r="IU75" s="684"/>
      <c r="IV75" s="684"/>
      <c r="IW75" s="684"/>
      <c r="IX75" s="684"/>
      <c r="IY75" s="684"/>
      <c r="IZ75" s="684"/>
      <c r="JA75" s="684"/>
      <c r="JB75" s="684"/>
      <c r="JC75" s="684"/>
      <c r="JD75" s="684"/>
      <c r="JE75" s="684"/>
      <c r="JF75" s="684"/>
      <c r="JG75" s="684"/>
      <c r="JH75" s="684"/>
      <c r="JI75" s="684"/>
      <c r="JJ75" s="684"/>
      <c r="JK75" s="684"/>
      <c r="JL75" s="684"/>
      <c r="JM75" s="684"/>
      <c r="JN75" s="684"/>
      <c r="JO75" s="684"/>
      <c r="JP75" s="684"/>
      <c r="JQ75" s="684"/>
      <c r="JR75" s="684"/>
      <c r="JS75" s="684"/>
      <c r="JT75" s="684"/>
      <c r="JU75" s="684"/>
      <c r="JV75" s="684"/>
      <c r="JW75" s="684"/>
      <c r="JX75" s="684"/>
      <c r="JY75" s="684"/>
      <c r="JZ75" s="684"/>
      <c r="KA75" s="684"/>
      <c r="KB75" s="684"/>
      <c r="KC75" s="684"/>
      <c r="KD75" s="684"/>
      <c r="KE75" s="684"/>
      <c r="KF75" s="684"/>
      <c r="KG75" s="684"/>
      <c r="KH75" s="684"/>
      <c r="KI75" s="684"/>
      <c r="KJ75" s="684"/>
      <c r="KK75" s="684"/>
      <c r="KL75" s="684"/>
      <c r="KM75" s="684"/>
      <c r="KN75" s="684"/>
      <c r="KO75" s="684"/>
      <c r="KP75" s="684"/>
      <c r="KQ75" s="684"/>
      <c r="KR75" s="684"/>
      <c r="KS75" s="684"/>
      <c r="KT75" s="684"/>
      <c r="KU75" s="684"/>
      <c r="KV75" s="684"/>
      <c r="KW75" s="684"/>
      <c r="KX75" s="684"/>
      <c r="KY75" s="684"/>
      <c r="KZ75" s="684"/>
      <c r="LA75" s="684"/>
      <c r="LB75" s="684"/>
      <c r="LC75" s="684"/>
      <c r="LD75" s="684"/>
      <c r="LE75" s="684"/>
      <c r="LF75" s="684"/>
      <c r="LG75" s="684"/>
      <c r="LH75" s="684"/>
      <c r="LI75" s="684"/>
      <c r="LJ75" s="684"/>
      <c r="LK75" s="684"/>
      <c r="LL75" s="684"/>
      <c r="LM75" s="684"/>
      <c r="LN75" s="684"/>
      <c r="LO75" s="684"/>
      <c r="LP75" s="684"/>
      <c r="LQ75" s="684"/>
      <c r="LR75" s="684"/>
      <c r="LS75" s="684"/>
      <c r="LT75" s="684"/>
      <c r="LU75" s="684"/>
      <c r="LV75" s="684"/>
      <c r="LW75" s="684"/>
      <c r="LX75" s="684"/>
      <c r="LY75" s="684"/>
      <c r="LZ75" s="684"/>
      <c r="MA75" s="684"/>
      <c r="MB75" s="684"/>
      <c r="MC75" s="684"/>
      <c r="MD75" s="684"/>
      <c r="ME75" s="684"/>
      <c r="MF75" s="684"/>
      <c r="MG75" s="684"/>
      <c r="MH75" s="684"/>
      <c r="MI75" s="684"/>
      <c r="MJ75" s="684"/>
      <c r="MK75" s="684"/>
      <c r="ML75" s="684"/>
      <c r="MM75" s="684"/>
      <c r="MN75" s="684"/>
      <c r="MO75" s="684"/>
      <c r="MP75" s="684"/>
      <c r="MQ75" s="684"/>
      <c r="MR75" s="684"/>
      <c r="MS75" s="684"/>
      <c r="MT75" s="684"/>
      <c r="MU75" s="684"/>
      <c r="MV75" s="684"/>
      <c r="MW75" s="684"/>
      <c r="MX75" s="684"/>
      <c r="MY75" s="684"/>
      <c r="MZ75" s="684"/>
      <c r="NA75" s="684"/>
      <c r="NB75" s="684"/>
      <c r="NC75" s="684"/>
      <c r="ND75" s="684"/>
      <c r="NE75" s="684"/>
      <c r="NF75" s="684"/>
      <c r="NG75" s="684"/>
      <c r="NH75" s="684"/>
      <c r="NI75" s="684"/>
      <c r="NJ75" s="684"/>
      <c r="NK75" s="684"/>
      <c r="NL75" s="684"/>
      <c r="NM75" s="684"/>
      <c r="NN75" s="684"/>
      <c r="NO75" s="684"/>
      <c r="NP75" s="684"/>
      <c r="NQ75" s="684"/>
      <c r="NR75" s="684"/>
      <c r="NS75" s="684"/>
      <c r="NT75" s="684"/>
      <c r="NU75" s="684"/>
      <c r="NV75" s="684"/>
      <c r="NW75" s="684"/>
      <c r="NX75" s="684"/>
      <c r="NY75" s="684"/>
      <c r="NZ75" s="684"/>
      <c r="OA75" s="684"/>
      <c r="OB75" s="684"/>
      <c r="OC75" s="684"/>
      <c r="OD75" s="684"/>
      <c r="OE75" s="684"/>
      <c r="OF75" s="684"/>
      <c r="OG75" s="684"/>
      <c r="OH75" s="684"/>
      <c r="OI75" s="684"/>
      <c r="OJ75" s="684"/>
      <c r="OK75" s="684"/>
      <c r="OL75" s="684"/>
      <c r="OM75" s="684"/>
      <c r="ON75" s="684"/>
      <c r="OO75" s="684"/>
      <c r="OP75" s="684"/>
      <c r="OQ75" s="684"/>
      <c r="OR75" s="684"/>
      <c r="OS75" s="684"/>
      <c r="OT75" s="684"/>
      <c r="OU75" s="684"/>
      <c r="OV75" s="684"/>
      <c r="OW75" s="684"/>
      <c r="OX75" s="684"/>
      <c r="OY75" s="684"/>
      <c r="OZ75" s="684"/>
      <c r="PA75" s="684"/>
      <c r="PB75" s="684"/>
      <c r="PC75" s="684"/>
      <c r="PD75" s="684"/>
      <c r="PE75" s="684"/>
      <c r="PF75" s="684"/>
      <c r="PG75" s="684"/>
      <c r="PH75" s="684"/>
      <c r="PI75" s="684"/>
      <c r="PJ75" s="684"/>
      <c r="PK75" s="684"/>
      <c r="PL75" s="684"/>
      <c r="PM75" s="684"/>
      <c r="PN75" s="684"/>
      <c r="PO75" s="684"/>
      <c r="PP75" s="684"/>
      <c r="PQ75" s="684"/>
      <c r="PR75" s="684"/>
      <c r="PS75" s="684"/>
      <c r="PT75" s="684"/>
      <c r="PU75" s="684"/>
      <c r="PV75" s="684"/>
      <c r="PW75" s="684"/>
      <c r="PX75" s="684"/>
      <c r="PY75" s="684"/>
      <c r="PZ75" s="684"/>
      <c r="QA75" s="684"/>
      <c r="QB75" s="684"/>
      <c r="QC75" s="684"/>
      <c r="QD75" s="684"/>
      <c r="QE75" s="684"/>
      <c r="QF75" s="684"/>
      <c r="QG75" s="684"/>
      <c r="QH75" s="684"/>
      <c r="QI75" s="684"/>
      <c r="QJ75" s="684"/>
      <c r="QK75" s="684"/>
      <c r="QL75" s="684"/>
      <c r="QM75" s="684"/>
      <c r="QN75" s="684"/>
      <c r="QO75" s="684"/>
      <c r="QP75" s="684"/>
      <c r="QQ75" s="684"/>
      <c r="QR75" s="684"/>
      <c r="QS75" s="684"/>
      <c r="QT75" s="684"/>
      <c r="QU75" s="684"/>
      <c r="QV75" s="684"/>
      <c r="QW75" s="684"/>
      <c r="QX75" s="684"/>
      <c r="QY75" s="684"/>
      <c r="QZ75" s="684"/>
      <c r="RA75" s="684"/>
      <c r="RB75" s="684"/>
      <c r="RC75" s="684"/>
      <c r="RD75" s="684"/>
      <c r="RE75" s="684"/>
      <c r="RF75" s="684"/>
      <c r="RG75" s="684"/>
      <c r="RH75" s="684"/>
      <c r="RI75" s="684"/>
      <c r="RJ75" s="684"/>
      <c r="RK75" s="684"/>
      <c r="RL75" s="684"/>
      <c r="RM75" s="684"/>
      <c r="RN75" s="684"/>
      <c r="RO75" s="684"/>
      <c r="RP75" s="684"/>
      <c r="RQ75" s="684"/>
      <c r="RR75" s="684"/>
      <c r="RS75" s="684"/>
      <c r="RT75" s="684"/>
      <c r="RU75" s="684"/>
      <c r="RV75" s="684"/>
      <c r="RW75" s="684"/>
      <c r="RX75" s="684"/>
      <c r="RY75" s="684"/>
      <c r="RZ75" s="684"/>
      <c r="SA75" s="684"/>
      <c r="SB75" s="684"/>
      <c r="SC75" s="684"/>
      <c r="SD75" s="684"/>
      <c r="SE75" s="684"/>
      <c r="SF75" s="684"/>
      <c r="SG75" s="684"/>
      <c r="SH75" s="684"/>
      <c r="SI75" s="684"/>
      <c r="SJ75" s="684"/>
      <c r="SK75" s="684"/>
      <c r="SL75" s="684"/>
      <c r="SM75" s="684"/>
      <c r="SN75" s="684"/>
      <c r="SO75" s="684"/>
      <c r="SP75" s="684"/>
      <c r="SQ75" s="684"/>
      <c r="SR75" s="684"/>
      <c r="SS75" s="684"/>
      <c r="ST75" s="684"/>
      <c r="SU75" s="684"/>
      <c r="SV75" s="684"/>
      <c r="SW75" s="684"/>
      <c r="SX75" s="684"/>
      <c r="SY75" s="684"/>
      <c r="SZ75" s="684"/>
      <c r="TA75" s="684"/>
      <c r="TB75" s="684"/>
      <c r="TC75" s="684"/>
      <c r="TD75" s="684"/>
      <c r="TE75" s="684"/>
      <c r="TF75" s="684"/>
      <c r="TG75" s="684"/>
      <c r="TH75" s="684"/>
      <c r="TI75" s="684"/>
      <c r="TJ75" s="684"/>
      <c r="TK75" s="684"/>
      <c r="TL75" s="684"/>
      <c r="TM75" s="684"/>
      <c r="TN75" s="684"/>
      <c r="TO75" s="684"/>
      <c r="TP75" s="684"/>
      <c r="TQ75" s="684"/>
      <c r="TR75" s="684"/>
      <c r="TS75" s="684"/>
      <c r="TT75" s="684"/>
      <c r="TU75" s="684"/>
      <c r="TV75" s="684"/>
      <c r="TW75" s="684"/>
      <c r="TX75" s="684"/>
      <c r="TY75" s="684"/>
      <c r="TZ75" s="684"/>
      <c r="UA75" s="684"/>
      <c r="UB75" s="684"/>
      <c r="UC75" s="684"/>
      <c r="UD75" s="684"/>
      <c r="UE75" s="684"/>
      <c r="UF75" s="684"/>
      <c r="UG75" s="684"/>
      <c r="UH75" s="684"/>
      <c r="UI75" s="684"/>
      <c r="UJ75" s="684"/>
      <c r="UK75" s="684"/>
      <c r="UL75" s="684"/>
      <c r="UM75" s="684"/>
      <c r="UN75" s="684"/>
      <c r="UO75" s="684"/>
      <c r="UP75" s="684"/>
      <c r="UQ75" s="684"/>
      <c r="UR75" s="684"/>
      <c r="US75" s="684"/>
      <c r="UT75" s="684"/>
      <c r="UU75" s="684"/>
      <c r="UV75" s="684"/>
      <c r="UW75" s="684"/>
      <c r="UX75" s="684"/>
      <c r="UY75" s="684"/>
      <c r="UZ75" s="684"/>
      <c r="VA75" s="684"/>
      <c r="VB75" s="684"/>
      <c r="VC75" s="684"/>
      <c r="VD75" s="684"/>
      <c r="VE75" s="684"/>
      <c r="VF75" s="684"/>
      <c r="VG75" s="684"/>
      <c r="VH75" s="684"/>
      <c r="VI75" s="684"/>
      <c r="VJ75" s="684"/>
      <c r="VK75" s="684"/>
      <c r="VL75" s="684"/>
      <c r="VM75" s="684"/>
      <c r="VN75" s="684"/>
      <c r="VO75" s="684"/>
      <c r="VP75" s="684"/>
      <c r="VQ75" s="684"/>
      <c r="VR75" s="684"/>
      <c r="VS75" s="684"/>
      <c r="VT75" s="684"/>
      <c r="VU75" s="684"/>
      <c r="VV75" s="684"/>
      <c r="VW75" s="684"/>
      <c r="VX75" s="684"/>
      <c r="VY75" s="684"/>
      <c r="VZ75" s="684"/>
      <c r="WA75" s="684"/>
      <c r="WB75" s="684"/>
      <c r="WC75" s="684"/>
      <c r="WD75" s="684"/>
      <c r="WE75" s="684"/>
      <c r="WF75" s="684"/>
      <c r="WG75" s="684"/>
      <c r="WH75" s="684"/>
      <c r="WI75" s="684"/>
      <c r="WJ75" s="684"/>
      <c r="WK75" s="684"/>
      <c r="WL75" s="684"/>
      <c r="WM75" s="684"/>
      <c r="WN75" s="684"/>
      <c r="WO75" s="684"/>
      <c r="WP75" s="684"/>
      <c r="WQ75" s="684"/>
      <c r="WR75" s="684"/>
      <c r="WS75" s="684"/>
      <c r="WT75" s="684"/>
      <c r="WU75" s="684"/>
      <c r="WV75" s="684"/>
      <c r="WW75" s="684"/>
      <c r="WX75" s="684"/>
      <c r="WY75" s="684"/>
      <c r="WZ75" s="684"/>
      <c r="XA75" s="684"/>
      <c r="XB75" s="684"/>
      <c r="XC75" s="684"/>
      <c r="XD75" s="684"/>
      <c r="XE75" s="684"/>
      <c r="XF75" s="684"/>
      <c r="XG75" s="684"/>
      <c r="XH75" s="684"/>
      <c r="XI75" s="684"/>
      <c r="XJ75" s="684"/>
      <c r="XK75" s="684"/>
      <c r="XL75" s="684"/>
      <c r="XM75" s="684"/>
      <c r="XN75" s="684"/>
      <c r="XO75" s="684"/>
      <c r="XP75" s="684"/>
      <c r="XQ75" s="684"/>
      <c r="XR75" s="684"/>
      <c r="XS75" s="684"/>
      <c r="XT75" s="684"/>
      <c r="XU75" s="684"/>
      <c r="XV75" s="684"/>
      <c r="XW75" s="684"/>
      <c r="XX75" s="684"/>
      <c r="XY75" s="684"/>
      <c r="XZ75" s="684"/>
      <c r="YA75" s="684"/>
      <c r="YB75" s="684"/>
      <c r="YC75" s="684"/>
      <c r="YD75" s="684"/>
      <c r="YE75" s="684"/>
      <c r="YF75" s="684"/>
      <c r="YG75" s="684"/>
      <c r="YH75" s="684"/>
      <c r="YI75" s="684"/>
      <c r="YJ75" s="684"/>
      <c r="YK75" s="684"/>
      <c r="YL75" s="684"/>
      <c r="YM75" s="684"/>
      <c r="YN75" s="684"/>
      <c r="YO75" s="684"/>
      <c r="YP75" s="684"/>
      <c r="YQ75" s="684"/>
      <c r="YR75" s="684"/>
      <c r="YS75" s="684"/>
      <c r="YT75" s="684"/>
      <c r="YU75" s="684"/>
      <c r="YV75" s="684"/>
      <c r="YW75" s="684"/>
      <c r="YX75" s="684"/>
      <c r="YY75" s="684"/>
      <c r="YZ75" s="684"/>
      <c r="ZA75" s="684"/>
      <c r="ZB75" s="684"/>
      <c r="ZC75" s="684"/>
      <c r="ZD75" s="684"/>
      <c r="ZE75" s="684"/>
      <c r="ZF75" s="684"/>
      <c r="ZG75" s="684"/>
      <c r="ZH75" s="684"/>
      <c r="ZI75" s="684"/>
      <c r="ZJ75" s="684"/>
      <c r="ZK75" s="684"/>
      <c r="ZL75" s="684"/>
      <c r="ZM75" s="684"/>
      <c r="ZN75" s="684"/>
      <c r="ZO75" s="684"/>
      <c r="ZP75" s="684"/>
      <c r="ZQ75" s="684"/>
      <c r="ZR75" s="684"/>
      <c r="ZS75" s="684"/>
      <c r="ZT75" s="684"/>
      <c r="ZU75" s="684"/>
      <c r="ZV75" s="684"/>
      <c r="ZW75" s="684"/>
      <c r="ZX75" s="684"/>
      <c r="ZY75" s="684"/>
      <c r="ZZ75" s="684"/>
      <c r="AAA75" s="684"/>
      <c r="AAB75" s="684"/>
      <c r="AAC75" s="684"/>
      <c r="AAD75" s="684"/>
      <c r="AAE75" s="684"/>
      <c r="AAF75" s="684"/>
      <c r="AAG75" s="684"/>
      <c r="AAH75" s="684"/>
      <c r="AAI75" s="684"/>
      <c r="AAJ75" s="684"/>
      <c r="AAK75" s="684"/>
      <c r="AAL75" s="684"/>
      <c r="AAM75" s="684"/>
      <c r="AAN75" s="684"/>
      <c r="AAO75" s="684"/>
      <c r="AAP75" s="684"/>
      <c r="AAQ75" s="684"/>
      <c r="AAR75" s="684"/>
      <c r="AAS75" s="684"/>
      <c r="AAT75" s="684"/>
      <c r="AAU75" s="684"/>
      <c r="AAV75" s="684"/>
      <c r="AAW75" s="684"/>
      <c r="AAX75" s="684"/>
      <c r="AAY75" s="684"/>
      <c r="AAZ75" s="684"/>
      <c r="ABA75" s="684"/>
      <c r="ABB75" s="684"/>
      <c r="ABC75" s="684"/>
      <c r="ABD75" s="684"/>
      <c r="ABE75" s="684"/>
      <c r="ABF75" s="684"/>
      <c r="ABG75" s="684"/>
      <c r="ABH75" s="684"/>
      <c r="ABI75" s="684"/>
      <c r="ABJ75" s="684"/>
      <c r="ABK75" s="684"/>
      <c r="ABL75" s="684"/>
      <c r="ABM75" s="684"/>
      <c r="ABN75" s="684"/>
      <c r="ABO75" s="684"/>
      <c r="ABP75" s="684"/>
      <c r="ABQ75" s="684"/>
      <c r="ABR75" s="684"/>
      <c r="ABS75" s="684"/>
      <c r="ABT75" s="684"/>
      <c r="ABU75" s="684"/>
      <c r="ABV75" s="684"/>
      <c r="ABW75" s="684"/>
      <c r="ABX75" s="684"/>
      <c r="ABY75" s="684"/>
      <c r="ABZ75" s="684"/>
      <c r="ACA75" s="684"/>
      <c r="ACB75" s="684"/>
      <c r="ACC75" s="684"/>
      <c r="ACD75" s="684"/>
      <c r="ACE75" s="684"/>
      <c r="ACF75" s="684"/>
      <c r="ACG75" s="684"/>
      <c r="ACH75" s="684"/>
      <c r="ACI75" s="684"/>
      <c r="ACJ75" s="684"/>
      <c r="ACK75" s="684"/>
      <c r="ACL75" s="684"/>
      <c r="ACM75" s="684"/>
      <c r="ACN75" s="684"/>
      <c r="ACO75" s="684"/>
      <c r="ACP75" s="684"/>
      <c r="ACQ75" s="684"/>
      <c r="ACR75" s="684"/>
      <c r="ACS75" s="684"/>
      <c r="ACT75" s="684"/>
      <c r="ACU75" s="684"/>
      <c r="ACV75" s="684"/>
      <c r="ACW75" s="684"/>
      <c r="ACX75" s="684"/>
      <c r="ACY75" s="684"/>
      <c r="ACZ75" s="684"/>
      <c r="ADA75" s="684"/>
      <c r="ADB75" s="684"/>
      <c r="ADC75" s="684"/>
      <c r="ADD75" s="684"/>
      <c r="ADE75" s="684"/>
      <c r="ADF75" s="684"/>
      <c r="ADG75" s="684"/>
      <c r="ADH75" s="684"/>
      <c r="ADI75" s="684"/>
      <c r="ADJ75" s="684"/>
      <c r="ADK75" s="684"/>
      <c r="ADL75" s="684"/>
      <c r="ADM75" s="684"/>
      <c r="ADN75" s="684"/>
      <c r="ADO75" s="684"/>
      <c r="ADP75" s="684"/>
      <c r="ADQ75" s="684"/>
      <c r="ADR75" s="684"/>
      <c r="ADS75" s="684"/>
      <c r="ADT75" s="684"/>
      <c r="ADU75" s="684"/>
      <c r="ADV75" s="684"/>
      <c r="ADW75" s="684"/>
      <c r="ADX75" s="684"/>
      <c r="ADY75" s="684"/>
      <c r="ADZ75" s="684"/>
      <c r="AEA75" s="684"/>
      <c r="AEB75" s="684"/>
      <c r="AEC75" s="684"/>
      <c r="AED75" s="684"/>
      <c r="AEE75" s="684"/>
      <c r="AEF75" s="684"/>
      <c r="AEG75" s="684"/>
      <c r="AEH75" s="684"/>
      <c r="AEI75" s="684"/>
      <c r="AEJ75" s="684"/>
      <c r="AEK75" s="684"/>
      <c r="AEL75" s="684"/>
      <c r="AEM75" s="684"/>
      <c r="AEN75" s="684"/>
      <c r="AEO75" s="684"/>
      <c r="AEP75" s="684"/>
      <c r="AEQ75" s="684"/>
      <c r="AER75" s="684"/>
      <c r="AES75" s="684"/>
      <c r="AET75" s="684"/>
      <c r="AEU75" s="684"/>
      <c r="AEV75" s="684"/>
      <c r="AEW75" s="684"/>
      <c r="AEX75" s="684"/>
      <c r="AEY75" s="684"/>
      <c r="AEZ75" s="684"/>
      <c r="AFA75" s="684"/>
      <c r="AFB75" s="684"/>
      <c r="AFC75" s="684"/>
      <c r="AFD75" s="684"/>
      <c r="AFE75" s="684"/>
      <c r="AFF75" s="684"/>
      <c r="AFG75" s="684"/>
      <c r="AFH75" s="684"/>
      <c r="AFI75" s="684"/>
      <c r="AFJ75" s="684"/>
      <c r="AFK75" s="684"/>
      <c r="AFL75" s="684"/>
      <c r="AFM75" s="684"/>
      <c r="AFN75" s="684"/>
      <c r="AFO75" s="684"/>
      <c r="AFP75" s="684"/>
      <c r="AFQ75" s="684"/>
      <c r="AFR75" s="684"/>
      <c r="AFS75" s="684"/>
      <c r="AFT75" s="684"/>
      <c r="AFU75" s="684"/>
      <c r="AFV75" s="684"/>
      <c r="AFW75" s="684"/>
      <c r="AFX75" s="684"/>
      <c r="AFY75" s="684"/>
      <c r="AFZ75" s="684"/>
      <c r="AGA75" s="684"/>
      <c r="AGB75" s="684"/>
      <c r="AGC75" s="684"/>
      <c r="AGD75" s="684"/>
      <c r="AGE75" s="684"/>
      <c r="AGF75" s="684"/>
      <c r="AGG75" s="684"/>
      <c r="AGH75" s="684"/>
      <c r="AGI75" s="684"/>
      <c r="AGJ75" s="684"/>
      <c r="AGK75" s="684"/>
      <c r="AGL75" s="684"/>
      <c r="AGM75" s="684"/>
      <c r="AGN75" s="684"/>
      <c r="AGO75" s="684"/>
      <c r="AGP75" s="684"/>
      <c r="AGQ75" s="684"/>
      <c r="AGR75" s="684"/>
      <c r="AGS75" s="684"/>
      <c r="AGT75" s="684"/>
      <c r="AGU75" s="684"/>
      <c r="AGV75" s="684"/>
      <c r="AGW75" s="684"/>
      <c r="AGX75" s="684"/>
      <c r="AGY75" s="684"/>
      <c r="AGZ75" s="684"/>
      <c r="AHA75" s="684"/>
      <c r="AHB75" s="684"/>
      <c r="AHC75" s="684"/>
      <c r="AHD75" s="684"/>
      <c r="AHE75" s="684"/>
      <c r="AHF75" s="684"/>
      <c r="AHG75" s="684"/>
      <c r="AHH75" s="684"/>
      <c r="AHI75" s="684"/>
      <c r="AHJ75" s="684"/>
      <c r="AHK75" s="684"/>
      <c r="AHL75" s="684"/>
      <c r="AHM75" s="684"/>
      <c r="AHN75" s="684"/>
      <c r="AHO75" s="684"/>
      <c r="AHP75" s="684"/>
      <c r="AHQ75" s="684"/>
      <c r="AHR75" s="684"/>
      <c r="AHS75" s="684"/>
      <c r="AHT75" s="684"/>
      <c r="AHU75" s="684"/>
      <c r="AHV75" s="684"/>
      <c r="AHW75" s="684"/>
      <c r="AHX75" s="684"/>
      <c r="AHY75" s="684"/>
      <c r="AHZ75" s="684"/>
      <c r="AIA75" s="684"/>
      <c r="AIB75" s="684"/>
      <c r="AIC75" s="684"/>
      <c r="AID75" s="684"/>
      <c r="AIE75" s="684"/>
      <c r="AIF75" s="684"/>
      <c r="AIG75" s="684"/>
      <c r="AIH75" s="684"/>
      <c r="AII75" s="684"/>
      <c r="AIJ75" s="684"/>
      <c r="AIK75" s="684"/>
      <c r="AIL75" s="684"/>
      <c r="AIM75" s="684"/>
      <c r="AIN75" s="684"/>
      <c r="AIO75" s="684"/>
      <c r="AIP75" s="684"/>
      <c r="AIQ75" s="684"/>
      <c r="AIR75" s="684"/>
      <c r="AIS75" s="684"/>
      <c r="AIT75" s="684"/>
      <c r="AIU75" s="684"/>
      <c r="AIV75" s="684"/>
      <c r="AIW75" s="684"/>
      <c r="AIX75" s="684"/>
      <c r="AIY75" s="684"/>
      <c r="AIZ75" s="684"/>
      <c r="AJA75" s="684"/>
      <c r="AJB75" s="684"/>
      <c r="AJC75" s="684"/>
      <c r="AJD75" s="684"/>
      <c r="AJE75" s="684"/>
      <c r="AJF75" s="684"/>
      <c r="AJG75" s="684"/>
      <c r="AJH75" s="684"/>
      <c r="AJI75" s="684"/>
      <c r="AJJ75" s="684"/>
      <c r="AJK75" s="684"/>
      <c r="AJL75" s="684"/>
      <c r="AJM75" s="684"/>
      <c r="AJN75" s="684"/>
      <c r="AJO75" s="684"/>
      <c r="AJP75" s="684"/>
      <c r="AJQ75" s="684"/>
      <c r="AJR75" s="684"/>
      <c r="AJS75" s="684"/>
      <c r="AJT75" s="684"/>
      <c r="AJU75" s="684"/>
      <c r="AJV75" s="684"/>
      <c r="AJW75" s="684"/>
      <c r="AJX75" s="684"/>
      <c r="AJY75" s="684"/>
      <c r="AJZ75" s="684"/>
      <c r="AKA75" s="684"/>
      <c r="AKB75" s="684"/>
      <c r="AKC75" s="684"/>
      <c r="AKD75" s="684"/>
      <c r="AKE75" s="684"/>
      <c r="AKF75" s="684"/>
      <c r="AKG75" s="684"/>
      <c r="AKH75" s="684"/>
      <c r="AKI75" s="684"/>
      <c r="AKJ75" s="684"/>
      <c r="AKK75" s="684"/>
      <c r="AKL75" s="684"/>
      <c r="AKM75" s="684"/>
      <c r="AKN75" s="684"/>
      <c r="AKO75" s="684"/>
      <c r="AKP75" s="684"/>
      <c r="AKQ75" s="684"/>
      <c r="AKR75" s="684"/>
      <c r="AKS75" s="684"/>
      <c r="AKT75" s="684"/>
      <c r="AKU75" s="684"/>
      <c r="AKV75" s="684"/>
      <c r="AKW75" s="684"/>
      <c r="AKX75" s="684"/>
      <c r="AKY75" s="684"/>
      <c r="AKZ75" s="684"/>
      <c r="ALA75" s="684"/>
      <c r="ALB75" s="684"/>
      <c r="ALC75" s="684"/>
      <c r="ALD75" s="684"/>
      <c r="ALE75" s="684"/>
      <c r="ALF75" s="684"/>
      <c r="ALG75" s="684"/>
      <c r="ALH75" s="684"/>
      <c r="ALI75" s="684"/>
      <c r="ALJ75" s="684"/>
      <c r="ALK75" s="684"/>
      <c r="ALL75" s="684"/>
      <c r="ALM75" s="684"/>
      <c r="ALN75" s="684"/>
      <c r="ALO75" s="684"/>
      <c r="ALP75" s="684"/>
      <c r="ALQ75" s="684"/>
      <c r="ALR75" s="684"/>
      <c r="ALS75" s="684"/>
      <c r="ALT75" s="684"/>
      <c r="ALU75" s="684"/>
      <c r="ALV75" s="684"/>
      <c r="ALW75" s="684"/>
      <c r="ALX75" s="684"/>
      <c r="ALY75" s="684"/>
      <c r="ALZ75" s="684"/>
      <c r="AMA75" s="684"/>
      <c r="AMB75" s="684"/>
      <c r="AMC75" s="684"/>
      <c r="AMD75" s="684"/>
      <c r="AME75" s="684"/>
      <c r="AMF75" s="684"/>
      <c r="AMG75" s="684"/>
      <c r="AMH75" s="684"/>
      <c r="AMI75" s="684"/>
      <c r="AMJ75" s="684"/>
      <c r="AMK75" s="684"/>
      <c r="AML75" s="684"/>
      <c r="AMM75" s="684"/>
      <c r="AMN75" s="684"/>
      <c r="AMO75" s="684"/>
      <c r="AMP75" s="684"/>
      <c r="AMQ75" s="684"/>
      <c r="AMR75" s="684"/>
      <c r="AMS75" s="684"/>
      <c r="AMT75" s="684"/>
      <c r="AMU75" s="684"/>
      <c r="AMV75" s="684"/>
      <c r="AMW75" s="684"/>
      <c r="AMX75" s="684"/>
      <c r="AMY75" s="684"/>
      <c r="AMZ75" s="684"/>
      <c r="ANA75" s="684"/>
      <c r="ANB75" s="684"/>
      <c r="ANC75" s="684"/>
      <c r="AND75" s="684"/>
      <c r="ANE75" s="684"/>
      <c r="ANF75" s="684"/>
      <c r="ANG75" s="684"/>
      <c r="ANH75" s="684"/>
      <c r="ANI75" s="684"/>
      <c r="ANJ75" s="684"/>
      <c r="ANK75" s="684"/>
      <c r="ANL75" s="684"/>
      <c r="ANM75" s="684"/>
      <c r="ANN75" s="684"/>
      <c r="ANO75" s="684"/>
      <c r="ANP75" s="684"/>
      <c r="ANQ75" s="684"/>
      <c r="ANR75" s="684"/>
      <c r="ANS75" s="684"/>
      <c r="ANT75" s="684"/>
      <c r="ANU75" s="684"/>
      <c r="ANV75" s="684"/>
      <c r="ANW75" s="684"/>
      <c r="ANX75" s="684"/>
      <c r="ANY75" s="684"/>
      <c r="ANZ75" s="684"/>
      <c r="AOA75" s="684"/>
      <c r="AOB75" s="684"/>
      <c r="AOC75" s="684"/>
      <c r="AOD75" s="684"/>
      <c r="AOE75" s="684"/>
      <c r="AOF75" s="684"/>
      <c r="AOG75" s="684"/>
      <c r="AOH75" s="684"/>
      <c r="AOI75" s="684"/>
      <c r="AOJ75" s="684"/>
      <c r="AOK75" s="684"/>
      <c r="AOL75" s="684"/>
      <c r="AOM75" s="684"/>
      <c r="AON75" s="684"/>
      <c r="AOO75" s="684"/>
      <c r="AOP75" s="684"/>
      <c r="AOQ75" s="684"/>
      <c r="AOR75" s="684"/>
      <c r="AOS75" s="684"/>
      <c r="AOT75" s="684"/>
      <c r="AOU75" s="684"/>
      <c r="AOV75" s="684"/>
      <c r="AOW75" s="684"/>
      <c r="AOX75" s="684"/>
      <c r="AOY75" s="684"/>
      <c r="AOZ75" s="684"/>
      <c r="APA75" s="684"/>
      <c r="APB75" s="684"/>
      <c r="APC75" s="684"/>
      <c r="APD75" s="684"/>
      <c r="APE75" s="684"/>
      <c r="APF75" s="684"/>
      <c r="APG75" s="684"/>
      <c r="APH75" s="684"/>
      <c r="API75" s="684"/>
      <c r="APJ75" s="684"/>
      <c r="APK75" s="684"/>
      <c r="APL75" s="684"/>
      <c r="APM75" s="684"/>
      <c r="APN75" s="684"/>
      <c r="APO75" s="684"/>
      <c r="APP75" s="684"/>
      <c r="APQ75" s="684"/>
      <c r="APR75" s="684"/>
      <c r="APS75" s="684"/>
      <c r="APT75" s="684"/>
      <c r="APU75" s="684"/>
      <c r="APV75" s="684"/>
      <c r="APW75" s="684"/>
      <c r="APX75" s="684"/>
      <c r="APY75" s="684"/>
      <c r="APZ75" s="684"/>
      <c r="AQA75" s="684"/>
      <c r="AQB75" s="684"/>
      <c r="AQC75" s="684"/>
      <c r="AQD75" s="684"/>
      <c r="AQE75" s="684"/>
      <c r="AQF75" s="684"/>
      <c r="AQG75" s="684"/>
      <c r="AQH75" s="684"/>
      <c r="AQI75" s="684"/>
      <c r="AQJ75" s="684"/>
      <c r="AQK75" s="684"/>
      <c r="AQL75" s="684"/>
      <c r="AQM75" s="684"/>
      <c r="AQN75" s="684"/>
      <c r="AQO75" s="684"/>
      <c r="AQP75" s="684"/>
      <c r="AQQ75" s="684"/>
      <c r="AQR75" s="684"/>
      <c r="AQS75" s="684"/>
      <c r="AQT75" s="684"/>
      <c r="AQU75" s="684"/>
      <c r="AQV75" s="684"/>
      <c r="AQW75" s="684"/>
      <c r="AQX75" s="684"/>
      <c r="AQY75" s="684"/>
      <c r="AQZ75" s="684"/>
      <c r="ARA75" s="684"/>
      <c r="ARB75" s="684"/>
      <c r="ARC75" s="684"/>
      <c r="ARD75" s="684"/>
      <c r="ARE75" s="684"/>
      <c r="ARF75" s="684"/>
      <c r="ARG75" s="684"/>
      <c r="ARH75" s="684"/>
      <c r="ARI75" s="684"/>
      <c r="ARJ75" s="684"/>
      <c r="ARK75" s="684"/>
      <c r="ARL75" s="684"/>
      <c r="ARM75" s="684"/>
      <c r="ARN75" s="684"/>
      <c r="ARO75" s="684"/>
      <c r="ARP75" s="684"/>
      <c r="ARQ75" s="684"/>
      <c r="ARR75" s="684"/>
      <c r="ARS75" s="684"/>
      <c r="ART75" s="684"/>
      <c r="ARU75" s="684"/>
      <c r="ARV75" s="684"/>
      <c r="ARW75" s="684"/>
      <c r="ARX75" s="684"/>
      <c r="ARY75" s="684"/>
      <c r="ARZ75" s="684"/>
      <c r="ASA75" s="684"/>
      <c r="ASB75" s="684"/>
      <c r="ASC75" s="684"/>
      <c r="ASD75" s="684"/>
      <c r="ASE75" s="684"/>
      <c r="ASF75" s="684"/>
      <c r="ASG75" s="684"/>
      <c r="ASH75" s="684"/>
      <c r="ASI75" s="684"/>
      <c r="ASJ75" s="684"/>
      <c r="ASK75" s="684"/>
      <c r="ASL75" s="684"/>
      <c r="ASM75" s="684"/>
      <c r="ASN75" s="684"/>
      <c r="ASO75" s="684"/>
      <c r="ASP75" s="684"/>
      <c r="ASQ75" s="684"/>
      <c r="ASR75" s="684"/>
      <c r="ASS75" s="684"/>
      <c r="AST75" s="684"/>
      <c r="ASU75" s="684"/>
      <c r="ASV75" s="684"/>
      <c r="ASW75" s="684"/>
      <c r="ASX75" s="684"/>
      <c r="ASY75" s="684"/>
      <c r="ASZ75" s="684"/>
      <c r="ATA75" s="684"/>
      <c r="ATB75" s="684"/>
      <c r="ATC75" s="684"/>
      <c r="ATD75" s="684"/>
      <c r="ATE75" s="684"/>
      <c r="ATF75" s="684"/>
      <c r="ATG75" s="684"/>
      <c r="ATH75" s="684"/>
      <c r="ATI75" s="684"/>
      <c r="ATJ75" s="684"/>
      <c r="ATK75" s="684"/>
      <c r="ATL75" s="684"/>
      <c r="ATM75" s="684"/>
      <c r="ATN75" s="684"/>
      <c r="ATO75" s="684"/>
      <c r="ATP75" s="684"/>
      <c r="ATQ75" s="684"/>
      <c r="ATR75" s="684"/>
      <c r="ATS75" s="684"/>
      <c r="ATT75" s="684"/>
      <c r="ATU75" s="684"/>
      <c r="ATV75" s="684"/>
      <c r="ATW75" s="684"/>
      <c r="ATX75" s="684"/>
      <c r="ATY75" s="684"/>
      <c r="ATZ75" s="684"/>
      <c r="AUA75" s="684"/>
      <c r="AUB75" s="684"/>
      <c r="AUC75" s="684"/>
      <c r="AUD75" s="684"/>
      <c r="AUE75" s="684"/>
      <c r="AUF75" s="684"/>
      <c r="AUG75" s="684"/>
      <c r="AUH75" s="684"/>
      <c r="AUI75" s="684"/>
      <c r="AUJ75" s="684"/>
      <c r="AUK75" s="684"/>
      <c r="AUL75" s="684"/>
      <c r="AUM75" s="684"/>
      <c r="AUN75" s="684"/>
      <c r="AUO75" s="684"/>
      <c r="AUP75" s="684"/>
      <c r="AUQ75" s="684"/>
      <c r="AUR75" s="684"/>
      <c r="AUS75" s="684"/>
      <c r="AUT75" s="684"/>
      <c r="AUU75" s="684"/>
      <c r="AUV75" s="684"/>
      <c r="AUW75" s="684"/>
      <c r="AUX75" s="684"/>
      <c r="AUY75" s="684"/>
      <c r="AUZ75" s="684"/>
      <c r="AVA75" s="684"/>
      <c r="AVB75" s="684"/>
      <c r="AVC75" s="684"/>
      <c r="AVD75" s="684"/>
      <c r="AVE75" s="684"/>
      <c r="AVF75" s="684"/>
      <c r="AVG75" s="684"/>
      <c r="AVH75" s="684"/>
      <c r="AVI75" s="684"/>
      <c r="AVJ75" s="684"/>
      <c r="AVK75" s="684"/>
      <c r="AVL75" s="684"/>
      <c r="AVM75" s="684"/>
      <c r="AVN75" s="684"/>
      <c r="AVO75" s="684"/>
      <c r="AVP75" s="684"/>
      <c r="AVQ75" s="684"/>
      <c r="AVR75" s="684"/>
      <c r="AVS75" s="684"/>
      <c r="AVT75" s="684"/>
      <c r="AVU75" s="684"/>
      <c r="AVV75" s="684"/>
      <c r="AVW75" s="684"/>
      <c r="AVX75" s="684"/>
      <c r="AVY75" s="684"/>
      <c r="AVZ75" s="684"/>
      <c r="AWA75" s="684"/>
      <c r="AWB75" s="684"/>
      <c r="AWC75" s="684"/>
      <c r="AWD75" s="684"/>
      <c r="AWE75" s="684"/>
      <c r="AWF75" s="684"/>
      <c r="AWG75" s="684"/>
      <c r="AWH75" s="684"/>
      <c r="AWI75" s="684"/>
      <c r="AWJ75" s="684"/>
      <c r="AWK75" s="684"/>
      <c r="AWL75" s="684"/>
      <c r="AWM75" s="684"/>
      <c r="AWN75" s="684"/>
      <c r="AWO75" s="684"/>
      <c r="AWP75" s="684"/>
      <c r="AWQ75" s="684"/>
      <c r="AWR75" s="684"/>
      <c r="AWS75" s="684"/>
      <c r="AWT75" s="684"/>
      <c r="AWU75" s="684"/>
      <c r="AWV75" s="684"/>
      <c r="AWW75" s="684"/>
      <c r="AWX75" s="684"/>
      <c r="AWY75" s="684"/>
      <c r="AWZ75" s="684"/>
      <c r="AXA75" s="684"/>
      <c r="AXB75" s="684"/>
      <c r="AXC75" s="684"/>
      <c r="AXD75" s="684"/>
      <c r="AXE75" s="684"/>
      <c r="AXF75" s="684"/>
      <c r="AXG75" s="684"/>
      <c r="AXH75" s="684"/>
      <c r="AXI75" s="684"/>
      <c r="AXJ75" s="684"/>
      <c r="AXK75" s="684"/>
      <c r="AXL75" s="684"/>
      <c r="AXM75" s="684"/>
      <c r="AXN75" s="684"/>
      <c r="AXO75" s="684"/>
      <c r="AXP75" s="684"/>
      <c r="AXQ75" s="684"/>
      <c r="AXR75" s="684"/>
      <c r="AXS75" s="684"/>
      <c r="AXT75" s="684"/>
      <c r="AXU75" s="684"/>
      <c r="AXV75" s="684"/>
      <c r="AXW75" s="684"/>
      <c r="AXX75" s="684"/>
      <c r="AXY75" s="684"/>
      <c r="AXZ75" s="684"/>
      <c r="AYA75" s="684"/>
      <c r="AYB75" s="684"/>
      <c r="AYC75" s="684"/>
      <c r="AYD75" s="684"/>
      <c r="AYE75" s="684"/>
      <c r="AYF75" s="684"/>
      <c r="AYG75" s="684"/>
      <c r="AYH75" s="684"/>
      <c r="AYI75" s="684"/>
      <c r="AYJ75" s="684"/>
      <c r="AYK75" s="684"/>
      <c r="AYL75" s="684"/>
      <c r="AYM75" s="684"/>
      <c r="AYN75" s="684"/>
      <c r="AYO75" s="684"/>
      <c r="AYP75" s="684"/>
      <c r="AYQ75" s="684"/>
      <c r="AYR75" s="684"/>
      <c r="AYS75" s="684"/>
      <c r="AYT75" s="684"/>
      <c r="AYU75" s="684"/>
      <c r="AYV75" s="684"/>
      <c r="AYW75" s="684"/>
      <c r="AYX75" s="684"/>
      <c r="AYY75" s="684"/>
      <c r="AYZ75" s="684"/>
      <c r="AZA75" s="684"/>
      <c r="AZB75" s="684"/>
      <c r="AZC75" s="684"/>
      <c r="AZD75" s="684"/>
      <c r="AZE75" s="684"/>
      <c r="AZF75" s="684"/>
      <c r="AZG75" s="684"/>
      <c r="AZH75" s="684"/>
      <c r="AZI75" s="684"/>
      <c r="AZJ75" s="684"/>
      <c r="AZK75" s="684"/>
      <c r="AZL75" s="684"/>
      <c r="AZM75" s="684"/>
      <c r="AZN75" s="684"/>
      <c r="AZO75" s="684"/>
      <c r="AZP75" s="684"/>
      <c r="AZQ75" s="684"/>
      <c r="AZR75" s="684"/>
      <c r="AZS75" s="684"/>
      <c r="AZT75" s="684"/>
      <c r="AZU75" s="684"/>
      <c r="AZV75" s="684"/>
      <c r="AZW75" s="684"/>
      <c r="AZX75" s="684"/>
      <c r="AZY75" s="684"/>
      <c r="AZZ75" s="684"/>
      <c r="BAA75" s="684"/>
      <c r="BAB75" s="684"/>
      <c r="BAC75" s="684"/>
      <c r="BAD75" s="684"/>
      <c r="BAE75" s="684"/>
      <c r="BAF75" s="684"/>
      <c r="BAG75" s="684"/>
      <c r="BAH75" s="684"/>
      <c r="BAI75" s="684"/>
      <c r="BAJ75" s="684"/>
      <c r="BAK75" s="684"/>
      <c r="BAL75" s="684"/>
      <c r="BAM75" s="684"/>
      <c r="BAN75" s="684"/>
      <c r="BAO75" s="684"/>
      <c r="BAP75" s="684"/>
      <c r="BAQ75" s="684"/>
      <c r="BAR75" s="684"/>
      <c r="BAS75" s="684"/>
      <c r="BAT75" s="684"/>
      <c r="BAU75" s="684"/>
      <c r="BAV75" s="684"/>
      <c r="BAW75" s="684"/>
      <c r="BAX75" s="684"/>
      <c r="BAY75" s="684"/>
      <c r="BAZ75" s="684"/>
      <c r="BBA75" s="684"/>
      <c r="BBB75" s="684"/>
      <c r="BBC75" s="684"/>
      <c r="BBD75" s="684"/>
      <c r="BBE75" s="684"/>
      <c r="BBF75" s="684"/>
      <c r="BBG75" s="684"/>
      <c r="BBH75" s="684"/>
      <c r="BBI75" s="684"/>
      <c r="BBJ75" s="684"/>
      <c r="BBK75" s="684"/>
      <c r="BBL75" s="684"/>
      <c r="BBM75" s="684"/>
      <c r="BBN75" s="684"/>
      <c r="BBO75" s="684"/>
      <c r="BBP75" s="684"/>
      <c r="BBQ75" s="684"/>
      <c r="BBR75" s="684"/>
      <c r="BBS75" s="684"/>
      <c r="BBT75" s="684"/>
      <c r="BBU75" s="684"/>
      <c r="BBV75" s="684"/>
      <c r="BBW75" s="684"/>
      <c r="BBX75" s="684"/>
      <c r="BBY75" s="684"/>
      <c r="BBZ75" s="684"/>
      <c r="BCA75" s="684"/>
      <c r="BCB75" s="684"/>
      <c r="BCC75" s="684"/>
      <c r="BCD75" s="684"/>
      <c r="BCE75" s="684"/>
      <c r="BCF75" s="684"/>
      <c r="BCG75" s="684"/>
      <c r="BCH75" s="684"/>
      <c r="BCI75" s="684"/>
      <c r="BCJ75" s="684"/>
      <c r="BCK75" s="684"/>
      <c r="BCL75" s="684"/>
      <c r="BCM75" s="684"/>
      <c r="BCN75" s="684"/>
      <c r="BCO75" s="684"/>
      <c r="BCP75" s="684"/>
      <c r="BCQ75" s="684"/>
      <c r="BCR75" s="684"/>
      <c r="BCS75" s="684"/>
      <c r="BCT75" s="684"/>
      <c r="BCU75" s="684"/>
      <c r="BCV75" s="684"/>
      <c r="BCW75" s="684"/>
      <c r="BCX75" s="684"/>
      <c r="BCY75" s="684"/>
      <c r="BCZ75" s="684"/>
      <c r="BDA75" s="684"/>
      <c r="BDB75" s="684"/>
      <c r="BDC75" s="684"/>
      <c r="BDD75" s="684"/>
      <c r="BDE75" s="684"/>
      <c r="BDF75" s="684"/>
      <c r="BDG75" s="684"/>
      <c r="BDH75" s="684"/>
      <c r="BDI75" s="684"/>
      <c r="BDJ75" s="684"/>
      <c r="BDK75" s="684"/>
      <c r="BDL75" s="684"/>
      <c r="BDM75" s="684"/>
      <c r="BDN75" s="684"/>
      <c r="BDO75" s="684"/>
      <c r="BDP75" s="684"/>
      <c r="BDQ75" s="684"/>
      <c r="BDR75" s="684"/>
      <c r="BDS75" s="684"/>
      <c r="BDT75" s="684"/>
      <c r="BDU75" s="684"/>
      <c r="BDV75" s="684"/>
      <c r="BDW75" s="684"/>
      <c r="BDX75" s="684"/>
      <c r="BDY75" s="684"/>
      <c r="BDZ75" s="684"/>
      <c r="BEA75" s="684"/>
      <c r="BEB75" s="684"/>
      <c r="BEC75" s="684"/>
      <c r="BED75" s="684"/>
      <c r="BEE75" s="684"/>
      <c r="BEF75" s="684"/>
      <c r="BEG75" s="684"/>
      <c r="BEH75" s="684"/>
      <c r="BEI75" s="684"/>
      <c r="BEJ75" s="684"/>
      <c r="BEK75" s="684"/>
      <c r="BEL75" s="684"/>
      <c r="BEM75" s="684"/>
      <c r="BEN75" s="684"/>
      <c r="BEO75" s="684"/>
      <c r="BEP75" s="684"/>
      <c r="BEQ75" s="684"/>
      <c r="BER75" s="684"/>
      <c r="BES75" s="684"/>
      <c r="BET75" s="684"/>
      <c r="BEU75" s="684"/>
      <c r="BEV75" s="684"/>
      <c r="BEW75" s="684"/>
      <c r="BEX75" s="684"/>
      <c r="BEY75" s="684"/>
      <c r="BEZ75" s="684"/>
      <c r="BFA75" s="684"/>
      <c r="BFB75" s="684"/>
      <c r="BFC75" s="684"/>
      <c r="BFD75" s="684"/>
      <c r="BFE75" s="684"/>
      <c r="BFF75" s="684"/>
      <c r="BFG75" s="684"/>
      <c r="BFH75" s="684"/>
      <c r="BFI75" s="684"/>
      <c r="BFJ75" s="684"/>
      <c r="BFK75" s="684"/>
      <c r="BFL75" s="684"/>
      <c r="BFM75" s="684"/>
      <c r="BFN75" s="684"/>
      <c r="BFO75" s="684"/>
      <c r="BFP75" s="684"/>
      <c r="BFQ75" s="684"/>
      <c r="BFR75" s="684"/>
      <c r="BFS75" s="684"/>
      <c r="BFT75" s="684"/>
      <c r="BFU75" s="684"/>
      <c r="BFV75" s="684"/>
      <c r="BFW75" s="684"/>
      <c r="BFX75" s="684"/>
      <c r="BFY75" s="684"/>
      <c r="BFZ75" s="684"/>
      <c r="BGA75" s="684"/>
      <c r="BGB75" s="684"/>
      <c r="BGC75" s="684"/>
      <c r="BGD75" s="684"/>
      <c r="BGE75" s="684"/>
      <c r="BGF75" s="684"/>
      <c r="BGG75" s="684"/>
      <c r="BGH75" s="684"/>
      <c r="BGI75" s="684"/>
      <c r="BGJ75" s="684"/>
      <c r="BGK75" s="684"/>
      <c r="BGL75" s="684"/>
      <c r="BGM75" s="684"/>
      <c r="BGN75" s="684"/>
      <c r="BGO75" s="684"/>
      <c r="BGP75" s="684"/>
      <c r="BGQ75" s="684"/>
      <c r="BGR75" s="684"/>
      <c r="BGS75" s="684"/>
      <c r="BGT75" s="684"/>
      <c r="BGU75" s="684"/>
      <c r="BGV75" s="684"/>
      <c r="BGW75" s="684"/>
      <c r="BGX75" s="684"/>
      <c r="BGY75" s="684"/>
      <c r="BGZ75" s="684"/>
      <c r="BHA75" s="684"/>
      <c r="BHB75" s="684"/>
      <c r="BHC75" s="684"/>
      <c r="BHD75" s="684"/>
      <c r="BHE75" s="684"/>
      <c r="BHF75" s="684"/>
      <c r="BHG75" s="684"/>
      <c r="BHH75" s="684"/>
      <c r="BHI75" s="684"/>
      <c r="BHJ75" s="684"/>
      <c r="BHK75" s="684"/>
      <c r="BHL75" s="684"/>
      <c r="BHM75" s="684"/>
      <c r="BHN75" s="684"/>
      <c r="BHO75" s="684"/>
      <c r="BHP75" s="684"/>
      <c r="BHQ75" s="684"/>
      <c r="BHR75" s="684"/>
      <c r="BHS75" s="684"/>
      <c r="BHT75" s="684"/>
      <c r="BHU75" s="684"/>
      <c r="BHV75" s="684"/>
      <c r="BHW75" s="684"/>
      <c r="BHX75" s="684"/>
      <c r="BHY75" s="684"/>
      <c r="BHZ75" s="684"/>
      <c r="BIA75" s="684"/>
      <c r="BIB75" s="684"/>
      <c r="BIC75" s="684"/>
      <c r="BID75" s="684"/>
      <c r="BIE75" s="684"/>
      <c r="BIF75" s="684"/>
      <c r="BIG75" s="684"/>
      <c r="BIH75" s="684"/>
      <c r="BII75" s="684"/>
      <c r="BIJ75" s="684"/>
      <c r="BIK75" s="684"/>
      <c r="BIL75" s="684"/>
      <c r="BIM75" s="684"/>
      <c r="BIN75" s="684"/>
      <c r="BIO75" s="684"/>
      <c r="BIP75" s="684"/>
      <c r="BIQ75" s="684"/>
      <c r="BIR75" s="684"/>
      <c r="BIS75" s="684"/>
      <c r="BIT75" s="684"/>
      <c r="BIU75" s="684"/>
      <c r="BIV75" s="684"/>
      <c r="BIW75" s="684"/>
      <c r="BIX75" s="684"/>
      <c r="BIY75" s="684"/>
      <c r="BIZ75" s="684"/>
      <c r="BJA75" s="684"/>
      <c r="BJB75" s="684"/>
      <c r="BJC75" s="684"/>
      <c r="BJD75" s="684"/>
      <c r="BJE75" s="684"/>
      <c r="BJF75" s="684"/>
      <c r="BJG75" s="684"/>
      <c r="BJH75" s="684"/>
      <c r="BJI75" s="684"/>
      <c r="BJJ75" s="684"/>
      <c r="BJK75" s="684"/>
      <c r="BJL75" s="684"/>
      <c r="BJM75" s="684"/>
      <c r="BJN75" s="684"/>
      <c r="BJO75" s="684"/>
      <c r="BJP75" s="684"/>
      <c r="BJQ75" s="684"/>
      <c r="BJR75" s="684"/>
      <c r="BJS75" s="684"/>
      <c r="BJT75" s="684"/>
      <c r="BJU75" s="684"/>
      <c r="BJV75" s="684"/>
      <c r="BJW75" s="684"/>
      <c r="BJX75" s="684"/>
      <c r="BJY75" s="684"/>
      <c r="BJZ75" s="684"/>
      <c r="BKA75" s="684"/>
      <c r="BKB75" s="684"/>
      <c r="BKC75" s="684"/>
      <c r="BKD75" s="684"/>
      <c r="BKE75" s="684"/>
      <c r="BKF75" s="684"/>
      <c r="BKG75" s="684"/>
      <c r="BKH75" s="684"/>
      <c r="BKI75" s="684"/>
      <c r="BKJ75" s="684"/>
      <c r="BKK75" s="684"/>
      <c r="BKL75" s="684"/>
      <c r="BKM75" s="684"/>
      <c r="BKN75" s="684"/>
      <c r="BKO75" s="684"/>
      <c r="BKP75" s="684"/>
      <c r="BKQ75" s="684"/>
      <c r="BKR75" s="684"/>
      <c r="BKS75" s="684"/>
      <c r="BKT75" s="684"/>
      <c r="BKU75" s="684"/>
      <c r="BKV75" s="684"/>
      <c r="BKW75" s="684"/>
      <c r="BKX75" s="684"/>
      <c r="BKY75" s="684"/>
      <c r="BKZ75" s="684"/>
      <c r="BLA75" s="684"/>
      <c r="BLB75" s="684"/>
      <c r="BLC75" s="684"/>
      <c r="BLD75" s="684"/>
      <c r="BLE75" s="684"/>
      <c r="BLF75" s="684"/>
      <c r="BLG75" s="684"/>
      <c r="BLH75" s="684"/>
      <c r="BLI75" s="684"/>
      <c r="BLJ75" s="684"/>
      <c r="BLK75" s="684"/>
      <c r="BLL75" s="684"/>
      <c r="BLM75" s="684"/>
      <c r="BLN75" s="684"/>
      <c r="BLO75" s="684"/>
      <c r="BLP75" s="684"/>
      <c r="BLQ75" s="684"/>
      <c r="BLR75" s="684"/>
      <c r="BLS75" s="684"/>
      <c r="BLT75" s="684"/>
      <c r="BLU75" s="684"/>
      <c r="BLV75" s="684"/>
      <c r="BLW75" s="684"/>
      <c r="BLX75" s="684"/>
      <c r="BLY75" s="684"/>
      <c r="BLZ75" s="684"/>
      <c r="BMA75" s="684"/>
      <c r="BMB75" s="684"/>
      <c r="BMC75" s="684"/>
      <c r="BMD75" s="684"/>
      <c r="BME75" s="684"/>
      <c r="BMF75" s="684"/>
      <c r="BMG75" s="684"/>
      <c r="BMH75" s="684"/>
      <c r="BMI75" s="684"/>
      <c r="BMJ75" s="684"/>
      <c r="BMK75" s="684"/>
      <c r="BML75" s="684"/>
      <c r="BMM75" s="684"/>
      <c r="BMN75" s="684"/>
      <c r="BMO75" s="684"/>
      <c r="BMP75" s="684"/>
      <c r="BMQ75" s="684"/>
      <c r="BMR75" s="684"/>
      <c r="BMS75" s="684"/>
      <c r="BMT75" s="684"/>
      <c r="BMU75" s="684"/>
      <c r="BMV75" s="684"/>
      <c r="BMW75" s="684"/>
      <c r="BMX75" s="684"/>
      <c r="BMY75" s="684"/>
      <c r="BMZ75" s="684"/>
      <c r="BNA75" s="684"/>
      <c r="BNB75" s="684"/>
      <c r="BNC75" s="684"/>
      <c r="BND75" s="684"/>
      <c r="BNE75" s="684"/>
      <c r="BNF75" s="684"/>
      <c r="BNG75" s="684"/>
      <c r="BNH75" s="684"/>
      <c r="BNI75" s="684"/>
      <c r="BNJ75" s="684"/>
      <c r="BNK75" s="684"/>
      <c r="BNL75" s="684"/>
      <c r="BNM75" s="684"/>
      <c r="BNN75" s="684"/>
      <c r="BNO75" s="684"/>
      <c r="BNP75" s="684"/>
      <c r="BNQ75" s="684"/>
      <c r="BNR75" s="684"/>
      <c r="BNS75" s="684"/>
      <c r="BNT75" s="684"/>
      <c r="BNU75" s="684"/>
      <c r="BNV75" s="684"/>
      <c r="BNW75" s="684"/>
      <c r="BNX75" s="684"/>
      <c r="BNY75" s="684"/>
      <c r="BNZ75" s="684"/>
      <c r="BOA75" s="684"/>
      <c r="BOB75" s="684"/>
      <c r="BOC75" s="684"/>
      <c r="BOD75" s="684"/>
      <c r="BOE75" s="684"/>
      <c r="BOF75" s="684"/>
      <c r="BOG75" s="684"/>
      <c r="BOH75" s="684"/>
      <c r="BOI75" s="684"/>
      <c r="BOJ75" s="684"/>
      <c r="BOK75" s="684"/>
      <c r="BOL75" s="684"/>
      <c r="BOM75" s="684"/>
      <c r="BON75" s="684"/>
      <c r="BOO75" s="684"/>
      <c r="BOP75" s="684"/>
      <c r="BOQ75" s="684"/>
      <c r="BOR75" s="684"/>
      <c r="BOS75" s="684"/>
      <c r="BOT75" s="684"/>
      <c r="BOU75" s="684"/>
      <c r="BOV75" s="684"/>
      <c r="BOW75" s="684"/>
      <c r="BOX75" s="684"/>
      <c r="BOY75" s="684"/>
      <c r="BOZ75" s="684"/>
      <c r="BPA75" s="684"/>
      <c r="BPB75" s="684"/>
      <c r="BPC75" s="684"/>
      <c r="BPD75" s="684"/>
      <c r="BPE75" s="684"/>
      <c r="BPF75" s="684"/>
      <c r="BPG75" s="684"/>
      <c r="BPH75" s="684"/>
      <c r="BPI75" s="684"/>
      <c r="BPJ75" s="684"/>
      <c r="BPK75" s="684"/>
      <c r="BPL75" s="684"/>
      <c r="BPM75" s="684"/>
      <c r="BPN75" s="684"/>
      <c r="BPO75" s="684"/>
      <c r="BPP75" s="684"/>
      <c r="BPQ75" s="684"/>
      <c r="BPR75" s="684"/>
      <c r="BPS75" s="684"/>
      <c r="BPT75" s="684"/>
      <c r="BPU75" s="684"/>
      <c r="BPV75" s="684"/>
      <c r="BPW75" s="684"/>
      <c r="BPX75" s="684"/>
      <c r="BPY75" s="684"/>
      <c r="BPZ75" s="684"/>
      <c r="BQA75" s="684"/>
      <c r="BQB75" s="684"/>
      <c r="BQC75" s="684"/>
      <c r="BQD75" s="684"/>
      <c r="BQE75" s="684"/>
      <c r="BQF75" s="684"/>
      <c r="BQG75" s="684"/>
      <c r="BQH75" s="684"/>
      <c r="BQI75" s="684"/>
      <c r="BQJ75" s="684"/>
      <c r="BQK75" s="684"/>
      <c r="BQL75" s="684"/>
      <c r="BQM75" s="684"/>
      <c r="BQN75" s="684"/>
      <c r="BQO75" s="684"/>
      <c r="BQP75" s="684"/>
      <c r="BQQ75" s="684"/>
      <c r="BQR75" s="684"/>
      <c r="BQS75" s="684"/>
      <c r="BQT75" s="684"/>
      <c r="BQU75" s="684"/>
      <c r="BQV75" s="684"/>
      <c r="BQW75" s="684"/>
      <c r="BQX75" s="684"/>
      <c r="BQY75" s="684"/>
      <c r="BQZ75" s="684"/>
      <c r="BRA75" s="684"/>
      <c r="BRB75" s="684"/>
      <c r="BRC75" s="684"/>
      <c r="BRD75" s="684"/>
      <c r="BRE75" s="684"/>
      <c r="BRF75" s="684"/>
      <c r="BRG75" s="684"/>
      <c r="BRH75" s="684"/>
      <c r="BRI75" s="684"/>
      <c r="BRJ75" s="684"/>
      <c r="BRK75" s="684"/>
      <c r="BRL75" s="684"/>
      <c r="BRM75" s="684"/>
      <c r="BRN75" s="684"/>
      <c r="BRO75" s="684"/>
      <c r="BRP75" s="684"/>
      <c r="BRQ75" s="684"/>
      <c r="BRR75" s="684"/>
      <c r="BRS75" s="684"/>
      <c r="BRT75" s="684"/>
      <c r="BRU75" s="684"/>
      <c r="BRV75" s="684"/>
      <c r="BRW75" s="684"/>
      <c r="BRX75" s="684"/>
      <c r="BRY75" s="684"/>
      <c r="BRZ75" s="684"/>
      <c r="BSA75" s="684"/>
      <c r="BSB75" s="684"/>
      <c r="BSC75" s="684"/>
      <c r="BSD75" s="684"/>
      <c r="BSE75" s="684"/>
      <c r="BSF75" s="684"/>
      <c r="BSG75" s="684"/>
      <c r="BSH75" s="684"/>
      <c r="BSI75" s="684"/>
      <c r="BSJ75" s="684"/>
      <c r="BSK75" s="684"/>
      <c r="BSL75" s="684"/>
      <c r="BSM75" s="684"/>
      <c r="BSN75" s="684"/>
      <c r="BSO75" s="684"/>
      <c r="BSP75" s="684"/>
      <c r="BSQ75" s="684"/>
      <c r="BSR75" s="684"/>
      <c r="BSS75" s="684"/>
      <c r="BST75" s="684"/>
      <c r="BSU75" s="684"/>
      <c r="BSV75" s="684"/>
      <c r="BSW75" s="684"/>
      <c r="BSX75" s="684"/>
      <c r="BSY75" s="684"/>
      <c r="BSZ75" s="684"/>
      <c r="BTA75" s="684"/>
      <c r="BTB75" s="684"/>
      <c r="BTC75" s="684"/>
      <c r="BTD75" s="684"/>
      <c r="BTE75" s="684"/>
      <c r="BTF75" s="684"/>
      <c r="BTG75" s="684"/>
      <c r="BTH75" s="684"/>
      <c r="BTI75" s="684"/>
      <c r="BTJ75" s="684"/>
      <c r="BTK75" s="684"/>
      <c r="BTL75" s="684"/>
      <c r="BTM75" s="684"/>
      <c r="BTN75" s="684"/>
      <c r="BTO75" s="684"/>
      <c r="BTP75" s="684"/>
      <c r="BTQ75" s="684"/>
      <c r="BTR75" s="684"/>
      <c r="BTS75" s="684"/>
      <c r="BTT75" s="684"/>
      <c r="BTU75" s="684"/>
      <c r="BTV75" s="684"/>
      <c r="BTW75" s="684"/>
      <c r="BTX75" s="684"/>
      <c r="BTY75" s="684"/>
      <c r="BTZ75" s="684"/>
      <c r="BUA75" s="684"/>
      <c r="BUB75" s="684"/>
      <c r="BUC75" s="684"/>
      <c r="BUD75" s="684"/>
      <c r="BUE75" s="684"/>
      <c r="BUF75" s="684"/>
      <c r="BUG75" s="684"/>
      <c r="BUH75" s="684"/>
      <c r="BUI75" s="684"/>
      <c r="BUJ75" s="684"/>
      <c r="BUK75" s="684"/>
      <c r="BUL75" s="684"/>
      <c r="BUM75" s="684"/>
      <c r="BUN75" s="684"/>
      <c r="BUO75" s="684"/>
      <c r="BUP75" s="684"/>
      <c r="BUQ75" s="684"/>
      <c r="BUR75" s="684"/>
      <c r="BUS75" s="684"/>
      <c r="BUT75" s="684"/>
      <c r="BUU75" s="684"/>
      <c r="BUV75" s="684"/>
      <c r="BUW75" s="684"/>
      <c r="BUX75" s="684"/>
      <c r="BUY75" s="684"/>
      <c r="BUZ75" s="684"/>
      <c r="BVA75" s="684"/>
      <c r="BVB75" s="684"/>
      <c r="BVC75" s="684"/>
      <c r="BVD75" s="684"/>
      <c r="BVE75" s="684"/>
      <c r="BVF75" s="684"/>
      <c r="BVG75" s="684"/>
      <c r="BVH75" s="684"/>
      <c r="BVI75" s="684"/>
      <c r="BVJ75" s="684"/>
      <c r="BVK75" s="684"/>
      <c r="BVL75" s="684"/>
      <c r="BVM75" s="684"/>
      <c r="BVN75" s="684"/>
      <c r="BVO75" s="684"/>
      <c r="BVP75" s="684"/>
      <c r="BVQ75" s="684"/>
      <c r="BVR75" s="684"/>
      <c r="BVS75" s="684"/>
      <c r="BVT75" s="684"/>
      <c r="BVU75" s="684"/>
      <c r="BVV75" s="684"/>
      <c r="BVW75" s="684"/>
      <c r="BVX75" s="684"/>
      <c r="BVY75" s="684"/>
      <c r="BVZ75" s="684"/>
      <c r="BWA75" s="684"/>
      <c r="BWB75" s="684"/>
      <c r="BWC75" s="684"/>
      <c r="BWD75" s="684"/>
      <c r="BWE75" s="684"/>
      <c r="BWF75" s="684"/>
      <c r="BWG75" s="684"/>
      <c r="BWH75" s="684"/>
      <c r="BWI75" s="684"/>
      <c r="BWJ75" s="684"/>
      <c r="BWK75" s="684"/>
      <c r="BWL75" s="684"/>
      <c r="BWM75" s="684"/>
      <c r="BWN75" s="684"/>
      <c r="BWO75" s="684"/>
      <c r="BWP75" s="684"/>
      <c r="BWQ75" s="684"/>
      <c r="BWR75" s="684"/>
      <c r="BWS75" s="684"/>
      <c r="BWT75" s="684"/>
      <c r="BWU75" s="684"/>
      <c r="BWV75" s="684"/>
      <c r="BWW75" s="684"/>
      <c r="BWX75" s="684"/>
      <c r="BWY75" s="684"/>
      <c r="BWZ75" s="684"/>
      <c r="BXA75" s="684"/>
      <c r="BXB75" s="684"/>
      <c r="BXC75" s="684"/>
      <c r="BXD75" s="684"/>
      <c r="BXE75" s="684"/>
      <c r="BXF75" s="684"/>
      <c r="BXG75" s="684"/>
      <c r="BXH75" s="684"/>
      <c r="BXI75" s="684"/>
      <c r="BXJ75" s="684"/>
      <c r="BXK75" s="684"/>
      <c r="BXL75" s="684"/>
      <c r="BXM75" s="684"/>
      <c r="BXN75" s="684"/>
      <c r="BXO75" s="684"/>
      <c r="BXP75" s="684"/>
      <c r="BXQ75" s="684"/>
      <c r="BXR75" s="684"/>
      <c r="BXS75" s="684"/>
      <c r="BXT75" s="684"/>
      <c r="BXU75" s="684"/>
      <c r="BXV75" s="684"/>
      <c r="BXW75" s="684"/>
      <c r="BXX75" s="684"/>
      <c r="BXY75" s="684"/>
      <c r="BXZ75" s="684"/>
      <c r="BYA75" s="684"/>
      <c r="BYB75" s="684"/>
      <c r="BYC75" s="684"/>
      <c r="BYD75" s="684"/>
      <c r="BYE75" s="684"/>
      <c r="BYF75" s="684"/>
      <c r="BYG75" s="684"/>
      <c r="BYH75" s="684"/>
      <c r="BYI75" s="684"/>
      <c r="BYJ75" s="684"/>
      <c r="BYK75" s="684"/>
      <c r="BYL75" s="684"/>
      <c r="BYM75" s="684"/>
      <c r="BYN75" s="684"/>
      <c r="BYO75" s="684"/>
      <c r="BYP75" s="684"/>
      <c r="BYQ75" s="684"/>
      <c r="BYR75" s="684"/>
      <c r="BYS75" s="684"/>
      <c r="BYT75" s="684"/>
      <c r="BYU75" s="684"/>
      <c r="BYV75" s="684"/>
      <c r="BYW75" s="684"/>
      <c r="BYX75" s="684"/>
      <c r="BYY75" s="684"/>
      <c r="BYZ75" s="684"/>
      <c r="BZA75" s="684"/>
      <c r="BZB75" s="684"/>
      <c r="BZC75" s="684"/>
      <c r="BZD75" s="684"/>
      <c r="BZE75" s="684"/>
      <c r="BZF75" s="684"/>
      <c r="BZG75" s="684"/>
      <c r="BZH75" s="684"/>
      <c r="BZI75" s="684"/>
      <c r="BZJ75" s="684"/>
      <c r="BZK75" s="684"/>
      <c r="BZL75" s="684"/>
      <c r="BZM75" s="684"/>
      <c r="BZN75" s="684"/>
      <c r="BZO75" s="684"/>
      <c r="BZP75" s="684"/>
      <c r="BZQ75" s="684"/>
      <c r="BZR75" s="684"/>
      <c r="BZS75" s="684"/>
      <c r="BZT75" s="684"/>
      <c r="BZU75" s="684"/>
      <c r="BZV75" s="684"/>
      <c r="BZW75" s="684"/>
      <c r="BZX75" s="684"/>
      <c r="BZY75" s="684"/>
      <c r="BZZ75" s="684"/>
      <c r="CAA75" s="684"/>
      <c r="CAB75" s="684"/>
      <c r="CAC75" s="684"/>
      <c r="CAD75" s="684"/>
      <c r="CAE75" s="684"/>
      <c r="CAF75" s="684"/>
      <c r="CAG75" s="684"/>
      <c r="CAH75" s="684"/>
      <c r="CAI75" s="684"/>
      <c r="CAJ75" s="684"/>
      <c r="CAK75" s="684"/>
      <c r="CAL75" s="684"/>
      <c r="CAM75" s="684"/>
      <c r="CAN75" s="684"/>
      <c r="CAO75" s="684"/>
      <c r="CAP75" s="684"/>
      <c r="CAQ75" s="684"/>
      <c r="CAR75" s="684"/>
      <c r="CAS75" s="684"/>
      <c r="CAT75" s="684"/>
      <c r="CAU75" s="684"/>
      <c r="CAV75" s="684"/>
      <c r="CAW75" s="684"/>
      <c r="CAX75" s="684"/>
      <c r="CAY75" s="684"/>
      <c r="CAZ75" s="684"/>
      <c r="CBA75" s="684"/>
      <c r="CBB75" s="684"/>
      <c r="CBC75" s="684"/>
      <c r="CBD75" s="684"/>
      <c r="CBE75" s="684"/>
      <c r="CBF75" s="684"/>
      <c r="CBG75" s="684"/>
      <c r="CBH75" s="684"/>
      <c r="CBI75" s="684"/>
      <c r="CBJ75" s="684"/>
      <c r="CBK75" s="684"/>
      <c r="CBL75" s="684"/>
      <c r="CBM75" s="684"/>
      <c r="CBN75" s="684"/>
      <c r="CBO75" s="684"/>
      <c r="CBP75" s="684"/>
      <c r="CBQ75" s="684"/>
      <c r="CBR75" s="684"/>
      <c r="CBS75" s="684"/>
      <c r="CBT75" s="684"/>
      <c r="CBU75" s="684"/>
      <c r="CBV75" s="684"/>
      <c r="CBW75" s="684"/>
      <c r="CBX75" s="684"/>
      <c r="CBY75" s="684"/>
      <c r="CBZ75" s="684"/>
      <c r="CCA75" s="684"/>
      <c r="CCB75" s="684"/>
      <c r="CCC75" s="684"/>
      <c r="CCD75" s="684"/>
      <c r="CCE75" s="684"/>
      <c r="CCF75" s="684"/>
      <c r="CCG75" s="684"/>
      <c r="CCH75" s="684"/>
      <c r="CCI75" s="684"/>
      <c r="CCJ75" s="684"/>
      <c r="CCK75" s="684"/>
      <c r="CCL75" s="684"/>
      <c r="CCM75" s="684"/>
      <c r="CCN75" s="684"/>
      <c r="CCO75" s="684"/>
      <c r="CCP75" s="684"/>
      <c r="CCQ75" s="684"/>
      <c r="CCR75" s="684"/>
      <c r="CCS75" s="684"/>
      <c r="CCT75" s="684"/>
      <c r="CCU75" s="684"/>
      <c r="CCV75" s="684"/>
      <c r="CCW75" s="684"/>
      <c r="CCX75" s="684"/>
      <c r="CCY75" s="684"/>
      <c r="CCZ75" s="684"/>
      <c r="CDA75" s="684"/>
      <c r="CDB75" s="684"/>
      <c r="CDC75" s="684"/>
      <c r="CDD75" s="684"/>
      <c r="CDE75" s="684"/>
      <c r="CDF75" s="684"/>
      <c r="CDG75" s="684"/>
      <c r="CDH75" s="684"/>
      <c r="CDI75" s="684"/>
      <c r="CDJ75" s="684"/>
      <c r="CDK75" s="684"/>
      <c r="CDL75" s="684"/>
      <c r="CDM75" s="684"/>
      <c r="CDN75" s="684"/>
      <c r="CDO75" s="684"/>
      <c r="CDP75" s="684"/>
      <c r="CDQ75" s="684"/>
      <c r="CDR75" s="684"/>
      <c r="CDS75" s="684"/>
      <c r="CDT75" s="684"/>
      <c r="CDU75" s="684"/>
      <c r="CDV75" s="684"/>
      <c r="CDW75" s="684"/>
      <c r="CDX75" s="684"/>
      <c r="CDY75" s="684"/>
      <c r="CDZ75" s="684"/>
      <c r="CEA75" s="684"/>
      <c r="CEB75" s="684"/>
      <c r="CEC75" s="684"/>
      <c r="CED75" s="684"/>
      <c r="CEE75" s="684"/>
      <c r="CEF75" s="684"/>
      <c r="CEG75" s="684"/>
      <c r="CEH75" s="684"/>
      <c r="CEI75" s="684"/>
      <c r="CEJ75" s="684"/>
      <c r="CEK75" s="684"/>
      <c r="CEL75" s="684"/>
      <c r="CEM75" s="684"/>
      <c r="CEN75" s="684"/>
      <c r="CEO75" s="684"/>
      <c r="CEP75" s="684"/>
      <c r="CEQ75" s="684"/>
      <c r="CER75" s="684"/>
      <c r="CES75" s="684"/>
      <c r="CET75" s="684"/>
      <c r="CEU75" s="684"/>
      <c r="CEV75" s="684"/>
      <c r="CEW75" s="684"/>
      <c r="CEX75" s="684"/>
      <c r="CEY75" s="684"/>
      <c r="CEZ75" s="684"/>
      <c r="CFA75" s="684"/>
      <c r="CFB75" s="684"/>
      <c r="CFC75" s="684"/>
      <c r="CFD75" s="684"/>
      <c r="CFE75" s="684"/>
      <c r="CFF75" s="684"/>
      <c r="CFG75" s="684"/>
      <c r="CFH75" s="684"/>
      <c r="CFI75" s="684"/>
      <c r="CFJ75" s="684"/>
      <c r="CFK75" s="684"/>
      <c r="CFL75" s="684"/>
      <c r="CFM75" s="684"/>
      <c r="CFN75" s="684"/>
      <c r="CFO75" s="684"/>
      <c r="CFP75" s="684"/>
      <c r="CFQ75" s="684"/>
      <c r="CFR75" s="684"/>
      <c r="CFS75" s="684"/>
      <c r="CFT75" s="684"/>
      <c r="CFU75" s="684"/>
      <c r="CFV75" s="684"/>
      <c r="CFW75" s="684"/>
      <c r="CFX75" s="684"/>
      <c r="CFY75" s="684"/>
      <c r="CFZ75" s="684"/>
      <c r="CGA75" s="684"/>
      <c r="CGB75" s="684"/>
      <c r="CGC75" s="684"/>
      <c r="CGD75" s="684"/>
      <c r="CGE75" s="684"/>
      <c r="CGF75" s="684"/>
      <c r="CGG75" s="684"/>
      <c r="CGH75" s="684"/>
      <c r="CGI75" s="684"/>
      <c r="CGJ75" s="684"/>
      <c r="CGK75" s="684"/>
      <c r="CGL75" s="684"/>
      <c r="CGM75" s="684"/>
      <c r="CGN75" s="684"/>
      <c r="CGO75" s="684"/>
      <c r="CGP75" s="684"/>
      <c r="CGQ75" s="684"/>
      <c r="CGR75" s="684"/>
      <c r="CGS75" s="684"/>
      <c r="CGT75" s="684"/>
      <c r="CGU75" s="684"/>
      <c r="CGV75" s="684"/>
      <c r="CGW75" s="684"/>
      <c r="CGX75" s="684"/>
      <c r="CGY75" s="684"/>
      <c r="CGZ75" s="684"/>
      <c r="CHA75" s="684"/>
      <c r="CHB75" s="684"/>
      <c r="CHC75" s="684"/>
      <c r="CHD75" s="684"/>
      <c r="CHE75" s="684"/>
      <c r="CHF75" s="684"/>
      <c r="CHG75" s="684"/>
      <c r="CHH75" s="684"/>
      <c r="CHI75" s="684"/>
      <c r="CHJ75" s="684"/>
      <c r="CHK75" s="684"/>
      <c r="CHL75" s="684"/>
      <c r="CHM75" s="684"/>
      <c r="CHN75" s="684"/>
      <c r="CHO75" s="684"/>
      <c r="CHP75" s="684"/>
      <c r="CHQ75" s="684"/>
      <c r="CHR75" s="684"/>
      <c r="CHS75" s="684"/>
      <c r="CHT75" s="684"/>
      <c r="CHU75" s="684"/>
      <c r="CHV75" s="684"/>
      <c r="CHW75" s="684"/>
      <c r="CHX75" s="684"/>
      <c r="CHY75" s="684"/>
      <c r="CHZ75" s="684"/>
      <c r="CIA75" s="684"/>
      <c r="CIB75" s="684"/>
      <c r="CIC75" s="684"/>
      <c r="CID75" s="684"/>
      <c r="CIE75" s="684"/>
      <c r="CIF75" s="684"/>
      <c r="CIG75" s="684"/>
      <c r="CIH75" s="684"/>
      <c r="CII75" s="684"/>
      <c r="CIJ75" s="684"/>
      <c r="CIK75" s="684"/>
      <c r="CIL75" s="684"/>
      <c r="CIM75" s="684"/>
      <c r="CIN75" s="684"/>
      <c r="CIO75" s="684"/>
      <c r="CIP75" s="684"/>
      <c r="CIQ75" s="684"/>
      <c r="CIR75" s="684"/>
      <c r="CIS75" s="684"/>
      <c r="CIT75" s="684"/>
      <c r="CIU75" s="684"/>
      <c r="CIV75" s="684"/>
      <c r="CIW75" s="684"/>
      <c r="CIX75" s="684"/>
      <c r="CIY75" s="684"/>
      <c r="CIZ75" s="684"/>
      <c r="CJA75" s="684"/>
      <c r="CJB75" s="684"/>
      <c r="CJC75" s="684"/>
      <c r="CJD75" s="684"/>
      <c r="CJE75" s="684"/>
      <c r="CJF75" s="684"/>
      <c r="CJG75" s="684"/>
      <c r="CJH75" s="684"/>
      <c r="CJI75" s="684"/>
      <c r="CJJ75" s="684"/>
      <c r="CJK75" s="684"/>
      <c r="CJL75" s="684"/>
      <c r="CJM75" s="684"/>
      <c r="CJN75" s="684"/>
      <c r="CJO75" s="684"/>
      <c r="CJP75" s="684"/>
      <c r="CJQ75" s="684"/>
      <c r="CJR75" s="684"/>
      <c r="CJS75" s="684"/>
      <c r="CJT75" s="684"/>
      <c r="CJU75" s="684"/>
      <c r="CJV75" s="684"/>
      <c r="CJW75" s="684"/>
      <c r="CJX75" s="684"/>
      <c r="CJY75" s="684"/>
      <c r="CJZ75" s="684"/>
      <c r="CKA75" s="684"/>
      <c r="CKB75" s="684"/>
      <c r="CKC75" s="684"/>
      <c r="CKD75" s="684"/>
      <c r="CKE75" s="684"/>
      <c r="CKF75" s="684"/>
      <c r="CKG75" s="684"/>
      <c r="CKH75" s="684"/>
      <c r="CKI75" s="684"/>
      <c r="CKJ75" s="684"/>
      <c r="CKK75" s="684"/>
      <c r="CKL75" s="684"/>
      <c r="CKM75" s="684"/>
      <c r="CKN75" s="684"/>
      <c r="CKO75" s="684"/>
      <c r="CKP75" s="684"/>
      <c r="CKQ75" s="684"/>
      <c r="CKR75" s="684"/>
      <c r="CKS75" s="684"/>
      <c r="CKT75" s="684"/>
      <c r="CKU75" s="684"/>
      <c r="CKV75" s="684"/>
      <c r="CKW75" s="684"/>
      <c r="CKX75" s="684"/>
      <c r="CKY75" s="684"/>
      <c r="CKZ75" s="684"/>
      <c r="CLA75" s="684"/>
      <c r="CLB75" s="684"/>
      <c r="CLC75" s="684"/>
      <c r="CLD75" s="684"/>
      <c r="CLE75" s="684"/>
      <c r="CLF75" s="684"/>
      <c r="CLG75" s="684"/>
      <c r="CLH75" s="684"/>
      <c r="CLI75" s="684"/>
      <c r="CLJ75" s="684"/>
      <c r="CLK75" s="684"/>
      <c r="CLL75" s="684"/>
      <c r="CLM75" s="684"/>
      <c r="CLN75" s="684"/>
      <c r="CLO75" s="684"/>
      <c r="CLP75" s="684"/>
      <c r="CLQ75" s="684"/>
      <c r="CLR75" s="684"/>
      <c r="CLS75" s="684"/>
      <c r="CLT75" s="684"/>
      <c r="CLU75" s="684"/>
      <c r="CLV75" s="684"/>
      <c r="CLW75" s="684"/>
      <c r="CLX75" s="684"/>
      <c r="CLY75" s="684"/>
      <c r="CLZ75" s="684"/>
      <c r="CMA75" s="684"/>
      <c r="CMB75" s="684"/>
      <c r="CMC75" s="684"/>
      <c r="CMD75" s="684"/>
      <c r="CME75" s="684"/>
      <c r="CMF75" s="684"/>
      <c r="CMG75" s="684"/>
      <c r="CMH75" s="684"/>
      <c r="CMI75" s="684"/>
      <c r="CMJ75" s="684"/>
      <c r="CMK75" s="684"/>
      <c r="CML75" s="684"/>
      <c r="CMM75" s="684"/>
      <c r="CMN75" s="684"/>
      <c r="CMO75" s="684"/>
      <c r="CMP75" s="684"/>
      <c r="CMQ75" s="684"/>
      <c r="CMR75" s="684"/>
      <c r="CMS75" s="684"/>
      <c r="CMT75" s="684"/>
      <c r="CMU75" s="684"/>
      <c r="CMV75" s="684"/>
      <c r="CMW75" s="684"/>
      <c r="CMX75" s="684"/>
      <c r="CMY75" s="684"/>
      <c r="CMZ75" s="684"/>
      <c r="CNA75" s="684"/>
      <c r="CNB75" s="684"/>
      <c r="CNC75" s="684"/>
      <c r="CND75" s="684"/>
      <c r="CNE75" s="684"/>
      <c r="CNF75" s="684"/>
      <c r="CNG75" s="684"/>
      <c r="CNH75" s="684"/>
      <c r="CNI75" s="684"/>
      <c r="CNJ75" s="684"/>
      <c r="CNK75" s="684"/>
      <c r="CNL75" s="684"/>
      <c r="CNM75" s="684"/>
      <c r="CNN75" s="684"/>
      <c r="CNO75" s="684"/>
      <c r="CNP75" s="684"/>
      <c r="CNQ75" s="684"/>
      <c r="CNR75" s="684"/>
      <c r="CNS75" s="684"/>
      <c r="CNT75" s="684"/>
      <c r="CNU75" s="684"/>
      <c r="CNV75" s="684"/>
      <c r="CNW75" s="684"/>
      <c r="CNX75" s="684"/>
      <c r="CNY75" s="684"/>
      <c r="CNZ75" s="684"/>
      <c r="COA75" s="684"/>
      <c r="COB75" s="684"/>
      <c r="COC75" s="684"/>
      <c r="COD75" s="684"/>
      <c r="COE75" s="684"/>
      <c r="COF75" s="684"/>
      <c r="COG75" s="684"/>
      <c r="COH75" s="684"/>
      <c r="COI75" s="684"/>
      <c r="COJ75" s="684"/>
      <c r="COK75" s="684"/>
      <c r="COL75" s="684"/>
      <c r="COM75" s="684"/>
      <c r="CON75" s="684"/>
      <c r="COO75" s="684"/>
      <c r="COP75" s="684"/>
      <c r="COQ75" s="684"/>
      <c r="COR75" s="684"/>
      <c r="COS75" s="684"/>
      <c r="COT75" s="684"/>
      <c r="COU75" s="684"/>
      <c r="COV75" s="684"/>
      <c r="COW75" s="684"/>
      <c r="COX75" s="684"/>
      <c r="COY75" s="684"/>
      <c r="COZ75" s="684"/>
      <c r="CPA75" s="684"/>
      <c r="CPB75" s="684"/>
      <c r="CPC75" s="684"/>
      <c r="CPD75" s="684"/>
      <c r="CPE75" s="684"/>
      <c r="CPF75" s="684"/>
      <c r="CPG75" s="684"/>
      <c r="CPH75" s="684"/>
      <c r="CPI75" s="684"/>
      <c r="CPJ75" s="684"/>
      <c r="CPK75" s="684"/>
      <c r="CPL75" s="684"/>
      <c r="CPM75" s="684"/>
      <c r="CPN75" s="684"/>
      <c r="CPO75" s="684"/>
      <c r="CPP75" s="684"/>
      <c r="CPQ75" s="684"/>
      <c r="CPR75" s="684"/>
      <c r="CPS75" s="684"/>
      <c r="CPT75" s="684"/>
      <c r="CPU75" s="684"/>
      <c r="CPV75" s="684"/>
      <c r="CPW75" s="684"/>
      <c r="CPX75" s="684"/>
      <c r="CPY75" s="684"/>
      <c r="CPZ75" s="684"/>
      <c r="CQA75" s="684"/>
      <c r="CQB75" s="684"/>
      <c r="CQC75" s="684"/>
      <c r="CQD75" s="684"/>
      <c r="CQE75" s="684"/>
      <c r="CQF75" s="684"/>
      <c r="CQG75" s="684"/>
      <c r="CQH75" s="684"/>
      <c r="CQI75" s="684"/>
      <c r="CQJ75" s="684"/>
      <c r="CQK75" s="684"/>
      <c r="CQL75" s="684"/>
      <c r="CQM75" s="684"/>
      <c r="CQN75" s="684"/>
      <c r="CQO75" s="684"/>
      <c r="CQP75" s="684"/>
      <c r="CQQ75" s="684"/>
      <c r="CQR75" s="684"/>
      <c r="CQS75" s="684"/>
      <c r="CQT75" s="684"/>
      <c r="CQU75" s="684"/>
      <c r="CQV75" s="684"/>
      <c r="CQW75" s="684"/>
      <c r="CQX75" s="684"/>
      <c r="CQY75" s="684"/>
      <c r="CQZ75" s="684"/>
      <c r="CRA75" s="684"/>
      <c r="CRB75" s="684"/>
      <c r="CRC75" s="684"/>
      <c r="CRD75" s="684"/>
      <c r="CRE75" s="684"/>
      <c r="CRF75" s="684"/>
      <c r="CRG75" s="684"/>
      <c r="CRH75" s="684"/>
      <c r="CRI75" s="684"/>
      <c r="CRJ75" s="684"/>
      <c r="CRK75" s="684"/>
      <c r="CRL75" s="684"/>
      <c r="CRM75" s="684"/>
      <c r="CRN75" s="684"/>
      <c r="CRO75" s="684"/>
      <c r="CRP75" s="684"/>
      <c r="CRQ75" s="684"/>
      <c r="CRR75" s="684"/>
      <c r="CRS75" s="684"/>
      <c r="CRT75" s="684"/>
      <c r="CRU75" s="684"/>
      <c r="CRV75" s="684"/>
      <c r="CRW75" s="684"/>
      <c r="CRX75" s="684"/>
      <c r="CRY75" s="684"/>
      <c r="CRZ75" s="684"/>
      <c r="CSA75" s="684"/>
      <c r="CSB75" s="684"/>
      <c r="CSC75" s="684"/>
      <c r="CSD75" s="684"/>
      <c r="CSE75" s="684"/>
      <c r="CSF75" s="684"/>
      <c r="CSG75" s="684"/>
      <c r="CSH75" s="684"/>
      <c r="CSI75" s="684"/>
      <c r="CSJ75" s="684"/>
      <c r="CSK75" s="684"/>
      <c r="CSL75" s="684"/>
      <c r="CSM75" s="684"/>
      <c r="CSN75" s="684"/>
      <c r="CSO75" s="684"/>
      <c r="CSP75" s="684"/>
      <c r="CSQ75" s="684"/>
      <c r="CSR75" s="684"/>
      <c r="CSS75" s="684"/>
      <c r="CST75" s="684"/>
      <c r="CSU75" s="684"/>
      <c r="CSV75" s="684"/>
      <c r="CSW75" s="684"/>
      <c r="CSX75" s="684"/>
      <c r="CSY75" s="684"/>
      <c r="CSZ75" s="684"/>
      <c r="CTA75" s="684"/>
      <c r="CTB75" s="684"/>
      <c r="CTC75" s="684"/>
      <c r="CTD75" s="684"/>
      <c r="CTE75" s="684"/>
      <c r="CTF75" s="684"/>
      <c r="CTG75" s="684"/>
      <c r="CTH75" s="684"/>
      <c r="CTI75" s="684"/>
      <c r="CTJ75" s="684"/>
      <c r="CTK75" s="684"/>
      <c r="CTL75" s="684"/>
      <c r="CTM75" s="684"/>
      <c r="CTN75" s="684"/>
      <c r="CTO75" s="684"/>
      <c r="CTP75" s="684"/>
      <c r="CTQ75" s="684"/>
      <c r="CTR75" s="684"/>
      <c r="CTS75" s="684"/>
      <c r="CTT75" s="684"/>
      <c r="CTU75" s="684"/>
      <c r="CTV75" s="684"/>
      <c r="CTW75" s="684"/>
      <c r="CTX75" s="684"/>
      <c r="CTY75" s="684"/>
      <c r="CTZ75" s="684"/>
      <c r="CUA75" s="684"/>
      <c r="CUB75" s="684"/>
      <c r="CUC75" s="684"/>
      <c r="CUD75" s="684"/>
      <c r="CUE75" s="684"/>
      <c r="CUF75" s="684"/>
      <c r="CUG75" s="684"/>
      <c r="CUH75" s="684"/>
      <c r="CUI75" s="684"/>
      <c r="CUJ75" s="684"/>
      <c r="CUK75" s="684"/>
      <c r="CUL75" s="684"/>
      <c r="CUM75" s="684"/>
      <c r="CUN75" s="684"/>
      <c r="CUO75" s="684"/>
      <c r="CUP75" s="684"/>
      <c r="CUQ75" s="684"/>
      <c r="CUR75" s="684"/>
      <c r="CUS75" s="684"/>
      <c r="CUT75" s="684"/>
      <c r="CUU75" s="684"/>
      <c r="CUV75" s="684"/>
      <c r="CUW75" s="684"/>
      <c r="CUX75" s="684"/>
      <c r="CUY75" s="684"/>
      <c r="CUZ75" s="684"/>
      <c r="CVA75" s="684"/>
      <c r="CVB75" s="684"/>
      <c r="CVC75" s="684"/>
      <c r="CVD75" s="684"/>
      <c r="CVE75" s="684"/>
      <c r="CVF75" s="684"/>
      <c r="CVG75" s="684"/>
      <c r="CVH75" s="684"/>
      <c r="CVI75" s="684"/>
      <c r="CVJ75" s="684"/>
      <c r="CVK75" s="684"/>
      <c r="CVL75" s="684"/>
      <c r="CVM75" s="684"/>
      <c r="CVN75" s="684"/>
      <c r="CVO75" s="684"/>
      <c r="CVP75" s="684"/>
      <c r="CVQ75" s="684"/>
      <c r="CVR75" s="684"/>
      <c r="CVS75" s="684"/>
      <c r="CVT75" s="684"/>
      <c r="CVU75" s="684"/>
      <c r="CVV75" s="684"/>
      <c r="CVW75" s="684"/>
      <c r="CVX75" s="684"/>
      <c r="CVY75" s="684"/>
      <c r="CVZ75" s="684"/>
      <c r="CWA75" s="684"/>
      <c r="CWB75" s="684"/>
      <c r="CWC75" s="684"/>
      <c r="CWD75" s="684"/>
      <c r="CWE75" s="684"/>
      <c r="CWF75" s="684"/>
      <c r="CWG75" s="684"/>
      <c r="CWH75" s="684"/>
      <c r="CWI75" s="684"/>
      <c r="CWJ75" s="684"/>
      <c r="CWK75" s="684"/>
      <c r="CWL75" s="684"/>
      <c r="CWM75" s="684"/>
      <c r="CWN75" s="684"/>
      <c r="CWO75" s="684"/>
      <c r="CWP75" s="684"/>
      <c r="CWQ75" s="684"/>
      <c r="CWR75" s="684"/>
      <c r="CWS75" s="684"/>
      <c r="CWT75" s="684"/>
      <c r="CWU75" s="684"/>
      <c r="CWV75" s="684"/>
      <c r="CWW75" s="684"/>
      <c r="CWX75" s="684"/>
      <c r="CWY75" s="684"/>
      <c r="CWZ75" s="684"/>
      <c r="CXA75" s="684"/>
      <c r="CXB75" s="684"/>
      <c r="CXC75" s="684"/>
      <c r="CXD75" s="684"/>
      <c r="CXE75" s="684"/>
      <c r="CXF75" s="684"/>
      <c r="CXG75" s="684"/>
      <c r="CXH75" s="684"/>
      <c r="CXI75" s="684"/>
      <c r="CXJ75" s="684"/>
      <c r="CXK75" s="684"/>
      <c r="CXL75" s="684"/>
      <c r="CXM75" s="684"/>
      <c r="CXN75" s="684"/>
      <c r="CXO75" s="684"/>
      <c r="CXP75" s="684"/>
      <c r="CXQ75" s="684"/>
      <c r="CXR75" s="684"/>
      <c r="CXS75" s="684"/>
      <c r="CXT75" s="684"/>
      <c r="CXU75" s="684"/>
      <c r="CXV75" s="684"/>
      <c r="CXW75" s="684"/>
      <c r="CXX75" s="684"/>
      <c r="CXY75" s="684"/>
      <c r="CXZ75" s="684"/>
      <c r="CYA75" s="684"/>
      <c r="CYB75" s="684"/>
      <c r="CYC75" s="684"/>
      <c r="CYD75" s="684"/>
      <c r="CYE75" s="684"/>
      <c r="CYF75" s="684"/>
      <c r="CYG75" s="684"/>
      <c r="CYH75" s="684"/>
      <c r="CYI75" s="684"/>
      <c r="CYJ75" s="684"/>
      <c r="CYK75" s="684"/>
      <c r="CYL75" s="684"/>
      <c r="CYM75" s="684"/>
      <c r="CYN75" s="684"/>
      <c r="CYO75" s="684"/>
      <c r="CYP75" s="684"/>
      <c r="CYQ75" s="684"/>
      <c r="CYR75" s="684"/>
      <c r="CYS75" s="684"/>
      <c r="CYT75" s="684"/>
      <c r="CYU75" s="684"/>
      <c r="CYV75" s="684"/>
      <c r="CYW75" s="684"/>
      <c r="CYX75" s="684"/>
      <c r="CYY75" s="684"/>
      <c r="CYZ75" s="684"/>
      <c r="CZA75" s="684"/>
      <c r="CZB75" s="684"/>
      <c r="CZC75" s="684"/>
      <c r="CZD75" s="684"/>
      <c r="CZE75" s="684"/>
      <c r="CZF75" s="684"/>
      <c r="CZG75" s="684"/>
      <c r="CZH75" s="684"/>
      <c r="CZI75" s="684"/>
      <c r="CZJ75" s="684"/>
      <c r="CZK75" s="684"/>
      <c r="CZL75" s="684"/>
      <c r="CZM75" s="684"/>
      <c r="CZN75" s="684"/>
      <c r="CZO75" s="684"/>
      <c r="CZP75" s="684"/>
      <c r="CZQ75" s="684"/>
      <c r="CZR75" s="684"/>
      <c r="CZS75" s="684"/>
      <c r="CZT75" s="684"/>
      <c r="CZU75" s="684"/>
      <c r="CZV75" s="684"/>
      <c r="CZW75" s="684"/>
      <c r="CZX75" s="684"/>
      <c r="CZY75" s="684"/>
      <c r="CZZ75" s="684"/>
      <c r="DAA75" s="684"/>
      <c r="DAB75" s="684"/>
      <c r="DAC75" s="684"/>
      <c r="DAD75" s="684"/>
      <c r="DAE75" s="684"/>
      <c r="DAF75" s="684"/>
      <c r="DAG75" s="684"/>
      <c r="DAH75" s="684"/>
      <c r="DAI75" s="684"/>
      <c r="DAJ75" s="684"/>
      <c r="DAK75" s="684"/>
      <c r="DAL75" s="684"/>
      <c r="DAM75" s="684"/>
      <c r="DAN75" s="684"/>
      <c r="DAO75" s="684"/>
      <c r="DAP75" s="684"/>
      <c r="DAQ75" s="684"/>
      <c r="DAR75" s="684"/>
      <c r="DAS75" s="684"/>
      <c r="DAT75" s="684"/>
      <c r="DAU75" s="684"/>
      <c r="DAV75" s="684"/>
      <c r="DAW75" s="684"/>
      <c r="DAX75" s="684"/>
      <c r="DAY75" s="684"/>
      <c r="DAZ75" s="684"/>
      <c r="DBA75" s="684"/>
      <c r="DBB75" s="684"/>
      <c r="DBC75" s="684"/>
      <c r="DBD75" s="684"/>
      <c r="DBE75" s="684"/>
      <c r="DBF75" s="684"/>
      <c r="DBG75" s="684"/>
      <c r="DBH75" s="684"/>
      <c r="DBI75" s="684"/>
      <c r="DBJ75" s="684"/>
      <c r="DBK75" s="684"/>
      <c r="DBL75" s="684"/>
      <c r="DBM75" s="684"/>
      <c r="DBN75" s="684"/>
      <c r="DBO75" s="684"/>
      <c r="DBP75" s="684"/>
      <c r="DBQ75" s="684"/>
      <c r="DBR75" s="684"/>
      <c r="DBS75" s="684"/>
      <c r="DBT75" s="684"/>
      <c r="DBU75" s="684"/>
      <c r="DBV75" s="684"/>
      <c r="DBW75" s="684"/>
      <c r="DBX75" s="684"/>
      <c r="DBY75" s="684"/>
      <c r="DBZ75" s="684"/>
      <c r="DCA75" s="684"/>
      <c r="DCB75" s="684"/>
      <c r="DCC75" s="684"/>
      <c r="DCD75" s="684"/>
      <c r="DCE75" s="684"/>
      <c r="DCF75" s="684"/>
      <c r="DCG75" s="684"/>
      <c r="DCH75" s="684"/>
      <c r="DCI75" s="684"/>
      <c r="DCJ75" s="684"/>
      <c r="DCK75" s="684"/>
      <c r="DCL75" s="684"/>
      <c r="DCM75" s="684"/>
      <c r="DCN75" s="684"/>
      <c r="DCO75" s="684"/>
      <c r="DCP75" s="684"/>
      <c r="DCQ75" s="684"/>
      <c r="DCR75" s="684"/>
      <c r="DCS75" s="684"/>
      <c r="DCT75" s="684"/>
      <c r="DCU75" s="684"/>
      <c r="DCV75" s="684"/>
      <c r="DCW75" s="684"/>
      <c r="DCX75" s="684"/>
      <c r="DCY75" s="684"/>
      <c r="DCZ75" s="684"/>
      <c r="DDA75" s="684"/>
      <c r="DDB75" s="684"/>
      <c r="DDC75" s="684"/>
      <c r="DDD75" s="684"/>
      <c r="DDE75" s="684"/>
      <c r="DDF75" s="684"/>
      <c r="DDG75" s="684"/>
      <c r="DDH75" s="684"/>
      <c r="DDI75" s="684"/>
      <c r="DDJ75" s="684"/>
      <c r="DDK75" s="684"/>
      <c r="DDL75" s="684"/>
      <c r="DDM75" s="684"/>
      <c r="DDN75" s="684"/>
      <c r="DDO75" s="684"/>
      <c r="DDP75" s="684"/>
      <c r="DDQ75" s="684"/>
      <c r="DDR75" s="684"/>
      <c r="DDS75" s="684"/>
      <c r="DDT75" s="684"/>
      <c r="DDU75" s="684"/>
      <c r="DDV75" s="684"/>
      <c r="DDW75" s="684"/>
      <c r="DDX75" s="684"/>
      <c r="DDY75" s="684"/>
      <c r="DDZ75" s="684"/>
      <c r="DEA75" s="684"/>
      <c r="DEB75" s="684"/>
      <c r="DEC75" s="684"/>
      <c r="DED75" s="684"/>
      <c r="DEE75" s="684"/>
      <c r="DEF75" s="684"/>
      <c r="DEG75" s="684"/>
      <c r="DEH75" s="684"/>
      <c r="DEI75" s="684"/>
      <c r="DEJ75" s="684"/>
      <c r="DEK75" s="684"/>
      <c r="DEL75" s="684"/>
      <c r="DEM75" s="684"/>
      <c r="DEN75" s="684"/>
      <c r="DEO75" s="684"/>
      <c r="DEP75" s="684"/>
      <c r="DEQ75" s="684"/>
      <c r="DER75" s="684"/>
      <c r="DES75" s="684"/>
      <c r="DET75" s="684"/>
      <c r="DEU75" s="684"/>
      <c r="DEV75" s="684"/>
      <c r="DEW75" s="684"/>
      <c r="DEX75" s="684"/>
      <c r="DEY75" s="684"/>
      <c r="DEZ75" s="684"/>
      <c r="DFA75" s="684"/>
      <c r="DFB75" s="684"/>
      <c r="DFC75" s="684"/>
      <c r="DFD75" s="684"/>
      <c r="DFE75" s="684"/>
      <c r="DFF75" s="684"/>
      <c r="DFG75" s="684"/>
      <c r="DFH75" s="684"/>
      <c r="DFI75" s="684"/>
      <c r="DFJ75" s="684"/>
      <c r="DFK75" s="684"/>
      <c r="DFL75" s="684"/>
      <c r="DFM75" s="684"/>
      <c r="DFN75" s="684"/>
      <c r="DFO75" s="684"/>
      <c r="DFP75" s="684"/>
      <c r="DFQ75" s="684"/>
      <c r="DFR75" s="684"/>
      <c r="DFS75" s="684"/>
      <c r="DFT75" s="684"/>
      <c r="DFU75" s="684"/>
      <c r="DFV75" s="684"/>
      <c r="DFW75" s="684"/>
      <c r="DFX75" s="684"/>
      <c r="DFY75" s="684"/>
      <c r="DFZ75" s="684"/>
      <c r="DGA75" s="684"/>
      <c r="DGB75" s="684"/>
      <c r="DGC75" s="684"/>
      <c r="DGD75" s="684"/>
      <c r="DGE75" s="684"/>
      <c r="DGF75" s="684"/>
      <c r="DGG75" s="684"/>
      <c r="DGH75" s="684"/>
      <c r="DGI75" s="684"/>
      <c r="DGJ75" s="684"/>
      <c r="DGK75" s="684"/>
      <c r="DGL75" s="684"/>
      <c r="DGM75" s="684"/>
      <c r="DGN75" s="684"/>
      <c r="DGO75" s="684"/>
      <c r="DGP75" s="684"/>
      <c r="DGQ75" s="684"/>
      <c r="DGR75" s="684"/>
      <c r="DGS75" s="684"/>
      <c r="DGT75" s="684"/>
      <c r="DGU75" s="684"/>
      <c r="DGV75" s="684"/>
      <c r="DGW75" s="684"/>
      <c r="DGX75" s="684"/>
      <c r="DGY75" s="684"/>
      <c r="DGZ75" s="684"/>
      <c r="DHA75" s="684"/>
      <c r="DHB75" s="684"/>
      <c r="DHC75" s="684"/>
      <c r="DHD75" s="684"/>
      <c r="DHE75" s="684"/>
      <c r="DHF75" s="684"/>
      <c r="DHG75" s="684"/>
      <c r="DHH75" s="684"/>
      <c r="DHI75" s="684"/>
      <c r="DHJ75" s="684"/>
      <c r="DHK75" s="684"/>
      <c r="DHL75" s="684"/>
      <c r="DHM75" s="684"/>
      <c r="DHN75" s="684"/>
      <c r="DHO75" s="684"/>
      <c r="DHP75" s="684"/>
      <c r="DHQ75" s="684"/>
      <c r="DHR75" s="684"/>
      <c r="DHS75" s="684"/>
      <c r="DHT75" s="684"/>
      <c r="DHU75" s="684"/>
      <c r="DHV75" s="684"/>
      <c r="DHW75" s="684"/>
      <c r="DHX75" s="684"/>
      <c r="DHY75" s="684"/>
      <c r="DHZ75" s="684"/>
      <c r="DIA75" s="684"/>
      <c r="DIB75" s="684"/>
      <c r="DIC75" s="684"/>
      <c r="DID75" s="684"/>
      <c r="DIE75" s="684"/>
      <c r="DIF75" s="684"/>
      <c r="DIG75" s="684"/>
      <c r="DIH75" s="684"/>
      <c r="DII75" s="684"/>
      <c r="DIJ75" s="684"/>
      <c r="DIK75" s="684"/>
      <c r="DIL75" s="684"/>
      <c r="DIM75" s="684"/>
      <c r="DIN75" s="684"/>
      <c r="DIO75" s="684"/>
      <c r="DIP75" s="684"/>
      <c r="DIQ75" s="684"/>
      <c r="DIR75" s="684"/>
      <c r="DIS75" s="684"/>
      <c r="DIT75" s="684"/>
      <c r="DIU75" s="684"/>
      <c r="DIV75" s="684"/>
      <c r="DIW75" s="684"/>
      <c r="DIX75" s="684"/>
      <c r="DIY75" s="684"/>
      <c r="DIZ75" s="684"/>
      <c r="DJA75" s="684"/>
      <c r="DJB75" s="684"/>
      <c r="DJC75" s="684"/>
      <c r="DJD75" s="684"/>
      <c r="DJE75" s="684"/>
      <c r="DJF75" s="684"/>
      <c r="DJG75" s="684"/>
      <c r="DJH75" s="684"/>
      <c r="DJI75" s="684"/>
      <c r="DJJ75" s="684"/>
      <c r="DJK75" s="684"/>
      <c r="DJL75" s="684"/>
      <c r="DJM75" s="684"/>
      <c r="DJN75" s="684"/>
      <c r="DJO75" s="684"/>
      <c r="DJP75" s="684"/>
      <c r="DJQ75" s="684"/>
      <c r="DJR75" s="684"/>
      <c r="DJS75" s="684"/>
      <c r="DJT75" s="684"/>
      <c r="DJU75" s="684"/>
      <c r="DJV75" s="684"/>
      <c r="DJW75" s="684"/>
      <c r="DJX75" s="684"/>
      <c r="DJY75" s="684"/>
      <c r="DJZ75" s="684"/>
      <c r="DKA75" s="684"/>
      <c r="DKB75" s="684"/>
      <c r="DKC75" s="684"/>
      <c r="DKD75" s="684"/>
      <c r="DKE75" s="684"/>
      <c r="DKF75" s="684"/>
      <c r="DKG75" s="684"/>
      <c r="DKH75" s="684"/>
      <c r="DKI75" s="684"/>
      <c r="DKJ75" s="684"/>
      <c r="DKK75" s="684"/>
      <c r="DKL75" s="684"/>
      <c r="DKM75" s="684"/>
      <c r="DKN75" s="684"/>
      <c r="DKO75" s="684"/>
      <c r="DKP75" s="684"/>
      <c r="DKQ75" s="684"/>
      <c r="DKR75" s="684"/>
      <c r="DKS75" s="684"/>
      <c r="DKT75" s="684"/>
      <c r="DKU75" s="684"/>
      <c r="DKV75" s="684"/>
      <c r="DKW75" s="684"/>
      <c r="DKX75" s="684"/>
      <c r="DKY75" s="684"/>
      <c r="DKZ75" s="684"/>
      <c r="DLA75" s="684"/>
      <c r="DLB75" s="684"/>
      <c r="DLC75" s="684"/>
      <c r="DLD75" s="684"/>
      <c r="DLE75" s="684"/>
      <c r="DLF75" s="684"/>
      <c r="DLG75" s="684"/>
      <c r="DLH75" s="684"/>
      <c r="DLI75" s="684"/>
      <c r="DLJ75" s="684"/>
      <c r="DLK75" s="684"/>
      <c r="DLL75" s="684"/>
      <c r="DLM75" s="684"/>
      <c r="DLN75" s="684"/>
      <c r="DLO75" s="684"/>
      <c r="DLP75" s="684"/>
      <c r="DLQ75" s="684"/>
      <c r="DLR75" s="684"/>
      <c r="DLS75" s="684"/>
      <c r="DLT75" s="684"/>
      <c r="DLU75" s="684"/>
      <c r="DLV75" s="684"/>
      <c r="DLW75" s="684"/>
      <c r="DLX75" s="684"/>
      <c r="DLY75" s="684"/>
      <c r="DLZ75" s="684"/>
      <c r="DMA75" s="684"/>
      <c r="DMB75" s="684"/>
      <c r="DMC75" s="684"/>
      <c r="DMD75" s="684"/>
      <c r="DME75" s="684"/>
      <c r="DMF75" s="684"/>
      <c r="DMG75" s="684"/>
      <c r="DMH75" s="684"/>
      <c r="DMI75" s="684"/>
      <c r="DMJ75" s="684"/>
      <c r="DMK75" s="684"/>
      <c r="DML75" s="684"/>
      <c r="DMM75" s="684"/>
      <c r="DMN75" s="684"/>
      <c r="DMO75" s="684"/>
      <c r="DMP75" s="684"/>
      <c r="DMQ75" s="684"/>
      <c r="DMR75" s="684"/>
      <c r="DMS75" s="684"/>
      <c r="DMT75" s="684"/>
      <c r="DMU75" s="684"/>
      <c r="DMV75" s="684"/>
      <c r="DMW75" s="684"/>
      <c r="DMX75" s="684"/>
      <c r="DMY75" s="684"/>
      <c r="DMZ75" s="684"/>
      <c r="DNA75" s="684"/>
      <c r="DNB75" s="684"/>
      <c r="DNC75" s="684"/>
      <c r="DND75" s="684"/>
      <c r="DNE75" s="684"/>
      <c r="DNF75" s="684"/>
      <c r="DNG75" s="684"/>
      <c r="DNH75" s="684"/>
      <c r="DNI75" s="684"/>
      <c r="DNJ75" s="684"/>
      <c r="DNK75" s="684"/>
      <c r="DNL75" s="684"/>
      <c r="DNM75" s="684"/>
      <c r="DNN75" s="684"/>
      <c r="DNO75" s="684"/>
      <c r="DNP75" s="684"/>
      <c r="DNQ75" s="684"/>
      <c r="DNR75" s="684"/>
      <c r="DNS75" s="684"/>
      <c r="DNT75" s="684"/>
      <c r="DNU75" s="684"/>
      <c r="DNV75" s="684"/>
      <c r="DNW75" s="684"/>
      <c r="DNX75" s="684"/>
      <c r="DNY75" s="684"/>
      <c r="DNZ75" s="684"/>
      <c r="DOA75" s="684"/>
      <c r="DOB75" s="684"/>
      <c r="DOC75" s="684"/>
      <c r="DOD75" s="684"/>
      <c r="DOE75" s="684"/>
      <c r="DOF75" s="684"/>
      <c r="DOG75" s="684"/>
      <c r="DOH75" s="684"/>
      <c r="DOI75" s="684"/>
      <c r="DOJ75" s="684"/>
      <c r="DOK75" s="684"/>
      <c r="DOL75" s="684"/>
      <c r="DOM75" s="684"/>
      <c r="DON75" s="684"/>
      <c r="DOO75" s="684"/>
      <c r="DOP75" s="684"/>
      <c r="DOQ75" s="684"/>
      <c r="DOR75" s="684"/>
      <c r="DOS75" s="684"/>
      <c r="DOT75" s="684"/>
      <c r="DOU75" s="684"/>
      <c r="DOV75" s="684"/>
      <c r="DOW75" s="684"/>
      <c r="DOX75" s="684"/>
      <c r="DOY75" s="684"/>
      <c r="DOZ75" s="684"/>
      <c r="DPA75" s="684"/>
      <c r="DPB75" s="684"/>
      <c r="DPC75" s="684"/>
      <c r="DPD75" s="684"/>
      <c r="DPE75" s="684"/>
      <c r="DPF75" s="684"/>
      <c r="DPG75" s="684"/>
      <c r="DPH75" s="684"/>
      <c r="DPI75" s="684"/>
      <c r="DPJ75" s="684"/>
      <c r="DPK75" s="684"/>
      <c r="DPL75" s="684"/>
      <c r="DPM75" s="684"/>
      <c r="DPN75" s="684"/>
      <c r="DPO75" s="684"/>
      <c r="DPP75" s="684"/>
      <c r="DPQ75" s="684"/>
      <c r="DPR75" s="684"/>
      <c r="DPS75" s="684"/>
      <c r="DPT75" s="684"/>
      <c r="DPU75" s="684"/>
      <c r="DPV75" s="684"/>
      <c r="DPW75" s="684"/>
      <c r="DPX75" s="684"/>
      <c r="DPY75" s="684"/>
      <c r="DPZ75" s="684"/>
      <c r="DQA75" s="684"/>
      <c r="DQB75" s="684"/>
      <c r="DQC75" s="684"/>
      <c r="DQD75" s="684"/>
      <c r="DQE75" s="684"/>
      <c r="DQF75" s="684"/>
      <c r="DQG75" s="684"/>
      <c r="DQH75" s="684"/>
      <c r="DQI75" s="684"/>
      <c r="DQJ75" s="684"/>
      <c r="DQK75" s="684"/>
      <c r="DQL75" s="684"/>
      <c r="DQM75" s="684"/>
      <c r="DQN75" s="684"/>
      <c r="DQO75" s="684"/>
      <c r="DQP75" s="684"/>
      <c r="DQQ75" s="684"/>
      <c r="DQR75" s="684"/>
      <c r="DQS75" s="684"/>
      <c r="DQT75" s="684"/>
      <c r="DQU75" s="684"/>
      <c r="DQV75" s="684"/>
      <c r="DQW75" s="684"/>
      <c r="DQX75" s="684"/>
      <c r="DQY75" s="684"/>
      <c r="DQZ75" s="684"/>
      <c r="DRA75" s="684"/>
      <c r="DRB75" s="684"/>
      <c r="DRC75" s="684"/>
      <c r="DRD75" s="684"/>
      <c r="DRE75" s="684"/>
      <c r="DRF75" s="684"/>
      <c r="DRG75" s="684"/>
      <c r="DRH75" s="684"/>
      <c r="DRI75" s="684"/>
      <c r="DRJ75" s="684"/>
      <c r="DRK75" s="684"/>
      <c r="DRL75" s="684"/>
      <c r="DRM75" s="684"/>
      <c r="DRN75" s="684"/>
      <c r="DRO75" s="684"/>
      <c r="DRP75" s="684"/>
      <c r="DRQ75" s="684"/>
      <c r="DRR75" s="684"/>
      <c r="DRS75" s="684"/>
      <c r="DRT75" s="684"/>
      <c r="DRU75" s="684"/>
      <c r="DRV75" s="684"/>
      <c r="DRW75" s="684"/>
      <c r="DRX75" s="684"/>
      <c r="DRY75" s="684"/>
      <c r="DRZ75" s="684"/>
      <c r="DSA75" s="684"/>
      <c r="DSB75" s="684"/>
      <c r="DSC75" s="684"/>
      <c r="DSD75" s="684"/>
      <c r="DSE75" s="684"/>
      <c r="DSF75" s="684"/>
      <c r="DSG75" s="684"/>
      <c r="DSH75" s="684"/>
      <c r="DSI75" s="684"/>
      <c r="DSJ75" s="684"/>
      <c r="DSK75" s="684"/>
      <c r="DSL75" s="684"/>
      <c r="DSM75" s="684"/>
      <c r="DSN75" s="684"/>
      <c r="DSO75" s="684"/>
      <c r="DSP75" s="684"/>
      <c r="DSQ75" s="684"/>
      <c r="DSR75" s="684"/>
      <c r="DSS75" s="684"/>
      <c r="DST75" s="684"/>
      <c r="DSU75" s="684"/>
      <c r="DSV75" s="684"/>
      <c r="DSW75" s="684"/>
      <c r="DSX75" s="684"/>
      <c r="DSY75" s="684"/>
      <c r="DSZ75" s="684"/>
      <c r="DTA75" s="684"/>
      <c r="DTB75" s="684"/>
      <c r="DTC75" s="684"/>
      <c r="DTD75" s="684"/>
      <c r="DTE75" s="684"/>
      <c r="DTF75" s="684"/>
      <c r="DTG75" s="684"/>
      <c r="DTH75" s="684"/>
      <c r="DTI75" s="684"/>
      <c r="DTJ75" s="684"/>
      <c r="DTK75" s="684"/>
      <c r="DTL75" s="684"/>
      <c r="DTM75" s="684"/>
      <c r="DTN75" s="684"/>
      <c r="DTO75" s="684"/>
      <c r="DTP75" s="684"/>
      <c r="DTQ75" s="684"/>
      <c r="DTR75" s="684"/>
      <c r="DTS75" s="684"/>
      <c r="DTT75" s="684"/>
      <c r="DTU75" s="684"/>
      <c r="DTV75" s="684"/>
      <c r="DTW75" s="684"/>
      <c r="DTX75" s="684"/>
      <c r="DTY75" s="684"/>
      <c r="DTZ75" s="684"/>
      <c r="DUA75" s="684"/>
      <c r="DUB75" s="684"/>
      <c r="DUC75" s="684"/>
      <c r="DUD75" s="684"/>
      <c r="DUE75" s="684"/>
      <c r="DUF75" s="684"/>
      <c r="DUG75" s="684"/>
      <c r="DUH75" s="684"/>
      <c r="DUI75" s="684"/>
      <c r="DUJ75" s="684"/>
      <c r="DUK75" s="684"/>
      <c r="DUL75" s="684"/>
      <c r="DUM75" s="684"/>
      <c r="DUN75" s="684"/>
      <c r="DUO75" s="684"/>
      <c r="DUP75" s="684"/>
      <c r="DUQ75" s="684"/>
      <c r="DUR75" s="684"/>
      <c r="DUS75" s="684"/>
      <c r="DUT75" s="684"/>
      <c r="DUU75" s="684"/>
      <c r="DUV75" s="684"/>
      <c r="DUW75" s="684"/>
      <c r="DUX75" s="684"/>
      <c r="DUY75" s="684"/>
      <c r="DUZ75" s="684"/>
      <c r="DVA75" s="684"/>
      <c r="DVB75" s="684"/>
      <c r="DVC75" s="684"/>
      <c r="DVD75" s="684"/>
      <c r="DVE75" s="684"/>
      <c r="DVF75" s="684"/>
      <c r="DVG75" s="684"/>
      <c r="DVH75" s="684"/>
      <c r="DVI75" s="684"/>
      <c r="DVJ75" s="684"/>
      <c r="DVK75" s="684"/>
      <c r="DVL75" s="684"/>
      <c r="DVM75" s="684"/>
      <c r="DVN75" s="684"/>
      <c r="DVO75" s="684"/>
      <c r="DVP75" s="684"/>
      <c r="DVQ75" s="684"/>
      <c r="DVR75" s="684"/>
      <c r="DVS75" s="684"/>
      <c r="DVT75" s="684"/>
      <c r="DVU75" s="684"/>
      <c r="DVV75" s="684"/>
      <c r="DVW75" s="684"/>
      <c r="DVX75" s="684"/>
      <c r="DVY75" s="684"/>
      <c r="DVZ75" s="684"/>
      <c r="DWA75" s="684"/>
      <c r="DWB75" s="684"/>
      <c r="DWC75" s="684"/>
      <c r="DWD75" s="684"/>
      <c r="DWE75" s="684"/>
      <c r="DWF75" s="684"/>
      <c r="DWG75" s="684"/>
      <c r="DWH75" s="684"/>
      <c r="DWI75" s="684"/>
      <c r="DWJ75" s="684"/>
      <c r="DWK75" s="684"/>
      <c r="DWL75" s="684"/>
      <c r="DWM75" s="684"/>
      <c r="DWN75" s="684"/>
      <c r="DWO75" s="684"/>
      <c r="DWP75" s="684"/>
      <c r="DWQ75" s="684"/>
      <c r="DWR75" s="684"/>
      <c r="DWS75" s="684"/>
      <c r="DWT75" s="684"/>
      <c r="DWU75" s="684"/>
      <c r="DWV75" s="684"/>
      <c r="DWW75" s="684"/>
      <c r="DWX75" s="684"/>
      <c r="DWY75" s="684"/>
      <c r="DWZ75" s="684"/>
      <c r="DXA75" s="684"/>
      <c r="DXB75" s="684"/>
      <c r="DXC75" s="684"/>
      <c r="DXD75" s="684"/>
      <c r="DXE75" s="684"/>
      <c r="DXF75" s="684"/>
      <c r="DXG75" s="684"/>
      <c r="DXH75" s="684"/>
      <c r="DXI75" s="684"/>
      <c r="DXJ75" s="684"/>
      <c r="DXK75" s="684"/>
      <c r="DXL75" s="684"/>
      <c r="DXM75" s="684"/>
      <c r="DXN75" s="684"/>
      <c r="DXO75" s="684"/>
      <c r="DXP75" s="684"/>
      <c r="DXQ75" s="684"/>
      <c r="DXR75" s="684"/>
      <c r="DXS75" s="684"/>
      <c r="DXT75" s="684"/>
      <c r="DXU75" s="684"/>
      <c r="DXV75" s="684"/>
      <c r="DXW75" s="684"/>
      <c r="DXX75" s="684"/>
      <c r="DXY75" s="684"/>
      <c r="DXZ75" s="684"/>
      <c r="DYA75" s="684"/>
      <c r="DYB75" s="684"/>
      <c r="DYC75" s="684"/>
      <c r="DYD75" s="684"/>
      <c r="DYE75" s="684"/>
      <c r="DYF75" s="684"/>
      <c r="DYG75" s="684"/>
      <c r="DYH75" s="684"/>
      <c r="DYI75" s="684"/>
      <c r="DYJ75" s="684"/>
      <c r="DYK75" s="684"/>
      <c r="DYL75" s="684"/>
      <c r="DYM75" s="684"/>
      <c r="DYN75" s="684"/>
      <c r="DYO75" s="684"/>
      <c r="DYP75" s="684"/>
      <c r="DYQ75" s="684"/>
      <c r="DYR75" s="684"/>
      <c r="DYS75" s="684"/>
      <c r="DYT75" s="684"/>
      <c r="DYU75" s="684"/>
      <c r="DYV75" s="684"/>
      <c r="DYW75" s="684"/>
      <c r="DYX75" s="684"/>
      <c r="DYY75" s="684"/>
      <c r="DYZ75" s="684"/>
      <c r="DZA75" s="684"/>
      <c r="DZB75" s="684"/>
      <c r="DZC75" s="684"/>
      <c r="DZD75" s="684"/>
      <c r="DZE75" s="684"/>
      <c r="DZF75" s="684"/>
      <c r="DZG75" s="684"/>
      <c r="DZH75" s="684"/>
      <c r="DZI75" s="684"/>
      <c r="DZJ75" s="684"/>
      <c r="DZK75" s="684"/>
      <c r="DZL75" s="684"/>
      <c r="DZM75" s="684"/>
      <c r="DZN75" s="684"/>
      <c r="DZO75" s="684"/>
      <c r="DZP75" s="684"/>
      <c r="DZQ75" s="684"/>
      <c r="DZR75" s="684"/>
      <c r="DZS75" s="684"/>
      <c r="DZT75" s="684"/>
      <c r="DZU75" s="684"/>
      <c r="DZV75" s="684"/>
      <c r="DZW75" s="684"/>
      <c r="DZX75" s="684"/>
      <c r="DZY75" s="684"/>
      <c r="DZZ75" s="684"/>
      <c r="EAA75" s="684"/>
      <c r="EAB75" s="684"/>
      <c r="EAC75" s="684"/>
      <c r="EAD75" s="684"/>
      <c r="EAE75" s="684"/>
      <c r="EAF75" s="684"/>
      <c r="EAG75" s="684"/>
      <c r="EAH75" s="684"/>
      <c r="EAI75" s="684"/>
      <c r="EAJ75" s="684"/>
      <c r="EAK75" s="684"/>
      <c r="EAL75" s="684"/>
      <c r="EAM75" s="684"/>
      <c r="EAN75" s="684"/>
      <c r="EAO75" s="684"/>
      <c r="EAP75" s="684"/>
      <c r="EAQ75" s="684"/>
      <c r="EAR75" s="684"/>
      <c r="EAS75" s="684"/>
      <c r="EAT75" s="684"/>
      <c r="EAU75" s="684"/>
      <c r="EAV75" s="684"/>
      <c r="EAW75" s="684"/>
      <c r="EAX75" s="684"/>
      <c r="EAY75" s="684"/>
      <c r="EAZ75" s="684"/>
      <c r="EBA75" s="684"/>
      <c r="EBB75" s="684"/>
      <c r="EBC75" s="684"/>
      <c r="EBD75" s="684"/>
      <c r="EBE75" s="684"/>
      <c r="EBF75" s="684"/>
      <c r="EBG75" s="684"/>
      <c r="EBH75" s="684"/>
      <c r="EBI75" s="684"/>
      <c r="EBJ75" s="684"/>
      <c r="EBK75" s="684"/>
      <c r="EBL75" s="684"/>
      <c r="EBM75" s="684"/>
      <c r="EBN75" s="684"/>
      <c r="EBO75" s="684"/>
      <c r="EBP75" s="684"/>
      <c r="EBQ75" s="684"/>
      <c r="EBR75" s="684"/>
      <c r="EBS75" s="684"/>
      <c r="EBT75" s="684"/>
      <c r="EBU75" s="684"/>
      <c r="EBV75" s="684"/>
      <c r="EBW75" s="684"/>
      <c r="EBX75" s="684"/>
      <c r="EBY75" s="684"/>
      <c r="EBZ75" s="684"/>
      <c r="ECA75" s="684"/>
      <c r="ECB75" s="684"/>
      <c r="ECC75" s="684"/>
      <c r="ECD75" s="684"/>
      <c r="ECE75" s="684"/>
      <c r="ECF75" s="684"/>
      <c r="ECG75" s="684"/>
      <c r="ECH75" s="684"/>
      <c r="ECI75" s="684"/>
      <c r="ECJ75" s="684"/>
      <c r="ECK75" s="684"/>
      <c r="ECL75" s="684"/>
      <c r="ECM75" s="684"/>
      <c r="ECN75" s="684"/>
      <c r="ECO75" s="684"/>
      <c r="ECP75" s="684"/>
      <c r="ECQ75" s="684"/>
      <c r="ECR75" s="684"/>
      <c r="ECS75" s="684"/>
      <c r="ECT75" s="684"/>
      <c r="ECU75" s="684"/>
      <c r="ECV75" s="684"/>
      <c r="ECW75" s="684"/>
      <c r="ECX75" s="684"/>
      <c r="ECY75" s="684"/>
      <c r="ECZ75" s="684"/>
      <c r="EDA75" s="684"/>
      <c r="EDB75" s="684"/>
      <c r="EDC75" s="684"/>
      <c r="EDD75" s="684"/>
      <c r="EDE75" s="684"/>
      <c r="EDF75" s="684"/>
      <c r="EDG75" s="684"/>
      <c r="EDH75" s="684"/>
      <c r="EDI75" s="684"/>
      <c r="EDJ75" s="684"/>
      <c r="EDK75" s="684"/>
      <c r="EDL75" s="684"/>
      <c r="EDM75" s="684"/>
      <c r="EDN75" s="684"/>
      <c r="EDO75" s="684"/>
      <c r="EDP75" s="684"/>
      <c r="EDQ75" s="684"/>
      <c r="EDR75" s="684"/>
      <c r="EDS75" s="684"/>
      <c r="EDT75" s="684"/>
      <c r="EDU75" s="684"/>
      <c r="EDV75" s="684"/>
      <c r="EDW75" s="684"/>
      <c r="EDX75" s="684"/>
      <c r="EDY75" s="684"/>
      <c r="EDZ75" s="684"/>
      <c r="EEA75" s="684"/>
      <c r="EEB75" s="684"/>
      <c r="EEC75" s="684"/>
      <c r="EED75" s="684"/>
      <c r="EEE75" s="684"/>
      <c r="EEF75" s="684"/>
      <c r="EEG75" s="684"/>
      <c r="EEH75" s="684"/>
      <c r="EEI75" s="684"/>
      <c r="EEJ75" s="684"/>
      <c r="EEK75" s="684"/>
      <c r="EEL75" s="684"/>
      <c r="EEM75" s="684"/>
      <c r="EEN75" s="684"/>
      <c r="EEO75" s="684"/>
      <c r="EEP75" s="684"/>
      <c r="EEQ75" s="684"/>
      <c r="EER75" s="684"/>
      <c r="EES75" s="684"/>
      <c r="EET75" s="684"/>
      <c r="EEU75" s="684"/>
      <c r="EEV75" s="684"/>
      <c r="EEW75" s="684"/>
      <c r="EEX75" s="684"/>
      <c r="EEY75" s="684"/>
      <c r="EEZ75" s="684"/>
      <c r="EFA75" s="684"/>
      <c r="EFB75" s="684"/>
      <c r="EFC75" s="684"/>
      <c r="EFD75" s="684"/>
      <c r="EFE75" s="684"/>
      <c r="EFF75" s="684"/>
      <c r="EFG75" s="684"/>
      <c r="EFH75" s="684"/>
      <c r="EFI75" s="684"/>
      <c r="EFJ75" s="684"/>
      <c r="EFK75" s="684"/>
      <c r="EFL75" s="684"/>
      <c r="EFM75" s="684"/>
      <c r="EFN75" s="684"/>
      <c r="EFO75" s="684"/>
      <c r="EFP75" s="684"/>
      <c r="EFQ75" s="684"/>
      <c r="EFR75" s="684"/>
      <c r="EFS75" s="684"/>
      <c r="EFT75" s="684"/>
      <c r="EFU75" s="684"/>
      <c r="EFV75" s="684"/>
      <c r="EFW75" s="684"/>
      <c r="EFX75" s="684"/>
      <c r="EFY75" s="684"/>
      <c r="EFZ75" s="684"/>
      <c r="EGA75" s="684"/>
      <c r="EGB75" s="684"/>
      <c r="EGC75" s="684"/>
      <c r="EGD75" s="684"/>
      <c r="EGE75" s="684"/>
      <c r="EGF75" s="684"/>
      <c r="EGG75" s="684"/>
      <c r="EGH75" s="684"/>
      <c r="EGI75" s="684"/>
      <c r="EGJ75" s="684"/>
      <c r="EGK75" s="684"/>
      <c r="EGL75" s="684"/>
      <c r="EGM75" s="684"/>
      <c r="EGN75" s="684"/>
      <c r="EGO75" s="684"/>
      <c r="EGP75" s="684"/>
      <c r="EGQ75" s="684"/>
      <c r="EGR75" s="684"/>
      <c r="EGS75" s="684"/>
      <c r="EGT75" s="684"/>
      <c r="EGU75" s="684"/>
      <c r="EGV75" s="684"/>
      <c r="EGW75" s="684"/>
      <c r="EGX75" s="684"/>
      <c r="EGY75" s="684"/>
      <c r="EGZ75" s="684"/>
      <c r="EHA75" s="684"/>
      <c r="EHB75" s="684"/>
      <c r="EHC75" s="684"/>
      <c r="EHD75" s="684"/>
      <c r="EHE75" s="684"/>
      <c r="EHF75" s="684"/>
      <c r="EHG75" s="684"/>
      <c r="EHH75" s="684"/>
      <c r="EHI75" s="684"/>
      <c r="EHJ75" s="684"/>
      <c r="EHK75" s="684"/>
      <c r="EHL75" s="684"/>
      <c r="EHM75" s="684"/>
      <c r="EHN75" s="684"/>
      <c r="EHO75" s="684"/>
      <c r="EHP75" s="684"/>
      <c r="EHQ75" s="684"/>
      <c r="EHR75" s="684"/>
      <c r="EHS75" s="684"/>
      <c r="EHT75" s="684"/>
      <c r="EHU75" s="684"/>
      <c r="EHV75" s="684"/>
      <c r="EHW75" s="684"/>
      <c r="EHX75" s="684"/>
      <c r="EHY75" s="684"/>
      <c r="EHZ75" s="684"/>
      <c r="EIA75" s="684"/>
      <c r="EIB75" s="684"/>
      <c r="EIC75" s="684"/>
      <c r="EID75" s="684"/>
      <c r="EIE75" s="684"/>
      <c r="EIF75" s="684"/>
      <c r="EIG75" s="684"/>
      <c r="EIH75" s="684"/>
      <c r="EII75" s="684"/>
      <c r="EIJ75" s="684"/>
      <c r="EIK75" s="684"/>
      <c r="EIL75" s="684"/>
      <c r="EIM75" s="684"/>
      <c r="EIN75" s="684"/>
      <c r="EIO75" s="684"/>
      <c r="EIP75" s="684"/>
      <c r="EIQ75" s="684"/>
      <c r="EIR75" s="684"/>
      <c r="EIS75" s="684"/>
      <c r="EIT75" s="684"/>
      <c r="EIU75" s="684"/>
      <c r="EIV75" s="684"/>
      <c r="EIW75" s="684"/>
      <c r="EIX75" s="684"/>
      <c r="EIY75" s="684"/>
      <c r="EIZ75" s="684"/>
      <c r="EJA75" s="684"/>
      <c r="EJB75" s="684"/>
      <c r="EJC75" s="684"/>
      <c r="EJD75" s="684"/>
      <c r="EJE75" s="684"/>
      <c r="EJF75" s="684"/>
      <c r="EJG75" s="684"/>
      <c r="EJH75" s="684"/>
      <c r="EJI75" s="684"/>
      <c r="EJJ75" s="684"/>
      <c r="EJK75" s="684"/>
      <c r="EJL75" s="684"/>
      <c r="EJM75" s="684"/>
      <c r="EJN75" s="684"/>
      <c r="EJO75" s="684"/>
      <c r="EJP75" s="684"/>
      <c r="EJQ75" s="684"/>
      <c r="EJR75" s="684"/>
      <c r="EJS75" s="684"/>
      <c r="EJT75" s="684"/>
      <c r="EJU75" s="684"/>
      <c r="EJV75" s="684"/>
      <c r="EJW75" s="684"/>
      <c r="EJX75" s="684"/>
      <c r="EJY75" s="684"/>
      <c r="EJZ75" s="684"/>
      <c r="EKA75" s="684"/>
      <c r="EKB75" s="684"/>
      <c r="EKC75" s="684"/>
      <c r="EKD75" s="684"/>
      <c r="EKE75" s="684"/>
      <c r="EKF75" s="684"/>
      <c r="EKG75" s="684"/>
      <c r="EKH75" s="684"/>
      <c r="EKI75" s="684"/>
      <c r="EKJ75" s="684"/>
      <c r="EKK75" s="684"/>
      <c r="EKL75" s="684"/>
      <c r="EKM75" s="684"/>
      <c r="EKN75" s="684"/>
      <c r="EKO75" s="684"/>
      <c r="EKP75" s="684"/>
      <c r="EKQ75" s="684"/>
      <c r="EKR75" s="684"/>
      <c r="EKS75" s="684"/>
      <c r="EKT75" s="684"/>
      <c r="EKU75" s="684"/>
      <c r="EKV75" s="684"/>
      <c r="EKW75" s="684"/>
      <c r="EKX75" s="684"/>
      <c r="EKY75" s="684"/>
      <c r="EKZ75" s="684"/>
      <c r="ELA75" s="684"/>
      <c r="ELB75" s="684"/>
      <c r="ELC75" s="684"/>
      <c r="ELD75" s="684"/>
      <c r="ELE75" s="684"/>
      <c r="ELF75" s="684"/>
      <c r="ELG75" s="684"/>
      <c r="ELH75" s="684"/>
      <c r="ELI75" s="684"/>
      <c r="ELJ75" s="684"/>
      <c r="ELK75" s="684"/>
      <c r="ELL75" s="684"/>
      <c r="ELM75" s="684"/>
      <c r="ELN75" s="684"/>
      <c r="ELO75" s="684"/>
      <c r="ELP75" s="684"/>
      <c r="ELQ75" s="684"/>
      <c r="ELR75" s="684"/>
      <c r="ELS75" s="684"/>
      <c r="ELT75" s="684"/>
      <c r="ELU75" s="684"/>
      <c r="ELV75" s="684"/>
      <c r="ELW75" s="684"/>
      <c r="ELX75" s="684"/>
      <c r="ELY75" s="684"/>
      <c r="ELZ75" s="684"/>
      <c r="EMA75" s="684"/>
      <c r="EMB75" s="684"/>
      <c r="EMC75" s="684"/>
      <c r="EMD75" s="684"/>
      <c r="EME75" s="684"/>
      <c r="EMF75" s="684"/>
      <c r="EMG75" s="684"/>
      <c r="EMH75" s="684"/>
      <c r="EMI75" s="684"/>
      <c r="EMJ75" s="684"/>
      <c r="EMK75" s="684"/>
      <c r="EML75" s="684"/>
      <c r="EMM75" s="684"/>
      <c r="EMN75" s="684"/>
      <c r="EMO75" s="684"/>
      <c r="EMP75" s="684"/>
      <c r="EMQ75" s="684"/>
      <c r="EMR75" s="684"/>
      <c r="EMS75" s="684"/>
      <c r="EMT75" s="684"/>
      <c r="EMU75" s="684"/>
      <c r="EMV75" s="684"/>
      <c r="EMW75" s="684"/>
      <c r="EMX75" s="684"/>
      <c r="EMY75" s="684"/>
      <c r="EMZ75" s="684"/>
      <c r="ENA75" s="684"/>
      <c r="ENB75" s="684"/>
      <c r="ENC75" s="684"/>
      <c r="END75" s="684"/>
      <c r="ENE75" s="684"/>
      <c r="ENF75" s="684"/>
      <c r="ENG75" s="684"/>
      <c r="ENH75" s="684"/>
      <c r="ENI75" s="684"/>
      <c r="ENJ75" s="684"/>
      <c r="ENK75" s="684"/>
      <c r="ENL75" s="684"/>
      <c r="ENM75" s="684"/>
      <c r="ENN75" s="684"/>
      <c r="ENO75" s="684"/>
      <c r="ENP75" s="684"/>
      <c r="ENQ75" s="684"/>
      <c r="ENR75" s="684"/>
      <c r="ENS75" s="684"/>
      <c r="ENT75" s="684"/>
      <c r="ENU75" s="684"/>
      <c r="ENV75" s="684"/>
      <c r="ENW75" s="684"/>
      <c r="ENX75" s="684"/>
      <c r="ENY75" s="684"/>
      <c r="ENZ75" s="684"/>
      <c r="EOA75" s="684"/>
      <c r="EOB75" s="684"/>
      <c r="EOC75" s="684"/>
      <c r="EOD75" s="684"/>
      <c r="EOE75" s="684"/>
      <c r="EOF75" s="684"/>
      <c r="EOG75" s="684"/>
      <c r="EOH75" s="684"/>
      <c r="EOI75" s="684"/>
      <c r="EOJ75" s="684"/>
      <c r="EOK75" s="684"/>
      <c r="EOL75" s="684"/>
      <c r="EOM75" s="684"/>
      <c r="EON75" s="684"/>
      <c r="EOO75" s="684"/>
      <c r="EOP75" s="684"/>
      <c r="EOQ75" s="684"/>
      <c r="EOR75" s="684"/>
      <c r="EOS75" s="684"/>
      <c r="EOT75" s="684"/>
      <c r="EOU75" s="684"/>
      <c r="EOV75" s="684"/>
      <c r="EOW75" s="684"/>
      <c r="EOX75" s="684"/>
      <c r="EOY75" s="684"/>
      <c r="EOZ75" s="684"/>
      <c r="EPA75" s="684"/>
      <c r="EPB75" s="684"/>
      <c r="EPC75" s="684"/>
      <c r="EPD75" s="684"/>
      <c r="EPE75" s="684"/>
      <c r="EPF75" s="684"/>
      <c r="EPG75" s="684"/>
      <c r="EPH75" s="684"/>
      <c r="EPI75" s="684"/>
      <c r="EPJ75" s="684"/>
      <c r="EPK75" s="684"/>
      <c r="EPL75" s="684"/>
      <c r="EPM75" s="684"/>
      <c r="EPN75" s="684"/>
      <c r="EPO75" s="684"/>
      <c r="EPP75" s="684"/>
      <c r="EPQ75" s="684"/>
      <c r="EPR75" s="684"/>
      <c r="EPS75" s="684"/>
      <c r="EPT75" s="684"/>
      <c r="EPU75" s="684"/>
      <c r="EPV75" s="684"/>
      <c r="EPW75" s="684"/>
      <c r="EPX75" s="684"/>
      <c r="EPY75" s="684"/>
      <c r="EPZ75" s="684"/>
      <c r="EQA75" s="684"/>
      <c r="EQB75" s="684"/>
      <c r="EQC75" s="684"/>
      <c r="EQD75" s="684"/>
      <c r="EQE75" s="684"/>
      <c r="EQF75" s="684"/>
      <c r="EQG75" s="684"/>
      <c r="EQH75" s="684"/>
      <c r="EQI75" s="684"/>
      <c r="EQJ75" s="684"/>
      <c r="EQK75" s="684"/>
      <c r="EQL75" s="684"/>
      <c r="EQM75" s="684"/>
      <c r="EQN75" s="684"/>
      <c r="EQO75" s="684"/>
      <c r="EQP75" s="684"/>
      <c r="EQQ75" s="684"/>
      <c r="EQR75" s="684"/>
      <c r="EQS75" s="684"/>
      <c r="EQT75" s="684"/>
      <c r="EQU75" s="684"/>
      <c r="EQV75" s="684"/>
      <c r="EQW75" s="684"/>
      <c r="EQX75" s="684"/>
      <c r="EQY75" s="684"/>
      <c r="EQZ75" s="684"/>
      <c r="ERA75" s="684"/>
      <c r="ERB75" s="684"/>
      <c r="ERC75" s="684"/>
      <c r="ERD75" s="684"/>
      <c r="ERE75" s="684"/>
      <c r="ERF75" s="684"/>
      <c r="ERG75" s="684"/>
      <c r="ERH75" s="684"/>
      <c r="ERI75" s="684"/>
      <c r="ERJ75" s="684"/>
      <c r="ERK75" s="684"/>
      <c r="ERL75" s="684"/>
      <c r="ERM75" s="684"/>
      <c r="ERN75" s="684"/>
      <c r="ERO75" s="684"/>
      <c r="ERP75" s="684"/>
      <c r="ERQ75" s="684"/>
      <c r="ERR75" s="684"/>
      <c r="ERS75" s="684"/>
      <c r="ERT75" s="684"/>
      <c r="ERU75" s="684"/>
      <c r="ERV75" s="684"/>
      <c r="ERW75" s="684"/>
      <c r="ERX75" s="684"/>
      <c r="ERY75" s="684"/>
      <c r="ERZ75" s="684"/>
      <c r="ESA75" s="684"/>
      <c r="ESB75" s="684"/>
      <c r="ESC75" s="684"/>
      <c r="ESD75" s="684"/>
      <c r="ESE75" s="684"/>
      <c r="ESF75" s="684"/>
      <c r="ESG75" s="684"/>
      <c r="ESH75" s="684"/>
      <c r="ESI75" s="684"/>
      <c r="ESJ75" s="684"/>
      <c r="ESK75" s="684"/>
      <c r="ESL75" s="684"/>
      <c r="ESM75" s="684"/>
      <c r="ESN75" s="684"/>
      <c r="ESO75" s="684"/>
      <c r="ESP75" s="684"/>
      <c r="ESQ75" s="684"/>
      <c r="ESR75" s="684"/>
      <c r="ESS75" s="684"/>
      <c r="EST75" s="684"/>
      <c r="ESU75" s="684"/>
      <c r="ESV75" s="684"/>
      <c r="ESW75" s="684"/>
      <c r="ESX75" s="684"/>
      <c r="ESY75" s="684"/>
      <c r="ESZ75" s="684"/>
      <c r="ETA75" s="684"/>
      <c r="ETB75" s="684"/>
      <c r="ETC75" s="684"/>
      <c r="ETD75" s="684"/>
      <c r="ETE75" s="684"/>
      <c r="ETF75" s="684"/>
      <c r="ETG75" s="684"/>
      <c r="ETH75" s="684"/>
      <c r="ETI75" s="684"/>
      <c r="ETJ75" s="684"/>
      <c r="ETK75" s="684"/>
      <c r="ETL75" s="684"/>
      <c r="ETM75" s="684"/>
      <c r="ETN75" s="684"/>
      <c r="ETO75" s="684"/>
      <c r="ETP75" s="684"/>
      <c r="ETQ75" s="684"/>
      <c r="ETR75" s="684"/>
      <c r="ETS75" s="684"/>
      <c r="ETT75" s="684"/>
      <c r="ETU75" s="684"/>
      <c r="ETV75" s="684"/>
      <c r="ETW75" s="684"/>
      <c r="ETX75" s="684"/>
      <c r="ETY75" s="684"/>
      <c r="ETZ75" s="684"/>
      <c r="EUA75" s="684"/>
      <c r="EUB75" s="684"/>
      <c r="EUC75" s="684"/>
      <c r="EUD75" s="684"/>
      <c r="EUE75" s="684"/>
      <c r="EUF75" s="684"/>
      <c r="EUG75" s="684"/>
      <c r="EUH75" s="684"/>
      <c r="EUI75" s="684"/>
      <c r="EUJ75" s="684"/>
      <c r="EUK75" s="684"/>
      <c r="EUL75" s="684"/>
      <c r="EUM75" s="684"/>
      <c r="EUN75" s="684"/>
      <c r="EUO75" s="684"/>
      <c r="EUP75" s="684"/>
      <c r="EUQ75" s="684"/>
      <c r="EUR75" s="684"/>
      <c r="EUS75" s="684"/>
      <c r="EUT75" s="684"/>
      <c r="EUU75" s="684"/>
      <c r="EUV75" s="684"/>
      <c r="EUW75" s="684"/>
      <c r="EUX75" s="684"/>
      <c r="EUY75" s="684"/>
      <c r="EUZ75" s="684"/>
      <c r="EVA75" s="684"/>
      <c r="EVB75" s="684"/>
      <c r="EVC75" s="684"/>
      <c r="EVD75" s="684"/>
      <c r="EVE75" s="684"/>
      <c r="EVF75" s="684"/>
      <c r="EVG75" s="684"/>
      <c r="EVH75" s="684"/>
      <c r="EVI75" s="684"/>
      <c r="EVJ75" s="684"/>
      <c r="EVK75" s="684"/>
      <c r="EVL75" s="684"/>
      <c r="EVM75" s="684"/>
      <c r="EVN75" s="684"/>
      <c r="EVO75" s="684"/>
      <c r="EVP75" s="684"/>
      <c r="EVQ75" s="684"/>
      <c r="EVR75" s="684"/>
      <c r="EVS75" s="684"/>
      <c r="EVT75" s="684"/>
      <c r="EVU75" s="684"/>
      <c r="EVV75" s="684"/>
      <c r="EVW75" s="684"/>
      <c r="EVX75" s="684"/>
      <c r="EVY75" s="684"/>
      <c r="EVZ75" s="684"/>
      <c r="EWA75" s="684"/>
      <c r="EWB75" s="684"/>
      <c r="EWC75" s="684"/>
      <c r="EWD75" s="684"/>
      <c r="EWE75" s="684"/>
      <c r="EWF75" s="684"/>
      <c r="EWG75" s="684"/>
      <c r="EWH75" s="684"/>
      <c r="EWI75" s="684"/>
      <c r="EWJ75" s="684"/>
      <c r="EWK75" s="684"/>
      <c r="EWL75" s="684"/>
      <c r="EWM75" s="684"/>
      <c r="EWN75" s="684"/>
      <c r="EWO75" s="684"/>
      <c r="EWP75" s="684"/>
      <c r="EWQ75" s="684"/>
      <c r="EWR75" s="684"/>
      <c r="EWS75" s="684"/>
      <c r="EWT75" s="684"/>
      <c r="EWU75" s="684"/>
      <c r="EWV75" s="684"/>
      <c r="EWW75" s="684"/>
      <c r="EWX75" s="684"/>
      <c r="EWY75" s="684"/>
      <c r="EWZ75" s="684"/>
      <c r="EXA75" s="684"/>
      <c r="EXB75" s="684"/>
      <c r="EXC75" s="684"/>
      <c r="EXD75" s="684"/>
      <c r="EXE75" s="684"/>
      <c r="EXF75" s="684"/>
      <c r="EXG75" s="684"/>
      <c r="EXH75" s="684"/>
      <c r="EXI75" s="684"/>
      <c r="EXJ75" s="684"/>
      <c r="EXK75" s="684"/>
      <c r="EXL75" s="684"/>
      <c r="EXM75" s="684"/>
      <c r="EXN75" s="684"/>
      <c r="EXO75" s="684"/>
      <c r="EXP75" s="684"/>
      <c r="EXQ75" s="684"/>
      <c r="EXR75" s="684"/>
      <c r="EXS75" s="684"/>
      <c r="EXT75" s="684"/>
      <c r="EXU75" s="684"/>
      <c r="EXV75" s="684"/>
      <c r="EXW75" s="684"/>
      <c r="EXX75" s="684"/>
      <c r="EXY75" s="684"/>
      <c r="EXZ75" s="684"/>
      <c r="EYA75" s="684"/>
      <c r="EYB75" s="684"/>
      <c r="EYC75" s="684"/>
      <c r="EYD75" s="684"/>
      <c r="EYE75" s="684"/>
      <c r="EYF75" s="684"/>
      <c r="EYG75" s="684"/>
      <c r="EYH75" s="684"/>
      <c r="EYI75" s="684"/>
      <c r="EYJ75" s="684"/>
      <c r="EYK75" s="684"/>
      <c r="EYL75" s="684"/>
      <c r="EYM75" s="684"/>
      <c r="EYN75" s="684"/>
      <c r="EYO75" s="684"/>
      <c r="EYP75" s="684"/>
      <c r="EYQ75" s="684"/>
      <c r="EYR75" s="684"/>
      <c r="EYS75" s="684"/>
      <c r="EYT75" s="684"/>
      <c r="EYU75" s="684"/>
      <c r="EYV75" s="684"/>
      <c r="EYW75" s="684"/>
      <c r="EYX75" s="684"/>
      <c r="EYY75" s="684"/>
      <c r="EYZ75" s="684"/>
      <c r="EZA75" s="684"/>
      <c r="EZB75" s="684"/>
      <c r="EZC75" s="684"/>
      <c r="EZD75" s="684"/>
      <c r="EZE75" s="684"/>
      <c r="EZF75" s="684"/>
      <c r="EZG75" s="684"/>
      <c r="EZH75" s="684"/>
      <c r="EZI75" s="684"/>
      <c r="EZJ75" s="684"/>
      <c r="EZK75" s="684"/>
      <c r="EZL75" s="684"/>
      <c r="EZM75" s="684"/>
      <c r="EZN75" s="684"/>
      <c r="EZO75" s="684"/>
      <c r="EZP75" s="684"/>
      <c r="EZQ75" s="684"/>
      <c r="EZR75" s="684"/>
      <c r="EZS75" s="684"/>
      <c r="EZT75" s="684"/>
      <c r="EZU75" s="684"/>
      <c r="EZV75" s="684"/>
      <c r="EZW75" s="684"/>
      <c r="EZX75" s="684"/>
      <c r="EZY75" s="684"/>
      <c r="EZZ75" s="684"/>
      <c r="FAA75" s="684"/>
      <c r="FAB75" s="684"/>
      <c r="FAC75" s="684"/>
      <c r="FAD75" s="684"/>
      <c r="FAE75" s="684"/>
      <c r="FAF75" s="684"/>
      <c r="FAG75" s="684"/>
      <c r="FAH75" s="684"/>
      <c r="FAI75" s="684"/>
      <c r="FAJ75" s="684"/>
      <c r="FAK75" s="684"/>
      <c r="FAL75" s="684"/>
      <c r="FAM75" s="684"/>
      <c r="FAN75" s="684"/>
      <c r="FAO75" s="684"/>
      <c r="FAP75" s="684"/>
      <c r="FAQ75" s="684"/>
      <c r="FAR75" s="684"/>
      <c r="FAS75" s="684"/>
      <c r="FAT75" s="684"/>
      <c r="FAU75" s="684"/>
      <c r="FAV75" s="684"/>
      <c r="FAW75" s="684"/>
      <c r="FAX75" s="684"/>
      <c r="FAY75" s="684"/>
      <c r="FAZ75" s="684"/>
      <c r="FBA75" s="684"/>
      <c r="FBB75" s="684"/>
      <c r="FBC75" s="684"/>
      <c r="FBD75" s="684"/>
      <c r="FBE75" s="684"/>
      <c r="FBF75" s="684"/>
      <c r="FBG75" s="684"/>
      <c r="FBH75" s="684"/>
      <c r="FBI75" s="684"/>
      <c r="FBJ75" s="684"/>
      <c r="FBK75" s="684"/>
      <c r="FBL75" s="684"/>
      <c r="FBM75" s="684"/>
      <c r="FBN75" s="684"/>
      <c r="FBO75" s="684"/>
      <c r="FBP75" s="684"/>
      <c r="FBQ75" s="684"/>
      <c r="FBR75" s="684"/>
      <c r="FBS75" s="684"/>
      <c r="FBT75" s="684"/>
      <c r="FBU75" s="684"/>
      <c r="FBV75" s="684"/>
      <c r="FBW75" s="684"/>
      <c r="FBX75" s="684"/>
      <c r="FBY75" s="684"/>
      <c r="FBZ75" s="684"/>
      <c r="FCA75" s="684"/>
      <c r="FCB75" s="684"/>
      <c r="FCC75" s="684"/>
      <c r="FCD75" s="684"/>
      <c r="FCE75" s="684"/>
      <c r="FCF75" s="684"/>
      <c r="FCG75" s="684"/>
      <c r="FCH75" s="684"/>
      <c r="FCI75" s="684"/>
      <c r="FCJ75" s="684"/>
      <c r="FCK75" s="684"/>
      <c r="FCL75" s="684"/>
      <c r="FCM75" s="684"/>
      <c r="FCN75" s="684"/>
      <c r="FCO75" s="684"/>
      <c r="FCP75" s="684"/>
      <c r="FCQ75" s="684"/>
      <c r="FCR75" s="684"/>
      <c r="FCS75" s="684"/>
      <c r="FCT75" s="684"/>
      <c r="FCU75" s="684"/>
      <c r="FCV75" s="684"/>
      <c r="FCW75" s="684"/>
      <c r="FCX75" s="684"/>
      <c r="FCY75" s="684"/>
      <c r="FCZ75" s="684"/>
      <c r="FDA75" s="684"/>
      <c r="FDB75" s="684"/>
      <c r="FDC75" s="684"/>
      <c r="FDD75" s="684"/>
      <c r="FDE75" s="684"/>
      <c r="FDF75" s="684"/>
      <c r="FDG75" s="684"/>
      <c r="FDH75" s="684"/>
      <c r="FDI75" s="684"/>
      <c r="FDJ75" s="684"/>
      <c r="FDK75" s="684"/>
      <c r="FDL75" s="684"/>
      <c r="FDM75" s="684"/>
      <c r="FDN75" s="684"/>
      <c r="FDO75" s="684"/>
      <c r="FDP75" s="684"/>
      <c r="FDQ75" s="684"/>
      <c r="FDR75" s="684"/>
      <c r="FDS75" s="684"/>
      <c r="FDT75" s="684"/>
      <c r="FDU75" s="684"/>
      <c r="FDV75" s="684"/>
      <c r="FDW75" s="684"/>
      <c r="FDX75" s="684"/>
      <c r="FDY75" s="684"/>
      <c r="FDZ75" s="684"/>
      <c r="FEA75" s="684"/>
      <c r="FEB75" s="684"/>
      <c r="FEC75" s="684"/>
      <c r="FED75" s="684"/>
      <c r="FEE75" s="684"/>
      <c r="FEF75" s="684"/>
      <c r="FEG75" s="684"/>
      <c r="FEH75" s="684"/>
      <c r="FEI75" s="684"/>
      <c r="FEJ75" s="684"/>
      <c r="FEK75" s="684"/>
      <c r="FEL75" s="684"/>
      <c r="FEM75" s="684"/>
      <c r="FEN75" s="684"/>
      <c r="FEO75" s="684"/>
      <c r="FEP75" s="684"/>
      <c r="FEQ75" s="684"/>
      <c r="FER75" s="684"/>
      <c r="FES75" s="684"/>
      <c r="FET75" s="684"/>
      <c r="FEU75" s="684"/>
      <c r="FEV75" s="684"/>
      <c r="FEW75" s="684"/>
      <c r="FEX75" s="684"/>
      <c r="FEY75" s="684"/>
      <c r="FEZ75" s="684"/>
      <c r="FFA75" s="684"/>
      <c r="FFB75" s="684"/>
      <c r="FFC75" s="684"/>
      <c r="FFD75" s="684"/>
      <c r="FFE75" s="684"/>
      <c r="FFF75" s="684"/>
      <c r="FFG75" s="684"/>
      <c r="FFH75" s="684"/>
      <c r="FFI75" s="684"/>
      <c r="FFJ75" s="684"/>
      <c r="FFK75" s="684"/>
      <c r="FFL75" s="684"/>
      <c r="FFM75" s="684"/>
      <c r="FFN75" s="684"/>
      <c r="FFO75" s="684"/>
      <c r="FFP75" s="684"/>
      <c r="FFQ75" s="684"/>
      <c r="FFR75" s="684"/>
      <c r="FFS75" s="684"/>
      <c r="FFT75" s="684"/>
      <c r="FFU75" s="684"/>
      <c r="FFV75" s="684"/>
      <c r="FFW75" s="684"/>
      <c r="FFX75" s="684"/>
      <c r="FFY75" s="684"/>
      <c r="FFZ75" s="684"/>
      <c r="FGA75" s="684"/>
      <c r="FGB75" s="684"/>
      <c r="FGC75" s="684"/>
      <c r="FGD75" s="684"/>
      <c r="FGE75" s="684"/>
      <c r="FGF75" s="684"/>
      <c r="FGG75" s="684"/>
      <c r="FGH75" s="684"/>
      <c r="FGI75" s="684"/>
      <c r="FGJ75" s="684"/>
      <c r="FGK75" s="684"/>
      <c r="FGL75" s="684"/>
      <c r="FGM75" s="684"/>
      <c r="FGN75" s="684"/>
      <c r="FGO75" s="684"/>
      <c r="FGP75" s="684"/>
      <c r="FGQ75" s="684"/>
      <c r="FGR75" s="684"/>
      <c r="FGS75" s="684"/>
      <c r="FGT75" s="684"/>
      <c r="FGU75" s="684"/>
      <c r="FGV75" s="684"/>
      <c r="FGW75" s="684"/>
      <c r="FGX75" s="684"/>
      <c r="FGY75" s="684"/>
      <c r="FGZ75" s="684"/>
      <c r="FHA75" s="684"/>
      <c r="FHB75" s="684"/>
      <c r="FHC75" s="684"/>
      <c r="FHD75" s="684"/>
      <c r="FHE75" s="684"/>
      <c r="FHF75" s="684"/>
      <c r="FHG75" s="684"/>
      <c r="FHH75" s="684"/>
      <c r="FHI75" s="684"/>
      <c r="FHJ75" s="684"/>
      <c r="FHK75" s="684"/>
      <c r="FHL75" s="684"/>
      <c r="FHM75" s="684"/>
      <c r="FHN75" s="684"/>
      <c r="FHO75" s="684"/>
      <c r="FHP75" s="684"/>
      <c r="FHQ75" s="684"/>
      <c r="FHR75" s="684"/>
      <c r="FHS75" s="684"/>
      <c r="FHT75" s="684"/>
      <c r="FHU75" s="684"/>
      <c r="FHV75" s="684"/>
      <c r="FHW75" s="684"/>
      <c r="FHX75" s="684"/>
      <c r="FHY75" s="684"/>
      <c r="FHZ75" s="684"/>
      <c r="FIA75" s="684"/>
      <c r="FIB75" s="684"/>
      <c r="FIC75" s="684"/>
      <c r="FID75" s="684"/>
      <c r="FIE75" s="684"/>
      <c r="FIF75" s="684"/>
      <c r="FIG75" s="684"/>
      <c r="FIH75" s="684"/>
      <c r="FII75" s="684"/>
      <c r="FIJ75" s="684"/>
      <c r="FIK75" s="684"/>
      <c r="FIL75" s="684"/>
      <c r="FIM75" s="684"/>
      <c r="FIN75" s="684"/>
      <c r="FIO75" s="684"/>
      <c r="FIP75" s="684"/>
      <c r="FIQ75" s="684"/>
      <c r="FIR75" s="684"/>
      <c r="FIS75" s="684"/>
      <c r="FIT75" s="684"/>
      <c r="FIU75" s="684"/>
      <c r="FIV75" s="684"/>
      <c r="FIW75" s="684"/>
      <c r="FIX75" s="684"/>
      <c r="FIY75" s="684"/>
      <c r="FIZ75" s="684"/>
      <c r="FJA75" s="684"/>
      <c r="FJB75" s="684"/>
      <c r="FJC75" s="684"/>
      <c r="FJD75" s="684"/>
      <c r="FJE75" s="684"/>
      <c r="FJF75" s="684"/>
      <c r="FJG75" s="684"/>
      <c r="FJH75" s="684"/>
      <c r="FJI75" s="684"/>
      <c r="FJJ75" s="684"/>
      <c r="FJK75" s="684"/>
      <c r="FJL75" s="684"/>
      <c r="FJM75" s="684"/>
      <c r="FJN75" s="684"/>
      <c r="FJO75" s="684"/>
      <c r="FJP75" s="684"/>
      <c r="FJQ75" s="684"/>
      <c r="FJR75" s="684"/>
      <c r="FJS75" s="684"/>
      <c r="FJT75" s="684"/>
      <c r="FJU75" s="684"/>
      <c r="FJV75" s="684"/>
      <c r="FJW75" s="684"/>
      <c r="FJX75" s="684"/>
      <c r="FJY75" s="684"/>
      <c r="FJZ75" s="684"/>
      <c r="FKA75" s="684"/>
      <c r="FKB75" s="684"/>
      <c r="FKC75" s="684"/>
      <c r="FKD75" s="684"/>
      <c r="FKE75" s="684"/>
      <c r="FKF75" s="684"/>
      <c r="FKG75" s="684"/>
      <c r="FKH75" s="684"/>
      <c r="FKI75" s="684"/>
      <c r="FKJ75" s="684"/>
      <c r="FKK75" s="684"/>
      <c r="FKL75" s="684"/>
      <c r="FKM75" s="684"/>
      <c r="FKN75" s="684"/>
      <c r="FKO75" s="684"/>
      <c r="FKP75" s="684"/>
      <c r="FKQ75" s="684"/>
      <c r="FKR75" s="684"/>
      <c r="FKS75" s="684"/>
      <c r="FKT75" s="684"/>
      <c r="FKU75" s="684"/>
      <c r="FKV75" s="684"/>
      <c r="FKW75" s="684"/>
      <c r="FKX75" s="684"/>
      <c r="FKY75" s="684"/>
      <c r="FKZ75" s="684"/>
      <c r="FLA75" s="684"/>
      <c r="FLB75" s="684"/>
      <c r="FLC75" s="684"/>
      <c r="FLD75" s="684"/>
      <c r="FLE75" s="684"/>
      <c r="FLF75" s="684"/>
      <c r="FLG75" s="684"/>
      <c r="FLH75" s="684"/>
      <c r="FLI75" s="684"/>
      <c r="FLJ75" s="684"/>
      <c r="FLK75" s="684"/>
      <c r="FLL75" s="684"/>
      <c r="FLM75" s="684"/>
      <c r="FLN75" s="684"/>
      <c r="FLO75" s="684"/>
      <c r="FLP75" s="684"/>
      <c r="FLQ75" s="684"/>
      <c r="FLR75" s="684"/>
      <c r="FLS75" s="684"/>
      <c r="FLT75" s="684"/>
      <c r="FLU75" s="684"/>
      <c r="FLV75" s="684"/>
      <c r="FLW75" s="684"/>
      <c r="FLX75" s="684"/>
      <c r="FLY75" s="684"/>
      <c r="FLZ75" s="684"/>
      <c r="FMA75" s="684"/>
      <c r="FMB75" s="684"/>
      <c r="FMC75" s="684"/>
      <c r="FMD75" s="684"/>
      <c r="FME75" s="684"/>
      <c r="FMF75" s="684"/>
      <c r="FMG75" s="684"/>
      <c r="FMH75" s="684"/>
      <c r="FMI75" s="684"/>
      <c r="FMJ75" s="684"/>
      <c r="FMK75" s="684"/>
      <c r="FML75" s="684"/>
      <c r="FMM75" s="684"/>
      <c r="FMN75" s="684"/>
      <c r="FMO75" s="684"/>
      <c r="FMP75" s="684"/>
      <c r="FMQ75" s="684"/>
      <c r="FMR75" s="684"/>
      <c r="FMS75" s="684"/>
      <c r="FMT75" s="684"/>
      <c r="FMU75" s="684"/>
      <c r="FMV75" s="684"/>
      <c r="FMW75" s="684"/>
      <c r="FMX75" s="684"/>
      <c r="FMY75" s="684"/>
      <c r="FMZ75" s="684"/>
      <c r="FNA75" s="684"/>
      <c r="FNB75" s="684"/>
      <c r="FNC75" s="684"/>
      <c r="FND75" s="684"/>
      <c r="FNE75" s="684"/>
      <c r="FNF75" s="684"/>
      <c r="FNG75" s="684"/>
      <c r="FNH75" s="684"/>
      <c r="FNI75" s="684"/>
      <c r="FNJ75" s="684"/>
      <c r="FNK75" s="684"/>
      <c r="FNL75" s="684"/>
      <c r="FNM75" s="684"/>
      <c r="FNN75" s="684"/>
      <c r="FNO75" s="684"/>
      <c r="FNP75" s="684"/>
      <c r="FNQ75" s="684"/>
      <c r="FNR75" s="684"/>
      <c r="FNS75" s="684"/>
      <c r="FNT75" s="684"/>
      <c r="FNU75" s="684"/>
      <c r="FNV75" s="684"/>
      <c r="FNW75" s="684"/>
      <c r="FNX75" s="684"/>
      <c r="FNY75" s="684"/>
      <c r="FNZ75" s="684"/>
      <c r="FOA75" s="684"/>
      <c r="FOB75" s="684"/>
      <c r="FOC75" s="684"/>
      <c r="FOD75" s="684"/>
      <c r="FOE75" s="684"/>
      <c r="FOF75" s="684"/>
      <c r="FOG75" s="684"/>
      <c r="FOH75" s="684"/>
      <c r="FOI75" s="684"/>
      <c r="FOJ75" s="684"/>
      <c r="FOK75" s="684"/>
      <c r="FOL75" s="684"/>
      <c r="FOM75" s="684"/>
      <c r="FON75" s="684"/>
      <c r="FOO75" s="684"/>
      <c r="FOP75" s="684"/>
      <c r="FOQ75" s="684"/>
      <c r="FOR75" s="684"/>
      <c r="FOS75" s="684"/>
      <c r="FOT75" s="684"/>
      <c r="FOU75" s="684"/>
      <c r="FOV75" s="684"/>
      <c r="FOW75" s="684"/>
      <c r="FOX75" s="684"/>
      <c r="FOY75" s="684"/>
      <c r="FOZ75" s="684"/>
      <c r="FPA75" s="684"/>
      <c r="FPB75" s="684"/>
      <c r="FPC75" s="684"/>
      <c r="FPD75" s="684"/>
      <c r="FPE75" s="684"/>
      <c r="FPF75" s="684"/>
      <c r="FPG75" s="684"/>
      <c r="FPH75" s="684"/>
      <c r="FPI75" s="684"/>
      <c r="FPJ75" s="684"/>
      <c r="FPK75" s="684"/>
      <c r="FPL75" s="684"/>
      <c r="FPM75" s="684"/>
      <c r="FPN75" s="684"/>
      <c r="FPO75" s="684"/>
      <c r="FPP75" s="684"/>
      <c r="FPQ75" s="684"/>
      <c r="FPR75" s="684"/>
      <c r="FPS75" s="684"/>
      <c r="FPT75" s="684"/>
      <c r="FPU75" s="684"/>
      <c r="FPV75" s="684"/>
      <c r="FPW75" s="684"/>
      <c r="FPX75" s="684"/>
      <c r="FPY75" s="684"/>
      <c r="FPZ75" s="684"/>
      <c r="FQA75" s="684"/>
      <c r="FQB75" s="684"/>
      <c r="FQC75" s="684"/>
      <c r="FQD75" s="684"/>
      <c r="FQE75" s="684"/>
      <c r="FQF75" s="684"/>
      <c r="FQG75" s="684"/>
      <c r="FQH75" s="684"/>
      <c r="FQI75" s="684"/>
      <c r="FQJ75" s="684"/>
      <c r="FQK75" s="684"/>
      <c r="FQL75" s="684"/>
      <c r="FQM75" s="684"/>
      <c r="FQN75" s="684"/>
      <c r="FQO75" s="684"/>
      <c r="FQP75" s="684"/>
      <c r="FQQ75" s="684"/>
      <c r="FQR75" s="684"/>
      <c r="FQS75" s="684"/>
      <c r="FQT75" s="684"/>
      <c r="FQU75" s="684"/>
      <c r="FQV75" s="684"/>
      <c r="FQW75" s="684"/>
      <c r="FQX75" s="684"/>
      <c r="FQY75" s="684"/>
      <c r="FQZ75" s="684"/>
      <c r="FRA75" s="684"/>
      <c r="FRB75" s="684"/>
      <c r="FRC75" s="684"/>
      <c r="FRD75" s="684"/>
      <c r="FRE75" s="684"/>
      <c r="FRF75" s="684"/>
      <c r="FRG75" s="684"/>
      <c r="FRH75" s="684"/>
      <c r="FRI75" s="684"/>
      <c r="FRJ75" s="684"/>
      <c r="FRK75" s="684"/>
      <c r="FRL75" s="684"/>
      <c r="FRM75" s="684"/>
      <c r="FRN75" s="684"/>
      <c r="FRO75" s="684"/>
      <c r="FRP75" s="684"/>
      <c r="FRQ75" s="684"/>
      <c r="FRR75" s="684"/>
      <c r="FRS75" s="684"/>
      <c r="FRT75" s="684"/>
      <c r="FRU75" s="684"/>
      <c r="FRV75" s="684"/>
      <c r="FRW75" s="684"/>
      <c r="FRX75" s="684"/>
      <c r="FRY75" s="684"/>
      <c r="FRZ75" s="684"/>
      <c r="FSA75" s="684"/>
      <c r="FSB75" s="684"/>
      <c r="FSC75" s="684"/>
      <c r="FSD75" s="684"/>
      <c r="FSE75" s="684"/>
      <c r="FSF75" s="684"/>
      <c r="FSG75" s="684"/>
      <c r="FSH75" s="684"/>
      <c r="FSI75" s="684"/>
      <c r="FSJ75" s="684"/>
      <c r="FSK75" s="684"/>
      <c r="FSL75" s="684"/>
      <c r="FSM75" s="684"/>
      <c r="FSN75" s="684"/>
      <c r="FSO75" s="684"/>
      <c r="FSP75" s="684"/>
      <c r="FSQ75" s="684"/>
      <c r="FSR75" s="684"/>
      <c r="FSS75" s="684"/>
      <c r="FST75" s="684"/>
      <c r="FSU75" s="684"/>
      <c r="FSV75" s="684"/>
      <c r="FSW75" s="684"/>
      <c r="FSX75" s="684"/>
      <c r="FSY75" s="684"/>
      <c r="FSZ75" s="684"/>
      <c r="FTA75" s="684"/>
      <c r="FTB75" s="684"/>
      <c r="FTC75" s="684"/>
      <c r="FTD75" s="684"/>
      <c r="FTE75" s="684"/>
      <c r="FTF75" s="684"/>
      <c r="FTG75" s="684"/>
      <c r="FTH75" s="684"/>
      <c r="FTI75" s="684"/>
      <c r="FTJ75" s="684"/>
      <c r="FTK75" s="684"/>
      <c r="FTL75" s="684"/>
      <c r="FTM75" s="684"/>
      <c r="FTN75" s="684"/>
      <c r="FTO75" s="684"/>
      <c r="FTP75" s="684"/>
      <c r="FTQ75" s="684"/>
      <c r="FTR75" s="684"/>
      <c r="FTS75" s="684"/>
      <c r="FTT75" s="684"/>
      <c r="FTU75" s="684"/>
      <c r="FTV75" s="684"/>
      <c r="FTW75" s="684"/>
      <c r="FTX75" s="684"/>
      <c r="FTY75" s="684"/>
      <c r="FTZ75" s="684"/>
      <c r="FUA75" s="684"/>
      <c r="FUB75" s="684"/>
      <c r="FUC75" s="684"/>
      <c r="FUD75" s="684"/>
      <c r="FUE75" s="684"/>
      <c r="FUF75" s="684"/>
      <c r="FUG75" s="684"/>
      <c r="FUH75" s="684"/>
      <c r="FUI75" s="684"/>
      <c r="FUJ75" s="684"/>
      <c r="FUK75" s="684"/>
      <c r="FUL75" s="684"/>
      <c r="FUM75" s="684"/>
      <c r="FUN75" s="684"/>
      <c r="FUO75" s="684"/>
      <c r="FUP75" s="684"/>
      <c r="FUQ75" s="684"/>
      <c r="FUR75" s="684"/>
      <c r="FUS75" s="684"/>
      <c r="FUT75" s="684"/>
      <c r="FUU75" s="684"/>
      <c r="FUV75" s="684"/>
      <c r="FUW75" s="684"/>
      <c r="FUX75" s="684"/>
      <c r="FUY75" s="684"/>
      <c r="FUZ75" s="684"/>
      <c r="FVA75" s="684"/>
      <c r="FVB75" s="684"/>
      <c r="FVC75" s="684"/>
      <c r="FVD75" s="684"/>
      <c r="FVE75" s="684"/>
      <c r="FVF75" s="684"/>
      <c r="FVG75" s="684"/>
      <c r="FVH75" s="684"/>
      <c r="FVI75" s="684"/>
      <c r="FVJ75" s="684"/>
      <c r="FVK75" s="684"/>
      <c r="FVL75" s="684"/>
      <c r="FVM75" s="684"/>
      <c r="FVN75" s="684"/>
      <c r="FVO75" s="684"/>
      <c r="FVP75" s="684"/>
      <c r="FVQ75" s="684"/>
      <c r="FVR75" s="684"/>
      <c r="FVS75" s="684"/>
      <c r="FVT75" s="684"/>
      <c r="FVU75" s="684"/>
      <c r="FVV75" s="684"/>
      <c r="FVW75" s="684"/>
      <c r="FVX75" s="684"/>
      <c r="FVY75" s="684"/>
      <c r="FVZ75" s="684"/>
      <c r="FWA75" s="684"/>
      <c r="FWB75" s="684"/>
      <c r="FWC75" s="684"/>
      <c r="FWD75" s="684"/>
      <c r="FWE75" s="684"/>
      <c r="FWF75" s="684"/>
      <c r="FWG75" s="684"/>
      <c r="FWH75" s="684"/>
      <c r="FWI75" s="684"/>
      <c r="FWJ75" s="684"/>
      <c r="FWK75" s="684"/>
      <c r="FWL75" s="684"/>
      <c r="FWM75" s="684"/>
      <c r="FWN75" s="684"/>
      <c r="FWO75" s="684"/>
      <c r="FWP75" s="684"/>
      <c r="FWQ75" s="684"/>
      <c r="FWR75" s="684"/>
      <c r="FWS75" s="684"/>
      <c r="FWT75" s="684"/>
      <c r="FWU75" s="684"/>
      <c r="FWV75" s="684"/>
      <c r="FWW75" s="684"/>
      <c r="FWX75" s="684"/>
      <c r="FWY75" s="684"/>
      <c r="FWZ75" s="684"/>
      <c r="FXA75" s="684"/>
      <c r="FXB75" s="684"/>
      <c r="FXC75" s="684"/>
      <c r="FXD75" s="684"/>
      <c r="FXE75" s="684"/>
      <c r="FXF75" s="684"/>
      <c r="FXG75" s="684"/>
      <c r="FXH75" s="684"/>
      <c r="FXI75" s="684"/>
      <c r="FXJ75" s="684"/>
      <c r="FXK75" s="684"/>
      <c r="FXL75" s="684"/>
      <c r="FXM75" s="684"/>
      <c r="FXN75" s="684"/>
      <c r="FXO75" s="684"/>
      <c r="FXP75" s="684"/>
      <c r="FXQ75" s="684"/>
      <c r="FXR75" s="684"/>
      <c r="FXS75" s="684"/>
      <c r="FXT75" s="684"/>
      <c r="FXU75" s="684"/>
      <c r="FXV75" s="684"/>
      <c r="FXW75" s="684"/>
      <c r="FXX75" s="684"/>
      <c r="FXY75" s="684"/>
      <c r="FXZ75" s="684"/>
      <c r="FYA75" s="684"/>
      <c r="FYB75" s="684"/>
      <c r="FYC75" s="684"/>
      <c r="FYD75" s="684"/>
      <c r="FYE75" s="684"/>
      <c r="FYF75" s="684"/>
      <c r="FYG75" s="684"/>
      <c r="FYH75" s="684"/>
      <c r="FYI75" s="684"/>
      <c r="FYJ75" s="684"/>
      <c r="FYK75" s="684"/>
      <c r="FYL75" s="684"/>
      <c r="FYM75" s="684"/>
      <c r="FYN75" s="684"/>
      <c r="FYO75" s="684"/>
      <c r="FYP75" s="684"/>
      <c r="FYQ75" s="684"/>
      <c r="FYR75" s="684"/>
      <c r="FYS75" s="684"/>
      <c r="FYT75" s="684"/>
      <c r="FYU75" s="684"/>
      <c r="FYV75" s="684"/>
      <c r="FYW75" s="684"/>
      <c r="FYX75" s="684"/>
      <c r="FYY75" s="684"/>
      <c r="FYZ75" s="684"/>
      <c r="FZA75" s="684"/>
      <c r="FZB75" s="684"/>
      <c r="FZC75" s="684"/>
      <c r="FZD75" s="684"/>
      <c r="FZE75" s="684"/>
      <c r="FZF75" s="684"/>
      <c r="FZG75" s="684"/>
      <c r="FZH75" s="684"/>
      <c r="FZI75" s="684"/>
      <c r="FZJ75" s="684"/>
      <c r="FZK75" s="684"/>
      <c r="FZL75" s="684"/>
      <c r="FZM75" s="684"/>
      <c r="FZN75" s="684"/>
      <c r="FZO75" s="684"/>
      <c r="FZP75" s="684"/>
      <c r="FZQ75" s="684"/>
      <c r="FZR75" s="684"/>
      <c r="FZS75" s="684"/>
      <c r="FZT75" s="684"/>
      <c r="FZU75" s="684"/>
      <c r="FZV75" s="684"/>
      <c r="FZW75" s="684"/>
      <c r="FZX75" s="684"/>
      <c r="FZY75" s="684"/>
      <c r="FZZ75" s="684"/>
      <c r="GAA75" s="684"/>
      <c r="GAB75" s="684"/>
      <c r="GAC75" s="684"/>
      <c r="GAD75" s="684"/>
      <c r="GAE75" s="684"/>
      <c r="GAF75" s="684"/>
      <c r="GAG75" s="684"/>
      <c r="GAH75" s="684"/>
      <c r="GAI75" s="684"/>
      <c r="GAJ75" s="684"/>
      <c r="GAK75" s="684"/>
      <c r="GAL75" s="684"/>
      <c r="GAM75" s="684"/>
      <c r="GAN75" s="684"/>
      <c r="GAO75" s="684"/>
      <c r="GAP75" s="684"/>
      <c r="GAQ75" s="684"/>
      <c r="GAR75" s="684"/>
      <c r="GAS75" s="684"/>
      <c r="GAT75" s="684"/>
      <c r="GAU75" s="684"/>
      <c r="GAV75" s="684"/>
      <c r="GAW75" s="684"/>
      <c r="GAX75" s="684"/>
      <c r="GAY75" s="684"/>
      <c r="GAZ75" s="684"/>
      <c r="GBA75" s="684"/>
      <c r="GBB75" s="684"/>
      <c r="GBC75" s="684"/>
      <c r="GBD75" s="684"/>
      <c r="GBE75" s="684"/>
      <c r="GBF75" s="684"/>
      <c r="GBG75" s="684"/>
      <c r="GBH75" s="684"/>
      <c r="GBI75" s="684"/>
      <c r="GBJ75" s="684"/>
      <c r="GBK75" s="684"/>
      <c r="GBL75" s="684"/>
      <c r="GBM75" s="684"/>
      <c r="GBN75" s="684"/>
      <c r="GBO75" s="684"/>
      <c r="GBP75" s="684"/>
      <c r="GBQ75" s="684"/>
      <c r="GBR75" s="684"/>
      <c r="GBS75" s="684"/>
      <c r="GBT75" s="684"/>
      <c r="GBU75" s="684"/>
      <c r="GBV75" s="684"/>
      <c r="GBW75" s="684"/>
      <c r="GBX75" s="684"/>
      <c r="GBY75" s="684"/>
      <c r="GBZ75" s="684"/>
      <c r="GCA75" s="684"/>
      <c r="GCB75" s="684"/>
      <c r="GCC75" s="684"/>
      <c r="GCD75" s="684"/>
      <c r="GCE75" s="684"/>
      <c r="GCF75" s="684"/>
      <c r="GCG75" s="684"/>
      <c r="GCH75" s="684"/>
      <c r="GCI75" s="684"/>
      <c r="GCJ75" s="684"/>
      <c r="GCK75" s="684"/>
      <c r="GCL75" s="684"/>
      <c r="GCM75" s="684"/>
      <c r="GCN75" s="684"/>
      <c r="GCO75" s="684"/>
      <c r="GCP75" s="684"/>
      <c r="GCQ75" s="684"/>
      <c r="GCR75" s="684"/>
      <c r="GCS75" s="684"/>
      <c r="GCT75" s="684"/>
      <c r="GCU75" s="684"/>
      <c r="GCV75" s="684"/>
      <c r="GCW75" s="684"/>
      <c r="GCX75" s="684"/>
      <c r="GCY75" s="684"/>
      <c r="GCZ75" s="684"/>
      <c r="GDA75" s="684"/>
      <c r="GDB75" s="684"/>
      <c r="GDC75" s="684"/>
      <c r="GDD75" s="684"/>
      <c r="GDE75" s="684"/>
      <c r="GDF75" s="684"/>
      <c r="GDG75" s="684"/>
      <c r="GDH75" s="684"/>
      <c r="GDI75" s="684"/>
      <c r="GDJ75" s="684"/>
      <c r="GDK75" s="684"/>
      <c r="GDL75" s="684"/>
      <c r="GDM75" s="684"/>
      <c r="GDN75" s="684"/>
      <c r="GDO75" s="684"/>
      <c r="GDP75" s="684"/>
      <c r="GDQ75" s="684"/>
      <c r="GDR75" s="684"/>
      <c r="GDS75" s="684"/>
      <c r="GDT75" s="684"/>
      <c r="GDU75" s="684"/>
      <c r="GDV75" s="684"/>
      <c r="GDW75" s="684"/>
      <c r="GDX75" s="684"/>
      <c r="GDY75" s="684"/>
      <c r="GDZ75" s="684"/>
      <c r="GEA75" s="684"/>
      <c r="GEB75" s="684"/>
      <c r="GEC75" s="684"/>
      <c r="GED75" s="684"/>
      <c r="GEE75" s="684"/>
      <c r="GEF75" s="684"/>
      <c r="GEG75" s="684"/>
      <c r="GEH75" s="684"/>
      <c r="GEI75" s="684"/>
      <c r="GEJ75" s="684"/>
      <c r="GEK75" s="684"/>
      <c r="GEL75" s="684"/>
      <c r="GEM75" s="684"/>
      <c r="GEN75" s="684"/>
      <c r="GEO75" s="684"/>
      <c r="GEP75" s="684"/>
      <c r="GEQ75" s="684"/>
      <c r="GER75" s="684"/>
      <c r="GES75" s="684"/>
      <c r="GET75" s="684"/>
      <c r="GEU75" s="684"/>
      <c r="GEV75" s="684"/>
      <c r="GEW75" s="684"/>
      <c r="GEX75" s="684"/>
      <c r="GEY75" s="684"/>
      <c r="GEZ75" s="684"/>
      <c r="GFA75" s="684"/>
      <c r="GFB75" s="684"/>
      <c r="GFC75" s="684"/>
      <c r="GFD75" s="684"/>
      <c r="GFE75" s="684"/>
      <c r="GFF75" s="684"/>
      <c r="GFG75" s="684"/>
      <c r="GFH75" s="684"/>
      <c r="GFI75" s="684"/>
      <c r="GFJ75" s="684"/>
      <c r="GFK75" s="684"/>
      <c r="GFL75" s="684"/>
      <c r="GFM75" s="684"/>
      <c r="GFN75" s="684"/>
      <c r="GFO75" s="684"/>
      <c r="GFP75" s="684"/>
      <c r="GFQ75" s="684"/>
      <c r="GFR75" s="684"/>
      <c r="GFS75" s="684"/>
      <c r="GFT75" s="684"/>
      <c r="GFU75" s="684"/>
      <c r="GFV75" s="684"/>
      <c r="GFW75" s="684"/>
      <c r="GFX75" s="684"/>
      <c r="GFY75" s="684"/>
      <c r="GFZ75" s="684"/>
      <c r="GGA75" s="684"/>
      <c r="GGB75" s="684"/>
      <c r="GGC75" s="684"/>
      <c r="GGD75" s="684"/>
      <c r="GGE75" s="684"/>
      <c r="GGF75" s="684"/>
      <c r="GGG75" s="684"/>
      <c r="GGH75" s="684"/>
      <c r="GGI75" s="684"/>
      <c r="GGJ75" s="684"/>
      <c r="GGK75" s="684"/>
      <c r="GGL75" s="684"/>
      <c r="GGM75" s="684"/>
      <c r="GGN75" s="684"/>
      <c r="GGO75" s="684"/>
      <c r="GGP75" s="684"/>
      <c r="GGQ75" s="684"/>
      <c r="GGR75" s="684"/>
      <c r="GGS75" s="684"/>
      <c r="GGT75" s="684"/>
      <c r="GGU75" s="684"/>
      <c r="GGV75" s="684"/>
      <c r="GGW75" s="684"/>
      <c r="GGX75" s="684"/>
      <c r="GGY75" s="684"/>
      <c r="GGZ75" s="684"/>
      <c r="GHA75" s="684"/>
      <c r="GHB75" s="684"/>
      <c r="GHC75" s="684"/>
      <c r="GHD75" s="684"/>
      <c r="GHE75" s="684"/>
      <c r="GHF75" s="684"/>
      <c r="GHG75" s="684"/>
      <c r="GHH75" s="684"/>
      <c r="GHI75" s="684"/>
      <c r="GHJ75" s="684"/>
      <c r="GHK75" s="684"/>
      <c r="GHL75" s="684"/>
      <c r="GHM75" s="684"/>
      <c r="GHN75" s="684"/>
      <c r="GHO75" s="684"/>
      <c r="GHP75" s="684"/>
      <c r="GHQ75" s="684"/>
      <c r="GHR75" s="684"/>
      <c r="GHS75" s="684"/>
      <c r="GHT75" s="684"/>
      <c r="GHU75" s="684"/>
      <c r="GHV75" s="684"/>
      <c r="GHW75" s="684"/>
      <c r="GHX75" s="684"/>
      <c r="GHY75" s="684"/>
      <c r="GHZ75" s="684"/>
      <c r="GIA75" s="684"/>
      <c r="GIB75" s="684"/>
      <c r="GIC75" s="684"/>
      <c r="GID75" s="684"/>
      <c r="GIE75" s="684"/>
      <c r="GIF75" s="684"/>
      <c r="GIG75" s="684"/>
      <c r="GIH75" s="684"/>
      <c r="GII75" s="684"/>
      <c r="GIJ75" s="684"/>
      <c r="GIK75" s="684"/>
      <c r="GIL75" s="684"/>
      <c r="GIM75" s="684"/>
      <c r="GIN75" s="684"/>
      <c r="GIO75" s="684"/>
      <c r="GIP75" s="684"/>
      <c r="GIQ75" s="684"/>
      <c r="GIR75" s="684"/>
      <c r="GIS75" s="684"/>
      <c r="GIT75" s="684"/>
      <c r="GIU75" s="684"/>
      <c r="GIV75" s="684"/>
      <c r="GIW75" s="684"/>
      <c r="GIX75" s="684"/>
      <c r="GIY75" s="684"/>
      <c r="GIZ75" s="684"/>
      <c r="GJA75" s="684"/>
      <c r="GJB75" s="684"/>
      <c r="GJC75" s="684"/>
      <c r="GJD75" s="684"/>
      <c r="GJE75" s="684"/>
      <c r="GJF75" s="684"/>
      <c r="GJG75" s="684"/>
      <c r="GJH75" s="684"/>
      <c r="GJI75" s="684"/>
      <c r="GJJ75" s="684"/>
      <c r="GJK75" s="684"/>
      <c r="GJL75" s="684"/>
      <c r="GJM75" s="684"/>
      <c r="GJN75" s="684"/>
      <c r="GJO75" s="684"/>
      <c r="GJP75" s="684"/>
      <c r="GJQ75" s="684"/>
      <c r="GJR75" s="684"/>
      <c r="GJS75" s="684"/>
      <c r="GJT75" s="684"/>
      <c r="GJU75" s="684"/>
      <c r="GJV75" s="684"/>
      <c r="GJW75" s="684"/>
      <c r="GJX75" s="684"/>
      <c r="GJY75" s="684"/>
      <c r="GJZ75" s="684"/>
      <c r="GKA75" s="684"/>
      <c r="GKB75" s="684"/>
      <c r="GKC75" s="684"/>
      <c r="GKD75" s="684"/>
      <c r="GKE75" s="684"/>
      <c r="GKF75" s="684"/>
      <c r="GKG75" s="684"/>
      <c r="GKH75" s="684"/>
      <c r="GKI75" s="684"/>
      <c r="GKJ75" s="684"/>
      <c r="GKK75" s="684"/>
      <c r="GKL75" s="684"/>
      <c r="GKM75" s="684"/>
      <c r="GKN75" s="684"/>
      <c r="GKO75" s="684"/>
      <c r="GKP75" s="684"/>
      <c r="GKQ75" s="684"/>
      <c r="GKR75" s="684"/>
      <c r="GKS75" s="684"/>
      <c r="GKT75" s="684"/>
      <c r="GKU75" s="684"/>
      <c r="GKV75" s="684"/>
      <c r="GKW75" s="684"/>
      <c r="GKX75" s="684"/>
      <c r="GKY75" s="684"/>
      <c r="GKZ75" s="684"/>
      <c r="GLA75" s="684"/>
      <c r="GLB75" s="684"/>
      <c r="GLC75" s="684"/>
      <c r="GLD75" s="684"/>
      <c r="GLE75" s="684"/>
      <c r="GLF75" s="684"/>
      <c r="GLG75" s="684"/>
      <c r="GLH75" s="684"/>
      <c r="GLI75" s="684"/>
      <c r="GLJ75" s="684"/>
      <c r="GLK75" s="684"/>
      <c r="GLL75" s="684"/>
      <c r="GLM75" s="684"/>
      <c r="GLN75" s="684"/>
      <c r="GLO75" s="684"/>
      <c r="GLP75" s="684"/>
      <c r="GLQ75" s="684"/>
      <c r="GLR75" s="684"/>
      <c r="GLS75" s="684"/>
      <c r="GLT75" s="684"/>
      <c r="GLU75" s="684"/>
      <c r="GLV75" s="684"/>
      <c r="GLW75" s="684"/>
      <c r="GLX75" s="684"/>
      <c r="GLY75" s="684"/>
      <c r="GLZ75" s="684"/>
      <c r="GMA75" s="684"/>
      <c r="GMB75" s="684"/>
      <c r="GMC75" s="684"/>
      <c r="GMD75" s="684"/>
      <c r="GME75" s="684"/>
      <c r="GMF75" s="684"/>
      <c r="GMG75" s="684"/>
      <c r="GMH75" s="684"/>
      <c r="GMI75" s="684"/>
      <c r="GMJ75" s="684"/>
      <c r="GMK75" s="684"/>
      <c r="GML75" s="684"/>
      <c r="GMM75" s="684"/>
      <c r="GMN75" s="684"/>
      <c r="GMO75" s="684"/>
      <c r="GMP75" s="684"/>
      <c r="GMQ75" s="684"/>
      <c r="GMR75" s="684"/>
      <c r="GMS75" s="684"/>
      <c r="GMT75" s="684"/>
      <c r="GMU75" s="684"/>
      <c r="GMV75" s="684"/>
      <c r="GMW75" s="684"/>
      <c r="GMX75" s="684"/>
      <c r="GMY75" s="684"/>
      <c r="GMZ75" s="684"/>
      <c r="GNA75" s="684"/>
      <c r="GNB75" s="684"/>
      <c r="GNC75" s="684"/>
      <c r="GND75" s="684"/>
      <c r="GNE75" s="684"/>
      <c r="GNF75" s="684"/>
      <c r="GNG75" s="684"/>
      <c r="GNH75" s="684"/>
      <c r="GNI75" s="684"/>
      <c r="GNJ75" s="684"/>
      <c r="GNK75" s="684"/>
      <c r="GNL75" s="684"/>
      <c r="GNM75" s="684"/>
      <c r="GNN75" s="684"/>
      <c r="GNO75" s="684"/>
      <c r="GNP75" s="684"/>
      <c r="GNQ75" s="684"/>
      <c r="GNR75" s="684"/>
      <c r="GNS75" s="684"/>
      <c r="GNT75" s="684"/>
      <c r="GNU75" s="684"/>
      <c r="GNV75" s="684"/>
      <c r="GNW75" s="684"/>
      <c r="GNX75" s="684"/>
      <c r="GNY75" s="684"/>
      <c r="GNZ75" s="684"/>
      <c r="GOA75" s="684"/>
      <c r="GOB75" s="684"/>
      <c r="GOC75" s="684"/>
      <c r="GOD75" s="684"/>
      <c r="GOE75" s="684"/>
      <c r="GOF75" s="684"/>
      <c r="GOG75" s="684"/>
      <c r="GOH75" s="684"/>
      <c r="GOI75" s="684"/>
      <c r="GOJ75" s="684"/>
      <c r="GOK75" s="684"/>
      <c r="GOL75" s="684"/>
      <c r="GOM75" s="684"/>
      <c r="GON75" s="684"/>
      <c r="GOO75" s="684"/>
      <c r="GOP75" s="684"/>
      <c r="GOQ75" s="684"/>
      <c r="GOR75" s="684"/>
      <c r="GOS75" s="684"/>
      <c r="GOT75" s="684"/>
      <c r="GOU75" s="684"/>
      <c r="GOV75" s="684"/>
      <c r="GOW75" s="684"/>
      <c r="GOX75" s="684"/>
      <c r="GOY75" s="684"/>
      <c r="GOZ75" s="684"/>
      <c r="GPA75" s="684"/>
      <c r="GPB75" s="684"/>
      <c r="GPC75" s="684"/>
      <c r="GPD75" s="684"/>
      <c r="GPE75" s="684"/>
      <c r="GPF75" s="684"/>
      <c r="GPG75" s="684"/>
      <c r="GPH75" s="684"/>
      <c r="GPI75" s="684"/>
      <c r="GPJ75" s="684"/>
      <c r="GPK75" s="684"/>
      <c r="GPL75" s="684"/>
      <c r="GPM75" s="684"/>
      <c r="GPN75" s="684"/>
      <c r="GPO75" s="684"/>
      <c r="GPP75" s="684"/>
      <c r="GPQ75" s="684"/>
      <c r="GPR75" s="684"/>
      <c r="GPS75" s="684"/>
      <c r="GPT75" s="684"/>
      <c r="GPU75" s="684"/>
      <c r="GPV75" s="684"/>
      <c r="GPW75" s="684"/>
      <c r="GPX75" s="684"/>
      <c r="GPY75" s="684"/>
      <c r="GPZ75" s="684"/>
      <c r="GQA75" s="684"/>
      <c r="GQB75" s="684"/>
      <c r="GQC75" s="684"/>
      <c r="GQD75" s="684"/>
      <c r="GQE75" s="684"/>
      <c r="GQF75" s="684"/>
      <c r="GQG75" s="684"/>
      <c r="GQH75" s="684"/>
      <c r="GQI75" s="684"/>
      <c r="GQJ75" s="684"/>
      <c r="GQK75" s="684"/>
      <c r="GQL75" s="684"/>
      <c r="GQM75" s="684"/>
      <c r="GQN75" s="684"/>
      <c r="GQO75" s="684"/>
      <c r="GQP75" s="684"/>
      <c r="GQQ75" s="684"/>
      <c r="GQR75" s="684"/>
      <c r="GQS75" s="684"/>
      <c r="GQT75" s="684"/>
      <c r="GQU75" s="684"/>
      <c r="GQV75" s="684"/>
      <c r="GQW75" s="684"/>
      <c r="GQX75" s="684"/>
      <c r="GQY75" s="684"/>
      <c r="GQZ75" s="684"/>
      <c r="GRA75" s="684"/>
      <c r="GRB75" s="684"/>
      <c r="GRC75" s="684"/>
      <c r="GRD75" s="684"/>
      <c r="GRE75" s="684"/>
      <c r="GRF75" s="684"/>
      <c r="GRG75" s="684"/>
      <c r="GRH75" s="684"/>
      <c r="GRI75" s="684"/>
      <c r="GRJ75" s="684"/>
      <c r="GRK75" s="684"/>
      <c r="GRL75" s="684"/>
      <c r="GRM75" s="684"/>
      <c r="GRN75" s="684"/>
      <c r="GRO75" s="684"/>
      <c r="GRP75" s="684"/>
      <c r="GRQ75" s="684"/>
      <c r="GRR75" s="684"/>
      <c r="GRS75" s="684"/>
      <c r="GRT75" s="684"/>
      <c r="GRU75" s="684"/>
      <c r="GRV75" s="684"/>
      <c r="GRW75" s="684"/>
      <c r="GRX75" s="684"/>
      <c r="GRY75" s="684"/>
      <c r="GRZ75" s="684"/>
      <c r="GSA75" s="684"/>
      <c r="GSB75" s="684"/>
      <c r="GSC75" s="684"/>
      <c r="GSD75" s="684"/>
      <c r="GSE75" s="684"/>
      <c r="GSF75" s="684"/>
      <c r="GSG75" s="684"/>
      <c r="GSH75" s="684"/>
      <c r="GSI75" s="684"/>
      <c r="GSJ75" s="684"/>
      <c r="GSK75" s="684"/>
      <c r="GSL75" s="684"/>
      <c r="GSM75" s="684"/>
      <c r="GSN75" s="684"/>
      <c r="GSO75" s="684"/>
      <c r="GSP75" s="684"/>
      <c r="GSQ75" s="684"/>
      <c r="GSR75" s="684"/>
      <c r="GSS75" s="684"/>
      <c r="GST75" s="684"/>
      <c r="GSU75" s="684"/>
      <c r="GSV75" s="684"/>
      <c r="GSW75" s="684"/>
      <c r="GSX75" s="684"/>
      <c r="GSY75" s="684"/>
      <c r="GSZ75" s="684"/>
      <c r="GTA75" s="684"/>
      <c r="GTB75" s="684"/>
      <c r="GTC75" s="684"/>
      <c r="GTD75" s="684"/>
      <c r="GTE75" s="684"/>
      <c r="GTF75" s="684"/>
      <c r="GTG75" s="684"/>
      <c r="GTH75" s="684"/>
      <c r="GTI75" s="684"/>
      <c r="GTJ75" s="684"/>
      <c r="GTK75" s="684"/>
      <c r="GTL75" s="684"/>
      <c r="GTM75" s="684"/>
      <c r="GTN75" s="684"/>
      <c r="GTO75" s="684"/>
      <c r="GTP75" s="684"/>
      <c r="GTQ75" s="684"/>
      <c r="GTR75" s="684"/>
      <c r="GTS75" s="684"/>
      <c r="GTT75" s="684"/>
      <c r="GTU75" s="684"/>
      <c r="GTV75" s="684"/>
      <c r="GTW75" s="684"/>
      <c r="GTX75" s="684"/>
      <c r="GTY75" s="684"/>
      <c r="GTZ75" s="684"/>
      <c r="GUA75" s="684"/>
      <c r="GUB75" s="684"/>
      <c r="GUC75" s="684"/>
      <c r="GUD75" s="684"/>
      <c r="GUE75" s="684"/>
      <c r="GUF75" s="684"/>
      <c r="GUG75" s="684"/>
      <c r="GUH75" s="684"/>
      <c r="GUI75" s="684"/>
      <c r="GUJ75" s="684"/>
      <c r="GUK75" s="684"/>
      <c r="GUL75" s="684"/>
      <c r="GUM75" s="684"/>
      <c r="GUN75" s="684"/>
      <c r="GUO75" s="684"/>
      <c r="GUP75" s="684"/>
      <c r="GUQ75" s="684"/>
      <c r="GUR75" s="684"/>
      <c r="GUS75" s="684"/>
      <c r="GUT75" s="684"/>
      <c r="GUU75" s="684"/>
      <c r="GUV75" s="684"/>
      <c r="GUW75" s="684"/>
      <c r="GUX75" s="684"/>
      <c r="GUY75" s="684"/>
      <c r="GUZ75" s="684"/>
      <c r="GVA75" s="684"/>
      <c r="GVB75" s="684"/>
      <c r="GVC75" s="684"/>
      <c r="GVD75" s="684"/>
      <c r="GVE75" s="684"/>
      <c r="GVF75" s="684"/>
      <c r="GVG75" s="684"/>
      <c r="GVH75" s="684"/>
      <c r="GVI75" s="684"/>
      <c r="GVJ75" s="684"/>
      <c r="GVK75" s="684"/>
      <c r="GVL75" s="684"/>
      <c r="GVM75" s="684"/>
      <c r="GVN75" s="684"/>
      <c r="GVO75" s="684"/>
      <c r="GVP75" s="684"/>
      <c r="GVQ75" s="684"/>
      <c r="GVR75" s="684"/>
      <c r="GVS75" s="684"/>
      <c r="GVT75" s="684"/>
      <c r="GVU75" s="684"/>
      <c r="GVV75" s="684"/>
      <c r="GVW75" s="684"/>
      <c r="GVX75" s="684"/>
      <c r="GVY75" s="684"/>
      <c r="GVZ75" s="684"/>
      <c r="GWA75" s="684"/>
      <c r="GWB75" s="684"/>
      <c r="GWC75" s="684"/>
      <c r="GWD75" s="684"/>
      <c r="GWE75" s="684"/>
      <c r="GWF75" s="684"/>
      <c r="GWG75" s="684"/>
      <c r="GWH75" s="684"/>
      <c r="GWI75" s="684"/>
      <c r="GWJ75" s="684"/>
      <c r="GWK75" s="684"/>
      <c r="GWL75" s="684"/>
      <c r="GWM75" s="684"/>
      <c r="GWN75" s="684"/>
      <c r="GWO75" s="684"/>
      <c r="GWP75" s="684"/>
      <c r="GWQ75" s="684"/>
      <c r="GWR75" s="684"/>
      <c r="GWS75" s="684"/>
      <c r="GWT75" s="684"/>
      <c r="GWU75" s="684"/>
      <c r="GWV75" s="684"/>
      <c r="GWW75" s="684"/>
      <c r="GWX75" s="684"/>
      <c r="GWY75" s="684"/>
      <c r="GWZ75" s="684"/>
      <c r="GXA75" s="684"/>
      <c r="GXB75" s="684"/>
      <c r="GXC75" s="684"/>
      <c r="GXD75" s="684"/>
      <c r="GXE75" s="684"/>
      <c r="GXF75" s="684"/>
      <c r="GXG75" s="684"/>
      <c r="GXH75" s="684"/>
      <c r="GXI75" s="684"/>
      <c r="GXJ75" s="684"/>
      <c r="GXK75" s="684"/>
      <c r="GXL75" s="684"/>
      <c r="GXM75" s="684"/>
      <c r="GXN75" s="684"/>
      <c r="GXO75" s="684"/>
      <c r="GXP75" s="684"/>
      <c r="GXQ75" s="684"/>
      <c r="GXR75" s="684"/>
      <c r="GXS75" s="684"/>
      <c r="GXT75" s="684"/>
      <c r="GXU75" s="684"/>
      <c r="GXV75" s="684"/>
      <c r="GXW75" s="684"/>
      <c r="GXX75" s="684"/>
      <c r="GXY75" s="684"/>
      <c r="GXZ75" s="684"/>
      <c r="GYA75" s="684"/>
      <c r="GYB75" s="684"/>
      <c r="GYC75" s="684"/>
      <c r="GYD75" s="684"/>
      <c r="GYE75" s="684"/>
      <c r="GYF75" s="684"/>
      <c r="GYG75" s="684"/>
      <c r="GYH75" s="684"/>
      <c r="GYI75" s="684"/>
      <c r="GYJ75" s="684"/>
      <c r="GYK75" s="684"/>
      <c r="GYL75" s="684"/>
      <c r="GYM75" s="684"/>
      <c r="GYN75" s="684"/>
      <c r="GYO75" s="684"/>
      <c r="GYP75" s="684"/>
      <c r="GYQ75" s="684"/>
      <c r="GYR75" s="684"/>
      <c r="GYS75" s="684"/>
      <c r="GYT75" s="684"/>
      <c r="GYU75" s="684"/>
      <c r="GYV75" s="684"/>
      <c r="GYW75" s="684"/>
      <c r="GYX75" s="684"/>
      <c r="GYY75" s="684"/>
      <c r="GYZ75" s="684"/>
      <c r="GZA75" s="684"/>
      <c r="GZB75" s="684"/>
      <c r="GZC75" s="684"/>
      <c r="GZD75" s="684"/>
      <c r="GZE75" s="684"/>
      <c r="GZF75" s="684"/>
      <c r="GZG75" s="684"/>
      <c r="GZH75" s="684"/>
      <c r="GZI75" s="684"/>
      <c r="GZJ75" s="684"/>
      <c r="GZK75" s="684"/>
      <c r="GZL75" s="684"/>
      <c r="GZM75" s="684"/>
      <c r="GZN75" s="684"/>
      <c r="GZO75" s="684"/>
      <c r="GZP75" s="684"/>
      <c r="GZQ75" s="684"/>
      <c r="GZR75" s="684"/>
      <c r="GZS75" s="684"/>
      <c r="GZT75" s="684"/>
      <c r="GZU75" s="684"/>
      <c r="GZV75" s="684"/>
      <c r="GZW75" s="684"/>
      <c r="GZX75" s="684"/>
      <c r="GZY75" s="684"/>
      <c r="GZZ75" s="684"/>
      <c r="HAA75" s="684"/>
      <c r="HAB75" s="684"/>
      <c r="HAC75" s="684"/>
      <c r="HAD75" s="684"/>
      <c r="HAE75" s="684"/>
      <c r="HAF75" s="684"/>
      <c r="HAG75" s="684"/>
      <c r="HAH75" s="684"/>
      <c r="HAI75" s="684"/>
      <c r="HAJ75" s="684"/>
      <c r="HAK75" s="684"/>
      <c r="HAL75" s="684"/>
      <c r="HAM75" s="684"/>
      <c r="HAN75" s="684"/>
      <c r="HAO75" s="684"/>
      <c r="HAP75" s="684"/>
      <c r="HAQ75" s="684"/>
      <c r="HAR75" s="684"/>
      <c r="HAS75" s="684"/>
      <c r="HAT75" s="684"/>
      <c r="HAU75" s="684"/>
      <c r="HAV75" s="684"/>
      <c r="HAW75" s="684"/>
      <c r="HAX75" s="684"/>
      <c r="HAY75" s="684"/>
      <c r="HAZ75" s="684"/>
      <c r="HBA75" s="684"/>
      <c r="HBB75" s="684"/>
      <c r="HBC75" s="684"/>
      <c r="HBD75" s="684"/>
      <c r="HBE75" s="684"/>
      <c r="HBF75" s="684"/>
      <c r="HBG75" s="684"/>
      <c r="HBH75" s="684"/>
      <c r="HBI75" s="684"/>
      <c r="HBJ75" s="684"/>
      <c r="HBK75" s="684"/>
      <c r="HBL75" s="684"/>
      <c r="HBM75" s="684"/>
      <c r="HBN75" s="684"/>
      <c r="HBO75" s="684"/>
      <c r="HBP75" s="684"/>
      <c r="HBQ75" s="684"/>
      <c r="HBR75" s="684"/>
      <c r="HBS75" s="684"/>
      <c r="HBT75" s="684"/>
      <c r="HBU75" s="684"/>
      <c r="HBV75" s="684"/>
      <c r="HBW75" s="684"/>
      <c r="HBX75" s="684"/>
      <c r="HBY75" s="684"/>
      <c r="HBZ75" s="684"/>
      <c r="HCA75" s="684"/>
      <c r="HCB75" s="684"/>
      <c r="HCC75" s="684"/>
      <c r="HCD75" s="684"/>
      <c r="HCE75" s="684"/>
      <c r="HCF75" s="684"/>
      <c r="HCG75" s="684"/>
      <c r="HCH75" s="684"/>
      <c r="HCI75" s="684"/>
      <c r="HCJ75" s="684"/>
      <c r="HCK75" s="684"/>
      <c r="HCL75" s="684"/>
      <c r="HCM75" s="684"/>
      <c r="HCN75" s="684"/>
      <c r="HCO75" s="684"/>
      <c r="HCP75" s="684"/>
      <c r="HCQ75" s="684"/>
      <c r="HCR75" s="684"/>
      <c r="HCS75" s="684"/>
      <c r="HCT75" s="684"/>
      <c r="HCU75" s="684"/>
      <c r="HCV75" s="684"/>
      <c r="HCW75" s="684"/>
      <c r="HCX75" s="684"/>
      <c r="HCY75" s="684"/>
      <c r="HCZ75" s="684"/>
      <c r="HDA75" s="684"/>
      <c r="HDB75" s="684"/>
      <c r="HDC75" s="684"/>
      <c r="HDD75" s="684"/>
      <c r="HDE75" s="684"/>
      <c r="HDF75" s="684"/>
      <c r="HDG75" s="684"/>
      <c r="HDH75" s="684"/>
      <c r="HDI75" s="684"/>
      <c r="HDJ75" s="684"/>
      <c r="HDK75" s="684"/>
      <c r="HDL75" s="684"/>
      <c r="HDM75" s="684"/>
      <c r="HDN75" s="684"/>
      <c r="HDO75" s="684"/>
      <c r="HDP75" s="684"/>
      <c r="HDQ75" s="684"/>
      <c r="HDR75" s="684"/>
      <c r="HDS75" s="684"/>
      <c r="HDT75" s="684"/>
      <c r="HDU75" s="684"/>
      <c r="HDV75" s="684"/>
      <c r="HDW75" s="684"/>
      <c r="HDX75" s="684"/>
      <c r="HDY75" s="684"/>
      <c r="HDZ75" s="684"/>
      <c r="HEA75" s="684"/>
      <c r="HEB75" s="684"/>
      <c r="HEC75" s="684"/>
      <c r="HED75" s="684"/>
      <c r="HEE75" s="684"/>
      <c r="HEF75" s="684"/>
      <c r="HEG75" s="684"/>
      <c r="HEH75" s="684"/>
      <c r="HEI75" s="684"/>
      <c r="HEJ75" s="684"/>
      <c r="HEK75" s="684"/>
      <c r="HEL75" s="684"/>
      <c r="HEM75" s="684"/>
      <c r="HEN75" s="684"/>
      <c r="HEO75" s="684"/>
      <c r="HEP75" s="684"/>
      <c r="HEQ75" s="684"/>
      <c r="HER75" s="684"/>
      <c r="HES75" s="684"/>
      <c r="HET75" s="684"/>
      <c r="HEU75" s="684"/>
      <c r="HEV75" s="684"/>
      <c r="HEW75" s="684"/>
      <c r="HEX75" s="684"/>
      <c r="HEY75" s="684"/>
      <c r="HEZ75" s="684"/>
      <c r="HFA75" s="684"/>
      <c r="HFB75" s="684"/>
      <c r="HFC75" s="684"/>
      <c r="HFD75" s="684"/>
      <c r="HFE75" s="684"/>
      <c r="HFF75" s="684"/>
      <c r="HFG75" s="684"/>
      <c r="HFH75" s="684"/>
      <c r="HFI75" s="684"/>
      <c r="HFJ75" s="684"/>
      <c r="HFK75" s="684"/>
      <c r="HFL75" s="684"/>
      <c r="HFM75" s="684"/>
      <c r="HFN75" s="684"/>
      <c r="HFO75" s="684"/>
      <c r="HFP75" s="684"/>
      <c r="HFQ75" s="684"/>
      <c r="HFR75" s="684"/>
      <c r="HFS75" s="684"/>
      <c r="HFT75" s="684"/>
      <c r="HFU75" s="684"/>
      <c r="HFV75" s="684"/>
      <c r="HFW75" s="684"/>
      <c r="HFX75" s="684"/>
      <c r="HFY75" s="684"/>
      <c r="HFZ75" s="684"/>
      <c r="HGA75" s="684"/>
      <c r="HGB75" s="684"/>
      <c r="HGC75" s="684"/>
      <c r="HGD75" s="684"/>
      <c r="HGE75" s="684"/>
      <c r="HGF75" s="684"/>
      <c r="HGG75" s="684"/>
      <c r="HGH75" s="684"/>
      <c r="HGI75" s="684"/>
      <c r="HGJ75" s="684"/>
      <c r="HGK75" s="684"/>
      <c r="HGL75" s="684"/>
      <c r="HGM75" s="684"/>
      <c r="HGN75" s="684"/>
      <c r="HGO75" s="684"/>
      <c r="HGP75" s="684"/>
      <c r="HGQ75" s="684"/>
      <c r="HGR75" s="684"/>
      <c r="HGS75" s="684"/>
      <c r="HGT75" s="684"/>
      <c r="HGU75" s="684"/>
      <c r="HGV75" s="684"/>
      <c r="HGW75" s="684"/>
      <c r="HGX75" s="684"/>
      <c r="HGY75" s="684"/>
      <c r="HGZ75" s="684"/>
      <c r="HHA75" s="684"/>
      <c r="HHB75" s="684"/>
      <c r="HHC75" s="684"/>
      <c r="HHD75" s="684"/>
      <c r="HHE75" s="684"/>
      <c r="HHF75" s="684"/>
      <c r="HHG75" s="684"/>
      <c r="HHH75" s="684"/>
      <c r="HHI75" s="684"/>
      <c r="HHJ75" s="684"/>
      <c r="HHK75" s="684"/>
      <c r="HHL75" s="684"/>
      <c r="HHM75" s="684"/>
      <c r="HHN75" s="684"/>
      <c r="HHO75" s="684"/>
      <c r="HHP75" s="684"/>
      <c r="HHQ75" s="684"/>
      <c r="HHR75" s="684"/>
      <c r="HHS75" s="684"/>
      <c r="HHT75" s="684"/>
      <c r="HHU75" s="684"/>
      <c r="HHV75" s="684"/>
      <c r="HHW75" s="684"/>
      <c r="HHX75" s="684"/>
      <c r="HHY75" s="684"/>
      <c r="HHZ75" s="684"/>
      <c r="HIA75" s="684"/>
      <c r="HIB75" s="684"/>
      <c r="HIC75" s="684"/>
      <c r="HID75" s="684"/>
      <c r="HIE75" s="684"/>
      <c r="HIF75" s="684"/>
      <c r="HIG75" s="684"/>
      <c r="HIH75" s="684"/>
      <c r="HII75" s="684"/>
      <c r="HIJ75" s="684"/>
      <c r="HIK75" s="684"/>
      <c r="HIL75" s="684"/>
      <c r="HIM75" s="684"/>
      <c r="HIN75" s="684"/>
      <c r="HIO75" s="684"/>
      <c r="HIP75" s="684"/>
      <c r="HIQ75" s="684"/>
      <c r="HIR75" s="684"/>
      <c r="HIS75" s="684"/>
      <c r="HIT75" s="684"/>
      <c r="HIU75" s="684"/>
      <c r="HIV75" s="684"/>
      <c r="HIW75" s="684"/>
      <c r="HIX75" s="684"/>
      <c r="HIY75" s="684"/>
      <c r="HIZ75" s="684"/>
      <c r="HJA75" s="684"/>
      <c r="HJB75" s="684"/>
      <c r="HJC75" s="684"/>
      <c r="HJD75" s="684"/>
      <c r="HJE75" s="684"/>
      <c r="HJF75" s="684"/>
      <c r="HJG75" s="684"/>
      <c r="HJH75" s="684"/>
      <c r="HJI75" s="684"/>
      <c r="HJJ75" s="684"/>
      <c r="HJK75" s="684"/>
      <c r="HJL75" s="684"/>
      <c r="HJM75" s="684"/>
      <c r="HJN75" s="684"/>
      <c r="HJO75" s="684"/>
      <c r="HJP75" s="684"/>
      <c r="HJQ75" s="684"/>
      <c r="HJR75" s="684"/>
      <c r="HJS75" s="684"/>
      <c r="HJT75" s="684"/>
      <c r="HJU75" s="684"/>
      <c r="HJV75" s="684"/>
      <c r="HJW75" s="684"/>
      <c r="HJX75" s="684"/>
      <c r="HJY75" s="684"/>
      <c r="HJZ75" s="684"/>
      <c r="HKA75" s="684"/>
      <c r="HKB75" s="684"/>
      <c r="HKC75" s="684"/>
      <c r="HKD75" s="684"/>
      <c r="HKE75" s="684"/>
      <c r="HKF75" s="684"/>
      <c r="HKG75" s="684"/>
      <c r="HKH75" s="684"/>
      <c r="HKI75" s="684"/>
      <c r="HKJ75" s="684"/>
      <c r="HKK75" s="684"/>
      <c r="HKL75" s="684"/>
      <c r="HKM75" s="684"/>
      <c r="HKN75" s="684"/>
      <c r="HKO75" s="684"/>
      <c r="HKP75" s="684"/>
      <c r="HKQ75" s="684"/>
      <c r="HKR75" s="684"/>
      <c r="HKS75" s="684"/>
      <c r="HKT75" s="684"/>
      <c r="HKU75" s="684"/>
      <c r="HKV75" s="684"/>
      <c r="HKW75" s="684"/>
      <c r="HKX75" s="684"/>
      <c r="HKY75" s="684"/>
      <c r="HKZ75" s="684"/>
      <c r="HLA75" s="684"/>
      <c r="HLB75" s="684"/>
      <c r="HLC75" s="684"/>
      <c r="HLD75" s="684"/>
      <c r="HLE75" s="684"/>
      <c r="HLF75" s="684"/>
      <c r="HLG75" s="684"/>
      <c r="HLH75" s="684"/>
      <c r="HLI75" s="684"/>
      <c r="HLJ75" s="684"/>
      <c r="HLK75" s="684"/>
      <c r="HLL75" s="684"/>
      <c r="HLM75" s="684"/>
      <c r="HLN75" s="684"/>
      <c r="HLO75" s="684"/>
      <c r="HLP75" s="684"/>
      <c r="HLQ75" s="684"/>
      <c r="HLR75" s="684"/>
      <c r="HLS75" s="684"/>
      <c r="HLT75" s="684"/>
      <c r="HLU75" s="684"/>
      <c r="HLV75" s="684"/>
      <c r="HLW75" s="684"/>
      <c r="HLX75" s="684"/>
      <c r="HLY75" s="684"/>
      <c r="HLZ75" s="684"/>
      <c r="HMA75" s="684"/>
      <c r="HMB75" s="684"/>
      <c r="HMC75" s="684"/>
      <c r="HMD75" s="684"/>
      <c r="HME75" s="684"/>
      <c r="HMF75" s="684"/>
      <c r="HMG75" s="684"/>
      <c r="HMH75" s="684"/>
      <c r="HMI75" s="684"/>
      <c r="HMJ75" s="684"/>
      <c r="HMK75" s="684"/>
      <c r="HML75" s="684"/>
      <c r="HMM75" s="684"/>
      <c r="HMN75" s="684"/>
      <c r="HMO75" s="684"/>
      <c r="HMP75" s="684"/>
      <c r="HMQ75" s="684"/>
      <c r="HMR75" s="684"/>
      <c r="HMS75" s="684"/>
      <c r="HMT75" s="684"/>
      <c r="HMU75" s="684"/>
      <c r="HMV75" s="684"/>
      <c r="HMW75" s="684"/>
      <c r="HMX75" s="684"/>
      <c r="HMY75" s="684"/>
      <c r="HMZ75" s="684"/>
      <c r="HNA75" s="684"/>
      <c r="HNB75" s="684"/>
      <c r="HNC75" s="684"/>
      <c r="HND75" s="684"/>
      <c r="HNE75" s="684"/>
      <c r="HNF75" s="684"/>
      <c r="HNG75" s="684"/>
      <c r="HNH75" s="684"/>
      <c r="HNI75" s="684"/>
      <c r="HNJ75" s="684"/>
      <c r="HNK75" s="684"/>
      <c r="HNL75" s="684"/>
      <c r="HNM75" s="684"/>
      <c r="HNN75" s="684"/>
      <c r="HNO75" s="684"/>
      <c r="HNP75" s="684"/>
      <c r="HNQ75" s="684"/>
      <c r="HNR75" s="684"/>
      <c r="HNS75" s="684"/>
      <c r="HNT75" s="684"/>
      <c r="HNU75" s="684"/>
      <c r="HNV75" s="684"/>
      <c r="HNW75" s="684"/>
      <c r="HNX75" s="684"/>
      <c r="HNY75" s="684"/>
      <c r="HNZ75" s="684"/>
      <c r="HOA75" s="684"/>
      <c r="HOB75" s="684"/>
      <c r="HOC75" s="684"/>
      <c r="HOD75" s="684"/>
      <c r="HOE75" s="684"/>
      <c r="HOF75" s="684"/>
      <c r="HOG75" s="684"/>
      <c r="HOH75" s="684"/>
      <c r="HOI75" s="684"/>
      <c r="HOJ75" s="684"/>
      <c r="HOK75" s="684"/>
      <c r="HOL75" s="684"/>
      <c r="HOM75" s="684"/>
      <c r="HON75" s="684"/>
      <c r="HOO75" s="684"/>
      <c r="HOP75" s="684"/>
      <c r="HOQ75" s="684"/>
      <c r="HOR75" s="684"/>
      <c r="HOS75" s="684"/>
      <c r="HOT75" s="684"/>
      <c r="HOU75" s="684"/>
      <c r="HOV75" s="684"/>
      <c r="HOW75" s="684"/>
      <c r="HOX75" s="684"/>
      <c r="HOY75" s="684"/>
      <c r="HOZ75" s="684"/>
      <c r="HPA75" s="684"/>
      <c r="HPB75" s="684"/>
      <c r="HPC75" s="684"/>
      <c r="HPD75" s="684"/>
      <c r="HPE75" s="684"/>
      <c r="HPF75" s="684"/>
      <c r="HPG75" s="684"/>
      <c r="HPH75" s="684"/>
      <c r="HPI75" s="684"/>
      <c r="HPJ75" s="684"/>
      <c r="HPK75" s="684"/>
      <c r="HPL75" s="684"/>
      <c r="HPM75" s="684"/>
      <c r="HPN75" s="684"/>
      <c r="HPO75" s="684"/>
      <c r="HPP75" s="684"/>
      <c r="HPQ75" s="684"/>
      <c r="HPR75" s="684"/>
      <c r="HPS75" s="684"/>
      <c r="HPT75" s="684"/>
      <c r="HPU75" s="684"/>
      <c r="HPV75" s="684"/>
      <c r="HPW75" s="684"/>
      <c r="HPX75" s="684"/>
      <c r="HPY75" s="684"/>
      <c r="HPZ75" s="684"/>
      <c r="HQA75" s="684"/>
      <c r="HQB75" s="684"/>
      <c r="HQC75" s="684"/>
      <c r="HQD75" s="684"/>
      <c r="HQE75" s="684"/>
      <c r="HQF75" s="684"/>
      <c r="HQG75" s="684"/>
      <c r="HQH75" s="684"/>
      <c r="HQI75" s="684"/>
      <c r="HQJ75" s="684"/>
      <c r="HQK75" s="684"/>
      <c r="HQL75" s="684"/>
      <c r="HQM75" s="684"/>
      <c r="HQN75" s="684"/>
      <c r="HQO75" s="684"/>
      <c r="HQP75" s="684"/>
      <c r="HQQ75" s="684"/>
      <c r="HQR75" s="684"/>
      <c r="HQS75" s="684"/>
      <c r="HQT75" s="684"/>
      <c r="HQU75" s="684"/>
      <c r="HQV75" s="684"/>
      <c r="HQW75" s="684"/>
      <c r="HQX75" s="684"/>
      <c r="HQY75" s="684"/>
      <c r="HQZ75" s="684"/>
      <c r="HRA75" s="684"/>
      <c r="HRB75" s="684"/>
      <c r="HRC75" s="684"/>
      <c r="HRD75" s="684"/>
      <c r="HRE75" s="684"/>
      <c r="HRF75" s="684"/>
      <c r="HRG75" s="684"/>
      <c r="HRH75" s="684"/>
      <c r="HRI75" s="684"/>
      <c r="HRJ75" s="684"/>
      <c r="HRK75" s="684"/>
      <c r="HRL75" s="684"/>
      <c r="HRM75" s="684"/>
      <c r="HRN75" s="684"/>
      <c r="HRO75" s="684"/>
      <c r="HRP75" s="684"/>
      <c r="HRQ75" s="684"/>
      <c r="HRR75" s="684"/>
      <c r="HRS75" s="684"/>
      <c r="HRT75" s="684"/>
      <c r="HRU75" s="684"/>
      <c r="HRV75" s="684"/>
      <c r="HRW75" s="684"/>
      <c r="HRX75" s="684"/>
      <c r="HRY75" s="684"/>
      <c r="HRZ75" s="684"/>
      <c r="HSA75" s="684"/>
      <c r="HSB75" s="684"/>
      <c r="HSC75" s="684"/>
      <c r="HSD75" s="684"/>
      <c r="HSE75" s="684"/>
      <c r="HSF75" s="684"/>
      <c r="HSG75" s="684"/>
      <c r="HSH75" s="684"/>
      <c r="HSI75" s="684"/>
      <c r="HSJ75" s="684"/>
      <c r="HSK75" s="684"/>
      <c r="HSL75" s="684"/>
      <c r="HSM75" s="684"/>
      <c r="HSN75" s="684"/>
      <c r="HSO75" s="684"/>
      <c r="HSP75" s="684"/>
      <c r="HSQ75" s="684"/>
      <c r="HSR75" s="684"/>
      <c r="HSS75" s="684"/>
      <c r="HST75" s="684"/>
      <c r="HSU75" s="684"/>
      <c r="HSV75" s="684"/>
      <c r="HSW75" s="684"/>
      <c r="HSX75" s="684"/>
      <c r="HSY75" s="684"/>
      <c r="HSZ75" s="684"/>
      <c r="HTA75" s="684"/>
      <c r="HTB75" s="684"/>
      <c r="HTC75" s="684"/>
      <c r="HTD75" s="684"/>
      <c r="HTE75" s="684"/>
      <c r="HTF75" s="684"/>
      <c r="HTG75" s="684"/>
      <c r="HTH75" s="684"/>
      <c r="HTI75" s="684"/>
      <c r="HTJ75" s="684"/>
      <c r="HTK75" s="684"/>
      <c r="HTL75" s="684"/>
      <c r="HTM75" s="684"/>
      <c r="HTN75" s="684"/>
      <c r="HTO75" s="684"/>
      <c r="HTP75" s="684"/>
      <c r="HTQ75" s="684"/>
      <c r="HTR75" s="684"/>
      <c r="HTS75" s="684"/>
      <c r="HTT75" s="684"/>
      <c r="HTU75" s="684"/>
      <c r="HTV75" s="684"/>
      <c r="HTW75" s="684"/>
      <c r="HTX75" s="684"/>
      <c r="HTY75" s="684"/>
      <c r="HTZ75" s="684"/>
      <c r="HUA75" s="684"/>
      <c r="HUB75" s="684"/>
      <c r="HUC75" s="684"/>
      <c r="HUD75" s="684"/>
      <c r="HUE75" s="684"/>
      <c r="HUF75" s="684"/>
      <c r="HUG75" s="684"/>
      <c r="HUH75" s="684"/>
      <c r="HUI75" s="684"/>
      <c r="HUJ75" s="684"/>
      <c r="HUK75" s="684"/>
      <c r="HUL75" s="684"/>
      <c r="HUM75" s="684"/>
      <c r="HUN75" s="684"/>
      <c r="HUO75" s="684"/>
      <c r="HUP75" s="684"/>
      <c r="HUQ75" s="684"/>
      <c r="HUR75" s="684"/>
      <c r="HUS75" s="684"/>
      <c r="HUT75" s="684"/>
      <c r="HUU75" s="684"/>
      <c r="HUV75" s="684"/>
      <c r="HUW75" s="684"/>
      <c r="HUX75" s="684"/>
      <c r="HUY75" s="684"/>
      <c r="HUZ75" s="684"/>
      <c r="HVA75" s="684"/>
      <c r="HVB75" s="684"/>
      <c r="HVC75" s="684"/>
      <c r="HVD75" s="684"/>
      <c r="HVE75" s="684"/>
      <c r="HVF75" s="684"/>
      <c r="HVG75" s="684"/>
      <c r="HVH75" s="684"/>
      <c r="HVI75" s="684"/>
      <c r="HVJ75" s="684"/>
      <c r="HVK75" s="684"/>
      <c r="HVL75" s="684"/>
      <c r="HVM75" s="684"/>
      <c r="HVN75" s="684"/>
      <c r="HVO75" s="684"/>
      <c r="HVP75" s="684"/>
      <c r="HVQ75" s="684"/>
      <c r="HVR75" s="684"/>
      <c r="HVS75" s="684"/>
      <c r="HVT75" s="684"/>
      <c r="HVU75" s="684"/>
      <c r="HVV75" s="684"/>
      <c r="HVW75" s="684"/>
      <c r="HVX75" s="684"/>
      <c r="HVY75" s="684"/>
      <c r="HVZ75" s="684"/>
      <c r="HWA75" s="684"/>
      <c r="HWB75" s="684"/>
      <c r="HWC75" s="684"/>
      <c r="HWD75" s="684"/>
      <c r="HWE75" s="684"/>
      <c r="HWF75" s="684"/>
      <c r="HWG75" s="684"/>
      <c r="HWH75" s="684"/>
      <c r="HWI75" s="684"/>
      <c r="HWJ75" s="684"/>
      <c r="HWK75" s="684"/>
      <c r="HWL75" s="684"/>
      <c r="HWM75" s="684"/>
      <c r="HWN75" s="684"/>
      <c r="HWO75" s="684"/>
      <c r="HWP75" s="684"/>
      <c r="HWQ75" s="684"/>
      <c r="HWR75" s="684"/>
      <c r="HWS75" s="684"/>
      <c r="HWT75" s="684"/>
      <c r="HWU75" s="684"/>
      <c r="HWV75" s="684"/>
      <c r="HWW75" s="684"/>
      <c r="HWX75" s="684"/>
      <c r="HWY75" s="684"/>
      <c r="HWZ75" s="684"/>
      <c r="HXA75" s="684"/>
      <c r="HXB75" s="684"/>
      <c r="HXC75" s="684"/>
      <c r="HXD75" s="684"/>
      <c r="HXE75" s="684"/>
      <c r="HXF75" s="684"/>
      <c r="HXG75" s="684"/>
      <c r="HXH75" s="684"/>
      <c r="HXI75" s="684"/>
      <c r="HXJ75" s="684"/>
      <c r="HXK75" s="684"/>
      <c r="HXL75" s="684"/>
      <c r="HXM75" s="684"/>
      <c r="HXN75" s="684"/>
      <c r="HXO75" s="684"/>
      <c r="HXP75" s="684"/>
      <c r="HXQ75" s="684"/>
      <c r="HXR75" s="684"/>
      <c r="HXS75" s="684"/>
      <c r="HXT75" s="684"/>
      <c r="HXU75" s="684"/>
      <c r="HXV75" s="684"/>
      <c r="HXW75" s="684"/>
      <c r="HXX75" s="684"/>
      <c r="HXY75" s="684"/>
      <c r="HXZ75" s="684"/>
      <c r="HYA75" s="684"/>
      <c r="HYB75" s="684"/>
      <c r="HYC75" s="684"/>
      <c r="HYD75" s="684"/>
      <c r="HYE75" s="684"/>
      <c r="HYF75" s="684"/>
      <c r="HYG75" s="684"/>
      <c r="HYH75" s="684"/>
      <c r="HYI75" s="684"/>
      <c r="HYJ75" s="684"/>
      <c r="HYK75" s="684"/>
      <c r="HYL75" s="684"/>
      <c r="HYM75" s="684"/>
      <c r="HYN75" s="684"/>
      <c r="HYO75" s="684"/>
      <c r="HYP75" s="684"/>
      <c r="HYQ75" s="684"/>
      <c r="HYR75" s="684"/>
      <c r="HYS75" s="684"/>
      <c r="HYT75" s="684"/>
      <c r="HYU75" s="684"/>
      <c r="HYV75" s="684"/>
      <c r="HYW75" s="684"/>
      <c r="HYX75" s="684"/>
      <c r="HYY75" s="684"/>
      <c r="HYZ75" s="684"/>
      <c r="HZA75" s="684"/>
      <c r="HZB75" s="684"/>
      <c r="HZC75" s="684"/>
      <c r="HZD75" s="684"/>
      <c r="HZE75" s="684"/>
      <c r="HZF75" s="684"/>
      <c r="HZG75" s="684"/>
      <c r="HZH75" s="684"/>
      <c r="HZI75" s="684"/>
      <c r="HZJ75" s="684"/>
      <c r="HZK75" s="684"/>
      <c r="HZL75" s="684"/>
      <c r="HZM75" s="684"/>
      <c r="HZN75" s="684"/>
      <c r="HZO75" s="684"/>
      <c r="HZP75" s="684"/>
      <c r="HZQ75" s="684"/>
      <c r="HZR75" s="684"/>
      <c r="HZS75" s="684"/>
      <c r="HZT75" s="684"/>
      <c r="HZU75" s="684"/>
      <c r="HZV75" s="684"/>
      <c r="HZW75" s="684"/>
      <c r="HZX75" s="684"/>
      <c r="HZY75" s="684"/>
      <c r="HZZ75" s="684"/>
      <c r="IAA75" s="684"/>
      <c r="IAB75" s="684"/>
      <c r="IAC75" s="684"/>
      <c r="IAD75" s="684"/>
      <c r="IAE75" s="684"/>
      <c r="IAF75" s="684"/>
      <c r="IAG75" s="684"/>
      <c r="IAH75" s="684"/>
      <c r="IAI75" s="684"/>
      <c r="IAJ75" s="684"/>
      <c r="IAK75" s="684"/>
      <c r="IAL75" s="684"/>
      <c r="IAM75" s="684"/>
      <c r="IAN75" s="684"/>
      <c r="IAO75" s="684"/>
      <c r="IAP75" s="684"/>
      <c r="IAQ75" s="684"/>
      <c r="IAR75" s="684"/>
      <c r="IAS75" s="684"/>
      <c r="IAT75" s="684"/>
      <c r="IAU75" s="684"/>
      <c r="IAV75" s="684"/>
      <c r="IAW75" s="684"/>
      <c r="IAX75" s="684"/>
      <c r="IAY75" s="684"/>
      <c r="IAZ75" s="684"/>
      <c r="IBA75" s="684"/>
      <c r="IBB75" s="684"/>
      <c r="IBC75" s="684"/>
      <c r="IBD75" s="684"/>
      <c r="IBE75" s="684"/>
      <c r="IBF75" s="684"/>
      <c r="IBG75" s="684"/>
      <c r="IBH75" s="684"/>
      <c r="IBI75" s="684"/>
      <c r="IBJ75" s="684"/>
      <c r="IBK75" s="684"/>
      <c r="IBL75" s="684"/>
      <c r="IBM75" s="684"/>
      <c r="IBN75" s="684"/>
      <c r="IBO75" s="684"/>
      <c r="IBP75" s="684"/>
      <c r="IBQ75" s="684"/>
      <c r="IBR75" s="684"/>
      <c r="IBS75" s="684"/>
      <c r="IBT75" s="684"/>
      <c r="IBU75" s="684"/>
      <c r="IBV75" s="684"/>
      <c r="IBW75" s="684"/>
      <c r="IBX75" s="684"/>
      <c r="IBY75" s="684"/>
      <c r="IBZ75" s="684"/>
      <c r="ICA75" s="684"/>
      <c r="ICB75" s="684"/>
      <c r="ICC75" s="684"/>
      <c r="ICD75" s="684"/>
      <c r="ICE75" s="684"/>
      <c r="ICF75" s="684"/>
      <c r="ICG75" s="684"/>
      <c r="ICH75" s="684"/>
      <c r="ICI75" s="684"/>
      <c r="ICJ75" s="684"/>
      <c r="ICK75" s="684"/>
      <c r="ICL75" s="684"/>
      <c r="ICM75" s="684"/>
      <c r="ICN75" s="684"/>
      <c r="ICO75" s="684"/>
      <c r="ICP75" s="684"/>
      <c r="ICQ75" s="684"/>
      <c r="ICR75" s="684"/>
      <c r="ICS75" s="684"/>
      <c r="ICT75" s="684"/>
      <c r="ICU75" s="684"/>
      <c r="ICV75" s="684"/>
      <c r="ICW75" s="684"/>
      <c r="ICX75" s="684"/>
      <c r="ICY75" s="684"/>
      <c r="ICZ75" s="684"/>
      <c r="IDA75" s="684"/>
      <c r="IDB75" s="684"/>
      <c r="IDC75" s="684"/>
      <c r="IDD75" s="684"/>
      <c r="IDE75" s="684"/>
      <c r="IDF75" s="684"/>
      <c r="IDG75" s="684"/>
      <c r="IDH75" s="684"/>
      <c r="IDI75" s="684"/>
      <c r="IDJ75" s="684"/>
      <c r="IDK75" s="684"/>
      <c r="IDL75" s="684"/>
      <c r="IDM75" s="684"/>
      <c r="IDN75" s="684"/>
      <c r="IDO75" s="684"/>
      <c r="IDP75" s="684"/>
      <c r="IDQ75" s="684"/>
      <c r="IDR75" s="684"/>
      <c r="IDS75" s="684"/>
      <c r="IDT75" s="684"/>
      <c r="IDU75" s="684"/>
      <c r="IDV75" s="684"/>
      <c r="IDW75" s="684"/>
      <c r="IDX75" s="684"/>
      <c r="IDY75" s="684"/>
      <c r="IDZ75" s="684"/>
      <c r="IEA75" s="684"/>
      <c r="IEB75" s="684"/>
      <c r="IEC75" s="684"/>
      <c r="IED75" s="684"/>
      <c r="IEE75" s="684"/>
      <c r="IEF75" s="684"/>
      <c r="IEG75" s="684"/>
      <c r="IEH75" s="684"/>
      <c r="IEI75" s="684"/>
      <c r="IEJ75" s="684"/>
      <c r="IEK75" s="684"/>
      <c r="IEL75" s="684"/>
      <c r="IEM75" s="684"/>
      <c r="IEN75" s="684"/>
      <c r="IEO75" s="684"/>
      <c r="IEP75" s="684"/>
      <c r="IEQ75" s="684"/>
      <c r="IER75" s="684"/>
      <c r="IES75" s="684"/>
      <c r="IET75" s="684"/>
      <c r="IEU75" s="684"/>
      <c r="IEV75" s="684"/>
      <c r="IEW75" s="684"/>
      <c r="IEX75" s="684"/>
      <c r="IEY75" s="684"/>
      <c r="IEZ75" s="684"/>
      <c r="IFA75" s="684"/>
      <c r="IFB75" s="684"/>
      <c r="IFC75" s="684"/>
      <c r="IFD75" s="684"/>
      <c r="IFE75" s="684"/>
      <c r="IFF75" s="684"/>
      <c r="IFG75" s="684"/>
      <c r="IFH75" s="684"/>
      <c r="IFI75" s="684"/>
      <c r="IFJ75" s="684"/>
      <c r="IFK75" s="684"/>
      <c r="IFL75" s="684"/>
      <c r="IFM75" s="684"/>
      <c r="IFN75" s="684"/>
      <c r="IFO75" s="684"/>
      <c r="IFP75" s="684"/>
      <c r="IFQ75" s="684"/>
      <c r="IFR75" s="684"/>
      <c r="IFS75" s="684"/>
      <c r="IFT75" s="684"/>
      <c r="IFU75" s="684"/>
      <c r="IFV75" s="684"/>
      <c r="IFW75" s="684"/>
      <c r="IFX75" s="684"/>
      <c r="IFY75" s="684"/>
      <c r="IFZ75" s="684"/>
      <c r="IGA75" s="684"/>
      <c r="IGB75" s="684"/>
      <c r="IGC75" s="684"/>
      <c r="IGD75" s="684"/>
      <c r="IGE75" s="684"/>
      <c r="IGF75" s="684"/>
      <c r="IGG75" s="684"/>
      <c r="IGH75" s="684"/>
      <c r="IGI75" s="684"/>
      <c r="IGJ75" s="684"/>
      <c r="IGK75" s="684"/>
      <c r="IGL75" s="684"/>
      <c r="IGM75" s="684"/>
      <c r="IGN75" s="684"/>
      <c r="IGO75" s="684"/>
      <c r="IGP75" s="684"/>
      <c r="IGQ75" s="684"/>
      <c r="IGR75" s="684"/>
      <c r="IGS75" s="684"/>
      <c r="IGT75" s="684"/>
      <c r="IGU75" s="684"/>
      <c r="IGV75" s="684"/>
      <c r="IGW75" s="684"/>
      <c r="IGX75" s="684"/>
      <c r="IGY75" s="684"/>
      <c r="IGZ75" s="684"/>
      <c r="IHA75" s="684"/>
      <c r="IHB75" s="684"/>
      <c r="IHC75" s="684"/>
      <c r="IHD75" s="684"/>
      <c r="IHE75" s="684"/>
      <c r="IHF75" s="684"/>
      <c r="IHG75" s="684"/>
      <c r="IHH75" s="684"/>
      <c r="IHI75" s="684"/>
      <c r="IHJ75" s="684"/>
      <c r="IHK75" s="684"/>
      <c r="IHL75" s="684"/>
      <c r="IHM75" s="684"/>
      <c r="IHN75" s="684"/>
      <c r="IHO75" s="684"/>
      <c r="IHP75" s="684"/>
      <c r="IHQ75" s="684"/>
      <c r="IHR75" s="684"/>
      <c r="IHS75" s="684"/>
      <c r="IHT75" s="684"/>
      <c r="IHU75" s="684"/>
      <c r="IHV75" s="684"/>
      <c r="IHW75" s="684"/>
      <c r="IHX75" s="684"/>
      <c r="IHY75" s="684"/>
      <c r="IHZ75" s="684"/>
      <c r="IIA75" s="684"/>
      <c r="IIB75" s="684"/>
      <c r="IIC75" s="684"/>
      <c r="IID75" s="684"/>
      <c r="IIE75" s="684"/>
      <c r="IIF75" s="684"/>
      <c r="IIG75" s="684"/>
      <c r="IIH75" s="684"/>
      <c r="III75" s="684"/>
      <c r="IIJ75" s="684"/>
      <c r="IIK75" s="684"/>
      <c r="IIL75" s="684"/>
      <c r="IIM75" s="684"/>
      <c r="IIN75" s="684"/>
      <c r="IIO75" s="684"/>
      <c r="IIP75" s="684"/>
      <c r="IIQ75" s="684"/>
      <c r="IIR75" s="684"/>
      <c r="IIS75" s="684"/>
      <c r="IIT75" s="684"/>
      <c r="IIU75" s="684"/>
      <c r="IIV75" s="684"/>
      <c r="IIW75" s="684"/>
      <c r="IIX75" s="684"/>
      <c r="IIY75" s="684"/>
      <c r="IIZ75" s="684"/>
      <c r="IJA75" s="684"/>
      <c r="IJB75" s="684"/>
      <c r="IJC75" s="684"/>
      <c r="IJD75" s="684"/>
      <c r="IJE75" s="684"/>
      <c r="IJF75" s="684"/>
      <c r="IJG75" s="684"/>
      <c r="IJH75" s="684"/>
      <c r="IJI75" s="684"/>
      <c r="IJJ75" s="684"/>
      <c r="IJK75" s="684"/>
      <c r="IJL75" s="684"/>
      <c r="IJM75" s="684"/>
      <c r="IJN75" s="684"/>
      <c r="IJO75" s="684"/>
      <c r="IJP75" s="684"/>
      <c r="IJQ75" s="684"/>
      <c r="IJR75" s="684"/>
      <c r="IJS75" s="684"/>
      <c r="IJT75" s="684"/>
      <c r="IJU75" s="684"/>
      <c r="IJV75" s="684"/>
      <c r="IJW75" s="684"/>
      <c r="IJX75" s="684"/>
      <c r="IJY75" s="684"/>
      <c r="IJZ75" s="684"/>
      <c r="IKA75" s="684"/>
      <c r="IKB75" s="684"/>
      <c r="IKC75" s="684"/>
      <c r="IKD75" s="684"/>
      <c r="IKE75" s="684"/>
      <c r="IKF75" s="684"/>
      <c r="IKG75" s="684"/>
      <c r="IKH75" s="684"/>
      <c r="IKI75" s="684"/>
      <c r="IKJ75" s="684"/>
      <c r="IKK75" s="684"/>
      <c r="IKL75" s="684"/>
      <c r="IKM75" s="684"/>
      <c r="IKN75" s="684"/>
      <c r="IKO75" s="684"/>
      <c r="IKP75" s="684"/>
      <c r="IKQ75" s="684"/>
      <c r="IKR75" s="684"/>
      <c r="IKS75" s="684"/>
      <c r="IKT75" s="684"/>
      <c r="IKU75" s="684"/>
      <c r="IKV75" s="684"/>
      <c r="IKW75" s="684"/>
      <c r="IKX75" s="684"/>
      <c r="IKY75" s="684"/>
      <c r="IKZ75" s="684"/>
      <c r="ILA75" s="684"/>
      <c r="ILB75" s="684"/>
      <c r="ILC75" s="684"/>
      <c r="ILD75" s="684"/>
      <c r="ILE75" s="684"/>
      <c r="ILF75" s="684"/>
      <c r="ILG75" s="684"/>
      <c r="ILH75" s="684"/>
      <c r="ILI75" s="684"/>
      <c r="ILJ75" s="684"/>
      <c r="ILK75" s="684"/>
      <c r="ILL75" s="684"/>
      <c r="ILM75" s="684"/>
      <c r="ILN75" s="684"/>
      <c r="ILO75" s="684"/>
      <c r="ILP75" s="684"/>
      <c r="ILQ75" s="684"/>
      <c r="ILR75" s="684"/>
      <c r="ILS75" s="684"/>
      <c r="ILT75" s="684"/>
      <c r="ILU75" s="684"/>
      <c r="ILV75" s="684"/>
      <c r="ILW75" s="684"/>
      <c r="ILX75" s="684"/>
      <c r="ILY75" s="684"/>
      <c r="ILZ75" s="684"/>
      <c r="IMA75" s="684"/>
      <c r="IMB75" s="684"/>
      <c r="IMC75" s="684"/>
      <c r="IMD75" s="684"/>
      <c r="IME75" s="684"/>
      <c r="IMF75" s="684"/>
      <c r="IMG75" s="684"/>
      <c r="IMH75" s="684"/>
      <c r="IMI75" s="684"/>
      <c r="IMJ75" s="684"/>
      <c r="IMK75" s="684"/>
      <c r="IML75" s="684"/>
      <c r="IMM75" s="684"/>
      <c r="IMN75" s="684"/>
      <c r="IMO75" s="684"/>
      <c r="IMP75" s="684"/>
      <c r="IMQ75" s="684"/>
      <c r="IMR75" s="684"/>
      <c r="IMS75" s="684"/>
      <c r="IMT75" s="684"/>
      <c r="IMU75" s="684"/>
      <c r="IMV75" s="684"/>
      <c r="IMW75" s="684"/>
      <c r="IMX75" s="684"/>
      <c r="IMY75" s="684"/>
      <c r="IMZ75" s="684"/>
      <c r="INA75" s="684"/>
      <c r="INB75" s="684"/>
      <c r="INC75" s="684"/>
      <c r="IND75" s="684"/>
      <c r="INE75" s="684"/>
      <c r="INF75" s="684"/>
      <c r="ING75" s="684"/>
      <c r="INH75" s="684"/>
      <c r="INI75" s="684"/>
      <c r="INJ75" s="684"/>
      <c r="INK75" s="684"/>
      <c r="INL75" s="684"/>
      <c r="INM75" s="684"/>
      <c r="INN75" s="684"/>
      <c r="INO75" s="684"/>
      <c r="INP75" s="684"/>
      <c r="INQ75" s="684"/>
      <c r="INR75" s="684"/>
      <c r="INS75" s="684"/>
      <c r="INT75" s="684"/>
      <c r="INU75" s="684"/>
      <c r="INV75" s="684"/>
      <c r="INW75" s="684"/>
      <c r="INX75" s="684"/>
      <c r="INY75" s="684"/>
      <c r="INZ75" s="684"/>
      <c r="IOA75" s="684"/>
      <c r="IOB75" s="684"/>
      <c r="IOC75" s="684"/>
      <c r="IOD75" s="684"/>
      <c r="IOE75" s="684"/>
      <c r="IOF75" s="684"/>
      <c r="IOG75" s="684"/>
      <c r="IOH75" s="684"/>
      <c r="IOI75" s="684"/>
      <c r="IOJ75" s="684"/>
      <c r="IOK75" s="684"/>
      <c r="IOL75" s="684"/>
      <c r="IOM75" s="684"/>
      <c r="ION75" s="684"/>
      <c r="IOO75" s="684"/>
      <c r="IOP75" s="684"/>
      <c r="IOQ75" s="684"/>
      <c r="IOR75" s="684"/>
      <c r="IOS75" s="684"/>
      <c r="IOT75" s="684"/>
      <c r="IOU75" s="684"/>
      <c r="IOV75" s="684"/>
      <c r="IOW75" s="684"/>
      <c r="IOX75" s="684"/>
      <c r="IOY75" s="684"/>
      <c r="IOZ75" s="684"/>
      <c r="IPA75" s="684"/>
      <c r="IPB75" s="684"/>
      <c r="IPC75" s="684"/>
      <c r="IPD75" s="684"/>
      <c r="IPE75" s="684"/>
      <c r="IPF75" s="684"/>
      <c r="IPG75" s="684"/>
      <c r="IPH75" s="684"/>
      <c r="IPI75" s="684"/>
      <c r="IPJ75" s="684"/>
      <c r="IPK75" s="684"/>
      <c r="IPL75" s="684"/>
      <c r="IPM75" s="684"/>
      <c r="IPN75" s="684"/>
      <c r="IPO75" s="684"/>
      <c r="IPP75" s="684"/>
      <c r="IPQ75" s="684"/>
      <c r="IPR75" s="684"/>
      <c r="IPS75" s="684"/>
      <c r="IPT75" s="684"/>
      <c r="IPU75" s="684"/>
      <c r="IPV75" s="684"/>
      <c r="IPW75" s="684"/>
      <c r="IPX75" s="684"/>
      <c r="IPY75" s="684"/>
      <c r="IPZ75" s="684"/>
      <c r="IQA75" s="684"/>
      <c r="IQB75" s="684"/>
      <c r="IQC75" s="684"/>
      <c r="IQD75" s="684"/>
      <c r="IQE75" s="684"/>
      <c r="IQF75" s="684"/>
      <c r="IQG75" s="684"/>
      <c r="IQH75" s="684"/>
      <c r="IQI75" s="684"/>
      <c r="IQJ75" s="684"/>
      <c r="IQK75" s="684"/>
      <c r="IQL75" s="684"/>
      <c r="IQM75" s="684"/>
      <c r="IQN75" s="684"/>
      <c r="IQO75" s="684"/>
      <c r="IQP75" s="684"/>
      <c r="IQQ75" s="684"/>
      <c r="IQR75" s="684"/>
      <c r="IQS75" s="684"/>
      <c r="IQT75" s="684"/>
      <c r="IQU75" s="684"/>
      <c r="IQV75" s="684"/>
      <c r="IQW75" s="684"/>
      <c r="IQX75" s="684"/>
      <c r="IQY75" s="684"/>
      <c r="IQZ75" s="684"/>
      <c r="IRA75" s="684"/>
      <c r="IRB75" s="684"/>
      <c r="IRC75" s="684"/>
      <c r="IRD75" s="684"/>
      <c r="IRE75" s="684"/>
      <c r="IRF75" s="684"/>
      <c r="IRG75" s="684"/>
      <c r="IRH75" s="684"/>
      <c r="IRI75" s="684"/>
      <c r="IRJ75" s="684"/>
      <c r="IRK75" s="684"/>
      <c r="IRL75" s="684"/>
      <c r="IRM75" s="684"/>
      <c r="IRN75" s="684"/>
      <c r="IRO75" s="684"/>
      <c r="IRP75" s="684"/>
      <c r="IRQ75" s="684"/>
      <c r="IRR75" s="684"/>
      <c r="IRS75" s="684"/>
      <c r="IRT75" s="684"/>
      <c r="IRU75" s="684"/>
      <c r="IRV75" s="684"/>
      <c r="IRW75" s="684"/>
      <c r="IRX75" s="684"/>
      <c r="IRY75" s="684"/>
      <c r="IRZ75" s="684"/>
      <c r="ISA75" s="684"/>
      <c r="ISB75" s="684"/>
      <c r="ISC75" s="684"/>
      <c r="ISD75" s="684"/>
      <c r="ISE75" s="684"/>
      <c r="ISF75" s="684"/>
      <c r="ISG75" s="684"/>
      <c r="ISH75" s="684"/>
      <c r="ISI75" s="684"/>
      <c r="ISJ75" s="684"/>
      <c r="ISK75" s="684"/>
      <c r="ISL75" s="684"/>
      <c r="ISM75" s="684"/>
      <c r="ISN75" s="684"/>
      <c r="ISO75" s="684"/>
      <c r="ISP75" s="684"/>
      <c r="ISQ75" s="684"/>
      <c r="ISR75" s="684"/>
      <c r="ISS75" s="684"/>
      <c r="IST75" s="684"/>
      <c r="ISU75" s="684"/>
      <c r="ISV75" s="684"/>
      <c r="ISW75" s="684"/>
      <c r="ISX75" s="684"/>
      <c r="ISY75" s="684"/>
      <c r="ISZ75" s="684"/>
      <c r="ITA75" s="684"/>
      <c r="ITB75" s="684"/>
      <c r="ITC75" s="684"/>
      <c r="ITD75" s="684"/>
      <c r="ITE75" s="684"/>
      <c r="ITF75" s="684"/>
      <c r="ITG75" s="684"/>
      <c r="ITH75" s="684"/>
      <c r="ITI75" s="684"/>
      <c r="ITJ75" s="684"/>
      <c r="ITK75" s="684"/>
      <c r="ITL75" s="684"/>
      <c r="ITM75" s="684"/>
      <c r="ITN75" s="684"/>
      <c r="ITO75" s="684"/>
      <c r="ITP75" s="684"/>
      <c r="ITQ75" s="684"/>
      <c r="ITR75" s="684"/>
      <c r="ITS75" s="684"/>
      <c r="ITT75" s="684"/>
      <c r="ITU75" s="684"/>
      <c r="ITV75" s="684"/>
      <c r="ITW75" s="684"/>
      <c r="ITX75" s="684"/>
      <c r="ITY75" s="684"/>
      <c r="ITZ75" s="684"/>
      <c r="IUA75" s="684"/>
      <c r="IUB75" s="684"/>
      <c r="IUC75" s="684"/>
      <c r="IUD75" s="684"/>
      <c r="IUE75" s="684"/>
      <c r="IUF75" s="684"/>
      <c r="IUG75" s="684"/>
      <c r="IUH75" s="684"/>
      <c r="IUI75" s="684"/>
      <c r="IUJ75" s="684"/>
      <c r="IUK75" s="684"/>
      <c r="IUL75" s="684"/>
      <c r="IUM75" s="684"/>
      <c r="IUN75" s="684"/>
      <c r="IUO75" s="684"/>
      <c r="IUP75" s="684"/>
      <c r="IUQ75" s="684"/>
      <c r="IUR75" s="684"/>
      <c r="IUS75" s="684"/>
      <c r="IUT75" s="684"/>
      <c r="IUU75" s="684"/>
      <c r="IUV75" s="684"/>
      <c r="IUW75" s="684"/>
      <c r="IUX75" s="684"/>
      <c r="IUY75" s="684"/>
      <c r="IUZ75" s="684"/>
      <c r="IVA75" s="684"/>
      <c r="IVB75" s="684"/>
      <c r="IVC75" s="684"/>
      <c r="IVD75" s="684"/>
      <c r="IVE75" s="684"/>
      <c r="IVF75" s="684"/>
      <c r="IVG75" s="684"/>
      <c r="IVH75" s="684"/>
      <c r="IVI75" s="684"/>
      <c r="IVJ75" s="684"/>
      <c r="IVK75" s="684"/>
      <c r="IVL75" s="684"/>
      <c r="IVM75" s="684"/>
      <c r="IVN75" s="684"/>
      <c r="IVO75" s="684"/>
      <c r="IVP75" s="684"/>
      <c r="IVQ75" s="684"/>
      <c r="IVR75" s="684"/>
      <c r="IVS75" s="684"/>
      <c r="IVT75" s="684"/>
      <c r="IVU75" s="684"/>
      <c r="IVV75" s="684"/>
      <c r="IVW75" s="684"/>
      <c r="IVX75" s="684"/>
      <c r="IVY75" s="684"/>
      <c r="IVZ75" s="684"/>
      <c r="IWA75" s="684"/>
      <c r="IWB75" s="684"/>
      <c r="IWC75" s="684"/>
      <c r="IWD75" s="684"/>
      <c r="IWE75" s="684"/>
      <c r="IWF75" s="684"/>
      <c r="IWG75" s="684"/>
      <c r="IWH75" s="684"/>
      <c r="IWI75" s="684"/>
      <c r="IWJ75" s="684"/>
      <c r="IWK75" s="684"/>
      <c r="IWL75" s="684"/>
      <c r="IWM75" s="684"/>
      <c r="IWN75" s="684"/>
      <c r="IWO75" s="684"/>
      <c r="IWP75" s="684"/>
      <c r="IWQ75" s="684"/>
      <c r="IWR75" s="684"/>
      <c r="IWS75" s="684"/>
      <c r="IWT75" s="684"/>
      <c r="IWU75" s="684"/>
      <c r="IWV75" s="684"/>
      <c r="IWW75" s="684"/>
      <c r="IWX75" s="684"/>
      <c r="IWY75" s="684"/>
      <c r="IWZ75" s="684"/>
      <c r="IXA75" s="684"/>
      <c r="IXB75" s="684"/>
      <c r="IXC75" s="684"/>
      <c r="IXD75" s="684"/>
      <c r="IXE75" s="684"/>
      <c r="IXF75" s="684"/>
      <c r="IXG75" s="684"/>
      <c r="IXH75" s="684"/>
      <c r="IXI75" s="684"/>
      <c r="IXJ75" s="684"/>
      <c r="IXK75" s="684"/>
      <c r="IXL75" s="684"/>
      <c r="IXM75" s="684"/>
      <c r="IXN75" s="684"/>
      <c r="IXO75" s="684"/>
      <c r="IXP75" s="684"/>
      <c r="IXQ75" s="684"/>
      <c r="IXR75" s="684"/>
      <c r="IXS75" s="684"/>
      <c r="IXT75" s="684"/>
      <c r="IXU75" s="684"/>
      <c r="IXV75" s="684"/>
      <c r="IXW75" s="684"/>
      <c r="IXX75" s="684"/>
      <c r="IXY75" s="684"/>
      <c r="IXZ75" s="684"/>
      <c r="IYA75" s="684"/>
      <c r="IYB75" s="684"/>
      <c r="IYC75" s="684"/>
      <c r="IYD75" s="684"/>
      <c r="IYE75" s="684"/>
      <c r="IYF75" s="684"/>
      <c r="IYG75" s="684"/>
      <c r="IYH75" s="684"/>
      <c r="IYI75" s="684"/>
      <c r="IYJ75" s="684"/>
      <c r="IYK75" s="684"/>
      <c r="IYL75" s="684"/>
      <c r="IYM75" s="684"/>
      <c r="IYN75" s="684"/>
      <c r="IYO75" s="684"/>
      <c r="IYP75" s="684"/>
      <c r="IYQ75" s="684"/>
      <c r="IYR75" s="684"/>
      <c r="IYS75" s="684"/>
      <c r="IYT75" s="684"/>
      <c r="IYU75" s="684"/>
      <c r="IYV75" s="684"/>
      <c r="IYW75" s="684"/>
      <c r="IYX75" s="684"/>
      <c r="IYY75" s="684"/>
      <c r="IYZ75" s="684"/>
      <c r="IZA75" s="684"/>
      <c r="IZB75" s="684"/>
      <c r="IZC75" s="684"/>
      <c r="IZD75" s="684"/>
      <c r="IZE75" s="684"/>
      <c r="IZF75" s="684"/>
      <c r="IZG75" s="684"/>
      <c r="IZH75" s="684"/>
      <c r="IZI75" s="684"/>
      <c r="IZJ75" s="684"/>
      <c r="IZK75" s="684"/>
      <c r="IZL75" s="684"/>
      <c r="IZM75" s="684"/>
      <c r="IZN75" s="684"/>
      <c r="IZO75" s="684"/>
      <c r="IZP75" s="684"/>
      <c r="IZQ75" s="684"/>
      <c r="IZR75" s="684"/>
      <c r="IZS75" s="684"/>
      <c r="IZT75" s="684"/>
      <c r="IZU75" s="684"/>
      <c r="IZV75" s="684"/>
      <c r="IZW75" s="684"/>
      <c r="IZX75" s="684"/>
      <c r="IZY75" s="684"/>
      <c r="IZZ75" s="684"/>
      <c r="JAA75" s="684"/>
      <c r="JAB75" s="684"/>
      <c r="JAC75" s="684"/>
      <c r="JAD75" s="684"/>
      <c r="JAE75" s="684"/>
      <c r="JAF75" s="684"/>
      <c r="JAG75" s="684"/>
      <c r="JAH75" s="684"/>
      <c r="JAI75" s="684"/>
      <c r="JAJ75" s="684"/>
      <c r="JAK75" s="684"/>
      <c r="JAL75" s="684"/>
      <c r="JAM75" s="684"/>
      <c r="JAN75" s="684"/>
      <c r="JAO75" s="684"/>
      <c r="JAP75" s="684"/>
      <c r="JAQ75" s="684"/>
      <c r="JAR75" s="684"/>
      <c r="JAS75" s="684"/>
      <c r="JAT75" s="684"/>
      <c r="JAU75" s="684"/>
      <c r="JAV75" s="684"/>
      <c r="JAW75" s="684"/>
      <c r="JAX75" s="684"/>
      <c r="JAY75" s="684"/>
      <c r="JAZ75" s="684"/>
      <c r="JBA75" s="684"/>
      <c r="JBB75" s="684"/>
      <c r="JBC75" s="684"/>
      <c r="JBD75" s="684"/>
      <c r="JBE75" s="684"/>
      <c r="JBF75" s="684"/>
      <c r="JBG75" s="684"/>
      <c r="JBH75" s="684"/>
      <c r="JBI75" s="684"/>
      <c r="JBJ75" s="684"/>
      <c r="JBK75" s="684"/>
      <c r="JBL75" s="684"/>
      <c r="JBM75" s="684"/>
      <c r="JBN75" s="684"/>
      <c r="JBO75" s="684"/>
      <c r="JBP75" s="684"/>
      <c r="JBQ75" s="684"/>
      <c r="JBR75" s="684"/>
      <c r="JBS75" s="684"/>
      <c r="JBT75" s="684"/>
      <c r="JBU75" s="684"/>
      <c r="JBV75" s="684"/>
      <c r="JBW75" s="684"/>
      <c r="JBX75" s="684"/>
      <c r="JBY75" s="684"/>
      <c r="JBZ75" s="684"/>
      <c r="JCA75" s="684"/>
      <c r="JCB75" s="684"/>
      <c r="JCC75" s="684"/>
      <c r="JCD75" s="684"/>
      <c r="JCE75" s="684"/>
      <c r="JCF75" s="684"/>
      <c r="JCG75" s="684"/>
      <c r="JCH75" s="684"/>
      <c r="JCI75" s="684"/>
      <c r="JCJ75" s="684"/>
      <c r="JCK75" s="684"/>
      <c r="JCL75" s="684"/>
      <c r="JCM75" s="684"/>
      <c r="JCN75" s="684"/>
      <c r="JCO75" s="684"/>
      <c r="JCP75" s="684"/>
      <c r="JCQ75" s="684"/>
      <c r="JCR75" s="684"/>
      <c r="JCS75" s="684"/>
      <c r="JCT75" s="684"/>
      <c r="JCU75" s="684"/>
      <c r="JCV75" s="684"/>
      <c r="JCW75" s="684"/>
      <c r="JCX75" s="684"/>
      <c r="JCY75" s="684"/>
      <c r="JCZ75" s="684"/>
      <c r="JDA75" s="684"/>
      <c r="JDB75" s="684"/>
      <c r="JDC75" s="684"/>
      <c r="JDD75" s="684"/>
      <c r="JDE75" s="684"/>
      <c r="JDF75" s="684"/>
      <c r="JDG75" s="684"/>
      <c r="JDH75" s="684"/>
      <c r="JDI75" s="684"/>
      <c r="JDJ75" s="684"/>
      <c r="JDK75" s="684"/>
      <c r="JDL75" s="684"/>
      <c r="JDM75" s="684"/>
      <c r="JDN75" s="684"/>
      <c r="JDO75" s="684"/>
      <c r="JDP75" s="684"/>
      <c r="JDQ75" s="684"/>
      <c r="JDR75" s="684"/>
      <c r="JDS75" s="684"/>
      <c r="JDT75" s="684"/>
      <c r="JDU75" s="684"/>
      <c r="JDV75" s="684"/>
      <c r="JDW75" s="684"/>
      <c r="JDX75" s="684"/>
      <c r="JDY75" s="684"/>
      <c r="JDZ75" s="684"/>
      <c r="JEA75" s="684"/>
      <c r="JEB75" s="684"/>
      <c r="JEC75" s="684"/>
      <c r="JED75" s="684"/>
      <c r="JEE75" s="684"/>
      <c r="JEF75" s="684"/>
      <c r="JEG75" s="684"/>
      <c r="JEH75" s="684"/>
      <c r="JEI75" s="684"/>
      <c r="JEJ75" s="684"/>
      <c r="JEK75" s="684"/>
      <c r="JEL75" s="684"/>
      <c r="JEM75" s="684"/>
      <c r="JEN75" s="684"/>
      <c r="JEO75" s="684"/>
      <c r="JEP75" s="684"/>
      <c r="JEQ75" s="684"/>
      <c r="JER75" s="684"/>
      <c r="JES75" s="684"/>
      <c r="JET75" s="684"/>
      <c r="JEU75" s="684"/>
      <c r="JEV75" s="684"/>
      <c r="JEW75" s="684"/>
      <c r="JEX75" s="684"/>
      <c r="JEY75" s="684"/>
      <c r="JEZ75" s="684"/>
      <c r="JFA75" s="684"/>
      <c r="JFB75" s="684"/>
      <c r="JFC75" s="684"/>
      <c r="JFD75" s="684"/>
      <c r="JFE75" s="684"/>
      <c r="JFF75" s="684"/>
      <c r="JFG75" s="684"/>
      <c r="JFH75" s="684"/>
      <c r="JFI75" s="684"/>
      <c r="JFJ75" s="684"/>
      <c r="JFK75" s="684"/>
      <c r="JFL75" s="684"/>
      <c r="JFM75" s="684"/>
      <c r="JFN75" s="684"/>
      <c r="JFO75" s="684"/>
      <c r="JFP75" s="684"/>
      <c r="JFQ75" s="684"/>
      <c r="JFR75" s="684"/>
      <c r="JFS75" s="684"/>
      <c r="JFT75" s="684"/>
      <c r="JFU75" s="684"/>
      <c r="JFV75" s="684"/>
      <c r="JFW75" s="684"/>
      <c r="JFX75" s="684"/>
      <c r="JFY75" s="684"/>
      <c r="JFZ75" s="684"/>
      <c r="JGA75" s="684"/>
      <c r="JGB75" s="684"/>
      <c r="JGC75" s="684"/>
      <c r="JGD75" s="684"/>
      <c r="JGE75" s="684"/>
      <c r="JGF75" s="684"/>
      <c r="JGG75" s="684"/>
      <c r="JGH75" s="684"/>
      <c r="JGI75" s="684"/>
      <c r="JGJ75" s="684"/>
      <c r="JGK75" s="684"/>
      <c r="JGL75" s="684"/>
      <c r="JGM75" s="684"/>
      <c r="JGN75" s="684"/>
      <c r="JGO75" s="684"/>
      <c r="JGP75" s="684"/>
      <c r="JGQ75" s="684"/>
      <c r="JGR75" s="684"/>
      <c r="JGS75" s="684"/>
      <c r="JGT75" s="684"/>
      <c r="JGU75" s="684"/>
      <c r="JGV75" s="684"/>
      <c r="JGW75" s="684"/>
      <c r="JGX75" s="684"/>
      <c r="JGY75" s="684"/>
      <c r="JGZ75" s="684"/>
      <c r="JHA75" s="684"/>
      <c r="JHB75" s="684"/>
      <c r="JHC75" s="684"/>
      <c r="JHD75" s="684"/>
      <c r="JHE75" s="684"/>
      <c r="JHF75" s="684"/>
      <c r="JHG75" s="684"/>
      <c r="JHH75" s="684"/>
      <c r="JHI75" s="684"/>
      <c r="JHJ75" s="684"/>
      <c r="JHK75" s="684"/>
      <c r="JHL75" s="684"/>
      <c r="JHM75" s="684"/>
      <c r="JHN75" s="684"/>
      <c r="JHO75" s="684"/>
      <c r="JHP75" s="684"/>
      <c r="JHQ75" s="684"/>
      <c r="JHR75" s="684"/>
      <c r="JHS75" s="684"/>
      <c r="JHT75" s="684"/>
      <c r="JHU75" s="684"/>
      <c r="JHV75" s="684"/>
      <c r="JHW75" s="684"/>
      <c r="JHX75" s="684"/>
      <c r="JHY75" s="684"/>
      <c r="JHZ75" s="684"/>
      <c r="JIA75" s="684"/>
      <c r="JIB75" s="684"/>
      <c r="JIC75" s="684"/>
      <c r="JID75" s="684"/>
      <c r="JIE75" s="684"/>
      <c r="JIF75" s="684"/>
      <c r="JIG75" s="684"/>
      <c r="JIH75" s="684"/>
      <c r="JII75" s="684"/>
      <c r="JIJ75" s="684"/>
      <c r="JIK75" s="684"/>
      <c r="JIL75" s="684"/>
      <c r="JIM75" s="684"/>
      <c r="JIN75" s="684"/>
      <c r="JIO75" s="684"/>
      <c r="JIP75" s="684"/>
      <c r="JIQ75" s="684"/>
      <c r="JIR75" s="684"/>
      <c r="JIS75" s="684"/>
      <c r="JIT75" s="684"/>
      <c r="JIU75" s="684"/>
      <c r="JIV75" s="684"/>
      <c r="JIW75" s="684"/>
      <c r="JIX75" s="684"/>
      <c r="JIY75" s="684"/>
      <c r="JIZ75" s="684"/>
      <c r="JJA75" s="684"/>
      <c r="JJB75" s="684"/>
      <c r="JJC75" s="684"/>
      <c r="JJD75" s="684"/>
      <c r="JJE75" s="684"/>
      <c r="JJF75" s="684"/>
      <c r="JJG75" s="684"/>
      <c r="JJH75" s="684"/>
      <c r="JJI75" s="684"/>
      <c r="JJJ75" s="684"/>
      <c r="JJK75" s="684"/>
      <c r="JJL75" s="684"/>
      <c r="JJM75" s="684"/>
      <c r="JJN75" s="684"/>
      <c r="JJO75" s="684"/>
      <c r="JJP75" s="684"/>
      <c r="JJQ75" s="684"/>
      <c r="JJR75" s="684"/>
      <c r="JJS75" s="684"/>
      <c r="JJT75" s="684"/>
      <c r="JJU75" s="684"/>
      <c r="JJV75" s="684"/>
      <c r="JJW75" s="684"/>
      <c r="JJX75" s="684"/>
      <c r="JJY75" s="684"/>
      <c r="JJZ75" s="684"/>
      <c r="JKA75" s="684"/>
      <c r="JKB75" s="684"/>
      <c r="JKC75" s="684"/>
      <c r="JKD75" s="684"/>
      <c r="JKE75" s="684"/>
      <c r="JKF75" s="684"/>
      <c r="JKG75" s="684"/>
      <c r="JKH75" s="684"/>
      <c r="JKI75" s="684"/>
      <c r="JKJ75" s="684"/>
      <c r="JKK75" s="684"/>
      <c r="JKL75" s="684"/>
      <c r="JKM75" s="684"/>
      <c r="JKN75" s="684"/>
      <c r="JKO75" s="684"/>
      <c r="JKP75" s="684"/>
      <c r="JKQ75" s="684"/>
      <c r="JKR75" s="684"/>
      <c r="JKS75" s="684"/>
      <c r="JKT75" s="684"/>
      <c r="JKU75" s="684"/>
      <c r="JKV75" s="684"/>
      <c r="JKW75" s="684"/>
      <c r="JKX75" s="684"/>
      <c r="JKY75" s="684"/>
      <c r="JKZ75" s="684"/>
      <c r="JLA75" s="684"/>
      <c r="JLB75" s="684"/>
      <c r="JLC75" s="684"/>
      <c r="JLD75" s="684"/>
      <c r="JLE75" s="684"/>
      <c r="JLF75" s="684"/>
      <c r="JLG75" s="684"/>
      <c r="JLH75" s="684"/>
      <c r="JLI75" s="684"/>
      <c r="JLJ75" s="684"/>
      <c r="JLK75" s="684"/>
      <c r="JLL75" s="684"/>
      <c r="JLM75" s="684"/>
      <c r="JLN75" s="684"/>
      <c r="JLO75" s="684"/>
      <c r="JLP75" s="684"/>
      <c r="JLQ75" s="684"/>
      <c r="JLR75" s="684"/>
      <c r="JLS75" s="684"/>
      <c r="JLT75" s="684"/>
      <c r="JLU75" s="684"/>
      <c r="JLV75" s="684"/>
      <c r="JLW75" s="684"/>
      <c r="JLX75" s="684"/>
      <c r="JLY75" s="684"/>
      <c r="JLZ75" s="684"/>
      <c r="JMA75" s="684"/>
      <c r="JMB75" s="684"/>
      <c r="JMC75" s="684"/>
      <c r="JMD75" s="684"/>
      <c r="JME75" s="684"/>
      <c r="JMF75" s="684"/>
      <c r="JMG75" s="684"/>
      <c r="JMH75" s="684"/>
      <c r="JMI75" s="684"/>
      <c r="JMJ75" s="684"/>
      <c r="JMK75" s="684"/>
      <c r="JML75" s="684"/>
      <c r="JMM75" s="684"/>
      <c r="JMN75" s="684"/>
      <c r="JMO75" s="684"/>
      <c r="JMP75" s="684"/>
      <c r="JMQ75" s="684"/>
      <c r="JMR75" s="684"/>
      <c r="JMS75" s="684"/>
      <c r="JMT75" s="684"/>
      <c r="JMU75" s="684"/>
      <c r="JMV75" s="684"/>
      <c r="JMW75" s="684"/>
      <c r="JMX75" s="684"/>
      <c r="JMY75" s="684"/>
      <c r="JMZ75" s="684"/>
      <c r="JNA75" s="684"/>
      <c r="JNB75" s="684"/>
      <c r="JNC75" s="684"/>
      <c r="JND75" s="684"/>
      <c r="JNE75" s="684"/>
      <c r="JNF75" s="684"/>
      <c r="JNG75" s="684"/>
      <c r="JNH75" s="684"/>
      <c r="JNI75" s="684"/>
      <c r="JNJ75" s="684"/>
      <c r="JNK75" s="684"/>
      <c r="JNL75" s="684"/>
      <c r="JNM75" s="684"/>
      <c r="JNN75" s="684"/>
      <c r="JNO75" s="684"/>
      <c r="JNP75" s="684"/>
      <c r="JNQ75" s="684"/>
      <c r="JNR75" s="684"/>
      <c r="JNS75" s="684"/>
      <c r="JNT75" s="684"/>
      <c r="JNU75" s="684"/>
      <c r="JNV75" s="684"/>
      <c r="JNW75" s="684"/>
      <c r="JNX75" s="684"/>
      <c r="JNY75" s="684"/>
      <c r="JNZ75" s="684"/>
      <c r="JOA75" s="684"/>
      <c r="JOB75" s="684"/>
      <c r="JOC75" s="684"/>
      <c r="JOD75" s="684"/>
      <c r="JOE75" s="684"/>
      <c r="JOF75" s="684"/>
      <c r="JOG75" s="684"/>
      <c r="JOH75" s="684"/>
      <c r="JOI75" s="684"/>
      <c r="JOJ75" s="684"/>
      <c r="JOK75" s="684"/>
      <c r="JOL75" s="684"/>
      <c r="JOM75" s="684"/>
      <c r="JON75" s="684"/>
      <c r="JOO75" s="684"/>
      <c r="JOP75" s="684"/>
      <c r="JOQ75" s="684"/>
      <c r="JOR75" s="684"/>
      <c r="JOS75" s="684"/>
      <c r="JOT75" s="684"/>
      <c r="JOU75" s="684"/>
      <c r="JOV75" s="684"/>
      <c r="JOW75" s="684"/>
      <c r="JOX75" s="684"/>
      <c r="JOY75" s="684"/>
      <c r="JOZ75" s="684"/>
      <c r="JPA75" s="684"/>
      <c r="JPB75" s="684"/>
      <c r="JPC75" s="684"/>
      <c r="JPD75" s="684"/>
      <c r="JPE75" s="684"/>
      <c r="JPF75" s="684"/>
      <c r="JPG75" s="684"/>
      <c r="JPH75" s="684"/>
      <c r="JPI75" s="684"/>
      <c r="JPJ75" s="684"/>
      <c r="JPK75" s="684"/>
      <c r="JPL75" s="684"/>
      <c r="JPM75" s="684"/>
      <c r="JPN75" s="684"/>
      <c r="JPO75" s="684"/>
      <c r="JPP75" s="684"/>
      <c r="JPQ75" s="684"/>
      <c r="JPR75" s="684"/>
      <c r="JPS75" s="684"/>
      <c r="JPT75" s="684"/>
      <c r="JPU75" s="684"/>
      <c r="JPV75" s="684"/>
      <c r="JPW75" s="684"/>
      <c r="JPX75" s="684"/>
      <c r="JPY75" s="684"/>
      <c r="JPZ75" s="684"/>
      <c r="JQA75" s="684"/>
      <c r="JQB75" s="684"/>
      <c r="JQC75" s="684"/>
      <c r="JQD75" s="684"/>
      <c r="JQE75" s="684"/>
      <c r="JQF75" s="684"/>
      <c r="JQG75" s="684"/>
      <c r="JQH75" s="684"/>
      <c r="JQI75" s="684"/>
      <c r="JQJ75" s="684"/>
      <c r="JQK75" s="684"/>
      <c r="JQL75" s="684"/>
      <c r="JQM75" s="684"/>
      <c r="JQN75" s="684"/>
      <c r="JQO75" s="684"/>
      <c r="JQP75" s="684"/>
      <c r="JQQ75" s="684"/>
      <c r="JQR75" s="684"/>
      <c r="JQS75" s="684"/>
      <c r="JQT75" s="684"/>
      <c r="JQU75" s="684"/>
      <c r="JQV75" s="684"/>
      <c r="JQW75" s="684"/>
      <c r="JQX75" s="684"/>
      <c r="JQY75" s="684"/>
      <c r="JQZ75" s="684"/>
      <c r="JRA75" s="684"/>
      <c r="JRB75" s="684"/>
      <c r="JRC75" s="684"/>
      <c r="JRD75" s="684"/>
      <c r="JRE75" s="684"/>
      <c r="JRF75" s="684"/>
      <c r="JRG75" s="684"/>
      <c r="JRH75" s="684"/>
      <c r="JRI75" s="684"/>
      <c r="JRJ75" s="684"/>
      <c r="JRK75" s="684"/>
      <c r="JRL75" s="684"/>
      <c r="JRM75" s="684"/>
      <c r="JRN75" s="684"/>
      <c r="JRO75" s="684"/>
      <c r="JRP75" s="684"/>
      <c r="JRQ75" s="684"/>
      <c r="JRR75" s="684"/>
      <c r="JRS75" s="684"/>
      <c r="JRT75" s="684"/>
      <c r="JRU75" s="684"/>
      <c r="JRV75" s="684"/>
      <c r="JRW75" s="684"/>
      <c r="JRX75" s="684"/>
      <c r="JRY75" s="684"/>
      <c r="JRZ75" s="684"/>
      <c r="JSA75" s="684"/>
      <c r="JSB75" s="684"/>
      <c r="JSC75" s="684"/>
      <c r="JSD75" s="684"/>
      <c r="JSE75" s="684"/>
      <c r="JSF75" s="684"/>
      <c r="JSG75" s="684"/>
      <c r="JSH75" s="684"/>
      <c r="JSI75" s="684"/>
      <c r="JSJ75" s="684"/>
      <c r="JSK75" s="684"/>
      <c r="JSL75" s="684"/>
      <c r="JSM75" s="684"/>
      <c r="JSN75" s="684"/>
      <c r="JSO75" s="684"/>
      <c r="JSP75" s="684"/>
      <c r="JSQ75" s="684"/>
      <c r="JSR75" s="684"/>
      <c r="JSS75" s="684"/>
      <c r="JST75" s="684"/>
      <c r="JSU75" s="684"/>
      <c r="JSV75" s="684"/>
      <c r="JSW75" s="684"/>
      <c r="JSX75" s="684"/>
      <c r="JSY75" s="684"/>
      <c r="JSZ75" s="684"/>
      <c r="JTA75" s="684"/>
      <c r="JTB75" s="684"/>
      <c r="JTC75" s="684"/>
      <c r="JTD75" s="684"/>
      <c r="JTE75" s="684"/>
      <c r="JTF75" s="684"/>
      <c r="JTG75" s="684"/>
      <c r="JTH75" s="684"/>
      <c r="JTI75" s="684"/>
      <c r="JTJ75" s="684"/>
      <c r="JTK75" s="684"/>
      <c r="JTL75" s="684"/>
      <c r="JTM75" s="684"/>
      <c r="JTN75" s="684"/>
      <c r="JTO75" s="684"/>
      <c r="JTP75" s="684"/>
      <c r="JTQ75" s="684"/>
      <c r="JTR75" s="684"/>
      <c r="JTS75" s="684"/>
      <c r="JTT75" s="684"/>
      <c r="JTU75" s="684"/>
      <c r="JTV75" s="684"/>
      <c r="JTW75" s="684"/>
      <c r="JTX75" s="684"/>
      <c r="JTY75" s="684"/>
      <c r="JTZ75" s="684"/>
      <c r="JUA75" s="684"/>
      <c r="JUB75" s="684"/>
      <c r="JUC75" s="684"/>
      <c r="JUD75" s="684"/>
      <c r="JUE75" s="684"/>
      <c r="JUF75" s="684"/>
      <c r="JUG75" s="684"/>
      <c r="JUH75" s="684"/>
      <c r="JUI75" s="684"/>
      <c r="JUJ75" s="684"/>
      <c r="JUK75" s="684"/>
      <c r="JUL75" s="684"/>
      <c r="JUM75" s="684"/>
      <c r="JUN75" s="684"/>
      <c r="JUO75" s="684"/>
      <c r="JUP75" s="684"/>
      <c r="JUQ75" s="684"/>
      <c r="JUR75" s="684"/>
      <c r="JUS75" s="684"/>
      <c r="JUT75" s="684"/>
      <c r="JUU75" s="684"/>
      <c r="JUV75" s="684"/>
      <c r="JUW75" s="684"/>
      <c r="JUX75" s="684"/>
      <c r="JUY75" s="684"/>
      <c r="JUZ75" s="684"/>
      <c r="JVA75" s="684"/>
      <c r="JVB75" s="684"/>
      <c r="JVC75" s="684"/>
      <c r="JVD75" s="684"/>
      <c r="JVE75" s="684"/>
      <c r="JVF75" s="684"/>
      <c r="JVG75" s="684"/>
      <c r="JVH75" s="684"/>
      <c r="JVI75" s="684"/>
      <c r="JVJ75" s="684"/>
      <c r="JVK75" s="684"/>
      <c r="JVL75" s="684"/>
      <c r="JVM75" s="684"/>
      <c r="JVN75" s="684"/>
      <c r="JVO75" s="684"/>
      <c r="JVP75" s="684"/>
      <c r="JVQ75" s="684"/>
      <c r="JVR75" s="684"/>
      <c r="JVS75" s="684"/>
      <c r="JVT75" s="684"/>
      <c r="JVU75" s="684"/>
      <c r="JVV75" s="684"/>
      <c r="JVW75" s="684"/>
      <c r="JVX75" s="684"/>
      <c r="JVY75" s="684"/>
      <c r="JVZ75" s="684"/>
      <c r="JWA75" s="684"/>
      <c r="JWB75" s="684"/>
      <c r="JWC75" s="684"/>
      <c r="JWD75" s="684"/>
      <c r="JWE75" s="684"/>
      <c r="JWF75" s="684"/>
      <c r="JWG75" s="684"/>
      <c r="JWH75" s="684"/>
      <c r="JWI75" s="684"/>
      <c r="JWJ75" s="684"/>
      <c r="JWK75" s="684"/>
      <c r="JWL75" s="684"/>
      <c r="JWM75" s="684"/>
      <c r="JWN75" s="684"/>
      <c r="JWO75" s="684"/>
      <c r="JWP75" s="684"/>
      <c r="JWQ75" s="684"/>
      <c r="JWR75" s="684"/>
      <c r="JWS75" s="684"/>
      <c r="JWT75" s="684"/>
      <c r="JWU75" s="684"/>
      <c r="JWV75" s="684"/>
      <c r="JWW75" s="684"/>
      <c r="JWX75" s="684"/>
      <c r="JWY75" s="684"/>
      <c r="JWZ75" s="684"/>
      <c r="JXA75" s="684"/>
      <c r="JXB75" s="684"/>
      <c r="JXC75" s="684"/>
      <c r="JXD75" s="684"/>
      <c r="JXE75" s="684"/>
      <c r="JXF75" s="684"/>
      <c r="JXG75" s="684"/>
      <c r="JXH75" s="684"/>
      <c r="JXI75" s="684"/>
      <c r="JXJ75" s="684"/>
      <c r="JXK75" s="684"/>
      <c r="JXL75" s="684"/>
      <c r="JXM75" s="684"/>
      <c r="JXN75" s="684"/>
      <c r="JXO75" s="684"/>
      <c r="JXP75" s="684"/>
      <c r="JXQ75" s="684"/>
      <c r="JXR75" s="684"/>
      <c r="JXS75" s="684"/>
      <c r="JXT75" s="684"/>
      <c r="JXU75" s="684"/>
      <c r="JXV75" s="684"/>
      <c r="JXW75" s="684"/>
      <c r="JXX75" s="684"/>
      <c r="JXY75" s="684"/>
      <c r="JXZ75" s="684"/>
      <c r="JYA75" s="684"/>
      <c r="JYB75" s="684"/>
      <c r="JYC75" s="684"/>
      <c r="JYD75" s="684"/>
      <c r="JYE75" s="684"/>
      <c r="JYF75" s="684"/>
      <c r="JYG75" s="684"/>
      <c r="JYH75" s="684"/>
      <c r="JYI75" s="684"/>
      <c r="JYJ75" s="684"/>
      <c r="JYK75" s="684"/>
      <c r="JYL75" s="684"/>
      <c r="JYM75" s="684"/>
      <c r="JYN75" s="684"/>
      <c r="JYO75" s="684"/>
      <c r="JYP75" s="684"/>
      <c r="JYQ75" s="684"/>
      <c r="JYR75" s="684"/>
      <c r="JYS75" s="684"/>
      <c r="JYT75" s="684"/>
      <c r="JYU75" s="684"/>
      <c r="JYV75" s="684"/>
      <c r="JYW75" s="684"/>
      <c r="JYX75" s="684"/>
      <c r="JYY75" s="684"/>
      <c r="JYZ75" s="684"/>
      <c r="JZA75" s="684"/>
      <c r="JZB75" s="684"/>
      <c r="JZC75" s="684"/>
      <c r="JZD75" s="684"/>
      <c r="JZE75" s="684"/>
      <c r="JZF75" s="684"/>
      <c r="JZG75" s="684"/>
      <c r="JZH75" s="684"/>
      <c r="JZI75" s="684"/>
      <c r="JZJ75" s="684"/>
      <c r="JZK75" s="684"/>
      <c r="JZL75" s="684"/>
      <c r="JZM75" s="684"/>
      <c r="JZN75" s="684"/>
      <c r="JZO75" s="684"/>
      <c r="JZP75" s="684"/>
      <c r="JZQ75" s="684"/>
      <c r="JZR75" s="684"/>
      <c r="JZS75" s="684"/>
      <c r="JZT75" s="684"/>
      <c r="JZU75" s="684"/>
      <c r="JZV75" s="684"/>
      <c r="JZW75" s="684"/>
      <c r="JZX75" s="684"/>
      <c r="JZY75" s="684"/>
      <c r="JZZ75" s="684"/>
      <c r="KAA75" s="684"/>
      <c r="KAB75" s="684"/>
      <c r="KAC75" s="684"/>
      <c r="KAD75" s="684"/>
      <c r="KAE75" s="684"/>
      <c r="KAF75" s="684"/>
      <c r="KAG75" s="684"/>
      <c r="KAH75" s="684"/>
      <c r="KAI75" s="684"/>
      <c r="KAJ75" s="684"/>
      <c r="KAK75" s="684"/>
      <c r="KAL75" s="684"/>
      <c r="KAM75" s="684"/>
      <c r="KAN75" s="684"/>
      <c r="KAO75" s="684"/>
      <c r="KAP75" s="684"/>
      <c r="KAQ75" s="684"/>
      <c r="KAR75" s="684"/>
      <c r="KAS75" s="684"/>
      <c r="KAT75" s="684"/>
      <c r="KAU75" s="684"/>
      <c r="KAV75" s="684"/>
      <c r="KAW75" s="684"/>
      <c r="KAX75" s="684"/>
      <c r="KAY75" s="684"/>
      <c r="KAZ75" s="684"/>
      <c r="KBA75" s="684"/>
      <c r="KBB75" s="684"/>
      <c r="KBC75" s="684"/>
      <c r="KBD75" s="684"/>
      <c r="KBE75" s="684"/>
      <c r="KBF75" s="684"/>
      <c r="KBG75" s="684"/>
      <c r="KBH75" s="684"/>
      <c r="KBI75" s="684"/>
      <c r="KBJ75" s="684"/>
      <c r="KBK75" s="684"/>
      <c r="KBL75" s="684"/>
      <c r="KBM75" s="684"/>
      <c r="KBN75" s="684"/>
      <c r="KBO75" s="684"/>
      <c r="KBP75" s="684"/>
      <c r="KBQ75" s="684"/>
      <c r="KBR75" s="684"/>
      <c r="KBS75" s="684"/>
      <c r="KBT75" s="684"/>
      <c r="KBU75" s="684"/>
      <c r="KBV75" s="684"/>
      <c r="KBW75" s="684"/>
      <c r="KBX75" s="684"/>
      <c r="KBY75" s="684"/>
      <c r="KBZ75" s="684"/>
      <c r="KCA75" s="684"/>
      <c r="KCB75" s="684"/>
      <c r="KCC75" s="684"/>
      <c r="KCD75" s="684"/>
      <c r="KCE75" s="684"/>
      <c r="KCF75" s="684"/>
      <c r="KCG75" s="684"/>
      <c r="KCH75" s="684"/>
      <c r="KCI75" s="684"/>
      <c r="KCJ75" s="684"/>
      <c r="KCK75" s="684"/>
      <c r="KCL75" s="684"/>
      <c r="KCM75" s="684"/>
      <c r="KCN75" s="684"/>
      <c r="KCO75" s="684"/>
      <c r="KCP75" s="684"/>
      <c r="KCQ75" s="684"/>
      <c r="KCR75" s="684"/>
      <c r="KCS75" s="684"/>
      <c r="KCT75" s="684"/>
      <c r="KCU75" s="684"/>
      <c r="KCV75" s="684"/>
      <c r="KCW75" s="684"/>
      <c r="KCX75" s="684"/>
      <c r="KCY75" s="684"/>
      <c r="KCZ75" s="684"/>
      <c r="KDA75" s="684"/>
      <c r="KDB75" s="684"/>
      <c r="KDC75" s="684"/>
      <c r="KDD75" s="684"/>
      <c r="KDE75" s="684"/>
      <c r="KDF75" s="684"/>
      <c r="KDG75" s="684"/>
      <c r="KDH75" s="684"/>
      <c r="KDI75" s="684"/>
      <c r="KDJ75" s="684"/>
      <c r="KDK75" s="684"/>
      <c r="KDL75" s="684"/>
      <c r="KDM75" s="684"/>
      <c r="KDN75" s="684"/>
      <c r="KDO75" s="684"/>
      <c r="KDP75" s="684"/>
      <c r="KDQ75" s="684"/>
      <c r="KDR75" s="684"/>
      <c r="KDS75" s="684"/>
      <c r="KDT75" s="684"/>
      <c r="KDU75" s="684"/>
      <c r="KDV75" s="684"/>
      <c r="KDW75" s="684"/>
      <c r="KDX75" s="684"/>
      <c r="KDY75" s="684"/>
      <c r="KDZ75" s="684"/>
      <c r="KEA75" s="684"/>
      <c r="KEB75" s="684"/>
      <c r="KEC75" s="684"/>
      <c r="KED75" s="684"/>
      <c r="KEE75" s="684"/>
      <c r="KEF75" s="684"/>
      <c r="KEG75" s="684"/>
      <c r="KEH75" s="684"/>
      <c r="KEI75" s="684"/>
      <c r="KEJ75" s="684"/>
      <c r="KEK75" s="684"/>
      <c r="KEL75" s="684"/>
      <c r="KEM75" s="684"/>
      <c r="KEN75" s="684"/>
      <c r="KEO75" s="684"/>
      <c r="KEP75" s="684"/>
      <c r="KEQ75" s="684"/>
      <c r="KER75" s="684"/>
      <c r="KES75" s="684"/>
      <c r="KET75" s="684"/>
      <c r="KEU75" s="684"/>
      <c r="KEV75" s="684"/>
      <c r="KEW75" s="684"/>
      <c r="KEX75" s="684"/>
      <c r="KEY75" s="684"/>
      <c r="KEZ75" s="684"/>
      <c r="KFA75" s="684"/>
      <c r="KFB75" s="684"/>
      <c r="KFC75" s="684"/>
      <c r="KFD75" s="684"/>
      <c r="KFE75" s="684"/>
      <c r="KFF75" s="684"/>
      <c r="KFG75" s="684"/>
      <c r="KFH75" s="684"/>
      <c r="KFI75" s="684"/>
      <c r="KFJ75" s="684"/>
      <c r="KFK75" s="684"/>
      <c r="KFL75" s="684"/>
      <c r="KFM75" s="684"/>
      <c r="KFN75" s="684"/>
      <c r="KFO75" s="684"/>
      <c r="KFP75" s="684"/>
      <c r="KFQ75" s="684"/>
      <c r="KFR75" s="684"/>
      <c r="KFS75" s="684"/>
      <c r="KFT75" s="684"/>
      <c r="KFU75" s="684"/>
      <c r="KFV75" s="684"/>
      <c r="KFW75" s="684"/>
      <c r="KFX75" s="684"/>
      <c r="KFY75" s="684"/>
      <c r="KFZ75" s="684"/>
      <c r="KGA75" s="684"/>
      <c r="KGB75" s="684"/>
      <c r="KGC75" s="684"/>
      <c r="KGD75" s="684"/>
      <c r="KGE75" s="684"/>
      <c r="KGF75" s="684"/>
      <c r="KGG75" s="684"/>
      <c r="KGH75" s="684"/>
      <c r="KGI75" s="684"/>
      <c r="KGJ75" s="684"/>
      <c r="KGK75" s="684"/>
      <c r="KGL75" s="684"/>
      <c r="KGM75" s="684"/>
      <c r="KGN75" s="684"/>
      <c r="KGO75" s="684"/>
      <c r="KGP75" s="684"/>
      <c r="KGQ75" s="684"/>
      <c r="KGR75" s="684"/>
      <c r="KGS75" s="684"/>
      <c r="KGT75" s="684"/>
      <c r="KGU75" s="684"/>
      <c r="KGV75" s="684"/>
      <c r="KGW75" s="684"/>
      <c r="KGX75" s="684"/>
      <c r="KGY75" s="684"/>
      <c r="KGZ75" s="684"/>
      <c r="KHA75" s="684"/>
      <c r="KHB75" s="684"/>
      <c r="KHC75" s="684"/>
      <c r="KHD75" s="684"/>
      <c r="KHE75" s="684"/>
      <c r="KHF75" s="684"/>
      <c r="KHG75" s="684"/>
      <c r="KHH75" s="684"/>
      <c r="KHI75" s="684"/>
      <c r="KHJ75" s="684"/>
      <c r="KHK75" s="684"/>
      <c r="KHL75" s="684"/>
      <c r="KHM75" s="684"/>
      <c r="KHN75" s="684"/>
      <c r="KHO75" s="684"/>
      <c r="KHP75" s="684"/>
      <c r="KHQ75" s="684"/>
      <c r="KHR75" s="684"/>
      <c r="KHS75" s="684"/>
      <c r="KHT75" s="684"/>
      <c r="KHU75" s="684"/>
      <c r="KHV75" s="684"/>
      <c r="KHW75" s="684"/>
      <c r="KHX75" s="684"/>
      <c r="KHY75" s="684"/>
      <c r="KHZ75" s="684"/>
      <c r="KIA75" s="684"/>
      <c r="KIB75" s="684"/>
      <c r="KIC75" s="684"/>
      <c r="KID75" s="684"/>
      <c r="KIE75" s="684"/>
      <c r="KIF75" s="684"/>
      <c r="KIG75" s="684"/>
      <c r="KIH75" s="684"/>
      <c r="KII75" s="684"/>
      <c r="KIJ75" s="684"/>
      <c r="KIK75" s="684"/>
      <c r="KIL75" s="684"/>
      <c r="KIM75" s="684"/>
      <c r="KIN75" s="684"/>
      <c r="KIO75" s="684"/>
      <c r="KIP75" s="684"/>
      <c r="KIQ75" s="684"/>
      <c r="KIR75" s="684"/>
      <c r="KIS75" s="684"/>
      <c r="KIT75" s="684"/>
      <c r="KIU75" s="684"/>
      <c r="KIV75" s="684"/>
      <c r="KIW75" s="684"/>
      <c r="KIX75" s="684"/>
      <c r="KIY75" s="684"/>
      <c r="KIZ75" s="684"/>
      <c r="KJA75" s="684"/>
      <c r="KJB75" s="684"/>
      <c r="KJC75" s="684"/>
      <c r="KJD75" s="684"/>
      <c r="KJE75" s="684"/>
      <c r="KJF75" s="684"/>
      <c r="KJG75" s="684"/>
      <c r="KJH75" s="684"/>
      <c r="KJI75" s="684"/>
      <c r="KJJ75" s="684"/>
      <c r="KJK75" s="684"/>
      <c r="KJL75" s="684"/>
      <c r="KJM75" s="684"/>
      <c r="KJN75" s="684"/>
      <c r="KJO75" s="684"/>
      <c r="KJP75" s="684"/>
      <c r="KJQ75" s="684"/>
      <c r="KJR75" s="684"/>
      <c r="KJS75" s="684"/>
      <c r="KJT75" s="684"/>
      <c r="KJU75" s="684"/>
      <c r="KJV75" s="684"/>
      <c r="KJW75" s="684"/>
      <c r="KJX75" s="684"/>
      <c r="KJY75" s="684"/>
      <c r="KJZ75" s="684"/>
      <c r="KKA75" s="684"/>
      <c r="KKB75" s="684"/>
      <c r="KKC75" s="684"/>
      <c r="KKD75" s="684"/>
      <c r="KKE75" s="684"/>
      <c r="KKF75" s="684"/>
      <c r="KKG75" s="684"/>
      <c r="KKH75" s="684"/>
      <c r="KKI75" s="684"/>
      <c r="KKJ75" s="684"/>
      <c r="KKK75" s="684"/>
      <c r="KKL75" s="684"/>
      <c r="KKM75" s="684"/>
      <c r="KKN75" s="684"/>
      <c r="KKO75" s="684"/>
      <c r="KKP75" s="684"/>
      <c r="KKQ75" s="684"/>
      <c r="KKR75" s="684"/>
      <c r="KKS75" s="684"/>
      <c r="KKT75" s="684"/>
      <c r="KKU75" s="684"/>
      <c r="KKV75" s="684"/>
      <c r="KKW75" s="684"/>
      <c r="KKX75" s="684"/>
      <c r="KKY75" s="684"/>
      <c r="KKZ75" s="684"/>
      <c r="KLA75" s="684"/>
      <c r="KLB75" s="684"/>
      <c r="KLC75" s="684"/>
      <c r="KLD75" s="684"/>
      <c r="KLE75" s="684"/>
      <c r="KLF75" s="684"/>
      <c r="KLG75" s="684"/>
      <c r="KLH75" s="684"/>
      <c r="KLI75" s="684"/>
      <c r="KLJ75" s="684"/>
      <c r="KLK75" s="684"/>
      <c r="KLL75" s="684"/>
      <c r="KLM75" s="684"/>
      <c r="KLN75" s="684"/>
      <c r="KLO75" s="684"/>
      <c r="KLP75" s="684"/>
      <c r="KLQ75" s="684"/>
      <c r="KLR75" s="684"/>
      <c r="KLS75" s="684"/>
      <c r="KLT75" s="684"/>
      <c r="KLU75" s="684"/>
      <c r="KLV75" s="684"/>
      <c r="KLW75" s="684"/>
      <c r="KLX75" s="684"/>
      <c r="KLY75" s="684"/>
      <c r="KLZ75" s="684"/>
      <c r="KMA75" s="684"/>
      <c r="KMB75" s="684"/>
      <c r="KMC75" s="684"/>
      <c r="KMD75" s="684"/>
      <c r="KME75" s="684"/>
      <c r="KMF75" s="684"/>
      <c r="KMG75" s="684"/>
      <c r="KMH75" s="684"/>
      <c r="KMI75" s="684"/>
      <c r="KMJ75" s="684"/>
      <c r="KMK75" s="684"/>
      <c r="KML75" s="684"/>
      <c r="KMM75" s="684"/>
      <c r="KMN75" s="684"/>
      <c r="KMO75" s="684"/>
      <c r="KMP75" s="684"/>
      <c r="KMQ75" s="684"/>
      <c r="KMR75" s="684"/>
      <c r="KMS75" s="684"/>
      <c r="KMT75" s="684"/>
      <c r="KMU75" s="684"/>
      <c r="KMV75" s="684"/>
      <c r="KMW75" s="684"/>
      <c r="KMX75" s="684"/>
      <c r="KMY75" s="684"/>
      <c r="KMZ75" s="684"/>
      <c r="KNA75" s="684"/>
      <c r="KNB75" s="684"/>
      <c r="KNC75" s="684"/>
      <c r="KND75" s="684"/>
      <c r="KNE75" s="684"/>
      <c r="KNF75" s="684"/>
      <c r="KNG75" s="684"/>
      <c r="KNH75" s="684"/>
      <c r="KNI75" s="684"/>
      <c r="KNJ75" s="684"/>
      <c r="KNK75" s="684"/>
      <c r="KNL75" s="684"/>
      <c r="KNM75" s="684"/>
      <c r="KNN75" s="684"/>
      <c r="KNO75" s="684"/>
      <c r="KNP75" s="684"/>
      <c r="KNQ75" s="684"/>
      <c r="KNR75" s="684"/>
      <c r="KNS75" s="684"/>
      <c r="KNT75" s="684"/>
      <c r="KNU75" s="684"/>
      <c r="KNV75" s="684"/>
      <c r="KNW75" s="684"/>
      <c r="KNX75" s="684"/>
      <c r="KNY75" s="684"/>
      <c r="KNZ75" s="684"/>
      <c r="KOA75" s="684"/>
      <c r="KOB75" s="684"/>
      <c r="KOC75" s="684"/>
      <c r="KOD75" s="684"/>
      <c r="KOE75" s="684"/>
      <c r="KOF75" s="684"/>
      <c r="KOG75" s="684"/>
      <c r="KOH75" s="684"/>
      <c r="KOI75" s="684"/>
      <c r="KOJ75" s="684"/>
      <c r="KOK75" s="684"/>
      <c r="KOL75" s="684"/>
      <c r="KOM75" s="684"/>
      <c r="KON75" s="684"/>
      <c r="KOO75" s="684"/>
      <c r="KOP75" s="684"/>
      <c r="KOQ75" s="684"/>
      <c r="KOR75" s="684"/>
      <c r="KOS75" s="684"/>
      <c r="KOT75" s="684"/>
      <c r="KOU75" s="684"/>
      <c r="KOV75" s="684"/>
      <c r="KOW75" s="684"/>
      <c r="KOX75" s="684"/>
      <c r="KOY75" s="684"/>
      <c r="KOZ75" s="684"/>
      <c r="KPA75" s="684"/>
      <c r="KPB75" s="684"/>
      <c r="KPC75" s="684"/>
      <c r="KPD75" s="684"/>
      <c r="KPE75" s="684"/>
      <c r="KPF75" s="684"/>
      <c r="KPG75" s="684"/>
      <c r="KPH75" s="684"/>
      <c r="KPI75" s="684"/>
      <c r="KPJ75" s="684"/>
      <c r="KPK75" s="684"/>
      <c r="KPL75" s="684"/>
      <c r="KPM75" s="684"/>
      <c r="KPN75" s="684"/>
      <c r="KPO75" s="684"/>
      <c r="KPP75" s="684"/>
      <c r="KPQ75" s="684"/>
      <c r="KPR75" s="684"/>
      <c r="KPS75" s="684"/>
      <c r="KPT75" s="684"/>
      <c r="KPU75" s="684"/>
      <c r="KPV75" s="684"/>
      <c r="KPW75" s="684"/>
      <c r="KPX75" s="684"/>
      <c r="KPY75" s="684"/>
      <c r="KPZ75" s="684"/>
      <c r="KQA75" s="684"/>
      <c r="KQB75" s="684"/>
      <c r="KQC75" s="684"/>
      <c r="KQD75" s="684"/>
      <c r="KQE75" s="684"/>
      <c r="KQF75" s="684"/>
      <c r="KQG75" s="684"/>
      <c r="KQH75" s="684"/>
      <c r="KQI75" s="684"/>
      <c r="KQJ75" s="684"/>
      <c r="KQK75" s="684"/>
      <c r="KQL75" s="684"/>
      <c r="KQM75" s="684"/>
      <c r="KQN75" s="684"/>
      <c r="KQO75" s="684"/>
      <c r="KQP75" s="684"/>
      <c r="KQQ75" s="684"/>
      <c r="KQR75" s="684"/>
      <c r="KQS75" s="684"/>
      <c r="KQT75" s="684"/>
      <c r="KQU75" s="684"/>
      <c r="KQV75" s="684"/>
      <c r="KQW75" s="684"/>
      <c r="KQX75" s="684"/>
      <c r="KQY75" s="684"/>
      <c r="KQZ75" s="684"/>
      <c r="KRA75" s="684"/>
      <c r="KRB75" s="684"/>
      <c r="KRC75" s="684"/>
      <c r="KRD75" s="684"/>
      <c r="KRE75" s="684"/>
      <c r="KRF75" s="684"/>
      <c r="KRG75" s="684"/>
      <c r="KRH75" s="684"/>
      <c r="KRI75" s="684"/>
      <c r="KRJ75" s="684"/>
      <c r="KRK75" s="684"/>
      <c r="KRL75" s="684"/>
      <c r="KRM75" s="684"/>
      <c r="KRN75" s="684"/>
      <c r="KRO75" s="684"/>
      <c r="KRP75" s="684"/>
      <c r="KRQ75" s="684"/>
      <c r="KRR75" s="684"/>
      <c r="KRS75" s="684"/>
      <c r="KRT75" s="684"/>
      <c r="KRU75" s="684"/>
      <c r="KRV75" s="684"/>
      <c r="KRW75" s="684"/>
      <c r="KRX75" s="684"/>
      <c r="KRY75" s="684"/>
      <c r="KRZ75" s="684"/>
      <c r="KSA75" s="684"/>
      <c r="KSB75" s="684"/>
      <c r="KSC75" s="684"/>
      <c r="KSD75" s="684"/>
      <c r="KSE75" s="684"/>
      <c r="KSF75" s="684"/>
      <c r="KSG75" s="684"/>
      <c r="KSH75" s="684"/>
      <c r="KSI75" s="684"/>
      <c r="KSJ75" s="684"/>
      <c r="KSK75" s="684"/>
      <c r="KSL75" s="684"/>
      <c r="KSM75" s="684"/>
      <c r="KSN75" s="684"/>
      <c r="KSO75" s="684"/>
      <c r="KSP75" s="684"/>
      <c r="KSQ75" s="684"/>
      <c r="KSR75" s="684"/>
      <c r="KSS75" s="684"/>
      <c r="KST75" s="684"/>
      <c r="KSU75" s="684"/>
      <c r="KSV75" s="684"/>
      <c r="KSW75" s="684"/>
      <c r="KSX75" s="684"/>
      <c r="KSY75" s="684"/>
      <c r="KSZ75" s="684"/>
      <c r="KTA75" s="684"/>
      <c r="KTB75" s="684"/>
      <c r="KTC75" s="684"/>
      <c r="KTD75" s="684"/>
      <c r="KTE75" s="684"/>
      <c r="KTF75" s="684"/>
      <c r="KTG75" s="684"/>
      <c r="KTH75" s="684"/>
      <c r="KTI75" s="684"/>
      <c r="KTJ75" s="684"/>
      <c r="KTK75" s="684"/>
      <c r="KTL75" s="684"/>
      <c r="KTM75" s="684"/>
      <c r="KTN75" s="684"/>
      <c r="KTO75" s="684"/>
      <c r="KTP75" s="684"/>
      <c r="KTQ75" s="684"/>
      <c r="KTR75" s="684"/>
      <c r="KTS75" s="684"/>
      <c r="KTT75" s="684"/>
      <c r="KTU75" s="684"/>
      <c r="KTV75" s="684"/>
      <c r="KTW75" s="684"/>
      <c r="KTX75" s="684"/>
      <c r="KTY75" s="684"/>
      <c r="KTZ75" s="684"/>
      <c r="KUA75" s="684"/>
      <c r="KUB75" s="684"/>
      <c r="KUC75" s="684"/>
      <c r="KUD75" s="684"/>
      <c r="KUE75" s="684"/>
      <c r="KUF75" s="684"/>
      <c r="KUG75" s="684"/>
      <c r="KUH75" s="684"/>
      <c r="KUI75" s="684"/>
      <c r="KUJ75" s="684"/>
      <c r="KUK75" s="684"/>
      <c r="KUL75" s="684"/>
      <c r="KUM75" s="684"/>
      <c r="KUN75" s="684"/>
      <c r="KUO75" s="684"/>
      <c r="KUP75" s="684"/>
      <c r="KUQ75" s="684"/>
      <c r="KUR75" s="684"/>
      <c r="KUS75" s="684"/>
      <c r="KUT75" s="684"/>
      <c r="KUU75" s="684"/>
      <c r="KUV75" s="684"/>
      <c r="KUW75" s="684"/>
      <c r="KUX75" s="684"/>
      <c r="KUY75" s="684"/>
      <c r="KUZ75" s="684"/>
      <c r="KVA75" s="684"/>
      <c r="KVB75" s="684"/>
      <c r="KVC75" s="684"/>
      <c r="KVD75" s="684"/>
      <c r="KVE75" s="684"/>
      <c r="KVF75" s="684"/>
      <c r="KVG75" s="684"/>
      <c r="KVH75" s="684"/>
      <c r="KVI75" s="684"/>
      <c r="KVJ75" s="684"/>
      <c r="KVK75" s="684"/>
      <c r="KVL75" s="684"/>
      <c r="KVM75" s="684"/>
      <c r="KVN75" s="684"/>
      <c r="KVO75" s="684"/>
      <c r="KVP75" s="684"/>
      <c r="KVQ75" s="684"/>
      <c r="KVR75" s="684"/>
      <c r="KVS75" s="684"/>
      <c r="KVT75" s="684"/>
      <c r="KVU75" s="684"/>
      <c r="KVV75" s="684"/>
      <c r="KVW75" s="684"/>
      <c r="KVX75" s="684"/>
      <c r="KVY75" s="684"/>
      <c r="KVZ75" s="684"/>
      <c r="KWA75" s="684"/>
      <c r="KWB75" s="684"/>
      <c r="KWC75" s="684"/>
      <c r="KWD75" s="684"/>
      <c r="KWE75" s="684"/>
      <c r="KWF75" s="684"/>
      <c r="KWG75" s="684"/>
      <c r="KWH75" s="684"/>
      <c r="KWI75" s="684"/>
      <c r="KWJ75" s="684"/>
      <c r="KWK75" s="684"/>
      <c r="KWL75" s="684"/>
      <c r="KWM75" s="684"/>
      <c r="KWN75" s="684"/>
      <c r="KWO75" s="684"/>
      <c r="KWP75" s="684"/>
      <c r="KWQ75" s="684"/>
      <c r="KWR75" s="684"/>
      <c r="KWS75" s="684"/>
      <c r="KWT75" s="684"/>
      <c r="KWU75" s="684"/>
      <c r="KWV75" s="684"/>
      <c r="KWW75" s="684"/>
      <c r="KWX75" s="684"/>
      <c r="KWY75" s="684"/>
      <c r="KWZ75" s="684"/>
      <c r="KXA75" s="684"/>
      <c r="KXB75" s="684"/>
      <c r="KXC75" s="684"/>
      <c r="KXD75" s="684"/>
      <c r="KXE75" s="684"/>
      <c r="KXF75" s="684"/>
      <c r="KXG75" s="684"/>
      <c r="KXH75" s="684"/>
      <c r="KXI75" s="684"/>
      <c r="KXJ75" s="684"/>
      <c r="KXK75" s="684"/>
      <c r="KXL75" s="684"/>
      <c r="KXM75" s="684"/>
      <c r="KXN75" s="684"/>
      <c r="KXO75" s="684"/>
      <c r="KXP75" s="684"/>
      <c r="KXQ75" s="684"/>
      <c r="KXR75" s="684"/>
      <c r="KXS75" s="684"/>
      <c r="KXT75" s="684"/>
      <c r="KXU75" s="684"/>
      <c r="KXV75" s="684"/>
      <c r="KXW75" s="684"/>
      <c r="KXX75" s="684"/>
      <c r="KXY75" s="684"/>
      <c r="KXZ75" s="684"/>
      <c r="KYA75" s="684"/>
      <c r="KYB75" s="684"/>
      <c r="KYC75" s="684"/>
      <c r="KYD75" s="684"/>
      <c r="KYE75" s="684"/>
      <c r="KYF75" s="684"/>
      <c r="KYG75" s="684"/>
      <c r="KYH75" s="684"/>
      <c r="KYI75" s="684"/>
      <c r="KYJ75" s="684"/>
      <c r="KYK75" s="684"/>
      <c r="KYL75" s="684"/>
      <c r="KYM75" s="684"/>
      <c r="KYN75" s="684"/>
      <c r="KYO75" s="684"/>
      <c r="KYP75" s="684"/>
      <c r="KYQ75" s="684"/>
      <c r="KYR75" s="684"/>
      <c r="KYS75" s="684"/>
      <c r="KYT75" s="684"/>
      <c r="KYU75" s="684"/>
      <c r="KYV75" s="684"/>
      <c r="KYW75" s="684"/>
      <c r="KYX75" s="684"/>
      <c r="KYY75" s="684"/>
      <c r="KYZ75" s="684"/>
      <c r="KZA75" s="684"/>
      <c r="KZB75" s="684"/>
      <c r="KZC75" s="684"/>
      <c r="KZD75" s="684"/>
      <c r="KZE75" s="684"/>
      <c r="KZF75" s="684"/>
      <c r="KZG75" s="684"/>
      <c r="KZH75" s="684"/>
      <c r="KZI75" s="684"/>
      <c r="KZJ75" s="684"/>
      <c r="KZK75" s="684"/>
      <c r="KZL75" s="684"/>
      <c r="KZM75" s="684"/>
      <c r="KZN75" s="684"/>
      <c r="KZO75" s="684"/>
      <c r="KZP75" s="684"/>
      <c r="KZQ75" s="684"/>
      <c r="KZR75" s="684"/>
      <c r="KZS75" s="684"/>
      <c r="KZT75" s="684"/>
      <c r="KZU75" s="684"/>
      <c r="KZV75" s="684"/>
      <c r="KZW75" s="684"/>
      <c r="KZX75" s="684"/>
      <c r="KZY75" s="684"/>
      <c r="KZZ75" s="684"/>
      <c r="LAA75" s="684"/>
      <c r="LAB75" s="684"/>
      <c r="LAC75" s="684"/>
      <c r="LAD75" s="684"/>
      <c r="LAE75" s="684"/>
      <c r="LAF75" s="684"/>
      <c r="LAG75" s="684"/>
      <c r="LAH75" s="684"/>
      <c r="LAI75" s="684"/>
      <c r="LAJ75" s="684"/>
      <c r="LAK75" s="684"/>
      <c r="LAL75" s="684"/>
      <c r="LAM75" s="684"/>
      <c r="LAN75" s="684"/>
      <c r="LAO75" s="684"/>
      <c r="LAP75" s="684"/>
      <c r="LAQ75" s="684"/>
      <c r="LAR75" s="684"/>
      <c r="LAS75" s="684"/>
      <c r="LAT75" s="684"/>
      <c r="LAU75" s="684"/>
      <c r="LAV75" s="684"/>
      <c r="LAW75" s="684"/>
      <c r="LAX75" s="684"/>
      <c r="LAY75" s="684"/>
      <c r="LAZ75" s="684"/>
      <c r="LBA75" s="684"/>
      <c r="LBB75" s="684"/>
      <c r="LBC75" s="684"/>
      <c r="LBD75" s="684"/>
      <c r="LBE75" s="684"/>
      <c r="LBF75" s="684"/>
      <c r="LBG75" s="684"/>
      <c r="LBH75" s="684"/>
      <c r="LBI75" s="684"/>
      <c r="LBJ75" s="684"/>
      <c r="LBK75" s="684"/>
      <c r="LBL75" s="684"/>
      <c r="LBM75" s="684"/>
      <c r="LBN75" s="684"/>
      <c r="LBO75" s="684"/>
      <c r="LBP75" s="684"/>
      <c r="LBQ75" s="684"/>
      <c r="LBR75" s="684"/>
      <c r="LBS75" s="684"/>
      <c r="LBT75" s="684"/>
      <c r="LBU75" s="684"/>
      <c r="LBV75" s="684"/>
      <c r="LBW75" s="684"/>
      <c r="LBX75" s="684"/>
      <c r="LBY75" s="684"/>
      <c r="LBZ75" s="684"/>
      <c r="LCA75" s="684"/>
      <c r="LCB75" s="684"/>
      <c r="LCC75" s="684"/>
      <c r="LCD75" s="684"/>
      <c r="LCE75" s="684"/>
      <c r="LCF75" s="684"/>
      <c r="LCG75" s="684"/>
      <c r="LCH75" s="684"/>
      <c r="LCI75" s="684"/>
      <c r="LCJ75" s="684"/>
      <c r="LCK75" s="684"/>
      <c r="LCL75" s="684"/>
      <c r="LCM75" s="684"/>
      <c r="LCN75" s="684"/>
      <c r="LCO75" s="684"/>
      <c r="LCP75" s="684"/>
      <c r="LCQ75" s="684"/>
      <c r="LCR75" s="684"/>
      <c r="LCS75" s="684"/>
      <c r="LCT75" s="684"/>
      <c r="LCU75" s="684"/>
      <c r="LCV75" s="684"/>
      <c r="LCW75" s="684"/>
      <c r="LCX75" s="684"/>
      <c r="LCY75" s="684"/>
      <c r="LCZ75" s="684"/>
      <c r="LDA75" s="684"/>
      <c r="LDB75" s="684"/>
      <c r="LDC75" s="684"/>
      <c r="LDD75" s="684"/>
      <c r="LDE75" s="684"/>
      <c r="LDF75" s="684"/>
      <c r="LDG75" s="684"/>
      <c r="LDH75" s="684"/>
      <c r="LDI75" s="684"/>
      <c r="LDJ75" s="684"/>
      <c r="LDK75" s="684"/>
      <c r="LDL75" s="684"/>
      <c r="LDM75" s="684"/>
      <c r="LDN75" s="684"/>
      <c r="LDO75" s="684"/>
      <c r="LDP75" s="684"/>
      <c r="LDQ75" s="684"/>
      <c r="LDR75" s="684"/>
      <c r="LDS75" s="684"/>
      <c r="LDT75" s="684"/>
      <c r="LDU75" s="684"/>
      <c r="LDV75" s="684"/>
      <c r="LDW75" s="684"/>
      <c r="LDX75" s="684"/>
      <c r="LDY75" s="684"/>
      <c r="LDZ75" s="684"/>
      <c r="LEA75" s="684"/>
      <c r="LEB75" s="684"/>
      <c r="LEC75" s="684"/>
      <c r="LED75" s="684"/>
      <c r="LEE75" s="684"/>
      <c r="LEF75" s="684"/>
      <c r="LEG75" s="684"/>
      <c r="LEH75" s="684"/>
      <c r="LEI75" s="684"/>
      <c r="LEJ75" s="684"/>
      <c r="LEK75" s="684"/>
      <c r="LEL75" s="684"/>
      <c r="LEM75" s="684"/>
      <c r="LEN75" s="684"/>
      <c r="LEO75" s="684"/>
      <c r="LEP75" s="684"/>
      <c r="LEQ75" s="684"/>
      <c r="LER75" s="684"/>
      <c r="LES75" s="684"/>
      <c r="LET75" s="684"/>
      <c r="LEU75" s="684"/>
      <c r="LEV75" s="684"/>
      <c r="LEW75" s="684"/>
      <c r="LEX75" s="684"/>
      <c r="LEY75" s="684"/>
      <c r="LEZ75" s="684"/>
      <c r="LFA75" s="684"/>
      <c r="LFB75" s="684"/>
      <c r="LFC75" s="684"/>
      <c r="LFD75" s="684"/>
      <c r="LFE75" s="684"/>
      <c r="LFF75" s="684"/>
      <c r="LFG75" s="684"/>
      <c r="LFH75" s="684"/>
      <c r="LFI75" s="684"/>
      <c r="LFJ75" s="684"/>
      <c r="LFK75" s="684"/>
      <c r="LFL75" s="684"/>
      <c r="LFM75" s="684"/>
      <c r="LFN75" s="684"/>
      <c r="LFO75" s="684"/>
      <c r="LFP75" s="684"/>
      <c r="LFQ75" s="684"/>
      <c r="LFR75" s="684"/>
      <c r="LFS75" s="684"/>
      <c r="LFT75" s="684"/>
      <c r="LFU75" s="684"/>
      <c r="LFV75" s="684"/>
      <c r="LFW75" s="684"/>
      <c r="LFX75" s="684"/>
      <c r="LFY75" s="684"/>
      <c r="LFZ75" s="684"/>
      <c r="LGA75" s="684"/>
      <c r="LGB75" s="684"/>
      <c r="LGC75" s="684"/>
      <c r="LGD75" s="684"/>
      <c r="LGE75" s="684"/>
      <c r="LGF75" s="684"/>
      <c r="LGG75" s="684"/>
      <c r="LGH75" s="684"/>
      <c r="LGI75" s="684"/>
      <c r="LGJ75" s="684"/>
      <c r="LGK75" s="684"/>
      <c r="LGL75" s="684"/>
      <c r="LGM75" s="684"/>
      <c r="LGN75" s="684"/>
      <c r="LGO75" s="684"/>
      <c r="LGP75" s="684"/>
      <c r="LGQ75" s="684"/>
      <c r="LGR75" s="684"/>
      <c r="LGS75" s="684"/>
      <c r="LGT75" s="684"/>
      <c r="LGU75" s="684"/>
      <c r="LGV75" s="684"/>
      <c r="LGW75" s="684"/>
      <c r="LGX75" s="684"/>
      <c r="LGY75" s="684"/>
      <c r="LGZ75" s="684"/>
      <c r="LHA75" s="684"/>
      <c r="LHB75" s="684"/>
      <c r="LHC75" s="684"/>
      <c r="LHD75" s="684"/>
      <c r="LHE75" s="684"/>
      <c r="LHF75" s="684"/>
      <c r="LHG75" s="684"/>
      <c r="LHH75" s="684"/>
      <c r="LHI75" s="684"/>
      <c r="LHJ75" s="684"/>
      <c r="LHK75" s="684"/>
      <c r="LHL75" s="684"/>
      <c r="LHM75" s="684"/>
      <c r="LHN75" s="684"/>
      <c r="LHO75" s="684"/>
      <c r="LHP75" s="684"/>
      <c r="LHQ75" s="684"/>
      <c r="LHR75" s="684"/>
      <c r="LHS75" s="684"/>
      <c r="LHT75" s="684"/>
      <c r="LHU75" s="684"/>
      <c r="LHV75" s="684"/>
      <c r="LHW75" s="684"/>
      <c r="LHX75" s="684"/>
      <c r="LHY75" s="684"/>
      <c r="LHZ75" s="684"/>
      <c r="LIA75" s="684"/>
      <c r="LIB75" s="684"/>
      <c r="LIC75" s="684"/>
      <c r="LID75" s="684"/>
      <c r="LIE75" s="684"/>
      <c r="LIF75" s="684"/>
      <c r="LIG75" s="684"/>
      <c r="LIH75" s="684"/>
      <c r="LII75" s="684"/>
      <c r="LIJ75" s="684"/>
      <c r="LIK75" s="684"/>
      <c r="LIL75" s="684"/>
      <c r="LIM75" s="684"/>
      <c r="LIN75" s="684"/>
      <c r="LIO75" s="684"/>
      <c r="LIP75" s="684"/>
      <c r="LIQ75" s="684"/>
      <c r="LIR75" s="684"/>
      <c r="LIS75" s="684"/>
      <c r="LIT75" s="684"/>
      <c r="LIU75" s="684"/>
      <c r="LIV75" s="684"/>
      <c r="LIW75" s="684"/>
      <c r="LIX75" s="684"/>
      <c r="LIY75" s="684"/>
      <c r="LIZ75" s="684"/>
      <c r="LJA75" s="684"/>
      <c r="LJB75" s="684"/>
      <c r="LJC75" s="684"/>
      <c r="LJD75" s="684"/>
      <c r="LJE75" s="684"/>
      <c r="LJF75" s="684"/>
      <c r="LJG75" s="684"/>
      <c r="LJH75" s="684"/>
      <c r="LJI75" s="684"/>
      <c r="LJJ75" s="684"/>
      <c r="LJK75" s="684"/>
      <c r="LJL75" s="684"/>
      <c r="LJM75" s="684"/>
      <c r="LJN75" s="684"/>
      <c r="LJO75" s="684"/>
      <c r="LJP75" s="684"/>
      <c r="LJQ75" s="684"/>
      <c r="LJR75" s="684"/>
      <c r="LJS75" s="684"/>
      <c r="LJT75" s="684"/>
      <c r="LJU75" s="684"/>
      <c r="LJV75" s="684"/>
      <c r="LJW75" s="684"/>
      <c r="LJX75" s="684"/>
      <c r="LJY75" s="684"/>
      <c r="LJZ75" s="684"/>
      <c r="LKA75" s="684"/>
      <c r="LKB75" s="684"/>
      <c r="LKC75" s="684"/>
      <c r="LKD75" s="684"/>
      <c r="LKE75" s="684"/>
      <c r="LKF75" s="684"/>
      <c r="LKG75" s="684"/>
      <c r="LKH75" s="684"/>
      <c r="LKI75" s="684"/>
      <c r="LKJ75" s="684"/>
      <c r="LKK75" s="684"/>
      <c r="LKL75" s="684"/>
      <c r="LKM75" s="684"/>
      <c r="LKN75" s="684"/>
      <c r="LKO75" s="684"/>
      <c r="LKP75" s="684"/>
      <c r="LKQ75" s="684"/>
      <c r="LKR75" s="684"/>
      <c r="LKS75" s="684"/>
      <c r="LKT75" s="684"/>
      <c r="LKU75" s="684"/>
      <c r="LKV75" s="684"/>
      <c r="LKW75" s="684"/>
      <c r="LKX75" s="684"/>
      <c r="LKY75" s="684"/>
      <c r="LKZ75" s="684"/>
      <c r="LLA75" s="684"/>
      <c r="LLB75" s="684"/>
      <c r="LLC75" s="684"/>
      <c r="LLD75" s="684"/>
      <c r="LLE75" s="684"/>
      <c r="LLF75" s="684"/>
      <c r="LLG75" s="684"/>
      <c r="LLH75" s="684"/>
      <c r="LLI75" s="684"/>
      <c r="LLJ75" s="684"/>
      <c r="LLK75" s="684"/>
      <c r="LLL75" s="684"/>
      <c r="LLM75" s="684"/>
      <c r="LLN75" s="684"/>
      <c r="LLO75" s="684"/>
      <c r="LLP75" s="684"/>
      <c r="LLQ75" s="684"/>
      <c r="LLR75" s="684"/>
      <c r="LLS75" s="684"/>
      <c r="LLT75" s="684"/>
      <c r="LLU75" s="684"/>
      <c r="LLV75" s="684"/>
      <c r="LLW75" s="684"/>
      <c r="LLX75" s="684"/>
      <c r="LLY75" s="684"/>
      <c r="LLZ75" s="684"/>
      <c r="LMA75" s="684"/>
      <c r="LMB75" s="684"/>
      <c r="LMC75" s="684"/>
      <c r="LMD75" s="684"/>
      <c r="LME75" s="684"/>
      <c r="LMF75" s="684"/>
      <c r="LMG75" s="684"/>
      <c r="LMH75" s="684"/>
      <c r="LMI75" s="684"/>
      <c r="LMJ75" s="684"/>
      <c r="LMK75" s="684"/>
      <c r="LML75" s="684"/>
      <c r="LMM75" s="684"/>
      <c r="LMN75" s="684"/>
      <c r="LMO75" s="684"/>
      <c r="LMP75" s="684"/>
      <c r="LMQ75" s="684"/>
      <c r="LMR75" s="684"/>
      <c r="LMS75" s="684"/>
      <c r="LMT75" s="684"/>
      <c r="LMU75" s="684"/>
      <c r="LMV75" s="684"/>
      <c r="LMW75" s="684"/>
      <c r="LMX75" s="684"/>
      <c r="LMY75" s="684"/>
      <c r="LMZ75" s="684"/>
      <c r="LNA75" s="684"/>
      <c r="LNB75" s="684"/>
      <c r="LNC75" s="684"/>
      <c r="LND75" s="684"/>
      <c r="LNE75" s="684"/>
      <c r="LNF75" s="684"/>
      <c r="LNG75" s="684"/>
      <c r="LNH75" s="684"/>
      <c r="LNI75" s="684"/>
      <c r="LNJ75" s="684"/>
      <c r="LNK75" s="684"/>
      <c r="LNL75" s="684"/>
      <c r="LNM75" s="684"/>
      <c r="LNN75" s="684"/>
      <c r="LNO75" s="684"/>
      <c r="LNP75" s="684"/>
      <c r="LNQ75" s="684"/>
      <c r="LNR75" s="684"/>
      <c r="LNS75" s="684"/>
      <c r="LNT75" s="684"/>
      <c r="LNU75" s="684"/>
      <c r="LNV75" s="684"/>
      <c r="LNW75" s="684"/>
      <c r="LNX75" s="684"/>
      <c r="LNY75" s="684"/>
      <c r="LNZ75" s="684"/>
      <c r="LOA75" s="684"/>
      <c r="LOB75" s="684"/>
      <c r="LOC75" s="684"/>
      <c r="LOD75" s="684"/>
      <c r="LOE75" s="684"/>
      <c r="LOF75" s="684"/>
      <c r="LOG75" s="684"/>
      <c r="LOH75" s="684"/>
      <c r="LOI75" s="684"/>
      <c r="LOJ75" s="684"/>
      <c r="LOK75" s="684"/>
      <c r="LOL75" s="684"/>
      <c r="LOM75" s="684"/>
      <c r="LON75" s="684"/>
      <c r="LOO75" s="684"/>
      <c r="LOP75" s="684"/>
      <c r="LOQ75" s="684"/>
      <c r="LOR75" s="684"/>
      <c r="LOS75" s="684"/>
      <c r="LOT75" s="684"/>
      <c r="LOU75" s="684"/>
      <c r="LOV75" s="684"/>
      <c r="LOW75" s="684"/>
      <c r="LOX75" s="684"/>
      <c r="LOY75" s="684"/>
      <c r="LOZ75" s="684"/>
      <c r="LPA75" s="684"/>
      <c r="LPB75" s="684"/>
      <c r="LPC75" s="684"/>
      <c r="LPD75" s="684"/>
      <c r="LPE75" s="684"/>
      <c r="LPF75" s="684"/>
      <c r="LPG75" s="684"/>
      <c r="LPH75" s="684"/>
      <c r="LPI75" s="684"/>
      <c r="LPJ75" s="684"/>
      <c r="LPK75" s="684"/>
      <c r="LPL75" s="684"/>
      <c r="LPM75" s="684"/>
      <c r="LPN75" s="684"/>
      <c r="LPO75" s="684"/>
      <c r="LPP75" s="684"/>
      <c r="LPQ75" s="684"/>
      <c r="LPR75" s="684"/>
      <c r="LPS75" s="684"/>
      <c r="LPT75" s="684"/>
      <c r="LPU75" s="684"/>
      <c r="LPV75" s="684"/>
      <c r="LPW75" s="684"/>
      <c r="LPX75" s="684"/>
      <c r="LPY75" s="684"/>
      <c r="LPZ75" s="684"/>
      <c r="LQA75" s="684"/>
      <c r="LQB75" s="684"/>
      <c r="LQC75" s="684"/>
      <c r="LQD75" s="684"/>
      <c r="LQE75" s="684"/>
      <c r="LQF75" s="684"/>
      <c r="LQG75" s="684"/>
      <c r="LQH75" s="684"/>
      <c r="LQI75" s="684"/>
      <c r="LQJ75" s="684"/>
      <c r="LQK75" s="684"/>
      <c r="LQL75" s="684"/>
      <c r="LQM75" s="684"/>
      <c r="LQN75" s="684"/>
      <c r="LQO75" s="684"/>
      <c r="LQP75" s="684"/>
      <c r="LQQ75" s="684"/>
      <c r="LQR75" s="684"/>
      <c r="LQS75" s="684"/>
      <c r="LQT75" s="684"/>
      <c r="LQU75" s="684"/>
      <c r="LQV75" s="684"/>
      <c r="LQW75" s="684"/>
      <c r="LQX75" s="684"/>
      <c r="LQY75" s="684"/>
      <c r="LQZ75" s="684"/>
      <c r="LRA75" s="684"/>
      <c r="LRB75" s="684"/>
      <c r="LRC75" s="684"/>
      <c r="LRD75" s="684"/>
      <c r="LRE75" s="684"/>
      <c r="LRF75" s="684"/>
      <c r="LRG75" s="684"/>
      <c r="LRH75" s="684"/>
      <c r="LRI75" s="684"/>
      <c r="LRJ75" s="684"/>
      <c r="LRK75" s="684"/>
      <c r="LRL75" s="684"/>
      <c r="LRM75" s="684"/>
      <c r="LRN75" s="684"/>
      <c r="LRO75" s="684"/>
      <c r="LRP75" s="684"/>
      <c r="LRQ75" s="684"/>
      <c r="LRR75" s="684"/>
      <c r="LRS75" s="684"/>
      <c r="LRT75" s="684"/>
      <c r="LRU75" s="684"/>
      <c r="LRV75" s="684"/>
      <c r="LRW75" s="684"/>
      <c r="LRX75" s="684"/>
      <c r="LRY75" s="684"/>
      <c r="LRZ75" s="684"/>
      <c r="LSA75" s="684"/>
      <c r="LSB75" s="684"/>
      <c r="LSC75" s="684"/>
      <c r="LSD75" s="684"/>
      <c r="LSE75" s="684"/>
      <c r="LSF75" s="684"/>
      <c r="LSG75" s="684"/>
      <c r="LSH75" s="684"/>
      <c r="LSI75" s="684"/>
      <c r="LSJ75" s="684"/>
      <c r="LSK75" s="684"/>
      <c r="LSL75" s="684"/>
      <c r="LSM75" s="684"/>
      <c r="LSN75" s="684"/>
      <c r="LSO75" s="684"/>
      <c r="LSP75" s="684"/>
      <c r="LSQ75" s="684"/>
      <c r="LSR75" s="684"/>
      <c r="LSS75" s="684"/>
      <c r="LST75" s="684"/>
      <c r="LSU75" s="684"/>
      <c r="LSV75" s="684"/>
      <c r="LSW75" s="684"/>
      <c r="LSX75" s="684"/>
      <c r="LSY75" s="684"/>
      <c r="LSZ75" s="684"/>
      <c r="LTA75" s="684"/>
      <c r="LTB75" s="684"/>
      <c r="LTC75" s="684"/>
      <c r="LTD75" s="684"/>
      <c r="LTE75" s="684"/>
      <c r="LTF75" s="684"/>
      <c r="LTG75" s="684"/>
      <c r="LTH75" s="684"/>
      <c r="LTI75" s="684"/>
      <c r="LTJ75" s="684"/>
      <c r="LTK75" s="684"/>
      <c r="LTL75" s="684"/>
      <c r="LTM75" s="684"/>
      <c r="LTN75" s="684"/>
      <c r="LTO75" s="684"/>
      <c r="LTP75" s="684"/>
      <c r="LTQ75" s="684"/>
      <c r="LTR75" s="684"/>
      <c r="LTS75" s="684"/>
      <c r="LTT75" s="684"/>
      <c r="LTU75" s="684"/>
      <c r="LTV75" s="684"/>
      <c r="LTW75" s="684"/>
      <c r="LTX75" s="684"/>
      <c r="LTY75" s="684"/>
      <c r="LTZ75" s="684"/>
      <c r="LUA75" s="684"/>
      <c r="LUB75" s="684"/>
      <c r="LUC75" s="684"/>
      <c r="LUD75" s="684"/>
      <c r="LUE75" s="684"/>
      <c r="LUF75" s="684"/>
      <c r="LUG75" s="684"/>
      <c r="LUH75" s="684"/>
      <c r="LUI75" s="684"/>
      <c r="LUJ75" s="684"/>
      <c r="LUK75" s="684"/>
      <c r="LUL75" s="684"/>
      <c r="LUM75" s="684"/>
      <c r="LUN75" s="684"/>
      <c r="LUO75" s="684"/>
      <c r="LUP75" s="684"/>
      <c r="LUQ75" s="684"/>
      <c r="LUR75" s="684"/>
      <c r="LUS75" s="684"/>
      <c r="LUT75" s="684"/>
      <c r="LUU75" s="684"/>
      <c r="LUV75" s="684"/>
      <c r="LUW75" s="684"/>
      <c r="LUX75" s="684"/>
      <c r="LUY75" s="684"/>
      <c r="LUZ75" s="684"/>
      <c r="LVA75" s="684"/>
      <c r="LVB75" s="684"/>
      <c r="LVC75" s="684"/>
      <c r="LVD75" s="684"/>
      <c r="LVE75" s="684"/>
      <c r="LVF75" s="684"/>
      <c r="LVG75" s="684"/>
      <c r="LVH75" s="684"/>
      <c r="LVI75" s="684"/>
      <c r="LVJ75" s="684"/>
      <c r="LVK75" s="684"/>
      <c r="LVL75" s="684"/>
      <c r="LVM75" s="684"/>
      <c r="LVN75" s="684"/>
      <c r="LVO75" s="684"/>
      <c r="LVP75" s="684"/>
      <c r="LVQ75" s="684"/>
      <c r="LVR75" s="684"/>
      <c r="LVS75" s="684"/>
      <c r="LVT75" s="684"/>
      <c r="LVU75" s="684"/>
      <c r="LVV75" s="684"/>
      <c r="LVW75" s="684"/>
      <c r="LVX75" s="684"/>
      <c r="LVY75" s="684"/>
      <c r="LVZ75" s="684"/>
      <c r="LWA75" s="684"/>
      <c r="LWB75" s="684"/>
      <c r="LWC75" s="684"/>
      <c r="LWD75" s="684"/>
      <c r="LWE75" s="684"/>
      <c r="LWF75" s="684"/>
      <c r="LWG75" s="684"/>
      <c r="LWH75" s="684"/>
      <c r="LWI75" s="684"/>
      <c r="LWJ75" s="684"/>
      <c r="LWK75" s="684"/>
      <c r="LWL75" s="684"/>
      <c r="LWM75" s="684"/>
      <c r="LWN75" s="684"/>
      <c r="LWO75" s="684"/>
      <c r="LWP75" s="684"/>
      <c r="LWQ75" s="684"/>
      <c r="LWR75" s="684"/>
      <c r="LWS75" s="684"/>
      <c r="LWT75" s="684"/>
      <c r="LWU75" s="684"/>
      <c r="LWV75" s="684"/>
      <c r="LWW75" s="684"/>
      <c r="LWX75" s="684"/>
      <c r="LWY75" s="684"/>
      <c r="LWZ75" s="684"/>
      <c r="LXA75" s="684"/>
      <c r="LXB75" s="684"/>
      <c r="LXC75" s="684"/>
      <c r="LXD75" s="684"/>
      <c r="LXE75" s="684"/>
      <c r="LXF75" s="684"/>
      <c r="LXG75" s="684"/>
      <c r="LXH75" s="684"/>
      <c r="LXI75" s="684"/>
      <c r="LXJ75" s="684"/>
      <c r="LXK75" s="684"/>
      <c r="LXL75" s="684"/>
      <c r="LXM75" s="684"/>
      <c r="LXN75" s="684"/>
      <c r="LXO75" s="684"/>
      <c r="LXP75" s="684"/>
      <c r="LXQ75" s="684"/>
      <c r="LXR75" s="684"/>
      <c r="LXS75" s="684"/>
      <c r="LXT75" s="684"/>
      <c r="LXU75" s="684"/>
      <c r="LXV75" s="684"/>
      <c r="LXW75" s="684"/>
      <c r="LXX75" s="684"/>
      <c r="LXY75" s="684"/>
      <c r="LXZ75" s="684"/>
      <c r="LYA75" s="684"/>
      <c r="LYB75" s="684"/>
      <c r="LYC75" s="684"/>
      <c r="LYD75" s="684"/>
      <c r="LYE75" s="684"/>
      <c r="LYF75" s="684"/>
      <c r="LYG75" s="684"/>
      <c r="LYH75" s="684"/>
      <c r="LYI75" s="684"/>
      <c r="LYJ75" s="684"/>
      <c r="LYK75" s="684"/>
      <c r="LYL75" s="684"/>
      <c r="LYM75" s="684"/>
      <c r="LYN75" s="684"/>
      <c r="LYO75" s="684"/>
      <c r="LYP75" s="684"/>
      <c r="LYQ75" s="684"/>
      <c r="LYR75" s="684"/>
      <c r="LYS75" s="684"/>
      <c r="LYT75" s="684"/>
      <c r="LYU75" s="684"/>
      <c r="LYV75" s="684"/>
      <c r="LYW75" s="684"/>
      <c r="LYX75" s="684"/>
      <c r="LYY75" s="684"/>
      <c r="LYZ75" s="684"/>
      <c r="LZA75" s="684"/>
      <c r="LZB75" s="684"/>
      <c r="LZC75" s="684"/>
      <c r="LZD75" s="684"/>
      <c r="LZE75" s="684"/>
      <c r="LZF75" s="684"/>
      <c r="LZG75" s="684"/>
      <c r="LZH75" s="684"/>
      <c r="LZI75" s="684"/>
      <c r="LZJ75" s="684"/>
      <c r="LZK75" s="684"/>
      <c r="LZL75" s="684"/>
      <c r="LZM75" s="684"/>
      <c r="LZN75" s="684"/>
      <c r="LZO75" s="684"/>
      <c r="LZP75" s="684"/>
      <c r="LZQ75" s="684"/>
      <c r="LZR75" s="684"/>
      <c r="LZS75" s="684"/>
      <c r="LZT75" s="684"/>
      <c r="LZU75" s="684"/>
      <c r="LZV75" s="684"/>
      <c r="LZW75" s="684"/>
      <c r="LZX75" s="684"/>
      <c r="LZY75" s="684"/>
      <c r="LZZ75" s="684"/>
      <c r="MAA75" s="684"/>
      <c r="MAB75" s="684"/>
      <c r="MAC75" s="684"/>
      <c r="MAD75" s="684"/>
      <c r="MAE75" s="684"/>
      <c r="MAF75" s="684"/>
      <c r="MAG75" s="684"/>
      <c r="MAH75" s="684"/>
      <c r="MAI75" s="684"/>
      <c r="MAJ75" s="684"/>
      <c r="MAK75" s="684"/>
      <c r="MAL75" s="684"/>
      <c r="MAM75" s="684"/>
      <c r="MAN75" s="684"/>
      <c r="MAO75" s="684"/>
      <c r="MAP75" s="684"/>
      <c r="MAQ75" s="684"/>
      <c r="MAR75" s="684"/>
      <c r="MAS75" s="684"/>
      <c r="MAT75" s="684"/>
      <c r="MAU75" s="684"/>
      <c r="MAV75" s="684"/>
      <c r="MAW75" s="684"/>
      <c r="MAX75" s="684"/>
      <c r="MAY75" s="684"/>
      <c r="MAZ75" s="684"/>
      <c r="MBA75" s="684"/>
      <c r="MBB75" s="684"/>
      <c r="MBC75" s="684"/>
      <c r="MBD75" s="684"/>
      <c r="MBE75" s="684"/>
      <c r="MBF75" s="684"/>
      <c r="MBG75" s="684"/>
      <c r="MBH75" s="684"/>
      <c r="MBI75" s="684"/>
      <c r="MBJ75" s="684"/>
      <c r="MBK75" s="684"/>
      <c r="MBL75" s="684"/>
      <c r="MBM75" s="684"/>
      <c r="MBN75" s="684"/>
      <c r="MBO75" s="684"/>
      <c r="MBP75" s="684"/>
      <c r="MBQ75" s="684"/>
      <c r="MBR75" s="684"/>
      <c r="MBS75" s="684"/>
      <c r="MBT75" s="684"/>
      <c r="MBU75" s="684"/>
      <c r="MBV75" s="684"/>
      <c r="MBW75" s="684"/>
      <c r="MBX75" s="684"/>
      <c r="MBY75" s="684"/>
      <c r="MBZ75" s="684"/>
      <c r="MCA75" s="684"/>
      <c r="MCB75" s="684"/>
      <c r="MCC75" s="684"/>
      <c r="MCD75" s="684"/>
      <c r="MCE75" s="684"/>
      <c r="MCF75" s="684"/>
      <c r="MCG75" s="684"/>
      <c r="MCH75" s="684"/>
      <c r="MCI75" s="684"/>
      <c r="MCJ75" s="684"/>
      <c r="MCK75" s="684"/>
      <c r="MCL75" s="684"/>
      <c r="MCM75" s="684"/>
      <c r="MCN75" s="684"/>
      <c r="MCO75" s="684"/>
      <c r="MCP75" s="684"/>
      <c r="MCQ75" s="684"/>
      <c r="MCR75" s="684"/>
      <c r="MCS75" s="684"/>
      <c r="MCT75" s="684"/>
      <c r="MCU75" s="684"/>
      <c r="MCV75" s="684"/>
      <c r="MCW75" s="684"/>
      <c r="MCX75" s="684"/>
      <c r="MCY75" s="684"/>
      <c r="MCZ75" s="684"/>
      <c r="MDA75" s="684"/>
      <c r="MDB75" s="684"/>
      <c r="MDC75" s="684"/>
      <c r="MDD75" s="684"/>
      <c r="MDE75" s="684"/>
      <c r="MDF75" s="684"/>
      <c r="MDG75" s="684"/>
      <c r="MDH75" s="684"/>
      <c r="MDI75" s="684"/>
      <c r="MDJ75" s="684"/>
      <c r="MDK75" s="684"/>
      <c r="MDL75" s="684"/>
      <c r="MDM75" s="684"/>
      <c r="MDN75" s="684"/>
      <c r="MDO75" s="684"/>
      <c r="MDP75" s="684"/>
      <c r="MDQ75" s="684"/>
      <c r="MDR75" s="684"/>
      <c r="MDS75" s="684"/>
      <c r="MDT75" s="684"/>
      <c r="MDU75" s="684"/>
      <c r="MDV75" s="684"/>
      <c r="MDW75" s="684"/>
      <c r="MDX75" s="684"/>
      <c r="MDY75" s="684"/>
      <c r="MDZ75" s="684"/>
      <c r="MEA75" s="684"/>
      <c r="MEB75" s="684"/>
      <c r="MEC75" s="684"/>
      <c r="MED75" s="684"/>
      <c r="MEE75" s="684"/>
      <c r="MEF75" s="684"/>
      <c r="MEG75" s="684"/>
      <c r="MEH75" s="684"/>
      <c r="MEI75" s="684"/>
      <c r="MEJ75" s="684"/>
      <c r="MEK75" s="684"/>
      <c r="MEL75" s="684"/>
      <c r="MEM75" s="684"/>
      <c r="MEN75" s="684"/>
      <c r="MEO75" s="684"/>
      <c r="MEP75" s="684"/>
      <c r="MEQ75" s="684"/>
      <c r="MER75" s="684"/>
      <c r="MES75" s="684"/>
      <c r="MET75" s="684"/>
      <c r="MEU75" s="684"/>
      <c r="MEV75" s="684"/>
      <c r="MEW75" s="684"/>
      <c r="MEX75" s="684"/>
      <c r="MEY75" s="684"/>
      <c r="MEZ75" s="684"/>
      <c r="MFA75" s="684"/>
      <c r="MFB75" s="684"/>
      <c r="MFC75" s="684"/>
      <c r="MFD75" s="684"/>
      <c r="MFE75" s="684"/>
      <c r="MFF75" s="684"/>
      <c r="MFG75" s="684"/>
      <c r="MFH75" s="684"/>
      <c r="MFI75" s="684"/>
      <c r="MFJ75" s="684"/>
      <c r="MFK75" s="684"/>
      <c r="MFL75" s="684"/>
      <c r="MFM75" s="684"/>
      <c r="MFN75" s="684"/>
      <c r="MFO75" s="684"/>
      <c r="MFP75" s="684"/>
      <c r="MFQ75" s="684"/>
      <c r="MFR75" s="684"/>
      <c r="MFS75" s="684"/>
      <c r="MFT75" s="684"/>
      <c r="MFU75" s="684"/>
      <c r="MFV75" s="684"/>
      <c r="MFW75" s="684"/>
      <c r="MFX75" s="684"/>
      <c r="MFY75" s="684"/>
      <c r="MFZ75" s="684"/>
      <c r="MGA75" s="684"/>
      <c r="MGB75" s="684"/>
      <c r="MGC75" s="684"/>
      <c r="MGD75" s="684"/>
      <c r="MGE75" s="684"/>
      <c r="MGF75" s="684"/>
      <c r="MGG75" s="684"/>
      <c r="MGH75" s="684"/>
      <c r="MGI75" s="684"/>
      <c r="MGJ75" s="684"/>
      <c r="MGK75" s="684"/>
      <c r="MGL75" s="684"/>
      <c r="MGM75" s="684"/>
      <c r="MGN75" s="684"/>
      <c r="MGO75" s="684"/>
      <c r="MGP75" s="684"/>
      <c r="MGQ75" s="684"/>
      <c r="MGR75" s="684"/>
      <c r="MGS75" s="684"/>
      <c r="MGT75" s="684"/>
      <c r="MGU75" s="684"/>
      <c r="MGV75" s="684"/>
      <c r="MGW75" s="684"/>
      <c r="MGX75" s="684"/>
      <c r="MGY75" s="684"/>
      <c r="MGZ75" s="684"/>
      <c r="MHA75" s="684"/>
      <c r="MHB75" s="684"/>
      <c r="MHC75" s="684"/>
      <c r="MHD75" s="684"/>
      <c r="MHE75" s="684"/>
      <c r="MHF75" s="684"/>
      <c r="MHG75" s="684"/>
      <c r="MHH75" s="684"/>
      <c r="MHI75" s="684"/>
      <c r="MHJ75" s="684"/>
      <c r="MHK75" s="684"/>
      <c r="MHL75" s="684"/>
      <c r="MHM75" s="684"/>
      <c r="MHN75" s="684"/>
      <c r="MHO75" s="684"/>
      <c r="MHP75" s="684"/>
      <c r="MHQ75" s="684"/>
      <c r="MHR75" s="684"/>
      <c r="MHS75" s="684"/>
      <c r="MHT75" s="684"/>
      <c r="MHU75" s="684"/>
      <c r="MHV75" s="684"/>
      <c r="MHW75" s="684"/>
      <c r="MHX75" s="684"/>
      <c r="MHY75" s="684"/>
      <c r="MHZ75" s="684"/>
      <c r="MIA75" s="684"/>
      <c r="MIB75" s="684"/>
      <c r="MIC75" s="684"/>
      <c r="MID75" s="684"/>
      <c r="MIE75" s="684"/>
      <c r="MIF75" s="684"/>
      <c r="MIG75" s="684"/>
      <c r="MIH75" s="684"/>
      <c r="MII75" s="684"/>
      <c r="MIJ75" s="684"/>
      <c r="MIK75" s="684"/>
      <c r="MIL75" s="684"/>
      <c r="MIM75" s="684"/>
      <c r="MIN75" s="684"/>
      <c r="MIO75" s="684"/>
      <c r="MIP75" s="684"/>
      <c r="MIQ75" s="684"/>
      <c r="MIR75" s="684"/>
      <c r="MIS75" s="684"/>
      <c r="MIT75" s="684"/>
      <c r="MIU75" s="684"/>
      <c r="MIV75" s="684"/>
      <c r="MIW75" s="684"/>
      <c r="MIX75" s="684"/>
      <c r="MIY75" s="684"/>
      <c r="MIZ75" s="684"/>
      <c r="MJA75" s="684"/>
      <c r="MJB75" s="684"/>
      <c r="MJC75" s="684"/>
      <c r="MJD75" s="684"/>
      <c r="MJE75" s="684"/>
      <c r="MJF75" s="684"/>
      <c r="MJG75" s="684"/>
      <c r="MJH75" s="684"/>
      <c r="MJI75" s="684"/>
      <c r="MJJ75" s="684"/>
      <c r="MJK75" s="684"/>
      <c r="MJL75" s="684"/>
      <c r="MJM75" s="684"/>
      <c r="MJN75" s="684"/>
      <c r="MJO75" s="684"/>
      <c r="MJP75" s="684"/>
      <c r="MJQ75" s="684"/>
      <c r="MJR75" s="684"/>
      <c r="MJS75" s="684"/>
      <c r="MJT75" s="684"/>
      <c r="MJU75" s="684"/>
      <c r="MJV75" s="684"/>
      <c r="MJW75" s="684"/>
      <c r="MJX75" s="684"/>
      <c r="MJY75" s="684"/>
      <c r="MJZ75" s="684"/>
      <c r="MKA75" s="684"/>
      <c r="MKB75" s="684"/>
      <c r="MKC75" s="684"/>
      <c r="MKD75" s="684"/>
      <c r="MKE75" s="684"/>
      <c r="MKF75" s="684"/>
      <c r="MKG75" s="684"/>
      <c r="MKH75" s="684"/>
      <c r="MKI75" s="684"/>
      <c r="MKJ75" s="684"/>
      <c r="MKK75" s="684"/>
      <c r="MKL75" s="684"/>
      <c r="MKM75" s="684"/>
      <c r="MKN75" s="684"/>
      <c r="MKO75" s="684"/>
      <c r="MKP75" s="684"/>
      <c r="MKQ75" s="684"/>
      <c r="MKR75" s="684"/>
      <c r="MKS75" s="684"/>
      <c r="MKT75" s="684"/>
      <c r="MKU75" s="684"/>
      <c r="MKV75" s="684"/>
      <c r="MKW75" s="684"/>
      <c r="MKX75" s="684"/>
      <c r="MKY75" s="684"/>
      <c r="MKZ75" s="684"/>
      <c r="MLA75" s="684"/>
      <c r="MLB75" s="684"/>
      <c r="MLC75" s="684"/>
      <c r="MLD75" s="684"/>
      <c r="MLE75" s="684"/>
      <c r="MLF75" s="684"/>
      <c r="MLG75" s="684"/>
      <c r="MLH75" s="684"/>
      <c r="MLI75" s="684"/>
      <c r="MLJ75" s="684"/>
      <c r="MLK75" s="684"/>
      <c r="MLL75" s="684"/>
      <c r="MLM75" s="684"/>
      <c r="MLN75" s="684"/>
      <c r="MLO75" s="684"/>
      <c r="MLP75" s="684"/>
      <c r="MLQ75" s="684"/>
      <c r="MLR75" s="684"/>
      <c r="MLS75" s="684"/>
      <c r="MLT75" s="684"/>
      <c r="MLU75" s="684"/>
      <c r="MLV75" s="684"/>
      <c r="MLW75" s="684"/>
      <c r="MLX75" s="684"/>
      <c r="MLY75" s="684"/>
      <c r="MLZ75" s="684"/>
      <c r="MMA75" s="684"/>
      <c r="MMB75" s="684"/>
      <c r="MMC75" s="684"/>
      <c r="MMD75" s="684"/>
      <c r="MME75" s="684"/>
      <c r="MMF75" s="684"/>
      <c r="MMG75" s="684"/>
      <c r="MMH75" s="684"/>
      <c r="MMI75" s="684"/>
      <c r="MMJ75" s="684"/>
      <c r="MMK75" s="684"/>
      <c r="MML75" s="684"/>
      <c r="MMM75" s="684"/>
      <c r="MMN75" s="684"/>
      <c r="MMO75" s="684"/>
      <c r="MMP75" s="684"/>
      <c r="MMQ75" s="684"/>
      <c r="MMR75" s="684"/>
      <c r="MMS75" s="684"/>
      <c r="MMT75" s="684"/>
      <c r="MMU75" s="684"/>
      <c r="MMV75" s="684"/>
      <c r="MMW75" s="684"/>
      <c r="MMX75" s="684"/>
      <c r="MMY75" s="684"/>
      <c r="MMZ75" s="684"/>
      <c r="MNA75" s="684"/>
      <c r="MNB75" s="684"/>
      <c r="MNC75" s="684"/>
      <c r="MND75" s="684"/>
      <c r="MNE75" s="684"/>
      <c r="MNF75" s="684"/>
      <c r="MNG75" s="684"/>
      <c r="MNH75" s="684"/>
      <c r="MNI75" s="684"/>
      <c r="MNJ75" s="684"/>
      <c r="MNK75" s="684"/>
      <c r="MNL75" s="684"/>
      <c r="MNM75" s="684"/>
      <c r="MNN75" s="684"/>
      <c r="MNO75" s="684"/>
      <c r="MNP75" s="684"/>
      <c r="MNQ75" s="684"/>
      <c r="MNR75" s="684"/>
      <c r="MNS75" s="684"/>
      <c r="MNT75" s="684"/>
      <c r="MNU75" s="684"/>
      <c r="MNV75" s="684"/>
      <c r="MNW75" s="684"/>
      <c r="MNX75" s="684"/>
      <c r="MNY75" s="684"/>
      <c r="MNZ75" s="684"/>
      <c r="MOA75" s="684"/>
      <c r="MOB75" s="684"/>
      <c r="MOC75" s="684"/>
      <c r="MOD75" s="684"/>
      <c r="MOE75" s="684"/>
      <c r="MOF75" s="684"/>
      <c r="MOG75" s="684"/>
      <c r="MOH75" s="684"/>
      <c r="MOI75" s="684"/>
      <c r="MOJ75" s="684"/>
      <c r="MOK75" s="684"/>
      <c r="MOL75" s="684"/>
      <c r="MOM75" s="684"/>
      <c r="MON75" s="684"/>
      <c r="MOO75" s="684"/>
      <c r="MOP75" s="684"/>
      <c r="MOQ75" s="684"/>
      <c r="MOR75" s="684"/>
      <c r="MOS75" s="684"/>
      <c r="MOT75" s="684"/>
      <c r="MOU75" s="684"/>
      <c r="MOV75" s="684"/>
      <c r="MOW75" s="684"/>
      <c r="MOX75" s="684"/>
      <c r="MOY75" s="684"/>
      <c r="MOZ75" s="684"/>
      <c r="MPA75" s="684"/>
      <c r="MPB75" s="684"/>
      <c r="MPC75" s="684"/>
      <c r="MPD75" s="684"/>
      <c r="MPE75" s="684"/>
      <c r="MPF75" s="684"/>
      <c r="MPG75" s="684"/>
      <c r="MPH75" s="684"/>
      <c r="MPI75" s="684"/>
      <c r="MPJ75" s="684"/>
      <c r="MPK75" s="684"/>
      <c r="MPL75" s="684"/>
      <c r="MPM75" s="684"/>
      <c r="MPN75" s="684"/>
      <c r="MPO75" s="684"/>
      <c r="MPP75" s="684"/>
      <c r="MPQ75" s="684"/>
      <c r="MPR75" s="684"/>
      <c r="MPS75" s="684"/>
      <c r="MPT75" s="684"/>
      <c r="MPU75" s="684"/>
      <c r="MPV75" s="684"/>
      <c r="MPW75" s="684"/>
      <c r="MPX75" s="684"/>
      <c r="MPY75" s="684"/>
      <c r="MPZ75" s="684"/>
      <c r="MQA75" s="684"/>
      <c r="MQB75" s="684"/>
      <c r="MQC75" s="684"/>
      <c r="MQD75" s="684"/>
      <c r="MQE75" s="684"/>
      <c r="MQF75" s="684"/>
      <c r="MQG75" s="684"/>
      <c r="MQH75" s="684"/>
      <c r="MQI75" s="684"/>
      <c r="MQJ75" s="684"/>
      <c r="MQK75" s="684"/>
      <c r="MQL75" s="684"/>
      <c r="MQM75" s="684"/>
      <c r="MQN75" s="684"/>
      <c r="MQO75" s="684"/>
      <c r="MQP75" s="684"/>
      <c r="MQQ75" s="684"/>
      <c r="MQR75" s="684"/>
      <c r="MQS75" s="684"/>
      <c r="MQT75" s="684"/>
      <c r="MQU75" s="684"/>
      <c r="MQV75" s="684"/>
      <c r="MQW75" s="684"/>
      <c r="MQX75" s="684"/>
      <c r="MQY75" s="684"/>
      <c r="MQZ75" s="684"/>
      <c r="MRA75" s="684"/>
      <c r="MRB75" s="684"/>
      <c r="MRC75" s="684"/>
      <c r="MRD75" s="684"/>
      <c r="MRE75" s="684"/>
      <c r="MRF75" s="684"/>
      <c r="MRG75" s="684"/>
      <c r="MRH75" s="684"/>
      <c r="MRI75" s="684"/>
      <c r="MRJ75" s="684"/>
      <c r="MRK75" s="684"/>
      <c r="MRL75" s="684"/>
      <c r="MRM75" s="684"/>
      <c r="MRN75" s="684"/>
      <c r="MRO75" s="684"/>
      <c r="MRP75" s="684"/>
      <c r="MRQ75" s="684"/>
      <c r="MRR75" s="684"/>
      <c r="MRS75" s="684"/>
      <c r="MRT75" s="684"/>
      <c r="MRU75" s="684"/>
      <c r="MRV75" s="684"/>
      <c r="MRW75" s="684"/>
      <c r="MRX75" s="684"/>
      <c r="MRY75" s="684"/>
      <c r="MRZ75" s="684"/>
      <c r="MSA75" s="684"/>
      <c r="MSB75" s="684"/>
      <c r="MSC75" s="684"/>
      <c r="MSD75" s="684"/>
      <c r="MSE75" s="684"/>
      <c r="MSF75" s="684"/>
      <c r="MSG75" s="684"/>
      <c r="MSH75" s="684"/>
      <c r="MSI75" s="684"/>
      <c r="MSJ75" s="684"/>
      <c r="MSK75" s="684"/>
      <c r="MSL75" s="684"/>
      <c r="MSM75" s="684"/>
      <c r="MSN75" s="684"/>
      <c r="MSO75" s="684"/>
      <c r="MSP75" s="684"/>
      <c r="MSQ75" s="684"/>
      <c r="MSR75" s="684"/>
      <c r="MSS75" s="684"/>
      <c r="MST75" s="684"/>
      <c r="MSU75" s="684"/>
      <c r="MSV75" s="684"/>
      <c r="MSW75" s="684"/>
      <c r="MSX75" s="684"/>
      <c r="MSY75" s="684"/>
      <c r="MSZ75" s="684"/>
      <c r="MTA75" s="684"/>
      <c r="MTB75" s="684"/>
      <c r="MTC75" s="684"/>
      <c r="MTD75" s="684"/>
      <c r="MTE75" s="684"/>
      <c r="MTF75" s="684"/>
      <c r="MTG75" s="684"/>
      <c r="MTH75" s="684"/>
      <c r="MTI75" s="684"/>
      <c r="MTJ75" s="684"/>
      <c r="MTK75" s="684"/>
      <c r="MTL75" s="684"/>
      <c r="MTM75" s="684"/>
      <c r="MTN75" s="684"/>
      <c r="MTO75" s="684"/>
      <c r="MTP75" s="684"/>
      <c r="MTQ75" s="684"/>
      <c r="MTR75" s="684"/>
      <c r="MTS75" s="684"/>
      <c r="MTT75" s="684"/>
      <c r="MTU75" s="684"/>
      <c r="MTV75" s="684"/>
      <c r="MTW75" s="684"/>
      <c r="MTX75" s="684"/>
      <c r="MTY75" s="684"/>
      <c r="MTZ75" s="684"/>
      <c r="MUA75" s="684"/>
      <c r="MUB75" s="684"/>
      <c r="MUC75" s="684"/>
      <c r="MUD75" s="684"/>
      <c r="MUE75" s="684"/>
      <c r="MUF75" s="684"/>
      <c r="MUG75" s="684"/>
      <c r="MUH75" s="684"/>
      <c r="MUI75" s="684"/>
      <c r="MUJ75" s="684"/>
      <c r="MUK75" s="684"/>
      <c r="MUL75" s="684"/>
      <c r="MUM75" s="684"/>
      <c r="MUN75" s="684"/>
      <c r="MUO75" s="684"/>
      <c r="MUP75" s="684"/>
      <c r="MUQ75" s="684"/>
      <c r="MUR75" s="684"/>
      <c r="MUS75" s="684"/>
      <c r="MUT75" s="684"/>
      <c r="MUU75" s="684"/>
      <c r="MUV75" s="684"/>
      <c r="MUW75" s="684"/>
      <c r="MUX75" s="684"/>
      <c r="MUY75" s="684"/>
      <c r="MUZ75" s="684"/>
      <c r="MVA75" s="684"/>
      <c r="MVB75" s="684"/>
      <c r="MVC75" s="684"/>
      <c r="MVD75" s="684"/>
      <c r="MVE75" s="684"/>
      <c r="MVF75" s="684"/>
      <c r="MVG75" s="684"/>
      <c r="MVH75" s="684"/>
      <c r="MVI75" s="684"/>
      <c r="MVJ75" s="684"/>
      <c r="MVK75" s="684"/>
      <c r="MVL75" s="684"/>
      <c r="MVM75" s="684"/>
      <c r="MVN75" s="684"/>
      <c r="MVO75" s="684"/>
      <c r="MVP75" s="684"/>
      <c r="MVQ75" s="684"/>
      <c r="MVR75" s="684"/>
      <c r="MVS75" s="684"/>
      <c r="MVT75" s="684"/>
      <c r="MVU75" s="684"/>
      <c r="MVV75" s="684"/>
      <c r="MVW75" s="684"/>
      <c r="MVX75" s="684"/>
      <c r="MVY75" s="684"/>
      <c r="MVZ75" s="684"/>
      <c r="MWA75" s="684"/>
      <c r="MWB75" s="684"/>
      <c r="MWC75" s="684"/>
      <c r="MWD75" s="684"/>
      <c r="MWE75" s="684"/>
      <c r="MWF75" s="684"/>
      <c r="MWG75" s="684"/>
      <c r="MWH75" s="684"/>
      <c r="MWI75" s="684"/>
      <c r="MWJ75" s="684"/>
      <c r="MWK75" s="684"/>
      <c r="MWL75" s="684"/>
      <c r="MWM75" s="684"/>
      <c r="MWN75" s="684"/>
      <c r="MWO75" s="684"/>
      <c r="MWP75" s="684"/>
      <c r="MWQ75" s="684"/>
      <c r="MWR75" s="684"/>
      <c r="MWS75" s="684"/>
      <c r="MWT75" s="684"/>
      <c r="MWU75" s="684"/>
      <c r="MWV75" s="684"/>
      <c r="MWW75" s="684"/>
      <c r="MWX75" s="684"/>
      <c r="MWY75" s="684"/>
      <c r="MWZ75" s="684"/>
      <c r="MXA75" s="684"/>
      <c r="MXB75" s="684"/>
      <c r="MXC75" s="684"/>
      <c r="MXD75" s="684"/>
      <c r="MXE75" s="684"/>
      <c r="MXF75" s="684"/>
      <c r="MXG75" s="684"/>
      <c r="MXH75" s="684"/>
      <c r="MXI75" s="684"/>
      <c r="MXJ75" s="684"/>
      <c r="MXK75" s="684"/>
      <c r="MXL75" s="684"/>
      <c r="MXM75" s="684"/>
      <c r="MXN75" s="684"/>
      <c r="MXO75" s="684"/>
      <c r="MXP75" s="684"/>
      <c r="MXQ75" s="684"/>
      <c r="MXR75" s="684"/>
      <c r="MXS75" s="684"/>
      <c r="MXT75" s="684"/>
      <c r="MXU75" s="684"/>
      <c r="MXV75" s="684"/>
      <c r="MXW75" s="684"/>
      <c r="MXX75" s="684"/>
      <c r="MXY75" s="684"/>
      <c r="MXZ75" s="684"/>
      <c r="MYA75" s="684"/>
      <c r="MYB75" s="684"/>
      <c r="MYC75" s="684"/>
      <c r="MYD75" s="684"/>
      <c r="MYE75" s="684"/>
      <c r="MYF75" s="684"/>
      <c r="MYG75" s="684"/>
      <c r="MYH75" s="684"/>
      <c r="MYI75" s="684"/>
      <c r="MYJ75" s="684"/>
      <c r="MYK75" s="684"/>
      <c r="MYL75" s="684"/>
      <c r="MYM75" s="684"/>
      <c r="MYN75" s="684"/>
      <c r="MYO75" s="684"/>
      <c r="MYP75" s="684"/>
      <c r="MYQ75" s="684"/>
      <c r="MYR75" s="684"/>
      <c r="MYS75" s="684"/>
      <c r="MYT75" s="684"/>
      <c r="MYU75" s="684"/>
      <c r="MYV75" s="684"/>
      <c r="MYW75" s="684"/>
      <c r="MYX75" s="684"/>
      <c r="MYY75" s="684"/>
      <c r="MYZ75" s="684"/>
      <c r="MZA75" s="684"/>
      <c r="MZB75" s="684"/>
      <c r="MZC75" s="684"/>
      <c r="MZD75" s="684"/>
      <c r="MZE75" s="684"/>
      <c r="MZF75" s="684"/>
      <c r="MZG75" s="684"/>
      <c r="MZH75" s="684"/>
      <c r="MZI75" s="684"/>
      <c r="MZJ75" s="684"/>
      <c r="MZK75" s="684"/>
      <c r="MZL75" s="684"/>
      <c r="MZM75" s="684"/>
      <c r="MZN75" s="684"/>
      <c r="MZO75" s="684"/>
      <c r="MZP75" s="684"/>
      <c r="MZQ75" s="684"/>
      <c r="MZR75" s="684"/>
      <c r="MZS75" s="684"/>
      <c r="MZT75" s="684"/>
      <c r="MZU75" s="684"/>
      <c r="MZV75" s="684"/>
      <c r="MZW75" s="684"/>
      <c r="MZX75" s="684"/>
      <c r="MZY75" s="684"/>
      <c r="MZZ75" s="684"/>
      <c r="NAA75" s="684"/>
      <c r="NAB75" s="684"/>
      <c r="NAC75" s="684"/>
      <c r="NAD75" s="684"/>
      <c r="NAE75" s="684"/>
      <c r="NAF75" s="684"/>
      <c r="NAG75" s="684"/>
      <c r="NAH75" s="684"/>
      <c r="NAI75" s="684"/>
      <c r="NAJ75" s="684"/>
      <c r="NAK75" s="684"/>
      <c r="NAL75" s="684"/>
      <c r="NAM75" s="684"/>
      <c r="NAN75" s="684"/>
      <c r="NAO75" s="684"/>
      <c r="NAP75" s="684"/>
      <c r="NAQ75" s="684"/>
      <c r="NAR75" s="684"/>
      <c r="NAS75" s="684"/>
      <c r="NAT75" s="684"/>
      <c r="NAU75" s="684"/>
      <c r="NAV75" s="684"/>
      <c r="NAW75" s="684"/>
      <c r="NAX75" s="684"/>
      <c r="NAY75" s="684"/>
      <c r="NAZ75" s="684"/>
      <c r="NBA75" s="684"/>
      <c r="NBB75" s="684"/>
      <c r="NBC75" s="684"/>
      <c r="NBD75" s="684"/>
      <c r="NBE75" s="684"/>
      <c r="NBF75" s="684"/>
      <c r="NBG75" s="684"/>
      <c r="NBH75" s="684"/>
      <c r="NBI75" s="684"/>
      <c r="NBJ75" s="684"/>
      <c r="NBK75" s="684"/>
      <c r="NBL75" s="684"/>
      <c r="NBM75" s="684"/>
      <c r="NBN75" s="684"/>
      <c r="NBO75" s="684"/>
      <c r="NBP75" s="684"/>
      <c r="NBQ75" s="684"/>
      <c r="NBR75" s="684"/>
      <c r="NBS75" s="684"/>
      <c r="NBT75" s="684"/>
      <c r="NBU75" s="684"/>
      <c r="NBV75" s="684"/>
      <c r="NBW75" s="684"/>
      <c r="NBX75" s="684"/>
      <c r="NBY75" s="684"/>
      <c r="NBZ75" s="684"/>
      <c r="NCA75" s="684"/>
      <c r="NCB75" s="684"/>
      <c r="NCC75" s="684"/>
      <c r="NCD75" s="684"/>
      <c r="NCE75" s="684"/>
      <c r="NCF75" s="684"/>
      <c r="NCG75" s="684"/>
      <c r="NCH75" s="684"/>
      <c r="NCI75" s="684"/>
      <c r="NCJ75" s="684"/>
      <c r="NCK75" s="684"/>
      <c r="NCL75" s="684"/>
      <c r="NCM75" s="684"/>
      <c r="NCN75" s="684"/>
      <c r="NCO75" s="684"/>
      <c r="NCP75" s="684"/>
      <c r="NCQ75" s="684"/>
      <c r="NCR75" s="684"/>
      <c r="NCS75" s="684"/>
      <c r="NCT75" s="684"/>
      <c r="NCU75" s="684"/>
      <c r="NCV75" s="684"/>
      <c r="NCW75" s="684"/>
      <c r="NCX75" s="684"/>
      <c r="NCY75" s="684"/>
      <c r="NCZ75" s="684"/>
      <c r="NDA75" s="684"/>
      <c r="NDB75" s="684"/>
      <c r="NDC75" s="684"/>
      <c r="NDD75" s="684"/>
      <c r="NDE75" s="684"/>
      <c r="NDF75" s="684"/>
      <c r="NDG75" s="684"/>
      <c r="NDH75" s="684"/>
      <c r="NDI75" s="684"/>
      <c r="NDJ75" s="684"/>
      <c r="NDK75" s="684"/>
      <c r="NDL75" s="684"/>
      <c r="NDM75" s="684"/>
      <c r="NDN75" s="684"/>
      <c r="NDO75" s="684"/>
      <c r="NDP75" s="684"/>
      <c r="NDQ75" s="684"/>
      <c r="NDR75" s="684"/>
      <c r="NDS75" s="684"/>
      <c r="NDT75" s="684"/>
      <c r="NDU75" s="684"/>
      <c r="NDV75" s="684"/>
      <c r="NDW75" s="684"/>
      <c r="NDX75" s="684"/>
      <c r="NDY75" s="684"/>
      <c r="NDZ75" s="684"/>
      <c r="NEA75" s="684"/>
      <c r="NEB75" s="684"/>
      <c r="NEC75" s="684"/>
      <c r="NED75" s="684"/>
      <c r="NEE75" s="684"/>
      <c r="NEF75" s="684"/>
      <c r="NEG75" s="684"/>
      <c r="NEH75" s="684"/>
      <c r="NEI75" s="684"/>
      <c r="NEJ75" s="684"/>
      <c r="NEK75" s="684"/>
      <c r="NEL75" s="684"/>
      <c r="NEM75" s="684"/>
      <c r="NEN75" s="684"/>
      <c r="NEO75" s="684"/>
      <c r="NEP75" s="684"/>
      <c r="NEQ75" s="684"/>
      <c r="NER75" s="684"/>
      <c r="NES75" s="684"/>
      <c r="NET75" s="684"/>
      <c r="NEU75" s="684"/>
      <c r="NEV75" s="684"/>
      <c r="NEW75" s="684"/>
      <c r="NEX75" s="684"/>
      <c r="NEY75" s="684"/>
      <c r="NEZ75" s="684"/>
      <c r="NFA75" s="684"/>
      <c r="NFB75" s="684"/>
      <c r="NFC75" s="684"/>
      <c r="NFD75" s="684"/>
      <c r="NFE75" s="684"/>
      <c r="NFF75" s="684"/>
      <c r="NFG75" s="684"/>
      <c r="NFH75" s="684"/>
      <c r="NFI75" s="684"/>
      <c r="NFJ75" s="684"/>
      <c r="NFK75" s="684"/>
      <c r="NFL75" s="684"/>
      <c r="NFM75" s="684"/>
      <c r="NFN75" s="684"/>
      <c r="NFO75" s="684"/>
      <c r="NFP75" s="684"/>
      <c r="NFQ75" s="684"/>
      <c r="NFR75" s="684"/>
      <c r="NFS75" s="684"/>
      <c r="NFT75" s="684"/>
      <c r="NFU75" s="684"/>
      <c r="NFV75" s="684"/>
      <c r="NFW75" s="684"/>
      <c r="NFX75" s="684"/>
      <c r="NFY75" s="684"/>
      <c r="NFZ75" s="684"/>
      <c r="NGA75" s="684"/>
      <c r="NGB75" s="684"/>
      <c r="NGC75" s="684"/>
      <c r="NGD75" s="684"/>
      <c r="NGE75" s="684"/>
      <c r="NGF75" s="684"/>
      <c r="NGG75" s="684"/>
      <c r="NGH75" s="684"/>
      <c r="NGI75" s="684"/>
      <c r="NGJ75" s="684"/>
      <c r="NGK75" s="684"/>
      <c r="NGL75" s="684"/>
      <c r="NGM75" s="684"/>
      <c r="NGN75" s="684"/>
      <c r="NGO75" s="684"/>
      <c r="NGP75" s="684"/>
      <c r="NGQ75" s="684"/>
      <c r="NGR75" s="684"/>
      <c r="NGS75" s="684"/>
      <c r="NGT75" s="684"/>
      <c r="NGU75" s="684"/>
      <c r="NGV75" s="684"/>
      <c r="NGW75" s="684"/>
      <c r="NGX75" s="684"/>
      <c r="NGY75" s="684"/>
      <c r="NGZ75" s="684"/>
      <c r="NHA75" s="684"/>
      <c r="NHB75" s="684"/>
      <c r="NHC75" s="684"/>
      <c r="NHD75" s="684"/>
      <c r="NHE75" s="684"/>
      <c r="NHF75" s="684"/>
      <c r="NHG75" s="684"/>
      <c r="NHH75" s="684"/>
      <c r="NHI75" s="684"/>
      <c r="NHJ75" s="684"/>
      <c r="NHK75" s="684"/>
      <c r="NHL75" s="684"/>
      <c r="NHM75" s="684"/>
      <c r="NHN75" s="684"/>
      <c r="NHO75" s="684"/>
      <c r="NHP75" s="684"/>
      <c r="NHQ75" s="684"/>
      <c r="NHR75" s="684"/>
      <c r="NHS75" s="684"/>
      <c r="NHT75" s="684"/>
      <c r="NHU75" s="684"/>
      <c r="NHV75" s="684"/>
      <c r="NHW75" s="684"/>
      <c r="NHX75" s="684"/>
      <c r="NHY75" s="684"/>
      <c r="NHZ75" s="684"/>
      <c r="NIA75" s="684"/>
      <c r="NIB75" s="684"/>
      <c r="NIC75" s="684"/>
      <c r="NID75" s="684"/>
      <c r="NIE75" s="684"/>
      <c r="NIF75" s="684"/>
      <c r="NIG75" s="684"/>
      <c r="NIH75" s="684"/>
      <c r="NII75" s="684"/>
      <c r="NIJ75" s="684"/>
      <c r="NIK75" s="684"/>
      <c r="NIL75" s="684"/>
      <c r="NIM75" s="684"/>
      <c r="NIN75" s="684"/>
      <c r="NIO75" s="684"/>
      <c r="NIP75" s="684"/>
      <c r="NIQ75" s="684"/>
      <c r="NIR75" s="684"/>
      <c r="NIS75" s="684"/>
      <c r="NIT75" s="684"/>
      <c r="NIU75" s="684"/>
      <c r="NIV75" s="684"/>
      <c r="NIW75" s="684"/>
      <c r="NIX75" s="684"/>
      <c r="NIY75" s="684"/>
      <c r="NIZ75" s="684"/>
      <c r="NJA75" s="684"/>
      <c r="NJB75" s="684"/>
      <c r="NJC75" s="684"/>
      <c r="NJD75" s="684"/>
      <c r="NJE75" s="684"/>
      <c r="NJF75" s="684"/>
      <c r="NJG75" s="684"/>
      <c r="NJH75" s="684"/>
      <c r="NJI75" s="684"/>
      <c r="NJJ75" s="684"/>
      <c r="NJK75" s="684"/>
      <c r="NJL75" s="684"/>
      <c r="NJM75" s="684"/>
      <c r="NJN75" s="684"/>
      <c r="NJO75" s="684"/>
      <c r="NJP75" s="684"/>
      <c r="NJQ75" s="684"/>
      <c r="NJR75" s="684"/>
      <c r="NJS75" s="684"/>
      <c r="NJT75" s="684"/>
      <c r="NJU75" s="684"/>
      <c r="NJV75" s="684"/>
      <c r="NJW75" s="684"/>
      <c r="NJX75" s="684"/>
      <c r="NJY75" s="684"/>
      <c r="NJZ75" s="684"/>
      <c r="NKA75" s="684"/>
      <c r="NKB75" s="684"/>
      <c r="NKC75" s="684"/>
      <c r="NKD75" s="684"/>
      <c r="NKE75" s="684"/>
      <c r="NKF75" s="684"/>
      <c r="NKG75" s="684"/>
      <c r="NKH75" s="684"/>
      <c r="NKI75" s="684"/>
      <c r="NKJ75" s="684"/>
      <c r="NKK75" s="684"/>
      <c r="NKL75" s="684"/>
      <c r="NKM75" s="684"/>
      <c r="NKN75" s="684"/>
      <c r="NKO75" s="684"/>
      <c r="NKP75" s="684"/>
      <c r="NKQ75" s="684"/>
      <c r="NKR75" s="684"/>
      <c r="NKS75" s="684"/>
      <c r="NKT75" s="684"/>
      <c r="NKU75" s="684"/>
      <c r="NKV75" s="684"/>
      <c r="NKW75" s="684"/>
      <c r="NKX75" s="684"/>
      <c r="NKY75" s="684"/>
      <c r="NKZ75" s="684"/>
      <c r="NLA75" s="684"/>
      <c r="NLB75" s="684"/>
      <c r="NLC75" s="684"/>
      <c r="NLD75" s="684"/>
      <c r="NLE75" s="684"/>
      <c r="NLF75" s="684"/>
      <c r="NLG75" s="684"/>
      <c r="NLH75" s="684"/>
      <c r="NLI75" s="684"/>
      <c r="NLJ75" s="684"/>
      <c r="NLK75" s="684"/>
      <c r="NLL75" s="684"/>
      <c r="NLM75" s="684"/>
      <c r="NLN75" s="684"/>
      <c r="NLO75" s="684"/>
      <c r="NLP75" s="684"/>
      <c r="NLQ75" s="684"/>
      <c r="NLR75" s="684"/>
      <c r="NLS75" s="684"/>
      <c r="NLT75" s="684"/>
      <c r="NLU75" s="684"/>
      <c r="NLV75" s="684"/>
      <c r="NLW75" s="684"/>
      <c r="NLX75" s="684"/>
      <c r="NLY75" s="684"/>
      <c r="NLZ75" s="684"/>
      <c r="NMA75" s="684"/>
      <c r="NMB75" s="684"/>
      <c r="NMC75" s="684"/>
      <c r="NMD75" s="684"/>
      <c r="NME75" s="684"/>
      <c r="NMF75" s="684"/>
      <c r="NMG75" s="684"/>
      <c r="NMH75" s="684"/>
      <c r="NMI75" s="684"/>
      <c r="NMJ75" s="684"/>
      <c r="NMK75" s="684"/>
      <c r="NML75" s="684"/>
      <c r="NMM75" s="684"/>
      <c r="NMN75" s="684"/>
      <c r="NMO75" s="684"/>
      <c r="NMP75" s="684"/>
      <c r="NMQ75" s="684"/>
      <c r="NMR75" s="684"/>
      <c r="NMS75" s="684"/>
      <c r="NMT75" s="684"/>
      <c r="NMU75" s="684"/>
      <c r="NMV75" s="684"/>
      <c r="NMW75" s="684"/>
      <c r="NMX75" s="684"/>
      <c r="NMY75" s="684"/>
      <c r="NMZ75" s="684"/>
      <c r="NNA75" s="684"/>
      <c r="NNB75" s="684"/>
      <c r="NNC75" s="684"/>
      <c r="NND75" s="684"/>
      <c r="NNE75" s="684"/>
      <c r="NNF75" s="684"/>
      <c r="NNG75" s="684"/>
      <c r="NNH75" s="684"/>
      <c r="NNI75" s="684"/>
      <c r="NNJ75" s="684"/>
      <c r="NNK75" s="684"/>
      <c r="NNL75" s="684"/>
      <c r="NNM75" s="684"/>
      <c r="NNN75" s="684"/>
      <c r="NNO75" s="684"/>
      <c r="NNP75" s="684"/>
      <c r="NNQ75" s="684"/>
      <c r="NNR75" s="684"/>
      <c r="NNS75" s="684"/>
      <c r="NNT75" s="684"/>
      <c r="NNU75" s="684"/>
      <c r="NNV75" s="684"/>
      <c r="NNW75" s="684"/>
      <c r="NNX75" s="684"/>
      <c r="NNY75" s="684"/>
      <c r="NNZ75" s="684"/>
      <c r="NOA75" s="684"/>
      <c r="NOB75" s="684"/>
      <c r="NOC75" s="684"/>
      <c r="NOD75" s="684"/>
      <c r="NOE75" s="684"/>
      <c r="NOF75" s="684"/>
      <c r="NOG75" s="684"/>
      <c r="NOH75" s="684"/>
      <c r="NOI75" s="684"/>
      <c r="NOJ75" s="684"/>
      <c r="NOK75" s="684"/>
      <c r="NOL75" s="684"/>
      <c r="NOM75" s="684"/>
      <c r="NON75" s="684"/>
      <c r="NOO75" s="684"/>
      <c r="NOP75" s="684"/>
      <c r="NOQ75" s="684"/>
      <c r="NOR75" s="684"/>
      <c r="NOS75" s="684"/>
      <c r="NOT75" s="684"/>
      <c r="NOU75" s="684"/>
      <c r="NOV75" s="684"/>
      <c r="NOW75" s="684"/>
      <c r="NOX75" s="684"/>
      <c r="NOY75" s="684"/>
      <c r="NOZ75" s="684"/>
      <c r="NPA75" s="684"/>
      <c r="NPB75" s="684"/>
      <c r="NPC75" s="684"/>
      <c r="NPD75" s="684"/>
      <c r="NPE75" s="684"/>
      <c r="NPF75" s="684"/>
      <c r="NPG75" s="684"/>
      <c r="NPH75" s="684"/>
      <c r="NPI75" s="684"/>
      <c r="NPJ75" s="684"/>
      <c r="NPK75" s="684"/>
      <c r="NPL75" s="684"/>
      <c r="NPM75" s="684"/>
      <c r="NPN75" s="684"/>
      <c r="NPO75" s="684"/>
      <c r="NPP75" s="684"/>
      <c r="NPQ75" s="684"/>
      <c r="NPR75" s="684"/>
      <c r="NPS75" s="684"/>
      <c r="NPT75" s="684"/>
      <c r="NPU75" s="684"/>
      <c r="NPV75" s="684"/>
      <c r="NPW75" s="684"/>
      <c r="NPX75" s="684"/>
      <c r="NPY75" s="684"/>
      <c r="NPZ75" s="684"/>
      <c r="NQA75" s="684"/>
      <c r="NQB75" s="684"/>
      <c r="NQC75" s="684"/>
      <c r="NQD75" s="684"/>
      <c r="NQE75" s="684"/>
      <c r="NQF75" s="684"/>
      <c r="NQG75" s="684"/>
      <c r="NQH75" s="684"/>
      <c r="NQI75" s="684"/>
      <c r="NQJ75" s="684"/>
      <c r="NQK75" s="684"/>
      <c r="NQL75" s="684"/>
      <c r="NQM75" s="684"/>
      <c r="NQN75" s="684"/>
      <c r="NQO75" s="684"/>
      <c r="NQP75" s="684"/>
      <c r="NQQ75" s="684"/>
      <c r="NQR75" s="684"/>
      <c r="NQS75" s="684"/>
      <c r="NQT75" s="684"/>
      <c r="NQU75" s="684"/>
      <c r="NQV75" s="684"/>
      <c r="NQW75" s="684"/>
      <c r="NQX75" s="684"/>
      <c r="NQY75" s="684"/>
      <c r="NQZ75" s="684"/>
      <c r="NRA75" s="684"/>
      <c r="NRB75" s="684"/>
      <c r="NRC75" s="684"/>
      <c r="NRD75" s="684"/>
      <c r="NRE75" s="684"/>
      <c r="NRF75" s="684"/>
      <c r="NRG75" s="684"/>
      <c r="NRH75" s="684"/>
      <c r="NRI75" s="684"/>
      <c r="NRJ75" s="684"/>
      <c r="NRK75" s="684"/>
      <c r="NRL75" s="684"/>
      <c r="NRM75" s="684"/>
      <c r="NRN75" s="684"/>
      <c r="NRO75" s="684"/>
      <c r="NRP75" s="684"/>
      <c r="NRQ75" s="684"/>
      <c r="NRR75" s="684"/>
      <c r="NRS75" s="684"/>
      <c r="NRT75" s="684"/>
      <c r="NRU75" s="684"/>
      <c r="NRV75" s="684"/>
      <c r="NRW75" s="684"/>
      <c r="NRX75" s="684"/>
      <c r="NRY75" s="684"/>
      <c r="NRZ75" s="684"/>
      <c r="NSA75" s="684"/>
      <c r="NSB75" s="684"/>
      <c r="NSC75" s="684"/>
      <c r="NSD75" s="684"/>
      <c r="NSE75" s="684"/>
      <c r="NSF75" s="684"/>
      <c r="NSG75" s="684"/>
      <c r="NSH75" s="684"/>
      <c r="NSI75" s="684"/>
      <c r="NSJ75" s="684"/>
      <c r="NSK75" s="684"/>
      <c r="NSL75" s="684"/>
      <c r="NSM75" s="684"/>
      <c r="NSN75" s="684"/>
      <c r="NSO75" s="684"/>
      <c r="NSP75" s="684"/>
      <c r="NSQ75" s="684"/>
      <c r="NSR75" s="684"/>
      <c r="NSS75" s="684"/>
      <c r="NST75" s="684"/>
      <c r="NSU75" s="684"/>
      <c r="NSV75" s="684"/>
      <c r="NSW75" s="684"/>
      <c r="NSX75" s="684"/>
      <c r="NSY75" s="684"/>
      <c r="NSZ75" s="684"/>
      <c r="NTA75" s="684"/>
      <c r="NTB75" s="684"/>
      <c r="NTC75" s="684"/>
      <c r="NTD75" s="684"/>
      <c r="NTE75" s="684"/>
      <c r="NTF75" s="684"/>
      <c r="NTG75" s="684"/>
      <c r="NTH75" s="684"/>
      <c r="NTI75" s="684"/>
      <c r="NTJ75" s="684"/>
      <c r="NTK75" s="684"/>
      <c r="NTL75" s="684"/>
      <c r="NTM75" s="684"/>
      <c r="NTN75" s="684"/>
      <c r="NTO75" s="684"/>
      <c r="NTP75" s="684"/>
      <c r="NTQ75" s="684"/>
      <c r="NTR75" s="684"/>
      <c r="NTS75" s="684"/>
      <c r="NTT75" s="684"/>
      <c r="NTU75" s="684"/>
      <c r="NTV75" s="684"/>
      <c r="NTW75" s="684"/>
      <c r="NTX75" s="684"/>
      <c r="NTY75" s="684"/>
      <c r="NTZ75" s="684"/>
      <c r="NUA75" s="684"/>
      <c r="NUB75" s="684"/>
      <c r="NUC75" s="684"/>
      <c r="NUD75" s="684"/>
      <c r="NUE75" s="684"/>
      <c r="NUF75" s="684"/>
      <c r="NUG75" s="684"/>
      <c r="NUH75" s="684"/>
      <c r="NUI75" s="684"/>
      <c r="NUJ75" s="684"/>
      <c r="NUK75" s="684"/>
      <c r="NUL75" s="684"/>
      <c r="NUM75" s="684"/>
      <c r="NUN75" s="684"/>
      <c r="NUO75" s="684"/>
      <c r="NUP75" s="684"/>
      <c r="NUQ75" s="684"/>
      <c r="NUR75" s="684"/>
      <c r="NUS75" s="684"/>
      <c r="NUT75" s="684"/>
      <c r="NUU75" s="684"/>
      <c r="NUV75" s="684"/>
      <c r="NUW75" s="684"/>
      <c r="NUX75" s="684"/>
      <c r="NUY75" s="684"/>
      <c r="NUZ75" s="684"/>
      <c r="NVA75" s="684"/>
      <c r="NVB75" s="684"/>
      <c r="NVC75" s="684"/>
      <c r="NVD75" s="684"/>
      <c r="NVE75" s="684"/>
      <c r="NVF75" s="684"/>
      <c r="NVG75" s="684"/>
      <c r="NVH75" s="684"/>
      <c r="NVI75" s="684"/>
      <c r="NVJ75" s="684"/>
      <c r="NVK75" s="684"/>
      <c r="NVL75" s="684"/>
      <c r="NVM75" s="684"/>
      <c r="NVN75" s="684"/>
      <c r="NVO75" s="684"/>
      <c r="NVP75" s="684"/>
      <c r="NVQ75" s="684"/>
      <c r="NVR75" s="684"/>
      <c r="NVS75" s="684"/>
      <c r="NVT75" s="684"/>
      <c r="NVU75" s="684"/>
      <c r="NVV75" s="684"/>
      <c r="NVW75" s="684"/>
      <c r="NVX75" s="684"/>
      <c r="NVY75" s="684"/>
      <c r="NVZ75" s="684"/>
      <c r="NWA75" s="684"/>
      <c r="NWB75" s="684"/>
      <c r="NWC75" s="684"/>
      <c r="NWD75" s="684"/>
      <c r="NWE75" s="684"/>
      <c r="NWF75" s="684"/>
      <c r="NWG75" s="684"/>
      <c r="NWH75" s="684"/>
      <c r="NWI75" s="684"/>
      <c r="NWJ75" s="684"/>
      <c r="NWK75" s="684"/>
      <c r="NWL75" s="684"/>
      <c r="NWM75" s="684"/>
      <c r="NWN75" s="684"/>
      <c r="NWO75" s="684"/>
      <c r="NWP75" s="684"/>
      <c r="NWQ75" s="684"/>
      <c r="NWR75" s="684"/>
      <c r="NWS75" s="684"/>
      <c r="NWT75" s="684"/>
      <c r="NWU75" s="684"/>
      <c r="NWV75" s="684"/>
      <c r="NWW75" s="684"/>
      <c r="NWX75" s="684"/>
      <c r="NWY75" s="684"/>
      <c r="NWZ75" s="684"/>
      <c r="NXA75" s="684"/>
      <c r="NXB75" s="684"/>
      <c r="NXC75" s="684"/>
      <c r="NXD75" s="684"/>
      <c r="NXE75" s="684"/>
      <c r="NXF75" s="684"/>
      <c r="NXG75" s="684"/>
      <c r="NXH75" s="684"/>
      <c r="NXI75" s="684"/>
      <c r="NXJ75" s="684"/>
      <c r="NXK75" s="684"/>
      <c r="NXL75" s="684"/>
      <c r="NXM75" s="684"/>
      <c r="NXN75" s="684"/>
      <c r="NXO75" s="684"/>
      <c r="NXP75" s="684"/>
      <c r="NXQ75" s="684"/>
      <c r="NXR75" s="684"/>
      <c r="NXS75" s="684"/>
      <c r="NXT75" s="684"/>
      <c r="NXU75" s="684"/>
      <c r="NXV75" s="684"/>
      <c r="NXW75" s="684"/>
      <c r="NXX75" s="684"/>
      <c r="NXY75" s="684"/>
      <c r="NXZ75" s="684"/>
      <c r="NYA75" s="684"/>
      <c r="NYB75" s="684"/>
      <c r="NYC75" s="684"/>
      <c r="NYD75" s="684"/>
      <c r="NYE75" s="684"/>
      <c r="NYF75" s="684"/>
      <c r="NYG75" s="684"/>
      <c r="NYH75" s="684"/>
      <c r="NYI75" s="684"/>
      <c r="NYJ75" s="684"/>
      <c r="NYK75" s="684"/>
      <c r="NYL75" s="684"/>
      <c r="NYM75" s="684"/>
      <c r="NYN75" s="684"/>
      <c r="NYO75" s="684"/>
      <c r="NYP75" s="684"/>
      <c r="NYQ75" s="684"/>
      <c r="NYR75" s="684"/>
      <c r="NYS75" s="684"/>
      <c r="NYT75" s="684"/>
      <c r="NYU75" s="684"/>
      <c r="NYV75" s="684"/>
      <c r="NYW75" s="684"/>
      <c r="NYX75" s="684"/>
      <c r="NYY75" s="684"/>
      <c r="NYZ75" s="684"/>
      <c r="NZA75" s="684"/>
      <c r="NZB75" s="684"/>
      <c r="NZC75" s="684"/>
      <c r="NZD75" s="684"/>
      <c r="NZE75" s="684"/>
      <c r="NZF75" s="684"/>
      <c r="NZG75" s="684"/>
      <c r="NZH75" s="684"/>
      <c r="NZI75" s="684"/>
      <c r="NZJ75" s="684"/>
      <c r="NZK75" s="684"/>
      <c r="NZL75" s="684"/>
      <c r="NZM75" s="684"/>
      <c r="NZN75" s="684"/>
      <c r="NZO75" s="684"/>
      <c r="NZP75" s="684"/>
      <c r="NZQ75" s="684"/>
      <c r="NZR75" s="684"/>
      <c r="NZS75" s="684"/>
      <c r="NZT75" s="684"/>
      <c r="NZU75" s="684"/>
      <c r="NZV75" s="684"/>
      <c r="NZW75" s="684"/>
      <c r="NZX75" s="684"/>
      <c r="NZY75" s="684"/>
      <c r="NZZ75" s="684"/>
      <c r="OAA75" s="684"/>
      <c r="OAB75" s="684"/>
      <c r="OAC75" s="684"/>
      <c r="OAD75" s="684"/>
      <c r="OAE75" s="684"/>
      <c r="OAF75" s="684"/>
      <c r="OAG75" s="684"/>
      <c r="OAH75" s="684"/>
      <c r="OAI75" s="684"/>
      <c r="OAJ75" s="684"/>
      <c r="OAK75" s="684"/>
      <c r="OAL75" s="684"/>
      <c r="OAM75" s="684"/>
      <c r="OAN75" s="684"/>
      <c r="OAO75" s="684"/>
      <c r="OAP75" s="684"/>
      <c r="OAQ75" s="684"/>
      <c r="OAR75" s="684"/>
      <c r="OAS75" s="684"/>
      <c r="OAT75" s="684"/>
      <c r="OAU75" s="684"/>
      <c r="OAV75" s="684"/>
      <c r="OAW75" s="684"/>
      <c r="OAX75" s="684"/>
      <c r="OAY75" s="684"/>
      <c r="OAZ75" s="684"/>
      <c r="OBA75" s="684"/>
      <c r="OBB75" s="684"/>
      <c r="OBC75" s="684"/>
      <c r="OBD75" s="684"/>
      <c r="OBE75" s="684"/>
      <c r="OBF75" s="684"/>
      <c r="OBG75" s="684"/>
      <c r="OBH75" s="684"/>
      <c r="OBI75" s="684"/>
      <c r="OBJ75" s="684"/>
      <c r="OBK75" s="684"/>
      <c r="OBL75" s="684"/>
      <c r="OBM75" s="684"/>
      <c r="OBN75" s="684"/>
      <c r="OBO75" s="684"/>
      <c r="OBP75" s="684"/>
      <c r="OBQ75" s="684"/>
      <c r="OBR75" s="684"/>
      <c r="OBS75" s="684"/>
      <c r="OBT75" s="684"/>
      <c r="OBU75" s="684"/>
      <c r="OBV75" s="684"/>
      <c r="OBW75" s="684"/>
      <c r="OBX75" s="684"/>
      <c r="OBY75" s="684"/>
      <c r="OBZ75" s="684"/>
      <c r="OCA75" s="684"/>
      <c r="OCB75" s="684"/>
      <c r="OCC75" s="684"/>
      <c r="OCD75" s="684"/>
      <c r="OCE75" s="684"/>
      <c r="OCF75" s="684"/>
      <c r="OCG75" s="684"/>
      <c r="OCH75" s="684"/>
      <c r="OCI75" s="684"/>
      <c r="OCJ75" s="684"/>
      <c r="OCK75" s="684"/>
      <c r="OCL75" s="684"/>
      <c r="OCM75" s="684"/>
      <c r="OCN75" s="684"/>
      <c r="OCO75" s="684"/>
      <c r="OCP75" s="684"/>
      <c r="OCQ75" s="684"/>
      <c r="OCR75" s="684"/>
      <c r="OCS75" s="684"/>
      <c r="OCT75" s="684"/>
      <c r="OCU75" s="684"/>
      <c r="OCV75" s="684"/>
      <c r="OCW75" s="684"/>
      <c r="OCX75" s="684"/>
      <c r="OCY75" s="684"/>
      <c r="OCZ75" s="684"/>
      <c r="ODA75" s="684"/>
      <c r="ODB75" s="684"/>
      <c r="ODC75" s="684"/>
      <c r="ODD75" s="684"/>
      <c r="ODE75" s="684"/>
      <c r="ODF75" s="684"/>
      <c r="ODG75" s="684"/>
      <c r="ODH75" s="684"/>
      <c r="ODI75" s="684"/>
      <c r="ODJ75" s="684"/>
      <c r="ODK75" s="684"/>
      <c r="ODL75" s="684"/>
      <c r="ODM75" s="684"/>
      <c r="ODN75" s="684"/>
      <c r="ODO75" s="684"/>
      <c r="ODP75" s="684"/>
      <c r="ODQ75" s="684"/>
      <c r="ODR75" s="684"/>
      <c r="ODS75" s="684"/>
      <c r="ODT75" s="684"/>
      <c r="ODU75" s="684"/>
      <c r="ODV75" s="684"/>
      <c r="ODW75" s="684"/>
      <c r="ODX75" s="684"/>
      <c r="ODY75" s="684"/>
      <c r="ODZ75" s="684"/>
      <c r="OEA75" s="684"/>
      <c r="OEB75" s="684"/>
      <c r="OEC75" s="684"/>
      <c r="OED75" s="684"/>
      <c r="OEE75" s="684"/>
      <c r="OEF75" s="684"/>
      <c r="OEG75" s="684"/>
      <c r="OEH75" s="684"/>
      <c r="OEI75" s="684"/>
      <c r="OEJ75" s="684"/>
      <c r="OEK75" s="684"/>
      <c r="OEL75" s="684"/>
      <c r="OEM75" s="684"/>
      <c r="OEN75" s="684"/>
      <c r="OEO75" s="684"/>
      <c r="OEP75" s="684"/>
      <c r="OEQ75" s="684"/>
      <c r="OER75" s="684"/>
      <c r="OES75" s="684"/>
      <c r="OET75" s="684"/>
      <c r="OEU75" s="684"/>
      <c r="OEV75" s="684"/>
      <c r="OEW75" s="684"/>
      <c r="OEX75" s="684"/>
      <c r="OEY75" s="684"/>
      <c r="OEZ75" s="684"/>
      <c r="OFA75" s="684"/>
      <c r="OFB75" s="684"/>
      <c r="OFC75" s="684"/>
      <c r="OFD75" s="684"/>
      <c r="OFE75" s="684"/>
      <c r="OFF75" s="684"/>
      <c r="OFG75" s="684"/>
      <c r="OFH75" s="684"/>
      <c r="OFI75" s="684"/>
      <c r="OFJ75" s="684"/>
      <c r="OFK75" s="684"/>
      <c r="OFL75" s="684"/>
      <c r="OFM75" s="684"/>
      <c r="OFN75" s="684"/>
      <c r="OFO75" s="684"/>
      <c r="OFP75" s="684"/>
      <c r="OFQ75" s="684"/>
      <c r="OFR75" s="684"/>
      <c r="OFS75" s="684"/>
      <c r="OFT75" s="684"/>
      <c r="OFU75" s="684"/>
      <c r="OFV75" s="684"/>
      <c r="OFW75" s="684"/>
      <c r="OFX75" s="684"/>
      <c r="OFY75" s="684"/>
      <c r="OFZ75" s="684"/>
      <c r="OGA75" s="684"/>
      <c r="OGB75" s="684"/>
      <c r="OGC75" s="684"/>
      <c r="OGD75" s="684"/>
      <c r="OGE75" s="684"/>
      <c r="OGF75" s="684"/>
      <c r="OGG75" s="684"/>
      <c r="OGH75" s="684"/>
      <c r="OGI75" s="684"/>
      <c r="OGJ75" s="684"/>
      <c r="OGK75" s="684"/>
      <c r="OGL75" s="684"/>
      <c r="OGM75" s="684"/>
      <c r="OGN75" s="684"/>
      <c r="OGO75" s="684"/>
      <c r="OGP75" s="684"/>
      <c r="OGQ75" s="684"/>
      <c r="OGR75" s="684"/>
      <c r="OGS75" s="684"/>
      <c r="OGT75" s="684"/>
      <c r="OGU75" s="684"/>
      <c r="OGV75" s="684"/>
      <c r="OGW75" s="684"/>
      <c r="OGX75" s="684"/>
      <c r="OGY75" s="684"/>
      <c r="OGZ75" s="684"/>
      <c r="OHA75" s="684"/>
      <c r="OHB75" s="684"/>
      <c r="OHC75" s="684"/>
      <c r="OHD75" s="684"/>
      <c r="OHE75" s="684"/>
      <c r="OHF75" s="684"/>
      <c r="OHG75" s="684"/>
      <c r="OHH75" s="684"/>
      <c r="OHI75" s="684"/>
      <c r="OHJ75" s="684"/>
      <c r="OHK75" s="684"/>
      <c r="OHL75" s="684"/>
      <c r="OHM75" s="684"/>
      <c r="OHN75" s="684"/>
      <c r="OHO75" s="684"/>
      <c r="OHP75" s="684"/>
      <c r="OHQ75" s="684"/>
      <c r="OHR75" s="684"/>
      <c r="OHS75" s="684"/>
      <c r="OHT75" s="684"/>
      <c r="OHU75" s="684"/>
      <c r="OHV75" s="684"/>
      <c r="OHW75" s="684"/>
      <c r="OHX75" s="684"/>
      <c r="OHY75" s="684"/>
      <c r="OHZ75" s="684"/>
      <c r="OIA75" s="684"/>
      <c r="OIB75" s="684"/>
      <c r="OIC75" s="684"/>
      <c r="OID75" s="684"/>
      <c r="OIE75" s="684"/>
      <c r="OIF75" s="684"/>
      <c r="OIG75" s="684"/>
      <c r="OIH75" s="684"/>
      <c r="OII75" s="684"/>
      <c r="OIJ75" s="684"/>
      <c r="OIK75" s="684"/>
      <c r="OIL75" s="684"/>
      <c r="OIM75" s="684"/>
      <c r="OIN75" s="684"/>
      <c r="OIO75" s="684"/>
      <c r="OIP75" s="684"/>
      <c r="OIQ75" s="684"/>
      <c r="OIR75" s="684"/>
      <c r="OIS75" s="684"/>
      <c r="OIT75" s="684"/>
      <c r="OIU75" s="684"/>
      <c r="OIV75" s="684"/>
      <c r="OIW75" s="684"/>
      <c r="OIX75" s="684"/>
      <c r="OIY75" s="684"/>
      <c r="OIZ75" s="684"/>
      <c r="OJA75" s="684"/>
      <c r="OJB75" s="684"/>
      <c r="OJC75" s="684"/>
      <c r="OJD75" s="684"/>
      <c r="OJE75" s="684"/>
      <c r="OJF75" s="684"/>
      <c r="OJG75" s="684"/>
      <c r="OJH75" s="684"/>
      <c r="OJI75" s="684"/>
      <c r="OJJ75" s="684"/>
      <c r="OJK75" s="684"/>
      <c r="OJL75" s="684"/>
      <c r="OJM75" s="684"/>
      <c r="OJN75" s="684"/>
      <c r="OJO75" s="684"/>
      <c r="OJP75" s="684"/>
      <c r="OJQ75" s="684"/>
      <c r="OJR75" s="684"/>
      <c r="OJS75" s="684"/>
      <c r="OJT75" s="684"/>
      <c r="OJU75" s="684"/>
      <c r="OJV75" s="684"/>
      <c r="OJW75" s="684"/>
      <c r="OJX75" s="684"/>
      <c r="OJY75" s="684"/>
      <c r="OJZ75" s="684"/>
      <c r="OKA75" s="684"/>
      <c r="OKB75" s="684"/>
      <c r="OKC75" s="684"/>
      <c r="OKD75" s="684"/>
      <c r="OKE75" s="684"/>
      <c r="OKF75" s="684"/>
      <c r="OKG75" s="684"/>
      <c r="OKH75" s="684"/>
      <c r="OKI75" s="684"/>
      <c r="OKJ75" s="684"/>
      <c r="OKK75" s="684"/>
      <c r="OKL75" s="684"/>
      <c r="OKM75" s="684"/>
      <c r="OKN75" s="684"/>
      <c r="OKO75" s="684"/>
      <c r="OKP75" s="684"/>
      <c r="OKQ75" s="684"/>
      <c r="OKR75" s="684"/>
      <c r="OKS75" s="684"/>
      <c r="OKT75" s="684"/>
      <c r="OKU75" s="684"/>
      <c r="OKV75" s="684"/>
      <c r="OKW75" s="684"/>
      <c r="OKX75" s="684"/>
      <c r="OKY75" s="684"/>
      <c r="OKZ75" s="684"/>
      <c r="OLA75" s="684"/>
      <c r="OLB75" s="684"/>
      <c r="OLC75" s="684"/>
      <c r="OLD75" s="684"/>
      <c r="OLE75" s="684"/>
      <c r="OLF75" s="684"/>
      <c r="OLG75" s="684"/>
      <c r="OLH75" s="684"/>
      <c r="OLI75" s="684"/>
      <c r="OLJ75" s="684"/>
      <c r="OLK75" s="684"/>
      <c r="OLL75" s="684"/>
      <c r="OLM75" s="684"/>
      <c r="OLN75" s="684"/>
      <c r="OLO75" s="684"/>
      <c r="OLP75" s="684"/>
      <c r="OLQ75" s="684"/>
      <c r="OLR75" s="684"/>
      <c r="OLS75" s="684"/>
      <c r="OLT75" s="684"/>
      <c r="OLU75" s="684"/>
      <c r="OLV75" s="684"/>
      <c r="OLW75" s="684"/>
      <c r="OLX75" s="684"/>
      <c r="OLY75" s="684"/>
      <c r="OLZ75" s="684"/>
      <c r="OMA75" s="684"/>
      <c r="OMB75" s="684"/>
      <c r="OMC75" s="684"/>
      <c r="OMD75" s="684"/>
      <c r="OME75" s="684"/>
      <c r="OMF75" s="684"/>
      <c r="OMG75" s="684"/>
      <c r="OMH75" s="684"/>
      <c r="OMI75" s="684"/>
      <c r="OMJ75" s="684"/>
      <c r="OMK75" s="684"/>
      <c r="OML75" s="684"/>
      <c r="OMM75" s="684"/>
      <c r="OMN75" s="684"/>
      <c r="OMO75" s="684"/>
      <c r="OMP75" s="684"/>
      <c r="OMQ75" s="684"/>
      <c r="OMR75" s="684"/>
      <c r="OMS75" s="684"/>
      <c r="OMT75" s="684"/>
      <c r="OMU75" s="684"/>
      <c r="OMV75" s="684"/>
      <c r="OMW75" s="684"/>
      <c r="OMX75" s="684"/>
      <c r="OMY75" s="684"/>
      <c r="OMZ75" s="684"/>
      <c r="ONA75" s="684"/>
      <c r="ONB75" s="684"/>
      <c r="ONC75" s="684"/>
      <c r="OND75" s="684"/>
      <c r="ONE75" s="684"/>
      <c r="ONF75" s="684"/>
      <c r="ONG75" s="684"/>
      <c r="ONH75" s="684"/>
      <c r="ONI75" s="684"/>
      <c r="ONJ75" s="684"/>
      <c r="ONK75" s="684"/>
      <c r="ONL75" s="684"/>
      <c r="ONM75" s="684"/>
      <c r="ONN75" s="684"/>
      <c r="ONO75" s="684"/>
      <c r="ONP75" s="684"/>
      <c r="ONQ75" s="684"/>
      <c r="ONR75" s="684"/>
      <c r="ONS75" s="684"/>
      <c r="ONT75" s="684"/>
      <c r="ONU75" s="684"/>
      <c r="ONV75" s="684"/>
      <c r="ONW75" s="684"/>
      <c r="ONX75" s="684"/>
      <c r="ONY75" s="684"/>
      <c r="ONZ75" s="684"/>
      <c r="OOA75" s="684"/>
      <c r="OOB75" s="684"/>
      <c r="OOC75" s="684"/>
      <c r="OOD75" s="684"/>
      <c r="OOE75" s="684"/>
      <c r="OOF75" s="684"/>
      <c r="OOG75" s="684"/>
      <c r="OOH75" s="684"/>
      <c r="OOI75" s="684"/>
      <c r="OOJ75" s="684"/>
      <c r="OOK75" s="684"/>
      <c r="OOL75" s="684"/>
      <c r="OOM75" s="684"/>
      <c r="OON75" s="684"/>
      <c r="OOO75" s="684"/>
      <c r="OOP75" s="684"/>
      <c r="OOQ75" s="684"/>
      <c r="OOR75" s="684"/>
      <c r="OOS75" s="684"/>
      <c r="OOT75" s="684"/>
      <c r="OOU75" s="684"/>
      <c r="OOV75" s="684"/>
      <c r="OOW75" s="684"/>
      <c r="OOX75" s="684"/>
      <c r="OOY75" s="684"/>
      <c r="OOZ75" s="684"/>
      <c r="OPA75" s="684"/>
      <c r="OPB75" s="684"/>
      <c r="OPC75" s="684"/>
      <c r="OPD75" s="684"/>
      <c r="OPE75" s="684"/>
      <c r="OPF75" s="684"/>
      <c r="OPG75" s="684"/>
      <c r="OPH75" s="684"/>
      <c r="OPI75" s="684"/>
      <c r="OPJ75" s="684"/>
      <c r="OPK75" s="684"/>
      <c r="OPL75" s="684"/>
      <c r="OPM75" s="684"/>
      <c r="OPN75" s="684"/>
      <c r="OPO75" s="684"/>
      <c r="OPP75" s="684"/>
      <c r="OPQ75" s="684"/>
      <c r="OPR75" s="684"/>
      <c r="OPS75" s="684"/>
      <c r="OPT75" s="684"/>
      <c r="OPU75" s="684"/>
      <c r="OPV75" s="684"/>
      <c r="OPW75" s="684"/>
      <c r="OPX75" s="684"/>
      <c r="OPY75" s="684"/>
      <c r="OPZ75" s="684"/>
      <c r="OQA75" s="684"/>
      <c r="OQB75" s="684"/>
      <c r="OQC75" s="684"/>
      <c r="OQD75" s="684"/>
      <c r="OQE75" s="684"/>
      <c r="OQF75" s="684"/>
      <c r="OQG75" s="684"/>
      <c r="OQH75" s="684"/>
      <c r="OQI75" s="684"/>
      <c r="OQJ75" s="684"/>
      <c r="OQK75" s="684"/>
      <c r="OQL75" s="684"/>
      <c r="OQM75" s="684"/>
      <c r="OQN75" s="684"/>
      <c r="OQO75" s="684"/>
      <c r="OQP75" s="684"/>
      <c r="OQQ75" s="684"/>
      <c r="OQR75" s="684"/>
      <c r="OQS75" s="684"/>
      <c r="OQT75" s="684"/>
      <c r="OQU75" s="684"/>
      <c r="OQV75" s="684"/>
      <c r="OQW75" s="684"/>
      <c r="OQX75" s="684"/>
      <c r="OQY75" s="684"/>
      <c r="OQZ75" s="684"/>
      <c r="ORA75" s="684"/>
      <c r="ORB75" s="684"/>
      <c r="ORC75" s="684"/>
      <c r="ORD75" s="684"/>
      <c r="ORE75" s="684"/>
      <c r="ORF75" s="684"/>
      <c r="ORG75" s="684"/>
      <c r="ORH75" s="684"/>
      <c r="ORI75" s="684"/>
      <c r="ORJ75" s="684"/>
      <c r="ORK75" s="684"/>
      <c r="ORL75" s="684"/>
      <c r="ORM75" s="684"/>
      <c r="ORN75" s="684"/>
      <c r="ORO75" s="684"/>
      <c r="ORP75" s="684"/>
      <c r="ORQ75" s="684"/>
      <c r="ORR75" s="684"/>
      <c r="ORS75" s="684"/>
      <c r="ORT75" s="684"/>
      <c r="ORU75" s="684"/>
      <c r="ORV75" s="684"/>
      <c r="ORW75" s="684"/>
      <c r="ORX75" s="684"/>
      <c r="ORY75" s="684"/>
      <c r="ORZ75" s="684"/>
      <c r="OSA75" s="684"/>
      <c r="OSB75" s="684"/>
      <c r="OSC75" s="684"/>
      <c r="OSD75" s="684"/>
      <c r="OSE75" s="684"/>
      <c r="OSF75" s="684"/>
      <c r="OSG75" s="684"/>
      <c r="OSH75" s="684"/>
      <c r="OSI75" s="684"/>
      <c r="OSJ75" s="684"/>
      <c r="OSK75" s="684"/>
      <c r="OSL75" s="684"/>
      <c r="OSM75" s="684"/>
      <c r="OSN75" s="684"/>
      <c r="OSO75" s="684"/>
      <c r="OSP75" s="684"/>
      <c r="OSQ75" s="684"/>
      <c r="OSR75" s="684"/>
      <c r="OSS75" s="684"/>
      <c r="OST75" s="684"/>
      <c r="OSU75" s="684"/>
      <c r="OSV75" s="684"/>
      <c r="OSW75" s="684"/>
      <c r="OSX75" s="684"/>
      <c r="OSY75" s="684"/>
      <c r="OSZ75" s="684"/>
      <c r="OTA75" s="684"/>
      <c r="OTB75" s="684"/>
      <c r="OTC75" s="684"/>
      <c r="OTD75" s="684"/>
      <c r="OTE75" s="684"/>
      <c r="OTF75" s="684"/>
      <c r="OTG75" s="684"/>
      <c r="OTH75" s="684"/>
      <c r="OTI75" s="684"/>
      <c r="OTJ75" s="684"/>
      <c r="OTK75" s="684"/>
      <c r="OTL75" s="684"/>
      <c r="OTM75" s="684"/>
      <c r="OTN75" s="684"/>
      <c r="OTO75" s="684"/>
      <c r="OTP75" s="684"/>
      <c r="OTQ75" s="684"/>
      <c r="OTR75" s="684"/>
      <c r="OTS75" s="684"/>
      <c r="OTT75" s="684"/>
      <c r="OTU75" s="684"/>
      <c r="OTV75" s="684"/>
      <c r="OTW75" s="684"/>
      <c r="OTX75" s="684"/>
      <c r="OTY75" s="684"/>
      <c r="OTZ75" s="684"/>
      <c r="OUA75" s="684"/>
      <c r="OUB75" s="684"/>
      <c r="OUC75" s="684"/>
      <c r="OUD75" s="684"/>
      <c r="OUE75" s="684"/>
      <c r="OUF75" s="684"/>
      <c r="OUG75" s="684"/>
      <c r="OUH75" s="684"/>
      <c r="OUI75" s="684"/>
      <c r="OUJ75" s="684"/>
      <c r="OUK75" s="684"/>
      <c r="OUL75" s="684"/>
      <c r="OUM75" s="684"/>
      <c r="OUN75" s="684"/>
      <c r="OUO75" s="684"/>
      <c r="OUP75" s="684"/>
      <c r="OUQ75" s="684"/>
      <c r="OUR75" s="684"/>
      <c r="OUS75" s="684"/>
      <c r="OUT75" s="684"/>
      <c r="OUU75" s="684"/>
      <c r="OUV75" s="684"/>
      <c r="OUW75" s="684"/>
      <c r="OUX75" s="684"/>
      <c r="OUY75" s="684"/>
      <c r="OUZ75" s="684"/>
      <c r="OVA75" s="684"/>
      <c r="OVB75" s="684"/>
      <c r="OVC75" s="684"/>
      <c r="OVD75" s="684"/>
      <c r="OVE75" s="684"/>
      <c r="OVF75" s="684"/>
      <c r="OVG75" s="684"/>
      <c r="OVH75" s="684"/>
      <c r="OVI75" s="684"/>
      <c r="OVJ75" s="684"/>
      <c r="OVK75" s="684"/>
      <c r="OVL75" s="684"/>
      <c r="OVM75" s="684"/>
      <c r="OVN75" s="684"/>
      <c r="OVO75" s="684"/>
      <c r="OVP75" s="684"/>
      <c r="OVQ75" s="684"/>
      <c r="OVR75" s="684"/>
      <c r="OVS75" s="684"/>
      <c r="OVT75" s="684"/>
      <c r="OVU75" s="684"/>
      <c r="OVV75" s="684"/>
      <c r="OVW75" s="684"/>
      <c r="OVX75" s="684"/>
      <c r="OVY75" s="684"/>
      <c r="OVZ75" s="684"/>
      <c r="OWA75" s="684"/>
      <c r="OWB75" s="684"/>
      <c r="OWC75" s="684"/>
      <c r="OWD75" s="684"/>
      <c r="OWE75" s="684"/>
      <c r="OWF75" s="684"/>
      <c r="OWG75" s="684"/>
      <c r="OWH75" s="684"/>
      <c r="OWI75" s="684"/>
      <c r="OWJ75" s="684"/>
      <c r="OWK75" s="684"/>
      <c r="OWL75" s="684"/>
      <c r="OWM75" s="684"/>
      <c r="OWN75" s="684"/>
      <c r="OWO75" s="684"/>
      <c r="OWP75" s="684"/>
      <c r="OWQ75" s="684"/>
      <c r="OWR75" s="684"/>
      <c r="OWS75" s="684"/>
      <c r="OWT75" s="684"/>
      <c r="OWU75" s="684"/>
      <c r="OWV75" s="684"/>
      <c r="OWW75" s="684"/>
      <c r="OWX75" s="684"/>
      <c r="OWY75" s="684"/>
      <c r="OWZ75" s="684"/>
      <c r="OXA75" s="684"/>
      <c r="OXB75" s="684"/>
      <c r="OXC75" s="684"/>
      <c r="OXD75" s="684"/>
      <c r="OXE75" s="684"/>
      <c r="OXF75" s="684"/>
      <c r="OXG75" s="684"/>
      <c r="OXH75" s="684"/>
      <c r="OXI75" s="684"/>
      <c r="OXJ75" s="684"/>
      <c r="OXK75" s="684"/>
      <c r="OXL75" s="684"/>
      <c r="OXM75" s="684"/>
      <c r="OXN75" s="684"/>
      <c r="OXO75" s="684"/>
      <c r="OXP75" s="684"/>
      <c r="OXQ75" s="684"/>
      <c r="OXR75" s="684"/>
      <c r="OXS75" s="684"/>
      <c r="OXT75" s="684"/>
      <c r="OXU75" s="684"/>
      <c r="OXV75" s="684"/>
      <c r="OXW75" s="684"/>
      <c r="OXX75" s="684"/>
      <c r="OXY75" s="684"/>
      <c r="OXZ75" s="684"/>
      <c r="OYA75" s="684"/>
      <c r="OYB75" s="684"/>
      <c r="OYC75" s="684"/>
      <c r="OYD75" s="684"/>
      <c r="OYE75" s="684"/>
      <c r="OYF75" s="684"/>
      <c r="OYG75" s="684"/>
      <c r="OYH75" s="684"/>
      <c r="OYI75" s="684"/>
      <c r="OYJ75" s="684"/>
      <c r="OYK75" s="684"/>
      <c r="OYL75" s="684"/>
      <c r="OYM75" s="684"/>
      <c r="OYN75" s="684"/>
      <c r="OYO75" s="684"/>
      <c r="OYP75" s="684"/>
      <c r="OYQ75" s="684"/>
      <c r="OYR75" s="684"/>
      <c r="OYS75" s="684"/>
      <c r="OYT75" s="684"/>
      <c r="OYU75" s="684"/>
      <c r="OYV75" s="684"/>
      <c r="OYW75" s="684"/>
      <c r="OYX75" s="684"/>
      <c r="OYY75" s="684"/>
      <c r="OYZ75" s="684"/>
      <c r="OZA75" s="684"/>
      <c r="OZB75" s="684"/>
      <c r="OZC75" s="684"/>
      <c r="OZD75" s="684"/>
      <c r="OZE75" s="684"/>
      <c r="OZF75" s="684"/>
      <c r="OZG75" s="684"/>
      <c r="OZH75" s="684"/>
      <c r="OZI75" s="684"/>
      <c r="OZJ75" s="684"/>
      <c r="OZK75" s="684"/>
      <c r="OZL75" s="684"/>
      <c r="OZM75" s="684"/>
      <c r="OZN75" s="684"/>
      <c r="OZO75" s="684"/>
      <c r="OZP75" s="684"/>
      <c r="OZQ75" s="684"/>
      <c r="OZR75" s="684"/>
      <c r="OZS75" s="684"/>
      <c r="OZT75" s="684"/>
      <c r="OZU75" s="684"/>
      <c r="OZV75" s="684"/>
      <c r="OZW75" s="684"/>
      <c r="OZX75" s="684"/>
      <c r="OZY75" s="684"/>
      <c r="OZZ75" s="684"/>
      <c r="PAA75" s="684"/>
      <c r="PAB75" s="684"/>
      <c r="PAC75" s="684"/>
      <c r="PAD75" s="684"/>
      <c r="PAE75" s="684"/>
      <c r="PAF75" s="684"/>
      <c r="PAG75" s="684"/>
      <c r="PAH75" s="684"/>
      <c r="PAI75" s="684"/>
      <c r="PAJ75" s="684"/>
      <c r="PAK75" s="684"/>
      <c r="PAL75" s="684"/>
      <c r="PAM75" s="684"/>
      <c r="PAN75" s="684"/>
      <c r="PAO75" s="684"/>
      <c r="PAP75" s="684"/>
      <c r="PAQ75" s="684"/>
      <c r="PAR75" s="684"/>
      <c r="PAS75" s="684"/>
      <c r="PAT75" s="684"/>
      <c r="PAU75" s="684"/>
      <c r="PAV75" s="684"/>
      <c r="PAW75" s="684"/>
      <c r="PAX75" s="684"/>
      <c r="PAY75" s="684"/>
      <c r="PAZ75" s="684"/>
      <c r="PBA75" s="684"/>
      <c r="PBB75" s="684"/>
      <c r="PBC75" s="684"/>
      <c r="PBD75" s="684"/>
      <c r="PBE75" s="684"/>
      <c r="PBF75" s="684"/>
      <c r="PBG75" s="684"/>
      <c r="PBH75" s="684"/>
      <c r="PBI75" s="684"/>
      <c r="PBJ75" s="684"/>
      <c r="PBK75" s="684"/>
      <c r="PBL75" s="684"/>
      <c r="PBM75" s="684"/>
      <c r="PBN75" s="684"/>
      <c r="PBO75" s="684"/>
      <c r="PBP75" s="684"/>
      <c r="PBQ75" s="684"/>
      <c r="PBR75" s="684"/>
      <c r="PBS75" s="684"/>
      <c r="PBT75" s="684"/>
      <c r="PBU75" s="684"/>
      <c r="PBV75" s="684"/>
      <c r="PBW75" s="684"/>
      <c r="PBX75" s="684"/>
      <c r="PBY75" s="684"/>
      <c r="PBZ75" s="684"/>
      <c r="PCA75" s="684"/>
      <c r="PCB75" s="684"/>
      <c r="PCC75" s="684"/>
      <c r="PCD75" s="684"/>
      <c r="PCE75" s="684"/>
      <c r="PCF75" s="684"/>
      <c r="PCG75" s="684"/>
      <c r="PCH75" s="684"/>
      <c r="PCI75" s="684"/>
      <c r="PCJ75" s="684"/>
      <c r="PCK75" s="684"/>
      <c r="PCL75" s="684"/>
      <c r="PCM75" s="684"/>
      <c r="PCN75" s="684"/>
      <c r="PCO75" s="684"/>
      <c r="PCP75" s="684"/>
      <c r="PCQ75" s="684"/>
      <c r="PCR75" s="684"/>
      <c r="PCS75" s="684"/>
      <c r="PCT75" s="684"/>
      <c r="PCU75" s="684"/>
      <c r="PCV75" s="684"/>
      <c r="PCW75" s="684"/>
      <c r="PCX75" s="684"/>
      <c r="PCY75" s="684"/>
      <c r="PCZ75" s="684"/>
      <c r="PDA75" s="684"/>
      <c r="PDB75" s="684"/>
      <c r="PDC75" s="684"/>
      <c r="PDD75" s="684"/>
      <c r="PDE75" s="684"/>
      <c r="PDF75" s="684"/>
      <c r="PDG75" s="684"/>
      <c r="PDH75" s="684"/>
      <c r="PDI75" s="684"/>
      <c r="PDJ75" s="684"/>
      <c r="PDK75" s="684"/>
      <c r="PDL75" s="684"/>
      <c r="PDM75" s="684"/>
      <c r="PDN75" s="684"/>
      <c r="PDO75" s="684"/>
      <c r="PDP75" s="684"/>
      <c r="PDQ75" s="684"/>
      <c r="PDR75" s="684"/>
      <c r="PDS75" s="684"/>
      <c r="PDT75" s="684"/>
      <c r="PDU75" s="684"/>
      <c r="PDV75" s="684"/>
      <c r="PDW75" s="684"/>
      <c r="PDX75" s="684"/>
      <c r="PDY75" s="684"/>
      <c r="PDZ75" s="684"/>
      <c r="PEA75" s="684"/>
      <c r="PEB75" s="684"/>
      <c r="PEC75" s="684"/>
      <c r="PED75" s="684"/>
      <c r="PEE75" s="684"/>
      <c r="PEF75" s="684"/>
      <c r="PEG75" s="684"/>
      <c r="PEH75" s="684"/>
      <c r="PEI75" s="684"/>
      <c r="PEJ75" s="684"/>
      <c r="PEK75" s="684"/>
      <c r="PEL75" s="684"/>
      <c r="PEM75" s="684"/>
      <c r="PEN75" s="684"/>
      <c r="PEO75" s="684"/>
      <c r="PEP75" s="684"/>
      <c r="PEQ75" s="684"/>
      <c r="PER75" s="684"/>
      <c r="PES75" s="684"/>
      <c r="PET75" s="684"/>
      <c r="PEU75" s="684"/>
      <c r="PEV75" s="684"/>
      <c r="PEW75" s="684"/>
      <c r="PEX75" s="684"/>
      <c r="PEY75" s="684"/>
      <c r="PEZ75" s="684"/>
      <c r="PFA75" s="684"/>
      <c r="PFB75" s="684"/>
      <c r="PFC75" s="684"/>
      <c r="PFD75" s="684"/>
      <c r="PFE75" s="684"/>
      <c r="PFF75" s="684"/>
      <c r="PFG75" s="684"/>
      <c r="PFH75" s="684"/>
      <c r="PFI75" s="684"/>
      <c r="PFJ75" s="684"/>
      <c r="PFK75" s="684"/>
      <c r="PFL75" s="684"/>
      <c r="PFM75" s="684"/>
      <c r="PFN75" s="684"/>
      <c r="PFO75" s="684"/>
      <c r="PFP75" s="684"/>
      <c r="PFQ75" s="684"/>
      <c r="PFR75" s="684"/>
      <c r="PFS75" s="684"/>
      <c r="PFT75" s="684"/>
      <c r="PFU75" s="684"/>
      <c r="PFV75" s="684"/>
      <c r="PFW75" s="684"/>
      <c r="PFX75" s="684"/>
      <c r="PFY75" s="684"/>
      <c r="PFZ75" s="684"/>
      <c r="PGA75" s="684"/>
      <c r="PGB75" s="684"/>
      <c r="PGC75" s="684"/>
      <c r="PGD75" s="684"/>
      <c r="PGE75" s="684"/>
      <c r="PGF75" s="684"/>
      <c r="PGG75" s="684"/>
      <c r="PGH75" s="684"/>
      <c r="PGI75" s="684"/>
      <c r="PGJ75" s="684"/>
      <c r="PGK75" s="684"/>
      <c r="PGL75" s="684"/>
      <c r="PGM75" s="684"/>
      <c r="PGN75" s="684"/>
      <c r="PGO75" s="684"/>
      <c r="PGP75" s="684"/>
      <c r="PGQ75" s="684"/>
      <c r="PGR75" s="684"/>
      <c r="PGS75" s="684"/>
      <c r="PGT75" s="684"/>
      <c r="PGU75" s="684"/>
      <c r="PGV75" s="684"/>
      <c r="PGW75" s="684"/>
      <c r="PGX75" s="684"/>
      <c r="PGY75" s="684"/>
      <c r="PGZ75" s="684"/>
      <c r="PHA75" s="684"/>
      <c r="PHB75" s="684"/>
      <c r="PHC75" s="684"/>
      <c r="PHD75" s="684"/>
      <c r="PHE75" s="684"/>
      <c r="PHF75" s="684"/>
      <c r="PHG75" s="684"/>
      <c r="PHH75" s="684"/>
      <c r="PHI75" s="684"/>
      <c r="PHJ75" s="684"/>
      <c r="PHK75" s="684"/>
      <c r="PHL75" s="684"/>
      <c r="PHM75" s="684"/>
      <c r="PHN75" s="684"/>
      <c r="PHO75" s="684"/>
      <c r="PHP75" s="684"/>
      <c r="PHQ75" s="684"/>
      <c r="PHR75" s="684"/>
      <c r="PHS75" s="684"/>
      <c r="PHT75" s="684"/>
      <c r="PHU75" s="684"/>
      <c r="PHV75" s="684"/>
      <c r="PHW75" s="684"/>
      <c r="PHX75" s="684"/>
      <c r="PHY75" s="684"/>
      <c r="PHZ75" s="684"/>
      <c r="PIA75" s="684"/>
      <c r="PIB75" s="684"/>
      <c r="PIC75" s="684"/>
      <c r="PID75" s="684"/>
      <c r="PIE75" s="684"/>
      <c r="PIF75" s="684"/>
      <c r="PIG75" s="684"/>
      <c r="PIH75" s="684"/>
      <c r="PII75" s="684"/>
      <c r="PIJ75" s="684"/>
      <c r="PIK75" s="684"/>
      <c r="PIL75" s="684"/>
      <c r="PIM75" s="684"/>
      <c r="PIN75" s="684"/>
      <c r="PIO75" s="684"/>
      <c r="PIP75" s="684"/>
      <c r="PIQ75" s="684"/>
      <c r="PIR75" s="684"/>
      <c r="PIS75" s="684"/>
      <c r="PIT75" s="684"/>
      <c r="PIU75" s="684"/>
      <c r="PIV75" s="684"/>
      <c r="PIW75" s="684"/>
      <c r="PIX75" s="684"/>
      <c r="PIY75" s="684"/>
      <c r="PIZ75" s="684"/>
      <c r="PJA75" s="684"/>
      <c r="PJB75" s="684"/>
      <c r="PJC75" s="684"/>
      <c r="PJD75" s="684"/>
      <c r="PJE75" s="684"/>
      <c r="PJF75" s="684"/>
      <c r="PJG75" s="684"/>
      <c r="PJH75" s="684"/>
      <c r="PJI75" s="684"/>
      <c r="PJJ75" s="684"/>
      <c r="PJK75" s="684"/>
      <c r="PJL75" s="684"/>
      <c r="PJM75" s="684"/>
      <c r="PJN75" s="684"/>
      <c r="PJO75" s="684"/>
      <c r="PJP75" s="684"/>
      <c r="PJQ75" s="684"/>
      <c r="PJR75" s="684"/>
      <c r="PJS75" s="684"/>
      <c r="PJT75" s="684"/>
      <c r="PJU75" s="684"/>
      <c r="PJV75" s="684"/>
      <c r="PJW75" s="684"/>
      <c r="PJX75" s="684"/>
      <c r="PJY75" s="684"/>
      <c r="PJZ75" s="684"/>
      <c r="PKA75" s="684"/>
      <c r="PKB75" s="684"/>
      <c r="PKC75" s="684"/>
      <c r="PKD75" s="684"/>
      <c r="PKE75" s="684"/>
      <c r="PKF75" s="684"/>
      <c r="PKG75" s="684"/>
      <c r="PKH75" s="684"/>
      <c r="PKI75" s="684"/>
      <c r="PKJ75" s="684"/>
      <c r="PKK75" s="684"/>
      <c r="PKL75" s="684"/>
      <c r="PKM75" s="684"/>
      <c r="PKN75" s="684"/>
      <c r="PKO75" s="684"/>
      <c r="PKP75" s="684"/>
      <c r="PKQ75" s="684"/>
      <c r="PKR75" s="684"/>
      <c r="PKS75" s="684"/>
      <c r="PKT75" s="684"/>
      <c r="PKU75" s="684"/>
      <c r="PKV75" s="684"/>
      <c r="PKW75" s="684"/>
      <c r="PKX75" s="684"/>
      <c r="PKY75" s="684"/>
      <c r="PKZ75" s="684"/>
      <c r="PLA75" s="684"/>
      <c r="PLB75" s="684"/>
      <c r="PLC75" s="684"/>
      <c r="PLD75" s="684"/>
      <c r="PLE75" s="684"/>
      <c r="PLF75" s="684"/>
      <c r="PLG75" s="684"/>
      <c r="PLH75" s="684"/>
      <c r="PLI75" s="684"/>
      <c r="PLJ75" s="684"/>
      <c r="PLK75" s="684"/>
      <c r="PLL75" s="684"/>
      <c r="PLM75" s="684"/>
      <c r="PLN75" s="684"/>
      <c r="PLO75" s="684"/>
      <c r="PLP75" s="684"/>
      <c r="PLQ75" s="684"/>
      <c r="PLR75" s="684"/>
      <c r="PLS75" s="684"/>
      <c r="PLT75" s="684"/>
      <c r="PLU75" s="684"/>
      <c r="PLV75" s="684"/>
      <c r="PLW75" s="684"/>
      <c r="PLX75" s="684"/>
      <c r="PLY75" s="684"/>
      <c r="PLZ75" s="684"/>
      <c r="PMA75" s="684"/>
      <c r="PMB75" s="684"/>
      <c r="PMC75" s="684"/>
      <c r="PMD75" s="684"/>
      <c r="PME75" s="684"/>
      <c r="PMF75" s="684"/>
      <c r="PMG75" s="684"/>
      <c r="PMH75" s="684"/>
      <c r="PMI75" s="684"/>
      <c r="PMJ75" s="684"/>
      <c r="PMK75" s="684"/>
      <c r="PML75" s="684"/>
      <c r="PMM75" s="684"/>
      <c r="PMN75" s="684"/>
      <c r="PMO75" s="684"/>
      <c r="PMP75" s="684"/>
      <c r="PMQ75" s="684"/>
      <c r="PMR75" s="684"/>
      <c r="PMS75" s="684"/>
      <c r="PMT75" s="684"/>
      <c r="PMU75" s="684"/>
      <c r="PMV75" s="684"/>
      <c r="PMW75" s="684"/>
      <c r="PMX75" s="684"/>
      <c r="PMY75" s="684"/>
      <c r="PMZ75" s="684"/>
      <c r="PNA75" s="684"/>
      <c r="PNB75" s="684"/>
      <c r="PNC75" s="684"/>
      <c r="PND75" s="684"/>
      <c r="PNE75" s="684"/>
      <c r="PNF75" s="684"/>
      <c r="PNG75" s="684"/>
      <c r="PNH75" s="684"/>
      <c r="PNI75" s="684"/>
      <c r="PNJ75" s="684"/>
      <c r="PNK75" s="684"/>
      <c r="PNL75" s="684"/>
      <c r="PNM75" s="684"/>
      <c r="PNN75" s="684"/>
      <c r="PNO75" s="684"/>
      <c r="PNP75" s="684"/>
      <c r="PNQ75" s="684"/>
      <c r="PNR75" s="684"/>
      <c r="PNS75" s="684"/>
      <c r="PNT75" s="684"/>
      <c r="PNU75" s="684"/>
      <c r="PNV75" s="684"/>
      <c r="PNW75" s="684"/>
      <c r="PNX75" s="684"/>
      <c r="PNY75" s="684"/>
      <c r="PNZ75" s="684"/>
      <c r="POA75" s="684"/>
      <c r="POB75" s="684"/>
      <c r="POC75" s="684"/>
      <c r="POD75" s="684"/>
      <c r="POE75" s="684"/>
      <c r="POF75" s="684"/>
      <c r="POG75" s="684"/>
      <c r="POH75" s="684"/>
      <c r="POI75" s="684"/>
      <c r="POJ75" s="684"/>
      <c r="POK75" s="684"/>
      <c r="POL75" s="684"/>
      <c r="POM75" s="684"/>
      <c r="PON75" s="684"/>
      <c r="POO75" s="684"/>
      <c r="POP75" s="684"/>
      <c r="POQ75" s="684"/>
      <c r="POR75" s="684"/>
      <c r="POS75" s="684"/>
      <c r="POT75" s="684"/>
      <c r="POU75" s="684"/>
      <c r="POV75" s="684"/>
      <c r="POW75" s="684"/>
      <c r="POX75" s="684"/>
      <c r="POY75" s="684"/>
      <c r="POZ75" s="684"/>
      <c r="PPA75" s="684"/>
      <c r="PPB75" s="684"/>
      <c r="PPC75" s="684"/>
      <c r="PPD75" s="684"/>
      <c r="PPE75" s="684"/>
      <c r="PPF75" s="684"/>
      <c r="PPG75" s="684"/>
      <c r="PPH75" s="684"/>
      <c r="PPI75" s="684"/>
      <c r="PPJ75" s="684"/>
      <c r="PPK75" s="684"/>
      <c r="PPL75" s="684"/>
      <c r="PPM75" s="684"/>
      <c r="PPN75" s="684"/>
      <c r="PPO75" s="684"/>
      <c r="PPP75" s="684"/>
      <c r="PPQ75" s="684"/>
      <c r="PPR75" s="684"/>
      <c r="PPS75" s="684"/>
      <c r="PPT75" s="684"/>
      <c r="PPU75" s="684"/>
      <c r="PPV75" s="684"/>
      <c r="PPW75" s="684"/>
      <c r="PPX75" s="684"/>
      <c r="PPY75" s="684"/>
      <c r="PPZ75" s="684"/>
      <c r="PQA75" s="684"/>
      <c r="PQB75" s="684"/>
      <c r="PQC75" s="684"/>
      <c r="PQD75" s="684"/>
      <c r="PQE75" s="684"/>
      <c r="PQF75" s="684"/>
      <c r="PQG75" s="684"/>
      <c r="PQH75" s="684"/>
      <c r="PQI75" s="684"/>
      <c r="PQJ75" s="684"/>
      <c r="PQK75" s="684"/>
      <c r="PQL75" s="684"/>
      <c r="PQM75" s="684"/>
      <c r="PQN75" s="684"/>
      <c r="PQO75" s="684"/>
      <c r="PQP75" s="684"/>
      <c r="PQQ75" s="684"/>
      <c r="PQR75" s="684"/>
      <c r="PQS75" s="684"/>
      <c r="PQT75" s="684"/>
      <c r="PQU75" s="684"/>
      <c r="PQV75" s="684"/>
      <c r="PQW75" s="684"/>
      <c r="PQX75" s="684"/>
      <c r="PQY75" s="684"/>
      <c r="PQZ75" s="684"/>
      <c r="PRA75" s="684"/>
      <c r="PRB75" s="684"/>
      <c r="PRC75" s="684"/>
      <c r="PRD75" s="684"/>
      <c r="PRE75" s="684"/>
      <c r="PRF75" s="684"/>
      <c r="PRG75" s="684"/>
      <c r="PRH75" s="684"/>
      <c r="PRI75" s="684"/>
      <c r="PRJ75" s="684"/>
      <c r="PRK75" s="684"/>
      <c r="PRL75" s="684"/>
      <c r="PRM75" s="684"/>
      <c r="PRN75" s="684"/>
      <c r="PRO75" s="684"/>
      <c r="PRP75" s="684"/>
      <c r="PRQ75" s="684"/>
      <c r="PRR75" s="684"/>
      <c r="PRS75" s="684"/>
      <c r="PRT75" s="684"/>
      <c r="PRU75" s="684"/>
      <c r="PRV75" s="684"/>
      <c r="PRW75" s="684"/>
      <c r="PRX75" s="684"/>
      <c r="PRY75" s="684"/>
      <c r="PRZ75" s="684"/>
      <c r="PSA75" s="684"/>
      <c r="PSB75" s="684"/>
      <c r="PSC75" s="684"/>
      <c r="PSD75" s="684"/>
      <c r="PSE75" s="684"/>
      <c r="PSF75" s="684"/>
      <c r="PSG75" s="684"/>
      <c r="PSH75" s="684"/>
      <c r="PSI75" s="684"/>
      <c r="PSJ75" s="684"/>
      <c r="PSK75" s="684"/>
      <c r="PSL75" s="684"/>
      <c r="PSM75" s="684"/>
      <c r="PSN75" s="684"/>
      <c r="PSO75" s="684"/>
      <c r="PSP75" s="684"/>
      <c r="PSQ75" s="684"/>
      <c r="PSR75" s="684"/>
      <c r="PSS75" s="684"/>
      <c r="PST75" s="684"/>
      <c r="PSU75" s="684"/>
      <c r="PSV75" s="684"/>
      <c r="PSW75" s="684"/>
      <c r="PSX75" s="684"/>
      <c r="PSY75" s="684"/>
      <c r="PSZ75" s="684"/>
      <c r="PTA75" s="684"/>
      <c r="PTB75" s="684"/>
      <c r="PTC75" s="684"/>
      <c r="PTD75" s="684"/>
      <c r="PTE75" s="684"/>
      <c r="PTF75" s="684"/>
      <c r="PTG75" s="684"/>
      <c r="PTH75" s="684"/>
      <c r="PTI75" s="684"/>
      <c r="PTJ75" s="684"/>
      <c r="PTK75" s="684"/>
      <c r="PTL75" s="684"/>
      <c r="PTM75" s="684"/>
      <c r="PTN75" s="684"/>
      <c r="PTO75" s="684"/>
      <c r="PTP75" s="684"/>
      <c r="PTQ75" s="684"/>
      <c r="PTR75" s="684"/>
      <c r="PTS75" s="684"/>
      <c r="PTT75" s="684"/>
      <c r="PTU75" s="684"/>
      <c r="PTV75" s="684"/>
      <c r="PTW75" s="684"/>
      <c r="PTX75" s="684"/>
      <c r="PTY75" s="684"/>
      <c r="PTZ75" s="684"/>
      <c r="PUA75" s="684"/>
      <c r="PUB75" s="684"/>
      <c r="PUC75" s="684"/>
      <c r="PUD75" s="684"/>
      <c r="PUE75" s="684"/>
      <c r="PUF75" s="684"/>
      <c r="PUG75" s="684"/>
      <c r="PUH75" s="684"/>
      <c r="PUI75" s="684"/>
      <c r="PUJ75" s="684"/>
      <c r="PUK75" s="684"/>
      <c r="PUL75" s="684"/>
      <c r="PUM75" s="684"/>
      <c r="PUN75" s="684"/>
      <c r="PUO75" s="684"/>
      <c r="PUP75" s="684"/>
      <c r="PUQ75" s="684"/>
      <c r="PUR75" s="684"/>
      <c r="PUS75" s="684"/>
      <c r="PUT75" s="684"/>
      <c r="PUU75" s="684"/>
      <c r="PUV75" s="684"/>
      <c r="PUW75" s="684"/>
      <c r="PUX75" s="684"/>
      <c r="PUY75" s="684"/>
      <c r="PUZ75" s="684"/>
      <c r="PVA75" s="684"/>
      <c r="PVB75" s="684"/>
      <c r="PVC75" s="684"/>
      <c r="PVD75" s="684"/>
      <c r="PVE75" s="684"/>
      <c r="PVF75" s="684"/>
      <c r="PVG75" s="684"/>
      <c r="PVH75" s="684"/>
      <c r="PVI75" s="684"/>
      <c r="PVJ75" s="684"/>
      <c r="PVK75" s="684"/>
      <c r="PVL75" s="684"/>
      <c r="PVM75" s="684"/>
      <c r="PVN75" s="684"/>
      <c r="PVO75" s="684"/>
      <c r="PVP75" s="684"/>
      <c r="PVQ75" s="684"/>
      <c r="PVR75" s="684"/>
      <c r="PVS75" s="684"/>
      <c r="PVT75" s="684"/>
      <c r="PVU75" s="684"/>
      <c r="PVV75" s="684"/>
      <c r="PVW75" s="684"/>
      <c r="PVX75" s="684"/>
      <c r="PVY75" s="684"/>
      <c r="PVZ75" s="684"/>
      <c r="PWA75" s="684"/>
      <c r="PWB75" s="684"/>
      <c r="PWC75" s="684"/>
      <c r="PWD75" s="684"/>
      <c r="PWE75" s="684"/>
      <c r="PWF75" s="684"/>
      <c r="PWG75" s="684"/>
      <c r="PWH75" s="684"/>
      <c r="PWI75" s="684"/>
      <c r="PWJ75" s="684"/>
      <c r="PWK75" s="684"/>
      <c r="PWL75" s="684"/>
      <c r="PWM75" s="684"/>
      <c r="PWN75" s="684"/>
      <c r="PWO75" s="684"/>
      <c r="PWP75" s="684"/>
      <c r="PWQ75" s="684"/>
      <c r="PWR75" s="684"/>
      <c r="PWS75" s="684"/>
      <c r="PWT75" s="684"/>
      <c r="PWU75" s="684"/>
      <c r="PWV75" s="684"/>
      <c r="PWW75" s="684"/>
      <c r="PWX75" s="684"/>
      <c r="PWY75" s="684"/>
      <c r="PWZ75" s="684"/>
      <c r="PXA75" s="684"/>
      <c r="PXB75" s="684"/>
      <c r="PXC75" s="684"/>
      <c r="PXD75" s="684"/>
      <c r="PXE75" s="684"/>
      <c r="PXF75" s="684"/>
      <c r="PXG75" s="684"/>
      <c r="PXH75" s="684"/>
      <c r="PXI75" s="684"/>
      <c r="PXJ75" s="684"/>
      <c r="PXK75" s="684"/>
      <c r="PXL75" s="684"/>
      <c r="PXM75" s="684"/>
      <c r="PXN75" s="684"/>
      <c r="PXO75" s="684"/>
      <c r="PXP75" s="684"/>
      <c r="PXQ75" s="684"/>
      <c r="PXR75" s="684"/>
      <c r="PXS75" s="684"/>
      <c r="PXT75" s="684"/>
      <c r="PXU75" s="684"/>
      <c r="PXV75" s="684"/>
      <c r="PXW75" s="684"/>
      <c r="PXX75" s="684"/>
      <c r="PXY75" s="684"/>
      <c r="PXZ75" s="684"/>
      <c r="PYA75" s="684"/>
      <c r="PYB75" s="684"/>
      <c r="PYC75" s="684"/>
      <c r="PYD75" s="684"/>
      <c r="PYE75" s="684"/>
      <c r="PYF75" s="684"/>
      <c r="PYG75" s="684"/>
      <c r="PYH75" s="684"/>
      <c r="PYI75" s="684"/>
      <c r="PYJ75" s="684"/>
      <c r="PYK75" s="684"/>
      <c r="PYL75" s="684"/>
      <c r="PYM75" s="684"/>
      <c r="PYN75" s="684"/>
      <c r="PYO75" s="684"/>
      <c r="PYP75" s="684"/>
      <c r="PYQ75" s="684"/>
      <c r="PYR75" s="684"/>
      <c r="PYS75" s="684"/>
      <c r="PYT75" s="684"/>
      <c r="PYU75" s="684"/>
      <c r="PYV75" s="684"/>
      <c r="PYW75" s="684"/>
      <c r="PYX75" s="684"/>
      <c r="PYY75" s="684"/>
      <c r="PYZ75" s="684"/>
      <c r="PZA75" s="684"/>
      <c r="PZB75" s="684"/>
      <c r="PZC75" s="684"/>
      <c r="PZD75" s="684"/>
      <c r="PZE75" s="684"/>
      <c r="PZF75" s="684"/>
      <c r="PZG75" s="684"/>
      <c r="PZH75" s="684"/>
      <c r="PZI75" s="684"/>
      <c r="PZJ75" s="684"/>
      <c r="PZK75" s="684"/>
      <c r="PZL75" s="684"/>
      <c r="PZM75" s="684"/>
      <c r="PZN75" s="684"/>
      <c r="PZO75" s="684"/>
      <c r="PZP75" s="684"/>
      <c r="PZQ75" s="684"/>
      <c r="PZR75" s="684"/>
      <c r="PZS75" s="684"/>
      <c r="PZT75" s="684"/>
      <c r="PZU75" s="684"/>
      <c r="PZV75" s="684"/>
      <c r="PZW75" s="684"/>
      <c r="PZX75" s="684"/>
      <c r="PZY75" s="684"/>
      <c r="PZZ75" s="684"/>
      <c r="QAA75" s="684"/>
      <c r="QAB75" s="684"/>
      <c r="QAC75" s="684"/>
      <c r="QAD75" s="684"/>
      <c r="QAE75" s="684"/>
      <c r="QAF75" s="684"/>
      <c r="QAG75" s="684"/>
      <c r="QAH75" s="684"/>
      <c r="QAI75" s="684"/>
      <c r="QAJ75" s="684"/>
      <c r="QAK75" s="684"/>
      <c r="QAL75" s="684"/>
      <c r="QAM75" s="684"/>
      <c r="QAN75" s="684"/>
      <c r="QAO75" s="684"/>
      <c r="QAP75" s="684"/>
      <c r="QAQ75" s="684"/>
      <c r="QAR75" s="684"/>
      <c r="QAS75" s="684"/>
      <c r="QAT75" s="684"/>
      <c r="QAU75" s="684"/>
      <c r="QAV75" s="684"/>
      <c r="QAW75" s="684"/>
      <c r="QAX75" s="684"/>
      <c r="QAY75" s="684"/>
      <c r="QAZ75" s="684"/>
      <c r="QBA75" s="684"/>
      <c r="QBB75" s="684"/>
      <c r="QBC75" s="684"/>
      <c r="QBD75" s="684"/>
      <c r="QBE75" s="684"/>
      <c r="QBF75" s="684"/>
      <c r="QBG75" s="684"/>
      <c r="QBH75" s="684"/>
      <c r="QBI75" s="684"/>
      <c r="QBJ75" s="684"/>
      <c r="QBK75" s="684"/>
      <c r="QBL75" s="684"/>
      <c r="QBM75" s="684"/>
      <c r="QBN75" s="684"/>
      <c r="QBO75" s="684"/>
      <c r="QBP75" s="684"/>
      <c r="QBQ75" s="684"/>
      <c r="QBR75" s="684"/>
      <c r="QBS75" s="684"/>
      <c r="QBT75" s="684"/>
      <c r="QBU75" s="684"/>
      <c r="QBV75" s="684"/>
      <c r="QBW75" s="684"/>
      <c r="QBX75" s="684"/>
      <c r="QBY75" s="684"/>
      <c r="QBZ75" s="684"/>
      <c r="QCA75" s="684"/>
      <c r="QCB75" s="684"/>
      <c r="QCC75" s="684"/>
      <c r="QCD75" s="684"/>
      <c r="QCE75" s="684"/>
      <c r="QCF75" s="684"/>
      <c r="QCG75" s="684"/>
      <c r="QCH75" s="684"/>
      <c r="QCI75" s="684"/>
      <c r="QCJ75" s="684"/>
      <c r="QCK75" s="684"/>
      <c r="QCL75" s="684"/>
      <c r="QCM75" s="684"/>
      <c r="QCN75" s="684"/>
      <c r="QCO75" s="684"/>
      <c r="QCP75" s="684"/>
      <c r="QCQ75" s="684"/>
      <c r="QCR75" s="684"/>
      <c r="QCS75" s="684"/>
      <c r="QCT75" s="684"/>
      <c r="QCU75" s="684"/>
      <c r="QCV75" s="684"/>
      <c r="QCW75" s="684"/>
      <c r="QCX75" s="684"/>
      <c r="QCY75" s="684"/>
      <c r="QCZ75" s="684"/>
      <c r="QDA75" s="684"/>
      <c r="QDB75" s="684"/>
      <c r="QDC75" s="684"/>
      <c r="QDD75" s="684"/>
      <c r="QDE75" s="684"/>
      <c r="QDF75" s="684"/>
      <c r="QDG75" s="684"/>
      <c r="QDH75" s="684"/>
      <c r="QDI75" s="684"/>
      <c r="QDJ75" s="684"/>
      <c r="QDK75" s="684"/>
      <c r="QDL75" s="684"/>
      <c r="QDM75" s="684"/>
      <c r="QDN75" s="684"/>
      <c r="QDO75" s="684"/>
      <c r="QDP75" s="684"/>
      <c r="QDQ75" s="684"/>
      <c r="QDR75" s="684"/>
      <c r="QDS75" s="684"/>
      <c r="QDT75" s="684"/>
      <c r="QDU75" s="684"/>
      <c r="QDV75" s="684"/>
      <c r="QDW75" s="684"/>
      <c r="QDX75" s="684"/>
      <c r="QDY75" s="684"/>
      <c r="QDZ75" s="684"/>
      <c r="QEA75" s="684"/>
      <c r="QEB75" s="684"/>
      <c r="QEC75" s="684"/>
      <c r="QED75" s="684"/>
      <c r="QEE75" s="684"/>
      <c r="QEF75" s="684"/>
      <c r="QEG75" s="684"/>
      <c r="QEH75" s="684"/>
      <c r="QEI75" s="684"/>
      <c r="QEJ75" s="684"/>
      <c r="QEK75" s="684"/>
      <c r="QEL75" s="684"/>
      <c r="QEM75" s="684"/>
      <c r="QEN75" s="684"/>
      <c r="QEO75" s="684"/>
      <c r="QEP75" s="684"/>
      <c r="QEQ75" s="684"/>
      <c r="QER75" s="684"/>
      <c r="QES75" s="684"/>
      <c r="QET75" s="684"/>
      <c r="QEU75" s="684"/>
      <c r="QEV75" s="684"/>
      <c r="QEW75" s="684"/>
      <c r="QEX75" s="684"/>
      <c r="QEY75" s="684"/>
      <c r="QEZ75" s="684"/>
      <c r="QFA75" s="684"/>
      <c r="QFB75" s="684"/>
      <c r="QFC75" s="684"/>
      <c r="QFD75" s="684"/>
      <c r="QFE75" s="684"/>
      <c r="QFF75" s="684"/>
      <c r="QFG75" s="684"/>
      <c r="QFH75" s="684"/>
      <c r="QFI75" s="684"/>
      <c r="QFJ75" s="684"/>
      <c r="QFK75" s="684"/>
      <c r="QFL75" s="684"/>
      <c r="QFM75" s="684"/>
      <c r="QFN75" s="684"/>
      <c r="QFO75" s="684"/>
      <c r="QFP75" s="684"/>
      <c r="QFQ75" s="684"/>
      <c r="QFR75" s="684"/>
      <c r="QFS75" s="684"/>
      <c r="QFT75" s="684"/>
      <c r="QFU75" s="684"/>
      <c r="QFV75" s="684"/>
      <c r="QFW75" s="684"/>
      <c r="QFX75" s="684"/>
      <c r="QFY75" s="684"/>
      <c r="QFZ75" s="684"/>
      <c r="QGA75" s="684"/>
      <c r="QGB75" s="684"/>
      <c r="QGC75" s="684"/>
      <c r="QGD75" s="684"/>
      <c r="QGE75" s="684"/>
      <c r="QGF75" s="684"/>
      <c r="QGG75" s="684"/>
      <c r="QGH75" s="684"/>
      <c r="QGI75" s="684"/>
      <c r="QGJ75" s="684"/>
      <c r="QGK75" s="684"/>
      <c r="QGL75" s="684"/>
      <c r="QGM75" s="684"/>
      <c r="QGN75" s="684"/>
      <c r="QGO75" s="684"/>
      <c r="QGP75" s="684"/>
      <c r="QGQ75" s="684"/>
      <c r="QGR75" s="684"/>
      <c r="QGS75" s="684"/>
      <c r="QGT75" s="684"/>
      <c r="QGU75" s="684"/>
      <c r="QGV75" s="684"/>
      <c r="QGW75" s="684"/>
      <c r="QGX75" s="684"/>
      <c r="QGY75" s="684"/>
      <c r="QGZ75" s="684"/>
      <c r="QHA75" s="684"/>
      <c r="QHB75" s="684"/>
      <c r="QHC75" s="684"/>
      <c r="QHD75" s="684"/>
      <c r="QHE75" s="684"/>
      <c r="QHF75" s="684"/>
      <c r="QHG75" s="684"/>
      <c r="QHH75" s="684"/>
      <c r="QHI75" s="684"/>
      <c r="QHJ75" s="684"/>
      <c r="QHK75" s="684"/>
      <c r="QHL75" s="684"/>
      <c r="QHM75" s="684"/>
      <c r="QHN75" s="684"/>
      <c r="QHO75" s="684"/>
      <c r="QHP75" s="684"/>
      <c r="QHQ75" s="684"/>
      <c r="QHR75" s="684"/>
      <c r="QHS75" s="684"/>
      <c r="QHT75" s="684"/>
      <c r="QHU75" s="684"/>
      <c r="QHV75" s="684"/>
      <c r="QHW75" s="684"/>
      <c r="QHX75" s="684"/>
      <c r="QHY75" s="684"/>
      <c r="QHZ75" s="684"/>
      <c r="QIA75" s="684"/>
      <c r="QIB75" s="684"/>
      <c r="QIC75" s="684"/>
      <c r="QID75" s="684"/>
      <c r="QIE75" s="684"/>
      <c r="QIF75" s="684"/>
      <c r="QIG75" s="684"/>
      <c r="QIH75" s="684"/>
      <c r="QII75" s="684"/>
      <c r="QIJ75" s="684"/>
      <c r="QIK75" s="684"/>
      <c r="QIL75" s="684"/>
      <c r="QIM75" s="684"/>
      <c r="QIN75" s="684"/>
      <c r="QIO75" s="684"/>
      <c r="QIP75" s="684"/>
      <c r="QIQ75" s="684"/>
      <c r="QIR75" s="684"/>
      <c r="QIS75" s="684"/>
      <c r="QIT75" s="684"/>
      <c r="QIU75" s="684"/>
      <c r="QIV75" s="684"/>
      <c r="QIW75" s="684"/>
      <c r="QIX75" s="684"/>
      <c r="QIY75" s="684"/>
      <c r="QIZ75" s="684"/>
      <c r="QJA75" s="684"/>
      <c r="QJB75" s="684"/>
      <c r="QJC75" s="684"/>
      <c r="QJD75" s="684"/>
      <c r="QJE75" s="684"/>
      <c r="QJF75" s="684"/>
      <c r="QJG75" s="684"/>
      <c r="QJH75" s="684"/>
      <c r="QJI75" s="684"/>
      <c r="QJJ75" s="684"/>
      <c r="QJK75" s="684"/>
      <c r="QJL75" s="684"/>
      <c r="QJM75" s="684"/>
      <c r="QJN75" s="684"/>
      <c r="QJO75" s="684"/>
      <c r="QJP75" s="684"/>
      <c r="QJQ75" s="684"/>
      <c r="QJR75" s="684"/>
      <c r="QJS75" s="684"/>
      <c r="QJT75" s="684"/>
      <c r="QJU75" s="684"/>
      <c r="QJV75" s="684"/>
      <c r="QJW75" s="684"/>
      <c r="QJX75" s="684"/>
      <c r="QJY75" s="684"/>
      <c r="QJZ75" s="684"/>
      <c r="QKA75" s="684"/>
      <c r="QKB75" s="684"/>
      <c r="QKC75" s="684"/>
      <c r="QKD75" s="684"/>
      <c r="QKE75" s="684"/>
      <c r="QKF75" s="684"/>
      <c r="QKG75" s="684"/>
      <c r="QKH75" s="684"/>
      <c r="QKI75" s="684"/>
      <c r="QKJ75" s="684"/>
      <c r="QKK75" s="684"/>
      <c r="QKL75" s="684"/>
      <c r="QKM75" s="684"/>
      <c r="QKN75" s="684"/>
      <c r="QKO75" s="684"/>
      <c r="QKP75" s="684"/>
      <c r="QKQ75" s="684"/>
      <c r="QKR75" s="684"/>
      <c r="QKS75" s="684"/>
      <c r="QKT75" s="684"/>
      <c r="QKU75" s="684"/>
      <c r="QKV75" s="684"/>
      <c r="QKW75" s="684"/>
      <c r="QKX75" s="684"/>
      <c r="QKY75" s="684"/>
      <c r="QKZ75" s="684"/>
      <c r="QLA75" s="684"/>
      <c r="QLB75" s="684"/>
      <c r="QLC75" s="684"/>
      <c r="QLD75" s="684"/>
      <c r="QLE75" s="684"/>
      <c r="QLF75" s="684"/>
      <c r="QLG75" s="684"/>
      <c r="QLH75" s="684"/>
      <c r="QLI75" s="684"/>
      <c r="QLJ75" s="684"/>
      <c r="QLK75" s="684"/>
      <c r="QLL75" s="684"/>
      <c r="QLM75" s="684"/>
      <c r="QLN75" s="684"/>
      <c r="QLO75" s="684"/>
      <c r="QLP75" s="684"/>
      <c r="QLQ75" s="684"/>
      <c r="QLR75" s="684"/>
      <c r="QLS75" s="684"/>
      <c r="QLT75" s="684"/>
      <c r="QLU75" s="684"/>
      <c r="QLV75" s="684"/>
      <c r="QLW75" s="684"/>
      <c r="QLX75" s="684"/>
      <c r="QLY75" s="684"/>
      <c r="QLZ75" s="684"/>
      <c r="QMA75" s="684"/>
      <c r="QMB75" s="684"/>
      <c r="QMC75" s="684"/>
      <c r="QMD75" s="684"/>
      <c r="QME75" s="684"/>
      <c r="QMF75" s="684"/>
      <c r="QMG75" s="684"/>
      <c r="QMH75" s="684"/>
      <c r="QMI75" s="684"/>
      <c r="QMJ75" s="684"/>
      <c r="QMK75" s="684"/>
      <c r="QML75" s="684"/>
      <c r="QMM75" s="684"/>
      <c r="QMN75" s="684"/>
      <c r="QMO75" s="684"/>
      <c r="QMP75" s="684"/>
      <c r="QMQ75" s="684"/>
      <c r="QMR75" s="684"/>
      <c r="QMS75" s="684"/>
      <c r="QMT75" s="684"/>
      <c r="QMU75" s="684"/>
      <c r="QMV75" s="684"/>
      <c r="QMW75" s="684"/>
      <c r="QMX75" s="684"/>
      <c r="QMY75" s="684"/>
      <c r="QMZ75" s="684"/>
      <c r="QNA75" s="684"/>
      <c r="QNB75" s="684"/>
      <c r="QNC75" s="684"/>
      <c r="QND75" s="684"/>
      <c r="QNE75" s="684"/>
      <c r="QNF75" s="684"/>
      <c r="QNG75" s="684"/>
      <c r="QNH75" s="684"/>
      <c r="QNI75" s="684"/>
      <c r="QNJ75" s="684"/>
      <c r="QNK75" s="684"/>
      <c r="QNL75" s="684"/>
      <c r="QNM75" s="684"/>
      <c r="QNN75" s="684"/>
      <c r="QNO75" s="684"/>
      <c r="QNP75" s="684"/>
      <c r="QNQ75" s="684"/>
      <c r="QNR75" s="684"/>
      <c r="QNS75" s="684"/>
      <c r="QNT75" s="684"/>
      <c r="QNU75" s="684"/>
      <c r="QNV75" s="684"/>
      <c r="QNW75" s="684"/>
      <c r="QNX75" s="684"/>
      <c r="QNY75" s="684"/>
      <c r="QNZ75" s="684"/>
      <c r="QOA75" s="684"/>
      <c r="QOB75" s="684"/>
      <c r="QOC75" s="684"/>
      <c r="QOD75" s="684"/>
      <c r="QOE75" s="684"/>
      <c r="QOF75" s="684"/>
      <c r="QOG75" s="684"/>
      <c r="QOH75" s="684"/>
      <c r="QOI75" s="684"/>
      <c r="QOJ75" s="684"/>
      <c r="QOK75" s="684"/>
      <c r="QOL75" s="684"/>
      <c r="QOM75" s="684"/>
      <c r="QON75" s="684"/>
      <c r="QOO75" s="684"/>
      <c r="QOP75" s="684"/>
      <c r="QOQ75" s="684"/>
      <c r="QOR75" s="684"/>
      <c r="QOS75" s="684"/>
      <c r="QOT75" s="684"/>
      <c r="QOU75" s="684"/>
      <c r="QOV75" s="684"/>
      <c r="QOW75" s="684"/>
      <c r="QOX75" s="684"/>
      <c r="QOY75" s="684"/>
      <c r="QOZ75" s="684"/>
      <c r="QPA75" s="684"/>
      <c r="QPB75" s="684"/>
      <c r="QPC75" s="684"/>
      <c r="QPD75" s="684"/>
      <c r="QPE75" s="684"/>
      <c r="QPF75" s="684"/>
      <c r="QPG75" s="684"/>
      <c r="QPH75" s="684"/>
      <c r="QPI75" s="684"/>
      <c r="QPJ75" s="684"/>
      <c r="QPK75" s="684"/>
      <c r="QPL75" s="684"/>
      <c r="QPM75" s="684"/>
      <c r="QPN75" s="684"/>
      <c r="QPO75" s="684"/>
      <c r="QPP75" s="684"/>
      <c r="QPQ75" s="684"/>
      <c r="QPR75" s="684"/>
      <c r="QPS75" s="684"/>
      <c r="QPT75" s="684"/>
      <c r="QPU75" s="684"/>
      <c r="QPV75" s="684"/>
      <c r="QPW75" s="684"/>
      <c r="QPX75" s="684"/>
      <c r="QPY75" s="684"/>
      <c r="QPZ75" s="684"/>
      <c r="QQA75" s="684"/>
      <c r="QQB75" s="684"/>
      <c r="QQC75" s="684"/>
      <c r="QQD75" s="684"/>
      <c r="QQE75" s="684"/>
      <c r="QQF75" s="684"/>
      <c r="QQG75" s="684"/>
      <c r="QQH75" s="684"/>
      <c r="QQI75" s="684"/>
      <c r="QQJ75" s="684"/>
      <c r="QQK75" s="684"/>
      <c r="QQL75" s="684"/>
      <c r="QQM75" s="684"/>
      <c r="QQN75" s="684"/>
      <c r="QQO75" s="684"/>
      <c r="QQP75" s="684"/>
      <c r="QQQ75" s="684"/>
      <c r="QQR75" s="684"/>
      <c r="QQS75" s="684"/>
      <c r="QQT75" s="684"/>
      <c r="QQU75" s="684"/>
      <c r="QQV75" s="684"/>
      <c r="QQW75" s="684"/>
      <c r="QQX75" s="684"/>
      <c r="QQY75" s="684"/>
      <c r="QQZ75" s="684"/>
      <c r="QRA75" s="684"/>
      <c r="QRB75" s="684"/>
      <c r="QRC75" s="684"/>
      <c r="QRD75" s="684"/>
      <c r="QRE75" s="684"/>
      <c r="QRF75" s="684"/>
      <c r="QRG75" s="684"/>
      <c r="QRH75" s="684"/>
      <c r="QRI75" s="684"/>
      <c r="QRJ75" s="684"/>
      <c r="QRK75" s="684"/>
      <c r="QRL75" s="684"/>
      <c r="QRM75" s="684"/>
      <c r="QRN75" s="684"/>
      <c r="QRO75" s="684"/>
      <c r="QRP75" s="684"/>
      <c r="QRQ75" s="684"/>
      <c r="QRR75" s="684"/>
      <c r="QRS75" s="684"/>
      <c r="QRT75" s="684"/>
      <c r="QRU75" s="684"/>
      <c r="QRV75" s="684"/>
      <c r="QRW75" s="684"/>
      <c r="QRX75" s="684"/>
      <c r="QRY75" s="684"/>
      <c r="QRZ75" s="684"/>
      <c r="QSA75" s="684"/>
      <c r="QSB75" s="684"/>
      <c r="QSC75" s="684"/>
      <c r="QSD75" s="684"/>
      <c r="QSE75" s="684"/>
      <c r="QSF75" s="684"/>
      <c r="QSG75" s="684"/>
      <c r="QSH75" s="684"/>
      <c r="QSI75" s="684"/>
      <c r="QSJ75" s="684"/>
      <c r="QSK75" s="684"/>
      <c r="QSL75" s="684"/>
      <c r="QSM75" s="684"/>
      <c r="QSN75" s="684"/>
      <c r="QSO75" s="684"/>
      <c r="QSP75" s="684"/>
      <c r="QSQ75" s="684"/>
      <c r="QSR75" s="684"/>
      <c r="QSS75" s="684"/>
      <c r="QST75" s="684"/>
      <c r="QSU75" s="684"/>
      <c r="QSV75" s="684"/>
      <c r="QSW75" s="684"/>
      <c r="QSX75" s="684"/>
      <c r="QSY75" s="684"/>
      <c r="QSZ75" s="684"/>
      <c r="QTA75" s="684"/>
      <c r="QTB75" s="684"/>
      <c r="QTC75" s="684"/>
      <c r="QTD75" s="684"/>
      <c r="QTE75" s="684"/>
      <c r="QTF75" s="684"/>
      <c r="QTG75" s="684"/>
      <c r="QTH75" s="684"/>
      <c r="QTI75" s="684"/>
      <c r="QTJ75" s="684"/>
      <c r="QTK75" s="684"/>
      <c r="QTL75" s="684"/>
      <c r="QTM75" s="684"/>
      <c r="QTN75" s="684"/>
      <c r="QTO75" s="684"/>
      <c r="QTP75" s="684"/>
      <c r="QTQ75" s="684"/>
      <c r="QTR75" s="684"/>
      <c r="QTS75" s="684"/>
      <c r="QTT75" s="684"/>
      <c r="QTU75" s="684"/>
      <c r="QTV75" s="684"/>
      <c r="QTW75" s="684"/>
      <c r="QTX75" s="684"/>
      <c r="QTY75" s="684"/>
      <c r="QTZ75" s="684"/>
      <c r="QUA75" s="684"/>
      <c r="QUB75" s="684"/>
      <c r="QUC75" s="684"/>
      <c r="QUD75" s="684"/>
      <c r="QUE75" s="684"/>
      <c r="QUF75" s="684"/>
      <c r="QUG75" s="684"/>
      <c r="QUH75" s="684"/>
      <c r="QUI75" s="684"/>
      <c r="QUJ75" s="684"/>
      <c r="QUK75" s="684"/>
      <c r="QUL75" s="684"/>
      <c r="QUM75" s="684"/>
      <c r="QUN75" s="684"/>
      <c r="QUO75" s="684"/>
      <c r="QUP75" s="684"/>
      <c r="QUQ75" s="684"/>
      <c r="QUR75" s="684"/>
      <c r="QUS75" s="684"/>
      <c r="QUT75" s="684"/>
      <c r="QUU75" s="684"/>
      <c r="QUV75" s="684"/>
      <c r="QUW75" s="684"/>
      <c r="QUX75" s="684"/>
      <c r="QUY75" s="684"/>
      <c r="QUZ75" s="684"/>
      <c r="QVA75" s="684"/>
      <c r="QVB75" s="684"/>
      <c r="QVC75" s="684"/>
      <c r="QVD75" s="684"/>
      <c r="QVE75" s="684"/>
      <c r="QVF75" s="684"/>
      <c r="QVG75" s="684"/>
      <c r="QVH75" s="684"/>
      <c r="QVI75" s="684"/>
      <c r="QVJ75" s="684"/>
      <c r="QVK75" s="684"/>
      <c r="QVL75" s="684"/>
      <c r="QVM75" s="684"/>
      <c r="QVN75" s="684"/>
      <c r="QVO75" s="684"/>
      <c r="QVP75" s="684"/>
      <c r="QVQ75" s="684"/>
      <c r="QVR75" s="684"/>
      <c r="QVS75" s="684"/>
      <c r="QVT75" s="684"/>
      <c r="QVU75" s="684"/>
      <c r="QVV75" s="684"/>
      <c r="QVW75" s="684"/>
      <c r="QVX75" s="684"/>
      <c r="QVY75" s="684"/>
      <c r="QVZ75" s="684"/>
      <c r="QWA75" s="684"/>
      <c r="QWB75" s="684"/>
      <c r="QWC75" s="684"/>
      <c r="QWD75" s="684"/>
      <c r="QWE75" s="684"/>
      <c r="QWF75" s="684"/>
      <c r="QWG75" s="684"/>
      <c r="QWH75" s="684"/>
      <c r="QWI75" s="684"/>
      <c r="QWJ75" s="684"/>
      <c r="QWK75" s="684"/>
      <c r="QWL75" s="684"/>
      <c r="QWM75" s="684"/>
      <c r="QWN75" s="684"/>
      <c r="QWO75" s="684"/>
      <c r="QWP75" s="684"/>
      <c r="QWQ75" s="684"/>
      <c r="QWR75" s="684"/>
      <c r="QWS75" s="684"/>
      <c r="QWT75" s="684"/>
      <c r="QWU75" s="684"/>
      <c r="QWV75" s="684"/>
      <c r="QWW75" s="684"/>
      <c r="QWX75" s="684"/>
      <c r="QWY75" s="684"/>
      <c r="QWZ75" s="684"/>
      <c r="QXA75" s="684"/>
      <c r="QXB75" s="684"/>
      <c r="QXC75" s="684"/>
      <c r="QXD75" s="684"/>
      <c r="QXE75" s="684"/>
      <c r="QXF75" s="684"/>
      <c r="QXG75" s="684"/>
      <c r="QXH75" s="684"/>
      <c r="QXI75" s="684"/>
      <c r="QXJ75" s="684"/>
      <c r="QXK75" s="684"/>
      <c r="QXL75" s="684"/>
      <c r="QXM75" s="684"/>
      <c r="QXN75" s="684"/>
      <c r="QXO75" s="684"/>
      <c r="QXP75" s="684"/>
      <c r="QXQ75" s="684"/>
      <c r="QXR75" s="684"/>
      <c r="QXS75" s="684"/>
      <c r="QXT75" s="684"/>
      <c r="QXU75" s="684"/>
      <c r="QXV75" s="684"/>
      <c r="QXW75" s="684"/>
      <c r="QXX75" s="684"/>
      <c r="QXY75" s="684"/>
      <c r="QXZ75" s="684"/>
      <c r="QYA75" s="684"/>
      <c r="QYB75" s="684"/>
      <c r="QYC75" s="684"/>
      <c r="QYD75" s="684"/>
      <c r="QYE75" s="684"/>
      <c r="QYF75" s="684"/>
      <c r="QYG75" s="684"/>
      <c r="QYH75" s="684"/>
      <c r="QYI75" s="684"/>
      <c r="QYJ75" s="684"/>
      <c r="QYK75" s="684"/>
      <c r="QYL75" s="684"/>
      <c r="QYM75" s="684"/>
      <c r="QYN75" s="684"/>
      <c r="QYO75" s="684"/>
      <c r="QYP75" s="684"/>
      <c r="QYQ75" s="684"/>
      <c r="QYR75" s="684"/>
      <c r="QYS75" s="684"/>
      <c r="QYT75" s="684"/>
      <c r="QYU75" s="684"/>
      <c r="QYV75" s="684"/>
      <c r="QYW75" s="684"/>
      <c r="QYX75" s="684"/>
      <c r="QYY75" s="684"/>
      <c r="QYZ75" s="684"/>
      <c r="QZA75" s="684"/>
      <c r="QZB75" s="684"/>
      <c r="QZC75" s="684"/>
      <c r="QZD75" s="684"/>
      <c r="QZE75" s="684"/>
      <c r="QZF75" s="684"/>
      <c r="QZG75" s="684"/>
      <c r="QZH75" s="684"/>
      <c r="QZI75" s="684"/>
      <c r="QZJ75" s="684"/>
      <c r="QZK75" s="684"/>
      <c r="QZL75" s="684"/>
      <c r="QZM75" s="684"/>
      <c r="QZN75" s="684"/>
      <c r="QZO75" s="684"/>
      <c r="QZP75" s="684"/>
      <c r="QZQ75" s="684"/>
      <c r="QZR75" s="684"/>
      <c r="QZS75" s="684"/>
      <c r="QZT75" s="684"/>
      <c r="QZU75" s="684"/>
      <c r="QZV75" s="684"/>
      <c r="QZW75" s="684"/>
      <c r="QZX75" s="684"/>
      <c r="QZY75" s="684"/>
      <c r="QZZ75" s="684"/>
      <c r="RAA75" s="684"/>
      <c r="RAB75" s="684"/>
      <c r="RAC75" s="684"/>
      <c r="RAD75" s="684"/>
      <c r="RAE75" s="684"/>
      <c r="RAF75" s="684"/>
      <c r="RAG75" s="684"/>
      <c r="RAH75" s="684"/>
      <c r="RAI75" s="684"/>
      <c r="RAJ75" s="684"/>
      <c r="RAK75" s="684"/>
      <c r="RAL75" s="684"/>
      <c r="RAM75" s="684"/>
      <c r="RAN75" s="684"/>
      <c r="RAO75" s="684"/>
      <c r="RAP75" s="684"/>
      <c r="RAQ75" s="684"/>
      <c r="RAR75" s="684"/>
      <c r="RAS75" s="684"/>
      <c r="RAT75" s="684"/>
      <c r="RAU75" s="684"/>
      <c r="RAV75" s="684"/>
      <c r="RAW75" s="684"/>
      <c r="RAX75" s="684"/>
      <c r="RAY75" s="684"/>
      <c r="RAZ75" s="684"/>
      <c r="RBA75" s="684"/>
      <c r="RBB75" s="684"/>
      <c r="RBC75" s="684"/>
      <c r="RBD75" s="684"/>
      <c r="RBE75" s="684"/>
      <c r="RBF75" s="684"/>
      <c r="RBG75" s="684"/>
      <c r="RBH75" s="684"/>
      <c r="RBI75" s="684"/>
      <c r="RBJ75" s="684"/>
      <c r="RBK75" s="684"/>
      <c r="RBL75" s="684"/>
      <c r="RBM75" s="684"/>
      <c r="RBN75" s="684"/>
      <c r="RBO75" s="684"/>
      <c r="RBP75" s="684"/>
      <c r="RBQ75" s="684"/>
      <c r="RBR75" s="684"/>
      <c r="RBS75" s="684"/>
      <c r="RBT75" s="684"/>
      <c r="RBU75" s="684"/>
      <c r="RBV75" s="684"/>
      <c r="RBW75" s="684"/>
      <c r="RBX75" s="684"/>
      <c r="RBY75" s="684"/>
      <c r="RBZ75" s="684"/>
      <c r="RCA75" s="684"/>
      <c r="RCB75" s="684"/>
      <c r="RCC75" s="684"/>
      <c r="RCD75" s="684"/>
      <c r="RCE75" s="684"/>
      <c r="RCF75" s="684"/>
      <c r="RCG75" s="684"/>
      <c r="RCH75" s="684"/>
      <c r="RCI75" s="684"/>
      <c r="RCJ75" s="684"/>
      <c r="RCK75" s="684"/>
      <c r="RCL75" s="684"/>
      <c r="RCM75" s="684"/>
      <c r="RCN75" s="684"/>
      <c r="RCO75" s="684"/>
      <c r="RCP75" s="684"/>
      <c r="RCQ75" s="684"/>
      <c r="RCR75" s="684"/>
      <c r="RCS75" s="684"/>
      <c r="RCT75" s="684"/>
      <c r="RCU75" s="684"/>
      <c r="RCV75" s="684"/>
      <c r="RCW75" s="684"/>
      <c r="RCX75" s="684"/>
      <c r="RCY75" s="684"/>
      <c r="RCZ75" s="684"/>
      <c r="RDA75" s="684"/>
      <c r="RDB75" s="684"/>
      <c r="RDC75" s="684"/>
      <c r="RDD75" s="684"/>
      <c r="RDE75" s="684"/>
      <c r="RDF75" s="684"/>
      <c r="RDG75" s="684"/>
      <c r="RDH75" s="684"/>
      <c r="RDI75" s="684"/>
      <c r="RDJ75" s="684"/>
      <c r="RDK75" s="684"/>
      <c r="RDL75" s="684"/>
      <c r="RDM75" s="684"/>
      <c r="RDN75" s="684"/>
      <c r="RDO75" s="684"/>
      <c r="RDP75" s="684"/>
      <c r="RDQ75" s="684"/>
      <c r="RDR75" s="684"/>
      <c r="RDS75" s="684"/>
      <c r="RDT75" s="684"/>
      <c r="RDU75" s="684"/>
      <c r="RDV75" s="684"/>
      <c r="RDW75" s="684"/>
      <c r="RDX75" s="684"/>
      <c r="RDY75" s="684"/>
      <c r="RDZ75" s="684"/>
      <c r="REA75" s="684"/>
      <c r="REB75" s="684"/>
      <c r="REC75" s="684"/>
      <c r="RED75" s="684"/>
      <c r="REE75" s="684"/>
      <c r="REF75" s="684"/>
      <c r="REG75" s="684"/>
      <c r="REH75" s="684"/>
      <c r="REI75" s="684"/>
      <c r="REJ75" s="684"/>
      <c r="REK75" s="684"/>
      <c r="REL75" s="684"/>
      <c r="REM75" s="684"/>
      <c r="REN75" s="684"/>
      <c r="REO75" s="684"/>
      <c r="REP75" s="684"/>
      <c r="REQ75" s="684"/>
      <c r="RER75" s="684"/>
      <c r="RES75" s="684"/>
      <c r="RET75" s="684"/>
      <c r="REU75" s="684"/>
      <c r="REV75" s="684"/>
      <c r="REW75" s="684"/>
      <c r="REX75" s="684"/>
      <c r="REY75" s="684"/>
      <c r="REZ75" s="684"/>
      <c r="RFA75" s="684"/>
      <c r="RFB75" s="684"/>
      <c r="RFC75" s="684"/>
      <c r="RFD75" s="684"/>
      <c r="RFE75" s="684"/>
      <c r="RFF75" s="684"/>
      <c r="RFG75" s="684"/>
      <c r="RFH75" s="684"/>
      <c r="RFI75" s="684"/>
      <c r="RFJ75" s="684"/>
      <c r="RFK75" s="684"/>
      <c r="RFL75" s="684"/>
      <c r="RFM75" s="684"/>
      <c r="RFN75" s="684"/>
      <c r="RFO75" s="684"/>
      <c r="RFP75" s="684"/>
      <c r="RFQ75" s="684"/>
      <c r="RFR75" s="684"/>
      <c r="RFS75" s="684"/>
      <c r="RFT75" s="684"/>
      <c r="RFU75" s="684"/>
      <c r="RFV75" s="684"/>
      <c r="RFW75" s="684"/>
      <c r="RFX75" s="684"/>
      <c r="RFY75" s="684"/>
      <c r="RFZ75" s="684"/>
      <c r="RGA75" s="684"/>
      <c r="RGB75" s="684"/>
      <c r="RGC75" s="684"/>
      <c r="RGD75" s="684"/>
      <c r="RGE75" s="684"/>
      <c r="RGF75" s="684"/>
      <c r="RGG75" s="684"/>
      <c r="RGH75" s="684"/>
      <c r="RGI75" s="684"/>
      <c r="RGJ75" s="684"/>
      <c r="RGK75" s="684"/>
      <c r="RGL75" s="684"/>
      <c r="RGM75" s="684"/>
      <c r="RGN75" s="684"/>
      <c r="RGO75" s="684"/>
      <c r="RGP75" s="684"/>
      <c r="RGQ75" s="684"/>
      <c r="RGR75" s="684"/>
      <c r="RGS75" s="684"/>
      <c r="RGT75" s="684"/>
      <c r="RGU75" s="684"/>
      <c r="RGV75" s="684"/>
      <c r="RGW75" s="684"/>
      <c r="RGX75" s="684"/>
      <c r="RGY75" s="684"/>
      <c r="RGZ75" s="684"/>
      <c r="RHA75" s="684"/>
      <c r="RHB75" s="684"/>
      <c r="RHC75" s="684"/>
      <c r="RHD75" s="684"/>
      <c r="RHE75" s="684"/>
      <c r="RHF75" s="684"/>
      <c r="RHG75" s="684"/>
      <c r="RHH75" s="684"/>
      <c r="RHI75" s="684"/>
      <c r="RHJ75" s="684"/>
      <c r="RHK75" s="684"/>
      <c r="RHL75" s="684"/>
      <c r="RHM75" s="684"/>
      <c r="RHN75" s="684"/>
      <c r="RHO75" s="684"/>
      <c r="RHP75" s="684"/>
      <c r="RHQ75" s="684"/>
      <c r="RHR75" s="684"/>
      <c r="RHS75" s="684"/>
      <c r="RHT75" s="684"/>
      <c r="RHU75" s="684"/>
      <c r="RHV75" s="684"/>
      <c r="RHW75" s="684"/>
      <c r="RHX75" s="684"/>
      <c r="RHY75" s="684"/>
      <c r="RHZ75" s="684"/>
      <c r="RIA75" s="684"/>
      <c r="RIB75" s="684"/>
      <c r="RIC75" s="684"/>
      <c r="RID75" s="684"/>
      <c r="RIE75" s="684"/>
      <c r="RIF75" s="684"/>
      <c r="RIG75" s="684"/>
      <c r="RIH75" s="684"/>
      <c r="RII75" s="684"/>
      <c r="RIJ75" s="684"/>
      <c r="RIK75" s="684"/>
      <c r="RIL75" s="684"/>
      <c r="RIM75" s="684"/>
      <c r="RIN75" s="684"/>
      <c r="RIO75" s="684"/>
      <c r="RIP75" s="684"/>
      <c r="RIQ75" s="684"/>
      <c r="RIR75" s="684"/>
      <c r="RIS75" s="684"/>
      <c r="RIT75" s="684"/>
      <c r="RIU75" s="684"/>
      <c r="RIV75" s="684"/>
      <c r="RIW75" s="684"/>
      <c r="RIX75" s="684"/>
      <c r="RIY75" s="684"/>
      <c r="RIZ75" s="684"/>
      <c r="RJA75" s="684"/>
      <c r="RJB75" s="684"/>
      <c r="RJC75" s="684"/>
      <c r="RJD75" s="684"/>
      <c r="RJE75" s="684"/>
      <c r="RJF75" s="684"/>
      <c r="RJG75" s="684"/>
      <c r="RJH75" s="684"/>
      <c r="RJI75" s="684"/>
      <c r="RJJ75" s="684"/>
      <c r="RJK75" s="684"/>
      <c r="RJL75" s="684"/>
      <c r="RJM75" s="684"/>
      <c r="RJN75" s="684"/>
      <c r="RJO75" s="684"/>
      <c r="RJP75" s="684"/>
      <c r="RJQ75" s="684"/>
      <c r="RJR75" s="684"/>
      <c r="RJS75" s="684"/>
      <c r="RJT75" s="684"/>
      <c r="RJU75" s="684"/>
      <c r="RJV75" s="684"/>
      <c r="RJW75" s="684"/>
      <c r="RJX75" s="684"/>
      <c r="RJY75" s="684"/>
      <c r="RJZ75" s="684"/>
      <c r="RKA75" s="684"/>
      <c r="RKB75" s="684"/>
      <c r="RKC75" s="684"/>
      <c r="RKD75" s="684"/>
      <c r="RKE75" s="684"/>
      <c r="RKF75" s="684"/>
      <c r="RKG75" s="684"/>
      <c r="RKH75" s="684"/>
      <c r="RKI75" s="684"/>
      <c r="RKJ75" s="684"/>
      <c r="RKK75" s="684"/>
      <c r="RKL75" s="684"/>
      <c r="RKM75" s="684"/>
      <c r="RKN75" s="684"/>
      <c r="RKO75" s="684"/>
      <c r="RKP75" s="684"/>
      <c r="RKQ75" s="684"/>
      <c r="RKR75" s="684"/>
      <c r="RKS75" s="684"/>
      <c r="RKT75" s="684"/>
      <c r="RKU75" s="684"/>
      <c r="RKV75" s="684"/>
      <c r="RKW75" s="684"/>
      <c r="RKX75" s="684"/>
      <c r="RKY75" s="684"/>
      <c r="RKZ75" s="684"/>
      <c r="RLA75" s="684"/>
      <c r="RLB75" s="684"/>
      <c r="RLC75" s="684"/>
      <c r="RLD75" s="684"/>
      <c r="RLE75" s="684"/>
      <c r="RLF75" s="684"/>
      <c r="RLG75" s="684"/>
      <c r="RLH75" s="684"/>
      <c r="RLI75" s="684"/>
      <c r="RLJ75" s="684"/>
      <c r="RLK75" s="684"/>
      <c r="RLL75" s="684"/>
      <c r="RLM75" s="684"/>
      <c r="RLN75" s="684"/>
      <c r="RLO75" s="684"/>
      <c r="RLP75" s="684"/>
      <c r="RLQ75" s="684"/>
      <c r="RLR75" s="684"/>
      <c r="RLS75" s="684"/>
      <c r="RLT75" s="684"/>
      <c r="RLU75" s="684"/>
      <c r="RLV75" s="684"/>
      <c r="RLW75" s="684"/>
      <c r="RLX75" s="684"/>
      <c r="RLY75" s="684"/>
      <c r="RLZ75" s="684"/>
      <c r="RMA75" s="684"/>
      <c r="RMB75" s="684"/>
      <c r="RMC75" s="684"/>
      <c r="RMD75" s="684"/>
      <c r="RME75" s="684"/>
      <c r="RMF75" s="684"/>
      <c r="RMG75" s="684"/>
      <c r="RMH75" s="684"/>
      <c r="RMI75" s="684"/>
      <c r="RMJ75" s="684"/>
      <c r="RMK75" s="684"/>
      <c r="RML75" s="684"/>
      <c r="RMM75" s="684"/>
      <c r="RMN75" s="684"/>
      <c r="RMO75" s="684"/>
      <c r="RMP75" s="684"/>
      <c r="RMQ75" s="684"/>
      <c r="RMR75" s="684"/>
      <c r="RMS75" s="684"/>
      <c r="RMT75" s="684"/>
      <c r="RMU75" s="684"/>
      <c r="RMV75" s="684"/>
      <c r="RMW75" s="684"/>
      <c r="RMX75" s="684"/>
      <c r="RMY75" s="684"/>
      <c r="RMZ75" s="684"/>
      <c r="RNA75" s="684"/>
      <c r="RNB75" s="684"/>
      <c r="RNC75" s="684"/>
      <c r="RND75" s="684"/>
      <c r="RNE75" s="684"/>
      <c r="RNF75" s="684"/>
      <c r="RNG75" s="684"/>
      <c r="RNH75" s="684"/>
      <c r="RNI75" s="684"/>
      <c r="RNJ75" s="684"/>
      <c r="RNK75" s="684"/>
      <c r="RNL75" s="684"/>
      <c r="RNM75" s="684"/>
      <c r="RNN75" s="684"/>
      <c r="RNO75" s="684"/>
      <c r="RNP75" s="684"/>
      <c r="RNQ75" s="684"/>
      <c r="RNR75" s="684"/>
      <c r="RNS75" s="684"/>
      <c r="RNT75" s="684"/>
      <c r="RNU75" s="684"/>
      <c r="RNV75" s="684"/>
      <c r="RNW75" s="684"/>
      <c r="RNX75" s="684"/>
      <c r="RNY75" s="684"/>
      <c r="RNZ75" s="684"/>
      <c r="ROA75" s="684"/>
      <c r="ROB75" s="684"/>
      <c r="ROC75" s="684"/>
      <c r="ROD75" s="684"/>
      <c r="ROE75" s="684"/>
      <c r="ROF75" s="684"/>
      <c r="ROG75" s="684"/>
      <c r="ROH75" s="684"/>
      <c r="ROI75" s="684"/>
      <c r="ROJ75" s="684"/>
      <c r="ROK75" s="684"/>
      <c r="ROL75" s="684"/>
      <c r="ROM75" s="684"/>
      <c r="RON75" s="684"/>
      <c r="ROO75" s="684"/>
      <c r="ROP75" s="684"/>
      <c r="ROQ75" s="684"/>
      <c r="ROR75" s="684"/>
      <c r="ROS75" s="684"/>
      <c r="ROT75" s="684"/>
      <c r="ROU75" s="684"/>
      <c r="ROV75" s="684"/>
      <c r="ROW75" s="684"/>
      <c r="ROX75" s="684"/>
      <c r="ROY75" s="684"/>
      <c r="ROZ75" s="684"/>
      <c r="RPA75" s="684"/>
      <c r="RPB75" s="684"/>
      <c r="RPC75" s="684"/>
      <c r="RPD75" s="684"/>
      <c r="RPE75" s="684"/>
      <c r="RPF75" s="684"/>
      <c r="RPG75" s="684"/>
      <c r="RPH75" s="684"/>
      <c r="RPI75" s="684"/>
      <c r="RPJ75" s="684"/>
      <c r="RPK75" s="684"/>
      <c r="RPL75" s="684"/>
      <c r="RPM75" s="684"/>
      <c r="RPN75" s="684"/>
      <c r="RPO75" s="684"/>
      <c r="RPP75" s="684"/>
      <c r="RPQ75" s="684"/>
      <c r="RPR75" s="684"/>
      <c r="RPS75" s="684"/>
      <c r="RPT75" s="684"/>
      <c r="RPU75" s="684"/>
      <c r="RPV75" s="684"/>
      <c r="RPW75" s="684"/>
      <c r="RPX75" s="684"/>
      <c r="RPY75" s="684"/>
      <c r="RPZ75" s="684"/>
      <c r="RQA75" s="684"/>
      <c r="RQB75" s="684"/>
      <c r="RQC75" s="684"/>
      <c r="RQD75" s="684"/>
      <c r="RQE75" s="684"/>
      <c r="RQF75" s="684"/>
      <c r="RQG75" s="684"/>
      <c r="RQH75" s="684"/>
      <c r="RQI75" s="684"/>
      <c r="RQJ75" s="684"/>
      <c r="RQK75" s="684"/>
      <c r="RQL75" s="684"/>
      <c r="RQM75" s="684"/>
      <c r="RQN75" s="684"/>
      <c r="RQO75" s="684"/>
      <c r="RQP75" s="684"/>
      <c r="RQQ75" s="684"/>
      <c r="RQR75" s="684"/>
      <c r="RQS75" s="684"/>
      <c r="RQT75" s="684"/>
      <c r="RQU75" s="684"/>
      <c r="RQV75" s="684"/>
      <c r="RQW75" s="684"/>
      <c r="RQX75" s="684"/>
      <c r="RQY75" s="684"/>
      <c r="RQZ75" s="684"/>
      <c r="RRA75" s="684"/>
      <c r="RRB75" s="684"/>
      <c r="RRC75" s="684"/>
      <c r="RRD75" s="684"/>
      <c r="RRE75" s="684"/>
      <c r="RRF75" s="684"/>
      <c r="RRG75" s="684"/>
      <c r="RRH75" s="684"/>
      <c r="RRI75" s="684"/>
      <c r="RRJ75" s="684"/>
      <c r="RRK75" s="684"/>
      <c r="RRL75" s="684"/>
      <c r="RRM75" s="684"/>
      <c r="RRN75" s="684"/>
      <c r="RRO75" s="684"/>
      <c r="RRP75" s="684"/>
      <c r="RRQ75" s="684"/>
      <c r="RRR75" s="684"/>
      <c r="RRS75" s="684"/>
      <c r="RRT75" s="684"/>
      <c r="RRU75" s="684"/>
      <c r="RRV75" s="684"/>
      <c r="RRW75" s="684"/>
      <c r="RRX75" s="684"/>
      <c r="RRY75" s="684"/>
      <c r="RRZ75" s="684"/>
      <c r="RSA75" s="684"/>
      <c r="RSB75" s="684"/>
      <c r="RSC75" s="684"/>
      <c r="RSD75" s="684"/>
      <c r="RSE75" s="684"/>
      <c r="RSF75" s="684"/>
      <c r="RSG75" s="684"/>
      <c r="RSH75" s="684"/>
      <c r="RSI75" s="684"/>
      <c r="RSJ75" s="684"/>
      <c r="RSK75" s="684"/>
      <c r="RSL75" s="684"/>
      <c r="RSM75" s="684"/>
      <c r="RSN75" s="684"/>
      <c r="RSO75" s="684"/>
      <c r="RSP75" s="684"/>
      <c r="RSQ75" s="684"/>
      <c r="RSR75" s="684"/>
      <c r="RSS75" s="684"/>
      <c r="RST75" s="684"/>
      <c r="RSU75" s="684"/>
      <c r="RSV75" s="684"/>
      <c r="RSW75" s="684"/>
      <c r="RSX75" s="684"/>
      <c r="RSY75" s="684"/>
      <c r="RSZ75" s="684"/>
      <c r="RTA75" s="684"/>
      <c r="RTB75" s="684"/>
      <c r="RTC75" s="684"/>
      <c r="RTD75" s="684"/>
      <c r="RTE75" s="684"/>
      <c r="RTF75" s="684"/>
      <c r="RTG75" s="684"/>
      <c r="RTH75" s="684"/>
      <c r="RTI75" s="684"/>
      <c r="RTJ75" s="684"/>
      <c r="RTK75" s="684"/>
      <c r="RTL75" s="684"/>
      <c r="RTM75" s="684"/>
      <c r="RTN75" s="684"/>
      <c r="RTO75" s="684"/>
      <c r="RTP75" s="684"/>
      <c r="RTQ75" s="684"/>
      <c r="RTR75" s="684"/>
      <c r="RTS75" s="684"/>
      <c r="RTT75" s="684"/>
      <c r="RTU75" s="684"/>
      <c r="RTV75" s="684"/>
      <c r="RTW75" s="684"/>
      <c r="RTX75" s="684"/>
      <c r="RTY75" s="684"/>
      <c r="RTZ75" s="684"/>
      <c r="RUA75" s="684"/>
      <c r="RUB75" s="684"/>
      <c r="RUC75" s="684"/>
      <c r="RUD75" s="684"/>
      <c r="RUE75" s="684"/>
      <c r="RUF75" s="684"/>
      <c r="RUG75" s="684"/>
      <c r="RUH75" s="684"/>
      <c r="RUI75" s="684"/>
      <c r="RUJ75" s="684"/>
      <c r="RUK75" s="684"/>
      <c r="RUL75" s="684"/>
      <c r="RUM75" s="684"/>
      <c r="RUN75" s="684"/>
      <c r="RUO75" s="684"/>
      <c r="RUP75" s="684"/>
      <c r="RUQ75" s="684"/>
      <c r="RUR75" s="684"/>
      <c r="RUS75" s="684"/>
      <c r="RUT75" s="684"/>
      <c r="RUU75" s="684"/>
      <c r="RUV75" s="684"/>
      <c r="RUW75" s="684"/>
      <c r="RUX75" s="684"/>
      <c r="RUY75" s="684"/>
      <c r="RUZ75" s="684"/>
      <c r="RVA75" s="684"/>
      <c r="RVB75" s="684"/>
      <c r="RVC75" s="684"/>
      <c r="RVD75" s="684"/>
      <c r="RVE75" s="684"/>
      <c r="RVF75" s="684"/>
      <c r="RVG75" s="684"/>
      <c r="RVH75" s="684"/>
      <c r="RVI75" s="684"/>
      <c r="RVJ75" s="684"/>
      <c r="RVK75" s="684"/>
      <c r="RVL75" s="684"/>
      <c r="RVM75" s="684"/>
      <c r="RVN75" s="684"/>
      <c r="RVO75" s="684"/>
      <c r="RVP75" s="684"/>
      <c r="RVQ75" s="684"/>
      <c r="RVR75" s="684"/>
      <c r="RVS75" s="684"/>
      <c r="RVT75" s="684"/>
      <c r="RVU75" s="684"/>
      <c r="RVV75" s="684"/>
      <c r="RVW75" s="684"/>
      <c r="RVX75" s="684"/>
      <c r="RVY75" s="684"/>
      <c r="RVZ75" s="684"/>
      <c r="RWA75" s="684"/>
      <c r="RWB75" s="684"/>
      <c r="RWC75" s="684"/>
      <c r="RWD75" s="684"/>
      <c r="RWE75" s="684"/>
      <c r="RWF75" s="684"/>
      <c r="RWG75" s="684"/>
      <c r="RWH75" s="684"/>
      <c r="RWI75" s="684"/>
      <c r="RWJ75" s="684"/>
      <c r="RWK75" s="684"/>
      <c r="RWL75" s="684"/>
      <c r="RWM75" s="684"/>
      <c r="RWN75" s="684"/>
      <c r="RWO75" s="684"/>
      <c r="RWP75" s="684"/>
      <c r="RWQ75" s="684"/>
      <c r="RWR75" s="684"/>
      <c r="RWS75" s="684"/>
      <c r="RWT75" s="684"/>
      <c r="RWU75" s="684"/>
      <c r="RWV75" s="684"/>
      <c r="RWW75" s="684"/>
      <c r="RWX75" s="684"/>
      <c r="RWY75" s="684"/>
      <c r="RWZ75" s="684"/>
      <c r="RXA75" s="684"/>
      <c r="RXB75" s="684"/>
      <c r="RXC75" s="684"/>
      <c r="RXD75" s="684"/>
      <c r="RXE75" s="684"/>
      <c r="RXF75" s="684"/>
      <c r="RXG75" s="684"/>
      <c r="RXH75" s="684"/>
      <c r="RXI75" s="684"/>
      <c r="RXJ75" s="684"/>
      <c r="RXK75" s="684"/>
      <c r="RXL75" s="684"/>
      <c r="RXM75" s="684"/>
      <c r="RXN75" s="684"/>
      <c r="RXO75" s="684"/>
      <c r="RXP75" s="684"/>
      <c r="RXQ75" s="684"/>
      <c r="RXR75" s="684"/>
      <c r="RXS75" s="684"/>
      <c r="RXT75" s="684"/>
      <c r="RXU75" s="684"/>
      <c r="RXV75" s="684"/>
      <c r="RXW75" s="684"/>
      <c r="RXX75" s="684"/>
      <c r="RXY75" s="684"/>
      <c r="RXZ75" s="684"/>
      <c r="RYA75" s="684"/>
      <c r="RYB75" s="684"/>
      <c r="RYC75" s="684"/>
      <c r="RYD75" s="684"/>
      <c r="RYE75" s="684"/>
      <c r="RYF75" s="684"/>
      <c r="RYG75" s="684"/>
      <c r="RYH75" s="684"/>
      <c r="RYI75" s="684"/>
      <c r="RYJ75" s="684"/>
      <c r="RYK75" s="684"/>
      <c r="RYL75" s="684"/>
      <c r="RYM75" s="684"/>
      <c r="RYN75" s="684"/>
      <c r="RYO75" s="684"/>
      <c r="RYP75" s="684"/>
      <c r="RYQ75" s="684"/>
      <c r="RYR75" s="684"/>
      <c r="RYS75" s="684"/>
      <c r="RYT75" s="684"/>
      <c r="RYU75" s="684"/>
      <c r="RYV75" s="684"/>
      <c r="RYW75" s="684"/>
      <c r="RYX75" s="684"/>
      <c r="RYY75" s="684"/>
      <c r="RYZ75" s="684"/>
      <c r="RZA75" s="684"/>
      <c r="RZB75" s="684"/>
      <c r="RZC75" s="684"/>
      <c r="RZD75" s="684"/>
      <c r="RZE75" s="684"/>
      <c r="RZF75" s="684"/>
      <c r="RZG75" s="684"/>
      <c r="RZH75" s="684"/>
      <c r="RZI75" s="684"/>
      <c r="RZJ75" s="684"/>
      <c r="RZK75" s="684"/>
      <c r="RZL75" s="684"/>
      <c r="RZM75" s="684"/>
      <c r="RZN75" s="684"/>
      <c r="RZO75" s="684"/>
      <c r="RZP75" s="684"/>
      <c r="RZQ75" s="684"/>
      <c r="RZR75" s="684"/>
      <c r="RZS75" s="684"/>
      <c r="RZT75" s="684"/>
      <c r="RZU75" s="684"/>
      <c r="RZV75" s="684"/>
      <c r="RZW75" s="684"/>
      <c r="RZX75" s="684"/>
      <c r="RZY75" s="684"/>
      <c r="RZZ75" s="684"/>
      <c r="SAA75" s="684"/>
      <c r="SAB75" s="684"/>
      <c r="SAC75" s="684"/>
      <c r="SAD75" s="684"/>
      <c r="SAE75" s="684"/>
      <c r="SAF75" s="684"/>
      <c r="SAG75" s="684"/>
      <c r="SAH75" s="684"/>
      <c r="SAI75" s="684"/>
      <c r="SAJ75" s="684"/>
      <c r="SAK75" s="684"/>
      <c r="SAL75" s="684"/>
      <c r="SAM75" s="684"/>
      <c r="SAN75" s="684"/>
      <c r="SAO75" s="684"/>
      <c r="SAP75" s="684"/>
      <c r="SAQ75" s="684"/>
      <c r="SAR75" s="684"/>
      <c r="SAS75" s="684"/>
      <c r="SAT75" s="684"/>
      <c r="SAU75" s="684"/>
      <c r="SAV75" s="684"/>
      <c r="SAW75" s="684"/>
      <c r="SAX75" s="684"/>
      <c r="SAY75" s="684"/>
      <c r="SAZ75" s="684"/>
      <c r="SBA75" s="684"/>
      <c r="SBB75" s="684"/>
      <c r="SBC75" s="684"/>
      <c r="SBD75" s="684"/>
      <c r="SBE75" s="684"/>
      <c r="SBF75" s="684"/>
      <c r="SBG75" s="684"/>
      <c r="SBH75" s="684"/>
      <c r="SBI75" s="684"/>
      <c r="SBJ75" s="684"/>
      <c r="SBK75" s="684"/>
      <c r="SBL75" s="684"/>
      <c r="SBM75" s="684"/>
      <c r="SBN75" s="684"/>
      <c r="SBO75" s="684"/>
      <c r="SBP75" s="684"/>
      <c r="SBQ75" s="684"/>
      <c r="SBR75" s="684"/>
      <c r="SBS75" s="684"/>
      <c r="SBT75" s="684"/>
      <c r="SBU75" s="684"/>
      <c r="SBV75" s="684"/>
      <c r="SBW75" s="684"/>
      <c r="SBX75" s="684"/>
      <c r="SBY75" s="684"/>
      <c r="SBZ75" s="684"/>
      <c r="SCA75" s="684"/>
      <c r="SCB75" s="684"/>
      <c r="SCC75" s="684"/>
      <c r="SCD75" s="684"/>
      <c r="SCE75" s="684"/>
      <c r="SCF75" s="684"/>
      <c r="SCG75" s="684"/>
      <c r="SCH75" s="684"/>
      <c r="SCI75" s="684"/>
      <c r="SCJ75" s="684"/>
      <c r="SCK75" s="684"/>
      <c r="SCL75" s="684"/>
      <c r="SCM75" s="684"/>
      <c r="SCN75" s="684"/>
      <c r="SCO75" s="684"/>
      <c r="SCP75" s="684"/>
      <c r="SCQ75" s="684"/>
      <c r="SCR75" s="684"/>
      <c r="SCS75" s="684"/>
      <c r="SCT75" s="684"/>
      <c r="SCU75" s="684"/>
      <c r="SCV75" s="684"/>
      <c r="SCW75" s="684"/>
      <c r="SCX75" s="684"/>
      <c r="SCY75" s="684"/>
      <c r="SCZ75" s="684"/>
      <c r="SDA75" s="684"/>
      <c r="SDB75" s="684"/>
      <c r="SDC75" s="684"/>
      <c r="SDD75" s="684"/>
      <c r="SDE75" s="684"/>
      <c r="SDF75" s="684"/>
      <c r="SDG75" s="684"/>
      <c r="SDH75" s="684"/>
      <c r="SDI75" s="684"/>
      <c r="SDJ75" s="684"/>
      <c r="SDK75" s="684"/>
      <c r="SDL75" s="684"/>
      <c r="SDM75" s="684"/>
      <c r="SDN75" s="684"/>
      <c r="SDO75" s="684"/>
      <c r="SDP75" s="684"/>
      <c r="SDQ75" s="684"/>
      <c r="SDR75" s="684"/>
      <c r="SDS75" s="684"/>
      <c r="SDT75" s="684"/>
      <c r="SDU75" s="684"/>
      <c r="SDV75" s="684"/>
      <c r="SDW75" s="684"/>
      <c r="SDX75" s="684"/>
      <c r="SDY75" s="684"/>
      <c r="SDZ75" s="684"/>
      <c r="SEA75" s="684"/>
      <c r="SEB75" s="684"/>
      <c r="SEC75" s="684"/>
      <c r="SED75" s="684"/>
      <c r="SEE75" s="684"/>
      <c r="SEF75" s="684"/>
      <c r="SEG75" s="684"/>
      <c r="SEH75" s="684"/>
      <c r="SEI75" s="684"/>
      <c r="SEJ75" s="684"/>
      <c r="SEK75" s="684"/>
      <c r="SEL75" s="684"/>
      <c r="SEM75" s="684"/>
      <c r="SEN75" s="684"/>
      <c r="SEO75" s="684"/>
      <c r="SEP75" s="684"/>
      <c r="SEQ75" s="684"/>
      <c r="SER75" s="684"/>
      <c r="SES75" s="684"/>
      <c r="SET75" s="684"/>
      <c r="SEU75" s="684"/>
      <c r="SEV75" s="684"/>
      <c r="SEW75" s="684"/>
      <c r="SEX75" s="684"/>
      <c r="SEY75" s="684"/>
      <c r="SEZ75" s="684"/>
      <c r="SFA75" s="684"/>
      <c r="SFB75" s="684"/>
      <c r="SFC75" s="684"/>
      <c r="SFD75" s="684"/>
      <c r="SFE75" s="684"/>
      <c r="SFF75" s="684"/>
      <c r="SFG75" s="684"/>
      <c r="SFH75" s="684"/>
      <c r="SFI75" s="684"/>
      <c r="SFJ75" s="684"/>
      <c r="SFK75" s="684"/>
      <c r="SFL75" s="684"/>
      <c r="SFM75" s="684"/>
      <c r="SFN75" s="684"/>
      <c r="SFO75" s="684"/>
      <c r="SFP75" s="684"/>
      <c r="SFQ75" s="684"/>
      <c r="SFR75" s="684"/>
      <c r="SFS75" s="684"/>
      <c r="SFT75" s="684"/>
      <c r="SFU75" s="684"/>
      <c r="SFV75" s="684"/>
      <c r="SFW75" s="684"/>
      <c r="SFX75" s="684"/>
      <c r="SFY75" s="684"/>
      <c r="SFZ75" s="684"/>
      <c r="SGA75" s="684"/>
      <c r="SGB75" s="684"/>
      <c r="SGC75" s="684"/>
      <c r="SGD75" s="684"/>
      <c r="SGE75" s="684"/>
      <c r="SGF75" s="684"/>
      <c r="SGG75" s="684"/>
      <c r="SGH75" s="684"/>
      <c r="SGI75" s="684"/>
      <c r="SGJ75" s="684"/>
      <c r="SGK75" s="684"/>
      <c r="SGL75" s="684"/>
      <c r="SGM75" s="684"/>
      <c r="SGN75" s="684"/>
      <c r="SGO75" s="684"/>
      <c r="SGP75" s="684"/>
      <c r="SGQ75" s="684"/>
      <c r="SGR75" s="684"/>
      <c r="SGS75" s="684"/>
      <c r="SGT75" s="684"/>
      <c r="SGU75" s="684"/>
      <c r="SGV75" s="684"/>
      <c r="SGW75" s="684"/>
      <c r="SGX75" s="684"/>
      <c r="SGY75" s="684"/>
      <c r="SGZ75" s="684"/>
      <c r="SHA75" s="684"/>
      <c r="SHB75" s="684"/>
      <c r="SHC75" s="684"/>
      <c r="SHD75" s="684"/>
      <c r="SHE75" s="684"/>
      <c r="SHF75" s="684"/>
      <c r="SHG75" s="684"/>
      <c r="SHH75" s="684"/>
      <c r="SHI75" s="684"/>
      <c r="SHJ75" s="684"/>
      <c r="SHK75" s="684"/>
      <c r="SHL75" s="684"/>
      <c r="SHM75" s="684"/>
      <c r="SHN75" s="684"/>
      <c r="SHO75" s="684"/>
      <c r="SHP75" s="684"/>
      <c r="SHQ75" s="684"/>
      <c r="SHR75" s="684"/>
      <c r="SHS75" s="684"/>
      <c r="SHT75" s="684"/>
      <c r="SHU75" s="684"/>
      <c r="SHV75" s="684"/>
      <c r="SHW75" s="684"/>
      <c r="SHX75" s="684"/>
      <c r="SHY75" s="684"/>
      <c r="SHZ75" s="684"/>
      <c r="SIA75" s="684"/>
      <c r="SIB75" s="684"/>
      <c r="SIC75" s="684"/>
      <c r="SID75" s="684"/>
      <c r="SIE75" s="684"/>
      <c r="SIF75" s="684"/>
      <c r="SIG75" s="684"/>
      <c r="SIH75" s="684"/>
      <c r="SII75" s="684"/>
      <c r="SIJ75" s="684"/>
      <c r="SIK75" s="684"/>
      <c r="SIL75" s="684"/>
      <c r="SIM75" s="684"/>
      <c r="SIN75" s="684"/>
      <c r="SIO75" s="684"/>
      <c r="SIP75" s="684"/>
      <c r="SIQ75" s="684"/>
      <c r="SIR75" s="684"/>
      <c r="SIS75" s="684"/>
      <c r="SIT75" s="684"/>
      <c r="SIU75" s="684"/>
      <c r="SIV75" s="684"/>
      <c r="SIW75" s="684"/>
      <c r="SIX75" s="684"/>
      <c r="SIY75" s="684"/>
      <c r="SIZ75" s="684"/>
      <c r="SJA75" s="684"/>
      <c r="SJB75" s="684"/>
      <c r="SJC75" s="684"/>
      <c r="SJD75" s="684"/>
      <c r="SJE75" s="684"/>
      <c r="SJF75" s="684"/>
      <c r="SJG75" s="684"/>
      <c r="SJH75" s="684"/>
      <c r="SJI75" s="684"/>
      <c r="SJJ75" s="684"/>
      <c r="SJK75" s="684"/>
      <c r="SJL75" s="684"/>
      <c r="SJM75" s="684"/>
      <c r="SJN75" s="684"/>
      <c r="SJO75" s="684"/>
      <c r="SJP75" s="684"/>
      <c r="SJQ75" s="684"/>
      <c r="SJR75" s="684"/>
      <c r="SJS75" s="684"/>
      <c r="SJT75" s="684"/>
      <c r="SJU75" s="684"/>
      <c r="SJV75" s="684"/>
      <c r="SJW75" s="684"/>
      <c r="SJX75" s="684"/>
      <c r="SJY75" s="684"/>
      <c r="SJZ75" s="684"/>
      <c r="SKA75" s="684"/>
      <c r="SKB75" s="684"/>
      <c r="SKC75" s="684"/>
      <c r="SKD75" s="684"/>
      <c r="SKE75" s="684"/>
      <c r="SKF75" s="684"/>
      <c r="SKG75" s="684"/>
      <c r="SKH75" s="684"/>
      <c r="SKI75" s="684"/>
      <c r="SKJ75" s="684"/>
      <c r="SKK75" s="684"/>
      <c r="SKL75" s="684"/>
      <c r="SKM75" s="684"/>
      <c r="SKN75" s="684"/>
      <c r="SKO75" s="684"/>
      <c r="SKP75" s="684"/>
      <c r="SKQ75" s="684"/>
      <c r="SKR75" s="684"/>
      <c r="SKS75" s="684"/>
      <c r="SKT75" s="684"/>
      <c r="SKU75" s="684"/>
      <c r="SKV75" s="684"/>
      <c r="SKW75" s="684"/>
      <c r="SKX75" s="684"/>
      <c r="SKY75" s="684"/>
      <c r="SKZ75" s="684"/>
      <c r="SLA75" s="684"/>
      <c r="SLB75" s="684"/>
      <c r="SLC75" s="684"/>
      <c r="SLD75" s="684"/>
      <c r="SLE75" s="684"/>
      <c r="SLF75" s="684"/>
      <c r="SLG75" s="684"/>
      <c r="SLH75" s="684"/>
      <c r="SLI75" s="684"/>
      <c r="SLJ75" s="684"/>
      <c r="SLK75" s="684"/>
      <c r="SLL75" s="684"/>
      <c r="SLM75" s="684"/>
      <c r="SLN75" s="684"/>
      <c r="SLO75" s="684"/>
      <c r="SLP75" s="684"/>
      <c r="SLQ75" s="684"/>
      <c r="SLR75" s="684"/>
      <c r="SLS75" s="684"/>
      <c r="SLT75" s="684"/>
      <c r="SLU75" s="684"/>
      <c r="SLV75" s="684"/>
      <c r="SLW75" s="684"/>
      <c r="SLX75" s="684"/>
      <c r="SLY75" s="684"/>
      <c r="SLZ75" s="684"/>
      <c r="SMA75" s="684"/>
      <c r="SMB75" s="684"/>
      <c r="SMC75" s="684"/>
      <c r="SMD75" s="684"/>
      <c r="SME75" s="684"/>
      <c r="SMF75" s="684"/>
      <c r="SMG75" s="684"/>
      <c r="SMH75" s="684"/>
      <c r="SMI75" s="684"/>
      <c r="SMJ75" s="684"/>
      <c r="SMK75" s="684"/>
      <c r="SML75" s="684"/>
      <c r="SMM75" s="684"/>
      <c r="SMN75" s="684"/>
      <c r="SMO75" s="684"/>
      <c r="SMP75" s="684"/>
      <c r="SMQ75" s="684"/>
      <c r="SMR75" s="684"/>
      <c r="SMS75" s="684"/>
      <c r="SMT75" s="684"/>
      <c r="SMU75" s="684"/>
      <c r="SMV75" s="684"/>
      <c r="SMW75" s="684"/>
      <c r="SMX75" s="684"/>
      <c r="SMY75" s="684"/>
      <c r="SMZ75" s="684"/>
      <c r="SNA75" s="684"/>
      <c r="SNB75" s="684"/>
      <c r="SNC75" s="684"/>
      <c r="SND75" s="684"/>
      <c r="SNE75" s="684"/>
      <c r="SNF75" s="684"/>
      <c r="SNG75" s="684"/>
      <c r="SNH75" s="684"/>
      <c r="SNI75" s="684"/>
      <c r="SNJ75" s="684"/>
      <c r="SNK75" s="684"/>
      <c r="SNL75" s="684"/>
      <c r="SNM75" s="684"/>
      <c r="SNN75" s="684"/>
      <c r="SNO75" s="684"/>
      <c r="SNP75" s="684"/>
      <c r="SNQ75" s="684"/>
      <c r="SNR75" s="684"/>
      <c r="SNS75" s="684"/>
      <c r="SNT75" s="684"/>
      <c r="SNU75" s="684"/>
      <c r="SNV75" s="684"/>
      <c r="SNW75" s="684"/>
      <c r="SNX75" s="684"/>
      <c r="SNY75" s="684"/>
      <c r="SNZ75" s="684"/>
      <c r="SOA75" s="684"/>
      <c r="SOB75" s="684"/>
      <c r="SOC75" s="684"/>
      <c r="SOD75" s="684"/>
      <c r="SOE75" s="684"/>
      <c r="SOF75" s="684"/>
      <c r="SOG75" s="684"/>
      <c r="SOH75" s="684"/>
      <c r="SOI75" s="684"/>
      <c r="SOJ75" s="684"/>
      <c r="SOK75" s="684"/>
      <c r="SOL75" s="684"/>
      <c r="SOM75" s="684"/>
      <c r="SON75" s="684"/>
      <c r="SOO75" s="684"/>
      <c r="SOP75" s="684"/>
      <c r="SOQ75" s="684"/>
      <c r="SOR75" s="684"/>
      <c r="SOS75" s="684"/>
      <c r="SOT75" s="684"/>
      <c r="SOU75" s="684"/>
      <c r="SOV75" s="684"/>
      <c r="SOW75" s="684"/>
      <c r="SOX75" s="684"/>
      <c r="SOY75" s="684"/>
      <c r="SOZ75" s="684"/>
      <c r="SPA75" s="684"/>
      <c r="SPB75" s="684"/>
      <c r="SPC75" s="684"/>
      <c r="SPD75" s="684"/>
      <c r="SPE75" s="684"/>
      <c r="SPF75" s="684"/>
      <c r="SPG75" s="684"/>
      <c r="SPH75" s="684"/>
      <c r="SPI75" s="684"/>
      <c r="SPJ75" s="684"/>
      <c r="SPK75" s="684"/>
      <c r="SPL75" s="684"/>
      <c r="SPM75" s="684"/>
      <c r="SPN75" s="684"/>
      <c r="SPO75" s="684"/>
      <c r="SPP75" s="684"/>
      <c r="SPQ75" s="684"/>
      <c r="SPR75" s="684"/>
      <c r="SPS75" s="684"/>
      <c r="SPT75" s="684"/>
      <c r="SPU75" s="684"/>
      <c r="SPV75" s="684"/>
      <c r="SPW75" s="684"/>
      <c r="SPX75" s="684"/>
      <c r="SPY75" s="684"/>
      <c r="SPZ75" s="684"/>
      <c r="SQA75" s="684"/>
      <c r="SQB75" s="684"/>
      <c r="SQC75" s="684"/>
      <c r="SQD75" s="684"/>
      <c r="SQE75" s="684"/>
      <c r="SQF75" s="684"/>
      <c r="SQG75" s="684"/>
      <c r="SQH75" s="684"/>
      <c r="SQI75" s="684"/>
      <c r="SQJ75" s="684"/>
      <c r="SQK75" s="684"/>
      <c r="SQL75" s="684"/>
      <c r="SQM75" s="684"/>
      <c r="SQN75" s="684"/>
      <c r="SQO75" s="684"/>
      <c r="SQP75" s="684"/>
      <c r="SQQ75" s="684"/>
      <c r="SQR75" s="684"/>
      <c r="SQS75" s="684"/>
      <c r="SQT75" s="684"/>
      <c r="SQU75" s="684"/>
      <c r="SQV75" s="684"/>
      <c r="SQW75" s="684"/>
      <c r="SQX75" s="684"/>
      <c r="SQY75" s="684"/>
      <c r="SQZ75" s="684"/>
      <c r="SRA75" s="684"/>
      <c r="SRB75" s="684"/>
      <c r="SRC75" s="684"/>
      <c r="SRD75" s="684"/>
      <c r="SRE75" s="684"/>
      <c r="SRF75" s="684"/>
      <c r="SRG75" s="684"/>
      <c r="SRH75" s="684"/>
      <c r="SRI75" s="684"/>
      <c r="SRJ75" s="684"/>
      <c r="SRK75" s="684"/>
      <c r="SRL75" s="684"/>
      <c r="SRM75" s="684"/>
      <c r="SRN75" s="684"/>
      <c r="SRO75" s="684"/>
      <c r="SRP75" s="684"/>
      <c r="SRQ75" s="684"/>
      <c r="SRR75" s="684"/>
      <c r="SRS75" s="684"/>
      <c r="SRT75" s="684"/>
      <c r="SRU75" s="684"/>
      <c r="SRV75" s="684"/>
      <c r="SRW75" s="684"/>
      <c r="SRX75" s="684"/>
      <c r="SRY75" s="684"/>
      <c r="SRZ75" s="684"/>
      <c r="SSA75" s="684"/>
      <c r="SSB75" s="684"/>
      <c r="SSC75" s="684"/>
      <c r="SSD75" s="684"/>
      <c r="SSE75" s="684"/>
      <c r="SSF75" s="684"/>
      <c r="SSG75" s="684"/>
      <c r="SSH75" s="684"/>
      <c r="SSI75" s="684"/>
      <c r="SSJ75" s="684"/>
      <c r="SSK75" s="684"/>
      <c r="SSL75" s="684"/>
      <c r="SSM75" s="684"/>
      <c r="SSN75" s="684"/>
      <c r="SSO75" s="684"/>
      <c r="SSP75" s="684"/>
      <c r="SSQ75" s="684"/>
      <c r="SSR75" s="684"/>
      <c r="SSS75" s="684"/>
      <c r="SST75" s="684"/>
      <c r="SSU75" s="684"/>
      <c r="SSV75" s="684"/>
      <c r="SSW75" s="684"/>
      <c r="SSX75" s="684"/>
      <c r="SSY75" s="684"/>
      <c r="SSZ75" s="684"/>
      <c r="STA75" s="684"/>
      <c r="STB75" s="684"/>
      <c r="STC75" s="684"/>
      <c r="STD75" s="684"/>
      <c r="STE75" s="684"/>
      <c r="STF75" s="684"/>
      <c r="STG75" s="684"/>
      <c r="STH75" s="684"/>
      <c r="STI75" s="684"/>
      <c r="STJ75" s="684"/>
      <c r="STK75" s="684"/>
      <c r="STL75" s="684"/>
      <c r="STM75" s="684"/>
      <c r="STN75" s="684"/>
      <c r="STO75" s="684"/>
      <c r="STP75" s="684"/>
      <c r="STQ75" s="684"/>
      <c r="STR75" s="684"/>
      <c r="STS75" s="684"/>
      <c r="STT75" s="684"/>
      <c r="STU75" s="684"/>
      <c r="STV75" s="684"/>
      <c r="STW75" s="684"/>
      <c r="STX75" s="684"/>
      <c r="STY75" s="684"/>
      <c r="STZ75" s="684"/>
      <c r="SUA75" s="684"/>
      <c r="SUB75" s="684"/>
      <c r="SUC75" s="684"/>
      <c r="SUD75" s="684"/>
      <c r="SUE75" s="684"/>
      <c r="SUF75" s="684"/>
      <c r="SUG75" s="684"/>
      <c r="SUH75" s="684"/>
      <c r="SUI75" s="684"/>
      <c r="SUJ75" s="684"/>
      <c r="SUK75" s="684"/>
      <c r="SUL75" s="684"/>
      <c r="SUM75" s="684"/>
      <c r="SUN75" s="684"/>
      <c r="SUO75" s="684"/>
      <c r="SUP75" s="684"/>
      <c r="SUQ75" s="684"/>
      <c r="SUR75" s="684"/>
      <c r="SUS75" s="684"/>
      <c r="SUT75" s="684"/>
      <c r="SUU75" s="684"/>
      <c r="SUV75" s="684"/>
      <c r="SUW75" s="684"/>
      <c r="SUX75" s="684"/>
      <c r="SUY75" s="684"/>
      <c r="SUZ75" s="684"/>
      <c r="SVA75" s="684"/>
      <c r="SVB75" s="684"/>
      <c r="SVC75" s="684"/>
      <c r="SVD75" s="684"/>
      <c r="SVE75" s="684"/>
      <c r="SVF75" s="684"/>
      <c r="SVG75" s="684"/>
      <c r="SVH75" s="684"/>
      <c r="SVI75" s="684"/>
      <c r="SVJ75" s="684"/>
      <c r="SVK75" s="684"/>
      <c r="SVL75" s="684"/>
      <c r="SVM75" s="684"/>
      <c r="SVN75" s="684"/>
      <c r="SVO75" s="684"/>
      <c r="SVP75" s="684"/>
      <c r="SVQ75" s="684"/>
      <c r="SVR75" s="684"/>
      <c r="SVS75" s="684"/>
      <c r="SVT75" s="684"/>
      <c r="SVU75" s="684"/>
      <c r="SVV75" s="684"/>
      <c r="SVW75" s="684"/>
      <c r="SVX75" s="684"/>
      <c r="SVY75" s="684"/>
      <c r="SVZ75" s="684"/>
      <c r="SWA75" s="684"/>
      <c r="SWB75" s="684"/>
      <c r="SWC75" s="684"/>
      <c r="SWD75" s="684"/>
      <c r="SWE75" s="684"/>
      <c r="SWF75" s="684"/>
      <c r="SWG75" s="684"/>
      <c r="SWH75" s="684"/>
      <c r="SWI75" s="684"/>
      <c r="SWJ75" s="684"/>
      <c r="SWK75" s="684"/>
      <c r="SWL75" s="684"/>
      <c r="SWM75" s="684"/>
      <c r="SWN75" s="684"/>
      <c r="SWO75" s="684"/>
      <c r="SWP75" s="684"/>
      <c r="SWQ75" s="684"/>
      <c r="SWR75" s="684"/>
      <c r="SWS75" s="684"/>
      <c r="SWT75" s="684"/>
      <c r="SWU75" s="684"/>
      <c r="SWV75" s="684"/>
      <c r="SWW75" s="684"/>
      <c r="SWX75" s="684"/>
      <c r="SWY75" s="684"/>
      <c r="SWZ75" s="684"/>
      <c r="SXA75" s="684"/>
      <c r="SXB75" s="684"/>
      <c r="SXC75" s="684"/>
      <c r="SXD75" s="684"/>
      <c r="SXE75" s="684"/>
      <c r="SXF75" s="684"/>
      <c r="SXG75" s="684"/>
      <c r="SXH75" s="684"/>
      <c r="SXI75" s="684"/>
      <c r="SXJ75" s="684"/>
      <c r="SXK75" s="684"/>
      <c r="SXL75" s="684"/>
      <c r="SXM75" s="684"/>
      <c r="SXN75" s="684"/>
      <c r="SXO75" s="684"/>
      <c r="SXP75" s="684"/>
      <c r="SXQ75" s="684"/>
      <c r="SXR75" s="684"/>
      <c r="SXS75" s="684"/>
      <c r="SXT75" s="684"/>
      <c r="SXU75" s="684"/>
      <c r="SXV75" s="684"/>
      <c r="SXW75" s="684"/>
      <c r="SXX75" s="684"/>
      <c r="SXY75" s="684"/>
      <c r="SXZ75" s="684"/>
      <c r="SYA75" s="684"/>
      <c r="SYB75" s="684"/>
      <c r="SYC75" s="684"/>
      <c r="SYD75" s="684"/>
      <c r="SYE75" s="684"/>
      <c r="SYF75" s="684"/>
      <c r="SYG75" s="684"/>
      <c r="SYH75" s="684"/>
      <c r="SYI75" s="684"/>
      <c r="SYJ75" s="684"/>
      <c r="SYK75" s="684"/>
      <c r="SYL75" s="684"/>
      <c r="SYM75" s="684"/>
      <c r="SYN75" s="684"/>
      <c r="SYO75" s="684"/>
      <c r="SYP75" s="684"/>
      <c r="SYQ75" s="684"/>
      <c r="SYR75" s="684"/>
      <c r="SYS75" s="684"/>
      <c r="SYT75" s="684"/>
      <c r="SYU75" s="684"/>
      <c r="SYV75" s="684"/>
      <c r="SYW75" s="684"/>
      <c r="SYX75" s="684"/>
      <c r="SYY75" s="684"/>
      <c r="SYZ75" s="684"/>
      <c r="SZA75" s="684"/>
      <c r="SZB75" s="684"/>
      <c r="SZC75" s="684"/>
      <c r="SZD75" s="684"/>
      <c r="SZE75" s="684"/>
      <c r="SZF75" s="684"/>
      <c r="SZG75" s="684"/>
      <c r="SZH75" s="684"/>
      <c r="SZI75" s="684"/>
      <c r="SZJ75" s="684"/>
      <c r="SZK75" s="684"/>
      <c r="SZL75" s="684"/>
      <c r="SZM75" s="684"/>
      <c r="SZN75" s="684"/>
      <c r="SZO75" s="684"/>
      <c r="SZP75" s="684"/>
      <c r="SZQ75" s="684"/>
      <c r="SZR75" s="684"/>
      <c r="SZS75" s="684"/>
      <c r="SZT75" s="684"/>
      <c r="SZU75" s="684"/>
      <c r="SZV75" s="684"/>
      <c r="SZW75" s="684"/>
      <c r="SZX75" s="684"/>
      <c r="SZY75" s="684"/>
      <c r="SZZ75" s="684"/>
      <c r="TAA75" s="684"/>
      <c r="TAB75" s="684"/>
      <c r="TAC75" s="684"/>
      <c r="TAD75" s="684"/>
      <c r="TAE75" s="684"/>
      <c r="TAF75" s="684"/>
      <c r="TAG75" s="684"/>
      <c r="TAH75" s="684"/>
      <c r="TAI75" s="684"/>
      <c r="TAJ75" s="684"/>
      <c r="TAK75" s="684"/>
      <c r="TAL75" s="684"/>
      <c r="TAM75" s="684"/>
      <c r="TAN75" s="684"/>
      <c r="TAO75" s="684"/>
      <c r="TAP75" s="684"/>
      <c r="TAQ75" s="684"/>
      <c r="TAR75" s="684"/>
      <c r="TAS75" s="684"/>
      <c r="TAT75" s="684"/>
      <c r="TAU75" s="684"/>
      <c r="TAV75" s="684"/>
      <c r="TAW75" s="684"/>
      <c r="TAX75" s="684"/>
      <c r="TAY75" s="684"/>
      <c r="TAZ75" s="684"/>
      <c r="TBA75" s="684"/>
      <c r="TBB75" s="684"/>
      <c r="TBC75" s="684"/>
      <c r="TBD75" s="684"/>
      <c r="TBE75" s="684"/>
      <c r="TBF75" s="684"/>
      <c r="TBG75" s="684"/>
      <c r="TBH75" s="684"/>
      <c r="TBI75" s="684"/>
      <c r="TBJ75" s="684"/>
      <c r="TBK75" s="684"/>
      <c r="TBL75" s="684"/>
      <c r="TBM75" s="684"/>
      <c r="TBN75" s="684"/>
      <c r="TBO75" s="684"/>
      <c r="TBP75" s="684"/>
      <c r="TBQ75" s="684"/>
      <c r="TBR75" s="684"/>
      <c r="TBS75" s="684"/>
      <c r="TBT75" s="684"/>
      <c r="TBU75" s="684"/>
      <c r="TBV75" s="684"/>
      <c r="TBW75" s="684"/>
      <c r="TBX75" s="684"/>
      <c r="TBY75" s="684"/>
      <c r="TBZ75" s="684"/>
      <c r="TCA75" s="684"/>
      <c r="TCB75" s="684"/>
      <c r="TCC75" s="684"/>
      <c r="TCD75" s="684"/>
      <c r="TCE75" s="684"/>
      <c r="TCF75" s="684"/>
      <c r="TCG75" s="684"/>
      <c r="TCH75" s="684"/>
      <c r="TCI75" s="684"/>
      <c r="TCJ75" s="684"/>
      <c r="TCK75" s="684"/>
      <c r="TCL75" s="684"/>
      <c r="TCM75" s="684"/>
      <c r="TCN75" s="684"/>
      <c r="TCO75" s="684"/>
      <c r="TCP75" s="684"/>
      <c r="TCQ75" s="684"/>
      <c r="TCR75" s="684"/>
      <c r="TCS75" s="684"/>
      <c r="TCT75" s="684"/>
      <c r="TCU75" s="684"/>
      <c r="TCV75" s="684"/>
      <c r="TCW75" s="684"/>
      <c r="TCX75" s="684"/>
      <c r="TCY75" s="684"/>
      <c r="TCZ75" s="684"/>
      <c r="TDA75" s="684"/>
      <c r="TDB75" s="684"/>
      <c r="TDC75" s="684"/>
      <c r="TDD75" s="684"/>
      <c r="TDE75" s="684"/>
      <c r="TDF75" s="684"/>
      <c r="TDG75" s="684"/>
      <c r="TDH75" s="684"/>
      <c r="TDI75" s="684"/>
      <c r="TDJ75" s="684"/>
      <c r="TDK75" s="684"/>
      <c r="TDL75" s="684"/>
      <c r="TDM75" s="684"/>
      <c r="TDN75" s="684"/>
      <c r="TDO75" s="684"/>
      <c r="TDP75" s="684"/>
      <c r="TDQ75" s="684"/>
      <c r="TDR75" s="684"/>
      <c r="TDS75" s="684"/>
      <c r="TDT75" s="684"/>
      <c r="TDU75" s="684"/>
      <c r="TDV75" s="684"/>
      <c r="TDW75" s="684"/>
      <c r="TDX75" s="684"/>
      <c r="TDY75" s="684"/>
      <c r="TDZ75" s="684"/>
      <c r="TEA75" s="684"/>
      <c r="TEB75" s="684"/>
      <c r="TEC75" s="684"/>
      <c r="TED75" s="684"/>
      <c r="TEE75" s="684"/>
      <c r="TEF75" s="684"/>
      <c r="TEG75" s="684"/>
      <c r="TEH75" s="684"/>
      <c r="TEI75" s="684"/>
      <c r="TEJ75" s="684"/>
      <c r="TEK75" s="684"/>
      <c r="TEL75" s="684"/>
      <c r="TEM75" s="684"/>
      <c r="TEN75" s="684"/>
      <c r="TEO75" s="684"/>
      <c r="TEP75" s="684"/>
      <c r="TEQ75" s="684"/>
      <c r="TER75" s="684"/>
      <c r="TES75" s="684"/>
      <c r="TET75" s="684"/>
      <c r="TEU75" s="684"/>
      <c r="TEV75" s="684"/>
      <c r="TEW75" s="684"/>
      <c r="TEX75" s="684"/>
      <c r="TEY75" s="684"/>
      <c r="TEZ75" s="684"/>
      <c r="TFA75" s="684"/>
      <c r="TFB75" s="684"/>
      <c r="TFC75" s="684"/>
      <c r="TFD75" s="684"/>
      <c r="TFE75" s="684"/>
      <c r="TFF75" s="684"/>
      <c r="TFG75" s="684"/>
      <c r="TFH75" s="684"/>
      <c r="TFI75" s="684"/>
      <c r="TFJ75" s="684"/>
      <c r="TFK75" s="684"/>
      <c r="TFL75" s="684"/>
      <c r="TFM75" s="684"/>
      <c r="TFN75" s="684"/>
      <c r="TFO75" s="684"/>
      <c r="TFP75" s="684"/>
      <c r="TFQ75" s="684"/>
      <c r="TFR75" s="684"/>
      <c r="TFS75" s="684"/>
      <c r="TFT75" s="684"/>
      <c r="TFU75" s="684"/>
      <c r="TFV75" s="684"/>
      <c r="TFW75" s="684"/>
      <c r="TFX75" s="684"/>
      <c r="TFY75" s="684"/>
      <c r="TFZ75" s="684"/>
      <c r="TGA75" s="684"/>
      <c r="TGB75" s="684"/>
      <c r="TGC75" s="684"/>
      <c r="TGD75" s="684"/>
      <c r="TGE75" s="684"/>
      <c r="TGF75" s="684"/>
      <c r="TGG75" s="684"/>
      <c r="TGH75" s="684"/>
      <c r="TGI75" s="684"/>
      <c r="TGJ75" s="684"/>
      <c r="TGK75" s="684"/>
      <c r="TGL75" s="684"/>
      <c r="TGM75" s="684"/>
      <c r="TGN75" s="684"/>
      <c r="TGO75" s="684"/>
      <c r="TGP75" s="684"/>
      <c r="TGQ75" s="684"/>
      <c r="TGR75" s="684"/>
      <c r="TGS75" s="684"/>
      <c r="TGT75" s="684"/>
      <c r="TGU75" s="684"/>
      <c r="TGV75" s="684"/>
      <c r="TGW75" s="684"/>
      <c r="TGX75" s="684"/>
      <c r="TGY75" s="684"/>
      <c r="TGZ75" s="684"/>
      <c r="THA75" s="684"/>
      <c r="THB75" s="684"/>
      <c r="THC75" s="684"/>
      <c r="THD75" s="684"/>
      <c r="THE75" s="684"/>
      <c r="THF75" s="684"/>
      <c r="THG75" s="684"/>
      <c r="THH75" s="684"/>
      <c r="THI75" s="684"/>
      <c r="THJ75" s="684"/>
      <c r="THK75" s="684"/>
      <c r="THL75" s="684"/>
      <c r="THM75" s="684"/>
      <c r="THN75" s="684"/>
      <c r="THO75" s="684"/>
      <c r="THP75" s="684"/>
      <c r="THQ75" s="684"/>
      <c r="THR75" s="684"/>
      <c r="THS75" s="684"/>
      <c r="THT75" s="684"/>
      <c r="THU75" s="684"/>
      <c r="THV75" s="684"/>
      <c r="THW75" s="684"/>
      <c r="THX75" s="684"/>
      <c r="THY75" s="684"/>
      <c r="THZ75" s="684"/>
      <c r="TIA75" s="684"/>
      <c r="TIB75" s="684"/>
      <c r="TIC75" s="684"/>
      <c r="TID75" s="684"/>
      <c r="TIE75" s="684"/>
      <c r="TIF75" s="684"/>
      <c r="TIG75" s="684"/>
      <c r="TIH75" s="684"/>
      <c r="TII75" s="684"/>
      <c r="TIJ75" s="684"/>
      <c r="TIK75" s="684"/>
      <c r="TIL75" s="684"/>
      <c r="TIM75" s="684"/>
      <c r="TIN75" s="684"/>
      <c r="TIO75" s="684"/>
      <c r="TIP75" s="684"/>
      <c r="TIQ75" s="684"/>
      <c r="TIR75" s="684"/>
      <c r="TIS75" s="684"/>
      <c r="TIT75" s="684"/>
      <c r="TIU75" s="684"/>
      <c r="TIV75" s="684"/>
      <c r="TIW75" s="684"/>
      <c r="TIX75" s="684"/>
      <c r="TIY75" s="684"/>
      <c r="TIZ75" s="684"/>
      <c r="TJA75" s="684"/>
      <c r="TJB75" s="684"/>
      <c r="TJC75" s="684"/>
      <c r="TJD75" s="684"/>
      <c r="TJE75" s="684"/>
      <c r="TJF75" s="684"/>
      <c r="TJG75" s="684"/>
      <c r="TJH75" s="684"/>
      <c r="TJI75" s="684"/>
      <c r="TJJ75" s="684"/>
      <c r="TJK75" s="684"/>
      <c r="TJL75" s="684"/>
      <c r="TJM75" s="684"/>
      <c r="TJN75" s="684"/>
      <c r="TJO75" s="684"/>
      <c r="TJP75" s="684"/>
      <c r="TJQ75" s="684"/>
      <c r="TJR75" s="684"/>
      <c r="TJS75" s="684"/>
      <c r="TJT75" s="684"/>
      <c r="TJU75" s="684"/>
      <c r="TJV75" s="684"/>
      <c r="TJW75" s="684"/>
      <c r="TJX75" s="684"/>
      <c r="TJY75" s="684"/>
      <c r="TJZ75" s="684"/>
      <c r="TKA75" s="684"/>
      <c r="TKB75" s="684"/>
      <c r="TKC75" s="684"/>
      <c r="TKD75" s="684"/>
      <c r="TKE75" s="684"/>
      <c r="TKF75" s="684"/>
      <c r="TKG75" s="684"/>
      <c r="TKH75" s="684"/>
      <c r="TKI75" s="684"/>
      <c r="TKJ75" s="684"/>
      <c r="TKK75" s="684"/>
      <c r="TKL75" s="684"/>
      <c r="TKM75" s="684"/>
      <c r="TKN75" s="684"/>
      <c r="TKO75" s="684"/>
      <c r="TKP75" s="684"/>
      <c r="TKQ75" s="684"/>
      <c r="TKR75" s="684"/>
      <c r="TKS75" s="684"/>
      <c r="TKT75" s="684"/>
      <c r="TKU75" s="684"/>
      <c r="TKV75" s="684"/>
      <c r="TKW75" s="684"/>
      <c r="TKX75" s="684"/>
      <c r="TKY75" s="684"/>
      <c r="TKZ75" s="684"/>
      <c r="TLA75" s="684"/>
      <c r="TLB75" s="684"/>
      <c r="TLC75" s="684"/>
      <c r="TLD75" s="684"/>
      <c r="TLE75" s="684"/>
      <c r="TLF75" s="684"/>
      <c r="TLG75" s="684"/>
      <c r="TLH75" s="684"/>
      <c r="TLI75" s="684"/>
      <c r="TLJ75" s="684"/>
      <c r="TLK75" s="684"/>
      <c r="TLL75" s="684"/>
      <c r="TLM75" s="684"/>
      <c r="TLN75" s="684"/>
      <c r="TLO75" s="684"/>
      <c r="TLP75" s="684"/>
      <c r="TLQ75" s="684"/>
      <c r="TLR75" s="684"/>
      <c r="TLS75" s="684"/>
      <c r="TLT75" s="684"/>
      <c r="TLU75" s="684"/>
      <c r="TLV75" s="684"/>
      <c r="TLW75" s="684"/>
      <c r="TLX75" s="684"/>
      <c r="TLY75" s="684"/>
      <c r="TLZ75" s="684"/>
      <c r="TMA75" s="684"/>
      <c r="TMB75" s="684"/>
      <c r="TMC75" s="684"/>
      <c r="TMD75" s="684"/>
      <c r="TME75" s="684"/>
      <c r="TMF75" s="684"/>
      <c r="TMG75" s="684"/>
      <c r="TMH75" s="684"/>
      <c r="TMI75" s="684"/>
      <c r="TMJ75" s="684"/>
      <c r="TMK75" s="684"/>
      <c r="TML75" s="684"/>
      <c r="TMM75" s="684"/>
      <c r="TMN75" s="684"/>
      <c r="TMO75" s="684"/>
      <c r="TMP75" s="684"/>
      <c r="TMQ75" s="684"/>
      <c r="TMR75" s="684"/>
      <c r="TMS75" s="684"/>
      <c r="TMT75" s="684"/>
      <c r="TMU75" s="684"/>
      <c r="TMV75" s="684"/>
      <c r="TMW75" s="684"/>
      <c r="TMX75" s="684"/>
      <c r="TMY75" s="684"/>
      <c r="TMZ75" s="684"/>
      <c r="TNA75" s="684"/>
      <c r="TNB75" s="684"/>
      <c r="TNC75" s="684"/>
      <c r="TND75" s="684"/>
      <c r="TNE75" s="684"/>
      <c r="TNF75" s="684"/>
      <c r="TNG75" s="684"/>
      <c r="TNH75" s="684"/>
      <c r="TNI75" s="684"/>
      <c r="TNJ75" s="684"/>
      <c r="TNK75" s="684"/>
      <c r="TNL75" s="684"/>
      <c r="TNM75" s="684"/>
      <c r="TNN75" s="684"/>
      <c r="TNO75" s="684"/>
      <c r="TNP75" s="684"/>
      <c r="TNQ75" s="684"/>
      <c r="TNR75" s="684"/>
      <c r="TNS75" s="684"/>
      <c r="TNT75" s="684"/>
      <c r="TNU75" s="684"/>
      <c r="TNV75" s="684"/>
      <c r="TNW75" s="684"/>
      <c r="TNX75" s="684"/>
      <c r="TNY75" s="684"/>
      <c r="TNZ75" s="684"/>
      <c r="TOA75" s="684"/>
      <c r="TOB75" s="684"/>
      <c r="TOC75" s="684"/>
      <c r="TOD75" s="684"/>
      <c r="TOE75" s="684"/>
      <c r="TOF75" s="684"/>
      <c r="TOG75" s="684"/>
      <c r="TOH75" s="684"/>
      <c r="TOI75" s="684"/>
      <c r="TOJ75" s="684"/>
      <c r="TOK75" s="684"/>
      <c r="TOL75" s="684"/>
      <c r="TOM75" s="684"/>
      <c r="TON75" s="684"/>
      <c r="TOO75" s="684"/>
      <c r="TOP75" s="684"/>
      <c r="TOQ75" s="684"/>
      <c r="TOR75" s="684"/>
      <c r="TOS75" s="684"/>
      <c r="TOT75" s="684"/>
      <c r="TOU75" s="684"/>
      <c r="TOV75" s="684"/>
      <c r="TOW75" s="684"/>
      <c r="TOX75" s="684"/>
      <c r="TOY75" s="684"/>
      <c r="TOZ75" s="684"/>
      <c r="TPA75" s="684"/>
      <c r="TPB75" s="684"/>
      <c r="TPC75" s="684"/>
      <c r="TPD75" s="684"/>
      <c r="TPE75" s="684"/>
      <c r="TPF75" s="684"/>
      <c r="TPG75" s="684"/>
      <c r="TPH75" s="684"/>
      <c r="TPI75" s="684"/>
      <c r="TPJ75" s="684"/>
      <c r="TPK75" s="684"/>
      <c r="TPL75" s="684"/>
      <c r="TPM75" s="684"/>
      <c r="TPN75" s="684"/>
      <c r="TPO75" s="684"/>
      <c r="TPP75" s="684"/>
      <c r="TPQ75" s="684"/>
      <c r="TPR75" s="684"/>
      <c r="TPS75" s="684"/>
      <c r="TPT75" s="684"/>
      <c r="TPU75" s="684"/>
      <c r="TPV75" s="684"/>
      <c r="TPW75" s="684"/>
      <c r="TPX75" s="684"/>
      <c r="TPY75" s="684"/>
      <c r="TPZ75" s="684"/>
      <c r="TQA75" s="684"/>
      <c r="TQB75" s="684"/>
      <c r="TQC75" s="684"/>
      <c r="TQD75" s="684"/>
      <c r="TQE75" s="684"/>
      <c r="TQF75" s="684"/>
      <c r="TQG75" s="684"/>
      <c r="TQH75" s="684"/>
      <c r="TQI75" s="684"/>
      <c r="TQJ75" s="684"/>
      <c r="TQK75" s="684"/>
      <c r="TQL75" s="684"/>
      <c r="TQM75" s="684"/>
      <c r="TQN75" s="684"/>
      <c r="TQO75" s="684"/>
      <c r="TQP75" s="684"/>
      <c r="TQQ75" s="684"/>
      <c r="TQR75" s="684"/>
      <c r="TQS75" s="684"/>
      <c r="TQT75" s="684"/>
      <c r="TQU75" s="684"/>
      <c r="TQV75" s="684"/>
      <c r="TQW75" s="684"/>
      <c r="TQX75" s="684"/>
      <c r="TQY75" s="684"/>
      <c r="TQZ75" s="684"/>
      <c r="TRA75" s="684"/>
      <c r="TRB75" s="684"/>
      <c r="TRC75" s="684"/>
      <c r="TRD75" s="684"/>
      <c r="TRE75" s="684"/>
      <c r="TRF75" s="684"/>
      <c r="TRG75" s="684"/>
      <c r="TRH75" s="684"/>
      <c r="TRI75" s="684"/>
      <c r="TRJ75" s="684"/>
      <c r="TRK75" s="684"/>
      <c r="TRL75" s="684"/>
      <c r="TRM75" s="684"/>
      <c r="TRN75" s="684"/>
      <c r="TRO75" s="684"/>
      <c r="TRP75" s="684"/>
      <c r="TRQ75" s="684"/>
      <c r="TRR75" s="684"/>
      <c r="TRS75" s="684"/>
      <c r="TRT75" s="684"/>
      <c r="TRU75" s="684"/>
      <c r="TRV75" s="684"/>
      <c r="TRW75" s="684"/>
      <c r="TRX75" s="684"/>
      <c r="TRY75" s="684"/>
      <c r="TRZ75" s="684"/>
      <c r="TSA75" s="684"/>
      <c r="TSB75" s="684"/>
      <c r="TSC75" s="684"/>
      <c r="TSD75" s="684"/>
      <c r="TSE75" s="684"/>
      <c r="TSF75" s="684"/>
      <c r="TSG75" s="684"/>
      <c r="TSH75" s="684"/>
      <c r="TSI75" s="684"/>
      <c r="TSJ75" s="684"/>
      <c r="TSK75" s="684"/>
      <c r="TSL75" s="684"/>
      <c r="TSM75" s="684"/>
      <c r="TSN75" s="684"/>
      <c r="TSO75" s="684"/>
      <c r="TSP75" s="684"/>
      <c r="TSQ75" s="684"/>
      <c r="TSR75" s="684"/>
      <c r="TSS75" s="684"/>
      <c r="TST75" s="684"/>
      <c r="TSU75" s="684"/>
      <c r="TSV75" s="684"/>
      <c r="TSW75" s="684"/>
      <c r="TSX75" s="684"/>
      <c r="TSY75" s="684"/>
      <c r="TSZ75" s="684"/>
      <c r="TTA75" s="684"/>
      <c r="TTB75" s="684"/>
      <c r="TTC75" s="684"/>
      <c r="TTD75" s="684"/>
      <c r="TTE75" s="684"/>
      <c r="TTF75" s="684"/>
      <c r="TTG75" s="684"/>
      <c r="TTH75" s="684"/>
      <c r="TTI75" s="684"/>
      <c r="TTJ75" s="684"/>
      <c r="TTK75" s="684"/>
      <c r="TTL75" s="684"/>
      <c r="TTM75" s="684"/>
      <c r="TTN75" s="684"/>
      <c r="TTO75" s="684"/>
      <c r="TTP75" s="684"/>
      <c r="TTQ75" s="684"/>
      <c r="TTR75" s="684"/>
      <c r="TTS75" s="684"/>
      <c r="TTT75" s="684"/>
      <c r="TTU75" s="684"/>
      <c r="TTV75" s="684"/>
      <c r="TTW75" s="684"/>
      <c r="TTX75" s="684"/>
      <c r="TTY75" s="684"/>
      <c r="TTZ75" s="684"/>
      <c r="TUA75" s="684"/>
      <c r="TUB75" s="684"/>
      <c r="TUC75" s="684"/>
      <c r="TUD75" s="684"/>
      <c r="TUE75" s="684"/>
      <c r="TUF75" s="684"/>
      <c r="TUG75" s="684"/>
      <c r="TUH75" s="684"/>
      <c r="TUI75" s="684"/>
      <c r="TUJ75" s="684"/>
      <c r="TUK75" s="684"/>
      <c r="TUL75" s="684"/>
      <c r="TUM75" s="684"/>
      <c r="TUN75" s="684"/>
      <c r="TUO75" s="684"/>
      <c r="TUP75" s="684"/>
      <c r="TUQ75" s="684"/>
      <c r="TUR75" s="684"/>
      <c r="TUS75" s="684"/>
      <c r="TUT75" s="684"/>
      <c r="TUU75" s="684"/>
      <c r="TUV75" s="684"/>
      <c r="TUW75" s="684"/>
      <c r="TUX75" s="684"/>
      <c r="TUY75" s="684"/>
      <c r="TUZ75" s="684"/>
      <c r="TVA75" s="684"/>
      <c r="TVB75" s="684"/>
      <c r="TVC75" s="684"/>
      <c r="TVD75" s="684"/>
      <c r="TVE75" s="684"/>
      <c r="TVF75" s="684"/>
      <c r="TVG75" s="684"/>
      <c r="TVH75" s="684"/>
      <c r="TVI75" s="684"/>
      <c r="TVJ75" s="684"/>
      <c r="TVK75" s="684"/>
      <c r="TVL75" s="684"/>
      <c r="TVM75" s="684"/>
      <c r="TVN75" s="684"/>
      <c r="TVO75" s="684"/>
      <c r="TVP75" s="684"/>
      <c r="TVQ75" s="684"/>
      <c r="TVR75" s="684"/>
      <c r="TVS75" s="684"/>
      <c r="TVT75" s="684"/>
      <c r="TVU75" s="684"/>
      <c r="TVV75" s="684"/>
      <c r="TVW75" s="684"/>
      <c r="TVX75" s="684"/>
      <c r="TVY75" s="684"/>
      <c r="TVZ75" s="684"/>
      <c r="TWA75" s="684"/>
      <c r="TWB75" s="684"/>
      <c r="TWC75" s="684"/>
      <c r="TWD75" s="684"/>
      <c r="TWE75" s="684"/>
      <c r="TWF75" s="684"/>
      <c r="TWG75" s="684"/>
      <c r="TWH75" s="684"/>
      <c r="TWI75" s="684"/>
      <c r="TWJ75" s="684"/>
      <c r="TWK75" s="684"/>
      <c r="TWL75" s="684"/>
      <c r="TWM75" s="684"/>
      <c r="TWN75" s="684"/>
      <c r="TWO75" s="684"/>
      <c r="TWP75" s="684"/>
      <c r="TWQ75" s="684"/>
      <c r="TWR75" s="684"/>
      <c r="TWS75" s="684"/>
      <c r="TWT75" s="684"/>
      <c r="TWU75" s="684"/>
      <c r="TWV75" s="684"/>
      <c r="TWW75" s="684"/>
      <c r="TWX75" s="684"/>
      <c r="TWY75" s="684"/>
      <c r="TWZ75" s="684"/>
      <c r="TXA75" s="684"/>
      <c r="TXB75" s="684"/>
      <c r="TXC75" s="684"/>
      <c r="TXD75" s="684"/>
      <c r="TXE75" s="684"/>
      <c r="TXF75" s="684"/>
      <c r="TXG75" s="684"/>
      <c r="TXH75" s="684"/>
      <c r="TXI75" s="684"/>
      <c r="TXJ75" s="684"/>
      <c r="TXK75" s="684"/>
      <c r="TXL75" s="684"/>
      <c r="TXM75" s="684"/>
      <c r="TXN75" s="684"/>
      <c r="TXO75" s="684"/>
      <c r="TXP75" s="684"/>
      <c r="TXQ75" s="684"/>
      <c r="TXR75" s="684"/>
      <c r="TXS75" s="684"/>
      <c r="TXT75" s="684"/>
      <c r="TXU75" s="684"/>
      <c r="TXV75" s="684"/>
      <c r="TXW75" s="684"/>
      <c r="TXX75" s="684"/>
      <c r="TXY75" s="684"/>
      <c r="TXZ75" s="684"/>
      <c r="TYA75" s="684"/>
      <c r="TYB75" s="684"/>
      <c r="TYC75" s="684"/>
      <c r="TYD75" s="684"/>
      <c r="TYE75" s="684"/>
      <c r="TYF75" s="684"/>
      <c r="TYG75" s="684"/>
      <c r="TYH75" s="684"/>
      <c r="TYI75" s="684"/>
      <c r="TYJ75" s="684"/>
      <c r="TYK75" s="684"/>
      <c r="TYL75" s="684"/>
      <c r="TYM75" s="684"/>
      <c r="TYN75" s="684"/>
      <c r="TYO75" s="684"/>
      <c r="TYP75" s="684"/>
      <c r="TYQ75" s="684"/>
      <c r="TYR75" s="684"/>
      <c r="TYS75" s="684"/>
      <c r="TYT75" s="684"/>
      <c r="TYU75" s="684"/>
      <c r="TYV75" s="684"/>
      <c r="TYW75" s="684"/>
      <c r="TYX75" s="684"/>
      <c r="TYY75" s="684"/>
      <c r="TYZ75" s="684"/>
      <c r="TZA75" s="684"/>
      <c r="TZB75" s="684"/>
      <c r="TZC75" s="684"/>
      <c r="TZD75" s="684"/>
      <c r="TZE75" s="684"/>
      <c r="TZF75" s="684"/>
      <c r="TZG75" s="684"/>
      <c r="TZH75" s="684"/>
      <c r="TZI75" s="684"/>
      <c r="TZJ75" s="684"/>
      <c r="TZK75" s="684"/>
      <c r="TZL75" s="684"/>
      <c r="TZM75" s="684"/>
      <c r="TZN75" s="684"/>
      <c r="TZO75" s="684"/>
      <c r="TZP75" s="684"/>
      <c r="TZQ75" s="684"/>
      <c r="TZR75" s="684"/>
      <c r="TZS75" s="684"/>
      <c r="TZT75" s="684"/>
      <c r="TZU75" s="684"/>
      <c r="TZV75" s="684"/>
      <c r="TZW75" s="684"/>
      <c r="TZX75" s="684"/>
      <c r="TZY75" s="684"/>
      <c r="TZZ75" s="684"/>
      <c r="UAA75" s="684"/>
      <c r="UAB75" s="684"/>
      <c r="UAC75" s="684"/>
      <c r="UAD75" s="684"/>
      <c r="UAE75" s="684"/>
      <c r="UAF75" s="684"/>
      <c r="UAG75" s="684"/>
      <c r="UAH75" s="684"/>
      <c r="UAI75" s="684"/>
      <c r="UAJ75" s="684"/>
      <c r="UAK75" s="684"/>
      <c r="UAL75" s="684"/>
      <c r="UAM75" s="684"/>
      <c r="UAN75" s="684"/>
      <c r="UAO75" s="684"/>
      <c r="UAP75" s="684"/>
      <c r="UAQ75" s="684"/>
      <c r="UAR75" s="684"/>
      <c r="UAS75" s="684"/>
      <c r="UAT75" s="684"/>
      <c r="UAU75" s="684"/>
      <c r="UAV75" s="684"/>
      <c r="UAW75" s="684"/>
      <c r="UAX75" s="684"/>
      <c r="UAY75" s="684"/>
      <c r="UAZ75" s="684"/>
      <c r="UBA75" s="684"/>
      <c r="UBB75" s="684"/>
      <c r="UBC75" s="684"/>
      <c r="UBD75" s="684"/>
      <c r="UBE75" s="684"/>
      <c r="UBF75" s="684"/>
      <c r="UBG75" s="684"/>
      <c r="UBH75" s="684"/>
      <c r="UBI75" s="684"/>
      <c r="UBJ75" s="684"/>
      <c r="UBK75" s="684"/>
      <c r="UBL75" s="684"/>
      <c r="UBM75" s="684"/>
      <c r="UBN75" s="684"/>
      <c r="UBO75" s="684"/>
      <c r="UBP75" s="684"/>
      <c r="UBQ75" s="684"/>
      <c r="UBR75" s="684"/>
      <c r="UBS75" s="684"/>
      <c r="UBT75" s="684"/>
      <c r="UBU75" s="684"/>
      <c r="UBV75" s="684"/>
      <c r="UBW75" s="684"/>
      <c r="UBX75" s="684"/>
      <c r="UBY75" s="684"/>
      <c r="UBZ75" s="684"/>
      <c r="UCA75" s="684"/>
      <c r="UCB75" s="684"/>
      <c r="UCC75" s="684"/>
      <c r="UCD75" s="684"/>
      <c r="UCE75" s="684"/>
      <c r="UCF75" s="684"/>
      <c r="UCG75" s="684"/>
      <c r="UCH75" s="684"/>
      <c r="UCI75" s="684"/>
      <c r="UCJ75" s="684"/>
      <c r="UCK75" s="684"/>
      <c r="UCL75" s="684"/>
      <c r="UCM75" s="684"/>
      <c r="UCN75" s="684"/>
      <c r="UCO75" s="684"/>
      <c r="UCP75" s="684"/>
      <c r="UCQ75" s="684"/>
      <c r="UCR75" s="684"/>
      <c r="UCS75" s="684"/>
      <c r="UCT75" s="684"/>
      <c r="UCU75" s="684"/>
      <c r="UCV75" s="684"/>
      <c r="UCW75" s="684"/>
      <c r="UCX75" s="684"/>
      <c r="UCY75" s="684"/>
      <c r="UCZ75" s="684"/>
      <c r="UDA75" s="684"/>
      <c r="UDB75" s="684"/>
      <c r="UDC75" s="684"/>
      <c r="UDD75" s="684"/>
      <c r="UDE75" s="684"/>
      <c r="UDF75" s="684"/>
      <c r="UDG75" s="684"/>
      <c r="UDH75" s="684"/>
      <c r="UDI75" s="684"/>
      <c r="UDJ75" s="684"/>
      <c r="UDK75" s="684"/>
      <c r="UDL75" s="684"/>
      <c r="UDM75" s="684"/>
      <c r="UDN75" s="684"/>
      <c r="UDO75" s="684"/>
      <c r="UDP75" s="684"/>
      <c r="UDQ75" s="684"/>
      <c r="UDR75" s="684"/>
      <c r="UDS75" s="684"/>
      <c r="UDT75" s="684"/>
      <c r="UDU75" s="684"/>
      <c r="UDV75" s="684"/>
      <c r="UDW75" s="684"/>
      <c r="UDX75" s="684"/>
      <c r="UDY75" s="684"/>
      <c r="UDZ75" s="684"/>
      <c r="UEA75" s="684"/>
      <c r="UEB75" s="684"/>
      <c r="UEC75" s="684"/>
      <c r="UED75" s="684"/>
      <c r="UEE75" s="684"/>
      <c r="UEF75" s="684"/>
      <c r="UEG75" s="684"/>
      <c r="UEH75" s="684"/>
      <c r="UEI75" s="684"/>
      <c r="UEJ75" s="684"/>
      <c r="UEK75" s="684"/>
      <c r="UEL75" s="684"/>
      <c r="UEM75" s="684"/>
      <c r="UEN75" s="684"/>
      <c r="UEO75" s="684"/>
      <c r="UEP75" s="684"/>
      <c r="UEQ75" s="684"/>
      <c r="UER75" s="684"/>
      <c r="UES75" s="684"/>
      <c r="UET75" s="684"/>
      <c r="UEU75" s="684"/>
      <c r="UEV75" s="684"/>
      <c r="UEW75" s="684"/>
      <c r="UEX75" s="684"/>
      <c r="UEY75" s="684"/>
      <c r="UEZ75" s="684"/>
      <c r="UFA75" s="684"/>
      <c r="UFB75" s="684"/>
      <c r="UFC75" s="684"/>
      <c r="UFD75" s="684"/>
      <c r="UFE75" s="684"/>
      <c r="UFF75" s="684"/>
      <c r="UFG75" s="684"/>
      <c r="UFH75" s="684"/>
      <c r="UFI75" s="684"/>
      <c r="UFJ75" s="684"/>
      <c r="UFK75" s="684"/>
      <c r="UFL75" s="684"/>
      <c r="UFM75" s="684"/>
      <c r="UFN75" s="684"/>
      <c r="UFO75" s="684"/>
      <c r="UFP75" s="684"/>
      <c r="UFQ75" s="684"/>
      <c r="UFR75" s="684"/>
      <c r="UFS75" s="684"/>
      <c r="UFT75" s="684"/>
      <c r="UFU75" s="684"/>
      <c r="UFV75" s="684"/>
      <c r="UFW75" s="684"/>
      <c r="UFX75" s="684"/>
      <c r="UFY75" s="684"/>
      <c r="UFZ75" s="684"/>
      <c r="UGA75" s="684"/>
      <c r="UGB75" s="684"/>
      <c r="UGC75" s="684"/>
      <c r="UGD75" s="684"/>
      <c r="UGE75" s="684"/>
      <c r="UGF75" s="684"/>
      <c r="UGG75" s="684"/>
      <c r="UGH75" s="684"/>
      <c r="UGI75" s="684"/>
      <c r="UGJ75" s="684"/>
      <c r="UGK75" s="684"/>
      <c r="UGL75" s="684"/>
      <c r="UGM75" s="684"/>
      <c r="UGN75" s="684"/>
      <c r="UGO75" s="684"/>
      <c r="UGP75" s="684"/>
      <c r="UGQ75" s="684"/>
      <c r="UGR75" s="684"/>
      <c r="UGS75" s="684"/>
      <c r="UGT75" s="684"/>
      <c r="UGU75" s="684"/>
      <c r="UGV75" s="684"/>
      <c r="UGW75" s="684"/>
      <c r="UGX75" s="684"/>
      <c r="UGY75" s="684"/>
      <c r="UGZ75" s="684"/>
      <c r="UHA75" s="684"/>
      <c r="UHB75" s="684"/>
      <c r="UHC75" s="684"/>
      <c r="UHD75" s="684"/>
      <c r="UHE75" s="684"/>
      <c r="UHF75" s="684"/>
      <c r="UHG75" s="684"/>
      <c r="UHH75" s="684"/>
      <c r="UHI75" s="684"/>
      <c r="UHJ75" s="684"/>
      <c r="UHK75" s="684"/>
      <c r="UHL75" s="684"/>
      <c r="UHM75" s="684"/>
      <c r="UHN75" s="684"/>
      <c r="UHO75" s="684"/>
      <c r="UHP75" s="684"/>
      <c r="UHQ75" s="684"/>
      <c r="UHR75" s="684"/>
      <c r="UHS75" s="684"/>
      <c r="UHT75" s="684"/>
      <c r="UHU75" s="684"/>
      <c r="UHV75" s="684"/>
      <c r="UHW75" s="684"/>
      <c r="UHX75" s="684"/>
      <c r="UHY75" s="684"/>
      <c r="UHZ75" s="684"/>
      <c r="UIA75" s="684"/>
      <c r="UIB75" s="684"/>
      <c r="UIC75" s="684"/>
      <c r="UID75" s="684"/>
      <c r="UIE75" s="684"/>
      <c r="UIF75" s="684"/>
      <c r="UIG75" s="684"/>
      <c r="UIH75" s="684"/>
      <c r="UII75" s="684"/>
      <c r="UIJ75" s="684"/>
      <c r="UIK75" s="684"/>
      <c r="UIL75" s="684"/>
      <c r="UIM75" s="684"/>
      <c r="UIN75" s="684"/>
      <c r="UIO75" s="684"/>
      <c r="UIP75" s="684"/>
      <c r="UIQ75" s="684"/>
      <c r="UIR75" s="684"/>
      <c r="UIS75" s="684"/>
      <c r="UIT75" s="684"/>
      <c r="UIU75" s="684"/>
      <c r="UIV75" s="684"/>
      <c r="UIW75" s="684"/>
      <c r="UIX75" s="684"/>
      <c r="UIY75" s="684"/>
      <c r="UIZ75" s="684"/>
      <c r="UJA75" s="684"/>
      <c r="UJB75" s="684"/>
      <c r="UJC75" s="684"/>
      <c r="UJD75" s="684"/>
      <c r="UJE75" s="684"/>
      <c r="UJF75" s="684"/>
      <c r="UJG75" s="684"/>
      <c r="UJH75" s="684"/>
      <c r="UJI75" s="684"/>
      <c r="UJJ75" s="684"/>
      <c r="UJK75" s="684"/>
      <c r="UJL75" s="684"/>
      <c r="UJM75" s="684"/>
      <c r="UJN75" s="684"/>
      <c r="UJO75" s="684"/>
      <c r="UJP75" s="684"/>
      <c r="UJQ75" s="684"/>
      <c r="UJR75" s="684"/>
      <c r="UJS75" s="684"/>
      <c r="UJT75" s="684"/>
      <c r="UJU75" s="684"/>
      <c r="UJV75" s="684"/>
      <c r="UJW75" s="684"/>
      <c r="UJX75" s="684"/>
      <c r="UJY75" s="684"/>
      <c r="UJZ75" s="684"/>
      <c r="UKA75" s="684"/>
      <c r="UKB75" s="684"/>
      <c r="UKC75" s="684"/>
      <c r="UKD75" s="684"/>
      <c r="UKE75" s="684"/>
      <c r="UKF75" s="684"/>
      <c r="UKG75" s="684"/>
      <c r="UKH75" s="684"/>
      <c r="UKI75" s="684"/>
      <c r="UKJ75" s="684"/>
      <c r="UKK75" s="684"/>
      <c r="UKL75" s="684"/>
      <c r="UKM75" s="684"/>
      <c r="UKN75" s="684"/>
      <c r="UKO75" s="684"/>
      <c r="UKP75" s="684"/>
      <c r="UKQ75" s="684"/>
      <c r="UKR75" s="684"/>
      <c r="UKS75" s="684"/>
      <c r="UKT75" s="684"/>
      <c r="UKU75" s="684"/>
      <c r="UKV75" s="684"/>
      <c r="UKW75" s="684"/>
      <c r="UKX75" s="684"/>
      <c r="UKY75" s="684"/>
      <c r="UKZ75" s="684"/>
      <c r="ULA75" s="684"/>
      <c r="ULB75" s="684"/>
      <c r="ULC75" s="684"/>
      <c r="ULD75" s="684"/>
      <c r="ULE75" s="684"/>
      <c r="ULF75" s="684"/>
      <c r="ULG75" s="684"/>
      <c r="ULH75" s="684"/>
      <c r="ULI75" s="684"/>
      <c r="ULJ75" s="684"/>
      <c r="ULK75" s="684"/>
      <c r="ULL75" s="684"/>
      <c r="ULM75" s="684"/>
      <c r="ULN75" s="684"/>
      <c r="ULO75" s="684"/>
      <c r="ULP75" s="684"/>
      <c r="ULQ75" s="684"/>
      <c r="ULR75" s="684"/>
      <c r="ULS75" s="684"/>
      <c r="ULT75" s="684"/>
      <c r="ULU75" s="684"/>
      <c r="ULV75" s="684"/>
      <c r="ULW75" s="684"/>
      <c r="ULX75" s="684"/>
      <c r="ULY75" s="684"/>
      <c r="ULZ75" s="684"/>
      <c r="UMA75" s="684"/>
      <c r="UMB75" s="684"/>
      <c r="UMC75" s="684"/>
      <c r="UMD75" s="684"/>
      <c r="UME75" s="684"/>
      <c r="UMF75" s="684"/>
      <c r="UMG75" s="684"/>
      <c r="UMH75" s="684"/>
      <c r="UMI75" s="684"/>
      <c r="UMJ75" s="684"/>
      <c r="UMK75" s="684"/>
      <c r="UML75" s="684"/>
      <c r="UMM75" s="684"/>
      <c r="UMN75" s="684"/>
      <c r="UMO75" s="684"/>
      <c r="UMP75" s="684"/>
      <c r="UMQ75" s="684"/>
      <c r="UMR75" s="684"/>
      <c r="UMS75" s="684"/>
      <c r="UMT75" s="684"/>
      <c r="UMU75" s="684"/>
      <c r="UMV75" s="684"/>
      <c r="UMW75" s="684"/>
      <c r="UMX75" s="684"/>
      <c r="UMY75" s="684"/>
      <c r="UMZ75" s="684"/>
      <c r="UNA75" s="684"/>
      <c r="UNB75" s="684"/>
      <c r="UNC75" s="684"/>
      <c r="UND75" s="684"/>
      <c r="UNE75" s="684"/>
      <c r="UNF75" s="684"/>
      <c r="UNG75" s="684"/>
      <c r="UNH75" s="684"/>
      <c r="UNI75" s="684"/>
      <c r="UNJ75" s="684"/>
      <c r="UNK75" s="684"/>
      <c r="UNL75" s="684"/>
      <c r="UNM75" s="684"/>
      <c r="UNN75" s="684"/>
      <c r="UNO75" s="684"/>
      <c r="UNP75" s="684"/>
      <c r="UNQ75" s="684"/>
      <c r="UNR75" s="684"/>
      <c r="UNS75" s="684"/>
      <c r="UNT75" s="684"/>
      <c r="UNU75" s="684"/>
      <c r="UNV75" s="684"/>
      <c r="UNW75" s="684"/>
      <c r="UNX75" s="684"/>
      <c r="UNY75" s="684"/>
      <c r="UNZ75" s="684"/>
      <c r="UOA75" s="684"/>
      <c r="UOB75" s="684"/>
      <c r="UOC75" s="684"/>
      <c r="UOD75" s="684"/>
      <c r="UOE75" s="684"/>
      <c r="UOF75" s="684"/>
      <c r="UOG75" s="684"/>
      <c r="UOH75" s="684"/>
      <c r="UOI75" s="684"/>
      <c r="UOJ75" s="684"/>
      <c r="UOK75" s="684"/>
      <c r="UOL75" s="684"/>
      <c r="UOM75" s="684"/>
      <c r="UON75" s="684"/>
      <c r="UOO75" s="684"/>
      <c r="UOP75" s="684"/>
      <c r="UOQ75" s="684"/>
      <c r="UOR75" s="684"/>
      <c r="UOS75" s="684"/>
      <c r="UOT75" s="684"/>
      <c r="UOU75" s="684"/>
      <c r="UOV75" s="684"/>
      <c r="UOW75" s="684"/>
      <c r="UOX75" s="684"/>
      <c r="UOY75" s="684"/>
      <c r="UOZ75" s="684"/>
      <c r="UPA75" s="684"/>
      <c r="UPB75" s="684"/>
      <c r="UPC75" s="684"/>
      <c r="UPD75" s="684"/>
      <c r="UPE75" s="684"/>
      <c r="UPF75" s="684"/>
      <c r="UPG75" s="684"/>
      <c r="UPH75" s="684"/>
      <c r="UPI75" s="684"/>
      <c r="UPJ75" s="684"/>
      <c r="UPK75" s="684"/>
      <c r="UPL75" s="684"/>
      <c r="UPM75" s="684"/>
      <c r="UPN75" s="684"/>
      <c r="UPO75" s="684"/>
      <c r="UPP75" s="684"/>
      <c r="UPQ75" s="684"/>
      <c r="UPR75" s="684"/>
      <c r="UPS75" s="684"/>
      <c r="UPT75" s="684"/>
      <c r="UPU75" s="684"/>
      <c r="UPV75" s="684"/>
      <c r="UPW75" s="684"/>
      <c r="UPX75" s="684"/>
      <c r="UPY75" s="684"/>
      <c r="UPZ75" s="684"/>
      <c r="UQA75" s="684"/>
      <c r="UQB75" s="684"/>
      <c r="UQC75" s="684"/>
      <c r="UQD75" s="684"/>
      <c r="UQE75" s="684"/>
      <c r="UQF75" s="684"/>
      <c r="UQG75" s="684"/>
      <c r="UQH75" s="684"/>
      <c r="UQI75" s="684"/>
      <c r="UQJ75" s="684"/>
      <c r="UQK75" s="684"/>
      <c r="UQL75" s="684"/>
      <c r="UQM75" s="684"/>
      <c r="UQN75" s="684"/>
      <c r="UQO75" s="684"/>
      <c r="UQP75" s="684"/>
      <c r="UQQ75" s="684"/>
      <c r="UQR75" s="684"/>
      <c r="UQS75" s="684"/>
      <c r="UQT75" s="684"/>
      <c r="UQU75" s="684"/>
      <c r="UQV75" s="684"/>
      <c r="UQW75" s="684"/>
      <c r="UQX75" s="684"/>
      <c r="UQY75" s="684"/>
      <c r="UQZ75" s="684"/>
      <c r="URA75" s="684"/>
      <c r="URB75" s="684"/>
      <c r="URC75" s="684"/>
      <c r="URD75" s="684"/>
      <c r="URE75" s="684"/>
      <c r="URF75" s="684"/>
      <c r="URG75" s="684"/>
      <c r="URH75" s="684"/>
      <c r="URI75" s="684"/>
      <c r="URJ75" s="684"/>
      <c r="URK75" s="684"/>
      <c r="URL75" s="684"/>
      <c r="URM75" s="684"/>
      <c r="URN75" s="684"/>
      <c r="URO75" s="684"/>
      <c r="URP75" s="684"/>
      <c r="URQ75" s="684"/>
      <c r="URR75" s="684"/>
      <c r="URS75" s="684"/>
      <c r="URT75" s="684"/>
      <c r="URU75" s="684"/>
      <c r="URV75" s="684"/>
      <c r="URW75" s="684"/>
      <c r="URX75" s="684"/>
      <c r="URY75" s="684"/>
      <c r="URZ75" s="684"/>
      <c r="USA75" s="684"/>
      <c r="USB75" s="684"/>
      <c r="USC75" s="684"/>
      <c r="USD75" s="684"/>
      <c r="USE75" s="684"/>
      <c r="USF75" s="684"/>
      <c r="USG75" s="684"/>
      <c r="USH75" s="684"/>
      <c r="USI75" s="684"/>
      <c r="USJ75" s="684"/>
      <c r="USK75" s="684"/>
      <c r="USL75" s="684"/>
      <c r="USM75" s="684"/>
      <c r="USN75" s="684"/>
      <c r="USO75" s="684"/>
      <c r="USP75" s="684"/>
      <c r="USQ75" s="684"/>
      <c r="USR75" s="684"/>
      <c r="USS75" s="684"/>
      <c r="UST75" s="684"/>
      <c r="USU75" s="684"/>
      <c r="USV75" s="684"/>
      <c r="USW75" s="684"/>
      <c r="USX75" s="684"/>
      <c r="USY75" s="684"/>
      <c r="USZ75" s="684"/>
      <c r="UTA75" s="684"/>
      <c r="UTB75" s="684"/>
      <c r="UTC75" s="684"/>
      <c r="UTD75" s="684"/>
      <c r="UTE75" s="684"/>
      <c r="UTF75" s="684"/>
      <c r="UTG75" s="684"/>
      <c r="UTH75" s="684"/>
      <c r="UTI75" s="684"/>
      <c r="UTJ75" s="684"/>
      <c r="UTK75" s="684"/>
      <c r="UTL75" s="684"/>
      <c r="UTM75" s="684"/>
      <c r="UTN75" s="684"/>
      <c r="UTO75" s="684"/>
      <c r="UTP75" s="684"/>
      <c r="UTQ75" s="684"/>
      <c r="UTR75" s="684"/>
      <c r="UTS75" s="684"/>
      <c r="UTT75" s="684"/>
      <c r="UTU75" s="684"/>
      <c r="UTV75" s="684"/>
      <c r="UTW75" s="684"/>
      <c r="UTX75" s="684"/>
      <c r="UTY75" s="684"/>
      <c r="UTZ75" s="684"/>
      <c r="UUA75" s="684"/>
      <c r="UUB75" s="684"/>
      <c r="UUC75" s="684"/>
      <c r="UUD75" s="684"/>
      <c r="UUE75" s="684"/>
      <c r="UUF75" s="684"/>
      <c r="UUG75" s="684"/>
      <c r="UUH75" s="684"/>
      <c r="UUI75" s="684"/>
      <c r="UUJ75" s="684"/>
      <c r="UUK75" s="684"/>
      <c r="UUL75" s="684"/>
      <c r="UUM75" s="684"/>
      <c r="UUN75" s="684"/>
      <c r="UUO75" s="684"/>
      <c r="UUP75" s="684"/>
      <c r="UUQ75" s="684"/>
      <c r="UUR75" s="684"/>
      <c r="UUS75" s="684"/>
      <c r="UUT75" s="684"/>
      <c r="UUU75" s="684"/>
      <c r="UUV75" s="684"/>
      <c r="UUW75" s="684"/>
      <c r="UUX75" s="684"/>
      <c r="UUY75" s="684"/>
      <c r="UUZ75" s="684"/>
      <c r="UVA75" s="684"/>
      <c r="UVB75" s="684"/>
      <c r="UVC75" s="684"/>
      <c r="UVD75" s="684"/>
      <c r="UVE75" s="684"/>
      <c r="UVF75" s="684"/>
      <c r="UVG75" s="684"/>
      <c r="UVH75" s="684"/>
      <c r="UVI75" s="684"/>
      <c r="UVJ75" s="684"/>
      <c r="UVK75" s="684"/>
      <c r="UVL75" s="684"/>
      <c r="UVM75" s="684"/>
      <c r="UVN75" s="684"/>
      <c r="UVO75" s="684"/>
      <c r="UVP75" s="684"/>
      <c r="UVQ75" s="684"/>
      <c r="UVR75" s="684"/>
      <c r="UVS75" s="684"/>
      <c r="UVT75" s="684"/>
      <c r="UVU75" s="684"/>
      <c r="UVV75" s="684"/>
      <c r="UVW75" s="684"/>
      <c r="UVX75" s="684"/>
      <c r="UVY75" s="684"/>
      <c r="UVZ75" s="684"/>
      <c r="UWA75" s="684"/>
      <c r="UWB75" s="684"/>
      <c r="UWC75" s="684"/>
      <c r="UWD75" s="684"/>
      <c r="UWE75" s="684"/>
      <c r="UWF75" s="684"/>
      <c r="UWG75" s="684"/>
      <c r="UWH75" s="684"/>
      <c r="UWI75" s="684"/>
      <c r="UWJ75" s="684"/>
      <c r="UWK75" s="684"/>
      <c r="UWL75" s="684"/>
      <c r="UWM75" s="684"/>
      <c r="UWN75" s="684"/>
      <c r="UWO75" s="684"/>
      <c r="UWP75" s="684"/>
      <c r="UWQ75" s="684"/>
      <c r="UWR75" s="684"/>
      <c r="UWS75" s="684"/>
      <c r="UWT75" s="684"/>
      <c r="UWU75" s="684"/>
      <c r="UWV75" s="684"/>
      <c r="UWW75" s="684"/>
      <c r="UWX75" s="684"/>
      <c r="UWY75" s="684"/>
      <c r="UWZ75" s="684"/>
      <c r="UXA75" s="684"/>
      <c r="UXB75" s="684"/>
      <c r="UXC75" s="684"/>
      <c r="UXD75" s="684"/>
      <c r="UXE75" s="684"/>
      <c r="UXF75" s="684"/>
      <c r="UXG75" s="684"/>
      <c r="UXH75" s="684"/>
      <c r="UXI75" s="684"/>
      <c r="UXJ75" s="684"/>
      <c r="UXK75" s="684"/>
      <c r="UXL75" s="684"/>
      <c r="UXM75" s="684"/>
      <c r="UXN75" s="684"/>
      <c r="UXO75" s="684"/>
      <c r="UXP75" s="684"/>
      <c r="UXQ75" s="684"/>
      <c r="UXR75" s="684"/>
      <c r="UXS75" s="684"/>
      <c r="UXT75" s="684"/>
      <c r="UXU75" s="684"/>
      <c r="UXV75" s="684"/>
      <c r="UXW75" s="684"/>
      <c r="UXX75" s="684"/>
      <c r="UXY75" s="684"/>
      <c r="UXZ75" s="684"/>
      <c r="UYA75" s="684"/>
      <c r="UYB75" s="684"/>
      <c r="UYC75" s="684"/>
      <c r="UYD75" s="684"/>
      <c r="UYE75" s="684"/>
      <c r="UYF75" s="684"/>
      <c r="UYG75" s="684"/>
      <c r="UYH75" s="684"/>
      <c r="UYI75" s="684"/>
      <c r="UYJ75" s="684"/>
      <c r="UYK75" s="684"/>
      <c r="UYL75" s="684"/>
      <c r="UYM75" s="684"/>
      <c r="UYN75" s="684"/>
      <c r="UYO75" s="684"/>
      <c r="UYP75" s="684"/>
      <c r="UYQ75" s="684"/>
      <c r="UYR75" s="684"/>
      <c r="UYS75" s="684"/>
      <c r="UYT75" s="684"/>
      <c r="UYU75" s="684"/>
      <c r="UYV75" s="684"/>
      <c r="UYW75" s="684"/>
      <c r="UYX75" s="684"/>
      <c r="UYY75" s="684"/>
      <c r="UYZ75" s="684"/>
      <c r="UZA75" s="684"/>
      <c r="UZB75" s="684"/>
      <c r="UZC75" s="684"/>
      <c r="UZD75" s="684"/>
      <c r="UZE75" s="684"/>
      <c r="UZF75" s="684"/>
      <c r="UZG75" s="684"/>
      <c r="UZH75" s="684"/>
      <c r="UZI75" s="684"/>
      <c r="UZJ75" s="684"/>
      <c r="UZK75" s="684"/>
      <c r="UZL75" s="684"/>
      <c r="UZM75" s="684"/>
      <c r="UZN75" s="684"/>
      <c r="UZO75" s="684"/>
      <c r="UZP75" s="684"/>
      <c r="UZQ75" s="684"/>
      <c r="UZR75" s="684"/>
      <c r="UZS75" s="684"/>
      <c r="UZT75" s="684"/>
      <c r="UZU75" s="684"/>
      <c r="UZV75" s="684"/>
      <c r="UZW75" s="684"/>
      <c r="UZX75" s="684"/>
      <c r="UZY75" s="684"/>
      <c r="UZZ75" s="684"/>
      <c r="VAA75" s="684"/>
      <c r="VAB75" s="684"/>
      <c r="VAC75" s="684"/>
      <c r="VAD75" s="684"/>
      <c r="VAE75" s="684"/>
      <c r="VAF75" s="684"/>
      <c r="VAG75" s="684"/>
      <c r="VAH75" s="684"/>
      <c r="VAI75" s="684"/>
      <c r="VAJ75" s="684"/>
      <c r="VAK75" s="684"/>
      <c r="VAL75" s="684"/>
      <c r="VAM75" s="684"/>
      <c r="VAN75" s="684"/>
      <c r="VAO75" s="684"/>
      <c r="VAP75" s="684"/>
      <c r="VAQ75" s="684"/>
      <c r="VAR75" s="684"/>
      <c r="VAS75" s="684"/>
      <c r="VAT75" s="684"/>
      <c r="VAU75" s="684"/>
      <c r="VAV75" s="684"/>
      <c r="VAW75" s="684"/>
      <c r="VAX75" s="684"/>
      <c r="VAY75" s="684"/>
      <c r="VAZ75" s="684"/>
      <c r="VBA75" s="684"/>
      <c r="VBB75" s="684"/>
      <c r="VBC75" s="684"/>
      <c r="VBD75" s="684"/>
      <c r="VBE75" s="684"/>
      <c r="VBF75" s="684"/>
      <c r="VBG75" s="684"/>
      <c r="VBH75" s="684"/>
      <c r="VBI75" s="684"/>
      <c r="VBJ75" s="684"/>
      <c r="VBK75" s="684"/>
      <c r="VBL75" s="684"/>
      <c r="VBM75" s="684"/>
      <c r="VBN75" s="684"/>
      <c r="VBO75" s="684"/>
      <c r="VBP75" s="684"/>
      <c r="VBQ75" s="684"/>
      <c r="VBR75" s="684"/>
      <c r="VBS75" s="684"/>
      <c r="VBT75" s="684"/>
      <c r="VBU75" s="684"/>
      <c r="VBV75" s="684"/>
      <c r="VBW75" s="684"/>
      <c r="VBX75" s="684"/>
      <c r="VBY75" s="684"/>
      <c r="VBZ75" s="684"/>
      <c r="VCA75" s="684"/>
      <c r="VCB75" s="684"/>
      <c r="VCC75" s="684"/>
      <c r="VCD75" s="684"/>
      <c r="VCE75" s="684"/>
      <c r="VCF75" s="684"/>
      <c r="VCG75" s="684"/>
      <c r="VCH75" s="684"/>
      <c r="VCI75" s="684"/>
      <c r="VCJ75" s="684"/>
      <c r="VCK75" s="684"/>
      <c r="VCL75" s="684"/>
      <c r="VCM75" s="684"/>
      <c r="VCN75" s="684"/>
      <c r="VCO75" s="684"/>
      <c r="VCP75" s="684"/>
      <c r="VCQ75" s="684"/>
      <c r="VCR75" s="684"/>
      <c r="VCS75" s="684"/>
      <c r="VCT75" s="684"/>
      <c r="VCU75" s="684"/>
      <c r="VCV75" s="684"/>
      <c r="VCW75" s="684"/>
      <c r="VCX75" s="684"/>
      <c r="VCY75" s="684"/>
      <c r="VCZ75" s="684"/>
      <c r="VDA75" s="684"/>
      <c r="VDB75" s="684"/>
      <c r="VDC75" s="684"/>
      <c r="VDD75" s="684"/>
      <c r="VDE75" s="684"/>
      <c r="VDF75" s="684"/>
      <c r="VDG75" s="684"/>
      <c r="VDH75" s="684"/>
      <c r="VDI75" s="684"/>
      <c r="VDJ75" s="684"/>
      <c r="VDK75" s="684"/>
      <c r="VDL75" s="684"/>
      <c r="VDM75" s="684"/>
      <c r="VDN75" s="684"/>
      <c r="VDO75" s="684"/>
      <c r="VDP75" s="684"/>
      <c r="VDQ75" s="684"/>
      <c r="VDR75" s="684"/>
      <c r="VDS75" s="684"/>
      <c r="VDT75" s="684"/>
      <c r="VDU75" s="684"/>
      <c r="VDV75" s="684"/>
      <c r="VDW75" s="684"/>
      <c r="VDX75" s="684"/>
      <c r="VDY75" s="684"/>
      <c r="VDZ75" s="684"/>
      <c r="VEA75" s="684"/>
      <c r="VEB75" s="684"/>
      <c r="VEC75" s="684"/>
      <c r="VED75" s="684"/>
      <c r="VEE75" s="684"/>
      <c r="VEF75" s="684"/>
      <c r="VEG75" s="684"/>
      <c r="VEH75" s="684"/>
      <c r="VEI75" s="684"/>
      <c r="VEJ75" s="684"/>
      <c r="VEK75" s="684"/>
      <c r="VEL75" s="684"/>
      <c r="VEM75" s="684"/>
      <c r="VEN75" s="684"/>
      <c r="VEO75" s="684"/>
      <c r="VEP75" s="684"/>
      <c r="VEQ75" s="684"/>
      <c r="VER75" s="684"/>
      <c r="VES75" s="684"/>
      <c r="VET75" s="684"/>
      <c r="VEU75" s="684"/>
      <c r="VEV75" s="684"/>
      <c r="VEW75" s="684"/>
      <c r="VEX75" s="684"/>
      <c r="VEY75" s="684"/>
      <c r="VEZ75" s="684"/>
      <c r="VFA75" s="684"/>
      <c r="VFB75" s="684"/>
      <c r="VFC75" s="684"/>
      <c r="VFD75" s="684"/>
      <c r="VFE75" s="684"/>
      <c r="VFF75" s="684"/>
      <c r="VFG75" s="684"/>
      <c r="VFH75" s="684"/>
      <c r="VFI75" s="684"/>
      <c r="VFJ75" s="684"/>
      <c r="VFK75" s="684"/>
      <c r="VFL75" s="684"/>
      <c r="VFM75" s="684"/>
      <c r="VFN75" s="684"/>
      <c r="VFO75" s="684"/>
      <c r="VFP75" s="684"/>
      <c r="VFQ75" s="684"/>
      <c r="VFR75" s="684"/>
      <c r="VFS75" s="684"/>
      <c r="VFT75" s="684"/>
      <c r="VFU75" s="684"/>
      <c r="VFV75" s="684"/>
      <c r="VFW75" s="684"/>
      <c r="VFX75" s="684"/>
      <c r="VFY75" s="684"/>
      <c r="VFZ75" s="684"/>
      <c r="VGA75" s="684"/>
      <c r="VGB75" s="684"/>
      <c r="VGC75" s="684"/>
      <c r="VGD75" s="684"/>
      <c r="VGE75" s="684"/>
      <c r="VGF75" s="684"/>
      <c r="VGG75" s="684"/>
      <c r="VGH75" s="684"/>
      <c r="VGI75" s="684"/>
      <c r="VGJ75" s="684"/>
      <c r="VGK75" s="684"/>
      <c r="VGL75" s="684"/>
      <c r="VGM75" s="684"/>
      <c r="VGN75" s="684"/>
      <c r="VGO75" s="684"/>
      <c r="VGP75" s="684"/>
      <c r="VGQ75" s="684"/>
      <c r="VGR75" s="684"/>
      <c r="VGS75" s="684"/>
      <c r="VGT75" s="684"/>
      <c r="VGU75" s="684"/>
      <c r="VGV75" s="684"/>
      <c r="VGW75" s="684"/>
      <c r="VGX75" s="684"/>
      <c r="VGY75" s="684"/>
      <c r="VGZ75" s="684"/>
      <c r="VHA75" s="684"/>
      <c r="VHB75" s="684"/>
      <c r="VHC75" s="684"/>
      <c r="VHD75" s="684"/>
      <c r="VHE75" s="684"/>
      <c r="VHF75" s="684"/>
      <c r="VHG75" s="684"/>
      <c r="VHH75" s="684"/>
      <c r="VHI75" s="684"/>
      <c r="VHJ75" s="684"/>
      <c r="VHK75" s="684"/>
      <c r="VHL75" s="684"/>
      <c r="VHM75" s="684"/>
      <c r="VHN75" s="684"/>
      <c r="VHO75" s="684"/>
      <c r="VHP75" s="684"/>
      <c r="VHQ75" s="684"/>
      <c r="VHR75" s="684"/>
      <c r="VHS75" s="684"/>
      <c r="VHT75" s="684"/>
      <c r="VHU75" s="684"/>
      <c r="VHV75" s="684"/>
      <c r="VHW75" s="684"/>
      <c r="VHX75" s="684"/>
      <c r="VHY75" s="684"/>
      <c r="VHZ75" s="684"/>
      <c r="VIA75" s="684"/>
      <c r="VIB75" s="684"/>
      <c r="VIC75" s="684"/>
      <c r="VID75" s="684"/>
      <c r="VIE75" s="684"/>
      <c r="VIF75" s="684"/>
      <c r="VIG75" s="684"/>
      <c r="VIH75" s="684"/>
      <c r="VII75" s="684"/>
      <c r="VIJ75" s="684"/>
      <c r="VIK75" s="684"/>
      <c r="VIL75" s="684"/>
      <c r="VIM75" s="684"/>
      <c r="VIN75" s="684"/>
      <c r="VIO75" s="684"/>
      <c r="VIP75" s="684"/>
      <c r="VIQ75" s="684"/>
      <c r="VIR75" s="684"/>
      <c r="VIS75" s="684"/>
      <c r="VIT75" s="684"/>
      <c r="VIU75" s="684"/>
      <c r="VIV75" s="684"/>
      <c r="VIW75" s="684"/>
      <c r="VIX75" s="684"/>
      <c r="VIY75" s="684"/>
      <c r="VIZ75" s="684"/>
      <c r="VJA75" s="684"/>
      <c r="VJB75" s="684"/>
      <c r="VJC75" s="684"/>
      <c r="VJD75" s="684"/>
      <c r="VJE75" s="684"/>
      <c r="VJF75" s="684"/>
      <c r="VJG75" s="684"/>
      <c r="VJH75" s="684"/>
      <c r="VJI75" s="684"/>
      <c r="VJJ75" s="684"/>
      <c r="VJK75" s="684"/>
      <c r="VJL75" s="684"/>
      <c r="VJM75" s="684"/>
      <c r="VJN75" s="684"/>
      <c r="VJO75" s="684"/>
      <c r="VJP75" s="684"/>
      <c r="VJQ75" s="684"/>
      <c r="VJR75" s="684"/>
      <c r="VJS75" s="684"/>
      <c r="VJT75" s="684"/>
      <c r="VJU75" s="684"/>
      <c r="VJV75" s="684"/>
      <c r="VJW75" s="684"/>
      <c r="VJX75" s="684"/>
      <c r="VJY75" s="684"/>
      <c r="VJZ75" s="684"/>
      <c r="VKA75" s="684"/>
      <c r="VKB75" s="684"/>
      <c r="VKC75" s="684"/>
      <c r="VKD75" s="684"/>
      <c r="VKE75" s="684"/>
      <c r="VKF75" s="684"/>
      <c r="VKG75" s="684"/>
      <c r="VKH75" s="684"/>
      <c r="VKI75" s="684"/>
      <c r="VKJ75" s="684"/>
      <c r="VKK75" s="684"/>
      <c r="VKL75" s="684"/>
      <c r="VKM75" s="684"/>
      <c r="VKN75" s="684"/>
      <c r="VKO75" s="684"/>
      <c r="VKP75" s="684"/>
      <c r="VKQ75" s="684"/>
      <c r="VKR75" s="684"/>
      <c r="VKS75" s="684"/>
      <c r="VKT75" s="684"/>
      <c r="VKU75" s="684"/>
      <c r="VKV75" s="684"/>
      <c r="VKW75" s="684"/>
      <c r="VKX75" s="684"/>
      <c r="VKY75" s="684"/>
      <c r="VKZ75" s="684"/>
      <c r="VLA75" s="684"/>
      <c r="VLB75" s="684"/>
      <c r="VLC75" s="684"/>
      <c r="VLD75" s="684"/>
      <c r="VLE75" s="684"/>
      <c r="VLF75" s="684"/>
      <c r="VLG75" s="684"/>
      <c r="VLH75" s="684"/>
      <c r="VLI75" s="684"/>
      <c r="VLJ75" s="684"/>
      <c r="VLK75" s="684"/>
      <c r="VLL75" s="684"/>
      <c r="VLM75" s="684"/>
      <c r="VLN75" s="684"/>
      <c r="VLO75" s="684"/>
      <c r="VLP75" s="684"/>
      <c r="VLQ75" s="684"/>
      <c r="VLR75" s="684"/>
      <c r="VLS75" s="684"/>
      <c r="VLT75" s="684"/>
      <c r="VLU75" s="684"/>
      <c r="VLV75" s="684"/>
      <c r="VLW75" s="684"/>
      <c r="VLX75" s="684"/>
      <c r="VLY75" s="684"/>
      <c r="VLZ75" s="684"/>
      <c r="VMA75" s="684"/>
      <c r="VMB75" s="684"/>
      <c r="VMC75" s="684"/>
      <c r="VMD75" s="684"/>
      <c r="VME75" s="684"/>
      <c r="VMF75" s="684"/>
      <c r="VMG75" s="684"/>
      <c r="VMH75" s="684"/>
      <c r="VMI75" s="684"/>
      <c r="VMJ75" s="684"/>
      <c r="VMK75" s="684"/>
      <c r="VML75" s="684"/>
      <c r="VMM75" s="684"/>
      <c r="VMN75" s="684"/>
      <c r="VMO75" s="684"/>
      <c r="VMP75" s="684"/>
      <c r="VMQ75" s="684"/>
      <c r="VMR75" s="684"/>
      <c r="VMS75" s="684"/>
      <c r="VMT75" s="684"/>
      <c r="VMU75" s="684"/>
      <c r="VMV75" s="684"/>
      <c r="VMW75" s="684"/>
      <c r="VMX75" s="684"/>
      <c r="VMY75" s="684"/>
      <c r="VMZ75" s="684"/>
      <c r="VNA75" s="684"/>
      <c r="VNB75" s="684"/>
      <c r="VNC75" s="684"/>
      <c r="VND75" s="684"/>
      <c r="VNE75" s="684"/>
      <c r="VNF75" s="684"/>
      <c r="VNG75" s="684"/>
      <c r="VNH75" s="684"/>
      <c r="VNI75" s="684"/>
      <c r="VNJ75" s="684"/>
      <c r="VNK75" s="684"/>
      <c r="VNL75" s="684"/>
      <c r="VNM75" s="684"/>
      <c r="VNN75" s="684"/>
      <c r="VNO75" s="684"/>
      <c r="VNP75" s="684"/>
      <c r="VNQ75" s="684"/>
      <c r="VNR75" s="684"/>
      <c r="VNS75" s="684"/>
      <c r="VNT75" s="684"/>
      <c r="VNU75" s="684"/>
      <c r="VNV75" s="684"/>
      <c r="VNW75" s="684"/>
      <c r="VNX75" s="684"/>
      <c r="VNY75" s="684"/>
      <c r="VNZ75" s="684"/>
      <c r="VOA75" s="684"/>
      <c r="VOB75" s="684"/>
      <c r="VOC75" s="684"/>
      <c r="VOD75" s="684"/>
      <c r="VOE75" s="684"/>
      <c r="VOF75" s="684"/>
      <c r="VOG75" s="684"/>
      <c r="VOH75" s="684"/>
      <c r="VOI75" s="684"/>
      <c r="VOJ75" s="684"/>
      <c r="VOK75" s="684"/>
      <c r="VOL75" s="684"/>
      <c r="VOM75" s="684"/>
      <c r="VON75" s="684"/>
      <c r="VOO75" s="684"/>
      <c r="VOP75" s="684"/>
      <c r="VOQ75" s="684"/>
      <c r="VOR75" s="684"/>
      <c r="VOS75" s="684"/>
      <c r="VOT75" s="684"/>
      <c r="VOU75" s="684"/>
      <c r="VOV75" s="684"/>
      <c r="VOW75" s="684"/>
      <c r="VOX75" s="684"/>
      <c r="VOY75" s="684"/>
      <c r="VOZ75" s="684"/>
      <c r="VPA75" s="684"/>
      <c r="VPB75" s="684"/>
      <c r="VPC75" s="684"/>
      <c r="VPD75" s="684"/>
      <c r="VPE75" s="684"/>
      <c r="VPF75" s="684"/>
      <c r="VPG75" s="684"/>
      <c r="VPH75" s="684"/>
      <c r="VPI75" s="684"/>
      <c r="VPJ75" s="684"/>
      <c r="VPK75" s="684"/>
      <c r="VPL75" s="684"/>
      <c r="VPM75" s="684"/>
      <c r="VPN75" s="684"/>
      <c r="VPO75" s="684"/>
      <c r="VPP75" s="684"/>
      <c r="VPQ75" s="684"/>
      <c r="VPR75" s="684"/>
      <c r="VPS75" s="684"/>
      <c r="VPT75" s="684"/>
      <c r="VPU75" s="684"/>
      <c r="VPV75" s="684"/>
      <c r="VPW75" s="684"/>
      <c r="VPX75" s="684"/>
      <c r="VPY75" s="684"/>
      <c r="VPZ75" s="684"/>
      <c r="VQA75" s="684"/>
      <c r="VQB75" s="684"/>
      <c r="VQC75" s="684"/>
      <c r="VQD75" s="684"/>
      <c r="VQE75" s="684"/>
      <c r="VQF75" s="684"/>
      <c r="VQG75" s="684"/>
      <c r="VQH75" s="684"/>
      <c r="VQI75" s="684"/>
      <c r="VQJ75" s="684"/>
      <c r="VQK75" s="684"/>
      <c r="VQL75" s="684"/>
      <c r="VQM75" s="684"/>
      <c r="VQN75" s="684"/>
      <c r="VQO75" s="684"/>
      <c r="VQP75" s="684"/>
      <c r="VQQ75" s="684"/>
      <c r="VQR75" s="684"/>
      <c r="VQS75" s="684"/>
      <c r="VQT75" s="684"/>
      <c r="VQU75" s="684"/>
      <c r="VQV75" s="684"/>
      <c r="VQW75" s="684"/>
      <c r="VQX75" s="684"/>
      <c r="VQY75" s="684"/>
      <c r="VQZ75" s="684"/>
      <c r="VRA75" s="684"/>
      <c r="VRB75" s="684"/>
      <c r="VRC75" s="684"/>
      <c r="VRD75" s="684"/>
      <c r="VRE75" s="684"/>
      <c r="VRF75" s="684"/>
      <c r="VRG75" s="684"/>
      <c r="VRH75" s="684"/>
      <c r="VRI75" s="684"/>
      <c r="VRJ75" s="684"/>
      <c r="VRK75" s="684"/>
      <c r="VRL75" s="684"/>
      <c r="VRM75" s="684"/>
      <c r="VRN75" s="684"/>
      <c r="VRO75" s="684"/>
      <c r="VRP75" s="684"/>
      <c r="VRQ75" s="684"/>
      <c r="VRR75" s="684"/>
      <c r="VRS75" s="684"/>
      <c r="VRT75" s="684"/>
      <c r="VRU75" s="684"/>
      <c r="VRV75" s="684"/>
      <c r="VRW75" s="684"/>
      <c r="VRX75" s="684"/>
      <c r="VRY75" s="684"/>
      <c r="VRZ75" s="684"/>
      <c r="VSA75" s="684"/>
      <c r="VSB75" s="684"/>
      <c r="VSC75" s="684"/>
      <c r="VSD75" s="684"/>
      <c r="VSE75" s="684"/>
      <c r="VSF75" s="684"/>
      <c r="VSG75" s="684"/>
      <c r="VSH75" s="684"/>
      <c r="VSI75" s="684"/>
      <c r="VSJ75" s="684"/>
      <c r="VSK75" s="684"/>
      <c r="VSL75" s="684"/>
      <c r="VSM75" s="684"/>
      <c r="VSN75" s="684"/>
      <c r="VSO75" s="684"/>
      <c r="VSP75" s="684"/>
      <c r="VSQ75" s="684"/>
      <c r="VSR75" s="684"/>
      <c r="VSS75" s="684"/>
      <c r="VST75" s="684"/>
      <c r="VSU75" s="684"/>
      <c r="VSV75" s="684"/>
      <c r="VSW75" s="684"/>
      <c r="VSX75" s="684"/>
      <c r="VSY75" s="684"/>
      <c r="VSZ75" s="684"/>
      <c r="VTA75" s="684"/>
      <c r="VTB75" s="684"/>
      <c r="VTC75" s="684"/>
      <c r="VTD75" s="684"/>
      <c r="VTE75" s="684"/>
      <c r="VTF75" s="684"/>
      <c r="VTG75" s="684"/>
      <c r="VTH75" s="684"/>
      <c r="VTI75" s="684"/>
      <c r="VTJ75" s="684"/>
      <c r="VTK75" s="684"/>
      <c r="VTL75" s="684"/>
      <c r="VTM75" s="684"/>
      <c r="VTN75" s="684"/>
      <c r="VTO75" s="684"/>
      <c r="VTP75" s="684"/>
      <c r="VTQ75" s="684"/>
      <c r="VTR75" s="684"/>
      <c r="VTS75" s="684"/>
      <c r="VTT75" s="684"/>
      <c r="VTU75" s="684"/>
      <c r="VTV75" s="684"/>
      <c r="VTW75" s="684"/>
      <c r="VTX75" s="684"/>
      <c r="VTY75" s="684"/>
      <c r="VTZ75" s="684"/>
      <c r="VUA75" s="684"/>
      <c r="VUB75" s="684"/>
      <c r="VUC75" s="684"/>
      <c r="VUD75" s="684"/>
      <c r="VUE75" s="684"/>
      <c r="VUF75" s="684"/>
      <c r="VUG75" s="684"/>
      <c r="VUH75" s="684"/>
      <c r="VUI75" s="684"/>
      <c r="VUJ75" s="684"/>
      <c r="VUK75" s="684"/>
      <c r="VUL75" s="684"/>
      <c r="VUM75" s="684"/>
      <c r="VUN75" s="684"/>
      <c r="VUO75" s="684"/>
      <c r="VUP75" s="684"/>
      <c r="VUQ75" s="684"/>
      <c r="VUR75" s="684"/>
      <c r="VUS75" s="684"/>
      <c r="VUT75" s="684"/>
      <c r="VUU75" s="684"/>
      <c r="VUV75" s="684"/>
      <c r="VUW75" s="684"/>
      <c r="VUX75" s="684"/>
      <c r="VUY75" s="684"/>
      <c r="VUZ75" s="684"/>
      <c r="VVA75" s="684"/>
      <c r="VVB75" s="684"/>
      <c r="VVC75" s="684"/>
      <c r="VVD75" s="684"/>
      <c r="VVE75" s="684"/>
      <c r="VVF75" s="684"/>
      <c r="VVG75" s="684"/>
      <c r="VVH75" s="684"/>
      <c r="VVI75" s="684"/>
      <c r="VVJ75" s="684"/>
      <c r="VVK75" s="684"/>
      <c r="VVL75" s="684"/>
      <c r="VVM75" s="684"/>
      <c r="VVN75" s="684"/>
      <c r="VVO75" s="684"/>
      <c r="VVP75" s="684"/>
      <c r="VVQ75" s="684"/>
      <c r="VVR75" s="684"/>
      <c r="VVS75" s="684"/>
      <c r="VVT75" s="684"/>
      <c r="VVU75" s="684"/>
      <c r="VVV75" s="684"/>
      <c r="VVW75" s="684"/>
      <c r="VVX75" s="684"/>
      <c r="VVY75" s="684"/>
      <c r="VVZ75" s="684"/>
      <c r="VWA75" s="684"/>
      <c r="VWB75" s="684"/>
      <c r="VWC75" s="684"/>
      <c r="VWD75" s="684"/>
      <c r="VWE75" s="684"/>
      <c r="VWF75" s="684"/>
      <c r="VWG75" s="684"/>
      <c r="VWH75" s="684"/>
      <c r="VWI75" s="684"/>
      <c r="VWJ75" s="684"/>
      <c r="VWK75" s="684"/>
      <c r="VWL75" s="684"/>
      <c r="VWM75" s="684"/>
      <c r="VWN75" s="684"/>
      <c r="VWO75" s="684"/>
      <c r="VWP75" s="684"/>
      <c r="VWQ75" s="684"/>
      <c r="VWR75" s="684"/>
      <c r="VWS75" s="684"/>
      <c r="VWT75" s="684"/>
      <c r="VWU75" s="684"/>
      <c r="VWV75" s="684"/>
      <c r="VWW75" s="684"/>
      <c r="VWX75" s="684"/>
      <c r="VWY75" s="684"/>
      <c r="VWZ75" s="684"/>
      <c r="VXA75" s="684"/>
      <c r="VXB75" s="684"/>
      <c r="VXC75" s="684"/>
      <c r="VXD75" s="684"/>
      <c r="VXE75" s="684"/>
      <c r="VXF75" s="684"/>
      <c r="VXG75" s="684"/>
      <c r="VXH75" s="684"/>
      <c r="VXI75" s="684"/>
      <c r="VXJ75" s="684"/>
      <c r="VXK75" s="684"/>
      <c r="VXL75" s="684"/>
      <c r="VXM75" s="684"/>
      <c r="VXN75" s="684"/>
      <c r="VXO75" s="684"/>
      <c r="VXP75" s="684"/>
      <c r="VXQ75" s="684"/>
      <c r="VXR75" s="684"/>
      <c r="VXS75" s="684"/>
      <c r="VXT75" s="684"/>
      <c r="VXU75" s="684"/>
      <c r="VXV75" s="684"/>
      <c r="VXW75" s="684"/>
      <c r="VXX75" s="684"/>
      <c r="VXY75" s="684"/>
      <c r="VXZ75" s="684"/>
      <c r="VYA75" s="684"/>
      <c r="VYB75" s="684"/>
      <c r="VYC75" s="684"/>
      <c r="VYD75" s="684"/>
      <c r="VYE75" s="684"/>
      <c r="VYF75" s="684"/>
      <c r="VYG75" s="684"/>
      <c r="VYH75" s="684"/>
      <c r="VYI75" s="684"/>
      <c r="VYJ75" s="684"/>
      <c r="VYK75" s="684"/>
      <c r="VYL75" s="684"/>
      <c r="VYM75" s="684"/>
      <c r="VYN75" s="684"/>
      <c r="VYO75" s="684"/>
      <c r="VYP75" s="684"/>
      <c r="VYQ75" s="684"/>
      <c r="VYR75" s="684"/>
      <c r="VYS75" s="684"/>
      <c r="VYT75" s="684"/>
      <c r="VYU75" s="684"/>
      <c r="VYV75" s="684"/>
      <c r="VYW75" s="684"/>
      <c r="VYX75" s="684"/>
      <c r="VYY75" s="684"/>
      <c r="VYZ75" s="684"/>
      <c r="VZA75" s="684"/>
      <c r="VZB75" s="684"/>
      <c r="VZC75" s="684"/>
      <c r="VZD75" s="684"/>
      <c r="VZE75" s="684"/>
      <c r="VZF75" s="684"/>
      <c r="VZG75" s="684"/>
      <c r="VZH75" s="684"/>
      <c r="VZI75" s="684"/>
      <c r="VZJ75" s="684"/>
      <c r="VZK75" s="684"/>
      <c r="VZL75" s="684"/>
      <c r="VZM75" s="684"/>
      <c r="VZN75" s="684"/>
      <c r="VZO75" s="684"/>
      <c r="VZP75" s="684"/>
      <c r="VZQ75" s="684"/>
      <c r="VZR75" s="684"/>
      <c r="VZS75" s="684"/>
      <c r="VZT75" s="684"/>
      <c r="VZU75" s="684"/>
      <c r="VZV75" s="684"/>
      <c r="VZW75" s="684"/>
      <c r="VZX75" s="684"/>
      <c r="VZY75" s="684"/>
      <c r="VZZ75" s="684"/>
      <c r="WAA75" s="684"/>
      <c r="WAB75" s="684"/>
      <c r="WAC75" s="684"/>
      <c r="WAD75" s="684"/>
      <c r="WAE75" s="684"/>
      <c r="WAF75" s="684"/>
      <c r="WAG75" s="684"/>
      <c r="WAH75" s="684"/>
      <c r="WAI75" s="684"/>
      <c r="WAJ75" s="684"/>
      <c r="WAK75" s="684"/>
      <c r="WAL75" s="684"/>
      <c r="WAM75" s="684"/>
      <c r="WAN75" s="684"/>
      <c r="WAO75" s="684"/>
      <c r="WAP75" s="684"/>
      <c r="WAQ75" s="684"/>
      <c r="WAR75" s="684"/>
      <c r="WAS75" s="684"/>
      <c r="WAT75" s="684"/>
      <c r="WAU75" s="684"/>
      <c r="WAV75" s="684"/>
      <c r="WAW75" s="684"/>
      <c r="WAX75" s="684"/>
      <c r="WAY75" s="684"/>
      <c r="WAZ75" s="684"/>
      <c r="WBA75" s="684"/>
      <c r="WBB75" s="684"/>
      <c r="WBC75" s="684"/>
      <c r="WBD75" s="684"/>
      <c r="WBE75" s="684"/>
      <c r="WBF75" s="684"/>
      <c r="WBG75" s="684"/>
      <c r="WBH75" s="684"/>
      <c r="WBI75" s="684"/>
      <c r="WBJ75" s="684"/>
      <c r="WBK75" s="684"/>
      <c r="WBL75" s="684"/>
      <c r="WBM75" s="684"/>
      <c r="WBN75" s="684"/>
      <c r="WBO75" s="684"/>
      <c r="WBP75" s="684"/>
      <c r="WBQ75" s="684"/>
      <c r="WBR75" s="684"/>
      <c r="WBS75" s="684"/>
      <c r="WBT75" s="684"/>
      <c r="WBU75" s="684"/>
      <c r="WBV75" s="684"/>
      <c r="WBW75" s="684"/>
      <c r="WBX75" s="684"/>
      <c r="WBY75" s="684"/>
      <c r="WBZ75" s="684"/>
      <c r="WCA75" s="684"/>
      <c r="WCB75" s="684"/>
      <c r="WCC75" s="684"/>
      <c r="WCD75" s="684"/>
      <c r="WCE75" s="684"/>
      <c r="WCF75" s="684"/>
      <c r="WCG75" s="684"/>
      <c r="WCH75" s="684"/>
      <c r="WCI75" s="684"/>
      <c r="WCJ75" s="684"/>
      <c r="WCK75" s="684"/>
      <c r="WCL75" s="684"/>
      <c r="WCM75" s="684"/>
      <c r="WCN75" s="684"/>
      <c r="WCO75" s="684"/>
      <c r="WCP75" s="684"/>
      <c r="WCQ75" s="684"/>
      <c r="WCR75" s="684"/>
      <c r="WCS75" s="684"/>
      <c r="WCT75" s="684"/>
      <c r="WCU75" s="684"/>
      <c r="WCV75" s="684"/>
      <c r="WCW75" s="684"/>
      <c r="WCX75" s="684"/>
      <c r="WCY75" s="684"/>
      <c r="WCZ75" s="684"/>
      <c r="WDA75" s="684"/>
      <c r="WDB75" s="684"/>
      <c r="WDC75" s="684"/>
      <c r="WDD75" s="684"/>
      <c r="WDE75" s="684"/>
      <c r="WDF75" s="684"/>
      <c r="WDG75" s="684"/>
      <c r="WDH75" s="684"/>
      <c r="WDI75" s="684"/>
      <c r="WDJ75" s="684"/>
      <c r="WDK75" s="684"/>
      <c r="WDL75" s="684"/>
      <c r="WDM75" s="684"/>
      <c r="WDN75" s="684"/>
      <c r="WDO75" s="684"/>
      <c r="WDP75" s="684"/>
      <c r="WDQ75" s="684"/>
      <c r="WDR75" s="684"/>
      <c r="WDS75" s="684"/>
      <c r="WDT75" s="684"/>
      <c r="WDU75" s="684"/>
      <c r="WDV75" s="684"/>
      <c r="WDW75" s="684"/>
      <c r="WDX75" s="684"/>
      <c r="WDY75" s="684"/>
      <c r="WDZ75" s="684"/>
      <c r="WEA75" s="684"/>
      <c r="WEB75" s="684"/>
      <c r="WEC75" s="684"/>
      <c r="WED75" s="684"/>
      <c r="WEE75" s="684"/>
      <c r="WEF75" s="684"/>
      <c r="WEG75" s="684"/>
      <c r="WEH75" s="684"/>
      <c r="WEI75" s="684"/>
      <c r="WEJ75" s="684"/>
      <c r="WEK75" s="684"/>
      <c r="WEL75" s="684"/>
      <c r="WEM75" s="684"/>
      <c r="WEN75" s="684"/>
      <c r="WEO75" s="684"/>
      <c r="WEP75" s="684"/>
      <c r="WEQ75" s="684"/>
      <c r="WER75" s="684"/>
      <c r="WES75" s="684"/>
      <c r="WET75" s="684"/>
      <c r="WEU75" s="684"/>
      <c r="WEV75" s="684"/>
      <c r="WEW75" s="684"/>
      <c r="WEX75" s="684"/>
      <c r="WEY75" s="684"/>
      <c r="WEZ75" s="684"/>
      <c r="WFA75" s="684"/>
      <c r="WFB75" s="684"/>
      <c r="WFC75" s="684"/>
      <c r="WFD75" s="684"/>
      <c r="WFE75" s="684"/>
      <c r="WFF75" s="684"/>
      <c r="WFG75" s="684"/>
      <c r="WFH75" s="684"/>
      <c r="WFI75" s="684"/>
      <c r="WFJ75" s="684"/>
      <c r="WFK75" s="684"/>
      <c r="WFL75" s="684"/>
      <c r="WFM75" s="684"/>
      <c r="WFN75" s="684"/>
      <c r="WFO75" s="684"/>
      <c r="WFP75" s="684"/>
      <c r="WFQ75" s="684"/>
      <c r="WFR75" s="684"/>
      <c r="WFS75" s="684"/>
      <c r="WFT75" s="684"/>
      <c r="WFU75" s="684"/>
      <c r="WFV75" s="684"/>
      <c r="WFW75" s="684"/>
      <c r="WFX75" s="684"/>
      <c r="WFY75" s="684"/>
      <c r="WFZ75" s="684"/>
      <c r="WGA75" s="684"/>
      <c r="WGB75" s="684"/>
      <c r="WGC75" s="684"/>
      <c r="WGD75" s="684"/>
      <c r="WGE75" s="684"/>
      <c r="WGF75" s="684"/>
      <c r="WGG75" s="684"/>
      <c r="WGH75" s="684"/>
      <c r="WGI75" s="684"/>
      <c r="WGJ75" s="684"/>
      <c r="WGK75" s="684"/>
      <c r="WGL75" s="684"/>
      <c r="WGM75" s="684"/>
      <c r="WGN75" s="684"/>
      <c r="WGO75" s="684"/>
      <c r="WGP75" s="684"/>
      <c r="WGQ75" s="684"/>
      <c r="WGR75" s="684"/>
      <c r="WGS75" s="684"/>
      <c r="WGT75" s="684"/>
      <c r="WGU75" s="684"/>
      <c r="WGV75" s="684"/>
      <c r="WGW75" s="684"/>
      <c r="WGX75" s="684"/>
      <c r="WGY75" s="684"/>
      <c r="WGZ75" s="684"/>
      <c r="WHA75" s="684"/>
      <c r="WHB75" s="684"/>
      <c r="WHC75" s="684"/>
      <c r="WHD75" s="684"/>
      <c r="WHE75" s="684"/>
      <c r="WHF75" s="684"/>
      <c r="WHG75" s="684"/>
      <c r="WHH75" s="684"/>
      <c r="WHI75" s="684"/>
      <c r="WHJ75" s="684"/>
      <c r="WHK75" s="684"/>
      <c r="WHL75" s="684"/>
      <c r="WHM75" s="684"/>
      <c r="WHN75" s="684"/>
      <c r="WHO75" s="684"/>
      <c r="WHP75" s="684"/>
      <c r="WHQ75" s="684"/>
      <c r="WHR75" s="684"/>
      <c r="WHS75" s="684"/>
      <c r="WHT75" s="684"/>
      <c r="WHU75" s="684"/>
      <c r="WHV75" s="684"/>
      <c r="WHW75" s="684"/>
      <c r="WHX75" s="684"/>
      <c r="WHY75" s="684"/>
      <c r="WHZ75" s="684"/>
      <c r="WIA75" s="684"/>
      <c r="WIB75" s="684"/>
      <c r="WIC75" s="684"/>
      <c r="WID75" s="684"/>
      <c r="WIE75" s="684"/>
      <c r="WIF75" s="684"/>
      <c r="WIG75" s="684"/>
      <c r="WIH75" s="684"/>
      <c r="WII75" s="684"/>
      <c r="WIJ75" s="684"/>
      <c r="WIK75" s="684"/>
      <c r="WIL75" s="684"/>
      <c r="WIM75" s="684"/>
      <c r="WIN75" s="684"/>
      <c r="WIO75" s="684"/>
      <c r="WIP75" s="684"/>
      <c r="WIQ75" s="684"/>
      <c r="WIR75" s="684"/>
      <c r="WIS75" s="684"/>
      <c r="WIT75" s="684"/>
      <c r="WIU75" s="684"/>
      <c r="WIV75" s="684"/>
      <c r="WIW75" s="684"/>
      <c r="WIX75" s="684"/>
      <c r="WIY75" s="684"/>
      <c r="WIZ75" s="684"/>
      <c r="WJA75" s="684"/>
      <c r="WJB75" s="684"/>
      <c r="WJC75" s="684"/>
      <c r="WJD75" s="684"/>
      <c r="WJE75" s="684"/>
      <c r="WJF75" s="684"/>
      <c r="WJG75" s="684"/>
      <c r="WJH75" s="684"/>
      <c r="WJI75" s="684"/>
      <c r="WJJ75" s="684"/>
      <c r="WJK75" s="684"/>
      <c r="WJL75" s="684"/>
      <c r="WJM75" s="684"/>
      <c r="WJN75" s="684"/>
      <c r="WJO75" s="684"/>
      <c r="WJP75" s="684"/>
      <c r="WJQ75" s="684"/>
      <c r="WJR75" s="684"/>
      <c r="WJS75" s="684"/>
      <c r="WJT75" s="684"/>
      <c r="WJU75" s="684"/>
      <c r="WJV75" s="684"/>
      <c r="WJW75" s="684"/>
      <c r="WJX75" s="684"/>
      <c r="WJY75" s="684"/>
      <c r="WJZ75" s="684"/>
      <c r="WKA75" s="684"/>
      <c r="WKB75" s="684"/>
      <c r="WKC75" s="684"/>
      <c r="WKD75" s="684"/>
      <c r="WKE75" s="684"/>
      <c r="WKF75" s="684"/>
      <c r="WKG75" s="684"/>
      <c r="WKH75" s="684"/>
      <c r="WKI75" s="684"/>
      <c r="WKJ75" s="684"/>
      <c r="WKK75" s="684"/>
      <c r="WKL75" s="684"/>
      <c r="WKM75" s="684"/>
      <c r="WKN75" s="684"/>
      <c r="WKO75" s="684"/>
      <c r="WKP75" s="684"/>
      <c r="WKQ75" s="684"/>
      <c r="WKR75" s="684"/>
      <c r="WKS75" s="684"/>
      <c r="WKT75" s="684"/>
      <c r="WKU75" s="684"/>
      <c r="WKV75" s="684"/>
      <c r="WKW75" s="684"/>
      <c r="WKX75" s="684"/>
      <c r="WKY75" s="684"/>
      <c r="WKZ75" s="684"/>
      <c r="WLA75" s="684"/>
      <c r="WLB75" s="684"/>
      <c r="WLC75" s="684"/>
      <c r="WLD75" s="684"/>
      <c r="WLE75" s="684"/>
      <c r="WLF75" s="684"/>
      <c r="WLG75" s="684"/>
      <c r="WLH75" s="684"/>
      <c r="WLI75" s="684"/>
      <c r="WLJ75" s="684"/>
      <c r="WLK75" s="684"/>
      <c r="WLL75" s="684"/>
      <c r="WLM75" s="684"/>
      <c r="WLN75" s="684"/>
      <c r="WLO75" s="684"/>
      <c r="WLP75" s="684"/>
      <c r="WLQ75" s="684"/>
      <c r="WLR75" s="684"/>
      <c r="WLS75" s="684"/>
      <c r="WLT75" s="684"/>
      <c r="WLU75" s="684"/>
      <c r="WLV75" s="684"/>
      <c r="WLW75" s="684"/>
      <c r="WLX75" s="684"/>
      <c r="WLY75" s="684"/>
      <c r="WLZ75" s="684"/>
      <c r="WMA75" s="684"/>
      <c r="WMB75" s="684"/>
      <c r="WMC75" s="684"/>
      <c r="WMD75" s="684"/>
      <c r="WME75" s="684"/>
      <c r="WMF75" s="684"/>
      <c r="WMG75" s="684"/>
      <c r="WMH75" s="684"/>
      <c r="WMI75" s="684"/>
      <c r="WMJ75" s="684"/>
      <c r="WMK75" s="684"/>
      <c r="WML75" s="684"/>
      <c r="WMM75" s="684"/>
      <c r="WMN75" s="684"/>
      <c r="WMO75" s="684"/>
      <c r="WMP75" s="684"/>
      <c r="WMQ75" s="684"/>
      <c r="WMR75" s="684"/>
      <c r="WMS75" s="684"/>
      <c r="WMT75" s="684"/>
      <c r="WMU75" s="684"/>
      <c r="WMV75" s="684"/>
      <c r="WMW75" s="684"/>
      <c r="WMX75" s="684"/>
      <c r="WMY75" s="684"/>
      <c r="WMZ75" s="684"/>
      <c r="WNA75" s="684"/>
      <c r="WNB75" s="684"/>
      <c r="WNC75" s="684"/>
      <c r="WND75" s="684"/>
      <c r="WNE75" s="684"/>
      <c r="WNF75" s="684"/>
      <c r="WNG75" s="684"/>
      <c r="WNH75" s="684"/>
      <c r="WNI75" s="684"/>
      <c r="WNJ75" s="684"/>
      <c r="WNK75" s="684"/>
      <c r="WNL75" s="684"/>
      <c r="WNM75" s="684"/>
      <c r="WNN75" s="684"/>
      <c r="WNO75" s="684"/>
      <c r="WNP75" s="684"/>
      <c r="WNQ75" s="684"/>
      <c r="WNR75" s="684"/>
      <c r="WNS75" s="684"/>
      <c r="WNT75" s="684"/>
      <c r="WNU75" s="684"/>
      <c r="WNV75" s="684"/>
      <c r="WNW75" s="684"/>
      <c r="WNX75" s="684"/>
      <c r="WNY75" s="684"/>
      <c r="WNZ75" s="684"/>
      <c r="WOA75" s="684"/>
      <c r="WOB75" s="684"/>
      <c r="WOC75" s="684"/>
      <c r="WOD75" s="684"/>
      <c r="WOE75" s="684"/>
      <c r="WOF75" s="684"/>
      <c r="WOG75" s="684"/>
      <c r="WOH75" s="684"/>
      <c r="WOI75" s="684"/>
      <c r="WOJ75" s="684"/>
      <c r="WOK75" s="684"/>
      <c r="WOL75" s="684"/>
      <c r="WOM75" s="684"/>
      <c r="WON75" s="684"/>
      <c r="WOO75" s="684"/>
      <c r="WOP75" s="684"/>
      <c r="WOQ75" s="684"/>
      <c r="WOR75" s="684"/>
      <c r="WOS75" s="684"/>
      <c r="WOT75" s="684"/>
      <c r="WOU75" s="684"/>
      <c r="WOV75" s="684"/>
      <c r="WOW75" s="684"/>
      <c r="WOX75" s="684"/>
      <c r="WOY75" s="684"/>
      <c r="WOZ75" s="684"/>
      <c r="WPA75" s="684"/>
      <c r="WPB75" s="684"/>
      <c r="WPC75" s="684"/>
      <c r="WPD75" s="684"/>
      <c r="WPE75" s="684"/>
      <c r="WPF75" s="684"/>
      <c r="WPG75" s="684"/>
      <c r="WPH75" s="684"/>
      <c r="WPI75" s="684"/>
      <c r="WPJ75" s="684"/>
      <c r="WPK75" s="684"/>
      <c r="WPL75" s="684"/>
      <c r="WPM75" s="684"/>
      <c r="WPN75" s="684"/>
      <c r="WPO75" s="684"/>
      <c r="WPP75" s="684"/>
      <c r="WPQ75" s="684"/>
      <c r="WPR75" s="684"/>
      <c r="WPS75" s="684"/>
      <c r="WPT75" s="684"/>
      <c r="WPU75" s="684"/>
      <c r="WPV75" s="684"/>
      <c r="WPW75" s="684"/>
      <c r="WPX75" s="684"/>
      <c r="WPY75" s="684"/>
      <c r="WPZ75" s="684"/>
      <c r="WQA75" s="684"/>
      <c r="WQB75" s="684"/>
      <c r="WQC75" s="684"/>
      <c r="WQD75" s="684"/>
      <c r="WQE75" s="684"/>
      <c r="WQF75" s="684"/>
      <c r="WQG75" s="684"/>
      <c r="WQH75" s="684"/>
      <c r="WQI75" s="684"/>
      <c r="WQJ75" s="684"/>
      <c r="WQK75" s="684"/>
      <c r="WQL75" s="684"/>
      <c r="WQM75" s="684"/>
      <c r="WQN75" s="684"/>
      <c r="WQO75" s="684"/>
      <c r="WQP75" s="684"/>
      <c r="WQQ75" s="684"/>
      <c r="WQR75" s="684"/>
      <c r="WQS75" s="684"/>
      <c r="WQT75" s="684"/>
      <c r="WQU75" s="684"/>
      <c r="WQV75" s="684"/>
      <c r="WQW75" s="684"/>
      <c r="WQX75" s="684"/>
      <c r="WQY75" s="684"/>
      <c r="WQZ75" s="684"/>
      <c r="WRA75" s="684"/>
      <c r="WRB75" s="684"/>
      <c r="WRC75" s="684"/>
      <c r="WRD75" s="684"/>
      <c r="WRE75" s="684"/>
      <c r="WRF75" s="684"/>
      <c r="WRG75" s="684"/>
      <c r="WRH75" s="684"/>
      <c r="WRI75" s="684"/>
      <c r="WRJ75" s="684"/>
      <c r="WRK75" s="684"/>
      <c r="WRL75" s="684"/>
      <c r="WRM75" s="684"/>
      <c r="WRN75" s="684"/>
      <c r="WRO75" s="684"/>
      <c r="WRP75" s="684"/>
      <c r="WRQ75" s="684"/>
      <c r="WRR75" s="684"/>
      <c r="WRS75" s="684"/>
      <c r="WRT75" s="684"/>
      <c r="WRU75" s="684"/>
      <c r="WRV75" s="684"/>
      <c r="WRW75" s="684"/>
      <c r="WRX75" s="684"/>
      <c r="WRY75" s="684"/>
      <c r="WRZ75" s="684"/>
      <c r="WSA75" s="684"/>
      <c r="WSB75" s="684"/>
      <c r="WSC75" s="684"/>
      <c r="WSD75" s="684"/>
      <c r="WSE75" s="684"/>
      <c r="WSF75" s="684"/>
      <c r="WSG75" s="684"/>
      <c r="WSH75" s="684"/>
      <c r="WSI75" s="684"/>
      <c r="WSJ75" s="684"/>
      <c r="WSK75" s="684"/>
      <c r="WSL75" s="684"/>
      <c r="WSM75" s="684"/>
      <c r="WSN75" s="684"/>
      <c r="WSO75" s="684"/>
      <c r="WSP75" s="684"/>
      <c r="WSQ75" s="684"/>
      <c r="WSR75" s="684"/>
      <c r="WSS75" s="684"/>
      <c r="WST75" s="684"/>
      <c r="WSU75" s="684"/>
      <c r="WSV75" s="684"/>
      <c r="WSW75" s="684"/>
      <c r="WSX75" s="684"/>
      <c r="WSY75" s="684"/>
      <c r="WSZ75" s="684"/>
      <c r="WTA75" s="684"/>
      <c r="WTB75" s="684"/>
      <c r="WTC75" s="684"/>
      <c r="WTD75" s="684"/>
      <c r="WTE75" s="684"/>
      <c r="WTF75" s="684"/>
      <c r="WTG75" s="684"/>
      <c r="WTH75" s="684"/>
      <c r="WTI75" s="684"/>
      <c r="WTJ75" s="684"/>
      <c r="WTK75" s="684"/>
      <c r="WTL75" s="684"/>
      <c r="WTM75" s="684"/>
      <c r="WTN75" s="684"/>
      <c r="WTO75" s="684"/>
      <c r="WTP75" s="684"/>
      <c r="WTQ75" s="684"/>
      <c r="WTR75" s="684"/>
      <c r="WTS75" s="684"/>
      <c r="WTT75" s="684"/>
      <c r="WTU75" s="684"/>
      <c r="WTV75" s="684"/>
      <c r="WTW75" s="684"/>
      <c r="WTX75" s="684"/>
      <c r="WTY75" s="684"/>
      <c r="WTZ75" s="684"/>
      <c r="WUA75" s="684"/>
      <c r="WUB75" s="684"/>
      <c r="WUC75" s="684"/>
      <c r="WUD75" s="684"/>
      <c r="WUE75" s="684"/>
      <c r="WUF75" s="684"/>
      <c r="WUG75" s="684"/>
      <c r="WUH75" s="684"/>
      <c r="WUI75" s="684"/>
      <c r="WUJ75" s="684"/>
      <c r="WUK75" s="684"/>
      <c r="WUL75" s="684"/>
      <c r="WUM75" s="684"/>
      <c r="WUN75" s="684"/>
      <c r="WUO75" s="684"/>
      <c r="WUP75" s="684"/>
      <c r="WUQ75" s="684"/>
      <c r="WUR75" s="684"/>
      <c r="WUS75" s="684"/>
      <c r="WUT75" s="684"/>
      <c r="WUU75" s="684"/>
      <c r="WUV75" s="684"/>
      <c r="WUW75" s="684"/>
      <c r="WUX75" s="684"/>
      <c r="WUY75" s="684"/>
      <c r="WUZ75" s="684"/>
      <c r="WVA75" s="684"/>
      <c r="WVB75" s="684"/>
      <c r="WVC75" s="684"/>
      <c r="WVD75" s="684"/>
      <c r="WVE75" s="684"/>
      <c r="WVF75" s="684"/>
      <c r="WVG75" s="684"/>
      <c r="WVH75" s="684"/>
      <c r="WVI75" s="684"/>
      <c r="WVJ75" s="684"/>
      <c r="WVK75" s="684"/>
      <c r="WVL75" s="684"/>
      <c r="WVM75" s="684"/>
      <c r="WVN75" s="684"/>
      <c r="WVO75" s="684"/>
      <c r="WVP75" s="684"/>
      <c r="WVQ75" s="684"/>
      <c r="WVR75" s="684"/>
      <c r="WVS75" s="684"/>
      <c r="WVT75" s="684"/>
      <c r="WVU75" s="684"/>
      <c r="WVV75" s="684"/>
      <c r="WVW75" s="684"/>
      <c r="WVX75" s="684"/>
      <c r="WVY75" s="684"/>
      <c r="WVZ75" s="684"/>
      <c r="WWA75" s="684"/>
      <c r="WWB75" s="684"/>
      <c r="WWC75" s="684"/>
      <c r="WWD75" s="684"/>
      <c r="WWE75" s="684"/>
      <c r="WWF75" s="684"/>
      <c r="WWG75" s="684"/>
      <c r="WWH75" s="684"/>
      <c r="WWI75" s="684"/>
      <c r="WWJ75" s="684"/>
      <c r="WWK75" s="684"/>
      <c r="WWL75" s="684"/>
      <c r="WWM75" s="684"/>
      <c r="WWN75" s="684"/>
      <c r="WWO75" s="684"/>
      <c r="WWP75" s="684"/>
      <c r="WWQ75" s="684"/>
      <c r="WWR75" s="684"/>
      <c r="WWS75" s="684"/>
      <c r="WWT75" s="684"/>
      <c r="WWU75" s="684"/>
      <c r="WWV75" s="684"/>
      <c r="WWW75" s="684"/>
      <c r="WWX75" s="684"/>
      <c r="WWY75" s="684"/>
      <c r="WWZ75" s="684"/>
      <c r="WXA75" s="684"/>
      <c r="WXB75" s="684"/>
      <c r="WXC75" s="684"/>
      <c r="WXD75" s="684"/>
      <c r="WXE75" s="684"/>
      <c r="WXF75" s="684"/>
      <c r="WXG75" s="684"/>
      <c r="WXH75" s="684"/>
      <c r="WXI75" s="684"/>
      <c r="WXJ75" s="684"/>
      <c r="WXK75" s="684"/>
      <c r="WXL75" s="684"/>
      <c r="WXM75" s="684"/>
      <c r="WXN75" s="684"/>
      <c r="WXO75" s="684"/>
      <c r="WXP75" s="684"/>
      <c r="WXQ75" s="684"/>
      <c r="WXR75" s="684"/>
      <c r="WXS75" s="684"/>
      <c r="WXT75" s="684"/>
      <c r="WXU75" s="684"/>
      <c r="WXV75" s="684"/>
      <c r="WXW75" s="684"/>
      <c r="WXX75" s="684"/>
      <c r="WXY75" s="684"/>
      <c r="WXZ75" s="684"/>
      <c r="WYA75" s="684"/>
      <c r="WYB75" s="684"/>
      <c r="WYC75" s="684"/>
      <c r="WYD75" s="684"/>
      <c r="WYE75" s="684"/>
      <c r="WYF75" s="684"/>
      <c r="WYG75" s="684"/>
      <c r="WYH75" s="684"/>
      <c r="WYI75" s="684"/>
      <c r="WYJ75" s="684"/>
      <c r="WYK75" s="684"/>
      <c r="WYL75" s="684"/>
      <c r="WYM75" s="684"/>
      <c r="WYN75" s="684"/>
      <c r="WYO75" s="684"/>
      <c r="WYP75" s="684"/>
      <c r="WYQ75" s="684"/>
      <c r="WYR75" s="684"/>
      <c r="WYS75" s="684"/>
      <c r="WYT75" s="684"/>
      <c r="WYU75" s="684"/>
      <c r="WYV75" s="684"/>
      <c r="WYW75" s="684"/>
      <c r="WYX75" s="684"/>
      <c r="WYY75" s="684"/>
      <c r="WYZ75" s="684"/>
      <c r="WZA75" s="684"/>
      <c r="WZB75" s="684"/>
      <c r="WZC75" s="684"/>
      <c r="WZD75" s="684"/>
      <c r="WZE75" s="684"/>
      <c r="WZF75" s="684"/>
      <c r="WZG75" s="684"/>
      <c r="WZH75" s="684"/>
      <c r="WZI75" s="684"/>
      <c r="WZJ75" s="684"/>
      <c r="WZK75" s="684"/>
      <c r="WZL75" s="684"/>
      <c r="WZM75" s="684"/>
      <c r="WZN75" s="684"/>
      <c r="WZO75" s="684"/>
      <c r="WZP75" s="684"/>
      <c r="WZQ75" s="684"/>
      <c r="WZR75" s="684"/>
      <c r="WZS75" s="684"/>
      <c r="WZT75" s="684"/>
      <c r="WZU75" s="684"/>
      <c r="WZV75" s="684"/>
      <c r="WZW75" s="684"/>
      <c r="WZX75" s="684"/>
      <c r="WZY75" s="684"/>
      <c r="WZZ75" s="684"/>
      <c r="XAA75" s="684"/>
      <c r="XAB75" s="684"/>
      <c r="XAC75" s="684"/>
      <c r="XAD75" s="684"/>
      <c r="XAE75" s="684"/>
      <c r="XAF75" s="684"/>
      <c r="XAG75" s="684"/>
      <c r="XAH75" s="684"/>
      <c r="XAI75" s="684"/>
      <c r="XAJ75" s="684"/>
      <c r="XAK75" s="684"/>
      <c r="XAL75" s="684"/>
      <c r="XAM75" s="684"/>
      <c r="XAN75" s="684"/>
      <c r="XAO75" s="684"/>
      <c r="XAP75" s="684"/>
      <c r="XAQ75" s="684"/>
      <c r="XAR75" s="684"/>
      <c r="XAS75" s="684"/>
      <c r="XAT75" s="684"/>
      <c r="XAU75" s="684"/>
      <c r="XAV75" s="684"/>
      <c r="XAW75" s="684"/>
      <c r="XAX75" s="684"/>
      <c r="XAY75" s="684"/>
      <c r="XAZ75" s="684"/>
      <c r="XBA75" s="684"/>
      <c r="XBB75" s="684"/>
      <c r="XBC75" s="684"/>
      <c r="XBD75" s="684"/>
      <c r="XBE75" s="684"/>
      <c r="XBF75" s="684"/>
      <c r="XBG75" s="684"/>
      <c r="XBH75" s="684"/>
      <c r="XBI75" s="684"/>
      <c r="XBJ75" s="684"/>
      <c r="XBK75" s="684"/>
      <c r="XBL75" s="684"/>
      <c r="XBM75" s="684"/>
      <c r="XBN75" s="684"/>
      <c r="XBO75" s="684"/>
      <c r="XBP75" s="684"/>
      <c r="XBQ75" s="684"/>
      <c r="XBR75" s="684"/>
      <c r="XBS75" s="684"/>
      <c r="XBT75" s="684"/>
      <c r="XBU75" s="684"/>
      <c r="XBV75" s="684"/>
      <c r="XBW75" s="684"/>
      <c r="XBX75" s="684"/>
      <c r="XBY75" s="684"/>
      <c r="XBZ75" s="684"/>
      <c r="XCA75" s="684"/>
      <c r="XCB75" s="684"/>
      <c r="XCC75" s="684"/>
      <c r="XCD75" s="684"/>
      <c r="XCE75" s="684"/>
      <c r="XCF75" s="684"/>
      <c r="XCG75" s="684"/>
      <c r="XCH75" s="684"/>
      <c r="XCI75" s="684"/>
      <c r="XCJ75" s="684"/>
      <c r="XCK75" s="684"/>
      <c r="XCL75" s="684"/>
      <c r="XCM75" s="684"/>
      <c r="XCN75" s="684"/>
      <c r="XCO75" s="684"/>
      <c r="XCP75" s="684"/>
      <c r="XCQ75" s="684"/>
      <c r="XCR75" s="684"/>
      <c r="XCS75" s="684"/>
      <c r="XCT75" s="684"/>
      <c r="XCU75" s="684"/>
      <c r="XCV75" s="684"/>
      <c r="XCW75" s="684"/>
      <c r="XCX75" s="684"/>
      <c r="XCY75" s="684"/>
      <c r="XCZ75" s="684"/>
      <c r="XDA75" s="684"/>
      <c r="XDB75" s="684"/>
      <c r="XDC75" s="684"/>
      <c r="XDD75" s="684"/>
      <c r="XDE75" s="684"/>
      <c r="XDF75" s="684"/>
      <c r="XDG75" s="684"/>
      <c r="XDH75" s="684"/>
      <c r="XDI75" s="684"/>
      <c r="XDJ75" s="684"/>
      <c r="XDK75" s="684"/>
      <c r="XDL75" s="684"/>
      <c r="XDM75" s="684"/>
      <c r="XDN75" s="684"/>
      <c r="XDO75" s="684"/>
      <c r="XDP75" s="684"/>
      <c r="XDQ75" s="684"/>
      <c r="XDR75" s="684"/>
      <c r="XDS75" s="684"/>
      <c r="XDT75" s="684"/>
      <c r="XDU75" s="684"/>
      <c r="XDV75" s="684"/>
      <c r="XDW75" s="684"/>
      <c r="XDX75" s="684"/>
      <c r="XDY75" s="684"/>
      <c r="XDZ75" s="684"/>
      <c r="XEA75" s="684"/>
      <c r="XEB75" s="684"/>
      <c r="XEC75" s="684"/>
      <c r="XED75" s="684"/>
      <c r="XEE75" s="684"/>
      <c r="XEF75" s="684"/>
      <c r="XEG75" s="684"/>
      <c r="XEH75" s="684"/>
      <c r="XEI75" s="684"/>
      <c r="XEJ75" s="684"/>
      <c r="XEK75" s="684"/>
      <c r="XEL75" s="684"/>
      <c r="XEM75" s="684"/>
      <c r="XEN75" s="684"/>
      <c r="XEO75" s="684"/>
      <c r="XEP75" s="684"/>
      <c r="XEQ75" s="684"/>
      <c r="XER75" s="684"/>
      <c r="XES75" s="684"/>
      <c r="XET75" s="684"/>
      <c r="XEU75" s="684"/>
      <c r="XEV75" s="684"/>
      <c r="XEW75" s="684"/>
      <c r="XEX75" s="684"/>
      <c r="XEY75" s="684"/>
      <c r="XEZ75" s="684"/>
      <c r="XFA75" s="684"/>
      <c r="XFB75" s="684"/>
      <c r="XFC75" s="684"/>
      <c r="XFD75" s="684"/>
    </row>
    <row r="76" spans="1:16384" s="853" customFormat="1" ht="14.25" customHeight="1" thickBot="1">
      <c r="A76" s="598" t="s">
        <v>2415</v>
      </c>
      <c r="B76" s="489" t="s">
        <v>2425</v>
      </c>
      <c r="C76" s="489" t="s">
        <v>2425</v>
      </c>
      <c r="D76" s="4296"/>
      <c r="E76" s="4290"/>
      <c r="F76" s="4324"/>
      <c r="G76" s="4263"/>
      <c r="H76" s="4203"/>
      <c r="I76" s="4203"/>
      <c r="J76" s="684"/>
      <c r="K76" s="684"/>
      <c r="L76" s="684"/>
      <c r="M76" s="684"/>
      <c r="N76" s="684"/>
      <c r="O76" s="684"/>
      <c r="P76" s="684"/>
      <c r="Q76" s="684"/>
      <c r="R76" s="684"/>
      <c r="S76" s="684"/>
      <c r="T76" s="684"/>
      <c r="U76" s="684"/>
      <c r="V76" s="684"/>
      <c r="W76" s="684"/>
      <c r="X76" s="684"/>
      <c r="Y76" s="684"/>
      <c r="Z76" s="684"/>
      <c r="AA76" s="684"/>
      <c r="AB76" s="684"/>
      <c r="AC76" s="684"/>
      <c r="AD76" s="684"/>
      <c r="AE76" s="684"/>
      <c r="AF76" s="684"/>
      <c r="AG76" s="684"/>
      <c r="AH76" s="684"/>
      <c r="AI76" s="684"/>
      <c r="AJ76" s="684"/>
      <c r="AK76" s="684"/>
      <c r="AL76" s="684"/>
      <c r="AM76" s="684"/>
      <c r="AN76" s="684"/>
      <c r="AO76" s="684"/>
      <c r="AP76" s="684"/>
      <c r="AQ76" s="684"/>
      <c r="AR76" s="684"/>
      <c r="AS76" s="684"/>
      <c r="AT76" s="684"/>
      <c r="AU76" s="684"/>
      <c r="AV76" s="684"/>
      <c r="AW76" s="684"/>
      <c r="AX76" s="684"/>
      <c r="AY76" s="684"/>
      <c r="AZ76" s="684"/>
      <c r="BA76" s="684"/>
      <c r="BB76" s="684"/>
      <c r="BC76" s="684"/>
      <c r="BD76" s="684"/>
      <c r="BE76" s="684"/>
      <c r="BF76" s="684"/>
      <c r="BG76" s="684"/>
      <c r="BH76" s="684"/>
      <c r="BI76" s="684"/>
      <c r="BJ76" s="684"/>
      <c r="BK76" s="684"/>
      <c r="BL76" s="684"/>
      <c r="BM76" s="684"/>
      <c r="BN76" s="684"/>
      <c r="BO76" s="684"/>
      <c r="BP76" s="684"/>
      <c r="BQ76" s="684"/>
      <c r="BR76" s="684"/>
      <c r="BS76" s="684"/>
      <c r="BT76" s="684"/>
      <c r="BU76" s="684"/>
      <c r="BV76" s="684"/>
      <c r="BW76" s="684"/>
      <c r="BX76" s="684"/>
      <c r="BY76" s="684"/>
      <c r="BZ76" s="684"/>
      <c r="CA76" s="684"/>
      <c r="CB76" s="684"/>
      <c r="CC76" s="684"/>
      <c r="CD76" s="684"/>
      <c r="CE76" s="684"/>
      <c r="CF76" s="684"/>
      <c r="CG76" s="684"/>
      <c r="CH76" s="684"/>
      <c r="CI76" s="684"/>
      <c r="CJ76" s="684"/>
      <c r="CK76" s="684"/>
      <c r="CL76" s="684"/>
      <c r="CM76" s="684"/>
      <c r="CN76" s="684"/>
      <c r="CO76" s="684"/>
      <c r="CP76" s="684"/>
      <c r="CQ76" s="684"/>
      <c r="CR76" s="684"/>
      <c r="CS76" s="684"/>
      <c r="CT76" s="684"/>
      <c r="CU76" s="684"/>
      <c r="CV76" s="684"/>
      <c r="CW76" s="684"/>
      <c r="CX76" s="684"/>
      <c r="CY76" s="684"/>
      <c r="CZ76" s="684"/>
      <c r="DA76" s="684"/>
      <c r="DB76" s="684"/>
      <c r="DC76" s="684"/>
      <c r="DD76" s="684"/>
      <c r="DE76" s="684"/>
      <c r="DF76" s="684"/>
      <c r="DG76" s="684"/>
      <c r="DH76" s="684"/>
      <c r="DI76" s="684"/>
      <c r="DJ76" s="684"/>
      <c r="DK76" s="684"/>
      <c r="DL76" s="684"/>
      <c r="DM76" s="684"/>
      <c r="DN76" s="684"/>
      <c r="DO76" s="684"/>
      <c r="DP76" s="684"/>
      <c r="DQ76" s="684"/>
      <c r="DR76" s="684"/>
      <c r="DS76" s="684"/>
      <c r="DT76" s="684"/>
      <c r="DU76" s="684"/>
      <c r="DV76" s="684"/>
      <c r="DW76" s="684"/>
      <c r="DX76" s="684"/>
      <c r="DY76" s="684"/>
      <c r="DZ76" s="684"/>
      <c r="EA76" s="684"/>
      <c r="EB76" s="684"/>
      <c r="EC76" s="684"/>
      <c r="ED76" s="684"/>
      <c r="EE76" s="684"/>
      <c r="EF76" s="684"/>
      <c r="EG76" s="684"/>
      <c r="EH76" s="684"/>
      <c r="EI76" s="684"/>
      <c r="EJ76" s="684"/>
      <c r="EK76" s="684"/>
      <c r="EL76" s="684"/>
      <c r="EM76" s="684"/>
      <c r="EN76" s="684"/>
      <c r="EO76" s="684"/>
      <c r="EP76" s="684"/>
      <c r="EQ76" s="684"/>
      <c r="ER76" s="684"/>
      <c r="ES76" s="684"/>
      <c r="ET76" s="684"/>
      <c r="EU76" s="684"/>
      <c r="EV76" s="684"/>
      <c r="EW76" s="684"/>
      <c r="EX76" s="684"/>
      <c r="EY76" s="684"/>
      <c r="EZ76" s="684"/>
      <c r="FA76" s="684"/>
      <c r="FB76" s="684"/>
      <c r="FC76" s="684"/>
      <c r="FD76" s="684"/>
      <c r="FE76" s="684"/>
      <c r="FF76" s="684"/>
      <c r="FG76" s="684"/>
      <c r="FH76" s="684"/>
      <c r="FI76" s="684"/>
      <c r="FJ76" s="684"/>
      <c r="FK76" s="684"/>
      <c r="FL76" s="684"/>
      <c r="FM76" s="684"/>
      <c r="FN76" s="684"/>
      <c r="FO76" s="684"/>
      <c r="FP76" s="684"/>
      <c r="FQ76" s="684"/>
      <c r="FR76" s="684"/>
      <c r="FS76" s="684"/>
      <c r="FT76" s="684"/>
      <c r="FU76" s="684"/>
      <c r="FV76" s="684"/>
      <c r="FW76" s="684"/>
      <c r="FX76" s="684"/>
      <c r="FY76" s="684"/>
      <c r="FZ76" s="684"/>
      <c r="GA76" s="684"/>
      <c r="GB76" s="684"/>
      <c r="GC76" s="684"/>
      <c r="GD76" s="684"/>
      <c r="GE76" s="684"/>
      <c r="GF76" s="684"/>
      <c r="GG76" s="684"/>
      <c r="GH76" s="684"/>
      <c r="GI76" s="684"/>
      <c r="GJ76" s="684"/>
      <c r="GK76" s="684"/>
      <c r="GL76" s="684"/>
      <c r="GM76" s="684"/>
      <c r="GN76" s="684"/>
      <c r="GO76" s="684"/>
      <c r="GP76" s="684"/>
      <c r="GQ76" s="684"/>
      <c r="GR76" s="684"/>
      <c r="GS76" s="684"/>
      <c r="GT76" s="684"/>
      <c r="GU76" s="684"/>
      <c r="GV76" s="684"/>
      <c r="GW76" s="684"/>
      <c r="GX76" s="684"/>
      <c r="GY76" s="684"/>
      <c r="GZ76" s="684"/>
      <c r="HA76" s="684"/>
      <c r="HB76" s="684"/>
      <c r="HC76" s="684"/>
      <c r="HD76" s="684"/>
      <c r="HE76" s="684"/>
      <c r="HF76" s="684"/>
      <c r="HG76" s="684"/>
      <c r="HH76" s="684"/>
      <c r="HI76" s="684"/>
      <c r="HJ76" s="684"/>
      <c r="HK76" s="684"/>
      <c r="HL76" s="684"/>
      <c r="HM76" s="684"/>
      <c r="HN76" s="684"/>
      <c r="HO76" s="684"/>
      <c r="HP76" s="684"/>
      <c r="HQ76" s="684"/>
      <c r="HR76" s="684"/>
      <c r="HS76" s="684"/>
      <c r="HT76" s="684"/>
      <c r="HU76" s="684"/>
      <c r="HV76" s="684"/>
      <c r="HW76" s="684"/>
      <c r="HX76" s="684"/>
      <c r="HY76" s="684"/>
      <c r="HZ76" s="684"/>
      <c r="IA76" s="684"/>
      <c r="IB76" s="684"/>
      <c r="IC76" s="684"/>
      <c r="ID76" s="684"/>
      <c r="IE76" s="684"/>
      <c r="IF76" s="684"/>
      <c r="IG76" s="684"/>
      <c r="IH76" s="684"/>
      <c r="II76" s="684"/>
      <c r="IJ76" s="684"/>
      <c r="IK76" s="684"/>
      <c r="IL76" s="684"/>
      <c r="IM76" s="684"/>
      <c r="IN76" s="684"/>
      <c r="IO76" s="684"/>
      <c r="IP76" s="684"/>
      <c r="IQ76" s="684"/>
      <c r="IR76" s="684"/>
      <c r="IS76" s="684"/>
      <c r="IT76" s="684"/>
      <c r="IU76" s="684"/>
      <c r="IV76" s="684"/>
      <c r="IW76" s="684"/>
      <c r="IX76" s="684"/>
      <c r="IY76" s="684"/>
      <c r="IZ76" s="684"/>
      <c r="JA76" s="684"/>
      <c r="JB76" s="684"/>
      <c r="JC76" s="684"/>
      <c r="JD76" s="684"/>
      <c r="JE76" s="684"/>
      <c r="JF76" s="684"/>
      <c r="JG76" s="684"/>
      <c r="JH76" s="684"/>
      <c r="JI76" s="684"/>
      <c r="JJ76" s="684"/>
      <c r="JK76" s="684"/>
      <c r="JL76" s="684"/>
      <c r="JM76" s="684"/>
      <c r="JN76" s="684"/>
      <c r="JO76" s="684"/>
      <c r="JP76" s="684"/>
      <c r="JQ76" s="684"/>
      <c r="JR76" s="684"/>
      <c r="JS76" s="684"/>
      <c r="JT76" s="684"/>
      <c r="JU76" s="684"/>
      <c r="JV76" s="684"/>
      <c r="JW76" s="684"/>
      <c r="JX76" s="684"/>
      <c r="JY76" s="684"/>
      <c r="JZ76" s="684"/>
      <c r="KA76" s="684"/>
      <c r="KB76" s="684"/>
      <c r="KC76" s="684"/>
      <c r="KD76" s="684"/>
      <c r="KE76" s="684"/>
      <c r="KF76" s="684"/>
      <c r="KG76" s="684"/>
      <c r="KH76" s="684"/>
      <c r="KI76" s="684"/>
      <c r="KJ76" s="684"/>
      <c r="KK76" s="684"/>
      <c r="KL76" s="684"/>
      <c r="KM76" s="684"/>
      <c r="KN76" s="684"/>
      <c r="KO76" s="684"/>
      <c r="KP76" s="684"/>
      <c r="KQ76" s="684"/>
      <c r="KR76" s="684"/>
      <c r="KS76" s="684"/>
      <c r="KT76" s="684"/>
      <c r="KU76" s="684"/>
      <c r="KV76" s="684"/>
      <c r="KW76" s="684"/>
      <c r="KX76" s="684"/>
      <c r="KY76" s="684"/>
      <c r="KZ76" s="684"/>
      <c r="LA76" s="684"/>
      <c r="LB76" s="684"/>
      <c r="LC76" s="684"/>
      <c r="LD76" s="684"/>
      <c r="LE76" s="684"/>
      <c r="LF76" s="684"/>
      <c r="LG76" s="684"/>
      <c r="LH76" s="684"/>
      <c r="LI76" s="684"/>
      <c r="LJ76" s="684"/>
      <c r="LK76" s="684"/>
      <c r="LL76" s="684"/>
      <c r="LM76" s="684"/>
      <c r="LN76" s="684"/>
      <c r="LO76" s="684"/>
      <c r="LP76" s="684"/>
      <c r="LQ76" s="684"/>
      <c r="LR76" s="684"/>
      <c r="LS76" s="684"/>
      <c r="LT76" s="684"/>
      <c r="LU76" s="684"/>
      <c r="LV76" s="684"/>
      <c r="LW76" s="684"/>
      <c r="LX76" s="684"/>
      <c r="LY76" s="684"/>
      <c r="LZ76" s="684"/>
      <c r="MA76" s="684"/>
      <c r="MB76" s="684"/>
      <c r="MC76" s="684"/>
      <c r="MD76" s="684"/>
      <c r="ME76" s="684"/>
      <c r="MF76" s="684"/>
      <c r="MG76" s="684"/>
      <c r="MH76" s="684"/>
      <c r="MI76" s="684"/>
      <c r="MJ76" s="684"/>
      <c r="MK76" s="684"/>
      <c r="ML76" s="684"/>
      <c r="MM76" s="684"/>
      <c r="MN76" s="684"/>
      <c r="MO76" s="684"/>
      <c r="MP76" s="684"/>
      <c r="MQ76" s="684"/>
      <c r="MR76" s="684"/>
      <c r="MS76" s="684"/>
      <c r="MT76" s="684"/>
      <c r="MU76" s="684"/>
      <c r="MV76" s="684"/>
      <c r="MW76" s="684"/>
      <c r="MX76" s="684"/>
      <c r="MY76" s="684"/>
      <c r="MZ76" s="684"/>
      <c r="NA76" s="684"/>
      <c r="NB76" s="684"/>
      <c r="NC76" s="684"/>
      <c r="ND76" s="684"/>
      <c r="NE76" s="684"/>
      <c r="NF76" s="684"/>
      <c r="NG76" s="684"/>
      <c r="NH76" s="684"/>
      <c r="NI76" s="684"/>
      <c r="NJ76" s="684"/>
      <c r="NK76" s="684"/>
      <c r="NL76" s="684"/>
      <c r="NM76" s="684"/>
      <c r="NN76" s="684"/>
      <c r="NO76" s="684"/>
      <c r="NP76" s="684"/>
      <c r="NQ76" s="684"/>
      <c r="NR76" s="684"/>
      <c r="NS76" s="684"/>
      <c r="NT76" s="684"/>
      <c r="NU76" s="684"/>
      <c r="NV76" s="684"/>
      <c r="NW76" s="684"/>
      <c r="NX76" s="684"/>
      <c r="NY76" s="684"/>
      <c r="NZ76" s="684"/>
      <c r="OA76" s="684"/>
      <c r="OB76" s="684"/>
      <c r="OC76" s="684"/>
      <c r="OD76" s="684"/>
      <c r="OE76" s="684"/>
      <c r="OF76" s="684"/>
      <c r="OG76" s="684"/>
      <c r="OH76" s="684"/>
      <c r="OI76" s="684"/>
      <c r="OJ76" s="684"/>
      <c r="OK76" s="684"/>
      <c r="OL76" s="684"/>
      <c r="OM76" s="684"/>
      <c r="ON76" s="684"/>
      <c r="OO76" s="684"/>
      <c r="OP76" s="684"/>
      <c r="OQ76" s="684"/>
      <c r="OR76" s="684"/>
      <c r="OS76" s="684"/>
      <c r="OT76" s="684"/>
      <c r="OU76" s="684"/>
      <c r="OV76" s="684"/>
      <c r="OW76" s="684"/>
      <c r="OX76" s="684"/>
      <c r="OY76" s="684"/>
      <c r="OZ76" s="684"/>
      <c r="PA76" s="684"/>
      <c r="PB76" s="684"/>
      <c r="PC76" s="684"/>
      <c r="PD76" s="684"/>
      <c r="PE76" s="684"/>
      <c r="PF76" s="684"/>
      <c r="PG76" s="684"/>
      <c r="PH76" s="684"/>
      <c r="PI76" s="684"/>
      <c r="PJ76" s="684"/>
      <c r="PK76" s="684"/>
      <c r="PL76" s="684"/>
      <c r="PM76" s="684"/>
      <c r="PN76" s="684"/>
      <c r="PO76" s="684"/>
      <c r="PP76" s="684"/>
      <c r="PQ76" s="684"/>
      <c r="PR76" s="684"/>
      <c r="PS76" s="684"/>
      <c r="PT76" s="684"/>
      <c r="PU76" s="684"/>
      <c r="PV76" s="684"/>
      <c r="PW76" s="684"/>
      <c r="PX76" s="684"/>
      <c r="PY76" s="684"/>
      <c r="PZ76" s="684"/>
      <c r="QA76" s="684"/>
      <c r="QB76" s="684"/>
      <c r="QC76" s="684"/>
      <c r="QD76" s="684"/>
      <c r="QE76" s="684"/>
      <c r="QF76" s="684"/>
      <c r="QG76" s="684"/>
      <c r="QH76" s="684"/>
      <c r="QI76" s="684"/>
      <c r="QJ76" s="684"/>
      <c r="QK76" s="684"/>
      <c r="QL76" s="684"/>
      <c r="QM76" s="684"/>
      <c r="QN76" s="684"/>
      <c r="QO76" s="684"/>
      <c r="QP76" s="684"/>
      <c r="QQ76" s="684"/>
      <c r="QR76" s="684"/>
      <c r="QS76" s="684"/>
      <c r="QT76" s="684"/>
      <c r="QU76" s="684"/>
      <c r="QV76" s="684"/>
      <c r="QW76" s="684"/>
      <c r="QX76" s="684"/>
      <c r="QY76" s="684"/>
      <c r="QZ76" s="684"/>
      <c r="RA76" s="684"/>
      <c r="RB76" s="684"/>
      <c r="RC76" s="684"/>
      <c r="RD76" s="684"/>
      <c r="RE76" s="684"/>
      <c r="RF76" s="684"/>
      <c r="RG76" s="684"/>
      <c r="RH76" s="684"/>
      <c r="RI76" s="684"/>
      <c r="RJ76" s="684"/>
      <c r="RK76" s="684"/>
      <c r="RL76" s="684"/>
      <c r="RM76" s="684"/>
      <c r="RN76" s="684"/>
      <c r="RO76" s="684"/>
      <c r="RP76" s="684"/>
      <c r="RQ76" s="684"/>
      <c r="RR76" s="684"/>
      <c r="RS76" s="684"/>
      <c r="RT76" s="684"/>
      <c r="RU76" s="684"/>
      <c r="RV76" s="684"/>
      <c r="RW76" s="684"/>
      <c r="RX76" s="684"/>
      <c r="RY76" s="684"/>
      <c r="RZ76" s="684"/>
      <c r="SA76" s="684"/>
      <c r="SB76" s="684"/>
      <c r="SC76" s="684"/>
      <c r="SD76" s="684"/>
      <c r="SE76" s="684"/>
      <c r="SF76" s="684"/>
      <c r="SG76" s="684"/>
      <c r="SH76" s="684"/>
      <c r="SI76" s="684"/>
      <c r="SJ76" s="684"/>
      <c r="SK76" s="684"/>
      <c r="SL76" s="684"/>
      <c r="SM76" s="684"/>
      <c r="SN76" s="684"/>
      <c r="SO76" s="684"/>
      <c r="SP76" s="684"/>
      <c r="SQ76" s="684"/>
      <c r="SR76" s="684"/>
      <c r="SS76" s="684"/>
      <c r="ST76" s="684"/>
      <c r="SU76" s="684"/>
      <c r="SV76" s="684"/>
      <c r="SW76" s="684"/>
      <c r="SX76" s="684"/>
      <c r="SY76" s="684"/>
      <c r="SZ76" s="684"/>
      <c r="TA76" s="684"/>
      <c r="TB76" s="684"/>
      <c r="TC76" s="684"/>
      <c r="TD76" s="684"/>
      <c r="TE76" s="684"/>
      <c r="TF76" s="684"/>
      <c r="TG76" s="684"/>
      <c r="TH76" s="684"/>
      <c r="TI76" s="684"/>
      <c r="TJ76" s="684"/>
      <c r="TK76" s="684"/>
      <c r="TL76" s="684"/>
      <c r="TM76" s="684"/>
      <c r="TN76" s="684"/>
      <c r="TO76" s="684"/>
      <c r="TP76" s="684"/>
      <c r="TQ76" s="684"/>
      <c r="TR76" s="684"/>
      <c r="TS76" s="684"/>
      <c r="TT76" s="684"/>
      <c r="TU76" s="684"/>
      <c r="TV76" s="684"/>
      <c r="TW76" s="684"/>
      <c r="TX76" s="684"/>
      <c r="TY76" s="684"/>
      <c r="TZ76" s="684"/>
      <c r="UA76" s="684"/>
      <c r="UB76" s="684"/>
      <c r="UC76" s="684"/>
      <c r="UD76" s="684"/>
      <c r="UE76" s="684"/>
      <c r="UF76" s="684"/>
      <c r="UG76" s="684"/>
      <c r="UH76" s="684"/>
      <c r="UI76" s="684"/>
      <c r="UJ76" s="684"/>
      <c r="UK76" s="684"/>
      <c r="UL76" s="684"/>
      <c r="UM76" s="684"/>
      <c r="UN76" s="684"/>
      <c r="UO76" s="684"/>
      <c r="UP76" s="684"/>
      <c r="UQ76" s="684"/>
      <c r="UR76" s="684"/>
      <c r="US76" s="684"/>
      <c r="UT76" s="684"/>
      <c r="UU76" s="684"/>
      <c r="UV76" s="684"/>
      <c r="UW76" s="684"/>
      <c r="UX76" s="684"/>
      <c r="UY76" s="684"/>
      <c r="UZ76" s="684"/>
      <c r="VA76" s="684"/>
      <c r="VB76" s="684"/>
      <c r="VC76" s="684"/>
      <c r="VD76" s="684"/>
      <c r="VE76" s="684"/>
      <c r="VF76" s="684"/>
      <c r="VG76" s="684"/>
      <c r="VH76" s="684"/>
      <c r="VI76" s="684"/>
      <c r="VJ76" s="684"/>
      <c r="VK76" s="684"/>
      <c r="VL76" s="684"/>
      <c r="VM76" s="684"/>
      <c r="VN76" s="684"/>
      <c r="VO76" s="684"/>
      <c r="VP76" s="684"/>
      <c r="VQ76" s="684"/>
      <c r="VR76" s="684"/>
      <c r="VS76" s="684"/>
      <c r="VT76" s="684"/>
      <c r="VU76" s="684"/>
      <c r="VV76" s="684"/>
      <c r="VW76" s="684"/>
      <c r="VX76" s="684"/>
      <c r="VY76" s="684"/>
      <c r="VZ76" s="684"/>
      <c r="WA76" s="684"/>
      <c r="WB76" s="684"/>
      <c r="WC76" s="684"/>
      <c r="WD76" s="684"/>
      <c r="WE76" s="684"/>
      <c r="WF76" s="684"/>
      <c r="WG76" s="684"/>
      <c r="WH76" s="684"/>
      <c r="WI76" s="684"/>
      <c r="WJ76" s="684"/>
      <c r="WK76" s="684"/>
      <c r="WL76" s="684"/>
      <c r="WM76" s="684"/>
      <c r="WN76" s="684"/>
      <c r="WO76" s="684"/>
      <c r="WP76" s="684"/>
      <c r="WQ76" s="684"/>
      <c r="WR76" s="684"/>
      <c r="WS76" s="684"/>
      <c r="WT76" s="684"/>
      <c r="WU76" s="684"/>
      <c r="WV76" s="684"/>
      <c r="WW76" s="684"/>
      <c r="WX76" s="684"/>
      <c r="WY76" s="684"/>
      <c r="WZ76" s="684"/>
      <c r="XA76" s="684"/>
      <c r="XB76" s="684"/>
      <c r="XC76" s="684"/>
      <c r="XD76" s="684"/>
      <c r="XE76" s="684"/>
      <c r="XF76" s="684"/>
      <c r="XG76" s="684"/>
      <c r="XH76" s="684"/>
      <c r="XI76" s="684"/>
      <c r="XJ76" s="684"/>
      <c r="XK76" s="684"/>
      <c r="XL76" s="684"/>
      <c r="XM76" s="684"/>
      <c r="XN76" s="684"/>
      <c r="XO76" s="684"/>
      <c r="XP76" s="684"/>
      <c r="XQ76" s="684"/>
      <c r="XR76" s="684"/>
      <c r="XS76" s="684"/>
      <c r="XT76" s="684"/>
      <c r="XU76" s="684"/>
      <c r="XV76" s="684"/>
      <c r="XW76" s="684"/>
      <c r="XX76" s="684"/>
      <c r="XY76" s="684"/>
      <c r="XZ76" s="684"/>
      <c r="YA76" s="684"/>
      <c r="YB76" s="684"/>
      <c r="YC76" s="684"/>
      <c r="YD76" s="684"/>
      <c r="YE76" s="684"/>
      <c r="YF76" s="684"/>
      <c r="YG76" s="684"/>
      <c r="YH76" s="684"/>
      <c r="YI76" s="684"/>
      <c r="YJ76" s="684"/>
      <c r="YK76" s="684"/>
      <c r="YL76" s="684"/>
      <c r="YM76" s="684"/>
      <c r="YN76" s="684"/>
      <c r="YO76" s="684"/>
      <c r="YP76" s="684"/>
      <c r="YQ76" s="684"/>
      <c r="YR76" s="684"/>
      <c r="YS76" s="684"/>
      <c r="YT76" s="684"/>
      <c r="YU76" s="684"/>
      <c r="YV76" s="684"/>
      <c r="YW76" s="684"/>
      <c r="YX76" s="684"/>
      <c r="YY76" s="684"/>
      <c r="YZ76" s="684"/>
      <c r="ZA76" s="684"/>
      <c r="ZB76" s="684"/>
      <c r="ZC76" s="684"/>
      <c r="ZD76" s="684"/>
      <c r="ZE76" s="684"/>
      <c r="ZF76" s="684"/>
      <c r="ZG76" s="684"/>
      <c r="ZH76" s="684"/>
      <c r="ZI76" s="684"/>
      <c r="ZJ76" s="684"/>
      <c r="ZK76" s="684"/>
      <c r="ZL76" s="684"/>
      <c r="ZM76" s="684"/>
      <c r="ZN76" s="684"/>
      <c r="ZO76" s="684"/>
      <c r="ZP76" s="684"/>
      <c r="ZQ76" s="684"/>
      <c r="ZR76" s="684"/>
      <c r="ZS76" s="684"/>
      <c r="ZT76" s="684"/>
      <c r="ZU76" s="684"/>
      <c r="ZV76" s="684"/>
      <c r="ZW76" s="684"/>
      <c r="ZX76" s="684"/>
      <c r="ZY76" s="684"/>
      <c r="ZZ76" s="684"/>
      <c r="AAA76" s="684"/>
      <c r="AAB76" s="684"/>
      <c r="AAC76" s="684"/>
      <c r="AAD76" s="684"/>
      <c r="AAE76" s="684"/>
      <c r="AAF76" s="684"/>
      <c r="AAG76" s="684"/>
      <c r="AAH76" s="684"/>
      <c r="AAI76" s="684"/>
      <c r="AAJ76" s="684"/>
      <c r="AAK76" s="684"/>
      <c r="AAL76" s="684"/>
      <c r="AAM76" s="684"/>
      <c r="AAN76" s="684"/>
      <c r="AAO76" s="684"/>
      <c r="AAP76" s="684"/>
      <c r="AAQ76" s="684"/>
      <c r="AAR76" s="684"/>
      <c r="AAS76" s="684"/>
      <c r="AAT76" s="684"/>
      <c r="AAU76" s="684"/>
      <c r="AAV76" s="684"/>
      <c r="AAW76" s="684"/>
      <c r="AAX76" s="684"/>
      <c r="AAY76" s="684"/>
      <c r="AAZ76" s="684"/>
      <c r="ABA76" s="684"/>
      <c r="ABB76" s="684"/>
      <c r="ABC76" s="684"/>
      <c r="ABD76" s="684"/>
      <c r="ABE76" s="684"/>
      <c r="ABF76" s="684"/>
      <c r="ABG76" s="684"/>
      <c r="ABH76" s="684"/>
      <c r="ABI76" s="684"/>
      <c r="ABJ76" s="684"/>
      <c r="ABK76" s="684"/>
      <c r="ABL76" s="684"/>
      <c r="ABM76" s="684"/>
      <c r="ABN76" s="684"/>
      <c r="ABO76" s="684"/>
      <c r="ABP76" s="684"/>
      <c r="ABQ76" s="684"/>
      <c r="ABR76" s="684"/>
      <c r="ABS76" s="684"/>
      <c r="ABT76" s="684"/>
      <c r="ABU76" s="684"/>
      <c r="ABV76" s="684"/>
      <c r="ABW76" s="684"/>
      <c r="ABX76" s="684"/>
      <c r="ABY76" s="684"/>
      <c r="ABZ76" s="684"/>
      <c r="ACA76" s="684"/>
      <c r="ACB76" s="684"/>
      <c r="ACC76" s="684"/>
      <c r="ACD76" s="684"/>
      <c r="ACE76" s="684"/>
      <c r="ACF76" s="684"/>
      <c r="ACG76" s="684"/>
      <c r="ACH76" s="684"/>
      <c r="ACI76" s="684"/>
      <c r="ACJ76" s="684"/>
      <c r="ACK76" s="684"/>
      <c r="ACL76" s="684"/>
      <c r="ACM76" s="684"/>
      <c r="ACN76" s="684"/>
      <c r="ACO76" s="684"/>
      <c r="ACP76" s="684"/>
      <c r="ACQ76" s="684"/>
      <c r="ACR76" s="684"/>
      <c r="ACS76" s="684"/>
      <c r="ACT76" s="684"/>
      <c r="ACU76" s="684"/>
      <c r="ACV76" s="684"/>
      <c r="ACW76" s="684"/>
      <c r="ACX76" s="684"/>
      <c r="ACY76" s="684"/>
      <c r="ACZ76" s="684"/>
      <c r="ADA76" s="684"/>
      <c r="ADB76" s="684"/>
      <c r="ADC76" s="684"/>
      <c r="ADD76" s="684"/>
      <c r="ADE76" s="684"/>
      <c r="ADF76" s="684"/>
      <c r="ADG76" s="684"/>
      <c r="ADH76" s="684"/>
      <c r="ADI76" s="684"/>
      <c r="ADJ76" s="684"/>
      <c r="ADK76" s="684"/>
      <c r="ADL76" s="684"/>
      <c r="ADM76" s="684"/>
      <c r="ADN76" s="684"/>
      <c r="ADO76" s="684"/>
      <c r="ADP76" s="684"/>
      <c r="ADQ76" s="684"/>
      <c r="ADR76" s="684"/>
      <c r="ADS76" s="684"/>
      <c r="ADT76" s="684"/>
      <c r="ADU76" s="684"/>
      <c r="ADV76" s="684"/>
      <c r="ADW76" s="684"/>
      <c r="ADX76" s="684"/>
      <c r="ADY76" s="684"/>
      <c r="ADZ76" s="684"/>
      <c r="AEA76" s="684"/>
      <c r="AEB76" s="684"/>
      <c r="AEC76" s="684"/>
      <c r="AED76" s="684"/>
      <c r="AEE76" s="684"/>
      <c r="AEF76" s="684"/>
      <c r="AEG76" s="684"/>
      <c r="AEH76" s="684"/>
      <c r="AEI76" s="684"/>
      <c r="AEJ76" s="684"/>
      <c r="AEK76" s="684"/>
      <c r="AEL76" s="684"/>
      <c r="AEM76" s="684"/>
      <c r="AEN76" s="684"/>
      <c r="AEO76" s="684"/>
      <c r="AEP76" s="684"/>
      <c r="AEQ76" s="684"/>
      <c r="AER76" s="684"/>
      <c r="AES76" s="684"/>
      <c r="AET76" s="684"/>
      <c r="AEU76" s="684"/>
      <c r="AEV76" s="684"/>
      <c r="AEW76" s="684"/>
      <c r="AEX76" s="684"/>
      <c r="AEY76" s="684"/>
      <c r="AEZ76" s="684"/>
      <c r="AFA76" s="684"/>
      <c r="AFB76" s="684"/>
      <c r="AFC76" s="684"/>
      <c r="AFD76" s="684"/>
      <c r="AFE76" s="684"/>
      <c r="AFF76" s="684"/>
      <c r="AFG76" s="684"/>
      <c r="AFH76" s="684"/>
      <c r="AFI76" s="684"/>
      <c r="AFJ76" s="684"/>
      <c r="AFK76" s="684"/>
      <c r="AFL76" s="684"/>
      <c r="AFM76" s="684"/>
      <c r="AFN76" s="684"/>
      <c r="AFO76" s="684"/>
      <c r="AFP76" s="684"/>
      <c r="AFQ76" s="684"/>
      <c r="AFR76" s="684"/>
      <c r="AFS76" s="684"/>
      <c r="AFT76" s="684"/>
      <c r="AFU76" s="684"/>
      <c r="AFV76" s="684"/>
      <c r="AFW76" s="684"/>
      <c r="AFX76" s="684"/>
      <c r="AFY76" s="684"/>
      <c r="AFZ76" s="684"/>
      <c r="AGA76" s="684"/>
      <c r="AGB76" s="684"/>
      <c r="AGC76" s="684"/>
      <c r="AGD76" s="684"/>
      <c r="AGE76" s="684"/>
      <c r="AGF76" s="684"/>
      <c r="AGG76" s="684"/>
      <c r="AGH76" s="684"/>
      <c r="AGI76" s="684"/>
      <c r="AGJ76" s="684"/>
      <c r="AGK76" s="684"/>
      <c r="AGL76" s="684"/>
      <c r="AGM76" s="684"/>
      <c r="AGN76" s="684"/>
      <c r="AGO76" s="684"/>
      <c r="AGP76" s="684"/>
      <c r="AGQ76" s="684"/>
      <c r="AGR76" s="684"/>
      <c r="AGS76" s="684"/>
      <c r="AGT76" s="684"/>
      <c r="AGU76" s="684"/>
      <c r="AGV76" s="684"/>
      <c r="AGW76" s="684"/>
      <c r="AGX76" s="684"/>
      <c r="AGY76" s="684"/>
      <c r="AGZ76" s="684"/>
      <c r="AHA76" s="684"/>
      <c r="AHB76" s="684"/>
      <c r="AHC76" s="684"/>
      <c r="AHD76" s="684"/>
      <c r="AHE76" s="684"/>
      <c r="AHF76" s="684"/>
      <c r="AHG76" s="684"/>
      <c r="AHH76" s="684"/>
      <c r="AHI76" s="684"/>
      <c r="AHJ76" s="684"/>
      <c r="AHK76" s="684"/>
      <c r="AHL76" s="684"/>
      <c r="AHM76" s="684"/>
      <c r="AHN76" s="684"/>
      <c r="AHO76" s="684"/>
      <c r="AHP76" s="684"/>
      <c r="AHQ76" s="684"/>
      <c r="AHR76" s="684"/>
      <c r="AHS76" s="684"/>
      <c r="AHT76" s="684"/>
      <c r="AHU76" s="684"/>
      <c r="AHV76" s="684"/>
      <c r="AHW76" s="684"/>
      <c r="AHX76" s="684"/>
      <c r="AHY76" s="684"/>
      <c r="AHZ76" s="684"/>
      <c r="AIA76" s="684"/>
      <c r="AIB76" s="684"/>
      <c r="AIC76" s="684"/>
      <c r="AID76" s="684"/>
      <c r="AIE76" s="684"/>
      <c r="AIF76" s="684"/>
      <c r="AIG76" s="684"/>
      <c r="AIH76" s="684"/>
      <c r="AII76" s="684"/>
      <c r="AIJ76" s="684"/>
      <c r="AIK76" s="684"/>
      <c r="AIL76" s="684"/>
      <c r="AIM76" s="684"/>
      <c r="AIN76" s="684"/>
      <c r="AIO76" s="684"/>
      <c r="AIP76" s="684"/>
      <c r="AIQ76" s="684"/>
      <c r="AIR76" s="684"/>
      <c r="AIS76" s="684"/>
      <c r="AIT76" s="684"/>
      <c r="AIU76" s="684"/>
      <c r="AIV76" s="684"/>
      <c r="AIW76" s="684"/>
      <c r="AIX76" s="684"/>
      <c r="AIY76" s="684"/>
      <c r="AIZ76" s="684"/>
      <c r="AJA76" s="684"/>
      <c r="AJB76" s="684"/>
      <c r="AJC76" s="684"/>
      <c r="AJD76" s="684"/>
      <c r="AJE76" s="684"/>
      <c r="AJF76" s="684"/>
      <c r="AJG76" s="684"/>
      <c r="AJH76" s="684"/>
      <c r="AJI76" s="684"/>
      <c r="AJJ76" s="684"/>
      <c r="AJK76" s="684"/>
      <c r="AJL76" s="684"/>
      <c r="AJM76" s="684"/>
      <c r="AJN76" s="684"/>
      <c r="AJO76" s="684"/>
      <c r="AJP76" s="684"/>
      <c r="AJQ76" s="684"/>
      <c r="AJR76" s="684"/>
      <c r="AJS76" s="684"/>
      <c r="AJT76" s="684"/>
      <c r="AJU76" s="684"/>
      <c r="AJV76" s="684"/>
      <c r="AJW76" s="684"/>
      <c r="AJX76" s="684"/>
      <c r="AJY76" s="684"/>
      <c r="AJZ76" s="684"/>
      <c r="AKA76" s="684"/>
      <c r="AKB76" s="684"/>
      <c r="AKC76" s="684"/>
      <c r="AKD76" s="684"/>
      <c r="AKE76" s="684"/>
      <c r="AKF76" s="684"/>
      <c r="AKG76" s="684"/>
      <c r="AKH76" s="684"/>
      <c r="AKI76" s="684"/>
      <c r="AKJ76" s="684"/>
      <c r="AKK76" s="684"/>
      <c r="AKL76" s="684"/>
      <c r="AKM76" s="684"/>
      <c r="AKN76" s="684"/>
      <c r="AKO76" s="684"/>
      <c r="AKP76" s="684"/>
      <c r="AKQ76" s="684"/>
      <c r="AKR76" s="684"/>
      <c r="AKS76" s="684"/>
      <c r="AKT76" s="684"/>
      <c r="AKU76" s="684"/>
      <c r="AKV76" s="684"/>
      <c r="AKW76" s="684"/>
      <c r="AKX76" s="684"/>
      <c r="AKY76" s="684"/>
      <c r="AKZ76" s="684"/>
      <c r="ALA76" s="684"/>
      <c r="ALB76" s="684"/>
      <c r="ALC76" s="684"/>
      <c r="ALD76" s="684"/>
      <c r="ALE76" s="684"/>
      <c r="ALF76" s="684"/>
      <c r="ALG76" s="684"/>
      <c r="ALH76" s="684"/>
      <c r="ALI76" s="684"/>
      <c r="ALJ76" s="684"/>
      <c r="ALK76" s="684"/>
      <c r="ALL76" s="684"/>
      <c r="ALM76" s="684"/>
      <c r="ALN76" s="684"/>
      <c r="ALO76" s="684"/>
      <c r="ALP76" s="684"/>
      <c r="ALQ76" s="684"/>
      <c r="ALR76" s="684"/>
      <c r="ALS76" s="684"/>
      <c r="ALT76" s="684"/>
      <c r="ALU76" s="684"/>
      <c r="ALV76" s="684"/>
      <c r="ALW76" s="684"/>
      <c r="ALX76" s="684"/>
      <c r="ALY76" s="684"/>
      <c r="ALZ76" s="684"/>
      <c r="AMA76" s="684"/>
      <c r="AMB76" s="684"/>
      <c r="AMC76" s="684"/>
      <c r="AMD76" s="684"/>
      <c r="AME76" s="684"/>
      <c r="AMF76" s="684"/>
      <c r="AMG76" s="684"/>
      <c r="AMH76" s="684"/>
      <c r="AMI76" s="684"/>
      <c r="AMJ76" s="684"/>
      <c r="AMK76" s="684"/>
      <c r="AML76" s="684"/>
      <c r="AMM76" s="684"/>
      <c r="AMN76" s="684"/>
      <c r="AMO76" s="684"/>
      <c r="AMP76" s="684"/>
      <c r="AMQ76" s="684"/>
      <c r="AMR76" s="684"/>
      <c r="AMS76" s="684"/>
      <c r="AMT76" s="684"/>
      <c r="AMU76" s="684"/>
      <c r="AMV76" s="684"/>
      <c r="AMW76" s="684"/>
      <c r="AMX76" s="684"/>
      <c r="AMY76" s="684"/>
      <c r="AMZ76" s="684"/>
      <c r="ANA76" s="684"/>
      <c r="ANB76" s="684"/>
      <c r="ANC76" s="684"/>
      <c r="AND76" s="684"/>
      <c r="ANE76" s="684"/>
      <c r="ANF76" s="684"/>
      <c r="ANG76" s="684"/>
      <c r="ANH76" s="684"/>
      <c r="ANI76" s="684"/>
      <c r="ANJ76" s="684"/>
      <c r="ANK76" s="684"/>
      <c r="ANL76" s="684"/>
      <c r="ANM76" s="684"/>
      <c r="ANN76" s="684"/>
      <c r="ANO76" s="684"/>
      <c r="ANP76" s="684"/>
      <c r="ANQ76" s="684"/>
      <c r="ANR76" s="684"/>
      <c r="ANS76" s="684"/>
      <c r="ANT76" s="684"/>
      <c r="ANU76" s="684"/>
      <c r="ANV76" s="684"/>
      <c r="ANW76" s="684"/>
      <c r="ANX76" s="684"/>
      <c r="ANY76" s="684"/>
      <c r="ANZ76" s="684"/>
      <c r="AOA76" s="684"/>
      <c r="AOB76" s="684"/>
      <c r="AOC76" s="684"/>
      <c r="AOD76" s="684"/>
      <c r="AOE76" s="684"/>
      <c r="AOF76" s="684"/>
      <c r="AOG76" s="684"/>
      <c r="AOH76" s="684"/>
      <c r="AOI76" s="684"/>
      <c r="AOJ76" s="684"/>
      <c r="AOK76" s="684"/>
      <c r="AOL76" s="684"/>
      <c r="AOM76" s="684"/>
      <c r="AON76" s="684"/>
      <c r="AOO76" s="684"/>
      <c r="AOP76" s="684"/>
      <c r="AOQ76" s="684"/>
      <c r="AOR76" s="684"/>
      <c r="AOS76" s="684"/>
      <c r="AOT76" s="684"/>
      <c r="AOU76" s="684"/>
      <c r="AOV76" s="684"/>
      <c r="AOW76" s="684"/>
      <c r="AOX76" s="684"/>
      <c r="AOY76" s="684"/>
      <c r="AOZ76" s="684"/>
      <c r="APA76" s="684"/>
      <c r="APB76" s="684"/>
      <c r="APC76" s="684"/>
      <c r="APD76" s="684"/>
      <c r="APE76" s="684"/>
      <c r="APF76" s="684"/>
      <c r="APG76" s="684"/>
      <c r="APH76" s="684"/>
      <c r="API76" s="684"/>
      <c r="APJ76" s="684"/>
      <c r="APK76" s="684"/>
      <c r="APL76" s="684"/>
      <c r="APM76" s="684"/>
      <c r="APN76" s="684"/>
      <c r="APO76" s="684"/>
      <c r="APP76" s="684"/>
      <c r="APQ76" s="684"/>
      <c r="APR76" s="684"/>
      <c r="APS76" s="684"/>
      <c r="APT76" s="684"/>
      <c r="APU76" s="684"/>
      <c r="APV76" s="684"/>
      <c r="APW76" s="684"/>
      <c r="APX76" s="684"/>
      <c r="APY76" s="684"/>
      <c r="APZ76" s="684"/>
      <c r="AQA76" s="684"/>
      <c r="AQB76" s="684"/>
      <c r="AQC76" s="684"/>
      <c r="AQD76" s="684"/>
      <c r="AQE76" s="684"/>
      <c r="AQF76" s="684"/>
      <c r="AQG76" s="684"/>
      <c r="AQH76" s="684"/>
      <c r="AQI76" s="684"/>
      <c r="AQJ76" s="684"/>
      <c r="AQK76" s="684"/>
      <c r="AQL76" s="684"/>
      <c r="AQM76" s="684"/>
      <c r="AQN76" s="684"/>
      <c r="AQO76" s="684"/>
      <c r="AQP76" s="684"/>
      <c r="AQQ76" s="684"/>
      <c r="AQR76" s="684"/>
      <c r="AQS76" s="684"/>
      <c r="AQT76" s="684"/>
      <c r="AQU76" s="684"/>
      <c r="AQV76" s="684"/>
      <c r="AQW76" s="684"/>
      <c r="AQX76" s="684"/>
      <c r="AQY76" s="684"/>
      <c r="AQZ76" s="684"/>
      <c r="ARA76" s="684"/>
      <c r="ARB76" s="684"/>
      <c r="ARC76" s="684"/>
      <c r="ARD76" s="684"/>
      <c r="ARE76" s="684"/>
      <c r="ARF76" s="684"/>
      <c r="ARG76" s="684"/>
      <c r="ARH76" s="684"/>
      <c r="ARI76" s="684"/>
      <c r="ARJ76" s="684"/>
      <c r="ARK76" s="684"/>
      <c r="ARL76" s="684"/>
      <c r="ARM76" s="684"/>
      <c r="ARN76" s="684"/>
      <c r="ARO76" s="684"/>
      <c r="ARP76" s="684"/>
      <c r="ARQ76" s="684"/>
      <c r="ARR76" s="684"/>
      <c r="ARS76" s="684"/>
      <c r="ART76" s="684"/>
      <c r="ARU76" s="684"/>
      <c r="ARV76" s="684"/>
      <c r="ARW76" s="684"/>
      <c r="ARX76" s="684"/>
      <c r="ARY76" s="684"/>
      <c r="ARZ76" s="684"/>
      <c r="ASA76" s="684"/>
      <c r="ASB76" s="684"/>
      <c r="ASC76" s="684"/>
      <c r="ASD76" s="684"/>
      <c r="ASE76" s="684"/>
      <c r="ASF76" s="684"/>
      <c r="ASG76" s="684"/>
      <c r="ASH76" s="684"/>
      <c r="ASI76" s="684"/>
      <c r="ASJ76" s="684"/>
      <c r="ASK76" s="684"/>
      <c r="ASL76" s="684"/>
      <c r="ASM76" s="684"/>
      <c r="ASN76" s="684"/>
      <c r="ASO76" s="684"/>
      <c r="ASP76" s="684"/>
      <c r="ASQ76" s="684"/>
      <c r="ASR76" s="684"/>
      <c r="ASS76" s="684"/>
      <c r="AST76" s="684"/>
      <c r="ASU76" s="684"/>
      <c r="ASV76" s="684"/>
      <c r="ASW76" s="684"/>
      <c r="ASX76" s="684"/>
      <c r="ASY76" s="684"/>
      <c r="ASZ76" s="684"/>
      <c r="ATA76" s="684"/>
      <c r="ATB76" s="684"/>
      <c r="ATC76" s="684"/>
      <c r="ATD76" s="684"/>
      <c r="ATE76" s="684"/>
      <c r="ATF76" s="684"/>
      <c r="ATG76" s="684"/>
      <c r="ATH76" s="684"/>
      <c r="ATI76" s="684"/>
      <c r="ATJ76" s="684"/>
      <c r="ATK76" s="684"/>
      <c r="ATL76" s="684"/>
      <c r="ATM76" s="684"/>
      <c r="ATN76" s="684"/>
      <c r="ATO76" s="684"/>
      <c r="ATP76" s="684"/>
      <c r="ATQ76" s="684"/>
      <c r="ATR76" s="684"/>
      <c r="ATS76" s="684"/>
      <c r="ATT76" s="684"/>
      <c r="ATU76" s="684"/>
      <c r="ATV76" s="684"/>
      <c r="ATW76" s="684"/>
      <c r="ATX76" s="684"/>
      <c r="ATY76" s="684"/>
      <c r="ATZ76" s="684"/>
      <c r="AUA76" s="684"/>
      <c r="AUB76" s="684"/>
      <c r="AUC76" s="684"/>
      <c r="AUD76" s="684"/>
      <c r="AUE76" s="684"/>
      <c r="AUF76" s="684"/>
      <c r="AUG76" s="684"/>
      <c r="AUH76" s="684"/>
      <c r="AUI76" s="684"/>
      <c r="AUJ76" s="684"/>
      <c r="AUK76" s="684"/>
      <c r="AUL76" s="684"/>
      <c r="AUM76" s="684"/>
      <c r="AUN76" s="684"/>
      <c r="AUO76" s="684"/>
      <c r="AUP76" s="684"/>
      <c r="AUQ76" s="684"/>
      <c r="AUR76" s="684"/>
      <c r="AUS76" s="684"/>
      <c r="AUT76" s="684"/>
      <c r="AUU76" s="684"/>
      <c r="AUV76" s="684"/>
      <c r="AUW76" s="684"/>
      <c r="AUX76" s="684"/>
      <c r="AUY76" s="684"/>
      <c r="AUZ76" s="684"/>
      <c r="AVA76" s="684"/>
      <c r="AVB76" s="684"/>
      <c r="AVC76" s="684"/>
      <c r="AVD76" s="684"/>
      <c r="AVE76" s="684"/>
      <c r="AVF76" s="684"/>
      <c r="AVG76" s="684"/>
      <c r="AVH76" s="684"/>
      <c r="AVI76" s="684"/>
      <c r="AVJ76" s="684"/>
      <c r="AVK76" s="684"/>
      <c r="AVL76" s="684"/>
      <c r="AVM76" s="684"/>
      <c r="AVN76" s="684"/>
      <c r="AVO76" s="684"/>
      <c r="AVP76" s="684"/>
      <c r="AVQ76" s="684"/>
      <c r="AVR76" s="684"/>
      <c r="AVS76" s="684"/>
      <c r="AVT76" s="684"/>
      <c r="AVU76" s="684"/>
      <c r="AVV76" s="684"/>
      <c r="AVW76" s="684"/>
      <c r="AVX76" s="684"/>
      <c r="AVY76" s="684"/>
      <c r="AVZ76" s="684"/>
      <c r="AWA76" s="684"/>
      <c r="AWB76" s="684"/>
      <c r="AWC76" s="684"/>
      <c r="AWD76" s="684"/>
      <c r="AWE76" s="684"/>
      <c r="AWF76" s="684"/>
      <c r="AWG76" s="684"/>
      <c r="AWH76" s="684"/>
      <c r="AWI76" s="684"/>
      <c r="AWJ76" s="684"/>
      <c r="AWK76" s="684"/>
      <c r="AWL76" s="684"/>
      <c r="AWM76" s="684"/>
      <c r="AWN76" s="684"/>
      <c r="AWO76" s="684"/>
      <c r="AWP76" s="684"/>
      <c r="AWQ76" s="684"/>
      <c r="AWR76" s="684"/>
      <c r="AWS76" s="684"/>
      <c r="AWT76" s="684"/>
      <c r="AWU76" s="684"/>
      <c r="AWV76" s="684"/>
      <c r="AWW76" s="684"/>
      <c r="AWX76" s="684"/>
      <c r="AWY76" s="684"/>
      <c r="AWZ76" s="684"/>
      <c r="AXA76" s="684"/>
      <c r="AXB76" s="684"/>
      <c r="AXC76" s="684"/>
      <c r="AXD76" s="684"/>
      <c r="AXE76" s="684"/>
      <c r="AXF76" s="684"/>
      <c r="AXG76" s="684"/>
      <c r="AXH76" s="684"/>
      <c r="AXI76" s="684"/>
      <c r="AXJ76" s="684"/>
      <c r="AXK76" s="684"/>
      <c r="AXL76" s="684"/>
      <c r="AXM76" s="684"/>
      <c r="AXN76" s="684"/>
      <c r="AXO76" s="684"/>
      <c r="AXP76" s="684"/>
      <c r="AXQ76" s="684"/>
      <c r="AXR76" s="684"/>
      <c r="AXS76" s="684"/>
      <c r="AXT76" s="684"/>
      <c r="AXU76" s="684"/>
      <c r="AXV76" s="684"/>
      <c r="AXW76" s="684"/>
      <c r="AXX76" s="684"/>
      <c r="AXY76" s="684"/>
      <c r="AXZ76" s="684"/>
      <c r="AYA76" s="684"/>
      <c r="AYB76" s="684"/>
      <c r="AYC76" s="684"/>
      <c r="AYD76" s="684"/>
      <c r="AYE76" s="684"/>
      <c r="AYF76" s="684"/>
      <c r="AYG76" s="684"/>
      <c r="AYH76" s="684"/>
      <c r="AYI76" s="684"/>
      <c r="AYJ76" s="684"/>
      <c r="AYK76" s="684"/>
      <c r="AYL76" s="684"/>
      <c r="AYM76" s="684"/>
      <c r="AYN76" s="684"/>
      <c r="AYO76" s="684"/>
      <c r="AYP76" s="684"/>
      <c r="AYQ76" s="684"/>
      <c r="AYR76" s="684"/>
      <c r="AYS76" s="684"/>
      <c r="AYT76" s="684"/>
      <c r="AYU76" s="684"/>
      <c r="AYV76" s="684"/>
      <c r="AYW76" s="684"/>
      <c r="AYX76" s="684"/>
      <c r="AYY76" s="684"/>
      <c r="AYZ76" s="684"/>
      <c r="AZA76" s="684"/>
      <c r="AZB76" s="684"/>
      <c r="AZC76" s="684"/>
      <c r="AZD76" s="684"/>
      <c r="AZE76" s="684"/>
      <c r="AZF76" s="684"/>
      <c r="AZG76" s="684"/>
      <c r="AZH76" s="684"/>
      <c r="AZI76" s="684"/>
      <c r="AZJ76" s="684"/>
      <c r="AZK76" s="684"/>
      <c r="AZL76" s="684"/>
      <c r="AZM76" s="684"/>
      <c r="AZN76" s="684"/>
      <c r="AZO76" s="684"/>
      <c r="AZP76" s="684"/>
      <c r="AZQ76" s="684"/>
      <c r="AZR76" s="684"/>
      <c r="AZS76" s="684"/>
      <c r="AZT76" s="684"/>
      <c r="AZU76" s="684"/>
      <c r="AZV76" s="684"/>
      <c r="AZW76" s="684"/>
      <c r="AZX76" s="684"/>
      <c r="AZY76" s="684"/>
      <c r="AZZ76" s="684"/>
      <c r="BAA76" s="684"/>
      <c r="BAB76" s="684"/>
      <c r="BAC76" s="684"/>
      <c r="BAD76" s="684"/>
      <c r="BAE76" s="684"/>
      <c r="BAF76" s="684"/>
      <c r="BAG76" s="684"/>
      <c r="BAH76" s="684"/>
      <c r="BAI76" s="684"/>
      <c r="BAJ76" s="684"/>
      <c r="BAK76" s="684"/>
      <c r="BAL76" s="684"/>
      <c r="BAM76" s="684"/>
      <c r="BAN76" s="684"/>
      <c r="BAO76" s="684"/>
      <c r="BAP76" s="684"/>
      <c r="BAQ76" s="684"/>
      <c r="BAR76" s="684"/>
      <c r="BAS76" s="684"/>
      <c r="BAT76" s="684"/>
      <c r="BAU76" s="684"/>
      <c r="BAV76" s="684"/>
      <c r="BAW76" s="684"/>
      <c r="BAX76" s="684"/>
      <c r="BAY76" s="684"/>
      <c r="BAZ76" s="684"/>
      <c r="BBA76" s="684"/>
      <c r="BBB76" s="684"/>
      <c r="BBC76" s="684"/>
      <c r="BBD76" s="684"/>
      <c r="BBE76" s="684"/>
      <c r="BBF76" s="684"/>
      <c r="BBG76" s="684"/>
      <c r="BBH76" s="684"/>
      <c r="BBI76" s="684"/>
      <c r="BBJ76" s="684"/>
      <c r="BBK76" s="684"/>
      <c r="BBL76" s="684"/>
      <c r="BBM76" s="684"/>
      <c r="BBN76" s="684"/>
      <c r="BBO76" s="684"/>
      <c r="BBP76" s="684"/>
      <c r="BBQ76" s="684"/>
      <c r="BBR76" s="684"/>
      <c r="BBS76" s="684"/>
      <c r="BBT76" s="684"/>
      <c r="BBU76" s="684"/>
      <c r="BBV76" s="684"/>
      <c r="BBW76" s="684"/>
      <c r="BBX76" s="684"/>
      <c r="BBY76" s="684"/>
      <c r="BBZ76" s="684"/>
      <c r="BCA76" s="684"/>
      <c r="BCB76" s="684"/>
      <c r="BCC76" s="684"/>
      <c r="BCD76" s="684"/>
      <c r="BCE76" s="684"/>
      <c r="BCF76" s="684"/>
      <c r="BCG76" s="684"/>
      <c r="BCH76" s="684"/>
      <c r="BCI76" s="684"/>
      <c r="BCJ76" s="684"/>
      <c r="BCK76" s="684"/>
      <c r="BCL76" s="684"/>
      <c r="BCM76" s="684"/>
      <c r="BCN76" s="684"/>
      <c r="BCO76" s="684"/>
      <c r="BCP76" s="684"/>
      <c r="BCQ76" s="684"/>
      <c r="BCR76" s="684"/>
      <c r="BCS76" s="684"/>
      <c r="BCT76" s="684"/>
      <c r="BCU76" s="684"/>
      <c r="BCV76" s="684"/>
      <c r="BCW76" s="684"/>
      <c r="BCX76" s="684"/>
      <c r="BCY76" s="684"/>
      <c r="BCZ76" s="684"/>
      <c r="BDA76" s="684"/>
      <c r="BDB76" s="684"/>
      <c r="BDC76" s="684"/>
      <c r="BDD76" s="684"/>
      <c r="BDE76" s="684"/>
      <c r="BDF76" s="684"/>
      <c r="BDG76" s="684"/>
      <c r="BDH76" s="684"/>
      <c r="BDI76" s="684"/>
      <c r="BDJ76" s="684"/>
      <c r="BDK76" s="684"/>
      <c r="BDL76" s="684"/>
      <c r="BDM76" s="684"/>
      <c r="BDN76" s="684"/>
      <c r="BDO76" s="684"/>
      <c r="BDP76" s="684"/>
      <c r="BDQ76" s="684"/>
      <c r="BDR76" s="684"/>
      <c r="BDS76" s="684"/>
      <c r="BDT76" s="684"/>
      <c r="BDU76" s="684"/>
      <c r="BDV76" s="684"/>
      <c r="BDW76" s="684"/>
      <c r="BDX76" s="684"/>
      <c r="BDY76" s="684"/>
      <c r="BDZ76" s="684"/>
      <c r="BEA76" s="684"/>
      <c r="BEB76" s="684"/>
      <c r="BEC76" s="684"/>
      <c r="BED76" s="684"/>
      <c r="BEE76" s="684"/>
      <c r="BEF76" s="684"/>
      <c r="BEG76" s="684"/>
      <c r="BEH76" s="684"/>
      <c r="BEI76" s="684"/>
      <c r="BEJ76" s="684"/>
      <c r="BEK76" s="684"/>
      <c r="BEL76" s="684"/>
      <c r="BEM76" s="684"/>
      <c r="BEN76" s="684"/>
      <c r="BEO76" s="684"/>
      <c r="BEP76" s="684"/>
      <c r="BEQ76" s="684"/>
      <c r="BER76" s="684"/>
      <c r="BES76" s="684"/>
      <c r="BET76" s="684"/>
      <c r="BEU76" s="684"/>
      <c r="BEV76" s="684"/>
      <c r="BEW76" s="684"/>
      <c r="BEX76" s="684"/>
      <c r="BEY76" s="684"/>
      <c r="BEZ76" s="684"/>
      <c r="BFA76" s="684"/>
      <c r="BFB76" s="684"/>
      <c r="BFC76" s="684"/>
      <c r="BFD76" s="684"/>
      <c r="BFE76" s="684"/>
      <c r="BFF76" s="684"/>
      <c r="BFG76" s="684"/>
      <c r="BFH76" s="684"/>
      <c r="BFI76" s="684"/>
      <c r="BFJ76" s="684"/>
      <c r="BFK76" s="684"/>
      <c r="BFL76" s="684"/>
      <c r="BFM76" s="684"/>
      <c r="BFN76" s="684"/>
      <c r="BFO76" s="684"/>
      <c r="BFP76" s="684"/>
      <c r="BFQ76" s="684"/>
      <c r="BFR76" s="684"/>
      <c r="BFS76" s="684"/>
      <c r="BFT76" s="684"/>
      <c r="BFU76" s="684"/>
      <c r="BFV76" s="684"/>
      <c r="BFW76" s="684"/>
      <c r="BFX76" s="684"/>
      <c r="BFY76" s="684"/>
      <c r="BFZ76" s="684"/>
      <c r="BGA76" s="684"/>
      <c r="BGB76" s="684"/>
      <c r="BGC76" s="684"/>
      <c r="BGD76" s="684"/>
      <c r="BGE76" s="684"/>
      <c r="BGF76" s="684"/>
      <c r="BGG76" s="684"/>
      <c r="BGH76" s="684"/>
      <c r="BGI76" s="684"/>
      <c r="BGJ76" s="684"/>
      <c r="BGK76" s="684"/>
      <c r="BGL76" s="684"/>
      <c r="BGM76" s="684"/>
      <c r="BGN76" s="684"/>
      <c r="BGO76" s="684"/>
      <c r="BGP76" s="684"/>
      <c r="BGQ76" s="684"/>
      <c r="BGR76" s="684"/>
      <c r="BGS76" s="684"/>
      <c r="BGT76" s="684"/>
      <c r="BGU76" s="684"/>
      <c r="BGV76" s="684"/>
      <c r="BGW76" s="684"/>
      <c r="BGX76" s="684"/>
      <c r="BGY76" s="684"/>
      <c r="BGZ76" s="684"/>
      <c r="BHA76" s="684"/>
      <c r="BHB76" s="684"/>
      <c r="BHC76" s="684"/>
      <c r="BHD76" s="684"/>
      <c r="BHE76" s="684"/>
      <c r="BHF76" s="684"/>
      <c r="BHG76" s="684"/>
      <c r="BHH76" s="684"/>
      <c r="BHI76" s="684"/>
      <c r="BHJ76" s="684"/>
      <c r="BHK76" s="684"/>
      <c r="BHL76" s="684"/>
      <c r="BHM76" s="684"/>
      <c r="BHN76" s="684"/>
      <c r="BHO76" s="684"/>
      <c r="BHP76" s="684"/>
      <c r="BHQ76" s="684"/>
      <c r="BHR76" s="684"/>
      <c r="BHS76" s="684"/>
      <c r="BHT76" s="684"/>
      <c r="BHU76" s="684"/>
      <c r="BHV76" s="684"/>
      <c r="BHW76" s="684"/>
      <c r="BHX76" s="684"/>
      <c r="BHY76" s="684"/>
      <c r="BHZ76" s="684"/>
      <c r="BIA76" s="684"/>
      <c r="BIB76" s="684"/>
      <c r="BIC76" s="684"/>
      <c r="BID76" s="684"/>
      <c r="BIE76" s="684"/>
      <c r="BIF76" s="684"/>
      <c r="BIG76" s="684"/>
      <c r="BIH76" s="684"/>
      <c r="BII76" s="684"/>
      <c r="BIJ76" s="684"/>
      <c r="BIK76" s="684"/>
      <c r="BIL76" s="684"/>
      <c r="BIM76" s="684"/>
      <c r="BIN76" s="684"/>
      <c r="BIO76" s="684"/>
      <c r="BIP76" s="684"/>
      <c r="BIQ76" s="684"/>
      <c r="BIR76" s="684"/>
      <c r="BIS76" s="684"/>
      <c r="BIT76" s="684"/>
      <c r="BIU76" s="684"/>
      <c r="BIV76" s="684"/>
      <c r="BIW76" s="684"/>
      <c r="BIX76" s="684"/>
      <c r="BIY76" s="684"/>
      <c r="BIZ76" s="684"/>
      <c r="BJA76" s="684"/>
      <c r="BJB76" s="684"/>
      <c r="BJC76" s="684"/>
      <c r="BJD76" s="684"/>
      <c r="BJE76" s="684"/>
      <c r="BJF76" s="684"/>
      <c r="BJG76" s="684"/>
      <c r="BJH76" s="684"/>
      <c r="BJI76" s="684"/>
      <c r="BJJ76" s="684"/>
      <c r="BJK76" s="684"/>
      <c r="BJL76" s="684"/>
      <c r="BJM76" s="684"/>
      <c r="BJN76" s="684"/>
      <c r="BJO76" s="684"/>
      <c r="BJP76" s="684"/>
      <c r="BJQ76" s="684"/>
      <c r="BJR76" s="684"/>
      <c r="BJS76" s="684"/>
      <c r="BJT76" s="684"/>
      <c r="BJU76" s="684"/>
      <c r="BJV76" s="684"/>
      <c r="BJW76" s="684"/>
      <c r="BJX76" s="684"/>
      <c r="BJY76" s="684"/>
      <c r="BJZ76" s="684"/>
      <c r="BKA76" s="684"/>
      <c r="BKB76" s="684"/>
      <c r="BKC76" s="684"/>
      <c r="BKD76" s="684"/>
      <c r="BKE76" s="684"/>
      <c r="BKF76" s="684"/>
      <c r="BKG76" s="684"/>
      <c r="BKH76" s="684"/>
      <c r="BKI76" s="684"/>
      <c r="BKJ76" s="684"/>
      <c r="BKK76" s="684"/>
      <c r="BKL76" s="684"/>
      <c r="BKM76" s="684"/>
      <c r="BKN76" s="684"/>
      <c r="BKO76" s="684"/>
      <c r="BKP76" s="684"/>
      <c r="BKQ76" s="684"/>
      <c r="BKR76" s="684"/>
      <c r="BKS76" s="684"/>
      <c r="BKT76" s="684"/>
      <c r="BKU76" s="684"/>
      <c r="BKV76" s="684"/>
      <c r="BKW76" s="684"/>
      <c r="BKX76" s="684"/>
      <c r="BKY76" s="684"/>
      <c r="BKZ76" s="684"/>
      <c r="BLA76" s="684"/>
      <c r="BLB76" s="684"/>
      <c r="BLC76" s="684"/>
      <c r="BLD76" s="684"/>
      <c r="BLE76" s="684"/>
      <c r="BLF76" s="684"/>
      <c r="BLG76" s="684"/>
      <c r="BLH76" s="684"/>
      <c r="BLI76" s="684"/>
      <c r="BLJ76" s="684"/>
      <c r="BLK76" s="684"/>
      <c r="BLL76" s="684"/>
      <c r="BLM76" s="684"/>
      <c r="BLN76" s="684"/>
      <c r="BLO76" s="684"/>
      <c r="BLP76" s="684"/>
      <c r="BLQ76" s="684"/>
      <c r="BLR76" s="684"/>
      <c r="BLS76" s="684"/>
      <c r="BLT76" s="684"/>
      <c r="BLU76" s="684"/>
      <c r="BLV76" s="684"/>
      <c r="BLW76" s="684"/>
      <c r="BLX76" s="684"/>
      <c r="BLY76" s="684"/>
      <c r="BLZ76" s="684"/>
      <c r="BMA76" s="684"/>
      <c r="BMB76" s="684"/>
      <c r="BMC76" s="684"/>
      <c r="BMD76" s="684"/>
      <c r="BME76" s="684"/>
      <c r="BMF76" s="684"/>
      <c r="BMG76" s="684"/>
      <c r="BMH76" s="684"/>
      <c r="BMI76" s="684"/>
      <c r="BMJ76" s="684"/>
      <c r="BMK76" s="684"/>
      <c r="BML76" s="684"/>
      <c r="BMM76" s="684"/>
      <c r="BMN76" s="684"/>
      <c r="BMO76" s="684"/>
      <c r="BMP76" s="684"/>
      <c r="BMQ76" s="684"/>
      <c r="BMR76" s="684"/>
      <c r="BMS76" s="684"/>
      <c r="BMT76" s="684"/>
      <c r="BMU76" s="684"/>
      <c r="BMV76" s="684"/>
      <c r="BMW76" s="684"/>
      <c r="BMX76" s="684"/>
      <c r="BMY76" s="684"/>
      <c r="BMZ76" s="684"/>
      <c r="BNA76" s="684"/>
      <c r="BNB76" s="684"/>
      <c r="BNC76" s="684"/>
      <c r="BND76" s="684"/>
      <c r="BNE76" s="684"/>
      <c r="BNF76" s="684"/>
      <c r="BNG76" s="684"/>
      <c r="BNH76" s="684"/>
      <c r="BNI76" s="684"/>
      <c r="BNJ76" s="684"/>
      <c r="BNK76" s="684"/>
      <c r="BNL76" s="684"/>
      <c r="BNM76" s="684"/>
      <c r="BNN76" s="684"/>
      <c r="BNO76" s="684"/>
      <c r="BNP76" s="684"/>
      <c r="BNQ76" s="684"/>
      <c r="BNR76" s="684"/>
      <c r="BNS76" s="684"/>
      <c r="BNT76" s="684"/>
      <c r="BNU76" s="684"/>
      <c r="BNV76" s="684"/>
      <c r="BNW76" s="684"/>
      <c r="BNX76" s="684"/>
      <c r="BNY76" s="684"/>
      <c r="BNZ76" s="684"/>
      <c r="BOA76" s="684"/>
      <c r="BOB76" s="684"/>
      <c r="BOC76" s="684"/>
      <c r="BOD76" s="684"/>
      <c r="BOE76" s="684"/>
      <c r="BOF76" s="684"/>
      <c r="BOG76" s="684"/>
      <c r="BOH76" s="684"/>
      <c r="BOI76" s="684"/>
      <c r="BOJ76" s="684"/>
      <c r="BOK76" s="684"/>
      <c r="BOL76" s="684"/>
      <c r="BOM76" s="684"/>
      <c r="BON76" s="684"/>
      <c r="BOO76" s="684"/>
      <c r="BOP76" s="684"/>
      <c r="BOQ76" s="684"/>
      <c r="BOR76" s="684"/>
      <c r="BOS76" s="684"/>
      <c r="BOT76" s="684"/>
      <c r="BOU76" s="684"/>
      <c r="BOV76" s="684"/>
      <c r="BOW76" s="684"/>
      <c r="BOX76" s="684"/>
      <c r="BOY76" s="684"/>
      <c r="BOZ76" s="684"/>
      <c r="BPA76" s="684"/>
      <c r="BPB76" s="684"/>
      <c r="BPC76" s="684"/>
      <c r="BPD76" s="684"/>
      <c r="BPE76" s="684"/>
      <c r="BPF76" s="684"/>
      <c r="BPG76" s="684"/>
      <c r="BPH76" s="684"/>
      <c r="BPI76" s="684"/>
      <c r="BPJ76" s="684"/>
      <c r="BPK76" s="684"/>
      <c r="BPL76" s="684"/>
      <c r="BPM76" s="684"/>
      <c r="BPN76" s="684"/>
      <c r="BPO76" s="684"/>
      <c r="BPP76" s="684"/>
      <c r="BPQ76" s="684"/>
      <c r="BPR76" s="684"/>
      <c r="BPS76" s="684"/>
      <c r="BPT76" s="684"/>
      <c r="BPU76" s="684"/>
      <c r="BPV76" s="684"/>
      <c r="BPW76" s="684"/>
      <c r="BPX76" s="684"/>
      <c r="BPY76" s="684"/>
      <c r="BPZ76" s="684"/>
      <c r="BQA76" s="684"/>
      <c r="BQB76" s="684"/>
      <c r="BQC76" s="684"/>
      <c r="BQD76" s="684"/>
      <c r="BQE76" s="684"/>
      <c r="BQF76" s="684"/>
      <c r="BQG76" s="684"/>
      <c r="BQH76" s="684"/>
      <c r="BQI76" s="684"/>
      <c r="BQJ76" s="684"/>
      <c r="BQK76" s="684"/>
      <c r="BQL76" s="684"/>
      <c r="BQM76" s="684"/>
      <c r="BQN76" s="684"/>
      <c r="BQO76" s="684"/>
      <c r="BQP76" s="684"/>
      <c r="BQQ76" s="684"/>
      <c r="BQR76" s="684"/>
      <c r="BQS76" s="684"/>
      <c r="BQT76" s="684"/>
      <c r="BQU76" s="684"/>
      <c r="BQV76" s="684"/>
      <c r="BQW76" s="684"/>
      <c r="BQX76" s="684"/>
      <c r="BQY76" s="684"/>
      <c r="BQZ76" s="684"/>
      <c r="BRA76" s="684"/>
      <c r="BRB76" s="684"/>
      <c r="BRC76" s="684"/>
      <c r="BRD76" s="684"/>
      <c r="BRE76" s="684"/>
      <c r="BRF76" s="684"/>
      <c r="BRG76" s="684"/>
      <c r="BRH76" s="684"/>
      <c r="BRI76" s="684"/>
      <c r="BRJ76" s="684"/>
      <c r="BRK76" s="684"/>
      <c r="BRL76" s="684"/>
      <c r="BRM76" s="684"/>
      <c r="BRN76" s="684"/>
      <c r="BRO76" s="684"/>
      <c r="BRP76" s="684"/>
      <c r="BRQ76" s="684"/>
      <c r="BRR76" s="684"/>
      <c r="BRS76" s="684"/>
      <c r="BRT76" s="684"/>
      <c r="BRU76" s="684"/>
      <c r="BRV76" s="684"/>
      <c r="BRW76" s="684"/>
      <c r="BRX76" s="684"/>
      <c r="BRY76" s="684"/>
      <c r="BRZ76" s="684"/>
      <c r="BSA76" s="684"/>
      <c r="BSB76" s="684"/>
      <c r="BSC76" s="684"/>
      <c r="BSD76" s="684"/>
      <c r="BSE76" s="684"/>
      <c r="BSF76" s="684"/>
      <c r="BSG76" s="684"/>
      <c r="BSH76" s="684"/>
      <c r="BSI76" s="684"/>
      <c r="BSJ76" s="684"/>
      <c r="BSK76" s="684"/>
      <c r="BSL76" s="684"/>
      <c r="BSM76" s="684"/>
      <c r="BSN76" s="684"/>
      <c r="BSO76" s="684"/>
      <c r="BSP76" s="684"/>
      <c r="BSQ76" s="684"/>
      <c r="BSR76" s="684"/>
      <c r="BSS76" s="684"/>
      <c r="BST76" s="684"/>
      <c r="BSU76" s="684"/>
      <c r="BSV76" s="684"/>
      <c r="BSW76" s="684"/>
      <c r="BSX76" s="684"/>
      <c r="BSY76" s="684"/>
      <c r="BSZ76" s="684"/>
      <c r="BTA76" s="684"/>
      <c r="BTB76" s="684"/>
      <c r="BTC76" s="684"/>
      <c r="BTD76" s="684"/>
      <c r="BTE76" s="684"/>
      <c r="BTF76" s="684"/>
      <c r="BTG76" s="684"/>
      <c r="BTH76" s="684"/>
      <c r="BTI76" s="684"/>
      <c r="BTJ76" s="684"/>
      <c r="BTK76" s="684"/>
      <c r="BTL76" s="684"/>
      <c r="BTM76" s="684"/>
      <c r="BTN76" s="684"/>
      <c r="BTO76" s="684"/>
      <c r="BTP76" s="684"/>
      <c r="BTQ76" s="684"/>
      <c r="BTR76" s="684"/>
      <c r="BTS76" s="684"/>
      <c r="BTT76" s="684"/>
      <c r="BTU76" s="684"/>
      <c r="BTV76" s="684"/>
      <c r="BTW76" s="684"/>
      <c r="BTX76" s="684"/>
      <c r="BTY76" s="684"/>
      <c r="BTZ76" s="684"/>
      <c r="BUA76" s="684"/>
      <c r="BUB76" s="684"/>
      <c r="BUC76" s="684"/>
      <c r="BUD76" s="684"/>
      <c r="BUE76" s="684"/>
      <c r="BUF76" s="684"/>
      <c r="BUG76" s="684"/>
      <c r="BUH76" s="684"/>
      <c r="BUI76" s="684"/>
      <c r="BUJ76" s="684"/>
      <c r="BUK76" s="684"/>
      <c r="BUL76" s="684"/>
      <c r="BUM76" s="684"/>
      <c r="BUN76" s="684"/>
      <c r="BUO76" s="684"/>
      <c r="BUP76" s="684"/>
      <c r="BUQ76" s="684"/>
      <c r="BUR76" s="684"/>
      <c r="BUS76" s="684"/>
      <c r="BUT76" s="684"/>
      <c r="BUU76" s="684"/>
      <c r="BUV76" s="684"/>
      <c r="BUW76" s="684"/>
      <c r="BUX76" s="684"/>
      <c r="BUY76" s="684"/>
      <c r="BUZ76" s="684"/>
      <c r="BVA76" s="684"/>
      <c r="BVB76" s="684"/>
      <c r="BVC76" s="684"/>
      <c r="BVD76" s="684"/>
      <c r="BVE76" s="684"/>
      <c r="BVF76" s="684"/>
      <c r="BVG76" s="684"/>
      <c r="BVH76" s="684"/>
      <c r="BVI76" s="684"/>
      <c r="BVJ76" s="684"/>
      <c r="BVK76" s="684"/>
      <c r="BVL76" s="684"/>
      <c r="BVM76" s="684"/>
      <c r="BVN76" s="684"/>
      <c r="BVO76" s="684"/>
      <c r="BVP76" s="684"/>
      <c r="BVQ76" s="684"/>
      <c r="BVR76" s="684"/>
      <c r="BVS76" s="684"/>
      <c r="BVT76" s="684"/>
      <c r="BVU76" s="684"/>
      <c r="BVV76" s="684"/>
      <c r="BVW76" s="684"/>
      <c r="BVX76" s="684"/>
      <c r="BVY76" s="684"/>
      <c r="BVZ76" s="684"/>
      <c r="BWA76" s="684"/>
      <c r="BWB76" s="684"/>
      <c r="BWC76" s="684"/>
      <c r="BWD76" s="684"/>
      <c r="BWE76" s="684"/>
      <c r="BWF76" s="684"/>
      <c r="BWG76" s="684"/>
      <c r="BWH76" s="684"/>
      <c r="BWI76" s="684"/>
      <c r="BWJ76" s="684"/>
      <c r="BWK76" s="684"/>
      <c r="BWL76" s="684"/>
      <c r="BWM76" s="684"/>
      <c r="BWN76" s="684"/>
      <c r="BWO76" s="684"/>
      <c r="BWP76" s="684"/>
      <c r="BWQ76" s="684"/>
      <c r="BWR76" s="684"/>
      <c r="BWS76" s="684"/>
      <c r="BWT76" s="684"/>
      <c r="BWU76" s="684"/>
      <c r="BWV76" s="684"/>
      <c r="BWW76" s="684"/>
      <c r="BWX76" s="684"/>
      <c r="BWY76" s="684"/>
      <c r="BWZ76" s="684"/>
      <c r="BXA76" s="684"/>
      <c r="BXB76" s="684"/>
      <c r="BXC76" s="684"/>
      <c r="BXD76" s="684"/>
      <c r="BXE76" s="684"/>
      <c r="BXF76" s="684"/>
      <c r="BXG76" s="684"/>
      <c r="BXH76" s="684"/>
      <c r="BXI76" s="684"/>
      <c r="BXJ76" s="684"/>
      <c r="BXK76" s="684"/>
      <c r="BXL76" s="684"/>
      <c r="BXM76" s="684"/>
      <c r="BXN76" s="684"/>
      <c r="BXO76" s="684"/>
      <c r="BXP76" s="684"/>
      <c r="BXQ76" s="684"/>
      <c r="BXR76" s="684"/>
      <c r="BXS76" s="684"/>
      <c r="BXT76" s="684"/>
      <c r="BXU76" s="684"/>
      <c r="BXV76" s="684"/>
      <c r="BXW76" s="684"/>
      <c r="BXX76" s="684"/>
      <c r="BXY76" s="684"/>
      <c r="BXZ76" s="684"/>
      <c r="BYA76" s="684"/>
      <c r="BYB76" s="684"/>
      <c r="BYC76" s="684"/>
      <c r="BYD76" s="684"/>
      <c r="BYE76" s="684"/>
      <c r="BYF76" s="684"/>
      <c r="BYG76" s="684"/>
      <c r="BYH76" s="684"/>
      <c r="BYI76" s="684"/>
      <c r="BYJ76" s="684"/>
      <c r="BYK76" s="684"/>
      <c r="BYL76" s="684"/>
      <c r="BYM76" s="684"/>
      <c r="BYN76" s="684"/>
      <c r="BYO76" s="684"/>
      <c r="BYP76" s="684"/>
      <c r="BYQ76" s="684"/>
      <c r="BYR76" s="684"/>
      <c r="BYS76" s="684"/>
      <c r="BYT76" s="684"/>
      <c r="BYU76" s="684"/>
      <c r="BYV76" s="684"/>
      <c r="BYW76" s="684"/>
      <c r="BYX76" s="684"/>
      <c r="BYY76" s="684"/>
      <c r="BYZ76" s="684"/>
      <c r="BZA76" s="684"/>
      <c r="BZB76" s="684"/>
      <c r="BZC76" s="684"/>
      <c r="BZD76" s="684"/>
      <c r="BZE76" s="684"/>
      <c r="BZF76" s="684"/>
      <c r="BZG76" s="684"/>
      <c r="BZH76" s="684"/>
      <c r="BZI76" s="684"/>
      <c r="BZJ76" s="684"/>
      <c r="BZK76" s="684"/>
      <c r="BZL76" s="684"/>
      <c r="BZM76" s="684"/>
      <c r="BZN76" s="684"/>
      <c r="BZO76" s="684"/>
      <c r="BZP76" s="684"/>
      <c r="BZQ76" s="684"/>
      <c r="BZR76" s="684"/>
      <c r="BZS76" s="684"/>
      <c r="BZT76" s="684"/>
      <c r="BZU76" s="684"/>
      <c r="BZV76" s="684"/>
      <c r="BZW76" s="684"/>
      <c r="BZX76" s="684"/>
      <c r="BZY76" s="684"/>
      <c r="BZZ76" s="684"/>
      <c r="CAA76" s="684"/>
      <c r="CAB76" s="684"/>
      <c r="CAC76" s="684"/>
      <c r="CAD76" s="684"/>
      <c r="CAE76" s="684"/>
      <c r="CAF76" s="684"/>
      <c r="CAG76" s="684"/>
      <c r="CAH76" s="684"/>
      <c r="CAI76" s="684"/>
      <c r="CAJ76" s="684"/>
      <c r="CAK76" s="684"/>
      <c r="CAL76" s="684"/>
      <c r="CAM76" s="684"/>
      <c r="CAN76" s="684"/>
      <c r="CAO76" s="684"/>
      <c r="CAP76" s="684"/>
      <c r="CAQ76" s="684"/>
      <c r="CAR76" s="684"/>
      <c r="CAS76" s="684"/>
      <c r="CAT76" s="684"/>
      <c r="CAU76" s="684"/>
      <c r="CAV76" s="684"/>
      <c r="CAW76" s="684"/>
      <c r="CAX76" s="684"/>
      <c r="CAY76" s="684"/>
      <c r="CAZ76" s="684"/>
      <c r="CBA76" s="684"/>
      <c r="CBB76" s="684"/>
      <c r="CBC76" s="684"/>
      <c r="CBD76" s="684"/>
      <c r="CBE76" s="684"/>
      <c r="CBF76" s="684"/>
      <c r="CBG76" s="684"/>
      <c r="CBH76" s="684"/>
      <c r="CBI76" s="684"/>
      <c r="CBJ76" s="684"/>
      <c r="CBK76" s="684"/>
      <c r="CBL76" s="684"/>
      <c r="CBM76" s="684"/>
      <c r="CBN76" s="684"/>
      <c r="CBO76" s="684"/>
      <c r="CBP76" s="684"/>
      <c r="CBQ76" s="684"/>
      <c r="CBR76" s="684"/>
      <c r="CBS76" s="684"/>
      <c r="CBT76" s="684"/>
      <c r="CBU76" s="684"/>
      <c r="CBV76" s="684"/>
      <c r="CBW76" s="684"/>
      <c r="CBX76" s="684"/>
      <c r="CBY76" s="684"/>
      <c r="CBZ76" s="684"/>
      <c r="CCA76" s="684"/>
      <c r="CCB76" s="684"/>
      <c r="CCC76" s="684"/>
      <c r="CCD76" s="684"/>
      <c r="CCE76" s="684"/>
      <c r="CCF76" s="684"/>
      <c r="CCG76" s="684"/>
      <c r="CCH76" s="684"/>
      <c r="CCI76" s="684"/>
      <c r="CCJ76" s="684"/>
      <c r="CCK76" s="684"/>
      <c r="CCL76" s="684"/>
      <c r="CCM76" s="684"/>
      <c r="CCN76" s="684"/>
      <c r="CCO76" s="684"/>
      <c r="CCP76" s="684"/>
      <c r="CCQ76" s="684"/>
      <c r="CCR76" s="684"/>
      <c r="CCS76" s="684"/>
      <c r="CCT76" s="684"/>
      <c r="CCU76" s="684"/>
      <c r="CCV76" s="684"/>
      <c r="CCW76" s="684"/>
      <c r="CCX76" s="684"/>
      <c r="CCY76" s="684"/>
      <c r="CCZ76" s="684"/>
      <c r="CDA76" s="684"/>
      <c r="CDB76" s="684"/>
      <c r="CDC76" s="684"/>
      <c r="CDD76" s="684"/>
      <c r="CDE76" s="684"/>
      <c r="CDF76" s="684"/>
      <c r="CDG76" s="684"/>
      <c r="CDH76" s="684"/>
      <c r="CDI76" s="684"/>
      <c r="CDJ76" s="684"/>
      <c r="CDK76" s="684"/>
      <c r="CDL76" s="684"/>
      <c r="CDM76" s="684"/>
      <c r="CDN76" s="684"/>
      <c r="CDO76" s="684"/>
      <c r="CDP76" s="684"/>
      <c r="CDQ76" s="684"/>
      <c r="CDR76" s="684"/>
      <c r="CDS76" s="684"/>
      <c r="CDT76" s="684"/>
      <c r="CDU76" s="684"/>
      <c r="CDV76" s="684"/>
      <c r="CDW76" s="684"/>
      <c r="CDX76" s="684"/>
      <c r="CDY76" s="684"/>
      <c r="CDZ76" s="684"/>
      <c r="CEA76" s="684"/>
      <c r="CEB76" s="684"/>
      <c r="CEC76" s="684"/>
      <c r="CED76" s="684"/>
      <c r="CEE76" s="684"/>
      <c r="CEF76" s="684"/>
      <c r="CEG76" s="684"/>
      <c r="CEH76" s="684"/>
      <c r="CEI76" s="684"/>
      <c r="CEJ76" s="684"/>
      <c r="CEK76" s="684"/>
      <c r="CEL76" s="684"/>
      <c r="CEM76" s="684"/>
      <c r="CEN76" s="684"/>
      <c r="CEO76" s="684"/>
      <c r="CEP76" s="684"/>
      <c r="CEQ76" s="684"/>
      <c r="CER76" s="684"/>
      <c r="CES76" s="684"/>
      <c r="CET76" s="684"/>
      <c r="CEU76" s="684"/>
      <c r="CEV76" s="684"/>
      <c r="CEW76" s="684"/>
      <c r="CEX76" s="684"/>
      <c r="CEY76" s="684"/>
      <c r="CEZ76" s="684"/>
      <c r="CFA76" s="684"/>
      <c r="CFB76" s="684"/>
      <c r="CFC76" s="684"/>
      <c r="CFD76" s="684"/>
      <c r="CFE76" s="684"/>
      <c r="CFF76" s="684"/>
      <c r="CFG76" s="684"/>
      <c r="CFH76" s="684"/>
      <c r="CFI76" s="684"/>
      <c r="CFJ76" s="684"/>
      <c r="CFK76" s="684"/>
      <c r="CFL76" s="684"/>
      <c r="CFM76" s="684"/>
      <c r="CFN76" s="684"/>
      <c r="CFO76" s="684"/>
      <c r="CFP76" s="684"/>
      <c r="CFQ76" s="684"/>
      <c r="CFR76" s="684"/>
      <c r="CFS76" s="684"/>
      <c r="CFT76" s="684"/>
      <c r="CFU76" s="684"/>
      <c r="CFV76" s="684"/>
      <c r="CFW76" s="684"/>
      <c r="CFX76" s="684"/>
      <c r="CFY76" s="684"/>
      <c r="CFZ76" s="684"/>
      <c r="CGA76" s="684"/>
      <c r="CGB76" s="684"/>
      <c r="CGC76" s="684"/>
      <c r="CGD76" s="684"/>
      <c r="CGE76" s="684"/>
      <c r="CGF76" s="684"/>
      <c r="CGG76" s="684"/>
      <c r="CGH76" s="684"/>
      <c r="CGI76" s="684"/>
      <c r="CGJ76" s="684"/>
      <c r="CGK76" s="684"/>
      <c r="CGL76" s="684"/>
      <c r="CGM76" s="684"/>
      <c r="CGN76" s="684"/>
      <c r="CGO76" s="684"/>
      <c r="CGP76" s="684"/>
      <c r="CGQ76" s="684"/>
      <c r="CGR76" s="684"/>
      <c r="CGS76" s="684"/>
      <c r="CGT76" s="684"/>
      <c r="CGU76" s="684"/>
      <c r="CGV76" s="684"/>
      <c r="CGW76" s="684"/>
      <c r="CGX76" s="684"/>
      <c r="CGY76" s="684"/>
      <c r="CGZ76" s="684"/>
      <c r="CHA76" s="684"/>
      <c r="CHB76" s="684"/>
      <c r="CHC76" s="684"/>
      <c r="CHD76" s="684"/>
      <c r="CHE76" s="684"/>
      <c r="CHF76" s="684"/>
      <c r="CHG76" s="684"/>
      <c r="CHH76" s="684"/>
      <c r="CHI76" s="684"/>
      <c r="CHJ76" s="684"/>
      <c r="CHK76" s="684"/>
      <c r="CHL76" s="684"/>
      <c r="CHM76" s="684"/>
      <c r="CHN76" s="684"/>
      <c r="CHO76" s="684"/>
      <c r="CHP76" s="684"/>
      <c r="CHQ76" s="684"/>
      <c r="CHR76" s="684"/>
      <c r="CHS76" s="684"/>
      <c r="CHT76" s="684"/>
      <c r="CHU76" s="684"/>
      <c r="CHV76" s="684"/>
      <c r="CHW76" s="684"/>
      <c r="CHX76" s="684"/>
      <c r="CHY76" s="684"/>
      <c r="CHZ76" s="684"/>
      <c r="CIA76" s="684"/>
      <c r="CIB76" s="684"/>
      <c r="CIC76" s="684"/>
      <c r="CID76" s="684"/>
      <c r="CIE76" s="684"/>
      <c r="CIF76" s="684"/>
      <c r="CIG76" s="684"/>
      <c r="CIH76" s="684"/>
      <c r="CII76" s="684"/>
      <c r="CIJ76" s="684"/>
      <c r="CIK76" s="684"/>
      <c r="CIL76" s="684"/>
      <c r="CIM76" s="684"/>
      <c r="CIN76" s="684"/>
      <c r="CIO76" s="684"/>
      <c r="CIP76" s="684"/>
      <c r="CIQ76" s="684"/>
      <c r="CIR76" s="684"/>
      <c r="CIS76" s="684"/>
      <c r="CIT76" s="684"/>
      <c r="CIU76" s="684"/>
      <c r="CIV76" s="684"/>
      <c r="CIW76" s="684"/>
      <c r="CIX76" s="684"/>
      <c r="CIY76" s="684"/>
      <c r="CIZ76" s="684"/>
      <c r="CJA76" s="684"/>
      <c r="CJB76" s="684"/>
      <c r="CJC76" s="684"/>
      <c r="CJD76" s="684"/>
      <c r="CJE76" s="684"/>
      <c r="CJF76" s="684"/>
      <c r="CJG76" s="684"/>
      <c r="CJH76" s="684"/>
      <c r="CJI76" s="684"/>
      <c r="CJJ76" s="684"/>
      <c r="CJK76" s="684"/>
      <c r="CJL76" s="684"/>
      <c r="CJM76" s="684"/>
      <c r="CJN76" s="684"/>
      <c r="CJO76" s="684"/>
      <c r="CJP76" s="684"/>
      <c r="CJQ76" s="684"/>
      <c r="CJR76" s="684"/>
      <c r="CJS76" s="684"/>
      <c r="CJT76" s="684"/>
      <c r="CJU76" s="684"/>
      <c r="CJV76" s="684"/>
      <c r="CJW76" s="684"/>
      <c r="CJX76" s="684"/>
      <c r="CJY76" s="684"/>
      <c r="CJZ76" s="684"/>
      <c r="CKA76" s="684"/>
      <c r="CKB76" s="684"/>
      <c r="CKC76" s="684"/>
      <c r="CKD76" s="684"/>
      <c r="CKE76" s="684"/>
      <c r="CKF76" s="684"/>
      <c r="CKG76" s="684"/>
      <c r="CKH76" s="684"/>
      <c r="CKI76" s="684"/>
      <c r="CKJ76" s="684"/>
      <c r="CKK76" s="684"/>
      <c r="CKL76" s="684"/>
      <c r="CKM76" s="684"/>
      <c r="CKN76" s="684"/>
      <c r="CKO76" s="684"/>
      <c r="CKP76" s="684"/>
      <c r="CKQ76" s="684"/>
      <c r="CKR76" s="684"/>
      <c r="CKS76" s="684"/>
      <c r="CKT76" s="684"/>
      <c r="CKU76" s="684"/>
      <c r="CKV76" s="684"/>
      <c r="CKW76" s="684"/>
      <c r="CKX76" s="684"/>
      <c r="CKY76" s="684"/>
      <c r="CKZ76" s="684"/>
      <c r="CLA76" s="684"/>
      <c r="CLB76" s="684"/>
      <c r="CLC76" s="684"/>
      <c r="CLD76" s="684"/>
      <c r="CLE76" s="684"/>
      <c r="CLF76" s="684"/>
      <c r="CLG76" s="684"/>
      <c r="CLH76" s="684"/>
      <c r="CLI76" s="684"/>
      <c r="CLJ76" s="684"/>
      <c r="CLK76" s="684"/>
      <c r="CLL76" s="684"/>
      <c r="CLM76" s="684"/>
      <c r="CLN76" s="684"/>
      <c r="CLO76" s="684"/>
      <c r="CLP76" s="684"/>
      <c r="CLQ76" s="684"/>
      <c r="CLR76" s="684"/>
      <c r="CLS76" s="684"/>
      <c r="CLT76" s="684"/>
      <c r="CLU76" s="684"/>
      <c r="CLV76" s="684"/>
      <c r="CLW76" s="684"/>
      <c r="CLX76" s="684"/>
      <c r="CLY76" s="684"/>
      <c r="CLZ76" s="684"/>
      <c r="CMA76" s="684"/>
      <c r="CMB76" s="684"/>
      <c r="CMC76" s="684"/>
      <c r="CMD76" s="684"/>
      <c r="CME76" s="684"/>
      <c r="CMF76" s="684"/>
      <c r="CMG76" s="684"/>
      <c r="CMH76" s="684"/>
      <c r="CMI76" s="684"/>
      <c r="CMJ76" s="684"/>
      <c r="CMK76" s="684"/>
      <c r="CML76" s="684"/>
      <c r="CMM76" s="684"/>
      <c r="CMN76" s="684"/>
      <c r="CMO76" s="684"/>
      <c r="CMP76" s="684"/>
      <c r="CMQ76" s="684"/>
      <c r="CMR76" s="684"/>
      <c r="CMS76" s="684"/>
      <c r="CMT76" s="684"/>
      <c r="CMU76" s="684"/>
      <c r="CMV76" s="684"/>
      <c r="CMW76" s="684"/>
      <c r="CMX76" s="684"/>
      <c r="CMY76" s="684"/>
      <c r="CMZ76" s="684"/>
      <c r="CNA76" s="684"/>
      <c r="CNB76" s="684"/>
      <c r="CNC76" s="684"/>
      <c r="CND76" s="684"/>
      <c r="CNE76" s="684"/>
      <c r="CNF76" s="684"/>
      <c r="CNG76" s="684"/>
      <c r="CNH76" s="684"/>
      <c r="CNI76" s="684"/>
      <c r="CNJ76" s="684"/>
      <c r="CNK76" s="684"/>
      <c r="CNL76" s="684"/>
      <c r="CNM76" s="684"/>
      <c r="CNN76" s="684"/>
      <c r="CNO76" s="684"/>
      <c r="CNP76" s="684"/>
      <c r="CNQ76" s="684"/>
      <c r="CNR76" s="684"/>
      <c r="CNS76" s="684"/>
      <c r="CNT76" s="684"/>
      <c r="CNU76" s="684"/>
      <c r="CNV76" s="684"/>
      <c r="CNW76" s="684"/>
      <c r="CNX76" s="684"/>
      <c r="CNY76" s="684"/>
      <c r="CNZ76" s="684"/>
      <c r="COA76" s="684"/>
      <c r="COB76" s="684"/>
      <c r="COC76" s="684"/>
      <c r="COD76" s="684"/>
      <c r="COE76" s="684"/>
      <c r="COF76" s="684"/>
      <c r="COG76" s="684"/>
      <c r="COH76" s="684"/>
      <c r="COI76" s="684"/>
      <c r="COJ76" s="684"/>
      <c r="COK76" s="684"/>
      <c r="COL76" s="684"/>
      <c r="COM76" s="684"/>
      <c r="CON76" s="684"/>
      <c r="COO76" s="684"/>
      <c r="COP76" s="684"/>
      <c r="COQ76" s="684"/>
      <c r="COR76" s="684"/>
      <c r="COS76" s="684"/>
      <c r="COT76" s="684"/>
      <c r="COU76" s="684"/>
      <c r="COV76" s="684"/>
      <c r="COW76" s="684"/>
      <c r="COX76" s="684"/>
      <c r="COY76" s="684"/>
      <c r="COZ76" s="684"/>
      <c r="CPA76" s="684"/>
      <c r="CPB76" s="684"/>
      <c r="CPC76" s="684"/>
      <c r="CPD76" s="684"/>
      <c r="CPE76" s="684"/>
      <c r="CPF76" s="684"/>
      <c r="CPG76" s="684"/>
      <c r="CPH76" s="684"/>
      <c r="CPI76" s="684"/>
      <c r="CPJ76" s="684"/>
      <c r="CPK76" s="684"/>
      <c r="CPL76" s="684"/>
      <c r="CPM76" s="684"/>
      <c r="CPN76" s="684"/>
      <c r="CPO76" s="684"/>
      <c r="CPP76" s="684"/>
      <c r="CPQ76" s="684"/>
      <c r="CPR76" s="684"/>
      <c r="CPS76" s="684"/>
      <c r="CPT76" s="684"/>
      <c r="CPU76" s="684"/>
      <c r="CPV76" s="684"/>
      <c r="CPW76" s="684"/>
      <c r="CPX76" s="684"/>
      <c r="CPY76" s="684"/>
      <c r="CPZ76" s="684"/>
      <c r="CQA76" s="684"/>
      <c r="CQB76" s="684"/>
      <c r="CQC76" s="684"/>
      <c r="CQD76" s="684"/>
      <c r="CQE76" s="684"/>
      <c r="CQF76" s="684"/>
      <c r="CQG76" s="684"/>
      <c r="CQH76" s="684"/>
      <c r="CQI76" s="684"/>
      <c r="CQJ76" s="684"/>
      <c r="CQK76" s="684"/>
      <c r="CQL76" s="684"/>
      <c r="CQM76" s="684"/>
      <c r="CQN76" s="684"/>
      <c r="CQO76" s="684"/>
      <c r="CQP76" s="684"/>
      <c r="CQQ76" s="684"/>
      <c r="CQR76" s="684"/>
      <c r="CQS76" s="684"/>
      <c r="CQT76" s="684"/>
      <c r="CQU76" s="684"/>
      <c r="CQV76" s="684"/>
      <c r="CQW76" s="684"/>
      <c r="CQX76" s="684"/>
      <c r="CQY76" s="684"/>
      <c r="CQZ76" s="684"/>
      <c r="CRA76" s="684"/>
      <c r="CRB76" s="684"/>
      <c r="CRC76" s="684"/>
      <c r="CRD76" s="684"/>
      <c r="CRE76" s="684"/>
      <c r="CRF76" s="684"/>
      <c r="CRG76" s="684"/>
      <c r="CRH76" s="684"/>
      <c r="CRI76" s="684"/>
      <c r="CRJ76" s="684"/>
      <c r="CRK76" s="684"/>
      <c r="CRL76" s="684"/>
      <c r="CRM76" s="684"/>
      <c r="CRN76" s="684"/>
      <c r="CRO76" s="684"/>
      <c r="CRP76" s="684"/>
      <c r="CRQ76" s="684"/>
      <c r="CRR76" s="684"/>
      <c r="CRS76" s="684"/>
      <c r="CRT76" s="684"/>
      <c r="CRU76" s="684"/>
      <c r="CRV76" s="684"/>
      <c r="CRW76" s="684"/>
      <c r="CRX76" s="684"/>
      <c r="CRY76" s="684"/>
      <c r="CRZ76" s="684"/>
      <c r="CSA76" s="684"/>
      <c r="CSB76" s="684"/>
      <c r="CSC76" s="684"/>
      <c r="CSD76" s="684"/>
      <c r="CSE76" s="684"/>
      <c r="CSF76" s="684"/>
      <c r="CSG76" s="684"/>
      <c r="CSH76" s="684"/>
      <c r="CSI76" s="684"/>
      <c r="CSJ76" s="684"/>
      <c r="CSK76" s="684"/>
      <c r="CSL76" s="684"/>
      <c r="CSM76" s="684"/>
      <c r="CSN76" s="684"/>
      <c r="CSO76" s="684"/>
      <c r="CSP76" s="684"/>
      <c r="CSQ76" s="684"/>
      <c r="CSR76" s="684"/>
      <c r="CSS76" s="684"/>
      <c r="CST76" s="684"/>
      <c r="CSU76" s="684"/>
      <c r="CSV76" s="684"/>
      <c r="CSW76" s="684"/>
      <c r="CSX76" s="684"/>
      <c r="CSY76" s="684"/>
      <c r="CSZ76" s="684"/>
      <c r="CTA76" s="684"/>
      <c r="CTB76" s="684"/>
      <c r="CTC76" s="684"/>
      <c r="CTD76" s="684"/>
      <c r="CTE76" s="684"/>
      <c r="CTF76" s="684"/>
      <c r="CTG76" s="684"/>
      <c r="CTH76" s="684"/>
      <c r="CTI76" s="684"/>
      <c r="CTJ76" s="684"/>
      <c r="CTK76" s="684"/>
      <c r="CTL76" s="684"/>
      <c r="CTM76" s="684"/>
      <c r="CTN76" s="684"/>
      <c r="CTO76" s="684"/>
      <c r="CTP76" s="684"/>
      <c r="CTQ76" s="684"/>
      <c r="CTR76" s="684"/>
      <c r="CTS76" s="684"/>
      <c r="CTT76" s="684"/>
      <c r="CTU76" s="684"/>
      <c r="CTV76" s="684"/>
      <c r="CTW76" s="684"/>
      <c r="CTX76" s="684"/>
      <c r="CTY76" s="684"/>
      <c r="CTZ76" s="684"/>
      <c r="CUA76" s="684"/>
      <c r="CUB76" s="684"/>
      <c r="CUC76" s="684"/>
      <c r="CUD76" s="684"/>
      <c r="CUE76" s="684"/>
      <c r="CUF76" s="684"/>
      <c r="CUG76" s="684"/>
      <c r="CUH76" s="684"/>
      <c r="CUI76" s="684"/>
      <c r="CUJ76" s="684"/>
      <c r="CUK76" s="684"/>
      <c r="CUL76" s="684"/>
      <c r="CUM76" s="684"/>
      <c r="CUN76" s="684"/>
      <c r="CUO76" s="684"/>
      <c r="CUP76" s="684"/>
      <c r="CUQ76" s="684"/>
      <c r="CUR76" s="684"/>
      <c r="CUS76" s="684"/>
      <c r="CUT76" s="684"/>
      <c r="CUU76" s="684"/>
      <c r="CUV76" s="684"/>
      <c r="CUW76" s="684"/>
      <c r="CUX76" s="684"/>
      <c r="CUY76" s="684"/>
      <c r="CUZ76" s="684"/>
      <c r="CVA76" s="684"/>
      <c r="CVB76" s="684"/>
      <c r="CVC76" s="684"/>
      <c r="CVD76" s="684"/>
      <c r="CVE76" s="684"/>
      <c r="CVF76" s="684"/>
      <c r="CVG76" s="684"/>
      <c r="CVH76" s="684"/>
      <c r="CVI76" s="684"/>
      <c r="CVJ76" s="684"/>
      <c r="CVK76" s="684"/>
      <c r="CVL76" s="684"/>
      <c r="CVM76" s="684"/>
      <c r="CVN76" s="684"/>
      <c r="CVO76" s="684"/>
      <c r="CVP76" s="684"/>
      <c r="CVQ76" s="684"/>
      <c r="CVR76" s="684"/>
      <c r="CVS76" s="684"/>
      <c r="CVT76" s="684"/>
      <c r="CVU76" s="684"/>
      <c r="CVV76" s="684"/>
      <c r="CVW76" s="684"/>
      <c r="CVX76" s="684"/>
      <c r="CVY76" s="684"/>
      <c r="CVZ76" s="684"/>
      <c r="CWA76" s="684"/>
      <c r="CWB76" s="684"/>
      <c r="CWC76" s="684"/>
      <c r="CWD76" s="684"/>
      <c r="CWE76" s="684"/>
      <c r="CWF76" s="684"/>
      <c r="CWG76" s="684"/>
      <c r="CWH76" s="684"/>
      <c r="CWI76" s="684"/>
      <c r="CWJ76" s="684"/>
      <c r="CWK76" s="684"/>
      <c r="CWL76" s="684"/>
      <c r="CWM76" s="684"/>
      <c r="CWN76" s="684"/>
      <c r="CWO76" s="684"/>
      <c r="CWP76" s="684"/>
      <c r="CWQ76" s="684"/>
      <c r="CWR76" s="684"/>
      <c r="CWS76" s="684"/>
      <c r="CWT76" s="684"/>
      <c r="CWU76" s="684"/>
      <c r="CWV76" s="684"/>
      <c r="CWW76" s="684"/>
      <c r="CWX76" s="684"/>
      <c r="CWY76" s="684"/>
      <c r="CWZ76" s="684"/>
      <c r="CXA76" s="684"/>
      <c r="CXB76" s="684"/>
      <c r="CXC76" s="684"/>
      <c r="CXD76" s="684"/>
      <c r="CXE76" s="684"/>
      <c r="CXF76" s="684"/>
      <c r="CXG76" s="684"/>
      <c r="CXH76" s="684"/>
      <c r="CXI76" s="684"/>
      <c r="CXJ76" s="684"/>
      <c r="CXK76" s="684"/>
      <c r="CXL76" s="684"/>
      <c r="CXM76" s="684"/>
      <c r="CXN76" s="684"/>
      <c r="CXO76" s="684"/>
      <c r="CXP76" s="684"/>
      <c r="CXQ76" s="684"/>
      <c r="CXR76" s="684"/>
      <c r="CXS76" s="684"/>
      <c r="CXT76" s="684"/>
      <c r="CXU76" s="684"/>
      <c r="CXV76" s="684"/>
      <c r="CXW76" s="684"/>
      <c r="CXX76" s="684"/>
      <c r="CXY76" s="684"/>
      <c r="CXZ76" s="684"/>
      <c r="CYA76" s="684"/>
      <c r="CYB76" s="684"/>
      <c r="CYC76" s="684"/>
      <c r="CYD76" s="684"/>
      <c r="CYE76" s="684"/>
      <c r="CYF76" s="684"/>
      <c r="CYG76" s="684"/>
      <c r="CYH76" s="684"/>
      <c r="CYI76" s="684"/>
      <c r="CYJ76" s="684"/>
      <c r="CYK76" s="684"/>
      <c r="CYL76" s="684"/>
      <c r="CYM76" s="684"/>
      <c r="CYN76" s="684"/>
      <c r="CYO76" s="684"/>
      <c r="CYP76" s="684"/>
      <c r="CYQ76" s="684"/>
      <c r="CYR76" s="684"/>
      <c r="CYS76" s="684"/>
      <c r="CYT76" s="684"/>
      <c r="CYU76" s="684"/>
      <c r="CYV76" s="684"/>
      <c r="CYW76" s="684"/>
      <c r="CYX76" s="684"/>
      <c r="CYY76" s="684"/>
      <c r="CYZ76" s="684"/>
      <c r="CZA76" s="684"/>
      <c r="CZB76" s="684"/>
      <c r="CZC76" s="684"/>
      <c r="CZD76" s="684"/>
      <c r="CZE76" s="684"/>
      <c r="CZF76" s="684"/>
      <c r="CZG76" s="684"/>
      <c r="CZH76" s="684"/>
      <c r="CZI76" s="684"/>
      <c r="CZJ76" s="684"/>
      <c r="CZK76" s="684"/>
      <c r="CZL76" s="684"/>
      <c r="CZM76" s="684"/>
      <c r="CZN76" s="684"/>
      <c r="CZO76" s="684"/>
      <c r="CZP76" s="684"/>
      <c r="CZQ76" s="684"/>
      <c r="CZR76" s="684"/>
      <c r="CZS76" s="684"/>
      <c r="CZT76" s="684"/>
      <c r="CZU76" s="684"/>
      <c r="CZV76" s="684"/>
      <c r="CZW76" s="684"/>
      <c r="CZX76" s="684"/>
      <c r="CZY76" s="684"/>
      <c r="CZZ76" s="684"/>
      <c r="DAA76" s="684"/>
      <c r="DAB76" s="684"/>
      <c r="DAC76" s="684"/>
      <c r="DAD76" s="684"/>
      <c r="DAE76" s="684"/>
      <c r="DAF76" s="684"/>
      <c r="DAG76" s="684"/>
      <c r="DAH76" s="684"/>
      <c r="DAI76" s="684"/>
      <c r="DAJ76" s="684"/>
      <c r="DAK76" s="684"/>
      <c r="DAL76" s="684"/>
      <c r="DAM76" s="684"/>
      <c r="DAN76" s="684"/>
      <c r="DAO76" s="684"/>
      <c r="DAP76" s="684"/>
      <c r="DAQ76" s="684"/>
      <c r="DAR76" s="684"/>
      <c r="DAS76" s="684"/>
      <c r="DAT76" s="684"/>
      <c r="DAU76" s="684"/>
      <c r="DAV76" s="684"/>
      <c r="DAW76" s="684"/>
      <c r="DAX76" s="684"/>
      <c r="DAY76" s="684"/>
      <c r="DAZ76" s="684"/>
      <c r="DBA76" s="684"/>
      <c r="DBB76" s="684"/>
      <c r="DBC76" s="684"/>
      <c r="DBD76" s="684"/>
      <c r="DBE76" s="684"/>
      <c r="DBF76" s="684"/>
      <c r="DBG76" s="684"/>
      <c r="DBH76" s="684"/>
      <c r="DBI76" s="684"/>
      <c r="DBJ76" s="684"/>
      <c r="DBK76" s="684"/>
      <c r="DBL76" s="684"/>
      <c r="DBM76" s="684"/>
      <c r="DBN76" s="684"/>
      <c r="DBO76" s="684"/>
      <c r="DBP76" s="684"/>
      <c r="DBQ76" s="684"/>
      <c r="DBR76" s="684"/>
      <c r="DBS76" s="684"/>
      <c r="DBT76" s="684"/>
      <c r="DBU76" s="684"/>
      <c r="DBV76" s="684"/>
      <c r="DBW76" s="684"/>
      <c r="DBX76" s="684"/>
      <c r="DBY76" s="684"/>
      <c r="DBZ76" s="684"/>
      <c r="DCA76" s="684"/>
      <c r="DCB76" s="684"/>
      <c r="DCC76" s="684"/>
      <c r="DCD76" s="684"/>
      <c r="DCE76" s="684"/>
      <c r="DCF76" s="684"/>
      <c r="DCG76" s="684"/>
      <c r="DCH76" s="684"/>
      <c r="DCI76" s="684"/>
      <c r="DCJ76" s="684"/>
      <c r="DCK76" s="684"/>
      <c r="DCL76" s="684"/>
      <c r="DCM76" s="684"/>
      <c r="DCN76" s="684"/>
      <c r="DCO76" s="684"/>
      <c r="DCP76" s="684"/>
      <c r="DCQ76" s="684"/>
      <c r="DCR76" s="684"/>
      <c r="DCS76" s="684"/>
      <c r="DCT76" s="684"/>
      <c r="DCU76" s="684"/>
      <c r="DCV76" s="684"/>
      <c r="DCW76" s="684"/>
      <c r="DCX76" s="684"/>
      <c r="DCY76" s="684"/>
      <c r="DCZ76" s="684"/>
      <c r="DDA76" s="684"/>
      <c r="DDB76" s="684"/>
      <c r="DDC76" s="684"/>
      <c r="DDD76" s="684"/>
      <c r="DDE76" s="684"/>
      <c r="DDF76" s="684"/>
      <c r="DDG76" s="684"/>
      <c r="DDH76" s="684"/>
      <c r="DDI76" s="684"/>
      <c r="DDJ76" s="684"/>
      <c r="DDK76" s="684"/>
      <c r="DDL76" s="684"/>
      <c r="DDM76" s="684"/>
      <c r="DDN76" s="684"/>
      <c r="DDO76" s="684"/>
      <c r="DDP76" s="684"/>
      <c r="DDQ76" s="684"/>
      <c r="DDR76" s="684"/>
      <c r="DDS76" s="684"/>
      <c r="DDT76" s="684"/>
      <c r="DDU76" s="684"/>
      <c r="DDV76" s="684"/>
      <c r="DDW76" s="684"/>
      <c r="DDX76" s="684"/>
      <c r="DDY76" s="684"/>
      <c r="DDZ76" s="684"/>
      <c r="DEA76" s="684"/>
      <c r="DEB76" s="684"/>
      <c r="DEC76" s="684"/>
      <c r="DED76" s="684"/>
      <c r="DEE76" s="684"/>
      <c r="DEF76" s="684"/>
      <c r="DEG76" s="684"/>
      <c r="DEH76" s="684"/>
      <c r="DEI76" s="684"/>
      <c r="DEJ76" s="684"/>
      <c r="DEK76" s="684"/>
      <c r="DEL76" s="684"/>
      <c r="DEM76" s="684"/>
      <c r="DEN76" s="684"/>
      <c r="DEO76" s="684"/>
      <c r="DEP76" s="684"/>
      <c r="DEQ76" s="684"/>
      <c r="DER76" s="684"/>
      <c r="DES76" s="684"/>
      <c r="DET76" s="684"/>
      <c r="DEU76" s="684"/>
      <c r="DEV76" s="684"/>
      <c r="DEW76" s="684"/>
      <c r="DEX76" s="684"/>
      <c r="DEY76" s="684"/>
      <c r="DEZ76" s="684"/>
      <c r="DFA76" s="684"/>
      <c r="DFB76" s="684"/>
      <c r="DFC76" s="684"/>
      <c r="DFD76" s="684"/>
      <c r="DFE76" s="684"/>
      <c r="DFF76" s="684"/>
      <c r="DFG76" s="684"/>
      <c r="DFH76" s="684"/>
      <c r="DFI76" s="684"/>
      <c r="DFJ76" s="684"/>
      <c r="DFK76" s="684"/>
      <c r="DFL76" s="684"/>
      <c r="DFM76" s="684"/>
      <c r="DFN76" s="684"/>
      <c r="DFO76" s="684"/>
      <c r="DFP76" s="684"/>
      <c r="DFQ76" s="684"/>
      <c r="DFR76" s="684"/>
      <c r="DFS76" s="684"/>
      <c r="DFT76" s="684"/>
      <c r="DFU76" s="684"/>
      <c r="DFV76" s="684"/>
      <c r="DFW76" s="684"/>
      <c r="DFX76" s="684"/>
      <c r="DFY76" s="684"/>
      <c r="DFZ76" s="684"/>
      <c r="DGA76" s="684"/>
      <c r="DGB76" s="684"/>
      <c r="DGC76" s="684"/>
      <c r="DGD76" s="684"/>
      <c r="DGE76" s="684"/>
      <c r="DGF76" s="684"/>
      <c r="DGG76" s="684"/>
      <c r="DGH76" s="684"/>
      <c r="DGI76" s="684"/>
      <c r="DGJ76" s="684"/>
      <c r="DGK76" s="684"/>
      <c r="DGL76" s="684"/>
      <c r="DGM76" s="684"/>
      <c r="DGN76" s="684"/>
      <c r="DGO76" s="684"/>
      <c r="DGP76" s="684"/>
      <c r="DGQ76" s="684"/>
      <c r="DGR76" s="684"/>
      <c r="DGS76" s="684"/>
      <c r="DGT76" s="684"/>
      <c r="DGU76" s="684"/>
      <c r="DGV76" s="684"/>
      <c r="DGW76" s="684"/>
      <c r="DGX76" s="684"/>
      <c r="DGY76" s="684"/>
      <c r="DGZ76" s="684"/>
      <c r="DHA76" s="684"/>
      <c r="DHB76" s="684"/>
      <c r="DHC76" s="684"/>
      <c r="DHD76" s="684"/>
      <c r="DHE76" s="684"/>
      <c r="DHF76" s="684"/>
      <c r="DHG76" s="684"/>
      <c r="DHH76" s="684"/>
      <c r="DHI76" s="684"/>
      <c r="DHJ76" s="684"/>
      <c r="DHK76" s="684"/>
      <c r="DHL76" s="684"/>
      <c r="DHM76" s="684"/>
      <c r="DHN76" s="684"/>
      <c r="DHO76" s="684"/>
      <c r="DHP76" s="684"/>
      <c r="DHQ76" s="684"/>
      <c r="DHR76" s="684"/>
      <c r="DHS76" s="684"/>
      <c r="DHT76" s="684"/>
      <c r="DHU76" s="684"/>
      <c r="DHV76" s="684"/>
      <c r="DHW76" s="684"/>
      <c r="DHX76" s="684"/>
      <c r="DHY76" s="684"/>
      <c r="DHZ76" s="684"/>
      <c r="DIA76" s="684"/>
      <c r="DIB76" s="684"/>
      <c r="DIC76" s="684"/>
      <c r="DID76" s="684"/>
      <c r="DIE76" s="684"/>
      <c r="DIF76" s="684"/>
      <c r="DIG76" s="684"/>
      <c r="DIH76" s="684"/>
      <c r="DII76" s="684"/>
      <c r="DIJ76" s="684"/>
      <c r="DIK76" s="684"/>
      <c r="DIL76" s="684"/>
      <c r="DIM76" s="684"/>
      <c r="DIN76" s="684"/>
      <c r="DIO76" s="684"/>
      <c r="DIP76" s="684"/>
      <c r="DIQ76" s="684"/>
      <c r="DIR76" s="684"/>
      <c r="DIS76" s="684"/>
      <c r="DIT76" s="684"/>
      <c r="DIU76" s="684"/>
      <c r="DIV76" s="684"/>
      <c r="DIW76" s="684"/>
      <c r="DIX76" s="684"/>
      <c r="DIY76" s="684"/>
      <c r="DIZ76" s="684"/>
      <c r="DJA76" s="684"/>
      <c r="DJB76" s="684"/>
      <c r="DJC76" s="684"/>
      <c r="DJD76" s="684"/>
      <c r="DJE76" s="684"/>
      <c r="DJF76" s="684"/>
      <c r="DJG76" s="684"/>
      <c r="DJH76" s="684"/>
      <c r="DJI76" s="684"/>
      <c r="DJJ76" s="684"/>
      <c r="DJK76" s="684"/>
      <c r="DJL76" s="684"/>
      <c r="DJM76" s="684"/>
      <c r="DJN76" s="684"/>
      <c r="DJO76" s="684"/>
      <c r="DJP76" s="684"/>
      <c r="DJQ76" s="684"/>
      <c r="DJR76" s="684"/>
      <c r="DJS76" s="684"/>
      <c r="DJT76" s="684"/>
      <c r="DJU76" s="684"/>
      <c r="DJV76" s="684"/>
      <c r="DJW76" s="684"/>
      <c r="DJX76" s="684"/>
      <c r="DJY76" s="684"/>
      <c r="DJZ76" s="684"/>
      <c r="DKA76" s="684"/>
      <c r="DKB76" s="684"/>
      <c r="DKC76" s="684"/>
      <c r="DKD76" s="684"/>
      <c r="DKE76" s="684"/>
      <c r="DKF76" s="684"/>
      <c r="DKG76" s="684"/>
      <c r="DKH76" s="684"/>
      <c r="DKI76" s="684"/>
      <c r="DKJ76" s="684"/>
      <c r="DKK76" s="684"/>
      <c r="DKL76" s="684"/>
      <c r="DKM76" s="684"/>
      <c r="DKN76" s="684"/>
      <c r="DKO76" s="684"/>
      <c r="DKP76" s="684"/>
      <c r="DKQ76" s="684"/>
      <c r="DKR76" s="684"/>
      <c r="DKS76" s="684"/>
      <c r="DKT76" s="684"/>
      <c r="DKU76" s="684"/>
      <c r="DKV76" s="684"/>
      <c r="DKW76" s="684"/>
      <c r="DKX76" s="684"/>
      <c r="DKY76" s="684"/>
      <c r="DKZ76" s="684"/>
      <c r="DLA76" s="684"/>
      <c r="DLB76" s="684"/>
      <c r="DLC76" s="684"/>
      <c r="DLD76" s="684"/>
      <c r="DLE76" s="684"/>
      <c r="DLF76" s="684"/>
      <c r="DLG76" s="684"/>
      <c r="DLH76" s="684"/>
      <c r="DLI76" s="684"/>
      <c r="DLJ76" s="684"/>
      <c r="DLK76" s="684"/>
      <c r="DLL76" s="684"/>
      <c r="DLM76" s="684"/>
      <c r="DLN76" s="684"/>
      <c r="DLO76" s="684"/>
      <c r="DLP76" s="684"/>
      <c r="DLQ76" s="684"/>
      <c r="DLR76" s="684"/>
      <c r="DLS76" s="684"/>
      <c r="DLT76" s="684"/>
      <c r="DLU76" s="684"/>
      <c r="DLV76" s="684"/>
      <c r="DLW76" s="684"/>
      <c r="DLX76" s="684"/>
      <c r="DLY76" s="684"/>
      <c r="DLZ76" s="684"/>
      <c r="DMA76" s="684"/>
      <c r="DMB76" s="684"/>
      <c r="DMC76" s="684"/>
      <c r="DMD76" s="684"/>
      <c r="DME76" s="684"/>
      <c r="DMF76" s="684"/>
      <c r="DMG76" s="684"/>
      <c r="DMH76" s="684"/>
      <c r="DMI76" s="684"/>
      <c r="DMJ76" s="684"/>
      <c r="DMK76" s="684"/>
      <c r="DML76" s="684"/>
      <c r="DMM76" s="684"/>
      <c r="DMN76" s="684"/>
      <c r="DMO76" s="684"/>
      <c r="DMP76" s="684"/>
      <c r="DMQ76" s="684"/>
      <c r="DMR76" s="684"/>
      <c r="DMS76" s="684"/>
      <c r="DMT76" s="684"/>
      <c r="DMU76" s="684"/>
      <c r="DMV76" s="684"/>
      <c r="DMW76" s="684"/>
      <c r="DMX76" s="684"/>
      <c r="DMY76" s="684"/>
      <c r="DMZ76" s="684"/>
      <c r="DNA76" s="684"/>
      <c r="DNB76" s="684"/>
      <c r="DNC76" s="684"/>
      <c r="DND76" s="684"/>
      <c r="DNE76" s="684"/>
      <c r="DNF76" s="684"/>
      <c r="DNG76" s="684"/>
      <c r="DNH76" s="684"/>
      <c r="DNI76" s="684"/>
      <c r="DNJ76" s="684"/>
      <c r="DNK76" s="684"/>
      <c r="DNL76" s="684"/>
      <c r="DNM76" s="684"/>
      <c r="DNN76" s="684"/>
      <c r="DNO76" s="684"/>
      <c r="DNP76" s="684"/>
      <c r="DNQ76" s="684"/>
      <c r="DNR76" s="684"/>
      <c r="DNS76" s="684"/>
      <c r="DNT76" s="684"/>
      <c r="DNU76" s="684"/>
      <c r="DNV76" s="684"/>
      <c r="DNW76" s="684"/>
      <c r="DNX76" s="684"/>
      <c r="DNY76" s="684"/>
      <c r="DNZ76" s="684"/>
      <c r="DOA76" s="684"/>
      <c r="DOB76" s="684"/>
      <c r="DOC76" s="684"/>
      <c r="DOD76" s="684"/>
      <c r="DOE76" s="684"/>
      <c r="DOF76" s="684"/>
      <c r="DOG76" s="684"/>
      <c r="DOH76" s="684"/>
      <c r="DOI76" s="684"/>
      <c r="DOJ76" s="684"/>
      <c r="DOK76" s="684"/>
      <c r="DOL76" s="684"/>
      <c r="DOM76" s="684"/>
      <c r="DON76" s="684"/>
      <c r="DOO76" s="684"/>
      <c r="DOP76" s="684"/>
      <c r="DOQ76" s="684"/>
      <c r="DOR76" s="684"/>
      <c r="DOS76" s="684"/>
      <c r="DOT76" s="684"/>
      <c r="DOU76" s="684"/>
      <c r="DOV76" s="684"/>
      <c r="DOW76" s="684"/>
      <c r="DOX76" s="684"/>
      <c r="DOY76" s="684"/>
      <c r="DOZ76" s="684"/>
      <c r="DPA76" s="684"/>
      <c r="DPB76" s="684"/>
      <c r="DPC76" s="684"/>
      <c r="DPD76" s="684"/>
      <c r="DPE76" s="684"/>
      <c r="DPF76" s="684"/>
      <c r="DPG76" s="684"/>
      <c r="DPH76" s="684"/>
      <c r="DPI76" s="684"/>
      <c r="DPJ76" s="684"/>
      <c r="DPK76" s="684"/>
      <c r="DPL76" s="684"/>
      <c r="DPM76" s="684"/>
      <c r="DPN76" s="684"/>
      <c r="DPO76" s="684"/>
      <c r="DPP76" s="684"/>
      <c r="DPQ76" s="684"/>
      <c r="DPR76" s="684"/>
      <c r="DPS76" s="684"/>
      <c r="DPT76" s="684"/>
      <c r="DPU76" s="684"/>
      <c r="DPV76" s="684"/>
      <c r="DPW76" s="684"/>
      <c r="DPX76" s="684"/>
      <c r="DPY76" s="684"/>
      <c r="DPZ76" s="684"/>
      <c r="DQA76" s="684"/>
      <c r="DQB76" s="684"/>
      <c r="DQC76" s="684"/>
      <c r="DQD76" s="684"/>
      <c r="DQE76" s="684"/>
      <c r="DQF76" s="684"/>
      <c r="DQG76" s="684"/>
      <c r="DQH76" s="684"/>
      <c r="DQI76" s="684"/>
      <c r="DQJ76" s="684"/>
      <c r="DQK76" s="684"/>
      <c r="DQL76" s="684"/>
      <c r="DQM76" s="684"/>
      <c r="DQN76" s="684"/>
      <c r="DQO76" s="684"/>
      <c r="DQP76" s="684"/>
      <c r="DQQ76" s="684"/>
      <c r="DQR76" s="684"/>
      <c r="DQS76" s="684"/>
      <c r="DQT76" s="684"/>
      <c r="DQU76" s="684"/>
      <c r="DQV76" s="684"/>
      <c r="DQW76" s="684"/>
      <c r="DQX76" s="684"/>
      <c r="DQY76" s="684"/>
      <c r="DQZ76" s="684"/>
      <c r="DRA76" s="684"/>
      <c r="DRB76" s="684"/>
      <c r="DRC76" s="684"/>
      <c r="DRD76" s="684"/>
      <c r="DRE76" s="684"/>
      <c r="DRF76" s="684"/>
      <c r="DRG76" s="684"/>
      <c r="DRH76" s="684"/>
      <c r="DRI76" s="684"/>
      <c r="DRJ76" s="684"/>
      <c r="DRK76" s="684"/>
      <c r="DRL76" s="684"/>
      <c r="DRM76" s="684"/>
      <c r="DRN76" s="684"/>
      <c r="DRO76" s="684"/>
      <c r="DRP76" s="684"/>
      <c r="DRQ76" s="684"/>
      <c r="DRR76" s="684"/>
      <c r="DRS76" s="684"/>
      <c r="DRT76" s="684"/>
      <c r="DRU76" s="684"/>
      <c r="DRV76" s="684"/>
      <c r="DRW76" s="684"/>
      <c r="DRX76" s="684"/>
      <c r="DRY76" s="684"/>
      <c r="DRZ76" s="684"/>
      <c r="DSA76" s="684"/>
      <c r="DSB76" s="684"/>
      <c r="DSC76" s="684"/>
      <c r="DSD76" s="684"/>
      <c r="DSE76" s="684"/>
      <c r="DSF76" s="684"/>
      <c r="DSG76" s="684"/>
      <c r="DSH76" s="684"/>
      <c r="DSI76" s="684"/>
      <c r="DSJ76" s="684"/>
      <c r="DSK76" s="684"/>
      <c r="DSL76" s="684"/>
      <c r="DSM76" s="684"/>
      <c r="DSN76" s="684"/>
      <c r="DSO76" s="684"/>
      <c r="DSP76" s="684"/>
      <c r="DSQ76" s="684"/>
      <c r="DSR76" s="684"/>
      <c r="DSS76" s="684"/>
      <c r="DST76" s="684"/>
      <c r="DSU76" s="684"/>
      <c r="DSV76" s="684"/>
      <c r="DSW76" s="684"/>
      <c r="DSX76" s="684"/>
      <c r="DSY76" s="684"/>
      <c r="DSZ76" s="684"/>
      <c r="DTA76" s="684"/>
      <c r="DTB76" s="684"/>
      <c r="DTC76" s="684"/>
      <c r="DTD76" s="684"/>
      <c r="DTE76" s="684"/>
      <c r="DTF76" s="684"/>
      <c r="DTG76" s="684"/>
      <c r="DTH76" s="684"/>
      <c r="DTI76" s="684"/>
      <c r="DTJ76" s="684"/>
      <c r="DTK76" s="684"/>
      <c r="DTL76" s="684"/>
      <c r="DTM76" s="684"/>
      <c r="DTN76" s="684"/>
      <c r="DTO76" s="684"/>
      <c r="DTP76" s="684"/>
      <c r="DTQ76" s="684"/>
      <c r="DTR76" s="684"/>
      <c r="DTS76" s="684"/>
      <c r="DTT76" s="684"/>
      <c r="DTU76" s="684"/>
      <c r="DTV76" s="684"/>
      <c r="DTW76" s="684"/>
      <c r="DTX76" s="684"/>
      <c r="DTY76" s="684"/>
      <c r="DTZ76" s="684"/>
      <c r="DUA76" s="684"/>
      <c r="DUB76" s="684"/>
      <c r="DUC76" s="684"/>
      <c r="DUD76" s="684"/>
      <c r="DUE76" s="684"/>
      <c r="DUF76" s="684"/>
      <c r="DUG76" s="684"/>
      <c r="DUH76" s="684"/>
      <c r="DUI76" s="684"/>
      <c r="DUJ76" s="684"/>
      <c r="DUK76" s="684"/>
      <c r="DUL76" s="684"/>
      <c r="DUM76" s="684"/>
      <c r="DUN76" s="684"/>
      <c r="DUO76" s="684"/>
      <c r="DUP76" s="684"/>
      <c r="DUQ76" s="684"/>
      <c r="DUR76" s="684"/>
      <c r="DUS76" s="684"/>
      <c r="DUT76" s="684"/>
      <c r="DUU76" s="684"/>
      <c r="DUV76" s="684"/>
      <c r="DUW76" s="684"/>
      <c r="DUX76" s="684"/>
      <c r="DUY76" s="684"/>
      <c r="DUZ76" s="684"/>
      <c r="DVA76" s="684"/>
      <c r="DVB76" s="684"/>
      <c r="DVC76" s="684"/>
      <c r="DVD76" s="684"/>
      <c r="DVE76" s="684"/>
      <c r="DVF76" s="684"/>
      <c r="DVG76" s="684"/>
      <c r="DVH76" s="684"/>
      <c r="DVI76" s="684"/>
      <c r="DVJ76" s="684"/>
      <c r="DVK76" s="684"/>
      <c r="DVL76" s="684"/>
      <c r="DVM76" s="684"/>
      <c r="DVN76" s="684"/>
      <c r="DVO76" s="684"/>
      <c r="DVP76" s="684"/>
      <c r="DVQ76" s="684"/>
      <c r="DVR76" s="684"/>
      <c r="DVS76" s="684"/>
      <c r="DVT76" s="684"/>
      <c r="DVU76" s="684"/>
      <c r="DVV76" s="684"/>
      <c r="DVW76" s="684"/>
      <c r="DVX76" s="684"/>
      <c r="DVY76" s="684"/>
      <c r="DVZ76" s="684"/>
      <c r="DWA76" s="684"/>
      <c r="DWB76" s="684"/>
      <c r="DWC76" s="684"/>
      <c r="DWD76" s="684"/>
      <c r="DWE76" s="684"/>
      <c r="DWF76" s="684"/>
      <c r="DWG76" s="684"/>
      <c r="DWH76" s="684"/>
      <c r="DWI76" s="684"/>
      <c r="DWJ76" s="684"/>
      <c r="DWK76" s="684"/>
      <c r="DWL76" s="684"/>
      <c r="DWM76" s="684"/>
      <c r="DWN76" s="684"/>
      <c r="DWO76" s="684"/>
      <c r="DWP76" s="684"/>
      <c r="DWQ76" s="684"/>
      <c r="DWR76" s="684"/>
      <c r="DWS76" s="684"/>
      <c r="DWT76" s="684"/>
      <c r="DWU76" s="684"/>
      <c r="DWV76" s="684"/>
      <c r="DWW76" s="684"/>
      <c r="DWX76" s="684"/>
      <c r="DWY76" s="684"/>
      <c r="DWZ76" s="684"/>
      <c r="DXA76" s="684"/>
      <c r="DXB76" s="684"/>
      <c r="DXC76" s="684"/>
      <c r="DXD76" s="684"/>
      <c r="DXE76" s="684"/>
      <c r="DXF76" s="684"/>
      <c r="DXG76" s="684"/>
      <c r="DXH76" s="684"/>
      <c r="DXI76" s="684"/>
      <c r="DXJ76" s="684"/>
      <c r="DXK76" s="684"/>
      <c r="DXL76" s="684"/>
      <c r="DXM76" s="684"/>
      <c r="DXN76" s="684"/>
      <c r="DXO76" s="684"/>
      <c r="DXP76" s="684"/>
      <c r="DXQ76" s="684"/>
      <c r="DXR76" s="684"/>
      <c r="DXS76" s="684"/>
      <c r="DXT76" s="684"/>
      <c r="DXU76" s="684"/>
      <c r="DXV76" s="684"/>
      <c r="DXW76" s="684"/>
      <c r="DXX76" s="684"/>
      <c r="DXY76" s="684"/>
      <c r="DXZ76" s="684"/>
      <c r="DYA76" s="684"/>
      <c r="DYB76" s="684"/>
      <c r="DYC76" s="684"/>
      <c r="DYD76" s="684"/>
      <c r="DYE76" s="684"/>
      <c r="DYF76" s="684"/>
      <c r="DYG76" s="684"/>
      <c r="DYH76" s="684"/>
      <c r="DYI76" s="684"/>
      <c r="DYJ76" s="684"/>
      <c r="DYK76" s="684"/>
      <c r="DYL76" s="684"/>
      <c r="DYM76" s="684"/>
      <c r="DYN76" s="684"/>
      <c r="DYO76" s="684"/>
      <c r="DYP76" s="684"/>
      <c r="DYQ76" s="684"/>
      <c r="DYR76" s="684"/>
      <c r="DYS76" s="684"/>
      <c r="DYT76" s="684"/>
      <c r="DYU76" s="684"/>
      <c r="DYV76" s="684"/>
      <c r="DYW76" s="684"/>
      <c r="DYX76" s="684"/>
      <c r="DYY76" s="684"/>
      <c r="DYZ76" s="684"/>
      <c r="DZA76" s="684"/>
      <c r="DZB76" s="684"/>
      <c r="DZC76" s="684"/>
      <c r="DZD76" s="684"/>
      <c r="DZE76" s="684"/>
      <c r="DZF76" s="684"/>
      <c r="DZG76" s="684"/>
      <c r="DZH76" s="684"/>
      <c r="DZI76" s="684"/>
      <c r="DZJ76" s="684"/>
      <c r="DZK76" s="684"/>
      <c r="DZL76" s="684"/>
      <c r="DZM76" s="684"/>
      <c r="DZN76" s="684"/>
      <c r="DZO76" s="684"/>
      <c r="DZP76" s="684"/>
      <c r="DZQ76" s="684"/>
      <c r="DZR76" s="684"/>
      <c r="DZS76" s="684"/>
      <c r="DZT76" s="684"/>
      <c r="DZU76" s="684"/>
      <c r="DZV76" s="684"/>
      <c r="DZW76" s="684"/>
      <c r="DZX76" s="684"/>
      <c r="DZY76" s="684"/>
      <c r="DZZ76" s="684"/>
      <c r="EAA76" s="684"/>
      <c r="EAB76" s="684"/>
      <c r="EAC76" s="684"/>
      <c r="EAD76" s="684"/>
      <c r="EAE76" s="684"/>
      <c r="EAF76" s="684"/>
      <c r="EAG76" s="684"/>
      <c r="EAH76" s="684"/>
      <c r="EAI76" s="684"/>
      <c r="EAJ76" s="684"/>
      <c r="EAK76" s="684"/>
      <c r="EAL76" s="684"/>
      <c r="EAM76" s="684"/>
      <c r="EAN76" s="684"/>
      <c r="EAO76" s="684"/>
      <c r="EAP76" s="684"/>
      <c r="EAQ76" s="684"/>
      <c r="EAR76" s="684"/>
      <c r="EAS76" s="684"/>
      <c r="EAT76" s="684"/>
      <c r="EAU76" s="684"/>
      <c r="EAV76" s="684"/>
      <c r="EAW76" s="684"/>
      <c r="EAX76" s="684"/>
      <c r="EAY76" s="684"/>
      <c r="EAZ76" s="684"/>
      <c r="EBA76" s="684"/>
      <c r="EBB76" s="684"/>
      <c r="EBC76" s="684"/>
      <c r="EBD76" s="684"/>
      <c r="EBE76" s="684"/>
      <c r="EBF76" s="684"/>
      <c r="EBG76" s="684"/>
      <c r="EBH76" s="684"/>
      <c r="EBI76" s="684"/>
      <c r="EBJ76" s="684"/>
      <c r="EBK76" s="684"/>
      <c r="EBL76" s="684"/>
      <c r="EBM76" s="684"/>
      <c r="EBN76" s="684"/>
      <c r="EBO76" s="684"/>
      <c r="EBP76" s="684"/>
      <c r="EBQ76" s="684"/>
      <c r="EBR76" s="684"/>
      <c r="EBS76" s="684"/>
      <c r="EBT76" s="684"/>
      <c r="EBU76" s="684"/>
      <c r="EBV76" s="684"/>
      <c r="EBW76" s="684"/>
      <c r="EBX76" s="684"/>
      <c r="EBY76" s="684"/>
      <c r="EBZ76" s="684"/>
      <c r="ECA76" s="684"/>
      <c r="ECB76" s="684"/>
      <c r="ECC76" s="684"/>
      <c r="ECD76" s="684"/>
      <c r="ECE76" s="684"/>
      <c r="ECF76" s="684"/>
      <c r="ECG76" s="684"/>
      <c r="ECH76" s="684"/>
      <c r="ECI76" s="684"/>
      <c r="ECJ76" s="684"/>
      <c r="ECK76" s="684"/>
      <c r="ECL76" s="684"/>
      <c r="ECM76" s="684"/>
      <c r="ECN76" s="684"/>
      <c r="ECO76" s="684"/>
      <c r="ECP76" s="684"/>
      <c r="ECQ76" s="684"/>
      <c r="ECR76" s="684"/>
      <c r="ECS76" s="684"/>
      <c r="ECT76" s="684"/>
      <c r="ECU76" s="684"/>
      <c r="ECV76" s="684"/>
      <c r="ECW76" s="684"/>
      <c r="ECX76" s="684"/>
      <c r="ECY76" s="684"/>
      <c r="ECZ76" s="684"/>
      <c r="EDA76" s="684"/>
      <c r="EDB76" s="684"/>
      <c r="EDC76" s="684"/>
      <c r="EDD76" s="684"/>
      <c r="EDE76" s="684"/>
      <c r="EDF76" s="684"/>
      <c r="EDG76" s="684"/>
      <c r="EDH76" s="684"/>
      <c r="EDI76" s="684"/>
      <c r="EDJ76" s="684"/>
      <c r="EDK76" s="684"/>
      <c r="EDL76" s="684"/>
      <c r="EDM76" s="684"/>
      <c r="EDN76" s="684"/>
      <c r="EDO76" s="684"/>
      <c r="EDP76" s="684"/>
      <c r="EDQ76" s="684"/>
      <c r="EDR76" s="684"/>
      <c r="EDS76" s="684"/>
      <c r="EDT76" s="684"/>
      <c r="EDU76" s="684"/>
      <c r="EDV76" s="684"/>
      <c r="EDW76" s="684"/>
      <c r="EDX76" s="684"/>
      <c r="EDY76" s="684"/>
      <c r="EDZ76" s="684"/>
      <c r="EEA76" s="684"/>
      <c r="EEB76" s="684"/>
      <c r="EEC76" s="684"/>
      <c r="EED76" s="684"/>
      <c r="EEE76" s="684"/>
      <c r="EEF76" s="684"/>
      <c r="EEG76" s="684"/>
      <c r="EEH76" s="684"/>
      <c r="EEI76" s="684"/>
      <c r="EEJ76" s="684"/>
      <c r="EEK76" s="684"/>
      <c r="EEL76" s="684"/>
      <c r="EEM76" s="684"/>
      <c r="EEN76" s="684"/>
      <c r="EEO76" s="684"/>
      <c r="EEP76" s="684"/>
      <c r="EEQ76" s="684"/>
      <c r="EER76" s="684"/>
      <c r="EES76" s="684"/>
      <c r="EET76" s="684"/>
      <c r="EEU76" s="684"/>
      <c r="EEV76" s="684"/>
      <c r="EEW76" s="684"/>
      <c r="EEX76" s="684"/>
      <c r="EEY76" s="684"/>
      <c r="EEZ76" s="684"/>
      <c r="EFA76" s="684"/>
      <c r="EFB76" s="684"/>
      <c r="EFC76" s="684"/>
      <c r="EFD76" s="684"/>
      <c r="EFE76" s="684"/>
      <c r="EFF76" s="684"/>
      <c r="EFG76" s="684"/>
      <c r="EFH76" s="684"/>
      <c r="EFI76" s="684"/>
      <c r="EFJ76" s="684"/>
      <c r="EFK76" s="684"/>
      <c r="EFL76" s="684"/>
      <c r="EFM76" s="684"/>
      <c r="EFN76" s="684"/>
      <c r="EFO76" s="684"/>
      <c r="EFP76" s="684"/>
      <c r="EFQ76" s="684"/>
      <c r="EFR76" s="684"/>
      <c r="EFS76" s="684"/>
      <c r="EFT76" s="684"/>
      <c r="EFU76" s="684"/>
      <c r="EFV76" s="684"/>
      <c r="EFW76" s="684"/>
      <c r="EFX76" s="684"/>
      <c r="EFY76" s="684"/>
      <c r="EFZ76" s="684"/>
      <c r="EGA76" s="684"/>
      <c r="EGB76" s="684"/>
      <c r="EGC76" s="684"/>
      <c r="EGD76" s="684"/>
      <c r="EGE76" s="684"/>
      <c r="EGF76" s="684"/>
      <c r="EGG76" s="684"/>
      <c r="EGH76" s="684"/>
      <c r="EGI76" s="684"/>
      <c r="EGJ76" s="684"/>
      <c r="EGK76" s="684"/>
      <c r="EGL76" s="684"/>
      <c r="EGM76" s="684"/>
      <c r="EGN76" s="684"/>
      <c r="EGO76" s="684"/>
      <c r="EGP76" s="684"/>
      <c r="EGQ76" s="684"/>
      <c r="EGR76" s="684"/>
      <c r="EGS76" s="684"/>
      <c r="EGT76" s="684"/>
      <c r="EGU76" s="684"/>
      <c r="EGV76" s="684"/>
      <c r="EGW76" s="684"/>
      <c r="EGX76" s="684"/>
      <c r="EGY76" s="684"/>
      <c r="EGZ76" s="684"/>
      <c r="EHA76" s="684"/>
      <c r="EHB76" s="684"/>
      <c r="EHC76" s="684"/>
      <c r="EHD76" s="684"/>
      <c r="EHE76" s="684"/>
      <c r="EHF76" s="684"/>
      <c r="EHG76" s="684"/>
      <c r="EHH76" s="684"/>
      <c r="EHI76" s="684"/>
      <c r="EHJ76" s="684"/>
      <c r="EHK76" s="684"/>
      <c r="EHL76" s="684"/>
      <c r="EHM76" s="684"/>
      <c r="EHN76" s="684"/>
      <c r="EHO76" s="684"/>
      <c r="EHP76" s="684"/>
      <c r="EHQ76" s="684"/>
      <c r="EHR76" s="684"/>
      <c r="EHS76" s="684"/>
      <c r="EHT76" s="684"/>
      <c r="EHU76" s="684"/>
      <c r="EHV76" s="684"/>
      <c r="EHW76" s="684"/>
      <c r="EHX76" s="684"/>
      <c r="EHY76" s="684"/>
      <c r="EHZ76" s="684"/>
      <c r="EIA76" s="684"/>
      <c r="EIB76" s="684"/>
      <c r="EIC76" s="684"/>
      <c r="EID76" s="684"/>
      <c r="EIE76" s="684"/>
      <c r="EIF76" s="684"/>
      <c r="EIG76" s="684"/>
      <c r="EIH76" s="684"/>
      <c r="EII76" s="684"/>
      <c r="EIJ76" s="684"/>
      <c r="EIK76" s="684"/>
      <c r="EIL76" s="684"/>
      <c r="EIM76" s="684"/>
      <c r="EIN76" s="684"/>
      <c r="EIO76" s="684"/>
      <c r="EIP76" s="684"/>
      <c r="EIQ76" s="684"/>
      <c r="EIR76" s="684"/>
      <c r="EIS76" s="684"/>
      <c r="EIT76" s="684"/>
      <c r="EIU76" s="684"/>
      <c r="EIV76" s="684"/>
      <c r="EIW76" s="684"/>
      <c r="EIX76" s="684"/>
      <c r="EIY76" s="684"/>
      <c r="EIZ76" s="684"/>
      <c r="EJA76" s="684"/>
      <c r="EJB76" s="684"/>
      <c r="EJC76" s="684"/>
      <c r="EJD76" s="684"/>
      <c r="EJE76" s="684"/>
      <c r="EJF76" s="684"/>
      <c r="EJG76" s="684"/>
      <c r="EJH76" s="684"/>
      <c r="EJI76" s="684"/>
      <c r="EJJ76" s="684"/>
      <c r="EJK76" s="684"/>
      <c r="EJL76" s="684"/>
      <c r="EJM76" s="684"/>
      <c r="EJN76" s="684"/>
      <c r="EJO76" s="684"/>
      <c r="EJP76" s="684"/>
      <c r="EJQ76" s="684"/>
      <c r="EJR76" s="684"/>
      <c r="EJS76" s="684"/>
      <c r="EJT76" s="684"/>
      <c r="EJU76" s="684"/>
      <c r="EJV76" s="684"/>
      <c r="EJW76" s="684"/>
      <c r="EJX76" s="684"/>
      <c r="EJY76" s="684"/>
      <c r="EJZ76" s="684"/>
      <c r="EKA76" s="684"/>
      <c r="EKB76" s="684"/>
      <c r="EKC76" s="684"/>
      <c r="EKD76" s="684"/>
      <c r="EKE76" s="684"/>
      <c r="EKF76" s="684"/>
      <c r="EKG76" s="684"/>
      <c r="EKH76" s="684"/>
      <c r="EKI76" s="684"/>
      <c r="EKJ76" s="684"/>
      <c r="EKK76" s="684"/>
      <c r="EKL76" s="684"/>
      <c r="EKM76" s="684"/>
      <c r="EKN76" s="684"/>
      <c r="EKO76" s="684"/>
      <c r="EKP76" s="684"/>
      <c r="EKQ76" s="684"/>
      <c r="EKR76" s="684"/>
      <c r="EKS76" s="684"/>
      <c r="EKT76" s="684"/>
      <c r="EKU76" s="684"/>
      <c r="EKV76" s="684"/>
      <c r="EKW76" s="684"/>
      <c r="EKX76" s="684"/>
      <c r="EKY76" s="684"/>
      <c r="EKZ76" s="684"/>
      <c r="ELA76" s="684"/>
      <c r="ELB76" s="684"/>
      <c r="ELC76" s="684"/>
      <c r="ELD76" s="684"/>
      <c r="ELE76" s="684"/>
      <c r="ELF76" s="684"/>
      <c r="ELG76" s="684"/>
      <c r="ELH76" s="684"/>
      <c r="ELI76" s="684"/>
      <c r="ELJ76" s="684"/>
      <c r="ELK76" s="684"/>
      <c r="ELL76" s="684"/>
      <c r="ELM76" s="684"/>
      <c r="ELN76" s="684"/>
      <c r="ELO76" s="684"/>
      <c r="ELP76" s="684"/>
      <c r="ELQ76" s="684"/>
      <c r="ELR76" s="684"/>
      <c r="ELS76" s="684"/>
      <c r="ELT76" s="684"/>
      <c r="ELU76" s="684"/>
      <c r="ELV76" s="684"/>
      <c r="ELW76" s="684"/>
      <c r="ELX76" s="684"/>
      <c r="ELY76" s="684"/>
      <c r="ELZ76" s="684"/>
      <c r="EMA76" s="684"/>
      <c r="EMB76" s="684"/>
      <c r="EMC76" s="684"/>
      <c r="EMD76" s="684"/>
      <c r="EME76" s="684"/>
      <c r="EMF76" s="684"/>
      <c r="EMG76" s="684"/>
      <c r="EMH76" s="684"/>
      <c r="EMI76" s="684"/>
      <c r="EMJ76" s="684"/>
      <c r="EMK76" s="684"/>
      <c r="EML76" s="684"/>
      <c r="EMM76" s="684"/>
      <c r="EMN76" s="684"/>
      <c r="EMO76" s="684"/>
      <c r="EMP76" s="684"/>
      <c r="EMQ76" s="684"/>
      <c r="EMR76" s="684"/>
      <c r="EMS76" s="684"/>
      <c r="EMT76" s="684"/>
      <c r="EMU76" s="684"/>
      <c r="EMV76" s="684"/>
      <c r="EMW76" s="684"/>
      <c r="EMX76" s="684"/>
      <c r="EMY76" s="684"/>
      <c r="EMZ76" s="684"/>
      <c r="ENA76" s="684"/>
      <c r="ENB76" s="684"/>
      <c r="ENC76" s="684"/>
      <c r="END76" s="684"/>
      <c r="ENE76" s="684"/>
      <c r="ENF76" s="684"/>
      <c r="ENG76" s="684"/>
      <c r="ENH76" s="684"/>
      <c r="ENI76" s="684"/>
      <c r="ENJ76" s="684"/>
      <c r="ENK76" s="684"/>
      <c r="ENL76" s="684"/>
      <c r="ENM76" s="684"/>
      <c r="ENN76" s="684"/>
      <c r="ENO76" s="684"/>
      <c r="ENP76" s="684"/>
      <c r="ENQ76" s="684"/>
      <c r="ENR76" s="684"/>
      <c r="ENS76" s="684"/>
      <c r="ENT76" s="684"/>
      <c r="ENU76" s="684"/>
      <c r="ENV76" s="684"/>
      <c r="ENW76" s="684"/>
      <c r="ENX76" s="684"/>
      <c r="ENY76" s="684"/>
      <c r="ENZ76" s="684"/>
      <c r="EOA76" s="684"/>
      <c r="EOB76" s="684"/>
      <c r="EOC76" s="684"/>
      <c r="EOD76" s="684"/>
      <c r="EOE76" s="684"/>
      <c r="EOF76" s="684"/>
      <c r="EOG76" s="684"/>
      <c r="EOH76" s="684"/>
      <c r="EOI76" s="684"/>
      <c r="EOJ76" s="684"/>
      <c r="EOK76" s="684"/>
      <c r="EOL76" s="684"/>
      <c r="EOM76" s="684"/>
      <c r="EON76" s="684"/>
      <c r="EOO76" s="684"/>
      <c r="EOP76" s="684"/>
      <c r="EOQ76" s="684"/>
      <c r="EOR76" s="684"/>
      <c r="EOS76" s="684"/>
      <c r="EOT76" s="684"/>
      <c r="EOU76" s="684"/>
      <c r="EOV76" s="684"/>
      <c r="EOW76" s="684"/>
      <c r="EOX76" s="684"/>
      <c r="EOY76" s="684"/>
      <c r="EOZ76" s="684"/>
      <c r="EPA76" s="684"/>
      <c r="EPB76" s="684"/>
      <c r="EPC76" s="684"/>
      <c r="EPD76" s="684"/>
      <c r="EPE76" s="684"/>
      <c r="EPF76" s="684"/>
      <c r="EPG76" s="684"/>
      <c r="EPH76" s="684"/>
      <c r="EPI76" s="684"/>
      <c r="EPJ76" s="684"/>
      <c r="EPK76" s="684"/>
      <c r="EPL76" s="684"/>
      <c r="EPM76" s="684"/>
      <c r="EPN76" s="684"/>
      <c r="EPO76" s="684"/>
      <c r="EPP76" s="684"/>
      <c r="EPQ76" s="684"/>
      <c r="EPR76" s="684"/>
      <c r="EPS76" s="684"/>
      <c r="EPT76" s="684"/>
      <c r="EPU76" s="684"/>
      <c r="EPV76" s="684"/>
      <c r="EPW76" s="684"/>
      <c r="EPX76" s="684"/>
      <c r="EPY76" s="684"/>
      <c r="EPZ76" s="684"/>
      <c r="EQA76" s="684"/>
      <c r="EQB76" s="684"/>
      <c r="EQC76" s="684"/>
      <c r="EQD76" s="684"/>
      <c r="EQE76" s="684"/>
      <c r="EQF76" s="684"/>
      <c r="EQG76" s="684"/>
      <c r="EQH76" s="684"/>
      <c r="EQI76" s="684"/>
      <c r="EQJ76" s="684"/>
      <c r="EQK76" s="684"/>
      <c r="EQL76" s="684"/>
      <c r="EQM76" s="684"/>
      <c r="EQN76" s="684"/>
      <c r="EQO76" s="684"/>
      <c r="EQP76" s="684"/>
      <c r="EQQ76" s="684"/>
      <c r="EQR76" s="684"/>
      <c r="EQS76" s="684"/>
      <c r="EQT76" s="684"/>
      <c r="EQU76" s="684"/>
      <c r="EQV76" s="684"/>
      <c r="EQW76" s="684"/>
      <c r="EQX76" s="684"/>
      <c r="EQY76" s="684"/>
      <c r="EQZ76" s="684"/>
      <c r="ERA76" s="684"/>
      <c r="ERB76" s="684"/>
      <c r="ERC76" s="684"/>
      <c r="ERD76" s="684"/>
      <c r="ERE76" s="684"/>
      <c r="ERF76" s="684"/>
      <c r="ERG76" s="684"/>
      <c r="ERH76" s="684"/>
      <c r="ERI76" s="684"/>
      <c r="ERJ76" s="684"/>
      <c r="ERK76" s="684"/>
      <c r="ERL76" s="684"/>
      <c r="ERM76" s="684"/>
      <c r="ERN76" s="684"/>
      <c r="ERO76" s="684"/>
      <c r="ERP76" s="684"/>
      <c r="ERQ76" s="684"/>
      <c r="ERR76" s="684"/>
      <c r="ERS76" s="684"/>
      <c r="ERT76" s="684"/>
      <c r="ERU76" s="684"/>
      <c r="ERV76" s="684"/>
      <c r="ERW76" s="684"/>
      <c r="ERX76" s="684"/>
      <c r="ERY76" s="684"/>
      <c r="ERZ76" s="684"/>
      <c r="ESA76" s="684"/>
      <c r="ESB76" s="684"/>
      <c r="ESC76" s="684"/>
      <c r="ESD76" s="684"/>
      <c r="ESE76" s="684"/>
      <c r="ESF76" s="684"/>
      <c r="ESG76" s="684"/>
      <c r="ESH76" s="684"/>
      <c r="ESI76" s="684"/>
      <c r="ESJ76" s="684"/>
      <c r="ESK76" s="684"/>
      <c r="ESL76" s="684"/>
      <c r="ESM76" s="684"/>
      <c r="ESN76" s="684"/>
      <c r="ESO76" s="684"/>
      <c r="ESP76" s="684"/>
      <c r="ESQ76" s="684"/>
      <c r="ESR76" s="684"/>
      <c r="ESS76" s="684"/>
      <c r="EST76" s="684"/>
      <c r="ESU76" s="684"/>
      <c r="ESV76" s="684"/>
      <c r="ESW76" s="684"/>
      <c r="ESX76" s="684"/>
      <c r="ESY76" s="684"/>
      <c r="ESZ76" s="684"/>
      <c r="ETA76" s="684"/>
      <c r="ETB76" s="684"/>
      <c r="ETC76" s="684"/>
      <c r="ETD76" s="684"/>
      <c r="ETE76" s="684"/>
      <c r="ETF76" s="684"/>
      <c r="ETG76" s="684"/>
      <c r="ETH76" s="684"/>
      <c r="ETI76" s="684"/>
      <c r="ETJ76" s="684"/>
      <c r="ETK76" s="684"/>
      <c r="ETL76" s="684"/>
      <c r="ETM76" s="684"/>
      <c r="ETN76" s="684"/>
      <c r="ETO76" s="684"/>
      <c r="ETP76" s="684"/>
      <c r="ETQ76" s="684"/>
      <c r="ETR76" s="684"/>
      <c r="ETS76" s="684"/>
      <c r="ETT76" s="684"/>
      <c r="ETU76" s="684"/>
      <c r="ETV76" s="684"/>
      <c r="ETW76" s="684"/>
      <c r="ETX76" s="684"/>
      <c r="ETY76" s="684"/>
      <c r="ETZ76" s="684"/>
      <c r="EUA76" s="684"/>
      <c r="EUB76" s="684"/>
      <c r="EUC76" s="684"/>
      <c r="EUD76" s="684"/>
      <c r="EUE76" s="684"/>
      <c r="EUF76" s="684"/>
      <c r="EUG76" s="684"/>
      <c r="EUH76" s="684"/>
      <c r="EUI76" s="684"/>
      <c r="EUJ76" s="684"/>
      <c r="EUK76" s="684"/>
      <c r="EUL76" s="684"/>
      <c r="EUM76" s="684"/>
      <c r="EUN76" s="684"/>
      <c r="EUO76" s="684"/>
      <c r="EUP76" s="684"/>
      <c r="EUQ76" s="684"/>
      <c r="EUR76" s="684"/>
      <c r="EUS76" s="684"/>
      <c r="EUT76" s="684"/>
      <c r="EUU76" s="684"/>
      <c r="EUV76" s="684"/>
      <c r="EUW76" s="684"/>
      <c r="EUX76" s="684"/>
      <c r="EUY76" s="684"/>
      <c r="EUZ76" s="684"/>
      <c r="EVA76" s="684"/>
      <c r="EVB76" s="684"/>
      <c r="EVC76" s="684"/>
      <c r="EVD76" s="684"/>
      <c r="EVE76" s="684"/>
      <c r="EVF76" s="684"/>
      <c r="EVG76" s="684"/>
      <c r="EVH76" s="684"/>
      <c r="EVI76" s="684"/>
      <c r="EVJ76" s="684"/>
      <c r="EVK76" s="684"/>
      <c r="EVL76" s="684"/>
      <c r="EVM76" s="684"/>
      <c r="EVN76" s="684"/>
      <c r="EVO76" s="684"/>
      <c r="EVP76" s="684"/>
      <c r="EVQ76" s="684"/>
      <c r="EVR76" s="684"/>
      <c r="EVS76" s="684"/>
      <c r="EVT76" s="684"/>
      <c r="EVU76" s="684"/>
      <c r="EVV76" s="684"/>
      <c r="EVW76" s="684"/>
      <c r="EVX76" s="684"/>
      <c r="EVY76" s="684"/>
      <c r="EVZ76" s="684"/>
      <c r="EWA76" s="684"/>
      <c r="EWB76" s="684"/>
      <c r="EWC76" s="684"/>
      <c r="EWD76" s="684"/>
      <c r="EWE76" s="684"/>
      <c r="EWF76" s="684"/>
      <c r="EWG76" s="684"/>
      <c r="EWH76" s="684"/>
      <c r="EWI76" s="684"/>
      <c r="EWJ76" s="684"/>
      <c r="EWK76" s="684"/>
      <c r="EWL76" s="684"/>
      <c r="EWM76" s="684"/>
      <c r="EWN76" s="684"/>
      <c r="EWO76" s="684"/>
      <c r="EWP76" s="684"/>
      <c r="EWQ76" s="684"/>
      <c r="EWR76" s="684"/>
      <c r="EWS76" s="684"/>
      <c r="EWT76" s="684"/>
      <c r="EWU76" s="684"/>
      <c r="EWV76" s="684"/>
      <c r="EWW76" s="684"/>
      <c r="EWX76" s="684"/>
      <c r="EWY76" s="684"/>
      <c r="EWZ76" s="684"/>
      <c r="EXA76" s="684"/>
      <c r="EXB76" s="684"/>
      <c r="EXC76" s="684"/>
      <c r="EXD76" s="684"/>
      <c r="EXE76" s="684"/>
      <c r="EXF76" s="684"/>
      <c r="EXG76" s="684"/>
      <c r="EXH76" s="684"/>
      <c r="EXI76" s="684"/>
      <c r="EXJ76" s="684"/>
      <c r="EXK76" s="684"/>
      <c r="EXL76" s="684"/>
      <c r="EXM76" s="684"/>
      <c r="EXN76" s="684"/>
      <c r="EXO76" s="684"/>
      <c r="EXP76" s="684"/>
      <c r="EXQ76" s="684"/>
      <c r="EXR76" s="684"/>
      <c r="EXS76" s="684"/>
      <c r="EXT76" s="684"/>
      <c r="EXU76" s="684"/>
      <c r="EXV76" s="684"/>
      <c r="EXW76" s="684"/>
      <c r="EXX76" s="684"/>
      <c r="EXY76" s="684"/>
      <c r="EXZ76" s="684"/>
      <c r="EYA76" s="684"/>
      <c r="EYB76" s="684"/>
      <c r="EYC76" s="684"/>
      <c r="EYD76" s="684"/>
      <c r="EYE76" s="684"/>
      <c r="EYF76" s="684"/>
      <c r="EYG76" s="684"/>
      <c r="EYH76" s="684"/>
      <c r="EYI76" s="684"/>
      <c r="EYJ76" s="684"/>
      <c r="EYK76" s="684"/>
      <c r="EYL76" s="684"/>
      <c r="EYM76" s="684"/>
      <c r="EYN76" s="684"/>
      <c r="EYO76" s="684"/>
      <c r="EYP76" s="684"/>
      <c r="EYQ76" s="684"/>
      <c r="EYR76" s="684"/>
      <c r="EYS76" s="684"/>
      <c r="EYT76" s="684"/>
      <c r="EYU76" s="684"/>
      <c r="EYV76" s="684"/>
      <c r="EYW76" s="684"/>
      <c r="EYX76" s="684"/>
      <c r="EYY76" s="684"/>
      <c r="EYZ76" s="684"/>
      <c r="EZA76" s="684"/>
      <c r="EZB76" s="684"/>
      <c r="EZC76" s="684"/>
      <c r="EZD76" s="684"/>
      <c r="EZE76" s="684"/>
      <c r="EZF76" s="684"/>
      <c r="EZG76" s="684"/>
      <c r="EZH76" s="684"/>
      <c r="EZI76" s="684"/>
      <c r="EZJ76" s="684"/>
      <c r="EZK76" s="684"/>
      <c r="EZL76" s="684"/>
      <c r="EZM76" s="684"/>
      <c r="EZN76" s="684"/>
      <c r="EZO76" s="684"/>
      <c r="EZP76" s="684"/>
      <c r="EZQ76" s="684"/>
      <c r="EZR76" s="684"/>
      <c r="EZS76" s="684"/>
      <c r="EZT76" s="684"/>
      <c r="EZU76" s="684"/>
      <c r="EZV76" s="684"/>
      <c r="EZW76" s="684"/>
      <c r="EZX76" s="684"/>
      <c r="EZY76" s="684"/>
      <c r="EZZ76" s="684"/>
      <c r="FAA76" s="684"/>
      <c r="FAB76" s="684"/>
      <c r="FAC76" s="684"/>
      <c r="FAD76" s="684"/>
      <c r="FAE76" s="684"/>
      <c r="FAF76" s="684"/>
      <c r="FAG76" s="684"/>
      <c r="FAH76" s="684"/>
      <c r="FAI76" s="684"/>
      <c r="FAJ76" s="684"/>
      <c r="FAK76" s="684"/>
      <c r="FAL76" s="684"/>
      <c r="FAM76" s="684"/>
      <c r="FAN76" s="684"/>
      <c r="FAO76" s="684"/>
      <c r="FAP76" s="684"/>
      <c r="FAQ76" s="684"/>
      <c r="FAR76" s="684"/>
      <c r="FAS76" s="684"/>
      <c r="FAT76" s="684"/>
      <c r="FAU76" s="684"/>
      <c r="FAV76" s="684"/>
      <c r="FAW76" s="684"/>
      <c r="FAX76" s="684"/>
      <c r="FAY76" s="684"/>
      <c r="FAZ76" s="684"/>
      <c r="FBA76" s="684"/>
      <c r="FBB76" s="684"/>
      <c r="FBC76" s="684"/>
      <c r="FBD76" s="684"/>
      <c r="FBE76" s="684"/>
      <c r="FBF76" s="684"/>
      <c r="FBG76" s="684"/>
      <c r="FBH76" s="684"/>
      <c r="FBI76" s="684"/>
      <c r="FBJ76" s="684"/>
      <c r="FBK76" s="684"/>
      <c r="FBL76" s="684"/>
      <c r="FBM76" s="684"/>
      <c r="FBN76" s="684"/>
      <c r="FBO76" s="684"/>
      <c r="FBP76" s="684"/>
      <c r="FBQ76" s="684"/>
      <c r="FBR76" s="684"/>
      <c r="FBS76" s="684"/>
      <c r="FBT76" s="684"/>
      <c r="FBU76" s="684"/>
      <c r="FBV76" s="684"/>
      <c r="FBW76" s="684"/>
      <c r="FBX76" s="684"/>
      <c r="FBY76" s="684"/>
      <c r="FBZ76" s="684"/>
      <c r="FCA76" s="684"/>
      <c r="FCB76" s="684"/>
      <c r="FCC76" s="684"/>
      <c r="FCD76" s="684"/>
      <c r="FCE76" s="684"/>
      <c r="FCF76" s="684"/>
      <c r="FCG76" s="684"/>
      <c r="FCH76" s="684"/>
      <c r="FCI76" s="684"/>
      <c r="FCJ76" s="684"/>
      <c r="FCK76" s="684"/>
      <c r="FCL76" s="684"/>
      <c r="FCM76" s="684"/>
      <c r="FCN76" s="684"/>
      <c r="FCO76" s="684"/>
      <c r="FCP76" s="684"/>
      <c r="FCQ76" s="684"/>
      <c r="FCR76" s="684"/>
      <c r="FCS76" s="684"/>
      <c r="FCT76" s="684"/>
      <c r="FCU76" s="684"/>
      <c r="FCV76" s="684"/>
      <c r="FCW76" s="684"/>
      <c r="FCX76" s="684"/>
      <c r="FCY76" s="684"/>
      <c r="FCZ76" s="684"/>
      <c r="FDA76" s="684"/>
      <c r="FDB76" s="684"/>
      <c r="FDC76" s="684"/>
      <c r="FDD76" s="684"/>
      <c r="FDE76" s="684"/>
      <c r="FDF76" s="684"/>
      <c r="FDG76" s="684"/>
      <c r="FDH76" s="684"/>
      <c r="FDI76" s="684"/>
      <c r="FDJ76" s="684"/>
      <c r="FDK76" s="684"/>
      <c r="FDL76" s="684"/>
      <c r="FDM76" s="684"/>
      <c r="FDN76" s="684"/>
      <c r="FDO76" s="684"/>
      <c r="FDP76" s="684"/>
      <c r="FDQ76" s="684"/>
      <c r="FDR76" s="684"/>
      <c r="FDS76" s="684"/>
      <c r="FDT76" s="684"/>
      <c r="FDU76" s="684"/>
      <c r="FDV76" s="684"/>
      <c r="FDW76" s="684"/>
      <c r="FDX76" s="684"/>
      <c r="FDY76" s="684"/>
      <c r="FDZ76" s="684"/>
      <c r="FEA76" s="684"/>
      <c r="FEB76" s="684"/>
      <c r="FEC76" s="684"/>
      <c r="FED76" s="684"/>
      <c r="FEE76" s="684"/>
      <c r="FEF76" s="684"/>
      <c r="FEG76" s="684"/>
      <c r="FEH76" s="684"/>
      <c r="FEI76" s="684"/>
      <c r="FEJ76" s="684"/>
      <c r="FEK76" s="684"/>
      <c r="FEL76" s="684"/>
      <c r="FEM76" s="684"/>
      <c r="FEN76" s="684"/>
      <c r="FEO76" s="684"/>
      <c r="FEP76" s="684"/>
      <c r="FEQ76" s="684"/>
      <c r="FER76" s="684"/>
      <c r="FES76" s="684"/>
      <c r="FET76" s="684"/>
      <c r="FEU76" s="684"/>
      <c r="FEV76" s="684"/>
      <c r="FEW76" s="684"/>
      <c r="FEX76" s="684"/>
      <c r="FEY76" s="684"/>
      <c r="FEZ76" s="684"/>
      <c r="FFA76" s="684"/>
      <c r="FFB76" s="684"/>
      <c r="FFC76" s="684"/>
      <c r="FFD76" s="684"/>
      <c r="FFE76" s="684"/>
      <c r="FFF76" s="684"/>
      <c r="FFG76" s="684"/>
      <c r="FFH76" s="684"/>
      <c r="FFI76" s="684"/>
      <c r="FFJ76" s="684"/>
      <c r="FFK76" s="684"/>
      <c r="FFL76" s="684"/>
      <c r="FFM76" s="684"/>
      <c r="FFN76" s="684"/>
      <c r="FFO76" s="684"/>
      <c r="FFP76" s="684"/>
      <c r="FFQ76" s="684"/>
      <c r="FFR76" s="684"/>
      <c r="FFS76" s="684"/>
      <c r="FFT76" s="684"/>
      <c r="FFU76" s="684"/>
      <c r="FFV76" s="684"/>
      <c r="FFW76" s="684"/>
      <c r="FFX76" s="684"/>
      <c r="FFY76" s="684"/>
      <c r="FFZ76" s="684"/>
      <c r="FGA76" s="684"/>
      <c r="FGB76" s="684"/>
      <c r="FGC76" s="684"/>
      <c r="FGD76" s="684"/>
      <c r="FGE76" s="684"/>
      <c r="FGF76" s="684"/>
      <c r="FGG76" s="684"/>
      <c r="FGH76" s="684"/>
      <c r="FGI76" s="684"/>
      <c r="FGJ76" s="684"/>
      <c r="FGK76" s="684"/>
      <c r="FGL76" s="684"/>
      <c r="FGM76" s="684"/>
      <c r="FGN76" s="684"/>
      <c r="FGO76" s="684"/>
      <c r="FGP76" s="684"/>
      <c r="FGQ76" s="684"/>
      <c r="FGR76" s="684"/>
      <c r="FGS76" s="684"/>
      <c r="FGT76" s="684"/>
      <c r="FGU76" s="684"/>
      <c r="FGV76" s="684"/>
      <c r="FGW76" s="684"/>
      <c r="FGX76" s="684"/>
      <c r="FGY76" s="684"/>
      <c r="FGZ76" s="684"/>
      <c r="FHA76" s="684"/>
      <c r="FHB76" s="684"/>
      <c r="FHC76" s="684"/>
      <c r="FHD76" s="684"/>
      <c r="FHE76" s="684"/>
      <c r="FHF76" s="684"/>
      <c r="FHG76" s="684"/>
      <c r="FHH76" s="684"/>
      <c r="FHI76" s="684"/>
      <c r="FHJ76" s="684"/>
      <c r="FHK76" s="684"/>
      <c r="FHL76" s="684"/>
      <c r="FHM76" s="684"/>
      <c r="FHN76" s="684"/>
      <c r="FHO76" s="684"/>
      <c r="FHP76" s="684"/>
      <c r="FHQ76" s="684"/>
      <c r="FHR76" s="684"/>
      <c r="FHS76" s="684"/>
      <c r="FHT76" s="684"/>
      <c r="FHU76" s="684"/>
      <c r="FHV76" s="684"/>
      <c r="FHW76" s="684"/>
      <c r="FHX76" s="684"/>
      <c r="FHY76" s="684"/>
      <c r="FHZ76" s="684"/>
      <c r="FIA76" s="684"/>
      <c r="FIB76" s="684"/>
      <c r="FIC76" s="684"/>
      <c r="FID76" s="684"/>
      <c r="FIE76" s="684"/>
      <c r="FIF76" s="684"/>
      <c r="FIG76" s="684"/>
      <c r="FIH76" s="684"/>
      <c r="FII76" s="684"/>
      <c r="FIJ76" s="684"/>
      <c r="FIK76" s="684"/>
      <c r="FIL76" s="684"/>
      <c r="FIM76" s="684"/>
      <c r="FIN76" s="684"/>
      <c r="FIO76" s="684"/>
      <c r="FIP76" s="684"/>
      <c r="FIQ76" s="684"/>
      <c r="FIR76" s="684"/>
      <c r="FIS76" s="684"/>
      <c r="FIT76" s="684"/>
      <c r="FIU76" s="684"/>
      <c r="FIV76" s="684"/>
      <c r="FIW76" s="684"/>
      <c r="FIX76" s="684"/>
      <c r="FIY76" s="684"/>
      <c r="FIZ76" s="684"/>
      <c r="FJA76" s="684"/>
      <c r="FJB76" s="684"/>
      <c r="FJC76" s="684"/>
      <c r="FJD76" s="684"/>
      <c r="FJE76" s="684"/>
      <c r="FJF76" s="684"/>
      <c r="FJG76" s="684"/>
      <c r="FJH76" s="684"/>
      <c r="FJI76" s="684"/>
      <c r="FJJ76" s="684"/>
      <c r="FJK76" s="684"/>
      <c r="FJL76" s="684"/>
      <c r="FJM76" s="684"/>
      <c r="FJN76" s="684"/>
      <c r="FJO76" s="684"/>
      <c r="FJP76" s="684"/>
      <c r="FJQ76" s="684"/>
      <c r="FJR76" s="684"/>
      <c r="FJS76" s="684"/>
      <c r="FJT76" s="684"/>
      <c r="FJU76" s="684"/>
      <c r="FJV76" s="684"/>
      <c r="FJW76" s="684"/>
      <c r="FJX76" s="684"/>
      <c r="FJY76" s="684"/>
      <c r="FJZ76" s="684"/>
      <c r="FKA76" s="684"/>
      <c r="FKB76" s="684"/>
      <c r="FKC76" s="684"/>
      <c r="FKD76" s="684"/>
      <c r="FKE76" s="684"/>
      <c r="FKF76" s="684"/>
      <c r="FKG76" s="684"/>
      <c r="FKH76" s="684"/>
      <c r="FKI76" s="684"/>
      <c r="FKJ76" s="684"/>
      <c r="FKK76" s="684"/>
      <c r="FKL76" s="684"/>
      <c r="FKM76" s="684"/>
      <c r="FKN76" s="684"/>
      <c r="FKO76" s="684"/>
      <c r="FKP76" s="684"/>
      <c r="FKQ76" s="684"/>
      <c r="FKR76" s="684"/>
      <c r="FKS76" s="684"/>
      <c r="FKT76" s="684"/>
      <c r="FKU76" s="684"/>
      <c r="FKV76" s="684"/>
      <c r="FKW76" s="684"/>
      <c r="FKX76" s="684"/>
      <c r="FKY76" s="684"/>
      <c r="FKZ76" s="684"/>
      <c r="FLA76" s="684"/>
      <c r="FLB76" s="684"/>
      <c r="FLC76" s="684"/>
      <c r="FLD76" s="684"/>
      <c r="FLE76" s="684"/>
      <c r="FLF76" s="684"/>
      <c r="FLG76" s="684"/>
      <c r="FLH76" s="684"/>
      <c r="FLI76" s="684"/>
      <c r="FLJ76" s="684"/>
      <c r="FLK76" s="684"/>
      <c r="FLL76" s="684"/>
      <c r="FLM76" s="684"/>
      <c r="FLN76" s="684"/>
      <c r="FLO76" s="684"/>
      <c r="FLP76" s="684"/>
      <c r="FLQ76" s="684"/>
      <c r="FLR76" s="684"/>
      <c r="FLS76" s="684"/>
      <c r="FLT76" s="684"/>
      <c r="FLU76" s="684"/>
      <c r="FLV76" s="684"/>
      <c r="FLW76" s="684"/>
      <c r="FLX76" s="684"/>
      <c r="FLY76" s="684"/>
      <c r="FLZ76" s="684"/>
      <c r="FMA76" s="684"/>
      <c r="FMB76" s="684"/>
      <c r="FMC76" s="684"/>
      <c r="FMD76" s="684"/>
      <c r="FME76" s="684"/>
      <c r="FMF76" s="684"/>
      <c r="FMG76" s="684"/>
      <c r="FMH76" s="684"/>
      <c r="FMI76" s="684"/>
      <c r="FMJ76" s="684"/>
      <c r="FMK76" s="684"/>
      <c r="FML76" s="684"/>
      <c r="FMM76" s="684"/>
      <c r="FMN76" s="684"/>
      <c r="FMO76" s="684"/>
      <c r="FMP76" s="684"/>
      <c r="FMQ76" s="684"/>
      <c r="FMR76" s="684"/>
      <c r="FMS76" s="684"/>
      <c r="FMT76" s="684"/>
      <c r="FMU76" s="684"/>
      <c r="FMV76" s="684"/>
      <c r="FMW76" s="684"/>
      <c r="FMX76" s="684"/>
      <c r="FMY76" s="684"/>
      <c r="FMZ76" s="684"/>
      <c r="FNA76" s="684"/>
      <c r="FNB76" s="684"/>
      <c r="FNC76" s="684"/>
      <c r="FND76" s="684"/>
      <c r="FNE76" s="684"/>
      <c r="FNF76" s="684"/>
      <c r="FNG76" s="684"/>
      <c r="FNH76" s="684"/>
      <c r="FNI76" s="684"/>
      <c r="FNJ76" s="684"/>
      <c r="FNK76" s="684"/>
      <c r="FNL76" s="684"/>
      <c r="FNM76" s="684"/>
      <c r="FNN76" s="684"/>
      <c r="FNO76" s="684"/>
      <c r="FNP76" s="684"/>
      <c r="FNQ76" s="684"/>
      <c r="FNR76" s="684"/>
      <c r="FNS76" s="684"/>
      <c r="FNT76" s="684"/>
      <c r="FNU76" s="684"/>
      <c r="FNV76" s="684"/>
      <c r="FNW76" s="684"/>
      <c r="FNX76" s="684"/>
      <c r="FNY76" s="684"/>
      <c r="FNZ76" s="684"/>
      <c r="FOA76" s="684"/>
      <c r="FOB76" s="684"/>
      <c r="FOC76" s="684"/>
      <c r="FOD76" s="684"/>
      <c r="FOE76" s="684"/>
      <c r="FOF76" s="684"/>
      <c r="FOG76" s="684"/>
      <c r="FOH76" s="684"/>
      <c r="FOI76" s="684"/>
      <c r="FOJ76" s="684"/>
      <c r="FOK76" s="684"/>
      <c r="FOL76" s="684"/>
      <c r="FOM76" s="684"/>
      <c r="FON76" s="684"/>
      <c r="FOO76" s="684"/>
      <c r="FOP76" s="684"/>
      <c r="FOQ76" s="684"/>
      <c r="FOR76" s="684"/>
      <c r="FOS76" s="684"/>
      <c r="FOT76" s="684"/>
      <c r="FOU76" s="684"/>
      <c r="FOV76" s="684"/>
      <c r="FOW76" s="684"/>
      <c r="FOX76" s="684"/>
      <c r="FOY76" s="684"/>
      <c r="FOZ76" s="684"/>
      <c r="FPA76" s="684"/>
      <c r="FPB76" s="684"/>
      <c r="FPC76" s="684"/>
      <c r="FPD76" s="684"/>
      <c r="FPE76" s="684"/>
      <c r="FPF76" s="684"/>
      <c r="FPG76" s="684"/>
      <c r="FPH76" s="684"/>
      <c r="FPI76" s="684"/>
      <c r="FPJ76" s="684"/>
      <c r="FPK76" s="684"/>
      <c r="FPL76" s="684"/>
      <c r="FPM76" s="684"/>
      <c r="FPN76" s="684"/>
      <c r="FPO76" s="684"/>
      <c r="FPP76" s="684"/>
      <c r="FPQ76" s="684"/>
      <c r="FPR76" s="684"/>
      <c r="FPS76" s="684"/>
      <c r="FPT76" s="684"/>
      <c r="FPU76" s="684"/>
      <c r="FPV76" s="684"/>
      <c r="FPW76" s="684"/>
      <c r="FPX76" s="684"/>
      <c r="FPY76" s="684"/>
      <c r="FPZ76" s="684"/>
      <c r="FQA76" s="684"/>
      <c r="FQB76" s="684"/>
      <c r="FQC76" s="684"/>
      <c r="FQD76" s="684"/>
      <c r="FQE76" s="684"/>
      <c r="FQF76" s="684"/>
      <c r="FQG76" s="684"/>
      <c r="FQH76" s="684"/>
      <c r="FQI76" s="684"/>
      <c r="FQJ76" s="684"/>
      <c r="FQK76" s="684"/>
      <c r="FQL76" s="684"/>
      <c r="FQM76" s="684"/>
      <c r="FQN76" s="684"/>
      <c r="FQO76" s="684"/>
      <c r="FQP76" s="684"/>
      <c r="FQQ76" s="684"/>
      <c r="FQR76" s="684"/>
      <c r="FQS76" s="684"/>
      <c r="FQT76" s="684"/>
      <c r="FQU76" s="684"/>
      <c r="FQV76" s="684"/>
      <c r="FQW76" s="684"/>
      <c r="FQX76" s="684"/>
      <c r="FQY76" s="684"/>
      <c r="FQZ76" s="684"/>
      <c r="FRA76" s="684"/>
      <c r="FRB76" s="684"/>
      <c r="FRC76" s="684"/>
      <c r="FRD76" s="684"/>
      <c r="FRE76" s="684"/>
      <c r="FRF76" s="684"/>
      <c r="FRG76" s="684"/>
      <c r="FRH76" s="684"/>
      <c r="FRI76" s="684"/>
      <c r="FRJ76" s="684"/>
      <c r="FRK76" s="684"/>
      <c r="FRL76" s="684"/>
      <c r="FRM76" s="684"/>
      <c r="FRN76" s="684"/>
      <c r="FRO76" s="684"/>
      <c r="FRP76" s="684"/>
      <c r="FRQ76" s="684"/>
      <c r="FRR76" s="684"/>
      <c r="FRS76" s="684"/>
      <c r="FRT76" s="684"/>
      <c r="FRU76" s="684"/>
      <c r="FRV76" s="684"/>
      <c r="FRW76" s="684"/>
      <c r="FRX76" s="684"/>
      <c r="FRY76" s="684"/>
      <c r="FRZ76" s="684"/>
      <c r="FSA76" s="684"/>
      <c r="FSB76" s="684"/>
      <c r="FSC76" s="684"/>
      <c r="FSD76" s="684"/>
      <c r="FSE76" s="684"/>
      <c r="FSF76" s="684"/>
      <c r="FSG76" s="684"/>
      <c r="FSH76" s="684"/>
      <c r="FSI76" s="684"/>
      <c r="FSJ76" s="684"/>
      <c r="FSK76" s="684"/>
      <c r="FSL76" s="684"/>
      <c r="FSM76" s="684"/>
      <c r="FSN76" s="684"/>
      <c r="FSO76" s="684"/>
      <c r="FSP76" s="684"/>
      <c r="FSQ76" s="684"/>
      <c r="FSR76" s="684"/>
      <c r="FSS76" s="684"/>
      <c r="FST76" s="684"/>
      <c r="FSU76" s="684"/>
      <c r="FSV76" s="684"/>
      <c r="FSW76" s="684"/>
      <c r="FSX76" s="684"/>
      <c r="FSY76" s="684"/>
      <c r="FSZ76" s="684"/>
      <c r="FTA76" s="684"/>
      <c r="FTB76" s="684"/>
      <c r="FTC76" s="684"/>
      <c r="FTD76" s="684"/>
      <c r="FTE76" s="684"/>
      <c r="FTF76" s="684"/>
      <c r="FTG76" s="684"/>
      <c r="FTH76" s="684"/>
      <c r="FTI76" s="684"/>
      <c r="FTJ76" s="684"/>
      <c r="FTK76" s="684"/>
      <c r="FTL76" s="684"/>
      <c r="FTM76" s="684"/>
      <c r="FTN76" s="684"/>
      <c r="FTO76" s="684"/>
      <c r="FTP76" s="684"/>
      <c r="FTQ76" s="684"/>
      <c r="FTR76" s="684"/>
      <c r="FTS76" s="684"/>
      <c r="FTT76" s="684"/>
      <c r="FTU76" s="684"/>
      <c r="FTV76" s="684"/>
      <c r="FTW76" s="684"/>
      <c r="FTX76" s="684"/>
      <c r="FTY76" s="684"/>
      <c r="FTZ76" s="684"/>
      <c r="FUA76" s="684"/>
      <c r="FUB76" s="684"/>
      <c r="FUC76" s="684"/>
      <c r="FUD76" s="684"/>
      <c r="FUE76" s="684"/>
      <c r="FUF76" s="684"/>
      <c r="FUG76" s="684"/>
      <c r="FUH76" s="684"/>
      <c r="FUI76" s="684"/>
      <c r="FUJ76" s="684"/>
      <c r="FUK76" s="684"/>
      <c r="FUL76" s="684"/>
      <c r="FUM76" s="684"/>
      <c r="FUN76" s="684"/>
      <c r="FUO76" s="684"/>
      <c r="FUP76" s="684"/>
      <c r="FUQ76" s="684"/>
      <c r="FUR76" s="684"/>
      <c r="FUS76" s="684"/>
      <c r="FUT76" s="684"/>
      <c r="FUU76" s="684"/>
      <c r="FUV76" s="684"/>
      <c r="FUW76" s="684"/>
      <c r="FUX76" s="684"/>
      <c r="FUY76" s="684"/>
      <c r="FUZ76" s="684"/>
      <c r="FVA76" s="684"/>
      <c r="FVB76" s="684"/>
      <c r="FVC76" s="684"/>
      <c r="FVD76" s="684"/>
      <c r="FVE76" s="684"/>
      <c r="FVF76" s="684"/>
      <c r="FVG76" s="684"/>
      <c r="FVH76" s="684"/>
      <c r="FVI76" s="684"/>
      <c r="FVJ76" s="684"/>
      <c r="FVK76" s="684"/>
      <c r="FVL76" s="684"/>
      <c r="FVM76" s="684"/>
      <c r="FVN76" s="684"/>
      <c r="FVO76" s="684"/>
      <c r="FVP76" s="684"/>
      <c r="FVQ76" s="684"/>
      <c r="FVR76" s="684"/>
      <c r="FVS76" s="684"/>
      <c r="FVT76" s="684"/>
      <c r="FVU76" s="684"/>
      <c r="FVV76" s="684"/>
      <c r="FVW76" s="684"/>
      <c r="FVX76" s="684"/>
      <c r="FVY76" s="684"/>
      <c r="FVZ76" s="684"/>
      <c r="FWA76" s="684"/>
      <c r="FWB76" s="684"/>
      <c r="FWC76" s="684"/>
      <c r="FWD76" s="684"/>
      <c r="FWE76" s="684"/>
      <c r="FWF76" s="684"/>
      <c r="FWG76" s="684"/>
      <c r="FWH76" s="684"/>
      <c r="FWI76" s="684"/>
      <c r="FWJ76" s="684"/>
      <c r="FWK76" s="684"/>
      <c r="FWL76" s="684"/>
      <c r="FWM76" s="684"/>
      <c r="FWN76" s="684"/>
      <c r="FWO76" s="684"/>
      <c r="FWP76" s="684"/>
      <c r="FWQ76" s="684"/>
      <c r="FWR76" s="684"/>
      <c r="FWS76" s="684"/>
      <c r="FWT76" s="684"/>
      <c r="FWU76" s="684"/>
      <c r="FWV76" s="684"/>
      <c r="FWW76" s="684"/>
      <c r="FWX76" s="684"/>
      <c r="FWY76" s="684"/>
      <c r="FWZ76" s="684"/>
      <c r="FXA76" s="684"/>
      <c r="FXB76" s="684"/>
      <c r="FXC76" s="684"/>
      <c r="FXD76" s="684"/>
      <c r="FXE76" s="684"/>
      <c r="FXF76" s="684"/>
      <c r="FXG76" s="684"/>
      <c r="FXH76" s="684"/>
      <c r="FXI76" s="684"/>
      <c r="FXJ76" s="684"/>
      <c r="FXK76" s="684"/>
      <c r="FXL76" s="684"/>
      <c r="FXM76" s="684"/>
      <c r="FXN76" s="684"/>
      <c r="FXO76" s="684"/>
      <c r="FXP76" s="684"/>
      <c r="FXQ76" s="684"/>
      <c r="FXR76" s="684"/>
      <c r="FXS76" s="684"/>
      <c r="FXT76" s="684"/>
      <c r="FXU76" s="684"/>
      <c r="FXV76" s="684"/>
      <c r="FXW76" s="684"/>
      <c r="FXX76" s="684"/>
      <c r="FXY76" s="684"/>
      <c r="FXZ76" s="684"/>
      <c r="FYA76" s="684"/>
      <c r="FYB76" s="684"/>
      <c r="FYC76" s="684"/>
      <c r="FYD76" s="684"/>
      <c r="FYE76" s="684"/>
      <c r="FYF76" s="684"/>
      <c r="FYG76" s="684"/>
      <c r="FYH76" s="684"/>
      <c r="FYI76" s="684"/>
      <c r="FYJ76" s="684"/>
      <c r="FYK76" s="684"/>
      <c r="FYL76" s="684"/>
      <c r="FYM76" s="684"/>
      <c r="FYN76" s="684"/>
      <c r="FYO76" s="684"/>
      <c r="FYP76" s="684"/>
      <c r="FYQ76" s="684"/>
      <c r="FYR76" s="684"/>
      <c r="FYS76" s="684"/>
      <c r="FYT76" s="684"/>
      <c r="FYU76" s="684"/>
      <c r="FYV76" s="684"/>
      <c r="FYW76" s="684"/>
      <c r="FYX76" s="684"/>
      <c r="FYY76" s="684"/>
      <c r="FYZ76" s="684"/>
      <c r="FZA76" s="684"/>
      <c r="FZB76" s="684"/>
      <c r="FZC76" s="684"/>
      <c r="FZD76" s="684"/>
      <c r="FZE76" s="684"/>
      <c r="FZF76" s="684"/>
      <c r="FZG76" s="684"/>
      <c r="FZH76" s="684"/>
      <c r="FZI76" s="684"/>
      <c r="FZJ76" s="684"/>
      <c r="FZK76" s="684"/>
      <c r="FZL76" s="684"/>
      <c r="FZM76" s="684"/>
      <c r="FZN76" s="684"/>
      <c r="FZO76" s="684"/>
      <c r="FZP76" s="684"/>
      <c r="FZQ76" s="684"/>
      <c r="FZR76" s="684"/>
      <c r="FZS76" s="684"/>
      <c r="FZT76" s="684"/>
      <c r="FZU76" s="684"/>
      <c r="FZV76" s="684"/>
      <c r="FZW76" s="684"/>
      <c r="FZX76" s="684"/>
      <c r="FZY76" s="684"/>
      <c r="FZZ76" s="684"/>
      <c r="GAA76" s="684"/>
      <c r="GAB76" s="684"/>
      <c r="GAC76" s="684"/>
      <c r="GAD76" s="684"/>
      <c r="GAE76" s="684"/>
      <c r="GAF76" s="684"/>
      <c r="GAG76" s="684"/>
      <c r="GAH76" s="684"/>
      <c r="GAI76" s="684"/>
      <c r="GAJ76" s="684"/>
      <c r="GAK76" s="684"/>
      <c r="GAL76" s="684"/>
      <c r="GAM76" s="684"/>
      <c r="GAN76" s="684"/>
      <c r="GAO76" s="684"/>
      <c r="GAP76" s="684"/>
      <c r="GAQ76" s="684"/>
      <c r="GAR76" s="684"/>
      <c r="GAS76" s="684"/>
      <c r="GAT76" s="684"/>
      <c r="GAU76" s="684"/>
      <c r="GAV76" s="684"/>
      <c r="GAW76" s="684"/>
      <c r="GAX76" s="684"/>
      <c r="GAY76" s="684"/>
      <c r="GAZ76" s="684"/>
      <c r="GBA76" s="684"/>
      <c r="GBB76" s="684"/>
      <c r="GBC76" s="684"/>
      <c r="GBD76" s="684"/>
      <c r="GBE76" s="684"/>
      <c r="GBF76" s="684"/>
      <c r="GBG76" s="684"/>
      <c r="GBH76" s="684"/>
      <c r="GBI76" s="684"/>
      <c r="GBJ76" s="684"/>
      <c r="GBK76" s="684"/>
      <c r="GBL76" s="684"/>
      <c r="GBM76" s="684"/>
      <c r="GBN76" s="684"/>
      <c r="GBO76" s="684"/>
      <c r="GBP76" s="684"/>
      <c r="GBQ76" s="684"/>
      <c r="GBR76" s="684"/>
      <c r="GBS76" s="684"/>
      <c r="GBT76" s="684"/>
      <c r="GBU76" s="684"/>
      <c r="GBV76" s="684"/>
      <c r="GBW76" s="684"/>
      <c r="GBX76" s="684"/>
      <c r="GBY76" s="684"/>
      <c r="GBZ76" s="684"/>
      <c r="GCA76" s="684"/>
      <c r="GCB76" s="684"/>
      <c r="GCC76" s="684"/>
      <c r="GCD76" s="684"/>
      <c r="GCE76" s="684"/>
      <c r="GCF76" s="684"/>
      <c r="GCG76" s="684"/>
      <c r="GCH76" s="684"/>
      <c r="GCI76" s="684"/>
      <c r="GCJ76" s="684"/>
      <c r="GCK76" s="684"/>
      <c r="GCL76" s="684"/>
      <c r="GCM76" s="684"/>
      <c r="GCN76" s="684"/>
      <c r="GCO76" s="684"/>
      <c r="GCP76" s="684"/>
      <c r="GCQ76" s="684"/>
      <c r="GCR76" s="684"/>
      <c r="GCS76" s="684"/>
      <c r="GCT76" s="684"/>
      <c r="GCU76" s="684"/>
      <c r="GCV76" s="684"/>
      <c r="GCW76" s="684"/>
      <c r="GCX76" s="684"/>
      <c r="GCY76" s="684"/>
      <c r="GCZ76" s="684"/>
      <c r="GDA76" s="684"/>
      <c r="GDB76" s="684"/>
      <c r="GDC76" s="684"/>
      <c r="GDD76" s="684"/>
      <c r="GDE76" s="684"/>
      <c r="GDF76" s="684"/>
      <c r="GDG76" s="684"/>
      <c r="GDH76" s="684"/>
      <c r="GDI76" s="684"/>
      <c r="GDJ76" s="684"/>
      <c r="GDK76" s="684"/>
      <c r="GDL76" s="684"/>
      <c r="GDM76" s="684"/>
      <c r="GDN76" s="684"/>
      <c r="GDO76" s="684"/>
      <c r="GDP76" s="684"/>
      <c r="GDQ76" s="684"/>
      <c r="GDR76" s="684"/>
      <c r="GDS76" s="684"/>
      <c r="GDT76" s="684"/>
      <c r="GDU76" s="684"/>
      <c r="GDV76" s="684"/>
      <c r="GDW76" s="684"/>
      <c r="GDX76" s="684"/>
      <c r="GDY76" s="684"/>
      <c r="GDZ76" s="684"/>
      <c r="GEA76" s="684"/>
      <c r="GEB76" s="684"/>
      <c r="GEC76" s="684"/>
      <c r="GED76" s="684"/>
      <c r="GEE76" s="684"/>
      <c r="GEF76" s="684"/>
      <c r="GEG76" s="684"/>
      <c r="GEH76" s="684"/>
      <c r="GEI76" s="684"/>
      <c r="GEJ76" s="684"/>
      <c r="GEK76" s="684"/>
      <c r="GEL76" s="684"/>
      <c r="GEM76" s="684"/>
      <c r="GEN76" s="684"/>
      <c r="GEO76" s="684"/>
      <c r="GEP76" s="684"/>
      <c r="GEQ76" s="684"/>
      <c r="GER76" s="684"/>
      <c r="GES76" s="684"/>
      <c r="GET76" s="684"/>
      <c r="GEU76" s="684"/>
      <c r="GEV76" s="684"/>
      <c r="GEW76" s="684"/>
      <c r="GEX76" s="684"/>
      <c r="GEY76" s="684"/>
      <c r="GEZ76" s="684"/>
      <c r="GFA76" s="684"/>
      <c r="GFB76" s="684"/>
      <c r="GFC76" s="684"/>
      <c r="GFD76" s="684"/>
      <c r="GFE76" s="684"/>
      <c r="GFF76" s="684"/>
      <c r="GFG76" s="684"/>
      <c r="GFH76" s="684"/>
      <c r="GFI76" s="684"/>
      <c r="GFJ76" s="684"/>
      <c r="GFK76" s="684"/>
      <c r="GFL76" s="684"/>
      <c r="GFM76" s="684"/>
      <c r="GFN76" s="684"/>
      <c r="GFO76" s="684"/>
      <c r="GFP76" s="684"/>
      <c r="GFQ76" s="684"/>
      <c r="GFR76" s="684"/>
      <c r="GFS76" s="684"/>
      <c r="GFT76" s="684"/>
      <c r="GFU76" s="684"/>
      <c r="GFV76" s="684"/>
      <c r="GFW76" s="684"/>
      <c r="GFX76" s="684"/>
      <c r="GFY76" s="684"/>
      <c r="GFZ76" s="684"/>
      <c r="GGA76" s="684"/>
      <c r="GGB76" s="684"/>
      <c r="GGC76" s="684"/>
      <c r="GGD76" s="684"/>
      <c r="GGE76" s="684"/>
      <c r="GGF76" s="684"/>
      <c r="GGG76" s="684"/>
      <c r="GGH76" s="684"/>
      <c r="GGI76" s="684"/>
      <c r="GGJ76" s="684"/>
      <c r="GGK76" s="684"/>
      <c r="GGL76" s="684"/>
      <c r="GGM76" s="684"/>
      <c r="GGN76" s="684"/>
      <c r="GGO76" s="684"/>
      <c r="GGP76" s="684"/>
      <c r="GGQ76" s="684"/>
      <c r="GGR76" s="684"/>
      <c r="GGS76" s="684"/>
      <c r="GGT76" s="684"/>
      <c r="GGU76" s="684"/>
      <c r="GGV76" s="684"/>
      <c r="GGW76" s="684"/>
      <c r="GGX76" s="684"/>
      <c r="GGY76" s="684"/>
      <c r="GGZ76" s="684"/>
      <c r="GHA76" s="684"/>
      <c r="GHB76" s="684"/>
      <c r="GHC76" s="684"/>
      <c r="GHD76" s="684"/>
      <c r="GHE76" s="684"/>
      <c r="GHF76" s="684"/>
      <c r="GHG76" s="684"/>
      <c r="GHH76" s="684"/>
      <c r="GHI76" s="684"/>
      <c r="GHJ76" s="684"/>
      <c r="GHK76" s="684"/>
      <c r="GHL76" s="684"/>
      <c r="GHM76" s="684"/>
      <c r="GHN76" s="684"/>
      <c r="GHO76" s="684"/>
      <c r="GHP76" s="684"/>
      <c r="GHQ76" s="684"/>
      <c r="GHR76" s="684"/>
      <c r="GHS76" s="684"/>
      <c r="GHT76" s="684"/>
      <c r="GHU76" s="684"/>
      <c r="GHV76" s="684"/>
      <c r="GHW76" s="684"/>
      <c r="GHX76" s="684"/>
      <c r="GHY76" s="684"/>
      <c r="GHZ76" s="684"/>
      <c r="GIA76" s="684"/>
      <c r="GIB76" s="684"/>
      <c r="GIC76" s="684"/>
      <c r="GID76" s="684"/>
      <c r="GIE76" s="684"/>
      <c r="GIF76" s="684"/>
      <c r="GIG76" s="684"/>
      <c r="GIH76" s="684"/>
      <c r="GII76" s="684"/>
      <c r="GIJ76" s="684"/>
      <c r="GIK76" s="684"/>
      <c r="GIL76" s="684"/>
      <c r="GIM76" s="684"/>
      <c r="GIN76" s="684"/>
      <c r="GIO76" s="684"/>
      <c r="GIP76" s="684"/>
      <c r="GIQ76" s="684"/>
      <c r="GIR76" s="684"/>
      <c r="GIS76" s="684"/>
      <c r="GIT76" s="684"/>
      <c r="GIU76" s="684"/>
      <c r="GIV76" s="684"/>
      <c r="GIW76" s="684"/>
      <c r="GIX76" s="684"/>
      <c r="GIY76" s="684"/>
      <c r="GIZ76" s="684"/>
      <c r="GJA76" s="684"/>
      <c r="GJB76" s="684"/>
      <c r="GJC76" s="684"/>
      <c r="GJD76" s="684"/>
      <c r="GJE76" s="684"/>
      <c r="GJF76" s="684"/>
      <c r="GJG76" s="684"/>
      <c r="GJH76" s="684"/>
      <c r="GJI76" s="684"/>
      <c r="GJJ76" s="684"/>
      <c r="GJK76" s="684"/>
      <c r="GJL76" s="684"/>
      <c r="GJM76" s="684"/>
      <c r="GJN76" s="684"/>
      <c r="GJO76" s="684"/>
      <c r="GJP76" s="684"/>
      <c r="GJQ76" s="684"/>
      <c r="GJR76" s="684"/>
      <c r="GJS76" s="684"/>
      <c r="GJT76" s="684"/>
      <c r="GJU76" s="684"/>
      <c r="GJV76" s="684"/>
      <c r="GJW76" s="684"/>
      <c r="GJX76" s="684"/>
      <c r="GJY76" s="684"/>
      <c r="GJZ76" s="684"/>
      <c r="GKA76" s="684"/>
      <c r="GKB76" s="684"/>
      <c r="GKC76" s="684"/>
      <c r="GKD76" s="684"/>
      <c r="GKE76" s="684"/>
      <c r="GKF76" s="684"/>
      <c r="GKG76" s="684"/>
      <c r="GKH76" s="684"/>
      <c r="GKI76" s="684"/>
      <c r="GKJ76" s="684"/>
      <c r="GKK76" s="684"/>
      <c r="GKL76" s="684"/>
      <c r="GKM76" s="684"/>
      <c r="GKN76" s="684"/>
      <c r="GKO76" s="684"/>
      <c r="GKP76" s="684"/>
      <c r="GKQ76" s="684"/>
      <c r="GKR76" s="684"/>
      <c r="GKS76" s="684"/>
      <c r="GKT76" s="684"/>
      <c r="GKU76" s="684"/>
      <c r="GKV76" s="684"/>
      <c r="GKW76" s="684"/>
      <c r="GKX76" s="684"/>
      <c r="GKY76" s="684"/>
      <c r="GKZ76" s="684"/>
      <c r="GLA76" s="684"/>
      <c r="GLB76" s="684"/>
      <c r="GLC76" s="684"/>
      <c r="GLD76" s="684"/>
      <c r="GLE76" s="684"/>
      <c r="GLF76" s="684"/>
      <c r="GLG76" s="684"/>
      <c r="GLH76" s="684"/>
      <c r="GLI76" s="684"/>
      <c r="GLJ76" s="684"/>
      <c r="GLK76" s="684"/>
      <c r="GLL76" s="684"/>
      <c r="GLM76" s="684"/>
      <c r="GLN76" s="684"/>
      <c r="GLO76" s="684"/>
      <c r="GLP76" s="684"/>
      <c r="GLQ76" s="684"/>
      <c r="GLR76" s="684"/>
      <c r="GLS76" s="684"/>
      <c r="GLT76" s="684"/>
      <c r="GLU76" s="684"/>
      <c r="GLV76" s="684"/>
      <c r="GLW76" s="684"/>
      <c r="GLX76" s="684"/>
      <c r="GLY76" s="684"/>
      <c r="GLZ76" s="684"/>
      <c r="GMA76" s="684"/>
      <c r="GMB76" s="684"/>
      <c r="GMC76" s="684"/>
      <c r="GMD76" s="684"/>
      <c r="GME76" s="684"/>
      <c r="GMF76" s="684"/>
      <c r="GMG76" s="684"/>
      <c r="GMH76" s="684"/>
      <c r="GMI76" s="684"/>
      <c r="GMJ76" s="684"/>
      <c r="GMK76" s="684"/>
      <c r="GML76" s="684"/>
      <c r="GMM76" s="684"/>
      <c r="GMN76" s="684"/>
      <c r="GMO76" s="684"/>
      <c r="GMP76" s="684"/>
      <c r="GMQ76" s="684"/>
      <c r="GMR76" s="684"/>
      <c r="GMS76" s="684"/>
      <c r="GMT76" s="684"/>
      <c r="GMU76" s="684"/>
      <c r="GMV76" s="684"/>
      <c r="GMW76" s="684"/>
      <c r="GMX76" s="684"/>
      <c r="GMY76" s="684"/>
      <c r="GMZ76" s="684"/>
      <c r="GNA76" s="684"/>
      <c r="GNB76" s="684"/>
      <c r="GNC76" s="684"/>
      <c r="GND76" s="684"/>
      <c r="GNE76" s="684"/>
      <c r="GNF76" s="684"/>
      <c r="GNG76" s="684"/>
      <c r="GNH76" s="684"/>
      <c r="GNI76" s="684"/>
      <c r="GNJ76" s="684"/>
      <c r="GNK76" s="684"/>
      <c r="GNL76" s="684"/>
      <c r="GNM76" s="684"/>
      <c r="GNN76" s="684"/>
      <c r="GNO76" s="684"/>
      <c r="GNP76" s="684"/>
      <c r="GNQ76" s="684"/>
      <c r="GNR76" s="684"/>
      <c r="GNS76" s="684"/>
      <c r="GNT76" s="684"/>
      <c r="GNU76" s="684"/>
      <c r="GNV76" s="684"/>
      <c r="GNW76" s="684"/>
      <c r="GNX76" s="684"/>
      <c r="GNY76" s="684"/>
      <c r="GNZ76" s="684"/>
      <c r="GOA76" s="684"/>
      <c r="GOB76" s="684"/>
      <c r="GOC76" s="684"/>
      <c r="GOD76" s="684"/>
      <c r="GOE76" s="684"/>
      <c r="GOF76" s="684"/>
      <c r="GOG76" s="684"/>
      <c r="GOH76" s="684"/>
      <c r="GOI76" s="684"/>
      <c r="GOJ76" s="684"/>
      <c r="GOK76" s="684"/>
      <c r="GOL76" s="684"/>
      <c r="GOM76" s="684"/>
      <c r="GON76" s="684"/>
      <c r="GOO76" s="684"/>
      <c r="GOP76" s="684"/>
      <c r="GOQ76" s="684"/>
      <c r="GOR76" s="684"/>
      <c r="GOS76" s="684"/>
      <c r="GOT76" s="684"/>
      <c r="GOU76" s="684"/>
      <c r="GOV76" s="684"/>
      <c r="GOW76" s="684"/>
      <c r="GOX76" s="684"/>
      <c r="GOY76" s="684"/>
      <c r="GOZ76" s="684"/>
      <c r="GPA76" s="684"/>
      <c r="GPB76" s="684"/>
      <c r="GPC76" s="684"/>
      <c r="GPD76" s="684"/>
      <c r="GPE76" s="684"/>
      <c r="GPF76" s="684"/>
      <c r="GPG76" s="684"/>
      <c r="GPH76" s="684"/>
      <c r="GPI76" s="684"/>
      <c r="GPJ76" s="684"/>
      <c r="GPK76" s="684"/>
      <c r="GPL76" s="684"/>
      <c r="GPM76" s="684"/>
      <c r="GPN76" s="684"/>
      <c r="GPO76" s="684"/>
      <c r="GPP76" s="684"/>
      <c r="GPQ76" s="684"/>
      <c r="GPR76" s="684"/>
      <c r="GPS76" s="684"/>
      <c r="GPT76" s="684"/>
      <c r="GPU76" s="684"/>
      <c r="GPV76" s="684"/>
      <c r="GPW76" s="684"/>
      <c r="GPX76" s="684"/>
      <c r="GPY76" s="684"/>
      <c r="GPZ76" s="684"/>
      <c r="GQA76" s="684"/>
      <c r="GQB76" s="684"/>
      <c r="GQC76" s="684"/>
      <c r="GQD76" s="684"/>
      <c r="GQE76" s="684"/>
      <c r="GQF76" s="684"/>
      <c r="GQG76" s="684"/>
      <c r="GQH76" s="684"/>
      <c r="GQI76" s="684"/>
      <c r="GQJ76" s="684"/>
      <c r="GQK76" s="684"/>
      <c r="GQL76" s="684"/>
      <c r="GQM76" s="684"/>
      <c r="GQN76" s="684"/>
      <c r="GQO76" s="684"/>
      <c r="GQP76" s="684"/>
      <c r="GQQ76" s="684"/>
      <c r="GQR76" s="684"/>
      <c r="GQS76" s="684"/>
      <c r="GQT76" s="684"/>
      <c r="GQU76" s="684"/>
      <c r="GQV76" s="684"/>
      <c r="GQW76" s="684"/>
      <c r="GQX76" s="684"/>
      <c r="GQY76" s="684"/>
      <c r="GQZ76" s="684"/>
      <c r="GRA76" s="684"/>
      <c r="GRB76" s="684"/>
      <c r="GRC76" s="684"/>
      <c r="GRD76" s="684"/>
      <c r="GRE76" s="684"/>
      <c r="GRF76" s="684"/>
      <c r="GRG76" s="684"/>
      <c r="GRH76" s="684"/>
      <c r="GRI76" s="684"/>
      <c r="GRJ76" s="684"/>
      <c r="GRK76" s="684"/>
      <c r="GRL76" s="684"/>
      <c r="GRM76" s="684"/>
      <c r="GRN76" s="684"/>
      <c r="GRO76" s="684"/>
      <c r="GRP76" s="684"/>
      <c r="GRQ76" s="684"/>
      <c r="GRR76" s="684"/>
      <c r="GRS76" s="684"/>
      <c r="GRT76" s="684"/>
      <c r="GRU76" s="684"/>
      <c r="GRV76" s="684"/>
      <c r="GRW76" s="684"/>
      <c r="GRX76" s="684"/>
      <c r="GRY76" s="684"/>
      <c r="GRZ76" s="684"/>
      <c r="GSA76" s="684"/>
      <c r="GSB76" s="684"/>
      <c r="GSC76" s="684"/>
      <c r="GSD76" s="684"/>
      <c r="GSE76" s="684"/>
      <c r="GSF76" s="684"/>
      <c r="GSG76" s="684"/>
      <c r="GSH76" s="684"/>
      <c r="GSI76" s="684"/>
      <c r="GSJ76" s="684"/>
      <c r="GSK76" s="684"/>
      <c r="GSL76" s="684"/>
      <c r="GSM76" s="684"/>
      <c r="GSN76" s="684"/>
      <c r="GSO76" s="684"/>
      <c r="GSP76" s="684"/>
      <c r="GSQ76" s="684"/>
      <c r="GSR76" s="684"/>
      <c r="GSS76" s="684"/>
      <c r="GST76" s="684"/>
      <c r="GSU76" s="684"/>
      <c r="GSV76" s="684"/>
      <c r="GSW76" s="684"/>
      <c r="GSX76" s="684"/>
      <c r="GSY76" s="684"/>
      <c r="GSZ76" s="684"/>
      <c r="GTA76" s="684"/>
      <c r="GTB76" s="684"/>
      <c r="GTC76" s="684"/>
      <c r="GTD76" s="684"/>
      <c r="GTE76" s="684"/>
      <c r="GTF76" s="684"/>
      <c r="GTG76" s="684"/>
      <c r="GTH76" s="684"/>
      <c r="GTI76" s="684"/>
      <c r="GTJ76" s="684"/>
      <c r="GTK76" s="684"/>
      <c r="GTL76" s="684"/>
      <c r="GTM76" s="684"/>
      <c r="GTN76" s="684"/>
      <c r="GTO76" s="684"/>
      <c r="GTP76" s="684"/>
      <c r="GTQ76" s="684"/>
      <c r="GTR76" s="684"/>
      <c r="GTS76" s="684"/>
      <c r="GTT76" s="684"/>
      <c r="GTU76" s="684"/>
      <c r="GTV76" s="684"/>
      <c r="GTW76" s="684"/>
      <c r="GTX76" s="684"/>
      <c r="GTY76" s="684"/>
      <c r="GTZ76" s="684"/>
      <c r="GUA76" s="684"/>
      <c r="GUB76" s="684"/>
      <c r="GUC76" s="684"/>
      <c r="GUD76" s="684"/>
      <c r="GUE76" s="684"/>
      <c r="GUF76" s="684"/>
      <c r="GUG76" s="684"/>
      <c r="GUH76" s="684"/>
      <c r="GUI76" s="684"/>
      <c r="GUJ76" s="684"/>
      <c r="GUK76" s="684"/>
      <c r="GUL76" s="684"/>
      <c r="GUM76" s="684"/>
      <c r="GUN76" s="684"/>
      <c r="GUO76" s="684"/>
      <c r="GUP76" s="684"/>
      <c r="GUQ76" s="684"/>
      <c r="GUR76" s="684"/>
      <c r="GUS76" s="684"/>
      <c r="GUT76" s="684"/>
      <c r="GUU76" s="684"/>
      <c r="GUV76" s="684"/>
      <c r="GUW76" s="684"/>
      <c r="GUX76" s="684"/>
      <c r="GUY76" s="684"/>
      <c r="GUZ76" s="684"/>
      <c r="GVA76" s="684"/>
      <c r="GVB76" s="684"/>
      <c r="GVC76" s="684"/>
      <c r="GVD76" s="684"/>
      <c r="GVE76" s="684"/>
      <c r="GVF76" s="684"/>
      <c r="GVG76" s="684"/>
      <c r="GVH76" s="684"/>
      <c r="GVI76" s="684"/>
      <c r="GVJ76" s="684"/>
      <c r="GVK76" s="684"/>
      <c r="GVL76" s="684"/>
      <c r="GVM76" s="684"/>
      <c r="GVN76" s="684"/>
      <c r="GVO76" s="684"/>
      <c r="GVP76" s="684"/>
      <c r="GVQ76" s="684"/>
      <c r="GVR76" s="684"/>
      <c r="GVS76" s="684"/>
      <c r="GVT76" s="684"/>
      <c r="GVU76" s="684"/>
      <c r="GVV76" s="684"/>
      <c r="GVW76" s="684"/>
      <c r="GVX76" s="684"/>
      <c r="GVY76" s="684"/>
      <c r="GVZ76" s="684"/>
      <c r="GWA76" s="684"/>
      <c r="GWB76" s="684"/>
      <c r="GWC76" s="684"/>
      <c r="GWD76" s="684"/>
      <c r="GWE76" s="684"/>
      <c r="GWF76" s="684"/>
      <c r="GWG76" s="684"/>
      <c r="GWH76" s="684"/>
      <c r="GWI76" s="684"/>
      <c r="GWJ76" s="684"/>
      <c r="GWK76" s="684"/>
      <c r="GWL76" s="684"/>
      <c r="GWM76" s="684"/>
      <c r="GWN76" s="684"/>
      <c r="GWO76" s="684"/>
      <c r="GWP76" s="684"/>
      <c r="GWQ76" s="684"/>
      <c r="GWR76" s="684"/>
      <c r="GWS76" s="684"/>
      <c r="GWT76" s="684"/>
      <c r="GWU76" s="684"/>
      <c r="GWV76" s="684"/>
      <c r="GWW76" s="684"/>
      <c r="GWX76" s="684"/>
      <c r="GWY76" s="684"/>
      <c r="GWZ76" s="684"/>
      <c r="GXA76" s="684"/>
      <c r="GXB76" s="684"/>
      <c r="GXC76" s="684"/>
      <c r="GXD76" s="684"/>
      <c r="GXE76" s="684"/>
      <c r="GXF76" s="684"/>
      <c r="GXG76" s="684"/>
      <c r="GXH76" s="684"/>
      <c r="GXI76" s="684"/>
      <c r="GXJ76" s="684"/>
      <c r="GXK76" s="684"/>
      <c r="GXL76" s="684"/>
      <c r="GXM76" s="684"/>
      <c r="GXN76" s="684"/>
      <c r="GXO76" s="684"/>
      <c r="GXP76" s="684"/>
      <c r="GXQ76" s="684"/>
      <c r="GXR76" s="684"/>
      <c r="GXS76" s="684"/>
      <c r="GXT76" s="684"/>
      <c r="GXU76" s="684"/>
      <c r="GXV76" s="684"/>
      <c r="GXW76" s="684"/>
      <c r="GXX76" s="684"/>
      <c r="GXY76" s="684"/>
      <c r="GXZ76" s="684"/>
      <c r="GYA76" s="684"/>
      <c r="GYB76" s="684"/>
      <c r="GYC76" s="684"/>
      <c r="GYD76" s="684"/>
      <c r="GYE76" s="684"/>
      <c r="GYF76" s="684"/>
      <c r="GYG76" s="684"/>
      <c r="GYH76" s="684"/>
      <c r="GYI76" s="684"/>
      <c r="GYJ76" s="684"/>
      <c r="GYK76" s="684"/>
      <c r="GYL76" s="684"/>
      <c r="GYM76" s="684"/>
      <c r="GYN76" s="684"/>
      <c r="GYO76" s="684"/>
      <c r="GYP76" s="684"/>
      <c r="GYQ76" s="684"/>
      <c r="GYR76" s="684"/>
      <c r="GYS76" s="684"/>
      <c r="GYT76" s="684"/>
      <c r="GYU76" s="684"/>
      <c r="GYV76" s="684"/>
      <c r="GYW76" s="684"/>
      <c r="GYX76" s="684"/>
      <c r="GYY76" s="684"/>
      <c r="GYZ76" s="684"/>
      <c r="GZA76" s="684"/>
      <c r="GZB76" s="684"/>
      <c r="GZC76" s="684"/>
      <c r="GZD76" s="684"/>
      <c r="GZE76" s="684"/>
      <c r="GZF76" s="684"/>
      <c r="GZG76" s="684"/>
      <c r="GZH76" s="684"/>
      <c r="GZI76" s="684"/>
      <c r="GZJ76" s="684"/>
      <c r="GZK76" s="684"/>
      <c r="GZL76" s="684"/>
      <c r="GZM76" s="684"/>
      <c r="GZN76" s="684"/>
      <c r="GZO76" s="684"/>
      <c r="GZP76" s="684"/>
      <c r="GZQ76" s="684"/>
      <c r="GZR76" s="684"/>
      <c r="GZS76" s="684"/>
      <c r="GZT76" s="684"/>
      <c r="GZU76" s="684"/>
      <c r="GZV76" s="684"/>
      <c r="GZW76" s="684"/>
      <c r="GZX76" s="684"/>
      <c r="GZY76" s="684"/>
      <c r="GZZ76" s="684"/>
      <c r="HAA76" s="684"/>
      <c r="HAB76" s="684"/>
      <c r="HAC76" s="684"/>
      <c r="HAD76" s="684"/>
      <c r="HAE76" s="684"/>
      <c r="HAF76" s="684"/>
      <c r="HAG76" s="684"/>
      <c r="HAH76" s="684"/>
      <c r="HAI76" s="684"/>
      <c r="HAJ76" s="684"/>
      <c r="HAK76" s="684"/>
      <c r="HAL76" s="684"/>
      <c r="HAM76" s="684"/>
      <c r="HAN76" s="684"/>
      <c r="HAO76" s="684"/>
      <c r="HAP76" s="684"/>
      <c r="HAQ76" s="684"/>
      <c r="HAR76" s="684"/>
      <c r="HAS76" s="684"/>
      <c r="HAT76" s="684"/>
      <c r="HAU76" s="684"/>
      <c r="HAV76" s="684"/>
      <c r="HAW76" s="684"/>
      <c r="HAX76" s="684"/>
      <c r="HAY76" s="684"/>
      <c r="HAZ76" s="684"/>
      <c r="HBA76" s="684"/>
      <c r="HBB76" s="684"/>
      <c r="HBC76" s="684"/>
      <c r="HBD76" s="684"/>
      <c r="HBE76" s="684"/>
      <c r="HBF76" s="684"/>
      <c r="HBG76" s="684"/>
      <c r="HBH76" s="684"/>
      <c r="HBI76" s="684"/>
      <c r="HBJ76" s="684"/>
      <c r="HBK76" s="684"/>
      <c r="HBL76" s="684"/>
      <c r="HBM76" s="684"/>
      <c r="HBN76" s="684"/>
      <c r="HBO76" s="684"/>
      <c r="HBP76" s="684"/>
      <c r="HBQ76" s="684"/>
      <c r="HBR76" s="684"/>
      <c r="HBS76" s="684"/>
      <c r="HBT76" s="684"/>
      <c r="HBU76" s="684"/>
      <c r="HBV76" s="684"/>
      <c r="HBW76" s="684"/>
      <c r="HBX76" s="684"/>
      <c r="HBY76" s="684"/>
      <c r="HBZ76" s="684"/>
      <c r="HCA76" s="684"/>
      <c r="HCB76" s="684"/>
      <c r="HCC76" s="684"/>
      <c r="HCD76" s="684"/>
      <c r="HCE76" s="684"/>
      <c r="HCF76" s="684"/>
      <c r="HCG76" s="684"/>
      <c r="HCH76" s="684"/>
      <c r="HCI76" s="684"/>
      <c r="HCJ76" s="684"/>
      <c r="HCK76" s="684"/>
      <c r="HCL76" s="684"/>
      <c r="HCM76" s="684"/>
      <c r="HCN76" s="684"/>
      <c r="HCO76" s="684"/>
      <c r="HCP76" s="684"/>
      <c r="HCQ76" s="684"/>
      <c r="HCR76" s="684"/>
      <c r="HCS76" s="684"/>
      <c r="HCT76" s="684"/>
      <c r="HCU76" s="684"/>
      <c r="HCV76" s="684"/>
      <c r="HCW76" s="684"/>
      <c r="HCX76" s="684"/>
      <c r="HCY76" s="684"/>
      <c r="HCZ76" s="684"/>
      <c r="HDA76" s="684"/>
      <c r="HDB76" s="684"/>
      <c r="HDC76" s="684"/>
      <c r="HDD76" s="684"/>
      <c r="HDE76" s="684"/>
      <c r="HDF76" s="684"/>
      <c r="HDG76" s="684"/>
      <c r="HDH76" s="684"/>
      <c r="HDI76" s="684"/>
      <c r="HDJ76" s="684"/>
      <c r="HDK76" s="684"/>
      <c r="HDL76" s="684"/>
      <c r="HDM76" s="684"/>
      <c r="HDN76" s="684"/>
      <c r="HDO76" s="684"/>
      <c r="HDP76" s="684"/>
      <c r="HDQ76" s="684"/>
      <c r="HDR76" s="684"/>
      <c r="HDS76" s="684"/>
      <c r="HDT76" s="684"/>
      <c r="HDU76" s="684"/>
      <c r="HDV76" s="684"/>
      <c r="HDW76" s="684"/>
      <c r="HDX76" s="684"/>
      <c r="HDY76" s="684"/>
      <c r="HDZ76" s="684"/>
      <c r="HEA76" s="684"/>
      <c r="HEB76" s="684"/>
      <c r="HEC76" s="684"/>
      <c r="HED76" s="684"/>
      <c r="HEE76" s="684"/>
      <c r="HEF76" s="684"/>
      <c r="HEG76" s="684"/>
      <c r="HEH76" s="684"/>
      <c r="HEI76" s="684"/>
      <c r="HEJ76" s="684"/>
      <c r="HEK76" s="684"/>
      <c r="HEL76" s="684"/>
      <c r="HEM76" s="684"/>
      <c r="HEN76" s="684"/>
      <c r="HEO76" s="684"/>
      <c r="HEP76" s="684"/>
      <c r="HEQ76" s="684"/>
      <c r="HER76" s="684"/>
      <c r="HES76" s="684"/>
      <c r="HET76" s="684"/>
      <c r="HEU76" s="684"/>
      <c r="HEV76" s="684"/>
      <c r="HEW76" s="684"/>
      <c r="HEX76" s="684"/>
      <c r="HEY76" s="684"/>
      <c r="HEZ76" s="684"/>
      <c r="HFA76" s="684"/>
      <c r="HFB76" s="684"/>
      <c r="HFC76" s="684"/>
      <c r="HFD76" s="684"/>
      <c r="HFE76" s="684"/>
      <c r="HFF76" s="684"/>
      <c r="HFG76" s="684"/>
      <c r="HFH76" s="684"/>
      <c r="HFI76" s="684"/>
      <c r="HFJ76" s="684"/>
      <c r="HFK76" s="684"/>
      <c r="HFL76" s="684"/>
      <c r="HFM76" s="684"/>
      <c r="HFN76" s="684"/>
      <c r="HFO76" s="684"/>
      <c r="HFP76" s="684"/>
      <c r="HFQ76" s="684"/>
      <c r="HFR76" s="684"/>
      <c r="HFS76" s="684"/>
      <c r="HFT76" s="684"/>
      <c r="HFU76" s="684"/>
      <c r="HFV76" s="684"/>
      <c r="HFW76" s="684"/>
      <c r="HFX76" s="684"/>
      <c r="HFY76" s="684"/>
      <c r="HFZ76" s="684"/>
      <c r="HGA76" s="684"/>
      <c r="HGB76" s="684"/>
      <c r="HGC76" s="684"/>
      <c r="HGD76" s="684"/>
      <c r="HGE76" s="684"/>
      <c r="HGF76" s="684"/>
      <c r="HGG76" s="684"/>
      <c r="HGH76" s="684"/>
      <c r="HGI76" s="684"/>
      <c r="HGJ76" s="684"/>
      <c r="HGK76" s="684"/>
      <c r="HGL76" s="684"/>
      <c r="HGM76" s="684"/>
      <c r="HGN76" s="684"/>
      <c r="HGO76" s="684"/>
      <c r="HGP76" s="684"/>
      <c r="HGQ76" s="684"/>
      <c r="HGR76" s="684"/>
      <c r="HGS76" s="684"/>
      <c r="HGT76" s="684"/>
      <c r="HGU76" s="684"/>
      <c r="HGV76" s="684"/>
      <c r="HGW76" s="684"/>
      <c r="HGX76" s="684"/>
      <c r="HGY76" s="684"/>
      <c r="HGZ76" s="684"/>
      <c r="HHA76" s="684"/>
      <c r="HHB76" s="684"/>
      <c r="HHC76" s="684"/>
      <c r="HHD76" s="684"/>
      <c r="HHE76" s="684"/>
      <c r="HHF76" s="684"/>
      <c r="HHG76" s="684"/>
      <c r="HHH76" s="684"/>
      <c r="HHI76" s="684"/>
      <c r="HHJ76" s="684"/>
      <c r="HHK76" s="684"/>
      <c r="HHL76" s="684"/>
      <c r="HHM76" s="684"/>
      <c r="HHN76" s="684"/>
      <c r="HHO76" s="684"/>
      <c r="HHP76" s="684"/>
      <c r="HHQ76" s="684"/>
      <c r="HHR76" s="684"/>
      <c r="HHS76" s="684"/>
      <c r="HHT76" s="684"/>
      <c r="HHU76" s="684"/>
      <c r="HHV76" s="684"/>
      <c r="HHW76" s="684"/>
      <c r="HHX76" s="684"/>
      <c r="HHY76" s="684"/>
      <c r="HHZ76" s="684"/>
      <c r="HIA76" s="684"/>
      <c r="HIB76" s="684"/>
      <c r="HIC76" s="684"/>
      <c r="HID76" s="684"/>
      <c r="HIE76" s="684"/>
      <c r="HIF76" s="684"/>
      <c r="HIG76" s="684"/>
      <c r="HIH76" s="684"/>
      <c r="HII76" s="684"/>
      <c r="HIJ76" s="684"/>
      <c r="HIK76" s="684"/>
      <c r="HIL76" s="684"/>
      <c r="HIM76" s="684"/>
      <c r="HIN76" s="684"/>
      <c r="HIO76" s="684"/>
      <c r="HIP76" s="684"/>
      <c r="HIQ76" s="684"/>
      <c r="HIR76" s="684"/>
      <c r="HIS76" s="684"/>
      <c r="HIT76" s="684"/>
      <c r="HIU76" s="684"/>
      <c r="HIV76" s="684"/>
      <c r="HIW76" s="684"/>
      <c r="HIX76" s="684"/>
      <c r="HIY76" s="684"/>
      <c r="HIZ76" s="684"/>
      <c r="HJA76" s="684"/>
      <c r="HJB76" s="684"/>
      <c r="HJC76" s="684"/>
      <c r="HJD76" s="684"/>
      <c r="HJE76" s="684"/>
      <c r="HJF76" s="684"/>
      <c r="HJG76" s="684"/>
      <c r="HJH76" s="684"/>
      <c r="HJI76" s="684"/>
      <c r="HJJ76" s="684"/>
      <c r="HJK76" s="684"/>
      <c r="HJL76" s="684"/>
      <c r="HJM76" s="684"/>
      <c r="HJN76" s="684"/>
      <c r="HJO76" s="684"/>
      <c r="HJP76" s="684"/>
      <c r="HJQ76" s="684"/>
      <c r="HJR76" s="684"/>
      <c r="HJS76" s="684"/>
      <c r="HJT76" s="684"/>
      <c r="HJU76" s="684"/>
      <c r="HJV76" s="684"/>
      <c r="HJW76" s="684"/>
      <c r="HJX76" s="684"/>
      <c r="HJY76" s="684"/>
      <c r="HJZ76" s="684"/>
      <c r="HKA76" s="684"/>
      <c r="HKB76" s="684"/>
      <c r="HKC76" s="684"/>
      <c r="HKD76" s="684"/>
      <c r="HKE76" s="684"/>
      <c r="HKF76" s="684"/>
      <c r="HKG76" s="684"/>
      <c r="HKH76" s="684"/>
      <c r="HKI76" s="684"/>
      <c r="HKJ76" s="684"/>
      <c r="HKK76" s="684"/>
      <c r="HKL76" s="684"/>
      <c r="HKM76" s="684"/>
      <c r="HKN76" s="684"/>
      <c r="HKO76" s="684"/>
      <c r="HKP76" s="684"/>
      <c r="HKQ76" s="684"/>
      <c r="HKR76" s="684"/>
      <c r="HKS76" s="684"/>
      <c r="HKT76" s="684"/>
      <c r="HKU76" s="684"/>
      <c r="HKV76" s="684"/>
      <c r="HKW76" s="684"/>
      <c r="HKX76" s="684"/>
      <c r="HKY76" s="684"/>
      <c r="HKZ76" s="684"/>
      <c r="HLA76" s="684"/>
      <c r="HLB76" s="684"/>
      <c r="HLC76" s="684"/>
      <c r="HLD76" s="684"/>
      <c r="HLE76" s="684"/>
      <c r="HLF76" s="684"/>
      <c r="HLG76" s="684"/>
      <c r="HLH76" s="684"/>
      <c r="HLI76" s="684"/>
      <c r="HLJ76" s="684"/>
      <c r="HLK76" s="684"/>
      <c r="HLL76" s="684"/>
      <c r="HLM76" s="684"/>
      <c r="HLN76" s="684"/>
      <c r="HLO76" s="684"/>
      <c r="HLP76" s="684"/>
      <c r="HLQ76" s="684"/>
      <c r="HLR76" s="684"/>
      <c r="HLS76" s="684"/>
      <c r="HLT76" s="684"/>
      <c r="HLU76" s="684"/>
      <c r="HLV76" s="684"/>
      <c r="HLW76" s="684"/>
      <c r="HLX76" s="684"/>
      <c r="HLY76" s="684"/>
      <c r="HLZ76" s="684"/>
      <c r="HMA76" s="684"/>
      <c r="HMB76" s="684"/>
      <c r="HMC76" s="684"/>
      <c r="HMD76" s="684"/>
      <c r="HME76" s="684"/>
      <c r="HMF76" s="684"/>
      <c r="HMG76" s="684"/>
      <c r="HMH76" s="684"/>
      <c r="HMI76" s="684"/>
      <c r="HMJ76" s="684"/>
      <c r="HMK76" s="684"/>
      <c r="HML76" s="684"/>
      <c r="HMM76" s="684"/>
      <c r="HMN76" s="684"/>
      <c r="HMO76" s="684"/>
      <c r="HMP76" s="684"/>
      <c r="HMQ76" s="684"/>
      <c r="HMR76" s="684"/>
      <c r="HMS76" s="684"/>
      <c r="HMT76" s="684"/>
      <c r="HMU76" s="684"/>
      <c r="HMV76" s="684"/>
      <c r="HMW76" s="684"/>
      <c r="HMX76" s="684"/>
      <c r="HMY76" s="684"/>
      <c r="HMZ76" s="684"/>
      <c r="HNA76" s="684"/>
      <c r="HNB76" s="684"/>
      <c r="HNC76" s="684"/>
      <c r="HND76" s="684"/>
      <c r="HNE76" s="684"/>
      <c r="HNF76" s="684"/>
      <c r="HNG76" s="684"/>
      <c r="HNH76" s="684"/>
      <c r="HNI76" s="684"/>
      <c r="HNJ76" s="684"/>
      <c r="HNK76" s="684"/>
      <c r="HNL76" s="684"/>
      <c r="HNM76" s="684"/>
      <c r="HNN76" s="684"/>
      <c r="HNO76" s="684"/>
      <c r="HNP76" s="684"/>
      <c r="HNQ76" s="684"/>
      <c r="HNR76" s="684"/>
      <c r="HNS76" s="684"/>
      <c r="HNT76" s="684"/>
      <c r="HNU76" s="684"/>
      <c r="HNV76" s="684"/>
      <c r="HNW76" s="684"/>
      <c r="HNX76" s="684"/>
      <c r="HNY76" s="684"/>
      <c r="HNZ76" s="684"/>
      <c r="HOA76" s="684"/>
      <c r="HOB76" s="684"/>
      <c r="HOC76" s="684"/>
      <c r="HOD76" s="684"/>
      <c r="HOE76" s="684"/>
      <c r="HOF76" s="684"/>
      <c r="HOG76" s="684"/>
      <c r="HOH76" s="684"/>
      <c r="HOI76" s="684"/>
      <c r="HOJ76" s="684"/>
      <c r="HOK76" s="684"/>
      <c r="HOL76" s="684"/>
      <c r="HOM76" s="684"/>
      <c r="HON76" s="684"/>
      <c r="HOO76" s="684"/>
      <c r="HOP76" s="684"/>
      <c r="HOQ76" s="684"/>
      <c r="HOR76" s="684"/>
      <c r="HOS76" s="684"/>
      <c r="HOT76" s="684"/>
      <c r="HOU76" s="684"/>
      <c r="HOV76" s="684"/>
      <c r="HOW76" s="684"/>
      <c r="HOX76" s="684"/>
      <c r="HOY76" s="684"/>
      <c r="HOZ76" s="684"/>
      <c r="HPA76" s="684"/>
      <c r="HPB76" s="684"/>
      <c r="HPC76" s="684"/>
      <c r="HPD76" s="684"/>
      <c r="HPE76" s="684"/>
      <c r="HPF76" s="684"/>
      <c r="HPG76" s="684"/>
      <c r="HPH76" s="684"/>
      <c r="HPI76" s="684"/>
      <c r="HPJ76" s="684"/>
      <c r="HPK76" s="684"/>
      <c r="HPL76" s="684"/>
      <c r="HPM76" s="684"/>
      <c r="HPN76" s="684"/>
      <c r="HPO76" s="684"/>
      <c r="HPP76" s="684"/>
      <c r="HPQ76" s="684"/>
      <c r="HPR76" s="684"/>
      <c r="HPS76" s="684"/>
      <c r="HPT76" s="684"/>
      <c r="HPU76" s="684"/>
      <c r="HPV76" s="684"/>
      <c r="HPW76" s="684"/>
      <c r="HPX76" s="684"/>
      <c r="HPY76" s="684"/>
      <c r="HPZ76" s="684"/>
      <c r="HQA76" s="684"/>
      <c r="HQB76" s="684"/>
      <c r="HQC76" s="684"/>
      <c r="HQD76" s="684"/>
      <c r="HQE76" s="684"/>
      <c r="HQF76" s="684"/>
      <c r="HQG76" s="684"/>
      <c r="HQH76" s="684"/>
      <c r="HQI76" s="684"/>
      <c r="HQJ76" s="684"/>
      <c r="HQK76" s="684"/>
      <c r="HQL76" s="684"/>
      <c r="HQM76" s="684"/>
      <c r="HQN76" s="684"/>
      <c r="HQO76" s="684"/>
      <c r="HQP76" s="684"/>
      <c r="HQQ76" s="684"/>
      <c r="HQR76" s="684"/>
      <c r="HQS76" s="684"/>
      <c r="HQT76" s="684"/>
      <c r="HQU76" s="684"/>
      <c r="HQV76" s="684"/>
      <c r="HQW76" s="684"/>
      <c r="HQX76" s="684"/>
      <c r="HQY76" s="684"/>
      <c r="HQZ76" s="684"/>
      <c r="HRA76" s="684"/>
      <c r="HRB76" s="684"/>
      <c r="HRC76" s="684"/>
      <c r="HRD76" s="684"/>
      <c r="HRE76" s="684"/>
      <c r="HRF76" s="684"/>
      <c r="HRG76" s="684"/>
      <c r="HRH76" s="684"/>
      <c r="HRI76" s="684"/>
      <c r="HRJ76" s="684"/>
      <c r="HRK76" s="684"/>
      <c r="HRL76" s="684"/>
      <c r="HRM76" s="684"/>
      <c r="HRN76" s="684"/>
      <c r="HRO76" s="684"/>
      <c r="HRP76" s="684"/>
      <c r="HRQ76" s="684"/>
      <c r="HRR76" s="684"/>
      <c r="HRS76" s="684"/>
      <c r="HRT76" s="684"/>
      <c r="HRU76" s="684"/>
      <c r="HRV76" s="684"/>
      <c r="HRW76" s="684"/>
      <c r="HRX76" s="684"/>
      <c r="HRY76" s="684"/>
      <c r="HRZ76" s="684"/>
      <c r="HSA76" s="684"/>
      <c r="HSB76" s="684"/>
      <c r="HSC76" s="684"/>
      <c r="HSD76" s="684"/>
      <c r="HSE76" s="684"/>
      <c r="HSF76" s="684"/>
      <c r="HSG76" s="684"/>
      <c r="HSH76" s="684"/>
      <c r="HSI76" s="684"/>
      <c r="HSJ76" s="684"/>
      <c r="HSK76" s="684"/>
      <c r="HSL76" s="684"/>
      <c r="HSM76" s="684"/>
      <c r="HSN76" s="684"/>
      <c r="HSO76" s="684"/>
      <c r="HSP76" s="684"/>
      <c r="HSQ76" s="684"/>
      <c r="HSR76" s="684"/>
      <c r="HSS76" s="684"/>
      <c r="HST76" s="684"/>
      <c r="HSU76" s="684"/>
      <c r="HSV76" s="684"/>
      <c r="HSW76" s="684"/>
      <c r="HSX76" s="684"/>
      <c r="HSY76" s="684"/>
      <c r="HSZ76" s="684"/>
      <c r="HTA76" s="684"/>
      <c r="HTB76" s="684"/>
      <c r="HTC76" s="684"/>
      <c r="HTD76" s="684"/>
      <c r="HTE76" s="684"/>
      <c r="HTF76" s="684"/>
      <c r="HTG76" s="684"/>
      <c r="HTH76" s="684"/>
      <c r="HTI76" s="684"/>
      <c r="HTJ76" s="684"/>
      <c r="HTK76" s="684"/>
      <c r="HTL76" s="684"/>
      <c r="HTM76" s="684"/>
      <c r="HTN76" s="684"/>
      <c r="HTO76" s="684"/>
      <c r="HTP76" s="684"/>
      <c r="HTQ76" s="684"/>
      <c r="HTR76" s="684"/>
      <c r="HTS76" s="684"/>
      <c r="HTT76" s="684"/>
      <c r="HTU76" s="684"/>
      <c r="HTV76" s="684"/>
      <c r="HTW76" s="684"/>
      <c r="HTX76" s="684"/>
      <c r="HTY76" s="684"/>
      <c r="HTZ76" s="684"/>
      <c r="HUA76" s="684"/>
      <c r="HUB76" s="684"/>
      <c r="HUC76" s="684"/>
      <c r="HUD76" s="684"/>
      <c r="HUE76" s="684"/>
      <c r="HUF76" s="684"/>
      <c r="HUG76" s="684"/>
      <c r="HUH76" s="684"/>
      <c r="HUI76" s="684"/>
      <c r="HUJ76" s="684"/>
      <c r="HUK76" s="684"/>
      <c r="HUL76" s="684"/>
      <c r="HUM76" s="684"/>
      <c r="HUN76" s="684"/>
      <c r="HUO76" s="684"/>
      <c r="HUP76" s="684"/>
      <c r="HUQ76" s="684"/>
      <c r="HUR76" s="684"/>
      <c r="HUS76" s="684"/>
      <c r="HUT76" s="684"/>
      <c r="HUU76" s="684"/>
      <c r="HUV76" s="684"/>
      <c r="HUW76" s="684"/>
      <c r="HUX76" s="684"/>
      <c r="HUY76" s="684"/>
      <c r="HUZ76" s="684"/>
      <c r="HVA76" s="684"/>
      <c r="HVB76" s="684"/>
      <c r="HVC76" s="684"/>
      <c r="HVD76" s="684"/>
      <c r="HVE76" s="684"/>
      <c r="HVF76" s="684"/>
      <c r="HVG76" s="684"/>
      <c r="HVH76" s="684"/>
      <c r="HVI76" s="684"/>
      <c r="HVJ76" s="684"/>
      <c r="HVK76" s="684"/>
      <c r="HVL76" s="684"/>
      <c r="HVM76" s="684"/>
      <c r="HVN76" s="684"/>
      <c r="HVO76" s="684"/>
      <c r="HVP76" s="684"/>
      <c r="HVQ76" s="684"/>
      <c r="HVR76" s="684"/>
      <c r="HVS76" s="684"/>
      <c r="HVT76" s="684"/>
      <c r="HVU76" s="684"/>
      <c r="HVV76" s="684"/>
      <c r="HVW76" s="684"/>
      <c r="HVX76" s="684"/>
      <c r="HVY76" s="684"/>
      <c r="HVZ76" s="684"/>
      <c r="HWA76" s="684"/>
      <c r="HWB76" s="684"/>
      <c r="HWC76" s="684"/>
      <c r="HWD76" s="684"/>
      <c r="HWE76" s="684"/>
      <c r="HWF76" s="684"/>
      <c r="HWG76" s="684"/>
      <c r="HWH76" s="684"/>
      <c r="HWI76" s="684"/>
      <c r="HWJ76" s="684"/>
      <c r="HWK76" s="684"/>
      <c r="HWL76" s="684"/>
      <c r="HWM76" s="684"/>
      <c r="HWN76" s="684"/>
      <c r="HWO76" s="684"/>
      <c r="HWP76" s="684"/>
      <c r="HWQ76" s="684"/>
      <c r="HWR76" s="684"/>
      <c r="HWS76" s="684"/>
      <c r="HWT76" s="684"/>
      <c r="HWU76" s="684"/>
      <c r="HWV76" s="684"/>
      <c r="HWW76" s="684"/>
      <c r="HWX76" s="684"/>
      <c r="HWY76" s="684"/>
      <c r="HWZ76" s="684"/>
      <c r="HXA76" s="684"/>
      <c r="HXB76" s="684"/>
      <c r="HXC76" s="684"/>
      <c r="HXD76" s="684"/>
      <c r="HXE76" s="684"/>
      <c r="HXF76" s="684"/>
      <c r="HXG76" s="684"/>
      <c r="HXH76" s="684"/>
      <c r="HXI76" s="684"/>
      <c r="HXJ76" s="684"/>
      <c r="HXK76" s="684"/>
      <c r="HXL76" s="684"/>
      <c r="HXM76" s="684"/>
      <c r="HXN76" s="684"/>
      <c r="HXO76" s="684"/>
      <c r="HXP76" s="684"/>
      <c r="HXQ76" s="684"/>
      <c r="HXR76" s="684"/>
      <c r="HXS76" s="684"/>
      <c r="HXT76" s="684"/>
      <c r="HXU76" s="684"/>
      <c r="HXV76" s="684"/>
      <c r="HXW76" s="684"/>
      <c r="HXX76" s="684"/>
      <c r="HXY76" s="684"/>
      <c r="HXZ76" s="684"/>
      <c r="HYA76" s="684"/>
      <c r="HYB76" s="684"/>
      <c r="HYC76" s="684"/>
      <c r="HYD76" s="684"/>
      <c r="HYE76" s="684"/>
      <c r="HYF76" s="684"/>
      <c r="HYG76" s="684"/>
      <c r="HYH76" s="684"/>
      <c r="HYI76" s="684"/>
      <c r="HYJ76" s="684"/>
      <c r="HYK76" s="684"/>
      <c r="HYL76" s="684"/>
      <c r="HYM76" s="684"/>
      <c r="HYN76" s="684"/>
      <c r="HYO76" s="684"/>
      <c r="HYP76" s="684"/>
      <c r="HYQ76" s="684"/>
      <c r="HYR76" s="684"/>
      <c r="HYS76" s="684"/>
      <c r="HYT76" s="684"/>
      <c r="HYU76" s="684"/>
      <c r="HYV76" s="684"/>
      <c r="HYW76" s="684"/>
      <c r="HYX76" s="684"/>
      <c r="HYY76" s="684"/>
      <c r="HYZ76" s="684"/>
      <c r="HZA76" s="684"/>
      <c r="HZB76" s="684"/>
      <c r="HZC76" s="684"/>
      <c r="HZD76" s="684"/>
      <c r="HZE76" s="684"/>
      <c r="HZF76" s="684"/>
      <c r="HZG76" s="684"/>
      <c r="HZH76" s="684"/>
      <c r="HZI76" s="684"/>
      <c r="HZJ76" s="684"/>
      <c r="HZK76" s="684"/>
      <c r="HZL76" s="684"/>
      <c r="HZM76" s="684"/>
      <c r="HZN76" s="684"/>
      <c r="HZO76" s="684"/>
      <c r="HZP76" s="684"/>
      <c r="HZQ76" s="684"/>
      <c r="HZR76" s="684"/>
      <c r="HZS76" s="684"/>
      <c r="HZT76" s="684"/>
      <c r="HZU76" s="684"/>
      <c r="HZV76" s="684"/>
      <c r="HZW76" s="684"/>
      <c r="HZX76" s="684"/>
      <c r="HZY76" s="684"/>
      <c r="HZZ76" s="684"/>
      <c r="IAA76" s="684"/>
      <c r="IAB76" s="684"/>
      <c r="IAC76" s="684"/>
      <c r="IAD76" s="684"/>
      <c r="IAE76" s="684"/>
      <c r="IAF76" s="684"/>
      <c r="IAG76" s="684"/>
      <c r="IAH76" s="684"/>
      <c r="IAI76" s="684"/>
      <c r="IAJ76" s="684"/>
      <c r="IAK76" s="684"/>
      <c r="IAL76" s="684"/>
      <c r="IAM76" s="684"/>
      <c r="IAN76" s="684"/>
      <c r="IAO76" s="684"/>
      <c r="IAP76" s="684"/>
      <c r="IAQ76" s="684"/>
      <c r="IAR76" s="684"/>
      <c r="IAS76" s="684"/>
      <c r="IAT76" s="684"/>
      <c r="IAU76" s="684"/>
      <c r="IAV76" s="684"/>
      <c r="IAW76" s="684"/>
      <c r="IAX76" s="684"/>
      <c r="IAY76" s="684"/>
      <c r="IAZ76" s="684"/>
      <c r="IBA76" s="684"/>
      <c r="IBB76" s="684"/>
      <c r="IBC76" s="684"/>
      <c r="IBD76" s="684"/>
      <c r="IBE76" s="684"/>
      <c r="IBF76" s="684"/>
      <c r="IBG76" s="684"/>
      <c r="IBH76" s="684"/>
      <c r="IBI76" s="684"/>
      <c r="IBJ76" s="684"/>
      <c r="IBK76" s="684"/>
      <c r="IBL76" s="684"/>
      <c r="IBM76" s="684"/>
      <c r="IBN76" s="684"/>
      <c r="IBO76" s="684"/>
      <c r="IBP76" s="684"/>
      <c r="IBQ76" s="684"/>
      <c r="IBR76" s="684"/>
      <c r="IBS76" s="684"/>
      <c r="IBT76" s="684"/>
      <c r="IBU76" s="684"/>
      <c r="IBV76" s="684"/>
      <c r="IBW76" s="684"/>
      <c r="IBX76" s="684"/>
      <c r="IBY76" s="684"/>
      <c r="IBZ76" s="684"/>
      <c r="ICA76" s="684"/>
      <c r="ICB76" s="684"/>
      <c r="ICC76" s="684"/>
      <c r="ICD76" s="684"/>
      <c r="ICE76" s="684"/>
      <c r="ICF76" s="684"/>
      <c r="ICG76" s="684"/>
      <c r="ICH76" s="684"/>
      <c r="ICI76" s="684"/>
      <c r="ICJ76" s="684"/>
      <c r="ICK76" s="684"/>
      <c r="ICL76" s="684"/>
      <c r="ICM76" s="684"/>
      <c r="ICN76" s="684"/>
      <c r="ICO76" s="684"/>
      <c r="ICP76" s="684"/>
      <c r="ICQ76" s="684"/>
      <c r="ICR76" s="684"/>
      <c r="ICS76" s="684"/>
      <c r="ICT76" s="684"/>
      <c r="ICU76" s="684"/>
      <c r="ICV76" s="684"/>
      <c r="ICW76" s="684"/>
      <c r="ICX76" s="684"/>
      <c r="ICY76" s="684"/>
      <c r="ICZ76" s="684"/>
      <c r="IDA76" s="684"/>
      <c r="IDB76" s="684"/>
      <c r="IDC76" s="684"/>
      <c r="IDD76" s="684"/>
      <c r="IDE76" s="684"/>
      <c r="IDF76" s="684"/>
      <c r="IDG76" s="684"/>
      <c r="IDH76" s="684"/>
      <c r="IDI76" s="684"/>
      <c r="IDJ76" s="684"/>
      <c r="IDK76" s="684"/>
      <c r="IDL76" s="684"/>
      <c r="IDM76" s="684"/>
      <c r="IDN76" s="684"/>
      <c r="IDO76" s="684"/>
      <c r="IDP76" s="684"/>
      <c r="IDQ76" s="684"/>
      <c r="IDR76" s="684"/>
      <c r="IDS76" s="684"/>
      <c r="IDT76" s="684"/>
      <c r="IDU76" s="684"/>
      <c r="IDV76" s="684"/>
      <c r="IDW76" s="684"/>
      <c r="IDX76" s="684"/>
      <c r="IDY76" s="684"/>
      <c r="IDZ76" s="684"/>
      <c r="IEA76" s="684"/>
      <c r="IEB76" s="684"/>
      <c r="IEC76" s="684"/>
      <c r="IED76" s="684"/>
      <c r="IEE76" s="684"/>
      <c r="IEF76" s="684"/>
      <c r="IEG76" s="684"/>
      <c r="IEH76" s="684"/>
      <c r="IEI76" s="684"/>
      <c r="IEJ76" s="684"/>
      <c r="IEK76" s="684"/>
      <c r="IEL76" s="684"/>
      <c r="IEM76" s="684"/>
      <c r="IEN76" s="684"/>
      <c r="IEO76" s="684"/>
      <c r="IEP76" s="684"/>
      <c r="IEQ76" s="684"/>
      <c r="IER76" s="684"/>
      <c r="IES76" s="684"/>
      <c r="IET76" s="684"/>
      <c r="IEU76" s="684"/>
      <c r="IEV76" s="684"/>
      <c r="IEW76" s="684"/>
      <c r="IEX76" s="684"/>
      <c r="IEY76" s="684"/>
      <c r="IEZ76" s="684"/>
      <c r="IFA76" s="684"/>
      <c r="IFB76" s="684"/>
      <c r="IFC76" s="684"/>
      <c r="IFD76" s="684"/>
      <c r="IFE76" s="684"/>
      <c r="IFF76" s="684"/>
      <c r="IFG76" s="684"/>
      <c r="IFH76" s="684"/>
      <c r="IFI76" s="684"/>
      <c r="IFJ76" s="684"/>
      <c r="IFK76" s="684"/>
      <c r="IFL76" s="684"/>
      <c r="IFM76" s="684"/>
      <c r="IFN76" s="684"/>
      <c r="IFO76" s="684"/>
      <c r="IFP76" s="684"/>
      <c r="IFQ76" s="684"/>
      <c r="IFR76" s="684"/>
      <c r="IFS76" s="684"/>
      <c r="IFT76" s="684"/>
      <c r="IFU76" s="684"/>
      <c r="IFV76" s="684"/>
      <c r="IFW76" s="684"/>
      <c r="IFX76" s="684"/>
      <c r="IFY76" s="684"/>
      <c r="IFZ76" s="684"/>
      <c r="IGA76" s="684"/>
      <c r="IGB76" s="684"/>
      <c r="IGC76" s="684"/>
      <c r="IGD76" s="684"/>
      <c r="IGE76" s="684"/>
      <c r="IGF76" s="684"/>
      <c r="IGG76" s="684"/>
      <c r="IGH76" s="684"/>
      <c r="IGI76" s="684"/>
      <c r="IGJ76" s="684"/>
      <c r="IGK76" s="684"/>
      <c r="IGL76" s="684"/>
      <c r="IGM76" s="684"/>
      <c r="IGN76" s="684"/>
      <c r="IGO76" s="684"/>
      <c r="IGP76" s="684"/>
      <c r="IGQ76" s="684"/>
      <c r="IGR76" s="684"/>
      <c r="IGS76" s="684"/>
      <c r="IGT76" s="684"/>
      <c r="IGU76" s="684"/>
      <c r="IGV76" s="684"/>
      <c r="IGW76" s="684"/>
      <c r="IGX76" s="684"/>
      <c r="IGY76" s="684"/>
      <c r="IGZ76" s="684"/>
      <c r="IHA76" s="684"/>
      <c r="IHB76" s="684"/>
      <c r="IHC76" s="684"/>
      <c r="IHD76" s="684"/>
      <c r="IHE76" s="684"/>
      <c r="IHF76" s="684"/>
      <c r="IHG76" s="684"/>
      <c r="IHH76" s="684"/>
      <c r="IHI76" s="684"/>
      <c r="IHJ76" s="684"/>
      <c r="IHK76" s="684"/>
      <c r="IHL76" s="684"/>
      <c r="IHM76" s="684"/>
      <c r="IHN76" s="684"/>
      <c r="IHO76" s="684"/>
      <c r="IHP76" s="684"/>
      <c r="IHQ76" s="684"/>
      <c r="IHR76" s="684"/>
      <c r="IHS76" s="684"/>
      <c r="IHT76" s="684"/>
      <c r="IHU76" s="684"/>
      <c r="IHV76" s="684"/>
      <c r="IHW76" s="684"/>
      <c r="IHX76" s="684"/>
      <c r="IHY76" s="684"/>
      <c r="IHZ76" s="684"/>
      <c r="IIA76" s="684"/>
      <c r="IIB76" s="684"/>
      <c r="IIC76" s="684"/>
      <c r="IID76" s="684"/>
      <c r="IIE76" s="684"/>
      <c r="IIF76" s="684"/>
      <c r="IIG76" s="684"/>
      <c r="IIH76" s="684"/>
      <c r="III76" s="684"/>
      <c r="IIJ76" s="684"/>
      <c r="IIK76" s="684"/>
      <c r="IIL76" s="684"/>
      <c r="IIM76" s="684"/>
      <c r="IIN76" s="684"/>
      <c r="IIO76" s="684"/>
      <c r="IIP76" s="684"/>
      <c r="IIQ76" s="684"/>
      <c r="IIR76" s="684"/>
      <c r="IIS76" s="684"/>
      <c r="IIT76" s="684"/>
      <c r="IIU76" s="684"/>
      <c r="IIV76" s="684"/>
      <c r="IIW76" s="684"/>
      <c r="IIX76" s="684"/>
      <c r="IIY76" s="684"/>
      <c r="IIZ76" s="684"/>
      <c r="IJA76" s="684"/>
      <c r="IJB76" s="684"/>
      <c r="IJC76" s="684"/>
      <c r="IJD76" s="684"/>
      <c r="IJE76" s="684"/>
      <c r="IJF76" s="684"/>
      <c r="IJG76" s="684"/>
      <c r="IJH76" s="684"/>
      <c r="IJI76" s="684"/>
      <c r="IJJ76" s="684"/>
      <c r="IJK76" s="684"/>
      <c r="IJL76" s="684"/>
      <c r="IJM76" s="684"/>
      <c r="IJN76" s="684"/>
      <c r="IJO76" s="684"/>
      <c r="IJP76" s="684"/>
      <c r="IJQ76" s="684"/>
      <c r="IJR76" s="684"/>
      <c r="IJS76" s="684"/>
      <c r="IJT76" s="684"/>
      <c r="IJU76" s="684"/>
      <c r="IJV76" s="684"/>
      <c r="IJW76" s="684"/>
      <c r="IJX76" s="684"/>
      <c r="IJY76" s="684"/>
      <c r="IJZ76" s="684"/>
      <c r="IKA76" s="684"/>
      <c r="IKB76" s="684"/>
      <c r="IKC76" s="684"/>
      <c r="IKD76" s="684"/>
      <c r="IKE76" s="684"/>
      <c r="IKF76" s="684"/>
      <c r="IKG76" s="684"/>
      <c r="IKH76" s="684"/>
      <c r="IKI76" s="684"/>
      <c r="IKJ76" s="684"/>
      <c r="IKK76" s="684"/>
      <c r="IKL76" s="684"/>
      <c r="IKM76" s="684"/>
      <c r="IKN76" s="684"/>
      <c r="IKO76" s="684"/>
      <c r="IKP76" s="684"/>
      <c r="IKQ76" s="684"/>
      <c r="IKR76" s="684"/>
      <c r="IKS76" s="684"/>
      <c r="IKT76" s="684"/>
      <c r="IKU76" s="684"/>
      <c r="IKV76" s="684"/>
      <c r="IKW76" s="684"/>
      <c r="IKX76" s="684"/>
      <c r="IKY76" s="684"/>
      <c r="IKZ76" s="684"/>
      <c r="ILA76" s="684"/>
      <c r="ILB76" s="684"/>
      <c r="ILC76" s="684"/>
      <c r="ILD76" s="684"/>
      <c r="ILE76" s="684"/>
      <c r="ILF76" s="684"/>
      <c r="ILG76" s="684"/>
      <c r="ILH76" s="684"/>
      <c r="ILI76" s="684"/>
      <c r="ILJ76" s="684"/>
      <c r="ILK76" s="684"/>
      <c r="ILL76" s="684"/>
      <c r="ILM76" s="684"/>
      <c r="ILN76" s="684"/>
      <c r="ILO76" s="684"/>
      <c r="ILP76" s="684"/>
      <c r="ILQ76" s="684"/>
      <c r="ILR76" s="684"/>
      <c r="ILS76" s="684"/>
      <c r="ILT76" s="684"/>
      <c r="ILU76" s="684"/>
      <c r="ILV76" s="684"/>
      <c r="ILW76" s="684"/>
      <c r="ILX76" s="684"/>
      <c r="ILY76" s="684"/>
      <c r="ILZ76" s="684"/>
      <c r="IMA76" s="684"/>
      <c r="IMB76" s="684"/>
      <c r="IMC76" s="684"/>
      <c r="IMD76" s="684"/>
      <c r="IME76" s="684"/>
      <c r="IMF76" s="684"/>
      <c r="IMG76" s="684"/>
      <c r="IMH76" s="684"/>
      <c r="IMI76" s="684"/>
      <c r="IMJ76" s="684"/>
      <c r="IMK76" s="684"/>
      <c r="IML76" s="684"/>
      <c r="IMM76" s="684"/>
      <c r="IMN76" s="684"/>
      <c r="IMO76" s="684"/>
      <c r="IMP76" s="684"/>
      <c r="IMQ76" s="684"/>
      <c r="IMR76" s="684"/>
      <c r="IMS76" s="684"/>
      <c r="IMT76" s="684"/>
      <c r="IMU76" s="684"/>
      <c r="IMV76" s="684"/>
      <c r="IMW76" s="684"/>
      <c r="IMX76" s="684"/>
      <c r="IMY76" s="684"/>
      <c r="IMZ76" s="684"/>
      <c r="INA76" s="684"/>
      <c r="INB76" s="684"/>
      <c r="INC76" s="684"/>
      <c r="IND76" s="684"/>
      <c r="INE76" s="684"/>
      <c r="INF76" s="684"/>
      <c r="ING76" s="684"/>
      <c r="INH76" s="684"/>
      <c r="INI76" s="684"/>
      <c r="INJ76" s="684"/>
      <c r="INK76" s="684"/>
      <c r="INL76" s="684"/>
      <c r="INM76" s="684"/>
      <c r="INN76" s="684"/>
      <c r="INO76" s="684"/>
      <c r="INP76" s="684"/>
      <c r="INQ76" s="684"/>
      <c r="INR76" s="684"/>
      <c r="INS76" s="684"/>
      <c r="INT76" s="684"/>
      <c r="INU76" s="684"/>
      <c r="INV76" s="684"/>
      <c r="INW76" s="684"/>
      <c r="INX76" s="684"/>
      <c r="INY76" s="684"/>
      <c r="INZ76" s="684"/>
      <c r="IOA76" s="684"/>
      <c r="IOB76" s="684"/>
      <c r="IOC76" s="684"/>
      <c r="IOD76" s="684"/>
      <c r="IOE76" s="684"/>
      <c r="IOF76" s="684"/>
      <c r="IOG76" s="684"/>
      <c r="IOH76" s="684"/>
      <c r="IOI76" s="684"/>
      <c r="IOJ76" s="684"/>
      <c r="IOK76" s="684"/>
      <c r="IOL76" s="684"/>
      <c r="IOM76" s="684"/>
      <c r="ION76" s="684"/>
      <c r="IOO76" s="684"/>
      <c r="IOP76" s="684"/>
      <c r="IOQ76" s="684"/>
      <c r="IOR76" s="684"/>
      <c r="IOS76" s="684"/>
      <c r="IOT76" s="684"/>
      <c r="IOU76" s="684"/>
      <c r="IOV76" s="684"/>
      <c r="IOW76" s="684"/>
      <c r="IOX76" s="684"/>
      <c r="IOY76" s="684"/>
      <c r="IOZ76" s="684"/>
      <c r="IPA76" s="684"/>
      <c r="IPB76" s="684"/>
      <c r="IPC76" s="684"/>
      <c r="IPD76" s="684"/>
      <c r="IPE76" s="684"/>
      <c r="IPF76" s="684"/>
      <c r="IPG76" s="684"/>
      <c r="IPH76" s="684"/>
      <c r="IPI76" s="684"/>
      <c r="IPJ76" s="684"/>
      <c r="IPK76" s="684"/>
      <c r="IPL76" s="684"/>
      <c r="IPM76" s="684"/>
      <c r="IPN76" s="684"/>
      <c r="IPO76" s="684"/>
      <c r="IPP76" s="684"/>
      <c r="IPQ76" s="684"/>
      <c r="IPR76" s="684"/>
      <c r="IPS76" s="684"/>
      <c r="IPT76" s="684"/>
      <c r="IPU76" s="684"/>
      <c r="IPV76" s="684"/>
      <c r="IPW76" s="684"/>
      <c r="IPX76" s="684"/>
      <c r="IPY76" s="684"/>
      <c r="IPZ76" s="684"/>
      <c r="IQA76" s="684"/>
      <c r="IQB76" s="684"/>
      <c r="IQC76" s="684"/>
      <c r="IQD76" s="684"/>
      <c r="IQE76" s="684"/>
      <c r="IQF76" s="684"/>
      <c r="IQG76" s="684"/>
      <c r="IQH76" s="684"/>
      <c r="IQI76" s="684"/>
      <c r="IQJ76" s="684"/>
      <c r="IQK76" s="684"/>
      <c r="IQL76" s="684"/>
      <c r="IQM76" s="684"/>
      <c r="IQN76" s="684"/>
      <c r="IQO76" s="684"/>
      <c r="IQP76" s="684"/>
      <c r="IQQ76" s="684"/>
      <c r="IQR76" s="684"/>
      <c r="IQS76" s="684"/>
      <c r="IQT76" s="684"/>
      <c r="IQU76" s="684"/>
      <c r="IQV76" s="684"/>
      <c r="IQW76" s="684"/>
      <c r="IQX76" s="684"/>
      <c r="IQY76" s="684"/>
      <c r="IQZ76" s="684"/>
      <c r="IRA76" s="684"/>
      <c r="IRB76" s="684"/>
      <c r="IRC76" s="684"/>
      <c r="IRD76" s="684"/>
      <c r="IRE76" s="684"/>
      <c r="IRF76" s="684"/>
      <c r="IRG76" s="684"/>
      <c r="IRH76" s="684"/>
      <c r="IRI76" s="684"/>
      <c r="IRJ76" s="684"/>
      <c r="IRK76" s="684"/>
      <c r="IRL76" s="684"/>
      <c r="IRM76" s="684"/>
      <c r="IRN76" s="684"/>
      <c r="IRO76" s="684"/>
      <c r="IRP76" s="684"/>
      <c r="IRQ76" s="684"/>
      <c r="IRR76" s="684"/>
      <c r="IRS76" s="684"/>
      <c r="IRT76" s="684"/>
      <c r="IRU76" s="684"/>
      <c r="IRV76" s="684"/>
      <c r="IRW76" s="684"/>
      <c r="IRX76" s="684"/>
      <c r="IRY76" s="684"/>
      <c r="IRZ76" s="684"/>
      <c r="ISA76" s="684"/>
      <c r="ISB76" s="684"/>
      <c r="ISC76" s="684"/>
      <c r="ISD76" s="684"/>
      <c r="ISE76" s="684"/>
      <c r="ISF76" s="684"/>
      <c r="ISG76" s="684"/>
      <c r="ISH76" s="684"/>
      <c r="ISI76" s="684"/>
      <c r="ISJ76" s="684"/>
      <c r="ISK76" s="684"/>
      <c r="ISL76" s="684"/>
      <c r="ISM76" s="684"/>
      <c r="ISN76" s="684"/>
      <c r="ISO76" s="684"/>
      <c r="ISP76" s="684"/>
      <c r="ISQ76" s="684"/>
      <c r="ISR76" s="684"/>
      <c r="ISS76" s="684"/>
      <c r="IST76" s="684"/>
      <c r="ISU76" s="684"/>
      <c r="ISV76" s="684"/>
      <c r="ISW76" s="684"/>
      <c r="ISX76" s="684"/>
      <c r="ISY76" s="684"/>
      <c r="ISZ76" s="684"/>
      <c r="ITA76" s="684"/>
      <c r="ITB76" s="684"/>
      <c r="ITC76" s="684"/>
      <c r="ITD76" s="684"/>
      <c r="ITE76" s="684"/>
      <c r="ITF76" s="684"/>
      <c r="ITG76" s="684"/>
      <c r="ITH76" s="684"/>
      <c r="ITI76" s="684"/>
      <c r="ITJ76" s="684"/>
      <c r="ITK76" s="684"/>
      <c r="ITL76" s="684"/>
      <c r="ITM76" s="684"/>
      <c r="ITN76" s="684"/>
      <c r="ITO76" s="684"/>
      <c r="ITP76" s="684"/>
      <c r="ITQ76" s="684"/>
      <c r="ITR76" s="684"/>
      <c r="ITS76" s="684"/>
      <c r="ITT76" s="684"/>
      <c r="ITU76" s="684"/>
      <c r="ITV76" s="684"/>
      <c r="ITW76" s="684"/>
      <c r="ITX76" s="684"/>
      <c r="ITY76" s="684"/>
      <c r="ITZ76" s="684"/>
      <c r="IUA76" s="684"/>
      <c r="IUB76" s="684"/>
      <c r="IUC76" s="684"/>
      <c r="IUD76" s="684"/>
      <c r="IUE76" s="684"/>
      <c r="IUF76" s="684"/>
      <c r="IUG76" s="684"/>
      <c r="IUH76" s="684"/>
      <c r="IUI76" s="684"/>
      <c r="IUJ76" s="684"/>
      <c r="IUK76" s="684"/>
      <c r="IUL76" s="684"/>
      <c r="IUM76" s="684"/>
      <c r="IUN76" s="684"/>
      <c r="IUO76" s="684"/>
      <c r="IUP76" s="684"/>
      <c r="IUQ76" s="684"/>
      <c r="IUR76" s="684"/>
      <c r="IUS76" s="684"/>
      <c r="IUT76" s="684"/>
      <c r="IUU76" s="684"/>
      <c r="IUV76" s="684"/>
      <c r="IUW76" s="684"/>
      <c r="IUX76" s="684"/>
      <c r="IUY76" s="684"/>
      <c r="IUZ76" s="684"/>
      <c r="IVA76" s="684"/>
      <c r="IVB76" s="684"/>
      <c r="IVC76" s="684"/>
      <c r="IVD76" s="684"/>
      <c r="IVE76" s="684"/>
      <c r="IVF76" s="684"/>
      <c r="IVG76" s="684"/>
      <c r="IVH76" s="684"/>
      <c r="IVI76" s="684"/>
      <c r="IVJ76" s="684"/>
      <c r="IVK76" s="684"/>
      <c r="IVL76" s="684"/>
      <c r="IVM76" s="684"/>
      <c r="IVN76" s="684"/>
      <c r="IVO76" s="684"/>
      <c r="IVP76" s="684"/>
      <c r="IVQ76" s="684"/>
      <c r="IVR76" s="684"/>
      <c r="IVS76" s="684"/>
      <c r="IVT76" s="684"/>
      <c r="IVU76" s="684"/>
      <c r="IVV76" s="684"/>
      <c r="IVW76" s="684"/>
      <c r="IVX76" s="684"/>
      <c r="IVY76" s="684"/>
      <c r="IVZ76" s="684"/>
      <c r="IWA76" s="684"/>
      <c r="IWB76" s="684"/>
      <c r="IWC76" s="684"/>
      <c r="IWD76" s="684"/>
      <c r="IWE76" s="684"/>
      <c r="IWF76" s="684"/>
      <c r="IWG76" s="684"/>
      <c r="IWH76" s="684"/>
      <c r="IWI76" s="684"/>
      <c r="IWJ76" s="684"/>
      <c r="IWK76" s="684"/>
      <c r="IWL76" s="684"/>
      <c r="IWM76" s="684"/>
      <c r="IWN76" s="684"/>
      <c r="IWO76" s="684"/>
      <c r="IWP76" s="684"/>
      <c r="IWQ76" s="684"/>
      <c r="IWR76" s="684"/>
      <c r="IWS76" s="684"/>
      <c r="IWT76" s="684"/>
      <c r="IWU76" s="684"/>
      <c r="IWV76" s="684"/>
      <c r="IWW76" s="684"/>
      <c r="IWX76" s="684"/>
      <c r="IWY76" s="684"/>
      <c r="IWZ76" s="684"/>
      <c r="IXA76" s="684"/>
      <c r="IXB76" s="684"/>
      <c r="IXC76" s="684"/>
      <c r="IXD76" s="684"/>
      <c r="IXE76" s="684"/>
      <c r="IXF76" s="684"/>
      <c r="IXG76" s="684"/>
      <c r="IXH76" s="684"/>
      <c r="IXI76" s="684"/>
      <c r="IXJ76" s="684"/>
      <c r="IXK76" s="684"/>
      <c r="IXL76" s="684"/>
      <c r="IXM76" s="684"/>
      <c r="IXN76" s="684"/>
      <c r="IXO76" s="684"/>
      <c r="IXP76" s="684"/>
      <c r="IXQ76" s="684"/>
      <c r="IXR76" s="684"/>
      <c r="IXS76" s="684"/>
      <c r="IXT76" s="684"/>
      <c r="IXU76" s="684"/>
      <c r="IXV76" s="684"/>
      <c r="IXW76" s="684"/>
      <c r="IXX76" s="684"/>
      <c r="IXY76" s="684"/>
      <c r="IXZ76" s="684"/>
      <c r="IYA76" s="684"/>
      <c r="IYB76" s="684"/>
      <c r="IYC76" s="684"/>
      <c r="IYD76" s="684"/>
      <c r="IYE76" s="684"/>
      <c r="IYF76" s="684"/>
      <c r="IYG76" s="684"/>
      <c r="IYH76" s="684"/>
      <c r="IYI76" s="684"/>
      <c r="IYJ76" s="684"/>
      <c r="IYK76" s="684"/>
      <c r="IYL76" s="684"/>
      <c r="IYM76" s="684"/>
      <c r="IYN76" s="684"/>
      <c r="IYO76" s="684"/>
      <c r="IYP76" s="684"/>
      <c r="IYQ76" s="684"/>
      <c r="IYR76" s="684"/>
      <c r="IYS76" s="684"/>
      <c r="IYT76" s="684"/>
      <c r="IYU76" s="684"/>
      <c r="IYV76" s="684"/>
      <c r="IYW76" s="684"/>
      <c r="IYX76" s="684"/>
      <c r="IYY76" s="684"/>
      <c r="IYZ76" s="684"/>
      <c r="IZA76" s="684"/>
      <c r="IZB76" s="684"/>
      <c r="IZC76" s="684"/>
      <c r="IZD76" s="684"/>
      <c r="IZE76" s="684"/>
      <c r="IZF76" s="684"/>
      <c r="IZG76" s="684"/>
      <c r="IZH76" s="684"/>
      <c r="IZI76" s="684"/>
      <c r="IZJ76" s="684"/>
      <c r="IZK76" s="684"/>
      <c r="IZL76" s="684"/>
      <c r="IZM76" s="684"/>
      <c r="IZN76" s="684"/>
      <c r="IZO76" s="684"/>
      <c r="IZP76" s="684"/>
      <c r="IZQ76" s="684"/>
      <c r="IZR76" s="684"/>
      <c r="IZS76" s="684"/>
      <c r="IZT76" s="684"/>
      <c r="IZU76" s="684"/>
      <c r="IZV76" s="684"/>
      <c r="IZW76" s="684"/>
      <c r="IZX76" s="684"/>
      <c r="IZY76" s="684"/>
      <c r="IZZ76" s="684"/>
      <c r="JAA76" s="684"/>
      <c r="JAB76" s="684"/>
      <c r="JAC76" s="684"/>
      <c r="JAD76" s="684"/>
      <c r="JAE76" s="684"/>
      <c r="JAF76" s="684"/>
      <c r="JAG76" s="684"/>
      <c r="JAH76" s="684"/>
      <c r="JAI76" s="684"/>
      <c r="JAJ76" s="684"/>
      <c r="JAK76" s="684"/>
      <c r="JAL76" s="684"/>
      <c r="JAM76" s="684"/>
      <c r="JAN76" s="684"/>
      <c r="JAO76" s="684"/>
      <c r="JAP76" s="684"/>
      <c r="JAQ76" s="684"/>
      <c r="JAR76" s="684"/>
      <c r="JAS76" s="684"/>
      <c r="JAT76" s="684"/>
      <c r="JAU76" s="684"/>
      <c r="JAV76" s="684"/>
      <c r="JAW76" s="684"/>
      <c r="JAX76" s="684"/>
      <c r="JAY76" s="684"/>
      <c r="JAZ76" s="684"/>
      <c r="JBA76" s="684"/>
      <c r="JBB76" s="684"/>
      <c r="JBC76" s="684"/>
      <c r="JBD76" s="684"/>
      <c r="JBE76" s="684"/>
      <c r="JBF76" s="684"/>
      <c r="JBG76" s="684"/>
      <c r="JBH76" s="684"/>
      <c r="JBI76" s="684"/>
      <c r="JBJ76" s="684"/>
      <c r="JBK76" s="684"/>
      <c r="JBL76" s="684"/>
      <c r="JBM76" s="684"/>
      <c r="JBN76" s="684"/>
      <c r="JBO76" s="684"/>
      <c r="JBP76" s="684"/>
      <c r="JBQ76" s="684"/>
      <c r="JBR76" s="684"/>
      <c r="JBS76" s="684"/>
      <c r="JBT76" s="684"/>
      <c r="JBU76" s="684"/>
      <c r="JBV76" s="684"/>
      <c r="JBW76" s="684"/>
      <c r="JBX76" s="684"/>
      <c r="JBY76" s="684"/>
      <c r="JBZ76" s="684"/>
      <c r="JCA76" s="684"/>
      <c r="JCB76" s="684"/>
      <c r="JCC76" s="684"/>
      <c r="JCD76" s="684"/>
      <c r="JCE76" s="684"/>
      <c r="JCF76" s="684"/>
      <c r="JCG76" s="684"/>
      <c r="JCH76" s="684"/>
      <c r="JCI76" s="684"/>
      <c r="JCJ76" s="684"/>
      <c r="JCK76" s="684"/>
      <c r="JCL76" s="684"/>
      <c r="JCM76" s="684"/>
      <c r="JCN76" s="684"/>
      <c r="JCO76" s="684"/>
      <c r="JCP76" s="684"/>
      <c r="JCQ76" s="684"/>
      <c r="JCR76" s="684"/>
      <c r="JCS76" s="684"/>
      <c r="JCT76" s="684"/>
      <c r="JCU76" s="684"/>
      <c r="JCV76" s="684"/>
      <c r="JCW76" s="684"/>
      <c r="JCX76" s="684"/>
      <c r="JCY76" s="684"/>
      <c r="JCZ76" s="684"/>
      <c r="JDA76" s="684"/>
      <c r="JDB76" s="684"/>
      <c r="JDC76" s="684"/>
      <c r="JDD76" s="684"/>
      <c r="JDE76" s="684"/>
      <c r="JDF76" s="684"/>
      <c r="JDG76" s="684"/>
      <c r="JDH76" s="684"/>
      <c r="JDI76" s="684"/>
      <c r="JDJ76" s="684"/>
      <c r="JDK76" s="684"/>
      <c r="JDL76" s="684"/>
      <c r="JDM76" s="684"/>
      <c r="JDN76" s="684"/>
      <c r="JDO76" s="684"/>
      <c r="JDP76" s="684"/>
      <c r="JDQ76" s="684"/>
      <c r="JDR76" s="684"/>
      <c r="JDS76" s="684"/>
      <c r="JDT76" s="684"/>
      <c r="JDU76" s="684"/>
      <c r="JDV76" s="684"/>
      <c r="JDW76" s="684"/>
      <c r="JDX76" s="684"/>
      <c r="JDY76" s="684"/>
      <c r="JDZ76" s="684"/>
      <c r="JEA76" s="684"/>
      <c r="JEB76" s="684"/>
      <c r="JEC76" s="684"/>
      <c r="JED76" s="684"/>
      <c r="JEE76" s="684"/>
      <c r="JEF76" s="684"/>
      <c r="JEG76" s="684"/>
      <c r="JEH76" s="684"/>
      <c r="JEI76" s="684"/>
      <c r="JEJ76" s="684"/>
      <c r="JEK76" s="684"/>
      <c r="JEL76" s="684"/>
      <c r="JEM76" s="684"/>
      <c r="JEN76" s="684"/>
      <c r="JEO76" s="684"/>
      <c r="JEP76" s="684"/>
      <c r="JEQ76" s="684"/>
      <c r="JER76" s="684"/>
      <c r="JES76" s="684"/>
      <c r="JET76" s="684"/>
      <c r="JEU76" s="684"/>
      <c r="JEV76" s="684"/>
      <c r="JEW76" s="684"/>
      <c r="JEX76" s="684"/>
      <c r="JEY76" s="684"/>
      <c r="JEZ76" s="684"/>
      <c r="JFA76" s="684"/>
      <c r="JFB76" s="684"/>
      <c r="JFC76" s="684"/>
      <c r="JFD76" s="684"/>
      <c r="JFE76" s="684"/>
      <c r="JFF76" s="684"/>
      <c r="JFG76" s="684"/>
      <c r="JFH76" s="684"/>
      <c r="JFI76" s="684"/>
      <c r="JFJ76" s="684"/>
      <c r="JFK76" s="684"/>
      <c r="JFL76" s="684"/>
      <c r="JFM76" s="684"/>
      <c r="JFN76" s="684"/>
      <c r="JFO76" s="684"/>
      <c r="JFP76" s="684"/>
      <c r="JFQ76" s="684"/>
      <c r="JFR76" s="684"/>
      <c r="JFS76" s="684"/>
      <c r="JFT76" s="684"/>
      <c r="JFU76" s="684"/>
      <c r="JFV76" s="684"/>
      <c r="JFW76" s="684"/>
      <c r="JFX76" s="684"/>
      <c r="JFY76" s="684"/>
      <c r="JFZ76" s="684"/>
      <c r="JGA76" s="684"/>
      <c r="JGB76" s="684"/>
      <c r="JGC76" s="684"/>
      <c r="JGD76" s="684"/>
      <c r="JGE76" s="684"/>
      <c r="JGF76" s="684"/>
      <c r="JGG76" s="684"/>
      <c r="JGH76" s="684"/>
      <c r="JGI76" s="684"/>
      <c r="JGJ76" s="684"/>
      <c r="JGK76" s="684"/>
      <c r="JGL76" s="684"/>
      <c r="JGM76" s="684"/>
      <c r="JGN76" s="684"/>
      <c r="JGO76" s="684"/>
      <c r="JGP76" s="684"/>
      <c r="JGQ76" s="684"/>
      <c r="JGR76" s="684"/>
      <c r="JGS76" s="684"/>
      <c r="JGT76" s="684"/>
      <c r="JGU76" s="684"/>
      <c r="JGV76" s="684"/>
      <c r="JGW76" s="684"/>
      <c r="JGX76" s="684"/>
      <c r="JGY76" s="684"/>
      <c r="JGZ76" s="684"/>
      <c r="JHA76" s="684"/>
      <c r="JHB76" s="684"/>
      <c r="JHC76" s="684"/>
      <c r="JHD76" s="684"/>
      <c r="JHE76" s="684"/>
      <c r="JHF76" s="684"/>
      <c r="JHG76" s="684"/>
      <c r="JHH76" s="684"/>
      <c r="JHI76" s="684"/>
      <c r="JHJ76" s="684"/>
      <c r="JHK76" s="684"/>
      <c r="JHL76" s="684"/>
      <c r="JHM76" s="684"/>
      <c r="JHN76" s="684"/>
      <c r="JHO76" s="684"/>
      <c r="JHP76" s="684"/>
      <c r="JHQ76" s="684"/>
      <c r="JHR76" s="684"/>
      <c r="JHS76" s="684"/>
      <c r="JHT76" s="684"/>
      <c r="JHU76" s="684"/>
      <c r="JHV76" s="684"/>
      <c r="JHW76" s="684"/>
      <c r="JHX76" s="684"/>
      <c r="JHY76" s="684"/>
      <c r="JHZ76" s="684"/>
      <c r="JIA76" s="684"/>
      <c r="JIB76" s="684"/>
      <c r="JIC76" s="684"/>
      <c r="JID76" s="684"/>
      <c r="JIE76" s="684"/>
      <c r="JIF76" s="684"/>
      <c r="JIG76" s="684"/>
      <c r="JIH76" s="684"/>
      <c r="JII76" s="684"/>
      <c r="JIJ76" s="684"/>
      <c r="JIK76" s="684"/>
      <c r="JIL76" s="684"/>
      <c r="JIM76" s="684"/>
      <c r="JIN76" s="684"/>
      <c r="JIO76" s="684"/>
      <c r="JIP76" s="684"/>
      <c r="JIQ76" s="684"/>
      <c r="JIR76" s="684"/>
      <c r="JIS76" s="684"/>
      <c r="JIT76" s="684"/>
      <c r="JIU76" s="684"/>
      <c r="JIV76" s="684"/>
      <c r="JIW76" s="684"/>
      <c r="JIX76" s="684"/>
      <c r="JIY76" s="684"/>
      <c r="JIZ76" s="684"/>
      <c r="JJA76" s="684"/>
      <c r="JJB76" s="684"/>
      <c r="JJC76" s="684"/>
      <c r="JJD76" s="684"/>
      <c r="JJE76" s="684"/>
      <c r="JJF76" s="684"/>
      <c r="JJG76" s="684"/>
      <c r="JJH76" s="684"/>
      <c r="JJI76" s="684"/>
      <c r="JJJ76" s="684"/>
      <c r="JJK76" s="684"/>
      <c r="JJL76" s="684"/>
      <c r="JJM76" s="684"/>
      <c r="JJN76" s="684"/>
      <c r="JJO76" s="684"/>
      <c r="JJP76" s="684"/>
      <c r="JJQ76" s="684"/>
      <c r="JJR76" s="684"/>
      <c r="JJS76" s="684"/>
      <c r="JJT76" s="684"/>
      <c r="JJU76" s="684"/>
      <c r="JJV76" s="684"/>
      <c r="JJW76" s="684"/>
      <c r="JJX76" s="684"/>
      <c r="JJY76" s="684"/>
      <c r="JJZ76" s="684"/>
      <c r="JKA76" s="684"/>
      <c r="JKB76" s="684"/>
      <c r="JKC76" s="684"/>
      <c r="JKD76" s="684"/>
      <c r="JKE76" s="684"/>
      <c r="JKF76" s="684"/>
      <c r="JKG76" s="684"/>
      <c r="JKH76" s="684"/>
      <c r="JKI76" s="684"/>
      <c r="JKJ76" s="684"/>
      <c r="JKK76" s="684"/>
      <c r="JKL76" s="684"/>
      <c r="JKM76" s="684"/>
      <c r="JKN76" s="684"/>
      <c r="JKO76" s="684"/>
      <c r="JKP76" s="684"/>
      <c r="JKQ76" s="684"/>
      <c r="JKR76" s="684"/>
      <c r="JKS76" s="684"/>
      <c r="JKT76" s="684"/>
      <c r="JKU76" s="684"/>
      <c r="JKV76" s="684"/>
      <c r="JKW76" s="684"/>
      <c r="JKX76" s="684"/>
      <c r="JKY76" s="684"/>
      <c r="JKZ76" s="684"/>
      <c r="JLA76" s="684"/>
      <c r="JLB76" s="684"/>
      <c r="JLC76" s="684"/>
      <c r="JLD76" s="684"/>
      <c r="JLE76" s="684"/>
      <c r="JLF76" s="684"/>
      <c r="JLG76" s="684"/>
      <c r="JLH76" s="684"/>
      <c r="JLI76" s="684"/>
      <c r="JLJ76" s="684"/>
      <c r="JLK76" s="684"/>
      <c r="JLL76" s="684"/>
      <c r="JLM76" s="684"/>
      <c r="JLN76" s="684"/>
      <c r="JLO76" s="684"/>
      <c r="JLP76" s="684"/>
      <c r="JLQ76" s="684"/>
      <c r="JLR76" s="684"/>
      <c r="JLS76" s="684"/>
      <c r="JLT76" s="684"/>
      <c r="JLU76" s="684"/>
      <c r="JLV76" s="684"/>
      <c r="JLW76" s="684"/>
      <c r="JLX76" s="684"/>
      <c r="JLY76" s="684"/>
      <c r="JLZ76" s="684"/>
      <c r="JMA76" s="684"/>
      <c r="JMB76" s="684"/>
      <c r="JMC76" s="684"/>
      <c r="JMD76" s="684"/>
      <c r="JME76" s="684"/>
      <c r="JMF76" s="684"/>
      <c r="JMG76" s="684"/>
      <c r="JMH76" s="684"/>
      <c r="JMI76" s="684"/>
      <c r="JMJ76" s="684"/>
      <c r="JMK76" s="684"/>
      <c r="JML76" s="684"/>
      <c r="JMM76" s="684"/>
      <c r="JMN76" s="684"/>
      <c r="JMO76" s="684"/>
      <c r="JMP76" s="684"/>
      <c r="JMQ76" s="684"/>
      <c r="JMR76" s="684"/>
      <c r="JMS76" s="684"/>
      <c r="JMT76" s="684"/>
      <c r="JMU76" s="684"/>
      <c r="JMV76" s="684"/>
      <c r="JMW76" s="684"/>
      <c r="JMX76" s="684"/>
      <c r="JMY76" s="684"/>
      <c r="JMZ76" s="684"/>
      <c r="JNA76" s="684"/>
      <c r="JNB76" s="684"/>
      <c r="JNC76" s="684"/>
      <c r="JND76" s="684"/>
      <c r="JNE76" s="684"/>
      <c r="JNF76" s="684"/>
      <c r="JNG76" s="684"/>
      <c r="JNH76" s="684"/>
      <c r="JNI76" s="684"/>
      <c r="JNJ76" s="684"/>
      <c r="JNK76" s="684"/>
      <c r="JNL76" s="684"/>
      <c r="JNM76" s="684"/>
      <c r="JNN76" s="684"/>
      <c r="JNO76" s="684"/>
      <c r="JNP76" s="684"/>
      <c r="JNQ76" s="684"/>
      <c r="JNR76" s="684"/>
      <c r="JNS76" s="684"/>
      <c r="JNT76" s="684"/>
      <c r="JNU76" s="684"/>
      <c r="JNV76" s="684"/>
      <c r="JNW76" s="684"/>
      <c r="JNX76" s="684"/>
      <c r="JNY76" s="684"/>
      <c r="JNZ76" s="684"/>
      <c r="JOA76" s="684"/>
      <c r="JOB76" s="684"/>
      <c r="JOC76" s="684"/>
      <c r="JOD76" s="684"/>
      <c r="JOE76" s="684"/>
      <c r="JOF76" s="684"/>
      <c r="JOG76" s="684"/>
      <c r="JOH76" s="684"/>
      <c r="JOI76" s="684"/>
      <c r="JOJ76" s="684"/>
      <c r="JOK76" s="684"/>
      <c r="JOL76" s="684"/>
      <c r="JOM76" s="684"/>
      <c r="JON76" s="684"/>
      <c r="JOO76" s="684"/>
      <c r="JOP76" s="684"/>
      <c r="JOQ76" s="684"/>
      <c r="JOR76" s="684"/>
      <c r="JOS76" s="684"/>
      <c r="JOT76" s="684"/>
      <c r="JOU76" s="684"/>
      <c r="JOV76" s="684"/>
      <c r="JOW76" s="684"/>
      <c r="JOX76" s="684"/>
      <c r="JOY76" s="684"/>
      <c r="JOZ76" s="684"/>
      <c r="JPA76" s="684"/>
      <c r="JPB76" s="684"/>
      <c r="JPC76" s="684"/>
      <c r="JPD76" s="684"/>
      <c r="JPE76" s="684"/>
      <c r="JPF76" s="684"/>
      <c r="JPG76" s="684"/>
      <c r="JPH76" s="684"/>
      <c r="JPI76" s="684"/>
      <c r="JPJ76" s="684"/>
      <c r="JPK76" s="684"/>
      <c r="JPL76" s="684"/>
      <c r="JPM76" s="684"/>
      <c r="JPN76" s="684"/>
      <c r="JPO76" s="684"/>
      <c r="JPP76" s="684"/>
      <c r="JPQ76" s="684"/>
      <c r="JPR76" s="684"/>
      <c r="JPS76" s="684"/>
      <c r="JPT76" s="684"/>
      <c r="JPU76" s="684"/>
      <c r="JPV76" s="684"/>
      <c r="JPW76" s="684"/>
      <c r="JPX76" s="684"/>
      <c r="JPY76" s="684"/>
      <c r="JPZ76" s="684"/>
      <c r="JQA76" s="684"/>
      <c r="JQB76" s="684"/>
      <c r="JQC76" s="684"/>
      <c r="JQD76" s="684"/>
      <c r="JQE76" s="684"/>
      <c r="JQF76" s="684"/>
      <c r="JQG76" s="684"/>
      <c r="JQH76" s="684"/>
      <c r="JQI76" s="684"/>
      <c r="JQJ76" s="684"/>
      <c r="JQK76" s="684"/>
      <c r="JQL76" s="684"/>
      <c r="JQM76" s="684"/>
      <c r="JQN76" s="684"/>
      <c r="JQO76" s="684"/>
      <c r="JQP76" s="684"/>
      <c r="JQQ76" s="684"/>
      <c r="JQR76" s="684"/>
      <c r="JQS76" s="684"/>
      <c r="JQT76" s="684"/>
      <c r="JQU76" s="684"/>
      <c r="JQV76" s="684"/>
      <c r="JQW76" s="684"/>
      <c r="JQX76" s="684"/>
      <c r="JQY76" s="684"/>
      <c r="JQZ76" s="684"/>
      <c r="JRA76" s="684"/>
      <c r="JRB76" s="684"/>
      <c r="JRC76" s="684"/>
      <c r="JRD76" s="684"/>
      <c r="JRE76" s="684"/>
      <c r="JRF76" s="684"/>
      <c r="JRG76" s="684"/>
      <c r="JRH76" s="684"/>
      <c r="JRI76" s="684"/>
      <c r="JRJ76" s="684"/>
      <c r="JRK76" s="684"/>
      <c r="JRL76" s="684"/>
      <c r="JRM76" s="684"/>
      <c r="JRN76" s="684"/>
      <c r="JRO76" s="684"/>
      <c r="JRP76" s="684"/>
      <c r="JRQ76" s="684"/>
      <c r="JRR76" s="684"/>
      <c r="JRS76" s="684"/>
      <c r="JRT76" s="684"/>
      <c r="JRU76" s="684"/>
      <c r="JRV76" s="684"/>
      <c r="JRW76" s="684"/>
      <c r="JRX76" s="684"/>
      <c r="JRY76" s="684"/>
      <c r="JRZ76" s="684"/>
      <c r="JSA76" s="684"/>
      <c r="JSB76" s="684"/>
      <c r="JSC76" s="684"/>
      <c r="JSD76" s="684"/>
      <c r="JSE76" s="684"/>
      <c r="JSF76" s="684"/>
      <c r="JSG76" s="684"/>
      <c r="JSH76" s="684"/>
      <c r="JSI76" s="684"/>
      <c r="JSJ76" s="684"/>
      <c r="JSK76" s="684"/>
      <c r="JSL76" s="684"/>
      <c r="JSM76" s="684"/>
      <c r="JSN76" s="684"/>
      <c r="JSO76" s="684"/>
      <c r="JSP76" s="684"/>
      <c r="JSQ76" s="684"/>
      <c r="JSR76" s="684"/>
      <c r="JSS76" s="684"/>
      <c r="JST76" s="684"/>
      <c r="JSU76" s="684"/>
      <c r="JSV76" s="684"/>
      <c r="JSW76" s="684"/>
      <c r="JSX76" s="684"/>
      <c r="JSY76" s="684"/>
      <c r="JSZ76" s="684"/>
      <c r="JTA76" s="684"/>
      <c r="JTB76" s="684"/>
      <c r="JTC76" s="684"/>
      <c r="JTD76" s="684"/>
      <c r="JTE76" s="684"/>
      <c r="JTF76" s="684"/>
      <c r="JTG76" s="684"/>
      <c r="JTH76" s="684"/>
      <c r="JTI76" s="684"/>
      <c r="JTJ76" s="684"/>
      <c r="JTK76" s="684"/>
      <c r="JTL76" s="684"/>
      <c r="JTM76" s="684"/>
      <c r="JTN76" s="684"/>
      <c r="JTO76" s="684"/>
      <c r="JTP76" s="684"/>
      <c r="JTQ76" s="684"/>
      <c r="JTR76" s="684"/>
      <c r="JTS76" s="684"/>
      <c r="JTT76" s="684"/>
      <c r="JTU76" s="684"/>
      <c r="JTV76" s="684"/>
      <c r="JTW76" s="684"/>
      <c r="JTX76" s="684"/>
      <c r="JTY76" s="684"/>
      <c r="JTZ76" s="684"/>
      <c r="JUA76" s="684"/>
      <c r="JUB76" s="684"/>
      <c r="JUC76" s="684"/>
      <c r="JUD76" s="684"/>
      <c r="JUE76" s="684"/>
      <c r="JUF76" s="684"/>
      <c r="JUG76" s="684"/>
      <c r="JUH76" s="684"/>
      <c r="JUI76" s="684"/>
      <c r="JUJ76" s="684"/>
      <c r="JUK76" s="684"/>
      <c r="JUL76" s="684"/>
      <c r="JUM76" s="684"/>
      <c r="JUN76" s="684"/>
      <c r="JUO76" s="684"/>
      <c r="JUP76" s="684"/>
      <c r="JUQ76" s="684"/>
      <c r="JUR76" s="684"/>
      <c r="JUS76" s="684"/>
      <c r="JUT76" s="684"/>
      <c r="JUU76" s="684"/>
      <c r="JUV76" s="684"/>
      <c r="JUW76" s="684"/>
      <c r="JUX76" s="684"/>
      <c r="JUY76" s="684"/>
      <c r="JUZ76" s="684"/>
      <c r="JVA76" s="684"/>
      <c r="JVB76" s="684"/>
      <c r="JVC76" s="684"/>
      <c r="JVD76" s="684"/>
      <c r="JVE76" s="684"/>
      <c r="JVF76" s="684"/>
      <c r="JVG76" s="684"/>
      <c r="JVH76" s="684"/>
      <c r="JVI76" s="684"/>
      <c r="JVJ76" s="684"/>
      <c r="JVK76" s="684"/>
      <c r="JVL76" s="684"/>
      <c r="JVM76" s="684"/>
      <c r="JVN76" s="684"/>
      <c r="JVO76" s="684"/>
      <c r="JVP76" s="684"/>
      <c r="JVQ76" s="684"/>
      <c r="JVR76" s="684"/>
      <c r="JVS76" s="684"/>
      <c r="JVT76" s="684"/>
      <c r="JVU76" s="684"/>
      <c r="JVV76" s="684"/>
      <c r="JVW76" s="684"/>
      <c r="JVX76" s="684"/>
      <c r="JVY76" s="684"/>
      <c r="JVZ76" s="684"/>
      <c r="JWA76" s="684"/>
      <c r="JWB76" s="684"/>
      <c r="JWC76" s="684"/>
      <c r="JWD76" s="684"/>
      <c r="JWE76" s="684"/>
      <c r="JWF76" s="684"/>
      <c r="JWG76" s="684"/>
      <c r="JWH76" s="684"/>
      <c r="JWI76" s="684"/>
      <c r="JWJ76" s="684"/>
      <c r="JWK76" s="684"/>
      <c r="JWL76" s="684"/>
      <c r="JWM76" s="684"/>
      <c r="JWN76" s="684"/>
      <c r="JWO76" s="684"/>
      <c r="JWP76" s="684"/>
      <c r="JWQ76" s="684"/>
      <c r="JWR76" s="684"/>
      <c r="JWS76" s="684"/>
      <c r="JWT76" s="684"/>
      <c r="JWU76" s="684"/>
      <c r="JWV76" s="684"/>
      <c r="JWW76" s="684"/>
      <c r="JWX76" s="684"/>
      <c r="JWY76" s="684"/>
      <c r="JWZ76" s="684"/>
      <c r="JXA76" s="684"/>
      <c r="JXB76" s="684"/>
      <c r="JXC76" s="684"/>
      <c r="JXD76" s="684"/>
      <c r="JXE76" s="684"/>
      <c r="JXF76" s="684"/>
      <c r="JXG76" s="684"/>
      <c r="JXH76" s="684"/>
      <c r="JXI76" s="684"/>
      <c r="JXJ76" s="684"/>
      <c r="JXK76" s="684"/>
      <c r="JXL76" s="684"/>
      <c r="JXM76" s="684"/>
      <c r="JXN76" s="684"/>
      <c r="JXO76" s="684"/>
      <c r="JXP76" s="684"/>
      <c r="JXQ76" s="684"/>
      <c r="JXR76" s="684"/>
      <c r="JXS76" s="684"/>
      <c r="JXT76" s="684"/>
      <c r="JXU76" s="684"/>
      <c r="JXV76" s="684"/>
      <c r="JXW76" s="684"/>
      <c r="JXX76" s="684"/>
      <c r="JXY76" s="684"/>
      <c r="JXZ76" s="684"/>
      <c r="JYA76" s="684"/>
      <c r="JYB76" s="684"/>
      <c r="JYC76" s="684"/>
      <c r="JYD76" s="684"/>
      <c r="JYE76" s="684"/>
      <c r="JYF76" s="684"/>
      <c r="JYG76" s="684"/>
      <c r="JYH76" s="684"/>
      <c r="JYI76" s="684"/>
      <c r="JYJ76" s="684"/>
      <c r="JYK76" s="684"/>
      <c r="JYL76" s="684"/>
      <c r="JYM76" s="684"/>
      <c r="JYN76" s="684"/>
      <c r="JYO76" s="684"/>
      <c r="JYP76" s="684"/>
      <c r="JYQ76" s="684"/>
      <c r="JYR76" s="684"/>
      <c r="JYS76" s="684"/>
      <c r="JYT76" s="684"/>
      <c r="JYU76" s="684"/>
      <c r="JYV76" s="684"/>
      <c r="JYW76" s="684"/>
      <c r="JYX76" s="684"/>
      <c r="JYY76" s="684"/>
      <c r="JYZ76" s="684"/>
      <c r="JZA76" s="684"/>
      <c r="JZB76" s="684"/>
      <c r="JZC76" s="684"/>
      <c r="JZD76" s="684"/>
      <c r="JZE76" s="684"/>
      <c r="JZF76" s="684"/>
      <c r="JZG76" s="684"/>
      <c r="JZH76" s="684"/>
      <c r="JZI76" s="684"/>
      <c r="JZJ76" s="684"/>
      <c r="JZK76" s="684"/>
      <c r="JZL76" s="684"/>
      <c r="JZM76" s="684"/>
      <c r="JZN76" s="684"/>
      <c r="JZO76" s="684"/>
      <c r="JZP76" s="684"/>
      <c r="JZQ76" s="684"/>
      <c r="JZR76" s="684"/>
      <c r="JZS76" s="684"/>
      <c r="JZT76" s="684"/>
      <c r="JZU76" s="684"/>
      <c r="JZV76" s="684"/>
      <c r="JZW76" s="684"/>
      <c r="JZX76" s="684"/>
      <c r="JZY76" s="684"/>
      <c r="JZZ76" s="684"/>
      <c r="KAA76" s="684"/>
      <c r="KAB76" s="684"/>
      <c r="KAC76" s="684"/>
      <c r="KAD76" s="684"/>
      <c r="KAE76" s="684"/>
      <c r="KAF76" s="684"/>
      <c r="KAG76" s="684"/>
      <c r="KAH76" s="684"/>
      <c r="KAI76" s="684"/>
      <c r="KAJ76" s="684"/>
      <c r="KAK76" s="684"/>
      <c r="KAL76" s="684"/>
      <c r="KAM76" s="684"/>
      <c r="KAN76" s="684"/>
      <c r="KAO76" s="684"/>
      <c r="KAP76" s="684"/>
      <c r="KAQ76" s="684"/>
      <c r="KAR76" s="684"/>
      <c r="KAS76" s="684"/>
      <c r="KAT76" s="684"/>
      <c r="KAU76" s="684"/>
      <c r="KAV76" s="684"/>
      <c r="KAW76" s="684"/>
      <c r="KAX76" s="684"/>
      <c r="KAY76" s="684"/>
      <c r="KAZ76" s="684"/>
      <c r="KBA76" s="684"/>
      <c r="KBB76" s="684"/>
      <c r="KBC76" s="684"/>
      <c r="KBD76" s="684"/>
      <c r="KBE76" s="684"/>
      <c r="KBF76" s="684"/>
      <c r="KBG76" s="684"/>
      <c r="KBH76" s="684"/>
      <c r="KBI76" s="684"/>
      <c r="KBJ76" s="684"/>
      <c r="KBK76" s="684"/>
      <c r="KBL76" s="684"/>
      <c r="KBM76" s="684"/>
      <c r="KBN76" s="684"/>
      <c r="KBO76" s="684"/>
      <c r="KBP76" s="684"/>
      <c r="KBQ76" s="684"/>
      <c r="KBR76" s="684"/>
      <c r="KBS76" s="684"/>
      <c r="KBT76" s="684"/>
      <c r="KBU76" s="684"/>
      <c r="KBV76" s="684"/>
      <c r="KBW76" s="684"/>
      <c r="KBX76" s="684"/>
      <c r="KBY76" s="684"/>
      <c r="KBZ76" s="684"/>
      <c r="KCA76" s="684"/>
      <c r="KCB76" s="684"/>
      <c r="KCC76" s="684"/>
      <c r="KCD76" s="684"/>
      <c r="KCE76" s="684"/>
      <c r="KCF76" s="684"/>
      <c r="KCG76" s="684"/>
      <c r="KCH76" s="684"/>
      <c r="KCI76" s="684"/>
      <c r="KCJ76" s="684"/>
      <c r="KCK76" s="684"/>
      <c r="KCL76" s="684"/>
      <c r="KCM76" s="684"/>
      <c r="KCN76" s="684"/>
      <c r="KCO76" s="684"/>
      <c r="KCP76" s="684"/>
      <c r="KCQ76" s="684"/>
      <c r="KCR76" s="684"/>
      <c r="KCS76" s="684"/>
      <c r="KCT76" s="684"/>
      <c r="KCU76" s="684"/>
      <c r="KCV76" s="684"/>
      <c r="KCW76" s="684"/>
      <c r="KCX76" s="684"/>
      <c r="KCY76" s="684"/>
      <c r="KCZ76" s="684"/>
      <c r="KDA76" s="684"/>
      <c r="KDB76" s="684"/>
      <c r="KDC76" s="684"/>
      <c r="KDD76" s="684"/>
      <c r="KDE76" s="684"/>
      <c r="KDF76" s="684"/>
      <c r="KDG76" s="684"/>
      <c r="KDH76" s="684"/>
      <c r="KDI76" s="684"/>
      <c r="KDJ76" s="684"/>
      <c r="KDK76" s="684"/>
      <c r="KDL76" s="684"/>
      <c r="KDM76" s="684"/>
      <c r="KDN76" s="684"/>
      <c r="KDO76" s="684"/>
      <c r="KDP76" s="684"/>
      <c r="KDQ76" s="684"/>
      <c r="KDR76" s="684"/>
      <c r="KDS76" s="684"/>
      <c r="KDT76" s="684"/>
      <c r="KDU76" s="684"/>
      <c r="KDV76" s="684"/>
      <c r="KDW76" s="684"/>
      <c r="KDX76" s="684"/>
      <c r="KDY76" s="684"/>
      <c r="KDZ76" s="684"/>
      <c r="KEA76" s="684"/>
      <c r="KEB76" s="684"/>
      <c r="KEC76" s="684"/>
      <c r="KED76" s="684"/>
      <c r="KEE76" s="684"/>
      <c r="KEF76" s="684"/>
      <c r="KEG76" s="684"/>
      <c r="KEH76" s="684"/>
      <c r="KEI76" s="684"/>
      <c r="KEJ76" s="684"/>
      <c r="KEK76" s="684"/>
      <c r="KEL76" s="684"/>
      <c r="KEM76" s="684"/>
      <c r="KEN76" s="684"/>
      <c r="KEO76" s="684"/>
      <c r="KEP76" s="684"/>
      <c r="KEQ76" s="684"/>
      <c r="KER76" s="684"/>
      <c r="KES76" s="684"/>
      <c r="KET76" s="684"/>
      <c r="KEU76" s="684"/>
      <c r="KEV76" s="684"/>
      <c r="KEW76" s="684"/>
      <c r="KEX76" s="684"/>
      <c r="KEY76" s="684"/>
      <c r="KEZ76" s="684"/>
      <c r="KFA76" s="684"/>
      <c r="KFB76" s="684"/>
      <c r="KFC76" s="684"/>
      <c r="KFD76" s="684"/>
      <c r="KFE76" s="684"/>
      <c r="KFF76" s="684"/>
      <c r="KFG76" s="684"/>
      <c r="KFH76" s="684"/>
      <c r="KFI76" s="684"/>
      <c r="KFJ76" s="684"/>
      <c r="KFK76" s="684"/>
      <c r="KFL76" s="684"/>
      <c r="KFM76" s="684"/>
      <c r="KFN76" s="684"/>
      <c r="KFO76" s="684"/>
      <c r="KFP76" s="684"/>
      <c r="KFQ76" s="684"/>
      <c r="KFR76" s="684"/>
      <c r="KFS76" s="684"/>
      <c r="KFT76" s="684"/>
      <c r="KFU76" s="684"/>
      <c r="KFV76" s="684"/>
      <c r="KFW76" s="684"/>
      <c r="KFX76" s="684"/>
      <c r="KFY76" s="684"/>
      <c r="KFZ76" s="684"/>
      <c r="KGA76" s="684"/>
      <c r="KGB76" s="684"/>
      <c r="KGC76" s="684"/>
      <c r="KGD76" s="684"/>
      <c r="KGE76" s="684"/>
      <c r="KGF76" s="684"/>
      <c r="KGG76" s="684"/>
      <c r="KGH76" s="684"/>
      <c r="KGI76" s="684"/>
      <c r="KGJ76" s="684"/>
      <c r="KGK76" s="684"/>
      <c r="KGL76" s="684"/>
      <c r="KGM76" s="684"/>
      <c r="KGN76" s="684"/>
      <c r="KGO76" s="684"/>
      <c r="KGP76" s="684"/>
      <c r="KGQ76" s="684"/>
      <c r="KGR76" s="684"/>
      <c r="KGS76" s="684"/>
      <c r="KGT76" s="684"/>
      <c r="KGU76" s="684"/>
      <c r="KGV76" s="684"/>
      <c r="KGW76" s="684"/>
      <c r="KGX76" s="684"/>
      <c r="KGY76" s="684"/>
      <c r="KGZ76" s="684"/>
      <c r="KHA76" s="684"/>
      <c r="KHB76" s="684"/>
      <c r="KHC76" s="684"/>
      <c r="KHD76" s="684"/>
      <c r="KHE76" s="684"/>
      <c r="KHF76" s="684"/>
      <c r="KHG76" s="684"/>
      <c r="KHH76" s="684"/>
      <c r="KHI76" s="684"/>
      <c r="KHJ76" s="684"/>
      <c r="KHK76" s="684"/>
      <c r="KHL76" s="684"/>
      <c r="KHM76" s="684"/>
      <c r="KHN76" s="684"/>
      <c r="KHO76" s="684"/>
      <c r="KHP76" s="684"/>
      <c r="KHQ76" s="684"/>
      <c r="KHR76" s="684"/>
      <c r="KHS76" s="684"/>
      <c r="KHT76" s="684"/>
      <c r="KHU76" s="684"/>
      <c r="KHV76" s="684"/>
      <c r="KHW76" s="684"/>
      <c r="KHX76" s="684"/>
      <c r="KHY76" s="684"/>
      <c r="KHZ76" s="684"/>
      <c r="KIA76" s="684"/>
      <c r="KIB76" s="684"/>
      <c r="KIC76" s="684"/>
      <c r="KID76" s="684"/>
      <c r="KIE76" s="684"/>
      <c r="KIF76" s="684"/>
      <c r="KIG76" s="684"/>
      <c r="KIH76" s="684"/>
      <c r="KII76" s="684"/>
      <c r="KIJ76" s="684"/>
      <c r="KIK76" s="684"/>
      <c r="KIL76" s="684"/>
      <c r="KIM76" s="684"/>
      <c r="KIN76" s="684"/>
      <c r="KIO76" s="684"/>
      <c r="KIP76" s="684"/>
      <c r="KIQ76" s="684"/>
      <c r="KIR76" s="684"/>
      <c r="KIS76" s="684"/>
      <c r="KIT76" s="684"/>
      <c r="KIU76" s="684"/>
      <c r="KIV76" s="684"/>
      <c r="KIW76" s="684"/>
      <c r="KIX76" s="684"/>
      <c r="KIY76" s="684"/>
      <c r="KIZ76" s="684"/>
      <c r="KJA76" s="684"/>
      <c r="KJB76" s="684"/>
      <c r="KJC76" s="684"/>
      <c r="KJD76" s="684"/>
      <c r="KJE76" s="684"/>
      <c r="KJF76" s="684"/>
      <c r="KJG76" s="684"/>
      <c r="KJH76" s="684"/>
      <c r="KJI76" s="684"/>
      <c r="KJJ76" s="684"/>
      <c r="KJK76" s="684"/>
      <c r="KJL76" s="684"/>
      <c r="KJM76" s="684"/>
      <c r="KJN76" s="684"/>
      <c r="KJO76" s="684"/>
      <c r="KJP76" s="684"/>
      <c r="KJQ76" s="684"/>
      <c r="KJR76" s="684"/>
      <c r="KJS76" s="684"/>
      <c r="KJT76" s="684"/>
      <c r="KJU76" s="684"/>
      <c r="KJV76" s="684"/>
      <c r="KJW76" s="684"/>
      <c r="KJX76" s="684"/>
      <c r="KJY76" s="684"/>
      <c r="KJZ76" s="684"/>
      <c r="KKA76" s="684"/>
      <c r="KKB76" s="684"/>
      <c r="KKC76" s="684"/>
      <c r="KKD76" s="684"/>
      <c r="KKE76" s="684"/>
      <c r="KKF76" s="684"/>
      <c r="KKG76" s="684"/>
      <c r="KKH76" s="684"/>
      <c r="KKI76" s="684"/>
      <c r="KKJ76" s="684"/>
      <c r="KKK76" s="684"/>
      <c r="KKL76" s="684"/>
      <c r="KKM76" s="684"/>
      <c r="KKN76" s="684"/>
      <c r="KKO76" s="684"/>
      <c r="KKP76" s="684"/>
      <c r="KKQ76" s="684"/>
      <c r="KKR76" s="684"/>
      <c r="KKS76" s="684"/>
      <c r="KKT76" s="684"/>
      <c r="KKU76" s="684"/>
      <c r="KKV76" s="684"/>
      <c r="KKW76" s="684"/>
      <c r="KKX76" s="684"/>
      <c r="KKY76" s="684"/>
      <c r="KKZ76" s="684"/>
      <c r="KLA76" s="684"/>
      <c r="KLB76" s="684"/>
      <c r="KLC76" s="684"/>
      <c r="KLD76" s="684"/>
      <c r="KLE76" s="684"/>
      <c r="KLF76" s="684"/>
      <c r="KLG76" s="684"/>
      <c r="KLH76" s="684"/>
      <c r="KLI76" s="684"/>
      <c r="KLJ76" s="684"/>
      <c r="KLK76" s="684"/>
      <c r="KLL76" s="684"/>
      <c r="KLM76" s="684"/>
      <c r="KLN76" s="684"/>
      <c r="KLO76" s="684"/>
      <c r="KLP76" s="684"/>
      <c r="KLQ76" s="684"/>
      <c r="KLR76" s="684"/>
      <c r="KLS76" s="684"/>
      <c r="KLT76" s="684"/>
      <c r="KLU76" s="684"/>
      <c r="KLV76" s="684"/>
      <c r="KLW76" s="684"/>
      <c r="KLX76" s="684"/>
      <c r="KLY76" s="684"/>
      <c r="KLZ76" s="684"/>
      <c r="KMA76" s="684"/>
      <c r="KMB76" s="684"/>
      <c r="KMC76" s="684"/>
      <c r="KMD76" s="684"/>
      <c r="KME76" s="684"/>
      <c r="KMF76" s="684"/>
      <c r="KMG76" s="684"/>
      <c r="KMH76" s="684"/>
      <c r="KMI76" s="684"/>
      <c r="KMJ76" s="684"/>
      <c r="KMK76" s="684"/>
      <c r="KML76" s="684"/>
      <c r="KMM76" s="684"/>
      <c r="KMN76" s="684"/>
      <c r="KMO76" s="684"/>
      <c r="KMP76" s="684"/>
      <c r="KMQ76" s="684"/>
      <c r="KMR76" s="684"/>
      <c r="KMS76" s="684"/>
      <c r="KMT76" s="684"/>
      <c r="KMU76" s="684"/>
      <c r="KMV76" s="684"/>
      <c r="KMW76" s="684"/>
      <c r="KMX76" s="684"/>
      <c r="KMY76" s="684"/>
      <c r="KMZ76" s="684"/>
      <c r="KNA76" s="684"/>
      <c r="KNB76" s="684"/>
      <c r="KNC76" s="684"/>
      <c r="KND76" s="684"/>
      <c r="KNE76" s="684"/>
      <c r="KNF76" s="684"/>
      <c r="KNG76" s="684"/>
      <c r="KNH76" s="684"/>
      <c r="KNI76" s="684"/>
      <c r="KNJ76" s="684"/>
      <c r="KNK76" s="684"/>
      <c r="KNL76" s="684"/>
      <c r="KNM76" s="684"/>
      <c r="KNN76" s="684"/>
      <c r="KNO76" s="684"/>
      <c r="KNP76" s="684"/>
      <c r="KNQ76" s="684"/>
      <c r="KNR76" s="684"/>
      <c r="KNS76" s="684"/>
      <c r="KNT76" s="684"/>
      <c r="KNU76" s="684"/>
      <c r="KNV76" s="684"/>
      <c r="KNW76" s="684"/>
      <c r="KNX76" s="684"/>
      <c r="KNY76" s="684"/>
      <c r="KNZ76" s="684"/>
      <c r="KOA76" s="684"/>
      <c r="KOB76" s="684"/>
      <c r="KOC76" s="684"/>
      <c r="KOD76" s="684"/>
      <c r="KOE76" s="684"/>
      <c r="KOF76" s="684"/>
      <c r="KOG76" s="684"/>
      <c r="KOH76" s="684"/>
      <c r="KOI76" s="684"/>
      <c r="KOJ76" s="684"/>
      <c r="KOK76" s="684"/>
      <c r="KOL76" s="684"/>
      <c r="KOM76" s="684"/>
      <c r="KON76" s="684"/>
      <c r="KOO76" s="684"/>
      <c r="KOP76" s="684"/>
      <c r="KOQ76" s="684"/>
      <c r="KOR76" s="684"/>
      <c r="KOS76" s="684"/>
      <c r="KOT76" s="684"/>
      <c r="KOU76" s="684"/>
      <c r="KOV76" s="684"/>
      <c r="KOW76" s="684"/>
      <c r="KOX76" s="684"/>
      <c r="KOY76" s="684"/>
      <c r="KOZ76" s="684"/>
      <c r="KPA76" s="684"/>
      <c r="KPB76" s="684"/>
      <c r="KPC76" s="684"/>
      <c r="KPD76" s="684"/>
      <c r="KPE76" s="684"/>
      <c r="KPF76" s="684"/>
      <c r="KPG76" s="684"/>
      <c r="KPH76" s="684"/>
      <c r="KPI76" s="684"/>
      <c r="KPJ76" s="684"/>
      <c r="KPK76" s="684"/>
      <c r="KPL76" s="684"/>
      <c r="KPM76" s="684"/>
      <c r="KPN76" s="684"/>
      <c r="KPO76" s="684"/>
      <c r="KPP76" s="684"/>
      <c r="KPQ76" s="684"/>
      <c r="KPR76" s="684"/>
      <c r="KPS76" s="684"/>
      <c r="KPT76" s="684"/>
      <c r="KPU76" s="684"/>
      <c r="KPV76" s="684"/>
      <c r="KPW76" s="684"/>
      <c r="KPX76" s="684"/>
      <c r="KPY76" s="684"/>
      <c r="KPZ76" s="684"/>
      <c r="KQA76" s="684"/>
      <c r="KQB76" s="684"/>
      <c r="KQC76" s="684"/>
      <c r="KQD76" s="684"/>
      <c r="KQE76" s="684"/>
      <c r="KQF76" s="684"/>
      <c r="KQG76" s="684"/>
      <c r="KQH76" s="684"/>
      <c r="KQI76" s="684"/>
      <c r="KQJ76" s="684"/>
      <c r="KQK76" s="684"/>
      <c r="KQL76" s="684"/>
      <c r="KQM76" s="684"/>
      <c r="KQN76" s="684"/>
      <c r="KQO76" s="684"/>
      <c r="KQP76" s="684"/>
      <c r="KQQ76" s="684"/>
      <c r="KQR76" s="684"/>
      <c r="KQS76" s="684"/>
      <c r="KQT76" s="684"/>
      <c r="KQU76" s="684"/>
      <c r="KQV76" s="684"/>
      <c r="KQW76" s="684"/>
      <c r="KQX76" s="684"/>
      <c r="KQY76" s="684"/>
      <c r="KQZ76" s="684"/>
      <c r="KRA76" s="684"/>
      <c r="KRB76" s="684"/>
      <c r="KRC76" s="684"/>
      <c r="KRD76" s="684"/>
      <c r="KRE76" s="684"/>
      <c r="KRF76" s="684"/>
      <c r="KRG76" s="684"/>
      <c r="KRH76" s="684"/>
      <c r="KRI76" s="684"/>
      <c r="KRJ76" s="684"/>
      <c r="KRK76" s="684"/>
      <c r="KRL76" s="684"/>
      <c r="KRM76" s="684"/>
      <c r="KRN76" s="684"/>
      <c r="KRO76" s="684"/>
      <c r="KRP76" s="684"/>
      <c r="KRQ76" s="684"/>
      <c r="KRR76" s="684"/>
      <c r="KRS76" s="684"/>
      <c r="KRT76" s="684"/>
      <c r="KRU76" s="684"/>
      <c r="KRV76" s="684"/>
      <c r="KRW76" s="684"/>
      <c r="KRX76" s="684"/>
      <c r="KRY76" s="684"/>
      <c r="KRZ76" s="684"/>
      <c r="KSA76" s="684"/>
      <c r="KSB76" s="684"/>
      <c r="KSC76" s="684"/>
      <c r="KSD76" s="684"/>
      <c r="KSE76" s="684"/>
      <c r="KSF76" s="684"/>
      <c r="KSG76" s="684"/>
      <c r="KSH76" s="684"/>
      <c r="KSI76" s="684"/>
      <c r="KSJ76" s="684"/>
      <c r="KSK76" s="684"/>
      <c r="KSL76" s="684"/>
      <c r="KSM76" s="684"/>
      <c r="KSN76" s="684"/>
      <c r="KSO76" s="684"/>
      <c r="KSP76" s="684"/>
      <c r="KSQ76" s="684"/>
      <c r="KSR76" s="684"/>
      <c r="KSS76" s="684"/>
      <c r="KST76" s="684"/>
      <c r="KSU76" s="684"/>
      <c r="KSV76" s="684"/>
      <c r="KSW76" s="684"/>
      <c r="KSX76" s="684"/>
      <c r="KSY76" s="684"/>
      <c r="KSZ76" s="684"/>
      <c r="KTA76" s="684"/>
      <c r="KTB76" s="684"/>
      <c r="KTC76" s="684"/>
      <c r="KTD76" s="684"/>
      <c r="KTE76" s="684"/>
      <c r="KTF76" s="684"/>
      <c r="KTG76" s="684"/>
      <c r="KTH76" s="684"/>
      <c r="KTI76" s="684"/>
      <c r="KTJ76" s="684"/>
      <c r="KTK76" s="684"/>
      <c r="KTL76" s="684"/>
      <c r="KTM76" s="684"/>
      <c r="KTN76" s="684"/>
      <c r="KTO76" s="684"/>
      <c r="KTP76" s="684"/>
      <c r="KTQ76" s="684"/>
      <c r="KTR76" s="684"/>
      <c r="KTS76" s="684"/>
      <c r="KTT76" s="684"/>
      <c r="KTU76" s="684"/>
      <c r="KTV76" s="684"/>
      <c r="KTW76" s="684"/>
      <c r="KTX76" s="684"/>
      <c r="KTY76" s="684"/>
      <c r="KTZ76" s="684"/>
      <c r="KUA76" s="684"/>
      <c r="KUB76" s="684"/>
      <c r="KUC76" s="684"/>
      <c r="KUD76" s="684"/>
      <c r="KUE76" s="684"/>
      <c r="KUF76" s="684"/>
      <c r="KUG76" s="684"/>
      <c r="KUH76" s="684"/>
      <c r="KUI76" s="684"/>
      <c r="KUJ76" s="684"/>
      <c r="KUK76" s="684"/>
      <c r="KUL76" s="684"/>
      <c r="KUM76" s="684"/>
      <c r="KUN76" s="684"/>
      <c r="KUO76" s="684"/>
      <c r="KUP76" s="684"/>
      <c r="KUQ76" s="684"/>
      <c r="KUR76" s="684"/>
      <c r="KUS76" s="684"/>
      <c r="KUT76" s="684"/>
      <c r="KUU76" s="684"/>
      <c r="KUV76" s="684"/>
      <c r="KUW76" s="684"/>
      <c r="KUX76" s="684"/>
      <c r="KUY76" s="684"/>
      <c r="KUZ76" s="684"/>
      <c r="KVA76" s="684"/>
      <c r="KVB76" s="684"/>
      <c r="KVC76" s="684"/>
      <c r="KVD76" s="684"/>
      <c r="KVE76" s="684"/>
      <c r="KVF76" s="684"/>
      <c r="KVG76" s="684"/>
      <c r="KVH76" s="684"/>
      <c r="KVI76" s="684"/>
      <c r="KVJ76" s="684"/>
      <c r="KVK76" s="684"/>
      <c r="KVL76" s="684"/>
      <c r="KVM76" s="684"/>
      <c r="KVN76" s="684"/>
      <c r="KVO76" s="684"/>
      <c r="KVP76" s="684"/>
      <c r="KVQ76" s="684"/>
      <c r="KVR76" s="684"/>
      <c r="KVS76" s="684"/>
      <c r="KVT76" s="684"/>
      <c r="KVU76" s="684"/>
      <c r="KVV76" s="684"/>
      <c r="KVW76" s="684"/>
      <c r="KVX76" s="684"/>
      <c r="KVY76" s="684"/>
      <c r="KVZ76" s="684"/>
      <c r="KWA76" s="684"/>
      <c r="KWB76" s="684"/>
      <c r="KWC76" s="684"/>
      <c r="KWD76" s="684"/>
      <c r="KWE76" s="684"/>
      <c r="KWF76" s="684"/>
      <c r="KWG76" s="684"/>
      <c r="KWH76" s="684"/>
      <c r="KWI76" s="684"/>
      <c r="KWJ76" s="684"/>
      <c r="KWK76" s="684"/>
      <c r="KWL76" s="684"/>
      <c r="KWM76" s="684"/>
      <c r="KWN76" s="684"/>
      <c r="KWO76" s="684"/>
      <c r="KWP76" s="684"/>
      <c r="KWQ76" s="684"/>
      <c r="KWR76" s="684"/>
      <c r="KWS76" s="684"/>
      <c r="KWT76" s="684"/>
      <c r="KWU76" s="684"/>
      <c r="KWV76" s="684"/>
      <c r="KWW76" s="684"/>
      <c r="KWX76" s="684"/>
      <c r="KWY76" s="684"/>
      <c r="KWZ76" s="684"/>
      <c r="KXA76" s="684"/>
      <c r="KXB76" s="684"/>
      <c r="KXC76" s="684"/>
      <c r="KXD76" s="684"/>
      <c r="KXE76" s="684"/>
      <c r="KXF76" s="684"/>
      <c r="KXG76" s="684"/>
      <c r="KXH76" s="684"/>
      <c r="KXI76" s="684"/>
      <c r="KXJ76" s="684"/>
      <c r="KXK76" s="684"/>
      <c r="KXL76" s="684"/>
      <c r="KXM76" s="684"/>
      <c r="KXN76" s="684"/>
      <c r="KXO76" s="684"/>
      <c r="KXP76" s="684"/>
      <c r="KXQ76" s="684"/>
      <c r="KXR76" s="684"/>
      <c r="KXS76" s="684"/>
      <c r="KXT76" s="684"/>
      <c r="KXU76" s="684"/>
      <c r="KXV76" s="684"/>
      <c r="KXW76" s="684"/>
      <c r="KXX76" s="684"/>
      <c r="KXY76" s="684"/>
      <c r="KXZ76" s="684"/>
      <c r="KYA76" s="684"/>
      <c r="KYB76" s="684"/>
      <c r="KYC76" s="684"/>
      <c r="KYD76" s="684"/>
      <c r="KYE76" s="684"/>
      <c r="KYF76" s="684"/>
      <c r="KYG76" s="684"/>
      <c r="KYH76" s="684"/>
      <c r="KYI76" s="684"/>
      <c r="KYJ76" s="684"/>
      <c r="KYK76" s="684"/>
      <c r="KYL76" s="684"/>
      <c r="KYM76" s="684"/>
      <c r="KYN76" s="684"/>
      <c r="KYO76" s="684"/>
      <c r="KYP76" s="684"/>
      <c r="KYQ76" s="684"/>
      <c r="KYR76" s="684"/>
      <c r="KYS76" s="684"/>
      <c r="KYT76" s="684"/>
      <c r="KYU76" s="684"/>
      <c r="KYV76" s="684"/>
      <c r="KYW76" s="684"/>
      <c r="KYX76" s="684"/>
      <c r="KYY76" s="684"/>
      <c r="KYZ76" s="684"/>
      <c r="KZA76" s="684"/>
      <c r="KZB76" s="684"/>
      <c r="KZC76" s="684"/>
      <c r="KZD76" s="684"/>
      <c r="KZE76" s="684"/>
      <c r="KZF76" s="684"/>
      <c r="KZG76" s="684"/>
      <c r="KZH76" s="684"/>
      <c r="KZI76" s="684"/>
      <c r="KZJ76" s="684"/>
      <c r="KZK76" s="684"/>
      <c r="KZL76" s="684"/>
      <c r="KZM76" s="684"/>
      <c r="KZN76" s="684"/>
      <c r="KZO76" s="684"/>
      <c r="KZP76" s="684"/>
      <c r="KZQ76" s="684"/>
      <c r="KZR76" s="684"/>
      <c r="KZS76" s="684"/>
      <c r="KZT76" s="684"/>
      <c r="KZU76" s="684"/>
      <c r="KZV76" s="684"/>
      <c r="KZW76" s="684"/>
      <c r="KZX76" s="684"/>
      <c r="KZY76" s="684"/>
      <c r="KZZ76" s="684"/>
      <c r="LAA76" s="684"/>
      <c r="LAB76" s="684"/>
      <c r="LAC76" s="684"/>
      <c r="LAD76" s="684"/>
      <c r="LAE76" s="684"/>
      <c r="LAF76" s="684"/>
      <c r="LAG76" s="684"/>
      <c r="LAH76" s="684"/>
      <c r="LAI76" s="684"/>
      <c r="LAJ76" s="684"/>
      <c r="LAK76" s="684"/>
      <c r="LAL76" s="684"/>
      <c r="LAM76" s="684"/>
      <c r="LAN76" s="684"/>
      <c r="LAO76" s="684"/>
      <c r="LAP76" s="684"/>
      <c r="LAQ76" s="684"/>
      <c r="LAR76" s="684"/>
      <c r="LAS76" s="684"/>
      <c r="LAT76" s="684"/>
      <c r="LAU76" s="684"/>
      <c r="LAV76" s="684"/>
      <c r="LAW76" s="684"/>
      <c r="LAX76" s="684"/>
      <c r="LAY76" s="684"/>
      <c r="LAZ76" s="684"/>
      <c r="LBA76" s="684"/>
      <c r="LBB76" s="684"/>
      <c r="LBC76" s="684"/>
      <c r="LBD76" s="684"/>
      <c r="LBE76" s="684"/>
      <c r="LBF76" s="684"/>
      <c r="LBG76" s="684"/>
      <c r="LBH76" s="684"/>
      <c r="LBI76" s="684"/>
      <c r="LBJ76" s="684"/>
      <c r="LBK76" s="684"/>
      <c r="LBL76" s="684"/>
      <c r="LBM76" s="684"/>
      <c r="LBN76" s="684"/>
      <c r="LBO76" s="684"/>
      <c r="LBP76" s="684"/>
      <c r="LBQ76" s="684"/>
      <c r="LBR76" s="684"/>
      <c r="LBS76" s="684"/>
      <c r="LBT76" s="684"/>
      <c r="LBU76" s="684"/>
      <c r="LBV76" s="684"/>
      <c r="LBW76" s="684"/>
      <c r="LBX76" s="684"/>
      <c r="LBY76" s="684"/>
      <c r="LBZ76" s="684"/>
      <c r="LCA76" s="684"/>
      <c r="LCB76" s="684"/>
      <c r="LCC76" s="684"/>
      <c r="LCD76" s="684"/>
      <c r="LCE76" s="684"/>
      <c r="LCF76" s="684"/>
      <c r="LCG76" s="684"/>
      <c r="LCH76" s="684"/>
      <c r="LCI76" s="684"/>
      <c r="LCJ76" s="684"/>
      <c r="LCK76" s="684"/>
      <c r="LCL76" s="684"/>
      <c r="LCM76" s="684"/>
      <c r="LCN76" s="684"/>
      <c r="LCO76" s="684"/>
      <c r="LCP76" s="684"/>
      <c r="LCQ76" s="684"/>
      <c r="LCR76" s="684"/>
      <c r="LCS76" s="684"/>
      <c r="LCT76" s="684"/>
      <c r="LCU76" s="684"/>
      <c r="LCV76" s="684"/>
      <c r="LCW76" s="684"/>
      <c r="LCX76" s="684"/>
      <c r="LCY76" s="684"/>
      <c r="LCZ76" s="684"/>
      <c r="LDA76" s="684"/>
      <c r="LDB76" s="684"/>
      <c r="LDC76" s="684"/>
      <c r="LDD76" s="684"/>
      <c r="LDE76" s="684"/>
      <c r="LDF76" s="684"/>
      <c r="LDG76" s="684"/>
      <c r="LDH76" s="684"/>
      <c r="LDI76" s="684"/>
      <c r="LDJ76" s="684"/>
      <c r="LDK76" s="684"/>
      <c r="LDL76" s="684"/>
      <c r="LDM76" s="684"/>
      <c r="LDN76" s="684"/>
      <c r="LDO76" s="684"/>
      <c r="LDP76" s="684"/>
      <c r="LDQ76" s="684"/>
      <c r="LDR76" s="684"/>
      <c r="LDS76" s="684"/>
      <c r="LDT76" s="684"/>
      <c r="LDU76" s="684"/>
      <c r="LDV76" s="684"/>
      <c r="LDW76" s="684"/>
      <c r="LDX76" s="684"/>
      <c r="LDY76" s="684"/>
      <c r="LDZ76" s="684"/>
      <c r="LEA76" s="684"/>
      <c r="LEB76" s="684"/>
      <c r="LEC76" s="684"/>
      <c r="LED76" s="684"/>
      <c r="LEE76" s="684"/>
      <c r="LEF76" s="684"/>
      <c r="LEG76" s="684"/>
      <c r="LEH76" s="684"/>
      <c r="LEI76" s="684"/>
      <c r="LEJ76" s="684"/>
      <c r="LEK76" s="684"/>
      <c r="LEL76" s="684"/>
      <c r="LEM76" s="684"/>
      <c r="LEN76" s="684"/>
      <c r="LEO76" s="684"/>
      <c r="LEP76" s="684"/>
      <c r="LEQ76" s="684"/>
      <c r="LER76" s="684"/>
      <c r="LES76" s="684"/>
      <c r="LET76" s="684"/>
      <c r="LEU76" s="684"/>
      <c r="LEV76" s="684"/>
      <c r="LEW76" s="684"/>
      <c r="LEX76" s="684"/>
      <c r="LEY76" s="684"/>
      <c r="LEZ76" s="684"/>
      <c r="LFA76" s="684"/>
      <c r="LFB76" s="684"/>
      <c r="LFC76" s="684"/>
      <c r="LFD76" s="684"/>
      <c r="LFE76" s="684"/>
      <c r="LFF76" s="684"/>
      <c r="LFG76" s="684"/>
      <c r="LFH76" s="684"/>
      <c r="LFI76" s="684"/>
      <c r="LFJ76" s="684"/>
      <c r="LFK76" s="684"/>
      <c r="LFL76" s="684"/>
      <c r="LFM76" s="684"/>
      <c r="LFN76" s="684"/>
      <c r="LFO76" s="684"/>
      <c r="LFP76" s="684"/>
      <c r="LFQ76" s="684"/>
      <c r="LFR76" s="684"/>
      <c r="LFS76" s="684"/>
      <c r="LFT76" s="684"/>
      <c r="LFU76" s="684"/>
      <c r="LFV76" s="684"/>
      <c r="LFW76" s="684"/>
      <c r="LFX76" s="684"/>
      <c r="LFY76" s="684"/>
      <c r="LFZ76" s="684"/>
      <c r="LGA76" s="684"/>
      <c r="LGB76" s="684"/>
      <c r="LGC76" s="684"/>
      <c r="LGD76" s="684"/>
      <c r="LGE76" s="684"/>
      <c r="LGF76" s="684"/>
      <c r="LGG76" s="684"/>
      <c r="LGH76" s="684"/>
      <c r="LGI76" s="684"/>
      <c r="LGJ76" s="684"/>
      <c r="LGK76" s="684"/>
      <c r="LGL76" s="684"/>
      <c r="LGM76" s="684"/>
      <c r="LGN76" s="684"/>
      <c r="LGO76" s="684"/>
      <c r="LGP76" s="684"/>
      <c r="LGQ76" s="684"/>
      <c r="LGR76" s="684"/>
      <c r="LGS76" s="684"/>
      <c r="LGT76" s="684"/>
      <c r="LGU76" s="684"/>
      <c r="LGV76" s="684"/>
      <c r="LGW76" s="684"/>
      <c r="LGX76" s="684"/>
      <c r="LGY76" s="684"/>
      <c r="LGZ76" s="684"/>
      <c r="LHA76" s="684"/>
      <c r="LHB76" s="684"/>
      <c r="LHC76" s="684"/>
      <c r="LHD76" s="684"/>
      <c r="LHE76" s="684"/>
      <c r="LHF76" s="684"/>
      <c r="LHG76" s="684"/>
      <c r="LHH76" s="684"/>
      <c r="LHI76" s="684"/>
      <c r="LHJ76" s="684"/>
      <c r="LHK76" s="684"/>
      <c r="LHL76" s="684"/>
      <c r="LHM76" s="684"/>
      <c r="LHN76" s="684"/>
      <c r="LHO76" s="684"/>
      <c r="LHP76" s="684"/>
      <c r="LHQ76" s="684"/>
      <c r="LHR76" s="684"/>
      <c r="LHS76" s="684"/>
      <c r="LHT76" s="684"/>
      <c r="LHU76" s="684"/>
      <c r="LHV76" s="684"/>
      <c r="LHW76" s="684"/>
      <c r="LHX76" s="684"/>
      <c r="LHY76" s="684"/>
      <c r="LHZ76" s="684"/>
      <c r="LIA76" s="684"/>
      <c r="LIB76" s="684"/>
      <c r="LIC76" s="684"/>
      <c r="LID76" s="684"/>
      <c r="LIE76" s="684"/>
      <c r="LIF76" s="684"/>
      <c r="LIG76" s="684"/>
      <c r="LIH76" s="684"/>
      <c r="LII76" s="684"/>
      <c r="LIJ76" s="684"/>
      <c r="LIK76" s="684"/>
      <c r="LIL76" s="684"/>
      <c r="LIM76" s="684"/>
      <c r="LIN76" s="684"/>
      <c r="LIO76" s="684"/>
      <c r="LIP76" s="684"/>
      <c r="LIQ76" s="684"/>
      <c r="LIR76" s="684"/>
      <c r="LIS76" s="684"/>
      <c r="LIT76" s="684"/>
      <c r="LIU76" s="684"/>
      <c r="LIV76" s="684"/>
      <c r="LIW76" s="684"/>
      <c r="LIX76" s="684"/>
      <c r="LIY76" s="684"/>
      <c r="LIZ76" s="684"/>
      <c r="LJA76" s="684"/>
      <c r="LJB76" s="684"/>
      <c r="LJC76" s="684"/>
      <c r="LJD76" s="684"/>
      <c r="LJE76" s="684"/>
      <c r="LJF76" s="684"/>
      <c r="LJG76" s="684"/>
      <c r="LJH76" s="684"/>
      <c r="LJI76" s="684"/>
      <c r="LJJ76" s="684"/>
      <c r="LJK76" s="684"/>
      <c r="LJL76" s="684"/>
      <c r="LJM76" s="684"/>
      <c r="LJN76" s="684"/>
      <c r="LJO76" s="684"/>
      <c r="LJP76" s="684"/>
      <c r="LJQ76" s="684"/>
      <c r="LJR76" s="684"/>
      <c r="LJS76" s="684"/>
      <c r="LJT76" s="684"/>
      <c r="LJU76" s="684"/>
      <c r="LJV76" s="684"/>
      <c r="LJW76" s="684"/>
      <c r="LJX76" s="684"/>
      <c r="LJY76" s="684"/>
      <c r="LJZ76" s="684"/>
      <c r="LKA76" s="684"/>
      <c r="LKB76" s="684"/>
      <c r="LKC76" s="684"/>
      <c r="LKD76" s="684"/>
      <c r="LKE76" s="684"/>
      <c r="LKF76" s="684"/>
      <c r="LKG76" s="684"/>
      <c r="LKH76" s="684"/>
      <c r="LKI76" s="684"/>
      <c r="LKJ76" s="684"/>
      <c r="LKK76" s="684"/>
      <c r="LKL76" s="684"/>
      <c r="LKM76" s="684"/>
      <c r="LKN76" s="684"/>
      <c r="LKO76" s="684"/>
      <c r="LKP76" s="684"/>
      <c r="LKQ76" s="684"/>
      <c r="LKR76" s="684"/>
      <c r="LKS76" s="684"/>
      <c r="LKT76" s="684"/>
      <c r="LKU76" s="684"/>
      <c r="LKV76" s="684"/>
      <c r="LKW76" s="684"/>
      <c r="LKX76" s="684"/>
      <c r="LKY76" s="684"/>
      <c r="LKZ76" s="684"/>
      <c r="LLA76" s="684"/>
      <c r="LLB76" s="684"/>
      <c r="LLC76" s="684"/>
      <c r="LLD76" s="684"/>
      <c r="LLE76" s="684"/>
      <c r="LLF76" s="684"/>
      <c r="LLG76" s="684"/>
      <c r="LLH76" s="684"/>
      <c r="LLI76" s="684"/>
      <c r="LLJ76" s="684"/>
      <c r="LLK76" s="684"/>
      <c r="LLL76" s="684"/>
      <c r="LLM76" s="684"/>
      <c r="LLN76" s="684"/>
      <c r="LLO76" s="684"/>
      <c r="LLP76" s="684"/>
      <c r="LLQ76" s="684"/>
      <c r="LLR76" s="684"/>
      <c r="LLS76" s="684"/>
      <c r="LLT76" s="684"/>
      <c r="LLU76" s="684"/>
      <c r="LLV76" s="684"/>
      <c r="LLW76" s="684"/>
      <c r="LLX76" s="684"/>
      <c r="LLY76" s="684"/>
      <c r="LLZ76" s="684"/>
      <c r="LMA76" s="684"/>
      <c r="LMB76" s="684"/>
      <c r="LMC76" s="684"/>
      <c r="LMD76" s="684"/>
      <c r="LME76" s="684"/>
      <c r="LMF76" s="684"/>
      <c r="LMG76" s="684"/>
      <c r="LMH76" s="684"/>
      <c r="LMI76" s="684"/>
      <c r="LMJ76" s="684"/>
      <c r="LMK76" s="684"/>
      <c r="LML76" s="684"/>
      <c r="LMM76" s="684"/>
      <c r="LMN76" s="684"/>
      <c r="LMO76" s="684"/>
      <c r="LMP76" s="684"/>
      <c r="LMQ76" s="684"/>
      <c r="LMR76" s="684"/>
      <c r="LMS76" s="684"/>
      <c r="LMT76" s="684"/>
      <c r="LMU76" s="684"/>
      <c r="LMV76" s="684"/>
      <c r="LMW76" s="684"/>
      <c r="LMX76" s="684"/>
      <c r="LMY76" s="684"/>
      <c r="LMZ76" s="684"/>
      <c r="LNA76" s="684"/>
      <c r="LNB76" s="684"/>
      <c r="LNC76" s="684"/>
      <c r="LND76" s="684"/>
      <c r="LNE76" s="684"/>
      <c r="LNF76" s="684"/>
      <c r="LNG76" s="684"/>
      <c r="LNH76" s="684"/>
      <c r="LNI76" s="684"/>
      <c r="LNJ76" s="684"/>
      <c r="LNK76" s="684"/>
      <c r="LNL76" s="684"/>
      <c r="LNM76" s="684"/>
      <c r="LNN76" s="684"/>
      <c r="LNO76" s="684"/>
      <c r="LNP76" s="684"/>
      <c r="LNQ76" s="684"/>
      <c r="LNR76" s="684"/>
      <c r="LNS76" s="684"/>
      <c r="LNT76" s="684"/>
      <c r="LNU76" s="684"/>
      <c r="LNV76" s="684"/>
      <c r="LNW76" s="684"/>
      <c r="LNX76" s="684"/>
      <c r="LNY76" s="684"/>
      <c r="LNZ76" s="684"/>
      <c r="LOA76" s="684"/>
      <c r="LOB76" s="684"/>
      <c r="LOC76" s="684"/>
      <c r="LOD76" s="684"/>
      <c r="LOE76" s="684"/>
      <c r="LOF76" s="684"/>
      <c r="LOG76" s="684"/>
      <c r="LOH76" s="684"/>
      <c r="LOI76" s="684"/>
      <c r="LOJ76" s="684"/>
      <c r="LOK76" s="684"/>
      <c r="LOL76" s="684"/>
      <c r="LOM76" s="684"/>
      <c r="LON76" s="684"/>
      <c r="LOO76" s="684"/>
      <c r="LOP76" s="684"/>
      <c r="LOQ76" s="684"/>
      <c r="LOR76" s="684"/>
      <c r="LOS76" s="684"/>
      <c r="LOT76" s="684"/>
      <c r="LOU76" s="684"/>
      <c r="LOV76" s="684"/>
      <c r="LOW76" s="684"/>
      <c r="LOX76" s="684"/>
      <c r="LOY76" s="684"/>
      <c r="LOZ76" s="684"/>
      <c r="LPA76" s="684"/>
      <c r="LPB76" s="684"/>
      <c r="LPC76" s="684"/>
      <c r="LPD76" s="684"/>
      <c r="LPE76" s="684"/>
      <c r="LPF76" s="684"/>
      <c r="LPG76" s="684"/>
      <c r="LPH76" s="684"/>
      <c r="LPI76" s="684"/>
      <c r="LPJ76" s="684"/>
      <c r="LPK76" s="684"/>
      <c r="LPL76" s="684"/>
      <c r="LPM76" s="684"/>
      <c r="LPN76" s="684"/>
      <c r="LPO76" s="684"/>
      <c r="LPP76" s="684"/>
      <c r="LPQ76" s="684"/>
      <c r="LPR76" s="684"/>
      <c r="LPS76" s="684"/>
      <c r="LPT76" s="684"/>
      <c r="LPU76" s="684"/>
      <c r="LPV76" s="684"/>
      <c r="LPW76" s="684"/>
      <c r="LPX76" s="684"/>
      <c r="LPY76" s="684"/>
      <c r="LPZ76" s="684"/>
      <c r="LQA76" s="684"/>
      <c r="LQB76" s="684"/>
      <c r="LQC76" s="684"/>
      <c r="LQD76" s="684"/>
      <c r="LQE76" s="684"/>
      <c r="LQF76" s="684"/>
      <c r="LQG76" s="684"/>
      <c r="LQH76" s="684"/>
      <c r="LQI76" s="684"/>
      <c r="LQJ76" s="684"/>
      <c r="LQK76" s="684"/>
      <c r="LQL76" s="684"/>
      <c r="LQM76" s="684"/>
      <c r="LQN76" s="684"/>
      <c r="LQO76" s="684"/>
      <c r="LQP76" s="684"/>
      <c r="LQQ76" s="684"/>
      <c r="LQR76" s="684"/>
      <c r="LQS76" s="684"/>
      <c r="LQT76" s="684"/>
      <c r="LQU76" s="684"/>
      <c r="LQV76" s="684"/>
      <c r="LQW76" s="684"/>
      <c r="LQX76" s="684"/>
      <c r="LQY76" s="684"/>
      <c r="LQZ76" s="684"/>
      <c r="LRA76" s="684"/>
      <c r="LRB76" s="684"/>
      <c r="LRC76" s="684"/>
      <c r="LRD76" s="684"/>
      <c r="LRE76" s="684"/>
      <c r="LRF76" s="684"/>
      <c r="LRG76" s="684"/>
      <c r="LRH76" s="684"/>
      <c r="LRI76" s="684"/>
      <c r="LRJ76" s="684"/>
      <c r="LRK76" s="684"/>
      <c r="LRL76" s="684"/>
      <c r="LRM76" s="684"/>
      <c r="LRN76" s="684"/>
      <c r="LRO76" s="684"/>
      <c r="LRP76" s="684"/>
      <c r="LRQ76" s="684"/>
      <c r="LRR76" s="684"/>
      <c r="LRS76" s="684"/>
      <c r="LRT76" s="684"/>
      <c r="LRU76" s="684"/>
      <c r="LRV76" s="684"/>
      <c r="LRW76" s="684"/>
      <c r="LRX76" s="684"/>
      <c r="LRY76" s="684"/>
      <c r="LRZ76" s="684"/>
      <c r="LSA76" s="684"/>
      <c r="LSB76" s="684"/>
      <c r="LSC76" s="684"/>
      <c r="LSD76" s="684"/>
      <c r="LSE76" s="684"/>
      <c r="LSF76" s="684"/>
      <c r="LSG76" s="684"/>
      <c r="LSH76" s="684"/>
      <c r="LSI76" s="684"/>
      <c r="LSJ76" s="684"/>
      <c r="LSK76" s="684"/>
      <c r="LSL76" s="684"/>
      <c r="LSM76" s="684"/>
      <c r="LSN76" s="684"/>
      <c r="LSO76" s="684"/>
      <c r="LSP76" s="684"/>
      <c r="LSQ76" s="684"/>
      <c r="LSR76" s="684"/>
      <c r="LSS76" s="684"/>
      <c r="LST76" s="684"/>
      <c r="LSU76" s="684"/>
      <c r="LSV76" s="684"/>
      <c r="LSW76" s="684"/>
      <c r="LSX76" s="684"/>
      <c r="LSY76" s="684"/>
      <c r="LSZ76" s="684"/>
      <c r="LTA76" s="684"/>
      <c r="LTB76" s="684"/>
      <c r="LTC76" s="684"/>
      <c r="LTD76" s="684"/>
      <c r="LTE76" s="684"/>
      <c r="LTF76" s="684"/>
      <c r="LTG76" s="684"/>
      <c r="LTH76" s="684"/>
      <c r="LTI76" s="684"/>
      <c r="LTJ76" s="684"/>
      <c r="LTK76" s="684"/>
      <c r="LTL76" s="684"/>
      <c r="LTM76" s="684"/>
      <c r="LTN76" s="684"/>
      <c r="LTO76" s="684"/>
      <c r="LTP76" s="684"/>
      <c r="LTQ76" s="684"/>
      <c r="LTR76" s="684"/>
      <c r="LTS76" s="684"/>
      <c r="LTT76" s="684"/>
      <c r="LTU76" s="684"/>
      <c r="LTV76" s="684"/>
      <c r="LTW76" s="684"/>
      <c r="LTX76" s="684"/>
      <c r="LTY76" s="684"/>
      <c r="LTZ76" s="684"/>
      <c r="LUA76" s="684"/>
      <c r="LUB76" s="684"/>
      <c r="LUC76" s="684"/>
      <c r="LUD76" s="684"/>
      <c r="LUE76" s="684"/>
      <c r="LUF76" s="684"/>
      <c r="LUG76" s="684"/>
      <c r="LUH76" s="684"/>
      <c r="LUI76" s="684"/>
      <c r="LUJ76" s="684"/>
      <c r="LUK76" s="684"/>
      <c r="LUL76" s="684"/>
      <c r="LUM76" s="684"/>
      <c r="LUN76" s="684"/>
      <c r="LUO76" s="684"/>
      <c r="LUP76" s="684"/>
      <c r="LUQ76" s="684"/>
      <c r="LUR76" s="684"/>
      <c r="LUS76" s="684"/>
      <c r="LUT76" s="684"/>
      <c r="LUU76" s="684"/>
      <c r="LUV76" s="684"/>
      <c r="LUW76" s="684"/>
      <c r="LUX76" s="684"/>
      <c r="LUY76" s="684"/>
      <c r="LUZ76" s="684"/>
      <c r="LVA76" s="684"/>
      <c r="LVB76" s="684"/>
      <c r="LVC76" s="684"/>
      <c r="LVD76" s="684"/>
      <c r="LVE76" s="684"/>
      <c r="LVF76" s="684"/>
      <c r="LVG76" s="684"/>
      <c r="LVH76" s="684"/>
      <c r="LVI76" s="684"/>
      <c r="LVJ76" s="684"/>
      <c r="LVK76" s="684"/>
      <c r="LVL76" s="684"/>
      <c r="LVM76" s="684"/>
      <c r="LVN76" s="684"/>
      <c r="LVO76" s="684"/>
      <c r="LVP76" s="684"/>
      <c r="LVQ76" s="684"/>
      <c r="LVR76" s="684"/>
      <c r="LVS76" s="684"/>
      <c r="LVT76" s="684"/>
      <c r="LVU76" s="684"/>
      <c r="LVV76" s="684"/>
      <c r="LVW76" s="684"/>
      <c r="LVX76" s="684"/>
      <c r="LVY76" s="684"/>
      <c r="LVZ76" s="684"/>
      <c r="LWA76" s="684"/>
      <c r="LWB76" s="684"/>
      <c r="LWC76" s="684"/>
      <c r="LWD76" s="684"/>
      <c r="LWE76" s="684"/>
      <c r="LWF76" s="684"/>
      <c r="LWG76" s="684"/>
      <c r="LWH76" s="684"/>
      <c r="LWI76" s="684"/>
      <c r="LWJ76" s="684"/>
      <c r="LWK76" s="684"/>
      <c r="LWL76" s="684"/>
      <c r="LWM76" s="684"/>
      <c r="LWN76" s="684"/>
      <c r="LWO76" s="684"/>
      <c r="LWP76" s="684"/>
      <c r="LWQ76" s="684"/>
      <c r="LWR76" s="684"/>
      <c r="LWS76" s="684"/>
      <c r="LWT76" s="684"/>
      <c r="LWU76" s="684"/>
      <c r="LWV76" s="684"/>
      <c r="LWW76" s="684"/>
      <c r="LWX76" s="684"/>
      <c r="LWY76" s="684"/>
      <c r="LWZ76" s="684"/>
      <c r="LXA76" s="684"/>
      <c r="LXB76" s="684"/>
      <c r="LXC76" s="684"/>
      <c r="LXD76" s="684"/>
      <c r="LXE76" s="684"/>
      <c r="LXF76" s="684"/>
      <c r="LXG76" s="684"/>
      <c r="LXH76" s="684"/>
      <c r="LXI76" s="684"/>
      <c r="LXJ76" s="684"/>
      <c r="LXK76" s="684"/>
      <c r="LXL76" s="684"/>
      <c r="LXM76" s="684"/>
      <c r="LXN76" s="684"/>
      <c r="LXO76" s="684"/>
      <c r="LXP76" s="684"/>
      <c r="LXQ76" s="684"/>
      <c r="LXR76" s="684"/>
      <c r="LXS76" s="684"/>
      <c r="LXT76" s="684"/>
      <c r="LXU76" s="684"/>
      <c r="LXV76" s="684"/>
      <c r="LXW76" s="684"/>
      <c r="LXX76" s="684"/>
      <c r="LXY76" s="684"/>
      <c r="LXZ76" s="684"/>
      <c r="LYA76" s="684"/>
      <c r="LYB76" s="684"/>
      <c r="LYC76" s="684"/>
      <c r="LYD76" s="684"/>
      <c r="LYE76" s="684"/>
      <c r="LYF76" s="684"/>
      <c r="LYG76" s="684"/>
      <c r="LYH76" s="684"/>
      <c r="LYI76" s="684"/>
      <c r="LYJ76" s="684"/>
      <c r="LYK76" s="684"/>
      <c r="LYL76" s="684"/>
      <c r="LYM76" s="684"/>
      <c r="LYN76" s="684"/>
      <c r="LYO76" s="684"/>
      <c r="LYP76" s="684"/>
      <c r="LYQ76" s="684"/>
      <c r="LYR76" s="684"/>
      <c r="LYS76" s="684"/>
      <c r="LYT76" s="684"/>
      <c r="LYU76" s="684"/>
      <c r="LYV76" s="684"/>
      <c r="LYW76" s="684"/>
      <c r="LYX76" s="684"/>
      <c r="LYY76" s="684"/>
      <c r="LYZ76" s="684"/>
      <c r="LZA76" s="684"/>
      <c r="LZB76" s="684"/>
      <c r="LZC76" s="684"/>
      <c r="LZD76" s="684"/>
      <c r="LZE76" s="684"/>
      <c r="LZF76" s="684"/>
      <c r="LZG76" s="684"/>
      <c r="LZH76" s="684"/>
      <c r="LZI76" s="684"/>
      <c r="LZJ76" s="684"/>
      <c r="LZK76" s="684"/>
      <c r="LZL76" s="684"/>
      <c r="LZM76" s="684"/>
      <c r="LZN76" s="684"/>
      <c r="LZO76" s="684"/>
      <c r="LZP76" s="684"/>
      <c r="LZQ76" s="684"/>
      <c r="LZR76" s="684"/>
      <c r="LZS76" s="684"/>
      <c r="LZT76" s="684"/>
      <c r="LZU76" s="684"/>
      <c r="LZV76" s="684"/>
      <c r="LZW76" s="684"/>
      <c r="LZX76" s="684"/>
      <c r="LZY76" s="684"/>
      <c r="LZZ76" s="684"/>
      <c r="MAA76" s="684"/>
      <c r="MAB76" s="684"/>
      <c r="MAC76" s="684"/>
      <c r="MAD76" s="684"/>
      <c r="MAE76" s="684"/>
      <c r="MAF76" s="684"/>
      <c r="MAG76" s="684"/>
      <c r="MAH76" s="684"/>
      <c r="MAI76" s="684"/>
      <c r="MAJ76" s="684"/>
      <c r="MAK76" s="684"/>
      <c r="MAL76" s="684"/>
      <c r="MAM76" s="684"/>
      <c r="MAN76" s="684"/>
      <c r="MAO76" s="684"/>
      <c r="MAP76" s="684"/>
      <c r="MAQ76" s="684"/>
      <c r="MAR76" s="684"/>
      <c r="MAS76" s="684"/>
      <c r="MAT76" s="684"/>
      <c r="MAU76" s="684"/>
      <c r="MAV76" s="684"/>
      <c r="MAW76" s="684"/>
      <c r="MAX76" s="684"/>
      <c r="MAY76" s="684"/>
      <c r="MAZ76" s="684"/>
      <c r="MBA76" s="684"/>
      <c r="MBB76" s="684"/>
      <c r="MBC76" s="684"/>
      <c r="MBD76" s="684"/>
      <c r="MBE76" s="684"/>
      <c r="MBF76" s="684"/>
      <c r="MBG76" s="684"/>
      <c r="MBH76" s="684"/>
      <c r="MBI76" s="684"/>
      <c r="MBJ76" s="684"/>
      <c r="MBK76" s="684"/>
      <c r="MBL76" s="684"/>
      <c r="MBM76" s="684"/>
      <c r="MBN76" s="684"/>
      <c r="MBO76" s="684"/>
      <c r="MBP76" s="684"/>
      <c r="MBQ76" s="684"/>
      <c r="MBR76" s="684"/>
      <c r="MBS76" s="684"/>
      <c r="MBT76" s="684"/>
      <c r="MBU76" s="684"/>
      <c r="MBV76" s="684"/>
      <c r="MBW76" s="684"/>
      <c r="MBX76" s="684"/>
      <c r="MBY76" s="684"/>
      <c r="MBZ76" s="684"/>
      <c r="MCA76" s="684"/>
      <c r="MCB76" s="684"/>
      <c r="MCC76" s="684"/>
      <c r="MCD76" s="684"/>
      <c r="MCE76" s="684"/>
      <c r="MCF76" s="684"/>
      <c r="MCG76" s="684"/>
      <c r="MCH76" s="684"/>
      <c r="MCI76" s="684"/>
      <c r="MCJ76" s="684"/>
      <c r="MCK76" s="684"/>
      <c r="MCL76" s="684"/>
      <c r="MCM76" s="684"/>
      <c r="MCN76" s="684"/>
      <c r="MCO76" s="684"/>
      <c r="MCP76" s="684"/>
      <c r="MCQ76" s="684"/>
      <c r="MCR76" s="684"/>
      <c r="MCS76" s="684"/>
      <c r="MCT76" s="684"/>
      <c r="MCU76" s="684"/>
      <c r="MCV76" s="684"/>
      <c r="MCW76" s="684"/>
      <c r="MCX76" s="684"/>
      <c r="MCY76" s="684"/>
      <c r="MCZ76" s="684"/>
      <c r="MDA76" s="684"/>
      <c r="MDB76" s="684"/>
      <c r="MDC76" s="684"/>
      <c r="MDD76" s="684"/>
      <c r="MDE76" s="684"/>
      <c r="MDF76" s="684"/>
      <c r="MDG76" s="684"/>
      <c r="MDH76" s="684"/>
      <c r="MDI76" s="684"/>
      <c r="MDJ76" s="684"/>
      <c r="MDK76" s="684"/>
      <c r="MDL76" s="684"/>
      <c r="MDM76" s="684"/>
      <c r="MDN76" s="684"/>
      <c r="MDO76" s="684"/>
      <c r="MDP76" s="684"/>
      <c r="MDQ76" s="684"/>
      <c r="MDR76" s="684"/>
      <c r="MDS76" s="684"/>
      <c r="MDT76" s="684"/>
      <c r="MDU76" s="684"/>
      <c r="MDV76" s="684"/>
      <c r="MDW76" s="684"/>
      <c r="MDX76" s="684"/>
      <c r="MDY76" s="684"/>
      <c r="MDZ76" s="684"/>
      <c r="MEA76" s="684"/>
      <c r="MEB76" s="684"/>
      <c r="MEC76" s="684"/>
      <c r="MED76" s="684"/>
      <c r="MEE76" s="684"/>
      <c r="MEF76" s="684"/>
      <c r="MEG76" s="684"/>
      <c r="MEH76" s="684"/>
      <c r="MEI76" s="684"/>
      <c r="MEJ76" s="684"/>
      <c r="MEK76" s="684"/>
      <c r="MEL76" s="684"/>
      <c r="MEM76" s="684"/>
      <c r="MEN76" s="684"/>
      <c r="MEO76" s="684"/>
      <c r="MEP76" s="684"/>
      <c r="MEQ76" s="684"/>
      <c r="MER76" s="684"/>
      <c r="MES76" s="684"/>
      <c r="MET76" s="684"/>
      <c r="MEU76" s="684"/>
      <c r="MEV76" s="684"/>
      <c r="MEW76" s="684"/>
      <c r="MEX76" s="684"/>
      <c r="MEY76" s="684"/>
      <c r="MEZ76" s="684"/>
      <c r="MFA76" s="684"/>
      <c r="MFB76" s="684"/>
      <c r="MFC76" s="684"/>
      <c r="MFD76" s="684"/>
      <c r="MFE76" s="684"/>
      <c r="MFF76" s="684"/>
      <c r="MFG76" s="684"/>
      <c r="MFH76" s="684"/>
      <c r="MFI76" s="684"/>
      <c r="MFJ76" s="684"/>
      <c r="MFK76" s="684"/>
      <c r="MFL76" s="684"/>
      <c r="MFM76" s="684"/>
      <c r="MFN76" s="684"/>
      <c r="MFO76" s="684"/>
      <c r="MFP76" s="684"/>
      <c r="MFQ76" s="684"/>
      <c r="MFR76" s="684"/>
      <c r="MFS76" s="684"/>
      <c r="MFT76" s="684"/>
      <c r="MFU76" s="684"/>
      <c r="MFV76" s="684"/>
      <c r="MFW76" s="684"/>
      <c r="MFX76" s="684"/>
      <c r="MFY76" s="684"/>
      <c r="MFZ76" s="684"/>
      <c r="MGA76" s="684"/>
      <c r="MGB76" s="684"/>
      <c r="MGC76" s="684"/>
      <c r="MGD76" s="684"/>
      <c r="MGE76" s="684"/>
      <c r="MGF76" s="684"/>
      <c r="MGG76" s="684"/>
      <c r="MGH76" s="684"/>
      <c r="MGI76" s="684"/>
      <c r="MGJ76" s="684"/>
      <c r="MGK76" s="684"/>
      <c r="MGL76" s="684"/>
      <c r="MGM76" s="684"/>
      <c r="MGN76" s="684"/>
      <c r="MGO76" s="684"/>
      <c r="MGP76" s="684"/>
      <c r="MGQ76" s="684"/>
      <c r="MGR76" s="684"/>
      <c r="MGS76" s="684"/>
      <c r="MGT76" s="684"/>
      <c r="MGU76" s="684"/>
      <c r="MGV76" s="684"/>
      <c r="MGW76" s="684"/>
      <c r="MGX76" s="684"/>
      <c r="MGY76" s="684"/>
      <c r="MGZ76" s="684"/>
      <c r="MHA76" s="684"/>
      <c r="MHB76" s="684"/>
      <c r="MHC76" s="684"/>
      <c r="MHD76" s="684"/>
      <c r="MHE76" s="684"/>
      <c r="MHF76" s="684"/>
      <c r="MHG76" s="684"/>
      <c r="MHH76" s="684"/>
      <c r="MHI76" s="684"/>
      <c r="MHJ76" s="684"/>
      <c r="MHK76" s="684"/>
      <c r="MHL76" s="684"/>
      <c r="MHM76" s="684"/>
      <c r="MHN76" s="684"/>
      <c r="MHO76" s="684"/>
      <c r="MHP76" s="684"/>
      <c r="MHQ76" s="684"/>
      <c r="MHR76" s="684"/>
      <c r="MHS76" s="684"/>
      <c r="MHT76" s="684"/>
      <c r="MHU76" s="684"/>
      <c r="MHV76" s="684"/>
      <c r="MHW76" s="684"/>
      <c r="MHX76" s="684"/>
      <c r="MHY76" s="684"/>
      <c r="MHZ76" s="684"/>
      <c r="MIA76" s="684"/>
      <c r="MIB76" s="684"/>
      <c r="MIC76" s="684"/>
      <c r="MID76" s="684"/>
      <c r="MIE76" s="684"/>
      <c r="MIF76" s="684"/>
      <c r="MIG76" s="684"/>
      <c r="MIH76" s="684"/>
      <c r="MII76" s="684"/>
      <c r="MIJ76" s="684"/>
      <c r="MIK76" s="684"/>
      <c r="MIL76" s="684"/>
      <c r="MIM76" s="684"/>
      <c r="MIN76" s="684"/>
      <c r="MIO76" s="684"/>
      <c r="MIP76" s="684"/>
      <c r="MIQ76" s="684"/>
      <c r="MIR76" s="684"/>
      <c r="MIS76" s="684"/>
      <c r="MIT76" s="684"/>
      <c r="MIU76" s="684"/>
      <c r="MIV76" s="684"/>
      <c r="MIW76" s="684"/>
      <c r="MIX76" s="684"/>
      <c r="MIY76" s="684"/>
      <c r="MIZ76" s="684"/>
      <c r="MJA76" s="684"/>
      <c r="MJB76" s="684"/>
      <c r="MJC76" s="684"/>
      <c r="MJD76" s="684"/>
      <c r="MJE76" s="684"/>
      <c r="MJF76" s="684"/>
      <c r="MJG76" s="684"/>
      <c r="MJH76" s="684"/>
      <c r="MJI76" s="684"/>
      <c r="MJJ76" s="684"/>
      <c r="MJK76" s="684"/>
      <c r="MJL76" s="684"/>
      <c r="MJM76" s="684"/>
      <c r="MJN76" s="684"/>
      <c r="MJO76" s="684"/>
      <c r="MJP76" s="684"/>
      <c r="MJQ76" s="684"/>
      <c r="MJR76" s="684"/>
      <c r="MJS76" s="684"/>
      <c r="MJT76" s="684"/>
      <c r="MJU76" s="684"/>
      <c r="MJV76" s="684"/>
      <c r="MJW76" s="684"/>
      <c r="MJX76" s="684"/>
      <c r="MJY76" s="684"/>
      <c r="MJZ76" s="684"/>
      <c r="MKA76" s="684"/>
      <c r="MKB76" s="684"/>
      <c r="MKC76" s="684"/>
      <c r="MKD76" s="684"/>
      <c r="MKE76" s="684"/>
      <c r="MKF76" s="684"/>
      <c r="MKG76" s="684"/>
      <c r="MKH76" s="684"/>
      <c r="MKI76" s="684"/>
      <c r="MKJ76" s="684"/>
      <c r="MKK76" s="684"/>
      <c r="MKL76" s="684"/>
      <c r="MKM76" s="684"/>
      <c r="MKN76" s="684"/>
      <c r="MKO76" s="684"/>
      <c r="MKP76" s="684"/>
      <c r="MKQ76" s="684"/>
      <c r="MKR76" s="684"/>
      <c r="MKS76" s="684"/>
      <c r="MKT76" s="684"/>
      <c r="MKU76" s="684"/>
      <c r="MKV76" s="684"/>
      <c r="MKW76" s="684"/>
      <c r="MKX76" s="684"/>
      <c r="MKY76" s="684"/>
      <c r="MKZ76" s="684"/>
      <c r="MLA76" s="684"/>
      <c r="MLB76" s="684"/>
      <c r="MLC76" s="684"/>
      <c r="MLD76" s="684"/>
      <c r="MLE76" s="684"/>
      <c r="MLF76" s="684"/>
      <c r="MLG76" s="684"/>
      <c r="MLH76" s="684"/>
      <c r="MLI76" s="684"/>
      <c r="MLJ76" s="684"/>
      <c r="MLK76" s="684"/>
      <c r="MLL76" s="684"/>
      <c r="MLM76" s="684"/>
      <c r="MLN76" s="684"/>
      <c r="MLO76" s="684"/>
      <c r="MLP76" s="684"/>
      <c r="MLQ76" s="684"/>
      <c r="MLR76" s="684"/>
      <c r="MLS76" s="684"/>
      <c r="MLT76" s="684"/>
      <c r="MLU76" s="684"/>
      <c r="MLV76" s="684"/>
      <c r="MLW76" s="684"/>
      <c r="MLX76" s="684"/>
      <c r="MLY76" s="684"/>
      <c r="MLZ76" s="684"/>
      <c r="MMA76" s="684"/>
      <c r="MMB76" s="684"/>
      <c r="MMC76" s="684"/>
      <c r="MMD76" s="684"/>
      <c r="MME76" s="684"/>
      <c r="MMF76" s="684"/>
      <c r="MMG76" s="684"/>
      <c r="MMH76" s="684"/>
      <c r="MMI76" s="684"/>
      <c r="MMJ76" s="684"/>
      <c r="MMK76" s="684"/>
      <c r="MML76" s="684"/>
      <c r="MMM76" s="684"/>
      <c r="MMN76" s="684"/>
      <c r="MMO76" s="684"/>
      <c r="MMP76" s="684"/>
      <c r="MMQ76" s="684"/>
      <c r="MMR76" s="684"/>
      <c r="MMS76" s="684"/>
      <c r="MMT76" s="684"/>
      <c r="MMU76" s="684"/>
      <c r="MMV76" s="684"/>
      <c r="MMW76" s="684"/>
      <c r="MMX76" s="684"/>
      <c r="MMY76" s="684"/>
      <c r="MMZ76" s="684"/>
      <c r="MNA76" s="684"/>
      <c r="MNB76" s="684"/>
      <c r="MNC76" s="684"/>
      <c r="MND76" s="684"/>
      <c r="MNE76" s="684"/>
      <c r="MNF76" s="684"/>
      <c r="MNG76" s="684"/>
      <c r="MNH76" s="684"/>
      <c r="MNI76" s="684"/>
      <c r="MNJ76" s="684"/>
      <c r="MNK76" s="684"/>
      <c r="MNL76" s="684"/>
      <c r="MNM76" s="684"/>
      <c r="MNN76" s="684"/>
      <c r="MNO76" s="684"/>
      <c r="MNP76" s="684"/>
      <c r="MNQ76" s="684"/>
      <c r="MNR76" s="684"/>
      <c r="MNS76" s="684"/>
      <c r="MNT76" s="684"/>
      <c r="MNU76" s="684"/>
      <c r="MNV76" s="684"/>
      <c r="MNW76" s="684"/>
      <c r="MNX76" s="684"/>
      <c r="MNY76" s="684"/>
      <c r="MNZ76" s="684"/>
      <c r="MOA76" s="684"/>
      <c r="MOB76" s="684"/>
      <c r="MOC76" s="684"/>
      <c r="MOD76" s="684"/>
      <c r="MOE76" s="684"/>
      <c r="MOF76" s="684"/>
      <c r="MOG76" s="684"/>
      <c r="MOH76" s="684"/>
      <c r="MOI76" s="684"/>
      <c r="MOJ76" s="684"/>
      <c r="MOK76" s="684"/>
      <c r="MOL76" s="684"/>
      <c r="MOM76" s="684"/>
      <c r="MON76" s="684"/>
      <c r="MOO76" s="684"/>
      <c r="MOP76" s="684"/>
      <c r="MOQ76" s="684"/>
      <c r="MOR76" s="684"/>
      <c r="MOS76" s="684"/>
      <c r="MOT76" s="684"/>
      <c r="MOU76" s="684"/>
      <c r="MOV76" s="684"/>
      <c r="MOW76" s="684"/>
      <c r="MOX76" s="684"/>
      <c r="MOY76" s="684"/>
      <c r="MOZ76" s="684"/>
      <c r="MPA76" s="684"/>
      <c r="MPB76" s="684"/>
      <c r="MPC76" s="684"/>
      <c r="MPD76" s="684"/>
      <c r="MPE76" s="684"/>
      <c r="MPF76" s="684"/>
      <c r="MPG76" s="684"/>
      <c r="MPH76" s="684"/>
      <c r="MPI76" s="684"/>
      <c r="MPJ76" s="684"/>
      <c r="MPK76" s="684"/>
      <c r="MPL76" s="684"/>
      <c r="MPM76" s="684"/>
      <c r="MPN76" s="684"/>
      <c r="MPO76" s="684"/>
      <c r="MPP76" s="684"/>
      <c r="MPQ76" s="684"/>
      <c r="MPR76" s="684"/>
      <c r="MPS76" s="684"/>
      <c r="MPT76" s="684"/>
      <c r="MPU76" s="684"/>
      <c r="MPV76" s="684"/>
      <c r="MPW76" s="684"/>
      <c r="MPX76" s="684"/>
      <c r="MPY76" s="684"/>
      <c r="MPZ76" s="684"/>
      <c r="MQA76" s="684"/>
      <c r="MQB76" s="684"/>
      <c r="MQC76" s="684"/>
      <c r="MQD76" s="684"/>
      <c r="MQE76" s="684"/>
      <c r="MQF76" s="684"/>
      <c r="MQG76" s="684"/>
      <c r="MQH76" s="684"/>
      <c r="MQI76" s="684"/>
      <c r="MQJ76" s="684"/>
      <c r="MQK76" s="684"/>
      <c r="MQL76" s="684"/>
      <c r="MQM76" s="684"/>
      <c r="MQN76" s="684"/>
      <c r="MQO76" s="684"/>
      <c r="MQP76" s="684"/>
      <c r="MQQ76" s="684"/>
      <c r="MQR76" s="684"/>
      <c r="MQS76" s="684"/>
      <c r="MQT76" s="684"/>
      <c r="MQU76" s="684"/>
      <c r="MQV76" s="684"/>
      <c r="MQW76" s="684"/>
      <c r="MQX76" s="684"/>
      <c r="MQY76" s="684"/>
      <c r="MQZ76" s="684"/>
      <c r="MRA76" s="684"/>
      <c r="MRB76" s="684"/>
      <c r="MRC76" s="684"/>
      <c r="MRD76" s="684"/>
      <c r="MRE76" s="684"/>
      <c r="MRF76" s="684"/>
      <c r="MRG76" s="684"/>
      <c r="MRH76" s="684"/>
      <c r="MRI76" s="684"/>
      <c r="MRJ76" s="684"/>
      <c r="MRK76" s="684"/>
      <c r="MRL76" s="684"/>
      <c r="MRM76" s="684"/>
      <c r="MRN76" s="684"/>
      <c r="MRO76" s="684"/>
      <c r="MRP76" s="684"/>
      <c r="MRQ76" s="684"/>
      <c r="MRR76" s="684"/>
      <c r="MRS76" s="684"/>
      <c r="MRT76" s="684"/>
      <c r="MRU76" s="684"/>
      <c r="MRV76" s="684"/>
      <c r="MRW76" s="684"/>
      <c r="MRX76" s="684"/>
      <c r="MRY76" s="684"/>
      <c r="MRZ76" s="684"/>
      <c r="MSA76" s="684"/>
      <c r="MSB76" s="684"/>
      <c r="MSC76" s="684"/>
      <c r="MSD76" s="684"/>
      <c r="MSE76" s="684"/>
      <c r="MSF76" s="684"/>
      <c r="MSG76" s="684"/>
      <c r="MSH76" s="684"/>
      <c r="MSI76" s="684"/>
      <c r="MSJ76" s="684"/>
      <c r="MSK76" s="684"/>
      <c r="MSL76" s="684"/>
      <c r="MSM76" s="684"/>
      <c r="MSN76" s="684"/>
      <c r="MSO76" s="684"/>
      <c r="MSP76" s="684"/>
      <c r="MSQ76" s="684"/>
      <c r="MSR76" s="684"/>
      <c r="MSS76" s="684"/>
      <c r="MST76" s="684"/>
      <c r="MSU76" s="684"/>
      <c r="MSV76" s="684"/>
      <c r="MSW76" s="684"/>
      <c r="MSX76" s="684"/>
      <c r="MSY76" s="684"/>
      <c r="MSZ76" s="684"/>
      <c r="MTA76" s="684"/>
      <c r="MTB76" s="684"/>
      <c r="MTC76" s="684"/>
      <c r="MTD76" s="684"/>
      <c r="MTE76" s="684"/>
      <c r="MTF76" s="684"/>
      <c r="MTG76" s="684"/>
      <c r="MTH76" s="684"/>
      <c r="MTI76" s="684"/>
      <c r="MTJ76" s="684"/>
      <c r="MTK76" s="684"/>
      <c r="MTL76" s="684"/>
      <c r="MTM76" s="684"/>
      <c r="MTN76" s="684"/>
      <c r="MTO76" s="684"/>
      <c r="MTP76" s="684"/>
      <c r="MTQ76" s="684"/>
      <c r="MTR76" s="684"/>
      <c r="MTS76" s="684"/>
      <c r="MTT76" s="684"/>
      <c r="MTU76" s="684"/>
      <c r="MTV76" s="684"/>
      <c r="MTW76" s="684"/>
      <c r="MTX76" s="684"/>
      <c r="MTY76" s="684"/>
      <c r="MTZ76" s="684"/>
      <c r="MUA76" s="684"/>
      <c r="MUB76" s="684"/>
      <c r="MUC76" s="684"/>
      <c r="MUD76" s="684"/>
      <c r="MUE76" s="684"/>
      <c r="MUF76" s="684"/>
      <c r="MUG76" s="684"/>
      <c r="MUH76" s="684"/>
      <c r="MUI76" s="684"/>
      <c r="MUJ76" s="684"/>
      <c r="MUK76" s="684"/>
      <c r="MUL76" s="684"/>
      <c r="MUM76" s="684"/>
      <c r="MUN76" s="684"/>
      <c r="MUO76" s="684"/>
      <c r="MUP76" s="684"/>
      <c r="MUQ76" s="684"/>
      <c r="MUR76" s="684"/>
      <c r="MUS76" s="684"/>
      <c r="MUT76" s="684"/>
      <c r="MUU76" s="684"/>
      <c r="MUV76" s="684"/>
      <c r="MUW76" s="684"/>
      <c r="MUX76" s="684"/>
      <c r="MUY76" s="684"/>
      <c r="MUZ76" s="684"/>
      <c r="MVA76" s="684"/>
      <c r="MVB76" s="684"/>
      <c r="MVC76" s="684"/>
      <c r="MVD76" s="684"/>
      <c r="MVE76" s="684"/>
      <c r="MVF76" s="684"/>
      <c r="MVG76" s="684"/>
      <c r="MVH76" s="684"/>
      <c r="MVI76" s="684"/>
      <c r="MVJ76" s="684"/>
      <c r="MVK76" s="684"/>
      <c r="MVL76" s="684"/>
      <c r="MVM76" s="684"/>
      <c r="MVN76" s="684"/>
      <c r="MVO76" s="684"/>
      <c r="MVP76" s="684"/>
      <c r="MVQ76" s="684"/>
      <c r="MVR76" s="684"/>
      <c r="MVS76" s="684"/>
      <c r="MVT76" s="684"/>
      <c r="MVU76" s="684"/>
      <c r="MVV76" s="684"/>
      <c r="MVW76" s="684"/>
      <c r="MVX76" s="684"/>
      <c r="MVY76" s="684"/>
      <c r="MVZ76" s="684"/>
      <c r="MWA76" s="684"/>
      <c r="MWB76" s="684"/>
      <c r="MWC76" s="684"/>
      <c r="MWD76" s="684"/>
      <c r="MWE76" s="684"/>
      <c r="MWF76" s="684"/>
      <c r="MWG76" s="684"/>
      <c r="MWH76" s="684"/>
      <c r="MWI76" s="684"/>
      <c r="MWJ76" s="684"/>
      <c r="MWK76" s="684"/>
      <c r="MWL76" s="684"/>
      <c r="MWM76" s="684"/>
      <c r="MWN76" s="684"/>
      <c r="MWO76" s="684"/>
      <c r="MWP76" s="684"/>
      <c r="MWQ76" s="684"/>
      <c r="MWR76" s="684"/>
      <c r="MWS76" s="684"/>
      <c r="MWT76" s="684"/>
      <c r="MWU76" s="684"/>
      <c r="MWV76" s="684"/>
      <c r="MWW76" s="684"/>
      <c r="MWX76" s="684"/>
      <c r="MWY76" s="684"/>
      <c r="MWZ76" s="684"/>
      <c r="MXA76" s="684"/>
      <c r="MXB76" s="684"/>
      <c r="MXC76" s="684"/>
      <c r="MXD76" s="684"/>
      <c r="MXE76" s="684"/>
      <c r="MXF76" s="684"/>
      <c r="MXG76" s="684"/>
      <c r="MXH76" s="684"/>
      <c r="MXI76" s="684"/>
      <c r="MXJ76" s="684"/>
      <c r="MXK76" s="684"/>
      <c r="MXL76" s="684"/>
      <c r="MXM76" s="684"/>
      <c r="MXN76" s="684"/>
      <c r="MXO76" s="684"/>
      <c r="MXP76" s="684"/>
      <c r="MXQ76" s="684"/>
      <c r="MXR76" s="684"/>
      <c r="MXS76" s="684"/>
      <c r="MXT76" s="684"/>
      <c r="MXU76" s="684"/>
      <c r="MXV76" s="684"/>
      <c r="MXW76" s="684"/>
      <c r="MXX76" s="684"/>
      <c r="MXY76" s="684"/>
      <c r="MXZ76" s="684"/>
      <c r="MYA76" s="684"/>
      <c r="MYB76" s="684"/>
      <c r="MYC76" s="684"/>
      <c r="MYD76" s="684"/>
      <c r="MYE76" s="684"/>
      <c r="MYF76" s="684"/>
      <c r="MYG76" s="684"/>
      <c r="MYH76" s="684"/>
      <c r="MYI76" s="684"/>
      <c r="MYJ76" s="684"/>
      <c r="MYK76" s="684"/>
      <c r="MYL76" s="684"/>
      <c r="MYM76" s="684"/>
      <c r="MYN76" s="684"/>
      <c r="MYO76" s="684"/>
      <c r="MYP76" s="684"/>
      <c r="MYQ76" s="684"/>
      <c r="MYR76" s="684"/>
      <c r="MYS76" s="684"/>
      <c r="MYT76" s="684"/>
      <c r="MYU76" s="684"/>
      <c r="MYV76" s="684"/>
      <c r="MYW76" s="684"/>
      <c r="MYX76" s="684"/>
      <c r="MYY76" s="684"/>
      <c r="MYZ76" s="684"/>
      <c r="MZA76" s="684"/>
      <c r="MZB76" s="684"/>
      <c r="MZC76" s="684"/>
      <c r="MZD76" s="684"/>
      <c r="MZE76" s="684"/>
      <c r="MZF76" s="684"/>
      <c r="MZG76" s="684"/>
      <c r="MZH76" s="684"/>
      <c r="MZI76" s="684"/>
      <c r="MZJ76" s="684"/>
      <c r="MZK76" s="684"/>
      <c r="MZL76" s="684"/>
      <c r="MZM76" s="684"/>
      <c r="MZN76" s="684"/>
      <c r="MZO76" s="684"/>
      <c r="MZP76" s="684"/>
      <c r="MZQ76" s="684"/>
      <c r="MZR76" s="684"/>
      <c r="MZS76" s="684"/>
      <c r="MZT76" s="684"/>
      <c r="MZU76" s="684"/>
      <c r="MZV76" s="684"/>
      <c r="MZW76" s="684"/>
      <c r="MZX76" s="684"/>
      <c r="MZY76" s="684"/>
      <c r="MZZ76" s="684"/>
      <c r="NAA76" s="684"/>
      <c r="NAB76" s="684"/>
      <c r="NAC76" s="684"/>
      <c r="NAD76" s="684"/>
      <c r="NAE76" s="684"/>
      <c r="NAF76" s="684"/>
      <c r="NAG76" s="684"/>
      <c r="NAH76" s="684"/>
      <c r="NAI76" s="684"/>
      <c r="NAJ76" s="684"/>
      <c r="NAK76" s="684"/>
      <c r="NAL76" s="684"/>
      <c r="NAM76" s="684"/>
      <c r="NAN76" s="684"/>
      <c r="NAO76" s="684"/>
      <c r="NAP76" s="684"/>
      <c r="NAQ76" s="684"/>
      <c r="NAR76" s="684"/>
      <c r="NAS76" s="684"/>
      <c r="NAT76" s="684"/>
      <c r="NAU76" s="684"/>
      <c r="NAV76" s="684"/>
      <c r="NAW76" s="684"/>
      <c r="NAX76" s="684"/>
      <c r="NAY76" s="684"/>
      <c r="NAZ76" s="684"/>
      <c r="NBA76" s="684"/>
      <c r="NBB76" s="684"/>
      <c r="NBC76" s="684"/>
      <c r="NBD76" s="684"/>
      <c r="NBE76" s="684"/>
      <c r="NBF76" s="684"/>
      <c r="NBG76" s="684"/>
      <c r="NBH76" s="684"/>
      <c r="NBI76" s="684"/>
      <c r="NBJ76" s="684"/>
      <c r="NBK76" s="684"/>
      <c r="NBL76" s="684"/>
      <c r="NBM76" s="684"/>
      <c r="NBN76" s="684"/>
      <c r="NBO76" s="684"/>
      <c r="NBP76" s="684"/>
      <c r="NBQ76" s="684"/>
      <c r="NBR76" s="684"/>
      <c r="NBS76" s="684"/>
      <c r="NBT76" s="684"/>
      <c r="NBU76" s="684"/>
      <c r="NBV76" s="684"/>
      <c r="NBW76" s="684"/>
      <c r="NBX76" s="684"/>
      <c r="NBY76" s="684"/>
      <c r="NBZ76" s="684"/>
      <c r="NCA76" s="684"/>
      <c r="NCB76" s="684"/>
      <c r="NCC76" s="684"/>
      <c r="NCD76" s="684"/>
      <c r="NCE76" s="684"/>
      <c r="NCF76" s="684"/>
      <c r="NCG76" s="684"/>
      <c r="NCH76" s="684"/>
      <c r="NCI76" s="684"/>
      <c r="NCJ76" s="684"/>
      <c r="NCK76" s="684"/>
      <c r="NCL76" s="684"/>
      <c r="NCM76" s="684"/>
      <c r="NCN76" s="684"/>
      <c r="NCO76" s="684"/>
      <c r="NCP76" s="684"/>
      <c r="NCQ76" s="684"/>
      <c r="NCR76" s="684"/>
      <c r="NCS76" s="684"/>
      <c r="NCT76" s="684"/>
      <c r="NCU76" s="684"/>
      <c r="NCV76" s="684"/>
      <c r="NCW76" s="684"/>
      <c r="NCX76" s="684"/>
      <c r="NCY76" s="684"/>
      <c r="NCZ76" s="684"/>
      <c r="NDA76" s="684"/>
      <c r="NDB76" s="684"/>
      <c r="NDC76" s="684"/>
      <c r="NDD76" s="684"/>
      <c r="NDE76" s="684"/>
      <c r="NDF76" s="684"/>
      <c r="NDG76" s="684"/>
      <c r="NDH76" s="684"/>
      <c r="NDI76" s="684"/>
      <c r="NDJ76" s="684"/>
      <c r="NDK76" s="684"/>
      <c r="NDL76" s="684"/>
      <c r="NDM76" s="684"/>
      <c r="NDN76" s="684"/>
      <c r="NDO76" s="684"/>
      <c r="NDP76" s="684"/>
      <c r="NDQ76" s="684"/>
      <c r="NDR76" s="684"/>
      <c r="NDS76" s="684"/>
      <c r="NDT76" s="684"/>
      <c r="NDU76" s="684"/>
      <c r="NDV76" s="684"/>
      <c r="NDW76" s="684"/>
      <c r="NDX76" s="684"/>
      <c r="NDY76" s="684"/>
      <c r="NDZ76" s="684"/>
      <c r="NEA76" s="684"/>
      <c r="NEB76" s="684"/>
      <c r="NEC76" s="684"/>
      <c r="NED76" s="684"/>
      <c r="NEE76" s="684"/>
      <c r="NEF76" s="684"/>
      <c r="NEG76" s="684"/>
      <c r="NEH76" s="684"/>
      <c r="NEI76" s="684"/>
      <c r="NEJ76" s="684"/>
      <c r="NEK76" s="684"/>
      <c r="NEL76" s="684"/>
      <c r="NEM76" s="684"/>
      <c r="NEN76" s="684"/>
      <c r="NEO76" s="684"/>
      <c r="NEP76" s="684"/>
      <c r="NEQ76" s="684"/>
      <c r="NER76" s="684"/>
      <c r="NES76" s="684"/>
      <c r="NET76" s="684"/>
      <c r="NEU76" s="684"/>
      <c r="NEV76" s="684"/>
      <c r="NEW76" s="684"/>
      <c r="NEX76" s="684"/>
      <c r="NEY76" s="684"/>
      <c r="NEZ76" s="684"/>
      <c r="NFA76" s="684"/>
      <c r="NFB76" s="684"/>
      <c r="NFC76" s="684"/>
      <c r="NFD76" s="684"/>
      <c r="NFE76" s="684"/>
      <c r="NFF76" s="684"/>
      <c r="NFG76" s="684"/>
      <c r="NFH76" s="684"/>
      <c r="NFI76" s="684"/>
      <c r="NFJ76" s="684"/>
      <c r="NFK76" s="684"/>
      <c r="NFL76" s="684"/>
      <c r="NFM76" s="684"/>
      <c r="NFN76" s="684"/>
      <c r="NFO76" s="684"/>
      <c r="NFP76" s="684"/>
      <c r="NFQ76" s="684"/>
      <c r="NFR76" s="684"/>
      <c r="NFS76" s="684"/>
      <c r="NFT76" s="684"/>
      <c r="NFU76" s="684"/>
      <c r="NFV76" s="684"/>
      <c r="NFW76" s="684"/>
      <c r="NFX76" s="684"/>
      <c r="NFY76" s="684"/>
      <c r="NFZ76" s="684"/>
      <c r="NGA76" s="684"/>
      <c r="NGB76" s="684"/>
      <c r="NGC76" s="684"/>
      <c r="NGD76" s="684"/>
      <c r="NGE76" s="684"/>
      <c r="NGF76" s="684"/>
      <c r="NGG76" s="684"/>
      <c r="NGH76" s="684"/>
      <c r="NGI76" s="684"/>
      <c r="NGJ76" s="684"/>
      <c r="NGK76" s="684"/>
      <c r="NGL76" s="684"/>
      <c r="NGM76" s="684"/>
      <c r="NGN76" s="684"/>
      <c r="NGO76" s="684"/>
      <c r="NGP76" s="684"/>
      <c r="NGQ76" s="684"/>
      <c r="NGR76" s="684"/>
      <c r="NGS76" s="684"/>
      <c r="NGT76" s="684"/>
      <c r="NGU76" s="684"/>
      <c r="NGV76" s="684"/>
      <c r="NGW76" s="684"/>
      <c r="NGX76" s="684"/>
      <c r="NGY76" s="684"/>
      <c r="NGZ76" s="684"/>
      <c r="NHA76" s="684"/>
      <c r="NHB76" s="684"/>
      <c r="NHC76" s="684"/>
      <c r="NHD76" s="684"/>
      <c r="NHE76" s="684"/>
      <c r="NHF76" s="684"/>
      <c r="NHG76" s="684"/>
      <c r="NHH76" s="684"/>
      <c r="NHI76" s="684"/>
      <c r="NHJ76" s="684"/>
      <c r="NHK76" s="684"/>
      <c r="NHL76" s="684"/>
      <c r="NHM76" s="684"/>
      <c r="NHN76" s="684"/>
      <c r="NHO76" s="684"/>
      <c r="NHP76" s="684"/>
      <c r="NHQ76" s="684"/>
      <c r="NHR76" s="684"/>
      <c r="NHS76" s="684"/>
      <c r="NHT76" s="684"/>
      <c r="NHU76" s="684"/>
      <c r="NHV76" s="684"/>
      <c r="NHW76" s="684"/>
      <c r="NHX76" s="684"/>
      <c r="NHY76" s="684"/>
      <c r="NHZ76" s="684"/>
      <c r="NIA76" s="684"/>
      <c r="NIB76" s="684"/>
      <c r="NIC76" s="684"/>
      <c r="NID76" s="684"/>
      <c r="NIE76" s="684"/>
      <c r="NIF76" s="684"/>
      <c r="NIG76" s="684"/>
      <c r="NIH76" s="684"/>
      <c r="NII76" s="684"/>
      <c r="NIJ76" s="684"/>
      <c r="NIK76" s="684"/>
      <c r="NIL76" s="684"/>
      <c r="NIM76" s="684"/>
      <c r="NIN76" s="684"/>
      <c r="NIO76" s="684"/>
      <c r="NIP76" s="684"/>
      <c r="NIQ76" s="684"/>
      <c r="NIR76" s="684"/>
      <c r="NIS76" s="684"/>
      <c r="NIT76" s="684"/>
      <c r="NIU76" s="684"/>
      <c r="NIV76" s="684"/>
      <c r="NIW76" s="684"/>
      <c r="NIX76" s="684"/>
      <c r="NIY76" s="684"/>
      <c r="NIZ76" s="684"/>
      <c r="NJA76" s="684"/>
      <c r="NJB76" s="684"/>
      <c r="NJC76" s="684"/>
      <c r="NJD76" s="684"/>
      <c r="NJE76" s="684"/>
      <c r="NJF76" s="684"/>
      <c r="NJG76" s="684"/>
      <c r="NJH76" s="684"/>
      <c r="NJI76" s="684"/>
      <c r="NJJ76" s="684"/>
      <c r="NJK76" s="684"/>
      <c r="NJL76" s="684"/>
      <c r="NJM76" s="684"/>
      <c r="NJN76" s="684"/>
      <c r="NJO76" s="684"/>
      <c r="NJP76" s="684"/>
      <c r="NJQ76" s="684"/>
      <c r="NJR76" s="684"/>
      <c r="NJS76" s="684"/>
      <c r="NJT76" s="684"/>
      <c r="NJU76" s="684"/>
      <c r="NJV76" s="684"/>
      <c r="NJW76" s="684"/>
      <c r="NJX76" s="684"/>
      <c r="NJY76" s="684"/>
      <c r="NJZ76" s="684"/>
      <c r="NKA76" s="684"/>
      <c r="NKB76" s="684"/>
      <c r="NKC76" s="684"/>
      <c r="NKD76" s="684"/>
      <c r="NKE76" s="684"/>
      <c r="NKF76" s="684"/>
      <c r="NKG76" s="684"/>
      <c r="NKH76" s="684"/>
      <c r="NKI76" s="684"/>
      <c r="NKJ76" s="684"/>
      <c r="NKK76" s="684"/>
      <c r="NKL76" s="684"/>
      <c r="NKM76" s="684"/>
      <c r="NKN76" s="684"/>
      <c r="NKO76" s="684"/>
      <c r="NKP76" s="684"/>
      <c r="NKQ76" s="684"/>
      <c r="NKR76" s="684"/>
      <c r="NKS76" s="684"/>
      <c r="NKT76" s="684"/>
      <c r="NKU76" s="684"/>
      <c r="NKV76" s="684"/>
      <c r="NKW76" s="684"/>
      <c r="NKX76" s="684"/>
      <c r="NKY76" s="684"/>
      <c r="NKZ76" s="684"/>
      <c r="NLA76" s="684"/>
      <c r="NLB76" s="684"/>
      <c r="NLC76" s="684"/>
      <c r="NLD76" s="684"/>
      <c r="NLE76" s="684"/>
      <c r="NLF76" s="684"/>
      <c r="NLG76" s="684"/>
      <c r="NLH76" s="684"/>
      <c r="NLI76" s="684"/>
      <c r="NLJ76" s="684"/>
      <c r="NLK76" s="684"/>
      <c r="NLL76" s="684"/>
      <c r="NLM76" s="684"/>
      <c r="NLN76" s="684"/>
      <c r="NLO76" s="684"/>
      <c r="NLP76" s="684"/>
      <c r="NLQ76" s="684"/>
      <c r="NLR76" s="684"/>
      <c r="NLS76" s="684"/>
      <c r="NLT76" s="684"/>
      <c r="NLU76" s="684"/>
      <c r="NLV76" s="684"/>
      <c r="NLW76" s="684"/>
      <c r="NLX76" s="684"/>
      <c r="NLY76" s="684"/>
      <c r="NLZ76" s="684"/>
      <c r="NMA76" s="684"/>
      <c r="NMB76" s="684"/>
      <c r="NMC76" s="684"/>
      <c r="NMD76" s="684"/>
      <c r="NME76" s="684"/>
      <c r="NMF76" s="684"/>
      <c r="NMG76" s="684"/>
      <c r="NMH76" s="684"/>
      <c r="NMI76" s="684"/>
      <c r="NMJ76" s="684"/>
      <c r="NMK76" s="684"/>
      <c r="NML76" s="684"/>
      <c r="NMM76" s="684"/>
      <c r="NMN76" s="684"/>
      <c r="NMO76" s="684"/>
      <c r="NMP76" s="684"/>
      <c r="NMQ76" s="684"/>
      <c r="NMR76" s="684"/>
      <c r="NMS76" s="684"/>
      <c r="NMT76" s="684"/>
      <c r="NMU76" s="684"/>
      <c r="NMV76" s="684"/>
      <c r="NMW76" s="684"/>
      <c r="NMX76" s="684"/>
      <c r="NMY76" s="684"/>
      <c r="NMZ76" s="684"/>
      <c r="NNA76" s="684"/>
      <c r="NNB76" s="684"/>
      <c r="NNC76" s="684"/>
      <c r="NND76" s="684"/>
      <c r="NNE76" s="684"/>
      <c r="NNF76" s="684"/>
      <c r="NNG76" s="684"/>
      <c r="NNH76" s="684"/>
      <c r="NNI76" s="684"/>
      <c r="NNJ76" s="684"/>
      <c r="NNK76" s="684"/>
      <c r="NNL76" s="684"/>
      <c r="NNM76" s="684"/>
      <c r="NNN76" s="684"/>
      <c r="NNO76" s="684"/>
      <c r="NNP76" s="684"/>
      <c r="NNQ76" s="684"/>
      <c r="NNR76" s="684"/>
      <c r="NNS76" s="684"/>
      <c r="NNT76" s="684"/>
      <c r="NNU76" s="684"/>
      <c r="NNV76" s="684"/>
      <c r="NNW76" s="684"/>
      <c r="NNX76" s="684"/>
      <c r="NNY76" s="684"/>
      <c r="NNZ76" s="684"/>
      <c r="NOA76" s="684"/>
      <c r="NOB76" s="684"/>
      <c r="NOC76" s="684"/>
      <c r="NOD76" s="684"/>
      <c r="NOE76" s="684"/>
      <c r="NOF76" s="684"/>
      <c r="NOG76" s="684"/>
      <c r="NOH76" s="684"/>
      <c r="NOI76" s="684"/>
      <c r="NOJ76" s="684"/>
      <c r="NOK76" s="684"/>
      <c r="NOL76" s="684"/>
      <c r="NOM76" s="684"/>
      <c r="NON76" s="684"/>
      <c r="NOO76" s="684"/>
      <c r="NOP76" s="684"/>
      <c r="NOQ76" s="684"/>
      <c r="NOR76" s="684"/>
      <c r="NOS76" s="684"/>
      <c r="NOT76" s="684"/>
      <c r="NOU76" s="684"/>
      <c r="NOV76" s="684"/>
      <c r="NOW76" s="684"/>
      <c r="NOX76" s="684"/>
      <c r="NOY76" s="684"/>
      <c r="NOZ76" s="684"/>
      <c r="NPA76" s="684"/>
      <c r="NPB76" s="684"/>
      <c r="NPC76" s="684"/>
      <c r="NPD76" s="684"/>
      <c r="NPE76" s="684"/>
      <c r="NPF76" s="684"/>
      <c r="NPG76" s="684"/>
      <c r="NPH76" s="684"/>
      <c r="NPI76" s="684"/>
      <c r="NPJ76" s="684"/>
      <c r="NPK76" s="684"/>
      <c r="NPL76" s="684"/>
      <c r="NPM76" s="684"/>
      <c r="NPN76" s="684"/>
      <c r="NPO76" s="684"/>
      <c r="NPP76" s="684"/>
      <c r="NPQ76" s="684"/>
      <c r="NPR76" s="684"/>
      <c r="NPS76" s="684"/>
      <c r="NPT76" s="684"/>
      <c r="NPU76" s="684"/>
      <c r="NPV76" s="684"/>
      <c r="NPW76" s="684"/>
      <c r="NPX76" s="684"/>
      <c r="NPY76" s="684"/>
      <c r="NPZ76" s="684"/>
      <c r="NQA76" s="684"/>
      <c r="NQB76" s="684"/>
      <c r="NQC76" s="684"/>
      <c r="NQD76" s="684"/>
      <c r="NQE76" s="684"/>
      <c r="NQF76" s="684"/>
      <c r="NQG76" s="684"/>
      <c r="NQH76" s="684"/>
      <c r="NQI76" s="684"/>
      <c r="NQJ76" s="684"/>
      <c r="NQK76" s="684"/>
      <c r="NQL76" s="684"/>
      <c r="NQM76" s="684"/>
      <c r="NQN76" s="684"/>
      <c r="NQO76" s="684"/>
      <c r="NQP76" s="684"/>
      <c r="NQQ76" s="684"/>
      <c r="NQR76" s="684"/>
      <c r="NQS76" s="684"/>
      <c r="NQT76" s="684"/>
      <c r="NQU76" s="684"/>
      <c r="NQV76" s="684"/>
      <c r="NQW76" s="684"/>
      <c r="NQX76" s="684"/>
      <c r="NQY76" s="684"/>
      <c r="NQZ76" s="684"/>
      <c r="NRA76" s="684"/>
      <c r="NRB76" s="684"/>
      <c r="NRC76" s="684"/>
      <c r="NRD76" s="684"/>
      <c r="NRE76" s="684"/>
      <c r="NRF76" s="684"/>
      <c r="NRG76" s="684"/>
      <c r="NRH76" s="684"/>
      <c r="NRI76" s="684"/>
      <c r="NRJ76" s="684"/>
      <c r="NRK76" s="684"/>
      <c r="NRL76" s="684"/>
      <c r="NRM76" s="684"/>
      <c r="NRN76" s="684"/>
      <c r="NRO76" s="684"/>
      <c r="NRP76" s="684"/>
      <c r="NRQ76" s="684"/>
      <c r="NRR76" s="684"/>
      <c r="NRS76" s="684"/>
      <c r="NRT76" s="684"/>
      <c r="NRU76" s="684"/>
      <c r="NRV76" s="684"/>
      <c r="NRW76" s="684"/>
      <c r="NRX76" s="684"/>
      <c r="NRY76" s="684"/>
      <c r="NRZ76" s="684"/>
      <c r="NSA76" s="684"/>
      <c r="NSB76" s="684"/>
      <c r="NSC76" s="684"/>
      <c r="NSD76" s="684"/>
      <c r="NSE76" s="684"/>
      <c r="NSF76" s="684"/>
      <c r="NSG76" s="684"/>
      <c r="NSH76" s="684"/>
      <c r="NSI76" s="684"/>
      <c r="NSJ76" s="684"/>
      <c r="NSK76" s="684"/>
      <c r="NSL76" s="684"/>
      <c r="NSM76" s="684"/>
      <c r="NSN76" s="684"/>
      <c r="NSO76" s="684"/>
      <c r="NSP76" s="684"/>
      <c r="NSQ76" s="684"/>
      <c r="NSR76" s="684"/>
      <c r="NSS76" s="684"/>
      <c r="NST76" s="684"/>
      <c r="NSU76" s="684"/>
      <c r="NSV76" s="684"/>
      <c r="NSW76" s="684"/>
      <c r="NSX76" s="684"/>
      <c r="NSY76" s="684"/>
      <c r="NSZ76" s="684"/>
      <c r="NTA76" s="684"/>
      <c r="NTB76" s="684"/>
      <c r="NTC76" s="684"/>
      <c r="NTD76" s="684"/>
      <c r="NTE76" s="684"/>
      <c r="NTF76" s="684"/>
      <c r="NTG76" s="684"/>
      <c r="NTH76" s="684"/>
      <c r="NTI76" s="684"/>
      <c r="NTJ76" s="684"/>
      <c r="NTK76" s="684"/>
      <c r="NTL76" s="684"/>
      <c r="NTM76" s="684"/>
      <c r="NTN76" s="684"/>
      <c r="NTO76" s="684"/>
      <c r="NTP76" s="684"/>
      <c r="NTQ76" s="684"/>
      <c r="NTR76" s="684"/>
      <c r="NTS76" s="684"/>
      <c r="NTT76" s="684"/>
      <c r="NTU76" s="684"/>
      <c r="NTV76" s="684"/>
      <c r="NTW76" s="684"/>
      <c r="NTX76" s="684"/>
      <c r="NTY76" s="684"/>
      <c r="NTZ76" s="684"/>
      <c r="NUA76" s="684"/>
      <c r="NUB76" s="684"/>
      <c r="NUC76" s="684"/>
      <c r="NUD76" s="684"/>
      <c r="NUE76" s="684"/>
      <c r="NUF76" s="684"/>
      <c r="NUG76" s="684"/>
      <c r="NUH76" s="684"/>
      <c r="NUI76" s="684"/>
      <c r="NUJ76" s="684"/>
      <c r="NUK76" s="684"/>
      <c r="NUL76" s="684"/>
      <c r="NUM76" s="684"/>
      <c r="NUN76" s="684"/>
      <c r="NUO76" s="684"/>
      <c r="NUP76" s="684"/>
      <c r="NUQ76" s="684"/>
      <c r="NUR76" s="684"/>
      <c r="NUS76" s="684"/>
      <c r="NUT76" s="684"/>
      <c r="NUU76" s="684"/>
      <c r="NUV76" s="684"/>
      <c r="NUW76" s="684"/>
      <c r="NUX76" s="684"/>
      <c r="NUY76" s="684"/>
      <c r="NUZ76" s="684"/>
      <c r="NVA76" s="684"/>
      <c r="NVB76" s="684"/>
      <c r="NVC76" s="684"/>
      <c r="NVD76" s="684"/>
      <c r="NVE76" s="684"/>
      <c r="NVF76" s="684"/>
      <c r="NVG76" s="684"/>
      <c r="NVH76" s="684"/>
      <c r="NVI76" s="684"/>
      <c r="NVJ76" s="684"/>
      <c r="NVK76" s="684"/>
      <c r="NVL76" s="684"/>
      <c r="NVM76" s="684"/>
      <c r="NVN76" s="684"/>
      <c r="NVO76" s="684"/>
      <c r="NVP76" s="684"/>
      <c r="NVQ76" s="684"/>
      <c r="NVR76" s="684"/>
      <c r="NVS76" s="684"/>
      <c r="NVT76" s="684"/>
      <c r="NVU76" s="684"/>
      <c r="NVV76" s="684"/>
      <c r="NVW76" s="684"/>
      <c r="NVX76" s="684"/>
      <c r="NVY76" s="684"/>
      <c r="NVZ76" s="684"/>
      <c r="NWA76" s="684"/>
      <c r="NWB76" s="684"/>
      <c r="NWC76" s="684"/>
      <c r="NWD76" s="684"/>
      <c r="NWE76" s="684"/>
      <c r="NWF76" s="684"/>
      <c r="NWG76" s="684"/>
      <c r="NWH76" s="684"/>
      <c r="NWI76" s="684"/>
      <c r="NWJ76" s="684"/>
      <c r="NWK76" s="684"/>
      <c r="NWL76" s="684"/>
      <c r="NWM76" s="684"/>
      <c r="NWN76" s="684"/>
      <c r="NWO76" s="684"/>
      <c r="NWP76" s="684"/>
      <c r="NWQ76" s="684"/>
      <c r="NWR76" s="684"/>
      <c r="NWS76" s="684"/>
      <c r="NWT76" s="684"/>
      <c r="NWU76" s="684"/>
      <c r="NWV76" s="684"/>
      <c r="NWW76" s="684"/>
      <c r="NWX76" s="684"/>
      <c r="NWY76" s="684"/>
      <c r="NWZ76" s="684"/>
      <c r="NXA76" s="684"/>
      <c r="NXB76" s="684"/>
      <c r="NXC76" s="684"/>
      <c r="NXD76" s="684"/>
      <c r="NXE76" s="684"/>
      <c r="NXF76" s="684"/>
      <c r="NXG76" s="684"/>
      <c r="NXH76" s="684"/>
      <c r="NXI76" s="684"/>
      <c r="NXJ76" s="684"/>
      <c r="NXK76" s="684"/>
      <c r="NXL76" s="684"/>
      <c r="NXM76" s="684"/>
      <c r="NXN76" s="684"/>
      <c r="NXO76" s="684"/>
      <c r="NXP76" s="684"/>
      <c r="NXQ76" s="684"/>
      <c r="NXR76" s="684"/>
      <c r="NXS76" s="684"/>
      <c r="NXT76" s="684"/>
      <c r="NXU76" s="684"/>
      <c r="NXV76" s="684"/>
      <c r="NXW76" s="684"/>
      <c r="NXX76" s="684"/>
      <c r="NXY76" s="684"/>
      <c r="NXZ76" s="684"/>
      <c r="NYA76" s="684"/>
      <c r="NYB76" s="684"/>
      <c r="NYC76" s="684"/>
      <c r="NYD76" s="684"/>
      <c r="NYE76" s="684"/>
      <c r="NYF76" s="684"/>
      <c r="NYG76" s="684"/>
      <c r="NYH76" s="684"/>
      <c r="NYI76" s="684"/>
      <c r="NYJ76" s="684"/>
      <c r="NYK76" s="684"/>
      <c r="NYL76" s="684"/>
      <c r="NYM76" s="684"/>
      <c r="NYN76" s="684"/>
      <c r="NYO76" s="684"/>
      <c r="NYP76" s="684"/>
      <c r="NYQ76" s="684"/>
      <c r="NYR76" s="684"/>
      <c r="NYS76" s="684"/>
      <c r="NYT76" s="684"/>
      <c r="NYU76" s="684"/>
      <c r="NYV76" s="684"/>
      <c r="NYW76" s="684"/>
      <c r="NYX76" s="684"/>
      <c r="NYY76" s="684"/>
      <c r="NYZ76" s="684"/>
      <c r="NZA76" s="684"/>
      <c r="NZB76" s="684"/>
      <c r="NZC76" s="684"/>
      <c r="NZD76" s="684"/>
      <c r="NZE76" s="684"/>
      <c r="NZF76" s="684"/>
      <c r="NZG76" s="684"/>
      <c r="NZH76" s="684"/>
      <c r="NZI76" s="684"/>
      <c r="NZJ76" s="684"/>
      <c r="NZK76" s="684"/>
      <c r="NZL76" s="684"/>
      <c r="NZM76" s="684"/>
      <c r="NZN76" s="684"/>
      <c r="NZO76" s="684"/>
      <c r="NZP76" s="684"/>
      <c r="NZQ76" s="684"/>
      <c r="NZR76" s="684"/>
      <c r="NZS76" s="684"/>
      <c r="NZT76" s="684"/>
      <c r="NZU76" s="684"/>
      <c r="NZV76" s="684"/>
      <c r="NZW76" s="684"/>
      <c r="NZX76" s="684"/>
      <c r="NZY76" s="684"/>
      <c r="NZZ76" s="684"/>
      <c r="OAA76" s="684"/>
      <c r="OAB76" s="684"/>
      <c r="OAC76" s="684"/>
      <c r="OAD76" s="684"/>
      <c r="OAE76" s="684"/>
      <c r="OAF76" s="684"/>
      <c r="OAG76" s="684"/>
      <c r="OAH76" s="684"/>
      <c r="OAI76" s="684"/>
      <c r="OAJ76" s="684"/>
      <c r="OAK76" s="684"/>
      <c r="OAL76" s="684"/>
      <c r="OAM76" s="684"/>
      <c r="OAN76" s="684"/>
      <c r="OAO76" s="684"/>
      <c r="OAP76" s="684"/>
      <c r="OAQ76" s="684"/>
      <c r="OAR76" s="684"/>
      <c r="OAS76" s="684"/>
      <c r="OAT76" s="684"/>
      <c r="OAU76" s="684"/>
      <c r="OAV76" s="684"/>
      <c r="OAW76" s="684"/>
      <c r="OAX76" s="684"/>
      <c r="OAY76" s="684"/>
      <c r="OAZ76" s="684"/>
      <c r="OBA76" s="684"/>
      <c r="OBB76" s="684"/>
      <c r="OBC76" s="684"/>
      <c r="OBD76" s="684"/>
      <c r="OBE76" s="684"/>
      <c r="OBF76" s="684"/>
      <c r="OBG76" s="684"/>
      <c r="OBH76" s="684"/>
      <c r="OBI76" s="684"/>
      <c r="OBJ76" s="684"/>
      <c r="OBK76" s="684"/>
      <c r="OBL76" s="684"/>
      <c r="OBM76" s="684"/>
      <c r="OBN76" s="684"/>
      <c r="OBO76" s="684"/>
      <c r="OBP76" s="684"/>
      <c r="OBQ76" s="684"/>
      <c r="OBR76" s="684"/>
      <c r="OBS76" s="684"/>
      <c r="OBT76" s="684"/>
      <c r="OBU76" s="684"/>
      <c r="OBV76" s="684"/>
      <c r="OBW76" s="684"/>
      <c r="OBX76" s="684"/>
      <c r="OBY76" s="684"/>
      <c r="OBZ76" s="684"/>
      <c r="OCA76" s="684"/>
      <c r="OCB76" s="684"/>
      <c r="OCC76" s="684"/>
      <c r="OCD76" s="684"/>
      <c r="OCE76" s="684"/>
      <c r="OCF76" s="684"/>
      <c r="OCG76" s="684"/>
      <c r="OCH76" s="684"/>
      <c r="OCI76" s="684"/>
      <c r="OCJ76" s="684"/>
      <c r="OCK76" s="684"/>
      <c r="OCL76" s="684"/>
      <c r="OCM76" s="684"/>
      <c r="OCN76" s="684"/>
      <c r="OCO76" s="684"/>
      <c r="OCP76" s="684"/>
      <c r="OCQ76" s="684"/>
      <c r="OCR76" s="684"/>
      <c r="OCS76" s="684"/>
      <c r="OCT76" s="684"/>
      <c r="OCU76" s="684"/>
      <c r="OCV76" s="684"/>
      <c r="OCW76" s="684"/>
      <c r="OCX76" s="684"/>
      <c r="OCY76" s="684"/>
      <c r="OCZ76" s="684"/>
      <c r="ODA76" s="684"/>
      <c r="ODB76" s="684"/>
      <c r="ODC76" s="684"/>
      <c r="ODD76" s="684"/>
      <c r="ODE76" s="684"/>
      <c r="ODF76" s="684"/>
      <c r="ODG76" s="684"/>
      <c r="ODH76" s="684"/>
      <c r="ODI76" s="684"/>
      <c r="ODJ76" s="684"/>
      <c r="ODK76" s="684"/>
      <c r="ODL76" s="684"/>
      <c r="ODM76" s="684"/>
      <c r="ODN76" s="684"/>
      <c r="ODO76" s="684"/>
      <c r="ODP76" s="684"/>
      <c r="ODQ76" s="684"/>
      <c r="ODR76" s="684"/>
      <c r="ODS76" s="684"/>
      <c r="ODT76" s="684"/>
      <c r="ODU76" s="684"/>
      <c r="ODV76" s="684"/>
      <c r="ODW76" s="684"/>
      <c r="ODX76" s="684"/>
      <c r="ODY76" s="684"/>
      <c r="ODZ76" s="684"/>
      <c r="OEA76" s="684"/>
      <c r="OEB76" s="684"/>
      <c r="OEC76" s="684"/>
      <c r="OED76" s="684"/>
      <c r="OEE76" s="684"/>
      <c r="OEF76" s="684"/>
      <c r="OEG76" s="684"/>
      <c r="OEH76" s="684"/>
      <c r="OEI76" s="684"/>
      <c r="OEJ76" s="684"/>
      <c r="OEK76" s="684"/>
      <c r="OEL76" s="684"/>
      <c r="OEM76" s="684"/>
      <c r="OEN76" s="684"/>
      <c r="OEO76" s="684"/>
      <c r="OEP76" s="684"/>
      <c r="OEQ76" s="684"/>
      <c r="OER76" s="684"/>
      <c r="OES76" s="684"/>
      <c r="OET76" s="684"/>
      <c r="OEU76" s="684"/>
      <c r="OEV76" s="684"/>
      <c r="OEW76" s="684"/>
      <c r="OEX76" s="684"/>
      <c r="OEY76" s="684"/>
      <c r="OEZ76" s="684"/>
      <c r="OFA76" s="684"/>
      <c r="OFB76" s="684"/>
      <c r="OFC76" s="684"/>
      <c r="OFD76" s="684"/>
      <c r="OFE76" s="684"/>
      <c r="OFF76" s="684"/>
      <c r="OFG76" s="684"/>
      <c r="OFH76" s="684"/>
      <c r="OFI76" s="684"/>
      <c r="OFJ76" s="684"/>
      <c r="OFK76" s="684"/>
      <c r="OFL76" s="684"/>
      <c r="OFM76" s="684"/>
      <c r="OFN76" s="684"/>
      <c r="OFO76" s="684"/>
      <c r="OFP76" s="684"/>
      <c r="OFQ76" s="684"/>
      <c r="OFR76" s="684"/>
      <c r="OFS76" s="684"/>
      <c r="OFT76" s="684"/>
      <c r="OFU76" s="684"/>
      <c r="OFV76" s="684"/>
      <c r="OFW76" s="684"/>
      <c r="OFX76" s="684"/>
      <c r="OFY76" s="684"/>
      <c r="OFZ76" s="684"/>
      <c r="OGA76" s="684"/>
      <c r="OGB76" s="684"/>
      <c r="OGC76" s="684"/>
      <c r="OGD76" s="684"/>
      <c r="OGE76" s="684"/>
      <c r="OGF76" s="684"/>
      <c r="OGG76" s="684"/>
      <c r="OGH76" s="684"/>
      <c r="OGI76" s="684"/>
      <c r="OGJ76" s="684"/>
      <c r="OGK76" s="684"/>
      <c r="OGL76" s="684"/>
      <c r="OGM76" s="684"/>
      <c r="OGN76" s="684"/>
      <c r="OGO76" s="684"/>
      <c r="OGP76" s="684"/>
      <c r="OGQ76" s="684"/>
      <c r="OGR76" s="684"/>
      <c r="OGS76" s="684"/>
      <c r="OGT76" s="684"/>
      <c r="OGU76" s="684"/>
      <c r="OGV76" s="684"/>
      <c r="OGW76" s="684"/>
      <c r="OGX76" s="684"/>
      <c r="OGY76" s="684"/>
      <c r="OGZ76" s="684"/>
      <c r="OHA76" s="684"/>
      <c r="OHB76" s="684"/>
      <c r="OHC76" s="684"/>
      <c r="OHD76" s="684"/>
      <c r="OHE76" s="684"/>
      <c r="OHF76" s="684"/>
      <c r="OHG76" s="684"/>
      <c r="OHH76" s="684"/>
      <c r="OHI76" s="684"/>
      <c r="OHJ76" s="684"/>
      <c r="OHK76" s="684"/>
      <c r="OHL76" s="684"/>
      <c r="OHM76" s="684"/>
      <c r="OHN76" s="684"/>
      <c r="OHO76" s="684"/>
      <c r="OHP76" s="684"/>
      <c r="OHQ76" s="684"/>
      <c r="OHR76" s="684"/>
      <c r="OHS76" s="684"/>
      <c r="OHT76" s="684"/>
      <c r="OHU76" s="684"/>
      <c r="OHV76" s="684"/>
      <c r="OHW76" s="684"/>
      <c r="OHX76" s="684"/>
      <c r="OHY76" s="684"/>
      <c r="OHZ76" s="684"/>
      <c r="OIA76" s="684"/>
      <c r="OIB76" s="684"/>
      <c r="OIC76" s="684"/>
      <c r="OID76" s="684"/>
      <c r="OIE76" s="684"/>
      <c r="OIF76" s="684"/>
      <c r="OIG76" s="684"/>
      <c r="OIH76" s="684"/>
      <c r="OII76" s="684"/>
      <c r="OIJ76" s="684"/>
      <c r="OIK76" s="684"/>
      <c r="OIL76" s="684"/>
      <c r="OIM76" s="684"/>
      <c r="OIN76" s="684"/>
      <c r="OIO76" s="684"/>
      <c r="OIP76" s="684"/>
      <c r="OIQ76" s="684"/>
      <c r="OIR76" s="684"/>
      <c r="OIS76" s="684"/>
      <c r="OIT76" s="684"/>
      <c r="OIU76" s="684"/>
      <c r="OIV76" s="684"/>
      <c r="OIW76" s="684"/>
      <c r="OIX76" s="684"/>
      <c r="OIY76" s="684"/>
      <c r="OIZ76" s="684"/>
      <c r="OJA76" s="684"/>
      <c r="OJB76" s="684"/>
      <c r="OJC76" s="684"/>
      <c r="OJD76" s="684"/>
      <c r="OJE76" s="684"/>
      <c r="OJF76" s="684"/>
      <c r="OJG76" s="684"/>
      <c r="OJH76" s="684"/>
      <c r="OJI76" s="684"/>
      <c r="OJJ76" s="684"/>
      <c r="OJK76" s="684"/>
      <c r="OJL76" s="684"/>
      <c r="OJM76" s="684"/>
      <c r="OJN76" s="684"/>
      <c r="OJO76" s="684"/>
      <c r="OJP76" s="684"/>
      <c r="OJQ76" s="684"/>
      <c r="OJR76" s="684"/>
      <c r="OJS76" s="684"/>
      <c r="OJT76" s="684"/>
      <c r="OJU76" s="684"/>
      <c r="OJV76" s="684"/>
      <c r="OJW76" s="684"/>
      <c r="OJX76" s="684"/>
      <c r="OJY76" s="684"/>
      <c r="OJZ76" s="684"/>
      <c r="OKA76" s="684"/>
      <c r="OKB76" s="684"/>
      <c r="OKC76" s="684"/>
      <c r="OKD76" s="684"/>
      <c r="OKE76" s="684"/>
      <c r="OKF76" s="684"/>
      <c r="OKG76" s="684"/>
      <c r="OKH76" s="684"/>
      <c r="OKI76" s="684"/>
      <c r="OKJ76" s="684"/>
      <c r="OKK76" s="684"/>
      <c r="OKL76" s="684"/>
      <c r="OKM76" s="684"/>
      <c r="OKN76" s="684"/>
      <c r="OKO76" s="684"/>
      <c r="OKP76" s="684"/>
      <c r="OKQ76" s="684"/>
      <c r="OKR76" s="684"/>
      <c r="OKS76" s="684"/>
      <c r="OKT76" s="684"/>
      <c r="OKU76" s="684"/>
      <c r="OKV76" s="684"/>
      <c r="OKW76" s="684"/>
      <c r="OKX76" s="684"/>
      <c r="OKY76" s="684"/>
      <c r="OKZ76" s="684"/>
      <c r="OLA76" s="684"/>
      <c r="OLB76" s="684"/>
      <c r="OLC76" s="684"/>
      <c r="OLD76" s="684"/>
      <c r="OLE76" s="684"/>
      <c r="OLF76" s="684"/>
      <c r="OLG76" s="684"/>
      <c r="OLH76" s="684"/>
      <c r="OLI76" s="684"/>
      <c r="OLJ76" s="684"/>
      <c r="OLK76" s="684"/>
      <c r="OLL76" s="684"/>
      <c r="OLM76" s="684"/>
      <c r="OLN76" s="684"/>
      <c r="OLO76" s="684"/>
      <c r="OLP76" s="684"/>
      <c r="OLQ76" s="684"/>
      <c r="OLR76" s="684"/>
      <c r="OLS76" s="684"/>
      <c r="OLT76" s="684"/>
      <c r="OLU76" s="684"/>
      <c r="OLV76" s="684"/>
      <c r="OLW76" s="684"/>
      <c r="OLX76" s="684"/>
      <c r="OLY76" s="684"/>
      <c r="OLZ76" s="684"/>
      <c r="OMA76" s="684"/>
      <c r="OMB76" s="684"/>
      <c r="OMC76" s="684"/>
      <c r="OMD76" s="684"/>
      <c r="OME76" s="684"/>
      <c r="OMF76" s="684"/>
      <c r="OMG76" s="684"/>
      <c r="OMH76" s="684"/>
      <c r="OMI76" s="684"/>
      <c r="OMJ76" s="684"/>
      <c r="OMK76" s="684"/>
      <c r="OML76" s="684"/>
      <c r="OMM76" s="684"/>
      <c r="OMN76" s="684"/>
      <c r="OMO76" s="684"/>
      <c r="OMP76" s="684"/>
      <c r="OMQ76" s="684"/>
      <c r="OMR76" s="684"/>
      <c r="OMS76" s="684"/>
      <c r="OMT76" s="684"/>
      <c r="OMU76" s="684"/>
      <c r="OMV76" s="684"/>
      <c r="OMW76" s="684"/>
      <c r="OMX76" s="684"/>
      <c r="OMY76" s="684"/>
      <c r="OMZ76" s="684"/>
      <c r="ONA76" s="684"/>
      <c r="ONB76" s="684"/>
      <c r="ONC76" s="684"/>
      <c r="OND76" s="684"/>
      <c r="ONE76" s="684"/>
      <c r="ONF76" s="684"/>
      <c r="ONG76" s="684"/>
      <c r="ONH76" s="684"/>
      <c r="ONI76" s="684"/>
      <c r="ONJ76" s="684"/>
      <c r="ONK76" s="684"/>
      <c r="ONL76" s="684"/>
      <c r="ONM76" s="684"/>
      <c r="ONN76" s="684"/>
      <c r="ONO76" s="684"/>
      <c r="ONP76" s="684"/>
      <c r="ONQ76" s="684"/>
      <c r="ONR76" s="684"/>
      <c r="ONS76" s="684"/>
      <c r="ONT76" s="684"/>
      <c r="ONU76" s="684"/>
      <c r="ONV76" s="684"/>
      <c r="ONW76" s="684"/>
      <c r="ONX76" s="684"/>
      <c r="ONY76" s="684"/>
      <c r="ONZ76" s="684"/>
      <c r="OOA76" s="684"/>
      <c r="OOB76" s="684"/>
      <c r="OOC76" s="684"/>
      <c r="OOD76" s="684"/>
      <c r="OOE76" s="684"/>
      <c r="OOF76" s="684"/>
      <c r="OOG76" s="684"/>
      <c r="OOH76" s="684"/>
      <c r="OOI76" s="684"/>
      <c r="OOJ76" s="684"/>
      <c r="OOK76" s="684"/>
      <c r="OOL76" s="684"/>
      <c r="OOM76" s="684"/>
      <c r="OON76" s="684"/>
      <c r="OOO76" s="684"/>
      <c r="OOP76" s="684"/>
      <c r="OOQ76" s="684"/>
      <c r="OOR76" s="684"/>
      <c r="OOS76" s="684"/>
      <c r="OOT76" s="684"/>
      <c r="OOU76" s="684"/>
      <c r="OOV76" s="684"/>
      <c r="OOW76" s="684"/>
      <c r="OOX76" s="684"/>
      <c r="OOY76" s="684"/>
      <c r="OOZ76" s="684"/>
      <c r="OPA76" s="684"/>
      <c r="OPB76" s="684"/>
      <c r="OPC76" s="684"/>
      <c r="OPD76" s="684"/>
      <c r="OPE76" s="684"/>
      <c r="OPF76" s="684"/>
      <c r="OPG76" s="684"/>
      <c r="OPH76" s="684"/>
      <c r="OPI76" s="684"/>
      <c r="OPJ76" s="684"/>
      <c r="OPK76" s="684"/>
      <c r="OPL76" s="684"/>
      <c r="OPM76" s="684"/>
      <c r="OPN76" s="684"/>
      <c r="OPO76" s="684"/>
      <c r="OPP76" s="684"/>
      <c r="OPQ76" s="684"/>
      <c r="OPR76" s="684"/>
      <c r="OPS76" s="684"/>
      <c r="OPT76" s="684"/>
      <c r="OPU76" s="684"/>
      <c r="OPV76" s="684"/>
      <c r="OPW76" s="684"/>
      <c r="OPX76" s="684"/>
      <c r="OPY76" s="684"/>
      <c r="OPZ76" s="684"/>
      <c r="OQA76" s="684"/>
      <c r="OQB76" s="684"/>
      <c r="OQC76" s="684"/>
      <c r="OQD76" s="684"/>
      <c r="OQE76" s="684"/>
      <c r="OQF76" s="684"/>
      <c r="OQG76" s="684"/>
      <c r="OQH76" s="684"/>
      <c r="OQI76" s="684"/>
      <c r="OQJ76" s="684"/>
      <c r="OQK76" s="684"/>
      <c r="OQL76" s="684"/>
      <c r="OQM76" s="684"/>
      <c r="OQN76" s="684"/>
      <c r="OQO76" s="684"/>
      <c r="OQP76" s="684"/>
      <c r="OQQ76" s="684"/>
      <c r="OQR76" s="684"/>
      <c r="OQS76" s="684"/>
      <c r="OQT76" s="684"/>
      <c r="OQU76" s="684"/>
      <c r="OQV76" s="684"/>
      <c r="OQW76" s="684"/>
      <c r="OQX76" s="684"/>
      <c r="OQY76" s="684"/>
      <c r="OQZ76" s="684"/>
      <c r="ORA76" s="684"/>
      <c r="ORB76" s="684"/>
      <c r="ORC76" s="684"/>
      <c r="ORD76" s="684"/>
      <c r="ORE76" s="684"/>
      <c r="ORF76" s="684"/>
      <c r="ORG76" s="684"/>
      <c r="ORH76" s="684"/>
      <c r="ORI76" s="684"/>
      <c r="ORJ76" s="684"/>
      <c r="ORK76" s="684"/>
      <c r="ORL76" s="684"/>
      <c r="ORM76" s="684"/>
      <c r="ORN76" s="684"/>
      <c r="ORO76" s="684"/>
      <c r="ORP76" s="684"/>
      <c r="ORQ76" s="684"/>
      <c r="ORR76" s="684"/>
      <c r="ORS76" s="684"/>
      <c r="ORT76" s="684"/>
      <c r="ORU76" s="684"/>
      <c r="ORV76" s="684"/>
      <c r="ORW76" s="684"/>
      <c r="ORX76" s="684"/>
      <c r="ORY76" s="684"/>
      <c r="ORZ76" s="684"/>
      <c r="OSA76" s="684"/>
      <c r="OSB76" s="684"/>
      <c r="OSC76" s="684"/>
      <c r="OSD76" s="684"/>
      <c r="OSE76" s="684"/>
      <c r="OSF76" s="684"/>
      <c r="OSG76" s="684"/>
      <c r="OSH76" s="684"/>
      <c r="OSI76" s="684"/>
      <c r="OSJ76" s="684"/>
      <c r="OSK76" s="684"/>
      <c r="OSL76" s="684"/>
      <c r="OSM76" s="684"/>
      <c r="OSN76" s="684"/>
      <c r="OSO76" s="684"/>
      <c r="OSP76" s="684"/>
      <c r="OSQ76" s="684"/>
      <c r="OSR76" s="684"/>
      <c r="OSS76" s="684"/>
      <c r="OST76" s="684"/>
      <c r="OSU76" s="684"/>
      <c r="OSV76" s="684"/>
      <c r="OSW76" s="684"/>
      <c r="OSX76" s="684"/>
      <c r="OSY76" s="684"/>
      <c r="OSZ76" s="684"/>
      <c r="OTA76" s="684"/>
      <c r="OTB76" s="684"/>
      <c r="OTC76" s="684"/>
      <c r="OTD76" s="684"/>
      <c r="OTE76" s="684"/>
      <c r="OTF76" s="684"/>
      <c r="OTG76" s="684"/>
      <c r="OTH76" s="684"/>
      <c r="OTI76" s="684"/>
      <c r="OTJ76" s="684"/>
      <c r="OTK76" s="684"/>
      <c r="OTL76" s="684"/>
      <c r="OTM76" s="684"/>
      <c r="OTN76" s="684"/>
      <c r="OTO76" s="684"/>
      <c r="OTP76" s="684"/>
      <c r="OTQ76" s="684"/>
      <c r="OTR76" s="684"/>
      <c r="OTS76" s="684"/>
      <c r="OTT76" s="684"/>
      <c r="OTU76" s="684"/>
      <c r="OTV76" s="684"/>
      <c r="OTW76" s="684"/>
      <c r="OTX76" s="684"/>
      <c r="OTY76" s="684"/>
      <c r="OTZ76" s="684"/>
      <c r="OUA76" s="684"/>
      <c r="OUB76" s="684"/>
      <c r="OUC76" s="684"/>
      <c r="OUD76" s="684"/>
      <c r="OUE76" s="684"/>
      <c r="OUF76" s="684"/>
      <c r="OUG76" s="684"/>
      <c r="OUH76" s="684"/>
      <c r="OUI76" s="684"/>
      <c r="OUJ76" s="684"/>
      <c r="OUK76" s="684"/>
      <c r="OUL76" s="684"/>
      <c r="OUM76" s="684"/>
      <c r="OUN76" s="684"/>
      <c r="OUO76" s="684"/>
      <c r="OUP76" s="684"/>
      <c r="OUQ76" s="684"/>
      <c r="OUR76" s="684"/>
      <c r="OUS76" s="684"/>
      <c r="OUT76" s="684"/>
      <c r="OUU76" s="684"/>
      <c r="OUV76" s="684"/>
      <c r="OUW76" s="684"/>
      <c r="OUX76" s="684"/>
      <c r="OUY76" s="684"/>
      <c r="OUZ76" s="684"/>
      <c r="OVA76" s="684"/>
      <c r="OVB76" s="684"/>
      <c r="OVC76" s="684"/>
      <c r="OVD76" s="684"/>
      <c r="OVE76" s="684"/>
      <c r="OVF76" s="684"/>
      <c r="OVG76" s="684"/>
      <c r="OVH76" s="684"/>
      <c r="OVI76" s="684"/>
      <c r="OVJ76" s="684"/>
      <c r="OVK76" s="684"/>
      <c r="OVL76" s="684"/>
      <c r="OVM76" s="684"/>
      <c r="OVN76" s="684"/>
      <c r="OVO76" s="684"/>
      <c r="OVP76" s="684"/>
      <c r="OVQ76" s="684"/>
      <c r="OVR76" s="684"/>
      <c r="OVS76" s="684"/>
      <c r="OVT76" s="684"/>
      <c r="OVU76" s="684"/>
      <c r="OVV76" s="684"/>
      <c r="OVW76" s="684"/>
      <c r="OVX76" s="684"/>
      <c r="OVY76" s="684"/>
      <c r="OVZ76" s="684"/>
      <c r="OWA76" s="684"/>
      <c r="OWB76" s="684"/>
      <c r="OWC76" s="684"/>
      <c r="OWD76" s="684"/>
      <c r="OWE76" s="684"/>
      <c r="OWF76" s="684"/>
      <c r="OWG76" s="684"/>
      <c r="OWH76" s="684"/>
      <c r="OWI76" s="684"/>
      <c r="OWJ76" s="684"/>
      <c r="OWK76" s="684"/>
      <c r="OWL76" s="684"/>
      <c r="OWM76" s="684"/>
      <c r="OWN76" s="684"/>
      <c r="OWO76" s="684"/>
      <c r="OWP76" s="684"/>
      <c r="OWQ76" s="684"/>
      <c r="OWR76" s="684"/>
      <c r="OWS76" s="684"/>
      <c r="OWT76" s="684"/>
      <c r="OWU76" s="684"/>
      <c r="OWV76" s="684"/>
      <c r="OWW76" s="684"/>
      <c r="OWX76" s="684"/>
      <c r="OWY76" s="684"/>
      <c r="OWZ76" s="684"/>
      <c r="OXA76" s="684"/>
      <c r="OXB76" s="684"/>
      <c r="OXC76" s="684"/>
      <c r="OXD76" s="684"/>
      <c r="OXE76" s="684"/>
      <c r="OXF76" s="684"/>
      <c r="OXG76" s="684"/>
      <c r="OXH76" s="684"/>
      <c r="OXI76" s="684"/>
      <c r="OXJ76" s="684"/>
      <c r="OXK76" s="684"/>
      <c r="OXL76" s="684"/>
      <c r="OXM76" s="684"/>
      <c r="OXN76" s="684"/>
      <c r="OXO76" s="684"/>
      <c r="OXP76" s="684"/>
      <c r="OXQ76" s="684"/>
      <c r="OXR76" s="684"/>
      <c r="OXS76" s="684"/>
      <c r="OXT76" s="684"/>
      <c r="OXU76" s="684"/>
      <c r="OXV76" s="684"/>
      <c r="OXW76" s="684"/>
      <c r="OXX76" s="684"/>
      <c r="OXY76" s="684"/>
      <c r="OXZ76" s="684"/>
      <c r="OYA76" s="684"/>
      <c r="OYB76" s="684"/>
      <c r="OYC76" s="684"/>
      <c r="OYD76" s="684"/>
      <c r="OYE76" s="684"/>
      <c r="OYF76" s="684"/>
      <c r="OYG76" s="684"/>
      <c r="OYH76" s="684"/>
      <c r="OYI76" s="684"/>
      <c r="OYJ76" s="684"/>
      <c r="OYK76" s="684"/>
      <c r="OYL76" s="684"/>
      <c r="OYM76" s="684"/>
      <c r="OYN76" s="684"/>
      <c r="OYO76" s="684"/>
      <c r="OYP76" s="684"/>
      <c r="OYQ76" s="684"/>
      <c r="OYR76" s="684"/>
      <c r="OYS76" s="684"/>
      <c r="OYT76" s="684"/>
      <c r="OYU76" s="684"/>
      <c r="OYV76" s="684"/>
      <c r="OYW76" s="684"/>
      <c r="OYX76" s="684"/>
      <c r="OYY76" s="684"/>
      <c r="OYZ76" s="684"/>
      <c r="OZA76" s="684"/>
      <c r="OZB76" s="684"/>
      <c r="OZC76" s="684"/>
      <c r="OZD76" s="684"/>
      <c r="OZE76" s="684"/>
      <c r="OZF76" s="684"/>
      <c r="OZG76" s="684"/>
      <c r="OZH76" s="684"/>
      <c r="OZI76" s="684"/>
      <c r="OZJ76" s="684"/>
      <c r="OZK76" s="684"/>
      <c r="OZL76" s="684"/>
      <c r="OZM76" s="684"/>
      <c r="OZN76" s="684"/>
      <c r="OZO76" s="684"/>
      <c r="OZP76" s="684"/>
      <c r="OZQ76" s="684"/>
      <c r="OZR76" s="684"/>
      <c r="OZS76" s="684"/>
      <c r="OZT76" s="684"/>
      <c r="OZU76" s="684"/>
      <c r="OZV76" s="684"/>
      <c r="OZW76" s="684"/>
      <c r="OZX76" s="684"/>
      <c r="OZY76" s="684"/>
      <c r="OZZ76" s="684"/>
      <c r="PAA76" s="684"/>
      <c r="PAB76" s="684"/>
      <c r="PAC76" s="684"/>
      <c r="PAD76" s="684"/>
      <c r="PAE76" s="684"/>
      <c r="PAF76" s="684"/>
      <c r="PAG76" s="684"/>
      <c r="PAH76" s="684"/>
      <c r="PAI76" s="684"/>
      <c r="PAJ76" s="684"/>
      <c r="PAK76" s="684"/>
      <c r="PAL76" s="684"/>
      <c r="PAM76" s="684"/>
      <c r="PAN76" s="684"/>
      <c r="PAO76" s="684"/>
      <c r="PAP76" s="684"/>
      <c r="PAQ76" s="684"/>
      <c r="PAR76" s="684"/>
      <c r="PAS76" s="684"/>
      <c r="PAT76" s="684"/>
      <c r="PAU76" s="684"/>
      <c r="PAV76" s="684"/>
      <c r="PAW76" s="684"/>
      <c r="PAX76" s="684"/>
      <c r="PAY76" s="684"/>
      <c r="PAZ76" s="684"/>
      <c r="PBA76" s="684"/>
      <c r="PBB76" s="684"/>
      <c r="PBC76" s="684"/>
      <c r="PBD76" s="684"/>
      <c r="PBE76" s="684"/>
      <c r="PBF76" s="684"/>
      <c r="PBG76" s="684"/>
      <c r="PBH76" s="684"/>
      <c r="PBI76" s="684"/>
      <c r="PBJ76" s="684"/>
      <c r="PBK76" s="684"/>
      <c r="PBL76" s="684"/>
      <c r="PBM76" s="684"/>
      <c r="PBN76" s="684"/>
      <c r="PBO76" s="684"/>
      <c r="PBP76" s="684"/>
      <c r="PBQ76" s="684"/>
      <c r="PBR76" s="684"/>
      <c r="PBS76" s="684"/>
      <c r="PBT76" s="684"/>
      <c r="PBU76" s="684"/>
      <c r="PBV76" s="684"/>
      <c r="PBW76" s="684"/>
      <c r="PBX76" s="684"/>
      <c r="PBY76" s="684"/>
      <c r="PBZ76" s="684"/>
      <c r="PCA76" s="684"/>
      <c r="PCB76" s="684"/>
      <c r="PCC76" s="684"/>
      <c r="PCD76" s="684"/>
      <c r="PCE76" s="684"/>
      <c r="PCF76" s="684"/>
      <c r="PCG76" s="684"/>
      <c r="PCH76" s="684"/>
      <c r="PCI76" s="684"/>
      <c r="PCJ76" s="684"/>
      <c r="PCK76" s="684"/>
      <c r="PCL76" s="684"/>
      <c r="PCM76" s="684"/>
      <c r="PCN76" s="684"/>
      <c r="PCO76" s="684"/>
      <c r="PCP76" s="684"/>
      <c r="PCQ76" s="684"/>
      <c r="PCR76" s="684"/>
      <c r="PCS76" s="684"/>
      <c r="PCT76" s="684"/>
      <c r="PCU76" s="684"/>
      <c r="PCV76" s="684"/>
      <c r="PCW76" s="684"/>
      <c r="PCX76" s="684"/>
      <c r="PCY76" s="684"/>
      <c r="PCZ76" s="684"/>
      <c r="PDA76" s="684"/>
      <c r="PDB76" s="684"/>
      <c r="PDC76" s="684"/>
      <c r="PDD76" s="684"/>
      <c r="PDE76" s="684"/>
      <c r="PDF76" s="684"/>
      <c r="PDG76" s="684"/>
      <c r="PDH76" s="684"/>
      <c r="PDI76" s="684"/>
      <c r="PDJ76" s="684"/>
      <c r="PDK76" s="684"/>
      <c r="PDL76" s="684"/>
      <c r="PDM76" s="684"/>
      <c r="PDN76" s="684"/>
      <c r="PDO76" s="684"/>
      <c r="PDP76" s="684"/>
      <c r="PDQ76" s="684"/>
      <c r="PDR76" s="684"/>
      <c r="PDS76" s="684"/>
      <c r="PDT76" s="684"/>
      <c r="PDU76" s="684"/>
      <c r="PDV76" s="684"/>
      <c r="PDW76" s="684"/>
      <c r="PDX76" s="684"/>
      <c r="PDY76" s="684"/>
      <c r="PDZ76" s="684"/>
      <c r="PEA76" s="684"/>
      <c r="PEB76" s="684"/>
      <c r="PEC76" s="684"/>
      <c r="PED76" s="684"/>
      <c r="PEE76" s="684"/>
      <c r="PEF76" s="684"/>
      <c r="PEG76" s="684"/>
      <c r="PEH76" s="684"/>
      <c r="PEI76" s="684"/>
      <c r="PEJ76" s="684"/>
      <c r="PEK76" s="684"/>
      <c r="PEL76" s="684"/>
      <c r="PEM76" s="684"/>
      <c r="PEN76" s="684"/>
      <c r="PEO76" s="684"/>
      <c r="PEP76" s="684"/>
      <c r="PEQ76" s="684"/>
      <c r="PER76" s="684"/>
      <c r="PES76" s="684"/>
      <c r="PET76" s="684"/>
      <c r="PEU76" s="684"/>
      <c r="PEV76" s="684"/>
      <c r="PEW76" s="684"/>
      <c r="PEX76" s="684"/>
      <c r="PEY76" s="684"/>
      <c r="PEZ76" s="684"/>
      <c r="PFA76" s="684"/>
      <c r="PFB76" s="684"/>
      <c r="PFC76" s="684"/>
      <c r="PFD76" s="684"/>
      <c r="PFE76" s="684"/>
      <c r="PFF76" s="684"/>
      <c r="PFG76" s="684"/>
      <c r="PFH76" s="684"/>
      <c r="PFI76" s="684"/>
      <c r="PFJ76" s="684"/>
      <c r="PFK76" s="684"/>
      <c r="PFL76" s="684"/>
      <c r="PFM76" s="684"/>
      <c r="PFN76" s="684"/>
      <c r="PFO76" s="684"/>
      <c r="PFP76" s="684"/>
      <c r="PFQ76" s="684"/>
      <c r="PFR76" s="684"/>
      <c r="PFS76" s="684"/>
      <c r="PFT76" s="684"/>
      <c r="PFU76" s="684"/>
      <c r="PFV76" s="684"/>
      <c r="PFW76" s="684"/>
      <c r="PFX76" s="684"/>
      <c r="PFY76" s="684"/>
      <c r="PFZ76" s="684"/>
      <c r="PGA76" s="684"/>
      <c r="PGB76" s="684"/>
      <c r="PGC76" s="684"/>
      <c r="PGD76" s="684"/>
      <c r="PGE76" s="684"/>
      <c r="PGF76" s="684"/>
      <c r="PGG76" s="684"/>
      <c r="PGH76" s="684"/>
      <c r="PGI76" s="684"/>
      <c r="PGJ76" s="684"/>
      <c r="PGK76" s="684"/>
      <c r="PGL76" s="684"/>
      <c r="PGM76" s="684"/>
      <c r="PGN76" s="684"/>
      <c r="PGO76" s="684"/>
      <c r="PGP76" s="684"/>
      <c r="PGQ76" s="684"/>
      <c r="PGR76" s="684"/>
      <c r="PGS76" s="684"/>
      <c r="PGT76" s="684"/>
      <c r="PGU76" s="684"/>
      <c r="PGV76" s="684"/>
      <c r="PGW76" s="684"/>
      <c r="PGX76" s="684"/>
      <c r="PGY76" s="684"/>
      <c r="PGZ76" s="684"/>
      <c r="PHA76" s="684"/>
      <c r="PHB76" s="684"/>
      <c r="PHC76" s="684"/>
      <c r="PHD76" s="684"/>
      <c r="PHE76" s="684"/>
      <c r="PHF76" s="684"/>
      <c r="PHG76" s="684"/>
      <c r="PHH76" s="684"/>
      <c r="PHI76" s="684"/>
      <c r="PHJ76" s="684"/>
      <c r="PHK76" s="684"/>
      <c r="PHL76" s="684"/>
      <c r="PHM76" s="684"/>
      <c r="PHN76" s="684"/>
      <c r="PHO76" s="684"/>
      <c r="PHP76" s="684"/>
      <c r="PHQ76" s="684"/>
      <c r="PHR76" s="684"/>
      <c r="PHS76" s="684"/>
      <c r="PHT76" s="684"/>
      <c r="PHU76" s="684"/>
      <c r="PHV76" s="684"/>
      <c r="PHW76" s="684"/>
      <c r="PHX76" s="684"/>
      <c r="PHY76" s="684"/>
      <c r="PHZ76" s="684"/>
      <c r="PIA76" s="684"/>
      <c r="PIB76" s="684"/>
      <c r="PIC76" s="684"/>
      <c r="PID76" s="684"/>
      <c r="PIE76" s="684"/>
      <c r="PIF76" s="684"/>
      <c r="PIG76" s="684"/>
      <c r="PIH76" s="684"/>
      <c r="PII76" s="684"/>
      <c r="PIJ76" s="684"/>
      <c r="PIK76" s="684"/>
      <c r="PIL76" s="684"/>
      <c r="PIM76" s="684"/>
      <c r="PIN76" s="684"/>
      <c r="PIO76" s="684"/>
      <c r="PIP76" s="684"/>
      <c r="PIQ76" s="684"/>
      <c r="PIR76" s="684"/>
      <c r="PIS76" s="684"/>
      <c r="PIT76" s="684"/>
      <c r="PIU76" s="684"/>
      <c r="PIV76" s="684"/>
      <c r="PIW76" s="684"/>
      <c r="PIX76" s="684"/>
      <c r="PIY76" s="684"/>
      <c r="PIZ76" s="684"/>
      <c r="PJA76" s="684"/>
      <c r="PJB76" s="684"/>
      <c r="PJC76" s="684"/>
      <c r="PJD76" s="684"/>
      <c r="PJE76" s="684"/>
      <c r="PJF76" s="684"/>
      <c r="PJG76" s="684"/>
      <c r="PJH76" s="684"/>
      <c r="PJI76" s="684"/>
      <c r="PJJ76" s="684"/>
      <c r="PJK76" s="684"/>
      <c r="PJL76" s="684"/>
      <c r="PJM76" s="684"/>
      <c r="PJN76" s="684"/>
      <c r="PJO76" s="684"/>
      <c r="PJP76" s="684"/>
      <c r="PJQ76" s="684"/>
      <c r="PJR76" s="684"/>
      <c r="PJS76" s="684"/>
      <c r="PJT76" s="684"/>
      <c r="PJU76" s="684"/>
      <c r="PJV76" s="684"/>
      <c r="PJW76" s="684"/>
      <c r="PJX76" s="684"/>
      <c r="PJY76" s="684"/>
      <c r="PJZ76" s="684"/>
      <c r="PKA76" s="684"/>
      <c r="PKB76" s="684"/>
      <c r="PKC76" s="684"/>
      <c r="PKD76" s="684"/>
      <c r="PKE76" s="684"/>
      <c r="PKF76" s="684"/>
      <c r="PKG76" s="684"/>
      <c r="PKH76" s="684"/>
      <c r="PKI76" s="684"/>
      <c r="PKJ76" s="684"/>
      <c r="PKK76" s="684"/>
      <c r="PKL76" s="684"/>
      <c r="PKM76" s="684"/>
      <c r="PKN76" s="684"/>
      <c r="PKO76" s="684"/>
      <c r="PKP76" s="684"/>
      <c r="PKQ76" s="684"/>
      <c r="PKR76" s="684"/>
      <c r="PKS76" s="684"/>
      <c r="PKT76" s="684"/>
      <c r="PKU76" s="684"/>
      <c r="PKV76" s="684"/>
      <c r="PKW76" s="684"/>
      <c r="PKX76" s="684"/>
      <c r="PKY76" s="684"/>
      <c r="PKZ76" s="684"/>
      <c r="PLA76" s="684"/>
      <c r="PLB76" s="684"/>
      <c r="PLC76" s="684"/>
      <c r="PLD76" s="684"/>
      <c r="PLE76" s="684"/>
      <c r="PLF76" s="684"/>
      <c r="PLG76" s="684"/>
      <c r="PLH76" s="684"/>
      <c r="PLI76" s="684"/>
      <c r="PLJ76" s="684"/>
      <c r="PLK76" s="684"/>
      <c r="PLL76" s="684"/>
      <c r="PLM76" s="684"/>
      <c r="PLN76" s="684"/>
      <c r="PLO76" s="684"/>
      <c r="PLP76" s="684"/>
      <c r="PLQ76" s="684"/>
      <c r="PLR76" s="684"/>
      <c r="PLS76" s="684"/>
      <c r="PLT76" s="684"/>
      <c r="PLU76" s="684"/>
      <c r="PLV76" s="684"/>
      <c r="PLW76" s="684"/>
      <c r="PLX76" s="684"/>
      <c r="PLY76" s="684"/>
      <c r="PLZ76" s="684"/>
      <c r="PMA76" s="684"/>
      <c r="PMB76" s="684"/>
      <c r="PMC76" s="684"/>
      <c r="PMD76" s="684"/>
      <c r="PME76" s="684"/>
      <c r="PMF76" s="684"/>
      <c r="PMG76" s="684"/>
      <c r="PMH76" s="684"/>
      <c r="PMI76" s="684"/>
      <c r="PMJ76" s="684"/>
      <c r="PMK76" s="684"/>
      <c r="PML76" s="684"/>
      <c r="PMM76" s="684"/>
      <c r="PMN76" s="684"/>
      <c r="PMO76" s="684"/>
      <c r="PMP76" s="684"/>
      <c r="PMQ76" s="684"/>
      <c r="PMR76" s="684"/>
      <c r="PMS76" s="684"/>
      <c r="PMT76" s="684"/>
      <c r="PMU76" s="684"/>
      <c r="PMV76" s="684"/>
      <c r="PMW76" s="684"/>
      <c r="PMX76" s="684"/>
      <c r="PMY76" s="684"/>
      <c r="PMZ76" s="684"/>
      <c r="PNA76" s="684"/>
      <c r="PNB76" s="684"/>
      <c r="PNC76" s="684"/>
      <c r="PND76" s="684"/>
      <c r="PNE76" s="684"/>
      <c r="PNF76" s="684"/>
      <c r="PNG76" s="684"/>
      <c r="PNH76" s="684"/>
      <c r="PNI76" s="684"/>
      <c r="PNJ76" s="684"/>
      <c r="PNK76" s="684"/>
      <c r="PNL76" s="684"/>
      <c r="PNM76" s="684"/>
      <c r="PNN76" s="684"/>
      <c r="PNO76" s="684"/>
      <c r="PNP76" s="684"/>
      <c r="PNQ76" s="684"/>
      <c r="PNR76" s="684"/>
      <c r="PNS76" s="684"/>
      <c r="PNT76" s="684"/>
      <c r="PNU76" s="684"/>
      <c r="PNV76" s="684"/>
      <c r="PNW76" s="684"/>
      <c r="PNX76" s="684"/>
      <c r="PNY76" s="684"/>
      <c r="PNZ76" s="684"/>
      <c r="POA76" s="684"/>
      <c r="POB76" s="684"/>
      <c r="POC76" s="684"/>
      <c r="POD76" s="684"/>
      <c r="POE76" s="684"/>
      <c r="POF76" s="684"/>
      <c r="POG76" s="684"/>
      <c r="POH76" s="684"/>
      <c r="POI76" s="684"/>
      <c r="POJ76" s="684"/>
      <c r="POK76" s="684"/>
      <c r="POL76" s="684"/>
      <c r="POM76" s="684"/>
      <c r="PON76" s="684"/>
      <c r="POO76" s="684"/>
      <c r="POP76" s="684"/>
      <c r="POQ76" s="684"/>
      <c r="POR76" s="684"/>
      <c r="POS76" s="684"/>
      <c r="POT76" s="684"/>
      <c r="POU76" s="684"/>
      <c r="POV76" s="684"/>
      <c r="POW76" s="684"/>
      <c r="POX76" s="684"/>
      <c r="POY76" s="684"/>
      <c r="POZ76" s="684"/>
      <c r="PPA76" s="684"/>
      <c r="PPB76" s="684"/>
      <c r="PPC76" s="684"/>
      <c r="PPD76" s="684"/>
      <c r="PPE76" s="684"/>
      <c r="PPF76" s="684"/>
      <c r="PPG76" s="684"/>
      <c r="PPH76" s="684"/>
      <c r="PPI76" s="684"/>
      <c r="PPJ76" s="684"/>
      <c r="PPK76" s="684"/>
      <c r="PPL76" s="684"/>
      <c r="PPM76" s="684"/>
      <c r="PPN76" s="684"/>
      <c r="PPO76" s="684"/>
      <c r="PPP76" s="684"/>
      <c r="PPQ76" s="684"/>
      <c r="PPR76" s="684"/>
      <c r="PPS76" s="684"/>
      <c r="PPT76" s="684"/>
      <c r="PPU76" s="684"/>
      <c r="PPV76" s="684"/>
      <c r="PPW76" s="684"/>
      <c r="PPX76" s="684"/>
      <c r="PPY76" s="684"/>
      <c r="PPZ76" s="684"/>
      <c r="PQA76" s="684"/>
      <c r="PQB76" s="684"/>
      <c r="PQC76" s="684"/>
      <c r="PQD76" s="684"/>
      <c r="PQE76" s="684"/>
      <c r="PQF76" s="684"/>
      <c r="PQG76" s="684"/>
      <c r="PQH76" s="684"/>
      <c r="PQI76" s="684"/>
      <c r="PQJ76" s="684"/>
      <c r="PQK76" s="684"/>
      <c r="PQL76" s="684"/>
      <c r="PQM76" s="684"/>
      <c r="PQN76" s="684"/>
      <c r="PQO76" s="684"/>
      <c r="PQP76" s="684"/>
      <c r="PQQ76" s="684"/>
      <c r="PQR76" s="684"/>
      <c r="PQS76" s="684"/>
      <c r="PQT76" s="684"/>
      <c r="PQU76" s="684"/>
      <c r="PQV76" s="684"/>
      <c r="PQW76" s="684"/>
      <c r="PQX76" s="684"/>
      <c r="PQY76" s="684"/>
      <c r="PQZ76" s="684"/>
      <c r="PRA76" s="684"/>
      <c r="PRB76" s="684"/>
      <c r="PRC76" s="684"/>
      <c r="PRD76" s="684"/>
      <c r="PRE76" s="684"/>
      <c r="PRF76" s="684"/>
      <c r="PRG76" s="684"/>
      <c r="PRH76" s="684"/>
      <c r="PRI76" s="684"/>
      <c r="PRJ76" s="684"/>
      <c r="PRK76" s="684"/>
      <c r="PRL76" s="684"/>
      <c r="PRM76" s="684"/>
      <c r="PRN76" s="684"/>
      <c r="PRO76" s="684"/>
      <c r="PRP76" s="684"/>
      <c r="PRQ76" s="684"/>
      <c r="PRR76" s="684"/>
      <c r="PRS76" s="684"/>
      <c r="PRT76" s="684"/>
      <c r="PRU76" s="684"/>
      <c r="PRV76" s="684"/>
      <c r="PRW76" s="684"/>
      <c r="PRX76" s="684"/>
      <c r="PRY76" s="684"/>
      <c r="PRZ76" s="684"/>
      <c r="PSA76" s="684"/>
      <c r="PSB76" s="684"/>
      <c r="PSC76" s="684"/>
      <c r="PSD76" s="684"/>
      <c r="PSE76" s="684"/>
      <c r="PSF76" s="684"/>
      <c r="PSG76" s="684"/>
      <c r="PSH76" s="684"/>
      <c r="PSI76" s="684"/>
      <c r="PSJ76" s="684"/>
      <c r="PSK76" s="684"/>
      <c r="PSL76" s="684"/>
      <c r="PSM76" s="684"/>
      <c r="PSN76" s="684"/>
      <c r="PSO76" s="684"/>
      <c r="PSP76" s="684"/>
      <c r="PSQ76" s="684"/>
      <c r="PSR76" s="684"/>
      <c r="PSS76" s="684"/>
      <c r="PST76" s="684"/>
      <c r="PSU76" s="684"/>
      <c r="PSV76" s="684"/>
      <c r="PSW76" s="684"/>
      <c r="PSX76" s="684"/>
      <c r="PSY76" s="684"/>
      <c r="PSZ76" s="684"/>
      <c r="PTA76" s="684"/>
      <c r="PTB76" s="684"/>
      <c r="PTC76" s="684"/>
      <c r="PTD76" s="684"/>
      <c r="PTE76" s="684"/>
      <c r="PTF76" s="684"/>
      <c r="PTG76" s="684"/>
      <c r="PTH76" s="684"/>
      <c r="PTI76" s="684"/>
      <c r="PTJ76" s="684"/>
      <c r="PTK76" s="684"/>
      <c r="PTL76" s="684"/>
      <c r="PTM76" s="684"/>
      <c r="PTN76" s="684"/>
      <c r="PTO76" s="684"/>
      <c r="PTP76" s="684"/>
      <c r="PTQ76" s="684"/>
      <c r="PTR76" s="684"/>
      <c r="PTS76" s="684"/>
      <c r="PTT76" s="684"/>
      <c r="PTU76" s="684"/>
      <c r="PTV76" s="684"/>
      <c r="PTW76" s="684"/>
      <c r="PTX76" s="684"/>
      <c r="PTY76" s="684"/>
      <c r="PTZ76" s="684"/>
      <c r="PUA76" s="684"/>
      <c r="PUB76" s="684"/>
      <c r="PUC76" s="684"/>
      <c r="PUD76" s="684"/>
      <c r="PUE76" s="684"/>
      <c r="PUF76" s="684"/>
      <c r="PUG76" s="684"/>
      <c r="PUH76" s="684"/>
      <c r="PUI76" s="684"/>
      <c r="PUJ76" s="684"/>
      <c r="PUK76" s="684"/>
      <c r="PUL76" s="684"/>
      <c r="PUM76" s="684"/>
      <c r="PUN76" s="684"/>
      <c r="PUO76" s="684"/>
      <c r="PUP76" s="684"/>
      <c r="PUQ76" s="684"/>
      <c r="PUR76" s="684"/>
      <c r="PUS76" s="684"/>
      <c r="PUT76" s="684"/>
      <c r="PUU76" s="684"/>
      <c r="PUV76" s="684"/>
      <c r="PUW76" s="684"/>
      <c r="PUX76" s="684"/>
      <c r="PUY76" s="684"/>
      <c r="PUZ76" s="684"/>
      <c r="PVA76" s="684"/>
      <c r="PVB76" s="684"/>
      <c r="PVC76" s="684"/>
      <c r="PVD76" s="684"/>
      <c r="PVE76" s="684"/>
      <c r="PVF76" s="684"/>
      <c r="PVG76" s="684"/>
      <c r="PVH76" s="684"/>
      <c r="PVI76" s="684"/>
      <c r="PVJ76" s="684"/>
      <c r="PVK76" s="684"/>
      <c r="PVL76" s="684"/>
      <c r="PVM76" s="684"/>
      <c r="PVN76" s="684"/>
      <c r="PVO76" s="684"/>
      <c r="PVP76" s="684"/>
      <c r="PVQ76" s="684"/>
      <c r="PVR76" s="684"/>
      <c r="PVS76" s="684"/>
      <c r="PVT76" s="684"/>
      <c r="PVU76" s="684"/>
      <c r="PVV76" s="684"/>
      <c r="PVW76" s="684"/>
      <c r="PVX76" s="684"/>
      <c r="PVY76" s="684"/>
      <c r="PVZ76" s="684"/>
      <c r="PWA76" s="684"/>
      <c r="PWB76" s="684"/>
      <c r="PWC76" s="684"/>
      <c r="PWD76" s="684"/>
      <c r="PWE76" s="684"/>
      <c r="PWF76" s="684"/>
      <c r="PWG76" s="684"/>
      <c r="PWH76" s="684"/>
      <c r="PWI76" s="684"/>
      <c r="PWJ76" s="684"/>
      <c r="PWK76" s="684"/>
      <c r="PWL76" s="684"/>
      <c r="PWM76" s="684"/>
      <c r="PWN76" s="684"/>
      <c r="PWO76" s="684"/>
      <c r="PWP76" s="684"/>
      <c r="PWQ76" s="684"/>
      <c r="PWR76" s="684"/>
      <c r="PWS76" s="684"/>
      <c r="PWT76" s="684"/>
      <c r="PWU76" s="684"/>
      <c r="PWV76" s="684"/>
      <c r="PWW76" s="684"/>
      <c r="PWX76" s="684"/>
      <c r="PWY76" s="684"/>
      <c r="PWZ76" s="684"/>
      <c r="PXA76" s="684"/>
      <c r="PXB76" s="684"/>
      <c r="PXC76" s="684"/>
      <c r="PXD76" s="684"/>
      <c r="PXE76" s="684"/>
      <c r="PXF76" s="684"/>
      <c r="PXG76" s="684"/>
      <c r="PXH76" s="684"/>
      <c r="PXI76" s="684"/>
      <c r="PXJ76" s="684"/>
      <c r="PXK76" s="684"/>
      <c r="PXL76" s="684"/>
      <c r="PXM76" s="684"/>
      <c r="PXN76" s="684"/>
      <c r="PXO76" s="684"/>
      <c r="PXP76" s="684"/>
      <c r="PXQ76" s="684"/>
      <c r="PXR76" s="684"/>
      <c r="PXS76" s="684"/>
      <c r="PXT76" s="684"/>
      <c r="PXU76" s="684"/>
      <c r="PXV76" s="684"/>
      <c r="PXW76" s="684"/>
      <c r="PXX76" s="684"/>
      <c r="PXY76" s="684"/>
      <c r="PXZ76" s="684"/>
      <c r="PYA76" s="684"/>
      <c r="PYB76" s="684"/>
      <c r="PYC76" s="684"/>
      <c r="PYD76" s="684"/>
      <c r="PYE76" s="684"/>
      <c r="PYF76" s="684"/>
      <c r="PYG76" s="684"/>
      <c r="PYH76" s="684"/>
      <c r="PYI76" s="684"/>
      <c r="PYJ76" s="684"/>
      <c r="PYK76" s="684"/>
      <c r="PYL76" s="684"/>
      <c r="PYM76" s="684"/>
      <c r="PYN76" s="684"/>
      <c r="PYO76" s="684"/>
      <c r="PYP76" s="684"/>
      <c r="PYQ76" s="684"/>
      <c r="PYR76" s="684"/>
      <c r="PYS76" s="684"/>
      <c r="PYT76" s="684"/>
      <c r="PYU76" s="684"/>
      <c r="PYV76" s="684"/>
      <c r="PYW76" s="684"/>
      <c r="PYX76" s="684"/>
      <c r="PYY76" s="684"/>
      <c r="PYZ76" s="684"/>
      <c r="PZA76" s="684"/>
      <c r="PZB76" s="684"/>
      <c r="PZC76" s="684"/>
      <c r="PZD76" s="684"/>
      <c r="PZE76" s="684"/>
      <c r="PZF76" s="684"/>
      <c r="PZG76" s="684"/>
      <c r="PZH76" s="684"/>
      <c r="PZI76" s="684"/>
      <c r="PZJ76" s="684"/>
      <c r="PZK76" s="684"/>
      <c r="PZL76" s="684"/>
      <c r="PZM76" s="684"/>
      <c r="PZN76" s="684"/>
      <c r="PZO76" s="684"/>
      <c r="PZP76" s="684"/>
      <c r="PZQ76" s="684"/>
      <c r="PZR76" s="684"/>
      <c r="PZS76" s="684"/>
      <c r="PZT76" s="684"/>
      <c r="PZU76" s="684"/>
      <c r="PZV76" s="684"/>
      <c r="PZW76" s="684"/>
      <c r="PZX76" s="684"/>
      <c r="PZY76" s="684"/>
      <c r="PZZ76" s="684"/>
      <c r="QAA76" s="684"/>
      <c r="QAB76" s="684"/>
      <c r="QAC76" s="684"/>
      <c r="QAD76" s="684"/>
      <c r="QAE76" s="684"/>
      <c r="QAF76" s="684"/>
      <c r="QAG76" s="684"/>
      <c r="QAH76" s="684"/>
      <c r="QAI76" s="684"/>
      <c r="QAJ76" s="684"/>
      <c r="QAK76" s="684"/>
      <c r="QAL76" s="684"/>
      <c r="QAM76" s="684"/>
      <c r="QAN76" s="684"/>
      <c r="QAO76" s="684"/>
      <c r="QAP76" s="684"/>
      <c r="QAQ76" s="684"/>
      <c r="QAR76" s="684"/>
      <c r="QAS76" s="684"/>
      <c r="QAT76" s="684"/>
      <c r="QAU76" s="684"/>
      <c r="QAV76" s="684"/>
      <c r="QAW76" s="684"/>
      <c r="QAX76" s="684"/>
      <c r="QAY76" s="684"/>
      <c r="QAZ76" s="684"/>
      <c r="QBA76" s="684"/>
      <c r="QBB76" s="684"/>
      <c r="QBC76" s="684"/>
      <c r="QBD76" s="684"/>
      <c r="QBE76" s="684"/>
      <c r="QBF76" s="684"/>
      <c r="QBG76" s="684"/>
      <c r="QBH76" s="684"/>
      <c r="QBI76" s="684"/>
      <c r="QBJ76" s="684"/>
      <c r="QBK76" s="684"/>
      <c r="QBL76" s="684"/>
      <c r="QBM76" s="684"/>
      <c r="QBN76" s="684"/>
      <c r="QBO76" s="684"/>
      <c r="QBP76" s="684"/>
      <c r="QBQ76" s="684"/>
      <c r="QBR76" s="684"/>
      <c r="QBS76" s="684"/>
      <c r="QBT76" s="684"/>
      <c r="QBU76" s="684"/>
      <c r="QBV76" s="684"/>
      <c r="QBW76" s="684"/>
      <c r="QBX76" s="684"/>
      <c r="QBY76" s="684"/>
      <c r="QBZ76" s="684"/>
      <c r="QCA76" s="684"/>
      <c r="QCB76" s="684"/>
      <c r="QCC76" s="684"/>
      <c r="QCD76" s="684"/>
      <c r="QCE76" s="684"/>
      <c r="QCF76" s="684"/>
      <c r="QCG76" s="684"/>
      <c r="QCH76" s="684"/>
      <c r="QCI76" s="684"/>
      <c r="QCJ76" s="684"/>
      <c r="QCK76" s="684"/>
      <c r="QCL76" s="684"/>
      <c r="QCM76" s="684"/>
      <c r="QCN76" s="684"/>
      <c r="QCO76" s="684"/>
      <c r="QCP76" s="684"/>
      <c r="QCQ76" s="684"/>
      <c r="QCR76" s="684"/>
      <c r="QCS76" s="684"/>
      <c r="QCT76" s="684"/>
      <c r="QCU76" s="684"/>
      <c r="QCV76" s="684"/>
      <c r="QCW76" s="684"/>
      <c r="QCX76" s="684"/>
      <c r="QCY76" s="684"/>
      <c r="QCZ76" s="684"/>
      <c r="QDA76" s="684"/>
      <c r="QDB76" s="684"/>
      <c r="QDC76" s="684"/>
      <c r="QDD76" s="684"/>
      <c r="QDE76" s="684"/>
      <c r="QDF76" s="684"/>
      <c r="QDG76" s="684"/>
      <c r="QDH76" s="684"/>
      <c r="QDI76" s="684"/>
      <c r="QDJ76" s="684"/>
      <c r="QDK76" s="684"/>
      <c r="QDL76" s="684"/>
      <c r="QDM76" s="684"/>
      <c r="QDN76" s="684"/>
      <c r="QDO76" s="684"/>
      <c r="QDP76" s="684"/>
      <c r="QDQ76" s="684"/>
      <c r="QDR76" s="684"/>
      <c r="QDS76" s="684"/>
      <c r="QDT76" s="684"/>
      <c r="QDU76" s="684"/>
      <c r="QDV76" s="684"/>
      <c r="QDW76" s="684"/>
      <c r="QDX76" s="684"/>
      <c r="QDY76" s="684"/>
      <c r="QDZ76" s="684"/>
      <c r="QEA76" s="684"/>
      <c r="QEB76" s="684"/>
      <c r="QEC76" s="684"/>
      <c r="QED76" s="684"/>
      <c r="QEE76" s="684"/>
      <c r="QEF76" s="684"/>
      <c r="QEG76" s="684"/>
      <c r="QEH76" s="684"/>
      <c r="QEI76" s="684"/>
      <c r="QEJ76" s="684"/>
      <c r="QEK76" s="684"/>
      <c r="QEL76" s="684"/>
      <c r="QEM76" s="684"/>
      <c r="QEN76" s="684"/>
      <c r="QEO76" s="684"/>
      <c r="QEP76" s="684"/>
      <c r="QEQ76" s="684"/>
      <c r="QER76" s="684"/>
      <c r="QES76" s="684"/>
      <c r="QET76" s="684"/>
      <c r="QEU76" s="684"/>
      <c r="QEV76" s="684"/>
      <c r="QEW76" s="684"/>
      <c r="QEX76" s="684"/>
      <c r="QEY76" s="684"/>
      <c r="QEZ76" s="684"/>
      <c r="QFA76" s="684"/>
      <c r="QFB76" s="684"/>
      <c r="QFC76" s="684"/>
      <c r="QFD76" s="684"/>
      <c r="QFE76" s="684"/>
      <c r="QFF76" s="684"/>
      <c r="QFG76" s="684"/>
      <c r="QFH76" s="684"/>
      <c r="QFI76" s="684"/>
      <c r="QFJ76" s="684"/>
      <c r="QFK76" s="684"/>
      <c r="QFL76" s="684"/>
      <c r="QFM76" s="684"/>
      <c r="QFN76" s="684"/>
      <c r="QFO76" s="684"/>
      <c r="QFP76" s="684"/>
      <c r="QFQ76" s="684"/>
      <c r="QFR76" s="684"/>
      <c r="QFS76" s="684"/>
      <c r="QFT76" s="684"/>
      <c r="QFU76" s="684"/>
      <c r="QFV76" s="684"/>
      <c r="QFW76" s="684"/>
      <c r="QFX76" s="684"/>
      <c r="QFY76" s="684"/>
      <c r="QFZ76" s="684"/>
      <c r="QGA76" s="684"/>
      <c r="QGB76" s="684"/>
      <c r="QGC76" s="684"/>
      <c r="QGD76" s="684"/>
      <c r="QGE76" s="684"/>
      <c r="QGF76" s="684"/>
      <c r="QGG76" s="684"/>
      <c r="QGH76" s="684"/>
      <c r="QGI76" s="684"/>
      <c r="QGJ76" s="684"/>
      <c r="QGK76" s="684"/>
      <c r="QGL76" s="684"/>
      <c r="QGM76" s="684"/>
      <c r="QGN76" s="684"/>
      <c r="QGO76" s="684"/>
      <c r="QGP76" s="684"/>
      <c r="QGQ76" s="684"/>
      <c r="QGR76" s="684"/>
      <c r="QGS76" s="684"/>
      <c r="QGT76" s="684"/>
      <c r="QGU76" s="684"/>
      <c r="QGV76" s="684"/>
      <c r="QGW76" s="684"/>
      <c r="QGX76" s="684"/>
      <c r="QGY76" s="684"/>
      <c r="QGZ76" s="684"/>
      <c r="QHA76" s="684"/>
      <c r="QHB76" s="684"/>
      <c r="QHC76" s="684"/>
      <c r="QHD76" s="684"/>
      <c r="QHE76" s="684"/>
      <c r="QHF76" s="684"/>
      <c r="QHG76" s="684"/>
      <c r="QHH76" s="684"/>
      <c r="QHI76" s="684"/>
      <c r="QHJ76" s="684"/>
      <c r="QHK76" s="684"/>
      <c r="QHL76" s="684"/>
      <c r="QHM76" s="684"/>
      <c r="QHN76" s="684"/>
      <c r="QHO76" s="684"/>
      <c r="QHP76" s="684"/>
      <c r="QHQ76" s="684"/>
      <c r="QHR76" s="684"/>
      <c r="QHS76" s="684"/>
      <c r="QHT76" s="684"/>
      <c r="QHU76" s="684"/>
      <c r="QHV76" s="684"/>
      <c r="QHW76" s="684"/>
      <c r="QHX76" s="684"/>
      <c r="QHY76" s="684"/>
      <c r="QHZ76" s="684"/>
      <c r="QIA76" s="684"/>
      <c r="QIB76" s="684"/>
      <c r="QIC76" s="684"/>
      <c r="QID76" s="684"/>
      <c r="QIE76" s="684"/>
      <c r="QIF76" s="684"/>
      <c r="QIG76" s="684"/>
      <c r="QIH76" s="684"/>
      <c r="QII76" s="684"/>
      <c r="QIJ76" s="684"/>
      <c r="QIK76" s="684"/>
      <c r="QIL76" s="684"/>
      <c r="QIM76" s="684"/>
      <c r="QIN76" s="684"/>
      <c r="QIO76" s="684"/>
      <c r="QIP76" s="684"/>
      <c r="QIQ76" s="684"/>
      <c r="QIR76" s="684"/>
      <c r="QIS76" s="684"/>
      <c r="QIT76" s="684"/>
      <c r="QIU76" s="684"/>
      <c r="QIV76" s="684"/>
      <c r="QIW76" s="684"/>
      <c r="QIX76" s="684"/>
      <c r="QIY76" s="684"/>
      <c r="QIZ76" s="684"/>
      <c r="QJA76" s="684"/>
      <c r="QJB76" s="684"/>
      <c r="QJC76" s="684"/>
      <c r="QJD76" s="684"/>
      <c r="QJE76" s="684"/>
      <c r="QJF76" s="684"/>
      <c r="QJG76" s="684"/>
      <c r="QJH76" s="684"/>
      <c r="QJI76" s="684"/>
      <c r="QJJ76" s="684"/>
      <c r="QJK76" s="684"/>
      <c r="QJL76" s="684"/>
      <c r="QJM76" s="684"/>
      <c r="QJN76" s="684"/>
      <c r="QJO76" s="684"/>
      <c r="QJP76" s="684"/>
      <c r="QJQ76" s="684"/>
      <c r="QJR76" s="684"/>
      <c r="QJS76" s="684"/>
      <c r="QJT76" s="684"/>
      <c r="QJU76" s="684"/>
      <c r="QJV76" s="684"/>
      <c r="QJW76" s="684"/>
      <c r="QJX76" s="684"/>
      <c r="QJY76" s="684"/>
      <c r="QJZ76" s="684"/>
      <c r="QKA76" s="684"/>
      <c r="QKB76" s="684"/>
      <c r="QKC76" s="684"/>
      <c r="QKD76" s="684"/>
      <c r="QKE76" s="684"/>
      <c r="QKF76" s="684"/>
      <c r="QKG76" s="684"/>
      <c r="QKH76" s="684"/>
      <c r="QKI76" s="684"/>
      <c r="QKJ76" s="684"/>
      <c r="QKK76" s="684"/>
      <c r="QKL76" s="684"/>
      <c r="QKM76" s="684"/>
      <c r="QKN76" s="684"/>
      <c r="QKO76" s="684"/>
      <c r="QKP76" s="684"/>
      <c r="QKQ76" s="684"/>
      <c r="QKR76" s="684"/>
      <c r="QKS76" s="684"/>
      <c r="QKT76" s="684"/>
      <c r="QKU76" s="684"/>
      <c r="QKV76" s="684"/>
      <c r="QKW76" s="684"/>
      <c r="QKX76" s="684"/>
      <c r="QKY76" s="684"/>
      <c r="QKZ76" s="684"/>
      <c r="QLA76" s="684"/>
      <c r="QLB76" s="684"/>
      <c r="QLC76" s="684"/>
      <c r="QLD76" s="684"/>
      <c r="QLE76" s="684"/>
      <c r="QLF76" s="684"/>
      <c r="QLG76" s="684"/>
      <c r="QLH76" s="684"/>
      <c r="QLI76" s="684"/>
      <c r="QLJ76" s="684"/>
      <c r="QLK76" s="684"/>
      <c r="QLL76" s="684"/>
      <c r="QLM76" s="684"/>
      <c r="QLN76" s="684"/>
      <c r="QLO76" s="684"/>
      <c r="QLP76" s="684"/>
      <c r="QLQ76" s="684"/>
      <c r="QLR76" s="684"/>
      <c r="QLS76" s="684"/>
      <c r="QLT76" s="684"/>
      <c r="QLU76" s="684"/>
      <c r="QLV76" s="684"/>
      <c r="QLW76" s="684"/>
      <c r="QLX76" s="684"/>
      <c r="QLY76" s="684"/>
      <c r="QLZ76" s="684"/>
      <c r="QMA76" s="684"/>
      <c r="QMB76" s="684"/>
      <c r="QMC76" s="684"/>
      <c r="QMD76" s="684"/>
      <c r="QME76" s="684"/>
      <c r="QMF76" s="684"/>
      <c r="QMG76" s="684"/>
      <c r="QMH76" s="684"/>
      <c r="QMI76" s="684"/>
      <c r="QMJ76" s="684"/>
      <c r="QMK76" s="684"/>
      <c r="QML76" s="684"/>
      <c r="QMM76" s="684"/>
      <c r="QMN76" s="684"/>
      <c r="QMO76" s="684"/>
      <c r="QMP76" s="684"/>
      <c r="QMQ76" s="684"/>
      <c r="QMR76" s="684"/>
      <c r="QMS76" s="684"/>
      <c r="QMT76" s="684"/>
      <c r="QMU76" s="684"/>
      <c r="QMV76" s="684"/>
      <c r="QMW76" s="684"/>
      <c r="QMX76" s="684"/>
      <c r="QMY76" s="684"/>
      <c r="QMZ76" s="684"/>
      <c r="QNA76" s="684"/>
      <c r="QNB76" s="684"/>
      <c r="QNC76" s="684"/>
      <c r="QND76" s="684"/>
      <c r="QNE76" s="684"/>
      <c r="QNF76" s="684"/>
      <c r="QNG76" s="684"/>
      <c r="QNH76" s="684"/>
      <c r="QNI76" s="684"/>
      <c r="QNJ76" s="684"/>
      <c r="QNK76" s="684"/>
      <c r="QNL76" s="684"/>
      <c r="QNM76" s="684"/>
      <c r="QNN76" s="684"/>
      <c r="QNO76" s="684"/>
      <c r="QNP76" s="684"/>
      <c r="QNQ76" s="684"/>
      <c r="QNR76" s="684"/>
      <c r="QNS76" s="684"/>
      <c r="QNT76" s="684"/>
      <c r="QNU76" s="684"/>
      <c r="QNV76" s="684"/>
      <c r="QNW76" s="684"/>
      <c r="QNX76" s="684"/>
      <c r="QNY76" s="684"/>
      <c r="QNZ76" s="684"/>
      <c r="QOA76" s="684"/>
      <c r="QOB76" s="684"/>
      <c r="QOC76" s="684"/>
      <c r="QOD76" s="684"/>
      <c r="QOE76" s="684"/>
      <c r="QOF76" s="684"/>
      <c r="QOG76" s="684"/>
      <c r="QOH76" s="684"/>
      <c r="QOI76" s="684"/>
      <c r="QOJ76" s="684"/>
      <c r="QOK76" s="684"/>
      <c r="QOL76" s="684"/>
      <c r="QOM76" s="684"/>
      <c r="QON76" s="684"/>
      <c r="QOO76" s="684"/>
      <c r="QOP76" s="684"/>
      <c r="QOQ76" s="684"/>
      <c r="QOR76" s="684"/>
      <c r="QOS76" s="684"/>
      <c r="QOT76" s="684"/>
      <c r="QOU76" s="684"/>
      <c r="QOV76" s="684"/>
      <c r="QOW76" s="684"/>
      <c r="QOX76" s="684"/>
      <c r="QOY76" s="684"/>
      <c r="QOZ76" s="684"/>
      <c r="QPA76" s="684"/>
      <c r="QPB76" s="684"/>
      <c r="QPC76" s="684"/>
      <c r="QPD76" s="684"/>
      <c r="QPE76" s="684"/>
      <c r="QPF76" s="684"/>
      <c r="QPG76" s="684"/>
      <c r="QPH76" s="684"/>
      <c r="QPI76" s="684"/>
      <c r="QPJ76" s="684"/>
      <c r="QPK76" s="684"/>
      <c r="QPL76" s="684"/>
      <c r="QPM76" s="684"/>
      <c r="QPN76" s="684"/>
      <c r="QPO76" s="684"/>
      <c r="QPP76" s="684"/>
      <c r="QPQ76" s="684"/>
      <c r="QPR76" s="684"/>
      <c r="QPS76" s="684"/>
      <c r="QPT76" s="684"/>
      <c r="QPU76" s="684"/>
      <c r="QPV76" s="684"/>
      <c r="QPW76" s="684"/>
      <c r="QPX76" s="684"/>
      <c r="QPY76" s="684"/>
      <c r="QPZ76" s="684"/>
      <c r="QQA76" s="684"/>
      <c r="QQB76" s="684"/>
      <c r="QQC76" s="684"/>
      <c r="QQD76" s="684"/>
      <c r="QQE76" s="684"/>
      <c r="QQF76" s="684"/>
      <c r="QQG76" s="684"/>
      <c r="QQH76" s="684"/>
      <c r="QQI76" s="684"/>
      <c r="QQJ76" s="684"/>
      <c r="QQK76" s="684"/>
      <c r="QQL76" s="684"/>
      <c r="QQM76" s="684"/>
      <c r="QQN76" s="684"/>
      <c r="QQO76" s="684"/>
      <c r="QQP76" s="684"/>
      <c r="QQQ76" s="684"/>
      <c r="QQR76" s="684"/>
      <c r="QQS76" s="684"/>
      <c r="QQT76" s="684"/>
      <c r="QQU76" s="684"/>
      <c r="QQV76" s="684"/>
      <c r="QQW76" s="684"/>
      <c r="QQX76" s="684"/>
      <c r="QQY76" s="684"/>
      <c r="QQZ76" s="684"/>
      <c r="QRA76" s="684"/>
      <c r="QRB76" s="684"/>
      <c r="QRC76" s="684"/>
      <c r="QRD76" s="684"/>
      <c r="QRE76" s="684"/>
      <c r="QRF76" s="684"/>
      <c r="QRG76" s="684"/>
      <c r="QRH76" s="684"/>
      <c r="QRI76" s="684"/>
      <c r="QRJ76" s="684"/>
      <c r="QRK76" s="684"/>
      <c r="QRL76" s="684"/>
      <c r="QRM76" s="684"/>
      <c r="QRN76" s="684"/>
      <c r="QRO76" s="684"/>
      <c r="QRP76" s="684"/>
      <c r="QRQ76" s="684"/>
      <c r="QRR76" s="684"/>
      <c r="QRS76" s="684"/>
      <c r="QRT76" s="684"/>
      <c r="QRU76" s="684"/>
      <c r="QRV76" s="684"/>
      <c r="QRW76" s="684"/>
      <c r="QRX76" s="684"/>
      <c r="QRY76" s="684"/>
      <c r="QRZ76" s="684"/>
      <c r="QSA76" s="684"/>
      <c r="QSB76" s="684"/>
      <c r="QSC76" s="684"/>
      <c r="QSD76" s="684"/>
      <c r="QSE76" s="684"/>
      <c r="QSF76" s="684"/>
      <c r="QSG76" s="684"/>
      <c r="QSH76" s="684"/>
      <c r="QSI76" s="684"/>
      <c r="QSJ76" s="684"/>
      <c r="QSK76" s="684"/>
      <c r="QSL76" s="684"/>
      <c r="QSM76" s="684"/>
      <c r="QSN76" s="684"/>
      <c r="QSO76" s="684"/>
      <c r="QSP76" s="684"/>
      <c r="QSQ76" s="684"/>
      <c r="QSR76" s="684"/>
      <c r="QSS76" s="684"/>
      <c r="QST76" s="684"/>
      <c r="QSU76" s="684"/>
      <c r="QSV76" s="684"/>
      <c r="QSW76" s="684"/>
      <c r="QSX76" s="684"/>
      <c r="QSY76" s="684"/>
      <c r="QSZ76" s="684"/>
      <c r="QTA76" s="684"/>
      <c r="QTB76" s="684"/>
      <c r="QTC76" s="684"/>
      <c r="QTD76" s="684"/>
      <c r="QTE76" s="684"/>
      <c r="QTF76" s="684"/>
      <c r="QTG76" s="684"/>
      <c r="QTH76" s="684"/>
      <c r="QTI76" s="684"/>
      <c r="QTJ76" s="684"/>
      <c r="QTK76" s="684"/>
      <c r="QTL76" s="684"/>
      <c r="QTM76" s="684"/>
      <c r="QTN76" s="684"/>
      <c r="QTO76" s="684"/>
      <c r="QTP76" s="684"/>
      <c r="QTQ76" s="684"/>
      <c r="QTR76" s="684"/>
      <c r="QTS76" s="684"/>
      <c r="QTT76" s="684"/>
      <c r="QTU76" s="684"/>
      <c r="QTV76" s="684"/>
      <c r="QTW76" s="684"/>
      <c r="QTX76" s="684"/>
      <c r="QTY76" s="684"/>
      <c r="QTZ76" s="684"/>
      <c r="QUA76" s="684"/>
      <c r="QUB76" s="684"/>
      <c r="QUC76" s="684"/>
      <c r="QUD76" s="684"/>
      <c r="QUE76" s="684"/>
      <c r="QUF76" s="684"/>
      <c r="QUG76" s="684"/>
      <c r="QUH76" s="684"/>
      <c r="QUI76" s="684"/>
      <c r="QUJ76" s="684"/>
      <c r="QUK76" s="684"/>
      <c r="QUL76" s="684"/>
      <c r="QUM76" s="684"/>
      <c r="QUN76" s="684"/>
      <c r="QUO76" s="684"/>
      <c r="QUP76" s="684"/>
      <c r="QUQ76" s="684"/>
      <c r="QUR76" s="684"/>
      <c r="QUS76" s="684"/>
      <c r="QUT76" s="684"/>
      <c r="QUU76" s="684"/>
      <c r="QUV76" s="684"/>
      <c r="QUW76" s="684"/>
      <c r="QUX76" s="684"/>
      <c r="QUY76" s="684"/>
      <c r="QUZ76" s="684"/>
      <c r="QVA76" s="684"/>
      <c r="QVB76" s="684"/>
      <c r="QVC76" s="684"/>
      <c r="QVD76" s="684"/>
      <c r="QVE76" s="684"/>
      <c r="QVF76" s="684"/>
      <c r="QVG76" s="684"/>
      <c r="QVH76" s="684"/>
      <c r="QVI76" s="684"/>
      <c r="QVJ76" s="684"/>
      <c r="QVK76" s="684"/>
      <c r="QVL76" s="684"/>
      <c r="QVM76" s="684"/>
      <c r="QVN76" s="684"/>
      <c r="QVO76" s="684"/>
      <c r="QVP76" s="684"/>
      <c r="QVQ76" s="684"/>
      <c r="QVR76" s="684"/>
      <c r="QVS76" s="684"/>
      <c r="QVT76" s="684"/>
      <c r="QVU76" s="684"/>
      <c r="QVV76" s="684"/>
      <c r="QVW76" s="684"/>
      <c r="QVX76" s="684"/>
      <c r="QVY76" s="684"/>
      <c r="QVZ76" s="684"/>
      <c r="QWA76" s="684"/>
      <c r="QWB76" s="684"/>
      <c r="QWC76" s="684"/>
      <c r="QWD76" s="684"/>
      <c r="QWE76" s="684"/>
      <c r="QWF76" s="684"/>
      <c r="QWG76" s="684"/>
      <c r="QWH76" s="684"/>
      <c r="QWI76" s="684"/>
      <c r="QWJ76" s="684"/>
      <c r="QWK76" s="684"/>
      <c r="QWL76" s="684"/>
      <c r="QWM76" s="684"/>
      <c r="QWN76" s="684"/>
      <c r="QWO76" s="684"/>
      <c r="QWP76" s="684"/>
      <c r="QWQ76" s="684"/>
      <c r="QWR76" s="684"/>
      <c r="QWS76" s="684"/>
      <c r="QWT76" s="684"/>
      <c r="QWU76" s="684"/>
      <c r="QWV76" s="684"/>
      <c r="QWW76" s="684"/>
      <c r="QWX76" s="684"/>
      <c r="QWY76" s="684"/>
      <c r="QWZ76" s="684"/>
      <c r="QXA76" s="684"/>
      <c r="QXB76" s="684"/>
      <c r="QXC76" s="684"/>
      <c r="QXD76" s="684"/>
      <c r="QXE76" s="684"/>
      <c r="QXF76" s="684"/>
      <c r="QXG76" s="684"/>
      <c r="QXH76" s="684"/>
      <c r="QXI76" s="684"/>
      <c r="QXJ76" s="684"/>
      <c r="QXK76" s="684"/>
      <c r="QXL76" s="684"/>
      <c r="QXM76" s="684"/>
      <c r="QXN76" s="684"/>
      <c r="QXO76" s="684"/>
      <c r="QXP76" s="684"/>
      <c r="QXQ76" s="684"/>
      <c r="QXR76" s="684"/>
      <c r="QXS76" s="684"/>
      <c r="QXT76" s="684"/>
      <c r="QXU76" s="684"/>
      <c r="QXV76" s="684"/>
      <c r="QXW76" s="684"/>
      <c r="QXX76" s="684"/>
      <c r="QXY76" s="684"/>
      <c r="QXZ76" s="684"/>
      <c r="QYA76" s="684"/>
      <c r="QYB76" s="684"/>
      <c r="QYC76" s="684"/>
      <c r="QYD76" s="684"/>
      <c r="QYE76" s="684"/>
      <c r="QYF76" s="684"/>
      <c r="QYG76" s="684"/>
      <c r="QYH76" s="684"/>
      <c r="QYI76" s="684"/>
      <c r="QYJ76" s="684"/>
      <c r="QYK76" s="684"/>
      <c r="QYL76" s="684"/>
      <c r="QYM76" s="684"/>
      <c r="QYN76" s="684"/>
      <c r="QYO76" s="684"/>
      <c r="QYP76" s="684"/>
      <c r="QYQ76" s="684"/>
      <c r="QYR76" s="684"/>
      <c r="QYS76" s="684"/>
      <c r="QYT76" s="684"/>
      <c r="QYU76" s="684"/>
      <c r="QYV76" s="684"/>
      <c r="QYW76" s="684"/>
      <c r="QYX76" s="684"/>
      <c r="QYY76" s="684"/>
      <c r="QYZ76" s="684"/>
      <c r="QZA76" s="684"/>
      <c r="QZB76" s="684"/>
      <c r="QZC76" s="684"/>
      <c r="QZD76" s="684"/>
      <c r="QZE76" s="684"/>
      <c r="QZF76" s="684"/>
      <c r="QZG76" s="684"/>
      <c r="QZH76" s="684"/>
      <c r="QZI76" s="684"/>
      <c r="QZJ76" s="684"/>
      <c r="QZK76" s="684"/>
      <c r="QZL76" s="684"/>
      <c r="QZM76" s="684"/>
      <c r="QZN76" s="684"/>
      <c r="QZO76" s="684"/>
      <c r="QZP76" s="684"/>
      <c r="QZQ76" s="684"/>
      <c r="QZR76" s="684"/>
      <c r="QZS76" s="684"/>
      <c r="QZT76" s="684"/>
      <c r="QZU76" s="684"/>
      <c r="QZV76" s="684"/>
      <c r="QZW76" s="684"/>
      <c r="QZX76" s="684"/>
      <c r="QZY76" s="684"/>
      <c r="QZZ76" s="684"/>
      <c r="RAA76" s="684"/>
      <c r="RAB76" s="684"/>
      <c r="RAC76" s="684"/>
      <c r="RAD76" s="684"/>
      <c r="RAE76" s="684"/>
      <c r="RAF76" s="684"/>
      <c r="RAG76" s="684"/>
      <c r="RAH76" s="684"/>
      <c r="RAI76" s="684"/>
      <c r="RAJ76" s="684"/>
      <c r="RAK76" s="684"/>
      <c r="RAL76" s="684"/>
      <c r="RAM76" s="684"/>
      <c r="RAN76" s="684"/>
      <c r="RAO76" s="684"/>
      <c r="RAP76" s="684"/>
      <c r="RAQ76" s="684"/>
      <c r="RAR76" s="684"/>
      <c r="RAS76" s="684"/>
      <c r="RAT76" s="684"/>
      <c r="RAU76" s="684"/>
      <c r="RAV76" s="684"/>
      <c r="RAW76" s="684"/>
      <c r="RAX76" s="684"/>
      <c r="RAY76" s="684"/>
      <c r="RAZ76" s="684"/>
      <c r="RBA76" s="684"/>
      <c r="RBB76" s="684"/>
      <c r="RBC76" s="684"/>
      <c r="RBD76" s="684"/>
      <c r="RBE76" s="684"/>
      <c r="RBF76" s="684"/>
      <c r="RBG76" s="684"/>
      <c r="RBH76" s="684"/>
      <c r="RBI76" s="684"/>
      <c r="RBJ76" s="684"/>
      <c r="RBK76" s="684"/>
      <c r="RBL76" s="684"/>
      <c r="RBM76" s="684"/>
      <c r="RBN76" s="684"/>
      <c r="RBO76" s="684"/>
      <c r="RBP76" s="684"/>
      <c r="RBQ76" s="684"/>
      <c r="RBR76" s="684"/>
      <c r="RBS76" s="684"/>
      <c r="RBT76" s="684"/>
      <c r="RBU76" s="684"/>
      <c r="RBV76" s="684"/>
      <c r="RBW76" s="684"/>
      <c r="RBX76" s="684"/>
      <c r="RBY76" s="684"/>
      <c r="RBZ76" s="684"/>
      <c r="RCA76" s="684"/>
      <c r="RCB76" s="684"/>
      <c r="RCC76" s="684"/>
      <c r="RCD76" s="684"/>
      <c r="RCE76" s="684"/>
      <c r="RCF76" s="684"/>
      <c r="RCG76" s="684"/>
      <c r="RCH76" s="684"/>
      <c r="RCI76" s="684"/>
      <c r="RCJ76" s="684"/>
      <c r="RCK76" s="684"/>
      <c r="RCL76" s="684"/>
      <c r="RCM76" s="684"/>
      <c r="RCN76" s="684"/>
      <c r="RCO76" s="684"/>
      <c r="RCP76" s="684"/>
      <c r="RCQ76" s="684"/>
      <c r="RCR76" s="684"/>
      <c r="RCS76" s="684"/>
      <c r="RCT76" s="684"/>
      <c r="RCU76" s="684"/>
      <c r="RCV76" s="684"/>
      <c r="RCW76" s="684"/>
      <c r="RCX76" s="684"/>
      <c r="RCY76" s="684"/>
      <c r="RCZ76" s="684"/>
      <c r="RDA76" s="684"/>
      <c r="RDB76" s="684"/>
      <c r="RDC76" s="684"/>
      <c r="RDD76" s="684"/>
      <c r="RDE76" s="684"/>
      <c r="RDF76" s="684"/>
      <c r="RDG76" s="684"/>
      <c r="RDH76" s="684"/>
      <c r="RDI76" s="684"/>
      <c r="RDJ76" s="684"/>
      <c r="RDK76" s="684"/>
      <c r="RDL76" s="684"/>
      <c r="RDM76" s="684"/>
      <c r="RDN76" s="684"/>
      <c r="RDO76" s="684"/>
      <c r="RDP76" s="684"/>
      <c r="RDQ76" s="684"/>
      <c r="RDR76" s="684"/>
      <c r="RDS76" s="684"/>
      <c r="RDT76" s="684"/>
      <c r="RDU76" s="684"/>
      <c r="RDV76" s="684"/>
      <c r="RDW76" s="684"/>
      <c r="RDX76" s="684"/>
      <c r="RDY76" s="684"/>
      <c r="RDZ76" s="684"/>
      <c r="REA76" s="684"/>
      <c r="REB76" s="684"/>
      <c r="REC76" s="684"/>
      <c r="RED76" s="684"/>
      <c r="REE76" s="684"/>
      <c r="REF76" s="684"/>
      <c r="REG76" s="684"/>
      <c r="REH76" s="684"/>
      <c r="REI76" s="684"/>
      <c r="REJ76" s="684"/>
      <c r="REK76" s="684"/>
      <c r="REL76" s="684"/>
      <c r="REM76" s="684"/>
      <c r="REN76" s="684"/>
      <c r="REO76" s="684"/>
      <c r="REP76" s="684"/>
      <c r="REQ76" s="684"/>
      <c r="RER76" s="684"/>
      <c r="RES76" s="684"/>
      <c r="RET76" s="684"/>
      <c r="REU76" s="684"/>
      <c r="REV76" s="684"/>
      <c r="REW76" s="684"/>
      <c r="REX76" s="684"/>
      <c r="REY76" s="684"/>
      <c r="REZ76" s="684"/>
      <c r="RFA76" s="684"/>
      <c r="RFB76" s="684"/>
      <c r="RFC76" s="684"/>
      <c r="RFD76" s="684"/>
      <c r="RFE76" s="684"/>
      <c r="RFF76" s="684"/>
      <c r="RFG76" s="684"/>
      <c r="RFH76" s="684"/>
      <c r="RFI76" s="684"/>
      <c r="RFJ76" s="684"/>
      <c r="RFK76" s="684"/>
      <c r="RFL76" s="684"/>
      <c r="RFM76" s="684"/>
      <c r="RFN76" s="684"/>
      <c r="RFO76" s="684"/>
      <c r="RFP76" s="684"/>
      <c r="RFQ76" s="684"/>
      <c r="RFR76" s="684"/>
      <c r="RFS76" s="684"/>
      <c r="RFT76" s="684"/>
      <c r="RFU76" s="684"/>
      <c r="RFV76" s="684"/>
      <c r="RFW76" s="684"/>
      <c r="RFX76" s="684"/>
      <c r="RFY76" s="684"/>
      <c r="RFZ76" s="684"/>
      <c r="RGA76" s="684"/>
      <c r="RGB76" s="684"/>
      <c r="RGC76" s="684"/>
      <c r="RGD76" s="684"/>
      <c r="RGE76" s="684"/>
      <c r="RGF76" s="684"/>
      <c r="RGG76" s="684"/>
      <c r="RGH76" s="684"/>
      <c r="RGI76" s="684"/>
      <c r="RGJ76" s="684"/>
      <c r="RGK76" s="684"/>
      <c r="RGL76" s="684"/>
      <c r="RGM76" s="684"/>
      <c r="RGN76" s="684"/>
      <c r="RGO76" s="684"/>
      <c r="RGP76" s="684"/>
      <c r="RGQ76" s="684"/>
      <c r="RGR76" s="684"/>
      <c r="RGS76" s="684"/>
      <c r="RGT76" s="684"/>
      <c r="RGU76" s="684"/>
      <c r="RGV76" s="684"/>
      <c r="RGW76" s="684"/>
      <c r="RGX76" s="684"/>
      <c r="RGY76" s="684"/>
      <c r="RGZ76" s="684"/>
      <c r="RHA76" s="684"/>
      <c r="RHB76" s="684"/>
      <c r="RHC76" s="684"/>
      <c r="RHD76" s="684"/>
      <c r="RHE76" s="684"/>
      <c r="RHF76" s="684"/>
      <c r="RHG76" s="684"/>
      <c r="RHH76" s="684"/>
      <c r="RHI76" s="684"/>
      <c r="RHJ76" s="684"/>
      <c r="RHK76" s="684"/>
      <c r="RHL76" s="684"/>
      <c r="RHM76" s="684"/>
      <c r="RHN76" s="684"/>
      <c r="RHO76" s="684"/>
      <c r="RHP76" s="684"/>
      <c r="RHQ76" s="684"/>
      <c r="RHR76" s="684"/>
      <c r="RHS76" s="684"/>
      <c r="RHT76" s="684"/>
      <c r="RHU76" s="684"/>
      <c r="RHV76" s="684"/>
      <c r="RHW76" s="684"/>
      <c r="RHX76" s="684"/>
      <c r="RHY76" s="684"/>
      <c r="RHZ76" s="684"/>
      <c r="RIA76" s="684"/>
      <c r="RIB76" s="684"/>
      <c r="RIC76" s="684"/>
      <c r="RID76" s="684"/>
      <c r="RIE76" s="684"/>
      <c r="RIF76" s="684"/>
      <c r="RIG76" s="684"/>
      <c r="RIH76" s="684"/>
      <c r="RII76" s="684"/>
      <c r="RIJ76" s="684"/>
      <c r="RIK76" s="684"/>
      <c r="RIL76" s="684"/>
      <c r="RIM76" s="684"/>
      <c r="RIN76" s="684"/>
      <c r="RIO76" s="684"/>
      <c r="RIP76" s="684"/>
      <c r="RIQ76" s="684"/>
      <c r="RIR76" s="684"/>
      <c r="RIS76" s="684"/>
      <c r="RIT76" s="684"/>
      <c r="RIU76" s="684"/>
      <c r="RIV76" s="684"/>
      <c r="RIW76" s="684"/>
      <c r="RIX76" s="684"/>
      <c r="RIY76" s="684"/>
      <c r="RIZ76" s="684"/>
      <c r="RJA76" s="684"/>
      <c r="RJB76" s="684"/>
      <c r="RJC76" s="684"/>
      <c r="RJD76" s="684"/>
      <c r="RJE76" s="684"/>
      <c r="RJF76" s="684"/>
      <c r="RJG76" s="684"/>
      <c r="RJH76" s="684"/>
      <c r="RJI76" s="684"/>
      <c r="RJJ76" s="684"/>
      <c r="RJK76" s="684"/>
      <c r="RJL76" s="684"/>
      <c r="RJM76" s="684"/>
      <c r="RJN76" s="684"/>
      <c r="RJO76" s="684"/>
      <c r="RJP76" s="684"/>
      <c r="RJQ76" s="684"/>
      <c r="RJR76" s="684"/>
      <c r="RJS76" s="684"/>
      <c r="RJT76" s="684"/>
      <c r="RJU76" s="684"/>
      <c r="RJV76" s="684"/>
      <c r="RJW76" s="684"/>
      <c r="RJX76" s="684"/>
      <c r="RJY76" s="684"/>
      <c r="RJZ76" s="684"/>
      <c r="RKA76" s="684"/>
      <c r="RKB76" s="684"/>
      <c r="RKC76" s="684"/>
      <c r="RKD76" s="684"/>
      <c r="RKE76" s="684"/>
      <c r="RKF76" s="684"/>
      <c r="RKG76" s="684"/>
      <c r="RKH76" s="684"/>
      <c r="RKI76" s="684"/>
      <c r="RKJ76" s="684"/>
      <c r="RKK76" s="684"/>
      <c r="RKL76" s="684"/>
      <c r="RKM76" s="684"/>
      <c r="RKN76" s="684"/>
      <c r="RKO76" s="684"/>
      <c r="RKP76" s="684"/>
      <c r="RKQ76" s="684"/>
      <c r="RKR76" s="684"/>
      <c r="RKS76" s="684"/>
      <c r="RKT76" s="684"/>
      <c r="RKU76" s="684"/>
      <c r="RKV76" s="684"/>
      <c r="RKW76" s="684"/>
      <c r="RKX76" s="684"/>
      <c r="RKY76" s="684"/>
      <c r="RKZ76" s="684"/>
      <c r="RLA76" s="684"/>
      <c r="RLB76" s="684"/>
      <c r="RLC76" s="684"/>
      <c r="RLD76" s="684"/>
      <c r="RLE76" s="684"/>
      <c r="RLF76" s="684"/>
      <c r="RLG76" s="684"/>
      <c r="RLH76" s="684"/>
      <c r="RLI76" s="684"/>
      <c r="RLJ76" s="684"/>
      <c r="RLK76" s="684"/>
      <c r="RLL76" s="684"/>
      <c r="RLM76" s="684"/>
      <c r="RLN76" s="684"/>
      <c r="RLO76" s="684"/>
      <c r="RLP76" s="684"/>
      <c r="RLQ76" s="684"/>
      <c r="RLR76" s="684"/>
      <c r="RLS76" s="684"/>
      <c r="RLT76" s="684"/>
      <c r="RLU76" s="684"/>
      <c r="RLV76" s="684"/>
      <c r="RLW76" s="684"/>
      <c r="RLX76" s="684"/>
      <c r="RLY76" s="684"/>
      <c r="RLZ76" s="684"/>
      <c r="RMA76" s="684"/>
      <c r="RMB76" s="684"/>
      <c r="RMC76" s="684"/>
      <c r="RMD76" s="684"/>
      <c r="RME76" s="684"/>
      <c r="RMF76" s="684"/>
      <c r="RMG76" s="684"/>
      <c r="RMH76" s="684"/>
      <c r="RMI76" s="684"/>
      <c r="RMJ76" s="684"/>
      <c r="RMK76" s="684"/>
      <c r="RML76" s="684"/>
      <c r="RMM76" s="684"/>
      <c r="RMN76" s="684"/>
      <c r="RMO76" s="684"/>
      <c r="RMP76" s="684"/>
      <c r="RMQ76" s="684"/>
      <c r="RMR76" s="684"/>
      <c r="RMS76" s="684"/>
      <c r="RMT76" s="684"/>
      <c r="RMU76" s="684"/>
      <c r="RMV76" s="684"/>
      <c r="RMW76" s="684"/>
      <c r="RMX76" s="684"/>
      <c r="RMY76" s="684"/>
      <c r="RMZ76" s="684"/>
      <c r="RNA76" s="684"/>
      <c r="RNB76" s="684"/>
      <c r="RNC76" s="684"/>
      <c r="RND76" s="684"/>
      <c r="RNE76" s="684"/>
      <c r="RNF76" s="684"/>
      <c r="RNG76" s="684"/>
      <c r="RNH76" s="684"/>
      <c r="RNI76" s="684"/>
      <c r="RNJ76" s="684"/>
      <c r="RNK76" s="684"/>
      <c r="RNL76" s="684"/>
      <c r="RNM76" s="684"/>
      <c r="RNN76" s="684"/>
      <c r="RNO76" s="684"/>
      <c r="RNP76" s="684"/>
      <c r="RNQ76" s="684"/>
      <c r="RNR76" s="684"/>
      <c r="RNS76" s="684"/>
      <c r="RNT76" s="684"/>
      <c r="RNU76" s="684"/>
      <c r="RNV76" s="684"/>
      <c r="RNW76" s="684"/>
      <c r="RNX76" s="684"/>
      <c r="RNY76" s="684"/>
      <c r="RNZ76" s="684"/>
      <c r="ROA76" s="684"/>
      <c r="ROB76" s="684"/>
      <c r="ROC76" s="684"/>
      <c r="ROD76" s="684"/>
      <c r="ROE76" s="684"/>
      <c r="ROF76" s="684"/>
      <c r="ROG76" s="684"/>
      <c r="ROH76" s="684"/>
      <c r="ROI76" s="684"/>
      <c r="ROJ76" s="684"/>
      <c r="ROK76" s="684"/>
      <c r="ROL76" s="684"/>
      <c r="ROM76" s="684"/>
      <c r="RON76" s="684"/>
      <c r="ROO76" s="684"/>
      <c r="ROP76" s="684"/>
      <c r="ROQ76" s="684"/>
      <c r="ROR76" s="684"/>
      <c r="ROS76" s="684"/>
      <c r="ROT76" s="684"/>
      <c r="ROU76" s="684"/>
      <c r="ROV76" s="684"/>
      <c r="ROW76" s="684"/>
      <c r="ROX76" s="684"/>
      <c r="ROY76" s="684"/>
      <c r="ROZ76" s="684"/>
      <c r="RPA76" s="684"/>
      <c r="RPB76" s="684"/>
      <c r="RPC76" s="684"/>
      <c r="RPD76" s="684"/>
      <c r="RPE76" s="684"/>
      <c r="RPF76" s="684"/>
      <c r="RPG76" s="684"/>
      <c r="RPH76" s="684"/>
      <c r="RPI76" s="684"/>
      <c r="RPJ76" s="684"/>
      <c r="RPK76" s="684"/>
      <c r="RPL76" s="684"/>
      <c r="RPM76" s="684"/>
      <c r="RPN76" s="684"/>
      <c r="RPO76" s="684"/>
      <c r="RPP76" s="684"/>
      <c r="RPQ76" s="684"/>
      <c r="RPR76" s="684"/>
      <c r="RPS76" s="684"/>
      <c r="RPT76" s="684"/>
      <c r="RPU76" s="684"/>
      <c r="RPV76" s="684"/>
      <c r="RPW76" s="684"/>
      <c r="RPX76" s="684"/>
      <c r="RPY76" s="684"/>
      <c r="RPZ76" s="684"/>
      <c r="RQA76" s="684"/>
      <c r="RQB76" s="684"/>
      <c r="RQC76" s="684"/>
      <c r="RQD76" s="684"/>
      <c r="RQE76" s="684"/>
      <c r="RQF76" s="684"/>
      <c r="RQG76" s="684"/>
      <c r="RQH76" s="684"/>
      <c r="RQI76" s="684"/>
      <c r="RQJ76" s="684"/>
      <c r="RQK76" s="684"/>
      <c r="RQL76" s="684"/>
      <c r="RQM76" s="684"/>
      <c r="RQN76" s="684"/>
      <c r="RQO76" s="684"/>
      <c r="RQP76" s="684"/>
      <c r="RQQ76" s="684"/>
      <c r="RQR76" s="684"/>
      <c r="RQS76" s="684"/>
      <c r="RQT76" s="684"/>
      <c r="RQU76" s="684"/>
      <c r="RQV76" s="684"/>
      <c r="RQW76" s="684"/>
      <c r="RQX76" s="684"/>
      <c r="RQY76" s="684"/>
      <c r="RQZ76" s="684"/>
      <c r="RRA76" s="684"/>
      <c r="RRB76" s="684"/>
      <c r="RRC76" s="684"/>
      <c r="RRD76" s="684"/>
      <c r="RRE76" s="684"/>
      <c r="RRF76" s="684"/>
      <c r="RRG76" s="684"/>
      <c r="RRH76" s="684"/>
      <c r="RRI76" s="684"/>
      <c r="RRJ76" s="684"/>
      <c r="RRK76" s="684"/>
      <c r="RRL76" s="684"/>
      <c r="RRM76" s="684"/>
      <c r="RRN76" s="684"/>
      <c r="RRO76" s="684"/>
      <c r="RRP76" s="684"/>
      <c r="RRQ76" s="684"/>
      <c r="RRR76" s="684"/>
      <c r="RRS76" s="684"/>
      <c r="RRT76" s="684"/>
      <c r="RRU76" s="684"/>
      <c r="RRV76" s="684"/>
      <c r="RRW76" s="684"/>
      <c r="RRX76" s="684"/>
      <c r="RRY76" s="684"/>
      <c r="RRZ76" s="684"/>
      <c r="RSA76" s="684"/>
      <c r="RSB76" s="684"/>
      <c r="RSC76" s="684"/>
      <c r="RSD76" s="684"/>
      <c r="RSE76" s="684"/>
      <c r="RSF76" s="684"/>
      <c r="RSG76" s="684"/>
      <c r="RSH76" s="684"/>
      <c r="RSI76" s="684"/>
      <c r="RSJ76" s="684"/>
      <c r="RSK76" s="684"/>
      <c r="RSL76" s="684"/>
      <c r="RSM76" s="684"/>
      <c r="RSN76" s="684"/>
      <c r="RSO76" s="684"/>
      <c r="RSP76" s="684"/>
      <c r="RSQ76" s="684"/>
      <c r="RSR76" s="684"/>
      <c r="RSS76" s="684"/>
      <c r="RST76" s="684"/>
      <c r="RSU76" s="684"/>
      <c r="RSV76" s="684"/>
      <c r="RSW76" s="684"/>
      <c r="RSX76" s="684"/>
      <c r="RSY76" s="684"/>
      <c r="RSZ76" s="684"/>
      <c r="RTA76" s="684"/>
      <c r="RTB76" s="684"/>
      <c r="RTC76" s="684"/>
      <c r="RTD76" s="684"/>
      <c r="RTE76" s="684"/>
      <c r="RTF76" s="684"/>
      <c r="RTG76" s="684"/>
      <c r="RTH76" s="684"/>
      <c r="RTI76" s="684"/>
      <c r="RTJ76" s="684"/>
      <c r="RTK76" s="684"/>
      <c r="RTL76" s="684"/>
      <c r="RTM76" s="684"/>
      <c r="RTN76" s="684"/>
      <c r="RTO76" s="684"/>
      <c r="RTP76" s="684"/>
      <c r="RTQ76" s="684"/>
      <c r="RTR76" s="684"/>
      <c r="RTS76" s="684"/>
      <c r="RTT76" s="684"/>
      <c r="RTU76" s="684"/>
      <c r="RTV76" s="684"/>
      <c r="RTW76" s="684"/>
      <c r="RTX76" s="684"/>
      <c r="RTY76" s="684"/>
      <c r="RTZ76" s="684"/>
      <c r="RUA76" s="684"/>
      <c r="RUB76" s="684"/>
      <c r="RUC76" s="684"/>
      <c r="RUD76" s="684"/>
      <c r="RUE76" s="684"/>
      <c r="RUF76" s="684"/>
      <c r="RUG76" s="684"/>
      <c r="RUH76" s="684"/>
      <c r="RUI76" s="684"/>
      <c r="RUJ76" s="684"/>
      <c r="RUK76" s="684"/>
      <c r="RUL76" s="684"/>
      <c r="RUM76" s="684"/>
      <c r="RUN76" s="684"/>
      <c r="RUO76" s="684"/>
      <c r="RUP76" s="684"/>
      <c r="RUQ76" s="684"/>
      <c r="RUR76" s="684"/>
      <c r="RUS76" s="684"/>
      <c r="RUT76" s="684"/>
      <c r="RUU76" s="684"/>
      <c r="RUV76" s="684"/>
      <c r="RUW76" s="684"/>
      <c r="RUX76" s="684"/>
      <c r="RUY76" s="684"/>
      <c r="RUZ76" s="684"/>
      <c r="RVA76" s="684"/>
      <c r="RVB76" s="684"/>
      <c r="RVC76" s="684"/>
      <c r="RVD76" s="684"/>
      <c r="RVE76" s="684"/>
      <c r="RVF76" s="684"/>
      <c r="RVG76" s="684"/>
      <c r="RVH76" s="684"/>
      <c r="RVI76" s="684"/>
      <c r="RVJ76" s="684"/>
      <c r="RVK76" s="684"/>
      <c r="RVL76" s="684"/>
      <c r="RVM76" s="684"/>
      <c r="RVN76" s="684"/>
      <c r="RVO76" s="684"/>
      <c r="RVP76" s="684"/>
      <c r="RVQ76" s="684"/>
      <c r="RVR76" s="684"/>
      <c r="RVS76" s="684"/>
      <c r="RVT76" s="684"/>
      <c r="RVU76" s="684"/>
      <c r="RVV76" s="684"/>
      <c r="RVW76" s="684"/>
      <c r="RVX76" s="684"/>
      <c r="RVY76" s="684"/>
      <c r="RVZ76" s="684"/>
      <c r="RWA76" s="684"/>
      <c r="RWB76" s="684"/>
      <c r="RWC76" s="684"/>
      <c r="RWD76" s="684"/>
      <c r="RWE76" s="684"/>
      <c r="RWF76" s="684"/>
      <c r="RWG76" s="684"/>
      <c r="RWH76" s="684"/>
      <c r="RWI76" s="684"/>
      <c r="RWJ76" s="684"/>
      <c r="RWK76" s="684"/>
      <c r="RWL76" s="684"/>
      <c r="RWM76" s="684"/>
      <c r="RWN76" s="684"/>
      <c r="RWO76" s="684"/>
      <c r="RWP76" s="684"/>
      <c r="RWQ76" s="684"/>
      <c r="RWR76" s="684"/>
      <c r="RWS76" s="684"/>
      <c r="RWT76" s="684"/>
      <c r="RWU76" s="684"/>
      <c r="RWV76" s="684"/>
      <c r="RWW76" s="684"/>
      <c r="RWX76" s="684"/>
      <c r="RWY76" s="684"/>
      <c r="RWZ76" s="684"/>
      <c r="RXA76" s="684"/>
      <c r="RXB76" s="684"/>
      <c r="RXC76" s="684"/>
      <c r="RXD76" s="684"/>
      <c r="RXE76" s="684"/>
      <c r="RXF76" s="684"/>
      <c r="RXG76" s="684"/>
      <c r="RXH76" s="684"/>
      <c r="RXI76" s="684"/>
      <c r="RXJ76" s="684"/>
      <c r="RXK76" s="684"/>
      <c r="RXL76" s="684"/>
      <c r="RXM76" s="684"/>
      <c r="RXN76" s="684"/>
      <c r="RXO76" s="684"/>
      <c r="RXP76" s="684"/>
      <c r="RXQ76" s="684"/>
      <c r="RXR76" s="684"/>
      <c r="RXS76" s="684"/>
      <c r="RXT76" s="684"/>
      <c r="RXU76" s="684"/>
      <c r="RXV76" s="684"/>
      <c r="RXW76" s="684"/>
      <c r="RXX76" s="684"/>
      <c r="RXY76" s="684"/>
      <c r="RXZ76" s="684"/>
      <c r="RYA76" s="684"/>
      <c r="RYB76" s="684"/>
      <c r="RYC76" s="684"/>
      <c r="RYD76" s="684"/>
      <c r="RYE76" s="684"/>
      <c r="RYF76" s="684"/>
      <c r="RYG76" s="684"/>
      <c r="RYH76" s="684"/>
      <c r="RYI76" s="684"/>
      <c r="RYJ76" s="684"/>
      <c r="RYK76" s="684"/>
      <c r="RYL76" s="684"/>
      <c r="RYM76" s="684"/>
      <c r="RYN76" s="684"/>
      <c r="RYO76" s="684"/>
      <c r="RYP76" s="684"/>
      <c r="RYQ76" s="684"/>
      <c r="RYR76" s="684"/>
      <c r="RYS76" s="684"/>
      <c r="RYT76" s="684"/>
      <c r="RYU76" s="684"/>
      <c r="RYV76" s="684"/>
      <c r="RYW76" s="684"/>
      <c r="RYX76" s="684"/>
      <c r="RYY76" s="684"/>
      <c r="RYZ76" s="684"/>
      <c r="RZA76" s="684"/>
      <c r="RZB76" s="684"/>
      <c r="RZC76" s="684"/>
      <c r="RZD76" s="684"/>
      <c r="RZE76" s="684"/>
      <c r="RZF76" s="684"/>
      <c r="RZG76" s="684"/>
      <c r="RZH76" s="684"/>
      <c r="RZI76" s="684"/>
      <c r="RZJ76" s="684"/>
      <c r="RZK76" s="684"/>
      <c r="RZL76" s="684"/>
      <c r="RZM76" s="684"/>
      <c r="RZN76" s="684"/>
      <c r="RZO76" s="684"/>
      <c r="RZP76" s="684"/>
      <c r="RZQ76" s="684"/>
      <c r="RZR76" s="684"/>
      <c r="RZS76" s="684"/>
      <c r="RZT76" s="684"/>
      <c r="RZU76" s="684"/>
      <c r="RZV76" s="684"/>
      <c r="RZW76" s="684"/>
      <c r="RZX76" s="684"/>
      <c r="RZY76" s="684"/>
      <c r="RZZ76" s="684"/>
      <c r="SAA76" s="684"/>
      <c r="SAB76" s="684"/>
      <c r="SAC76" s="684"/>
      <c r="SAD76" s="684"/>
      <c r="SAE76" s="684"/>
      <c r="SAF76" s="684"/>
      <c r="SAG76" s="684"/>
      <c r="SAH76" s="684"/>
      <c r="SAI76" s="684"/>
      <c r="SAJ76" s="684"/>
      <c r="SAK76" s="684"/>
      <c r="SAL76" s="684"/>
      <c r="SAM76" s="684"/>
      <c r="SAN76" s="684"/>
      <c r="SAO76" s="684"/>
      <c r="SAP76" s="684"/>
      <c r="SAQ76" s="684"/>
      <c r="SAR76" s="684"/>
      <c r="SAS76" s="684"/>
      <c r="SAT76" s="684"/>
      <c r="SAU76" s="684"/>
      <c r="SAV76" s="684"/>
      <c r="SAW76" s="684"/>
      <c r="SAX76" s="684"/>
      <c r="SAY76" s="684"/>
      <c r="SAZ76" s="684"/>
      <c r="SBA76" s="684"/>
      <c r="SBB76" s="684"/>
      <c r="SBC76" s="684"/>
      <c r="SBD76" s="684"/>
      <c r="SBE76" s="684"/>
      <c r="SBF76" s="684"/>
      <c r="SBG76" s="684"/>
      <c r="SBH76" s="684"/>
      <c r="SBI76" s="684"/>
      <c r="SBJ76" s="684"/>
      <c r="SBK76" s="684"/>
      <c r="SBL76" s="684"/>
      <c r="SBM76" s="684"/>
      <c r="SBN76" s="684"/>
      <c r="SBO76" s="684"/>
      <c r="SBP76" s="684"/>
      <c r="SBQ76" s="684"/>
      <c r="SBR76" s="684"/>
      <c r="SBS76" s="684"/>
      <c r="SBT76" s="684"/>
      <c r="SBU76" s="684"/>
      <c r="SBV76" s="684"/>
      <c r="SBW76" s="684"/>
      <c r="SBX76" s="684"/>
      <c r="SBY76" s="684"/>
      <c r="SBZ76" s="684"/>
      <c r="SCA76" s="684"/>
      <c r="SCB76" s="684"/>
      <c r="SCC76" s="684"/>
      <c r="SCD76" s="684"/>
      <c r="SCE76" s="684"/>
      <c r="SCF76" s="684"/>
      <c r="SCG76" s="684"/>
      <c r="SCH76" s="684"/>
      <c r="SCI76" s="684"/>
      <c r="SCJ76" s="684"/>
      <c r="SCK76" s="684"/>
      <c r="SCL76" s="684"/>
      <c r="SCM76" s="684"/>
      <c r="SCN76" s="684"/>
      <c r="SCO76" s="684"/>
      <c r="SCP76" s="684"/>
      <c r="SCQ76" s="684"/>
      <c r="SCR76" s="684"/>
      <c r="SCS76" s="684"/>
      <c r="SCT76" s="684"/>
      <c r="SCU76" s="684"/>
      <c r="SCV76" s="684"/>
      <c r="SCW76" s="684"/>
      <c r="SCX76" s="684"/>
      <c r="SCY76" s="684"/>
      <c r="SCZ76" s="684"/>
      <c r="SDA76" s="684"/>
      <c r="SDB76" s="684"/>
      <c r="SDC76" s="684"/>
      <c r="SDD76" s="684"/>
      <c r="SDE76" s="684"/>
      <c r="SDF76" s="684"/>
      <c r="SDG76" s="684"/>
      <c r="SDH76" s="684"/>
      <c r="SDI76" s="684"/>
      <c r="SDJ76" s="684"/>
      <c r="SDK76" s="684"/>
      <c r="SDL76" s="684"/>
      <c r="SDM76" s="684"/>
      <c r="SDN76" s="684"/>
      <c r="SDO76" s="684"/>
      <c r="SDP76" s="684"/>
      <c r="SDQ76" s="684"/>
      <c r="SDR76" s="684"/>
      <c r="SDS76" s="684"/>
      <c r="SDT76" s="684"/>
      <c r="SDU76" s="684"/>
      <c r="SDV76" s="684"/>
      <c r="SDW76" s="684"/>
      <c r="SDX76" s="684"/>
      <c r="SDY76" s="684"/>
      <c r="SDZ76" s="684"/>
      <c r="SEA76" s="684"/>
      <c r="SEB76" s="684"/>
      <c r="SEC76" s="684"/>
      <c r="SED76" s="684"/>
      <c r="SEE76" s="684"/>
      <c r="SEF76" s="684"/>
      <c r="SEG76" s="684"/>
      <c r="SEH76" s="684"/>
      <c r="SEI76" s="684"/>
      <c r="SEJ76" s="684"/>
      <c r="SEK76" s="684"/>
      <c r="SEL76" s="684"/>
      <c r="SEM76" s="684"/>
      <c r="SEN76" s="684"/>
      <c r="SEO76" s="684"/>
      <c r="SEP76" s="684"/>
      <c r="SEQ76" s="684"/>
      <c r="SER76" s="684"/>
      <c r="SES76" s="684"/>
      <c r="SET76" s="684"/>
      <c r="SEU76" s="684"/>
      <c r="SEV76" s="684"/>
      <c r="SEW76" s="684"/>
      <c r="SEX76" s="684"/>
      <c r="SEY76" s="684"/>
      <c r="SEZ76" s="684"/>
      <c r="SFA76" s="684"/>
      <c r="SFB76" s="684"/>
      <c r="SFC76" s="684"/>
      <c r="SFD76" s="684"/>
      <c r="SFE76" s="684"/>
      <c r="SFF76" s="684"/>
      <c r="SFG76" s="684"/>
      <c r="SFH76" s="684"/>
      <c r="SFI76" s="684"/>
      <c r="SFJ76" s="684"/>
      <c r="SFK76" s="684"/>
      <c r="SFL76" s="684"/>
      <c r="SFM76" s="684"/>
      <c r="SFN76" s="684"/>
      <c r="SFO76" s="684"/>
      <c r="SFP76" s="684"/>
      <c r="SFQ76" s="684"/>
      <c r="SFR76" s="684"/>
      <c r="SFS76" s="684"/>
      <c r="SFT76" s="684"/>
      <c r="SFU76" s="684"/>
      <c r="SFV76" s="684"/>
      <c r="SFW76" s="684"/>
      <c r="SFX76" s="684"/>
      <c r="SFY76" s="684"/>
      <c r="SFZ76" s="684"/>
      <c r="SGA76" s="684"/>
      <c r="SGB76" s="684"/>
      <c r="SGC76" s="684"/>
      <c r="SGD76" s="684"/>
      <c r="SGE76" s="684"/>
      <c r="SGF76" s="684"/>
      <c r="SGG76" s="684"/>
      <c r="SGH76" s="684"/>
      <c r="SGI76" s="684"/>
      <c r="SGJ76" s="684"/>
      <c r="SGK76" s="684"/>
      <c r="SGL76" s="684"/>
      <c r="SGM76" s="684"/>
      <c r="SGN76" s="684"/>
      <c r="SGO76" s="684"/>
      <c r="SGP76" s="684"/>
      <c r="SGQ76" s="684"/>
      <c r="SGR76" s="684"/>
      <c r="SGS76" s="684"/>
      <c r="SGT76" s="684"/>
      <c r="SGU76" s="684"/>
      <c r="SGV76" s="684"/>
      <c r="SGW76" s="684"/>
      <c r="SGX76" s="684"/>
      <c r="SGY76" s="684"/>
      <c r="SGZ76" s="684"/>
      <c r="SHA76" s="684"/>
      <c r="SHB76" s="684"/>
      <c r="SHC76" s="684"/>
      <c r="SHD76" s="684"/>
      <c r="SHE76" s="684"/>
      <c r="SHF76" s="684"/>
      <c r="SHG76" s="684"/>
      <c r="SHH76" s="684"/>
      <c r="SHI76" s="684"/>
      <c r="SHJ76" s="684"/>
      <c r="SHK76" s="684"/>
      <c r="SHL76" s="684"/>
      <c r="SHM76" s="684"/>
      <c r="SHN76" s="684"/>
      <c r="SHO76" s="684"/>
      <c r="SHP76" s="684"/>
      <c r="SHQ76" s="684"/>
      <c r="SHR76" s="684"/>
      <c r="SHS76" s="684"/>
      <c r="SHT76" s="684"/>
      <c r="SHU76" s="684"/>
      <c r="SHV76" s="684"/>
      <c r="SHW76" s="684"/>
      <c r="SHX76" s="684"/>
      <c r="SHY76" s="684"/>
      <c r="SHZ76" s="684"/>
      <c r="SIA76" s="684"/>
      <c r="SIB76" s="684"/>
      <c r="SIC76" s="684"/>
      <c r="SID76" s="684"/>
      <c r="SIE76" s="684"/>
      <c r="SIF76" s="684"/>
      <c r="SIG76" s="684"/>
      <c r="SIH76" s="684"/>
      <c r="SII76" s="684"/>
      <c r="SIJ76" s="684"/>
      <c r="SIK76" s="684"/>
      <c r="SIL76" s="684"/>
      <c r="SIM76" s="684"/>
      <c r="SIN76" s="684"/>
      <c r="SIO76" s="684"/>
      <c r="SIP76" s="684"/>
      <c r="SIQ76" s="684"/>
      <c r="SIR76" s="684"/>
      <c r="SIS76" s="684"/>
      <c r="SIT76" s="684"/>
      <c r="SIU76" s="684"/>
      <c r="SIV76" s="684"/>
      <c r="SIW76" s="684"/>
      <c r="SIX76" s="684"/>
      <c r="SIY76" s="684"/>
      <c r="SIZ76" s="684"/>
      <c r="SJA76" s="684"/>
      <c r="SJB76" s="684"/>
      <c r="SJC76" s="684"/>
      <c r="SJD76" s="684"/>
      <c r="SJE76" s="684"/>
      <c r="SJF76" s="684"/>
      <c r="SJG76" s="684"/>
      <c r="SJH76" s="684"/>
      <c r="SJI76" s="684"/>
      <c r="SJJ76" s="684"/>
      <c r="SJK76" s="684"/>
      <c r="SJL76" s="684"/>
      <c r="SJM76" s="684"/>
      <c r="SJN76" s="684"/>
      <c r="SJO76" s="684"/>
      <c r="SJP76" s="684"/>
      <c r="SJQ76" s="684"/>
      <c r="SJR76" s="684"/>
      <c r="SJS76" s="684"/>
      <c r="SJT76" s="684"/>
      <c r="SJU76" s="684"/>
      <c r="SJV76" s="684"/>
      <c r="SJW76" s="684"/>
      <c r="SJX76" s="684"/>
      <c r="SJY76" s="684"/>
      <c r="SJZ76" s="684"/>
      <c r="SKA76" s="684"/>
      <c r="SKB76" s="684"/>
      <c r="SKC76" s="684"/>
      <c r="SKD76" s="684"/>
      <c r="SKE76" s="684"/>
      <c r="SKF76" s="684"/>
      <c r="SKG76" s="684"/>
      <c r="SKH76" s="684"/>
      <c r="SKI76" s="684"/>
      <c r="SKJ76" s="684"/>
      <c r="SKK76" s="684"/>
      <c r="SKL76" s="684"/>
      <c r="SKM76" s="684"/>
      <c r="SKN76" s="684"/>
      <c r="SKO76" s="684"/>
      <c r="SKP76" s="684"/>
      <c r="SKQ76" s="684"/>
      <c r="SKR76" s="684"/>
      <c r="SKS76" s="684"/>
      <c r="SKT76" s="684"/>
      <c r="SKU76" s="684"/>
      <c r="SKV76" s="684"/>
      <c r="SKW76" s="684"/>
      <c r="SKX76" s="684"/>
      <c r="SKY76" s="684"/>
      <c r="SKZ76" s="684"/>
      <c r="SLA76" s="684"/>
      <c r="SLB76" s="684"/>
      <c r="SLC76" s="684"/>
      <c r="SLD76" s="684"/>
      <c r="SLE76" s="684"/>
      <c r="SLF76" s="684"/>
      <c r="SLG76" s="684"/>
      <c r="SLH76" s="684"/>
      <c r="SLI76" s="684"/>
      <c r="SLJ76" s="684"/>
      <c r="SLK76" s="684"/>
      <c r="SLL76" s="684"/>
      <c r="SLM76" s="684"/>
      <c r="SLN76" s="684"/>
      <c r="SLO76" s="684"/>
      <c r="SLP76" s="684"/>
      <c r="SLQ76" s="684"/>
      <c r="SLR76" s="684"/>
      <c r="SLS76" s="684"/>
      <c r="SLT76" s="684"/>
      <c r="SLU76" s="684"/>
      <c r="SLV76" s="684"/>
      <c r="SLW76" s="684"/>
      <c r="SLX76" s="684"/>
      <c r="SLY76" s="684"/>
      <c r="SLZ76" s="684"/>
      <c r="SMA76" s="684"/>
      <c r="SMB76" s="684"/>
      <c r="SMC76" s="684"/>
      <c r="SMD76" s="684"/>
      <c r="SME76" s="684"/>
      <c r="SMF76" s="684"/>
      <c r="SMG76" s="684"/>
      <c r="SMH76" s="684"/>
      <c r="SMI76" s="684"/>
      <c r="SMJ76" s="684"/>
      <c r="SMK76" s="684"/>
      <c r="SML76" s="684"/>
      <c r="SMM76" s="684"/>
      <c r="SMN76" s="684"/>
      <c r="SMO76" s="684"/>
      <c r="SMP76" s="684"/>
      <c r="SMQ76" s="684"/>
      <c r="SMR76" s="684"/>
      <c r="SMS76" s="684"/>
      <c r="SMT76" s="684"/>
      <c r="SMU76" s="684"/>
      <c r="SMV76" s="684"/>
      <c r="SMW76" s="684"/>
      <c r="SMX76" s="684"/>
      <c r="SMY76" s="684"/>
      <c r="SMZ76" s="684"/>
      <c r="SNA76" s="684"/>
      <c r="SNB76" s="684"/>
      <c r="SNC76" s="684"/>
      <c r="SND76" s="684"/>
      <c r="SNE76" s="684"/>
      <c r="SNF76" s="684"/>
      <c r="SNG76" s="684"/>
      <c r="SNH76" s="684"/>
      <c r="SNI76" s="684"/>
      <c r="SNJ76" s="684"/>
      <c r="SNK76" s="684"/>
      <c r="SNL76" s="684"/>
      <c r="SNM76" s="684"/>
      <c r="SNN76" s="684"/>
      <c r="SNO76" s="684"/>
      <c r="SNP76" s="684"/>
      <c r="SNQ76" s="684"/>
      <c r="SNR76" s="684"/>
      <c r="SNS76" s="684"/>
      <c r="SNT76" s="684"/>
      <c r="SNU76" s="684"/>
      <c r="SNV76" s="684"/>
      <c r="SNW76" s="684"/>
      <c r="SNX76" s="684"/>
      <c r="SNY76" s="684"/>
      <c r="SNZ76" s="684"/>
      <c r="SOA76" s="684"/>
      <c r="SOB76" s="684"/>
      <c r="SOC76" s="684"/>
      <c r="SOD76" s="684"/>
      <c r="SOE76" s="684"/>
      <c r="SOF76" s="684"/>
      <c r="SOG76" s="684"/>
      <c r="SOH76" s="684"/>
      <c r="SOI76" s="684"/>
      <c r="SOJ76" s="684"/>
      <c r="SOK76" s="684"/>
      <c r="SOL76" s="684"/>
      <c r="SOM76" s="684"/>
      <c r="SON76" s="684"/>
      <c r="SOO76" s="684"/>
      <c r="SOP76" s="684"/>
      <c r="SOQ76" s="684"/>
      <c r="SOR76" s="684"/>
      <c r="SOS76" s="684"/>
      <c r="SOT76" s="684"/>
      <c r="SOU76" s="684"/>
      <c r="SOV76" s="684"/>
      <c r="SOW76" s="684"/>
      <c r="SOX76" s="684"/>
      <c r="SOY76" s="684"/>
      <c r="SOZ76" s="684"/>
      <c r="SPA76" s="684"/>
      <c r="SPB76" s="684"/>
      <c r="SPC76" s="684"/>
      <c r="SPD76" s="684"/>
      <c r="SPE76" s="684"/>
      <c r="SPF76" s="684"/>
      <c r="SPG76" s="684"/>
      <c r="SPH76" s="684"/>
      <c r="SPI76" s="684"/>
      <c r="SPJ76" s="684"/>
      <c r="SPK76" s="684"/>
      <c r="SPL76" s="684"/>
      <c r="SPM76" s="684"/>
      <c r="SPN76" s="684"/>
      <c r="SPO76" s="684"/>
      <c r="SPP76" s="684"/>
      <c r="SPQ76" s="684"/>
      <c r="SPR76" s="684"/>
      <c r="SPS76" s="684"/>
      <c r="SPT76" s="684"/>
      <c r="SPU76" s="684"/>
      <c r="SPV76" s="684"/>
      <c r="SPW76" s="684"/>
      <c r="SPX76" s="684"/>
      <c r="SPY76" s="684"/>
      <c r="SPZ76" s="684"/>
      <c r="SQA76" s="684"/>
      <c r="SQB76" s="684"/>
      <c r="SQC76" s="684"/>
      <c r="SQD76" s="684"/>
      <c r="SQE76" s="684"/>
      <c r="SQF76" s="684"/>
      <c r="SQG76" s="684"/>
      <c r="SQH76" s="684"/>
      <c r="SQI76" s="684"/>
      <c r="SQJ76" s="684"/>
      <c r="SQK76" s="684"/>
      <c r="SQL76" s="684"/>
      <c r="SQM76" s="684"/>
      <c r="SQN76" s="684"/>
      <c r="SQO76" s="684"/>
      <c r="SQP76" s="684"/>
      <c r="SQQ76" s="684"/>
      <c r="SQR76" s="684"/>
      <c r="SQS76" s="684"/>
      <c r="SQT76" s="684"/>
      <c r="SQU76" s="684"/>
      <c r="SQV76" s="684"/>
      <c r="SQW76" s="684"/>
      <c r="SQX76" s="684"/>
      <c r="SQY76" s="684"/>
      <c r="SQZ76" s="684"/>
      <c r="SRA76" s="684"/>
      <c r="SRB76" s="684"/>
      <c r="SRC76" s="684"/>
      <c r="SRD76" s="684"/>
      <c r="SRE76" s="684"/>
      <c r="SRF76" s="684"/>
      <c r="SRG76" s="684"/>
      <c r="SRH76" s="684"/>
      <c r="SRI76" s="684"/>
      <c r="SRJ76" s="684"/>
      <c r="SRK76" s="684"/>
      <c r="SRL76" s="684"/>
      <c r="SRM76" s="684"/>
      <c r="SRN76" s="684"/>
      <c r="SRO76" s="684"/>
      <c r="SRP76" s="684"/>
      <c r="SRQ76" s="684"/>
      <c r="SRR76" s="684"/>
      <c r="SRS76" s="684"/>
      <c r="SRT76" s="684"/>
      <c r="SRU76" s="684"/>
      <c r="SRV76" s="684"/>
      <c r="SRW76" s="684"/>
      <c r="SRX76" s="684"/>
      <c r="SRY76" s="684"/>
      <c r="SRZ76" s="684"/>
      <c r="SSA76" s="684"/>
      <c r="SSB76" s="684"/>
      <c r="SSC76" s="684"/>
      <c r="SSD76" s="684"/>
      <c r="SSE76" s="684"/>
      <c r="SSF76" s="684"/>
      <c r="SSG76" s="684"/>
      <c r="SSH76" s="684"/>
      <c r="SSI76" s="684"/>
      <c r="SSJ76" s="684"/>
      <c r="SSK76" s="684"/>
      <c r="SSL76" s="684"/>
      <c r="SSM76" s="684"/>
      <c r="SSN76" s="684"/>
      <c r="SSO76" s="684"/>
      <c r="SSP76" s="684"/>
      <c r="SSQ76" s="684"/>
      <c r="SSR76" s="684"/>
      <c r="SSS76" s="684"/>
      <c r="SST76" s="684"/>
      <c r="SSU76" s="684"/>
      <c r="SSV76" s="684"/>
      <c r="SSW76" s="684"/>
      <c r="SSX76" s="684"/>
      <c r="SSY76" s="684"/>
      <c r="SSZ76" s="684"/>
      <c r="STA76" s="684"/>
      <c r="STB76" s="684"/>
      <c r="STC76" s="684"/>
      <c r="STD76" s="684"/>
      <c r="STE76" s="684"/>
      <c r="STF76" s="684"/>
      <c r="STG76" s="684"/>
      <c r="STH76" s="684"/>
      <c r="STI76" s="684"/>
      <c r="STJ76" s="684"/>
      <c r="STK76" s="684"/>
      <c r="STL76" s="684"/>
      <c r="STM76" s="684"/>
      <c r="STN76" s="684"/>
      <c r="STO76" s="684"/>
      <c r="STP76" s="684"/>
      <c r="STQ76" s="684"/>
      <c r="STR76" s="684"/>
      <c r="STS76" s="684"/>
      <c r="STT76" s="684"/>
      <c r="STU76" s="684"/>
      <c r="STV76" s="684"/>
      <c r="STW76" s="684"/>
      <c r="STX76" s="684"/>
      <c r="STY76" s="684"/>
      <c r="STZ76" s="684"/>
      <c r="SUA76" s="684"/>
      <c r="SUB76" s="684"/>
      <c r="SUC76" s="684"/>
      <c r="SUD76" s="684"/>
      <c r="SUE76" s="684"/>
      <c r="SUF76" s="684"/>
      <c r="SUG76" s="684"/>
      <c r="SUH76" s="684"/>
      <c r="SUI76" s="684"/>
      <c r="SUJ76" s="684"/>
      <c r="SUK76" s="684"/>
      <c r="SUL76" s="684"/>
      <c r="SUM76" s="684"/>
      <c r="SUN76" s="684"/>
      <c r="SUO76" s="684"/>
      <c r="SUP76" s="684"/>
      <c r="SUQ76" s="684"/>
      <c r="SUR76" s="684"/>
      <c r="SUS76" s="684"/>
      <c r="SUT76" s="684"/>
      <c r="SUU76" s="684"/>
      <c r="SUV76" s="684"/>
      <c r="SUW76" s="684"/>
      <c r="SUX76" s="684"/>
      <c r="SUY76" s="684"/>
      <c r="SUZ76" s="684"/>
      <c r="SVA76" s="684"/>
      <c r="SVB76" s="684"/>
      <c r="SVC76" s="684"/>
      <c r="SVD76" s="684"/>
      <c r="SVE76" s="684"/>
      <c r="SVF76" s="684"/>
      <c r="SVG76" s="684"/>
      <c r="SVH76" s="684"/>
      <c r="SVI76" s="684"/>
      <c r="SVJ76" s="684"/>
      <c r="SVK76" s="684"/>
      <c r="SVL76" s="684"/>
      <c r="SVM76" s="684"/>
      <c r="SVN76" s="684"/>
      <c r="SVO76" s="684"/>
      <c r="SVP76" s="684"/>
      <c r="SVQ76" s="684"/>
      <c r="SVR76" s="684"/>
      <c r="SVS76" s="684"/>
      <c r="SVT76" s="684"/>
      <c r="SVU76" s="684"/>
      <c r="SVV76" s="684"/>
      <c r="SVW76" s="684"/>
      <c r="SVX76" s="684"/>
      <c r="SVY76" s="684"/>
      <c r="SVZ76" s="684"/>
      <c r="SWA76" s="684"/>
      <c r="SWB76" s="684"/>
      <c r="SWC76" s="684"/>
      <c r="SWD76" s="684"/>
      <c r="SWE76" s="684"/>
      <c r="SWF76" s="684"/>
      <c r="SWG76" s="684"/>
      <c r="SWH76" s="684"/>
      <c r="SWI76" s="684"/>
      <c r="SWJ76" s="684"/>
      <c r="SWK76" s="684"/>
      <c r="SWL76" s="684"/>
      <c r="SWM76" s="684"/>
      <c r="SWN76" s="684"/>
      <c r="SWO76" s="684"/>
      <c r="SWP76" s="684"/>
      <c r="SWQ76" s="684"/>
      <c r="SWR76" s="684"/>
      <c r="SWS76" s="684"/>
      <c r="SWT76" s="684"/>
      <c r="SWU76" s="684"/>
      <c r="SWV76" s="684"/>
      <c r="SWW76" s="684"/>
      <c r="SWX76" s="684"/>
      <c r="SWY76" s="684"/>
      <c r="SWZ76" s="684"/>
      <c r="SXA76" s="684"/>
      <c r="SXB76" s="684"/>
      <c r="SXC76" s="684"/>
      <c r="SXD76" s="684"/>
      <c r="SXE76" s="684"/>
      <c r="SXF76" s="684"/>
      <c r="SXG76" s="684"/>
      <c r="SXH76" s="684"/>
      <c r="SXI76" s="684"/>
      <c r="SXJ76" s="684"/>
      <c r="SXK76" s="684"/>
      <c r="SXL76" s="684"/>
      <c r="SXM76" s="684"/>
      <c r="SXN76" s="684"/>
      <c r="SXO76" s="684"/>
      <c r="SXP76" s="684"/>
      <c r="SXQ76" s="684"/>
      <c r="SXR76" s="684"/>
      <c r="SXS76" s="684"/>
      <c r="SXT76" s="684"/>
      <c r="SXU76" s="684"/>
      <c r="SXV76" s="684"/>
      <c r="SXW76" s="684"/>
      <c r="SXX76" s="684"/>
      <c r="SXY76" s="684"/>
      <c r="SXZ76" s="684"/>
      <c r="SYA76" s="684"/>
      <c r="SYB76" s="684"/>
      <c r="SYC76" s="684"/>
      <c r="SYD76" s="684"/>
      <c r="SYE76" s="684"/>
      <c r="SYF76" s="684"/>
      <c r="SYG76" s="684"/>
      <c r="SYH76" s="684"/>
      <c r="SYI76" s="684"/>
      <c r="SYJ76" s="684"/>
      <c r="SYK76" s="684"/>
      <c r="SYL76" s="684"/>
      <c r="SYM76" s="684"/>
      <c r="SYN76" s="684"/>
      <c r="SYO76" s="684"/>
      <c r="SYP76" s="684"/>
      <c r="SYQ76" s="684"/>
      <c r="SYR76" s="684"/>
      <c r="SYS76" s="684"/>
      <c r="SYT76" s="684"/>
      <c r="SYU76" s="684"/>
      <c r="SYV76" s="684"/>
      <c r="SYW76" s="684"/>
      <c r="SYX76" s="684"/>
      <c r="SYY76" s="684"/>
      <c r="SYZ76" s="684"/>
      <c r="SZA76" s="684"/>
      <c r="SZB76" s="684"/>
      <c r="SZC76" s="684"/>
      <c r="SZD76" s="684"/>
      <c r="SZE76" s="684"/>
      <c r="SZF76" s="684"/>
      <c r="SZG76" s="684"/>
      <c r="SZH76" s="684"/>
      <c r="SZI76" s="684"/>
      <c r="SZJ76" s="684"/>
      <c r="SZK76" s="684"/>
      <c r="SZL76" s="684"/>
      <c r="SZM76" s="684"/>
      <c r="SZN76" s="684"/>
      <c r="SZO76" s="684"/>
      <c r="SZP76" s="684"/>
      <c r="SZQ76" s="684"/>
      <c r="SZR76" s="684"/>
      <c r="SZS76" s="684"/>
      <c r="SZT76" s="684"/>
      <c r="SZU76" s="684"/>
      <c r="SZV76" s="684"/>
      <c r="SZW76" s="684"/>
      <c r="SZX76" s="684"/>
      <c r="SZY76" s="684"/>
      <c r="SZZ76" s="684"/>
      <c r="TAA76" s="684"/>
      <c r="TAB76" s="684"/>
      <c r="TAC76" s="684"/>
      <c r="TAD76" s="684"/>
      <c r="TAE76" s="684"/>
      <c r="TAF76" s="684"/>
      <c r="TAG76" s="684"/>
      <c r="TAH76" s="684"/>
      <c r="TAI76" s="684"/>
      <c r="TAJ76" s="684"/>
      <c r="TAK76" s="684"/>
      <c r="TAL76" s="684"/>
      <c r="TAM76" s="684"/>
      <c r="TAN76" s="684"/>
      <c r="TAO76" s="684"/>
      <c r="TAP76" s="684"/>
      <c r="TAQ76" s="684"/>
      <c r="TAR76" s="684"/>
      <c r="TAS76" s="684"/>
      <c r="TAT76" s="684"/>
      <c r="TAU76" s="684"/>
      <c r="TAV76" s="684"/>
      <c r="TAW76" s="684"/>
      <c r="TAX76" s="684"/>
      <c r="TAY76" s="684"/>
      <c r="TAZ76" s="684"/>
      <c r="TBA76" s="684"/>
      <c r="TBB76" s="684"/>
      <c r="TBC76" s="684"/>
      <c r="TBD76" s="684"/>
      <c r="TBE76" s="684"/>
      <c r="TBF76" s="684"/>
      <c r="TBG76" s="684"/>
      <c r="TBH76" s="684"/>
      <c r="TBI76" s="684"/>
      <c r="TBJ76" s="684"/>
      <c r="TBK76" s="684"/>
      <c r="TBL76" s="684"/>
      <c r="TBM76" s="684"/>
      <c r="TBN76" s="684"/>
      <c r="TBO76" s="684"/>
      <c r="TBP76" s="684"/>
      <c r="TBQ76" s="684"/>
      <c r="TBR76" s="684"/>
      <c r="TBS76" s="684"/>
      <c r="TBT76" s="684"/>
      <c r="TBU76" s="684"/>
      <c r="TBV76" s="684"/>
      <c r="TBW76" s="684"/>
      <c r="TBX76" s="684"/>
      <c r="TBY76" s="684"/>
      <c r="TBZ76" s="684"/>
      <c r="TCA76" s="684"/>
      <c r="TCB76" s="684"/>
      <c r="TCC76" s="684"/>
      <c r="TCD76" s="684"/>
      <c r="TCE76" s="684"/>
      <c r="TCF76" s="684"/>
      <c r="TCG76" s="684"/>
      <c r="TCH76" s="684"/>
      <c r="TCI76" s="684"/>
      <c r="TCJ76" s="684"/>
      <c r="TCK76" s="684"/>
      <c r="TCL76" s="684"/>
      <c r="TCM76" s="684"/>
      <c r="TCN76" s="684"/>
      <c r="TCO76" s="684"/>
      <c r="TCP76" s="684"/>
      <c r="TCQ76" s="684"/>
      <c r="TCR76" s="684"/>
      <c r="TCS76" s="684"/>
      <c r="TCT76" s="684"/>
      <c r="TCU76" s="684"/>
      <c r="TCV76" s="684"/>
      <c r="TCW76" s="684"/>
      <c r="TCX76" s="684"/>
      <c r="TCY76" s="684"/>
      <c r="TCZ76" s="684"/>
      <c r="TDA76" s="684"/>
      <c r="TDB76" s="684"/>
      <c r="TDC76" s="684"/>
      <c r="TDD76" s="684"/>
      <c r="TDE76" s="684"/>
      <c r="TDF76" s="684"/>
      <c r="TDG76" s="684"/>
      <c r="TDH76" s="684"/>
      <c r="TDI76" s="684"/>
      <c r="TDJ76" s="684"/>
      <c r="TDK76" s="684"/>
      <c r="TDL76" s="684"/>
      <c r="TDM76" s="684"/>
      <c r="TDN76" s="684"/>
      <c r="TDO76" s="684"/>
      <c r="TDP76" s="684"/>
      <c r="TDQ76" s="684"/>
      <c r="TDR76" s="684"/>
      <c r="TDS76" s="684"/>
      <c r="TDT76" s="684"/>
      <c r="TDU76" s="684"/>
      <c r="TDV76" s="684"/>
      <c r="TDW76" s="684"/>
      <c r="TDX76" s="684"/>
      <c r="TDY76" s="684"/>
      <c r="TDZ76" s="684"/>
      <c r="TEA76" s="684"/>
      <c r="TEB76" s="684"/>
      <c r="TEC76" s="684"/>
      <c r="TED76" s="684"/>
      <c r="TEE76" s="684"/>
      <c r="TEF76" s="684"/>
      <c r="TEG76" s="684"/>
      <c r="TEH76" s="684"/>
      <c r="TEI76" s="684"/>
      <c r="TEJ76" s="684"/>
      <c r="TEK76" s="684"/>
      <c r="TEL76" s="684"/>
      <c r="TEM76" s="684"/>
      <c r="TEN76" s="684"/>
      <c r="TEO76" s="684"/>
      <c r="TEP76" s="684"/>
      <c r="TEQ76" s="684"/>
      <c r="TER76" s="684"/>
      <c r="TES76" s="684"/>
      <c r="TET76" s="684"/>
      <c r="TEU76" s="684"/>
      <c r="TEV76" s="684"/>
      <c r="TEW76" s="684"/>
      <c r="TEX76" s="684"/>
      <c r="TEY76" s="684"/>
      <c r="TEZ76" s="684"/>
      <c r="TFA76" s="684"/>
      <c r="TFB76" s="684"/>
      <c r="TFC76" s="684"/>
      <c r="TFD76" s="684"/>
      <c r="TFE76" s="684"/>
      <c r="TFF76" s="684"/>
      <c r="TFG76" s="684"/>
      <c r="TFH76" s="684"/>
      <c r="TFI76" s="684"/>
      <c r="TFJ76" s="684"/>
      <c r="TFK76" s="684"/>
      <c r="TFL76" s="684"/>
      <c r="TFM76" s="684"/>
      <c r="TFN76" s="684"/>
      <c r="TFO76" s="684"/>
      <c r="TFP76" s="684"/>
      <c r="TFQ76" s="684"/>
      <c r="TFR76" s="684"/>
      <c r="TFS76" s="684"/>
      <c r="TFT76" s="684"/>
      <c r="TFU76" s="684"/>
      <c r="TFV76" s="684"/>
      <c r="TFW76" s="684"/>
      <c r="TFX76" s="684"/>
      <c r="TFY76" s="684"/>
      <c r="TFZ76" s="684"/>
      <c r="TGA76" s="684"/>
      <c r="TGB76" s="684"/>
      <c r="TGC76" s="684"/>
      <c r="TGD76" s="684"/>
      <c r="TGE76" s="684"/>
      <c r="TGF76" s="684"/>
      <c r="TGG76" s="684"/>
      <c r="TGH76" s="684"/>
      <c r="TGI76" s="684"/>
      <c r="TGJ76" s="684"/>
      <c r="TGK76" s="684"/>
      <c r="TGL76" s="684"/>
      <c r="TGM76" s="684"/>
      <c r="TGN76" s="684"/>
      <c r="TGO76" s="684"/>
      <c r="TGP76" s="684"/>
      <c r="TGQ76" s="684"/>
      <c r="TGR76" s="684"/>
      <c r="TGS76" s="684"/>
      <c r="TGT76" s="684"/>
      <c r="TGU76" s="684"/>
      <c r="TGV76" s="684"/>
      <c r="TGW76" s="684"/>
      <c r="TGX76" s="684"/>
      <c r="TGY76" s="684"/>
      <c r="TGZ76" s="684"/>
      <c r="THA76" s="684"/>
      <c r="THB76" s="684"/>
      <c r="THC76" s="684"/>
      <c r="THD76" s="684"/>
      <c r="THE76" s="684"/>
      <c r="THF76" s="684"/>
      <c r="THG76" s="684"/>
      <c r="THH76" s="684"/>
      <c r="THI76" s="684"/>
      <c r="THJ76" s="684"/>
      <c r="THK76" s="684"/>
      <c r="THL76" s="684"/>
      <c r="THM76" s="684"/>
      <c r="THN76" s="684"/>
      <c r="THO76" s="684"/>
      <c r="THP76" s="684"/>
      <c r="THQ76" s="684"/>
      <c r="THR76" s="684"/>
      <c r="THS76" s="684"/>
      <c r="THT76" s="684"/>
      <c r="THU76" s="684"/>
      <c r="THV76" s="684"/>
      <c r="THW76" s="684"/>
      <c r="THX76" s="684"/>
      <c r="THY76" s="684"/>
      <c r="THZ76" s="684"/>
      <c r="TIA76" s="684"/>
      <c r="TIB76" s="684"/>
      <c r="TIC76" s="684"/>
      <c r="TID76" s="684"/>
      <c r="TIE76" s="684"/>
      <c r="TIF76" s="684"/>
      <c r="TIG76" s="684"/>
      <c r="TIH76" s="684"/>
      <c r="TII76" s="684"/>
      <c r="TIJ76" s="684"/>
      <c r="TIK76" s="684"/>
      <c r="TIL76" s="684"/>
      <c r="TIM76" s="684"/>
      <c r="TIN76" s="684"/>
      <c r="TIO76" s="684"/>
      <c r="TIP76" s="684"/>
      <c r="TIQ76" s="684"/>
      <c r="TIR76" s="684"/>
      <c r="TIS76" s="684"/>
      <c r="TIT76" s="684"/>
      <c r="TIU76" s="684"/>
      <c r="TIV76" s="684"/>
      <c r="TIW76" s="684"/>
      <c r="TIX76" s="684"/>
      <c r="TIY76" s="684"/>
      <c r="TIZ76" s="684"/>
      <c r="TJA76" s="684"/>
      <c r="TJB76" s="684"/>
      <c r="TJC76" s="684"/>
      <c r="TJD76" s="684"/>
      <c r="TJE76" s="684"/>
      <c r="TJF76" s="684"/>
      <c r="TJG76" s="684"/>
      <c r="TJH76" s="684"/>
      <c r="TJI76" s="684"/>
      <c r="TJJ76" s="684"/>
      <c r="TJK76" s="684"/>
      <c r="TJL76" s="684"/>
      <c r="TJM76" s="684"/>
      <c r="TJN76" s="684"/>
      <c r="TJO76" s="684"/>
      <c r="TJP76" s="684"/>
      <c r="TJQ76" s="684"/>
      <c r="TJR76" s="684"/>
      <c r="TJS76" s="684"/>
      <c r="TJT76" s="684"/>
      <c r="TJU76" s="684"/>
      <c r="TJV76" s="684"/>
      <c r="TJW76" s="684"/>
      <c r="TJX76" s="684"/>
      <c r="TJY76" s="684"/>
      <c r="TJZ76" s="684"/>
      <c r="TKA76" s="684"/>
      <c r="TKB76" s="684"/>
      <c r="TKC76" s="684"/>
      <c r="TKD76" s="684"/>
      <c r="TKE76" s="684"/>
      <c r="TKF76" s="684"/>
      <c r="TKG76" s="684"/>
      <c r="TKH76" s="684"/>
      <c r="TKI76" s="684"/>
      <c r="TKJ76" s="684"/>
      <c r="TKK76" s="684"/>
      <c r="TKL76" s="684"/>
      <c r="TKM76" s="684"/>
      <c r="TKN76" s="684"/>
      <c r="TKO76" s="684"/>
      <c r="TKP76" s="684"/>
      <c r="TKQ76" s="684"/>
      <c r="TKR76" s="684"/>
      <c r="TKS76" s="684"/>
      <c r="TKT76" s="684"/>
      <c r="TKU76" s="684"/>
      <c r="TKV76" s="684"/>
      <c r="TKW76" s="684"/>
      <c r="TKX76" s="684"/>
      <c r="TKY76" s="684"/>
      <c r="TKZ76" s="684"/>
      <c r="TLA76" s="684"/>
      <c r="TLB76" s="684"/>
      <c r="TLC76" s="684"/>
      <c r="TLD76" s="684"/>
      <c r="TLE76" s="684"/>
      <c r="TLF76" s="684"/>
      <c r="TLG76" s="684"/>
      <c r="TLH76" s="684"/>
      <c r="TLI76" s="684"/>
      <c r="TLJ76" s="684"/>
      <c r="TLK76" s="684"/>
      <c r="TLL76" s="684"/>
      <c r="TLM76" s="684"/>
      <c r="TLN76" s="684"/>
      <c r="TLO76" s="684"/>
      <c r="TLP76" s="684"/>
      <c r="TLQ76" s="684"/>
      <c r="TLR76" s="684"/>
      <c r="TLS76" s="684"/>
      <c r="TLT76" s="684"/>
      <c r="TLU76" s="684"/>
      <c r="TLV76" s="684"/>
      <c r="TLW76" s="684"/>
      <c r="TLX76" s="684"/>
      <c r="TLY76" s="684"/>
      <c r="TLZ76" s="684"/>
      <c r="TMA76" s="684"/>
      <c r="TMB76" s="684"/>
      <c r="TMC76" s="684"/>
      <c r="TMD76" s="684"/>
      <c r="TME76" s="684"/>
      <c r="TMF76" s="684"/>
      <c r="TMG76" s="684"/>
      <c r="TMH76" s="684"/>
      <c r="TMI76" s="684"/>
      <c r="TMJ76" s="684"/>
      <c r="TMK76" s="684"/>
      <c r="TML76" s="684"/>
      <c r="TMM76" s="684"/>
      <c r="TMN76" s="684"/>
      <c r="TMO76" s="684"/>
      <c r="TMP76" s="684"/>
      <c r="TMQ76" s="684"/>
      <c r="TMR76" s="684"/>
      <c r="TMS76" s="684"/>
      <c r="TMT76" s="684"/>
      <c r="TMU76" s="684"/>
      <c r="TMV76" s="684"/>
      <c r="TMW76" s="684"/>
      <c r="TMX76" s="684"/>
      <c r="TMY76" s="684"/>
      <c r="TMZ76" s="684"/>
      <c r="TNA76" s="684"/>
      <c r="TNB76" s="684"/>
      <c r="TNC76" s="684"/>
      <c r="TND76" s="684"/>
      <c r="TNE76" s="684"/>
      <c r="TNF76" s="684"/>
      <c r="TNG76" s="684"/>
      <c r="TNH76" s="684"/>
      <c r="TNI76" s="684"/>
      <c r="TNJ76" s="684"/>
      <c r="TNK76" s="684"/>
      <c r="TNL76" s="684"/>
      <c r="TNM76" s="684"/>
      <c r="TNN76" s="684"/>
      <c r="TNO76" s="684"/>
      <c r="TNP76" s="684"/>
      <c r="TNQ76" s="684"/>
      <c r="TNR76" s="684"/>
      <c r="TNS76" s="684"/>
      <c r="TNT76" s="684"/>
      <c r="TNU76" s="684"/>
      <c r="TNV76" s="684"/>
      <c r="TNW76" s="684"/>
      <c r="TNX76" s="684"/>
      <c r="TNY76" s="684"/>
      <c r="TNZ76" s="684"/>
      <c r="TOA76" s="684"/>
      <c r="TOB76" s="684"/>
      <c r="TOC76" s="684"/>
      <c r="TOD76" s="684"/>
      <c r="TOE76" s="684"/>
      <c r="TOF76" s="684"/>
      <c r="TOG76" s="684"/>
      <c r="TOH76" s="684"/>
      <c r="TOI76" s="684"/>
      <c r="TOJ76" s="684"/>
      <c r="TOK76" s="684"/>
      <c r="TOL76" s="684"/>
      <c r="TOM76" s="684"/>
      <c r="TON76" s="684"/>
      <c r="TOO76" s="684"/>
      <c r="TOP76" s="684"/>
      <c r="TOQ76" s="684"/>
      <c r="TOR76" s="684"/>
      <c r="TOS76" s="684"/>
      <c r="TOT76" s="684"/>
      <c r="TOU76" s="684"/>
      <c r="TOV76" s="684"/>
      <c r="TOW76" s="684"/>
      <c r="TOX76" s="684"/>
      <c r="TOY76" s="684"/>
      <c r="TOZ76" s="684"/>
      <c r="TPA76" s="684"/>
      <c r="TPB76" s="684"/>
      <c r="TPC76" s="684"/>
      <c r="TPD76" s="684"/>
      <c r="TPE76" s="684"/>
      <c r="TPF76" s="684"/>
      <c r="TPG76" s="684"/>
      <c r="TPH76" s="684"/>
      <c r="TPI76" s="684"/>
      <c r="TPJ76" s="684"/>
      <c r="TPK76" s="684"/>
      <c r="TPL76" s="684"/>
      <c r="TPM76" s="684"/>
      <c r="TPN76" s="684"/>
      <c r="TPO76" s="684"/>
      <c r="TPP76" s="684"/>
      <c r="TPQ76" s="684"/>
      <c r="TPR76" s="684"/>
      <c r="TPS76" s="684"/>
      <c r="TPT76" s="684"/>
      <c r="TPU76" s="684"/>
      <c r="TPV76" s="684"/>
      <c r="TPW76" s="684"/>
      <c r="TPX76" s="684"/>
      <c r="TPY76" s="684"/>
      <c r="TPZ76" s="684"/>
      <c r="TQA76" s="684"/>
      <c r="TQB76" s="684"/>
      <c r="TQC76" s="684"/>
      <c r="TQD76" s="684"/>
      <c r="TQE76" s="684"/>
      <c r="TQF76" s="684"/>
      <c r="TQG76" s="684"/>
      <c r="TQH76" s="684"/>
      <c r="TQI76" s="684"/>
      <c r="TQJ76" s="684"/>
      <c r="TQK76" s="684"/>
      <c r="TQL76" s="684"/>
      <c r="TQM76" s="684"/>
      <c r="TQN76" s="684"/>
      <c r="TQO76" s="684"/>
      <c r="TQP76" s="684"/>
      <c r="TQQ76" s="684"/>
      <c r="TQR76" s="684"/>
      <c r="TQS76" s="684"/>
      <c r="TQT76" s="684"/>
      <c r="TQU76" s="684"/>
      <c r="TQV76" s="684"/>
      <c r="TQW76" s="684"/>
      <c r="TQX76" s="684"/>
      <c r="TQY76" s="684"/>
      <c r="TQZ76" s="684"/>
      <c r="TRA76" s="684"/>
      <c r="TRB76" s="684"/>
      <c r="TRC76" s="684"/>
      <c r="TRD76" s="684"/>
      <c r="TRE76" s="684"/>
      <c r="TRF76" s="684"/>
      <c r="TRG76" s="684"/>
      <c r="TRH76" s="684"/>
      <c r="TRI76" s="684"/>
      <c r="TRJ76" s="684"/>
      <c r="TRK76" s="684"/>
      <c r="TRL76" s="684"/>
      <c r="TRM76" s="684"/>
      <c r="TRN76" s="684"/>
      <c r="TRO76" s="684"/>
      <c r="TRP76" s="684"/>
      <c r="TRQ76" s="684"/>
      <c r="TRR76" s="684"/>
      <c r="TRS76" s="684"/>
      <c r="TRT76" s="684"/>
      <c r="TRU76" s="684"/>
      <c r="TRV76" s="684"/>
      <c r="TRW76" s="684"/>
      <c r="TRX76" s="684"/>
      <c r="TRY76" s="684"/>
      <c r="TRZ76" s="684"/>
      <c r="TSA76" s="684"/>
      <c r="TSB76" s="684"/>
      <c r="TSC76" s="684"/>
      <c r="TSD76" s="684"/>
      <c r="TSE76" s="684"/>
      <c r="TSF76" s="684"/>
      <c r="TSG76" s="684"/>
      <c r="TSH76" s="684"/>
      <c r="TSI76" s="684"/>
      <c r="TSJ76" s="684"/>
      <c r="TSK76" s="684"/>
      <c r="TSL76" s="684"/>
      <c r="TSM76" s="684"/>
      <c r="TSN76" s="684"/>
      <c r="TSO76" s="684"/>
      <c r="TSP76" s="684"/>
      <c r="TSQ76" s="684"/>
      <c r="TSR76" s="684"/>
      <c r="TSS76" s="684"/>
      <c r="TST76" s="684"/>
      <c r="TSU76" s="684"/>
      <c r="TSV76" s="684"/>
      <c r="TSW76" s="684"/>
      <c r="TSX76" s="684"/>
      <c r="TSY76" s="684"/>
      <c r="TSZ76" s="684"/>
      <c r="TTA76" s="684"/>
      <c r="TTB76" s="684"/>
      <c r="TTC76" s="684"/>
      <c r="TTD76" s="684"/>
      <c r="TTE76" s="684"/>
      <c r="TTF76" s="684"/>
      <c r="TTG76" s="684"/>
      <c r="TTH76" s="684"/>
      <c r="TTI76" s="684"/>
      <c r="TTJ76" s="684"/>
      <c r="TTK76" s="684"/>
      <c r="TTL76" s="684"/>
      <c r="TTM76" s="684"/>
      <c r="TTN76" s="684"/>
      <c r="TTO76" s="684"/>
      <c r="TTP76" s="684"/>
      <c r="TTQ76" s="684"/>
      <c r="TTR76" s="684"/>
      <c r="TTS76" s="684"/>
      <c r="TTT76" s="684"/>
      <c r="TTU76" s="684"/>
      <c r="TTV76" s="684"/>
      <c r="TTW76" s="684"/>
      <c r="TTX76" s="684"/>
      <c r="TTY76" s="684"/>
      <c r="TTZ76" s="684"/>
      <c r="TUA76" s="684"/>
      <c r="TUB76" s="684"/>
      <c r="TUC76" s="684"/>
      <c r="TUD76" s="684"/>
      <c r="TUE76" s="684"/>
      <c r="TUF76" s="684"/>
      <c r="TUG76" s="684"/>
      <c r="TUH76" s="684"/>
      <c r="TUI76" s="684"/>
      <c r="TUJ76" s="684"/>
      <c r="TUK76" s="684"/>
      <c r="TUL76" s="684"/>
      <c r="TUM76" s="684"/>
      <c r="TUN76" s="684"/>
      <c r="TUO76" s="684"/>
      <c r="TUP76" s="684"/>
      <c r="TUQ76" s="684"/>
      <c r="TUR76" s="684"/>
      <c r="TUS76" s="684"/>
      <c r="TUT76" s="684"/>
      <c r="TUU76" s="684"/>
      <c r="TUV76" s="684"/>
      <c r="TUW76" s="684"/>
      <c r="TUX76" s="684"/>
      <c r="TUY76" s="684"/>
      <c r="TUZ76" s="684"/>
      <c r="TVA76" s="684"/>
      <c r="TVB76" s="684"/>
      <c r="TVC76" s="684"/>
      <c r="TVD76" s="684"/>
      <c r="TVE76" s="684"/>
      <c r="TVF76" s="684"/>
      <c r="TVG76" s="684"/>
      <c r="TVH76" s="684"/>
      <c r="TVI76" s="684"/>
      <c r="TVJ76" s="684"/>
      <c r="TVK76" s="684"/>
      <c r="TVL76" s="684"/>
      <c r="TVM76" s="684"/>
      <c r="TVN76" s="684"/>
      <c r="TVO76" s="684"/>
      <c r="TVP76" s="684"/>
      <c r="TVQ76" s="684"/>
      <c r="TVR76" s="684"/>
      <c r="TVS76" s="684"/>
      <c r="TVT76" s="684"/>
      <c r="TVU76" s="684"/>
      <c r="TVV76" s="684"/>
      <c r="TVW76" s="684"/>
      <c r="TVX76" s="684"/>
      <c r="TVY76" s="684"/>
      <c r="TVZ76" s="684"/>
      <c r="TWA76" s="684"/>
      <c r="TWB76" s="684"/>
      <c r="TWC76" s="684"/>
      <c r="TWD76" s="684"/>
      <c r="TWE76" s="684"/>
      <c r="TWF76" s="684"/>
      <c r="TWG76" s="684"/>
      <c r="TWH76" s="684"/>
      <c r="TWI76" s="684"/>
      <c r="TWJ76" s="684"/>
      <c r="TWK76" s="684"/>
      <c r="TWL76" s="684"/>
      <c r="TWM76" s="684"/>
      <c r="TWN76" s="684"/>
      <c r="TWO76" s="684"/>
      <c r="TWP76" s="684"/>
      <c r="TWQ76" s="684"/>
      <c r="TWR76" s="684"/>
      <c r="TWS76" s="684"/>
      <c r="TWT76" s="684"/>
      <c r="TWU76" s="684"/>
      <c r="TWV76" s="684"/>
      <c r="TWW76" s="684"/>
      <c r="TWX76" s="684"/>
      <c r="TWY76" s="684"/>
      <c r="TWZ76" s="684"/>
      <c r="TXA76" s="684"/>
      <c r="TXB76" s="684"/>
      <c r="TXC76" s="684"/>
      <c r="TXD76" s="684"/>
      <c r="TXE76" s="684"/>
      <c r="TXF76" s="684"/>
      <c r="TXG76" s="684"/>
      <c r="TXH76" s="684"/>
      <c r="TXI76" s="684"/>
      <c r="TXJ76" s="684"/>
      <c r="TXK76" s="684"/>
      <c r="TXL76" s="684"/>
      <c r="TXM76" s="684"/>
      <c r="TXN76" s="684"/>
      <c r="TXO76" s="684"/>
      <c r="TXP76" s="684"/>
      <c r="TXQ76" s="684"/>
      <c r="TXR76" s="684"/>
      <c r="TXS76" s="684"/>
      <c r="TXT76" s="684"/>
      <c r="TXU76" s="684"/>
      <c r="TXV76" s="684"/>
      <c r="TXW76" s="684"/>
      <c r="TXX76" s="684"/>
      <c r="TXY76" s="684"/>
      <c r="TXZ76" s="684"/>
      <c r="TYA76" s="684"/>
      <c r="TYB76" s="684"/>
      <c r="TYC76" s="684"/>
      <c r="TYD76" s="684"/>
      <c r="TYE76" s="684"/>
      <c r="TYF76" s="684"/>
      <c r="TYG76" s="684"/>
      <c r="TYH76" s="684"/>
      <c r="TYI76" s="684"/>
      <c r="TYJ76" s="684"/>
      <c r="TYK76" s="684"/>
      <c r="TYL76" s="684"/>
      <c r="TYM76" s="684"/>
      <c r="TYN76" s="684"/>
      <c r="TYO76" s="684"/>
      <c r="TYP76" s="684"/>
      <c r="TYQ76" s="684"/>
      <c r="TYR76" s="684"/>
      <c r="TYS76" s="684"/>
      <c r="TYT76" s="684"/>
      <c r="TYU76" s="684"/>
      <c r="TYV76" s="684"/>
      <c r="TYW76" s="684"/>
      <c r="TYX76" s="684"/>
      <c r="TYY76" s="684"/>
      <c r="TYZ76" s="684"/>
      <c r="TZA76" s="684"/>
      <c r="TZB76" s="684"/>
      <c r="TZC76" s="684"/>
      <c r="TZD76" s="684"/>
      <c r="TZE76" s="684"/>
      <c r="TZF76" s="684"/>
      <c r="TZG76" s="684"/>
      <c r="TZH76" s="684"/>
      <c r="TZI76" s="684"/>
      <c r="TZJ76" s="684"/>
      <c r="TZK76" s="684"/>
      <c r="TZL76" s="684"/>
      <c r="TZM76" s="684"/>
      <c r="TZN76" s="684"/>
      <c r="TZO76" s="684"/>
      <c r="TZP76" s="684"/>
      <c r="TZQ76" s="684"/>
      <c r="TZR76" s="684"/>
      <c r="TZS76" s="684"/>
      <c r="TZT76" s="684"/>
      <c r="TZU76" s="684"/>
      <c r="TZV76" s="684"/>
      <c r="TZW76" s="684"/>
      <c r="TZX76" s="684"/>
      <c r="TZY76" s="684"/>
      <c r="TZZ76" s="684"/>
      <c r="UAA76" s="684"/>
      <c r="UAB76" s="684"/>
      <c r="UAC76" s="684"/>
      <c r="UAD76" s="684"/>
      <c r="UAE76" s="684"/>
      <c r="UAF76" s="684"/>
      <c r="UAG76" s="684"/>
      <c r="UAH76" s="684"/>
      <c r="UAI76" s="684"/>
      <c r="UAJ76" s="684"/>
      <c r="UAK76" s="684"/>
      <c r="UAL76" s="684"/>
      <c r="UAM76" s="684"/>
      <c r="UAN76" s="684"/>
      <c r="UAO76" s="684"/>
      <c r="UAP76" s="684"/>
      <c r="UAQ76" s="684"/>
      <c r="UAR76" s="684"/>
      <c r="UAS76" s="684"/>
      <c r="UAT76" s="684"/>
      <c r="UAU76" s="684"/>
      <c r="UAV76" s="684"/>
      <c r="UAW76" s="684"/>
      <c r="UAX76" s="684"/>
      <c r="UAY76" s="684"/>
      <c r="UAZ76" s="684"/>
      <c r="UBA76" s="684"/>
      <c r="UBB76" s="684"/>
      <c r="UBC76" s="684"/>
      <c r="UBD76" s="684"/>
      <c r="UBE76" s="684"/>
      <c r="UBF76" s="684"/>
      <c r="UBG76" s="684"/>
      <c r="UBH76" s="684"/>
      <c r="UBI76" s="684"/>
      <c r="UBJ76" s="684"/>
      <c r="UBK76" s="684"/>
      <c r="UBL76" s="684"/>
      <c r="UBM76" s="684"/>
      <c r="UBN76" s="684"/>
      <c r="UBO76" s="684"/>
      <c r="UBP76" s="684"/>
      <c r="UBQ76" s="684"/>
      <c r="UBR76" s="684"/>
      <c r="UBS76" s="684"/>
      <c r="UBT76" s="684"/>
      <c r="UBU76" s="684"/>
      <c r="UBV76" s="684"/>
      <c r="UBW76" s="684"/>
      <c r="UBX76" s="684"/>
      <c r="UBY76" s="684"/>
      <c r="UBZ76" s="684"/>
      <c r="UCA76" s="684"/>
      <c r="UCB76" s="684"/>
      <c r="UCC76" s="684"/>
      <c r="UCD76" s="684"/>
      <c r="UCE76" s="684"/>
      <c r="UCF76" s="684"/>
      <c r="UCG76" s="684"/>
      <c r="UCH76" s="684"/>
      <c r="UCI76" s="684"/>
      <c r="UCJ76" s="684"/>
      <c r="UCK76" s="684"/>
      <c r="UCL76" s="684"/>
      <c r="UCM76" s="684"/>
      <c r="UCN76" s="684"/>
      <c r="UCO76" s="684"/>
      <c r="UCP76" s="684"/>
      <c r="UCQ76" s="684"/>
      <c r="UCR76" s="684"/>
      <c r="UCS76" s="684"/>
      <c r="UCT76" s="684"/>
      <c r="UCU76" s="684"/>
      <c r="UCV76" s="684"/>
      <c r="UCW76" s="684"/>
      <c r="UCX76" s="684"/>
      <c r="UCY76" s="684"/>
      <c r="UCZ76" s="684"/>
      <c r="UDA76" s="684"/>
      <c r="UDB76" s="684"/>
      <c r="UDC76" s="684"/>
      <c r="UDD76" s="684"/>
      <c r="UDE76" s="684"/>
      <c r="UDF76" s="684"/>
      <c r="UDG76" s="684"/>
      <c r="UDH76" s="684"/>
      <c r="UDI76" s="684"/>
      <c r="UDJ76" s="684"/>
      <c r="UDK76" s="684"/>
      <c r="UDL76" s="684"/>
      <c r="UDM76" s="684"/>
      <c r="UDN76" s="684"/>
      <c r="UDO76" s="684"/>
      <c r="UDP76" s="684"/>
      <c r="UDQ76" s="684"/>
      <c r="UDR76" s="684"/>
      <c r="UDS76" s="684"/>
      <c r="UDT76" s="684"/>
      <c r="UDU76" s="684"/>
      <c r="UDV76" s="684"/>
      <c r="UDW76" s="684"/>
      <c r="UDX76" s="684"/>
      <c r="UDY76" s="684"/>
      <c r="UDZ76" s="684"/>
      <c r="UEA76" s="684"/>
      <c r="UEB76" s="684"/>
      <c r="UEC76" s="684"/>
      <c r="UED76" s="684"/>
      <c r="UEE76" s="684"/>
      <c r="UEF76" s="684"/>
      <c r="UEG76" s="684"/>
      <c r="UEH76" s="684"/>
      <c r="UEI76" s="684"/>
      <c r="UEJ76" s="684"/>
      <c r="UEK76" s="684"/>
      <c r="UEL76" s="684"/>
      <c r="UEM76" s="684"/>
      <c r="UEN76" s="684"/>
      <c r="UEO76" s="684"/>
      <c r="UEP76" s="684"/>
      <c r="UEQ76" s="684"/>
      <c r="UER76" s="684"/>
      <c r="UES76" s="684"/>
      <c r="UET76" s="684"/>
      <c r="UEU76" s="684"/>
      <c r="UEV76" s="684"/>
      <c r="UEW76" s="684"/>
      <c r="UEX76" s="684"/>
      <c r="UEY76" s="684"/>
      <c r="UEZ76" s="684"/>
      <c r="UFA76" s="684"/>
      <c r="UFB76" s="684"/>
      <c r="UFC76" s="684"/>
      <c r="UFD76" s="684"/>
      <c r="UFE76" s="684"/>
      <c r="UFF76" s="684"/>
      <c r="UFG76" s="684"/>
      <c r="UFH76" s="684"/>
      <c r="UFI76" s="684"/>
      <c r="UFJ76" s="684"/>
      <c r="UFK76" s="684"/>
      <c r="UFL76" s="684"/>
      <c r="UFM76" s="684"/>
      <c r="UFN76" s="684"/>
      <c r="UFO76" s="684"/>
      <c r="UFP76" s="684"/>
      <c r="UFQ76" s="684"/>
      <c r="UFR76" s="684"/>
      <c r="UFS76" s="684"/>
      <c r="UFT76" s="684"/>
      <c r="UFU76" s="684"/>
      <c r="UFV76" s="684"/>
      <c r="UFW76" s="684"/>
      <c r="UFX76" s="684"/>
      <c r="UFY76" s="684"/>
      <c r="UFZ76" s="684"/>
      <c r="UGA76" s="684"/>
      <c r="UGB76" s="684"/>
      <c r="UGC76" s="684"/>
      <c r="UGD76" s="684"/>
      <c r="UGE76" s="684"/>
      <c r="UGF76" s="684"/>
      <c r="UGG76" s="684"/>
      <c r="UGH76" s="684"/>
      <c r="UGI76" s="684"/>
      <c r="UGJ76" s="684"/>
      <c r="UGK76" s="684"/>
      <c r="UGL76" s="684"/>
      <c r="UGM76" s="684"/>
      <c r="UGN76" s="684"/>
      <c r="UGO76" s="684"/>
      <c r="UGP76" s="684"/>
      <c r="UGQ76" s="684"/>
      <c r="UGR76" s="684"/>
      <c r="UGS76" s="684"/>
      <c r="UGT76" s="684"/>
      <c r="UGU76" s="684"/>
      <c r="UGV76" s="684"/>
      <c r="UGW76" s="684"/>
      <c r="UGX76" s="684"/>
      <c r="UGY76" s="684"/>
      <c r="UGZ76" s="684"/>
      <c r="UHA76" s="684"/>
      <c r="UHB76" s="684"/>
      <c r="UHC76" s="684"/>
      <c r="UHD76" s="684"/>
      <c r="UHE76" s="684"/>
      <c r="UHF76" s="684"/>
      <c r="UHG76" s="684"/>
      <c r="UHH76" s="684"/>
      <c r="UHI76" s="684"/>
      <c r="UHJ76" s="684"/>
      <c r="UHK76" s="684"/>
      <c r="UHL76" s="684"/>
      <c r="UHM76" s="684"/>
      <c r="UHN76" s="684"/>
      <c r="UHO76" s="684"/>
      <c r="UHP76" s="684"/>
      <c r="UHQ76" s="684"/>
      <c r="UHR76" s="684"/>
      <c r="UHS76" s="684"/>
      <c r="UHT76" s="684"/>
      <c r="UHU76" s="684"/>
      <c r="UHV76" s="684"/>
      <c r="UHW76" s="684"/>
      <c r="UHX76" s="684"/>
      <c r="UHY76" s="684"/>
      <c r="UHZ76" s="684"/>
      <c r="UIA76" s="684"/>
      <c r="UIB76" s="684"/>
      <c r="UIC76" s="684"/>
      <c r="UID76" s="684"/>
      <c r="UIE76" s="684"/>
      <c r="UIF76" s="684"/>
      <c r="UIG76" s="684"/>
      <c r="UIH76" s="684"/>
      <c r="UII76" s="684"/>
      <c r="UIJ76" s="684"/>
      <c r="UIK76" s="684"/>
      <c r="UIL76" s="684"/>
      <c r="UIM76" s="684"/>
      <c r="UIN76" s="684"/>
      <c r="UIO76" s="684"/>
      <c r="UIP76" s="684"/>
      <c r="UIQ76" s="684"/>
      <c r="UIR76" s="684"/>
      <c r="UIS76" s="684"/>
      <c r="UIT76" s="684"/>
      <c r="UIU76" s="684"/>
      <c r="UIV76" s="684"/>
      <c r="UIW76" s="684"/>
      <c r="UIX76" s="684"/>
      <c r="UIY76" s="684"/>
      <c r="UIZ76" s="684"/>
      <c r="UJA76" s="684"/>
      <c r="UJB76" s="684"/>
      <c r="UJC76" s="684"/>
      <c r="UJD76" s="684"/>
      <c r="UJE76" s="684"/>
      <c r="UJF76" s="684"/>
      <c r="UJG76" s="684"/>
      <c r="UJH76" s="684"/>
      <c r="UJI76" s="684"/>
      <c r="UJJ76" s="684"/>
      <c r="UJK76" s="684"/>
      <c r="UJL76" s="684"/>
      <c r="UJM76" s="684"/>
      <c r="UJN76" s="684"/>
      <c r="UJO76" s="684"/>
      <c r="UJP76" s="684"/>
      <c r="UJQ76" s="684"/>
      <c r="UJR76" s="684"/>
      <c r="UJS76" s="684"/>
      <c r="UJT76" s="684"/>
      <c r="UJU76" s="684"/>
      <c r="UJV76" s="684"/>
      <c r="UJW76" s="684"/>
      <c r="UJX76" s="684"/>
      <c r="UJY76" s="684"/>
      <c r="UJZ76" s="684"/>
      <c r="UKA76" s="684"/>
      <c r="UKB76" s="684"/>
      <c r="UKC76" s="684"/>
      <c r="UKD76" s="684"/>
      <c r="UKE76" s="684"/>
      <c r="UKF76" s="684"/>
      <c r="UKG76" s="684"/>
      <c r="UKH76" s="684"/>
      <c r="UKI76" s="684"/>
      <c r="UKJ76" s="684"/>
      <c r="UKK76" s="684"/>
      <c r="UKL76" s="684"/>
      <c r="UKM76" s="684"/>
      <c r="UKN76" s="684"/>
      <c r="UKO76" s="684"/>
      <c r="UKP76" s="684"/>
      <c r="UKQ76" s="684"/>
      <c r="UKR76" s="684"/>
      <c r="UKS76" s="684"/>
      <c r="UKT76" s="684"/>
      <c r="UKU76" s="684"/>
      <c r="UKV76" s="684"/>
      <c r="UKW76" s="684"/>
      <c r="UKX76" s="684"/>
      <c r="UKY76" s="684"/>
      <c r="UKZ76" s="684"/>
      <c r="ULA76" s="684"/>
      <c r="ULB76" s="684"/>
      <c r="ULC76" s="684"/>
      <c r="ULD76" s="684"/>
      <c r="ULE76" s="684"/>
      <c r="ULF76" s="684"/>
      <c r="ULG76" s="684"/>
      <c r="ULH76" s="684"/>
      <c r="ULI76" s="684"/>
      <c r="ULJ76" s="684"/>
      <c r="ULK76" s="684"/>
      <c r="ULL76" s="684"/>
      <c r="ULM76" s="684"/>
      <c r="ULN76" s="684"/>
      <c r="ULO76" s="684"/>
      <c r="ULP76" s="684"/>
      <c r="ULQ76" s="684"/>
      <c r="ULR76" s="684"/>
      <c r="ULS76" s="684"/>
      <c r="ULT76" s="684"/>
      <c r="ULU76" s="684"/>
      <c r="ULV76" s="684"/>
      <c r="ULW76" s="684"/>
      <c r="ULX76" s="684"/>
      <c r="ULY76" s="684"/>
      <c r="ULZ76" s="684"/>
      <c r="UMA76" s="684"/>
      <c r="UMB76" s="684"/>
      <c r="UMC76" s="684"/>
      <c r="UMD76" s="684"/>
      <c r="UME76" s="684"/>
      <c r="UMF76" s="684"/>
      <c r="UMG76" s="684"/>
      <c r="UMH76" s="684"/>
      <c r="UMI76" s="684"/>
      <c r="UMJ76" s="684"/>
      <c r="UMK76" s="684"/>
      <c r="UML76" s="684"/>
      <c r="UMM76" s="684"/>
      <c r="UMN76" s="684"/>
      <c r="UMO76" s="684"/>
      <c r="UMP76" s="684"/>
      <c r="UMQ76" s="684"/>
      <c r="UMR76" s="684"/>
      <c r="UMS76" s="684"/>
      <c r="UMT76" s="684"/>
      <c r="UMU76" s="684"/>
      <c r="UMV76" s="684"/>
      <c r="UMW76" s="684"/>
      <c r="UMX76" s="684"/>
      <c r="UMY76" s="684"/>
      <c r="UMZ76" s="684"/>
      <c r="UNA76" s="684"/>
      <c r="UNB76" s="684"/>
      <c r="UNC76" s="684"/>
      <c r="UND76" s="684"/>
      <c r="UNE76" s="684"/>
      <c r="UNF76" s="684"/>
      <c r="UNG76" s="684"/>
      <c r="UNH76" s="684"/>
      <c r="UNI76" s="684"/>
      <c r="UNJ76" s="684"/>
      <c r="UNK76" s="684"/>
      <c r="UNL76" s="684"/>
      <c r="UNM76" s="684"/>
      <c r="UNN76" s="684"/>
      <c r="UNO76" s="684"/>
      <c r="UNP76" s="684"/>
      <c r="UNQ76" s="684"/>
      <c r="UNR76" s="684"/>
      <c r="UNS76" s="684"/>
      <c r="UNT76" s="684"/>
      <c r="UNU76" s="684"/>
      <c r="UNV76" s="684"/>
      <c r="UNW76" s="684"/>
      <c r="UNX76" s="684"/>
      <c r="UNY76" s="684"/>
      <c r="UNZ76" s="684"/>
      <c r="UOA76" s="684"/>
      <c r="UOB76" s="684"/>
      <c r="UOC76" s="684"/>
      <c r="UOD76" s="684"/>
      <c r="UOE76" s="684"/>
      <c r="UOF76" s="684"/>
      <c r="UOG76" s="684"/>
      <c r="UOH76" s="684"/>
      <c r="UOI76" s="684"/>
      <c r="UOJ76" s="684"/>
      <c r="UOK76" s="684"/>
      <c r="UOL76" s="684"/>
      <c r="UOM76" s="684"/>
      <c r="UON76" s="684"/>
      <c r="UOO76" s="684"/>
      <c r="UOP76" s="684"/>
      <c r="UOQ76" s="684"/>
      <c r="UOR76" s="684"/>
      <c r="UOS76" s="684"/>
      <c r="UOT76" s="684"/>
      <c r="UOU76" s="684"/>
      <c r="UOV76" s="684"/>
      <c r="UOW76" s="684"/>
      <c r="UOX76" s="684"/>
      <c r="UOY76" s="684"/>
      <c r="UOZ76" s="684"/>
      <c r="UPA76" s="684"/>
      <c r="UPB76" s="684"/>
      <c r="UPC76" s="684"/>
      <c r="UPD76" s="684"/>
      <c r="UPE76" s="684"/>
      <c r="UPF76" s="684"/>
      <c r="UPG76" s="684"/>
      <c r="UPH76" s="684"/>
      <c r="UPI76" s="684"/>
      <c r="UPJ76" s="684"/>
      <c r="UPK76" s="684"/>
      <c r="UPL76" s="684"/>
      <c r="UPM76" s="684"/>
      <c r="UPN76" s="684"/>
      <c r="UPO76" s="684"/>
      <c r="UPP76" s="684"/>
      <c r="UPQ76" s="684"/>
      <c r="UPR76" s="684"/>
      <c r="UPS76" s="684"/>
      <c r="UPT76" s="684"/>
      <c r="UPU76" s="684"/>
      <c r="UPV76" s="684"/>
      <c r="UPW76" s="684"/>
      <c r="UPX76" s="684"/>
      <c r="UPY76" s="684"/>
      <c r="UPZ76" s="684"/>
      <c r="UQA76" s="684"/>
      <c r="UQB76" s="684"/>
      <c r="UQC76" s="684"/>
      <c r="UQD76" s="684"/>
      <c r="UQE76" s="684"/>
      <c r="UQF76" s="684"/>
      <c r="UQG76" s="684"/>
      <c r="UQH76" s="684"/>
      <c r="UQI76" s="684"/>
      <c r="UQJ76" s="684"/>
      <c r="UQK76" s="684"/>
      <c r="UQL76" s="684"/>
      <c r="UQM76" s="684"/>
      <c r="UQN76" s="684"/>
      <c r="UQO76" s="684"/>
      <c r="UQP76" s="684"/>
      <c r="UQQ76" s="684"/>
      <c r="UQR76" s="684"/>
      <c r="UQS76" s="684"/>
      <c r="UQT76" s="684"/>
      <c r="UQU76" s="684"/>
      <c r="UQV76" s="684"/>
      <c r="UQW76" s="684"/>
      <c r="UQX76" s="684"/>
      <c r="UQY76" s="684"/>
      <c r="UQZ76" s="684"/>
      <c r="URA76" s="684"/>
      <c r="URB76" s="684"/>
      <c r="URC76" s="684"/>
      <c r="URD76" s="684"/>
      <c r="URE76" s="684"/>
      <c r="URF76" s="684"/>
      <c r="URG76" s="684"/>
      <c r="URH76" s="684"/>
      <c r="URI76" s="684"/>
      <c r="URJ76" s="684"/>
      <c r="URK76" s="684"/>
      <c r="URL76" s="684"/>
      <c r="URM76" s="684"/>
      <c r="URN76" s="684"/>
      <c r="URO76" s="684"/>
      <c r="URP76" s="684"/>
      <c r="URQ76" s="684"/>
      <c r="URR76" s="684"/>
      <c r="URS76" s="684"/>
      <c r="URT76" s="684"/>
      <c r="URU76" s="684"/>
      <c r="URV76" s="684"/>
      <c r="URW76" s="684"/>
      <c r="URX76" s="684"/>
      <c r="URY76" s="684"/>
      <c r="URZ76" s="684"/>
      <c r="USA76" s="684"/>
      <c r="USB76" s="684"/>
      <c r="USC76" s="684"/>
      <c r="USD76" s="684"/>
      <c r="USE76" s="684"/>
      <c r="USF76" s="684"/>
      <c r="USG76" s="684"/>
      <c r="USH76" s="684"/>
      <c r="USI76" s="684"/>
      <c r="USJ76" s="684"/>
      <c r="USK76" s="684"/>
      <c r="USL76" s="684"/>
      <c r="USM76" s="684"/>
      <c r="USN76" s="684"/>
      <c r="USO76" s="684"/>
      <c r="USP76" s="684"/>
      <c r="USQ76" s="684"/>
      <c r="USR76" s="684"/>
      <c r="USS76" s="684"/>
      <c r="UST76" s="684"/>
      <c r="USU76" s="684"/>
      <c r="USV76" s="684"/>
      <c r="USW76" s="684"/>
      <c r="USX76" s="684"/>
      <c r="USY76" s="684"/>
      <c r="USZ76" s="684"/>
      <c r="UTA76" s="684"/>
      <c r="UTB76" s="684"/>
      <c r="UTC76" s="684"/>
      <c r="UTD76" s="684"/>
      <c r="UTE76" s="684"/>
      <c r="UTF76" s="684"/>
      <c r="UTG76" s="684"/>
      <c r="UTH76" s="684"/>
      <c r="UTI76" s="684"/>
      <c r="UTJ76" s="684"/>
      <c r="UTK76" s="684"/>
      <c r="UTL76" s="684"/>
      <c r="UTM76" s="684"/>
      <c r="UTN76" s="684"/>
      <c r="UTO76" s="684"/>
      <c r="UTP76" s="684"/>
      <c r="UTQ76" s="684"/>
      <c r="UTR76" s="684"/>
      <c r="UTS76" s="684"/>
      <c r="UTT76" s="684"/>
      <c r="UTU76" s="684"/>
      <c r="UTV76" s="684"/>
      <c r="UTW76" s="684"/>
      <c r="UTX76" s="684"/>
      <c r="UTY76" s="684"/>
      <c r="UTZ76" s="684"/>
      <c r="UUA76" s="684"/>
      <c r="UUB76" s="684"/>
      <c r="UUC76" s="684"/>
      <c r="UUD76" s="684"/>
      <c r="UUE76" s="684"/>
      <c r="UUF76" s="684"/>
      <c r="UUG76" s="684"/>
      <c r="UUH76" s="684"/>
      <c r="UUI76" s="684"/>
      <c r="UUJ76" s="684"/>
      <c r="UUK76" s="684"/>
      <c r="UUL76" s="684"/>
      <c r="UUM76" s="684"/>
      <c r="UUN76" s="684"/>
      <c r="UUO76" s="684"/>
      <c r="UUP76" s="684"/>
      <c r="UUQ76" s="684"/>
      <c r="UUR76" s="684"/>
      <c r="UUS76" s="684"/>
      <c r="UUT76" s="684"/>
      <c r="UUU76" s="684"/>
      <c r="UUV76" s="684"/>
      <c r="UUW76" s="684"/>
      <c r="UUX76" s="684"/>
      <c r="UUY76" s="684"/>
      <c r="UUZ76" s="684"/>
      <c r="UVA76" s="684"/>
      <c r="UVB76" s="684"/>
      <c r="UVC76" s="684"/>
      <c r="UVD76" s="684"/>
      <c r="UVE76" s="684"/>
      <c r="UVF76" s="684"/>
      <c r="UVG76" s="684"/>
      <c r="UVH76" s="684"/>
      <c r="UVI76" s="684"/>
      <c r="UVJ76" s="684"/>
      <c r="UVK76" s="684"/>
      <c r="UVL76" s="684"/>
      <c r="UVM76" s="684"/>
      <c r="UVN76" s="684"/>
      <c r="UVO76" s="684"/>
      <c r="UVP76" s="684"/>
      <c r="UVQ76" s="684"/>
      <c r="UVR76" s="684"/>
      <c r="UVS76" s="684"/>
      <c r="UVT76" s="684"/>
      <c r="UVU76" s="684"/>
      <c r="UVV76" s="684"/>
      <c r="UVW76" s="684"/>
      <c r="UVX76" s="684"/>
      <c r="UVY76" s="684"/>
      <c r="UVZ76" s="684"/>
      <c r="UWA76" s="684"/>
      <c r="UWB76" s="684"/>
      <c r="UWC76" s="684"/>
      <c r="UWD76" s="684"/>
      <c r="UWE76" s="684"/>
      <c r="UWF76" s="684"/>
      <c r="UWG76" s="684"/>
      <c r="UWH76" s="684"/>
      <c r="UWI76" s="684"/>
      <c r="UWJ76" s="684"/>
      <c r="UWK76" s="684"/>
      <c r="UWL76" s="684"/>
      <c r="UWM76" s="684"/>
      <c r="UWN76" s="684"/>
      <c r="UWO76" s="684"/>
      <c r="UWP76" s="684"/>
      <c r="UWQ76" s="684"/>
      <c r="UWR76" s="684"/>
      <c r="UWS76" s="684"/>
      <c r="UWT76" s="684"/>
      <c r="UWU76" s="684"/>
      <c r="UWV76" s="684"/>
      <c r="UWW76" s="684"/>
      <c r="UWX76" s="684"/>
      <c r="UWY76" s="684"/>
      <c r="UWZ76" s="684"/>
      <c r="UXA76" s="684"/>
      <c r="UXB76" s="684"/>
      <c r="UXC76" s="684"/>
      <c r="UXD76" s="684"/>
      <c r="UXE76" s="684"/>
      <c r="UXF76" s="684"/>
      <c r="UXG76" s="684"/>
      <c r="UXH76" s="684"/>
      <c r="UXI76" s="684"/>
      <c r="UXJ76" s="684"/>
      <c r="UXK76" s="684"/>
      <c r="UXL76" s="684"/>
      <c r="UXM76" s="684"/>
      <c r="UXN76" s="684"/>
      <c r="UXO76" s="684"/>
      <c r="UXP76" s="684"/>
      <c r="UXQ76" s="684"/>
      <c r="UXR76" s="684"/>
      <c r="UXS76" s="684"/>
      <c r="UXT76" s="684"/>
      <c r="UXU76" s="684"/>
      <c r="UXV76" s="684"/>
      <c r="UXW76" s="684"/>
      <c r="UXX76" s="684"/>
      <c r="UXY76" s="684"/>
      <c r="UXZ76" s="684"/>
      <c r="UYA76" s="684"/>
      <c r="UYB76" s="684"/>
      <c r="UYC76" s="684"/>
      <c r="UYD76" s="684"/>
      <c r="UYE76" s="684"/>
      <c r="UYF76" s="684"/>
      <c r="UYG76" s="684"/>
      <c r="UYH76" s="684"/>
      <c r="UYI76" s="684"/>
      <c r="UYJ76" s="684"/>
      <c r="UYK76" s="684"/>
      <c r="UYL76" s="684"/>
      <c r="UYM76" s="684"/>
      <c r="UYN76" s="684"/>
      <c r="UYO76" s="684"/>
      <c r="UYP76" s="684"/>
      <c r="UYQ76" s="684"/>
      <c r="UYR76" s="684"/>
      <c r="UYS76" s="684"/>
      <c r="UYT76" s="684"/>
      <c r="UYU76" s="684"/>
      <c r="UYV76" s="684"/>
      <c r="UYW76" s="684"/>
      <c r="UYX76" s="684"/>
      <c r="UYY76" s="684"/>
      <c r="UYZ76" s="684"/>
      <c r="UZA76" s="684"/>
      <c r="UZB76" s="684"/>
      <c r="UZC76" s="684"/>
      <c r="UZD76" s="684"/>
      <c r="UZE76" s="684"/>
      <c r="UZF76" s="684"/>
      <c r="UZG76" s="684"/>
      <c r="UZH76" s="684"/>
      <c r="UZI76" s="684"/>
      <c r="UZJ76" s="684"/>
      <c r="UZK76" s="684"/>
      <c r="UZL76" s="684"/>
      <c r="UZM76" s="684"/>
      <c r="UZN76" s="684"/>
      <c r="UZO76" s="684"/>
      <c r="UZP76" s="684"/>
      <c r="UZQ76" s="684"/>
      <c r="UZR76" s="684"/>
      <c r="UZS76" s="684"/>
      <c r="UZT76" s="684"/>
      <c r="UZU76" s="684"/>
      <c r="UZV76" s="684"/>
      <c r="UZW76" s="684"/>
      <c r="UZX76" s="684"/>
      <c r="UZY76" s="684"/>
      <c r="UZZ76" s="684"/>
      <c r="VAA76" s="684"/>
      <c r="VAB76" s="684"/>
      <c r="VAC76" s="684"/>
      <c r="VAD76" s="684"/>
      <c r="VAE76" s="684"/>
      <c r="VAF76" s="684"/>
      <c r="VAG76" s="684"/>
      <c r="VAH76" s="684"/>
      <c r="VAI76" s="684"/>
      <c r="VAJ76" s="684"/>
      <c r="VAK76" s="684"/>
      <c r="VAL76" s="684"/>
      <c r="VAM76" s="684"/>
      <c r="VAN76" s="684"/>
      <c r="VAO76" s="684"/>
      <c r="VAP76" s="684"/>
      <c r="VAQ76" s="684"/>
      <c r="VAR76" s="684"/>
      <c r="VAS76" s="684"/>
      <c r="VAT76" s="684"/>
      <c r="VAU76" s="684"/>
      <c r="VAV76" s="684"/>
      <c r="VAW76" s="684"/>
      <c r="VAX76" s="684"/>
      <c r="VAY76" s="684"/>
      <c r="VAZ76" s="684"/>
      <c r="VBA76" s="684"/>
      <c r="VBB76" s="684"/>
      <c r="VBC76" s="684"/>
      <c r="VBD76" s="684"/>
      <c r="VBE76" s="684"/>
      <c r="VBF76" s="684"/>
      <c r="VBG76" s="684"/>
      <c r="VBH76" s="684"/>
      <c r="VBI76" s="684"/>
      <c r="VBJ76" s="684"/>
      <c r="VBK76" s="684"/>
      <c r="VBL76" s="684"/>
      <c r="VBM76" s="684"/>
      <c r="VBN76" s="684"/>
      <c r="VBO76" s="684"/>
      <c r="VBP76" s="684"/>
      <c r="VBQ76" s="684"/>
      <c r="VBR76" s="684"/>
      <c r="VBS76" s="684"/>
      <c r="VBT76" s="684"/>
      <c r="VBU76" s="684"/>
      <c r="VBV76" s="684"/>
      <c r="VBW76" s="684"/>
      <c r="VBX76" s="684"/>
      <c r="VBY76" s="684"/>
      <c r="VBZ76" s="684"/>
      <c r="VCA76" s="684"/>
      <c r="VCB76" s="684"/>
      <c r="VCC76" s="684"/>
      <c r="VCD76" s="684"/>
      <c r="VCE76" s="684"/>
      <c r="VCF76" s="684"/>
      <c r="VCG76" s="684"/>
      <c r="VCH76" s="684"/>
      <c r="VCI76" s="684"/>
      <c r="VCJ76" s="684"/>
      <c r="VCK76" s="684"/>
      <c r="VCL76" s="684"/>
      <c r="VCM76" s="684"/>
      <c r="VCN76" s="684"/>
      <c r="VCO76" s="684"/>
      <c r="VCP76" s="684"/>
      <c r="VCQ76" s="684"/>
      <c r="VCR76" s="684"/>
      <c r="VCS76" s="684"/>
      <c r="VCT76" s="684"/>
      <c r="VCU76" s="684"/>
      <c r="VCV76" s="684"/>
      <c r="VCW76" s="684"/>
      <c r="VCX76" s="684"/>
      <c r="VCY76" s="684"/>
      <c r="VCZ76" s="684"/>
      <c r="VDA76" s="684"/>
      <c r="VDB76" s="684"/>
      <c r="VDC76" s="684"/>
      <c r="VDD76" s="684"/>
      <c r="VDE76" s="684"/>
      <c r="VDF76" s="684"/>
      <c r="VDG76" s="684"/>
      <c r="VDH76" s="684"/>
      <c r="VDI76" s="684"/>
      <c r="VDJ76" s="684"/>
      <c r="VDK76" s="684"/>
      <c r="VDL76" s="684"/>
      <c r="VDM76" s="684"/>
      <c r="VDN76" s="684"/>
      <c r="VDO76" s="684"/>
      <c r="VDP76" s="684"/>
      <c r="VDQ76" s="684"/>
      <c r="VDR76" s="684"/>
      <c r="VDS76" s="684"/>
      <c r="VDT76" s="684"/>
      <c r="VDU76" s="684"/>
      <c r="VDV76" s="684"/>
      <c r="VDW76" s="684"/>
      <c r="VDX76" s="684"/>
      <c r="VDY76" s="684"/>
      <c r="VDZ76" s="684"/>
      <c r="VEA76" s="684"/>
      <c r="VEB76" s="684"/>
      <c r="VEC76" s="684"/>
      <c r="VED76" s="684"/>
      <c r="VEE76" s="684"/>
      <c r="VEF76" s="684"/>
      <c r="VEG76" s="684"/>
      <c r="VEH76" s="684"/>
      <c r="VEI76" s="684"/>
      <c r="VEJ76" s="684"/>
      <c r="VEK76" s="684"/>
      <c r="VEL76" s="684"/>
      <c r="VEM76" s="684"/>
      <c r="VEN76" s="684"/>
      <c r="VEO76" s="684"/>
      <c r="VEP76" s="684"/>
      <c r="VEQ76" s="684"/>
      <c r="VER76" s="684"/>
      <c r="VES76" s="684"/>
      <c r="VET76" s="684"/>
      <c r="VEU76" s="684"/>
      <c r="VEV76" s="684"/>
      <c r="VEW76" s="684"/>
      <c r="VEX76" s="684"/>
      <c r="VEY76" s="684"/>
      <c r="VEZ76" s="684"/>
      <c r="VFA76" s="684"/>
      <c r="VFB76" s="684"/>
      <c r="VFC76" s="684"/>
      <c r="VFD76" s="684"/>
      <c r="VFE76" s="684"/>
      <c r="VFF76" s="684"/>
      <c r="VFG76" s="684"/>
      <c r="VFH76" s="684"/>
      <c r="VFI76" s="684"/>
      <c r="VFJ76" s="684"/>
      <c r="VFK76" s="684"/>
      <c r="VFL76" s="684"/>
      <c r="VFM76" s="684"/>
      <c r="VFN76" s="684"/>
      <c r="VFO76" s="684"/>
      <c r="VFP76" s="684"/>
      <c r="VFQ76" s="684"/>
      <c r="VFR76" s="684"/>
      <c r="VFS76" s="684"/>
      <c r="VFT76" s="684"/>
      <c r="VFU76" s="684"/>
      <c r="VFV76" s="684"/>
      <c r="VFW76" s="684"/>
      <c r="VFX76" s="684"/>
      <c r="VFY76" s="684"/>
      <c r="VFZ76" s="684"/>
      <c r="VGA76" s="684"/>
      <c r="VGB76" s="684"/>
      <c r="VGC76" s="684"/>
      <c r="VGD76" s="684"/>
      <c r="VGE76" s="684"/>
      <c r="VGF76" s="684"/>
      <c r="VGG76" s="684"/>
      <c r="VGH76" s="684"/>
      <c r="VGI76" s="684"/>
      <c r="VGJ76" s="684"/>
      <c r="VGK76" s="684"/>
      <c r="VGL76" s="684"/>
      <c r="VGM76" s="684"/>
      <c r="VGN76" s="684"/>
      <c r="VGO76" s="684"/>
      <c r="VGP76" s="684"/>
      <c r="VGQ76" s="684"/>
      <c r="VGR76" s="684"/>
      <c r="VGS76" s="684"/>
      <c r="VGT76" s="684"/>
      <c r="VGU76" s="684"/>
      <c r="VGV76" s="684"/>
      <c r="VGW76" s="684"/>
      <c r="VGX76" s="684"/>
      <c r="VGY76" s="684"/>
      <c r="VGZ76" s="684"/>
      <c r="VHA76" s="684"/>
      <c r="VHB76" s="684"/>
      <c r="VHC76" s="684"/>
      <c r="VHD76" s="684"/>
      <c r="VHE76" s="684"/>
      <c r="VHF76" s="684"/>
      <c r="VHG76" s="684"/>
      <c r="VHH76" s="684"/>
      <c r="VHI76" s="684"/>
      <c r="VHJ76" s="684"/>
      <c r="VHK76" s="684"/>
      <c r="VHL76" s="684"/>
      <c r="VHM76" s="684"/>
      <c r="VHN76" s="684"/>
      <c r="VHO76" s="684"/>
      <c r="VHP76" s="684"/>
      <c r="VHQ76" s="684"/>
      <c r="VHR76" s="684"/>
      <c r="VHS76" s="684"/>
      <c r="VHT76" s="684"/>
      <c r="VHU76" s="684"/>
      <c r="VHV76" s="684"/>
      <c r="VHW76" s="684"/>
      <c r="VHX76" s="684"/>
      <c r="VHY76" s="684"/>
      <c r="VHZ76" s="684"/>
      <c r="VIA76" s="684"/>
      <c r="VIB76" s="684"/>
      <c r="VIC76" s="684"/>
      <c r="VID76" s="684"/>
      <c r="VIE76" s="684"/>
      <c r="VIF76" s="684"/>
      <c r="VIG76" s="684"/>
      <c r="VIH76" s="684"/>
      <c r="VII76" s="684"/>
      <c r="VIJ76" s="684"/>
      <c r="VIK76" s="684"/>
      <c r="VIL76" s="684"/>
      <c r="VIM76" s="684"/>
      <c r="VIN76" s="684"/>
      <c r="VIO76" s="684"/>
      <c r="VIP76" s="684"/>
      <c r="VIQ76" s="684"/>
      <c r="VIR76" s="684"/>
      <c r="VIS76" s="684"/>
      <c r="VIT76" s="684"/>
      <c r="VIU76" s="684"/>
      <c r="VIV76" s="684"/>
      <c r="VIW76" s="684"/>
      <c r="VIX76" s="684"/>
      <c r="VIY76" s="684"/>
      <c r="VIZ76" s="684"/>
      <c r="VJA76" s="684"/>
      <c r="VJB76" s="684"/>
      <c r="VJC76" s="684"/>
      <c r="VJD76" s="684"/>
      <c r="VJE76" s="684"/>
      <c r="VJF76" s="684"/>
      <c r="VJG76" s="684"/>
      <c r="VJH76" s="684"/>
      <c r="VJI76" s="684"/>
      <c r="VJJ76" s="684"/>
      <c r="VJK76" s="684"/>
      <c r="VJL76" s="684"/>
      <c r="VJM76" s="684"/>
      <c r="VJN76" s="684"/>
      <c r="VJO76" s="684"/>
      <c r="VJP76" s="684"/>
      <c r="VJQ76" s="684"/>
      <c r="VJR76" s="684"/>
      <c r="VJS76" s="684"/>
      <c r="VJT76" s="684"/>
      <c r="VJU76" s="684"/>
      <c r="VJV76" s="684"/>
      <c r="VJW76" s="684"/>
      <c r="VJX76" s="684"/>
      <c r="VJY76" s="684"/>
      <c r="VJZ76" s="684"/>
      <c r="VKA76" s="684"/>
      <c r="VKB76" s="684"/>
      <c r="VKC76" s="684"/>
      <c r="VKD76" s="684"/>
      <c r="VKE76" s="684"/>
      <c r="VKF76" s="684"/>
      <c r="VKG76" s="684"/>
      <c r="VKH76" s="684"/>
      <c r="VKI76" s="684"/>
      <c r="VKJ76" s="684"/>
      <c r="VKK76" s="684"/>
      <c r="VKL76" s="684"/>
      <c r="VKM76" s="684"/>
      <c r="VKN76" s="684"/>
      <c r="VKO76" s="684"/>
      <c r="VKP76" s="684"/>
      <c r="VKQ76" s="684"/>
      <c r="VKR76" s="684"/>
      <c r="VKS76" s="684"/>
      <c r="VKT76" s="684"/>
      <c r="VKU76" s="684"/>
      <c r="VKV76" s="684"/>
      <c r="VKW76" s="684"/>
      <c r="VKX76" s="684"/>
      <c r="VKY76" s="684"/>
      <c r="VKZ76" s="684"/>
      <c r="VLA76" s="684"/>
      <c r="VLB76" s="684"/>
      <c r="VLC76" s="684"/>
      <c r="VLD76" s="684"/>
      <c r="VLE76" s="684"/>
      <c r="VLF76" s="684"/>
      <c r="VLG76" s="684"/>
      <c r="VLH76" s="684"/>
      <c r="VLI76" s="684"/>
      <c r="VLJ76" s="684"/>
      <c r="VLK76" s="684"/>
      <c r="VLL76" s="684"/>
      <c r="VLM76" s="684"/>
      <c r="VLN76" s="684"/>
      <c r="VLO76" s="684"/>
      <c r="VLP76" s="684"/>
      <c r="VLQ76" s="684"/>
      <c r="VLR76" s="684"/>
      <c r="VLS76" s="684"/>
      <c r="VLT76" s="684"/>
      <c r="VLU76" s="684"/>
      <c r="VLV76" s="684"/>
      <c r="VLW76" s="684"/>
      <c r="VLX76" s="684"/>
      <c r="VLY76" s="684"/>
      <c r="VLZ76" s="684"/>
      <c r="VMA76" s="684"/>
      <c r="VMB76" s="684"/>
      <c r="VMC76" s="684"/>
      <c r="VMD76" s="684"/>
      <c r="VME76" s="684"/>
      <c r="VMF76" s="684"/>
      <c r="VMG76" s="684"/>
      <c r="VMH76" s="684"/>
      <c r="VMI76" s="684"/>
      <c r="VMJ76" s="684"/>
      <c r="VMK76" s="684"/>
      <c r="VML76" s="684"/>
      <c r="VMM76" s="684"/>
      <c r="VMN76" s="684"/>
      <c r="VMO76" s="684"/>
      <c r="VMP76" s="684"/>
      <c r="VMQ76" s="684"/>
      <c r="VMR76" s="684"/>
      <c r="VMS76" s="684"/>
      <c r="VMT76" s="684"/>
      <c r="VMU76" s="684"/>
      <c r="VMV76" s="684"/>
      <c r="VMW76" s="684"/>
      <c r="VMX76" s="684"/>
      <c r="VMY76" s="684"/>
      <c r="VMZ76" s="684"/>
      <c r="VNA76" s="684"/>
      <c r="VNB76" s="684"/>
      <c r="VNC76" s="684"/>
      <c r="VND76" s="684"/>
      <c r="VNE76" s="684"/>
      <c r="VNF76" s="684"/>
      <c r="VNG76" s="684"/>
      <c r="VNH76" s="684"/>
      <c r="VNI76" s="684"/>
      <c r="VNJ76" s="684"/>
      <c r="VNK76" s="684"/>
      <c r="VNL76" s="684"/>
      <c r="VNM76" s="684"/>
      <c r="VNN76" s="684"/>
      <c r="VNO76" s="684"/>
      <c r="VNP76" s="684"/>
      <c r="VNQ76" s="684"/>
      <c r="VNR76" s="684"/>
      <c r="VNS76" s="684"/>
      <c r="VNT76" s="684"/>
      <c r="VNU76" s="684"/>
      <c r="VNV76" s="684"/>
      <c r="VNW76" s="684"/>
      <c r="VNX76" s="684"/>
      <c r="VNY76" s="684"/>
      <c r="VNZ76" s="684"/>
      <c r="VOA76" s="684"/>
      <c r="VOB76" s="684"/>
      <c r="VOC76" s="684"/>
      <c r="VOD76" s="684"/>
      <c r="VOE76" s="684"/>
      <c r="VOF76" s="684"/>
      <c r="VOG76" s="684"/>
      <c r="VOH76" s="684"/>
      <c r="VOI76" s="684"/>
      <c r="VOJ76" s="684"/>
      <c r="VOK76" s="684"/>
      <c r="VOL76" s="684"/>
      <c r="VOM76" s="684"/>
      <c r="VON76" s="684"/>
      <c r="VOO76" s="684"/>
      <c r="VOP76" s="684"/>
      <c r="VOQ76" s="684"/>
      <c r="VOR76" s="684"/>
      <c r="VOS76" s="684"/>
      <c r="VOT76" s="684"/>
      <c r="VOU76" s="684"/>
      <c r="VOV76" s="684"/>
      <c r="VOW76" s="684"/>
      <c r="VOX76" s="684"/>
      <c r="VOY76" s="684"/>
      <c r="VOZ76" s="684"/>
      <c r="VPA76" s="684"/>
      <c r="VPB76" s="684"/>
      <c r="VPC76" s="684"/>
      <c r="VPD76" s="684"/>
      <c r="VPE76" s="684"/>
      <c r="VPF76" s="684"/>
      <c r="VPG76" s="684"/>
      <c r="VPH76" s="684"/>
      <c r="VPI76" s="684"/>
      <c r="VPJ76" s="684"/>
      <c r="VPK76" s="684"/>
      <c r="VPL76" s="684"/>
      <c r="VPM76" s="684"/>
      <c r="VPN76" s="684"/>
      <c r="VPO76" s="684"/>
      <c r="VPP76" s="684"/>
      <c r="VPQ76" s="684"/>
      <c r="VPR76" s="684"/>
      <c r="VPS76" s="684"/>
      <c r="VPT76" s="684"/>
      <c r="VPU76" s="684"/>
      <c r="VPV76" s="684"/>
      <c r="VPW76" s="684"/>
      <c r="VPX76" s="684"/>
      <c r="VPY76" s="684"/>
      <c r="VPZ76" s="684"/>
      <c r="VQA76" s="684"/>
      <c r="VQB76" s="684"/>
      <c r="VQC76" s="684"/>
      <c r="VQD76" s="684"/>
      <c r="VQE76" s="684"/>
      <c r="VQF76" s="684"/>
      <c r="VQG76" s="684"/>
      <c r="VQH76" s="684"/>
      <c r="VQI76" s="684"/>
      <c r="VQJ76" s="684"/>
      <c r="VQK76" s="684"/>
      <c r="VQL76" s="684"/>
      <c r="VQM76" s="684"/>
      <c r="VQN76" s="684"/>
      <c r="VQO76" s="684"/>
      <c r="VQP76" s="684"/>
      <c r="VQQ76" s="684"/>
      <c r="VQR76" s="684"/>
      <c r="VQS76" s="684"/>
      <c r="VQT76" s="684"/>
      <c r="VQU76" s="684"/>
      <c r="VQV76" s="684"/>
      <c r="VQW76" s="684"/>
      <c r="VQX76" s="684"/>
      <c r="VQY76" s="684"/>
      <c r="VQZ76" s="684"/>
      <c r="VRA76" s="684"/>
      <c r="VRB76" s="684"/>
      <c r="VRC76" s="684"/>
      <c r="VRD76" s="684"/>
      <c r="VRE76" s="684"/>
      <c r="VRF76" s="684"/>
      <c r="VRG76" s="684"/>
      <c r="VRH76" s="684"/>
      <c r="VRI76" s="684"/>
      <c r="VRJ76" s="684"/>
      <c r="VRK76" s="684"/>
      <c r="VRL76" s="684"/>
      <c r="VRM76" s="684"/>
      <c r="VRN76" s="684"/>
      <c r="VRO76" s="684"/>
      <c r="VRP76" s="684"/>
      <c r="VRQ76" s="684"/>
      <c r="VRR76" s="684"/>
      <c r="VRS76" s="684"/>
      <c r="VRT76" s="684"/>
      <c r="VRU76" s="684"/>
      <c r="VRV76" s="684"/>
      <c r="VRW76" s="684"/>
      <c r="VRX76" s="684"/>
      <c r="VRY76" s="684"/>
      <c r="VRZ76" s="684"/>
      <c r="VSA76" s="684"/>
      <c r="VSB76" s="684"/>
      <c r="VSC76" s="684"/>
      <c r="VSD76" s="684"/>
      <c r="VSE76" s="684"/>
      <c r="VSF76" s="684"/>
      <c r="VSG76" s="684"/>
      <c r="VSH76" s="684"/>
      <c r="VSI76" s="684"/>
      <c r="VSJ76" s="684"/>
      <c r="VSK76" s="684"/>
      <c r="VSL76" s="684"/>
      <c r="VSM76" s="684"/>
      <c r="VSN76" s="684"/>
      <c r="VSO76" s="684"/>
      <c r="VSP76" s="684"/>
      <c r="VSQ76" s="684"/>
      <c r="VSR76" s="684"/>
      <c r="VSS76" s="684"/>
      <c r="VST76" s="684"/>
      <c r="VSU76" s="684"/>
      <c r="VSV76" s="684"/>
      <c r="VSW76" s="684"/>
      <c r="VSX76" s="684"/>
      <c r="VSY76" s="684"/>
      <c r="VSZ76" s="684"/>
      <c r="VTA76" s="684"/>
      <c r="VTB76" s="684"/>
      <c r="VTC76" s="684"/>
      <c r="VTD76" s="684"/>
      <c r="VTE76" s="684"/>
      <c r="VTF76" s="684"/>
      <c r="VTG76" s="684"/>
      <c r="VTH76" s="684"/>
      <c r="VTI76" s="684"/>
      <c r="VTJ76" s="684"/>
      <c r="VTK76" s="684"/>
      <c r="VTL76" s="684"/>
      <c r="VTM76" s="684"/>
      <c r="VTN76" s="684"/>
      <c r="VTO76" s="684"/>
      <c r="VTP76" s="684"/>
      <c r="VTQ76" s="684"/>
      <c r="VTR76" s="684"/>
      <c r="VTS76" s="684"/>
      <c r="VTT76" s="684"/>
      <c r="VTU76" s="684"/>
      <c r="VTV76" s="684"/>
      <c r="VTW76" s="684"/>
      <c r="VTX76" s="684"/>
      <c r="VTY76" s="684"/>
      <c r="VTZ76" s="684"/>
      <c r="VUA76" s="684"/>
      <c r="VUB76" s="684"/>
      <c r="VUC76" s="684"/>
      <c r="VUD76" s="684"/>
      <c r="VUE76" s="684"/>
      <c r="VUF76" s="684"/>
      <c r="VUG76" s="684"/>
      <c r="VUH76" s="684"/>
      <c r="VUI76" s="684"/>
      <c r="VUJ76" s="684"/>
      <c r="VUK76" s="684"/>
      <c r="VUL76" s="684"/>
      <c r="VUM76" s="684"/>
      <c r="VUN76" s="684"/>
      <c r="VUO76" s="684"/>
      <c r="VUP76" s="684"/>
      <c r="VUQ76" s="684"/>
      <c r="VUR76" s="684"/>
      <c r="VUS76" s="684"/>
      <c r="VUT76" s="684"/>
      <c r="VUU76" s="684"/>
      <c r="VUV76" s="684"/>
      <c r="VUW76" s="684"/>
      <c r="VUX76" s="684"/>
      <c r="VUY76" s="684"/>
      <c r="VUZ76" s="684"/>
      <c r="VVA76" s="684"/>
      <c r="VVB76" s="684"/>
      <c r="VVC76" s="684"/>
      <c r="VVD76" s="684"/>
      <c r="VVE76" s="684"/>
      <c r="VVF76" s="684"/>
      <c r="VVG76" s="684"/>
      <c r="VVH76" s="684"/>
      <c r="VVI76" s="684"/>
      <c r="VVJ76" s="684"/>
      <c r="VVK76" s="684"/>
      <c r="VVL76" s="684"/>
      <c r="VVM76" s="684"/>
      <c r="VVN76" s="684"/>
      <c r="VVO76" s="684"/>
      <c r="VVP76" s="684"/>
      <c r="VVQ76" s="684"/>
      <c r="VVR76" s="684"/>
      <c r="VVS76" s="684"/>
      <c r="VVT76" s="684"/>
      <c r="VVU76" s="684"/>
      <c r="VVV76" s="684"/>
      <c r="VVW76" s="684"/>
      <c r="VVX76" s="684"/>
      <c r="VVY76" s="684"/>
      <c r="VVZ76" s="684"/>
      <c r="VWA76" s="684"/>
      <c r="VWB76" s="684"/>
      <c r="VWC76" s="684"/>
      <c r="VWD76" s="684"/>
      <c r="VWE76" s="684"/>
      <c r="VWF76" s="684"/>
      <c r="VWG76" s="684"/>
      <c r="VWH76" s="684"/>
      <c r="VWI76" s="684"/>
      <c r="VWJ76" s="684"/>
      <c r="VWK76" s="684"/>
      <c r="VWL76" s="684"/>
      <c r="VWM76" s="684"/>
      <c r="VWN76" s="684"/>
      <c r="VWO76" s="684"/>
      <c r="VWP76" s="684"/>
      <c r="VWQ76" s="684"/>
      <c r="VWR76" s="684"/>
      <c r="VWS76" s="684"/>
      <c r="VWT76" s="684"/>
      <c r="VWU76" s="684"/>
      <c r="VWV76" s="684"/>
      <c r="VWW76" s="684"/>
      <c r="VWX76" s="684"/>
      <c r="VWY76" s="684"/>
      <c r="VWZ76" s="684"/>
      <c r="VXA76" s="684"/>
      <c r="VXB76" s="684"/>
      <c r="VXC76" s="684"/>
      <c r="VXD76" s="684"/>
      <c r="VXE76" s="684"/>
      <c r="VXF76" s="684"/>
      <c r="VXG76" s="684"/>
      <c r="VXH76" s="684"/>
      <c r="VXI76" s="684"/>
      <c r="VXJ76" s="684"/>
      <c r="VXK76" s="684"/>
      <c r="VXL76" s="684"/>
      <c r="VXM76" s="684"/>
      <c r="VXN76" s="684"/>
      <c r="VXO76" s="684"/>
      <c r="VXP76" s="684"/>
      <c r="VXQ76" s="684"/>
      <c r="VXR76" s="684"/>
      <c r="VXS76" s="684"/>
      <c r="VXT76" s="684"/>
      <c r="VXU76" s="684"/>
      <c r="VXV76" s="684"/>
      <c r="VXW76" s="684"/>
      <c r="VXX76" s="684"/>
      <c r="VXY76" s="684"/>
      <c r="VXZ76" s="684"/>
      <c r="VYA76" s="684"/>
      <c r="VYB76" s="684"/>
      <c r="VYC76" s="684"/>
      <c r="VYD76" s="684"/>
      <c r="VYE76" s="684"/>
      <c r="VYF76" s="684"/>
      <c r="VYG76" s="684"/>
      <c r="VYH76" s="684"/>
      <c r="VYI76" s="684"/>
      <c r="VYJ76" s="684"/>
      <c r="VYK76" s="684"/>
      <c r="VYL76" s="684"/>
      <c r="VYM76" s="684"/>
      <c r="VYN76" s="684"/>
      <c r="VYO76" s="684"/>
      <c r="VYP76" s="684"/>
      <c r="VYQ76" s="684"/>
      <c r="VYR76" s="684"/>
      <c r="VYS76" s="684"/>
      <c r="VYT76" s="684"/>
      <c r="VYU76" s="684"/>
      <c r="VYV76" s="684"/>
      <c r="VYW76" s="684"/>
      <c r="VYX76" s="684"/>
      <c r="VYY76" s="684"/>
      <c r="VYZ76" s="684"/>
      <c r="VZA76" s="684"/>
      <c r="VZB76" s="684"/>
      <c r="VZC76" s="684"/>
      <c r="VZD76" s="684"/>
      <c r="VZE76" s="684"/>
      <c r="VZF76" s="684"/>
      <c r="VZG76" s="684"/>
      <c r="VZH76" s="684"/>
      <c r="VZI76" s="684"/>
      <c r="VZJ76" s="684"/>
      <c r="VZK76" s="684"/>
      <c r="VZL76" s="684"/>
      <c r="VZM76" s="684"/>
      <c r="VZN76" s="684"/>
      <c r="VZO76" s="684"/>
      <c r="VZP76" s="684"/>
      <c r="VZQ76" s="684"/>
      <c r="VZR76" s="684"/>
      <c r="VZS76" s="684"/>
      <c r="VZT76" s="684"/>
      <c r="VZU76" s="684"/>
      <c r="VZV76" s="684"/>
      <c r="VZW76" s="684"/>
      <c r="VZX76" s="684"/>
      <c r="VZY76" s="684"/>
      <c r="VZZ76" s="684"/>
      <c r="WAA76" s="684"/>
      <c r="WAB76" s="684"/>
      <c r="WAC76" s="684"/>
      <c r="WAD76" s="684"/>
      <c r="WAE76" s="684"/>
      <c r="WAF76" s="684"/>
      <c r="WAG76" s="684"/>
      <c r="WAH76" s="684"/>
      <c r="WAI76" s="684"/>
      <c r="WAJ76" s="684"/>
      <c r="WAK76" s="684"/>
      <c r="WAL76" s="684"/>
      <c r="WAM76" s="684"/>
      <c r="WAN76" s="684"/>
      <c r="WAO76" s="684"/>
      <c r="WAP76" s="684"/>
      <c r="WAQ76" s="684"/>
      <c r="WAR76" s="684"/>
      <c r="WAS76" s="684"/>
      <c r="WAT76" s="684"/>
      <c r="WAU76" s="684"/>
      <c r="WAV76" s="684"/>
      <c r="WAW76" s="684"/>
      <c r="WAX76" s="684"/>
      <c r="WAY76" s="684"/>
      <c r="WAZ76" s="684"/>
      <c r="WBA76" s="684"/>
      <c r="WBB76" s="684"/>
      <c r="WBC76" s="684"/>
      <c r="WBD76" s="684"/>
      <c r="WBE76" s="684"/>
      <c r="WBF76" s="684"/>
      <c r="WBG76" s="684"/>
      <c r="WBH76" s="684"/>
      <c r="WBI76" s="684"/>
      <c r="WBJ76" s="684"/>
      <c r="WBK76" s="684"/>
      <c r="WBL76" s="684"/>
      <c r="WBM76" s="684"/>
      <c r="WBN76" s="684"/>
      <c r="WBO76" s="684"/>
      <c r="WBP76" s="684"/>
      <c r="WBQ76" s="684"/>
      <c r="WBR76" s="684"/>
      <c r="WBS76" s="684"/>
      <c r="WBT76" s="684"/>
      <c r="WBU76" s="684"/>
      <c r="WBV76" s="684"/>
      <c r="WBW76" s="684"/>
      <c r="WBX76" s="684"/>
      <c r="WBY76" s="684"/>
      <c r="WBZ76" s="684"/>
      <c r="WCA76" s="684"/>
      <c r="WCB76" s="684"/>
      <c r="WCC76" s="684"/>
      <c r="WCD76" s="684"/>
      <c r="WCE76" s="684"/>
      <c r="WCF76" s="684"/>
      <c r="WCG76" s="684"/>
      <c r="WCH76" s="684"/>
      <c r="WCI76" s="684"/>
      <c r="WCJ76" s="684"/>
      <c r="WCK76" s="684"/>
      <c r="WCL76" s="684"/>
      <c r="WCM76" s="684"/>
      <c r="WCN76" s="684"/>
      <c r="WCO76" s="684"/>
      <c r="WCP76" s="684"/>
      <c r="WCQ76" s="684"/>
      <c r="WCR76" s="684"/>
      <c r="WCS76" s="684"/>
      <c r="WCT76" s="684"/>
      <c r="WCU76" s="684"/>
      <c r="WCV76" s="684"/>
      <c r="WCW76" s="684"/>
      <c r="WCX76" s="684"/>
      <c r="WCY76" s="684"/>
      <c r="WCZ76" s="684"/>
      <c r="WDA76" s="684"/>
      <c r="WDB76" s="684"/>
      <c r="WDC76" s="684"/>
      <c r="WDD76" s="684"/>
      <c r="WDE76" s="684"/>
      <c r="WDF76" s="684"/>
      <c r="WDG76" s="684"/>
      <c r="WDH76" s="684"/>
      <c r="WDI76" s="684"/>
      <c r="WDJ76" s="684"/>
      <c r="WDK76" s="684"/>
      <c r="WDL76" s="684"/>
      <c r="WDM76" s="684"/>
      <c r="WDN76" s="684"/>
      <c r="WDO76" s="684"/>
      <c r="WDP76" s="684"/>
      <c r="WDQ76" s="684"/>
      <c r="WDR76" s="684"/>
      <c r="WDS76" s="684"/>
      <c r="WDT76" s="684"/>
      <c r="WDU76" s="684"/>
      <c r="WDV76" s="684"/>
      <c r="WDW76" s="684"/>
      <c r="WDX76" s="684"/>
      <c r="WDY76" s="684"/>
      <c r="WDZ76" s="684"/>
      <c r="WEA76" s="684"/>
      <c r="WEB76" s="684"/>
      <c r="WEC76" s="684"/>
      <c r="WED76" s="684"/>
      <c r="WEE76" s="684"/>
      <c r="WEF76" s="684"/>
      <c r="WEG76" s="684"/>
      <c r="WEH76" s="684"/>
      <c r="WEI76" s="684"/>
      <c r="WEJ76" s="684"/>
      <c r="WEK76" s="684"/>
      <c r="WEL76" s="684"/>
      <c r="WEM76" s="684"/>
      <c r="WEN76" s="684"/>
      <c r="WEO76" s="684"/>
      <c r="WEP76" s="684"/>
      <c r="WEQ76" s="684"/>
      <c r="WER76" s="684"/>
      <c r="WES76" s="684"/>
      <c r="WET76" s="684"/>
      <c r="WEU76" s="684"/>
      <c r="WEV76" s="684"/>
      <c r="WEW76" s="684"/>
      <c r="WEX76" s="684"/>
      <c r="WEY76" s="684"/>
      <c r="WEZ76" s="684"/>
      <c r="WFA76" s="684"/>
      <c r="WFB76" s="684"/>
      <c r="WFC76" s="684"/>
      <c r="WFD76" s="684"/>
      <c r="WFE76" s="684"/>
      <c r="WFF76" s="684"/>
      <c r="WFG76" s="684"/>
      <c r="WFH76" s="684"/>
      <c r="WFI76" s="684"/>
      <c r="WFJ76" s="684"/>
      <c r="WFK76" s="684"/>
      <c r="WFL76" s="684"/>
      <c r="WFM76" s="684"/>
      <c r="WFN76" s="684"/>
      <c r="WFO76" s="684"/>
      <c r="WFP76" s="684"/>
      <c r="WFQ76" s="684"/>
      <c r="WFR76" s="684"/>
      <c r="WFS76" s="684"/>
      <c r="WFT76" s="684"/>
      <c r="WFU76" s="684"/>
      <c r="WFV76" s="684"/>
      <c r="WFW76" s="684"/>
      <c r="WFX76" s="684"/>
      <c r="WFY76" s="684"/>
      <c r="WFZ76" s="684"/>
      <c r="WGA76" s="684"/>
      <c r="WGB76" s="684"/>
      <c r="WGC76" s="684"/>
      <c r="WGD76" s="684"/>
      <c r="WGE76" s="684"/>
      <c r="WGF76" s="684"/>
      <c r="WGG76" s="684"/>
      <c r="WGH76" s="684"/>
      <c r="WGI76" s="684"/>
      <c r="WGJ76" s="684"/>
      <c r="WGK76" s="684"/>
      <c r="WGL76" s="684"/>
      <c r="WGM76" s="684"/>
      <c r="WGN76" s="684"/>
      <c r="WGO76" s="684"/>
      <c r="WGP76" s="684"/>
      <c r="WGQ76" s="684"/>
      <c r="WGR76" s="684"/>
      <c r="WGS76" s="684"/>
      <c r="WGT76" s="684"/>
      <c r="WGU76" s="684"/>
      <c r="WGV76" s="684"/>
      <c r="WGW76" s="684"/>
      <c r="WGX76" s="684"/>
      <c r="WGY76" s="684"/>
      <c r="WGZ76" s="684"/>
      <c r="WHA76" s="684"/>
      <c r="WHB76" s="684"/>
      <c r="WHC76" s="684"/>
      <c r="WHD76" s="684"/>
      <c r="WHE76" s="684"/>
      <c r="WHF76" s="684"/>
      <c r="WHG76" s="684"/>
      <c r="WHH76" s="684"/>
      <c r="WHI76" s="684"/>
      <c r="WHJ76" s="684"/>
      <c r="WHK76" s="684"/>
      <c r="WHL76" s="684"/>
      <c r="WHM76" s="684"/>
      <c r="WHN76" s="684"/>
      <c r="WHO76" s="684"/>
      <c r="WHP76" s="684"/>
      <c r="WHQ76" s="684"/>
      <c r="WHR76" s="684"/>
      <c r="WHS76" s="684"/>
      <c r="WHT76" s="684"/>
      <c r="WHU76" s="684"/>
      <c r="WHV76" s="684"/>
      <c r="WHW76" s="684"/>
      <c r="WHX76" s="684"/>
      <c r="WHY76" s="684"/>
      <c r="WHZ76" s="684"/>
      <c r="WIA76" s="684"/>
      <c r="WIB76" s="684"/>
      <c r="WIC76" s="684"/>
      <c r="WID76" s="684"/>
      <c r="WIE76" s="684"/>
      <c r="WIF76" s="684"/>
      <c r="WIG76" s="684"/>
      <c r="WIH76" s="684"/>
      <c r="WII76" s="684"/>
      <c r="WIJ76" s="684"/>
      <c r="WIK76" s="684"/>
      <c r="WIL76" s="684"/>
      <c r="WIM76" s="684"/>
      <c r="WIN76" s="684"/>
      <c r="WIO76" s="684"/>
      <c r="WIP76" s="684"/>
      <c r="WIQ76" s="684"/>
      <c r="WIR76" s="684"/>
      <c r="WIS76" s="684"/>
      <c r="WIT76" s="684"/>
      <c r="WIU76" s="684"/>
      <c r="WIV76" s="684"/>
      <c r="WIW76" s="684"/>
      <c r="WIX76" s="684"/>
      <c r="WIY76" s="684"/>
      <c r="WIZ76" s="684"/>
      <c r="WJA76" s="684"/>
      <c r="WJB76" s="684"/>
      <c r="WJC76" s="684"/>
      <c r="WJD76" s="684"/>
      <c r="WJE76" s="684"/>
      <c r="WJF76" s="684"/>
      <c r="WJG76" s="684"/>
      <c r="WJH76" s="684"/>
      <c r="WJI76" s="684"/>
      <c r="WJJ76" s="684"/>
      <c r="WJK76" s="684"/>
      <c r="WJL76" s="684"/>
      <c r="WJM76" s="684"/>
      <c r="WJN76" s="684"/>
      <c r="WJO76" s="684"/>
      <c r="WJP76" s="684"/>
      <c r="WJQ76" s="684"/>
      <c r="WJR76" s="684"/>
      <c r="WJS76" s="684"/>
      <c r="WJT76" s="684"/>
      <c r="WJU76" s="684"/>
      <c r="WJV76" s="684"/>
      <c r="WJW76" s="684"/>
      <c r="WJX76" s="684"/>
      <c r="WJY76" s="684"/>
      <c r="WJZ76" s="684"/>
      <c r="WKA76" s="684"/>
      <c r="WKB76" s="684"/>
      <c r="WKC76" s="684"/>
      <c r="WKD76" s="684"/>
      <c r="WKE76" s="684"/>
      <c r="WKF76" s="684"/>
      <c r="WKG76" s="684"/>
      <c r="WKH76" s="684"/>
      <c r="WKI76" s="684"/>
      <c r="WKJ76" s="684"/>
      <c r="WKK76" s="684"/>
      <c r="WKL76" s="684"/>
      <c r="WKM76" s="684"/>
      <c r="WKN76" s="684"/>
      <c r="WKO76" s="684"/>
      <c r="WKP76" s="684"/>
      <c r="WKQ76" s="684"/>
      <c r="WKR76" s="684"/>
      <c r="WKS76" s="684"/>
      <c r="WKT76" s="684"/>
      <c r="WKU76" s="684"/>
      <c r="WKV76" s="684"/>
      <c r="WKW76" s="684"/>
      <c r="WKX76" s="684"/>
      <c r="WKY76" s="684"/>
      <c r="WKZ76" s="684"/>
      <c r="WLA76" s="684"/>
      <c r="WLB76" s="684"/>
      <c r="WLC76" s="684"/>
      <c r="WLD76" s="684"/>
      <c r="WLE76" s="684"/>
      <c r="WLF76" s="684"/>
      <c r="WLG76" s="684"/>
      <c r="WLH76" s="684"/>
      <c r="WLI76" s="684"/>
      <c r="WLJ76" s="684"/>
      <c r="WLK76" s="684"/>
      <c r="WLL76" s="684"/>
      <c r="WLM76" s="684"/>
      <c r="WLN76" s="684"/>
      <c r="WLO76" s="684"/>
      <c r="WLP76" s="684"/>
      <c r="WLQ76" s="684"/>
      <c r="WLR76" s="684"/>
      <c r="WLS76" s="684"/>
      <c r="WLT76" s="684"/>
      <c r="WLU76" s="684"/>
      <c r="WLV76" s="684"/>
      <c r="WLW76" s="684"/>
      <c r="WLX76" s="684"/>
      <c r="WLY76" s="684"/>
      <c r="WLZ76" s="684"/>
      <c r="WMA76" s="684"/>
      <c r="WMB76" s="684"/>
      <c r="WMC76" s="684"/>
      <c r="WMD76" s="684"/>
      <c r="WME76" s="684"/>
      <c r="WMF76" s="684"/>
      <c r="WMG76" s="684"/>
      <c r="WMH76" s="684"/>
      <c r="WMI76" s="684"/>
      <c r="WMJ76" s="684"/>
      <c r="WMK76" s="684"/>
      <c r="WML76" s="684"/>
      <c r="WMM76" s="684"/>
      <c r="WMN76" s="684"/>
      <c r="WMO76" s="684"/>
      <c r="WMP76" s="684"/>
      <c r="WMQ76" s="684"/>
      <c r="WMR76" s="684"/>
      <c r="WMS76" s="684"/>
      <c r="WMT76" s="684"/>
      <c r="WMU76" s="684"/>
      <c r="WMV76" s="684"/>
      <c r="WMW76" s="684"/>
      <c r="WMX76" s="684"/>
      <c r="WMY76" s="684"/>
      <c r="WMZ76" s="684"/>
      <c r="WNA76" s="684"/>
      <c r="WNB76" s="684"/>
      <c r="WNC76" s="684"/>
      <c r="WND76" s="684"/>
      <c r="WNE76" s="684"/>
      <c r="WNF76" s="684"/>
      <c r="WNG76" s="684"/>
      <c r="WNH76" s="684"/>
      <c r="WNI76" s="684"/>
      <c r="WNJ76" s="684"/>
      <c r="WNK76" s="684"/>
      <c r="WNL76" s="684"/>
      <c r="WNM76" s="684"/>
      <c r="WNN76" s="684"/>
      <c r="WNO76" s="684"/>
      <c r="WNP76" s="684"/>
      <c r="WNQ76" s="684"/>
      <c r="WNR76" s="684"/>
      <c r="WNS76" s="684"/>
      <c r="WNT76" s="684"/>
      <c r="WNU76" s="684"/>
      <c r="WNV76" s="684"/>
      <c r="WNW76" s="684"/>
      <c r="WNX76" s="684"/>
      <c r="WNY76" s="684"/>
      <c r="WNZ76" s="684"/>
      <c r="WOA76" s="684"/>
      <c r="WOB76" s="684"/>
      <c r="WOC76" s="684"/>
      <c r="WOD76" s="684"/>
      <c r="WOE76" s="684"/>
      <c r="WOF76" s="684"/>
      <c r="WOG76" s="684"/>
      <c r="WOH76" s="684"/>
      <c r="WOI76" s="684"/>
      <c r="WOJ76" s="684"/>
      <c r="WOK76" s="684"/>
      <c r="WOL76" s="684"/>
      <c r="WOM76" s="684"/>
      <c r="WON76" s="684"/>
      <c r="WOO76" s="684"/>
      <c r="WOP76" s="684"/>
      <c r="WOQ76" s="684"/>
      <c r="WOR76" s="684"/>
      <c r="WOS76" s="684"/>
      <c r="WOT76" s="684"/>
      <c r="WOU76" s="684"/>
      <c r="WOV76" s="684"/>
      <c r="WOW76" s="684"/>
      <c r="WOX76" s="684"/>
      <c r="WOY76" s="684"/>
      <c r="WOZ76" s="684"/>
      <c r="WPA76" s="684"/>
      <c r="WPB76" s="684"/>
      <c r="WPC76" s="684"/>
      <c r="WPD76" s="684"/>
      <c r="WPE76" s="684"/>
      <c r="WPF76" s="684"/>
      <c r="WPG76" s="684"/>
      <c r="WPH76" s="684"/>
      <c r="WPI76" s="684"/>
      <c r="WPJ76" s="684"/>
      <c r="WPK76" s="684"/>
      <c r="WPL76" s="684"/>
      <c r="WPM76" s="684"/>
      <c r="WPN76" s="684"/>
      <c r="WPO76" s="684"/>
      <c r="WPP76" s="684"/>
      <c r="WPQ76" s="684"/>
      <c r="WPR76" s="684"/>
      <c r="WPS76" s="684"/>
      <c r="WPT76" s="684"/>
      <c r="WPU76" s="684"/>
      <c r="WPV76" s="684"/>
      <c r="WPW76" s="684"/>
      <c r="WPX76" s="684"/>
      <c r="WPY76" s="684"/>
      <c r="WPZ76" s="684"/>
      <c r="WQA76" s="684"/>
      <c r="WQB76" s="684"/>
      <c r="WQC76" s="684"/>
      <c r="WQD76" s="684"/>
      <c r="WQE76" s="684"/>
      <c r="WQF76" s="684"/>
      <c r="WQG76" s="684"/>
      <c r="WQH76" s="684"/>
      <c r="WQI76" s="684"/>
      <c r="WQJ76" s="684"/>
      <c r="WQK76" s="684"/>
      <c r="WQL76" s="684"/>
      <c r="WQM76" s="684"/>
      <c r="WQN76" s="684"/>
      <c r="WQO76" s="684"/>
      <c r="WQP76" s="684"/>
      <c r="WQQ76" s="684"/>
      <c r="WQR76" s="684"/>
      <c r="WQS76" s="684"/>
      <c r="WQT76" s="684"/>
      <c r="WQU76" s="684"/>
      <c r="WQV76" s="684"/>
      <c r="WQW76" s="684"/>
      <c r="WQX76" s="684"/>
      <c r="WQY76" s="684"/>
      <c r="WQZ76" s="684"/>
      <c r="WRA76" s="684"/>
      <c r="WRB76" s="684"/>
      <c r="WRC76" s="684"/>
      <c r="WRD76" s="684"/>
      <c r="WRE76" s="684"/>
      <c r="WRF76" s="684"/>
      <c r="WRG76" s="684"/>
      <c r="WRH76" s="684"/>
      <c r="WRI76" s="684"/>
      <c r="WRJ76" s="684"/>
      <c r="WRK76" s="684"/>
      <c r="WRL76" s="684"/>
      <c r="WRM76" s="684"/>
      <c r="WRN76" s="684"/>
      <c r="WRO76" s="684"/>
      <c r="WRP76" s="684"/>
      <c r="WRQ76" s="684"/>
      <c r="WRR76" s="684"/>
      <c r="WRS76" s="684"/>
      <c r="WRT76" s="684"/>
      <c r="WRU76" s="684"/>
      <c r="WRV76" s="684"/>
      <c r="WRW76" s="684"/>
      <c r="WRX76" s="684"/>
      <c r="WRY76" s="684"/>
      <c r="WRZ76" s="684"/>
      <c r="WSA76" s="684"/>
      <c r="WSB76" s="684"/>
      <c r="WSC76" s="684"/>
      <c r="WSD76" s="684"/>
      <c r="WSE76" s="684"/>
      <c r="WSF76" s="684"/>
      <c r="WSG76" s="684"/>
      <c r="WSH76" s="684"/>
      <c r="WSI76" s="684"/>
      <c r="WSJ76" s="684"/>
      <c r="WSK76" s="684"/>
      <c r="WSL76" s="684"/>
      <c r="WSM76" s="684"/>
      <c r="WSN76" s="684"/>
      <c r="WSO76" s="684"/>
      <c r="WSP76" s="684"/>
      <c r="WSQ76" s="684"/>
      <c r="WSR76" s="684"/>
      <c r="WSS76" s="684"/>
      <c r="WST76" s="684"/>
      <c r="WSU76" s="684"/>
      <c r="WSV76" s="684"/>
      <c r="WSW76" s="684"/>
      <c r="WSX76" s="684"/>
      <c r="WSY76" s="684"/>
      <c r="WSZ76" s="684"/>
      <c r="WTA76" s="684"/>
      <c r="WTB76" s="684"/>
      <c r="WTC76" s="684"/>
      <c r="WTD76" s="684"/>
      <c r="WTE76" s="684"/>
      <c r="WTF76" s="684"/>
      <c r="WTG76" s="684"/>
      <c r="WTH76" s="684"/>
      <c r="WTI76" s="684"/>
      <c r="WTJ76" s="684"/>
      <c r="WTK76" s="684"/>
      <c r="WTL76" s="684"/>
      <c r="WTM76" s="684"/>
      <c r="WTN76" s="684"/>
      <c r="WTO76" s="684"/>
      <c r="WTP76" s="684"/>
      <c r="WTQ76" s="684"/>
      <c r="WTR76" s="684"/>
      <c r="WTS76" s="684"/>
      <c r="WTT76" s="684"/>
      <c r="WTU76" s="684"/>
      <c r="WTV76" s="684"/>
      <c r="WTW76" s="684"/>
      <c r="WTX76" s="684"/>
      <c r="WTY76" s="684"/>
      <c r="WTZ76" s="684"/>
      <c r="WUA76" s="684"/>
      <c r="WUB76" s="684"/>
      <c r="WUC76" s="684"/>
      <c r="WUD76" s="684"/>
      <c r="WUE76" s="684"/>
      <c r="WUF76" s="684"/>
      <c r="WUG76" s="684"/>
      <c r="WUH76" s="684"/>
      <c r="WUI76" s="684"/>
      <c r="WUJ76" s="684"/>
      <c r="WUK76" s="684"/>
      <c r="WUL76" s="684"/>
      <c r="WUM76" s="684"/>
      <c r="WUN76" s="684"/>
      <c r="WUO76" s="684"/>
      <c r="WUP76" s="684"/>
      <c r="WUQ76" s="684"/>
      <c r="WUR76" s="684"/>
      <c r="WUS76" s="684"/>
      <c r="WUT76" s="684"/>
      <c r="WUU76" s="684"/>
      <c r="WUV76" s="684"/>
      <c r="WUW76" s="684"/>
      <c r="WUX76" s="684"/>
      <c r="WUY76" s="684"/>
      <c r="WUZ76" s="684"/>
      <c r="WVA76" s="684"/>
      <c r="WVB76" s="684"/>
      <c r="WVC76" s="684"/>
      <c r="WVD76" s="684"/>
      <c r="WVE76" s="684"/>
      <c r="WVF76" s="684"/>
      <c r="WVG76" s="684"/>
      <c r="WVH76" s="684"/>
      <c r="WVI76" s="684"/>
      <c r="WVJ76" s="684"/>
      <c r="WVK76" s="684"/>
      <c r="WVL76" s="684"/>
      <c r="WVM76" s="684"/>
      <c r="WVN76" s="684"/>
      <c r="WVO76" s="684"/>
      <c r="WVP76" s="684"/>
      <c r="WVQ76" s="684"/>
      <c r="WVR76" s="684"/>
      <c r="WVS76" s="684"/>
      <c r="WVT76" s="684"/>
      <c r="WVU76" s="684"/>
      <c r="WVV76" s="684"/>
      <c r="WVW76" s="684"/>
      <c r="WVX76" s="684"/>
      <c r="WVY76" s="684"/>
      <c r="WVZ76" s="684"/>
      <c r="WWA76" s="684"/>
      <c r="WWB76" s="684"/>
      <c r="WWC76" s="684"/>
      <c r="WWD76" s="684"/>
      <c r="WWE76" s="684"/>
      <c r="WWF76" s="684"/>
      <c r="WWG76" s="684"/>
      <c r="WWH76" s="684"/>
      <c r="WWI76" s="684"/>
      <c r="WWJ76" s="684"/>
      <c r="WWK76" s="684"/>
      <c r="WWL76" s="684"/>
      <c r="WWM76" s="684"/>
      <c r="WWN76" s="684"/>
      <c r="WWO76" s="684"/>
      <c r="WWP76" s="684"/>
      <c r="WWQ76" s="684"/>
      <c r="WWR76" s="684"/>
      <c r="WWS76" s="684"/>
      <c r="WWT76" s="684"/>
      <c r="WWU76" s="684"/>
      <c r="WWV76" s="684"/>
      <c r="WWW76" s="684"/>
      <c r="WWX76" s="684"/>
      <c r="WWY76" s="684"/>
      <c r="WWZ76" s="684"/>
      <c r="WXA76" s="684"/>
      <c r="WXB76" s="684"/>
      <c r="WXC76" s="684"/>
      <c r="WXD76" s="684"/>
      <c r="WXE76" s="684"/>
      <c r="WXF76" s="684"/>
      <c r="WXG76" s="684"/>
      <c r="WXH76" s="684"/>
      <c r="WXI76" s="684"/>
      <c r="WXJ76" s="684"/>
      <c r="WXK76" s="684"/>
      <c r="WXL76" s="684"/>
      <c r="WXM76" s="684"/>
      <c r="WXN76" s="684"/>
      <c r="WXO76" s="684"/>
      <c r="WXP76" s="684"/>
      <c r="WXQ76" s="684"/>
      <c r="WXR76" s="684"/>
      <c r="WXS76" s="684"/>
      <c r="WXT76" s="684"/>
      <c r="WXU76" s="684"/>
      <c r="WXV76" s="684"/>
      <c r="WXW76" s="684"/>
      <c r="WXX76" s="684"/>
      <c r="WXY76" s="684"/>
      <c r="WXZ76" s="684"/>
      <c r="WYA76" s="684"/>
      <c r="WYB76" s="684"/>
      <c r="WYC76" s="684"/>
      <c r="WYD76" s="684"/>
      <c r="WYE76" s="684"/>
      <c r="WYF76" s="684"/>
      <c r="WYG76" s="684"/>
      <c r="WYH76" s="684"/>
      <c r="WYI76" s="684"/>
      <c r="WYJ76" s="684"/>
      <c r="WYK76" s="684"/>
      <c r="WYL76" s="684"/>
      <c r="WYM76" s="684"/>
      <c r="WYN76" s="684"/>
      <c r="WYO76" s="684"/>
      <c r="WYP76" s="684"/>
      <c r="WYQ76" s="684"/>
      <c r="WYR76" s="684"/>
      <c r="WYS76" s="684"/>
      <c r="WYT76" s="684"/>
      <c r="WYU76" s="684"/>
      <c r="WYV76" s="684"/>
      <c r="WYW76" s="684"/>
      <c r="WYX76" s="684"/>
      <c r="WYY76" s="684"/>
      <c r="WYZ76" s="684"/>
      <c r="WZA76" s="684"/>
      <c r="WZB76" s="684"/>
      <c r="WZC76" s="684"/>
      <c r="WZD76" s="684"/>
      <c r="WZE76" s="684"/>
      <c r="WZF76" s="684"/>
      <c r="WZG76" s="684"/>
      <c r="WZH76" s="684"/>
      <c r="WZI76" s="684"/>
      <c r="WZJ76" s="684"/>
      <c r="WZK76" s="684"/>
      <c r="WZL76" s="684"/>
      <c r="WZM76" s="684"/>
      <c r="WZN76" s="684"/>
      <c r="WZO76" s="684"/>
      <c r="WZP76" s="684"/>
      <c r="WZQ76" s="684"/>
      <c r="WZR76" s="684"/>
      <c r="WZS76" s="684"/>
      <c r="WZT76" s="684"/>
      <c r="WZU76" s="684"/>
      <c r="WZV76" s="684"/>
      <c r="WZW76" s="684"/>
      <c r="WZX76" s="684"/>
      <c r="WZY76" s="684"/>
      <c r="WZZ76" s="684"/>
      <c r="XAA76" s="684"/>
      <c r="XAB76" s="684"/>
      <c r="XAC76" s="684"/>
      <c r="XAD76" s="684"/>
      <c r="XAE76" s="684"/>
      <c r="XAF76" s="684"/>
      <c r="XAG76" s="684"/>
      <c r="XAH76" s="684"/>
      <c r="XAI76" s="684"/>
      <c r="XAJ76" s="684"/>
      <c r="XAK76" s="684"/>
      <c r="XAL76" s="684"/>
      <c r="XAM76" s="684"/>
      <c r="XAN76" s="684"/>
      <c r="XAO76" s="684"/>
      <c r="XAP76" s="684"/>
      <c r="XAQ76" s="684"/>
      <c r="XAR76" s="684"/>
      <c r="XAS76" s="684"/>
      <c r="XAT76" s="684"/>
      <c r="XAU76" s="684"/>
      <c r="XAV76" s="684"/>
      <c r="XAW76" s="684"/>
      <c r="XAX76" s="684"/>
      <c r="XAY76" s="684"/>
      <c r="XAZ76" s="684"/>
      <c r="XBA76" s="684"/>
      <c r="XBB76" s="684"/>
      <c r="XBC76" s="684"/>
      <c r="XBD76" s="684"/>
      <c r="XBE76" s="684"/>
      <c r="XBF76" s="684"/>
      <c r="XBG76" s="684"/>
      <c r="XBH76" s="684"/>
      <c r="XBI76" s="684"/>
      <c r="XBJ76" s="684"/>
      <c r="XBK76" s="684"/>
      <c r="XBL76" s="684"/>
      <c r="XBM76" s="684"/>
      <c r="XBN76" s="684"/>
      <c r="XBO76" s="684"/>
      <c r="XBP76" s="684"/>
      <c r="XBQ76" s="684"/>
      <c r="XBR76" s="684"/>
      <c r="XBS76" s="684"/>
      <c r="XBT76" s="684"/>
      <c r="XBU76" s="684"/>
      <c r="XBV76" s="684"/>
      <c r="XBW76" s="684"/>
      <c r="XBX76" s="684"/>
      <c r="XBY76" s="684"/>
      <c r="XBZ76" s="684"/>
      <c r="XCA76" s="684"/>
      <c r="XCB76" s="684"/>
      <c r="XCC76" s="684"/>
      <c r="XCD76" s="684"/>
      <c r="XCE76" s="684"/>
      <c r="XCF76" s="684"/>
      <c r="XCG76" s="684"/>
      <c r="XCH76" s="684"/>
      <c r="XCI76" s="684"/>
      <c r="XCJ76" s="684"/>
      <c r="XCK76" s="684"/>
      <c r="XCL76" s="684"/>
      <c r="XCM76" s="684"/>
      <c r="XCN76" s="684"/>
      <c r="XCO76" s="684"/>
      <c r="XCP76" s="684"/>
      <c r="XCQ76" s="684"/>
      <c r="XCR76" s="684"/>
      <c r="XCS76" s="684"/>
      <c r="XCT76" s="684"/>
      <c r="XCU76" s="684"/>
      <c r="XCV76" s="684"/>
      <c r="XCW76" s="684"/>
      <c r="XCX76" s="684"/>
      <c r="XCY76" s="684"/>
      <c r="XCZ76" s="684"/>
      <c r="XDA76" s="684"/>
      <c r="XDB76" s="684"/>
      <c r="XDC76" s="684"/>
      <c r="XDD76" s="684"/>
      <c r="XDE76" s="684"/>
      <c r="XDF76" s="684"/>
      <c r="XDG76" s="684"/>
      <c r="XDH76" s="684"/>
      <c r="XDI76" s="684"/>
      <c r="XDJ76" s="684"/>
      <c r="XDK76" s="684"/>
      <c r="XDL76" s="684"/>
      <c r="XDM76" s="684"/>
      <c r="XDN76" s="684"/>
      <c r="XDO76" s="684"/>
      <c r="XDP76" s="684"/>
      <c r="XDQ76" s="684"/>
      <c r="XDR76" s="684"/>
      <c r="XDS76" s="684"/>
      <c r="XDT76" s="684"/>
      <c r="XDU76" s="684"/>
      <c r="XDV76" s="684"/>
      <c r="XDW76" s="684"/>
      <c r="XDX76" s="684"/>
      <c r="XDY76" s="684"/>
      <c r="XDZ76" s="684"/>
      <c r="XEA76" s="684"/>
      <c r="XEB76" s="684"/>
      <c r="XEC76" s="684"/>
      <c r="XED76" s="684"/>
      <c r="XEE76" s="684"/>
      <c r="XEF76" s="684"/>
      <c r="XEG76" s="684"/>
      <c r="XEH76" s="684"/>
      <c r="XEI76" s="684"/>
      <c r="XEJ76" s="684"/>
      <c r="XEK76" s="684"/>
      <c r="XEL76" s="684"/>
      <c r="XEM76" s="684"/>
      <c r="XEN76" s="684"/>
      <c r="XEO76" s="684"/>
      <c r="XEP76" s="684"/>
      <c r="XEQ76" s="684"/>
      <c r="XER76" s="684"/>
      <c r="XES76" s="684"/>
      <c r="XET76" s="684"/>
      <c r="XEU76" s="684"/>
      <c r="XEV76" s="684"/>
      <c r="XEW76" s="684"/>
      <c r="XEX76" s="684"/>
      <c r="XEY76" s="684"/>
      <c r="XEZ76" s="684"/>
      <c r="XFA76" s="684"/>
      <c r="XFB76" s="684"/>
      <c r="XFC76" s="684"/>
      <c r="XFD76" s="684"/>
    </row>
    <row r="77" spans="1:16384" s="853" customFormat="1">
      <c r="A77" s="794" t="s">
        <v>2512</v>
      </c>
      <c r="B77" s="1124" t="s">
        <v>2519</v>
      </c>
      <c r="C77" s="793" t="s">
        <v>2519</v>
      </c>
      <c r="D77" s="4282" t="str">
        <f>$A77&amp;"  "&amp;$A78</f>
        <v>pwauslihsapp33  pwauslihsapp34</v>
      </c>
      <c r="E77" s="4287" t="str">
        <f>$B77&amp;"  "&amp;$B78</f>
        <v>10.136.100.71  10.136.100.72</v>
      </c>
      <c r="F77" s="4210" t="s">
        <v>75</v>
      </c>
      <c r="G77" s="4212" t="s">
        <v>3050</v>
      </c>
      <c r="H77" s="4204" t="s">
        <v>3042</v>
      </c>
      <c r="I77" s="4204" t="s">
        <v>3051</v>
      </c>
      <c r="J77" s="684"/>
      <c r="K77" s="684"/>
      <c r="L77" s="684"/>
      <c r="M77" s="684"/>
      <c r="N77" s="684"/>
      <c r="O77" s="684"/>
      <c r="P77" s="684"/>
      <c r="Q77" s="684"/>
      <c r="R77" s="684"/>
      <c r="S77" s="684"/>
      <c r="T77" s="684"/>
      <c r="U77" s="684"/>
      <c r="V77" s="684"/>
      <c r="W77" s="684"/>
      <c r="X77" s="684"/>
      <c r="Y77" s="684"/>
      <c r="Z77" s="684"/>
      <c r="AA77" s="684"/>
      <c r="AB77" s="684"/>
      <c r="AC77" s="684"/>
      <c r="AD77" s="684"/>
      <c r="AE77" s="684"/>
      <c r="AF77" s="684"/>
      <c r="AG77" s="684"/>
      <c r="AH77" s="684"/>
      <c r="AI77" s="684"/>
      <c r="AJ77" s="684"/>
      <c r="AK77" s="684"/>
      <c r="AL77" s="684"/>
      <c r="AM77" s="684"/>
      <c r="AN77" s="684"/>
      <c r="AO77" s="684"/>
      <c r="AP77" s="684"/>
      <c r="AQ77" s="684"/>
      <c r="AR77" s="684"/>
      <c r="AS77" s="684"/>
      <c r="AT77" s="684"/>
      <c r="AU77" s="684"/>
      <c r="AV77" s="684"/>
      <c r="AW77" s="684"/>
      <c r="AX77" s="684"/>
      <c r="AY77" s="684"/>
      <c r="AZ77" s="684"/>
      <c r="BA77" s="684"/>
      <c r="BB77" s="684"/>
      <c r="BC77" s="684"/>
      <c r="BD77" s="684"/>
      <c r="BE77" s="684"/>
      <c r="BF77" s="684"/>
      <c r="BG77" s="684"/>
      <c r="BH77" s="684"/>
      <c r="BI77" s="684"/>
      <c r="BJ77" s="684"/>
      <c r="BK77" s="684"/>
      <c r="BL77" s="684"/>
      <c r="BM77" s="684"/>
      <c r="BN77" s="684"/>
      <c r="BO77" s="684"/>
      <c r="BP77" s="684"/>
      <c r="BQ77" s="684"/>
      <c r="BR77" s="684"/>
      <c r="BS77" s="684"/>
      <c r="BT77" s="684"/>
      <c r="BU77" s="684"/>
      <c r="BV77" s="684"/>
      <c r="BW77" s="684"/>
      <c r="BX77" s="684"/>
      <c r="BY77" s="684"/>
      <c r="BZ77" s="684"/>
      <c r="CA77" s="684"/>
      <c r="CB77" s="684"/>
      <c r="CC77" s="684"/>
      <c r="CD77" s="684"/>
      <c r="CE77" s="684"/>
      <c r="CF77" s="684"/>
      <c r="CG77" s="684"/>
      <c r="CH77" s="684"/>
      <c r="CI77" s="684"/>
      <c r="CJ77" s="684"/>
      <c r="CK77" s="684"/>
      <c r="CL77" s="684"/>
      <c r="CM77" s="684"/>
      <c r="CN77" s="684"/>
      <c r="CO77" s="684"/>
      <c r="CP77" s="684"/>
      <c r="CQ77" s="684"/>
      <c r="CR77" s="684"/>
      <c r="CS77" s="684"/>
      <c r="CT77" s="684"/>
      <c r="CU77" s="684"/>
      <c r="CV77" s="684"/>
      <c r="CW77" s="684"/>
      <c r="CX77" s="684"/>
      <c r="CY77" s="684"/>
      <c r="CZ77" s="684"/>
      <c r="DA77" s="684"/>
      <c r="DB77" s="684"/>
      <c r="DC77" s="684"/>
      <c r="DD77" s="684"/>
      <c r="DE77" s="684"/>
      <c r="DF77" s="684"/>
      <c r="DG77" s="684"/>
      <c r="DH77" s="684"/>
      <c r="DI77" s="684"/>
      <c r="DJ77" s="684"/>
      <c r="DK77" s="684"/>
      <c r="DL77" s="684"/>
      <c r="DM77" s="684"/>
      <c r="DN77" s="684"/>
      <c r="DO77" s="684"/>
      <c r="DP77" s="684"/>
      <c r="DQ77" s="684"/>
      <c r="DR77" s="684"/>
      <c r="DS77" s="684"/>
      <c r="DT77" s="684"/>
      <c r="DU77" s="684"/>
      <c r="DV77" s="684"/>
      <c r="DW77" s="684"/>
      <c r="DX77" s="684"/>
      <c r="DY77" s="684"/>
      <c r="DZ77" s="684"/>
      <c r="EA77" s="684"/>
      <c r="EB77" s="684"/>
      <c r="EC77" s="684"/>
      <c r="ED77" s="684"/>
      <c r="EE77" s="684"/>
      <c r="EF77" s="684"/>
      <c r="EG77" s="684"/>
      <c r="EH77" s="684"/>
      <c r="EI77" s="684"/>
      <c r="EJ77" s="684"/>
      <c r="EK77" s="684"/>
      <c r="EL77" s="684"/>
      <c r="EM77" s="684"/>
      <c r="EN77" s="684"/>
      <c r="EO77" s="684"/>
      <c r="EP77" s="684"/>
      <c r="EQ77" s="684"/>
      <c r="ER77" s="684"/>
      <c r="ES77" s="684"/>
      <c r="ET77" s="684"/>
      <c r="EU77" s="684"/>
      <c r="EV77" s="684"/>
      <c r="EW77" s="684"/>
      <c r="EX77" s="684"/>
      <c r="EY77" s="684"/>
      <c r="EZ77" s="684"/>
      <c r="FA77" s="684"/>
      <c r="FB77" s="684"/>
      <c r="FC77" s="684"/>
      <c r="FD77" s="684"/>
      <c r="FE77" s="684"/>
      <c r="FF77" s="684"/>
      <c r="FG77" s="684"/>
      <c r="FH77" s="684"/>
      <c r="FI77" s="684"/>
      <c r="FJ77" s="684"/>
      <c r="FK77" s="684"/>
      <c r="FL77" s="684"/>
      <c r="FM77" s="684"/>
      <c r="FN77" s="684"/>
      <c r="FO77" s="684"/>
      <c r="FP77" s="684"/>
      <c r="FQ77" s="684"/>
      <c r="FR77" s="684"/>
      <c r="FS77" s="684"/>
      <c r="FT77" s="684"/>
      <c r="FU77" s="684"/>
      <c r="FV77" s="684"/>
      <c r="FW77" s="684"/>
      <c r="FX77" s="684"/>
      <c r="FY77" s="684"/>
      <c r="FZ77" s="684"/>
      <c r="GA77" s="684"/>
      <c r="GB77" s="684"/>
      <c r="GC77" s="684"/>
      <c r="GD77" s="684"/>
      <c r="GE77" s="684"/>
      <c r="GF77" s="684"/>
      <c r="GG77" s="684"/>
      <c r="GH77" s="684"/>
      <c r="GI77" s="684"/>
      <c r="GJ77" s="684"/>
      <c r="GK77" s="684"/>
      <c r="GL77" s="684"/>
      <c r="GM77" s="684"/>
      <c r="GN77" s="684"/>
      <c r="GO77" s="684"/>
      <c r="GP77" s="684"/>
      <c r="GQ77" s="684"/>
      <c r="GR77" s="684"/>
      <c r="GS77" s="684"/>
      <c r="GT77" s="684"/>
      <c r="GU77" s="684"/>
      <c r="GV77" s="684"/>
      <c r="GW77" s="684"/>
      <c r="GX77" s="684"/>
      <c r="GY77" s="684"/>
      <c r="GZ77" s="684"/>
      <c r="HA77" s="684"/>
      <c r="HB77" s="684"/>
      <c r="HC77" s="684"/>
      <c r="HD77" s="684"/>
      <c r="HE77" s="684"/>
      <c r="HF77" s="684"/>
      <c r="HG77" s="684"/>
      <c r="HH77" s="684"/>
      <c r="HI77" s="684"/>
      <c r="HJ77" s="684"/>
      <c r="HK77" s="684"/>
      <c r="HL77" s="684"/>
      <c r="HM77" s="684"/>
      <c r="HN77" s="684"/>
      <c r="HO77" s="684"/>
      <c r="HP77" s="684"/>
      <c r="HQ77" s="684"/>
      <c r="HR77" s="684"/>
      <c r="HS77" s="684"/>
      <c r="HT77" s="684"/>
      <c r="HU77" s="684"/>
      <c r="HV77" s="684"/>
      <c r="HW77" s="684"/>
      <c r="HX77" s="684"/>
      <c r="HY77" s="684"/>
      <c r="HZ77" s="684"/>
      <c r="IA77" s="684"/>
      <c r="IB77" s="684"/>
      <c r="IC77" s="684"/>
      <c r="ID77" s="684"/>
      <c r="IE77" s="684"/>
      <c r="IF77" s="684"/>
      <c r="IG77" s="684"/>
      <c r="IH77" s="684"/>
      <c r="II77" s="684"/>
      <c r="IJ77" s="684"/>
      <c r="IK77" s="684"/>
      <c r="IL77" s="684"/>
      <c r="IM77" s="684"/>
      <c r="IN77" s="684"/>
      <c r="IO77" s="684"/>
      <c r="IP77" s="684"/>
      <c r="IQ77" s="684"/>
      <c r="IR77" s="684"/>
      <c r="IS77" s="684"/>
      <c r="IT77" s="684"/>
      <c r="IU77" s="684"/>
      <c r="IV77" s="684"/>
      <c r="IW77" s="684"/>
      <c r="IX77" s="684"/>
      <c r="IY77" s="684"/>
      <c r="IZ77" s="684"/>
      <c r="JA77" s="684"/>
      <c r="JB77" s="684"/>
      <c r="JC77" s="684"/>
      <c r="JD77" s="684"/>
      <c r="JE77" s="684"/>
      <c r="JF77" s="684"/>
      <c r="JG77" s="684"/>
      <c r="JH77" s="684"/>
      <c r="JI77" s="684"/>
      <c r="JJ77" s="684"/>
      <c r="JK77" s="684"/>
      <c r="JL77" s="684"/>
      <c r="JM77" s="684"/>
      <c r="JN77" s="684"/>
      <c r="JO77" s="684"/>
      <c r="JP77" s="684"/>
      <c r="JQ77" s="684"/>
      <c r="JR77" s="684"/>
      <c r="JS77" s="684"/>
      <c r="JT77" s="684"/>
      <c r="JU77" s="684"/>
      <c r="JV77" s="684"/>
      <c r="JW77" s="684"/>
      <c r="JX77" s="684"/>
      <c r="JY77" s="684"/>
      <c r="JZ77" s="684"/>
      <c r="KA77" s="684"/>
      <c r="KB77" s="684"/>
      <c r="KC77" s="684"/>
      <c r="KD77" s="684"/>
      <c r="KE77" s="684"/>
      <c r="KF77" s="684"/>
      <c r="KG77" s="684"/>
      <c r="KH77" s="684"/>
      <c r="KI77" s="684"/>
      <c r="KJ77" s="684"/>
      <c r="KK77" s="684"/>
      <c r="KL77" s="684"/>
      <c r="KM77" s="684"/>
      <c r="KN77" s="684"/>
      <c r="KO77" s="684"/>
      <c r="KP77" s="684"/>
      <c r="KQ77" s="684"/>
      <c r="KR77" s="684"/>
      <c r="KS77" s="684"/>
      <c r="KT77" s="684"/>
      <c r="KU77" s="684"/>
      <c r="KV77" s="684"/>
      <c r="KW77" s="684"/>
      <c r="KX77" s="684"/>
      <c r="KY77" s="684"/>
      <c r="KZ77" s="684"/>
      <c r="LA77" s="684"/>
      <c r="LB77" s="684"/>
      <c r="LC77" s="684"/>
      <c r="LD77" s="684"/>
      <c r="LE77" s="684"/>
      <c r="LF77" s="684"/>
      <c r="LG77" s="684"/>
      <c r="LH77" s="684"/>
      <c r="LI77" s="684"/>
      <c r="LJ77" s="684"/>
      <c r="LK77" s="684"/>
      <c r="LL77" s="684"/>
      <c r="LM77" s="684"/>
      <c r="LN77" s="684"/>
      <c r="LO77" s="684"/>
      <c r="LP77" s="684"/>
      <c r="LQ77" s="684"/>
      <c r="LR77" s="684"/>
      <c r="LS77" s="684"/>
      <c r="LT77" s="684"/>
      <c r="LU77" s="684"/>
      <c r="LV77" s="684"/>
      <c r="LW77" s="684"/>
      <c r="LX77" s="684"/>
      <c r="LY77" s="684"/>
      <c r="LZ77" s="684"/>
      <c r="MA77" s="684"/>
      <c r="MB77" s="684"/>
      <c r="MC77" s="684"/>
      <c r="MD77" s="684"/>
      <c r="ME77" s="684"/>
      <c r="MF77" s="684"/>
      <c r="MG77" s="684"/>
      <c r="MH77" s="684"/>
      <c r="MI77" s="684"/>
      <c r="MJ77" s="684"/>
      <c r="MK77" s="684"/>
      <c r="ML77" s="684"/>
      <c r="MM77" s="684"/>
      <c r="MN77" s="684"/>
      <c r="MO77" s="684"/>
      <c r="MP77" s="684"/>
      <c r="MQ77" s="684"/>
      <c r="MR77" s="684"/>
      <c r="MS77" s="684"/>
      <c r="MT77" s="684"/>
      <c r="MU77" s="684"/>
      <c r="MV77" s="684"/>
      <c r="MW77" s="684"/>
      <c r="MX77" s="684"/>
      <c r="MY77" s="684"/>
      <c r="MZ77" s="684"/>
      <c r="NA77" s="684"/>
      <c r="NB77" s="684"/>
      <c r="NC77" s="684"/>
      <c r="ND77" s="684"/>
      <c r="NE77" s="684"/>
      <c r="NF77" s="684"/>
      <c r="NG77" s="684"/>
      <c r="NH77" s="684"/>
      <c r="NI77" s="684"/>
      <c r="NJ77" s="684"/>
      <c r="NK77" s="684"/>
      <c r="NL77" s="684"/>
      <c r="NM77" s="684"/>
      <c r="NN77" s="684"/>
      <c r="NO77" s="684"/>
      <c r="NP77" s="684"/>
      <c r="NQ77" s="684"/>
      <c r="NR77" s="684"/>
      <c r="NS77" s="684"/>
      <c r="NT77" s="684"/>
      <c r="NU77" s="684"/>
      <c r="NV77" s="684"/>
      <c r="NW77" s="684"/>
      <c r="NX77" s="684"/>
      <c r="NY77" s="684"/>
      <c r="NZ77" s="684"/>
      <c r="OA77" s="684"/>
      <c r="OB77" s="684"/>
      <c r="OC77" s="684"/>
      <c r="OD77" s="684"/>
      <c r="OE77" s="684"/>
      <c r="OF77" s="684"/>
      <c r="OG77" s="684"/>
      <c r="OH77" s="684"/>
      <c r="OI77" s="684"/>
      <c r="OJ77" s="684"/>
      <c r="OK77" s="684"/>
      <c r="OL77" s="684"/>
      <c r="OM77" s="684"/>
      <c r="ON77" s="684"/>
      <c r="OO77" s="684"/>
      <c r="OP77" s="684"/>
      <c r="OQ77" s="684"/>
      <c r="OR77" s="684"/>
      <c r="OS77" s="684"/>
      <c r="OT77" s="684"/>
      <c r="OU77" s="684"/>
      <c r="OV77" s="684"/>
      <c r="OW77" s="684"/>
      <c r="OX77" s="684"/>
      <c r="OY77" s="684"/>
      <c r="OZ77" s="684"/>
      <c r="PA77" s="684"/>
      <c r="PB77" s="684"/>
      <c r="PC77" s="684"/>
      <c r="PD77" s="684"/>
      <c r="PE77" s="684"/>
      <c r="PF77" s="684"/>
      <c r="PG77" s="684"/>
      <c r="PH77" s="684"/>
      <c r="PI77" s="684"/>
      <c r="PJ77" s="684"/>
      <c r="PK77" s="684"/>
      <c r="PL77" s="684"/>
      <c r="PM77" s="684"/>
      <c r="PN77" s="684"/>
      <c r="PO77" s="684"/>
      <c r="PP77" s="684"/>
      <c r="PQ77" s="684"/>
      <c r="PR77" s="684"/>
      <c r="PS77" s="684"/>
      <c r="PT77" s="684"/>
      <c r="PU77" s="684"/>
      <c r="PV77" s="684"/>
      <c r="PW77" s="684"/>
      <c r="PX77" s="684"/>
      <c r="PY77" s="684"/>
      <c r="PZ77" s="684"/>
      <c r="QA77" s="684"/>
      <c r="QB77" s="684"/>
      <c r="QC77" s="684"/>
      <c r="QD77" s="684"/>
      <c r="QE77" s="684"/>
      <c r="QF77" s="684"/>
      <c r="QG77" s="684"/>
      <c r="QH77" s="684"/>
      <c r="QI77" s="684"/>
      <c r="QJ77" s="684"/>
      <c r="QK77" s="684"/>
      <c r="QL77" s="684"/>
      <c r="QM77" s="684"/>
      <c r="QN77" s="684"/>
      <c r="QO77" s="684"/>
      <c r="QP77" s="684"/>
      <c r="QQ77" s="684"/>
      <c r="QR77" s="684"/>
      <c r="QS77" s="684"/>
      <c r="QT77" s="684"/>
      <c r="QU77" s="684"/>
      <c r="QV77" s="684"/>
      <c r="QW77" s="684"/>
      <c r="QX77" s="684"/>
      <c r="QY77" s="684"/>
      <c r="QZ77" s="684"/>
      <c r="RA77" s="684"/>
      <c r="RB77" s="684"/>
      <c r="RC77" s="684"/>
      <c r="RD77" s="684"/>
      <c r="RE77" s="684"/>
      <c r="RF77" s="684"/>
      <c r="RG77" s="684"/>
      <c r="RH77" s="684"/>
      <c r="RI77" s="684"/>
      <c r="RJ77" s="684"/>
      <c r="RK77" s="684"/>
      <c r="RL77" s="684"/>
      <c r="RM77" s="684"/>
      <c r="RN77" s="684"/>
      <c r="RO77" s="684"/>
      <c r="RP77" s="684"/>
      <c r="RQ77" s="684"/>
      <c r="RR77" s="684"/>
      <c r="RS77" s="684"/>
      <c r="RT77" s="684"/>
      <c r="RU77" s="684"/>
      <c r="RV77" s="684"/>
      <c r="RW77" s="684"/>
      <c r="RX77" s="684"/>
      <c r="RY77" s="684"/>
      <c r="RZ77" s="684"/>
      <c r="SA77" s="684"/>
      <c r="SB77" s="684"/>
      <c r="SC77" s="684"/>
      <c r="SD77" s="684"/>
      <c r="SE77" s="684"/>
      <c r="SF77" s="684"/>
      <c r="SG77" s="684"/>
      <c r="SH77" s="684"/>
      <c r="SI77" s="684"/>
      <c r="SJ77" s="684"/>
      <c r="SK77" s="684"/>
      <c r="SL77" s="684"/>
      <c r="SM77" s="684"/>
      <c r="SN77" s="684"/>
      <c r="SO77" s="684"/>
      <c r="SP77" s="684"/>
      <c r="SQ77" s="684"/>
      <c r="SR77" s="684"/>
      <c r="SS77" s="684"/>
      <c r="ST77" s="684"/>
      <c r="SU77" s="684"/>
      <c r="SV77" s="684"/>
      <c r="SW77" s="684"/>
      <c r="SX77" s="684"/>
      <c r="SY77" s="684"/>
      <c r="SZ77" s="684"/>
      <c r="TA77" s="684"/>
      <c r="TB77" s="684"/>
      <c r="TC77" s="684"/>
      <c r="TD77" s="684"/>
      <c r="TE77" s="684"/>
      <c r="TF77" s="684"/>
      <c r="TG77" s="684"/>
      <c r="TH77" s="684"/>
      <c r="TI77" s="684"/>
      <c r="TJ77" s="684"/>
      <c r="TK77" s="684"/>
      <c r="TL77" s="684"/>
      <c r="TM77" s="684"/>
      <c r="TN77" s="684"/>
      <c r="TO77" s="684"/>
      <c r="TP77" s="684"/>
      <c r="TQ77" s="684"/>
      <c r="TR77" s="684"/>
      <c r="TS77" s="684"/>
      <c r="TT77" s="684"/>
      <c r="TU77" s="684"/>
      <c r="TV77" s="684"/>
      <c r="TW77" s="684"/>
      <c r="TX77" s="684"/>
      <c r="TY77" s="684"/>
      <c r="TZ77" s="684"/>
      <c r="UA77" s="684"/>
      <c r="UB77" s="684"/>
      <c r="UC77" s="684"/>
      <c r="UD77" s="684"/>
      <c r="UE77" s="684"/>
      <c r="UF77" s="684"/>
      <c r="UG77" s="684"/>
      <c r="UH77" s="684"/>
      <c r="UI77" s="684"/>
      <c r="UJ77" s="684"/>
      <c r="UK77" s="684"/>
      <c r="UL77" s="684"/>
      <c r="UM77" s="684"/>
      <c r="UN77" s="684"/>
      <c r="UO77" s="684"/>
      <c r="UP77" s="684"/>
      <c r="UQ77" s="684"/>
      <c r="UR77" s="684"/>
      <c r="US77" s="684"/>
      <c r="UT77" s="684"/>
      <c r="UU77" s="684"/>
      <c r="UV77" s="684"/>
      <c r="UW77" s="684"/>
      <c r="UX77" s="684"/>
      <c r="UY77" s="684"/>
      <c r="UZ77" s="684"/>
      <c r="VA77" s="684"/>
      <c r="VB77" s="684"/>
      <c r="VC77" s="684"/>
      <c r="VD77" s="684"/>
      <c r="VE77" s="684"/>
      <c r="VF77" s="684"/>
      <c r="VG77" s="684"/>
      <c r="VH77" s="684"/>
      <c r="VI77" s="684"/>
      <c r="VJ77" s="684"/>
      <c r="VK77" s="684"/>
      <c r="VL77" s="684"/>
      <c r="VM77" s="684"/>
      <c r="VN77" s="684"/>
      <c r="VO77" s="684"/>
      <c r="VP77" s="684"/>
      <c r="VQ77" s="684"/>
      <c r="VR77" s="684"/>
      <c r="VS77" s="684"/>
      <c r="VT77" s="684"/>
      <c r="VU77" s="684"/>
      <c r="VV77" s="684"/>
      <c r="VW77" s="684"/>
      <c r="VX77" s="684"/>
      <c r="VY77" s="684"/>
      <c r="VZ77" s="684"/>
      <c r="WA77" s="684"/>
      <c r="WB77" s="684"/>
      <c r="WC77" s="684"/>
      <c r="WD77" s="684"/>
      <c r="WE77" s="684"/>
      <c r="WF77" s="684"/>
      <c r="WG77" s="684"/>
      <c r="WH77" s="684"/>
      <c r="WI77" s="684"/>
      <c r="WJ77" s="684"/>
      <c r="WK77" s="684"/>
      <c r="WL77" s="684"/>
      <c r="WM77" s="684"/>
      <c r="WN77" s="684"/>
      <c r="WO77" s="684"/>
      <c r="WP77" s="684"/>
      <c r="WQ77" s="684"/>
      <c r="WR77" s="684"/>
      <c r="WS77" s="684"/>
      <c r="WT77" s="684"/>
      <c r="WU77" s="684"/>
      <c r="WV77" s="684"/>
      <c r="WW77" s="684"/>
      <c r="WX77" s="684"/>
      <c r="WY77" s="684"/>
      <c r="WZ77" s="684"/>
      <c r="XA77" s="684"/>
      <c r="XB77" s="684"/>
      <c r="XC77" s="684"/>
      <c r="XD77" s="684"/>
      <c r="XE77" s="684"/>
      <c r="XF77" s="684"/>
      <c r="XG77" s="684"/>
      <c r="XH77" s="684"/>
      <c r="XI77" s="684"/>
      <c r="XJ77" s="684"/>
      <c r="XK77" s="684"/>
      <c r="XL77" s="684"/>
      <c r="XM77" s="684"/>
      <c r="XN77" s="684"/>
      <c r="XO77" s="684"/>
      <c r="XP77" s="684"/>
      <c r="XQ77" s="684"/>
      <c r="XR77" s="684"/>
      <c r="XS77" s="684"/>
      <c r="XT77" s="684"/>
      <c r="XU77" s="684"/>
      <c r="XV77" s="684"/>
      <c r="XW77" s="684"/>
      <c r="XX77" s="684"/>
      <c r="XY77" s="684"/>
      <c r="XZ77" s="684"/>
      <c r="YA77" s="684"/>
      <c r="YB77" s="684"/>
      <c r="YC77" s="684"/>
      <c r="YD77" s="684"/>
      <c r="YE77" s="684"/>
      <c r="YF77" s="684"/>
      <c r="YG77" s="684"/>
      <c r="YH77" s="684"/>
      <c r="YI77" s="684"/>
      <c r="YJ77" s="684"/>
      <c r="YK77" s="684"/>
      <c r="YL77" s="684"/>
      <c r="YM77" s="684"/>
      <c r="YN77" s="684"/>
      <c r="YO77" s="684"/>
      <c r="YP77" s="684"/>
      <c r="YQ77" s="684"/>
      <c r="YR77" s="684"/>
      <c r="YS77" s="684"/>
      <c r="YT77" s="684"/>
      <c r="YU77" s="684"/>
      <c r="YV77" s="684"/>
      <c r="YW77" s="684"/>
      <c r="YX77" s="684"/>
      <c r="YY77" s="684"/>
      <c r="YZ77" s="684"/>
      <c r="ZA77" s="684"/>
      <c r="ZB77" s="684"/>
      <c r="ZC77" s="684"/>
      <c r="ZD77" s="684"/>
      <c r="ZE77" s="684"/>
      <c r="ZF77" s="684"/>
      <c r="ZG77" s="684"/>
      <c r="ZH77" s="684"/>
      <c r="ZI77" s="684"/>
      <c r="ZJ77" s="684"/>
      <c r="ZK77" s="684"/>
      <c r="ZL77" s="684"/>
      <c r="ZM77" s="684"/>
      <c r="ZN77" s="684"/>
      <c r="ZO77" s="684"/>
      <c r="ZP77" s="684"/>
      <c r="ZQ77" s="684"/>
      <c r="ZR77" s="684"/>
      <c r="ZS77" s="684"/>
      <c r="ZT77" s="684"/>
      <c r="ZU77" s="684"/>
      <c r="ZV77" s="684"/>
      <c r="ZW77" s="684"/>
      <c r="ZX77" s="684"/>
      <c r="ZY77" s="684"/>
      <c r="ZZ77" s="684"/>
      <c r="AAA77" s="684"/>
      <c r="AAB77" s="684"/>
      <c r="AAC77" s="684"/>
      <c r="AAD77" s="684"/>
      <c r="AAE77" s="684"/>
      <c r="AAF77" s="684"/>
      <c r="AAG77" s="684"/>
      <c r="AAH77" s="684"/>
      <c r="AAI77" s="684"/>
      <c r="AAJ77" s="684"/>
      <c r="AAK77" s="684"/>
      <c r="AAL77" s="684"/>
      <c r="AAM77" s="684"/>
      <c r="AAN77" s="684"/>
      <c r="AAO77" s="684"/>
      <c r="AAP77" s="684"/>
      <c r="AAQ77" s="684"/>
      <c r="AAR77" s="684"/>
      <c r="AAS77" s="684"/>
      <c r="AAT77" s="684"/>
      <c r="AAU77" s="684"/>
      <c r="AAV77" s="684"/>
      <c r="AAW77" s="684"/>
      <c r="AAX77" s="684"/>
      <c r="AAY77" s="684"/>
      <c r="AAZ77" s="684"/>
      <c r="ABA77" s="684"/>
      <c r="ABB77" s="684"/>
      <c r="ABC77" s="684"/>
      <c r="ABD77" s="684"/>
      <c r="ABE77" s="684"/>
      <c r="ABF77" s="684"/>
      <c r="ABG77" s="684"/>
      <c r="ABH77" s="684"/>
      <c r="ABI77" s="684"/>
      <c r="ABJ77" s="684"/>
      <c r="ABK77" s="684"/>
      <c r="ABL77" s="684"/>
      <c r="ABM77" s="684"/>
      <c r="ABN77" s="684"/>
      <c r="ABO77" s="684"/>
      <c r="ABP77" s="684"/>
      <c r="ABQ77" s="684"/>
      <c r="ABR77" s="684"/>
      <c r="ABS77" s="684"/>
      <c r="ABT77" s="684"/>
      <c r="ABU77" s="684"/>
      <c r="ABV77" s="684"/>
      <c r="ABW77" s="684"/>
      <c r="ABX77" s="684"/>
      <c r="ABY77" s="684"/>
      <c r="ABZ77" s="684"/>
      <c r="ACA77" s="684"/>
      <c r="ACB77" s="684"/>
      <c r="ACC77" s="684"/>
      <c r="ACD77" s="684"/>
      <c r="ACE77" s="684"/>
      <c r="ACF77" s="684"/>
      <c r="ACG77" s="684"/>
      <c r="ACH77" s="684"/>
      <c r="ACI77" s="684"/>
      <c r="ACJ77" s="684"/>
      <c r="ACK77" s="684"/>
      <c r="ACL77" s="684"/>
      <c r="ACM77" s="684"/>
      <c r="ACN77" s="684"/>
      <c r="ACO77" s="684"/>
      <c r="ACP77" s="684"/>
      <c r="ACQ77" s="684"/>
      <c r="ACR77" s="684"/>
      <c r="ACS77" s="684"/>
      <c r="ACT77" s="684"/>
      <c r="ACU77" s="684"/>
      <c r="ACV77" s="684"/>
      <c r="ACW77" s="684"/>
      <c r="ACX77" s="684"/>
      <c r="ACY77" s="684"/>
      <c r="ACZ77" s="684"/>
      <c r="ADA77" s="684"/>
      <c r="ADB77" s="684"/>
      <c r="ADC77" s="684"/>
      <c r="ADD77" s="684"/>
      <c r="ADE77" s="684"/>
      <c r="ADF77" s="684"/>
      <c r="ADG77" s="684"/>
      <c r="ADH77" s="684"/>
      <c r="ADI77" s="684"/>
      <c r="ADJ77" s="684"/>
      <c r="ADK77" s="684"/>
      <c r="ADL77" s="684"/>
      <c r="ADM77" s="684"/>
      <c r="ADN77" s="684"/>
      <c r="ADO77" s="684"/>
      <c r="ADP77" s="684"/>
      <c r="ADQ77" s="684"/>
      <c r="ADR77" s="684"/>
      <c r="ADS77" s="684"/>
      <c r="ADT77" s="684"/>
      <c r="ADU77" s="684"/>
      <c r="ADV77" s="684"/>
      <c r="ADW77" s="684"/>
      <c r="ADX77" s="684"/>
      <c r="ADY77" s="684"/>
      <c r="ADZ77" s="684"/>
      <c r="AEA77" s="684"/>
      <c r="AEB77" s="684"/>
      <c r="AEC77" s="684"/>
      <c r="AED77" s="684"/>
      <c r="AEE77" s="684"/>
      <c r="AEF77" s="684"/>
      <c r="AEG77" s="684"/>
      <c r="AEH77" s="684"/>
      <c r="AEI77" s="684"/>
      <c r="AEJ77" s="684"/>
      <c r="AEK77" s="684"/>
      <c r="AEL77" s="684"/>
      <c r="AEM77" s="684"/>
      <c r="AEN77" s="684"/>
      <c r="AEO77" s="684"/>
      <c r="AEP77" s="684"/>
      <c r="AEQ77" s="684"/>
      <c r="AER77" s="684"/>
      <c r="AES77" s="684"/>
      <c r="AET77" s="684"/>
      <c r="AEU77" s="684"/>
      <c r="AEV77" s="684"/>
      <c r="AEW77" s="684"/>
      <c r="AEX77" s="684"/>
      <c r="AEY77" s="684"/>
      <c r="AEZ77" s="684"/>
      <c r="AFA77" s="684"/>
      <c r="AFB77" s="684"/>
      <c r="AFC77" s="684"/>
      <c r="AFD77" s="684"/>
      <c r="AFE77" s="684"/>
      <c r="AFF77" s="684"/>
      <c r="AFG77" s="684"/>
      <c r="AFH77" s="684"/>
      <c r="AFI77" s="684"/>
      <c r="AFJ77" s="684"/>
      <c r="AFK77" s="684"/>
      <c r="AFL77" s="684"/>
      <c r="AFM77" s="684"/>
      <c r="AFN77" s="684"/>
      <c r="AFO77" s="684"/>
      <c r="AFP77" s="684"/>
      <c r="AFQ77" s="684"/>
      <c r="AFR77" s="684"/>
      <c r="AFS77" s="684"/>
      <c r="AFT77" s="684"/>
      <c r="AFU77" s="684"/>
      <c r="AFV77" s="684"/>
      <c r="AFW77" s="684"/>
      <c r="AFX77" s="684"/>
      <c r="AFY77" s="684"/>
      <c r="AFZ77" s="684"/>
      <c r="AGA77" s="684"/>
      <c r="AGB77" s="684"/>
      <c r="AGC77" s="684"/>
      <c r="AGD77" s="684"/>
      <c r="AGE77" s="684"/>
      <c r="AGF77" s="684"/>
      <c r="AGG77" s="684"/>
      <c r="AGH77" s="684"/>
      <c r="AGI77" s="684"/>
      <c r="AGJ77" s="684"/>
      <c r="AGK77" s="684"/>
      <c r="AGL77" s="684"/>
      <c r="AGM77" s="684"/>
      <c r="AGN77" s="684"/>
      <c r="AGO77" s="684"/>
      <c r="AGP77" s="684"/>
      <c r="AGQ77" s="684"/>
      <c r="AGR77" s="684"/>
      <c r="AGS77" s="684"/>
      <c r="AGT77" s="684"/>
      <c r="AGU77" s="684"/>
      <c r="AGV77" s="684"/>
      <c r="AGW77" s="684"/>
      <c r="AGX77" s="684"/>
      <c r="AGY77" s="684"/>
      <c r="AGZ77" s="684"/>
      <c r="AHA77" s="684"/>
      <c r="AHB77" s="684"/>
      <c r="AHC77" s="684"/>
      <c r="AHD77" s="684"/>
      <c r="AHE77" s="684"/>
      <c r="AHF77" s="684"/>
      <c r="AHG77" s="684"/>
      <c r="AHH77" s="684"/>
      <c r="AHI77" s="684"/>
      <c r="AHJ77" s="684"/>
      <c r="AHK77" s="684"/>
      <c r="AHL77" s="684"/>
      <c r="AHM77" s="684"/>
      <c r="AHN77" s="684"/>
      <c r="AHO77" s="684"/>
      <c r="AHP77" s="684"/>
      <c r="AHQ77" s="684"/>
      <c r="AHR77" s="684"/>
      <c r="AHS77" s="684"/>
      <c r="AHT77" s="684"/>
      <c r="AHU77" s="684"/>
      <c r="AHV77" s="684"/>
      <c r="AHW77" s="684"/>
      <c r="AHX77" s="684"/>
      <c r="AHY77" s="684"/>
      <c r="AHZ77" s="684"/>
      <c r="AIA77" s="684"/>
      <c r="AIB77" s="684"/>
      <c r="AIC77" s="684"/>
      <c r="AID77" s="684"/>
      <c r="AIE77" s="684"/>
      <c r="AIF77" s="684"/>
      <c r="AIG77" s="684"/>
      <c r="AIH77" s="684"/>
      <c r="AII77" s="684"/>
      <c r="AIJ77" s="684"/>
      <c r="AIK77" s="684"/>
      <c r="AIL77" s="684"/>
      <c r="AIM77" s="684"/>
      <c r="AIN77" s="684"/>
      <c r="AIO77" s="684"/>
      <c r="AIP77" s="684"/>
      <c r="AIQ77" s="684"/>
      <c r="AIR77" s="684"/>
      <c r="AIS77" s="684"/>
      <c r="AIT77" s="684"/>
      <c r="AIU77" s="684"/>
      <c r="AIV77" s="684"/>
      <c r="AIW77" s="684"/>
      <c r="AIX77" s="684"/>
      <c r="AIY77" s="684"/>
      <c r="AIZ77" s="684"/>
      <c r="AJA77" s="684"/>
      <c r="AJB77" s="684"/>
      <c r="AJC77" s="684"/>
      <c r="AJD77" s="684"/>
      <c r="AJE77" s="684"/>
      <c r="AJF77" s="684"/>
      <c r="AJG77" s="684"/>
      <c r="AJH77" s="684"/>
      <c r="AJI77" s="684"/>
      <c r="AJJ77" s="684"/>
      <c r="AJK77" s="684"/>
      <c r="AJL77" s="684"/>
      <c r="AJM77" s="684"/>
      <c r="AJN77" s="684"/>
      <c r="AJO77" s="684"/>
      <c r="AJP77" s="684"/>
      <c r="AJQ77" s="684"/>
      <c r="AJR77" s="684"/>
      <c r="AJS77" s="684"/>
      <c r="AJT77" s="684"/>
      <c r="AJU77" s="684"/>
      <c r="AJV77" s="684"/>
      <c r="AJW77" s="684"/>
      <c r="AJX77" s="684"/>
      <c r="AJY77" s="684"/>
      <c r="AJZ77" s="684"/>
      <c r="AKA77" s="684"/>
      <c r="AKB77" s="684"/>
      <c r="AKC77" s="684"/>
      <c r="AKD77" s="684"/>
      <c r="AKE77" s="684"/>
      <c r="AKF77" s="684"/>
      <c r="AKG77" s="684"/>
      <c r="AKH77" s="684"/>
      <c r="AKI77" s="684"/>
      <c r="AKJ77" s="684"/>
      <c r="AKK77" s="684"/>
      <c r="AKL77" s="684"/>
      <c r="AKM77" s="684"/>
      <c r="AKN77" s="684"/>
      <c r="AKO77" s="684"/>
      <c r="AKP77" s="684"/>
      <c r="AKQ77" s="684"/>
      <c r="AKR77" s="684"/>
      <c r="AKS77" s="684"/>
      <c r="AKT77" s="684"/>
      <c r="AKU77" s="684"/>
      <c r="AKV77" s="684"/>
      <c r="AKW77" s="684"/>
      <c r="AKX77" s="684"/>
      <c r="AKY77" s="684"/>
      <c r="AKZ77" s="684"/>
      <c r="ALA77" s="684"/>
      <c r="ALB77" s="684"/>
      <c r="ALC77" s="684"/>
      <c r="ALD77" s="684"/>
      <c r="ALE77" s="684"/>
      <c r="ALF77" s="684"/>
      <c r="ALG77" s="684"/>
      <c r="ALH77" s="684"/>
      <c r="ALI77" s="684"/>
      <c r="ALJ77" s="684"/>
      <c r="ALK77" s="684"/>
      <c r="ALL77" s="684"/>
      <c r="ALM77" s="684"/>
      <c r="ALN77" s="684"/>
      <c r="ALO77" s="684"/>
      <c r="ALP77" s="684"/>
      <c r="ALQ77" s="684"/>
      <c r="ALR77" s="684"/>
      <c r="ALS77" s="684"/>
      <c r="ALT77" s="684"/>
      <c r="ALU77" s="684"/>
      <c r="ALV77" s="684"/>
      <c r="ALW77" s="684"/>
      <c r="ALX77" s="684"/>
      <c r="ALY77" s="684"/>
      <c r="ALZ77" s="684"/>
      <c r="AMA77" s="684"/>
      <c r="AMB77" s="684"/>
      <c r="AMC77" s="684"/>
      <c r="AMD77" s="684"/>
      <c r="AME77" s="684"/>
      <c r="AMF77" s="684"/>
      <c r="AMG77" s="684"/>
      <c r="AMH77" s="684"/>
      <c r="AMI77" s="684"/>
      <c r="AMJ77" s="684"/>
      <c r="AMK77" s="684"/>
      <c r="AML77" s="684"/>
      <c r="AMM77" s="684"/>
      <c r="AMN77" s="684"/>
      <c r="AMO77" s="684"/>
      <c r="AMP77" s="684"/>
      <c r="AMQ77" s="684"/>
      <c r="AMR77" s="684"/>
      <c r="AMS77" s="684"/>
      <c r="AMT77" s="684"/>
      <c r="AMU77" s="684"/>
      <c r="AMV77" s="684"/>
      <c r="AMW77" s="684"/>
      <c r="AMX77" s="684"/>
      <c r="AMY77" s="684"/>
      <c r="AMZ77" s="684"/>
      <c r="ANA77" s="684"/>
      <c r="ANB77" s="684"/>
      <c r="ANC77" s="684"/>
      <c r="AND77" s="684"/>
      <c r="ANE77" s="684"/>
      <c r="ANF77" s="684"/>
      <c r="ANG77" s="684"/>
      <c r="ANH77" s="684"/>
      <c r="ANI77" s="684"/>
      <c r="ANJ77" s="684"/>
      <c r="ANK77" s="684"/>
      <c r="ANL77" s="684"/>
      <c r="ANM77" s="684"/>
      <c r="ANN77" s="684"/>
      <c r="ANO77" s="684"/>
      <c r="ANP77" s="684"/>
      <c r="ANQ77" s="684"/>
      <c r="ANR77" s="684"/>
      <c r="ANS77" s="684"/>
      <c r="ANT77" s="684"/>
      <c r="ANU77" s="684"/>
      <c r="ANV77" s="684"/>
      <c r="ANW77" s="684"/>
      <c r="ANX77" s="684"/>
      <c r="ANY77" s="684"/>
      <c r="ANZ77" s="684"/>
      <c r="AOA77" s="684"/>
      <c r="AOB77" s="684"/>
      <c r="AOC77" s="684"/>
      <c r="AOD77" s="684"/>
      <c r="AOE77" s="684"/>
      <c r="AOF77" s="684"/>
      <c r="AOG77" s="684"/>
      <c r="AOH77" s="684"/>
      <c r="AOI77" s="684"/>
      <c r="AOJ77" s="684"/>
      <c r="AOK77" s="684"/>
      <c r="AOL77" s="684"/>
      <c r="AOM77" s="684"/>
      <c r="AON77" s="684"/>
      <c r="AOO77" s="684"/>
      <c r="AOP77" s="684"/>
      <c r="AOQ77" s="684"/>
      <c r="AOR77" s="684"/>
      <c r="AOS77" s="684"/>
      <c r="AOT77" s="684"/>
      <c r="AOU77" s="684"/>
      <c r="AOV77" s="684"/>
      <c r="AOW77" s="684"/>
      <c r="AOX77" s="684"/>
      <c r="AOY77" s="684"/>
      <c r="AOZ77" s="684"/>
      <c r="APA77" s="684"/>
      <c r="APB77" s="684"/>
      <c r="APC77" s="684"/>
      <c r="APD77" s="684"/>
      <c r="APE77" s="684"/>
      <c r="APF77" s="684"/>
      <c r="APG77" s="684"/>
      <c r="APH77" s="684"/>
      <c r="API77" s="684"/>
      <c r="APJ77" s="684"/>
      <c r="APK77" s="684"/>
      <c r="APL77" s="684"/>
      <c r="APM77" s="684"/>
      <c r="APN77" s="684"/>
      <c r="APO77" s="684"/>
      <c r="APP77" s="684"/>
      <c r="APQ77" s="684"/>
      <c r="APR77" s="684"/>
      <c r="APS77" s="684"/>
      <c r="APT77" s="684"/>
      <c r="APU77" s="684"/>
      <c r="APV77" s="684"/>
      <c r="APW77" s="684"/>
      <c r="APX77" s="684"/>
      <c r="APY77" s="684"/>
      <c r="APZ77" s="684"/>
      <c r="AQA77" s="684"/>
      <c r="AQB77" s="684"/>
      <c r="AQC77" s="684"/>
      <c r="AQD77" s="684"/>
      <c r="AQE77" s="684"/>
      <c r="AQF77" s="684"/>
      <c r="AQG77" s="684"/>
      <c r="AQH77" s="684"/>
      <c r="AQI77" s="684"/>
      <c r="AQJ77" s="684"/>
      <c r="AQK77" s="684"/>
      <c r="AQL77" s="684"/>
      <c r="AQM77" s="684"/>
      <c r="AQN77" s="684"/>
      <c r="AQO77" s="684"/>
      <c r="AQP77" s="684"/>
      <c r="AQQ77" s="684"/>
      <c r="AQR77" s="684"/>
      <c r="AQS77" s="684"/>
      <c r="AQT77" s="684"/>
      <c r="AQU77" s="684"/>
      <c r="AQV77" s="684"/>
      <c r="AQW77" s="684"/>
      <c r="AQX77" s="684"/>
      <c r="AQY77" s="684"/>
      <c r="AQZ77" s="684"/>
      <c r="ARA77" s="684"/>
      <c r="ARB77" s="684"/>
      <c r="ARC77" s="684"/>
      <c r="ARD77" s="684"/>
      <c r="ARE77" s="684"/>
      <c r="ARF77" s="684"/>
      <c r="ARG77" s="684"/>
      <c r="ARH77" s="684"/>
      <c r="ARI77" s="684"/>
      <c r="ARJ77" s="684"/>
      <c r="ARK77" s="684"/>
      <c r="ARL77" s="684"/>
      <c r="ARM77" s="684"/>
      <c r="ARN77" s="684"/>
      <c r="ARO77" s="684"/>
      <c r="ARP77" s="684"/>
      <c r="ARQ77" s="684"/>
      <c r="ARR77" s="684"/>
      <c r="ARS77" s="684"/>
      <c r="ART77" s="684"/>
      <c r="ARU77" s="684"/>
      <c r="ARV77" s="684"/>
      <c r="ARW77" s="684"/>
      <c r="ARX77" s="684"/>
      <c r="ARY77" s="684"/>
      <c r="ARZ77" s="684"/>
      <c r="ASA77" s="684"/>
      <c r="ASB77" s="684"/>
      <c r="ASC77" s="684"/>
      <c r="ASD77" s="684"/>
      <c r="ASE77" s="684"/>
      <c r="ASF77" s="684"/>
      <c r="ASG77" s="684"/>
      <c r="ASH77" s="684"/>
      <c r="ASI77" s="684"/>
      <c r="ASJ77" s="684"/>
      <c r="ASK77" s="684"/>
      <c r="ASL77" s="684"/>
      <c r="ASM77" s="684"/>
      <c r="ASN77" s="684"/>
      <c r="ASO77" s="684"/>
      <c r="ASP77" s="684"/>
      <c r="ASQ77" s="684"/>
      <c r="ASR77" s="684"/>
      <c r="ASS77" s="684"/>
      <c r="AST77" s="684"/>
      <c r="ASU77" s="684"/>
      <c r="ASV77" s="684"/>
      <c r="ASW77" s="684"/>
      <c r="ASX77" s="684"/>
      <c r="ASY77" s="684"/>
      <c r="ASZ77" s="684"/>
      <c r="ATA77" s="684"/>
      <c r="ATB77" s="684"/>
      <c r="ATC77" s="684"/>
      <c r="ATD77" s="684"/>
      <c r="ATE77" s="684"/>
      <c r="ATF77" s="684"/>
      <c r="ATG77" s="684"/>
      <c r="ATH77" s="684"/>
      <c r="ATI77" s="684"/>
      <c r="ATJ77" s="684"/>
      <c r="ATK77" s="684"/>
      <c r="ATL77" s="684"/>
      <c r="ATM77" s="684"/>
      <c r="ATN77" s="684"/>
      <c r="ATO77" s="684"/>
      <c r="ATP77" s="684"/>
      <c r="ATQ77" s="684"/>
      <c r="ATR77" s="684"/>
      <c r="ATS77" s="684"/>
      <c r="ATT77" s="684"/>
      <c r="ATU77" s="684"/>
      <c r="ATV77" s="684"/>
      <c r="ATW77" s="684"/>
      <c r="ATX77" s="684"/>
      <c r="ATY77" s="684"/>
      <c r="ATZ77" s="684"/>
      <c r="AUA77" s="684"/>
      <c r="AUB77" s="684"/>
      <c r="AUC77" s="684"/>
      <c r="AUD77" s="684"/>
      <c r="AUE77" s="684"/>
      <c r="AUF77" s="684"/>
      <c r="AUG77" s="684"/>
      <c r="AUH77" s="684"/>
      <c r="AUI77" s="684"/>
      <c r="AUJ77" s="684"/>
      <c r="AUK77" s="684"/>
      <c r="AUL77" s="684"/>
      <c r="AUM77" s="684"/>
      <c r="AUN77" s="684"/>
      <c r="AUO77" s="684"/>
      <c r="AUP77" s="684"/>
      <c r="AUQ77" s="684"/>
      <c r="AUR77" s="684"/>
      <c r="AUS77" s="684"/>
      <c r="AUT77" s="684"/>
      <c r="AUU77" s="684"/>
      <c r="AUV77" s="684"/>
      <c r="AUW77" s="684"/>
      <c r="AUX77" s="684"/>
      <c r="AUY77" s="684"/>
      <c r="AUZ77" s="684"/>
      <c r="AVA77" s="684"/>
      <c r="AVB77" s="684"/>
      <c r="AVC77" s="684"/>
      <c r="AVD77" s="684"/>
      <c r="AVE77" s="684"/>
      <c r="AVF77" s="684"/>
      <c r="AVG77" s="684"/>
      <c r="AVH77" s="684"/>
      <c r="AVI77" s="684"/>
      <c r="AVJ77" s="684"/>
      <c r="AVK77" s="684"/>
      <c r="AVL77" s="684"/>
      <c r="AVM77" s="684"/>
      <c r="AVN77" s="684"/>
      <c r="AVO77" s="684"/>
      <c r="AVP77" s="684"/>
      <c r="AVQ77" s="684"/>
      <c r="AVR77" s="684"/>
      <c r="AVS77" s="684"/>
      <c r="AVT77" s="684"/>
      <c r="AVU77" s="684"/>
      <c r="AVV77" s="684"/>
      <c r="AVW77" s="684"/>
      <c r="AVX77" s="684"/>
      <c r="AVY77" s="684"/>
      <c r="AVZ77" s="684"/>
      <c r="AWA77" s="684"/>
      <c r="AWB77" s="684"/>
      <c r="AWC77" s="684"/>
      <c r="AWD77" s="684"/>
      <c r="AWE77" s="684"/>
      <c r="AWF77" s="684"/>
      <c r="AWG77" s="684"/>
      <c r="AWH77" s="684"/>
      <c r="AWI77" s="684"/>
      <c r="AWJ77" s="684"/>
      <c r="AWK77" s="684"/>
      <c r="AWL77" s="684"/>
      <c r="AWM77" s="684"/>
      <c r="AWN77" s="684"/>
      <c r="AWO77" s="684"/>
      <c r="AWP77" s="684"/>
      <c r="AWQ77" s="684"/>
      <c r="AWR77" s="684"/>
      <c r="AWS77" s="684"/>
      <c r="AWT77" s="684"/>
      <c r="AWU77" s="684"/>
      <c r="AWV77" s="684"/>
      <c r="AWW77" s="684"/>
      <c r="AWX77" s="684"/>
      <c r="AWY77" s="684"/>
      <c r="AWZ77" s="684"/>
      <c r="AXA77" s="684"/>
      <c r="AXB77" s="684"/>
      <c r="AXC77" s="684"/>
      <c r="AXD77" s="684"/>
      <c r="AXE77" s="684"/>
      <c r="AXF77" s="684"/>
      <c r="AXG77" s="684"/>
      <c r="AXH77" s="684"/>
      <c r="AXI77" s="684"/>
      <c r="AXJ77" s="684"/>
      <c r="AXK77" s="684"/>
      <c r="AXL77" s="684"/>
      <c r="AXM77" s="684"/>
      <c r="AXN77" s="684"/>
      <c r="AXO77" s="684"/>
      <c r="AXP77" s="684"/>
      <c r="AXQ77" s="684"/>
      <c r="AXR77" s="684"/>
      <c r="AXS77" s="684"/>
      <c r="AXT77" s="684"/>
      <c r="AXU77" s="684"/>
      <c r="AXV77" s="684"/>
      <c r="AXW77" s="684"/>
      <c r="AXX77" s="684"/>
      <c r="AXY77" s="684"/>
      <c r="AXZ77" s="684"/>
      <c r="AYA77" s="684"/>
      <c r="AYB77" s="684"/>
      <c r="AYC77" s="684"/>
      <c r="AYD77" s="684"/>
      <c r="AYE77" s="684"/>
      <c r="AYF77" s="684"/>
      <c r="AYG77" s="684"/>
      <c r="AYH77" s="684"/>
      <c r="AYI77" s="684"/>
      <c r="AYJ77" s="684"/>
      <c r="AYK77" s="684"/>
      <c r="AYL77" s="684"/>
      <c r="AYM77" s="684"/>
      <c r="AYN77" s="684"/>
      <c r="AYO77" s="684"/>
      <c r="AYP77" s="684"/>
      <c r="AYQ77" s="684"/>
      <c r="AYR77" s="684"/>
      <c r="AYS77" s="684"/>
      <c r="AYT77" s="684"/>
      <c r="AYU77" s="684"/>
      <c r="AYV77" s="684"/>
      <c r="AYW77" s="684"/>
      <c r="AYX77" s="684"/>
      <c r="AYY77" s="684"/>
      <c r="AYZ77" s="684"/>
      <c r="AZA77" s="684"/>
      <c r="AZB77" s="684"/>
      <c r="AZC77" s="684"/>
      <c r="AZD77" s="684"/>
      <c r="AZE77" s="684"/>
      <c r="AZF77" s="684"/>
      <c r="AZG77" s="684"/>
      <c r="AZH77" s="684"/>
      <c r="AZI77" s="684"/>
      <c r="AZJ77" s="684"/>
      <c r="AZK77" s="684"/>
      <c r="AZL77" s="684"/>
      <c r="AZM77" s="684"/>
      <c r="AZN77" s="684"/>
      <c r="AZO77" s="684"/>
      <c r="AZP77" s="684"/>
      <c r="AZQ77" s="684"/>
      <c r="AZR77" s="684"/>
      <c r="AZS77" s="684"/>
      <c r="AZT77" s="684"/>
      <c r="AZU77" s="684"/>
      <c r="AZV77" s="684"/>
      <c r="AZW77" s="684"/>
      <c r="AZX77" s="684"/>
      <c r="AZY77" s="684"/>
      <c r="AZZ77" s="684"/>
      <c r="BAA77" s="684"/>
      <c r="BAB77" s="684"/>
      <c r="BAC77" s="684"/>
      <c r="BAD77" s="684"/>
      <c r="BAE77" s="684"/>
      <c r="BAF77" s="684"/>
      <c r="BAG77" s="684"/>
      <c r="BAH77" s="684"/>
      <c r="BAI77" s="684"/>
      <c r="BAJ77" s="684"/>
      <c r="BAK77" s="684"/>
      <c r="BAL77" s="684"/>
      <c r="BAM77" s="684"/>
      <c r="BAN77" s="684"/>
      <c r="BAO77" s="684"/>
      <c r="BAP77" s="684"/>
      <c r="BAQ77" s="684"/>
      <c r="BAR77" s="684"/>
      <c r="BAS77" s="684"/>
      <c r="BAT77" s="684"/>
      <c r="BAU77" s="684"/>
      <c r="BAV77" s="684"/>
      <c r="BAW77" s="684"/>
      <c r="BAX77" s="684"/>
      <c r="BAY77" s="684"/>
      <c r="BAZ77" s="684"/>
      <c r="BBA77" s="684"/>
      <c r="BBB77" s="684"/>
      <c r="BBC77" s="684"/>
      <c r="BBD77" s="684"/>
      <c r="BBE77" s="684"/>
      <c r="BBF77" s="684"/>
      <c r="BBG77" s="684"/>
      <c r="BBH77" s="684"/>
      <c r="BBI77" s="684"/>
      <c r="BBJ77" s="684"/>
      <c r="BBK77" s="684"/>
      <c r="BBL77" s="684"/>
      <c r="BBM77" s="684"/>
      <c r="BBN77" s="684"/>
      <c r="BBO77" s="684"/>
      <c r="BBP77" s="684"/>
      <c r="BBQ77" s="684"/>
      <c r="BBR77" s="684"/>
      <c r="BBS77" s="684"/>
      <c r="BBT77" s="684"/>
      <c r="BBU77" s="684"/>
      <c r="BBV77" s="684"/>
      <c r="BBW77" s="684"/>
      <c r="BBX77" s="684"/>
      <c r="BBY77" s="684"/>
      <c r="BBZ77" s="684"/>
      <c r="BCA77" s="684"/>
      <c r="BCB77" s="684"/>
      <c r="BCC77" s="684"/>
      <c r="BCD77" s="684"/>
      <c r="BCE77" s="684"/>
      <c r="BCF77" s="684"/>
      <c r="BCG77" s="684"/>
      <c r="BCH77" s="684"/>
      <c r="BCI77" s="684"/>
      <c r="BCJ77" s="684"/>
      <c r="BCK77" s="684"/>
      <c r="BCL77" s="684"/>
      <c r="BCM77" s="684"/>
      <c r="BCN77" s="684"/>
      <c r="BCO77" s="684"/>
      <c r="BCP77" s="684"/>
      <c r="BCQ77" s="684"/>
      <c r="BCR77" s="684"/>
      <c r="BCS77" s="684"/>
      <c r="BCT77" s="684"/>
      <c r="BCU77" s="684"/>
      <c r="BCV77" s="684"/>
      <c r="BCW77" s="684"/>
      <c r="BCX77" s="684"/>
      <c r="BCY77" s="684"/>
      <c r="BCZ77" s="684"/>
      <c r="BDA77" s="684"/>
      <c r="BDB77" s="684"/>
      <c r="BDC77" s="684"/>
      <c r="BDD77" s="684"/>
      <c r="BDE77" s="684"/>
      <c r="BDF77" s="684"/>
      <c r="BDG77" s="684"/>
      <c r="BDH77" s="684"/>
      <c r="BDI77" s="684"/>
      <c r="BDJ77" s="684"/>
      <c r="BDK77" s="684"/>
      <c r="BDL77" s="684"/>
      <c r="BDM77" s="684"/>
      <c r="BDN77" s="684"/>
      <c r="BDO77" s="684"/>
      <c r="BDP77" s="684"/>
      <c r="BDQ77" s="684"/>
      <c r="BDR77" s="684"/>
      <c r="BDS77" s="684"/>
      <c r="BDT77" s="684"/>
      <c r="BDU77" s="684"/>
      <c r="BDV77" s="684"/>
      <c r="BDW77" s="684"/>
      <c r="BDX77" s="684"/>
      <c r="BDY77" s="684"/>
      <c r="BDZ77" s="684"/>
      <c r="BEA77" s="684"/>
      <c r="BEB77" s="684"/>
      <c r="BEC77" s="684"/>
      <c r="BED77" s="684"/>
      <c r="BEE77" s="684"/>
      <c r="BEF77" s="684"/>
      <c r="BEG77" s="684"/>
      <c r="BEH77" s="684"/>
      <c r="BEI77" s="684"/>
      <c r="BEJ77" s="684"/>
      <c r="BEK77" s="684"/>
      <c r="BEL77" s="684"/>
      <c r="BEM77" s="684"/>
      <c r="BEN77" s="684"/>
      <c r="BEO77" s="684"/>
      <c r="BEP77" s="684"/>
      <c r="BEQ77" s="684"/>
      <c r="BER77" s="684"/>
      <c r="BES77" s="684"/>
      <c r="BET77" s="684"/>
      <c r="BEU77" s="684"/>
      <c r="BEV77" s="684"/>
      <c r="BEW77" s="684"/>
      <c r="BEX77" s="684"/>
      <c r="BEY77" s="684"/>
      <c r="BEZ77" s="684"/>
      <c r="BFA77" s="684"/>
      <c r="BFB77" s="684"/>
      <c r="BFC77" s="684"/>
      <c r="BFD77" s="684"/>
      <c r="BFE77" s="684"/>
      <c r="BFF77" s="684"/>
      <c r="BFG77" s="684"/>
      <c r="BFH77" s="684"/>
      <c r="BFI77" s="684"/>
      <c r="BFJ77" s="684"/>
      <c r="BFK77" s="684"/>
      <c r="BFL77" s="684"/>
      <c r="BFM77" s="684"/>
      <c r="BFN77" s="684"/>
      <c r="BFO77" s="684"/>
      <c r="BFP77" s="684"/>
      <c r="BFQ77" s="684"/>
      <c r="BFR77" s="684"/>
      <c r="BFS77" s="684"/>
      <c r="BFT77" s="684"/>
      <c r="BFU77" s="684"/>
      <c r="BFV77" s="684"/>
      <c r="BFW77" s="684"/>
      <c r="BFX77" s="684"/>
      <c r="BFY77" s="684"/>
      <c r="BFZ77" s="684"/>
      <c r="BGA77" s="684"/>
      <c r="BGB77" s="684"/>
      <c r="BGC77" s="684"/>
      <c r="BGD77" s="684"/>
      <c r="BGE77" s="684"/>
      <c r="BGF77" s="684"/>
      <c r="BGG77" s="684"/>
      <c r="BGH77" s="684"/>
      <c r="BGI77" s="684"/>
      <c r="BGJ77" s="684"/>
      <c r="BGK77" s="684"/>
      <c r="BGL77" s="684"/>
      <c r="BGM77" s="684"/>
      <c r="BGN77" s="684"/>
      <c r="BGO77" s="684"/>
      <c r="BGP77" s="684"/>
      <c r="BGQ77" s="684"/>
      <c r="BGR77" s="684"/>
      <c r="BGS77" s="684"/>
      <c r="BGT77" s="684"/>
      <c r="BGU77" s="684"/>
      <c r="BGV77" s="684"/>
      <c r="BGW77" s="684"/>
      <c r="BGX77" s="684"/>
      <c r="BGY77" s="684"/>
      <c r="BGZ77" s="684"/>
      <c r="BHA77" s="684"/>
      <c r="BHB77" s="684"/>
      <c r="BHC77" s="684"/>
      <c r="BHD77" s="684"/>
      <c r="BHE77" s="684"/>
      <c r="BHF77" s="684"/>
      <c r="BHG77" s="684"/>
      <c r="BHH77" s="684"/>
      <c r="BHI77" s="684"/>
      <c r="BHJ77" s="684"/>
      <c r="BHK77" s="684"/>
      <c r="BHL77" s="684"/>
      <c r="BHM77" s="684"/>
      <c r="BHN77" s="684"/>
      <c r="BHO77" s="684"/>
      <c r="BHP77" s="684"/>
      <c r="BHQ77" s="684"/>
      <c r="BHR77" s="684"/>
      <c r="BHS77" s="684"/>
      <c r="BHT77" s="684"/>
      <c r="BHU77" s="684"/>
      <c r="BHV77" s="684"/>
      <c r="BHW77" s="684"/>
      <c r="BHX77" s="684"/>
      <c r="BHY77" s="684"/>
      <c r="BHZ77" s="684"/>
      <c r="BIA77" s="684"/>
      <c r="BIB77" s="684"/>
      <c r="BIC77" s="684"/>
      <c r="BID77" s="684"/>
      <c r="BIE77" s="684"/>
      <c r="BIF77" s="684"/>
      <c r="BIG77" s="684"/>
      <c r="BIH77" s="684"/>
      <c r="BII77" s="684"/>
      <c r="BIJ77" s="684"/>
      <c r="BIK77" s="684"/>
      <c r="BIL77" s="684"/>
      <c r="BIM77" s="684"/>
      <c r="BIN77" s="684"/>
      <c r="BIO77" s="684"/>
      <c r="BIP77" s="684"/>
      <c r="BIQ77" s="684"/>
      <c r="BIR77" s="684"/>
      <c r="BIS77" s="684"/>
      <c r="BIT77" s="684"/>
      <c r="BIU77" s="684"/>
      <c r="BIV77" s="684"/>
      <c r="BIW77" s="684"/>
      <c r="BIX77" s="684"/>
      <c r="BIY77" s="684"/>
      <c r="BIZ77" s="684"/>
      <c r="BJA77" s="684"/>
      <c r="BJB77" s="684"/>
      <c r="BJC77" s="684"/>
      <c r="BJD77" s="684"/>
      <c r="BJE77" s="684"/>
      <c r="BJF77" s="684"/>
      <c r="BJG77" s="684"/>
      <c r="BJH77" s="684"/>
      <c r="BJI77" s="684"/>
      <c r="BJJ77" s="684"/>
      <c r="BJK77" s="684"/>
      <c r="BJL77" s="684"/>
      <c r="BJM77" s="684"/>
      <c r="BJN77" s="684"/>
      <c r="BJO77" s="684"/>
      <c r="BJP77" s="684"/>
      <c r="BJQ77" s="684"/>
      <c r="BJR77" s="684"/>
      <c r="BJS77" s="684"/>
      <c r="BJT77" s="684"/>
      <c r="BJU77" s="684"/>
      <c r="BJV77" s="684"/>
      <c r="BJW77" s="684"/>
      <c r="BJX77" s="684"/>
      <c r="BJY77" s="684"/>
      <c r="BJZ77" s="684"/>
      <c r="BKA77" s="684"/>
      <c r="BKB77" s="684"/>
      <c r="BKC77" s="684"/>
      <c r="BKD77" s="684"/>
      <c r="BKE77" s="684"/>
      <c r="BKF77" s="684"/>
      <c r="BKG77" s="684"/>
      <c r="BKH77" s="684"/>
      <c r="BKI77" s="684"/>
      <c r="BKJ77" s="684"/>
      <c r="BKK77" s="684"/>
      <c r="BKL77" s="684"/>
      <c r="BKM77" s="684"/>
      <c r="BKN77" s="684"/>
      <c r="BKO77" s="684"/>
      <c r="BKP77" s="684"/>
      <c r="BKQ77" s="684"/>
      <c r="BKR77" s="684"/>
      <c r="BKS77" s="684"/>
      <c r="BKT77" s="684"/>
      <c r="BKU77" s="684"/>
      <c r="BKV77" s="684"/>
      <c r="BKW77" s="684"/>
      <c r="BKX77" s="684"/>
      <c r="BKY77" s="684"/>
      <c r="BKZ77" s="684"/>
      <c r="BLA77" s="684"/>
      <c r="BLB77" s="684"/>
      <c r="BLC77" s="684"/>
      <c r="BLD77" s="684"/>
      <c r="BLE77" s="684"/>
      <c r="BLF77" s="684"/>
      <c r="BLG77" s="684"/>
      <c r="BLH77" s="684"/>
      <c r="BLI77" s="684"/>
      <c r="BLJ77" s="684"/>
      <c r="BLK77" s="684"/>
      <c r="BLL77" s="684"/>
      <c r="BLM77" s="684"/>
      <c r="BLN77" s="684"/>
      <c r="BLO77" s="684"/>
      <c r="BLP77" s="684"/>
      <c r="BLQ77" s="684"/>
      <c r="BLR77" s="684"/>
      <c r="BLS77" s="684"/>
      <c r="BLT77" s="684"/>
      <c r="BLU77" s="684"/>
      <c r="BLV77" s="684"/>
      <c r="BLW77" s="684"/>
      <c r="BLX77" s="684"/>
      <c r="BLY77" s="684"/>
      <c r="BLZ77" s="684"/>
      <c r="BMA77" s="684"/>
      <c r="BMB77" s="684"/>
      <c r="BMC77" s="684"/>
      <c r="BMD77" s="684"/>
      <c r="BME77" s="684"/>
      <c r="BMF77" s="684"/>
      <c r="BMG77" s="684"/>
      <c r="BMH77" s="684"/>
      <c r="BMI77" s="684"/>
      <c r="BMJ77" s="684"/>
      <c r="BMK77" s="684"/>
      <c r="BML77" s="684"/>
      <c r="BMM77" s="684"/>
      <c r="BMN77" s="684"/>
      <c r="BMO77" s="684"/>
      <c r="BMP77" s="684"/>
      <c r="BMQ77" s="684"/>
      <c r="BMR77" s="684"/>
      <c r="BMS77" s="684"/>
      <c r="BMT77" s="684"/>
      <c r="BMU77" s="684"/>
      <c r="BMV77" s="684"/>
      <c r="BMW77" s="684"/>
      <c r="BMX77" s="684"/>
      <c r="BMY77" s="684"/>
      <c r="BMZ77" s="684"/>
      <c r="BNA77" s="684"/>
      <c r="BNB77" s="684"/>
      <c r="BNC77" s="684"/>
      <c r="BND77" s="684"/>
      <c r="BNE77" s="684"/>
      <c r="BNF77" s="684"/>
      <c r="BNG77" s="684"/>
      <c r="BNH77" s="684"/>
      <c r="BNI77" s="684"/>
      <c r="BNJ77" s="684"/>
      <c r="BNK77" s="684"/>
      <c r="BNL77" s="684"/>
      <c r="BNM77" s="684"/>
      <c r="BNN77" s="684"/>
      <c r="BNO77" s="684"/>
      <c r="BNP77" s="684"/>
      <c r="BNQ77" s="684"/>
      <c r="BNR77" s="684"/>
      <c r="BNS77" s="684"/>
      <c r="BNT77" s="684"/>
      <c r="BNU77" s="684"/>
      <c r="BNV77" s="684"/>
      <c r="BNW77" s="684"/>
      <c r="BNX77" s="684"/>
      <c r="BNY77" s="684"/>
      <c r="BNZ77" s="684"/>
      <c r="BOA77" s="684"/>
      <c r="BOB77" s="684"/>
      <c r="BOC77" s="684"/>
      <c r="BOD77" s="684"/>
      <c r="BOE77" s="684"/>
      <c r="BOF77" s="684"/>
      <c r="BOG77" s="684"/>
      <c r="BOH77" s="684"/>
      <c r="BOI77" s="684"/>
      <c r="BOJ77" s="684"/>
      <c r="BOK77" s="684"/>
      <c r="BOL77" s="684"/>
      <c r="BOM77" s="684"/>
      <c r="BON77" s="684"/>
      <c r="BOO77" s="684"/>
      <c r="BOP77" s="684"/>
      <c r="BOQ77" s="684"/>
      <c r="BOR77" s="684"/>
      <c r="BOS77" s="684"/>
      <c r="BOT77" s="684"/>
      <c r="BOU77" s="684"/>
      <c r="BOV77" s="684"/>
      <c r="BOW77" s="684"/>
      <c r="BOX77" s="684"/>
      <c r="BOY77" s="684"/>
      <c r="BOZ77" s="684"/>
      <c r="BPA77" s="684"/>
      <c r="BPB77" s="684"/>
      <c r="BPC77" s="684"/>
      <c r="BPD77" s="684"/>
      <c r="BPE77" s="684"/>
      <c r="BPF77" s="684"/>
      <c r="BPG77" s="684"/>
      <c r="BPH77" s="684"/>
      <c r="BPI77" s="684"/>
      <c r="BPJ77" s="684"/>
      <c r="BPK77" s="684"/>
      <c r="BPL77" s="684"/>
      <c r="BPM77" s="684"/>
      <c r="BPN77" s="684"/>
      <c r="BPO77" s="684"/>
      <c r="BPP77" s="684"/>
      <c r="BPQ77" s="684"/>
      <c r="BPR77" s="684"/>
      <c r="BPS77" s="684"/>
      <c r="BPT77" s="684"/>
      <c r="BPU77" s="684"/>
      <c r="BPV77" s="684"/>
      <c r="BPW77" s="684"/>
      <c r="BPX77" s="684"/>
      <c r="BPY77" s="684"/>
      <c r="BPZ77" s="684"/>
      <c r="BQA77" s="684"/>
      <c r="BQB77" s="684"/>
      <c r="BQC77" s="684"/>
      <c r="BQD77" s="684"/>
      <c r="BQE77" s="684"/>
      <c r="BQF77" s="684"/>
      <c r="BQG77" s="684"/>
      <c r="BQH77" s="684"/>
      <c r="BQI77" s="684"/>
      <c r="BQJ77" s="684"/>
      <c r="BQK77" s="684"/>
      <c r="BQL77" s="684"/>
      <c r="BQM77" s="684"/>
      <c r="BQN77" s="684"/>
      <c r="BQO77" s="684"/>
      <c r="BQP77" s="684"/>
      <c r="BQQ77" s="684"/>
      <c r="BQR77" s="684"/>
      <c r="BQS77" s="684"/>
      <c r="BQT77" s="684"/>
      <c r="BQU77" s="684"/>
      <c r="BQV77" s="684"/>
      <c r="BQW77" s="684"/>
      <c r="BQX77" s="684"/>
      <c r="BQY77" s="684"/>
      <c r="BQZ77" s="684"/>
      <c r="BRA77" s="684"/>
      <c r="BRB77" s="684"/>
      <c r="BRC77" s="684"/>
      <c r="BRD77" s="684"/>
      <c r="BRE77" s="684"/>
      <c r="BRF77" s="684"/>
      <c r="BRG77" s="684"/>
      <c r="BRH77" s="684"/>
      <c r="BRI77" s="684"/>
      <c r="BRJ77" s="684"/>
      <c r="BRK77" s="684"/>
      <c r="BRL77" s="684"/>
      <c r="BRM77" s="684"/>
      <c r="BRN77" s="684"/>
      <c r="BRO77" s="684"/>
      <c r="BRP77" s="684"/>
      <c r="BRQ77" s="684"/>
      <c r="BRR77" s="684"/>
      <c r="BRS77" s="684"/>
      <c r="BRT77" s="684"/>
      <c r="BRU77" s="684"/>
      <c r="BRV77" s="684"/>
      <c r="BRW77" s="684"/>
      <c r="BRX77" s="684"/>
      <c r="BRY77" s="684"/>
      <c r="BRZ77" s="684"/>
      <c r="BSA77" s="684"/>
      <c r="BSB77" s="684"/>
      <c r="BSC77" s="684"/>
      <c r="BSD77" s="684"/>
      <c r="BSE77" s="684"/>
      <c r="BSF77" s="684"/>
      <c r="BSG77" s="684"/>
      <c r="BSH77" s="684"/>
      <c r="BSI77" s="684"/>
      <c r="BSJ77" s="684"/>
      <c r="BSK77" s="684"/>
      <c r="BSL77" s="684"/>
      <c r="BSM77" s="684"/>
      <c r="BSN77" s="684"/>
      <c r="BSO77" s="684"/>
      <c r="BSP77" s="684"/>
      <c r="BSQ77" s="684"/>
      <c r="BSR77" s="684"/>
      <c r="BSS77" s="684"/>
      <c r="BST77" s="684"/>
      <c r="BSU77" s="684"/>
      <c r="BSV77" s="684"/>
      <c r="BSW77" s="684"/>
      <c r="BSX77" s="684"/>
      <c r="BSY77" s="684"/>
      <c r="BSZ77" s="684"/>
      <c r="BTA77" s="684"/>
      <c r="BTB77" s="684"/>
      <c r="BTC77" s="684"/>
      <c r="BTD77" s="684"/>
      <c r="BTE77" s="684"/>
      <c r="BTF77" s="684"/>
      <c r="BTG77" s="684"/>
      <c r="BTH77" s="684"/>
      <c r="BTI77" s="684"/>
      <c r="BTJ77" s="684"/>
      <c r="BTK77" s="684"/>
      <c r="BTL77" s="684"/>
      <c r="BTM77" s="684"/>
      <c r="BTN77" s="684"/>
      <c r="BTO77" s="684"/>
      <c r="BTP77" s="684"/>
      <c r="BTQ77" s="684"/>
      <c r="BTR77" s="684"/>
      <c r="BTS77" s="684"/>
      <c r="BTT77" s="684"/>
      <c r="BTU77" s="684"/>
      <c r="BTV77" s="684"/>
      <c r="BTW77" s="684"/>
      <c r="BTX77" s="684"/>
      <c r="BTY77" s="684"/>
      <c r="BTZ77" s="684"/>
      <c r="BUA77" s="684"/>
      <c r="BUB77" s="684"/>
      <c r="BUC77" s="684"/>
      <c r="BUD77" s="684"/>
      <c r="BUE77" s="684"/>
      <c r="BUF77" s="684"/>
      <c r="BUG77" s="684"/>
      <c r="BUH77" s="684"/>
      <c r="BUI77" s="684"/>
      <c r="BUJ77" s="684"/>
      <c r="BUK77" s="684"/>
      <c r="BUL77" s="684"/>
      <c r="BUM77" s="684"/>
      <c r="BUN77" s="684"/>
      <c r="BUO77" s="684"/>
      <c r="BUP77" s="684"/>
      <c r="BUQ77" s="684"/>
      <c r="BUR77" s="684"/>
      <c r="BUS77" s="684"/>
      <c r="BUT77" s="684"/>
      <c r="BUU77" s="684"/>
      <c r="BUV77" s="684"/>
      <c r="BUW77" s="684"/>
      <c r="BUX77" s="684"/>
      <c r="BUY77" s="684"/>
      <c r="BUZ77" s="684"/>
      <c r="BVA77" s="684"/>
      <c r="BVB77" s="684"/>
      <c r="BVC77" s="684"/>
      <c r="BVD77" s="684"/>
      <c r="BVE77" s="684"/>
      <c r="BVF77" s="684"/>
      <c r="BVG77" s="684"/>
      <c r="BVH77" s="684"/>
      <c r="BVI77" s="684"/>
      <c r="BVJ77" s="684"/>
      <c r="BVK77" s="684"/>
      <c r="BVL77" s="684"/>
      <c r="BVM77" s="684"/>
      <c r="BVN77" s="684"/>
      <c r="BVO77" s="684"/>
      <c r="BVP77" s="684"/>
      <c r="BVQ77" s="684"/>
      <c r="BVR77" s="684"/>
      <c r="BVS77" s="684"/>
      <c r="BVT77" s="684"/>
      <c r="BVU77" s="684"/>
      <c r="BVV77" s="684"/>
      <c r="BVW77" s="684"/>
      <c r="BVX77" s="684"/>
      <c r="BVY77" s="684"/>
      <c r="BVZ77" s="684"/>
      <c r="BWA77" s="684"/>
      <c r="BWB77" s="684"/>
      <c r="BWC77" s="684"/>
      <c r="BWD77" s="684"/>
      <c r="BWE77" s="684"/>
      <c r="BWF77" s="684"/>
      <c r="BWG77" s="684"/>
      <c r="BWH77" s="684"/>
      <c r="BWI77" s="684"/>
      <c r="BWJ77" s="684"/>
      <c r="BWK77" s="684"/>
      <c r="BWL77" s="684"/>
      <c r="BWM77" s="684"/>
      <c r="BWN77" s="684"/>
      <c r="BWO77" s="684"/>
      <c r="BWP77" s="684"/>
      <c r="BWQ77" s="684"/>
      <c r="BWR77" s="684"/>
      <c r="BWS77" s="684"/>
      <c r="BWT77" s="684"/>
      <c r="BWU77" s="684"/>
      <c r="BWV77" s="684"/>
      <c r="BWW77" s="684"/>
      <c r="BWX77" s="684"/>
      <c r="BWY77" s="684"/>
      <c r="BWZ77" s="684"/>
      <c r="BXA77" s="684"/>
      <c r="BXB77" s="684"/>
      <c r="BXC77" s="684"/>
      <c r="BXD77" s="684"/>
      <c r="BXE77" s="684"/>
      <c r="BXF77" s="684"/>
      <c r="BXG77" s="684"/>
      <c r="BXH77" s="684"/>
      <c r="BXI77" s="684"/>
      <c r="BXJ77" s="684"/>
      <c r="BXK77" s="684"/>
      <c r="BXL77" s="684"/>
      <c r="BXM77" s="684"/>
      <c r="BXN77" s="684"/>
      <c r="BXO77" s="684"/>
      <c r="BXP77" s="684"/>
      <c r="BXQ77" s="684"/>
      <c r="BXR77" s="684"/>
      <c r="BXS77" s="684"/>
      <c r="BXT77" s="684"/>
      <c r="BXU77" s="684"/>
      <c r="BXV77" s="684"/>
      <c r="BXW77" s="684"/>
      <c r="BXX77" s="684"/>
      <c r="BXY77" s="684"/>
      <c r="BXZ77" s="684"/>
      <c r="BYA77" s="684"/>
      <c r="BYB77" s="684"/>
      <c r="BYC77" s="684"/>
      <c r="BYD77" s="684"/>
      <c r="BYE77" s="684"/>
      <c r="BYF77" s="684"/>
      <c r="BYG77" s="684"/>
      <c r="BYH77" s="684"/>
      <c r="BYI77" s="684"/>
      <c r="BYJ77" s="684"/>
      <c r="BYK77" s="684"/>
      <c r="BYL77" s="684"/>
      <c r="BYM77" s="684"/>
      <c r="BYN77" s="684"/>
      <c r="BYO77" s="684"/>
      <c r="BYP77" s="684"/>
      <c r="BYQ77" s="684"/>
      <c r="BYR77" s="684"/>
      <c r="BYS77" s="684"/>
      <c r="BYT77" s="684"/>
      <c r="BYU77" s="684"/>
      <c r="BYV77" s="684"/>
      <c r="BYW77" s="684"/>
      <c r="BYX77" s="684"/>
      <c r="BYY77" s="684"/>
      <c r="BYZ77" s="684"/>
      <c r="BZA77" s="684"/>
      <c r="BZB77" s="684"/>
      <c r="BZC77" s="684"/>
      <c r="BZD77" s="684"/>
      <c r="BZE77" s="684"/>
      <c r="BZF77" s="684"/>
      <c r="BZG77" s="684"/>
      <c r="BZH77" s="684"/>
      <c r="BZI77" s="684"/>
      <c r="BZJ77" s="684"/>
      <c r="BZK77" s="684"/>
      <c r="BZL77" s="684"/>
      <c r="BZM77" s="684"/>
      <c r="BZN77" s="684"/>
      <c r="BZO77" s="684"/>
      <c r="BZP77" s="684"/>
      <c r="BZQ77" s="684"/>
      <c r="BZR77" s="684"/>
      <c r="BZS77" s="684"/>
      <c r="BZT77" s="684"/>
      <c r="BZU77" s="684"/>
      <c r="BZV77" s="684"/>
      <c r="BZW77" s="684"/>
      <c r="BZX77" s="684"/>
      <c r="BZY77" s="684"/>
      <c r="BZZ77" s="684"/>
      <c r="CAA77" s="684"/>
      <c r="CAB77" s="684"/>
      <c r="CAC77" s="684"/>
      <c r="CAD77" s="684"/>
      <c r="CAE77" s="684"/>
      <c r="CAF77" s="684"/>
      <c r="CAG77" s="684"/>
      <c r="CAH77" s="684"/>
      <c r="CAI77" s="684"/>
      <c r="CAJ77" s="684"/>
      <c r="CAK77" s="684"/>
      <c r="CAL77" s="684"/>
      <c r="CAM77" s="684"/>
      <c r="CAN77" s="684"/>
      <c r="CAO77" s="684"/>
      <c r="CAP77" s="684"/>
      <c r="CAQ77" s="684"/>
      <c r="CAR77" s="684"/>
      <c r="CAS77" s="684"/>
      <c r="CAT77" s="684"/>
      <c r="CAU77" s="684"/>
      <c r="CAV77" s="684"/>
      <c r="CAW77" s="684"/>
      <c r="CAX77" s="684"/>
      <c r="CAY77" s="684"/>
      <c r="CAZ77" s="684"/>
      <c r="CBA77" s="684"/>
      <c r="CBB77" s="684"/>
      <c r="CBC77" s="684"/>
      <c r="CBD77" s="684"/>
      <c r="CBE77" s="684"/>
      <c r="CBF77" s="684"/>
      <c r="CBG77" s="684"/>
      <c r="CBH77" s="684"/>
      <c r="CBI77" s="684"/>
      <c r="CBJ77" s="684"/>
      <c r="CBK77" s="684"/>
      <c r="CBL77" s="684"/>
      <c r="CBM77" s="684"/>
      <c r="CBN77" s="684"/>
      <c r="CBO77" s="684"/>
      <c r="CBP77" s="684"/>
      <c r="CBQ77" s="684"/>
      <c r="CBR77" s="684"/>
      <c r="CBS77" s="684"/>
      <c r="CBT77" s="684"/>
      <c r="CBU77" s="684"/>
      <c r="CBV77" s="684"/>
      <c r="CBW77" s="684"/>
      <c r="CBX77" s="684"/>
      <c r="CBY77" s="684"/>
      <c r="CBZ77" s="684"/>
      <c r="CCA77" s="684"/>
      <c r="CCB77" s="684"/>
      <c r="CCC77" s="684"/>
      <c r="CCD77" s="684"/>
      <c r="CCE77" s="684"/>
      <c r="CCF77" s="684"/>
      <c r="CCG77" s="684"/>
      <c r="CCH77" s="684"/>
      <c r="CCI77" s="684"/>
      <c r="CCJ77" s="684"/>
      <c r="CCK77" s="684"/>
      <c r="CCL77" s="684"/>
      <c r="CCM77" s="684"/>
      <c r="CCN77" s="684"/>
      <c r="CCO77" s="684"/>
      <c r="CCP77" s="684"/>
      <c r="CCQ77" s="684"/>
      <c r="CCR77" s="684"/>
      <c r="CCS77" s="684"/>
      <c r="CCT77" s="684"/>
      <c r="CCU77" s="684"/>
      <c r="CCV77" s="684"/>
      <c r="CCW77" s="684"/>
      <c r="CCX77" s="684"/>
      <c r="CCY77" s="684"/>
      <c r="CCZ77" s="684"/>
      <c r="CDA77" s="684"/>
      <c r="CDB77" s="684"/>
      <c r="CDC77" s="684"/>
      <c r="CDD77" s="684"/>
      <c r="CDE77" s="684"/>
      <c r="CDF77" s="684"/>
      <c r="CDG77" s="684"/>
      <c r="CDH77" s="684"/>
      <c r="CDI77" s="684"/>
      <c r="CDJ77" s="684"/>
      <c r="CDK77" s="684"/>
      <c r="CDL77" s="684"/>
      <c r="CDM77" s="684"/>
      <c r="CDN77" s="684"/>
      <c r="CDO77" s="684"/>
      <c r="CDP77" s="684"/>
      <c r="CDQ77" s="684"/>
      <c r="CDR77" s="684"/>
      <c r="CDS77" s="684"/>
      <c r="CDT77" s="684"/>
      <c r="CDU77" s="684"/>
      <c r="CDV77" s="684"/>
      <c r="CDW77" s="684"/>
      <c r="CDX77" s="684"/>
      <c r="CDY77" s="684"/>
      <c r="CDZ77" s="684"/>
      <c r="CEA77" s="684"/>
      <c r="CEB77" s="684"/>
      <c r="CEC77" s="684"/>
      <c r="CED77" s="684"/>
      <c r="CEE77" s="684"/>
      <c r="CEF77" s="684"/>
      <c r="CEG77" s="684"/>
      <c r="CEH77" s="684"/>
      <c r="CEI77" s="684"/>
      <c r="CEJ77" s="684"/>
      <c r="CEK77" s="684"/>
      <c r="CEL77" s="684"/>
      <c r="CEM77" s="684"/>
      <c r="CEN77" s="684"/>
      <c r="CEO77" s="684"/>
      <c r="CEP77" s="684"/>
      <c r="CEQ77" s="684"/>
      <c r="CER77" s="684"/>
      <c r="CES77" s="684"/>
      <c r="CET77" s="684"/>
      <c r="CEU77" s="684"/>
      <c r="CEV77" s="684"/>
      <c r="CEW77" s="684"/>
      <c r="CEX77" s="684"/>
      <c r="CEY77" s="684"/>
      <c r="CEZ77" s="684"/>
      <c r="CFA77" s="684"/>
      <c r="CFB77" s="684"/>
      <c r="CFC77" s="684"/>
      <c r="CFD77" s="684"/>
      <c r="CFE77" s="684"/>
      <c r="CFF77" s="684"/>
      <c r="CFG77" s="684"/>
      <c r="CFH77" s="684"/>
      <c r="CFI77" s="684"/>
      <c r="CFJ77" s="684"/>
      <c r="CFK77" s="684"/>
      <c r="CFL77" s="684"/>
      <c r="CFM77" s="684"/>
      <c r="CFN77" s="684"/>
      <c r="CFO77" s="684"/>
      <c r="CFP77" s="684"/>
      <c r="CFQ77" s="684"/>
      <c r="CFR77" s="684"/>
      <c r="CFS77" s="684"/>
      <c r="CFT77" s="684"/>
      <c r="CFU77" s="684"/>
      <c r="CFV77" s="684"/>
      <c r="CFW77" s="684"/>
      <c r="CFX77" s="684"/>
      <c r="CFY77" s="684"/>
      <c r="CFZ77" s="684"/>
      <c r="CGA77" s="684"/>
      <c r="CGB77" s="684"/>
      <c r="CGC77" s="684"/>
      <c r="CGD77" s="684"/>
      <c r="CGE77" s="684"/>
      <c r="CGF77" s="684"/>
      <c r="CGG77" s="684"/>
      <c r="CGH77" s="684"/>
      <c r="CGI77" s="684"/>
      <c r="CGJ77" s="684"/>
      <c r="CGK77" s="684"/>
      <c r="CGL77" s="684"/>
      <c r="CGM77" s="684"/>
      <c r="CGN77" s="684"/>
      <c r="CGO77" s="684"/>
      <c r="CGP77" s="684"/>
      <c r="CGQ77" s="684"/>
      <c r="CGR77" s="684"/>
      <c r="CGS77" s="684"/>
      <c r="CGT77" s="684"/>
      <c r="CGU77" s="684"/>
      <c r="CGV77" s="684"/>
      <c r="CGW77" s="684"/>
      <c r="CGX77" s="684"/>
      <c r="CGY77" s="684"/>
      <c r="CGZ77" s="684"/>
      <c r="CHA77" s="684"/>
      <c r="CHB77" s="684"/>
      <c r="CHC77" s="684"/>
      <c r="CHD77" s="684"/>
      <c r="CHE77" s="684"/>
      <c r="CHF77" s="684"/>
      <c r="CHG77" s="684"/>
      <c r="CHH77" s="684"/>
      <c r="CHI77" s="684"/>
      <c r="CHJ77" s="684"/>
      <c r="CHK77" s="684"/>
      <c r="CHL77" s="684"/>
      <c r="CHM77" s="684"/>
      <c r="CHN77" s="684"/>
      <c r="CHO77" s="684"/>
      <c r="CHP77" s="684"/>
      <c r="CHQ77" s="684"/>
      <c r="CHR77" s="684"/>
      <c r="CHS77" s="684"/>
      <c r="CHT77" s="684"/>
      <c r="CHU77" s="684"/>
      <c r="CHV77" s="684"/>
      <c r="CHW77" s="684"/>
      <c r="CHX77" s="684"/>
      <c r="CHY77" s="684"/>
      <c r="CHZ77" s="684"/>
      <c r="CIA77" s="684"/>
      <c r="CIB77" s="684"/>
      <c r="CIC77" s="684"/>
      <c r="CID77" s="684"/>
      <c r="CIE77" s="684"/>
      <c r="CIF77" s="684"/>
      <c r="CIG77" s="684"/>
      <c r="CIH77" s="684"/>
      <c r="CII77" s="684"/>
      <c r="CIJ77" s="684"/>
      <c r="CIK77" s="684"/>
      <c r="CIL77" s="684"/>
      <c r="CIM77" s="684"/>
      <c r="CIN77" s="684"/>
      <c r="CIO77" s="684"/>
      <c r="CIP77" s="684"/>
      <c r="CIQ77" s="684"/>
      <c r="CIR77" s="684"/>
      <c r="CIS77" s="684"/>
      <c r="CIT77" s="684"/>
      <c r="CIU77" s="684"/>
      <c r="CIV77" s="684"/>
      <c r="CIW77" s="684"/>
      <c r="CIX77" s="684"/>
      <c r="CIY77" s="684"/>
      <c r="CIZ77" s="684"/>
      <c r="CJA77" s="684"/>
      <c r="CJB77" s="684"/>
      <c r="CJC77" s="684"/>
      <c r="CJD77" s="684"/>
      <c r="CJE77" s="684"/>
      <c r="CJF77" s="684"/>
      <c r="CJG77" s="684"/>
      <c r="CJH77" s="684"/>
      <c r="CJI77" s="684"/>
      <c r="CJJ77" s="684"/>
      <c r="CJK77" s="684"/>
      <c r="CJL77" s="684"/>
      <c r="CJM77" s="684"/>
      <c r="CJN77" s="684"/>
      <c r="CJO77" s="684"/>
      <c r="CJP77" s="684"/>
      <c r="CJQ77" s="684"/>
      <c r="CJR77" s="684"/>
      <c r="CJS77" s="684"/>
      <c r="CJT77" s="684"/>
      <c r="CJU77" s="684"/>
      <c r="CJV77" s="684"/>
      <c r="CJW77" s="684"/>
      <c r="CJX77" s="684"/>
      <c r="CJY77" s="684"/>
      <c r="CJZ77" s="684"/>
      <c r="CKA77" s="684"/>
      <c r="CKB77" s="684"/>
      <c r="CKC77" s="684"/>
      <c r="CKD77" s="684"/>
      <c r="CKE77" s="684"/>
      <c r="CKF77" s="684"/>
      <c r="CKG77" s="684"/>
      <c r="CKH77" s="684"/>
      <c r="CKI77" s="684"/>
      <c r="CKJ77" s="684"/>
      <c r="CKK77" s="684"/>
      <c r="CKL77" s="684"/>
      <c r="CKM77" s="684"/>
      <c r="CKN77" s="684"/>
      <c r="CKO77" s="684"/>
      <c r="CKP77" s="684"/>
      <c r="CKQ77" s="684"/>
      <c r="CKR77" s="684"/>
      <c r="CKS77" s="684"/>
      <c r="CKT77" s="684"/>
      <c r="CKU77" s="684"/>
      <c r="CKV77" s="684"/>
      <c r="CKW77" s="684"/>
      <c r="CKX77" s="684"/>
      <c r="CKY77" s="684"/>
      <c r="CKZ77" s="684"/>
      <c r="CLA77" s="684"/>
      <c r="CLB77" s="684"/>
      <c r="CLC77" s="684"/>
      <c r="CLD77" s="684"/>
      <c r="CLE77" s="684"/>
      <c r="CLF77" s="684"/>
      <c r="CLG77" s="684"/>
      <c r="CLH77" s="684"/>
      <c r="CLI77" s="684"/>
      <c r="CLJ77" s="684"/>
      <c r="CLK77" s="684"/>
      <c r="CLL77" s="684"/>
      <c r="CLM77" s="684"/>
      <c r="CLN77" s="684"/>
      <c r="CLO77" s="684"/>
      <c r="CLP77" s="684"/>
      <c r="CLQ77" s="684"/>
      <c r="CLR77" s="684"/>
      <c r="CLS77" s="684"/>
      <c r="CLT77" s="684"/>
      <c r="CLU77" s="684"/>
      <c r="CLV77" s="684"/>
      <c r="CLW77" s="684"/>
      <c r="CLX77" s="684"/>
      <c r="CLY77" s="684"/>
      <c r="CLZ77" s="684"/>
      <c r="CMA77" s="684"/>
      <c r="CMB77" s="684"/>
      <c r="CMC77" s="684"/>
      <c r="CMD77" s="684"/>
      <c r="CME77" s="684"/>
      <c r="CMF77" s="684"/>
      <c r="CMG77" s="684"/>
      <c r="CMH77" s="684"/>
      <c r="CMI77" s="684"/>
      <c r="CMJ77" s="684"/>
      <c r="CMK77" s="684"/>
      <c r="CML77" s="684"/>
      <c r="CMM77" s="684"/>
      <c r="CMN77" s="684"/>
      <c r="CMO77" s="684"/>
      <c r="CMP77" s="684"/>
      <c r="CMQ77" s="684"/>
      <c r="CMR77" s="684"/>
      <c r="CMS77" s="684"/>
      <c r="CMT77" s="684"/>
      <c r="CMU77" s="684"/>
      <c r="CMV77" s="684"/>
      <c r="CMW77" s="684"/>
      <c r="CMX77" s="684"/>
      <c r="CMY77" s="684"/>
      <c r="CMZ77" s="684"/>
      <c r="CNA77" s="684"/>
      <c r="CNB77" s="684"/>
      <c r="CNC77" s="684"/>
      <c r="CND77" s="684"/>
      <c r="CNE77" s="684"/>
      <c r="CNF77" s="684"/>
      <c r="CNG77" s="684"/>
      <c r="CNH77" s="684"/>
      <c r="CNI77" s="684"/>
      <c r="CNJ77" s="684"/>
      <c r="CNK77" s="684"/>
      <c r="CNL77" s="684"/>
      <c r="CNM77" s="684"/>
      <c r="CNN77" s="684"/>
      <c r="CNO77" s="684"/>
      <c r="CNP77" s="684"/>
      <c r="CNQ77" s="684"/>
      <c r="CNR77" s="684"/>
      <c r="CNS77" s="684"/>
      <c r="CNT77" s="684"/>
      <c r="CNU77" s="684"/>
      <c r="CNV77" s="684"/>
      <c r="CNW77" s="684"/>
      <c r="CNX77" s="684"/>
      <c r="CNY77" s="684"/>
      <c r="CNZ77" s="684"/>
      <c r="COA77" s="684"/>
      <c r="COB77" s="684"/>
      <c r="COC77" s="684"/>
      <c r="COD77" s="684"/>
      <c r="COE77" s="684"/>
      <c r="COF77" s="684"/>
      <c r="COG77" s="684"/>
      <c r="COH77" s="684"/>
      <c r="COI77" s="684"/>
      <c r="COJ77" s="684"/>
      <c r="COK77" s="684"/>
      <c r="COL77" s="684"/>
      <c r="COM77" s="684"/>
      <c r="CON77" s="684"/>
      <c r="COO77" s="684"/>
      <c r="COP77" s="684"/>
      <c r="COQ77" s="684"/>
      <c r="COR77" s="684"/>
      <c r="COS77" s="684"/>
      <c r="COT77" s="684"/>
      <c r="COU77" s="684"/>
      <c r="COV77" s="684"/>
      <c r="COW77" s="684"/>
      <c r="COX77" s="684"/>
      <c r="COY77" s="684"/>
      <c r="COZ77" s="684"/>
      <c r="CPA77" s="684"/>
      <c r="CPB77" s="684"/>
      <c r="CPC77" s="684"/>
      <c r="CPD77" s="684"/>
      <c r="CPE77" s="684"/>
      <c r="CPF77" s="684"/>
      <c r="CPG77" s="684"/>
      <c r="CPH77" s="684"/>
      <c r="CPI77" s="684"/>
      <c r="CPJ77" s="684"/>
      <c r="CPK77" s="684"/>
      <c r="CPL77" s="684"/>
      <c r="CPM77" s="684"/>
      <c r="CPN77" s="684"/>
      <c r="CPO77" s="684"/>
      <c r="CPP77" s="684"/>
      <c r="CPQ77" s="684"/>
      <c r="CPR77" s="684"/>
      <c r="CPS77" s="684"/>
      <c r="CPT77" s="684"/>
      <c r="CPU77" s="684"/>
      <c r="CPV77" s="684"/>
      <c r="CPW77" s="684"/>
      <c r="CPX77" s="684"/>
      <c r="CPY77" s="684"/>
      <c r="CPZ77" s="684"/>
      <c r="CQA77" s="684"/>
      <c r="CQB77" s="684"/>
      <c r="CQC77" s="684"/>
      <c r="CQD77" s="684"/>
      <c r="CQE77" s="684"/>
      <c r="CQF77" s="684"/>
      <c r="CQG77" s="684"/>
      <c r="CQH77" s="684"/>
      <c r="CQI77" s="684"/>
      <c r="CQJ77" s="684"/>
      <c r="CQK77" s="684"/>
      <c r="CQL77" s="684"/>
      <c r="CQM77" s="684"/>
      <c r="CQN77" s="684"/>
      <c r="CQO77" s="684"/>
      <c r="CQP77" s="684"/>
      <c r="CQQ77" s="684"/>
      <c r="CQR77" s="684"/>
      <c r="CQS77" s="684"/>
      <c r="CQT77" s="684"/>
      <c r="CQU77" s="684"/>
      <c r="CQV77" s="684"/>
      <c r="CQW77" s="684"/>
      <c r="CQX77" s="684"/>
      <c r="CQY77" s="684"/>
      <c r="CQZ77" s="684"/>
      <c r="CRA77" s="684"/>
      <c r="CRB77" s="684"/>
      <c r="CRC77" s="684"/>
      <c r="CRD77" s="684"/>
      <c r="CRE77" s="684"/>
      <c r="CRF77" s="684"/>
      <c r="CRG77" s="684"/>
      <c r="CRH77" s="684"/>
      <c r="CRI77" s="684"/>
      <c r="CRJ77" s="684"/>
      <c r="CRK77" s="684"/>
      <c r="CRL77" s="684"/>
      <c r="CRM77" s="684"/>
      <c r="CRN77" s="684"/>
      <c r="CRO77" s="684"/>
      <c r="CRP77" s="684"/>
      <c r="CRQ77" s="684"/>
      <c r="CRR77" s="684"/>
      <c r="CRS77" s="684"/>
      <c r="CRT77" s="684"/>
      <c r="CRU77" s="684"/>
      <c r="CRV77" s="684"/>
      <c r="CRW77" s="684"/>
      <c r="CRX77" s="684"/>
      <c r="CRY77" s="684"/>
      <c r="CRZ77" s="684"/>
      <c r="CSA77" s="684"/>
      <c r="CSB77" s="684"/>
      <c r="CSC77" s="684"/>
      <c r="CSD77" s="684"/>
      <c r="CSE77" s="684"/>
      <c r="CSF77" s="684"/>
      <c r="CSG77" s="684"/>
      <c r="CSH77" s="684"/>
      <c r="CSI77" s="684"/>
      <c r="CSJ77" s="684"/>
      <c r="CSK77" s="684"/>
      <c r="CSL77" s="684"/>
      <c r="CSM77" s="684"/>
      <c r="CSN77" s="684"/>
      <c r="CSO77" s="684"/>
      <c r="CSP77" s="684"/>
      <c r="CSQ77" s="684"/>
      <c r="CSR77" s="684"/>
      <c r="CSS77" s="684"/>
      <c r="CST77" s="684"/>
      <c r="CSU77" s="684"/>
      <c r="CSV77" s="684"/>
      <c r="CSW77" s="684"/>
      <c r="CSX77" s="684"/>
      <c r="CSY77" s="684"/>
      <c r="CSZ77" s="684"/>
      <c r="CTA77" s="684"/>
      <c r="CTB77" s="684"/>
      <c r="CTC77" s="684"/>
      <c r="CTD77" s="684"/>
      <c r="CTE77" s="684"/>
      <c r="CTF77" s="684"/>
      <c r="CTG77" s="684"/>
      <c r="CTH77" s="684"/>
      <c r="CTI77" s="684"/>
      <c r="CTJ77" s="684"/>
      <c r="CTK77" s="684"/>
      <c r="CTL77" s="684"/>
      <c r="CTM77" s="684"/>
      <c r="CTN77" s="684"/>
      <c r="CTO77" s="684"/>
      <c r="CTP77" s="684"/>
      <c r="CTQ77" s="684"/>
      <c r="CTR77" s="684"/>
      <c r="CTS77" s="684"/>
      <c r="CTT77" s="684"/>
      <c r="CTU77" s="684"/>
      <c r="CTV77" s="684"/>
      <c r="CTW77" s="684"/>
      <c r="CTX77" s="684"/>
      <c r="CTY77" s="684"/>
      <c r="CTZ77" s="684"/>
      <c r="CUA77" s="684"/>
      <c r="CUB77" s="684"/>
      <c r="CUC77" s="684"/>
      <c r="CUD77" s="684"/>
      <c r="CUE77" s="684"/>
      <c r="CUF77" s="684"/>
      <c r="CUG77" s="684"/>
      <c r="CUH77" s="684"/>
      <c r="CUI77" s="684"/>
      <c r="CUJ77" s="684"/>
      <c r="CUK77" s="684"/>
      <c r="CUL77" s="684"/>
      <c r="CUM77" s="684"/>
      <c r="CUN77" s="684"/>
      <c r="CUO77" s="684"/>
      <c r="CUP77" s="684"/>
      <c r="CUQ77" s="684"/>
      <c r="CUR77" s="684"/>
      <c r="CUS77" s="684"/>
      <c r="CUT77" s="684"/>
      <c r="CUU77" s="684"/>
      <c r="CUV77" s="684"/>
      <c r="CUW77" s="684"/>
      <c r="CUX77" s="684"/>
      <c r="CUY77" s="684"/>
      <c r="CUZ77" s="684"/>
      <c r="CVA77" s="684"/>
      <c r="CVB77" s="684"/>
      <c r="CVC77" s="684"/>
      <c r="CVD77" s="684"/>
      <c r="CVE77" s="684"/>
      <c r="CVF77" s="684"/>
      <c r="CVG77" s="684"/>
      <c r="CVH77" s="684"/>
      <c r="CVI77" s="684"/>
      <c r="CVJ77" s="684"/>
      <c r="CVK77" s="684"/>
      <c r="CVL77" s="684"/>
      <c r="CVM77" s="684"/>
      <c r="CVN77" s="684"/>
      <c r="CVO77" s="684"/>
      <c r="CVP77" s="684"/>
      <c r="CVQ77" s="684"/>
      <c r="CVR77" s="684"/>
      <c r="CVS77" s="684"/>
      <c r="CVT77" s="684"/>
      <c r="CVU77" s="684"/>
      <c r="CVV77" s="684"/>
      <c r="CVW77" s="684"/>
      <c r="CVX77" s="684"/>
      <c r="CVY77" s="684"/>
      <c r="CVZ77" s="684"/>
      <c r="CWA77" s="684"/>
      <c r="CWB77" s="684"/>
      <c r="CWC77" s="684"/>
      <c r="CWD77" s="684"/>
      <c r="CWE77" s="684"/>
      <c r="CWF77" s="684"/>
      <c r="CWG77" s="684"/>
      <c r="CWH77" s="684"/>
      <c r="CWI77" s="684"/>
      <c r="CWJ77" s="684"/>
      <c r="CWK77" s="684"/>
      <c r="CWL77" s="684"/>
      <c r="CWM77" s="684"/>
      <c r="CWN77" s="684"/>
      <c r="CWO77" s="684"/>
      <c r="CWP77" s="684"/>
      <c r="CWQ77" s="684"/>
      <c r="CWR77" s="684"/>
      <c r="CWS77" s="684"/>
      <c r="CWT77" s="684"/>
      <c r="CWU77" s="684"/>
      <c r="CWV77" s="684"/>
      <c r="CWW77" s="684"/>
      <c r="CWX77" s="684"/>
      <c r="CWY77" s="684"/>
      <c r="CWZ77" s="684"/>
      <c r="CXA77" s="684"/>
      <c r="CXB77" s="684"/>
      <c r="CXC77" s="684"/>
      <c r="CXD77" s="684"/>
      <c r="CXE77" s="684"/>
      <c r="CXF77" s="684"/>
      <c r="CXG77" s="684"/>
      <c r="CXH77" s="684"/>
      <c r="CXI77" s="684"/>
      <c r="CXJ77" s="684"/>
      <c r="CXK77" s="684"/>
      <c r="CXL77" s="684"/>
      <c r="CXM77" s="684"/>
      <c r="CXN77" s="684"/>
      <c r="CXO77" s="684"/>
      <c r="CXP77" s="684"/>
      <c r="CXQ77" s="684"/>
      <c r="CXR77" s="684"/>
      <c r="CXS77" s="684"/>
      <c r="CXT77" s="684"/>
      <c r="CXU77" s="684"/>
      <c r="CXV77" s="684"/>
      <c r="CXW77" s="684"/>
      <c r="CXX77" s="684"/>
      <c r="CXY77" s="684"/>
      <c r="CXZ77" s="684"/>
      <c r="CYA77" s="684"/>
      <c r="CYB77" s="684"/>
      <c r="CYC77" s="684"/>
      <c r="CYD77" s="684"/>
      <c r="CYE77" s="684"/>
      <c r="CYF77" s="684"/>
      <c r="CYG77" s="684"/>
      <c r="CYH77" s="684"/>
      <c r="CYI77" s="684"/>
      <c r="CYJ77" s="684"/>
      <c r="CYK77" s="684"/>
      <c r="CYL77" s="684"/>
      <c r="CYM77" s="684"/>
      <c r="CYN77" s="684"/>
      <c r="CYO77" s="684"/>
      <c r="CYP77" s="684"/>
      <c r="CYQ77" s="684"/>
      <c r="CYR77" s="684"/>
      <c r="CYS77" s="684"/>
      <c r="CYT77" s="684"/>
      <c r="CYU77" s="684"/>
      <c r="CYV77" s="684"/>
      <c r="CYW77" s="684"/>
      <c r="CYX77" s="684"/>
      <c r="CYY77" s="684"/>
      <c r="CYZ77" s="684"/>
      <c r="CZA77" s="684"/>
      <c r="CZB77" s="684"/>
      <c r="CZC77" s="684"/>
      <c r="CZD77" s="684"/>
      <c r="CZE77" s="684"/>
      <c r="CZF77" s="684"/>
      <c r="CZG77" s="684"/>
      <c r="CZH77" s="684"/>
      <c r="CZI77" s="684"/>
      <c r="CZJ77" s="684"/>
      <c r="CZK77" s="684"/>
      <c r="CZL77" s="684"/>
      <c r="CZM77" s="684"/>
      <c r="CZN77" s="684"/>
      <c r="CZO77" s="684"/>
      <c r="CZP77" s="684"/>
      <c r="CZQ77" s="684"/>
      <c r="CZR77" s="684"/>
      <c r="CZS77" s="684"/>
      <c r="CZT77" s="684"/>
      <c r="CZU77" s="684"/>
      <c r="CZV77" s="684"/>
      <c r="CZW77" s="684"/>
      <c r="CZX77" s="684"/>
      <c r="CZY77" s="684"/>
      <c r="CZZ77" s="684"/>
      <c r="DAA77" s="684"/>
      <c r="DAB77" s="684"/>
      <c r="DAC77" s="684"/>
      <c r="DAD77" s="684"/>
      <c r="DAE77" s="684"/>
      <c r="DAF77" s="684"/>
      <c r="DAG77" s="684"/>
      <c r="DAH77" s="684"/>
      <c r="DAI77" s="684"/>
      <c r="DAJ77" s="684"/>
      <c r="DAK77" s="684"/>
      <c r="DAL77" s="684"/>
      <c r="DAM77" s="684"/>
      <c r="DAN77" s="684"/>
      <c r="DAO77" s="684"/>
      <c r="DAP77" s="684"/>
      <c r="DAQ77" s="684"/>
      <c r="DAR77" s="684"/>
      <c r="DAS77" s="684"/>
      <c r="DAT77" s="684"/>
      <c r="DAU77" s="684"/>
      <c r="DAV77" s="684"/>
      <c r="DAW77" s="684"/>
      <c r="DAX77" s="684"/>
      <c r="DAY77" s="684"/>
      <c r="DAZ77" s="684"/>
      <c r="DBA77" s="684"/>
      <c r="DBB77" s="684"/>
      <c r="DBC77" s="684"/>
      <c r="DBD77" s="684"/>
      <c r="DBE77" s="684"/>
      <c r="DBF77" s="684"/>
      <c r="DBG77" s="684"/>
      <c r="DBH77" s="684"/>
      <c r="DBI77" s="684"/>
      <c r="DBJ77" s="684"/>
      <c r="DBK77" s="684"/>
      <c r="DBL77" s="684"/>
      <c r="DBM77" s="684"/>
      <c r="DBN77" s="684"/>
      <c r="DBO77" s="684"/>
      <c r="DBP77" s="684"/>
      <c r="DBQ77" s="684"/>
      <c r="DBR77" s="684"/>
      <c r="DBS77" s="684"/>
      <c r="DBT77" s="684"/>
      <c r="DBU77" s="684"/>
      <c r="DBV77" s="684"/>
      <c r="DBW77" s="684"/>
      <c r="DBX77" s="684"/>
      <c r="DBY77" s="684"/>
      <c r="DBZ77" s="684"/>
      <c r="DCA77" s="684"/>
      <c r="DCB77" s="684"/>
      <c r="DCC77" s="684"/>
      <c r="DCD77" s="684"/>
      <c r="DCE77" s="684"/>
      <c r="DCF77" s="684"/>
      <c r="DCG77" s="684"/>
      <c r="DCH77" s="684"/>
      <c r="DCI77" s="684"/>
      <c r="DCJ77" s="684"/>
      <c r="DCK77" s="684"/>
      <c r="DCL77" s="684"/>
      <c r="DCM77" s="684"/>
      <c r="DCN77" s="684"/>
      <c r="DCO77" s="684"/>
      <c r="DCP77" s="684"/>
      <c r="DCQ77" s="684"/>
      <c r="DCR77" s="684"/>
      <c r="DCS77" s="684"/>
      <c r="DCT77" s="684"/>
      <c r="DCU77" s="684"/>
      <c r="DCV77" s="684"/>
      <c r="DCW77" s="684"/>
      <c r="DCX77" s="684"/>
      <c r="DCY77" s="684"/>
      <c r="DCZ77" s="684"/>
      <c r="DDA77" s="684"/>
      <c r="DDB77" s="684"/>
      <c r="DDC77" s="684"/>
      <c r="DDD77" s="684"/>
      <c r="DDE77" s="684"/>
      <c r="DDF77" s="684"/>
      <c r="DDG77" s="684"/>
      <c r="DDH77" s="684"/>
      <c r="DDI77" s="684"/>
      <c r="DDJ77" s="684"/>
      <c r="DDK77" s="684"/>
      <c r="DDL77" s="684"/>
      <c r="DDM77" s="684"/>
      <c r="DDN77" s="684"/>
      <c r="DDO77" s="684"/>
      <c r="DDP77" s="684"/>
      <c r="DDQ77" s="684"/>
      <c r="DDR77" s="684"/>
      <c r="DDS77" s="684"/>
      <c r="DDT77" s="684"/>
      <c r="DDU77" s="684"/>
      <c r="DDV77" s="684"/>
      <c r="DDW77" s="684"/>
      <c r="DDX77" s="684"/>
      <c r="DDY77" s="684"/>
      <c r="DDZ77" s="684"/>
      <c r="DEA77" s="684"/>
      <c r="DEB77" s="684"/>
      <c r="DEC77" s="684"/>
      <c r="DED77" s="684"/>
      <c r="DEE77" s="684"/>
      <c r="DEF77" s="684"/>
      <c r="DEG77" s="684"/>
      <c r="DEH77" s="684"/>
      <c r="DEI77" s="684"/>
      <c r="DEJ77" s="684"/>
      <c r="DEK77" s="684"/>
      <c r="DEL77" s="684"/>
      <c r="DEM77" s="684"/>
      <c r="DEN77" s="684"/>
      <c r="DEO77" s="684"/>
      <c r="DEP77" s="684"/>
      <c r="DEQ77" s="684"/>
      <c r="DER77" s="684"/>
      <c r="DES77" s="684"/>
      <c r="DET77" s="684"/>
      <c r="DEU77" s="684"/>
      <c r="DEV77" s="684"/>
      <c r="DEW77" s="684"/>
      <c r="DEX77" s="684"/>
      <c r="DEY77" s="684"/>
      <c r="DEZ77" s="684"/>
      <c r="DFA77" s="684"/>
      <c r="DFB77" s="684"/>
      <c r="DFC77" s="684"/>
      <c r="DFD77" s="684"/>
      <c r="DFE77" s="684"/>
      <c r="DFF77" s="684"/>
      <c r="DFG77" s="684"/>
      <c r="DFH77" s="684"/>
      <c r="DFI77" s="684"/>
      <c r="DFJ77" s="684"/>
      <c r="DFK77" s="684"/>
      <c r="DFL77" s="684"/>
      <c r="DFM77" s="684"/>
      <c r="DFN77" s="684"/>
      <c r="DFO77" s="684"/>
      <c r="DFP77" s="684"/>
      <c r="DFQ77" s="684"/>
      <c r="DFR77" s="684"/>
      <c r="DFS77" s="684"/>
      <c r="DFT77" s="684"/>
      <c r="DFU77" s="684"/>
      <c r="DFV77" s="684"/>
      <c r="DFW77" s="684"/>
      <c r="DFX77" s="684"/>
      <c r="DFY77" s="684"/>
      <c r="DFZ77" s="684"/>
      <c r="DGA77" s="684"/>
      <c r="DGB77" s="684"/>
      <c r="DGC77" s="684"/>
      <c r="DGD77" s="684"/>
      <c r="DGE77" s="684"/>
      <c r="DGF77" s="684"/>
      <c r="DGG77" s="684"/>
      <c r="DGH77" s="684"/>
      <c r="DGI77" s="684"/>
      <c r="DGJ77" s="684"/>
      <c r="DGK77" s="684"/>
      <c r="DGL77" s="684"/>
      <c r="DGM77" s="684"/>
      <c r="DGN77" s="684"/>
      <c r="DGO77" s="684"/>
      <c r="DGP77" s="684"/>
      <c r="DGQ77" s="684"/>
      <c r="DGR77" s="684"/>
      <c r="DGS77" s="684"/>
      <c r="DGT77" s="684"/>
      <c r="DGU77" s="684"/>
      <c r="DGV77" s="684"/>
      <c r="DGW77" s="684"/>
      <c r="DGX77" s="684"/>
      <c r="DGY77" s="684"/>
      <c r="DGZ77" s="684"/>
      <c r="DHA77" s="684"/>
      <c r="DHB77" s="684"/>
      <c r="DHC77" s="684"/>
      <c r="DHD77" s="684"/>
      <c r="DHE77" s="684"/>
      <c r="DHF77" s="684"/>
      <c r="DHG77" s="684"/>
      <c r="DHH77" s="684"/>
      <c r="DHI77" s="684"/>
      <c r="DHJ77" s="684"/>
      <c r="DHK77" s="684"/>
      <c r="DHL77" s="684"/>
      <c r="DHM77" s="684"/>
      <c r="DHN77" s="684"/>
      <c r="DHO77" s="684"/>
      <c r="DHP77" s="684"/>
      <c r="DHQ77" s="684"/>
      <c r="DHR77" s="684"/>
      <c r="DHS77" s="684"/>
      <c r="DHT77" s="684"/>
      <c r="DHU77" s="684"/>
      <c r="DHV77" s="684"/>
      <c r="DHW77" s="684"/>
      <c r="DHX77" s="684"/>
      <c r="DHY77" s="684"/>
      <c r="DHZ77" s="684"/>
      <c r="DIA77" s="684"/>
      <c r="DIB77" s="684"/>
      <c r="DIC77" s="684"/>
      <c r="DID77" s="684"/>
      <c r="DIE77" s="684"/>
      <c r="DIF77" s="684"/>
      <c r="DIG77" s="684"/>
      <c r="DIH77" s="684"/>
      <c r="DII77" s="684"/>
      <c r="DIJ77" s="684"/>
      <c r="DIK77" s="684"/>
      <c r="DIL77" s="684"/>
      <c r="DIM77" s="684"/>
      <c r="DIN77" s="684"/>
      <c r="DIO77" s="684"/>
      <c r="DIP77" s="684"/>
      <c r="DIQ77" s="684"/>
      <c r="DIR77" s="684"/>
      <c r="DIS77" s="684"/>
      <c r="DIT77" s="684"/>
      <c r="DIU77" s="684"/>
      <c r="DIV77" s="684"/>
      <c r="DIW77" s="684"/>
      <c r="DIX77" s="684"/>
      <c r="DIY77" s="684"/>
      <c r="DIZ77" s="684"/>
      <c r="DJA77" s="684"/>
      <c r="DJB77" s="684"/>
      <c r="DJC77" s="684"/>
      <c r="DJD77" s="684"/>
      <c r="DJE77" s="684"/>
      <c r="DJF77" s="684"/>
      <c r="DJG77" s="684"/>
      <c r="DJH77" s="684"/>
      <c r="DJI77" s="684"/>
      <c r="DJJ77" s="684"/>
      <c r="DJK77" s="684"/>
      <c r="DJL77" s="684"/>
      <c r="DJM77" s="684"/>
      <c r="DJN77" s="684"/>
      <c r="DJO77" s="684"/>
      <c r="DJP77" s="684"/>
      <c r="DJQ77" s="684"/>
      <c r="DJR77" s="684"/>
      <c r="DJS77" s="684"/>
      <c r="DJT77" s="684"/>
      <c r="DJU77" s="684"/>
      <c r="DJV77" s="684"/>
      <c r="DJW77" s="684"/>
      <c r="DJX77" s="684"/>
      <c r="DJY77" s="684"/>
      <c r="DJZ77" s="684"/>
      <c r="DKA77" s="684"/>
      <c r="DKB77" s="684"/>
      <c r="DKC77" s="684"/>
      <c r="DKD77" s="684"/>
      <c r="DKE77" s="684"/>
      <c r="DKF77" s="684"/>
      <c r="DKG77" s="684"/>
      <c r="DKH77" s="684"/>
      <c r="DKI77" s="684"/>
      <c r="DKJ77" s="684"/>
      <c r="DKK77" s="684"/>
      <c r="DKL77" s="684"/>
      <c r="DKM77" s="684"/>
      <c r="DKN77" s="684"/>
      <c r="DKO77" s="684"/>
      <c r="DKP77" s="684"/>
      <c r="DKQ77" s="684"/>
      <c r="DKR77" s="684"/>
      <c r="DKS77" s="684"/>
      <c r="DKT77" s="684"/>
      <c r="DKU77" s="684"/>
      <c r="DKV77" s="684"/>
      <c r="DKW77" s="684"/>
      <c r="DKX77" s="684"/>
      <c r="DKY77" s="684"/>
      <c r="DKZ77" s="684"/>
      <c r="DLA77" s="684"/>
      <c r="DLB77" s="684"/>
      <c r="DLC77" s="684"/>
      <c r="DLD77" s="684"/>
      <c r="DLE77" s="684"/>
      <c r="DLF77" s="684"/>
      <c r="DLG77" s="684"/>
      <c r="DLH77" s="684"/>
      <c r="DLI77" s="684"/>
      <c r="DLJ77" s="684"/>
      <c r="DLK77" s="684"/>
      <c r="DLL77" s="684"/>
      <c r="DLM77" s="684"/>
      <c r="DLN77" s="684"/>
      <c r="DLO77" s="684"/>
      <c r="DLP77" s="684"/>
      <c r="DLQ77" s="684"/>
      <c r="DLR77" s="684"/>
      <c r="DLS77" s="684"/>
      <c r="DLT77" s="684"/>
      <c r="DLU77" s="684"/>
      <c r="DLV77" s="684"/>
      <c r="DLW77" s="684"/>
      <c r="DLX77" s="684"/>
      <c r="DLY77" s="684"/>
      <c r="DLZ77" s="684"/>
      <c r="DMA77" s="684"/>
      <c r="DMB77" s="684"/>
      <c r="DMC77" s="684"/>
      <c r="DMD77" s="684"/>
      <c r="DME77" s="684"/>
      <c r="DMF77" s="684"/>
      <c r="DMG77" s="684"/>
      <c r="DMH77" s="684"/>
      <c r="DMI77" s="684"/>
      <c r="DMJ77" s="684"/>
      <c r="DMK77" s="684"/>
      <c r="DML77" s="684"/>
      <c r="DMM77" s="684"/>
      <c r="DMN77" s="684"/>
      <c r="DMO77" s="684"/>
      <c r="DMP77" s="684"/>
      <c r="DMQ77" s="684"/>
      <c r="DMR77" s="684"/>
      <c r="DMS77" s="684"/>
      <c r="DMT77" s="684"/>
      <c r="DMU77" s="684"/>
      <c r="DMV77" s="684"/>
      <c r="DMW77" s="684"/>
      <c r="DMX77" s="684"/>
      <c r="DMY77" s="684"/>
      <c r="DMZ77" s="684"/>
      <c r="DNA77" s="684"/>
      <c r="DNB77" s="684"/>
      <c r="DNC77" s="684"/>
      <c r="DND77" s="684"/>
      <c r="DNE77" s="684"/>
      <c r="DNF77" s="684"/>
      <c r="DNG77" s="684"/>
      <c r="DNH77" s="684"/>
      <c r="DNI77" s="684"/>
      <c r="DNJ77" s="684"/>
      <c r="DNK77" s="684"/>
      <c r="DNL77" s="684"/>
      <c r="DNM77" s="684"/>
      <c r="DNN77" s="684"/>
      <c r="DNO77" s="684"/>
      <c r="DNP77" s="684"/>
      <c r="DNQ77" s="684"/>
      <c r="DNR77" s="684"/>
      <c r="DNS77" s="684"/>
      <c r="DNT77" s="684"/>
      <c r="DNU77" s="684"/>
      <c r="DNV77" s="684"/>
      <c r="DNW77" s="684"/>
      <c r="DNX77" s="684"/>
      <c r="DNY77" s="684"/>
      <c r="DNZ77" s="684"/>
      <c r="DOA77" s="684"/>
      <c r="DOB77" s="684"/>
      <c r="DOC77" s="684"/>
      <c r="DOD77" s="684"/>
      <c r="DOE77" s="684"/>
      <c r="DOF77" s="684"/>
      <c r="DOG77" s="684"/>
      <c r="DOH77" s="684"/>
      <c r="DOI77" s="684"/>
      <c r="DOJ77" s="684"/>
      <c r="DOK77" s="684"/>
      <c r="DOL77" s="684"/>
      <c r="DOM77" s="684"/>
      <c r="DON77" s="684"/>
      <c r="DOO77" s="684"/>
      <c r="DOP77" s="684"/>
      <c r="DOQ77" s="684"/>
      <c r="DOR77" s="684"/>
      <c r="DOS77" s="684"/>
      <c r="DOT77" s="684"/>
      <c r="DOU77" s="684"/>
      <c r="DOV77" s="684"/>
      <c r="DOW77" s="684"/>
      <c r="DOX77" s="684"/>
      <c r="DOY77" s="684"/>
      <c r="DOZ77" s="684"/>
      <c r="DPA77" s="684"/>
      <c r="DPB77" s="684"/>
      <c r="DPC77" s="684"/>
      <c r="DPD77" s="684"/>
      <c r="DPE77" s="684"/>
      <c r="DPF77" s="684"/>
      <c r="DPG77" s="684"/>
      <c r="DPH77" s="684"/>
      <c r="DPI77" s="684"/>
      <c r="DPJ77" s="684"/>
      <c r="DPK77" s="684"/>
      <c r="DPL77" s="684"/>
      <c r="DPM77" s="684"/>
      <c r="DPN77" s="684"/>
      <c r="DPO77" s="684"/>
      <c r="DPP77" s="684"/>
      <c r="DPQ77" s="684"/>
      <c r="DPR77" s="684"/>
      <c r="DPS77" s="684"/>
      <c r="DPT77" s="684"/>
      <c r="DPU77" s="684"/>
      <c r="DPV77" s="684"/>
      <c r="DPW77" s="684"/>
      <c r="DPX77" s="684"/>
      <c r="DPY77" s="684"/>
      <c r="DPZ77" s="684"/>
      <c r="DQA77" s="684"/>
      <c r="DQB77" s="684"/>
      <c r="DQC77" s="684"/>
      <c r="DQD77" s="684"/>
      <c r="DQE77" s="684"/>
      <c r="DQF77" s="684"/>
      <c r="DQG77" s="684"/>
      <c r="DQH77" s="684"/>
      <c r="DQI77" s="684"/>
      <c r="DQJ77" s="684"/>
      <c r="DQK77" s="684"/>
      <c r="DQL77" s="684"/>
      <c r="DQM77" s="684"/>
      <c r="DQN77" s="684"/>
      <c r="DQO77" s="684"/>
      <c r="DQP77" s="684"/>
      <c r="DQQ77" s="684"/>
      <c r="DQR77" s="684"/>
      <c r="DQS77" s="684"/>
      <c r="DQT77" s="684"/>
      <c r="DQU77" s="684"/>
      <c r="DQV77" s="684"/>
      <c r="DQW77" s="684"/>
      <c r="DQX77" s="684"/>
      <c r="DQY77" s="684"/>
      <c r="DQZ77" s="684"/>
      <c r="DRA77" s="684"/>
      <c r="DRB77" s="684"/>
      <c r="DRC77" s="684"/>
      <c r="DRD77" s="684"/>
      <c r="DRE77" s="684"/>
      <c r="DRF77" s="684"/>
      <c r="DRG77" s="684"/>
      <c r="DRH77" s="684"/>
      <c r="DRI77" s="684"/>
      <c r="DRJ77" s="684"/>
      <c r="DRK77" s="684"/>
      <c r="DRL77" s="684"/>
      <c r="DRM77" s="684"/>
      <c r="DRN77" s="684"/>
      <c r="DRO77" s="684"/>
      <c r="DRP77" s="684"/>
      <c r="DRQ77" s="684"/>
      <c r="DRR77" s="684"/>
      <c r="DRS77" s="684"/>
      <c r="DRT77" s="684"/>
      <c r="DRU77" s="684"/>
      <c r="DRV77" s="684"/>
      <c r="DRW77" s="684"/>
      <c r="DRX77" s="684"/>
      <c r="DRY77" s="684"/>
      <c r="DRZ77" s="684"/>
      <c r="DSA77" s="684"/>
      <c r="DSB77" s="684"/>
      <c r="DSC77" s="684"/>
      <c r="DSD77" s="684"/>
      <c r="DSE77" s="684"/>
      <c r="DSF77" s="684"/>
      <c r="DSG77" s="684"/>
      <c r="DSH77" s="684"/>
      <c r="DSI77" s="684"/>
      <c r="DSJ77" s="684"/>
      <c r="DSK77" s="684"/>
      <c r="DSL77" s="684"/>
      <c r="DSM77" s="684"/>
      <c r="DSN77" s="684"/>
      <c r="DSO77" s="684"/>
      <c r="DSP77" s="684"/>
      <c r="DSQ77" s="684"/>
      <c r="DSR77" s="684"/>
      <c r="DSS77" s="684"/>
      <c r="DST77" s="684"/>
      <c r="DSU77" s="684"/>
      <c r="DSV77" s="684"/>
      <c r="DSW77" s="684"/>
      <c r="DSX77" s="684"/>
      <c r="DSY77" s="684"/>
      <c r="DSZ77" s="684"/>
      <c r="DTA77" s="684"/>
      <c r="DTB77" s="684"/>
      <c r="DTC77" s="684"/>
      <c r="DTD77" s="684"/>
      <c r="DTE77" s="684"/>
      <c r="DTF77" s="684"/>
      <c r="DTG77" s="684"/>
      <c r="DTH77" s="684"/>
      <c r="DTI77" s="684"/>
      <c r="DTJ77" s="684"/>
      <c r="DTK77" s="684"/>
      <c r="DTL77" s="684"/>
      <c r="DTM77" s="684"/>
      <c r="DTN77" s="684"/>
      <c r="DTO77" s="684"/>
      <c r="DTP77" s="684"/>
      <c r="DTQ77" s="684"/>
      <c r="DTR77" s="684"/>
      <c r="DTS77" s="684"/>
      <c r="DTT77" s="684"/>
      <c r="DTU77" s="684"/>
      <c r="DTV77" s="684"/>
      <c r="DTW77" s="684"/>
      <c r="DTX77" s="684"/>
      <c r="DTY77" s="684"/>
      <c r="DTZ77" s="684"/>
      <c r="DUA77" s="684"/>
      <c r="DUB77" s="684"/>
      <c r="DUC77" s="684"/>
      <c r="DUD77" s="684"/>
      <c r="DUE77" s="684"/>
      <c r="DUF77" s="684"/>
      <c r="DUG77" s="684"/>
      <c r="DUH77" s="684"/>
      <c r="DUI77" s="684"/>
      <c r="DUJ77" s="684"/>
      <c r="DUK77" s="684"/>
      <c r="DUL77" s="684"/>
      <c r="DUM77" s="684"/>
      <c r="DUN77" s="684"/>
      <c r="DUO77" s="684"/>
      <c r="DUP77" s="684"/>
      <c r="DUQ77" s="684"/>
      <c r="DUR77" s="684"/>
      <c r="DUS77" s="684"/>
      <c r="DUT77" s="684"/>
      <c r="DUU77" s="684"/>
      <c r="DUV77" s="684"/>
      <c r="DUW77" s="684"/>
      <c r="DUX77" s="684"/>
      <c r="DUY77" s="684"/>
      <c r="DUZ77" s="684"/>
      <c r="DVA77" s="684"/>
      <c r="DVB77" s="684"/>
      <c r="DVC77" s="684"/>
      <c r="DVD77" s="684"/>
      <c r="DVE77" s="684"/>
      <c r="DVF77" s="684"/>
      <c r="DVG77" s="684"/>
      <c r="DVH77" s="684"/>
      <c r="DVI77" s="684"/>
      <c r="DVJ77" s="684"/>
      <c r="DVK77" s="684"/>
      <c r="DVL77" s="684"/>
      <c r="DVM77" s="684"/>
      <c r="DVN77" s="684"/>
      <c r="DVO77" s="684"/>
      <c r="DVP77" s="684"/>
      <c r="DVQ77" s="684"/>
      <c r="DVR77" s="684"/>
      <c r="DVS77" s="684"/>
      <c r="DVT77" s="684"/>
      <c r="DVU77" s="684"/>
      <c r="DVV77" s="684"/>
      <c r="DVW77" s="684"/>
      <c r="DVX77" s="684"/>
      <c r="DVY77" s="684"/>
      <c r="DVZ77" s="684"/>
      <c r="DWA77" s="684"/>
      <c r="DWB77" s="684"/>
      <c r="DWC77" s="684"/>
      <c r="DWD77" s="684"/>
      <c r="DWE77" s="684"/>
      <c r="DWF77" s="684"/>
      <c r="DWG77" s="684"/>
      <c r="DWH77" s="684"/>
      <c r="DWI77" s="684"/>
      <c r="DWJ77" s="684"/>
      <c r="DWK77" s="684"/>
      <c r="DWL77" s="684"/>
      <c r="DWM77" s="684"/>
      <c r="DWN77" s="684"/>
      <c r="DWO77" s="684"/>
      <c r="DWP77" s="684"/>
      <c r="DWQ77" s="684"/>
      <c r="DWR77" s="684"/>
      <c r="DWS77" s="684"/>
      <c r="DWT77" s="684"/>
      <c r="DWU77" s="684"/>
      <c r="DWV77" s="684"/>
      <c r="DWW77" s="684"/>
      <c r="DWX77" s="684"/>
      <c r="DWY77" s="684"/>
      <c r="DWZ77" s="684"/>
      <c r="DXA77" s="684"/>
      <c r="DXB77" s="684"/>
      <c r="DXC77" s="684"/>
      <c r="DXD77" s="684"/>
      <c r="DXE77" s="684"/>
      <c r="DXF77" s="684"/>
      <c r="DXG77" s="684"/>
      <c r="DXH77" s="684"/>
      <c r="DXI77" s="684"/>
      <c r="DXJ77" s="684"/>
      <c r="DXK77" s="684"/>
      <c r="DXL77" s="684"/>
      <c r="DXM77" s="684"/>
      <c r="DXN77" s="684"/>
      <c r="DXO77" s="684"/>
      <c r="DXP77" s="684"/>
      <c r="DXQ77" s="684"/>
      <c r="DXR77" s="684"/>
      <c r="DXS77" s="684"/>
      <c r="DXT77" s="684"/>
      <c r="DXU77" s="684"/>
      <c r="DXV77" s="684"/>
      <c r="DXW77" s="684"/>
      <c r="DXX77" s="684"/>
      <c r="DXY77" s="684"/>
      <c r="DXZ77" s="684"/>
      <c r="DYA77" s="684"/>
      <c r="DYB77" s="684"/>
      <c r="DYC77" s="684"/>
      <c r="DYD77" s="684"/>
      <c r="DYE77" s="684"/>
      <c r="DYF77" s="684"/>
      <c r="DYG77" s="684"/>
      <c r="DYH77" s="684"/>
      <c r="DYI77" s="684"/>
      <c r="DYJ77" s="684"/>
      <c r="DYK77" s="684"/>
      <c r="DYL77" s="684"/>
      <c r="DYM77" s="684"/>
      <c r="DYN77" s="684"/>
      <c r="DYO77" s="684"/>
      <c r="DYP77" s="684"/>
      <c r="DYQ77" s="684"/>
      <c r="DYR77" s="684"/>
      <c r="DYS77" s="684"/>
      <c r="DYT77" s="684"/>
      <c r="DYU77" s="684"/>
      <c r="DYV77" s="684"/>
      <c r="DYW77" s="684"/>
      <c r="DYX77" s="684"/>
      <c r="DYY77" s="684"/>
      <c r="DYZ77" s="684"/>
      <c r="DZA77" s="684"/>
      <c r="DZB77" s="684"/>
      <c r="DZC77" s="684"/>
      <c r="DZD77" s="684"/>
      <c r="DZE77" s="684"/>
      <c r="DZF77" s="684"/>
      <c r="DZG77" s="684"/>
      <c r="DZH77" s="684"/>
      <c r="DZI77" s="684"/>
      <c r="DZJ77" s="684"/>
      <c r="DZK77" s="684"/>
      <c r="DZL77" s="684"/>
      <c r="DZM77" s="684"/>
      <c r="DZN77" s="684"/>
      <c r="DZO77" s="684"/>
      <c r="DZP77" s="684"/>
      <c r="DZQ77" s="684"/>
      <c r="DZR77" s="684"/>
      <c r="DZS77" s="684"/>
      <c r="DZT77" s="684"/>
      <c r="DZU77" s="684"/>
      <c r="DZV77" s="684"/>
      <c r="DZW77" s="684"/>
      <c r="DZX77" s="684"/>
      <c r="DZY77" s="684"/>
      <c r="DZZ77" s="684"/>
      <c r="EAA77" s="684"/>
      <c r="EAB77" s="684"/>
      <c r="EAC77" s="684"/>
      <c r="EAD77" s="684"/>
      <c r="EAE77" s="684"/>
      <c r="EAF77" s="684"/>
      <c r="EAG77" s="684"/>
      <c r="EAH77" s="684"/>
      <c r="EAI77" s="684"/>
      <c r="EAJ77" s="684"/>
      <c r="EAK77" s="684"/>
      <c r="EAL77" s="684"/>
      <c r="EAM77" s="684"/>
      <c r="EAN77" s="684"/>
      <c r="EAO77" s="684"/>
      <c r="EAP77" s="684"/>
      <c r="EAQ77" s="684"/>
      <c r="EAR77" s="684"/>
      <c r="EAS77" s="684"/>
      <c r="EAT77" s="684"/>
      <c r="EAU77" s="684"/>
      <c r="EAV77" s="684"/>
      <c r="EAW77" s="684"/>
      <c r="EAX77" s="684"/>
      <c r="EAY77" s="684"/>
      <c r="EAZ77" s="684"/>
      <c r="EBA77" s="684"/>
      <c r="EBB77" s="684"/>
      <c r="EBC77" s="684"/>
      <c r="EBD77" s="684"/>
      <c r="EBE77" s="684"/>
      <c r="EBF77" s="684"/>
      <c r="EBG77" s="684"/>
      <c r="EBH77" s="684"/>
      <c r="EBI77" s="684"/>
      <c r="EBJ77" s="684"/>
      <c r="EBK77" s="684"/>
      <c r="EBL77" s="684"/>
      <c r="EBM77" s="684"/>
      <c r="EBN77" s="684"/>
      <c r="EBO77" s="684"/>
      <c r="EBP77" s="684"/>
      <c r="EBQ77" s="684"/>
      <c r="EBR77" s="684"/>
      <c r="EBS77" s="684"/>
      <c r="EBT77" s="684"/>
      <c r="EBU77" s="684"/>
      <c r="EBV77" s="684"/>
      <c r="EBW77" s="684"/>
      <c r="EBX77" s="684"/>
      <c r="EBY77" s="684"/>
      <c r="EBZ77" s="684"/>
      <c r="ECA77" s="684"/>
      <c r="ECB77" s="684"/>
      <c r="ECC77" s="684"/>
      <c r="ECD77" s="684"/>
      <c r="ECE77" s="684"/>
      <c r="ECF77" s="684"/>
      <c r="ECG77" s="684"/>
      <c r="ECH77" s="684"/>
      <c r="ECI77" s="684"/>
      <c r="ECJ77" s="684"/>
      <c r="ECK77" s="684"/>
      <c r="ECL77" s="684"/>
      <c r="ECM77" s="684"/>
      <c r="ECN77" s="684"/>
      <c r="ECO77" s="684"/>
      <c r="ECP77" s="684"/>
      <c r="ECQ77" s="684"/>
      <c r="ECR77" s="684"/>
      <c r="ECS77" s="684"/>
      <c r="ECT77" s="684"/>
      <c r="ECU77" s="684"/>
      <c r="ECV77" s="684"/>
      <c r="ECW77" s="684"/>
      <c r="ECX77" s="684"/>
      <c r="ECY77" s="684"/>
      <c r="ECZ77" s="684"/>
      <c r="EDA77" s="684"/>
      <c r="EDB77" s="684"/>
      <c r="EDC77" s="684"/>
      <c r="EDD77" s="684"/>
      <c r="EDE77" s="684"/>
      <c r="EDF77" s="684"/>
      <c r="EDG77" s="684"/>
      <c r="EDH77" s="684"/>
      <c r="EDI77" s="684"/>
      <c r="EDJ77" s="684"/>
      <c r="EDK77" s="684"/>
      <c r="EDL77" s="684"/>
      <c r="EDM77" s="684"/>
      <c r="EDN77" s="684"/>
      <c r="EDO77" s="684"/>
      <c r="EDP77" s="684"/>
      <c r="EDQ77" s="684"/>
      <c r="EDR77" s="684"/>
      <c r="EDS77" s="684"/>
      <c r="EDT77" s="684"/>
      <c r="EDU77" s="684"/>
      <c r="EDV77" s="684"/>
      <c r="EDW77" s="684"/>
      <c r="EDX77" s="684"/>
      <c r="EDY77" s="684"/>
      <c r="EDZ77" s="684"/>
      <c r="EEA77" s="684"/>
      <c r="EEB77" s="684"/>
      <c r="EEC77" s="684"/>
      <c r="EED77" s="684"/>
      <c r="EEE77" s="684"/>
      <c r="EEF77" s="684"/>
      <c r="EEG77" s="684"/>
      <c r="EEH77" s="684"/>
      <c r="EEI77" s="684"/>
      <c r="EEJ77" s="684"/>
      <c r="EEK77" s="684"/>
      <c r="EEL77" s="684"/>
      <c r="EEM77" s="684"/>
      <c r="EEN77" s="684"/>
      <c r="EEO77" s="684"/>
      <c r="EEP77" s="684"/>
      <c r="EEQ77" s="684"/>
      <c r="EER77" s="684"/>
      <c r="EES77" s="684"/>
      <c r="EET77" s="684"/>
      <c r="EEU77" s="684"/>
      <c r="EEV77" s="684"/>
      <c r="EEW77" s="684"/>
      <c r="EEX77" s="684"/>
      <c r="EEY77" s="684"/>
      <c r="EEZ77" s="684"/>
      <c r="EFA77" s="684"/>
      <c r="EFB77" s="684"/>
      <c r="EFC77" s="684"/>
      <c r="EFD77" s="684"/>
      <c r="EFE77" s="684"/>
      <c r="EFF77" s="684"/>
      <c r="EFG77" s="684"/>
      <c r="EFH77" s="684"/>
      <c r="EFI77" s="684"/>
      <c r="EFJ77" s="684"/>
      <c r="EFK77" s="684"/>
      <c r="EFL77" s="684"/>
      <c r="EFM77" s="684"/>
      <c r="EFN77" s="684"/>
      <c r="EFO77" s="684"/>
      <c r="EFP77" s="684"/>
      <c r="EFQ77" s="684"/>
      <c r="EFR77" s="684"/>
      <c r="EFS77" s="684"/>
      <c r="EFT77" s="684"/>
      <c r="EFU77" s="684"/>
      <c r="EFV77" s="684"/>
      <c r="EFW77" s="684"/>
      <c r="EFX77" s="684"/>
      <c r="EFY77" s="684"/>
      <c r="EFZ77" s="684"/>
      <c r="EGA77" s="684"/>
      <c r="EGB77" s="684"/>
      <c r="EGC77" s="684"/>
      <c r="EGD77" s="684"/>
      <c r="EGE77" s="684"/>
      <c r="EGF77" s="684"/>
      <c r="EGG77" s="684"/>
      <c r="EGH77" s="684"/>
      <c r="EGI77" s="684"/>
      <c r="EGJ77" s="684"/>
      <c r="EGK77" s="684"/>
      <c r="EGL77" s="684"/>
      <c r="EGM77" s="684"/>
      <c r="EGN77" s="684"/>
      <c r="EGO77" s="684"/>
      <c r="EGP77" s="684"/>
      <c r="EGQ77" s="684"/>
      <c r="EGR77" s="684"/>
      <c r="EGS77" s="684"/>
      <c r="EGT77" s="684"/>
      <c r="EGU77" s="684"/>
      <c r="EGV77" s="684"/>
      <c r="EGW77" s="684"/>
      <c r="EGX77" s="684"/>
      <c r="EGY77" s="684"/>
      <c r="EGZ77" s="684"/>
      <c r="EHA77" s="684"/>
      <c r="EHB77" s="684"/>
      <c r="EHC77" s="684"/>
      <c r="EHD77" s="684"/>
      <c r="EHE77" s="684"/>
      <c r="EHF77" s="684"/>
      <c r="EHG77" s="684"/>
      <c r="EHH77" s="684"/>
      <c r="EHI77" s="684"/>
      <c r="EHJ77" s="684"/>
      <c r="EHK77" s="684"/>
      <c r="EHL77" s="684"/>
      <c r="EHM77" s="684"/>
      <c r="EHN77" s="684"/>
      <c r="EHO77" s="684"/>
      <c r="EHP77" s="684"/>
      <c r="EHQ77" s="684"/>
      <c r="EHR77" s="684"/>
      <c r="EHS77" s="684"/>
      <c r="EHT77" s="684"/>
      <c r="EHU77" s="684"/>
      <c r="EHV77" s="684"/>
      <c r="EHW77" s="684"/>
      <c r="EHX77" s="684"/>
      <c r="EHY77" s="684"/>
      <c r="EHZ77" s="684"/>
      <c r="EIA77" s="684"/>
      <c r="EIB77" s="684"/>
      <c r="EIC77" s="684"/>
      <c r="EID77" s="684"/>
      <c r="EIE77" s="684"/>
      <c r="EIF77" s="684"/>
      <c r="EIG77" s="684"/>
      <c r="EIH77" s="684"/>
      <c r="EII77" s="684"/>
      <c r="EIJ77" s="684"/>
      <c r="EIK77" s="684"/>
      <c r="EIL77" s="684"/>
      <c r="EIM77" s="684"/>
      <c r="EIN77" s="684"/>
      <c r="EIO77" s="684"/>
      <c r="EIP77" s="684"/>
      <c r="EIQ77" s="684"/>
      <c r="EIR77" s="684"/>
      <c r="EIS77" s="684"/>
      <c r="EIT77" s="684"/>
      <c r="EIU77" s="684"/>
      <c r="EIV77" s="684"/>
      <c r="EIW77" s="684"/>
      <c r="EIX77" s="684"/>
      <c r="EIY77" s="684"/>
      <c r="EIZ77" s="684"/>
      <c r="EJA77" s="684"/>
      <c r="EJB77" s="684"/>
      <c r="EJC77" s="684"/>
      <c r="EJD77" s="684"/>
      <c r="EJE77" s="684"/>
      <c r="EJF77" s="684"/>
      <c r="EJG77" s="684"/>
      <c r="EJH77" s="684"/>
      <c r="EJI77" s="684"/>
      <c r="EJJ77" s="684"/>
      <c r="EJK77" s="684"/>
      <c r="EJL77" s="684"/>
      <c r="EJM77" s="684"/>
      <c r="EJN77" s="684"/>
      <c r="EJO77" s="684"/>
      <c r="EJP77" s="684"/>
      <c r="EJQ77" s="684"/>
      <c r="EJR77" s="684"/>
      <c r="EJS77" s="684"/>
      <c r="EJT77" s="684"/>
      <c r="EJU77" s="684"/>
      <c r="EJV77" s="684"/>
      <c r="EJW77" s="684"/>
      <c r="EJX77" s="684"/>
      <c r="EJY77" s="684"/>
      <c r="EJZ77" s="684"/>
      <c r="EKA77" s="684"/>
      <c r="EKB77" s="684"/>
      <c r="EKC77" s="684"/>
      <c r="EKD77" s="684"/>
      <c r="EKE77" s="684"/>
      <c r="EKF77" s="684"/>
      <c r="EKG77" s="684"/>
      <c r="EKH77" s="684"/>
      <c r="EKI77" s="684"/>
      <c r="EKJ77" s="684"/>
      <c r="EKK77" s="684"/>
      <c r="EKL77" s="684"/>
      <c r="EKM77" s="684"/>
      <c r="EKN77" s="684"/>
      <c r="EKO77" s="684"/>
      <c r="EKP77" s="684"/>
      <c r="EKQ77" s="684"/>
      <c r="EKR77" s="684"/>
      <c r="EKS77" s="684"/>
      <c r="EKT77" s="684"/>
      <c r="EKU77" s="684"/>
      <c r="EKV77" s="684"/>
      <c r="EKW77" s="684"/>
      <c r="EKX77" s="684"/>
      <c r="EKY77" s="684"/>
      <c r="EKZ77" s="684"/>
      <c r="ELA77" s="684"/>
      <c r="ELB77" s="684"/>
      <c r="ELC77" s="684"/>
      <c r="ELD77" s="684"/>
      <c r="ELE77" s="684"/>
      <c r="ELF77" s="684"/>
      <c r="ELG77" s="684"/>
      <c r="ELH77" s="684"/>
      <c r="ELI77" s="684"/>
      <c r="ELJ77" s="684"/>
      <c r="ELK77" s="684"/>
      <c r="ELL77" s="684"/>
      <c r="ELM77" s="684"/>
      <c r="ELN77" s="684"/>
      <c r="ELO77" s="684"/>
      <c r="ELP77" s="684"/>
      <c r="ELQ77" s="684"/>
      <c r="ELR77" s="684"/>
      <c r="ELS77" s="684"/>
      <c r="ELT77" s="684"/>
      <c r="ELU77" s="684"/>
      <c r="ELV77" s="684"/>
      <c r="ELW77" s="684"/>
      <c r="ELX77" s="684"/>
      <c r="ELY77" s="684"/>
      <c r="ELZ77" s="684"/>
      <c r="EMA77" s="684"/>
      <c r="EMB77" s="684"/>
      <c r="EMC77" s="684"/>
      <c r="EMD77" s="684"/>
      <c r="EME77" s="684"/>
      <c r="EMF77" s="684"/>
      <c r="EMG77" s="684"/>
      <c r="EMH77" s="684"/>
      <c r="EMI77" s="684"/>
      <c r="EMJ77" s="684"/>
      <c r="EMK77" s="684"/>
      <c r="EML77" s="684"/>
      <c r="EMM77" s="684"/>
      <c r="EMN77" s="684"/>
      <c r="EMO77" s="684"/>
      <c r="EMP77" s="684"/>
      <c r="EMQ77" s="684"/>
      <c r="EMR77" s="684"/>
      <c r="EMS77" s="684"/>
      <c r="EMT77" s="684"/>
      <c r="EMU77" s="684"/>
      <c r="EMV77" s="684"/>
      <c r="EMW77" s="684"/>
      <c r="EMX77" s="684"/>
      <c r="EMY77" s="684"/>
      <c r="EMZ77" s="684"/>
      <c r="ENA77" s="684"/>
      <c r="ENB77" s="684"/>
      <c r="ENC77" s="684"/>
      <c r="END77" s="684"/>
      <c r="ENE77" s="684"/>
      <c r="ENF77" s="684"/>
      <c r="ENG77" s="684"/>
      <c r="ENH77" s="684"/>
      <c r="ENI77" s="684"/>
      <c r="ENJ77" s="684"/>
      <c r="ENK77" s="684"/>
      <c r="ENL77" s="684"/>
      <c r="ENM77" s="684"/>
      <c r="ENN77" s="684"/>
      <c r="ENO77" s="684"/>
      <c r="ENP77" s="684"/>
      <c r="ENQ77" s="684"/>
      <c r="ENR77" s="684"/>
      <c r="ENS77" s="684"/>
      <c r="ENT77" s="684"/>
      <c r="ENU77" s="684"/>
      <c r="ENV77" s="684"/>
      <c r="ENW77" s="684"/>
      <c r="ENX77" s="684"/>
      <c r="ENY77" s="684"/>
      <c r="ENZ77" s="684"/>
      <c r="EOA77" s="684"/>
      <c r="EOB77" s="684"/>
      <c r="EOC77" s="684"/>
      <c r="EOD77" s="684"/>
      <c r="EOE77" s="684"/>
      <c r="EOF77" s="684"/>
      <c r="EOG77" s="684"/>
      <c r="EOH77" s="684"/>
      <c r="EOI77" s="684"/>
      <c r="EOJ77" s="684"/>
      <c r="EOK77" s="684"/>
      <c r="EOL77" s="684"/>
      <c r="EOM77" s="684"/>
      <c r="EON77" s="684"/>
      <c r="EOO77" s="684"/>
      <c r="EOP77" s="684"/>
      <c r="EOQ77" s="684"/>
      <c r="EOR77" s="684"/>
      <c r="EOS77" s="684"/>
      <c r="EOT77" s="684"/>
      <c r="EOU77" s="684"/>
      <c r="EOV77" s="684"/>
      <c r="EOW77" s="684"/>
      <c r="EOX77" s="684"/>
      <c r="EOY77" s="684"/>
      <c r="EOZ77" s="684"/>
      <c r="EPA77" s="684"/>
      <c r="EPB77" s="684"/>
      <c r="EPC77" s="684"/>
      <c r="EPD77" s="684"/>
      <c r="EPE77" s="684"/>
      <c r="EPF77" s="684"/>
      <c r="EPG77" s="684"/>
      <c r="EPH77" s="684"/>
      <c r="EPI77" s="684"/>
      <c r="EPJ77" s="684"/>
      <c r="EPK77" s="684"/>
      <c r="EPL77" s="684"/>
      <c r="EPM77" s="684"/>
      <c r="EPN77" s="684"/>
      <c r="EPO77" s="684"/>
      <c r="EPP77" s="684"/>
      <c r="EPQ77" s="684"/>
      <c r="EPR77" s="684"/>
      <c r="EPS77" s="684"/>
      <c r="EPT77" s="684"/>
      <c r="EPU77" s="684"/>
      <c r="EPV77" s="684"/>
      <c r="EPW77" s="684"/>
      <c r="EPX77" s="684"/>
      <c r="EPY77" s="684"/>
      <c r="EPZ77" s="684"/>
      <c r="EQA77" s="684"/>
      <c r="EQB77" s="684"/>
      <c r="EQC77" s="684"/>
      <c r="EQD77" s="684"/>
      <c r="EQE77" s="684"/>
      <c r="EQF77" s="684"/>
      <c r="EQG77" s="684"/>
      <c r="EQH77" s="684"/>
      <c r="EQI77" s="684"/>
      <c r="EQJ77" s="684"/>
      <c r="EQK77" s="684"/>
      <c r="EQL77" s="684"/>
      <c r="EQM77" s="684"/>
      <c r="EQN77" s="684"/>
      <c r="EQO77" s="684"/>
      <c r="EQP77" s="684"/>
      <c r="EQQ77" s="684"/>
      <c r="EQR77" s="684"/>
      <c r="EQS77" s="684"/>
      <c r="EQT77" s="684"/>
      <c r="EQU77" s="684"/>
      <c r="EQV77" s="684"/>
      <c r="EQW77" s="684"/>
      <c r="EQX77" s="684"/>
      <c r="EQY77" s="684"/>
      <c r="EQZ77" s="684"/>
      <c r="ERA77" s="684"/>
      <c r="ERB77" s="684"/>
      <c r="ERC77" s="684"/>
      <c r="ERD77" s="684"/>
      <c r="ERE77" s="684"/>
      <c r="ERF77" s="684"/>
      <c r="ERG77" s="684"/>
      <c r="ERH77" s="684"/>
      <c r="ERI77" s="684"/>
      <c r="ERJ77" s="684"/>
      <c r="ERK77" s="684"/>
      <c r="ERL77" s="684"/>
      <c r="ERM77" s="684"/>
      <c r="ERN77" s="684"/>
      <c r="ERO77" s="684"/>
      <c r="ERP77" s="684"/>
      <c r="ERQ77" s="684"/>
      <c r="ERR77" s="684"/>
      <c r="ERS77" s="684"/>
      <c r="ERT77" s="684"/>
      <c r="ERU77" s="684"/>
      <c r="ERV77" s="684"/>
      <c r="ERW77" s="684"/>
      <c r="ERX77" s="684"/>
      <c r="ERY77" s="684"/>
      <c r="ERZ77" s="684"/>
      <c r="ESA77" s="684"/>
      <c r="ESB77" s="684"/>
      <c r="ESC77" s="684"/>
      <c r="ESD77" s="684"/>
      <c r="ESE77" s="684"/>
      <c r="ESF77" s="684"/>
      <c r="ESG77" s="684"/>
      <c r="ESH77" s="684"/>
      <c r="ESI77" s="684"/>
      <c r="ESJ77" s="684"/>
      <c r="ESK77" s="684"/>
      <c r="ESL77" s="684"/>
      <c r="ESM77" s="684"/>
      <c r="ESN77" s="684"/>
      <c r="ESO77" s="684"/>
      <c r="ESP77" s="684"/>
      <c r="ESQ77" s="684"/>
      <c r="ESR77" s="684"/>
      <c r="ESS77" s="684"/>
      <c r="EST77" s="684"/>
      <c r="ESU77" s="684"/>
      <c r="ESV77" s="684"/>
      <c r="ESW77" s="684"/>
      <c r="ESX77" s="684"/>
      <c r="ESY77" s="684"/>
      <c r="ESZ77" s="684"/>
      <c r="ETA77" s="684"/>
      <c r="ETB77" s="684"/>
      <c r="ETC77" s="684"/>
      <c r="ETD77" s="684"/>
      <c r="ETE77" s="684"/>
      <c r="ETF77" s="684"/>
      <c r="ETG77" s="684"/>
      <c r="ETH77" s="684"/>
      <c r="ETI77" s="684"/>
      <c r="ETJ77" s="684"/>
      <c r="ETK77" s="684"/>
      <c r="ETL77" s="684"/>
      <c r="ETM77" s="684"/>
      <c r="ETN77" s="684"/>
      <c r="ETO77" s="684"/>
      <c r="ETP77" s="684"/>
      <c r="ETQ77" s="684"/>
      <c r="ETR77" s="684"/>
      <c r="ETS77" s="684"/>
      <c r="ETT77" s="684"/>
      <c r="ETU77" s="684"/>
      <c r="ETV77" s="684"/>
      <c r="ETW77" s="684"/>
      <c r="ETX77" s="684"/>
      <c r="ETY77" s="684"/>
      <c r="ETZ77" s="684"/>
      <c r="EUA77" s="684"/>
      <c r="EUB77" s="684"/>
      <c r="EUC77" s="684"/>
      <c r="EUD77" s="684"/>
      <c r="EUE77" s="684"/>
      <c r="EUF77" s="684"/>
      <c r="EUG77" s="684"/>
      <c r="EUH77" s="684"/>
      <c r="EUI77" s="684"/>
      <c r="EUJ77" s="684"/>
      <c r="EUK77" s="684"/>
      <c r="EUL77" s="684"/>
      <c r="EUM77" s="684"/>
      <c r="EUN77" s="684"/>
      <c r="EUO77" s="684"/>
      <c r="EUP77" s="684"/>
      <c r="EUQ77" s="684"/>
      <c r="EUR77" s="684"/>
      <c r="EUS77" s="684"/>
      <c r="EUT77" s="684"/>
      <c r="EUU77" s="684"/>
      <c r="EUV77" s="684"/>
      <c r="EUW77" s="684"/>
      <c r="EUX77" s="684"/>
      <c r="EUY77" s="684"/>
      <c r="EUZ77" s="684"/>
      <c r="EVA77" s="684"/>
      <c r="EVB77" s="684"/>
      <c r="EVC77" s="684"/>
      <c r="EVD77" s="684"/>
      <c r="EVE77" s="684"/>
      <c r="EVF77" s="684"/>
      <c r="EVG77" s="684"/>
      <c r="EVH77" s="684"/>
      <c r="EVI77" s="684"/>
      <c r="EVJ77" s="684"/>
      <c r="EVK77" s="684"/>
      <c r="EVL77" s="684"/>
      <c r="EVM77" s="684"/>
      <c r="EVN77" s="684"/>
      <c r="EVO77" s="684"/>
      <c r="EVP77" s="684"/>
      <c r="EVQ77" s="684"/>
      <c r="EVR77" s="684"/>
      <c r="EVS77" s="684"/>
      <c r="EVT77" s="684"/>
      <c r="EVU77" s="684"/>
      <c r="EVV77" s="684"/>
      <c r="EVW77" s="684"/>
      <c r="EVX77" s="684"/>
      <c r="EVY77" s="684"/>
      <c r="EVZ77" s="684"/>
      <c r="EWA77" s="684"/>
      <c r="EWB77" s="684"/>
      <c r="EWC77" s="684"/>
      <c r="EWD77" s="684"/>
      <c r="EWE77" s="684"/>
      <c r="EWF77" s="684"/>
      <c r="EWG77" s="684"/>
      <c r="EWH77" s="684"/>
      <c r="EWI77" s="684"/>
      <c r="EWJ77" s="684"/>
      <c r="EWK77" s="684"/>
      <c r="EWL77" s="684"/>
      <c r="EWM77" s="684"/>
      <c r="EWN77" s="684"/>
      <c r="EWO77" s="684"/>
      <c r="EWP77" s="684"/>
      <c r="EWQ77" s="684"/>
      <c r="EWR77" s="684"/>
      <c r="EWS77" s="684"/>
      <c r="EWT77" s="684"/>
      <c r="EWU77" s="684"/>
      <c r="EWV77" s="684"/>
      <c r="EWW77" s="684"/>
      <c r="EWX77" s="684"/>
      <c r="EWY77" s="684"/>
      <c r="EWZ77" s="684"/>
      <c r="EXA77" s="684"/>
      <c r="EXB77" s="684"/>
      <c r="EXC77" s="684"/>
      <c r="EXD77" s="684"/>
      <c r="EXE77" s="684"/>
      <c r="EXF77" s="684"/>
      <c r="EXG77" s="684"/>
      <c r="EXH77" s="684"/>
      <c r="EXI77" s="684"/>
      <c r="EXJ77" s="684"/>
      <c r="EXK77" s="684"/>
      <c r="EXL77" s="684"/>
      <c r="EXM77" s="684"/>
      <c r="EXN77" s="684"/>
      <c r="EXO77" s="684"/>
      <c r="EXP77" s="684"/>
      <c r="EXQ77" s="684"/>
      <c r="EXR77" s="684"/>
      <c r="EXS77" s="684"/>
      <c r="EXT77" s="684"/>
      <c r="EXU77" s="684"/>
      <c r="EXV77" s="684"/>
      <c r="EXW77" s="684"/>
      <c r="EXX77" s="684"/>
      <c r="EXY77" s="684"/>
      <c r="EXZ77" s="684"/>
      <c r="EYA77" s="684"/>
      <c r="EYB77" s="684"/>
      <c r="EYC77" s="684"/>
      <c r="EYD77" s="684"/>
      <c r="EYE77" s="684"/>
      <c r="EYF77" s="684"/>
      <c r="EYG77" s="684"/>
      <c r="EYH77" s="684"/>
      <c r="EYI77" s="684"/>
      <c r="EYJ77" s="684"/>
      <c r="EYK77" s="684"/>
      <c r="EYL77" s="684"/>
      <c r="EYM77" s="684"/>
      <c r="EYN77" s="684"/>
      <c r="EYO77" s="684"/>
      <c r="EYP77" s="684"/>
      <c r="EYQ77" s="684"/>
      <c r="EYR77" s="684"/>
      <c r="EYS77" s="684"/>
      <c r="EYT77" s="684"/>
      <c r="EYU77" s="684"/>
      <c r="EYV77" s="684"/>
      <c r="EYW77" s="684"/>
      <c r="EYX77" s="684"/>
      <c r="EYY77" s="684"/>
      <c r="EYZ77" s="684"/>
      <c r="EZA77" s="684"/>
      <c r="EZB77" s="684"/>
      <c r="EZC77" s="684"/>
      <c r="EZD77" s="684"/>
      <c r="EZE77" s="684"/>
      <c r="EZF77" s="684"/>
      <c r="EZG77" s="684"/>
      <c r="EZH77" s="684"/>
      <c r="EZI77" s="684"/>
      <c r="EZJ77" s="684"/>
      <c r="EZK77" s="684"/>
      <c r="EZL77" s="684"/>
      <c r="EZM77" s="684"/>
      <c r="EZN77" s="684"/>
      <c r="EZO77" s="684"/>
      <c r="EZP77" s="684"/>
      <c r="EZQ77" s="684"/>
      <c r="EZR77" s="684"/>
      <c r="EZS77" s="684"/>
      <c r="EZT77" s="684"/>
      <c r="EZU77" s="684"/>
      <c r="EZV77" s="684"/>
      <c r="EZW77" s="684"/>
      <c r="EZX77" s="684"/>
      <c r="EZY77" s="684"/>
      <c r="EZZ77" s="684"/>
      <c r="FAA77" s="684"/>
      <c r="FAB77" s="684"/>
      <c r="FAC77" s="684"/>
      <c r="FAD77" s="684"/>
      <c r="FAE77" s="684"/>
      <c r="FAF77" s="684"/>
      <c r="FAG77" s="684"/>
      <c r="FAH77" s="684"/>
      <c r="FAI77" s="684"/>
      <c r="FAJ77" s="684"/>
      <c r="FAK77" s="684"/>
      <c r="FAL77" s="684"/>
      <c r="FAM77" s="684"/>
      <c r="FAN77" s="684"/>
      <c r="FAO77" s="684"/>
      <c r="FAP77" s="684"/>
      <c r="FAQ77" s="684"/>
      <c r="FAR77" s="684"/>
      <c r="FAS77" s="684"/>
      <c r="FAT77" s="684"/>
      <c r="FAU77" s="684"/>
      <c r="FAV77" s="684"/>
      <c r="FAW77" s="684"/>
      <c r="FAX77" s="684"/>
      <c r="FAY77" s="684"/>
      <c r="FAZ77" s="684"/>
      <c r="FBA77" s="684"/>
      <c r="FBB77" s="684"/>
      <c r="FBC77" s="684"/>
      <c r="FBD77" s="684"/>
      <c r="FBE77" s="684"/>
      <c r="FBF77" s="684"/>
      <c r="FBG77" s="684"/>
      <c r="FBH77" s="684"/>
      <c r="FBI77" s="684"/>
      <c r="FBJ77" s="684"/>
      <c r="FBK77" s="684"/>
      <c r="FBL77" s="684"/>
      <c r="FBM77" s="684"/>
      <c r="FBN77" s="684"/>
      <c r="FBO77" s="684"/>
      <c r="FBP77" s="684"/>
      <c r="FBQ77" s="684"/>
      <c r="FBR77" s="684"/>
      <c r="FBS77" s="684"/>
      <c r="FBT77" s="684"/>
      <c r="FBU77" s="684"/>
      <c r="FBV77" s="684"/>
      <c r="FBW77" s="684"/>
      <c r="FBX77" s="684"/>
      <c r="FBY77" s="684"/>
      <c r="FBZ77" s="684"/>
      <c r="FCA77" s="684"/>
      <c r="FCB77" s="684"/>
      <c r="FCC77" s="684"/>
      <c r="FCD77" s="684"/>
      <c r="FCE77" s="684"/>
      <c r="FCF77" s="684"/>
      <c r="FCG77" s="684"/>
      <c r="FCH77" s="684"/>
      <c r="FCI77" s="684"/>
      <c r="FCJ77" s="684"/>
      <c r="FCK77" s="684"/>
      <c r="FCL77" s="684"/>
      <c r="FCM77" s="684"/>
      <c r="FCN77" s="684"/>
      <c r="FCO77" s="684"/>
      <c r="FCP77" s="684"/>
      <c r="FCQ77" s="684"/>
      <c r="FCR77" s="684"/>
      <c r="FCS77" s="684"/>
      <c r="FCT77" s="684"/>
      <c r="FCU77" s="684"/>
      <c r="FCV77" s="684"/>
      <c r="FCW77" s="684"/>
      <c r="FCX77" s="684"/>
      <c r="FCY77" s="684"/>
      <c r="FCZ77" s="684"/>
      <c r="FDA77" s="684"/>
      <c r="FDB77" s="684"/>
      <c r="FDC77" s="684"/>
      <c r="FDD77" s="684"/>
      <c r="FDE77" s="684"/>
      <c r="FDF77" s="684"/>
      <c r="FDG77" s="684"/>
      <c r="FDH77" s="684"/>
      <c r="FDI77" s="684"/>
      <c r="FDJ77" s="684"/>
      <c r="FDK77" s="684"/>
      <c r="FDL77" s="684"/>
      <c r="FDM77" s="684"/>
      <c r="FDN77" s="684"/>
      <c r="FDO77" s="684"/>
      <c r="FDP77" s="684"/>
      <c r="FDQ77" s="684"/>
      <c r="FDR77" s="684"/>
      <c r="FDS77" s="684"/>
      <c r="FDT77" s="684"/>
      <c r="FDU77" s="684"/>
      <c r="FDV77" s="684"/>
      <c r="FDW77" s="684"/>
      <c r="FDX77" s="684"/>
      <c r="FDY77" s="684"/>
      <c r="FDZ77" s="684"/>
      <c r="FEA77" s="684"/>
      <c r="FEB77" s="684"/>
      <c r="FEC77" s="684"/>
      <c r="FED77" s="684"/>
      <c r="FEE77" s="684"/>
      <c r="FEF77" s="684"/>
      <c r="FEG77" s="684"/>
      <c r="FEH77" s="684"/>
      <c r="FEI77" s="684"/>
      <c r="FEJ77" s="684"/>
      <c r="FEK77" s="684"/>
      <c r="FEL77" s="684"/>
      <c r="FEM77" s="684"/>
      <c r="FEN77" s="684"/>
      <c r="FEO77" s="684"/>
      <c r="FEP77" s="684"/>
      <c r="FEQ77" s="684"/>
      <c r="FER77" s="684"/>
      <c r="FES77" s="684"/>
      <c r="FET77" s="684"/>
      <c r="FEU77" s="684"/>
      <c r="FEV77" s="684"/>
      <c r="FEW77" s="684"/>
      <c r="FEX77" s="684"/>
      <c r="FEY77" s="684"/>
      <c r="FEZ77" s="684"/>
      <c r="FFA77" s="684"/>
      <c r="FFB77" s="684"/>
      <c r="FFC77" s="684"/>
      <c r="FFD77" s="684"/>
      <c r="FFE77" s="684"/>
      <c r="FFF77" s="684"/>
      <c r="FFG77" s="684"/>
      <c r="FFH77" s="684"/>
      <c r="FFI77" s="684"/>
      <c r="FFJ77" s="684"/>
      <c r="FFK77" s="684"/>
      <c r="FFL77" s="684"/>
      <c r="FFM77" s="684"/>
      <c r="FFN77" s="684"/>
      <c r="FFO77" s="684"/>
      <c r="FFP77" s="684"/>
      <c r="FFQ77" s="684"/>
      <c r="FFR77" s="684"/>
      <c r="FFS77" s="684"/>
      <c r="FFT77" s="684"/>
      <c r="FFU77" s="684"/>
      <c r="FFV77" s="684"/>
      <c r="FFW77" s="684"/>
      <c r="FFX77" s="684"/>
      <c r="FFY77" s="684"/>
      <c r="FFZ77" s="684"/>
      <c r="FGA77" s="684"/>
      <c r="FGB77" s="684"/>
      <c r="FGC77" s="684"/>
      <c r="FGD77" s="684"/>
      <c r="FGE77" s="684"/>
      <c r="FGF77" s="684"/>
      <c r="FGG77" s="684"/>
      <c r="FGH77" s="684"/>
      <c r="FGI77" s="684"/>
      <c r="FGJ77" s="684"/>
      <c r="FGK77" s="684"/>
      <c r="FGL77" s="684"/>
      <c r="FGM77" s="684"/>
      <c r="FGN77" s="684"/>
      <c r="FGO77" s="684"/>
      <c r="FGP77" s="684"/>
      <c r="FGQ77" s="684"/>
      <c r="FGR77" s="684"/>
      <c r="FGS77" s="684"/>
      <c r="FGT77" s="684"/>
      <c r="FGU77" s="684"/>
      <c r="FGV77" s="684"/>
      <c r="FGW77" s="684"/>
      <c r="FGX77" s="684"/>
      <c r="FGY77" s="684"/>
      <c r="FGZ77" s="684"/>
      <c r="FHA77" s="684"/>
      <c r="FHB77" s="684"/>
      <c r="FHC77" s="684"/>
      <c r="FHD77" s="684"/>
      <c r="FHE77" s="684"/>
      <c r="FHF77" s="684"/>
      <c r="FHG77" s="684"/>
      <c r="FHH77" s="684"/>
      <c r="FHI77" s="684"/>
      <c r="FHJ77" s="684"/>
      <c r="FHK77" s="684"/>
      <c r="FHL77" s="684"/>
      <c r="FHM77" s="684"/>
      <c r="FHN77" s="684"/>
      <c r="FHO77" s="684"/>
      <c r="FHP77" s="684"/>
      <c r="FHQ77" s="684"/>
      <c r="FHR77" s="684"/>
      <c r="FHS77" s="684"/>
      <c r="FHT77" s="684"/>
      <c r="FHU77" s="684"/>
      <c r="FHV77" s="684"/>
      <c r="FHW77" s="684"/>
      <c r="FHX77" s="684"/>
      <c r="FHY77" s="684"/>
      <c r="FHZ77" s="684"/>
      <c r="FIA77" s="684"/>
      <c r="FIB77" s="684"/>
      <c r="FIC77" s="684"/>
      <c r="FID77" s="684"/>
      <c r="FIE77" s="684"/>
      <c r="FIF77" s="684"/>
      <c r="FIG77" s="684"/>
      <c r="FIH77" s="684"/>
      <c r="FII77" s="684"/>
      <c r="FIJ77" s="684"/>
      <c r="FIK77" s="684"/>
      <c r="FIL77" s="684"/>
      <c r="FIM77" s="684"/>
      <c r="FIN77" s="684"/>
      <c r="FIO77" s="684"/>
      <c r="FIP77" s="684"/>
      <c r="FIQ77" s="684"/>
      <c r="FIR77" s="684"/>
      <c r="FIS77" s="684"/>
      <c r="FIT77" s="684"/>
      <c r="FIU77" s="684"/>
      <c r="FIV77" s="684"/>
      <c r="FIW77" s="684"/>
      <c r="FIX77" s="684"/>
      <c r="FIY77" s="684"/>
      <c r="FIZ77" s="684"/>
      <c r="FJA77" s="684"/>
      <c r="FJB77" s="684"/>
      <c r="FJC77" s="684"/>
      <c r="FJD77" s="684"/>
      <c r="FJE77" s="684"/>
      <c r="FJF77" s="684"/>
      <c r="FJG77" s="684"/>
      <c r="FJH77" s="684"/>
      <c r="FJI77" s="684"/>
      <c r="FJJ77" s="684"/>
      <c r="FJK77" s="684"/>
      <c r="FJL77" s="684"/>
      <c r="FJM77" s="684"/>
      <c r="FJN77" s="684"/>
      <c r="FJO77" s="684"/>
      <c r="FJP77" s="684"/>
      <c r="FJQ77" s="684"/>
      <c r="FJR77" s="684"/>
      <c r="FJS77" s="684"/>
      <c r="FJT77" s="684"/>
      <c r="FJU77" s="684"/>
      <c r="FJV77" s="684"/>
      <c r="FJW77" s="684"/>
      <c r="FJX77" s="684"/>
      <c r="FJY77" s="684"/>
      <c r="FJZ77" s="684"/>
      <c r="FKA77" s="684"/>
      <c r="FKB77" s="684"/>
      <c r="FKC77" s="684"/>
      <c r="FKD77" s="684"/>
      <c r="FKE77" s="684"/>
      <c r="FKF77" s="684"/>
      <c r="FKG77" s="684"/>
      <c r="FKH77" s="684"/>
      <c r="FKI77" s="684"/>
      <c r="FKJ77" s="684"/>
      <c r="FKK77" s="684"/>
      <c r="FKL77" s="684"/>
      <c r="FKM77" s="684"/>
      <c r="FKN77" s="684"/>
      <c r="FKO77" s="684"/>
      <c r="FKP77" s="684"/>
      <c r="FKQ77" s="684"/>
      <c r="FKR77" s="684"/>
      <c r="FKS77" s="684"/>
      <c r="FKT77" s="684"/>
      <c r="FKU77" s="684"/>
      <c r="FKV77" s="684"/>
      <c r="FKW77" s="684"/>
      <c r="FKX77" s="684"/>
      <c r="FKY77" s="684"/>
      <c r="FKZ77" s="684"/>
      <c r="FLA77" s="684"/>
      <c r="FLB77" s="684"/>
      <c r="FLC77" s="684"/>
      <c r="FLD77" s="684"/>
      <c r="FLE77" s="684"/>
      <c r="FLF77" s="684"/>
      <c r="FLG77" s="684"/>
      <c r="FLH77" s="684"/>
      <c r="FLI77" s="684"/>
      <c r="FLJ77" s="684"/>
      <c r="FLK77" s="684"/>
      <c r="FLL77" s="684"/>
      <c r="FLM77" s="684"/>
      <c r="FLN77" s="684"/>
      <c r="FLO77" s="684"/>
      <c r="FLP77" s="684"/>
      <c r="FLQ77" s="684"/>
      <c r="FLR77" s="684"/>
      <c r="FLS77" s="684"/>
      <c r="FLT77" s="684"/>
      <c r="FLU77" s="684"/>
      <c r="FLV77" s="684"/>
      <c r="FLW77" s="684"/>
      <c r="FLX77" s="684"/>
      <c r="FLY77" s="684"/>
      <c r="FLZ77" s="684"/>
      <c r="FMA77" s="684"/>
      <c r="FMB77" s="684"/>
      <c r="FMC77" s="684"/>
      <c r="FMD77" s="684"/>
      <c r="FME77" s="684"/>
      <c r="FMF77" s="684"/>
      <c r="FMG77" s="684"/>
      <c r="FMH77" s="684"/>
      <c r="FMI77" s="684"/>
      <c r="FMJ77" s="684"/>
      <c r="FMK77" s="684"/>
      <c r="FML77" s="684"/>
      <c r="FMM77" s="684"/>
      <c r="FMN77" s="684"/>
      <c r="FMO77" s="684"/>
      <c r="FMP77" s="684"/>
      <c r="FMQ77" s="684"/>
      <c r="FMR77" s="684"/>
      <c r="FMS77" s="684"/>
      <c r="FMT77" s="684"/>
      <c r="FMU77" s="684"/>
      <c r="FMV77" s="684"/>
      <c r="FMW77" s="684"/>
      <c r="FMX77" s="684"/>
      <c r="FMY77" s="684"/>
      <c r="FMZ77" s="684"/>
      <c r="FNA77" s="684"/>
      <c r="FNB77" s="684"/>
      <c r="FNC77" s="684"/>
      <c r="FND77" s="684"/>
      <c r="FNE77" s="684"/>
      <c r="FNF77" s="684"/>
      <c r="FNG77" s="684"/>
      <c r="FNH77" s="684"/>
      <c r="FNI77" s="684"/>
      <c r="FNJ77" s="684"/>
      <c r="FNK77" s="684"/>
      <c r="FNL77" s="684"/>
      <c r="FNM77" s="684"/>
      <c r="FNN77" s="684"/>
      <c r="FNO77" s="684"/>
      <c r="FNP77" s="684"/>
      <c r="FNQ77" s="684"/>
      <c r="FNR77" s="684"/>
      <c r="FNS77" s="684"/>
      <c r="FNT77" s="684"/>
      <c r="FNU77" s="684"/>
      <c r="FNV77" s="684"/>
      <c r="FNW77" s="684"/>
      <c r="FNX77" s="684"/>
      <c r="FNY77" s="684"/>
      <c r="FNZ77" s="684"/>
      <c r="FOA77" s="684"/>
      <c r="FOB77" s="684"/>
      <c r="FOC77" s="684"/>
      <c r="FOD77" s="684"/>
      <c r="FOE77" s="684"/>
      <c r="FOF77" s="684"/>
      <c r="FOG77" s="684"/>
      <c r="FOH77" s="684"/>
      <c r="FOI77" s="684"/>
      <c r="FOJ77" s="684"/>
      <c r="FOK77" s="684"/>
      <c r="FOL77" s="684"/>
      <c r="FOM77" s="684"/>
      <c r="FON77" s="684"/>
      <c r="FOO77" s="684"/>
      <c r="FOP77" s="684"/>
      <c r="FOQ77" s="684"/>
      <c r="FOR77" s="684"/>
      <c r="FOS77" s="684"/>
      <c r="FOT77" s="684"/>
      <c r="FOU77" s="684"/>
      <c r="FOV77" s="684"/>
      <c r="FOW77" s="684"/>
      <c r="FOX77" s="684"/>
      <c r="FOY77" s="684"/>
      <c r="FOZ77" s="684"/>
      <c r="FPA77" s="684"/>
      <c r="FPB77" s="684"/>
      <c r="FPC77" s="684"/>
      <c r="FPD77" s="684"/>
      <c r="FPE77" s="684"/>
      <c r="FPF77" s="684"/>
      <c r="FPG77" s="684"/>
      <c r="FPH77" s="684"/>
      <c r="FPI77" s="684"/>
      <c r="FPJ77" s="684"/>
      <c r="FPK77" s="684"/>
      <c r="FPL77" s="684"/>
      <c r="FPM77" s="684"/>
      <c r="FPN77" s="684"/>
      <c r="FPO77" s="684"/>
      <c r="FPP77" s="684"/>
      <c r="FPQ77" s="684"/>
      <c r="FPR77" s="684"/>
      <c r="FPS77" s="684"/>
      <c r="FPT77" s="684"/>
      <c r="FPU77" s="684"/>
      <c r="FPV77" s="684"/>
      <c r="FPW77" s="684"/>
      <c r="FPX77" s="684"/>
      <c r="FPY77" s="684"/>
      <c r="FPZ77" s="684"/>
      <c r="FQA77" s="684"/>
      <c r="FQB77" s="684"/>
      <c r="FQC77" s="684"/>
      <c r="FQD77" s="684"/>
      <c r="FQE77" s="684"/>
      <c r="FQF77" s="684"/>
      <c r="FQG77" s="684"/>
      <c r="FQH77" s="684"/>
      <c r="FQI77" s="684"/>
      <c r="FQJ77" s="684"/>
      <c r="FQK77" s="684"/>
      <c r="FQL77" s="684"/>
      <c r="FQM77" s="684"/>
      <c r="FQN77" s="684"/>
      <c r="FQO77" s="684"/>
      <c r="FQP77" s="684"/>
      <c r="FQQ77" s="684"/>
      <c r="FQR77" s="684"/>
      <c r="FQS77" s="684"/>
      <c r="FQT77" s="684"/>
      <c r="FQU77" s="684"/>
      <c r="FQV77" s="684"/>
      <c r="FQW77" s="684"/>
      <c r="FQX77" s="684"/>
      <c r="FQY77" s="684"/>
      <c r="FQZ77" s="684"/>
      <c r="FRA77" s="684"/>
      <c r="FRB77" s="684"/>
      <c r="FRC77" s="684"/>
      <c r="FRD77" s="684"/>
      <c r="FRE77" s="684"/>
      <c r="FRF77" s="684"/>
      <c r="FRG77" s="684"/>
      <c r="FRH77" s="684"/>
      <c r="FRI77" s="684"/>
      <c r="FRJ77" s="684"/>
      <c r="FRK77" s="684"/>
      <c r="FRL77" s="684"/>
      <c r="FRM77" s="684"/>
      <c r="FRN77" s="684"/>
      <c r="FRO77" s="684"/>
      <c r="FRP77" s="684"/>
      <c r="FRQ77" s="684"/>
      <c r="FRR77" s="684"/>
      <c r="FRS77" s="684"/>
      <c r="FRT77" s="684"/>
      <c r="FRU77" s="684"/>
      <c r="FRV77" s="684"/>
      <c r="FRW77" s="684"/>
      <c r="FRX77" s="684"/>
      <c r="FRY77" s="684"/>
      <c r="FRZ77" s="684"/>
      <c r="FSA77" s="684"/>
      <c r="FSB77" s="684"/>
      <c r="FSC77" s="684"/>
      <c r="FSD77" s="684"/>
      <c r="FSE77" s="684"/>
      <c r="FSF77" s="684"/>
      <c r="FSG77" s="684"/>
      <c r="FSH77" s="684"/>
      <c r="FSI77" s="684"/>
      <c r="FSJ77" s="684"/>
      <c r="FSK77" s="684"/>
      <c r="FSL77" s="684"/>
      <c r="FSM77" s="684"/>
      <c r="FSN77" s="684"/>
      <c r="FSO77" s="684"/>
      <c r="FSP77" s="684"/>
      <c r="FSQ77" s="684"/>
      <c r="FSR77" s="684"/>
      <c r="FSS77" s="684"/>
      <c r="FST77" s="684"/>
      <c r="FSU77" s="684"/>
      <c r="FSV77" s="684"/>
      <c r="FSW77" s="684"/>
      <c r="FSX77" s="684"/>
      <c r="FSY77" s="684"/>
      <c r="FSZ77" s="684"/>
      <c r="FTA77" s="684"/>
      <c r="FTB77" s="684"/>
      <c r="FTC77" s="684"/>
      <c r="FTD77" s="684"/>
      <c r="FTE77" s="684"/>
      <c r="FTF77" s="684"/>
      <c r="FTG77" s="684"/>
      <c r="FTH77" s="684"/>
      <c r="FTI77" s="684"/>
      <c r="FTJ77" s="684"/>
      <c r="FTK77" s="684"/>
      <c r="FTL77" s="684"/>
      <c r="FTM77" s="684"/>
      <c r="FTN77" s="684"/>
      <c r="FTO77" s="684"/>
      <c r="FTP77" s="684"/>
      <c r="FTQ77" s="684"/>
      <c r="FTR77" s="684"/>
      <c r="FTS77" s="684"/>
      <c r="FTT77" s="684"/>
      <c r="FTU77" s="684"/>
      <c r="FTV77" s="684"/>
      <c r="FTW77" s="684"/>
      <c r="FTX77" s="684"/>
      <c r="FTY77" s="684"/>
      <c r="FTZ77" s="684"/>
      <c r="FUA77" s="684"/>
      <c r="FUB77" s="684"/>
      <c r="FUC77" s="684"/>
      <c r="FUD77" s="684"/>
      <c r="FUE77" s="684"/>
      <c r="FUF77" s="684"/>
      <c r="FUG77" s="684"/>
      <c r="FUH77" s="684"/>
      <c r="FUI77" s="684"/>
      <c r="FUJ77" s="684"/>
      <c r="FUK77" s="684"/>
      <c r="FUL77" s="684"/>
      <c r="FUM77" s="684"/>
      <c r="FUN77" s="684"/>
      <c r="FUO77" s="684"/>
      <c r="FUP77" s="684"/>
      <c r="FUQ77" s="684"/>
      <c r="FUR77" s="684"/>
      <c r="FUS77" s="684"/>
      <c r="FUT77" s="684"/>
      <c r="FUU77" s="684"/>
      <c r="FUV77" s="684"/>
      <c r="FUW77" s="684"/>
      <c r="FUX77" s="684"/>
      <c r="FUY77" s="684"/>
      <c r="FUZ77" s="684"/>
      <c r="FVA77" s="684"/>
      <c r="FVB77" s="684"/>
      <c r="FVC77" s="684"/>
      <c r="FVD77" s="684"/>
      <c r="FVE77" s="684"/>
      <c r="FVF77" s="684"/>
      <c r="FVG77" s="684"/>
      <c r="FVH77" s="684"/>
      <c r="FVI77" s="684"/>
      <c r="FVJ77" s="684"/>
      <c r="FVK77" s="684"/>
      <c r="FVL77" s="684"/>
      <c r="FVM77" s="684"/>
      <c r="FVN77" s="684"/>
      <c r="FVO77" s="684"/>
      <c r="FVP77" s="684"/>
      <c r="FVQ77" s="684"/>
      <c r="FVR77" s="684"/>
      <c r="FVS77" s="684"/>
      <c r="FVT77" s="684"/>
      <c r="FVU77" s="684"/>
      <c r="FVV77" s="684"/>
      <c r="FVW77" s="684"/>
      <c r="FVX77" s="684"/>
      <c r="FVY77" s="684"/>
      <c r="FVZ77" s="684"/>
      <c r="FWA77" s="684"/>
      <c r="FWB77" s="684"/>
      <c r="FWC77" s="684"/>
      <c r="FWD77" s="684"/>
      <c r="FWE77" s="684"/>
      <c r="FWF77" s="684"/>
      <c r="FWG77" s="684"/>
      <c r="FWH77" s="684"/>
      <c r="FWI77" s="684"/>
      <c r="FWJ77" s="684"/>
      <c r="FWK77" s="684"/>
      <c r="FWL77" s="684"/>
      <c r="FWM77" s="684"/>
      <c r="FWN77" s="684"/>
      <c r="FWO77" s="684"/>
      <c r="FWP77" s="684"/>
      <c r="FWQ77" s="684"/>
      <c r="FWR77" s="684"/>
      <c r="FWS77" s="684"/>
      <c r="FWT77" s="684"/>
      <c r="FWU77" s="684"/>
      <c r="FWV77" s="684"/>
      <c r="FWW77" s="684"/>
      <c r="FWX77" s="684"/>
      <c r="FWY77" s="684"/>
      <c r="FWZ77" s="684"/>
      <c r="FXA77" s="684"/>
      <c r="FXB77" s="684"/>
      <c r="FXC77" s="684"/>
      <c r="FXD77" s="684"/>
      <c r="FXE77" s="684"/>
      <c r="FXF77" s="684"/>
      <c r="FXG77" s="684"/>
      <c r="FXH77" s="684"/>
      <c r="FXI77" s="684"/>
      <c r="FXJ77" s="684"/>
      <c r="FXK77" s="684"/>
      <c r="FXL77" s="684"/>
      <c r="FXM77" s="684"/>
      <c r="FXN77" s="684"/>
      <c r="FXO77" s="684"/>
      <c r="FXP77" s="684"/>
      <c r="FXQ77" s="684"/>
      <c r="FXR77" s="684"/>
      <c r="FXS77" s="684"/>
      <c r="FXT77" s="684"/>
      <c r="FXU77" s="684"/>
      <c r="FXV77" s="684"/>
      <c r="FXW77" s="684"/>
      <c r="FXX77" s="684"/>
      <c r="FXY77" s="684"/>
      <c r="FXZ77" s="684"/>
      <c r="FYA77" s="684"/>
      <c r="FYB77" s="684"/>
      <c r="FYC77" s="684"/>
      <c r="FYD77" s="684"/>
      <c r="FYE77" s="684"/>
      <c r="FYF77" s="684"/>
      <c r="FYG77" s="684"/>
      <c r="FYH77" s="684"/>
      <c r="FYI77" s="684"/>
      <c r="FYJ77" s="684"/>
      <c r="FYK77" s="684"/>
      <c r="FYL77" s="684"/>
      <c r="FYM77" s="684"/>
      <c r="FYN77" s="684"/>
      <c r="FYO77" s="684"/>
      <c r="FYP77" s="684"/>
      <c r="FYQ77" s="684"/>
      <c r="FYR77" s="684"/>
      <c r="FYS77" s="684"/>
      <c r="FYT77" s="684"/>
      <c r="FYU77" s="684"/>
      <c r="FYV77" s="684"/>
      <c r="FYW77" s="684"/>
      <c r="FYX77" s="684"/>
      <c r="FYY77" s="684"/>
      <c r="FYZ77" s="684"/>
      <c r="FZA77" s="684"/>
      <c r="FZB77" s="684"/>
      <c r="FZC77" s="684"/>
      <c r="FZD77" s="684"/>
      <c r="FZE77" s="684"/>
      <c r="FZF77" s="684"/>
      <c r="FZG77" s="684"/>
      <c r="FZH77" s="684"/>
      <c r="FZI77" s="684"/>
      <c r="FZJ77" s="684"/>
      <c r="FZK77" s="684"/>
      <c r="FZL77" s="684"/>
      <c r="FZM77" s="684"/>
      <c r="FZN77" s="684"/>
      <c r="FZO77" s="684"/>
      <c r="FZP77" s="684"/>
      <c r="FZQ77" s="684"/>
      <c r="FZR77" s="684"/>
      <c r="FZS77" s="684"/>
      <c r="FZT77" s="684"/>
      <c r="FZU77" s="684"/>
      <c r="FZV77" s="684"/>
      <c r="FZW77" s="684"/>
      <c r="FZX77" s="684"/>
      <c r="FZY77" s="684"/>
      <c r="FZZ77" s="684"/>
      <c r="GAA77" s="684"/>
      <c r="GAB77" s="684"/>
      <c r="GAC77" s="684"/>
      <c r="GAD77" s="684"/>
      <c r="GAE77" s="684"/>
      <c r="GAF77" s="684"/>
      <c r="GAG77" s="684"/>
      <c r="GAH77" s="684"/>
      <c r="GAI77" s="684"/>
      <c r="GAJ77" s="684"/>
      <c r="GAK77" s="684"/>
      <c r="GAL77" s="684"/>
      <c r="GAM77" s="684"/>
      <c r="GAN77" s="684"/>
      <c r="GAO77" s="684"/>
      <c r="GAP77" s="684"/>
      <c r="GAQ77" s="684"/>
      <c r="GAR77" s="684"/>
      <c r="GAS77" s="684"/>
      <c r="GAT77" s="684"/>
      <c r="GAU77" s="684"/>
      <c r="GAV77" s="684"/>
      <c r="GAW77" s="684"/>
      <c r="GAX77" s="684"/>
      <c r="GAY77" s="684"/>
      <c r="GAZ77" s="684"/>
      <c r="GBA77" s="684"/>
      <c r="GBB77" s="684"/>
      <c r="GBC77" s="684"/>
      <c r="GBD77" s="684"/>
      <c r="GBE77" s="684"/>
      <c r="GBF77" s="684"/>
      <c r="GBG77" s="684"/>
      <c r="GBH77" s="684"/>
      <c r="GBI77" s="684"/>
      <c r="GBJ77" s="684"/>
      <c r="GBK77" s="684"/>
      <c r="GBL77" s="684"/>
      <c r="GBM77" s="684"/>
      <c r="GBN77" s="684"/>
      <c r="GBO77" s="684"/>
      <c r="GBP77" s="684"/>
      <c r="GBQ77" s="684"/>
      <c r="GBR77" s="684"/>
      <c r="GBS77" s="684"/>
      <c r="GBT77" s="684"/>
      <c r="GBU77" s="684"/>
      <c r="GBV77" s="684"/>
      <c r="GBW77" s="684"/>
      <c r="GBX77" s="684"/>
      <c r="GBY77" s="684"/>
      <c r="GBZ77" s="684"/>
      <c r="GCA77" s="684"/>
      <c r="GCB77" s="684"/>
      <c r="GCC77" s="684"/>
      <c r="GCD77" s="684"/>
      <c r="GCE77" s="684"/>
      <c r="GCF77" s="684"/>
      <c r="GCG77" s="684"/>
      <c r="GCH77" s="684"/>
      <c r="GCI77" s="684"/>
      <c r="GCJ77" s="684"/>
      <c r="GCK77" s="684"/>
      <c r="GCL77" s="684"/>
      <c r="GCM77" s="684"/>
      <c r="GCN77" s="684"/>
      <c r="GCO77" s="684"/>
      <c r="GCP77" s="684"/>
      <c r="GCQ77" s="684"/>
      <c r="GCR77" s="684"/>
      <c r="GCS77" s="684"/>
      <c r="GCT77" s="684"/>
      <c r="GCU77" s="684"/>
      <c r="GCV77" s="684"/>
      <c r="GCW77" s="684"/>
      <c r="GCX77" s="684"/>
      <c r="GCY77" s="684"/>
      <c r="GCZ77" s="684"/>
      <c r="GDA77" s="684"/>
      <c r="GDB77" s="684"/>
      <c r="GDC77" s="684"/>
      <c r="GDD77" s="684"/>
      <c r="GDE77" s="684"/>
      <c r="GDF77" s="684"/>
      <c r="GDG77" s="684"/>
      <c r="GDH77" s="684"/>
      <c r="GDI77" s="684"/>
      <c r="GDJ77" s="684"/>
      <c r="GDK77" s="684"/>
      <c r="GDL77" s="684"/>
      <c r="GDM77" s="684"/>
      <c r="GDN77" s="684"/>
      <c r="GDO77" s="684"/>
      <c r="GDP77" s="684"/>
      <c r="GDQ77" s="684"/>
      <c r="GDR77" s="684"/>
      <c r="GDS77" s="684"/>
      <c r="GDT77" s="684"/>
      <c r="GDU77" s="684"/>
      <c r="GDV77" s="684"/>
      <c r="GDW77" s="684"/>
      <c r="GDX77" s="684"/>
      <c r="GDY77" s="684"/>
      <c r="GDZ77" s="684"/>
      <c r="GEA77" s="684"/>
      <c r="GEB77" s="684"/>
      <c r="GEC77" s="684"/>
      <c r="GED77" s="684"/>
      <c r="GEE77" s="684"/>
      <c r="GEF77" s="684"/>
      <c r="GEG77" s="684"/>
      <c r="GEH77" s="684"/>
      <c r="GEI77" s="684"/>
      <c r="GEJ77" s="684"/>
      <c r="GEK77" s="684"/>
      <c r="GEL77" s="684"/>
      <c r="GEM77" s="684"/>
      <c r="GEN77" s="684"/>
      <c r="GEO77" s="684"/>
      <c r="GEP77" s="684"/>
      <c r="GEQ77" s="684"/>
      <c r="GER77" s="684"/>
      <c r="GES77" s="684"/>
      <c r="GET77" s="684"/>
      <c r="GEU77" s="684"/>
      <c r="GEV77" s="684"/>
      <c r="GEW77" s="684"/>
      <c r="GEX77" s="684"/>
      <c r="GEY77" s="684"/>
      <c r="GEZ77" s="684"/>
      <c r="GFA77" s="684"/>
      <c r="GFB77" s="684"/>
      <c r="GFC77" s="684"/>
      <c r="GFD77" s="684"/>
      <c r="GFE77" s="684"/>
      <c r="GFF77" s="684"/>
      <c r="GFG77" s="684"/>
      <c r="GFH77" s="684"/>
      <c r="GFI77" s="684"/>
      <c r="GFJ77" s="684"/>
      <c r="GFK77" s="684"/>
      <c r="GFL77" s="684"/>
      <c r="GFM77" s="684"/>
      <c r="GFN77" s="684"/>
      <c r="GFO77" s="684"/>
      <c r="GFP77" s="684"/>
      <c r="GFQ77" s="684"/>
      <c r="GFR77" s="684"/>
      <c r="GFS77" s="684"/>
      <c r="GFT77" s="684"/>
      <c r="GFU77" s="684"/>
      <c r="GFV77" s="684"/>
      <c r="GFW77" s="684"/>
      <c r="GFX77" s="684"/>
      <c r="GFY77" s="684"/>
      <c r="GFZ77" s="684"/>
      <c r="GGA77" s="684"/>
      <c r="GGB77" s="684"/>
      <c r="GGC77" s="684"/>
      <c r="GGD77" s="684"/>
      <c r="GGE77" s="684"/>
      <c r="GGF77" s="684"/>
      <c r="GGG77" s="684"/>
      <c r="GGH77" s="684"/>
      <c r="GGI77" s="684"/>
      <c r="GGJ77" s="684"/>
      <c r="GGK77" s="684"/>
      <c r="GGL77" s="684"/>
      <c r="GGM77" s="684"/>
      <c r="GGN77" s="684"/>
      <c r="GGO77" s="684"/>
      <c r="GGP77" s="684"/>
      <c r="GGQ77" s="684"/>
      <c r="GGR77" s="684"/>
      <c r="GGS77" s="684"/>
      <c r="GGT77" s="684"/>
      <c r="GGU77" s="684"/>
      <c r="GGV77" s="684"/>
      <c r="GGW77" s="684"/>
      <c r="GGX77" s="684"/>
      <c r="GGY77" s="684"/>
      <c r="GGZ77" s="684"/>
      <c r="GHA77" s="684"/>
      <c r="GHB77" s="684"/>
      <c r="GHC77" s="684"/>
      <c r="GHD77" s="684"/>
      <c r="GHE77" s="684"/>
      <c r="GHF77" s="684"/>
      <c r="GHG77" s="684"/>
      <c r="GHH77" s="684"/>
      <c r="GHI77" s="684"/>
      <c r="GHJ77" s="684"/>
      <c r="GHK77" s="684"/>
      <c r="GHL77" s="684"/>
      <c r="GHM77" s="684"/>
      <c r="GHN77" s="684"/>
      <c r="GHO77" s="684"/>
      <c r="GHP77" s="684"/>
      <c r="GHQ77" s="684"/>
      <c r="GHR77" s="684"/>
      <c r="GHS77" s="684"/>
      <c r="GHT77" s="684"/>
      <c r="GHU77" s="684"/>
      <c r="GHV77" s="684"/>
      <c r="GHW77" s="684"/>
      <c r="GHX77" s="684"/>
      <c r="GHY77" s="684"/>
      <c r="GHZ77" s="684"/>
      <c r="GIA77" s="684"/>
      <c r="GIB77" s="684"/>
      <c r="GIC77" s="684"/>
      <c r="GID77" s="684"/>
      <c r="GIE77" s="684"/>
      <c r="GIF77" s="684"/>
      <c r="GIG77" s="684"/>
      <c r="GIH77" s="684"/>
      <c r="GII77" s="684"/>
      <c r="GIJ77" s="684"/>
      <c r="GIK77" s="684"/>
      <c r="GIL77" s="684"/>
      <c r="GIM77" s="684"/>
      <c r="GIN77" s="684"/>
      <c r="GIO77" s="684"/>
      <c r="GIP77" s="684"/>
      <c r="GIQ77" s="684"/>
      <c r="GIR77" s="684"/>
      <c r="GIS77" s="684"/>
      <c r="GIT77" s="684"/>
      <c r="GIU77" s="684"/>
      <c r="GIV77" s="684"/>
      <c r="GIW77" s="684"/>
      <c r="GIX77" s="684"/>
      <c r="GIY77" s="684"/>
      <c r="GIZ77" s="684"/>
      <c r="GJA77" s="684"/>
      <c r="GJB77" s="684"/>
      <c r="GJC77" s="684"/>
      <c r="GJD77" s="684"/>
      <c r="GJE77" s="684"/>
      <c r="GJF77" s="684"/>
      <c r="GJG77" s="684"/>
      <c r="GJH77" s="684"/>
      <c r="GJI77" s="684"/>
      <c r="GJJ77" s="684"/>
      <c r="GJK77" s="684"/>
      <c r="GJL77" s="684"/>
      <c r="GJM77" s="684"/>
      <c r="GJN77" s="684"/>
      <c r="GJO77" s="684"/>
      <c r="GJP77" s="684"/>
      <c r="GJQ77" s="684"/>
      <c r="GJR77" s="684"/>
      <c r="GJS77" s="684"/>
      <c r="GJT77" s="684"/>
      <c r="GJU77" s="684"/>
      <c r="GJV77" s="684"/>
      <c r="GJW77" s="684"/>
      <c r="GJX77" s="684"/>
      <c r="GJY77" s="684"/>
      <c r="GJZ77" s="684"/>
      <c r="GKA77" s="684"/>
      <c r="GKB77" s="684"/>
      <c r="GKC77" s="684"/>
      <c r="GKD77" s="684"/>
      <c r="GKE77" s="684"/>
      <c r="GKF77" s="684"/>
      <c r="GKG77" s="684"/>
      <c r="GKH77" s="684"/>
      <c r="GKI77" s="684"/>
      <c r="GKJ77" s="684"/>
      <c r="GKK77" s="684"/>
      <c r="GKL77" s="684"/>
      <c r="GKM77" s="684"/>
      <c r="GKN77" s="684"/>
      <c r="GKO77" s="684"/>
      <c r="GKP77" s="684"/>
      <c r="GKQ77" s="684"/>
      <c r="GKR77" s="684"/>
      <c r="GKS77" s="684"/>
      <c r="GKT77" s="684"/>
      <c r="GKU77" s="684"/>
      <c r="GKV77" s="684"/>
      <c r="GKW77" s="684"/>
      <c r="GKX77" s="684"/>
      <c r="GKY77" s="684"/>
      <c r="GKZ77" s="684"/>
      <c r="GLA77" s="684"/>
      <c r="GLB77" s="684"/>
      <c r="GLC77" s="684"/>
      <c r="GLD77" s="684"/>
      <c r="GLE77" s="684"/>
      <c r="GLF77" s="684"/>
      <c r="GLG77" s="684"/>
      <c r="GLH77" s="684"/>
      <c r="GLI77" s="684"/>
      <c r="GLJ77" s="684"/>
      <c r="GLK77" s="684"/>
      <c r="GLL77" s="684"/>
      <c r="GLM77" s="684"/>
      <c r="GLN77" s="684"/>
      <c r="GLO77" s="684"/>
      <c r="GLP77" s="684"/>
      <c r="GLQ77" s="684"/>
      <c r="GLR77" s="684"/>
      <c r="GLS77" s="684"/>
      <c r="GLT77" s="684"/>
      <c r="GLU77" s="684"/>
      <c r="GLV77" s="684"/>
      <c r="GLW77" s="684"/>
      <c r="GLX77" s="684"/>
      <c r="GLY77" s="684"/>
      <c r="GLZ77" s="684"/>
      <c r="GMA77" s="684"/>
      <c r="GMB77" s="684"/>
      <c r="GMC77" s="684"/>
      <c r="GMD77" s="684"/>
      <c r="GME77" s="684"/>
      <c r="GMF77" s="684"/>
      <c r="GMG77" s="684"/>
      <c r="GMH77" s="684"/>
      <c r="GMI77" s="684"/>
      <c r="GMJ77" s="684"/>
      <c r="GMK77" s="684"/>
      <c r="GML77" s="684"/>
      <c r="GMM77" s="684"/>
      <c r="GMN77" s="684"/>
      <c r="GMO77" s="684"/>
      <c r="GMP77" s="684"/>
      <c r="GMQ77" s="684"/>
      <c r="GMR77" s="684"/>
      <c r="GMS77" s="684"/>
      <c r="GMT77" s="684"/>
      <c r="GMU77" s="684"/>
      <c r="GMV77" s="684"/>
      <c r="GMW77" s="684"/>
      <c r="GMX77" s="684"/>
      <c r="GMY77" s="684"/>
      <c r="GMZ77" s="684"/>
      <c r="GNA77" s="684"/>
      <c r="GNB77" s="684"/>
      <c r="GNC77" s="684"/>
      <c r="GND77" s="684"/>
      <c r="GNE77" s="684"/>
      <c r="GNF77" s="684"/>
      <c r="GNG77" s="684"/>
      <c r="GNH77" s="684"/>
      <c r="GNI77" s="684"/>
      <c r="GNJ77" s="684"/>
      <c r="GNK77" s="684"/>
      <c r="GNL77" s="684"/>
      <c r="GNM77" s="684"/>
      <c r="GNN77" s="684"/>
      <c r="GNO77" s="684"/>
      <c r="GNP77" s="684"/>
      <c r="GNQ77" s="684"/>
      <c r="GNR77" s="684"/>
      <c r="GNS77" s="684"/>
      <c r="GNT77" s="684"/>
      <c r="GNU77" s="684"/>
      <c r="GNV77" s="684"/>
      <c r="GNW77" s="684"/>
      <c r="GNX77" s="684"/>
      <c r="GNY77" s="684"/>
      <c r="GNZ77" s="684"/>
      <c r="GOA77" s="684"/>
      <c r="GOB77" s="684"/>
      <c r="GOC77" s="684"/>
      <c r="GOD77" s="684"/>
      <c r="GOE77" s="684"/>
      <c r="GOF77" s="684"/>
      <c r="GOG77" s="684"/>
      <c r="GOH77" s="684"/>
      <c r="GOI77" s="684"/>
      <c r="GOJ77" s="684"/>
      <c r="GOK77" s="684"/>
      <c r="GOL77" s="684"/>
      <c r="GOM77" s="684"/>
      <c r="GON77" s="684"/>
      <c r="GOO77" s="684"/>
      <c r="GOP77" s="684"/>
      <c r="GOQ77" s="684"/>
      <c r="GOR77" s="684"/>
      <c r="GOS77" s="684"/>
      <c r="GOT77" s="684"/>
      <c r="GOU77" s="684"/>
      <c r="GOV77" s="684"/>
      <c r="GOW77" s="684"/>
      <c r="GOX77" s="684"/>
      <c r="GOY77" s="684"/>
      <c r="GOZ77" s="684"/>
      <c r="GPA77" s="684"/>
      <c r="GPB77" s="684"/>
      <c r="GPC77" s="684"/>
      <c r="GPD77" s="684"/>
      <c r="GPE77" s="684"/>
      <c r="GPF77" s="684"/>
      <c r="GPG77" s="684"/>
      <c r="GPH77" s="684"/>
      <c r="GPI77" s="684"/>
      <c r="GPJ77" s="684"/>
      <c r="GPK77" s="684"/>
      <c r="GPL77" s="684"/>
      <c r="GPM77" s="684"/>
      <c r="GPN77" s="684"/>
      <c r="GPO77" s="684"/>
      <c r="GPP77" s="684"/>
      <c r="GPQ77" s="684"/>
      <c r="GPR77" s="684"/>
      <c r="GPS77" s="684"/>
      <c r="GPT77" s="684"/>
      <c r="GPU77" s="684"/>
      <c r="GPV77" s="684"/>
      <c r="GPW77" s="684"/>
      <c r="GPX77" s="684"/>
      <c r="GPY77" s="684"/>
      <c r="GPZ77" s="684"/>
      <c r="GQA77" s="684"/>
      <c r="GQB77" s="684"/>
      <c r="GQC77" s="684"/>
      <c r="GQD77" s="684"/>
      <c r="GQE77" s="684"/>
      <c r="GQF77" s="684"/>
      <c r="GQG77" s="684"/>
      <c r="GQH77" s="684"/>
      <c r="GQI77" s="684"/>
      <c r="GQJ77" s="684"/>
      <c r="GQK77" s="684"/>
      <c r="GQL77" s="684"/>
      <c r="GQM77" s="684"/>
      <c r="GQN77" s="684"/>
      <c r="GQO77" s="684"/>
      <c r="GQP77" s="684"/>
      <c r="GQQ77" s="684"/>
      <c r="GQR77" s="684"/>
      <c r="GQS77" s="684"/>
      <c r="GQT77" s="684"/>
      <c r="GQU77" s="684"/>
      <c r="GQV77" s="684"/>
      <c r="GQW77" s="684"/>
      <c r="GQX77" s="684"/>
      <c r="GQY77" s="684"/>
      <c r="GQZ77" s="684"/>
      <c r="GRA77" s="684"/>
      <c r="GRB77" s="684"/>
      <c r="GRC77" s="684"/>
      <c r="GRD77" s="684"/>
      <c r="GRE77" s="684"/>
      <c r="GRF77" s="684"/>
      <c r="GRG77" s="684"/>
      <c r="GRH77" s="684"/>
      <c r="GRI77" s="684"/>
      <c r="GRJ77" s="684"/>
      <c r="GRK77" s="684"/>
      <c r="GRL77" s="684"/>
      <c r="GRM77" s="684"/>
      <c r="GRN77" s="684"/>
      <c r="GRO77" s="684"/>
      <c r="GRP77" s="684"/>
      <c r="GRQ77" s="684"/>
      <c r="GRR77" s="684"/>
      <c r="GRS77" s="684"/>
      <c r="GRT77" s="684"/>
      <c r="GRU77" s="684"/>
      <c r="GRV77" s="684"/>
      <c r="GRW77" s="684"/>
      <c r="GRX77" s="684"/>
      <c r="GRY77" s="684"/>
      <c r="GRZ77" s="684"/>
      <c r="GSA77" s="684"/>
      <c r="GSB77" s="684"/>
      <c r="GSC77" s="684"/>
      <c r="GSD77" s="684"/>
      <c r="GSE77" s="684"/>
      <c r="GSF77" s="684"/>
      <c r="GSG77" s="684"/>
      <c r="GSH77" s="684"/>
      <c r="GSI77" s="684"/>
      <c r="GSJ77" s="684"/>
      <c r="GSK77" s="684"/>
      <c r="GSL77" s="684"/>
      <c r="GSM77" s="684"/>
      <c r="GSN77" s="684"/>
      <c r="GSO77" s="684"/>
      <c r="GSP77" s="684"/>
      <c r="GSQ77" s="684"/>
      <c r="GSR77" s="684"/>
      <c r="GSS77" s="684"/>
      <c r="GST77" s="684"/>
      <c r="GSU77" s="684"/>
      <c r="GSV77" s="684"/>
      <c r="GSW77" s="684"/>
      <c r="GSX77" s="684"/>
      <c r="GSY77" s="684"/>
      <c r="GSZ77" s="684"/>
      <c r="GTA77" s="684"/>
      <c r="GTB77" s="684"/>
      <c r="GTC77" s="684"/>
      <c r="GTD77" s="684"/>
      <c r="GTE77" s="684"/>
      <c r="GTF77" s="684"/>
      <c r="GTG77" s="684"/>
      <c r="GTH77" s="684"/>
      <c r="GTI77" s="684"/>
      <c r="GTJ77" s="684"/>
      <c r="GTK77" s="684"/>
      <c r="GTL77" s="684"/>
      <c r="GTM77" s="684"/>
      <c r="GTN77" s="684"/>
      <c r="GTO77" s="684"/>
      <c r="GTP77" s="684"/>
      <c r="GTQ77" s="684"/>
      <c r="GTR77" s="684"/>
      <c r="GTS77" s="684"/>
      <c r="GTT77" s="684"/>
      <c r="GTU77" s="684"/>
      <c r="GTV77" s="684"/>
      <c r="GTW77" s="684"/>
      <c r="GTX77" s="684"/>
      <c r="GTY77" s="684"/>
      <c r="GTZ77" s="684"/>
      <c r="GUA77" s="684"/>
      <c r="GUB77" s="684"/>
      <c r="GUC77" s="684"/>
      <c r="GUD77" s="684"/>
      <c r="GUE77" s="684"/>
      <c r="GUF77" s="684"/>
      <c r="GUG77" s="684"/>
      <c r="GUH77" s="684"/>
      <c r="GUI77" s="684"/>
      <c r="GUJ77" s="684"/>
      <c r="GUK77" s="684"/>
      <c r="GUL77" s="684"/>
      <c r="GUM77" s="684"/>
      <c r="GUN77" s="684"/>
      <c r="GUO77" s="684"/>
      <c r="GUP77" s="684"/>
      <c r="GUQ77" s="684"/>
      <c r="GUR77" s="684"/>
      <c r="GUS77" s="684"/>
      <c r="GUT77" s="684"/>
      <c r="GUU77" s="684"/>
      <c r="GUV77" s="684"/>
      <c r="GUW77" s="684"/>
      <c r="GUX77" s="684"/>
      <c r="GUY77" s="684"/>
      <c r="GUZ77" s="684"/>
      <c r="GVA77" s="684"/>
      <c r="GVB77" s="684"/>
      <c r="GVC77" s="684"/>
      <c r="GVD77" s="684"/>
      <c r="GVE77" s="684"/>
      <c r="GVF77" s="684"/>
      <c r="GVG77" s="684"/>
      <c r="GVH77" s="684"/>
      <c r="GVI77" s="684"/>
      <c r="GVJ77" s="684"/>
      <c r="GVK77" s="684"/>
      <c r="GVL77" s="684"/>
      <c r="GVM77" s="684"/>
      <c r="GVN77" s="684"/>
      <c r="GVO77" s="684"/>
      <c r="GVP77" s="684"/>
      <c r="GVQ77" s="684"/>
      <c r="GVR77" s="684"/>
      <c r="GVS77" s="684"/>
      <c r="GVT77" s="684"/>
      <c r="GVU77" s="684"/>
      <c r="GVV77" s="684"/>
      <c r="GVW77" s="684"/>
      <c r="GVX77" s="684"/>
      <c r="GVY77" s="684"/>
      <c r="GVZ77" s="684"/>
      <c r="GWA77" s="684"/>
      <c r="GWB77" s="684"/>
      <c r="GWC77" s="684"/>
      <c r="GWD77" s="684"/>
      <c r="GWE77" s="684"/>
      <c r="GWF77" s="684"/>
      <c r="GWG77" s="684"/>
      <c r="GWH77" s="684"/>
      <c r="GWI77" s="684"/>
      <c r="GWJ77" s="684"/>
      <c r="GWK77" s="684"/>
      <c r="GWL77" s="684"/>
      <c r="GWM77" s="684"/>
      <c r="GWN77" s="684"/>
      <c r="GWO77" s="684"/>
      <c r="GWP77" s="684"/>
      <c r="GWQ77" s="684"/>
      <c r="GWR77" s="684"/>
      <c r="GWS77" s="684"/>
      <c r="GWT77" s="684"/>
      <c r="GWU77" s="684"/>
      <c r="GWV77" s="684"/>
      <c r="GWW77" s="684"/>
      <c r="GWX77" s="684"/>
      <c r="GWY77" s="684"/>
      <c r="GWZ77" s="684"/>
      <c r="GXA77" s="684"/>
      <c r="GXB77" s="684"/>
      <c r="GXC77" s="684"/>
      <c r="GXD77" s="684"/>
      <c r="GXE77" s="684"/>
      <c r="GXF77" s="684"/>
      <c r="GXG77" s="684"/>
      <c r="GXH77" s="684"/>
      <c r="GXI77" s="684"/>
      <c r="GXJ77" s="684"/>
      <c r="GXK77" s="684"/>
      <c r="GXL77" s="684"/>
      <c r="GXM77" s="684"/>
      <c r="GXN77" s="684"/>
      <c r="GXO77" s="684"/>
      <c r="GXP77" s="684"/>
      <c r="GXQ77" s="684"/>
      <c r="GXR77" s="684"/>
      <c r="GXS77" s="684"/>
      <c r="GXT77" s="684"/>
      <c r="GXU77" s="684"/>
      <c r="GXV77" s="684"/>
      <c r="GXW77" s="684"/>
      <c r="GXX77" s="684"/>
      <c r="GXY77" s="684"/>
      <c r="GXZ77" s="684"/>
      <c r="GYA77" s="684"/>
      <c r="GYB77" s="684"/>
      <c r="GYC77" s="684"/>
      <c r="GYD77" s="684"/>
      <c r="GYE77" s="684"/>
      <c r="GYF77" s="684"/>
      <c r="GYG77" s="684"/>
      <c r="GYH77" s="684"/>
      <c r="GYI77" s="684"/>
      <c r="GYJ77" s="684"/>
      <c r="GYK77" s="684"/>
      <c r="GYL77" s="684"/>
      <c r="GYM77" s="684"/>
      <c r="GYN77" s="684"/>
      <c r="GYO77" s="684"/>
      <c r="GYP77" s="684"/>
      <c r="GYQ77" s="684"/>
      <c r="GYR77" s="684"/>
      <c r="GYS77" s="684"/>
      <c r="GYT77" s="684"/>
      <c r="GYU77" s="684"/>
      <c r="GYV77" s="684"/>
      <c r="GYW77" s="684"/>
      <c r="GYX77" s="684"/>
      <c r="GYY77" s="684"/>
      <c r="GYZ77" s="684"/>
      <c r="GZA77" s="684"/>
      <c r="GZB77" s="684"/>
      <c r="GZC77" s="684"/>
      <c r="GZD77" s="684"/>
      <c r="GZE77" s="684"/>
      <c r="GZF77" s="684"/>
      <c r="GZG77" s="684"/>
      <c r="GZH77" s="684"/>
      <c r="GZI77" s="684"/>
      <c r="GZJ77" s="684"/>
      <c r="GZK77" s="684"/>
      <c r="GZL77" s="684"/>
      <c r="GZM77" s="684"/>
      <c r="GZN77" s="684"/>
      <c r="GZO77" s="684"/>
      <c r="GZP77" s="684"/>
      <c r="GZQ77" s="684"/>
      <c r="GZR77" s="684"/>
      <c r="GZS77" s="684"/>
      <c r="GZT77" s="684"/>
      <c r="GZU77" s="684"/>
      <c r="GZV77" s="684"/>
      <c r="GZW77" s="684"/>
      <c r="GZX77" s="684"/>
      <c r="GZY77" s="684"/>
      <c r="GZZ77" s="684"/>
      <c r="HAA77" s="684"/>
      <c r="HAB77" s="684"/>
      <c r="HAC77" s="684"/>
      <c r="HAD77" s="684"/>
      <c r="HAE77" s="684"/>
      <c r="HAF77" s="684"/>
      <c r="HAG77" s="684"/>
      <c r="HAH77" s="684"/>
      <c r="HAI77" s="684"/>
      <c r="HAJ77" s="684"/>
      <c r="HAK77" s="684"/>
      <c r="HAL77" s="684"/>
      <c r="HAM77" s="684"/>
      <c r="HAN77" s="684"/>
      <c r="HAO77" s="684"/>
      <c r="HAP77" s="684"/>
      <c r="HAQ77" s="684"/>
      <c r="HAR77" s="684"/>
      <c r="HAS77" s="684"/>
      <c r="HAT77" s="684"/>
      <c r="HAU77" s="684"/>
      <c r="HAV77" s="684"/>
      <c r="HAW77" s="684"/>
      <c r="HAX77" s="684"/>
      <c r="HAY77" s="684"/>
      <c r="HAZ77" s="684"/>
      <c r="HBA77" s="684"/>
      <c r="HBB77" s="684"/>
      <c r="HBC77" s="684"/>
      <c r="HBD77" s="684"/>
      <c r="HBE77" s="684"/>
      <c r="HBF77" s="684"/>
      <c r="HBG77" s="684"/>
      <c r="HBH77" s="684"/>
      <c r="HBI77" s="684"/>
      <c r="HBJ77" s="684"/>
      <c r="HBK77" s="684"/>
      <c r="HBL77" s="684"/>
      <c r="HBM77" s="684"/>
      <c r="HBN77" s="684"/>
      <c r="HBO77" s="684"/>
      <c r="HBP77" s="684"/>
      <c r="HBQ77" s="684"/>
      <c r="HBR77" s="684"/>
      <c r="HBS77" s="684"/>
      <c r="HBT77" s="684"/>
      <c r="HBU77" s="684"/>
      <c r="HBV77" s="684"/>
      <c r="HBW77" s="684"/>
      <c r="HBX77" s="684"/>
      <c r="HBY77" s="684"/>
      <c r="HBZ77" s="684"/>
      <c r="HCA77" s="684"/>
      <c r="HCB77" s="684"/>
      <c r="HCC77" s="684"/>
      <c r="HCD77" s="684"/>
      <c r="HCE77" s="684"/>
      <c r="HCF77" s="684"/>
      <c r="HCG77" s="684"/>
      <c r="HCH77" s="684"/>
      <c r="HCI77" s="684"/>
      <c r="HCJ77" s="684"/>
      <c r="HCK77" s="684"/>
      <c r="HCL77" s="684"/>
      <c r="HCM77" s="684"/>
      <c r="HCN77" s="684"/>
      <c r="HCO77" s="684"/>
      <c r="HCP77" s="684"/>
      <c r="HCQ77" s="684"/>
      <c r="HCR77" s="684"/>
      <c r="HCS77" s="684"/>
      <c r="HCT77" s="684"/>
      <c r="HCU77" s="684"/>
      <c r="HCV77" s="684"/>
      <c r="HCW77" s="684"/>
      <c r="HCX77" s="684"/>
      <c r="HCY77" s="684"/>
      <c r="HCZ77" s="684"/>
      <c r="HDA77" s="684"/>
      <c r="HDB77" s="684"/>
      <c r="HDC77" s="684"/>
      <c r="HDD77" s="684"/>
      <c r="HDE77" s="684"/>
      <c r="HDF77" s="684"/>
      <c r="HDG77" s="684"/>
      <c r="HDH77" s="684"/>
      <c r="HDI77" s="684"/>
      <c r="HDJ77" s="684"/>
      <c r="HDK77" s="684"/>
      <c r="HDL77" s="684"/>
      <c r="HDM77" s="684"/>
      <c r="HDN77" s="684"/>
      <c r="HDO77" s="684"/>
      <c r="HDP77" s="684"/>
      <c r="HDQ77" s="684"/>
      <c r="HDR77" s="684"/>
      <c r="HDS77" s="684"/>
      <c r="HDT77" s="684"/>
      <c r="HDU77" s="684"/>
      <c r="HDV77" s="684"/>
      <c r="HDW77" s="684"/>
      <c r="HDX77" s="684"/>
      <c r="HDY77" s="684"/>
      <c r="HDZ77" s="684"/>
      <c r="HEA77" s="684"/>
      <c r="HEB77" s="684"/>
      <c r="HEC77" s="684"/>
      <c r="HED77" s="684"/>
      <c r="HEE77" s="684"/>
      <c r="HEF77" s="684"/>
      <c r="HEG77" s="684"/>
      <c r="HEH77" s="684"/>
      <c r="HEI77" s="684"/>
      <c r="HEJ77" s="684"/>
      <c r="HEK77" s="684"/>
      <c r="HEL77" s="684"/>
      <c r="HEM77" s="684"/>
      <c r="HEN77" s="684"/>
      <c r="HEO77" s="684"/>
      <c r="HEP77" s="684"/>
      <c r="HEQ77" s="684"/>
      <c r="HER77" s="684"/>
      <c r="HES77" s="684"/>
      <c r="HET77" s="684"/>
      <c r="HEU77" s="684"/>
      <c r="HEV77" s="684"/>
      <c r="HEW77" s="684"/>
      <c r="HEX77" s="684"/>
      <c r="HEY77" s="684"/>
      <c r="HEZ77" s="684"/>
      <c r="HFA77" s="684"/>
      <c r="HFB77" s="684"/>
      <c r="HFC77" s="684"/>
      <c r="HFD77" s="684"/>
      <c r="HFE77" s="684"/>
      <c r="HFF77" s="684"/>
      <c r="HFG77" s="684"/>
      <c r="HFH77" s="684"/>
      <c r="HFI77" s="684"/>
      <c r="HFJ77" s="684"/>
      <c r="HFK77" s="684"/>
      <c r="HFL77" s="684"/>
      <c r="HFM77" s="684"/>
      <c r="HFN77" s="684"/>
      <c r="HFO77" s="684"/>
      <c r="HFP77" s="684"/>
      <c r="HFQ77" s="684"/>
      <c r="HFR77" s="684"/>
      <c r="HFS77" s="684"/>
      <c r="HFT77" s="684"/>
      <c r="HFU77" s="684"/>
      <c r="HFV77" s="684"/>
      <c r="HFW77" s="684"/>
      <c r="HFX77" s="684"/>
      <c r="HFY77" s="684"/>
      <c r="HFZ77" s="684"/>
      <c r="HGA77" s="684"/>
      <c r="HGB77" s="684"/>
      <c r="HGC77" s="684"/>
      <c r="HGD77" s="684"/>
      <c r="HGE77" s="684"/>
      <c r="HGF77" s="684"/>
      <c r="HGG77" s="684"/>
      <c r="HGH77" s="684"/>
      <c r="HGI77" s="684"/>
      <c r="HGJ77" s="684"/>
      <c r="HGK77" s="684"/>
      <c r="HGL77" s="684"/>
      <c r="HGM77" s="684"/>
      <c r="HGN77" s="684"/>
      <c r="HGO77" s="684"/>
      <c r="HGP77" s="684"/>
      <c r="HGQ77" s="684"/>
      <c r="HGR77" s="684"/>
      <c r="HGS77" s="684"/>
      <c r="HGT77" s="684"/>
      <c r="HGU77" s="684"/>
      <c r="HGV77" s="684"/>
      <c r="HGW77" s="684"/>
      <c r="HGX77" s="684"/>
      <c r="HGY77" s="684"/>
      <c r="HGZ77" s="684"/>
      <c r="HHA77" s="684"/>
      <c r="HHB77" s="684"/>
      <c r="HHC77" s="684"/>
      <c r="HHD77" s="684"/>
      <c r="HHE77" s="684"/>
      <c r="HHF77" s="684"/>
      <c r="HHG77" s="684"/>
      <c r="HHH77" s="684"/>
      <c r="HHI77" s="684"/>
      <c r="HHJ77" s="684"/>
      <c r="HHK77" s="684"/>
      <c r="HHL77" s="684"/>
      <c r="HHM77" s="684"/>
      <c r="HHN77" s="684"/>
      <c r="HHO77" s="684"/>
      <c r="HHP77" s="684"/>
      <c r="HHQ77" s="684"/>
      <c r="HHR77" s="684"/>
      <c r="HHS77" s="684"/>
      <c r="HHT77" s="684"/>
      <c r="HHU77" s="684"/>
      <c r="HHV77" s="684"/>
      <c r="HHW77" s="684"/>
      <c r="HHX77" s="684"/>
      <c r="HHY77" s="684"/>
      <c r="HHZ77" s="684"/>
      <c r="HIA77" s="684"/>
      <c r="HIB77" s="684"/>
      <c r="HIC77" s="684"/>
      <c r="HID77" s="684"/>
      <c r="HIE77" s="684"/>
      <c r="HIF77" s="684"/>
      <c r="HIG77" s="684"/>
      <c r="HIH77" s="684"/>
      <c r="HII77" s="684"/>
      <c r="HIJ77" s="684"/>
      <c r="HIK77" s="684"/>
      <c r="HIL77" s="684"/>
      <c r="HIM77" s="684"/>
      <c r="HIN77" s="684"/>
      <c r="HIO77" s="684"/>
      <c r="HIP77" s="684"/>
      <c r="HIQ77" s="684"/>
      <c r="HIR77" s="684"/>
      <c r="HIS77" s="684"/>
      <c r="HIT77" s="684"/>
      <c r="HIU77" s="684"/>
      <c r="HIV77" s="684"/>
      <c r="HIW77" s="684"/>
      <c r="HIX77" s="684"/>
      <c r="HIY77" s="684"/>
      <c r="HIZ77" s="684"/>
      <c r="HJA77" s="684"/>
      <c r="HJB77" s="684"/>
      <c r="HJC77" s="684"/>
      <c r="HJD77" s="684"/>
      <c r="HJE77" s="684"/>
      <c r="HJF77" s="684"/>
      <c r="HJG77" s="684"/>
      <c r="HJH77" s="684"/>
      <c r="HJI77" s="684"/>
      <c r="HJJ77" s="684"/>
      <c r="HJK77" s="684"/>
      <c r="HJL77" s="684"/>
      <c r="HJM77" s="684"/>
      <c r="HJN77" s="684"/>
      <c r="HJO77" s="684"/>
      <c r="HJP77" s="684"/>
      <c r="HJQ77" s="684"/>
      <c r="HJR77" s="684"/>
      <c r="HJS77" s="684"/>
      <c r="HJT77" s="684"/>
      <c r="HJU77" s="684"/>
      <c r="HJV77" s="684"/>
      <c r="HJW77" s="684"/>
      <c r="HJX77" s="684"/>
      <c r="HJY77" s="684"/>
      <c r="HJZ77" s="684"/>
      <c r="HKA77" s="684"/>
      <c r="HKB77" s="684"/>
      <c r="HKC77" s="684"/>
      <c r="HKD77" s="684"/>
      <c r="HKE77" s="684"/>
      <c r="HKF77" s="684"/>
      <c r="HKG77" s="684"/>
      <c r="HKH77" s="684"/>
      <c r="HKI77" s="684"/>
      <c r="HKJ77" s="684"/>
      <c r="HKK77" s="684"/>
      <c r="HKL77" s="684"/>
      <c r="HKM77" s="684"/>
      <c r="HKN77" s="684"/>
      <c r="HKO77" s="684"/>
      <c r="HKP77" s="684"/>
      <c r="HKQ77" s="684"/>
      <c r="HKR77" s="684"/>
      <c r="HKS77" s="684"/>
      <c r="HKT77" s="684"/>
      <c r="HKU77" s="684"/>
      <c r="HKV77" s="684"/>
      <c r="HKW77" s="684"/>
      <c r="HKX77" s="684"/>
      <c r="HKY77" s="684"/>
      <c r="HKZ77" s="684"/>
      <c r="HLA77" s="684"/>
      <c r="HLB77" s="684"/>
      <c r="HLC77" s="684"/>
      <c r="HLD77" s="684"/>
      <c r="HLE77" s="684"/>
      <c r="HLF77" s="684"/>
      <c r="HLG77" s="684"/>
      <c r="HLH77" s="684"/>
      <c r="HLI77" s="684"/>
      <c r="HLJ77" s="684"/>
      <c r="HLK77" s="684"/>
      <c r="HLL77" s="684"/>
      <c r="HLM77" s="684"/>
      <c r="HLN77" s="684"/>
      <c r="HLO77" s="684"/>
      <c r="HLP77" s="684"/>
      <c r="HLQ77" s="684"/>
      <c r="HLR77" s="684"/>
      <c r="HLS77" s="684"/>
      <c r="HLT77" s="684"/>
      <c r="HLU77" s="684"/>
      <c r="HLV77" s="684"/>
      <c r="HLW77" s="684"/>
      <c r="HLX77" s="684"/>
      <c r="HLY77" s="684"/>
      <c r="HLZ77" s="684"/>
      <c r="HMA77" s="684"/>
      <c r="HMB77" s="684"/>
      <c r="HMC77" s="684"/>
      <c r="HMD77" s="684"/>
      <c r="HME77" s="684"/>
      <c r="HMF77" s="684"/>
      <c r="HMG77" s="684"/>
      <c r="HMH77" s="684"/>
      <c r="HMI77" s="684"/>
      <c r="HMJ77" s="684"/>
      <c r="HMK77" s="684"/>
      <c r="HML77" s="684"/>
      <c r="HMM77" s="684"/>
      <c r="HMN77" s="684"/>
      <c r="HMO77" s="684"/>
      <c r="HMP77" s="684"/>
      <c r="HMQ77" s="684"/>
      <c r="HMR77" s="684"/>
      <c r="HMS77" s="684"/>
      <c r="HMT77" s="684"/>
      <c r="HMU77" s="684"/>
      <c r="HMV77" s="684"/>
      <c r="HMW77" s="684"/>
      <c r="HMX77" s="684"/>
      <c r="HMY77" s="684"/>
      <c r="HMZ77" s="684"/>
      <c r="HNA77" s="684"/>
      <c r="HNB77" s="684"/>
      <c r="HNC77" s="684"/>
      <c r="HND77" s="684"/>
      <c r="HNE77" s="684"/>
      <c r="HNF77" s="684"/>
      <c r="HNG77" s="684"/>
      <c r="HNH77" s="684"/>
      <c r="HNI77" s="684"/>
      <c r="HNJ77" s="684"/>
      <c r="HNK77" s="684"/>
      <c r="HNL77" s="684"/>
      <c r="HNM77" s="684"/>
      <c r="HNN77" s="684"/>
      <c r="HNO77" s="684"/>
      <c r="HNP77" s="684"/>
      <c r="HNQ77" s="684"/>
      <c r="HNR77" s="684"/>
      <c r="HNS77" s="684"/>
      <c r="HNT77" s="684"/>
      <c r="HNU77" s="684"/>
      <c r="HNV77" s="684"/>
      <c r="HNW77" s="684"/>
      <c r="HNX77" s="684"/>
      <c r="HNY77" s="684"/>
      <c r="HNZ77" s="684"/>
      <c r="HOA77" s="684"/>
      <c r="HOB77" s="684"/>
      <c r="HOC77" s="684"/>
      <c r="HOD77" s="684"/>
      <c r="HOE77" s="684"/>
      <c r="HOF77" s="684"/>
      <c r="HOG77" s="684"/>
      <c r="HOH77" s="684"/>
      <c r="HOI77" s="684"/>
      <c r="HOJ77" s="684"/>
      <c r="HOK77" s="684"/>
      <c r="HOL77" s="684"/>
      <c r="HOM77" s="684"/>
      <c r="HON77" s="684"/>
      <c r="HOO77" s="684"/>
      <c r="HOP77" s="684"/>
      <c r="HOQ77" s="684"/>
      <c r="HOR77" s="684"/>
      <c r="HOS77" s="684"/>
      <c r="HOT77" s="684"/>
      <c r="HOU77" s="684"/>
      <c r="HOV77" s="684"/>
      <c r="HOW77" s="684"/>
      <c r="HOX77" s="684"/>
      <c r="HOY77" s="684"/>
      <c r="HOZ77" s="684"/>
      <c r="HPA77" s="684"/>
      <c r="HPB77" s="684"/>
      <c r="HPC77" s="684"/>
      <c r="HPD77" s="684"/>
      <c r="HPE77" s="684"/>
      <c r="HPF77" s="684"/>
      <c r="HPG77" s="684"/>
      <c r="HPH77" s="684"/>
      <c r="HPI77" s="684"/>
      <c r="HPJ77" s="684"/>
      <c r="HPK77" s="684"/>
      <c r="HPL77" s="684"/>
      <c r="HPM77" s="684"/>
      <c r="HPN77" s="684"/>
      <c r="HPO77" s="684"/>
      <c r="HPP77" s="684"/>
      <c r="HPQ77" s="684"/>
      <c r="HPR77" s="684"/>
      <c r="HPS77" s="684"/>
      <c r="HPT77" s="684"/>
      <c r="HPU77" s="684"/>
      <c r="HPV77" s="684"/>
      <c r="HPW77" s="684"/>
      <c r="HPX77" s="684"/>
      <c r="HPY77" s="684"/>
      <c r="HPZ77" s="684"/>
      <c r="HQA77" s="684"/>
      <c r="HQB77" s="684"/>
      <c r="HQC77" s="684"/>
      <c r="HQD77" s="684"/>
      <c r="HQE77" s="684"/>
      <c r="HQF77" s="684"/>
      <c r="HQG77" s="684"/>
      <c r="HQH77" s="684"/>
      <c r="HQI77" s="684"/>
      <c r="HQJ77" s="684"/>
      <c r="HQK77" s="684"/>
      <c r="HQL77" s="684"/>
      <c r="HQM77" s="684"/>
      <c r="HQN77" s="684"/>
      <c r="HQO77" s="684"/>
      <c r="HQP77" s="684"/>
      <c r="HQQ77" s="684"/>
      <c r="HQR77" s="684"/>
      <c r="HQS77" s="684"/>
      <c r="HQT77" s="684"/>
      <c r="HQU77" s="684"/>
      <c r="HQV77" s="684"/>
      <c r="HQW77" s="684"/>
      <c r="HQX77" s="684"/>
      <c r="HQY77" s="684"/>
      <c r="HQZ77" s="684"/>
      <c r="HRA77" s="684"/>
      <c r="HRB77" s="684"/>
      <c r="HRC77" s="684"/>
      <c r="HRD77" s="684"/>
      <c r="HRE77" s="684"/>
      <c r="HRF77" s="684"/>
      <c r="HRG77" s="684"/>
      <c r="HRH77" s="684"/>
      <c r="HRI77" s="684"/>
      <c r="HRJ77" s="684"/>
      <c r="HRK77" s="684"/>
      <c r="HRL77" s="684"/>
      <c r="HRM77" s="684"/>
      <c r="HRN77" s="684"/>
      <c r="HRO77" s="684"/>
      <c r="HRP77" s="684"/>
      <c r="HRQ77" s="684"/>
      <c r="HRR77" s="684"/>
      <c r="HRS77" s="684"/>
      <c r="HRT77" s="684"/>
      <c r="HRU77" s="684"/>
      <c r="HRV77" s="684"/>
      <c r="HRW77" s="684"/>
      <c r="HRX77" s="684"/>
      <c r="HRY77" s="684"/>
      <c r="HRZ77" s="684"/>
      <c r="HSA77" s="684"/>
      <c r="HSB77" s="684"/>
      <c r="HSC77" s="684"/>
      <c r="HSD77" s="684"/>
      <c r="HSE77" s="684"/>
      <c r="HSF77" s="684"/>
      <c r="HSG77" s="684"/>
      <c r="HSH77" s="684"/>
      <c r="HSI77" s="684"/>
      <c r="HSJ77" s="684"/>
      <c r="HSK77" s="684"/>
      <c r="HSL77" s="684"/>
      <c r="HSM77" s="684"/>
      <c r="HSN77" s="684"/>
      <c r="HSO77" s="684"/>
      <c r="HSP77" s="684"/>
      <c r="HSQ77" s="684"/>
      <c r="HSR77" s="684"/>
      <c r="HSS77" s="684"/>
      <c r="HST77" s="684"/>
      <c r="HSU77" s="684"/>
      <c r="HSV77" s="684"/>
      <c r="HSW77" s="684"/>
      <c r="HSX77" s="684"/>
      <c r="HSY77" s="684"/>
      <c r="HSZ77" s="684"/>
      <c r="HTA77" s="684"/>
      <c r="HTB77" s="684"/>
      <c r="HTC77" s="684"/>
      <c r="HTD77" s="684"/>
      <c r="HTE77" s="684"/>
      <c r="HTF77" s="684"/>
      <c r="HTG77" s="684"/>
      <c r="HTH77" s="684"/>
      <c r="HTI77" s="684"/>
      <c r="HTJ77" s="684"/>
      <c r="HTK77" s="684"/>
      <c r="HTL77" s="684"/>
      <c r="HTM77" s="684"/>
      <c r="HTN77" s="684"/>
      <c r="HTO77" s="684"/>
      <c r="HTP77" s="684"/>
      <c r="HTQ77" s="684"/>
      <c r="HTR77" s="684"/>
      <c r="HTS77" s="684"/>
      <c r="HTT77" s="684"/>
      <c r="HTU77" s="684"/>
      <c r="HTV77" s="684"/>
      <c r="HTW77" s="684"/>
      <c r="HTX77" s="684"/>
      <c r="HTY77" s="684"/>
      <c r="HTZ77" s="684"/>
      <c r="HUA77" s="684"/>
      <c r="HUB77" s="684"/>
      <c r="HUC77" s="684"/>
      <c r="HUD77" s="684"/>
      <c r="HUE77" s="684"/>
      <c r="HUF77" s="684"/>
      <c r="HUG77" s="684"/>
      <c r="HUH77" s="684"/>
      <c r="HUI77" s="684"/>
      <c r="HUJ77" s="684"/>
      <c r="HUK77" s="684"/>
      <c r="HUL77" s="684"/>
      <c r="HUM77" s="684"/>
      <c r="HUN77" s="684"/>
      <c r="HUO77" s="684"/>
      <c r="HUP77" s="684"/>
      <c r="HUQ77" s="684"/>
      <c r="HUR77" s="684"/>
      <c r="HUS77" s="684"/>
      <c r="HUT77" s="684"/>
      <c r="HUU77" s="684"/>
      <c r="HUV77" s="684"/>
      <c r="HUW77" s="684"/>
      <c r="HUX77" s="684"/>
      <c r="HUY77" s="684"/>
      <c r="HUZ77" s="684"/>
      <c r="HVA77" s="684"/>
      <c r="HVB77" s="684"/>
      <c r="HVC77" s="684"/>
      <c r="HVD77" s="684"/>
      <c r="HVE77" s="684"/>
      <c r="HVF77" s="684"/>
      <c r="HVG77" s="684"/>
      <c r="HVH77" s="684"/>
      <c r="HVI77" s="684"/>
      <c r="HVJ77" s="684"/>
      <c r="HVK77" s="684"/>
      <c r="HVL77" s="684"/>
      <c r="HVM77" s="684"/>
      <c r="HVN77" s="684"/>
      <c r="HVO77" s="684"/>
      <c r="HVP77" s="684"/>
      <c r="HVQ77" s="684"/>
      <c r="HVR77" s="684"/>
      <c r="HVS77" s="684"/>
      <c r="HVT77" s="684"/>
      <c r="HVU77" s="684"/>
      <c r="HVV77" s="684"/>
      <c r="HVW77" s="684"/>
      <c r="HVX77" s="684"/>
      <c r="HVY77" s="684"/>
      <c r="HVZ77" s="684"/>
      <c r="HWA77" s="684"/>
      <c r="HWB77" s="684"/>
      <c r="HWC77" s="684"/>
      <c r="HWD77" s="684"/>
      <c r="HWE77" s="684"/>
      <c r="HWF77" s="684"/>
      <c r="HWG77" s="684"/>
      <c r="HWH77" s="684"/>
      <c r="HWI77" s="684"/>
      <c r="HWJ77" s="684"/>
      <c r="HWK77" s="684"/>
      <c r="HWL77" s="684"/>
      <c r="HWM77" s="684"/>
      <c r="HWN77" s="684"/>
      <c r="HWO77" s="684"/>
      <c r="HWP77" s="684"/>
      <c r="HWQ77" s="684"/>
      <c r="HWR77" s="684"/>
      <c r="HWS77" s="684"/>
      <c r="HWT77" s="684"/>
      <c r="HWU77" s="684"/>
      <c r="HWV77" s="684"/>
      <c r="HWW77" s="684"/>
      <c r="HWX77" s="684"/>
      <c r="HWY77" s="684"/>
      <c r="HWZ77" s="684"/>
      <c r="HXA77" s="684"/>
      <c r="HXB77" s="684"/>
      <c r="HXC77" s="684"/>
      <c r="HXD77" s="684"/>
      <c r="HXE77" s="684"/>
      <c r="HXF77" s="684"/>
      <c r="HXG77" s="684"/>
      <c r="HXH77" s="684"/>
      <c r="HXI77" s="684"/>
      <c r="HXJ77" s="684"/>
      <c r="HXK77" s="684"/>
      <c r="HXL77" s="684"/>
      <c r="HXM77" s="684"/>
      <c r="HXN77" s="684"/>
      <c r="HXO77" s="684"/>
      <c r="HXP77" s="684"/>
      <c r="HXQ77" s="684"/>
      <c r="HXR77" s="684"/>
      <c r="HXS77" s="684"/>
      <c r="HXT77" s="684"/>
      <c r="HXU77" s="684"/>
      <c r="HXV77" s="684"/>
      <c r="HXW77" s="684"/>
      <c r="HXX77" s="684"/>
      <c r="HXY77" s="684"/>
      <c r="HXZ77" s="684"/>
      <c r="HYA77" s="684"/>
      <c r="HYB77" s="684"/>
      <c r="HYC77" s="684"/>
      <c r="HYD77" s="684"/>
      <c r="HYE77" s="684"/>
      <c r="HYF77" s="684"/>
      <c r="HYG77" s="684"/>
      <c r="HYH77" s="684"/>
      <c r="HYI77" s="684"/>
      <c r="HYJ77" s="684"/>
      <c r="HYK77" s="684"/>
      <c r="HYL77" s="684"/>
      <c r="HYM77" s="684"/>
      <c r="HYN77" s="684"/>
      <c r="HYO77" s="684"/>
      <c r="HYP77" s="684"/>
      <c r="HYQ77" s="684"/>
      <c r="HYR77" s="684"/>
      <c r="HYS77" s="684"/>
      <c r="HYT77" s="684"/>
      <c r="HYU77" s="684"/>
      <c r="HYV77" s="684"/>
      <c r="HYW77" s="684"/>
      <c r="HYX77" s="684"/>
      <c r="HYY77" s="684"/>
      <c r="HYZ77" s="684"/>
      <c r="HZA77" s="684"/>
      <c r="HZB77" s="684"/>
      <c r="HZC77" s="684"/>
      <c r="HZD77" s="684"/>
      <c r="HZE77" s="684"/>
      <c r="HZF77" s="684"/>
      <c r="HZG77" s="684"/>
      <c r="HZH77" s="684"/>
      <c r="HZI77" s="684"/>
      <c r="HZJ77" s="684"/>
      <c r="HZK77" s="684"/>
      <c r="HZL77" s="684"/>
      <c r="HZM77" s="684"/>
      <c r="HZN77" s="684"/>
      <c r="HZO77" s="684"/>
      <c r="HZP77" s="684"/>
      <c r="HZQ77" s="684"/>
      <c r="HZR77" s="684"/>
      <c r="HZS77" s="684"/>
      <c r="HZT77" s="684"/>
      <c r="HZU77" s="684"/>
      <c r="HZV77" s="684"/>
      <c r="HZW77" s="684"/>
      <c r="HZX77" s="684"/>
      <c r="HZY77" s="684"/>
      <c r="HZZ77" s="684"/>
      <c r="IAA77" s="684"/>
      <c r="IAB77" s="684"/>
      <c r="IAC77" s="684"/>
      <c r="IAD77" s="684"/>
      <c r="IAE77" s="684"/>
      <c r="IAF77" s="684"/>
      <c r="IAG77" s="684"/>
      <c r="IAH77" s="684"/>
      <c r="IAI77" s="684"/>
      <c r="IAJ77" s="684"/>
      <c r="IAK77" s="684"/>
      <c r="IAL77" s="684"/>
      <c r="IAM77" s="684"/>
      <c r="IAN77" s="684"/>
      <c r="IAO77" s="684"/>
      <c r="IAP77" s="684"/>
      <c r="IAQ77" s="684"/>
      <c r="IAR77" s="684"/>
      <c r="IAS77" s="684"/>
      <c r="IAT77" s="684"/>
      <c r="IAU77" s="684"/>
      <c r="IAV77" s="684"/>
      <c r="IAW77" s="684"/>
      <c r="IAX77" s="684"/>
      <c r="IAY77" s="684"/>
      <c r="IAZ77" s="684"/>
      <c r="IBA77" s="684"/>
      <c r="IBB77" s="684"/>
      <c r="IBC77" s="684"/>
      <c r="IBD77" s="684"/>
      <c r="IBE77" s="684"/>
      <c r="IBF77" s="684"/>
      <c r="IBG77" s="684"/>
      <c r="IBH77" s="684"/>
      <c r="IBI77" s="684"/>
      <c r="IBJ77" s="684"/>
      <c r="IBK77" s="684"/>
      <c r="IBL77" s="684"/>
      <c r="IBM77" s="684"/>
      <c r="IBN77" s="684"/>
      <c r="IBO77" s="684"/>
      <c r="IBP77" s="684"/>
      <c r="IBQ77" s="684"/>
      <c r="IBR77" s="684"/>
      <c r="IBS77" s="684"/>
      <c r="IBT77" s="684"/>
      <c r="IBU77" s="684"/>
      <c r="IBV77" s="684"/>
      <c r="IBW77" s="684"/>
      <c r="IBX77" s="684"/>
      <c r="IBY77" s="684"/>
      <c r="IBZ77" s="684"/>
      <c r="ICA77" s="684"/>
      <c r="ICB77" s="684"/>
      <c r="ICC77" s="684"/>
      <c r="ICD77" s="684"/>
      <c r="ICE77" s="684"/>
      <c r="ICF77" s="684"/>
      <c r="ICG77" s="684"/>
      <c r="ICH77" s="684"/>
      <c r="ICI77" s="684"/>
      <c r="ICJ77" s="684"/>
      <c r="ICK77" s="684"/>
      <c r="ICL77" s="684"/>
      <c r="ICM77" s="684"/>
      <c r="ICN77" s="684"/>
      <c r="ICO77" s="684"/>
      <c r="ICP77" s="684"/>
      <c r="ICQ77" s="684"/>
      <c r="ICR77" s="684"/>
      <c r="ICS77" s="684"/>
      <c r="ICT77" s="684"/>
      <c r="ICU77" s="684"/>
      <c r="ICV77" s="684"/>
      <c r="ICW77" s="684"/>
      <c r="ICX77" s="684"/>
      <c r="ICY77" s="684"/>
      <c r="ICZ77" s="684"/>
      <c r="IDA77" s="684"/>
      <c r="IDB77" s="684"/>
      <c r="IDC77" s="684"/>
      <c r="IDD77" s="684"/>
      <c r="IDE77" s="684"/>
      <c r="IDF77" s="684"/>
      <c r="IDG77" s="684"/>
      <c r="IDH77" s="684"/>
      <c r="IDI77" s="684"/>
      <c r="IDJ77" s="684"/>
      <c r="IDK77" s="684"/>
      <c r="IDL77" s="684"/>
      <c r="IDM77" s="684"/>
      <c r="IDN77" s="684"/>
      <c r="IDO77" s="684"/>
      <c r="IDP77" s="684"/>
      <c r="IDQ77" s="684"/>
      <c r="IDR77" s="684"/>
      <c r="IDS77" s="684"/>
      <c r="IDT77" s="684"/>
      <c r="IDU77" s="684"/>
      <c r="IDV77" s="684"/>
      <c r="IDW77" s="684"/>
      <c r="IDX77" s="684"/>
      <c r="IDY77" s="684"/>
      <c r="IDZ77" s="684"/>
      <c r="IEA77" s="684"/>
      <c r="IEB77" s="684"/>
      <c r="IEC77" s="684"/>
      <c r="IED77" s="684"/>
      <c r="IEE77" s="684"/>
      <c r="IEF77" s="684"/>
      <c r="IEG77" s="684"/>
      <c r="IEH77" s="684"/>
      <c r="IEI77" s="684"/>
      <c r="IEJ77" s="684"/>
      <c r="IEK77" s="684"/>
      <c r="IEL77" s="684"/>
      <c r="IEM77" s="684"/>
      <c r="IEN77" s="684"/>
      <c r="IEO77" s="684"/>
      <c r="IEP77" s="684"/>
      <c r="IEQ77" s="684"/>
      <c r="IER77" s="684"/>
      <c r="IES77" s="684"/>
      <c r="IET77" s="684"/>
      <c r="IEU77" s="684"/>
      <c r="IEV77" s="684"/>
      <c r="IEW77" s="684"/>
      <c r="IEX77" s="684"/>
      <c r="IEY77" s="684"/>
      <c r="IEZ77" s="684"/>
      <c r="IFA77" s="684"/>
      <c r="IFB77" s="684"/>
      <c r="IFC77" s="684"/>
      <c r="IFD77" s="684"/>
      <c r="IFE77" s="684"/>
      <c r="IFF77" s="684"/>
      <c r="IFG77" s="684"/>
      <c r="IFH77" s="684"/>
      <c r="IFI77" s="684"/>
      <c r="IFJ77" s="684"/>
      <c r="IFK77" s="684"/>
      <c r="IFL77" s="684"/>
      <c r="IFM77" s="684"/>
      <c r="IFN77" s="684"/>
      <c r="IFO77" s="684"/>
      <c r="IFP77" s="684"/>
      <c r="IFQ77" s="684"/>
      <c r="IFR77" s="684"/>
      <c r="IFS77" s="684"/>
      <c r="IFT77" s="684"/>
      <c r="IFU77" s="684"/>
      <c r="IFV77" s="684"/>
      <c r="IFW77" s="684"/>
      <c r="IFX77" s="684"/>
      <c r="IFY77" s="684"/>
      <c r="IFZ77" s="684"/>
      <c r="IGA77" s="684"/>
      <c r="IGB77" s="684"/>
      <c r="IGC77" s="684"/>
      <c r="IGD77" s="684"/>
      <c r="IGE77" s="684"/>
      <c r="IGF77" s="684"/>
      <c r="IGG77" s="684"/>
      <c r="IGH77" s="684"/>
      <c r="IGI77" s="684"/>
      <c r="IGJ77" s="684"/>
      <c r="IGK77" s="684"/>
      <c r="IGL77" s="684"/>
      <c r="IGM77" s="684"/>
      <c r="IGN77" s="684"/>
      <c r="IGO77" s="684"/>
      <c r="IGP77" s="684"/>
      <c r="IGQ77" s="684"/>
      <c r="IGR77" s="684"/>
      <c r="IGS77" s="684"/>
      <c r="IGT77" s="684"/>
      <c r="IGU77" s="684"/>
      <c r="IGV77" s="684"/>
      <c r="IGW77" s="684"/>
      <c r="IGX77" s="684"/>
      <c r="IGY77" s="684"/>
      <c r="IGZ77" s="684"/>
      <c r="IHA77" s="684"/>
      <c r="IHB77" s="684"/>
      <c r="IHC77" s="684"/>
      <c r="IHD77" s="684"/>
      <c r="IHE77" s="684"/>
      <c r="IHF77" s="684"/>
      <c r="IHG77" s="684"/>
      <c r="IHH77" s="684"/>
      <c r="IHI77" s="684"/>
      <c r="IHJ77" s="684"/>
      <c r="IHK77" s="684"/>
      <c r="IHL77" s="684"/>
      <c r="IHM77" s="684"/>
      <c r="IHN77" s="684"/>
      <c r="IHO77" s="684"/>
      <c r="IHP77" s="684"/>
      <c r="IHQ77" s="684"/>
      <c r="IHR77" s="684"/>
      <c r="IHS77" s="684"/>
      <c r="IHT77" s="684"/>
      <c r="IHU77" s="684"/>
      <c r="IHV77" s="684"/>
      <c r="IHW77" s="684"/>
      <c r="IHX77" s="684"/>
      <c r="IHY77" s="684"/>
      <c r="IHZ77" s="684"/>
      <c r="IIA77" s="684"/>
      <c r="IIB77" s="684"/>
      <c r="IIC77" s="684"/>
      <c r="IID77" s="684"/>
      <c r="IIE77" s="684"/>
      <c r="IIF77" s="684"/>
      <c r="IIG77" s="684"/>
      <c r="IIH77" s="684"/>
      <c r="III77" s="684"/>
      <c r="IIJ77" s="684"/>
      <c r="IIK77" s="684"/>
      <c r="IIL77" s="684"/>
      <c r="IIM77" s="684"/>
      <c r="IIN77" s="684"/>
      <c r="IIO77" s="684"/>
      <c r="IIP77" s="684"/>
      <c r="IIQ77" s="684"/>
      <c r="IIR77" s="684"/>
      <c r="IIS77" s="684"/>
      <c r="IIT77" s="684"/>
      <c r="IIU77" s="684"/>
      <c r="IIV77" s="684"/>
      <c r="IIW77" s="684"/>
      <c r="IIX77" s="684"/>
      <c r="IIY77" s="684"/>
      <c r="IIZ77" s="684"/>
      <c r="IJA77" s="684"/>
      <c r="IJB77" s="684"/>
      <c r="IJC77" s="684"/>
      <c r="IJD77" s="684"/>
      <c r="IJE77" s="684"/>
      <c r="IJF77" s="684"/>
      <c r="IJG77" s="684"/>
      <c r="IJH77" s="684"/>
      <c r="IJI77" s="684"/>
      <c r="IJJ77" s="684"/>
      <c r="IJK77" s="684"/>
      <c r="IJL77" s="684"/>
      <c r="IJM77" s="684"/>
      <c r="IJN77" s="684"/>
      <c r="IJO77" s="684"/>
      <c r="IJP77" s="684"/>
      <c r="IJQ77" s="684"/>
      <c r="IJR77" s="684"/>
      <c r="IJS77" s="684"/>
      <c r="IJT77" s="684"/>
      <c r="IJU77" s="684"/>
      <c r="IJV77" s="684"/>
      <c r="IJW77" s="684"/>
      <c r="IJX77" s="684"/>
      <c r="IJY77" s="684"/>
      <c r="IJZ77" s="684"/>
      <c r="IKA77" s="684"/>
      <c r="IKB77" s="684"/>
      <c r="IKC77" s="684"/>
      <c r="IKD77" s="684"/>
      <c r="IKE77" s="684"/>
      <c r="IKF77" s="684"/>
      <c r="IKG77" s="684"/>
      <c r="IKH77" s="684"/>
      <c r="IKI77" s="684"/>
      <c r="IKJ77" s="684"/>
      <c r="IKK77" s="684"/>
      <c r="IKL77" s="684"/>
      <c r="IKM77" s="684"/>
      <c r="IKN77" s="684"/>
      <c r="IKO77" s="684"/>
      <c r="IKP77" s="684"/>
      <c r="IKQ77" s="684"/>
      <c r="IKR77" s="684"/>
      <c r="IKS77" s="684"/>
      <c r="IKT77" s="684"/>
      <c r="IKU77" s="684"/>
      <c r="IKV77" s="684"/>
      <c r="IKW77" s="684"/>
      <c r="IKX77" s="684"/>
      <c r="IKY77" s="684"/>
      <c r="IKZ77" s="684"/>
      <c r="ILA77" s="684"/>
      <c r="ILB77" s="684"/>
      <c r="ILC77" s="684"/>
      <c r="ILD77" s="684"/>
      <c r="ILE77" s="684"/>
      <c r="ILF77" s="684"/>
      <c r="ILG77" s="684"/>
      <c r="ILH77" s="684"/>
      <c r="ILI77" s="684"/>
      <c r="ILJ77" s="684"/>
      <c r="ILK77" s="684"/>
      <c r="ILL77" s="684"/>
      <c r="ILM77" s="684"/>
      <c r="ILN77" s="684"/>
      <c r="ILO77" s="684"/>
      <c r="ILP77" s="684"/>
      <c r="ILQ77" s="684"/>
      <c r="ILR77" s="684"/>
      <c r="ILS77" s="684"/>
      <c r="ILT77" s="684"/>
      <c r="ILU77" s="684"/>
      <c r="ILV77" s="684"/>
      <c r="ILW77" s="684"/>
      <c r="ILX77" s="684"/>
      <c r="ILY77" s="684"/>
      <c r="ILZ77" s="684"/>
      <c r="IMA77" s="684"/>
      <c r="IMB77" s="684"/>
      <c r="IMC77" s="684"/>
      <c r="IMD77" s="684"/>
      <c r="IME77" s="684"/>
      <c r="IMF77" s="684"/>
      <c r="IMG77" s="684"/>
      <c r="IMH77" s="684"/>
      <c r="IMI77" s="684"/>
      <c r="IMJ77" s="684"/>
      <c r="IMK77" s="684"/>
      <c r="IML77" s="684"/>
      <c r="IMM77" s="684"/>
      <c r="IMN77" s="684"/>
      <c r="IMO77" s="684"/>
      <c r="IMP77" s="684"/>
      <c r="IMQ77" s="684"/>
      <c r="IMR77" s="684"/>
      <c r="IMS77" s="684"/>
      <c r="IMT77" s="684"/>
      <c r="IMU77" s="684"/>
      <c r="IMV77" s="684"/>
      <c r="IMW77" s="684"/>
      <c r="IMX77" s="684"/>
      <c r="IMY77" s="684"/>
      <c r="IMZ77" s="684"/>
      <c r="INA77" s="684"/>
      <c r="INB77" s="684"/>
      <c r="INC77" s="684"/>
      <c r="IND77" s="684"/>
      <c r="INE77" s="684"/>
      <c r="INF77" s="684"/>
      <c r="ING77" s="684"/>
      <c r="INH77" s="684"/>
      <c r="INI77" s="684"/>
      <c r="INJ77" s="684"/>
      <c r="INK77" s="684"/>
      <c r="INL77" s="684"/>
      <c r="INM77" s="684"/>
      <c r="INN77" s="684"/>
      <c r="INO77" s="684"/>
      <c r="INP77" s="684"/>
      <c r="INQ77" s="684"/>
      <c r="INR77" s="684"/>
      <c r="INS77" s="684"/>
      <c r="INT77" s="684"/>
      <c r="INU77" s="684"/>
      <c r="INV77" s="684"/>
      <c r="INW77" s="684"/>
      <c r="INX77" s="684"/>
      <c r="INY77" s="684"/>
      <c r="INZ77" s="684"/>
      <c r="IOA77" s="684"/>
      <c r="IOB77" s="684"/>
      <c r="IOC77" s="684"/>
      <c r="IOD77" s="684"/>
      <c r="IOE77" s="684"/>
      <c r="IOF77" s="684"/>
      <c r="IOG77" s="684"/>
      <c r="IOH77" s="684"/>
      <c r="IOI77" s="684"/>
      <c r="IOJ77" s="684"/>
      <c r="IOK77" s="684"/>
      <c r="IOL77" s="684"/>
      <c r="IOM77" s="684"/>
      <c r="ION77" s="684"/>
      <c r="IOO77" s="684"/>
      <c r="IOP77" s="684"/>
      <c r="IOQ77" s="684"/>
      <c r="IOR77" s="684"/>
      <c r="IOS77" s="684"/>
      <c r="IOT77" s="684"/>
      <c r="IOU77" s="684"/>
      <c r="IOV77" s="684"/>
      <c r="IOW77" s="684"/>
      <c r="IOX77" s="684"/>
      <c r="IOY77" s="684"/>
      <c r="IOZ77" s="684"/>
      <c r="IPA77" s="684"/>
      <c r="IPB77" s="684"/>
      <c r="IPC77" s="684"/>
      <c r="IPD77" s="684"/>
      <c r="IPE77" s="684"/>
      <c r="IPF77" s="684"/>
      <c r="IPG77" s="684"/>
      <c r="IPH77" s="684"/>
      <c r="IPI77" s="684"/>
      <c r="IPJ77" s="684"/>
      <c r="IPK77" s="684"/>
      <c r="IPL77" s="684"/>
      <c r="IPM77" s="684"/>
      <c r="IPN77" s="684"/>
      <c r="IPO77" s="684"/>
      <c r="IPP77" s="684"/>
      <c r="IPQ77" s="684"/>
      <c r="IPR77" s="684"/>
      <c r="IPS77" s="684"/>
      <c r="IPT77" s="684"/>
      <c r="IPU77" s="684"/>
      <c r="IPV77" s="684"/>
      <c r="IPW77" s="684"/>
      <c r="IPX77" s="684"/>
      <c r="IPY77" s="684"/>
      <c r="IPZ77" s="684"/>
      <c r="IQA77" s="684"/>
      <c r="IQB77" s="684"/>
      <c r="IQC77" s="684"/>
      <c r="IQD77" s="684"/>
      <c r="IQE77" s="684"/>
      <c r="IQF77" s="684"/>
      <c r="IQG77" s="684"/>
      <c r="IQH77" s="684"/>
      <c r="IQI77" s="684"/>
      <c r="IQJ77" s="684"/>
      <c r="IQK77" s="684"/>
      <c r="IQL77" s="684"/>
      <c r="IQM77" s="684"/>
      <c r="IQN77" s="684"/>
      <c r="IQO77" s="684"/>
      <c r="IQP77" s="684"/>
      <c r="IQQ77" s="684"/>
      <c r="IQR77" s="684"/>
      <c r="IQS77" s="684"/>
      <c r="IQT77" s="684"/>
      <c r="IQU77" s="684"/>
      <c r="IQV77" s="684"/>
      <c r="IQW77" s="684"/>
      <c r="IQX77" s="684"/>
      <c r="IQY77" s="684"/>
      <c r="IQZ77" s="684"/>
      <c r="IRA77" s="684"/>
      <c r="IRB77" s="684"/>
      <c r="IRC77" s="684"/>
      <c r="IRD77" s="684"/>
      <c r="IRE77" s="684"/>
      <c r="IRF77" s="684"/>
      <c r="IRG77" s="684"/>
      <c r="IRH77" s="684"/>
      <c r="IRI77" s="684"/>
      <c r="IRJ77" s="684"/>
      <c r="IRK77" s="684"/>
      <c r="IRL77" s="684"/>
      <c r="IRM77" s="684"/>
      <c r="IRN77" s="684"/>
      <c r="IRO77" s="684"/>
      <c r="IRP77" s="684"/>
      <c r="IRQ77" s="684"/>
      <c r="IRR77" s="684"/>
      <c r="IRS77" s="684"/>
      <c r="IRT77" s="684"/>
      <c r="IRU77" s="684"/>
      <c r="IRV77" s="684"/>
      <c r="IRW77" s="684"/>
      <c r="IRX77" s="684"/>
      <c r="IRY77" s="684"/>
      <c r="IRZ77" s="684"/>
      <c r="ISA77" s="684"/>
      <c r="ISB77" s="684"/>
      <c r="ISC77" s="684"/>
      <c r="ISD77" s="684"/>
      <c r="ISE77" s="684"/>
      <c r="ISF77" s="684"/>
      <c r="ISG77" s="684"/>
      <c r="ISH77" s="684"/>
      <c r="ISI77" s="684"/>
      <c r="ISJ77" s="684"/>
      <c r="ISK77" s="684"/>
      <c r="ISL77" s="684"/>
      <c r="ISM77" s="684"/>
      <c r="ISN77" s="684"/>
      <c r="ISO77" s="684"/>
      <c r="ISP77" s="684"/>
      <c r="ISQ77" s="684"/>
      <c r="ISR77" s="684"/>
      <c r="ISS77" s="684"/>
      <c r="IST77" s="684"/>
      <c r="ISU77" s="684"/>
      <c r="ISV77" s="684"/>
      <c r="ISW77" s="684"/>
      <c r="ISX77" s="684"/>
      <c r="ISY77" s="684"/>
      <c r="ISZ77" s="684"/>
      <c r="ITA77" s="684"/>
      <c r="ITB77" s="684"/>
      <c r="ITC77" s="684"/>
      <c r="ITD77" s="684"/>
      <c r="ITE77" s="684"/>
      <c r="ITF77" s="684"/>
      <c r="ITG77" s="684"/>
      <c r="ITH77" s="684"/>
      <c r="ITI77" s="684"/>
      <c r="ITJ77" s="684"/>
      <c r="ITK77" s="684"/>
      <c r="ITL77" s="684"/>
      <c r="ITM77" s="684"/>
      <c r="ITN77" s="684"/>
      <c r="ITO77" s="684"/>
      <c r="ITP77" s="684"/>
      <c r="ITQ77" s="684"/>
      <c r="ITR77" s="684"/>
      <c r="ITS77" s="684"/>
      <c r="ITT77" s="684"/>
      <c r="ITU77" s="684"/>
      <c r="ITV77" s="684"/>
      <c r="ITW77" s="684"/>
      <c r="ITX77" s="684"/>
      <c r="ITY77" s="684"/>
      <c r="ITZ77" s="684"/>
      <c r="IUA77" s="684"/>
      <c r="IUB77" s="684"/>
      <c r="IUC77" s="684"/>
      <c r="IUD77" s="684"/>
      <c r="IUE77" s="684"/>
      <c r="IUF77" s="684"/>
      <c r="IUG77" s="684"/>
      <c r="IUH77" s="684"/>
      <c r="IUI77" s="684"/>
      <c r="IUJ77" s="684"/>
      <c r="IUK77" s="684"/>
      <c r="IUL77" s="684"/>
      <c r="IUM77" s="684"/>
      <c r="IUN77" s="684"/>
      <c r="IUO77" s="684"/>
      <c r="IUP77" s="684"/>
      <c r="IUQ77" s="684"/>
      <c r="IUR77" s="684"/>
      <c r="IUS77" s="684"/>
      <c r="IUT77" s="684"/>
      <c r="IUU77" s="684"/>
      <c r="IUV77" s="684"/>
      <c r="IUW77" s="684"/>
      <c r="IUX77" s="684"/>
      <c r="IUY77" s="684"/>
      <c r="IUZ77" s="684"/>
      <c r="IVA77" s="684"/>
      <c r="IVB77" s="684"/>
      <c r="IVC77" s="684"/>
      <c r="IVD77" s="684"/>
      <c r="IVE77" s="684"/>
      <c r="IVF77" s="684"/>
      <c r="IVG77" s="684"/>
      <c r="IVH77" s="684"/>
      <c r="IVI77" s="684"/>
      <c r="IVJ77" s="684"/>
      <c r="IVK77" s="684"/>
      <c r="IVL77" s="684"/>
      <c r="IVM77" s="684"/>
      <c r="IVN77" s="684"/>
      <c r="IVO77" s="684"/>
      <c r="IVP77" s="684"/>
      <c r="IVQ77" s="684"/>
      <c r="IVR77" s="684"/>
      <c r="IVS77" s="684"/>
      <c r="IVT77" s="684"/>
      <c r="IVU77" s="684"/>
      <c r="IVV77" s="684"/>
      <c r="IVW77" s="684"/>
      <c r="IVX77" s="684"/>
      <c r="IVY77" s="684"/>
      <c r="IVZ77" s="684"/>
      <c r="IWA77" s="684"/>
      <c r="IWB77" s="684"/>
      <c r="IWC77" s="684"/>
      <c r="IWD77" s="684"/>
      <c r="IWE77" s="684"/>
      <c r="IWF77" s="684"/>
      <c r="IWG77" s="684"/>
      <c r="IWH77" s="684"/>
      <c r="IWI77" s="684"/>
      <c r="IWJ77" s="684"/>
      <c r="IWK77" s="684"/>
      <c r="IWL77" s="684"/>
      <c r="IWM77" s="684"/>
      <c r="IWN77" s="684"/>
      <c r="IWO77" s="684"/>
      <c r="IWP77" s="684"/>
      <c r="IWQ77" s="684"/>
      <c r="IWR77" s="684"/>
      <c r="IWS77" s="684"/>
      <c r="IWT77" s="684"/>
      <c r="IWU77" s="684"/>
      <c r="IWV77" s="684"/>
      <c r="IWW77" s="684"/>
      <c r="IWX77" s="684"/>
      <c r="IWY77" s="684"/>
      <c r="IWZ77" s="684"/>
      <c r="IXA77" s="684"/>
      <c r="IXB77" s="684"/>
      <c r="IXC77" s="684"/>
      <c r="IXD77" s="684"/>
      <c r="IXE77" s="684"/>
      <c r="IXF77" s="684"/>
      <c r="IXG77" s="684"/>
      <c r="IXH77" s="684"/>
      <c r="IXI77" s="684"/>
      <c r="IXJ77" s="684"/>
      <c r="IXK77" s="684"/>
      <c r="IXL77" s="684"/>
      <c r="IXM77" s="684"/>
      <c r="IXN77" s="684"/>
      <c r="IXO77" s="684"/>
      <c r="IXP77" s="684"/>
      <c r="IXQ77" s="684"/>
      <c r="IXR77" s="684"/>
      <c r="IXS77" s="684"/>
      <c r="IXT77" s="684"/>
      <c r="IXU77" s="684"/>
      <c r="IXV77" s="684"/>
      <c r="IXW77" s="684"/>
      <c r="IXX77" s="684"/>
      <c r="IXY77" s="684"/>
      <c r="IXZ77" s="684"/>
      <c r="IYA77" s="684"/>
      <c r="IYB77" s="684"/>
      <c r="IYC77" s="684"/>
      <c r="IYD77" s="684"/>
      <c r="IYE77" s="684"/>
      <c r="IYF77" s="684"/>
      <c r="IYG77" s="684"/>
      <c r="IYH77" s="684"/>
      <c r="IYI77" s="684"/>
      <c r="IYJ77" s="684"/>
      <c r="IYK77" s="684"/>
      <c r="IYL77" s="684"/>
      <c r="IYM77" s="684"/>
      <c r="IYN77" s="684"/>
      <c r="IYO77" s="684"/>
      <c r="IYP77" s="684"/>
      <c r="IYQ77" s="684"/>
      <c r="IYR77" s="684"/>
      <c r="IYS77" s="684"/>
      <c r="IYT77" s="684"/>
      <c r="IYU77" s="684"/>
      <c r="IYV77" s="684"/>
      <c r="IYW77" s="684"/>
      <c r="IYX77" s="684"/>
      <c r="IYY77" s="684"/>
      <c r="IYZ77" s="684"/>
      <c r="IZA77" s="684"/>
      <c r="IZB77" s="684"/>
      <c r="IZC77" s="684"/>
      <c r="IZD77" s="684"/>
      <c r="IZE77" s="684"/>
      <c r="IZF77" s="684"/>
      <c r="IZG77" s="684"/>
      <c r="IZH77" s="684"/>
      <c r="IZI77" s="684"/>
      <c r="IZJ77" s="684"/>
      <c r="IZK77" s="684"/>
      <c r="IZL77" s="684"/>
      <c r="IZM77" s="684"/>
      <c r="IZN77" s="684"/>
      <c r="IZO77" s="684"/>
      <c r="IZP77" s="684"/>
      <c r="IZQ77" s="684"/>
      <c r="IZR77" s="684"/>
      <c r="IZS77" s="684"/>
      <c r="IZT77" s="684"/>
      <c r="IZU77" s="684"/>
      <c r="IZV77" s="684"/>
      <c r="IZW77" s="684"/>
      <c r="IZX77" s="684"/>
      <c r="IZY77" s="684"/>
      <c r="IZZ77" s="684"/>
      <c r="JAA77" s="684"/>
      <c r="JAB77" s="684"/>
      <c r="JAC77" s="684"/>
      <c r="JAD77" s="684"/>
      <c r="JAE77" s="684"/>
      <c r="JAF77" s="684"/>
      <c r="JAG77" s="684"/>
      <c r="JAH77" s="684"/>
      <c r="JAI77" s="684"/>
      <c r="JAJ77" s="684"/>
      <c r="JAK77" s="684"/>
      <c r="JAL77" s="684"/>
      <c r="JAM77" s="684"/>
      <c r="JAN77" s="684"/>
      <c r="JAO77" s="684"/>
      <c r="JAP77" s="684"/>
      <c r="JAQ77" s="684"/>
      <c r="JAR77" s="684"/>
      <c r="JAS77" s="684"/>
      <c r="JAT77" s="684"/>
      <c r="JAU77" s="684"/>
      <c r="JAV77" s="684"/>
      <c r="JAW77" s="684"/>
      <c r="JAX77" s="684"/>
      <c r="JAY77" s="684"/>
      <c r="JAZ77" s="684"/>
      <c r="JBA77" s="684"/>
      <c r="JBB77" s="684"/>
      <c r="JBC77" s="684"/>
      <c r="JBD77" s="684"/>
      <c r="JBE77" s="684"/>
      <c r="JBF77" s="684"/>
      <c r="JBG77" s="684"/>
      <c r="JBH77" s="684"/>
      <c r="JBI77" s="684"/>
      <c r="JBJ77" s="684"/>
      <c r="JBK77" s="684"/>
      <c r="JBL77" s="684"/>
      <c r="JBM77" s="684"/>
      <c r="JBN77" s="684"/>
      <c r="JBO77" s="684"/>
      <c r="JBP77" s="684"/>
      <c r="JBQ77" s="684"/>
      <c r="JBR77" s="684"/>
      <c r="JBS77" s="684"/>
      <c r="JBT77" s="684"/>
      <c r="JBU77" s="684"/>
      <c r="JBV77" s="684"/>
      <c r="JBW77" s="684"/>
      <c r="JBX77" s="684"/>
      <c r="JBY77" s="684"/>
      <c r="JBZ77" s="684"/>
      <c r="JCA77" s="684"/>
      <c r="JCB77" s="684"/>
      <c r="JCC77" s="684"/>
      <c r="JCD77" s="684"/>
      <c r="JCE77" s="684"/>
      <c r="JCF77" s="684"/>
      <c r="JCG77" s="684"/>
      <c r="JCH77" s="684"/>
      <c r="JCI77" s="684"/>
      <c r="JCJ77" s="684"/>
      <c r="JCK77" s="684"/>
      <c r="JCL77" s="684"/>
      <c r="JCM77" s="684"/>
      <c r="JCN77" s="684"/>
      <c r="JCO77" s="684"/>
      <c r="JCP77" s="684"/>
      <c r="JCQ77" s="684"/>
      <c r="JCR77" s="684"/>
      <c r="JCS77" s="684"/>
      <c r="JCT77" s="684"/>
      <c r="JCU77" s="684"/>
      <c r="JCV77" s="684"/>
      <c r="JCW77" s="684"/>
      <c r="JCX77" s="684"/>
      <c r="JCY77" s="684"/>
      <c r="JCZ77" s="684"/>
      <c r="JDA77" s="684"/>
      <c r="JDB77" s="684"/>
      <c r="JDC77" s="684"/>
      <c r="JDD77" s="684"/>
      <c r="JDE77" s="684"/>
      <c r="JDF77" s="684"/>
      <c r="JDG77" s="684"/>
      <c r="JDH77" s="684"/>
      <c r="JDI77" s="684"/>
      <c r="JDJ77" s="684"/>
      <c r="JDK77" s="684"/>
      <c r="JDL77" s="684"/>
      <c r="JDM77" s="684"/>
      <c r="JDN77" s="684"/>
      <c r="JDO77" s="684"/>
      <c r="JDP77" s="684"/>
      <c r="JDQ77" s="684"/>
      <c r="JDR77" s="684"/>
      <c r="JDS77" s="684"/>
      <c r="JDT77" s="684"/>
      <c r="JDU77" s="684"/>
      <c r="JDV77" s="684"/>
      <c r="JDW77" s="684"/>
      <c r="JDX77" s="684"/>
      <c r="JDY77" s="684"/>
      <c r="JDZ77" s="684"/>
      <c r="JEA77" s="684"/>
      <c r="JEB77" s="684"/>
      <c r="JEC77" s="684"/>
      <c r="JED77" s="684"/>
      <c r="JEE77" s="684"/>
      <c r="JEF77" s="684"/>
      <c r="JEG77" s="684"/>
      <c r="JEH77" s="684"/>
      <c r="JEI77" s="684"/>
      <c r="JEJ77" s="684"/>
      <c r="JEK77" s="684"/>
      <c r="JEL77" s="684"/>
      <c r="JEM77" s="684"/>
      <c r="JEN77" s="684"/>
      <c r="JEO77" s="684"/>
      <c r="JEP77" s="684"/>
      <c r="JEQ77" s="684"/>
      <c r="JER77" s="684"/>
      <c r="JES77" s="684"/>
      <c r="JET77" s="684"/>
      <c r="JEU77" s="684"/>
      <c r="JEV77" s="684"/>
      <c r="JEW77" s="684"/>
      <c r="JEX77" s="684"/>
      <c r="JEY77" s="684"/>
      <c r="JEZ77" s="684"/>
      <c r="JFA77" s="684"/>
      <c r="JFB77" s="684"/>
      <c r="JFC77" s="684"/>
      <c r="JFD77" s="684"/>
      <c r="JFE77" s="684"/>
      <c r="JFF77" s="684"/>
      <c r="JFG77" s="684"/>
      <c r="JFH77" s="684"/>
      <c r="JFI77" s="684"/>
      <c r="JFJ77" s="684"/>
      <c r="JFK77" s="684"/>
      <c r="JFL77" s="684"/>
      <c r="JFM77" s="684"/>
      <c r="JFN77" s="684"/>
      <c r="JFO77" s="684"/>
      <c r="JFP77" s="684"/>
      <c r="JFQ77" s="684"/>
      <c r="JFR77" s="684"/>
      <c r="JFS77" s="684"/>
      <c r="JFT77" s="684"/>
      <c r="JFU77" s="684"/>
      <c r="JFV77" s="684"/>
      <c r="JFW77" s="684"/>
      <c r="JFX77" s="684"/>
      <c r="JFY77" s="684"/>
      <c r="JFZ77" s="684"/>
      <c r="JGA77" s="684"/>
      <c r="JGB77" s="684"/>
      <c r="JGC77" s="684"/>
      <c r="JGD77" s="684"/>
      <c r="JGE77" s="684"/>
      <c r="JGF77" s="684"/>
      <c r="JGG77" s="684"/>
      <c r="JGH77" s="684"/>
      <c r="JGI77" s="684"/>
      <c r="JGJ77" s="684"/>
      <c r="JGK77" s="684"/>
      <c r="JGL77" s="684"/>
      <c r="JGM77" s="684"/>
      <c r="JGN77" s="684"/>
      <c r="JGO77" s="684"/>
      <c r="JGP77" s="684"/>
      <c r="JGQ77" s="684"/>
      <c r="JGR77" s="684"/>
      <c r="JGS77" s="684"/>
      <c r="JGT77" s="684"/>
      <c r="JGU77" s="684"/>
      <c r="JGV77" s="684"/>
      <c r="JGW77" s="684"/>
      <c r="JGX77" s="684"/>
      <c r="JGY77" s="684"/>
      <c r="JGZ77" s="684"/>
      <c r="JHA77" s="684"/>
      <c r="JHB77" s="684"/>
      <c r="JHC77" s="684"/>
      <c r="JHD77" s="684"/>
      <c r="JHE77" s="684"/>
      <c r="JHF77" s="684"/>
      <c r="JHG77" s="684"/>
      <c r="JHH77" s="684"/>
      <c r="JHI77" s="684"/>
      <c r="JHJ77" s="684"/>
      <c r="JHK77" s="684"/>
      <c r="JHL77" s="684"/>
      <c r="JHM77" s="684"/>
      <c r="JHN77" s="684"/>
      <c r="JHO77" s="684"/>
      <c r="JHP77" s="684"/>
      <c r="JHQ77" s="684"/>
      <c r="JHR77" s="684"/>
      <c r="JHS77" s="684"/>
      <c r="JHT77" s="684"/>
      <c r="JHU77" s="684"/>
      <c r="JHV77" s="684"/>
      <c r="JHW77" s="684"/>
      <c r="JHX77" s="684"/>
      <c r="JHY77" s="684"/>
      <c r="JHZ77" s="684"/>
      <c r="JIA77" s="684"/>
      <c r="JIB77" s="684"/>
      <c r="JIC77" s="684"/>
      <c r="JID77" s="684"/>
      <c r="JIE77" s="684"/>
      <c r="JIF77" s="684"/>
      <c r="JIG77" s="684"/>
      <c r="JIH77" s="684"/>
      <c r="JII77" s="684"/>
      <c r="JIJ77" s="684"/>
      <c r="JIK77" s="684"/>
      <c r="JIL77" s="684"/>
      <c r="JIM77" s="684"/>
      <c r="JIN77" s="684"/>
      <c r="JIO77" s="684"/>
      <c r="JIP77" s="684"/>
      <c r="JIQ77" s="684"/>
      <c r="JIR77" s="684"/>
      <c r="JIS77" s="684"/>
      <c r="JIT77" s="684"/>
      <c r="JIU77" s="684"/>
      <c r="JIV77" s="684"/>
      <c r="JIW77" s="684"/>
      <c r="JIX77" s="684"/>
      <c r="JIY77" s="684"/>
      <c r="JIZ77" s="684"/>
      <c r="JJA77" s="684"/>
      <c r="JJB77" s="684"/>
      <c r="JJC77" s="684"/>
      <c r="JJD77" s="684"/>
      <c r="JJE77" s="684"/>
      <c r="JJF77" s="684"/>
      <c r="JJG77" s="684"/>
      <c r="JJH77" s="684"/>
      <c r="JJI77" s="684"/>
      <c r="JJJ77" s="684"/>
      <c r="JJK77" s="684"/>
      <c r="JJL77" s="684"/>
      <c r="JJM77" s="684"/>
      <c r="JJN77" s="684"/>
      <c r="JJO77" s="684"/>
      <c r="JJP77" s="684"/>
      <c r="JJQ77" s="684"/>
      <c r="JJR77" s="684"/>
      <c r="JJS77" s="684"/>
      <c r="JJT77" s="684"/>
      <c r="JJU77" s="684"/>
      <c r="JJV77" s="684"/>
      <c r="JJW77" s="684"/>
      <c r="JJX77" s="684"/>
      <c r="JJY77" s="684"/>
      <c r="JJZ77" s="684"/>
      <c r="JKA77" s="684"/>
      <c r="JKB77" s="684"/>
      <c r="JKC77" s="684"/>
      <c r="JKD77" s="684"/>
      <c r="JKE77" s="684"/>
      <c r="JKF77" s="684"/>
      <c r="JKG77" s="684"/>
      <c r="JKH77" s="684"/>
      <c r="JKI77" s="684"/>
      <c r="JKJ77" s="684"/>
      <c r="JKK77" s="684"/>
      <c r="JKL77" s="684"/>
      <c r="JKM77" s="684"/>
      <c r="JKN77" s="684"/>
      <c r="JKO77" s="684"/>
      <c r="JKP77" s="684"/>
      <c r="JKQ77" s="684"/>
      <c r="JKR77" s="684"/>
      <c r="JKS77" s="684"/>
      <c r="JKT77" s="684"/>
      <c r="JKU77" s="684"/>
      <c r="JKV77" s="684"/>
      <c r="JKW77" s="684"/>
      <c r="JKX77" s="684"/>
      <c r="JKY77" s="684"/>
      <c r="JKZ77" s="684"/>
      <c r="JLA77" s="684"/>
      <c r="JLB77" s="684"/>
      <c r="JLC77" s="684"/>
      <c r="JLD77" s="684"/>
      <c r="JLE77" s="684"/>
      <c r="JLF77" s="684"/>
      <c r="JLG77" s="684"/>
      <c r="JLH77" s="684"/>
      <c r="JLI77" s="684"/>
      <c r="JLJ77" s="684"/>
      <c r="JLK77" s="684"/>
      <c r="JLL77" s="684"/>
      <c r="JLM77" s="684"/>
      <c r="JLN77" s="684"/>
      <c r="JLO77" s="684"/>
      <c r="JLP77" s="684"/>
      <c r="JLQ77" s="684"/>
      <c r="JLR77" s="684"/>
      <c r="JLS77" s="684"/>
      <c r="JLT77" s="684"/>
      <c r="JLU77" s="684"/>
      <c r="JLV77" s="684"/>
      <c r="JLW77" s="684"/>
      <c r="JLX77" s="684"/>
      <c r="JLY77" s="684"/>
      <c r="JLZ77" s="684"/>
      <c r="JMA77" s="684"/>
      <c r="JMB77" s="684"/>
      <c r="JMC77" s="684"/>
      <c r="JMD77" s="684"/>
      <c r="JME77" s="684"/>
      <c r="JMF77" s="684"/>
      <c r="JMG77" s="684"/>
      <c r="JMH77" s="684"/>
      <c r="JMI77" s="684"/>
      <c r="JMJ77" s="684"/>
      <c r="JMK77" s="684"/>
      <c r="JML77" s="684"/>
      <c r="JMM77" s="684"/>
      <c r="JMN77" s="684"/>
      <c r="JMO77" s="684"/>
      <c r="JMP77" s="684"/>
      <c r="JMQ77" s="684"/>
      <c r="JMR77" s="684"/>
      <c r="JMS77" s="684"/>
      <c r="JMT77" s="684"/>
      <c r="JMU77" s="684"/>
      <c r="JMV77" s="684"/>
      <c r="JMW77" s="684"/>
      <c r="JMX77" s="684"/>
      <c r="JMY77" s="684"/>
      <c r="JMZ77" s="684"/>
      <c r="JNA77" s="684"/>
      <c r="JNB77" s="684"/>
      <c r="JNC77" s="684"/>
      <c r="JND77" s="684"/>
      <c r="JNE77" s="684"/>
      <c r="JNF77" s="684"/>
      <c r="JNG77" s="684"/>
      <c r="JNH77" s="684"/>
      <c r="JNI77" s="684"/>
      <c r="JNJ77" s="684"/>
      <c r="JNK77" s="684"/>
      <c r="JNL77" s="684"/>
      <c r="JNM77" s="684"/>
      <c r="JNN77" s="684"/>
      <c r="JNO77" s="684"/>
      <c r="JNP77" s="684"/>
      <c r="JNQ77" s="684"/>
      <c r="JNR77" s="684"/>
      <c r="JNS77" s="684"/>
      <c r="JNT77" s="684"/>
      <c r="JNU77" s="684"/>
      <c r="JNV77" s="684"/>
      <c r="JNW77" s="684"/>
      <c r="JNX77" s="684"/>
      <c r="JNY77" s="684"/>
      <c r="JNZ77" s="684"/>
      <c r="JOA77" s="684"/>
      <c r="JOB77" s="684"/>
      <c r="JOC77" s="684"/>
      <c r="JOD77" s="684"/>
      <c r="JOE77" s="684"/>
      <c r="JOF77" s="684"/>
      <c r="JOG77" s="684"/>
      <c r="JOH77" s="684"/>
      <c r="JOI77" s="684"/>
      <c r="JOJ77" s="684"/>
      <c r="JOK77" s="684"/>
      <c r="JOL77" s="684"/>
      <c r="JOM77" s="684"/>
      <c r="JON77" s="684"/>
      <c r="JOO77" s="684"/>
      <c r="JOP77" s="684"/>
      <c r="JOQ77" s="684"/>
      <c r="JOR77" s="684"/>
      <c r="JOS77" s="684"/>
      <c r="JOT77" s="684"/>
      <c r="JOU77" s="684"/>
      <c r="JOV77" s="684"/>
      <c r="JOW77" s="684"/>
      <c r="JOX77" s="684"/>
      <c r="JOY77" s="684"/>
      <c r="JOZ77" s="684"/>
      <c r="JPA77" s="684"/>
      <c r="JPB77" s="684"/>
      <c r="JPC77" s="684"/>
      <c r="JPD77" s="684"/>
      <c r="JPE77" s="684"/>
      <c r="JPF77" s="684"/>
      <c r="JPG77" s="684"/>
      <c r="JPH77" s="684"/>
      <c r="JPI77" s="684"/>
      <c r="JPJ77" s="684"/>
      <c r="JPK77" s="684"/>
      <c r="JPL77" s="684"/>
      <c r="JPM77" s="684"/>
      <c r="JPN77" s="684"/>
      <c r="JPO77" s="684"/>
      <c r="JPP77" s="684"/>
      <c r="JPQ77" s="684"/>
      <c r="JPR77" s="684"/>
      <c r="JPS77" s="684"/>
      <c r="JPT77" s="684"/>
      <c r="JPU77" s="684"/>
      <c r="JPV77" s="684"/>
      <c r="JPW77" s="684"/>
      <c r="JPX77" s="684"/>
      <c r="JPY77" s="684"/>
      <c r="JPZ77" s="684"/>
      <c r="JQA77" s="684"/>
      <c r="JQB77" s="684"/>
      <c r="JQC77" s="684"/>
      <c r="JQD77" s="684"/>
      <c r="JQE77" s="684"/>
      <c r="JQF77" s="684"/>
      <c r="JQG77" s="684"/>
      <c r="JQH77" s="684"/>
      <c r="JQI77" s="684"/>
      <c r="JQJ77" s="684"/>
      <c r="JQK77" s="684"/>
      <c r="JQL77" s="684"/>
      <c r="JQM77" s="684"/>
      <c r="JQN77" s="684"/>
      <c r="JQO77" s="684"/>
      <c r="JQP77" s="684"/>
      <c r="JQQ77" s="684"/>
      <c r="JQR77" s="684"/>
      <c r="JQS77" s="684"/>
      <c r="JQT77" s="684"/>
      <c r="JQU77" s="684"/>
      <c r="JQV77" s="684"/>
      <c r="JQW77" s="684"/>
      <c r="JQX77" s="684"/>
      <c r="JQY77" s="684"/>
      <c r="JQZ77" s="684"/>
      <c r="JRA77" s="684"/>
      <c r="JRB77" s="684"/>
      <c r="JRC77" s="684"/>
      <c r="JRD77" s="684"/>
      <c r="JRE77" s="684"/>
      <c r="JRF77" s="684"/>
      <c r="JRG77" s="684"/>
      <c r="JRH77" s="684"/>
      <c r="JRI77" s="684"/>
      <c r="JRJ77" s="684"/>
      <c r="JRK77" s="684"/>
      <c r="JRL77" s="684"/>
      <c r="JRM77" s="684"/>
      <c r="JRN77" s="684"/>
      <c r="JRO77" s="684"/>
      <c r="JRP77" s="684"/>
      <c r="JRQ77" s="684"/>
      <c r="JRR77" s="684"/>
      <c r="JRS77" s="684"/>
      <c r="JRT77" s="684"/>
      <c r="JRU77" s="684"/>
      <c r="JRV77" s="684"/>
      <c r="JRW77" s="684"/>
      <c r="JRX77" s="684"/>
      <c r="JRY77" s="684"/>
      <c r="JRZ77" s="684"/>
      <c r="JSA77" s="684"/>
      <c r="JSB77" s="684"/>
      <c r="JSC77" s="684"/>
      <c r="JSD77" s="684"/>
      <c r="JSE77" s="684"/>
      <c r="JSF77" s="684"/>
      <c r="JSG77" s="684"/>
      <c r="JSH77" s="684"/>
      <c r="JSI77" s="684"/>
      <c r="JSJ77" s="684"/>
      <c r="JSK77" s="684"/>
      <c r="JSL77" s="684"/>
      <c r="JSM77" s="684"/>
      <c r="JSN77" s="684"/>
      <c r="JSO77" s="684"/>
      <c r="JSP77" s="684"/>
      <c r="JSQ77" s="684"/>
      <c r="JSR77" s="684"/>
      <c r="JSS77" s="684"/>
      <c r="JST77" s="684"/>
      <c r="JSU77" s="684"/>
      <c r="JSV77" s="684"/>
      <c r="JSW77" s="684"/>
      <c r="JSX77" s="684"/>
      <c r="JSY77" s="684"/>
      <c r="JSZ77" s="684"/>
      <c r="JTA77" s="684"/>
      <c r="JTB77" s="684"/>
      <c r="JTC77" s="684"/>
      <c r="JTD77" s="684"/>
      <c r="JTE77" s="684"/>
      <c r="JTF77" s="684"/>
      <c r="JTG77" s="684"/>
      <c r="JTH77" s="684"/>
      <c r="JTI77" s="684"/>
      <c r="JTJ77" s="684"/>
      <c r="JTK77" s="684"/>
      <c r="JTL77" s="684"/>
      <c r="JTM77" s="684"/>
      <c r="JTN77" s="684"/>
      <c r="JTO77" s="684"/>
      <c r="JTP77" s="684"/>
      <c r="JTQ77" s="684"/>
      <c r="JTR77" s="684"/>
      <c r="JTS77" s="684"/>
      <c r="JTT77" s="684"/>
      <c r="JTU77" s="684"/>
      <c r="JTV77" s="684"/>
      <c r="JTW77" s="684"/>
      <c r="JTX77" s="684"/>
      <c r="JTY77" s="684"/>
      <c r="JTZ77" s="684"/>
      <c r="JUA77" s="684"/>
      <c r="JUB77" s="684"/>
      <c r="JUC77" s="684"/>
      <c r="JUD77" s="684"/>
      <c r="JUE77" s="684"/>
      <c r="JUF77" s="684"/>
      <c r="JUG77" s="684"/>
      <c r="JUH77" s="684"/>
      <c r="JUI77" s="684"/>
      <c r="JUJ77" s="684"/>
      <c r="JUK77" s="684"/>
      <c r="JUL77" s="684"/>
      <c r="JUM77" s="684"/>
      <c r="JUN77" s="684"/>
      <c r="JUO77" s="684"/>
      <c r="JUP77" s="684"/>
      <c r="JUQ77" s="684"/>
      <c r="JUR77" s="684"/>
      <c r="JUS77" s="684"/>
      <c r="JUT77" s="684"/>
      <c r="JUU77" s="684"/>
      <c r="JUV77" s="684"/>
      <c r="JUW77" s="684"/>
      <c r="JUX77" s="684"/>
      <c r="JUY77" s="684"/>
      <c r="JUZ77" s="684"/>
      <c r="JVA77" s="684"/>
      <c r="JVB77" s="684"/>
      <c r="JVC77" s="684"/>
      <c r="JVD77" s="684"/>
      <c r="JVE77" s="684"/>
      <c r="JVF77" s="684"/>
      <c r="JVG77" s="684"/>
      <c r="JVH77" s="684"/>
      <c r="JVI77" s="684"/>
      <c r="JVJ77" s="684"/>
      <c r="JVK77" s="684"/>
      <c r="JVL77" s="684"/>
      <c r="JVM77" s="684"/>
      <c r="JVN77" s="684"/>
      <c r="JVO77" s="684"/>
      <c r="JVP77" s="684"/>
      <c r="JVQ77" s="684"/>
      <c r="JVR77" s="684"/>
      <c r="JVS77" s="684"/>
      <c r="JVT77" s="684"/>
      <c r="JVU77" s="684"/>
      <c r="JVV77" s="684"/>
      <c r="JVW77" s="684"/>
      <c r="JVX77" s="684"/>
      <c r="JVY77" s="684"/>
      <c r="JVZ77" s="684"/>
      <c r="JWA77" s="684"/>
      <c r="JWB77" s="684"/>
      <c r="JWC77" s="684"/>
      <c r="JWD77" s="684"/>
      <c r="JWE77" s="684"/>
      <c r="JWF77" s="684"/>
      <c r="JWG77" s="684"/>
      <c r="JWH77" s="684"/>
      <c r="JWI77" s="684"/>
      <c r="JWJ77" s="684"/>
      <c r="JWK77" s="684"/>
      <c r="JWL77" s="684"/>
      <c r="JWM77" s="684"/>
      <c r="JWN77" s="684"/>
      <c r="JWO77" s="684"/>
      <c r="JWP77" s="684"/>
      <c r="JWQ77" s="684"/>
      <c r="JWR77" s="684"/>
      <c r="JWS77" s="684"/>
      <c r="JWT77" s="684"/>
      <c r="JWU77" s="684"/>
      <c r="JWV77" s="684"/>
      <c r="JWW77" s="684"/>
      <c r="JWX77" s="684"/>
      <c r="JWY77" s="684"/>
      <c r="JWZ77" s="684"/>
      <c r="JXA77" s="684"/>
      <c r="JXB77" s="684"/>
      <c r="JXC77" s="684"/>
      <c r="JXD77" s="684"/>
      <c r="JXE77" s="684"/>
      <c r="JXF77" s="684"/>
      <c r="JXG77" s="684"/>
      <c r="JXH77" s="684"/>
      <c r="JXI77" s="684"/>
      <c r="JXJ77" s="684"/>
      <c r="JXK77" s="684"/>
      <c r="JXL77" s="684"/>
      <c r="JXM77" s="684"/>
      <c r="JXN77" s="684"/>
      <c r="JXO77" s="684"/>
      <c r="JXP77" s="684"/>
      <c r="JXQ77" s="684"/>
      <c r="JXR77" s="684"/>
      <c r="JXS77" s="684"/>
      <c r="JXT77" s="684"/>
      <c r="JXU77" s="684"/>
      <c r="JXV77" s="684"/>
      <c r="JXW77" s="684"/>
      <c r="JXX77" s="684"/>
      <c r="JXY77" s="684"/>
      <c r="JXZ77" s="684"/>
      <c r="JYA77" s="684"/>
      <c r="JYB77" s="684"/>
      <c r="JYC77" s="684"/>
      <c r="JYD77" s="684"/>
      <c r="JYE77" s="684"/>
      <c r="JYF77" s="684"/>
      <c r="JYG77" s="684"/>
      <c r="JYH77" s="684"/>
      <c r="JYI77" s="684"/>
      <c r="JYJ77" s="684"/>
      <c r="JYK77" s="684"/>
      <c r="JYL77" s="684"/>
      <c r="JYM77" s="684"/>
      <c r="JYN77" s="684"/>
      <c r="JYO77" s="684"/>
      <c r="JYP77" s="684"/>
      <c r="JYQ77" s="684"/>
      <c r="JYR77" s="684"/>
      <c r="JYS77" s="684"/>
      <c r="JYT77" s="684"/>
      <c r="JYU77" s="684"/>
      <c r="JYV77" s="684"/>
      <c r="JYW77" s="684"/>
      <c r="JYX77" s="684"/>
      <c r="JYY77" s="684"/>
      <c r="JYZ77" s="684"/>
      <c r="JZA77" s="684"/>
      <c r="JZB77" s="684"/>
      <c r="JZC77" s="684"/>
      <c r="JZD77" s="684"/>
      <c r="JZE77" s="684"/>
      <c r="JZF77" s="684"/>
      <c r="JZG77" s="684"/>
      <c r="JZH77" s="684"/>
      <c r="JZI77" s="684"/>
      <c r="JZJ77" s="684"/>
      <c r="JZK77" s="684"/>
      <c r="JZL77" s="684"/>
      <c r="JZM77" s="684"/>
      <c r="JZN77" s="684"/>
      <c r="JZO77" s="684"/>
      <c r="JZP77" s="684"/>
      <c r="JZQ77" s="684"/>
      <c r="JZR77" s="684"/>
      <c r="JZS77" s="684"/>
      <c r="JZT77" s="684"/>
      <c r="JZU77" s="684"/>
      <c r="JZV77" s="684"/>
      <c r="JZW77" s="684"/>
      <c r="JZX77" s="684"/>
      <c r="JZY77" s="684"/>
      <c r="JZZ77" s="684"/>
      <c r="KAA77" s="684"/>
      <c r="KAB77" s="684"/>
      <c r="KAC77" s="684"/>
      <c r="KAD77" s="684"/>
      <c r="KAE77" s="684"/>
      <c r="KAF77" s="684"/>
      <c r="KAG77" s="684"/>
      <c r="KAH77" s="684"/>
      <c r="KAI77" s="684"/>
      <c r="KAJ77" s="684"/>
      <c r="KAK77" s="684"/>
      <c r="KAL77" s="684"/>
      <c r="KAM77" s="684"/>
      <c r="KAN77" s="684"/>
      <c r="KAO77" s="684"/>
      <c r="KAP77" s="684"/>
      <c r="KAQ77" s="684"/>
      <c r="KAR77" s="684"/>
      <c r="KAS77" s="684"/>
      <c r="KAT77" s="684"/>
      <c r="KAU77" s="684"/>
      <c r="KAV77" s="684"/>
      <c r="KAW77" s="684"/>
      <c r="KAX77" s="684"/>
      <c r="KAY77" s="684"/>
      <c r="KAZ77" s="684"/>
      <c r="KBA77" s="684"/>
      <c r="KBB77" s="684"/>
      <c r="KBC77" s="684"/>
      <c r="KBD77" s="684"/>
      <c r="KBE77" s="684"/>
      <c r="KBF77" s="684"/>
      <c r="KBG77" s="684"/>
      <c r="KBH77" s="684"/>
      <c r="KBI77" s="684"/>
      <c r="KBJ77" s="684"/>
      <c r="KBK77" s="684"/>
      <c r="KBL77" s="684"/>
      <c r="KBM77" s="684"/>
      <c r="KBN77" s="684"/>
      <c r="KBO77" s="684"/>
      <c r="KBP77" s="684"/>
      <c r="KBQ77" s="684"/>
      <c r="KBR77" s="684"/>
      <c r="KBS77" s="684"/>
      <c r="KBT77" s="684"/>
      <c r="KBU77" s="684"/>
      <c r="KBV77" s="684"/>
      <c r="KBW77" s="684"/>
      <c r="KBX77" s="684"/>
      <c r="KBY77" s="684"/>
      <c r="KBZ77" s="684"/>
      <c r="KCA77" s="684"/>
      <c r="KCB77" s="684"/>
      <c r="KCC77" s="684"/>
      <c r="KCD77" s="684"/>
      <c r="KCE77" s="684"/>
      <c r="KCF77" s="684"/>
      <c r="KCG77" s="684"/>
      <c r="KCH77" s="684"/>
      <c r="KCI77" s="684"/>
      <c r="KCJ77" s="684"/>
      <c r="KCK77" s="684"/>
      <c r="KCL77" s="684"/>
      <c r="KCM77" s="684"/>
      <c r="KCN77" s="684"/>
      <c r="KCO77" s="684"/>
      <c r="KCP77" s="684"/>
      <c r="KCQ77" s="684"/>
      <c r="KCR77" s="684"/>
      <c r="KCS77" s="684"/>
      <c r="KCT77" s="684"/>
      <c r="KCU77" s="684"/>
      <c r="KCV77" s="684"/>
      <c r="KCW77" s="684"/>
      <c r="KCX77" s="684"/>
      <c r="KCY77" s="684"/>
      <c r="KCZ77" s="684"/>
      <c r="KDA77" s="684"/>
      <c r="KDB77" s="684"/>
      <c r="KDC77" s="684"/>
      <c r="KDD77" s="684"/>
      <c r="KDE77" s="684"/>
      <c r="KDF77" s="684"/>
      <c r="KDG77" s="684"/>
      <c r="KDH77" s="684"/>
      <c r="KDI77" s="684"/>
      <c r="KDJ77" s="684"/>
      <c r="KDK77" s="684"/>
      <c r="KDL77" s="684"/>
      <c r="KDM77" s="684"/>
      <c r="KDN77" s="684"/>
      <c r="KDO77" s="684"/>
      <c r="KDP77" s="684"/>
      <c r="KDQ77" s="684"/>
      <c r="KDR77" s="684"/>
      <c r="KDS77" s="684"/>
      <c r="KDT77" s="684"/>
      <c r="KDU77" s="684"/>
      <c r="KDV77" s="684"/>
      <c r="KDW77" s="684"/>
      <c r="KDX77" s="684"/>
      <c r="KDY77" s="684"/>
      <c r="KDZ77" s="684"/>
      <c r="KEA77" s="684"/>
      <c r="KEB77" s="684"/>
      <c r="KEC77" s="684"/>
      <c r="KED77" s="684"/>
      <c r="KEE77" s="684"/>
      <c r="KEF77" s="684"/>
      <c r="KEG77" s="684"/>
      <c r="KEH77" s="684"/>
      <c r="KEI77" s="684"/>
      <c r="KEJ77" s="684"/>
      <c r="KEK77" s="684"/>
      <c r="KEL77" s="684"/>
      <c r="KEM77" s="684"/>
      <c r="KEN77" s="684"/>
      <c r="KEO77" s="684"/>
      <c r="KEP77" s="684"/>
      <c r="KEQ77" s="684"/>
      <c r="KER77" s="684"/>
      <c r="KES77" s="684"/>
      <c r="KET77" s="684"/>
      <c r="KEU77" s="684"/>
      <c r="KEV77" s="684"/>
      <c r="KEW77" s="684"/>
      <c r="KEX77" s="684"/>
      <c r="KEY77" s="684"/>
      <c r="KEZ77" s="684"/>
      <c r="KFA77" s="684"/>
      <c r="KFB77" s="684"/>
      <c r="KFC77" s="684"/>
      <c r="KFD77" s="684"/>
      <c r="KFE77" s="684"/>
      <c r="KFF77" s="684"/>
      <c r="KFG77" s="684"/>
      <c r="KFH77" s="684"/>
      <c r="KFI77" s="684"/>
      <c r="KFJ77" s="684"/>
      <c r="KFK77" s="684"/>
      <c r="KFL77" s="684"/>
      <c r="KFM77" s="684"/>
      <c r="KFN77" s="684"/>
      <c r="KFO77" s="684"/>
      <c r="KFP77" s="684"/>
      <c r="KFQ77" s="684"/>
      <c r="KFR77" s="684"/>
      <c r="KFS77" s="684"/>
      <c r="KFT77" s="684"/>
      <c r="KFU77" s="684"/>
      <c r="KFV77" s="684"/>
      <c r="KFW77" s="684"/>
      <c r="KFX77" s="684"/>
      <c r="KFY77" s="684"/>
      <c r="KFZ77" s="684"/>
      <c r="KGA77" s="684"/>
      <c r="KGB77" s="684"/>
      <c r="KGC77" s="684"/>
      <c r="KGD77" s="684"/>
      <c r="KGE77" s="684"/>
      <c r="KGF77" s="684"/>
      <c r="KGG77" s="684"/>
      <c r="KGH77" s="684"/>
      <c r="KGI77" s="684"/>
      <c r="KGJ77" s="684"/>
      <c r="KGK77" s="684"/>
      <c r="KGL77" s="684"/>
      <c r="KGM77" s="684"/>
      <c r="KGN77" s="684"/>
      <c r="KGO77" s="684"/>
      <c r="KGP77" s="684"/>
      <c r="KGQ77" s="684"/>
      <c r="KGR77" s="684"/>
      <c r="KGS77" s="684"/>
      <c r="KGT77" s="684"/>
      <c r="KGU77" s="684"/>
      <c r="KGV77" s="684"/>
      <c r="KGW77" s="684"/>
      <c r="KGX77" s="684"/>
      <c r="KGY77" s="684"/>
      <c r="KGZ77" s="684"/>
      <c r="KHA77" s="684"/>
      <c r="KHB77" s="684"/>
      <c r="KHC77" s="684"/>
      <c r="KHD77" s="684"/>
      <c r="KHE77" s="684"/>
      <c r="KHF77" s="684"/>
      <c r="KHG77" s="684"/>
      <c r="KHH77" s="684"/>
      <c r="KHI77" s="684"/>
      <c r="KHJ77" s="684"/>
      <c r="KHK77" s="684"/>
      <c r="KHL77" s="684"/>
      <c r="KHM77" s="684"/>
      <c r="KHN77" s="684"/>
      <c r="KHO77" s="684"/>
      <c r="KHP77" s="684"/>
      <c r="KHQ77" s="684"/>
      <c r="KHR77" s="684"/>
      <c r="KHS77" s="684"/>
      <c r="KHT77" s="684"/>
      <c r="KHU77" s="684"/>
      <c r="KHV77" s="684"/>
      <c r="KHW77" s="684"/>
      <c r="KHX77" s="684"/>
      <c r="KHY77" s="684"/>
      <c r="KHZ77" s="684"/>
      <c r="KIA77" s="684"/>
      <c r="KIB77" s="684"/>
      <c r="KIC77" s="684"/>
      <c r="KID77" s="684"/>
      <c r="KIE77" s="684"/>
      <c r="KIF77" s="684"/>
      <c r="KIG77" s="684"/>
      <c r="KIH77" s="684"/>
      <c r="KII77" s="684"/>
      <c r="KIJ77" s="684"/>
      <c r="KIK77" s="684"/>
      <c r="KIL77" s="684"/>
      <c r="KIM77" s="684"/>
      <c r="KIN77" s="684"/>
      <c r="KIO77" s="684"/>
      <c r="KIP77" s="684"/>
      <c r="KIQ77" s="684"/>
      <c r="KIR77" s="684"/>
      <c r="KIS77" s="684"/>
      <c r="KIT77" s="684"/>
      <c r="KIU77" s="684"/>
      <c r="KIV77" s="684"/>
      <c r="KIW77" s="684"/>
      <c r="KIX77" s="684"/>
      <c r="KIY77" s="684"/>
      <c r="KIZ77" s="684"/>
      <c r="KJA77" s="684"/>
      <c r="KJB77" s="684"/>
      <c r="KJC77" s="684"/>
      <c r="KJD77" s="684"/>
      <c r="KJE77" s="684"/>
      <c r="KJF77" s="684"/>
      <c r="KJG77" s="684"/>
      <c r="KJH77" s="684"/>
      <c r="KJI77" s="684"/>
      <c r="KJJ77" s="684"/>
      <c r="KJK77" s="684"/>
      <c r="KJL77" s="684"/>
      <c r="KJM77" s="684"/>
      <c r="KJN77" s="684"/>
      <c r="KJO77" s="684"/>
      <c r="KJP77" s="684"/>
      <c r="KJQ77" s="684"/>
      <c r="KJR77" s="684"/>
      <c r="KJS77" s="684"/>
      <c r="KJT77" s="684"/>
      <c r="KJU77" s="684"/>
      <c r="KJV77" s="684"/>
      <c r="KJW77" s="684"/>
      <c r="KJX77" s="684"/>
      <c r="KJY77" s="684"/>
      <c r="KJZ77" s="684"/>
      <c r="KKA77" s="684"/>
      <c r="KKB77" s="684"/>
      <c r="KKC77" s="684"/>
      <c r="KKD77" s="684"/>
      <c r="KKE77" s="684"/>
      <c r="KKF77" s="684"/>
      <c r="KKG77" s="684"/>
      <c r="KKH77" s="684"/>
      <c r="KKI77" s="684"/>
      <c r="KKJ77" s="684"/>
      <c r="KKK77" s="684"/>
      <c r="KKL77" s="684"/>
      <c r="KKM77" s="684"/>
      <c r="KKN77" s="684"/>
      <c r="KKO77" s="684"/>
      <c r="KKP77" s="684"/>
      <c r="KKQ77" s="684"/>
      <c r="KKR77" s="684"/>
      <c r="KKS77" s="684"/>
      <c r="KKT77" s="684"/>
      <c r="KKU77" s="684"/>
      <c r="KKV77" s="684"/>
      <c r="KKW77" s="684"/>
      <c r="KKX77" s="684"/>
      <c r="KKY77" s="684"/>
      <c r="KKZ77" s="684"/>
      <c r="KLA77" s="684"/>
      <c r="KLB77" s="684"/>
      <c r="KLC77" s="684"/>
      <c r="KLD77" s="684"/>
      <c r="KLE77" s="684"/>
      <c r="KLF77" s="684"/>
      <c r="KLG77" s="684"/>
      <c r="KLH77" s="684"/>
      <c r="KLI77" s="684"/>
      <c r="KLJ77" s="684"/>
      <c r="KLK77" s="684"/>
      <c r="KLL77" s="684"/>
      <c r="KLM77" s="684"/>
      <c r="KLN77" s="684"/>
      <c r="KLO77" s="684"/>
      <c r="KLP77" s="684"/>
      <c r="KLQ77" s="684"/>
      <c r="KLR77" s="684"/>
      <c r="KLS77" s="684"/>
      <c r="KLT77" s="684"/>
      <c r="KLU77" s="684"/>
      <c r="KLV77" s="684"/>
      <c r="KLW77" s="684"/>
      <c r="KLX77" s="684"/>
      <c r="KLY77" s="684"/>
      <c r="KLZ77" s="684"/>
      <c r="KMA77" s="684"/>
      <c r="KMB77" s="684"/>
      <c r="KMC77" s="684"/>
      <c r="KMD77" s="684"/>
      <c r="KME77" s="684"/>
      <c r="KMF77" s="684"/>
      <c r="KMG77" s="684"/>
      <c r="KMH77" s="684"/>
      <c r="KMI77" s="684"/>
      <c r="KMJ77" s="684"/>
      <c r="KMK77" s="684"/>
      <c r="KML77" s="684"/>
      <c r="KMM77" s="684"/>
      <c r="KMN77" s="684"/>
      <c r="KMO77" s="684"/>
      <c r="KMP77" s="684"/>
      <c r="KMQ77" s="684"/>
      <c r="KMR77" s="684"/>
      <c r="KMS77" s="684"/>
      <c r="KMT77" s="684"/>
      <c r="KMU77" s="684"/>
      <c r="KMV77" s="684"/>
      <c r="KMW77" s="684"/>
      <c r="KMX77" s="684"/>
      <c r="KMY77" s="684"/>
      <c r="KMZ77" s="684"/>
      <c r="KNA77" s="684"/>
      <c r="KNB77" s="684"/>
      <c r="KNC77" s="684"/>
      <c r="KND77" s="684"/>
      <c r="KNE77" s="684"/>
      <c r="KNF77" s="684"/>
      <c r="KNG77" s="684"/>
      <c r="KNH77" s="684"/>
      <c r="KNI77" s="684"/>
      <c r="KNJ77" s="684"/>
      <c r="KNK77" s="684"/>
      <c r="KNL77" s="684"/>
      <c r="KNM77" s="684"/>
      <c r="KNN77" s="684"/>
      <c r="KNO77" s="684"/>
      <c r="KNP77" s="684"/>
      <c r="KNQ77" s="684"/>
      <c r="KNR77" s="684"/>
      <c r="KNS77" s="684"/>
      <c r="KNT77" s="684"/>
      <c r="KNU77" s="684"/>
      <c r="KNV77" s="684"/>
      <c r="KNW77" s="684"/>
      <c r="KNX77" s="684"/>
      <c r="KNY77" s="684"/>
      <c r="KNZ77" s="684"/>
      <c r="KOA77" s="684"/>
      <c r="KOB77" s="684"/>
      <c r="KOC77" s="684"/>
      <c r="KOD77" s="684"/>
      <c r="KOE77" s="684"/>
      <c r="KOF77" s="684"/>
      <c r="KOG77" s="684"/>
      <c r="KOH77" s="684"/>
      <c r="KOI77" s="684"/>
      <c r="KOJ77" s="684"/>
      <c r="KOK77" s="684"/>
      <c r="KOL77" s="684"/>
      <c r="KOM77" s="684"/>
      <c r="KON77" s="684"/>
      <c r="KOO77" s="684"/>
      <c r="KOP77" s="684"/>
      <c r="KOQ77" s="684"/>
      <c r="KOR77" s="684"/>
      <c r="KOS77" s="684"/>
      <c r="KOT77" s="684"/>
      <c r="KOU77" s="684"/>
      <c r="KOV77" s="684"/>
      <c r="KOW77" s="684"/>
      <c r="KOX77" s="684"/>
      <c r="KOY77" s="684"/>
      <c r="KOZ77" s="684"/>
      <c r="KPA77" s="684"/>
      <c r="KPB77" s="684"/>
      <c r="KPC77" s="684"/>
      <c r="KPD77" s="684"/>
      <c r="KPE77" s="684"/>
      <c r="KPF77" s="684"/>
      <c r="KPG77" s="684"/>
      <c r="KPH77" s="684"/>
      <c r="KPI77" s="684"/>
      <c r="KPJ77" s="684"/>
      <c r="KPK77" s="684"/>
      <c r="KPL77" s="684"/>
      <c r="KPM77" s="684"/>
      <c r="KPN77" s="684"/>
      <c r="KPO77" s="684"/>
      <c r="KPP77" s="684"/>
      <c r="KPQ77" s="684"/>
      <c r="KPR77" s="684"/>
      <c r="KPS77" s="684"/>
      <c r="KPT77" s="684"/>
      <c r="KPU77" s="684"/>
      <c r="KPV77" s="684"/>
      <c r="KPW77" s="684"/>
      <c r="KPX77" s="684"/>
      <c r="KPY77" s="684"/>
      <c r="KPZ77" s="684"/>
      <c r="KQA77" s="684"/>
      <c r="KQB77" s="684"/>
      <c r="KQC77" s="684"/>
      <c r="KQD77" s="684"/>
      <c r="KQE77" s="684"/>
      <c r="KQF77" s="684"/>
      <c r="KQG77" s="684"/>
      <c r="KQH77" s="684"/>
      <c r="KQI77" s="684"/>
      <c r="KQJ77" s="684"/>
      <c r="KQK77" s="684"/>
      <c r="KQL77" s="684"/>
      <c r="KQM77" s="684"/>
      <c r="KQN77" s="684"/>
      <c r="KQO77" s="684"/>
      <c r="KQP77" s="684"/>
      <c r="KQQ77" s="684"/>
      <c r="KQR77" s="684"/>
      <c r="KQS77" s="684"/>
      <c r="KQT77" s="684"/>
      <c r="KQU77" s="684"/>
      <c r="KQV77" s="684"/>
      <c r="KQW77" s="684"/>
      <c r="KQX77" s="684"/>
      <c r="KQY77" s="684"/>
      <c r="KQZ77" s="684"/>
      <c r="KRA77" s="684"/>
      <c r="KRB77" s="684"/>
      <c r="KRC77" s="684"/>
      <c r="KRD77" s="684"/>
      <c r="KRE77" s="684"/>
      <c r="KRF77" s="684"/>
      <c r="KRG77" s="684"/>
      <c r="KRH77" s="684"/>
      <c r="KRI77" s="684"/>
      <c r="KRJ77" s="684"/>
      <c r="KRK77" s="684"/>
      <c r="KRL77" s="684"/>
      <c r="KRM77" s="684"/>
      <c r="KRN77" s="684"/>
      <c r="KRO77" s="684"/>
      <c r="KRP77" s="684"/>
      <c r="KRQ77" s="684"/>
      <c r="KRR77" s="684"/>
      <c r="KRS77" s="684"/>
      <c r="KRT77" s="684"/>
      <c r="KRU77" s="684"/>
      <c r="KRV77" s="684"/>
      <c r="KRW77" s="684"/>
      <c r="KRX77" s="684"/>
      <c r="KRY77" s="684"/>
      <c r="KRZ77" s="684"/>
      <c r="KSA77" s="684"/>
      <c r="KSB77" s="684"/>
      <c r="KSC77" s="684"/>
      <c r="KSD77" s="684"/>
      <c r="KSE77" s="684"/>
      <c r="KSF77" s="684"/>
      <c r="KSG77" s="684"/>
      <c r="KSH77" s="684"/>
      <c r="KSI77" s="684"/>
      <c r="KSJ77" s="684"/>
      <c r="KSK77" s="684"/>
      <c r="KSL77" s="684"/>
      <c r="KSM77" s="684"/>
      <c r="KSN77" s="684"/>
      <c r="KSO77" s="684"/>
      <c r="KSP77" s="684"/>
      <c r="KSQ77" s="684"/>
      <c r="KSR77" s="684"/>
      <c r="KSS77" s="684"/>
      <c r="KST77" s="684"/>
      <c r="KSU77" s="684"/>
      <c r="KSV77" s="684"/>
      <c r="KSW77" s="684"/>
      <c r="KSX77" s="684"/>
      <c r="KSY77" s="684"/>
      <c r="KSZ77" s="684"/>
      <c r="KTA77" s="684"/>
      <c r="KTB77" s="684"/>
      <c r="KTC77" s="684"/>
      <c r="KTD77" s="684"/>
      <c r="KTE77" s="684"/>
      <c r="KTF77" s="684"/>
      <c r="KTG77" s="684"/>
      <c r="KTH77" s="684"/>
      <c r="KTI77" s="684"/>
      <c r="KTJ77" s="684"/>
      <c r="KTK77" s="684"/>
      <c r="KTL77" s="684"/>
      <c r="KTM77" s="684"/>
      <c r="KTN77" s="684"/>
      <c r="KTO77" s="684"/>
      <c r="KTP77" s="684"/>
      <c r="KTQ77" s="684"/>
      <c r="KTR77" s="684"/>
      <c r="KTS77" s="684"/>
      <c r="KTT77" s="684"/>
      <c r="KTU77" s="684"/>
      <c r="KTV77" s="684"/>
      <c r="KTW77" s="684"/>
      <c r="KTX77" s="684"/>
      <c r="KTY77" s="684"/>
      <c r="KTZ77" s="684"/>
      <c r="KUA77" s="684"/>
      <c r="KUB77" s="684"/>
      <c r="KUC77" s="684"/>
      <c r="KUD77" s="684"/>
      <c r="KUE77" s="684"/>
      <c r="KUF77" s="684"/>
      <c r="KUG77" s="684"/>
      <c r="KUH77" s="684"/>
      <c r="KUI77" s="684"/>
      <c r="KUJ77" s="684"/>
      <c r="KUK77" s="684"/>
      <c r="KUL77" s="684"/>
      <c r="KUM77" s="684"/>
      <c r="KUN77" s="684"/>
      <c r="KUO77" s="684"/>
      <c r="KUP77" s="684"/>
      <c r="KUQ77" s="684"/>
      <c r="KUR77" s="684"/>
      <c r="KUS77" s="684"/>
      <c r="KUT77" s="684"/>
      <c r="KUU77" s="684"/>
      <c r="KUV77" s="684"/>
      <c r="KUW77" s="684"/>
      <c r="KUX77" s="684"/>
      <c r="KUY77" s="684"/>
      <c r="KUZ77" s="684"/>
      <c r="KVA77" s="684"/>
      <c r="KVB77" s="684"/>
      <c r="KVC77" s="684"/>
      <c r="KVD77" s="684"/>
      <c r="KVE77" s="684"/>
      <c r="KVF77" s="684"/>
      <c r="KVG77" s="684"/>
      <c r="KVH77" s="684"/>
      <c r="KVI77" s="684"/>
      <c r="KVJ77" s="684"/>
      <c r="KVK77" s="684"/>
      <c r="KVL77" s="684"/>
      <c r="KVM77" s="684"/>
      <c r="KVN77" s="684"/>
      <c r="KVO77" s="684"/>
      <c r="KVP77" s="684"/>
      <c r="KVQ77" s="684"/>
      <c r="KVR77" s="684"/>
      <c r="KVS77" s="684"/>
      <c r="KVT77" s="684"/>
      <c r="KVU77" s="684"/>
      <c r="KVV77" s="684"/>
      <c r="KVW77" s="684"/>
      <c r="KVX77" s="684"/>
      <c r="KVY77" s="684"/>
      <c r="KVZ77" s="684"/>
      <c r="KWA77" s="684"/>
      <c r="KWB77" s="684"/>
      <c r="KWC77" s="684"/>
      <c r="KWD77" s="684"/>
      <c r="KWE77" s="684"/>
      <c r="KWF77" s="684"/>
      <c r="KWG77" s="684"/>
      <c r="KWH77" s="684"/>
      <c r="KWI77" s="684"/>
      <c r="KWJ77" s="684"/>
      <c r="KWK77" s="684"/>
      <c r="KWL77" s="684"/>
      <c r="KWM77" s="684"/>
      <c r="KWN77" s="684"/>
      <c r="KWO77" s="684"/>
      <c r="KWP77" s="684"/>
      <c r="KWQ77" s="684"/>
      <c r="KWR77" s="684"/>
      <c r="KWS77" s="684"/>
      <c r="KWT77" s="684"/>
      <c r="KWU77" s="684"/>
      <c r="KWV77" s="684"/>
      <c r="KWW77" s="684"/>
      <c r="KWX77" s="684"/>
      <c r="KWY77" s="684"/>
      <c r="KWZ77" s="684"/>
      <c r="KXA77" s="684"/>
      <c r="KXB77" s="684"/>
      <c r="KXC77" s="684"/>
      <c r="KXD77" s="684"/>
      <c r="KXE77" s="684"/>
      <c r="KXF77" s="684"/>
      <c r="KXG77" s="684"/>
      <c r="KXH77" s="684"/>
      <c r="KXI77" s="684"/>
      <c r="KXJ77" s="684"/>
      <c r="KXK77" s="684"/>
      <c r="KXL77" s="684"/>
      <c r="KXM77" s="684"/>
      <c r="KXN77" s="684"/>
      <c r="KXO77" s="684"/>
      <c r="KXP77" s="684"/>
      <c r="KXQ77" s="684"/>
      <c r="KXR77" s="684"/>
      <c r="KXS77" s="684"/>
      <c r="KXT77" s="684"/>
      <c r="KXU77" s="684"/>
      <c r="KXV77" s="684"/>
      <c r="KXW77" s="684"/>
      <c r="KXX77" s="684"/>
      <c r="KXY77" s="684"/>
      <c r="KXZ77" s="684"/>
      <c r="KYA77" s="684"/>
      <c r="KYB77" s="684"/>
      <c r="KYC77" s="684"/>
      <c r="KYD77" s="684"/>
      <c r="KYE77" s="684"/>
      <c r="KYF77" s="684"/>
      <c r="KYG77" s="684"/>
      <c r="KYH77" s="684"/>
      <c r="KYI77" s="684"/>
      <c r="KYJ77" s="684"/>
      <c r="KYK77" s="684"/>
      <c r="KYL77" s="684"/>
      <c r="KYM77" s="684"/>
      <c r="KYN77" s="684"/>
      <c r="KYO77" s="684"/>
      <c r="KYP77" s="684"/>
      <c r="KYQ77" s="684"/>
      <c r="KYR77" s="684"/>
      <c r="KYS77" s="684"/>
      <c r="KYT77" s="684"/>
      <c r="KYU77" s="684"/>
      <c r="KYV77" s="684"/>
      <c r="KYW77" s="684"/>
      <c r="KYX77" s="684"/>
      <c r="KYY77" s="684"/>
      <c r="KYZ77" s="684"/>
      <c r="KZA77" s="684"/>
      <c r="KZB77" s="684"/>
      <c r="KZC77" s="684"/>
      <c r="KZD77" s="684"/>
      <c r="KZE77" s="684"/>
      <c r="KZF77" s="684"/>
      <c r="KZG77" s="684"/>
      <c r="KZH77" s="684"/>
      <c r="KZI77" s="684"/>
      <c r="KZJ77" s="684"/>
      <c r="KZK77" s="684"/>
      <c r="KZL77" s="684"/>
      <c r="KZM77" s="684"/>
      <c r="KZN77" s="684"/>
      <c r="KZO77" s="684"/>
      <c r="KZP77" s="684"/>
      <c r="KZQ77" s="684"/>
      <c r="KZR77" s="684"/>
      <c r="KZS77" s="684"/>
      <c r="KZT77" s="684"/>
      <c r="KZU77" s="684"/>
      <c r="KZV77" s="684"/>
      <c r="KZW77" s="684"/>
      <c r="KZX77" s="684"/>
      <c r="KZY77" s="684"/>
      <c r="KZZ77" s="684"/>
      <c r="LAA77" s="684"/>
      <c r="LAB77" s="684"/>
      <c r="LAC77" s="684"/>
      <c r="LAD77" s="684"/>
      <c r="LAE77" s="684"/>
      <c r="LAF77" s="684"/>
      <c r="LAG77" s="684"/>
      <c r="LAH77" s="684"/>
      <c r="LAI77" s="684"/>
      <c r="LAJ77" s="684"/>
      <c r="LAK77" s="684"/>
      <c r="LAL77" s="684"/>
      <c r="LAM77" s="684"/>
      <c r="LAN77" s="684"/>
      <c r="LAO77" s="684"/>
      <c r="LAP77" s="684"/>
      <c r="LAQ77" s="684"/>
      <c r="LAR77" s="684"/>
      <c r="LAS77" s="684"/>
      <c r="LAT77" s="684"/>
      <c r="LAU77" s="684"/>
      <c r="LAV77" s="684"/>
      <c r="LAW77" s="684"/>
      <c r="LAX77" s="684"/>
      <c r="LAY77" s="684"/>
      <c r="LAZ77" s="684"/>
      <c r="LBA77" s="684"/>
      <c r="LBB77" s="684"/>
      <c r="LBC77" s="684"/>
      <c r="LBD77" s="684"/>
      <c r="LBE77" s="684"/>
      <c r="LBF77" s="684"/>
      <c r="LBG77" s="684"/>
      <c r="LBH77" s="684"/>
      <c r="LBI77" s="684"/>
      <c r="LBJ77" s="684"/>
      <c r="LBK77" s="684"/>
      <c r="LBL77" s="684"/>
      <c r="LBM77" s="684"/>
      <c r="LBN77" s="684"/>
      <c r="LBO77" s="684"/>
      <c r="LBP77" s="684"/>
      <c r="LBQ77" s="684"/>
      <c r="LBR77" s="684"/>
      <c r="LBS77" s="684"/>
      <c r="LBT77" s="684"/>
      <c r="LBU77" s="684"/>
      <c r="LBV77" s="684"/>
      <c r="LBW77" s="684"/>
      <c r="LBX77" s="684"/>
      <c r="LBY77" s="684"/>
      <c r="LBZ77" s="684"/>
      <c r="LCA77" s="684"/>
      <c r="LCB77" s="684"/>
      <c r="LCC77" s="684"/>
      <c r="LCD77" s="684"/>
      <c r="LCE77" s="684"/>
      <c r="LCF77" s="684"/>
      <c r="LCG77" s="684"/>
      <c r="LCH77" s="684"/>
      <c r="LCI77" s="684"/>
      <c r="LCJ77" s="684"/>
      <c r="LCK77" s="684"/>
      <c r="LCL77" s="684"/>
      <c r="LCM77" s="684"/>
      <c r="LCN77" s="684"/>
      <c r="LCO77" s="684"/>
      <c r="LCP77" s="684"/>
      <c r="LCQ77" s="684"/>
      <c r="LCR77" s="684"/>
      <c r="LCS77" s="684"/>
      <c r="LCT77" s="684"/>
      <c r="LCU77" s="684"/>
      <c r="LCV77" s="684"/>
      <c r="LCW77" s="684"/>
      <c r="LCX77" s="684"/>
      <c r="LCY77" s="684"/>
      <c r="LCZ77" s="684"/>
      <c r="LDA77" s="684"/>
      <c r="LDB77" s="684"/>
      <c r="LDC77" s="684"/>
      <c r="LDD77" s="684"/>
      <c r="LDE77" s="684"/>
      <c r="LDF77" s="684"/>
      <c r="LDG77" s="684"/>
      <c r="LDH77" s="684"/>
      <c r="LDI77" s="684"/>
      <c r="LDJ77" s="684"/>
      <c r="LDK77" s="684"/>
      <c r="LDL77" s="684"/>
      <c r="LDM77" s="684"/>
      <c r="LDN77" s="684"/>
      <c r="LDO77" s="684"/>
      <c r="LDP77" s="684"/>
      <c r="LDQ77" s="684"/>
      <c r="LDR77" s="684"/>
      <c r="LDS77" s="684"/>
      <c r="LDT77" s="684"/>
      <c r="LDU77" s="684"/>
      <c r="LDV77" s="684"/>
      <c r="LDW77" s="684"/>
      <c r="LDX77" s="684"/>
      <c r="LDY77" s="684"/>
      <c r="LDZ77" s="684"/>
      <c r="LEA77" s="684"/>
      <c r="LEB77" s="684"/>
      <c r="LEC77" s="684"/>
      <c r="LED77" s="684"/>
      <c r="LEE77" s="684"/>
      <c r="LEF77" s="684"/>
      <c r="LEG77" s="684"/>
      <c r="LEH77" s="684"/>
      <c r="LEI77" s="684"/>
      <c r="LEJ77" s="684"/>
      <c r="LEK77" s="684"/>
      <c r="LEL77" s="684"/>
      <c r="LEM77" s="684"/>
      <c r="LEN77" s="684"/>
      <c r="LEO77" s="684"/>
      <c r="LEP77" s="684"/>
      <c r="LEQ77" s="684"/>
      <c r="LER77" s="684"/>
      <c r="LES77" s="684"/>
      <c r="LET77" s="684"/>
      <c r="LEU77" s="684"/>
      <c r="LEV77" s="684"/>
      <c r="LEW77" s="684"/>
      <c r="LEX77" s="684"/>
      <c r="LEY77" s="684"/>
      <c r="LEZ77" s="684"/>
      <c r="LFA77" s="684"/>
      <c r="LFB77" s="684"/>
      <c r="LFC77" s="684"/>
      <c r="LFD77" s="684"/>
      <c r="LFE77" s="684"/>
      <c r="LFF77" s="684"/>
      <c r="LFG77" s="684"/>
      <c r="LFH77" s="684"/>
      <c r="LFI77" s="684"/>
      <c r="LFJ77" s="684"/>
      <c r="LFK77" s="684"/>
      <c r="LFL77" s="684"/>
      <c r="LFM77" s="684"/>
      <c r="LFN77" s="684"/>
      <c r="LFO77" s="684"/>
      <c r="LFP77" s="684"/>
      <c r="LFQ77" s="684"/>
      <c r="LFR77" s="684"/>
      <c r="LFS77" s="684"/>
      <c r="LFT77" s="684"/>
      <c r="LFU77" s="684"/>
      <c r="LFV77" s="684"/>
      <c r="LFW77" s="684"/>
      <c r="LFX77" s="684"/>
      <c r="LFY77" s="684"/>
      <c r="LFZ77" s="684"/>
      <c r="LGA77" s="684"/>
      <c r="LGB77" s="684"/>
      <c r="LGC77" s="684"/>
      <c r="LGD77" s="684"/>
      <c r="LGE77" s="684"/>
      <c r="LGF77" s="684"/>
      <c r="LGG77" s="684"/>
      <c r="LGH77" s="684"/>
      <c r="LGI77" s="684"/>
      <c r="LGJ77" s="684"/>
      <c r="LGK77" s="684"/>
      <c r="LGL77" s="684"/>
      <c r="LGM77" s="684"/>
      <c r="LGN77" s="684"/>
      <c r="LGO77" s="684"/>
      <c r="LGP77" s="684"/>
      <c r="LGQ77" s="684"/>
      <c r="LGR77" s="684"/>
      <c r="LGS77" s="684"/>
      <c r="LGT77" s="684"/>
      <c r="LGU77" s="684"/>
      <c r="LGV77" s="684"/>
      <c r="LGW77" s="684"/>
      <c r="LGX77" s="684"/>
      <c r="LGY77" s="684"/>
      <c r="LGZ77" s="684"/>
      <c r="LHA77" s="684"/>
      <c r="LHB77" s="684"/>
      <c r="LHC77" s="684"/>
      <c r="LHD77" s="684"/>
      <c r="LHE77" s="684"/>
      <c r="LHF77" s="684"/>
      <c r="LHG77" s="684"/>
      <c r="LHH77" s="684"/>
      <c r="LHI77" s="684"/>
      <c r="LHJ77" s="684"/>
      <c r="LHK77" s="684"/>
      <c r="LHL77" s="684"/>
      <c r="LHM77" s="684"/>
      <c r="LHN77" s="684"/>
      <c r="LHO77" s="684"/>
      <c r="LHP77" s="684"/>
      <c r="LHQ77" s="684"/>
      <c r="LHR77" s="684"/>
      <c r="LHS77" s="684"/>
      <c r="LHT77" s="684"/>
      <c r="LHU77" s="684"/>
      <c r="LHV77" s="684"/>
      <c r="LHW77" s="684"/>
      <c r="LHX77" s="684"/>
      <c r="LHY77" s="684"/>
      <c r="LHZ77" s="684"/>
      <c r="LIA77" s="684"/>
      <c r="LIB77" s="684"/>
      <c r="LIC77" s="684"/>
      <c r="LID77" s="684"/>
      <c r="LIE77" s="684"/>
      <c r="LIF77" s="684"/>
      <c r="LIG77" s="684"/>
      <c r="LIH77" s="684"/>
      <c r="LII77" s="684"/>
      <c r="LIJ77" s="684"/>
      <c r="LIK77" s="684"/>
      <c r="LIL77" s="684"/>
      <c r="LIM77" s="684"/>
      <c r="LIN77" s="684"/>
      <c r="LIO77" s="684"/>
      <c r="LIP77" s="684"/>
      <c r="LIQ77" s="684"/>
      <c r="LIR77" s="684"/>
      <c r="LIS77" s="684"/>
      <c r="LIT77" s="684"/>
      <c r="LIU77" s="684"/>
      <c r="LIV77" s="684"/>
      <c r="LIW77" s="684"/>
      <c r="LIX77" s="684"/>
      <c r="LIY77" s="684"/>
      <c r="LIZ77" s="684"/>
      <c r="LJA77" s="684"/>
      <c r="LJB77" s="684"/>
      <c r="LJC77" s="684"/>
      <c r="LJD77" s="684"/>
      <c r="LJE77" s="684"/>
      <c r="LJF77" s="684"/>
      <c r="LJG77" s="684"/>
      <c r="LJH77" s="684"/>
      <c r="LJI77" s="684"/>
      <c r="LJJ77" s="684"/>
      <c r="LJK77" s="684"/>
      <c r="LJL77" s="684"/>
      <c r="LJM77" s="684"/>
      <c r="LJN77" s="684"/>
      <c r="LJO77" s="684"/>
      <c r="LJP77" s="684"/>
      <c r="LJQ77" s="684"/>
      <c r="LJR77" s="684"/>
      <c r="LJS77" s="684"/>
      <c r="LJT77" s="684"/>
      <c r="LJU77" s="684"/>
      <c r="LJV77" s="684"/>
      <c r="LJW77" s="684"/>
      <c r="LJX77" s="684"/>
      <c r="LJY77" s="684"/>
      <c r="LJZ77" s="684"/>
      <c r="LKA77" s="684"/>
      <c r="LKB77" s="684"/>
      <c r="LKC77" s="684"/>
      <c r="LKD77" s="684"/>
      <c r="LKE77" s="684"/>
      <c r="LKF77" s="684"/>
      <c r="LKG77" s="684"/>
      <c r="LKH77" s="684"/>
      <c r="LKI77" s="684"/>
      <c r="LKJ77" s="684"/>
      <c r="LKK77" s="684"/>
      <c r="LKL77" s="684"/>
      <c r="LKM77" s="684"/>
      <c r="LKN77" s="684"/>
      <c r="LKO77" s="684"/>
      <c r="LKP77" s="684"/>
      <c r="LKQ77" s="684"/>
      <c r="LKR77" s="684"/>
      <c r="LKS77" s="684"/>
      <c r="LKT77" s="684"/>
      <c r="LKU77" s="684"/>
      <c r="LKV77" s="684"/>
      <c r="LKW77" s="684"/>
      <c r="LKX77" s="684"/>
      <c r="LKY77" s="684"/>
      <c r="LKZ77" s="684"/>
      <c r="LLA77" s="684"/>
      <c r="LLB77" s="684"/>
      <c r="LLC77" s="684"/>
      <c r="LLD77" s="684"/>
      <c r="LLE77" s="684"/>
      <c r="LLF77" s="684"/>
      <c r="LLG77" s="684"/>
      <c r="LLH77" s="684"/>
      <c r="LLI77" s="684"/>
      <c r="LLJ77" s="684"/>
      <c r="LLK77" s="684"/>
      <c r="LLL77" s="684"/>
      <c r="LLM77" s="684"/>
      <c r="LLN77" s="684"/>
      <c r="LLO77" s="684"/>
      <c r="LLP77" s="684"/>
      <c r="LLQ77" s="684"/>
      <c r="LLR77" s="684"/>
      <c r="LLS77" s="684"/>
      <c r="LLT77" s="684"/>
      <c r="LLU77" s="684"/>
      <c r="LLV77" s="684"/>
      <c r="LLW77" s="684"/>
      <c r="LLX77" s="684"/>
      <c r="LLY77" s="684"/>
      <c r="LLZ77" s="684"/>
      <c r="LMA77" s="684"/>
      <c r="LMB77" s="684"/>
      <c r="LMC77" s="684"/>
      <c r="LMD77" s="684"/>
      <c r="LME77" s="684"/>
      <c r="LMF77" s="684"/>
      <c r="LMG77" s="684"/>
      <c r="LMH77" s="684"/>
      <c r="LMI77" s="684"/>
      <c r="LMJ77" s="684"/>
      <c r="LMK77" s="684"/>
      <c r="LML77" s="684"/>
      <c r="LMM77" s="684"/>
      <c r="LMN77" s="684"/>
      <c r="LMO77" s="684"/>
      <c r="LMP77" s="684"/>
      <c r="LMQ77" s="684"/>
      <c r="LMR77" s="684"/>
      <c r="LMS77" s="684"/>
      <c r="LMT77" s="684"/>
      <c r="LMU77" s="684"/>
      <c r="LMV77" s="684"/>
      <c r="LMW77" s="684"/>
      <c r="LMX77" s="684"/>
      <c r="LMY77" s="684"/>
      <c r="LMZ77" s="684"/>
      <c r="LNA77" s="684"/>
      <c r="LNB77" s="684"/>
      <c r="LNC77" s="684"/>
      <c r="LND77" s="684"/>
      <c r="LNE77" s="684"/>
      <c r="LNF77" s="684"/>
      <c r="LNG77" s="684"/>
      <c r="LNH77" s="684"/>
      <c r="LNI77" s="684"/>
      <c r="LNJ77" s="684"/>
      <c r="LNK77" s="684"/>
      <c r="LNL77" s="684"/>
      <c r="LNM77" s="684"/>
      <c r="LNN77" s="684"/>
      <c r="LNO77" s="684"/>
      <c r="LNP77" s="684"/>
      <c r="LNQ77" s="684"/>
      <c r="LNR77" s="684"/>
      <c r="LNS77" s="684"/>
      <c r="LNT77" s="684"/>
      <c r="LNU77" s="684"/>
      <c r="LNV77" s="684"/>
      <c r="LNW77" s="684"/>
      <c r="LNX77" s="684"/>
      <c r="LNY77" s="684"/>
      <c r="LNZ77" s="684"/>
      <c r="LOA77" s="684"/>
      <c r="LOB77" s="684"/>
      <c r="LOC77" s="684"/>
      <c r="LOD77" s="684"/>
      <c r="LOE77" s="684"/>
      <c r="LOF77" s="684"/>
      <c r="LOG77" s="684"/>
      <c r="LOH77" s="684"/>
      <c r="LOI77" s="684"/>
      <c r="LOJ77" s="684"/>
      <c r="LOK77" s="684"/>
      <c r="LOL77" s="684"/>
      <c r="LOM77" s="684"/>
      <c r="LON77" s="684"/>
      <c r="LOO77" s="684"/>
      <c r="LOP77" s="684"/>
      <c r="LOQ77" s="684"/>
      <c r="LOR77" s="684"/>
      <c r="LOS77" s="684"/>
      <c r="LOT77" s="684"/>
      <c r="LOU77" s="684"/>
      <c r="LOV77" s="684"/>
      <c r="LOW77" s="684"/>
      <c r="LOX77" s="684"/>
      <c r="LOY77" s="684"/>
      <c r="LOZ77" s="684"/>
      <c r="LPA77" s="684"/>
      <c r="LPB77" s="684"/>
      <c r="LPC77" s="684"/>
      <c r="LPD77" s="684"/>
      <c r="LPE77" s="684"/>
      <c r="LPF77" s="684"/>
      <c r="LPG77" s="684"/>
      <c r="LPH77" s="684"/>
      <c r="LPI77" s="684"/>
      <c r="LPJ77" s="684"/>
      <c r="LPK77" s="684"/>
      <c r="LPL77" s="684"/>
      <c r="LPM77" s="684"/>
      <c r="LPN77" s="684"/>
      <c r="LPO77" s="684"/>
      <c r="LPP77" s="684"/>
      <c r="LPQ77" s="684"/>
      <c r="LPR77" s="684"/>
      <c r="LPS77" s="684"/>
      <c r="LPT77" s="684"/>
      <c r="LPU77" s="684"/>
      <c r="LPV77" s="684"/>
      <c r="LPW77" s="684"/>
      <c r="LPX77" s="684"/>
      <c r="LPY77" s="684"/>
      <c r="LPZ77" s="684"/>
      <c r="LQA77" s="684"/>
      <c r="LQB77" s="684"/>
      <c r="LQC77" s="684"/>
      <c r="LQD77" s="684"/>
      <c r="LQE77" s="684"/>
      <c r="LQF77" s="684"/>
      <c r="LQG77" s="684"/>
      <c r="LQH77" s="684"/>
      <c r="LQI77" s="684"/>
      <c r="LQJ77" s="684"/>
      <c r="LQK77" s="684"/>
      <c r="LQL77" s="684"/>
      <c r="LQM77" s="684"/>
      <c r="LQN77" s="684"/>
      <c r="LQO77" s="684"/>
      <c r="LQP77" s="684"/>
      <c r="LQQ77" s="684"/>
      <c r="LQR77" s="684"/>
      <c r="LQS77" s="684"/>
      <c r="LQT77" s="684"/>
      <c r="LQU77" s="684"/>
      <c r="LQV77" s="684"/>
      <c r="LQW77" s="684"/>
      <c r="LQX77" s="684"/>
      <c r="LQY77" s="684"/>
      <c r="LQZ77" s="684"/>
      <c r="LRA77" s="684"/>
      <c r="LRB77" s="684"/>
      <c r="LRC77" s="684"/>
      <c r="LRD77" s="684"/>
      <c r="LRE77" s="684"/>
      <c r="LRF77" s="684"/>
      <c r="LRG77" s="684"/>
      <c r="LRH77" s="684"/>
      <c r="LRI77" s="684"/>
      <c r="LRJ77" s="684"/>
      <c r="LRK77" s="684"/>
      <c r="LRL77" s="684"/>
      <c r="LRM77" s="684"/>
      <c r="LRN77" s="684"/>
      <c r="LRO77" s="684"/>
      <c r="LRP77" s="684"/>
      <c r="LRQ77" s="684"/>
      <c r="LRR77" s="684"/>
      <c r="LRS77" s="684"/>
      <c r="LRT77" s="684"/>
      <c r="LRU77" s="684"/>
      <c r="LRV77" s="684"/>
      <c r="LRW77" s="684"/>
      <c r="LRX77" s="684"/>
      <c r="LRY77" s="684"/>
      <c r="LRZ77" s="684"/>
      <c r="LSA77" s="684"/>
      <c r="LSB77" s="684"/>
      <c r="LSC77" s="684"/>
      <c r="LSD77" s="684"/>
      <c r="LSE77" s="684"/>
      <c r="LSF77" s="684"/>
      <c r="LSG77" s="684"/>
      <c r="LSH77" s="684"/>
      <c r="LSI77" s="684"/>
      <c r="LSJ77" s="684"/>
      <c r="LSK77" s="684"/>
      <c r="LSL77" s="684"/>
      <c r="LSM77" s="684"/>
      <c r="LSN77" s="684"/>
      <c r="LSO77" s="684"/>
      <c r="LSP77" s="684"/>
      <c r="LSQ77" s="684"/>
      <c r="LSR77" s="684"/>
      <c r="LSS77" s="684"/>
      <c r="LST77" s="684"/>
      <c r="LSU77" s="684"/>
      <c r="LSV77" s="684"/>
      <c r="LSW77" s="684"/>
      <c r="LSX77" s="684"/>
      <c r="LSY77" s="684"/>
      <c r="LSZ77" s="684"/>
      <c r="LTA77" s="684"/>
      <c r="LTB77" s="684"/>
      <c r="LTC77" s="684"/>
      <c r="LTD77" s="684"/>
      <c r="LTE77" s="684"/>
      <c r="LTF77" s="684"/>
      <c r="LTG77" s="684"/>
      <c r="LTH77" s="684"/>
      <c r="LTI77" s="684"/>
      <c r="LTJ77" s="684"/>
      <c r="LTK77" s="684"/>
      <c r="LTL77" s="684"/>
      <c r="LTM77" s="684"/>
      <c r="LTN77" s="684"/>
      <c r="LTO77" s="684"/>
      <c r="LTP77" s="684"/>
      <c r="LTQ77" s="684"/>
      <c r="LTR77" s="684"/>
      <c r="LTS77" s="684"/>
      <c r="LTT77" s="684"/>
      <c r="LTU77" s="684"/>
      <c r="LTV77" s="684"/>
      <c r="LTW77" s="684"/>
      <c r="LTX77" s="684"/>
      <c r="LTY77" s="684"/>
      <c r="LTZ77" s="684"/>
      <c r="LUA77" s="684"/>
      <c r="LUB77" s="684"/>
      <c r="LUC77" s="684"/>
      <c r="LUD77" s="684"/>
      <c r="LUE77" s="684"/>
      <c r="LUF77" s="684"/>
      <c r="LUG77" s="684"/>
      <c r="LUH77" s="684"/>
      <c r="LUI77" s="684"/>
      <c r="LUJ77" s="684"/>
      <c r="LUK77" s="684"/>
      <c r="LUL77" s="684"/>
      <c r="LUM77" s="684"/>
      <c r="LUN77" s="684"/>
      <c r="LUO77" s="684"/>
      <c r="LUP77" s="684"/>
      <c r="LUQ77" s="684"/>
      <c r="LUR77" s="684"/>
      <c r="LUS77" s="684"/>
      <c r="LUT77" s="684"/>
      <c r="LUU77" s="684"/>
      <c r="LUV77" s="684"/>
      <c r="LUW77" s="684"/>
      <c r="LUX77" s="684"/>
      <c r="LUY77" s="684"/>
      <c r="LUZ77" s="684"/>
      <c r="LVA77" s="684"/>
      <c r="LVB77" s="684"/>
      <c r="LVC77" s="684"/>
      <c r="LVD77" s="684"/>
      <c r="LVE77" s="684"/>
      <c r="LVF77" s="684"/>
      <c r="LVG77" s="684"/>
      <c r="LVH77" s="684"/>
      <c r="LVI77" s="684"/>
      <c r="LVJ77" s="684"/>
      <c r="LVK77" s="684"/>
      <c r="LVL77" s="684"/>
      <c r="LVM77" s="684"/>
      <c r="LVN77" s="684"/>
      <c r="LVO77" s="684"/>
      <c r="LVP77" s="684"/>
      <c r="LVQ77" s="684"/>
      <c r="LVR77" s="684"/>
      <c r="LVS77" s="684"/>
      <c r="LVT77" s="684"/>
      <c r="LVU77" s="684"/>
      <c r="LVV77" s="684"/>
      <c r="LVW77" s="684"/>
      <c r="LVX77" s="684"/>
      <c r="LVY77" s="684"/>
      <c r="LVZ77" s="684"/>
      <c r="LWA77" s="684"/>
      <c r="LWB77" s="684"/>
      <c r="LWC77" s="684"/>
      <c r="LWD77" s="684"/>
      <c r="LWE77" s="684"/>
      <c r="LWF77" s="684"/>
      <c r="LWG77" s="684"/>
      <c r="LWH77" s="684"/>
      <c r="LWI77" s="684"/>
      <c r="LWJ77" s="684"/>
      <c r="LWK77" s="684"/>
      <c r="LWL77" s="684"/>
      <c r="LWM77" s="684"/>
      <c r="LWN77" s="684"/>
      <c r="LWO77" s="684"/>
      <c r="LWP77" s="684"/>
      <c r="LWQ77" s="684"/>
      <c r="LWR77" s="684"/>
      <c r="LWS77" s="684"/>
      <c r="LWT77" s="684"/>
      <c r="LWU77" s="684"/>
      <c r="LWV77" s="684"/>
      <c r="LWW77" s="684"/>
      <c r="LWX77" s="684"/>
      <c r="LWY77" s="684"/>
      <c r="LWZ77" s="684"/>
      <c r="LXA77" s="684"/>
      <c r="LXB77" s="684"/>
      <c r="LXC77" s="684"/>
      <c r="LXD77" s="684"/>
      <c r="LXE77" s="684"/>
      <c r="LXF77" s="684"/>
      <c r="LXG77" s="684"/>
      <c r="LXH77" s="684"/>
      <c r="LXI77" s="684"/>
      <c r="LXJ77" s="684"/>
      <c r="LXK77" s="684"/>
      <c r="LXL77" s="684"/>
      <c r="LXM77" s="684"/>
      <c r="LXN77" s="684"/>
      <c r="LXO77" s="684"/>
      <c r="LXP77" s="684"/>
      <c r="LXQ77" s="684"/>
      <c r="LXR77" s="684"/>
      <c r="LXS77" s="684"/>
      <c r="LXT77" s="684"/>
      <c r="LXU77" s="684"/>
      <c r="LXV77" s="684"/>
      <c r="LXW77" s="684"/>
      <c r="LXX77" s="684"/>
      <c r="LXY77" s="684"/>
      <c r="LXZ77" s="684"/>
      <c r="LYA77" s="684"/>
      <c r="LYB77" s="684"/>
      <c r="LYC77" s="684"/>
      <c r="LYD77" s="684"/>
      <c r="LYE77" s="684"/>
      <c r="LYF77" s="684"/>
      <c r="LYG77" s="684"/>
      <c r="LYH77" s="684"/>
      <c r="LYI77" s="684"/>
      <c r="LYJ77" s="684"/>
      <c r="LYK77" s="684"/>
      <c r="LYL77" s="684"/>
      <c r="LYM77" s="684"/>
      <c r="LYN77" s="684"/>
      <c r="LYO77" s="684"/>
      <c r="LYP77" s="684"/>
      <c r="LYQ77" s="684"/>
      <c r="LYR77" s="684"/>
      <c r="LYS77" s="684"/>
      <c r="LYT77" s="684"/>
      <c r="LYU77" s="684"/>
      <c r="LYV77" s="684"/>
      <c r="LYW77" s="684"/>
      <c r="LYX77" s="684"/>
      <c r="LYY77" s="684"/>
      <c r="LYZ77" s="684"/>
      <c r="LZA77" s="684"/>
      <c r="LZB77" s="684"/>
      <c r="LZC77" s="684"/>
      <c r="LZD77" s="684"/>
      <c r="LZE77" s="684"/>
      <c r="LZF77" s="684"/>
      <c r="LZG77" s="684"/>
      <c r="LZH77" s="684"/>
      <c r="LZI77" s="684"/>
      <c r="LZJ77" s="684"/>
      <c r="LZK77" s="684"/>
      <c r="LZL77" s="684"/>
      <c r="LZM77" s="684"/>
      <c r="LZN77" s="684"/>
      <c r="LZO77" s="684"/>
      <c r="LZP77" s="684"/>
      <c r="LZQ77" s="684"/>
      <c r="LZR77" s="684"/>
      <c r="LZS77" s="684"/>
      <c r="LZT77" s="684"/>
      <c r="LZU77" s="684"/>
      <c r="LZV77" s="684"/>
      <c r="LZW77" s="684"/>
      <c r="LZX77" s="684"/>
      <c r="LZY77" s="684"/>
      <c r="LZZ77" s="684"/>
      <c r="MAA77" s="684"/>
      <c r="MAB77" s="684"/>
      <c r="MAC77" s="684"/>
      <c r="MAD77" s="684"/>
      <c r="MAE77" s="684"/>
      <c r="MAF77" s="684"/>
      <c r="MAG77" s="684"/>
      <c r="MAH77" s="684"/>
      <c r="MAI77" s="684"/>
      <c r="MAJ77" s="684"/>
      <c r="MAK77" s="684"/>
      <c r="MAL77" s="684"/>
      <c r="MAM77" s="684"/>
      <c r="MAN77" s="684"/>
      <c r="MAO77" s="684"/>
      <c r="MAP77" s="684"/>
      <c r="MAQ77" s="684"/>
      <c r="MAR77" s="684"/>
      <c r="MAS77" s="684"/>
      <c r="MAT77" s="684"/>
      <c r="MAU77" s="684"/>
      <c r="MAV77" s="684"/>
      <c r="MAW77" s="684"/>
      <c r="MAX77" s="684"/>
      <c r="MAY77" s="684"/>
      <c r="MAZ77" s="684"/>
      <c r="MBA77" s="684"/>
      <c r="MBB77" s="684"/>
      <c r="MBC77" s="684"/>
      <c r="MBD77" s="684"/>
      <c r="MBE77" s="684"/>
      <c r="MBF77" s="684"/>
      <c r="MBG77" s="684"/>
      <c r="MBH77" s="684"/>
      <c r="MBI77" s="684"/>
      <c r="MBJ77" s="684"/>
      <c r="MBK77" s="684"/>
      <c r="MBL77" s="684"/>
      <c r="MBM77" s="684"/>
      <c r="MBN77" s="684"/>
      <c r="MBO77" s="684"/>
      <c r="MBP77" s="684"/>
      <c r="MBQ77" s="684"/>
      <c r="MBR77" s="684"/>
      <c r="MBS77" s="684"/>
      <c r="MBT77" s="684"/>
      <c r="MBU77" s="684"/>
      <c r="MBV77" s="684"/>
      <c r="MBW77" s="684"/>
      <c r="MBX77" s="684"/>
      <c r="MBY77" s="684"/>
      <c r="MBZ77" s="684"/>
      <c r="MCA77" s="684"/>
      <c r="MCB77" s="684"/>
      <c r="MCC77" s="684"/>
      <c r="MCD77" s="684"/>
      <c r="MCE77" s="684"/>
      <c r="MCF77" s="684"/>
      <c r="MCG77" s="684"/>
      <c r="MCH77" s="684"/>
      <c r="MCI77" s="684"/>
      <c r="MCJ77" s="684"/>
      <c r="MCK77" s="684"/>
      <c r="MCL77" s="684"/>
      <c r="MCM77" s="684"/>
      <c r="MCN77" s="684"/>
      <c r="MCO77" s="684"/>
      <c r="MCP77" s="684"/>
      <c r="MCQ77" s="684"/>
      <c r="MCR77" s="684"/>
      <c r="MCS77" s="684"/>
      <c r="MCT77" s="684"/>
      <c r="MCU77" s="684"/>
      <c r="MCV77" s="684"/>
      <c r="MCW77" s="684"/>
      <c r="MCX77" s="684"/>
      <c r="MCY77" s="684"/>
      <c r="MCZ77" s="684"/>
      <c r="MDA77" s="684"/>
      <c r="MDB77" s="684"/>
      <c r="MDC77" s="684"/>
      <c r="MDD77" s="684"/>
      <c r="MDE77" s="684"/>
      <c r="MDF77" s="684"/>
      <c r="MDG77" s="684"/>
      <c r="MDH77" s="684"/>
      <c r="MDI77" s="684"/>
      <c r="MDJ77" s="684"/>
      <c r="MDK77" s="684"/>
      <c r="MDL77" s="684"/>
      <c r="MDM77" s="684"/>
      <c r="MDN77" s="684"/>
      <c r="MDO77" s="684"/>
      <c r="MDP77" s="684"/>
      <c r="MDQ77" s="684"/>
      <c r="MDR77" s="684"/>
      <c r="MDS77" s="684"/>
      <c r="MDT77" s="684"/>
      <c r="MDU77" s="684"/>
      <c r="MDV77" s="684"/>
      <c r="MDW77" s="684"/>
      <c r="MDX77" s="684"/>
      <c r="MDY77" s="684"/>
      <c r="MDZ77" s="684"/>
      <c r="MEA77" s="684"/>
      <c r="MEB77" s="684"/>
      <c r="MEC77" s="684"/>
      <c r="MED77" s="684"/>
      <c r="MEE77" s="684"/>
      <c r="MEF77" s="684"/>
      <c r="MEG77" s="684"/>
      <c r="MEH77" s="684"/>
      <c r="MEI77" s="684"/>
      <c r="MEJ77" s="684"/>
      <c r="MEK77" s="684"/>
      <c r="MEL77" s="684"/>
      <c r="MEM77" s="684"/>
      <c r="MEN77" s="684"/>
      <c r="MEO77" s="684"/>
      <c r="MEP77" s="684"/>
      <c r="MEQ77" s="684"/>
      <c r="MER77" s="684"/>
      <c r="MES77" s="684"/>
      <c r="MET77" s="684"/>
      <c r="MEU77" s="684"/>
      <c r="MEV77" s="684"/>
      <c r="MEW77" s="684"/>
      <c r="MEX77" s="684"/>
      <c r="MEY77" s="684"/>
      <c r="MEZ77" s="684"/>
      <c r="MFA77" s="684"/>
      <c r="MFB77" s="684"/>
      <c r="MFC77" s="684"/>
      <c r="MFD77" s="684"/>
      <c r="MFE77" s="684"/>
      <c r="MFF77" s="684"/>
      <c r="MFG77" s="684"/>
      <c r="MFH77" s="684"/>
      <c r="MFI77" s="684"/>
      <c r="MFJ77" s="684"/>
      <c r="MFK77" s="684"/>
      <c r="MFL77" s="684"/>
      <c r="MFM77" s="684"/>
      <c r="MFN77" s="684"/>
      <c r="MFO77" s="684"/>
      <c r="MFP77" s="684"/>
      <c r="MFQ77" s="684"/>
      <c r="MFR77" s="684"/>
      <c r="MFS77" s="684"/>
      <c r="MFT77" s="684"/>
      <c r="MFU77" s="684"/>
      <c r="MFV77" s="684"/>
      <c r="MFW77" s="684"/>
      <c r="MFX77" s="684"/>
      <c r="MFY77" s="684"/>
      <c r="MFZ77" s="684"/>
      <c r="MGA77" s="684"/>
      <c r="MGB77" s="684"/>
      <c r="MGC77" s="684"/>
      <c r="MGD77" s="684"/>
      <c r="MGE77" s="684"/>
      <c r="MGF77" s="684"/>
      <c r="MGG77" s="684"/>
      <c r="MGH77" s="684"/>
      <c r="MGI77" s="684"/>
      <c r="MGJ77" s="684"/>
      <c r="MGK77" s="684"/>
      <c r="MGL77" s="684"/>
      <c r="MGM77" s="684"/>
      <c r="MGN77" s="684"/>
      <c r="MGO77" s="684"/>
      <c r="MGP77" s="684"/>
      <c r="MGQ77" s="684"/>
      <c r="MGR77" s="684"/>
      <c r="MGS77" s="684"/>
      <c r="MGT77" s="684"/>
      <c r="MGU77" s="684"/>
      <c r="MGV77" s="684"/>
      <c r="MGW77" s="684"/>
      <c r="MGX77" s="684"/>
      <c r="MGY77" s="684"/>
      <c r="MGZ77" s="684"/>
      <c r="MHA77" s="684"/>
      <c r="MHB77" s="684"/>
      <c r="MHC77" s="684"/>
      <c r="MHD77" s="684"/>
      <c r="MHE77" s="684"/>
      <c r="MHF77" s="684"/>
      <c r="MHG77" s="684"/>
      <c r="MHH77" s="684"/>
      <c r="MHI77" s="684"/>
      <c r="MHJ77" s="684"/>
      <c r="MHK77" s="684"/>
      <c r="MHL77" s="684"/>
      <c r="MHM77" s="684"/>
      <c r="MHN77" s="684"/>
      <c r="MHO77" s="684"/>
      <c r="MHP77" s="684"/>
      <c r="MHQ77" s="684"/>
      <c r="MHR77" s="684"/>
      <c r="MHS77" s="684"/>
      <c r="MHT77" s="684"/>
      <c r="MHU77" s="684"/>
      <c r="MHV77" s="684"/>
      <c r="MHW77" s="684"/>
      <c r="MHX77" s="684"/>
      <c r="MHY77" s="684"/>
      <c r="MHZ77" s="684"/>
      <c r="MIA77" s="684"/>
      <c r="MIB77" s="684"/>
      <c r="MIC77" s="684"/>
      <c r="MID77" s="684"/>
      <c r="MIE77" s="684"/>
      <c r="MIF77" s="684"/>
      <c r="MIG77" s="684"/>
      <c r="MIH77" s="684"/>
      <c r="MII77" s="684"/>
      <c r="MIJ77" s="684"/>
      <c r="MIK77" s="684"/>
      <c r="MIL77" s="684"/>
      <c r="MIM77" s="684"/>
      <c r="MIN77" s="684"/>
      <c r="MIO77" s="684"/>
      <c r="MIP77" s="684"/>
      <c r="MIQ77" s="684"/>
      <c r="MIR77" s="684"/>
      <c r="MIS77" s="684"/>
      <c r="MIT77" s="684"/>
      <c r="MIU77" s="684"/>
      <c r="MIV77" s="684"/>
      <c r="MIW77" s="684"/>
      <c r="MIX77" s="684"/>
      <c r="MIY77" s="684"/>
      <c r="MIZ77" s="684"/>
      <c r="MJA77" s="684"/>
      <c r="MJB77" s="684"/>
      <c r="MJC77" s="684"/>
      <c r="MJD77" s="684"/>
      <c r="MJE77" s="684"/>
      <c r="MJF77" s="684"/>
      <c r="MJG77" s="684"/>
      <c r="MJH77" s="684"/>
      <c r="MJI77" s="684"/>
      <c r="MJJ77" s="684"/>
      <c r="MJK77" s="684"/>
      <c r="MJL77" s="684"/>
      <c r="MJM77" s="684"/>
      <c r="MJN77" s="684"/>
      <c r="MJO77" s="684"/>
      <c r="MJP77" s="684"/>
      <c r="MJQ77" s="684"/>
      <c r="MJR77" s="684"/>
      <c r="MJS77" s="684"/>
      <c r="MJT77" s="684"/>
      <c r="MJU77" s="684"/>
      <c r="MJV77" s="684"/>
      <c r="MJW77" s="684"/>
      <c r="MJX77" s="684"/>
      <c r="MJY77" s="684"/>
      <c r="MJZ77" s="684"/>
      <c r="MKA77" s="684"/>
      <c r="MKB77" s="684"/>
      <c r="MKC77" s="684"/>
      <c r="MKD77" s="684"/>
      <c r="MKE77" s="684"/>
      <c r="MKF77" s="684"/>
      <c r="MKG77" s="684"/>
      <c r="MKH77" s="684"/>
      <c r="MKI77" s="684"/>
      <c r="MKJ77" s="684"/>
      <c r="MKK77" s="684"/>
      <c r="MKL77" s="684"/>
      <c r="MKM77" s="684"/>
      <c r="MKN77" s="684"/>
      <c r="MKO77" s="684"/>
      <c r="MKP77" s="684"/>
      <c r="MKQ77" s="684"/>
      <c r="MKR77" s="684"/>
      <c r="MKS77" s="684"/>
      <c r="MKT77" s="684"/>
      <c r="MKU77" s="684"/>
      <c r="MKV77" s="684"/>
      <c r="MKW77" s="684"/>
      <c r="MKX77" s="684"/>
      <c r="MKY77" s="684"/>
      <c r="MKZ77" s="684"/>
      <c r="MLA77" s="684"/>
      <c r="MLB77" s="684"/>
      <c r="MLC77" s="684"/>
      <c r="MLD77" s="684"/>
      <c r="MLE77" s="684"/>
      <c r="MLF77" s="684"/>
      <c r="MLG77" s="684"/>
      <c r="MLH77" s="684"/>
      <c r="MLI77" s="684"/>
      <c r="MLJ77" s="684"/>
      <c r="MLK77" s="684"/>
      <c r="MLL77" s="684"/>
      <c r="MLM77" s="684"/>
      <c r="MLN77" s="684"/>
      <c r="MLO77" s="684"/>
      <c r="MLP77" s="684"/>
      <c r="MLQ77" s="684"/>
      <c r="MLR77" s="684"/>
      <c r="MLS77" s="684"/>
      <c r="MLT77" s="684"/>
      <c r="MLU77" s="684"/>
      <c r="MLV77" s="684"/>
      <c r="MLW77" s="684"/>
      <c r="MLX77" s="684"/>
      <c r="MLY77" s="684"/>
      <c r="MLZ77" s="684"/>
      <c r="MMA77" s="684"/>
      <c r="MMB77" s="684"/>
      <c r="MMC77" s="684"/>
      <c r="MMD77" s="684"/>
      <c r="MME77" s="684"/>
      <c r="MMF77" s="684"/>
      <c r="MMG77" s="684"/>
      <c r="MMH77" s="684"/>
      <c r="MMI77" s="684"/>
      <c r="MMJ77" s="684"/>
      <c r="MMK77" s="684"/>
      <c r="MML77" s="684"/>
      <c r="MMM77" s="684"/>
      <c r="MMN77" s="684"/>
      <c r="MMO77" s="684"/>
      <c r="MMP77" s="684"/>
      <c r="MMQ77" s="684"/>
      <c r="MMR77" s="684"/>
      <c r="MMS77" s="684"/>
      <c r="MMT77" s="684"/>
      <c r="MMU77" s="684"/>
      <c r="MMV77" s="684"/>
      <c r="MMW77" s="684"/>
      <c r="MMX77" s="684"/>
      <c r="MMY77" s="684"/>
      <c r="MMZ77" s="684"/>
      <c r="MNA77" s="684"/>
      <c r="MNB77" s="684"/>
      <c r="MNC77" s="684"/>
      <c r="MND77" s="684"/>
      <c r="MNE77" s="684"/>
      <c r="MNF77" s="684"/>
      <c r="MNG77" s="684"/>
      <c r="MNH77" s="684"/>
      <c r="MNI77" s="684"/>
      <c r="MNJ77" s="684"/>
      <c r="MNK77" s="684"/>
      <c r="MNL77" s="684"/>
      <c r="MNM77" s="684"/>
      <c r="MNN77" s="684"/>
      <c r="MNO77" s="684"/>
      <c r="MNP77" s="684"/>
      <c r="MNQ77" s="684"/>
      <c r="MNR77" s="684"/>
      <c r="MNS77" s="684"/>
      <c r="MNT77" s="684"/>
      <c r="MNU77" s="684"/>
      <c r="MNV77" s="684"/>
      <c r="MNW77" s="684"/>
      <c r="MNX77" s="684"/>
      <c r="MNY77" s="684"/>
      <c r="MNZ77" s="684"/>
      <c r="MOA77" s="684"/>
      <c r="MOB77" s="684"/>
      <c r="MOC77" s="684"/>
      <c r="MOD77" s="684"/>
      <c r="MOE77" s="684"/>
      <c r="MOF77" s="684"/>
      <c r="MOG77" s="684"/>
      <c r="MOH77" s="684"/>
      <c r="MOI77" s="684"/>
      <c r="MOJ77" s="684"/>
      <c r="MOK77" s="684"/>
      <c r="MOL77" s="684"/>
      <c r="MOM77" s="684"/>
      <c r="MON77" s="684"/>
      <c r="MOO77" s="684"/>
      <c r="MOP77" s="684"/>
      <c r="MOQ77" s="684"/>
      <c r="MOR77" s="684"/>
      <c r="MOS77" s="684"/>
      <c r="MOT77" s="684"/>
      <c r="MOU77" s="684"/>
      <c r="MOV77" s="684"/>
      <c r="MOW77" s="684"/>
      <c r="MOX77" s="684"/>
      <c r="MOY77" s="684"/>
      <c r="MOZ77" s="684"/>
      <c r="MPA77" s="684"/>
      <c r="MPB77" s="684"/>
      <c r="MPC77" s="684"/>
      <c r="MPD77" s="684"/>
      <c r="MPE77" s="684"/>
      <c r="MPF77" s="684"/>
      <c r="MPG77" s="684"/>
      <c r="MPH77" s="684"/>
      <c r="MPI77" s="684"/>
      <c r="MPJ77" s="684"/>
      <c r="MPK77" s="684"/>
      <c r="MPL77" s="684"/>
      <c r="MPM77" s="684"/>
      <c r="MPN77" s="684"/>
      <c r="MPO77" s="684"/>
      <c r="MPP77" s="684"/>
      <c r="MPQ77" s="684"/>
      <c r="MPR77" s="684"/>
      <c r="MPS77" s="684"/>
      <c r="MPT77" s="684"/>
      <c r="MPU77" s="684"/>
      <c r="MPV77" s="684"/>
      <c r="MPW77" s="684"/>
      <c r="MPX77" s="684"/>
      <c r="MPY77" s="684"/>
      <c r="MPZ77" s="684"/>
      <c r="MQA77" s="684"/>
      <c r="MQB77" s="684"/>
      <c r="MQC77" s="684"/>
      <c r="MQD77" s="684"/>
      <c r="MQE77" s="684"/>
      <c r="MQF77" s="684"/>
      <c r="MQG77" s="684"/>
      <c r="MQH77" s="684"/>
      <c r="MQI77" s="684"/>
      <c r="MQJ77" s="684"/>
      <c r="MQK77" s="684"/>
      <c r="MQL77" s="684"/>
      <c r="MQM77" s="684"/>
      <c r="MQN77" s="684"/>
      <c r="MQO77" s="684"/>
      <c r="MQP77" s="684"/>
      <c r="MQQ77" s="684"/>
      <c r="MQR77" s="684"/>
      <c r="MQS77" s="684"/>
      <c r="MQT77" s="684"/>
      <c r="MQU77" s="684"/>
      <c r="MQV77" s="684"/>
      <c r="MQW77" s="684"/>
      <c r="MQX77" s="684"/>
      <c r="MQY77" s="684"/>
      <c r="MQZ77" s="684"/>
      <c r="MRA77" s="684"/>
      <c r="MRB77" s="684"/>
      <c r="MRC77" s="684"/>
      <c r="MRD77" s="684"/>
      <c r="MRE77" s="684"/>
      <c r="MRF77" s="684"/>
      <c r="MRG77" s="684"/>
      <c r="MRH77" s="684"/>
      <c r="MRI77" s="684"/>
      <c r="MRJ77" s="684"/>
      <c r="MRK77" s="684"/>
      <c r="MRL77" s="684"/>
      <c r="MRM77" s="684"/>
      <c r="MRN77" s="684"/>
      <c r="MRO77" s="684"/>
      <c r="MRP77" s="684"/>
      <c r="MRQ77" s="684"/>
      <c r="MRR77" s="684"/>
      <c r="MRS77" s="684"/>
      <c r="MRT77" s="684"/>
      <c r="MRU77" s="684"/>
      <c r="MRV77" s="684"/>
      <c r="MRW77" s="684"/>
      <c r="MRX77" s="684"/>
      <c r="MRY77" s="684"/>
      <c r="MRZ77" s="684"/>
      <c r="MSA77" s="684"/>
      <c r="MSB77" s="684"/>
      <c r="MSC77" s="684"/>
      <c r="MSD77" s="684"/>
      <c r="MSE77" s="684"/>
      <c r="MSF77" s="684"/>
      <c r="MSG77" s="684"/>
      <c r="MSH77" s="684"/>
      <c r="MSI77" s="684"/>
      <c r="MSJ77" s="684"/>
      <c r="MSK77" s="684"/>
      <c r="MSL77" s="684"/>
      <c r="MSM77" s="684"/>
      <c r="MSN77" s="684"/>
      <c r="MSO77" s="684"/>
      <c r="MSP77" s="684"/>
      <c r="MSQ77" s="684"/>
      <c r="MSR77" s="684"/>
      <c r="MSS77" s="684"/>
      <c r="MST77" s="684"/>
      <c r="MSU77" s="684"/>
      <c r="MSV77" s="684"/>
      <c r="MSW77" s="684"/>
      <c r="MSX77" s="684"/>
      <c r="MSY77" s="684"/>
      <c r="MSZ77" s="684"/>
      <c r="MTA77" s="684"/>
      <c r="MTB77" s="684"/>
      <c r="MTC77" s="684"/>
      <c r="MTD77" s="684"/>
      <c r="MTE77" s="684"/>
      <c r="MTF77" s="684"/>
      <c r="MTG77" s="684"/>
      <c r="MTH77" s="684"/>
      <c r="MTI77" s="684"/>
      <c r="MTJ77" s="684"/>
      <c r="MTK77" s="684"/>
      <c r="MTL77" s="684"/>
      <c r="MTM77" s="684"/>
      <c r="MTN77" s="684"/>
      <c r="MTO77" s="684"/>
      <c r="MTP77" s="684"/>
      <c r="MTQ77" s="684"/>
      <c r="MTR77" s="684"/>
      <c r="MTS77" s="684"/>
      <c r="MTT77" s="684"/>
      <c r="MTU77" s="684"/>
      <c r="MTV77" s="684"/>
      <c r="MTW77" s="684"/>
      <c r="MTX77" s="684"/>
      <c r="MTY77" s="684"/>
      <c r="MTZ77" s="684"/>
      <c r="MUA77" s="684"/>
      <c r="MUB77" s="684"/>
      <c r="MUC77" s="684"/>
      <c r="MUD77" s="684"/>
      <c r="MUE77" s="684"/>
      <c r="MUF77" s="684"/>
      <c r="MUG77" s="684"/>
      <c r="MUH77" s="684"/>
      <c r="MUI77" s="684"/>
      <c r="MUJ77" s="684"/>
      <c r="MUK77" s="684"/>
      <c r="MUL77" s="684"/>
      <c r="MUM77" s="684"/>
      <c r="MUN77" s="684"/>
      <c r="MUO77" s="684"/>
      <c r="MUP77" s="684"/>
      <c r="MUQ77" s="684"/>
      <c r="MUR77" s="684"/>
      <c r="MUS77" s="684"/>
      <c r="MUT77" s="684"/>
      <c r="MUU77" s="684"/>
      <c r="MUV77" s="684"/>
      <c r="MUW77" s="684"/>
      <c r="MUX77" s="684"/>
      <c r="MUY77" s="684"/>
      <c r="MUZ77" s="684"/>
      <c r="MVA77" s="684"/>
      <c r="MVB77" s="684"/>
      <c r="MVC77" s="684"/>
      <c r="MVD77" s="684"/>
      <c r="MVE77" s="684"/>
      <c r="MVF77" s="684"/>
      <c r="MVG77" s="684"/>
      <c r="MVH77" s="684"/>
      <c r="MVI77" s="684"/>
      <c r="MVJ77" s="684"/>
      <c r="MVK77" s="684"/>
      <c r="MVL77" s="684"/>
      <c r="MVM77" s="684"/>
      <c r="MVN77" s="684"/>
      <c r="MVO77" s="684"/>
      <c r="MVP77" s="684"/>
      <c r="MVQ77" s="684"/>
      <c r="MVR77" s="684"/>
      <c r="MVS77" s="684"/>
      <c r="MVT77" s="684"/>
      <c r="MVU77" s="684"/>
      <c r="MVV77" s="684"/>
      <c r="MVW77" s="684"/>
      <c r="MVX77" s="684"/>
      <c r="MVY77" s="684"/>
      <c r="MVZ77" s="684"/>
      <c r="MWA77" s="684"/>
      <c r="MWB77" s="684"/>
      <c r="MWC77" s="684"/>
      <c r="MWD77" s="684"/>
      <c r="MWE77" s="684"/>
      <c r="MWF77" s="684"/>
      <c r="MWG77" s="684"/>
      <c r="MWH77" s="684"/>
      <c r="MWI77" s="684"/>
      <c r="MWJ77" s="684"/>
      <c r="MWK77" s="684"/>
      <c r="MWL77" s="684"/>
      <c r="MWM77" s="684"/>
      <c r="MWN77" s="684"/>
      <c r="MWO77" s="684"/>
      <c r="MWP77" s="684"/>
      <c r="MWQ77" s="684"/>
      <c r="MWR77" s="684"/>
      <c r="MWS77" s="684"/>
      <c r="MWT77" s="684"/>
      <c r="MWU77" s="684"/>
      <c r="MWV77" s="684"/>
      <c r="MWW77" s="684"/>
      <c r="MWX77" s="684"/>
      <c r="MWY77" s="684"/>
      <c r="MWZ77" s="684"/>
      <c r="MXA77" s="684"/>
      <c r="MXB77" s="684"/>
      <c r="MXC77" s="684"/>
      <c r="MXD77" s="684"/>
      <c r="MXE77" s="684"/>
      <c r="MXF77" s="684"/>
      <c r="MXG77" s="684"/>
      <c r="MXH77" s="684"/>
      <c r="MXI77" s="684"/>
      <c r="MXJ77" s="684"/>
      <c r="MXK77" s="684"/>
      <c r="MXL77" s="684"/>
      <c r="MXM77" s="684"/>
      <c r="MXN77" s="684"/>
      <c r="MXO77" s="684"/>
      <c r="MXP77" s="684"/>
      <c r="MXQ77" s="684"/>
      <c r="MXR77" s="684"/>
      <c r="MXS77" s="684"/>
      <c r="MXT77" s="684"/>
      <c r="MXU77" s="684"/>
      <c r="MXV77" s="684"/>
      <c r="MXW77" s="684"/>
      <c r="MXX77" s="684"/>
      <c r="MXY77" s="684"/>
      <c r="MXZ77" s="684"/>
      <c r="MYA77" s="684"/>
      <c r="MYB77" s="684"/>
      <c r="MYC77" s="684"/>
      <c r="MYD77" s="684"/>
      <c r="MYE77" s="684"/>
      <c r="MYF77" s="684"/>
      <c r="MYG77" s="684"/>
      <c r="MYH77" s="684"/>
      <c r="MYI77" s="684"/>
      <c r="MYJ77" s="684"/>
      <c r="MYK77" s="684"/>
      <c r="MYL77" s="684"/>
      <c r="MYM77" s="684"/>
      <c r="MYN77" s="684"/>
      <c r="MYO77" s="684"/>
      <c r="MYP77" s="684"/>
      <c r="MYQ77" s="684"/>
      <c r="MYR77" s="684"/>
      <c r="MYS77" s="684"/>
      <c r="MYT77" s="684"/>
      <c r="MYU77" s="684"/>
      <c r="MYV77" s="684"/>
      <c r="MYW77" s="684"/>
      <c r="MYX77" s="684"/>
      <c r="MYY77" s="684"/>
      <c r="MYZ77" s="684"/>
      <c r="MZA77" s="684"/>
      <c r="MZB77" s="684"/>
      <c r="MZC77" s="684"/>
      <c r="MZD77" s="684"/>
      <c r="MZE77" s="684"/>
      <c r="MZF77" s="684"/>
      <c r="MZG77" s="684"/>
      <c r="MZH77" s="684"/>
      <c r="MZI77" s="684"/>
      <c r="MZJ77" s="684"/>
      <c r="MZK77" s="684"/>
      <c r="MZL77" s="684"/>
      <c r="MZM77" s="684"/>
      <c r="MZN77" s="684"/>
      <c r="MZO77" s="684"/>
      <c r="MZP77" s="684"/>
      <c r="MZQ77" s="684"/>
      <c r="MZR77" s="684"/>
      <c r="MZS77" s="684"/>
      <c r="MZT77" s="684"/>
      <c r="MZU77" s="684"/>
      <c r="MZV77" s="684"/>
      <c r="MZW77" s="684"/>
      <c r="MZX77" s="684"/>
      <c r="MZY77" s="684"/>
      <c r="MZZ77" s="684"/>
      <c r="NAA77" s="684"/>
      <c r="NAB77" s="684"/>
      <c r="NAC77" s="684"/>
      <c r="NAD77" s="684"/>
      <c r="NAE77" s="684"/>
      <c r="NAF77" s="684"/>
      <c r="NAG77" s="684"/>
      <c r="NAH77" s="684"/>
      <c r="NAI77" s="684"/>
      <c r="NAJ77" s="684"/>
      <c r="NAK77" s="684"/>
      <c r="NAL77" s="684"/>
      <c r="NAM77" s="684"/>
      <c r="NAN77" s="684"/>
      <c r="NAO77" s="684"/>
      <c r="NAP77" s="684"/>
      <c r="NAQ77" s="684"/>
      <c r="NAR77" s="684"/>
      <c r="NAS77" s="684"/>
      <c r="NAT77" s="684"/>
      <c r="NAU77" s="684"/>
      <c r="NAV77" s="684"/>
      <c r="NAW77" s="684"/>
      <c r="NAX77" s="684"/>
      <c r="NAY77" s="684"/>
      <c r="NAZ77" s="684"/>
      <c r="NBA77" s="684"/>
      <c r="NBB77" s="684"/>
      <c r="NBC77" s="684"/>
      <c r="NBD77" s="684"/>
      <c r="NBE77" s="684"/>
      <c r="NBF77" s="684"/>
      <c r="NBG77" s="684"/>
      <c r="NBH77" s="684"/>
      <c r="NBI77" s="684"/>
      <c r="NBJ77" s="684"/>
      <c r="NBK77" s="684"/>
      <c r="NBL77" s="684"/>
      <c r="NBM77" s="684"/>
      <c r="NBN77" s="684"/>
      <c r="NBO77" s="684"/>
      <c r="NBP77" s="684"/>
      <c r="NBQ77" s="684"/>
      <c r="NBR77" s="684"/>
      <c r="NBS77" s="684"/>
      <c r="NBT77" s="684"/>
      <c r="NBU77" s="684"/>
      <c r="NBV77" s="684"/>
      <c r="NBW77" s="684"/>
      <c r="NBX77" s="684"/>
      <c r="NBY77" s="684"/>
      <c r="NBZ77" s="684"/>
      <c r="NCA77" s="684"/>
      <c r="NCB77" s="684"/>
      <c r="NCC77" s="684"/>
      <c r="NCD77" s="684"/>
      <c r="NCE77" s="684"/>
      <c r="NCF77" s="684"/>
      <c r="NCG77" s="684"/>
      <c r="NCH77" s="684"/>
      <c r="NCI77" s="684"/>
      <c r="NCJ77" s="684"/>
      <c r="NCK77" s="684"/>
      <c r="NCL77" s="684"/>
      <c r="NCM77" s="684"/>
      <c r="NCN77" s="684"/>
      <c r="NCO77" s="684"/>
      <c r="NCP77" s="684"/>
      <c r="NCQ77" s="684"/>
      <c r="NCR77" s="684"/>
      <c r="NCS77" s="684"/>
      <c r="NCT77" s="684"/>
      <c r="NCU77" s="684"/>
      <c r="NCV77" s="684"/>
      <c r="NCW77" s="684"/>
      <c r="NCX77" s="684"/>
      <c r="NCY77" s="684"/>
      <c r="NCZ77" s="684"/>
      <c r="NDA77" s="684"/>
      <c r="NDB77" s="684"/>
      <c r="NDC77" s="684"/>
      <c r="NDD77" s="684"/>
      <c r="NDE77" s="684"/>
      <c r="NDF77" s="684"/>
      <c r="NDG77" s="684"/>
      <c r="NDH77" s="684"/>
      <c r="NDI77" s="684"/>
      <c r="NDJ77" s="684"/>
      <c r="NDK77" s="684"/>
      <c r="NDL77" s="684"/>
      <c r="NDM77" s="684"/>
      <c r="NDN77" s="684"/>
      <c r="NDO77" s="684"/>
      <c r="NDP77" s="684"/>
      <c r="NDQ77" s="684"/>
      <c r="NDR77" s="684"/>
      <c r="NDS77" s="684"/>
      <c r="NDT77" s="684"/>
      <c r="NDU77" s="684"/>
      <c r="NDV77" s="684"/>
      <c r="NDW77" s="684"/>
      <c r="NDX77" s="684"/>
      <c r="NDY77" s="684"/>
      <c r="NDZ77" s="684"/>
      <c r="NEA77" s="684"/>
      <c r="NEB77" s="684"/>
      <c r="NEC77" s="684"/>
      <c r="NED77" s="684"/>
      <c r="NEE77" s="684"/>
      <c r="NEF77" s="684"/>
      <c r="NEG77" s="684"/>
      <c r="NEH77" s="684"/>
      <c r="NEI77" s="684"/>
      <c r="NEJ77" s="684"/>
      <c r="NEK77" s="684"/>
      <c r="NEL77" s="684"/>
      <c r="NEM77" s="684"/>
      <c r="NEN77" s="684"/>
      <c r="NEO77" s="684"/>
      <c r="NEP77" s="684"/>
      <c r="NEQ77" s="684"/>
      <c r="NER77" s="684"/>
      <c r="NES77" s="684"/>
      <c r="NET77" s="684"/>
      <c r="NEU77" s="684"/>
      <c r="NEV77" s="684"/>
      <c r="NEW77" s="684"/>
      <c r="NEX77" s="684"/>
      <c r="NEY77" s="684"/>
      <c r="NEZ77" s="684"/>
      <c r="NFA77" s="684"/>
      <c r="NFB77" s="684"/>
      <c r="NFC77" s="684"/>
      <c r="NFD77" s="684"/>
      <c r="NFE77" s="684"/>
      <c r="NFF77" s="684"/>
      <c r="NFG77" s="684"/>
      <c r="NFH77" s="684"/>
      <c r="NFI77" s="684"/>
      <c r="NFJ77" s="684"/>
      <c r="NFK77" s="684"/>
      <c r="NFL77" s="684"/>
      <c r="NFM77" s="684"/>
      <c r="NFN77" s="684"/>
      <c r="NFO77" s="684"/>
      <c r="NFP77" s="684"/>
      <c r="NFQ77" s="684"/>
      <c r="NFR77" s="684"/>
      <c r="NFS77" s="684"/>
      <c r="NFT77" s="684"/>
      <c r="NFU77" s="684"/>
      <c r="NFV77" s="684"/>
      <c r="NFW77" s="684"/>
      <c r="NFX77" s="684"/>
      <c r="NFY77" s="684"/>
      <c r="NFZ77" s="684"/>
      <c r="NGA77" s="684"/>
      <c r="NGB77" s="684"/>
      <c r="NGC77" s="684"/>
      <c r="NGD77" s="684"/>
      <c r="NGE77" s="684"/>
      <c r="NGF77" s="684"/>
      <c r="NGG77" s="684"/>
      <c r="NGH77" s="684"/>
      <c r="NGI77" s="684"/>
      <c r="NGJ77" s="684"/>
      <c r="NGK77" s="684"/>
      <c r="NGL77" s="684"/>
      <c r="NGM77" s="684"/>
      <c r="NGN77" s="684"/>
      <c r="NGO77" s="684"/>
      <c r="NGP77" s="684"/>
      <c r="NGQ77" s="684"/>
      <c r="NGR77" s="684"/>
      <c r="NGS77" s="684"/>
      <c r="NGT77" s="684"/>
      <c r="NGU77" s="684"/>
      <c r="NGV77" s="684"/>
      <c r="NGW77" s="684"/>
      <c r="NGX77" s="684"/>
      <c r="NGY77" s="684"/>
      <c r="NGZ77" s="684"/>
      <c r="NHA77" s="684"/>
      <c r="NHB77" s="684"/>
      <c r="NHC77" s="684"/>
      <c r="NHD77" s="684"/>
      <c r="NHE77" s="684"/>
      <c r="NHF77" s="684"/>
      <c r="NHG77" s="684"/>
      <c r="NHH77" s="684"/>
      <c r="NHI77" s="684"/>
      <c r="NHJ77" s="684"/>
      <c r="NHK77" s="684"/>
      <c r="NHL77" s="684"/>
      <c r="NHM77" s="684"/>
      <c r="NHN77" s="684"/>
      <c r="NHO77" s="684"/>
      <c r="NHP77" s="684"/>
      <c r="NHQ77" s="684"/>
      <c r="NHR77" s="684"/>
      <c r="NHS77" s="684"/>
      <c r="NHT77" s="684"/>
      <c r="NHU77" s="684"/>
      <c r="NHV77" s="684"/>
      <c r="NHW77" s="684"/>
      <c r="NHX77" s="684"/>
      <c r="NHY77" s="684"/>
      <c r="NHZ77" s="684"/>
      <c r="NIA77" s="684"/>
      <c r="NIB77" s="684"/>
      <c r="NIC77" s="684"/>
      <c r="NID77" s="684"/>
      <c r="NIE77" s="684"/>
      <c r="NIF77" s="684"/>
      <c r="NIG77" s="684"/>
      <c r="NIH77" s="684"/>
      <c r="NII77" s="684"/>
      <c r="NIJ77" s="684"/>
      <c r="NIK77" s="684"/>
      <c r="NIL77" s="684"/>
      <c r="NIM77" s="684"/>
      <c r="NIN77" s="684"/>
      <c r="NIO77" s="684"/>
      <c r="NIP77" s="684"/>
      <c r="NIQ77" s="684"/>
      <c r="NIR77" s="684"/>
      <c r="NIS77" s="684"/>
      <c r="NIT77" s="684"/>
      <c r="NIU77" s="684"/>
      <c r="NIV77" s="684"/>
      <c r="NIW77" s="684"/>
      <c r="NIX77" s="684"/>
      <c r="NIY77" s="684"/>
      <c r="NIZ77" s="684"/>
      <c r="NJA77" s="684"/>
      <c r="NJB77" s="684"/>
      <c r="NJC77" s="684"/>
      <c r="NJD77" s="684"/>
      <c r="NJE77" s="684"/>
      <c r="NJF77" s="684"/>
      <c r="NJG77" s="684"/>
      <c r="NJH77" s="684"/>
      <c r="NJI77" s="684"/>
      <c r="NJJ77" s="684"/>
      <c r="NJK77" s="684"/>
      <c r="NJL77" s="684"/>
      <c r="NJM77" s="684"/>
      <c r="NJN77" s="684"/>
      <c r="NJO77" s="684"/>
      <c r="NJP77" s="684"/>
      <c r="NJQ77" s="684"/>
      <c r="NJR77" s="684"/>
      <c r="NJS77" s="684"/>
      <c r="NJT77" s="684"/>
      <c r="NJU77" s="684"/>
      <c r="NJV77" s="684"/>
      <c r="NJW77" s="684"/>
      <c r="NJX77" s="684"/>
      <c r="NJY77" s="684"/>
      <c r="NJZ77" s="684"/>
      <c r="NKA77" s="684"/>
      <c r="NKB77" s="684"/>
      <c r="NKC77" s="684"/>
      <c r="NKD77" s="684"/>
      <c r="NKE77" s="684"/>
      <c r="NKF77" s="684"/>
      <c r="NKG77" s="684"/>
      <c r="NKH77" s="684"/>
      <c r="NKI77" s="684"/>
      <c r="NKJ77" s="684"/>
      <c r="NKK77" s="684"/>
      <c r="NKL77" s="684"/>
      <c r="NKM77" s="684"/>
      <c r="NKN77" s="684"/>
      <c r="NKO77" s="684"/>
      <c r="NKP77" s="684"/>
      <c r="NKQ77" s="684"/>
      <c r="NKR77" s="684"/>
      <c r="NKS77" s="684"/>
      <c r="NKT77" s="684"/>
      <c r="NKU77" s="684"/>
      <c r="NKV77" s="684"/>
      <c r="NKW77" s="684"/>
      <c r="NKX77" s="684"/>
      <c r="NKY77" s="684"/>
      <c r="NKZ77" s="684"/>
      <c r="NLA77" s="684"/>
      <c r="NLB77" s="684"/>
      <c r="NLC77" s="684"/>
      <c r="NLD77" s="684"/>
      <c r="NLE77" s="684"/>
      <c r="NLF77" s="684"/>
      <c r="NLG77" s="684"/>
      <c r="NLH77" s="684"/>
      <c r="NLI77" s="684"/>
      <c r="NLJ77" s="684"/>
      <c r="NLK77" s="684"/>
      <c r="NLL77" s="684"/>
      <c r="NLM77" s="684"/>
      <c r="NLN77" s="684"/>
      <c r="NLO77" s="684"/>
      <c r="NLP77" s="684"/>
      <c r="NLQ77" s="684"/>
      <c r="NLR77" s="684"/>
      <c r="NLS77" s="684"/>
      <c r="NLT77" s="684"/>
      <c r="NLU77" s="684"/>
      <c r="NLV77" s="684"/>
      <c r="NLW77" s="684"/>
      <c r="NLX77" s="684"/>
      <c r="NLY77" s="684"/>
      <c r="NLZ77" s="684"/>
      <c r="NMA77" s="684"/>
      <c r="NMB77" s="684"/>
      <c r="NMC77" s="684"/>
      <c r="NMD77" s="684"/>
      <c r="NME77" s="684"/>
      <c r="NMF77" s="684"/>
      <c r="NMG77" s="684"/>
      <c r="NMH77" s="684"/>
      <c r="NMI77" s="684"/>
      <c r="NMJ77" s="684"/>
      <c r="NMK77" s="684"/>
      <c r="NML77" s="684"/>
      <c r="NMM77" s="684"/>
      <c r="NMN77" s="684"/>
      <c r="NMO77" s="684"/>
      <c r="NMP77" s="684"/>
      <c r="NMQ77" s="684"/>
      <c r="NMR77" s="684"/>
      <c r="NMS77" s="684"/>
      <c r="NMT77" s="684"/>
      <c r="NMU77" s="684"/>
      <c r="NMV77" s="684"/>
      <c r="NMW77" s="684"/>
      <c r="NMX77" s="684"/>
      <c r="NMY77" s="684"/>
      <c r="NMZ77" s="684"/>
      <c r="NNA77" s="684"/>
      <c r="NNB77" s="684"/>
      <c r="NNC77" s="684"/>
      <c r="NND77" s="684"/>
      <c r="NNE77" s="684"/>
      <c r="NNF77" s="684"/>
      <c r="NNG77" s="684"/>
      <c r="NNH77" s="684"/>
      <c r="NNI77" s="684"/>
      <c r="NNJ77" s="684"/>
      <c r="NNK77" s="684"/>
      <c r="NNL77" s="684"/>
      <c r="NNM77" s="684"/>
      <c r="NNN77" s="684"/>
      <c r="NNO77" s="684"/>
      <c r="NNP77" s="684"/>
      <c r="NNQ77" s="684"/>
      <c r="NNR77" s="684"/>
      <c r="NNS77" s="684"/>
      <c r="NNT77" s="684"/>
      <c r="NNU77" s="684"/>
      <c r="NNV77" s="684"/>
      <c r="NNW77" s="684"/>
      <c r="NNX77" s="684"/>
      <c r="NNY77" s="684"/>
      <c r="NNZ77" s="684"/>
      <c r="NOA77" s="684"/>
      <c r="NOB77" s="684"/>
      <c r="NOC77" s="684"/>
      <c r="NOD77" s="684"/>
      <c r="NOE77" s="684"/>
      <c r="NOF77" s="684"/>
      <c r="NOG77" s="684"/>
      <c r="NOH77" s="684"/>
      <c r="NOI77" s="684"/>
      <c r="NOJ77" s="684"/>
      <c r="NOK77" s="684"/>
      <c r="NOL77" s="684"/>
      <c r="NOM77" s="684"/>
      <c r="NON77" s="684"/>
      <c r="NOO77" s="684"/>
      <c r="NOP77" s="684"/>
      <c r="NOQ77" s="684"/>
      <c r="NOR77" s="684"/>
      <c r="NOS77" s="684"/>
      <c r="NOT77" s="684"/>
      <c r="NOU77" s="684"/>
      <c r="NOV77" s="684"/>
      <c r="NOW77" s="684"/>
      <c r="NOX77" s="684"/>
      <c r="NOY77" s="684"/>
      <c r="NOZ77" s="684"/>
      <c r="NPA77" s="684"/>
      <c r="NPB77" s="684"/>
      <c r="NPC77" s="684"/>
      <c r="NPD77" s="684"/>
      <c r="NPE77" s="684"/>
      <c r="NPF77" s="684"/>
      <c r="NPG77" s="684"/>
      <c r="NPH77" s="684"/>
      <c r="NPI77" s="684"/>
      <c r="NPJ77" s="684"/>
      <c r="NPK77" s="684"/>
      <c r="NPL77" s="684"/>
      <c r="NPM77" s="684"/>
      <c r="NPN77" s="684"/>
      <c r="NPO77" s="684"/>
      <c r="NPP77" s="684"/>
      <c r="NPQ77" s="684"/>
      <c r="NPR77" s="684"/>
      <c r="NPS77" s="684"/>
      <c r="NPT77" s="684"/>
      <c r="NPU77" s="684"/>
      <c r="NPV77" s="684"/>
      <c r="NPW77" s="684"/>
      <c r="NPX77" s="684"/>
      <c r="NPY77" s="684"/>
      <c r="NPZ77" s="684"/>
      <c r="NQA77" s="684"/>
      <c r="NQB77" s="684"/>
      <c r="NQC77" s="684"/>
      <c r="NQD77" s="684"/>
      <c r="NQE77" s="684"/>
      <c r="NQF77" s="684"/>
      <c r="NQG77" s="684"/>
      <c r="NQH77" s="684"/>
      <c r="NQI77" s="684"/>
      <c r="NQJ77" s="684"/>
      <c r="NQK77" s="684"/>
      <c r="NQL77" s="684"/>
      <c r="NQM77" s="684"/>
      <c r="NQN77" s="684"/>
      <c r="NQO77" s="684"/>
      <c r="NQP77" s="684"/>
      <c r="NQQ77" s="684"/>
      <c r="NQR77" s="684"/>
      <c r="NQS77" s="684"/>
      <c r="NQT77" s="684"/>
      <c r="NQU77" s="684"/>
      <c r="NQV77" s="684"/>
      <c r="NQW77" s="684"/>
      <c r="NQX77" s="684"/>
      <c r="NQY77" s="684"/>
      <c r="NQZ77" s="684"/>
      <c r="NRA77" s="684"/>
      <c r="NRB77" s="684"/>
      <c r="NRC77" s="684"/>
      <c r="NRD77" s="684"/>
      <c r="NRE77" s="684"/>
      <c r="NRF77" s="684"/>
      <c r="NRG77" s="684"/>
      <c r="NRH77" s="684"/>
      <c r="NRI77" s="684"/>
      <c r="NRJ77" s="684"/>
      <c r="NRK77" s="684"/>
      <c r="NRL77" s="684"/>
      <c r="NRM77" s="684"/>
      <c r="NRN77" s="684"/>
      <c r="NRO77" s="684"/>
      <c r="NRP77" s="684"/>
      <c r="NRQ77" s="684"/>
      <c r="NRR77" s="684"/>
      <c r="NRS77" s="684"/>
      <c r="NRT77" s="684"/>
      <c r="NRU77" s="684"/>
      <c r="NRV77" s="684"/>
      <c r="NRW77" s="684"/>
      <c r="NRX77" s="684"/>
      <c r="NRY77" s="684"/>
      <c r="NRZ77" s="684"/>
      <c r="NSA77" s="684"/>
      <c r="NSB77" s="684"/>
      <c r="NSC77" s="684"/>
      <c r="NSD77" s="684"/>
      <c r="NSE77" s="684"/>
      <c r="NSF77" s="684"/>
      <c r="NSG77" s="684"/>
      <c r="NSH77" s="684"/>
      <c r="NSI77" s="684"/>
      <c r="NSJ77" s="684"/>
      <c r="NSK77" s="684"/>
      <c r="NSL77" s="684"/>
      <c r="NSM77" s="684"/>
      <c r="NSN77" s="684"/>
      <c r="NSO77" s="684"/>
      <c r="NSP77" s="684"/>
      <c r="NSQ77" s="684"/>
      <c r="NSR77" s="684"/>
      <c r="NSS77" s="684"/>
      <c r="NST77" s="684"/>
      <c r="NSU77" s="684"/>
      <c r="NSV77" s="684"/>
      <c r="NSW77" s="684"/>
      <c r="NSX77" s="684"/>
      <c r="NSY77" s="684"/>
      <c r="NSZ77" s="684"/>
      <c r="NTA77" s="684"/>
      <c r="NTB77" s="684"/>
      <c r="NTC77" s="684"/>
      <c r="NTD77" s="684"/>
      <c r="NTE77" s="684"/>
      <c r="NTF77" s="684"/>
      <c r="NTG77" s="684"/>
      <c r="NTH77" s="684"/>
      <c r="NTI77" s="684"/>
      <c r="NTJ77" s="684"/>
      <c r="NTK77" s="684"/>
      <c r="NTL77" s="684"/>
      <c r="NTM77" s="684"/>
      <c r="NTN77" s="684"/>
      <c r="NTO77" s="684"/>
      <c r="NTP77" s="684"/>
      <c r="NTQ77" s="684"/>
      <c r="NTR77" s="684"/>
      <c r="NTS77" s="684"/>
      <c r="NTT77" s="684"/>
      <c r="NTU77" s="684"/>
      <c r="NTV77" s="684"/>
      <c r="NTW77" s="684"/>
      <c r="NTX77" s="684"/>
      <c r="NTY77" s="684"/>
      <c r="NTZ77" s="684"/>
      <c r="NUA77" s="684"/>
      <c r="NUB77" s="684"/>
      <c r="NUC77" s="684"/>
      <c r="NUD77" s="684"/>
      <c r="NUE77" s="684"/>
      <c r="NUF77" s="684"/>
      <c r="NUG77" s="684"/>
      <c r="NUH77" s="684"/>
      <c r="NUI77" s="684"/>
      <c r="NUJ77" s="684"/>
      <c r="NUK77" s="684"/>
      <c r="NUL77" s="684"/>
      <c r="NUM77" s="684"/>
      <c r="NUN77" s="684"/>
      <c r="NUO77" s="684"/>
      <c r="NUP77" s="684"/>
      <c r="NUQ77" s="684"/>
      <c r="NUR77" s="684"/>
      <c r="NUS77" s="684"/>
      <c r="NUT77" s="684"/>
      <c r="NUU77" s="684"/>
      <c r="NUV77" s="684"/>
      <c r="NUW77" s="684"/>
      <c r="NUX77" s="684"/>
      <c r="NUY77" s="684"/>
      <c r="NUZ77" s="684"/>
      <c r="NVA77" s="684"/>
      <c r="NVB77" s="684"/>
      <c r="NVC77" s="684"/>
      <c r="NVD77" s="684"/>
      <c r="NVE77" s="684"/>
      <c r="NVF77" s="684"/>
      <c r="NVG77" s="684"/>
      <c r="NVH77" s="684"/>
      <c r="NVI77" s="684"/>
      <c r="NVJ77" s="684"/>
      <c r="NVK77" s="684"/>
      <c r="NVL77" s="684"/>
      <c r="NVM77" s="684"/>
      <c r="NVN77" s="684"/>
      <c r="NVO77" s="684"/>
      <c r="NVP77" s="684"/>
      <c r="NVQ77" s="684"/>
      <c r="NVR77" s="684"/>
      <c r="NVS77" s="684"/>
      <c r="NVT77" s="684"/>
      <c r="NVU77" s="684"/>
      <c r="NVV77" s="684"/>
      <c r="NVW77" s="684"/>
      <c r="NVX77" s="684"/>
      <c r="NVY77" s="684"/>
      <c r="NVZ77" s="684"/>
      <c r="NWA77" s="684"/>
      <c r="NWB77" s="684"/>
      <c r="NWC77" s="684"/>
      <c r="NWD77" s="684"/>
      <c r="NWE77" s="684"/>
      <c r="NWF77" s="684"/>
      <c r="NWG77" s="684"/>
      <c r="NWH77" s="684"/>
      <c r="NWI77" s="684"/>
      <c r="NWJ77" s="684"/>
      <c r="NWK77" s="684"/>
      <c r="NWL77" s="684"/>
      <c r="NWM77" s="684"/>
      <c r="NWN77" s="684"/>
      <c r="NWO77" s="684"/>
      <c r="NWP77" s="684"/>
      <c r="NWQ77" s="684"/>
      <c r="NWR77" s="684"/>
      <c r="NWS77" s="684"/>
      <c r="NWT77" s="684"/>
      <c r="NWU77" s="684"/>
      <c r="NWV77" s="684"/>
      <c r="NWW77" s="684"/>
      <c r="NWX77" s="684"/>
      <c r="NWY77" s="684"/>
      <c r="NWZ77" s="684"/>
      <c r="NXA77" s="684"/>
      <c r="NXB77" s="684"/>
      <c r="NXC77" s="684"/>
      <c r="NXD77" s="684"/>
      <c r="NXE77" s="684"/>
      <c r="NXF77" s="684"/>
      <c r="NXG77" s="684"/>
      <c r="NXH77" s="684"/>
      <c r="NXI77" s="684"/>
      <c r="NXJ77" s="684"/>
      <c r="NXK77" s="684"/>
      <c r="NXL77" s="684"/>
      <c r="NXM77" s="684"/>
      <c r="NXN77" s="684"/>
      <c r="NXO77" s="684"/>
      <c r="NXP77" s="684"/>
      <c r="NXQ77" s="684"/>
      <c r="NXR77" s="684"/>
      <c r="NXS77" s="684"/>
      <c r="NXT77" s="684"/>
      <c r="NXU77" s="684"/>
      <c r="NXV77" s="684"/>
      <c r="NXW77" s="684"/>
      <c r="NXX77" s="684"/>
      <c r="NXY77" s="684"/>
      <c r="NXZ77" s="684"/>
      <c r="NYA77" s="684"/>
      <c r="NYB77" s="684"/>
      <c r="NYC77" s="684"/>
      <c r="NYD77" s="684"/>
      <c r="NYE77" s="684"/>
      <c r="NYF77" s="684"/>
      <c r="NYG77" s="684"/>
      <c r="NYH77" s="684"/>
      <c r="NYI77" s="684"/>
      <c r="NYJ77" s="684"/>
      <c r="NYK77" s="684"/>
      <c r="NYL77" s="684"/>
      <c r="NYM77" s="684"/>
      <c r="NYN77" s="684"/>
      <c r="NYO77" s="684"/>
      <c r="NYP77" s="684"/>
      <c r="NYQ77" s="684"/>
      <c r="NYR77" s="684"/>
      <c r="NYS77" s="684"/>
      <c r="NYT77" s="684"/>
      <c r="NYU77" s="684"/>
      <c r="NYV77" s="684"/>
      <c r="NYW77" s="684"/>
      <c r="NYX77" s="684"/>
      <c r="NYY77" s="684"/>
      <c r="NYZ77" s="684"/>
      <c r="NZA77" s="684"/>
      <c r="NZB77" s="684"/>
      <c r="NZC77" s="684"/>
      <c r="NZD77" s="684"/>
      <c r="NZE77" s="684"/>
      <c r="NZF77" s="684"/>
      <c r="NZG77" s="684"/>
      <c r="NZH77" s="684"/>
      <c r="NZI77" s="684"/>
      <c r="NZJ77" s="684"/>
      <c r="NZK77" s="684"/>
      <c r="NZL77" s="684"/>
      <c r="NZM77" s="684"/>
      <c r="NZN77" s="684"/>
      <c r="NZO77" s="684"/>
      <c r="NZP77" s="684"/>
      <c r="NZQ77" s="684"/>
      <c r="NZR77" s="684"/>
      <c r="NZS77" s="684"/>
      <c r="NZT77" s="684"/>
      <c r="NZU77" s="684"/>
      <c r="NZV77" s="684"/>
      <c r="NZW77" s="684"/>
      <c r="NZX77" s="684"/>
      <c r="NZY77" s="684"/>
      <c r="NZZ77" s="684"/>
      <c r="OAA77" s="684"/>
      <c r="OAB77" s="684"/>
      <c r="OAC77" s="684"/>
      <c r="OAD77" s="684"/>
      <c r="OAE77" s="684"/>
      <c r="OAF77" s="684"/>
      <c r="OAG77" s="684"/>
      <c r="OAH77" s="684"/>
      <c r="OAI77" s="684"/>
      <c r="OAJ77" s="684"/>
      <c r="OAK77" s="684"/>
      <c r="OAL77" s="684"/>
      <c r="OAM77" s="684"/>
      <c r="OAN77" s="684"/>
      <c r="OAO77" s="684"/>
      <c r="OAP77" s="684"/>
      <c r="OAQ77" s="684"/>
      <c r="OAR77" s="684"/>
      <c r="OAS77" s="684"/>
      <c r="OAT77" s="684"/>
      <c r="OAU77" s="684"/>
      <c r="OAV77" s="684"/>
      <c r="OAW77" s="684"/>
      <c r="OAX77" s="684"/>
      <c r="OAY77" s="684"/>
      <c r="OAZ77" s="684"/>
      <c r="OBA77" s="684"/>
      <c r="OBB77" s="684"/>
      <c r="OBC77" s="684"/>
      <c r="OBD77" s="684"/>
      <c r="OBE77" s="684"/>
      <c r="OBF77" s="684"/>
      <c r="OBG77" s="684"/>
      <c r="OBH77" s="684"/>
      <c r="OBI77" s="684"/>
      <c r="OBJ77" s="684"/>
      <c r="OBK77" s="684"/>
      <c r="OBL77" s="684"/>
      <c r="OBM77" s="684"/>
      <c r="OBN77" s="684"/>
      <c r="OBO77" s="684"/>
      <c r="OBP77" s="684"/>
      <c r="OBQ77" s="684"/>
      <c r="OBR77" s="684"/>
      <c r="OBS77" s="684"/>
      <c r="OBT77" s="684"/>
      <c r="OBU77" s="684"/>
      <c r="OBV77" s="684"/>
      <c r="OBW77" s="684"/>
      <c r="OBX77" s="684"/>
      <c r="OBY77" s="684"/>
      <c r="OBZ77" s="684"/>
      <c r="OCA77" s="684"/>
      <c r="OCB77" s="684"/>
      <c r="OCC77" s="684"/>
      <c r="OCD77" s="684"/>
      <c r="OCE77" s="684"/>
      <c r="OCF77" s="684"/>
      <c r="OCG77" s="684"/>
      <c r="OCH77" s="684"/>
      <c r="OCI77" s="684"/>
      <c r="OCJ77" s="684"/>
      <c r="OCK77" s="684"/>
      <c r="OCL77" s="684"/>
      <c r="OCM77" s="684"/>
      <c r="OCN77" s="684"/>
      <c r="OCO77" s="684"/>
      <c r="OCP77" s="684"/>
      <c r="OCQ77" s="684"/>
      <c r="OCR77" s="684"/>
      <c r="OCS77" s="684"/>
      <c r="OCT77" s="684"/>
      <c r="OCU77" s="684"/>
      <c r="OCV77" s="684"/>
      <c r="OCW77" s="684"/>
      <c r="OCX77" s="684"/>
      <c r="OCY77" s="684"/>
      <c r="OCZ77" s="684"/>
      <c r="ODA77" s="684"/>
      <c r="ODB77" s="684"/>
      <c r="ODC77" s="684"/>
      <c r="ODD77" s="684"/>
      <c r="ODE77" s="684"/>
      <c r="ODF77" s="684"/>
      <c r="ODG77" s="684"/>
      <c r="ODH77" s="684"/>
      <c r="ODI77" s="684"/>
      <c r="ODJ77" s="684"/>
      <c r="ODK77" s="684"/>
      <c r="ODL77" s="684"/>
      <c r="ODM77" s="684"/>
      <c r="ODN77" s="684"/>
      <c r="ODO77" s="684"/>
      <c r="ODP77" s="684"/>
      <c r="ODQ77" s="684"/>
      <c r="ODR77" s="684"/>
      <c r="ODS77" s="684"/>
      <c r="ODT77" s="684"/>
      <c r="ODU77" s="684"/>
      <c r="ODV77" s="684"/>
      <c r="ODW77" s="684"/>
      <c r="ODX77" s="684"/>
      <c r="ODY77" s="684"/>
      <c r="ODZ77" s="684"/>
      <c r="OEA77" s="684"/>
      <c r="OEB77" s="684"/>
      <c r="OEC77" s="684"/>
      <c r="OED77" s="684"/>
      <c r="OEE77" s="684"/>
      <c r="OEF77" s="684"/>
      <c r="OEG77" s="684"/>
      <c r="OEH77" s="684"/>
      <c r="OEI77" s="684"/>
      <c r="OEJ77" s="684"/>
      <c r="OEK77" s="684"/>
      <c r="OEL77" s="684"/>
      <c r="OEM77" s="684"/>
      <c r="OEN77" s="684"/>
      <c r="OEO77" s="684"/>
      <c r="OEP77" s="684"/>
      <c r="OEQ77" s="684"/>
      <c r="OER77" s="684"/>
      <c r="OES77" s="684"/>
      <c r="OET77" s="684"/>
      <c r="OEU77" s="684"/>
      <c r="OEV77" s="684"/>
      <c r="OEW77" s="684"/>
      <c r="OEX77" s="684"/>
      <c r="OEY77" s="684"/>
      <c r="OEZ77" s="684"/>
      <c r="OFA77" s="684"/>
      <c r="OFB77" s="684"/>
      <c r="OFC77" s="684"/>
      <c r="OFD77" s="684"/>
      <c r="OFE77" s="684"/>
      <c r="OFF77" s="684"/>
      <c r="OFG77" s="684"/>
      <c r="OFH77" s="684"/>
      <c r="OFI77" s="684"/>
      <c r="OFJ77" s="684"/>
      <c r="OFK77" s="684"/>
      <c r="OFL77" s="684"/>
      <c r="OFM77" s="684"/>
      <c r="OFN77" s="684"/>
      <c r="OFO77" s="684"/>
      <c r="OFP77" s="684"/>
      <c r="OFQ77" s="684"/>
      <c r="OFR77" s="684"/>
      <c r="OFS77" s="684"/>
      <c r="OFT77" s="684"/>
      <c r="OFU77" s="684"/>
      <c r="OFV77" s="684"/>
      <c r="OFW77" s="684"/>
      <c r="OFX77" s="684"/>
      <c r="OFY77" s="684"/>
      <c r="OFZ77" s="684"/>
      <c r="OGA77" s="684"/>
      <c r="OGB77" s="684"/>
      <c r="OGC77" s="684"/>
      <c r="OGD77" s="684"/>
      <c r="OGE77" s="684"/>
      <c r="OGF77" s="684"/>
      <c r="OGG77" s="684"/>
      <c r="OGH77" s="684"/>
      <c r="OGI77" s="684"/>
      <c r="OGJ77" s="684"/>
      <c r="OGK77" s="684"/>
      <c r="OGL77" s="684"/>
      <c r="OGM77" s="684"/>
      <c r="OGN77" s="684"/>
      <c r="OGO77" s="684"/>
      <c r="OGP77" s="684"/>
      <c r="OGQ77" s="684"/>
      <c r="OGR77" s="684"/>
      <c r="OGS77" s="684"/>
      <c r="OGT77" s="684"/>
      <c r="OGU77" s="684"/>
      <c r="OGV77" s="684"/>
      <c r="OGW77" s="684"/>
      <c r="OGX77" s="684"/>
      <c r="OGY77" s="684"/>
      <c r="OGZ77" s="684"/>
      <c r="OHA77" s="684"/>
      <c r="OHB77" s="684"/>
      <c r="OHC77" s="684"/>
      <c r="OHD77" s="684"/>
      <c r="OHE77" s="684"/>
      <c r="OHF77" s="684"/>
      <c r="OHG77" s="684"/>
      <c r="OHH77" s="684"/>
      <c r="OHI77" s="684"/>
      <c r="OHJ77" s="684"/>
      <c r="OHK77" s="684"/>
      <c r="OHL77" s="684"/>
      <c r="OHM77" s="684"/>
      <c r="OHN77" s="684"/>
      <c r="OHO77" s="684"/>
      <c r="OHP77" s="684"/>
      <c r="OHQ77" s="684"/>
      <c r="OHR77" s="684"/>
      <c r="OHS77" s="684"/>
      <c r="OHT77" s="684"/>
      <c r="OHU77" s="684"/>
      <c r="OHV77" s="684"/>
      <c r="OHW77" s="684"/>
      <c r="OHX77" s="684"/>
      <c r="OHY77" s="684"/>
      <c r="OHZ77" s="684"/>
      <c r="OIA77" s="684"/>
      <c r="OIB77" s="684"/>
      <c r="OIC77" s="684"/>
      <c r="OID77" s="684"/>
      <c r="OIE77" s="684"/>
      <c r="OIF77" s="684"/>
      <c r="OIG77" s="684"/>
      <c r="OIH77" s="684"/>
      <c r="OII77" s="684"/>
      <c r="OIJ77" s="684"/>
      <c r="OIK77" s="684"/>
      <c r="OIL77" s="684"/>
      <c r="OIM77" s="684"/>
      <c r="OIN77" s="684"/>
      <c r="OIO77" s="684"/>
      <c r="OIP77" s="684"/>
      <c r="OIQ77" s="684"/>
      <c r="OIR77" s="684"/>
      <c r="OIS77" s="684"/>
      <c r="OIT77" s="684"/>
      <c r="OIU77" s="684"/>
      <c r="OIV77" s="684"/>
      <c r="OIW77" s="684"/>
      <c r="OIX77" s="684"/>
      <c r="OIY77" s="684"/>
      <c r="OIZ77" s="684"/>
      <c r="OJA77" s="684"/>
      <c r="OJB77" s="684"/>
      <c r="OJC77" s="684"/>
      <c r="OJD77" s="684"/>
      <c r="OJE77" s="684"/>
      <c r="OJF77" s="684"/>
      <c r="OJG77" s="684"/>
      <c r="OJH77" s="684"/>
      <c r="OJI77" s="684"/>
      <c r="OJJ77" s="684"/>
      <c r="OJK77" s="684"/>
      <c r="OJL77" s="684"/>
      <c r="OJM77" s="684"/>
      <c r="OJN77" s="684"/>
      <c r="OJO77" s="684"/>
      <c r="OJP77" s="684"/>
      <c r="OJQ77" s="684"/>
      <c r="OJR77" s="684"/>
      <c r="OJS77" s="684"/>
      <c r="OJT77" s="684"/>
      <c r="OJU77" s="684"/>
      <c r="OJV77" s="684"/>
      <c r="OJW77" s="684"/>
      <c r="OJX77" s="684"/>
      <c r="OJY77" s="684"/>
      <c r="OJZ77" s="684"/>
      <c r="OKA77" s="684"/>
      <c r="OKB77" s="684"/>
      <c r="OKC77" s="684"/>
      <c r="OKD77" s="684"/>
      <c r="OKE77" s="684"/>
      <c r="OKF77" s="684"/>
      <c r="OKG77" s="684"/>
      <c r="OKH77" s="684"/>
      <c r="OKI77" s="684"/>
      <c r="OKJ77" s="684"/>
      <c r="OKK77" s="684"/>
      <c r="OKL77" s="684"/>
      <c r="OKM77" s="684"/>
      <c r="OKN77" s="684"/>
      <c r="OKO77" s="684"/>
      <c r="OKP77" s="684"/>
      <c r="OKQ77" s="684"/>
      <c r="OKR77" s="684"/>
      <c r="OKS77" s="684"/>
      <c r="OKT77" s="684"/>
      <c r="OKU77" s="684"/>
      <c r="OKV77" s="684"/>
      <c r="OKW77" s="684"/>
      <c r="OKX77" s="684"/>
      <c r="OKY77" s="684"/>
      <c r="OKZ77" s="684"/>
      <c r="OLA77" s="684"/>
      <c r="OLB77" s="684"/>
      <c r="OLC77" s="684"/>
      <c r="OLD77" s="684"/>
      <c r="OLE77" s="684"/>
      <c r="OLF77" s="684"/>
      <c r="OLG77" s="684"/>
      <c r="OLH77" s="684"/>
      <c r="OLI77" s="684"/>
      <c r="OLJ77" s="684"/>
      <c r="OLK77" s="684"/>
      <c r="OLL77" s="684"/>
      <c r="OLM77" s="684"/>
      <c r="OLN77" s="684"/>
      <c r="OLO77" s="684"/>
      <c r="OLP77" s="684"/>
      <c r="OLQ77" s="684"/>
      <c r="OLR77" s="684"/>
      <c r="OLS77" s="684"/>
      <c r="OLT77" s="684"/>
      <c r="OLU77" s="684"/>
      <c r="OLV77" s="684"/>
      <c r="OLW77" s="684"/>
      <c r="OLX77" s="684"/>
      <c r="OLY77" s="684"/>
      <c r="OLZ77" s="684"/>
      <c r="OMA77" s="684"/>
      <c r="OMB77" s="684"/>
      <c r="OMC77" s="684"/>
      <c r="OMD77" s="684"/>
      <c r="OME77" s="684"/>
      <c r="OMF77" s="684"/>
      <c r="OMG77" s="684"/>
      <c r="OMH77" s="684"/>
      <c r="OMI77" s="684"/>
      <c r="OMJ77" s="684"/>
      <c r="OMK77" s="684"/>
      <c r="OML77" s="684"/>
      <c r="OMM77" s="684"/>
      <c r="OMN77" s="684"/>
      <c r="OMO77" s="684"/>
      <c r="OMP77" s="684"/>
      <c r="OMQ77" s="684"/>
      <c r="OMR77" s="684"/>
      <c r="OMS77" s="684"/>
      <c r="OMT77" s="684"/>
      <c r="OMU77" s="684"/>
      <c r="OMV77" s="684"/>
      <c r="OMW77" s="684"/>
      <c r="OMX77" s="684"/>
      <c r="OMY77" s="684"/>
      <c r="OMZ77" s="684"/>
      <c r="ONA77" s="684"/>
      <c r="ONB77" s="684"/>
      <c r="ONC77" s="684"/>
      <c r="OND77" s="684"/>
      <c r="ONE77" s="684"/>
      <c r="ONF77" s="684"/>
      <c r="ONG77" s="684"/>
      <c r="ONH77" s="684"/>
      <c r="ONI77" s="684"/>
      <c r="ONJ77" s="684"/>
      <c r="ONK77" s="684"/>
      <c r="ONL77" s="684"/>
      <c r="ONM77" s="684"/>
      <c r="ONN77" s="684"/>
      <c r="ONO77" s="684"/>
      <c r="ONP77" s="684"/>
      <c r="ONQ77" s="684"/>
      <c r="ONR77" s="684"/>
      <c r="ONS77" s="684"/>
      <c r="ONT77" s="684"/>
      <c r="ONU77" s="684"/>
      <c r="ONV77" s="684"/>
      <c r="ONW77" s="684"/>
      <c r="ONX77" s="684"/>
      <c r="ONY77" s="684"/>
      <c r="ONZ77" s="684"/>
      <c r="OOA77" s="684"/>
      <c r="OOB77" s="684"/>
      <c r="OOC77" s="684"/>
      <c r="OOD77" s="684"/>
      <c r="OOE77" s="684"/>
      <c r="OOF77" s="684"/>
      <c r="OOG77" s="684"/>
      <c r="OOH77" s="684"/>
      <c r="OOI77" s="684"/>
      <c r="OOJ77" s="684"/>
      <c r="OOK77" s="684"/>
      <c r="OOL77" s="684"/>
      <c r="OOM77" s="684"/>
      <c r="OON77" s="684"/>
      <c r="OOO77" s="684"/>
      <c r="OOP77" s="684"/>
      <c r="OOQ77" s="684"/>
      <c r="OOR77" s="684"/>
      <c r="OOS77" s="684"/>
      <c r="OOT77" s="684"/>
      <c r="OOU77" s="684"/>
      <c r="OOV77" s="684"/>
      <c r="OOW77" s="684"/>
      <c r="OOX77" s="684"/>
      <c r="OOY77" s="684"/>
      <c r="OOZ77" s="684"/>
      <c r="OPA77" s="684"/>
      <c r="OPB77" s="684"/>
      <c r="OPC77" s="684"/>
      <c r="OPD77" s="684"/>
      <c r="OPE77" s="684"/>
      <c r="OPF77" s="684"/>
      <c r="OPG77" s="684"/>
      <c r="OPH77" s="684"/>
      <c r="OPI77" s="684"/>
      <c r="OPJ77" s="684"/>
      <c r="OPK77" s="684"/>
      <c r="OPL77" s="684"/>
      <c r="OPM77" s="684"/>
      <c r="OPN77" s="684"/>
      <c r="OPO77" s="684"/>
      <c r="OPP77" s="684"/>
      <c r="OPQ77" s="684"/>
      <c r="OPR77" s="684"/>
      <c r="OPS77" s="684"/>
      <c r="OPT77" s="684"/>
      <c r="OPU77" s="684"/>
      <c r="OPV77" s="684"/>
      <c r="OPW77" s="684"/>
      <c r="OPX77" s="684"/>
      <c r="OPY77" s="684"/>
      <c r="OPZ77" s="684"/>
      <c r="OQA77" s="684"/>
      <c r="OQB77" s="684"/>
      <c r="OQC77" s="684"/>
      <c r="OQD77" s="684"/>
      <c r="OQE77" s="684"/>
      <c r="OQF77" s="684"/>
      <c r="OQG77" s="684"/>
      <c r="OQH77" s="684"/>
      <c r="OQI77" s="684"/>
      <c r="OQJ77" s="684"/>
      <c r="OQK77" s="684"/>
      <c r="OQL77" s="684"/>
      <c r="OQM77" s="684"/>
      <c r="OQN77" s="684"/>
      <c r="OQO77" s="684"/>
      <c r="OQP77" s="684"/>
      <c r="OQQ77" s="684"/>
      <c r="OQR77" s="684"/>
      <c r="OQS77" s="684"/>
      <c r="OQT77" s="684"/>
      <c r="OQU77" s="684"/>
      <c r="OQV77" s="684"/>
      <c r="OQW77" s="684"/>
      <c r="OQX77" s="684"/>
      <c r="OQY77" s="684"/>
      <c r="OQZ77" s="684"/>
      <c r="ORA77" s="684"/>
      <c r="ORB77" s="684"/>
      <c r="ORC77" s="684"/>
      <c r="ORD77" s="684"/>
      <c r="ORE77" s="684"/>
      <c r="ORF77" s="684"/>
      <c r="ORG77" s="684"/>
      <c r="ORH77" s="684"/>
      <c r="ORI77" s="684"/>
      <c r="ORJ77" s="684"/>
      <c r="ORK77" s="684"/>
      <c r="ORL77" s="684"/>
      <c r="ORM77" s="684"/>
      <c r="ORN77" s="684"/>
      <c r="ORO77" s="684"/>
      <c r="ORP77" s="684"/>
      <c r="ORQ77" s="684"/>
      <c r="ORR77" s="684"/>
      <c r="ORS77" s="684"/>
      <c r="ORT77" s="684"/>
      <c r="ORU77" s="684"/>
      <c r="ORV77" s="684"/>
      <c r="ORW77" s="684"/>
      <c r="ORX77" s="684"/>
      <c r="ORY77" s="684"/>
      <c r="ORZ77" s="684"/>
      <c r="OSA77" s="684"/>
      <c r="OSB77" s="684"/>
      <c r="OSC77" s="684"/>
      <c r="OSD77" s="684"/>
      <c r="OSE77" s="684"/>
      <c r="OSF77" s="684"/>
      <c r="OSG77" s="684"/>
      <c r="OSH77" s="684"/>
      <c r="OSI77" s="684"/>
      <c r="OSJ77" s="684"/>
      <c r="OSK77" s="684"/>
      <c r="OSL77" s="684"/>
      <c r="OSM77" s="684"/>
      <c r="OSN77" s="684"/>
      <c r="OSO77" s="684"/>
      <c r="OSP77" s="684"/>
      <c r="OSQ77" s="684"/>
      <c r="OSR77" s="684"/>
      <c r="OSS77" s="684"/>
      <c r="OST77" s="684"/>
      <c r="OSU77" s="684"/>
      <c r="OSV77" s="684"/>
      <c r="OSW77" s="684"/>
      <c r="OSX77" s="684"/>
      <c r="OSY77" s="684"/>
      <c r="OSZ77" s="684"/>
      <c r="OTA77" s="684"/>
      <c r="OTB77" s="684"/>
      <c r="OTC77" s="684"/>
      <c r="OTD77" s="684"/>
      <c r="OTE77" s="684"/>
      <c r="OTF77" s="684"/>
      <c r="OTG77" s="684"/>
      <c r="OTH77" s="684"/>
      <c r="OTI77" s="684"/>
      <c r="OTJ77" s="684"/>
      <c r="OTK77" s="684"/>
      <c r="OTL77" s="684"/>
      <c r="OTM77" s="684"/>
      <c r="OTN77" s="684"/>
      <c r="OTO77" s="684"/>
      <c r="OTP77" s="684"/>
      <c r="OTQ77" s="684"/>
      <c r="OTR77" s="684"/>
      <c r="OTS77" s="684"/>
      <c r="OTT77" s="684"/>
      <c r="OTU77" s="684"/>
      <c r="OTV77" s="684"/>
      <c r="OTW77" s="684"/>
      <c r="OTX77" s="684"/>
      <c r="OTY77" s="684"/>
      <c r="OTZ77" s="684"/>
      <c r="OUA77" s="684"/>
      <c r="OUB77" s="684"/>
      <c r="OUC77" s="684"/>
      <c r="OUD77" s="684"/>
      <c r="OUE77" s="684"/>
      <c r="OUF77" s="684"/>
      <c r="OUG77" s="684"/>
      <c r="OUH77" s="684"/>
      <c r="OUI77" s="684"/>
      <c r="OUJ77" s="684"/>
      <c r="OUK77" s="684"/>
      <c r="OUL77" s="684"/>
      <c r="OUM77" s="684"/>
      <c r="OUN77" s="684"/>
      <c r="OUO77" s="684"/>
      <c r="OUP77" s="684"/>
      <c r="OUQ77" s="684"/>
      <c r="OUR77" s="684"/>
      <c r="OUS77" s="684"/>
      <c r="OUT77" s="684"/>
      <c r="OUU77" s="684"/>
      <c r="OUV77" s="684"/>
      <c r="OUW77" s="684"/>
      <c r="OUX77" s="684"/>
      <c r="OUY77" s="684"/>
      <c r="OUZ77" s="684"/>
      <c r="OVA77" s="684"/>
      <c r="OVB77" s="684"/>
      <c r="OVC77" s="684"/>
      <c r="OVD77" s="684"/>
      <c r="OVE77" s="684"/>
      <c r="OVF77" s="684"/>
      <c r="OVG77" s="684"/>
      <c r="OVH77" s="684"/>
      <c r="OVI77" s="684"/>
      <c r="OVJ77" s="684"/>
      <c r="OVK77" s="684"/>
      <c r="OVL77" s="684"/>
      <c r="OVM77" s="684"/>
      <c r="OVN77" s="684"/>
      <c r="OVO77" s="684"/>
      <c r="OVP77" s="684"/>
      <c r="OVQ77" s="684"/>
      <c r="OVR77" s="684"/>
      <c r="OVS77" s="684"/>
      <c r="OVT77" s="684"/>
      <c r="OVU77" s="684"/>
      <c r="OVV77" s="684"/>
      <c r="OVW77" s="684"/>
      <c r="OVX77" s="684"/>
      <c r="OVY77" s="684"/>
      <c r="OVZ77" s="684"/>
      <c r="OWA77" s="684"/>
      <c r="OWB77" s="684"/>
      <c r="OWC77" s="684"/>
      <c r="OWD77" s="684"/>
      <c r="OWE77" s="684"/>
      <c r="OWF77" s="684"/>
      <c r="OWG77" s="684"/>
      <c r="OWH77" s="684"/>
      <c r="OWI77" s="684"/>
      <c r="OWJ77" s="684"/>
      <c r="OWK77" s="684"/>
      <c r="OWL77" s="684"/>
      <c r="OWM77" s="684"/>
      <c r="OWN77" s="684"/>
      <c r="OWO77" s="684"/>
      <c r="OWP77" s="684"/>
      <c r="OWQ77" s="684"/>
      <c r="OWR77" s="684"/>
      <c r="OWS77" s="684"/>
      <c r="OWT77" s="684"/>
      <c r="OWU77" s="684"/>
      <c r="OWV77" s="684"/>
      <c r="OWW77" s="684"/>
      <c r="OWX77" s="684"/>
      <c r="OWY77" s="684"/>
      <c r="OWZ77" s="684"/>
      <c r="OXA77" s="684"/>
      <c r="OXB77" s="684"/>
      <c r="OXC77" s="684"/>
      <c r="OXD77" s="684"/>
      <c r="OXE77" s="684"/>
      <c r="OXF77" s="684"/>
      <c r="OXG77" s="684"/>
      <c r="OXH77" s="684"/>
      <c r="OXI77" s="684"/>
      <c r="OXJ77" s="684"/>
      <c r="OXK77" s="684"/>
      <c r="OXL77" s="684"/>
      <c r="OXM77" s="684"/>
      <c r="OXN77" s="684"/>
      <c r="OXO77" s="684"/>
      <c r="OXP77" s="684"/>
      <c r="OXQ77" s="684"/>
      <c r="OXR77" s="684"/>
      <c r="OXS77" s="684"/>
      <c r="OXT77" s="684"/>
      <c r="OXU77" s="684"/>
      <c r="OXV77" s="684"/>
      <c r="OXW77" s="684"/>
      <c r="OXX77" s="684"/>
      <c r="OXY77" s="684"/>
      <c r="OXZ77" s="684"/>
      <c r="OYA77" s="684"/>
      <c r="OYB77" s="684"/>
      <c r="OYC77" s="684"/>
      <c r="OYD77" s="684"/>
      <c r="OYE77" s="684"/>
      <c r="OYF77" s="684"/>
      <c r="OYG77" s="684"/>
      <c r="OYH77" s="684"/>
      <c r="OYI77" s="684"/>
      <c r="OYJ77" s="684"/>
      <c r="OYK77" s="684"/>
      <c r="OYL77" s="684"/>
      <c r="OYM77" s="684"/>
      <c r="OYN77" s="684"/>
      <c r="OYO77" s="684"/>
      <c r="OYP77" s="684"/>
      <c r="OYQ77" s="684"/>
      <c r="OYR77" s="684"/>
      <c r="OYS77" s="684"/>
      <c r="OYT77" s="684"/>
      <c r="OYU77" s="684"/>
      <c r="OYV77" s="684"/>
      <c r="OYW77" s="684"/>
      <c r="OYX77" s="684"/>
      <c r="OYY77" s="684"/>
      <c r="OYZ77" s="684"/>
      <c r="OZA77" s="684"/>
      <c r="OZB77" s="684"/>
      <c r="OZC77" s="684"/>
      <c r="OZD77" s="684"/>
      <c r="OZE77" s="684"/>
      <c r="OZF77" s="684"/>
      <c r="OZG77" s="684"/>
      <c r="OZH77" s="684"/>
      <c r="OZI77" s="684"/>
      <c r="OZJ77" s="684"/>
      <c r="OZK77" s="684"/>
      <c r="OZL77" s="684"/>
      <c r="OZM77" s="684"/>
      <c r="OZN77" s="684"/>
      <c r="OZO77" s="684"/>
      <c r="OZP77" s="684"/>
      <c r="OZQ77" s="684"/>
      <c r="OZR77" s="684"/>
      <c r="OZS77" s="684"/>
      <c r="OZT77" s="684"/>
      <c r="OZU77" s="684"/>
      <c r="OZV77" s="684"/>
      <c r="OZW77" s="684"/>
      <c r="OZX77" s="684"/>
      <c r="OZY77" s="684"/>
      <c r="OZZ77" s="684"/>
      <c r="PAA77" s="684"/>
      <c r="PAB77" s="684"/>
      <c r="PAC77" s="684"/>
      <c r="PAD77" s="684"/>
      <c r="PAE77" s="684"/>
      <c r="PAF77" s="684"/>
      <c r="PAG77" s="684"/>
      <c r="PAH77" s="684"/>
      <c r="PAI77" s="684"/>
      <c r="PAJ77" s="684"/>
      <c r="PAK77" s="684"/>
      <c r="PAL77" s="684"/>
      <c r="PAM77" s="684"/>
      <c r="PAN77" s="684"/>
      <c r="PAO77" s="684"/>
      <c r="PAP77" s="684"/>
      <c r="PAQ77" s="684"/>
      <c r="PAR77" s="684"/>
      <c r="PAS77" s="684"/>
      <c r="PAT77" s="684"/>
      <c r="PAU77" s="684"/>
      <c r="PAV77" s="684"/>
      <c r="PAW77" s="684"/>
      <c r="PAX77" s="684"/>
      <c r="PAY77" s="684"/>
      <c r="PAZ77" s="684"/>
      <c r="PBA77" s="684"/>
      <c r="PBB77" s="684"/>
      <c r="PBC77" s="684"/>
      <c r="PBD77" s="684"/>
      <c r="PBE77" s="684"/>
      <c r="PBF77" s="684"/>
      <c r="PBG77" s="684"/>
      <c r="PBH77" s="684"/>
      <c r="PBI77" s="684"/>
      <c r="PBJ77" s="684"/>
      <c r="PBK77" s="684"/>
      <c r="PBL77" s="684"/>
      <c r="PBM77" s="684"/>
      <c r="PBN77" s="684"/>
      <c r="PBO77" s="684"/>
      <c r="PBP77" s="684"/>
      <c r="PBQ77" s="684"/>
      <c r="PBR77" s="684"/>
      <c r="PBS77" s="684"/>
      <c r="PBT77" s="684"/>
      <c r="PBU77" s="684"/>
      <c r="PBV77" s="684"/>
      <c r="PBW77" s="684"/>
      <c r="PBX77" s="684"/>
      <c r="PBY77" s="684"/>
      <c r="PBZ77" s="684"/>
      <c r="PCA77" s="684"/>
      <c r="PCB77" s="684"/>
      <c r="PCC77" s="684"/>
      <c r="PCD77" s="684"/>
      <c r="PCE77" s="684"/>
      <c r="PCF77" s="684"/>
      <c r="PCG77" s="684"/>
      <c r="PCH77" s="684"/>
      <c r="PCI77" s="684"/>
      <c r="PCJ77" s="684"/>
      <c r="PCK77" s="684"/>
      <c r="PCL77" s="684"/>
      <c r="PCM77" s="684"/>
      <c r="PCN77" s="684"/>
      <c r="PCO77" s="684"/>
      <c r="PCP77" s="684"/>
      <c r="PCQ77" s="684"/>
      <c r="PCR77" s="684"/>
      <c r="PCS77" s="684"/>
      <c r="PCT77" s="684"/>
      <c r="PCU77" s="684"/>
      <c r="PCV77" s="684"/>
      <c r="PCW77" s="684"/>
      <c r="PCX77" s="684"/>
      <c r="PCY77" s="684"/>
      <c r="PCZ77" s="684"/>
      <c r="PDA77" s="684"/>
      <c r="PDB77" s="684"/>
      <c r="PDC77" s="684"/>
      <c r="PDD77" s="684"/>
      <c r="PDE77" s="684"/>
      <c r="PDF77" s="684"/>
      <c r="PDG77" s="684"/>
      <c r="PDH77" s="684"/>
      <c r="PDI77" s="684"/>
      <c r="PDJ77" s="684"/>
      <c r="PDK77" s="684"/>
      <c r="PDL77" s="684"/>
      <c r="PDM77" s="684"/>
      <c r="PDN77" s="684"/>
      <c r="PDO77" s="684"/>
      <c r="PDP77" s="684"/>
      <c r="PDQ77" s="684"/>
      <c r="PDR77" s="684"/>
      <c r="PDS77" s="684"/>
      <c r="PDT77" s="684"/>
      <c r="PDU77" s="684"/>
      <c r="PDV77" s="684"/>
      <c r="PDW77" s="684"/>
      <c r="PDX77" s="684"/>
      <c r="PDY77" s="684"/>
      <c r="PDZ77" s="684"/>
      <c r="PEA77" s="684"/>
      <c r="PEB77" s="684"/>
      <c r="PEC77" s="684"/>
      <c r="PED77" s="684"/>
      <c r="PEE77" s="684"/>
      <c r="PEF77" s="684"/>
      <c r="PEG77" s="684"/>
      <c r="PEH77" s="684"/>
      <c r="PEI77" s="684"/>
      <c r="PEJ77" s="684"/>
      <c r="PEK77" s="684"/>
      <c r="PEL77" s="684"/>
      <c r="PEM77" s="684"/>
      <c r="PEN77" s="684"/>
      <c r="PEO77" s="684"/>
      <c r="PEP77" s="684"/>
      <c r="PEQ77" s="684"/>
      <c r="PER77" s="684"/>
      <c r="PES77" s="684"/>
      <c r="PET77" s="684"/>
      <c r="PEU77" s="684"/>
      <c r="PEV77" s="684"/>
      <c r="PEW77" s="684"/>
      <c r="PEX77" s="684"/>
      <c r="PEY77" s="684"/>
      <c r="PEZ77" s="684"/>
      <c r="PFA77" s="684"/>
      <c r="PFB77" s="684"/>
      <c r="PFC77" s="684"/>
      <c r="PFD77" s="684"/>
      <c r="PFE77" s="684"/>
      <c r="PFF77" s="684"/>
      <c r="PFG77" s="684"/>
      <c r="PFH77" s="684"/>
      <c r="PFI77" s="684"/>
      <c r="PFJ77" s="684"/>
      <c r="PFK77" s="684"/>
      <c r="PFL77" s="684"/>
      <c r="PFM77" s="684"/>
      <c r="PFN77" s="684"/>
      <c r="PFO77" s="684"/>
      <c r="PFP77" s="684"/>
      <c r="PFQ77" s="684"/>
      <c r="PFR77" s="684"/>
      <c r="PFS77" s="684"/>
      <c r="PFT77" s="684"/>
      <c r="PFU77" s="684"/>
      <c r="PFV77" s="684"/>
      <c r="PFW77" s="684"/>
      <c r="PFX77" s="684"/>
      <c r="PFY77" s="684"/>
      <c r="PFZ77" s="684"/>
      <c r="PGA77" s="684"/>
      <c r="PGB77" s="684"/>
      <c r="PGC77" s="684"/>
      <c r="PGD77" s="684"/>
      <c r="PGE77" s="684"/>
      <c r="PGF77" s="684"/>
      <c r="PGG77" s="684"/>
      <c r="PGH77" s="684"/>
      <c r="PGI77" s="684"/>
      <c r="PGJ77" s="684"/>
      <c r="PGK77" s="684"/>
      <c r="PGL77" s="684"/>
      <c r="PGM77" s="684"/>
      <c r="PGN77" s="684"/>
      <c r="PGO77" s="684"/>
      <c r="PGP77" s="684"/>
      <c r="PGQ77" s="684"/>
      <c r="PGR77" s="684"/>
      <c r="PGS77" s="684"/>
      <c r="PGT77" s="684"/>
      <c r="PGU77" s="684"/>
      <c r="PGV77" s="684"/>
      <c r="PGW77" s="684"/>
      <c r="PGX77" s="684"/>
      <c r="PGY77" s="684"/>
      <c r="PGZ77" s="684"/>
      <c r="PHA77" s="684"/>
      <c r="PHB77" s="684"/>
      <c r="PHC77" s="684"/>
      <c r="PHD77" s="684"/>
      <c r="PHE77" s="684"/>
      <c r="PHF77" s="684"/>
      <c r="PHG77" s="684"/>
      <c r="PHH77" s="684"/>
      <c r="PHI77" s="684"/>
      <c r="PHJ77" s="684"/>
      <c r="PHK77" s="684"/>
      <c r="PHL77" s="684"/>
      <c r="PHM77" s="684"/>
      <c r="PHN77" s="684"/>
      <c r="PHO77" s="684"/>
      <c r="PHP77" s="684"/>
      <c r="PHQ77" s="684"/>
      <c r="PHR77" s="684"/>
      <c r="PHS77" s="684"/>
      <c r="PHT77" s="684"/>
      <c r="PHU77" s="684"/>
      <c r="PHV77" s="684"/>
      <c r="PHW77" s="684"/>
      <c r="PHX77" s="684"/>
      <c r="PHY77" s="684"/>
      <c r="PHZ77" s="684"/>
      <c r="PIA77" s="684"/>
      <c r="PIB77" s="684"/>
      <c r="PIC77" s="684"/>
      <c r="PID77" s="684"/>
      <c r="PIE77" s="684"/>
      <c r="PIF77" s="684"/>
      <c r="PIG77" s="684"/>
      <c r="PIH77" s="684"/>
      <c r="PII77" s="684"/>
      <c r="PIJ77" s="684"/>
      <c r="PIK77" s="684"/>
      <c r="PIL77" s="684"/>
      <c r="PIM77" s="684"/>
      <c r="PIN77" s="684"/>
      <c r="PIO77" s="684"/>
      <c r="PIP77" s="684"/>
      <c r="PIQ77" s="684"/>
      <c r="PIR77" s="684"/>
      <c r="PIS77" s="684"/>
      <c r="PIT77" s="684"/>
      <c r="PIU77" s="684"/>
      <c r="PIV77" s="684"/>
      <c r="PIW77" s="684"/>
      <c r="PIX77" s="684"/>
      <c r="PIY77" s="684"/>
      <c r="PIZ77" s="684"/>
      <c r="PJA77" s="684"/>
      <c r="PJB77" s="684"/>
      <c r="PJC77" s="684"/>
      <c r="PJD77" s="684"/>
      <c r="PJE77" s="684"/>
      <c r="PJF77" s="684"/>
      <c r="PJG77" s="684"/>
      <c r="PJH77" s="684"/>
      <c r="PJI77" s="684"/>
      <c r="PJJ77" s="684"/>
      <c r="PJK77" s="684"/>
      <c r="PJL77" s="684"/>
      <c r="PJM77" s="684"/>
      <c r="PJN77" s="684"/>
      <c r="PJO77" s="684"/>
      <c r="PJP77" s="684"/>
      <c r="PJQ77" s="684"/>
      <c r="PJR77" s="684"/>
      <c r="PJS77" s="684"/>
      <c r="PJT77" s="684"/>
      <c r="PJU77" s="684"/>
      <c r="PJV77" s="684"/>
      <c r="PJW77" s="684"/>
      <c r="PJX77" s="684"/>
      <c r="PJY77" s="684"/>
      <c r="PJZ77" s="684"/>
      <c r="PKA77" s="684"/>
      <c r="PKB77" s="684"/>
      <c r="PKC77" s="684"/>
      <c r="PKD77" s="684"/>
      <c r="PKE77" s="684"/>
      <c r="PKF77" s="684"/>
      <c r="PKG77" s="684"/>
      <c r="PKH77" s="684"/>
      <c r="PKI77" s="684"/>
      <c r="PKJ77" s="684"/>
      <c r="PKK77" s="684"/>
      <c r="PKL77" s="684"/>
      <c r="PKM77" s="684"/>
      <c r="PKN77" s="684"/>
      <c r="PKO77" s="684"/>
      <c r="PKP77" s="684"/>
      <c r="PKQ77" s="684"/>
      <c r="PKR77" s="684"/>
      <c r="PKS77" s="684"/>
      <c r="PKT77" s="684"/>
      <c r="PKU77" s="684"/>
      <c r="PKV77" s="684"/>
      <c r="PKW77" s="684"/>
      <c r="PKX77" s="684"/>
      <c r="PKY77" s="684"/>
      <c r="PKZ77" s="684"/>
      <c r="PLA77" s="684"/>
      <c r="PLB77" s="684"/>
      <c r="PLC77" s="684"/>
      <c r="PLD77" s="684"/>
      <c r="PLE77" s="684"/>
      <c r="PLF77" s="684"/>
      <c r="PLG77" s="684"/>
      <c r="PLH77" s="684"/>
      <c r="PLI77" s="684"/>
      <c r="PLJ77" s="684"/>
      <c r="PLK77" s="684"/>
      <c r="PLL77" s="684"/>
      <c r="PLM77" s="684"/>
      <c r="PLN77" s="684"/>
      <c r="PLO77" s="684"/>
      <c r="PLP77" s="684"/>
      <c r="PLQ77" s="684"/>
      <c r="PLR77" s="684"/>
      <c r="PLS77" s="684"/>
      <c r="PLT77" s="684"/>
      <c r="PLU77" s="684"/>
      <c r="PLV77" s="684"/>
      <c r="PLW77" s="684"/>
      <c r="PLX77" s="684"/>
      <c r="PLY77" s="684"/>
      <c r="PLZ77" s="684"/>
      <c r="PMA77" s="684"/>
      <c r="PMB77" s="684"/>
      <c r="PMC77" s="684"/>
      <c r="PMD77" s="684"/>
      <c r="PME77" s="684"/>
      <c r="PMF77" s="684"/>
      <c r="PMG77" s="684"/>
      <c r="PMH77" s="684"/>
      <c r="PMI77" s="684"/>
      <c r="PMJ77" s="684"/>
      <c r="PMK77" s="684"/>
      <c r="PML77" s="684"/>
      <c r="PMM77" s="684"/>
      <c r="PMN77" s="684"/>
      <c r="PMO77" s="684"/>
      <c r="PMP77" s="684"/>
      <c r="PMQ77" s="684"/>
      <c r="PMR77" s="684"/>
      <c r="PMS77" s="684"/>
      <c r="PMT77" s="684"/>
      <c r="PMU77" s="684"/>
      <c r="PMV77" s="684"/>
      <c r="PMW77" s="684"/>
      <c r="PMX77" s="684"/>
      <c r="PMY77" s="684"/>
      <c r="PMZ77" s="684"/>
      <c r="PNA77" s="684"/>
      <c r="PNB77" s="684"/>
      <c r="PNC77" s="684"/>
      <c r="PND77" s="684"/>
      <c r="PNE77" s="684"/>
      <c r="PNF77" s="684"/>
      <c r="PNG77" s="684"/>
      <c r="PNH77" s="684"/>
      <c r="PNI77" s="684"/>
      <c r="PNJ77" s="684"/>
      <c r="PNK77" s="684"/>
      <c r="PNL77" s="684"/>
      <c r="PNM77" s="684"/>
      <c r="PNN77" s="684"/>
      <c r="PNO77" s="684"/>
      <c r="PNP77" s="684"/>
      <c r="PNQ77" s="684"/>
      <c r="PNR77" s="684"/>
      <c r="PNS77" s="684"/>
      <c r="PNT77" s="684"/>
      <c r="PNU77" s="684"/>
      <c r="PNV77" s="684"/>
      <c r="PNW77" s="684"/>
      <c r="PNX77" s="684"/>
      <c r="PNY77" s="684"/>
      <c r="PNZ77" s="684"/>
      <c r="POA77" s="684"/>
      <c r="POB77" s="684"/>
      <c r="POC77" s="684"/>
      <c r="POD77" s="684"/>
      <c r="POE77" s="684"/>
      <c r="POF77" s="684"/>
      <c r="POG77" s="684"/>
      <c r="POH77" s="684"/>
      <c r="POI77" s="684"/>
      <c r="POJ77" s="684"/>
      <c r="POK77" s="684"/>
      <c r="POL77" s="684"/>
      <c r="POM77" s="684"/>
      <c r="PON77" s="684"/>
      <c r="POO77" s="684"/>
      <c r="POP77" s="684"/>
      <c r="POQ77" s="684"/>
      <c r="POR77" s="684"/>
      <c r="POS77" s="684"/>
      <c r="POT77" s="684"/>
      <c r="POU77" s="684"/>
      <c r="POV77" s="684"/>
      <c r="POW77" s="684"/>
      <c r="POX77" s="684"/>
      <c r="POY77" s="684"/>
      <c r="POZ77" s="684"/>
      <c r="PPA77" s="684"/>
      <c r="PPB77" s="684"/>
      <c r="PPC77" s="684"/>
      <c r="PPD77" s="684"/>
      <c r="PPE77" s="684"/>
      <c r="PPF77" s="684"/>
      <c r="PPG77" s="684"/>
      <c r="PPH77" s="684"/>
      <c r="PPI77" s="684"/>
      <c r="PPJ77" s="684"/>
      <c r="PPK77" s="684"/>
      <c r="PPL77" s="684"/>
      <c r="PPM77" s="684"/>
      <c r="PPN77" s="684"/>
      <c r="PPO77" s="684"/>
      <c r="PPP77" s="684"/>
      <c r="PPQ77" s="684"/>
      <c r="PPR77" s="684"/>
      <c r="PPS77" s="684"/>
      <c r="PPT77" s="684"/>
      <c r="PPU77" s="684"/>
      <c r="PPV77" s="684"/>
      <c r="PPW77" s="684"/>
      <c r="PPX77" s="684"/>
      <c r="PPY77" s="684"/>
      <c r="PPZ77" s="684"/>
      <c r="PQA77" s="684"/>
      <c r="PQB77" s="684"/>
      <c r="PQC77" s="684"/>
      <c r="PQD77" s="684"/>
      <c r="PQE77" s="684"/>
      <c r="PQF77" s="684"/>
      <c r="PQG77" s="684"/>
      <c r="PQH77" s="684"/>
      <c r="PQI77" s="684"/>
      <c r="PQJ77" s="684"/>
      <c r="PQK77" s="684"/>
      <c r="PQL77" s="684"/>
      <c r="PQM77" s="684"/>
      <c r="PQN77" s="684"/>
      <c r="PQO77" s="684"/>
      <c r="PQP77" s="684"/>
      <c r="PQQ77" s="684"/>
      <c r="PQR77" s="684"/>
      <c r="PQS77" s="684"/>
      <c r="PQT77" s="684"/>
      <c r="PQU77" s="684"/>
      <c r="PQV77" s="684"/>
      <c r="PQW77" s="684"/>
      <c r="PQX77" s="684"/>
      <c r="PQY77" s="684"/>
      <c r="PQZ77" s="684"/>
      <c r="PRA77" s="684"/>
      <c r="PRB77" s="684"/>
      <c r="PRC77" s="684"/>
      <c r="PRD77" s="684"/>
      <c r="PRE77" s="684"/>
      <c r="PRF77" s="684"/>
      <c r="PRG77" s="684"/>
      <c r="PRH77" s="684"/>
      <c r="PRI77" s="684"/>
      <c r="PRJ77" s="684"/>
      <c r="PRK77" s="684"/>
      <c r="PRL77" s="684"/>
      <c r="PRM77" s="684"/>
      <c r="PRN77" s="684"/>
      <c r="PRO77" s="684"/>
      <c r="PRP77" s="684"/>
      <c r="PRQ77" s="684"/>
      <c r="PRR77" s="684"/>
      <c r="PRS77" s="684"/>
      <c r="PRT77" s="684"/>
      <c r="PRU77" s="684"/>
      <c r="PRV77" s="684"/>
      <c r="PRW77" s="684"/>
      <c r="PRX77" s="684"/>
      <c r="PRY77" s="684"/>
      <c r="PRZ77" s="684"/>
      <c r="PSA77" s="684"/>
      <c r="PSB77" s="684"/>
      <c r="PSC77" s="684"/>
      <c r="PSD77" s="684"/>
      <c r="PSE77" s="684"/>
      <c r="PSF77" s="684"/>
      <c r="PSG77" s="684"/>
      <c r="PSH77" s="684"/>
      <c r="PSI77" s="684"/>
      <c r="PSJ77" s="684"/>
      <c r="PSK77" s="684"/>
      <c r="PSL77" s="684"/>
      <c r="PSM77" s="684"/>
      <c r="PSN77" s="684"/>
      <c r="PSO77" s="684"/>
      <c r="PSP77" s="684"/>
      <c r="PSQ77" s="684"/>
      <c r="PSR77" s="684"/>
      <c r="PSS77" s="684"/>
      <c r="PST77" s="684"/>
      <c r="PSU77" s="684"/>
      <c r="PSV77" s="684"/>
      <c r="PSW77" s="684"/>
      <c r="PSX77" s="684"/>
      <c r="PSY77" s="684"/>
      <c r="PSZ77" s="684"/>
      <c r="PTA77" s="684"/>
      <c r="PTB77" s="684"/>
      <c r="PTC77" s="684"/>
      <c r="PTD77" s="684"/>
      <c r="PTE77" s="684"/>
      <c r="PTF77" s="684"/>
      <c r="PTG77" s="684"/>
      <c r="PTH77" s="684"/>
      <c r="PTI77" s="684"/>
      <c r="PTJ77" s="684"/>
      <c r="PTK77" s="684"/>
      <c r="PTL77" s="684"/>
      <c r="PTM77" s="684"/>
      <c r="PTN77" s="684"/>
      <c r="PTO77" s="684"/>
      <c r="PTP77" s="684"/>
      <c r="PTQ77" s="684"/>
      <c r="PTR77" s="684"/>
      <c r="PTS77" s="684"/>
      <c r="PTT77" s="684"/>
      <c r="PTU77" s="684"/>
      <c r="PTV77" s="684"/>
      <c r="PTW77" s="684"/>
      <c r="PTX77" s="684"/>
      <c r="PTY77" s="684"/>
      <c r="PTZ77" s="684"/>
      <c r="PUA77" s="684"/>
      <c r="PUB77" s="684"/>
      <c r="PUC77" s="684"/>
      <c r="PUD77" s="684"/>
      <c r="PUE77" s="684"/>
      <c r="PUF77" s="684"/>
      <c r="PUG77" s="684"/>
      <c r="PUH77" s="684"/>
      <c r="PUI77" s="684"/>
      <c r="PUJ77" s="684"/>
      <c r="PUK77" s="684"/>
      <c r="PUL77" s="684"/>
      <c r="PUM77" s="684"/>
      <c r="PUN77" s="684"/>
      <c r="PUO77" s="684"/>
      <c r="PUP77" s="684"/>
      <c r="PUQ77" s="684"/>
      <c r="PUR77" s="684"/>
      <c r="PUS77" s="684"/>
      <c r="PUT77" s="684"/>
      <c r="PUU77" s="684"/>
      <c r="PUV77" s="684"/>
      <c r="PUW77" s="684"/>
      <c r="PUX77" s="684"/>
      <c r="PUY77" s="684"/>
      <c r="PUZ77" s="684"/>
      <c r="PVA77" s="684"/>
      <c r="PVB77" s="684"/>
      <c r="PVC77" s="684"/>
      <c r="PVD77" s="684"/>
      <c r="PVE77" s="684"/>
      <c r="PVF77" s="684"/>
      <c r="PVG77" s="684"/>
      <c r="PVH77" s="684"/>
      <c r="PVI77" s="684"/>
      <c r="PVJ77" s="684"/>
      <c r="PVK77" s="684"/>
      <c r="PVL77" s="684"/>
      <c r="PVM77" s="684"/>
      <c r="PVN77" s="684"/>
      <c r="PVO77" s="684"/>
      <c r="PVP77" s="684"/>
      <c r="PVQ77" s="684"/>
      <c r="PVR77" s="684"/>
      <c r="PVS77" s="684"/>
      <c r="PVT77" s="684"/>
      <c r="PVU77" s="684"/>
      <c r="PVV77" s="684"/>
      <c r="PVW77" s="684"/>
      <c r="PVX77" s="684"/>
      <c r="PVY77" s="684"/>
      <c r="PVZ77" s="684"/>
      <c r="PWA77" s="684"/>
      <c r="PWB77" s="684"/>
      <c r="PWC77" s="684"/>
      <c r="PWD77" s="684"/>
      <c r="PWE77" s="684"/>
      <c r="PWF77" s="684"/>
      <c r="PWG77" s="684"/>
      <c r="PWH77" s="684"/>
      <c r="PWI77" s="684"/>
      <c r="PWJ77" s="684"/>
      <c r="PWK77" s="684"/>
      <c r="PWL77" s="684"/>
      <c r="PWM77" s="684"/>
      <c r="PWN77" s="684"/>
      <c r="PWO77" s="684"/>
      <c r="PWP77" s="684"/>
      <c r="PWQ77" s="684"/>
      <c r="PWR77" s="684"/>
      <c r="PWS77" s="684"/>
      <c r="PWT77" s="684"/>
      <c r="PWU77" s="684"/>
      <c r="PWV77" s="684"/>
      <c r="PWW77" s="684"/>
      <c r="PWX77" s="684"/>
      <c r="PWY77" s="684"/>
      <c r="PWZ77" s="684"/>
      <c r="PXA77" s="684"/>
      <c r="PXB77" s="684"/>
      <c r="PXC77" s="684"/>
      <c r="PXD77" s="684"/>
      <c r="PXE77" s="684"/>
      <c r="PXF77" s="684"/>
      <c r="PXG77" s="684"/>
      <c r="PXH77" s="684"/>
      <c r="PXI77" s="684"/>
      <c r="PXJ77" s="684"/>
      <c r="PXK77" s="684"/>
      <c r="PXL77" s="684"/>
      <c r="PXM77" s="684"/>
      <c r="PXN77" s="684"/>
      <c r="PXO77" s="684"/>
      <c r="PXP77" s="684"/>
      <c r="PXQ77" s="684"/>
      <c r="PXR77" s="684"/>
      <c r="PXS77" s="684"/>
      <c r="PXT77" s="684"/>
      <c r="PXU77" s="684"/>
      <c r="PXV77" s="684"/>
      <c r="PXW77" s="684"/>
      <c r="PXX77" s="684"/>
      <c r="PXY77" s="684"/>
      <c r="PXZ77" s="684"/>
      <c r="PYA77" s="684"/>
      <c r="PYB77" s="684"/>
      <c r="PYC77" s="684"/>
      <c r="PYD77" s="684"/>
      <c r="PYE77" s="684"/>
      <c r="PYF77" s="684"/>
      <c r="PYG77" s="684"/>
      <c r="PYH77" s="684"/>
      <c r="PYI77" s="684"/>
      <c r="PYJ77" s="684"/>
      <c r="PYK77" s="684"/>
      <c r="PYL77" s="684"/>
      <c r="PYM77" s="684"/>
      <c r="PYN77" s="684"/>
      <c r="PYO77" s="684"/>
      <c r="PYP77" s="684"/>
      <c r="PYQ77" s="684"/>
      <c r="PYR77" s="684"/>
      <c r="PYS77" s="684"/>
      <c r="PYT77" s="684"/>
      <c r="PYU77" s="684"/>
      <c r="PYV77" s="684"/>
      <c r="PYW77" s="684"/>
      <c r="PYX77" s="684"/>
      <c r="PYY77" s="684"/>
      <c r="PYZ77" s="684"/>
      <c r="PZA77" s="684"/>
      <c r="PZB77" s="684"/>
      <c r="PZC77" s="684"/>
      <c r="PZD77" s="684"/>
      <c r="PZE77" s="684"/>
      <c r="PZF77" s="684"/>
      <c r="PZG77" s="684"/>
      <c r="PZH77" s="684"/>
      <c r="PZI77" s="684"/>
      <c r="PZJ77" s="684"/>
      <c r="PZK77" s="684"/>
      <c r="PZL77" s="684"/>
      <c r="PZM77" s="684"/>
      <c r="PZN77" s="684"/>
      <c r="PZO77" s="684"/>
      <c r="PZP77" s="684"/>
      <c r="PZQ77" s="684"/>
      <c r="PZR77" s="684"/>
      <c r="PZS77" s="684"/>
      <c r="PZT77" s="684"/>
      <c r="PZU77" s="684"/>
      <c r="PZV77" s="684"/>
      <c r="PZW77" s="684"/>
      <c r="PZX77" s="684"/>
      <c r="PZY77" s="684"/>
      <c r="PZZ77" s="684"/>
      <c r="QAA77" s="684"/>
      <c r="QAB77" s="684"/>
      <c r="QAC77" s="684"/>
      <c r="QAD77" s="684"/>
      <c r="QAE77" s="684"/>
      <c r="QAF77" s="684"/>
      <c r="QAG77" s="684"/>
      <c r="QAH77" s="684"/>
      <c r="QAI77" s="684"/>
      <c r="QAJ77" s="684"/>
      <c r="QAK77" s="684"/>
      <c r="QAL77" s="684"/>
      <c r="QAM77" s="684"/>
      <c r="QAN77" s="684"/>
      <c r="QAO77" s="684"/>
      <c r="QAP77" s="684"/>
      <c r="QAQ77" s="684"/>
      <c r="QAR77" s="684"/>
      <c r="QAS77" s="684"/>
      <c r="QAT77" s="684"/>
      <c r="QAU77" s="684"/>
      <c r="QAV77" s="684"/>
      <c r="QAW77" s="684"/>
      <c r="QAX77" s="684"/>
      <c r="QAY77" s="684"/>
      <c r="QAZ77" s="684"/>
      <c r="QBA77" s="684"/>
      <c r="QBB77" s="684"/>
      <c r="QBC77" s="684"/>
      <c r="QBD77" s="684"/>
      <c r="QBE77" s="684"/>
      <c r="QBF77" s="684"/>
      <c r="QBG77" s="684"/>
      <c r="QBH77" s="684"/>
      <c r="QBI77" s="684"/>
      <c r="QBJ77" s="684"/>
      <c r="QBK77" s="684"/>
      <c r="QBL77" s="684"/>
      <c r="QBM77" s="684"/>
      <c r="QBN77" s="684"/>
      <c r="QBO77" s="684"/>
      <c r="QBP77" s="684"/>
      <c r="QBQ77" s="684"/>
      <c r="QBR77" s="684"/>
      <c r="QBS77" s="684"/>
      <c r="QBT77" s="684"/>
      <c r="QBU77" s="684"/>
      <c r="QBV77" s="684"/>
      <c r="QBW77" s="684"/>
      <c r="QBX77" s="684"/>
      <c r="QBY77" s="684"/>
      <c r="QBZ77" s="684"/>
      <c r="QCA77" s="684"/>
      <c r="QCB77" s="684"/>
      <c r="QCC77" s="684"/>
      <c r="QCD77" s="684"/>
      <c r="QCE77" s="684"/>
      <c r="QCF77" s="684"/>
      <c r="QCG77" s="684"/>
      <c r="QCH77" s="684"/>
      <c r="QCI77" s="684"/>
      <c r="QCJ77" s="684"/>
      <c r="QCK77" s="684"/>
      <c r="QCL77" s="684"/>
      <c r="QCM77" s="684"/>
      <c r="QCN77" s="684"/>
      <c r="QCO77" s="684"/>
      <c r="QCP77" s="684"/>
      <c r="QCQ77" s="684"/>
      <c r="QCR77" s="684"/>
      <c r="QCS77" s="684"/>
      <c r="QCT77" s="684"/>
      <c r="QCU77" s="684"/>
      <c r="QCV77" s="684"/>
      <c r="QCW77" s="684"/>
      <c r="QCX77" s="684"/>
      <c r="QCY77" s="684"/>
      <c r="QCZ77" s="684"/>
      <c r="QDA77" s="684"/>
      <c r="QDB77" s="684"/>
      <c r="QDC77" s="684"/>
      <c r="QDD77" s="684"/>
      <c r="QDE77" s="684"/>
      <c r="QDF77" s="684"/>
      <c r="QDG77" s="684"/>
      <c r="QDH77" s="684"/>
      <c r="QDI77" s="684"/>
      <c r="QDJ77" s="684"/>
      <c r="QDK77" s="684"/>
      <c r="QDL77" s="684"/>
      <c r="QDM77" s="684"/>
      <c r="QDN77" s="684"/>
      <c r="QDO77" s="684"/>
      <c r="QDP77" s="684"/>
      <c r="QDQ77" s="684"/>
      <c r="QDR77" s="684"/>
      <c r="QDS77" s="684"/>
      <c r="QDT77" s="684"/>
      <c r="QDU77" s="684"/>
      <c r="QDV77" s="684"/>
      <c r="QDW77" s="684"/>
      <c r="QDX77" s="684"/>
      <c r="QDY77" s="684"/>
      <c r="QDZ77" s="684"/>
      <c r="QEA77" s="684"/>
      <c r="QEB77" s="684"/>
      <c r="QEC77" s="684"/>
      <c r="QED77" s="684"/>
      <c r="QEE77" s="684"/>
      <c r="QEF77" s="684"/>
      <c r="QEG77" s="684"/>
      <c r="QEH77" s="684"/>
      <c r="QEI77" s="684"/>
      <c r="QEJ77" s="684"/>
      <c r="QEK77" s="684"/>
      <c r="QEL77" s="684"/>
      <c r="QEM77" s="684"/>
      <c r="QEN77" s="684"/>
      <c r="QEO77" s="684"/>
      <c r="QEP77" s="684"/>
      <c r="QEQ77" s="684"/>
      <c r="QER77" s="684"/>
      <c r="QES77" s="684"/>
      <c r="QET77" s="684"/>
      <c r="QEU77" s="684"/>
      <c r="QEV77" s="684"/>
      <c r="QEW77" s="684"/>
      <c r="QEX77" s="684"/>
      <c r="QEY77" s="684"/>
      <c r="QEZ77" s="684"/>
      <c r="QFA77" s="684"/>
      <c r="QFB77" s="684"/>
      <c r="QFC77" s="684"/>
      <c r="QFD77" s="684"/>
      <c r="QFE77" s="684"/>
      <c r="QFF77" s="684"/>
      <c r="QFG77" s="684"/>
      <c r="QFH77" s="684"/>
      <c r="QFI77" s="684"/>
      <c r="QFJ77" s="684"/>
      <c r="QFK77" s="684"/>
      <c r="QFL77" s="684"/>
      <c r="QFM77" s="684"/>
      <c r="QFN77" s="684"/>
      <c r="QFO77" s="684"/>
      <c r="QFP77" s="684"/>
      <c r="QFQ77" s="684"/>
      <c r="QFR77" s="684"/>
      <c r="QFS77" s="684"/>
      <c r="QFT77" s="684"/>
      <c r="QFU77" s="684"/>
      <c r="QFV77" s="684"/>
      <c r="QFW77" s="684"/>
      <c r="QFX77" s="684"/>
      <c r="QFY77" s="684"/>
      <c r="QFZ77" s="684"/>
      <c r="QGA77" s="684"/>
      <c r="QGB77" s="684"/>
      <c r="QGC77" s="684"/>
      <c r="QGD77" s="684"/>
      <c r="QGE77" s="684"/>
      <c r="QGF77" s="684"/>
      <c r="QGG77" s="684"/>
      <c r="QGH77" s="684"/>
      <c r="QGI77" s="684"/>
      <c r="QGJ77" s="684"/>
      <c r="QGK77" s="684"/>
      <c r="QGL77" s="684"/>
      <c r="QGM77" s="684"/>
      <c r="QGN77" s="684"/>
      <c r="QGO77" s="684"/>
      <c r="QGP77" s="684"/>
      <c r="QGQ77" s="684"/>
      <c r="QGR77" s="684"/>
      <c r="QGS77" s="684"/>
      <c r="QGT77" s="684"/>
      <c r="QGU77" s="684"/>
      <c r="QGV77" s="684"/>
      <c r="QGW77" s="684"/>
      <c r="QGX77" s="684"/>
      <c r="QGY77" s="684"/>
      <c r="QGZ77" s="684"/>
      <c r="QHA77" s="684"/>
      <c r="QHB77" s="684"/>
      <c r="QHC77" s="684"/>
      <c r="QHD77" s="684"/>
      <c r="QHE77" s="684"/>
      <c r="QHF77" s="684"/>
      <c r="QHG77" s="684"/>
      <c r="QHH77" s="684"/>
      <c r="QHI77" s="684"/>
      <c r="QHJ77" s="684"/>
      <c r="QHK77" s="684"/>
      <c r="QHL77" s="684"/>
      <c r="QHM77" s="684"/>
      <c r="QHN77" s="684"/>
      <c r="QHO77" s="684"/>
      <c r="QHP77" s="684"/>
      <c r="QHQ77" s="684"/>
      <c r="QHR77" s="684"/>
      <c r="QHS77" s="684"/>
      <c r="QHT77" s="684"/>
      <c r="QHU77" s="684"/>
      <c r="QHV77" s="684"/>
      <c r="QHW77" s="684"/>
      <c r="QHX77" s="684"/>
      <c r="QHY77" s="684"/>
      <c r="QHZ77" s="684"/>
      <c r="QIA77" s="684"/>
      <c r="QIB77" s="684"/>
      <c r="QIC77" s="684"/>
      <c r="QID77" s="684"/>
      <c r="QIE77" s="684"/>
      <c r="QIF77" s="684"/>
      <c r="QIG77" s="684"/>
      <c r="QIH77" s="684"/>
      <c r="QII77" s="684"/>
      <c r="QIJ77" s="684"/>
      <c r="QIK77" s="684"/>
      <c r="QIL77" s="684"/>
      <c r="QIM77" s="684"/>
      <c r="QIN77" s="684"/>
      <c r="QIO77" s="684"/>
      <c r="QIP77" s="684"/>
      <c r="QIQ77" s="684"/>
      <c r="QIR77" s="684"/>
      <c r="QIS77" s="684"/>
      <c r="QIT77" s="684"/>
      <c r="QIU77" s="684"/>
      <c r="QIV77" s="684"/>
      <c r="QIW77" s="684"/>
      <c r="QIX77" s="684"/>
      <c r="QIY77" s="684"/>
      <c r="QIZ77" s="684"/>
      <c r="QJA77" s="684"/>
      <c r="QJB77" s="684"/>
      <c r="QJC77" s="684"/>
      <c r="QJD77" s="684"/>
      <c r="QJE77" s="684"/>
      <c r="QJF77" s="684"/>
      <c r="QJG77" s="684"/>
      <c r="QJH77" s="684"/>
      <c r="QJI77" s="684"/>
      <c r="QJJ77" s="684"/>
      <c r="QJK77" s="684"/>
      <c r="QJL77" s="684"/>
      <c r="QJM77" s="684"/>
      <c r="QJN77" s="684"/>
      <c r="QJO77" s="684"/>
      <c r="QJP77" s="684"/>
      <c r="QJQ77" s="684"/>
      <c r="QJR77" s="684"/>
      <c r="QJS77" s="684"/>
      <c r="QJT77" s="684"/>
      <c r="QJU77" s="684"/>
      <c r="QJV77" s="684"/>
      <c r="QJW77" s="684"/>
      <c r="QJX77" s="684"/>
      <c r="QJY77" s="684"/>
      <c r="QJZ77" s="684"/>
      <c r="QKA77" s="684"/>
      <c r="QKB77" s="684"/>
      <c r="QKC77" s="684"/>
      <c r="QKD77" s="684"/>
      <c r="QKE77" s="684"/>
      <c r="QKF77" s="684"/>
      <c r="QKG77" s="684"/>
      <c r="QKH77" s="684"/>
      <c r="QKI77" s="684"/>
      <c r="QKJ77" s="684"/>
      <c r="QKK77" s="684"/>
      <c r="QKL77" s="684"/>
      <c r="QKM77" s="684"/>
      <c r="QKN77" s="684"/>
      <c r="QKO77" s="684"/>
      <c r="QKP77" s="684"/>
      <c r="QKQ77" s="684"/>
      <c r="QKR77" s="684"/>
      <c r="QKS77" s="684"/>
      <c r="QKT77" s="684"/>
      <c r="QKU77" s="684"/>
      <c r="QKV77" s="684"/>
      <c r="QKW77" s="684"/>
      <c r="QKX77" s="684"/>
      <c r="QKY77" s="684"/>
      <c r="QKZ77" s="684"/>
      <c r="QLA77" s="684"/>
      <c r="QLB77" s="684"/>
      <c r="QLC77" s="684"/>
      <c r="QLD77" s="684"/>
      <c r="QLE77" s="684"/>
      <c r="QLF77" s="684"/>
      <c r="QLG77" s="684"/>
      <c r="QLH77" s="684"/>
      <c r="QLI77" s="684"/>
      <c r="QLJ77" s="684"/>
      <c r="QLK77" s="684"/>
      <c r="QLL77" s="684"/>
      <c r="QLM77" s="684"/>
      <c r="QLN77" s="684"/>
      <c r="QLO77" s="684"/>
      <c r="QLP77" s="684"/>
      <c r="QLQ77" s="684"/>
      <c r="QLR77" s="684"/>
      <c r="QLS77" s="684"/>
      <c r="QLT77" s="684"/>
      <c r="QLU77" s="684"/>
      <c r="QLV77" s="684"/>
      <c r="QLW77" s="684"/>
      <c r="QLX77" s="684"/>
      <c r="QLY77" s="684"/>
      <c r="QLZ77" s="684"/>
      <c r="QMA77" s="684"/>
      <c r="QMB77" s="684"/>
      <c r="QMC77" s="684"/>
      <c r="QMD77" s="684"/>
      <c r="QME77" s="684"/>
      <c r="QMF77" s="684"/>
      <c r="QMG77" s="684"/>
      <c r="QMH77" s="684"/>
      <c r="QMI77" s="684"/>
      <c r="QMJ77" s="684"/>
      <c r="QMK77" s="684"/>
      <c r="QML77" s="684"/>
      <c r="QMM77" s="684"/>
      <c r="QMN77" s="684"/>
      <c r="QMO77" s="684"/>
      <c r="QMP77" s="684"/>
      <c r="QMQ77" s="684"/>
      <c r="QMR77" s="684"/>
      <c r="QMS77" s="684"/>
      <c r="QMT77" s="684"/>
      <c r="QMU77" s="684"/>
      <c r="QMV77" s="684"/>
      <c r="QMW77" s="684"/>
      <c r="QMX77" s="684"/>
      <c r="QMY77" s="684"/>
      <c r="QMZ77" s="684"/>
      <c r="QNA77" s="684"/>
      <c r="QNB77" s="684"/>
      <c r="QNC77" s="684"/>
      <c r="QND77" s="684"/>
      <c r="QNE77" s="684"/>
      <c r="QNF77" s="684"/>
      <c r="QNG77" s="684"/>
      <c r="QNH77" s="684"/>
      <c r="QNI77" s="684"/>
      <c r="QNJ77" s="684"/>
      <c r="QNK77" s="684"/>
      <c r="QNL77" s="684"/>
      <c r="QNM77" s="684"/>
      <c r="QNN77" s="684"/>
      <c r="QNO77" s="684"/>
      <c r="QNP77" s="684"/>
      <c r="QNQ77" s="684"/>
      <c r="QNR77" s="684"/>
      <c r="QNS77" s="684"/>
      <c r="QNT77" s="684"/>
      <c r="QNU77" s="684"/>
      <c r="QNV77" s="684"/>
      <c r="QNW77" s="684"/>
      <c r="QNX77" s="684"/>
      <c r="QNY77" s="684"/>
      <c r="QNZ77" s="684"/>
      <c r="QOA77" s="684"/>
      <c r="QOB77" s="684"/>
      <c r="QOC77" s="684"/>
      <c r="QOD77" s="684"/>
      <c r="QOE77" s="684"/>
      <c r="QOF77" s="684"/>
      <c r="QOG77" s="684"/>
      <c r="QOH77" s="684"/>
      <c r="QOI77" s="684"/>
      <c r="QOJ77" s="684"/>
      <c r="QOK77" s="684"/>
      <c r="QOL77" s="684"/>
      <c r="QOM77" s="684"/>
      <c r="QON77" s="684"/>
      <c r="QOO77" s="684"/>
      <c r="QOP77" s="684"/>
      <c r="QOQ77" s="684"/>
      <c r="QOR77" s="684"/>
      <c r="QOS77" s="684"/>
      <c r="QOT77" s="684"/>
      <c r="QOU77" s="684"/>
      <c r="QOV77" s="684"/>
      <c r="QOW77" s="684"/>
      <c r="QOX77" s="684"/>
      <c r="QOY77" s="684"/>
      <c r="QOZ77" s="684"/>
      <c r="QPA77" s="684"/>
      <c r="QPB77" s="684"/>
      <c r="QPC77" s="684"/>
      <c r="QPD77" s="684"/>
      <c r="QPE77" s="684"/>
      <c r="QPF77" s="684"/>
      <c r="QPG77" s="684"/>
      <c r="QPH77" s="684"/>
      <c r="QPI77" s="684"/>
      <c r="QPJ77" s="684"/>
      <c r="QPK77" s="684"/>
      <c r="QPL77" s="684"/>
      <c r="QPM77" s="684"/>
      <c r="QPN77" s="684"/>
      <c r="QPO77" s="684"/>
      <c r="QPP77" s="684"/>
      <c r="QPQ77" s="684"/>
      <c r="QPR77" s="684"/>
      <c r="QPS77" s="684"/>
      <c r="QPT77" s="684"/>
      <c r="QPU77" s="684"/>
      <c r="QPV77" s="684"/>
      <c r="QPW77" s="684"/>
      <c r="QPX77" s="684"/>
      <c r="QPY77" s="684"/>
      <c r="QPZ77" s="684"/>
      <c r="QQA77" s="684"/>
      <c r="QQB77" s="684"/>
      <c r="QQC77" s="684"/>
      <c r="QQD77" s="684"/>
      <c r="QQE77" s="684"/>
      <c r="QQF77" s="684"/>
      <c r="QQG77" s="684"/>
      <c r="QQH77" s="684"/>
      <c r="QQI77" s="684"/>
      <c r="QQJ77" s="684"/>
      <c r="QQK77" s="684"/>
      <c r="QQL77" s="684"/>
      <c r="QQM77" s="684"/>
      <c r="QQN77" s="684"/>
      <c r="QQO77" s="684"/>
      <c r="QQP77" s="684"/>
      <c r="QQQ77" s="684"/>
      <c r="QQR77" s="684"/>
      <c r="QQS77" s="684"/>
      <c r="QQT77" s="684"/>
      <c r="QQU77" s="684"/>
      <c r="QQV77" s="684"/>
      <c r="QQW77" s="684"/>
      <c r="QQX77" s="684"/>
      <c r="QQY77" s="684"/>
      <c r="QQZ77" s="684"/>
      <c r="QRA77" s="684"/>
      <c r="QRB77" s="684"/>
      <c r="QRC77" s="684"/>
      <c r="QRD77" s="684"/>
      <c r="QRE77" s="684"/>
      <c r="QRF77" s="684"/>
      <c r="QRG77" s="684"/>
      <c r="QRH77" s="684"/>
      <c r="QRI77" s="684"/>
      <c r="QRJ77" s="684"/>
      <c r="QRK77" s="684"/>
      <c r="QRL77" s="684"/>
      <c r="QRM77" s="684"/>
      <c r="QRN77" s="684"/>
      <c r="QRO77" s="684"/>
      <c r="QRP77" s="684"/>
      <c r="QRQ77" s="684"/>
      <c r="QRR77" s="684"/>
      <c r="QRS77" s="684"/>
      <c r="QRT77" s="684"/>
      <c r="QRU77" s="684"/>
      <c r="QRV77" s="684"/>
      <c r="QRW77" s="684"/>
      <c r="QRX77" s="684"/>
      <c r="QRY77" s="684"/>
      <c r="QRZ77" s="684"/>
      <c r="QSA77" s="684"/>
      <c r="QSB77" s="684"/>
      <c r="QSC77" s="684"/>
      <c r="QSD77" s="684"/>
      <c r="QSE77" s="684"/>
      <c r="QSF77" s="684"/>
      <c r="QSG77" s="684"/>
      <c r="QSH77" s="684"/>
      <c r="QSI77" s="684"/>
      <c r="QSJ77" s="684"/>
      <c r="QSK77" s="684"/>
      <c r="QSL77" s="684"/>
      <c r="QSM77" s="684"/>
      <c r="QSN77" s="684"/>
      <c r="QSO77" s="684"/>
      <c r="QSP77" s="684"/>
      <c r="QSQ77" s="684"/>
      <c r="QSR77" s="684"/>
      <c r="QSS77" s="684"/>
      <c r="QST77" s="684"/>
      <c r="QSU77" s="684"/>
      <c r="QSV77" s="684"/>
      <c r="QSW77" s="684"/>
      <c r="QSX77" s="684"/>
      <c r="QSY77" s="684"/>
      <c r="QSZ77" s="684"/>
      <c r="QTA77" s="684"/>
      <c r="QTB77" s="684"/>
      <c r="QTC77" s="684"/>
      <c r="QTD77" s="684"/>
      <c r="QTE77" s="684"/>
      <c r="QTF77" s="684"/>
      <c r="QTG77" s="684"/>
      <c r="QTH77" s="684"/>
      <c r="QTI77" s="684"/>
      <c r="QTJ77" s="684"/>
      <c r="QTK77" s="684"/>
      <c r="QTL77" s="684"/>
      <c r="QTM77" s="684"/>
      <c r="QTN77" s="684"/>
      <c r="QTO77" s="684"/>
      <c r="QTP77" s="684"/>
      <c r="QTQ77" s="684"/>
      <c r="QTR77" s="684"/>
      <c r="QTS77" s="684"/>
      <c r="QTT77" s="684"/>
      <c r="QTU77" s="684"/>
      <c r="QTV77" s="684"/>
      <c r="QTW77" s="684"/>
      <c r="QTX77" s="684"/>
      <c r="QTY77" s="684"/>
      <c r="QTZ77" s="684"/>
      <c r="QUA77" s="684"/>
      <c r="QUB77" s="684"/>
      <c r="QUC77" s="684"/>
      <c r="QUD77" s="684"/>
      <c r="QUE77" s="684"/>
      <c r="QUF77" s="684"/>
      <c r="QUG77" s="684"/>
      <c r="QUH77" s="684"/>
      <c r="QUI77" s="684"/>
      <c r="QUJ77" s="684"/>
      <c r="QUK77" s="684"/>
      <c r="QUL77" s="684"/>
      <c r="QUM77" s="684"/>
      <c r="QUN77" s="684"/>
      <c r="QUO77" s="684"/>
      <c r="QUP77" s="684"/>
      <c r="QUQ77" s="684"/>
      <c r="QUR77" s="684"/>
      <c r="QUS77" s="684"/>
      <c r="QUT77" s="684"/>
      <c r="QUU77" s="684"/>
      <c r="QUV77" s="684"/>
      <c r="QUW77" s="684"/>
      <c r="QUX77" s="684"/>
      <c r="QUY77" s="684"/>
      <c r="QUZ77" s="684"/>
      <c r="QVA77" s="684"/>
      <c r="QVB77" s="684"/>
      <c r="QVC77" s="684"/>
      <c r="QVD77" s="684"/>
      <c r="QVE77" s="684"/>
      <c r="QVF77" s="684"/>
      <c r="QVG77" s="684"/>
      <c r="QVH77" s="684"/>
      <c r="QVI77" s="684"/>
      <c r="QVJ77" s="684"/>
      <c r="QVK77" s="684"/>
      <c r="QVL77" s="684"/>
      <c r="QVM77" s="684"/>
      <c r="QVN77" s="684"/>
      <c r="QVO77" s="684"/>
      <c r="QVP77" s="684"/>
      <c r="QVQ77" s="684"/>
      <c r="QVR77" s="684"/>
      <c r="QVS77" s="684"/>
      <c r="QVT77" s="684"/>
      <c r="QVU77" s="684"/>
      <c r="QVV77" s="684"/>
      <c r="QVW77" s="684"/>
      <c r="QVX77" s="684"/>
      <c r="QVY77" s="684"/>
      <c r="QVZ77" s="684"/>
      <c r="QWA77" s="684"/>
      <c r="QWB77" s="684"/>
      <c r="QWC77" s="684"/>
      <c r="QWD77" s="684"/>
      <c r="QWE77" s="684"/>
      <c r="QWF77" s="684"/>
      <c r="QWG77" s="684"/>
      <c r="QWH77" s="684"/>
      <c r="QWI77" s="684"/>
      <c r="QWJ77" s="684"/>
      <c r="QWK77" s="684"/>
      <c r="QWL77" s="684"/>
      <c r="QWM77" s="684"/>
      <c r="QWN77" s="684"/>
      <c r="QWO77" s="684"/>
      <c r="QWP77" s="684"/>
      <c r="QWQ77" s="684"/>
      <c r="QWR77" s="684"/>
      <c r="QWS77" s="684"/>
      <c r="QWT77" s="684"/>
      <c r="QWU77" s="684"/>
      <c r="QWV77" s="684"/>
      <c r="QWW77" s="684"/>
      <c r="QWX77" s="684"/>
      <c r="QWY77" s="684"/>
      <c r="QWZ77" s="684"/>
      <c r="QXA77" s="684"/>
      <c r="QXB77" s="684"/>
      <c r="QXC77" s="684"/>
      <c r="QXD77" s="684"/>
      <c r="QXE77" s="684"/>
      <c r="QXF77" s="684"/>
      <c r="QXG77" s="684"/>
      <c r="QXH77" s="684"/>
      <c r="QXI77" s="684"/>
      <c r="QXJ77" s="684"/>
      <c r="QXK77" s="684"/>
      <c r="QXL77" s="684"/>
      <c r="QXM77" s="684"/>
      <c r="QXN77" s="684"/>
      <c r="QXO77" s="684"/>
      <c r="QXP77" s="684"/>
      <c r="QXQ77" s="684"/>
      <c r="QXR77" s="684"/>
      <c r="QXS77" s="684"/>
      <c r="QXT77" s="684"/>
      <c r="QXU77" s="684"/>
      <c r="QXV77" s="684"/>
      <c r="QXW77" s="684"/>
      <c r="QXX77" s="684"/>
      <c r="QXY77" s="684"/>
      <c r="QXZ77" s="684"/>
      <c r="QYA77" s="684"/>
      <c r="QYB77" s="684"/>
      <c r="QYC77" s="684"/>
      <c r="QYD77" s="684"/>
      <c r="QYE77" s="684"/>
      <c r="QYF77" s="684"/>
      <c r="QYG77" s="684"/>
      <c r="QYH77" s="684"/>
      <c r="QYI77" s="684"/>
      <c r="QYJ77" s="684"/>
      <c r="QYK77" s="684"/>
      <c r="QYL77" s="684"/>
      <c r="QYM77" s="684"/>
      <c r="QYN77" s="684"/>
      <c r="QYO77" s="684"/>
      <c r="QYP77" s="684"/>
      <c r="QYQ77" s="684"/>
      <c r="QYR77" s="684"/>
      <c r="QYS77" s="684"/>
      <c r="QYT77" s="684"/>
      <c r="QYU77" s="684"/>
      <c r="QYV77" s="684"/>
      <c r="QYW77" s="684"/>
      <c r="QYX77" s="684"/>
      <c r="QYY77" s="684"/>
      <c r="QYZ77" s="684"/>
      <c r="QZA77" s="684"/>
      <c r="QZB77" s="684"/>
      <c r="QZC77" s="684"/>
      <c r="QZD77" s="684"/>
      <c r="QZE77" s="684"/>
      <c r="QZF77" s="684"/>
      <c r="QZG77" s="684"/>
      <c r="QZH77" s="684"/>
      <c r="QZI77" s="684"/>
      <c r="QZJ77" s="684"/>
      <c r="QZK77" s="684"/>
      <c r="QZL77" s="684"/>
      <c r="QZM77" s="684"/>
      <c r="QZN77" s="684"/>
      <c r="QZO77" s="684"/>
      <c r="QZP77" s="684"/>
      <c r="QZQ77" s="684"/>
      <c r="QZR77" s="684"/>
      <c r="QZS77" s="684"/>
      <c r="QZT77" s="684"/>
      <c r="QZU77" s="684"/>
      <c r="QZV77" s="684"/>
      <c r="QZW77" s="684"/>
      <c r="QZX77" s="684"/>
      <c r="QZY77" s="684"/>
      <c r="QZZ77" s="684"/>
      <c r="RAA77" s="684"/>
      <c r="RAB77" s="684"/>
      <c r="RAC77" s="684"/>
      <c r="RAD77" s="684"/>
      <c r="RAE77" s="684"/>
      <c r="RAF77" s="684"/>
      <c r="RAG77" s="684"/>
      <c r="RAH77" s="684"/>
      <c r="RAI77" s="684"/>
      <c r="RAJ77" s="684"/>
      <c r="RAK77" s="684"/>
      <c r="RAL77" s="684"/>
      <c r="RAM77" s="684"/>
      <c r="RAN77" s="684"/>
      <c r="RAO77" s="684"/>
      <c r="RAP77" s="684"/>
      <c r="RAQ77" s="684"/>
      <c r="RAR77" s="684"/>
      <c r="RAS77" s="684"/>
      <c r="RAT77" s="684"/>
      <c r="RAU77" s="684"/>
      <c r="RAV77" s="684"/>
      <c r="RAW77" s="684"/>
      <c r="RAX77" s="684"/>
      <c r="RAY77" s="684"/>
      <c r="RAZ77" s="684"/>
      <c r="RBA77" s="684"/>
      <c r="RBB77" s="684"/>
      <c r="RBC77" s="684"/>
      <c r="RBD77" s="684"/>
      <c r="RBE77" s="684"/>
      <c r="RBF77" s="684"/>
      <c r="RBG77" s="684"/>
      <c r="RBH77" s="684"/>
      <c r="RBI77" s="684"/>
      <c r="RBJ77" s="684"/>
      <c r="RBK77" s="684"/>
      <c r="RBL77" s="684"/>
      <c r="RBM77" s="684"/>
      <c r="RBN77" s="684"/>
      <c r="RBO77" s="684"/>
      <c r="RBP77" s="684"/>
      <c r="RBQ77" s="684"/>
      <c r="RBR77" s="684"/>
      <c r="RBS77" s="684"/>
      <c r="RBT77" s="684"/>
      <c r="RBU77" s="684"/>
      <c r="RBV77" s="684"/>
      <c r="RBW77" s="684"/>
      <c r="RBX77" s="684"/>
      <c r="RBY77" s="684"/>
      <c r="RBZ77" s="684"/>
      <c r="RCA77" s="684"/>
      <c r="RCB77" s="684"/>
      <c r="RCC77" s="684"/>
      <c r="RCD77" s="684"/>
      <c r="RCE77" s="684"/>
      <c r="RCF77" s="684"/>
      <c r="RCG77" s="684"/>
      <c r="RCH77" s="684"/>
      <c r="RCI77" s="684"/>
      <c r="RCJ77" s="684"/>
      <c r="RCK77" s="684"/>
      <c r="RCL77" s="684"/>
      <c r="RCM77" s="684"/>
      <c r="RCN77" s="684"/>
      <c r="RCO77" s="684"/>
      <c r="RCP77" s="684"/>
      <c r="RCQ77" s="684"/>
      <c r="RCR77" s="684"/>
      <c r="RCS77" s="684"/>
      <c r="RCT77" s="684"/>
      <c r="RCU77" s="684"/>
      <c r="RCV77" s="684"/>
      <c r="RCW77" s="684"/>
      <c r="RCX77" s="684"/>
      <c r="RCY77" s="684"/>
      <c r="RCZ77" s="684"/>
      <c r="RDA77" s="684"/>
      <c r="RDB77" s="684"/>
      <c r="RDC77" s="684"/>
      <c r="RDD77" s="684"/>
      <c r="RDE77" s="684"/>
      <c r="RDF77" s="684"/>
      <c r="RDG77" s="684"/>
      <c r="RDH77" s="684"/>
      <c r="RDI77" s="684"/>
      <c r="RDJ77" s="684"/>
      <c r="RDK77" s="684"/>
      <c r="RDL77" s="684"/>
      <c r="RDM77" s="684"/>
      <c r="RDN77" s="684"/>
      <c r="RDO77" s="684"/>
      <c r="RDP77" s="684"/>
      <c r="RDQ77" s="684"/>
      <c r="RDR77" s="684"/>
      <c r="RDS77" s="684"/>
      <c r="RDT77" s="684"/>
      <c r="RDU77" s="684"/>
      <c r="RDV77" s="684"/>
      <c r="RDW77" s="684"/>
      <c r="RDX77" s="684"/>
      <c r="RDY77" s="684"/>
      <c r="RDZ77" s="684"/>
      <c r="REA77" s="684"/>
      <c r="REB77" s="684"/>
      <c r="REC77" s="684"/>
      <c r="RED77" s="684"/>
      <c r="REE77" s="684"/>
      <c r="REF77" s="684"/>
      <c r="REG77" s="684"/>
      <c r="REH77" s="684"/>
      <c r="REI77" s="684"/>
      <c r="REJ77" s="684"/>
      <c r="REK77" s="684"/>
      <c r="REL77" s="684"/>
      <c r="REM77" s="684"/>
      <c r="REN77" s="684"/>
      <c r="REO77" s="684"/>
      <c r="REP77" s="684"/>
      <c r="REQ77" s="684"/>
      <c r="RER77" s="684"/>
      <c r="RES77" s="684"/>
      <c r="RET77" s="684"/>
      <c r="REU77" s="684"/>
      <c r="REV77" s="684"/>
      <c r="REW77" s="684"/>
      <c r="REX77" s="684"/>
      <c r="REY77" s="684"/>
      <c r="REZ77" s="684"/>
      <c r="RFA77" s="684"/>
      <c r="RFB77" s="684"/>
      <c r="RFC77" s="684"/>
      <c r="RFD77" s="684"/>
      <c r="RFE77" s="684"/>
      <c r="RFF77" s="684"/>
      <c r="RFG77" s="684"/>
      <c r="RFH77" s="684"/>
      <c r="RFI77" s="684"/>
      <c r="RFJ77" s="684"/>
      <c r="RFK77" s="684"/>
      <c r="RFL77" s="684"/>
      <c r="RFM77" s="684"/>
      <c r="RFN77" s="684"/>
      <c r="RFO77" s="684"/>
      <c r="RFP77" s="684"/>
      <c r="RFQ77" s="684"/>
      <c r="RFR77" s="684"/>
      <c r="RFS77" s="684"/>
      <c r="RFT77" s="684"/>
      <c r="RFU77" s="684"/>
      <c r="RFV77" s="684"/>
      <c r="RFW77" s="684"/>
      <c r="RFX77" s="684"/>
      <c r="RFY77" s="684"/>
      <c r="RFZ77" s="684"/>
      <c r="RGA77" s="684"/>
      <c r="RGB77" s="684"/>
      <c r="RGC77" s="684"/>
      <c r="RGD77" s="684"/>
      <c r="RGE77" s="684"/>
      <c r="RGF77" s="684"/>
      <c r="RGG77" s="684"/>
      <c r="RGH77" s="684"/>
      <c r="RGI77" s="684"/>
      <c r="RGJ77" s="684"/>
      <c r="RGK77" s="684"/>
      <c r="RGL77" s="684"/>
      <c r="RGM77" s="684"/>
      <c r="RGN77" s="684"/>
      <c r="RGO77" s="684"/>
      <c r="RGP77" s="684"/>
      <c r="RGQ77" s="684"/>
      <c r="RGR77" s="684"/>
      <c r="RGS77" s="684"/>
      <c r="RGT77" s="684"/>
      <c r="RGU77" s="684"/>
      <c r="RGV77" s="684"/>
      <c r="RGW77" s="684"/>
      <c r="RGX77" s="684"/>
      <c r="RGY77" s="684"/>
      <c r="RGZ77" s="684"/>
      <c r="RHA77" s="684"/>
      <c r="RHB77" s="684"/>
      <c r="RHC77" s="684"/>
      <c r="RHD77" s="684"/>
      <c r="RHE77" s="684"/>
      <c r="RHF77" s="684"/>
      <c r="RHG77" s="684"/>
      <c r="RHH77" s="684"/>
      <c r="RHI77" s="684"/>
      <c r="RHJ77" s="684"/>
      <c r="RHK77" s="684"/>
      <c r="RHL77" s="684"/>
      <c r="RHM77" s="684"/>
      <c r="RHN77" s="684"/>
      <c r="RHO77" s="684"/>
      <c r="RHP77" s="684"/>
      <c r="RHQ77" s="684"/>
      <c r="RHR77" s="684"/>
      <c r="RHS77" s="684"/>
      <c r="RHT77" s="684"/>
      <c r="RHU77" s="684"/>
      <c r="RHV77" s="684"/>
      <c r="RHW77" s="684"/>
      <c r="RHX77" s="684"/>
      <c r="RHY77" s="684"/>
      <c r="RHZ77" s="684"/>
      <c r="RIA77" s="684"/>
      <c r="RIB77" s="684"/>
      <c r="RIC77" s="684"/>
      <c r="RID77" s="684"/>
      <c r="RIE77" s="684"/>
      <c r="RIF77" s="684"/>
      <c r="RIG77" s="684"/>
      <c r="RIH77" s="684"/>
      <c r="RII77" s="684"/>
      <c r="RIJ77" s="684"/>
      <c r="RIK77" s="684"/>
      <c r="RIL77" s="684"/>
      <c r="RIM77" s="684"/>
      <c r="RIN77" s="684"/>
      <c r="RIO77" s="684"/>
      <c r="RIP77" s="684"/>
      <c r="RIQ77" s="684"/>
      <c r="RIR77" s="684"/>
      <c r="RIS77" s="684"/>
      <c r="RIT77" s="684"/>
      <c r="RIU77" s="684"/>
      <c r="RIV77" s="684"/>
      <c r="RIW77" s="684"/>
      <c r="RIX77" s="684"/>
      <c r="RIY77" s="684"/>
      <c r="RIZ77" s="684"/>
      <c r="RJA77" s="684"/>
      <c r="RJB77" s="684"/>
      <c r="RJC77" s="684"/>
      <c r="RJD77" s="684"/>
      <c r="RJE77" s="684"/>
      <c r="RJF77" s="684"/>
      <c r="RJG77" s="684"/>
      <c r="RJH77" s="684"/>
      <c r="RJI77" s="684"/>
      <c r="RJJ77" s="684"/>
      <c r="RJK77" s="684"/>
      <c r="RJL77" s="684"/>
      <c r="RJM77" s="684"/>
      <c r="RJN77" s="684"/>
      <c r="RJO77" s="684"/>
      <c r="RJP77" s="684"/>
      <c r="RJQ77" s="684"/>
      <c r="RJR77" s="684"/>
      <c r="RJS77" s="684"/>
      <c r="RJT77" s="684"/>
      <c r="RJU77" s="684"/>
      <c r="RJV77" s="684"/>
      <c r="RJW77" s="684"/>
      <c r="RJX77" s="684"/>
      <c r="RJY77" s="684"/>
      <c r="RJZ77" s="684"/>
      <c r="RKA77" s="684"/>
      <c r="RKB77" s="684"/>
      <c r="RKC77" s="684"/>
      <c r="RKD77" s="684"/>
      <c r="RKE77" s="684"/>
      <c r="RKF77" s="684"/>
      <c r="RKG77" s="684"/>
      <c r="RKH77" s="684"/>
      <c r="RKI77" s="684"/>
      <c r="RKJ77" s="684"/>
      <c r="RKK77" s="684"/>
      <c r="RKL77" s="684"/>
      <c r="RKM77" s="684"/>
      <c r="RKN77" s="684"/>
      <c r="RKO77" s="684"/>
      <c r="RKP77" s="684"/>
      <c r="RKQ77" s="684"/>
      <c r="RKR77" s="684"/>
      <c r="RKS77" s="684"/>
      <c r="RKT77" s="684"/>
      <c r="RKU77" s="684"/>
      <c r="RKV77" s="684"/>
      <c r="RKW77" s="684"/>
      <c r="RKX77" s="684"/>
      <c r="RKY77" s="684"/>
      <c r="RKZ77" s="684"/>
      <c r="RLA77" s="684"/>
      <c r="RLB77" s="684"/>
      <c r="RLC77" s="684"/>
      <c r="RLD77" s="684"/>
      <c r="RLE77" s="684"/>
      <c r="RLF77" s="684"/>
      <c r="RLG77" s="684"/>
      <c r="RLH77" s="684"/>
      <c r="RLI77" s="684"/>
      <c r="RLJ77" s="684"/>
      <c r="RLK77" s="684"/>
      <c r="RLL77" s="684"/>
      <c r="RLM77" s="684"/>
      <c r="RLN77" s="684"/>
      <c r="RLO77" s="684"/>
      <c r="RLP77" s="684"/>
      <c r="RLQ77" s="684"/>
      <c r="RLR77" s="684"/>
      <c r="RLS77" s="684"/>
      <c r="RLT77" s="684"/>
      <c r="RLU77" s="684"/>
      <c r="RLV77" s="684"/>
      <c r="RLW77" s="684"/>
      <c r="RLX77" s="684"/>
      <c r="RLY77" s="684"/>
      <c r="RLZ77" s="684"/>
      <c r="RMA77" s="684"/>
      <c r="RMB77" s="684"/>
      <c r="RMC77" s="684"/>
      <c r="RMD77" s="684"/>
      <c r="RME77" s="684"/>
      <c r="RMF77" s="684"/>
      <c r="RMG77" s="684"/>
      <c r="RMH77" s="684"/>
      <c r="RMI77" s="684"/>
      <c r="RMJ77" s="684"/>
      <c r="RMK77" s="684"/>
      <c r="RML77" s="684"/>
      <c r="RMM77" s="684"/>
      <c r="RMN77" s="684"/>
      <c r="RMO77" s="684"/>
      <c r="RMP77" s="684"/>
      <c r="RMQ77" s="684"/>
      <c r="RMR77" s="684"/>
      <c r="RMS77" s="684"/>
      <c r="RMT77" s="684"/>
      <c r="RMU77" s="684"/>
      <c r="RMV77" s="684"/>
      <c r="RMW77" s="684"/>
      <c r="RMX77" s="684"/>
      <c r="RMY77" s="684"/>
      <c r="RMZ77" s="684"/>
      <c r="RNA77" s="684"/>
      <c r="RNB77" s="684"/>
      <c r="RNC77" s="684"/>
      <c r="RND77" s="684"/>
      <c r="RNE77" s="684"/>
      <c r="RNF77" s="684"/>
      <c r="RNG77" s="684"/>
      <c r="RNH77" s="684"/>
      <c r="RNI77" s="684"/>
      <c r="RNJ77" s="684"/>
      <c r="RNK77" s="684"/>
      <c r="RNL77" s="684"/>
      <c r="RNM77" s="684"/>
      <c r="RNN77" s="684"/>
      <c r="RNO77" s="684"/>
      <c r="RNP77" s="684"/>
      <c r="RNQ77" s="684"/>
      <c r="RNR77" s="684"/>
      <c r="RNS77" s="684"/>
      <c r="RNT77" s="684"/>
      <c r="RNU77" s="684"/>
      <c r="RNV77" s="684"/>
      <c r="RNW77" s="684"/>
      <c r="RNX77" s="684"/>
      <c r="RNY77" s="684"/>
      <c r="RNZ77" s="684"/>
      <c r="ROA77" s="684"/>
      <c r="ROB77" s="684"/>
      <c r="ROC77" s="684"/>
      <c r="ROD77" s="684"/>
      <c r="ROE77" s="684"/>
      <c r="ROF77" s="684"/>
      <c r="ROG77" s="684"/>
      <c r="ROH77" s="684"/>
      <c r="ROI77" s="684"/>
      <c r="ROJ77" s="684"/>
      <c r="ROK77" s="684"/>
      <c r="ROL77" s="684"/>
      <c r="ROM77" s="684"/>
      <c r="RON77" s="684"/>
      <c r="ROO77" s="684"/>
      <c r="ROP77" s="684"/>
      <c r="ROQ77" s="684"/>
      <c r="ROR77" s="684"/>
      <c r="ROS77" s="684"/>
      <c r="ROT77" s="684"/>
      <c r="ROU77" s="684"/>
      <c r="ROV77" s="684"/>
      <c r="ROW77" s="684"/>
      <c r="ROX77" s="684"/>
      <c r="ROY77" s="684"/>
      <c r="ROZ77" s="684"/>
      <c r="RPA77" s="684"/>
      <c r="RPB77" s="684"/>
      <c r="RPC77" s="684"/>
      <c r="RPD77" s="684"/>
      <c r="RPE77" s="684"/>
      <c r="RPF77" s="684"/>
      <c r="RPG77" s="684"/>
      <c r="RPH77" s="684"/>
      <c r="RPI77" s="684"/>
      <c r="RPJ77" s="684"/>
      <c r="RPK77" s="684"/>
      <c r="RPL77" s="684"/>
      <c r="RPM77" s="684"/>
      <c r="RPN77" s="684"/>
      <c r="RPO77" s="684"/>
      <c r="RPP77" s="684"/>
      <c r="RPQ77" s="684"/>
      <c r="RPR77" s="684"/>
      <c r="RPS77" s="684"/>
      <c r="RPT77" s="684"/>
      <c r="RPU77" s="684"/>
      <c r="RPV77" s="684"/>
      <c r="RPW77" s="684"/>
      <c r="RPX77" s="684"/>
      <c r="RPY77" s="684"/>
      <c r="RPZ77" s="684"/>
      <c r="RQA77" s="684"/>
      <c r="RQB77" s="684"/>
      <c r="RQC77" s="684"/>
      <c r="RQD77" s="684"/>
      <c r="RQE77" s="684"/>
      <c r="RQF77" s="684"/>
      <c r="RQG77" s="684"/>
      <c r="RQH77" s="684"/>
      <c r="RQI77" s="684"/>
      <c r="RQJ77" s="684"/>
      <c r="RQK77" s="684"/>
      <c r="RQL77" s="684"/>
      <c r="RQM77" s="684"/>
      <c r="RQN77" s="684"/>
      <c r="RQO77" s="684"/>
      <c r="RQP77" s="684"/>
      <c r="RQQ77" s="684"/>
      <c r="RQR77" s="684"/>
      <c r="RQS77" s="684"/>
      <c r="RQT77" s="684"/>
      <c r="RQU77" s="684"/>
      <c r="RQV77" s="684"/>
      <c r="RQW77" s="684"/>
      <c r="RQX77" s="684"/>
      <c r="RQY77" s="684"/>
      <c r="RQZ77" s="684"/>
      <c r="RRA77" s="684"/>
      <c r="RRB77" s="684"/>
      <c r="RRC77" s="684"/>
      <c r="RRD77" s="684"/>
      <c r="RRE77" s="684"/>
      <c r="RRF77" s="684"/>
      <c r="RRG77" s="684"/>
      <c r="RRH77" s="684"/>
      <c r="RRI77" s="684"/>
      <c r="RRJ77" s="684"/>
      <c r="RRK77" s="684"/>
      <c r="RRL77" s="684"/>
      <c r="RRM77" s="684"/>
      <c r="RRN77" s="684"/>
      <c r="RRO77" s="684"/>
      <c r="RRP77" s="684"/>
      <c r="RRQ77" s="684"/>
      <c r="RRR77" s="684"/>
      <c r="RRS77" s="684"/>
      <c r="RRT77" s="684"/>
      <c r="RRU77" s="684"/>
      <c r="RRV77" s="684"/>
      <c r="RRW77" s="684"/>
      <c r="RRX77" s="684"/>
      <c r="RRY77" s="684"/>
      <c r="RRZ77" s="684"/>
      <c r="RSA77" s="684"/>
      <c r="RSB77" s="684"/>
      <c r="RSC77" s="684"/>
      <c r="RSD77" s="684"/>
      <c r="RSE77" s="684"/>
      <c r="RSF77" s="684"/>
      <c r="RSG77" s="684"/>
      <c r="RSH77" s="684"/>
      <c r="RSI77" s="684"/>
      <c r="RSJ77" s="684"/>
      <c r="RSK77" s="684"/>
      <c r="RSL77" s="684"/>
      <c r="RSM77" s="684"/>
      <c r="RSN77" s="684"/>
      <c r="RSO77" s="684"/>
      <c r="RSP77" s="684"/>
      <c r="RSQ77" s="684"/>
      <c r="RSR77" s="684"/>
      <c r="RSS77" s="684"/>
      <c r="RST77" s="684"/>
      <c r="RSU77" s="684"/>
      <c r="RSV77" s="684"/>
      <c r="RSW77" s="684"/>
      <c r="RSX77" s="684"/>
      <c r="RSY77" s="684"/>
      <c r="RSZ77" s="684"/>
      <c r="RTA77" s="684"/>
      <c r="RTB77" s="684"/>
      <c r="RTC77" s="684"/>
      <c r="RTD77" s="684"/>
      <c r="RTE77" s="684"/>
      <c r="RTF77" s="684"/>
      <c r="RTG77" s="684"/>
      <c r="RTH77" s="684"/>
      <c r="RTI77" s="684"/>
      <c r="RTJ77" s="684"/>
      <c r="RTK77" s="684"/>
      <c r="RTL77" s="684"/>
      <c r="RTM77" s="684"/>
      <c r="RTN77" s="684"/>
      <c r="RTO77" s="684"/>
      <c r="RTP77" s="684"/>
      <c r="RTQ77" s="684"/>
      <c r="RTR77" s="684"/>
      <c r="RTS77" s="684"/>
      <c r="RTT77" s="684"/>
      <c r="RTU77" s="684"/>
      <c r="RTV77" s="684"/>
      <c r="RTW77" s="684"/>
      <c r="RTX77" s="684"/>
      <c r="RTY77" s="684"/>
      <c r="RTZ77" s="684"/>
      <c r="RUA77" s="684"/>
      <c r="RUB77" s="684"/>
      <c r="RUC77" s="684"/>
      <c r="RUD77" s="684"/>
      <c r="RUE77" s="684"/>
      <c r="RUF77" s="684"/>
      <c r="RUG77" s="684"/>
      <c r="RUH77" s="684"/>
      <c r="RUI77" s="684"/>
      <c r="RUJ77" s="684"/>
      <c r="RUK77" s="684"/>
      <c r="RUL77" s="684"/>
      <c r="RUM77" s="684"/>
      <c r="RUN77" s="684"/>
      <c r="RUO77" s="684"/>
      <c r="RUP77" s="684"/>
      <c r="RUQ77" s="684"/>
      <c r="RUR77" s="684"/>
      <c r="RUS77" s="684"/>
      <c r="RUT77" s="684"/>
      <c r="RUU77" s="684"/>
      <c r="RUV77" s="684"/>
      <c r="RUW77" s="684"/>
      <c r="RUX77" s="684"/>
      <c r="RUY77" s="684"/>
      <c r="RUZ77" s="684"/>
      <c r="RVA77" s="684"/>
      <c r="RVB77" s="684"/>
      <c r="RVC77" s="684"/>
      <c r="RVD77" s="684"/>
      <c r="RVE77" s="684"/>
      <c r="RVF77" s="684"/>
      <c r="RVG77" s="684"/>
      <c r="RVH77" s="684"/>
      <c r="RVI77" s="684"/>
      <c r="RVJ77" s="684"/>
      <c r="RVK77" s="684"/>
      <c r="RVL77" s="684"/>
      <c r="RVM77" s="684"/>
      <c r="RVN77" s="684"/>
      <c r="RVO77" s="684"/>
      <c r="RVP77" s="684"/>
      <c r="RVQ77" s="684"/>
      <c r="RVR77" s="684"/>
      <c r="RVS77" s="684"/>
      <c r="RVT77" s="684"/>
      <c r="RVU77" s="684"/>
      <c r="RVV77" s="684"/>
      <c r="RVW77" s="684"/>
      <c r="RVX77" s="684"/>
      <c r="RVY77" s="684"/>
      <c r="RVZ77" s="684"/>
      <c r="RWA77" s="684"/>
      <c r="RWB77" s="684"/>
      <c r="RWC77" s="684"/>
      <c r="RWD77" s="684"/>
      <c r="RWE77" s="684"/>
      <c r="RWF77" s="684"/>
      <c r="RWG77" s="684"/>
      <c r="RWH77" s="684"/>
      <c r="RWI77" s="684"/>
      <c r="RWJ77" s="684"/>
      <c r="RWK77" s="684"/>
      <c r="RWL77" s="684"/>
      <c r="RWM77" s="684"/>
      <c r="RWN77" s="684"/>
      <c r="RWO77" s="684"/>
      <c r="RWP77" s="684"/>
      <c r="RWQ77" s="684"/>
      <c r="RWR77" s="684"/>
      <c r="RWS77" s="684"/>
      <c r="RWT77" s="684"/>
      <c r="RWU77" s="684"/>
      <c r="RWV77" s="684"/>
      <c r="RWW77" s="684"/>
      <c r="RWX77" s="684"/>
      <c r="RWY77" s="684"/>
      <c r="RWZ77" s="684"/>
      <c r="RXA77" s="684"/>
      <c r="RXB77" s="684"/>
      <c r="RXC77" s="684"/>
      <c r="RXD77" s="684"/>
      <c r="RXE77" s="684"/>
      <c r="RXF77" s="684"/>
      <c r="RXG77" s="684"/>
      <c r="RXH77" s="684"/>
      <c r="RXI77" s="684"/>
      <c r="RXJ77" s="684"/>
      <c r="RXK77" s="684"/>
      <c r="RXL77" s="684"/>
      <c r="RXM77" s="684"/>
      <c r="RXN77" s="684"/>
      <c r="RXO77" s="684"/>
      <c r="RXP77" s="684"/>
      <c r="RXQ77" s="684"/>
      <c r="RXR77" s="684"/>
      <c r="RXS77" s="684"/>
      <c r="RXT77" s="684"/>
      <c r="RXU77" s="684"/>
      <c r="RXV77" s="684"/>
      <c r="RXW77" s="684"/>
      <c r="RXX77" s="684"/>
      <c r="RXY77" s="684"/>
      <c r="RXZ77" s="684"/>
      <c r="RYA77" s="684"/>
      <c r="RYB77" s="684"/>
      <c r="RYC77" s="684"/>
      <c r="RYD77" s="684"/>
      <c r="RYE77" s="684"/>
      <c r="RYF77" s="684"/>
      <c r="RYG77" s="684"/>
      <c r="RYH77" s="684"/>
      <c r="RYI77" s="684"/>
      <c r="RYJ77" s="684"/>
      <c r="RYK77" s="684"/>
      <c r="RYL77" s="684"/>
      <c r="RYM77" s="684"/>
      <c r="RYN77" s="684"/>
      <c r="RYO77" s="684"/>
      <c r="RYP77" s="684"/>
      <c r="RYQ77" s="684"/>
      <c r="RYR77" s="684"/>
      <c r="RYS77" s="684"/>
      <c r="RYT77" s="684"/>
      <c r="RYU77" s="684"/>
      <c r="RYV77" s="684"/>
      <c r="RYW77" s="684"/>
      <c r="RYX77" s="684"/>
      <c r="RYY77" s="684"/>
      <c r="RYZ77" s="684"/>
      <c r="RZA77" s="684"/>
      <c r="RZB77" s="684"/>
      <c r="RZC77" s="684"/>
      <c r="RZD77" s="684"/>
      <c r="RZE77" s="684"/>
      <c r="RZF77" s="684"/>
      <c r="RZG77" s="684"/>
      <c r="RZH77" s="684"/>
      <c r="RZI77" s="684"/>
      <c r="RZJ77" s="684"/>
      <c r="RZK77" s="684"/>
      <c r="RZL77" s="684"/>
      <c r="RZM77" s="684"/>
      <c r="RZN77" s="684"/>
      <c r="RZO77" s="684"/>
      <c r="RZP77" s="684"/>
      <c r="RZQ77" s="684"/>
      <c r="RZR77" s="684"/>
      <c r="RZS77" s="684"/>
      <c r="RZT77" s="684"/>
      <c r="RZU77" s="684"/>
      <c r="RZV77" s="684"/>
      <c r="RZW77" s="684"/>
      <c r="RZX77" s="684"/>
      <c r="RZY77" s="684"/>
      <c r="RZZ77" s="684"/>
      <c r="SAA77" s="684"/>
      <c r="SAB77" s="684"/>
      <c r="SAC77" s="684"/>
      <c r="SAD77" s="684"/>
      <c r="SAE77" s="684"/>
      <c r="SAF77" s="684"/>
      <c r="SAG77" s="684"/>
      <c r="SAH77" s="684"/>
      <c r="SAI77" s="684"/>
      <c r="SAJ77" s="684"/>
      <c r="SAK77" s="684"/>
      <c r="SAL77" s="684"/>
      <c r="SAM77" s="684"/>
      <c r="SAN77" s="684"/>
      <c r="SAO77" s="684"/>
      <c r="SAP77" s="684"/>
      <c r="SAQ77" s="684"/>
      <c r="SAR77" s="684"/>
      <c r="SAS77" s="684"/>
      <c r="SAT77" s="684"/>
      <c r="SAU77" s="684"/>
      <c r="SAV77" s="684"/>
      <c r="SAW77" s="684"/>
      <c r="SAX77" s="684"/>
      <c r="SAY77" s="684"/>
      <c r="SAZ77" s="684"/>
      <c r="SBA77" s="684"/>
      <c r="SBB77" s="684"/>
      <c r="SBC77" s="684"/>
      <c r="SBD77" s="684"/>
      <c r="SBE77" s="684"/>
      <c r="SBF77" s="684"/>
      <c r="SBG77" s="684"/>
      <c r="SBH77" s="684"/>
      <c r="SBI77" s="684"/>
      <c r="SBJ77" s="684"/>
      <c r="SBK77" s="684"/>
      <c r="SBL77" s="684"/>
      <c r="SBM77" s="684"/>
      <c r="SBN77" s="684"/>
      <c r="SBO77" s="684"/>
      <c r="SBP77" s="684"/>
      <c r="SBQ77" s="684"/>
      <c r="SBR77" s="684"/>
      <c r="SBS77" s="684"/>
      <c r="SBT77" s="684"/>
      <c r="SBU77" s="684"/>
      <c r="SBV77" s="684"/>
      <c r="SBW77" s="684"/>
      <c r="SBX77" s="684"/>
      <c r="SBY77" s="684"/>
      <c r="SBZ77" s="684"/>
      <c r="SCA77" s="684"/>
      <c r="SCB77" s="684"/>
      <c r="SCC77" s="684"/>
      <c r="SCD77" s="684"/>
      <c r="SCE77" s="684"/>
      <c r="SCF77" s="684"/>
      <c r="SCG77" s="684"/>
      <c r="SCH77" s="684"/>
      <c r="SCI77" s="684"/>
      <c r="SCJ77" s="684"/>
      <c r="SCK77" s="684"/>
      <c r="SCL77" s="684"/>
      <c r="SCM77" s="684"/>
      <c r="SCN77" s="684"/>
      <c r="SCO77" s="684"/>
      <c r="SCP77" s="684"/>
      <c r="SCQ77" s="684"/>
      <c r="SCR77" s="684"/>
      <c r="SCS77" s="684"/>
      <c r="SCT77" s="684"/>
      <c r="SCU77" s="684"/>
      <c r="SCV77" s="684"/>
      <c r="SCW77" s="684"/>
      <c r="SCX77" s="684"/>
      <c r="SCY77" s="684"/>
      <c r="SCZ77" s="684"/>
      <c r="SDA77" s="684"/>
      <c r="SDB77" s="684"/>
      <c r="SDC77" s="684"/>
      <c r="SDD77" s="684"/>
      <c r="SDE77" s="684"/>
      <c r="SDF77" s="684"/>
      <c r="SDG77" s="684"/>
      <c r="SDH77" s="684"/>
      <c r="SDI77" s="684"/>
      <c r="SDJ77" s="684"/>
      <c r="SDK77" s="684"/>
      <c r="SDL77" s="684"/>
      <c r="SDM77" s="684"/>
      <c r="SDN77" s="684"/>
      <c r="SDO77" s="684"/>
      <c r="SDP77" s="684"/>
      <c r="SDQ77" s="684"/>
      <c r="SDR77" s="684"/>
      <c r="SDS77" s="684"/>
      <c r="SDT77" s="684"/>
      <c r="SDU77" s="684"/>
      <c r="SDV77" s="684"/>
      <c r="SDW77" s="684"/>
      <c r="SDX77" s="684"/>
      <c r="SDY77" s="684"/>
      <c r="SDZ77" s="684"/>
      <c r="SEA77" s="684"/>
      <c r="SEB77" s="684"/>
      <c r="SEC77" s="684"/>
      <c r="SED77" s="684"/>
      <c r="SEE77" s="684"/>
      <c r="SEF77" s="684"/>
      <c r="SEG77" s="684"/>
      <c r="SEH77" s="684"/>
      <c r="SEI77" s="684"/>
      <c r="SEJ77" s="684"/>
      <c r="SEK77" s="684"/>
      <c r="SEL77" s="684"/>
      <c r="SEM77" s="684"/>
      <c r="SEN77" s="684"/>
      <c r="SEO77" s="684"/>
      <c r="SEP77" s="684"/>
      <c r="SEQ77" s="684"/>
      <c r="SER77" s="684"/>
      <c r="SES77" s="684"/>
      <c r="SET77" s="684"/>
      <c r="SEU77" s="684"/>
      <c r="SEV77" s="684"/>
      <c r="SEW77" s="684"/>
      <c r="SEX77" s="684"/>
      <c r="SEY77" s="684"/>
      <c r="SEZ77" s="684"/>
      <c r="SFA77" s="684"/>
      <c r="SFB77" s="684"/>
      <c r="SFC77" s="684"/>
      <c r="SFD77" s="684"/>
      <c r="SFE77" s="684"/>
      <c r="SFF77" s="684"/>
      <c r="SFG77" s="684"/>
      <c r="SFH77" s="684"/>
      <c r="SFI77" s="684"/>
      <c r="SFJ77" s="684"/>
      <c r="SFK77" s="684"/>
      <c r="SFL77" s="684"/>
      <c r="SFM77" s="684"/>
      <c r="SFN77" s="684"/>
      <c r="SFO77" s="684"/>
      <c r="SFP77" s="684"/>
      <c r="SFQ77" s="684"/>
      <c r="SFR77" s="684"/>
      <c r="SFS77" s="684"/>
      <c r="SFT77" s="684"/>
      <c r="SFU77" s="684"/>
      <c r="SFV77" s="684"/>
      <c r="SFW77" s="684"/>
      <c r="SFX77" s="684"/>
      <c r="SFY77" s="684"/>
      <c r="SFZ77" s="684"/>
      <c r="SGA77" s="684"/>
      <c r="SGB77" s="684"/>
      <c r="SGC77" s="684"/>
      <c r="SGD77" s="684"/>
      <c r="SGE77" s="684"/>
      <c r="SGF77" s="684"/>
      <c r="SGG77" s="684"/>
      <c r="SGH77" s="684"/>
      <c r="SGI77" s="684"/>
      <c r="SGJ77" s="684"/>
      <c r="SGK77" s="684"/>
      <c r="SGL77" s="684"/>
      <c r="SGM77" s="684"/>
      <c r="SGN77" s="684"/>
      <c r="SGO77" s="684"/>
      <c r="SGP77" s="684"/>
      <c r="SGQ77" s="684"/>
      <c r="SGR77" s="684"/>
      <c r="SGS77" s="684"/>
      <c r="SGT77" s="684"/>
      <c r="SGU77" s="684"/>
      <c r="SGV77" s="684"/>
      <c r="SGW77" s="684"/>
      <c r="SGX77" s="684"/>
      <c r="SGY77" s="684"/>
      <c r="SGZ77" s="684"/>
      <c r="SHA77" s="684"/>
      <c r="SHB77" s="684"/>
      <c r="SHC77" s="684"/>
      <c r="SHD77" s="684"/>
      <c r="SHE77" s="684"/>
      <c r="SHF77" s="684"/>
      <c r="SHG77" s="684"/>
      <c r="SHH77" s="684"/>
      <c r="SHI77" s="684"/>
      <c r="SHJ77" s="684"/>
      <c r="SHK77" s="684"/>
      <c r="SHL77" s="684"/>
      <c r="SHM77" s="684"/>
      <c r="SHN77" s="684"/>
      <c r="SHO77" s="684"/>
      <c r="SHP77" s="684"/>
      <c r="SHQ77" s="684"/>
      <c r="SHR77" s="684"/>
      <c r="SHS77" s="684"/>
      <c r="SHT77" s="684"/>
      <c r="SHU77" s="684"/>
      <c r="SHV77" s="684"/>
      <c r="SHW77" s="684"/>
      <c r="SHX77" s="684"/>
      <c r="SHY77" s="684"/>
      <c r="SHZ77" s="684"/>
      <c r="SIA77" s="684"/>
      <c r="SIB77" s="684"/>
      <c r="SIC77" s="684"/>
      <c r="SID77" s="684"/>
      <c r="SIE77" s="684"/>
      <c r="SIF77" s="684"/>
      <c r="SIG77" s="684"/>
      <c r="SIH77" s="684"/>
      <c r="SII77" s="684"/>
      <c r="SIJ77" s="684"/>
      <c r="SIK77" s="684"/>
      <c r="SIL77" s="684"/>
      <c r="SIM77" s="684"/>
      <c r="SIN77" s="684"/>
      <c r="SIO77" s="684"/>
      <c r="SIP77" s="684"/>
      <c r="SIQ77" s="684"/>
      <c r="SIR77" s="684"/>
      <c r="SIS77" s="684"/>
      <c r="SIT77" s="684"/>
      <c r="SIU77" s="684"/>
      <c r="SIV77" s="684"/>
      <c r="SIW77" s="684"/>
      <c r="SIX77" s="684"/>
      <c r="SIY77" s="684"/>
      <c r="SIZ77" s="684"/>
      <c r="SJA77" s="684"/>
      <c r="SJB77" s="684"/>
      <c r="SJC77" s="684"/>
      <c r="SJD77" s="684"/>
      <c r="SJE77" s="684"/>
      <c r="SJF77" s="684"/>
      <c r="SJG77" s="684"/>
      <c r="SJH77" s="684"/>
      <c r="SJI77" s="684"/>
      <c r="SJJ77" s="684"/>
      <c r="SJK77" s="684"/>
      <c r="SJL77" s="684"/>
      <c r="SJM77" s="684"/>
      <c r="SJN77" s="684"/>
      <c r="SJO77" s="684"/>
      <c r="SJP77" s="684"/>
      <c r="SJQ77" s="684"/>
      <c r="SJR77" s="684"/>
      <c r="SJS77" s="684"/>
      <c r="SJT77" s="684"/>
      <c r="SJU77" s="684"/>
      <c r="SJV77" s="684"/>
      <c r="SJW77" s="684"/>
      <c r="SJX77" s="684"/>
      <c r="SJY77" s="684"/>
      <c r="SJZ77" s="684"/>
      <c r="SKA77" s="684"/>
      <c r="SKB77" s="684"/>
      <c r="SKC77" s="684"/>
      <c r="SKD77" s="684"/>
      <c r="SKE77" s="684"/>
      <c r="SKF77" s="684"/>
      <c r="SKG77" s="684"/>
      <c r="SKH77" s="684"/>
      <c r="SKI77" s="684"/>
      <c r="SKJ77" s="684"/>
      <c r="SKK77" s="684"/>
      <c r="SKL77" s="684"/>
      <c r="SKM77" s="684"/>
      <c r="SKN77" s="684"/>
      <c r="SKO77" s="684"/>
      <c r="SKP77" s="684"/>
      <c r="SKQ77" s="684"/>
      <c r="SKR77" s="684"/>
      <c r="SKS77" s="684"/>
      <c r="SKT77" s="684"/>
      <c r="SKU77" s="684"/>
      <c r="SKV77" s="684"/>
      <c r="SKW77" s="684"/>
      <c r="SKX77" s="684"/>
      <c r="SKY77" s="684"/>
      <c r="SKZ77" s="684"/>
      <c r="SLA77" s="684"/>
      <c r="SLB77" s="684"/>
      <c r="SLC77" s="684"/>
      <c r="SLD77" s="684"/>
      <c r="SLE77" s="684"/>
      <c r="SLF77" s="684"/>
      <c r="SLG77" s="684"/>
      <c r="SLH77" s="684"/>
      <c r="SLI77" s="684"/>
      <c r="SLJ77" s="684"/>
      <c r="SLK77" s="684"/>
      <c r="SLL77" s="684"/>
      <c r="SLM77" s="684"/>
      <c r="SLN77" s="684"/>
      <c r="SLO77" s="684"/>
      <c r="SLP77" s="684"/>
      <c r="SLQ77" s="684"/>
      <c r="SLR77" s="684"/>
      <c r="SLS77" s="684"/>
      <c r="SLT77" s="684"/>
      <c r="SLU77" s="684"/>
      <c r="SLV77" s="684"/>
      <c r="SLW77" s="684"/>
      <c r="SLX77" s="684"/>
      <c r="SLY77" s="684"/>
      <c r="SLZ77" s="684"/>
      <c r="SMA77" s="684"/>
      <c r="SMB77" s="684"/>
      <c r="SMC77" s="684"/>
      <c r="SMD77" s="684"/>
      <c r="SME77" s="684"/>
      <c r="SMF77" s="684"/>
      <c r="SMG77" s="684"/>
      <c r="SMH77" s="684"/>
      <c r="SMI77" s="684"/>
      <c r="SMJ77" s="684"/>
      <c r="SMK77" s="684"/>
      <c r="SML77" s="684"/>
      <c r="SMM77" s="684"/>
      <c r="SMN77" s="684"/>
      <c r="SMO77" s="684"/>
      <c r="SMP77" s="684"/>
      <c r="SMQ77" s="684"/>
      <c r="SMR77" s="684"/>
      <c r="SMS77" s="684"/>
      <c r="SMT77" s="684"/>
      <c r="SMU77" s="684"/>
      <c r="SMV77" s="684"/>
      <c r="SMW77" s="684"/>
      <c r="SMX77" s="684"/>
      <c r="SMY77" s="684"/>
      <c r="SMZ77" s="684"/>
      <c r="SNA77" s="684"/>
      <c r="SNB77" s="684"/>
      <c r="SNC77" s="684"/>
      <c r="SND77" s="684"/>
      <c r="SNE77" s="684"/>
      <c r="SNF77" s="684"/>
      <c r="SNG77" s="684"/>
      <c r="SNH77" s="684"/>
      <c r="SNI77" s="684"/>
      <c r="SNJ77" s="684"/>
      <c r="SNK77" s="684"/>
      <c r="SNL77" s="684"/>
      <c r="SNM77" s="684"/>
      <c r="SNN77" s="684"/>
      <c r="SNO77" s="684"/>
      <c r="SNP77" s="684"/>
      <c r="SNQ77" s="684"/>
      <c r="SNR77" s="684"/>
      <c r="SNS77" s="684"/>
      <c r="SNT77" s="684"/>
      <c r="SNU77" s="684"/>
      <c r="SNV77" s="684"/>
      <c r="SNW77" s="684"/>
      <c r="SNX77" s="684"/>
      <c r="SNY77" s="684"/>
      <c r="SNZ77" s="684"/>
      <c r="SOA77" s="684"/>
      <c r="SOB77" s="684"/>
      <c r="SOC77" s="684"/>
      <c r="SOD77" s="684"/>
      <c r="SOE77" s="684"/>
      <c r="SOF77" s="684"/>
      <c r="SOG77" s="684"/>
      <c r="SOH77" s="684"/>
      <c r="SOI77" s="684"/>
      <c r="SOJ77" s="684"/>
      <c r="SOK77" s="684"/>
      <c r="SOL77" s="684"/>
      <c r="SOM77" s="684"/>
      <c r="SON77" s="684"/>
      <c r="SOO77" s="684"/>
      <c r="SOP77" s="684"/>
      <c r="SOQ77" s="684"/>
      <c r="SOR77" s="684"/>
      <c r="SOS77" s="684"/>
      <c r="SOT77" s="684"/>
      <c r="SOU77" s="684"/>
      <c r="SOV77" s="684"/>
      <c r="SOW77" s="684"/>
      <c r="SOX77" s="684"/>
      <c r="SOY77" s="684"/>
      <c r="SOZ77" s="684"/>
      <c r="SPA77" s="684"/>
      <c r="SPB77" s="684"/>
      <c r="SPC77" s="684"/>
      <c r="SPD77" s="684"/>
      <c r="SPE77" s="684"/>
      <c r="SPF77" s="684"/>
      <c r="SPG77" s="684"/>
      <c r="SPH77" s="684"/>
      <c r="SPI77" s="684"/>
      <c r="SPJ77" s="684"/>
      <c r="SPK77" s="684"/>
      <c r="SPL77" s="684"/>
      <c r="SPM77" s="684"/>
      <c r="SPN77" s="684"/>
      <c r="SPO77" s="684"/>
      <c r="SPP77" s="684"/>
      <c r="SPQ77" s="684"/>
      <c r="SPR77" s="684"/>
      <c r="SPS77" s="684"/>
      <c r="SPT77" s="684"/>
      <c r="SPU77" s="684"/>
      <c r="SPV77" s="684"/>
      <c r="SPW77" s="684"/>
      <c r="SPX77" s="684"/>
      <c r="SPY77" s="684"/>
      <c r="SPZ77" s="684"/>
      <c r="SQA77" s="684"/>
      <c r="SQB77" s="684"/>
      <c r="SQC77" s="684"/>
      <c r="SQD77" s="684"/>
      <c r="SQE77" s="684"/>
      <c r="SQF77" s="684"/>
      <c r="SQG77" s="684"/>
      <c r="SQH77" s="684"/>
      <c r="SQI77" s="684"/>
      <c r="SQJ77" s="684"/>
      <c r="SQK77" s="684"/>
      <c r="SQL77" s="684"/>
      <c r="SQM77" s="684"/>
      <c r="SQN77" s="684"/>
      <c r="SQO77" s="684"/>
      <c r="SQP77" s="684"/>
      <c r="SQQ77" s="684"/>
      <c r="SQR77" s="684"/>
      <c r="SQS77" s="684"/>
      <c r="SQT77" s="684"/>
      <c r="SQU77" s="684"/>
      <c r="SQV77" s="684"/>
      <c r="SQW77" s="684"/>
      <c r="SQX77" s="684"/>
      <c r="SQY77" s="684"/>
      <c r="SQZ77" s="684"/>
      <c r="SRA77" s="684"/>
      <c r="SRB77" s="684"/>
      <c r="SRC77" s="684"/>
      <c r="SRD77" s="684"/>
      <c r="SRE77" s="684"/>
      <c r="SRF77" s="684"/>
      <c r="SRG77" s="684"/>
      <c r="SRH77" s="684"/>
      <c r="SRI77" s="684"/>
      <c r="SRJ77" s="684"/>
      <c r="SRK77" s="684"/>
      <c r="SRL77" s="684"/>
      <c r="SRM77" s="684"/>
      <c r="SRN77" s="684"/>
      <c r="SRO77" s="684"/>
      <c r="SRP77" s="684"/>
      <c r="SRQ77" s="684"/>
      <c r="SRR77" s="684"/>
      <c r="SRS77" s="684"/>
      <c r="SRT77" s="684"/>
      <c r="SRU77" s="684"/>
      <c r="SRV77" s="684"/>
      <c r="SRW77" s="684"/>
      <c r="SRX77" s="684"/>
      <c r="SRY77" s="684"/>
      <c r="SRZ77" s="684"/>
      <c r="SSA77" s="684"/>
      <c r="SSB77" s="684"/>
      <c r="SSC77" s="684"/>
      <c r="SSD77" s="684"/>
      <c r="SSE77" s="684"/>
      <c r="SSF77" s="684"/>
      <c r="SSG77" s="684"/>
      <c r="SSH77" s="684"/>
      <c r="SSI77" s="684"/>
      <c r="SSJ77" s="684"/>
      <c r="SSK77" s="684"/>
      <c r="SSL77" s="684"/>
      <c r="SSM77" s="684"/>
      <c r="SSN77" s="684"/>
      <c r="SSO77" s="684"/>
      <c r="SSP77" s="684"/>
      <c r="SSQ77" s="684"/>
      <c r="SSR77" s="684"/>
      <c r="SSS77" s="684"/>
      <c r="SST77" s="684"/>
      <c r="SSU77" s="684"/>
      <c r="SSV77" s="684"/>
      <c r="SSW77" s="684"/>
      <c r="SSX77" s="684"/>
      <c r="SSY77" s="684"/>
      <c r="SSZ77" s="684"/>
      <c r="STA77" s="684"/>
      <c r="STB77" s="684"/>
      <c r="STC77" s="684"/>
      <c r="STD77" s="684"/>
      <c r="STE77" s="684"/>
      <c r="STF77" s="684"/>
      <c r="STG77" s="684"/>
      <c r="STH77" s="684"/>
      <c r="STI77" s="684"/>
      <c r="STJ77" s="684"/>
      <c r="STK77" s="684"/>
      <c r="STL77" s="684"/>
      <c r="STM77" s="684"/>
      <c r="STN77" s="684"/>
      <c r="STO77" s="684"/>
      <c r="STP77" s="684"/>
      <c r="STQ77" s="684"/>
      <c r="STR77" s="684"/>
      <c r="STS77" s="684"/>
      <c r="STT77" s="684"/>
      <c r="STU77" s="684"/>
      <c r="STV77" s="684"/>
      <c r="STW77" s="684"/>
      <c r="STX77" s="684"/>
      <c r="STY77" s="684"/>
      <c r="STZ77" s="684"/>
      <c r="SUA77" s="684"/>
      <c r="SUB77" s="684"/>
      <c r="SUC77" s="684"/>
      <c r="SUD77" s="684"/>
      <c r="SUE77" s="684"/>
      <c r="SUF77" s="684"/>
      <c r="SUG77" s="684"/>
      <c r="SUH77" s="684"/>
      <c r="SUI77" s="684"/>
      <c r="SUJ77" s="684"/>
      <c r="SUK77" s="684"/>
      <c r="SUL77" s="684"/>
      <c r="SUM77" s="684"/>
      <c r="SUN77" s="684"/>
      <c r="SUO77" s="684"/>
      <c r="SUP77" s="684"/>
      <c r="SUQ77" s="684"/>
      <c r="SUR77" s="684"/>
      <c r="SUS77" s="684"/>
      <c r="SUT77" s="684"/>
      <c r="SUU77" s="684"/>
      <c r="SUV77" s="684"/>
      <c r="SUW77" s="684"/>
      <c r="SUX77" s="684"/>
      <c r="SUY77" s="684"/>
      <c r="SUZ77" s="684"/>
      <c r="SVA77" s="684"/>
      <c r="SVB77" s="684"/>
      <c r="SVC77" s="684"/>
      <c r="SVD77" s="684"/>
      <c r="SVE77" s="684"/>
      <c r="SVF77" s="684"/>
      <c r="SVG77" s="684"/>
      <c r="SVH77" s="684"/>
      <c r="SVI77" s="684"/>
      <c r="SVJ77" s="684"/>
      <c r="SVK77" s="684"/>
      <c r="SVL77" s="684"/>
      <c r="SVM77" s="684"/>
      <c r="SVN77" s="684"/>
      <c r="SVO77" s="684"/>
      <c r="SVP77" s="684"/>
      <c r="SVQ77" s="684"/>
      <c r="SVR77" s="684"/>
      <c r="SVS77" s="684"/>
      <c r="SVT77" s="684"/>
      <c r="SVU77" s="684"/>
      <c r="SVV77" s="684"/>
      <c r="SVW77" s="684"/>
      <c r="SVX77" s="684"/>
      <c r="SVY77" s="684"/>
      <c r="SVZ77" s="684"/>
      <c r="SWA77" s="684"/>
      <c r="SWB77" s="684"/>
      <c r="SWC77" s="684"/>
      <c r="SWD77" s="684"/>
      <c r="SWE77" s="684"/>
      <c r="SWF77" s="684"/>
      <c r="SWG77" s="684"/>
      <c r="SWH77" s="684"/>
      <c r="SWI77" s="684"/>
      <c r="SWJ77" s="684"/>
      <c r="SWK77" s="684"/>
      <c r="SWL77" s="684"/>
      <c r="SWM77" s="684"/>
      <c r="SWN77" s="684"/>
      <c r="SWO77" s="684"/>
      <c r="SWP77" s="684"/>
      <c r="SWQ77" s="684"/>
      <c r="SWR77" s="684"/>
      <c r="SWS77" s="684"/>
      <c r="SWT77" s="684"/>
      <c r="SWU77" s="684"/>
      <c r="SWV77" s="684"/>
      <c r="SWW77" s="684"/>
      <c r="SWX77" s="684"/>
      <c r="SWY77" s="684"/>
      <c r="SWZ77" s="684"/>
      <c r="SXA77" s="684"/>
      <c r="SXB77" s="684"/>
      <c r="SXC77" s="684"/>
      <c r="SXD77" s="684"/>
      <c r="SXE77" s="684"/>
      <c r="SXF77" s="684"/>
      <c r="SXG77" s="684"/>
      <c r="SXH77" s="684"/>
      <c r="SXI77" s="684"/>
      <c r="SXJ77" s="684"/>
      <c r="SXK77" s="684"/>
      <c r="SXL77" s="684"/>
      <c r="SXM77" s="684"/>
      <c r="SXN77" s="684"/>
      <c r="SXO77" s="684"/>
      <c r="SXP77" s="684"/>
      <c r="SXQ77" s="684"/>
      <c r="SXR77" s="684"/>
      <c r="SXS77" s="684"/>
      <c r="SXT77" s="684"/>
      <c r="SXU77" s="684"/>
      <c r="SXV77" s="684"/>
      <c r="SXW77" s="684"/>
      <c r="SXX77" s="684"/>
      <c r="SXY77" s="684"/>
      <c r="SXZ77" s="684"/>
      <c r="SYA77" s="684"/>
      <c r="SYB77" s="684"/>
      <c r="SYC77" s="684"/>
      <c r="SYD77" s="684"/>
      <c r="SYE77" s="684"/>
      <c r="SYF77" s="684"/>
      <c r="SYG77" s="684"/>
      <c r="SYH77" s="684"/>
      <c r="SYI77" s="684"/>
      <c r="SYJ77" s="684"/>
      <c r="SYK77" s="684"/>
      <c r="SYL77" s="684"/>
      <c r="SYM77" s="684"/>
      <c r="SYN77" s="684"/>
      <c r="SYO77" s="684"/>
      <c r="SYP77" s="684"/>
      <c r="SYQ77" s="684"/>
      <c r="SYR77" s="684"/>
      <c r="SYS77" s="684"/>
      <c r="SYT77" s="684"/>
      <c r="SYU77" s="684"/>
      <c r="SYV77" s="684"/>
      <c r="SYW77" s="684"/>
      <c r="SYX77" s="684"/>
      <c r="SYY77" s="684"/>
      <c r="SYZ77" s="684"/>
      <c r="SZA77" s="684"/>
      <c r="SZB77" s="684"/>
      <c r="SZC77" s="684"/>
      <c r="SZD77" s="684"/>
      <c r="SZE77" s="684"/>
      <c r="SZF77" s="684"/>
      <c r="SZG77" s="684"/>
      <c r="SZH77" s="684"/>
      <c r="SZI77" s="684"/>
      <c r="SZJ77" s="684"/>
      <c r="SZK77" s="684"/>
      <c r="SZL77" s="684"/>
      <c r="SZM77" s="684"/>
      <c r="SZN77" s="684"/>
      <c r="SZO77" s="684"/>
      <c r="SZP77" s="684"/>
      <c r="SZQ77" s="684"/>
      <c r="SZR77" s="684"/>
      <c r="SZS77" s="684"/>
      <c r="SZT77" s="684"/>
      <c r="SZU77" s="684"/>
      <c r="SZV77" s="684"/>
      <c r="SZW77" s="684"/>
      <c r="SZX77" s="684"/>
      <c r="SZY77" s="684"/>
      <c r="SZZ77" s="684"/>
      <c r="TAA77" s="684"/>
      <c r="TAB77" s="684"/>
      <c r="TAC77" s="684"/>
      <c r="TAD77" s="684"/>
      <c r="TAE77" s="684"/>
      <c r="TAF77" s="684"/>
      <c r="TAG77" s="684"/>
      <c r="TAH77" s="684"/>
      <c r="TAI77" s="684"/>
      <c r="TAJ77" s="684"/>
      <c r="TAK77" s="684"/>
      <c r="TAL77" s="684"/>
      <c r="TAM77" s="684"/>
      <c r="TAN77" s="684"/>
      <c r="TAO77" s="684"/>
      <c r="TAP77" s="684"/>
      <c r="TAQ77" s="684"/>
      <c r="TAR77" s="684"/>
      <c r="TAS77" s="684"/>
      <c r="TAT77" s="684"/>
      <c r="TAU77" s="684"/>
      <c r="TAV77" s="684"/>
      <c r="TAW77" s="684"/>
      <c r="TAX77" s="684"/>
      <c r="TAY77" s="684"/>
      <c r="TAZ77" s="684"/>
      <c r="TBA77" s="684"/>
      <c r="TBB77" s="684"/>
      <c r="TBC77" s="684"/>
      <c r="TBD77" s="684"/>
      <c r="TBE77" s="684"/>
      <c r="TBF77" s="684"/>
      <c r="TBG77" s="684"/>
      <c r="TBH77" s="684"/>
      <c r="TBI77" s="684"/>
      <c r="TBJ77" s="684"/>
      <c r="TBK77" s="684"/>
      <c r="TBL77" s="684"/>
      <c r="TBM77" s="684"/>
      <c r="TBN77" s="684"/>
      <c r="TBO77" s="684"/>
      <c r="TBP77" s="684"/>
      <c r="TBQ77" s="684"/>
      <c r="TBR77" s="684"/>
      <c r="TBS77" s="684"/>
      <c r="TBT77" s="684"/>
      <c r="TBU77" s="684"/>
      <c r="TBV77" s="684"/>
      <c r="TBW77" s="684"/>
      <c r="TBX77" s="684"/>
      <c r="TBY77" s="684"/>
      <c r="TBZ77" s="684"/>
      <c r="TCA77" s="684"/>
      <c r="TCB77" s="684"/>
      <c r="TCC77" s="684"/>
      <c r="TCD77" s="684"/>
      <c r="TCE77" s="684"/>
      <c r="TCF77" s="684"/>
      <c r="TCG77" s="684"/>
      <c r="TCH77" s="684"/>
      <c r="TCI77" s="684"/>
      <c r="TCJ77" s="684"/>
      <c r="TCK77" s="684"/>
      <c r="TCL77" s="684"/>
      <c r="TCM77" s="684"/>
      <c r="TCN77" s="684"/>
      <c r="TCO77" s="684"/>
      <c r="TCP77" s="684"/>
      <c r="TCQ77" s="684"/>
      <c r="TCR77" s="684"/>
      <c r="TCS77" s="684"/>
      <c r="TCT77" s="684"/>
      <c r="TCU77" s="684"/>
      <c r="TCV77" s="684"/>
      <c r="TCW77" s="684"/>
      <c r="TCX77" s="684"/>
      <c r="TCY77" s="684"/>
      <c r="TCZ77" s="684"/>
      <c r="TDA77" s="684"/>
      <c r="TDB77" s="684"/>
      <c r="TDC77" s="684"/>
      <c r="TDD77" s="684"/>
      <c r="TDE77" s="684"/>
      <c r="TDF77" s="684"/>
      <c r="TDG77" s="684"/>
      <c r="TDH77" s="684"/>
      <c r="TDI77" s="684"/>
      <c r="TDJ77" s="684"/>
      <c r="TDK77" s="684"/>
      <c r="TDL77" s="684"/>
      <c r="TDM77" s="684"/>
      <c r="TDN77" s="684"/>
      <c r="TDO77" s="684"/>
      <c r="TDP77" s="684"/>
      <c r="TDQ77" s="684"/>
      <c r="TDR77" s="684"/>
      <c r="TDS77" s="684"/>
      <c r="TDT77" s="684"/>
      <c r="TDU77" s="684"/>
      <c r="TDV77" s="684"/>
      <c r="TDW77" s="684"/>
      <c r="TDX77" s="684"/>
      <c r="TDY77" s="684"/>
      <c r="TDZ77" s="684"/>
      <c r="TEA77" s="684"/>
      <c r="TEB77" s="684"/>
      <c r="TEC77" s="684"/>
      <c r="TED77" s="684"/>
      <c r="TEE77" s="684"/>
      <c r="TEF77" s="684"/>
      <c r="TEG77" s="684"/>
      <c r="TEH77" s="684"/>
      <c r="TEI77" s="684"/>
      <c r="TEJ77" s="684"/>
      <c r="TEK77" s="684"/>
      <c r="TEL77" s="684"/>
      <c r="TEM77" s="684"/>
      <c r="TEN77" s="684"/>
      <c r="TEO77" s="684"/>
      <c r="TEP77" s="684"/>
      <c r="TEQ77" s="684"/>
      <c r="TER77" s="684"/>
      <c r="TES77" s="684"/>
      <c r="TET77" s="684"/>
      <c r="TEU77" s="684"/>
      <c r="TEV77" s="684"/>
      <c r="TEW77" s="684"/>
      <c r="TEX77" s="684"/>
      <c r="TEY77" s="684"/>
      <c r="TEZ77" s="684"/>
      <c r="TFA77" s="684"/>
      <c r="TFB77" s="684"/>
      <c r="TFC77" s="684"/>
      <c r="TFD77" s="684"/>
      <c r="TFE77" s="684"/>
      <c r="TFF77" s="684"/>
      <c r="TFG77" s="684"/>
      <c r="TFH77" s="684"/>
      <c r="TFI77" s="684"/>
      <c r="TFJ77" s="684"/>
      <c r="TFK77" s="684"/>
      <c r="TFL77" s="684"/>
      <c r="TFM77" s="684"/>
      <c r="TFN77" s="684"/>
      <c r="TFO77" s="684"/>
      <c r="TFP77" s="684"/>
      <c r="TFQ77" s="684"/>
      <c r="TFR77" s="684"/>
      <c r="TFS77" s="684"/>
      <c r="TFT77" s="684"/>
      <c r="TFU77" s="684"/>
      <c r="TFV77" s="684"/>
      <c r="TFW77" s="684"/>
      <c r="TFX77" s="684"/>
      <c r="TFY77" s="684"/>
      <c r="TFZ77" s="684"/>
      <c r="TGA77" s="684"/>
      <c r="TGB77" s="684"/>
      <c r="TGC77" s="684"/>
      <c r="TGD77" s="684"/>
      <c r="TGE77" s="684"/>
      <c r="TGF77" s="684"/>
      <c r="TGG77" s="684"/>
      <c r="TGH77" s="684"/>
      <c r="TGI77" s="684"/>
      <c r="TGJ77" s="684"/>
      <c r="TGK77" s="684"/>
      <c r="TGL77" s="684"/>
      <c r="TGM77" s="684"/>
      <c r="TGN77" s="684"/>
      <c r="TGO77" s="684"/>
      <c r="TGP77" s="684"/>
      <c r="TGQ77" s="684"/>
      <c r="TGR77" s="684"/>
      <c r="TGS77" s="684"/>
      <c r="TGT77" s="684"/>
      <c r="TGU77" s="684"/>
      <c r="TGV77" s="684"/>
      <c r="TGW77" s="684"/>
      <c r="TGX77" s="684"/>
      <c r="TGY77" s="684"/>
      <c r="TGZ77" s="684"/>
      <c r="THA77" s="684"/>
      <c r="THB77" s="684"/>
      <c r="THC77" s="684"/>
      <c r="THD77" s="684"/>
      <c r="THE77" s="684"/>
      <c r="THF77" s="684"/>
      <c r="THG77" s="684"/>
      <c r="THH77" s="684"/>
      <c r="THI77" s="684"/>
      <c r="THJ77" s="684"/>
      <c r="THK77" s="684"/>
      <c r="THL77" s="684"/>
      <c r="THM77" s="684"/>
      <c r="THN77" s="684"/>
      <c r="THO77" s="684"/>
      <c r="THP77" s="684"/>
      <c r="THQ77" s="684"/>
      <c r="THR77" s="684"/>
      <c r="THS77" s="684"/>
      <c r="THT77" s="684"/>
      <c r="THU77" s="684"/>
      <c r="THV77" s="684"/>
      <c r="THW77" s="684"/>
      <c r="THX77" s="684"/>
      <c r="THY77" s="684"/>
      <c r="THZ77" s="684"/>
      <c r="TIA77" s="684"/>
      <c r="TIB77" s="684"/>
      <c r="TIC77" s="684"/>
      <c r="TID77" s="684"/>
      <c r="TIE77" s="684"/>
      <c r="TIF77" s="684"/>
      <c r="TIG77" s="684"/>
      <c r="TIH77" s="684"/>
      <c r="TII77" s="684"/>
      <c r="TIJ77" s="684"/>
      <c r="TIK77" s="684"/>
      <c r="TIL77" s="684"/>
      <c r="TIM77" s="684"/>
      <c r="TIN77" s="684"/>
      <c r="TIO77" s="684"/>
      <c r="TIP77" s="684"/>
      <c r="TIQ77" s="684"/>
      <c r="TIR77" s="684"/>
      <c r="TIS77" s="684"/>
      <c r="TIT77" s="684"/>
      <c r="TIU77" s="684"/>
      <c r="TIV77" s="684"/>
      <c r="TIW77" s="684"/>
      <c r="TIX77" s="684"/>
      <c r="TIY77" s="684"/>
      <c r="TIZ77" s="684"/>
      <c r="TJA77" s="684"/>
      <c r="TJB77" s="684"/>
      <c r="TJC77" s="684"/>
      <c r="TJD77" s="684"/>
      <c r="TJE77" s="684"/>
      <c r="TJF77" s="684"/>
      <c r="TJG77" s="684"/>
      <c r="TJH77" s="684"/>
      <c r="TJI77" s="684"/>
      <c r="TJJ77" s="684"/>
      <c r="TJK77" s="684"/>
      <c r="TJL77" s="684"/>
      <c r="TJM77" s="684"/>
      <c r="TJN77" s="684"/>
      <c r="TJO77" s="684"/>
      <c r="TJP77" s="684"/>
      <c r="TJQ77" s="684"/>
      <c r="TJR77" s="684"/>
      <c r="TJS77" s="684"/>
      <c r="TJT77" s="684"/>
      <c r="TJU77" s="684"/>
      <c r="TJV77" s="684"/>
      <c r="TJW77" s="684"/>
      <c r="TJX77" s="684"/>
      <c r="TJY77" s="684"/>
      <c r="TJZ77" s="684"/>
      <c r="TKA77" s="684"/>
      <c r="TKB77" s="684"/>
      <c r="TKC77" s="684"/>
      <c r="TKD77" s="684"/>
      <c r="TKE77" s="684"/>
      <c r="TKF77" s="684"/>
      <c r="TKG77" s="684"/>
      <c r="TKH77" s="684"/>
      <c r="TKI77" s="684"/>
      <c r="TKJ77" s="684"/>
      <c r="TKK77" s="684"/>
      <c r="TKL77" s="684"/>
      <c r="TKM77" s="684"/>
      <c r="TKN77" s="684"/>
      <c r="TKO77" s="684"/>
      <c r="TKP77" s="684"/>
      <c r="TKQ77" s="684"/>
      <c r="TKR77" s="684"/>
      <c r="TKS77" s="684"/>
      <c r="TKT77" s="684"/>
      <c r="TKU77" s="684"/>
      <c r="TKV77" s="684"/>
      <c r="TKW77" s="684"/>
      <c r="TKX77" s="684"/>
      <c r="TKY77" s="684"/>
      <c r="TKZ77" s="684"/>
      <c r="TLA77" s="684"/>
      <c r="TLB77" s="684"/>
      <c r="TLC77" s="684"/>
      <c r="TLD77" s="684"/>
      <c r="TLE77" s="684"/>
      <c r="TLF77" s="684"/>
      <c r="TLG77" s="684"/>
      <c r="TLH77" s="684"/>
      <c r="TLI77" s="684"/>
      <c r="TLJ77" s="684"/>
      <c r="TLK77" s="684"/>
      <c r="TLL77" s="684"/>
      <c r="TLM77" s="684"/>
      <c r="TLN77" s="684"/>
      <c r="TLO77" s="684"/>
      <c r="TLP77" s="684"/>
      <c r="TLQ77" s="684"/>
      <c r="TLR77" s="684"/>
      <c r="TLS77" s="684"/>
      <c r="TLT77" s="684"/>
      <c r="TLU77" s="684"/>
      <c r="TLV77" s="684"/>
      <c r="TLW77" s="684"/>
      <c r="TLX77" s="684"/>
      <c r="TLY77" s="684"/>
      <c r="TLZ77" s="684"/>
      <c r="TMA77" s="684"/>
      <c r="TMB77" s="684"/>
      <c r="TMC77" s="684"/>
      <c r="TMD77" s="684"/>
      <c r="TME77" s="684"/>
      <c r="TMF77" s="684"/>
      <c r="TMG77" s="684"/>
      <c r="TMH77" s="684"/>
      <c r="TMI77" s="684"/>
      <c r="TMJ77" s="684"/>
      <c r="TMK77" s="684"/>
      <c r="TML77" s="684"/>
      <c r="TMM77" s="684"/>
      <c r="TMN77" s="684"/>
      <c r="TMO77" s="684"/>
      <c r="TMP77" s="684"/>
      <c r="TMQ77" s="684"/>
      <c r="TMR77" s="684"/>
      <c r="TMS77" s="684"/>
      <c r="TMT77" s="684"/>
      <c r="TMU77" s="684"/>
      <c r="TMV77" s="684"/>
      <c r="TMW77" s="684"/>
      <c r="TMX77" s="684"/>
      <c r="TMY77" s="684"/>
      <c r="TMZ77" s="684"/>
      <c r="TNA77" s="684"/>
      <c r="TNB77" s="684"/>
      <c r="TNC77" s="684"/>
      <c r="TND77" s="684"/>
      <c r="TNE77" s="684"/>
      <c r="TNF77" s="684"/>
      <c r="TNG77" s="684"/>
      <c r="TNH77" s="684"/>
      <c r="TNI77" s="684"/>
      <c r="TNJ77" s="684"/>
      <c r="TNK77" s="684"/>
      <c r="TNL77" s="684"/>
      <c r="TNM77" s="684"/>
      <c r="TNN77" s="684"/>
      <c r="TNO77" s="684"/>
      <c r="TNP77" s="684"/>
      <c r="TNQ77" s="684"/>
      <c r="TNR77" s="684"/>
      <c r="TNS77" s="684"/>
      <c r="TNT77" s="684"/>
      <c r="TNU77" s="684"/>
      <c r="TNV77" s="684"/>
      <c r="TNW77" s="684"/>
      <c r="TNX77" s="684"/>
      <c r="TNY77" s="684"/>
      <c r="TNZ77" s="684"/>
      <c r="TOA77" s="684"/>
      <c r="TOB77" s="684"/>
      <c r="TOC77" s="684"/>
      <c r="TOD77" s="684"/>
      <c r="TOE77" s="684"/>
      <c r="TOF77" s="684"/>
      <c r="TOG77" s="684"/>
      <c r="TOH77" s="684"/>
      <c r="TOI77" s="684"/>
      <c r="TOJ77" s="684"/>
      <c r="TOK77" s="684"/>
      <c r="TOL77" s="684"/>
      <c r="TOM77" s="684"/>
      <c r="TON77" s="684"/>
      <c r="TOO77" s="684"/>
      <c r="TOP77" s="684"/>
      <c r="TOQ77" s="684"/>
      <c r="TOR77" s="684"/>
      <c r="TOS77" s="684"/>
      <c r="TOT77" s="684"/>
      <c r="TOU77" s="684"/>
      <c r="TOV77" s="684"/>
      <c r="TOW77" s="684"/>
      <c r="TOX77" s="684"/>
      <c r="TOY77" s="684"/>
      <c r="TOZ77" s="684"/>
      <c r="TPA77" s="684"/>
      <c r="TPB77" s="684"/>
      <c r="TPC77" s="684"/>
      <c r="TPD77" s="684"/>
      <c r="TPE77" s="684"/>
      <c r="TPF77" s="684"/>
      <c r="TPG77" s="684"/>
      <c r="TPH77" s="684"/>
      <c r="TPI77" s="684"/>
      <c r="TPJ77" s="684"/>
      <c r="TPK77" s="684"/>
      <c r="TPL77" s="684"/>
      <c r="TPM77" s="684"/>
      <c r="TPN77" s="684"/>
      <c r="TPO77" s="684"/>
      <c r="TPP77" s="684"/>
      <c r="TPQ77" s="684"/>
      <c r="TPR77" s="684"/>
      <c r="TPS77" s="684"/>
      <c r="TPT77" s="684"/>
      <c r="TPU77" s="684"/>
      <c r="TPV77" s="684"/>
      <c r="TPW77" s="684"/>
      <c r="TPX77" s="684"/>
      <c r="TPY77" s="684"/>
      <c r="TPZ77" s="684"/>
      <c r="TQA77" s="684"/>
      <c r="TQB77" s="684"/>
      <c r="TQC77" s="684"/>
      <c r="TQD77" s="684"/>
      <c r="TQE77" s="684"/>
      <c r="TQF77" s="684"/>
      <c r="TQG77" s="684"/>
      <c r="TQH77" s="684"/>
      <c r="TQI77" s="684"/>
      <c r="TQJ77" s="684"/>
      <c r="TQK77" s="684"/>
      <c r="TQL77" s="684"/>
      <c r="TQM77" s="684"/>
      <c r="TQN77" s="684"/>
      <c r="TQO77" s="684"/>
      <c r="TQP77" s="684"/>
      <c r="TQQ77" s="684"/>
      <c r="TQR77" s="684"/>
      <c r="TQS77" s="684"/>
      <c r="TQT77" s="684"/>
      <c r="TQU77" s="684"/>
      <c r="TQV77" s="684"/>
      <c r="TQW77" s="684"/>
      <c r="TQX77" s="684"/>
      <c r="TQY77" s="684"/>
      <c r="TQZ77" s="684"/>
      <c r="TRA77" s="684"/>
      <c r="TRB77" s="684"/>
      <c r="TRC77" s="684"/>
      <c r="TRD77" s="684"/>
      <c r="TRE77" s="684"/>
      <c r="TRF77" s="684"/>
      <c r="TRG77" s="684"/>
      <c r="TRH77" s="684"/>
      <c r="TRI77" s="684"/>
      <c r="TRJ77" s="684"/>
      <c r="TRK77" s="684"/>
      <c r="TRL77" s="684"/>
      <c r="TRM77" s="684"/>
      <c r="TRN77" s="684"/>
      <c r="TRO77" s="684"/>
      <c r="TRP77" s="684"/>
      <c r="TRQ77" s="684"/>
      <c r="TRR77" s="684"/>
      <c r="TRS77" s="684"/>
      <c r="TRT77" s="684"/>
      <c r="TRU77" s="684"/>
      <c r="TRV77" s="684"/>
      <c r="TRW77" s="684"/>
      <c r="TRX77" s="684"/>
      <c r="TRY77" s="684"/>
      <c r="TRZ77" s="684"/>
      <c r="TSA77" s="684"/>
      <c r="TSB77" s="684"/>
      <c r="TSC77" s="684"/>
      <c r="TSD77" s="684"/>
      <c r="TSE77" s="684"/>
      <c r="TSF77" s="684"/>
      <c r="TSG77" s="684"/>
      <c r="TSH77" s="684"/>
      <c r="TSI77" s="684"/>
      <c r="TSJ77" s="684"/>
      <c r="TSK77" s="684"/>
      <c r="TSL77" s="684"/>
      <c r="TSM77" s="684"/>
      <c r="TSN77" s="684"/>
      <c r="TSO77" s="684"/>
      <c r="TSP77" s="684"/>
      <c r="TSQ77" s="684"/>
      <c r="TSR77" s="684"/>
      <c r="TSS77" s="684"/>
      <c r="TST77" s="684"/>
      <c r="TSU77" s="684"/>
      <c r="TSV77" s="684"/>
      <c r="TSW77" s="684"/>
      <c r="TSX77" s="684"/>
      <c r="TSY77" s="684"/>
      <c r="TSZ77" s="684"/>
      <c r="TTA77" s="684"/>
      <c r="TTB77" s="684"/>
      <c r="TTC77" s="684"/>
      <c r="TTD77" s="684"/>
      <c r="TTE77" s="684"/>
      <c r="TTF77" s="684"/>
      <c r="TTG77" s="684"/>
      <c r="TTH77" s="684"/>
      <c r="TTI77" s="684"/>
      <c r="TTJ77" s="684"/>
      <c r="TTK77" s="684"/>
      <c r="TTL77" s="684"/>
      <c r="TTM77" s="684"/>
      <c r="TTN77" s="684"/>
      <c r="TTO77" s="684"/>
      <c r="TTP77" s="684"/>
      <c r="TTQ77" s="684"/>
      <c r="TTR77" s="684"/>
      <c r="TTS77" s="684"/>
      <c r="TTT77" s="684"/>
      <c r="TTU77" s="684"/>
      <c r="TTV77" s="684"/>
      <c r="TTW77" s="684"/>
      <c r="TTX77" s="684"/>
      <c r="TTY77" s="684"/>
      <c r="TTZ77" s="684"/>
      <c r="TUA77" s="684"/>
      <c r="TUB77" s="684"/>
      <c r="TUC77" s="684"/>
      <c r="TUD77" s="684"/>
      <c r="TUE77" s="684"/>
      <c r="TUF77" s="684"/>
      <c r="TUG77" s="684"/>
      <c r="TUH77" s="684"/>
      <c r="TUI77" s="684"/>
      <c r="TUJ77" s="684"/>
      <c r="TUK77" s="684"/>
      <c r="TUL77" s="684"/>
      <c r="TUM77" s="684"/>
      <c r="TUN77" s="684"/>
      <c r="TUO77" s="684"/>
      <c r="TUP77" s="684"/>
      <c r="TUQ77" s="684"/>
      <c r="TUR77" s="684"/>
      <c r="TUS77" s="684"/>
      <c r="TUT77" s="684"/>
      <c r="TUU77" s="684"/>
      <c r="TUV77" s="684"/>
      <c r="TUW77" s="684"/>
      <c r="TUX77" s="684"/>
      <c r="TUY77" s="684"/>
      <c r="TUZ77" s="684"/>
      <c r="TVA77" s="684"/>
      <c r="TVB77" s="684"/>
      <c r="TVC77" s="684"/>
      <c r="TVD77" s="684"/>
      <c r="TVE77" s="684"/>
      <c r="TVF77" s="684"/>
      <c r="TVG77" s="684"/>
      <c r="TVH77" s="684"/>
      <c r="TVI77" s="684"/>
      <c r="TVJ77" s="684"/>
      <c r="TVK77" s="684"/>
      <c r="TVL77" s="684"/>
      <c r="TVM77" s="684"/>
      <c r="TVN77" s="684"/>
      <c r="TVO77" s="684"/>
      <c r="TVP77" s="684"/>
      <c r="TVQ77" s="684"/>
      <c r="TVR77" s="684"/>
      <c r="TVS77" s="684"/>
      <c r="TVT77" s="684"/>
      <c r="TVU77" s="684"/>
      <c r="TVV77" s="684"/>
      <c r="TVW77" s="684"/>
      <c r="TVX77" s="684"/>
      <c r="TVY77" s="684"/>
      <c r="TVZ77" s="684"/>
      <c r="TWA77" s="684"/>
      <c r="TWB77" s="684"/>
      <c r="TWC77" s="684"/>
      <c r="TWD77" s="684"/>
      <c r="TWE77" s="684"/>
      <c r="TWF77" s="684"/>
      <c r="TWG77" s="684"/>
      <c r="TWH77" s="684"/>
      <c r="TWI77" s="684"/>
      <c r="TWJ77" s="684"/>
      <c r="TWK77" s="684"/>
      <c r="TWL77" s="684"/>
      <c r="TWM77" s="684"/>
      <c r="TWN77" s="684"/>
      <c r="TWO77" s="684"/>
      <c r="TWP77" s="684"/>
      <c r="TWQ77" s="684"/>
      <c r="TWR77" s="684"/>
      <c r="TWS77" s="684"/>
      <c r="TWT77" s="684"/>
      <c r="TWU77" s="684"/>
      <c r="TWV77" s="684"/>
      <c r="TWW77" s="684"/>
      <c r="TWX77" s="684"/>
      <c r="TWY77" s="684"/>
      <c r="TWZ77" s="684"/>
      <c r="TXA77" s="684"/>
      <c r="TXB77" s="684"/>
      <c r="TXC77" s="684"/>
      <c r="TXD77" s="684"/>
      <c r="TXE77" s="684"/>
      <c r="TXF77" s="684"/>
      <c r="TXG77" s="684"/>
      <c r="TXH77" s="684"/>
      <c r="TXI77" s="684"/>
      <c r="TXJ77" s="684"/>
      <c r="TXK77" s="684"/>
      <c r="TXL77" s="684"/>
      <c r="TXM77" s="684"/>
      <c r="TXN77" s="684"/>
      <c r="TXO77" s="684"/>
      <c r="TXP77" s="684"/>
      <c r="TXQ77" s="684"/>
      <c r="TXR77" s="684"/>
      <c r="TXS77" s="684"/>
      <c r="TXT77" s="684"/>
      <c r="TXU77" s="684"/>
      <c r="TXV77" s="684"/>
      <c r="TXW77" s="684"/>
      <c r="TXX77" s="684"/>
      <c r="TXY77" s="684"/>
      <c r="TXZ77" s="684"/>
      <c r="TYA77" s="684"/>
      <c r="TYB77" s="684"/>
      <c r="TYC77" s="684"/>
      <c r="TYD77" s="684"/>
      <c r="TYE77" s="684"/>
      <c r="TYF77" s="684"/>
      <c r="TYG77" s="684"/>
      <c r="TYH77" s="684"/>
      <c r="TYI77" s="684"/>
      <c r="TYJ77" s="684"/>
      <c r="TYK77" s="684"/>
      <c r="TYL77" s="684"/>
      <c r="TYM77" s="684"/>
      <c r="TYN77" s="684"/>
      <c r="TYO77" s="684"/>
      <c r="TYP77" s="684"/>
      <c r="TYQ77" s="684"/>
      <c r="TYR77" s="684"/>
      <c r="TYS77" s="684"/>
      <c r="TYT77" s="684"/>
      <c r="TYU77" s="684"/>
      <c r="TYV77" s="684"/>
      <c r="TYW77" s="684"/>
      <c r="TYX77" s="684"/>
      <c r="TYY77" s="684"/>
      <c r="TYZ77" s="684"/>
      <c r="TZA77" s="684"/>
      <c r="TZB77" s="684"/>
      <c r="TZC77" s="684"/>
      <c r="TZD77" s="684"/>
      <c r="TZE77" s="684"/>
      <c r="TZF77" s="684"/>
      <c r="TZG77" s="684"/>
      <c r="TZH77" s="684"/>
      <c r="TZI77" s="684"/>
      <c r="TZJ77" s="684"/>
      <c r="TZK77" s="684"/>
      <c r="TZL77" s="684"/>
      <c r="TZM77" s="684"/>
      <c r="TZN77" s="684"/>
      <c r="TZO77" s="684"/>
      <c r="TZP77" s="684"/>
      <c r="TZQ77" s="684"/>
      <c r="TZR77" s="684"/>
      <c r="TZS77" s="684"/>
      <c r="TZT77" s="684"/>
      <c r="TZU77" s="684"/>
      <c r="TZV77" s="684"/>
      <c r="TZW77" s="684"/>
      <c r="TZX77" s="684"/>
      <c r="TZY77" s="684"/>
      <c r="TZZ77" s="684"/>
      <c r="UAA77" s="684"/>
      <c r="UAB77" s="684"/>
      <c r="UAC77" s="684"/>
      <c r="UAD77" s="684"/>
      <c r="UAE77" s="684"/>
      <c r="UAF77" s="684"/>
      <c r="UAG77" s="684"/>
      <c r="UAH77" s="684"/>
      <c r="UAI77" s="684"/>
      <c r="UAJ77" s="684"/>
      <c r="UAK77" s="684"/>
      <c r="UAL77" s="684"/>
      <c r="UAM77" s="684"/>
      <c r="UAN77" s="684"/>
      <c r="UAO77" s="684"/>
      <c r="UAP77" s="684"/>
      <c r="UAQ77" s="684"/>
      <c r="UAR77" s="684"/>
      <c r="UAS77" s="684"/>
      <c r="UAT77" s="684"/>
      <c r="UAU77" s="684"/>
      <c r="UAV77" s="684"/>
      <c r="UAW77" s="684"/>
      <c r="UAX77" s="684"/>
      <c r="UAY77" s="684"/>
      <c r="UAZ77" s="684"/>
      <c r="UBA77" s="684"/>
      <c r="UBB77" s="684"/>
      <c r="UBC77" s="684"/>
      <c r="UBD77" s="684"/>
      <c r="UBE77" s="684"/>
      <c r="UBF77" s="684"/>
      <c r="UBG77" s="684"/>
      <c r="UBH77" s="684"/>
      <c r="UBI77" s="684"/>
      <c r="UBJ77" s="684"/>
      <c r="UBK77" s="684"/>
      <c r="UBL77" s="684"/>
      <c r="UBM77" s="684"/>
      <c r="UBN77" s="684"/>
      <c r="UBO77" s="684"/>
      <c r="UBP77" s="684"/>
      <c r="UBQ77" s="684"/>
      <c r="UBR77" s="684"/>
      <c r="UBS77" s="684"/>
      <c r="UBT77" s="684"/>
      <c r="UBU77" s="684"/>
      <c r="UBV77" s="684"/>
      <c r="UBW77" s="684"/>
      <c r="UBX77" s="684"/>
      <c r="UBY77" s="684"/>
      <c r="UBZ77" s="684"/>
      <c r="UCA77" s="684"/>
      <c r="UCB77" s="684"/>
      <c r="UCC77" s="684"/>
      <c r="UCD77" s="684"/>
      <c r="UCE77" s="684"/>
      <c r="UCF77" s="684"/>
      <c r="UCG77" s="684"/>
      <c r="UCH77" s="684"/>
      <c r="UCI77" s="684"/>
      <c r="UCJ77" s="684"/>
      <c r="UCK77" s="684"/>
      <c r="UCL77" s="684"/>
      <c r="UCM77" s="684"/>
      <c r="UCN77" s="684"/>
      <c r="UCO77" s="684"/>
      <c r="UCP77" s="684"/>
      <c r="UCQ77" s="684"/>
      <c r="UCR77" s="684"/>
      <c r="UCS77" s="684"/>
      <c r="UCT77" s="684"/>
      <c r="UCU77" s="684"/>
      <c r="UCV77" s="684"/>
      <c r="UCW77" s="684"/>
      <c r="UCX77" s="684"/>
      <c r="UCY77" s="684"/>
      <c r="UCZ77" s="684"/>
      <c r="UDA77" s="684"/>
      <c r="UDB77" s="684"/>
      <c r="UDC77" s="684"/>
      <c r="UDD77" s="684"/>
      <c r="UDE77" s="684"/>
      <c r="UDF77" s="684"/>
      <c r="UDG77" s="684"/>
      <c r="UDH77" s="684"/>
      <c r="UDI77" s="684"/>
      <c r="UDJ77" s="684"/>
      <c r="UDK77" s="684"/>
      <c r="UDL77" s="684"/>
      <c r="UDM77" s="684"/>
      <c r="UDN77" s="684"/>
      <c r="UDO77" s="684"/>
      <c r="UDP77" s="684"/>
      <c r="UDQ77" s="684"/>
      <c r="UDR77" s="684"/>
      <c r="UDS77" s="684"/>
      <c r="UDT77" s="684"/>
      <c r="UDU77" s="684"/>
      <c r="UDV77" s="684"/>
      <c r="UDW77" s="684"/>
      <c r="UDX77" s="684"/>
      <c r="UDY77" s="684"/>
      <c r="UDZ77" s="684"/>
      <c r="UEA77" s="684"/>
      <c r="UEB77" s="684"/>
      <c r="UEC77" s="684"/>
      <c r="UED77" s="684"/>
      <c r="UEE77" s="684"/>
      <c r="UEF77" s="684"/>
      <c r="UEG77" s="684"/>
      <c r="UEH77" s="684"/>
      <c r="UEI77" s="684"/>
      <c r="UEJ77" s="684"/>
      <c r="UEK77" s="684"/>
      <c r="UEL77" s="684"/>
      <c r="UEM77" s="684"/>
      <c r="UEN77" s="684"/>
      <c r="UEO77" s="684"/>
      <c r="UEP77" s="684"/>
      <c r="UEQ77" s="684"/>
      <c r="UER77" s="684"/>
      <c r="UES77" s="684"/>
      <c r="UET77" s="684"/>
      <c r="UEU77" s="684"/>
      <c r="UEV77" s="684"/>
      <c r="UEW77" s="684"/>
      <c r="UEX77" s="684"/>
      <c r="UEY77" s="684"/>
      <c r="UEZ77" s="684"/>
      <c r="UFA77" s="684"/>
      <c r="UFB77" s="684"/>
      <c r="UFC77" s="684"/>
      <c r="UFD77" s="684"/>
      <c r="UFE77" s="684"/>
      <c r="UFF77" s="684"/>
      <c r="UFG77" s="684"/>
      <c r="UFH77" s="684"/>
      <c r="UFI77" s="684"/>
      <c r="UFJ77" s="684"/>
      <c r="UFK77" s="684"/>
      <c r="UFL77" s="684"/>
      <c r="UFM77" s="684"/>
      <c r="UFN77" s="684"/>
      <c r="UFO77" s="684"/>
      <c r="UFP77" s="684"/>
      <c r="UFQ77" s="684"/>
      <c r="UFR77" s="684"/>
      <c r="UFS77" s="684"/>
      <c r="UFT77" s="684"/>
      <c r="UFU77" s="684"/>
      <c r="UFV77" s="684"/>
      <c r="UFW77" s="684"/>
      <c r="UFX77" s="684"/>
      <c r="UFY77" s="684"/>
      <c r="UFZ77" s="684"/>
      <c r="UGA77" s="684"/>
      <c r="UGB77" s="684"/>
      <c r="UGC77" s="684"/>
      <c r="UGD77" s="684"/>
      <c r="UGE77" s="684"/>
      <c r="UGF77" s="684"/>
      <c r="UGG77" s="684"/>
      <c r="UGH77" s="684"/>
      <c r="UGI77" s="684"/>
      <c r="UGJ77" s="684"/>
      <c r="UGK77" s="684"/>
      <c r="UGL77" s="684"/>
      <c r="UGM77" s="684"/>
      <c r="UGN77" s="684"/>
      <c r="UGO77" s="684"/>
      <c r="UGP77" s="684"/>
      <c r="UGQ77" s="684"/>
      <c r="UGR77" s="684"/>
      <c r="UGS77" s="684"/>
      <c r="UGT77" s="684"/>
      <c r="UGU77" s="684"/>
      <c r="UGV77" s="684"/>
      <c r="UGW77" s="684"/>
      <c r="UGX77" s="684"/>
      <c r="UGY77" s="684"/>
      <c r="UGZ77" s="684"/>
      <c r="UHA77" s="684"/>
      <c r="UHB77" s="684"/>
      <c r="UHC77" s="684"/>
      <c r="UHD77" s="684"/>
      <c r="UHE77" s="684"/>
      <c r="UHF77" s="684"/>
      <c r="UHG77" s="684"/>
      <c r="UHH77" s="684"/>
      <c r="UHI77" s="684"/>
      <c r="UHJ77" s="684"/>
      <c r="UHK77" s="684"/>
      <c r="UHL77" s="684"/>
      <c r="UHM77" s="684"/>
      <c r="UHN77" s="684"/>
      <c r="UHO77" s="684"/>
      <c r="UHP77" s="684"/>
      <c r="UHQ77" s="684"/>
      <c r="UHR77" s="684"/>
      <c r="UHS77" s="684"/>
      <c r="UHT77" s="684"/>
      <c r="UHU77" s="684"/>
      <c r="UHV77" s="684"/>
      <c r="UHW77" s="684"/>
      <c r="UHX77" s="684"/>
      <c r="UHY77" s="684"/>
      <c r="UHZ77" s="684"/>
      <c r="UIA77" s="684"/>
      <c r="UIB77" s="684"/>
      <c r="UIC77" s="684"/>
      <c r="UID77" s="684"/>
      <c r="UIE77" s="684"/>
      <c r="UIF77" s="684"/>
      <c r="UIG77" s="684"/>
      <c r="UIH77" s="684"/>
      <c r="UII77" s="684"/>
      <c r="UIJ77" s="684"/>
      <c r="UIK77" s="684"/>
      <c r="UIL77" s="684"/>
      <c r="UIM77" s="684"/>
      <c r="UIN77" s="684"/>
      <c r="UIO77" s="684"/>
      <c r="UIP77" s="684"/>
      <c r="UIQ77" s="684"/>
      <c r="UIR77" s="684"/>
      <c r="UIS77" s="684"/>
      <c r="UIT77" s="684"/>
      <c r="UIU77" s="684"/>
      <c r="UIV77" s="684"/>
      <c r="UIW77" s="684"/>
      <c r="UIX77" s="684"/>
      <c r="UIY77" s="684"/>
      <c r="UIZ77" s="684"/>
      <c r="UJA77" s="684"/>
      <c r="UJB77" s="684"/>
      <c r="UJC77" s="684"/>
      <c r="UJD77" s="684"/>
      <c r="UJE77" s="684"/>
      <c r="UJF77" s="684"/>
      <c r="UJG77" s="684"/>
      <c r="UJH77" s="684"/>
      <c r="UJI77" s="684"/>
      <c r="UJJ77" s="684"/>
      <c r="UJK77" s="684"/>
      <c r="UJL77" s="684"/>
      <c r="UJM77" s="684"/>
      <c r="UJN77" s="684"/>
      <c r="UJO77" s="684"/>
      <c r="UJP77" s="684"/>
      <c r="UJQ77" s="684"/>
      <c r="UJR77" s="684"/>
      <c r="UJS77" s="684"/>
      <c r="UJT77" s="684"/>
      <c r="UJU77" s="684"/>
      <c r="UJV77" s="684"/>
      <c r="UJW77" s="684"/>
      <c r="UJX77" s="684"/>
      <c r="UJY77" s="684"/>
      <c r="UJZ77" s="684"/>
      <c r="UKA77" s="684"/>
      <c r="UKB77" s="684"/>
      <c r="UKC77" s="684"/>
      <c r="UKD77" s="684"/>
      <c r="UKE77" s="684"/>
      <c r="UKF77" s="684"/>
      <c r="UKG77" s="684"/>
      <c r="UKH77" s="684"/>
      <c r="UKI77" s="684"/>
      <c r="UKJ77" s="684"/>
      <c r="UKK77" s="684"/>
      <c r="UKL77" s="684"/>
      <c r="UKM77" s="684"/>
      <c r="UKN77" s="684"/>
      <c r="UKO77" s="684"/>
      <c r="UKP77" s="684"/>
      <c r="UKQ77" s="684"/>
      <c r="UKR77" s="684"/>
      <c r="UKS77" s="684"/>
      <c r="UKT77" s="684"/>
      <c r="UKU77" s="684"/>
      <c r="UKV77" s="684"/>
      <c r="UKW77" s="684"/>
      <c r="UKX77" s="684"/>
      <c r="UKY77" s="684"/>
      <c r="UKZ77" s="684"/>
      <c r="ULA77" s="684"/>
      <c r="ULB77" s="684"/>
      <c r="ULC77" s="684"/>
      <c r="ULD77" s="684"/>
      <c r="ULE77" s="684"/>
      <c r="ULF77" s="684"/>
      <c r="ULG77" s="684"/>
      <c r="ULH77" s="684"/>
      <c r="ULI77" s="684"/>
      <c r="ULJ77" s="684"/>
      <c r="ULK77" s="684"/>
      <c r="ULL77" s="684"/>
      <c r="ULM77" s="684"/>
      <c r="ULN77" s="684"/>
      <c r="ULO77" s="684"/>
      <c r="ULP77" s="684"/>
      <c r="ULQ77" s="684"/>
      <c r="ULR77" s="684"/>
      <c r="ULS77" s="684"/>
      <c r="ULT77" s="684"/>
      <c r="ULU77" s="684"/>
      <c r="ULV77" s="684"/>
      <c r="ULW77" s="684"/>
      <c r="ULX77" s="684"/>
      <c r="ULY77" s="684"/>
      <c r="ULZ77" s="684"/>
      <c r="UMA77" s="684"/>
      <c r="UMB77" s="684"/>
      <c r="UMC77" s="684"/>
      <c r="UMD77" s="684"/>
      <c r="UME77" s="684"/>
      <c r="UMF77" s="684"/>
      <c r="UMG77" s="684"/>
      <c r="UMH77" s="684"/>
      <c r="UMI77" s="684"/>
      <c r="UMJ77" s="684"/>
      <c r="UMK77" s="684"/>
      <c r="UML77" s="684"/>
      <c r="UMM77" s="684"/>
      <c r="UMN77" s="684"/>
      <c r="UMO77" s="684"/>
      <c r="UMP77" s="684"/>
      <c r="UMQ77" s="684"/>
      <c r="UMR77" s="684"/>
      <c r="UMS77" s="684"/>
      <c r="UMT77" s="684"/>
      <c r="UMU77" s="684"/>
      <c r="UMV77" s="684"/>
      <c r="UMW77" s="684"/>
      <c r="UMX77" s="684"/>
      <c r="UMY77" s="684"/>
      <c r="UMZ77" s="684"/>
      <c r="UNA77" s="684"/>
      <c r="UNB77" s="684"/>
      <c r="UNC77" s="684"/>
      <c r="UND77" s="684"/>
      <c r="UNE77" s="684"/>
      <c r="UNF77" s="684"/>
      <c r="UNG77" s="684"/>
      <c r="UNH77" s="684"/>
      <c r="UNI77" s="684"/>
      <c r="UNJ77" s="684"/>
      <c r="UNK77" s="684"/>
      <c r="UNL77" s="684"/>
      <c r="UNM77" s="684"/>
      <c r="UNN77" s="684"/>
      <c r="UNO77" s="684"/>
      <c r="UNP77" s="684"/>
      <c r="UNQ77" s="684"/>
      <c r="UNR77" s="684"/>
      <c r="UNS77" s="684"/>
      <c r="UNT77" s="684"/>
      <c r="UNU77" s="684"/>
      <c r="UNV77" s="684"/>
      <c r="UNW77" s="684"/>
      <c r="UNX77" s="684"/>
      <c r="UNY77" s="684"/>
      <c r="UNZ77" s="684"/>
      <c r="UOA77" s="684"/>
      <c r="UOB77" s="684"/>
      <c r="UOC77" s="684"/>
      <c r="UOD77" s="684"/>
      <c r="UOE77" s="684"/>
      <c r="UOF77" s="684"/>
      <c r="UOG77" s="684"/>
      <c r="UOH77" s="684"/>
      <c r="UOI77" s="684"/>
      <c r="UOJ77" s="684"/>
      <c r="UOK77" s="684"/>
      <c r="UOL77" s="684"/>
      <c r="UOM77" s="684"/>
      <c r="UON77" s="684"/>
      <c r="UOO77" s="684"/>
      <c r="UOP77" s="684"/>
      <c r="UOQ77" s="684"/>
      <c r="UOR77" s="684"/>
      <c r="UOS77" s="684"/>
      <c r="UOT77" s="684"/>
      <c r="UOU77" s="684"/>
      <c r="UOV77" s="684"/>
      <c r="UOW77" s="684"/>
      <c r="UOX77" s="684"/>
      <c r="UOY77" s="684"/>
      <c r="UOZ77" s="684"/>
      <c r="UPA77" s="684"/>
      <c r="UPB77" s="684"/>
      <c r="UPC77" s="684"/>
      <c r="UPD77" s="684"/>
      <c r="UPE77" s="684"/>
      <c r="UPF77" s="684"/>
      <c r="UPG77" s="684"/>
      <c r="UPH77" s="684"/>
      <c r="UPI77" s="684"/>
      <c r="UPJ77" s="684"/>
      <c r="UPK77" s="684"/>
      <c r="UPL77" s="684"/>
      <c r="UPM77" s="684"/>
      <c r="UPN77" s="684"/>
      <c r="UPO77" s="684"/>
      <c r="UPP77" s="684"/>
      <c r="UPQ77" s="684"/>
      <c r="UPR77" s="684"/>
      <c r="UPS77" s="684"/>
      <c r="UPT77" s="684"/>
      <c r="UPU77" s="684"/>
      <c r="UPV77" s="684"/>
      <c r="UPW77" s="684"/>
      <c r="UPX77" s="684"/>
      <c r="UPY77" s="684"/>
      <c r="UPZ77" s="684"/>
      <c r="UQA77" s="684"/>
      <c r="UQB77" s="684"/>
      <c r="UQC77" s="684"/>
      <c r="UQD77" s="684"/>
      <c r="UQE77" s="684"/>
      <c r="UQF77" s="684"/>
      <c r="UQG77" s="684"/>
      <c r="UQH77" s="684"/>
      <c r="UQI77" s="684"/>
      <c r="UQJ77" s="684"/>
      <c r="UQK77" s="684"/>
      <c r="UQL77" s="684"/>
      <c r="UQM77" s="684"/>
      <c r="UQN77" s="684"/>
      <c r="UQO77" s="684"/>
      <c r="UQP77" s="684"/>
      <c r="UQQ77" s="684"/>
      <c r="UQR77" s="684"/>
      <c r="UQS77" s="684"/>
      <c r="UQT77" s="684"/>
      <c r="UQU77" s="684"/>
      <c r="UQV77" s="684"/>
      <c r="UQW77" s="684"/>
      <c r="UQX77" s="684"/>
      <c r="UQY77" s="684"/>
      <c r="UQZ77" s="684"/>
      <c r="URA77" s="684"/>
      <c r="URB77" s="684"/>
      <c r="URC77" s="684"/>
      <c r="URD77" s="684"/>
      <c r="URE77" s="684"/>
      <c r="URF77" s="684"/>
      <c r="URG77" s="684"/>
      <c r="URH77" s="684"/>
      <c r="URI77" s="684"/>
      <c r="URJ77" s="684"/>
      <c r="URK77" s="684"/>
      <c r="URL77" s="684"/>
      <c r="URM77" s="684"/>
      <c r="URN77" s="684"/>
      <c r="URO77" s="684"/>
      <c r="URP77" s="684"/>
      <c r="URQ77" s="684"/>
      <c r="URR77" s="684"/>
      <c r="URS77" s="684"/>
      <c r="URT77" s="684"/>
      <c r="URU77" s="684"/>
      <c r="URV77" s="684"/>
      <c r="URW77" s="684"/>
      <c r="URX77" s="684"/>
      <c r="URY77" s="684"/>
      <c r="URZ77" s="684"/>
      <c r="USA77" s="684"/>
      <c r="USB77" s="684"/>
      <c r="USC77" s="684"/>
      <c r="USD77" s="684"/>
      <c r="USE77" s="684"/>
      <c r="USF77" s="684"/>
      <c r="USG77" s="684"/>
      <c r="USH77" s="684"/>
      <c r="USI77" s="684"/>
      <c r="USJ77" s="684"/>
      <c r="USK77" s="684"/>
      <c r="USL77" s="684"/>
      <c r="USM77" s="684"/>
      <c r="USN77" s="684"/>
      <c r="USO77" s="684"/>
      <c r="USP77" s="684"/>
      <c r="USQ77" s="684"/>
      <c r="USR77" s="684"/>
      <c r="USS77" s="684"/>
      <c r="UST77" s="684"/>
      <c r="USU77" s="684"/>
      <c r="USV77" s="684"/>
      <c r="USW77" s="684"/>
      <c r="USX77" s="684"/>
      <c r="USY77" s="684"/>
      <c r="USZ77" s="684"/>
      <c r="UTA77" s="684"/>
      <c r="UTB77" s="684"/>
      <c r="UTC77" s="684"/>
      <c r="UTD77" s="684"/>
      <c r="UTE77" s="684"/>
      <c r="UTF77" s="684"/>
      <c r="UTG77" s="684"/>
      <c r="UTH77" s="684"/>
      <c r="UTI77" s="684"/>
      <c r="UTJ77" s="684"/>
      <c r="UTK77" s="684"/>
      <c r="UTL77" s="684"/>
      <c r="UTM77" s="684"/>
      <c r="UTN77" s="684"/>
      <c r="UTO77" s="684"/>
      <c r="UTP77" s="684"/>
      <c r="UTQ77" s="684"/>
      <c r="UTR77" s="684"/>
      <c r="UTS77" s="684"/>
      <c r="UTT77" s="684"/>
      <c r="UTU77" s="684"/>
      <c r="UTV77" s="684"/>
      <c r="UTW77" s="684"/>
      <c r="UTX77" s="684"/>
      <c r="UTY77" s="684"/>
      <c r="UTZ77" s="684"/>
      <c r="UUA77" s="684"/>
      <c r="UUB77" s="684"/>
      <c r="UUC77" s="684"/>
      <c r="UUD77" s="684"/>
      <c r="UUE77" s="684"/>
      <c r="UUF77" s="684"/>
      <c r="UUG77" s="684"/>
      <c r="UUH77" s="684"/>
      <c r="UUI77" s="684"/>
      <c r="UUJ77" s="684"/>
      <c r="UUK77" s="684"/>
      <c r="UUL77" s="684"/>
      <c r="UUM77" s="684"/>
      <c r="UUN77" s="684"/>
      <c r="UUO77" s="684"/>
      <c r="UUP77" s="684"/>
      <c r="UUQ77" s="684"/>
      <c r="UUR77" s="684"/>
      <c r="UUS77" s="684"/>
      <c r="UUT77" s="684"/>
      <c r="UUU77" s="684"/>
      <c r="UUV77" s="684"/>
      <c r="UUW77" s="684"/>
      <c r="UUX77" s="684"/>
      <c r="UUY77" s="684"/>
      <c r="UUZ77" s="684"/>
      <c r="UVA77" s="684"/>
      <c r="UVB77" s="684"/>
      <c r="UVC77" s="684"/>
      <c r="UVD77" s="684"/>
      <c r="UVE77" s="684"/>
      <c r="UVF77" s="684"/>
      <c r="UVG77" s="684"/>
      <c r="UVH77" s="684"/>
      <c r="UVI77" s="684"/>
      <c r="UVJ77" s="684"/>
      <c r="UVK77" s="684"/>
      <c r="UVL77" s="684"/>
      <c r="UVM77" s="684"/>
      <c r="UVN77" s="684"/>
      <c r="UVO77" s="684"/>
      <c r="UVP77" s="684"/>
      <c r="UVQ77" s="684"/>
      <c r="UVR77" s="684"/>
      <c r="UVS77" s="684"/>
      <c r="UVT77" s="684"/>
      <c r="UVU77" s="684"/>
      <c r="UVV77" s="684"/>
      <c r="UVW77" s="684"/>
      <c r="UVX77" s="684"/>
      <c r="UVY77" s="684"/>
      <c r="UVZ77" s="684"/>
      <c r="UWA77" s="684"/>
      <c r="UWB77" s="684"/>
      <c r="UWC77" s="684"/>
      <c r="UWD77" s="684"/>
      <c r="UWE77" s="684"/>
      <c r="UWF77" s="684"/>
      <c r="UWG77" s="684"/>
      <c r="UWH77" s="684"/>
      <c r="UWI77" s="684"/>
      <c r="UWJ77" s="684"/>
      <c r="UWK77" s="684"/>
      <c r="UWL77" s="684"/>
      <c r="UWM77" s="684"/>
      <c r="UWN77" s="684"/>
      <c r="UWO77" s="684"/>
      <c r="UWP77" s="684"/>
      <c r="UWQ77" s="684"/>
      <c r="UWR77" s="684"/>
      <c r="UWS77" s="684"/>
      <c r="UWT77" s="684"/>
      <c r="UWU77" s="684"/>
      <c r="UWV77" s="684"/>
      <c r="UWW77" s="684"/>
      <c r="UWX77" s="684"/>
      <c r="UWY77" s="684"/>
      <c r="UWZ77" s="684"/>
      <c r="UXA77" s="684"/>
      <c r="UXB77" s="684"/>
      <c r="UXC77" s="684"/>
      <c r="UXD77" s="684"/>
      <c r="UXE77" s="684"/>
      <c r="UXF77" s="684"/>
      <c r="UXG77" s="684"/>
      <c r="UXH77" s="684"/>
      <c r="UXI77" s="684"/>
      <c r="UXJ77" s="684"/>
      <c r="UXK77" s="684"/>
      <c r="UXL77" s="684"/>
      <c r="UXM77" s="684"/>
      <c r="UXN77" s="684"/>
      <c r="UXO77" s="684"/>
      <c r="UXP77" s="684"/>
      <c r="UXQ77" s="684"/>
      <c r="UXR77" s="684"/>
      <c r="UXS77" s="684"/>
      <c r="UXT77" s="684"/>
      <c r="UXU77" s="684"/>
      <c r="UXV77" s="684"/>
      <c r="UXW77" s="684"/>
      <c r="UXX77" s="684"/>
      <c r="UXY77" s="684"/>
      <c r="UXZ77" s="684"/>
      <c r="UYA77" s="684"/>
      <c r="UYB77" s="684"/>
      <c r="UYC77" s="684"/>
      <c r="UYD77" s="684"/>
      <c r="UYE77" s="684"/>
      <c r="UYF77" s="684"/>
      <c r="UYG77" s="684"/>
      <c r="UYH77" s="684"/>
      <c r="UYI77" s="684"/>
      <c r="UYJ77" s="684"/>
      <c r="UYK77" s="684"/>
      <c r="UYL77" s="684"/>
      <c r="UYM77" s="684"/>
      <c r="UYN77" s="684"/>
      <c r="UYO77" s="684"/>
      <c r="UYP77" s="684"/>
      <c r="UYQ77" s="684"/>
      <c r="UYR77" s="684"/>
      <c r="UYS77" s="684"/>
      <c r="UYT77" s="684"/>
      <c r="UYU77" s="684"/>
      <c r="UYV77" s="684"/>
      <c r="UYW77" s="684"/>
      <c r="UYX77" s="684"/>
      <c r="UYY77" s="684"/>
      <c r="UYZ77" s="684"/>
      <c r="UZA77" s="684"/>
      <c r="UZB77" s="684"/>
      <c r="UZC77" s="684"/>
      <c r="UZD77" s="684"/>
      <c r="UZE77" s="684"/>
      <c r="UZF77" s="684"/>
      <c r="UZG77" s="684"/>
      <c r="UZH77" s="684"/>
      <c r="UZI77" s="684"/>
      <c r="UZJ77" s="684"/>
      <c r="UZK77" s="684"/>
      <c r="UZL77" s="684"/>
      <c r="UZM77" s="684"/>
      <c r="UZN77" s="684"/>
      <c r="UZO77" s="684"/>
      <c r="UZP77" s="684"/>
      <c r="UZQ77" s="684"/>
      <c r="UZR77" s="684"/>
      <c r="UZS77" s="684"/>
      <c r="UZT77" s="684"/>
      <c r="UZU77" s="684"/>
      <c r="UZV77" s="684"/>
      <c r="UZW77" s="684"/>
      <c r="UZX77" s="684"/>
      <c r="UZY77" s="684"/>
      <c r="UZZ77" s="684"/>
      <c r="VAA77" s="684"/>
      <c r="VAB77" s="684"/>
      <c r="VAC77" s="684"/>
      <c r="VAD77" s="684"/>
      <c r="VAE77" s="684"/>
      <c r="VAF77" s="684"/>
      <c r="VAG77" s="684"/>
      <c r="VAH77" s="684"/>
      <c r="VAI77" s="684"/>
      <c r="VAJ77" s="684"/>
      <c r="VAK77" s="684"/>
      <c r="VAL77" s="684"/>
      <c r="VAM77" s="684"/>
      <c r="VAN77" s="684"/>
      <c r="VAO77" s="684"/>
      <c r="VAP77" s="684"/>
      <c r="VAQ77" s="684"/>
      <c r="VAR77" s="684"/>
      <c r="VAS77" s="684"/>
      <c r="VAT77" s="684"/>
      <c r="VAU77" s="684"/>
      <c r="VAV77" s="684"/>
      <c r="VAW77" s="684"/>
      <c r="VAX77" s="684"/>
      <c r="VAY77" s="684"/>
      <c r="VAZ77" s="684"/>
      <c r="VBA77" s="684"/>
      <c r="VBB77" s="684"/>
      <c r="VBC77" s="684"/>
      <c r="VBD77" s="684"/>
      <c r="VBE77" s="684"/>
      <c r="VBF77" s="684"/>
      <c r="VBG77" s="684"/>
      <c r="VBH77" s="684"/>
      <c r="VBI77" s="684"/>
      <c r="VBJ77" s="684"/>
      <c r="VBK77" s="684"/>
      <c r="VBL77" s="684"/>
      <c r="VBM77" s="684"/>
      <c r="VBN77" s="684"/>
      <c r="VBO77" s="684"/>
      <c r="VBP77" s="684"/>
      <c r="VBQ77" s="684"/>
      <c r="VBR77" s="684"/>
      <c r="VBS77" s="684"/>
      <c r="VBT77" s="684"/>
      <c r="VBU77" s="684"/>
      <c r="VBV77" s="684"/>
      <c r="VBW77" s="684"/>
      <c r="VBX77" s="684"/>
      <c r="VBY77" s="684"/>
      <c r="VBZ77" s="684"/>
      <c r="VCA77" s="684"/>
      <c r="VCB77" s="684"/>
      <c r="VCC77" s="684"/>
      <c r="VCD77" s="684"/>
      <c r="VCE77" s="684"/>
      <c r="VCF77" s="684"/>
      <c r="VCG77" s="684"/>
      <c r="VCH77" s="684"/>
      <c r="VCI77" s="684"/>
      <c r="VCJ77" s="684"/>
      <c r="VCK77" s="684"/>
      <c r="VCL77" s="684"/>
      <c r="VCM77" s="684"/>
      <c r="VCN77" s="684"/>
      <c r="VCO77" s="684"/>
      <c r="VCP77" s="684"/>
      <c r="VCQ77" s="684"/>
      <c r="VCR77" s="684"/>
      <c r="VCS77" s="684"/>
      <c r="VCT77" s="684"/>
      <c r="VCU77" s="684"/>
      <c r="VCV77" s="684"/>
      <c r="VCW77" s="684"/>
      <c r="VCX77" s="684"/>
      <c r="VCY77" s="684"/>
      <c r="VCZ77" s="684"/>
      <c r="VDA77" s="684"/>
      <c r="VDB77" s="684"/>
      <c r="VDC77" s="684"/>
      <c r="VDD77" s="684"/>
      <c r="VDE77" s="684"/>
      <c r="VDF77" s="684"/>
      <c r="VDG77" s="684"/>
      <c r="VDH77" s="684"/>
      <c r="VDI77" s="684"/>
      <c r="VDJ77" s="684"/>
      <c r="VDK77" s="684"/>
      <c r="VDL77" s="684"/>
      <c r="VDM77" s="684"/>
      <c r="VDN77" s="684"/>
      <c r="VDO77" s="684"/>
      <c r="VDP77" s="684"/>
      <c r="VDQ77" s="684"/>
      <c r="VDR77" s="684"/>
      <c r="VDS77" s="684"/>
      <c r="VDT77" s="684"/>
      <c r="VDU77" s="684"/>
      <c r="VDV77" s="684"/>
      <c r="VDW77" s="684"/>
      <c r="VDX77" s="684"/>
      <c r="VDY77" s="684"/>
      <c r="VDZ77" s="684"/>
      <c r="VEA77" s="684"/>
      <c r="VEB77" s="684"/>
      <c r="VEC77" s="684"/>
      <c r="VED77" s="684"/>
      <c r="VEE77" s="684"/>
      <c r="VEF77" s="684"/>
      <c r="VEG77" s="684"/>
      <c r="VEH77" s="684"/>
      <c r="VEI77" s="684"/>
      <c r="VEJ77" s="684"/>
      <c r="VEK77" s="684"/>
      <c r="VEL77" s="684"/>
      <c r="VEM77" s="684"/>
      <c r="VEN77" s="684"/>
      <c r="VEO77" s="684"/>
      <c r="VEP77" s="684"/>
      <c r="VEQ77" s="684"/>
      <c r="VER77" s="684"/>
      <c r="VES77" s="684"/>
      <c r="VET77" s="684"/>
      <c r="VEU77" s="684"/>
      <c r="VEV77" s="684"/>
      <c r="VEW77" s="684"/>
      <c r="VEX77" s="684"/>
      <c r="VEY77" s="684"/>
      <c r="VEZ77" s="684"/>
      <c r="VFA77" s="684"/>
      <c r="VFB77" s="684"/>
      <c r="VFC77" s="684"/>
      <c r="VFD77" s="684"/>
      <c r="VFE77" s="684"/>
      <c r="VFF77" s="684"/>
      <c r="VFG77" s="684"/>
      <c r="VFH77" s="684"/>
      <c r="VFI77" s="684"/>
      <c r="VFJ77" s="684"/>
      <c r="VFK77" s="684"/>
      <c r="VFL77" s="684"/>
      <c r="VFM77" s="684"/>
      <c r="VFN77" s="684"/>
      <c r="VFO77" s="684"/>
      <c r="VFP77" s="684"/>
      <c r="VFQ77" s="684"/>
      <c r="VFR77" s="684"/>
      <c r="VFS77" s="684"/>
      <c r="VFT77" s="684"/>
      <c r="VFU77" s="684"/>
      <c r="VFV77" s="684"/>
      <c r="VFW77" s="684"/>
      <c r="VFX77" s="684"/>
      <c r="VFY77" s="684"/>
      <c r="VFZ77" s="684"/>
      <c r="VGA77" s="684"/>
      <c r="VGB77" s="684"/>
      <c r="VGC77" s="684"/>
      <c r="VGD77" s="684"/>
      <c r="VGE77" s="684"/>
      <c r="VGF77" s="684"/>
      <c r="VGG77" s="684"/>
      <c r="VGH77" s="684"/>
      <c r="VGI77" s="684"/>
      <c r="VGJ77" s="684"/>
      <c r="VGK77" s="684"/>
      <c r="VGL77" s="684"/>
      <c r="VGM77" s="684"/>
      <c r="VGN77" s="684"/>
      <c r="VGO77" s="684"/>
      <c r="VGP77" s="684"/>
      <c r="VGQ77" s="684"/>
      <c r="VGR77" s="684"/>
      <c r="VGS77" s="684"/>
      <c r="VGT77" s="684"/>
      <c r="VGU77" s="684"/>
      <c r="VGV77" s="684"/>
      <c r="VGW77" s="684"/>
      <c r="VGX77" s="684"/>
      <c r="VGY77" s="684"/>
      <c r="VGZ77" s="684"/>
      <c r="VHA77" s="684"/>
      <c r="VHB77" s="684"/>
      <c r="VHC77" s="684"/>
      <c r="VHD77" s="684"/>
      <c r="VHE77" s="684"/>
      <c r="VHF77" s="684"/>
      <c r="VHG77" s="684"/>
      <c r="VHH77" s="684"/>
      <c r="VHI77" s="684"/>
      <c r="VHJ77" s="684"/>
      <c r="VHK77" s="684"/>
      <c r="VHL77" s="684"/>
      <c r="VHM77" s="684"/>
      <c r="VHN77" s="684"/>
      <c r="VHO77" s="684"/>
      <c r="VHP77" s="684"/>
      <c r="VHQ77" s="684"/>
      <c r="VHR77" s="684"/>
      <c r="VHS77" s="684"/>
      <c r="VHT77" s="684"/>
      <c r="VHU77" s="684"/>
      <c r="VHV77" s="684"/>
      <c r="VHW77" s="684"/>
      <c r="VHX77" s="684"/>
      <c r="VHY77" s="684"/>
      <c r="VHZ77" s="684"/>
      <c r="VIA77" s="684"/>
      <c r="VIB77" s="684"/>
      <c r="VIC77" s="684"/>
      <c r="VID77" s="684"/>
      <c r="VIE77" s="684"/>
      <c r="VIF77" s="684"/>
      <c r="VIG77" s="684"/>
      <c r="VIH77" s="684"/>
      <c r="VII77" s="684"/>
      <c r="VIJ77" s="684"/>
      <c r="VIK77" s="684"/>
      <c r="VIL77" s="684"/>
      <c r="VIM77" s="684"/>
      <c r="VIN77" s="684"/>
      <c r="VIO77" s="684"/>
      <c r="VIP77" s="684"/>
      <c r="VIQ77" s="684"/>
      <c r="VIR77" s="684"/>
      <c r="VIS77" s="684"/>
      <c r="VIT77" s="684"/>
      <c r="VIU77" s="684"/>
      <c r="VIV77" s="684"/>
      <c r="VIW77" s="684"/>
      <c r="VIX77" s="684"/>
      <c r="VIY77" s="684"/>
      <c r="VIZ77" s="684"/>
      <c r="VJA77" s="684"/>
      <c r="VJB77" s="684"/>
      <c r="VJC77" s="684"/>
      <c r="VJD77" s="684"/>
      <c r="VJE77" s="684"/>
      <c r="VJF77" s="684"/>
      <c r="VJG77" s="684"/>
      <c r="VJH77" s="684"/>
      <c r="VJI77" s="684"/>
      <c r="VJJ77" s="684"/>
      <c r="VJK77" s="684"/>
      <c r="VJL77" s="684"/>
      <c r="VJM77" s="684"/>
      <c r="VJN77" s="684"/>
      <c r="VJO77" s="684"/>
      <c r="VJP77" s="684"/>
      <c r="VJQ77" s="684"/>
      <c r="VJR77" s="684"/>
      <c r="VJS77" s="684"/>
      <c r="VJT77" s="684"/>
      <c r="VJU77" s="684"/>
      <c r="VJV77" s="684"/>
      <c r="VJW77" s="684"/>
      <c r="VJX77" s="684"/>
      <c r="VJY77" s="684"/>
      <c r="VJZ77" s="684"/>
      <c r="VKA77" s="684"/>
      <c r="VKB77" s="684"/>
      <c r="VKC77" s="684"/>
      <c r="VKD77" s="684"/>
      <c r="VKE77" s="684"/>
      <c r="VKF77" s="684"/>
      <c r="VKG77" s="684"/>
      <c r="VKH77" s="684"/>
      <c r="VKI77" s="684"/>
      <c r="VKJ77" s="684"/>
      <c r="VKK77" s="684"/>
      <c r="VKL77" s="684"/>
      <c r="VKM77" s="684"/>
      <c r="VKN77" s="684"/>
      <c r="VKO77" s="684"/>
      <c r="VKP77" s="684"/>
      <c r="VKQ77" s="684"/>
      <c r="VKR77" s="684"/>
      <c r="VKS77" s="684"/>
      <c r="VKT77" s="684"/>
      <c r="VKU77" s="684"/>
      <c r="VKV77" s="684"/>
      <c r="VKW77" s="684"/>
      <c r="VKX77" s="684"/>
      <c r="VKY77" s="684"/>
      <c r="VKZ77" s="684"/>
      <c r="VLA77" s="684"/>
      <c r="VLB77" s="684"/>
      <c r="VLC77" s="684"/>
      <c r="VLD77" s="684"/>
      <c r="VLE77" s="684"/>
      <c r="VLF77" s="684"/>
      <c r="VLG77" s="684"/>
      <c r="VLH77" s="684"/>
      <c r="VLI77" s="684"/>
      <c r="VLJ77" s="684"/>
      <c r="VLK77" s="684"/>
      <c r="VLL77" s="684"/>
      <c r="VLM77" s="684"/>
      <c r="VLN77" s="684"/>
      <c r="VLO77" s="684"/>
      <c r="VLP77" s="684"/>
      <c r="VLQ77" s="684"/>
      <c r="VLR77" s="684"/>
      <c r="VLS77" s="684"/>
      <c r="VLT77" s="684"/>
      <c r="VLU77" s="684"/>
      <c r="VLV77" s="684"/>
      <c r="VLW77" s="684"/>
      <c r="VLX77" s="684"/>
      <c r="VLY77" s="684"/>
      <c r="VLZ77" s="684"/>
      <c r="VMA77" s="684"/>
      <c r="VMB77" s="684"/>
      <c r="VMC77" s="684"/>
      <c r="VMD77" s="684"/>
      <c r="VME77" s="684"/>
      <c r="VMF77" s="684"/>
      <c r="VMG77" s="684"/>
      <c r="VMH77" s="684"/>
      <c r="VMI77" s="684"/>
      <c r="VMJ77" s="684"/>
      <c r="VMK77" s="684"/>
      <c r="VML77" s="684"/>
      <c r="VMM77" s="684"/>
      <c r="VMN77" s="684"/>
      <c r="VMO77" s="684"/>
      <c r="VMP77" s="684"/>
      <c r="VMQ77" s="684"/>
      <c r="VMR77" s="684"/>
      <c r="VMS77" s="684"/>
      <c r="VMT77" s="684"/>
      <c r="VMU77" s="684"/>
      <c r="VMV77" s="684"/>
      <c r="VMW77" s="684"/>
      <c r="VMX77" s="684"/>
      <c r="VMY77" s="684"/>
      <c r="VMZ77" s="684"/>
      <c r="VNA77" s="684"/>
      <c r="VNB77" s="684"/>
      <c r="VNC77" s="684"/>
      <c r="VND77" s="684"/>
      <c r="VNE77" s="684"/>
      <c r="VNF77" s="684"/>
      <c r="VNG77" s="684"/>
      <c r="VNH77" s="684"/>
      <c r="VNI77" s="684"/>
      <c r="VNJ77" s="684"/>
      <c r="VNK77" s="684"/>
      <c r="VNL77" s="684"/>
      <c r="VNM77" s="684"/>
      <c r="VNN77" s="684"/>
      <c r="VNO77" s="684"/>
      <c r="VNP77" s="684"/>
      <c r="VNQ77" s="684"/>
      <c r="VNR77" s="684"/>
      <c r="VNS77" s="684"/>
      <c r="VNT77" s="684"/>
      <c r="VNU77" s="684"/>
      <c r="VNV77" s="684"/>
      <c r="VNW77" s="684"/>
      <c r="VNX77" s="684"/>
      <c r="VNY77" s="684"/>
      <c r="VNZ77" s="684"/>
      <c r="VOA77" s="684"/>
      <c r="VOB77" s="684"/>
      <c r="VOC77" s="684"/>
      <c r="VOD77" s="684"/>
      <c r="VOE77" s="684"/>
      <c r="VOF77" s="684"/>
      <c r="VOG77" s="684"/>
      <c r="VOH77" s="684"/>
      <c r="VOI77" s="684"/>
      <c r="VOJ77" s="684"/>
      <c r="VOK77" s="684"/>
      <c r="VOL77" s="684"/>
      <c r="VOM77" s="684"/>
      <c r="VON77" s="684"/>
      <c r="VOO77" s="684"/>
      <c r="VOP77" s="684"/>
      <c r="VOQ77" s="684"/>
      <c r="VOR77" s="684"/>
      <c r="VOS77" s="684"/>
      <c r="VOT77" s="684"/>
      <c r="VOU77" s="684"/>
      <c r="VOV77" s="684"/>
      <c r="VOW77" s="684"/>
      <c r="VOX77" s="684"/>
      <c r="VOY77" s="684"/>
      <c r="VOZ77" s="684"/>
      <c r="VPA77" s="684"/>
      <c r="VPB77" s="684"/>
      <c r="VPC77" s="684"/>
      <c r="VPD77" s="684"/>
      <c r="VPE77" s="684"/>
      <c r="VPF77" s="684"/>
      <c r="VPG77" s="684"/>
      <c r="VPH77" s="684"/>
      <c r="VPI77" s="684"/>
      <c r="VPJ77" s="684"/>
      <c r="VPK77" s="684"/>
      <c r="VPL77" s="684"/>
      <c r="VPM77" s="684"/>
      <c r="VPN77" s="684"/>
      <c r="VPO77" s="684"/>
      <c r="VPP77" s="684"/>
      <c r="VPQ77" s="684"/>
      <c r="VPR77" s="684"/>
      <c r="VPS77" s="684"/>
      <c r="VPT77" s="684"/>
      <c r="VPU77" s="684"/>
      <c r="VPV77" s="684"/>
      <c r="VPW77" s="684"/>
      <c r="VPX77" s="684"/>
      <c r="VPY77" s="684"/>
      <c r="VPZ77" s="684"/>
      <c r="VQA77" s="684"/>
      <c r="VQB77" s="684"/>
      <c r="VQC77" s="684"/>
      <c r="VQD77" s="684"/>
      <c r="VQE77" s="684"/>
      <c r="VQF77" s="684"/>
      <c r="VQG77" s="684"/>
      <c r="VQH77" s="684"/>
      <c r="VQI77" s="684"/>
      <c r="VQJ77" s="684"/>
      <c r="VQK77" s="684"/>
      <c r="VQL77" s="684"/>
      <c r="VQM77" s="684"/>
      <c r="VQN77" s="684"/>
      <c r="VQO77" s="684"/>
      <c r="VQP77" s="684"/>
      <c r="VQQ77" s="684"/>
      <c r="VQR77" s="684"/>
      <c r="VQS77" s="684"/>
      <c r="VQT77" s="684"/>
      <c r="VQU77" s="684"/>
      <c r="VQV77" s="684"/>
      <c r="VQW77" s="684"/>
      <c r="VQX77" s="684"/>
      <c r="VQY77" s="684"/>
      <c r="VQZ77" s="684"/>
      <c r="VRA77" s="684"/>
      <c r="VRB77" s="684"/>
      <c r="VRC77" s="684"/>
      <c r="VRD77" s="684"/>
      <c r="VRE77" s="684"/>
      <c r="VRF77" s="684"/>
      <c r="VRG77" s="684"/>
      <c r="VRH77" s="684"/>
      <c r="VRI77" s="684"/>
      <c r="VRJ77" s="684"/>
      <c r="VRK77" s="684"/>
      <c r="VRL77" s="684"/>
      <c r="VRM77" s="684"/>
      <c r="VRN77" s="684"/>
      <c r="VRO77" s="684"/>
      <c r="VRP77" s="684"/>
      <c r="VRQ77" s="684"/>
      <c r="VRR77" s="684"/>
      <c r="VRS77" s="684"/>
      <c r="VRT77" s="684"/>
      <c r="VRU77" s="684"/>
      <c r="VRV77" s="684"/>
      <c r="VRW77" s="684"/>
      <c r="VRX77" s="684"/>
      <c r="VRY77" s="684"/>
      <c r="VRZ77" s="684"/>
      <c r="VSA77" s="684"/>
      <c r="VSB77" s="684"/>
      <c r="VSC77" s="684"/>
      <c r="VSD77" s="684"/>
      <c r="VSE77" s="684"/>
      <c r="VSF77" s="684"/>
      <c r="VSG77" s="684"/>
      <c r="VSH77" s="684"/>
      <c r="VSI77" s="684"/>
      <c r="VSJ77" s="684"/>
      <c r="VSK77" s="684"/>
      <c r="VSL77" s="684"/>
      <c r="VSM77" s="684"/>
      <c r="VSN77" s="684"/>
      <c r="VSO77" s="684"/>
      <c r="VSP77" s="684"/>
      <c r="VSQ77" s="684"/>
      <c r="VSR77" s="684"/>
      <c r="VSS77" s="684"/>
      <c r="VST77" s="684"/>
      <c r="VSU77" s="684"/>
      <c r="VSV77" s="684"/>
      <c r="VSW77" s="684"/>
      <c r="VSX77" s="684"/>
      <c r="VSY77" s="684"/>
      <c r="VSZ77" s="684"/>
      <c r="VTA77" s="684"/>
      <c r="VTB77" s="684"/>
      <c r="VTC77" s="684"/>
      <c r="VTD77" s="684"/>
      <c r="VTE77" s="684"/>
      <c r="VTF77" s="684"/>
      <c r="VTG77" s="684"/>
      <c r="VTH77" s="684"/>
      <c r="VTI77" s="684"/>
      <c r="VTJ77" s="684"/>
      <c r="VTK77" s="684"/>
      <c r="VTL77" s="684"/>
      <c r="VTM77" s="684"/>
      <c r="VTN77" s="684"/>
      <c r="VTO77" s="684"/>
      <c r="VTP77" s="684"/>
      <c r="VTQ77" s="684"/>
      <c r="VTR77" s="684"/>
      <c r="VTS77" s="684"/>
      <c r="VTT77" s="684"/>
      <c r="VTU77" s="684"/>
      <c r="VTV77" s="684"/>
      <c r="VTW77" s="684"/>
      <c r="VTX77" s="684"/>
      <c r="VTY77" s="684"/>
      <c r="VTZ77" s="684"/>
      <c r="VUA77" s="684"/>
      <c r="VUB77" s="684"/>
      <c r="VUC77" s="684"/>
      <c r="VUD77" s="684"/>
      <c r="VUE77" s="684"/>
      <c r="VUF77" s="684"/>
      <c r="VUG77" s="684"/>
      <c r="VUH77" s="684"/>
      <c r="VUI77" s="684"/>
      <c r="VUJ77" s="684"/>
      <c r="VUK77" s="684"/>
      <c r="VUL77" s="684"/>
      <c r="VUM77" s="684"/>
      <c r="VUN77" s="684"/>
      <c r="VUO77" s="684"/>
      <c r="VUP77" s="684"/>
      <c r="VUQ77" s="684"/>
      <c r="VUR77" s="684"/>
      <c r="VUS77" s="684"/>
      <c r="VUT77" s="684"/>
      <c r="VUU77" s="684"/>
      <c r="VUV77" s="684"/>
      <c r="VUW77" s="684"/>
      <c r="VUX77" s="684"/>
      <c r="VUY77" s="684"/>
      <c r="VUZ77" s="684"/>
      <c r="VVA77" s="684"/>
      <c r="VVB77" s="684"/>
      <c r="VVC77" s="684"/>
      <c r="VVD77" s="684"/>
      <c r="VVE77" s="684"/>
      <c r="VVF77" s="684"/>
      <c r="VVG77" s="684"/>
      <c r="VVH77" s="684"/>
      <c r="VVI77" s="684"/>
      <c r="VVJ77" s="684"/>
      <c r="VVK77" s="684"/>
      <c r="VVL77" s="684"/>
      <c r="VVM77" s="684"/>
      <c r="VVN77" s="684"/>
      <c r="VVO77" s="684"/>
      <c r="VVP77" s="684"/>
      <c r="VVQ77" s="684"/>
      <c r="VVR77" s="684"/>
      <c r="VVS77" s="684"/>
      <c r="VVT77" s="684"/>
      <c r="VVU77" s="684"/>
      <c r="VVV77" s="684"/>
      <c r="VVW77" s="684"/>
      <c r="VVX77" s="684"/>
      <c r="VVY77" s="684"/>
      <c r="VVZ77" s="684"/>
      <c r="VWA77" s="684"/>
      <c r="VWB77" s="684"/>
      <c r="VWC77" s="684"/>
      <c r="VWD77" s="684"/>
      <c r="VWE77" s="684"/>
      <c r="VWF77" s="684"/>
      <c r="VWG77" s="684"/>
      <c r="VWH77" s="684"/>
      <c r="VWI77" s="684"/>
      <c r="VWJ77" s="684"/>
      <c r="VWK77" s="684"/>
      <c r="VWL77" s="684"/>
      <c r="VWM77" s="684"/>
      <c r="VWN77" s="684"/>
      <c r="VWO77" s="684"/>
      <c r="VWP77" s="684"/>
      <c r="VWQ77" s="684"/>
      <c r="VWR77" s="684"/>
      <c r="VWS77" s="684"/>
      <c r="VWT77" s="684"/>
      <c r="VWU77" s="684"/>
      <c r="VWV77" s="684"/>
      <c r="VWW77" s="684"/>
      <c r="VWX77" s="684"/>
      <c r="VWY77" s="684"/>
      <c r="VWZ77" s="684"/>
      <c r="VXA77" s="684"/>
      <c r="VXB77" s="684"/>
      <c r="VXC77" s="684"/>
      <c r="VXD77" s="684"/>
      <c r="VXE77" s="684"/>
      <c r="VXF77" s="684"/>
      <c r="VXG77" s="684"/>
      <c r="VXH77" s="684"/>
      <c r="VXI77" s="684"/>
      <c r="VXJ77" s="684"/>
      <c r="VXK77" s="684"/>
      <c r="VXL77" s="684"/>
      <c r="VXM77" s="684"/>
      <c r="VXN77" s="684"/>
      <c r="VXO77" s="684"/>
      <c r="VXP77" s="684"/>
      <c r="VXQ77" s="684"/>
      <c r="VXR77" s="684"/>
      <c r="VXS77" s="684"/>
      <c r="VXT77" s="684"/>
      <c r="VXU77" s="684"/>
      <c r="VXV77" s="684"/>
      <c r="VXW77" s="684"/>
      <c r="VXX77" s="684"/>
      <c r="VXY77" s="684"/>
      <c r="VXZ77" s="684"/>
      <c r="VYA77" s="684"/>
      <c r="VYB77" s="684"/>
      <c r="VYC77" s="684"/>
      <c r="VYD77" s="684"/>
      <c r="VYE77" s="684"/>
      <c r="VYF77" s="684"/>
      <c r="VYG77" s="684"/>
      <c r="VYH77" s="684"/>
      <c r="VYI77" s="684"/>
      <c r="VYJ77" s="684"/>
      <c r="VYK77" s="684"/>
      <c r="VYL77" s="684"/>
      <c r="VYM77" s="684"/>
      <c r="VYN77" s="684"/>
      <c r="VYO77" s="684"/>
      <c r="VYP77" s="684"/>
      <c r="VYQ77" s="684"/>
      <c r="VYR77" s="684"/>
      <c r="VYS77" s="684"/>
      <c r="VYT77" s="684"/>
      <c r="VYU77" s="684"/>
      <c r="VYV77" s="684"/>
      <c r="VYW77" s="684"/>
      <c r="VYX77" s="684"/>
      <c r="VYY77" s="684"/>
      <c r="VYZ77" s="684"/>
      <c r="VZA77" s="684"/>
      <c r="VZB77" s="684"/>
      <c r="VZC77" s="684"/>
      <c r="VZD77" s="684"/>
      <c r="VZE77" s="684"/>
      <c r="VZF77" s="684"/>
      <c r="VZG77" s="684"/>
      <c r="VZH77" s="684"/>
      <c r="VZI77" s="684"/>
      <c r="VZJ77" s="684"/>
      <c r="VZK77" s="684"/>
      <c r="VZL77" s="684"/>
      <c r="VZM77" s="684"/>
      <c r="VZN77" s="684"/>
      <c r="VZO77" s="684"/>
      <c r="VZP77" s="684"/>
      <c r="VZQ77" s="684"/>
      <c r="VZR77" s="684"/>
      <c r="VZS77" s="684"/>
      <c r="VZT77" s="684"/>
      <c r="VZU77" s="684"/>
      <c r="VZV77" s="684"/>
      <c r="VZW77" s="684"/>
      <c r="VZX77" s="684"/>
      <c r="VZY77" s="684"/>
      <c r="VZZ77" s="684"/>
      <c r="WAA77" s="684"/>
      <c r="WAB77" s="684"/>
      <c r="WAC77" s="684"/>
      <c r="WAD77" s="684"/>
      <c r="WAE77" s="684"/>
      <c r="WAF77" s="684"/>
      <c r="WAG77" s="684"/>
      <c r="WAH77" s="684"/>
      <c r="WAI77" s="684"/>
      <c r="WAJ77" s="684"/>
      <c r="WAK77" s="684"/>
      <c r="WAL77" s="684"/>
      <c r="WAM77" s="684"/>
      <c r="WAN77" s="684"/>
      <c r="WAO77" s="684"/>
      <c r="WAP77" s="684"/>
      <c r="WAQ77" s="684"/>
      <c r="WAR77" s="684"/>
      <c r="WAS77" s="684"/>
      <c r="WAT77" s="684"/>
      <c r="WAU77" s="684"/>
      <c r="WAV77" s="684"/>
      <c r="WAW77" s="684"/>
      <c r="WAX77" s="684"/>
      <c r="WAY77" s="684"/>
      <c r="WAZ77" s="684"/>
      <c r="WBA77" s="684"/>
      <c r="WBB77" s="684"/>
      <c r="WBC77" s="684"/>
      <c r="WBD77" s="684"/>
      <c r="WBE77" s="684"/>
      <c r="WBF77" s="684"/>
      <c r="WBG77" s="684"/>
      <c r="WBH77" s="684"/>
      <c r="WBI77" s="684"/>
      <c r="WBJ77" s="684"/>
      <c r="WBK77" s="684"/>
      <c r="WBL77" s="684"/>
      <c r="WBM77" s="684"/>
      <c r="WBN77" s="684"/>
      <c r="WBO77" s="684"/>
      <c r="WBP77" s="684"/>
      <c r="WBQ77" s="684"/>
      <c r="WBR77" s="684"/>
      <c r="WBS77" s="684"/>
      <c r="WBT77" s="684"/>
      <c r="WBU77" s="684"/>
      <c r="WBV77" s="684"/>
      <c r="WBW77" s="684"/>
      <c r="WBX77" s="684"/>
      <c r="WBY77" s="684"/>
      <c r="WBZ77" s="684"/>
      <c r="WCA77" s="684"/>
      <c r="WCB77" s="684"/>
      <c r="WCC77" s="684"/>
      <c r="WCD77" s="684"/>
      <c r="WCE77" s="684"/>
      <c r="WCF77" s="684"/>
      <c r="WCG77" s="684"/>
      <c r="WCH77" s="684"/>
      <c r="WCI77" s="684"/>
      <c r="WCJ77" s="684"/>
      <c r="WCK77" s="684"/>
      <c r="WCL77" s="684"/>
      <c r="WCM77" s="684"/>
      <c r="WCN77" s="684"/>
      <c r="WCO77" s="684"/>
      <c r="WCP77" s="684"/>
      <c r="WCQ77" s="684"/>
      <c r="WCR77" s="684"/>
      <c r="WCS77" s="684"/>
      <c r="WCT77" s="684"/>
      <c r="WCU77" s="684"/>
      <c r="WCV77" s="684"/>
      <c r="WCW77" s="684"/>
      <c r="WCX77" s="684"/>
      <c r="WCY77" s="684"/>
      <c r="WCZ77" s="684"/>
      <c r="WDA77" s="684"/>
      <c r="WDB77" s="684"/>
      <c r="WDC77" s="684"/>
      <c r="WDD77" s="684"/>
      <c r="WDE77" s="684"/>
      <c r="WDF77" s="684"/>
      <c r="WDG77" s="684"/>
      <c r="WDH77" s="684"/>
      <c r="WDI77" s="684"/>
      <c r="WDJ77" s="684"/>
      <c r="WDK77" s="684"/>
      <c r="WDL77" s="684"/>
      <c r="WDM77" s="684"/>
      <c r="WDN77" s="684"/>
      <c r="WDO77" s="684"/>
      <c r="WDP77" s="684"/>
      <c r="WDQ77" s="684"/>
      <c r="WDR77" s="684"/>
      <c r="WDS77" s="684"/>
      <c r="WDT77" s="684"/>
      <c r="WDU77" s="684"/>
      <c r="WDV77" s="684"/>
      <c r="WDW77" s="684"/>
      <c r="WDX77" s="684"/>
      <c r="WDY77" s="684"/>
      <c r="WDZ77" s="684"/>
      <c r="WEA77" s="684"/>
      <c r="WEB77" s="684"/>
      <c r="WEC77" s="684"/>
      <c r="WED77" s="684"/>
      <c r="WEE77" s="684"/>
      <c r="WEF77" s="684"/>
      <c r="WEG77" s="684"/>
      <c r="WEH77" s="684"/>
      <c r="WEI77" s="684"/>
      <c r="WEJ77" s="684"/>
      <c r="WEK77" s="684"/>
      <c r="WEL77" s="684"/>
      <c r="WEM77" s="684"/>
      <c r="WEN77" s="684"/>
      <c r="WEO77" s="684"/>
      <c r="WEP77" s="684"/>
      <c r="WEQ77" s="684"/>
      <c r="WER77" s="684"/>
      <c r="WES77" s="684"/>
      <c r="WET77" s="684"/>
      <c r="WEU77" s="684"/>
      <c r="WEV77" s="684"/>
      <c r="WEW77" s="684"/>
      <c r="WEX77" s="684"/>
      <c r="WEY77" s="684"/>
      <c r="WEZ77" s="684"/>
      <c r="WFA77" s="684"/>
      <c r="WFB77" s="684"/>
      <c r="WFC77" s="684"/>
      <c r="WFD77" s="684"/>
      <c r="WFE77" s="684"/>
      <c r="WFF77" s="684"/>
      <c r="WFG77" s="684"/>
      <c r="WFH77" s="684"/>
      <c r="WFI77" s="684"/>
      <c r="WFJ77" s="684"/>
      <c r="WFK77" s="684"/>
      <c r="WFL77" s="684"/>
      <c r="WFM77" s="684"/>
      <c r="WFN77" s="684"/>
      <c r="WFO77" s="684"/>
      <c r="WFP77" s="684"/>
      <c r="WFQ77" s="684"/>
      <c r="WFR77" s="684"/>
      <c r="WFS77" s="684"/>
      <c r="WFT77" s="684"/>
      <c r="WFU77" s="684"/>
      <c r="WFV77" s="684"/>
      <c r="WFW77" s="684"/>
      <c r="WFX77" s="684"/>
      <c r="WFY77" s="684"/>
      <c r="WFZ77" s="684"/>
      <c r="WGA77" s="684"/>
      <c r="WGB77" s="684"/>
      <c r="WGC77" s="684"/>
      <c r="WGD77" s="684"/>
      <c r="WGE77" s="684"/>
      <c r="WGF77" s="684"/>
      <c r="WGG77" s="684"/>
      <c r="WGH77" s="684"/>
      <c r="WGI77" s="684"/>
      <c r="WGJ77" s="684"/>
      <c r="WGK77" s="684"/>
      <c r="WGL77" s="684"/>
      <c r="WGM77" s="684"/>
      <c r="WGN77" s="684"/>
      <c r="WGO77" s="684"/>
      <c r="WGP77" s="684"/>
      <c r="WGQ77" s="684"/>
      <c r="WGR77" s="684"/>
      <c r="WGS77" s="684"/>
      <c r="WGT77" s="684"/>
      <c r="WGU77" s="684"/>
      <c r="WGV77" s="684"/>
      <c r="WGW77" s="684"/>
      <c r="WGX77" s="684"/>
      <c r="WGY77" s="684"/>
      <c r="WGZ77" s="684"/>
      <c r="WHA77" s="684"/>
      <c r="WHB77" s="684"/>
      <c r="WHC77" s="684"/>
      <c r="WHD77" s="684"/>
      <c r="WHE77" s="684"/>
      <c r="WHF77" s="684"/>
      <c r="WHG77" s="684"/>
      <c r="WHH77" s="684"/>
      <c r="WHI77" s="684"/>
      <c r="WHJ77" s="684"/>
      <c r="WHK77" s="684"/>
      <c r="WHL77" s="684"/>
      <c r="WHM77" s="684"/>
      <c r="WHN77" s="684"/>
      <c r="WHO77" s="684"/>
      <c r="WHP77" s="684"/>
      <c r="WHQ77" s="684"/>
      <c r="WHR77" s="684"/>
      <c r="WHS77" s="684"/>
      <c r="WHT77" s="684"/>
      <c r="WHU77" s="684"/>
      <c r="WHV77" s="684"/>
      <c r="WHW77" s="684"/>
      <c r="WHX77" s="684"/>
      <c r="WHY77" s="684"/>
      <c r="WHZ77" s="684"/>
      <c r="WIA77" s="684"/>
      <c r="WIB77" s="684"/>
      <c r="WIC77" s="684"/>
      <c r="WID77" s="684"/>
      <c r="WIE77" s="684"/>
      <c r="WIF77" s="684"/>
      <c r="WIG77" s="684"/>
      <c r="WIH77" s="684"/>
      <c r="WII77" s="684"/>
      <c r="WIJ77" s="684"/>
      <c r="WIK77" s="684"/>
      <c r="WIL77" s="684"/>
      <c r="WIM77" s="684"/>
      <c r="WIN77" s="684"/>
      <c r="WIO77" s="684"/>
      <c r="WIP77" s="684"/>
      <c r="WIQ77" s="684"/>
      <c r="WIR77" s="684"/>
      <c r="WIS77" s="684"/>
      <c r="WIT77" s="684"/>
      <c r="WIU77" s="684"/>
      <c r="WIV77" s="684"/>
      <c r="WIW77" s="684"/>
      <c r="WIX77" s="684"/>
      <c r="WIY77" s="684"/>
      <c r="WIZ77" s="684"/>
      <c r="WJA77" s="684"/>
      <c r="WJB77" s="684"/>
      <c r="WJC77" s="684"/>
      <c r="WJD77" s="684"/>
      <c r="WJE77" s="684"/>
      <c r="WJF77" s="684"/>
      <c r="WJG77" s="684"/>
      <c r="WJH77" s="684"/>
      <c r="WJI77" s="684"/>
      <c r="WJJ77" s="684"/>
      <c r="WJK77" s="684"/>
      <c r="WJL77" s="684"/>
      <c r="WJM77" s="684"/>
      <c r="WJN77" s="684"/>
      <c r="WJO77" s="684"/>
      <c r="WJP77" s="684"/>
      <c r="WJQ77" s="684"/>
      <c r="WJR77" s="684"/>
      <c r="WJS77" s="684"/>
      <c r="WJT77" s="684"/>
      <c r="WJU77" s="684"/>
      <c r="WJV77" s="684"/>
      <c r="WJW77" s="684"/>
      <c r="WJX77" s="684"/>
      <c r="WJY77" s="684"/>
      <c r="WJZ77" s="684"/>
      <c r="WKA77" s="684"/>
      <c r="WKB77" s="684"/>
      <c r="WKC77" s="684"/>
      <c r="WKD77" s="684"/>
      <c r="WKE77" s="684"/>
      <c r="WKF77" s="684"/>
      <c r="WKG77" s="684"/>
      <c r="WKH77" s="684"/>
      <c r="WKI77" s="684"/>
      <c r="WKJ77" s="684"/>
      <c r="WKK77" s="684"/>
      <c r="WKL77" s="684"/>
      <c r="WKM77" s="684"/>
      <c r="WKN77" s="684"/>
      <c r="WKO77" s="684"/>
      <c r="WKP77" s="684"/>
      <c r="WKQ77" s="684"/>
      <c r="WKR77" s="684"/>
      <c r="WKS77" s="684"/>
      <c r="WKT77" s="684"/>
      <c r="WKU77" s="684"/>
      <c r="WKV77" s="684"/>
      <c r="WKW77" s="684"/>
      <c r="WKX77" s="684"/>
      <c r="WKY77" s="684"/>
      <c r="WKZ77" s="684"/>
      <c r="WLA77" s="684"/>
      <c r="WLB77" s="684"/>
      <c r="WLC77" s="684"/>
      <c r="WLD77" s="684"/>
      <c r="WLE77" s="684"/>
      <c r="WLF77" s="684"/>
      <c r="WLG77" s="684"/>
      <c r="WLH77" s="684"/>
      <c r="WLI77" s="684"/>
      <c r="WLJ77" s="684"/>
      <c r="WLK77" s="684"/>
      <c r="WLL77" s="684"/>
      <c r="WLM77" s="684"/>
      <c r="WLN77" s="684"/>
      <c r="WLO77" s="684"/>
      <c r="WLP77" s="684"/>
      <c r="WLQ77" s="684"/>
      <c r="WLR77" s="684"/>
      <c r="WLS77" s="684"/>
      <c r="WLT77" s="684"/>
      <c r="WLU77" s="684"/>
      <c r="WLV77" s="684"/>
      <c r="WLW77" s="684"/>
      <c r="WLX77" s="684"/>
      <c r="WLY77" s="684"/>
      <c r="WLZ77" s="684"/>
      <c r="WMA77" s="684"/>
      <c r="WMB77" s="684"/>
      <c r="WMC77" s="684"/>
      <c r="WMD77" s="684"/>
      <c r="WME77" s="684"/>
      <c r="WMF77" s="684"/>
      <c r="WMG77" s="684"/>
      <c r="WMH77" s="684"/>
      <c r="WMI77" s="684"/>
      <c r="WMJ77" s="684"/>
      <c r="WMK77" s="684"/>
      <c r="WML77" s="684"/>
      <c r="WMM77" s="684"/>
      <c r="WMN77" s="684"/>
      <c r="WMO77" s="684"/>
      <c r="WMP77" s="684"/>
      <c r="WMQ77" s="684"/>
      <c r="WMR77" s="684"/>
      <c r="WMS77" s="684"/>
      <c r="WMT77" s="684"/>
      <c r="WMU77" s="684"/>
      <c r="WMV77" s="684"/>
      <c r="WMW77" s="684"/>
      <c r="WMX77" s="684"/>
      <c r="WMY77" s="684"/>
      <c r="WMZ77" s="684"/>
      <c r="WNA77" s="684"/>
      <c r="WNB77" s="684"/>
      <c r="WNC77" s="684"/>
      <c r="WND77" s="684"/>
      <c r="WNE77" s="684"/>
      <c r="WNF77" s="684"/>
      <c r="WNG77" s="684"/>
      <c r="WNH77" s="684"/>
      <c r="WNI77" s="684"/>
      <c r="WNJ77" s="684"/>
      <c r="WNK77" s="684"/>
      <c r="WNL77" s="684"/>
      <c r="WNM77" s="684"/>
      <c r="WNN77" s="684"/>
      <c r="WNO77" s="684"/>
      <c r="WNP77" s="684"/>
      <c r="WNQ77" s="684"/>
      <c r="WNR77" s="684"/>
      <c r="WNS77" s="684"/>
      <c r="WNT77" s="684"/>
      <c r="WNU77" s="684"/>
      <c r="WNV77" s="684"/>
      <c r="WNW77" s="684"/>
      <c r="WNX77" s="684"/>
      <c r="WNY77" s="684"/>
      <c r="WNZ77" s="684"/>
      <c r="WOA77" s="684"/>
      <c r="WOB77" s="684"/>
      <c r="WOC77" s="684"/>
      <c r="WOD77" s="684"/>
      <c r="WOE77" s="684"/>
      <c r="WOF77" s="684"/>
      <c r="WOG77" s="684"/>
      <c r="WOH77" s="684"/>
      <c r="WOI77" s="684"/>
      <c r="WOJ77" s="684"/>
      <c r="WOK77" s="684"/>
      <c r="WOL77" s="684"/>
      <c r="WOM77" s="684"/>
      <c r="WON77" s="684"/>
      <c r="WOO77" s="684"/>
      <c r="WOP77" s="684"/>
      <c r="WOQ77" s="684"/>
      <c r="WOR77" s="684"/>
      <c r="WOS77" s="684"/>
      <c r="WOT77" s="684"/>
      <c r="WOU77" s="684"/>
      <c r="WOV77" s="684"/>
      <c r="WOW77" s="684"/>
      <c r="WOX77" s="684"/>
      <c r="WOY77" s="684"/>
      <c r="WOZ77" s="684"/>
      <c r="WPA77" s="684"/>
      <c r="WPB77" s="684"/>
      <c r="WPC77" s="684"/>
      <c r="WPD77" s="684"/>
      <c r="WPE77" s="684"/>
      <c r="WPF77" s="684"/>
      <c r="WPG77" s="684"/>
      <c r="WPH77" s="684"/>
      <c r="WPI77" s="684"/>
      <c r="WPJ77" s="684"/>
      <c r="WPK77" s="684"/>
      <c r="WPL77" s="684"/>
      <c r="WPM77" s="684"/>
      <c r="WPN77" s="684"/>
      <c r="WPO77" s="684"/>
      <c r="WPP77" s="684"/>
      <c r="WPQ77" s="684"/>
      <c r="WPR77" s="684"/>
      <c r="WPS77" s="684"/>
      <c r="WPT77" s="684"/>
      <c r="WPU77" s="684"/>
      <c r="WPV77" s="684"/>
      <c r="WPW77" s="684"/>
      <c r="WPX77" s="684"/>
      <c r="WPY77" s="684"/>
      <c r="WPZ77" s="684"/>
      <c r="WQA77" s="684"/>
      <c r="WQB77" s="684"/>
      <c r="WQC77" s="684"/>
      <c r="WQD77" s="684"/>
      <c r="WQE77" s="684"/>
      <c r="WQF77" s="684"/>
      <c r="WQG77" s="684"/>
      <c r="WQH77" s="684"/>
      <c r="WQI77" s="684"/>
      <c r="WQJ77" s="684"/>
      <c r="WQK77" s="684"/>
      <c r="WQL77" s="684"/>
      <c r="WQM77" s="684"/>
      <c r="WQN77" s="684"/>
      <c r="WQO77" s="684"/>
      <c r="WQP77" s="684"/>
      <c r="WQQ77" s="684"/>
      <c r="WQR77" s="684"/>
      <c r="WQS77" s="684"/>
      <c r="WQT77" s="684"/>
      <c r="WQU77" s="684"/>
      <c r="WQV77" s="684"/>
      <c r="WQW77" s="684"/>
      <c r="WQX77" s="684"/>
      <c r="WQY77" s="684"/>
      <c r="WQZ77" s="684"/>
      <c r="WRA77" s="684"/>
      <c r="WRB77" s="684"/>
      <c r="WRC77" s="684"/>
      <c r="WRD77" s="684"/>
      <c r="WRE77" s="684"/>
      <c r="WRF77" s="684"/>
      <c r="WRG77" s="684"/>
      <c r="WRH77" s="684"/>
      <c r="WRI77" s="684"/>
      <c r="WRJ77" s="684"/>
      <c r="WRK77" s="684"/>
      <c r="WRL77" s="684"/>
      <c r="WRM77" s="684"/>
      <c r="WRN77" s="684"/>
      <c r="WRO77" s="684"/>
      <c r="WRP77" s="684"/>
      <c r="WRQ77" s="684"/>
      <c r="WRR77" s="684"/>
      <c r="WRS77" s="684"/>
      <c r="WRT77" s="684"/>
      <c r="WRU77" s="684"/>
      <c r="WRV77" s="684"/>
      <c r="WRW77" s="684"/>
      <c r="WRX77" s="684"/>
      <c r="WRY77" s="684"/>
      <c r="WRZ77" s="684"/>
      <c r="WSA77" s="684"/>
      <c r="WSB77" s="684"/>
      <c r="WSC77" s="684"/>
      <c r="WSD77" s="684"/>
      <c r="WSE77" s="684"/>
      <c r="WSF77" s="684"/>
      <c r="WSG77" s="684"/>
      <c r="WSH77" s="684"/>
      <c r="WSI77" s="684"/>
      <c r="WSJ77" s="684"/>
      <c r="WSK77" s="684"/>
      <c r="WSL77" s="684"/>
      <c r="WSM77" s="684"/>
      <c r="WSN77" s="684"/>
      <c r="WSO77" s="684"/>
      <c r="WSP77" s="684"/>
      <c r="WSQ77" s="684"/>
      <c r="WSR77" s="684"/>
      <c r="WSS77" s="684"/>
      <c r="WST77" s="684"/>
      <c r="WSU77" s="684"/>
      <c r="WSV77" s="684"/>
      <c r="WSW77" s="684"/>
      <c r="WSX77" s="684"/>
      <c r="WSY77" s="684"/>
      <c r="WSZ77" s="684"/>
      <c r="WTA77" s="684"/>
      <c r="WTB77" s="684"/>
      <c r="WTC77" s="684"/>
      <c r="WTD77" s="684"/>
      <c r="WTE77" s="684"/>
      <c r="WTF77" s="684"/>
      <c r="WTG77" s="684"/>
      <c r="WTH77" s="684"/>
      <c r="WTI77" s="684"/>
      <c r="WTJ77" s="684"/>
      <c r="WTK77" s="684"/>
      <c r="WTL77" s="684"/>
      <c r="WTM77" s="684"/>
      <c r="WTN77" s="684"/>
      <c r="WTO77" s="684"/>
      <c r="WTP77" s="684"/>
      <c r="WTQ77" s="684"/>
      <c r="WTR77" s="684"/>
      <c r="WTS77" s="684"/>
      <c r="WTT77" s="684"/>
      <c r="WTU77" s="684"/>
      <c r="WTV77" s="684"/>
      <c r="WTW77" s="684"/>
      <c r="WTX77" s="684"/>
      <c r="WTY77" s="684"/>
      <c r="WTZ77" s="684"/>
      <c r="WUA77" s="684"/>
      <c r="WUB77" s="684"/>
      <c r="WUC77" s="684"/>
      <c r="WUD77" s="684"/>
      <c r="WUE77" s="684"/>
      <c r="WUF77" s="684"/>
      <c r="WUG77" s="684"/>
      <c r="WUH77" s="684"/>
      <c r="WUI77" s="684"/>
      <c r="WUJ77" s="684"/>
      <c r="WUK77" s="684"/>
      <c r="WUL77" s="684"/>
      <c r="WUM77" s="684"/>
      <c r="WUN77" s="684"/>
      <c r="WUO77" s="684"/>
      <c r="WUP77" s="684"/>
      <c r="WUQ77" s="684"/>
      <c r="WUR77" s="684"/>
      <c r="WUS77" s="684"/>
      <c r="WUT77" s="684"/>
      <c r="WUU77" s="684"/>
      <c r="WUV77" s="684"/>
      <c r="WUW77" s="684"/>
      <c r="WUX77" s="684"/>
      <c r="WUY77" s="684"/>
      <c r="WUZ77" s="684"/>
      <c r="WVA77" s="684"/>
      <c r="WVB77" s="684"/>
      <c r="WVC77" s="684"/>
      <c r="WVD77" s="684"/>
      <c r="WVE77" s="684"/>
      <c r="WVF77" s="684"/>
      <c r="WVG77" s="684"/>
      <c r="WVH77" s="684"/>
      <c r="WVI77" s="684"/>
      <c r="WVJ77" s="684"/>
      <c r="WVK77" s="684"/>
      <c r="WVL77" s="684"/>
      <c r="WVM77" s="684"/>
      <c r="WVN77" s="684"/>
      <c r="WVO77" s="684"/>
      <c r="WVP77" s="684"/>
      <c r="WVQ77" s="684"/>
      <c r="WVR77" s="684"/>
      <c r="WVS77" s="684"/>
      <c r="WVT77" s="684"/>
      <c r="WVU77" s="684"/>
      <c r="WVV77" s="684"/>
      <c r="WVW77" s="684"/>
      <c r="WVX77" s="684"/>
      <c r="WVY77" s="684"/>
      <c r="WVZ77" s="684"/>
      <c r="WWA77" s="684"/>
      <c r="WWB77" s="684"/>
      <c r="WWC77" s="684"/>
      <c r="WWD77" s="684"/>
      <c r="WWE77" s="684"/>
      <c r="WWF77" s="684"/>
      <c r="WWG77" s="684"/>
      <c r="WWH77" s="684"/>
      <c r="WWI77" s="684"/>
      <c r="WWJ77" s="684"/>
      <c r="WWK77" s="684"/>
      <c r="WWL77" s="684"/>
      <c r="WWM77" s="684"/>
      <c r="WWN77" s="684"/>
      <c r="WWO77" s="684"/>
      <c r="WWP77" s="684"/>
      <c r="WWQ77" s="684"/>
      <c r="WWR77" s="684"/>
      <c r="WWS77" s="684"/>
      <c r="WWT77" s="684"/>
      <c r="WWU77" s="684"/>
      <c r="WWV77" s="684"/>
      <c r="WWW77" s="684"/>
      <c r="WWX77" s="684"/>
      <c r="WWY77" s="684"/>
      <c r="WWZ77" s="684"/>
      <c r="WXA77" s="684"/>
      <c r="WXB77" s="684"/>
      <c r="WXC77" s="684"/>
      <c r="WXD77" s="684"/>
      <c r="WXE77" s="684"/>
      <c r="WXF77" s="684"/>
      <c r="WXG77" s="684"/>
      <c r="WXH77" s="684"/>
      <c r="WXI77" s="684"/>
      <c r="WXJ77" s="684"/>
      <c r="WXK77" s="684"/>
      <c r="WXL77" s="684"/>
      <c r="WXM77" s="684"/>
      <c r="WXN77" s="684"/>
      <c r="WXO77" s="684"/>
      <c r="WXP77" s="684"/>
      <c r="WXQ77" s="684"/>
      <c r="WXR77" s="684"/>
      <c r="WXS77" s="684"/>
      <c r="WXT77" s="684"/>
      <c r="WXU77" s="684"/>
      <c r="WXV77" s="684"/>
      <c r="WXW77" s="684"/>
      <c r="WXX77" s="684"/>
      <c r="WXY77" s="684"/>
      <c r="WXZ77" s="684"/>
      <c r="WYA77" s="684"/>
      <c r="WYB77" s="684"/>
      <c r="WYC77" s="684"/>
      <c r="WYD77" s="684"/>
      <c r="WYE77" s="684"/>
      <c r="WYF77" s="684"/>
      <c r="WYG77" s="684"/>
      <c r="WYH77" s="684"/>
      <c r="WYI77" s="684"/>
      <c r="WYJ77" s="684"/>
      <c r="WYK77" s="684"/>
      <c r="WYL77" s="684"/>
      <c r="WYM77" s="684"/>
      <c r="WYN77" s="684"/>
      <c r="WYO77" s="684"/>
      <c r="WYP77" s="684"/>
      <c r="WYQ77" s="684"/>
      <c r="WYR77" s="684"/>
      <c r="WYS77" s="684"/>
      <c r="WYT77" s="684"/>
      <c r="WYU77" s="684"/>
      <c r="WYV77" s="684"/>
      <c r="WYW77" s="684"/>
      <c r="WYX77" s="684"/>
      <c r="WYY77" s="684"/>
      <c r="WYZ77" s="684"/>
      <c r="WZA77" s="684"/>
      <c r="WZB77" s="684"/>
      <c r="WZC77" s="684"/>
      <c r="WZD77" s="684"/>
      <c r="WZE77" s="684"/>
      <c r="WZF77" s="684"/>
      <c r="WZG77" s="684"/>
      <c r="WZH77" s="684"/>
      <c r="WZI77" s="684"/>
      <c r="WZJ77" s="684"/>
      <c r="WZK77" s="684"/>
      <c r="WZL77" s="684"/>
      <c r="WZM77" s="684"/>
      <c r="WZN77" s="684"/>
      <c r="WZO77" s="684"/>
      <c r="WZP77" s="684"/>
      <c r="WZQ77" s="684"/>
      <c r="WZR77" s="684"/>
      <c r="WZS77" s="684"/>
      <c r="WZT77" s="684"/>
      <c r="WZU77" s="684"/>
      <c r="WZV77" s="684"/>
      <c r="WZW77" s="684"/>
      <c r="WZX77" s="684"/>
      <c r="WZY77" s="684"/>
      <c r="WZZ77" s="684"/>
      <c r="XAA77" s="684"/>
      <c r="XAB77" s="684"/>
      <c r="XAC77" s="684"/>
      <c r="XAD77" s="684"/>
      <c r="XAE77" s="684"/>
      <c r="XAF77" s="684"/>
      <c r="XAG77" s="684"/>
      <c r="XAH77" s="684"/>
      <c r="XAI77" s="684"/>
      <c r="XAJ77" s="684"/>
      <c r="XAK77" s="684"/>
      <c r="XAL77" s="684"/>
      <c r="XAM77" s="684"/>
      <c r="XAN77" s="684"/>
      <c r="XAO77" s="684"/>
      <c r="XAP77" s="684"/>
      <c r="XAQ77" s="684"/>
      <c r="XAR77" s="684"/>
      <c r="XAS77" s="684"/>
      <c r="XAT77" s="684"/>
      <c r="XAU77" s="684"/>
      <c r="XAV77" s="684"/>
      <c r="XAW77" s="684"/>
      <c r="XAX77" s="684"/>
      <c r="XAY77" s="684"/>
      <c r="XAZ77" s="684"/>
      <c r="XBA77" s="684"/>
      <c r="XBB77" s="684"/>
      <c r="XBC77" s="684"/>
      <c r="XBD77" s="684"/>
      <c r="XBE77" s="684"/>
      <c r="XBF77" s="684"/>
      <c r="XBG77" s="684"/>
      <c r="XBH77" s="684"/>
      <c r="XBI77" s="684"/>
      <c r="XBJ77" s="684"/>
      <c r="XBK77" s="684"/>
      <c r="XBL77" s="684"/>
      <c r="XBM77" s="684"/>
      <c r="XBN77" s="684"/>
      <c r="XBO77" s="684"/>
      <c r="XBP77" s="684"/>
      <c r="XBQ77" s="684"/>
      <c r="XBR77" s="684"/>
      <c r="XBS77" s="684"/>
      <c r="XBT77" s="684"/>
      <c r="XBU77" s="684"/>
      <c r="XBV77" s="684"/>
      <c r="XBW77" s="684"/>
      <c r="XBX77" s="684"/>
      <c r="XBY77" s="684"/>
      <c r="XBZ77" s="684"/>
      <c r="XCA77" s="684"/>
      <c r="XCB77" s="684"/>
      <c r="XCC77" s="684"/>
      <c r="XCD77" s="684"/>
      <c r="XCE77" s="684"/>
      <c r="XCF77" s="684"/>
      <c r="XCG77" s="684"/>
      <c r="XCH77" s="684"/>
      <c r="XCI77" s="684"/>
      <c r="XCJ77" s="684"/>
      <c r="XCK77" s="684"/>
      <c r="XCL77" s="684"/>
      <c r="XCM77" s="684"/>
      <c r="XCN77" s="684"/>
      <c r="XCO77" s="684"/>
      <c r="XCP77" s="684"/>
      <c r="XCQ77" s="684"/>
      <c r="XCR77" s="684"/>
      <c r="XCS77" s="684"/>
      <c r="XCT77" s="684"/>
      <c r="XCU77" s="684"/>
      <c r="XCV77" s="684"/>
      <c r="XCW77" s="684"/>
      <c r="XCX77" s="684"/>
      <c r="XCY77" s="684"/>
      <c r="XCZ77" s="684"/>
      <c r="XDA77" s="684"/>
      <c r="XDB77" s="684"/>
      <c r="XDC77" s="684"/>
      <c r="XDD77" s="684"/>
      <c r="XDE77" s="684"/>
      <c r="XDF77" s="684"/>
      <c r="XDG77" s="684"/>
      <c r="XDH77" s="684"/>
      <c r="XDI77" s="684"/>
      <c r="XDJ77" s="684"/>
      <c r="XDK77" s="684"/>
      <c r="XDL77" s="684"/>
      <c r="XDM77" s="684"/>
      <c r="XDN77" s="684"/>
      <c r="XDO77" s="684"/>
      <c r="XDP77" s="684"/>
      <c r="XDQ77" s="684"/>
      <c r="XDR77" s="684"/>
      <c r="XDS77" s="684"/>
      <c r="XDT77" s="684"/>
      <c r="XDU77" s="684"/>
      <c r="XDV77" s="684"/>
      <c r="XDW77" s="684"/>
      <c r="XDX77" s="684"/>
      <c r="XDY77" s="684"/>
      <c r="XDZ77" s="684"/>
      <c r="XEA77" s="684"/>
      <c r="XEB77" s="684"/>
      <c r="XEC77" s="684"/>
      <c r="XED77" s="684"/>
      <c r="XEE77" s="684"/>
      <c r="XEF77" s="684"/>
      <c r="XEG77" s="684"/>
      <c r="XEH77" s="684"/>
      <c r="XEI77" s="684"/>
      <c r="XEJ77" s="684"/>
      <c r="XEK77" s="684"/>
      <c r="XEL77" s="684"/>
      <c r="XEM77" s="684"/>
      <c r="XEN77" s="684"/>
      <c r="XEO77" s="684"/>
      <c r="XEP77" s="684"/>
      <c r="XEQ77" s="684"/>
      <c r="XER77" s="684"/>
      <c r="XES77" s="684"/>
      <c r="XET77" s="684"/>
      <c r="XEU77" s="684"/>
      <c r="XEV77" s="684"/>
      <c r="XEW77" s="684"/>
      <c r="XEX77" s="684"/>
      <c r="XEY77" s="684"/>
      <c r="XEZ77" s="684"/>
      <c r="XFA77" s="684"/>
      <c r="XFB77" s="684"/>
      <c r="XFC77" s="684"/>
      <c r="XFD77" s="684"/>
    </row>
    <row r="78" spans="1:16384" s="853" customFormat="1" ht="13.5" thickBot="1">
      <c r="A78" s="598" t="s">
        <v>2513</v>
      </c>
      <c r="B78" s="489" t="s">
        <v>2520</v>
      </c>
      <c r="C78" s="489" t="s">
        <v>2520</v>
      </c>
      <c r="D78" s="4283"/>
      <c r="E78" s="4288"/>
      <c r="F78" s="4211"/>
      <c r="G78" s="4213"/>
      <c r="H78" s="4205"/>
      <c r="I78" s="4205"/>
      <c r="J78" s="684"/>
      <c r="K78" s="684"/>
      <c r="L78" s="684"/>
      <c r="M78" s="684"/>
      <c r="N78" s="684"/>
      <c r="O78" s="684"/>
      <c r="P78" s="684"/>
      <c r="Q78" s="684"/>
      <c r="R78" s="684"/>
      <c r="S78" s="684"/>
      <c r="T78" s="684"/>
      <c r="U78" s="684"/>
      <c r="V78" s="684"/>
      <c r="W78" s="684"/>
      <c r="X78" s="684"/>
      <c r="Y78" s="684"/>
      <c r="Z78" s="684"/>
      <c r="AA78" s="684"/>
      <c r="AB78" s="684"/>
      <c r="AC78" s="684"/>
      <c r="AD78" s="684"/>
      <c r="AE78" s="684"/>
      <c r="AF78" s="684"/>
      <c r="AG78" s="684"/>
      <c r="AH78" s="684"/>
      <c r="AI78" s="684"/>
      <c r="AJ78" s="684"/>
      <c r="AK78" s="684"/>
      <c r="AL78" s="684"/>
      <c r="AM78" s="684"/>
      <c r="AN78" s="684"/>
      <c r="AO78" s="684"/>
      <c r="AP78" s="684"/>
      <c r="AQ78" s="684"/>
      <c r="AR78" s="684"/>
      <c r="AS78" s="684"/>
      <c r="AT78" s="684"/>
      <c r="AU78" s="684"/>
      <c r="AV78" s="684"/>
      <c r="AW78" s="684"/>
      <c r="AX78" s="684"/>
      <c r="AY78" s="684"/>
      <c r="AZ78" s="684"/>
      <c r="BA78" s="684"/>
      <c r="BB78" s="684"/>
      <c r="BC78" s="684"/>
      <c r="BD78" s="684"/>
      <c r="BE78" s="684"/>
      <c r="BF78" s="684"/>
      <c r="BG78" s="684"/>
      <c r="BH78" s="684"/>
      <c r="BI78" s="684"/>
      <c r="BJ78" s="684"/>
      <c r="BK78" s="684"/>
      <c r="BL78" s="684"/>
      <c r="BM78" s="684"/>
      <c r="BN78" s="684"/>
      <c r="BO78" s="684"/>
      <c r="BP78" s="684"/>
      <c r="BQ78" s="684"/>
      <c r="BR78" s="684"/>
      <c r="BS78" s="684"/>
      <c r="BT78" s="684"/>
      <c r="BU78" s="684"/>
      <c r="BV78" s="684"/>
      <c r="BW78" s="684"/>
      <c r="BX78" s="684"/>
      <c r="BY78" s="684"/>
      <c r="BZ78" s="684"/>
      <c r="CA78" s="684"/>
      <c r="CB78" s="684"/>
      <c r="CC78" s="684"/>
      <c r="CD78" s="684"/>
      <c r="CE78" s="684"/>
      <c r="CF78" s="684"/>
      <c r="CG78" s="684"/>
      <c r="CH78" s="684"/>
      <c r="CI78" s="684"/>
      <c r="CJ78" s="684"/>
      <c r="CK78" s="684"/>
      <c r="CL78" s="684"/>
      <c r="CM78" s="684"/>
      <c r="CN78" s="684"/>
      <c r="CO78" s="684"/>
      <c r="CP78" s="684"/>
      <c r="CQ78" s="684"/>
      <c r="CR78" s="684"/>
      <c r="CS78" s="684"/>
      <c r="CT78" s="684"/>
      <c r="CU78" s="684"/>
      <c r="CV78" s="684"/>
      <c r="CW78" s="684"/>
      <c r="CX78" s="684"/>
      <c r="CY78" s="684"/>
      <c r="CZ78" s="684"/>
      <c r="DA78" s="684"/>
      <c r="DB78" s="684"/>
      <c r="DC78" s="684"/>
      <c r="DD78" s="684"/>
      <c r="DE78" s="684"/>
      <c r="DF78" s="684"/>
      <c r="DG78" s="684"/>
      <c r="DH78" s="684"/>
      <c r="DI78" s="684"/>
      <c r="DJ78" s="684"/>
      <c r="DK78" s="684"/>
      <c r="DL78" s="684"/>
      <c r="DM78" s="684"/>
      <c r="DN78" s="684"/>
      <c r="DO78" s="684"/>
      <c r="DP78" s="684"/>
      <c r="DQ78" s="684"/>
      <c r="DR78" s="684"/>
      <c r="DS78" s="684"/>
      <c r="DT78" s="684"/>
      <c r="DU78" s="684"/>
      <c r="DV78" s="684"/>
      <c r="DW78" s="684"/>
      <c r="DX78" s="684"/>
      <c r="DY78" s="684"/>
      <c r="DZ78" s="684"/>
      <c r="EA78" s="684"/>
      <c r="EB78" s="684"/>
      <c r="EC78" s="684"/>
      <c r="ED78" s="684"/>
      <c r="EE78" s="684"/>
      <c r="EF78" s="684"/>
      <c r="EG78" s="684"/>
      <c r="EH78" s="684"/>
      <c r="EI78" s="684"/>
      <c r="EJ78" s="684"/>
      <c r="EK78" s="684"/>
      <c r="EL78" s="684"/>
      <c r="EM78" s="684"/>
      <c r="EN78" s="684"/>
      <c r="EO78" s="684"/>
      <c r="EP78" s="684"/>
      <c r="EQ78" s="684"/>
      <c r="ER78" s="684"/>
      <c r="ES78" s="684"/>
      <c r="ET78" s="684"/>
      <c r="EU78" s="684"/>
      <c r="EV78" s="684"/>
      <c r="EW78" s="684"/>
      <c r="EX78" s="684"/>
      <c r="EY78" s="684"/>
      <c r="EZ78" s="684"/>
      <c r="FA78" s="684"/>
      <c r="FB78" s="684"/>
      <c r="FC78" s="684"/>
      <c r="FD78" s="684"/>
      <c r="FE78" s="684"/>
      <c r="FF78" s="684"/>
      <c r="FG78" s="684"/>
      <c r="FH78" s="684"/>
      <c r="FI78" s="684"/>
      <c r="FJ78" s="684"/>
      <c r="FK78" s="684"/>
      <c r="FL78" s="684"/>
      <c r="FM78" s="684"/>
      <c r="FN78" s="684"/>
      <c r="FO78" s="684"/>
      <c r="FP78" s="684"/>
      <c r="FQ78" s="684"/>
      <c r="FR78" s="684"/>
      <c r="FS78" s="684"/>
      <c r="FT78" s="684"/>
      <c r="FU78" s="684"/>
      <c r="FV78" s="684"/>
      <c r="FW78" s="684"/>
      <c r="FX78" s="684"/>
      <c r="FY78" s="684"/>
      <c r="FZ78" s="684"/>
      <c r="GA78" s="684"/>
      <c r="GB78" s="684"/>
      <c r="GC78" s="684"/>
      <c r="GD78" s="684"/>
      <c r="GE78" s="684"/>
      <c r="GF78" s="684"/>
      <c r="GG78" s="684"/>
      <c r="GH78" s="684"/>
      <c r="GI78" s="684"/>
      <c r="GJ78" s="684"/>
      <c r="GK78" s="684"/>
      <c r="GL78" s="684"/>
      <c r="GM78" s="684"/>
      <c r="GN78" s="684"/>
      <c r="GO78" s="684"/>
      <c r="GP78" s="684"/>
      <c r="GQ78" s="684"/>
      <c r="GR78" s="684"/>
      <c r="GS78" s="684"/>
      <c r="GT78" s="684"/>
      <c r="GU78" s="684"/>
      <c r="GV78" s="684"/>
      <c r="GW78" s="684"/>
      <c r="GX78" s="684"/>
      <c r="GY78" s="684"/>
      <c r="GZ78" s="684"/>
      <c r="HA78" s="684"/>
      <c r="HB78" s="684"/>
      <c r="HC78" s="684"/>
      <c r="HD78" s="684"/>
      <c r="HE78" s="684"/>
      <c r="HF78" s="684"/>
      <c r="HG78" s="684"/>
      <c r="HH78" s="684"/>
      <c r="HI78" s="684"/>
      <c r="HJ78" s="684"/>
      <c r="HK78" s="684"/>
      <c r="HL78" s="684"/>
      <c r="HM78" s="684"/>
      <c r="HN78" s="684"/>
      <c r="HO78" s="684"/>
      <c r="HP78" s="684"/>
      <c r="HQ78" s="684"/>
      <c r="HR78" s="684"/>
      <c r="HS78" s="684"/>
      <c r="HT78" s="684"/>
      <c r="HU78" s="684"/>
      <c r="HV78" s="684"/>
      <c r="HW78" s="684"/>
      <c r="HX78" s="684"/>
      <c r="HY78" s="684"/>
      <c r="HZ78" s="684"/>
      <c r="IA78" s="684"/>
      <c r="IB78" s="684"/>
      <c r="IC78" s="684"/>
      <c r="ID78" s="684"/>
      <c r="IE78" s="684"/>
      <c r="IF78" s="684"/>
      <c r="IG78" s="684"/>
      <c r="IH78" s="684"/>
      <c r="II78" s="684"/>
      <c r="IJ78" s="684"/>
      <c r="IK78" s="684"/>
      <c r="IL78" s="684"/>
      <c r="IM78" s="684"/>
      <c r="IN78" s="684"/>
      <c r="IO78" s="684"/>
      <c r="IP78" s="684"/>
      <c r="IQ78" s="684"/>
      <c r="IR78" s="684"/>
      <c r="IS78" s="684"/>
      <c r="IT78" s="684"/>
      <c r="IU78" s="684"/>
      <c r="IV78" s="684"/>
      <c r="IW78" s="684"/>
      <c r="IX78" s="684"/>
      <c r="IY78" s="684"/>
      <c r="IZ78" s="684"/>
      <c r="JA78" s="684"/>
      <c r="JB78" s="684"/>
      <c r="JC78" s="684"/>
      <c r="JD78" s="684"/>
      <c r="JE78" s="684"/>
      <c r="JF78" s="684"/>
      <c r="JG78" s="684"/>
      <c r="JH78" s="684"/>
      <c r="JI78" s="684"/>
      <c r="JJ78" s="684"/>
      <c r="JK78" s="684"/>
      <c r="JL78" s="684"/>
      <c r="JM78" s="684"/>
      <c r="JN78" s="684"/>
      <c r="JO78" s="684"/>
      <c r="JP78" s="684"/>
      <c r="JQ78" s="684"/>
      <c r="JR78" s="684"/>
      <c r="JS78" s="684"/>
      <c r="JT78" s="684"/>
      <c r="JU78" s="684"/>
      <c r="JV78" s="684"/>
      <c r="JW78" s="684"/>
      <c r="JX78" s="684"/>
      <c r="JY78" s="684"/>
      <c r="JZ78" s="684"/>
      <c r="KA78" s="684"/>
      <c r="KB78" s="684"/>
      <c r="KC78" s="684"/>
      <c r="KD78" s="684"/>
      <c r="KE78" s="684"/>
      <c r="KF78" s="684"/>
      <c r="KG78" s="684"/>
      <c r="KH78" s="684"/>
      <c r="KI78" s="684"/>
      <c r="KJ78" s="684"/>
      <c r="KK78" s="684"/>
      <c r="KL78" s="684"/>
      <c r="KM78" s="684"/>
      <c r="KN78" s="684"/>
      <c r="KO78" s="684"/>
      <c r="KP78" s="684"/>
      <c r="KQ78" s="684"/>
      <c r="KR78" s="684"/>
      <c r="KS78" s="684"/>
      <c r="KT78" s="684"/>
      <c r="KU78" s="684"/>
      <c r="KV78" s="684"/>
      <c r="KW78" s="684"/>
      <c r="KX78" s="684"/>
      <c r="KY78" s="684"/>
      <c r="KZ78" s="684"/>
      <c r="LA78" s="684"/>
      <c r="LB78" s="684"/>
      <c r="LC78" s="684"/>
      <c r="LD78" s="684"/>
      <c r="LE78" s="684"/>
      <c r="LF78" s="684"/>
      <c r="LG78" s="684"/>
      <c r="LH78" s="684"/>
      <c r="LI78" s="684"/>
      <c r="LJ78" s="684"/>
      <c r="LK78" s="684"/>
      <c r="LL78" s="684"/>
      <c r="LM78" s="684"/>
      <c r="LN78" s="684"/>
      <c r="LO78" s="684"/>
      <c r="LP78" s="684"/>
      <c r="LQ78" s="684"/>
      <c r="LR78" s="684"/>
      <c r="LS78" s="684"/>
      <c r="LT78" s="684"/>
      <c r="LU78" s="684"/>
      <c r="LV78" s="684"/>
      <c r="LW78" s="684"/>
      <c r="LX78" s="684"/>
      <c r="LY78" s="684"/>
      <c r="LZ78" s="684"/>
      <c r="MA78" s="684"/>
      <c r="MB78" s="684"/>
      <c r="MC78" s="684"/>
      <c r="MD78" s="684"/>
      <c r="ME78" s="684"/>
      <c r="MF78" s="684"/>
      <c r="MG78" s="684"/>
      <c r="MH78" s="684"/>
      <c r="MI78" s="684"/>
      <c r="MJ78" s="684"/>
      <c r="MK78" s="684"/>
      <c r="ML78" s="684"/>
      <c r="MM78" s="684"/>
      <c r="MN78" s="684"/>
      <c r="MO78" s="684"/>
      <c r="MP78" s="684"/>
      <c r="MQ78" s="684"/>
      <c r="MR78" s="684"/>
      <c r="MS78" s="684"/>
      <c r="MT78" s="684"/>
      <c r="MU78" s="684"/>
      <c r="MV78" s="684"/>
      <c r="MW78" s="684"/>
      <c r="MX78" s="684"/>
      <c r="MY78" s="684"/>
      <c r="MZ78" s="684"/>
      <c r="NA78" s="684"/>
      <c r="NB78" s="684"/>
      <c r="NC78" s="684"/>
      <c r="ND78" s="684"/>
      <c r="NE78" s="684"/>
      <c r="NF78" s="684"/>
      <c r="NG78" s="684"/>
      <c r="NH78" s="684"/>
      <c r="NI78" s="684"/>
      <c r="NJ78" s="684"/>
      <c r="NK78" s="684"/>
      <c r="NL78" s="684"/>
      <c r="NM78" s="684"/>
      <c r="NN78" s="684"/>
      <c r="NO78" s="684"/>
      <c r="NP78" s="684"/>
      <c r="NQ78" s="684"/>
      <c r="NR78" s="684"/>
      <c r="NS78" s="684"/>
      <c r="NT78" s="684"/>
      <c r="NU78" s="684"/>
      <c r="NV78" s="684"/>
      <c r="NW78" s="684"/>
      <c r="NX78" s="684"/>
      <c r="NY78" s="684"/>
      <c r="NZ78" s="684"/>
      <c r="OA78" s="684"/>
      <c r="OB78" s="684"/>
      <c r="OC78" s="684"/>
      <c r="OD78" s="684"/>
      <c r="OE78" s="684"/>
      <c r="OF78" s="684"/>
      <c r="OG78" s="684"/>
      <c r="OH78" s="684"/>
      <c r="OI78" s="684"/>
      <c r="OJ78" s="684"/>
      <c r="OK78" s="684"/>
      <c r="OL78" s="684"/>
      <c r="OM78" s="684"/>
      <c r="ON78" s="684"/>
      <c r="OO78" s="684"/>
      <c r="OP78" s="684"/>
      <c r="OQ78" s="684"/>
      <c r="OR78" s="684"/>
      <c r="OS78" s="684"/>
      <c r="OT78" s="684"/>
      <c r="OU78" s="684"/>
      <c r="OV78" s="684"/>
      <c r="OW78" s="684"/>
      <c r="OX78" s="684"/>
      <c r="OY78" s="684"/>
      <c r="OZ78" s="684"/>
      <c r="PA78" s="684"/>
      <c r="PB78" s="684"/>
      <c r="PC78" s="684"/>
      <c r="PD78" s="684"/>
      <c r="PE78" s="684"/>
      <c r="PF78" s="684"/>
      <c r="PG78" s="684"/>
      <c r="PH78" s="684"/>
      <c r="PI78" s="684"/>
      <c r="PJ78" s="684"/>
      <c r="PK78" s="684"/>
      <c r="PL78" s="684"/>
      <c r="PM78" s="684"/>
      <c r="PN78" s="684"/>
      <c r="PO78" s="684"/>
      <c r="PP78" s="684"/>
      <c r="PQ78" s="684"/>
      <c r="PR78" s="684"/>
      <c r="PS78" s="684"/>
      <c r="PT78" s="684"/>
      <c r="PU78" s="684"/>
      <c r="PV78" s="684"/>
      <c r="PW78" s="684"/>
      <c r="PX78" s="684"/>
      <c r="PY78" s="684"/>
      <c r="PZ78" s="684"/>
      <c r="QA78" s="684"/>
      <c r="QB78" s="684"/>
      <c r="QC78" s="684"/>
      <c r="QD78" s="684"/>
      <c r="QE78" s="684"/>
      <c r="QF78" s="684"/>
      <c r="QG78" s="684"/>
      <c r="QH78" s="684"/>
      <c r="QI78" s="684"/>
      <c r="QJ78" s="684"/>
      <c r="QK78" s="684"/>
      <c r="QL78" s="684"/>
      <c r="QM78" s="684"/>
      <c r="QN78" s="684"/>
      <c r="QO78" s="684"/>
      <c r="QP78" s="684"/>
      <c r="QQ78" s="684"/>
      <c r="QR78" s="684"/>
      <c r="QS78" s="684"/>
      <c r="QT78" s="684"/>
      <c r="QU78" s="684"/>
      <c r="QV78" s="684"/>
      <c r="QW78" s="684"/>
      <c r="QX78" s="684"/>
      <c r="QY78" s="684"/>
      <c r="QZ78" s="684"/>
      <c r="RA78" s="684"/>
      <c r="RB78" s="684"/>
      <c r="RC78" s="684"/>
      <c r="RD78" s="684"/>
      <c r="RE78" s="684"/>
      <c r="RF78" s="684"/>
      <c r="RG78" s="684"/>
      <c r="RH78" s="684"/>
      <c r="RI78" s="684"/>
      <c r="RJ78" s="684"/>
      <c r="RK78" s="684"/>
      <c r="RL78" s="684"/>
      <c r="RM78" s="684"/>
      <c r="RN78" s="684"/>
      <c r="RO78" s="684"/>
      <c r="RP78" s="684"/>
      <c r="RQ78" s="684"/>
      <c r="RR78" s="684"/>
      <c r="RS78" s="684"/>
      <c r="RT78" s="684"/>
      <c r="RU78" s="684"/>
      <c r="RV78" s="684"/>
      <c r="RW78" s="684"/>
      <c r="RX78" s="684"/>
      <c r="RY78" s="684"/>
      <c r="RZ78" s="684"/>
      <c r="SA78" s="684"/>
      <c r="SB78" s="684"/>
      <c r="SC78" s="684"/>
      <c r="SD78" s="684"/>
      <c r="SE78" s="684"/>
      <c r="SF78" s="684"/>
      <c r="SG78" s="684"/>
      <c r="SH78" s="684"/>
      <c r="SI78" s="684"/>
      <c r="SJ78" s="684"/>
      <c r="SK78" s="684"/>
      <c r="SL78" s="684"/>
      <c r="SM78" s="684"/>
      <c r="SN78" s="684"/>
      <c r="SO78" s="684"/>
      <c r="SP78" s="684"/>
      <c r="SQ78" s="684"/>
      <c r="SR78" s="684"/>
      <c r="SS78" s="684"/>
      <c r="ST78" s="684"/>
      <c r="SU78" s="684"/>
      <c r="SV78" s="684"/>
      <c r="SW78" s="684"/>
      <c r="SX78" s="684"/>
      <c r="SY78" s="684"/>
      <c r="SZ78" s="684"/>
      <c r="TA78" s="684"/>
      <c r="TB78" s="684"/>
      <c r="TC78" s="684"/>
      <c r="TD78" s="684"/>
      <c r="TE78" s="684"/>
      <c r="TF78" s="684"/>
      <c r="TG78" s="684"/>
      <c r="TH78" s="684"/>
      <c r="TI78" s="684"/>
      <c r="TJ78" s="684"/>
      <c r="TK78" s="684"/>
      <c r="TL78" s="684"/>
      <c r="TM78" s="684"/>
      <c r="TN78" s="684"/>
      <c r="TO78" s="684"/>
      <c r="TP78" s="684"/>
      <c r="TQ78" s="684"/>
      <c r="TR78" s="684"/>
      <c r="TS78" s="684"/>
      <c r="TT78" s="684"/>
      <c r="TU78" s="684"/>
      <c r="TV78" s="684"/>
      <c r="TW78" s="684"/>
      <c r="TX78" s="684"/>
      <c r="TY78" s="684"/>
      <c r="TZ78" s="684"/>
      <c r="UA78" s="684"/>
      <c r="UB78" s="684"/>
      <c r="UC78" s="684"/>
      <c r="UD78" s="684"/>
      <c r="UE78" s="684"/>
      <c r="UF78" s="684"/>
      <c r="UG78" s="684"/>
      <c r="UH78" s="684"/>
      <c r="UI78" s="684"/>
      <c r="UJ78" s="684"/>
      <c r="UK78" s="684"/>
      <c r="UL78" s="684"/>
      <c r="UM78" s="684"/>
      <c r="UN78" s="684"/>
      <c r="UO78" s="684"/>
      <c r="UP78" s="684"/>
      <c r="UQ78" s="684"/>
      <c r="UR78" s="684"/>
      <c r="US78" s="684"/>
      <c r="UT78" s="684"/>
      <c r="UU78" s="684"/>
      <c r="UV78" s="684"/>
      <c r="UW78" s="684"/>
      <c r="UX78" s="684"/>
      <c r="UY78" s="684"/>
      <c r="UZ78" s="684"/>
      <c r="VA78" s="684"/>
      <c r="VB78" s="684"/>
      <c r="VC78" s="684"/>
      <c r="VD78" s="684"/>
      <c r="VE78" s="684"/>
      <c r="VF78" s="684"/>
      <c r="VG78" s="684"/>
      <c r="VH78" s="684"/>
      <c r="VI78" s="684"/>
      <c r="VJ78" s="684"/>
      <c r="VK78" s="684"/>
      <c r="VL78" s="684"/>
      <c r="VM78" s="684"/>
      <c r="VN78" s="684"/>
      <c r="VO78" s="684"/>
      <c r="VP78" s="684"/>
      <c r="VQ78" s="684"/>
      <c r="VR78" s="684"/>
      <c r="VS78" s="684"/>
      <c r="VT78" s="684"/>
      <c r="VU78" s="684"/>
      <c r="VV78" s="684"/>
      <c r="VW78" s="684"/>
      <c r="VX78" s="684"/>
      <c r="VY78" s="684"/>
      <c r="VZ78" s="684"/>
      <c r="WA78" s="684"/>
      <c r="WB78" s="684"/>
      <c r="WC78" s="684"/>
      <c r="WD78" s="684"/>
      <c r="WE78" s="684"/>
      <c r="WF78" s="684"/>
      <c r="WG78" s="684"/>
      <c r="WH78" s="684"/>
      <c r="WI78" s="684"/>
      <c r="WJ78" s="684"/>
      <c r="WK78" s="684"/>
      <c r="WL78" s="684"/>
      <c r="WM78" s="684"/>
      <c r="WN78" s="684"/>
      <c r="WO78" s="684"/>
      <c r="WP78" s="684"/>
      <c r="WQ78" s="684"/>
      <c r="WR78" s="684"/>
      <c r="WS78" s="684"/>
      <c r="WT78" s="684"/>
      <c r="WU78" s="684"/>
      <c r="WV78" s="684"/>
      <c r="WW78" s="684"/>
      <c r="WX78" s="684"/>
      <c r="WY78" s="684"/>
      <c r="WZ78" s="684"/>
      <c r="XA78" s="684"/>
      <c r="XB78" s="684"/>
      <c r="XC78" s="684"/>
      <c r="XD78" s="684"/>
      <c r="XE78" s="684"/>
      <c r="XF78" s="684"/>
      <c r="XG78" s="684"/>
      <c r="XH78" s="684"/>
      <c r="XI78" s="684"/>
      <c r="XJ78" s="684"/>
      <c r="XK78" s="684"/>
      <c r="XL78" s="684"/>
      <c r="XM78" s="684"/>
      <c r="XN78" s="684"/>
      <c r="XO78" s="684"/>
      <c r="XP78" s="684"/>
      <c r="XQ78" s="684"/>
      <c r="XR78" s="684"/>
      <c r="XS78" s="684"/>
      <c r="XT78" s="684"/>
      <c r="XU78" s="684"/>
      <c r="XV78" s="684"/>
      <c r="XW78" s="684"/>
      <c r="XX78" s="684"/>
      <c r="XY78" s="684"/>
      <c r="XZ78" s="684"/>
      <c r="YA78" s="684"/>
      <c r="YB78" s="684"/>
      <c r="YC78" s="684"/>
      <c r="YD78" s="684"/>
      <c r="YE78" s="684"/>
      <c r="YF78" s="684"/>
      <c r="YG78" s="684"/>
      <c r="YH78" s="684"/>
      <c r="YI78" s="684"/>
      <c r="YJ78" s="684"/>
      <c r="YK78" s="684"/>
      <c r="YL78" s="684"/>
      <c r="YM78" s="684"/>
      <c r="YN78" s="684"/>
      <c r="YO78" s="684"/>
      <c r="YP78" s="684"/>
      <c r="YQ78" s="684"/>
      <c r="YR78" s="684"/>
      <c r="YS78" s="684"/>
      <c r="YT78" s="684"/>
      <c r="YU78" s="684"/>
      <c r="YV78" s="684"/>
      <c r="YW78" s="684"/>
      <c r="YX78" s="684"/>
      <c r="YY78" s="684"/>
      <c r="YZ78" s="684"/>
      <c r="ZA78" s="684"/>
      <c r="ZB78" s="684"/>
      <c r="ZC78" s="684"/>
      <c r="ZD78" s="684"/>
      <c r="ZE78" s="684"/>
      <c r="ZF78" s="684"/>
      <c r="ZG78" s="684"/>
      <c r="ZH78" s="684"/>
      <c r="ZI78" s="684"/>
      <c r="ZJ78" s="684"/>
      <c r="ZK78" s="684"/>
      <c r="ZL78" s="684"/>
      <c r="ZM78" s="684"/>
      <c r="ZN78" s="684"/>
      <c r="ZO78" s="684"/>
      <c r="ZP78" s="684"/>
      <c r="ZQ78" s="684"/>
      <c r="ZR78" s="684"/>
      <c r="ZS78" s="684"/>
      <c r="ZT78" s="684"/>
      <c r="ZU78" s="684"/>
      <c r="ZV78" s="684"/>
      <c r="ZW78" s="684"/>
      <c r="ZX78" s="684"/>
      <c r="ZY78" s="684"/>
      <c r="ZZ78" s="684"/>
      <c r="AAA78" s="684"/>
      <c r="AAB78" s="684"/>
      <c r="AAC78" s="684"/>
      <c r="AAD78" s="684"/>
      <c r="AAE78" s="684"/>
      <c r="AAF78" s="684"/>
      <c r="AAG78" s="684"/>
      <c r="AAH78" s="684"/>
      <c r="AAI78" s="684"/>
      <c r="AAJ78" s="684"/>
      <c r="AAK78" s="684"/>
      <c r="AAL78" s="684"/>
      <c r="AAM78" s="684"/>
      <c r="AAN78" s="684"/>
      <c r="AAO78" s="684"/>
      <c r="AAP78" s="684"/>
      <c r="AAQ78" s="684"/>
      <c r="AAR78" s="684"/>
      <c r="AAS78" s="684"/>
      <c r="AAT78" s="684"/>
      <c r="AAU78" s="684"/>
      <c r="AAV78" s="684"/>
      <c r="AAW78" s="684"/>
      <c r="AAX78" s="684"/>
      <c r="AAY78" s="684"/>
      <c r="AAZ78" s="684"/>
      <c r="ABA78" s="684"/>
      <c r="ABB78" s="684"/>
      <c r="ABC78" s="684"/>
      <c r="ABD78" s="684"/>
      <c r="ABE78" s="684"/>
      <c r="ABF78" s="684"/>
      <c r="ABG78" s="684"/>
      <c r="ABH78" s="684"/>
      <c r="ABI78" s="684"/>
      <c r="ABJ78" s="684"/>
      <c r="ABK78" s="684"/>
      <c r="ABL78" s="684"/>
      <c r="ABM78" s="684"/>
      <c r="ABN78" s="684"/>
      <c r="ABO78" s="684"/>
      <c r="ABP78" s="684"/>
      <c r="ABQ78" s="684"/>
      <c r="ABR78" s="684"/>
      <c r="ABS78" s="684"/>
      <c r="ABT78" s="684"/>
      <c r="ABU78" s="684"/>
      <c r="ABV78" s="684"/>
      <c r="ABW78" s="684"/>
      <c r="ABX78" s="684"/>
      <c r="ABY78" s="684"/>
      <c r="ABZ78" s="684"/>
      <c r="ACA78" s="684"/>
      <c r="ACB78" s="684"/>
      <c r="ACC78" s="684"/>
      <c r="ACD78" s="684"/>
      <c r="ACE78" s="684"/>
      <c r="ACF78" s="684"/>
      <c r="ACG78" s="684"/>
      <c r="ACH78" s="684"/>
      <c r="ACI78" s="684"/>
      <c r="ACJ78" s="684"/>
      <c r="ACK78" s="684"/>
      <c r="ACL78" s="684"/>
      <c r="ACM78" s="684"/>
      <c r="ACN78" s="684"/>
      <c r="ACO78" s="684"/>
      <c r="ACP78" s="684"/>
      <c r="ACQ78" s="684"/>
      <c r="ACR78" s="684"/>
      <c r="ACS78" s="684"/>
      <c r="ACT78" s="684"/>
      <c r="ACU78" s="684"/>
      <c r="ACV78" s="684"/>
      <c r="ACW78" s="684"/>
      <c r="ACX78" s="684"/>
      <c r="ACY78" s="684"/>
      <c r="ACZ78" s="684"/>
      <c r="ADA78" s="684"/>
      <c r="ADB78" s="684"/>
      <c r="ADC78" s="684"/>
      <c r="ADD78" s="684"/>
      <c r="ADE78" s="684"/>
      <c r="ADF78" s="684"/>
      <c r="ADG78" s="684"/>
      <c r="ADH78" s="684"/>
      <c r="ADI78" s="684"/>
      <c r="ADJ78" s="684"/>
      <c r="ADK78" s="684"/>
      <c r="ADL78" s="684"/>
      <c r="ADM78" s="684"/>
      <c r="ADN78" s="684"/>
      <c r="ADO78" s="684"/>
      <c r="ADP78" s="684"/>
      <c r="ADQ78" s="684"/>
      <c r="ADR78" s="684"/>
      <c r="ADS78" s="684"/>
      <c r="ADT78" s="684"/>
      <c r="ADU78" s="684"/>
      <c r="ADV78" s="684"/>
      <c r="ADW78" s="684"/>
      <c r="ADX78" s="684"/>
      <c r="ADY78" s="684"/>
      <c r="ADZ78" s="684"/>
      <c r="AEA78" s="684"/>
      <c r="AEB78" s="684"/>
      <c r="AEC78" s="684"/>
      <c r="AED78" s="684"/>
      <c r="AEE78" s="684"/>
      <c r="AEF78" s="684"/>
      <c r="AEG78" s="684"/>
      <c r="AEH78" s="684"/>
      <c r="AEI78" s="684"/>
      <c r="AEJ78" s="684"/>
      <c r="AEK78" s="684"/>
      <c r="AEL78" s="684"/>
      <c r="AEM78" s="684"/>
      <c r="AEN78" s="684"/>
      <c r="AEO78" s="684"/>
      <c r="AEP78" s="684"/>
      <c r="AEQ78" s="684"/>
      <c r="AER78" s="684"/>
      <c r="AES78" s="684"/>
      <c r="AET78" s="684"/>
      <c r="AEU78" s="684"/>
      <c r="AEV78" s="684"/>
      <c r="AEW78" s="684"/>
      <c r="AEX78" s="684"/>
      <c r="AEY78" s="684"/>
      <c r="AEZ78" s="684"/>
      <c r="AFA78" s="684"/>
      <c r="AFB78" s="684"/>
      <c r="AFC78" s="684"/>
      <c r="AFD78" s="684"/>
      <c r="AFE78" s="684"/>
      <c r="AFF78" s="684"/>
      <c r="AFG78" s="684"/>
      <c r="AFH78" s="684"/>
      <c r="AFI78" s="684"/>
      <c r="AFJ78" s="684"/>
      <c r="AFK78" s="684"/>
      <c r="AFL78" s="684"/>
      <c r="AFM78" s="684"/>
      <c r="AFN78" s="684"/>
      <c r="AFO78" s="684"/>
      <c r="AFP78" s="684"/>
      <c r="AFQ78" s="684"/>
      <c r="AFR78" s="684"/>
      <c r="AFS78" s="684"/>
      <c r="AFT78" s="684"/>
      <c r="AFU78" s="684"/>
      <c r="AFV78" s="684"/>
      <c r="AFW78" s="684"/>
      <c r="AFX78" s="684"/>
      <c r="AFY78" s="684"/>
      <c r="AFZ78" s="684"/>
      <c r="AGA78" s="684"/>
      <c r="AGB78" s="684"/>
      <c r="AGC78" s="684"/>
      <c r="AGD78" s="684"/>
      <c r="AGE78" s="684"/>
      <c r="AGF78" s="684"/>
      <c r="AGG78" s="684"/>
      <c r="AGH78" s="684"/>
      <c r="AGI78" s="684"/>
      <c r="AGJ78" s="684"/>
      <c r="AGK78" s="684"/>
      <c r="AGL78" s="684"/>
      <c r="AGM78" s="684"/>
      <c r="AGN78" s="684"/>
      <c r="AGO78" s="684"/>
      <c r="AGP78" s="684"/>
      <c r="AGQ78" s="684"/>
      <c r="AGR78" s="684"/>
      <c r="AGS78" s="684"/>
      <c r="AGT78" s="684"/>
      <c r="AGU78" s="684"/>
      <c r="AGV78" s="684"/>
      <c r="AGW78" s="684"/>
      <c r="AGX78" s="684"/>
      <c r="AGY78" s="684"/>
      <c r="AGZ78" s="684"/>
      <c r="AHA78" s="684"/>
      <c r="AHB78" s="684"/>
      <c r="AHC78" s="684"/>
      <c r="AHD78" s="684"/>
      <c r="AHE78" s="684"/>
      <c r="AHF78" s="684"/>
      <c r="AHG78" s="684"/>
      <c r="AHH78" s="684"/>
      <c r="AHI78" s="684"/>
      <c r="AHJ78" s="684"/>
      <c r="AHK78" s="684"/>
      <c r="AHL78" s="684"/>
      <c r="AHM78" s="684"/>
      <c r="AHN78" s="684"/>
      <c r="AHO78" s="684"/>
      <c r="AHP78" s="684"/>
      <c r="AHQ78" s="684"/>
      <c r="AHR78" s="684"/>
      <c r="AHS78" s="684"/>
      <c r="AHT78" s="684"/>
      <c r="AHU78" s="684"/>
      <c r="AHV78" s="684"/>
      <c r="AHW78" s="684"/>
      <c r="AHX78" s="684"/>
      <c r="AHY78" s="684"/>
      <c r="AHZ78" s="684"/>
      <c r="AIA78" s="684"/>
      <c r="AIB78" s="684"/>
      <c r="AIC78" s="684"/>
      <c r="AID78" s="684"/>
      <c r="AIE78" s="684"/>
      <c r="AIF78" s="684"/>
      <c r="AIG78" s="684"/>
      <c r="AIH78" s="684"/>
      <c r="AII78" s="684"/>
      <c r="AIJ78" s="684"/>
      <c r="AIK78" s="684"/>
      <c r="AIL78" s="684"/>
      <c r="AIM78" s="684"/>
      <c r="AIN78" s="684"/>
      <c r="AIO78" s="684"/>
      <c r="AIP78" s="684"/>
      <c r="AIQ78" s="684"/>
      <c r="AIR78" s="684"/>
      <c r="AIS78" s="684"/>
      <c r="AIT78" s="684"/>
      <c r="AIU78" s="684"/>
      <c r="AIV78" s="684"/>
      <c r="AIW78" s="684"/>
      <c r="AIX78" s="684"/>
      <c r="AIY78" s="684"/>
      <c r="AIZ78" s="684"/>
      <c r="AJA78" s="684"/>
      <c r="AJB78" s="684"/>
      <c r="AJC78" s="684"/>
      <c r="AJD78" s="684"/>
      <c r="AJE78" s="684"/>
      <c r="AJF78" s="684"/>
      <c r="AJG78" s="684"/>
      <c r="AJH78" s="684"/>
      <c r="AJI78" s="684"/>
      <c r="AJJ78" s="684"/>
      <c r="AJK78" s="684"/>
      <c r="AJL78" s="684"/>
      <c r="AJM78" s="684"/>
      <c r="AJN78" s="684"/>
      <c r="AJO78" s="684"/>
      <c r="AJP78" s="684"/>
      <c r="AJQ78" s="684"/>
      <c r="AJR78" s="684"/>
      <c r="AJS78" s="684"/>
      <c r="AJT78" s="684"/>
      <c r="AJU78" s="684"/>
      <c r="AJV78" s="684"/>
      <c r="AJW78" s="684"/>
      <c r="AJX78" s="684"/>
      <c r="AJY78" s="684"/>
      <c r="AJZ78" s="684"/>
      <c r="AKA78" s="684"/>
      <c r="AKB78" s="684"/>
      <c r="AKC78" s="684"/>
      <c r="AKD78" s="684"/>
      <c r="AKE78" s="684"/>
      <c r="AKF78" s="684"/>
      <c r="AKG78" s="684"/>
      <c r="AKH78" s="684"/>
      <c r="AKI78" s="684"/>
      <c r="AKJ78" s="684"/>
      <c r="AKK78" s="684"/>
      <c r="AKL78" s="684"/>
      <c r="AKM78" s="684"/>
      <c r="AKN78" s="684"/>
      <c r="AKO78" s="684"/>
      <c r="AKP78" s="684"/>
      <c r="AKQ78" s="684"/>
      <c r="AKR78" s="684"/>
      <c r="AKS78" s="684"/>
      <c r="AKT78" s="684"/>
      <c r="AKU78" s="684"/>
      <c r="AKV78" s="684"/>
      <c r="AKW78" s="684"/>
      <c r="AKX78" s="684"/>
      <c r="AKY78" s="684"/>
      <c r="AKZ78" s="684"/>
      <c r="ALA78" s="684"/>
      <c r="ALB78" s="684"/>
      <c r="ALC78" s="684"/>
      <c r="ALD78" s="684"/>
      <c r="ALE78" s="684"/>
      <c r="ALF78" s="684"/>
      <c r="ALG78" s="684"/>
      <c r="ALH78" s="684"/>
      <c r="ALI78" s="684"/>
      <c r="ALJ78" s="684"/>
      <c r="ALK78" s="684"/>
      <c r="ALL78" s="684"/>
      <c r="ALM78" s="684"/>
      <c r="ALN78" s="684"/>
      <c r="ALO78" s="684"/>
      <c r="ALP78" s="684"/>
      <c r="ALQ78" s="684"/>
      <c r="ALR78" s="684"/>
      <c r="ALS78" s="684"/>
      <c r="ALT78" s="684"/>
      <c r="ALU78" s="684"/>
      <c r="ALV78" s="684"/>
      <c r="ALW78" s="684"/>
      <c r="ALX78" s="684"/>
      <c r="ALY78" s="684"/>
      <c r="ALZ78" s="684"/>
      <c r="AMA78" s="684"/>
      <c r="AMB78" s="684"/>
      <c r="AMC78" s="684"/>
      <c r="AMD78" s="684"/>
      <c r="AME78" s="684"/>
      <c r="AMF78" s="684"/>
      <c r="AMG78" s="684"/>
      <c r="AMH78" s="684"/>
      <c r="AMI78" s="684"/>
      <c r="AMJ78" s="684"/>
      <c r="AMK78" s="684"/>
      <c r="AML78" s="684"/>
      <c r="AMM78" s="684"/>
      <c r="AMN78" s="684"/>
      <c r="AMO78" s="684"/>
      <c r="AMP78" s="684"/>
      <c r="AMQ78" s="684"/>
      <c r="AMR78" s="684"/>
      <c r="AMS78" s="684"/>
      <c r="AMT78" s="684"/>
      <c r="AMU78" s="684"/>
      <c r="AMV78" s="684"/>
      <c r="AMW78" s="684"/>
      <c r="AMX78" s="684"/>
      <c r="AMY78" s="684"/>
      <c r="AMZ78" s="684"/>
      <c r="ANA78" s="684"/>
      <c r="ANB78" s="684"/>
      <c r="ANC78" s="684"/>
      <c r="AND78" s="684"/>
      <c r="ANE78" s="684"/>
      <c r="ANF78" s="684"/>
      <c r="ANG78" s="684"/>
      <c r="ANH78" s="684"/>
      <c r="ANI78" s="684"/>
      <c r="ANJ78" s="684"/>
      <c r="ANK78" s="684"/>
      <c r="ANL78" s="684"/>
      <c r="ANM78" s="684"/>
      <c r="ANN78" s="684"/>
      <c r="ANO78" s="684"/>
      <c r="ANP78" s="684"/>
      <c r="ANQ78" s="684"/>
      <c r="ANR78" s="684"/>
      <c r="ANS78" s="684"/>
      <c r="ANT78" s="684"/>
      <c r="ANU78" s="684"/>
      <c r="ANV78" s="684"/>
      <c r="ANW78" s="684"/>
      <c r="ANX78" s="684"/>
      <c r="ANY78" s="684"/>
      <c r="ANZ78" s="684"/>
      <c r="AOA78" s="684"/>
      <c r="AOB78" s="684"/>
      <c r="AOC78" s="684"/>
      <c r="AOD78" s="684"/>
      <c r="AOE78" s="684"/>
      <c r="AOF78" s="684"/>
      <c r="AOG78" s="684"/>
      <c r="AOH78" s="684"/>
      <c r="AOI78" s="684"/>
      <c r="AOJ78" s="684"/>
      <c r="AOK78" s="684"/>
      <c r="AOL78" s="684"/>
      <c r="AOM78" s="684"/>
      <c r="AON78" s="684"/>
      <c r="AOO78" s="684"/>
      <c r="AOP78" s="684"/>
      <c r="AOQ78" s="684"/>
      <c r="AOR78" s="684"/>
      <c r="AOS78" s="684"/>
      <c r="AOT78" s="684"/>
      <c r="AOU78" s="684"/>
      <c r="AOV78" s="684"/>
      <c r="AOW78" s="684"/>
      <c r="AOX78" s="684"/>
      <c r="AOY78" s="684"/>
      <c r="AOZ78" s="684"/>
      <c r="APA78" s="684"/>
      <c r="APB78" s="684"/>
      <c r="APC78" s="684"/>
      <c r="APD78" s="684"/>
      <c r="APE78" s="684"/>
      <c r="APF78" s="684"/>
      <c r="APG78" s="684"/>
      <c r="APH78" s="684"/>
      <c r="API78" s="684"/>
      <c r="APJ78" s="684"/>
      <c r="APK78" s="684"/>
      <c r="APL78" s="684"/>
      <c r="APM78" s="684"/>
      <c r="APN78" s="684"/>
      <c r="APO78" s="684"/>
      <c r="APP78" s="684"/>
      <c r="APQ78" s="684"/>
      <c r="APR78" s="684"/>
      <c r="APS78" s="684"/>
      <c r="APT78" s="684"/>
      <c r="APU78" s="684"/>
      <c r="APV78" s="684"/>
      <c r="APW78" s="684"/>
      <c r="APX78" s="684"/>
      <c r="APY78" s="684"/>
      <c r="APZ78" s="684"/>
      <c r="AQA78" s="684"/>
      <c r="AQB78" s="684"/>
      <c r="AQC78" s="684"/>
      <c r="AQD78" s="684"/>
      <c r="AQE78" s="684"/>
      <c r="AQF78" s="684"/>
      <c r="AQG78" s="684"/>
      <c r="AQH78" s="684"/>
      <c r="AQI78" s="684"/>
      <c r="AQJ78" s="684"/>
      <c r="AQK78" s="684"/>
      <c r="AQL78" s="684"/>
      <c r="AQM78" s="684"/>
      <c r="AQN78" s="684"/>
      <c r="AQO78" s="684"/>
      <c r="AQP78" s="684"/>
      <c r="AQQ78" s="684"/>
      <c r="AQR78" s="684"/>
      <c r="AQS78" s="684"/>
      <c r="AQT78" s="684"/>
      <c r="AQU78" s="684"/>
      <c r="AQV78" s="684"/>
      <c r="AQW78" s="684"/>
      <c r="AQX78" s="684"/>
      <c r="AQY78" s="684"/>
      <c r="AQZ78" s="684"/>
      <c r="ARA78" s="684"/>
      <c r="ARB78" s="684"/>
      <c r="ARC78" s="684"/>
      <c r="ARD78" s="684"/>
      <c r="ARE78" s="684"/>
      <c r="ARF78" s="684"/>
      <c r="ARG78" s="684"/>
      <c r="ARH78" s="684"/>
      <c r="ARI78" s="684"/>
      <c r="ARJ78" s="684"/>
      <c r="ARK78" s="684"/>
      <c r="ARL78" s="684"/>
      <c r="ARM78" s="684"/>
      <c r="ARN78" s="684"/>
      <c r="ARO78" s="684"/>
      <c r="ARP78" s="684"/>
      <c r="ARQ78" s="684"/>
      <c r="ARR78" s="684"/>
      <c r="ARS78" s="684"/>
      <c r="ART78" s="684"/>
      <c r="ARU78" s="684"/>
      <c r="ARV78" s="684"/>
      <c r="ARW78" s="684"/>
      <c r="ARX78" s="684"/>
      <c r="ARY78" s="684"/>
      <c r="ARZ78" s="684"/>
      <c r="ASA78" s="684"/>
      <c r="ASB78" s="684"/>
      <c r="ASC78" s="684"/>
      <c r="ASD78" s="684"/>
      <c r="ASE78" s="684"/>
      <c r="ASF78" s="684"/>
      <c r="ASG78" s="684"/>
      <c r="ASH78" s="684"/>
      <c r="ASI78" s="684"/>
      <c r="ASJ78" s="684"/>
      <c r="ASK78" s="684"/>
      <c r="ASL78" s="684"/>
      <c r="ASM78" s="684"/>
      <c r="ASN78" s="684"/>
      <c r="ASO78" s="684"/>
      <c r="ASP78" s="684"/>
      <c r="ASQ78" s="684"/>
      <c r="ASR78" s="684"/>
      <c r="ASS78" s="684"/>
      <c r="AST78" s="684"/>
      <c r="ASU78" s="684"/>
      <c r="ASV78" s="684"/>
      <c r="ASW78" s="684"/>
      <c r="ASX78" s="684"/>
      <c r="ASY78" s="684"/>
      <c r="ASZ78" s="684"/>
      <c r="ATA78" s="684"/>
      <c r="ATB78" s="684"/>
      <c r="ATC78" s="684"/>
      <c r="ATD78" s="684"/>
      <c r="ATE78" s="684"/>
      <c r="ATF78" s="684"/>
      <c r="ATG78" s="684"/>
      <c r="ATH78" s="684"/>
      <c r="ATI78" s="684"/>
      <c r="ATJ78" s="684"/>
      <c r="ATK78" s="684"/>
      <c r="ATL78" s="684"/>
      <c r="ATM78" s="684"/>
      <c r="ATN78" s="684"/>
      <c r="ATO78" s="684"/>
      <c r="ATP78" s="684"/>
      <c r="ATQ78" s="684"/>
      <c r="ATR78" s="684"/>
      <c r="ATS78" s="684"/>
      <c r="ATT78" s="684"/>
      <c r="ATU78" s="684"/>
      <c r="ATV78" s="684"/>
      <c r="ATW78" s="684"/>
      <c r="ATX78" s="684"/>
      <c r="ATY78" s="684"/>
      <c r="ATZ78" s="684"/>
      <c r="AUA78" s="684"/>
      <c r="AUB78" s="684"/>
      <c r="AUC78" s="684"/>
      <c r="AUD78" s="684"/>
      <c r="AUE78" s="684"/>
      <c r="AUF78" s="684"/>
      <c r="AUG78" s="684"/>
      <c r="AUH78" s="684"/>
      <c r="AUI78" s="684"/>
      <c r="AUJ78" s="684"/>
      <c r="AUK78" s="684"/>
      <c r="AUL78" s="684"/>
      <c r="AUM78" s="684"/>
      <c r="AUN78" s="684"/>
      <c r="AUO78" s="684"/>
      <c r="AUP78" s="684"/>
      <c r="AUQ78" s="684"/>
      <c r="AUR78" s="684"/>
      <c r="AUS78" s="684"/>
      <c r="AUT78" s="684"/>
      <c r="AUU78" s="684"/>
      <c r="AUV78" s="684"/>
      <c r="AUW78" s="684"/>
      <c r="AUX78" s="684"/>
      <c r="AUY78" s="684"/>
      <c r="AUZ78" s="684"/>
      <c r="AVA78" s="684"/>
      <c r="AVB78" s="684"/>
      <c r="AVC78" s="684"/>
      <c r="AVD78" s="684"/>
      <c r="AVE78" s="684"/>
      <c r="AVF78" s="684"/>
      <c r="AVG78" s="684"/>
      <c r="AVH78" s="684"/>
      <c r="AVI78" s="684"/>
      <c r="AVJ78" s="684"/>
      <c r="AVK78" s="684"/>
      <c r="AVL78" s="684"/>
      <c r="AVM78" s="684"/>
      <c r="AVN78" s="684"/>
      <c r="AVO78" s="684"/>
      <c r="AVP78" s="684"/>
      <c r="AVQ78" s="684"/>
      <c r="AVR78" s="684"/>
      <c r="AVS78" s="684"/>
      <c r="AVT78" s="684"/>
      <c r="AVU78" s="684"/>
      <c r="AVV78" s="684"/>
      <c r="AVW78" s="684"/>
      <c r="AVX78" s="684"/>
      <c r="AVY78" s="684"/>
      <c r="AVZ78" s="684"/>
      <c r="AWA78" s="684"/>
      <c r="AWB78" s="684"/>
      <c r="AWC78" s="684"/>
      <c r="AWD78" s="684"/>
      <c r="AWE78" s="684"/>
      <c r="AWF78" s="684"/>
      <c r="AWG78" s="684"/>
      <c r="AWH78" s="684"/>
      <c r="AWI78" s="684"/>
      <c r="AWJ78" s="684"/>
      <c r="AWK78" s="684"/>
      <c r="AWL78" s="684"/>
      <c r="AWM78" s="684"/>
      <c r="AWN78" s="684"/>
      <c r="AWO78" s="684"/>
      <c r="AWP78" s="684"/>
      <c r="AWQ78" s="684"/>
      <c r="AWR78" s="684"/>
      <c r="AWS78" s="684"/>
      <c r="AWT78" s="684"/>
      <c r="AWU78" s="684"/>
      <c r="AWV78" s="684"/>
      <c r="AWW78" s="684"/>
      <c r="AWX78" s="684"/>
      <c r="AWY78" s="684"/>
      <c r="AWZ78" s="684"/>
      <c r="AXA78" s="684"/>
      <c r="AXB78" s="684"/>
      <c r="AXC78" s="684"/>
      <c r="AXD78" s="684"/>
      <c r="AXE78" s="684"/>
      <c r="AXF78" s="684"/>
      <c r="AXG78" s="684"/>
      <c r="AXH78" s="684"/>
      <c r="AXI78" s="684"/>
      <c r="AXJ78" s="684"/>
      <c r="AXK78" s="684"/>
      <c r="AXL78" s="684"/>
      <c r="AXM78" s="684"/>
      <c r="AXN78" s="684"/>
      <c r="AXO78" s="684"/>
      <c r="AXP78" s="684"/>
      <c r="AXQ78" s="684"/>
      <c r="AXR78" s="684"/>
      <c r="AXS78" s="684"/>
      <c r="AXT78" s="684"/>
      <c r="AXU78" s="684"/>
      <c r="AXV78" s="684"/>
      <c r="AXW78" s="684"/>
      <c r="AXX78" s="684"/>
      <c r="AXY78" s="684"/>
      <c r="AXZ78" s="684"/>
      <c r="AYA78" s="684"/>
      <c r="AYB78" s="684"/>
      <c r="AYC78" s="684"/>
      <c r="AYD78" s="684"/>
      <c r="AYE78" s="684"/>
      <c r="AYF78" s="684"/>
      <c r="AYG78" s="684"/>
      <c r="AYH78" s="684"/>
      <c r="AYI78" s="684"/>
      <c r="AYJ78" s="684"/>
      <c r="AYK78" s="684"/>
      <c r="AYL78" s="684"/>
      <c r="AYM78" s="684"/>
      <c r="AYN78" s="684"/>
      <c r="AYO78" s="684"/>
      <c r="AYP78" s="684"/>
      <c r="AYQ78" s="684"/>
      <c r="AYR78" s="684"/>
      <c r="AYS78" s="684"/>
      <c r="AYT78" s="684"/>
      <c r="AYU78" s="684"/>
      <c r="AYV78" s="684"/>
      <c r="AYW78" s="684"/>
      <c r="AYX78" s="684"/>
      <c r="AYY78" s="684"/>
      <c r="AYZ78" s="684"/>
      <c r="AZA78" s="684"/>
      <c r="AZB78" s="684"/>
      <c r="AZC78" s="684"/>
      <c r="AZD78" s="684"/>
      <c r="AZE78" s="684"/>
      <c r="AZF78" s="684"/>
      <c r="AZG78" s="684"/>
      <c r="AZH78" s="684"/>
      <c r="AZI78" s="684"/>
      <c r="AZJ78" s="684"/>
      <c r="AZK78" s="684"/>
      <c r="AZL78" s="684"/>
      <c r="AZM78" s="684"/>
      <c r="AZN78" s="684"/>
      <c r="AZO78" s="684"/>
      <c r="AZP78" s="684"/>
      <c r="AZQ78" s="684"/>
      <c r="AZR78" s="684"/>
      <c r="AZS78" s="684"/>
      <c r="AZT78" s="684"/>
      <c r="AZU78" s="684"/>
      <c r="AZV78" s="684"/>
      <c r="AZW78" s="684"/>
      <c r="AZX78" s="684"/>
      <c r="AZY78" s="684"/>
      <c r="AZZ78" s="684"/>
      <c r="BAA78" s="684"/>
      <c r="BAB78" s="684"/>
      <c r="BAC78" s="684"/>
      <c r="BAD78" s="684"/>
      <c r="BAE78" s="684"/>
      <c r="BAF78" s="684"/>
      <c r="BAG78" s="684"/>
      <c r="BAH78" s="684"/>
      <c r="BAI78" s="684"/>
      <c r="BAJ78" s="684"/>
      <c r="BAK78" s="684"/>
      <c r="BAL78" s="684"/>
      <c r="BAM78" s="684"/>
      <c r="BAN78" s="684"/>
      <c r="BAO78" s="684"/>
      <c r="BAP78" s="684"/>
      <c r="BAQ78" s="684"/>
      <c r="BAR78" s="684"/>
      <c r="BAS78" s="684"/>
      <c r="BAT78" s="684"/>
      <c r="BAU78" s="684"/>
      <c r="BAV78" s="684"/>
      <c r="BAW78" s="684"/>
      <c r="BAX78" s="684"/>
      <c r="BAY78" s="684"/>
      <c r="BAZ78" s="684"/>
      <c r="BBA78" s="684"/>
      <c r="BBB78" s="684"/>
      <c r="BBC78" s="684"/>
      <c r="BBD78" s="684"/>
      <c r="BBE78" s="684"/>
      <c r="BBF78" s="684"/>
      <c r="BBG78" s="684"/>
      <c r="BBH78" s="684"/>
      <c r="BBI78" s="684"/>
      <c r="BBJ78" s="684"/>
      <c r="BBK78" s="684"/>
      <c r="BBL78" s="684"/>
      <c r="BBM78" s="684"/>
      <c r="BBN78" s="684"/>
      <c r="BBO78" s="684"/>
      <c r="BBP78" s="684"/>
      <c r="BBQ78" s="684"/>
      <c r="BBR78" s="684"/>
      <c r="BBS78" s="684"/>
      <c r="BBT78" s="684"/>
      <c r="BBU78" s="684"/>
      <c r="BBV78" s="684"/>
      <c r="BBW78" s="684"/>
      <c r="BBX78" s="684"/>
      <c r="BBY78" s="684"/>
      <c r="BBZ78" s="684"/>
      <c r="BCA78" s="684"/>
      <c r="BCB78" s="684"/>
      <c r="BCC78" s="684"/>
      <c r="BCD78" s="684"/>
      <c r="BCE78" s="684"/>
      <c r="BCF78" s="684"/>
      <c r="BCG78" s="684"/>
      <c r="BCH78" s="684"/>
      <c r="BCI78" s="684"/>
      <c r="BCJ78" s="684"/>
      <c r="BCK78" s="684"/>
      <c r="BCL78" s="684"/>
      <c r="BCM78" s="684"/>
      <c r="BCN78" s="684"/>
      <c r="BCO78" s="684"/>
      <c r="BCP78" s="684"/>
      <c r="BCQ78" s="684"/>
      <c r="BCR78" s="684"/>
      <c r="BCS78" s="684"/>
      <c r="BCT78" s="684"/>
      <c r="BCU78" s="684"/>
      <c r="BCV78" s="684"/>
      <c r="BCW78" s="684"/>
      <c r="BCX78" s="684"/>
      <c r="BCY78" s="684"/>
      <c r="BCZ78" s="684"/>
      <c r="BDA78" s="684"/>
      <c r="BDB78" s="684"/>
      <c r="BDC78" s="684"/>
      <c r="BDD78" s="684"/>
      <c r="BDE78" s="684"/>
      <c r="BDF78" s="684"/>
      <c r="BDG78" s="684"/>
      <c r="BDH78" s="684"/>
      <c r="BDI78" s="684"/>
      <c r="BDJ78" s="684"/>
      <c r="BDK78" s="684"/>
      <c r="BDL78" s="684"/>
      <c r="BDM78" s="684"/>
      <c r="BDN78" s="684"/>
      <c r="BDO78" s="684"/>
      <c r="BDP78" s="684"/>
      <c r="BDQ78" s="684"/>
      <c r="BDR78" s="684"/>
      <c r="BDS78" s="684"/>
      <c r="BDT78" s="684"/>
      <c r="BDU78" s="684"/>
      <c r="BDV78" s="684"/>
      <c r="BDW78" s="684"/>
      <c r="BDX78" s="684"/>
      <c r="BDY78" s="684"/>
      <c r="BDZ78" s="684"/>
      <c r="BEA78" s="684"/>
      <c r="BEB78" s="684"/>
      <c r="BEC78" s="684"/>
      <c r="BED78" s="684"/>
      <c r="BEE78" s="684"/>
      <c r="BEF78" s="684"/>
      <c r="BEG78" s="684"/>
      <c r="BEH78" s="684"/>
      <c r="BEI78" s="684"/>
      <c r="BEJ78" s="684"/>
      <c r="BEK78" s="684"/>
      <c r="BEL78" s="684"/>
      <c r="BEM78" s="684"/>
      <c r="BEN78" s="684"/>
      <c r="BEO78" s="684"/>
      <c r="BEP78" s="684"/>
      <c r="BEQ78" s="684"/>
      <c r="BER78" s="684"/>
      <c r="BES78" s="684"/>
      <c r="BET78" s="684"/>
      <c r="BEU78" s="684"/>
      <c r="BEV78" s="684"/>
      <c r="BEW78" s="684"/>
      <c r="BEX78" s="684"/>
      <c r="BEY78" s="684"/>
      <c r="BEZ78" s="684"/>
      <c r="BFA78" s="684"/>
      <c r="BFB78" s="684"/>
      <c r="BFC78" s="684"/>
      <c r="BFD78" s="684"/>
      <c r="BFE78" s="684"/>
      <c r="BFF78" s="684"/>
      <c r="BFG78" s="684"/>
      <c r="BFH78" s="684"/>
      <c r="BFI78" s="684"/>
      <c r="BFJ78" s="684"/>
      <c r="BFK78" s="684"/>
      <c r="BFL78" s="684"/>
      <c r="BFM78" s="684"/>
      <c r="BFN78" s="684"/>
      <c r="BFO78" s="684"/>
      <c r="BFP78" s="684"/>
      <c r="BFQ78" s="684"/>
      <c r="BFR78" s="684"/>
      <c r="BFS78" s="684"/>
      <c r="BFT78" s="684"/>
      <c r="BFU78" s="684"/>
      <c r="BFV78" s="684"/>
      <c r="BFW78" s="684"/>
      <c r="BFX78" s="684"/>
      <c r="BFY78" s="684"/>
      <c r="BFZ78" s="684"/>
      <c r="BGA78" s="684"/>
      <c r="BGB78" s="684"/>
      <c r="BGC78" s="684"/>
      <c r="BGD78" s="684"/>
      <c r="BGE78" s="684"/>
      <c r="BGF78" s="684"/>
      <c r="BGG78" s="684"/>
      <c r="BGH78" s="684"/>
      <c r="BGI78" s="684"/>
      <c r="BGJ78" s="684"/>
      <c r="BGK78" s="684"/>
      <c r="BGL78" s="684"/>
      <c r="BGM78" s="684"/>
      <c r="BGN78" s="684"/>
      <c r="BGO78" s="684"/>
      <c r="BGP78" s="684"/>
      <c r="BGQ78" s="684"/>
      <c r="BGR78" s="684"/>
      <c r="BGS78" s="684"/>
      <c r="BGT78" s="684"/>
      <c r="BGU78" s="684"/>
      <c r="BGV78" s="684"/>
      <c r="BGW78" s="684"/>
      <c r="BGX78" s="684"/>
      <c r="BGY78" s="684"/>
      <c r="BGZ78" s="684"/>
      <c r="BHA78" s="684"/>
      <c r="BHB78" s="684"/>
      <c r="BHC78" s="684"/>
      <c r="BHD78" s="684"/>
      <c r="BHE78" s="684"/>
      <c r="BHF78" s="684"/>
      <c r="BHG78" s="684"/>
      <c r="BHH78" s="684"/>
      <c r="BHI78" s="684"/>
      <c r="BHJ78" s="684"/>
      <c r="BHK78" s="684"/>
      <c r="BHL78" s="684"/>
      <c r="BHM78" s="684"/>
      <c r="BHN78" s="684"/>
      <c r="BHO78" s="684"/>
      <c r="BHP78" s="684"/>
      <c r="BHQ78" s="684"/>
      <c r="BHR78" s="684"/>
      <c r="BHS78" s="684"/>
      <c r="BHT78" s="684"/>
      <c r="BHU78" s="684"/>
      <c r="BHV78" s="684"/>
      <c r="BHW78" s="684"/>
      <c r="BHX78" s="684"/>
      <c r="BHY78" s="684"/>
      <c r="BHZ78" s="684"/>
      <c r="BIA78" s="684"/>
      <c r="BIB78" s="684"/>
      <c r="BIC78" s="684"/>
      <c r="BID78" s="684"/>
      <c r="BIE78" s="684"/>
      <c r="BIF78" s="684"/>
      <c r="BIG78" s="684"/>
      <c r="BIH78" s="684"/>
      <c r="BII78" s="684"/>
      <c r="BIJ78" s="684"/>
      <c r="BIK78" s="684"/>
      <c r="BIL78" s="684"/>
      <c r="BIM78" s="684"/>
      <c r="BIN78" s="684"/>
      <c r="BIO78" s="684"/>
      <c r="BIP78" s="684"/>
      <c r="BIQ78" s="684"/>
      <c r="BIR78" s="684"/>
      <c r="BIS78" s="684"/>
      <c r="BIT78" s="684"/>
      <c r="BIU78" s="684"/>
      <c r="BIV78" s="684"/>
      <c r="BIW78" s="684"/>
      <c r="BIX78" s="684"/>
      <c r="BIY78" s="684"/>
      <c r="BIZ78" s="684"/>
      <c r="BJA78" s="684"/>
      <c r="BJB78" s="684"/>
      <c r="BJC78" s="684"/>
      <c r="BJD78" s="684"/>
      <c r="BJE78" s="684"/>
      <c r="BJF78" s="684"/>
      <c r="BJG78" s="684"/>
      <c r="BJH78" s="684"/>
      <c r="BJI78" s="684"/>
      <c r="BJJ78" s="684"/>
      <c r="BJK78" s="684"/>
      <c r="BJL78" s="684"/>
      <c r="BJM78" s="684"/>
      <c r="BJN78" s="684"/>
      <c r="BJO78" s="684"/>
      <c r="BJP78" s="684"/>
      <c r="BJQ78" s="684"/>
      <c r="BJR78" s="684"/>
      <c r="BJS78" s="684"/>
      <c r="BJT78" s="684"/>
      <c r="BJU78" s="684"/>
      <c r="BJV78" s="684"/>
      <c r="BJW78" s="684"/>
      <c r="BJX78" s="684"/>
      <c r="BJY78" s="684"/>
      <c r="BJZ78" s="684"/>
      <c r="BKA78" s="684"/>
      <c r="BKB78" s="684"/>
      <c r="BKC78" s="684"/>
      <c r="BKD78" s="684"/>
      <c r="BKE78" s="684"/>
      <c r="BKF78" s="684"/>
      <c r="BKG78" s="684"/>
      <c r="BKH78" s="684"/>
      <c r="BKI78" s="684"/>
      <c r="BKJ78" s="684"/>
      <c r="BKK78" s="684"/>
      <c r="BKL78" s="684"/>
      <c r="BKM78" s="684"/>
      <c r="BKN78" s="684"/>
      <c r="BKO78" s="684"/>
      <c r="BKP78" s="684"/>
      <c r="BKQ78" s="684"/>
      <c r="BKR78" s="684"/>
      <c r="BKS78" s="684"/>
      <c r="BKT78" s="684"/>
      <c r="BKU78" s="684"/>
      <c r="BKV78" s="684"/>
      <c r="BKW78" s="684"/>
      <c r="BKX78" s="684"/>
      <c r="BKY78" s="684"/>
      <c r="BKZ78" s="684"/>
      <c r="BLA78" s="684"/>
      <c r="BLB78" s="684"/>
      <c r="BLC78" s="684"/>
      <c r="BLD78" s="684"/>
      <c r="BLE78" s="684"/>
      <c r="BLF78" s="684"/>
      <c r="BLG78" s="684"/>
      <c r="BLH78" s="684"/>
      <c r="BLI78" s="684"/>
      <c r="BLJ78" s="684"/>
      <c r="BLK78" s="684"/>
      <c r="BLL78" s="684"/>
      <c r="BLM78" s="684"/>
      <c r="BLN78" s="684"/>
      <c r="BLO78" s="684"/>
      <c r="BLP78" s="684"/>
      <c r="BLQ78" s="684"/>
      <c r="BLR78" s="684"/>
      <c r="BLS78" s="684"/>
      <c r="BLT78" s="684"/>
      <c r="BLU78" s="684"/>
      <c r="BLV78" s="684"/>
      <c r="BLW78" s="684"/>
      <c r="BLX78" s="684"/>
      <c r="BLY78" s="684"/>
      <c r="BLZ78" s="684"/>
      <c r="BMA78" s="684"/>
      <c r="BMB78" s="684"/>
      <c r="BMC78" s="684"/>
      <c r="BMD78" s="684"/>
      <c r="BME78" s="684"/>
      <c r="BMF78" s="684"/>
      <c r="BMG78" s="684"/>
      <c r="BMH78" s="684"/>
      <c r="BMI78" s="684"/>
      <c r="BMJ78" s="684"/>
      <c r="BMK78" s="684"/>
      <c r="BML78" s="684"/>
      <c r="BMM78" s="684"/>
      <c r="BMN78" s="684"/>
      <c r="BMO78" s="684"/>
      <c r="BMP78" s="684"/>
      <c r="BMQ78" s="684"/>
      <c r="BMR78" s="684"/>
      <c r="BMS78" s="684"/>
      <c r="BMT78" s="684"/>
      <c r="BMU78" s="684"/>
      <c r="BMV78" s="684"/>
      <c r="BMW78" s="684"/>
      <c r="BMX78" s="684"/>
      <c r="BMY78" s="684"/>
      <c r="BMZ78" s="684"/>
      <c r="BNA78" s="684"/>
      <c r="BNB78" s="684"/>
      <c r="BNC78" s="684"/>
      <c r="BND78" s="684"/>
      <c r="BNE78" s="684"/>
      <c r="BNF78" s="684"/>
      <c r="BNG78" s="684"/>
      <c r="BNH78" s="684"/>
      <c r="BNI78" s="684"/>
      <c r="BNJ78" s="684"/>
      <c r="BNK78" s="684"/>
      <c r="BNL78" s="684"/>
      <c r="BNM78" s="684"/>
      <c r="BNN78" s="684"/>
      <c r="BNO78" s="684"/>
      <c r="BNP78" s="684"/>
      <c r="BNQ78" s="684"/>
      <c r="BNR78" s="684"/>
      <c r="BNS78" s="684"/>
      <c r="BNT78" s="684"/>
      <c r="BNU78" s="684"/>
      <c r="BNV78" s="684"/>
      <c r="BNW78" s="684"/>
      <c r="BNX78" s="684"/>
      <c r="BNY78" s="684"/>
      <c r="BNZ78" s="684"/>
      <c r="BOA78" s="684"/>
      <c r="BOB78" s="684"/>
      <c r="BOC78" s="684"/>
      <c r="BOD78" s="684"/>
      <c r="BOE78" s="684"/>
      <c r="BOF78" s="684"/>
      <c r="BOG78" s="684"/>
      <c r="BOH78" s="684"/>
      <c r="BOI78" s="684"/>
      <c r="BOJ78" s="684"/>
      <c r="BOK78" s="684"/>
      <c r="BOL78" s="684"/>
      <c r="BOM78" s="684"/>
      <c r="BON78" s="684"/>
      <c r="BOO78" s="684"/>
      <c r="BOP78" s="684"/>
      <c r="BOQ78" s="684"/>
      <c r="BOR78" s="684"/>
      <c r="BOS78" s="684"/>
      <c r="BOT78" s="684"/>
      <c r="BOU78" s="684"/>
      <c r="BOV78" s="684"/>
      <c r="BOW78" s="684"/>
      <c r="BOX78" s="684"/>
      <c r="BOY78" s="684"/>
      <c r="BOZ78" s="684"/>
      <c r="BPA78" s="684"/>
      <c r="BPB78" s="684"/>
      <c r="BPC78" s="684"/>
      <c r="BPD78" s="684"/>
      <c r="BPE78" s="684"/>
      <c r="BPF78" s="684"/>
      <c r="BPG78" s="684"/>
      <c r="BPH78" s="684"/>
      <c r="BPI78" s="684"/>
      <c r="BPJ78" s="684"/>
      <c r="BPK78" s="684"/>
      <c r="BPL78" s="684"/>
      <c r="BPM78" s="684"/>
      <c r="BPN78" s="684"/>
      <c r="BPO78" s="684"/>
      <c r="BPP78" s="684"/>
      <c r="BPQ78" s="684"/>
      <c r="BPR78" s="684"/>
      <c r="BPS78" s="684"/>
      <c r="BPT78" s="684"/>
      <c r="BPU78" s="684"/>
      <c r="BPV78" s="684"/>
      <c r="BPW78" s="684"/>
      <c r="BPX78" s="684"/>
      <c r="BPY78" s="684"/>
      <c r="BPZ78" s="684"/>
      <c r="BQA78" s="684"/>
      <c r="BQB78" s="684"/>
      <c r="BQC78" s="684"/>
      <c r="BQD78" s="684"/>
      <c r="BQE78" s="684"/>
      <c r="BQF78" s="684"/>
      <c r="BQG78" s="684"/>
      <c r="BQH78" s="684"/>
      <c r="BQI78" s="684"/>
      <c r="BQJ78" s="684"/>
      <c r="BQK78" s="684"/>
      <c r="BQL78" s="684"/>
      <c r="BQM78" s="684"/>
      <c r="BQN78" s="684"/>
      <c r="BQO78" s="684"/>
      <c r="BQP78" s="684"/>
      <c r="BQQ78" s="684"/>
      <c r="BQR78" s="684"/>
      <c r="BQS78" s="684"/>
      <c r="BQT78" s="684"/>
      <c r="BQU78" s="684"/>
      <c r="BQV78" s="684"/>
      <c r="BQW78" s="684"/>
      <c r="BQX78" s="684"/>
      <c r="BQY78" s="684"/>
      <c r="BQZ78" s="684"/>
      <c r="BRA78" s="684"/>
      <c r="BRB78" s="684"/>
      <c r="BRC78" s="684"/>
      <c r="BRD78" s="684"/>
      <c r="BRE78" s="684"/>
      <c r="BRF78" s="684"/>
      <c r="BRG78" s="684"/>
      <c r="BRH78" s="684"/>
      <c r="BRI78" s="684"/>
      <c r="BRJ78" s="684"/>
      <c r="BRK78" s="684"/>
      <c r="BRL78" s="684"/>
      <c r="BRM78" s="684"/>
      <c r="BRN78" s="684"/>
      <c r="BRO78" s="684"/>
      <c r="BRP78" s="684"/>
      <c r="BRQ78" s="684"/>
      <c r="BRR78" s="684"/>
      <c r="BRS78" s="684"/>
      <c r="BRT78" s="684"/>
      <c r="BRU78" s="684"/>
      <c r="BRV78" s="684"/>
      <c r="BRW78" s="684"/>
      <c r="BRX78" s="684"/>
      <c r="BRY78" s="684"/>
      <c r="BRZ78" s="684"/>
      <c r="BSA78" s="684"/>
      <c r="BSB78" s="684"/>
      <c r="BSC78" s="684"/>
      <c r="BSD78" s="684"/>
      <c r="BSE78" s="684"/>
      <c r="BSF78" s="684"/>
      <c r="BSG78" s="684"/>
      <c r="BSH78" s="684"/>
      <c r="BSI78" s="684"/>
      <c r="BSJ78" s="684"/>
      <c r="BSK78" s="684"/>
      <c r="BSL78" s="684"/>
      <c r="BSM78" s="684"/>
      <c r="BSN78" s="684"/>
      <c r="BSO78" s="684"/>
      <c r="BSP78" s="684"/>
      <c r="BSQ78" s="684"/>
      <c r="BSR78" s="684"/>
      <c r="BSS78" s="684"/>
      <c r="BST78" s="684"/>
      <c r="BSU78" s="684"/>
      <c r="BSV78" s="684"/>
      <c r="BSW78" s="684"/>
      <c r="BSX78" s="684"/>
      <c r="BSY78" s="684"/>
      <c r="BSZ78" s="684"/>
      <c r="BTA78" s="684"/>
      <c r="BTB78" s="684"/>
      <c r="BTC78" s="684"/>
      <c r="BTD78" s="684"/>
      <c r="BTE78" s="684"/>
      <c r="BTF78" s="684"/>
      <c r="BTG78" s="684"/>
      <c r="BTH78" s="684"/>
      <c r="BTI78" s="684"/>
      <c r="BTJ78" s="684"/>
      <c r="BTK78" s="684"/>
      <c r="BTL78" s="684"/>
      <c r="BTM78" s="684"/>
      <c r="BTN78" s="684"/>
      <c r="BTO78" s="684"/>
      <c r="BTP78" s="684"/>
      <c r="BTQ78" s="684"/>
      <c r="BTR78" s="684"/>
      <c r="BTS78" s="684"/>
      <c r="BTT78" s="684"/>
      <c r="BTU78" s="684"/>
      <c r="BTV78" s="684"/>
      <c r="BTW78" s="684"/>
      <c r="BTX78" s="684"/>
      <c r="BTY78" s="684"/>
      <c r="BTZ78" s="684"/>
      <c r="BUA78" s="684"/>
      <c r="BUB78" s="684"/>
      <c r="BUC78" s="684"/>
      <c r="BUD78" s="684"/>
      <c r="BUE78" s="684"/>
      <c r="BUF78" s="684"/>
      <c r="BUG78" s="684"/>
      <c r="BUH78" s="684"/>
      <c r="BUI78" s="684"/>
      <c r="BUJ78" s="684"/>
      <c r="BUK78" s="684"/>
      <c r="BUL78" s="684"/>
      <c r="BUM78" s="684"/>
      <c r="BUN78" s="684"/>
      <c r="BUO78" s="684"/>
      <c r="BUP78" s="684"/>
      <c r="BUQ78" s="684"/>
      <c r="BUR78" s="684"/>
      <c r="BUS78" s="684"/>
      <c r="BUT78" s="684"/>
      <c r="BUU78" s="684"/>
      <c r="BUV78" s="684"/>
      <c r="BUW78" s="684"/>
      <c r="BUX78" s="684"/>
      <c r="BUY78" s="684"/>
      <c r="BUZ78" s="684"/>
      <c r="BVA78" s="684"/>
      <c r="BVB78" s="684"/>
      <c r="BVC78" s="684"/>
      <c r="BVD78" s="684"/>
      <c r="BVE78" s="684"/>
      <c r="BVF78" s="684"/>
      <c r="BVG78" s="684"/>
      <c r="BVH78" s="684"/>
      <c r="BVI78" s="684"/>
      <c r="BVJ78" s="684"/>
      <c r="BVK78" s="684"/>
      <c r="BVL78" s="684"/>
      <c r="BVM78" s="684"/>
      <c r="BVN78" s="684"/>
      <c r="BVO78" s="684"/>
      <c r="BVP78" s="684"/>
      <c r="BVQ78" s="684"/>
      <c r="BVR78" s="684"/>
      <c r="BVS78" s="684"/>
      <c r="BVT78" s="684"/>
      <c r="BVU78" s="684"/>
      <c r="BVV78" s="684"/>
      <c r="BVW78" s="684"/>
      <c r="BVX78" s="684"/>
      <c r="BVY78" s="684"/>
      <c r="BVZ78" s="684"/>
      <c r="BWA78" s="684"/>
      <c r="BWB78" s="684"/>
      <c r="BWC78" s="684"/>
      <c r="BWD78" s="684"/>
      <c r="BWE78" s="684"/>
      <c r="BWF78" s="684"/>
      <c r="BWG78" s="684"/>
      <c r="BWH78" s="684"/>
      <c r="BWI78" s="684"/>
      <c r="BWJ78" s="684"/>
      <c r="BWK78" s="684"/>
      <c r="BWL78" s="684"/>
      <c r="BWM78" s="684"/>
      <c r="BWN78" s="684"/>
      <c r="BWO78" s="684"/>
      <c r="BWP78" s="684"/>
      <c r="BWQ78" s="684"/>
      <c r="BWR78" s="684"/>
      <c r="BWS78" s="684"/>
      <c r="BWT78" s="684"/>
      <c r="BWU78" s="684"/>
      <c r="BWV78" s="684"/>
      <c r="BWW78" s="684"/>
      <c r="BWX78" s="684"/>
      <c r="BWY78" s="684"/>
      <c r="BWZ78" s="684"/>
      <c r="BXA78" s="684"/>
      <c r="BXB78" s="684"/>
      <c r="BXC78" s="684"/>
      <c r="BXD78" s="684"/>
      <c r="BXE78" s="684"/>
      <c r="BXF78" s="684"/>
      <c r="BXG78" s="684"/>
      <c r="BXH78" s="684"/>
      <c r="BXI78" s="684"/>
      <c r="BXJ78" s="684"/>
      <c r="BXK78" s="684"/>
      <c r="BXL78" s="684"/>
      <c r="BXM78" s="684"/>
      <c r="BXN78" s="684"/>
      <c r="BXO78" s="684"/>
      <c r="BXP78" s="684"/>
      <c r="BXQ78" s="684"/>
      <c r="BXR78" s="684"/>
      <c r="BXS78" s="684"/>
      <c r="BXT78" s="684"/>
      <c r="BXU78" s="684"/>
      <c r="BXV78" s="684"/>
      <c r="BXW78" s="684"/>
      <c r="BXX78" s="684"/>
      <c r="BXY78" s="684"/>
      <c r="BXZ78" s="684"/>
      <c r="BYA78" s="684"/>
      <c r="BYB78" s="684"/>
      <c r="BYC78" s="684"/>
      <c r="BYD78" s="684"/>
      <c r="BYE78" s="684"/>
      <c r="BYF78" s="684"/>
      <c r="BYG78" s="684"/>
      <c r="BYH78" s="684"/>
      <c r="BYI78" s="684"/>
      <c r="BYJ78" s="684"/>
      <c r="BYK78" s="684"/>
      <c r="BYL78" s="684"/>
      <c r="BYM78" s="684"/>
      <c r="BYN78" s="684"/>
      <c r="BYO78" s="684"/>
      <c r="BYP78" s="684"/>
      <c r="BYQ78" s="684"/>
      <c r="BYR78" s="684"/>
      <c r="BYS78" s="684"/>
      <c r="BYT78" s="684"/>
      <c r="BYU78" s="684"/>
      <c r="BYV78" s="684"/>
      <c r="BYW78" s="684"/>
      <c r="BYX78" s="684"/>
      <c r="BYY78" s="684"/>
      <c r="BYZ78" s="684"/>
      <c r="BZA78" s="684"/>
      <c r="BZB78" s="684"/>
      <c r="BZC78" s="684"/>
      <c r="BZD78" s="684"/>
      <c r="BZE78" s="684"/>
      <c r="BZF78" s="684"/>
      <c r="BZG78" s="684"/>
      <c r="BZH78" s="684"/>
      <c r="BZI78" s="684"/>
      <c r="BZJ78" s="684"/>
      <c r="BZK78" s="684"/>
      <c r="BZL78" s="684"/>
      <c r="BZM78" s="684"/>
      <c r="BZN78" s="684"/>
      <c r="BZO78" s="684"/>
      <c r="BZP78" s="684"/>
      <c r="BZQ78" s="684"/>
      <c r="BZR78" s="684"/>
      <c r="BZS78" s="684"/>
      <c r="BZT78" s="684"/>
      <c r="BZU78" s="684"/>
      <c r="BZV78" s="684"/>
      <c r="BZW78" s="684"/>
      <c r="BZX78" s="684"/>
      <c r="BZY78" s="684"/>
      <c r="BZZ78" s="684"/>
      <c r="CAA78" s="684"/>
      <c r="CAB78" s="684"/>
      <c r="CAC78" s="684"/>
      <c r="CAD78" s="684"/>
      <c r="CAE78" s="684"/>
      <c r="CAF78" s="684"/>
      <c r="CAG78" s="684"/>
      <c r="CAH78" s="684"/>
      <c r="CAI78" s="684"/>
      <c r="CAJ78" s="684"/>
      <c r="CAK78" s="684"/>
      <c r="CAL78" s="684"/>
      <c r="CAM78" s="684"/>
      <c r="CAN78" s="684"/>
      <c r="CAO78" s="684"/>
      <c r="CAP78" s="684"/>
      <c r="CAQ78" s="684"/>
      <c r="CAR78" s="684"/>
      <c r="CAS78" s="684"/>
      <c r="CAT78" s="684"/>
      <c r="CAU78" s="684"/>
      <c r="CAV78" s="684"/>
      <c r="CAW78" s="684"/>
      <c r="CAX78" s="684"/>
      <c r="CAY78" s="684"/>
      <c r="CAZ78" s="684"/>
      <c r="CBA78" s="684"/>
      <c r="CBB78" s="684"/>
      <c r="CBC78" s="684"/>
      <c r="CBD78" s="684"/>
      <c r="CBE78" s="684"/>
      <c r="CBF78" s="684"/>
      <c r="CBG78" s="684"/>
      <c r="CBH78" s="684"/>
      <c r="CBI78" s="684"/>
      <c r="CBJ78" s="684"/>
      <c r="CBK78" s="684"/>
      <c r="CBL78" s="684"/>
      <c r="CBM78" s="684"/>
      <c r="CBN78" s="684"/>
      <c r="CBO78" s="684"/>
      <c r="CBP78" s="684"/>
      <c r="CBQ78" s="684"/>
      <c r="CBR78" s="684"/>
      <c r="CBS78" s="684"/>
      <c r="CBT78" s="684"/>
      <c r="CBU78" s="684"/>
      <c r="CBV78" s="684"/>
      <c r="CBW78" s="684"/>
      <c r="CBX78" s="684"/>
      <c r="CBY78" s="684"/>
      <c r="CBZ78" s="684"/>
      <c r="CCA78" s="684"/>
      <c r="CCB78" s="684"/>
      <c r="CCC78" s="684"/>
      <c r="CCD78" s="684"/>
      <c r="CCE78" s="684"/>
      <c r="CCF78" s="684"/>
      <c r="CCG78" s="684"/>
      <c r="CCH78" s="684"/>
      <c r="CCI78" s="684"/>
      <c r="CCJ78" s="684"/>
      <c r="CCK78" s="684"/>
      <c r="CCL78" s="684"/>
      <c r="CCM78" s="684"/>
      <c r="CCN78" s="684"/>
      <c r="CCO78" s="684"/>
      <c r="CCP78" s="684"/>
      <c r="CCQ78" s="684"/>
      <c r="CCR78" s="684"/>
      <c r="CCS78" s="684"/>
      <c r="CCT78" s="684"/>
      <c r="CCU78" s="684"/>
      <c r="CCV78" s="684"/>
      <c r="CCW78" s="684"/>
      <c r="CCX78" s="684"/>
      <c r="CCY78" s="684"/>
      <c r="CCZ78" s="684"/>
      <c r="CDA78" s="684"/>
      <c r="CDB78" s="684"/>
      <c r="CDC78" s="684"/>
      <c r="CDD78" s="684"/>
      <c r="CDE78" s="684"/>
      <c r="CDF78" s="684"/>
      <c r="CDG78" s="684"/>
      <c r="CDH78" s="684"/>
      <c r="CDI78" s="684"/>
      <c r="CDJ78" s="684"/>
      <c r="CDK78" s="684"/>
      <c r="CDL78" s="684"/>
      <c r="CDM78" s="684"/>
      <c r="CDN78" s="684"/>
      <c r="CDO78" s="684"/>
      <c r="CDP78" s="684"/>
      <c r="CDQ78" s="684"/>
      <c r="CDR78" s="684"/>
      <c r="CDS78" s="684"/>
      <c r="CDT78" s="684"/>
      <c r="CDU78" s="684"/>
      <c r="CDV78" s="684"/>
      <c r="CDW78" s="684"/>
      <c r="CDX78" s="684"/>
      <c r="CDY78" s="684"/>
      <c r="CDZ78" s="684"/>
      <c r="CEA78" s="684"/>
      <c r="CEB78" s="684"/>
      <c r="CEC78" s="684"/>
      <c r="CED78" s="684"/>
      <c r="CEE78" s="684"/>
      <c r="CEF78" s="684"/>
      <c r="CEG78" s="684"/>
      <c r="CEH78" s="684"/>
      <c r="CEI78" s="684"/>
      <c r="CEJ78" s="684"/>
      <c r="CEK78" s="684"/>
      <c r="CEL78" s="684"/>
      <c r="CEM78" s="684"/>
      <c r="CEN78" s="684"/>
      <c r="CEO78" s="684"/>
      <c r="CEP78" s="684"/>
      <c r="CEQ78" s="684"/>
      <c r="CER78" s="684"/>
      <c r="CES78" s="684"/>
      <c r="CET78" s="684"/>
      <c r="CEU78" s="684"/>
      <c r="CEV78" s="684"/>
      <c r="CEW78" s="684"/>
      <c r="CEX78" s="684"/>
      <c r="CEY78" s="684"/>
      <c r="CEZ78" s="684"/>
      <c r="CFA78" s="684"/>
      <c r="CFB78" s="684"/>
      <c r="CFC78" s="684"/>
      <c r="CFD78" s="684"/>
      <c r="CFE78" s="684"/>
      <c r="CFF78" s="684"/>
      <c r="CFG78" s="684"/>
      <c r="CFH78" s="684"/>
      <c r="CFI78" s="684"/>
      <c r="CFJ78" s="684"/>
      <c r="CFK78" s="684"/>
      <c r="CFL78" s="684"/>
      <c r="CFM78" s="684"/>
      <c r="CFN78" s="684"/>
      <c r="CFO78" s="684"/>
      <c r="CFP78" s="684"/>
      <c r="CFQ78" s="684"/>
      <c r="CFR78" s="684"/>
      <c r="CFS78" s="684"/>
      <c r="CFT78" s="684"/>
      <c r="CFU78" s="684"/>
      <c r="CFV78" s="684"/>
      <c r="CFW78" s="684"/>
      <c r="CFX78" s="684"/>
      <c r="CFY78" s="684"/>
      <c r="CFZ78" s="684"/>
      <c r="CGA78" s="684"/>
      <c r="CGB78" s="684"/>
      <c r="CGC78" s="684"/>
      <c r="CGD78" s="684"/>
      <c r="CGE78" s="684"/>
      <c r="CGF78" s="684"/>
      <c r="CGG78" s="684"/>
      <c r="CGH78" s="684"/>
      <c r="CGI78" s="684"/>
      <c r="CGJ78" s="684"/>
      <c r="CGK78" s="684"/>
      <c r="CGL78" s="684"/>
      <c r="CGM78" s="684"/>
      <c r="CGN78" s="684"/>
      <c r="CGO78" s="684"/>
      <c r="CGP78" s="684"/>
      <c r="CGQ78" s="684"/>
      <c r="CGR78" s="684"/>
      <c r="CGS78" s="684"/>
      <c r="CGT78" s="684"/>
      <c r="CGU78" s="684"/>
      <c r="CGV78" s="684"/>
      <c r="CGW78" s="684"/>
      <c r="CGX78" s="684"/>
      <c r="CGY78" s="684"/>
      <c r="CGZ78" s="684"/>
      <c r="CHA78" s="684"/>
      <c r="CHB78" s="684"/>
      <c r="CHC78" s="684"/>
      <c r="CHD78" s="684"/>
      <c r="CHE78" s="684"/>
      <c r="CHF78" s="684"/>
      <c r="CHG78" s="684"/>
      <c r="CHH78" s="684"/>
      <c r="CHI78" s="684"/>
      <c r="CHJ78" s="684"/>
      <c r="CHK78" s="684"/>
      <c r="CHL78" s="684"/>
      <c r="CHM78" s="684"/>
      <c r="CHN78" s="684"/>
      <c r="CHO78" s="684"/>
      <c r="CHP78" s="684"/>
      <c r="CHQ78" s="684"/>
      <c r="CHR78" s="684"/>
      <c r="CHS78" s="684"/>
      <c r="CHT78" s="684"/>
      <c r="CHU78" s="684"/>
      <c r="CHV78" s="684"/>
      <c r="CHW78" s="684"/>
      <c r="CHX78" s="684"/>
      <c r="CHY78" s="684"/>
      <c r="CHZ78" s="684"/>
      <c r="CIA78" s="684"/>
      <c r="CIB78" s="684"/>
      <c r="CIC78" s="684"/>
      <c r="CID78" s="684"/>
      <c r="CIE78" s="684"/>
      <c r="CIF78" s="684"/>
      <c r="CIG78" s="684"/>
      <c r="CIH78" s="684"/>
      <c r="CII78" s="684"/>
      <c r="CIJ78" s="684"/>
      <c r="CIK78" s="684"/>
      <c r="CIL78" s="684"/>
      <c r="CIM78" s="684"/>
      <c r="CIN78" s="684"/>
      <c r="CIO78" s="684"/>
      <c r="CIP78" s="684"/>
      <c r="CIQ78" s="684"/>
      <c r="CIR78" s="684"/>
      <c r="CIS78" s="684"/>
      <c r="CIT78" s="684"/>
      <c r="CIU78" s="684"/>
      <c r="CIV78" s="684"/>
      <c r="CIW78" s="684"/>
      <c r="CIX78" s="684"/>
      <c r="CIY78" s="684"/>
      <c r="CIZ78" s="684"/>
      <c r="CJA78" s="684"/>
      <c r="CJB78" s="684"/>
      <c r="CJC78" s="684"/>
      <c r="CJD78" s="684"/>
      <c r="CJE78" s="684"/>
      <c r="CJF78" s="684"/>
      <c r="CJG78" s="684"/>
      <c r="CJH78" s="684"/>
      <c r="CJI78" s="684"/>
      <c r="CJJ78" s="684"/>
      <c r="CJK78" s="684"/>
      <c r="CJL78" s="684"/>
      <c r="CJM78" s="684"/>
      <c r="CJN78" s="684"/>
      <c r="CJO78" s="684"/>
      <c r="CJP78" s="684"/>
      <c r="CJQ78" s="684"/>
      <c r="CJR78" s="684"/>
      <c r="CJS78" s="684"/>
      <c r="CJT78" s="684"/>
      <c r="CJU78" s="684"/>
      <c r="CJV78" s="684"/>
      <c r="CJW78" s="684"/>
      <c r="CJX78" s="684"/>
      <c r="CJY78" s="684"/>
      <c r="CJZ78" s="684"/>
      <c r="CKA78" s="684"/>
      <c r="CKB78" s="684"/>
      <c r="CKC78" s="684"/>
      <c r="CKD78" s="684"/>
      <c r="CKE78" s="684"/>
      <c r="CKF78" s="684"/>
      <c r="CKG78" s="684"/>
      <c r="CKH78" s="684"/>
      <c r="CKI78" s="684"/>
      <c r="CKJ78" s="684"/>
      <c r="CKK78" s="684"/>
      <c r="CKL78" s="684"/>
      <c r="CKM78" s="684"/>
      <c r="CKN78" s="684"/>
      <c r="CKO78" s="684"/>
      <c r="CKP78" s="684"/>
      <c r="CKQ78" s="684"/>
      <c r="CKR78" s="684"/>
      <c r="CKS78" s="684"/>
      <c r="CKT78" s="684"/>
      <c r="CKU78" s="684"/>
      <c r="CKV78" s="684"/>
      <c r="CKW78" s="684"/>
      <c r="CKX78" s="684"/>
      <c r="CKY78" s="684"/>
      <c r="CKZ78" s="684"/>
      <c r="CLA78" s="684"/>
      <c r="CLB78" s="684"/>
      <c r="CLC78" s="684"/>
      <c r="CLD78" s="684"/>
      <c r="CLE78" s="684"/>
      <c r="CLF78" s="684"/>
      <c r="CLG78" s="684"/>
      <c r="CLH78" s="684"/>
      <c r="CLI78" s="684"/>
      <c r="CLJ78" s="684"/>
      <c r="CLK78" s="684"/>
      <c r="CLL78" s="684"/>
      <c r="CLM78" s="684"/>
      <c r="CLN78" s="684"/>
      <c r="CLO78" s="684"/>
      <c r="CLP78" s="684"/>
      <c r="CLQ78" s="684"/>
      <c r="CLR78" s="684"/>
      <c r="CLS78" s="684"/>
      <c r="CLT78" s="684"/>
      <c r="CLU78" s="684"/>
      <c r="CLV78" s="684"/>
      <c r="CLW78" s="684"/>
      <c r="CLX78" s="684"/>
      <c r="CLY78" s="684"/>
      <c r="CLZ78" s="684"/>
      <c r="CMA78" s="684"/>
      <c r="CMB78" s="684"/>
      <c r="CMC78" s="684"/>
      <c r="CMD78" s="684"/>
      <c r="CME78" s="684"/>
      <c r="CMF78" s="684"/>
      <c r="CMG78" s="684"/>
      <c r="CMH78" s="684"/>
      <c r="CMI78" s="684"/>
      <c r="CMJ78" s="684"/>
      <c r="CMK78" s="684"/>
      <c r="CML78" s="684"/>
      <c r="CMM78" s="684"/>
      <c r="CMN78" s="684"/>
      <c r="CMO78" s="684"/>
      <c r="CMP78" s="684"/>
      <c r="CMQ78" s="684"/>
      <c r="CMR78" s="684"/>
      <c r="CMS78" s="684"/>
      <c r="CMT78" s="684"/>
      <c r="CMU78" s="684"/>
      <c r="CMV78" s="684"/>
      <c r="CMW78" s="684"/>
      <c r="CMX78" s="684"/>
      <c r="CMY78" s="684"/>
      <c r="CMZ78" s="684"/>
      <c r="CNA78" s="684"/>
      <c r="CNB78" s="684"/>
      <c r="CNC78" s="684"/>
      <c r="CND78" s="684"/>
      <c r="CNE78" s="684"/>
      <c r="CNF78" s="684"/>
      <c r="CNG78" s="684"/>
      <c r="CNH78" s="684"/>
      <c r="CNI78" s="684"/>
      <c r="CNJ78" s="684"/>
      <c r="CNK78" s="684"/>
      <c r="CNL78" s="684"/>
      <c r="CNM78" s="684"/>
      <c r="CNN78" s="684"/>
      <c r="CNO78" s="684"/>
      <c r="CNP78" s="684"/>
      <c r="CNQ78" s="684"/>
      <c r="CNR78" s="684"/>
      <c r="CNS78" s="684"/>
      <c r="CNT78" s="684"/>
      <c r="CNU78" s="684"/>
      <c r="CNV78" s="684"/>
      <c r="CNW78" s="684"/>
      <c r="CNX78" s="684"/>
      <c r="CNY78" s="684"/>
      <c r="CNZ78" s="684"/>
      <c r="COA78" s="684"/>
      <c r="COB78" s="684"/>
      <c r="COC78" s="684"/>
      <c r="COD78" s="684"/>
      <c r="COE78" s="684"/>
      <c r="COF78" s="684"/>
      <c r="COG78" s="684"/>
      <c r="COH78" s="684"/>
      <c r="COI78" s="684"/>
      <c r="COJ78" s="684"/>
      <c r="COK78" s="684"/>
      <c r="COL78" s="684"/>
      <c r="COM78" s="684"/>
      <c r="CON78" s="684"/>
      <c r="COO78" s="684"/>
      <c r="COP78" s="684"/>
      <c r="COQ78" s="684"/>
      <c r="COR78" s="684"/>
      <c r="COS78" s="684"/>
      <c r="COT78" s="684"/>
      <c r="COU78" s="684"/>
      <c r="COV78" s="684"/>
      <c r="COW78" s="684"/>
      <c r="COX78" s="684"/>
      <c r="COY78" s="684"/>
      <c r="COZ78" s="684"/>
      <c r="CPA78" s="684"/>
      <c r="CPB78" s="684"/>
      <c r="CPC78" s="684"/>
      <c r="CPD78" s="684"/>
      <c r="CPE78" s="684"/>
      <c r="CPF78" s="684"/>
      <c r="CPG78" s="684"/>
      <c r="CPH78" s="684"/>
      <c r="CPI78" s="684"/>
      <c r="CPJ78" s="684"/>
      <c r="CPK78" s="684"/>
      <c r="CPL78" s="684"/>
      <c r="CPM78" s="684"/>
      <c r="CPN78" s="684"/>
      <c r="CPO78" s="684"/>
      <c r="CPP78" s="684"/>
      <c r="CPQ78" s="684"/>
      <c r="CPR78" s="684"/>
      <c r="CPS78" s="684"/>
      <c r="CPT78" s="684"/>
      <c r="CPU78" s="684"/>
      <c r="CPV78" s="684"/>
      <c r="CPW78" s="684"/>
      <c r="CPX78" s="684"/>
      <c r="CPY78" s="684"/>
      <c r="CPZ78" s="684"/>
      <c r="CQA78" s="684"/>
      <c r="CQB78" s="684"/>
      <c r="CQC78" s="684"/>
      <c r="CQD78" s="684"/>
      <c r="CQE78" s="684"/>
      <c r="CQF78" s="684"/>
      <c r="CQG78" s="684"/>
      <c r="CQH78" s="684"/>
      <c r="CQI78" s="684"/>
      <c r="CQJ78" s="684"/>
      <c r="CQK78" s="684"/>
      <c r="CQL78" s="684"/>
      <c r="CQM78" s="684"/>
      <c r="CQN78" s="684"/>
      <c r="CQO78" s="684"/>
      <c r="CQP78" s="684"/>
      <c r="CQQ78" s="684"/>
      <c r="CQR78" s="684"/>
      <c r="CQS78" s="684"/>
      <c r="CQT78" s="684"/>
      <c r="CQU78" s="684"/>
      <c r="CQV78" s="684"/>
      <c r="CQW78" s="684"/>
      <c r="CQX78" s="684"/>
      <c r="CQY78" s="684"/>
      <c r="CQZ78" s="684"/>
      <c r="CRA78" s="684"/>
      <c r="CRB78" s="684"/>
      <c r="CRC78" s="684"/>
      <c r="CRD78" s="684"/>
      <c r="CRE78" s="684"/>
      <c r="CRF78" s="684"/>
      <c r="CRG78" s="684"/>
      <c r="CRH78" s="684"/>
      <c r="CRI78" s="684"/>
      <c r="CRJ78" s="684"/>
      <c r="CRK78" s="684"/>
      <c r="CRL78" s="684"/>
      <c r="CRM78" s="684"/>
      <c r="CRN78" s="684"/>
      <c r="CRO78" s="684"/>
      <c r="CRP78" s="684"/>
      <c r="CRQ78" s="684"/>
      <c r="CRR78" s="684"/>
      <c r="CRS78" s="684"/>
      <c r="CRT78" s="684"/>
      <c r="CRU78" s="684"/>
      <c r="CRV78" s="684"/>
      <c r="CRW78" s="684"/>
      <c r="CRX78" s="684"/>
      <c r="CRY78" s="684"/>
      <c r="CRZ78" s="684"/>
      <c r="CSA78" s="684"/>
      <c r="CSB78" s="684"/>
      <c r="CSC78" s="684"/>
      <c r="CSD78" s="684"/>
      <c r="CSE78" s="684"/>
      <c r="CSF78" s="684"/>
      <c r="CSG78" s="684"/>
      <c r="CSH78" s="684"/>
      <c r="CSI78" s="684"/>
      <c r="CSJ78" s="684"/>
      <c r="CSK78" s="684"/>
      <c r="CSL78" s="684"/>
      <c r="CSM78" s="684"/>
      <c r="CSN78" s="684"/>
      <c r="CSO78" s="684"/>
      <c r="CSP78" s="684"/>
      <c r="CSQ78" s="684"/>
      <c r="CSR78" s="684"/>
      <c r="CSS78" s="684"/>
      <c r="CST78" s="684"/>
      <c r="CSU78" s="684"/>
      <c r="CSV78" s="684"/>
      <c r="CSW78" s="684"/>
      <c r="CSX78" s="684"/>
      <c r="CSY78" s="684"/>
      <c r="CSZ78" s="684"/>
      <c r="CTA78" s="684"/>
      <c r="CTB78" s="684"/>
      <c r="CTC78" s="684"/>
      <c r="CTD78" s="684"/>
      <c r="CTE78" s="684"/>
      <c r="CTF78" s="684"/>
      <c r="CTG78" s="684"/>
      <c r="CTH78" s="684"/>
      <c r="CTI78" s="684"/>
      <c r="CTJ78" s="684"/>
      <c r="CTK78" s="684"/>
      <c r="CTL78" s="684"/>
      <c r="CTM78" s="684"/>
      <c r="CTN78" s="684"/>
      <c r="CTO78" s="684"/>
      <c r="CTP78" s="684"/>
      <c r="CTQ78" s="684"/>
      <c r="CTR78" s="684"/>
      <c r="CTS78" s="684"/>
      <c r="CTT78" s="684"/>
      <c r="CTU78" s="684"/>
      <c r="CTV78" s="684"/>
      <c r="CTW78" s="684"/>
      <c r="CTX78" s="684"/>
      <c r="CTY78" s="684"/>
      <c r="CTZ78" s="684"/>
      <c r="CUA78" s="684"/>
      <c r="CUB78" s="684"/>
      <c r="CUC78" s="684"/>
      <c r="CUD78" s="684"/>
      <c r="CUE78" s="684"/>
      <c r="CUF78" s="684"/>
      <c r="CUG78" s="684"/>
      <c r="CUH78" s="684"/>
      <c r="CUI78" s="684"/>
      <c r="CUJ78" s="684"/>
      <c r="CUK78" s="684"/>
      <c r="CUL78" s="684"/>
      <c r="CUM78" s="684"/>
      <c r="CUN78" s="684"/>
      <c r="CUO78" s="684"/>
      <c r="CUP78" s="684"/>
      <c r="CUQ78" s="684"/>
      <c r="CUR78" s="684"/>
      <c r="CUS78" s="684"/>
      <c r="CUT78" s="684"/>
      <c r="CUU78" s="684"/>
      <c r="CUV78" s="684"/>
      <c r="CUW78" s="684"/>
      <c r="CUX78" s="684"/>
      <c r="CUY78" s="684"/>
      <c r="CUZ78" s="684"/>
      <c r="CVA78" s="684"/>
      <c r="CVB78" s="684"/>
      <c r="CVC78" s="684"/>
      <c r="CVD78" s="684"/>
      <c r="CVE78" s="684"/>
      <c r="CVF78" s="684"/>
      <c r="CVG78" s="684"/>
      <c r="CVH78" s="684"/>
      <c r="CVI78" s="684"/>
      <c r="CVJ78" s="684"/>
      <c r="CVK78" s="684"/>
      <c r="CVL78" s="684"/>
      <c r="CVM78" s="684"/>
      <c r="CVN78" s="684"/>
      <c r="CVO78" s="684"/>
      <c r="CVP78" s="684"/>
      <c r="CVQ78" s="684"/>
      <c r="CVR78" s="684"/>
      <c r="CVS78" s="684"/>
      <c r="CVT78" s="684"/>
      <c r="CVU78" s="684"/>
      <c r="CVV78" s="684"/>
      <c r="CVW78" s="684"/>
      <c r="CVX78" s="684"/>
      <c r="CVY78" s="684"/>
      <c r="CVZ78" s="684"/>
      <c r="CWA78" s="684"/>
      <c r="CWB78" s="684"/>
      <c r="CWC78" s="684"/>
      <c r="CWD78" s="684"/>
      <c r="CWE78" s="684"/>
      <c r="CWF78" s="684"/>
      <c r="CWG78" s="684"/>
      <c r="CWH78" s="684"/>
      <c r="CWI78" s="684"/>
      <c r="CWJ78" s="684"/>
      <c r="CWK78" s="684"/>
      <c r="CWL78" s="684"/>
      <c r="CWM78" s="684"/>
      <c r="CWN78" s="684"/>
      <c r="CWO78" s="684"/>
      <c r="CWP78" s="684"/>
      <c r="CWQ78" s="684"/>
      <c r="CWR78" s="684"/>
      <c r="CWS78" s="684"/>
      <c r="CWT78" s="684"/>
      <c r="CWU78" s="684"/>
      <c r="CWV78" s="684"/>
      <c r="CWW78" s="684"/>
      <c r="CWX78" s="684"/>
      <c r="CWY78" s="684"/>
      <c r="CWZ78" s="684"/>
      <c r="CXA78" s="684"/>
      <c r="CXB78" s="684"/>
      <c r="CXC78" s="684"/>
      <c r="CXD78" s="684"/>
      <c r="CXE78" s="684"/>
      <c r="CXF78" s="684"/>
      <c r="CXG78" s="684"/>
      <c r="CXH78" s="684"/>
      <c r="CXI78" s="684"/>
      <c r="CXJ78" s="684"/>
      <c r="CXK78" s="684"/>
      <c r="CXL78" s="684"/>
      <c r="CXM78" s="684"/>
      <c r="CXN78" s="684"/>
      <c r="CXO78" s="684"/>
      <c r="CXP78" s="684"/>
      <c r="CXQ78" s="684"/>
      <c r="CXR78" s="684"/>
      <c r="CXS78" s="684"/>
      <c r="CXT78" s="684"/>
      <c r="CXU78" s="684"/>
      <c r="CXV78" s="684"/>
      <c r="CXW78" s="684"/>
      <c r="CXX78" s="684"/>
      <c r="CXY78" s="684"/>
      <c r="CXZ78" s="684"/>
      <c r="CYA78" s="684"/>
      <c r="CYB78" s="684"/>
      <c r="CYC78" s="684"/>
      <c r="CYD78" s="684"/>
      <c r="CYE78" s="684"/>
      <c r="CYF78" s="684"/>
      <c r="CYG78" s="684"/>
      <c r="CYH78" s="684"/>
      <c r="CYI78" s="684"/>
      <c r="CYJ78" s="684"/>
      <c r="CYK78" s="684"/>
      <c r="CYL78" s="684"/>
      <c r="CYM78" s="684"/>
      <c r="CYN78" s="684"/>
      <c r="CYO78" s="684"/>
      <c r="CYP78" s="684"/>
      <c r="CYQ78" s="684"/>
      <c r="CYR78" s="684"/>
      <c r="CYS78" s="684"/>
      <c r="CYT78" s="684"/>
      <c r="CYU78" s="684"/>
      <c r="CYV78" s="684"/>
      <c r="CYW78" s="684"/>
      <c r="CYX78" s="684"/>
      <c r="CYY78" s="684"/>
      <c r="CYZ78" s="684"/>
      <c r="CZA78" s="684"/>
      <c r="CZB78" s="684"/>
      <c r="CZC78" s="684"/>
      <c r="CZD78" s="684"/>
      <c r="CZE78" s="684"/>
      <c r="CZF78" s="684"/>
      <c r="CZG78" s="684"/>
      <c r="CZH78" s="684"/>
      <c r="CZI78" s="684"/>
      <c r="CZJ78" s="684"/>
      <c r="CZK78" s="684"/>
      <c r="CZL78" s="684"/>
      <c r="CZM78" s="684"/>
      <c r="CZN78" s="684"/>
      <c r="CZO78" s="684"/>
      <c r="CZP78" s="684"/>
      <c r="CZQ78" s="684"/>
      <c r="CZR78" s="684"/>
      <c r="CZS78" s="684"/>
      <c r="CZT78" s="684"/>
      <c r="CZU78" s="684"/>
      <c r="CZV78" s="684"/>
      <c r="CZW78" s="684"/>
      <c r="CZX78" s="684"/>
      <c r="CZY78" s="684"/>
      <c r="CZZ78" s="684"/>
      <c r="DAA78" s="684"/>
      <c r="DAB78" s="684"/>
      <c r="DAC78" s="684"/>
      <c r="DAD78" s="684"/>
      <c r="DAE78" s="684"/>
      <c r="DAF78" s="684"/>
      <c r="DAG78" s="684"/>
      <c r="DAH78" s="684"/>
      <c r="DAI78" s="684"/>
      <c r="DAJ78" s="684"/>
      <c r="DAK78" s="684"/>
      <c r="DAL78" s="684"/>
      <c r="DAM78" s="684"/>
      <c r="DAN78" s="684"/>
      <c r="DAO78" s="684"/>
      <c r="DAP78" s="684"/>
      <c r="DAQ78" s="684"/>
      <c r="DAR78" s="684"/>
      <c r="DAS78" s="684"/>
      <c r="DAT78" s="684"/>
      <c r="DAU78" s="684"/>
      <c r="DAV78" s="684"/>
      <c r="DAW78" s="684"/>
      <c r="DAX78" s="684"/>
      <c r="DAY78" s="684"/>
      <c r="DAZ78" s="684"/>
      <c r="DBA78" s="684"/>
      <c r="DBB78" s="684"/>
      <c r="DBC78" s="684"/>
      <c r="DBD78" s="684"/>
      <c r="DBE78" s="684"/>
      <c r="DBF78" s="684"/>
      <c r="DBG78" s="684"/>
      <c r="DBH78" s="684"/>
      <c r="DBI78" s="684"/>
      <c r="DBJ78" s="684"/>
      <c r="DBK78" s="684"/>
      <c r="DBL78" s="684"/>
      <c r="DBM78" s="684"/>
      <c r="DBN78" s="684"/>
      <c r="DBO78" s="684"/>
      <c r="DBP78" s="684"/>
      <c r="DBQ78" s="684"/>
      <c r="DBR78" s="684"/>
      <c r="DBS78" s="684"/>
      <c r="DBT78" s="684"/>
      <c r="DBU78" s="684"/>
      <c r="DBV78" s="684"/>
      <c r="DBW78" s="684"/>
      <c r="DBX78" s="684"/>
      <c r="DBY78" s="684"/>
      <c r="DBZ78" s="684"/>
      <c r="DCA78" s="684"/>
      <c r="DCB78" s="684"/>
      <c r="DCC78" s="684"/>
      <c r="DCD78" s="684"/>
      <c r="DCE78" s="684"/>
      <c r="DCF78" s="684"/>
      <c r="DCG78" s="684"/>
      <c r="DCH78" s="684"/>
      <c r="DCI78" s="684"/>
      <c r="DCJ78" s="684"/>
      <c r="DCK78" s="684"/>
      <c r="DCL78" s="684"/>
      <c r="DCM78" s="684"/>
      <c r="DCN78" s="684"/>
      <c r="DCO78" s="684"/>
      <c r="DCP78" s="684"/>
      <c r="DCQ78" s="684"/>
      <c r="DCR78" s="684"/>
      <c r="DCS78" s="684"/>
      <c r="DCT78" s="684"/>
      <c r="DCU78" s="684"/>
      <c r="DCV78" s="684"/>
      <c r="DCW78" s="684"/>
      <c r="DCX78" s="684"/>
      <c r="DCY78" s="684"/>
      <c r="DCZ78" s="684"/>
      <c r="DDA78" s="684"/>
      <c r="DDB78" s="684"/>
      <c r="DDC78" s="684"/>
      <c r="DDD78" s="684"/>
      <c r="DDE78" s="684"/>
      <c r="DDF78" s="684"/>
      <c r="DDG78" s="684"/>
      <c r="DDH78" s="684"/>
      <c r="DDI78" s="684"/>
      <c r="DDJ78" s="684"/>
      <c r="DDK78" s="684"/>
      <c r="DDL78" s="684"/>
      <c r="DDM78" s="684"/>
      <c r="DDN78" s="684"/>
      <c r="DDO78" s="684"/>
      <c r="DDP78" s="684"/>
      <c r="DDQ78" s="684"/>
      <c r="DDR78" s="684"/>
      <c r="DDS78" s="684"/>
      <c r="DDT78" s="684"/>
      <c r="DDU78" s="684"/>
      <c r="DDV78" s="684"/>
      <c r="DDW78" s="684"/>
      <c r="DDX78" s="684"/>
      <c r="DDY78" s="684"/>
      <c r="DDZ78" s="684"/>
      <c r="DEA78" s="684"/>
      <c r="DEB78" s="684"/>
      <c r="DEC78" s="684"/>
      <c r="DED78" s="684"/>
      <c r="DEE78" s="684"/>
      <c r="DEF78" s="684"/>
      <c r="DEG78" s="684"/>
      <c r="DEH78" s="684"/>
      <c r="DEI78" s="684"/>
      <c r="DEJ78" s="684"/>
      <c r="DEK78" s="684"/>
      <c r="DEL78" s="684"/>
      <c r="DEM78" s="684"/>
      <c r="DEN78" s="684"/>
      <c r="DEO78" s="684"/>
      <c r="DEP78" s="684"/>
      <c r="DEQ78" s="684"/>
      <c r="DER78" s="684"/>
      <c r="DES78" s="684"/>
      <c r="DET78" s="684"/>
      <c r="DEU78" s="684"/>
      <c r="DEV78" s="684"/>
      <c r="DEW78" s="684"/>
      <c r="DEX78" s="684"/>
      <c r="DEY78" s="684"/>
      <c r="DEZ78" s="684"/>
      <c r="DFA78" s="684"/>
      <c r="DFB78" s="684"/>
      <c r="DFC78" s="684"/>
      <c r="DFD78" s="684"/>
      <c r="DFE78" s="684"/>
      <c r="DFF78" s="684"/>
      <c r="DFG78" s="684"/>
      <c r="DFH78" s="684"/>
      <c r="DFI78" s="684"/>
      <c r="DFJ78" s="684"/>
      <c r="DFK78" s="684"/>
      <c r="DFL78" s="684"/>
      <c r="DFM78" s="684"/>
      <c r="DFN78" s="684"/>
      <c r="DFO78" s="684"/>
      <c r="DFP78" s="684"/>
      <c r="DFQ78" s="684"/>
      <c r="DFR78" s="684"/>
      <c r="DFS78" s="684"/>
      <c r="DFT78" s="684"/>
      <c r="DFU78" s="684"/>
      <c r="DFV78" s="684"/>
      <c r="DFW78" s="684"/>
      <c r="DFX78" s="684"/>
      <c r="DFY78" s="684"/>
      <c r="DFZ78" s="684"/>
      <c r="DGA78" s="684"/>
      <c r="DGB78" s="684"/>
      <c r="DGC78" s="684"/>
      <c r="DGD78" s="684"/>
      <c r="DGE78" s="684"/>
      <c r="DGF78" s="684"/>
      <c r="DGG78" s="684"/>
      <c r="DGH78" s="684"/>
      <c r="DGI78" s="684"/>
      <c r="DGJ78" s="684"/>
      <c r="DGK78" s="684"/>
      <c r="DGL78" s="684"/>
      <c r="DGM78" s="684"/>
      <c r="DGN78" s="684"/>
      <c r="DGO78" s="684"/>
      <c r="DGP78" s="684"/>
      <c r="DGQ78" s="684"/>
      <c r="DGR78" s="684"/>
      <c r="DGS78" s="684"/>
      <c r="DGT78" s="684"/>
      <c r="DGU78" s="684"/>
      <c r="DGV78" s="684"/>
      <c r="DGW78" s="684"/>
      <c r="DGX78" s="684"/>
      <c r="DGY78" s="684"/>
      <c r="DGZ78" s="684"/>
      <c r="DHA78" s="684"/>
      <c r="DHB78" s="684"/>
      <c r="DHC78" s="684"/>
      <c r="DHD78" s="684"/>
      <c r="DHE78" s="684"/>
      <c r="DHF78" s="684"/>
      <c r="DHG78" s="684"/>
      <c r="DHH78" s="684"/>
      <c r="DHI78" s="684"/>
      <c r="DHJ78" s="684"/>
      <c r="DHK78" s="684"/>
      <c r="DHL78" s="684"/>
      <c r="DHM78" s="684"/>
      <c r="DHN78" s="684"/>
      <c r="DHO78" s="684"/>
      <c r="DHP78" s="684"/>
      <c r="DHQ78" s="684"/>
      <c r="DHR78" s="684"/>
      <c r="DHS78" s="684"/>
      <c r="DHT78" s="684"/>
      <c r="DHU78" s="684"/>
      <c r="DHV78" s="684"/>
      <c r="DHW78" s="684"/>
      <c r="DHX78" s="684"/>
      <c r="DHY78" s="684"/>
      <c r="DHZ78" s="684"/>
      <c r="DIA78" s="684"/>
      <c r="DIB78" s="684"/>
      <c r="DIC78" s="684"/>
      <c r="DID78" s="684"/>
      <c r="DIE78" s="684"/>
      <c r="DIF78" s="684"/>
      <c r="DIG78" s="684"/>
      <c r="DIH78" s="684"/>
      <c r="DII78" s="684"/>
      <c r="DIJ78" s="684"/>
      <c r="DIK78" s="684"/>
      <c r="DIL78" s="684"/>
      <c r="DIM78" s="684"/>
      <c r="DIN78" s="684"/>
      <c r="DIO78" s="684"/>
      <c r="DIP78" s="684"/>
      <c r="DIQ78" s="684"/>
      <c r="DIR78" s="684"/>
      <c r="DIS78" s="684"/>
      <c r="DIT78" s="684"/>
      <c r="DIU78" s="684"/>
      <c r="DIV78" s="684"/>
      <c r="DIW78" s="684"/>
      <c r="DIX78" s="684"/>
      <c r="DIY78" s="684"/>
      <c r="DIZ78" s="684"/>
      <c r="DJA78" s="684"/>
      <c r="DJB78" s="684"/>
      <c r="DJC78" s="684"/>
      <c r="DJD78" s="684"/>
      <c r="DJE78" s="684"/>
      <c r="DJF78" s="684"/>
      <c r="DJG78" s="684"/>
      <c r="DJH78" s="684"/>
      <c r="DJI78" s="684"/>
      <c r="DJJ78" s="684"/>
      <c r="DJK78" s="684"/>
      <c r="DJL78" s="684"/>
      <c r="DJM78" s="684"/>
      <c r="DJN78" s="684"/>
      <c r="DJO78" s="684"/>
      <c r="DJP78" s="684"/>
      <c r="DJQ78" s="684"/>
      <c r="DJR78" s="684"/>
      <c r="DJS78" s="684"/>
      <c r="DJT78" s="684"/>
      <c r="DJU78" s="684"/>
      <c r="DJV78" s="684"/>
      <c r="DJW78" s="684"/>
      <c r="DJX78" s="684"/>
      <c r="DJY78" s="684"/>
      <c r="DJZ78" s="684"/>
      <c r="DKA78" s="684"/>
      <c r="DKB78" s="684"/>
      <c r="DKC78" s="684"/>
      <c r="DKD78" s="684"/>
      <c r="DKE78" s="684"/>
      <c r="DKF78" s="684"/>
      <c r="DKG78" s="684"/>
      <c r="DKH78" s="684"/>
      <c r="DKI78" s="684"/>
      <c r="DKJ78" s="684"/>
      <c r="DKK78" s="684"/>
      <c r="DKL78" s="684"/>
      <c r="DKM78" s="684"/>
      <c r="DKN78" s="684"/>
      <c r="DKO78" s="684"/>
      <c r="DKP78" s="684"/>
      <c r="DKQ78" s="684"/>
      <c r="DKR78" s="684"/>
      <c r="DKS78" s="684"/>
      <c r="DKT78" s="684"/>
      <c r="DKU78" s="684"/>
      <c r="DKV78" s="684"/>
      <c r="DKW78" s="684"/>
      <c r="DKX78" s="684"/>
      <c r="DKY78" s="684"/>
      <c r="DKZ78" s="684"/>
      <c r="DLA78" s="684"/>
      <c r="DLB78" s="684"/>
      <c r="DLC78" s="684"/>
      <c r="DLD78" s="684"/>
      <c r="DLE78" s="684"/>
      <c r="DLF78" s="684"/>
      <c r="DLG78" s="684"/>
      <c r="DLH78" s="684"/>
      <c r="DLI78" s="684"/>
      <c r="DLJ78" s="684"/>
      <c r="DLK78" s="684"/>
      <c r="DLL78" s="684"/>
      <c r="DLM78" s="684"/>
      <c r="DLN78" s="684"/>
      <c r="DLO78" s="684"/>
      <c r="DLP78" s="684"/>
      <c r="DLQ78" s="684"/>
      <c r="DLR78" s="684"/>
      <c r="DLS78" s="684"/>
      <c r="DLT78" s="684"/>
      <c r="DLU78" s="684"/>
      <c r="DLV78" s="684"/>
      <c r="DLW78" s="684"/>
      <c r="DLX78" s="684"/>
      <c r="DLY78" s="684"/>
      <c r="DLZ78" s="684"/>
      <c r="DMA78" s="684"/>
      <c r="DMB78" s="684"/>
      <c r="DMC78" s="684"/>
      <c r="DMD78" s="684"/>
      <c r="DME78" s="684"/>
      <c r="DMF78" s="684"/>
      <c r="DMG78" s="684"/>
      <c r="DMH78" s="684"/>
      <c r="DMI78" s="684"/>
      <c r="DMJ78" s="684"/>
      <c r="DMK78" s="684"/>
      <c r="DML78" s="684"/>
      <c r="DMM78" s="684"/>
      <c r="DMN78" s="684"/>
      <c r="DMO78" s="684"/>
      <c r="DMP78" s="684"/>
      <c r="DMQ78" s="684"/>
      <c r="DMR78" s="684"/>
      <c r="DMS78" s="684"/>
      <c r="DMT78" s="684"/>
      <c r="DMU78" s="684"/>
      <c r="DMV78" s="684"/>
      <c r="DMW78" s="684"/>
      <c r="DMX78" s="684"/>
      <c r="DMY78" s="684"/>
      <c r="DMZ78" s="684"/>
      <c r="DNA78" s="684"/>
      <c r="DNB78" s="684"/>
      <c r="DNC78" s="684"/>
      <c r="DND78" s="684"/>
      <c r="DNE78" s="684"/>
      <c r="DNF78" s="684"/>
      <c r="DNG78" s="684"/>
      <c r="DNH78" s="684"/>
      <c r="DNI78" s="684"/>
      <c r="DNJ78" s="684"/>
      <c r="DNK78" s="684"/>
      <c r="DNL78" s="684"/>
      <c r="DNM78" s="684"/>
      <c r="DNN78" s="684"/>
      <c r="DNO78" s="684"/>
      <c r="DNP78" s="684"/>
      <c r="DNQ78" s="684"/>
      <c r="DNR78" s="684"/>
      <c r="DNS78" s="684"/>
      <c r="DNT78" s="684"/>
      <c r="DNU78" s="684"/>
      <c r="DNV78" s="684"/>
      <c r="DNW78" s="684"/>
      <c r="DNX78" s="684"/>
      <c r="DNY78" s="684"/>
      <c r="DNZ78" s="684"/>
      <c r="DOA78" s="684"/>
      <c r="DOB78" s="684"/>
      <c r="DOC78" s="684"/>
      <c r="DOD78" s="684"/>
      <c r="DOE78" s="684"/>
      <c r="DOF78" s="684"/>
      <c r="DOG78" s="684"/>
      <c r="DOH78" s="684"/>
      <c r="DOI78" s="684"/>
      <c r="DOJ78" s="684"/>
      <c r="DOK78" s="684"/>
      <c r="DOL78" s="684"/>
      <c r="DOM78" s="684"/>
      <c r="DON78" s="684"/>
      <c r="DOO78" s="684"/>
      <c r="DOP78" s="684"/>
      <c r="DOQ78" s="684"/>
      <c r="DOR78" s="684"/>
      <c r="DOS78" s="684"/>
      <c r="DOT78" s="684"/>
      <c r="DOU78" s="684"/>
      <c r="DOV78" s="684"/>
      <c r="DOW78" s="684"/>
      <c r="DOX78" s="684"/>
      <c r="DOY78" s="684"/>
      <c r="DOZ78" s="684"/>
      <c r="DPA78" s="684"/>
      <c r="DPB78" s="684"/>
      <c r="DPC78" s="684"/>
      <c r="DPD78" s="684"/>
      <c r="DPE78" s="684"/>
      <c r="DPF78" s="684"/>
      <c r="DPG78" s="684"/>
      <c r="DPH78" s="684"/>
      <c r="DPI78" s="684"/>
      <c r="DPJ78" s="684"/>
      <c r="DPK78" s="684"/>
      <c r="DPL78" s="684"/>
      <c r="DPM78" s="684"/>
      <c r="DPN78" s="684"/>
      <c r="DPO78" s="684"/>
      <c r="DPP78" s="684"/>
      <c r="DPQ78" s="684"/>
      <c r="DPR78" s="684"/>
      <c r="DPS78" s="684"/>
      <c r="DPT78" s="684"/>
      <c r="DPU78" s="684"/>
      <c r="DPV78" s="684"/>
      <c r="DPW78" s="684"/>
      <c r="DPX78" s="684"/>
      <c r="DPY78" s="684"/>
      <c r="DPZ78" s="684"/>
      <c r="DQA78" s="684"/>
      <c r="DQB78" s="684"/>
      <c r="DQC78" s="684"/>
      <c r="DQD78" s="684"/>
      <c r="DQE78" s="684"/>
      <c r="DQF78" s="684"/>
      <c r="DQG78" s="684"/>
      <c r="DQH78" s="684"/>
      <c r="DQI78" s="684"/>
      <c r="DQJ78" s="684"/>
      <c r="DQK78" s="684"/>
      <c r="DQL78" s="684"/>
      <c r="DQM78" s="684"/>
      <c r="DQN78" s="684"/>
      <c r="DQO78" s="684"/>
      <c r="DQP78" s="684"/>
      <c r="DQQ78" s="684"/>
      <c r="DQR78" s="684"/>
      <c r="DQS78" s="684"/>
      <c r="DQT78" s="684"/>
      <c r="DQU78" s="684"/>
      <c r="DQV78" s="684"/>
      <c r="DQW78" s="684"/>
      <c r="DQX78" s="684"/>
      <c r="DQY78" s="684"/>
      <c r="DQZ78" s="684"/>
      <c r="DRA78" s="684"/>
      <c r="DRB78" s="684"/>
      <c r="DRC78" s="684"/>
      <c r="DRD78" s="684"/>
      <c r="DRE78" s="684"/>
      <c r="DRF78" s="684"/>
      <c r="DRG78" s="684"/>
      <c r="DRH78" s="684"/>
      <c r="DRI78" s="684"/>
      <c r="DRJ78" s="684"/>
      <c r="DRK78" s="684"/>
      <c r="DRL78" s="684"/>
      <c r="DRM78" s="684"/>
      <c r="DRN78" s="684"/>
      <c r="DRO78" s="684"/>
      <c r="DRP78" s="684"/>
      <c r="DRQ78" s="684"/>
      <c r="DRR78" s="684"/>
      <c r="DRS78" s="684"/>
      <c r="DRT78" s="684"/>
      <c r="DRU78" s="684"/>
      <c r="DRV78" s="684"/>
      <c r="DRW78" s="684"/>
      <c r="DRX78" s="684"/>
      <c r="DRY78" s="684"/>
      <c r="DRZ78" s="684"/>
      <c r="DSA78" s="684"/>
      <c r="DSB78" s="684"/>
      <c r="DSC78" s="684"/>
      <c r="DSD78" s="684"/>
      <c r="DSE78" s="684"/>
      <c r="DSF78" s="684"/>
      <c r="DSG78" s="684"/>
      <c r="DSH78" s="684"/>
      <c r="DSI78" s="684"/>
      <c r="DSJ78" s="684"/>
      <c r="DSK78" s="684"/>
      <c r="DSL78" s="684"/>
      <c r="DSM78" s="684"/>
      <c r="DSN78" s="684"/>
      <c r="DSO78" s="684"/>
      <c r="DSP78" s="684"/>
      <c r="DSQ78" s="684"/>
      <c r="DSR78" s="684"/>
      <c r="DSS78" s="684"/>
      <c r="DST78" s="684"/>
      <c r="DSU78" s="684"/>
      <c r="DSV78" s="684"/>
      <c r="DSW78" s="684"/>
      <c r="DSX78" s="684"/>
      <c r="DSY78" s="684"/>
      <c r="DSZ78" s="684"/>
      <c r="DTA78" s="684"/>
      <c r="DTB78" s="684"/>
      <c r="DTC78" s="684"/>
      <c r="DTD78" s="684"/>
      <c r="DTE78" s="684"/>
      <c r="DTF78" s="684"/>
      <c r="DTG78" s="684"/>
      <c r="DTH78" s="684"/>
      <c r="DTI78" s="684"/>
      <c r="DTJ78" s="684"/>
      <c r="DTK78" s="684"/>
      <c r="DTL78" s="684"/>
      <c r="DTM78" s="684"/>
      <c r="DTN78" s="684"/>
      <c r="DTO78" s="684"/>
      <c r="DTP78" s="684"/>
      <c r="DTQ78" s="684"/>
      <c r="DTR78" s="684"/>
      <c r="DTS78" s="684"/>
      <c r="DTT78" s="684"/>
      <c r="DTU78" s="684"/>
      <c r="DTV78" s="684"/>
      <c r="DTW78" s="684"/>
      <c r="DTX78" s="684"/>
      <c r="DTY78" s="684"/>
      <c r="DTZ78" s="684"/>
      <c r="DUA78" s="684"/>
      <c r="DUB78" s="684"/>
      <c r="DUC78" s="684"/>
      <c r="DUD78" s="684"/>
      <c r="DUE78" s="684"/>
      <c r="DUF78" s="684"/>
      <c r="DUG78" s="684"/>
      <c r="DUH78" s="684"/>
      <c r="DUI78" s="684"/>
      <c r="DUJ78" s="684"/>
      <c r="DUK78" s="684"/>
      <c r="DUL78" s="684"/>
      <c r="DUM78" s="684"/>
      <c r="DUN78" s="684"/>
      <c r="DUO78" s="684"/>
      <c r="DUP78" s="684"/>
      <c r="DUQ78" s="684"/>
      <c r="DUR78" s="684"/>
      <c r="DUS78" s="684"/>
      <c r="DUT78" s="684"/>
      <c r="DUU78" s="684"/>
      <c r="DUV78" s="684"/>
      <c r="DUW78" s="684"/>
      <c r="DUX78" s="684"/>
      <c r="DUY78" s="684"/>
      <c r="DUZ78" s="684"/>
      <c r="DVA78" s="684"/>
      <c r="DVB78" s="684"/>
      <c r="DVC78" s="684"/>
      <c r="DVD78" s="684"/>
      <c r="DVE78" s="684"/>
      <c r="DVF78" s="684"/>
      <c r="DVG78" s="684"/>
      <c r="DVH78" s="684"/>
      <c r="DVI78" s="684"/>
      <c r="DVJ78" s="684"/>
      <c r="DVK78" s="684"/>
      <c r="DVL78" s="684"/>
      <c r="DVM78" s="684"/>
      <c r="DVN78" s="684"/>
      <c r="DVO78" s="684"/>
      <c r="DVP78" s="684"/>
      <c r="DVQ78" s="684"/>
      <c r="DVR78" s="684"/>
      <c r="DVS78" s="684"/>
      <c r="DVT78" s="684"/>
      <c r="DVU78" s="684"/>
      <c r="DVV78" s="684"/>
      <c r="DVW78" s="684"/>
      <c r="DVX78" s="684"/>
      <c r="DVY78" s="684"/>
      <c r="DVZ78" s="684"/>
      <c r="DWA78" s="684"/>
      <c r="DWB78" s="684"/>
      <c r="DWC78" s="684"/>
      <c r="DWD78" s="684"/>
      <c r="DWE78" s="684"/>
      <c r="DWF78" s="684"/>
      <c r="DWG78" s="684"/>
      <c r="DWH78" s="684"/>
      <c r="DWI78" s="684"/>
      <c r="DWJ78" s="684"/>
      <c r="DWK78" s="684"/>
      <c r="DWL78" s="684"/>
      <c r="DWM78" s="684"/>
      <c r="DWN78" s="684"/>
      <c r="DWO78" s="684"/>
      <c r="DWP78" s="684"/>
      <c r="DWQ78" s="684"/>
      <c r="DWR78" s="684"/>
      <c r="DWS78" s="684"/>
      <c r="DWT78" s="684"/>
      <c r="DWU78" s="684"/>
      <c r="DWV78" s="684"/>
      <c r="DWW78" s="684"/>
      <c r="DWX78" s="684"/>
      <c r="DWY78" s="684"/>
      <c r="DWZ78" s="684"/>
      <c r="DXA78" s="684"/>
      <c r="DXB78" s="684"/>
      <c r="DXC78" s="684"/>
      <c r="DXD78" s="684"/>
      <c r="DXE78" s="684"/>
      <c r="DXF78" s="684"/>
      <c r="DXG78" s="684"/>
      <c r="DXH78" s="684"/>
      <c r="DXI78" s="684"/>
      <c r="DXJ78" s="684"/>
      <c r="DXK78" s="684"/>
      <c r="DXL78" s="684"/>
      <c r="DXM78" s="684"/>
      <c r="DXN78" s="684"/>
      <c r="DXO78" s="684"/>
      <c r="DXP78" s="684"/>
      <c r="DXQ78" s="684"/>
      <c r="DXR78" s="684"/>
      <c r="DXS78" s="684"/>
      <c r="DXT78" s="684"/>
      <c r="DXU78" s="684"/>
      <c r="DXV78" s="684"/>
      <c r="DXW78" s="684"/>
      <c r="DXX78" s="684"/>
      <c r="DXY78" s="684"/>
      <c r="DXZ78" s="684"/>
      <c r="DYA78" s="684"/>
      <c r="DYB78" s="684"/>
      <c r="DYC78" s="684"/>
      <c r="DYD78" s="684"/>
      <c r="DYE78" s="684"/>
      <c r="DYF78" s="684"/>
      <c r="DYG78" s="684"/>
      <c r="DYH78" s="684"/>
      <c r="DYI78" s="684"/>
      <c r="DYJ78" s="684"/>
      <c r="DYK78" s="684"/>
      <c r="DYL78" s="684"/>
      <c r="DYM78" s="684"/>
      <c r="DYN78" s="684"/>
      <c r="DYO78" s="684"/>
      <c r="DYP78" s="684"/>
      <c r="DYQ78" s="684"/>
      <c r="DYR78" s="684"/>
      <c r="DYS78" s="684"/>
      <c r="DYT78" s="684"/>
      <c r="DYU78" s="684"/>
      <c r="DYV78" s="684"/>
      <c r="DYW78" s="684"/>
      <c r="DYX78" s="684"/>
      <c r="DYY78" s="684"/>
      <c r="DYZ78" s="684"/>
      <c r="DZA78" s="684"/>
      <c r="DZB78" s="684"/>
      <c r="DZC78" s="684"/>
      <c r="DZD78" s="684"/>
      <c r="DZE78" s="684"/>
      <c r="DZF78" s="684"/>
      <c r="DZG78" s="684"/>
      <c r="DZH78" s="684"/>
      <c r="DZI78" s="684"/>
      <c r="DZJ78" s="684"/>
      <c r="DZK78" s="684"/>
      <c r="DZL78" s="684"/>
      <c r="DZM78" s="684"/>
      <c r="DZN78" s="684"/>
      <c r="DZO78" s="684"/>
      <c r="DZP78" s="684"/>
      <c r="DZQ78" s="684"/>
      <c r="DZR78" s="684"/>
      <c r="DZS78" s="684"/>
      <c r="DZT78" s="684"/>
      <c r="DZU78" s="684"/>
      <c r="DZV78" s="684"/>
      <c r="DZW78" s="684"/>
      <c r="DZX78" s="684"/>
      <c r="DZY78" s="684"/>
      <c r="DZZ78" s="684"/>
      <c r="EAA78" s="684"/>
      <c r="EAB78" s="684"/>
      <c r="EAC78" s="684"/>
      <c r="EAD78" s="684"/>
      <c r="EAE78" s="684"/>
      <c r="EAF78" s="684"/>
      <c r="EAG78" s="684"/>
      <c r="EAH78" s="684"/>
      <c r="EAI78" s="684"/>
      <c r="EAJ78" s="684"/>
      <c r="EAK78" s="684"/>
      <c r="EAL78" s="684"/>
      <c r="EAM78" s="684"/>
      <c r="EAN78" s="684"/>
      <c r="EAO78" s="684"/>
      <c r="EAP78" s="684"/>
      <c r="EAQ78" s="684"/>
      <c r="EAR78" s="684"/>
      <c r="EAS78" s="684"/>
      <c r="EAT78" s="684"/>
      <c r="EAU78" s="684"/>
      <c r="EAV78" s="684"/>
      <c r="EAW78" s="684"/>
      <c r="EAX78" s="684"/>
      <c r="EAY78" s="684"/>
      <c r="EAZ78" s="684"/>
      <c r="EBA78" s="684"/>
      <c r="EBB78" s="684"/>
      <c r="EBC78" s="684"/>
      <c r="EBD78" s="684"/>
      <c r="EBE78" s="684"/>
      <c r="EBF78" s="684"/>
      <c r="EBG78" s="684"/>
      <c r="EBH78" s="684"/>
      <c r="EBI78" s="684"/>
      <c r="EBJ78" s="684"/>
      <c r="EBK78" s="684"/>
      <c r="EBL78" s="684"/>
      <c r="EBM78" s="684"/>
      <c r="EBN78" s="684"/>
      <c r="EBO78" s="684"/>
      <c r="EBP78" s="684"/>
      <c r="EBQ78" s="684"/>
      <c r="EBR78" s="684"/>
      <c r="EBS78" s="684"/>
      <c r="EBT78" s="684"/>
      <c r="EBU78" s="684"/>
      <c r="EBV78" s="684"/>
      <c r="EBW78" s="684"/>
      <c r="EBX78" s="684"/>
      <c r="EBY78" s="684"/>
      <c r="EBZ78" s="684"/>
      <c r="ECA78" s="684"/>
      <c r="ECB78" s="684"/>
      <c r="ECC78" s="684"/>
      <c r="ECD78" s="684"/>
      <c r="ECE78" s="684"/>
      <c r="ECF78" s="684"/>
      <c r="ECG78" s="684"/>
      <c r="ECH78" s="684"/>
      <c r="ECI78" s="684"/>
      <c r="ECJ78" s="684"/>
      <c r="ECK78" s="684"/>
      <c r="ECL78" s="684"/>
      <c r="ECM78" s="684"/>
      <c r="ECN78" s="684"/>
      <c r="ECO78" s="684"/>
      <c r="ECP78" s="684"/>
      <c r="ECQ78" s="684"/>
      <c r="ECR78" s="684"/>
      <c r="ECS78" s="684"/>
      <c r="ECT78" s="684"/>
      <c r="ECU78" s="684"/>
      <c r="ECV78" s="684"/>
      <c r="ECW78" s="684"/>
      <c r="ECX78" s="684"/>
      <c r="ECY78" s="684"/>
      <c r="ECZ78" s="684"/>
      <c r="EDA78" s="684"/>
      <c r="EDB78" s="684"/>
      <c r="EDC78" s="684"/>
      <c r="EDD78" s="684"/>
      <c r="EDE78" s="684"/>
      <c r="EDF78" s="684"/>
      <c r="EDG78" s="684"/>
      <c r="EDH78" s="684"/>
      <c r="EDI78" s="684"/>
      <c r="EDJ78" s="684"/>
      <c r="EDK78" s="684"/>
      <c r="EDL78" s="684"/>
      <c r="EDM78" s="684"/>
      <c r="EDN78" s="684"/>
      <c r="EDO78" s="684"/>
      <c r="EDP78" s="684"/>
      <c r="EDQ78" s="684"/>
      <c r="EDR78" s="684"/>
      <c r="EDS78" s="684"/>
      <c r="EDT78" s="684"/>
      <c r="EDU78" s="684"/>
      <c r="EDV78" s="684"/>
      <c r="EDW78" s="684"/>
      <c r="EDX78" s="684"/>
      <c r="EDY78" s="684"/>
      <c r="EDZ78" s="684"/>
      <c r="EEA78" s="684"/>
      <c r="EEB78" s="684"/>
      <c r="EEC78" s="684"/>
      <c r="EED78" s="684"/>
      <c r="EEE78" s="684"/>
      <c r="EEF78" s="684"/>
      <c r="EEG78" s="684"/>
      <c r="EEH78" s="684"/>
      <c r="EEI78" s="684"/>
      <c r="EEJ78" s="684"/>
      <c r="EEK78" s="684"/>
      <c r="EEL78" s="684"/>
      <c r="EEM78" s="684"/>
      <c r="EEN78" s="684"/>
      <c r="EEO78" s="684"/>
      <c r="EEP78" s="684"/>
      <c r="EEQ78" s="684"/>
      <c r="EER78" s="684"/>
      <c r="EES78" s="684"/>
      <c r="EET78" s="684"/>
      <c r="EEU78" s="684"/>
      <c r="EEV78" s="684"/>
      <c r="EEW78" s="684"/>
      <c r="EEX78" s="684"/>
      <c r="EEY78" s="684"/>
      <c r="EEZ78" s="684"/>
      <c r="EFA78" s="684"/>
      <c r="EFB78" s="684"/>
      <c r="EFC78" s="684"/>
      <c r="EFD78" s="684"/>
      <c r="EFE78" s="684"/>
      <c r="EFF78" s="684"/>
      <c r="EFG78" s="684"/>
      <c r="EFH78" s="684"/>
      <c r="EFI78" s="684"/>
      <c r="EFJ78" s="684"/>
      <c r="EFK78" s="684"/>
      <c r="EFL78" s="684"/>
      <c r="EFM78" s="684"/>
      <c r="EFN78" s="684"/>
      <c r="EFO78" s="684"/>
      <c r="EFP78" s="684"/>
      <c r="EFQ78" s="684"/>
      <c r="EFR78" s="684"/>
      <c r="EFS78" s="684"/>
      <c r="EFT78" s="684"/>
      <c r="EFU78" s="684"/>
      <c r="EFV78" s="684"/>
      <c r="EFW78" s="684"/>
      <c r="EFX78" s="684"/>
      <c r="EFY78" s="684"/>
      <c r="EFZ78" s="684"/>
      <c r="EGA78" s="684"/>
      <c r="EGB78" s="684"/>
      <c r="EGC78" s="684"/>
      <c r="EGD78" s="684"/>
      <c r="EGE78" s="684"/>
      <c r="EGF78" s="684"/>
      <c r="EGG78" s="684"/>
      <c r="EGH78" s="684"/>
      <c r="EGI78" s="684"/>
      <c r="EGJ78" s="684"/>
      <c r="EGK78" s="684"/>
      <c r="EGL78" s="684"/>
      <c r="EGM78" s="684"/>
      <c r="EGN78" s="684"/>
      <c r="EGO78" s="684"/>
      <c r="EGP78" s="684"/>
      <c r="EGQ78" s="684"/>
      <c r="EGR78" s="684"/>
      <c r="EGS78" s="684"/>
      <c r="EGT78" s="684"/>
      <c r="EGU78" s="684"/>
      <c r="EGV78" s="684"/>
      <c r="EGW78" s="684"/>
      <c r="EGX78" s="684"/>
      <c r="EGY78" s="684"/>
      <c r="EGZ78" s="684"/>
      <c r="EHA78" s="684"/>
      <c r="EHB78" s="684"/>
      <c r="EHC78" s="684"/>
      <c r="EHD78" s="684"/>
      <c r="EHE78" s="684"/>
      <c r="EHF78" s="684"/>
      <c r="EHG78" s="684"/>
      <c r="EHH78" s="684"/>
      <c r="EHI78" s="684"/>
      <c r="EHJ78" s="684"/>
      <c r="EHK78" s="684"/>
      <c r="EHL78" s="684"/>
      <c r="EHM78" s="684"/>
      <c r="EHN78" s="684"/>
      <c r="EHO78" s="684"/>
      <c r="EHP78" s="684"/>
      <c r="EHQ78" s="684"/>
      <c r="EHR78" s="684"/>
      <c r="EHS78" s="684"/>
      <c r="EHT78" s="684"/>
      <c r="EHU78" s="684"/>
      <c r="EHV78" s="684"/>
      <c r="EHW78" s="684"/>
      <c r="EHX78" s="684"/>
      <c r="EHY78" s="684"/>
      <c r="EHZ78" s="684"/>
      <c r="EIA78" s="684"/>
      <c r="EIB78" s="684"/>
      <c r="EIC78" s="684"/>
      <c r="EID78" s="684"/>
      <c r="EIE78" s="684"/>
      <c r="EIF78" s="684"/>
      <c r="EIG78" s="684"/>
      <c r="EIH78" s="684"/>
      <c r="EII78" s="684"/>
      <c r="EIJ78" s="684"/>
      <c r="EIK78" s="684"/>
      <c r="EIL78" s="684"/>
      <c r="EIM78" s="684"/>
      <c r="EIN78" s="684"/>
      <c r="EIO78" s="684"/>
      <c r="EIP78" s="684"/>
      <c r="EIQ78" s="684"/>
      <c r="EIR78" s="684"/>
      <c r="EIS78" s="684"/>
      <c r="EIT78" s="684"/>
      <c r="EIU78" s="684"/>
      <c r="EIV78" s="684"/>
      <c r="EIW78" s="684"/>
      <c r="EIX78" s="684"/>
      <c r="EIY78" s="684"/>
      <c r="EIZ78" s="684"/>
      <c r="EJA78" s="684"/>
      <c r="EJB78" s="684"/>
      <c r="EJC78" s="684"/>
      <c r="EJD78" s="684"/>
      <c r="EJE78" s="684"/>
      <c r="EJF78" s="684"/>
      <c r="EJG78" s="684"/>
      <c r="EJH78" s="684"/>
      <c r="EJI78" s="684"/>
      <c r="EJJ78" s="684"/>
      <c r="EJK78" s="684"/>
      <c r="EJL78" s="684"/>
      <c r="EJM78" s="684"/>
      <c r="EJN78" s="684"/>
      <c r="EJO78" s="684"/>
      <c r="EJP78" s="684"/>
      <c r="EJQ78" s="684"/>
      <c r="EJR78" s="684"/>
      <c r="EJS78" s="684"/>
      <c r="EJT78" s="684"/>
      <c r="EJU78" s="684"/>
      <c r="EJV78" s="684"/>
      <c r="EJW78" s="684"/>
      <c r="EJX78" s="684"/>
      <c r="EJY78" s="684"/>
      <c r="EJZ78" s="684"/>
      <c r="EKA78" s="684"/>
      <c r="EKB78" s="684"/>
      <c r="EKC78" s="684"/>
      <c r="EKD78" s="684"/>
      <c r="EKE78" s="684"/>
      <c r="EKF78" s="684"/>
      <c r="EKG78" s="684"/>
      <c r="EKH78" s="684"/>
      <c r="EKI78" s="684"/>
      <c r="EKJ78" s="684"/>
      <c r="EKK78" s="684"/>
      <c r="EKL78" s="684"/>
      <c r="EKM78" s="684"/>
      <c r="EKN78" s="684"/>
      <c r="EKO78" s="684"/>
      <c r="EKP78" s="684"/>
      <c r="EKQ78" s="684"/>
      <c r="EKR78" s="684"/>
      <c r="EKS78" s="684"/>
      <c r="EKT78" s="684"/>
      <c r="EKU78" s="684"/>
      <c r="EKV78" s="684"/>
      <c r="EKW78" s="684"/>
      <c r="EKX78" s="684"/>
      <c r="EKY78" s="684"/>
      <c r="EKZ78" s="684"/>
      <c r="ELA78" s="684"/>
      <c r="ELB78" s="684"/>
      <c r="ELC78" s="684"/>
      <c r="ELD78" s="684"/>
      <c r="ELE78" s="684"/>
      <c r="ELF78" s="684"/>
      <c r="ELG78" s="684"/>
      <c r="ELH78" s="684"/>
      <c r="ELI78" s="684"/>
      <c r="ELJ78" s="684"/>
      <c r="ELK78" s="684"/>
      <c r="ELL78" s="684"/>
      <c r="ELM78" s="684"/>
      <c r="ELN78" s="684"/>
      <c r="ELO78" s="684"/>
      <c r="ELP78" s="684"/>
      <c r="ELQ78" s="684"/>
      <c r="ELR78" s="684"/>
      <c r="ELS78" s="684"/>
      <c r="ELT78" s="684"/>
      <c r="ELU78" s="684"/>
      <c r="ELV78" s="684"/>
      <c r="ELW78" s="684"/>
      <c r="ELX78" s="684"/>
      <c r="ELY78" s="684"/>
      <c r="ELZ78" s="684"/>
      <c r="EMA78" s="684"/>
      <c r="EMB78" s="684"/>
      <c r="EMC78" s="684"/>
      <c r="EMD78" s="684"/>
      <c r="EME78" s="684"/>
      <c r="EMF78" s="684"/>
      <c r="EMG78" s="684"/>
      <c r="EMH78" s="684"/>
      <c r="EMI78" s="684"/>
      <c r="EMJ78" s="684"/>
      <c r="EMK78" s="684"/>
      <c r="EML78" s="684"/>
      <c r="EMM78" s="684"/>
      <c r="EMN78" s="684"/>
      <c r="EMO78" s="684"/>
      <c r="EMP78" s="684"/>
      <c r="EMQ78" s="684"/>
      <c r="EMR78" s="684"/>
      <c r="EMS78" s="684"/>
      <c r="EMT78" s="684"/>
      <c r="EMU78" s="684"/>
      <c r="EMV78" s="684"/>
      <c r="EMW78" s="684"/>
      <c r="EMX78" s="684"/>
      <c r="EMY78" s="684"/>
      <c r="EMZ78" s="684"/>
      <c r="ENA78" s="684"/>
      <c r="ENB78" s="684"/>
      <c r="ENC78" s="684"/>
      <c r="END78" s="684"/>
      <c r="ENE78" s="684"/>
      <c r="ENF78" s="684"/>
      <c r="ENG78" s="684"/>
      <c r="ENH78" s="684"/>
      <c r="ENI78" s="684"/>
      <c r="ENJ78" s="684"/>
      <c r="ENK78" s="684"/>
      <c r="ENL78" s="684"/>
      <c r="ENM78" s="684"/>
      <c r="ENN78" s="684"/>
      <c r="ENO78" s="684"/>
      <c r="ENP78" s="684"/>
      <c r="ENQ78" s="684"/>
      <c r="ENR78" s="684"/>
      <c r="ENS78" s="684"/>
      <c r="ENT78" s="684"/>
      <c r="ENU78" s="684"/>
      <c r="ENV78" s="684"/>
      <c r="ENW78" s="684"/>
      <c r="ENX78" s="684"/>
      <c r="ENY78" s="684"/>
      <c r="ENZ78" s="684"/>
      <c r="EOA78" s="684"/>
      <c r="EOB78" s="684"/>
      <c r="EOC78" s="684"/>
      <c r="EOD78" s="684"/>
      <c r="EOE78" s="684"/>
      <c r="EOF78" s="684"/>
      <c r="EOG78" s="684"/>
      <c r="EOH78" s="684"/>
      <c r="EOI78" s="684"/>
      <c r="EOJ78" s="684"/>
      <c r="EOK78" s="684"/>
      <c r="EOL78" s="684"/>
      <c r="EOM78" s="684"/>
      <c r="EON78" s="684"/>
      <c r="EOO78" s="684"/>
      <c r="EOP78" s="684"/>
      <c r="EOQ78" s="684"/>
      <c r="EOR78" s="684"/>
      <c r="EOS78" s="684"/>
      <c r="EOT78" s="684"/>
      <c r="EOU78" s="684"/>
      <c r="EOV78" s="684"/>
      <c r="EOW78" s="684"/>
      <c r="EOX78" s="684"/>
      <c r="EOY78" s="684"/>
      <c r="EOZ78" s="684"/>
      <c r="EPA78" s="684"/>
      <c r="EPB78" s="684"/>
      <c r="EPC78" s="684"/>
      <c r="EPD78" s="684"/>
      <c r="EPE78" s="684"/>
      <c r="EPF78" s="684"/>
      <c r="EPG78" s="684"/>
      <c r="EPH78" s="684"/>
      <c r="EPI78" s="684"/>
      <c r="EPJ78" s="684"/>
      <c r="EPK78" s="684"/>
      <c r="EPL78" s="684"/>
      <c r="EPM78" s="684"/>
      <c r="EPN78" s="684"/>
      <c r="EPO78" s="684"/>
      <c r="EPP78" s="684"/>
      <c r="EPQ78" s="684"/>
      <c r="EPR78" s="684"/>
      <c r="EPS78" s="684"/>
      <c r="EPT78" s="684"/>
      <c r="EPU78" s="684"/>
      <c r="EPV78" s="684"/>
      <c r="EPW78" s="684"/>
      <c r="EPX78" s="684"/>
      <c r="EPY78" s="684"/>
      <c r="EPZ78" s="684"/>
      <c r="EQA78" s="684"/>
      <c r="EQB78" s="684"/>
      <c r="EQC78" s="684"/>
      <c r="EQD78" s="684"/>
      <c r="EQE78" s="684"/>
      <c r="EQF78" s="684"/>
      <c r="EQG78" s="684"/>
      <c r="EQH78" s="684"/>
      <c r="EQI78" s="684"/>
      <c r="EQJ78" s="684"/>
      <c r="EQK78" s="684"/>
      <c r="EQL78" s="684"/>
      <c r="EQM78" s="684"/>
      <c r="EQN78" s="684"/>
      <c r="EQO78" s="684"/>
      <c r="EQP78" s="684"/>
      <c r="EQQ78" s="684"/>
      <c r="EQR78" s="684"/>
      <c r="EQS78" s="684"/>
      <c r="EQT78" s="684"/>
      <c r="EQU78" s="684"/>
      <c r="EQV78" s="684"/>
      <c r="EQW78" s="684"/>
      <c r="EQX78" s="684"/>
      <c r="EQY78" s="684"/>
      <c r="EQZ78" s="684"/>
      <c r="ERA78" s="684"/>
      <c r="ERB78" s="684"/>
      <c r="ERC78" s="684"/>
      <c r="ERD78" s="684"/>
      <c r="ERE78" s="684"/>
      <c r="ERF78" s="684"/>
      <c r="ERG78" s="684"/>
      <c r="ERH78" s="684"/>
      <c r="ERI78" s="684"/>
      <c r="ERJ78" s="684"/>
      <c r="ERK78" s="684"/>
      <c r="ERL78" s="684"/>
      <c r="ERM78" s="684"/>
      <c r="ERN78" s="684"/>
      <c r="ERO78" s="684"/>
      <c r="ERP78" s="684"/>
      <c r="ERQ78" s="684"/>
      <c r="ERR78" s="684"/>
      <c r="ERS78" s="684"/>
      <c r="ERT78" s="684"/>
      <c r="ERU78" s="684"/>
      <c r="ERV78" s="684"/>
      <c r="ERW78" s="684"/>
      <c r="ERX78" s="684"/>
      <c r="ERY78" s="684"/>
      <c r="ERZ78" s="684"/>
      <c r="ESA78" s="684"/>
      <c r="ESB78" s="684"/>
      <c r="ESC78" s="684"/>
      <c r="ESD78" s="684"/>
      <c r="ESE78" s="684"/>
      <c r="ESF78" s="684"/>
      <c r="ESG78" s="684"/>
      <c r="ESH78" s="684"/>
      <c r="ESI78" s="684"/>
      <c r="ESJ78" s="684"/>
      <c r="ESK78" s="684"/>
      <c r="ESL78" s="684"/>
      <c r="ESM78" s="684"/>
      <c r="ESN78" s="684"/>
      <c r="ESO78" s="684"/>
      <c r="ESP78" s="684"/>
      <c r="ESQ78" s="684"/>
      <c r="ESR78" s="684"/>
      <c r="ESS78" s="684"/>
      <c r="EST78" s="684"/>
      <c r="ESU78" s="684"/>
      <c r="ESV78" s="684"/>
      <c r="ESW78" s="684"/>
      <c r="ESX78" s="684"/>
      <c r="ESY78" s="684"/>
      <c r="ESZ78" s="684"/>
      <c r="ETA78" s="684"/>
      <c r="ETB78" s="684"/>
      <c r="ETC78" s="684"/>
      <c r="ETD78" s="684"/>
      <c r="ETE78" s="684"/>
      <c r="ETF78" s="684"/>
      <c r="ETG78" s="684"/>
      <c r="ETH78" s="684"/>
      <c r="ETI78" s="684"/>
      <c r="ETJ78" s="684"/>
      <c r="ETK78" s="684"/>
      <c r="ETL78" s="684"/>
      <c r="ETM78" s="684"/>
      <c r="ETN78" s="684"/>
      <c r="ETO78" s="684"/>
      <c r="ETP78" s="684"/>
      <c r="ETQ78" s="684"/>
      <c r="ETR78" s="684"/>
      <c r="ETS78" s="684"/>
      <c r="ETT78" s="684"/>
      <c r="ETU78" s="684"/>
      <c r="ETV78" s="684"/>
      <c r="ETW78" s="684"/>
      <c r="ETX78" s="684"/>
      <c r="ETY78" s="684"/>
      <c r="ETZ78" s="684"/>
      <c r="EUA78" s="684"/>
      <c r="EUB78" s="684"/>
      <c r="EUC78" s="684"/>
      <c r="EUD78" s="684"/>
      <c r="EUE78" s="684"/>
      <c r="EUF78" s="684"/>
      <c r="EUG78" s="684"/>
      <c r="EUH78" s="684"/>
      <c r="EUI78" s="684"/>
      <c r="EUJ78" s="684"/>
      <c r="EUK78" s="684"/>
      <c r="EUL78" s="684"/>
      <c r="EUM78" s="684"/>
      <c r="EUN78" s="684"/>
      <c r="EUO78" s="684"/>
      <c r="EUP78" s="684"/>
      <c r="EUQ78" s="684"/>
      <c r="EUR78" s="684"/>
      <c r="EUS78" s="684"/>
      <c r="EUT78" s="684"/>
      <c r="EUU78" s="684"/>
      <c r="EUV78" s="684"/>
      <c r="EUW78" s="684"/>
      <c r="EUX78" s="684"/>
      <c r="EUY78" s="684"/>
      <c r="EUZ78" s="684"/>
      <c r="EVA78" s="684"/>
      <c r="EVB78" s="684"/>
      <c r="EVC78" s="684"/>
      <c r="EVD78" s="684"/>
      <c r="EVE78" s="684"/>
      <c r="EVF78" s="684"/>
      <c r="EVG78" s="684"/>
      <c r="EVH78" s="684"/>
      <c r="EVI78" s="684"/>
      <c r="EVJ78" s="684"/>
      <c r="EVK78" s="684"/>
      <c r="EVL78" s="684"/>
      <c r="EVM78" s="684"/>
      <c r="EVN78" s="684"/>
      <c r="EVO78" s="684"/>
      <c r="EVP78" s="684"/>
      <c r="EVQ78" s="684"/>
      <c r="EVR78" s="684"/>
      <c r="EVS78" s="684"/>
      <c r="EVT78" s="684"/>
      <c r="EVU78" s="684"/>
      <c r="EVV78" s="684"/>
      <c r="EVW78" s="684"/>
      <c r="EVX78" s="684"/>
      <c r="EVY78" s="684"/>
      <c r="EVZ78" s="684"/>
      <c r="EWA78" s="684"/>
      <c r="EWB78" s="684"/>
      <c r="EWC78" s="684"/>
      <c r="EWD78" s="684"/>
      <c r="EWE78" s="684"/>
      <c r="EWF78" s="684"/>
      <c r="EWG78" s="684"/>
      <c r="EWH78" s="684"/>
      <c r="EWI78" s="684"/>
      <c r="EWJ78" s="684"/>
      <c r="EWK78" s="684"/>
      <c r="EWL78" s="684"/>
      <c r="EWM78" s="684"/>
      <c r="EWN78" s="684"/>
      <c r="EWO78" s="684"/>
      <c r="EWP78" s="684"/>
      <c r="EWQ78" s="684"/>
      <c r="EWR78" s="684"/>
      <c r="EWS78" s="684"/>
      <c r="EWT78" s="684"/>
      <c r="EWU78" s="684"/>
      <c r="EWV78" s="684"/>
      <c r="EWW78" s="684"/>
      <c r="EWX78" s="684"/>
      <c r="EWY78" s="684"/>
      <c r="EWZ78" s="684"/>
      <c r="EXA78" s="684"/>
      <c r="EXB78" s="684"/>
      <c r="EXC78" s="684"/>
      <c r="EXD78" s="684"/>
      <c r="EXE78" s="684"/>
      <c r="EXF78" s="684"/>
      <c r="EXG78" s="684"/>
      <c r="EXH78" s="684"/>
      <c r="EXI78" s="684"/>
      <c r="EXJ78" s="684"/>
      <c r="EXK78" s="684"/>
      <c r="EXL78" s="684"/>
      <c r="EXM78" s="684"/>
      <c r="EXN78" s="684"/>
      <c r="EXO78" s="684"/>
      <c r="EXP78" s="684"/>
      <c r="EXQ78" s="684"/>
      <c r="EXR78" s="684"/>
      <c r="EXS78" s="684"/>
      <c r="EXT78" s="684"/>
      <c r="EXU78" s="684"/>
      <c r="EXV78" s="684"/>
      <c r="EXW78" s="684"/>
      <c r="EXX78" s="684"/>
      <c r="EXY78" s="684"/>
      <c r="EXZ78" s="684"/>
      <c r="EYA78" s="684"/>
      <c r="EYB78" s="684"/>
      <c r="EYC78" s="684"/>
      <c r="EYD78" s="684"/>
      <c r="EYE78" s="684"/>
      <c r="EYF78" s="684"/>
      <c r="EYG78" s="684"/>
      <c r="EYH78" s="684"/>
      <c r="EYI78" s="684"/>
      <c r="EYJ78" s="684"/>
      <c r="EYK78" s="684"/>
      <c r="EYL78" s="684"/>
      <c r="EYM78" s="684"/>
      <c r="EYN78" s="684"/>
      <c r="EYO78" s="684"/>
      <c r="EYP78" s="684"/>
      <c r="EYQ78" s="684"/>
      <c r="EYR78" s="684"/>
      <c r="EYS78" s="684"/>
      <c r="EYT78" s="684"/>
      <c r="EYU78" s="684"/>
      <c r="EYV78" s="684"/>
      <c r="EYW78" s="684"/>
      <c r="EYX78" s="684"/>
      <c r="EYY78" s="684"/>
      <c r="EYZ78" s="684"/>
      <c r="EZA78" s="684"/>
      <c r="EZB78" s="684"/>
      <c r="EZC78" s="684"/>
      <c r="EZD78" s="684"/>
      <c r="EZE78" s="684"/>
      <c r="EZF78" s="684"/>
      <c r="EZG78" s="684"/>
      <c r="EZH78" s="684"/>
      <c r="EZI78" s="684"/>
      <c r="EZJ78" s="684"/>
      <c r="EZK78" s="684"/>
      <c r="EZL78" s="684"/>
      <c r="EZM78" s="684"/>
      <c r="EZN78" s="684"/>
      <c r="EZO78" s="684"/>
      <c r="EZP78" s="684"/>
      <c r="EZQ78" s="684"/>
      <c r="EZR78" s="684"/>
      <c r="EZS78" s="684"/>
      <c r="EZT78" s="684"/>
      <c r="EZU78" s="684"/>
      <c r="EZV78" s="684"/>
      <c r="EZW78" s="684"/>
      <c r="EZX78" s="684"/>
      <c r="EZY78" s="684"/>
      <c r="EZZ78" s="684"/>
      <c r="FAA78" s="684"/>
      <c r="FAB78" s="684"/>
      <c r="FAC78" s="684"/>
      <c r="FAD78" s="684"/>
      <c r="FAE78" s="684"/>
      <c r="FAF78" s="684"/>
      <c r="FAG78" s="684"/>
      <c r="FAH78" s="684"/>
      <c r="FAI78" s="684"/>
      <c r="FAJ78" s="684"/>
      <c r="FAK78" s="684"/>
      <c r="FAL78" s="684"/>
      <c r="FAM78" s="684"/>
      <c r="FAN78" s="684"/>
      <c r="FAO78" s="684"/>
      <c r="FAP78" s="684"/>
      <c r="FAQ78" s="684"/>
      <c r="FAR78" s="684"/>
      <c r="FAS78" s="684"/>
      <c r="FAT78" s="684"/>
      <c r="FAU78" s="684"/>
      <c r="FAV78" s="684"/>
      <c r="FAW78" s="684"/>
      <c r="FAX78" s="684"/>
      <c r="FAY78" s="684"/>
      <c r="FAZ78" s="684"/>
      <c r="FBA78" s="684"/>
      <c r="FBB78" s="684"/>
      <c r="FBC78" s="684"/>
      <c r="FBD78" s="684"/>
      <c r="FBE78" s="684"/>
      <c r="FBF78" s="684"/>
      <c r="FBG78" s="684"/>
      <c r="FBH78" s="684"/>
      <c r="FBI78" s="684"/>
      <c r="FBJ78" s="684"/>
      <c r="FBK78" s="684"/>
      <c r="FBL78" s="684"/>
      <c r="FBM78" s="684"/>
      <c r="FBN78" s="684"/>
      <c r="FBO78" s="684"/>
      <c r="FBP78" s="684"/>
      <c r="FBQ78" s="684"/>
      <c r="FBR78" s="684"/>
      <c r="FBS78" s="684"/>
      <c r="FBT78" s="684"/>
      <c r="FBU78" s="684"/>
      <c r="FBV78" s="684"/>
      <c r="FBW78" s="684"/>
      <c r="FBX78" s="684"/>
      <c r="FBY78" s="684"/>
      <c r="FBZ78" s="684"/>
      <c r="FCA78" s="684"/>
      <c r="FCB78" s="684"/>
      <c r="FCC78" s="684"/>
      <c r="FCD78" s="684"/>
      <c r="FCE78" s="684"/>
      <c r="FCF78" s="684"/>
      <c r="FCG78" s="684"/>
      <c r="FCH78" s="684"/>
      <c r="FCI78" s="684"/>
      <c r="FCJ78" s="684"/>
      <c r="FCK78" s="684"/>
      <c r="FCL78" s="684"/>
      <c r="FCM78" s="684"/>
      <c r="FCN78" s="684"/>
      <c r="FCO78" s="684"/>
      <c r="FCP78" s="684"/>
      <c r="FCQ78" s="684"/>
      <c r="FCR78" s="684"/>
      <c r="FCS78" s="684"/>
      <c r="FCT78" s="684"/>
      <c r="FCU78" s="684"/>
      <c r="FCV78" s="684"/>
      <c r="FCW78" s="684"/>
      <c r="FCX78" s="684"/>
      <c r="FCY78" s="684"/>
      <c r="FCZ78" s="684"/>
      <c r="FDA78" s="684"/>
      <c r="FDB78" s="684"/>
      <c r="FDC78" s="684"/>
      <c r="FDD78" s="684"/>
      <c r="FDE78" s="684"/>
      <c r="FDF78" s="684"/>
      <c r="FDG78" s="684"/>
      <c r="FDH78" s="684"/>
      <c r="FDI78" s="684"/>
      <c r="FDJ78" s="684"/>
      <c r="FDK78" s="684"/>
      <c r="FDL78" s="684"/>
      <c r="FDM78" s="684"/>
      <c r="FDN78" s="684"/>
      <c r="FDO78" s="684"/>
      <c r="FDP78" s="684"/>
      <c r="FDQ78" s="684"/>
      <c r="FDR78" s="684"/>
      <c r="FDS78" s="684"/>
      <c r="FDT78" s="684"/>
      <c r="FDU78" s="684"/>
      <c r="FDV78" s="684"/>
      <c r="FDW78" s="684"/>
      <c r="FDX78" s="684"/>
      <c r="FDY78" s="684"/>
      <c r="FDZ78" s="684"/>
      <c r="FEA78" s="684"/>
      <c r="FEB78" s="684"/>
      <c r="FEC78" s="684"/>
      <c r="FED78" s="684"/>
      <c r="FEE78" s="684"/>
      <c r="FEF78" s="684"/>
      <c r="FEG78" s="684"/>
      <c r="FEH78" s="684"/>
      <c r="FEI78" s="684"/>
      <c r="FEJ78" s="684"/>
      <c r="FEK78" s="684"/>
      <c r="FEL78" s="684"/>
      <c r="FEM78" s="684"/>
      <c r="FEN78" s="684"/>
      <c r="FEO78" s="684"/>
      <c r="FEP78" s="684"/>
      <c r="FEQ78" s="684"/>
      <c r="FER78" s="684"/>
      <c r="FES78" s="684"/>
      <c r="FET78" s="684"/>
      <c r="FEU78" s="684"/>
      <c r="FEV78" s="684"/>
      <c r="FEW78" s="684"/>
      <c r="FEX78" s="684"/>
      <c r="FEY78" s="684"/>
      <c r="FEZ78" s="684"/>
      <c r="FFA78" s="684"/>
      <c r="FFB78" s="684"/>
      <c r="FFC78" s="684"/>
      <c r="FFD78" s="684"/>
      <c r="FFE78" s="684"/>
      <c r="FFF78" s="684"/>
      <c r="FFG78" s="684"/>
      <c r="FFH78" s="684"/>
      <c r="FFI78" s="684"/>
      <c r="FFJ78" s="684"/>
      <c r="FFK78" s="684"/>
      <c r="FFL78" s="684"/>
      <c r="FFM78" s="684"/>
      <c r="FFN78" s="684"/>
      <c r="FFO78" s="684"/>
      <c r="FFP78" s="684"/>
      <c r="FFQ78" s="684"/>
      <c r="FFR78" s="684"/>
      <c r="FFS78" s="684"/>
      <c r="FFT78" s="684"/>
      <c r="FFU78" s="684"/>
      <c r="FFV78" s="684"/>
      <c r="FFW78" s="684"/>
      <c r="FFX78" s="684"/>
      <c r="FFY78" s="684"/>
      <c r="FFZ78" s="684"/>
      <c r="FGA78" s="684"/>
      <c r="FGB78" s="684"/>
      <c r="FGC78" s="684"/>
      <c r="FGD78" s="684"/>
      <c r="FGE78" s="684"/>
      <c r="FGF78" s="684"/>
      <c r="FGG78" s="684"/>
      <c r="FGH78" s="684"/>
      <c r="FGI78" s="684"/>
      <c r="FGJ78" s="684"/>
      <c r="FGK78" s="684"/>
      <c r="FGL78" s="684"/>
      <c r="FGM78" s="684"/>
      <c r="FGN78" s="684"/>
      <c r="FGO78" s="684"/>
      <c r="FGP78" s="684"/>
      <c r="FGQ78" s="684"/>
      <c r="FGR78" s="684"/>
      <c r="FGS78" s="684"/>
      <c r="FGT78" s="684"/>
      <c r="FGU78" s="684"/>
      <c r="FGV78" s="684"/>
      <c r="FGW78" s="684"/>
      <c r="FGX78" s="684"/>
      <c r="FGY78" s="684"/>
      <c r="FGZ78" s="684"/>
      <c r="FHA78" s="684"/>
      <c r="FHB78" s="684"/>
      <c r="FHC78" s="684"/>
      <c r="FHD78" s="684"/>
      <c r="FHE78" s="684"/>
      <c r="FHF78" s="684"/>
      <c r="FHG78" s="684"/>
      <c r="FHH78" s="684"/>
      <c r="FHI78" s="684"/>
      <c r="FHJ78" s="684"/>
      <c r="FHK78" s="684"/>
      <c r="FHL78" s="684"/>
      <c r="FHM78" s="684"/>
      <c r="FHN78" s="684"/>
      <c r="FHO78" s="684"/>
      <c r="FHP78" s="684"/>
      <c r="FHQ78" s="684"/>
      <c r="FHR78" s="684"/>
      <c r="FHS78" s="684"/>
      <c r="FHT78" s="684"/>
      <c r="FHU78" s="684"/>
      <c r="FHV78" s="684"/>
      <c r="FHW78" s="684"/>
      <c r="FHX78" s="684"/>
      <c r="FHY78" s="684"/>
      <c r="FHZ78" s="684"/>
      <c r="FIA78" s="684"/>
      <c r="FIB78" s="684"/>
      <c r="FIC78" s="684"/>
      <c r="FID78" s="684"/>
      <c r="FIE78" s="684"/>
      <c r="FIF78" s="684"/>
      <c r="FIG78" s="684"/>
      <c r="FIH78" s="684"/>
      <c r="FII78" s="684"/>
      <c r="FIJ78" s="684"/>
      <c r="FIK78" s="684"/>
      <c r="FIL78" s="684"/>
      <c r="FIM78" s="684"/>
      <c r="FIN78" s="684"/>
      <c r="FIO78" s="684"/>
      <c r="FIP78" s="684"/>
      <c r="FIQ78" s="684"/>
      <c r="FIR78" s="684"/>
      <c r="FIS78" s="684"/>
      <c r="FIT78" s="684"/>
      <c r="FIU78" s="684"/>
      <c r="FIV78" s="684"/>
      <c r="FIW78" s="684"/>
      <c r="FIX78" s="684"/>
      <c r="FIY78" s="684"/>
      <c r="FIZ78" s="684"/>
      <c r="FJA78" s="684"/>
      <c r="FJB78" s="684"/>
      <c r="FJC78" s="684"/>
      <c r="FJD78" s="684"/>
      <c r="FJE78" s="684"/>
      <c r="FJF78" s="684"/>
      <c r="FJG78" s="684"/>
      <c r="FJH78" s="684"/>
      <c r="FJI78" s="684"/>
      <c r="FJJ78" s="684"/>
      <c r="FJK78" s="684"/>
      <c r="FJL78" s="684"/>
      <c r="FJM78" s="684"/>
      <c r="FJN78" s="684"/>
      <c r="FJO78" s="684"/>
      <c r="FJP78" s="684"/>
      <c r="FJQ78" s="684"/>
      <c r="FJR78" s="684"/>
      <c r="FJS78" s="684"/>
      <c r="FJT78" s="684"/>
      <c r="FJU78" s="684"/>
      <c r="FJV78" s="684"/>
      <c r="FJW78" s="684"/>
      <c r="FJX78" s="684"/>
      <c r="FJY78" s="684"/>
      <c r="FJZ78" s="684"/>
      <c r="FKA78" s="684"/>
      <c r="FKB78" s="684"/>
      <c r="FKC78" s="684"/>
      <c r="FKD78" s="684"/>
      <c r="FKE78" s="684"/>
      <c r="FKF78" s="684"/>
      <c r="FKG78" s="684"/>
      <c r="FKH78" s="684"/>
      <c r="FKI78" s="684"/>
      <c r="FKJ78" s="684"/>
      <c r="FKK78" s="684"/>
      <c r="FKL78" s="684"/>
      <c r="FKM78" s="684"/>
      <c r="FKN78" s="684"/>
      <c r="FKO78" s="684"/>
      <c r="FKP78" s="684"/>
      <c r="FKQ78" s="684"/>
      <c r="FKR78" s="684"/>
      <c r="FKS78" s="684"/>
      <c r="FKT78" s="684"/>
      <c r="FKU78" s="684"/>
      <c r="FKV78" s="684"/>
      <c r="FKW78" s="684"/>
      <c r="FKX78" s="684"/>
      <c r="FKY78" s="684"/>
      <c r="FKZ78" s="684"/>
      <c r="FLA78" s="684"/>
      <c r="FLB78" s="684"/>
      <c r="FLC78" s="684"/>
      <c r="FLD78" s="684"/>
      <c r="FLE78" s="684"/>
      <c r="FLF78" s="684"/>
      <c r="FLG78" s="684"/>
      <c r="FLH78" s="684"/>
      <c r="FLI78" s="684"/>
      <c r="FLJ78" s="684"/>
      <c r="FLK78" s="684"/>
      <c r="FLL78" s="684"/>
      <c r="FLM78" s="684"/>
      <c r="FLN78" s="684"/>
      <c r="FLO78" s="684"/>
      <c r="FLP78" s="684"/>
      <c r="FLQ78" s="684"/>
      <c r="FLR78" s="684"/>
      <c r="FLS78" s="684"/>
      <c r="FLT78" s="684"/>
      <c r="FLU78" s="684"/>
      <c r="FLV78" s="684"/>
      <c r="FLW78" s="684"/>
      <c r="FLX78" s="684"/>
      <c r="FLY78" s="684"/>
      <c r="FLZ78" s="684"/>
      <c r="FMA78" s="684"/>
      <c r="FMB78" s="684"/>
      <c r="FMC78" s="684"/>
      <c r="FMD78" s="684"/>
      <c r="FME78" s="684"/>
      <c r="FMF78" s="684"/>
      <c r="FMG78" s="684"/>
      <c r="FMH78" s="684"/>
      <c r="FMI78" s="684"/>
      <c r="FMJ78" s="684"/>
      <c r="FMK78" s="684"/>
      <c r="FML78" s="684"/>
      <c r="FMM78" s="684"/>
      <c r="FMN78" s="684"/>
      <c r="FMO78" s="684"/>
      <c r="FMP78" s="684"/>
      <c r="FMQ78" s="684"/>
      <c r="FMR78" s="684"/>
      <c r="FMS78" s="684"/>
      <c r="FMT78" s="684"/>
      <c r="FMU78" s="684"/>
      <c r="FMV78" s="684"/>
      <c r="FMW78" s="684"/>
      <c r="FMX78" s="684"/>
      <c r="FMY78" s="684"/>
      <c r="FMZ78" s="684"/>
      <c r="FNA78" s="684"/>
      <c r="FNB78" s="684"/>
      <c r="FNC78" s="684"/>
      <c r="FND78" s="684"/>
      <c r="FNE78" s="684"/>
      <c r="FNF78" s="684"/>
      <c r="FNG78" s="684"/>
      <c r="FNH78" s="684"/>
      <c r="FNI78" s="684"/>
      <c r="FNJ78" s="684"/>
      <c r="FNK78" s="684"/>
      <c r="FNL78" s="684"/>
      <c r="FNM78" s="684"/>
      <c r="FNN78" s="684"/>
      <c r="FNO78" s="684"/>
      <c r="FNP78" s="684"/>
      <c r="FNQ78" s="684"/>
      <c r="FNR78" s="684"/>
      <c r="FNS78" s="684"/>
      <c r="FNT78" s="684"/>
      <c r="FNU78" s="684"/>
      <c r="FNV78" s="684"/>
      <c r="FNW78" s="684"/>
      <c r="FNX78" s="684"/>
      <c r="FNY78" s="684"/>
      <c r="FNZ78" s="684"/>
      <c r="FOA78" s="684"/>
      <c r="FOB78" s="684"/>
      <c r="FOC78" s="684"/>
      <c r="FOD78" s="684"/>
      <c r="FOE78" s="684"/>
      <c r="FOF78" s="684"/>
      <c r="FOG78" s="684"/>
      <c r="FOH78" s="684"/>
      <c r="FOI78" s="684"/>
      <c r="FOJ78" s="684"/>
      <c r="FOK78" s="684"/>
      <c r="FOL78" s="684"/>
      <c r="FOM78" s="684"/>
      <c r="FON78" s="684"/>
      <c r="FOO78" s="684"/>
      <c r="FOP78" s="684"/>
      <c r="FOQ78" s="684"/>
      <c r="FOR78" s="684"/>
      <c r="FOS78" s="684"/>
      <c r="FOT78" s="684"/>
      <c r="FOU78" s="684"/>
      <c r="FOV78" s="684"/>
      <c r="FOW78" s="684"/>
      <c r="FOX78" s="684"/>
      <c r="FOY78" s="684"/>
      <c r="FOZ78" s="684"/>
      <c r="FPA78" s="684"/>
      <c r="FPB78" s="684"/>
      <c r="FPC78" s="684"/>
      <c r="FPD78" s="684"/>
      <c r="FPE78" s="684"/>
      <c r="FPF78" s="684"/>
      <c r="FPG78" s="684"/>
      <c r="FPH78" s="684"/>
      <c r="FPI78" s="684"/>
      <c r="FPJ78" s="684"/>
      <c r="FPK78" s="684"/>
      <c r="FPL78" s="684"/>
      <c r="FPM78" s="684"/>
      <c r="FPN78" s="684"/>
      <c r="FPO78" s="684"/>
      <c r="FPP78" s="684"/>
      <c r="FPQ78" s="684"/>
      <c r="FPR78" s="684"/>
      <c r="FPS78" s="684"/>
      <c r="FPT78" s="684"/>
      <c r="FPU78" s="684"/>
      <c r="FPV78" s="684"/>
      <c r="FPW78" s="684"/>
      <c r="FPX78" s="684"/>
      <c r="FPY78" s="684"/>
      <c r="FPZ78" s="684"/>
      <c r="FQA78" s="684"/>
      <c r="FQB78" s="684"/>
      <c r="FQC78" s="684"/>
      <c r="FQD78" s="684"/>
      <c r="FQE78" s="684"/>
      <c r="FQF78" s="684"/>
      <c r="FQG78" s="684"/>
      <c r="FQH78" s="684"/>
      <c r="FQI78" s="684"/>
      <c r="FQJ78" s="684"/>
      <c r="FQK78" s="684"/>
      <c r="FQL78" s="684"/>
      <c r="FQM78" s="684"/>
      <c r="FQN78" s="684"/>
      <c r="FQO78" s="684"/>
      <c r="FQP78" s="684"/>
      <c r="FQQ78" s="684"/>
      <c r="FQR78" s="684"/>
      <c r="FQS78" s="684"/>
      <c r="FQT78" s="684"/>
      <c r="FQU78" s="684"/>
      <c r="FQV78" s="684"/>
      <c r="FQW78" s="684"/>
      <c r="FQX78" s="684"/>
      <c r="FQY78" s="684"/>
      <c r="FQZ78" s="684"/>
      <c r="FRA78" s="684"/>
      <c r="FRB78" s="684"/>
      <c r="FRC78" s="684"/>
      <c r="FRD78" s="684"/>
      <c r="FRE78" s="684"/>
      <c r="FRF78" s="684"/>
      <c r="FRG78" s="684"/>
      <c r="FRH78" s="684"/>
      <c r="FRI78" s="684"/>
      <c r="FRJ78" s="684"/>
      <c r="FRK78" s="684"/>
      <c r="FRL78" s="684"/>
      <c r="FRM78" s="684"/>
      <c r="FRN78" s="684"/>
      <c r="FRO78" s="684"/>
      <c r="FRP78" s="684"/>
      <c r="FRQ78" s="684"/>
      <c r="FRR78" s="684"/>
      <c r="FRS78" s="684"/>
      <c r="FRT78" s="684"/>
      <c r="FRU78" s="684"/>
      <c r="FRV78" s="684"/>
      <c r="FRW78" s="684"/>
      <c r="FRX78" s="684"/>
      <c r="FRY78" s="684"/>
      <c r="FRZ78" s="684"/>
      <c r="FSA78" s="684"/>
      <c r="FSB78" s="684"/>
      <c r="FSC78" s="684"/>
      <c r="FSD78" s="684"/>
      <c r="FSE78" s="684"/>
      <c r="FSF78" s="684"/>
      <c r="FSG78" s="684"/>
      <c r="FSH78" s="684"/>
      <c r="FSI78" s="684"/>
      <c r="FSJ78" s="684"/>
      <c r="FSK78" s="684"/>
      <c r="FSL78" s="684"/>
      <c r="FSM78" s="684"/>
      <c r="FSN78" s="684"/>
      <c r="FSO78" s="684"/>
      <c r="FSP78" s="684"/>
      <c r="FSQ78" s="684"/>
      <c r="FSR78" s="684"/>
      <c r="FSS78" s="684"/>
      <c r="FST78" s="684"/>
      <c r="FSU78" s="684"/>
      <c r="FSV78" s="684"/>
      <c r="FSW78" s="684"/>
      <c r="FSX78" s="684"/>
      <c r="FSY78" s="684"/>
      <c r="FSZ78" s="684"/>
      <c r="FTA78" s="684"/>
      <c r="FTB78" s="684"/>
      <c r="FTC78" s="684"/>
      <c r="FTD78" s="684"/>
      <c r="FTE78" s="684"/>
      <c r="FTF78" s="684"/>
      <c r="FTG78" s="684"/>
      <c r="FTH78" s="684"/>
      <c r="FTI78" s="684"/>
      <c r="FTJ78" s="684"/>
      <c r="FTK78" s="684"/>
      <c r="FTL78" s="684"/>
      <c r="FTM78" s="684"/>
      <c r="FTN78" s="684"/>
      <c r="FTO78" s="684"/>
      <c r="FTP78" s="684"/>
      <c r="FTQ78" s="684"/>
      <c r="FTR78" s="684"/>
      <c r="FTS78" s="684"/>
      <c r="FTT78" s="684"/>
      <c r="FTU78" s="684"/>
      <c r="FTV78" s="684"/>
      <c r="FTW78" s="684"/>
      <c r="FTX78" s="684"/>
      <c r="FTY78" s="684"/>
      <c r="FTZ78" s="684"/>
      <c r="FUA78" s="684"/>
      <c r="FUB78" s="684"/>
      <c r="FUC78" s="684"/>
      <c r="FUD78" s="684"/>
      <c r="FUE78" s="684"/>
      <c r="FUF78" s="684"/>
      <c r="FUG78" s="684"/>
      <c r="FUH78" s="684"/>
      <c r="FUI78" s="684"/>
      <c r="FUJ78" s="684"/>
      <c r="FUK78" s="684"/>
      <c r="FUL78" s="684"/>
      <c r="FUM78" s="684"/>
      <c r="FUN78" s="684"/>
      <c r="FUO78" s="684"/>
      <c r="FUP78" s="684"/>
      <c r="FUQ78" s="684"/>
      <c r="FUR78" s="684"/>
      <c r="FUS78" s="684"/>
      <c r="FUT78" s="684"/>
      <c r="FUU78" s="684"/>
      <c r="FUV78" s="684"/>
      <c r="FUW78" s="684"/>
      <c r="FUX78" s="684"/>
      <c r="FUY78" s="684"/>
      <c r="FUZ78" s="684"/>
      <c r="FVA78" s="684"/>
      <c r="FVB78" s="684"/>
      <c r="FVC78" s="684"/>
      <c r="FVD78" s="684"/>
      <c r="FVE78" s="684"/>
      <c r="FVF78" s="684"/>
      <c r="FVG78" s="684"/>
      <c r="FVH78" s="684"/>
      <c r="FVI78" s="684"/>
      <c r="FVJ78" s="684"/>
      <c r="FVK78" s="684"/>
      <c r="FVL78" s="684"/>
      <c r="FVM78" s="684"/>
      <c r="FVN78" s="684"/>
      <c r="FVO78" s="684"/>
      <c r="FVP78" s="684"/>
      <c r="FVQ78" s="684"/>
      <c r="FVR78" s="684"/>
      <c r="FVS78" s="684"/>
      <c r="FVT78" s="684"/>
      <c r="FVU78" s="684"/>
      <c r="FVV78" s="684"/>
      <c r="FVW78" s="684"/>
      <c r="FVX78" s="684"/>
      <c r="FVY78" s="684"/>
      <c r="FVZ78" s="684"/>
      <c r="FWA78" s="684"/>
      <c r="FWB78" s="684"/>
      <c r="FWC78" s="684"/>
      <c r="FWD78" s="684"/>
      <c r="FWE78" s="684"/>
      <c r="FWF78" s="684"/>
      <c r="FWG78" s="684"/>
      <c r="FWH78" s="684"/>
      <c r="FWI78" s="684"/>
      <c r="FWJ78" s="684"/>
      <c r="FWK78" s="684"/>
      <c r="FWL78" s="684"/>
      <c r="FWM78" s="684"/>
      <c r="FWN78" s="684"/>
      <c r="FWO78" s="684"/>
      <c r="FWP78" s="684"/>
      <c r="FWQ78" s="684"/>
      <c r="FWR78" s="684"/>
      <c r="FWS78" s="684"/>
      <c r="FWT78" s="684"/>
      <c r="FWU78" s="684"/>
      <c r="FWV78" s="684"/>
      <c r="FWW78" s="684"/>
      <c r="FWX78" s="684"/>
      <c r="FWY78" s="684"/>
      <c r="FWZ78" s="684"/>
      <c r="FXA78" s="684"/>
      <c r="FXB78" s="684"/>
      <c r="FXC78" s="684"/>
      <c r="FXD78" s="684"/>
      <c r="FXE78" s="684"/>
      <c r="FXF78" s="684"/>
      <c r="FXG78" s="684"/>
      <c r="FXH78" s="684"/>
      <c r="FXI78" s="684"/>
      <c r="FXJ78" s="684"/>
      <c r="FXK78" s="684"/>
      <c r="FXL78" s="684"/>
      <c r="FXM78" s="684"/>
      <c r="FXN78" s="684"/>
      <c r="FXO78" s="684"/>
      <c r="FXP78" s="684"/>
      <c r="FXQ78" s="684"/>
      <c r="FXR78" s="684"/>
      <c r="FXS78" s="684"/>
      <c r="FXT78" s="684"/>
      <c r="FXU78" s="684"/>
      <c r="FXV78" s="684"/>
      <c r="FXW78" s="684"/>
      <c r="FXX78" s="684"/>
      <c r="FXY78" s="684"/>
      <c r="FXZ78" s="684"/>
      <c r="FYA78" s="684"/>
      <c r="FYB78" s="684"/>
      <c r="FYC78" s="684"/>
      <c r="FYD78" s="684"/>
      <c r="FYE78" s="684"/>
      <c r="FYF78" s="684"/>
      <c r="FYG78" s="684"/>
      <c r="FYH78" s="684"/>
      <c r="FYI78" s="684"/>
      <c r="FYJ78" s="684"/>
      <c r="FYK78" s="684"/>
      <c r="FYL78" s="684"/>
      <c r="FYM78" s="684"/>
      <c r="FYN78" s="684"/>
      <c r="FYO78" s="684"/>
      <c r="FYP78" s="684"/>
      <c r="FYQ78" s="684"/>
      <c r="FYR78" s="684"/>
      <c r="FYS78" s="684"/>
      <c r="FYT78" s="684"/>
      <c r="FYU78" s="684"/>
      <c r="FYV78" s="684"/>
      <c r="FYW78" s="684"/>
      <c r="FYX78" s="684"/>
      <c r="FYY78" s="684"/>
      <c r="FYZ78" s="684"/>
      <c r="FZA78" s="684"/>
      <c r="FZB78" s="684"/>
      <c r="FZC78" s="684"/>
      <c r="FZD78" s="684"/>
      <c r="FZE78" s="684"/>
      <c r="FZF78" s="684"/>
      <c r="FZG78" s="684"/>
      <c r="FZH78" s="684"/>
      <c r="FZI78" s="684"/>
      <c r="FZJ78" s="684"/>
      <c r="FZK78" s="684"/>
      <c r="FZL78" s="684"/>
      <c r="FZM78" s="684"/>
      <c r="FZN78" s="684"/>
      <c r="FZO78" s="684"/>
      <c r="FZP78" s="684"/>
      <c r="FZQ78" s="684"/>
      <c r="FZR78" s="684"/>
      <c r="FZS78" s="684"/>
      <c r="FZT78" s="684"/>
      <c r="FZU78" s="684"/>
      <c r="FZV78" s="684"/>
      <c r="FZW78" s="684"/>
      <c r="FZX78" s="684"/>
      <c r="FZY78" s="684"/>
      <c r="FZZ78" s="684"/>
      <c r="GAA78" s="684"/>
      <c r="GAB78" s="684"/>
      <c r="GAC78" s="684"/>
      <c r="GAD78" s="684"/>
      <c r="GAE78" s="684"/>
      <c r="GAF78" s="684"/>
      <c r="GAG78" s="684"/>
      <c r="GAH78" s="684"/>
      <c r="GAI78" s="684"/>
      <c r="GAJ78" s="684"/>
      <c r="GAK78" s="684"/>
      <c r="GAL78" s="684"/>
      <c r="GAM78" s="684"/>
      <c r="GAN78" s="684"/>
      <c r="GAO78" s="684"/>
      <c r="GAP78" s="684"/>
      <c r="GAQ78" s="684"/>
      <c r="GAR78" s="684"/>
      <c r="GAS78" s="684"/>
      <c r="GAT78" s="684"/>
      <c r="GAU78" s="684"/>
      <c r="GAV78" s="684"/>
      <c r="GAW78" s="684"/>
      <c r="GAX78" s="684"/>
      <c r="GAY78" s="684"/>
      <c r="GAZ78" s="684"/>
      <c r="GBA78" s="684"/>
      <c r="GBB78" s="684"/>
      <c r="GBC78" s="684"/>
      <c r="GBD78" s="684"/>
      <c r="GBE78" s="684"/>
      <c r="GBF78" s="684"/>
      <c r="GBG78" s="684"/>
      <c r="GBH78" s="684"/>
      <c r="GBI78" s="684"/>
      <c r="GBJ78" s="684"/>
      <c r="GBK78" s="684"/>
      <c r="GBL78" s="684"/>
      <c r="GBM78" s="684"/>
      <c r="GBN78" s="684"/>
      <c r="GBO78" s="684"/>
      <c r="GBP78" s="684"/>
      <c r="GBQ78" s="684"/>
      <c r="GBR78" s="684"/>
      <c r="GBS78" s="684"/>
      <c r="GBT78" s="684"/>
      <c r="GBU78" s="684"/>
      <c r="GBV78" s="684"/>
      <c r="GBW78" s="684"/>
      <c r="GBX78" s="684"/>
      <c r="GBY78" s="684"/>
      <c r="GBZ78" s="684"/>
      <c r="GCA78" s="684"/>
      <c r="GCB78" s="684"/>
      <c r="GCC78" s="684"/>
      <c r="GCD78" s="684"/>
      <c r="GCE78" s="684"/>
      <c r="GCF78" s="684"/>
      <c r="GCG78" s="684"/>
      <c r="GCH78" s="684"/>
      <c r="GCI78" s="684"/>
      <c r="GCJ78" s="684"/>
      <c r="GCK78" s="684"/>
      <c r="GCL78" s="684"/>
      <c r="GCM78" s="684"/>
      <c r="GCN78" s="684"/>
      <c r="GCO78" s="684"/>
      <c r="GCP78" s="684"/>
      <c r="GCQ78" s="684"/>
      <c r="GCR78" s="684"/>
      <c r="GCS78" s="684"/>
      <c r="GCT78" s="684"/>
      <c r="GCU78" s="684"/>
      <c r="GCV78" s="684"/>
      <c r="GCW78" s="684"/>
      <c r="GCX78" s="684"/>
      <c r="GCY78" s="684"/>
      <c r="GCZ78" s="684"/>
      <c r="GDA78" s="684"/>
      <c r="GDB78" s="684"/>
      <c r="GDC78" s="684"/>
      <c r="GDD78" s="684"/>
      <c r="GDE78" s="684"/>
      <c r="GDF78" s="684"/>
      <c r="GDG78" s="684"/>
      <c r="GDH78" s="684"/>
      <c r="GDI78" s="684"/>
      <c r="GDJ78" s="684"/>
      <c r="GDK78" s="684"/>
      <c r="GDL78" s="684"/>
      <c r="GDM78" s="684"/>
      <c r="GDN78" s="684"/>
      <c r="GDO78" s="684"/>
      <c r="GDP78" s="684"/>
      <c r="GDQ78" s="684"/>
      <c r="GDR78" s="684"/>
      <c r="GDS78" s="684"/>
      <c r="GDT78" s="684"/>
      <c r="GDU78" s="684"/>
      <c r="GDV78" s="684"/>
      <c r="GDW78" s="684"/>
      <c r="GDX78" s="684"/>
      <c r="GDY78" s="684"/>
      <c r="GDZ78" s="684"/>
      <c r="GEA78" s="684"/>
      <c r="GEB78" s="684"/>
      <c r="GEC78" s="684"/>
      <c r="GED78" s="684"/>
      <c r="GEE78" s="684"/>
      <c r="GEF78" s="684"/>
      <c r="GEG78" s="684"/>
      <c r="GEH78" s="684"/>
      <c r="GEI78" s="684"/>
      <c r="GEJ78" s="684"/>
      <c r="GEK78" s="684"/>
      <c r="GEL78" s="684"/>
      <c r="GEM78" s="684"/>
      <c r="GEN78" s="684"/>
      <c r="GEO78" s="684"/>
      <c r="GEP78" s="684"/>
      <c r="GEQ78" s="684"/>
      <c r="GER78" s="684"/>
      <c r="GES78" s="684"/>
      <c r="GET78" s="684"/>
      <c r="GEU78" s="684"/>
      <c r="GEV78" s="684"/>
      <c r="GEW78" s="684"/>
      <c r="GEX78" s="684"/>
      <c r="GEY78" s="684"/>
      <c r="GEZ78" s="684"/>
      <c r="GFA78" s="684"/>
      <c r="GFB78" s="684"/>
      <c r="GFC78" s="684"/>
      <c r="GFD78" s="684"/>
      <c r="GFE78" s="684"/>
      <c r="GFF78" s="684"/>
      <c r="GFG78" s="684"/>
      <c r="GFH78" s="684"/>
      <c r="GFI78" s="684"/>
      <c r="GFJ78" s="684"/>
      <c r="GFK78" s="684"/>
      <c r="GFL78" s="684"/>
      <c r="GFM78" s="684"/>
      <c r="GFN78" s="684"/>
      <c r="GFO78" s="684"/>
      <c r="GFP78" s="684"/>
      <c r="GFQ78" s="684"/>
      <c r="GFR78" s="684"/>
      <c r="GFS78" s="684"/>
      <c r="GFT78" s="684"/>
      <c r="GFU78" s="684"/>
      <c r="GFV78" s="684"/>
      <c r="GFW78" s="684"/>
      <c r="GFX78" s="684"/>
      <c r="GFY78" s="684"/>
      <c r="GFZ78" s="684"/>
      <c r="GGA78" s="684"/>
      <c r="GGB78" s="684"/>
      <c r="GGC78" s="684"/>
      <c r="GGD78" s="684"/>
      <c r="GGE78" s="684"/>
      <c r="GGF78" s="684"/>
      <c r="GGG78" s="684"/>
      <c r="GGH78" s="684"/>
      <c r="GGI78" s="684"/>
      <c r="GGJ78" s="684"/>
      <c r="GGK78" s="684"/>
      <c r="GGL78" s="684"/>
      <c r="GGM78" s="684"/>
      <c r="GGN78" s="684"/>
      <c r="GGO78" s="684"/>
      <c r="GGP78" s="684"/>
      <c r="GGQ78" s="684"/>
      <c r="GGR78" s="684"/>
      <c r="GGS78" s="684"/>
      <c r="GGT78" s="684"/>
      <c r="GGU78" s="684"/>
      <c r="GGV78" s="684"/>
      <c r="GGW78" s="684"/>
      <c r="GGX78" s="684"/>
      <c r="GGY78" s="684"/>
      <c r="GGZ78" s="684"/>
      <c r="GHA78" s="684"/>
      <c r="GHB78" s="684"/>
      <c r="GHC78" s="684"/>
      <c r="GHD78" s="684"/>
      <c r="GHE78" s="684"/>
      <c r="GHF78" s="684"/>
      <c r="GHG78" s="684"/>
      <c r="GHH78" s="684"/>
      <c r="GHI78" s="684"/>
      <c r="GHJ78" s="684"/>
      <c r="GHK78" s="684"/>
      <c r="GHL78" s="684"/>
      <c r="GHM78" s="684"/>
      <c r="GHN78" s="684"/>
      <c r="GHO78" s="684"/>
      <c r="GHP78" s="684"/>
      <c r="GHQ78" s="684"/>
      <c r="GHR78" s="684"/>
      <c r="GHS78" s="684"/>
      <c r="GHT78" s="684"/>
      <c r="GHU78" s="684"/>
      <c r="GHV78" s="684"/>
      <c r="GHW78" s="684"/>
      <c r="GHX78" s="684"/>
      <c r="GHY78" s="684"/>
      <c r="GHZ78" s="684"/>
      <c r="GIA78" s="684"/>
      <c r="GIB78" s="684"/>
      <c r="GIC78" s="684"/>
      <c r="GID78" s="684"/>
      <c r="GIE78" s="684"/>
      <c r="GIF78" s="684"/>
      <c r="GIG78" s="684"/>
      <c r="GIH78" s="684"/>
      <c r="GII78" s="684"/>
      <c r="GIJ78" s="684"/>
      <c r="GIK78" s="684"/>
      <c r="GIL78" s="684"/>
      <c r="GIM78" s="684"/>
      <c r="GIN78" s="684"/>
      <c r="GIO78" s="684"/>
      <c r="GIP78" s="684"/>
      <c r="GIQ78" s="684"/>
      <c r="GIR78" s="684"/>
      <c r="GIS78" s="684"/>
      <c r="GIT78" s="684"/>
      <c r="GIU78" s="684"/>
      <c r="GIV78" s="684"/>
      <c r="GIW78" s="684"/>
      <c r="GIX78" s="684"/>
      <c r="GIY78" s="684"/>
      <c r="GIZ78" s="684"/>
      <c r="GJA78" s="684"/>
      <c r="GJB78" s="684"/>
      <c r="GJC78" s="684"/>
      <c r="GJD78" s="684"/>
      <c r="GJE78" s="684"/>
      <c r="GJF78" s="684"/>
      <c r="GJG78" s="684"/>
      <c r="GJH78" s="684"/>
      <c r="GJI78" s="684"/>
      <c r="GJJ78" s="684"/>
      <c r="GJK78" s="684"/>
      <c r="GJL78" s="684"/>
      <c r="GJM78" s="684"/>
      <c r="GJN78" s="684"/>
      <c r="GJO78" s="684"/>
      <c r="GJP78" s="684"/>
      <c r="GJQ78" s="684"/>
      <c r="GJR78" s="684"/>
      <c r="GJS78" s="684"/>
      <c r="GJT78" s="684"/>
      <c r="GJU78" s="684"/>
      <c r="GJV78" s="684"/>
      <c r="GJW78" s="684"/>
      <c r="GJX78" s="684"/>
      <c r="GJY78" s="684"/>
      <c r="GJZ78" s="684"/>
      <c r="GKA78" s="684"/>
      <c r="GKB78" s="684"/>
      <c r="GKC78" s="684"/>
      <c r="GKD78" s="684"/>
      <c r="GKE78" s="684"/>
      <c r="GKF78" s="684"/>
      <c r="GKG78" s="684"/>
      <c r="GKH78" s="684"/>
      <c r="GKI78" s="684"/>
      <c r="GKJ78" s="684"/>
      <c r="GKK78" s="684"/>
      <c r="GKL78" s="684"/>
      <c r="GKM78" s="684"/>
      <c r="GKN78" s="684"/>
      <c r="GKO78" s="684"/>
      <c r="GKP78" s="684"/>
      <c r="GKQ78" s="684"/>
      <c r="GKR78" s="684"/>
      <c r="GKS78" s="684"/>
      <c r="GKT78" s="684"/>
      <c r="GKU78" s="684"/>
      <c r="GKV78" s="684"/>
      <c r="GKW78" s="684"/>
      <c r="GKX78" s="684"/>
      <c r="GKY78" s="684"/>
      <c r="GKZ78" s="684"/>
      <c r="GLA78" s="684"/>
      <c r="GLB78" s="684"/>
      <c r="GLC78" s="684"/>
      <c r="GLD78" s="684"/>
      <c r="GLE78" s="684"/>
      <c r="GLF78" s="684"/>
      <c r="GLG78" s="684"/>
      <c r="GLH78" s="684"/>
      <c r="GLI78" s="684"/>
      <c r="GLJ78" s="684"/>
      <c r="GLK78" s="684"/>
      <c r="GLL78" s="684"/>
      <c r="GLM78" s="684"/>
      <c r="GLN78" s="684"/>
      <c r="GLO78" s="684"/>
      <c r="GLP78" s="684"/>
      <c r="GLQ78" s="684"/>
      <c r="GLR78" s="684"/>
      <c r="GLS78" s="684"/>
      <c r="GLT78" s="684"/>
      <c r="GLU78" s="684"/>
      <c r="GLV78" s="684"/>
      <c r="GLW78" s="684"/>
      <c r="GLX78" s="684"/>
      <c r="GLY78" s="684"/>
      <c r="GLZ78" s="684"/>
      <c r="GMA78" s="684"/>
      <c r="GMB78" s="684"/>
      <c r="GMC78" s="684"/>
      <c r="GMD78" s="684"/>
      <c r="GME78" s="684"/>
      <c r="GMF78" s="684"/>
      <c r="GMG78" s="684"/>
      <c r="GMH78" s="684"/>
      <c r="GMI78" s="684"/>
      <c r="GMJ78" s="684"/>
      <c r="GMK78" s="684"/>
      <c r="GML78" s="684"/>
      <c r="GMM78" s="684"/>
      <c r="GMN78" s="684"/>
      <c r="GMO78" s="684"/>
      <c r="GMP78" s="684"/>
      <c r="GMQ78" s="684"/>
      <c r="GMR78" s="684"/>
      <c r="GMS78" s="684"/>
      <c r="GMT78" s="684"/>
      <c r="GMU78" s="684"/>
      <c r="GMV78" s="684"/>
      <c r="GMW78" s="684"/>
      <c r="GMX78" s="684"/>
      <c r="GMY78" s="684"/>
      <c r="GMZ78" s="684"/>
      <c r="GNA78" s="684"/>
      <c r="GNB78" s="684"/>
      <c r="GNC78" s="684"/>
      <c r="GND78" s="684"/>
      <c r="GNE78" s="684"/>
      <c r="GNF78" s="684"/>
      <c r="GNG78" s="684"/>
      <c r="GNH78" s="684"/>
      <c r="GNI78" s="684"/>
      <c r="GNJ78" s="684"/>
      <c r="GNK78" s="684"/>
      <c r="GNL78" s="684"/>
      <c r="GNM78" s="684"/>
      <c r="GNN78" s="684"/>
      <c r="GNO78" s="684"/>
      <c r="GNP78" s="684"/>
      <c r="GNQ78" s="684"/>
      <c r="GNR78" s="684"/>
      <c r="GNS78" s="684"/>
      <c r="GNT78" s="684"/>
      <c r="GNU78" s="684"/>
      <c r="GNV78" s="684"/>
      <c r="GNW78" s="684"/>
      <c r="GNX78" s="684"/>
      <c r="GNY78" s="684"/>
      <c r="GNZ78" s="684"/>
      <c r="GOA78" s="684"/>
      <c r="GOB78" s="684"/>
      <c r="GOC78" s="684"/>
      <c r="GOD78" s="684"/>
      <c r="GOE78" s="684"/>
      <c r="GOF78" s="684"/>
      <c r="GOG78" s="684"/>
      <c r="GOH78" s="684"/>
      <c r="GOI78" s="684"/>
      <c r="GOJ78" s="684"/>
      <c r="GOK78" s="684"/>
      <c r="GOL78" s="684"/>
      <c r="GOM78" s="684"/>
      <c r="GON78" s="684"/>
      <c r="GOO78" s="684"/>
      <c r="GOP78" s="684"/>
      <c r="GOQ78" s="684"/>
      <c r="GOR78" s="684"/>
      <c r="GOS78" s="684"/>
      <c r="GOT78" s="684"/>
      <c r="GOU78" s="684"/>
      <c r="GOV78" s="684"/>
      <c r="GOW78" s="684"/>
      <c r="GOX78" s="684"/>
      <c r="GOY78" s="684"/>
      <c r="GOZ78" s="684"/>
      <c r="GPA78" s="684"/>
      <c r="GPB78" s="684"/>
      <c r="GPC78" s="684"/>
      <c r="GPD78" s="684"/>
      <c r="GPE78" s="684"/>
      <c r="GPF78" s="684"/>
      <c r="GPG78" s="684"/>
      <c r="GPH78" s="684"/>
      <c r="GPI78" s="684"/>
      <c r="GPJ78" s="684"/>
      <c r="GPK78" s="684"/>
      <c r="GPL78" s="684"/>
      <c r="GPM78" s="684"/>
      <c r="GPN78" s="684"/>
      <c r="GPO78" s="684"/>
      <c r="GPP78" s="684"/>
      <c r="GPQ78" s="684"/>
      <c r="GPR78" s="684"/>
      <c r="GPS78" s="684"/>
      <c r="GPT78" s="684"/>
      <c r="GPU78" s="684"/>
      <c r="GPV78" s="684"/>
      <c r="GPW78" s="684"/>
      <c r="GPX78" s="684"/>
      <c r="GPY78" s="684"/>
      <c r="GPZ78" s="684"/>
      <c r="GQA78" s="684"/>
      <c r="GQB78" s="684"/>
      <c r="GQC78" s="684"/>
      <c r="GQD78" s="684"/>
      <c r="GQE78" s="684"/>
      <c r="GQF78" s="684"/>
      <c r="GQG78" s="684"/>
      <c r="GQH78" s="684"/>
      <c r="GQI78" s="684"/>
      <c r="GQJ78" s="684"/>
      <c r="GQK78" s="684"/>
      <c r="GQL78" s="684"/>
      <c r="GQM78" s="684"/>
      <c r="GQN78" s="684"/>
      <c r="GQO78" s="684"/>
      <c r="GQP78" s="684"/>
      <c r="GQQ78" s="684"/>
      <c r="GQR78" s="684"/>
      <c r="GQS78" s="684"/>
      <c r="GQT78" s="684"/>
      <c r="GQU78" s="684"/>
      <c r="GQV78" s="684"/>
      <c r="GQW78" s="684"/>
      <c r="GQX78" s="684"/>
      <c r="GQY78" s="684"/>
      <c r="GQZ78" s="684"/>
      <c r="GRA78" s="684"/>
      <c r="GRB78" s="684"/>
      <c r="GRC78" s="684"/>
      <c r="GRD78" s="684"/>
      <c r="GRE78" s="684"/>
      <c r="GRF78" s="684"/>
      <c r="GRG78" s="684"/>
      <c r="GRH78" s="684"/>
      <c r="GRI78" s="684"/>
      <c r="GRJ78" s="684"/>
      <c r="GRK78" s="684"/>
      <c r="GRL78" s="684"/>
      <c r="GRM78" s="684"/>
      <c r="GRN78" s="684"/>
      <c r="GRO78" s="684"/>
      <c r="GRP78" s="684"/>
      <c r="GRQ78" s="684"/>
      <c r="GRR78" s="684"/>
      <c r="GRS78" s="684"/>
      <c r="GRT78" s="684"/>
      <c r="GRU78" s="684"/>
      <c r="GRV78" s="684"/>
      <c r="GRW78" s="684"/>
      <c r="GRX78" s="684"/>
      <c r="GRY78" s="684"/>
      <c r="GRZ78" s="684"/>
      <c r="GSA78" s="684"/>
      <c r="GSB78" s="684"/>
      <c r="GSC78" s="684"/>
      <c r="GSD78" s="684"/>
      <c r="GSE78" s="684"/>
      <c r="GSF78" s="684"/>
      <c r="GSG78" s="684"/>
      <c r="GSH78" s="684"/>
      <c r="GSI78" s="684"/>
      <c r="GSJ78" s="684"/>
      <c r="GSK78" s="684"/>
      <c r="GSL78" s="684"/>
      <c r="GSM78" s="684"/>
      <c r="GSN78" s="684"/>
      <c r="GSO78" s="684"/>
      <c r="GSP78" s="684"/>
      <c r="GSQ78" s="684"/>
      <c r="GSR78" s="684"/>
      <c r="GSS78" s="684"/>
      <c r="GST78" s="684"/>
      <c r="GSU78" s="684"/>
      <c r="GSV78" s="684"/>
      <c r="GSW78" s="684"/>
      <c r="GSX78" s="684"/>
      <c r="GSY78" s="684"/>
      <c r="GSZ78" s="684"/>
      <c r="GTA78" s="684"/>
      <c r="GTB78" s="684"/>
      <c r="GTC78" s="684"/>
      <c r="GTD78" s="684"/>
      <c r="GTE78" s="684"/>
      <c r="GTF78" s="684"/>
      <c r="GTG78" s="684"/>
      <c r="GTH78" s="684"/>
      <c r="GTI78" s="684"/>
      <c r="GTJ78" s="684"/>
      <c r="GTK78" s="684"/>
      <c r="GTL78" s="684"/>
      <c r="GTM78" s="684"/>
      <c r="GTN78" s="684"/>
      <c r="GTO78" s="684"/>
      <c r="GTP78" s="684"/>
      <c r="GTQ78" s="684"/>
      <c r="GTR78" s="684"/>
      <c r="GTS78" s="684"/>
      <c r="GTT78" s="684"/>
      <c r="GTU78" s="684"/>
      <c r="GTV78" s="684"/>
      <c r="GTW78" s="684"/>
      <c r="GTX78" s="684"/>
      <c r="GTY78" s="684"/>
      <c r="GTZ78" s="684"/>
      <c r="GUA78" s="684"/>
      <c r="GUB78" s="684"/>
      <c r="GUC78" s="684"/>
      <c r="GUD78" s="684"/>
      <c r="GUE78" s="684"/>
      <c r="GUF78" s="684"/>
      <c r="GUG78" s="684"/>
      <c r="GUH78" s="684"/>
      <c r="GUI78" s="684"/>
      <c r="GUJ78" s="684"/>
      <c r="GUK78" s="684"/>
      <c r="GUL78" s="684"/>
      <c r="GUM78" s="684"/>
      <c r="GUN78" s="684"/>
      <c r="GUO78" s="684"/>
      <c r="GUP78" s="684"/>
      <c r="GUQ78" s="684"/>
      <c r="GUR78" s="684"/>
      <c r="GUS78" s="684"/>
      <c r="GUT78" s="684"/>
      <c r="GUU78" s="684"/>
      <c r="GUV78" s="684"/>
      <c r="GUW78" s="684"/>
      <c r="GUX78" s="684"/>
      <c r="GUY78" s="684"/>
      <c r="GUZ78" s="684"/>
      <c r="GVA78" s="684"/>
      <c r="GVB78" s="684"/>
      <c r="GVC78" s="684"/>
      <c r="GVD78" s="684"/>
      <c r="GVE78" s="684"/>
      <c r="GVF78" s="684"/>
      <c r="GVG78" s="684"/>
      <c r="GVH78" s="684"/>
      <c r="GVI78" s="684"/>
      <c r="GVJ78" s="684"/>
      <c r="GVK78" s="684"/>
      <c r="GVL78" s="684"/>
      <c r="GVM78" s="684"/>
      <c r="GVN78" s="684"/>
      <c r="GVO78" s="684"/>
      <c r="GVP78" s="684"/>
      <c r="GVQ78" s="684"/>
      <c r="GVR78" s="684"/>
      <c r="GVS78" s="684"/>
      <c r="GVT78" s="684"/>
      <c r="GVU78" s="684"/>
      <c r="GVV78" s="684"/>
      <c r="GVW78" s="684"/>
      <c r="GVX78" s="684"/>
      <c r="GVY78" s="684"/>
      <c r="GVZ78" s="684"/>
      <c r="GWA78" s="684"/>
      <c r="GWB78" s="684"/>
      <c r="GWC78" s="684"/>
      <c r="GWD78" s="684"/>
      <c r="GWE78" s="684"/>
      <c r="GWF78" s="684"/>
      <c r="GWG78" s="684"/>
      <c r="GWH78" s="684"/>
      <c r="GWI78" s="684"/>
      <c r="GWJ78" s="684"/>
      <c r="GWK78" s="684"/>
      <c r="GWL78" s="684"/>
      <c r="GWM78" s="684"/>
      <c r="GWN78" s="684"/>
      <c r="GWO78" s="684"/>
      <c r="GWP78" s="684"/>
      <c r="GWQ78" s="684"/>
      <c r="GWR78" s="684"/>
      <c r="GWS78" s="684"/>
      <c r="GWT78" s="684"/>
      <c r="GWU78" s="684"/>
      <c r="GWV78" s="684"/>
      <c r="GWW78" s="684"/>
      <c r="GWX78" s="684"/>
      <c r="GWY78" s="684"/>
      <c r="GWZ78" s="684"/>
      <c r="GXA78" s="684"/>
      <c r="GXB78" s="684"/>
      <c r="GXC78" s="684"/>
      <c r="GXD78" s="684"/>
      <c r="GXE78" s="684"/>
      <c r="GXF78" s="684"/>
      <c r="GXG78" s="684"/>
      <c r="GXH78" s="684"/>
      <c r="GXI78" s="684"/>
      <c r="GXJ78" s="684"/>
      <c r="GXK78" s="684"/>
      <c r="GXL78" s="684"/>
      <c r="GXM78" s="684"/>
      <c r="GXN78" s="684"/>
      <c r="GXO78" s="684"/>
      <c r="GXP78" s="684"/>
      <c r="GXQ78" s="684"/>
      <c r="GXR78" s="684"/>
      <c r="GXS78" s="684"/>
      <c r="GXT78" s="684"/>
      <c r="GXU78" s="684"/>
      <c r="GXV78" s="684"/>
      <c r="GXW78" s="684"/>
      <c r="GXX78" s="684"/>
      <c r="GXY78" s="684"/>
      <c r="GXZ78" s="684"/>
      <c r="GYA78" s="684"/>
      <c r="GYB78" s="684"/>
      <c r="GYC78" s="684"/>
      <c r="GYD78" s="684"/>
      <c r="GYE78" s="684"/>
      <c r="GYF78" s="684"/>
      <c r="GYG78" s="684"/>
      <c r="GYH78" s="684"/>
      <c r="GYI78" s="684"/>
      <c r="GYJ78" s="684"/>
      <c r="GYK78" s="684"/>
      <c r="GYL78" s="684"/>
      <c r="GYM78" s="684"/>
      <c r="GYN78" s="684"/>
      <c r="GYO78" s="684"/>
      <c r="GYP78" s="684"/>
      <c r="GYQ78" s="684"/>
      <c r="GYR78" s="684"/>
      <c r="GYS78" s="684"/>
      <c r="GYT78" s="684"/>
      <c r="GYU78" s="684"/>
      <c r="GYV78" s="684"/>
      <c r="GYW78" s="684"/>
      <c r="GYX78" s="684"/>
      <c r="GYY78" s="684"/>
      <c r="GYZ78" s="684"/>
      <c r="GZA78" s="684"/>
      <c r="GZB78" s="684"/>
      <c r="GZC78" s="684"/>
      <c r="GZD78" s="684"/>
      <c r="GZE78" s="684"/>
      <c r="GZF78" s="684"/>
      <c r="GZG78" s="684"/>
      <c r="GZH78" s="684"/>
      <c r="GZI78" s="684"/>
      <c r="GZJ78" s="684"/>
      <c r="GZK78" s="684"/>
      <c r="GZL78" s="684"/>
      <c r="GZM78" s="684"/>
      <c r="GZN78" s="684"/>
      <c r="GZO78" s="684"/>
      <c r="GZP78" s="684"/>
      <c r="GZQ78" s="684"/>
      <c r="GZR78" s="684"/>
      <c r="GZS78" s="684"/>
      <c r="GZT78" s="684"/>
      <c r="GZU78" s="684"/>
      <c r="GZV78" s="684"/>
      <c r="GZW78" s="684"/>
      <c r="GZX78" s="684"/>
      <c r="GZY78" s="684"/>
      <c r="GZZ78" s="684"/>
      <c r="HAA78" s="684"/>
      <c r="HAB78" s="684"/>
      <c r="HAC78" s="684"/>
      <c r="HAD78" s="684"/>
      <c r="HAE78" s="684"/>
      <c r="HAF78" s="684"/>
      <c r="HAG78" s="684"/>
      <c r="HAH78" s="684"/>
      <c r="HAI78" s="684"/>
      <c r="HAJ78" s="684"/>
      <c r="HAK78" s="684"/>
      <c r="HAL78" s="684"/>
      <c r="HAM78" s="684"/>
      <c r="HAN78" s="684"/>
      <c r="HAO78" s="684"/>
      <c r="HAP78" s="684"/>
      <c r="HAQ78" s="684"/>
      <c r="HAR78" s="684"/>
      <c r="HAS78" s="684"/>
      <c r="HAT78" s="684"/>
      <c r="HAU78" s="684"/>
      <c r="HAV78" s="684"/>
      <c r="HAW78" s="684"/>
      <c r="HAX78" s="684"/>
      <c r="HAY78" s="684"/>
      <c r="HAZ78" s="684"/>
      <c r="HBA78" s="684"/>
      <c r="HBB78" s="684"/>
      <c r="HBC78" s="684"/>
      <c r="HBD78" s="684"/>
      <c r="HBE78" s="684"/>
      <c r="HBF78" s="684"/>
      <c r="HBG78" s="684"/>
      <c r="HBH78" s="684"/>
      <c r="HBI78" s="684"/>
      <c r="HBJ78" s="684"/>
      <c r="HBK78" s="684"/>
      <c r="HBL78" s="684"/>
      <c r="HBM78" s="684"/>
      <c r="HBN78" s="684"/>
      <c r="HBO78" s="684"/>
      <c r="HBP78" s="684"/>
      <c r="HBQ78" s="684"/>
      <c r="HBR78" s="684"/>
      <c r="HBS78" s="684"/>
      <c r="HBT78" s="684"/>
      <c r="HBU78" s="684"/>
      <c r="HBV78" s="684"/>
      <c r="HBW78" s="684"/>
      <c r="HBX78" s="684"/>
      <c r="HBY78" s="684"/>
      <c r="HBZ78" s="684"/>
      <c r="HCA78" s="684"/>
      <c r="HCB78" s="684"/>
      <c r="HCC78" s="684"/>
      <c r="HCD78" s="684"/>
      <c r="HCE78" s="684"/>
      <c r="HCF78" s="684"/>
      <c r="HCG78" s="684"/>
      <c r="HCH78" s="684"/>
      <c r="HCI78" s="684"/>
      <c r="HCJ78" s="684"/>
      <c r="HCK78" s="684"/>
      <c r="HCL78" s="684"/>
      <c r="HCM78" s="684"/>
      <c r="HCN78" s="684"/>
      <c r="HCO78" s="684"/>
      <c r="HCP78" s="684"/>
      <c r="HCQ78" s="684"/>
      <c r="HCR78" s="684"/>
      <c r="HCS78" s="684"/>
      <c r="HCT78" s="684"/>
      <c r="HCU78" s="684"/>
      <c r="HCV78" s="684"/>
      <c r="HCW78" s="684"/>
      <c r="HCX78" s="684"/>
      <c r="HCY78" s="684"/>
      <c r="HCZ78" s="684"/>
      <c r="HDA78" s="684"/>
      <c r="HDB78" s="684"/>
      <c r="HDC78" s="684"/>
      <c r="HDD78" s="684"/>
      <c r="HDE78" s="684"/>
      <c r="HDF78" s="684"/>
      <c r="HDG78" s="684"/>
      <c r="HDH78" s="684"/>
      <c r="HDI78" s="684"/>
      <c r="HDJ78" s="684"/>
      <c r="HDK78" s="684"/>
      <c r="HDL78" s="684"/>
      <c r="HDM78" s="684"/>
      <c r="HDN78" s="684"/>
      <c r="HDO78" s="684"/>
      <c r="HDP78" s="684"/>
      <c r="HDQ78" s="684"/>
      <c r="HDR78" s="684"/>
      <c r="HDS78" s="684"/>
      <c r="HDT78" s="684"/>
      <c r="HDU78" s="684"/>
      <c r="HDV78" s="684"/>
      <c r="HDW78" s="684"/>
      <c r="HDX78" s="684"/>
      <c r="HDY78" s="684"/>
      <c r="HDZ78" s="684"/>
      <c r="HEA78" s="684"/>
      <c r="HEB78" s="684"/>
      <c r="HEC78" s="684"/>
      <c r="HED78" s="684"/>
      <c r="HEE78" s="684"/>
      <c r="HEF78" s="684"/>
      <c r="HEG78" s="684"/>
      <c r="HEH78" s="684"/>
      <c r="HEI78" s="684"/>
      <c r="HEJ78" s="684"/>
      <c r="HEK78" s="684"/>
      <c r="HEL78" s="684"/>
      <c r="HEM78" s="684"/>
      <c r="HEN78" s="684"/>
      <c r="HEO78" s="684"/>
      <c r="HEP78" s="684"/>
      <c r="HEQ78" s="684"/>
      <c r="HER78" s="684"/>
      <c r="HES78" s="684"/>
      <c r="HET78" s="684"/>
      <c r="HEU78" s="684"/>
      <c r="HEV78" s="684"/>
      <c r="HEW78" s="684"/>
      <c r="HEX78" s="684"/>
      <c r="HEY78" s="684"/>
      <c r="HEZ78" s="684"/>
      <c r="HFA78" s="684"/>
      <c r="HFB78" s="684"/>
      <c r="HFC78" s="684"/>
      <c r="HFD78" s="684"/>
      <c r="HFE78" s="684"/>
      <c r="HFF78" s="684"/>
      <c r="HFG78" s="684"/>
      <c r="HFH78" s="684"/>
      <c r="HFI78" s="684"/>
      <c r="HFJ78" s="684"/>
      <c r="HFK78" s="684"/>
      <c r="HFL78" s="684"/>
      <c r="HFM78" s="684"/>
      <c r="HFN78" s="684"/>
      <c r="HFO78" s="684"/>
      <c r="HFP78" s="684"/>
      <c r="HFQ78" s="684"/>
      <c r="HFR78" s="684"/>
      <c r="HFS78" s="684"/>
      <c r="HFT78" s="684"/>
      <c r="HFU78" s="684"/>
      <c r="HFV78" s="684"/>
      <c r="HFW78" s="684"/>
      <c r="HFX78" s="684"/>
      <c r="HFY78" s="684"/>
      <c r="HFZ78" s="684"/>
      <c r="HGA78" s="684"/>
      <c r="HGB78" s="684"/>
      <c r="HGC78" s="684"/>
      <c r="HGD78" s="684"/>
      <c r="HGE78" s="684"/>
      <c r="HGF78" s="684"/>
      <c r="HGG78" s="684"/>
      <c r="HGH78" s="684"/>
      <c r="HGI78" s="684"/>
      <c r="HGJ78" s="684"/>
      <c r="HGK78" s="684"/>
      <c r="HGL78" s="684"/>
      <c r="HGM78" s="684"/>
      <c r="HGN78" s="684"/>
      <c r="HGO78" s="684"/>
      <c r="HGP78" s="684"/>
      <c r="HGQ78" s="684"/>
      <c r="HGR78" s="684"/>
      <c r="HGS78" s="684"/>
      <c r="HGT78" s="684"/>
      <c r="HGU78" s="684"/>
      <c r="HGV78" s="684"/>
      <c r="HGW78" s="684"/>
      <c r="HGX78" s="684"/>
      <c r="HGY78" s="684"/>
      <c r="HGZ78" s="684"/>
      <c r="HHA78" s="684"/>
      <c r="HHB78" s="684"/>
      <c r="HHC78" s="684"/>
      <c r="HHD78" s="684"/>
      <c r="HHE78" s="684"/>
      <c r="HHF78" s="684"/>
      <c r="HHG78" s="684"/>
      <c r="HHH78" s="684"/>
      <c r="HHI78" s="684"/>
      <c r="HHJ78" s="684"/>
      <c r="HHK78" s="684"/>
      <c r="HHL78" s="684"/>
      <c r="HHM78" s="684"/>
      <c r="HHN78" s="684"/>
      <c r="HHO78" s="684"/>
      <c r="HHP78" s="684"/>
      <c r="HHQ78" s="684"/>
      <c r="HHR78" s="684"/>
      <c r="HHS78" s="684"/>
      <c r="HHT78" s="684"/>
      <c r="HHU78" s="684"/>
      <c r="HHV78" s="684"/>
      <c r="HHW78" s="684"/>
      <c r="HHX78" s="684"/>
      <c r="HHY78" s="684"/>
      <c r="HHZ78" s="684"/>
      <c r="HIA78" s="684"/>
      <c r="HIB78" s="684"/>
      <c r="HIC78" s="684"/>
      <c r="HID78" s="684"/>
      <c r="HIE78" s="684"/>
      <c r="HIF78" s="684"/>
      <c r="HIG78" s="684"/>
      <c r="HIH78" s="684"/>
      <c r="HII78" s="684"/>
      <c r="HIJ78" s="684"/>
      <c r="HIK78" s="684"/>
      <c r="HIL78" s="684"/>
      <c r="HIM78" s="684"/>
      <c r="HIN78" s="684"/>
      <c r="HIO78" s="684"/>
      <c r="HIP78" s="684"/>
      <c r="HIQ78" s="684"/>
      <c r="HIR78" s="684"/>
      <c r="HIS78" s="684"/>
      <c r="HIT78" s="684"/>
      <c r="HIU78" s="684"/>
      <c r="HIV78" s="684"/>
      <c r="HIW78" s="684"/>
      <c r="HIX78" s="684"/>
      <c r="HIY78" s="684"/>
      <c r="HIZ78" s="684"/>
      <c r="HJA78" s="684"/>
      <c r="HJB78" s="684"/>
      <c r="HJC78" s="684"/>
      <c r="HJD78" s="684"/>
      <c r="HJE78" s="684"/>
      <c r="HJF78" s="684"/>
      <c r="HJG78" s="684"/>
      <c r="HJH78" s="684"/>
      <c r="HJI78" s="684"/>
      <c r="HJJ78" s="684"/>
      <c r="HJK78" s="684"/>
      <c r="HJL78" s="684"/>
      <c r="HJM78" s="684"/>
      <c r="HJN78" s="684"/>
      <c r="HJO78" s="684"/>
      <c r="HJP78" s="684"/>
      <c r="HJQ78" s="684"/>
      <c r="HJR78" s="684"/>
      <c r="HJS78" s="684"/>
      <c r="HJT78" s="684"/>
      <c r="HJU78" s="684"/>
      <c r="HJV78" s="684"/>
      <c r="HJW78" s="684"/>
      <c r="HJX78" s="684"/>
      <c r="HJY78" s="684"/>
      <c r="HJZ78" s="684"/>
      <c r="HKA78" s="684"/>
      <c r="HKB78" s="684"/>
      <c r="HKC78" s="684"/>
      <c r="HKD78" s="684"/>
      <c r="HKE78" s="684"/>
      <c r="HKF78" s="684"/>
      <c r="HKG78" s="684"/>
      <c r="HKH78" s="684"/>
      <c r="HKI78" s="684"/>
      <c r="HKJ78" s="684"/>
      <c r="HKK78" s="684"/>
      <c r="HKL78" s="684"/>
      <c r="HKM78" s="684"/>
      <c r="HKN78" s="684"/>
      <c r="HKO78" s="684"/>
      <c r="HKP78" s="684"/>
      <c r="HKQ78" s="684"/>
      <c r="HKR78" s="684"/>
      <c r="HKS78" s="684"/>
      <c r="HKT78" s="684"/>
      <c r="HKU78" s="684"/>
      <c r="HKV78" s="684"/>
      <c r="HKW78" s="684"/>
      <c r="HKX78" s="684"/>
      <c r="HKY78" s="684"/>
      <c r="HKZ78" s="684"/>
      <c r="HLA78" s="684"/>
      <c r="HLB78" s="684"/>
      <c r="HLC78" s="684"/>
      <c r="HLD78" s="684"/>
      <c r="HLE78" s="684"/>
      <c r="HLF78" s="684"/>
      <c r="HLG78" s="684"/>
      <c r="HLH78" s="684"/>
      <c r="HLI78" s="684"/>
      <c r="HLJ78" s="684"/>
      <c r="HLK78" s="684"/>
      <c r="HLL78" s="684"/>
      <c r="HLM78" s="684"/>
      <c r="HLN78" s="684"/>
      <c r="HLO78" s="684"/>
      <c r="HLP78" s="684"/>
      <c r="HLQ78" s="684"/>
      <c r="HLR78" s="684"/>
      <c r="HLS78" s="684"/>
      <c r="HLT78" s="684"/>
      <c r="HLU78" s="684"/>
      <c r="HLV78" s="684"/>
      <c r="HLW78" s="684"/>
      <c r="HLX78" s="684"/>
      <c r="HLY78" s="684"/>
      <c r="HLZ78" s="684"/>
      <c r="HMA78" s="684"/>
      <c r="HMB78" s="684"/>
      <c r="HMC78" s="684"/>
      <c r="HMD78" s="684"/>
      <c r="HME78" s="684"/>
      <c r="HMF78" s="684"/>
      <c r="HMG78" s="684"/>
      <c r="HMH78" s="684"/>
      <c r="HMI78" s="684"/>
      <c r="HMJ78" s="684"/>
      <c r="HMK78" s="684"/>
      <c r="HML78" s="684"/>
      <c r="HMM78" s="684"/>
      <c r="HMN78" s="684"/>
      <c r="HMO78" s="684"/>
      <c r="HMP78" s="684"/>
      <c r="HMQ78" s="684"/>
      <c r="HMR78" s="684"/>
      <c r="HMS78" s="684"/>
      <c r="HMT78" s="684"/>
      <c r="HMU78" s="684"/>
      <c r="HMV78" s="684"/>
      <c r="HMW78" s="684"/>
      <c r="HMX78" s="684"/>
      <c r="HMY78" s="684"/>
      <c r="HMZ78" s="684"/>
      <c r="HNA78" s="684"/>
      <c r="HNB78" s="684"/>
      <c r="HNC78" s="684"/>
      <c r="HND78" s="684"/>
      <c r="HNE78" s="684"/>
      <c r="HNF78" s="684"/>
      <c r="HNG78" s="684"/>
      <c r="HNH78" s="684"/>
      <c r="HNI78" s="684"/>
      <c r="HNJ78" s="684"/>
      <c r="HNK78" s="684"/>
      <c r="HNL78" s="684"/>
      <c r="HNM78" s="684"/>
      <c r="HNN78" s="684"/>
      <c r="HNO78" s="684"/>
      <c r="HNP78" s="684"/>
      <c r="HNQ78" s="684"/>
      <c r="HNR78" s="684"/>
      <c r="HNS78" s="684"/>
      <c r="HNT78" s="684"/>
      <c r="HNU78" s="684"/>
      <c r="HNV78" s="684"/>
      <c r="HNW78" s="684"/>
      <c r="HNX78" s="684"/>
      <c r="HNY78" s="684"/>
      <c r="HNZ78" s="684"/>
      <c r="HOA78" s="684"/>
      <c r="HOB78" s="684"/>
      <c r="HOC78" s="684"/>
      <c r="HOD78" s="684"/>
      <c r="HOE78" s="684"/>
      <c r="HOF78" s="684"/>
      <c r="HOG78" s="684"/>
      <c r="HOH78" s="684"/>
      <c r="HOI78" s="684"/>
      <c r="HOJ78" s="684"/>
      <c r="HOK78" s="684"/>
      <c r="HOL78" s="684"/>
      <c r="HOM78" s="684"/>
      <c r="HON78" s="684"/>
      <c r="HOO78" s="684"/>
      <c r="HOP78" s="684"/>
      <c r="HOQ78" s="684"/>
      <c r="HOR78" s="684"/>
      <c r="HOS78" s="684"/>
      <c r="HOT78" s="684"/>
      <c r="HOU78" s="684"/>
      <c r="HOV78" s="684"/>
      <c r="HOW78" s="684"/>
      <c r="HOX78" s="684"/>
      <c r="HOY78" s="684"/>
      <c r="HOZ78" s="684"/>
      <c r="HPA78" s="684"/>
      <c r="HPB78" s="684"/>
      <c r="HPC78" s="684"/>
      <c r="HPD78" s="684"/>
      <c r="HPE78" s="684"/>
      <c r="HPF78" s="684"/>
      <c r="HPG78" s="684"/>
      <c r="HPH78" s="684"/>
      <c r="HPI78" s="684"/>
      <c r="HPJ78" s="684"/>
      <c r="HPK78" s="684"/>
      <c r="HPL78" s="684"/>
      <c r="HPM78" s="684"/>
      <c r="HPN78" s="684"/>
      <c r="HPO78" s="684"/>
      <c r="HPP78" s="684"/>
      <c r="HPQ78" s="684"/>
      <c r="HPR78" s="684"/>
      <c r="HPS78" s="684"/>
      <c r="HPT78" s="684"/>
      <c r="HPU78" s="684"/>
      <c r="HPV78" s="684"/>
      <c r="HPW78" s="684"/>
      <c r="HPX78" s="684"/>
      <c r="HPY78" s="684"/>
      <c r="HPZ78" s="684"/>
      <c r="HQA78" s="684"/>
      <c r="HQB78" s="684"/>
      <c r="HQC78" s="684"/>
      <c r="HQD78" s="684"/>
      <c r="HQE78" s="684"/>
      <c r="HQF78" s="684"/>
      <c r="HQG78" s="684"/>
      <c r="HQH78" s="684"/>
      <c r="HQI78" s="684"/>
      <c r="HQJ78" s="684"/>
      <c r="HQK78" s="684"/>
      <c r="HQL78" s="684"/>
      <c r="HQM78" s="684"/>
      <c r="HQN78" s="684"/>
      <c r="HQO78" s="684"/>
      <c r="HQP78" s="684"/>
      <c r="HQQ78" s="684"/>
      <c r="HQR78" s="684"/>
      <c r="HQS78" s="684"/>
      <c r="HQT78" s="684"/>
      <c r="HQU78" s="684"/>
      <c r="HQV78" s="684"/>
      <c r="HQW78" s="684"/>
      <c r="HQX78" s="684"/>
      <c r="HQY78" s="684"/>
      <c r="HQZ78" s="684"/>
      <c r="HRA78" s="684"/>
      <c r="HRB78" s="684"/>
      <c r="HRC78" s="684"/>
      <c r="HRD78" s="684"/>
      <c r="HRE78" s="684"/>
      <c r="HRF78" s="684"/>
      <c r="HRG78" s="684"/>
      <c r="HRH78" s="684"/>
      <c r="HRI78" s="684"/>
      <c r="HRJ78" s="684"/>
      <c r="HRK78" s="684"/>
      <c r="HRL78" s="684"/>
      <c r="HRM78" s="684"/>
      <c r="HRN78" s="684"/>
      <c r="HRO78" s="684"/>
      <c r="HRP78" s="684"/>
      <c r="HRQ78" s="684"/>
      <c r="HRR78" s="684"/>
      <c r="HRS78" s="684"/>
      <c r="HRT78" s="684"/>
      <c r="HRU78" s="684"/>
      <c r="HRV78" s="684"/>
      <c r="HRW78" s="684"/>
      <c r="HRX78" s="684"/>
      <c r="HRY78" s="684"/>
      <c r="HRZ78" s="684"/>
      <c r="HSA78" s="684"/>
      <c r="HSB78" s="684"/>
      <c r="HSC78" s="684"/>
      <c r="HSD78" s="684"/>
      <c r="HSE78" s="684"/>
      <c r="HSF78" s="684"/>
      <c r="HSG78" s="684"/>
      <c r="HSH78" s="684"/>
      <c r="HSI78" s="684"/>
      <c r="HSJ78" s="684"/>
      <c r="HSK78" s="684"/>
      <c r="HSL78" s="684"/>
      <c r="HSM78" s="684"/>
      <c r="HSN78" s="684"/>
      <c r="HSO78" s="684"/>
      <c r="HSP78" s="684"/>
      <c r="HSQ78" s="684"/>
      <c r="HSR78" s="684"/>
      <c r="HSS78" s="684"/>
      <c r="HST78" s="684"/>
      <c r="HSU78" s="684"/>
      <c r="HSV78" s="684"/>
      <c r="HSW78" s="684"/>
      <c r="HSX78" s="684"/>
      <c r="HSY78" s="684"/>
      <c r="HSZ78" s="684"/>
      <c r="HTA78" s="684"/>
      <c r="HTB78" s="684"/>
      <c r="HTC78" s="684"/>
      <c r="HTD78" s="684"/>
      <c r="HTE78" s="684"/>
      <c r="HTF78" s="684"/>
      <c r="HTG78" s="684"/>
      <c r="HTH78" s="684"/>
      <c r="HTI78" s="684"/>
      <c r="HTJ78" s="684"/>
      <c r="HTK78" s="684"/>
      <c r="HTL78" s="684"/>
      <c r="HTM78" s="684"/>
      <c r="HTN78" s="684"/>
      <c r="HTO78" s="684"/>
      <c r="HTP78" s="684"/>
      <c r="HTQ78" s="684"/>
      <c r="HTR78" s="684"/>
      <c r="HTS78" s="684"/>
      <c r="HTT78" s="684"/>
      <c r="HTU78" s="684"/>
      <c r="HTV78" s="684"/>
      <c r="HTW78" s="684"/>
      <c r="HTX78" s="684"/>
      <c r="HTY78" s="684"/>
      <c r="HTZ78" s="684"/>
      <c r="HUA78" s="684"/>
      <c r="HUB78" s="684"/>
      <c r="HUC78" s="684"/>
      <c r="HUD78" s="684"/>
      <c r="HUE78" s="684"/>
      <c r="HUF78" s="684"/>
      <c r="HUG78" s="684"/>
      <c r="HUH78" s="684"/>
      <c r="HUI78" s="684"/>
      <c r="HUJ78" s="684"/>
      <c r="HUK78" s="684"/>
      <c r="HUL78" s="684"/>
      <c r="HUM78" s="684"/>
      <c r="HUN78" s="684"/>
      <c r="HUO78" s="684"/>
      <c r="HUP78" s="684"/>
      <c r="HUQ78" s="684"/>
      <c r="HUR78" s="684"/>
      <c r="HUS78" s="684"/>
      <c r="HUT78" s="684"/>
      <c r="HUU78" s="684"/>
      <c r="HUV78" s="684"/>
      <c r="HUW78" s="684"/>
      <c r="HUX78" s="684"/>
      <c r="HUY78" s="684"/>
      <c r="HUZ78" s="684"/>
      <c r="HVA78" s="684"/>
      <c r="HVB78" s="684"/>
      <c r="HVC78" s="684"/>
      <c r="HVD78" s="684"/>
      <c r="HVE78" s="684"/>
      <c r="HVF78" s="684"/>
      <c r="HVG78" s="684"/>
      <c r="HVH78" s="684"/>
      <c r="HVI78" s="684"/>
      <c r="HVJ78" s="684"/>
      <c r="HVK78" s="684"/>
      <c r="HVL78" s="684"/>
      <c r="HVM78" s="684"/>
      <c r="HVN78" s="684"/>
      <c r="HVO78" s="684"/>
      <c r="HVP78" s="684"/>
      <c r="HVQ78" s="684"/>
      <c r="HVR78" s="684"/>
      <c r="HVS78" s="684"/>
      <c r="HVT78" s="684"/>
      <c r="HVU78" s="684"/>
      <c r="HVV78" s="684"/>
      <c r="HVW78" s="684"/>
      <c r="HVX78" s="684"/>
      <c r="HVY78" s="684"/>
      <c r="HVZ78" s="684"/>
      <c r="HWA78" s="684"/>
      <c r="HWB78" s="684"/>
      <c r="HWC78" s="684"/>
      <c r="HWD78" s="684"/>
      <c r="HWE78" s="684"/>
      <c r="HWF78" s="684"/>
      <c r="HWG78" s="684"/>
      <c r="HWH78" s="684"/>
      <c r="HWI78" s="684"/>
      <c r="HWJ78" s="684"/>
      <c r="HWK78" s="684"/>
      <c r="HWL78" s="684"/>
      <c r="HWM78" s="684"/>
      <c r="HWN78" s="684"/>
      <c r="HWO78" s="684"/>
      <c r="HWP78" s="684"/>
      <c r="HWQ78" s="684"/>
      <c r="HWR78" s="684"/>
      <c r="HWS78" s="684"/>
      <c r="HWT78" s="684"/>
      <c r="HWU78" s="684"/>
      <c r="HWV78" s="684"/>
      <c r="HWW78" s="684"/>
      <c r="HWX78" s="684"/>
      <c r="HWY78" s="684"/>
      <c r="HWZ78" s="684"/>
      <c r="HXA78" s="684"/>
      <c r="HXB78" s="684"/>
      <c r="HXC78" s="684"/>
      <c r="HXD78" s="684"/>
      <c r="HXE78" s="684"/>
      <c r="HXF78" s="684"/>
      <c r="HXG78" s="684"/>
      <c r="HXH78" s="684"/>
      <c r="HXI78" s="684"/>
      <c r="HXJ78" s="684"/>
      <c r="HXK78" s="684"/>
      <c r="HXL78" s="684"/>
      <c r="HXM78" s="684"/>
      <c r="HXN78" s="684"/>
      <c r="HXO78" s="684"/>
      <c r="HXP78" s="684"/>
      <c r="HXQ78" s="684"/>
      <c r="HXR78" s="684"/>
      <c r="HXS78" s="684"/>
      <c r="HXT78" s="684"/>
      <c r="HXU78" s="684"/>
      <c r="HXV78" s="684"/>
      <c r="HXW78" s="684"/>
      <c r="HXX78" s="684"/>
      <c r="HXY78" s="684"/>
      <c r="HXZ78" s="684"/>
      <c r="HYA78" s="684"/>
      <c r="HYB78" s="684"/>
      <c r="HYC78" s="684"/>
      <c r="HYD78" s="684"/>
      <c r="HYE78" s="684"/>
      <c r="HYF78" s="684"/>
      <c r="HYG78" s="684"/>
      <c r="HYH78" s="684"/>
      <c r="HYI78" s="684"/>
      <c r="HYJ78" s="684"/>
      <c r="HYK78" s="684"/>
      <c r="HYL78" s="684"/>
      <c r="HYM78" s="684"/>
      <c r="HYN78" s="684"/>
      <c r="HYO78" s="684"/>
      <c r="HYP78" s="684"/>
      <c r="HYQ78" s="684"/>
      <c r="HYR78" s="684"/>
      <c r="HYS78" s="684"/>
      <c r="HYT78" s="684"/>
      <c r="HYU78" s="684"/>
      <c r="HYV78" s="684"/>
      <c r="HYW78" s="684"/>
      <c r="HYX78" s="684"/>
      <c r="HYY78" s="684"/>
      <c r="HYZ78" s="684"/>
      <c r="HZA78" s="684"/>
      <c r="HZB78" s="684"/>
      <c r="HZC78" s="684"/>
      <c r="HZD78" s="684"/>
      <c r="HZE78" s="684"/>
      <c r="HZF78" s="684"/>
      <c r="HZG78" s="684"/>
      <c r="HZH78" s="684"/>
      <c r="HZI78" s="684"/>
      <c r="HZJ78" s="684"/>
      <c r="HZK78" s="684"/>
      <c r="HZL78" s="684"/>
      <c r="HZM78" s="684"/>
      <c r="HZN78" s="684"/>
      <c r="HZO78" s="684"/>
      <c r="HZP78" s="684"/>
      <c r="HZQ78" s="684"/>
      <c r="HZR78" s="684"/>
      <c r="HZS78" s="684"/>
      <c r="HZT78" s="684"/>
      <c r="HZU78" s="684"/>
      <c r="HZV78" s="684"/>
      <c r="HZW78" s="684"/>
      <c r="HZX78" s="684"/>
      <c r="HZY78" s="684"/>
      <c r="HZZ78" s="684"/>
      <c r="IAA78" s="684"/>
      <c r="IAB78" s="684"/>
      <c r="IAC78" s="684"/>
      <c r="IAD78" s="684"/>
      <c r="IAE78" s="684"/>
      <c r="IAF78" s="684"/>
      <c r="IAG78" s="684"/>
      <c r="IAH78" s="684"/>
      <c r="IAI78" s="684"/>
      <c r="IAJ78" s="684"/>
      <c r="IAK78" s="684"/>
      <c r="IAL78" s="684"/>
      <c r="IAM78" s="684"/>
      <c r="IAN78" s="684"/>
      <c r="IAO78" s="684"/>
      <c r="IAP78" s="684"/>
      <c r="IAQ78" s="684"/>
      <c r="IAR78" s="684"/>
      <c r="IAS78" s="684"/>
      <c r="IAT78" s="684"/>
      <c r="IAU78" s="684"/>
      <c r="IAV78" s="684"/>
      <c r="IAW78" s="684"/>
      <c r="IAX78" s="684"/>
      <c r="IAY78" s="684"/>
      <c r="IAZ78" s="684"/>
      <c r="IBA78" s="684"/>
      <c r="IBB78" s="684"/>
      <c r="IBC78" s="684"/>
      <c r="IBD78" s="684"/>
      <c r="IBE78" s="684"/>
      <c r="IBF78" s="684"/>
      <c r="IBG78" s="684"/>
      <c r="IBH78" s="684"/>
      <c r="IBI78" s="684"/>
      <c r="IBJ78" s="684"/>
      <c r="IBK78" s="684"/>
      <c r="IBL78" s="684"/>
      <c r="IBM78" s="684"/>
      <c r="IBN78" s="684"/>
      <c r="IBO78" s="684"/>
      <c r="IBP78" s="684"/>
      <c r="IBQ78" s="684"/>
      <c r="IBR78" s="684"/>
      <c r="IBS78" s="684"/>
      <c r="IBT78" s="684"/>
      <c r="IBU78" s="684"/>
      <c r="IBV78" s="684"/>
      <c r="IBW78" s="684"/>
      <c r="IBX78" s="684"/>
      <c r="IBY78" s="684"/>
      <c r="IBZ78" s="684"/>
      <c r="ICA78" s="684"/>
      <c r="ICB78" s="684"/>
      <c r="ICC78" s="684"/>
      <c r="ICD78" s="684"/>
      <c r="ICE78" s="684"/>
      <c r="ICF78" s="684"/>
      <c r="ICG78" s="684"/>
      <c r="ICH78" s="684"/>
      <c r="ICI78" s="684"/>
      <c r="ICJ78" s="684"/>
      <c r="ICK78" s="684"/>
      <c r="ICL78" s="684"/>
      <c r="ICM78" s="684"/>
      <c r="ICN78" s="684"/>
      <c r="ICO78" s="684"/>
      <c r="ICP78" s="684"/>
      <c r="ICQ78" s="684"/>
      <c r="ICR78" s="684"/>
      <c r="ICS78" s="684"/>
      <c r="ICT78" s="684"/>
      <c r="ICU78" s="684"/>
      <c r="ICV78" s="684"/>
      <c r="ICW78" s="684"/>
      <c r="ICX78" s="684"/>
      <c r="ICY78" s="684"/>
      <c r="ICZ78" s="684"/>
      <c r="IDA78" s="684"/>
      <c r="IDB78" s="684"/>
      <c r="IDC78" s="684"/>
      <c r="IDD78" s="684"/>
      <c r="IDE78" s="684"/>
      <c r="IDF78" s="684"/>
      <c r="IDG78" s="684"/>
      <c r="IDH78" s="684"/>
      <c r="IDI78" s="684"/>
      <c r="IDJ78" s="684"/>
      <c r="IDK78" s="684"/>
      <c r="IDL78" s="684"/>
      <c r="IDM78" s="684"/>
      <c r="IDN78" s="684"/>
      <c r="IDO78" s="684"/>
      <c r="IDP78" s="684"/>
      <c r="IDQ78" s="684"/>
      <c r="IDR78" s="684"/>
      <c r="IDS78" s="684"/>
      <c r="IDT78" s="684"/>
      <c r="IDU78" s="684"/>
      <c r="IDV78" s="684"/>
      <c r="IDW78" s="684"/>
      <c r="IDX78" s="684"/>
      <c r="IDY78" s="684"/>
      <c r="IDZ78" s="684"/>
      <c r="IEA78" s="684"/>
      <c r="IEB78" s="684"/>
      <c r="IEC78" s="684"/>
      <c r="IED78" s="684"/>
      <c r="IEE78" s="684"/>
      <c r="IEF78" s="684"/>
      <c r="IEG78" s="684"/>
      <c r="IEH78" s="684"/>
      <c r="IEI78" s="684"/>
      <c r="IEJ78" s="684"/>
      <c r="IEK78" s="684"/>
      <c r="IEL78" s="684"/>
      <c r="IEM78" s="684"/>
      <c r="IEN78" s="684"/>
      <c r="IEO78" s="684"/>
      <c r="IEP78" s="684"/>
      <c r="IEQ78" s="684"/>
      <c r="IER78" s="684"/>
      <c r="IES78" s="684"/>
      <c r="IET78" s="684"/>
      <c r="IEU78" s="684"/>
      <c r="IEV78" s="684"/>
      <c r="IEW78" s="684"/>
      <c r="IEX78" s="684"/>
      <c r="IEY78" s="684"/>
      <c r="IEZ78" s="684"/>
      <c r="IFA78" s="684"/>
      <c r="IFB78" s="684"/>
      <c r="IFC78" s="684"/>
      <c r="IFD78" s="684"/>
      <c r="IFE78" s="684"/>
      <c r="IFF78" s="684"/>
      <c r="IFG78" s="684"/>
      <c r="IFH78" s="684"/>
      <c r="IFI78" s="684"/>
      <c r="IFJ78" s="684"/>
      <c r="IFK78" s="684"/>
      <c r="IFL78" s="684"/>
      <c r="IFM78" s="684"/>
      <c r="IFN78" s="684"/>
      <c r="IFO78" s="684"/>
      <c r="IFP78" s="684"/>
      <c r="IFQ78" s="684"/>
      <c r="IFR78" s="684"/>
      <c r="IFS78" s="684"/>
      <c r="IFT78" s="684"/>
      <c r="IFU78" s="684"/>
      <c r="IFV78" s="684"/>
      <c r="IFW78" s="684"/>
      <c r="IFX78" s="684"/>
      <c r="IFY78" s="684"/>
      <c r="IFZ78" s="684"/>
      <c r="IGA78" s="684"/>
      <c r="IGB78" s="684"/>
      <c r="IGC78" s="684"/>
      <c r="IGD78" s="684"/>
      <c r="IGE78" s="684"/>
      <c r="IGF78" s="684"/>
      <c r="IGG78" s="684"/>
      <c r="IGH78" s="684"/>
      <c r="IGI78" s="684"/>
      <c r="IGJ78" s="684"/>
      <c r="IGK78" s="684"/>
      <c r="IGL78" s="684"/>
      <c r="IGM78" s="684"/>
      <c r="IGN78" s="684"/>
      <c r="IGO78" s="684"/>
      <c r="IGP78" s="684"/>
      <c r="IGQ78" s="684"/>
      <c r="IGR78" s="684"/>
      <c r="IGS78" s="684"/>
      <c r="IGT78" s="684"/>
      <c r="IGU78" s="684"/>
      <c r="IGV78" s="684"/>
      <c r="IGW78" s="684"/>
      <c r="IGX78" s="684"/>
      <c r="IGY78" s="684"/>
      <c r="IGZ78" s="684"/>
      <c r="IHA78" s="684"/>
      <c r="IHB78" s="684"/>
      <c r="IHC78" s="684"/>
      <c r="IHD78" s="684"/>
      <c r="IHE78" s="684"/>
      <c r="IHF78" s="684"/>
      <c r="IHG78" s="684"/>
      <c r="IHH78" s="684"/>
      <c r="IHI78" s="684"/>
      <c r="IHJ78" s="684"/>
      <c r="IHK78" s="684"/>
      <c r="IHL78" s="684"/>
      <c r="IHM78" s="684"/>
      <c r="IHN78" s="684"/>
      <c r="IHO78" s="684"/>
      <c r="IHP78" s="684"/>
      <c r="IHQ78" s="684"/>
      <c r="IHR78" s="684"/>
      <c r="IHS78" s="684"/>
      <c r="IHT78" s="684"/>
      <c r="IHU78" s="684"/>
      <c r="IHV78" s="684"/>
      <c r="IHW78" s="684"/>
      <c r="IHX78" s="684"/>
      <c r="IHY78" s="684"/>
      <c r="IHZ78" s="684"/>
      <c r="IIA78" s="684"/>
      <c r="IIB78" s="684"/>
      <c r="IIC78" s="684"/>
      <c r="IID78" s="684"/>
      <c r="IIE78" s="684"/>
      <c r="IIF78" s="684"/>
      <c r="IIG78" s="684"/>
      <c r="IIH78" s="684"/>
      <c r="III78" s="684"/>
      <c r="IIJ78" s="684"/>
      <c r="IIK78" s="684"/>
      <c r="IIL78" s="684"/>
      <c r="IIM78" s="684"/>
      <c r="IIN78" s="684"/>
      <c r="IIO78" s="684"/>
      <c r="IIP78" s="684"/>
      <c r="IIQ78" s="684"/>
      <c r="IIR78" s="684"/>
      <c r="IIS78" s="684"/>
      <c r="IIT78" s="684"/>
      <c r="IIU78" s="684"/>
      <c r="IIV78" s="684"/>
      <c r="IIW78" s="684"/>
      <c r="IIX78" s="684"/>
      <c r="IIY78" s="684"/>
      <c r="IIZ78" s="684"/>
      <c r="IJA78" s="684"/>
      <c r="IJB78" s="684"/>
      <c r="IJC78" s="684"/>
      <c r="IJD78" s="684"/>
      <c r="IJE78" s="684"/>
      <c r="IJF78" s="684"/>
      <c r="IJG78" s="684"/>
      <c r="IJH78" s="684"/>
      <c r="IJI78" s="684"/>
      <c r="IJJ78" s="684"/>
      <c r="IJK78" s="684"/>
      <c r="IJL78" s="684"/>
      <c r="IJM78" s="684"/>
      <c r="IJN78" s="684"/>
      <c r="IJO78" s="684"/>
      <c r="IJP78" s="684"/>
      <c r="IJQ78" s="684"/>
      <c r="IJR78" s="684"/>
      <c r="IJS78" s="684"/>
      <c r="IJT78" s="684"/>
      <c r="IJU78" s="684"/>
      <c r="IJV78" s="684"/>
      <c r="IJW78" s="684"/>
      <c r="IJX78" s="684"/>
      <c r="IJY78" s="684"/>
      <c r="IJZ78" s="684"/>
      <c r="IKA78" s="684"/>
      <c r="IKB78" s="684"/>
      <c r="IKC78" s="684"/>
      <c r="IKD78" s="684"/>
      <c r="IKE78" s="684"/>
      <c r="IKF78" s="684"/>
      <c r="IKG78" s="684"/>
      <c r="IKH78" s="684"/>
      <c r="IKI78" s="684"/>
      <c r="IKJ78" s="684"/>
      <c r="IKK78" s="684"/>
      <c r="IKL78" s="684"/>
      <c r="IKM78" s="684"/>
      <c r="IKN78" s="684"/>
      <c r="IKO78" s="684"/>
      <c r="IKP78" s="684"/>
      <c r="IKQ78" s="684"/>
      <c r="IKR78" s="684"/>
      <c r="IKS78" s="684"/>
      <c r="IKT78" s="684"/>
      <c r="IKU78" s="684"/>
      <c r="IKV78" s="684"/>
      <c r="IKW78" s="684"/>
      <c r="IKX78" s="684"/>
      <c r="IKY78" s="684"/>
      <c r="IKZ78" s="684"/>
      <c r="ILA78" s="684"/>
      <c r="ILB78" s="684"/>
      <c r="ILC78" s="684"/>
      <c r="ILD78" s="684"/>
      <c r="ILE78" s="684"/>
      <c r="ILF78" s="684"/>
      <c r="ILG78" s="684"/>
      <c r="ILH78" s="684"/>
      <c r="ILI78" s="684"/>
      <c r="ILJ78" s="684"/>
      <c r="ILK78" s="684"/>
      <c r="ILL78" s="684"/>
      <c r="ILM78" s="684"/>
      <c r="ILN78" s="684"/>
      <c r="ILO78" s="684"/>
      <c r="ILP78" s="684"/>
      <c r="ILQ78" s="684"/>
      <c r="ILR78" s="684"/>
      <c r="ILS78" s="684"/>
      <c r="ILT78" s="684"/>
      <c r="ILU78" s="684"/>
      <c r="ILV78" s="684"/>
      <c r="ILW78" s="684"/>
      <c r="ILX78" s="684"/>
      <c r="ILY78" s="684"/>
      <c r="ILZ78" s="684"/>
      <c r="IMA78" s="684"/>
      <c r="IMB78" s="684"/>
      <c r="IMC78" s="684"/>
      <c r="IMD78" s="684"/>
      <c r="IME78" s="684"/>
      <c r="IMF78" s="684"/>
      <c r="IMG78" s="684"/>
      <c r="IMH78" s="684"/>
      <c r="IMI78" s="684"/>
      <c r="IMJ78" s="684"/>
      <c r="IMK78" s="684"/>
      <c r="IML78" s="684"/>
      <c r="IMM78" s="684"/>
      <c r="IMN78" s="684"/>
      <c r="IMO78" s="684"/>
      <c r="IMP78" s="684"/>
      <c r="IMQ78" s="684"/>
      <c r="IMR78" s="684"/>
      <c r="IMS78" s="684"/>
      <c r="IMT78" s="684"/>
      <c r="IMU78" s="684"/>
      <c r="IMV78" s="684"/>
      <c r="IMW78" s="684"/>
      <c r="IMX78" s="684"/>
      <c r="IMY78" s="684"/>
      <c r="IMZ78" s="684"/>
      <c r="INA78" s="684"/>
      <c r="INB78" s="684"/>
      <c r="INC78" s="684"/>
      <c r="IND78" s="684"/>
      <c r="INE78" s="684"/>
      <c r="INF78" s="684"/>
      <c r="ING78" s="684"/>
      <c r="INH78" s="684"/>
      <c r="INI78" s="684"/>
      <c r="INJ78" s="684"/>
      <c r="INK78" s="684"/>
      <c r="INL78" s="684"/>
      <c r="INM78" s="684"/>
      <c r="INN78" s="684"/>
      <c r="INO78" s="684"/>
      <c r="INP78" s="684"/>
      <c r="INQ78" s="684"/>
      <c r="INR78" s="684"/>
      <c r="INS78" s="684"/>
      <c r="INT78" s="684"/>
      <c r="INU78" s="684"/>
      <c r="INV78" s="684"/>
      <c r="INW78" s="684"/>
      <c r="INX78" s="684"/>
      <c r="INY78" s="684"/>
      <c r="INZ78" s="684"/>
      <c r="IOA78" s="684"/>
      <c r="IOB78" s="684"/>
      <c r="IOC78" s="684"/>
      <c r="IOD78" s="684"/>
      <c r="IOE78" s="684"/>
      <c r="IOF78" s="684"/>
      <c r="IOG78" s="684"/>
      <c r="IOH78" s="684"/>
      <c r="IOI78" s="684"/>
      <c r="IOJ78" s="684"/>
      <c r="IOK78" s="684"/>
      <c r="IOL78" s="684"/>
      <c r="IOM78" s="684"/>
      <c r="ION78" s="684"/>
      <c r="IOO78" s="684"/>
      <c r="IOP78" s="684"/>
      <c r="IOQ78" s="684"/>
      <c r="IOR78" s="684"/>
      <c r="IOS78" s="684"/>
      <c r="IOT78" s="684"/>
      <c r="IOU78" s="684"/>
      <c r="IOV78" s="684"/>
      <c r="IOW78" s="684"/>
      <c r="IOX78" s="684"/>
      <c r="IOY78" s="684"/>
      <c r="IOZ78" s="684"/>
      <c r="IPA78" s="684"/>
      <c r="IPB78" s="684"/>
      <c r="IPC78" s="684"/>
      <c r="IPD78" s="684"/>
      <c r="IPE78" s="684"/>
      <c r="IPF78" s="684"/>
      <c r="IPG78" s="684"/>
      <c r="IPH78" s="684"/>
      <c r="IPI78" s="684"/>
      <c r="IPJ78" s="684"/>
      <c r="IPK78" s="684"/>
      <c r="IPL78" s="684"/>
      <c r="IPM78" s="684"/>
      <c r="IPN78" s="684"/>
      <c r="IPO78" s="684"/>
      <c r="IPP78" s="684"/>
      <c r="IPQ78" s="684"/>
      <c r="IPR78" s="684"/>
      <c r="IPS78" s="684"/>
      <c r="IPT78" s="684"/>
      <c r="IPU78" s="684"/>
      <c r="IPV78" s="684"/>
      <c r="IPW78" s="684"/>
      <c r="IPX78" s="684"/>
      <c r="IPY78" s="684"/>
      <c r="IPZ78" s="684"/>
      <c r="IQA78" s="684"/>
      <c r="IQB78" s="684"/>
      <c r="IQC78" s="684"/>
      <c r="IQD78" s="684"/>
      <c r="IQE78" s="684"/>
      <c r="IQF78" s="684"/>
      <c r="IQG78" s="684"/>
      <c r="IQH78" s="684"/>
      <c r="IQI78" s="684"/>
      <c r="IQJ78" s="684"/>
      <c r="IQK78" s="684"/>
      <c r="IQL78" s="684"/>
      <c r="IQM78" s="684"/>
      <c r="IQN78" s="684"/>
      <c r="IQO78" s="684"/>
      <c r="IQP78" s="684"/>
      <c r="IQQ78" s="684"/>
      <c r="IQR78" s="684"/>
      <c r="IQS78" s="684"/>
      <c r="IQT78" s="684"/>
      <c r="IQU78" s="684"/>
      <c r="IQV78" s="684"/>
      <c r="IQW78" s="684"/>
      <c r="IQX78" s="684"/>
      <c r="IQY78" s="684"/>
      <c r="IQZ78" s="684"/>
      <c r="IRA78" s="684"/>
      <c r="IRB78" s="684"/>
      <c r="IRC78" s="684"/>
      <c r="IRD78" s="684"/>
      <c r="IRE78" s="684"/>
      <c r="IRF78" s="684"/>
      <c r="IRG78" s="684"/>
      <c r="IRH78" s="684"/>
      <c r="IRI78" s="684"/>
      <c r="IRJ78" s="684"/>
      <c r="IRK78" s="684"/>
      <c r="IRL78" s="684"/>
      <c r="IRM78" s="684"/>
      <c r="IRN78" s="684"/>
      <c r="IRO78" s="684"/>
      <c r="IRP78" s="684"/>
      <c r="IRQ78" s="684"/>
      <c r="IRR78" s="684"/>
      <c r="IRS78" s="684"/>
      <c r="IRT78" s="684"/>
      <c r="IRU78" s="684"/>
      <c r="IRV78" s="684"/>
      <c r="IRW78" s="684"/>
      <c r="IRX78" s="684"/>
      <c r="IRY78" s="684"/>
      <c r="IRZ78" s="684"/>
      <c r="ISA78" s="684"/>
      <c r="ISB78" s="684"/>
      <c r="ISC78" s="684"/>
      <c r="ISD78" s="684"/>
      <c r="ISE78" s="684"/>
      <c r="ISF78" s="684"/>
      <c r="ISG78" s="684"/>
      <c r="ISH78" s="684"/>
      <c r="ISI78" s="684"/>
      <c r="ISJ78" s="684"/>
      <c r="ISK78" s="684"/>
      <c r="ISL78" s="684"/>
      <c r="ISM78" s="684"/>
      <c r="ISN78" s="684"/>
      <c r="ISO78" s="684"/>
      <c r="ISP78" s="684"/>
      <c r="ISQ78" s="684"/>
      <c r="ISR78" s="684"/>
      <c r="ISS78" s="684"/>
      <c r="IST78" s="684"/>
      <c r="ISU78" s="684"/>
      <c r="ISV78" s="684"/>
      <c r="ISW78" s="684"/>
      <c r="ISX78" s="684"/>
      <c r="ISY78" s="684"/>
      <c r="ISZ78" s="684"/>
      <c r="ITA78" s="684"/>
      <c r="ITB78" s="684"/>
      <c r="ITC78" s="684"/>
      <c r="ITD78" s="684"/>
      <c r="ITE78" s="684"/>
      <c r="ITF78" s="684"/>
      <c r="ITG78" s="684"/>
      <c r="ITH78" s="684"/>
      <c r="ITI78" s="684"/>
      <c r="ITJ78" s="684"/>
      <c r="ITK78" s="684"/>
      <c r="ITL78" s="684"/>
      <c r="ITM78" s="684"/>
      <c r="ITN78" s="684"/>
      <c r="ITO78" s="684"/>
      <c r="ITP78" s="684"/>
      <c r="ITQ78" s="684"/>
      <c r="ITR78" s="684"/>
      <c r="ITS78" s="684"/>
      <c r="ITT78" s="684"/>
      <c r="ITU78" s="684"/>
      <c r="ITV78" s="684"/>
      <c r="ITW78" s="684"/>
      <c r="ITX78" s="684"/>
      <c r="ITY78" s="684"/>
      <c r="ITZ78" s="684"/>
      <c r="IUA78" s="684"/>
      <c r="IUB78" s="684"/>
      <c r="IUC78" s="684"/>
      <c r="IUD78" s="684"/>
      <c r="IUE78" s="684"/>
      <c r="IUF78" s="684"/>
      <c r="IUG78" s="684"/>
      <c r="IUH78" s="684"/>
      <c r="IUI78" s="684"/>
      <c r="IUJ78" s="684"/>
      <c r="IUK78" s="684"/>
      <c r="IUL78" s="684"/>
      <c r="IUM78" s="684"/>
      <c r="IUN78" s="684"/>
      <c r="IUO78" s="684"/>
      <c r="IUP78" s="684"/>
      <c r="IUQ78" s="684"/>
      <c r="IUR78" s="684"/>
      <c r="IUS78" s="684"/>
      <c r="IUT78" s="684"/>
      <c r="IUU78" s="684"/>
      <c r="IUV78" s="684"/>
      <c r="IUW78" s="684"/>
      <c r="IUX78" s="684"/>
      <c r="IUY78" s="684"/>
      <c r="IUZ78" s="684"/>
      <c r="IVA78" s="684"/>
      <c r="IVB78" s="684"/>
      <c r="IVC78" s="684"/>
      <c r="IVD78" s="684"/>
      <c r="IVE78" s="684"/>
      <c r="IVF78" s="684"/>
      <c r="IVG78" s="684"/>
      <c r="IVH78" s="684"/>
      <c r="IVI78" s="684"/>
      <c r="IVJ78" s="684"/>
      <c r="IVK78" s="684"/>
      <c r="IVL78" s="684"/>
      <c r="IVM78" s="684"/>
      <c r="IVN78" s="684"/>
      <c r="IVO78" s="684"/>
      <c r="IVP78" s="684"/>
      <c r="IVQ78" s="684"/>
      <c r="IVR78" s="684"/>
      <c r="IVS78" s="684"/>
      <c r="IVT78" s="684"/>
      <c r="IVU78" s="684"/>
      <c r="IVV78" s="684"/>
      <c r="IVW78" s="684"/>
      <c r="IVX78" s="684"/>
      <c r="IVY78" s="684"/>
      <c r="IVZ78" s="684"/>
      <c r="IWA78" s="684"/>
      <c r="IWB78" s="684"/>
      <c r="IWC78" s="684"/>
      <c r="IWD78" s="684"/>
      <c r="IWE78" s="684"/>
      <c r="IWF78" s="684"/>
      <c r="IWG78" s="684"/>
      <c r="IWH78" s="684"/>
      <c r="IWI78" s="684"/>
      <c r="IWJ78" s="684"/>
      <c r="IWK78" s="684"/>
      <c r="IWL78" s="684"/>
      <c r="IWM78" s="684"/>
      <c r="IWN78" s="684"/>
      <c r="IWO78" s="684"/>
      <c r="IWP78" s="684"/>
      <c r="IWQ78" s="684"/>
      <c r="IWR78" s="684"/>
      <c r="IWS78" s="684"/>
      <c r="IWT78" s="684"/>
      <c r="IWU78" s="684"/>
      <c r="IWV78" s="684"/>
      <c r="IWW78" s="684"/>
      <c r="IWX78" s="684"/>
      <c r="IWY78" s="684"/>
      <c r="IWZ78" s="684"/>
      <c r="IXA78" s="684"/>
      <c r="IXB78" s="684"/>
      <c r="IXC78" s="684"/>
      <c r="IXD78" s="684"/>
      <c r="IXE78" s="684"/>
      <c r="IXF78" s="684"/>
      <c r="IXG78" s="684"/>
      <c r="IXH78" s="684"/>
      <c r="IXI78" s="684"/>
      <c r="IXJ78" s="684"/>
      <c r="IXK78" s="684"/>
      <c r="IXL78" s="684"/>
      <c r="IXM78" s="684"/>
      <c r="IXN78" s="684"/>
      <c r="IXO78" s="684"/>
      <c r="IXP78" s="684"/>
      <c r="IXQ78" s="684"/>
      <c r="IXR78" s="684"/>
      <c r="IXS78" s="684"/>
      <c r="IXT78" s="684"/>
      <c r="IXU78" s="684"/>
      <c r="IXV78" s="684"/>
      <c r="IXW78" s="684"/>
      <c r="IXX78" s="684"/>
      <c r="IXY78" s="684"/>
      <c r="IXZ78" s="684"/>
      <c r="IYA78" s="684"/>
      <c r="IYB78" s="684"/>
      <c r="IYC78" s="684"/>
      <c r="IYD78" s="684"/>
      <c r="IYE78" s="684"/>
      <c r="IYF78" s="684"/>
      <c r="IYG78" s="684"/>
      <c r="IYH78" s="684"/>
      <c r="IYI78" s="684"/>
      <c r="IYJ78" s="684"/>
      <c r="IYK78" s="684"/>
      <c r="IYL78" s="684"/>
      <c r="IYM78" s="684"/>
      <c r="IYN78" s="684"/>
      <c r="IYO78" s="684"/>
      <c r="IYP78" s="684"/>
      <c r="IYQ78" s="684"/>
      <c r="IYR78" s="684"/>
      <c r="IYS78" s="684"/>
      <c r="IYT78" s="684"/>
      <c r="IYU78" s="684"/>
      <c r="IYV78" s="684"/>
      <c r="IYW78" s="684"/>
      <c r="IYX78" s="684"/>
      <c r="IYY78" s="684"/>
      <c r="IYZ78" s="684"/>
      <c r="IZA78" s="684"/>
      <c r="IZB78" s="684"/>
      <c r="IZC78" s="684"/>
      <c r="IZD78" s="684"/>
      <c r="IZE78" s="684"/>
      <c r="IZF78" s="684"/>
      <c r="IZG78" s="684"/>
      <c r="IZH78" s="684"/>
      <c r="IZI78" s="684"/>
      <c r="IZJ78" s="684"/>
      <c r="IZK78" s="684"/>
      <c r="IZL78" s="684"/>
      <c r="IZM78" s="684"/>
      <c r="IZN78" s="684"/>
      <c r="IZO78" s="684"/>
      <c r="IZP78" s="684"/>
      <c r="IZQ78" s="684"/>
      <c r="IZR78" s="684"/>
      <c r="IZS78" s="684"/>
      <c r="IZT78" s="684"/>
      <c r="IZU78" s="684"/>
      <c r="IZV78" s="684"/>
      <c r="IZW78" s="684"/>
      <c r="IZX78" s="684"/>
      <c r="IZY78" s="684"/>
      <c r="IZZ78" s="684"/>
      <c r="JAA78" s="684"/>
      <c r="JAB78" s="684"/>
      <c r="JAC78" s="684"/>
      <c r="JAD78" s="684"/>
      <c r="JAE78" s="684"/>
      <c r="JAF78" s="684"/>
      <c r="JAG78" s="684"/>
      <c r="JAH78" s="684"/>
      <c r="JAI78" s="684"/>
      <c r="JAJ78" s="684"/>
      <c r="JAK78" s="684"/>
      <c r="JAL78" s="684"/>
      <c r="JAM78" s="684"/>
      <c r="JAN78" s="684"/>
      <c r="JAO78" s="684"/>
      <c r="JAP78" s="684"/>
      <c r="JAQ78" s="684"/>
      <c r="JAR78" s="684"/>
      <c r="JAS78" s="684"/>
      <c r="JAT78" s="684"/>
      <c r="JAU78" s="684"/>
      <c r="JAV78" s="684"/>
      <c r="JAW78" s="684"/>
      <c r="JAX78" s="684"/>
      <c r="JAY78" s="684"/>
      <c r="JAZ78" s="684"/>
      <c r="JBA78" s="684"/>
      <c r="JBB78" s="684"/>
      <c r="JBC78" s="684"/>
      <c r="JBD78" s="684"/>
      <c r="JBE78" s="684"/>
      <c r="JBF78" s="684"/>
      <c r="JBG78" s="684"/>
      <c r="JBH78" s="684"/>
      <c r="JBI78" s="684"/>
      <c r="JBJ78" s="684"/>
      <c r="JBK78" s="684"/>
      <c r="JBL78" s="684"/>
      <c r="JBM78" s="684"/>
      <c r="JBN78" s="684"/>
      <c r="JBO78" s="684"/>
      <c r="JBP78" s="684"/>
      <c r="JBQ78" s="684"/>
      <c r="JBR78" s="684"/>
      <c r="JBS78" s="684"/>
      <c r="JBT78" s="684"/>
      <c r="JBU78" s="684"/>
      <c r="JBV78" s="684"/>
      <c r="JBW78" s="684"/>
      <c r="JBX78" s="684"/>
      <c r="JBY78" s="684"/>
      <c r="JBZ78" s="684"/>
      <c r="JCA78" s="684"/>
      <c r="JCB78" s="684"/>
      <c r="JCC78" s="684"/>
      <c r="JCD78" s="684"/>
      <c r="JCE78" s="684"/>
      <c r="JCF78" s="684"/>
      <c r="JCG78" s="684"/>
      <c r="JCH78" s="684"/>
      <c r="JCI78" s="684"/>
      <c r="JCJ78" s="684"/>
      <c r="JCK78" s="684"/>
      <c r="JCL78" s="684"/>
      <c r="JCM78" s="684"/>
      <c r="JCN78" s="684"/>
      <c r="JCO78" s="684"/>
      <c r="JCP78" s="684"/>
      <c r="JCQ78" s="684"/>
      <c r="JCR78" s="684"/>
      <c r="JCS78" s="684"/>
      <c r="JCT78" s="684"/>
      <c r="JCU78" s="684"/>
      <c r="JCV78" s="684"/>
      <c r="JCW78" s="684"/>
      <c r="JCX78" s="684"/>
      <c r="JCY78" s="684"/>
      <c r="JCZ78" s="684"/>
      <c r="JDA78" s="684"/>
      <c r="JDB78" s="684"/>
      <c r="JDC78" s="684"/>
      <c r="JDD78" s="684"/>
      <c r="JDE78" s="684"/>
      <c r="JDF78" s="684"/>
      <c r="JDG78" s="684"/>
      <c r="JDH78" s="684"/>
      <c r="JDI78" s="684"/>
      <c r="JDJ78" s="684"/>
      <c r="JDK78" s="684"/>
      <c r="JDL78" s="684"/>
      <c r="JDM78" s="684"/>
      <c r="JDN78" s="684"/>
      <c r="JDO78" s="684"/>
      <c r="JDP78" s="684"/>
      <c r="JDQ78" s="684"/>
      <c r="JDR78" s="684"/>
      <c r="JDS78" s="684"/>
      <c r="JDT78" s="684"/>
      <c r="JDU78" s="684"/>
      <c r="JDV78" s="684"/>
      <c r="JDW78" s="684"/>
      <c r="JDX78" s="684"/>
      <c r="JDY78" s="684"/>
      <c r="JDZ78" s="684"/>
      <c r="JEA78" s="684"/>
      <c r="JEB78" s="684"/>
      <c r="JEC78" s="684"/>
      <c r="JED78" s="684"/>
      <c r="JEE78" s="684"/>
      <c r="JEF78" s="684"/>
      <c r="JEG78" s="684"/>
      <c r="JEH78" s="684"/>
      <c r="JEI78" s="684"/>
      <c r="JEJ78" s="684"/>
      <c r="JEK78" s="684"/>
      <c r="JEL78" s="684"/>
      <c r="JEM78" s="684"/>
      <c r="JEN78" s="684"/>
      <c r="JEO78" s="684"/>
      <c r="JEP78" s="684"/>
      <c r="JEQ78" s="684"/>
      <c r="JER78" s="684"/>
      <c r="JES78" s="684"/>
      <c r="JET78" s="684"/>
      <c r="JEU78" s="684"/>
      <c r="JEV78" s="684"/>
      <c r="JEW78" s="684"/>
      <c r="JEX78" s="684"/>
      <c r="JEY78" s="684"/>
      <c r="JEZ78" s="684"/>
      <c r="JFA78" s="684"/>
      <c r="JFB78" s="684"/>
      <c r="JFC78" s="684"/>
      <c r="JFD78" s="684"/>
      <c r="JFE78" s="684"/>
      <c r="JFF78" s="684"/>
      <c r="JFG78" s="684"/>
      <c r="JFH78" s="684"/>
      <c r="JFI78" s="684"/>
      <c r="JFJ78" s="684"/>
      <c r="JFK78" s="684"/>
      <c r="JFL78" s="684"/>
      <c r="JFM78" s="684"/>
      <c r="JFN78" s="684"/>
      <c r="JFO78" s="684"/>
      <c r="JFP78" s="684"/>
      <c r="JFQ78" s="684"/>
      <c r="JFR78" s="684"/>
      <c r="JFS78" s="684"/>
      <c r="JFT78" s="684"/>
      <c r="JFU78" s="684"/>
      <c r="JFV78" s="684"/>
      <c r="JFW78" s="684"/>
      <c r="JFX78" s="684"/>
      <c r="JFY78" s="684"/>
      <c r="JFZ78" s="684"/>
      <c r="JGA78" s="684"/>
      <c r="JGB78" s="684"/>
      <c r="JGC78" s="684"/>
      <c r="JGD78" s="684"/>
      <c r="JGE78" s="684"/>
      <c r="JGF78" s="684"/>
      <c r="JGG78" s="684"/>
      <c r="JGH78" s="684"/>
      <c r="JGI78" s="684"/>
      <c r="JGJ78" s="684"/>
      <c r="JGK78" s="684"/>
      <c r="JGL78" s="684"/>
      <c r="JGM78" s="684"/>
      <c r="JGN78" s="684"/>
      <c r="JGO78" s="684"/>
      <c r="JGP78" s="684"/>
      <c r="JGQ78" s="684"/>
      <c r="JGR78" s="684"/>
      <c r="JGS78" s="684"/>
      <c r="JGT78" s="684"/>
      <c r="JGU78" s="684"/>
      <c r="JGV78" s="684"/>
      <c r="JGW78" s="684"/>
      <c r="JGX78" s="684"/>
      <c r="JGY78" s="684"/>
      <c r="JGZ78" s="684"/>
      <c r="JHA78" s="684"/>
      <c r="JHB78" s="684"/>
      <c r="JHC78" s="684"/>
      <c r="JHD78" s="684"/>
      <c r="JHE78" s="684"/>
      <c r="JHF78" s="684"/>
      <c r="JHG78" s="684"/>
      <c r="JHH78" s="684"/>
      <c r="JHI78" s="684"/>
      <c r="JHJ78" s="684"/>
      <c r="JHK78" s="684"/>
      <c r="JHL78" s="684"/>
      <c r="JHM78" s="684"/>
      <c r="JHN78" s="684"/>
      <c r="JHO78" s="684"/>
      <c r="JHP78" s="684"/>
      <c r="JHQ78" s="684"/>
      <c r="JHR78" s="684"/>
      <c r="JHS78" s="684"/>
      <c r="JHT78" s="684"/>
      <c r="JHU78" s="684"/>
      <c r="JHV78" s="684"/>
      <c r="JHW78" s="684"/>
      <c r="JHX78" s="684"/>
      <c r="JHY78" s="684"/>
      <c r="JHZ78" s="684"/>
      <c r="JIA78" s="684"/>
      <c r="JIB78" s="684"/>
      <c r="JIC78" s="684"/>
      <c r="JID78" s="684"/>
      <c r="JIE78" s="684"/>
      <c r="JIF78" s="684"/>
      <c r="JIG78" s="684"/>
      <c r="JIH78" s="684"/>
      <c r="JII78" s="684"/>
      <c r="JIJ78" s="684"/>
      <c r="JIK78" s="684"/>
      <c r="JIL78" s="684"/>
      <c r="JIM78" s="684"/>
      <c r="JIN78" s="684"/>
      <c r="JIO78" s="684"/>
      <c r="JIP78" s="684"/>
      <c r="JIQ78" s="684"/>
      <c r="JIR78" s="684"/>
      <c r="JIS78" s="684"/>
      <c r="JIT78" s="684"/>
      <c r="JIU78" s="684"/>
      <c r="JIV78" s="684"/>
      <c r="JIW78" s="684"/>
      <c r="JIX78" s="684"/>
      <c r="JIY78" s="684"/>
      <c r="JIZ78" s="684"/>
      <c r="JJA78" s="684"/>
      <c r="JJB78" s="684"/>
      <c r="JJC78" s="684"/>
      <c r="JJD78" s="684"/>
      <c r="JJE78" s="684"/>
      <c r="JJF78" s="684"/>
      <c r="JJG78" s="684"/>
      <c r="JJH78" s="684"/>
      <c r="JJI78" s="684"/>
      <c r="JJJ78" s="684"/>
      <c r="JJK78" s="684"/>
      <c r="JJL78" s="684"/>
      <c r="JJM78" s="684"/>
      <c r="JJN78" s="684"/>
      <c r="JJO78" s="684"/>
      <c r="JJP78" s="684"/>
      <c r="JJQ78" s="684"/>
      <c r="JJR78" s="684"/>
      <c r="JJS78" s="684"/>
      <c r="JJT78" s="684"/>
      <c r="JJU78" s="684"/>
      <c r="JJV78" s="684"/>
      <c r="JJW78" s="684"/>
      <c r="JJX78" s="684"/>
      <c r="JJY78" s="684"/>
      <c r="JJZ78" s="684"/>
      <c r="JKA78" s="684"/>
      <c r="JKB78" s="684"/>
      <c r="JKC78" s="684"/>
      <c r="JKD78" s="684"/>
      <c r="JKE78" s="684"/>
      <c r="JKF78" s="684"/>
      <c r="JKG78" s="684"/>
      <c r="JKH78" s="684"/>
      <c r="JKI78" s="684"/>
      <c r="JKJ78" s="684"/>
      <c r="JKK78" s="684"/>
      <c r="JKL78" s="684"/>
      <c r="JKM78" s="684"/>
      <c r="JKN78" s="684"/>
      <c r="JKO78" s="684"/>
      <c r="JKP78" s="684"/>
      <c r="JKQ78" s="684"/>
      <c r="JKR78" s="684"/>
      <c r="JKS78" s="684"/>
      <c r="JKT78" s="684"/>
      <c r="JKU78" s="684"/>
      <c r="JKV78" s="684"/>
      <c r="JKW78" s="684"/>
      <c r="JKX78" s="684"/>
      <c r="JKY78" s="684"/>
      <c r="JKZ78" s="684"/>
      <c r="JLA78" s="684"/>
      <c r="JLB78" s="684"/>
      <c r="JLC78" s="684"/>
      <c r="JLD78" s="684"/>
      <c r="JLE78" s="684"/>
      <c r="JLF78" s="684"/>
      <c r="JLG78" s="684"/>
      <c r="JLH78" s="684"/>
      <c r="JLI78" s="684"/>
      <c r="JLJ78" s="684"/>
      <c r="JLK78" s="684"/>
      <c r="JLL78" s="684"/>
      <c r="JLM78" s="684"/>
      <c r="JLN78" s="684"/>
      <c r="JLO78" s="684"/>
      <c r="JLP78" s="684"/>
      <c r="JLQ78" s="684"/>
      <c r="JLR78" s="684"/>
      <c r="JLS78" s="684"/>
      <c r="JLT78" s="684"/>
      <c r="JLU78" s="684"/>
      <c r="JLV78" s="684"/>
      <c r="JLW78" s="684"/>
      <c r="JLX78" s="684"/>
      <c r="JLY78" s="684"/>
      <c r="JLZ78" s="684"/>
      <c r="JMA78" s="684"/>
      <c r="JMB78" s="684"/>
      <c r="JMC78" s="684"/>
      <c r="JMD78" s="684"/>
      <c r="JME78" s="684"/>
      <c r="JMF78" s="684"/>
      <c r="JMG78" s="684"/>
      <c r="JMH78" s="684"/>
      <c r="JMI78" s="684"/>
      <c r="JMJ78" s="684"/>
      <c r="JMK78" s="684"/>
      <c r="JML78" s="684"/>
      <c r="JMM78" s="684"/>
      <c r="JMN78" s="684"/>
      <c r="JMO78" s="684"/>
      <c r="JMP78" s="684"/>
      <c r="JMQ78" s="684"/>
      <c r="JMR78" s="684"/>
      <c r="JMS78" s="684"/>
      <c r="JMT78" s="684"/>
      <c r="JMU78" s="684"/>
      <c r="JMV78" s="684"/>
      <c r="JMW78" s="684"/>
      <c r="JMX78" s="684"/>
      <c r="JMY78" s="684"/>
      <c r="JMZ78" s="684"/>
      <c r="JNA78" s="684"/>
      <c r="JNB78" s="684"/>
      <c r="JNC78" s="684"/>
      <c r="JND78" s="684"/>
      <c r="JNE78" s="684"/>
      <c r="JNF78" s="684"/>
      <c r="JNG78" s="684"/>
      <c r="JNH78" s="684"/>
      <c r="JNI78" s="684"/>
      <c r="JNJ78" s="684"/>
      <c r="JNK78" s="684"/>
      <c r="JNL78" s="684"/>
      <c r="JNM78" s="684"/>
      <c r="JNN78" s="684"/>
      <c r="JNO78" s="684"/>
      <c r="JNP78" s="684"/>
      <c r="JNQ78" s="684"/>
      <c r="JNR78" s="684"/>
      <c r="JNS78" s="684"/>
      <c r="JNT78" s="684"/>
      <c r="JNU78" s="684"/>
      <c r="JNV78" s="684"/>
      <c r="JNW78" s="684"/>
      <c r="JNX78" s="684"/>
      <c r="JNY78" s="684"/>
      <c r="JNZ78" s="684"/>
      <c r="JOA78" s="684"/>
      <c r="JOB78" s="684"/>
      <c r="JOC78" s="684"/>
      <c r="JOD78" s="684"/>
      <c r="JOE78" s="684"/>
      <c r="JOF78" s="684"/>
      <c r="JOG78" s="684"/>
      <c r="JOH78" s="684"/>
      <c r="JOI78" s="684"/>
      <c r="JOJ78" s="684"/>
      <c r="JOK78" s="684"/>
      <c r="JOL78" s="684"/>
      <c r="JOM78" s="684"/>
      <c r="JON78" s="684"/>
      <c r="JOO78" s="684"/>
      <c r="JOP78" s="684"/>
      <c r="JOQ78" s="684"/>
      <c r="JOR78" s="684"/>
      <c r="JOS78" s="684"/>
      <c r="JOT78" s="684"/>
      <c r="JOU78" s="684"/>
      <c r="JOV78" s="684"/>
      <c r="JOW78" s="684"/>
      <c r="JOX78" s="684"/>
      <c r="JOY78" s="684"/>
      <c r="JOZ78" s="684"/>
      <c r="JPA78" s="684"/>
      <c r="JPB78" s="684"/>
      <c r="JPC78" s="684"/>
      <c r="JPD78" s="684"/>
      <c r="JPE78" s="684"/>
      <c r="JPF78" s="684"/>
      <c r="JPG78" s="684"/>
      <c r="JPH78" s="684"/>
      <c r="JPI78" s="684"/>
      <c r="JPJ78" s="684"/>
      <c r="JPK78" s="684"/>
      <c r="JPL78" s="684"/>
      <c r="JPM78" s="684"/>
      <c r="JPN78" s="684"/>
      <c r="JPO78" s="684"/>
      <c r="JPP78" s="684"/>
      <c r="JPQ78" s="684"/>
      <c r="JPR78" s="684"/>
      <c r="JPS78" s="684"/>
      <c r="JPT78" s="684"/>
      <c r="JPU78" s="684"/>
      <c r="JPV78" s="684"/>
      <c r="JPW78" s="684"/>
      <c r="JPX78" s="684"/>
      <c r="JPY78" s="684"/>
      <c r="JPZ78" s="684"/>
      <c r="JQA78" s="684"/>
      <c r="JQB78" s="684"/>
      <c r="JQC78" s="684"/>
      <c r="JQD78" s="684"/>
      <c r="JQE78" s="684"/>
      <c r="JQF78" s="684"/>
      <c r="JQG78" s="684"/>
      <c r="JQH78" s="684"/>
      <c r="JQI78" s="684"/>
      <c r="JQJ78" s="684"/>
      <c r="JQK78" s="684"/>
      <c r="JQL78" s="684"/>
      <c r="JQM78" s="684"/>
      <c r="JQN78" s="684"/>
      <c r="JQO78" s="684"/>
      <c r="JQP78" s="684"/>
      <c r="JQQ78" s="684"/>
      <c r="JQR78" s="684"/>
      <c r="JQS78" s="684"/>
      <c r="JQT78" s="684"/>
      <c r="JQU78" s="684"/>
      <c r="JQV78" s="684"/>
      <c r="JQW78" s="684"/>
      <c r="JQX78" s="684"/>
      <c r="JQY78" s="684"/>
      <c r="JQZ78" s="684"/>
      <c r="JRA78" s="684"/>
      <c r="JRB78" s="684"/>
      <c r="JRC78" s="684"/>
      <c r="JRD78" s="684"/>
      <c r="JRE78" s="684"/>
      <c r="JRF78" s="684"/>
      <c r="JRG78" s="684"/>
      <c r="JRH78" s="684"/>
      <c r="JRI78" s="684"/>
      <c r="JRJ78" s="684"/>
      <c r="JRK78" s="684"/>
      <c r="JRL78" s="684"/>
      <c r="JRM78" s="684"/>
      <c r="JRN78" s="684"/>
      <c r="JRO78" s="684"/>
      <c r="JRP78" s="684"/>
      <c r="JRQ78" s="684"/>
      <c r="JRR78" s="684"/>
      <c r="JRS78" s="684"/>
      <c r="JRT78" s="684"/>
      <c r="JRU78" s="684"/>
      <c r="JRV78" s="684"/>
      <c r="JRW78" s="684"/>
      <c r="JRX78" s="684"/>
      <c r="JRY78" s="684"/>
      <c r="JRZ78" s="684"/>
      <c r="JSA78" s="684"/>
      <c r="JSB78" s="684"/>
      <c r="JSC78" s="684"/>
      <c r="JSD78" s="684"/>
      <c r="JSE78" s="684"/>
      <c r="JSF78" s="684"/>
      <c r="JSG78" s="684"/>
      <c r="JSH78" s="684"/>
      <c r="JSI78" s="684"/>
      <c r="JSJ78" s="684"/>
      <c r="JSK78" s="684"/>
      <c r="JSL78" s="684"/>
      <c r="JSM78" s="684"/>
      <c r="JSN78" s="684"/>
      <c r="JSO78" s="684"/>
      <c r="JSP78" s="684"/>
      <c r="JSQ78" s="684"/>
      <c r="JSR78" s="684"/>
      <c r="JSS78" s="684"/>
      <c r="JST78" s="684"/>
      <c r="JSU78" s="684"/>
      <c r="JSV78" s="684"/>
      <c r="JSW78" s="684"/>
      <c r="JSX78" s="684"/>
      <c r="JSY78" s="684"/>
      <c r="JSZ78" s="684"/>
      <c r="JTA78" s="684"/>
      <c r="JTB78" s="684"/>
      <c r="JTC78" s="684"/>
      <c r="JTD78" s="684"/>
      <c r="JTE78" s="684"/>
      <c r="JTF78" s="684"/>
      <c r="JTG78" s="684"/>
      <c r="JTH78" s="684"/>
      <c r="JTI78" s="684"/>
      <c r="JTJ78" s="684"/>
      <c r="JTK78" s="684"/>
      <c r="JTL78" s="684"/>
      <c r="JTM78" s="684"/>
      <c r="JTN78" s="684"/>
      <c r="JTO78" s="684"/>
      <c r="JTP78" s="684"/>
      <c r="JTQ78" s="684"/>
      <c r="JTR78" s="684"/>
      <c r="JTS78" s="684"/>
      <c r="JTT78" s="684"/>
      <c r="JTU78" s="684"/>
      <c r="JTV78" s="684"/>
      <c r="JTW78" s="684"/>
      <c r="JTX78" s="684"/>
      <c r="JTY78" s="684"/>
      <c r="JTZ78" s="684"/>
      <c r="JUA78" s="684"/>
      <c r="JUB78" s="684"/>
      <c r="JUC78" s="684"/>
      <c r="JUD78" s="684"/>
      <c r="JUE78" s="684"/>
      <c r="JUF78" s="684"/>
      <c r="JUG78" s="684"/>
      <c r="JUH78" s="684"/>
      <c r="JUI78" s="684"/>
      <c r="JUJ78" s="684"/>
      <c r="JUK78" s="684"/>
      <c r="JUL78" s="684"/>
      <c r="JUM78" s="684"/>
      <c r="JUN78" s="684"/>
      <c r="JUO78" s="684"/>
      <c r="JUP78" s="684"/>
      <c r="JUQ78" s="684"/>
      <c r="JUR78" s="684"/>
      <c r="JUS78" s="684"/>
      <c r="JUT78" s="684"/>
      <c r="JUU78" s="684"/>
      <c r="JUV78" s="684"/>
      <c r="JUW78" s="684"/>
      <c r="JUX78" s="684"/>
      <c r="JUY78" s="684"/>
      <c r="JUZ78" s="684"/>
      <c r="JVA78" s="684"/>
      <c r="JVB78" s="684"/>
      <c r="JVC78" s="684"/>
      <c r="JVD78" s="684"/>
      <c r="JVE78" s="684"/>
      <c r="JVF78" s="684"/>
      <c r="JVG78" s="684"/>
      <c r="JVH78" s="684"/>
      <c r="JVI78" s="684"/>
      <c r="JVJ78" s="684"/>
      <c r="JVK78" s="684"/>
      <c r="JVL78" s="684"/>
      <c r="JVM78" s="684"/>
      <c r="JVN78" s="684"/>
      <c r="JVO78" s="684"/>
      <c r="JVP78" s="684"/>
      <c r="JVQ78" s="684"/>
      <c r="JVR78" s="684"/>
      <c r="JVS78" s="684"/>
      <c r="JVT78" s="684"/>
      <c r="JVU78" s="684"/>
      <c r="JVV78" s="684"/>
      <c r="JVW78" s="684"/>
      <c r="JVX78" s="684"/>
      <c r="JVY78" s="684"/>
      <c r="JVZ78" s="684"/>
      <c r="JWA78" s="684"/>
      <c r="JWB78" s="684"/>
      <c r="JWC78" s="684"/>
      <c r="JWD78" s="684"/>
      <c r="JWE78" s="684"/>
      <c r="JWF78" s="684"/>
      <c r="JWG78" s="684"/>
      <c r="JWH78" s="684"/>
      <c r="JWI78" s="684"/>
      <c r="JWJ78" s="684"/>
      <c r="JWK78" s="684"/>
      <c r="JWL78" s="684"/>
      <c r="JWM78" s="684"/>
      <c r="JWN78" s="684"/>
      <c r="JWO78" s="684"/>
      <c r="JWP78" s="684"/>
      <c r="JWQ78" s="684"/>
      <c r="JWR78" s="684"/>
      <c r="JWS78" s="684"/>
      <c r="JWT78" s="684"/>
      <c r="JWU78" s="684"/>
      <c r="JWV78" s="684"/>
      <c r="JWW78" s="684"/>
      <c r="JWX78" s="684"/>
      <c r="JWY78" s="684"/>
      <c r="JWZ78" s="684"/>
      <c r="JXA78" s="684"/>
      <c r="JXB78" s="684"/>
      <c r="JXC78" s="684"/>
      <c r="JXD78" s="684"/>
      <c r="JXE78" s="684"/>
      <c r="JXF78" s="684"/>
      <c r="JXG78" s="684"/>
      <c r="JXH78" s="684"/>
      <c r="JXI78" s="684"/>
      <c r="JXJ78" s="684"/>
      <c r="JXK78" s="684"/>
      <c r="JXL78" s="684"/>
      <c r="JXM78" s="684"/>
      <c r="JXN78" s="684"/>
      <c r="JXO78" s="684"/>
      <c r="JXP78" s="684"/>
      <c r="JXQ78" s="684"/>
      <c r="JXR78" s="684"/>
      <c r="JXS78" s="684"/>
      <c r="JXT78" s="684"/>
      <c r="JXU78" s="684"/>
      <c r="JXV78" s="684"/>
      <c r="JXW78" s="684"/>
      <c r="JXX78" s="684"/>
      <c r="JXY78" s="684"/>
      <c r="JXZ78" s="684"/>
      <c r="JYA78" s="684"/>
      <c r="JYB78" s="684"/>
      <c r="JYC78" s="684"/>
      <c r="JYD78" s="684"/>
      <c r="JYE78" s="684"/>
      <c r="JYF78" s="684"/>
      <c r="JYG78" s="684"/>
      <c r="JYH78" s="684"/>
      <c r="JYI78" s="684"/>
      <c r="JYJ78" s="684"/>
      <c r="JYK78" s="684"/>
      <c r="JYL78" s="684"/>
      <c r="JYM78" s="684"/>
      <c r="JYN78" s="684"/>
      <c r="JYO78" s="684"/>
      <c r="JYP78" s="684"/>
      <c r="JYQ78" s="684"/>
      <c r="JYR78" s="684"/>
      <c r="JYS78" s="684"/>
      <c r="JYT78" s="684"/>
      <c r="JYU78" s="684"/>
      <c r="JYV78" s="684"/>
      <c r="JYW78" s="684"/>
      <c r="JYX78" s="684"/>
      <c r="JYY78" s="684"/>
      <c r="JYZ78" s="684"/>
      <c r="JZA78" s="684"/>
      <c r="JZB78" s="684"/>
      <c r="JZC78" s="684"/>
      <c r="JZD78" s="684"/>
      <c r="JZE78" s="684"/>
      <c r="JZF78" s="684"/>
      <c r="JZG78" s="684"/>
      <c r="JZH78" s="684"/>
      <c r="JZI78" s="684"/>
      <c r="JZJ78" s="684"/>
      <c r="JZK78" s="684"/>
      <c r="JZL78" s="684"/>
      <c r="JZM78" s="684"/>
      <c r="JZN78" s="684"/>
      <c r="JZO78" s="684"/>
      <c r="JZP78" s="684"/>
      <c r="JZQ78" s="684"/>
      <c r="JZR78" s="684"/>
      <c r="JZS78" s="684"/>
      <c r="JZT78" s="684"/>
      <c r="JZU78" s="684"/>
      <c r="JZV78" s="684"/>
      <c r="JZW78" s="684"/>
      <c r="JZX78" s="684"/>
      <c r="JZY78" s="684"/>
      <c r="JZZ78" s="684"/>
      <c r="KAA78" s="684"/>
      <c r="KAB78" s="684"/>
      <c r="KAC78" s="684"/>
      <c r="KAD78" s="684"/>
      <c r="KAE78" s="684"/>
      <c r="KAF78" s="684"/>
      <c r="KAG78" s="684"/>
      <c r="KAH78" s="684"/>
      <c r="KAI78" s="684"/>
      <c r="KAJ78" s="684"/>
      <c r="KAK78" s="684"/>
      <c r="KAL78" s="684"/>
      <c r="KAM78" s="684"/>
      <c r="KAN78" s="684"/>
      <c r="KAO78" s="684"/>
      <c r="KAP78" s="684"/>
      <c r="KAQ78" s="684"/>
      <c r="KAR78" s="684"/>
      <c r="KAS78" s="684"/>
      <c r="KAT78" s="684"/>
      <c r="KAU78" s="684"/>
      <c r="KAV78" s="684"/>
      <c r="KAW78" s="684"/>
      <c r="KAX78" s="684"/>
      <c r="KAY78" s="684"/>
      <c r="KAZ78" s="684"/>
      <c r="KBA78" s="684"/>
      <c r="KBB78" s="684"/>
      <c r="KBC78" s="684"/>
      <c r="KBD78" s="684"/>
      <c r="KBE78" s="684"/>
      <c r="KBF78" s="684"/>
      <c r="KBG78" s="684"/>
      <c r="KBH78" s="684"/>
      <c r="KBI78" s="684"/>
      <c r="KBJ78" s="684"/>
      <c r="KBK78" s="684"/>
      <c r="KBL78" s="684"/>
      <c r="KBM78" s="684"/>
      <c r="KBN78" s="684"/>
      <c r="KBO78" s="684"/>
      <c r="KBP78" s="684"/>
      <c r="KBQ78" s="684"/>
      <c r="KBR78" s="684"/>
      <c r="KBS78" s="684"/>
      <c r="KBT78" s="684"/>
      <c r="KBU78" s="684"/>
      <c r="KBV78" s="684"/>
      <c r="KBW78" s="684"/>
      <c r="KBX78" s="684"/>
      <c r="KBY78" s="684"/>
      <c r="KBZ78" s="684"/>
      <c r="KCA78" s="684"/>
      <c r="KCB78" s="684"/>
      <c r="KCC78" s="684"/>
      <c r="KCD78" s="684"/>
      <c r="KCE78" s="684"/>
      <c r="KCF78" s="684"/>
      <c r="KCG78" s="684"/>
      <c r="KCH78" s="684"/>
      <c r="KCI78" s="684"/>
      <c r="KCJ78" s="684"/>
      <c r="KCK78" s="684"/>
      <c r="KCL78" s="684"/>
      <c r="KCM78" s="684"/>
      <c r="KCN78" s="684"/>
      <c r="KCO78" s="684"/>
      <c r="KCP78" s="684"/>
      <c r="KCQ78" s="684"/>
      <c r="KCR78" s="684"/>
      <c r="KCS78" s="684"/>
      <c r="KCT78" s="684"/>
      <c r="KCU78" s="684"/>
      <c r="KCV78" s="684"/>
      <c r="KCW78" s="684"/>
      <c r="KCX78" s="684"/>
      <c r="KCY78" s="684"/>
      <c r="KCZ78" s="684"/>
      <c r="KDA78" s="684"/>
      <c r="KDB78" s="684"/>
      <c r="KDC78" s="684"/>
      <c r="KDD78" s="684"/>
      <c r="KDE78" s="684"/>
      <c r="KDF78" s="684"/>
      <c r="KDG78" s="684"/>
      <c r="KDH78" s="684"/>
      <c r="KDI78" s="684"/>
      <c r="KDJ78" s="684"/>
      <c r="KDK78" s="684"/>
      <c r="KDL78" s="684"/>
      <c r="KDM78" s="684"/>
      <c r="KDN78" s="684"/>
      <c r="KDO78" s="684"/>
      <c r="KDP78" s="684"/>
      <c r="KDQ78" s="684"/>
      <c r="KDR78" s="684"/>
      <c r="KDS78" s="684"/>
      <c r="KDT78" s="684"/>
      <c r="KDU78" s="684"/>
      <c r="KDV78" s="684"/>
      <c r="KDW78" s="684"/>
      <c r="KDX78" s="684"/>
      <c r="KDY78" s="684"/>
      <c r="KDZ78" s="684"/>
      <c r="KEA78" s="684"/>
      <c r="KEB78" s="684"/>
      <c r="KEC78" s="684"/>
      <c r="KED78" s="684"/>
      <c r="KEE78" s="684"/>
      <c r="KEF78" s="684"/>
      <c r="KEG78" s="684"/>
      <c r="KEH78" s="684"/>
      <c r="KEI78" s="684"/>
      <c r="KEJ78" s="684"/>
      <c r="KEK78" s="684"/>
      <c r="KEL78" s="684"/>
      <c r="KEM78" s="684"/>
      <c r="KEN78" s="684"/>
      <c r="KEO78" s="684"/>
      <c r="KEP78" s="684"/>
      <c r="KEQ78" s="684"/>
      <c r="KER78" s="684"/>
      <c r="KES78" s="684"/>
      <c r="KET78" s="684"/>
      <c r="KEU78" s="684"/>
      <c r="KEV78" s="684"/>
      <c r="KEW78" s="684"/>
      <c r="KEX78" s="684"/>
      <c r="KEY78" s="684"/>
      <c r="KEZ78" s="684"/>
      <c r="KFA78" s="684"/>
      <c r="KFB78" s="684"/>
      <c r="KFC78" s="684"/>
      <c r="KFD78" s="684"/>
      <c r="KFE78" s="684"/>
      <c r="KFF78" s="684"/>
      <c r="KFG78" s="684"/>
      <c r="KFH78" s="684"/>
      <c r="KFI78" s="684"/>
      <c r="KFJ78" s="684"/>
      <c r="KFK78" s="684"/>
      <c r="KFL78" s="684"/>
      <c r="KFM78" s="684"/>
      <c r="KFN78" s="684"/>
      <c r="KFO78" s="684"/>
      <c r="KFP78" s="684"/>
      <c r="KFQ78" s="684"/>
      <c r="KFR78" s="684"/>
      <c r="KFS78" s="684"/>
      <c r="KFT78" s="684"/>
      <c r="KFU78" s="684"/>
      <c r="KFV78" s="684"/>
      <c r="KFW78" s="684"/>
      <c r="KFX78" s="684"/>
      <c r="KFY78" s="684"/>
      <c r="KFZ78" s="684"/>
      <c r="KGA78" s="684"/>
      <c r="KGB78" s="684"/>
      <c r="KGC78" s="684"/>
      <c r="KGD78" s="684"/>
      <c r="KGE78" s="684"/>
      <c r="KGF78" s="684"/>
      <c r="KGG78" s="684"/>
      <c r="KGH78" s="684"/>
      <c r="KGI78" s="684"/>
      <c r="KGJ78" s="684"/>
      <c r="KGK78" s="684"/>
      <c r="KGL78" s="684"/>
      <c r="KGM78" s="684"/>
      <c r="KGN78" s="684"/>
      <c r="KGO78" s="684"/>
      <c r="KGP78" s="684"/>
      <c r="KGQ78" s="684"/>
      <c r="KGR78" s="684"/>
      <c r="KGS78" s="684"/>
      <c r="KGT78" s="684"/>
      <c r="KGU78" s="684"/>
      <c r="KGV78" s="684"/>
      <c r="KGW78" s="684"/>
      <c r="KGX78" s="684"/>
      <c r="KGY78" s="684"/>
      <c r="KGZ78" s="684"/>
      <c r="KHA78" s="684"/>
      <c r="KHB78" s="684"/>
      <c r="KHC78" s="684"/>
      <c r="KHD78" s="684"/>
      <c r="KHE78" s="684"/>
      <c r="KHF78" s="684"/>
      <c r="KHG78" s="684"/>
      <c r="KHH78" s="684"/>
      <c r="KHI78" s="684"/>
      <c r="KHJ78" s="684"/>
      <c r="KHK78" s="684"/>
      <c r="KHL78" s="684"/>
      <c r="KHM78" s="684"/>
      <c r="KHN78" s="684"/>
      <c r="KHO78" s="684"/>
      <c r="KHP78" s="684"/>
      <c r="KHQ78" s="684"/>
      <c r="KHR78" s="684"/>
      <c r="KHS78" s="684"/>
      <c r="KHT78" s="684"/>
      <c r="KHU78" s="684"/>
      <c r="KHV78" s="684"/>
      <c r="KHW78" s="684"/>
      <c r="KHX78" s="684"/>
      <c r="KHY78" s="684"/>
      <c r="KHZ78" s="684"/>
      <c r="KIA78" s="684"/>
      <c r="KIB78" s="684"/>
      <c r="KIC78" s="684"/>
      <c r="KID78" s="684"/>
      <c r="KIE78" s="684"/>
      <c r="KIF78" s="684"/>
      <c r="KIG78" s="684"/>
      <c r="KIH78" s="684"/>
      <c r="KII78" s="684"/>
      <c r="KIJ78" s="684"/>
      <c r="KIK78" s="684"/>
      <c r="KIL78" s="684"/>
      <c r="KIM78" s="684"/>
      <c r="KIN78" s="684"/>
      <c r="KIO78" s="684"/>
      <c r="KIP78" s="684"/>
      <c r="KIQ78" s="684"/>
      <c r="KIR78" s="684"/>
      <c r="KIS78" s="684"/>
      <c r="KIT78" s="684"/>
      <c r="KIU78" s="684"/>
      <c r="KIV78" s="684"/>
      <c r="KIW78" s="684"/>
      <c r="KIX78" s="684"/>
      <c r="KIY78" s="684"/>
      <c r="KIZ78" s="684"/>
      <c r="KJA78" s="684"/>
      <c r="KJB78" s="684"/>
      <c r="KJC78" s="684"/>
      <c r="KJD78" s="684"/>
      <c r="KJE78" s="684"/>
      <c r="KJF78" s="684"/>
      <c r="KJG78" s="684"/>
      <c r="KJH78" s="684"/>
      <c r="KJI78" s="684"/>
      <c r="KJJ78" s="684"/>
      <c r="KJK78" s="684"/>
      <c r="KJL78" s="684"/>
      <c r="KJM78" s="684"/>
      <c r="KJN78" s="684"/>
      <c r="KJO78" s="684"/>
      <c r="KJP78" s="684"/>
      <c r="KJQ78" s="684"/>
      <c r="KJR78" s="684"/>
      <c r="KJS78" s="684"/>
      <c r="KJT78" s="684"/>
      <c r="KJU78" s="684"/>
      <c r="KJV78" s="684"/>
      <c r="KJW78" s="684"/>
      <c r="KJX78" s="684"/>
      <c r="KJY78" s="684"/>
      <c r="KJZ78" s="684"/>
      <c r="KKA78" s="684"/>
      <c r="KKB78" s="684"/>
      <c r="KKC78" s="684"/>
      <c r="KKD78" s="684"/>
      <c r="KKE78" s="684"/>
      <c r="KKF78" s="684"/>
      <c r="KKG78" s="684"/>
      <c r="KKH78" s="684"/>
      <c r="KKI78" s="684"/>
      <c r="KKJ78" s="684"/>
      <c r="KKK78" s="684"/>
      <c r="KKL78" s="684"/>
      <c r="KKM78" s="684"/>
      <c r="KKN78" s="684"/>
      <c r="KKO78" s="684"/>
      <c r="KKP78" s="684"/>
      <c r="KKQ78" s="684"/>
      <c r="KKR78" s="684"/>
      <c r="KKS78" s="684"/>
      <c r="KKT78" s="684"/>
      <c r="KKU78" s="684"/>
      <c r="KKV78" s="684"/>
      <c r="KKW78" s="684"/>
      <c r="KKX78" s="684"/>
      <c r="KKY78" s="684"/>
      <c r="KKZ78" s="684"/>
      <c r="KLA78" s="684"/>
      <c r="KLB78" s="684"/>
      <c r="KLC78" s="684"/>
      <c r="KLD78" s="684"/>
      <c r="KLE78" s="684"/>
      <c r="KLF78" s="684"/>
      <c r="KLG78" s="684"/>
      <c r="KLH78" s="684"/>
      <c r="KLI78" s="684"/>
      <c r="KLJ78" s="684"/>
      <c r="KLK78" s="684"/>
      <c r="KLL78" s="684"/>
      <c r="KLM78" s="684"/>
      <c r="KLN78" s="684"/>
      <c r="KLO78" s="684"/>
      <c r="KLP78" s="684"/>
      <c r="KLQ78" s="684"/>
      <c r="KLR78" s="684"/>
      <c r="KLS78" s="684"/>
      <c r="KLT78" s="684"/>
      <c r="KLU78" s="684"/>
      <c r="KLV78" s="684"/>
      <c r="KLW78" s="684"/>
      <c r="KLX78" s="684"/>
      <c r="KLY78" s="684"/>
      <c r="KLZ78" s="684"/>
      <c r="KMA78" s="684"/>
      <c r="KMB78" s="684"/>
      <c r="KMC78" s="684"/>
      <c r="KMD78" s="684"/>
      <c r="KME78" s="684"/>
      <c r="KMF78" s="684"/>
      <c r="KMG78" s="684"/>
      <c r="KMH78" s="684"/>
      <c r="KMI78" s="684"/>
      <c r="KMJ78" s="684"/>
      <c r="KMK78" s="684"/>
      <c r="KML78" s="684"/>
      <c r="KMM78" s="684"/>
      <c r="KMN78" s="684"/>
      <c r="KMO78" s="684"/>
      <c r="KMP78" s="684"/>
      <c r="KMQ78" s="684"/>
      <c r="KMR78" s="684"/>
      <c r="KMS78" s="684"/>
      <c r="KMT78" s="684"/>
      <c r="KMU78" s="684"/>
      <c r="KMV78" s="684"/>
      <c r="KMW78" s="684"/>
      <c r="KMX78" s="684"/>
      <c r="KMY78" s="684"/>
      <c r="KMZ78" s="684"/>
      <c r="KNA78" s="684"/>
      <c r="KNB78" s="684"/>
      <c r="KNC78" s="684"/>
      <c r="KND78" s="684"/>
      <c r="KNE78" s="684"/>
      <c r="KNF78" s="684"/>
      <c r="KNG78" s="684"/>
      <c r="KNH78" s="684"/>
      <c r="KNI78" s="684"/>
      <c r="KNJ78" s="684"/>
      <c r="KNK78" s="684"/>
      <c r="KNL78" s="684"/>
      <c r="KNM78" s="684"/>
      <c r="KNN78" s="684"/>
      <c r="KNO78" s="684"/>
      <c r="KNP78" s="684"/>
      <c r="KNQ78" s="684"/>
      <c r="KNR78" s="684"/>
      <c r="KNS78" s="684"/>
      <c r="KNT78" s="684"/>
      <c r="KNU78" s="684"/>
      <c r="KNV78" s="684"/>
      <c r="KNW78" s="684"/>
      <c r="KNX78" s="684"/>
      <c r="KNY78" s="684"/>
      <c r="KNZ78" s="684"/>
      <c r="KOA78" s="684"/>
      <c r="KOB78" s="684"/>
      <c r="KOC78" s="684"/>
      <c r="KOD78" s="684"/>
      <c r="KOE78" s="684"/>
      <c r="KOF78" s="684"/>
      <c r="KOG78" s="684"/>
      <c r="KOH78" s="684"/>
      <c r="KOI78" s="684"/>
      <c r="KOJ78" s="684"/>
      <c r="KOK78" s="684"/>
      <c r="KOL78" s="684"/>
      <c r="KOM78" s="684"/>
      <c r="KON78" s="684"/>
      <c r="KOO78" s="684"/>
      <c r="KOP78" s="684"/>
      <c r="KOQ78" s="684"/>
      <c r="KOR78" s="684"/>
      <c r="KOS78" s="684"/>
      <c r="KOT78" s="684"/>
      <c r="KOU78" s="684"/>
      <c r="KOV78" s="684"/>
      <c r="KOW78" s="684"/>
      <c r="KOX78" s="684"/>
      <c r="KOY78" s="684"/>
      <c r="KOZ78" s="684"/>
      <c r="KPA78" s="684"/>
      <c r="KPB78" s="684"/>
      <c r="KPC78" s="684"/>
      <c r="KPD78" s="684"/>
      <c r="KPE78" s="684"/>
      <c r="KPF78" s="684"/>
      <c r="KPG78" s="684"/>
      <c r="KPH78" s="684"/>
      <c r="KPI78" s="684"/>
      <c r="KPJ78" s="684"/>
      <c r="KPK78" s="684"/>
      <c r="KPL78" s="684"/>
      <c r="KPM78" s="684"/>
      <c r="KPN78" s="684"/>
      <c r="KPO78" s="684"/>
      <c r="KPP78" s="684"/>
      <c r="KPQ78" s="684"/>
      <c r="KPR78" s="684"/>
      <c r="KPS78" s="684"/>
      <c r="KPT78" s="684"/>
      <c r="KPU78" s="684"/>
      <c r="KPV78" s="684"/>
      <c r="KPW78" s="684"/>
      <c r="KPX78" s="684"/>
      <c r="KPY78" s="684"/>
      <c r="KPZ78" s="684"/>
      <c r="KQA78" s="684"/>
      <c r="KQB78" s="684"/>
      <c r="KQC78" s="684"/>
      <c r="KQD78" s="684"/>
      <c r="KQE78" s="684"/>
      <c r="KQF78" s="684"/>
      <c r="KQG78" s="684"/>
      <c r="KQH78" s="684"/>
      <c r="KQI78" s="684"/>
      <c r="KQJ78" s="684"/>
      <c r="KQK78" s="684"/>
      <c r="KQL78" s="684"/>
      <c r="KQM78" s="684"/>
      <c r="KQN78" s="684"/>
      <c r="KQO78" s="684"/>
      <c r="KQP78" s="684"/>
      <c r="KQQ78" s="684"/>
      <c r="KQR78" s="684"/>
      <c r="KQS78" s="684"/>
      <c r="KQT78" s="684"/>
      <c r="KQU78" s="684"/>
      <c r="KQV78" s="684"/>
      <c r="KQW78" s="684"/>
      <c r="KQX78" s="684"/>
      <c r="KQY78" s="684"/>
      <c r="KQZ78" s="684"/>
      <c r="KRA78" s="684"/>
      <c r="KRB78" s="684"/>
      <c r="KRC78" s="684"/>
      <c r="KRD78" s="684"/>
      <c r="KRE78" s="684"/>
      <c r="KRF78" s="684"/>
      <c r="KRG78" s="684"/>
      <c r="KRH78" s="684"/>
      <c r="KRI78" s="684"/>
      <c r="KRJ78" s="684"/>
      <c r="KRK78" s="684"/>
      <c r="KRL78" s="684"/>
      <c r="KRM78" s="684"/>
      <c r="KRN78" s="684"/>
      <c r="KRO78" s="684"/>
      <c r="KRP78" s="684"/>
      <c r="KRQ78" s="684"/>
      <c r="KRR78" s="684"/>
      <c r="KRS78" s="684"/>
      <c r="KRT78" s="684"/>
      <c r="KRU78" s="684"/>
      <c r="KRV78" s="684"/>
      <c r="KRW78" s="684"/>
      <c r="KRX78" s="684"/>
      <c r="KRY78" s="684"/>
      <c r="KRZ78" s="684"/>
      <c r="KSA78" s="684"/>
      <c r="KSB78" s="684"/>
      <c r="KSC78" s="684"/>
      <c r="KSD78" s="684"/>
      <c r="KSE78" s="684"/>
      <c r="KSF78" s="684"/>
      <c r="KSG78" s="684"/>
      <c r="KSH78" s="684"/>
      <c r="KSI78" s="684"/>
      <c r="KSJ78" s="684"/>
      <c r="KSK78" s="684"/>
      <c r="KSL78" s="684"/>
      <c r="KSM78" s="684"/>
      <c r="KSN78" s="684"/>
      <c r="KSO78" s="684"/>
      <c r="KSP78" s="684"/>
      <c r="KSQ78" s="684"/>
      <c r="KSR78" s="684"/>
      <c r="KSS78" s="684"/>
      <c r="KST78" s="684"/>
      <c r="KSU78" s="684"/>
      <c r="KSV78" s="684"/>
      <c r="KSW78" s="684"/>
      <c r="KSX78" s="684"/>
      <c r="KSY78" s="684"/>
      <c r="KSZ78" s="684"/>
      <c r="KTA78" s="684"/>
      <c r="KTB78" s="684"/>
      <c r="KTC78" s="684"/>
      <c r="KTD78" s="684"/>
      <c r="KTE78" s="684"/>
      <c r="KTF78" s="684"/>
      <c r="KTG78" s="684"/>
      <c r="KTH78" s="684"/>
      <c r="KTI78" s="684"/>
      <c r="KTJ78" s="684"/>
      <c r="KTK78" s="684"/>
      <c r="KTL78" s="684"/>
      <c r="KTM78" s="684"/>
      <c r="KTN78" s="684"/>
      <c r="KTO78" s="684"/>
      <c r="KTP78" s="684"/>
      <c r="KTQ78" s="684"/>
      <c r="KTR78" s="684"/>
      <c r="KTS78" s="684"/>
      <c r="KTT78" s="684"/>
      <c r="KTU78" s="684"/>
      <c r="KTV78" s="684"/>
      <c r="KTW78" s="684"/>
      <c r="KTX78" s="684"/>
      <c r="KTY78" s="684"/>
      <c r="KTZ78" s="684"/>
      <c r="KUA78" s="684"/>
      <c r="KUB78" s="684"/>
      <c r="KUC78" s="684"/>
      <c r="KUD78" s="684"/>
      <c r="KUE78" s="684"/>
      <c r="KUF78" s="684"/>
      <c r="KUG78" s="684"/>
      <c r="KUH78" s="684"/>
      <c r="KUI78" s="684"/>
      <c r="KUJ78" s="684"/>
      <c r="KUK78" s="684"/>
      <c r="KUL78" s="684"/>
      <c r="KUM78" s="684"/>
      <c r="KUN78" s="684"/>
      <c r="KUO78" s="684"/>
      <c r="KUP78" s="684"/>
      <c r="KUQ78" s="684"/>
      <c r="KUR78" s="684"/>
      <c r="KUS78" s="684"/>
      <c r="KUT78" s="684"/>
      <c r="KUU78" s="684"/>
      <c r="KUV78" s="684"/>
      <c r="KUW78" s="684"/>
      <c r="KUX78" s="684"/>
      <c r="KUY78" s="684"/>
      <c r="KUZ78" s="684"/>
      <c r="KVA78" s="684"/>
      <c r="KVB78" s="684"/>
      <c r="KVC78" s="684"/>
      <c r="KVD78" s="684"/>
      <c r="KVE78" s="684"/>
      <c r="KVF78" s="684"/>
      <c r="KVG78" s="684"/>
      <c r="KVH78" s="684"/>
      <c r="KVI78" s="684"/>
      <c r="KVJ78" s="684"/>
      <c r="KVK78" s="684"/>
      <c r="KVL78" s="684"/>
      <c r="KVM78" s="684"/>
      <c r="KVN78" s="684"/>
      <c r="KVO78" s="684"/>
      <c r="KVP78" s="684"/>
      <c r="KVQ78" s="684"/>
      <c r="KVR78" s="684"/>
      <c r="KVS78" s="684"/>
      <c r="KVT78" s="684"/>
      <c r="KVU78" s="684"/>
      <c r="KVV78" s="684"/>
      <c r="KVW78" s="684"/>
      <c r="KVX78" s="684"/>
      <c r="KVY78" s="684"/>
      <c r="KVZ78" s="684"/>
      <c r="KWA78" s="684"/>
      <c r="KWB78" s="684"/>
      <c r="KWC78" s="684"/>
      <c r="KWD78" s="684"/>
      <c r="KWE78" s="684"/>
      <c r="KWF78" s="684"/>
      <c r="KWG78" s="684"/>
      <c r="KWH78" s="684"/>
      <c r="KWI78" s="684"/>
      <c r="KWJ78" s="684"/>
      <c r="KWK78" s="684"/>
      <c r="KWL78" s="684"/>
      <c r="KWM78" s="684"/>
      <c r="KWN78" s="684"/>
      <c r="KWO78" s="684"/>
      <c r="KWP78" s="684"/>
      <c r="KWQ78" s="684"/>
      <c r="KWR78" s="684"/>
      <c r="KWS78" s="684"/>
      <c r="KWT78" s="684"/>
      <c r="KWU78" s="684"/>
      <c r="KWV78" s="684"/>
      <c r="KWW78" s="684"/>
      <c r="KWX78" s="684"/>
      <c r="KWY78" s="684"/>
      <c r="KWZ78" s="684"/>
      <c r="KXA78" s="684"/>
      <c r="KXB78" s="684"/>
      <c r="KXC78" s="684"/>
      <c r="KXD78" s="684"/>
      <c r="KXE78" s="684"/>
      <c r="KXF78" s="684"/>
      <c r="KXG78" s="684"/>
      <c r="KXH78" s="684"/>
      <c r="KXI78" s="684"/>
      <c r="KXJ78" s="684"/>
      <c r="KXK78" s="684"/>
      <c r="KXL78" s="684"/>
      <c r="KXM78" s="684"/>
      <c r="KXN78" s="684"/>
      <c r="KXO78" s="684"/>
      <c r="KXP78" s="684"/>
      <c r="KXQ78" s="684"/>
      <c r="KXR78" s="684"/>
      <c r="KXS78" s="684"/>
      <c r="KXT78" s="684"/>
      <c r="KXU78" s="684"/>
      <c r="KXV78" s="684"/>
      <c r="KXW78" s="684"/>
      <c r="KXX78" s="684"/>
      <c r="KXY78" s="684"/>
      <c r="KXZ78" s="684"/>
      <c r="KYA78" s="684"/>
      <c r="KYB78" s="684"/>
      <c r="KYC78" s="684"/>
      <c r="KYD78" s="684"/>
      <c r="KYE78" s="684"/>
      <c r="KYF78" s="684"/>
      <c r="KYG78" s="684"/>
      <c r="KYH78" s="684"/>
      <c r="KYI78" s="684"/>
      <c r="KYJ78" s="684"/>
      <c r="KYK78" s="684"/>
      <c r="KYL78" s="684"/>
      <c r="KYM78" s="684"/>
      <c r="KYN78" s="684"/>
      <c r="KYO78" s="684"/>
      <c r="KYP78" s="684"/>
      <c r="KYQ78" s="684"/>
      <c r="KYR78" s="684"/>
      <c r="KYS78" s="684"/>
      <c r="KYT78" s="684"/>
      <c r="KYU78" s="684"/>
      <c r="KYV78" s="684"/>
      <c r="KYW78" s="684"/>
      <c r="KYX78" s="684"/>
      <c r="KYY78" s="684"/>
      <c r="KYZ78" s="684"/>
      <c r="KZA78" s="684"/>
      <c r="KZB78" s="684"/>
      <c r="KZC78" s="684"/>
      <c r="KZD78" s="684"/>
      <c r="KZE78" s="684"/>
      <c r="KZF78" s="684"/>
      <c r="KZG78" s="684"/>
      <c r="KZH78" s="684"/>
      <c r="KZI78" s="684"/>
      <c r="KZJ78" s="684"/>
      <c r="KZK78" s="684"/>
      <c r="KZL78" s="684"/>
      <c r="KZM78" s="684"/>
      <c r="KZN78" s="684"/>
      <c r="KZO78" s="684"/>
      <c r="KZP78" s="684"/>
      <c r="KZQ78" s="684"/>
      <c r="KZR78" s="684"/>
      <c r="KZS78" s="684"/>
      <c r="KZT78" s="684"/>
      <c r="KZU78" s="684"/>
      <c r="KZV78" s="684"/>
      <c r="KZW78" s="684"/>
      <c r="KZX78" s="684"/>
      <c r="KZY78" s="684"/>
      <c r="KZZ78" s="684"/>
      <c r="LAA78" s="684"/>
      <c r="LAB78" s="684"/>
      <c r="LAC78" s="684"/>
      <c r="LAD78" s="684"/>
      <c r="LAE78" s="684"/>
      <c r="LAF78" s="684"/>
      <c r="LAG78" s="684"/>
      <c r="LAH78" s="684"/>
      <c r="LAI78" s="684"/>
      <c r="LAJ78" s="684"/>
      <c r="LAK78" s="684"/>
      <c r="LAL78" s="684"/>
      <c r="LAM78" s="684"/>
      <c r="LAN78" s="684"/>
      <c r="LAO78" s="684"/>
      <c r="LAP78" s="684"/>
      <c r="LAQ78" s="684"/>
      <c r="LAR78" s="684"/>
      <c r="LAS78" s="684"/>
      <c r="LAT78" s="684"/>
      <c r="LAU78" s="684"/>
      <c r="LAV78" s="684"/>
      <c r="LAW78" s="684"/>
      <c r="LAX78" s="684"/>
      <c r="LAY78" s="684"/>
      <c r="LAZ78" s="684"/>
      <c r="LBA78" s="684"/>
      <c r="LBB78" s="684"/>
      <c r="LBC78" s="684"/>
      <c r="LBD78" s="684"/>
      <c r="LBE78" s="684"/>
      <c r="LBF78" s="684"/>
      <c r="LBG78" s="684"/>
      <c r="LBH78" s="684"/>
      <c r="LBI78" s="684"/>
      <c r="LBJ78" s="684"/>
      <c r="LBK78" s="684"/>
      <c r="LBL78" s="684"/>
      <c r="LBM78" s="684"/>
      <c r="LBN78" s="684"/>
      <c r="LBO78" s="684"/>
      <c r="LBP78" s="684"/>
      <c r="LBQ78" s="684"/>
      <c r="LBR78" s="684"/>
      <c r="LBS78" s="684"/>
      <c r="LBT78" s="684"/>
      <c r="LBU78" s="684"/>
      <c r="LBV78" s="684"/>
      <c r="LBW78" s="684"/>
      <c r="LBX78" s="684"/>
      <c r="LBY78" s="684"/>
      <c r="LBZ78" s="684"/>
      <c r="LCA78" s="684"/>
      <c r="LCB78" s="684"/>
      <c r="LCC78" s="684"/>
      <c r="LCD78" s="684"/>
      <c r="LCE78" s="684"/>
      <c r="LCF78" s="684"/>
      <c r="LCG78" s="684"/>
      <c r="LCH78" s="684"/>
      <c r="LCI78" s="684"/>
      <c r="LCJ78" s="684"/>
      <c r="LCK78" s="684"/>
      <c r="LCL78" s="684"/>
      <c r="LCM78" s="684"/>
      <c r="LCN78" s="684"/>
      <c r="LCO78" s="684"/>
      <c r="LCP78" s="684"/>
      <c r="LCQ78" s="684"/>
      <c r="LCR78" s="684"/>
      <c r="LCS78" s="684"/>
      <c r="LCT78" s="684"/>
      <c r="LCU78" s="684"/>
      <c r="LCV78" s="684"/>
      <c r="LCW78" s="684"/>
      <c r="LCX78" s="684"/>
      <c r="LCY78" s="684"/>
      <c r="LCZ78" s="684"/>
      <c r="LDA78" s="684"/>
      <c r="LDB78" s="684"/>
      <c r="LDC78" s="684"/>
      <c r="LDD78" s="684"/>
      <c r="LDE78" s="684"/>
      <c r="LDF78" s="684"/>
      <c r="LDG78" s="684"/>
      <c r="LDH78" s="684"/>
      <c r="LDI78" s="684"/>
      <c r="LDJ78" s="684"/>
      <c r="LDK78" s="684"/>
      <c r="LDL78" s="684"/>
      <c r="LDM78" s="684"/>
      <c r="LDN78" s="684"/>
      <c r="LDO78" s="684"/>
      <c r="LDP78" s="684"/>
      <c r="LDQ78" s="684"/>
      <c r="LDR78" s="684"/>
      <c r="LDS78" s="684"/>
      <c r="LDT78" s="684"/>
      <c r="LDU78" s="684"/>
      <c r="LDV78" s="684"/>
      <c r="LDW78" s="684"/>
      <c r="LDX78" s="684"/>
      <c r="LDY78" s="684"/>
      <c r="LDZ78" s="684"/>
      <c r="LEA78" s="684"/>
      <c r="LEB78" s="684"/>
      <c r="LEC78" s="684"/>
      <c r="LED78" s="684"/>
      <c r="LEE78" s="684"/>
      <c r="LEF78" s="684"/>
      <c r="LEG78" s="684"/>
      <c r="LEH78" s="684"/>
      <c r="LEI78" s="684"/>
      <c r="LEJ78" s="684"/>
      <c r="LEK78" s="684"/>
      <c r="LEL78" s="684"/>
      <c r="LEM78" s="684"/>
      <c r="LEN78" s="684"/>
      <c r="LEO78" s="684"/>
      <c r="LEP78" s="684"/>
      <c r="LEQ78" s="684"/>
      <c r="LER78" s="684"/>
      <c r="LES78" s="684"/>
      <c r="LET78" s="684"/>
      <c r="LEU78" s="684"/>
      <c r="LEV78" s="684"/>
      <c r="LEW78" s="684"/>
      <c r="LEX78" s="684"/>
      <c r="LEY78" s="684"/>
      <c r="LEZ78" s="684"/>
      <c r="LFA78" s="684"/>
      <c r="LFB78" s="684"/>
      <c r="LFC78" s="684"/>
      <c r="LFD78" s="684"/>
      <c r="LFE78" s="684"/>
      <c r="LFF78" s="684"/>
      <c r="LFG78" s="684"/>
      <c r="LFH78" s="684"/>
      <c r="LFI78" s="684"/>
      <c r="LFJ78" s="684"/>
      <c r="LFK78" s="684"/>
      <c r="LFL78" s="684"/>
      <c r="LFM78" s="684"/>
      <c r="LFN78" s="684"/>
      <c r="LFO78" s="684"/>
      <c r="LFP78" s="684"/>
      <c r="LFQ78" s="684"/>
      <c r="LFR78" s="684"/>
      <c r="LFS78" s="684"/>
      <c r="LFT78" s="684"/>
      <c r="LFU78" s="684"/>
      <c r="LFV78" s="684"/>
      <c r="LFW78" s="684"/>
      <c r="LFX78" s="684"/>
      <c r="LFY78" s="684"/>
      <c r="LFZ78" s="684"/>
      <c r="LGA78" s="684"/>
      <c r="LGB78" s="684"/>
      <c r="LGC78" s="684"/>
      <c r="LGD78" s="684"/>
      <c r="LGE78" s="684"/>
      <c r="LGF78" s="684"/>
      <c r="LGG78" s="684"/>
      <c r="LGH78" s="684"/>
      <c r="LGI78" s="684"/>
      <c r="LGJ78" s="684"/>
      <c r="LGK78" s="684"/>
      <c r="LGL78" s="684"/>
      <c r="LGM78" s="684"/>
      <c r="LGN78" s="684"/>
      <c r="LGO78" s="684"/>
      <c r="LGP78" s="684"/>
      <c r="LGQ78" s="684"/>
      <c r="LGR78" s="684"/>
      <c r="LGS78" s="684"/>
      <c r="LGT78" s="684"/>
      <c r="LGU78" s="684"/>
      <c r="LGV78" s="684"/>
      <c r="LGW78" s="684"/>
      <c r="LGX78" s="684"/>
      <c r="LGY78" s="684"/>
      <c r="LGZ78" s="684"/>
      <c r="LHA78" s="684"/>
      <c r="LHB78" s="684"/>
      <c r="LHC78" s="684"/>
      <c r="LHD78" s="684"/>
      <c r="LHE78" s="684"/>
      <c r="LHF78" s="684"/>
      <c r="LHG78" s="684"/>
      <c r="LHH78" s="684"/>
      <c r="LHI78" s="684"/>
      <c r="LHJ78" s="684"/>
      <c r="LHK78" s="684"/>
      <c r="LHL78" s="684"/>
      <c r="LHM78" s="684"/>
      <c r="LHN78" s="684"/>
      <c r="LHO78" s="684"/>
      <c r="LHP78" s="684"/>
      <c r="LHQ78" s="684"/>
      <c r="LHR78" s="684"/>
      <c r="LHS78" s="684"/>
      <c r="LHT78" s="684"/>
      <c r="LHU78" s="684"/>
      <c r="LHV78" s="684"/>
      <c r="LHW78" s="684"/>
      <c r="LHX78" s="684"/>
      <c r="LHY78" s="684"/>
      <c r="LHZ78" s="684"/>
      <c r="LIA78" s="684"/>
      <c r="LIB78" s="684"/>
      <c r="LIC78" s="684"/>
      <c r="LID78" s="684"/>
      <c r="LIE78" s="684"/>
      <c r="LIF78" s="684"/>
      <c r="LIG78" s="684"/>
      <c r="LIH78" s="684"/>
      <c r="LII78" s="684"/>
      <c r="LIJ78" s="684"/>
      <c r="LIK78" s="684"/>
      <c r="LIL78" s="684"/>
      <c r="LIM78" s="684"/>
      <c r="LIN78" s="684"/>
      <c r="LIO78" s="684"/>
      <c r="LIP78" s="684"/>
      <c r="LIQ78" s="684"/>
      <c r="LIR78" s="684"/>
      <c r="LIS78" s="684"/>
      <c r="LIT78" s="684"/>
      <c r="LIU78" s="684"/>
      <c r="LIV78" s="684"/>
      <c r="LIW78" s="684"/>
      <c r="LIX78" s="684"/>
      <c r="LIY78" s="684"/>
      <c r="LIZ78" s="684"/>
      <c r="LJA78" s="684"/>
      <c r="LJB78" s="684"/>
      <c r="LJC78" s="684"/>
      <c r="LJD78" s="684"/>
      <c r="LJE78" s="684"/>
      <c r="LJF78" s="684"/>
      <c r="LJG78" s="684"/>
      <c r="LJH78" s="684"/>
      <c r="LJI78" s="684"/>
      <c r="LJJ78" s="684"/>
      <c r="LJK78" s="684"/>
      <c r="LJL78" s="684"/>
      <c r="LJM78" s="684"/>
      <c r="LJN78" s="684"/>
      <c r="LJO78" s="684"/>
      <c r="LJP78" s="684"/>
      <c r="LJQ78" s="684"/>
      <c r="LJR78" s="684"/>
      <c r="LJS78" s="684"/>
      <c r="LJT78" s="684"/>
      <c r="LJU78" s="684"/>
      <c r="LJV78" s="684"/>
      <c r="LJW78" s="684"/>
      <c r="LJX78" s="684"/>
      <c r="LJY78" s="684"/>
      <c r="LJZ78" s="684"/>
      <c r="LKA78" s="684"/>
      <c r="LKB78" s="684"/>
      <c r="LKC78" s="684"/>
      <c r="LKD78" s="684"/>
      <c r="LKE78" s="684"/>
      <c r="LKF78" s="684"/>
      <c r="LKG78" s="684"/>
      <c r="LKH78" s="684"/>
      <c r="LKI78" s="684"/>
      <c r="LKJ78" s="684"/>
      <c r="LKK78" s="684"/>
      <c r="LKL78" s="684"/>
      <c r="LKM78" s="684"/>
      <c r="LKN78" s="684"/>
      <c r="LKO78" s="684"/>
      <c r="LKP78" s="684"/>
      <c r="LKQ78" s="684"/>
      <c r="LKR78" s="684"/>
      <c r="LKS78" s="684"/>
      <c r="LKT78" s="684"/>
      <c r="LKU78" s="684"/>
      <c r="LKV78" s="684"/>
      <c r="LKW78" s="684"/>
      <c r="LKX78" s="684"/>
      <c r="LKY78" s="684"/>
      <c r="LKZ78" s="684"/>
      <c r="LLA78" s="684"/>
      <c r="LLB78" s="684"/>
      <c r="LLC78" s="684"/>
      <c r="LLD78" s="684"/>
      <c r="LLE78" s="684"/>
      <c r="LLF78" s="684"/>
      <c r="LLG78" s="684"/>
      <c r="LLH78" s="684"/>
      <c r="LLI78" s="684"/>
      <c r="LLJ78" s="684"/>
      <c r="LLK78" s="684"/>
      <c r="LLL78" s="684"/>
      <c r="LLM78" s="684"/>
      <c r="LLN78" s="684"/>
      <c r="LLO78" s="684"/>
      <c r="LLP78" s="684"/>
      <c r="LLQ78" s="684"/>
      <c r="LLR78" s="684"/>
      <c r="LLS78" s="684"/>
      <c r="LLT78" s="684"/>
      <c r="LLU78" s="684"/>
      <c r="LLV78" s="684"/>
      <c r="LLW78" s="684"/>
      <c r="LLX78" s="684"/>
      <c r="LLY78" s="684"/>
      <c r="LLZ78" s="684"/>
      <c r="LMA78" s="684"/>
      <c r="LMB78" s="684"/>
      <c r="LMC78" s="684"/>
      <c r="LMD78" s="684"/>
      <c r="LME78" s="684"/>
      <c r="LMF78" s="684"/>
      <c r="LMG78" s="684"/>
      <c r="LMH78" s="684"/>
      <c r="LMI78" s="684"/>
      <c r="LMJ78" s="684"/>
      <c r="LMK78" s="684"/>
      <c r="LML78" s="684"/>
      <c r="LMM78" s="684"/>
      <c r="LMN78" s="684"/>
      <c r="LMO78" s="684"/>
      <c r="LMP78" s="684"/>
      <c r="LMQ78" s="684"/>
      <c r="LMR78" s="684"/>
      <c r="LMS78" s="684"/>
      <c r="LMT78" s="684"/>
      <c r="LMU78" s="684"/>
      <c r="LMV78" s="684"/>
      <c r="LMW78" s="684"/>
      <c r="LMX78" s="684"/>
      <c r="LMY78" s="684"/>
      <c r="LMZ78" s="684"/>
      <c r="LNA78" s="684"/>
      <c r="LNB78" s="684"/>
      <c r="LNC78" s="684"/>
      <c r="LND78" s="684"/>
      <c r="LNE78" s="684"/>
      <c r="LNF78" s="684"/>
      <c r="LNG78" s="684"/>
      <c r="LNH78" s="684"/>
      <c r="LNI78" s="684"/>
      <c r="LNJ78" s="684"/>
      <c r="LNK78" s="684"/>
      <c r="LNL78" s="684"/>
      <c r="LNM78" s="684"/>
      <c r="LNN78" s="684"/>
      <c r="LNO78" s="684"/>
      <c r="LNP78" s="684"/>
      <c r="LNQ78" s="684"/>
      <c r="LNR78" s="684"/>
      <c r="LNS78" s="684"/>
      <c r="LNT78" s="684"/>
      <c r="LNU78" s="684"/>
      <c r="LNV78" s="684"/>
      <c r="LNW78" s="684"/>
      <c r="LNX78" s="684"/>
      <c r="LNY78" s="684"/>
      <c r="LNZ78" s="684"/>
      <c r="LOA78" s="684"/>
      <c r="LOB78" s="684"/>
      <c r="LOC78" s="684"/>
      <c r="LOD78" s="684"/>
      <c r="LOE78" s="684"/>
      <c r="LOF78" s="684"/>
      <c r="LOG78" s="684"/>
      <c r="LOH78" s="684"/>
      <c r="LOI78" s="684"/>
      <c r="LOJ78" s="684"/>
      <c r="LOK78" s="684"/>
      <c r="LOL78" s="684"/>
      <c r="LOM78" s="684"/>
      <c r="LON78" s="684"/>
      <c r="LOO78" s="684"/>
      <c r="LOP78" s="684"/>
      <c r="LOQ78" s="684"/>
      <c r="LOR78" s="684"/>
      <c r="LOS78" s="684"/>
      <c r="LOT78" s="684"/>
      <c r="LOU78" s="684"/>
      <c r="LOV78" s="684"/>
      <c r="LOW78" s="684"/>
      <c r="LOX78" s="684"/>
      <c r="LOY78" s="684"/>
      <c r="LOZ78" s="684"/>
      <c r="LPA78" s="684"/>
      <c r="LPB78" s="684"/>
      <c r="LPC78" s="684"/>
      <c r="LPD78" s="684"/>
      <c r="LPE78" s="684"/>
      <c r="LPF78" s="684"/>
      <c r="LPG78" s="684"/>
      <c r="LPH78" s="684"/>
      <c r="LPI78" s="684"/>
      <c r="LPJ78" s="684"/>
      <c r="LPK78" s="684"/>
      <c r="LPL78" s="684"/>
      <c r="LPM78" s="684"/>
      <c r="LPN78" s="684"/>
      <c r="LPO78" s="684"/>
      <c r="LPP78" s="684"/>
      <c r="LPQ78" s="684"/>
      <c r="LPR78" s="684"/>
      <c r="LPS78" s="684"/>
      <c r="LPT78" s="684"/>
      <c r="LPU78" s="684"/>
      <c r="LPV78" s="684"/>
      <c r="LPW78" s="684"/>
      <c r="LPX78" s="684"/>
      <c r="LPY78" s="684"/>
      <c r="LPZ78" s="684"/>
      <c r="LQA78" s="684"/>
      <c r="LQB78" s="684"/>
      <c r="LQC78" s="684"/>
      <c r="LQD78" s="684"/>
      <c r="LQE78" s="684"/>
      <c r="LQF78" s="684"/>
      <c r="LQG78" s="684"/>
      <c r="LQH78" s="684"/>
      <c r="LQI78" s="684"/>
      <c r="LQJ78" s="684"/>
      <c r="LQK78" s="684"/>
      <c r="LQL78" s="684"/>
      <c r="LQM78" s="684"/>
      <c r="LQN78" s="684"/>
      <c r="LQO78" s="684"/>
      <c r="LQP78" s="684"/>
      <c r="LQQ78" s="684"/>
      <c r="LQR78" s="684"/>
      <c r="LQS78" s="684"/>
      <c r="LQT78" s="684"/>
      <c r="LQU78" s="684"/>
      <c r="LQV78" s="684"/>
      <c r="LQW78" s="684"/>
      <c r="LQX78" s="684"/>
      <c r="LQY78" s="684"/>
      <c r="LQZ78" s="684"/>
      <c r="LRA78" s="684"/>
      <c r="LRB78" s="684"/>
      <c r="LRC78" s="684"/>
      <c r="LRD78" s="684"/>
      <c r="LRE78" s="684"/>
      <c r="LRF78" s="684"/>
      <c r="LRG78" s="684"/>
      <c r="LRH78" s="684"/>
      <c r="LRI78" s="684"/>
      <c r="LRJ78" s="684"/>
      <c r="LRK78" s="684"/>
      <c r="LRL78" s="684"/>
      <c r="LRM78" s="684"/>
      <c r="LRN78" s="684"/>
      <c r="LRO78" s="684"/>
      <c r="LRP78" s="684"/>
      <c r="LRQ78" s="684"/>
      <c r="LRR78" s="684"/>
      <c r="LRS78" s="684"/>
      <c r="LRT78" s="684"/>
      <c r="LRU78" s="684"/>
      <c r="LRV78" s="684"/>
      <c r="LRW78" s="684"/>
      <c r="LRX78" s="684"/>
      <c r="LRY78" s="684"/>
      <c r="LRZ78" s="684"/>
      <c r="LSA78" s="684"/>
      <c r="LSB78" s="684"/>
      <c r="LSC78" s="684"/>
      <c r="LSD78" s="684"/>
      <c r="LSE78" s="684"/>
      <c r="LSF78" s="684"/>
      <c r="LSG78" s="684"/>
      <c r="LSH78" s="684"/>
      <c r="LSI78" s="684"/>
      <c r="LSJ78" s="684"/>
      <c r="LSK78" s="684"/>
      <c r="LSL78" s="684"/>
      <c r="LSM78" s="684"/>
      <c r="LSN78" s="684"/>
      <c r="LSO78" s="684"/>
      <c r="LSP78" s="684"/>
      <c r="LSQ78" s="684"/>
      <c r="LSR78" s="684"/>
      <c r="LSS78" s="684"/>
      <c r="LST78" s="684"/>
      <c r="LSU78" s="684"/>
      <c r="LSV78" s="684"/>
      <c r="LSW78" s="684"/>
      <c r="LSX78" s="684"/>
      <c r="LSY78" s="684"/>
      <c r="LSZ78" s="684"/>
      <c r="LTA78" s="684"/>
      <c r="LTB78" s="684"/>
      <c r="LTC78" s="684"/>
      <c r="LTD78" s="684"/>
      <c r="LTE78" s="684"/>
      <c r="LTF78" s="684"/>
      <c r="LTG78" s="684"/>
      <c r="LTH78" s="684"/>
      <c r="LTI78" s="684"/>
      <c r="LTJ78" s="684"/>
      <c r="LTK78" s="684"/>
      <c r="LTL78" s="684"/>
      <c r="LTM78" s="684"/>
      <c r="LTN78" s="684"/>
      <c r="LTO78" s="684"/>
      <c r="LTP78" s="684"/>
      <c r="LTQ78" s="684"/>
      <c r="LTR78" s="684"/>
      <c r="LTS78" s="684"/>
      <c r="LTT78" s="684"/>
      <c r="LTU78" s="684"/>
      <c r="LTV78" s="684"/>
      <c r="LTW78" s="684"/>
      <c r="LTX78" s="684"/>
      <c r="LTY78" s="684"/>
      <c r="LTZ78" s="684"/>
      <c r="LUA78" s="684"/>
      <c r="LUB78" s="684"/>
      <c r="LUC78" s="684"/>
      <c r="LUD78" s="684"/>
      <c r="LUE78" s="684"/>
      <c r="LUF78" s="684"/>
      <c r="LUG78" s="684"/>
      <c r="LUH78" s="684"/>
      <c r="LUI78" s="684"/>
      <c r="LUJ78" s="684"/>
      <c r="LUK78" s="684"/>
      <c r="LUL78" s="684"/>
      <c r="LUM78" s="684"/>
      <c r="LUN78" s="684"/>
      <c r="LUO78" s="684"/>
      <c r="LUP78" s="684"/>
      <c r="LUQ78" s="684"/>
      <c r="LUR78" s="684"/>
      <c r="LUS78" s="684"/>
      <c r="LUT78" s="684"/>
      <c r="LUU78" s="684"/>
      <c r="LUV78" s="684"/>
      <c r="LUW78" s="684"/>
      <c r="LUX78" s="684"/>
      <c r="LUY78" s="684"/>
      <c r="LUZ78" s="684"/>
      <c r="LVA78" s="684"/>
      <c r="LVB78" s="684"/>
      <c r="LVC78" s="684"/>
      <c r="LVD78" s="684"/>
      <c r="LVE78" s="684"/>
      <c r="LVF78" s="684"/>
      <c r="LVG78" s="684"/>
      <c r="LVH78" s="684"/>
      <c r="LVI78" s="684"/>
      <c r="LVJ78" s="684"/>
      <c r="LVK78" s="684"/>
      <c r="LVL78" s="684"/>
      <c r="LVM78" s="684"/>
      <c r="LVN78" s="684"/>
      <c r="LVO78" s="684"/>
      <c r="LVP78" s="684"/>
      <c r="LVQ78" s="684"/>
      <c r="LVR78" s="684"/>
      <c r="LVS78" s="684"/>
      <c r="LVT78" s="684"/>
      <c r="LVU78" s="684"/>
      <c r="LVV78" s="684"/>
      <c r="LVW78" s="684"/>
      <c r="LVX78" s="684"/>
      <c r="LVY78" s="684"/>
      <c r="LVZ78" s="684"/>
      <c r="LWA78" s="684"/>
      <c r="LWB78" s="684"/>
      <c r="LWC78" s="684"/>
      <c r="LWD78" s="684"/>
      <c r="LWE78" s="684"/>
      <c r="LWF78" s="684"/>
      <c r="LWG78" s="684"/>
      <c r="LWH78" s="684"/>
      <c r="LWI78" s="684"/>
      <c r="LWJ78" s="684"/>
      <c r="LWK78" s="684"/>
      <c r="LWL78" s="684"/>
      <c r="LWM78" s="684"/>
      <c r="LWN78" s="684"/>
      <c r="LWO78" s="684"/>
      <c r="LWP78" s="684"/>
      <c r="LWQ78" s="684"/>
      <c r="LWR78" s="684"/>
      <c r="LWS78" s="684"/>
      <c r="LWT78" s="684"/>
      <c r="LWU78" s="684"/>
      <c r="LWV78" s="684"/>
      <c r="LWW78" s="684"/>
      <c r="LWX78" s="684"/>
      <c r="LWY78" s="684"/>
      <c r="LWZ78" s="684"/>
      <c r="LXA78" s="684"/>
      <c r="LXB78" s="684"/>
      <c r="LXC78" s="684"/>
      <c r="LXD78" s="684"/>
      <c r="LXE78" s="684"/>
      <c r="LXF78" s="684"/>
      <c r="LXG78" s="684"/>
      <c r="LXH78" s="684"/>
      <c r="LXI78" s="684"/>
      <c r="LXJ78" s="684"/>
      <c r="LXK78" s="684"/>
      <c r="LXL78" s="684"/>
      <c r="LXM78" s="684"/>
      <c r="LXN78" s="684"/>
      <c r="LXO78" s="684"/>
      <c r="LXP78" s="684"/>
      <c r="LXQ78" s="684"/>
      <c r="LXR78" s="684"/>
      <c r="LXS78" s="684"/>
      <c r="LXT78" s="684"/>
      <c r="LXU78" s="684"/>
      <c r="LXV78" s="684"/>
      <c r="LXW78" s="684"/>
      <c r="LXX78" s="684"/>
      <c r="LXY78" s="684"/>
      <c r="LXZ78" s="684"/>
      <c r="LYA78" s="684"/>
      <c r="LYB78" s="684"/>
      <c r="LYC78" s="684"/>
      <c r="LYD78" s="684"/>
      <c r="LYE78" s="684"/>
      <c r="LYF78" s="684"/>
      <c r="LYG78" s="684"/>
      <c r="LYH78" s="684"/>
      <c r="LYI78" s="684"/>
      <c r="LYJ78" s="684"/>
      <c r="LYK78" s="684"/>
      <c r="LYL78" s="684"/>
      <c r="LYM78" s="684"/>
      <c r="LYN78" s="684"/>
      <c r="LYO78" s="684"/>
      <c r="LYP78" s="684"/>
      <c r="LYQ78" s="684"/>
      <c r="LYR78" s="684"/>
      <c r="LYS78" s="684"/>
      <c r="LYT78" s="684"/>
      <c r="LYU78" s="684"/>
      <c r="LYV78" s="684"/>
      <c r="LYW78" s="684"/>
      <c r="LYX78" s="684"/>
      <c r="LYY78" s="684"/>
      <c r="LYZ78" s="684"/>
      <c r="LZA78" s="684"/>
      <c r="LZB78" s="684"/>
      <c r="LZC78" s="684"/>
      <c r="LZD78" s="684"/>
      <c r="LZE78" s="684"/>
      <c r="LZF78" s="684"/>
      <c r="LZG78" s="684"/>
      <c r="LZH78" s="684"/>
      <c r="LZI78" s="684"/>
      <c r="LZJ78" s="684"/>
      <c r="LZK78" s="684"/>
      <c r="LZL78" s="684"/>
      <c r="LZM78" s="684"/>
      <c r="LZN78" s="684"/>
      <c r="LZO78" s="684"/>
      <c r="LZP78" s="684"/>
      <c r="LZQ78" s="684"/>
      <c r="LZR78" s="684"/>
      <c r="LZS78" s="684"/>
      <c r="LZT78" s="684"/>
      <c r="LZU78" s="684"/>
      <c r="LZV78" s="684"/>
      <c r="LZW78" s="684"/>
      <c r="LZX78" s="684"/>
      <c r="LZY78" s="684"/>
      <c r="LZZ78" s="684"/>
      <c r="MAA78" s="684"/>
      <c r="MAB78" s="684"/>
      <c r="MAC78" s="684"/>
      <c r="MAD78" s="684"/>
      <c r="MAE78" s="684"/>
      <c r="MAF78" s="684"/>
      <c r="MAG78" s="684"/>
      <c r="MAH78" s="684"/>
      <c r="MAI78" s="684"/>
      <c r="MAJ78" s="684"/>
      <c r="MAK78" s="684"/>
      <c r="MAL78" s="684"/>
      <c r="MAM78" s="684"/>
      <c r="MAN78" s="684"/>
      <c r="MAO78" s="684"/>
      <c r="MAP78" s="684"/>
      <c r="MAQ78" s="684"/>
      <c r="MAR78" s="684"/>
      <c r="MAS78" s="684"/>
      <c r="MAT78" s="684"/>
      <c r="MAU78" s="684"/>
      <c r="MAV78" s="684"/>
      <c r="MAW78" s="684"/>
      <c r="MAX78" s="684"/>
      <c r="MAY78" s="684"/>
      <c r="MAZ78" s="684"/>
      <c r="MBA78" s="684"/>
      <c r="MBB78" s="684"/>
      <c r="MBC78" s="684"/>
      <c r="MBD78" s="684"/>
      <c r="MBE78" s="684"/>
      <c r="MBF78" s="684"/>
      <c r="MBG78" s="684"/>
      <c r="MBH78" s="684"/>
      <c r="MBI78" s="684"/>
      <c r="MBJ78" s="684"/>
      <c r="MBK78" s="684"/>
      <c r="MBL78" s="684"/>
      <c r="MBM78" s="684"/>
      <c r="MBN78" s="684"/>
      <c r="MBO78" s="684"/>
      <c r="MBP78" s="684"/>
      <c r="MBQ78" s="684"/>
      <c r="MBR78" s="684"/>
      <c r="MBS78" s="684"/>
      <c r="MBT78" s="684"/>
      <c r="MBU78" s="684"/>
      <c r="MBV78" s="684"/>
      <c r="MBW78" s="684"/>
      <c r="MBX78" s="684"/>
      <c r="MBY78" s="684"/>
      <c r="MBZ78" s="684"/>
      <c r="MCA78" s="684"/>
      <c r="MCB78" s="684"/>
      <c r="MCC78" s="684"/>
      <c r="MCD78" s="684"/>
      <c r="MCE78" s="684"/>
      <c r="MCF78" s="684"/>
      <c r="MCG78" s="684"/>
      <c r="MCH78" s="684"/>
      <c r="MCI78" s="684"/>
      <c r="MCJ78" s="684"/>
      <c r="MCK78" s="684"/>
      <c r="MCL78" s="684"/>
      <c r="MCM78" s="684"/>
      <c r="MCN78" s="684"/>
      <c r="MCO78" s="684"/>
      <c r="MCP78" s="684"/>
      <c r="MCQ78" s="684"/>
      <c r="MCR78" s="684"/>
      <c r="MCS78" s="684"/>
      <c r="MCT78" s="684"/>
      <c r="MCU78" s="684"/>
      <c r="MCV78" s="684"/>
      <c r="MCW78" s="684"/>
      <c r="MCX78" s="684"/>
      <c r="MCY78" s="684"/>
      <c r="MCZ78" s="684"/>
      <c r="MDA78" s="684"/>
      <c r="MDB78" s="684"/>
      <c r="MDC78" s="684"/>
      <c r="MDD78" s="684"/>
      <c r="MDE78" s="684"/>
      <c r="MDF78" s="684"/>
      <c r="MDG78" s="684"/>
      <c r="MDH78" s="684"/>
      <c r="MDI78" s="684"/>
      <c r="MDJ78" s="684"/>
      <c r="MDK78" s="684"/>
      <c r="MDL78" s="684"/>
      <c r="MDM78" s="684"/>
      <c r="MDN78" s="684"/>
      <c r="MDO78" s="684"/>
      <c r="MDP78" s="684"/>
      <c r="MDQ78" s="684"/>
      <c r="MDR78" s="684"/>
      <c r="MDS78" s="684"/>
      <c r="MDT78" s="684"/>
      <c r="MDU78" s="684"/>
      <c r="MDV78" s="684"/>
      <c r="MDW78" s="684"/>
      <c r="MDX78" s="684"/>
      <c r="MDY78" s="684"/>
      <c r="MDZ78" s="684"/>
      <c r="MEA78" s="684"/>
      <c r="MEB78" s="684"/>
      <c r="MEC78" s="684"/>
      <c r="MED78" s="684"/>
      <c r="MEE78" s="684"/>
      <c r="MEF78" s="684"/>
      <c r="MEG78" s="684"/>
      <c r="MEH78" s="684"/>
      <c r="MEI78" s="684"/>
      <c r="MEJ78" s="684"/>
      <c r="MEK78" s="684"/>
      <c r="MEL78" s="684"/>
      <c r="MEM78" s="684"/>
      <c r="MEN78" s="684"/>
      <c r="MEO78" s="684"/>
      <c r="MEP78" s="684"/>
      <c r="MEQ78" s="684"/>
      <c r="MER78" s="684"/>
      <c r="MES78" s="684"/>
      <c r="MET78" s="684"/>
      <c r="MEU78" s="684"/>
      <c r="MEV78" s="684"/>
      <c r="MEW78" s="684"/>
      <c r="MEX78" s="684"/>
      <c r="MEY78" s="684"/>
      <c r="MEZ78" s="684"/>
      <c r="MFA78" s="684"/>
      <c r="MFB78" s="684"/>
      <c r="MFC78" s="684"/>
      <c r="MFD78" s="684"/>
      <c r="MFE78" s="684"/>
      <c r="MFF78" s="684"/>
      <c r="MFG78" s="684"/>
      <c r="MFH78" s="684"/>
      <c r="MFI78" s="684"/>
      <c r="MFJ78" s="684"/>
      <c r="MFK78" s="684"/>
      <c r="MFL78" s="684"/>
      <c r="MFM78" s="684"/>
      <c r="MFN78" s="684"/>
      <c r="MFO78" s="684"/>
      <c r="MFP78" s="684"/>
      <c r="MFQ78" s="684"/>
      <c r="MFR78" s="684"/>
      <c r="MFS78" s="684"/>
      <c r="MFT78" s="684"/>
      <c r="MFU78" s="684"/>
      <c r="MFV78" s="684"/>
      <c r="MFW78" s="684"/>
      <c r="MFX78" s="684"/>
      <c r="MFY78" s="684"/>
      <c r="MFZ78" s="684"/>
      <c r="MGA78" s="684"/>
      <c r="MGB78" s="684"/>
      <c r="MGC78" s="684"/>
      <c r="MGD78" s="684"/>
      <c r="MGE78" s="684"/>
      <c r="MGF78" s="684"/>
      <c r="MGG78" s="684"/>
      <c r="MGH78" s="684"/>
      <c r="MGI78" s="684"/>
      <c r="MGJ78" s="684"/>
      <c r="MGK78" s="684"/>
      <c r="MGL78" s="684"/>
      <c r="MGM78" s="684"/>
      <c r="MGN78" s="684"/>
      <c r="MGO78" s="684"/>
      <c r="MGP78" s="684"/>
      <c r="MGQ78" s="684"/>
      <c r="MGR78" s="684"/>
      <c r="MGS78" s="684"/>
      <c r="MGT78" s="684"/>
      <c r="MGU78" s="684"/>
      <c r="MGV78" s="684"/>
      <c r="MGW78" s="684"/>
      <c r="MGX78" s="684"/>
      <c r="MGY78" s="684"/>
      <c r="MGZ78" s="684"/>
      <c r="MHA78" s="684"/>
      <c r="MHB78" s="684"/>
      <c r="MHC78" s="684"/>
      <c r="MHD78" s="684"/>
      <c r="MHE78" s="684"/>
      <c r="MHF78" s="684"/>
      <c r="MHG78" s="684"/>
      <c r="MHH78" s="684"/>
      <c r="MHI78" s="684"/>
      <c r="MHJ78" s="684"/>
      <c r="MHK78" s="684"/>
      <c r="MHL78" s="684"/>
      <c r="MHM78" s="684"/>
      <c r="MHN78" s="684"/>
      <c r="MHO78" s="684"/>
      <c r="MHP78" s="684"/>
      <c r="MHQ78" s="684"/>
      <c r="MHR78" s="684"/>
      <c r="MHS78" s="684"/>
      <c r="MHT78" s="684"/>
      <c r="MHU78" s="684"/>
      <c r="MHV78" s="684"/>
      <c r="MHW78" s="684"/>
      <c r="MHX78" s="684"/>
      <c r="MHY78" s="684"/>
      <c r="MHZ78" s="684"/>
      <c r="MIA78" s="684"/>
      <c r="MIB78" s="684"/>
      <c r="MIC78" s="684"/>
      <c r="MID78" s="684"/>
      <c r="MIE78" s="684"/>
      <c r="MIF78" s="684"/>
      <c r="MIG78" s="684"/>
      <c r="MIH78" s="684"/>
      <c r="MII78" s="684"/>
      <c r="MIJ78" s="684"/>
      <c r="MIK78" s="684"/>
      <c r="MIL78" s="684"/>
      <c r="MIM78" s="684"/>
      <c r="MIN78" s="684"/>
      <c r="MIO78" s="684"/>
      <c r="MIP78" s="684"/>
      <c r="MIQ78" s="684"/>
      <c r="MIR78" s="684"/>
      <c r="MIS78" s="684"/>
      <c r="MIT78" s="684"/>
      <c r="MIU78" s="684"/>
      <c r="MIV78" s="684"/>
      <c r="MIW78" s="684"/>
      <c r="MIX78" s="684"/>
      <c r="MIY78" s="684"/>
      <c r="MIZ78" s="684"/>
      <c r="MJA78" s="684"/>
      <c r="MJB78" s="684"/>
      <c r="MJC78" s="684"/>
      <c r="MJD78" s="684"/>
      <c r="MJE78" s="684"/>
      <c r="MJF78" s="684"/>
      <c r="MJG78" s="684"/>
      <c r="MJH78" s="684"/>
      <c r="MJI78" s="684"/>
      <c r="MJJ78" s="684"/>
      <c r="MJK78" s="684"/>
      <c r="MJL78" s="684"/>
      <c r="MJM78" s="684"/>
      <c r="MJN78" s="684"/>
      <c r="MJO78" s="684"/>
      <c r="MJP78" s="684"/>
      <c r="MJQ78" s="684"/>
      <c r="MJR78" s="684"/>
      <c r="MJS78" s="684"/>
      <c r="MJT78" s="684"/>
      <c r="MJU78" s="684"/>
      <c r="MJV78" s="684"/>
      <c r="MJW78" s="684"/>
      <c r="MJX78" s="684"/>
      <c r="MJY78" s="684"/>
      <c r="MJZ78" s="684"/>
      <c r="MKA78" s="684"/>
      <c r="MKB78" s="684"/>
      <c r="MKC78" s="684"/>
      <c r="MKD78" s="684"/>
      <c r="MKE78" s="684"/>
      <c r="MKF78" s="684"/>
      <c r="MKG78" s="684"/>
      <c r="MKH78" s="684"/>
      <c r="MKI78" s="684"/>
      <c r="MKJ78" s="684"/>
      <c r="MKK78" s="684"/>
      <c r="MKL78" s="684"/>
      <c r="MKM78" s="684"/>
      <c r="MKN78" s="684"/>
      <c r="MKO78" s="684"/>
      <c r="MKP78" s="684"/>
      <c r="MKQ78" s="684"/>
      <c r="MKR78" s="684"/>
      <c r="MKS78" s="684"/>
      <c r="MKT78" s="684"/>
      <c r="MKU78" s="684"/>
      <c r="MKV78" s="684"/>
      <c r="MKW78" s="684"/>
      <c r="MKX78" s="684"/>
      <c r="MKY78" s="684"/>
      <c r="MKZ78" s="684"/>
      <c r="MLA78" s="684"/>
      <c r="MLB78" s="684"/>
      <c r="MLC78" s="684"/>
      <c r="MLD78" s="684"/>
      <c r="MLE78" s="684"/>
      <c r="MLF78" s="684"/>
      <c r="MLG78" s="684"/>
      <c r="MLH78" s="684"/>
      <c r="MLI78" s="684"/>
      <c r="MLJ78" s="684"/>
      <c r="MLK78" s="684"/>
      <c r="MLL78" s="684"/>
      <c r="MLM78" s="684"/>
      <c r="MLN78" s="684"/>
      <c r="MLO78" s="684"/>
      <c r="MLP78" s="684"/>
      <c r="MLQ78" s="684"/>
      <c r="MLR78" s="684"/>
      <c r="MLS78" s="684"/>
      <c r="MLT78" s="684"/>
      <c r="MLU78" s="684"/>
      <c r="MLV78" s="684"/>
      <c r="MLW78" s="684"/>
      <c r="MLX78" s="684"/>
      <c r="MLY78" s="684"/>
      <c r="MLZ78" s="684"/>
      <c r="MMA78" s="684"/>
      <c r="MMB78" s="684"/>
      <c r="MMC78" s="684"/>
      <c r="MMD78" s="684"/>
      <c r="MME78" s="684"/>
      <c r="MMF78" s="684"/>
      <c r="MMG78" s="684"/>
      <c r="MMH78" s="684"/>
      <c r="MMI78" s="684"/>
      <c r="MMJ78" s="684"/>
      <c r="MMK78" s="684"/>
      <c r="MML78" s="684"/>
      <c r="MMM78" s="684"/>
      <c r="MMN78" s="684"/>
      <c r="MMO78" s="684"/>
      <c r="MMP78" s="684"/>
      <c r="MMQ78" s="684"/>
      <c r="MMR78" s="684"/>
      <c r="MMS78" s="684"/>
      <c r="MMT78" s="684"/>
      <c r="MMU78" s="684"/>
      <c r="MMV78" s="684"/>
      <c r="MMW78" s="684"/>
      <c r="MMX78" s="684"/>
      <c r="MMY78" s="684"/>
      <c r="MMZ78" s="684"/>
      <c r="MNA78" s="684"/>
      <c r="MNB78" s="684"/>
      <c r="MNC78" s="684"/>
      <c r="MND78" s="684"/>
      <c r="MNE78" s="684"/>
      <c r="MNF78" s="684"/>
      <c r="MNG78" s="684"/>
      <c r="MNH78" s="684"/>
      <c r="MNI78" s="684"/>
      <c r="MNJ78" s="684"/>
      <c r="MNK78" s="684"/>
      <c r="MNL78" s="684"/>
      <c r="MNM78" s="684"/>
      <c r="MNN78" s="684"/>
      <c r="MNO78" s="684"/>
      <c r="MNP78" s="684"/>
      <c r="MNQ78" s="684"/>
      <c r="MNR78" s="684"/>
      <c r="MNS78" s="684"/>
      <c r="MNT78" s="684"/>
      <c r="MNU78" s="684"/>
      <c r="MNV78" s="684"/>
      <c r="MNW78" s="684"/>
      <c r="MNX78" s="684"/>
      <c r="MNY78" s="684"/>
      <c r="MNZ78" s="684"/>
      <c r="MOA78" s="684"/>
      <c r="MOB78" s="684"/>
      <c r="MOC78" s="684"/>
      <c r="MOD78" s="684"/>
      <c r="MOE78" s="684"/>
      <c r="MOF78" s="684"/>
      <c r="MOG78" s="684"/>
      <c r="MOH78" s="684"/>
      <c r="MOI78" s="684"/>
      <c r="MOJ78" s="684"/>
      <c r="MOK78" s="684"/>
      <c r="MOL78" s="684"/>
      <c r="MOM78" s="684"/>
      <c r="MON78" s="684"/>
      <c r="MOO78" s="684"/>
      <c r="MOP78" s="684"/>
      <c r="MOQ78" s="684"/>
      <c r="MOR78" s="684"/>
      <c r="MOS78" s="684"/>
      <c r="MOT78" s="684"/>
      <c r="MOU78" s="684"/>
      <c r="MOV78" s="684"/>
      <c r="MOW78" s="684"/>
      <c r="MOX78" s="684"/>
      <c r="MOY78" s="684"/>
      <c r="MOZ78" s="684"/>
      <c r="MPA78" s="684"/>
      <c r="MPB78" s="684"/>
      <c r="MPC78" s="684"/>
      <c r="MPD78" s="684"/>
      <c r="MPE78" s="684"/>
      <c r="MPF78" s="684"/>
      <c r="MPG78" s="684"/>
      <c r="MPH78" s="684"/>
      <c r="MPI78" s="684"/>
      <c r="MPJ78" s="684"/>
      <c r="MPK78" s="684"/>
      <c r="MPL78" s="684"/>
      <c r="MPM78" s="684"/>
      <c r="MPN78" s="684"/>
      <c r="MPO78" s="684"/>
      <c r="MPP78" s="684"/>
      <c r="MPQ78" s="684"/>
      <c r="MPR78" s="684"/>
      <c r="MPS78" s="684"/>
      <c r="MPT78" s="684"/>
      <c r="MPU78" s="684"/>
      <c r="MPV78" s="684"/>
      <c r="MPW78" s="684"/>
      <c r="MPX78" s="684"/>
      <c r="MPY78" s="684"/>
      <c r="MPZ78" s="684"/>
      <c r="MQA78" s="684"/>
      <c r="MQB78" s="684"/>
      <c r="MQC78" s="684"/>
      <c r="MQD78" s="684"/>
      <c r="MQE78" s="684"/>
      <c r="MQF78" s="684"/>
      <c r="MQG78" s="684"/>
      <c r="MQH78" s="684"/>
      <c r="MQI78" s="684"/>
      <c r="MQJ78" s="684"/>
      <c r="MQK78" s="684"/>
      <c r="MQL78" s="684"/>
      <c r="MQM78" s="684"/>
      <c r="MQN78" s="684"/>
      <c r="MQO78" s="684"/>
      <c r="MQP78" s="684"/>
      <c r="MQQ78" s="684"/>
      <c r="MQR78" s="684"/>
      <c r="MQS78" s="684"/>
      <c r="MQT78" s="684"/>
      <c r="MQU78" s="684"/>
      <c r="MQV78" s="684"/>
      <c r="MQW78" s="684"/>
      <c r="MQX78" s="684"/>
      <c r="MQY78" s="684"/>
      <c r="MQZ78" s="684"/>
      <c r="MRA78" s="684"/>
      <c r="MRB78" s="684"/>
      <c r="MRC78" s="684"/>
      <c r="MRD78" s="684"/>
      <c r="MRE78" s="684"/>
      <c r="MRF78" s="684"/>
      <c r="MRG78" s="684"/>
      <c r="MRH78" s="684"/>
      <c r="MRI78" s="684"/>
      <c r="MRJ78" s="684"/>
      <c r="MRK78" s="684"/>
      <c r="MRL78" s="684"/>
      <c r="MRM78" s="684"/>
      <c r="MRN78" s="684"/>
      <c r="MRO78" s="684"/>
      <c r="MRP78" s="684"/>
      <c r="MRQ78" s="684"/>
      <c r="MRR78" s="684"/>
      <c r="MRS78" s="684"/>
      <c r="MRT78" s="684"/>
      <c r="MRU78" s="684"/>
      <c r="MRV78" s="684"/>
      <c r="MRW78" s="684"/>
      <c r="MRX78" s="684"/>
      <c r="MRY78" s="684"/>
      <c r="MRZ78" s="684"/>
      <c r="MSA78" s="684"/>
      <c r="MSB78" s="684"/>
      <c r="MSC78" s="684"/>
      <c r="MSD78" s="684"/>
      <c r="MSE78" s="684"/>
      <c r="MSF78" s="684"/>
      <c r="MSG78" s="684"/>
      <c r="MSH78" s="684"/>
      <c r="MSI78" s="684"/>
      <c r="MSJ78" s="684"/>
      <c r="MSK78" s="684"/>
      <c r="MSL78" s="684"/>
      <c r="MSM78" s="684"/>
      <c r="MSN78" s="684"/>
      <c r="MSO78" s="684"/>
      <c r="MSP78" s="684"/>
      <c r="MSQ78" s="684"/>
      <c r="MSR78" s="684"/>
      <c r="MSS78" s="684"/>
      <c r="MST78" s="684"/>
      <c r="MSU78" s="684"/>
      <c r="MSV78" s="684"/>
      <c r="MSW78" s="684"/>
      <c r="MSX78" s="684"/>
      <c r="MSY78" s="684"/>
      <c r="MSZ78" s="684"/>
      <c r="MTA78" s="684"/>
      <c r="MTB78" s="684"/>
      <c r="MTC78" s="684"/>
      <c r="MTD78" s="684"/>
      <c r="MTE78" s="684"/>
      <c r="MTF78" s="684"/>
      <c r="MTG78" s="684"/>
      <c r="MTH78" s="684"/>
      <c r="MTI78" s="684"/>
      <c r="MTJ78" s="684"/>
      <c r="MTK78" s="684"/>
      <c r="MTL78" s="684"/>
      <c r="MTM78" s="684"/>
      <c r="MTN78" s="684"/>
      <c r="MTO78" s="684"/>
      <c r="MTP78" s="684"/>
      <c r="MTQ78" s="684"/>
      <c r="MTR78" s="684"/>
      <c r="MTS78" s="684"/>
      <c r="MTT78" s="684"/>
      <c r="MTU78" s="684"/>
      <c r="MTV78" s="684"/>
      <c r="MTW78" s="684"/>
      <c r="MTX78" s="684"/>
      <c r="MTY78" s="684"/>
      <c r="MTZ78" s="684"/>
      <c r="MUA78" s="684"/>
      <c r="MUB78" s="684"/>
      <c r="MUC78" s="684"/>
      <c r="MUD78" s="684"/>
      <c r="MUE78" s="684"/>
      <c r="MUF78" s="684"/>
      <c r="MUG78" s="684"/>
      <c r="MUH78" s="684"/>
      <c r="MUI78" s="684"/>
      <c r="MUJ78" s="684"/>
      <c r="MUK78" s="684"/>
      <c r="MUL78" s="684"/>
      <c r="MUM78" s="684"/>
      <c r="MUN78" s="684"/>
      <c r="MUO78" s="684"/>
      <c r="MUP78" s="684"/>
      <c r="MUQ78" s="684"/>
      <c r="MUR78" s="684"/>
      <c r="MUS78" s="684"/>
      <c r="MUT78" s="684"/>
      <c r="MUU78" s="684"/>
      <c r="MUV78" s="684"/>
      <c r="MUW78" s="684"/>
      <c r="MUX78" s="684"/>
      <c r="MUY78" s="684"/>
      <c r="MUZ78" s="684"/>
      <c r="MVA78" s="684"/>
      <c r="MVB78" s="684"/>
      <c r="MVC78" s="684"/>
      <c r="MVD78" s="684"/>
      <c r="MVE78" s="684"/>
      <c r="MVF78" s="684"/>
      <c r="MVG78" s="684"/>
      <c r="MVH78" s="684"/>
      <c r="MVI78" s="684"/>
      <c r="MVJ78" s="684"/>
      <c r="MVK78" s="684"/>
      <c r="MVL78" s="684"/>
      <c r="MVM78" s="684"/>
      <c r="MVN78" s="684"/>
      <c r="MVO78" s="684"/>
      <c r="MVP78" s="684"/>
      <c r="MVQ78" s="684"/>
      <c r="MVR78" s="684"/>
      <c r="MVS78" s="684"/>
      <c r="MVT78" s="684"/>
      <c r="MVU78" s="684"/>
      <c r="MVV78" s="684"/>
      <c r="MVW78" s="684"/>
      <c r="MVX78" s="684"/>
      <c r="MVY78" s="684"/>
      <c r="MVZ78" s="684"/>
      <c r="MWA78" s="684"/>
      <c r="MWB78" s="684"/>
      <c r="MWC78" s="684"/>
      <c r="MWD78" s="684"/>
      <c r="MWE78" s="684"/>
      <c r="MWF78" s="684"/>
      <c r="MWG78" s="684"/>
      <c r="MWH78" s="684"/>
      <c r="MWI78" s="684"/>
      <c r="MWJ78" s="684"/>
      <c r="MWK78" s="684"/>
      <c r="MWL78" s="684"/>
      <c r="MWM78" s="684"/>
      <c r="MWN78" s="684"/>
      <c r="MWO78" s="684"/>
      <c r="MWP78" s="684"/>
      <c r="MWQ78" s="684"/>
      <c r="MWR78" s="684"/>
      <c r="MWS78" s="684"/>
      <c r="MWT78" s="684"/>
      <c r="MWU78" s="684"/>
      <c r="MWV78" s="684"/>
      <c r="MWW78" s="684"/>
      <c r="MWX78" s="684"/>
      <c r="MWY78" s="684"/>
      <c r="MWZ78" s="684"/>
      <c r="MXA78" s="684"/>
      <c r="MXB78" s="684"/>
      <c r="MXC78" s="684"/>
      <c r="MXD78" s="684"/>
      <c r="MXE78" s="684"/>
      <c r="MXF78" s="684"/>
      <c r="MXG78" s="684"/>
      <c r="MXH78" s="684"/>
      <c r="MXI78" s="684"/>
      <c r="MXJ78" s="684"/>
      <c r="MXK78" s="684"/>
      <c r="MXL78" s="684"/>
      <c r="MXM78" s="684"/>
      <c r="MXN78" s="684"/>
      <c r="MXO78" s="684"/>
      <c r="MXP78" s="684"/>
      <c r="MXQ78" s="684"/>
      <c r="MXR78" s="684"/>
      <c r="MXS78" s="684"/>
      <c r="MXT78" s="684"/>
      <c r="MXU78" s="684"/>
      <c r="MXV78" s="684"/>
      <c r="MXW78" s="684"/>
      <c r="MXX78" s="684"/>
      <c r="MXY78" s="684"/>
      <c r="MXZ78" s="684"/>
      <c r="MYA78" s="684"/>
      <c r="MYB78" s="684"/>
      <c r="MYC78" s="684"/>
      <c r="MYD78" s="684"/>
      <c r="MYE78" s="684"/>
      <c r="MYF78" s="684"/>
      <c r="MYG78" s="684"/>
      <c r="MYH78" s="684"/>
      <c r="MYI78" s="684"/>
      <c r="MYJ78" s="684"/>
      <c r="MYK78" s="684"/>
      <c r="MYL78" s="684"/>
      <c r="MYM78" s="684"/>
      <c r="MYN78" s="684"/>
      <c r="MYO78" s="684"/>
      <c r="MYP78" s="684"/>
      <c r="MYQ78" s="684"/>
      <c r="MYR78" s="684"/>
      <c r="MYS78" s="684"/>
      <c r="MYT78" s="684"/>
      <c r="MYU78" s="684"/>
      <c r="MYV78" s="684"/>
      <c r="MYW78" s="684"/>
      <c r="MYX78" s="684"/>
      <c r="MYY78" s="684"/>
      <c r="MYZ78" s="684"/>
      <c r="MZA78" s="684"/>
      <c r="MZB78" s="684"/>
      <c r="MZC78" s="684"/>
      <c r="MZD78" s="684"/>
      <c r="MZE78" s="684"/>
      <c r="MZF78" s="684"/>
      <c r="MZG78" s="684"/>
      <c r="MZH78" s="684"/>
      <c r="MZI78" s="684"/>
      <c r="MZJ78" s="684"/>
      <c r="MZK78" s="684"/>
      <c r="MZL78" s="684"/>
      <c r="MZM78" s="684"/>
      <c r="MZN78" s="684"/>
      <c r="MZO78" s="684"/>
      <c r="MZP78" s="684"/>
      <c r="MZQ78" s="684"/>
      <c r="MZR78" s="684"/>
      <c r="MZS78" s="684"/>
      <c r="MZT78" s="684"/>
      <c r="MZU78" s="684"/>
      <c r="MZV78" s="684"/>
      <c r="MZW78" s="684"/>
      <c r="MZX78" s="684"/>
      <c r="MZY78" s="684"/>
      <c r="MZZ78" s="684"/>
      <c r="NAA78" s="684"/>
      <c r="NAB78" s="684"/>
      <c r="NAC78" s="684"/>
      <c r="NAD78" s="684"/>
      <c r="NAE78" s="684"/>
      <c r="NAF78" s="684"/>
      <c r="NAG78" s="684"/>
      <c r="NAH78" s="684"/>
      <c r="NAI78" s="684"/>
      <c r="NAJ78" s="684"/>
      <c r="NAK78" s="684"/>
      <c r="NAL78" s="684"/>
      <c r="NAM78" s="684"/>
      <c r="NAN78" s="684"/>
      <c r="NAO78" s="684"/>
      <c r="NAP78" s="684"/>
      <c r="NAQ78" s="684"/>
      <c r="NAR78" s="684"/>
      <c r="NAS78" s="684"/>
      <c r="NAT78" s="684"/>
      <c r="NAU78" s="684"/>
      <c r="NAV78" s="684"/>
      <c r="NAW78" s="684"/>
      <c r="NAX78" s="684"/>
      <c r="NAY78" s="684"/>
      <c r="NAZ78" s="684"/>
      <c r="NBA78" s="684"/>
      <c r="NBB78" s="684"/>
      <c r="NBC78" s="684"/>
      <c r="NBD78" s="684"/>
      <c r="NBE78" s="684"/>
      <c r="NBF78" s="684"/>
      <c r="NBG78" s="684"/>
      <c r="NBH78" s="684"/>
      <c r="NBI78" s="684"/>
      <c r="NBJ78" s="684"/>
      <c r="NBK78" s="684"/>
      <c r="NBL78" s="684"/>
      <c r="NBM78" s="684"/>
      <c r="NBN78" s="684"/>
      <c r="NBO78" s="684"/>
      <c r="NBP78" s="684"/>
      <c r="NBQ78" s="684"/>
      <c r="NBR78" s="684"/>
      <c r="NBS78" s="684"/>
      <c r="NBT78" s="684"/>
      <c r="NBU78" s="684"/>
      <c r="NBV78" s="684"/>
      <c r="NBW78" s="684"/>
      <c r="NBX78" s="684"/>
      <c r="NBY78" s="684"/>
      <c r="NBZ78" s="684"/>
      <c r="NCA78" s="684"/>
      <c r="NCB78" s="684"/>
      <c r="NCC78" s="684"/>
      <c r="NCD78" s="684"/>
      <c r="NCE78" s="684"/>
      <c r="NCF78" s="684"/>
      <c r="NCG78" s="684"/>
      <c r="NCH78" s="684"/>
      <c r="NCI78" s="684"/>
      <c r="NCJ78" s="684"/>
      <c r="NCK78" s="684"/>
      <c r="NCL78" s="684"/>
      <c r="NCM78" s="684"/>
      <c r="NCN78" s="684"/>
      <c r="NCO78" s="684"/>
      <c r="NCP78" s="684"/>
      <c r="NCQ78" s="684"/>
      <c r="NCR78" s="684"/>
      <c r="NCS78" s="684"/>
      <c r="NCT78" s="684"/>
      <c r="NCU78" s="684"/>
      <c r="NCV78" s="684"/>
      <c r="NCW78" s="684"/>
      <c r="NCX78" s="684"/>
      <c r="NCY78" s="684"/>
      <c r="NCZ78" s="684"/>
      <c r="NDA78" s="684"/>
      <c r="NDB78" s="684"/>
      <c r="NDC78" s="684"/>
      <c r="NDD78" s="684"/>
      <c r="NDE78" s="684"/>
      <c r="NDF78" s="684"/>
      <c r="NDG78" s="684"/>
      <c r="NDH78" s="684"/>
      <c r="NDI78" s="684"/>
      <c r="NDJ78" s="684"/>
      <c r="NDK78" s="684"/>
      <c r="NDL78" s="684"/>
      <c r="NDM78" s="684"/>
      <c r="NDN78" s="684"/>
      <c r="NDO78" s="684"/>
      <c r="NDP78" s="684"/>
      <c r="NDQ78" s="684"/>
      <c r="NDR78" s="684"/>
      <c r="NDS78" s="684"/>
      <c r="NDT78" s="684"/>
      <c r="NDU78" s="684"/>
      <c r="NDV78" s="684"/>
      <c r="NDW78" s="684"/>
      <c r="NDX78" s="684"/>
      <c r="NDY78" s="684"/>
      <c r="NDZ78" s="684"/>
      <c r="NEA78" s="684"/>
      <c r="NEB78" s="684"/>
      <c r="NEC78" s="684"/>
      <c r="NED78" s="684"/>
      <c r="NEE78" s="684"/>
      <c r="NEF78" s="684"/>
      <c r="NEG78" s="684"/>
      <c r="NEH78" s="684"/>
      <c r="NEI78" s="684"/>
      <c r="NEJ78" s="684"/>
      <c r="NEK78" s="684"/>
      <c r="NEL78" s="684"/>
      <c r="NEM78" s="684"/>
      <c r="NEN78" s="684"/>
      <c r="NEO78" s="684"/>
      <c r="NEP78" s="684"/>
      <c r="NEQ78" s="684"/>
      <c r="NER78" s="684"/>
      <c r="NES78" s="684"/>
      <c r="NET78" s="684"/>
      <c r="NEU78" s="684"/>
      <c r="NEV78" s="684"/>
      <c r="NEW78" s="684"/>
      <c r="NEX78" s="684"/>
      <c r="NEY78" s="684"/>
      <c r="NEZ78" s="684"/>
      <c r="NFA78" s="684"/>
      <c r="NFB78" s="684"/>
      <c r="NFC78" s="684"/>
      <c r="NFD78" s="684"/>
      <c r="NFE78" s="684"/>
      <c r="NFF78" s="684"/>
      <c r="NFG78" s="684"/>
      <c r="NFH78" s="684"/>
      <c r="NFI78" s="684"/>
      <c r="NFJ78" s="684"/>
      <c r="NFK78" s="684"/>
      <c r="NFL78" s="684"/>
      <c r="NFM78" s="684"/>
      <c r="NFN78" s="684"/>
      <c r="NFO78" s="684"/>
      <c r="NFP78" s="684"/>
      <c r="NFQ78" s="684"/>
      <c r="NFR78" s="684"/>
      <c r="NFS78" s="684"/>
      <c r="NFT78" s="684"/>
      <c r="NFU78" s="684"/>
      <c r="NFV78" s="684"/>
      <c r="NFW78" s="684"/>
      <c r="NFX78" s="684"/>
      <c r="NFY78" s="684"/>
      <c r="NFZ78" s="684"/>
      <c r="NGA78" s="684"/>
      <c r="NGB78" s="684"/>
      <c r="NGC78" s="684"/>
      <c r="NGD78" s="684"/>
      <c r="NGE78" s="684"/>
      <c r="NGF78" s="684"/>
      <c r="NGG78" s="684"/>
      <c r="NGH78" s="684"/>
      <c r="NGI78" s="684"/>
      <c r="NGJ78" s="684"/>
      <c r="NGK78" s="684"/>
      <c r="NGL78" s="684"/>
      <c r="NGM78" s="684"/>
      <c r="NGN78" s="684"/>
      <c r="NGO78" s="684"/>
      <c r="NGP78" s="684"/>
      <c r="NGQ78" s="684"/>
      <c r="NGR78" s="684"/>
      <c r="NGS78" s="684"/>
      <c r="NGT78" s="684"/>
      <c r="NGU78" s="684"/>
      <c r="NGV78" s="684"/>
      <c r="NGW78" s="684"/>
      <c r="NGX78" s="684"/>
      <c r="NGY78" s="684"/>
      <c r="NGZ78" s="684"/>
      <c r="NHA78" s="684"/>
      <c r="NHB78" s="684"/>
      <c r="NHC78" s="684"/>
      <c r="NHD78" s="684"/>
      <c r="NHE78" s="684"/>
      <c r="NHF78" s="684"/>
      <c r="NHG78" s="684"/>
      <c r="NHH78" s="684"/>
      <c r="NHI78" s="684"/>
      <c r="NHJ78" s="684"/>
      <c r="NHK78" s="684"/>
      <c r="NHL78" s="684"/>
      <c r="NHM78" s="684"/>
      <c r="NHN78" s="684"/>
      <c r="NHO78" s="684"/>
      <c r="NHP78" s="684"/>
      <c r="NHQ78" s="684"/>
      <c r="NHR78" s="684"/>
      <c r="NHS78" s="684"/>
      <c r="NHT78" s="684"/>
      <c r="NHU78" s="684"/>
      <c r="NHV78" s="684"/>
      <c r="NHW78" s="684"/>
      <c r="NHX78" s="684"/>
      <c r="NHY78" s="684"/>
      <c r="NHZ78" s="684"/>
      <c r="NIA78" s="684"/>
      <c r="NIB78" s="684"/>
      <c r="NIC78" s="684"/>
      <c r="NID78" s="684"/>
      <c r="NIE78" s="684"/>
      <c r="NIF78" s="684"/>
      <c r="NIG78" s="684"/>
      <c r="NIH78" s="684"/>
      <c r="NII78" s="684"/>
      <c r="NIJ78" s="684"/>
      <c r="NIK78" s="684"/>
      <c r="NIL78" s="684"/>
      <c r="NIM78" s="684"/>
      <c r="NIN78" s="684"/>
      <c r="NIO78" s="684"/>
      <c r="NIP78" s="684"/>
      <c r="NIQ78" s="684"/>
      <c r="NIR78" s="684"/>
      <c r="NIS78" s="684"/>
      <c r="NIT78" s="684"/>
      <c r="NIU78" s="684"/>
      <c r="NIV78" s="684"/>
      <c r="NIW78" s="684"/>
      <c r="NIX78" s="684"/>
      <c r="NIY78" s="684"/>
      <c r="NIZ78" s="684"/>
      <c r="NJA78" s="684"/>
      <c r="NJB78" s="684"/>
      <c r="NJC78" s="684"/>
      <c r="NJD78" s="684"/>
      <c r="NJE78" s="684"/>
      <c r="NJF78" s="684"/>
      <c r="NJG78" s="684"/>
      <c r="NJH78" s="684"/>
      <c r="NJI78" s="684"/>
      <c r="NJJ78" s="684"/>
      <c r="NJK78" s="684"/>
      <c r="NJL78" s="684"/>
      <c r="NJM78" s="684"/>
      <c r="NJN78" s="684"/>
      <c r="NJO78" s="684"/>
      <c r="NJP78" s="684"/>
      <c r="NJQ78" s="684"/>
      <c r="NJR78" s="684"/>
      <c r="NJS78" s="684"/>
      <c r="NJT78" s="684"/>
      <c r="NJU78" s="684"/>
      <c r="NJV78" s="684"/>
      <c r="NJW78" s="684"/>
      <c r="NJX78" s="684"/>
      <c r="NJY78" s="684"/>
      <c r="NJZ78" s="684"/>
      <c r="NKA78" s="684"/>
      <c r="NKB78" s="684"/>
      <c r="NKC78" s="684"/>
      <c r="NKD78" s="684"/>
      <c r="NKE78" s="684"/>
      <c r="NKF78" s="684"/>
      <c r="NKG78" s="684"/>
      <c r="NKH78" s="684"/>
      <c r="NKI78" s="684"/>
      <c r="NKJ78" s="684"/>
      <c r="NKK78" s="684"/>
      <c r="NKL78" s="684"/>
      <c r="NKM78" s="684"/>
      <c r="NKN78" s="684"/>
      <c r="NKO78" s="684"/>
      <c r="NKP78" s="684"/>
      <c r="NKQ78" s="684"/>
      <c r="NKR78" s="684"/>
      <c r="NKS78" s="684"/>
      <c r="NKT78" s="684"/>
      <c r="NKU78" s="684"/>
      <c r="NKV78" s="684"/>
      <c r="NKW78" s="684"/>
      <c r="NKX78" s="684"/>
      <c r="NKY78" s="684"/>
      <c r="NKZ78" s="684"/>
      <c r="NLA78" s="684"/>
      <c r="NLB78" s="684"/>
      <c r="NLC78" s="684"/>
      <c r="NLD78" s="684"/>
      <c r="NLE78" s="684"/>
      <c r="NLF78" s="684"/>
      <c r="NLG78" s="684"/>
      <c r="NLH78" s="684"/>
      <c r="NLI78" s="684"/>
      <c r="NLJ78" s="684"/>
      <c r="NLK78" s="684"/>
      <c r="NLL78" s="684"/>
      <c r="NLM78" s="684"/>
      <c r="NLN78" s="684"/>
      <c r="NLO78" s="684"/>
      <c r="NLP78" s="684"/>
      <c r="NLQ78" s="684"/>
      <c r="NLR78" s="684"/>
      <c r="NLS78" s="684"/>
      <c r="NLT78" s="684"/>
      <c r="NLU78" s="684"/>
      <c r="NLV78" s="684"/>
      <c r="NLW78" s="684"/>
      <c r="NLX78" s="684"/>
      <c r="NLY78" s="684"/>
      <c r="NLZ78" s="684"/>
      <c r="NMA78" s="684"/>
      <c r="NMB78" s="684"/>
      <c r="NMC78" s="684"/>
      <c r="NMD78" s="684"/>
      <c r="NME78" s="684"/>
      <c r="NMF78" s="684"/>
      <c r="NMG78" s="684"/>
      <c r="NMH78" s="684"/>
      <c r="NMI78" s="684"/>
      <c r="NMJ78" s="684"/>
      <c r="NMK78" s="684"/>
      <c r="NML78" s="684"/>
      <c r="NMM78" s="684"/>
      <c r="NMN78" s="684"/>
      <c r="NMO78" s="684"/>
      <c r="NMP78" s="684"/>
      <c r="NMQ78" s="684"/>
      <c r="NMR78" s="684"/>
      <c r="NMS78" s="684"/>
      <c r="NMT78" s="684"/>
      <c r="NMU78" s="684"/>
      <c r="NMV78" s="684"/>
      <c r="NMW78" s="684"/>
      <c r="NMX78" s="684"/>
      <c r="NMY78" s="684"/>
      <c r="NMZ78" s="684"/>
      <c r="NNA78" s="684"/>
      <c r="NNB78" s="684"/>
      <c r="NNC78" s="684"/>
      <c r="NND78" s="684"/>
      <c r="NNE78" s="684"/>
      <c r="NNF78" s="684"/>
      <c r="NNG78" s="684"/>
      <c r="NNH78" s="684"/>
      <c r="NNI78" s="684"/>
      <c r="NNJ78" s="684"/>
      <c r="NNK78" s="684"/>
      <c r="NNL78" s="684"/>
      <c r="NNM78" s="684"/>
      <c r="NNN78" s="684"/>
      <c r="NNO78" s="684"/>
      <c r="NNP78" s="684"/>
      <c r="NNQ78" s="684"/>
      <c r="NNR78" s="684"/>
      <c r="NNS78" s="684"/>
      <c r="NNT78" s="684"/>
      <c r="NNU78" s="684"/>
      <c r="NNV78" s="684"/>
      <c r="NNW78" s="684"/>
      <c r="NNX78" s="684"/>
      <c r="NNY78" s="684"/>
      <c r="NNZ78" s="684"/>
      <c r="NOA78" s="684"/>
      <c r="NOB78" s="684"/>
      <c r="NOC78" s="684"/>
      <c r="NOD78" s="684"/>
      <c r="NOE78" s="684"/>
      <c r="NOF78" s="684"/>
      <c r="NOG78" s="684"/>
      <c r="NOH78" s="684"/>
      <c r="NOI78" s="684"/>
      <c r="NOJ78" s="684"/>
      <c r="NOK78" s="684"/>
      <c r="NOL78" s="684"/>
      <c r="NOM78" s="684"/>
      <c r="NON78" s="684"/>
      <c r="NOO78" s="684"/>
      <c r="NOP78" s="684"/>
      <c r="NOQ78" s="684"/>
      <c r="NOR78" s="684"/>
      <c r="NOS78" s="684"/>
      <c r="NOT78" s="684"/>
      <c r="NOU78" s="684"/>
      <c r="NOV78" s="684"/>
      <c r="NOW78" s="684"/>
      <c r="NOX78" s="684"/>
      <c r="NOY78" s="684"/>
      <c r="NOZ78" s="684"/>
      <c r="NPA78" s="684"/>
      <c r="NPB78" s="684"/>
      <c r="NPC78" s="684"/>
      <c r="NPD78" s="684"/>
      <c r="NPE78" s="684"/>
      <c r="NPF78" s="684"/>
      <c r="NPG78" s="684"/>
      <c r="NPH78" s="684"/>
      <c r="NPI78" s="684"/>
      <c r="NPJ78" s="684"/>
      <c r="NPK78" s="684"/>
      <c r="NPL78" s="684"/>
      <c r="NPM78" s="684"/>
      <c r="NPN78" s="684"/>
      <c r="NPO78" s="684"/>
      <c r="NPP78" s="684"/>
      <c r="NPQ78" s="684"/>
      <c r="NPR78" s="684"/>
      <c r="NPS78" s="684"/>
      <c r="NPT78" s="684"/>
      <c r="NPU78" s="684"/>
      <c r="NPV78" s="684"/>
      <c r="NPW78" s="684"/>
      <c r="NPX78" s="684"/>
      <c r="NPY78" s="684"/>
      <c r="NPZ78" s="684"/>
      <c r="NQA78" s="684"/>
      <c r="NQB78" s="684"/>
      <c r="NQC78" s="684"/>
      <c r="NQD78" s="684"/>
      <c r="NQE78" s="684"/>
      <c r="NQF78" s="684"/>
      <c r="NQG78" s="684"/>
      <c r="NQH78" s="684"/>
      <c r="NQI78" s="684"/>
      <c r="NQJ78" s="684"/>
      <c r="NQK78" s="684"/>
      <c r="NQL78" s="684"/>
      <c r="NQM78" s="684"/>
      <c r="NQN78" s="684"/>
      <c r="NQO78" s="684"/>
      <c r="NQP78" s="684"/>
      <c r="NQQ78" s="684"/>
      <c r="NQR78" s="684"/>
      <c r="NQS78" s="684"/>
      <c r="NQT78" s="684"/>
      <c r="NQU78" s="684"/>
      <c r="NQV78" s="684"/>
      <c r="NQW78" s="684"/>
      <c r="NQX78" s="684"/>
      <c r="NQY78" s="684"/>
      <c r="NQZ78" s="684"/>
      <c r="NRA78" s="684"/>
      <c r="NRB78" s="684"/>
      <c r="NRC78" s="684"/>
      <c r="NRD78" s="684"/>
      <c r="NRE78" s="684"/>
      <c r="NRF78" s="684"/>
      <c r="NRG78" s="684"/>
      <c r="NRH78" s="684"/>
      <c r="NRI78" s="684"/>
      <c r="NRJ78" s="684"/>
      <c r="NRK78" s="684"/>
      <c r="NRL78" s="684"/>
      <c r="NRM78" s="684"/>
      <c r="NRN78" s="684"/>
      <c r="NRO78" s="684"/>
      <c r="NRP78" s="684"/>
      <c r="NRQ78" s="684"/>
      <c r="NRR78" s="684"/>
      <c r="NRS78" s="684"/>
      <c r="NRT78" s="684"/>
      <c r="NRU78" s="684"/>
      <c r="NRV78" s="684"/>
      <c r="NRW78" s="684"/>
      <c r="NRX78" s="684"/>
      <c r="NRY78" s="684"/>
      <c r="NRZ78" s="684"/>
      <c r="NSA78" s="684"/>
      <c r="NSB78" s="684"/>
      <c r="NSC78" s="684"/>
      <c r="NSD78" s="684"/>
      <c r="NSE78" s="684"/>
      <c r="NSF78" s="684"/>
      <c r="NSG78" s="684"/>
      <c r="NSH78" s="684"/>
      <c r="NSI78" s="684"/>
      <c r="NSJ78" s="684"/>
      <c r="NSK78" s="684"/>
      <c r="NSL78" s="684"/>
      <c r="NSM78" s="684"/>
      <c r="NSN78" s="684"/>
      <c r="NSO78" s="684"/>
      <c r="NSP78" s="684"/>
      <c r="NSQ78" s="684"/>
      <c r="NSR78" s="684"/>
      <c r="NSS78" s="684"/>
      <c r="NST78" s="684"/>
      <c r="NSU78" s="684"/>
      <c r="NSV78" s="684"/>
      <c r="NSW78" s="684"/>
      <c r="NSX78" s="684"/>
      <c r="NSY78" s="684"/>
      <c r="NSZ78" s="684"/>
      <c r="NTA78" s="684"/>
      <c r="NTB78" s="684"/>
      <c r="NTC78" s="684"/>
      <c r="NTD78" s="684"/>
      <c r="NTE78" s="684"/>
      <c r="NTF78" s="684"/>
      <c r="NTG78" s="684"/>
      <c r="NTH78" s="684"/>
      <c r="NTI78" s="684"/>
      <c r="NTJ78" s="684"/>
      <c r="NTK78" s="684"/>
      <c r="NTL78" s="684"/>
      <c r="NTM78" s="684"/>
      <c r="NTN78" s="684"/>
      <c r="NTO78" s="684"/>
      <c r="NTP78" s="684"/>
      <c r="NTQ78" s="684"/>
      <c r="NTR78" s="684"/>
      <c r="NTS78" s="684"/>
      <c r="NTT78" s="684"/>
      <c r="NTU78" s="684"/>
      <c r="NTV78" s="684"/>
      <c r="NTW78" s="684"/>
      <c r="NTX78" s="684"/>
      <c r="NTY78" s="684"/>
      <c r="NTZ78" s="684"/>
      <c r="NUA78" s="684"/>
      <c r="NUB78" s="684"/>
      <c r="NUC78" s="684"/>
      <c r="NUD78" s="684"/>
      <c r="NUE78" s="684"/>
      <c r="NUF78" s="684"/>
      <c r="NUG78" s="684"/>
      <c r="NUH78" s="684"/>
      <c r="NUI78" s="684"/>
      <c r="NUJ78" s="684"/>
      <c r="NUK78" s="684"/>
      <c r="NUL78" s="684"/>
      <c r="NUM78" s="684"/>
      <c r="NUN78" s="684"/>
      <c r="NUO78" s="684"/>
      <c r="NUP78" s="684"/>
      <c r="NUQ78" s="684"/>
      <c r="NUR78" s="684"/>
      <c r="NUS78" s="684"/>
      <c r="NUT78" s="684"/>
      <c r="NUU78" s="684"/>
      <c r="NUV78" s="684"/>
      <c r="NUW78" s="684"/>
      <c r="NUX78" s="684"/>
      <c r="NUY78" s="684"/>
      <c r="NUZ78" s="684"/>
      <c r="NVA78" s="684"/>
      <c r="NVB78" s="684"/>
      <c r="NVC78" s="684"/>
      <c r="NVD78" s="684"/>
      <c r="NVE78" s="684"/>
      <c r="NVF78" s="684"/>
      <c r="NVG78" s="684"/>
      <c r="NVH78" s="684"/>
      <c r="NVI78" s="684"/>
      <c r="NVJ78" s="684"/>
      <c r="NVK78" s="684"/>
      <c r="NVL78" s="684"/>
      <c r="NVM78" s="684"/>
      <c r="NVN78" s="684"/>
      <c r="NVO78" s="684"/>
      <c r="NVP78" s="684"/>
      <c r="NVQ78" s="684"/>
      <c r="NVR78" s="684"/>
      <c r="NVS78" s="684"/>
      <c r="NVT78" s="684"/>
      <c r="NVU78" s="684"/>
      <c r="NVV78" s="684"/>
      <c r="NVW78" s="684"/>
      <c r="NVX78" s="684"/>
      <c r="NVY78" s="684"/>
      <c r="NVZ78" s="684"/>
      <c r="NWA78" s="684"/>
      <c r="NWB78" s="684"/>
      <c r="NWC78" s="684"/>
      <c r="NWD78" s="684"/>
      <c r="NWE78" s="684"/>
      <c r="NWF78" s="684"/>
      <c r="NWG78" s="684"/>
      <c r="NWH78" s="684"/>
      <c r="NWI78" s="684"/>
      <c r="NWJ78" s="684"/>
      <c r="NWK78" s="684"/>
      <c r="NWL78" s="684"/>
      <c r="NWM78" s="684"/>
      <c r="NWN78" s="684"/>
      <c r="NWO78" s="684"/>
      <c r="NWP78" s="684"/>
      <c r="NWQ78" s="684"/>
      <c r="NWR78" s="684"/>
      <c r="NWS78" s="684"/>
      <c r="NWT78" s="684"/>
      <c r="NWU78" s="684"/>
      <c r="NWV78" s="684"/>
      <c r="NWW78" s="684"/>
      <c r="NWX78" s="684"/>
      <c r="NWY78" s="684"/>
      <c r="NWZ78" s="684"/>
      <c r="NXA78" s="684"/>
      <c r="NXB78" s="684"/>
      <c r="NXC78" s="684"/>
      <c r="NXD78" s="684"/>
      <c r="NXE78" s="684"/>
      <c r="NXF78" s="684"/>
      <c r="NXG78" s="684"/>
      <c r="NXH78" s="684"/>
      <c r="NXI78" s="684"/>
      <c r="NXJ78" s="684"/>
      <c r="NXK78" s="684"/>
      <c r="NXL78" s="684"/>
      <c r="NXM78" s="684"/>
      <c r="NXN78" s="684"/>
      <c r="NXO78" s="684"/>
      <c r="NXP78" s="684"/>
      <c r="NXQ78" s="684"/>
      <c r="NXR78" s="684"/>
      <c r="NXS78" s="684"/>
      <c r="NXT78" s="684"/>
      <c r="NXU78" s="684"/>
      <c r="NXV78" s="684"/>
      <c r="NXW78" s="684"/>
      <c r="NXX78" s="684"/>
      <c r="NXY78" s="684"/>
      <c r="NXZ78" s="684"/>
      <c r="NYA78" s="684"/>
      <c r="NYB78" s="684"/>
      <c r="NYC78" s="684"/>
      <c r="NYD78" s="684"/>
      <c r="NYE78" s="684"/>
      <c r="NYF78" s="684"/>
      <c r="NYG78" s="684"/>
      <c r="NYH78" s="684"/>
      <c r="NYI78" s="684"/>
      <c r="NYJ78" s="684"/>
      <c r="NYK78" s="684"/>
      <c r="NYL78" s="684"/>
      <c r="NYM78" s="684"/>
      <c r="NYN78" s="684"/>
      <c r="NYO78" s="684"/>
      <c r="NYP78" s="684"/>
      <c r="NYQ78" s="684"/>
      <c r="NYR78" s="684"/>
      <c r="NYS78" s="684"/>
      <c r="NYT78" s="684"/>
      <c r="NYU78" s="684"/>
      <c r="NYV78" s="684"/>
      <c r="NYW78" s="684"/>
      <c r="NYX78" s="684"/>
      <c r="NYY78" s="684"/>
      <c r="NYZ78" s="684"/>
      <c r="NZA78" s="684"/>
      <c r="NZB78" s="684"/>
      <c r="NZC78" s="684"/>
      <c r="NZD78" s="684"/>
      <c r="NZE78" s="684"/>
      <c r="NZF78" s="684"/>
      <c r="NZG78" s="684"/>
      <c r="NZH78" s="684"/>
      <c r="NZI78" s="684"/>
      <c r="NZJ78" s="684"/>
      <c r="NZK78" s="684"/>
      <c r="NZL78" s="684"/>
      <c r="NZM78" s="684"/>
      <c r="NZN78" s="684"/>
      <c r="NZO78" s="684"/>
      <c r="NZP78" s="684"/>
      <c r="NZQ78" s="684"/>
      <c r="NZR78" s="684"/>
      <c r="NZS78" s="684"/>
      <c r="NZT78" s="684"/>
      <c r="NZU78" s="684"/>
      <c r="NZV78" s="684"/>
      <c r="NZW78" s="684"/>
      <c r="NZX78" s="684"/>
      <c r="NZY78" s="684"/>
      <c r="NZZ78" s="684"/>
      <c r="OAA78" s="684"/>
      <c r="OAB78" s="684"/>
      <c r="OAC78" s="684"/>
      <c r="OAD78" s="684"/>
      <c r="OAE78" s="684"/>
      <c r="OAF78" s="684"/>
      <c r="OAG78" s="684"/>
      <c r="OAH78" s="684"/>
      <c r="OAI78" s="684"/>
      <c r="OAJ78" s="684"/>
      <c r="OAK78" s="684"/>
      <c r="OAL78" s="684"/>
      <c r="OAM78" s="684"/>
      <c r="OAN78" s="684"/>
      <c r="OAO78" s="684"/>
      <c r="OAP78" s="684"/>
      <c r="OAQ78" s="684"/>
      <c r="OAR78" s="684"/>
      <c r="OAS78" s="684"/>
      <c r="OAT78" s="684"/>
      <c r="OAU78" s="684"/>
      <c r="OAV78" s="684"/>
      <c r="OAW78" s="684"/>
      <c r="OAX78" s="684"/>
      <c r="OAY78" s="684"/>
      <c r="OAZ78" s="684"/>
      <c r="OBA78" s="684"/>
      <c r="OBB78" s="684"/>
      <c r="OBC78" s="684"/>
      <c r="OBD78" s="684"/>
      <c r="OBE78" s="684"/>
      <c r="OBF78" s="684"/>
      <c r="OBG78" s="684"/>
      <c r="OBH78" s="684"/>
      <c r="OBI78" s="684"/>
      <c r="OBJ78" s="684"/>
      <c r="OBK78" s="684"/>
      <c r="OBL78" s="684"/>
      <c r="OBM78" s="684"/>
      <c r="OBN78" s="684"/>
      <c r="OBO78" s="684"/>
      <c r="OBP78" s="684"/>
      <c r="OBQ78" s="684"/>
      <c r="OBR78" s="684"/>
      <c r="OBS78" s="684"/>
      <c r="OBT78" s="684"/>
      <c r="OBU78" s="684"/>
      <c r="OBV78" s="684"/>
      <c r="OBW78" s="684"/>
      <c r="OBX78" s="684"/>
      <c r="OBY78" s="684"/>
      <c r="OBZ78" s="684"/>
      <c r="OCA78" s="684"/>
      <c r="OCB78" s="684"/>
      <c r="OCC78" s="684"/>
      <c r="OCD78" s="684"/>
      <c r="OCE78" s="684"/>
      <c r="OCF78" s="684"/>
      <c r="OCG78" s="684"/>
      <c r="OCH78" s="684"/>
      <c r="OCI78" s="684"/>
      <c r="OCJ78" s="684"/>
      <c r="OCK78" s="684"/>
      <c r="OCL78" s="684"/>
      <c r="OCM78" s="684"/>
      <c r="OCN78" s="684"/>
      <c r="OCO78" s="684"/>
      <c r="OCP78" s="684"/>
      <c r="OCQ78" s="684"/>
      <c r="OCR78" s="684"/>
      <c r="OCS78" s="684"/>
      <c r="OCT78" s="684"/>
      <c r="OCU78" s="684"/>
      <c r="OCV78" s="684"/>
      <c r="OCW78" s="684"/>
      <c r="OCX78" s="684"/>
      <c r="OCY78" s="684"/>
      <c r="OCZ78" s="684"/>
      <c r="ODA78" s="684"/>
      <c r="ODB78" s="684"/>
      <c r="ODC78" s="684"/>
      <c r="ODD78" s="684"/>
      <c r="ODE78" s="684"/>
      <c r="ODF78" s="684"/>
      <c r="ODG78" s="684"/>
      <c r="ODH78" s="684"/>
      <c r="ODI78" s="684"/>
      <c r="ODJ78" s="684"/>
      <c r="ODK78" s="684"/>
      <c r="ODL78" s="684"/>
      <c r="ODM78" s="684"/>
      <c r="ODN78" s="684"/>
      <c r="ODO78" s="684"/>
      <c r="ODP78" s="684"/>
      <c r="ODQ78" s="684"/>
      <c r="ODR78" s="684"/>
      <c r="ODS78" s="684"/>
      <c r="ODT78" s="684"/>
      <c r="ODU78" s="684"/>
      <c r="ODV78" s="684"/>
      <c r="ODW78" s="684"/>
      <c r="ODX78" s="684"/>
      <c r="ODY78" s="684"/>
      <c r="ODZ78" s="684"/>
      <c r="OEA78" s="684"/>
      <c r="OEB78" s="684"/>
      <c r="OEC78" s="684"/>
      <c r="OED78" s="684"/>
      <c r="OEE78" s="684"/>
      <c r="OEF78" s="684"/>
      <c r="OEG78" s="684"/>
      <c r="OEH78" s="684"/>
      <c r="OEI78" s="684"/>
      <c r="OEJ78" s="684"/>
      <c r="OEK78" s="684"/>
      <c r="OEL78" s="684"/>
      <c r="OEM78" s="684"/>
      <c r="OEN78" s="684"/>
      <c r="OEO78" s="684"/>
      <c r="OEP78" s="684"/>
      <c r="OEQ78" s="684"/>
      <c r="OER78" s="684"/>
      <c r="OES78" s="684"/>
      <c r="OET78" s="684"/>
      <c r="OEU78" s="684"/>
      <c r="OEV78" s="684"/>
      <c r="OEW78" s="684"/>
      <c r="OEX78" s="684"/>
      <c r="OEY78" s="684"/>
      <c r="OEZ78" s="684"/>
      <c r="OFA78" s="684"/>
      <c r="OFB78" s="684"/>
      <c r="OFC78" s="684"/>
      <c r="OFD78" s="684"/>
      <c r="OFE78" s="684"/>
      <c r="OFF78" s="684"/>
      <c r="OFG78" s="684"/>
      <c r="OFH78" s="684"/>
      <c r="OFI78" s="684"/>
      <c r="OFJ78" s="684"/>
      <c r="OFK78" s="684"/>
      <c r="OFL78" s="684"/>
      <c r="OFM78" s="684"/>
      <c r="OFN78" s="684"/>
      <c r="OFO78" s="684"/>
      <c r="OFP78" s="684"/>
      <c r="OFQ78" s="684"/>
      <c r="OFR78" s="684"/>
      <c r="OFS78" s="684"/>
      <c r="OFT78" s="684"/>
      <c r="OFU78" s="684"/>
      <c r="OFV78" s="684"/>
      <c r="OFW78" s="684"/>
      <c r="OFX78" s="684"/>
      <c r="OFY78" s="684"/>
      <c r="OFZ78" s="684"/>
      <c r="OGA78" s="684"/>
      <c r="OGB78" s="684"/>
      <c r="OGC78" s="684"/>
      <c r="OGD78" s="684"/>
      <c r="OGE78" s="684"/>
      <c r="OGF78" s="684"/>
      <c r="OGG78" s="684"/>
      <c r="OGH78" s="684"/>
      <c r="OGI78" s="684"/>
      <c r="OGJ78" s="684"/>
      <c r="OGK78" s="684"/>
      <c r="OGL78" s="684"/>
      <c r="OGM78" s="684"/>
      <c r="OGN78" s="684"/>
      <c r="OGO78" s="684"/>
      <c r="OGP78" s="684"/>
      <c r="OGQ78" s="684"/>
      <c r="OGR78" s="684"/>
      <c r="OGS78" s="684"/>
      <c r="OGT78" s="684"/>
      <c r="OGU78" s="684"/>
      <c r="OGV78" s="684"/>
      <c r="OGW78" s="684"/>
      <c r="OGX78" s="684"/>
      <c r="OGY78" s="684"/>
      <c r="OGZ78" s="684"/>
      <c r="OHA78" s="684"/>
      <c r="OHB78" s="684"/>
      <c r="OHC78" s="684"/>
      <c r="OHD78" s="684"/>
      <c r="OHE78" s="684"/>
      <c r="OHF78" s="684"/>
      <c r="OHG78" s="684"/>
      <c r="OHH78" s="684"/>
      <c r="OHI78" s="684"/>
      <c r="OHJ78" s="684"/>
      <c r="OHK78" s="684"/>
      <c r="OHL78" s="684"/>
      <c r="OHM78" s="684"/>
      <c r="OHN78" s="684"/>
      <c r="OHO78" s="684"/>
      <c r="OHP78" s="684"/>
      <c r="OHQ78" s="684"/>
      <c r="OHR78" s="684"/>
      <c r="OHS78" s="684"/>
      <c r="OHT78" s="684"/>
      <c r="OHU78" s="684"/>
      <c r="OHV78" s="684"/>
      <c r="OHW78" s="684"/>
      <c r="OHX78" s="684"/>
      <c r="OHY78" s="684"/>
      <c r="OHZ78" s="684"/>
      <c r="OIA78" s="684"/>
      <c r="OIB78" s="684"/>
      <c r="OIC78" s="684"/>
      <c r="OID78" s="684"/>
      <c r="OIE78" s="684"/>
      <c r="OIF78" s="684"/>
      <c r="OIG78" s="684"/>
      <c r="OIH78" s="684"/>
      <c r="OII78" s="684"/>
      <c r="OIJ78" s="684"/>
      <c r="OIK78" s="684"/>
      <c r="OIL78" s="684"/>
      <c r="OIM78" s="684"/>
      <c r="OIN78" s="684"/>
      <c r="OIO78" s="684"/>
      <c r="OIP78" s="684"/>
      <c r="OIQ78" s="684"/>
      <c r="OIR78" s="684"/>
      <c r="OIS78" s="684"/>
      <c r="OIT78" s="684"/>
      <c r="OIU78" s="684"/>
      <c r="OIV78" s="684"/>
      <c r="OIW78" s="684"/>
      <c r="OIX78" s="684"/>
      <c r="OIY78" s="684"/>
      <c r="OIZ78" s="684"/>
      <c r="OJA78" s="684"/>
      <c r="OJB78" s="684"/>
      <c r="OJC78" s="684"/>
      <c r="OJD78" s="684"/>
      <c r="OJE78" s="684"/>
      <c r="OJF78" s="684"/>
      <c r="OJG78" s="684"/>
      <c r="OJH78" s="684"/>
      <c r="OJI78" s="684"/>
      <c r="OJJ78" s="684"/>
      <c r="OJK78" s="684"/>
      <c r="OJL78" s="684"/>
      <c r="OJM78" s="684"/>
      <c r="OJN78" s="684"/>
      <c r="OJO78" s="684"/>
      <c r="OJP78" s="684"/>
      <c r="OJQ78" s="684"/>
      <c r="OJR78" s="684"/>
      <c r="OJS78" s="684"/>
      <c r="OJT78" s="684"/>
      <c r="OJU78" s="684"/>
      <c r="OJV78" s="684"/>
      <c r="OJW78" s="684"/>
      <c r="OJX78" s="684"/>
      <c r="OJY78" s="684"/>
      <c r="OJZ78" s="684"/>
      <c r="OKA78" s="684"/>
      <c r="OKB78" s="684"/>
      <c r="OKC78" s="684"/>
      <c r="OKD78" s="684"/>
      <c r="OKE78" s="684"/>
      <c r="OKF78" s="684"/>
      <c r="OKG78" s="684"/>
      <c r="OKH78" s="684"/>
      <c r="OKI78" s="684"/>
      <c r="OKJ78" s="684"/>
      <c r="OKK78" s="684"/>
      <c r="OKL78" s="684"/>
      <c r="OKM78" s="684"/>
      <c r="OKN78" s="684"/>
      <c r="OKO78" s="684"/>
      <c r="OKP78" s="684"/>
      <c r="OKQ78" s="684"/>
      <c r="OKR78" s="684"/>
      <c r="OKS78" s="684"/>
      <c r="OKT78" s="684"/>
      <c r="OKU78" s="684"/>
      <c r="OKV78" s="684"/>
      <c r="OKW78" s="684"/>
      <c r="OKX78" s="684"/>
      <c r="OKY78" s="684"/>
      <c r="OKZ78" s="684"/>
      <c r="OLA78" s="684"/>
      <c r="OLB78" s="684"/>
      <c r="OLC78" s="684"/>
      <c r="OLD78" s="684"/>
      <c r="OLE78" s="684"/>
      <c r="OLF78" s="684"/>
      <c r="OLG78" s="684"/>
      <c r="OLH78" s="684"/>
      <c r="OLI78" s="684"/>
      <c r="OLJ78" s="684"/>
      <c r="OLK78" s="684"/>
      <c r="OLL78" s="684"/>
      <c r="OLM78" s="684"/>
      <c r="OLN78" s="684"/>
      <c r="OLO78" s="684"/>
      <c r="OLP78" s="684"/>
      <c r="OLQ78" s="684"/>
      <c r="OLR78" s="684"/>
      <c r="OLS78" s="684"/>
      <c r="OLT78" s="684"/>
      <c r="OLU78" s="684"/>
      <c r="OLV78" s="684"/>
      <c r="OLW78" s="684"/>
      <c r="OLX78" s="684"/>
      <c r="OLY78" s="684"/>
      <c r="OLZ78" s="684"/>
      <c r="OMA78" s="684"/>
      <c r="OMB78" s="684"/>
      <c r="OMC78" s="684"/>
      <c r="OMD78" s="684"/>
      <c r="OME78" s="684"/>
      <c r="OMF78" s="684"/>
      <c r="OMG78" s="684"/>
      <c r="OMH78" s="684"/>
      <c r="OMI78" s="684"/>
      <c r="OMJ78" s="684"/>
      <c r="OMK78" s="684"/>
      <c r="OML78" s="684"/>
      <c r="OMM78" s="684"/>
      <c r="OMN78" s="684"/>
      <c r="OMO78" s="684"/>
      <c r="OMP78" s="684"/>
      <c r="OMQ78" s="684"/>
      <c r="OMR78" s="684"/>
      <c r="OMS78" s="684"/>
      <c r="OMT78" s="684"/>
      <c r="OMU78" s="684"/>
      <c r="OMV78" s="684"/>
      <c r="OMW78" s="684"/>
      <c r="OMX78" s="684"/>
      <c r="OMY78" s="684"/>
      <c r="OMZ78" s="684"/>
      <c r="ONA78" s="684"/>
      <c r="ONB78" s="684"/>
      <c r="ONC78" s="684"/>
      <c r="OND78" s="684"/>
      <c r="ONE78" s="684"/>
      <c r="ONF78" s="684"/>
      <c r="ONG78" s="684"/>
      <c r="ONH78" s="684"/>
      <c r="ONI78" s="684"/>
      <c r="ONJ78" s="684"/>
      <c r="ONK78" s="684"/>
      <c r="ONL78" s="684"/>
      <c r="ONM78" s="684"/>
      <c r="ONN78" s="684"/>
      <c r="ONO78" s="684"/>
      <c r="ONP78" s="684"/>
      <c r="ONQ78" s="684"/>
      <c r="ONR78" s="684"/>
      <c r="ONS78" s="684"/>
      <c r="ONT78" s="684"/>
      <c r="ONU78" s="684"/>
      <c r="ONV78" s="684"/>
      <c r="ONW78" s="684"/>
      <c r="ONX78" s="684"/>
      <c r="ONY78" s="684"/>
      <c r="ONZ78" s="684"/>
      <c r="OOA78" s="684"/>
      <c r="OOB78" s="684"/>
      <c r="OOC78" s="684"/>
      <c r="OOD78" s="684"/>
      <c r="OOE78" s="684"/>
      <c r="OOF78" s="684"/>
      <c r="OOG78" s="684"/>
      <c r="OOH78" s="684"/>
      <c r="OOI78" s="684"/>
      <c r="OOJ78" s="684"/>
      <c r="OOK78" s="684"/>
      <c r="OOL78" s="684"/>
      <c r="OOM78" s="684"/>
      <c r="OON78" s="684"/>
      <c r="OOO78" s="684"/>
      <c r="OOP78" s="684"/>
      <c r="OOQ78" s="684"/>
      <c r="OOR78" s="684"/>
      <c r="OOS78" s="684"/>
      <c r="OOT78" s="684"/>
      <c r="OOU78" s="684"/>
      <c r="OOV78" s="684"/>
      <c r="OOW78" s="684"/>
      <c r="OOX78" s="684"/>
      <c r="OOY78" s="684"/>
      <c r="OOZ78" s="684"/>
      <c r="OPA78" s="684"/>
      <c r="OPB78" s="684"/>
      <c r="OPC78" s="684"/>
      <c r="OPD78" s="684"/>
      <c r="OPE78" s="684"/>
      <c r="OPF78" s="684"/>
      <c r="OPG78" s="684"/>
      <c r="OPH78" s="684"/>
      <c r="OPI78" s="684"/>
      <c r="OPJ78" s="684"/>
      <c r="OPK78" s="684"/>
      <c r="OPL78" s="684"/>
      <c r="OPM78" s="684"/>
      <c r="OPN78" s="684"/>
      <c r="OPO78" s="684"/>
      <c r="OPP78" s="684"/>
      <c r="OPQ78" s="684"/>
      <c r="OPR78" s="684"/>
      <c r="OPS78" s="684"/>
      <c r="OPT78" s="684"/>
      <c r="OPU78" s="684"/>
      <c r="OPV78" s="684"/>
      <c r="OPW78" s="684"/>
      <c r="OPX78" s="684"/>
      <c r="OPY78" s="684"/>
      <c r="OPZ78" s="684"/>
      <c r="OQA78" s="684"/>
      <c r="OQB78" s="684"/>
      <c r="OQC78" s="684"/>
      <c r="OQD78" s="684"/>
      <c r="OQE78" s="684"/>
      <c r="OQF78" s="684"/>
      <c r="OQG78" s="684"/>
      <c r="OQH78" s="684"/>
      <c r="OQI78" s="684"/>
      <c r="OQJ78" s="684"/>
      <c r="OQK78" s="684"/>
      <c r="OQL78" s="684"/>
      <c r="OQM78" s="684"/>
      <c r="OQN78" s="684"/>
      <c r="OQO78" s="684"/>
      <c r="OQP78" s="684"/>
      <c r="OQQ78" s="684"/>
      <c r="OQR78" s="684"/>
      <c r="OQS78" s="684"/>
      <c r="OQT78" s="684"/>
      <c r="OQU78" s="684"/>
      <c r="OQV78" s="684"/>
      <c r="OQW78" s="684"/>
      <c r="OQX78" s="684"/>
      <c r="OQY78" s="684"/>
      <c r="OQZ78" s="684"/>
      <c r="ORA78" s="684"/>
      <c r="ORB78" s="684"/>
      <c r="ORC78" s="684"/>
      <c r="ORD78" s="684"/>
      <c r="ORE78" s="684"/>
      <c r="ORF78" s="684"/>
      <c r="ORG78" s="684"/>
      <c r="ORH78" s="684"/>
      <c r="ORI78" s="684"/>
      <c r="ORJ78" s="684"/>
      <c r="ORK78" s="684"/>
      <c r="ORL78" s="684"/>
      <c r="ORM78" s="684"/>
      <c r="ORN78" s="684"/>
      <c r="ORO78" s="684"/>
      <c r="ORP78" s="684"/>
      <c r="ORQ78" s="684"/>
      <c r="ORR78" s="684"/>
      <c r="ORS78" s="684"/>
      <c r="ORT78" s="684"/>
      <c r="ORU78" s="684"/>
      <c r="ORV78" s="684"/>
      <c r="ORW78" s="684"/>
      <c r="ORX78" s="684"/>
      <c r="ORY78" s="684"/>
      <c r="ORZ78" s="684"/>
      <c r="OSA78" s="684"/>
      <c r="OSB78" s="684"/>
      <c r="OSC78" s="684"/>
      <c r="OSD78" s="684"/>
      <c r="OSE78" s="684"/>
      <c r="OSF78" s="684"/>
      <c r="OSG78" s="684"/>
      <c r="OSH78" s="684"/>
      <c r="OSI78" s="684"/>
      <c r="OSJ78" s="684"/>
      <c r="OSK78" s="684"/>
      <c r="OSL78" s="684"/>
      <c r="OSM78" s="684"/>
      <c r="OSN78" s="684"/>
      <c r="OSO78" s="684"/>
      <c r="OSP78" s="684"/>
      <c r="OSQ78" s="684"/>
      <c r="OSR78" s="684"/>
      <c r="OSS78" s="684"/>
      <c r="OST78" s="684"/>
      <c r="OSU78" s="684"/>
      <c r="OSV78" s="684"/>
      <c r="OSW78" s="684"/>
      <c r="OSX78" s="684"/>
      <c r="OSY78" s="684"/>
      <c r="OSZ78" s="684"/>
      <c r="OTA78" s="684"/>
      <c r="OTB78" s="684"/>
      <c r="OTC78" s="684"/>
      <c r="OTD78" s="684"/>
      <c r="OTE78" s="684"/>
      <c r="OTF78" s="684"/>
      <c r="OTG78" s="684"/>
      <c r="OTH78" s="684"/>
      <c r="OTI78" s="684"/>
      <c r="OTJ78" s="684"/>
      <c r="OTK78" s="684"/>
      <c r="OTL78" s="684"/>
      <c r="OTM78" s="684"/>
      <c r="OTN78" s="684"/>
      <c r="OTO78" s="684"/>
      <c r="OTP78" s="684"/>
      <c r="OTQ78" s="684"/>
      <c r="OTR78" s="684"/>
      <c r="OTS78" s="684"/>
      <c r="OTT78" s="684"/>
      <c r="OTU78" s="684"/>
      <c r="OTV78" s="684"/>
      <c r="OTW78" s="684"/>
      <c r="OTX78" s="684"/>
      <c r="OTY78" s="684"/>
      <c r="OTZ78" s="684"/>
      <c r="OUA78" s="684"/>
      <c r="OUB78" s="684"/>
      <c r="OUC78" s="684"/>
      <c r="OUD78" s="684"/>
      <c r="OUE78" s="684"/>
      <c r="OUF78" s="684"/>
      <c r="OUG78" s="684"/>
      <c r="OUH78" s="684"/>
      <c r="OUI78" s="684"/>
      <c r="OUJ78" s="684"/>
      <c r="OUK78" s="684"/>
      <c r="OUL78" s="684"/>
      <c r="OUM78" s="684"/>
      <c r="OUN78" s="684"/>
      <c r="OUO78" s="684"/>
      <c r="OUP78" s="684"/>
      <c r="OUQ78" s="684"/>
      <c r="OUR78" s="684"/>
      <c r="OUS78" s="684"/>
      <c r="OUT78" s="684"/>
      <c r="OUU78" s="684"/>
      <c r="OUV78" s="684"/>
      <c r="OUW78" s="684"/>
      <c r="OUX78" s="684"/>
      <c r="OUY78" s="684"/>
      <c r="OUZ78" s="684"/>
      <c r="OVA78" s="684"/>
      <c r="OVB78" s="684"/>
      <c r="OVC78" s="684"/>
      <c r="OVD78" s="684"/>
      <c r="OVE78" s="684"/>
      <c r="OVF78" s="684"/>
      <c r="OVG78" s="684"/>
      <c r="OVH78" s="684"/>
      <c r="OVI78" s="684"/>
      <c r="OVJ78" s="684"/>
      <c r="OVK78" s="684"/>
      <c r="OVL78" s="684"/>
      <c r="OVM78" s="684"/>
      <c r="OVN78" s="684"/>
      <c r="OVO78" s="684"/>
      <c r="OVP78" s="684"/>
      <c r="OVQ78" s="684"/>
      <c r="OVR78" s="684"/>
      <c r="OVS78" s="684"/>
      <c r="OVT78" s="684"/>
      <c r="OVU78" s="684"/>
      <c r="OVV78" s="684"/>
      <c r="OVW78" s="684"/>
      <c r="OVX78" s="684"/>
      <c r="OVY78" s="684"/>
      <c r="OVZ78" s="684"/>
      <c r="OWA78" s="684"/>
      <c r="OWB78" s="684"/>
      <c r="OWC78" s="684"/>
      <c r="OWD78" s="684"/>
      <c r="OWE78" s="684"/>
      <c r="OWF78" s="684"/>
      <c r="OWG78" s="684"/>
      <c r="OWH78" s="684"/>
      <c r="OWI78" s="684"/>
      <c r="OWJ78" s="684"/>
      <c r="OWK78" s="684"/>
      <c r="OWL78" s="684"/>
      <c r="OWM78" s="684"/>
      <c r="OWN78" s="684"/>
      <c r="OWO78" s="684"/>
      <c r="OWP78" s="684"/>
      <c r="OWQ78" s="684"/>
      <c r="OWR78" s="684"/>
      <c r="OWS78" s="684"/>
      <c r="OWT78" s="684"/>
      <c r="OWU78" s="684"/>
      <c r="OWV78" s="684"/>
      <c r="OWW78" s="684"/>
      <c r="OWX78" s="684"/>
      <c r="OWY78" s="684"/>
      <c r="OWZ78" s="684"/>
      <c r="OXA78" s="684"/>
      <c r="OXB78" s="684"/>
      <c r="OXC78" s="684"/>
      <c r="OXD78" s="684"/>
      <c r="OXE78" s="684"/>
      <c r="OXF78" s="684"/>
      <c r="OXG78" s="684"/>
      <c r="OXH78" s="684"/>
      <c r="OXI78" s="684"/>
      <c r="OXJ78" s="684"/>
      <c r="OXK78" s="684"/>
      <c r="OXL78" s="684"/>
      <c r="OXM78" s="684"/>
      <c r="OXN78" s="684"/>
      <c r="OXO78" s="684"/>
      <c r="OXP78" s="684"/>
      <c r="OXQ78" s="684"/>
      <c r="OXR78" s="684"/>
      <c r="OXS78" s="684"/>
      <c r="OXT78" s="684"/>
      <c r="OXU78" s="684"/>
      <c r="OXV78" s="684"/>
      <c r="OXW78" s="684"/>
      <c r="OXX78" s="684"/>
      <c r="OXY78" s="684"/>
      <c r="OXZ78" s="684"/>
      <c r="OYA78" s="684"/>
      <c r="OYB78" s="684"/>
      <c r="OYC78" s="684"/>
      <c r="OYD78" s="684"/>
      <c r="OYE78" s="684"/>
      <c r="OYF78" s="684"/>
      <c r="OYG78" s="684"/>
      <c r="OYH78" s="684"/>
      <c r="OYI78" s="684"/>
      <c r="OYJ78" s="684"/>
      <c r="OYK78" s="684"/>
      <c r="OYL78" s="684"/>
      <c r="OYM78" s="684"/>
      <c r="OYN78" s="684"/>
      <c r="OYO78" s="684"/>
      <c r="OYP78" s="684"/>
      <c r="OYQ78" s="684"/>
      <c r="OYR78" s="684"/>
      <c r="OYS78" s="684"/>
      <c r="OYT78" s="684"/>
      <c r="OYU78" s="684"/>
      <c r="OYV78" s="684"/>
      <c r="OYW78" s="684"/>
      <c r="OYX78" s="684"/>
      <c r="OYY78" s="684"/>
      <c r="OYZ78" s="684"/>
      <c r="OZA78" s="684"/>
      <c r="OZB78" s="684"/>
      <c r="OZC78" s="684"/>
      <c r="OZD78" s="684"/>
      <c r="OZE78" s="684"/>
      <c r="OZF78" s="684"/>
      <c r="OZG78" s="684"/>
      <c r="OZH78" s="684"/>
      <c r="OZI78" s="684"/>
      <c r="OZJ78" s="684"/>
      <c r="OZK78" s="684"/>
      <c r="OZL78" s="684"/>
      <c r="OZM78" s="684"/>
      <c r="OZN78" s="684"/>
      <c r="OZO78" s="684"/>
      <c r="OZP78" s="684"/>
      <c r="OZQ78" s="684"/>
      <c r="OZR78" s="684"/>
      <c r="OZS78" s="684"/>
      <c r="OZT78" s="684"/>
      <c r="OZU78" s="684"/>
      <c r="OZV78" s="684"/>
      <c r="OZW78" s="684"/>
      <c r="OZX78" s="684"/>
      <c r="OZY78" s="684"/>
      <c r="OZZ78" s="684"/>
      <c r="PAA78" s="684"/>
      <c r="PAB78" s="684"/>
      <c r="PAC78" s="684"/>
      <c r="PAD78" s="684"/>
      <c r="PAE78" s="684"/>
      <c r="PAF78" s="684"/>
      <c r="PAG78" s="684"/>
      <c r="PAH78" s="684"/>
      <c r="PAI78" s="684"/>
      <c r="PAJ78" s="684"/>
      <c r="PAK78" s="684"/>
      <c r="PAL78" s="684"/>
      <c r="PAM78" s="684"/>
      <c r="PAN78" s="684"/>
      <c r="PAO78" s="684"/>
      <c r="PAP78" s="684"/>
      <c r="PAQ78" s="684"/>
      <c r="PAR78" s="684"/>
      <c r="PAS78" s="684"/>
      <c r="PAT78" s="684"/>
      <c r="PAU78" s="684"/>
      <c r="PAV78" s="684"/>
      <c r="PAW78" s="684"/>
      <c r="PAX78" s="684"/>
      <c r="PAY78" s="684"/>
      <c r="PAZ78" s="684"/>
      <c r="PBA78" s="684"/>
      <c r="PBB78" s="684"/>
      <c r="PBC78" s="684"/>
      <c r="PBD78" s="684"/>
      <c r="PBE78" s="684"/>
      <c r="PBF78" s="684"/>
      <c r="PBG78" s="684"/>
      <c r="PBH78" s="684"/>
      <c r="PBI78" s="684"/>
      <c r="PBJ78" s="684"/>
      <c r="PBK78" s="684"/>
      <c r="PBL78" s="684"/>
      <c r="PBM78" s="684"/>
      <c r="PBN78" s="684"/>
      <c r="PBO78" s="684"/>
      <c r="PBP78" s="684"/>
      <c r="PBQ78" s="684"/>
      <c r="PBR78" s="684"/>
      <c r="PBS78" s="684"/>
      <c r="PBT78" s="684"/>
      <c r="PBU78" s="684"/>
      <c r="PBV78" s="684"/>
      <c r="PBW78" s="684"/>
      <c r="PBX78" s="684"/>
      <c r="PBY78" s="684"/>
      <c r="PBZ78" s="684"/>
      <c r="PCA78" s="684"/>
      <c r="PCB78" s="684"/>
      <c r="PCC78" s="684"/>
      <c r="PCD78" s="684"/>
      <c r="PCE78" s="684"/>
      <c r="PCF78" s="684"/>
      <c r="PCG78" s="684"/>
      <c r="PCH78" s="684"/>
      <c r="PCI78" s="684"/>
      <c r="PCJ78" s="684"/>
      <c r="PCK78" s="684"/>
      <c r="PCL78" s="684"/>
      <c r="PCM78" s="684"/>
      <c r="PCN78" s="684"/>
      <c r="PCO78" s="684"/>
      <c r="PCP78" s="684"/>
      <c r="PCQ78" s="684"/>
      <c r="PCR78" s="684"/>
      <c r="PCS78" s="684"/>
      <c r="PCT78" s="684"/>
      <c r="PCU78" s="684"/>
      <c r="PCV78" s="684"/>
      <c r="PCW78" s="684"/>
      <c r="PCX78" s="684"/>
      <c r="PCY78" s="684"/>
      <c r="PCZ78" s="684"/>
      <c r="PDA78" s="684"/>
      <c r="PDB78" s="684"/>
      <c r="PDC78" s="684"/>
      <c r="PDD78" s="684"/>
      <c r="PDE78" s="684"/>
      <c r="PDF78" s="684"/>
      <c r="PDG78" s="684"/>
      <c r="PDH78" s="684"/>
      <c r="PDI78" s="684"/>
      <c r="PDJ78" s="684"/>
      <c r="PDK78" s="684"/>
      <c r="PDL78" s="684"/>
      <c r="PDM78" s="684"/>
      <c r="PDN78" s="684"/>
      <c r="PDO78" s="684"/>
      <c r="PDP78" s="684"/>
      <c r="PDQ78" s="684"/>
      <c r="PDR78" s="684"/>
      <c r="PDS78" s="684"/>
      <c r="PDT78" s="684"/>
      <c r="PDU78" s="684"/>
      <c r="PDV78" s="684"/>
      <c r="PDW78" s="684"/>
      <c r="PDX78" s="684"/>
      <c r="PDY78" s="684"/>
      <c r="PDZ78" s="684"/>
      <c r="PEA78" s="684"/>
      <c r="PEB78" s="684"/>
      <c r="PEC78" s="684"/>
      <c r="PED78" s="684"/>
      <c r="PEE78" s="684"/>
      <c r="PEF78" s="684"/>
      <c r="PEG78" s="684"/>
      <c r="PEH78" s="684"/>
      <c r="PEI78" s="684"/>
      <c r="PEJ78" s="684"/>
      <c r="PEK78" s="684"/>
      <c r="PEL78" s="684"/>
      <c r="PEM78" s="684"/>
      <c r="PEN78" s="684"/>
      <c r="PEO78" s="684"/>
      <c r="PEP78" s="684"/>
      <c r="PEQ78" s="684"/>
      <c r="PER78" s="684"/>
      <c r="PES78" s="684"/>
      <c r="PET78" s="684"/>
      <c r="PEU78" s="684"/>
      <c r="PEV78" s="684"/>
      <c r="PEW78" s="684"/>
      <c r="PEX78" s="684"/>
      <c r="PEY78" s="684"/>
      <c r="PEZ78" s="684"/>
      <c r="PFA78" s="684"/>
      <c r="PFB78" s="684"/>
      <c r="PFC78" s="684"/>
      <c r="PFD78" s="684"/>
      <c r="PFE78" s="684"/>
      <c r="PFF78" s="684"/>
      <c r="PFG78" s="684"/>
      <c r="PFH78" s="684"/>
      <c r="PFI78" s="684"/>
      <c r="PFJ78" s="684"/>
      <c r="PFK78" s="684"/>
      <c r="PFL78" s="684"/>
      <c r="PFM78" s="684"/>
      <c r="PFN78" s="684"/>
      <c r="PFO78" s="684"/>
      <c r="PFP78" s="684"/>
      <c r="PFQ78" s="684"/>
      <c r="PFR78" s="684"/>
      <c r="PFS78" s="684"/>
      <c r="PFT78" s="684"/>
      <c r="PFU78" s="684"/>
      <c r="PFV78" s="684"/>
      <c r="PFW78" s="684"/>
      <c r="PFX78" s="684"/>
      <c r="PFY78" s="684"/>
      <c r="PFZ78" s="684"/>
      <c r="PGA78" s="684"/>
      <c r="PGB78" s="684"/>
      <c r="PGC78" s="684"/>
      <c r="PGD78" s="684"/>
      <c r="PGE78" s="684"/>
      <c r="PGF78" s="684"/>
      <c r="PGG78" s="684"/>
      <c r="PGH78" s="684"/>
      <c r="PGI78" s="684"/>
      <c r="PGJ78" s="684"/>
      <c r="PGK78" s="684"/>
      <c r="PGL78" s="684"/>
      <c r="PGM78" s="684"/>
      <c r="PGN78" s="684"/>
      <c r="PGO78" s="684"/>
      <c r="PGP78" s="684"/>
      <c r="PGQ78" s="684"/>
      <c r="PGR78" s="684"/>
      <c r="PGS78" s="684"/>
      <c r="PGT78" s="684"/>
      <c r="PGU78" s="684"/>
      <c r="PGV78" s="684"/>
      <c r="PGW78" s="684"/>
      <c r="PGX78" s="684"/>
      <c r="PGY78" s="684"/>
      <c r="PGZ78" s="684"/>
      <c r="PHA78" s="684"/>
      <c r="PHB78" s="684"/>
      <c r="PHC78" s="684"/>
      <c r="PHD78" s="684"/>
      <c r="PHE78" s="684"/>
      <c r="PHF78" s="684"/>
      <c r="PHG78" s="684"/>
      <c r="PHH78" s="684"/>
      <c r="PHI78" s="684"/>
      <c r="PHJ78" s="684"/>
      <c r="PHK78" s="684"/>
      <c r="PHL78" s="684"/>
      <c r="PHM78" s="684"/>
      <c r="PHN78" s="684"/>
      <c r="PHO78" s="684"/>
      <c r="PHP78" s="684"/>
      <c r="PHQ78" s="684"/>
      <c r="PHR78" s="684"/>
      <c r="PHS78" s="684"/>
      <c r="PHT78" s="684"/>
      <c r="PHU78" s="684"/>
      <c r="PHV78" s="684"/>
      <c r="PHW78" s="684"/>
      <c r="PHX78" s="684"/>
      <c r="PHY78" s="684"/>
      <c r="PHZ78" s="684"/>
      <c r="PIA78" s="684"/>
      <c r="PIB78" s="684"/>
      <c r="PIC78" s="684"/>
      <c r="PID78" s="684"/>
      <c r="PIE78" s="684"/>
      <c r="PIF78" s="684"/>
      <c r="PIG78" s="684"/>
      <c r="PIH78" s="684"/>
      <c r="PII78" s="684"/>
      <c r="PIJ78" s="684"/>
      <c r="PIK78" s="684"/>
      <c r="PIL78" s="684"/>
      <c r="PIM78" s="684"/>
      <c r="PIN78" s="684"/>
      <c r="PIO78" s="684"/>
      <c r="PIP78" s="684"/>
      <c r="PIQ78" s="684"/>
      <c r="PIR78" s="684"/>
      <c r="PIS78" s="684"/>
      <c r="PIT78" s="684"/>
      <c r="PIU78" s="684"/>
      <c r="PIV78" s="684"/>
      <c r="PIW78" s="684"/>
      <c r="PIX78" s="684"/>
      <c r="PIY78" s="684"/>
      <c r="PIZ78" s="684"/>
      <c r="PJA78" s="684"/>
      <c r="PJB78" s="684"/>
      <c r="PJC78" s="684"/>
      <c r="PJD78" s="684"/>
      <c r="PJE78" s="684"/>
      <c r="PJF78" s="684"/>
      <c r="PJG78" s="684"/>
      <c r="PJH78" s="684"/>
      <c r="PJI78" s="684"/>
      <c r="PJJ78" s="684"/>
      <c r="PJK78" s="684"/>
      <c r="PJL78" s="684"/>
      <c r="PJM78" s="684"/>
      <c r="PJN78" s="684"/>
      <c r="PJO78" s="684"/>
      <c r="PJP78" s="684"/>
      <c r="PJQ78" s="684"/>
      <c r="PJR78" s="684"/>
      <c r="PJS78" s="684"/>
      <c r="PJT78" s="684"/>
      <c r="PJU78" s="684"/>
      <c r="PJV78" s="684"/>
      <c r="PJW78" s="684"/>
      <c r="PJX78" s="684"/>
      <c r="PJY78" s="684"/>
      <c r="PJZ78" s="684"/>
      <c r="PKA78" s="684"/>
      <c r="PKB78" s="684"/>
      <c r="PKC78" s="684"/>
      <c r="PKD78" s="684"/>
      <c r="PKE78" s="684"/>
      <c r="PKF78" s="684"/>
      <c r="PKG78" s="684"/>
      <c r="PKH78" s="684"/>
      <c r="PKI78" s="684"/>
      <c r="PKJ78" s="684"/>
      <c r="PKK78" s="684"/>
      <c r="PKL78" s="684"/>
      <c r="PKM78" s="684"/>
      <c r="PKN78" s="684"/>
      <c r="PKO78" s="684"/>
      <c r="PKP78" s="684"/>
      <c r="PKQ78" s="684"/>
      <c r="PKR78" s="684"/>
      <c r="PKS78" s="684"/>
      <c r="PKT78" s="684"/>
      <c r="PKU78" s="684"/>
      <c r="PKV78" s="684"/>
      <c r="PKW78" s="684"/>
      <c r="PKX78" s="684"/>
      <c r="PKY78" s="684"/>
      <c r="PKZ78" s="684"/>
      <c r="PLA78" s="684"/>
      <c r="PLB78" s="684"/>
      <c r="PLC78" s="684"/>
      <c r="PLD78" s="684"/>
      <c r="PLE78" s="684"/>
      <c r="PLF78" s="684"/>
      <c r="PLG78" s="684"/>
      <c r="PLH78" s="684"/>
      <c r="PLI78" s="684"/>
      <c r="PLJ78" s="684"/>
      <c r="PLK78" s="684"/>
      <c r="PLL78" s="684"/>
      <c r="PLM78" s="684"/>
      <c r="PLN78" s="684"/>
      <c r="PLO78" s="684"/>
      <c r="PLP78" s="684"/>
      <c r="PLQ78" s="684"/>
      <c r="PLR78" s="684"/>
      <c r="PLS78" s="684"/>
      <c r="PLT78" s="684"/>
      <c r="PLU78" s="684"/>
      <c r="PLV78" s="684"/>
      <c r="PLW78" s="684"/>
      <c r="PLX78" s="684"/>
      <c r="PLY78" s="684"/>
      <c r="PLZ78" s="684"/>
      <c r="PMA78" s="684"/>
      <c r="PMB78" s="684"/>
      <c r="PMC78" s="684"/>
      <c r="PMD78" s="684"/>
      <c r="PME78" s="684"/>
      <c r="PMF78" s="684"/>
      <c r="PMG78" s="684"/>
      <c r="PMH78" s="684"/>
      <c r="PMI78" s="684"/>
      <c r="PMJ78" s="684"/>
      <c r="PMK78" s="684"/>
      <c r="PML78" s="684"/>
      <c r="PMM78" s="684"/>
      <c r="PMN78" s="684"/>
      <c r="PMO78" s="684"/>
      <c r="PMP78" s="684"/>
      <c r="PMQ78" s="684"/>
      <c r="PMR78" s="684"/>
      <c r="PMS78" s="684"/>
      <c r="PMT78" s="684"/>
      <c r="PMU78" s="684"/>
      <c r="PMV78" s="684"/>
      <c r="PMW78" s="684"/>
      <c r="PMX78" s="684"/>
      <c r="PMY78" s="684"/>
      <c r="PMZ78" s="684"/>
      <c r="PNA78" s="684"/>
      <c r="PNB78" s="684"/>
      <c r="PNC78" s="684"/>
      <c r="PND78" s="684"/>
      <c r="PNE78" s="684"/>
      <c r="PNF78" s="684"/>
      <c r="PNG78" s="684"/>
      <c r="PNH78" s="684"/>
      <c r="PNI78" s="684"/>
      <c r="PNJ78" s="684"/>
      <c r="PNK78" s="684"/>
      <c r="PNL78" s="684"/>
      <c r="PNM78" s="684"/>
      <c r="PNN78" s="684"/>
      <c r="PNO78" s="684"/>
      <c r="PNP78" s="684"/>
      <c r="PNQ78" s="684"/>
      <c r="PNR78" s="684"/>
      <c r="PNS78" s="684"/>
      <c r="PNT78" s="684"/>
      <c r="PNU78" s="684"/>
      <c r="PNV78" s="684"/>
      <c r="PNW78" s="684"/>
      <c r="PNX78" s="684"/>
      <c r="PNY78" s="684"/>
      <c r="PNZ78" s="684"/>
      <c r="POA78" s="684"/>
      <c r="POB78" s="684"/>
      <c r="POC78" s="684"/>
      <c r="POD78" s="684"/>
      <c r="POE78" s="684"/>
      <c r="POF78" s="684"/>
      <c r="POG78" s="684"/>
      <c r="POH78" s="684"/>
      <c r="POI78" s="684"/>
      <c r="POJ78" s="684"/>
      <c r="POK78" s="684"/>
      <c r="POL78" s="684"/>
      <c r="POM78" s="684"/>
      <c r="PON78" s="684"/>
      <c r="POO78" s="684"/>
      <c r="POP78" s="684"/>
      <c r="POQ78" s="684"/>
      <c r="POR78" s="684"/>
      <c r="POS78" s="684"/>
      <c r="POT78" s="684"/>
      <c r="POU78" s="684"/>
      <c r="POV78" s="684"/>
      <c r="POW78" s="684"/>
      <c r="POX78" s="684"/>
      <c r="POY78" s="684"/>
      <c r="POZ78" s="684"/>
      <c r="PPA78" s="684"/>
      <c r="PPB78" s="684"/>
      <c r="PPC78" s="684"/>
      <c r="PPD78" s="684"/>
      <c r="PPE78" s="684"/>
      <c r="PPF78" s="684"/>
      <c r="PPG78" s="684"/>
      <c r="PPH78" s="684"/>
      <c r="PPI78" s="684"/>
      <c r="PPJ78" s="684"/>
      <c r="PPK78" s="684"/>
      <c r="PPL78" s="684"/>
      <c r="PPM78" s="684"/>
      <c r="PPN78" s="684"/>
      <c r="PPO78" s="684"/>
      <c r="PPP78" s="684"/>
      <c r="PPQ78" s="684"/>
      <c r="PPR78" s="684"/>
      <c r="PPS78" s="684"/>
      <c r="PPT78" s="684"/>
      <c r="PPU78" s="684"/>
      <c r="PPV78" s="684"/>
      <c r="PPW78" s="684"/>
      <c r="PPX78" s="684"/>
      <c r="PPY78" s="684"/>
      <c r="PPZ78" s="684"/>
      <c r="PQA78" s="684"/>
      <c r="PQB78" s="684"/>
      <c r="PQC78" s="684"/>
      <c r="PQD78" s="684"/>
      <c r="PQE78" s="684"/>
      <c r="PQF78" s="684"/>
      <c r="PQG78" s="684"/>
      <c r="PQH78" s="684"/>
      <c r="PQI78" s="684"/>
      <c r="PQJ78" s="684"/>
      <c r="PQK78" s="684"/>
      <c r="PQL78" s="684"/>
      <c r="PQM78" s="684"/>
      <c r="PQN78" s="684"/>
      <c r="PQO78" s="684"/>
      <c r="PQP78" s="684"/>
      <c r="PQQ78" s="684"/>
      <c r="PQR78" s="684"/>
      <c r="PQS78" s="684"/>
      <c r="PQT78" s="684"/>
      <c r="PQU78" s="684"/>
      <c r="PQV78" s="684"/>
      <c r="PQW78" s="684"/>
      <c r="PQX78" s="684"/>
      <c r="PQY78" s="684"/>
      <c r="PQZ78" s="684"/>
      <c r="PRA78" s="684"/>
      <c r="PRB78" s="684"/>
      <c r="PRC78" s="684"/>
      <c r="PRD78" s="684"/>
      <c r="PRE78" s="684"/>
      <c r="PRF78" s="684"/>
      <c r="PRG78" s="684"/>
      <c r="PRH78" s="684"/>
      <c r="PRI78" s="684"/>
      <c r="PRJ78" s="684"/>
      <c r="PRK78" s="684"/>
      <c r="PRL78" s="684"/>
      <c r="PRM78" s="684"/>
      <c r="PRN78" s="684"/>
      <c r="PRO78" s="684"/>
      <c r="PRP78" s="684"/>
      <c r="PRQ78" s="684"/>
      <c r="PRR78" s="684"/>
      <c r="PRS78" s="684"/>
      <c r="PRT78" s="684"/>
      <c r="PRU78" s="684"/>
      <c r="PRV78" s="684"/>
      <c r="PRW78" s="684"/>
      <c r="PRX78" s="684"/>
      <c r="PRY78" s="684"/>
      <c r="PRZ78" s="684"/>
      <c r="PSA78" s="684"/>
      <c r="PSB78" s="684"/>
      <c r="PSC78" s="684"/>
      <c r="PSD78" s="684"/>
      <c r="PSE78" s="684"/>
      <c r="PSF78" s="684"/>
      <c r="PSG78" s="684"/>
      <c r="PSH78" s="684"/>
      <c r="PSI78" s="684"/>
      <c r="PSJ78" s="684"/>
      <c r="PSK78" s="684"/>
      <c r="PSL78" s="684"/>
      <c r="PSM78" s="684"/>
      <c r="PSN78" s="684"/>
      <c r="PSO78" s="684"/>
      <c r="PSP78" s="684"/>
      <c r="PSQ78" s="684"/>
      <c r="PSR78" s="684"/>
      <c r="PSS78" s="684"/>
      <c r="PST78" s="684"/>
      <c r="PSU78" s="684"/>
      <c r="PSV78" s="684"/>
      <c r="PSW78" s="684"/>
      <c r="PSX78" s="684"/>
      <c r="PSY78" s="684"/>
      <c r="PSZ78" s="684"/>
      <c r="PTA78" s="684"/>
      <c r="PTB78" s="684"/>
      <c r="PTC78" s="684"/>
      <c r="PTD78" s="684"/>
      <c r="PTE78" s="684"/>
      <c r="PTF78" s="684"/>
      <c r="PTG78" s="684"/>
      <c r="PTH78" s="684"/>
      <c r="PTI78" s="684"/>
      <c r="PTJ78" s="684"/>
      <c r="PTK78" s="684"/>
      <c r="PTL78" s="684"/>
      <c r="PTM78" s="684"/>
      <c r="PTN78" s="684"/>
      <c r="PTO78" s="684"/>
      <c r="PTP78" s="684"/>
      <c r="PTQ78" s="684"/>
      <c r="PTR78" s="684"/>
      <c r="PTS78" s="684"/>
      <c r="PTT78" s="684"/>
      <c r="PTU78" s="684"/>
      <c r="PTV78" s="684"/>
      <c r="PTW78" s="684"/>
      <c r="PTX78" s="684"/>
      <c r="PTY78" s="684"/>
      <c r="PTZ78" s="684"/>
      <c r="PUA78" s="684"/>
      <c r="PUB78" s="684"/>
      <c r="PUC78" s="684"/>
      <c r="PUD78" s="684"/>
      <c r="PUE78" s="684"/>
      <c r="PUF78" s="684"/>
      <c r="PUG78" s="684"/>
      <c r="PUH78" s="684"/>
      <c r="PUI78" s="684"/>
      <c r="PUJ78" s="684"/>
      <c r="PUK78" s="684"/>
      <c r="PUL78" s="684"/>
      <c r="PUM78" s="684"/>
      <c r="PUN78" s="684"/>
      <c r="PUO78" s="684"/>
      <c r="PUP78" s="684"/>
      <c r="PUQ78" s="684"/>
      <c r="PUR78" s="684"/>
      <c r="PUS78" s="684"/>
      <c r="PUT78" s="684"/>
      <c r="PUU78" s="684"/>
      <c r="PUV78" s="684"/>
      <c r="PUW78" s="684"/>
      <c r="PUX78" s="684"/>
      <c r="PUY78" s="684"/>
      <c r="PUZ78" s="684"/>
      <c r="PVA78" s="684"/>
      <c r="PVB78" s="684"/>
      <c r="PVC78" s="684"/>
      <c r="PVD78" s="684"/>
      <c r="PVE78" s="684"/>
      <c r="PVF78" s="684"/>
      <c r="PVG78" s="684"/>
      <c r="PVH78" s="684"/>
      <c r="PVI78" s="684"/>
      <c r="PVJ78" s="684"/>
      <c r="PVK78" s="684"/>
      <c r="PVL78" s="684"/>
      <c r="PVM78" s="684"/>
      <c r="PVN78" s="684"/>
      <c r="PVO78" s="684"/>
      <c r="PVP78" s="684"/>
      <c r="PVQ78" s="684"/>
      <c r="PVR78" s="684"/>
      <c r="PVS78" s="684"/>
      <c r="PVT78" s="684"/>
      <c r="PVU78" s="684"/>
      <c r="PVV78" s="684"/>
      <c r="PVW78" s="684"/>
      <c r="PVX78" s="684"/>
      <c r="PVY78" s="684"/>
      <c r="PVZ78" s="684"/>
      <c r="PWA78" s="684"/>
      <c r="PWB78" s="684"/>
      <c r="PWC78" s="684"/>
      <c r="PWD78" s="684"/>
      <c r="PWE78" s="684"/>
      <c r="PWF78" s="684"/>
      <c r="PWG78" s="684"/>
      <c r="PWH78" s="684"/>
      <c r="PWI78" s="684"/>
      <c r="PWJ78" s="684"/>
      <c r="PWK78" s="684"/>
      <c r="PWL78" s="684"/>
      <c r="PWM78" s="684"/>
      <c r="PWN78" s="684"/>
      <c r="PWO78" s="684"/>
      <c r="PWP78" s="684"/>
      <c r="PWQ78" s="684"/>
      <c r="PWR78" s="684"/>
      <c r="PWS78" s="684"/>
      <c r="PWT78" s="684"/>
      <c r="PWU78" s="684"/>
      <c r="PWV78" s="684"/>
      <c r="PWW78" s="684"/>
      <c r="PWX78" s="684"/>
      <c r="PWY78" s="684"/>
      <c r="PWZ78" s="684"/>
      <c r="PXA78" s="684"/>
      <c r="PXB78" s="684"/>
      <c r="PXC78" s="684"/>
      <c r="PXD78" s="684"/>
      <c r="PXE78" s="684"/>
      <c r="PXF78" s="684"/>
      <c r="PXG78" s="684"/>
      <c r="PXH78" s="684"/>
      <c r="PXI78" s="684"/>
      <c r="PXJ78" s="684"/>
      <c r="PXK78" s="684"/>
      <c r="PXL78" s="684"/>
      <c r="PXM78" s="684"/>
      <c r="PXN78" s="684"/>
      <c r="PXO78" s="684"/>
      <c r="PXP78" s="684"/>
      <c r="PXQ78" s="684"/>
      <c r="PXR78" s="684"/>
      <c r="PXS78" s="684"/>
      <c r="PXT78" s="684"/>
      <c r="PXU78" s="684"/>
      <c r="PXV78" s="684"/>
      <c r="PXW78" s="684"/>
      <c r="PXX78" s="684"/>
      <c r="PXY78" s="684"/>
      <c r="PXZ78" s="684"/>
      <c r="PYA78" s="684"/>
      <c r="PYB78" s="684"/>
      <c r="PYC78" s="684"/>
      <c r="PYD78" s="684"/>
      <c r="PYE78" s="684"/>
      <c r="PYF78" s="684"/>
      <c r="PYG78" s="684"/>
      <c r="PYH78" s="684"/>
      <c r="PYI78" s="684"/>
      <c r="PYJ78" s="684"/>
      <c r="PYK78" s="684"/>
      <c r="PYL78" s="684"/>
      <c r="PYM78" s="684"/>
      <c r="PYN78" s="684"/>
      <c r="PYO78" s="684"/>
      <c r="PYP78" s="684"/>
      <c r="PYQ78" s="684"/>
      <c r="PYR78" s="684"/>
      <c r="PYS78" s="684"/>
      <c r="PYT78" s="684"/>
      <c r="PYU78" s="684"/>
      <c r="PYV78" s="684"/>
      <c r="PYW78" s="684"/>
      <c r="PYX78" s="684"/>
      <c r="PYY78" s="684"/>
      <c r="PYZ78" s="684"/>
      <c r="PZA78" s="684"/>
      <c r="PZB78" s="684"/>
      <c r="PZC78" s="684"/>
      <c r="PZD78" s="684"/>
      <c r="PZE78" s="684"/>
      <c r="PZF78" s="684"/>
      <c r="PZG78" s="684"/>
      <c r="PZH78" s="684"/>
      <c r="PZI78" s="684"/>
      <c r="PZJ78" s="684"/>
      <c r="PZK78" s="684"/>
      <c r="PZL78" s="684"/>
      <c r="PZM78" s="684"/>
      <c r="PZN78" s="684"/>
      <c r="PZO78" s="684"/>
      <c r="PZP78" s="684"/>
      <c r="PZQ78" s="684"/>
      <c r="PZR78" s="684"/>
      <c r="PZS78" s="684"/>
      <c r="PZT78" s="684"/>
      <c r="PZU78" s="684"/>
      <c r="PZV78" s="684"/>
      <c r="PZW78" s="684"/>
      <c r="PZX78" s="684"/>
      <c r="PZY78" s="684"/>
      <c r="PZZ78" s="684"/>
      <c r="QAA78" s="684"/>
      <c r="QAB78" s="684"/>
      <c r="QAC78" s="684"/>
      <c r="QAD78" s="684"/>
      <c r="QAE78" s="684"/>
      <c r="QAF78" s="684"/>
      <c r="QAG78" s="684"/>
      <c r="QAH78" s="684"/>
      <c r="QAI78" s="684"/>
      <c r="QAJ78" s="684"/>
      <c r="QAK78" s="684"/>
      <c r="QAL78" s="684"/>
      <c r="QAM78" s="684"/>
      <c r="QAN78" s="684"/>
      <c r="QAO78" s="684"/>
      <c r="QAP78" s="684"/>
      <c r="QAQ78" s="684"/>
      <c r="QAR78" s="684"/>
      <c r="QAS78" s="684"/>
      <c r="QAT78" s="684"/>
      <c r="QAU78" s="684"/>
      <c r="QAV78" s="684"/>
      <c r="QAW78" s="684"/>
      <c r="QAX78" s="684"/>
      <c r="QAY78" s="684"/>
      <c r="QAZ78" s="684"/>
      <c r="QBA78" s="684"/>
      <c r="QBB78" s="684"/>
      <c r="QBC78" s="684"/>
      <c r="QBD78" s="684"/>
      <c r="QBE78" s="684"/>
      <c r="QBF78" s="684"/>
      <c r="QBG78" s="684"/>
      <c r="QBH78" s="684"/>
      <c r="QBI78" s="684"/>
      <c r="QBJ78" s="684"/>
      <c r="QBK78" s="684"/>
      <c r="QBL78" s="684"/>
      <c r="QBM78" s="684"/>
      <c r="QBN78" s="684"/>
      <c r="QBO78" s="684"/>
      <c r="QBP78" s="684"/>
      <c r="QBQ78" s="684"/>
      <c r="QBR78" s="684"/>
      <c r="QBS78" s="684"/>
      <c r="QBT78" s="684"/>
      <c r="QBU78" s="684"/>
      <c r="QBV78" s="684"/>
      <c r="QBW78" s="684"/>
      <c r="QBX78" s="684"/>
      <c r="QBY78" s="684"/>
      <c r="QBZ78" s="684"/>
      <c r="QCA78" s="684"/>
      <c r="QCB78" s="684"/>
      <c r="QCC78" s="684"/>
      <c r="QCD78" s="684"/>
      <c r="QCE78" s="684"/>
      <c r="QCF78" s="684"/>
      <c r="QCG78" s="684"/>
      <c r="QCH78" s="684"/>
      <c r="QCI78" s="684"/>
      <c r="QCJ78" s="684"/>
      <c r="QCK78" s="684"/>
      <c r="QCL78" s="684"/>
      <c r="QCM78" s="684"/>
      <c r="QCN78" s="684"/>
      <c r="QCO78" s="684"/>
      <c r="QCP78" s="684"/>
      <c r="QCQ78" s="684"/>
      <c r="QCR78" s="684"/>
      <c r="QCS78" s="684"/>
      <c r="QCT78" s="684"/>
      <c r="QCU78" s="684"/>
      <c r="QCV78" s="684"/>
      <c r="QCW78" s="684"/>
      <c r="QCX78" s="684"/>
      <c r="QCY78" s="684"/>
      <c r="QCZ78" s="684"/>
      <c r="QDA78" s="684"/>
      <c r="QDB78" s="684"/>
      <c r="QDC78" s="684"/>
      <c r="QDD78" s="684"/>
      <c r="QDE78" s="684"/>
      <c r="QDF78" s="684"/>
      <c r="QDG78" s="684"/>
      <c r="QDH78" s="684"/>
      <c r="QDI78" s="684"/>
      <c r="QDJ78" s="684"/>
      <c r="QDK78" s="684"/>
      <c r="QDL78" s="684"/>
      <c r="QDM78" s="684"/>
      <c r="QDN78" s="684"/>
      <c r="QDO78" s="684"/>
      <c r="QDP78" s="684"/>
      <c r="QDQ78" s="684"/>
      <c r="QDR78" s="684"/>
      <c r="QDS78" s="684"/>
      <c r="QDT78" s="684"/>
      <c r="QDU78" s="684"/>
      <c r="QDV78" s="684"/>
      <c r="QDW78" s="684"/>
      <c r="QDX78" s="684"/>
      <c r="QDY78" s="684"/>
      <c r="QDZ78" s="684"/>
      <c r="QEA78" s="684"/>
      <c r="QEB78" s="684"/>
      <c r="QEC78" s="684"/>
      <c r="QED78" s="684"/>
      <c r="QEE78" s="684"/>
      <c r="QEF78" s="684"/>
      <c r="QEG78" s="684"/>
      <c r="QEH78" s="684"/>
      <c r="QEI78" s="684"/>
      <c r="QEJ78" s="684"/>
      <c r="QEK78" s="684"/>
      <c r="QEL78" s="684"/>
      <c r="QEM78" s="684"/>
      <c r="QEN78" s="684"/>
      <c r="QEO78" s="684"/>
      <c r="QEP78" s="684"/>
      <c r="QEQ78" s="684"/>
      <c r="QER78" s="684"/>
      <c r="QES78" s="684"/>
      <c r="QET78" s="684"/>
      <c r="QEU78" s="684"/>
      <c r="QEV78" s="684"/>
      <c r="QEW78" s="684"/>
      <c r="QEX78" s="684"/>
      <c r="QEY78" s="684"/>
      <c r="QEZ78" s="684"/>
      <c r="QFA78" s="684"/>
      <c r="QFB78" s="684"/>
      <c r="QFC78" s="684"/>
      <c r="QFD78" s="684"/>
      <c r="QFE78" s="684"/>
      <c r="QFF78" s="684"/>
      <c r="QFG78" s="684"/>
      <c r="QFH78" s="684"/>
      <c r="QFI78" s="684"/>
      <c r="QFJ78" s="684"/>
      <c r="QFK78" s="684"/>
      <c r="QFL78" s="684"/>
      <c r="QFM78" s="684"/>
      <c r="QFN78" s="684"/>
      <c r="QFO78" s="684"/>
      <c r="QFP78" s="684"/>
      <c r="QFQ78" s="684"/>
      <c r="QFR78" s="684"/>
      <c r="QFS78" s="684"/>
      <c r="QFT78" s="684"/>
      <c r="QFU78" s="684"/>
      <c r="QFV78" s="684"/>
      <c r="QFW78" s="684"/>
      <c r="QFX78" s="684"/>
      <c r="QFY78" s="684"/>
      <c r="QFZ78" s="684"/>
      <c r="QGA78" s="684"/>
      <c r="QGB78" s="684"/>
      <c r="QGC78" s="684"/>
      <c r="QGD78" s="684"/>
      <c r="QGE78" s="684"/>
      <c r="QGF78" s="684"/>
      <c r="QGG78" s="684"/>
      <c r="QGH78" s="684"/>
      <c r="QGI78" s="684"/>
      <c r="QGJ78" s="684"/>
      <c r="QGK78" s="684"/>
      <c r="QGL78" s="684"/>
      <c r="QGM78" s="684"/>
      <c r="QGN78" s="684"/>
      <c r="QGO78" s="684"/>
      <c r="QGP78" s="684"/>
      <c r="QGQ78" s="684"/>
      <c r="QGR78" s="684"/>
      <c r="QGS78" s="684"/>
      <c r="QGT78" s="684"/>
      <c r="QGU78" s="684"/>
      <c r="QGV78" s="684"/>
      <c r="QGW78" s="684"/>
      <c r="QGX78" s="684"/>
      <c r="QGY78" s="684"/>
      <c r="QGZ78" s="684"/>
      <c r="QHA78" s="684"/>
      <c r="QHB78" s="684"/>
      <c r="QHC78" s="684"/>
      <c r="QHD78" s="684"/>
      <c r="QHE78" s="684"/>
      <c r="QHF78" s="684"/>
      <c r="QHG78" s="684"/>
      <c r="QHH78" s="684"/>
      <c r="QHI78" s="684"/>
      <c r="QHJ78" s="684"/>
      <c r="QHK78" s="684"/>
      <c r="QHL78" s="684"/>
      <c r="QHM78" s="684"/>
      <c r="QHN78" s="684"/>
      <c r="QHO78" s="684"/>
      <c r="QHP78" s="684"/>
      <c r="QHQ78" s="684"/>
      <c r="QHR78" s="684"/>
      <c r="QHS78" s="684"/>
      <c r="QHT78" s="684"/>
      <c r="QHU78" s="684"/>
      <c r="QHV78" s="684"/>
      <c r="QHW78" s="684"/>
      <c r="QHX78" s="684"/>
      <c r="QHY78" s="684"/>
      <c r="QHZ78" s="684"/>
      <c r="QIA78" s="684"/>
      <c r="QIB78" s="684"/>
      <c r="QIC78" s="684"/>
      <c r="QID78" s="684"/>
      <c r="QIE78" s="684"/>
      <c r="QIF78" s="684"/>
      <c r="QIG78" s="684"/>
      <c r="QIH78" s="684"/>
      <c r="QII78" s="684"/>
      <c r="QIJ78" s="684"/>
      <c r="QIK78" s="684"/>
      <c r="QIL78" s="684"/>
      <c r="QIM78" s="684"/>
      <c r="QIN78" s="684"/>
      <c r="QIO78" s="684"/>
      <c r="QIP78" s="684"/>
      <c r="QIQ78" s="684"/>
      <c r="QIR78" s="684"/>
      <c r="QIS78" s="684"/>
      <c r="QIT78" s="684"/>
      <c r="QIU78" s="684"/>
      <c r="QIV78" s="684"/>
      <c r="QIW78" s="684"/>
      <c r="QIX78" s="684"/>
      <c r="QIY78" s="684"/>
      <c r="QIZ78" s="684"/>
      <c r="QJA78" s="684"/>
      <c r="QJB78" s="684"/>
      <c r="QJC78" s="684"/>
      <c r="QJD78" s="684"/>
      <c r="QJE78" s="684"/>
      <c r="QJF78" s="684"/>
      <c r="QJG78" s="684"/>
      <c r="QJH78" s="684"/>
      <c r="QJI78" s="684"/>
      <c r="QJJ78" s="684"/>
      <c r="QJK78" s="684"/>
      <c r="QJL78" s="684"/>
      <c r="QJM78" s="684"/>
      <c r="QJN78" s="684"/>
      <c r="QJO78" s="684"/>
      <c r="QJP78" s="684"/>
      <c r="QJQ78" s="684"/>
      <c r="QJR78" s="684"/>
      <c r="QJS78" s="684"/>
      <c r="QJT78" s="684"/>
      <c r="QJU78" s="684"/>
      <c r="QJV78" s="684"/>
      <c r="QJW78" s="684"/>
      <c r="QJX78" s="684"/>
      <c r="QJY78" s="684"/>
      <c r="QJZ78" s="684"/>
      <c r="QKA78" s="684"/>
      <c r="QKB78" s="684"/>
      <c r="QKC78" s="684"/>
      <c r="QKD78" s="684"/>
      <c r="QKE78" s="684"/>
      <c r="QKF78" s="684"/>
      <c r="QKG78" s="684"/>
      <c r="QKH78" s="684"/>
      <c r="QKI78" s="684"/>
      <c r="QKJ78" s="684"/>
      <c r="QKK78" s="684"/>
      <c r="QKL78" s="684"/>
      <c r="QKM78" s="684"/>
      <c r="QKN78" s="684"/>
      <c r="QKO78" s="684"/>
      <c r="QKP78" s="684"/>
      <c r="QKQ78" s="684"/>
      <c r="QKR78" s="684"/>
      <c r="QKS78" s="684"/>
      <c r="QKT78" s="684"/>
      <c r="QKU78" s="684"/>
      <c r="QKV78" s="684"/>
      <c r="QKW78" s="684"/>
      <c r="QKX78" s="684"/>
      <c r="QKY78" s="684"/>
      <c r="QKZ78" s="684"/>
      <c r="QLA78" s="684"/>
      <c r="QLB78" s="684"/>
      <c r="QLC78" s="684"/>
      <c r="QLD78" s="684"/>
      <c r="QLE78" s="684"/>
      <c r="QLF78" s="684"/>
      <c r="QLG78" s="684"/>
      <c r="QLH78" s="684"/>
      <c r="QLI78" s="684"/>
      <c r="QLJ78" s="684"/>
      <c r="QLK78" s="684"/>
      <c r="QLL78" s="684"/>
      <c r="QLM78" s="684"/>
      <c r="QLN78" s="684"/>
      <c r="QLO78" s="684"/>
      <c r="QLP78" s="684"/>
      <c r="QLQ78" s="684"/>
      <c r="QLR78" s="684"/>
      <c r="QLS78" s="684"/>
      <c r="QLT78" s="684"/>
      <c r="QLU78" s="684"/>
      <c r="QLV78" s="684"/>
      <c r="QLW78" s="684"/>
      <c r="QLX78" s="684"/>
      <c r="QLY78" s="684"/>
      <c r="QLZ78" s="684"/>
      <c r="QMA78" s="684"/>
      <c r="QMB78" s="684"/>
      <c r="QMC78" s="684"/>
      <c r="QMD78" s="684"/>
      <c r="QME78" s="684"/>
      <c r="QMF78" s="684"/>
      <c r="QMG78" s="684"/>
      <c r="QMH78" s="684"/>
      <c r="QMI78" s="684"/>
      <c r="QMJ78" s="684"/>
      <c r="QMK78" s="684"/>
      <c r="QML78" s="684"/>
      <c r="QMM78" s="684"/>
      <c r="QMN78" s="684"/>
      <c r="QMO78" s="684"/>
      <c r="QMP78" s="684"/>
      <c r="QMQ78" s="684"/>
      <c r="QMR78" s="684"/>
      <c r="QMS78" s="684"/>
      <c r="QMT78" s="684"/>
      <c r="QMU78" s="684"/>
      <c r="QMV78" s="684"/>
      <c r="QMW78" s="684"/>
      <c r="QMX78" s="684"/>
      <c r="QMY78" s="684"/>
      <c r="QMZ78" s="684"/>
      <c r="QNA78" s="684"/>
      <c r="QNB78" s="684"/>
      <c r="QNC78" s="684"/>
      <c r="QND78" s="684"/>
      <c r="QNE78" s="684"/>
      <c r="QNF78" s="684"/>
      <c r="QNG78" s="684"/>
      <c r="QNH78" s="684"/>
      <c r="QNI78" s="684"/>
      <c r="QNJ78" s="684"/>
      <c r="QNK78" s="684"/>
      <c r="QNL78" s="684"/>
      <c r="QNM78" s="684"/>
      <c r="QNN78" s="684"/>
      <c r="QNO78" s="684"/>
      <c r="QNP78" s="684"/>
      <c r="QNQ78" s="684"/>
      <c r="QNR78" s="684"/>
      <c r="QNS78" s="684"/>
      <c r="QNT78" s="684"/>
      <c r="QNU78" s="684"/>
      <c r="QNV78" s="684"/>
      <c r="QNW78" s="684"/>
      <c r="QNX78" s="684"/>
      <c r="QNY78" s="684"/>
      <c r="QNZ78" s="684"/>
      <c r="QOA78" s="684"/>
      <c r="QOB78" s="684"/>
      <c r="QOC78" s="684"/>
      <c r="QOD78" s="684"/>
      <c r="QOE78" s="684"/>
      <c r="QOF78" s="684"/>
      <c r="QOG78" s="684"/>
      <c r="QOH78" s="684"/>
      <c r="QOI78" s="684"/>
      <c r="QOJ78" s="684"/>
      <c r="QOK78" s="684"/>
      <c r="QOL78" s="684"/>
      <c r="QOM78" s="684"/>
      <c r="QON78" s="684"/>
      <c r="QOO78" s="684"/>
      <c r="QOP78" s="684"/>
      <c r="QOQ78" s="684"/>
      <c r="QOR78" s="684"/>
      <c r="QOS78" s="684"/>
      <c r="QOT78" s="684"/>
      <c r="QOU78" s="684"/>
      <c r="QOV78" s="684"/>
      <c r="QOW78" s="684"/>
      <c r="QOX78" s="684"/>
      <c r="QOY78" s="684"/>
      <c r="QOZ78" s="684"/>
      <c r="QPA78" s="684"/>
      <c r="QPB78" s="684"/>
      <c r="QPC78" s="684"/>
      <c r="QPD78" s="684"/>
      <c r="QPE78" s="684"/>
      <c r="QPF78" s="684"/>
      <c r="QPG78" s="684"/>
      <c r="QPH78" s="684"/>
      <c r="QPI78" s="684"/>
      <c r="QPJ78" s="684"/>
      <c r="QPK78" s="684"/>
      <c r="QPL78" s="684"/>
      <c r="QPM78" s="684"/>
      <c r="QPN78" s="684"/>
      <c r="QPO78" s="684"/>
      <c r="QPP78" s="684"/>
      <c r="QPQ78" s="684"/>
      <c r="QPR78" s="684"/>
      <c r="QPS78" s="684"/>
      <c r="QPT78" s="684"/>
      <c r="QPU78" s="684"/>
      <c r="QPV78" s="684"/>
      <c r="QPW78" s="684"/>
      <c r="QPX78" s="684"/>
      <c r="QPY78" s="684"/>
      <c r="QPZ78" s="684"/>
      <c r="QQA78" s="684"/>
      <c r="QQB78" s="684"/>
      <c r="QQC78" s="684"/>
      <c r="QQD78" s="684"/>
      <c r="QQE78" s="684"/>
      <c r="QQF78" s="684"/>
      <c r="QQG78" s="684"/>
      <c r="QQH78" s="684"/>
      <c r="QQI78" s="684"/>
      <c r="QQJ78" s="684"/>
      <c r="QQK78" s="684"/>
      <c r="QQL78" s="684"/>
      <c r="QQM78" s="684"/>
      <c r="QQN78" s="684"/>
      <c r="QQO78" s="684"/>
      <c r="QQP78" s="684"/>
      <c r="QQQ78" s="684"/>
      <c r="QQR78" s="684"/>
      <c r="QQS78" s="684"/>
      <c r="QQT78" s="684"/>
      <c r="QQU78" s="684"/>
      <c r="QQV78" s="684"/>
      <c r="QQW78" s="684"/>
      <c r="QQX78" s="684"/>
      <c r="QQY78" s="684"/>
      <c r="QQZ78" s="684"/>
      <c r="QRA78" s="684"/>
      <c r="QRB78" s="684"/>
      <c r="QRC78" s="684"/>
      <c r="QRD78" s="684"/>
      <c r="QRE78" s="684"/>
      <c r="QRF78" s="684"/>
      <c r="QRG78" s="684"/>
      <c r="QRH78" s="684"/>
      <c r="QRI78" s="684"/>
      <c r="QRJ78" s="684"/>
      <c r="QRK78" s="684"/>
      <c r="QRL78" s="684"/>
      <c r="QRM78" s="684"/>
      <c r="QRN78" s="684"/>
      <c r="QRO78" s="684"/>
      <c r="QRP78" s="684"/>
      <c r="QRQ78" s="684"/>
      <c r="QRR78" s="684"/>
      <c r="QRS78" s="684"/>
      <c r="QRT78" s="684"/>
      <c r="QRU78" s="684"/>
      <c r="QRV78" s="684"/>
      <c r="QRW78" s="684"/>
      <c r="QRX78" s="684"/>
      <c r="QRY78" s="684"/>
      <c r="QRZ78" s="684"/>
      <c r="QSA78" s="684"/>
      <c r="QSB78" s="684"/>
      <c r="QSC78" s="684"/>
      <c r="QSD78" s="684"/>
      <c r="QSE78" s="684"/>
      <c r="QSF78" s="684"/>
      <c r="QSG78" s="684"/>
      <c r="QSH78" s="684"/>
      <c r="QSI78" s="684"/>
      <c r="QSJ78" s="684"/>
      <c r="QSK78" s="684"/>
      <c r="QSL78" s="684"/>
      <c r="QSM78" s="684"/>
      <c r="QSN78" s="684"/>
      <c r="QSO78" s="684"/>
      <c r="QSP78" s="684"/>
      <c r="QSQ78" s="684"/>
      <c r="QSR78" s="684"/>
      <c r="QSS78" s="684"/>
      <c r="QST78" s="684"/>
      <c r="QSU78" s="684"/>
      <c r="QSV78" s="684"/>
      <c r="QSW78" s="684"/>
      <c r="QSX78" s="684"/>
      <c r="QSY78" s="684"/>
      <c r="QSZ78" s="684"/>
      <c r="QTA78" s="684"/>
      <c r="QTB78" s="684"/>
      <c r="QTC78" s="684"/>
      <c r="QTD78" s="684"/>
      <c r="QTE78" s="684"/>
      <c r="QTF78" s="684"/>
      <c r="QTG78" s="684"/>
      <c r="QTH78" s="684"/>
      <c r="QTI78" s="684"/>
      <c r="QTJ78" s="684"/>
      <c r="QTK78" s="684"/>
      <c r="QTL78" s="684"/>
      <c r="QTM78" s="684"/>
      <c r="QTN78" s="684"/>
      <c r="QTO78" s="684"/>
      <c r="QTP78" s="684"/>
      <c r="QTQ78" s="684"/>
      <c r="QTR78" s="684"/>
      <c r="QTS78" s="684"/>
      <c r="QTT78" s="684"/>
      <c r="QTU78" s="684"/>
      <c r="QTV78" s="684"/>
      <c r="QTW78" s="684"/>
      <c r="QTX78" s="684"/>
      <c r="QTY78" s="684"/>
      <c r="QTZ78" s="684"/>
      <c r="QUA78" s="684"/>
      <c r="QUB78" s="684"/>
      <c r="QUC78" s="684"/>
      <c r="QUD78" s="684"/>
      <c r="QUE78" s="684"/>
      <c r="QUF78" s="684"/>
      <c r="QUG78" s="684"/>
      <c r="QUH78" s="684"/>
      <c r="QUI78" s="684"/>
      <c r="QUJ78" s="684"/>
      <c r="QUK78" s="684"/>
      <c r="QUL78" s="684"/>
      <c r="QUM78" s="684"/>
      <c r="QUN78" s="684"/>
      <c r="QUO78" s="684"/>
      <c r="QUP78" s="684"/>
      <c r="QUQ78" s="684"/>
      <c r="QUR78" s="684"/>
      <c r="QUS78" s="684"/>
      <c r="QUT78" s="684"/>
      <c r="QUU78" s="684"/>
      <c r="QUV78" s="684"/>
      <c r="QUW78" s="684"/>
      <c r="QUX78" s="684"/>
      <c r="QUY78" s="684"/>
      <c r="QUZ78" s="684"/>
      <c r="QVA78" s="684"/>
      <c r="QVB78" s="684"/>
      <c r="QVC78" s="684"/>
      <c r="QVD78" s="684"/>
      <c r="QVE78" s="684"/>
      <c r="QVF78" s="684"/>
      <c r="QVG78" s="684"/>
      <c r="QVH78" s="684"/>
      <c r="QVI78" s="684"/>
      <c r="QVJ78" s="684"/>
      <c r="QVK78" s="684"/>
      <c r="QVL78" s="684"/>
      <c r="QVM78" s="684"/>
      <c r="QVN78" s="684"/>
      <c r="QVO78" s="684"/>
      <c r="QVP78" s="684"/>
      <c r="QVQ78" s="684"/>
      <c r="QVR78" s="684"/>
      <c r="QVS78" s="684"/>
      <c r="QVT78" s="684"/>
      <c r="QVU78" s="684"/>
      <c r="QVV78" s="684"/>
      <c r="QVW78" s="684"/>
      <c r="QVX78" s="684"/>
      <c r="QVY78" s="684"/>
      <c r="QVZ78" s="684"/>
      <c r="QWA78" s="684"/>
      <c r="QWB78" s="684"/>
      <c r="QWC78" s="684"/>
      <c r="QWD78" s="684"/>
      <c r="QWE78" s="684"/>
      <c r="QWF78" s="684"/>
      <c r="QWG78" s="684"/>
      <c r="QWH78" s="684"/>
      <c r="QWI78" s="684"/>
      <c r="QWJ78" s="684"/>
      <c r="QWK78" s="684"/>
      <c r="QWL78" s="684"/>
      <c r="QWM78" s="684"/>
      <c r="QWN78" s="684"/>
      <c r="QWO78" s="684"/>
      <c r="QWP78" s="684"/>
      <c r="QWQ78" s="684"/>
      <c r="QWR78" s="684"/>
      <c r="QWS78" s="684"/>
      <c r="QWT78" s="684"/>
      <c r="QWU78" s="684"/>
      <c r="QWV78" s="684"/>
      <c r="QWW78" s="684"/>
      <c r="QWX78" s="684"/>
      <c r="QWY78" s="684"/>
      <c r="QWZ78" s="684"/>
      <c r="QXA78" s="684"/>
      <c r="QXB78" s="684"/>
      <c r="QXC78" s="684"/>
      <c r="QXD78" s="684"/>
      <c r="QXE78" s="684"/>
      <c r="QXF78" s="684"/>
      <c r="QXG78" s="684"/>
      <c r="QXH78" s="684"/>
      <c r="QXI78" s="684"/>
      <c r="QXJ78" s="684"/>
      <c r="QXK78" s="684"/>
      <c r="QXL78" s="684"/>
      <c r="QXM78" s="684"/>
      <c r="QXN78" s="684"/>
      <c r="QXO78" s="684"/>
      <c r="QXP78" s="684"/>
      <c r="QXQ78" s="684"/>
      <c r="QXR78" s="684"/>
      <c r="QXS78" s="684"/>
      <c r="QXT78" s="684"/>
      <c r="QXU78" s="684"/>
      <c r="QXV78" s="684"/>
      <c r="QXW78" s="684"/>
      <c r="QXX78" s="684"/>
      <c r="QXY78" s="684"/>
      <c r="QXZ78" s="684"/>
      <c r="QYA78" s="684"/>
      <c r="QYB78" s="684"/>
      <c r="QYC78" s="684"/>
      <c r="QYD78" s="684"/>
      <c r="QYE78" s="684"/>
      <c r="QYF78" s="684"/>
      <c r="QYG78" s="684"/>
      <c r="QYH78" s="684"/>
      <c r="QYI78" s="684"/>
      <c r="QYJ78" s="684"/>
      <c r="QYK78" s="684"/>
      <c r="QYL78" s="684"/>
      <c r="QYM78" s="684"/>
      <c r="QYN78" s="684"/>
      <c r="QYO78" s="684"/>
      <c r="QYP78" s="684"/>
      <c r="QYQ78" s="684"/>
      <c r="QYR78" s="684"/>
      <c r="QYS78" s="684"/>
      <c r="QYT78" s="684"/>
      <c r="QYU78" s="684"/>
      <c r="QYV78" s="684"/>
      <c r="QYW78" s="684"/>
      <c r="QYX78" s="684"/>
      <c r="QYY78" s="684"/>
      <c r="QYZ78" s="684"/>
      <c r="QZA78" s="684"/>
      <c r="QZB78" s="684"/>
      <c r="QZC78" s="684"/>
      <c r="QZD78" s="684"/>
      <c r="QZE78" s="684"/>
      <c r="QZF78" s="684"/>
      <c r="QZG78" s="684"/>
      <c r="QZH78" s="684"/>
      <c r="QZI78" s="684"/>
      <c r="QZJ78" s="684"/>
      <c r="QZK78" s="684"/>
      <c r="QZL78" s="684"/>
      <c r="QZM78" s="684"/>
      <c r="QZN78" s="684"/>
      <c r="QZO78" s="684"/>
      <c r="QZP78" s="684"/>
      <c r="QZQ78" s="684"/>
      <c r="QZR78" s="684"/>
      <c r="QZS78" s="684"/>
      <c r="QZT78" s="684"/>
      <c r="QZU78" s="684"/>
      <c r="QZV78" s="684"/>
      <c r="QZW78" s="684"/>
      <c r="QZX78" s="684"/>
      <c r="QZY78" s="684"/>
      <c r="QZZ78" s="684"/>
      <c r="RAA78" s="684"/>
      <c r="RAB78" s="684"/>
      <c r="RAC78" s="684"/>
      <c r="RAD78" s="684"/>
      <c r="RAE78" s="684"/>
      <c r="RAF78" s="684"/>
      <c r="RAG78" s="684"/>
      <c r="RAH78" s="684"/>
      <c r="RAI78" s="684"/>
      <c r="RAJ78" s="684"/>
      <c r="RAK78" s="684"/>
      <c r="RAL78" s="684"/>
      <c r="RAM78" s="684"/>
      <c r="RAN78" s="684"/>
      <c r="RAO78" s="684"/>
      <c r="RAP78" s="684"/>
      <c r="RAQ78" s="684"/>
      <c r="RAR78" s="684"/>
      <c r="RAS78" s="684"/>
      <c r="RAT78" s="684"/>
      <c r="RAU78" s="684"/>
      <c r="RAV78" s="684"/>
      <c r="RAW78" s="684"/>
      <c r="RAX78" s="684"/>
      <c r="RAY78" s="684"/>
      <c r="RAZ78" s="684"/>
      <c r="RBA78" s="684"/>
      <c r="RBB78" s="684"/>
      <c r="RBC78" s="684"/>
      <c r="RBD78" s="684"/>
      <c r="RBE78" s="684"/>
      <c r="RBF78" s="684"/>
      <c r="RBG78" s="684"/>
      <c r="RBH78" s="684"/>
      <c r="RBI78" s="684"/>
      <c r="RBJ78" s="684"/>
      <c r="RBK78" s="684"/>
      <c r="RBL78" s="684"/>
      <c r="RBM78" s="684"/>
      <c r="RBN78" s="684"/>
      <c r="RBO78" s="684"/>
      <c r="RBP78" s="684"/>
      <c r="RBQ78" s="684"/>
      <c r="RBR78" s="684"/>
      <c r="RBS78" s="684"/>
      <c r="RBT78" s="684"/>
      <c r="RBU78" s="684"/>
      <c r="RBV78" s="684"/>
      <c r="RBW78" s="684"/>
      <c r="RBX78" s="684"/>
      <c r="RBY78" s="684"/>
      <c r="RBZ78" s="684"/>
      <c r="RCA78" s="684"/>
      <c r="RCB78" s="684"/>
      <c r="RCC78" s="684"/>
      <c r="RCD78" s="684"/>
      <c r="RCE78" s="684"/>
      <c r="RCF78" s="684"/>
      <c r="RCG78" s="684"/>
      <c r="RCH78" s="684"/>
      <c r="RCI78" s="684"/>
      <c r="RCJ78" s="684"/>
      <c r="RCK78" s="684"/>
      <c r="RCL78" s="684"/>
      <c r="RCM78" s="684"/>
      <c r="RCN78" s="684"/>
      <c r="RCO78" s="684"/>
      <c r="RCP78" s="684"/>
      <c r="RCQ78" s="684"/>
      <c r="RCR78" s="684"/>
      <c r="RCS78" s="684"/>
      <c r="RCT78" s="684"/>
      <c r="RCU78" s="684"/>
      <c r="RCV78" s="684"/>
      <c r="RCW78" s="684"/>
      <c r="RCX78" s="684"/>
      <c r="RCY78" s="684"/>
      <c r="RCZ78" s="684"/>
      <c r="RDA78" s="684"/>
      <c r="RDB78" s="684"/>
      <c r="RDC78" s="684"/>
      <c r="RDD78" s="684"/>
      <c r="RDE78" s="684"/>
      <c r="RDF78" s="684"/>
      <c r="RDG78" s="684"/>
      <c r="RDH78" s="684"/>
      <c r="RDI78" s="684"/>
      <c r="RDJ78" s="684"/>
      <c r="RDK78" s="684"/>
      <c r="RDL78" s="684"/>
      <c r="RDM78" s="684"/>
      <c r="RDN78" s="684"/>
      <c r="RDO78" s="684"/>
      <c r="RDP78" s="684"/>
      <c r="RDQ78" s="684"/>
      <c r="RDR78" s="684"/>
      <c r="RDS78" s="684"/>
      <c r="RDT78" s="684"/>
      <c r="RDU78" s="684"/>
      <c r="RDV78" s="684"/>
      <c r="RDW78" s="684"/>
      <c r="RDX78" s="684"/>
      <c r="RDY78" s="684"/>
      <c r="RDZ78" s="684"/>
      <c r="REA78" s="684"/>
      <c r="REB78" s="684"/>
      <c r="REC78" s="684"/>
      <c r="RED78" s="684"/>
      <c r="REE78" s="684"/>
      <c r="REF78" s="684"/>
      <c r="REG78" s="684"/>
      <c r="REH78" s="684"/>
      <c r="REI78" s="684"/>
      <c r="REJ78" s="684"/>
      <c r="REK78" s="684"/>
      <c r="REL78" s="684"/>
      <c r="REM78" s="684"/>
      <c r="REN78" s="684"/>
      <c r="REO78" s="684"/>
      <c r="REP78" s="684"/>
      <c r="REQ78" s="684"/>
      <c r="RER78" s="684"/>
      <c r="RES78" s="684"/>
      <c r="RET78" s="684"/>
      <c r="REU78" s="684"/>
      <c r="REV78" s="684"/>
      <c r="REW78" s="684"/>
      <c r="REX78" s="684"/>
      <c r="REY78" s="684"/>
      <c r="REZ78" s="684"/>
      <c r="RFA78" s="684"/>
      <c r="RFB78" s="684"/>
      <c r="RFC78" s="684"/>
      <c r="RFD78" s="684"/>
      <c r="RFE78" s="684"/>
      <c r="RFF78" s="684"/>
      <c r="RFG78" s="684"/>
      <c r="RFH78" s="684"/>
      <c r="RFI78" s="684"/>
      <c r="RFJ78" s="684"/>
      <c r="RFK78" s="684"/>
      <c r="RFL78" s="684"/>
      <c r="RFM78" s="684"/>
      <c r="RFN78" s="684"/>
      <c r="RFO78" s="684"/>
      <c r="RFP78" s="684"/>
      <c r="RFQ78" s="684"/>
      <c r="RFR78" s="684"/>
      <c r="RFS78" s="684"/>
      <c r="RFT78" s="684"/>
      <c r="RFU78" s="684"/>
      <c r="RFV78" s="684"/>
      <c r="RFW78" s="684"/>
      <c r="RFX78" s="684"/>
      <c r="RFY78" s="684"/>
      <c r="RFZ78" s="684"/>
      <c r="RGA78" s="684"/>
      <c r="RGB78" s="684"/>
      <c r="RGC78" s="684"/>
      <c r="RGD78" s="684"/>
      <c r="RGE78" s="684"/>
      <c r="RGF78" s="684"/>
      <c r="RGG78" s="684"/>
      <c r="RGH78" s="684"/>
      <c r="RGI78" s="684"/>
      <c r="RGJ78" s="684"/>
      <c r="RGK78" s="684"/>
      <c r="RGL78" s="684"/>
      <c r="RGM78" s="684"/>
      <c r="RGN78" s="684"/>
      <c r="RGO78" s="684"/>
      <c r="RGP78" s="684"/>
      <c r="RGQ78" s="684"/>
      <c r="RGR78" s="684"/>
      <c r="RGS78" s="684"/>
      <c r="RGT78" s="684"/>
      <c r="RGU78" s="684"/>
      <c r="RGV78" s="684"/>
      <c r="RGW78" s="684"/>
      <c r="RGX78" s="684"/>
      <c r="RGY78" s="684"/>
      <c r="RGZ78" s="684"/>
      <c r="RHA78" s="684"/>
      <c r="RHB78" s="684"/>
      <c r="RHC78" s="684"/>
      <c r="RHD78" s="684"/>
      <c r="RHE78" s="684"/>
      <c r="RHF78" s="684"/>
      <c r="RHG78" s="684"/>
      <c r="RHH78" s="684"/>
      <c r="RHI78" s="684"/>
      <c r="RHJ78" s="684"/>
      <c r="RHK78" s="684"/>
      <c r="RHL78" s="684"/>
      <c r="RHM78" s="684"/>
      <c r="RHN78" s="684"/>
      <c r="RHO78" s="684"/>
      <c r="RHP78" s="684"/>
      <c r="RHQ78" s="684"/>
      <c r="RHR78" s="684"/>
      <c r="RHS78" s="684"/>
      <c r="RHT78" s="684"/>
      <c r="RHU78" s="684"/>
      <c r="RHV78" s="684"/>
      <c r="RHW78" s="684"/>
      <c r="RHX78" s="684"/>
      <c r="RHY78" s="684"/>
      <c r="RHZ78" s="684"/>
      <c r="RIA78" s="684"/>
      <c r="RIB78" s="684"/>
      <c r="RIC78" s="684"/>
      <c r="RID78" s="684"/>
      <c r="RIE78" s="684"/>
      <c r="RIF78" s="684"/>
      <c r="RIG78" s="684"/>
      <c r="RIH78" s="684"/>
      <c r="RII78" s="684"/>
      <c r="RIJ78" s="684"/>
      <c r="RIK78" s="684"/>
      <c r="RIL78" s="684"/>
      <c r="RIM78" s="684"/>
      <c r="RIN78" s="684"/>
      <c r="RIO78" s="684"/>
      <c r="RIP78" s="684"/>
      <c r="RIQ78" s="684"/>
      <c r="RIR78" s="684"/>
      <c r="RIS78" s="684"/>
      <c r="RIT78" s="684"/>
      <c r="RIU78" s="684"/>
      <c r="RIV78" s="684"/>
      <c r="RIW78" s="684"/>
      <c r="RIX78" s="684"/>
      <c r="RIY78" s="684"/>
      <c r="RIZ78" s="684"/>
      <c r="RJA78" s="684"/>
      <c r="RJB78" s="684"/>
      <c r="RJC78" s="684"/>
      <c r="RJD78" s="684"/>
      <c r="RJE78" s="684"/>
      <c r="RJF78" s="684"/>
      <c r="RJG78" s="684"/>
      <c r="RJH78" s="684"/>
      <c r="RJI78" s="684"/>
      <c r="RJJ78" s="684"/>
      <c r="RJK78" s="684"/>
      <c r="RJL78" s="684"/>
      <c r="RJM78" s="684"/>
      <c r="RJN78" s="684"/>
      <c r="RJO78" s="684"/>
      <c r="RJP78" s="684"/>
      <c r="RJQ78" s="684"/>
      <c r="RJR78" s="684"/>
      <c r="RJS78" s="684"/>
      <c r="RJT78" s="684"/>
      <c r="RJU78" s="684"/>
      <c r="RJV78" s="684"/>
      <c r="RJW78" s="684"/>
      <c r="RJX78" s="684"/>
      <c r="RJY78" s="684"/>
      <c r="RJZ78" s="684"/>
      <c r="RKA78" s="684"/>
      <c r="RKB78" s="684"/>
      <c r="RKC78" s="684"/>
      <c r="RKD78" s="684"/>
      <c r="RKE78" s="684"/>
      <c r="RKF78" s="684"/>
      <c r="RKG78" s="684"/>
      <c r="RKH78" s="684"/>
      <c r="RKI78" s="684"/>
      <c r="RKJ78" s="684"/>
      <c r="RKK78" s="684"/>
      <c r="RKL78" s="684"/>
      <c r="RKM78" s="684"/>
      <c r="RKN78" s="684"/>
      <c r="RKO78" s="684"/>
      <c r="RKP78" s="684"/>
      <c r="RKQ78" s="684"/>
      <c r="RKR78" s="684"/>
      <c r="RKS78" s="684"/>
      <c r="RKT78" s="684"/>
      <c r="RKU78" s="684"/>
      <c r="RKV78" s="684"/>
      <c r="RKW78" s="684"/>
      <c r="RKX78" s="684"/>
      <c r="RKY78" s="684"/>
      <c r="RKZ78" s="684"/>
      <c r="RLA78" s="684"/>
      <c r="RLB78" s="684"/>
      <c r="RLC78" s="684"/>
      <c r="RLD78" s="684"/>
      <c r="RLE78" s="684"/>
      <c r="RLF78" s="684"/>
      <c r="RLG78" s="684"/>
      <c r="RLH78" s="684"/>
      <c r="RLI78" s="684"/>
      <c r="RLJ78" s="684"/>
      <c r="RLK78" s="684"/>
      <c r="RLL78" s="684"/>
      <c r="RLM78" s="684"/>
      <c r="RLN78" s="684"/>
      <c r="RLO78" s="684"/>
      <c r="RLP78" s="684"/>
      <c r="RLQ78" s="684"/>
      <c r="RLR78" s="684"/>
      <c r="RLS78" s="684"/>
      <c r="RLT78" s="684"/>
      <c r="RLU78" s="684"/>
      <c r="RLV78" s="684"/>
      <c r="RLW78" s="684"/>
      <c r="RLX78" s="684"/>
      <c r="RLY78" s="684"/>
      <c r="RLZ78" s="684"/>
      <c r="RMA78" s="684"/>
      <c r="RMB78" s="684"/>
      <c r="RMC78" s="684"/>
      <c r="RMD78" s="684"/>
      <c r="RME78" s="684"/>
      <c r="RMF78" s="684"/>
      <c r="RMG78" s="684"/>
      <c r="RMH78" s="684"/>
      <c r="RMI78" s="684"/>
      <c r="RMJ78" s="684"/>
      <c r="RMK78" s="684"/>
      <c r="RML78" s="684"/>
      <c r="RMM78" s="684"/>
      <c r="RMN78" s="684"/>
      <c r="RMO78" s="684"/>
      <c r="RMP78" s="684"/>
      <c r="RMQ78" s="684"/>
      <c r="RMR78" s="684"/>
      <c r="RMS78" s="684"/>
      <c r="RMT78" s="684"/>
      <c r="RMU78" s="684"/>
      <c r="RMV78" s="684"/>
      <c r="RMW78" s="684"/>
      <c r="RMX78" s="684"/>
      <c r="RMY78" s="684"/>
      <c r="RMZ78" s="684"/>
      <c r="RNA78" s="684"/>
      <c r="RNB78" s="684"/>
      <c r="RNC78" s="684"/>
      <c r="RND78" s="684"/>
      <c r="RNE78" s="684"/>
      <c r="RNF78" s="684"/>
      <c r="RNG78" s="684"/>
      <c r="RNH78" s="684"/>
      <c r="RNI78" s="684"/>
      <c r="RNJ78" s="684"/>
      <c r="RNK78" s="684"/>
      <c r="RNL78" s="684"/>
      <c r="RNM78" s="684"/>
      <c r="RNN78" s="684"/>
      <c r="RNO78" s="684"/>
      <c r="RNP78" s="684"/>
      <c r="RNQ78" s="684"/>
      <c r="RNR78" s="684"/>
      <c r="RNS78" s="684"/>
      <c r="RNT78" s="684"/>
      <c r="RNU78" s="684"/>
      <c r="RNV78" s="684"/>
      <c r="RNW78" s="684"/>
      <c r="RNX78" s="684"/>
      <c r="RNY78" s="684"/>
      <c r="RNZ78" s="684"/>
      <c r="ROA78" s="684"/>
      <c r="ROB78" s="684"/>
      <c r="ROC78" s="684"/>
      <c r="ROD78" s="684"/>
      <c r="ROE78" s="684"/>
      <c r="ROF78" s="684"/>
      <c r="ROG78" s="684"/>
      <c r="ROH78" s="684"/>
      <c r="ROI78" s="684"/>
      <c r="ROJ78" s="684"/>
      <c r="ROK78" s="684"/>
      <c r="ROL78" s="684"/>
      <c r="ROM78" s="684"/>
      <c r="RON78" s="684"/>
      <c r="ROO78" s="684"/>
      <c r="ROP78" s="684"/>
      <c r="ROQ78" s="684"/>
      <c r="ROR78" s="684"/>
      <c r="ROS78" s="684"/>
      <c r="ROT78" s="684"/>
      <c r="ROU78" s="684"/>
      <c r="ROV78" s="684"/>
      <c r="ROW78" s="684"/>
      <c r="ROX78" s="684"/>
      <c r="ROY78" s="684"/>
      <c r="ROZ78" s="684"/>
      <c r="RPA78" s="684"/>
      <c r="RPB78" s="684"/>
      <c r="RPC78" s="684"/>
      <c r="RPD78" s="684"/>
      <c r="RPE78" s="684"/>
      <c r="RPF78" s="684"/>
      <c r="RPG78" s="684"/>
      <c r="RPH78" s="684"/>
      <c r="RPI78" s="684"/>
      <c r="RPJ78" s="684"/>
      <c r="RPK78" s="684"/>
      <c r="RPL78" s="684"/>
      <c r="RPM78" s="684"/>
      <c r="RPN78" s="684"/>
      <c r="RPO78" s="684"/>
      <c r="RPP78" s="684"/>
      <c r="RPQ78" s="684"/>
      <c r="RPR78" s="684"/>
      <c r="RPS78" s="684"/>
      <c r="RPT78" s="684"/>
      <c r="RPU78" s="684"/>
      <c r="RPV78" s="684"/>
      <c r="RPW78" s="684"/>
      <c r="RPX78" s="684"/>
      <c r="RPY78" s="684"/>
      <c r="RPZ78" s="684"/>
      <c r="RQA78" s="684"/>
      <c r="RQB78" s="684"/>
      <c r="RQC78" s="684"/>
      <c r="RQD78" s="684"/>
      <c r="RQE78" s="684"/>
      <c r="RQF78" s="684"/>
      <c r="RQG78" s="684"/>
      <c r="RQH78" s="684"/>
      <c r="RQI78" s="684"/>
      <c r="RQJ78" s="684"/>
      <c r="RQK78" s="684"/>
      <c r="RQL78" s="684"/>
      <c r="RQM78" s="684"/>
      <c r="RQN78" s="684"/>
      <c r="RQO78" s="684"/>
      <c r="RQP78" s="684"/>
      <c r="RQQ78" s="684"/>
      <c r="RQR78" s="684"/>
      <c r="RQS78" s="684"/>
      <c r="RQT78" s="684"/>
      <c r="RQU78" s="684"/>
      <c r="RQV78" s="684"/>
      <c r="RQW78" s="684"/>
      <c r="RQX78" s="684"/>
      <c r="RQY78" s="684"/>
      <c r="RQZ78" s="684"/>
      <c r="RRA78" s="684"/>
      <c r="RRB78" s="684"/>
      <c r="RRC78" s="684"/>
      <c r="RRD78" s="684"/>
      <c r="RRE78" s="684"/>
      <c r="RRF78" s="684"/>
      <c r="RRG78" s="684"/>
      <c r="RRH78" s="684"/>
      <c r="RRI78" s="684"/>
      <c r="RRJ78" s="684"/>
      <c r="RRK78" s="684"/>
      <c r="RRL78" s="684"/>
      <c r="RRM78" s="684"/>
      <c r="RRN78" s="684"/>
      <c r="RRO78" s="684"/>
      <c r="RRP78" s="684"/>
      <c r="RRQ78" s="684"/>
      <c r="RRR78" s="684"/>
      <c r="RRS78" s="684"/>
      <c r="RRT78" s="684"/>
      <c r="RRU78" s="684"/>
      <c r="RRV78" s="684"/>
      <c r="RRW78" s="684"/>
      <c r="RRX78" s="684"/>
      <c r="RRY78" s="684"/>
      <c r="RRZ78" s="684"/>
      <c r="RSA78" s="684"/>
      <c r="RSB78" s="684"/>
      <c r="RSC78" s="684"/>
      <c r="RSD78" s="684"/>
      <c r="RSE78" s="684"/>
      <c r="RSF78" s="684"/>
      <c r="RSG78" s="684"/>
      <c r="RSH78" s="684"/>
      <c r="RSI78" s="684"/>
      <c r="RSJ78" s="684"/>
      <c r="RSK78" s="684"/>
      <c r="RSL78" s="684"/>
      <c r="RSM78" s="684"/>
      <c r="RSN78" s="684"/>
      <c r="RSO78" s="684"/>
      <c r="RSP78" s="684"/>
      <c r="RSQ78" s="684"/>
      <c r="RSR78" s="684"/>
      <c r="RSS78" s="684"/>
      <c r="RST78" s="684"/>
      <c r="RSU78" s="684"/>
      <c r="RSV78" s="684"/>
      <c r="RSW78" s="684"/>
      <c r="RSX78" s="684"/>
      <c r="RSY78" s="684"/>
      <c r="RSZ78" s="684"/>
      <c r="RTA78" s="684"/>
      <c r="RTB78" s="684"/>
      <c r="RTC78" s="684"/>
      <c r="RTD78" s="684"/>
      <c r="RTE78" s="684"/>
      <c r="RTF78" s="684"/>
      <c r="RTG78" s="684"/>
      <c r="RTH78" s="684"/>
      <c r="RTI78" s="684"/>
      <c r="RTJ78" s="684"/>
      <c r="RTK78" s="684"/>
      <c r="RTL78" s="684"/>
      <c r="RTM78" s="684"/>
      <c r="RTN78" s="684"/>
      <c r="RTO78" s="684"/>
      <c r="RTP78" s="684"/>
      <c r="RTQ78" s="684"/>
      <c r="RTR78" s="684"/>
      <c r="RTS78" s="684"/>
      <c r="RTT78" s="684"/>
      <c r="RTU78" s="684"/>
      <c r="RTV78" s="684"/>
      <c r="RTW78" s="684"/>
      <c r="RTX78" s="684"/>
      <c r="RTY78" s="684"/>
      <c r="RTZ78" s="684"/>
      <c r="RUA78" s="684"/>
      <c r="RUB78" s="684"/>
      <c r="RUC78" s="684"/>
      <c r="RUD78" s="684"/>
      <c r="RUE78" s="684"/>
      <c r="RUF78" s="684"/>
      <c r="RUG78" s="684"/>
      <c r="RUH78" s="684"/>
      <c r="RUI78" s="684"/>
      <c r="RUJ78" s="684"/>
      <c r="RUK78" s="684"/>
      <c r="RUL78" s="684"/>
      <c r="RUM78" s="684"/>
      <c r="RUN78" s="684"/>
      <c r="RUO78" s="684"/>
      <c r="RUP78" s="684"/>
      <c r="RUQ78" s="684"/>
      <c r="RUR78" s="684"/>
      <c r="RUS78" s="684"/>
      <c r="RUT78" s="684"/>
      <c r="RUU78" s="684"/>
      <c r="RUV78" s="684"/>
      <c r="RUW78" s="684"/>
      <c r="RUX78" s="684"/>
      <c r="RUY78" s="684"/>
      <c r="RUZ78" s="684"/>
      <c r="RVA78" s="684"/>
      <c r="RVB78" s="684"/>
      <c r="RVC78" s="684"/>
      <c r="RVD78" s="684"/>
      <c r="RVE78" s="684"/>
      <c r="RVF78" s="684"/>
      <c r="RVG78" s="684"/>
      <c r="RVH78" s="684"/>
      <c r="RVI78" s="684"/>
      <c r="RVJ78" s="684"/>
      <c r="RVK78" s="684"/>
      <c r="RVL78" s="684"/>
      <c r="RVM78" s="684"/>
      <c r="RVN78" s="684"/>
      <c r="RVO78" s="684"/>
      <c r="RVP78" s="684"/>
      <c r="RVQ78" s="684"/>
      <c r="RVR78" s="684"/>
      <c r="RVS78" s="684"/>
      <c r="RVT78" s="684"/>
      <c r="RVU78" s="684"/>
      <c r="RVV78" s="684"/>
      <c r="RVW78" s="684"/>
      <c r="RVX78" s="684"/>
      <c r="RVY78" s="684"/>
      <c r="RVZ78" s="684"/>
      <c r="RWA78" s="684"/>
      <c r="RWB78" s="684"/>
      <c r="RWC78" s="684"/>
      <c r="RWD78" s="684"/>
      <c r="RWE78" s="684"/>
      <c r="RWF78" s="684"/>
      <c r="RWG78" s="684"/>
      <c r="RWH78" s="684"/>
      <c r="RWI78" s="684"/>
      <c r="RWJ78" s="684"/>
      <c r="RWK78" s="684"/>
      <c r="RWL78" s="684"/>
      <c r="RWM78" s="684"/>
      <c r="RWN78" s="684"/>
      <c r="RWO78" s="684"/>
      <c r="RWP78" s="684"/>
      <c r="RWQ78" s="684"/>
      <c r="RWR78" s="684"/>
      <c r="RWS78" s="684"/>
      <c r="RWT78" s="684"/>
      <c r="RWU78" s="684"/>
      <c r="RWV78" s="684"/>
      <c r="RWW78" s="684"/>
      <c r="RWX78" s="684"/>
      <c r="RWY78" s="684"/>
      <c r="RWZ78" s="684"/>
      <c r="RXA78" s="684"/>
      <c r="RXB78" s="684"/>
      <c r="RXC78" s="684"/>
      <c r="RXD78" s="684"/>
      <c r="RXE78" s="684"/>
      <c r="RXF78" s="684"/>
      <c r="RXG78" s="684"/>
      <c r="RXH78" s="684"/>
      <c r="RXI78" s="684"/>
      <c r="RXJ78" s="684"/>
      <c r="RXK78" s="684"/>
      <c r="RXL78" s="684"/>
      <c r="RXM78" s="684"/>
      <c r="RXN78" s="684"/>
      <c r="RXO78" s="684"/>
      <c r="RXP78" s="684"/>
      <c r="RXQ78" s="684"/>
      <c r="RXR78" s="684"/>
      <c r="RXS78" s="684"/>
      <c r="RXT78" s="684"/>
      <c r="RXU78" s="684"/>
      <c r="RXV78" s="684"/>
      <c r="RXW78" s="684"/>
      <c r="RXX78" s="684"/>
      <c r="RXY78" s="684"/>
      <c r="RXZ78" s="684"/>
      <c r="RYA78" s="684"/>
      <c r="RYB78" s="684"/>
      <c r="RYC78" s="684"/>
      <c r="RYD78" s="684"/>
      <c r="RYE78" s="684"/>
      <c r="RYF78" s="684"/>
      <c r="RYG78" s="684"/>
      <c r="RYH78" s="684"/>
      <c r="RYI78" s="684"/>
      <c r="RYJ78" s="684"/>
      <c r="RYK78" s="684"/>
      <c r="RYL78" s="684"/>
      <c r="RYM78" s="684"/>
      <c r="RYN78" s="684"/>
      <c r="RYO78" s="684"/>
      <c r="RYP78" s="684"/>
      <c r="RYQ78" s="684"/>
      <c r="RYR78" s="684"/>
      <c r="RYS78" s="684"/>
      <c r="RYT78" s="684"/>
      <c r="RYU78" s="684"/>
      <c r="RYV78" s="684"/>
      <c r="RYW78" s="684"/>
      <c r="RYX78" s="684"/>
      <c r="RYY78" s="684"/>
      <c r="RYZ78" s="684"/>
      <c r="RZA78" s="684"/>
      <c r="RZB78" s="684"/>
      <c r="RZC78" s="684"/>
      <c r="RZD78" s="684"/>
      <c r="RZE78" s="684"/>
      <c r="RZF78" s="684"/>
      <c r="RZG78" s="684"/>
      <c r="RZH78" s="684"/>
      <c r="RZI78" s="684"/>
      <c r="RZJ78" s="684"/>
      <c r="RZK78" s="684"/>
      <c r="RZL78" s="684"/>
      <c r="RZM78" s="684"/>
      <c r="RZN78" s="684"/>
      <c r="RZO78" s="684"/>
      <c r="RZP78" s="684"/>
      <c r="RZQ78" s="684"/>
      <c r="RZR78" s="684"/>
      <c r="RZS78" s="684"/>
      <c r="RZT78" s="684"/>
      <c r="RZU78" s="684"/>
      <c r="RZV78" s="684"/>
      <c r="RZW78" s="684"/>
      <c r="RZX78" s="684"/>
      <c r="RZY78" s="684"/>
      <c r="RZZ78" s="684"/>
      <c r="SAA78" s="684"/>
      <c r="SAB78" s="684"/>
      <c r="SAC78" s="684"/>
      <c r="SAD78" s="684"/>
      <c r="SAE78" s="684"/>
      <c r="SAF78" s="684"/>
      <c r="SAG78" s="684"/>
      <c r="SAH78" s="684"/>
      <c r="SAI78" s="684"/>
      <c r="SAJ78" s="684"/>
      <c r="SAK78" s="684"/>
      <c r="SAL78" s="684"/>
      <c r="SAM78" s="684"/>
      <c r="SAN78" s="684"/>
      <c r="SAO78" s="684"/>
      <c r="SAP78" s="684"/>
      <c r="SAQ78" s="684"/>
      <c r="SAR78" s="684"/>
      <c r="SAS78" s="684"/>
      <c r="SAT78" s="684"/>
      <c r="SAU78" s="684"/>
      <c r="SAV78" s="684"/>
      <c r="SAW78" s="684"/>
      <c r="SAX78" s="684"/>
      <c r="SAY78" s="684"/>
      <c r="SAZ78" s="684"/>
      <c r="SBA78" s="684"/>
      <c r="SBB78" s="684"/>
      <c r="SBC78" s="684"/>
      <c r="SBD78" s="684"/>
      <c r="SBE78" s="684"/>
      <c r="SBF78" s="684"/>
      <c r="SBG78" s="684"/>
      <c r="SBH78" s="684"/>
      <c r="SBI78" s="684"/>
      <c r="SBJ78" s="684"/>
      <c r="SBK78" s="684"/>
      <c r="SBL78" s="684"/>
      <c r="SBM78" s="684"/>
      <c r="SBN78" s="684"/>
      <c r="SBO78" s="684"/>
      <c r="SBP78" s="684"/>
      <c r="SBQ78" s="684"/>
      <c r="SBR78" s="684"/>
      <c r="SBS78" s="684"/>
      <c r="SBT78" s="684"/>
      <c r="SBU78" s="684"/>
      <c r="SBV78" s="684"/>
      <c r="SBW78" s="684"/>
      <c r="SBX78" s="684"/>
      <c r="SBY78" s="684"/>
      <c r="SBZ78" s="684"/>
      <c r="SCA78" s="684"/>
      <c r="SCB78" s="684"/>
      <c r="SCC78" s="684"/>
      <c r="SCD78" s="684"/>
      <c r="SCE78" s="684"/>
      <c r="SCF78" s="684"/>
      <c r="SCG78" s="684"/>
      <c r="SCH78" s="684"/>
      <c r="SCI78" s="684"/>
      <c r="SCJ78" s="684"/>
      <c r="SCK78" s="684"/>
      <c r="SCL78" s="684"/>
      <c r="SCM78" s="684"/>
      <c r="SCN78" s="684"/>
      <c r="SCO78" s="684"/>
      <c r="SCP78" s="684"/>
      <c r="SCQ78" s="684"/>
      <c r="SCR78" s="684"/>
      <c r="SCS78" s="684"/>
      <c r="SCT78" s="684"/>
      <c r="SCU78" s="684"/>
      <c r="SCV78" s="684"/>
      <c r="SCW78" s="684"/>
      <c r="SCX78" s="684"/>
      <c r="SCY78" s="684"/>
      <c r="SCZ78" s="684"/>
      <c r="SDA78" s="684"/>
      <c r="SDB78" s="684"/>
      <c r="SDC78" s="684"/>
      <c r="SDD78" s="684"/>
      <c r="SDE78" s="684"/>
      <c r="SDF78" s="684"/>
      <c r="SDG78" s="684"/>
      <c r="SDH78" s="684"/>
      <c r="SDI78" s="684"/>
      <c r="SDJ78" s="684"/>
      <c r="SDK78" s="684"/>
      <c r="SDL78" s="684"/>
      <c r="SDM78" s="684"/>
      <c r="SDN78" s="684"/>
      <c r="SDO78" s="684"/>
      <c r="SDP78" s="684"/>
      <c r="SDQ78" s="684"/>
      <c r="SDR78" s="684"/>
      <c r="SDS78" s="684"/>
      <c r="SDT78" s="684"/>
      <c r="SDU78" s="684"/>
      <c r="SDV78" s="684"/>
      <c r="SDW78" s="684"/>
      <c r="SDX78" s="684"/>
      <c r="SDY78" s="684"/>
      <c r="SDZ78" s="684"/>
      <c r="SEA78" s="684"/>
      <c r="SEB78" s="684"/>
      <c r="SEC78" s="684"/>
      <c r="SED78" s="684"/>
      <c r="SEE78" s="684"/>
      <c r="SEF78" s="684"/>
      <c r="SEG78" s="684"/>
      <c r="SEH78" s="684"/>
      <c r="SEI78" s="684"/>
      <c r="SEJ78" s="684"/>
      <c r="SEK78" s="684"/>
      <c r="SEL78" s="684"/>
      <c r="SEM78" s="684"/>
      <c r="SEN78" s="684"/>
      <c r="SEO78" s="684"/>
      <c r="SEP78" s="684"/>
      <c r="SEQ78" s="684"/>
      <c r="SER78" s="684"/>
      <c r="SES78" s="684"/>
      <c r="SET78" s="684"/>
      <c r="SEU78" s="684"/>
      <c r="SEV78" s="684"/>
      <c r="SEW78" s="684"/>
      <c r="SEX78" s="684"/>
      <c r="SEY78" s="684"/>
      <c r="SEZ78" s="684"/>
      <c r="SFA78" s="684"/>
      <c r="SFB78" s="684"/>
      <c r="SFC78" s="684"/>
      <c r="SFD78" s="684"/>
      <c r="SFE78" s="684"/>
      <c r="SFF78" s="684"/>
      <c r="SFG78" s="684"/>
      <c r="SFH78" s="684"/>
      <c r="SFI78" s="684"/>
      <c r="SFJ78" s="684"/>
      <c r="SFK78" s="684"/>
      <c r="SFL78" s="684"/>
      <c r="SFM78" s="684"/>
      <c r="SFN78" s="684"/>
      <c r="SFO78" s="684"/>
      <c r="SFP78" s="684"/>
      <c r="SFQ78" s="684"/>
      <c r="SFR78" s="684"/>
      <c r="SFS78" s="684"/>
      <c r="SFT78" s="684"/>
      <c r="SFU78" s="684"/>
      <c r="SFV78" s="684"/>
      <c r="SFW78" s="684"/>
      <c r="SFX78" s="684"/>
      <c r="SFY78" s="684"/>
      <c r="SFZ78" s="684"/>
      <c r="SGA78" s="684"/>
      <c r="SGB78" s="684"/>
      <c r="SGC78" s="684"/>
      <c r="SGD78" s="684"/>
      <c r="SGE78" s="684"/>
      <c r="SGF78" s="684"/>
      <c r="SGG78" s="684"/>
      <c r="SGH78" s="684"/>
      <c r="SGI78" s="684"/>
      <c r="SGJ78" s="684"/>
      <c r="SGK78" s="684"/>
      <c r="SGL78" s="684"/>
      <c r="SGM78" s="684"/>
      <c r="SGN78" s="684"/>
      <c r="SGO78" s="684"/>
      <c r="SGP78" s="684"/>
      <c r="SGQ78" s="684"/>
      <c r="SGR78" s="684"/>
      <c r="SGS78" s="684"/>
      <c r="SGT78" s="684"/>
      <c r="SGU78" s="684"/>
      <c r="SGV78" s="684"/>
      <c r="SGW78" s="684"/>
      <c r="SGX78" s="684"/>
      <c r="SGY78" s="684"/>
      <c r="SGZ78" s="684"/>
      <c r="SHA78" s="684"/>
      <c r="SHB78" s="684"/>
      <c r="SHC78" s="684"/>
      <c r="SHD78" s="684"/>
      <c r="SHE78" s="684"/>
      <c r="SHF78" s="684"/>
      <c r="SHG78" s="684"/>
      <c r="SHH78" s="684"/>
      <c r="SHI78" s="684"/>
      <c r="SHJ78" s="684"/>
      <c r="SHK78" s="684"/>
      <c r="SHL78" s="684"/>
      <c r="SHM78" s="684"/>
      <c r="SHN78" s="684"/>
      <c r="SHO78" s="684"/>
      <c r="SHP78" s="684"/>
      <c r="SHQ78" s="684"/>
      <c r="SHR78" s="684"/>
      <c r="SHS78" s="684"/>
      <c r="SHT78" s="684"/>
      <c r="SHU78" s="684"/>
      <c r="SHV78" s="684"/>
      <c r="SHW78" s="684"/>
      <c r="SHX78" s="684"/>
      <c r="SHY78" s="684"/>
      <c r="SHZ78" s="684"/>
      <c r="SIA78" s="684"/>
      <c r="SIB78" s="684"/>
      <c r="SIC78" s="684"/>
      <c r="SID78" s="684"/>
      <c r="SIE78" s="684"/>
      <c r="SIF78" s="684"/>
      <c r="SIG78" s="684"/>
      <c r="SIH78" s="684"/>
      <c r="SII78" s="684"/>
      <c r="SIJ78" s="684"/>
      <c r="SIK78" s="684"/>
      <c r="SIL78" s="684"/>
      <c r="SIM78" s="684"/>
      <c r="SIN78" s="684"/>
      <c r="SIO78" s="684"/>
      <c r="SIP78" s="684"/>
      <c r="SIQ78" s="684"/>
      <c r="SIR78" s="684"/>
      <c r="SIS78" s="684"/>
      <c r="SIT78" s="684"/>
      <c r="SIU78" s="684"/>
      <c r="SIV78" s="684"/>
      <c r="SIW78" s="684"/>
      <c r="SIX78" s="684"/>
      <c r="SIY78" s="684"/>
      <c r="SIZ78" s="684"/>
      <c r="SJA78" s="684"/>
      <c r="SJB78" s="684"/>
      <c r="SJC78" s="684"/>
      <c r="SJD78" s="684"/>
      <c r="SJE78" s="684"/>
      <c r="SJF78" s="684"/>
      <c r="SJG78" s="684"/>
      <c r="SJH78" s="684"/>
      <c r="SJI78" s="684"/>
      <c r="SJJ78" s="684"/>
      <c r="SJK78" s="684"/>
      <c r="SJL78" s="684"/>
      <c r="SJM78" s="684"/>
      <c r="SJN78" s="684"/>
      <c r="SJO78" s="684"/>
      <c r="SJP78" s="684"/>
      <c r="SJQ78" s="684"/>
      <c r="SJR78" s="684"/>
      <c r="SJS78" s="684"/>
      <c r="SJT78" s="684"/>
      <c r="SJU78" s="684"/>
      <c r="SJV78" s="684"/>
      <c r="SJW78" s="684"/>
      <c r="SJX78" s="684"/>
      <c r="SJY78" s="684"/>
      <c r="SJZ78" s="684"/>
      <c r="SKA78" s="684"/>
      <c r="SKB78" s="684"/>
      <c r="SKC78" s="684"/>
      <c r="SKD78" s="684"/>
      <c r="SKE78" s="684"/>
      <c r="SKF78" s="684"/>
      <c r="SKG78" s="684"/>
      <c r="SKH78" s="684"/>
      <c r="SKI78" s="684"/>
      <c r="SKJ78" s="684"/>
      <c r="SKK78" s="684"/>
      <c r="SKL78" s="684"/>
      <c r="SKM78" s="684"/>
      <c r="SKN78" s="684"/>
      <c r="SKO78" s="684"/>
      <c r="SKP78" s="684"/>
      <c r="SKQ78" s="684"/>
      <c r="SKR78" s="684"/>
      <c r="SKS78" s="684"/>
      <c r="SKT78" s="684"/>
      <c r="SKU78" s="684"/>
      <c r="SKV78" s="684"/>
      <c r="SKW78" s="684"/>
      <c r="SKX78" s="684"/>
      <c r="SKY78" s="684"/>
      <c r="SKZ78" s="684"/>
      <c r="SLA78" s="684"/>
      <c r="SLB78" s="684"/>
      <c r="SLC78" s="684"/>
      <c r="SLD78" s="684"/>
      <c r="SLE78" s="684"/>
      <c r="SLF78" s="684"/>
      <c r="SLG78" s="684"/>
      <c r="SLH78" s="684"/>
      <c r="SLI78" s="684"/>
      <c r="SLJ78" s="684"/>
      <c r="SLK78" s="684"/>
      <c r="SLL78" s="684"/>
      <c r="SLM78" s="684"/>
      <c r="SLN78" s="684"/>
      <c r="SLO78" s="684"/>
      <c r="SLP78" s="684"/>
      <c r="SLQ78" s="684"/>
      <c r="SLR78" s="684"/>
      <c r="SLS78" s="684"/>
      <c r="SLT78" s="684"/>
      <c r="SLU78" s="684"/>
      <c r="SLV78" s="684"/>
      <c r="SLW78" s="684"/>
      <c r="SLX78" s="684"/>
      <c r="SLY78" s="684"/>
      <c r="SLZ78" s="684"/>
      <c r="SMA78" s="684"/>
      <c r="SMB78" s="684"/>
      <c r="SMC78" s="684"/>
      <c r="SMD78" s="684"/>
      <c r="SME78" s="684"/>
      <c r="SMF78" s="684"/>
      <c r="SMG78" s="684"/>
      <c r="SMH78" s="684"/>
      <c r="SMI78" s="684"/>
      <c r="SMJ78" s="684"/>
      <c r="SMK78" s="684"/>
      <c r="SML78" s="684"/>
      <c r="SMM78" s="684"/>
      <c r="SMN78" s="684"/>
      <c r="SMO78" s="684"/>
      <c r="SMP78" s="684"/>
      <c r="SMQ78" s="684"/>
      <c r="SMR78" s="684"/>
      <c r="SMS78" s="684"/>
      <c r="SMT78" s="684"/>
      <c r="SMU78" s="684"/>
      <c r="SMV78" s="684"/>
      <c r="SMW78" s="684"/>
      <c r="SMX78" s="684"/>
      <c r="SMY78" s="684"/>
      <c r="SMZ78" s="684"/>
      <c r="SNA78" s="684"/>
      <c r="SNB78" s="684"/>
      <c r="SNC78" s="684"/>
      <c r="SND78" s="684"/>
      <c r="SNE78" s="684"/>
      <c r="SNF78" s="684"/>
      <c r="SNG78" s="684"/>
      <c r="SNH78" s="684"/>
      <c r="SNI78" s="684"/>
      <c r="SNJ78" s="684"/>
      <c r="SNK78" s="684"/>
      <c r="SNL78" s="684"/>
      <c r="SNM78" s="684"/>
      <c r="SNN78" s="684"/>
      <c r="SNO78" s="684"/>
      <c r="SNP78" s="684"/>
      <c r="SNQ78" s="684"/>
      <c r="SNR78" s="684"/>
      <c r="SNS78" s="684"/>
      <c r="SNT78" s="684"/>
      <c r="SNU78" s="684"/>
      <c r="SNV78" s="684"/>
      <c r="SNW78" s="684"/>
      <c r="SNX78" s="684"/>
      <c r="SNY78" s="684"/>
      <c r="SNZ78" s="684"/>
      <c r="SOA78" s="684"/>
      <c r="SOB78" s="684"/>
      <c r="SOC78" s="684"/>
      <c r="SOD78" s="684"/>
      <c r="SOE78" s="684"/>
      <c r="SOF78" s="684"/>
      <c r="SOG78" s="684"/>
      <c r="SOH78" s="684"/>
      <c r="SOI78" s="684"/>
      <c r="SOJ78" s="684"/>
      <c r="SOK78" s="684"/>
      <c r="SOL78" s="684"/>
      <c r="SOM78" s="684"/>
      <c r="SON78" s="684"/>
      <c r="SOO78" s="684"/>
      <c r="SOP78" s="684"/>
      <c r="SOQ78" s="684"/>
      <c r="SOR78" s="684"/>
      <c r="SOS78" s="684"/>
      <c r="SOT78" s="684"/>
      <c r="SOU78" s="684"/>
      <c r="SOV78" s="684"/>
      <c r="SOW78" s="684"/>
      <c r="SOX78" s="684"/>
      <c r="SOY78" s="684"/>
      <c r="SOZ78" s="684"/>
      <c r="SPA78" s="684"/>
      <c r="SPB78" s="684"/>
      <c r="SPC78" s="684"/>
      <c r="SPD78" s="684"/>
      <c r="SPE78" s="684"/>
      <c r="SPF78" s="684"/>
      <c r="SPG78" s="684"/>
      <c r="SPH78" s="684"/>
      <c r="SPI78" s="684"/>
      <c r="SPJ78" s="684"/>
      <c r="SPK78" s="684"/>
      <c r="SPL78" s="684"/>
      <c r="SPM78" s="684"/>
      <c r="SPN78" s="684"/>
      <c r="SPO78" s="684"/>
      <c r="SPP78" s="684"/>
      <c r="SPQ78" s="684"/>
      <c r="SPR78" s="684"/>
      <c r="SPS78" s="684"/>
      <c r="SPT78" s="684"/>
      <c r="SPU78" s="684"/>
      <c r="SPV78" s="684"/>
      <c r="SPW78" s="684"/>
      <c r="SPX78" s="684"/>
      <c r="SPY78" s="684"/>
      <c r="SPZ78" s="684"/>
      <c r="SQA78" s="684"/>
      <c r="SQB78" s="684"/>
      <c r="SQC78" s="684"/>
      <c r="SQD78" s="684"/>
      <c r="SQE78" s="684"/>
      <c r="SQF78" s="684"/>
      <c r="SQG78" s="684"/>
      <c r="SQH78" s="684"/>
      <c r="SQI78" s="684"/>
      <c r="SQJ78" s="684"/>
      <c r="SQK78" s="684"/>
      <c r="SQL78" s="684"/>
      <c r="SQM78" s="684"/>
      <c r="SQN78" s="684"/>
      <c r="SQO78" s="684"/>
      <c r="SQP78" s="684"/>
      <c r="SQQ78" s="684"/>
      <c r="SQR78" s="684"/>
      <c r="SQS78" s="684"/>
      <c r="SQT78" s="684"/>
      <c r="SQU78" s="684"/>
      <c r="SQV78" s="684"/>
      <c r="SQW78" s="684"/>
      <c r="SQX78" s="684"/>
      <c r="SQY78" s="684"/>
      <c r="SQZ78" s="684"/>
      <c r="SRA78" s="684"/>
      <c r="SRB78" s="684"/>
      <c r="SRC78" s="684"/>
      <c r="SRD78" s="684"/>
      <c r="SRE78" s="684"/>
      <c r="SRF78" s="684"/>
      <c r="SRG78" s="684"/>
      <c r="SRH78" s="684"/>
      <c r="SRI78" s="684"/>
      <c r="SRJ78" s="684"/>
      <c r="SRK78" s="684"/>
      <c r="SRL78" s="684"/>
      <c r="SRM78" s="684"/>
      <c r="SRN78" s="684"/>
      <c r="SRO78" s="684"/>
      <c r="SRP78" s="684"/>
      <c r="SRQ78" s="684"/>
      <c r="SRR78" s="684"/>
      <c r="SRS78" s="684"/>
      <c r="SRT78" s="684"/>
      <c r="SRU78" s="684"/>
      <c r="SRV78" s="684"/>
      <c r="SRW78" s="684"/>
      <c r="SRX78" s="684"/>
      <c r="SRY78" s="684"/>
      <c r="SRZ78" s="684"/>
      <c r="SSA78" s="684"/>
      <c r="SSB78" s="684"/>
      <c r="SSC78" s="684"/>
      <c r="SSD78" s="684"/>
      <c r="SSE78" s="684"/>
      <c r="SSF78" s="684"/>
      <c r="SSG78" s="684"/>
      <c r="SSH78" s="684"/>
      <c r="SSI78" s="684"/>
      <c r="SSJ78" s="684"/>
      <c r="SSK78" s="684"/>
      <c r="SSL78" s="684"/>
      <c r="SSM78" s="684"/>
      <c r="SSN78" s="684"/>
      <c r="SSO78" s="684"/>
      <c r="SSP78" s="684"/>
      <c r="SSQ78" s="684"/>
      <c r="SSR78" s="684"/>
      <c r="SSS78" s="684"/>
      <c r="SST78" s="684"/>
      <c r="SSU78" s="684"/>
      <c r="SSV78" s="684"/>
      <c r="SSW78" s="684"/>
      <c r="SSX78" s="684"/>
      <c r="SSY78" s="684"/>
      <c r="SSZ78" s="684"/>
      <c r="STA78" s="684"/>
      <c r="STB78" s="684"/>
      <c r="STC78" s="684"/>
      <c r="STD78" s="684"/>
      <c r="STE78" s="684"/>
      <c r="STF78" s="684"/>
      <c r="STG78" s="684"/>
      <c r="STH78" s="684"/>
      <c r="STI78" s="684"/>
      <c r="STJ78" s="684"/>
      <c r="STK78" s="684"/>
      <c r="STL78" s="684"/>
      <c r="STM78" s="684"/>
      <c r="STN78" s="684"/>
      <c r="STO78" s="684"/>
      <c r="STP78" s="684"/>
      <c r="STQ78" s="684"/>
      <c r="STR78" s="684"/>
      <c r="STS78" s="684"/>
      <c r="STT78" s="684"/>
      <c r="STU78" s="684"/>
      <c r="STV78" s="684"/>
      <c r="STW78" s="684"/>
      <c r="STX78" s="684"/>
      <c r="STY78" s="684"/>
      <c r="STZ78" s="684"/>
      <c r="SUA78" s="684"/>
      <c r="SUB78" s="684"/>
      <c r="SUC78" s="684"/>
      <c r="SUD78" s="684"/>
      <c r="SUE78" s="684"/>
      <c r="SUF78" s="684"/>
      <c r="SUG78" s="684"/>
      <c r="SUH78" s="684"/>
      <c r="SUI78" s="684"/>
      <c r="SUJ78" s="684"/>
      <c r="SUK78" s="684"/>
      <c r="SUL78" s="684"/>
      <c r="SUM78" s="684"/>
      <c r="SUN78" s="684"/>
      <c r="SUO78" s="684"/>
      <c r="SUP78" s="684"/>
      <c r="SUQ78" s="684"/>
      <c r="SUR78" s="684"/>
      <c r="SUS78" s="684"/>
      <c r="SUT78" s="684"/>
      <c r="SUU78" s="684"/>
      <c r="SUV78" s="684"/>
      <c r="SUW78" s="684"/>
      <c r="SUX78" s="684"/>
      <c r="SUY78" s="684"/>
      <c r="SUZ78" s="684"/>
      <c r="SVA78" s="684"/>
      <c r="SVB78" s="684"/>
      <c r="SVC78" s="684"/>
      <c r="SVD78" s="684"/>
      <c r="SVE78" s="684"/>
      <c r="SVF78" s="684"/>
      <c r="SVG78" s="684"/>
      <c r="SVH78" s="684"/>
      <c r="SVI78" s="684"/>
      <c r="SVJ78" s="684"/>
      <c r="SVK78" s="684"/>
      <c r="SVL78" s="684"/>
      <c r="SVM78" s="684"/>
      <c r="SVN78" s="684"/>
      <c r="SVO78" s="684"/>
      <c r="SVP78" s="684"/>
      <c r="SVQ78" s="684"/>
      <c r="SVR78" s="684"/>
      <c r="SVS78" s="684"/>
      <c r="SVT78" s="684"/>
      <c r="SVU78" s="684"/>
      <c r="SVV78" s="684"/>
      <c r="SVW78" s="684"/>
      <c r="SVX78" s="684"/>
      <c r="SVY78" s="684"/>
      <c r="SVZ78" s="684"/>
      <c r="SWA78" s="684"/>
      <c r="SWB78" s="684"/>
      <c r="SWC78" s="684"/>
      <c r="SWD78" s="684"/>
      <c r="SWE78" s="684"/>
      <c r="SWF78" s="684"/>
      <c r="SWG78" s="684"/>
      <c r="SWH78" s="684"/>
      <c r="SWI78" s="684"/>
      <c r="SWJ78" s="684"/>
      <c r="SWK78" s="684"/>
      <c r="SWL78" s="684"/>
      <c r="SWM78" s="684"/>
      <c r="SWN78" s="684"/>
      <c r="SWO78" s="684"/>
      <c r="SWP78" s="684"/>
      <c r="SWQ78" s="684"/>
      <c r="SWR78" s="684"/>
      <c r="SWS78" s="684"/>
      <c r="SWT78" s="684"/>
      <c r="SWU78" s="684"/>
      <c r="SWV78" s="684"/>
      <c r="SWW78" s="684"/>
      <c r="SWX78" s="684"/>
      <c r="SWY78" s="684"/>
      <c r="SWZ78" s="684"/>
      <c r="SXA78" s="684"/>
      <c r="SXB78" s="684"/>
      <c r="SXC78" s="684"/>
      <c r="SXD78" s="684"/>
      <c r="SXE78" s="684"/>
      <c r="SXF78" s="684"/>
      <c r="SXG78" s="684"/>
      <c r="SXH78" s="684"/>
      <c r="SXI78" s="684"/>
      <c r="SXJ78" s="684"/>
      <c r="SXK78" s="684"/>
      <c r="SXL78" s="684"/>
      <c r="SXM78" s="684"/>
      <c r="SXN78" s="684"/>
      <c r="SXO78" s="684"/>
      <c r="SXP78" s="684"/>
      <c r="SXQ78" s="684"/>
      <c r="SXR78" s="684"/>
      <c r="SXS78" s="684"/>
      <c r="SXT78" s="684"/>
      <c r="SXU78" s="684"/>
      <c r="SXV78" s="684"/>
      <c r="SXW78" s="684"/>
      <c r="SXX78" s="684"/>
      <c r="SXY78" s="684"/>
      <c r="SXZ78" s="684"/>
      <c r="SYA78" s="684"/>
      <c r="SYB78" s="684"/>
      <c r="SYC78" s="684"/>
      <c r="SYD78" s="684"/>
      <c r="SYE78" s="684"/>
      <c r="SYF78" s="684"/>
      <c r="SYG78" s="684"/>
      <c r="SYH78" s="684"/>
      <c r="SYI78" s="684"/>
      <c r="SYJ78" s="684"/>
      <c r="SYK78" s="684"/>
      <c r="SYL78" s="684"/>
      <c r="SYM78" s="684"/>
      <c r="SYN78" s="684"/>
      <c r="SYO78" s="684"/>
      <c r="SYP78" s="684"/>
      <c r="SYQ78" s="684"/>
      <c r="SYR78" s="684"/>
      <c r="SYS78" s="684"/>
      <c r="SYT78" s="684"/>
      <c r="SYU78" s="684"/>
      <c r="SYV78" s="684"/>
      <c r="SYW78" s="684"/>
      <c r="SYX78" s="684"/>
      <c r="SYY78" s="684"/>
      <c r="SYZ78" s="684"/>
      <c r="SZA78" s="684"/>
      <c r="SZB78" s="684"/>
      <c r="SZC78" s="684"/>
      <c r="SZD78" s="684"/>
      <c r="SZE78" s="684"/>
      <c r="SZF78" s="684"/>
      <c r="SZG78" s="684"/>
      <c r="SZH78" s="684"/>
      <c r="SZI78" s="684"/>
      <c r="SZJ78" s="684"/>
      <c r="SZK78" s="684"/>
      <c r="SZL78" s="684"/>
      <c r="SZM78" s="684"/>
      <c r="SZN78" s="684"/>
      <c r="SZO78" s="684"/>
      <c r="SZP78" s="684"/>
      <c r="SZQ78" s="684"/>
      <c r="SZR78" s="684"/>
      <c r="SZS78" s="684"/>
      <c r="SZT78" s="684"/>
      <c r="SZU78" s="684"/>
      <c r="SZV78" s="684"/>
      <c r="SZW78" s="684"/>
      <c r="SZX78" s="684"/>
      <c r="SZY78" s="684"/>
      <c r="SZZ78" s="684"/>
      <c r="TAA78" s="684"/>
      <c r="TAB78" s="684"/>
      <c r="TAC78" s="684"/>
      <c r="TAD78" s="684"/>
      <c r="TAE78" s="684"/>
      <c r="TAF78" s="684"/>
      <c r="TAG78" s="684"/>
      <c r="TAH78" s="684"/>
      <c r="TAI78" s="684"/>
      <c r="TAJ78" s="684"/>
      <c r="TAK78" s="684"/>
      <c r="TAL78" s="684"/>
      <c r="TAM78" s="684"/>
      <c r="TAN78" s="684"/>
      <c r="TAO78" s="684"/>
      <c r="TAP78" s="684"/>
      <c r="TAQ78" s="684"/>
      <c r="TAR78" s="684"/>
      <c r="TAS78" s="684"/>
      <c r="TAT78" s="684"/>
      <c r="TAU78" s="684"/>
      <c r="TAV78" s="684"/>
      <c r="TAW78" s="684"/>
      <c r="TAX78" s="684"/>
      <c r="TAY78" s="684"/>
      <c r="TAZ78" s="684"/>
      <c r="TBA78" s="684"/>
      <c r="TBB78" s="684"/>
      <c r="TBC78" s="684"/>
      <c r="TBD78" s="684"/>
      <c r="TBE78" s="684"/>
      <c r="TBF78" s="684"/>
      <c r="TBG78" s="684"/>
      <c r="TBH78" s="684"/>
      <c r="TBI78" s="684"/>
      <c r="TBJ78" s="684"/>
      <c r="TBK78" s="684"/>
      <c r="TBL78" s="684"/>
      <c r="TBM78" s="684"/>
      <c r="TBN78" s="684"/>
      <c r="TBO78" s="684"/>
      <c r="TBP78" s="684"/>
      <c r="TBQ78" s="684"/>
      <c r="TBR78" s="684"/>
      <c r="TBS78" s="684"/>
      <c r="TBT78" s="684"/>
      <c r="TBU78" s="684"/>
      <c r="TBV78" s="684"/>
      <c r="TBW78" s="684"/>
      <c r="TBX78" s="684"/>
      <c r="TBY78" s="684"/>
      <c r="TBZ78" s="684"/>
      <c r="TCA78" s="684"/>
      <c r="TCB78" s="684"/>
      <c r="TCC78" s="684"/>
      <c r="TCD78" s="684"/>
      <c r="TCE78" s="684"/>
      <c r="TCF78" s="684"/>
      <c r="TCG78" s="684"/>
      <c r="TCH78" s="684"/>
      <c r="TCI78" s="684"/>
      <c r="TCJ78" s="684"/>
      <c r="TCK78" s="684"/>
      <c r="TCL78" s="684"/>
      <c r="TCM78" s="684"/>
      <c r="TCN78" s="684"/>
      <c r="TCO78" s="684"/>
      <c r="TCP78" s="684"/>
      <c r="TCQ78" s="684"/>
      <c r="TCR78" s="684"/>
      <c r="TCS78" s="684"/>
      <c r="TCT78" s="684"/>
      <c r="TCU78" s="684"/>
      <c r="TCV78" s="684"/>
      <c r="TCW78" s="684"/>
      <c r="TCX78" s="684"/>
      <c r="TCY78" s="684"/>
      <c r="TCZ78" s="684"/>
      <c r="TDA78" s="684"/>
      <c r="TDB78" s="684"/>
      <c r="TDC78" s="684"/>
      <c r="TDD78" s="684"/>
      <c r="TDE78" s="684"/>
      <c r="TDF78" s="684"/>
      <c r="TDG78" s="684"/>
      <c r="TDH78" s="684"/>
      <c r="TDI78" s="684"/>
      <c r="TDJ78" s="684"/>
      <c r="TDK78" s="684"/>
      <c r="TDL78" s="684"/>
      <c r="TDM78" s="684"/>
      <c r="TDN78" s="684"/>
      <c r="TDO78" s="684"/>
      <c r="TDP78" s="684"/>
      <c r="TDQ78" s="684"/>
      <c r="TDR78" s="684"/>
      <c r="TDS78" s="684"/>
      <c r="TDT78" s="684"/>
      <c r="TDU78" s="684"/>
      <c r="TDV78" s="684"/>
      <c r="TDW78" s="684"/>
      <c r="TDX78" s="684"/>
      <c r="TDY78" s="684"/>
      <c r="TDZ78" s="684"/>
      <c r="TEA78" s="684"/>
      <c r="TEB78" s="684"/>
      <c r="TEC78" s="684"/>
      <c r="TED78" s="684"/>
      <c r="TEE78" s="684"/>
      <c r="TEF78" s="684"/>
      <c r="TEG78" s="684"/>
      <c r="TEH78" s="684"/>
      <c r="TEI78" s="684"/>
      <c r="TEJ78" s="684"/>
      <c r="TEK78" s="684"/>
      <c r="TEL78" s="684"/>
      <c r="TEM78" s="684"/>
      <c r="TEN78" s="684"/>
      <c r="TEO78" s="684"/>
      <c r="TEP78" s="684"/>
      <c r="TEQ78" s="684"/>
      <c r="TER78" s="684"/>
      <c r="TES78" s="684"/>
      <c r="TET78" s="684"/>
      <c r="TEU78" s="684"/>
      <c r="TEV78" s="684"/>
      <c r="TEW78" s="684"/>
      <c r="TEX78" s="684"/>
      <c r="TEY78" s="684"/>
      <c r="TEZ78" s="684"/>
      <c r="TFA78" s="684"/>
      <c r="TFB78" s="684"/>
      <c r="TFC78" s="684"/>
      <c r="TFD78" s="684"/>
      <c r="TFE78" s="684"/>
      <c r="TFF78" s="684"/>
      <c r="TFG78" s="684"/>
      <c r="TFH78" s="684"/>
      <c r="TFI78" s="684"/>
      <c r="TFJ78" s="684"/>
      <c r="TFK78" s="684"/>
      <c r="TFL78" s="684"/>
      <c r="TFM78" s="684"/>
      <c r="TFN78" s="684"/>
      <c r="TFO78" s="684"/>
      <c r="TFP78" s="684"/>
      <c r="TFQ78" s="684"/>
      <c r="TFR78" s="684"/>
      <c r="TFS78" s="684"/>
      <c r="TFT78" s="684"/>
      <c r="TFU78" s="684"/>
      <c r="TFV78" s="684"/>
      <c r="TFW78" s="684"/>
      <c r="TFX78" s="684"/>
      <c r="TFY78" s="684"/>
      <c r="TFZ78" s="684"/>
      <c r="TGA78" s="684"/>
      <c r="TGB78" s="684"/>
      <c r="TGC78" s="684"/>
      <c r="TGD78" s="684"/>
      <c r="TGE78" s="684"/>
      <c r="TGF78" s="684"/>
      <c r="TGG78" s="684"/>
      <c r="TGH78" s="684"/>
      <c r="TGI78" s="684"/>
      <c r="TGJ78" s="684"/>
      <c r="TGK78" s="684"/>
      <c r="TGL78" s="684"/>
      <c r="TGM78" s="684"/>
      <c r="TGN78" s="684"/>
      <c r="TGO78" s="684"/>
      <c r="TGP78" s="684"/>
      <c r="TGQ78" s="684"/>
      <c r="TGR78" s="684"/>
      <c r="TGS78" s="684"/>
      <c r="TGT78" s="684"/>
      <c r="TGU78" s="684"/>
      <c r="TGV78" s="684"/>
      <c r="TGW78" s="684"/>
      <c r="TGX78" s="684"/>
      <c r="TGY78" s="684"/>
      <c r="TGZ78" s="684"/>
      <c r="THA78" s="684"/>
      <c r="THB78" s="684"/>
      <c r="THC78" s="684"/>
      <c r="THD78" s="684"/>
      <c r="THE78" s="684"/>
      <c r="THF78" s="684"/>
      <c r="THG78" s="684"/>
      <c r="THH78" s="684"/>
      <c r="THI78" s="684"/>
      <c r="THJ78" s="684"/>
      <c r="THK78" s="684"/>
      <c r="THL78" s="684"/>
      <c r="THM78" s="684"/>
      <c r="THN78" s="684"/>
      <c r="THO78" s="684"/>
      <c r="THP78" s="684"/>
      <c r="THQ78" s="684"/>
      <c r="THR78" s="684"/>
      <c r="THS78" s="684"/>
      <c r="THT78" s="684"/>
      <c r="THU78" s="684"/>
      <c r="THV78" s="684"/>
      <c r="THW78" s="684"/>
      <c r="THX78" s="684"/>
      <c r="THY78" s="684"/>
      <c r="THZ78" s="684"/>
      <c r="TIA78" s="684"/>
      <c r="TIB78" s="684"/>
      <c r="TIC78" s="684"/>
      <c r="TID78" s="684"/>
      <c r="TIE78" s="684"/>
      <c r="TIF78" s="684"/>
      <c r="TIG78" s="684"/>
      <c r="TIH78" s="684"/>
      <c r="TII78" s="684"/>
      <c r="TIJ78" s="684"/>
      <c r="TIK78" s="684"/>
      <c r="TIL78" s="684"/>
      <c r="TIM78" s="684"/>
      <c r="TIN78" s="684"/>
      <c r="TIO78" s="684"/>
      <c r="TIP78" s="684"/>
      <c r="TIQ78" s="684"/>
      <c r="TIR78" s="684"/>
      <c r="TIS78" s="684"/>
      <c r="TIT78" s="684"/>
      <c r="TIU78" s="684"/>
      <c r="TIV78" s="684"/>
      <c r="TIW78" s="684"/>
      <c r="TIX78" s="684"/>
      <c r="TIY78" s="684"/>
      <c r="TIZ78" s="684"/>
      <c r="TJA78" s="684"/>
      <c r="TJB78" s="684"/>
      <c r="TJC78" s="684"/>
      <c r="TJD78" s="684"/>
      <c r="TJE78" s="684"/>
      <c r="TJF78" s="684"/>
      <c r="TJG78" s="684"/>
      <c r="TJH78" s="684"/>
      <c r="TJI78" s="684"/>
      <c r="TJJ78" s="684"/>
      <c r="TJK78" s="684"/>
      <c r="TJL78" s="684"/>
      <c r="TJM78" s="684"/>
      <c r="TJN78" s="684"/>
      <c r="TJO78" s="684"/>
      <c r="TJP78" s="684"/>
      <c r="TJQ78" s="684"/>
      <c r="TJR78" s="684"/>
      <c r="TJS78" s="684"/>
      <c r="TJT78" s="684"/>
      <c r="TJU78" s="684"/>
      <c r="TJV78" s="684"/>
      <c r="TJW78" s="684"/>
      <c r="TJX78" s="684"/>
      <c r="TJY78" s="684"/>
      <c r="TJZ78" s="684"/>
      <c r="TKA78" s="684"/>
      <c r="TKB78" s="684"/>
      <c r="TKC78" s="684"/>
      <c r="TKD78" s="684"/>
      <c r="TKE78" s="684"/>
      <c r="TKF78" s="684"/>
      <c r="TKG78" s="684"/>
      <c r="TKH78" s="684"/>
      <c r="TKI78" s="684"/>
      <c r="TKJ78" s="684"/>
      <c r="TKK78" s="684"/>
      <c r="TKL78" s="684"/>
      <c r="TKM78" s="684"/>
      <c r="TKN78" s="684"/>
      <c r="TKO78" s="684"/>
      <c r="TKP78" s="684"/>
      <c r="TKQ78" s="684"/>
      <c r="TKR78" s="684"/>
      <c r="TKS78" s="684"/>
      <c r="TKT78" s="684"/>
      <c r="TKU78" s="684"/>
      <c r="TKV78" s="684"/>
      <c r="TKW78" s="684"/>
      <c r="TKX78" s="684"/>
      <c r="TKY78" s="684"/>
      <c r="TKZ78" s="684"/>
      <c r="TLA78" s="684"/>
      <c r="TLB78" s="684"/>
      <c r="TLC78" s="684"/>
      <c r="TLD78" s="684"/>
      <c r="TLE78" s="684"/>
      <c r="TLF78" s="684"/>
      <c r="TLG78" s="684"/>
      <c r="TLH78" s="684"/>
      <c r="TLI78" s="684"/>
      <c r="TLJ78" s="684"/>
      <c r="TLK78" s="684"/>
      <c r="TLL78" s="684"/>
      <c r="TLM78" s="684"/>
      <c r="TLN78" s="684"/>
      <c r="TLO78" s="684"/>
      <c r="TLP78" s="684"/>
      <c r="TLQ78" s="684"/>
      <c r="TLR78" s="684"/>
      <c r="TLS78" s="684"/>
      <c r="TLT78" s="684"/>
      <c r="TLU78" s="684"/>
      <c r="TLV78" s="684"/>
      <c r="TLW78" s="684"/>
      <c r="TLX78" s="684"/>
      <c r="TLY78" s="684"/>
      <c r="TLZ78" s="684"/>
      <c r="TMA78" s="684"/>
      <c r="TMB78" s="684"/>
      <c r="TMC78" s="684"/>
      <c r="TMD78" s="684"/>
      <c r="TME78" s="684"/>
      <c r="TMF78" s="684"/>
      <c r="TMG78" s="684"/>
      <c r="TMH78" s="684"/>
      <c r="TMI78" s="684"/>
      <c r="TMJ78" s="684"/>
      <c r="TMK78" s="684"/>
      <c r="TML78" s="684"/>
      <c r="TMM78" s="684"/>
      <c r="TMN78" s="684"/>
      <c r="TMO78" s="684"/>
      <c r="TMP78" s="684"/>
      <c r="TMQ78" s="684"/>
      <c r="TMR78" s="684"/>
      <c r="TMS78" s="684"/>
      <c r="TMT78" s="684"/>
      <c r="TMU78" s="684"/>
      <c r="TMV78" s="684"/>
      <c r="TMW78" s="684"/>
      <c r="TMX78" s="684"/>
      <c r="TMY78" s="684"/>
      <c r="TMZ78" s="684"/>
      <c r="TNA78" s="684"/>
      <c r="TNB78" s="684"/>
      <c r="TNC78" s="684"/>
      <c r="TND78" s="684"/>
      <c r="TNE78" s="684"/>
      <c r="TNF78" s="684"/>
      <c r="TNG78" s="684"/>
      <c r="TNH78" s="684"/>
      <c r="TNI78" s="684"/>
      <c r="TNJ78" s="684"/>
      <c r="TNK78" s="684"/>
      <c r="TNL78" s="684"/>
      <c r="TNM78" s="684"/>
      <c r="TNN78" s="684"/>
      <c r="TNO78" s="684"/>
      <c r="TNP78" s="684"/>
      <c r="TNQ78" s="684"/>
      <c r="TNR78" s="684"/>
      <c r="TNS78" s="684"/>
      <c r="TNT78" s="684"/>
      <c r="TNU78" s="684"/>
      <c r="TNV78" s="684"/>
      <c r="TNW78" s="684"/>
      <c r="TNX78" s="684"/>
      <c r="TNY78" s="684"/>
      <c r="TNZ78" s="684"/>
      <c r="TOA78" s="684"/>
      <c r="TOB78" s="684"/>
      <c r="TOC78" s="684"/>
      <c r="TOD78" s="684"/>
      <c r="TOE78" s="684"/>
      <c r="TOF78" s="684"/>
      <c r="TOG78" s="684"/>
      <c r="TOH78" s="684"/>
      <c r="TOI78" s="684"/>
      <c r="TOJ78" s="684"/>
      <c r="TOK78" s="684"/>
      <c r="TOL78" s="684"/>
      <c r="TOM78" s="684"/>
      <c r="TON78" s="684"/>
      <c r="TOO78" s="684"/>
      <c r="TOP78" s="684"/>
      <c r="TOQ78" s="684"/>
      <c r="TOR78" s="684"/>
      <c r="TOS78" s="684"/>
      <c r="TOT78" s="684"/>
      <c r="TOU78" s="684"/>
      <c r="TOV78" s="684"/>
      <c r="TOW78" s="684"/>
      <c r="TOX78" s="684"/>
      <c r="TOY78" s="684"/>
      <c r="TOZ78" s="684"/>
      <c r="TPA78" s="684"/>
      <c r="TPB78" s="684"/>
      <c r="TPC78" s="684"/>
      <c r="TPD78" s="684"/>
      <c r="TPE78" s="684"/>
      <c r="TPF78" s="684"/>
      <c r="TPG78" s="684"/>
      <c r="TPH78" s="684"/>
      <c r="TPI78" s="684"/>
      <c r="TPJ78" s="684"/>
      <c r="TPK78" s="684"/>
      <c r="TPL78" s="684"/>
      <c r="TPM78" s="684"/>
      <c r="TPN78" s="684"/>
      <c r="TPO78" s="684"/>
      <c r="TPP78" s="684"/>
      <c r="TPQ78" s="684"/>
      <c r="TPR78" s="684"/>
      <c r="TPS78" s="684"/>
      <c r="TPT78" s="684"/>
      <c r="TPU78" s="684"/>
      <c r="TPV78" s="684"/>
      <c r="TPW78" s="684"/>
      <c r="TPX78" s="684"/>
      <c r="TPY78" s="684"/>
      <c r="TPZ78" s="684"/>
      <c r="TQA78" s="684"/>
      <c r="TQB78" s="684"/>
      <c r="TQC78" s="684"/>
      <c r="TQD78" s="684"/>
      <c r="TQE78" s="684"/>
      <c r="TQF78" s="684"/>
      <c r="TQG78" s="684"/>
      <c r="TQH78" s="684"/>
      <c r="TQI78" s="684"/>
      <c r="TQJ78" s="684"/>
      <c r="TQK78" s="684"/>
      <c r="TQL78" s="684"/>
      <c r="TQM78" s="684"/>
      <c r="TQN78" s="684"/>
      <c r="TQO78" s="684"/>
      <c r="TQP78" s="684"/>
      <c r="TQQ78" s="684"/>
      <c r="TQR78" s="684"/>
      <c r="TQS78" s="684"/>
      <c r="TQT78" s="684"/>
      <c r="TQU78" s="684"/>
      <c r="TQV78" s="684"/>
      <c r="TQW78" s="684"/>
      <c r="TQX78" s="684"/>
      <c r="TQY78" s="684"/>
      <c r="TQZ78" s="684"/>
      <c r="TRA78" s="684"/>
      <c r="TRB78" s="684"/>
      <c r="TRC78" s="684"/>
      <c r="TRD78" s="684"/>
      <c r="TRE78" s="684"/>
      <c r="TRF78" s="684"/>
      <c r="TRG78" s="684"/>
      <c r="TRH78" s="684"/>
      <c r="TRI78" s="684"/>
      <c r="TRJ78" s="684"/>
      <c r="TRK78" s="684"/>
      <c r="TRL78" s="684"/>
      <c r="TRM78" s="684"/>
      <c r="TRN78" s="684"/>
      <c r="TRO78" s="684"/>
      <c r="TRP78" s="684"/>
      <c r="TRQ78" s="684"/>
      <c r="TRR78" s="684"/>
      <c r="TRS78" s="684"/>
      <c r="TRT78" s="684"/>
      <c r="TRU78" s="684"/>
      <c r="TRV78" s="684"/>
      <c r="TRW78" s="684"/>
      <c r="TRX78" s="684"/>
      <c r="TRY78" s="684"/>
      <c r="TRZ78" s="684"/>
      <c r="TSA78" s="684"/>
      <c r="TSB78" s="684"/>
      <c r="TSC78" s="684"/>
      <c r="TSD78" s="684"/>
      <c r="TSE78" s="684"/>
      <c r="TSF78" s="684"/>
      <c r="TSG78" s="684"/>
      <c r="TSH78" s="684"/>
      <c r="TSI78" s="684"/>
      <c r="TSJ78" s="684"/>
      <c r="TSK78" s="684"/>
      <c r="TSL78" s="684"/>
      <c r="TSM78" s="684"/>
      <c r="TSN78" s="684"/>
      <c r="TSO78" s="684"/>
      <c r="TSP78" s="684"/>
      <c r="TSQ78" s="684"/>
      <c r="TSR78" s="684"/>
      <c r="TSS78" s="684"/>
      <c r="TST78" s="684"/>
      <c r="TSU78" s="684"/>
      <c r="TSV78" s="684"/>
      <c r="TSW78" s="684"/>
      <c r="TSX78" s="684"/>
      <c r="TSY78" s="684"/>
      <c r="TSZ78" s="684"/>
      <c r="TTA78" s="684"/>
      <c r="TTB78" s="684"/>
      <c r="TTC78" s="684"/>
      <c r="TTD78" s="684"/>
      <c r="TTE78" s="684"/>
      <c r="TTF78" s="684"/>
      <c r="TTG78" s="684"/>
      <c r="TTH78" s="684"/>
      <c r="TTI78" s="684"/>
      <c r="TTJ78" s="684"/>
      <c r="TTK78" s="684"/>
      <c r="TTL78" s="684"/>
      <c r="TTM78" s="684"/>
      <c r="TTN78" s="684"/>
      <c r="TTO78" s="684"/>
      <c r="TTP78" s="684"/>
      <c r="TTQ78" s="684"/>
      <c r="TTR78" s="684"/>
      <c r="TTS78" s="684"/>
      <c r="TTT78" s="684"/>
      <c r="TTU78" s="684"/>
      <c r="TTV78" s="684"/>
      <c r="TTW78" s="684"/>
      <c r="TTX78" s="684"/>
      <c r="TTY78" s="684"/>
      <c r="TTZ78" s="684"/>
      <c r="TUA78" s="684"/>
      <c r="TUB78" s="684"/>
      <c r="TUC78" s="684"/>
      <c r="TUD78" s="684"/>
      <c r="TUE78" s="684"/>
      <c r="TUF78" s="684"/>
      <c r="TUG78" s="684"/>
      <c r="TUH78" s="684"/>
      <c r="TUI78" s="684"/>
      <c r="TUJ78" s="684"/>
      <c r="TUK78" s="684"/>
      <c r="TUL78" s="684"/>
      <c r="TUM78" s="684"/>
      <c r="TUN78" s="684"/>
      <c r="TUO78" s="684"/>
      <c r="TUP78" s="684"/>
      <c r="TUQ78" s="684"/>
      <c r="TUR78" s="684"/>
      <c r="TUS78" s="684"/>
      <c r="TUT78" s="684"/>
      <c r="TUU78" s="684"/>
      <c r="TUV78" s="684"/>
      <c r="TUW78" s="684"/>
      <c r="TUX78" s="684"/>
      <c r="TUY78" s="684"/>
      <c r="TUZ78" s="684"/>
      <c r="TVA78" s="684"/>
      <c r="TVB78" s="684"/>
      <c r="TVC78" s="684"/>
      <c r="TVD78" s="684"/>
      <c r="TVE78" s="684"/>
      <c r="TVF78" s="684"/>
      <c r="TVG78" s="684"/>
      <c r="TVH78" s="684"/>
      <c r="TVI78" s="684"/>
      <c r="TVJ78" s="684"/>
      <c r="TVK78" s="684"/>
      <c r="TVL78" s="684"/>
      <c r="TVM78" s="684"/>
      <c r="TVN78" s="684"/>
      <c r="TVO78" s="684"/>
      <c r="TVP78" s="684"/>
      <c r="TVQ78" s="684"/>
      <c r="TVR78" s="684"/>
      <c r="TVS78" s="684"/>
      <c r="TVT78" s="684"/>
      <c r="TVU78" s="684"/>
      <c r="TVV78" s="684"/>
      <c r="TVW78" s="684"/>
      <c r="TVX78" s="684"/>
      <c r="TVY78" s="684"/>
      <c r="TVZ78" s="684"/>
      <c r="TWA78" s="684"/>
      <c r="TWB78" s="684"/>
      <c r="TWC78" s="684"/>
      <c r="TWD78" s="684"/>
      <c r="TWE78" s="684"/>
      <c r="TWF78" s="684"/>
      <c r="TWG78" s="684"/>
      <c r="TWH78" s="684"/>
      <c r="TWI78" s="684"/>
      <c r="TWJ78" s="684"/>
      <c r="TWK78" s="684"/>
      <c r="TWL78" s="684"/>
      <c r="TWM78" s="684"/>
      <c r="TWN78" s="684"/>
      <c r="TWO78" s="684"/>
      <c r="TWP78" s="684"/>
      <c r="TWQ78" s="684"/>
      <c r="TWR78" s="684"/>
      <c r="TWS78" s="684"/>
      <c r="TWT78" s="684"/>
      <c r="TWU78" s="684"/>
      <c r="TWV78" s="684"/>
      <c r="TWW78" s="684"/>
      <c r="TWX78" s="684"/>
      <c r="TWY78" s="684"/>
      <c r="TWZ78" s="684"/>
      <c r="TXA78" s="684"/>
      <c r="TXB78" s="684"/>
      <c r="TXC78" s="684"/>
      <c r="TXD78" s="684"/>
      <c r="TXE78" s="684"/>
      <c r="TXF78" s="684"/>
      <c r="TXG78" s="684"/>
      <c r="TXH78" s="684"/>
      <c r="TXI78" s="684"/>
      <c r="TXJ78" s="684"/>
      <c r="TXK78" s="684"/>
      <c r="TXL78" s="684"/>
      <c r="TXM78" s="684"/>
      <c r="TXN78" s="684"/>
      <c r="TXO78" s="684"/>
      <c r="TXP78" s="684"/>
      <c r="TXQ78" s="684"/>
      <c r="TXR78" s="684"/>
      <c r="TXS78" s="684"/>
      <c r="TXT78" s="684"/>
      <c r="TXU78" s="684"/>
      <c r="TXV78" s="684"/>
      <c r="TXW78" s="684"/>
      <c r="TXX78" s="684"/>
      <c r="TXY78" s="684"/>
      <c r="TXZ78" s="684"/>
      <c r="TYA78" s="684"/>
      <c r="TYB78" s="684"/>
      <c r="TYC78" s="684"/>
      <c r="TYD78" s="684"/>
      <c r="TYE78" s="684"/>
      <c r="TYF78" s="684"/>
      <c r="TYG78" s="684"/>
      <c r="TYH78" s="684"/>
      <c r="TYI78" s="684"/>
      <c r="TYJ78" s="684"/>
      <c r="TYK78" s="684"/>
      <c r="TYL78" s="684"/>
      <c r="TYM78" s="684"/>
      <c r="TYN78" s="684"/>
      <c r="TYO78" s="684"/>
      <c r="TYP78" s="684"/>
      <c r="TYQ78" s="684"/>
      <c r="TYR78" s="684"/>
      <c r="TYS78" s="684"/>
      <c r="TYT78" s="684"/>
      <c r="TYU78" s="684"/>
      <c r="TYV78" s="684"/>
      <c r="TYW78" s="684"/>
      <c r="TYX78" s="684"/>
      <c r="TYY78" s="684"/>
      <c r="TYZ78" s="684"/>
      <c r="TZA78" s="684"/>
      <c r="TZB78" s="684"/>
      <c r="TZC78" s="684"/>
      <c r="TZD78" s="684"/>
      <c r="TZE78" s="684"/>
      <c r="TZF78" s="684"/>
      <c r="TZG78" s="684"/>
      <c r="TZH78" s="684"/>
      <c r="TZI78" s="684"/>
      <c r="TZJ78" s="684"/>
      <c r="TZK78" s="684"/>
      <c r="TZL78" s="684"/>
      <c r="TZM78" s="684"/>
      <c r="TZN78" s="684"/>
      <c r="TZO78" s="684"/>
      <c r="TZP78" s="684"/>
      <c r="TZQ78" s="684"/>
      <c r="TZR78" s="684"/>
      <c r="TZS78" s="684"/>
      <c r="TZT78" s="684"/>
      <c r="TZU78" s="684"/>
      <c r="TZV78" s="684"/>
      <c r="TZW78" s="684"/>
      <c r="TZX78" s="684"/>
      <c r="TZY78" s="684"/>
      <c r="TZZ78" s="684"/>
      <c r="UAA78" s="684"/>
      <c r="UAB78" s="684"/>
      <c r="UAC78" s="684"/>
      <c r="UAD78" s="684"/>
      <c r="UAE78" s="684"/>
      <c r="UAF78" s="684"/>
      <c r="UAG78" s="684"/>
      <c r="UAH78" s="684"/>
      <c r="UAI78" s="684"/>
      <c r="UAJ78" s="684"/>
      <c r="UAK78" s="684"/>
      <c r="UAL78" s="684"/>
      <c r="UAM78" s="684"/>
      <c r="UAN78" s="684"/>
      <c r="UAO78" s="684"/>
      <c r="UAP78" s="684"/>
      <c r="UAQ78" s="684"/>
      <c r="UAR78" s="684"/>
      <c r="UAS78" s="684"/>
      <c r="UAT78" s="684"/>
      <c r="UAU78" s="684"/>
      <c r="UAV78" s="684"/>
      <c r="UAW78" s="684"/>
      <c r="UAX78" s="684"/>
      <c r="UAY78" s="684"/>
      <c r="UAZ78" s="684"/>
      <c r="UBA78" s="684"/>
      <c r="UBB78" s="684"/>
      <c r="UBC78" s="684"/>
      <c r="UBD78" s="684"/>
      <c r="UBE78" s="684"/>
      <c r="UBF78" s="684"/>
      <c r="UBG78" s="684"/>
      <c r="UBH78" s="684"/>
      <c r="UBI78" s="684"/>
      <c r="UBJ78" s="684"/>
      <c r="UBK78" s="684"/>
      <c r="UBL78" s="684"/>
      <c r="UBM78" s="684"/>
      <c r="UBN78" s="684"/>
      <c r="UBO78" s="684"/>
      <c r="UBP78" s="684"/>
      <c r="UBQ78" s="684"/>
      <c r="UBR78" s="684"/>
      <c r="UBS78" s="684"/>
      <c r="UBT78" s="684"/>
      <c r="UBU78" s="684"/>
      <c r="UBV78" s="684"/>
      <c r="UBW78" s="684"/>
      <c r="UBX78" s="684"/>
      <c r="UBY78" s="684"/>
      <c r="UBZ78" s="684"/>
      <c r="UCA78" s="684"/>
      <c r="UCB78" s="684"/>
      <c r="UCC78" s="684"/>
      <c r="UCD78" s="684"/>
      <c r="UCE78" s="684"/>
      <c r="UCF78" s="684"/>
      <c r="UCG78" s="684"/>
      <c r="UCH78" s="684"/>
      <c r="UCI78" s="684"/>
      <c r="UCJ78" s="684"/>
      <c r="UCK78" s="684"/>
      <c r="UCL78" s="684"/>
      <c r="UCM78" s="684"/>
      <c r="UCN78" s="684"/>
      <c r="UCO78" s="684"/>
      <c r="UCP78" s="684"/>
      <c r="UCQ78" s="684"/>
      <c r="UCR78" s="684"/>
      <c r="UCS78" s="684"/>
      <c r="UCT78" s="684"/>
      <c r="UCU78" s="684"/>
      <c r="UCV78" s="684"/>
      <c r="UCW78" s="684"/>
      <c r="UCX78" s="684"/>
      <c r="UCY78" s="684"/>
      <c r="UCZ78" s="684"/>
      <c r="UDA78" s="684"/>
      <c r="UDB78" s="684"/>
      <c r="UDC78" s="684"/>
      <c r="UDD78" s="684"/>
      <c r="UDE78" s="684"/>
      <c r="UDF78" s="684"/>
      <c r="UDG78" s="684"/>
      <c r="UDH78" s="684"/>
      <c r="UDI78" s="684"/>
      <c r="UDJ78" s="684"/>
      <c r="UDK78" s="684"/>
      <c r="UDL78" s="684"/>
      <c r="UDM78" s="684"/>
      <c r="UDN78" s="684"/>
      <c r="UDO78" s="684"/>
      <c r="UDP78" s="684"/>
      <c r="UDQ78" s="684"/>
      <c r="UDR78" s="684"/>
      <c r="UDS78" s="684"/>
      <c r="UDT78" s="684"/>
      <c r="UDU78" s="684"/>
      <c r="UDV78" s="684"/>
      <c r="UDW78" s="684"/>
      <c r="UDX78" s="684"/>
      <c r="UDY78" s="684"/>
      <c r="UDZ78" s="684"/>
      <c r="UEA78" s="684"/>
      <c r="UEB78" s="684"/>
      <c r="UEC78" s="684"/>
      <c r="UED78" s="684"/>
      <c r="UEE78" s="684"/>
      <c r="UEF78" s="684"/>
      <c r="UEG78" s="684"/>
      <c r="UEH78" s="684"/>
      <c r="UEI78" s="684"/>
      <c r="UEJ78" s="684"/>
      <c r="UEK78" s="684"/>
      <c r="UEL78" s="684"/>
      <c r="UEM78" s="684"/>
      <c r="UEN78" s="684"/>
      <c r="UEO78" s="684"/>
      <c r="UEP78" s="684"/>
      <c r="UEQ78" s="684"/>
      <c r="UER78" s="684"/>
      <c r="UES78" s="684"/>
      <c r="UET78" s="684"/>
      <c r="UEU78" s="684"/>
      <c r="UEV78" s="684"/>
      <c r="UEW78" s="684"/>
      <c r="UEX78" s="684"/>
      <c r="UEY78" s="684"/>
      <c r="UEZ78" s="684"/>
      <c r="UFA78" s="684"/>
      <c r="UFB78" s="684"/>
      <c r="UFC78" s="684"/>
      <c r="UFD78" s="684"/>
      <c r="UFE78" s="684"/>
      <c r="UFF78" s="684"/>
      <c r="UFG78" s="684"/>
      <c r="UFH78" s="684"/>
      <c r="UFI78" s="684"/>
      <c r="UFJ78" s="684"/>
      <c r="UFK78" s="684"/>
      <c r="UFL78" s="684"/>
      <c r="UFM78" s="684"/>
      <c r="UFN78" s="684"/>
      <c r="UFO78" s="684"/>
      <c r="UFP78" s="684"/>
      <c r="UFQ78" s="684"/>
      <c r="UFR78" s="684"/>
      <c r="UFS78" s="684"/>
      <c r="UFT78" s="684"/>
      <c r="UFU78" s="684"/>
      <c r="UFV78" s="684"/>
      <c r="UFW78" s="684"/>
      <c r="UFX78" s="684"/>
      <c r="UFY78" s="684"/>
      <c r="UFZ78" s="684"/>
      <c r="UGA78" s="684"/>
      <c r="UGB78" s="684"/>
      <c r="UGC78" s="684"/>
      <c r="UGD78" s="684"/>
      <c r="UGE78" s="684"/>
      <c r="UGF78" s="684"/>
      <c r="UGG78" s="684"/>
      <c r="UGH78" s="684"/>
      <c r="UGI78" s="684"/>
      <c r="UGJ78" s="684"/>
      <c r="UGK78" s="684"/>
      <c r="UGL78" s="684"/>
      <c r="UGM78" s="684"/>
      <c r="UGN78" s="684"/>
      <c r="UGO78" s="684"/>
      <c r="UGP78" s="684"/>
      <c r="UGQ78" s="684"/>
      <c r="UGR78" s="684"/>
      <c r="UGS78" s="684"/>
      <c r="UGT78" s="684"/>
      <c r="UGU78" s="684"/>
      <c r="UGV78" s="684"/>
      <c r="UGW78" s="684"/>
      <c r="UGX78" s="684"/>
      <c r="UGY78" s="684"/>
      <c r="UGZ78" s="684"/>
      <c r="UHA78" s="684"/>
      <c r="UHB78" s="684"/>
      <c r="UHC78" s="684"/>
      <c r="UHD78" s="684"/>
      <c r="UHE78" s="684"/>
      <c r="UHF78" s="684"/>
      <c r="UHG78" s="684"/>
      <c r="UHH78" s="684"/>
      <c r="UHI78" s="684"/>
      <c r="UHJ78" s="684"/>
      <c r="UHK78" s="684"/>
      <c r="UHL78" s="684"/>
      <c r="UHM78" s="684"/>
      <c r="UHN78" s="684"/>
      <c r="UHO78" s="684"/>
      <c r="UHP78" s="684"/>
      <c r="UHQ78" s="684"/>
      <c r="UHR78" s="684"/>
      <c r="UHS78" s="684"/>
      <c r="UHT78" s="684"/>
      <c r="UHU78" s="684"/>
      <c r="UHV78" s="684"/>
      <c r="UHW78" s="684"/>
      <c r="UHX78" s="684"/>
      <c r="UHY78" s="684"/>
      <c r="UHZ78" s="684"/>
      <c r="UIA78" s="684"/>
      <c r="UIB78" s="684"/>
      <c r="UIC78" s="684"/>
      <c r="UID78" s="684"/>
      <c r="UIE78" s="684"/>
      <c r="UIF78" s="684"/>
      <c r="UIG78" s="684"/>
      <c r="UIH78" s="684"/>
      <c r="UII78" s="684"/>
      <c r="UIJ78" s="684"/>
      <c r="UIK78" s="684"/>
      <c r="UIL78" s="684"/>
      <c r="UIM78" s="684"/>
      <c r="UIN78" s="684"/>
      <c r="UIO78" s="684"/>
      <c r="UIP78" s="684"/>
      <c r="UIQ78" s="684"/>
      <c r="UIR78" s="684"/>
      <c r="UIS78" s="684"/>
      <c r="UIT78" s="684"/>
      <c r="UIU78" s="684"/>
      <c r="UIV78" s="684"/>
      <c r="UIW78" s="684"/>
      <c r="UIX78" s="684"/>
      <c r="UIY78" s="684"/>
      <c r="UIZ78" s="684"/>
      <c r="UJA78" s="684"/>
      <c r="UJB78" s="684"/>
      <c r="UJC78" s="684"/>
      <c r="UJD78" s="684"/>
      <c r="UJE78" s="684"/>
      <c r="UJF78" s="684"/>
      <c r="UJG78" s="684"/>
      <c r="UJH78" s="684"/>
      <c r="UJI78" s="684"/>
      <c r="UJJ78" s="684"/>
      <c r="UJK78" s="684"/>
      <c r="UJL78" s="684"/>
      <c r="UJM78" s="684"/>
      <c r="UJN78" s="684"/>
      <c r="UJO78" s="684"/>
      <c r="UJP78" s="684"/>
      <c r="UJQ78" s="684"/>
      <c r="UJR78" s="684"/>
      <c r="UJS78" s="684"/>
      <c r="UJT78" s="684"/>
      <c r="UJU78" s="684"/>
      <c r="UJV78" s="684"/>
      <c r="UJW78" s="684"/>
      <c r="UJX78" s="684"/>
      <c r="UJY78" s="684"/>
      <c r="UJZ78" s="684"/>
      <c r="UKA78" s="684"/>
      <c r="UKB78" s="684"/>
      <c r="UKC78" s="684"/>
      <c r="UKD78" s="684"/>
      <c r="UKE78" s="684"/>
      <c r="UKF78" s="684"/>
      <c r="UKG78" s="684"/>
      <c r="UKH78" s="684"/>
      <c r="UKI78" s="684"/>
      <c r="UKJ78" s="684"/>
      <c r="UKK78" s="684"/>
      <c r="UKL78" s="684"/>
      <c r="UKM78" s="684"/>
      <c r="UKN78" s="684"/>
      <c r="UKO78" s="684"/>
      <c r="UKP78" s="684"/>
      <c r="UKQ78" s="684"/>
      <c r="UKR78" s="684"/>
      <c r="UKS78" s="684"/>
      <c r="UKT78" s="684"/>
      <c r="UKU78" s="684"/>
      <c r="UKV78" s="684"/>
      <c r="UKW78" s="684"/>
      <c r="UKX78" s="684"/>
      <c r="UKY78" s="684"/>
      <c r="UKZ78" s="684"/>
      <c r="ULA78" s="684"/>
      <c r="ULB78" s="684"/>
      <c r="ULC78" s="684"/>
      <c r="ULD78" s="684"/>
      <c r="ULE78" s="684"/>
      <c r="ULF78" s="684"/>
      <c r="ULG78" s="684"/>
      <c r="ULH78" s="684"/>
      <c r="ULI78" s="684"/>
      <c r="ULJ78" s="684"/>
      <c r="ULK78" s="684"/>
      <c r="ULL78" s="684"/>
      <c r="ULM78" s="684"/>
      <c r="ULN78" s="684"/>
      <c r="ULO78" s="684"/>
      <c r="ULP78" s="684"/>
      <c r="ULQ78" s="684"/>
      <c r="ULR78" s="684"/>
      <c r="ULS78" s="684"/>
      <c r="ULT78" s="684"/>
      <c r="ULU78" s="684"/>
      <c r="ULV78" s="684"/>
      <c r="ULW78" s="684"/>
      <c r="ULX78" s="684"/>
      <c r="ULY78" s="684"/>
      <c r="ULZ78" s="684"/>
      <c r="UMA78" s="684"/>
      <c r="UMB78" s="684"/>
      <c r="UMC78" s="684"/>
      <c r="UMD78" s="684"/>
      <c r="UME78" s="684"/>
      <c r="UMF78" s="684"/>
      <c r="UMG78" s="684"/>
      <c r="UMH78" s="684"/>
      <c r="UMI78" s="684"/>
      <c r="UMJ78" s="684"/>
      <c r="UMK78" s="684"/>
      <c r="UML78" s="684"/>
      <c r="UMM78" s="684"/>
      <c r="UMN78" s="684"/>
      <c r="UMO78" s="684"/>
      <c r="UMP78" s="684"/>
      <c r="UMQ78" s="684"/>
      <c r="UMR78" s="684"/>
      <c r="UMS78" s="684"/>
      <c r="UMT78" s="684"/>
      <c r="UMU78" s="684"/>
      <c r="UMV78" s="684"/>
      <c r="UMW78" s="684"/>
      <c r="UMX78" s="684"/>
      <c r="UMY78" s="684"/>
      <c r="UMZ78" s="684"/>
      <c r="UNA78" s="684"/>
      <c r="UNB78" s="684"/>
      <c r="UNC78" s="684"/>
      <c r="UND78" s="684"/>
      <c r="UNE78" s="684"/>
      <c r="UNF78" s="684"/>
      <c r="UNG78" s="684"/>
      <c r="UNH78" s="684"/>
      <c r="UNI78" s="684"/>
      <c r="UNJ78" s="684"/>
      <c r="UNK78" s="684"/>
      <c r="UNL78" s="684"/>
      <c r="UNM78" s="684"/>
      <c r="UNN78" s="684"/>
      <c r="UNO78" s="684"/>
      <c r="UNP78" s="684"/>
      <c r="UNQ78" s="684"/>
      <c r="UNR78" s="684"/>
      <c r="UNS78" s="684"/>
      <c r="UNT78" s="684"/>
      <c r="UNU78" s="684"/>
      <c r="UNV78" s="684"/>
      <c r="UNW78" s="684"/>
      <c r="UNX78" s="684"/>
      <c r="UNY78" s="684"/>
      <c r="UNZ78" s="684"/>
      <c r="UOA78" s="684"/>
      <c r="UOB78" s="684"/>
      <c r="UOC78" s="684"/>
      <c r="UOD78" s="684"/>
      <c r="UOE78" s="684"/>
      <c r="UOF78" s="684"/>
      <c r="UOG78" s="684"/>
      <c r="UOH78" s="684"/>
      <c r="UOI78" s="684"/>
      <c r="UOJ78" s="684"/>
      <c r="UOK78" s="684"/>
      <c r="UOL78" s="684"/>
      <c r="UOM78" s="684"/>
      <c r="UON78" s="684"/>
      <c r="UOO78" s="684"/>
      <c r="UOP78" s="684"/>
      <c r="UOQ78" s="684"/>
      <c r="UOR78" s="684"/>
      <c r="UOS78" s="684"/>
      <c r="UOT78" s="684"/>
      <c r="UOU78" s="684"/>
      <c r="UOV78" s="684"/>
      <c r="UOW78" s="684"/>
      <c r="UOX78" s="684"/>
      <c r="UOY78" s="684"/>
      <c r="UOZ78" s="684"/>
      <c r="UPA78" s="684"/>
      <c r="UPB78" s="684"/>
      <c r="UPC78" s="684"/>
      <c r="UPD78" s="684"/>
      <c r="UPE78" s="684"/>
      <c r="UPF78" s="684"/>
      <c r="UPG78" s="684"/>
      <c r="UPH78" s="684"/>
      <c r="UPI78" s="684"/>
      <c r="UPJ78" s="684"/>
      <c r="UPK78" s="684"/>
      <c r="UPL78" s="684"/>
      <c r="UPM78" s="684"/>
      <c r="UPN78" s="684"/>
      <c r="UPO78" s="684"/>
      <c r="UPP78" s="684"/>
      <c r="UPQ78" s="684"/>
      <c r="UPR78" s="684"/>
      <c r="UPS78" s="684"/>
      <c r="UPT78" s="684"/>
      <c r="UPU78" s="684"/>
      <c r="UPV78" s="684"/>
      <c r="UPW78" s="684"/>
      <c r="UPX78" s="684"/>
      <c r="UPY78" s="684"/>
      <c r="UPZ78" s="684"/>
      <c r="UQA78" s="684"/>
      <c r="UQB78" s="684"/>
      <c r="UQC78" s="684"/>
      <c r="UQD78" s="684"/>
      <c r="UQE78" s="684"/>
      <c r="UQF78" s="684"/>
      <c r="UQG78" s="684"/>
      <c r="UQH78" s="684"/>
      <c r="UQI78" s="684"/>
      <c r="UQJ78" s="684"/>
      <c r="UQK78" s="684"/>
      <c r="UQL78" s="684"/>
      <c r="UQM78" s="684"/>
      <c r="UQN78" s="684"/>
      <c r="UQO78" s="684"/>
      <c r="UQP78" s="684"/>
      <c r="UQQ78" s="684"/>
      <c r="UQR78" s="684"/>
      <c r="UQS78" s="684"/>
      <c r="UQT78" s="684"/>
      <c r="UQU78" s="684"/>
      <c r="UQV78" s="684"/>
      <c r="UQW78" s="684"/>
      <c r="UQX78" s="684"/>
      <c r="UQY78" s="684"/>
      <c r="UQZ78" s="684"/>
      <c r="URA78" s="684"/>
      <c r="URB78" s="684"/>
      <c r="URC78" s="684"/>
      <c r="URD78" s="684"/>
      <c r="URE78" s="684"/>
      <c r="URF78" s="684"/>
      <c r="URG78" s="684"/>
      <c r="URH78" s="684"/>
      <c r="URI78" s="684"/>
      <c r="URJ78" s="684"/>
      <c r="URK78" s="684"/>
      <c r="URL78" s="684"/>
      <c r="URM78" s="684"/>
      <c r="URN78" s="684"/>
      <c r="URO78" s="684"/>
      <c r="URP78" s="684"/>
      <c r="URQ78" s="684"/>
      <c r="URR78" s="684"/>
      <c r="URS78" s="684"/>
      <c r="URT78" s="684"/>
      <c r="URU78" s="684"/>
      <c r="URV78" s="684"/>
      <c r="URW78" s="684"/>
      <c r="URX78" s="684"/>
      <c r="URY78" s="684"/>
      <c r="URZ78" s="684"/>
      <c r="USA78" s="684"/>
      <c r="USB78" s="684"/>
      <c r="USC78" s="684"/>
      <c r="USD78" s="684"/>
      <c r="USE78" s="684"/>
      <c r="USF78" s="684"/>
      <c r="USG78" s="684"/>
      <c r="USH78" s="684"/>
      <c r="USI78" s="684"/>
      <c r="USJ78" s="684"/>
      <c r="USK78" s="684"/>
      <c r="USL78" s="684"/>
      <c r="USM78" s="684"/>
      <c r="USN78" s="684"/>
      <c r="USO78" s="684"/>
      <c r="USP78" s="684"/>
      <c r="USQ78" s="684"/>
      <c r="USR78" s="684"/>
      <c r="USS78" s="684"/>
      <c r="UST78" s="684"/>
      <c r="USU78" s="684"/>
      <c r="USV78" s="684"/>
      <c r="USW78" s="684"/>
      <c r="USX78" s="684"/>
      <c r="USY78" s="684"/>
      <c r="USZ78" s="684"/>
      <c r="UTA78" s="684"/>
      <c r="UTB78" s="684"/>
      <c r="UTC78" s="684"/>
      <c r="UTD78" s="684"/>
      <c r="UTE78" s="684"/>
      <c r="UTF78" s="684"/>
      <c r="UTG78" s="684"/>
      <c r="UTH78" s="684"/>
      <c r="UTI78" s="684"/>
      <c r="UTJ78" s="684"/>
      <c r="UTK78" s="684"/>
      <c r="UTL78" s="684"/>
      <c r="UTM78" s="684"/>
      <c r="UTN78" s="684"/>
      <c r="UTO78" s="684"/>
      <c r="UTP78" s="684"/>
      <c r="UTQ78" s="684"/>
      <c r="UTR78" s="684"/>
      <c r="UTS78" s="684"/>
      <c r="UTT78" s="684"/>
      <c r="UTU78" s="684"/>
      <c r="UTV78" s="684"/>
      <c r="UTW78" s="684"/>
      <c r="UTX78" s="684"/>
      <c r="UTY78" s="684"/>
      <c r="UTZ78" s="684"/>
      <c r="UUA78" s="684"/>
      <c r="UUB78" s="684"/>
      <c r="UUC78" s="684"/>
      <c r="UUD78" s="684"/>
      <c r="UUE78" s="684"/>
      <c r="UUF78" s="684"/>
      <c r="UUG78" s="684"/>
      <c r="UUH78" s="684"/>
      <c r="UUI78" s="684"/>
      <c r="UUJ78" s="684"/>
      <c r="UUK78" s="684"/>
      <c r="UUL78" s="684"/>
      <c r="UUM78" s="684"/>
      <c r="UUN78" s="684"/>
      <c r="UUO78" s="684"/>
      <c r="UUP78" s="684"/>
      <c r="UUQ78" s="684"/>
      <c r="UUR78" s="684"/>
      <c r="UUS78" s="684"/>
      <c r="UUT78" s="684"/>
      <c r="UUU78" s="684"/>
      <c r="UUV78" s="684"/>
      <c r="UUW78" s="684"/>
      <c r="UUX78" s="684"/>
      <c r="UUY78" s="684"/>
      <c r="UUZ78" s="684"/>
      <c r="UVA78" s="684"/>
      <c r="UVB78" s="684"/>
      <c r="UVC78" s="684"/>
      <c r="UVD78" s="684"/>
      <c r="UVE78" s="684"/>
      <c r="UVF78" s="684"/>
      <c r="UVG78" s="684"/>
      <c r="UVH78" s="684"/>
      <c r="UVI78" s="684"/>
      <c r="UVJ78" s="684"/>
      <c r="UVK78" s="684"/>
      <c r="UVL78" s="684"/>
      <c r="UVM78" s="684"/>
      <c r="UVN78" s="684"/>
      <c r="UVO78" s="684"/>
      <c r="UVP78" s="684"/>
      <c r="UVQ78" s="684"/>
      <c r="UVR78" s="684"/>
      <c r="UVS78" s="684"/>
      <c r="UVT78" s="684"/>
      <c r="UVU78" s="684"/>
      <c r="UVV78" s="684"/>
      <c r="UVW78" s="684"/>
      <c r="UVX78" s="684"/>
      <c r="UVY78" s="684"/>
      <c r="UVZ78" s="684"/>
      <c r="UWA78" s="684"/>
      <c r="UWB78" s="684"/>
      <c r="UWC78" s="684"/>
      <c r="UWD78" s="684"/>
      <c r="UWE78" s="684"/>
      <c r="UWF78" s="684"/>
      <c r="UWG78" s="684"/>
      <c r="UWH78" s="684"/>
      <c r="UWI78" s="684"/>
      <c r="UWJ78" s="684"/>
      <c r="UWK78" s="684"/>
      <c r="UWL78" s="684"/>
      <c r="UWM78" s="684"/>
      <c r="UWN78" s="684"/>
      <c r="UWO78" s="684"/>
      <c r="UWP78" s="684"/>
      <c r="UWQ78" s="684"/>
      <c r="UWR78" s="684"/>
      <c r="UWS78" s="684"/>
      <c r="UWT78" s="684"/>
      <c r="UWU78" s="684"/>
      <c r="UWV78" s="684"/>
      <c r="UWW78" s="684"/>
      <c r="UWX78" s="684"/>
      <c r="UWY78" s="684"/>
      <c r="UWZ78" s="684"/>
      <c r="UXA78" s="684"/>
      <c r="UXB78" s="684"/>
      <c r="UXC78" s="684"/>
      <c r="UXD78" s="684"/>
      <c r="UXE78" s="684"/>
      <c r="UXF78" s="684"/>
      <c r="UXG78" s="684"/>
      <c r="UXH78" s="684"/>
      <c r="UXI78" s="684"/>
      <c r="UXJ78" s="684"/>
      <c r="UXK78" s="684"/>
      <c r="UXL78" s="684"/>
      <c r="UXM78" s="684"/>
      <c r="UXN78" s="684"/>
      <c r="UXO78" s="684"/>
      <c r="UXP78" s="684"/>
      <c r="UXQ78" s="684"/>
      <c r="UXR78" s="684"/>
      <c r="UXS78" s="684"/>
      <c r="UXT78" s="684"/>
      <c r="UXU78" s="684"/>
      <c r="UXV78" s="684"/>
      <c r="UXW78" s="684"/>
      <c r="UXX78" s="684"/>
      <c r="UXY78" s="684"/>
      <c r="UXZ78" s="684"/>
      <c r="UYA78" s="684"/>
      <c r="UYB78" s="684"/>
      <c r="UYC78" s="684"/>
      <c r="UYD78" s="684"/>
      <c r="UYE78" s="684"/>
      <c r="UYF78" s="684"/>
      <c r="UYG78" s="684"/>
      <c r="UYH78" s="684"/>
      <c r="UYI78" s="684"/>
      <c r="UYJ78" s="684"/>
      <c r="UYK78" s="684"/>
      <c r="UYL78" s="684"/>
      <c r="UYM78" s="684"/>
      <c r="UYN78" s="684"/>
      <c r="UYO78" s="684"/>
      <c r="UYP78" s="684"/>
      <c r="UYQ78" s="684"/>
      <c r="UYR78" s="684"/>
      <c r="UYS78" s="684"/>
      <c r="UYT78" s="684"/>
      <c r="UYU78" s="684"/>
      <c r="UYV78" s="684"/>
      <c r="UYW78" s="684"/>
      <c r="UYX78" s="684"/>
      <c r="UYY78" s="684"/>
      <c r="UYZ78" s="684"/>
      <c r="UZA78" s="684"/>
      <c r="UZB78" s="684"/>
      <c r="UZC78" s="684"/>
      <c r="UZD78" s="684"/>
      <c r="UZE78" s="684"/>
      <c r="UZF78" s="684"/>
      <c r="UZG78" s="684"/>
      <c r="UZH78" s="684"/>
      <c r="UZI78" s="684"/>
      <c r="UZJ78" s="684"/>
      <c r="UZK78" s="684"/>
      <c r="UZL78" s="684"/>
      <c r="UZM78" s="684"/>
      <c r="UZN78" s="684"/>
      <c r="UZO78" s="684"/>
      <c r="UZP78" s="684"/>
      <c r="UZQ78" s="684"/>
      <c r="UZR78" s="684"/>
      <c r="UZS78" s="684"/>
      <c r="UZT78" s="684"/>
      <c r="UZU78" s="684"/>
      <c r="UZV78" s="684"/>
      <c r="UZW78" s="684"/>
      <c r="UZX78" s="684"/>
      <c r="UZY78" s="684"/>
      <c r="UZZ78" s="684"/>
      <c r="VAA78" s="684"/>
      <c r="VAB78" s="684"/>
      <c r="VAC78" s="684"/>
      <c r="VAD78" s="684"/>
      <c r="VAE78" s="684"/>
      <c r="VAF78" s="684"/>
      <c r="VAG78" s="684"/>
      <c r="VAH78" s="684"/>
      <c r="VAI78" s="684"/>
      <c r="VAJ78" s="684"/>
      <c r="VAK78" s="684"/>
      <c r="VAL78" s="684"/>
      <c r="VAM78" s="684"/>
      <c r="VAN78" s="684"/>
      <c r="VAO78" s="684"/>
      <c r="VAP78" s="684"/>
      <c r="VAQ78" s="684"/>
      <c r="VAR78" s="684"/>
      <c r="VAS78" s="684"/>
      <c r="VAT78" s="684"/>
      <c r="VAU78" s="684"/>
      <c r="VAV78" s="684"/>
      <c r="VAW78" s="684"/>
      <c r="VAX78" s="684"/>
      <c r="VAY78" s="684"/>
      <c r="VAZ78" s="684"/>
      <c r="VBA78" s="684"/>
      <c r="VBB78" s="684"/>
      <c r="VBC78" s="684"/>
      <c r="VBD78" s="684"/>
      <c r="VBE78" s="684"/>
      <c r="VBF78" s="684"/>
      <c r="VBG78" s="684"/>
      <c r="VBH78" s="684"/>
      <c r="VBI78" s="684"/>
      <c r="VBJ78" s="684"/>
      <c r="VBK78" s="684"/>
      <c r="VBL78" s="684"/>
      <c r="VBM78" s="684"/>
      <c r="VBN78" s="684"/>
      <c r="VBO78" s="684"/>
      <c r="VBP78" s="684"/>
      <c r="VBQ78" s="684"/>
      <c r="VBR78" s="684"/>
      <c r="VBS78" s="684"/>
      <c r="VBT78" s="684"/>
      <c r="VBU78" s="684"/>
      <c r="VBV78" s="684"/>
      <c r="VBW78" s="684"/>
      <c r="VBX78" s="684"/>
      <c r="VBY78" s="684"/>
      <c r="VBZ78" s="684"/>
      <c r="VCA78" s="684"/>
      <c r="VCB78" s="684"/>
      <c r="VCC78" s="684"/>
      <c r="VCD78" s="684"/>
      <c r="VCE78" s="684"/>
      <c r="VCF78" s="684"/>
      <c r="VCG78" s="684"/>
      <c r="VCH78" s="684"/>
      <c r="VCI78" s="684"/>
      <c r="VCJ78" s="684"/>
      <c r="VCK78" s="684"/>
      <c r="VCL78" s="684"/>
      <c r="VCM78" s="684"/>
      <c r="VCN78" s="684"/>
      <c r="VCO78" s="684"/>
      <c r="VCP78" s="684"/>
      <c r="VCQ78" s="684"/>
      <c r="VCR78" s="684"/>
      <c r="VCS78" s="684"/>
      <c r="VCT78" s="684"/>
      <c r="VCU78" s="684"/>
      <c r="VCV78" s="684"/>
      <c r="VCW78" s="684"/>
      <c r="VCX78" s="684"/>
      <c r="VCY78" s="684"/>
      <c r="VCZ78" s="684"/>
      <c r="VDA78" s="684"/>
      <c r="VDB78" s="684"/>
      <c r="VDC78" s="684"/>
      <c r="VDD78" s="684"/>
      <c r="VDE78" s="684"/>
      <c r="VDF78" s="684"/>
      <c r="VDG78" s="684"/>
      <c r="VDH78" s="684"/>
      <c r="VDI78" s="684"/>
      <c r="VDJ78" s="684"/>
      <c r="VDK78" s="684"/>
      <c r="VDL78" s="684"/>
      <c r="VDM78" s="684"/>
      <c r="VDN78" s="684"/>
      <c r="VDO78" s="684"/>
      <c r="VDP78" s="684"/>
      <c r="VDQ78" s="684"/>
      <c r="VDR78" s="684"/>
      <c r="VDS78" s="684"/>
      <c r="VDT78" s="684"/>
      <c r="VDU78" s="684"/>
      <c r="VDV78" s="684"/>
      <c r="VDW78" s="684"/>
      <c r="VDX78" s="684"/>
      <c r="VDY78" s="684"/>
      <c r="VDZ78" s="684"/>
      <c r="VEA78" s="684"/>
      <c r="VEB78" s="684"/>
      <c r="VEC78" s="684"/>
      <c r="VED78" s="684"/>
      <c r="VEE78" s="684"/>
      <c r="VEF78" s="684"/>
      <c r="VEG78" s="684"/>
      <c r="VEH78" s="684"/>
      <c r="VEI78" s="684"/>
      <c r="VEJ78" s="684"/>
      <c r="VEK78" s="684"/>
      <c r="VEL78" s="684"/>
      <c r="VEM78" s="684"/>
      <c r="VEN78" s="684"/>
      <c r="VEO78" s="684"/>
      <c r="VEP78" s="684"/>
      <c r="VEQ78" s="684"/>
      <c r="VER78" s="684"/>
      <c r="VES78" s="684"/>
      <c r="VET78" s="684"/>
      <c r="VEU78" s="684"/>
      <c r="VEV78" s="684"/>
      <c r="VEW78" s="684"/>
      <c r="VEX78" s="684"/>
      <c r="VEY78" s="684"/>
      <c r="VEZ78" s="684"/>
      <c r="VFA78" s="684"/>
      <c r="VFB78" s="684"/>
      <c r="VFC78" s="684"/>
      <c r="VFD78" s="684"/>
      <c r="VFE78" s="684"/>
      <c r="VFF78" s="684"/>
      <c r="VFG78" s="684"/>
      <c r="VFH78" s="684"/>
      <c r="VFI78" s="684"/>
      <c r="VFJ78" s="684"/>
      <c r="VFK78" s="684"/>
      <c r="VFL78" s="684"/>
      <c r="VFM78" s="684"/>
      <c r="VFN78" s="684"/>
      <c r="VFO78" s="684"/>
      <c r="VFP78" s="684"/>
      <c r="VFQ78" s="684"/>
      <c r="VFR78" s="684"/>
      <c r="VFS78" s="684"/>
      <c r="VFT78" s="684"/>
      <c r="VFU78" s="684"/>
      <c r="VFV78" s="684"/>
      <c r="VFW78" s="684"/>
      <c r="VFX78" s="684"/>
      <c r="VFY78" s="684"/>
      <c r="VFZ78" s="684"/>
      <c r="VGA78" s="684"/>
      <c r="VGB78" s="684"/>
      <c r="VGC78" s="684"/>
      <c r="VGD78" s="684"/>
      <c r="VGE78" s="684"/>
      <c r="VGF78" s="684"/>
      <c r="VGG78" s="684"/>
      <c r="VGH78" s="684"/>
      <c r="VGI78" s="684"/>
      <c r="VGJ78" s="684"/>
      <c r="VGK78" s="684"/>
      <c r="VGL78" s="684"/>
      <c r="VGM78" s="684"/>
      <c r="VGN78" s="684"/>
      <c r="VGO78" s="684"/>
      <c r="VGP78" s="684"/>
      <c r="VGQ78" s="684"/>
      <c r="VGR78" s="684"/>
      <c r="VGS78" s="684"/>
      <c r="VGT78" s="684"/>
      <c r="VGU78" s="684"/>
      <c r="VGV78" s="684"/>
      <c r="VGW78" s="684"/>
      <c r="VGX78" s="684"/>
      <c r="VGY78" s="684"/>
      <c r="VGZ78" s="684"/>
      <c r="VHA78" s="684"/>
      <c r="VHB78" s="684"/>
      <c r="VHC78" s="684"/>
      <c r="VHD78" s="684"/>
      <c r="VHE78" s="684"/>
      <c r="VHF78" s="684"/>
      <c r="VHG78" s="684"/>
      <c r="VHH78" s="684"/>
      <c r="VHI78" s="684"/>
      <c r="VHJ78" s="684"/>
      <c r="VHK78" s="684"/>
      <c r="VHL78" s="684"/>
      <c r="VHM78" s="684"/>
      <c r="VHN78" s="684"/>
      <c r="VHO78" s="684"/>
      <c r="VHP78" s="684"/>
      <c r="VHQ78" s="684"/>
      <c r="VHR78" s="684"/>
      <c r="VHS78" s="684"/>
      <c r="VHT78" s="684"/>
      <c r="VHU78" s="684"/>
      <c r="VHV78" s="684"/>
      <c r="VHW78" s="684"/>
      <c r="VHX78" s="684"/>
      <c r="VHY78" s="684"/>
      <c r="VHZ78" s="684"/>
      <c r="VIA78" s="684"/>
      <c r="VIB78" s="684"/>
      <c r="VIC78" s="684"/>
      <c r="VID78" s="684"/>
      <c r="VIE78" s="684"/>
      <c r="VIF78" s="684"/>
      <c r="VIG78" s="684"/>
      <c r="VIH78" s="684"/>
      <c r="VII78" s="684"/>
      <c r="VIJ78" s="684"/>
      <c r="VIK78" s="684"/>
      <c r="VIL78" s="684"/>
      <c r="VIM78" s="684"/>
      <c r="VIN78" s="684"/>
      <c r="VIO78" s="684"/>
      <c r="VIP78" s="684"/>
      <c r="VIQ78" s="684"/>
      <c r="VIR78" s="684"/>
      <c r="VIS78" s="684"/>
      <c r="VIT78" s="684"/>
      <c r="VIU78" s="684"/>
      <c r="VIV78" s="684"/>
      <c r="VIW78" s="684"/>
      <c r="VIX78" s="684"/>
      <c r="VIY78" s="684"/>
      <c r="VIZ78" s="684"/>
      <c r="VJA78" s="684"/>
      <c r="VJB78" s="684"/>
      <c r="VJC78" s="684"/>
      <c r="VJD78" s="684"/>
      <c r="VJE78" s="684"/>
      <c r="VJF78" s="684"/>
      <c r="VJG78" s="684"/>
      <c r="VJH78" s="684"/>
      <c r="VJI78" s="684"/>
      <c r="VJJ78" s="684"/>
      <c r="VJK78" s="684"/>
      <c r="VJL78" s="684"/>
      <c r="VJM78" s="684"/>
      <c r="VJN78" s="684"/>
      <c r="VJO78" s="684"/>
      <c r="VJP78" s="684"/>
      <c r="VJQ78" s="684"/>
      <c r="VJR78" s="684"/>
      <c r="VJS78" s="684"/>
      <c r="VJT78" s="684"/>
      <c r="VJU78" s="684"/>
      <c r="VJV78" s="684"/>
      <c r="VJW78" s="684"/>
      <c r="VJX78" s="684"/>
      <c r="VJY78" s="684"/>
      <c r="VJZ78" s="684"/>
      <c r="VKA78" s="684"/>
      <c r="VKB78" s="684"/>
      <c r="VKC78" s="684"/>
      <c r="VKD78" s="684"/>
      <c r="VKE78" s="684"/>
      <c r="VKF78" s="684"/>
      <c r="VKG78" s="684"/>
      <c r="VKH78" s="684"/>
      <c r="VKI78" s="684"/>
      <c r="VKJ78" s="684"/>
      <c r="VKK78" s="684"/>
      <c r="VKL78" s="684"/>
      <c r="VKM78" s="684"/>
      <c r="VKN78" s="684"/>
      <c r="VKO78" s="684"/>
      <c r="VKP78" s="684"/>
      <c r="VKQ78" s="684"/>
      <c r="VKR78" s="684"/>
      <c r="VKS78" s="684"/>
      <c r="VKT78" s="684"/>
      <c r="VKU78" s="684"/>
      <c r="VKV78" s="684"/>
      <c r="VKW78" s="684"/>
      <c r="VKX78" s="684"/>
      <c r="VKY78" s="684"/>
      <c r="VKZ78" s="684"/>
      <c r="VLA78" s="684"/>
      <c r="VLB78" s="684"/>
      <c r="VLC78" s="684"/>
      <c r="VLD78" s="684"/>
      <c r="VLE78" s="684"/>
      <c r="VLF78" s="684"/>
      <c r="VLG78" s="684"/>
      <c r="VLH78" s="684"/>
      <c r="VLI78" s="684"/>
      <c r="VLJ78" s="684"/>
      <c r="VLK78" s="684"/>
      <c r="VLL78" s="684"/>
      <c r="VLM78" s="684"/>
      <c r="VLN78" s="684"/>
      <c r="VLO78" s="684"/>
      <c r="VLP78" s="684"/>
      <c r="VLQ78" s="684"/>
      <c r="VLR78" s="684"/>
      <c r="VLS78" s="684"/>
      <c r="VLT78" s="684"/>
      <c r="VLU78" s="684"/>
      <c r="VLV78" s="684"/>
      <c r="VLW78" s="684"/>
      <c r="VLX78" s="684"/>
      <c r="VLY78" s="684"/>
      <c r="VLZ78" s="684"/>
      <c r="VMA78" s="684"/>
      <c r="VMB78" s="684"/>
      <c r="VMC78" s="684"/>
      <c r="VMD78" s="684"/>
      <c r="VME78" s="684"/>
      <c r="VMF78" s="684"/>
      <c r="VMG78" s="684"/>
      <c r="VMH78" s="684"/>
      <c r="VMI78" s="684"/>
      <c r="VMJ78" s="684"/>
      <c r="VMK78" s="684"/>
      <c r="VML78" s="684"/>
      <c r="VMM78" s="684"/>
      <c r="VMN78" s="684"/>
      <c r="VMO78" s="684"/>
      <c r="VMP78" s="684"/>
      <c r="VMQ78" s="684"/>
      <c r="VMR78" s="684"/>
      <c r="VMS78" s="684"/>
      <c r="VMT78" s="684"/>
      <c r="VMU78" s="684"/>
      <c r="VMV78" s="684"/>
      <c r="VMW78" s="684"/>
      <c r="VMX78" s="684"/>
      <c r="VMY78" s="684"/>
      <c r="VMZ78" s="684"/>
      <c r="VNA78" s="684"/>
      <c r="VNB78" s="684"/>
      <c r="VNC78" s="684"/>
      <c r="VND78" s="684"/>
      <c r="VNE78" s="684"/>
      <c r="VNF78" s="684"/>
      <c r="VNG78" s="684"/>
      <c r="VNH78" s="684"/>
      <c r="VNI78" s="684"/>
      <c r="VNJ78" s="684"/>
      <c r="VNK78" s="684"/>
      <c r="VNL78" s="684"/>
      <c r="VNM78" s="684"/>
      <c r="VNN78" s="684"/>
      <c r="VNO78" s="684"/>
      <c r="VNP78" s="684"/>
      <c r="VNQ78" s="684"/>
      <c r="VNR78" s="684"/>
      <c r="VNS78" s="684"/>
      <c r="VNT78" s="684"/>
      <c r="VNU78" s="684"/>
      <c r="VNV78" s="684"/>
      <c r="VNW78" s="684"/>
      <c r="VNX78" s="684"/>
      <c r="VNY78" s="684"/>
      <c r="VNZ78" s="684"/>
      <c r="VOA78" s="684"/>
      <c r="VOB78" s="684"/>
      <c r="VOC78" s="684"/>
      <c r="VOD78" s="684"/>
      <c r="VOE78" s="684"/>
      <c r="VOF78" s="684"/>
      <c r="VOG78" s="684"/>
      <c r="VOH78" s="684"/>
      <c r="VOI78" s="684"/>
      <c r="VOJ78" s="684"/>
      <c r="VOK78" s="684"/>
      <c r="VOL78" s="684"/>
      <c r="VOM78" s="684"/>
      <c r="VON78" s="684"/>
      <c r="VOO78" s="684"/>
      <c r="VOP78" s="684"/>
      <c r="VOQ78" s="684"/>
      <c r="VOR78" s="684"/>
      <c r="VOS78" s="684"/>
      <c r="VOT78" s="684"/>
      <c r="VOU78" s="684"/>
      <c r="VOV78" s="684"/>
      <c r="VOW78" s="684"/>
      <c r="VOX78" s="684"/>
      <c r="VOY78" s="684"/>
      <c r="VOZ78" s="684"/>
      <c r="VPA78" s="684"/>
      <c r="VPB78" s="684"/>
      <c r="VPC78" s="684"/>
      <c r="VPD78" s="684"/>
      <c r="VPE78" s="684"/>
      <c r="VPF78" s="684"/>
      <c r="VPG78" s="684"/>
      <c r="VPH78" s="684"/>
      <c r="VPI78" s="684"/>
      <c r="VPJ78" s="684"/>
      <c r="VPK78" s="684"/>
      <c r="VPL78" s="684"/>
      <c r="VPM78" s="684"/>
      <c r="VPN78" s="684"/>
      <c r="VPO78" s="684"/>
      <c r="VPP78" s="684"/>
      <c r="VPQ78" s="684"/>
      <c r="VPR78" s="684"/>
      <c r="VPS78" s="684"/>
      <c r="VPT78" s="684"/>
      <c r="VPU78" s="684"/>
      <c r="VPV78" s="684"/>
      <c r="VPW78" s="684"/>
      <c r="VPX78" s="684"/>
      <c r="VPY78" s="684"/>
      <c r="VPZ78" s="684"/>
      <c r="VQA78" s="684"/>
      <c r="VQB78" s="684"/>
      <c r="VQC78" s="684"/>
      <c r="VQD78" s="684"/>
      <c r="VQE78" s="684"/>
      <c r="VQF78" s="684"/>
      <c r="VQG78" s="684"/>
      <c r="VQH78" s="684"/>
      <c r="VQI78" s="684"/>
      <c r="VQJ78" s="684"/>
      <c r="VQK78" s="684"/>
      <c r="VQL78" s="684"/>
      <c r="VQM78" s="684"/>
      <c r="VQN78" s="684"/>
      <c r="VQO78" s="684"/>
      <c r="VQP78" s="684"/>
      <c r="VQQ78" s="684"/>
      <c r="VQR78" s="684"/>
      <c r="VQS78" s="684"/>
      <c r="VQT78" s="684"/>
      <c r="VQU78" s="684"/>
      <c r="VQV78" s="684"/>
      <c r="VQW78" s="684"/>
      <c r="VQX78" s="684"/>
      <c r="VQY78" s="684"/>
      <c r="VQZ78" s="684"/>
      <c r="VRA78" s="684"/>
      <c r="VRB78" s="684"/>
      <c r="VRC78" s="684"/>
      <c r="VRD78" s="684"/>
      <c r="VRE78" s="684"/>
      <c r="VRF78" s="684"/>
      <c r="VRG78" s="684"/>
      <c r="VRH78" s="684"/>
      <c r="VRI78" s="684"/>
      <c r="VRJ78" s="684"/>
      <c r="VRK78" s="684"/>
      <c r="VRL78" s="684"/>
      <c r="VRM78" s="684"/>
      <c r="VRN78" s="684"/>
      <c r="VRO78" s="684"/>
      <c r="VRP78" s="684"/>
      <c r="VRQ78" s="684"/>
      <c r="VRR78" s="684"/>
      <c r="VRS78" s="684"/>
      <c r="VRT78" s="684"/>
      <c r="VRU78" s="684"/>
      <c r="VRV78" s="684"/>
      <c r="VRW78" s="684"/>
      <c r="VRX78" s="684"/>
      <c r="VRY78" s="684"/>
      <c r="VRZ78" s="684"/>
      <c r="VSA78" s="684"/>
      <c r="VSB78" s="684"/>
      <c r="VSC78" s="684"/>
      <c r="VSD78" s="684"/>
      <c r="VSE78" s="684"/>
      <c r="VSF78" s="684"/>
      <c r="VSG78" s="684"/>
      <c r="VSH78" s="684"/>
      <c r="VSI78" s="684"/>
      <c r="VSJ78" s="684"/>
      <c r="VSK78" s="684"/>
      <c r="VSL78" s="684"/>
      <c r="VSM78" s="684"/>
      <c r="VSN78" s="684"/>
      <c r="VSO78" s="684"/>
      <c r="VSP78" s="684"/>
      <c r="VSQ78" s="684"/>
      <c r="VSR78" s="684"/>
      <c r="VSS78" s="684"/>
      <c r="VST78" s="684"/>
      <c r="VSU78" s="684"/>
      <c r="VSV78" s="684"/>
      <c r="VSW78" s="684"/>
      <c r="VSX78" s="684"/>
      <c r="VSY78" s="684"/>
      <c r="VSZ78" s="684"/>
      <c r="VTA78" s="684"/>
      <c r="VTB78" s="684"/>
      <c r="VTC78" s="684"/>
      <c r="VTD78" s="684"/>
      <c r="VTE78" s="684"/>
      <c r="VTF78" s="684"/>
      <c r="VTG78" s="684"/>
      <c r="VTH78" s="684"/>
      <c r="VTI78" s="684"/>
      <c r="VTJ78" s="684"/>
      <c r="VTK78" s="684"/>
      <c r="VTL78" s="684"/>
      <c r="VTM78" s="684"/>
      <c r="VTN78" s="684"/>
      <c r="VTO78" s="684"/>
      <c r="VTP78" s="684"/>
      <c r="VTQ78" s="684"/>
      <c r="VTR78" s="684"/>
      <c r="VTS78" s="684"/>
      <c r="VTT78" s="684"/>
      <c r="VTU78" s="684"/>
      <c r="VTV78" s="684"/>
      <c r="VTW78" s="684"/>
      <c r="VTX78" s="684"/>
      <c r="VTY78" s="684"/>
      <c r="VTZ78" s="684"/>
      <c r="VUA78" s="684"/>
      <c r="VUB78" s="684"/>
      <c r="VUC78" s="684"/>
      <c r="VUD78" s="684"/>
      <c r="VUE78" s="684"/>
      <c r="VUF78" s="684"/>
      <c r="VUG78" s="684"/>
      <c r="VUH78" s="684"/>
      <c r="VUI78" s="684"/>
      <c r="VUJ78" s="684"/>
      <c r="VUK78" s="684"/>
      <c r="VUL78" s="684"/>
      <c r="VUM78" s="684"/>
      <c r="VUN78" s="684"/>
      <c r="VUO78" s="684"/>
      <c r="VUP78" s="684"/>
      <c r="VUQ78" s="684"/>
      <c r="VUR78" s="684"/>
      <c r="VUS78" s="684"/>
      <c r="VUT78" s="684"/>
      <c r="VUU78" s="684"/>
      <c r="VUV78" s="684"/>
      <c r="VUW78" s="684"/>
      <c r="VUX78" s="684"/>
      <c r="VUY78" s="684"/>
      <c r="VUZ78" s="684"/>
      <c r="VVA78" s="684"/>
      <c r="VVB78" s="684"/>
      <c r="VVC78" s="684"/>
      <c r="VVD78" s="684"/>
      <c r="VVE78" s="684"/>
      <c r="VVF78" s="684"/>
      <c r="VVG78" s="684"/>
      <c r="VVH78" s="684"/>
      <c r="VVI78" s="684"/>
      <c r="VVJ78" s="684"/>
      <c r="VVK78" s="684"/>
      <c r="VVL78" s="684"/>
      <c r="VVM78" s="684"/>
      <c r="VVN78" s="684"/>
      <c r="VVO78" s="684"/>
      <c r="VVP78" s="684"/>
      <c r="VVQ78" s="684"/>
      <c r="VVR78" s="684"/>
      <c r="VVS78" s="684"/>
      <c r="VVT78" s="684"/>
      <c r="VVU78" s="684"/>
      <c r="VVV78" s="684"/>
      <c r="VVW78" s="684"/>
      <c r="VVX78" s="684"/>
      <c r="VVY78" s="684"/>
      <c r="VVZ78" s="684"/>
      <c r="VWA78" s="684"/>
      <c r="VWB78" s="684"/>
      <c r="VWC78" s="684"/>
      <c r="VWD78" s="684"/>
      <c r="VWE78" s="684"/>
      <c r="VWF78" s="684"/>
      <c r="VWG78" s="684"/>
      <c r="VWH78" s="684"/>
      <c r="VWI78" s="684"/>
      <c r="VWJ78" s="684"/>
      <c r="VWK78" s="684"/>
      <c r="VWL78" s="684"/>
      <c r="VWM78" s="684"/>
      <c r="VWN78" s="684"/>
      <c r="VWO78" s="684"/>
      <c r="VWP78" s="684"/>
      <c r="VWQ78" s="684"/>
      <c r="VWR78" s="684"/>
      <c r="VWS78" s="684"/>
      <c r="VWT78" s="684"/>
      <c r="VWU78" s="684"/>
      <c r="VWV78" s="684"/>
      <c r="VWW78" s="684"/>
      <c r="VWX78" s="684"/>
      <c r="VWY78" s="684"/>
      <c r="VWZ78" s="684"/>
      <c r="VXA78" s="684"/>
      <c r="VXB78" s="684"/>
      <c r="VXC78" s="684"/>
      <c r="VXD78" s="684"/>
      <c r="VXE78" s="684"/>
      <c r="VXF78" s="684"/>
      <c r="VXG78" s="684"/>
      <c r="VXH78" s="684"/>
      <c r="VXI78" s="684"/>
      <c r="VXJ78" s="684"/>
      <c r="VXK78" s="684"/>
      <c r="VXL78" s="684"/>
      <c r="VXM78" s="684"/>
      <c r="VXN78" s="684"/>
      <c r="VXO78" s="684"/>
      <c r="VXP78" s="684"/>
      <c r="VXQ78" s="684"/>
      <c r="VXR78" s="684"/>
      <c r="VXS78" s="684"/>
      <c r="VXT78" s="684"/>
      <c r="VXU78" s="684"/>
      <c r="VXV78" s="684"/>
      <c r="VXW78" s="684"/>
      <c r="VXX78" s="684"/>
      <c r="VXY78" s="684"/>
      <c r="VXZ78" s="684"/>
      <c r="VYA78" s="684"/>
      <c r="VYB78" s="684"/>
      <c r="VYC78" s="684"/>
      <c r="VYD78" s="684"/>
      <c r="VYE78" s="684"/>
      <c r="VYF78" s="684"/>
      <c r="VYG78" s="684"/>
      <c r="VYH78" s="684"/>
      <c r="VYI78" s="684"/>
      <c r="VYJ78" s="684"/>
      <c r="VYK78" s="684"/>
      <c r="VYL78" s="684"/>
      <c r="VYM78" s="684"/>
      <c r="VYN78" s="684"/>
      <c r="VYO78" s="684"/>
      <c r="VYP78" s="684"/>
      <c r="VYQ78" s="684"/>
      <c r="VYR78" s="684"/>
      <c r="VYS78" s="684"/>
      <c r="VYT78" s="684"/>
      <c r="VYU78" s="684"/>
      <c r="VYV78" s="684"/>
      <c r="VYW78" s="684"/>
      <c r="VYX78" s="684"/>
      <c r="VYY78" s="684"/>
      <c r="VYZ78" s="684"/>
      <c r="VZA78" s="684"/>
      <c r="VZB78" s="684"/>
      <c r="VZC78" s="684"/>
      <c r="VZD78" s="684"/>
      <c r="VZE78" s="684"/>
      <c r="VZF78" s="684"/>
      <c r="VZG78" s="684"/>
      <c r="VZH78" s="684"/>
      <c r="VZI78" s="684"/>
      <c r="VZJ78" s="684"/>
      <c r="VZK78" s="684"/>
      <c r="VZL78" s="684"/>
      <c r="VZM78" s="684"/>
      <c r="VZN78" s="684"/>
      <c r="VZO78" s="684"/>
      <c r="VZP78" s="684"/>
      <c r="VZQ78" s="684"/>
      <c r="VZR78" s="684"/>
      <c r="VZS78" s="684"/>
      <c r="VZT78" s="684"/>
      <c r="VZU78" s="684"/>
      <c r="VZV78" s="684"/>
      <c r="VZW78" s="684"/>
      <c r="VZX78" s="684"/>
      <c r="VZY78" s="684"/>
      <c r="VZZ78" s="684"/>
      <c r="WAA78" s="684"/>
      <c r="WAB78" s="684"/>
      <c r="WAC78" s="684"/>
      <c r="WAD78" s="684"/>
      <c r="WAE78" s="684"/>
      <c r="WAF78" s="684"/>
      <c r="WAG78" s="684"/>
      <c r="WAH78" s="684"/>
      <c r="WAI78" s="684"/>
      <c r="WAJ78" s="684"/>
      <c r="WAK78" s="684"/>
      <c r="WAL78" s="684"/>
      <c r="WAM78" s="684"/>
      <c r="WAN78" s="684"/>
      <c r="WAO78" s="684"/>
      <c r="WAP78" s="684"/>
      <c r="WAQ78" s="684"/>
      <c r="WAR78" s="684"/>
      <c r="WAS78" s="684"/>
      <c r="WAT78" s="684"/>
      <c r="WAU78" s="684"/>
      <c r="WAV78" s="684"/>
      <c r="WAW78" s="684"/>
      <c r="WAX78" s="684"/>
      <c r="WAY78" s="684"/>
      <c r="WAZ78" s="684"/>
      <c r="WBA78" s="684"/>
      <c r="WBB78" s="684"/>
      <c r="WBC78" s="684"/>
      <c r="WBD78" s="684"/>
      <c r="WBE78" s="684"/>
      <c r="WBF78" s="684"/>
      <c r="WBG78" s="684"/>
      <c r="WBH78" s="684"/>
      <c r="WBI78" s="684"/>
      <c r="WBJ78" s="684"/>
      <c r="WBK78" s="684"/>
      <c r="WBL78" s="684"/>
      <c r="WBM78" s="684"/>
      <c r="WBN78" s="684"/>
      <c r="WBO78" s="684"/>
      <c r="WBP78" s="684"/>
      <c r="WBQ78" s="684"/>
      <c r="WBR78" s="684"/>
      <c r="WBS78" s="684"/>
      <c r="WBT78" s="684"/>
      <c r="WBU78" s="684"/>
      <c r="WBV78" s="684"/>
      <c r="WBW78" s="684"/>
      <c r="WBX78" s="684"/>
      <c r="WBY78" s="684"/>
      <c r="WBZ78" s="684"/>
      <c r="WCA78" s="684"/>
      <c r="WCB78" s="684"/>
      <c r="WCC78" s="684"/>
      <c r="WCD78" s="684"/>
      <c r="WCE78" s="684"/>
      <c r="WCF78" s="684"/>
      <c r="WCG78" s="684"/>
      <c r="WCH78" s="684"/>
      <c r="WCI78" s="684"/>
      <c r="WCJ78" s="684"/>
      <c r="WCK78" s="684"/>
      <c r="WCL78" s="684"/>
      <c r="WCM78" s="684"/>
      <c r="WCN78" s="684"/>
      <c r="WCO78" s="684"/>
      <c r="WCP78" s="684"/>
      <c r="WCQ78" s="684"/>
      <c r="WCR78" s="684"/>
      <c r="WCS78" s="684"/>
      <c r="WCT78" s="684"/>
      <c r="WCU78" s="684"/>
      <c r="WCV78" s="684"/>
      <c r="WCW78" s="684"/>
      <c r="WCX78" s="684"/>
      <c r="WCY78" s="684"/>
      <c r="WCZ78" s="684"/>
      <c r="WDA78" s="684"/>
      <c r="WDB78" s="684"/>
      <c r="WDC78" s="684"/>
      <c r="WDD78" s="684"/>
      <c r="WDE78" s="684"/>
      <c r="WDF78" s="684"/>
      <c r="WDG78" s="684"/>
      <c r="WDH78" s="684"/>
      <c r="WDI78" s="684"/>
      <c r="WDJ78" s="684"/>
      <c r="WDK78" s="684"/>
      <c r="WDL78" s="684"/>
      <c r="WDM78" s="684"/>
      <c r="WDN78" s="684"/>
      <c r="WDO78" s="684"/>
      <c r="WDP78" s="684"/>
      <c r="WDQ78" s="684"/>
      <c r="WDR78" s="684"/>
      <c r="WDS78" s="684"/>
      <c r="WDT78" s="684"/>
      <c r="WDU78" s="684"/>
      <c r="WDV78" s="684"/>
      <c r="WDW78" s="684"/>
      <c r="WDX78" s="684"/>
      <c r="WDY78" s="684"/>
      <c r="WDZ78" s="684"/>
      <c r="WEA78" s="684"/>
      <c r="WEB78" s="684"/>
      <c r="WEC78" s="684"/>
      <c r="WED78" s="684"/>
      <c r="WEE78" s="684"/>
      <c r="WEF78" s="684"/>
      <c r="WEG78" s="684"/>
      <c r="WEH78" s="684"/>
      <c r="WEI78" s="684"/>
      <c r="WEJ78" s="684"/>
      <c r="WEK78" s="684"/>
      <c r="WEL78" s="684"/>
      <c r="WEM78" s="684"/>
      <c r="WEN78" s="684"/>
      <c r="WEO78" s="684"/>
      <c r="WEP78" s="684"/>
      <c r="WEQ78" s="684"/>
      <c r="WER78" s="684"/>
      <c r="WES78" s="684"/>
      <c r="WET78" s="684"/>
      <c r="WEU78" s="684"/>
      <c r="WEV78" s="684"/>
      <c r="WEW78" s="684"/>
      <c r="WEX78" s="684"/>
      <c r="WEY78" s="684"/>
      <c r="WEZ78" s="684"/>
      <c r="WFA78" s="684"/>
      <c r="WFB78" s="684"/>
      <c r="WFC78" s="684"/>
      <c r="WFD78" s="684"/>
      <c r="WFE78" s="684"/>
      <c r="WFF78" s="684"/>
      <c r="WFG78" s="684"/>
      <c r="WFH78" s="684"/>
      <c r="WFI78" s="684"/>
      <c r="WFJ78" s="684"/>
      <c r="WFK78" s="684"/>
      <c r="WFL78" s="684"/>
      <c r="WFM78" s="684"/>
      <c r="WFN78" s="684"/>
      <c r="WFO78" s="684"/>
      <c r="WFP78" s="684"/>
      <c r="WFQ78" s="684"/>
      <c r="WFR78" s="684"/>
      <c r="WFS78" s="684"/>
      <c r="WFT78" s="684"/>
      <c r="WFU78" s="684"/>
      <c r="WFV78" s="684"/>
      <c r="WFW78" s="684"/>
      <c r="WFX78" s="684"/>
      <c r="WFY78" s="684"/>
      <c r="WFZ78" s="684"/>
      <c r="WGA78" s="684"/>
      <c r="WGB78" s="684"/>
      <c r="WGC78" s="684"/>
      <c r="WGD78" s="684"/>
      <c r="WGE78" s="684"/>
      <c r="WGF78" s="684"/>
      <c r="WGG78" s="684"/>
      <c r="WGH78" s="684"/>
      <c r="WGI78" s="684"/>
      <c r="WGJ78" s="684"/>
      <c r="WGK78" s="684"/>
      <c r="WGL78" s="684"/>
      <c r="WGM78" s="684"/>
      <c r="WGN78" s="684"/>
      <c r="WGO78" s="684"/>
      <c r="WGP78" s="684"/>
      <c r="WGQ78" s="684"/>
      <c r="WGR78" s="684"/>
      <c r="WGS78" s="684"/>
      <c r="WGT78" s="684"/>
      <c r="WGU78" s="684"/>
      <c r="WGV78" s="684"/>
      <c r="WGW78" s="684"/>
      <c r="WGX78" s="684"/>
      <c r="WGY78" s="684"/>
      <c r="WGZ78" s="684"/>
      <c r="WHA78" s="684"/>
      <c r="WHB78" s="684"/>
      <c r="WHC78" s="684"/>
      <c r="WHD78" s="684"/>
      <c r="WHE78" s="684"/>
      <c r="WHF78" s="684"/>
      <c r="WHG78" s="684"/>
      <c r="WHH78" s="684"/>
      <c r="WHI78" s="684"/>
      <c r="WHJ78" s="684"/>
      <c r="WHK78" s="684"/>
      <c r="WHL78" s="684"/>
      <c r="WHM78" s="684"/>
      <c r="WHN78" s="684"/>
      <c r="WHO78" s="684"/>
      <c r="WHP78" s="684"/>
      <c r="WHQ78" s="684"/>
      <c r="WHR78" s="684"/>
      <c r="WHS78" s="684"/>
      <c r="WHT78" s="684"/>
      <c r="WHU78" s="684"/>
      <c r="WHV78" s="684"/>
      <c r="WHW78" s="684"/>
      <c r="WHX78" s="684"/>
      <c r="WHY78" s="684"/>
      <c r="WHZ78" s="684"/>
      <c r="WIA78" s="684"/>
      <c r="WIB78" s="684"/>
      <c r="WIC78" s="684"/>
      <c r="WID78" s="684"/>
      <c r="WIE78" s="684"/>
      <c r="WIF78" s="684"/>
      <c r="WIG78" s="684"/>
      <c r="WIH78" s="684"/>
      <c r="WII78" s="684"/>
      <c r="WIJ78" s="684"/>
      <c r="WIK78" s="684"/>
      <c r="WIL78" s="684"/>
      <c r="WIM78" s="684"/>
      <c r="WIN78" s="684"/>
      <c r="WIO78" s="684"/>
      <c r="WIP78" s="684"/>
      <c r="WIQ78" s="684"/>
      <c r="WIR78" s="684"/>
      <c r="WIS78" s="684"/>
      <c r="WIT78" s="684"/>
      <c r="WIU78" s="684"/>
      <c r="WIV78" s="684"/>
      <c r="WIW78" s="684"/>
      <c r="WIX78" s="684"/>
      <c r="WIY78" s="684"/>
      <c r="WIZ78" s="684"/>
      <c r="WJA78" s="684"/>
      <c r="WJB78" s="684"/>
      <c r="WJC78" s="684"/>
      <c r="WJD78" s="684"/>
      <c r="WJE78" s="684"/>
      <c r="WJF78" s="684"/>
      <c r="WJG78" s="684"/>
      <c r="WJH78" s="684"/>
      <c r="WJI78" s="684"/>
      <c r="WJJ78" s="684"/>
      <c r="WJK78" s="684"/>
      <c r="WJL78" s="684"/>
      <c r="WJM78" s="684"/>
      <c r="WJN78" s="684"/>
      <c r="WJO78" s="684"/>
      <c r="WJP78" s="684"/>
      <c r="WJQ78" s="684"/>
      <c r="WJR78" s="684"/>
      <c r="WJS78" s="684"/>
      <c r="WJT78" s="684"/>
      <c r="WJU78" s="684"/>
      <c r="WJV78" s="684"/>
      <c r="WJW78" s="684"/>
      <c r="WJX78" s="684"/>
      <c r="WJY78" s="684"/>
      <c r="WJZ78" s="684"/>
      <c r="WKA78" s="684"/>
      <c r="WKB78" s="684"/>
      <c r="WKC78" s="684"/>
      <c r="WKD78" s="684"/>
      <c r="WKE78" s="684"/>
      <c r="WKF78" s="684"/>
      <c r="WKG78" s="684"/>
      <c r="WKH78" s="684"/>
      <c r="WKI78" s="684"/>
      <c r="WKJ78" s="684"/>
      <c r="WKK78" s="684"/>
      <c r="WKL78" s="684"/>
      <c r="WKM78" s="684"/>
      <c r="WKN78" s="684"/>
      <c r="WKO78" s="684"/>
      <c r="WKP78" s="684"/>
      <c r="WKQ78" s="684"/>
      <c r="WKR78" s="684"/>
      <c r="WKS78" s="684"/>
      <c r="WKT78" s="684"/>
      <c r="WKU78" s="684"/>
      <c r="WKV78" s="684"/>
      <c r="WKW78" s="684"/>
      <c r="WKX78" s="684"/>
      <c r="WKY78" s="684"/>
      <c r="WKZ78" s="684"/>
      <c r="WLA78" s="684"/>
      <c r="WLB78" s="684"/>
      <c r="WLC78" s="684"/>
      <c r="WLD78" s="684"/>
      <c r="WLE78" s="684"/>
      <c r="WLF78" s="684"/>
      <c r="WLG78" s="684"/>
      <c r="WLH78" s="684"/>
      <c r="WLI78" s="684"/>
      <c r="WLJ78" s="684"/>
      <c r="WLK78" s="684"/>
      <c r="WLL78" s="684"/>
      <c r="WLM78" s="684"/>
      <c r="WLN78" s="684"/>
      <c r="WLO78" s="684"/>
      <c r="WLP78" s="684"/>
      <c r="WLQ78" s="684"/>
      <c r="WLR78" s="684"/>
      <c r="WLS78" s="684"/>
      <c r="WLT78" s="684"/>
      <c r="WLU78" s="684"/>
      <c r="WLV78" s="684"/>
      <c r="WLW78" s="684"/>
      <c r="WLX78" s="684"/>
      <c r="WLY78" s="684"/>
      <c r="WLZ78" s="684"/>
      <c r="WMA78" s="684"/>
      <c r="WMB78" s="684"/>
      <c r="WMC78" s="684"/>
      <c r="WMD78" s="684"/>
      <c r="WME78" s="684"/>
      <c r="WMF78" s="684"/>
      <c r="WMG78" s="684"/>
      <c r="WMH78" s="684"/>
      <c r="WMI78" s="684"/>
      <c r="WMJ78" s="684"/>
      <c r="WMK78" s="684"/>
      <c r="WML78" s="684"/>
      <c r="WMM78" s="684"/>
      <c r="WMN78" s="684"/>
      <c r="WMO78" s="684"/>
      <c r="WMP78" s="684"/>
      <c r="WMQ78" s="684"/>
      <c r="WMR78" s="684"/>
      <c r="WMS78" s="684"/>
      <c r="WMT78" s="684"/>
      <c r="WMU78" s="684"/>
      <c r="WMV78" s="684"/>
      <c r="WMW78" s="684"/>
      <c r="WMX78" s="684"/>
      <c r="WMY78" s="684"/>
      <c r="WMZ78" s="684"/>
      <c r="WNA78" s="684"/>
      <c r="WNB78" s="684"/>
      <c r="WNC78" s="684"/>
      <c r="WND78" s="684"/>
      <c r="WNE78" s="684"/>
      <c r="WNF78" s="684"/>
      <c r="WNG78" s="684"/>
      <c r="WNH78" s="684"/>
      <c r="WNI78" s="684"/>
      <c r="WNJ78" s="684"/>
      <c r="WNK78" s="684"/>
      <c r="WNL78" s="684"/>
      <c r="WNM78" s="684"/>
      <c r="WNN78" s="684"/>
      <c r="WNO78" s="684"/>
      <c r="WNP78" s="684"/>
      <c r="WNQ78" s="684"/>
      <c r="WNR78" s="684"/>
      <c r="WNS78" s="684"/>
      <c r="WNT78" s="684"/>
      <c r="WNU78" s="684"/>
      <c r="WNV78" s="684"/>
      <c r="WNW78" s="684"/>
      <c r="WNX78" s="684"/>
      <c r="WNY78" s="684"/>
      <c r="WNZ78" s="684"/>
      <c r="WOA78" s="684"/>
      <c r="WOB78" s="684"/>
      <c r="WOC78" s="684"/>
      <c r="WOD78" s="684"/>
      <c r="WOE78" s="684"/>
      <c r="WOF78" s="684"/>
      <c r="WOG78" s="684"/>
      <c r="WOH78" s="684"/>
      <c r="WOI78" s="684"/>
      <c r="WOJ78" s="684"/>
      <c r="WOK78" s="684"/>
      <c r="WOL78" s="684"/>
      <c r="WOM78" s="684"/>
      <c r="WON78" s="684"/>
      <c r="WOO78" s="684"/>
      <c r="WOP78" s="684"/>
      <c r="WOQ78" s="684"/>
      <c r="WOR78" s="684"/>
      <c r="WOS78" s="684"/>
      <c r="WOT78" s="684"/>
      <c r="WOU78" s="684"/>
      <c r="WOV78" s="684"/>
      <c r="WOW78" s="684"/>
      <c r="WOX78" s="684"/>
      <c r="WOY78" s="684"/>
      <c r="WOZ78" s="684"/>
      <c r="WPA78" s="684"/>
      <c r="WPB78" s="684"/>
      <c r="WPC78" s="684"/>
      <c r="WPD78" s="684"/>
      <c r="WPE78" s="684"/>
      <c r="WPF78" s="684"/>
      <c r="WPG78" s="684"/>
      <c r="WPH78" s="684"/>
      <c r="WPI78" s="684"/>
      <c r="WPJ78" s="684"/>
      <c r="WPK78" s="684"/>
      <c r="WPL78" s="684"/>
      <c r="WPM78" s="684"/>
      <c r="WPN78" s="684"/>
      <c r="WPO78" s="684"/>
      <c r="WPP78" s="684"/>
      <c r="WPQ78" s="684"/>
      <c r="WPR78" s="684"/>
      <c r="WPS78" s="684"/>
      <c r="WPT78" s="684"/>
      <c r="WPU78" s="684"/>
      <c r="WPV78" s="684"/>
      <c r="WPW78" s="684"/>
      <c r="WPX78" s="684"/>
      <c r="WPY78" s="684"/>
      <c r="WPZ78" s="684"/>
      <c r="WQA78" s="684"/>
      <c r="WQB78" s="684"/>
      <c r="WQC78" s="684"/>
      <c r="WQD78" s="684"/>
      <c r="WQE78" s="684"/>
      <c r="WQF78" s="684"/>
      <c r="WQG78" s="684"/>
      <c r="WQH78" s="684"/>
      <c r="WQI78" s="684"/>
      <c r="WQJ78" s="684"/>
      <c r="WQK78" s="684"/>
      <c r="WQL78" s="684"/>
      <c r="WQM78" s="684"/>
      <c r="WQN78" s="684"/>
      <c r="WQO78" s="684"/>
      <c r="WQP78" s="684"/>
      <c r="WQQ78" s="684"/>
      <c r="WQR78" s="684"/>
      <c r="WQS78" s="684"/>
      <c r="WQT78" s="684"/>
      <c r="WQU78" s="684"/>
      <c r="WQV78" s="684"/>
      <c r="WQW78" s="684"/>
      <c r="WQX78" s="684"/>
      <c r="WQY78" s="684"/>
      <c r="WQZ78" s="684"/>
      <c r="WRA78" s="684"/>
      <c r="WRB78" s="684"/>
      <c r="WRC78" s="684"/>
      <c r="WRD78" s="684"/>
      <c r="WRE78" s="684"/>
      <c r="WRF78" s="684"/>
      <c r="WRG78" s="684"/>
      <c r="WRH78" s="684"/>
      <c r="WRI78" s="684"/>
      <c r="WRJ78" s="684"/>
      <c r="WRK78" s="684"/>
      <c r="WRL78" s="684"/>
      <c r="WRM78" s="684"/>
      <c r="WRN78" s="684"/>
      <c r="WRO78" s="684"/>
      <c r="WRP78" s="684"/>
      <c r="WRQ78" s="684"/>
      <c r="WRR78" s="684"/>
      <c r="WRS78" s="684"/>
      <c r="WRT78" s="684"/>
      <c r="WRU78" s="684"/>
      <c r="WRV78" s="684"/>
      <c r="WRW78" s="684"/>
      <c r="WRX78" s="684"/>
      <c r="WRY78" s="684"/>
      <c r="WRZ78" s="684"/>
      <c r="WSA78" s="684"/>
      <c r="WSB78" s="684"/>
      <c r="WSC78" s="684"/>
      <c r="WSD78" s="684"/>
      <c r="WSE78" s="684"/>
      <c r="WSF78" s="684"/>
      <c r="WSG78" s="684"/>
      <c r="WSH78" s="684"/>
      <c r="WSI78" s="684"/>
      <c r="WSJ78" s="684"/>
      <c r="WSK78" s="684"/>
      <c r="WSL78" s="684"/>
      <c r="WSM78" s="684"/>
      <c r="WSN78" s="684"/>
      <c r="WSO78" s="684"/>
      <c r="WSP78" s="684"/>
      <c r="WSQ78" s="684"/>
      <c r="WSR78" s="684"/>
      <c r="WSS78" s="684"/>
      <c r="WST78" s="684"/>
      <c r="WSU78" s="684"/>
      <c r="WSV78" s="684"/>
      <c r="WSW78" s="684"/>
      <c r="WSX78" s="684"/>
      <c r="WSY78" s="684"/>
      <c r="WSZ78" s="684"/>
      <c r="WTA78" s="684"/>
      <c r="WTB78" s="684"/>
      <c r="WTC78" s="684"/>
      <c r="WTD78" s="684"/>
      <c r="WTE78" s="684"/>
      <c r="WTF78" s="684"/>
      <c r="WTG78" s="684"/>
      <c r="WTH78" s="684"/>
      <c r="WTI78" s="684"/>
      <c r="WTJ78" s="684"/>
      <c r="WTK78" s="684"/>
      <c r="WTL78" s="684"/>
      <c r="WTM78" s="684"/>
      <c r="WTN78" s="684"/>
      <c r="WTO78" s="684"/>
      <c r="WTP78" s="684"/>
      <c r="WTQ78" s="684"/>
      <c r="WTR78" s="684"/>
      <c r="WTS78" s="684"/>
      <c r="WTT78" s="684"/>
      <c r="WTU78" s="684"/>
      <c r="WTV78" s="684"/>
      <c r="WTW78" s="684"/>
      <c r="WTX78" s="684"/>
      <c r="WTY78" s="684"/>
      <c r="WTZ78" s="684"/>
      <c r="WUA78" s="684"/>
      <c r="WUB78" s="684"/>
      <c r="WUC78" s="684"/>
      <c r="WUD78" s="684"/>
      <c r="WUE78" s="684"/>
      <c r="WUF78" s="684"/>
      <c r="WUG78" s="684"/>
      <c r="WUH78" s="684"/>
      <c r="WUI78" s="684"/>
      <c r="WUJ78" s="684"/>
      <c r="WUK78" s="684"/>
      <c r="WUL78" s="684"/>
      <c r="WUM78" s="684"/>
      <c r="WUN78" s="684"/>
      <c r="WUO78" s="684"/>
      <c r="WUP78" s="684"/>
      <c r="WUQ78" s="684"/>
      <c r="WUR78" s="684"/>
      <c r="WUS78" s="684"/>
      <c r="WUT78" s="684"/>
      <c r="WUU78" s="684"/>
      <c r="WUV78" s="684"/>
      <c r="WUW78" s="684"/>
      <c r="WUX78" s="684"/>
      <c r="WUY78" s="684"/>
      <c r="WUZ78" s="684"/>
      <c r="WVA78" s="684"/>
      <c r="WVB78" s="684"/>
      <c r="WVC78" s="684"/>
      <c r="WVD78" s="684"/>
      <c r="WVE78" s="684"/>
      <c r="WVF78" s="684"/>
      <c r="WVG78" s="684"/>
      <c r="WVH78" s="684"/>
      <c r="WVI78" s="684"/>
      <c r="WVJ78" s="684"/>
      <c r="WVK78" s="684"/>
      <c r="WVL78" s="684"/>
      <c r="WVM78" s="684"/>
      <c r="WVN78" s="684"/>
      <c r="WVO78" s="684"/>
      <c r="WVP78" s="684"/>
      <c r="WVQ78" s="684"/>
      <c r="WVR78" s="684"/>
      <c r="WVS78" s="684"/>
      <c r="WVT78" s="684"/>
      <c r="WVU78" s="684"/>
      <c r="WVV78" s="684"/>
      <c r="WVW78" s="684"/>
      <c r="WVX78" s="684"/>
      <c r="WVY78" s="684"/>
      <c r="WVZ78" s="684"/>
      <c r="WWA78" s="684"/>
      <c r="WWB78" s="684"/>
      <c r="WWC78" s="684"/>
      <c r="WWD78" s="684"/>
      <c r="WWE78" s="684"/>
      <c r="WWF78" s="684"/>
      <c r="WWG78" s="684"/>
      <c r="WWH78" s="684"/>
      <c r="WWI78" s="684"/>
      <c r="WWJ78" s="684"/>
      <c r="WWK78" s="684"/>
      <c r="WWL78" s="684"/>
      <c r="WWM78" s="684"/>
      <c r="WWN78" s="684"/>
      <c r="WWO78" s="684"/>
      <c r="WWP78" s="684"/>
      <c r="WWQ78" s="684"/>
      <c r="WWR78" s="684"/>
      <c r="WWS78" s="684"/>
      <c r="WWT78" s="684"/>
      <c r="WWU78" s="684"/>
      <c r="WWV78" s="684"/>
      <c r="WWW78" s="684"/>
      <c r="WWX78" s="684"/>
      <c r="WWY78" s="684"/>
      <c r="WWZ78" s="684"/>
      <c r="WXA78" s="684"/>
      <c r="WXB78" s="684"/>
      <c r="WXC78" s="684"/>
      <c r="WXD78" s="684"/>
      <c r="WXE78" s="684"/>
      <c r="WXF78" s="684"/>
      <c r="WXG78" s="684"/>
      <c r="WXH78" s="684"/>
      <c r="WXI78" s="684"/>
      <c r="WXJ78" s="684"/>
      <c r="WXK78" s="684"/>
      <c r="WXL78" s="684"/>
      <c r="WXM78" s="684"/>
      <c r="WXN78" s="684"/>
      <c r="WXO78" s="684"/>
      <c r="WXP78" s="684"/>
      <c r="WXQ78" s="684"/>
      <c r="WXR78" s="684"/>
      <c r="WXS78" s="684"/>
      <c r="WXT78" s="684"/>
      <c r="WXU78" s="684"/>
      <c r="WXV78" s="684"/>
      <c r="WXW78" s="684"/>
      <c r="WXX78" s="684"/>
      <c r="WXY78" s="684"/>
      <c r="WXZ78" s="684"/>
      <c r="WYA78" s="684"/>
      <c r="WYB78" s="684"/>
      <c r="WYC78" s="684"/>
      <c r="WYD78" s="684"/>
      <c r="WYE78" s="684"/>
      <c r="WYF78" s="684"/>
      <c r="WYG78" s="684"/>
      <c r="WYH78" s="684"/>
      <c r="WYI78" s="684"/>
      <c r="WYJ78" s="684"/>
      <c r="WYK78" s="684"/>
      <c r="WYL78" s="684"/>
      <c r="WYM78" s="684"/>
      <c r="WYN78" s="684"/>
      <c r="WYO78" s="684"/>
      <c r="WYP78" s="684"/>
      <c r="WYQ78" s="684"/>
      <c r="WYR78" s="684"/>
      <c r="WYS78" s="684"/>
      <c r="WYT78" s="684"/>
      <c r="WYU78" s="684"/>
      <c r="WYV78" s="684"/>
      <c r="WYW78" s="684"/>
      <c r="WYX78" s="684"/>
      <c r="WYY78" s="684"/>
      <c r="WYZ78" s="684"/>
      <c r="WZA78" s="684"/>
      <c r="WZB78" s="684"/>
      <c r="WZC78" s="684"/>
      <c r="WZD78" s="684"/>
      <c r="WZE78" s="684"/>
      <c r="WZF78" s="684"/>
      <c r="WZG78" s="684"/>
      <c r="WZH78" s="684"/>
      <c r="WZI78" s="684"/>
      <c r="WZJ78" s="684"/>
      <c r="WZK78" s="684"/>
      <c r="WZL78" s="684"/>
      <c r="WZM78" s="684"/>
      <c r="WZN78" s="684"/>
      <c r="WZO78" s="684"/>
      <c r="WZP78" s="684"/>
      <c r="WZQ78" s="684"/>
      <c r="WZR78" s="684"/>
      <c r="WZS78" s="684"/>
      <c r="WZT78" s="684"/>
      <c r="WZU78" s="684"/>
      <c r="WZV78" s="684"/>
      <c r="WZW78" s="684"/>
      <c r="WZX78" s="684"/>
      <c r="WZY78" s="684"/>
      <c r="WZZ78" s="684"/>
      <c r="XAA78" s="684"/>
      <c r="XAB78" s="684"/>
      <c r="XAC78" s="684"/>
      <c r="XAD78" s="684"/>
      <c r="XAE78" s="684"/>
      <c r="XAF78" s="684"/>
      <c r="XAG78" s="684"/>
      <c r="XAH78" s="684"/>
      <c r="XAI78" s="684"/>
      <c r="XAJ78" s="684"/>
      <c r="XAK78" s="684"/>
      <c r="XAL78" s="684"/>
      <c r="XAM78" s="684"/>
      <c r="XAN78" s="684"/>
      <c r="XAO78" s="684"/>
      <c r="XAP78" s="684"/>
      <c r="XAQ78" s="684"/>
      <c r="XAR78" s="684"/>
      <c r="XAS78" s="684"/>
      <c r="XAT78" s="684"/>
      <c r="XAU78" s="684"/>
      <c r="XAV78" s="684"/>
      <c r="XAW78" s="684"/>
      <c r="XAX78" s="684"/>
      <c r="XAY78" s="684"/>
      <c r="XAZ78" s="684"/>
      <c r="XBA78" s="684"/>
      <c r="XBB78" s="684"/>
      <c r="XBC78" s="684"/>
      <c r="XBD78" s="684"/>
      <c r="XBE78" s="684"/>
      <c r="XBF78" s="684"/>
      <c r="XBG78" s="684"/>
      <c r="XBH78" s="684"/>
      <c r="XBI78" s="684"/>
      <c r="XBJ78" s="684"/>
      <c r="XBK78" s="684"/>
      <c r="XBL78" s="684"/>
      <c r="XBM78" s="684"/>
      <c r="XBN78" s="684"/>
      <c r="XBO78" s="684"/>
      <c r="XBP78" s="684"/>
      <c r="XBQ78" s="684"/>
      <c r="XBR78" s="684"/>
      <c r="XBS78" s="684"/>
      <c r="XBT78" s="684"/>
      <c r="XBU78" s="684"/>
      <c r="XBV78" s="684"/>
      <c r="XBW78" s="684"/>
      <c r="XBX78" s="684"/>
      <c r="XBY78" s="684"/>
      <c r="XBZ78" s="684"/>
      <c r="XCA78" s="684"/>
      <c r="XCB78" s="684"/>
      <c r="XCC78" s="684"/>
      <c r="XCD78" s="684"/>
      <c r="XCE78" s="684"/>
      <c r="XCF78" s="684"/>
      <c r="XCG78" s="684"/>
      <c r="XCH78" s="684"/>
      <c r="XCI78" s="684"/>
      <c r="XCJ78" s="684"/>
      <c r="XCK78" s="684"/>
      <c r="XCL78" s="684"/>
      <c r="XCM78" s="684"/>
      <c r="XCN78" s="684"/>
      <c r="XCO78" s="684"/>
      <c r="XCP78" s="684"/>
      <c r="XCQ78" s="684"/>
      <c r="XCR78" s="684"/>
      <c r="XCS78" s="684"/>
      <c r="XCT78" s="684"/>
      <c r="XCU78" s="684"/>
      <c r="XCV78" s="684"/>
      <c r="XCW78" s="684"/>
      <c r="XCX78" s="684"/>
      <c r="XCY78" s="684"/>
      <c r="XCZ78" s="684"/>
      <c r="XDA78" s="684"/>
      <c r="XDB78" s="684"/>
      <c r="XDC78" s="684"/>
      <c r="XDD78" s="684"/>
      <c r="XDE78" s="684"/>
      <c r="XDF78" s="684"/>
      <c r="XDG78" s="684"/>
      <c r="XDH78" s="684"/>
      <c r="XDI78" s="684"/>
      <c r="XDJ78" s="684"/>
      <c r="XDK78" s="684"/>
      <c r="XDL78" s="684"/>
      <c r="XDM78" s="684"/>
      <c r="XDN78" s="684"/>
      <c r="XDO78" s="684"/>
      <c r="XDP78" s="684"/>
      <c r="XDQ78" s="684"/>
      <c r="XDR78" s="684"/>
      <c r="XDS78" s="684"/>
      <c r="XDT78" s="684"/>
      <c r="XDU78" s="684"/>
      <c r="XDV78" s="684"/>
      <c r="XDW78" s="684"/>
      <c r="XDX78" s="684"/>
      <c r="XDY78" s="684"/>
      <c r="XDZ78" s="684"/>
      <c r="XEA78" s="684"/>
      <c r="XEB78" s="684"/>
      <c r="XEC78" s="684"/>
      <c r="XED78" s="684"/>
      <c r="XEE78" s="684"/>
      <c r="XEF78" s="684"/>
      <c r="XEG78" s="684"/>
      <c r="XEH78" s="684"/>
      <c r="XEI78" s="684"/>
      <c r="XEJ78" s="684"/>
      <c r="XEK78" s="684"/>
      <c r="XEL78" s="684"/>
      <c r="XEM78" s="684"/>
      <c r="XEN78" s="684"/>
      <c r="XEO78" s="684"/>
      <c r="XEP78" s="684"/>
      <c r="XEQ78" s="684"/>
      <c r="XER78" s="684"/>
      <c r="XES78" s="684"/>
      <c r="XET78" s="684"/>
      <c r="XEU78" s="684"/>
      <c r="XEV78" s="684"/>
      <c r="XEW78" s="684"/>
      <c r="XEX78" s="684"/>
      <c r="XEY78" s="684"/>
      <c r="XEZ78" s="684"/>
      <c r="XFA78" s="684"/>
      <c r="XFB78" s="684"/>
      <c r="XFC78" s="684"/>
      <c r="XFD78" s="684"/>
    </row>
    <row r="79" spans="1:16384" s="853" customFormat="1">
      <c r="A79" s="1118" t="s">
        <v>2514</v>
      </c>
      <c r="B79" s="1123" t="s">
        <v>2522</v>
      </c>
      <c r="C79" s="1119" t="s">
        <v>2522</v>
      </c>
      <c r="D79" s="4284" t="str">
        <f>$A79&amp;"  "&amp;$A80</f>
        <v>pwauslihsapp35  pwauslihsapp36</v>
      </c>
      <c r="E79" s="4387" t="str">
        <f>$B79&amp;"  "&amp;$B80</f>
        <v>10.136.100.75  10.136.100.76</v>
      </c>
      <c r="F79" s="4278" t="s">
        <v>75</v>
      </c>
      <c r="G79" s="4280" t="s">
        <v>3050</v>
      </c>
      <c r="H79" s="4206" t="s">
        <v>3052</v>
      </c>
      <c r="I79" s="4206" t="s">
        <v>3051</v>
      </c>
      <c r="J79" s="684"/>
      <c r="K79" s="684"/>
      <c r="L79" s="684"/>
      <c r="M79" s="684"/>
      <c r="N79" s="684"/>
      <c r="O79" s="684"/>
      <c r="P79" s="684"/>
      <c r="Q79" s="684"/>
      <c r="R79" s="684"/>
      <c r="S79" s="684"/>
      <c r="T79" s="684"/>
      <c r="U79" s="684"/>
      <c r="V79" s="684"/>
      <c r="W79" s="684"/>
      <c r="X79" s="684"/>
      <c r="Y79" s="684"/>
      <c r="Z79" s="684"/>
      <c r="AA79" s="684"/>
      <c r="AB79" s="684"/>
      <c r="AC79" s="684"/>
      <c r="AD79" s="684"/>
      <c r="AE79" s="684"/>
      <c r="AF79" s="684"/>
      <c r="AG79" s="684"/>
      <c r="AH79" s="684"/>
      <c r="AI79" s="684"/>
      <c r="AJ79" s="684"/>
      <c r="AK79" s="684"/>
      <c r="AL79" s="684"/>
      <c r="AM79" s="684"/>
      <c r="AN79" s="684"/>
      <c r="AO79" s="684"/>
      <c r="AP79" s="684"/>
      <c r="AQ79" s="684"/>
      <c r="AR79" s="684"/>
      <c r="AS79" s="684"/>
      <c r="AT79" s="684"/>
      <c r="AU79" s="684"/>
      <c r="AV79" s="684"/>
      <c r="AW79" s="684"/>
      <c r="AX79" s="684"/>
      <c r="AY79" s="684"/>
      <c r="AZ79" s="684"/>
      <c r="BA79" s="684"/>
      <c r="BB79" s="684"/>
      <c r="BC79" s="684"/>
      <c r="BD79" s="684"/>
      <c r="BE79" s="684"/>
      <c r="BF79" s="684"/>
      <c r="BG79" s="684"/>
      <c r="BH79" s="684"/>
      <c r="BI79" s="684"/>
      <c r="BJ79" s="684"/>
      <c r="BK79" s="684"/>
      <c r="BL79" s="684"/>
      <c r="BM79" s="684"/>
      <c r="BN79" s="684"/>
      <c r="BO79" s="684"/>
      <c r="BP79" s="684"/>
      <c r="BQ79" s="684"/>
      <c r="BR79" s="684"/>
      <c r="BS79" s="684"/>
      <c r="BT79" s="684"/>
      <c r="BU79" s="684"/>
      <c r="BV79" s="684"/>
      <c r="BW79" s="684"/>
      <c r="BX79" s="684"/>
      <c r="BY79" s="684"/>
      <c r="BZ79" s="684"/>
      <c r="CA79" s="684"/>
      <c r="CB79" s="684"/>
      <c r="CC79" s="684"/>
      <c r="CD79" s="684"/>
      <c r="CE79" s="684"/>
      <c r="CF79" s="684"/>
      <c r="CG79" s="684"/>
      <c r="CH79" s="684"/>
      <c r="CI79" s="684"/>
      <c r="CJ79" s="684"/>
      <c r="CK79" s="684"/>
      <c r="CL79" s="684"/>
      <c r="CM79" s="684"/>
      <c r="CN79" s="684"/>
      <c r="CO79" s="684"/>
      <c r="CP79" s="684"/>
      <c r="CQ79" s="684"/>
      <c r="CR79" s="684"/>
      <c r="CS79" s="684"/>
      <c r="CT79" s="684"/>
      <c r="CU79" s="684"/>
      <c r="CV79" s="684"/>
      <c r="CW79" s="684"/>
      <c r="CX79" s="684"/>
      <c r="CY79" s="684"/>
      <c r="CZ79" s="684"/>
      <c r="DA79" s="684"/>
      <c r="DB79" s="684"/>
      <c r="DC79" s="684"/>
      <c r="DD79" s="684"/>
      <c r="DE79" s="684"/>
      <c r="DF79" s="684"/>
      <c r="DG79" s="684"/>
      <c r="DH79" s="684"/>
      <c r="DI79" s="684"/>
      <c r="DJ79" s="684"/>
      <c r="DK79" s="684"/>
      <c r="DL79" s="684"/>
      <c r="DM79" s="684"/>
      <c r="DN79" s="684"/>
      <c r="DO79" s="684"/>
      <c r="DP79" s="684"/>
      <c r="DQ79" s="684"/>
      <c r="DR79" s="684"/>
      <c r="DS79" s="684"/>
      <c r="DT79" s="684"/>
      <c r="DU79" s="684"/>
      <c r="DV79" s="684"/>
      <c r="DW79" s="684"/>
      <c r="DX79" s="684"/>
      <c r="DY79" s="684"/>
      <c r="DZ79" s="684"/>
      <c r="EA79" s="684"/>
      <c r="EB79" s="684"/>
      <c r="EC79" s="684"/>
      <c r="ED79" s="684"/>
      <c r="EE79" s="684"/>
      <c r="EF79" s="684"/>
      <c r="EG79" s="684"/>
      <c r="EH79" s="684"/>
      <c r="EI79" s="684"/>
      <c r="EJ79" s="684"/>
      <c r="EK79" s="684"/>
      <c r="EL79" s="684"/>
      <c r="EM79" s="684"/>
      <c r="EN79" s="684"/>
      <c r="EO79" s="684"/>
      <c r="EP79" s="684"/>
      <c r="EQ79" s="684"/>
      <c r="ER79" s="684"/>
      <c r="ES79" s="684"/>
      <c r="ET79" s="684"/>
      <c r="EU79" s="684"/>
      <c r="EV79" s="684"/>
      <c r="EW79" s="684"/>
      <c r="EX79" s="684"/>
      <c r="EY79" s="684"/>
      <c r="EZ79" s="684"/>
      <c r="FA79" s="684"/>
      <c r="FB79" s="684"/>
      <c r="FC79" s="684"/>
      <c r="FD79" s="684"/>
      <c r="FE79" s="684"/>
      <c r="FF79" s="684"/>
      <c r="FG79" s="684"/>
      <c r="FH79" s="684"/>
      <c r="FI79" s="684"/>
      <c r="FJ79" s="684"/>
      <c r="FK79" s="684"/>
      <c r="FL79" s="684"/>
      <c r="FM79" s="684"/>
      <c r="FN79" s="684"/>
      <c r="FO79" s="684"/>
      <c r="FP79" s="684"/>
      <c r="FQ79" s="684"/>
      <c r="FR79" s="684"/>
      <c r="FS79" s="684"/>
      <c r="FT79" s="684"/>
      <c r="FU79" s="684"/>
      <c r="FV79" s="684"/>
      <c r="FW79" s="684"/>
      <c r="FX79" s="684"/>
      <c r="FY79" s="684"/>
      <c r="FZ79" s="684"/>
      <c r="GA79" s="684"/>
      <c r="GB79" s="684"/>
      <c r="GC79" s="684"/>
      <c r="GD79" s="684"/>
      <c r="GE79" s="684"/>
      <c r="GF79" s="684"/>
      <c r="GG79" s="684"/>
      <c r="GH79" s="684"/>
      <c r="GI79" s="684"/>
      <c r="GJ79" s="684"/>
      <c r="GK79" s="684"/>
      <c r="GL79" s="684"/>
      <c r="GM79" s="684"/>
      <c r="GN79" s="684"/>
      <c r="GO79" s="684"/>
      <c r="GP79" s="684"/>
      <c r="GQ79" s="684"/>
      <c r="GR79" s="684"/>
      <c r="GS79" s="684"/>
      <c r="GT79" s="684"/>
      <c r="GU79" s="684"/>
      <c r="GV79" s="684"/>
      <c r="GW79" s="684"/>
      <c r="GX79" s="684"/>
      <c r="GY79" s="684"/>
      <c r="GZ79" s="684"/>
      <c r="HA79" s="684"/>
      <c r="HB79" s="684"/>
      <c r="HC79" s="684"/>
      <c r="HD79" s="684"/>
      <c r="HE79" s="684"/>
      <c r="HF79" s="684"/>
      <c r="HG79" s="684"/>
      <c r="HH79" s="684"/>
      <c r="HI79" s="684"/>
      <c r="HJ79" s="684"/>
      <c r="HK79" s="684"/>
      <c r="HL79" s="684"/>
      <c r="HM79" s="684"/>
      <c r="HN79" s="684"/>
      <c r="HO79" s="684"/>
      <c r="HP79" s="684"/>
      <c r="HQ79" s="684"/>
      <c r="HR79" s="684"/>
      <c r="HS79" s="684"/>
      <c r="HT79" s="684"/>
      <c r="HU79" s="684"/>
      <c r="HV79" s="684"/>
      <c r="HW79" s="684"/>
      <c r="HX79" s="684"/>
      <c r="HY79" s="684"/>
      <c r="HZ79" s="684"/>
      <c r="IA79" s="684"/>
      <c r="IB79" s="684"/>
      <c r="IC79" s="684"/>
      <c r="ID79" s="684"/>
      <c r="IE79" s="684"/>
      <c r="IF79" s="684"/>
      <c r="IG79" s="684"/>
      <c r="IH79" s="684"/>
      <c r="II79" s="684"/>
      <c r="IJ79" s="684"/>
      <c r="IK79" s="684"/>
      <c r="IL79" s="684"/>
      <c r="IM79" s="684"/>
      <c r="IN79" s="684"/>
      <c r="IO79" s="684"/>
      <c r="IP79" s="684"/>
      <c r="IQ79" s="684"/>
      <c r="IR79" s="684"/>
      <c r="IS79" s="684"/>
      <c r="IT79" s="684"/>
      <c r="IU79" s="684"/>
      <c r="IV79" s="684"/>
      <c r="IW79" s="684"/>
      <c r="IX79" s="684"/>
      <c r="IY79" s="684"/>
      <c r="IZ79" s="684"/>
      <c r="JA79" s="684"/>
      <c r="JB79" s="684"/>
      <c r="JC79" s="684"/>
      <c r="JD79" s="684"/>
      <c r="JE79" s="684"/>
      <c r="JF79" s="684"/>
      <c r="JG79" s="684"/>
      <c r="JH79" s="684"/>
      <c r="JI79" s="684"/>
      <c r="JJ79" s="684"/>
      <c r="JK79" s="684"/>
      <c r="JL79" s="684"/>
      <c r="JM79" s="684"/>
      <c r="JN79" s="684"/>
      <c r="JO79" s="684"/>
      <c r="JP79" s="684"/>
      <c r="JQ79" s="684"/>
      <c r="JR79" s="684"/>
      <c r="JS79" s="684"/>
      <c r="JT79" s="684"/>
      <c r="JU79" s="684"/>
      <c r="JV79" s="684"/>
      <c r="JW79" s="684"/>
      <c r="JX79" s="684"/>
      <c r="JY79" s="684"/>
      <c r="JZ79" s="684"/>
      <c r="KA79" s="684"/>
      <c r="KB79" s="684"/>
      <c r="KC79" s="684"/>
      <c r="KD79" s="684"/>
      <c r="KE79" s="684"/>
      <c r="KF79" s="684"/>
      <c r="KG79" s="684"/>
      <c r="KH79" s="684"/>
      <c r="KI79" s="684"/>
      <c r="KJ79" s="684"/>
      <c r="KK79" s="684"/>
      <c r="KL79" s="684"/>
      <c r="KM79" s="684"/>
      <c r="KN79" s="684"/>
      <c r="KO79" s="684"/>
      <c r="KP79" s="684"/>
      <c r="KQ79" s="684"/>
      <c r="KR79" s="684"/>
      <c r="KS79" s="684"/>
      <c r="KT79" s="684"/>
      <c r="KU79" s="684"/>
      <c r="KV79" s="684"/>
      <c r="KW79" s="684"/>
      <c r="KX79" s="684"/>
      <c r="KY79" s="684"/>
      <c r="KZ79" s="684"/>
      <c r="LA79" s="684"/>
      <c r="LB79" s="684"/>
      <c r="LC79" s="684"/>
      <c r="LD79" s="684"/>
      <c r="LE79" s="684"/>
      <c r="LF79" s="684"/>
      <c r="LG79" s="684"/>
      <c r="LH79" s="684"/>
      <c r="LI79" s="684"/>
      <c r="LJ79" s="684"/>
      <c r="LK79" s="684"/>
      <c r="LL79" s="684"/>
      <c r="LM79" s="684"/>
      <c r="LN79" s="684"/>
      <c r="LO79" s="684"/>
      <c r="LP79" s="684"/>
      <c r="LQ79" s="684"/>
      <c r="LR79" s="684"/>
      <c r="LS79" s="684"/>
      <c r="LT79" s="684"/>
      <c r="LU79" s="684"/>
      <c r="LV79" s="684"/>
      <c r="LW79" s="684"/>
      <c r="LX79" s="684"/>
      <c r="LY79" s="684"/>
      <c r="LZ79" s="684"/>
      <c r="MA79" s="684"/>
      <c r="MB79" s="684"/>
      <c r="MC79" s="684"/>
      <c r="MD79" s="684"/>
      <c r="ME79" s="684"/>
      <c r="MF79" s="684"/>
      <c r="MG79" s="684"/>
      <c r="MH79" s="684"/>
      <c r="MI79" s="684"/>
      <c r="MJ79" s="684"/>
      <c r="MK79" s="684"/>
      <c r="ML79" s="684"/>
      <c r="MM79" s="684"/>
      <c r="MN79" s="684"/>
      <c r="MO79" s="684"/>
      <c r="MP79" s="684"/>
      <c r="MQ79" s="684"/>
      <c r="MR79" s="684"/>
      <c r="MS79" s="684"/>
      <c r="MT79" s="684"/>
      <c r="MU79" s="684"/>
      <c r="MV79" s="684"/>
      <c r="MW79" s="684"/>
      <c r="MX79" s="684"/>
      <c r="MY79" s="684"/>
      <c r="MZ79" s="684"/>
      <c r="NA79" s="684"/>
      <c r="NB79" s="684"/>
      <c r="NC79" s="684"/>
      <c r="ND79" s="684"/>
      <c r="NE79" s="684"/>
      <c r="NF79" s="684"/>
      <c r="NG79" s="684"/>
      <c r="NH79" s="684"/>
      <c r="NI79" s="684"/>
      <c r="NJ79" s="684"/>
      <c r="NK79" s="684"/>
      <c r="NL79" s="684"/>
      <c r="NM79" s="684"/>
      <c r="NN79" s="684"/>
      <c r="NO79" s="684"/>
      <c r="NP79" s="684"/>
      <c r="NQ79" s="684"/>
      <c r="NR79" s="684"/>
      <c r="NS79" s="684"/>
      <c r="NT79" s="684"/>
      <c r="NU79" s="684"/>
      <c r="NV79" s="684"/>
      <c r="NW79" s="684"/>
      <c r="NX79" s="684"/>
      <c r="NY79" s="684"/>
      <c r="NZ79" s="684"/>
      <c r="OA79" s="684"/>
      <c r="OB79" s="684"/>
      <c r="OC79" s="684"/>
      <c r="OD79" s="684"/>
      <c r="OE79" s="684"/>
      <c r="OF79" s="684"/>
      <c r="OG79" s="684"/>
      <c r="OH79" s="684"/>
      <c r="OI79" s="684"/>
      <c r="OJ79" s="684"/>
      <c r="OK79" s="684"/>
      <c r="OL79" s="684"/>
      <c r="OM79" s="684"/>
      <c r="ON79" s="684"/>
      <c r="OO79" s="684"/>
      <c r="OP79" s="684"/>
      <c r="OQ79" s="684"/>
      <c r="OR79" s="684"/>
      <c r="OS79" s="684"/>
      <c r="OT79" s="684"/>
      <c r="OU79" s="684"/>
      <c r="OV79" s="684"/>
      <c r="OW79" s="684"/>
      <c r="OX79" s="684"/>
      <c r="OY79" s="684"/>
      <c r="OZ79" s="684"/>
      <c r="PA79" s="684"/>
      <c r="PB79" s="684"/>
      <c r="PC79" s="684"/>
      <c r="PD79" s="684"/>
      <c r="PE79" s="684"/>
      <c r="PF79" s="684"/>
      <c r="PG79" s="684"/>
      <c r="PH79" s="684"/>
      <c r="PI79" s="684"/>
      <c r="PJ79" s="684"/>
      <c r="PK79" s="684"/>
      <c r="PL79" s="684"/>
      <c r="PM79" s="684"/>
      <c r="PN79" s="684"/>
      <c r="PO79" s="684"/>
      <c r="PP79" s="684"/>
      <c r="PQ79" s="684"/>
      <c r="PR79" s="684"/>
      <c r="PS79" s="684"/>
      <c r="PT79" s="684"/>
      <c r="PU79" s="684"/>
      <c r="PV79" s="684"/>
      <c r="PW79" s="684"/>
      <c r="PX79" s="684"/>
      <c r="PY79" s="684"/>
      <c r="PZ79" s="684"/>
      <c r="QA79" s="684"/>
      <c r="QB79" s="684"/>
      <c r="QC79" s="684"/>
      <c r="QD79" s="684"/>
      <c r="QE79" s="684"/>
      <c r="QF79" s="684"/>
      <c r="QG79" s="684"/>
      <c r="QH79" s="684"/>
      <c r="QI79" s="684"/>
      <c r="QJ79" s="684"/>
      <c r="QK79" s="684"/>
      <c r="QL79" s="684"/>
      <c r="QM79" s="684"/>
      <c r="QN79" s="684"/>
      <c r="QO79" s="684"/>
      <c r="QP79" s="684"/>
      <c r="QQ79" s="684"/>
      <c r="QR79" s="684"/>
      <c r="QS79" s="684"/>
      <c r="QT79" s="684"/>
      <c r="QU79" s="684"/>
      <c r="QV79" s="684"/>
      <c r="QW79" s="684"/>
      <c r="QX79" s="684"/>
      <c r="QY79" s="684"/>
      <c r="QZ79" s="684"/>
      <c r="RA79" s="684"/>
      <c r="RB79" s="684"/>
      <c r="RC79" s="684"/>
      <c r="RD79" s="684"/>
      <c r="RE79" s="684"/>
      <c r="RF79" s="684"/>
      <c r="RG79" s="684"/>
      <c r="RH79" s="684"/>
      <c r="RI79" s="684"/>
      <c r="RJ79" s="684"/>
      <c r="RK79" s="684"/>
      <c r="RL79" s="684"/>
      <c r="RM79" s="684"/>
      <c r="RN79" s="684"/>
      <c r="RO79" s="684"/>
      <c r="RP79" s="684"/>
      <c r="RQ79" s="684"/>
      <c r="RR79" s="684"/>
      <c r="RS79" s="684"/>
      <c r="RT79" s="684"/>
      <c r="RU79" s="684"/>
      <c r="RV79" s="684"/>
      <c r="RW79" s="684"/>
      <c r="RX79" s="684"/>
      <c r="RY79" s="684"/>
      <c r="RZ79" s="684"/>
      <c r="SA79" s="684"/>
      <c r="SB79" s="684"/>
      <c r="SC79" s="684"/>
      <c r="SD79" s="684"/>
      <c r="SE79" s="684"/>
      <c r="SF79" s="684"/>
      <c r="SG79" s="684"/>
      <c r="SH79" s="684"/>
      <c r="SI79" s="684"/>
      <c r="SJ79" s="684"/>
      <c r="SK79" s="684"/>
      <c r="SL79" s="684"/>
      <c r="SM79" s="684"/>
      <c r="SN79" s="684"/>
      <c r="SO79" s="684"/>
      <c r="SP79" s="684"/>
      <c r="SQ79" s="684"/>
      <c r="SR79" s="684"/>
      <c r="SS79" s="684"/>
      <c r="ST79" s="684"/>
      <c r="SU79" s="684"/>
      <c r="SV79" s="684"/>
      <c r="SW79" s="684"/>
      <c r="SX79" s="684"/>
      <c r="SY79" s="684"/>
      <c r="SZ79" s="684"/>
      <c r="TA79" s="684"/>
      <c r="TB79" s="684"/>
      <c r="TC79" s="684"/>
      <c r="TD79" s="684"/>
      <c r="TE79" s="684"/>
      <c r="TF79" s="684"/>
      <c r="TG79" s="684"/>
      <c r="TH79" s="684"/>
      <c r="TI79" s="684"/>
      <c r="TJ79" s="684"/>
      <c r="TK79" s="684"/>
      <c r="TL79" s="684"/>
      <c r="TM79" s="684"/>
      <c r="TN79" s="684"/>
      <c r="TO79" s="684"/>
      <c r="TP79" s="684"/>
      <c r="TQ79" s="684"/>
      <c r="TR79" s="684"/>
      <c r="TS79" s="684"/>
      <c r="TT79" s="684"/>
      <c r="TU79" s="684"/>
      <c r="TV79" s="684"/>
      <c r="TW79" s="684"/>
      <c r="TX79" s="684"/>
      <c r="TY79" s="684"/>
      <c r="TZ79" s="684"/>
      <c r="UA79" s="684"/>
      <c r="UB79" s="684"/>
      <c r="UC79" s="684"/>
      <c r="UD79" s="684"/>
      <c r="UE79" s="684"/>
      <c r="UF79" s="684"/>
      <c r="UG79" s="684"/>
      <c r="UH79" s="684"/>
      <c r="UI79" s="684"/>
      <c r="UJ79" s="684"/>
      <c r="UK79" s="684"/>
      <c r="UL79" s="684"/>
      <c r="UM79" s="684"/>
      <c r="UN79" s="684"/>
      <c r="UO79" s="684"/>
      <c r="UP79" s="684"/>
      <c r="UQ79" s="684"/>
      <c r="UR79" s="684"/>
      <c r="US79" s="684"/>
      <c r="UT79" s="684"/>
      <c r="UU79" s="684"/>
      <c r="UV79" s="684"/>
      <c r="UW79" s="684"/>
      <c r="UX79" s="684"/>
      <c r="UY79" s="684"/>
      <c r="UZ79" s="684"/>
      <c r="VA79" s="684"/>
      <c r="VB79" s="684"/>
      <c r="VC79" s="684"/>
      <c r="VD79" s="684"/>
      <c r="VE79" s="684"/>
      <c r="VF79" s="684"/>
      <c r="VG79" s="684"/>
      <c r="VH79" s="684"/>
      <c r="VI79" s="684"/>
      <c r="VJ79" s="684"/>
      <c r="VK79" s="684"/>
      <c r="VL79" s="684"/>
      <c r="VM79" s="684"/>
      <c r="VN79" s="684"/>
      <c r="VO79" s="684"/>
      <c r="VP79" s="684"/>
      <c r="VQ79" s="684"/>
      <c r="VR79" s="684"/>
      <c r="VS79" s="684"/>
      <c r="VT79" s="684"/>
      <c r="VU79" s="684"/>
      <c r="VV79" s="684"/>
      <c r="VW79" s="684"/>
      <c r="VX79" s="684"/>
      <c r="VY79" s="684"/>
      <c r="VZ79" s="684"/>
      <c r="WA79" s="684"/>
      <c r="WB79" s="684"/>
      <c r="WC79" s="684"/>
      <c r="WD79" s="684"/>
      <c r="WE79" s="684"/>
      <c r="WF79" s="684"/>
      <c r="WG79" s="684"/>
      <c r="WH79" s="684"/>
      <c r="WI79" s="684"/>
      <c r="WJ79" s="684"/>
      <c r="WK79" s="684"/>
      <c r="WL79" s="684"/>
      <c r="WM79" s="684"/>
      <c r="WN79" s="684"/>
      <c r="WO79" s="684"/>
      <c r="WP79" s="684"/>
      <c r="WQ79" s="684"/>
      <c r="WR79" s="684"/>
      <c r="WS79" s="684"/>
      <c r="WT79" s="684"/>
      <c r="WU79" s="684"/>
      <c r="WV79" s="684"/>
      <c r="WW79" s="684"/>
      <c r="WX79" s="684"/>
      <c r="WY79" s="684"/>
      <c r="WZ79" s="684"/>
      <c r="XA79" s="684"/>
      <c r="XB79" s="684"/>
      <c r="XC79" s="684"/>
      <c r="XD79" s="684"/>
      <c r="XE79" s="684"/>
      <c r="XF79" s="684"/>
      <c r="XG79" s="684"/>
      <c r="XH79" s="684"/>
      <c r="XI79" s="684"/>
      <c r="XJ79" s="684"/>
      <c r="XK79" s="684"/>
      <c r="XL79" s="684"/>
      <c r="XM79" s="684"/>
      <c r="XN79" s="684"/>
      <c r="XO79" s="684"/>
      <c r="XP79" s="684"/>
      <c r="XQ79" s="684"/>
      <c r="XR79" s="684"/>
      <c r="XS79" s="684"/>
      <c r="XT79" s="684"/>
      <c r="XU79" s="684"/>
      <c r="XV79" s="684"/>
      <c r="XW79" s="684"/>
      <c r="XX79" s="684"/>
      <c r="XY79" s="684"/>
      <c r="XZ79" s="684"/>
      <c r="YA79" s="684"/>
      <c r="YB79" s="684"/>
      <c r="YC79" s="684"/>
      <c r="YD79" s="684"/>
      <c r="YE79" s="684"/>
      <c r="YF79" s="684"/>
      <c r="YG79" s="684"/>
      <c r="YH79" s="684"/>
      <c r="YI79" s="684"/>
      <c r="YJ79" s="684"/>
      <c r="YK79" s="684"/>
      <c r="YL79" s="684"/>
      <c r="YM79" s="684"/>
      <c r="YN79" s="684"/>
      <c r="YO79" s="684"/>
      <c r="YP79" s="684"/>
      <c r="YQ79" s="684"/>
      <c r="YR79" s="684"/>
      <c r="YS79" s="684"/>
      <c r="YT79" s="684"/>
      <c r="YU79" s="684"/>
      <c r="YV79" s="684"/>
      <c r="YW79" s="684"/>
      <c r="YX79" s="684"/>
      <c r="YY79" s="684"/>
      <c r="YZ79" s="684"/>
      <c r="ZA79" s="684"/>
      <c r="ZB79" s="684"/>
      <c r="ZC79" s="684"/>
      <c r="ZD79" s="684"/>
      <c r="ZE79" s="684"/>
      <c r="ZF79" s="684"/>
      <c r="ZG79" s="684"/>
      <c r="ZH79" s="684"/>
      <c r="ZI79" s="684"/>
      <c r="ZJ79" s="684"/>
      <c r="ZK79" s="684"/>
      <c r="ZL79" s="684"/>
      <c r="ZM79" s="684"/>
      <c r="ZN79" s="684"/>
      <c r="ZO79" s="684"/>
      <c r="ZP79" s="684"/>
      <c r="ZQ79" s="684"/>
      <c r="ZR79" s="684"/>
      <c r="ZS79" s="684"/>
      <c r="ZT79" s="684"/>
      <c r="ZU79" s="684"/>
      <c r="ZV79" s="684"/>
      <c r="ZW79" s="684"/>
      <c r="ZX79" s="684"/>
      <c r="ZY79" s="684"/>
      <c r="ZZ79" s="684"/>
      <c r="AAA79" s="684"/>
      <c r="AAB79" s="684"/>
      <c r="AAC79" s="684"/>
      <c r="AAD79" s="684"/>
      <c r="AAE79" s="684"/>
      <c r="AAF79" s="684"/>
      <c r="AAG79" s="684"/>
      <c r="AAH79" s="684"/>
      <c r="AAI79" s="684"/>
      <c r="AAJ79" s="684"/>
      <c r="AAK79" s="684"/>
      <c r="AAL79" s="684"/>
      <c r="AAM79" s="684"/>
      <c r="AAN79" s="684"/>
      <c r="AAO79" s="684"/>
      <c r="AAP79" s="684"/>
      <c r="AAQ79" s="684"/>
      <c r="AAR79" s="684"/>
      <c r="AAS79" s="684"/>
      <c r="AAT79" s="684"/>
      <c r="AAU79" s="684"/>
      <c r="AAV79" s="684"/>
      <c r="AAW79" s="684"/>
      <c r="AAX79" s="684"/>
      <c r="AAY79" s="684"/>
      <c r="AAZ79" s="684"/>
      <c r="ABA79" s="684"/>
      <c r="ABB79" s="684"/>
      <c r="ABC79" s="684"/>
      <c r="ABD79" s="684"/>
      <c r="ABE79" s="684"/>
      <c r="ABF79" s="684"/>
      <c r="ABG79" s="684"/>
      <c r="ABH79" s="684"/>
      <c r="ABI79" s="684"/>
      <c r="ABJ79" s="684"/>
      <c r="ABK79" s="684"/>
      <c r="ABL79" s="684"/>
      <c r="ABM79" s="684"/>
      <c r="ABN79" s="684"/>
      <c r="ABO79" s="684"/>
      <c r="ABP79" s="684"/>
      <c r="ABQ79" s="684"/>
      <c r="ABR79" s="684"/>
      <c r="ABS79" s="684"/>
      <c r="ABT79" s="684"/>
      <c r="ABU79" s="684"/>
      <c r="ABV79" s="684"/>
      <c r="ABW79" s="684"/>
      <c r="ABX79" s="684"/>
      <c r="ABY79" s="684"/>
      <c r="ABZ79" s="684"/>
      <c r="ACA79" s="684"/>
      <c r="ACB79" s="684"/>
      <c r="ACC79" s="684"/>
      <c r="ACD79" s="684"/>
      <c r="ACE79" s="684"/>
      <c r="ACF79" s="684"/>
      <c r="ACG79" s="684"/>
      <c r="ACH79" s="684"/>
      <c r="ACI79" s="684"/>
      <c r="ACJ79" s="684"/>
      <c r="ACK79" s="684"/>
      <c r="ACL79" s="684"/>
      <c r="ACM79" s="684"/>
      <c r="ACN79" s="684"/>
      <c r="ACO79" s="684"/>
      <c r="ACP79" s="684"/>
      <c r="ACQ79" s="684"/>
      <c r="ACR79" s="684"/>
      <c r="ACS79" s="684"/>
      <c r="ACT79" s="684"/>
      <c r="ACU79" s="684"/>
      <c r="ACV79" s="684"/>
      <c r="ACW79" s="684"/>
      <c r="ACX79" s="684"/>
      <c r="ACY79" s="684"/>
      <c r="ACZ79" s="684"/>
      <c r="ADA79" s="684"/>
      <c r="ADB79" s="684"/>
      <c r="ADC79" s="684"/>
      <c r="ADD79" s="684"/>
      <c r="ADE79" s="684"/>
      <c r="ADF79" s="684"/>
      <c r="ADG79" s="684"/>
      <c r="ADH79" s="684"/>
      <c r="ADI79" s="684"/>
      <c r="ADJ79" s="684"/>
      <c r="ADK79" s="684"/>
      <c r="ADL79" s="684"/>
      <c r="ADM79" s="684"/>
      <c r="ADN79" s="684"/>
      <c r="ADO79" s="684"/>
      <c r="ADP79" s="684"/>
      <c r="ADQ79" s="684"/>
      <c r="ADR79" s="684"/>
      <c r="ADS79" s="684"/>
      <c r="ADT79" s="684"/>
      <c r="ADU79" s="684"/>
      <c r="ADV79" s="684"/>
      <c r="ADW79" s="684"/>
      <c r="ADX79" s="684"/>
      <c r="ADY79" s="684"/>
      <c r="ADZ79" s="684"/>
      <c r="AEA79" s="684"/>
      <c r="AEB79" s="684"/>
      <c r="AEC79" s="684"/>
      <c r="AED79" s="684"/>
      <c r="AEE79" s="684"/>
      <c r="AEF79" s="684"/>
      <c r="AEG79" s="684"/>
      <c r="AEH79" s="684"/>
      <c r="AEI79" s="684"/>
      <c r="AEJ79" s="684"/>
      <c r="AEK79" s="684"/>
      <c r="AEL79" s="684"/>
      <c r="AEM79" s="684"/>
      <c r="AEN79" s="684"/>
      <c r="AEO79" s="684"/>
      <c r="AEP79" s="684"/>
      <c r="AEQ79" s="684"/>
      <c r="AER79" s="684"/>
      <c r="AES79" s="684"/>
      <c r="AET79" s="684"/>
      <c r="AEU79" s="684"/>
      <c r="AEV79" s="684"/>
      <c r="AEW79" s="684"/>
      <c r="AEX79" s="684"/>
      <c r="AEY79" s="684"/>
      <c r="AEZ79" s="684"/>
      <c r="AFA79" s="684"/>
      <c r="AFB79" s="684"/>
      <c r="AFC79" s="684"/>
      <c r="AFD79" s="684"/>
      <c r="AFE79" s="684"/>
      <c r="AFF79" s="684"/>
      <c r="AFG79" s="684"/>
      <c r="AFH79" s="684"/>
      <c r="AFI79" s="684"/>
      <c r="AFJ79" s="684"/>
      <c r="AFK79" s="684"/>
      <c r="AFL79" s="684"/>
      <c r="AFM79" s="684"/>
      <c r="AFN79" s="684"/>
      <c r="AFO79" s="684"/>
      <c r="AFP79" s="684"/>
      <c r="AFQ79" s="684"/>
      <c r="AFR79" s="684"/>
      <c r="AFS79" s="684"/>
      <c r="AFT79" s="684"/>
      <c r="AFU79" s="684"/>
      <c r="AFV79" s="684"/>
      <c r="AFW79" s="684"/>
      <c r="AFX79" s="684"/>
      <c r="AFY79" s="684"/>
      <c r="AFZ79" s="684"/>
      <c r="AGA79" s="684"/>
      <c r="AGB79" s="684"/>
      <c r="AGC79" s="684"/>
      <c r="AGD79" s="684"/>
      <c r="AGE79" s="684"/>
      <c r="AGF79" s="684"/>
      <c r="AGG79" s="684"/>
      <c r="AGH79" s="684"/>
      <c r="AGI79" s="684"/>
      <c r="AGJ79" s="684"/>
      <c r="AGK79" s="684"/>
      <c r="AGL79" s="684"/>
      <c r="AGM79" s="684"/>
      <c r="AGN79" s="684"/>
      <c r="AGO79" s="684"/>
      <c r="AGP79" s="684"/>
      <c r="AGQ79" s="684"/>
      <c r="AGR79" s="684"/>
      <c r="AGS79" s="684"/>
      <c r="AGT79" s="684"/>
      <c r="AGU79" s="684"/>
      <c r="AGV79" s="684"/>
      <c r="AGW79" s="684"/>
      <c r="AGX79" s="684"/>
      <c r="AGY79" s="684"/>
      <c r="AGZ79" s="684"/>
      <c r="AHA79" s="684"/>
      <c r="AHB79" s="684"/>
      <c r="AHC79" s="684"/>
      <c r="AHD79" s="684"/>
      <c r="AHE79" s="684"/>
      <c r="AHF79" s="684"/>
      <c r="AHG79" s="684"/>
      <c r="AHH79" s="684"/>
      <c r="AHI79" s="684"/>
      <c r="AHJ79" s="684"/>
      <c r="AHK79" s="684"/>
      <c r="AHL79" s="684"/>
      <c r="AHM79" s="684"/>
      <c r="AHN79" s="684"/>
      <c r="AHO79" s="684"/>
      <c r="AHP79" s="684"/>
      <c r="AHQ79" s="684"/>
      <c r="AHR79" s="684"/>
      <c r="AHS79" s="684"/>
      <c r="AHT79" s="684"/>
      <c r="AHU79" s="684"/>
      <c r="AHV79" s="684"/>
      <c r="AHW79" s="684"/>
      <c r="AHX79" s="684"/>
      <c r="AHY79" s="684"/>
      <c r="AHZ79" s="684"/>
      <c r="AIA79" s="684"/>
      <c r="AIB79" s="684"/>
      <c r="AIC79" s="684"/>
      <c r="AID79" s="684"/>
      <c r="AIE79" s="684"/>
      <c r="AIF79" s="684"/>
      <c r="AIG79" s="684"/>
      <c r="AIH79" s="684"/>
      <c r="AII79" s="684"/>
      <c r="AIJ79" s="684"/>
      <c r="AIK79" s="684"/>
      <c r="AIL79" s="684"/>
      <c r="AIM79" s="684"/>
      <c r="AIN79" s="684"/>
      <c r="AIO79" s="684"/>
      <c r="AIP79" s="684"/>
      <c r="AIQ79" s="684"/>
      <c r="AIR79" s="684"/>
      <c r="AIS79" s="684"/>
      <c r="AIT79" s="684"/>
      <c r="AIU79" s="684"/>
      <c r="AIV79" s="684"/>
      <c r="AIW79" s="684"/>
      <c r="AIX79" s="684"/>
      <c r="AIY79" s="684"/>
      <c r="AIZ79" s="684"/>
      <c r="AJA79" s="684"/>
      <c r="AJB79" s="684"/>
      <c r="AJC79" s="684"/>
      <c r="AJD79" s="684"/>
      <c r="AJE79" s="684"/>
      <c r="AJF79" s="684"/>
      <c r="AJG79" s="684"/>
      <c r="AJH79" s="684"/>
      <c r="AJI79" s="684"/>
      <c r="AJJ79" s="684"/>
      <c r="AJK79" s="684"/>
      <c r="AJL79" s="684"/>
      <c r="AJM79" s="684"/>
      <c r="AJN79" s="684"/>
      <c r="AJO79" s="684"/>
      <c r="AJP79" s="684"/>
      <c r="AJQ79" s="684"/>
      <c r="AJR79" s="684"/>
      <c r="AJS79" s="684"/>
      <c r="AJT79" s="684"/>
      <c r="AJU79" s="684"/>
      <c r="AJV79" s="684"/>
      <c r="AJW79" s="684"/>
      <c r="AJX79" s="684"/>
      <c r="AJY79" s="684"/>
      <c r="AJZ79" s="684"/>
      <c r="AKA79" s="684"/>
      <c r="AKB79" s="684"/>
      <c r="AKC79" s="684"/>
      <c r="AKD79" s="684"/>
      <c r="AKE79" s="684"/>
      <c r="AKF79" s="684"/>
      <c r="AKG79" s="684"/>
      <c r="AKH79" s="684"/>
      <c r="AKI79" s="684"/>
      <c r="AKJ79" s="684"/>
      <c r="AKK79" s="684"/>
      <c r="AKL79" s="684"/>
      <c r="AKM79" s="684"/>
      <c r="AKN79" s="684"/>
      <c r="AKO79" s="684"/>
      <c r="AKP79" s="684"/>
      <c r="AKQ79" s="684"/>
      <c r="AKR79" s="684"/>
      <c r="AKS79" s="684"/>
      <c r="AKT79" s="684"/>
      <c r="AKU79" s="684"/>
      <c r="AKV79" s="684"/>
      <c r="AKW79" s="684"/>
      <c r="AKX79" s="684"/>
      <c r="AKY79" s="684"/>
      <c r="AKZ79" s="684"/>
      <c r="ALA79" s="684"/>
      <c r="ALB79" s="684"/>
      <c r="ALC79" s="684"/>
      <c r="ALD79" s="684"/>
      <c r="ALE79" s="684"/>
      <c r="ALF79" s="684"/>
      <c r="ALG79" s="684"/>
      <c r="ALH79" s="684"/>
      <c r="ALI79" s="684"/>
      <c r="ALJ79" s="684"/>
      <c r="ALK79" s="684"/>
      <c r="ALL79" s="684"/>
      <c r="ALM79" s="684"/>
      <c r="ALN79" s="684"/>
      <c r="ALO79" s="684"/>
      <c r="ALP79" s="684"/>
      <c r="ALQ79" s="684"/>
      <c r="ALR79" s="684"/>
      <c r="ALS79" s="684"/>
      <c r="ALT79" s="684"/>
      <c r="ALU79" s="684"/>
      <c r="ALV79" s="684"/>
      <c r="ALW79" s="684"/>
      <c r="ALX79" s="684"/>
      <c r="ALY79" s="684"/>
      <c r="ALZ79" s="684"/>
      <c r="AMA79" s="684"/>
      <c r="AMB79" s="684"/>
      <c r="AMC79" s="684"/>
      <c r="AMD79" s="684"/>
      <c r="AME79" s="684"/>
      <c r="AMF79" s="684"/>
      <c r="AMG79" s="684"/>
      <c r="AMH79" s="684"/>
      <c r="AMI79" s="684"/>
      <c r="AMJ79" s="684"/>
      <c r="AMK79" s="684"/>
      <c r="AML79" s="684"/>
      <c r="AMM79" s="684"/>
      <c r="AMN79" s="684"/>
      <c r="AMO79" s="684"/>
      <c r="AMP79" s="684"/>
      <c r="AMQ79" s="684"/>
      <c r="AMR79" s="684"/>
      <c r="AMS79" s="684"/>
      <c r="AMT79" s="684"/>
      <c r="AMU79" s="684"/>
      <c r="AMV79" s="684"/>
      <c r="AMW79" s="684"/>
      <c r="AMX79" s="684"/>
      <c r="AMY79" s="684"/>
      <c r="AMZ79" s="684"/>
      <c r="ANA79" s="684"/>
      <c r="ANB79" s="684"/>
      <c r="ANC79" s="684"/>
      <c r="AND79" s="684"/>
      <c r="ANE79" s="684"/>
      <c r="ANF79" s="684"/>
      <c r="ANG79" s="684"/>
      <c r="ANH79" s="684"/>
      <c r="ANI79" s="684"/>
      <c r="ANJ79" s="684"/>
      <c r="ANK79" s="684"/>
      <c r="ANL79" s="684"/>
      <c r="ANM79" s="684"/>
      <c r="ANN79" s="684"/>
      <c r="ANO79" s="684"/>
      <c r="ANP79" s="684"/>
      <c r="ANQ79" s="684"/>
      <c r="ANR79" s="684"/>
      <c r="ANS79" s="684"/>
      <c r="ANT79" s="684"/>
      <c r="ANU79" s="684"/>
      <c r="ANV79" s="684"/>
      <c r="ANW79" s="684"/>
      <c r="ANX79" s="684"/>
      <c r="ANY79" s="684"/>
      <c r="ANZ79" s="684"/>
      <c r="AOA79" s="684"/>
      <c r="AOB79" s="684"/>
      <c r="AOC79" s="684"/>
      <c r="AOD79" s="684"/>
      <c r="AOE79" s="684"/>
      <c r="AOF79" s="684"/>
      <c r="AOG79" s="684"/>
      <c r="AOH79" s="684"/>
      <c r="AOI79" s="684"/>
      <c r="AOJ79" s="684"/>
      <c r="AOK79" s="684"/>
      <c r="AOL79" s="684"/>
      <c r="AOM79" s="684"/>
      <c r="AON79" s="684"/>
      <c r="AOO79" s="684"/>
      <c r="AOP79" s="684"/>
      <c r="AOQ79" s="684"/>
      <c r="AOR79" s="684"/>
      <c r="AOS79" s="684"/>
      <c r="AOT79" s="684"/>
      <c r="AOU79" s="684"/>
      <c r="AOV79" s="684"/>
      <c r="AOW79" s="684"/>
      <c r="AOX79" s="684"/>
      <c r="AOY79" s="684"/>
      <c r="AOZ79" s="684"/>
      <c r="APA79" s="684"/>
      <c r="APB79" s="684"/>
      <c r="APC79" s="684"/>
      <c r="APD79" s="684"/>
      <c r="APE79" s="684"/>
      <c r="APF79" s="684"/>
      <c r="APG79" s="684"/>
      <c r="APH79" s="684"/>
      <c r="API79" s="684"/>
      <c r="APJ79" s="684"/>
      <c r="APK79" s="684"/>
      <c r="APL79" s="684"/>
      <c r="APM79" s="684"/>
      <c r="APN79" s="684"/>
      <c r="APO79" s="684"/>
      <c r="APP79" s="684"/>
      <c r="APQ79" s="684"/>
      <c r="APR79" s="684"/>
      <c r="APS79" s="684"/>
      <c r="APT79" s="684"/>
      <c r="APU79" s="684"/>
      <c r="APV79" s="684"/>
      <c r="APW79" s="684"/>
      <c r="APX79" s="684"/>
      <c r="APY79" s="684"/>
      <c r="APZ79" s="684"/>
      <c r="AQA79" s="684"/>
      <c r="AQB79" s="684"/>
      <c r="AQC79" s="684"/>
      <c r="AQD79" s="684"/>
      <c r="AQE79" s="684"/>
      <c r="AQF79" s="684"/>
      <c r="AQG79" s="684"/>
      <c r="AQH79" s="684"/>
      <c r="AQI79" s="684"/>
      <c r="AQJ79" s="684"/>
      <c r="AQK79" s="684"/>
      <c r="AQL79" s="684"/>
      <c r="AQM79" s="684"/>
      <c r="AQN79" s="684"/>
      <c r="AQO79" s="684"/>
      <c r="AQP79" s="684"/>
      <c r="AQQ79" s="684"/>
      <c r="AQR79" s="684"/>
      <c r="AQS79" s="684"/>
      <c r="AQT79" s="684"/>
      <c r="AQU79" s="684"/>
      <c r="AQV79" s="684"/>
      <c r="AQW79" s="684"/>
      <c r="AQX79" s="684"/>
      <c r="AQY79" s="684"/>
      <c r="AQZ79" s="684"/>
      <c r="ARA79" s="684"/>
      <c r="ARB79" s="684"/>
      <c r="ARC79" s="684"/>
      <c r="ARD79" s="684"/>
      <c r="ARE79" s="684"/>
      <c r="ARF79" s="684"/>
      <c r="ARG79" s="684"/>
      <c r="ARH79" s="684"/>
      <c r="ARI79" s="684"/>
      <c r="ARJ79" s="684"/>
      <c r="ARK79" s="684"/>
      <c r="ARL79" s="684"/>
      <c r="ARM79" s="684"/>
      <c r="ARN79" s="684"/>
      <c r="ARO79" s="684"/>
      <c r="ARP79" s="684"/>
      <c r="ARQ79" s="684"/>
      <c r="ARR79" s="684"/>
      <c r="ARS79" s="684"/>
      <c r="ART79" s="684"/>
      <c r="ARU79" s="684"/>
      <c r="ARV79" s="684"/>
      <c r="ARW79" s="684"/>
      <c r="ARX79" s="684"/>
      <c r="ARY79" s="684"/>
      <c r="ARZ79" s="684"/>
      <c r="ASA79" s="684"/>
      <c r="ASB79" s="684"/>
      <c r="ASC79" s="684"/>
      <c r="ASD79" s="684"/>
      <c r="ASE79" s="684"/>
      <c r="ASF79" s="684"/>
      <c r="ASG79" s="684"/>
      <c r="ASH79" s="684"/>
      <c r="ASI79" s="684"/>
      <c r="ASJ79" s="684"/>
      <c r="ASK79" s="684"/>
      <c r="ASL79" s="684"/>
      <c r="ASM79" s="684"/>
      <c r="ASN79" s="684"/>
      <c r="ASO79" s="684"/>
      <c r="ASP79" s="684"/>
      <c r="ASQ79" s="684"/>
      <c r="ASR79" s="684"/>
      <c r="ASS79" s="684"/>
      <c r="AST79" s="684"/>
      <c r="ASU79" s="684"/>
      <c r="ASV79" s="684"/>
      <c r="ASW79" s="684"/>
      <c r="ASX79" s="684"/>
      <c r="ASY79" s="684"/>
      <c r="ASZ79" s="684"/>
      <c r="ATA79" s="684"/>
      <c r="ATB79" s="684"/>
      <c r="ATC79" s="684"/>
      <c r="ATD79" s="684"/>
      <c r="ATE79" s="684"/>
      <c r="ATF79" s="684"/>
      <c r="ATG79" s="684"/>
      <c r="ATH79" s="684"/>
      <c r="ATI79" s="684"/>
      <c r="ATJ79" s="684"/>
      <c r="ATK79" s="684"/>
      <c r="ATL79" s="684"/>
      <c r="ATM79" s="684"/>
      <c r="ATN79" s="684"/>
      <c r="ATO79" s="684"/>
      <c r="ATP79" s="684"/>
      <c r="ATQ79" s="684"/>
      <c r="ATR79" s="684"/>
      <c r="ATS79" s="684"/>
      <c r="ATT79" s="684"/>
      <c r="ATU79" s="684"/>
      <c r="ATV79" s="684"/>
      <c r="ATW79" s="684"/>
      <c r="ATX79" s="684"/>
      <c r="ATY79" s="684"/>
      <c r="ATZ79" s="684"/>
      <c r="AUA79" s="684"/>
      <c r="AUB79" s="684"/>
      <c r="AUC79" s="684"/>
      <c r="AUD79" s="684"/>
      <c r="AUE79" s="684"/>
      <c r="AUF79" s="684"/>
      <c r="AUG79" s="684"/>
      <c r="AUH79" s="684"/>
      <c r="AUI79" s="684"/>
      <c r="AUJ79" s="684"/>
      <c r="AUK79" s="684"/>
      <c r="AUL79" s="684"/>
      <c r="AUM79" s="684"/>
      <c r="AUN79" s="684"/>
      <c r="AUO79" s="684"/>
      <c r="AUP79" s="684"/>
      <c r="AUQ79" s="684"/>
      <c r="AUR79" s="684"/>
      <c r="AUS79" s="684"/>
      <c r="AUT79" s="684"/>
      <c r="AUU79" s="684"/>
      <c r="AUV79" s="684"/>
      <c r="AUW79" s="684"/>
      <c r="AUX79" s="684"/>
      <c r="AUY79" s="684"/>
      <c r="AUZ79" s="684"/>
      <c r="AVA79" s="684"/>
      <c r="AVB79" s="684"/>
      <c r="AVC79" s="684"/>
      <c r="AVD79" s="684"/>
      <c r="AVE79" s="684"/>
      <c r="AVF79" s="684"/>
      <c r="AVG79" s="684"/>
      <c r="AVH79" s="684"/>
      <c r="AVI79" s="684"/>
      <c r="AVJ79" s="684"/>
      <c r="AVK79" s="684"/>
      <c r="AVL79" s="684"/>
      <c r="AVM79" s="684"/>
      <c r="AVN79" s="684"/>
      <c r="AVO79" s="684"/>
      <c r="AVP79" s="684"/>
      <c r="AVQ79" s="684"/>
      <c r="AVR79" s="684"/>
      <c r="AVS79" s="684"/>
      <c r="AVT79" s="684"/>
      <c r="AVU79" s="684"/>
      <c r="AVV79" s="684"/>
      <c r="AVW79" s="684"/>
      <c r="AVX79" s="684"/>
      <c r="AVY79" s="684"/>
      <c r="AVZ79" s="684"/>
      <c r="AWA79" s="684"/>
      <c r="AWB79" s="684"/>
      <c r="AWC79" s="684"/>
      <c r="AWD79" s="684"/>
      <c r="AWE79" s="684"/>
      <c r="AWF79" s="684"/>
      <c r="AWG79" s="684"/>
      <c r="AWH79" s="684"/>
      <c r="AWI79" s="684"/>
      <c r="AWJ79" s="684"/>
      <c r="AWK79" s="684"/>
      <c r="AWL79" s="684"/>
      <c r="AWM79" s="684"/>
      <c r="AWN79" s="684"/>
      <c r="AWO79" s="684"/>
      <c r="AWP79" s="684"/>
      <c r="AWQ79" s="684"/>
      <c r="AWR79" s="684"/>
      <c r="AWS79" s="684"/>
      <c r="AWT79" s="684"/>
      <c r="AWU79" s="684"/>
      <c r="AWV79" s="684"/>
      <c r="AWW79" s="684"/>
      <c r="AWX79" s="684"/>
      <c r="AWY79" s="684"/>
      <c r="AWZ79" s="684"/>
      <c r="AXA79" s="684"/>
      <c r="AXB79" s="684"/>
      <c r="AXC79" s="684"/>
      <c r="AXD79" s="684"/>
      <c r="AXE79" s="684"/>
      <c r="AXF79" s="684"/>
      <c r="AXG79" s="684"/>
      <c r="AXH79" s="684"/>
      <c r="AXI79" s="684"/>
      <c r="AXJ79" s="684"/>
      <c r="AXK79" s="684"/>
      <c r="AXL79" s="684"/>
      <c r="AXM79" s="684"/>
      <c r="AXN79" s="684"/>
      <c r="AXO79" s="684"/>
      <c r="AXP79" s="684"/>
      <c r="AXQ79" s="684"/>
      <c r="AXR79" s="684"/>
      <c r="AXS79" s="684"/>
      <c r="AXT79" s="684"/>
      <c r="AXU79" s="684"/>
      <c r="AXV79" s="684"/>
      <c r="AXW79" s="684"/>
      <c r="AXX79" s="684"/>
      <c r="AXY79" s="684"/>
      <c r="AXZ79" s="684"/>
      <c r="AYA79" s="684"/>
      <c r="AYB79" s="684"/>
      <c r="AYC79" s="684"/>
      <c r="AYD79" s="684"/>
      <c r="AYE79" s="684"/>
      <c r="AYF79" s="684"/>
      <c r="AYG79" s="684"/>
      <c r="AYH79" s="684"/>
      <c r="AYI79" s="684"/>
      <c r="AYJ79" s="684"/>
      <c r="AYK79" s="684"/>
      <c r="AYL79" s="684"/>
      <c r="AYM79" s="684"/>
      <c r="AYN79" s="684"/>
      <c r="AYO79" s="684"/>
      <c r="AYP79" s="684"/>
      <c r="AYQ79" s="684"/>
      <c r="AYR79" s="684"/>
      <c r="AYS79" s="684"/>
      <c r="AYT79" s="684"/>
      <c r="AYU79" s="684"/>
      <c r="AYV79" s="684"/>
      <c r="AYW79" s="684"/>
      <c r="AYX79" s="684"/>
      <c r="AYY79" s="684"/>
      <c r="AYZ79" s="684"/>
      <c r="AZA79" s="684"/>
      <c r="AZB79" s="684"/>
      <c r="AZC79" s="684"/>
      <c r="AZD79" s="684"/>
      <c r="AZE79" s="684"/>
      <c r="AZF79" s="684"/>
      <c r="AZG79" s="684"/>
      <c r="AZH79" s="684"/>
      <c r="AZI79" s="684"/>
      <c r="AZJ79" s="684"/>
      <c r="AZK79" s="684"/>
      <c r="AZL79" s="684"/>
      <c r="AZM79" s="684"/>
      <c r="AZN79" s="684"/>
      <c r="AZO79" s="684"/>
      <c r="AZP79" s="684"/>
      <c r="AZQ79" s="684"/>
      <c r="AZR79" s="684"/>
      <c r="AZS79" s="684"/>
      <c r="AZT79" s="684"/>
      <c r="AZU79" s="684"/>
      <c r="AZV79" s="684"/>
      <c r="AZW79" s="684"/>
      <c r="AZX79" s="684"/>
      <c r="AZY79" s="684"/>
      <c r="AZZ79" s="684"/>
      <c r="BAA79" s="684"/>
      <c r="BAB79" s="684"/>
      <c r="BAC79" s="684"/>
      <c r="BAD79" s="684"/>
      <c r="BAE79" s="684"/>
      <c r="BAF79" s="684"/>
      <c r="BAG79" s="684"/>
      <c r="BAH79" s="684"/>
      <c r="BAI79" s="684"/>
      <c r="BAJ79" s="684"/>
      <c r="BAK79" s="684"/>
      <c r="BAL79" s="684"/>
      <c r="BAM79" s="684"/>
      <c r="BAN79" s="684"/>
      <c r="BAO79" s="684"/>
      <c r="BAP79" s="684"/>
      <c r="BAQ79" s="684"/>
      <c r="BAR79" s="684"/>
      <c r="BAS79" s="684"/>
      <c r="BAT79" s="684"/>
      <c r="BAU79" s="684"/>
      <c r="BAV79" s="684"/>
      <c r="BAW79" s="684"/>
      <c r="BAX79" s="684"/>
      <c r="BAY79" s="684"/>
      <c r="BAZ79" s="684"/>
      <c r="BBA79" s="684"/>
      <c r="BBB79" s="684"/>
      <c r="BBC79" s="684"/>
      <c r="BBD79" s="684"/>
      <c r="BBE79" s="684"/>
      <c r="BBF79" s="684"/>
      <c r="BBG79" s="684"/>
      <c r="BBH79" s="684"/>
      <c r="BBI79" s="684"/>
      <c r="BBJ79" s="684"/>
      <c r="BBK79" s="684"/>
      <c r="BBL79" s="684"/>
      <c r="BBM79" s="684"/>
      <c r="BBN79" s="684"/>
      <c r="BBO79" s="684"/>
      <c r="BBP79" s="684"/>
      <c r="BBQ79" s="684"/>
      <c r="BBR79" s="684"/>
      <c r="BBS79" s="684"/>
      <c r="BBT79" s="684"/>
      <c r="BBU79" s="684"/>
      <c r="BBV79" s="684"/>
      <c r="BBW79" s="684"/>
      <c r="BBX79" s="684"/>
      <c r="BBY79" s="684"/>
      <c r="BBZ79" s="684"/>
      <c r="BCA79" s="684"/>
      <c r="BCB79" s="684"/>
      <c r="BCC79" s="684"/>
      <c r="BCD79" s="684"/>
      <c r="BCE79" s="684"/>
      <c r="BCF79" s="684"/>
      <c r="BCG79" s="684"/>
      <c r="BCH79" s="684"/>
      <c r="BCI79" s="684"/>
      <c r="BCJ79" s="684"/>
      <c r="BCK79" s="684"/>
      <c r="BCL79" s="684"/>
      <c r="BCM79" s="684"/>
      <c r="BCN79" s="684"/>
      <c r="BCO79" s="684"/>
      <c r="BCP79" s="684"/>
      <c r="BCQ79" s="684"/>
      <c r="BCR79" s="684"/>
      <c r="BCS79" s="684"/>
      <c r="BCT79" s="684"/>
      <c r="BCU79" s="684"/>
      <c r="BCV79" s="684"/>
      <c r="BCW79" s="684"/>
      <c r="BCX79" s="684"/>
      <c r="BCY79" s="684"/>
      <c r="BCZ79" s="684"/>
      <c r="BDA79" s="684"/>
      <c r="BDB79" s="684"/>
      <c r="BDC79" s="684"/>
      <c r="BDD79" s="684"/>
      <c r="BDE79" s="684"/>
      <c r="BDF79" s="684"/>
      <c r="BDG79" s="684"/>
      <c r="BDH79" s="684"/>
      <c r="BDI79" s="684"/>
      <c r="BDJ79" s="684"/>
      <c r="BDK79" s="684"/>
      <c r="BDL79" s="684"/>
      <c r="BDM79" s="684"/>
      <c r="BDN79" s="684"/>
      <c r="BDO79" s="684"/>
      <c r="BDP79" s="684"/>
      <c r="BDQ79" s="684"/>
      <c r="BDR79" s="684"/>
      <c r="BDS79" s="684"/>
      <c r="BDT79" s="684"/>
      <c r="BDU79" s="684"/>
      <c r="BDV79" s="684"/>
      <c r="BDW79" s="684"/>
      <c r="BDX79" s="684"/>
      <c r="BDY79" s="684"/>
      <c r="BDZ79" s="684"/>
      <c r="BEA79" s="684"/>
      <c r="BEB79" s="684"/>
      <c r="BEC79" s="684"/>
      <c r="BED79" s="684"/>
      <c r="BEE79" s="684"/>
      <c r="BEF79" s="684"/>
      <c r="BEG79" s="684"/>
      <c r="BEH79" s="684"/>
      <c r="BEI79" s="684"/>
      <c r="BEJ79" s="684"/>
      <c r="BEK79" s="684"/>
      <c r="BEL79" s="684"/>
      <c r="BEM79" s="684"/>
      <c r="BEN79" s="684"/>
      <c r="BEO79" s="684"/>
      <c r="BEP79" s="684"/>
      <c r="BEQ79" s="684"/>
      <c r="BER79" s="684"/>
      <c r="BES79" s="684"/>
      <c r="BET79" s="684"/>
      <c r="BEU79" s="684"/>
      <c r="BEV79" s="684"/>
      <c r="BEW79" s="684"/>
      <c r="BEX79" s="684"/>
      <c r="BEY79" s="684"/>
      <c r="BEZ79" s="684"/>
      <c r="BFA79" s="684"/>
      <c r="BFB79" s="684"/>
      <c r="BFC79" s="684"/>
      <c r="BFD79" s="684"/>
      <c r="BFE79" s="684"/>
      <c r="BFF79" s="684"/>
      <c r="BFG79" s="684"/>
      <c r="BFH79" s="684"/>
      <c r="BFI79" s="684"/>
      <c r="BFJ79" s="684"/>
      <c r="BFK79" s="684"/>
      <c r="BFL79" s="684"/>
      <c r="BFM79" s="684"/>
      <c r="BFN79" s="684"/>
      <c r="BFO79" s="684"/>
      <c r="BFP79" s="684"/>
      <c r="BFQ79" s="684"/>
      <c r="BFR79" s="684"/>
      <c r="BFS79" s="684"/>
      <c r="BFT79" s="684"/>
      <c r="BFU79" s="684"/>
      <c r="BFV79" s="684"/>
      <c r="BFW79" s="684"/>
      <c r="BFX79" s="684"/>
      <c r="BFY79" s="684"/>
      <c r="BFZ79" s="684"/>
      <c r="BGA79" s="684"/>
      <c r="BGB79" s="684"/>
      <c r="BGC79" s="684"/>
      <c r="BGD79" s="684"/>
      <c r="BGE79" s="684"/>
      <c r="BGF79" s="684"/>
      <c r="BGG79" s="684"/>
      <c r="BGH79" s="684"/>
      <c r="BGI79" s="684"/>
      <c r="BGJ79" s="684"/>
      <c r="BGK79" s="684"/>
      <c r="BGL79" s="684"/>
      <c r="BGM79" s="684"/>
      <c r="BGN79" s="684"/>
      <c r="BGO79" s="684"/>
      <c r="BGP79" s="684"/>
      <c r="BGQ79" s="684"/>
      <c r="BGR79" s="684"/>
      <c r="BGS79" s="684"/>
      <c r="BGT79" s="684"/>
      <c r="BGU79" s="684"/>
      <c r="BGV79" s="684"/>
      <c r="BGW79" s="684"/>
      <c r="BGX79" s="684"/>
      <c r="BGY79" s="684"/>
      <c r="BGZ79" s="684"/>
      <c r="BHA79" s="684"/>
      <c r="BHB79" s="684"/>
      <c r="BHC79" s="684"/>
      <c r="BHD79" s="684"/>
      <c r="BHE79" s="684"/>
      <c r="BHF79" s="684"/>
      <c r="BHG79" s="684"/>
      <c r="BHH79" s="684"/>
      <c r="BHI79" s="684"/>
      <c r="BHJ79" s="684"/>
      <c r="BHK79" s="684"/>
      <c r="BHL79" s="684"/>
      <c r="BHM79" s="684"/>
      <c r="BHN79" s="684"/>
      <c r="BHO79" s="684"/>
      <c r="BHP79" s="684"/>
      <c r="BHQ79" s="684"/>
      <c r="BHR79" s="684"/>
      <c r="BHS79" s="684"/>
      <c r="BHT79" s="684"/>
      <c r="BHU79" s="684"/>
      <c r="BHV79" s="684"/>
      <c r="BHW79" s="684"/>
      <c r="BHX79" s="684"/>
      <c r="BHY79" s="684"/>
      <c r="BHZ79" s="684"/>
      <c r="BIA79" s="684"/>
      <c r="BIB79" s="684"/>
      <c r="BIC79" s="684"/>
      <c r="BID79" s="684"/>
      <c r="BIE79" s="684"/>
      <c r="BIF79" s="684"/>
      <c r="BIG79" s="684"/>
      <c r="BIH79" s="684"/>
      <c r="BII79" s="684"/>
      <c r="BIJ79" s="684"/>
      <c r="BIK79" s="684"/>
      <c r="BIL79" s="684"/>
      <c r="BIM79" s="684"/>
      <c r="BIN79" s="684"/>
      <c r="BIO79" s="684"/>
      <c r="BIP79" s="684"/>
      <c r="BIQ79" s="684"/>
      <c r="BIR79" s="684"/>
      <c r="BIS79" s="684"/>
      <c r="BIT79" s="684"/>
      <c r="BIU79" s="684"/>
      <c r="BIV79" s="684"/>
      <c r="BIW79" s="684"/>
      <c r="BIX79" s="684"/>
      <c r="BIY79" s="684"/>
      <c r="BIZ79" s="684"/>
      <c r="BJA79" s="684"/>
      <c r="BJB79" s="684"/>
      <c r="BJC79" s="684"/>
      <c r="BJD79" s="684"/>
      <c r="BJE79" s="684"/>
      <c r="BJF79" s="684"/>
      <c r="BJG79" s="684"/>
      <c r="BJH79" s="684"/>
      <c r="BJI79" s="684"/>
      <c r="BJJ79" s="684"/>
      <c r="BJK79" s="684"/>
      <c r="BJL79" s="684"/>
      <c r="BJM79" s="684"/>
      <c r="BJN79" s="684"/>
      <c r="BJO79" s="684"/>
      <c r="BJP79" s="684"/>
      <c r="BJQ79" s="684"/>
      <c r="BJR79" s="684"/>
      <c r="BJS79" s="684"/>
      <c r="BJT79" s="684"/>
      <c r="BJU79" s="684"/>
      <c r="BJV79" s="684"/>
      <c r="BJW79" s="684"/>
      <c r="BJX79" s="684"/>
      <c r="BJY79" s="684"/>
      <c r="BJZ79" s="684"/>
      <c r="BKA79" s="684"/>
      <c r="BKB79" s="684"/>
      <c r="BKC79" s="684"/>
      <c r="BKD79" s="684"/>
      <c r="BKE79" s="684"/>
      <c r="BKF79" s="684"/>
      <c r="BKG79" s="684"/>
      <c r="BKH79" s="684"/>
      <c r="BKI79" s="684"/>
      <c r="BKJ79" s="684"/>
      <c r="BKK79" s="684"/>
      <c r="BKL79" s="684"/>
      <c r="BKM79" s="684"/>
      <c r="BKN79" s="684"/>
      <c r="BKO79" s="684"/>
      <c r="BKP79" s="684"/>
      <c r="BKQ79" s="684"/>
      <c r="BKR79" s="684"/>
      <c r="BKS79" s="684"/>
      <c r="BKT79" s="684"/>
      <c r="BKU79" s="684"/>
      <c r="BKV79" s="684"/>
      <c r="BKW79" s="684"/>
      <c r="BKX79" s="684"/>
      <c r="BKY79" s="684"/>
      <c r="BKZ79" s="684"/>
      <c r="BLA79" s="684"/>
      <c r="BLB79" s="684"/>
      <c r="BLC79" s="684"/>
      <c r="BLD79" s="684"/>
      <c r="BLE79" s="684"/>
      <c r="BLF79" s="684"/>
      <c r="BLG79" s="684"/>
      <c r="BLH79" s="684"/>
      <c r="BLI79" s="684"/>
      <c r="BLJ79" s="684"/>
      <c r="BLK79" s="684"/>
      <c r="BLL79" s="684"/>
      <c r="BLM79" s="684"/>
      <c r="BLN79" s="684"/>
      <c r="BLO79" s="684"/>
      <c r="BLP79" s="684"/>
      <c r="BLQ79" s="684"/>
      <c r="BLR79" s="684"/>
      <c r="BLS79" s="684"/>
      <c r="BLT79" s="684"/>
      <c r="BLU79" s="684"/>
      <c r="BLV79" s="684"/>
      <c r="BLW79" s="684"/>
      <c r="BLX79" s="684"/>
      <c r="BLY79" s="684"/>
      <c r="BLZ79" s="684"/>
      <c r="BMA79" s="684"/>
      <c r="BMB79" s="684"/>
      <c r="BMC79" s="684"/>
      <c r="BMD79" s="684"/>
      <c r="BME79" s="684"/>
      <c r="BMF79" s="684"/>
      <c r="BMG79" s="684"/>
      <c r="BMH79" s="684"/>
      <c r="BMI79" s="684"/>
      <c r="BMJ79" s="684"/>
      <c r="BMK79" s="684"/>
      <c r="BML79" s="684"/>
      <c r="BMM79" s="684"/>
      <c r="BMN79" s="684"/>
      <c r="BMO79" s="684"/>
      <c r="BMP79" s="684"/>
      <c r="BMQ79" s="684"/>
      <c r="BMR79" s="684"/>
      <c r="BMS79" s="684"/>
      <c r="BMT79" s="684"/>
      <c r="BMU79" s="684"/>
      <c r="BMV79" s="684"/>
      <c r="BMW79" s="684"/>
      <c r="BMX79" s="684"/>
      <c r="BMY79" s="684"/>
      <c r="BMZ79" s="684"/>
      <c r="BNA79" s="684"/>
      <c r="BNB79" s="684"/>
      <c r="BNC79" s="684"/>
      <c r="BND79" s="684"/>
      <c r="BNE79" s="684"/>
      <c r="BNF79" s="684"/>
      <c r="BNG79" s="684"/>
      <c r="BNH79" s="684"/>
      <c r="BNI79" s="684"/>
      <c r="BNJ79" s="684"/>
      <c r="BNK79" s="684"/>
      <c r="BNL79" s="684"/>
      <c r="BNM79" s="684"/>
      <c r="BNN79" s="684"/>
      <c r="BNO79" s="684"/>
      <c r="BNP79" s="684"/>
      <c r="BNQ79" s="684"/>
      <c r="BNR79" s="684"/>
      <c r="BNS79" s="684"/>
      <c r="BNT79" s="684"/>
      <c r="BNU79" s="684"/>
      <c r="BNV79" s="684"/>
      <c r="BNW79" s="684"/>
      <c r="BNX79" s="684"/>
      <c r="BNY79" s="684"/>
      <c r="BNZ79" s="684"/>
      <c r="BOA79" s="684"/>
      <c r="BOB79" s="684"/>
      <c r="BOC79" s="684"/>
      <c r="BOD79" s="684"/>
      <c r="BOE79" s="684"/>
      <c r="BOF79" s="684"/>
      <c r="BOG79" s="684"/>
      <c r="BOH79" s="684"/>
      <c r="BOI79" s="684"/>
      <c r="BOJ79" s="684"/>
      <c r="BOK79" s="684"/>
      <c r="BOL79" s="684"/>
      <c r="BOM79" s="684"/>
      <c r="BON79" s="684"/>
      <c r="BOO79" s="684"/>
      <c r="BOP79" s="684"/>
      <c r="BOQ79" s="684"/>
      <c r="BOR79" s="684"/>
      <c r="BOS79" s="684"/>
      <c r="BOT79" s="684"/>
      <c r="BOU79" s="684"/>
      <c r="BOV79" s="684"/>
      <c r="BOW79" s="684"/>
      <c r="BOX79" s="684"/>
      <c r="BOY79" s="684"/>
      <c r="BOZ79" s="684"/>
      <c r="BPA79" s="684"/>
      <c r="BPB79" s="684"/>
      <c r="BPC79" s="684"/>
      <c r="BPD79" s="684"/>
      <c r="BPE79" s="684"/>
      <c r="BPF79" s="684"/>
      <c r="BPG79" s="684"/>
      <c r="BPH79" s="684"/>
      <c r="BPI79" s="684"/>
      <c r="BPJ79" s="684"/>
      <c r="BPK79" s="684"/>
      <c r="BPL79" s="684"/>
      <c r="BPM79" s="684"/>
      <c r="BPN79" s="684"/>
      <c r="BPO79" s="684"/>
      <c r="BPP79" s="684"/>
      <c r="BPQ79" s="684"/>
      <c r="BPR79" s="684"/>
      <c r="BPS79" s="684"/>
      <c r="BPT79" s="684"/>
      <c r="BPU79" s="684"/>
      <c r="BPV79" s="684"/>
      <c r="BPW79" s="684"/>
      <c r="BPX79" s="684"/>
      <c r="BPY79" s="684"/>
      <c r="BPZ79" s="684"/>
      <c r="BQA79" s="684"/>
      <c r="BQB79" s="684"/>
      <c r="BQC79" s="684"/>
      <c r="BQD79" s="684"/>
      <c r="BQE79" s="684"/>
      <c r="BQF79" s="684"/>
      <c r="BQG79" s="684"/>
      <c r="BQH79" s="684"/>
      <c r="BQI79" s="684"/>
      <c r="BQJ79" s="684"/>
      <c r="BQK79" s="684"/>
      <c r="BQL79" s="684"/>
      <c r="BQM79" s="684"/>
      <c r="BQN79" s="684"/>
      <c r="BQO79" s="684"/>
      <c r="BQP79" s="684"/>
      <c r="BQQ79" s="684"/>
      <c r="BQR79" s="684"/>
      <c r="BQS79" s="684"/>
      <c r="BQT79" s="684"/>
      <c r="BQU79" s="684"/>
      <c r="BQV79" s="684"/>
      <c r="BQW79" s="684"/>
      <c r="BQX79" s="684"/>
      <c r="BQY79" s="684"/>
      <c r="BQZ79" s="684"/>
      <c r="BRA79" s="684"/>
      <c r="BRB79" s="684"/>
      <c r="BRC79" s="684"/>
      <c r="BRD79" s="684"/>
      <c r="BRE79" s="684"/>
      <c r="BRF79" s="684"/>
      <c r="BRG79" s="684"/>
      <c r="BRH79" s="684"/>
      <c r="BRI79" s="684"/>
      <c r="BRJ79" s="684"/>
      <c r="BRK79" s="684"/>
      <c r="BRL79" s="684"/>
      <c r="BRM79" s="684"/>
      <c r="BRN79" s="684"/>
      <c r="BRO79" s="684"/>
      <c r="BRP79" s="684"/>
      <c r="BRQ79" s="684"/>
      <c r="BRR79" s="684"/>
      <c r="BRS79" s="684"/>
      <c r="BRT79" s="684"/>
      <c r="BRU79" s="684"/>
      <c r="BRV79" s="684"/>
      <c r="BRW79" s="684"/>
      <c r="BRX79" s="684"/>
      <c r="BRY79" s="684"/>
      <c r="BRZ79" s="684"/>
      <c r="BSA79" s="684"/>
      <c r="BSB79" s="684"/>
      <c r="BSC79" s="684"/>
      <c r="BSD79" s="684"/>
      <c r="BSE79" s="684"/>
      <c r="BSF79" s="684"/>
      <c r="BSG79" s="684"/>
      <c r="BSH79" s="684"/>
      <c r="BSI79" s="684"/>
      <c r="BSJ79" s="684"/>
      <c r="BSK79" s="684"/>
      <c r="BSL79" s="684"/>
      <c r="BSM79" s="684"/>
      <c r="BSN79" s="684"/>
      <c r="BSO79" s="684"/>
      <c r="BSP79" s="684"/>
      <c r="BSQ79" s="684"/>
      <c r="BSR79" s="684"/>
      <c r="BSS79" s="684"/>
      <c r="BST79" s="684"/>
      <c r="BSU79" s="684"/>
      <c r="BSV79" s="684"/>
      <c r="BSW79" s="684"/>
      <c r="BSX79" s="684"/>
      <c r="BSY79" s="684"/>
      <c r="BSZ79" s="684"/>
      <c r="BTA79" s="684"/>
      <c r="BTB79" s="684"/>
      <c r="BTC79" s="684"/>
      <c r="BTD79" s="684"/>
      <c r="BTE79" s="684"/>
      <c r="BTF79" s="684"/>
      <c r="BTG79" s="684"/>
      <c r="BTH79" s="684"/>
      <c r="BTI79" s="684"/>
      <c r="BTJ79" s="684"/>
      <c r="BTK79" s="684"/>
      <c r="BTL79" s="684"/>
      <c r="BTM79" s="684"/>
      <c r="BTN79" s="684"/>
      <c r="BTO79" s="684"/>
      <c r="BTP79" s="684"/>
      <c r="BTQ79" s="684"/>
      <c r="BTR79" s="684"/>
      <c r="BTS79" s="684"/>
      <c r="BTT79" s="684"/>
      <c r="BTU79" s="684"/>
      <c r="BTV79" s="684"/>
      <c r="BTW79" s="684"/>
      <c r="BTX79" s="684"/>
      <c r="BTY79" s="684"/>
      <c r="BTZ79" s="684"/>
      <c r="BUA79" s="684"/>
      <c r="BUB79" s="684"/>
      <c r="BUC79" s="684"/>
      <c r="BUD79" s="684"/>
      <c r="BUE79" s="684"/>
      <c r="BUF79" s="684"/>
      <c r="BUG79" s="684"/>
      <c r="BUH79" s="684"/>
      <c r="BUI79" s="684"/>
      <c r="BUJ79" s="684"/>
      <c r="BUK79" s="684"/>
      <c r="BUL79" s="684"/>
      <c r="BUM79" s="684"/>
      <c r="BUN79" s="684"/>
      <c r="BUO79" s="684"/>
      <c r="BUP79" s="684"/>
      <c r="BUQ79" s="684"/>
      <c r="BUR79" s="684"/>
      <c r="BUS79" s="684"/>
      <c r="BUT79" s="684"/>
      <c r="BUU79" s="684"/>
      <c r="BUV79" s="684"/>
      <c r="BUW79" s="684"/>
      <c r="BUX79" s="684"/>
      <c r="BUY79" s="684"/>
      <c r="BUZ79" s="684"/>
      <c r="BVA79" s="684"/>
      <c r="BVB79" s="684"/>
      <c r="BVC79" s="684"/>
      <c r="BVD79" s="684"/>
      <c r="BVE79" s="684"/>
      <c r="BVF79" s="684"/>
      <c r="BVG79" s="684"/>
      <c r="BVH79" s="684"/>
      <c r="BVI79" s="684"/>
      <c r="BVJ79" s="684"/>
      <c r="BVK79" s="684"/>
      <c r="BVL79" s="684"/>
      <c r="BVM79" s="684"/>
      <c r="BVN79" s="684"/>
      <c r="BVO79" s="684"/>
      <c r="BVP79" s="684"/>
      <c r="BVQ79" s="684"/>
      <c r="BVR79" s="684"/>
      <c r="BVS79" s="684"/>
      <c r="BVT79" s="684"/>
      <c r="BVU79" s="684"/>
      <c r="BVV79" s="684"/>
      <c r="BVW79" s="684"/>
      <c r="BVX79" s="684"/>
      <c r="BVY79" s="684"/>
      <c r="BVZ79" s="684"/>
      <c r="BWA79" s="684"/>
      <c r="BWB79" s="684"/>
      <c r="BWC79" s="684"/>
      <c r="BWD79" s="684"/>
      <c r="BWE79" s="684"/>
      <c r="BWF79" s="684"/>
      <c r="BWG79" s="684"/>
      <c r="BWH79" s="684"/>
      <c r="BWI79" s="684"/>
      <c r="BWJ79" s="684"/>
      <c r="BWK79" s="684"/>
      <c r="BWL79" s="684"/>
      <c r="BWM79" s="684"/>
      <c r="BWN79" s="684"/>
      <c r="BWO79" s="684"/>
      <c r="BWP79" s="684"/>
      <c r="BWQ79" s="684"/>
      <c r="BWR79" s="684"/>
      <c r="BWS79" s="684"/>
      <c r="BWT79" s="684"/>
      <c r="BWU79" s="684"/>
      <c r="BWV79" s="684"/>
      <c r="BWW79" s="684"/>
      <c r="BWX79" s="684"/>
      <c r="BWY79" s="684"/>
      <c r="BWZ79" s="684"/>
      <c r="BXA79" s="684"/>
      <c r="BXB79" s="684"/>
      <c r="BXC79" s="684"/>
      <c r="BXD79" s="684"/>
      <c r="BXE79" s="684"/>
      <c r="BXF79" s="684"/>
      <c r="BXG79" s="684"/>
      <c r="BXH79" s="684"/>
      <c r="BXI79" s="684"/>
      <c r="BXJ79" s="684"/>
      <c r="BXK79" s="684"/>
      <c r="BXL79" s="684"/>
      <c r="BXM79" s="684"/>
      <c r="BXN79" s="684"/>
      <c r="BXO79" s="684"/>
      <c r="BXP79" s="684"/>
      <c r="BXQ79" s="684"/>
      <c r="BXR79" s="684"/>
      <c r="BXS79" s="684"/>
      <c r="BXT79" s="684"/>
      <c r="BXU79" s="684"/>
      <c r="BXV79" s="684"/>
      <c r="BXW79" s="684"/>
      <c r="BXX79" s="684"/>
      <c r="BXY79" s="684"/>
      <c r="BXZ79" s="684"/>
      <c r="BYA79" s="684"/>
      <c r="BYB79" s="684"/>
      <c r="BYC79" s="684"/>
      <c r="BYD79" s="684"/>
      <c r="BYE79" s="684"/>
      <c r="BYF79" s="684"/>
      <c r="BYG79" s="684"/>
      <c r="BYH79" s="684"/>
      <c r="BYI79" s="684"/>
      <c r="BYJ79" s="684"/>
      <c r="BYK79" s="684"/>
      <c r="BYL79" s="684"/>
      <c r="BYM79" s="684"/>
      <c r="BYN79" s="684"/>
      <c r="BYO79" s="684"/>
      <c r="BYP79" s="684"/>
      <c r="BYQ79" s="684"/>
      <c r="BYR79" s="684"/>
      <c r="BYS79" s="684"/>
      <c r="BYT79" s="684"/>
      <c r="BYU79" s="684"/>
      <c r="BYV79" s="684"/>
      <c r="BYW79" s="684"/>
      <c r="BYX79" s="684"/>
      <c r="BYY79" s="684"/>
      <c r="BYZ79" s="684"/>
      <c r="BZA79" s="684"/>
      <c r="BZB79" s="684"/>
      <c r="BZC79" s="684"/>
      <c r="BZD79" s="684"/>
      <c r="BZE79" s="684"/>
      <c r="BZF79" s="684"/>
      <c r="BZG79" s="684"/>
      <c r="BZH79" s="684"/>
      <c r="BZI79" s="684"/>
      <c r="BZJ79" s="684"/>
      <c r="BZK79" s="684"/>
      <c r="BZL79" s="684"/>
      <c r="BZM79" s="684"/>
      <c r="BZN79" s="684"/>
      <c r="BZO79" s="684"/>
      <c r="BZP79" s="684"/>
      <c r="BZQ79" s="684"/>
      <c r="BZR79" s="684"/>
      <c r="BZS79" s="684"/>
      <c r="BZT79" s="684"/>
      <c r="BZU79" s="684"/>
      <c r="BZV79" s="684"/>
      <c r="BZW79" s="684"/>
      <c r="BZX79" s="684"/>
      <c r="BZY79" s="684"/>
      <c r="BZZ79" s="684"/>
      <c r="CAA79" s="684"/>
      <c r="CAB79" s="684"/>
      <c r="CAC79" s="684"/>
      <c r="CAD79" s="684"/>
      <c r="CAE79" s="684"/>
      <c r="CAF79" s="684"/>
      <c r="CAG79" s="684"/>
      <c r="CAH79" s="684"/>
      <c r="CAI79" s="684"/>
      <c r="CAJ79" s="684"/>
      <c r="CAK79" s="684"/>
      <c r="CAL79" s="684"/>
      <c r="CAM79" s="684"/>
      <c r="CAN79" s="684"/>
      <c r="CAO79" s="684"/>
      <c r="CAP79" s="684"/>
      <c r="CAQ79" s="684"/>
      <c r="CAR79" s="684"/>
      <c r="CAS79" s="684"/>
      <c r="CAT79" s="684"/>
      <c r="CAU79" s="684"/>
      <c r="CAV79" s="684"/>
      <c r="CAW79" s="684"/>
      <c r="CAX79" s="684"/>
      <c r="CAY79" s="684"/>
      <c r="CAZ79" s="684"/>
      <c r="CBA79" s="684"/>
      <c r="CBB79" s="684"/>
      <c r="CBC79" s="684"/>
      <c r="CBD79" s="684"/>
      <c r="CBE79" s="684"/>
      <c r="CBF79" s="684"/>
      <c r="CBG79" s="684"/>
      <c r="CBH79" s="684"/>
      <c r="CBI79" s="684"/>
      <c r="CBJ79" s="684"/>
      <c r="CBK79" s="684"/>
      <c r="CBL79" s="684"/>
      <c r="CBM79" s="684"/>
      <c r="CBN79" s="684"/>
      <c r="CBO79" s="684"/>
      <c r="CBP79" s="684"/>
      <c r="CBQ79" s="684"/>
      <c r="CBR79" s="684"/>
      <c r="CBS79" s="684"/>
      <c r="CBT79" s="684"/>
      <c r="CBU79" s="684"/>
      <c r="CBV79" s="684"/>
      <c r="CBW79" s="684"/>
      <c r="CBX79" s="684"/>
      <c r="CBY79" s="684"/>
      <c r="CBZ79" s="684"/>
      <c r="CCA79" s="684"/>
      <c r="CCB79" s="684"/>
      <c r="CCC79" s="684"/>
      <c r="CCD79" s="684"/>
      <c r="CCE79" s="684"/>
      <c r="CCF79" s="684"/>
      <c r="CCG79" s="684"/>
      <c r="CCH79" s="684"/>
      <c r="CCI79" s="684"/>
      <c r="CCJ79" s="684"/>
      <c r="CCK79" s="684"/>
      <c r="CCL79" s="684"/>
      <c r="CCM79" s="684"/>
      <c r="CCN79" s="684"/>
      <c r="CCO79" s="684"/>
      <c r="CCP79" s="684"/>
      <c r="CCQ79" s="684"/>
      <c r="CCR79" s="684"/>
      <c r="CCS79" s="684"/>
      <c r="CCT79" s="684"/>
      <c r="CCU79" s="684"/>
      <c r="CCV79" s="684"/>
      <c r="CCW79" s="684"/>
      <c r="CCX79" s="684"/>
      <c r="CCY79" s="684"/>
      <c r="CCZ79" s="684"/>
      <c r="CDA79" s="684"/>
      <c r="CDB79" s="684"/>
      <c r="CDC79" s="684"/>
      <c r="CDD79" s="684"/>
      <c r="CDE79" s="684"/>
      <c r="CDF79" s="684"/>
      <c r="CDG79" s="684"/>
      <c r="CDH79" s="684"/>
      <c r="CDI79" s="684"/>
      <c r="CDJ79" s="684"/>
      <c r="CDK79" s="684"/>
      <c r="CDL79" s="684"/>
      <c r="CDM79" s="684"/>
      <c r="CDN79" s="684"/>
      <c r="CDO79" s="684"/>
      <c r="CDP79" s="684"/>
      <c r="CDQ79" s="684"/>
      <c r="CDR79" s="684"/>
      <c r="CDS79" s="684"/>
      <c r="CDT79" s="684"/>
      <c r="CDU79" s="684"/>
      <c r="CDV79" s="684"/>
      <c r="CDW79" s="684"/>
      <c r="CDX79" s="684"/>
      <c r="CDY79" s="684"/>
      <c r="CDZ79" s="684"/>
      <c r="CEA79" s="684"/>
      <c r="CEB79" s="684"/>
      <c r="CEC79" s="684"/>
      <c r="CED79" s="684"/>
      <c r="CEE79" s="684"/>
      <c r="CEF79" s="684"/>
      <c r="CEG79" s="684"/>
      <c r="CEH79" s="684"/>
      <c r="CEI79" s="684"/>
      <c r="CEJ79" s="684"/>
      <c r="CEK79" s="684"/>
      <c r="CEL79" s="684"/>
      <c r="CEM79" s="684"/>
      <c r="CEN79" s="684"/>
      <c r="CEO79" s="684"/>
      <c r="CEP79" s="684"/>
      <c r="CEQ79" s="684"/>
      <c r="CER79" s="684"/>
      <c r="CES79" s="684"/>
      <c r="CET79" s="684"/>
      <c r="CEU79" s="684"/>
      <c r="CEV79" s="684"/>
      <c r="CEW79" s="684"/>
      <c r="CEX79" s="684"/>
      <c r="CEY79" s="684"/>
      <c r="CEZ79" s="684"/>
      <c r="CFA79" s="684"/>
      <c r="CFB79" s="684"/>
      <c r="CFC79" s="684"/>
      <c r="CFD79" s="684"/>
      <c r="CFE79" s="684"/>
      <c r="CFF79" s="684"/>
      <c r="CFG79" s="684"/>
      <c r="CFH79" s="684"/>
      <c r="CFI79" s="684"/>
      <c r="CFJ79" s="684"/>
      <c r="CFK79" s="684"/>
      <c r="CFL79" s="684"/>
      <c r="CFM79" s="684"/>
      <c r="CFN79" s="684"/>
      <c r="CFO79" s="684"/>
      <c r="CFP79" s="684"/>
      <c r="CFQ79" s="684"/>
      <c r="CFR79" s="684"/>
      <c r="CFS79" s="684"/>
      <c r="CFT79" s="684"/>
      <c r="CFU79" s="684"/>
      <c r="CFV79" s="684"/>
      <c r="CFW79" s="684"/>
      <c r="CFX79" s="684"/>
      <c r="CFY79" s="684"/>
      <c r="CFZ79" s="684"/>
      <c r="CGA79" s="684"/>
      <c r="CGB79" s="684"/>
      <c r="CGC79" s="684"/>
      <c r="CGD79" s="684"/>
      <c r="CGE79" s="684"/>
      <c r="CGF79" s="684"/>
      <c r="CGG79" s="684"/>
      <c r="CGH79" s="684"/>
      <c r="CGI79" s="684"/>
      <c r="CGJ79" s="684"/>
      <c r="CGK79" s="684"/>
      <c r="CGL79" s="684"/>
      <c r="CGM79" s="684"/>
      <c r="CGN79" s="684"/>
      <c r="CGO79" s="684"/>
      <c r="CGP79" s="684"/>
      <c r="CGQ79" s="684"/>
      <c r="CGR79" s="684"/>
      <c r="CGS79" s="684"/>
      <c r="CGT79" s="684"/>
      <c r="CGU79" s="684"/>
      <c r="CGV79" s="684"/>
      <c r="CGW79" s="684"/>
      <c r="CGX79" s="684"/>
      <c r="CGY79" s="684"/>
      <c r="CGZ79" s="684"/>
      <c r="CHA79" s="684"/>
      <c r="CHB79" s="684"/>
      <c r="CHC79" s="684"/>
      <c r="CHD79" s="684"/>
      <c r="CHE79" s="684"/>
      <c r="CHF79" s="684"/>
      <c r="CHG79" s="684"/>
      <c r="CHH79" s="684"/>
      <c r="CHI79" s="684"/>
      <c r="CHJ79" s="684"/>
      <c r="CHK79" s="684"/>
      <c r="CHL79" s="684"/>
      <c r="CHM79" s="684"/>
      <c r="CHN79" s="684"/>
      <c r="CHO79" s="684"/>
      <c r="CHP79" s="684"/>
      <c r="CHQ79" s="684"/>
      <c r="CHR79" s="684"/>
      <c r="CHS79" s="684"/>
      <c r="CHT79" s="684"/>
      <c r="CHU79" s="684"/>
      <c r="CHV79" s="684"/>
      <c r="CHW79" s="684"/>
      <c r="CHX79" s="684"/>
      <c r="CHY79" s="684"/>
      <c r="CHZ79" s="684"/>
      <c r="CIA79" s="684"/>
      <c r="CIB79" s="684"/>
      <c r="CIC79" s="684"/>
      <c r="CID79" s="684"/>
      <c r="CIE79" s="684"/>
      <c r="CIF79" s="684"/>
      <c r="CIG79" s="684"/>
      <c r="CIH79" s="684"/>
      <c r="CII79" s="684"/>
      <c r="CIJ79" s="684"/>
      <c r="CIK79" s="684"/>
      <c r="CIL79" s="684"/>
      <c r="CIM79" s="684"/>
      <c r="CIN79" s="684"/>
      <c r="CIO79" s="684"/>
      <c r="CIP79" s="684"/>
      <c r="CIQ79" s="684"/>
      <c r="CIR79" s="684"/>
      <c r="CIS79" s="684"/>
      <c r="CIT79" s="684"/>
      <c r="CIU79" s="684"/>
      <c r="CIV79" s="684"/>
      <c r="CIW79" s="684"/>
      <c r="CIX79" s="684"/>
      <c r="CIY79" s="684"/>
      <c r="CIZ79" s="684"/>
      <c r="CJA79" s="684"/>
      <c r="CJB79" s="684"/>
      <c r="CJC79" s="684"/>
      <c r="CJD79" s="684"/>
      <c r="CJE79" s="684"/>
      <c r="CJF79" s="684"/>
      <c r="CJG79" s="684"/>
      <c r="CJH79" s="684"/>
      <c r="CJI79" s="684"/>
      <c r="CJJ79" s="684"/>
      <c r="CJK79" s="684"/>
      <c r="CJL79" s="684"/>
      <c r="CJM79" s="684"/>
      <c r="CJN79" s="684"/>
      <c r="CJO79" s="684"/>
      <c r="CJP79" s="684"/>
      <c r="CJQ79" s="684"/>
      <c r="CJR79" s="684"/>
      <c r="CJS79" s="684"/>
      <c r="CJT79" s="684"/>
      <c r="CJU79" s="684"/>
      <c r="CJV79" s="684"/>
      <c r="CJW79" s="684"/>
      <c r="CJX79" s="684"/>
      <c r="CJY79" s="684"/>
      <c r="CJZ79" s="684"/>
      <c r="CKA79" s="684"/>
      <c r="CKB79" s="684"/>
      <c r="CKC79" s="684"/>
      <c r="CKD79" s="684"/>
      <c r="CKE79" s="684"/>
      <c r="CKF79" s="684"/>
      <c r="CKG79" s="684"/>
      <c r="CKH79" s="684"/>
      <c r="CKI79" s="684"/>
      <c r="CKJ79" s="684"/>
      <c r="CKK79" s="684"/>
      <c r="CKL79" s="684"/>
      <c r="CKM79" s="684"/>
      <c r="CKN79" s="684"/>
      <c r="CKO79" s="684"/>
      <c r="CKP79" s="684"/>
      <c r="CKQ79" s="684"/>
      <c r="CKR79" s="684"/>
      <c r="CKS79" s="684"/>
      <c r="CKT79" s="684"/>
      <c r="CKU79" s="684"/>
      <c r="CKV79" s="684"/>
      <c r="CKW79" s="684"/>
      <c r="CKX79" s="684"/>
      <c r="CKY79" s="684"/>
      <c r="CKZ79" s="684"/>
      <c r="CLA79" s="684"/>
      <c r="CLB79" s="684"/>
      <c r="CLC79" s="684"/>
      <c r="CLD79" s="684"/>
      <c r="CLE79" s="684"/>
      <c r="CLF79" s="684"/>
      <c r="CLG79" s="684"/>
      <c r="CLH79" s="684"/>
      <c r="CLI79" s="684"/>
      <c r="CLJ79" s="684"/>
      <c r="CLK79" s="684"/>
      <c r="CLL79" s="684"/>
      <c r="CLM79" s="684"/>
      <c r="CLN79" s="684"/>
      <c r="CLO79" s="684"/>
      <c r="CLP79" s="684"/>
      <c r="CLQ79" s="684"/>
      <c r="CLR79" s="684"/>
      <c r="CLS79" s="684"/>
      <c r="CLT79" s="684"/>
      <c r="CLU79" s="684"/>
      <c r="CLV79" s="684"/>
      <c r="CLW79" s="684"/>
      <c r="CLX79" s="684"/>
      <c r="CLY79" s="684"/>
      <c r="CLZ79" s="684"/>
      <c r="CMA79" s="684"/>
      <c r="CMB79" s="684"/>
      <c r="CMC79" s="684"/>
      <c r="CMD79" s="684"/>
      <c r="CME79" s="684"/>
      <c r="CMF79" s="684"/>
      <c r="CMG79" s="684"/>
      <c r="CMH79" s="684"/>
      <c r="CMI79" s="684"/>
      <c r="CMJ79" s="684"/>
      <c r="CMK79" s="684"/>
      <c r="CML79" s="684"/>
      <c r="CMM79" s="684"/>
      <c r="CMN79" s="684"/>
      <c r="CMO79" s="684"/>
      <c r="CMP79" s="684"/>
      <c r="CMQ79" s="684"/>
      <c r="CMR79" s="684"/>
      <c r="CMS79" s="684"/>
      <c r="CMT79" s="684"/>
      <c r="CMU79" s="684"/>
      <c r="CMV79" s="684"/>
      <c r="CMW79" s="684"/>
      <c r="CMX79" s="684"/>
      <c r="CMY79" s="684"/>
      <c r="CMZ79" s="684"/>
      <c r="CNA79" s="684"/>
      <c r="CNB79" s="684"/>
      <c r="CNC79" s="684"/>
      <c r="CND79" s="684"/>
      <c r="CNE79" s="684"/>
      <c r="CNF79" s="684"/>
      <c r="CNG79" s="684"/>
      <c r="CNH79" s="684"/>
      <c r="CNI79" s="684"/>
      <c r="CNJ79" s="684"/>
      <c r="CNK79" s="684"/>
      <c r="CNL79" s="684"/>
      <c r="CNM79" s="684"/>
      <c r="CNN79" s="684"/>
      <c r="CNO79" s="684"/>
      <c r="CNP79" s="684"/>
      <c r="CNQ79" s="684"/>
      <c r="CNR79" s="684"/>
      <c r="CNS79" s="684"/>
      <c r="CNT79" s="684"/>
      <c r="CNU79" s="684"/>
      <c r="CNV79" s="684"/>
      <c r="CNW79" s="684"/>
      <c r="CNX79" s="684"/>
      <c r="CNY79" s="684"/>
      <c r="CNZ79" s="684"/>
      <c r="COA79" s="684"/>
      <c r="COB79" s="684"/>
      <c r="COC79" s="684"/>
      <c r="COD79" s="684"/>
      <c r="COE79" s="684"/>
      <c r="COF79" s="684"/>
      <c r="COG79" s="684"/>
      <c r="COH79" s="684"/>
      <c r="COI79" s="684"/>
      <c r="COJ79" s="684"/>
      <c r="COK79" s="684"/>
      <c r="COL79" s="684"/>
      <c r="COM79" s="684"/>
      <c r="CON79" s="684"/>
      <c r="COO79" s="684"/>
      <c r="COP79" s="684"/>
      <c r="COQ79" s="684"/>
      <c r="COR79" s="684"/>
      <c r="COS79" s="684"/>
      <c r="COT79" s="684"/>
      <c r="COU79" s="684"/>
      <c r="COV79" s="684"/>
      <c r="COW79" s="684"/>
      <c r="COX79" s="684"/>
      <c r="COY79" s="684"/>
      <c r="COZ79" s="684"/>
      <c r="CPA79" s="684"/>
      <c r="CPB79" s="684"/>
      <c r="CPC79" s="684"/>
      <c r="CPD79" s="684"/>
      <c r="CPE79" s="684"/>
      <c r="CPF79" s="684"/>
      <c r="CPG79" s="684"/>
      <c r="CPH79" s="684"/>
      <c r="CPI79" s="684"/>
      <c r="CPJ79" s="684"/>
      <c r="CPK79" s="684"/>
      <c r="CPL79" s="684"/>
      <c r="CPM79" s="684"/>
      <c r="CPN79" s="684"/>
      <c r="CPO79" s="684"/>
      <c r="CPP79" s="684"/>
      <c r="CPQ79" s="684"/>
      <c r="CPR79" s="684"/>
      <c r="CPS79" s="684"/>
      <c r="CPT79" s="684"/>
      <c r="CPU79" s="684"/>
      <c r="CPV79" s="684"/>
      <c r="CPW79" s="684"/>
      <c r="CPX79" s="684"/>
      <c r="CPY79" s="684"/>
      <c r="CPZ79" s="684"/>
      <c r="CQA79" s="684"/>
      <c r="CQB79" s="684"/>
      <c r="CQC79" s="684"/>
      <c r="CQD79" s="684"/>
      <c r="CQE79" s="684"/>
      <c r="CQF79" s="684"/>
      <c r="CQG79" s="684"/>
      <c r="CQH79" s="684"/>
      <c r="CQI79" s="684"/>
      <c r="CQJ79" s="684"/>
      <c r="CQK79" s="684"/>
      <c r="CQL79" s="684"/>
      <c r="CQM79" s="684"/>
      <c r="CQN79" s="684"/>
      <c r="CQO79" s="684"/>
      <c r="CQP79" s="684"/>
      <c r="CQQ79" s="684"/>
      <c r="CQR79" s="684"/>
      <c r="CQS79" s="684"/>
      <c r="CQT79" s="684"/>
      <c r="CQU79" s="684"/>
      <c r="CQV79" s="684"/>
      <c r="CQW79" s="684"/>
      <c r="CQX79" s="684"/>
      <c r="CQY79" s="684"/>
      <c r="CQZ79" s="684"/>
      <c r="CRA79" s="684"/>
      <c r="CRB79" s="684"/>
      <c r="CRC79" s="684"/>
      <c r="CRD79" s="684"/>
      <c r="CRE79" s="684"/>
      <c r="CRF79" s="684"/>
      <c r="CRG79" s="684"/>
      <c r="CRH79" s="684"/>
      <c r="CRI79" s="684"/>
      <c r="CRJ79" s="684"/>
      <c r="CRK79" s="684"/>
      <c r="CRL79" s="684"/>
      <c r="CRM79" s="684"/>
      <c r="CRN79" s="684"/>
      <c r="CRO79" s="684"/>
      <c r="CRP79" s="684"/>
      <c r="CRQ79" s="684"/>
      <c r="CRR79" s="684"/>
      <c r="CRS79" s="684"/>
      <c r="CRT79" s="684"/>
      <c r="CRU79" s="684"/>
      <c r="CRV79" s="684"/>
      <c r="CRW79" s="684"/>
      <c r="CRX79" s="684"/>
      <c r="CRY79" s="684"/>
      <c r="CRZ79" s="684"/>
      <c r="CSA79" s="684"/>
      <c r="CSB79" s="684"/>
      <c r="CSC79" s="684"/>
      <c r="CSD79" s="684"/>
      <c r="CSE79" s="684"/>
      <c r="CSF79" s="684"/>
      <c r="CSG79" s="684"/>
      <c r="CSH79" s="684"/>
      <c r="CSI79" s="684"/>
      <c r="CSJ79" s="684"/>
      <c r="CSK79" s="684"/>
      <c r="CSL79" s="684"/>
      <c r="CSM79" s="684"/>
      <c r="CSN79" s="684"/>
      <c r="CSO79" s="684"/>
      <c r="CSP79" s="684"/>
      <c r="CSQ79" s="684"/>
      <c r="CSR79" s="684"/>
      <c r="CSS79" s="684"/>
      <c r="CST79" s="684"/>
      <c r="CSU79" s="684"/>
      <c r="CSV79" s="684"/>
      <c r="CSW79" s="684"/>
      <c r="CSX79" s="684"/>
      <c r="CSY79" s="684"/>
      <c r="CSZ79" s="684"/>
      <c r="CTA79" s="684"/>
      <c r="CTB79" s="684"/>
      <c r="CTC79" s="684"/>
      <c r="CTD79" s="684"/>
      <c r="CTE79" s="684"/>
      <c r="CTF79" s="684"/>
      <c r="CTG79" s="684"/>
      <c r="CTH79" s="684"/>
      <c r="CTI79" s="684"/>
      <c r="CTJ79" s="684"/>
      <c r="CTK79" s="684"/>
      <c r="CTL79" s="684"/>
      <c r="CTM79" s="684"/>
      <c r="CTN79" s="684"/>
      <c r="CTO79" s="684"/>
      <c r="CTP79" s="684"/>
      <c r="CTQ79" s="684"/>
      <c r="CTR79" s="684"/>
      <c r="CTS79" s="684"/>
      <c r="CTT79" s="684"/>
      <c r="CTU79" s="684"/>
      <c r="CTV79" s="684"/>
      <c r="CTW79" s="684"/>
      <c r="CTX79" s="684"/>
      <c r="CTY79" s="684"/>
      <c r="CTZ79" s="684"/>
      <c r="CUA79" s="684"/>
      <c r="CUB79" s="684"/>
      <c r="CUC79" s="684"/>
      <c r="CUD79" s="684"/>
      <c r="CUE79" s="684"/>
      <c r="CUF79" s="684"/>
      <c r="CUG79" s="684"/>
      <c r="CUH79" s="684"/>
      <c r="CUI79" s="684"/>
      <c r="CUJ79" s="684"/>
      <c r="CUK79" s="684"/>
      <c r="CUL79" s="684"/>
      <c r="CUM79" s="684"/>
      <c r="CUN79" s="684"/>
      <c r="CUO79" s="684"/>
      <c r="CUP79" s="684"/>
      <c r="CUQ79" s="684"/>
      <c r="CUR79" s="684"/>
      <c r="CUS79" s="684"/>
      <c r="CUT79" s="684"/>
      <c r="CUU79" s="684"/>
      <c r="CUV79" s="684"/>
      <c r="CUW79" s="684"/>
      <c r="CUX79" s="684"/>
      <c r="CUY79" s="684"/>
      <c r="CUZ79" s="684"/>
      <c r="CVA79" s="684"/>
      <c r="CVB79" s="684"/>
      <c r="CVC79" s="684"/>
      <c r="CVD79" s="684"/>
      <c r="CVE79" s="684"/>
      <c r="CVF79" s="684"/>
      <c r="CVG79" s="684"/>
      <c r="CVH79" s="684"/>
      <c r="CVI79" s="684"/>
      <c r="CVJ79" s="684"/>
      <c r="CVK79" s="684"/>
      <c r="CVL79" s="684"/>
      <c r="CVM79" s="684"/>
      <c r="CVN79" s="684"/>
      <c r="CVO79" s="684"/>
      <c r="CVP79" s="684"/>
      <c r="CVQ79" s="684"/>
      <c r="CVR79" s="684"/>
      <c r="CVS79" s="684"/>
      <c r="CVT79" s="684"/>
      <c r="CVU79" s="684"/>
      <c r="CVV79" s="684"/>
      <c r="CVW79" s="684"/>
      <c r="CVX79" s="684"/>
      <c r="CVY79" s="684"/>
      <c r="CVZ79" s="684"/>
      <c r="CWA79" s="684"/>
      <c r="CWB79" s="684"/>
      <c r="CWC79" s="684"/>
      <c r="CWD79" s="684"/>
      <c r="CWE79" s="684"/>
      <c r="CWF79" s="684"/>
      <c r="CWG79" s="684"/>
      <c r="CWH79" s="684"/>
      <c r="CWI79" s="684"/>
      <c r="CWJ79" s="684"/>
      <c r="CWK79" s="684"/>
      <c r="CWL79" s="684"/>
      <c r="CWM79" s="684"/>
      <c r="CWN79" s="684"/>
      <c r="CWO79" s="684"/>
      <c r="CWP79" s="684"/>
      <c r="CWQ79" s="684"/>
      <c r="CWR79" s="684"/>
      <c r="CWS79" s="684"/>
      <c r="CWT79" s="684"/>
      <c r="CWU79" s="684"/>
      <c r="CWV79" s="684"/>
      <c r="CWW79" s="684"/>
      <c r="CWX79" s="684"/>
      <c r="CWY79" s="684"/>
      <c r="CWZ79" s="684"/>
      <c r="CXA79" s="684"/>
      <c r="CXB79" s="684"/>
      <c r="CXC79" s="684"/>
      <c r="CXD79" s="684"/>
      <c r="CXE79" s="684"/>
      <c r="CXF79" s="684"/>
      <c r="CXG79" s="684"/>
      <c r="CXH79" s="684"/>
      <c r="CXI79" s="684"/>
      <c r="CXJ79" s="684"/>
      <c r="CXK79" s="684"/>
      <c r="CXL79" s="684"/>
      <c r="CXM79" s="684"/>
      <c r="CXN79" s="684"/>
      <c r="CXO79" s="684"/>
      <c r="CXP79" s="684"/>
      <c r="CXQ79" s="684"/>
      <c r="CXR79" s="684"/>
      <c r="CXS79" s="684"/>
      <c r="CXT79" s="684"/>
      <c r="CXU79" s="684"/>
      <c r="CXV79" s="684"/>
      <c r="CXW79" s="684"/>
      <c r="CXX79" s="684"/>
      <c r="CXY79" s="684"/>
      <c r="CXZ79" s="684"/>
      <c r="CYA79" s="684"/>
      <c r="CYB79" s="684"/>
      <c r="CYC79" s="684"/>
      <c r="CYD79" s="684"/>
      <c r="CYE79" s="684"/>
      <c r="CYF79" s="684"/>
      <c r="CYG79" s="684"/>
      <c r="CYH79" s="684"/>
      <c r="CYI79" s="684"/>
      <c r="CYJ79" s="684"/>
      <c r="CYK79" s="684"/>
      <c r="CYL79" s="684"/>
      <c r="CYM79" s="684"/>
      <c r="CYN79" s="684"/>
      <c r="CYO79" s="684"/>
      <c r="CYP79" s="684"/>
      <c r="CYQ79" s="684"/>
      <c r="CYR79" s="684"/>
      <c r="CYS79" s="684"/>
      <c r="CYT79" s="684"/>
      <c r="CYU79" s="684"/>
      <c r="CYV79" s="684"/>
      <c r="CYW79" s="684"/>
      <c r="CYX79" s="684"/>
      <c r="CYY79" s="684"/>
      <c r="CYZ79" s="684"/>
      <c r="CZA79" s="684"/>
      <c r="CZB79" s="684"/>
      <c r="CZC79" s="684"/>
      <c r="CZD79" s="684"/>
      <c r="CZE79" s="684"/>
      <c r="CZF79" s="684"/>
      <c r="CZG79" s="684"/>
      <c r="CZH79" s="684"/>
      <c r="CZI79" s="684"/>
      <c r="CZJ79" s="684"/>
      <c r="CZK79" s="684"/>
      <c r="CZL79" s="684"/>
      <c r="CZM79" s="684"/>
      <c r="CZN79" s="684"/>
      <c r="CZO79" s="684"/>
      <c r="CZP79" s="684"/>
      <c r="CZQ79" s="684"/>
      <c r="CZR79" s="684"/>
      <c r="CZS79" s="684"/>
      <c r="CZT79" s="684"/>
      <c r="CZU79" s="684"/>
      <c r="CZV79" s="684"/>
      <c r="CZW79" s="684"/>
      <c r="CZX79" s="684"/>
      <c r="CZY79" s="684"/>
      <c r="CZZ79" s="684"/>
      <c r="DAA79" s="684"/>
      <c r="DAB79" s="684"/>
      <c r="DAC79" s="684"/>
      <c r="DAD79" s="684"/>
      <c r="DAE79" s="684"/>
      <c r="DAF79" s="684"/>
      <c r="DAG79" s="684"/>
      <c r="DAH79" s="684"/>
      <c r="DAI79" s="684"/>
      <c r="DAJ79" s="684"/>
      <c r="DAK79" s="684"/>
      <c r="DAL79" s="684"/>
      <c r="DAM79" s="684"/>
      <c r="DAN79" s="684"/>
      <c r="DAO79" s="684"/>
      <c r="DAP79" s="684"/>
      <c r="DAQ79" s="684"/>
      <c r="DAR79" s="684"/>
      <c r="DAS79" s="684"/>
      <c r="DAT79" s="684"/>
      <c r="DAU79" s="684"/>
      <c r="DAV79" s="684"/>
      <c r="DAW79" s="684"/>
      <c r="DAX79" s="684"/>
      <c r="DAY79" s="684"/>
      <c r="DAZ79" s="684"/>
      <c r="DBA79" s="684"/>
      <c r="DBB79" s="684"/>
      <c r="DBC79" s="684"/>
      <c r="DBD79" s="684"/>
      <c r="DBE79" s="684"/>
      <c r="DBF79" s="684"/>
      <c r="DBG79" s="684"/>
      <c r="DBH79" s="684"/>
      <c r="DBI79" s="684"/>
      <c r="DBJ79" s="684"/>
      <c r="DBK79" s="684"/>
      <c r="DBL79" s="684"/>
      <c r="DBM79" s="684"/>
      <c r="DBN79" s="684"/>
      <c r="DBO79" s="684"/>
      <c r="DBP79" s="684"/>
      <c r="DBQ79" s="684"/>
      <c r="DBR79" s="684"/>
      <c r="DBS79" s="684"/>
      <c r="DBT79" s="684"/>
      <c r="DBU79" s="684"/>
      <c r="DBV79" s="684"/>
      <c r="DBW79" s="684"/>
      <c r="DBX79" s="684"/>
      <c r="DBY79" s="684"/>
      <c r="DBZ79" s="684"/>
      <c r="DCA79" s="684"/>
      <c r="DCB79" s="684"/>
      <c r="DCC79" s="684"/>
      <c r="DCD79" s="684"/>
      <c r="DCE79" s="684"/>
      <c r="DCF79" s="684"/>
      <c r="DCG79" s="684"/>
      <c r="DCH79" s="684"/>
      <c r="DCI79" s="684"/>
      <c r="DCJ79" s="684"/>
      <c r="DCK79" s="684"/>
      <c r="DCL79" s="684"/>
      <c r="DCM79" s="684"/>
      <c r="DCN79" s="684"/>
      <c r="DCO79" s="684"/>
      <c r="DCP79" s="684"/>
      <c r="DCQ79" s="684"/>
      <c r="DCR79" s="684"/>
      <c r="DCS79" s="684"/>
      <c r="DCT79" s="684"/>
      <c r="DCU79" s="684"/>
      <c r="DCV79" s="684"/>
      <c r="DCW79" s="684"/>
      <c r="DCX79" s="684"/>
      <c r="DCY79" s="684"/>
      <c r="DCZ79" s="684"/>
      <c r="DDA79" s="684"/>
      <c r="DDB79" s="684"/>
      <c r="DDC79" s="684"/>
      <c r="DDD79" s="684"/>
      <c r="DDE79" s="684"/>
      <c r="DDF79" s="684"/>
      <c r="DDG79" s="684"/>
      <c r="DDH79" s="684"/>
      <c r="DDI79" s="684"/>
      <c r="DDJ79" s="684"/>
      <c r="DDK79" s="684"/>
      <c r="DDL79" s="684"/>
      <c r="DDM79" s="684"/>
      <c r="DDN79" s="684"/>
      <c r="DDO79" s="684"/>
      <c r="DDP79" s="684"/>
      <c r="DDQ79" s="684"/>
      <c r="DDR79" s="684"/>
      <c r="DDS79" s="684"/>
      <c r="DDT79" s="684"/>
      <c r="DDU79" s="684"/>
      <c r="DDV79" s="684"/>
      <c r="DDW79" s="684"/>
      <c r="DDX79" s="684"/>
      <c r="DDY79" s="684"/>
      <c r="DDZ79" s="684"/>
      <c r="DEA79" s="684"/>
      <c r="DEB79" s="684"/>
      <c r="DEC79" s="684"/>
      <c r="DED79" s="684"/>
      <c r="DEE79" s="684"/>
      <c r="DEF79" s="684"/>
      <c r="DEG79" s="684"/>
      <c r="DEH79" s="684"/>
      <c r="DEI79" s="684"/>
      <c r="DEJ79" s="684"/>
      <c r="DEK79" s="684"/>
      <c r="DEL79" s="684"/>
      <c r="DEM79" s="684"/>
      <c r="DEN79" s="684"/>
      <c r="DEO79" s="684"/>
      <c r="DEP79" s="684"/>
      <c r="DEQ79" s="684"/>
      <c r="DER79" s="684"/>
      <c r="DES79" s="684"/>
      <c r="DET79" s="684"/>
      <c r="DEU79" s="684"/>
      <c r="DEV79" s="684"/>
      <c r="DEW79" s="684"/>
      <c r="DEX79" s="684"/>
      <c r="DEY79" s="684"/>
      <c r="DEZ79" s="684"/>
      <c r="DFA79" s="684"/>
      <c r="DFB79" s="684"/>
      <c r="DFC79" s="684"/>
      <c r="DFD79" s="684"/>
      <c r="DFE79" s="684"/>
      <c r="DFF79" s="684"/>
      <c r="DFG79" s="684"/>
      <c r="DFH79" s="684"/>
      <c r="DFI79" s="684"/>
      <c r="DFJ79" s="684"/>
      <c r="DFK79" s="684"/>
      <c r="DFL79" s="684"/>
      <c r="DFM79" s="684"/>
      <c r="DFN79" s="684"/>
      <c r="DFO79" s="684"/>
      <c r="DFP79" s="684"/>
      <c r="DFQ79" s="684"/>
      <c r="DFR79" s="684"/>
      <c r="DFS79" s="684"/>
      <c r="DFT79" s="684"/>
      <c r="DFU79" s="684"/>
      <c r="DFV79" s="684"/>
      <c r="DFW79" s="684"/>
      <c r="DFX79" s="684"/>
      <c r="DFY79" s="684"/>
      <c r="DFZ79" s="684"/>
      <c r="DGA79" s="684"/>
      <c r="DGB79" s="684"/>
      <c r="DGC79" s="684"/>
      <c r="DGD79" s="684"/>
      <c r="DGE79" s="684"/>
      <c r="DGF79" s="684"/>
      <c r="DGG79" s="684"/>
      <c r="DGH79" s="684"/>
      <c r="DGI79" s="684"/>
      <c r="DGJ79" s="684"/>
      <c r="DGK79" s="684"/>
      <c r="DGL79" s="684"/>
      <c r="DGM79" s="684"/>
      <c r="DGN79" s="684"/>
      <c r="DGO79" s="684"/>
      <c r="DGP79" s="684"/>
      <c r="DGQ79" s="684"/>
      <c r="DGR79" s="684"/>
      <c r="DGS79" s="684"/>
      <c r="DGT79" s="684"/>
      <c r="DGU79" s="684"/>
      <c r="DGV79" s="684"/>
      <c r="DGW79" s="684"/>
      <c r="DGX79" s="684"/>
      <c r="DGY79" s="684"/>
      <c r="DGZ79" s="684"/>
      <c r="DHA79" s="684"/>
      <c r="DHB79" s="684"/>
      <c r="DHC79" s="684"/>
      <c r="DHD79" s="684"/>
      <c r="DHE79" s="684"/>
      <c r="DHF79" s="684"/>
      <c r="DHG79" s="684"/>
      <c r="DHH79" s="684"/>
      <c r="DHI79" s="684"/>
      <c r="DHJ79" s="684"/>
      <c r="DHK79" s="684"/>
      <c r="DHL79" s="684"/>
      <c r="DHM79" s="684"/>
      <c r="DHN79" s="684"/>
      <c r="DHO79" s="684"/>
      <c r="DHP79" s="684"/>
      <c r="DHQ79" s="684"/>
      <c r="DHR79" s="684"/>
      <c r="DHS79" s="684"/>
      <c r="DHT79" s="684"/>
      <c r="DHU79" s="684"/>
      <c r="DHV79" s="684"/>
      <c r="DHW79" s="684"/>
      <c r="DHX79" s="684"/>
      <c r="DHY79" s="684"/>
      <c r="DHZ79" s="684"/>
      <c r="DIA79" s="684"/>
      <c r="DIB79" s="684"/>
      <c r="DIC79" s="684"/>
      <c r="DID79" s="684"/>
      <c r="DIE79" s="684"/>
      <c r="DIF79" s="684"/>
      <c r="DIG79" s="684"/>
      <c r="DIH79" s="684"/>
      <c r="DII79" s="684"/>
      <c r="DIJ79" s="684"/>
      <c r="DIK79" s="684"/>
      <c r="DIL79" s="684"/>
      <c r="DIM79" s="684"/>
      <c r="DIN79" s="684"/>
      <c r="DIO79" s="684"/>
      <c r="DIP79" s="684"/>
      <c r="DIQ79" s="684"/>
      <c r="DIR79" s="684"/>
      <c r="DIS79" s="684"/>
      <c r="DIT79" s="684"/>
      <c r="DIU79" s="684"/>
      <c r="DIV79" s="684"/>
      <c r="DIW79" s="684"/>
      <c r="DIX79" s="684"/>
      <c r="DIY79" s="684"/>
      <c r="DIZ79" s="684"/>
      <c r="DJA79" s="684"/>
      <c r="DJB79" s="684"/>
      <c r="DJC79" s="684"/>
      <c r="DJD79" s="684"/>
      <c r="DJE79" s="684"/>
      <c r="DJF79" s="684"/>
      <c r="DJG79" s="684"/>
      <c r="DJH79" s="684"/>
      <c r="DJI79" s="684"/>
      <c r="DJJ79" s="684"/>
      <c r="DJK79" s="684"/>
      <c r="DJL79" s="684"/>
      <c r="DJM79" s="684"/>
      <c r="DJN79" s="684"/>
      <c r="DJO79" s="684"/>
      <c r="DJP79" s="684"/>
      <c r="DJQ79" s="684"/>
      <c r="DJR79" s="684"/>
      <c r="DJS79" s="684"/>
      <c r="DJT79" s="684"/>
      <c r="DJU79" s="684"/>
      <c r="DJV79" s="684"/>
      <c r="DJW79" s="684"/>
      <c r="DJX79" s="684"/>
      <c r="DJY79" s="684"/>
      <c r="DJZ79" s="684"/>
      <c r="DKA79" s="684"/>
      <c r="DKB79" s="684"/>
      <c r="DKC79" s="684"/>
      <c r="DKD79" s="684"/>
      <c r="DKE79" s="684"/>
      <c r="DKF79" s="684"/>
      <c r="DKG79" s="684"/>
      <c r="DKH79" s="684"/>
      <c r="DKI79" s="684"/>
      <c r="DKJ79" s="684"/>
      <c r="DKK79" s="684"/>
      <c r="DKL79" s="684"/>
      <c r="DKM79" s="684"/>
      <c r="DKN79" s="684"/>
      <c r="DKO79" s="684"/>
      <c r="DKP79" s="684"/>
      <c r="DKQ79" s="684"/>
      <c r="DKR79" s="684"/>
      <c r="DKS79" s="684"/>
      <c r="DKT79" s="684"/>
      <c r="DKU79" s="684"/>
      <c r="DKV79" s="684"/>
      <c r="DKW79" s="684"/>
      <c r="DKX79" s="684"/>
      <c r="DKY79" s="684"/>
      <c r="DKZ79" s="684"/>
      <c r="DLA79" s="684"/>
      <c r="DLB79" s="684"/>
      <c r="DLC79" s="684"/>
      <c r="DLD79" s="684"/>
      <c r="DLE79" s="684"/>
      <c r="DLF79" s="684"/>
      <c r="DLG79" s="684"/>
      <c r="DLH79" s="684"/>
      <c r="DLI79" s="684"/>
      <c r="DLJ79" s="684"/>
      <c r="DLK79" s="684"/>
      <c r="DLL79" s="684"/>
      <c r="DLM79" s="684"/>
      <c r="DLN79" s="684"/>
      <c r="DLO79" s="684"/>
      <c r="DLP79" s="684"/>
      <c r="DLQ79" s="684"/>
      <c r="DLR79" s="684"/>
      <c r="DLS79" s="684"/>
      <c r="DLT79" s="684"/>
      <c r="DLU79" s="684"/>
      <c r="DLV79" s="684"/>
      <c r="DLW79" s="684"/>
      <c r="DLX79" s="684"/>
      <c r="DLY79" s="684"/>
      <c r="DLZ79" s="684"/>
      <c r="DMA79" s="684"/>
      <c r="DMB79" s="684"/>
      <c r="DMC79" s="684"/>
      <c r="DMD79" s="684"/>
      <c r="DME79" s="684"/>
      <c r="DMF79" s="684"/>
      <c r="DMG79" s="684"/>
      <c r="DMH79" s="684"/>
      <c r="DMI79" s="684"/>
      <c r="DMJ79" s="684"/>
      <c r="DMK79" s="684"/>
      <c r="DML79" s="684"/>
      <c r="DMM79" s="684"/>
      <c r="DMN79" s="684"/>
      <c r="DMO79" s="684"/>
      <c r="DMP79" s="684"/>
      <c r="DMQ79" s="684"/>
      <c r="DMR79" s="684"/>
      <c r="DMS79" s="684"/>
      <c r="DMT79" s="684"/>
      <c r="DMU79" s="684"/>
      <c r="DMV79" s="684"/>
      <c r="DMW79" s="684"/>
      <c r="DMX79" s="684"/>
      <c r="DMY79" s="684"/>
      <c r="DMZ79" s="684"/>
      <c r="DNA79" s="684"/>
      <c r="DNB79" s="684"/>
      <c r="DNC79" s="684"/>
      <c r="DND79" s="684"/>
      <c r="DNE79" s="684"/>
      <c r="DNF79" s="684"/>
      <c r="DNG79" s="684"/>
      <c r="DNH79" s="684"/>
      <c r="DNI79" s="684"/>
      <c r="DNJ79" s="684"/>
      <c r="DNK79" s="684"/>
      <c r="DNL79" s="684"/>
      <c r="DNM79" s="684"/>
      <c r="DNN79" s="684"/>
      <c r="DNO79" s="684"/>
      <c r="DNP79" s="684"/>
      <c r="DNQ79" s="684"/>
      <c r="DNR79" s="684"/>
      <c r="DNS79" s="684"/>
      <c r="DNT79" s="684"/>
      <c r="DNU79" s="684"/>
      <c r="DNV79" s="684"/>
      <c r="DNW79" s="684"/>
      <c r="DNX79" s="684"/>
      <c r="DNY79" s="684"/>
      <c r="DNZ79" s="684"/>
      <c r="DOA79" s="684"/>
      <c r="DOB79" s="684"/>
      <c r="DOC79" s="684"/>
      <c r="DOD79" s="684"/>
      <c r="DOE79" s="684"/>
      <c r="DOF79" s="684"/>
      <c r="DOG79" s="684"/>
      <c r="DOH79" s="684"/>
      <c r="DOI79" s="684"/>
      <c r="DOJ79" s="684"/>
      <c r="DOK79" s="684"/>
      <c r="DOL79" s="684"/>
      <c r="DOM79" s="684"/>
      <c r="DON79" s="684"/>
      <c r="DOO79" s="684"/>
      <c r="DOP79" s="684"/>
      <c r="DOQ79" s="684"/>
      <c r="DOR79" s="684"/>
      <c r="DOS79" s="684"/>
      <c r="DOT79" s="684"/>
      <c r="DOU79" s="684"/>
      <c r="DOV79" s="684"/>
      <c r="DOW79" s="684"/>
      <c r="DOX79" s="684"/>
      <c r="DOY79" s="684"/>
      <c r="DOZ79" s="684"/>
      <c r="DPA79" s="684"/>
      <c r="DPB79" s="684"/>
      <c r="DPC79" s="684"/>
      <c r="DPD79" s="684"/>
      <c r="DPE79" s="684"/>
      <c r="DPF79" s="684"/>
      <c r="DPG79" s="684"/>
      <c r="DPH79" s="684"/>
      <c r="DPI79" s="684"/>
      <c r="DPJ79" s="684"/>
      <c r="DPK79" s="684"/>
      <c r="DPL79" s="684"/>
      <c r="DPM79" s="684"/>
      <c r="DPN79" s="684"/>
      <c r="DPO79" s="684"/>
      <c r="DPP79" s="684"/>
      <c r="DPQ79" s="684"/>
      <c r="DPR79" s="684"/>
      <c r="DPS79" s="684"/>
      <c r="DPT79" s="684"/>
      <c r="DPU79" s="684"/>
      <c r="DPV79" s="684"/>
      <c r="DPW79" s="684"/>
      <c r="DPX79" s="684"/>
      <c r="DPY79" s="684"/>
      <c r="DPZ79" s="684"/>
      <c r="DQA79" s="684"/>
      <c r="DQB79" s="684"/>
      <c r="DQC79" s="684"/>
      <c r="DQD79" s="684"/>
      <c r="DQE79" s="684"/>
      <c r="DQF79" s="684"/>
      <c r="DQG79" s="684"/>
      <c r="DQH79" s="684"/>
      <c r="DQI79" s="684"/>
      <c r="DQJ79" s="684"/>
      <c r="DQK79" s="684"/>
      <c r="DQL79" s="684"/>
      <c r="DQM79" s="684"/>
      <c r="DQN79" s="684"/>
      <c r="DQO79" s="684"/>
      <c r="DQP79" s="684"/>
      <c r="DQQ79" s="684"/>
      <c r="DQR79" s="684"/>
      <c r="DQS79" s="684"/>
      <c r="DQT79" s="684"/>
      <c r="DQU79" s="684"/>
      <c r="DQV79" s="684"/>
      <c r="DQW79" s="684"/>
      <c r="DQX79" s="684"/>
      <c r="DQY79" s="684"/>
      <c r="DQZ79" s="684"/>
      <c r="DRA79" s="684"/>
      <c r="DRB79" s="684"/>
      <c r="DRC79" s="684"/>
      <c r="DRD79" s="684"/>
      <c r="DRE79" s="684"/>
      <c r="DRF79" s="684"/>
      <c r="DRG79" s="684"/>
      <c r="DRH79" s="684"/>
      <c r="DRI79" s="684"/>
      <c r="DRJ79" s="684"/>
      <c r="DRK79" s="684"/>
      <c r="DRL79" s="684"/>
      <c r="DRM79" s="684"/>
      <c r="DRN79" s="684"/>
      <c r="DRO79" s="684"/>
      <c r="DRP79" s="684"/>
      <c r="DRQ79" s="684"/>
      <c r="DRR79" s="684"/>
      <c r="DRS79" s="684"/>
      <c r="DRT79" s="684"/>
      <c r="DRU79" s="684"/>
      <c r="DRV79" s="684"/>
      <c r="DRW79" s="684"/>
      <c r="DRX79" s="684"/>
      <c r="DRY79" s="684"/>
      <c r="DRZ79" s="684"/>
      <c r="DSA79" s="684"/>
      <c r="DSB79" s="684"/>
      <c r="DSC79" s="684"/>
      <c r="DSD79" s="684"/>
      <c r="DSE79" s="684"/>
      <c r="DSF79" s="684"/>
      <c r="DSG79" s="684"/>
      <c r="DSH79" s="684"/>
      <c r="DSI79" s="684"/>
      <c r="DSJ79" s="684"/>
      <c r="DSK79" s="684"/>
      <c r="DSL79" s="684"/>
      <c r="DSM79" s="684"/>
      <c r="DSN79" s="684"/>
      <c r="DSO79" s="684"/>
      <c r="DSP79" s="684"/>
      <c r="DSQ79" s="684"/>
      <c r="DSR79" s="684"/>
      <c r="DSS79" s="684"/>
      <c r="DST79" s="684"/>
      <c r="DSU79" s="684"/>
      <c r="DSV79" s="684"/>
      <c r="DSW79" s="684"/>
      <c r="DSX79" s="684"/>
      <c r="DSY79" s="684"/>
      <c r="DSZ79" s="684"/>
      <c r="DTA79" s="684"/>
      <c r="DTB79" s="684"/>
      <c r="DTC79" s="684"/>
      <c r="DTD79" s="684"/>
      <c r="DTE79" s="684"/>
      <c r="DTF79" s="684"/>
      <c r="DTG79" s="684"/>
      <c r="DTH79" s="684"/>
      <c r="DTI79" s="684"/>
      <c r="DTJ79" s="684"/>
      <c r="DTK79" s="684"/>
      <c r="DTL79" s="684"/>
      <c r="DTM79" s="684"/>
      <c r="DTN79" s="684"/>
      <c r="DTO79" s="684"/>
      <c r="DTP79" s="684"/>
      <c r="DTQ79" s="684"/>
      <c r="DTR79" s="684"/>
      <c r="DTS79" s="684"/>
      <c r="DTT79" s="684"/>
      <c r="DTU79" s="684"/>
      <c r="DTV79" s="684"/>
      <c r="DTW79" s="684"/>
      <c r="DTX79" s="684"/>
      <c r="DTY79" s="684"/>
      <c r="DTZ79" s="684"/>
      <c r="DUA79" s="684"/>
      <c r="DUB79" s="684"/>
      <c r="DUC79" s="684"/>
      <c r="DUD79" s="684"/>
      <c r="DUE79" s="684"/>
      <c r="DUF79" s="684"/>
      <c r="DUG79" s="684"/>
      <c r="DUH79" s="684"/>
      <c r="DUI79" s="684"/>
      <c r="DUJ79" s="684"/>
      <c r="DUK79" s="684"/>
      <c r="DUL79" s="684"/>
      <c r="DUM79" s="684"/>
      <c r="DUN79" s="684"/>
      <c r="DUO79" s="684"/>
      <c r="DUP79" s="684"/>
      <c r="DUQ79" s="684"/>
      <c r="DUR79" s="684"/>
      <c r="DUS79" s="684"/>
      <c r="DUT79" s="684"/>
      <c r="DUU79" s="684"/>
      <c r="DUV79" s="684"/>
      <c r="DUW79" s="684"/>
      <c r="DUX79" s="684"/>
      <c r="DUY79" s="684"/>
      <c r="DUZ79" s="684"/>
      <c r="DVA79" s="684"/>
      <c r="DVB79" s="684"/>
      <c r="DVC79" s="684"/>
      <c r="DVD79" s="684"/>
      <c r="DVE79" s="684"/>
      <c r="DVF79" s="684"/>
      <c r="DVG79" s="684"/>
      <c r="DVH79" s="684"/>
      <c r="DVI79" s="684"/>
      <c r="DVJ79" s="684"/>
      <c r="DVK79" s="684"/>
      <c r="DVL79" s="684"/>
      <c r="DVM79" s="684"/>
      <c r="DVN79" s="684"/>
      <c r="DVO79" s="684"/>
      <c r="DVP79" s="684"/>
      <c r="DVQ79" s="684"/>
      <c r="DVR79" s="684"/>
      <c r="DVS79" s="684"/>
      <c r="DVT79" s="684"/>
      <c r="DVU79" s="684"/>
      <c r="DVV79" s="684"/>
      <c r="DVW79" s="684"/>
      <c r="DVX79" s="684"/>
      <c r="DVY79" s="684"/>
      <c r="DVZ79" s="684"/>
      <c r="DWA79" s="684"/>
      <c r="DWB79" s="684"/>
      <c r="DWC79" s="684"/>
      <c r="DWD79" s="684"/>
      <c r="DWE79" s="684"/>
      <c r="DWF79" s="684"/>
      <c r="DWG79" s="684"/>
      <c r="DWH79" s="684"/>
      <c r="DWI79" s="684"/>
      <c r="DWJ79" s="684"/>
      <c r="DWK79" s="684"/>
      <c r="DWL79" s="684"/>
      <c r="DWM79" s="684"/>
      <c r="DWN79" s="684"/>
      <c r="DWO79" s="684"/>
      <c r="DWP79" s="684"/>
      <c r="DWQ79" s="684"/>
      <c r="DWR79" s="684"/>
      <c r="DWS79" s="684"/>
      <c r="DWT79" s="684"/>
      <c r="DWU79" s="684"/>
      <c r="DWV79" s="684"/>
      <c r="DWW79" s="684"/>
      <c r="DWX79" s="684"/>
      <c r="DWY79" s="684"/>
      <c r="DWZ79" s="684"/>
      <c r="DXA79" s="684"/>
      <c r="DXB79" s="684"/>
      <c r="DXC79" s="684"/>
      <c r="DXD79" s="684"/>
      <c r="DXE79" s="684"/>
      <c r="DXF79" s="684"/>
      <c r="DXG79" s="684"/>
      <c r="DXH79" s="684"/>
      <c r="DXI79" s="684"/>
      <c r="DXJ79" s="684"/>
      <c r="DXK79" s="684"/>
      <c r="DXL79" s="684"/>
      <c r="DXM79" s="684"/>
      <c r="DXN79" s="684"/>
      <c r="DXO79" s="684"/>
      <c r="DXP79" s="684"/>
      <c r="DXQ79" s="684"/>
      <c r="DXR79" s="684"/>
      <c r="DXS79" s="684"/>
      <c r="DXT79" s="684"/>
      <c r="DXU79" s="684"/>
      <c r="DXV79" s="684"/>
      <c r="DXW79" s="684"/>
      <c r="DXX79" s="684"/>
      <c r="DXY79" s="684"/>
      <c r="DXZ79" s="684"/>
      <c r="DYA79" s="684"/>
      <c r="DYB79" s="684"/>
      <c r="DYC79" s="684"/>
      <c r="DYD79" s="684"/>
      <c r="DYE79" s="684"/>
      <c r="DYF79" s="684"/>
      <c r="DYG79" s="684"/>
      <c r="DYH79" s="684"/>
      <c r="DYI79" s="684"/>
      <c r="DYJ79" s="684"/>
      <c r="DYK79" s="684"/>
      <c r="DYL79" s="684"/>
      <c r="DYM79" s="684"/>
      <c r="DYN79" s="684"/>
      <c r="DYO79" s="684"/>
      <c r="DYP79" s="684"/>
      <c r="DYQ79" s="684"/>
      <c r="DYR79" s="684"/>
      <c r="DYS79" s="684"/>
      <c r="DYT79" s="684"/>
      <c r="DYU79" s="684"/>
      <c r="DYV79" s="684"/>
      <c r="DYW79" s="684"/>
      <c r="DYX79" s="684"/>
      <c r="DYY79" s="684"/>
      <c r="DYZ79" s="684"/>
      <c r="DZA79" s="684"/>
      <c r="DZB79" s="684"/>
      <c r="DZC79" s="684"/>
      <c r="DZD79" s="684"/>
      <c r="DZE79" s="684"/>
      <c r="DZF79" s="684"/>
      <c r="DZG79" s="684"/>
      <c r="DZH79" s="684"/>
      <c r="DZI79" s="684"/>
      <c r="DZJ79" s="684"/>
      <c r="DZK79" s="684"/>
      <c r="DZL79" s="684"/>
      <c r="DZM79" s="684"/>
      <c r="DZN79" s="684"/>
      <c r="DZO79" s="684"/>
      <c r="DZP79" s="684"/>
      <c r="DZQ79" s="684"/>
      <c r="DZR79" s="684"/>
      <c r="DZS79" s="684"/>
      <c r="DZT79" s="684"/>
      <c r="DZU79" s="684"/>
      <c r="DZV79" s="684"/>
      <c r="DZW79" s="684"/>
      <c r="DZX79" s="684"/>
      <c r="DZY79" s="684"/>
      <c r="DZZ79" s="684"/>
      <c r="EAA79" s="684"/>
      <c r="EAB79" s="684"/>
      <c r="EAC79" s="684"/>
      <c r="EAD79" s="684"/>
      <c r="EAE79" s="684"/>
      <c r="EAF79" s="684"/>
      <c r="EAG79" s="684"/>
      <c r="EAH79" s="684"/>
      <c r="EAI79" s="684"/>
      <c r="EAJ79" s="684"/>
      <c r="EAK79" s="684"/>
      <c r="EAL79" s="684"/>
      <c r="EAM79" s="684"/>
      <c r="EAN79" s="684"/>
      <c r="EAO79" s="684"/>
      <c r="EAP79" s="684"/>
      <c r="EAQ79" s="684"/>
      <c r="EAR79" s="684"/>
      <c r="EAS79" s="684"/>
      <c r="EAT79" s="684"/>
      <c r="EAU79" s="684"/>
      <c r="EAV79" s="684"/>
      <c r="EAW79" s="684"/>
      <c r="EAX79" s="684"/>
      <c r="EAY79" s="684"/>
      <c r="EAZ79" s="684"/>
      <c r="EBA79" s="684"/>
      <c r="EBB79" s="684"/>
      <c r="EBC79" s="684"/>
      <c r="EBD79" s="684"/>
      <c r="EBE79" s="684"/>
      <c r="EBF79" s="684"/>
      <c r="EBG79" s="684"/>
      <c r="EBH79" s="684"/>
      <c r="EBI79" s="684"/>
      <c r="EBJ79" s="684"/>
      <c r="EBK79" s="684"/>
      <c r="EBL79" s="684"/>
      <c r="EBM79" s="684"/>
      <c r="EBN79" s="684"/>
      <c r="EBO79" s="684"/>
      <c r="EBP79" s="684"/>
      <c r="EBQ79" s="684"/>
      <c r="EBR79" s="684"/>
      <c r="EBS79" s="684"/>
      <c r="EBT79" s="684"/>
      <c r="EBU79" s="684"/>
      <c r="EBV79" s="684"/>
      <c r="EBW79" s="684"/>
      <c r="EBX79" s="684"/>
      <c r="EBY79" s="684"/>
      <c r="EBZ79" s="684"/>
      <c r="ECA79" s="684"/>
      <c r="ECB79" s="684"/>
      <c r="ECC79" s="684"/>
      <c r="ECD79" s="684"/>
      <c r="ECE79" s="684"/>
      <c r="ECF79" s="684"/>
      <c r="ECG79" s="684"/>
      <c r="ECH79" s="684"/>
      <c r="ECI79" s="684"/>
      <c r="ECJ79" s="684"/>
      <c r="ECK79" s="684"/>
      <c r="ECL79" s="684"/>
      <c r="ECM79" s="684"/>
      <c r="ECN79" s="684"/>
      <c r="ECO79" s="684"/>
      <c r="ECP79" s="684"/>
      <c r="ECQ79" s="684"/>
      <c r="ECR79" s="684"/>
      <c r="ECS79" s="684"/>
      <c r="ECT79" s="684"/>
      <c r="ECU79" s="684"/>
      <c r="ECV79" s="684"/>
      <c r="ECW79" s="684"/>
      <c r="ECX79" s="684"/>
      <c r="ECY79" s="684"/>
      <c r="ECZ79" s="684"/>
      <c r="EDA79" s="684"/>
      <c r="EDB79" s="684"/>
      <c r="EDC79" s="684"/>
      <c r="EDD79" s="684"/>
      <c r="EDE79" s="684"/>
      <c r="EDF79" s="684"/>
      <c r="EDG79" s="684"/>
      <c r="EDH79" s="684"/>
      <c r="EDI79" s="684"/>
      <c r="EDJ79" s="684"/>
      <c r="EDK79" s="684"/>
      <c r="EDL79" s="684"/>
      <c r="EDM79" s="684"/>
      <c r="EDN79" s="684"/>
      <c r="EDO79" s="684"/>
      <c r="EDP79" s="684"/>
      <c r="EDQ79" s="684"/>
      <c r="EDR79" s="684"/>
      <c r="EDS79" s="684"/>
      <c r="EDT79" s="684"/>
      <c r="EDU79" s="684"/>
      <c r="EDV79" s="684"/>
      <c r="EDW79" s="684"/>
      <c r="EDX79" s="684"/>
      <c r="EDY79" s="684"/>
      <c r="EDZ79" s="684"/>
      <c r="EEA79" s="684"/>
      <c r="EEB79" s="684"/>
      <c r="EEC79" s="684"/>
      <c r="EED79" s="684"/>
      <c r="EEE79" s="684"/>
      <c r="EEF79" s="684"/>
      <c r="EEG79" s="684"/>
      <c r="EEH79" s="684"/>
      <c r="EEI79" s="684"/>
      <c r="EEJ79" s="684"/>
      <c r="EEK79" s="684"/>
      <c r="EEL79" s="684"/>
      <c r="EEM79" s="684"/>
      <c r="EEN79" s="684"/>
      <c r="EEO79" s="684"/>
      <c r="EEP79" s="684"/>
      <c r="EEQ79" s="684"/>
      <c r="EER79" s="684"/>
      <c r="EES79" s="684"/>
      <c r="EET79" s="684"/>
      <c r="EEU79" s="684"/>
      <c r="EEV79" s="684"/>
      <c r="EEW79" s="684"/>
      <c r="EEX79" s="684"/>
      <c r="EEY79" s="684"/>
      <c r="EEZ79" s="684"/>
      <c r="EFA79" s="684"/>
      <c r="EFB79" s="684"/>
      <c r="EFC79" s="684"/>
      <c r="EFD79" s="684"/>
      <c r="EFE79" s="684"/>
      <c r="EFF79" s="684"/>
      <c r="EFG79" s="684"/>
      <c r="EFH79" s="684"/>
      <c r="EFI79" s="684"/>
      <c r="EFJ79" s="684"/>
      <c r="EFK79" s="684"/>
      <c r="EFL79" s="684"/>
      <c r="EFM79" s="684"/>
      <c r="EFN79" s="684"/>
      <c r="EFO79" s="684"/>
      <c r="EFP79" s="684"/>
      <c r="EFQ79" s="684"/>
      <c r="EFR79" s="684"/>
      <c r="EFS79" s="684"/>
      <c r="EFT79" s="684"/>
      <c r="EFU79" s="684"/>
      <c r="EFV79" s="684"/>
      <c r="EFW79" s="684"/>
      <c r="EFX79" s="684"/>
      <c r="EFY79" s="684"/>
      <c r="EFZ79" s="684"/>
      <c r="EGA79" s="684"/>
      <c r="EGB79" s="684"/>
      <c r="EGC79" s="684"/>
      <c r="EGD79" s="684"/>
      <c r="EGE79" s="684"/>
      <c r="EGF79" s="684"/>
      <c r="EGG79" s="684"/>
      <c r="EGH79" s="684"/>
      <c r="EGI79" s="684"/>
      <c r="EGJ79" s="684"/>
      <c r="EGK79" s="684"/>
      <c r="EGL79" s="684"/>
      <c r="EGM79" s="684"/>
      <c r="EGN79" s="684"/>
      <c r="EGO79" s="684"/>
      <c r="EGP79" s="684"/>
      <c r="EGQ79" s="684"/>
      <c r="EGR79" s="684"/>
      <c r="EGS79" s="684"/>
      <c r="EGT79" s="684"/>
      <c r="EGU79" s="684"/>
      <c r="EGV79" s="684"/>
      <c r="EGW79" s="684"/>
      <c r="EGX79" s="684"/>
      <c r="EGY79" s="684"/>
      <c r="EGZ79" s="684"/>
      <c r="EHA79" s="684"/>
      <c r="EHB79" s="684"/>
      <c r="EHC79" s="684"/>
      <c r="EHD79" s="684"/>
      <c r="EHE79" s="684"/>
      <c r="EHF79" s="684"/>
      <c r="EHG79" s="684"/>
      <c r="EHH79" s="684"/>
      <c r="EHI79" s="684"/>
      <c r="EHJ79" s="684"/>
      <c r="EHK79" s="684"/>
      <c r="EHL79" s="684"/>
      <c r="EHM79" s="684"/>
      <c r="EHN79" s="684"/>
      <c r="EHO79" s="684"/>
      <c r="EHP79" s="684"/>
      <c r="EHQ79" s="684"/>
      <c r="EHR79" s="684"/>
      <c r="EHS79" s="684"/>
      <c r="EHT79" s="684"/>
      <c r="EHU79" s="684"/>
      <c r="EHV79" s="684"/>
      <c r="EHW79" s="684"/>
      <c r="EHX79" s="684"/>
      <c r="EHY79" s="684"/>
      <c r="EHZ79" s="684"/>
      <c r="EIA79" s="684"/>
      <c r="EIB79" s="684"/>
      <c r="EIC79" s="684"/>
      <c r="EID79" s="684"/>
      <c r="EIE79" s="684"/>
      <c r="EIF79" s="684"/>
      <c r="EIG79" s="684"/>
      <c r="EIH79" s="684"/>
      <c r="EII79" s="684"/>
      <c r="EIJ79" s="684"/>
      <c r="EIK79" s="684"/>
      <c r="EIL79" s="684"/>
      <c r="EIM79" s="684"/>
      <c r="EIN79" s="684"/>
      <c r="EIO79" s="684"/>
      <c r="EIP79" s="684"/>
      <c r="EIQ79" s="684"/>
      <c r="EIR79" s="684"/>
      <c r="EIS79" s="684"/>
      <c r="EIT79" s="684"/>
      <c r="EIU79" s="684"/>
      <c r="EIV79" s="684"/>
      <c r="EIW79" s="684"/>
      <c r="EIX79" s="684"/>
      <c r="EIY79" s="684"/>
      <c r="EIZ79" s="684"/>
      <c r="EJA79" s="684"/>
      <c r="EJB79" s="684"/>
      <c r="EJC79" s="684"/>
      <c r="EJD79" s="684"/>
      <c r="EJE79" s="684"/>
      <c r="EJF79" s="684"/>
      <c r="EJG79" s="684"/>
      <c r="EJH79" s="684"/>
      <c r="EJI79" s="684"/>
      <c r="EJJ79" s="684"/>
      <c r="EJK79" s="684"/>
      <c r="EJL79" s="684"/>
      <c r="EJM79" s="684"/>
      <c r="EJN79" s="684"/>
      <c r="EJO79" s="684"/>
      <c r="EJP79" s="684"/>
      <c r="EJQ79" s="684"/>
      <c r="EJR79" s="684"/>
      <c r="EJS79" s="684"/>
      <c r="EJT79" s="684"/>
      <c r="EJU79" s="684"/>
      <c r="EJV79" s="684"/>
      <c r="EJW79" s="684"/>
      <c r="EJX79" s="684"/>
      <c r="EJY79" s="684"/>
      <c r="EJZ79" s="684"/>
      <c r="EKA79" s="684"/>
      <c r="EKB79" s="684"/>
      <c r="EKC79" s="684"/>
      <c r="EKD79" s="684"/>
      <c r="EKE79" s="684"/>
      <c r="EKF79" s="684"/>
      <c r="EKG79" s="684"/>
      <c r="EKH79" s="684"/>
      <c r="EKI79" s="684"/>
      <c r="EKJ79" s="684"/>
      <c r="EKK79" s="684"/>
      <c r="EKL79" s="684"/>
      <c r="EKM79" s="684"/>
      <c r="EKN79" s="684"/>
      <c r="EKO79" s="684"/>
      <c r="EKP79" s="684"/>
      <c r="EKQ79" s="684"/>
      <c r="EKR79" s="684"/>
      <c r="EKS79" s="684"/>
      <c r="EKT79" s="684"/>
      <c r="EKU79" s="684"/>
      <c r="EKV79" s="684"/>
      <c r="EKW79" s="684"/>
      <c r="EKX79" s="684"/>
      <c r="EKY79" s="684"/>
      <c r="EKZ79" s="684"/>
      <c r="ELA79" s="684"/>
      <c r="ELB79" s="684"/>
      <c r="ELC79" s="684"/>
      <c r="ELD79" s="684"/>
      <c r="ELE79" s="684"/>
      <c r="ELF79" s="684"/>
      <c r="ELG79" s="684"/>
      <c r="ELH79" s="684"/>
      <c r="ELI79" s="684"/>
      <c r="ELJ79" s="684"/>
      <c r="ELK79" s="684"/>
      <c r="ELL79" s="684"/>
      <c r="ELM79" s="684"/>
      <c r="ELN79" s="684"/>
      <c r="ELO79" s="684"/>
      <c r="ELP79" s="684"/>
      <c r="ELQ79" s="684"/>
      <c r="ELR79" s="684"/>
      <c r="ELS79" s="684"/>
      <c r="ELT79" s="684"/>
      <c r="ELU79" s="684"/>
      <c r="ELV79" s="684"/>
      <c r="ELW79" s="684"/>
      <c r="ELX79" s="684"/>
      <c r="ELY79" s="684"/>
      <c r="ELZ79" s="684"/>
      <c r="EMA79" s="684"/>
      <c r="EMB79" s="684"/>
      <c r="EMC79" s="684"/>
      <c r="EMD79" s="684"/>
      <c r="EME79" s="684"/>
      <c r="EMF79" s="684"/>
      <c r="EMG79" s="684"/>
      <c r="EMH79" s="684"/>
      <c r="EMI79" s="684"/>
      <c r="EMJ79" s="684"/>
      <c r="EMK79" s="684"/>
      <c r="EML79" s="684"/>
      <c r="EMM79" s="684"/>
      <c r="EMN79" s="684"/>
      <c r="EMO79" s="684"/>
      <c r="EMP79" s="684"/>
      <c r="EMQ79" s="684"/>
      <c r="EMR79" s="684"/>
      <c r="EMS79" s="684"/>
      <c r="EMT79" s="684"/>
      <c r="EMU79" s="684"/>
      <c r="EMV79" s="684"/>
      <c r="EMW79" s="684"/>
      <c r="EMX79" s="684"/>
      <c r="EMY79" s="684"/>
      <c r="EMZ79" s="684"/>
      <c r="ENA79" s="684"/>
      <c r="ENB79" s="684"/>
      <c r="ENC79" s="684"/>
      <c r="END79" s="684"/>
      <c r="ENE79" s="684"/>
      <c r="ENF79" s="684"/>
      <c r="ENG79" s="684"/>
      <c r="ENH79" s="684"/>
      <c r="ENI79" s="684"/>
      <c r="ENJ79" s="684"/>
      <c r="ENK79" s="684"/>
      <c r="ENL79" s="684"/>
      <c r="ENM79" s="684"/>
      <c r="ENN79" s="684"/>
      <c r="ENO79" s="684"/>
      <c r="ENP79" s="684"/>
      <c r="ENQ79" s="684"/>
      <c r="ENR79" s="684"/>
      <c r="ENS79" s="684"/>
      <c r="ENT79" s="684"/>
      <c r="ENU79" s="684"/>
      <c r="ENV79" s="684"/>
      <c r="ENW79" s="684"/>
      <c r="ENX79" s="684"/>
      <c r="ENY79" s="684"/>
      <c r="ENZ79" s="684"/>
      <c r="EOA79" s="684"/>
      <c r="EOB79" s="684"/>
      <c r="EOC79" s="684"/>
      <c r="EOD79" s="684"/>
      <c r="EOE79" s="684"/>
      <c r="EOF79" s="684"/>
      <c r="EOG79" s="684"/>
      <c r="EOH79" s="684"/>
      <c r="EOI79" s="684"/>
      <c r="EOJ79" s="684"/>
      <c r="EOK79" s="684"/>
      <c r="EOL79" s="684"/>
      <c r="EOM79" s="684"/>
      <c r="EON79" s="684"/>
      <c r="EOO79" s="684"/>
      <c r="EOP79" s="684"/>
      <c r="EOQ79" s="684"/>
      <c r="EOR79" s="684"/>
      <c r="EOS79" s="684"/>
      <c r="EOT79" s="684"/>
      <c r="EOU79" s="684"/>
      <c r="EOV79" s="684"/>
      <c r="EOW79" s="684"/>
      <c r="EOX79" s="684"/>
      <c r="EOY79" s="684"/>
      <c r="EOZ79" s="684"/>
      <c r="EPA79" s="684"/>
      <c r="EPB79" s="684"/>
      <c r="EPC79" s="684"/>
      <c r="EPD79" s="684"/>
      <c r="EPE79" s="684"/>
      <c r="EPF79" s="684"/>
      <c r="EPG79" s="684"/>
      <c r="EPH79" s="684"/>
      <c r="EPI79" s="684"/>
      <c r="EPJ79" s="684"/>
      <c r="EPK79" s="684"/>
      <c r="EPL79" s="684"/>
      <c r="EPM79" s="684"/>
      <c r="EPN79" s="684"/>
      <c r="EPO79" s="684"/>
      <c r="EPP79" s="684"/>
      <c r="EPQ79" s="684"/>
      <c r="EPR79" s="684"/>
      <c r="EPS79" s="684"/>
      <c r="EPT79" s="684"/>
      <c r="EPU79" s="684"/>
      <c r="EPV79" s="684"/>
      <c r="EPW79" s="684"/>
      <c r="EPX79" s="684"/>
      <c r="EPY79" s="684"/>
      <c r="EPZ79" s="684"/>
      <c r="EQA79" s="684"/>
      <c r="EQB79" s="684"/>
      <c r="EQC79" s="684"/>
      <c r="EQD79" s="684"/>
      <c r="EQE79" s="684"/>
      <c r="EQF79" s="684"/>
      <c r="EQG79" s="684"/>
      <c r="EQH79" s="684"/>
      <c r="EQI79" s="684"/>
      <c r="EQJ79" s="684"/>
      <c r="EQK79" s="684"/>
      <c r="EQL79" s="684"/>
      <c r="EQM79" s="684"/>
      <c r="EQN79" s="684"/>
      <c r="EQO79" s="684"/>
      <c r="EQP79" s="684"/>
      <c r="EQQ79" s="684"/>
      <c r="EQR79" s="684"/>
      <c r="EQS79" s="684"/>
      <c r="EQT79" s="684"/>
      <c r="EQU79" s="684"/>
      <c r="EQV79" s="684"/>
      <c r="EQW79" s="684"/>
      <c r="EQX79" s="684"/>
      <c r="EQY79" s="684"/>
      <c r="EQZ79" s="684"/>
      <c r="ERA79" s="684"/>
      <c r="ERB79" s="684"/>
      <c r="ERC79" s="684"/>
      <c r="ERD79" s="684"/>
      <c r="ERE79" s="684"/>
      <c r="ERF79" s="684"/>
      <c r="ERG79" s="684"/>
      <c r="ERH79" s="684"/>
      <c r="ERI79" s="684"/>
      <c r="ERJ79" s="684"/>
      <c r="ERK79" s="684"/>
      <c r="ERL79" s="684"/>
      <c r="ERM79" s="684"/>
      <c r="ERN79" s="684"/>
      <c r="ERO79" s="684"/>
      <c r="ERP79" s="684"/>
      <c r="ERQ79" s="684"/>
      <c r="ERR79" s="684"/>
      <c r="ERS79" s="684"/>
      <c r="ERT79" s="684"/>
      <c r="ERU79" s="684"/>
      <c r="ERV79" s="684"/>
      <c r="ERW79" s="684"/>
      <c r="ERX79" s="684"/>
      <c r="ERY79" s="684"/>
      <c r="ERZ79" s="684"/>
      <c r="ESA79" s="684"/>
      <c r="ESB79" s="684"/>
      <c r="ESC79" s="684"/>
      <c r="ESD79" s="684"/>
      <c r="ESE79" s="684"/>
      <c r="ESF79" s="684"/>
      <c r="ESG79" s="684"/>
      <c r="ESH79" s="684"/>
      <c r="ESI79" s="684"/>
      <c r="ESJ79" s="684"/>
      <c r="ESK79" s="684"/>
      <c r="ESL79" s="684"/>
      <c r="ESM79" s="684"/>
      <c r="ESN79" s="684"/>
      <c r="ESO79" s="684"/>
      <c r="ESP79" s="684"/>
      <c r="ESQ79" s="684"/>
      <c r="ESR79" s="684"/>
      <c r="ESS79" s="684"/>
      <c r="EST79" s="684"/>
      <c r="ESU79" s="684"/>
      <c r="ESV79" s="684"/>
      <c r="ESW79" s="684"/>
      <c r="ESX79" s="684"/>
      <c r="ESY79" s="684"/>
      <c r="ESZ79" s="684"/>
      <c r="ETA79" s="684"/>
      <c r="ETB79" s="684"/>
      <c r="ETC79" s="684"/>
      <c r="ETD79" s="684"/>
      <c r="ETE79" s="684"/>
      <c r="ETF79" s="684"/>
      <c r="ETG79" s="684"/>
      <c r="ETH79" s="684"/>
      <c r="ETI79" s="684"/>
      <c r="ETJ79" s="684"/>
      <c r="ETK79" s="684"/>
      <c r="ETL79" s="684"/>
      <c r="ETM79" s="684"/>
      <c r="ETN79" s="684"/>
      <c r="ETO79" s="684"/>
      <c r="ETP79" s="684"/>
      <c r="ETQ79" s="684"/>
      <c r="ETR79" s="684"/>
      <c r="ETS79" s="684"/>
      <c r="ETT79" s="684"/>
      <c r="ETU79" s="684"/>
      <c r="ETV79" s="684"/>
      <c r="ETW79" s="684"/>
      <c r="ETX79" s="684"/>
      <c r="ETY79" s="684"/>
      <c r="ETZ79" s="684"/>
      <c r="EUA79" s="684"/>
      <c r="EUB79" s="684"/>
      <c r="EUC79" s="684"/>
      <c r="EUD79" s="684"/>
      <c r="EUE79" s="684"/>
      <c r="EUF79" s="684"/>
      <c r="EUG79" s="684"/>
      <c r="EUH79" s="684"/>
      <c r="EUI79" s="684"/>
      <c r="EUJ79" s="684"/>
      <c r="EUK79" s="684"/>
      <c r="EUL79" s="684"/>
      <c r="EUM79" s="684"/>
      <c r="EUN79" s="684"/>
      <c r="EUO79" s="684"/>
      <c r="EUP79" s="684"/>
      <c r="EUQ79" s="684"/>
      <c r="EUR79" s="684"/>
      <c r="EUS79" s="684"/>
      <c r="EUT79" s="684"/>
      <c r="EUU79" s="684"/>
      <c r="EUV79" s="684"/>
      <c r="EUW79" s="684"/>
      <c r="EUX79" s="684"/>
      <c r="EUY79" s="684"/>
      <c r="EUZ79" s="684"/>
      <c r="EVA79" s="684"/>
      <c r="EVB79" s="684"/>
      <c r="EVC79" s="684"/>
      <c r="EVD79" s="684"/>
      <c r="EVE79" s="684"/>
      <c r="EVF79" s="684"/>
      <c r="EVG79" s="684"/>
      <c r="EVH79" s="684"/>
      <c r="EVI79" s="684"/>
      <c r="EVJ79" s="684"/>
      <c r="EVK79" s="684"/>
      <c r="EVL79" s="684"/>
      <c r="EVM79" s="684"/>
      <c r="EVN79" s="684"/>
      <c r="EVO79" s="684"/>
      <c r="EVP79" s="684"/>
      <c r="EVQ79" s="684"/>
      <c r="EVR79" s="684"/>
      <c r="EVS79" s="684"/>
      <c r="EVT79" s="684"/>
      <c r="EVU79" s="684"/>
      <c r="EVV79" s="684"/>
      <c r="EVW79" s="684"/>
      <c r="EVX79" s="684"/>
      <c r="EVY79" s="684"/>
      <c r="EVZ79" s="684"/>
      <c r="EWA79" s="684"/>
      <c r="EWB79" s="684"/>
      <c r="EWC79" s="684"/>
      <c r="EWD79" s="684"/>
      <c r="EWE79" s="684"/>
      <c r="EWF79" s="684"/>
      <c r="EWG79" s="684"/>
      <c r="EWH79" s="684"/>
      <c r="EWI79" s="684"/>
      <c r="EWJ79" s="684"/>
      <c r="EWK79" s="684"/>
      <c r="EWL79" s="684"/>
      <c r="EWM79" s="684"/>
      <c r="EWN79" s="684"/>
      <c r="EWO79" s="684"/>
      <c r="EWP79" s="684"/>
      <c r="EWQ79" s="684"/>
      <c r="EWR79" s="684"/>
      <c r="EWS79" s="684"/>
      <c r="EWT79" s="684"/>
      <c r="EWU79" s="684"/>
      <c r="EWV79" s="684"/>
      <c r="EWW79" s="684"/>
      <c r="EWX79" s="684"/>
      <c r="EWY79" s="684"/>
      <c r="EWZ79" s="684"/>
      <c r="EXA79" s="684"/>
      <c r="EXB79" s="684"/>
      <c r="EXC79" s="684"/>
      <c r="EXD79" s="684"/>
      <c r="EXE79" s="684"/>
      <c r="EXF79" s="684"/>
      <c r="EXG79" s="684"/>
      <c r="EXH79" s="684"/>
      <c r="EXI79" s="684"/>
      <c r="EXJ79" s="684"/>
      <c r="EXK79" s="684"/>
      <c r="EXL79" s="684"/>
      <c r="EXM79" s="684"/>
      <c r="EXN79" s="684"/>
      <c r="EXO79" s="684"/>
      <c r="EXP79" s="684"/>
      <c r="EXQ79" s="684"/>
      <c r="EXR79" s="684"/>
      <c r="EXS79" s="684"/>
      <c r="EXT79" s="684"/>
      <c r="EXU79" s="684"/>
      <c r="EXV79" s="684"/>
      <c r="EXW79" s="684"/>
      <c r="EXX79" s="684"/>
      <c r="EXY79" s="684"/>
      <c r="EXZ79" s="684"/>
      <c r="EYA79" s="684"/>
      <c r="EYB79" s="684"/>
      <c r="EYC79" s="684"/>
      <c r="EYD79" s="684"/>
      <c r="EYE79" s="684"/>
      <c r="EYF79" s="684"/>
      <c r="EYG79" s="684"/>
      <c r="EYH79" s="684"/>
      <c r="EYI79" s="684"/>
      <c r="EYJ79" s="684"/>
      <c r="EYK79" s="684"/>
      <c r="EYL79" s="684"/>
      <c r="EYM79" s="684"/>
      <c r="EYN79" s="684"/>
      <c r="EYO79" s="684"/>
      <c r="EYP79" s="684"/>
      <c r="EYQ79" s="684"/>
      <c r="EYR79" s="684"/>
      <c r="EYS79" s="684"/>
      <c r="EYT79" s="684"/>
      <c r="EYU79" s="684"/>
      <c r="EYV79" s="684"/>
      <c r="EYW79" s="684"/>
      <c r="EYX79" s="684"/>
      <c r="EYY79" s="684"/>
      <c r="EYZ79" s="684"/>
      <c r="EZA79" s="684"/>
      <c r="EZB79" s="684"/>
      <c r="EZC79" s="684"/>
      <c r="EZD79" s="684"/>
      <c r="EZE79" s="684"/>
      <c r="EZF79" s="684"/>
      <c r="EZG79" s="684"/>
      <c r="EZH79" s="684"/>
      <c r="EZI79" s="684"/>
      <c r="EZJ79" s="684"/>
      <c r="EZK79" s="684"/>
      <c r="EZL79" s="684"/>
      <c r="EZM79" s="684"/>
      <c r="EZN79" s="684"/>
      <c r="EZO79" s="684"/>
      <c r="EZP79" s="684"/>
      <c r="EZQ79" s="684"/>
      <c r="EZR79" s="684"/>
      <c r="EZS79" s="684"/>
      <c r="EZT79" s="684"/>
      <c r="EZU79" s="684"/>
      <c r="EZV79" s="684"/>
      <c r="EZW79" s="684"/>
      <c r="EZX79" s="684"/>
      <c r="EZY79" s="684"/>
      <c r="EZZ79" s="684"/>
      <c r="FAA79" s="684"/>
      <c r="FAB79" s="684"/>
      <c r="FAC79" s="684"/>
      <c r="FAD79" s="684"/>
      <c r="FAE79" s="684"/>
      <c r="FAF79" s="684"/>
      <c r="FAG79" s="684"/>
      <c r="FAH79" s="684"/>
      <c r="FAI79" s="684"/>
      <c r="FAJ79" s="684"/>
      <c r="FAK79" s="684"/>
      <c r="FAL79" s="684"/>
      <c r="FAM79" s="684"/>
      <c r="FAN79" s="684"/>
      <c r="FAO79" s="684"/>
      <c r="FAP79" s="684"/>
      <c r="FAQ79" s="684"/>
      <c r="FAR79" s="684"/>
      <c r="FAS79" s="684"/>
      <c r="FAT79" s="684"/>
      <c r="FAU79" s="684"/>
      <c r="FAV79" s="684"/>
      <c r="FAW79" s="684"/>
      <c r="FAX79" s="684"/>
      <c r="FAY79" s="684"/>
      <c r="FAZ79" s="684"/>
      <c r="FBA79" s="684"/>
      <c r="FBB79" s="684"/>
      <c r="FBC79" s="684"/>
      <c r="FBD79" s="684"/>
      <c r="FBE79" s="684"/>
      <c r="FBF79" s="684"/>
      <c r="FBG79" s="684"/>
      <c r="FBH79" s="684"/>
      <c r="FBI79" s="684"/>
      <c r="FBJ79" s="684"/>
      <c r="FBK79" s="684"/>
      <c r="FBL79" s="684"/>
      <c r="FBM79" s="684"/>
      <c r="FBN79" s="684"/>
      <c r="FBO79" s="684"/>
      <c r="FBP79" s="684"/>
      <c r="FBQ79" s="684"/>
      <c r="FBR79" s="684"/>
      <c r="FBS79" s="684"/>
      <c r="FBT79" s="684"/>
      <c r="FBU79" s="684"/>
      <c r="FBV79" s="684"/>
      <c r="FBW79" s="684"/>
      <c r="FBX79" s="684"/>
      <c r="FBY79" s="684"/>
      <c r="FBZ79" s="684"/>
      <c r="FCA79" s="684"/>
      <c r="FCB79" s="684"/>
      <c r="FCC79" s="684"/>
      <c r="FCD79" s="684"/>
      <c r="FCE79" s="684"/>
      <c r="FCF79" s="684"/>
      <c r="FCG79" s="684"/>
      <c r="FCH79" s="684"/>
      <c r="FCI79" s="684"/>
      <c r="FCJ79" s="684"/>
      <c r="FCK79" s="684"/>
      <c r="FCL79" s="684"/>
      <c r="FCM79" s="684"/>
      <c r="FCN79" s="684"/>
      <c r="FCO79" s="684"/>
      <c r="FCP79" s="684"/>
      <c r="FCQ79" s="684"/>
      <c r="FCR79" s="684"/>
      <c r="FCS79" s="684"/>
      <c r="FCT79" s="684"/>
      <c r="FCU79" s="684"/>
      <c r="FCV79" s="684"/>
      <c r="FCW79" s="684"/>
      <c r="FCX79" s="684"/>
      <c r="FCY79" s="684"/>
      <c r="FCZ79" s="684"/>
      <c r="FDA79" s="684"/>
      <c r="FDB79" s="684"/>
      <c r="FDC79" s="684"/>
      <c r="FDD79" s="684"/>
      <c r="FDE79" s="684"/>
      <c r="FDF79" s="684"/>
      <c r="FDG79" s="684"/>
      <c r="FDH79" s="684"/>
      <c r="FDI79" s="684"/>
      <c r="FDJ79" s="684"/>
      <c r="FDK79" s="684"/>
      <c r="FDL79" s="684"/>
      <c r="FDM79" s="684"/>
      <c r="FDN79" s="684"/>
      <c r="FDO79" s="684"/>
      <c r="FDP79" s="684"/>
      <c r="FDQ79" s="684"/>
      <c r="FDR79" s="684"/>
      <c r="FDS79" s="684"/>
      <c r="FDT79" s="684"/>
      <c r="FDU79" s="684"/>
      <c r="FDV79" s="684"/>
      <c r="FDW79" s="684"/>
      <c r="FDX79" s="684"/>
      <c r="FDY79" s="684"/>
      <c r="FDZ79" s="684"/>
      <c r="FEA79" s="684"/>
      <c r="FEB79" s="684"/>
      <c r="FEC79" s="684"/>
      <c r="FED79" s="684"/>
      <c r="FEE79" s="684"/>
      <c r="FEF79" s="684"/>
      <c r="FEG79" s="684"/>
      <c r="FEH79" s="684"/>
      <c r="FEI79" s="684"/>
      <c r="FEJ79" s="684"/>
      <c r="FEK79" s="684"/>
      <c r="FEL79" s="684"/>
      <c r="FEM79" s="684"/>
      <c r="FEN79" s="684"/>
      <c r="FEO79" s="684"/>
      <c r="FEP79" s="684"/>
      <c r="FEQ79" s="684"/>
      <c r="FER79" s="684"/>
      <c r="FES79" s="684"/>
      <c r="FET79" s="684"/>
      <c r="FEU79" s="684"/>
      <c r="FEV79" s="684"/>
      <c r="FEW79" s="684"/>
      <c r="FEX79" s="684"/>
      <c r="FEY79" s="684"/>
      <c r="FEZ79" s="684"/>
      <c r="FFA79" s="684"/>
      <c r="FFB79" s="684"/>
      <c r="FFC79" s="684"/>
      <c r="FFD79" s="684"/>
      <c r="FFE79" s="684"/>
      <c r="FFF79" s="684"/>
      <c r="FFG79" s="684"/>
      <c r="FFH79" s="684"/>
      <c r="FFI79" s="684"/>
      <c r="FFJ79" s="684"/>
      <c r="FFK79" s="684"/>
      <c r="FFL79" s="684"/>
      <c r="FFM79" s="684"/>
      <c r="FFN79" s="684"/>
      <c r="FFO79" s="684"/>
      <c r="FFP79" s="684"/>
      <c r="FFQ79" s="684"/>
      <c r="FFR79" s="684"/>
      <c r="FFS79" s="684"/>
      <c r="FFT79" s="684"/>
      <c r="FFU79" s="684"/>
      <c r="FFV79" s="684"/>
      <c r="FFW79" s="684"/>
      <c r="FFX79" s="684"/>
      <c r="FFY79" s="684"/>
      <c r="FFZ79" s="684"/>
      <c r="FGA79" s="684"/>
      <c r="FGB79" s="684"/>
      <c r="FGC79" s="684"/>
      <c r="FGD79" s="684"/>
      <c r="FGE79" s="684"/>
      <c r="FGF79" s="684"/>
      <c r="FGG79" s="684"/>
      <c r="FGH79" s="684"/>
      <c r="FGI79" s="684"/>
      <c r="FGJ79" s="684"/>
      <c r="FGK79" s="684"/>
      <c r="FGL79" s="684"/>
      <c r="FGM79" s="684"/>
      <c r="FGN79" s="684"/>
      <c r="FGO79" s="684"/>
      <c r="FGP79" s="684"/>
      <c r="FGQ79" s="684"/>
      <c r="FGR79" s="684"/>
      <c r="FGS79" s="684"/>
      <c r="FGT79" s="684"/>
      <c r="FGU79" s="684"/>
      <c r="FGV79" s="684"/>
      <c r="FGW79" s="684"/>
      <c r="FGX79" s="684"/>
      <c r="FGY79" s="684"/>
      <c r="FGZ79" s="684"/>
      <c r="FHA79" s="684"/>
      <c r="FHB79" s="684"/>
      <c r="FHC79" s="684"/>
      <c r="FHD79" s="684"/>
      <c r="FHE79" s="684"/>
      <c r="FHF79" s="684"/>
      <c r="FHG79" s="684"/>
      <c r="FHH79" s="684"/>
      <c r="FHI79" s="684"/>
      <c r="FHJ79" s="684"/>
      <c r="FHK79" s="684"/>
      <c r="FHL79" s="684"/>
      <c r="FHM79" s="684"/>
      <c r="FHN79" s="684"/>
      <c r="FHO79" s="684"/>
      <c r="FHP79" s="684"/>
      <c r="FHQ79" s="684"/>
      <c r="FHR79" s="684"/>
      <c r="FHS79" s="684"/>
      <c r="FHT79" s="684"/>
      <c r="FHU79" s="684"/>
      <c r="FHV79" s="684"/>
      <c r="FHW79" s="684"/>
      <c r="FHX79" s="684"/>
      <c r="FHY79" s="684"/>
      <c r="FHZ79" s="684"/>
      <c r="FIA79" s="684"/>
      <c r="FIB79" s="684"/>
      <c r="FIC79" s="684"/>
      <c r="FID79" s="684"/>
      <c r="FIE79" s="684"/>
      <c r="FIF79" s="684"/>
      <c r="FIG79" s="684"/>
      <c r="FIH79" s="684"/>
      <c r="FII79" s="684"/>
      <c r="FIJ79" s="684"/>
      <c r="FIK79" s="684"/>
      <c r="FIL79" s="684"/>
      <c r="FIM79" s="684"/>
      <c r="FIN79" s="684"/>
      <c r="FIO79" s="684"/>
      <c r="FIP79" s="684"/>
      <c r="FIQ79" s="684"/>
      <c r="FIR79" s="684"/>
      <c r="FIS79" s="684"/>
      <c r="FIT79" s="684"/>
      <c r="FIU79" s="684"/>
      <c r="FIV79" s="684"/>
      <c r="FIW79" s="684"/>
      <c r="FIX79" s="684"/>
      <c r="FIY79" s="684"/>
      <c r="FIZ79" s="684"/>
      <c r="FJA79" s="684"/>
      <c r="FJB79" s="684"/>
      <c r="FJC79" s="684"/>
      <c r="FJD79" s="684"/>
      <c r="FJE79" s="684"/>
      <c r="FJF79" s="684"/>
      <c r="FJG79" s="684"/>
      <c r="FJH79" s="684"/>
      <c r="FJI79" s="684"/>
      <c r="FJJ79" s="684"/>
      <c r="FJK79" s="684"/>
      <c r="FJL79" s="684"/>
      <c r="FJM79" s="684"/>
      <c r="FJN79" s="684"/>
      <c r="FJO79" s="684"/>
      <c r="FJP79" s="684"/>
      <c r="FJQ79" s="684"/>
      <c r="FJR79" s="684"/>
      <c r="FJS79" s="684"/>
      <c r="FJT79" s="684"/>
      <c r="FJU79" s="684"/>
      <c r="FJV79" s="684"/>
      <c r="FJW79" s="684"/>
      <c r="FJX79" s="684"/>
      <c r="FJY79" s="684"/>
      <c r="FJZ79" s="684"/>
      <c r="FKA79" s="684"/>
      <c r="FKB79" s="684"/>
      <c r="FKC79" s="684"/>
      <c r="FKD79" s="684"/>
      <c r="FKE79" s="684"/>
      <c r="FKF79" s="684"/>
      <c r="FKG79" s="684"/>
      <c r="FKH79" s="684"/>
      <c r="FKI79" s="684"/>
      <c r="FKJ79" s="684"/>
      <c r="FKK79" s="684"/>
      <c r="FKL79" s="684"/>
      <c r="FKM79" s="684"/>
      <c r="FKN79" s="684"/>
      <c r="FKO79" s="684"/>
      <c r="FKP79" s="684"/>
      <c r="FKQ79" s="684"/>
      <c r="FKR79" s="684"/>
      <c r="FKS79" s="684"/>
      <c r="FKT79" s="684"/>
      <c r="FKU79" s="684"/>
      <c r="FKV79" s="684"/>
      <c r="FKW79" s="684"/>
      <c r="FKX79" s="684"/>
      <c r="FKY79" s="684"/>
      <c r="FKZ79" s="684"/>
      <c r="FLA79" s="684"/>
      <c r="FLB79" s="684"/>
      <c r="FLC79" s="684"/>
      <c r="FLD79" s="684"/>
      <c r="FLE79" s="684"/>
      <c r="FLF79" s="684"/>
      <c r="FLG79" s="684"/>
      <c r="FLH79" s="684"/>
      <c r="FLI79" s="684"/>
      <c r="FLJ79" s="684"/>
      <c r="FLK79" s="684"/>
      <c r="FLL79" s="684"/>
      <c r="FLM79" s="684"/>
      <c r="FLN79" s="684"/>
      <c r="FLO79" s="684"/>
      <c r="FLP79" s="684"/>
      <c r="FLQ79" s="684"/>
      <c r="FLR79" s="684"/>
      <c r="FLS79" s="684"/>
      <c r="FLT79" s="684"/>
      <c r="FLU79" s="684"/>
      <c r="FLV79" s="684"/>
      <c r="FLW79" s="684"/>
      <c r="FLX79" s="684"/>
      <c r="FLY79" s="684"/>
      <c r="FLZ79" s="684"/>
      <c r="FMA79" s="684"/>
      <c r="FMB79" s="684"/>
      <c r="FMC79" s="684"/>
      <c r="FMD79" s="684"/>
      <c r="FME79" s="684"/>
      <c r="FMF79" s="684"/>
      <c r="FMG79" s="684"/>
      <c r="FMH79" s="684"/>
      <c r="FMI79" s="684"/>
      <c r="FMJ79" s="684"/>
      <c r="FMK79" s="684"/>
      <c r="FML79" s="684"/>
      <c r="FMM79" s="684"/>
      <c r="FMN79" s="684"/>
      <c r="FMO79" s="684"/>
      <c r="FMP79" s="684"/>
      <c r="FMQ79" s="684"/>
      <c r="FMR79" s="684"/>
      <c r="FMS79" s="684"/>
      <c r="FMT79" s="684"/>
      <c r="FMU79" s="684"/>
      <c r="FMV79" s="684"/>
      <c r="FMW79" s="684"/>
      <c r="FMX79" s="684"/>
      <c r="FMY79" s="684"/>
      <c r="FMZ79" s="684"/>
      <c r="FNA79" s="684"/>
      <c r="FNB79" s="684"/>
      <c r="FNC79" s="684"/>
      <c r="FND79" s="684"/>
      <c r="FNE79" s="684"/>
      <c r="FNF79" s="684"/>
      <c r="FNG79" s="684"/>
      <c r="FNH79" s="684"/>
      <c r="FNI79" s="684"/>
      <c r="FNJ79" s="684"/>
      <c r="FNK79" s="684"/>
      <c r="FNL79" s="684"/>
      <c r="FNM79" s="684"/>
      <c r="FNN79" s="684"/>
      <c r="FNO79" s="684"/>
      <c r="FNP79" s="684"/>
      <c r="FNQ79" s="684"/>
      <c r="FNR79" s="684"/>
      <c r="FNS79" s="684"/>
      <c r="FNT79" s="684"/>
      <c r="FNU79" s="684"/>
      <c r="FNV79" s="684"/>
      <c r="FNW79" s="684"/>
      <c r="FNX79" s="684"/>
      <c r="FNY79" s="684"/>
      <c r="FNZ79" s="684"/>
      <c r="FOA79" s="684"/>
      <c r="FOB79" s="684"/>
      <c r="FOC79" s="684"/>
      <c r="FOD79" s="684"/>
      <c r="FOE79" s="684"/>
      <c r="FOF79" s="684"/>
      <c r="FOG79" s="684"/>
      <c r="FOH79" s="684"/>
      <c r="FOI79" s="684"/>
      <c r="FOJ79" s="684"/>
      <c r="FOK79" s="684"/>
      <c r="FOL79" s="684"/>
      <c r="FOM79" s="684"/>
      <c r="FON79" s="684"/>
      <c r="FOO79" s="684"/>
      <c r="FOP79" s="684"/>
      <c r="FOQ79" s="684"/>
      <c r="FOR79" s="684"/>
      <c r="FOS79" s="684"/>
      <c r="FOT79" s="684"/>
      <c r="FOU79" s="684"/>
      <c r="FOV79" s="684"/>
      <c r="FOW79" s="684"/>
      <c r="FOX79" s="684"/>
      <c r="FOY79" s="684"/>
      <c r="FOZ79" s="684"/>
      <c r="FPA79" s="684"/>
      <c r="FPB79" s="684"/>
      <c r="FPC79" s="684"/>
      <c r="FPD79" s="684"/>
      <c r="FPE79" s="684"/>
      <c r="FPF79" s="684"/>
      <c r="FPG79" s="684"/>
      <c r="FPH79" s="684"/>
      <c r="FPI79" s="684"/>
      <c r="FPJ79" s="684"/>
      <c r="FPK79" s="684"/>
      <c r="FPL79" s="684"/>
      <c r="FPM79" s="684"/>
      <c r="FPN79" s="684"/>
      <c r="FPO79" s="684"/>
      <c r="FPP79" s="684"/>
      <c r="FPQ79" s="684"/>
      <c r="FPR79" s="684"/>
      <c r="FPS79" s="684"/>
      <c r="FPT79" s="684"/>
      <c r="FPU79" s="684"/>
      <c r="FPV79" s="684"/>
      <c r="FPW79" s="684"/>
      <c r="FPX79" s="684"/>
      <c r="FPY79" s="684"/>
      <c r="FPZ79" s="684"/>
      <c r="FQA79" s="684"/>
      <c r="FQB79" s="684"/>
      <c r="FQC79" s="684"/>
      <c r="FQD79" s="684"/>
      <c r="FQE79" s="684"/>
      <c r="FQF79" s="684"/>
      <c r="FQG79" s="684"/>
      <c r="FQH79" s="684"/>
      <c r="FQI79" s="684"/>
      <c r="FQJ79" s="684"/>
      <c r="FQK79" s="684"/>
      <c r="FQL79" s="684"/>
      <c r="FQM79" s="684"/>
      <c r="FQN79" s="684"/>
      <c r="FQO79" s="684"/>
      <c r="FQP79" s="684"/>
      <c r="FQQ79" s="684"/>
      <c r="FQR79" s="684"/>
      <c r="FQS79" s="684"/>
      <c r="FQT79" s="684"/>
      <c r="FQU79" s="684"/>
      <c r="FQV79" s="684"/>
      <c r="FQW79" s="684"/>
      <c r="FQX79" s="684"/>
      <c r="FQY79" s="684"/>
      <c r="FQZ79" s="684"/>
      <c r="FRA79" s="684"/>
      <c r="FRB79" s="684"/>
      <c r="FRC79" s="684"/>
      <c r="FRD79" s="684"/>
      <c r="FRE79" s="684"/>
      <c r="FRF79" s="684"/>
      <c r="FRG79" s="684"/>
      <c r="FRH79" s="684"/>
      <c r="FRI79" s="684"/>
      <c r="FRJ79" s="684"/>
      <c r="FRK79" s="684"/>
      <c r="FRL79" s="684"/>
      <c r="FRM79" s="684"/>
      <c r="FRN79" s="684"/>
      <c r="FRO79" s="684"/>
      <c r="FRP79" s="684"/>
      <c r="FRQ79" s="684"/>
      <c r="FRR79" s="684"/>
      <c r="FRS79" s="684"/>
      <c r="FRT79" s="684"/>
      <c r="FRU79" s="684"/>
      <c r="FRV79" s="684"/>
      <c r="FRW79" s="684"/>
      <c r="FRX79" s="684"/>
      <c r="FRY79" s="684"/>
      <c r="FRZ79" s="684"/>
      <c r="FSA79" s="684"/>
      <c r="FSB79" s="684"/>
      <c r="FSC79" s="684"/>
      <c r="FSD79" s="684"/>
      <c r="FSE79" s="684"/>
      <c r="FSF79" s="684"/>
      <c r="FSG79" s="684"/>
      <c r="FSH79" s="684"/>
      <c r="FSI79" s="684"/>
      <c r="FSJ79" s="684"/>
      <c r="FSK79" s="684"/>
      <c r="FSL79" s="684"/>
      <c r="FSM79" s="684"/>
      <c r="FSN79" s="684"/>
      <c r="FSO79" s="684"/>
      <c r="FSP79" s="684"/>
      <c r="FSQ79" s="684"/>
      <c r="FSR79" s="684"/>
      <c r="FSS79" s="684"/>
      <c r="FST79" s="684"/>
      <c r="FSU79" s="684"/>
      <c r="FSV79" s="684"/>
      <c r="FSW79" s="684"/>
      <c r="FSX79" s="684"/>
      <c r="FSY79" s="684"/>
      <c r="FSZ79" s="684"/>
      <c r="FTA79" s="684"/>
      <c r="FTB79" s="684"/>
      <c r="FTC79" s="684"/>
      <c r="FTD79" s="684"/>
      <c r="FTE79" s="684"/>
      <c r="FTF79" s="684"/>
      <c r="FTG79" s="684"/>
      <c r="FTH79" s="684"/>
      <c r="FTI79" s="684"/>
      <c r="FTJ79" s="684"/>
      <c r="FTK79" s="684"/>
      <c r="FTL79" s="684"/>
      <c r="FTM79" s="684"/>
      <c r="FTN79" s="684"/>
      <c r="FTO79" s="684"/>
      <c r="FTP79" s="684"/>
      <c r="FTQ79" s="684"/>
      <c r="FTR79" s="684"/>
      <c r="FTS79" s="684"/>
      <c r="FTT79" s="684"/>
      <c r="FTU79" s="684"/>
      <c r="FTV79" s="684"/>
      <c r="FTW79" s="684"/>
      <c r="FTX79" s="684"/>
      <c r="FTY79" s="684"/>
      <c r="FTZ79" s="684"/>
      <c r="FUA79" s="684"/>
      <c r="FUB79" s="684"/>
      <c r="FUC79" s="684"/>
      <c r="FUD79" s="684"/>
      <c r="FUE79" s="684"/>
      <c r="FUF79" s="684"/>
      <c r="FUG79" s="684"/>
      <c r="FUH79" s="684"/>
      <c r="FUI79" s="684"/>
      <c r="FUJ79" s="684"/>
      <c r="FUK79" s="684"/>
      <c r="FUL79" s="684"/>
      <c r="FUM79" s="684"/>
      <c r="FUN79" s="684"/>
      <c r="FUO79" s="684"/>
      <c r="FUP79" s="684"/>
      <c r="FUQ79" s="684"/>
      <c r="FUR79" s="684"/>
      <c r="FUS79" s="684"/>
      <c r="FUT79" s="684"/>
      <c r="FUU79" s="684"/>
      <c r="FUV79" s="684"/>
      <c r="FUW79" s="684"/>
      <c r="FUX79" s="684"/>
      <c r="FUY79" s="684"/>
      <c r="FUZ79" s="684"/>
      <c r="FVA79" s="684"/>
      <c r="FVB79" s="684"/>
      <c r="FVC79" s="684"/>
      <c r="FVD79" s="684"/>
      <c r="FVE79" s="684"/>
      <c r="FVF79" s="684"/>
      <c r="FVG79" s="684"/>
      <c r="FVH79" s="684"/>
      <c r="FVI79" s="684"/>
      <c r="FVJ79" s="684"/>
      <c r="FVK79" s="684"/>
      <c r="FVL79" s="684"/>
      <c r="FVM79" s="684"/>
      <c r="FVN79" s="684"/>
      <c r="FVO79" s="684"/>
      <c r="FVP79" s="684"/>
      <c r="FVQ79" s="684"/>
      <c r="FVR79" s="684"/>
      <c r="FVS79" s="684"/>
      <c r="FVT79" s="684"/>
      <c r="FVU79" s="684"/>
      <c r="FVV79" s="684"/>
      <c r="FVW79" s="684"/>
      <c r="FVX79" s="684"/>
      <c r="FVY79" s="684"/>
      <c r="FVZ79" s="684"/>
      <c r="FWA79" s="684"/>
      <c r="FWB79" s="684"/>
      <c r="FWC79" s="684"/>
      <c r="FWD79" s="684"/>
      <c r="FWE79" s="684"/>
      <c r="FWF79" s="684"/>
      <c r="FWG79" s="684"/>
      <c r="FWH79" s="684"/>
      <c r="FWI79" s="684"/>
      <c r="FWJ79" s="684"/>
      <c r="FWK79" s="684"/>
      <c r="FWL79" s="684"/>
      <c r="FWM79" s="684"/>
      <c r="FWN79" s="684"/>
      <c r="FWO79" s="684"/>
      <c r="FWP79" s="684"/>
      <c r="FWQ79" s="684"/>
      <c r="FWR79" s="684"/>
      <c r="FWS79" s="684"/>
      <c r="FWT79" s="684"/>
      <c r="FWU79" s="684"/>
      <c r="FWV79" s="684"/>
      <c r="FWW79" s="684"/>
      <c r="FWX79" s="684"/>
      <c r="FWY79" s="684"/>
      <c r="FWZ79" s="684"/>
      <c r="FXA79" s="684"/>
      <c r="FXB79" s="684"/>
      <c r="FXC79" s="684"/>
      <c r="FXD79" s="684"/>
      <c r="FXE79" s="684"/>
      <c r="FXF79" s="684"/>
      <c r="FXG79" s="684"/>
      <c r="FXH79" s="684"/>
      <c r="FXI79" s="684"/>
      <c r="FXJ79" s="684"/>
      <c r="FXK79" s="684"/>
      <c r="FXL79" s="684"/>
      <c r="FXM79" s="684"/>
      <c r="FXN79" s="684"/>
      <c r="FXO79" s="684"/>
      <c r="FXP79" s="684"/>
      <c r="FXQ79" s="684"/>
      <c r="FXR79" s="684"/>
      <c r="FXS79" s="684"/>
      <c r="FXT79" s="684"/>
      <c r="FXU79" s="684"/>
      <c r="FXV79" s="684"/>
      <c r="FXW79" s="684"/>
      <c r="FXX79" s="684"/>
      <c r="FXY79" s="684"/>
      <c r="FXZ79" s="684"/>
      <c r="FYA79" s="684"/>
      <c r="FYB79" s="684"/>
      <c r="FYC79" s="684"/>
      <c r="FYD79" s="684"/>
      <c r="FYE79" s="684"/>
      <c r="FYF79" s="684"/>
      <c r="FYG79" s="684"/>
      <c r="FYH79" s="684"/>
      <c r="FYI79" s="684"/>
      <c r="FYJ79" s="684"/>
      <c r="FYK79" s="684"/>
      <c r="FYL79" s="684"/>
      <c r="FYM79" s="684"/>
      <c r="FYN79" s="684"/>
      <c r="FYO79" s="684"/>
      <c r="FYP79" s="684"/>
      <c r="FYQ79" s="684"/>
      <c r="FYR79" s="684"/>
      <c r="FYS79" s="684"/>
      <c r="FYT79" s="684"/>
      <c r="FYU79" s="684"/>
      <c r="FYV79" s="684"/>
      <c r="FYW79" s="684"/>
      <c r="FYX79" s="684"/>
      <c r="FYY79" s="684"/>
      <c r="FYZ79" s="684"/>
      <c r="FZA79" s="684"/>
      <c r="FZB79" s="684"/>
      <c r="FZC79" s="684"/>
      <c r="FZD79" s="684"/>
      <c r="FZE79" s="684"/>
      <c r="FZF79" s="684"/>
      <c r="FZG79" s="684"/>
      <c r="FZH79" s="684"/>
      <c r="FZI79" s="684"/>
      <c r="FZJ79" s="684"/>
      <c r="FZK79" s="684"/>
      <c r="FZL79" s="684"/>
      <c r="FZM79" s="684"/>
      <c r="FZN79" s="684"/>
      <c r="FZO79" s="684"/>
      <c r="FZP79" s="684"/>
      <c r="FZQ79" s="684"/>
      <c r="FZR79" s="684"/>
      <c r="FZS79" s="684"/>
      <c r="FZT79" s="684"/>
      <c r="FZU79" s="684"/>
      <c r="FZV79" s="684"/>
      <c r="FZW79" s="684"/>
      <c r="FZX79" s="684"/>
      <c r="FZY79" s="684"/>
      <c r="FZZ79" s="684"/>
      <c r="GAA79" s="684"/>
      <c r="GAB79" s="684"/>
      <c r="GAC79" s="684"/>
      <c r="GAD79" s="684"/>
      <c r="GAE79" s="684"/>
      <c r="GAF79" s="684"/>
      <c r="GAG79" s="684"/>
      <c r="GAH79" s="684"/>
      <c r="GAI79" s="684"/>
      <c r="GAJ79" s="684"/>
      <c r="GAK79" s="684"/>
      <c r="GAL79" s="684"/>
      <c r="GAM79" s="684"/>
      <c r="GAN79" s="684"/>
      <c r="GAO79" s="684"/>
      <c r="GAP79" s="684"/>
      <c r="GAQ79" s="684"/>
      <c r="GAR79" s="684"/>
      <c r="GAS79" s="684"/>
      <c r="GAT79" s="684"/>
      <c r="GAU79" s="684"/>
      <c r="GAV79" s="684"/>
      <c r="GAW79" s="684"/>
      <c r="GAX79" s="684"/>
      <c r="GAY79" s="684"/>
      <c r="GAZ79" s="684"/>
      <c r="GBA79" s="684"/>
      <c r="GBB79" s="684"/>
      <c r="GBC79" s="684"/>
      <c r="GBD79" s="684"/>
      <c r="GBE79" s="684"/>
      <c r="GBF79" s="684"/>
      <c r="GBG79" s="684"/>
      <c r="GBH79" s="684"/>
      <c r="GBI79" s="684"/>
      <c r="GBJ79" s="684"/>
      <c r="GBK79" s="684"/>
      <c r="GBL79" s="684"/>
      <c r="GBM79" s="684"/>
      <c r="GBN79" s="684"/>
      <c r="GBO79" s="684"/>
      <c r="GBP79" s="684"/>
      <c r="GBQ79" s="684"/>
      <c r="GBR79" s="684"/>
      <c r="GBS79" s="684"/>
      <c r="GBT79" s="684"/>
      <c r="GBU79" s="684"/>
      <c r="GBV79" s="684"/>
      <c r="GBW79" s="684"/>
      <c r="GBX79" s="684"/>
      <c r="GBY79" s="684"/>
      <c r="GBZ79" s="684"/>
      <c r="GCA79" s="684"/>
      <c r="GCB79" s="684"/>
      <c r="GCC79" s="684"/>
      <c r="GCD79" s="684"/>
      <c r="GCE79" s="684"/>
      <c r="GCF79" s="684"/>
      <c r="GCG79" s="684"/>
      <c r="GCH79" s="684"/>
      <c r="GCI79" s="684"/>
      <c r="GCJ79" s="684"/>
      <c r="GCK79" s="684"/>
      <c r="GCL79" s="684"/>
      <c r="GCM79" s="684"/>
      <c r="GCN79" s="684"/>
      <c r="GCO79" s="684"/>
      <c r="GCP79" s="684"/>
      <c r="GCQ79" s="684"/>
      <c r="GCR79" s="684"/>
      <c r="GCS79" s="684"/>
      <c r="GCT79" s="684"/>
      <c r="GCU79" s="684"/>
      <c r="GCV79" s="684"/>
      <c r="GCW79" s="684"/>
      <c r="GCX79" s="684"/>
      <c r="GCY79" s="684"/>
      <c r="GCZ79" s="684"/>
      <c r="GDA79" s="684"/>
      <c r="GDB79" s="684"/>
      <c r="GDC79" s="684"/>
      <c r="GDD79" s="684"/>
      <c r="GDE79" s="684"/>
      <c r="GDF79" s="684"/>
      <c r="GDG79" s="684"/>
      <c r="GDH79" s="684"/>
      <c r="GDI79" s="684"/>
      <c r="GDJ79" s="684"/>
      <c r="GDK79" s="684"/>
      <c r="GDL79" s="684"/>
      <c r="GDM79" s="684"/>
      <c r="GDN79" s="684"/>
      <c r="GDO79" s="684"/>
      <c r="GDP79" s="684"/>
      <c r="GDQ79" s="684"/>
      <c r="GDR79" s="684"/>
      <c r="GDS79" s="684"/>
      <c r="GDT79" s="684"/>
      <c r="GDU79" s="684"/>
      <c r="GDV79" s="684"/>
      <c r="GDW79" s="684"/>
      <c r="GDX79" s="684"/>
      <c r="GDY79" s="684"/>
      <c r="GDZ79" s="684"/>
      <c r="GEA79" s="684"/>
      <c r="GEB79" s="684"/>
      <c r="GEC79" s="684"/>
      <c r="GED79" s="684"/>
      <c r="GEE79" s="684"/>
      <c r="GEF79" s="684"/>
      <c r="GEG79" s="684"/>
      <c r="GEH79" s="684"/>
      <c r="GEI79" s="684"/>
      <c r="GEJ79" s="684"/>
      <c r="GEK79" s="684"/>
      <c r="GEL79" s="684"/>
      <c r="GEM79" s="684"/>
      <c r="GEN79" s="684"/>
      <c r="GEO79" s="684"/>
      <c r="GEP79" s="684"/>
      <c r="GEQ79" s="684"/>
      <c r="GER79" s="684"/>
      <c r="GES79" s="684"/>
      <c r="GET79" s="684"/>
      <c r="GEU79" s="684"/>
      <c r="GEV79" s="684"/>
      <c r="GEW79" s="684"/>
      <c r="GEX79" s="684"/>
      <c r="GEY79" s="684"/>
      <c r="GEZ79" s="684"/>
      <c r="GFA79" s="684"/>
      <c r="GFB79" s="684"/>
      <c r="GFC79" s="684"/>
      <c r="GFD79" s="684"/>
      <c r="GFE79" s="684"/>
      <c r="GFF79" s="684"/>
      <c r="GFG79" s="684"/>
      <c r="GFH79" s="684"/>
      <c r="GFI79" s="684"/>
      <c r="GFJ79" s="684"/>
      <c r="GFK79" s="684"/>
      <c r="GFL79" s="684"/>
      <c r="GFM79" s="684"/>
      <c r="GFN79" s="684"/>
      <c r="GFO79" s="684"/>
      <c r="GFP79" s="684"/>
      <c r="GFQ79" s="684"/>
      <c r="GFR79" s="684"/>
      <c r="GFS79" s="684"/>
      <c r="GFT79" s="684"/>
      <c r="GFU79" s="684"/>
      <c r="GFV79" s="684"/>
      <c r="GFW79" s="684"/>
      <c r="GFX79" s="684"/>
      <c r="GFY79" s="684"/>
      <c r="GFZ79" s="684"/>
      <c r="GGA79" s="684"/>
      <c r="GGB79" s="684"/>
      <c r="GGC79" s="684"/>
      <c r="GGD79" s="684"/>
      <c r="GGE79" s="684"/>
      <c r="GGF79" s="684"/>
      <c r="GGG79" s="684"/>
      <c r="GGH79" s="684"/>
      <c r="GGI79" s="684"/>
      <c r="GGJ79" s="684"/>
      <c r="GGK79" s="684"/>
      <c r="GGL79" s="684"/>
      <c r="GGM79" s="684"/>
      <c r="GGN79" s="684"/>
      <c r="GGO79" s="684"/>
      <c r="GGP79" s="684"/>
      <c r="GGQ79" s="684"/>
      <c r="GGR79" s="684"/>
      <c r="GGS79" s="684"/>
      <c r="GGT79" s="684"/>
      <c r="GGU79" s="684"/>
      <c r="GGV79" s="684"/>
      <c r="GGW79" s="684"/>
      <c r="GGX79" s="684"/>
      <c r="GGY79" s="684"/>
      <c r="GGZ79" s="684"/>
      <c r="GHA79" s="684"/>
      <c r="GHB79" s="684"/>
      <c r="GHC79" s="684"/>
      <c r="GHD79" s="684"/>
      <c r="GHE79" s="684"/>
      <c r="GHF79" s="684"/>
      <c r="GHG79" s="684"/>
      <c r="GHH79" s="684"/>
      <c r="GHI79" s="684"/>
      <c r="GHJ79" s="684"/>
      <c r="GHK79" s="684"/>
      <c r="GHL79" s="684"/>
      <c r="GHM79" s="684"/>
      <c r="GHN79" s="684"/>
      <c r="GHO79" s="684"/>
      <c r="GHP79" s="684"/>
      <c r="GHQ79" s="684"/>
      <c r="GHR79" s="684"/>
      <c r="GHS79" s="684"/>
      <c r="GHT79" s="684"/>
      <c r="GHU79" s="684"/>
      <c r="GHV79" s="684"/>
      <c r="GHW79" s="684"/>
      <c r="GHX79" s="684"/>
      <c r="GHY79" s="684"/>
      <c r="GHZ79" s="684"/>
      <c r="GIA79" s="684"/>
      <c r="GIB79" s="684"/>
      <c r="GIC79" s="684"/>
      <c r="GID79" s="684"/>
      <c r="GIE79" s="684"/>
      <c r="GIF79" s="684"/>
      <c r="GIG79" s="684"/>
      <c r="GIH79" s="684"/>
      <c r="GII79" s="684"/>
      <c r="GIJ79" s="684"/>
      <c r="GIK79" s="684"/>
      <c r="GIL79" s="684"/>
      <c r="GIM79" s="684"/>
      <c r="GIN79" s="684"/>
      <c r="GIO79" s="684"/>
      <c r="GIP79" s="684"/>
      <c r="GIQ79" s="684"/>
      <c r="GIR79" s="684"/>
      <c r="GIS79" s="684"/>
      <c r="GIT79" s="684"/>
      <c r="GIU79" s="684"/>
      <c r="GIV79" s="684"/>
      <c r="GIW79" s="684"/>
      <c r="GIX79" s="684"/>
      <c r="GIY79" s="684"/>
      <c r="GIZ79" s="684"/>
      <c r="GJA79" s="684"/>
      <c r="GJB79" s="684"/>
      <c r="GJC79" s="684"/>
      <c r="GJD79" s="684"/>
      <c r="GJE79" s="684"/>
      <c r="GJF79" s="684"/>
      <c r="GJG79" s="684"/>
      <c r="GJH79" s="684"/>
      <c r="GJI79" s="684"/>
      <c r="GJJ79" s="684"/>
      <c r="GJK79" s="684"/>
      <c r="GJL79" s="684"/>
      <c r="GJM79" s="684"/>
      <c r="GJN79" s="684"/>
      <c r="GJO79" s="684"/>
      <c r="GJP79" s="684"/>
      <c r="GJQ79" s="684"/>
      <c r="GJR79" s="684"/>
      <c r="GJS79" s="684"/>
      <c r="GJT79" s="684"/>
      <c r="GJU79" s="684"/>
      <c r="GJV79" s="684"/>
      <c r="GJW79" s="684"/>
      <c r="GJX79" s="684"/>
      <c r="GJY79" s="684"/>
      <c r="GJZ79" s="684"/>
      <c r="GKA79" s="684"/>
      <c r="GKB79" s="684"/>
      <c r="GKC79" s="684"/>
      <c r="GKD79" s="684"/>
      <c r="GKE79" s="684"/>
      <c r="GKF79" s="684"/>
      <c r="GKG79" s="684"/>
      <c r="GKH79" s="684"/>
      <c r="GKI79" s="684"/>
      <c r="GKJ79" s="684"/>
      <c r="GKK79" s="684"/>
      <c r="GKL79" s="684"/>
      <c r="GKM79" s="684"/>
      <c r="GKN79" s="684"/>
      <c r="GKO79" s="684"/>
      <c r="GKP79" s="684"/>
      <c r="GKQ79" s="684"/>
      <c r="GKR79" s="684"/>
      <c r="GKS79" s="684"/>
      <c r="GKT79" s="684"/>
      <c r="GKU79" s="684"/>
      <c r="GKV79" s="684"/>
      <c r="GKW79" s="684"/>
      <c r="GKX79" s="684"/>
      <c r="GKY79" s="684"/>
      <c r="GKZ79" s="684"/>
      <c r="GLA79" s="684"/>
      <c r="GLB79" s="684"/>
      <c r="GLC79" s="684"/>
      <c r="GLD79" s="684"/>
      <c r="GLE79" s="684"/>
      <c r="GLF79" s="684"/>
      <c r="GLG79" s="684"/>
      <c r="GLH79" s="684"/>
      <c r="GLI79" s="684"/>
      <c r="GLJ79" s="684"/>
      <c r="GLK79" s="684"/>
      <c r="GLL79" s="684"/>
      <c r="GLM79" s="684"/>
      <c r="GLN79" s="684"/>
      <c r="GLO79" s="684"/>
      <c r="GLP79" s="684"/>
      <c r="GLQ79" s="684"/>
      <c r="GLR79" s="684"/>
      <c r="GLS79" s="684"/>
      <c r="GLT79" s="684"/>
      <c r="GLU79" s="684"/>
      <c r="GLV79" s="684"/>
      <c r="GLW79" s="684"/>
      <c r="GLX79" s="684"/>
      <c r="GLY79" s="684"/>
      <c r="GLZ79" s="684"/>
      <c r="GMA79" s="684"/>
      <c r="GMB79" s="684"/>
      <c r="GMC79" s="684"/>
      <c r="GMD79" s="684"/>
      <c r="GME79" s="684"/>
      <c r="GMF79" s="684"/>
      <c r="GMG79" s="684"/>
      <c r="GMH79" s="684"/>
      <c r="GMI79" s="684"/>
      <c r="GMJ79" s="684"/>
      <c r="GMK79" s="684"/>
      <c r="GML79" s="684"/>
      <c r="GMM79" s="684"/>
      <c r="GMN79" s="684"/>
      <c r="GMO79" s="684"/>
      <c r="GMP79" s="684"/>
      <c r="GMQ79" s="684"/>
      <c r="GMR79" s="684"/>
      <c r="GMS79" s="684"/>
      <c r="GMT79" s="684"/>
      <c r="GMU79" s="684"/>
      <c r="GMV79" s="684"/>
      <c r="GMW79" s="684"/>
      <c r="GMX79" s="684"/>
      <c r="GMY79" s="684"/>
      <c r="GMZ79" s="684"/>
      <c r="GNA79" s="684"/>
      <c r="GNB79" s="684"/>
      <c r="GNC79" s="684"/>
      <c r="GND79" s="684"/>
      <c r="GNE79" s="684"/>
      <c r="GNF79" s="684"/>
      <c r="GNG79" s="684"/>
      <c r="GNH79" s="684"/>
      <c r="GNI79" s="684"/>
      <c r="GNJ79" s="684"/>
      <c r="GNK79" s="684"/>
      <c r="GNL79" s="684"/>
      <c r="GNM79" s="684"/>
      <c r="GNN79" s="684"/>
      <c r="GNO79" s="684"/>
      <c r="GNP79" s="684"/>
      <c r="GNQ79" s="684"/>
      <c r="GNR79" s="684"/>
      <c r="GNS79" s="684"/>
      <c r="GNT79" s="684"/>
      <c r="GNU79" s="684"/>
      <c r="GNV79" s="684"/>
      <c r="GNW79" s="684"/>
      <c r="GNX79" s="684"/>
      <c r="GNY79" s="684"/>
      <c r="GNZ79" s="684"/>
      <c r="GOA79" s="684"/>
      <c r="GOB79" s="684"/>
      <c r="GOC79" s="684"/>
      <c r="GOD79" s="684"/>
      <c r="GOE79" s="684"/>
      <c r="GOF79" s="684"/>
      <c r="GOG79" s="684"/>
      <c r="GOH79" s="684"/>
      <c r="GOI79" s="684"/>
      <c r="GOJ79" s="684"/>
      <c r="GOK79" s="684"/>
      <c r="GOL79" s="684"/>
      <c r="GOM79" s="684"/>
      <c r="GON79" s="684"/>
      <c r="GOO79" s="684"/>
      <c r="GOP79" s="684"/>
      <c r="GOQ79" s="684"/>
      <c r="GOR79" s="684"/>
      <c r="GOS79" s="684"/>
      <c r="GOT79" s="684"/>
      <c r="GOU79" s="684"/>
      <c r="GOV79" s="684"/>
      <c r="GOW79" s="684"/>
      <c r="GOX79" s="684"/>
      <c r="GOY79" s="684"/>
      <c r="GOZ79" s="684"/>
      <c r="GPA79" s="684"/>
      <c r="GPB79" s="684"/>
      <c r="GPC79" s="684"/>
      <c r="GPD79" s="684"/>
      <c r="GPE79" s="684"/>
      <c r="GPF79" s="684"/>
      <c r="GPG79" s="684"/>
      <c r="GPH79" s="684"/>
      <c r="GPI79" s="684"/>
      <c r="GPJ79" s="684"/>
      <c r="GPK79" s="684"/>
      <c r="GPL79" s="684"/>
      <c r="GPM79" s="684"/>
      <c r="GPN79" s="684"/>
      <c r="GPO79" s="684"/>
      <c r="GPP79" s="684"/>
      <c r="GPQ79" s="684"/>
      <c r="GPR79" s="684"/>
      <c r="GPS79" s="684"/>
      <c r="GPT79" s="684"/>
      <c r="GPU79" s="684"/>
      <c r="GPV79" s="684"/>
      <c r="GPW79" s="684"/>
      <c r="GPX79" s="684"/>
      <c r="GPY79" s="684"/>
      <c r="GPZ79" s="684"/>
      <c r="GQA79" s="684"/>
      <c r="GQB79" s="684"/>
      <c r="GQC79" s="684"/>
      <c r="GQD79" s="684"/>
      <c r="GQE79" s="684"/>
      <c r="GQF79" s="684"/>
      <c r="GQG79" s="684"/>
      <c r="GQH79" s="684"/>
      <c r="GQI79" s="684"/>
      <c r="GQJ79" s="684"/>
      <c r="GQK79" s="684"/>
      <c r="GQL79" s="684"/>
      <c r="GQM79" s="684"/>
      <c r="GQN79" s="684"/>
      <c r="GQO79" s="684"/>
      <c r="GQP79" s="684"/>
      <c r="GQQ79" s="684"/>
      <c r="GQR79" s="684"/>
      <c r="GQS79" s="684"/>
      <c r="GQT79" s="684"/>
      <c r="GQU79" s="684"/>
      <c r="GQV79" s="684"/>
      <c r="GQW79" s="684"/>
      <c r="GQX79" s="684"/>
      <c r="GQY79" s="684"/>
      <c r="GQZ79" s="684"/>
      <c r="GRA79" s="684"/>
      <c r="GRB79" s="684"/>
      <c r="GRC79" s="684"/>
      <c r="GRD79" s="684"/>
      <c r="GRE79" s="684"/>
      <c r="GRF79" s="684"/>
      <c r="GRG79" s="684"/>
      <c r="GRH79" s="684"/>
      <c r="GRI79" s="684"/>
      <c r="GRJ79" s="684"/>
      <c r="GRK79" s="684"/>
      <c r="GRL79" s="684"/>
      <c r="GRM79" s="684"/>
      <c r="GRN79" s="684"/>
      <c r="GRO79" s="684"/>
      <c r="GRP79" s="684"/>
      <c r="GRQ79" s="684"/>
      <c r="GRR79" s="684"/>
      <c r="GRS79" s="684"/>
      <c r="GRT79" s="684"/>
      <c r="GRU79" s="684"/>
      <c r="GRV79" s="684"/>
      <c r="GRW79" s="684"/>
      <c r="GRX79" s="684"/>
      <c r="GRY79" s="684"/>
      <c r="GRZ79" s="684"/>
      <c r="GSA79" s="684"/>
      <c r="GSB79" s="684"/>
      <c r="GSC79" s="684"/>
      <c r="GSD79" s="684"/>
      <c r="GSE79" s="684"/>
      <c r="GSF79" s="684"/>
      <c r="GSG79" s="684"/>
      <c r="GSH79" s="684"/>
      <c r="GSI79" s="684"/>
      <c r="GSJ79" s="684"/>
      <c r="GSK79" s="684"/>
      <c r="GSL79" s="684"/>
      <c r="GSM79" s="684"/>
      <c r="GSN79" s="684"/>
      <c r="GSO79" s="684"/>
      <c r="GSP79" s="684"/>
      <c r="GSQ79" s="684"/>
      <c r="GSR79" s="684"/>
      <c r="GSS79" s="684"/>
      <c r="GST79" s="684"/>
      <c r="GSU79" s="684"/>
      <c r="GSV79" s="684"/>
      <c r="GSW79" s="684"/>
      <c r="GSX79" s="684"/>
      <c r="GSY79" s="684"/>
      <c r="GSZ79" s="684"/>
      <c r="GTA79" s="684"/>
      <c r="GTB79" s="684"/>
      <c r="GTC79" s="684"/>
      <c r="GTD79" s="684"/>
      <c r="GTE79" s="684"/>
      <c r="GTF79" s="684"/>
      <c r="GTG79" s="684"/>
      <c r="GTH79" s="684"/>
      <c r="GTI79" s="684"/>
      <c r="GTJ79" s="684"/>
      <c r="GTK79" s="684"/>
      <c r="GTL79" s="684"/>
      <c r="GTM79" s="684"/>
      <c r="GTN79" s="684"/>
      <c r="GTO79" s="684"/>
      <c r="GTP79" s="684"/>
      <c r="GTQ79" s="684"/>
      <c r="GTR79" s="684"/>
      <c r="GTS79" s="684"/>
      <c r="GTT79" s="684"/>
      <c r="GTU79" s="684"/>
      <c r="GTV79" s="684"/>
      <c r="GTW79" s="684"/>
      <c r="GTX79" s="684"/>
      <c r="GTY79" s="684"/>
      <c r="GTZ79" s="684"/>
      <c r="GUA79" s="684"/>
      <c r="GUB79" s="684"/>
      <c r="GUC79" s="684"/>
      <c r="GUD79" s="684"/>
      <c r="GUE79" s="684"/>
      <c r="GUF79" s="684"/>
      <c r="GUG79" s="684"/>
      <c r="GUH79" s="684"/>
      <c r="GUI79" s="684"/>
      <c r="GUJ79" s="684"/>
      <c r="GUK79" s="684"/>
      <c r="GUL79" s="684"/>
      <c r="GUM79" s="684"/>
      <c r="GUN79" s="684"/>
      <c r="GUO79" s="684"/>
      <c r="GUP79" s="684"/>
      <c r="GUQ79" s="684"/>
      <c r="GUR79" s="684"/>
      <c r="GUS79" s="684"/>
      <c r="GUT79" s="684"/>
      <c r="GUU79" s="684"/>
      <c r="GUV79" s="684"/>
      <c r="GUW79" s="684"/>
      <c r="GUX79" s="684"/>
      <c r="GUY79" s="684"/>
      <c r="GUZ79" s="684"/>
      <c r="GVA79" s="684"/>
      <c r="GVB79" s="684"/>
      <c r="GVC79" s="684"/>
      <c r="GVD79" s="684"/>
      <c r="GVE79" s="684"/>
      <c r="GVF79" s="684"/>
      <c r="GVG79" s="684"/>
      <c r="GVH79" s="684"/>
      <c r="GVI79" s="684"/>
      <c r="GVJ79" s="684"/>
      <c r="GVK79" s="684"/>
      <c r="GVL79" s="684"/>
      <c r="GVM79" s="684"/>
      <c r="GVN79" s="684"/>
      <c r="GVO79" s="684"/>
      <c r="GVP79" s="684"/>
      <c r="GVQ79" s="684"/>
      <c r="GVR79" s="684"/>
      <c r="GVS79" s="684"/>
      <c r="GVT79" s="684"/>
      <c r="GVU79" s="684"/>
      <c r="GVV79" s="684"/>
      <c r="GVW79" s="684"/>
      <c r="GVX79" s="684"/>
      <c r="GVY79" s="684"/>
      <c r="GVZ79" s="684"/>
      <c r="GWA79" s="684"/>
      <c r="GWB79" s="684"/>
      <c r="GWC79" s="684"/>
      <c r="GWD79" s="684"/>
      <c r="GWE79" s="684"/>
      <c r="GWF79" s="684"/>
      <c r="GWG79" s="684"/>
      <c r="GWH79" s="684"/>
      <c r="GWI79" s="684"/>
      <c r="GWJ79" s="684"/>
      <c r="GWK79" s="684"/>
      <c r="GWL79" s="684"/>
      <c r="GWM79" s="684"/>
      <c r="GWN79" s="684"/>
      <c r="GWO79" s="684"/>
      <c r="GWP79" s="684"/>
      <c r="GWQ79" s="684"/>
      <c r="GWR79" s="684"/>
      <c r="GWS79" s="684"/>
      <c r="GWT79" s="684"/>
      <c r="GWU79" s="684"/>
      <c r="GWV79" s="684"/>
      <c r="GWW79" s="684"/>
      <c r="GWX79" s="684"/>
      <c r="GWY79" s="684"/>
      <c r="GWZ79" s="684"/>
      <c r="GXA79" s="684"/>
      <c r="GXB79" s="684"/>
      <c r="GXC79" s="684"/>
      <c r="GXD79" s="684"/>
      <c r="GXE79" s="684"/>
      <c r="GXF79" s="684"/>
      <c r="GXG79" s="684"/>
      <c r="GXH79" s="684"/>
      <c r="GXI79" s="684"/>
      <c r="GXJ79" s="684"/>
      <c r="GXK79" s="684"/>
      <c r="GXL79" s="684"/>
      <c r="GXM79" s="684"/>
      <c r="GXN79" s="684"/>
      <c r="GXO79" s="684"/>
      <c r="GXP79" s="684"/>
      <c r="GXQ79" s="684"/>
      <c r="GXR79" s="684"/>
      <c r="GXS79" s="684"/>
      <c r="GXT79" s="684"/>
      <c r="GXU79" s="684"/>
      <c r="GXV79" s="684"/>
      <c r="GXW79" s="684"/>
      <c r="GXX79" s="684"/>
      <c r="GXY79" s="684"/>
      <c r="GXZ79" s="684"/>
      <c r="GYA79" s="684"/>
      <c r="GYB79" s="684"/>
      <c r="GYC79" s="684"/>
      <c r="GYD79" s="684"/>
      <c r="GYE79" s="684"/>
      <c r="GYF79" s="684"/>
      <c r="GYG79" s="684"/>
      <c r="GYH79" s="684"/>
      <c r="GYI79" s="684"/>
      <c r="GYJ79" s="684"/>
      <c r="GYK79" s="684"/>
      <c r="GYL79" s="684"/>
      <c r="GYM79" s="684"/>
      <c r="GYN79" s="684"/>
      <c r="GYO79" s="684"/>
      <c r="GYP79" s="684"/>
      <c r="GYQ79" s="684"/>
      <c r="GYR79" s="684"/>
      <c r="GYS79" s="684"/>
      <c r="GYT79" s="684"/>
      <c r="GYU79" s="684"/>
      <c r="GYV79" s="684"/>
      <c r="GYW79" s="684"/>
      <c r="GYX79" s="684"/>
      <c r="GYY79" s="684"/>
      <c r="GYZ79" s="684"/>
      <c r="GZA79" s="684"/>
      <c r="GZB79" s="684"/>
      <c r="GZC79" s="684"/>
      <c r="GZD79" s="684"/>
      <c r="GZE79" s="684"/>
      <c r="GZF79" s="684"/>
      <c r="GZG79" s="684"/>
      <c r="GZH79" s="684"/>
      <c r="GZI79" s="684"/>
      <c r="GZJ79" s="684"/>
      <c r="GZK79" s="684"/>
      <c r="GZL79" s="684"/>
      <c r="GZM79" s="684"/>
      <c r="GZN79" s="684"/>
      <c r="GZO79" s="684"/>
      <c r="GZP79" s="684"/>
      <c r="GZQ79" s="684"/>
      <c r="GZR79" s="684"/>
      <c r="GZS79" s="684"/>
      <c r="GZT79" s="684"/>
      <c r="GZU79" s="684"/>
      <c r="GZV79" s="684"/>
      <c r="GZW79" s="684"/>
      <c r="GZX79" s="684"/>
      <c r="GZY79" s="684"/>
      <c r="GZZ79" s="684"/>
      <c r="HAA79" s="684"/>
      <c r="HAB79" s="684"/>
      <c r="HAC79" s="684"/>
      <c r="HAD79" s="684"/>
      <c r="HAE79" s="684"/>
      <c r="HAF79" s="684"/>
      <c r="HAG79" s="684"/>
      <c r="HAH79" s="684"/>
      <c r="HAI79" s="684"/>
      <c r="HAJ79" s="684"/>
      <c r="HAK79" s="684"/>
      <c r="HAL79" s="684"/>
      <c r="HAM79" s="684"/>
      <c r="HAN79" s="684"/>
      <c r="HAO79" s="684"/>
      <c r="HAP79" s="684"/>
      <c r="HAQ79" s="684"/>
      <c r="HAR79" s="684"/>
      <c r="HAS79" s="684"/>
      <c r="HAT79" s="684"/>
      <c r="HAU79" s="684"/>
      <c r="HAV79" s="684"/>
      <c r="HAW79" s="684"/>
      <c r="HAX79" s="684"/>
      <c r="HAY79" s="684"/>
      <c r="HAZ79" s="684"/>
      <c r="HBA79" s="684"/>
      <c r="HBB79" s="684"/>
      <c r="HBC79" s="684"/>
      <c r="HBD79" s="684"/>
      <c r="HBE79" s="684"/>
      <c r="HBF79" s="684"/>
      <c r="HBG79" s="684"/>
      <c r="HBH79" s="684"/>
      <c r="HBI79" s="684"/>
      <c r="HBJ79" s="684"/>
      <c r="HBK79" s="684"/>
      <c r="HBL79" s="684"/>
      <c r="HBM79" s="684"/>
      <c r="HBN79" s="684"/>
      <c r="HBO79" s="684"/>
      <c r="HBP79" s="684"/>
      <c r="HBQ79" s="684"/>
      <c r="HBR79" s="684"/>
      <c r="HBS79" s="684"/>
      <c r="HBT79" s="684"/>
      <c r="HBU79" s="684"/>
      <c r="HBV79" s="684"/>
      <c r="HBW79" s="684"/>
      <c r="HBX79" s="684"/>
      <c r="HBY79" s="684"/>
      <c r="HBZ79" s="684"/>
      <c r="HCA79" s="684"/>
      <c r="HCB79" s="684"/>
      <c r="HCC79" s="684"/>
      <c r="HCD79" s="684"/>
      <c r="HCE79" s="684"/>
      <c r="HCF79" s="684"/>
      <c r="HCG79" s="684"/>
      <c r="HCH79" s="684"/>
      <c r="HCI79" s="684"/>
      <c r="HCJ79" s="684"/>
      <c r="HCK79" s="684"/>
      <c r="HCL79" s="684"/>
      <c r="HCM79" s="684"/>
      <c r="HCN79" s="684"/>
      <c r="HCO79" s="684"/>
      <c r="HCP79" s="684"/>
      <c r="HCQ79" s="684"/>
      <c r="HCR79" s="684"/>
      <c r="HCS79" s="684"/>
      <c r="HCT79" s="684"/>
      <c r="HCU79" s="684"/>
      <c r="HCV79" s="684"/>
      <c r="HCW79" s="684"/>
      <c r="HCX79" s="684"/>
      <c r="HCY79" s="684"/>
      <c r="HCZ79" s="684"/>
      <c r="HDA79" s="684"/>
      <c r="HDB79" s="684"/>
      <c r="HDC79" s="684"/>
      <c r="HDD79" s="684"/>
      <c r="HDE79" s="684"/>
      <c r="HDF79" s="684"/>
      <c r="HDG79" s="684"/>
      <c r="HDH79" s="684"/>
      <c r="HDI79" s="684"/>
      <c r="HDJ79" s="684"/>
      <c r="HDK79" s="684"/>
      <c r="HDL79" s="684"/>
      <c r="HDM79" s="684"/>
      <c r="HDN79" s="684"/>
      <c r="HDO79" s="684"/>
      <c r="HDP79" s="684"/>
      <c r="HDQ79" s="684"/>
      <c r="HDR79" s="684"/>
      <c r="HDS79" s="684"/>
      <c r="HDT79" s="684"/>
      <c r="HDU79" s="684"/>
      <c r="HDV79" s="684"/>
      <c r="HDW79" s="684"/>
      <c r="HDX79" s="684"/>
      <c r="HDY79" s="684"/>
      <c r="HDZ79" s="684"/>
      <c r="HEA79" s="684"/>
      <c r="HEB79" s="684"/>
      <c r="HEC79" s="684"/>
      <c r="HED79" s="684"/>
      <c r="HEE79" s="684"/>
      <c r="HEF79" s="684"/>
      <c r="HEG79" s="684"/>
      <c r="HEH79" s="684"/>
      <c r="HEI79" s="684"/>
      <c r="HEJ79" s="684"/>
      <c r="HEK79" s="684"/>
      <c r="HEL79" s="684"/>
      <c r="HEM79" s="684"/>
      <c r="HEN79" s="684"/>
      <c r="HEO79" s="684"/>
      <c r="HEP79" s="684"/>
      <c r="HEQ79" s="684"/>
      <c r="HER79" s="684"/>
      <c r="HES79" s="684"/>
      <c r="HET79" s="684"/>
      <c r="HEU79" s="684"/>
      <c r="HEV79" s="684"/>
      <c r="HEW79" s="684"/>
      <c r="HEX79" s="684"/>
      <c r="HEY79" s="684"/>
      <c r="HEZ79" s="684"/>
      <c r="HFA79" s="684"/>
      <c r="HFB79" s="684"/>
      <c r="HFC79" s="684"/>
      <c r="HFD79" s="684"/>
      <c r="HFE79" s="684"/>
      <c r="HFF79" s="684"/>
      <c r="HFG79" s="684"/>
      <c r="HFH79" s="684"/>
      <c r="HFI79" s="684"/>
      <c r="HFJ79" s="684"/>
      <c r="HFK79" s="684"/>
      <c r="HFL79" s="684"/>
      <c r="HFM79" s="684"/>
      <c r="HFN79" s="684"/>
      <c r="HFO79" s="684"/>
      <c r="HFP79" s="684"/>
      <c r="HFQ79" s="684"/>
      <c r="HFR79" s="684"/>
      <c r="HFS79" s="684"/>
      <c r="HFT79" s="684"/>
      <c r="HFU79" s="684"/>
      <c r="HFV79" s="684"/>
      <c r="HFW79" s="684"/>
      <c r="HFX79" s="684"/>
      <c r="HFY79" s="684"/>
      <c r="HFZ79" s="684"/>
      <c r="HGA79" s="684"/>
      <c r="HGB79" s="684"/>
      <c r="HGC79" s="684"/>
      <c r="HGD79" s="684"/>
      <c r="HGE79" s="684"/>
      <c r="HGF79" s="684"/>
      <c r="HGG79" s="684"/>
      <c r="HGH79" s="684"/>
      <c r="HGI79" s="684"/>
      <c r="HGJ79" s="684"/>
      <c r="HGK79" s="684"/>
      <c r="HGL79" s="684"/>
      <c r="HGM79" s="684"/>
      <c r="HGN79" s="684"/>
      <c r="HGO79" s="684"/>
      <c r="HGP79" s="684"/>
      <c r="HGQ79" s="684"/>
      <c r="HGR79" s="684"/>
      <c r="HGS79" s="684"/>
      <c r="HGT79" s="684"/>
      <c r="HGU79" s="684"/>
      <c r="HGV79" s="684"/>
      <c r="HGW79" s="684"/>
      <c r="HGX79" s="684"/>
      <c r="HGY79" s="684"/>
      <c r="HGZ79" s="684"/>
      <c r="HHA79" s="684"/>
      <c r="HHB79" s="684"/>
      <c r="HHC79" s="684"/>
      <c r="HHD79" s="684"/>
      <c r="HHE79" s="684"/>
      <c r="HHF79" s="684"/>
      <c r="HHG79" s="684"/>
      <c r="HHH79" s="684"/>
      <c r="HHI79" s="684"/>
      <c r="HHJ79" s="684"/>
      <c r="HHK79" s="684"/>
      <c r="HHL79" s="684"/>
      <c r="HHM79" s="684"/>
      <c r="HHN79" s="684"/>
      <c r="HHO79" s="684"/>
      <c r="HHP79" s="684"/>
      <c r="HHQ79" s="684"/>
      <c r="HHR79" s="684"/>
      <c r="HHS79" s="684"/>
      <c r="HHT79" s="684"/>
      <c r="HHU79" s="684"/>
      <c r="HHV79" s="684"/>
      <c r="HHW79" s="684"/>
      <c r="HHX79" s="684"/>
      <c r="HHY79" s="684"/>
      <c r="HHZ79" s="684"/>
      <c r="HIA79" s="684"/>
      <c r="HIB79" s="684"/>
      <c r="HIC79" s="684"/>
      <c r="HID79" s="684"/>
      <c r="HIE79" s="684"/>
      <c r="HIF79" s="684"/>
      <c r="HIG79" s="684"/>
      <c r="HIH79" s="684"/>
      <c r="HII79" s="684"/>
      <c r="HIJ79" s="684"/>
      <c r="HIK79" s="684"/>
      <c r="HIL79" s="684"/>
      <c r="HIM79" s="684"/>
      <c r="HIN79" s="684"/>
      <c r="HIO79" s="684"/>
      <c r="HIP79" s="684"/>
      <c r="HIQ79" s="684"/>
      <c r="HIR79" s="684"/>
      <c r="HIS79" s="684"/>
      <c r="HIT79" s="684"/>
      <c r="HIU79" s="684"/>
      <c r="HIV79" s="684"/>
      <c r="HIW79" s="684"/>
      <c r="HIX79" s="684"/>
      <c r="HIY79" s="684"/>
      <c r="HIZ79" s="684"/>
      <c r="HJA79" s="684"/>
      <c r="HJB79" s="684"/>
      <c r="HJC79" s="684"/>
      <c r="HJD79" s="684"/>
      <c r="HJE79" s="684"/>
      <c r="HJF79" s="684"/>
      <c r="HJG79" s="684"/>
      <c r="HJH79" s="684"/>
      <c r="HJI79" s="684"/>
      <c r="HJJ79" s="684"/>
      <c r="HJK79" s="684"/>
      <c r="HJL79" s="684"/>
      <c r="HJM79" s="684"/>
      <c r="HJN79" s="684"/>
      <c r="HJO79" s="684"/>
      <c r="HJP79" s="684"/>
      <c r="HJQ79" s="684"/>
      <c r="HJR79" s="684"/>
      <c r="HJS79" s="684"/>
      <c r="HJT79" s="684"/>
      <c r="HJU79" s="684"/>
      <c r="HJV79" s="684"/>
      <c r="HJW79" s="684"/>
      <c r="HJX79" s="684"/>
      <c r="HJY79" s="684"/>
      <c r="HJZ79" s="684"/>
      <c r="HKA79" s="684"/>
      <c r="HKB79" s="684"/>
      <c r="HKC79" s="684"/>
      <c r="HKD79" s="684"/>
      <c r="HKE79" s="684"/>
      <c r="HKF79" s="684"/>
      <c r="HKG79" s="684"/>
      <c r="HKH79" s="684"/>
      <c r="HKI79" s="684"/>
      <c r="HKJ79" s="684"/>
      <c r="HKK79" s="684"/>
      <c r="HKL79" s="684"/>
      <c r="HKM79" s="684"/>
      <c r="HKN79" s="684"/>
      <c r="HKO79" s="684"/>
      <c r="HKP79" s="684"/>
      <c r="HKQ79" s="684"/>
      <c r="HKR79" s="684"/>
      <c r="HKS79" s="684"/>
      <c r="HKT79" s="684"/>
      <c r="HKU79" s="684"/>
      <c r="HKV79" s="684"/>
      <c r="HKW79" s="684"/>
      <c r="HKX79" s="684"/>
      <c r="HKY79" s="684"/>
      <c r="HKZ79" s="684"/>
      <c r="HLA79" s="684"/>
      <c r="HLB79" s="684"/>
      <c r="HLC79" s="684"/>
      <c r="HLD79" s="684"/>
      <c r="HLE79" s="684"/>
      <c r="HLF79" s="684"/>
      <c r="HLG79" s="684"/>
      <c r="HLH79" s="684"/>
      <c r="HLI79" s="684"/>
      <c r="HLJ79" s="684"/>
      <c r="HLK79" s="684"/>
      <c r="HLL79" s="684"/>
      <c r="HLM79" s="684"/>
      <c r="HLN79" s="684"/>
      <c r="HLO79" s="684"/>
      <c r="HLP79" s="684"/>
      <c r="HLQ79" s="684"/>
      <c r="HLR79" s="684"/>
      <c r="HLS79" s="684"/>
      <c r="HLT79" s="684"/>
      <c r="HLU79" s="684"/>
      <c r="HLV79" s="684"/>
      <c r="HLW79" s="684"/>
      <c r="HLX79" s="684"/>
      <c r="HLY79" s="684"/>
      <c r="HLZ79" s="684"/>
      <c r="HMA79" s="684"/>
      <c r="HMB79" s="684"/>
      <c r="HMC79" s="684"/>
      <c r="HMD79" s="684"/>
      <c r="HME79" s="684"/>
      <c r="HMF79" s="684"/>
      <c r="HMG79" s="684"/>
      <c r="HMH79" s="684"/>
      <c r="HMI79" s="684"/>
      <c r="HMJ79" s="684"/>
      <c r="HMK79" s="684"/>
      <c r="HML79" s="684"/>
      <c r="HMM79" s="684"/>
      <c r="HMN79" s="684"/>
      <c r="HMO79" s="684"/>
      <c r="HMP79" s="684"/>
      <c r="HMQ79" s="684"/>
      <c r="HMR79" s="684"/>
      <c r="HMS79" s="684"/>
      <c r="HMT79" s="684"/>
      <c r="HMU79" s="684"/>
      <c r="HMV79" s="684"/>
      <c r="HMW79" s="684"/>
      <c r="HMX79" s="684"/>
      <c r="HMY79" s="684"/>
      <c r="HMZ79" s="684"/>
      <c r="HNA79" s="684"/>
      <c r="HNB79" s="684"/>
      <c r="HNC79" s="684"/>
      <c r="HND79" s="684"/>
      <c r="HNE79" s="684"/>
      <c r="HNF79" s="684"/>
      <c r="HNG79" s="684"/>
      <c r="HNH79" s="684"/>
      <c r="HNI79" s="684"/>
      <c r="HNJ79" s="684"/>
      <c r="HNK79" s="684"/>
      <c r="HNL79" s="684"/>
      <c r="HNM79" s="684"/>
      <c r="HNN79" s="684"/>
      <c r="HNO79" s="684"/>
      <c r="HNP79" s="684"/>
      <c r="HNQ79" s="684"/>
      <c r="HNR79" s="684"/>
      <c r="HNS79" s="684"/>
      <c r="HNT79" s="684"/>
      <c r="HNU79" s="684"/>
      <c r="HNV79" s="684"/>
      <c r="HNW79" s="684"/>
      <c r="HNX79" s="684"/>
      <c r="HNY79" s="684"/>
      <c r="HNZ79" s="684"/>
      <c r="HOA79" s="684"/>
      <c r="HOB79" s="684"/>
      <c r="HOC79" s="684"/>
      <c r="HOD79" s="684"/>
      <c r="HOE79" s="684"/>
      <c r="HOF79" s="684"/>
      <c r="HOG79" s="684"/>
      <c r="HOH79" s="684"/>
      <c r="HOI79" s="684"/>
      <c r="HOJ79" s="684"/>
      <c r="HOK79" s="684"/>
      <c r="HOL79" s="684"/>
      <c r="HOM79" s="684"/>
      <c r="HON79" s="684"/>
      <c r="HOO79" s="684"/>
      <c r="HOP79" s="684"/>
      <c r="HOQ79" s="684"/>
      <c r="HOR79" s="684"/>
      <c r="HOS79" s="684"/>
      <c r="HOT79" s="684"/>
      <c r="HOU79" s="684"/>
      <c r="HOV79" s="684"/>
      <c r="HOW79" s="684"/>
      <c r="HOX79" s="684"/>
      <c r="HOY79" s="684"/>
      <c r="HOZ79" s="684"/>
      <c r="HPA79" s="684"/>
      <c r="HPB79" s="684"/>
      <c r="HPC79" s="684"/>
      <c r="HPD79" s="684"/>
      <c r="HPE79" s="684"/>
      <c r="HPF79" s="684"/>
      <c r="HPG79" s="684"/>
      <c r="HPH79" s="684"/>
      <c r="HPI79" s="684"/>
      <c r="HPJ79" s="684"/>
      <c r="HPK79" s="684"/>
      <c r="HPL79" s="684"/>
      <c r="HPM79" s="684"/>
      <c r="HPN79" s="684"/>
      <c r="HPO79" s="684"/>
      <c r="HPP79" s="684"/>
      <c r="HPQ79" s="684"/>
      <c r="HPR79" s="684"/>
      <c r="HPS79" s="684"/>
      <c r="HPT79" s="684"/>
      <c r="HPU79" s="684"/>
      <c r="HPV79" s="684"/>
      <c r="HPW79" s="684"/>
      <c r="HPX79" s="684"/>
      <c r="HPY79" s="684"/>
      <c r="HPZ79" s="684"/>
      <c r="HQA79" s="684"/>
      <c r="HQB79" s="684"/>
      <c r="HQC79" s="684"/>
      <c r="HQD79" s="684"/>
      <c r="HQE79" s="684"/>
      <c r="HQF79" s="684"/>
      <c r="HQG79" s="684"/>
      <c r="HQH79" s="684"/>
      <c r="HQI79" s="684"/>
      <c r="HQJ79" s="684"/>
      <c r="HQK79" s="684"/>
      <c r="HQL79" s="684"/>
      <c r="HQM79" s="684"/>
      <c r="HQN79" s="684"/>
      <c r="HQO79" s="684"/>
      <c r="HQP79" s="684"/>
      <c r="HQQ79" s="684"/>
      <c r="HQR79" s="684"/>
      <c r="HQS79" s="684"/>
      <c r="HQT79" s="684"/>
      <c r="HQU79" s="684"/>
      <c r="HQV79" s="684"/>
      <c r="HQW79" s="684"/>
      <c r="HQX79" s="684"/>
      <c r="HQY79" s="684"/>
      <c r="HQZ79" s="684"/>
      <c r="HRA79" s="684"/>
      <c r="HRB79" s="684"/>
      <c r="HRC79" s="684"/>
      <c r="HRD79" s="684"/>
      <c r="HRE79" s="684"/>
      <c r="HRF79" s="684"/>
      <c r="HRG79" s="684"/>
      <c r="HRH79" s="684"/>
      <c r="HRI79" s="684"/>
      <c r="HRJ79" s="684"/>
      <c r="HRK79" s="684"/>
      <c r="HRL79" s="684"/>
      <c r="HRM79" s="684"/>
      <c r="HRN79" s="684"/>
      <c r="HRO79" s="684"/>
      <c r="HRP79" s="684"/>
      <c r="HRQ79" s="684"/>
      <c r="HRR79" s="684"/>
      <c r="HRS79" s="684"/>
      <c r="HRT79" s="684"/>
      <c r="HRU79" s="684"/>
      <c r="HRV79" s="684"/>
      <c r="HRW79" s="684"/>
      <c r="HRX79" s="684"/>
      <c r="HRY79" s="684"/>
      <c r="HRZ79" s="684"/>
      <c r="HSA79" s="684"/>
      <c r="HSB79" s="684"/>
      <c r="HSC79" s="684"/>
      <c r="HSD79" s="684"/>
      <c r="HSE79" s="684"/>
      <c r="HSF79" s="684"/>
      <c r="HSG79" s="684"/>
      <c r="HSH79" s="684"/>
      <c r="HSI79" s="684"/>
      <c r="HSJ79" s="684"/>
      <c r="HSK79" s="684"/>
      <c r="HSL79" s="684"/>
      <c r="HSM79" s="684"/>
      <c r="HSN79" s="684"/>
      <c r="HSO79" s="684"/>
      <c r="HSP79" s="684"/>
      <c r="HSQ79" s="684"/>
      <c r="HSR79" s="684"/>
      <c r="HSS79" s="684"/>
      <c r="HST79" s="684"/>
      <c r="HSU79" s="684"/>
      <c r="HSV79" s="684"/>
      <c r="HSW79" s="684"/>
      <c r="HSX79" s="684"/>
      <c r="HSY79" s="684"/>
      <c r="HSZ79" s="684"/>
      <c r="HTA79" s="684"/>
      <c r="HTB79" s="684"/>
      <c r="HTC79" s="684"/>
      <c r="HTD79" s="684"/>
      <c r="HTE79" s="684"/>
      <c r="HTF79" s="684"/>
      <c r="HTG79" s="684"/>
      <c r="HTH79" s="684"/>
      <c r="HTI79" s="684"/>
      <c r="HTJ79" s="684"/>
      <c r="HTK79" s="684"/>
      <c r="HTL79" s="684"/>
      <c r="HTM79" s="684"/>
      <c r="HTN79" s="684"/>
      <c r="HTO79" s="684"/>
      <c r="HTP79" s="684"/>
      <c r="HTQ79" s="684"/>
      <c r="HTR79" s="684"/>
      <c r="HTS79" s="684"/>
      <c r="HTT79" s="684"/>
      <c r="HTU79" s="684"/>
      <c r="HTV79" s="684"/>
      <c r="HTW79" s="684"/>
      <c r="HTX79" s="684"/>
      <c r="HTY79" s="684"/>
      <c r="HTZ79" s="684"/>
      <c r="HUA79" s="684"/>
      <c r="HUB79" s="684"/>
      <c r="HUC79" s="684"/>
      <c r="HUD79" s="684"/>
      <c r="HUE79" s="684"/>
      <c r="HUF79" s="684"/>
      <c r="HUG79" s="684"/>
      <c r="HUH79" s="684"/>
      <c r="HUI79" s="684"/>
      <c r="HUJ79" s="684"/>
      <c r="HUK79" s="684"/>
      <c r="HUL79" s="684"/>
      <c r="HUM79" s="684"/>
      <c r="HUN79" s="684"/>
      <c r="HUO79" s="684"/>
      <c r="HUP79" s="684"/>
      <c r="HUQ79" s="684"/>
      <c r="HUR79" s="684"/>
      <c r="HUS79" s="684"/>
      <c r="HUT79" s="684"/>
      <c r="HUU79" s="684"/>
      <c r="HUV79" s="684"/>
      <c r="HUW79" s="684"/>
      <c r="HUX79" s="684"/>
      <c r="HUY79" s="684"/>
      <c r="HUZ79" s="684"/>
      <c r="HVA79" s="684"/>
      <c r="HVB79" s="684"/>
      <c r="HVC79" s="684"/>
      <c r="HVD79" s="684"/>
      <c r="HVE79" s="684"/>
      <c r="HVF79" s="684"/>
      <c r="HVG79" s="684"/>
      <c r="HVH79" s="684"/>
      <c r="HVI79" s="684"/>
      <c r="HVJ79" s="684"/>
      <c r="HVK79" s="684"/>
      <c r="HVL79" s="684"/>
      <c r="HVM79" s="684"/>
      <c r="HVN79" s="684"/>
      <c r="HVO79" s="684"/>
      <c r="HVP79" s="684"/>
      <c r="HVQ79" s="684"/>
      <c r="HVR79" s="684"/>
      <c r="HVS79" s="684"/>
      <c r="HVT79" s="684"/>
      <c r="HVU79" s="684"/>
      <c r="HVV79" s="684"/>
      <c r="HVW79" s="684"/>
      <c r="HVX79" s="684"/>
      <c r="HVY79" s="684"/>
      <c r="HVZ79" s="684"/>
      <c r="HWA79" s="684"/>
      <c r="HWB79" s="684"/>
      <c r="HWC79" s="684"/>
      <c r="HWD79" s="684"/>
      <c r="HWE79" s="684"/>
      <c r="HWF79" s="684"/>
      <c r="HWG79" s="684"/>
      <c r="HWH79" s="684"/>
      <c r="HWI79" s="684"/>
      <c r="HWJ79" s="684"/>
      <c r="HWK79" s="684"/>
      <c r="HWL79" s="684"/>
      <c r="HWM79" s="684"/>
      <c r="HWN79" s="684"/>
      <c r="HWO79" s="684"/>
      <c r="HWP79" s="684"/>
      <c r="HWQ79" s="684"/>
      <c r="HWR79" s="684"/>
      <c r="HWS79" s="684"/>
      <c r="HWT79" s="684"/>
      <c r="HWU79" s="684"/>
      <c r="HWV79" s="684"/>
      <c r="HWW79" s="684"/>
      <c r="HWX79" s="684"/>
      <c r="HWY79" s="684"/>
      <c r="HWZ79" s="684"/>
      <c r="HXA79" s="684"/>
      <c r="HXB79" s="684"/>
      <c r="HXC79" s="684"/>
      <c r="HXD79" s="684"/>
      <c r="HXE79" s="684"/>
      <c r="HXF79" s="684"/>
      <c r="HXG79" s="684"/>
      <c r="HXH79" s="684"/>
      <c r="HXI79" s="684"/>
      <c r="HXJ79" s="684"/>
      <c r="HXK79" s="684"/>
      <c r="HXL79" s="684"/>
      <c r="HXM79" s="684"/>
      <c r="HXN79" s="684"/>
      <c r="HXO79" s="684"/>
      <c r="HXP79" s="684"/>
      <c r="HXQ79" s="684"/>
      <c r="HXR79" s="684"/>
      <c r="HXS79" s="684"/>
      <c r="HXT79" s="684"/>
      <c r="HXU79" s="684"/>
      <c r="HXV79" s="684"/>
      <c r="HXW79" s="684"/>
      <c r="HXX79" s="684"/>
      <c r="HXY79" s="684"/>
      <c r="HXZ79" s="684"/>
      <c r="HYA79" s="684"/>
      <c r="HYB79" s="684"/>
      <c r="HYC79" s="684"/>
      <c r="HYD79" s="684"/>
      <c r="HYE79" s="684"/>
      <c r="HYF79" s="684"/>
      <c r="HYG79" s="684"/>
      <c r="HYH79" s="684"/>
      <c r="HYI79" s="684"/>
      <c r="HYJ79" s="684"/>
      <c r="HYK79" s="684"/>
      <c r="HYL79" s="684"/>
      <c r="HYM79" s="684"/>
      <c r="HYN79" s="684"/>
      <c r="HYO79" s="684"/>
      <c r="HYP79" s="684"/>
      <c r="HYQ79" s="684"/>
      <c r="HYR79" s="684"/>
      <c r="HYS79" s="684"/>
      <c r="HYT79" s="684"/>
      <c r="HYU79" s="684"/>
      <c r="HYV79" s="684"/>
      <c r="HYW79" s="684"/>
      <c r="HYX79" s="684"/>
      <c r="HYY79" s="684"/>
      <c r="HYZ79" s="684"/>
      <c r="HZA79" s="684"/>
      <c r="HZB79" s="684"/>
      <c r="HZC79" s="684"/>
      <c r="HZD79" s="684"/>
      <c r="HZE79" s="684"/>
      <c r="HZF79" s="684"/>
      <c r="HZG79" s="684"/>
      <c r="HZH79" s="684"/>
      <c r="HZI79" s="684"/>
      <c r="HZJ79" s="684"/>
      <c r="HZK79" s="684"/>
      <c r="HZL79" s="684"/>
      <c r="HZM79" s="684"/>
      <c r="HZN79" s="684"/>
      <c r="HZO79" s="684"/>
      <c r="HZP79" s="684"/>
      <c r="HZQ79" s="684"/>
      <c r="HZR79" s="684"/>
      <c r="HZS79" s="684"/>
      <c r="HZT79" s="684"/>
      <c r="HZU79" s="684"/>
      <c r="HZV79" s="684"/>
      <c r="HZW79" s="684"/>
      <c r="HZX79" s="684"/>
      <c r="HZY79" s="684"/>
      <c r="HZZ79" s="684"/>
      <c r="IAA79" s="684"/>
      <c r="IAB79" s="684"/>
      <c r="IAC79" s="684"/>
      <c r="IAD79" s="684"/>
      <c r="IAE79" s="684"/>
      <c r="IAF79" s="684"/>
      <c r="IAG79" s="684"/>
      <c r="IAH79" s="684"/>
      <c r="IAI79" s="684"/>
      <c r="IAJ79" s="684"/>
      <c r="IAK79" s="684"/>
      <c r="IAL79" s="684"/>
      <c r="IAM79" s="684"/>
      <c r="IAN79" s="684"/>
      <c r="IAO79" s="684"/>
      <c r="IAP79" s="684"/>
      <c r="IAQ79" s="684"/>
      <c r="IAR79" s="684"/>
      <c r="IAS79" s="684"/>
      <c r="IAT79" s="684"/>
      <c r="IAU79" s="684"/>
      <c r="IAV79" s="684"/>
      <c r="IAW79" s="684"/>
      <c r="IAX79" s="684"/>
      <c r="IAY79" s="684"/>
      <c r="IAZ79" s="684"/>
      <c r="IBA79" s="684"/>
      <c r="IBB79" s="684"/>
      <c r="IBC79" s="684"/>
      <c r="IBD79" s="684"/>
      <c r="IBE79" s="684"/>
      <c r="IBF79" s="684"/>
      <c r="IBG79" s="684"/>
      <c r="IBH79" s="684"/>
      <c r="IBI79" s="684"/>
      <c r="IBJ79" s="684"/>
      <c r="IBK79" s="684"/>
      <c r="IBL79" s="684"/>
      <c r="IBM79" s="684"/>
      <c r="IBN79" s="684"/>
      <c r="IBO79" s="684"/>
      <c r="IBP79" s="684"/>
      <c r="IBQ79" s="684"/>
      <c r="IBR79" s="684"/>
      <c r="IBS79" s="684"/>
      <c r="IBT79" s="684"/>
      <c r="IBU79" s="684"/>
      <c r="IBV79" s="684"/>
      <c r="IBW79" s="684"/>
      <c r="IBX79" s="684"/>
      <c r="IBY79" s="684"/>
      <c r="IBZ79" s="684"/>
      <c r="ICA79" s="684"/>
      <c r="ICB79" s="684"/>
      <c r="ICC79" s="684"/>
      <c r="ICD79" s="684"/>
      <c r="ICE79" s="684"/>
      <c r="ICF79" s="684"/>
      <c r="ICG79" s="684"/>
      <c r="ICH79" s="684"/>
      <c r="ICI79" s="684"/>
      <c r="ICJ79" s="684"/>
      <c r="ICK79" s="684"/>
      <c r="ICL79" s="684"/>
      <c r="ICM79" s="684"/>
      <c r="ICN79" s="684"/>
      <c r="ICO79" s="684"/>
      <c r="ICP79" s="684"/>
      <c r="ICQ79" s="684"/>
      <c r="ICR79" s="684"/>
      <c r="ICS79" s="684"/>
      <c r="ICT79" s="684"/>
      <c r="ICU79" s="684"/>
      <c r="ICV79" s="684"/>
      <c r="ICW79" s="684"/>
      <c r="ICX79" s="684"/>
      <c r="ICY79" s="684"/>
      <c r="ICZ79" s="684"/>
      <c r="IDA79" s="684"/>
      <c r="IDB79" s="684"/>
      <c r="IDC79" s="684"/>
      <c r="IDD79" s="684"/>
      <c r="IDE79" s="684"/>
      <c r="IDF79" s="684"/>
      <c r="IDG79" s="684"/>
      <c r="IDH79" s="684"/>
      <c r="IDI79" s="684"/>
      <c r="IDJ79" s="684"/>
      <c r="IDK79" s="684"/>
      <c r="IDL79" s="684"/>
      <c r="IDM79" s="684"/>
      <c r="IDN79" s="684"/>
      <c r="IDO79" s="684"/>
      <c r="IDP79" s="684"/>
      <c r="IDQ79" s="684"/>
      <c r="IDR79" s="684"/>
      <c r="IDS79" s="684"/>
      <c r="IDT79" s="684"/>
      <c r="IDU79" s="684"/>
      <c r="IDV79" s="684"/>
      <c r="IDW79" s="684"/>
      <c r="IDX79" s="684"/>
      <c r="IDY79" s="684"/>
      <c r="IDZ79" s="684"/>
      <c r="IEA79" s="684"/>
      <c r="IEB79" s="684"/>
      <c r="IEC79" s="684"/>
      <c r="IED79" s="684"/>
      <c r="IEE79" s="684"/>
      <c r="IEF79" s="684"/>
      <c r="IEG79" s="684"/>
      <c r="IEH79" s="684"/>
      <c r="IEI79" s="684"/>
      <c r="IEJ79" s="684"/>
      <c r="IEK79" s="684"/>
      <c r="IEL79" s="684"/>
      <c r="IEM79" s="684"/>
      <c r="IEN79" s="684"/>
      <c r="IEO79" s="684"/>
      <c r="IEP79" s="684"/>
      <c r="IEQ79" s="684"/>
      <c r="IER79" s="684"/>
      <c r="IES79" s="684"/>
      <c r="IET79" s="684"/>
      <c r="IEU79" s="684"/>
      <c r="IEV79" s="684"/>
      <c r="IEW79" s="684"/>
      <c r="IEX79" s="684"/>
      <c r="IEY79" s="684"/>
      <c r="IEZ79" s="684"/>
      <c r="IFA79" s="684"/>
      <c r="IFB79" s="684"/>
      <c r="IFC79" s="684"/>
      <c r="IFD79" s="684"/>
      <c r="IFE79" s="684"/>
      <c r="IFF79" s="684"/>
      <c r="IFG79" s="684"/>
      <c r="IFH79" s="684"/>
      <c r="IFI79" s="684"/>
      <c r="IFJ79" s="684"/>
      <c r="IFK79" s="684"/>
      <c r="IFL79" s="684"/>
      <c r="IFM79" s="684"/>
      <c r="IFN79" s="684"/>
      <c r="IFO79" s="684"/>
      <c r="IFP79" s="684"/>
      <c r="IFQ79" s="684"/>
      <c r="IFR79" s="684"/>
      <c r="IFS79" s="684"/>
      <c r="IFT79" s="684"/>
      <c r="IFU79" s="684"/>
      <c r="IFV79" s="684"/>
      <c r="IFW79" s="684"/>
      <c r="IFX79" s="684"/>
      <c r="IFY79" s="684"/>
      <c r="IFZ79" s="684"/>
      <c r="IGA79" s="684"/>
      <c r="IGB79" s="684"/>
      <c r="IGC79" s="684"/>
      <c r="IGD79" s="684"/>
      <c r="IGE79" s="684"/>
      <c r="IGF79" s="684"/>
      <c r="IGG79" s="684"/>
      <c r="IGH79" s="684"/>
      <c r="IGI79" s="684"/>
      <c r="IGJ79" s="684"/>
      <c r="IGK79" s="684"/>
      <c r="IGL79" s="684"/>
      <c r="IGM79" s="684"/>
      <c r="IGN79" s="684"/>
      <c r="IGO79" s="684"/>
      <c r="IGP79" s="684"/>
      <c r="IGQ79" s="684"/>
      <c r="IGR79" s="684"/>
      <c r="IGS79" s="684"/>
      <c r="IGT79" s="684"/>
      <c r="IGU79" s="684"/>
      <c r="IGV79" s="684"/>
      <c r="IGW79" s="684"/>
      <c r="IGX79" s="684"/>
      <c r="IGY79" s="684"/>
      <c r="IGZ79" s="684"/>
      <c r="IHA79" s="684"/>
      <c r="IHB79" s="684"/>
      <c r="IHC79" s="684"/>
      <c r="IHD79" s="684"/>
      <c r="IHE79" s="684"/>
      <c r="IHF79" s="684"/>
      <c r="IHG79" s="684"/>
      <c r="IHH79" s="684"/>
      <c r="IHI79" s="684"/>
      <c r="IHJ79" s="684"/>
      <c r="IHK79" s="684"/>
      <c r="IHL79" s="684"/>
      <c r="IHM79" s="684"/>
      <c r="IHN79" s="684"/>
      <c r="IHO79" s="684"/>
      <c r="IHP79" s="684"/>
      <c r="IHQ79" s="684"/>
      <c r="IHR79" s="684"/>
      <c r="IHS79" s="684"/>
      <c r="IHT79" s="684"/>
      <c r="IHU79" s="684"/>
      <c r="IHV79" s="684"/>
      <c r="IHW79" s="684"/>
      <c r="IHX79" s="684"/>
      <c r="IHY79" s="684"/>
      <c r="IHZ79" s="684"/>
      <c r="IIA79" s="684"/>
      <c r="IIB79" s="684"/>
      <c r="IIC79" s="684"/>
      <c r="IID79" s="684"/>
      <c r="IIE79" s="684"/>
      <c r="IIF79" s="684"/>
      <c r="IIG79" s="684"/>
      <c r="IIH79" s="684"/>
      <c r="III79" s="684"/>
      <c r="IIJ79" s="684"/>
      <c r="IIK79" s="684"/>
      <c r="IIL79" s="684"/>
      <c r="IIM79" s="684"/>
      <c r="IIN79" s="684"/>
      <c r="IIO79" s="684"/>
      <c r="IIP79" s="684"/>
      <c r="IIQ79" s="684"/>
      <c r="IIR79" s="684"/>
      <c r="IIS79" s="684"/>
      <c r="IIT79" s="684"/>
      <c r="IIU79" s="684"/>
      <c r="IIV79" s="684"/>
      <c r="IIW79" s="684"/>
      <c r="IIX79" s="684"/>
      <c r="IIY79" s="684"/>
      <c r="IIZ79" s="684"/>
      <c r="IJA79" s="684"/>
      <c r="IJB79" s="684"/>
      <c r="IJC79" s="684"/>
      <c r="IJD79" s="684"/>
      <c r="IJE79" s="684"/>
      <c r="IJF79" s="684"/>
      <c r="IJG79" s="684"/>
      <c r="IJH79" s="684"/>
      <c r="IJI79" s="684"/>
      <c r="IJJ79" s="684"/>
      <c r="IJK79" s="684"/>
      <c r="IJL79" s="684"/>
      <c r="IJM79" s="684"/>
      <c r="IJN79" s="684"/>
      <c r="IJO79" s="684"/>
      <c r="IJP79" s="684"/>
      <c r="IJQ79" s="684"/>
      <c r="IJR79" s="684"/>
      <c r="IJS79" s="684"/>
      <c r="IJT79" s="684"/>
      <c r="IJU79" s="684"/>
      <c r="IJV79" s="684"/>
      <c r="IJW79" s="684"/>
      <c r="IJX79" s="684"/>
      <c r="IJY79" s="684"/>
      <c r="IJZ79" s="684"/>
      <c r="IKA79" s="684"/>
      <c r="IKB79" s="684"/>
      <c r="IKC79" s="684"/>
      <c r="IKD79" s="684"/>
      <c r="IKE79" s="684"/>
      <c r="IKF79" s="684"/>
      <c r="IKG79" s="684"/>
      <c r="IKH79" s="684"/>
      <c r="IKI79" s="684"/>
      <c r="IKJ79" s="684"/>
      <c r="IKK79" s="684"/>
      <c r="IKL79" s="684"/>
      <c r="IKM79" s="684"/>
      <c r="IKN79" s="684"/>
      <c r="IKO79" s="684"/>
      <c r="IKP79" s="684"/>
      <c r="IKQ79" s="684"/>
      <c r="IKR79" s="684"/>
      <c r="IKS79" s="684"/>
      <c r="IKT79" s="684"/>
      <c r="IKU79" s="684"/>
      <c r="IKV79" s="684"/>
      <c r="IKW79" s="684"/>
      <c r="IKX79" s="684"/>
      <c r="IKY79" s="684"/>
      <c r="IKZ79" s="684"/>
      <c r="ILA79" s="684"/>
      <c r="ILB79" s="684"/>
      <c r="ILC79" s="684"/>
      <c r="ILD79" s="684"/>
      <c r="ILE79" s="684"/>
      <c r="ILF79" s="684"/>
      <c r="ILG79" s="684"/>
      <c r="ILH79" s="684"/>
      <c r="ILI79" s="684"/>
      <c r="ILJ79" s="684"/>
      <c r="ILK79" s="684"/>
      <c r="ILL79" s="684"/>
      <c r="ILM79" s="684"/>
      <c r="ILN79" s="684"/>
      <c r="ILO79" s="684"/>
      <c r="ILP79" s="684"/>
      <c r="ILQ79" s="684"/>
      <c r="ILR79" s="684"/>
      <c r="ILS79" s="684"/>
      <c r="ILT79" s="684"/>
      <c r="ILU79" s="684"/>
      <c r="ILV79" s="684"/>
      <c r="ILW79" s="684"/>
      <c r="ILX79" s="684"/>
      <c r="ILY79" s="684"/>
      <c r="ILZ79" s="684"/>
      <c r="IMA79" s="684"/>
      <c r="IMB79" s="684"/>
      <c r="IMC79" s="684"/>
      <c r="IMD79" s="684"/>
      <c r="IME79" s="684"/>
      <c r="IMF79" s="684"/>
      <c r="IMG79" s="684"/>
      <c r="IMH79" s="684"/>
      <c r="IMI79" s="684"/>
      <c r="IMJ79" s="684"/>
      <c r="IMK79" s="684"/>
      <c r="IML79" s="684"/>
      <c r="IMM79" s="684"/>
      <c r="IMN79" s="684"/>
      <c r="IMO79" s="684"/>
      <c r="IMP79" s="684"/>
      <c r="IMQ79" s="684"/>
      <c r="IMR79" s="684"/>
      <c r="IMS79" s="684"/>
      <c r="IMT79" s="684"/>
      <c r="IMU79" s="684"/>
      <c r="IMV79" s="684"/>
      <c r="IMW79" s="684"/>
      <c r="IMX79" s="684"/>
      <c r="IMY79" s="684"/>
      <c r="IMZ79" s="684"/>
      <c r="INA79" s="684"/>
      <c r="INB79" s="684"/>
      <c r="INC79" s="684"/>
      <c r="IND79" s="684"/>
      <c r="INE79" s="684"/>
      <c r="INF79" s="684"/>
      <c r="ING79" s="684"/>
      <c r="INH79" s="684"/>
      <c r="INI79" s="684"/>
      <c r="INJ79" s="684"/>
      <c r="INK79" s="684"/>
      <c r="INL79" s="684"/>
      <c r="INM79" s="684"/>
      <c r="INN79" s="684"/>
      <c r="INO79" s="684"/>
      <c r="INP79" s="684"/>
      <c r="INQ79" s="684"/>
      <c r="INR79" s="684"/>
      <c r="INS79" s="684"/>
      <c r="INT79" s="684"/>
      <c r="INU79" s="684"/>
      <c r="INV79" s="684"/>
      <c r="INW79" s="684"/>
      <c r="INX79" s="684"/>
      <c r="INY79" s="684"/>
      <c r="INZ79" s="684"/>
      <c r="IOA79" s="684"/>
      <c r="IOB79" s="684"/>
      <c r="IOC79" s="684"/>
      <c r="IOD79" s="684"/>
      <c r="IOE79" s="684"/>
      <c r="IOF79" s="684"/>
      <c r="IOG79" s="684"/>
      <c r="IOH79" s="684"/>
      <c r="IOI79" s="684"/>
      <c r="IOJ79" s="684"/>
      <c r="IOK79" s="684"/>
      <c r="IOL79" s="684"/>
      <c r="IOM79" s="684"/>
      <c r="ION79" s="684"/>
      <c r="IOO79" s="684"/>
      <c r="IOP79" s="684"/>
      <c r="IOQ79" s="684"/>
      <c r="IOR79" s="684"/>
      <c r="IOS79" s="684"/>
      <c r="IOT79" s="684"/>
      <c r="IOU79" s="684"/>
      <c r="IOV79" s="684"/>
      <c r="IOW79" s="684"/>
      <c r="IOX79" s="684"/>
      <c r="IOY79" s="684"/>
      <c r="IOZ79" s="684"/>
      <c r="IPA79" s="684"/>
      <c r="IPB79" s="684"/>
      <c r="IPC79" s="684"/>
      <c r="IPD79" s="684"/>
      <c r="IPE79" s="684"/>
      <c r="IPF79" s="684"/>
      <c r="IPG79" s="684"/>
      <c r="IPH79" s="684"/>
      <c r="IPI79" s="684"/>
      <c r="IPJ79" s="684"/>
      <c r="IPK79" s="684"/>
      <c r="IPL79" s="684"/>
      <c r="IPM79" s="684"/>
      <c r="IPN79" s="684"/>
      <c r="IPO79" s="684"/>
      <c r="IPP79" s="684"/>
      <c r="IPQ79" s="684"/>
      <c r="IPR79" s="684"/>
      <c r="IPS79" s="684"/>
      <c r="IPT79" s="684"/>
      <c r="IPU79" s="684"/>
      <c r="IPV79" s="684"/>
      <c r="IPW79" s="684"/>
      <c r="IPX79" s="684"/>
      <c r="IPY79" s="684"/>
      <c r="IPZ79" s="684"/>
      <c r="IQA79" s="684"/>
      <c r="IQB79" s="684"/>
      <c r="IQC79" s="684"/>
      <c r="IQD79" s="684"/>
      <c r="IQE79" s="684"/>
      <c r="IQF79" s="684"/>
      <c r="IQG79" s="684"/>
      <c r="IQH79" s="684"/>
      <c r="IQI79" s="684"/>
      <c r="IQJ79" s="684"/>
      <c r="IQK79" s="684"/>
      <c r="IQL79" s="684"/>
      <c r="IQM79" s="684"/>
      <c r="IQN79" s="684"/>
      <c r="IQO79" s="684"/>
      <c r="IQP79" s="684"/>
      <c r="IQQ79" s="684"/>
      <c r="IQR79" s="684"/>
      <c r="IQS79" s="684"/>
      <c r="IQT79" s="684"/>
      <c r="IQU79" s="684"/>
      <c r="IQV79" s="684"/>
      <c r="IQW79" s="684"/>
      <c r="IQX79" s="684"/>
      <c r="IQY79" s="684"/>
      <c r="IQZ79" s="684"/>
      <c r="IRA79" s="684"/>
      <c r="IRB79" s="684"/>
      <c r="IRC79" s="684"/>
      <c r="IRD79" s="684"/>
      <c r="IRE79" s="684"/>
      <c r="IRF79" s="684"/>
      <c r="IRG79" s="684"/>
      <c r="IRH79" s="684"/>
      <c r="IRI79" s="684"/>
      <c r="IRJ79" s="684"/>
      <c r="IRK79" s="684"/>
      <c r="IRL79" s="684"/>
      <c r="IRM79" s="684"/>
      <c r="IRN79" s="684"/>
      <c r="IRO79" s="684"/>
      <c r="IRP79" s="684"/>
      <c r="IRQ79" s="684"/>
      <c r="IRR79" s="684"/>
      <c r="IRS79" s="684"/>
      <c r="IRT79" s="684"/>
      <c r="IRU79" s="684"/>
      <c r="IRV79" s="684"/>
      <c r="IRW79" s="684"/>
      <c r="IRX79" s="684"/>
      <c r="IRY79" s="684"/>
      <c r="IRZ79" s="684"/>
      <c r="ISA79" s="684"/>
      <c r="ISB79" s="684"/>
      <c r="ISC79" s="684"/>
      <c r="ISD79" s="684"/>
      <c r="ISE79" s="684"/>
      <c r="ISF79" s="684"/>
      <c r="ISG79" s="684"/>
      <c r="ISH79" s="684"/>
      <c r="ISI79" s="684"/>
      <c r="ISJ79" s="684"/>
      <c r="ISK79" s="684"/>
      <c r="ISL79" s="684"/>
      <c r="ISM79" s="684"/>
      <c r="ISN79" s="684"/>
      <c r="ISO79" s="684"/>
      <c r="ISP79" s="684"/>
      <c r="ISQ79" s="684"/>
      <c r="ISR79" s="684"/>
      <c r="ISS79" s="684"/>
      <c r="IST79" s="684"/>
      <c r="ISU79" s="684"/>
      <c r="ISV79" s="684"/>
      <c r="ISW79" s="684"/>
      <c r="ISX79" s="684"/>
      <c r="ISY79" s="684"/>
      <c r="ISZ79" s="684"/>
      <c r="ITA79" s="684"/>
      <c r="ITB79" s="684"/>
      <c r="ITC79" s="684"/>
      <c r="ITD79" s="684"/>
      <c r="ITE79" s="684"/>
      <c r="ITF79" s="684"/>
      <c r="ITG79" s="684"/>
      <c r="ITH79" s="684"/>
      <c r="ITI79" s="684"/>
      <c r="ITJ79" s="684"/>
      <c r="ITK79" s="684"/>
      <c r="ITL79" s="684"/>
      <c r="ITM79" s="684"/>
      <c r="ITN79" s="684"/>
      <c r="ITO79" s="684"/>
      <c r="ITP79" s="684"/>
      <c r="ITQ79" s="684"/>
      <c r="ITR79" s="684"/>
      <c r="ITS79" s="684"/>
      <c r="ITT79" s="684"/>
      <c r="ITU79" s="684"/>
      <c r="ITV79" s="684"/>
      <c r="ITW79" s="684"/>
      <c r="ITX79" s="684"/>
      <c r="ITY79" s="684"/>
      <c r="ITZ79" s="684"/>
      <c r="IUA79" s="684"/>
      <c r="IUB79" s="684"/>
      <c r="IUC79" s="684"/>
      <c r="IUD79" s="684"/>
      <c r="IUE79" s="684"/>
      <c r="IUF79" s="684"/>
      <c r="IUG79" s="684"/>
      <c r="IUH79" s="684"/>
      <c r="IUI79" s="684"/>
      <c r="IUJ79" s="684"/>
      <c r="IUK79" s="684"/>
      <c r="IUL79" s="684"/>
      <c r="IUM79" s="684"/>
      <c r="IUN79" s="684"/>
      <c r="IUO79" s="684"/>
      <c r="IUP79" s="684"/>
      <c r="IUQ79" s="684"/>
      <c r="IUR79" s="684"/>
      <c r="IUS79" s="684"/>
      <c r="IUT79" s="684"/>
      <c r="IUU79" s="684"/>
      <c r="IUV79" s="684"/>
      <c r="IUW79" s="684"/>
      <c r="IUX79" s="684"/>
      <c r="IUY79" s="684"/>
      <c r="IUZ79" s="684"/>
      <c r="IVA79" s="684"/>
      <c r="IVB79" s="684"/>
      <c r="IVC79" s="684"/>
      <c r="IVD79" s="684"/>
      <c r="IVE79" s="684"/>
      <c r="IVF79" s="684"/>
      <c r="IVG79" s="684"/>
      <c r="IVH79" s="684"/>
      <c r="IVI79" s="684"/>
      <c r="IVJ79" s="684"/>
      <c r="IVK79" s="684"/>
      <c r="IVL79" s="684"/>
      <c r="IVM79" s="684"/>
      <c r="IVN79" s="684"/>
      <c r="IVO79" s="684"/>
      <c r="IVP79" s="684"/>
      <c r="IVQ79" s="684"/>
      <c r="IVR79" s="684"/>
      <c r="IVS79" s="684"/>
      <c r="IVT79" s="684"/>
      <c r="IVU79" s="684"/>
      <c r="IVV79" s="684"/>
      <c r="IVW79" s="684"/>
      <c r="IVX79" s="684"/>
      <c r="IVY79" s="684"/>
      <c r="IVZ79" s="684"/>
      <c r="IWA79" s="684"/>
      <c r="IWB79" s="684"/>
      <c r="IWC79" s="684"/>
      <c r="IWD79" s="684"/>
      <c r="IWE79" s="684"/>
      <c r="IWF79" s="684"/>
      <c r="IWG79" s="684"/>
      <c r="IWH79" s="684"/>
      <c r="IWI79" s="684"/>
      <c r="IWJ79" s="684"/>
      <c r="IWK79" s="684"/>
      <c r="IWL79" s="684"/>
      <c r="IWM79" s="684"/>
      <c r="IWN79" s="684"/>
      <c r="IWO79" s="684"/>
      <c r="IWP79" s="684"/>
      <c r="IWQ79" s="684"/>
      <c r="IWR79" s="684"/>
      <c r="IWS79" s="684"/>
      <c r="IWT79" s="684"/>
      <c r="IWU79" s="684"/>
      <c r="IWV79" s="684"/>
      <c r="IWW79" s="684"/>
      <c r="IWX79" s="684"/>
      <c r="IWY79" s="684"/>
      <c r="IWZ79" s="684"/>
      <c r="IXA79" s="684"/>
      <c r="IXB79" s="684"/>
      <c r="IXC79" s="684"/>
      <c r="IXD79" s="684"/>
      <c r="IXE79" s="684"/>
      <c r="IXF79" s="684"/>
      <c r="IXG79" s="684"/>
      <c r="IXH79" s="684"/>
      <c r="IXI79" s="684"/>
      <c r="IXJ79" s="684"/>
      <c r="IXK79" s="684"/>
      <c r="IXL79" s="684"/>
      <c r="IXM79" s="684"/>
      <c r="IXN79" s="684"/>
      <c r="IXO79" s="684"/>
      <c r="IXP79" s="684"/>
      <c r="IXQ79" s="684"/>
      <c r="IXR79" s="684"/>
      <c r="IXS79" s="684"/>
      <c r="IXT79" s="684"/>
      <c r="IXU79" s="684"/>
      <c r="IXV79" s="684"/>
      <c r="IXW79" s="684"/>
      <c r="IXX79" s="684"/>
      <c r="IXY79" s="684"/>
      <c r="IXZ79" s="684"/>
      <c r="IYA79" s="684"/>
      <c r="IYB79" s="684"/>
      <c r="IYC79" s="684"/>
      <c r="IYD79" s="684"/>
      <c r="IYE79" s="684"/>
      <c r="IYF79" s="684"/>
      <c r="IYG79" s="684"/>
      <c r="IYH79" s="684"/>
      <c r="IYI79" s="684"/>
      <c r="IYJ79" s="684"/>
      <c r="IYK79" s="684"/>
      <c r="IYL79" s="684"/>
      <c r="IYM79" s="684"/>
      <c r="IYN79" s="684"/>
      <c r="IYO79" s="684"/>
      <c r="IYP79" s="684"/>
      <c r="IYQ79" s="684"/>
      <c r="IYR79" s="684"/>
      <c r="IYS79" s="684"/>
      <c r="IYT79" s="684"/>
      <c r="IYU79" s="684"/>
      <c r="IYV79" s="684"/>
      <c r="IYW79" s="684"/>
      <c r="IYX79" s="684"/>
      <c r="IYY79" s="684"/>
      <c r="IYZ79" s="684"/>
      <c r="IZA79" s="684"/>
      <c r="IZB79" s="684"/>
      <c r="IZC79" s="684"/>
      <c r="IZD79" s="684"/>
      <c r="IZE79" s="684"/>
      <c r="IZF79" s="684"/>
      <c r="IZG79" s="684"/>
      <c r="IZH79" s="684"/>
      <c r="IZI79" s="684"/>
      <c r="IZJ79" s="684"/>
      <c r="IZK79" s="684"/>
      <c r="IZL79" s="684"/>
      <c r="IZM79" s="684"/>
      <c r="IZN79" s="684"/>
      <c r="IZO79" s="684"/>
      <c r="IZP79" s="684"/>
      <c r="IZQ79" s="684"/>
      <c r="IZR79" s="684"/>
      <c r="IZS79" s="684"/>
      <c r="IZT79" s="684"/>
      <c r="IZU79" s="684"/>
      <c r="IZV79" s="684"/>
      <c r="IZW79" s="684"/>
      <c r="IZX79" s="684"/>
      <c r="IZY79" s="684"/>
      <c r="IZZ79" s="684"/>
      <c r="JAA79" s="684"/>
      <c r="JAB79" s="684"/>
      <c r="JAC79" s="684"/>
      <c r="JAD79" s="684"/>
      <c r="JAE79" s="684"/>
      <c r="JAF79" s="684"/>
      <c r="JAG79" s="684"/>
      <c r="JAH79" s="684"/>
      <c r="JAI79" s="684"/>
      <c r="JAJ79" s="684"/>
      <c r="JAK79" s="684"/>
      <c r="JAL79" s="684"/>
      <c r="JAM79" s="684"/>
      <c r="JAN79" s="684"/>
      <c r="JAO79" s="684"/>
      <c r="JAP79" s="684"/>
      <c r="JAQ79" s="684"/>
      <c r="JAR79" s="684"/>
      <c r="JAS79" s="684"/>
      <c r="JAT79" s="684"/>
      <c r="JAU79" s="684"/>
      <c r="JAV79" s="684"/>
      <c r="JAW79" s="684"/>
      <c r="JAX79" s="684"/>
      <c r="JAY79" s="684"/>
      <c r="JAZ79" s="684"/>
      <c r="JBA79" s="684"/>
      <c r="JBB79" s="684"/>
      <c r="JBC79" s="684"/>
      <c r="JBD79" s="684"/>
      <c r="JBE79" s="684"/>
      <c r="JBF79" s="684"/>
      <c r="JBG79" s="684"/>
      <c r="JBH79" s="684"/>
      <c r="JBI79" s="684"/>
      <c r="JBJ79" s="684"/>
      <c r="JBK79" s="684"/>
      <c r="JBL79" s="684"/>
      <c r="JBM79" s="684"/>
      <c r="JBN79" s="684"/>
      <c r="JBO79" s="684"/>
      <c r="JBP79" s="684"/>
      <c r="JBQ79" s="684"/>
      <c r="JBR79" s="684"/>
      <c r="JBS79" s="684"/>
      <c r="JBT79" s="684"/>
      <c r="JBU79" s="684"/>
      <c r="JBV79" s="684"/>
      <c r="JBW79" s="684"/>
      <c r="JBX79" s="684"/>
      <c r="JBY79" s="684"/>
      <c r="JBZ79" s="684"/>
      <c r="JCA79" s="684"/>
      <c r="JCB79" s="684"/>
      <c r="JCC79" s="684"/>
      <c r="JCD79" s="684"/>
      <c r="JCE79" s="684"/>
      <c r="JCF79" s="684"/>
      <c r="JCG79" s="684"/>
      <c r="JCH79" s="684"/>
      <c r="JCI79" s="684"/>
      <c r="JCJ79" s="684"/>
      <c r="JCK79" s="684"/>
      <c r="JCL79" s="684"/>
      <c r="JCM79" s="684"/>
      <c r="JCN79" s="684"/>
      <c r="JCO79" s="684"/>
      <c r="JCP79" s="684"/>
      <c r="JCQ79" s="684"/>
      <c r="JCR79" s="684"/>
      <c r="JCS79" s="684"/>
      <c r="JCT79" s="684"/>
      <c r="JCU79" s="684"/>
      <c r="JCV79" s="684"/>
      <c r="JCW79" s="684"/>
      <c r="JCX79" s="684"/>
      <c r="JCY79" s="684"/>
      <c r="JCZ79" s="684"/>
      <c r="JDA79" s="684"/>
      <c r="JDB79" s="684"/>
      <c r="JDC79" s="684"/>
      <c r="JDD79" s="684"/>
      <c r="JDE79" s="684"/>
      <c r="JDF79" s="684"/>
      <c r="JDG79" s="684"/>
      <c r="JDH79" s="684"/>
      <c r="JDI79" s="684"/>
      <c r="JDJ79" s="684"/>
      <c r="JDK79" s="684"/>
      <c r="JDL79" s="684"/>
      <c r="JDM79" s="684"/>
      <c r="JDN79" s="684"/>
      <c r="JDO79" s="684"/>
      <c r="JDP79" s="684"/>
      <c r="JDQ79" s="684"/>
      <c r="JDR79" s="684"/>
      <c r="JDS79" s="684"/>
      <c r="JDT79" s="684"/>
      <c r="JDU79" s="684"/>
      <c r="JDV79" s="684"/>
      <c r="JDW79" s="684"/>
      <c r="JDX79" s="684"/>
      <c r="JDY79" s="684"/>
      <c r="JDZ79" s="684"/>
      <c r="JEA79" s="684"/>
      <c r="JEB79" s="684"/>
      <c r="JEC79" s="684"/>
      <c r="JED79" s="684"/>
      <c r="JEE79" s="684"/>
      <c r="JEF79" s="684"/>
      <c r="JEG79" s="684"/>
      <c r="JEH79" s="684"/>
      <c r="JEI79" s="684"/>
      <c r="JEJ79" s="684"/>
      <c r="JEK79" s="684"/>
      <c r="JEL79" s="684"/>
      <c r="JEM79" s="684"/>
      <c r="JEN79" s="684"/>
      <c r="JEO79" s="684"/>
      <c r="JEP79" s="684"/>
      <c r="JEQ79" s="684"/>
      <c r="JER79" s="684"/>
      <c r="JES79" s="684"/>
      <c r="JET79" s="684"/>
      <c r="JEU79" s="684"/>
      <c r="JEV79" s="684"/>
      <c r="JEW79" s="684"/>
      <c r="JEX79" s="684"/>
      <c r="JEY79" s="684"/>
      <c r="JEZ79" s="684"/>
      <c r="JFA79" s="684"/>
      <c r="JFB79" s="684"/>
      <c r="JFC79" s="684"/>
      <c r="JFD79" s="684"/>
      <c r="JFE79" s="684"/>
      <c r="JFF79" s="684"/>
      <c r="JFG79" s="684"/>
      <c r="JFH79" s="684"/>
      <c r="JFI79" s="684"/>
      <c r="JFJ79" s="684"/>
      <c r="JFK79" s="684"/>
      <c r="JFL79" s="684"/>
      <c r="JFM79" s="684"/>
      <c r="JFN79" s="684"/>
      <c r="JFO79" s="684"/>
      <c r="JFP79" s="684"/>
      <c r="JFQ79" s="684"/>
      <c r="JFR79" s="684"/>
      <c r="JFS79" s="684"/>
      <c r="JFT79" s="684"/>
      <c r="JFU79" s="684"/>
      <c r="JFV79" s="684"/>
      <c r="JFW79" s="684"/>
      <c r="JFX79" s="684"/>
      <c r="JFY79" s="684"/>
      <c r="JFZ79" s="684"/>
      <c r="JGA79" s="684"/>
      <c r="JGB79" s="684"/>
      <c r="JGC79" s="684"/>
      <c r="JGD79" s="684"/>
      <c r="JGE79" s="684"/>
      <c r="JGF79" s="684"/>
      <c r="JGG79" s="684"/>
      <c r="JGH79" s="684"/>
      <c r="JGI79" s="684"/>
      <c r="JGJ79" s="684"/>
      <c r="JGK79" s="684"/>
      <c r="JGL79" s="684"/>
      <c r="JGM79" s="684"/>
      <c r="JGN79" s="684"/>
      <c r="JGO79" s="684"/>
      <c r="JGP79" s="684"/>
      <c r="JGQ79" s="684"/>
      <c r="JGR79" s="684"/>
      <c r="JGS79" s="684"/>
      <c r="JGT79" s="684"/>
      <c r="JGU79" s="684"/>
      <c r="JGV79" s="684"/>
      <c r="JGW79" s="684"/>
      <c r="JGX79" s="684"/>
      <c r="JGY79" s="684"/>
      <c r="JGZ79" s="684"/>
      <c r="JHA79" s="684"/>
      <c r="JHB79" s="684"/>
      <c r="JHC79" s="684"/>
      <c r="JHD79" s="684"/>
      <c r="JHE79" s="684"/>
      <c r="JHF79" s="684"/>
      <c r="JHG79" s="684"/>
      <c r="JHH79" s="684"/>
      <c r="JHI79" s="684"/>
      <c r="JHJ79" s="684"/>
      <c r="JHK79" s="684"/>
      <c r="JHL79" s="684"/>
      <c r="JHM79" s="684"/>
      <c r="JHN79" s="684"/>
      <c r="JHO79" s="684"/>
      <c r="JHP79" s="684"/>
      <c r="JHQ79" s="684"/>
      <c r="JHR79" s="684"/>
      <c r="JHS79" s="684"/>
      <c r="JHT79" s="684"/>
      <c r="JHU79" s="684"/>
      <c r="JHV79" s="684"/>
      <c r="JHW79" s="684"/>
      <c r="JHX79" s="684"/>
      <c r="JHY79" s="684"/>
      <c r="JHZ79" s="684"/>
      <c r="JIA79" s="684"/>
      <c r="JIB79" s="684"/>
      <c r="JIC79" s="684"/>
      <c r="JID79" s="684"/>
      <c r="JIE79" s="684"/>
      <c r="JIF79" s="684"/>
      <c r="JIG79" s="684"/>
      <c r="JIH79" s="684"/>
      <c r="JII79" s="684"/>
      <c r="JIJ79" s="684"/>
      <c r="JIK79" s="684"/>
      <c r="JIL79" s="684"/>
      <c r="JIM79" s="684"/>
      <c r="JIN79" s="684"/>
      <c r="JIO79" s="684"/>
      <c r="JIP79" s="684"/>
      <c r="JIQ79" s="684"/>
      <c r="JIR79" s="684"/>
      <c r="JIS79" s="684"/>
      <c r="JIT79" s="684"/>
      <c r="JIU79" s="684"/>
      <c r="JIV79" s="684"/>
      <c r="JIW79" s="684"/>
      <c r="JIX79" s="684"/>
      <c r="JIY79" s="684"/>
      <c r="JIZ79" s="684"/>
      <c r="JJA79" s="684"/>
      <c r="JJB79" s="684"/>
      <c r="JJC79" s="684"/>
      <c r="JJD79" s="684"/>
      <c r="JJE79" s="684"/>
      <c r="JJF79" s="684"/>
      <c r="JJG79" s="684"/>
      <c r="JJH79" s="684"/>
      <c r="JJI79" s="684"/>
      <c r="JJJ79" s="684"/>
      <c r="JJK79" s="684"/>
      <c r="JJL79" s="684"/>
      <c r="JJM79" s="684"/>
      <c r="JJN79" s="684"/>
      <c r="JJO79" s="684"/>
      <c r="JJP79" s="684"/>
      <c r="JJQ79" s="684"/>
      <c r="JJR79" s="684"/>
      <c r="JJS79" s="684"/>
      <c r="JJT79" s="684"/>
      <c r="JJU79" s="684"/>
      <c r="JJV79" s="684"/>
      <c r="JJW79" s="684"/>
      <c r="JJX79" s="684"/>
      <c r="JJY79" s="684"/>
      <c r="JJZ79" s="684"/>
      <c r="JKA79" s="684"/>
      <c r="JKB79" s="684"/>
      <c r="JKC79" s="684"/>
      <c r="JKD79" s="684"/>
      <c r="JKE79" s="684"/>
      <c r="JKF79" s="684"/>
      <c r="JKG79" s="684"/>
      <c r="JKH79" s="684"/>
      <c r="JKI79" s="684"/>
      <c r="JKJ79" s="684"/>
      <c r="JKK79" s="684"/>
      <c r="JKL79" s="684"/>
      <c r="JKM79" s="684"/>
      <c r="JKN79" s="684"/>
      <c r="JKO79" s="684"/>
      <c r="JKP79" s="684"/>
      <c r="JKQ79" s="684"/>
      <c r="JKR79" s="684"/>
      <c r="JKS79" s="684"/>
      <c r="JKT79" s="684"/>
      <c r="JKU79" s="684"/>
      <c r="JKV79" s="684"/>
      <c r="JKW79" s="684"/>
      <c r="JKX79" s="684"/>
      <c r="JKY79" s="684"/>
      <c r="JKZ79" s="684"/>
      <c r="JLA79" s="684"/>
      <c r="JLB79" s="684"/>
      <c r="JLC79" s="684"/>
      <c r="JLD79" s="684"/>
      <c r="JLE79" s="684"/>
      <c r="JLF79" s="684"/>
      <c r="JLG79" s="684"/>
      <c r="JLH79" s="684"/>
      <c r="JLI79" s="684"/>
      <c r="JLJ79" s="684"/>
      <c r="JLK79" s="684"/>
      <c r="JLL79" s="684"/>
      <c r="JLM79" s="684"/>
      <c r="JLN79" s="684"/>
      <c r="JLO79" s="684"/>
      <c r="JLP79" s="684"/>
      <c r="JLQ79" s="684"/>
      <c r="JLR79" s="684"/>
      <c r="JLS79" s="684"/>
      <c r="JLT79" s="684"/>
      <c r="JLU79" s="684"/>
      <c r="JLV79" s="684"/>
      <c r="JLW79" s="684"/>
      <c r="JLX79" s="684"/>
      <c r="JLY79" s="684"/>
      <c r="JLZ79" s="684"/>
      <c r="JMA79" s="684"/>
      <c r="JMB79" s="684"/>
      <c r="JMC79" s="684"/>
      <c r="JMD79" s="684"/>
      <c r="JME79" s="684"/>
      <c r="JMF79" s="684"/>
      <c r="JMG79" s="684"/>
      <c r="JMH79" s="684"/>
      <c r="JMI79" s="684"/>
      <c r="JMJ79" s="684"/>
      <c r="JMK79" s="684"/>
      <c r="JML79" s="684"/>
      <c r="JMM79" s="684"/>
      <c r="JMN79" s="684"/>
      <c r="JMO79" s="684"/>
      <c r="JMP79" s="684"/>
      <c r="JMQ79" s="684"/>
      <c r="JMR79" s="684"/>
      <c r="JMS79" s="684"/>
      <c r="JMT79" s="684"/>
      <c r="JMU79" s="684"/>
      <c r="JMV79" s="684"/>
      <c r="JMW79" s="684"/>
      <c r="JMX79" s="684"/>
      <c r="JMY79" s="684"/>
      <c r="JMZ79" s="684"/>
      <c r="JNA79" s="684"/>
      <c r="JNB79" s="684"/>
      <c r="JNC79" s="684"/>
      <c r="JND79" s="684"/>
      <c r="JNE79" s="684"/>
      <c r="JNF79" s="684"/>
      <c r="JNG79" s="684"/>
      <c r="JNH79" s="684"/>
      <c r="JNI79" s="684"/>
      <c r="JNJ79" s="684"/>
      <c r="JNK79" s="684"/>
      <c r="JNL79" s="684"/>
      <c r="JNM79" s="684"/>
      <c r="JNN79" s="684"/>
      <c r="JNO79" s="684"/>
      <c r="JNP79" s="684"/>
      <c r="JNQ79" s="684"/>
      <c r="JNR79" s="684"/>
      <c r="JNS79" s="684"/>
      <c r="JNT79" s="684"/>
      <c r="JNU79" s="684"/>
      <c r="JNV79" s="684"/>
      <c r="JNW79" s="684"/>
      <c r="JNX79" s="684"/>
      <c r="JNY79" s="684"/>
      <c r="JNZ79" s="684"/>
      <c r="JOA79" s="684"/>
      <c r="JOB79" s="684"/>
      <c r="JOC79" s="684"/>
      <c r="JOD79" s="684"/>
      <c r="JOE79" s="684"/>
      <c r="JOF79" s="684"/>
      <c r="JOG79" s="684"/>
      <c r="JOH79" s="684"/>
      <c r="JOI79" s="684"/>
      <c r="JOJ79" s="684"/>
      <c r="JOK79" s="684"/>
      <c r="JOL79" s="684"/>
      <c r="JOM79" s="684"/>
      <c r="JON79" s="684"/>
      <c r="JOO79" s="684"/>
      <c r="JOP79" s="684"/>
      <c r="JOQ79" s="684"/>
      <c r="JOR79" s="684"/>
      <c r="JOS79" s="684"/>
      <c r="JOT79" s="684"/>
      <c r="JOU79" s="684"/>
      <c r="JOV79" s="684"/>
      <c r="JOW79" s="684"/>
      <c r="JOX79" s="684"/>
      <c r="JOY79" s="684"/>
      <c r="JOZ79" s="684"/>
      <c r="JPA79" s="684"/>
      <c r="JPB79" s="684"/>
      <c r="JPC79" s="684"/>
      <c r="JPD79" s="684"/>
      <c r="JPE79" s="684"/>
      <c r="JPF79" s="684"/>
      <c r="JPG79" s="684"/>
      <c r="JPH79" s="684"/>
      <c r="JPI79" s="684"/>
      <c r="JPJ79" s="684"/>
      <c r="JPK79" s="684"/>
      <c r="JPL79" s="684"/>
      <c r="JPM79" s="684"/>
      <c r="JPN79" s="684"/>
      <c r="JPO79" s="684"/>
      <c r="JPP79" s="684"/>
      <c r="JPQ79" s="684"/>
      <c r="JPR79" s="684"/>
      <c r="JPS79" s="684"/>
      <c r="JPT79" s="684"/>
      <c r="JPU79" s="684"/>
      <c r="JPV79" s="684"/>
      <c r="JPW79" s="684"/>
      <c r="JPX79" s="684"/>
      <c r="JPY79" s="684"/>
      <c r="JPZ79" s="684"/>
      <c r="JQA79" s="684"/>
      <c r="JQB79" s="684"/>
      <c r="JQC79" s="684"/>
      <c r="JQD79" s="684"/>
      <c r="JQE79" s="684"/>
      <c r="JQF79" s="684"/>
      <c r="JQG79" s="684"/>
      <c r="JQH79" s="684"/>
      <c r="JQI79" s="684"/>
      <c r="JQJ79" s="684"/>
      <c r="JQK79" s="684"/>
      <c r="JQL79" s="684"/>
      <c r="JQM79" s="684"/>
      <c r="JQN79" s="684"/>
      <c r="JQO79" s="684"/>
      <c r="JQP79" s="684"/>
      <c r="JQQ79" s="684"/>
      <c r="JQR79" s="684"/>
      <c r="JQS79" s="684"/>
      <c r="JQT79" s="684"/>
      <c r="JQU79" s="684"/>
      <c r="JQV79" s="684"/>
      <c r="JQW79" s="684"/>
      <c r="JQX79" s="684"/>
      <c r="JQY79" s="684"/>
      <c r="JQZ79" s="684"/>
      <c r="JRA79" s="684"/>
      <c r="JRB79" s="684"/>
      <c r="JRC79" s="684"/>
      <c r="JRD79" s="684"/>
      <c r="JRE79" s="684"/>
      <c r="JRF79" s="684"/>
      <c r="JRG79" s="684"/>
      <c r="JRH79" s="684"/>
      <c r="JRI79" s="684"/>
      <c r="JRJ79" s="684"/>
      <c r="JRK79" s="684"/>
      <c r="JRL79" s="684"/>
      <c r="JRM79" s="684"/>
      <c r="JRN79" s="684"/>
      <c r="JRO79" s="684"/>
      <c r="JRP79" s="684"/>
      <c r="JRQ79" s="684"/>
      <c r="JRR79" s="684"/>
      <c r="JRS79" s="684"/>
      <c r="JRT79" s="684"/>
      <c r="JRU79" s="684"/>
      <c r="JRV79" s="684"/>
      <c r="JRW79" s="684"/>
      <c r="JRX79" s="684"/>
      <c r="JRY79" s="684"/>
      <c r="JRZ79" s="684"/>
      <c r="JSA79" s="684"/>
      <c r="JSB79" s="684"/>
      <c r="JSC79" s="684"/>
      <c r="JSD79" s="684"/>
      <c r="JSE79" s="684"/>
      <c r="JSF79" s="684"/>
      <c r="JSG79" s="684"/>
      <c r="JSH79" s="684"/>
      <c r="JSI79" s="684"/>
      <c r="JSJ79" s="684"/>
      <c r="JSK79" s="684"/>
      <c r="JSL79" s="684"/>
      <c r="JSM79" s="684"/>
      <c r="JSN79" s="684"/>
      <c r="JSO79" s="684"/>
      <c r="JSP79" s="684"/>
      <c r="JSQ79" s="684"/>
      <c r="JSR79" s="684"/>
      <c r="JSS79" s="684"/>
      <c r="JST79" s="684"/>
      <c r="JSU79" s="684"/>
      <c r="JSV79" s="684"/>
      <c r="JSW79" s="684"/>
      <c r="JSX79" s="684"/>
      <c r="JSY79" s="684"/>
      <c r="JSZ79" s="684"/>
      <c r="JTA79" s="684"/>
      <c r="JTB79" s="684"/>
      <c r="JTC79" s="684"/>
      <c r="JTD79" s="684"/>
      <c r="JTE79" s="684"/>
      <c r="JTF79" s="684"/>
      <c r="JTG79" s="684"/>
      <c r="JTH79" s="684"/>
      <c r="JTI79" s="684"/>
      <c r="JTJ79" s="684"/>
      <c r="JTK79" s="684"/>
      <c r="JTL79" s="684"/>
      <c r="JTM79" s="684"/>
      <c r="JTN79" s="684"/>
      <c r="JTO79" s="684"/>
      <c r="JTP79" s="684"/>
      <c r="JTQ79" s="684"/>
      <c r="JTR79" s="684"/>
      <c r="JTS79" s="684"/>
      <c r="JTT79" s="684"/>
      <c r="JTU79" s="684"/>
      <c r="JTV79" s="684"/>
      <c r="JTW79" s="684"/>
      <c r="JTX79" s="684"/>
      <c r="JTY79" s="684"/>
      <c r="JTZ79" s="684"/>
      <c r="JUA79" s="684"/>
      <c r="JUB79" s="684"/>
      <c r="JUC79" s="684"/>
      <c r="JUD79" s="684"/>
      <c r="JUE79" s="684"/>
      <c r="JUF79" s="684"/>
      <c r="JUG79" s="684"/>
      <c r="JUH79" s="684"/>
      <c r="JUI79" s="684"/>
      <c r="JUJ79" s="684"/>
      <c r="JUK79" s="684"/>
      <c r="JUL79" s="684"/>
      <c r="JUM79" s="684"/>
      <c r="JUN79" s="684"/>
      <c r="JUO79" s="684"/>
      <c r="JUP79" s="684"/>
      <c r="JUQ79" s="684"/>
      <c r="JUR79" s="684"/>
      <c r="JUS79" s="684"/>
      <c r="JUT79" s="684"/>
      <c r="JUU79" s="684"/>
      <c r="JUV79" s="684"/>
      <c r="JUW79" s="684"/>
      <c r="JUX79" s="684"/>
      <c r="JUY79" s="684"/>
      <c r="JUZ79" s="684"/>
      <c r="JVA79" s="684"/>
      <c r="JVB79" s="684"/>
      <c r="JVC79" s="684"/>
      <c r="JVD79" s="684"/>
      <c r="JVE79" s="684"/>
      <c r="JVF79" s="684"/>
      <c r="JVG79" s="684"/>
      <c r="JVH79" s="684"/>
      <c r="JVI79" s="684"/>
      <c r="JVJ79" s="684"/>
      <c r="JVK79" s="684"/>
      <c r="JVL79" s="684"/>
      <c r="JVM79" s="684"/>
      <c r="JVN79" s="684"/>
      <c r="JVO79" s="684"/>
      <c r="JVP79" s="684"/>
      <c r="JVQ79" s="684"/>
      <c r="JVR79" s="684"/>
      <c r="JVS79" s="684"/>
      <c r="JVT79" s="684"/>
      <c r="JVU79" s="684"/>
      <c r="JVV79" s="684"/>
      <c r="JVW79" s="684"/>
      <c r="JVX79" s="684"/>
      <c r="JVY79" s="684"/>
      <c r="JVZ79" s="684"/>
      <c r="JWA79" s="684"/>
      <c r="JWB79" s="684"/>
      <c r="JWC79" s="684"/>
      <c r="JWD79" s="684"/>
      <c r="JWE79" s="684"/>
      <c r="JWF79" s="684"/>
      <c r="JWG79" s="684"/>
      <c r="JWH79" s="684"/>
      <c r="JWI79" s="684"/>
      <c r="JWJ79" s="684"/>
      <c r="JWK79" s="684"/>
      <c r="JWL79" s="684"/>
      <c r="JWM79" s="684"/>
      <c r="JWN79" s="684"/>
      <c r="JWO79" s="684"/>
      <c r="JWP79" s="684"/>
      <c r="JWQ79" s="684"/>
      <c r="JWR79" s="684"/>
      <c r="JWS79" s="684"/>
      <c r="JWT79" s="684"/>
      <c r="JWU79" s="684"/>
      <c r="JWV79" s="684"/>
      <c r="JWW79" s="684"/>
      <c r="JWX79" s="684"/>
      <c r="JWY79" s="684"/>
      <c r="JWZ79" s="684"/>
      <c r="JXA79" s="684"/>
      <c r="JXB79" s="684"/>
      <c r="JXC79" s="684"/>
      <c r="JXD79" s="684"/>
      <c r="JXE79" s="684"/>
      <c r="JXF79" s="684"/>
      <c r="JXG79" s="684"/>
      <c r="JXH79" s="684"/>
      <c r="JXI79" s="684"/>
      <c r="JXJ79" s="684"/>
      <c r="JXK79" s="684"/>
      <c r="JXL79" s="684"/>
      <c r="JXM79" s="684"/>
      <c r="JXN79" s="684"/>
      <c r="JXO79" s="684"/>
      <c r="JXP79" s="684"/>
      <c r="JXQ79" s="684"/>
      <c r="JXR79" s="684"/>
      <c r="JXS79" s="684"/>
      <c r="JXT79" s="684"/>
      <c r="JXU79" s="684"/>
      <c r="JXV79" s="684"/>
      <c r="JXW79" s="684"/>
      <c r="JXX79" s="684"/>
      <c r="JXY79" s="684"/>
      <c r="JXZ79" s="684"/>
      <c r="JYA79" s="684"/>
      <c r="JYB79" s="684"/>
      <c r="JYC79" s="684"/>
      <c r="JYD79" s="684"/>
      <c r="JYE79" s="684"/>
      <c r="JYF79" s="684"/>
      <c r="JYG79" s="684"/>
      <c r="JYH79" s="684"/>
      <c r="JYI79" s="684"/>
      <c r="JYJ79" s="684"/>
      <c r="JYK79" s="684"/>
      <c r="JYL79" s="684"/>
      <c r="JYM79" s="684"/>
      <c r="JYN79" s="684"/>
      <c r="JYO79" s="684"/>
      <c r="JYP79" s="684"/>
      <c r="JYQ79" s="684"/>
      <c r="JYR79" s="684"/>
      <c r="JYS79" s="684"/>
      <c r="JYT79" s="684"/>
      <c r="JYU79" s="684"/>
      <c r="JYV79" s="684"/>
      <c r="JYW79" s="684"/>
      <c r="JYX79" s="684"/>
      <c r="JYY79" s="684"/>
      <c r="JYZ79" s="684"/>
      <c r="JZA79" s="684"/>
      <c r="JZB79" s="684"/>
      <c r="JZC79" s="684"/>
      <c r="JZD79" s="684"/>
      <c r="JZE79" s="684"/>
      <c r="JZF79" s="684"/>
      <c r="JZG79" s="684"/>
      <c r="JZH79" s="684"/>
      <c r="JZI79" s="684"/>
      <c r="JZJ79" s="684"/>
      <c r="JZK79" s="684"/>
      <c r="JZL79" s="684"/>
      <c r="JZM79" s="684"/>
      <c r="JZN79" s="684"/>
      <c r="JZO79" s="684"/>
      <c r="JZP79" s="684"/>
      <c r="JZQ79" s="684"/>
      <c r="JZR79" s="684"/>
      <c r="JZS79" s="684"/>
      <c r="JZT79" s="684"/>
      <c r="JZU79" s="684"/>
      <c r="JZV79" s="684"/>
      <c r="JZW79" s="684"/>
      <c r="JZX79" s="684"/>
      <c r="JZY79" s="684"/>
      <c r="JZZ79" s="684"/>
      <c r="KAA79" s="684"/>
      <c r="KAB79" s="684"/>
      <c r="KAC79" s="684"/>
      <c r="KAD79" s="684"/>
      <c r="KAE79" s="684"/>
      <c r="KAF79" s="684"/>
      <c r="KAG79" s="684"/>
      <c r="KAH79" s="684"/>
      <c r="KAI79" s="684"/>
      <c r="KAJ79" s="684"/>
      <c r="KAK79" s="684"/>
      <c r="KAL79" s="684"/>
      <c r="KAM79" s="684"/>
      <c r="KAN79" s="684"/>
      <c r="KAO79" s="684"/>
      <c r="KAP79" s="684"/>
      <c r="KAQ79" s="684"/>
      <c r="KAR79" s="684"/>
      <c r="KAS79" s="684"/>
      <c r="KAT79" s="684"/>
      <c r="KAU79" s="684"/>
      <c r="KAV79" s="684"/>
      <c r="KAW79" s="684"/>
      <c r="KAX79" s="684"/>
      <c r="KAY79" s="684"/>
      <c r="KAZ79" s="684"/>
      <c r="KBA79" s="684"/>
      <c r="KBB79" s="684"/>
      <c r="KBC79" s="684"/>
      <c r="KBD79" s="684"/>
      <c r="KBE79" s="684"/>
      <c r="KBF79" s="684"/>
      <c r="KBG79" s="684"/>
      <c r="KBH79" s="684"/>
      <c r="KBI79" s="684"/>
      <c r="KBJ79" s="684"/>
      <c r="KBK79" s="684"/>
      <c r="KBL79" s="684"/>
      <c r="KBM79" s="684"/>
      <c r="KBN79" s="684"/>
      <c r="KBO79" s="684"/>
      <c r="KBP79" s="684"/>
      <c r="KBQ79" s="684"/>
      <c r="KBR79" s="684"/>
      <c r="KBS79" s="684"/>
      <c r="KBT79" s="684"/>
      <c r="KBU79" s="684"/>
      <c r="KBV79" s="684"/>
      <c r="KBW79" s="684"/>
      <c r="KBX79" s="684"/>
      <c r="KBY79" s="684"/>
      <c r="KBZ79" s="684"/>
      <c r="KCA79" s="684"/>
      <c r="KCB79" s="684"/>
      <c r="KCC79" s="684"/>
      <c r="KCD79" s="684"/>
      <c r="KCE79" s="684"/>
      <c r="KCF79" s="684"/>
      <c r="KCG79" s="684"/>
      <c r="KCH79" s="684"/>
      <c r="KCI79" s="684"/>
      <c r="KCJ79" s="684"/>
      <c r="KCK79" s="684"/>
      <c r="KCL79" s="684"/>
      <c r="KCM79" s="684"/>
      <c r="KCN79" s="684"/>
      <c r="KCO79" s="684"/>
      <c r="KCP79" s="684"/>
      <c r="KCQ79" s="684"/>
      <c r="KCR79" s="684"/>
      <c r="KCS79" s="684"/>
      <c r="KCT79" s="684"/>
      <c r="KCU79" s="684"/>
      <c r="KCV79" s="684"/>
      <c r="KCW79" s="684"/>
      <c r="KCX79" s="684"/>
      <c r="KCY79" s="684"/>
      <c r="KCZ79" s="684"/>
      <c r="KDA79" s="684"/>
      <c r="KDB79" s="684"/>
      <c r="KDC79" s="684"/>
      <c r="KDD79" s="684"/>
      <c r="KDE79" s="684"/>
      <c r="KDF79" s="684"/>
      <c r="KDG79" s="684"/>
      <c r="KDH79" s="684"/>
      <c r="KDI79" s="684"/>
      <c r="KDJ79" s="684"/>
      <c r="KDK79" s="684"/>
      <c r="KDL79" s="684"/>
      <c r="KDM79" s="684"/>
      <c r="KDN79" s="684"/>
      <c r="KDO79" s="684"/>
      <c r="KDP79" s="684"/>
      <c r="KDQ79" s="684"/>
      <c r="KDR79" s="684"/>
      <c r="KDS79" s="684"/>
      <c r="KDT79" s="684"/>
      <c r="KDU79" s="684"/>
      <c r="KDV79" s="684"/>
      <c r="KDW79" s="684"/>
      <c r="KDX79" s="684"/>
      <c r="KDY79" s="684"/>
      <c r="KDZ79" s="684"/>
      <c r="KEA79" s="684"/>
      <c r="KEB79" s="684"/>
      <c r="KEC79" s="684"/>
      <c r="KED79" s="684"/>
      <c r="KEE79" s="684"/>
      <c r="KEF79" s="684"/>
      <c r="KEG79" s="684"/>
      <c r="KEH79" s="684"/>
      <c r="KEI79" s="684"/>
      <c r="KEJ79" s="684"/>
      <c r="KEK79" s="684"/>
      <c r="KEL79" s="684"/>
      <c r="KEM79" s="684"/>
      <c r="KEN79" s="684"/>
      <c r="KEO79" s="684"/>
      <c r="KEP79" s="684"/>
      <c r="KEQ79" s="684"/>
      <c r="KER79" s="684"/>
      <c r="KES79" s="684"/>
      <c r="KET79" s="684"/>
      <c r="KEU79" s="684"/>
      <c r="KEV79" s="684"/>
      <c r="KEW79" s="684"/>
      <c r="KEX79" s="684"/>
      <c r="KEY79" s="684"/>
      <c r="KEZ79" s="684"/>
      <c r="KFA79" s="684"/>
      <c r="KFB79" s="684"/>
      <c r="KFC79" s="684"/>
      <c r="KFD79" s="684"/>
      <c r="KFE79" s="684"/>
      <c r="KFF79" s="684"/>
      <c r="KFG79" s="684"/>
      <c r="KFH79" s="684"/>
      <c r="KFI79" s="684"/>
      <c r="KFJ79" s="684"/>
      <c r="KFK79" s="684"/>
      <c r="KFL79" s="684"/>
      <c r="KFM79" s="684"/>
      <c r="KFN79" s="684"/>
      <c r="KFO79" s="684"/>
      <c r="KFP79" s="684"/>
      <c r="KFQ79" s="684"/>
      <c r="KFR79" s="684"/>
      <c r="KFS79" s="684"/>
      <c r="KFT79" s="684"/>
      <c r="KFU79" s="684"/>
      <c r="KFV79" s="684"/>
      <c r="KFW79" s="684"/>
      <c r="KFX79" s="684"/>
      <c r="KFY79" s="684"/>
      <c r="KFZ79" s="684"/>
      <c r="KGA79" s="684"/>
      <c r="KGB79" s="684"/>
      <c r="KGC79" s="684"/>
      <c r="KGD79" s="684"/>
      <c r="KGE79" s="684"/>
      <c r="KGF79" s="684"/>
      <c r="KGG79" s="684"/>
      <c r="KGH79" s="684"/>
      <c r="KGI79" s="684"/>
      <c r="KGJ79" s="684"/>
      <c r="KGK79" s="684"/>
      <c r="KGL79" s="684"/>
      <c r="KGM79" s="684"/>
      <c r="KGN79" s="684"/>
      <c r="KGO79" s="684"/>
      <c r="KGP79" s="684"/>
      <c r="KGQ79" s="684"/>
      <c r="KGR79" s="684"/>
      <c r="KGS79" s="684"/>
      <c r="KGT79" s="684"/>
      <c r="KGU79" s="684"/>
      <c r="KGV79" s="684"/>
      <c r="KGW79" s="684"/>
      <c r="KGX79" s="684"/>
      <c r="KGY79" s="684"/>
      <c r="KGZ79" s="684"/>
      <c r="KHA79" s="684"/>
      <c r="KHB79" s="684"/>
      <c r="KHC79" s="684"/>
      <c r="KHD79" s="684"/>
      <c r="KHE79" s="684"/>
      <c r="KHF79" s="684"/>
      <c r="KHG79" s="684"/>
      <c r="KHH79" s="684"/>
      <c r="KHI79" s="684"/>
      <c r="KHJ79" s="684"/>
      <c r="KHK79" s="684"/>
      <c r="KHL79" s="684"/>
      <c r="KHM79" s="684"/>
      <c r="KHN79" s="684"/>
      <c r="KHO79" s="684"/>
      <c r="KHP79" s="684"/>
      <c r="KHQ79" s="684"/>
      <c r="KHR79" s="684"/>
      <c r="KHS79" s="684"/>
      <c r="KHT79" s="684"/>
      <c r="KHU79" s="684"/>
      <c r="KHV79" s="684"/>
      <c r="KHW79" s="684"/>
      <c r="KHX79" s="684"/>
      <c r="KHY79" s="684"/>
      <c r="KHZ79" s="684"/>
      <c r="KIA79" s="684"/>
      <c r="KIB79" s="684"/>
      <c r="KIC79" s="684"/>
      <c r="KID79" s="684"/>
      <c r="KIE79" s="684"/>
      <c r="KIF79" s="684"/>
      <c r="KIG79" s="684"/>
      <c r="KIH79" s="684"/>
      <c r="KII79" s="684"/>
      <c r="KIJ79" s="684"/>
      <c r="KIK79" s="684"/>
      <c r="KIL79" s="684"/>
      <c r="KIM79" s="684"/>
      <c r="KIN79" s="684"/>
      <c r="KIO79" s="684"/>
      <c r="KIP79" s="684"/>
      <c r="KIQ79" s="684"/>
      <c r="KIR79" s="684"/>
      <c r="KIS79" s="684"/>
      <c r="KIT79" s="684"/>
      <c r="KIU79" s="684"/>
      <c r="KIV79" s="684"/>
      <c r="KIW79" s="684"/>
      <c r="KIX79" s="684"/>
      <c r="KIY79" s="684"/>
      <c r="KIZ79" s="684"/>
      <c r="KJA79" s="684"/>
      <c r="KJB79" s="684"/>
      <c r="KJC79" s="684"/>
      <c r="KJD79" s="684"/>
      <c r="KJE79" s="684"/>
      <c r="KJF79" s="684"/>
      <c r="KJG79" s="684"/>
      <c r="KJH79" s="684"/>
      <c r="KJI79" s="684"/>
      <c r="KJJ79" s="684"/>
      <c r="KJK79" s="684"/>
      <c r="KJL79" s="684"/>
      <c r="KJM79" s="684"/>
      <c r="KJN79" s="684"/>
      <c r="KJO79" s="684"/>
      <c r="KJP79" s="684"/>
      <c r="KJQ79" s="684"/>
      <c r="KJR79" s="684"/>
      <c r="KJS79" s="684"/>
      <c r="KJT79" s="684"/>
      <c r="KJU79" s="684"/>
      <c r="KJV79" s="684"/>
      <c r="KJW79" s="684"/>
      <c r="KJX79" s="684"/>
      <c r="KJY79" s="684"/>
      <c r="KJZ79" s="684"/>
      <c r="KKA79" s="684"/>
      <c r="KKB79" s="684"/>
      <c r="KKC79" s="684"/>
      <c r="KKD79" s="684"/>
      <c r="KKE79" s="684"/>
      <c r="KKF79" s="684"/>
      <c r="KKG79" s="684"/>
      <c r="KKH79" s="684"/>
      <c r="KKI79" s="684"/>
      <c r="KKJ79" s="684"/>
      <c r="KKK79" s="684"/>
      <c r="KKL79" s="684"/>
      <c r="KKM79" s="684"/>
      <c r="KKN79" s="684"/>
      <c r="KKO79" s="684"/>
      <c r="KKP79" s="684"/>
      <c r="KKQ79" s="684"/>
      <c r="KKR79" s="684"/>
      <c r="KKS79" s="684"/>
      <c r="KKT79" s="684"/>
      <c r="KKU79" s="684"/>
      <c r="KKV79" s="684"/>
      <c r="KKW79" s="684"/>
      <c r="KKX79" s="684"/>
      <c r="KKY79" s="684"/>
      <c r="KKZ79" s="684"/>
      <c r="KLA79" s="684"/>
      <c r="KLB79" s="684"/>
      <c r="KLC79" s="684"/>
      <c r="KLD79" s="684"/>
      <c r="KLE79" s="684"/>
      <c r="KLF79" s="684"/>
      <c r="KLG79" s="684"/>
      <c r="KLH79" s="684"/>
      <c r="KLI79" s="684"/>
      <c r="KLJ79" s="684"/>
      <c r="KLK79" s="684"/>
      <c r="KLL79" s="684"/>
      <c r="KLM79" s="684"/>
      <c r="KLN79" s="684"/>
      <c r="KLO79" s="684"/>
      <c r="KLP79" s="684"/>
      <c r="KLQ79" s="684"/>
      <c r="KLR79" s="684"/>
      <c r="KLS79" s="684"/>
      <c r="KLT79" s="684"/>
      <c r="KLU79" s="684"/>
      <c r="KLV79" s="684"/>
      <c r="KLW79" s="684"/>
      <c r="KLX79" s="684"/>
      <c r="KLY79" s="684"/>
      <c r="KLZ79" s="684"/>
      <c r="KMA79" s="684"/>
      <c r="KMB79" s="684"/>
      <c r="KMC79" s="684"/>
      <c r="KMD79" s="684"/>
      <c r="KME79" s="684"/>
      <c r="KMF79" s="684"/>
      <c r="KMG79" s="684"/>
      <c r="KMH79" s="684"/>
      <c r="KMI79" s="684"/>
      <c r="KMJ79" s="684"/>
      <c r="KMK79" s="684"/>
      <c r="KML79" s="684"/>
      <c r="KMM79" s="684"/>
      <c r="KMN79" s="684"/>
      <c r="KMO79" s="684"/>
      <c r="KMP79" s="684"/>
      <c r="KMQ79" s="684"/>
      <c r="KMR79" s="684"/>
      <c r="KMS79" s="684"/>
      <c r="KMT79" s="684"/>
      <c r="KMU79" s="684"/>
      <c r="KMV79" s="684"/>
      <c r="KMW79" s="684"/>
      <c r="KMX79" s="684"/>
      <c r="KMY79" s="684"/>
      <c r="KMZ79" s="684"/>
      <c r="KNA79" s="684"/>
      <c r="KNB79" s="684"/>
      <c r="KNC79" s="684"/>
      <c r="KND79" s="684"/>
      <c r="KNE79" s="684"/>
      <c r="KNF79" s="684"/>
      <c r="KNG79" s="684"/>
      <c r="KNH79" s="684"/>
      <c r="KNI79" s="684"/>
      <c r="KNJ79" s="684"/>
      <c r="KNK79" s="684"/>
      <c r="KNL79" s="684"/>
      <c r="KNM79" s="684"/>
      <c r="KNN79" s="684"/>
      <c r="KNO79" s="684"/>
      <c r="KNP79" s="684"/>
      <c r="KNQ79" s="684"/>
      <c r="KNR79" s="684"/>
      <c r="KNS79" s="684"/>
      <c r="KNT79" s="684"/>
      <c r="KNU79" s="684"/>
      <c r="KNV79" s="684"/>
      <c r="KNW79" s="684"/>
      <c r="KNX79" s="684"/>
      <c r="KNY79" s="684"/>
      <c r="KNZ79" s="684"/>
      <c r="KOA79" s="684"/>
      <c r="KOB79" s="684"/>
      <c r="KOC79" s="684"/>
      <c r="KOD79" s="684"/>
      <c r="KOE79" s="684"/>
      <c r="KOF79" s="684"/>
      <c r="KOG79" s="684"/>
      <c r="KOH79" s="684"/>
      <c r="KOI79" s="684"/>
      <c r="KOJ79" s="684"/>
      <c r="KOK79" s="684"/>
      <c r="KOL79" s="684"/>
      <c r="KOM79" s="684"/>
      <c r="KON79" s="684"/>
      <c r="KOO79" s="684"/>
      <c r="KOP79" s="684"/>
      <c r="KOQ79" s="684"/>
      <c r="KOR79" s="684"/>
      <c r="KOS79" s="684"/>
      <c r="KOT79" s="684"/>
      <c r="KOU79" s="684"/>
      <c r="KOV79" s="684"/>
      <c r="KOW79" s="684"/>
      <c r="KOX79" s="684"/>
      <c r="KOY79" s="684"/>
      <c r="KOZ79" s="684"/>
      <c r="KPA79" s="684"/>
      <c r="KPB79" s="684"/>
      <c r="KPC79" s="684"/>
      <c r="KPD79" s="684"/>
      <c r="KPE79" s="684"/>
      <c r="KPF79" s="684"/>
      <c r="KPG79" s="684"/>
      <c r="KPH79" s="684"/>
      <c r="KPI79" s="684"/>
      <c r="KPJ79" s="684"/>
      <c r="KPK79" s="684"/>
      <c r="KPL79" s="684"/>
      <c r="KPM79" s="684"/>
      <c r="KPN79" s="684"/>
      <c r="KPO79" s="684"/>
      <c r="KPP79" s="684"/>
      <c r="KPQ79" s="684"/>
      <c r="KPR79" s="684"/>
      <c r="KPS79" s="684"/>
      <c r="KPT79" s="684"/>
      <c r="KPU79" s="684"/>
      <c r="KPV79" s="684"/>
      <c r="KPW79" s="684"/>
      <c r="KPX79" s="684"/>
      <c r="KPY79" s="684"/>
      <c r="KPZ79" s="684"/>
      <c r="KQA79" s="684"/>
      <c r="KQB79" s="684"/>
      <c r="KQC79" s="684"/>
      <c r="KQD79" s="684"/>
      <c r="KQE79" s="684"/>
      <c r="KQF79" s="684"/>
      <c r="KQG79" s="684"/>
      <c r="KQH79" s="684"/>
      <c r="KQI79" s="684"/>
      <c r="KQJ79" s="684"/>
      <c r="KQK79" s="684"/>
      <c r="KQL79" s="684"/>
      <c r="KQM79" s="684"/>
      <c r="KQN79" s="684"/>
      <c r="KQO79" s="684"/>
      <c r="KQP79" s="684"/>
      <c r="KQQ79" s="684"/>
      <c r="KQR79" s="684"/>
      <c r="KQS79" s="684"/>
      <c r="KQT79" s="684"/>
      <c r="KQU79" s="684"/>
      <c r="KQV79" s="684"/>
      <c r="KQW79" s="684"/>
      <c r="KQX79" s="684"/>
      <c r="KQY79" s="684"/>
      <c r="KQZ79" s="684"/>
      <c r="KRA79" s="684"/>
      <c r="KRB79" s="684"/>
      <c r="KRC79" s="684"/>
      <c r="KRD79" s="684"/>
      <c r="KRE79" s="684"/>
      <c r="KRF79" s="684"/>
      <c r="KRG79" s="684"/>
      <c r="KRH79" s="684"/>
      <c r="KRI79" s="684"/>
      <c r="KRJ79" s="684"/>
      <c r="KRK79" s="684"/>
      <c r="KRL79" s="684"/>
      <c r="KRM79" s="684"/>
      <c r="KRN79" s="684"/>
      <c r="KRO79" s="684"/>
      <c r="KRP79" s="684"/>
      <c r="KRQ79" s="684"/>
      <c r="KRR79" s="684"/>
      <c r="KRS79" s="684"/>
      <c r="KRT79" s="684"/>
      <c r="KRU79" s="684"/>
      <c r="KRV79" s="684"/>
      <c r="KRW79" s="684"/>
      <c r="KRX79" s="684"/>
      <c r="KRY79" s="684"/>
      <c r="KRZ79" s="684"/>
      <c r="KSA79" s="684"/>
      <c r="KSB79" s="684"/>
      <c r="KSC79" s="684"/>
      <c r="KSD79" s="684"/>
      <c r="KSE79" s="684"/>
      <c r="KSF79" s="684"/>
      <c r="KSG79" s="684"/>
      <c r="KSH79" s="684"/>
      <c r="KSI79" s="684"/>
      <c r="KSJ79" s="684"/>
      <c r="KSK79" s="684"/>
      <c r="KSL79" s="684"/>
      <c r="KSM79" s="684"/>
      <c r="KSN79" s="684"/>
      <c r="KSO79" s="684"/>
      <c r="KSP79" s="684"/>
      <c r="KSQ79" s="684"/>
      <c r="KSR79" s="684"/>
      <c r="KSS79" s="684"/>
      <c r="KST79" s="684"/>
      <c r="KSU79" s="684"/>
      <c r="KSV79" s="684"/>
      <c r="KSW79" s="684"/>
      <c r="KSX79" s="684"/>
      <c r="KSY79" s="684"/>
      <c r="KSZ79" s="684"/>
      <c r="KTA79" s="684"/>
      <c r="KTB79" s="684"/>
      <c r="KTC79" s="684"/>
      <c r="KTD79" s="684"/>
      <c r="KTE79" s="684"/>
      <c r="KTF79" s="684"/>
      <c r="KTG79" s="684"/>
      <c r="KTH79" s="684"/>
      <c r="KTI79" s="684"/>
      <c r="KTJ79" s="684"/>
      <c r="KTK79" s="684"/>
      <c r="KTL79" s="684"/>
      <c r="KTM79" s="684"/>
      <c r="KTN79" s="684"/>
      <c r="KTO79" s="684"/>
      <c r="KTP79" s="684"/>
      <c r="KTQ79" s="684"/>
      <c r="KTR79" s="684"/>
      <c r="KTS79" s="684"/>
      <c r="KTT79" s="684"/>
      <c r="KTU79" s="684"/>
      <c r="KTV79" s="684"/>
      <c r="KTW79" s="684"/>
      <c r="KTX79" s="684"/>
      <c r="KTY79" s="684"/>
      <c r="KTZ79" s="684"/>
      <c r="KUA79" s="684"/>
      <c r="KUB79" s="684"/>
      <c r="KUC79" s="684"/>
      <c r="KUD79" s="684"/>
      <c r="KUE79" s="684"/>
      <c r="KUF79" s="684"/>
      <c r="KUG79" s="684"/>
      <c r="KUH79" s="684"/>
      <c r="KUI79" s="684"/>
      <c r="KUJ79" s="684"/>
      <c r="KUK79" s="684"/>
      <c r="KUL79" s="684"/>
      <c r="KUM79" s="684"/>
      <c r="KUN79" s="684"/>
      <c r="KUO79" s="684"/>
      <c r="KUP79" s="684"/>
      <c r="KUQ79" s="684"/>
      <c r="KUR79" s="684"/>
      <c r="KUS79" s="684"/>
      <c r="KUT79" s="684"/>
      <c r="KUU79" s="684"/>
      <c r="KUV79" s="684"/>
      <c r="KUW79" s="684"/>
      <c r="KUX79" s="684"/>
      <c r="KUY79" s="684"/>
      <c r="KUZ79" s="684"/>
      <c r="KVA79" s="684"/>
      <c r="KVB79" s="684"/>
      <c r="KVC79" s="684"/>
      <c r="KVD79" s="684"/>
      <c r="KVE79" s="684"/>
      <c r="KVF79" s="684"/>
      <c r="KVG79" s="684"/>
      <c r="KVH79" s="684"/>
      <c r="KVI79" s="684"/>
      <c r="KVJ79" s="684"/>
      <c r="KVK79" s="684"/>
      <c r="KVL79" s="684"/>
      <c r="KVM79" s="684"/>
      <c r="KVN79" s="684"/>
      <c r="KVO79" s="684"/>
      <c r="KVP79" s="684"/>
      <c r="KVQ79" s="684"/>
      <c r="KVR79" s="684"/>
      <c r="KVS79" s="684"/>
      <c r="KVT79" s="684"/>
      <c r="KVU79" s="684"/>
      <c r="KVV79" s="684"/>
      <c r="KVW79" s="684"/>
      <c r="KVX79" s="684"/>
      <c r="KVY79" s="684"/>
      <c r="KVZ79" s="684"/>
      <c r="KWA79" s="684"/>
      <c r="KWB79" s="684"/>
      <c r="KWC79" s="684"/>
      <c r="KWD79" s="684"/>
      <c r="KWE79" s="684"/>
      <c r="KWF79" s="684"/>
      <c r="KWG79" s="684"/>
      <c r="KWH79" s="684"/>
      <c r="KWI79" s="684"/>
      <c r="KWJ79" s="684"/>
      <c r="KWK79" s="684"/>
      <c r="KWL79" s="684"/>
      <c r="KWM79" s="684"/>
      <c r="KWN79" s="684"/>
      <c r="KWO79" s="684"/>
      <c r="KWP79" s="684"/>
      <c r="KWQ79" s="684"/>
      <c r="KWR79" s="684"/>
      <c r="KWS79" s="684"/>
      <c r="KWT79" s="684"/>
      <c r="KWU79" s="684"/>
      <c r="KWV79" s="684"/>
      <c r="KWW79" s="684"/>
      <c r="KWX79" s="684"/>
      <c r="KWY79" s="684"/>
      <c r="KWZ79" s="684"/>
      <c r="KXA79" s="684"/>
      <c r="KXB79" s="684"/>
      <c r="KXC79" s="684"/>
      <c r="KXD79" s="684"/>
      <c r="KXE79" s="684"/>
      <c r="KXF79" s="684"/>
      <c r="KXG79" s="684"/>
      <c r="KXH79" s="684"/>
      <c r="KXI79" s="684"/>
      <c r="KXJ79" s="684"/>
      <c r="KXK79" s="684"/>
      <c r="KXL79" s="684"/>
      <c r="KXM79" s="684"/>
      <c r="KXN79" s="684"/>
      <c r="KXO79" s="684"/>
      <c r="KXP79" s="684"/>
      <c r="KXQ79" s="684"/>
      <c r="KXR79" s="684"/>
      <c r="KXS79" s="684"/>
      <c r="KXT79" s="684"/>
      <c r="KXU79" s="684"/>
      <c r="KXV79" s="684"/>
      <c r="KXW79" s="684"/>
      <c r="KXX79" s="684"/>
      <c r="KXY79" s="684"/>
      <c r="KXZ79" s="684"/>
      <c r="KYA79" s="684"/>
      <c r="KYB79" s="684"/>
      <c r="KYC79" s="684"/>
      <c r="KYD79" s="684"/>
      <c r="KYE79" s="684"/>
      <c r="KYF79" s="684"/>
      <c r="KYG79" s="684"/>
      <c r="KYH79" s="684"/>
      <c r="KYI79" s="684"/>
      <c r="KYJ79" s="684"/>
      <c r="KYK79" s="684"/>
      <c r="KYL79" s="684"/>
      <c r="KYM79" s="684"/>
      <c r="KYN79" s="684"/>
      <c r="KYO79" s="684"/>
      <c r="KYP79" s="684"/>
      <c r="KYQ79" s="684"/>
      <c r="KYR79" s="684"/>
      <c r="KYS79" s="684"/>
      <c r="KYT79" s="684"/>
      <c r="KYU79" s="684"/>
      <c r="KYV79" s="684"/>
      <c r="KYW79" s="684"/>
      <c r="KYX79" s="684"/>
      <c r="KYY79" s="684"/>
      <c r="KYZ79" s="684"/>
      <c r="KZA79" s="684"/>
      <c r="KZB79" s="684"/>
      <c r="KZC79" s="684"/>
      <c r="KZD79" s="684"/>
      <c r="KZE79" s="684"/>
      <c r="KZF79" s="684"/>
      <c r="KZG79" s="684"/>
      <c r="KZH79" s="684"/>
      <c r="KZI79" s="684"/>
      <c r="KZJ79" s="684"/>
      <c r="KZK79" s="684"/>
      <c r="KZL79" s="684"/>
      <c r="KZM79" s="684"/>
      <c r="KZN79" s="684"/>
      <c r="KZO79" s="684"/>
      <c r="KZP79" s="684"/>
      <c r="KZQ79" s="684"/>
      <c r="KZR79" s="684"/>
      <c r="KZS79" s="684"/>
      <c r="KZT79" s="684"/>
      <c r="KZU79" s="684"/>
      <c r="KZV79" s="684"/>
      <c r="KZW79" s="684"/>
      <c r="KZX79" s="684"/>
      <c r="KZY79" s="684"/>
      <c r="KZZ79" s="684"/>
      <c r="LAA79" s="684"/>
      <c r="LAB79" s="684"/>
      <c r="LAC79" s="684"/>
      <c r="LAD79" s="684"/>
      <c r="LAE79" s="684"/>
      <c r="LAF79" s="684"/>
      <c r="LAG79" s="684"/>
      <c r="LAH79" s="684"/>
      <c r="LAI79" s="684"/>
      <c r="LAJ79" s="684"/>
      <c r="LAK79" s="684"/>
      <c r="LAL79" s="684"/>
      <c r="LAM79" s="684"/>
      <c r="LAN79" s="684"/>
      <c r="LAO79" s="684"/>
      <c r="LAP79" s="684"/>
      <c r="LAQ79" s="684"/>
      <c r="LAR79" s="684"/>
      <c r="LAS79" s="684"/>
      <c r="LAT79" s="684"/>
      <c r="LAU79" s="684"/>
      <c r="LAV79" s="684"/>
      <c r="LAW79" s="684"/>
      <c r="LAX79" s="684"/>
      <c r="LAY79" s="684"/>
      <c r="LAZ79" s="684"/>
      <c r="LBA79" s="684"/>
      <c r="LBB79" s="684"/>
      <c r="LBC79" s="684"/>
      <c r="LBD79" s="684"/>
      <c r="LBE79" s="684"/>
      <c r="LBF79" s="684"/>
      <c r="LBG79" s="684"/>
      <c r="LBH79" s="684"/>
      <c r="LBI79" s="684"/>
      <c r="LBJ79" s="684"/>
      <c r="LBK79" s="684"/>
      <c r="LBL79" s="684"/>
      <c r="LBM79" s="684"/>
      <c r="LBN79" s="684"/>
      <c r="LBO79" s="684"/>
      <c r="LBP79" s="684"/>
      <c r="LBQ79" s="684"/>
      <c r="LBR79" s="684"/>
      <c r="LBS79" s="684"/>
      <c r="LBT79" s="684"/>
      <c r="LBU79" s="684"/>
      <c r="LBV79" s="684"/>
      <c r="LBW79" s="684"/>
      <c r="LBX79" s="684"/>
      <c r="LBY79" s="684"/>
      <c r="LBZ79" s="684"/>
      <c r="LCA79" s="684"/>
      <c r="LCB79" s="684"/>
      <c r="LCC79" s="684"/>
      <c r="LCD79" s="684"/>
      <c r="LCE79" s="684"/>
      <c r="LCF79" s="684"/>
      <c r="LCG79" s="684"/>
      <c r="LCH79" s="684"/>
      <c r="LCI79" s="684"/>
      <c r="LCJ79" s="684"/>
      <c r="LCK79" s="684"/>
      <c r="LCL79" s="684"/>
      <c r="LCM79" s="684"/>
      <c r="LCN79" s="684"/>
      <c r="LCO79" s="684"/>
      <c r="LCP79" s="684"/>
      <c r="LCQ79" s="684"/>
      <c r="LCR79" s="684"/>
      <c r="LCS79" s="684"/>
      <c r="LCT79" s="684"/>
      <c r="LCU79" s="684"/>
      <c r="LCV79" s="684"/>
      <c r="LCW79" s="684"/>
      <c r="LCX79" s="684"/>
      <c r="LCY79" s="684"/>
      <c r="LCZ79" s="684"/>
      <c r="LDA79" s="684"/>
      <c r="LDB79" s="684"/>
      <c r="LDC79" s="684"/>
      <c r="LDD79" s="684"/>
      <c r="LDE79" s="684"/>
      <c r="LDF79" s="684"/>
      <c r="LDG79" s="684"/>
      <c r="LDH79" s="684"/>
      <c r="LDI79" s="684"/>
      <c r="LDJ79" s="684"/>
      <c r="LDK79" s="684"/>
      <c r="LDL79" s="684"/>
      <c r="LDM79" s="684"/>
      <c r="LDN79" s="684"/>
      <c r="LDO79" s="684"/>
      <c r="LDP79" s="684"/>
      <c r="LDQ79" s="684"/>
      <c r="LDR79" s="684"/>
      <c r="LDS79" s="684"/>
      <c r="LDT79" s="684"/>
      <c r="LDU79" s="684"/>
      <c r="LDV79" s="684"/>
      <c r="LDW79" s="684"/>
      <c r="LDX79" s="684"/>
      <c r="LDY79" s="684"/>
      <c r="LDZ79" s="684"/>
      <c r="LEA79" s="684"/>
      <c r="LEB79" s="684"/>
      <c r="LEC79" s="684"/>
      <c r="LED79" s="684"/>
      <c r="LEE79" s="684"/>
      <c r="LEF79" s="684"/>
      <c r="LEG79" s="684"/>
      <c r="LEH79" s="684"/>
      <c r="LEI79" s="684"/>
      <c r="LEJ79" s="684"/>
      <c r="LEK79" s="684"/>
      <c r="LEL79" s="684"/>
      <c r="LEM79" s="684"/>
      <c r="LEN79" s="684"/>
      <c r="LEO79" s="684"/>
      <c r="LEP79" s="684"/>
      <c r="LEQ79" s="684"/>
      <c r="LER79" s="684"/>
      <c r="LES79" s="684"/>
      <c r="LET79" s="684"/>
      <c r="LEU79" s="684"/>
      <c r="LEV79" s="684"/>
      <c r="LEW79" s="684"/>
      <c r="LEX79" s="684"/>
      <c r="LEY79" s="684"/>
      <c r="LEZ79" s="684"/>
      <c r="LFA79" s="684"/>
      <c r="LFB79" s="684"/>
      <c r="LFC79" s="684"/>
      <c r="LFD79" s="684"/>
      <c r="LFE79" s="684"/>
      <c r="LFF79" s="684"/>
      <c r="LFG79" s="684"/>
      <c r="LFH79" s="684"/>
      <c r="LFI79" s="684"/>
      <c r="LFJ79" s="684"/>
      <c r="LFK79" s="684"/>
      <c r="LFL79" s="684"/>
      <c r="LFM79" s="684"/>
      <c r="LFN79" s="684"/>
      <c r="LFO79" s="684"/>
      <c r="LFP79" s="684"/>
      <c r="LFQ79" s="684"/>
      <c r="LFR79" s="684"/>
      <c r="LFS79" s="684"/>
      <c r="LFT79" s="684"/>
      <c r="LFU79" s="684"/>
      <c r="LFV79" s="684"/>
      <c r="LFW79" s="684"/>
      <c r="LFX79" s="684"/>
      <c r="LFY79" s="684"/>
      <c r="LFZ79" s="684"/>
      <c r="LGA79" s="684"/>
      <c r="LGB79" s="684"/>
      <c r="LGC79" s="684"/>
      <c r="LGD79" s="684"/>
      <c r="LGE79" s="684"/>
      <c r="LGF79" s="684"/>
      <c r="LGG79" s="684"/>
      <c r="LGH79" s="684"/>
      <c r="LGI79" s="684"/>
      <c r="LGJ79" s="684"/>
      <c r="LGK79" s="684"/>
      <c r="LGL79" s="684"/>
      <c r="LGM79" s="684"/>
      <c r="LGN79" s="684"/>
      <c r="LGO79" s="684"/>
      <c r="LGP79" s="684"/>
      <c r="LGQ79" s="684"/>
      <c r="LGR79" s="684"/>
      <c r="LGS79" s="684"/>
      <c r="LGT79" s="684"/>
      <c r="LGU79" s="684"/>
      <c r="LGV79" s="684"/>
      <c r="LGW79" s="684"/>
      <c r="LGX79" s="684"/>
      <c r="LGY79" s="684"/>
      <c r="LGZ79" s="684"/>
      <c r="LHA79" s="684"/>
      <c r="LHB79" s="684"/>
      <c r="LHC79" s="684"/>
      <c r="LHD79" s="684"/>
      <c r="LHE79" s="684"/>
      <c r="LHF79" s="684"/>
      <c r="LHG79" s="684"/>
      <c r="LHH79" s="684"/>
      <c r="LHI79" s="684"/>
      <c r="LHJ79" s="684"/>
      <c r="LHK79" s="684"/>
      <c r="LHL79" s="684"/>
      <c r="LHM79" s="684"/>
      <c r="LHN79" s="684"/>
      <c r="LHO79" s="684"/>
      <c r="LHP79" s="684"/>
      <c r="LHQ79" s="684"/>
      <c r="LHR79" s="684"/>
      <c r="LHS79" s="684"/>
      <c r="LHT79" s="684"/>
      <c r="LHU79" s="684"/>
      <c r="LHV79" s="684"/>
      <c r="LHW79" s="684"/>
      <c r="LHX79" s="684"/>
      <c r="LHY79" s="684"/>
      <c r="LHZ79" s="684"/>
      <c r="LIA79" s="684"/>
      <c r="LIB79" s="684"/>
      <c r="LIC79" s="684"/>
      <c r="LID79" s="684"/>
      <c r="LIE79" s="684"/>
      <c r="LIF79" s="684"/>
      <c r="LIG79" s="684"/>
      <c r="LIH79" s="684"/>
      <c r="LII79" s="684"/>
      <c r="LIJ79" s="684"/>
      <c r="LIK79" s="684"/>
      <c r="LIL79" s="684"/>
      <c r="LIM79" s="684"/>
      <c r="LIN79" s="684"/>
      <c r="LIO79" s="684"/>
      <c r="LIP79" s="684"/>
      <c r="LIQ79" s="684"/>
      <c r="LIR79" s="684"/>
      <c r="LIS79" s="684"/>
      <c r="LIT79" s="684"/>
      <c r="LIU79" s="684"/>
      <c r="LIV79" s="684"/>
      <c r="LIW79" s="684"/>
      <c r="LIX79" s="684"/>
      <c r="LIY79" s="684"/>
      <c r="LIZ79" s="684"/>
      <c r="LJA79" s="684"/>
      <c r="LJB79" s="684"/>
      <c r="LJC79" s="684"/>
      <c r="LJD79" s="684"/>
      <c r="LJE79" s="684"/>
      <c r="LJF79" s="684"/>
      <c r="LJG79" s="684"/>
      <c r="LJH79" s="684"/>
      <c r="LJI79" s="684"/>
      <c r="LJJ79" s="684"/>
      <c r="LJK79" s="684"/>
      <c r="LJL79" s="684"/>
      <c r="LJM79" s="684"/>
      <c r="LJN79" s="684"/>
      <c r="LJO79" s="684"/>
      <c r="LJP79" s="684"/>
      <c r="LJQ79" s="684"/>
      <c r="LJR79" s="684"/>
      <c r="LJS79" s="684"/>
      <c r="LJT79" s="684"/>
      <c r="LJU79" s="684"/>
      <c r="LJV79" s="684"/>
      <c r="LJW79" s="684"/>
      <c r="LJX79" s="684"/>
      <c r="LJY79" s="684"/>
      <c r="LJZ79" s="684"/>
      <c r="LKA79" s="684"/>
      <c r="LKB79" s="684"/>
      <c r="LKC79" s="684"/>
      <c r="LKD79" s="684"/>
      <c r="LKE79" s="684"/>
      <c r="LKF79" s="684"/>
      <c r="LKG79" s="684"/>
      <c r="LKH79" s="684"/>
      <c r="LKI79" s="684"/>
      <c r="LKJ79" s="684"/>
      <c r="LKK79" s="684"/>
      <c r="LKL79" s="684"/>
      <c r="LKM79" s="684"/>
      <c r="LKN79" s="684"/>
      <c r="LKO79" s="684"/>
      <c r="LKP79" s="684"/>
      <c r="LKQ79" s="684"/>
      <c r="LKR79" s="684"/>
      <c r="LKS79" s="684"/>
      <c r="LKT79" s="684"/>
      <c r="LKU79" s="684"/>
      <c r="LKV79" s="684"/>
      <c r="LKW79" s="684"/>
      <c r="LKX79" s="684"/>
      <c r="LKY79" s="684"/>
      <c r="LKZ79" s="684"/>
      <c r="LLA79" s="684"/>
      <c r="LLB79" s="684"/>
      <c r="LLC79" s="684"/>
      <c r="LLD79" s="684"/>
      <c r="LLE79" s="684"/>
      <c r="LLF79" s="684"/>
      <c r="LLG79" s="684"/>
      <c r="LLH79" s="684"/>
      <c r="LLI79" s="684"/>
      <c r="LLJ79" s="684"/>
      <c r="LLK79" s="684"/>
      <c r="LLL79" s="684"/>
      <c r="LLM79" s="684"/>
      <c r="LLN79" s="684"/>
      <c r="LLO79" s="684"/>
      <c r="LLP79" s="684"/>
      <c r="LLQ79" s="684"/>
      <c r="LLR79" s="684"/>
      <c r="LLS79" s="684"/>
      <c r="LLT79" s="684"/>
      <c r="LLU79" s="684"/>
      <c r="LLV79" s="684"/>
      <c r="LLW79" s="684"/>
      <c r="LLX79" s="684"/>
      <c r="LLY79" s="684"/>
      <c r="LLZ79" s="684"/>
      <c r="LMA79" s="684"/>
      <c r="LMB79" s="684"/>
      <c r="LMC79" s="684"/>
      <c r="LMD79" s="684"/>
      <c r="LME79" s="684"/>
      <c r="LMF79" s="684"/>
      <c r="LMG79" s="684"/>
      <c r="LMH79" s="684"/>
      <c r="LMI79" s="684"/>
      <c r="LMJ79" s="684"/>
      <c r="LMK79" s="684"/>
      <c r="LML79" s="684"/>
      <c r="LMM79" s="684"/>
      <c r="LMN79" s="684"/>
      <c r="LMO79" s="684"/>
      <c r="LMP79" s="684"/>
      <c r="LMQ79" s="684"/>
      <c r="LMR79" s="684"/>
      <c r="LMS79" s="684"/>
      <c r="LMT79" s="684"/>
      <c r="LMU79" s="684"/>
      <c r="LMV79" s="684"/>
      <c r="LMW79" s="684"/>
      <c r="LMX79" s="684"/>
      <c r="LMY79" s="684"/>
      <c r="LMZ79" s="684"/>
      <c r="LNA79" s="684"/>
      <c r="LNB79" s="684"/>
      <c r="LNC79" s="684"/>
      <c r="LND79" s="684"/>
      <c r="LNE79" s="684"/>
      <c r="LNF79" s="684"/>
      <c r="LNG79" s="684"/>
      <c r="LNH79" s="684"/>
      <c r="LNI79" s="684"/>
      <c r="LNJ79" s="684"/>
      <c r="LNK79" s="684"/>
      <c r="LNL79" s="684"/>
      <c r="LNM79" s="684"/>
      <c r="LNN79" s="684"/>
      <c r="LNO79" s="684"/>
      <c r="LNP79" s="684"/>
      <c r="LNQ79" s="684"/>
      <c r="LNR79" s="684"/>
      <c r="LNS79" s="684"/>
      <c r="LNT79" s="684"/>
      <c r="LNU79" s="684"/>
      <c r="LNV79" s="684"/>
      <c r="LNW79" s="684"/>
      <c r="LNX79" s="684"/>
      <c r="LNY79" s="684"/>
      <c r="LNZ79" s="684"/>
      <c r="LOA79" s="684"/>
      <c r="LOB79" s="684"/>
      <c r="LOC79" s="684"/>
      <c r="LOD79" s="684"/>
      <c r="LOE79" s="684"/>
      <c r="LOF79" s="684"/>
      <c r="LOG79" s="684"/>
      <c r="LOH79" s="684"/>
      <c r="LOI79" s="684"/>
      <c r="LOJ79" s="684"/>
      <c r="LOK79" s="684"/>
      <c r="LOL79" s="684"/>
      <c r="LOM79" s="684"/>
      <c r="LON79" s="684"/>
      <c r="LOO79" s="684"/>
      <c r="LOP79" s="684"/>
      <c r="LOQ79" s="684"/>
      <c r="LOR79" s="684"/>
      <c r="LOS79" s="684"/>
      <c r="LOT79" s="684"/>
      <c r="LOU79" s="684"/>
      <c r="LOV79" s="684"/>
      <c r="LOW79" s="684"/>
      <c r="LOX79" s="684"/>
      <c r="LOY79" s="684"/>
      <c r="LOZ79" s="684"/>
      <c r="LPA79" s="684"/>
      <c r="LPB79" s="684"/>
      <c r="LPC79" s="684"/>
      <c r="LPD79" s="684"/>
      <c r="LPE79" s="684"/>
      <c r="LPF79" s="684"/>
      <c r="LPG79" s="684"/>
      <c r="LPH79" s="684"/>
      <c r="LPI79" s="684"/>
      <c r="LPJ79" s="684"/>
      <c r="LPK79" s="684"/>
      <c r="LPL79" s="684"/>
      <c r="LPM79" s="684"/>
      <c r="LPN79" s="684"/>
      <c r="LPO79" s="684"/>
      <c r="LPP79" s="684"/>
      <c r="LPQ79" s="684"/>
      <c r="LPR79" s="684"/>
      <c r="LPS79" s="684"/>
      <c r="LPT79" s="684"/>
      <c r="LPU79" s="684"/>
      <c r="LPV79" s="684"/>
      <c r="LPW79" s="684"/>
      <c r="LPX79" s="684"/>
      <c r="LPY79" s="684"/>
      <c r="LPZ79" s="684"/>
      <c r="LQA79" s="684"/>
      <c r="LQB79" s="684"/>
      <c r="LQC79" s="684"/>
      <c r="LQD79" s="684"/>
      <c r="LQE79" s="684"/>
      <c r="LQF79" s="684"/>
      <c r="LQG79" s="684"/>
      <c r="LQH79" s="684"/>
      <c r="LQI79" s="684"/>
      <c r="LQJ79" s="684"/>
      <c r="LQK79" s="684"/>
      <c r="LQL79" s="684"/>
      <c r="LQM79" s="684"/>
      <c r="LQN79" s="684"/>
      <c r="LQO79" s="684"/>
      <c r="LQP79" s="684"/>
      <c r="LQQ79" s="684"/>
      <c r="LQR79" s="684"/>
      <c r="LQS79" s="684"/>
      <c r="LQT79" s="684"/>
      <c r="LQU79" s="684"/>
      <c r="LQV79" s="684"/>
      <c r="LQW79" s="684"/>
      <c r="LQX79" s="684"/>
      <c r="LQY79" s="684"/>
      <c r="LQZ79" s="684"/>
      <c r="LRA79" s="684"/>
      <c r="LRB79" s="684"/>
      <c r="LRC79" s="684"/>
      <c r="LRD79" s="684"/>
      <c r="LRE79" s="684"/>
      <c r="LRF79" s="684"/>
      <c r="LRG79" s="684"/>
      <c r="LRH79" s="684"/>
      <c r="LRI79" s="684"/>
      <c r="LRJ79" s="684"/>
      <c r="LRK79" s="684"/>
      <c r="LRL79" s="684"/>
      <c r="LRM79" s="684"/>
      <c r="LRN79" s="684"/>
      <c r="LRO79" s="684"/>
      <c r="LRP79" s="684"/>
      <c r="LRQ79" s="684"/>
      <c r="LRR79" s="684"/>
      <c r="LRS79" s="684"/>
      <c r="LRT79" s="684"/>
      <c r="LRU79" s="684"/>
      <c r="LRV79" s="684"/>
      <c r="LRW79" s="684"/>
      <c r="LRX79" s="684"/>
      <c r="LRY79" s="684"/>
      <c r="LRZ79" s="684"/>
      <c r="LSA79" s="684"/>
      <c r="LSB79" s="684"/>
      <c r="LSC79" s="684"/>
      <c r="LSD79" s="684"/>
      <c r="LSE79" s="684"/>
      <c r="LSF79" s="684"/>
      <c r="LSG79" s="684"/>
      <c r="LSH79" s="684"/>
      <c r="LSI79" s="684"/>
      <c r="LSJ79" s="684"/>
      <c r="LSK79" s="684"/>
      <c r="LSL79" s="684"/>
      <c r="LSM79" s="684"/>
      <c r="LSN79" s="684"/>
      <c r="LSO79" s="684"/>
      <c r="LSP79" s="684"/>
      <c r="LSQ79" s="684"/>
      <c r="LSR79" s="684"/>
      <c r="LSS79" s="684"/>
      <c r="LST79" s="684"/>
      <c r="LSU79" s="684"/>
      <c r="LSV79" s="684"/>
      <c r="LSW79" s="684"/>
      <c r="LSX79" s="684"/>
      <c r="LSY79" s="684"/>
      <c r="LSZ79" s="684"/>
      <c r="LTA79" s="684"/>
      <c r="LTB79" s="684"/>
      <c r="LTC79" s="684"/>
      <c r="LTD79" s="684"/>
      <c r="LTE79" s="684"/>
      <c r="LTF79" s="684"/>
      <c r="LTG79" s="684"/>
      <c r="LTH79" s="684"/>
      <c r="LTI79" s="684"/>
      <c r="LTJ79" s="684"/>
      <c r="LTK79" s="684"/>
      <c r="LTL79" s="684"/>
      <c r="LTM79" s="684"/>
      <c r="LTN79" s="684"/>
      <c r="LTO79" s="684"/>
      <c r="LTP79" s="684"/>
      <c r="LTQ79" s="684"/>
      <c r="LTR79" s="684"/>
      <c r="LTS79" s="684"/>
      <c r="LTT79" s="684"/>
      <c r="LTU79" s="684"/>
      <c r="LTV79" s="684"/>
      <c r="LTW79" s="684"/>
      <c r="LTX79" s="684"/>
      <c r="LTY79" s="684"/>
      <c r="LTZ79" s="684"/>
      <c r="LUA79" s="684"/>
      <c r="LUB79" s="684"/>
      <c r="LUC79" s="684"/>
      <c r="LUD79" s="684"/>
      <c r="LUE79" s="684"/>
      <c r="LUF79" s="684"/>
      <c r="LUG79" s="684"/>
      <c r="LUH79" s="684"/>
      <c r="LUI79" s="684"/>
      <c r="LUJ79" s="684"/>
      <c r="LUK79" s="684"/>
      <c r="LUL79" s="684"/>
      <c r="LUM79" s="684"/>
      <c r="LUN79" s="684"/>
      <c r="LUO79" s="684"/>
      <c r="LUP79" s="684"/>
      <c r="LUQ79" s="684"/>
      <c r="LUR79" s="684"/>
      <c r="LUS79" s="684"/>
      <c r="LUT79" s="684"/>
      <c r="LUU79" s="684"/>
      <c r="LUV79" s="684"/>
      <c r="LUW79" s="684"/>
      <c r="LUX79" s="684"/>
      <c r="LUY79" s="684"/>
      <c r="LUZ79" s="684"/>
      <c r="LVA79" s="684"/>
      <c r="LVB79" s="684"/>
      <c r="LVC79" s="684"/>
      <c r="LVD79" s="684"/>
      <c r="LVE79" s="684"/>
      <c r="LVF79" s="684"/>
      <c r="LVG79" s="684"/>
      <c r="LVH79" s="684"/>
      <c r="LVI79" s="684"/>
      <c r="LVJ79" s="684"/>
      <c r="LVK79" s="684"/>
      <c r="LVL79" s="684"/>
      <c r="LVM79" s="684"/>
      <c r="LVN79" s="684"/>
      <c r="LVO79" s="684"/>
      <c r="LVP79" s="684"/>
      <c r="LVQ79" s="684"/>
      <c r="LVR79" s="684"/>
      <c r="LVS79" s="684"/>
      <c r="LVT79" s="684"/>
      <c r="LVU79" s="684"/>
      <c r="LVV79" s="684"/>
      <c r="LVW79" s="684"/>
      <c r="LVX79" s="684"/>
      <c r="LVY79" s="684"/>
      <c r="LVZ79" s="684"/>
      <c r="LWA79" s="684"/>
      <c r="LWB79" s="684"/>
      <c r="LWC79" s="684"/>
      <c r="LWD79" s="684"/>
      <c r="LWE79" s="684"/>
      <c r="LWF79" s="684"/>
      <c r="LWG79" s="684"/>
      <c r="LWH79" s="684"/>
      <c r="LWI79" s="684"/>
      <c r="LWJ79" s="684"/>
      <c r="LWK79" s="684"/>
      <c r="LWL79" s="684"/>
      <c r="LWM79" s="684"/>
      <c r="LWN79" s="684"/>
      <c r="LWO79" s="684"/>
      <c r="LWP79" s="684"/>
      <c r="LWQ79" s="684"/>
      <c r="LWR79" s="684"/>
      <c r="LWS79" s="684"/>
      <c r="LWT79" s="684"/>
      <c r="LWU79" s="684"/>
      <c r="LWV79" s="684"/>
      <c r="LWW79" s="684"/>
      <c r="LWX79" s="684"/>
      <c r="LWY79" s="684"/>
      <c r="LWZ79" s="684"/>
      <c r="LXA79" s="684"/>
      <c r="LXB79" s="684"/>
      <c r="LXC79" s="684"/>
      <c r="LXD79" s="684"/>
      <c r="LXE79" s="684"/>
      <c r="LXF79" s="684"/>
      <c r="LXG79" s="684"/>
      <c r="LXH79" s="684"/>
      <c r="LXI79" s="684"/>
      <c r="LXJ79" s="684"/>
      <c r="LXK79" s="684"/>
      <c r="LXL79" s="684"/>
      <c r="LXM79" s="684"/>
      <c r="LXN79" s="684"/>
      <c r="LXO79" s="684"/>
      <c r="LXP79" s="684"/>
      <c r="LXQ79" s="684"/>
      <c r="LXR79" s="684"/>
      <c r="LXS79" s="684"/>
      <c r="LXT79" s="684"/>
      <c r="LXU79" s="684"/>
      <c r="LXV79" s="684"/>
      <c r="LXW79" s="684"/>
      <c r="LXX79" s="684"/>
      <c r="LXY79" s="684"/>
      <c r="LXZ79" s="684"/>
      <c r="LYA79" s="684"/>
      <c r="LYB79" s="684"/>
      <c r="LYC79" s="684"/>
      <c r="LYD79" s="684"/>
      <c r="LYE79" s="684"/>
      <c r="LYF79" s="684"/>
      <c r="LYG79" s="684"/>
      <c r="LYH79" s="684"/>
      <c r="LYI79" s="684"/>
      <c r="LYJ79" s="684"/>
      <c r="LYK79" s="684"/>
      <c r="LYL79" s="684"/>
      <c r="LYM79" s="684"/>
      <c r="LYN79" s="684"/>
      <c r="LYO79" s="684"/>
      <c r="LYP79" s="684"/>
      <c r="LYQ79" s="684"/>
      <c r="LYR79" s="684"/>
      <c r="LYS79" s="684"/>
      <c r="LYT79" s="684"/>
      <c r="LYU79" s="684"/>
      <c r="LYV79" s="684"/>
      <c r="LYW79" s="684"/>
      <c r="LYX79" s="684"/>
      <c r="LYY79" s="684"/>
      <c r="LYZ79" s="684"/>
      <c r="LZA79" s="684"/>
      <c r="LZB79" s="684"/>
      <c r="LZC79" s="684"/>
      <c r="LZD79" s="684"/>
      <c r="LZE79" s="684"/>
      <c r="LZF79" s="684"/>
      <c r="LZG79" s="684"/>
      <c r="LZH79" s="684"/>
      <c r="LZI79" s="684"/>
      <c r="LZJ79" s="684"/>
      <c r="LZK79" s="684"/>
      <c r="LZL79" s="684"/>
      <c r="LZM79" s="684"/>
      <c r="LZN79" s="684"/>
      <c r="LZO79" s="684"/>
      <c r="LZP79" s="684"/>
      <c r="LZQ79" s="684"/>
      <c r="LZR79" s="684"/>
      <c r="LZS79" s="684"/>
      <c r="LZT79" s="684"/>
      <c r="LZU79" s="684"/>
      <c r="LZV79" s="684"/>
      <c r="LZW79" s="684"/>
      <c r="LZX79" s="684"/>
      <c r="LZY79" s="684"/>
      <c r="LZZ79" s="684"/>
      <c r="MAA79" s="684"/>
      <c r="MAB79" s="684"/>
      <c r="MAC79" s="684"/>
      <c r="MAD79" s="684"/>
      <c r="MAE79" s="684"/>
      <c r="MAF79" s="684"/>
      <c r="MAG79" s="684"/>
      <c r="MAH79" s="684"/>
      <c r="MAI79" s="684"/>
      <c r="MAJ79" s="684"/>
      <c r="MAK79" s="684"/>
      <c r="MAL79" s="684"/>
      <c r="MAM79" s="684"/>
      <c r="MAN79" s="684"/>
      <c r="MAO79" s="684"/>
      <c r="MAP79" s="684"/>
      <c r="MAQ79" s="684"/>
      <c r="MAR79" s="684"/>
      <c r="MAS79" s="684"/>
      <c r="MAT79" s="684"/>
      <c r="MAU79" s="684"/>
      <c r="MAV79" s="684"/>
      <c r="MAW79" s="684"/>
      <c r="MAX79" s="684"/>
      <c r="MAY79" s="684"/>
      <c r="MAZ79" s="684"/>
      <c r="MBA79" s="684"/>
      <c r="MBB79" s="684"/>
      <c r="MBC79" s="684"/>
      <c r="MBD79" s="684"/>
      <c r="MBE79" s="684"/>
      <c r="MBF79" s="684"/>
      <c r="MBG79" s="684"/>
      <c r="MBH79" s="684"/>
      <c r="MBI79" s="684"/>
      <c r="MBJ79" s="684"/>
      <c r="MBK79" s="684"/>
      <c r="MBL79" s="684"/>
      <c r="MBM79" s="684"/>
      <c r="MBN79" s="684"/>
      <c r="MBO79" s="684"/>
      <c r="MBP79" s="684"/>
      <c r="MBQ79" s="684"/>
      <c r="MBR79" s="684"/>
      <c r="MBS79" s="684"/>
      <c r="MBT79" s="684"/>
      <c r="MBU79" s="684"/>
      <c r="MBV79" s="684"/>
      <c r="MBW79" s="684"/>
      <c r="MBX79" s="684"/>
      <c r="MBY79" s="684"/>
      <c r="MBZ79" s="684"/>
      <c r="MCA79" s="684"/>
      <c r="MCB79" s="684"/>
      <c r="MCC79" s="684"/>
      <c r="MCD79" s="684"/>
      <c r="MCE79" s="684"/>
      <c r="MCF79" s="684"/>
      <c r="MCG79" s="684"/>
      <c r="MCH79" s="684"/>
      <c r="MCI79" s="684"/>
      <c r="MCJ79" s="684"/>
      <c r="MCK79" s="684"/>
      <c r="MCL79" s="684"/>
      <c r="MCM79" s="684"/>
      <c r="MCN79" s="684"/>
      <c r="MCO79" s="684"/>
      <c r="MCP79" s="684"/>
      <c r="MCQ79" s="684"/>
      <c r="MCR79" s="684"/>
      <c r="MCS79" s="684"/>
      <c r="MCT79" s="684"/>
      <c r="MCU79" s="684"/>
      <c r="MCV79" s="684"/>
      <c r="MCW79" s="684"/>
      <c r="MCX79" s="684"/>
      <c r="MCY79" s="684"/>
      <c r="MCZ79" s="684"/>
      <c r="MDA79" s="684"/>
      <c r="MDB79" s="684"/>
      <c r="MDC79" s="684"/>
      <c r="MDD79" s="684"/>
      <c r="MDE79" s="684"/>
      <c r="MDF79" s="684"/>
      <c r="MDG79" s="684"/>
      <c r="MDH79" s="684"/>
      <c r="MDI79" s="684"/>
      <c r="MDJ79" s="684"/>
      <c r="MDK79" s="684"/>
      <c r="MDL79" s="684"/>
      <c r="MDM79" s="684"/>
      <c r="MDN79" s="684"/>
      <c r="MDO79" s="684"/>
      <c r="MDP79" s="684"/>
      <c r="MDQ79" s="684"/>
      <c r="MDR79" s="684"/>
      <c r="MDS79" s="684"/>
      <c r="MDT79" s="684"/>
      <c r="MDU79" s="684"/>
      <c r="MDV79" s="684"/>
      <c r="MDW79" s="684"/>
      <c r="MDX79" s="684"/>
      <c r="MDY79" s="684"/>
      <c r="MDZ79" s="684"/>
      <c r="MEA79" s="684"/>
      <c r="MEB79" s="684"/>
      <c r="MEC79" s="684"/>
      <c r="MED79" s="684"/>
      <c r="MEE79" s="684"/>
      <c r="MEF79" s="684"/>
      <c r="MEG79" s="684"/>
      <c r="MEH79" s="684"/>
      <c r="MEI79" s="684"/>
      <c r="MEJ79" s="684"/>
      <c r="MEK79" s="684"/>
      <c r="MEL79" s="684"/>
      <c r="MEM79" s="684"/>
      <c r="MEN79" s="684"/>
      <c r="MEO79" s="684"/>
      <c r="MEP79" s="684"/>
      <c r="MEQ79" s="684"/>
      <c r="MER79" s="684"/>
      <c r="MES79" s="684"/>
      <c r="MET79" s="684"/>
      <c r="MEU79" s="684"/>
      <c r="MEV79" s="684"/>
      <c r="MEW79" s="684"/>
      <c r="MEX79" s="684"/>
      <c r="MEY79" s="684"/>
      <c r="MEZ79" s="684"/>
      <c r="MFA79" s="684"/>
      <c r="MFB79" s="684"/>
      <c r="MFC79" s="684"/>
      <c r="MFD79" s="684"/>
      <c r="MFE79" s="684"/>
      <c r="MFF79" s="684"/>
      <c r="MFG79" s="684"/>
      <c r="MFH79" s="684"/>
      <c r="MFI79" s="684"/>
      <c r="MFJ79" s="684"/>
      <c r="MFK79" s="684"/>
      <c r="MFL79" s="684"/>
      <c r="MFM79" s="684"/>
      <c r="MFN79" s="684"/>
      <c r="MFO79" s="684"/>
      <c r="MFP79" s="684"/>
      <c r="MFQ79" s="684"/>
      <c r="MFR79" s="684"/>
      <c r="MFS79" s="684"/>
      <c r="MFT79" s="684"/>
      <c r="MFU79" s="684"/>
      <c r="MFV79" s="684"/>
      <c r="MFW79" s="684"/>
      <c r="MFX79" s="684"/>
      <c r="MFY79" s="684"/>
      <c r="MFZ79" s="684"/>
      <c r="MGA79" s="684"/>
      <c r="MGB79" s="684"/>
      <c r="MGC79" s="684"/>
      <c r="MGD79" s="684"/>
      <c r="MGE79" s="684"/>
      <c r="MGF79" s="684"/>
      <c r="MGG79" s="684"/>
      <c r="MGH79" s="684"/>
      <c r="MGI79" s="684"/>
      <c r="MGJ79" s="684"/>
      <c r="MGK79" s="684"/>
      <c r="MGL79" s="684"/>
      <c r="MGM79" s="684"/>
      <c r="MGN79" s="684"/>
      <c r="MGO79" s="684"/>
      <c r="MGP79" s="684"/>
      <c r="MGQ79" s="684"/>
      <c r="MGR79" s="684"/>
      <c r="MGS79" s="684"/>
      <c r="MGT79" s="684"/>
      <c r="MGU79" s="684"/>
      <c r="MGV79" s="684"/>
      <c r="MGW79" s="684"/>
      <c r="MGX79" s="684"/>
      <c r="MGY79" s="684"/>
      <c r="MGZ79" s="684"/>
      <c r="MHA79" s="684"/>
      <c r="MHB79" s="684"/>
      <c r="MHC79" s="684"/>
      <c r="MHD79" s="684"/>
      <c r="MHE79" s="684"/>
      <c r="MHF79" s="684"/>
      <c r="MHG79" s="684"/>
      <c r="MHH79" s="684"/>
      <c r="MHI79" s="684"/>
      <c r="MHJ79" s="684"/>
      <c r="MHK79" s="684"/>
      <c r="MHL79" s="684"/>
      <c r="MHM79" s="684"/>
      <c r="MHN79" s="684"/>
      <c r="MHO79" s="684"/>
      <c r="MHP79" s="684"/>
      <c r="MHQ79" s="684"/>
      <c r="MHR79" s="684"/>
      <c r="MHS79" s="684"/>
      <c r="MHT79" s="684"/>
      <c r="MHU79" s="684"/>
      <c r="MHV79" s="684"/>
      <c r="MHW79" s="684"/>
      <c r="MHX79" s="684"/>
      <c r="MHY79" s="684"/>
      <c r="MHZ79" s="684"/>
      <c r="MIA79" s="684"/>
      <c r="MIB79" s="684"/>
      <c r="MIC79" s="684"/>
      <c r="MID79" s="684"/>
      <c r="MIE79" s="684"/>
      <c r="MIF79" s="684"/>
      <c r="MIG79" s="684"/>
      <c r="MIH79" s="684"/>
      <c r="MII79" s="684"/>
      <c r="MIJ79" s="684"/>
      <c r="MIK79" s="684"/>
      <c r="MIL79" s="684"/>
      <c r="MIM79" s="684"/>
      <c r="MIN79" s="684"/>
      <c r="MIO79" s="684"/>
      <c r="MIP79" s="684"/>
      <c r="MIQ79" s="684"/>
      <c r="MIR79" s="684"/>
      <c r="MIS79" s="684"/>
      <c r="MIT79" s="684"/>
      <c r="MIU79" s="684"/>
      <c r="MIV79" s="684"/>
      <c r="MIW79" s="684"/>
      <c r="MIX79" s="684"/>
      <c r="MIY79" s="684"/>
      <c r="MIZ79" s="684"/>
      <c r="MJA79" s="684"/>
      <c r="MJB79" s="684"/>
      <c r="MJC79" s="684"/>
      <c r="MJD79" s="684"/>
      <c r="MJE79" s="684"/>
      <c r="MJF79" s="684"/>
      <c r="MJG79" s="684"/>
      <c r="MJH79" s="684"/>
      <c r="MJI79" s="684"/>
      <c r="MJJ79" s="684"/>
      <c r="MJK79" s="684"/>
      <c r="MJL79" s="684"/>
      <c r="MJM79" s="684"/>
      <c r="MJN79" s="684"/>
      <c r="MJO79" s="684"/>
      <c r="MJP79" s="684"/>
      <c r="MJQ79" s="684"/>
      <c r="MJR79" s="684"/>
      <c r="MJS79" s="684"/>
      <c r="MJT79" s="684"/>
      <c r="MJU79" s="684"/>
      <c r="MJV79" s="684"/>
      <c r="MJW79" s="684"/>
      <c r="MJX79" s="684"/>
      <c r="MJY79" s="684"/>
      <c r="MJZ79" s="684"/>
      <c r="MKA79" s="684"/>
      <c r="MKB79" s="684"/>
      <c r="MKC79" s="684"/>
      <c r="MKD79" s="684"/>
      <c r="MKE79" s="684"/>
      <c r="MKF79" s="684"/>
      <c r="MKG79" s="684"/>
      <c r="MKH79" s="684"/>
      <c r="MKI79" s="684"/>
      <c r="MKJ79" s="684"/>
      <c r="MKK79" s="684"/>
      <c r="MKL79" s="684"/>
      <c r="MKM79" s="684"/>
      <c r="MKN79" s="684"/>
      <c r="MKO79" s="684"/>
      <c r="MKP79" s="684"/>
      <c r="MKQ79" s="684"/>
      <c r="MKR79" s="684"/>
      <c r="MKS79" s="684"/>
      <c r="MKT79" s="684"/>
      <c r="MKU79" s="684"/>
      <c r="MKV79" s="684"/>
      <c r="MKW79" s="684"/>
      <c r="MKX79" s="684"/>
      <c r="MKY79" s="684"/>
      <c r="MKZ79" s="684"/>
      <c r="MLA79" s="684"/>
      <c r="MLB79" s="684"/>
      <c r="MLC79" s="684"/>
      <c r="MLD79" s="684"/>
      <c r="MLE79" s="684"/>
      <c r="MLF79" s="684"/>
      <c r="MLG79" s="684"/>
      <c r="MLH79" s="684"/>
      <c r="MLI79" s="684"/>
      <c r="MLJ79" s="684"/>
      <c r="MLK79" s="684"/>
      <c r="MLL79" s="684"/>
      <c r="MLM79" s="684"/>
      <c r="MLN79" s="684"/>
      <c r="MLO79" s="684"/>
      <c r="MLP79" s="684"/>
      <c r="MLQ79" s="684"/>
      <c r="MLR79" s="684"/>
      <c r="MLS79" s="684"/>
      <c r="MLT79" s="684"/>
      <c r="MLU79" s="684"/>
      <c r="MLV79" s="684"/>
      <c r="MLW79" s="684"/>
      <c r="MLX79" s="684"/>
      <c r="MLY79" s="684"/>
      <c r="MLZ79" s="684"/>
      <c r="MMA79" s="684"/>
      <c r="MMB79" s="684"/>
      <c r="MMC79" s="684"/>
      <c r="MMD79" s="684"/>
      <c r="MME79" s="684"/>
      <c r="MMF79" s="684"/>
      <c r="MMG79" s="684"/>
      <c r="MMH79" s="684"/>
      <c r="MMI79" s="684"/>
      <c r="MMJ79" s="684"/>
      <c r="MMK79" s="684"/>
      <c r="MML79" s="684"/>
      <c r="MMM79" s="684"/>
      <c r="MMN79" s="684"/>
      <c r="MMO79" s="684"/>
      <c r="MMP79" s="684"/>
      <c r="MMQ79" s="684"/>
      <c r="MMR79" s="684"/>
      <c r="MMS79" s="684"/>
      <c r="MMT79" s="684"/>
      <c r="MMU79" s="684"/>
      <c r="MMV79" s="684"/>
      <c r="MMW79" s="684"/>
      <c r="MMX79" s="684"/>
      <c r="MMY79" s="684"/>
      <c r="MMZ79" s="684"/>
      <c r="MNA79" s="684"/>
      <c r="MNB79" s="684"/>
      <c r="MNC79" s="684"/>
      <c r="MND79" s="684"/>
      <c r="MNE79" s="684"/>
      <c r="MNF79" s="684"/>
      <c r="MNG79" s="684"/>
      <c r="MNH79" s="684"/>
      <c r="MNI79" s="684"/>
      <c r="MNJ79" s="684"/>
      <c r="MNK79" s="684"/>
      <c r="MNL79" s="684"/>
      <c r="MNM79" s="684"/>
      <c r="MNN79" s="684"/>
      <c r="MNO79" s="684"/>
      <c r="MNP79" s="684"/>
      <c r="MNQ79" s="684"/>
      <c r="MNR79" s="684"/>
      <c r="MNS79" s="684"/>
      <c r="MNT79" s="684"/>
      <c r="MNU79" s="684"/>
      <c r="MNV79" s="684"/>
      <c r="MNW79" s="684"/>
      <c r="MNX79" s="684"/>
      <c r="MNY79" s="684"/>
      <c r="MNZ79" s="684"/>
      <c r="MOA79" s="684"/>
      <c r="MOB79" s="684"/>
      <c r="MOC79" s="684"/>
      <c r="MOD79" s="684"/>
      <c r="MOE79" s="684"/>
      <c r="MOF79" s="684"/>
      <c r="MOG79" s="684"/>
      <c r="MOH79" s="684"/>
      <c r="MOI79" s="684"/>
      <c r="MOJ79" s="684"/>
      <c r="MOK79" s="684"/>
      <c r="MOL79" s="684"/>
      <c r="MOM79" s="684"/>
      <c r="MON79" s="684"/>
      <c r="MOO79" s="684"/>
      <c r="MOP79" s="684"/>
      <c r="MOQ79" s="684"/>
      <c r="MOR79" s="684"/>
      <c r="MOS79" s="684"/>
      <c r="MOT79" s="684"/>
      <c r="MOU79" s="684"/>
      <c r="MOV79" s="684"/>
      <c r="MOW79" s="684"/>
      <c r="MOX79" s="684"/>
      <c r="MOY79" s="684"/>
      <c r="MOZ79" s="684"/>
      <c r="MPA79" s="684"/>
      <c r="MPB79" s="684"/>
      <c r="MPC79" s="684"/>
      <c r="MPD79" s="684"/>
      <c r="MPE79" s="684"/>
      <c r="MPF79" s="684"/>
      <c r="MPG79" s="684"/>
      <c r="MPH79" s="684"/>
      <c r="MPI79" s="684"/>
      <c r="MPJ79" s="684"/>
      <c r="MPK79" s="684"/>
      <c r="MPL79" s="684"/>
      <c r="MPM79" s="684"/>
      <c r="MPN79" s="684"/>
      <c r="MPO79" s="684"/>
      <c r="MPP79" s="684"/>
      <c r="MPQ79" s="684"/>
      <c r="MPR79" s="684"/>
      <c r="MPS79" s="684"/>
      <c r="MPT79" s="684"/>
      <c r="MPU79" s="684"/>
      <c r="MPV79" s="684"/>
      <c r="MPW79" s="684"/>
      <c r="MPX79" s="684"/>
      <c r="MPY79" s="684"/>
      <c r="MPZ79" s="684"/>
      <c r="MQA79" s="684"/>
      <c r="MQB79" s="684"/>
      <c r="MQC79" s="684"/>
      <c r="MQD79" s="684"/>
      <c r="MQE79" s="684"/>
      <c r="MQF79" s="684"/>
      <c r="MQG79" s="684"/>
      <c r="MQH79" s="684"/>
      <c r="MQI79" s="684"/>
      <c r="MQJ79" s="684"/>
      <c r="MQK79" s="684"/>
      <c r="MQL79" s="684"/>
      <c r="MQM79" s="684"/>
      <c r="MQN79" s="684"/>
      <c r="MQO79" s="684"/>
      <c r="MQP79" s="684"/>
      <c r="MQQ79" s="684"/>
      <c r="MQR79" s="684"/>
      <c r="MQS79" s="684"/>
      <c r="MQT79" s="684"/>
      <c r="MQU79" s="684"/>
      <c r="MQV79" s="684"/>
      <c r="MQW79" s="684"/>
      <c r="MQX79" s="684"/>
      <c r="MQY79" s="684"/>
      <c r="MQZ79" s="684"/>
      <c r="MRA79" s="684"/>
      <c r="MRB79" s="684"/>
      <c r="MRC79" s="684"/>
      <c r="MRD79" s="684"/>
      <c r="MRE79" s="684"/>
      <c r="MRF79" s="684"/>
      <c r="MRG79" s="684"/>
      <c r="MRH79" s="684"/>
      <c r="MRI79" s="684"/>
      <c r="MRJ79" s="684"/>
      <c r="MRK79" s="684"/>
      <c r="MRL79" s="684"/>
      <c r="MRM79" s="684"/>
      <c r="MRN79" s="684"/>
      <c r="MRO79" s="684"/>
      <c r="MRP79" s="684"/>
      <c r="MRQ79" s="684"/>
      <c r="MRR79" s="684"/>
      <c r="MRS79" s="684"/>
      <c r="MRT79" s="684"/>
      <c r="MRU79" s="684"/>
      <c r="MRV79" s="684"/>
      <c r="MRW79" s="684"/>
      <c r="MRX79" s="684"/>
      <c r="MRY79" s="684"/>
      <c r="MRZ79" s="684"/>
      <c r="MSA79" s="684"/>
      <c r="MSB79" s="684"/>
      <c r="MSC79" s="684"/>
      <c r="MSD79" s="684"/>
      <c r="MSE79" s="684"/>
      <c r="MSF79" s="684"/>
      <c r="MSG79" s="684"/>
      <c r="MSH79" s="684"/>
      <c r="MSI79" s="684"/>
      <c r="MSJ79" s="684"/>
      <c r="MSK79" s="684"/>
      <c r="MSL79" s="684"/>
      <c r="MSM79" s="684"/>
      <c r="MSN79" s="684"/>
      <c r="MSO79" s="684"/>
      <c r="MSP79" s="684"/>
      <c r="MSQ79" s="684"/>
      <c r="MSR79" s="684"/>
      <c r="MSS79" s="684"/>
      <c r="MST79" s="684"/>
      <c r="MSU79" s="684"/>
      <c r="MSV79" s="684"/>
      <c r="MSW79" s="684"/>
      <c r="MSX79" s="684"/>
      <c r="MSY79" s="684"/>
      <c r="MSZ79" s="684"/>
      <c r="MTA79" s="684"/>
      <c r="MTB79" s="684"/>
      <c r="MTC79" s="684"/>
      <c r="MTD79" s="684"/>
      <c r="MTE79" s="684"/>
      <c r="MTF79" s="684"/>
      <c r="MTG79" s="684"/>
      <c r="MTH79" s="684"/>
      <c r="MTI79" s="684"/>
      <c r="MTJ79" s="684"/>
      <c r="MTK79" s="684"/>
      <c r="MTL79" s="684"/>
      <c r="MTM79" s="684"/>
      <c r="MTN79" s="684"/>
      <c r="MTO79" s="684"/>
      <c r="MTP79" s="684"/>
      <c r="MTQ79" s="684"/>
      <c r="MTR79" s="684"/>
      <c r="MTS79" s="684"/>
      <c r="MTT79" s="684"/>
      <c r="MTU79" s="684"/>
      <c r="MTV79" s="684"/>
      <c r="MTW79" s="684"/>
      <c r="MTX79" s="684"/>
      <c r="MTY79" s="684"/>
      <c r="MTZ79" s="684"/>
      <c r="MUA79" s="684"/>
      <c r="MUB79" s="684"/>
      <c r="MUC79" s="684"/>
      <c r="MUD79" s="684"/>
      <c r="MUE79" s="684"/>
      <c r="MUF79" s="684"/>
      <c r="MUG79" s="684"/>
      <c r="MUH79" s="684"/>
      <c r="MUI79" s="684"/>
      <c r="MUJ79" s="684"/>
      <c r="MUK79" s="684"/>
      <c r="MUL79" s="684"/>
      <c r="MUM79" s="684"/>
      <c r="MUN79" s="684"/>
      <c r="MUO79" s="684"/>
      <c r="MUP79" s="684"/>
      <c r="MUQ79" s="684"/>
      <c r="MUR79" s="684"/>
      <c r="MUS79" s="684"/>
      <c r="MUT79" s="684"/>
      <c r="MUU79" s="684"/>
      <c r="MUV79" s="684"/>
      <c r="MUW79" s="684"/>
      <c r="MUX79" s="684"/>
      <c r="MUY79" s="684"/>
      <c r="MUZ79" s="684"/>
      <c r="MVA79" s="684"/>
      <c r="MVB79" s="684"/>
      <c r="MVC79" s="684"/>
      <c r="MVD79" s="684"/>
      <c r="MVE79" s="684"/>
      <c r="MVF79" s="684"/>
      <c r="MVG79" s="684"/>
      <c r="MVH79" s="684"/>
      <c r="MVI79" s="684"/>
      <c r="MVJ79" s="684"/>
      <c r="MVK79" s="684"/>
      <c r="MVL79" s="684"/>
      <c r="MVM79" s="684"/>
      <c r="MVN79" s="684"/>
      <c r="MVO79" s="684"/>
      <c r="MVP79" s="684"/>
      <c r="MVQ79" s="684"/>
      <c r="MVR79" s="684"/>
      <c r="MVS79" s="684"/>
      <c r="MVT79" s="684"/>
      <c r="MVU79" s="684"/>
      <c r="MVV79" s="684"/>
      <c r="MVW79" s="684"/>
      <c r="MVX79" s="684"/>
      <c r="MVY79" s="684"/>
      <c r="MVZ79" s="684"/>
      <c r="MWA79" s="684"/>
      <c r="MWB79" s="684"/>
      <c r="MWC79" s="684"/>
      <c r="MWD79" s="684"/>
      <c r="MWE79" s="684"/>
      <c r="MWF79" s="684"/>
      <c r="MWG79" s="684"/>
      <c r="MWH79" s="684"/>
      <c r="MWI79" s="684"/>
      <c r="MWJ79" s="684"/>
      <c r="MWK79" s="684"/>
      <c r="MWL79" s="684"/>
      <c r="MWM79" s="684"/>
      <c r="MWN79" s="684"/>
      <c r="MWO79" s="684"/>
      <c r="MWP79" s="684"/>
      <c r="MWQ79" s="684"/>
      <c r="MWR79" s="684"/>
      <c r="MWS79" s="684"/>
      <c r="MWT79" s="684"/>
      <c r="MWU79" s="684"/>
      <c r="MWV79" s="684"/>
      <c r="MWW79" s="684"/>
      <c r="MWX79" s="684"/>
      <c r="MWY79" s="684"/>
      <c r="MWZ79" s="684"/>
      <c r="MXA79" s="684"/>
      <c r="MXB79" s="684"/>
      <c r="MXC79" s="684"/>
      <c r="MXD79" s="684"/>
      <c r="MXE79" s="684"/>
      <c r="MXF79" s="684"/>
      <c r="MXG79" s="684"/>
      <c r="MXH79" s="684"/>
      <c r="MXI79" s="684"/>
      <c r="MXJ79" s="684"/>
      <c r="MXK79" s="684"/>
      <c r="MXL79" s="684"/>
      <c r="MXM79" s="684"/>
      <c r="MXN79" s="684"/>
      <c r="MXO79" s="684"/>
      <c r="MXP79" s="684"/>
      <c r="MXQ79" s="684"/>
      <c r="MXR79" s="684"/>
      <c r="MXS79" s="684"/>
      <c r="MXT79" s="684"/>
      <c r="MXU79" s="684"/>
      <c r="MXV79" s="684"/>
      <c r="MXW79" s="684"/>
      <c r="MXX79" s="684"/>
      <c r="MXY79" s="684"/>
      <c r="MXZ79" s="684"/>
      <c r="MYA79" s="684"/>
      <c r="MYB79" s="684"/>
      <c r="MYC79" s="684"/>
      <c r="MYD79" s="684"/>
      <c r="MYE79" s="684"/>
      <c r="MYF79" s="684"/>
      <c r="MYG79" s="684"/>
      <c r="MYH79" s="684"/>
      <c r="MYI79" s="684"/>
      <c r="MYJ79" s="684"/>
      <c r="MYK79" s="684"/>
      <c r="MYL79" s="684"/>
      <c r="MYM79" s="684"/>
      <c r="MYN79" s="684"/>
      <c r="MYO79" s="684"/>
      <c r="MYP79" s="684"/>
      <c r="MYQ79" s="684"/>
      <c r="MYR79" s="684"/>
      <c r="MYS79" s="684"/>
      <c r="MYT79" s="684"/>
      <c r="MYU79" s="684"/>
      <c r="MYV79" s="684"/>
      <c r="MYW79" s="684"/>
      <c r="MYX79" s="684"/>
      <c r="MYY79" s="684"/>
      <c r="MYZ79" s="684"/>
      <c r="MZA79" s="684"/>
      <c r="MZB79" s="684"/>
      <c r="MZC79" s="684"/>
      <c r="MZD79" s="684"/>
      <c r="MZE79" s="684"/>
      <c r="MZF79" s="684"/>
      <c r="MZG79" s="684"/>
      <c r="MZH79" s="684"/>
      <c r="MZI79" s="684"/>
      <c r="MZJ79" s="684"/>
      <c r="MZK79" s="684"/>
      <c r="MZL79" s="684"/>
      <c r="MZM79" s="684"/>
      <c r="MZN79" s="684"/>
      <c r="MZO79" s="684"/>
      <c r="MZP79" s="684"/>
      <c r="MZQ79" s="684"/>
      <c r="MZR79" s="684"/>
      <c r="MZS79" s="684"/>
      <c r="MZT79" s="684"/>
      <c r="MZU79" s="684"/>
      <c r="MZV79" s="684"/>
      <c r="MZW79" s="684"/>
      <c r="MZX79" s="684"/>
      <c r="MZY79" s="684"/>
      <c r="MZZ79" s="684"/>
      <c r="NAA79" s="684"/>
      <c r="NAB79" s="684"/>
      <c r="NAC79" s="684"/>
      <c r="NAD79" s="684"/>
      <c r="NAE79" s="684"/>
      <c r="NAF79" s="684"/>
      <c r="NAG79" s="684"/>
      <c r="NAH79" s="684"/>
      <c r="NAI79" s="684"/>
      <c r="NAJ79" s="684"/>
      <c r="NAK79" s="684"/>
      <c r="NAL79" s="684"/>
      <c r="NAM79" s="684"/>
      <c r="NAN79" s="684"/>
      <c r="NAO79" s="684"/>
      <c r="NAP79" s="684"/>
      <c r="NAQ79" s="684"/>
      <c r="NAR79" s="684"/>
      <c r="NAS79" s="684"/>
      <c r="NAT79" s="684"/>
      <c r="NAU79" s="684"/>
      <c r="NAV79" s="684"/>
      <c r="NAW79" s="684"/>
      <c r="NAX79" s="684"/>
      <c r="NAY79" s="684"/>
      <c r="NAZ79" s="684"/>
      <c r="NBA79" s="684"/>
      <c r="NBB79" s="684"/>
      <c r="NBC79" s="684"/>
      <c r="NBD79" s="684"/>
      <c r="NBE79" s="684"/>
      <c r="NBF79" s="684"/>
      <c r="NBG79" s="684"/>
      <c r="NBH79" s="684"/>
      <c r="NBI79" s="684"/>
      <c r="NBJ79" s="684"/>
      <c r="NBK79" s="684"/>
      <c r="NBL79" s="684"/>
      <c r="NBM79" s="684"/>
      <c r="NBN79" s="684"/>
      <c r="NBO79" s="684"/>
      <c r="NBP79" s="684"/>
      <c r="NBQ79" s="684"/>
      <c r="NBR79" s="684"/>
      <c r="NBS79" s="684"/>
      <c r="NBT79" s="684"/>
      <c r="NBU79" s="684"/>
      <c r="NBV79" s="684"/>
      <c r="NBW79" s="684"/>
      <c r="NBX79" s="684"/>
      <c r="NBY79" s="684"/>
      <c r="NBZ79" s="684"/>
      <c r="NCA79" s="684"/>
      <c r="NCB79" s="684"/>
      <c r="NCC79" s="684"/>
      <c r="NCD79" s="684"/>
      <c r="NCE79" s="684"/>
      <c r="NCF79" s="684"/>
      <c r="NCG79" s="684"/>
      <c r="NCH79" s="684"/>
      <c r="NCI79" s="684"/>
      <c r="NCJ79" s="684"/>
      <c r="NCK79" s="684"/>
      <c r="NCL79" s="684"/>
      <c r="NCM79" s="684"/>
      <c r="NCN79" s="684"/>
      <c r="NCO79" s="684"/>
      <c r="NCP79" s="684"/>
      <c r="NCQ79" s="684"/>
      <c r="NCR79" s="684"/>
      <c r="NCS79" s="684"/>
      <c r="NCT79" s="684"/>
      <c r="NCU79" s="684"/>
      <c r="NCV79" s="684"/>
      <c r="NCW79" s="684"/>
      <c r="NCX79" s="684"/>
      <c r="NCY79" s="684"/>
      <c r="NCZ79" s="684"/>
      <c r="NDA79" s="684"/>
      <c r="NDB79" s="684"/>
      <c r="NDC79" s="684"/>
      <c r="NDD79" s="684"/>
      <c r="NDE79" s="684"/>
      <c r="NDF79" s="684"/>
      <c r="NDG79" s="684"/>
      <c r="NDH79" s="684"/>
      <c r="NDI79" s="684"/>
      <c r="NDJ79" s="684"/>
      <c r="NDK79" s="684"/>
      <c r="NDL79" s="684"/>
      <c r="NDM79" s="684"/>
      <c r="NDN79" s="684"/>
      <c r="NDO79" s="684"/>
      <c r="NDP79" s="684"/>
      <c r="NDQ79" s="684"/>
      <c r="NDR79" s="684"/>
      <c r="NDS79" s="684"/>
      <c r="NDT79" s="684"/>
      <c r="NDU79" s="684"/>
      <c r="NDV79" s="684"/>
      <c r="NDW79" s="684"/>
      <c r="NDX79" s="684"/>
      <c r="NDY79" s="684"/>
      <c r="NDZ79" s="684"/>
      <c r="NEA79" s="684"/>
      <c r="NEB79" s="684"/>
      <c r="NEC79" s="684"/>
      <c r="NED79" s="684"/>
      <c r="NEE79" s="684"/>
      <c r="NEF79" s="684"/>
      <c r="NEG79" s="684"/>
      <c r="NEH79" s="684"/>
      <c r="NEI79" s="684"/>
      <c r="NEJ79" s="684"/>
      <c r="NEK79" s="684"/>
      <c r="NEL79" s="684"/>
      <c r="NEM79" s="684"/>
      <c r="NEN79" s="684"/>
      <c r="NEO79" s="684"/>
      <c r="NEP79" s="684"/>
      <c r="NEQ79" s="684"/>
      <c r="NER79" s="684"/>
      <c r="NES79" s="684"/>
      <c r="NET79" s="684"/>
      <c r="NEU79" s="684"/>
      <c r="NEV79" s="684"/>
      <c r="NEW79" s="684"/>
      <c r="NEX79" s="684"/>
      <c r="NEY79" s="684"/>
      <c r="NEZ79" s="684"/>
      <c r="NFA79" s="684"/>
      <c r="NFB79" s="684"/>
      <c r="NFC79" s="684"/>
      <c r="NFD79" s="684"/>
      <c r="NFE79" s="684"/>
      <c r="NFF79" s="684"/>
      <c r="NFG79" s="684"/>
      <c r="NFH79" s="684"/>
      <c r="NFI79" s="684"/>
      <c r="NFJ79" s="684"/>
      <c r="NFK79" s="684"/>
      <c r="NFL79" s="684"/>
      <c r="NFM79" s="684"/>
      <c r="NFN79" s="684"/>
      <c r="NFO79" s="684"/>
      <c r="NFP79" s="684"/>
      <c r="NFQ79" s="684"/>
      <c r="NFR79" s="684"/>
      <c r="NFS79" s="684"/>
      <c r="NFT79" s="684"/>
      <c r="NFU79" s="684"/>
      <c r="NFV79" s="684"/>
      <c r="NFW79" s="684"/>
      <c r="NFX79" s="684"/>
      <c r="NFY79" s="684"/>
      <c r="NFZ79" s="684"/>
      <c r="NGA79" s="684"/>
      <c r="NGB79" s="684"/>
      <c r="NGC79" s="684"/>
      <c r="NGD79" s="684"/>
      <c r="NGE79" s="684"/>
      <c r="NGF79" s="684"/>
      <c r="NGG79" s="684"/>
      <c r="NGH79" s="684"/>
      <c r="NGI79" s="684"/>
      <c r="NGJ79" s="684"/>
      <c r="NGK79" s="684"/>
      <c r="NGL79" s="684"/>
      <c r="NGM79" s="684"/>
      <c r="NGN79" s="684"/>
      <c r="NGO79" s="684"/>
      <c r="NGP79" s="684"/>
      <c r="NGQ79" s="684"/>
      <c r="NGR79" s="684"/>
      <c r="NGS79" s="684"/>
      <c r="NGT79" s="684"/>
      <c r="NGU79" s="684"/>
      <c r="NGV79" s="684"/>
      <c r="NGW79" s="684"/>
      <c r="NGX79" s="684"/>
      <c r="NGY79" s="684"/>
      <c r="NGZ79" s="684"/>
      <c r="NHA79" s="684"/>
      <c r="NHB79" s="684"/>
      <c r="NHC79" s="684"/>
      <c r="NHD79" s="684"/>
      <c r="NHE79" s="684"/>
      <c r="NHF79" s="684"/>
      <c r="NHG79" s="684"/>
      <c r="NHH79" s="684"/>
      <c r="NHI79" s="684"/>
      <c r="NHJ79" s="684"/>
      <c r="NHK79" s="684"/>
      <c r="NHL79" s="684"/>
      <c r="NHM79" s="684"/>
      <c r="NHN79" s="684"/>
      <c r="NHO79" s="684"/>
      <c r="NHP79" s="684"/>
      <c r="NHQ79" s="684"/>
      <c r="NHR79" s="684"/>
      <c r="NHS79" s="684"/>
      <c r="NHT79" s="684"/>
      <c r="NHU79" s="684"/>
      <c r="NHV79" s="684"/>
      <c r="NHW79" s="684"/>
      <c r="NHX79" s="684"/>
      <c r="NHY79" s="684"/>
      <c r="NHZ79" s="684"/>
      <c r="NIA79" s="684"/>
      <c r="NIB79" s="684"/>
      <c r="NIC79" s="684"/>
      <c r="NID79" s="684"/>
      <c r="NIE79" s="684"/>
      <c r="NIF79" s="684"/>
      <c r="NIG79" s="684"/>
      <c r="NIH79" s="684"/>
      <c r="NII79" s="684"/>
      <c r="NIJ79" s="684"/>
      <c r="NIK79" s="684"/>
      <c r="NIL79" s="684"/>
      <c r="NIM79" s="684"/>
      <c r="NIN79" s="684"/>
      <c r="NIO79" s="684"/>
      <c r="NIP79" s="684"/>
      <c r="NIQ79" s="684"/>
      <c r="NIR79" s="684"/>
      <c r="NIS79" s="684"/>
      <c r="NIT79" s="684"/>
      <c r="NIU79" s="684"/>
      <c r="NIV79" s="684"/>
      <c r="NIW79" s="684"/>
      <c r="NIX79" s="684"/>
      <c r="NIY79" s="684"/>
      <c r="NIZ79" s="684"/>
      <c r="NJA79" s="684"/>
      <c r="NJB79" s="684"/>
      <c r="NJC79" s="684"/>
      <c r="NJD79" s="684"/>
      <c r="NJE79" s="684"/>
      <c r="NJF79" s="684"/>
      <c r="NJG79" s="684"/>
      <c r="NJH79" s="684"/>
      <c r="NJI79" s="684"/>
      <c r="NJJ79" s="684"/>
      <c r="NJK79" s="684"/>
      <c r="NJL79" s="684"/>
      <c r="NJM79" s="684"/>
      <c r="NJN79" s="684"/>
      <c r="NJO79" s="684"/>
      <c r="NJP79" s="684"/>
      <c r="NJQ79" s="684"/>
      <c r="NJR79" s="684"/>
      <c r="NJS79" s="684"/>
      <c r="NJT79" s="684"/>
      <c r="NJU79" s="684"/>
      <c r="NJV79" s="684"/>
      <c r="NJW79" s="684"/>
      <c r="NJX79" s="684"/>
      <c r="NJY79" s="684"/>
      <c r="NJZ79" s="684"/>
      <c r="NKA79" s="684"/>
      <c r="NKB79" s="684"/>
      <c r="NKC79" s="684"/>
      <c r="NKD79" s="684"/>
      <c r="NKE79" s="684"/>
      <c r="NKF79" s="684"/>
      <c r="NKG79" s="684"/>
      <c r="NKH79" s="684"/>
      <c r="NKI79" s="684"/>
      <c r="NKJ79" s="684"/>
      <c r="NKK79" s="684"/>
      <c r="NKL79" s="684"/>
      <c r="NKM79" s="684"/>
      <c r="NKN79" s="684"/>
      <c r="NKO79" s="684"/>
      <c r="NKP79" s="684"/>
      <c r="NKQ79" s="684"/>
      <c r="NKR79" s="684"/>
      <c r="NKS79" s="684"/>
      <c r="NKT79" s="684"/>
      <c r="NKU79" s="684"/>
      <c r="NKV79" s="684"/>
      <c r="NKW79" s="684"/>
      <c r="NKX79" s="684"/>
      <c r="NKY79" s="684"/>
      <c r="NKZ79" s="684"/>
      <c r="NLA79" s="684"/>
      <c r="NLB79" s="684"/>
      <c r="NLC79" s="684"/>
      <c r="NLD79" s="684"/>
      <c r="NLE79" s="684"/>
      <c r="NLF79" s="684"/>
      <c r="NLG79" s="684"/>
      <c r="NLH79" s="684"/>
      <c r="NLI79" s="684"/>
      <c r="NLJ79" s="684"/>
      <c r="NLK79" s="684"/>
      <c r="NLL79" s="684"/>
      <c r="NLM79" s="684"/>
      <c r="NLN79" s="684"/>
      <c r="NLO79" s="684"/>
      <c r="NLP79" s="684"/>
      <c r="NLQ79" s="684"/>
      <c r="NLR79" s="684"/>
      <c r="NLS79" s="684"/>
      <c r="NLT79" s="684"/>
      <c r="NLU79" s="684"/>
      <c r="NLV79" s="684"/>
      <c r="NLW79" s="684"/>
      <c r="NLX79" s="684"/>
      <c r="NLY79" s="684"/>
      <c r="NLZ79" s="684"/>
      <c r="NMA79" s="684"/>
      <c r="NMB79" s="684"/>
      <c r="NMC79" s="684"/>
      <c r="NMD79" s="684"/>
      <c r="NME79" s="684"/>
      <c r="NMF79" s="684"/>
      <c r="NMG79" s="684"/>
      <c r="NMH79" s="684"/>
      <c r="NMI79" s="684"/>
      <c r="NMJ79" s="684"/>
      <c r="NMK79" s="684"/>
      <c r="NML79" s="684"/>
      <c r="NMM79" s="684"/>
      <c r="NMN79" s="684"/>
      <c r="NMO79" s="684"/>
      <c r="NMP79" s="684"/>
      <c r="NMQ79" s="684"/>
      <c r="NMR79" s="684"/>
      <c r="NMS79" s="684"/>
      <c r="NMT79" s="684"/>
      <c r="NMU79" s="684"/>
      <c r="NMV79" s="684"/>
      <c r="NMW79" s="684"/>
      <c r="NMX79" s="684"/>
      <c r="NMY79" s="684"/>
      <c r="NMZ79" s="684"/>
      <c r="NNA79" s="684"/>
      <c r="NNB79" s="684"/>
      <c r="NNC79" s="684"/>
      <c r="NND79" s="684"/>
      <c r="NNE79" s="684"/>
      <c r="NNF79" s="684"/>
      <c r="NNG79" s="684"/>
      <c r="NNH79" s="684"/>
      <c r="NNI79" s="684"/>
      <c r="NNJ79" s="684"/>
      <c r="NNK79" s="684"/>
      <c r="NNL79" s="684"/>
      <c r="NNM79" s="684"/>
      <c r="NNN79" s="684"/>
      <c r="NNO79" s="684"/>
      <c r="NNP79" s="684"/>
      <c r="NNQ79" s="684"/>
      <c r="NNR79" s="684"/>
      <c r="NNS79" s="684"/>
      <c r="NNT79" s="684"/>
      <c r="NNU79" s="684"/>
      <c r="NNV79" s="684"/>
      <c r="NNW79" s="684"/>
      <c r="NNX79" s="684"/>
      <c r="NNY79" s="684"/>
      <c r="NNZ79" s="684"/>
      <c r="NOA79" s="684"/>
      <c r="NOB79" s="684"/>
      <c r="NOC79" s="684"/>
      <c r="NOD79" s="684"/>
      <c r="NOE79" s="684"/>
      <c r="NOF79" s="684"/>
      <c r="NOG79" s="684"/>
      <c r="NOH79" s="684"/>
      <c r="NOI79" s="684"/>
      <c r="NOJ79" s="684"/>
      <c r="NOK79" s="684"/>
      <c r="NOL79" s="684"/>
      <c r="NOM79" s="684"/>
      <c r="NON79" s="684"/>
      <c r="NOO79" s="684"/>
      <c r="NOP79" s="684"/>
      <c r="NOQ79" s="684"/>
      <c r="NOR79" s="684"/>
      <c r="NOS79" s="684"/>
      <c r="NOT79" s="684"/>
      <c r="NOU79" s="684"/>
      <c r="NOV79" s="684"/>
      <c r="NOW79" s="684"/>
      <c r="NOX79" s="684"/>
      <c r="NOY79" s="684"/>
      <c r="NOZ79" s="684"/>
      <c r="NPA79" s="684"/>
      <c r="NPB79" s="684"/>
      <c r="NPC79" s="684"/>
      <c r="NPD79" s="684"/>
      <c r="NPE79" s="684"/>
      <c r="NPF79" s="684"/>
      <c r="NPG79" s="684"/>
      <c r="NPH79" s="684"/>
      <c r="NPI79" s="684"/>
      <c r="NPJ79" s="684"/>
      <c r="NPK79" s="684"/>
      <c r="NPL79" s="684"/>
      <c r="NPM79" s="684"/>
      <c r="NPN79" s="684"/>
      <c r="NPO79" s="684"/>
      <c r="NPP79" s="684"/>
      <c r="NPQ79" s="684"/>
      <c r="NPR79" s="684"/>
      <c r="NPS79" s="684"/>
      <c r="NPT79" s="684"/>
      <c r="NPU79" s="684"/>
      <c r="NPV79" s="684"/>
      <c r="NPW79" s="684"/>
      <c r="NPX79" s="684"/>
      <c r="NPY79" s="684"/>
      <c r="NPZ79" s="684"/>
      <c r="NQA79" s="684"/>
      <c r="NQB79" s="684"/>
      <c r="NQC79" s="684"/>
      <c r="NQD79" s="684"/>
      <c r="NQE79" s="684"/>
      <c r="NQF79" s="684"/>
      <c r="NQG79" s="684"/>
      <c r="NQH79" s="684"/>
      <c r="NQI79" s="684"/>
      <c r="NQJ79" s="684"/>
      <c r="NQK79" s="684"/>
      <c r="NQL79" s="684"/>
      <c r="NQM79" s="684"/>
      <c r="NQN79" s="684"/>
      <c r="NQO79" s="684"/>
      <c r="NQP79" s="684"/>
      <c r="NQQ79" s="684"/>
      <c r="NQR79" s="684"/>
      <c r="NQS79" s="684"/>
      <c r="NQT79" s="684"/>
      <c r="NQU79" s="684"/>
      <c r="NQV79" s="684"/>
      <c r="NQW79" s="684"/>
      <c r="NQX79" s="684"/>
      <c r="NQY79" s="684"/>
      <c r="NQZ79" s="684"/>
      <c r="NRA79" s="684"/>
      <c r="NRB79" s="684"/>
      <c r="NRC79" s="684"/>
      <c r="NRD79" s="684"/>
      <c r="NRE79" s="684"/>
      <c r="NRF79" s="684"/>
      <c r="NRG79" s="684"/>
      <c r="NRH79" s="684"/>
      <c r="NRI79" s="684"/>
      <c r="NRJ79" s="684"/>
      <c r="NRK79" s="684"/>
      <c r="NRL79" s="684"/>
      <c r="NRM79" s="684"/>
      <c r="NRN79" s="684"/>
      <c r="NRO79" s="684"/>
      <c r="NRP79" s="684"/>
      <c r="NRQ79" s="684"/>
      <c r="NRR79" s="684"/>
      <c r="NRS79" s="684"/>
      <c r="NRT79" s="684"/>
      <c r="NRU79" s="684"/>
      <c r="NRV79" s="684"/>
      <c r="NRW79" s="684"/>
      <c r="NRX79" s="684"/>
      <c r="NRY79" s="684"/>
      <c r="NRZ79" s="684"/>
      <c r="NSA79" s="684"/>
      <c r="NSB79" s="684"/>
      <c r="NSC79" s="684"/>
      <c r="NSD79" s="684"/>
      <c r="NSE79" s="684"/>
      <c r="NSF79" s="684"/>
      <c r="NSG79" s="684"/>
      <c r="NSH79" s="684"/>
      <c r="NSI79" s="684"/>
      <c r="NSJ79" s="684"/>
      <c r="NSK79" s="684"/>
      <c r="NSL79" s="684"/>
      <c r="NSM79" s="684"/>
      <c r="NSN79" s="684"/>
      <c r="NSO79" s="684"/>
      <c r="NSP79" s="684"/>
      <c r="NSQ79" s="684"/>
      <c r="NSR79" s="684"/>
      <c r="NSS79" s="684"/>
      <c r="NST79" s="684"/>
      <c r="NSU79" s="684"/>
      <c r="NSV79" s="684"/>
      <c r="NSW79" s="684"/>
      <c r="NSX79" s="684"/>
      <c r="NSY79" s="684"/>
      <c r="NSZ79" s="684"/>
      <c r="NTA79" s="684"/>
      <c r="NTB79" s="684"/>
      <c r="NTC79" s="684"/>
      <c r="NTD79" s="684"/>
      <c r="NTE79" s="684"/>
      <c r="NTF79" s="684"/>
      <c r="NTG79" s="684"/>
      <c r="NTH79" s="684"/>
      <c r="NTI79" s="684"/>
      <c r="NTJ79" s="684"/>
      <c r="NTK79" s="684"/>
      <c r="NTL79" s="684"/>
      <c r="NTM79" s="684"/>
      <c r="NTN79" s="684"/>
      <c r="NTO79" s="684"/>
      <c r="NTP79" s="684"/>
      <c r="NTQ79" s="684"/>
      <c r="NTR79" s="684"/>
      <c r="NTS79" s="684"/>
      <c r="NTT79" s="684"/>
      <c r="NTU79" s="684"/>
      <c r="NTV79" s="684"/>
      <c r="NTW79" s="684"/>
      <c r="NTX79" s="684"/>
      <c r="NTY79" s="684"/>
      <c r="NTZ79" s="684"/>
      <c r="NUA79" s="684"/>
      <c r="NUB79" s="684"/>
      <c r="NUC79" s="684"/>
      <c r="NUD79" s="684"/>
      <c r="NUE79" s="684"/>
      <c r="NUF79" s="684"/>
      <c r="NUG79" s="684"/>
      <c r="NUH79" s="684"/>
      <c r="NUI79" s="684"/>
      <c r="NUJ79" s="684"/>
      <c r="NUK79" s="684"/>
      <c r="NUL79" s="684"/>
      <c r="NUM79" s="684"/>
      <c r="NUN79" s="684"/>
      <c r="NUO79" s="684"/>
      <c r="NUP79" s="684"/>
      <c r="NUQ79" s="684"/>
      <c r="NUR79" s="684"/>
      <c r="NUS79" s="684"/>
      <c r="NUT79" s="684"/>
      <c r="NUU79" s="684"/>
      <c r="NUV79" s="684"/>
      <c r="NUW79" s="684"/>
      <c r="NUX79" s="684"/>
      <c r="NUY79" s="684"/>
      <c r="NUZ79" s="684"/>
      <c r="NVA79" s="684"/>
      <c r="NVB79" s="684"/>
      <c r="NVC79" s="684"/>
      <c r="NVD79" s="684"/>
      <c r="NVE79" s="684"/>
      <c r="NVF79" s="684"/>
      <c r="NVG79" s="684"/>
      <c r="NVH79" s="684"/>
      <c r="NVI79" s="684"/>
      <c r="NVJ79" s="684"/>
      <c r="NVK79" s="684"/>
      <c r="NVL79" s="684"/>
      <c r="NVM79" s="684"/>
      <c r="NVN79" s="684"/>
      <c r="NVO79" s="684"/>
      <c r="NVP79" s="684"/>
      <c r="NVQ79" s="684"/>
      <c r="NVR79" s="684"/>
      <c r="NVS79" s="684"/>
      <c r="NVT79" s="684"/>
      <c r="NVU79" s="684"/>
      <c r="NVV79" s="684"/>
      <c r="NVW79" s="684"/>
      <c r="NVX79" s="684"/>
      <c r="NVY79" s="684"/>
      <c r="NVZ79" s="684"/>
      <c r="NWA79" s="684"/>
      <c r="NWB79" s="684"/>
      <c r="NWC79" s="684"/>
      <c r="NWD79" s="684"/>
      <c r="NWE79" s="684"/>
      <c r="NWF79" s="684"/>
      <c r="NWG79" s="684"/>
      <c r="NWH79" s="684"/>
      <c r="NWI79" s="684"/>
      <c r="NWJ79" s="684"/>
      <c r="NWK79" s="684"/>
      <c r="NWL79" s="684"/>
      <c r="NWM79" s="684"/>
      <c r="NWN79" s="684"/>
      <c r="NWO79" s="684"/>
      <c r="NWP79" s="684"/>
      <c r="NWQ79" s="684"/>
      <c r="NWR79" s="684"/>
      <c r="NWS79" s="684"/>
      <c r="NWT79" s="684"/>
      <c r="NWU79" s="684"/>
      <c r="NWV79" s="684"/>
      <c r="NWW79" s="684"/>
      <c r="NWX79" s="684"/>
      <c r="NWY79" s="684"/>
      <c r="NWZ79" s="684"/>
      <c r="NXA79" s="684"/>
      <c r="NXB79" s="684"/>
      <c r="NXC79" s="684"/>
      <c r="NXD79" s="684"/>
      <c r="NXE79" s="684"/>
      <c r="NXF79" s="684"/>
      <c r="NXG79" s="684"/>
      <c r="NXH79" s="684"/>
      <c r="NXI79" s="684"/>
      <c r="NXJ79" s="684"/>
      <c r="NXK79" s="684"/>
      <c r="NXL79" s="684"/>
      <c r="NXM79" s="684"/>
      <c r="NXN79" s="684"/>
      <c r="NXO79" s="684"/>
      <c r="NXP79" s="684"/>
      <c r="NXQ79" s="684"/>
      <c r="NXR79" s="684"/>
      <c r="NXS79" s="684"/>
      <c r="NXT79" s="684"/>
      <c r="NXU79" s="684"/>
      <c r="NXV79" s="684"/>
      <c r="NXW79" s="684"/>
      <c r="NXX79" s="684"/>
      <c r="NXY79" s="684"/>
      <c r="NXZ79" s="684"/>
      <c r="NYA79" s="684"/>
      <c r="NYB79" s="684"/>
      <c r="NYC79" s="684"/>
      <c r="NYD79" s="684"/>
      <c r="NYE79" s="684"/>
      <c r="NYF79" s="684"/>
      <c r="NYG79" s="684"/>
      <c r="NYH79" s="684"/>
      <c r="NYI79" s="684"/>
      <c r="NYJ79" s="684"/>
      <c r="NYK79" s="684"/>
      <c r="NYL79" s="684"/>
      <c r="NYM79" s="684"/>
      <c r="NYN79" s="684"/>
      <c r="NYO79" s="684"/>
      <c r="NYP79" s="684"/>
      <c r="NYQ79" s="684"/>
      <c r="NYR79" s="684"/>
      <c r="NYS79" s="684"/>
      <c r="NYT79" s="684"/>
      <c r="NYU79" s="684"/>
      <c r="NYV79" s="684"/>
      <c r="NYW79" s="684"/>
      <c r="NYX79" s="684"/>
      <c r="NYY79" s="684"/>
      <c r="NYZ79" s="684"/>
      <c r="NZA79" s="684"/>
      <c r="NZB79" s="684"/>
      <c r="NZC79" s="684"/>
      <c r="NZD79" s="684"/>
      <c r="NZE79" s="684"/>
      <c r="NZF79" s="684"/>
      <c r="NZG79" s="684"/>
      <c r="NZH79" s="684"/>
      <c r="NZI79" s="684"/>
      <c r="NZJ79" s="684"/>
      <c r="NZK79" s="684"/>
      <c r="NZL79" s="684"/>
      <c r="NZM79" s="684"/>
      <c r="NZN79" s="684"/>
      <c r="NZO79" s="684"/>
      <c r="NZP79" s="684"/>
      <c r="NZQ79" s="684"/>
      <c r="NZR79" s="684"/>
      <c r="NZS79" s="684"/>
      <c r="NZT79" s="684"/>
      <c r="NZU79" s="684"/>
      <c r="NZV79" s="684"/>
      <c r="NZW79" s="684"/>
      <c r="NZX79" s="684"/>
      <c r="NZY79" s="684"/>
      <c r="NZZ79" s="684"/>
      <c r="OAA79" s="684"/>
      <c r="OAB79" s="684"/>
      <c r="OAC79" s="684"/>
      <c r="OAD79" s="684"/>
      <c r="OAE79" s="684"/>
      <c r="OAF79" s="684"/>
      <c r="OAG79" s="684"/>
      <c r="OAH79" s="684"/>
      <c r="OAI79" s="684"/>
      <c r="OAJ79" s="684"/>
      <c r="OAK79" s="684"/>
      <c r="OAL79" s="684"/>
      <c r="OAM79" s="684"/>
      <c r="OAN79" s="684"/>
      <c r="OAO79" s="684"/>
      <c r="OAP79" s="684"/>
      <c r="OAQ79" s="684"/>
      <c r="OAR79" s="684"/>
      <c r="OAS79" s="684"/>
      <c r="OAT79" s="684"/>
      <c r="OAU79" s="684"/>
      <c r="OAV79" s="684"/>
      <c r="OAW79" s="684"/>
      <c r="OAX79" s="684"/>
      <c r="OAY79" s="684"/>
      <c r="OAZ79" s="684"/>
      <c r="OBA79" s="684"/>
      <c r="OBB79" s="684"/>
      <c r="OBC79" s="684"/>
      <c r="OBD79" s="684"/>
      <c r="OBE79" s="684"/>
      <c r="OBF79" s="684"/>
      <c r="OBG79" s="684"/>
      <c r="OBH79" s="684"/>
      <c r="OBI79" s="684"/>
      <c r="OBJ79" s="684"/>
      <c r="OBK79" s="684"/>
      <c r="OBL79" s="684"/>
      <c r="OBM79" s="684"/>
      <c r="OBN79" s="684"/>
      <c r="OBO79" s="684"/>
      <c r="OBP79" s="684"/>
      <c r="OBQ79" s="684"/>
      <c r="OBR79" s="684"/>
      <c r="OBS79" s="684"/>
      <c r="OBT79" s="684"/>
      <c r="OBU79" s="684"/>
      <c r="OBV79" s="684"/>
      <c r="OBW79" s="684"/>
      <c r="OBX79" s="684"/>
      <c r="OBY79" s="684"/>
      <c r="OBZ79" s="684"/>
      <c r="OCA79" s="684"/>
      <c r="OCB79" s="684"/>
      <c r="OCC79" s="684"/>
      <c r="OCD79" s="684"/>
      <c r="OCE79" s="684"/>
      <c r="OCF79" s="684"/>
      <c r="OCG79" s="684"/>
      <c r="OCH79" s="684"/>
      <c r="OCI79" s="684"/>
      <c r="OCJ79" s="684"/>
      <c r="OCK79" s="684"/>
      <c r="OCL79" s="684"/>
      <c r="OCM79" s="684"/>
      <c r="OCN79" s="684"/>
      <c r="OCO79" s="684"/>
      <c r="OCP79" s="684"/>
      <c r="OCQ79" s="684"/>
      <c r="OCR79" s="684"/>
      <c r="OCS79" s="684"/>
      <c r="OCT79" s="684"/>
      <c r="OCU79" s="684"/>
      <c r="OCV79" s="684"/>
      <c r="OCW79" s="684"/>
      <c r="OCX79" s="684"/>
      <c r="OCY79" s="684"/>
      <c r="OCZ79" s="684"/>
      <c r="ODA79" s="684"/>
      <c r="ODB79" s="684"/>
      <c r="ODC79" s="684"/>
      <c r="ODD79" s="684"/>
      <c r="ODE79" s="684"/>
      <c r="ODF79" s="684"/>
      <c r="ODG79" s="684"/>
      <c r="ODH79" s="684"/>
      <c r="ODI79" s="684"/>
      <c r="ODJ79" s="684"/>
      <c r="ODK79" s="684"/>
      <c r="ODL79" s="684"/>
      <c r="ODM79" s="684"/>
      <c r="ODN79" s="684"/>
      <c r="ODO79" s="684"/>
      <c r="ODP79" s="684"/>
      <c r="ODQ79" s="684"/>
      <c r="ODR79" s="684"/>
      <c r="ODS79" s="684"/>
      <c r="ODT79" s="684"/>
      <c r="ODU79" s="684"/>
      <c r="ODV79" s="684"/>
      <c r="ODW79" s="684"/>
      <c r="ODX79" s="684"/>
      <c r="ODY79" s="684"/>
      <c r="ODZ79" s="684"/>
      <c r="OEA79" s="684"/>
      <c r="OEB79" s="684"/>
      <c r="OEC79" s="684"/>
      <c r="OED79" s="684"/>
      <c r="OEE79" s="684"/>
      <c r="OEF79" s="684"/>
      <c r="OEG79" s="684"/>
      <c r="OEH79" s="684"/>
      <c r="OEI79" s="684"/>
      <c r="OEJ79" s="684"/>
      <c r="OEK79" s="684"/>
      <c r="OEL79" s="684"/>
      <c r="OEM79" s="684"/>
      <c r="OEN79" s="684"/>
      <c r="OEO79" s="684"/>
      <c r="OEP79" s="684"/>
      <c r="OEQ79" s="684"/>
      <c r="OER79" s="684"/>
      <c r="OES79" s="684"/>
      <c r="OET79" s="684"/>
      <c r="OEU79" s="684"/>
      <c r="OEV79" s="684"/>
      <c r="OEW79" s="684"/>
      <c r="OEX79" s="684"/>
      <c r="OEY79" s="684"/>
      <c r="OEZ79" s="684"/>
      <c r="OFA79" s="684"/>
      <c r="OFB79" s="684"/>
      <c r="OFC79" s="684"/>
      <c r="OFD79" s="684"/>
      <c r="OFE79" s="684"/>
      <c r="OFF79" s="684"/>
      <c r="OFG79" s="684"/>
      <c r="OFH79" s="684"/>
      <c r="OFI79" s="684"/>
      <c r="OFJ79" s="684"/>
      <c r="OFK79" s="684"/>
      <c r="OFL79" s="684"/>
      <c r="OFM79" s="684"/>
      <c r="OFN79" s="684"/>
      <c r="OFO79" s="684"/>
      <c r="OFP79" s="684"/>
      <c r="OFQ79" s="684"/>
      <c r="OFR79" s="684"/>
      <c r="OFS79" s="684"/>
      <c r="OFT79" s="684"/>
      <c r="OFU79" s="684"/>
      <c r="OFV79" s="684"/>
      <c r="OFW79" s="684"/>
      <c r="OFX79" s="684"/>
      <c r="OFY79" s="684"/>
      <c r="OFZ79" s="684"/>
      <c r="OGA79" s="684"/>
      <c r="OGB79" s="684"/>
      <c r="OGC79" s="684"/>
      <c r="OGD79" s="684"/>
      <c r="OGE79" s="684"/>
      <c r="OGF79" s="684"/>
      <c r="OGG79" s="684"/>
      <c r="OGH79" s="684"/>
      <c r="OGI79" s="684"/>
      <c r="OGJ79" s="684"/>
      <c r="OGK79" s="684"/>
      <c r="OGL79" s="684"/>
      <c r="OGM79" s="684"/>
      <c r="OGN79" s="684"/>
      <c r="OGO79" s="684"/>
      <c r="OGP79" s="684"/>
      <c r="OGQ79" s="684"/>
      <c r="OGR79" s="684"/>
      <c r="OGS79" s="684"/>
      <c r="OGT79" s="684"/>
      <c r="OGU79" s="684"/>
      <c r="OGV79" s="684"/>
      <c r="OGW79" s="684"/>
      <c r="OGX79" s="684"/>
      <c r="OGY79" s="684"/>
      <c r="OGZ79" s="684"/>
      <c r="OHA79" s="684"/>
      <c r="OHB79" s="684"/>
      <c r="OHC79" s="684"/>
      <c r="OHD79" s="684"/>
      <c r="OHE79" s="684"/>
      <c r="OHF79" s="684"/>
      <c r="OHG79" s="684"/>
      <c r="OHH79" s="684"/>
      <c r="OHI79" s="684"/>
      <c r="OHJ79" s="684"/>
      <c r="OHK79" s="684"/>
      <c r="OHL79" s="684"/>
      <c r="OHM79" s="684"/>
      <c r="OHN79" s="684"/>
      <c r="OHO79" s="684"/>
      <c r="OHP79" s="684"/>
      <c r="OHQ79" s="684"/>
      <c r="OHR79" s="684"/>
      <c r="OHS79" s="684"/>
      <c r="OHT79" s="684"/>
      <c r="OHU79" s="684"/>
      <c r="OHV79" s="684"/>
      <c r="OHW79" s="684"/>
      <c r="OHX79" s="684"/>
      <c r="OHY79" s="684"/>
      <c r="OHZ79" s="684"/>
      <c r="OIA79" s="684"/>
      <c r="OIB79" s="684"/>
      <c r="OIC79" s="684"/>
      <c r="OID79" s="684"/>
      <c r="OIE79" s="684"/>
      <c r="OIF79" s="684"/>
      <c r="OIG79" s="684"/>
      <c r="OIH79" s="684"/>
      <c r="OII79" s="684"/>
      <c r="OIJ79" s="684"/>
      <c r="OIK79" s="684"/>
      <c r="OIL79" s="684"/>
      <c r="OIM79" s="684"/>
      <c r="OIN79" s="684"/>
      <c r="OIO79" s="684"/>
      <c r="OIP79" s="684"/>
      <c r="OIQ79" s="684"/>
      <c r="OIR79" s="684"/>
      <c r="OIS79" s="684"/>
      <c r="OIT79" s="684"/>
      <c r="OIU79" s="684"/>
      <c r="OIV79" s="684"/>
      <c r="OIW79" s="684"/>
      <c r="OIX79" s="684"/>
      <c r="OIY79" s="684"/>
      <c r="OIZ79" s="684"/>
      <c r="OJA79" s="684"/>
      <c r="OJB79" s="684"/>
      <c r="OJC79" s="684"/>
      <c r="OJD79" s="684"/>
      <c r="OJE79" s="684"/>
      <c r="OJF79" s="684"/>
      <c r="OJG79" s="684"/>
      <c r="OJH79" s="684"/>
      <c r="OJI79" s="684"/>
      <c r="OJJ79" s="684"/>
      <c r="OJK79" s="684"/>
      <c r="OJL79" s="684"/>
      <c r="OJM79" s="684"/>
      <c r="OJN79" s="684"/>
      <c r="OJO79" s="684"/>
      <c r="OJP79" s="684"/>
      <c r="OJQ79" s="684"/>
      <c r="OJR79" s="684"/>
      <c r="OJS79" s="684"/>
      <c r="OJT79" s="684"/>
      <c r="OJU79" s="684"/>
      <c r="OJV79" s="684"/>
      <c r="OJW79" s="684"/>
      <c r="OJX79" s="684"/>
      <c r="OJY79" s="684"/>
      <c r="OJZ79" s="684"/>
      <c r="OKA79" s="684"/>
      <c r="OKB79" s="684"/>
      <c r="OKC79" s="684"/>
      <c r="OKD79" s="684"/>
      <c r="OKE79" s="684"/>
      <c r="OKF79" s="684"/>
      <c r="OKG79" s="684"/>
      <c r="OKH79" s="684"/>
      <c r="OKI79" s="684"/>
      <c r="OKJ79" s="684"/>
      <c r="OKK79" s="684"/>
      <c r="OKL79" s="684"/>
      <c r="OKM79" s="684"/>
      <c r="OKN79" s="684"/>
      <c r="OKO79" s="684"/>
      <c r="OKP79" s="684"/>
      <c r="OKQ79" s="684"/>
      <c r="OKR79" s="684"/>
      <c r="OKS79" s="684"/>
      <c r="OKT79" s="684"/>
      <c r="OKU79" s="684"/>
      <c r="OKV79" s="684"/>
      <c r="OKW79" s="684"/>
      <c r="OKX79" s="684"/>
      <c r="OKY79" s="684"/>
      <c r="OKZ79" s="684"/>
      <c r="OLA79" s="684"/>
      <c r="OLB79" s="684"/>
      <c r="OLC79" s="684"/>
      <c r="OLD79" s="684"/>
      <c r="OLE79" s="684"/>
      <c r="OLF79" s="684"/>
      <c r="OLG79" s="684"/>
      <c r="OLH79" s="684"/>
      <c r="OLI79" s="684"/>
      <c r="OLJ79" s="684"/>
      <c r="OLK79" s="684"/>
      <c r="OLL79" s="684"/>
      <c r="OLM79" s="684"/>
      <c r="OLN79" s="684"/>
      <c r="OLO79" s="684"/>
      <c r="OLP79" s="684"/>
      <c r="OLQ79" s="684"/>
      <c r="OLR79" s="684"/>
      <c r="OLS79" s="684"/>
      <c r="OLT79" s="684"/>
      <c r="OLU79" s="684"/>
      <c r="OLV79" s="684"/>
      <c r="OLW79" s="684"/>
      <c r="OLX79" s="684"/>
      <c r="OLY79" s="684"/>
      <c r="OLZ79" s="684"/>
      <c r="OMA79" s="684"/>
      <c r="OMB79" s="684"/>
      <c r="OMC79" s="684"/>
      <c r="OMD79" s="684"/>
      <c r="OME79" s="684"/>
      <c r="OMF79" s="684"/>
      <c r="OMG79" s="684"/>
      <c r="OMH79" s="684"/>
      <c r="OMI79" s="684"/>
      <c r="OMJ79" s="684"/>
      <c r="OMK79" s="684"/>
      <c r="OML79" s="684"/>
      <c r="OMM79" s="684"/>
      <c r="OMN79" s="684"/>
      <c r="OMO79" s="684"/>
      <c r="OMP79" s="684"/>
      <c r="OMQ79" s="684"/>
      <c r="OMR79" s="684"/>
      <c r="OMS79" s="684"/>
      <c r="OMT79" s="684"/>
      <c r="OMU79" s="684"/>
      <c r="OMV79" s="684"/>
      <c r="OMW79" s="684"/>
      <c r="OMX79" s="684"/>
      <c r="OMY79" s="684"/>
      <c r="OMZ79" s="684"/>
      <c r="ONA79" s="684"/>
      <c r="ONB79" s="684"/>
      <c r="ONC79" s="684"/>
      <c r="OND79" s="684"/>
      <c r="ONE79" s="684"/>
      <c r="ONF79" s="684"/>
      <c r="ONG79" s="684"/>
      <c r="ONH79" s="684"/>
      <c r="ONI79" s="684"/>
      <c r="ONJ79" s="684"/>
      <c r="ONK79" s="684"/>
      <c r="ONL79" s="684"/>
      <c r="ONM79" s="684"/>
      <c r="ONN79" s="684"/>
      <c r="ONO79" s="684"/>
      <c r="ONP79" s="684"/>
      <c r="ONQ79" s="684"/>
      <c r="ONR79" s="684"/>
      <c r="ONS79" s="684"/>
      <c r="ONT79" s="684"/>
      <c r="ONU79" s="684"/>
      <c r="ONV79" s="684"/>
      <c r="ONW79" s="684"/>
      <c r="ONX79" s="684"/>
      <c r="ONY79" s="684"/>
      <c r="ONZ79" s="684"/>
      <c r="OOA79" s="684"/>
      <c r="OOB79" s="684"/>
      <c r="OOC79" s="684"/>
      <c r="OOD79" s="684"/>
      <c r="OOE79" s="684"/>
      <c r="OOF79" s="684"/>
      <c r="OOG79" s="684"/>
      <c r="OOH79" s="684"/>
      <c r="OOI79" s="684"/>
      <c r="OOJ79" s="684"/>
      <c r="OOK79" s="684"/>
      <c r="OOL79" s="684"/>
      <c r="OOM79" s="684"/>
      <c r="OON79" s="684"/>
      <c r="OOO79" s="684"/>
      <c r="OOP79" s="684"/>
      <c r="OOQ79" s="684"/>
      <c r="OOR79" s="684"/>
      <c r="OOS79" s="684"/>
      <c r="OOT79" s="684"/>
      <c r="OOU79" s="684"/>
      <c r="OOV79" s="684"/>
      <c r="OOW79" s="684"/>
      <c r="OOX79" s="684"/>
      <c r="OOY79" s="684"/>
      <c r="OOZ79" s="684"/>
      <c r="OPA79" s="684"/>
      <c r="OPB79" s="684"/>
      <c r="OPC79" s="684"/>
      <c r="OPD79" s="684"/>
      <c r="OPE79" s="684"/>
      <c r="OPF79" s="684"/>
      <c r="OPG79" s="684"/>
      <c r="OPH79" s="684"/>
      <c r="OPI79" s="684"/>
      <c r="OPJ79" s="684"/>
      <c r="OPK79" s="684"/>
      <c r="OPL79" s="684"/>
      <c r="OPM79" s="684"/>
      <c r="OPN79" s="684"/>
      <c r="OPO79" s="684"/>
      <c r="OPP79" s="684"/>
      <c r="OPQ79" s="684"/>
      <c r="OPR79" s="684"/>
      <c r="OPS79" s="684"/>
      <c r="OPT79" s="684"/>
      <c r="OPU79" s="684"/>
      <c r="OPV79" s="684"/>
      <c r="OPW79" s="684"/>
      <c r="OPX79" s="684"/>
      <c r="OPY79" s="684"/>
      <c r="OPZ79" s="684"/>
      <c r="OQA79" s="684"/>
      <c r="OQB79" s="684"/>
      <c r="OQC79" s="684"/>
      <c r="OQD79" s="684"/>
      <c r="OQE79" s="684"/>
      <c r="OQF79" s="684"/>
      <c r="OQG79" s="684"/>
      <c r="OQH79" s="684"/>
      <c r="OQI79" s="684"/>
      <c r="OQJ79" s="684"/>
      <c r="OQK79" s="684"/>
      <c r="OQL79" s="684"/>
      <c r="OQM79" s="684"/>
      <c r="OQN79" s="684"/>
      <c r="OQO79" s="684"/>
      <c r="OQP79" s="684"/>
      <c r="OQQ79" s="684"/>
      <c r="OQR79" s="684"/>
      <c r="OQS79" s="684"/>
      <c r="OQT79" s="684"/>
      <c r="OQU79" s="684"/>
      <c r="OQV79" s="684"/>
      <c r="OQW79" s="684"/>
      <c r="OQX79" s="684"/>
      <c r="OQY79" s="684"/>
      <c r="OQZ79" s="684"/>
      <c r="ORA79" s="684"/>
      <c r="ORB79" s="684"/>
      <c r="ORC79" s="684"/>
      <c r="ORD79" s="684"/>
      <c r="ORE79" s="684"/>
      <c r="ORF79" s="684"/>
      <c r="ORG79" s="684"/>
      <c r="ORH79" s="684"/>
      <c r="ORI79" s="684"/>
      <c r="ORJ79" s="684"/>
      <c r="ORK79" s="684"/>
      <c r="ORL79" s="684"/>
      <c r="ORM79" s="684"/>
      <c r="ORN79" s="684"/>
      <c r="ORO79" s="684"/>
      <c r="ORP79" s="684"/>
      <c r="ORQ79" s="684"/>
      <c r="ORR79" s="684"/>
      <c r="ORS79" s="684"/>
      <c r="ORT79" s="684"/>
      <c r="ORU79" s="684"/>
      <c r="ORV79" s="684"/>
      <c r="ORW79" s="684"/>
      <c r="ORX79" s="684"/>
      <c r="ORY79" s="684"/>
      <c r="ORZ79" s="684"/>
      <c r="OSA79" s="684"/>
      <c r="OSB79" s="684"/>
      <c r="OSC79" s="684"/>
      <c r="OSD79" s="684"/>
      <c r="OSE79" s="684"/>
      <c r="OSF79" s="684"/>
      <c r="OSG79" s="684"/>
      <c r="OSH79" s="684"/>
      <c r="OSI79" s="684"/>
      <c r="OSJ79" s="684"/>
      <c r="OSK79" s="684"/>
      <c r="OSL79" s="684"/>
      <c r="OSM79" s="684"/>
      <c r="OSN79" s="684"/>
      <c r="OSO79" s="684"/>
      <c r="OSP79" s="684"/>
      <c r="OSQ79" s="684"/>
      <c r="OSR79" s="684"/>
      <c r="OSS79" s="684"/>
      <c r="OST79" s="684"/>
      <c r="OSU79" s="684"/>
      <c r="OSV79" s="684"/>
      <c r="OSW79" s="684"/>
      <c r="OSX79" s="684"/>
      <c r="OSY79" s="684"/>
      <c r="OSZ79" s="684"/>
      <c r="OTA79" s="684"/>
      <c r="OTB79" s="684"/>
      <c r="OTC79" s="684"/>
      <c r="OTD79" s="684"/>
      <c r="OTE79" s="684"/>
      <c r="OTF79" s="684"/>
      <c r="OTG79" s="684"/>
      <c r="OTH79" s="684"/>
      <c r="OTI79" s="684"/>
      <c r="OTJ79" s="684"/>
      <c r="OTK79" s="684"/>
      <c r="OTL79" s="684"/>
      <c r="OTM79" s="684"/>
      <c r="OTN79" s="684"/>
      <c r="OTO79" s="684"/>
      <c r="OTP79" s="684"/>
      <c r="OTQ79" s="684"/>
      <c r="OTR79" s="684"/>
      <c r="OTS79" s="684"/>
      <c r="OTT79" s="684"/>
      <c r="OTU79" s="684"/>
      <c r="OTV79" s="684"/>
      <c r="OTW79" s="684"/>
      <c r="OTX79" s="684"/>
      <c r="OTY79" s="684"/>
      <c r="OTZ79" s="684"/>
      <c r="OUA79" s="684"/>
      <c r="OUB79" s="684"/>
      <c r="OUC79" s="684"/>
      <c r="OUD79" s="684"/>
      <c r="OUE79" s="684"/>
      <c r="OUF79" s="684"/>
      <c r="OUG79" s="684"/>
      <c r="OUH79" s="684"/>
      <c r="OUI79" s="684"/>
      <c r="OUJ79" s="684"/>
      <c r="OUK79" s="684"/>
      <c r="OUL79" s="684"/>
      <c r="OUM79" s="684"/>
      <c r="OUN79" s="684"/>
      <c r="OUO79" s="684"/>
      <c r="OUP79" s="684"/>
      <c r="OUQ79" s="684"/>
      <c r="OUR79" s="684"/>
      <c r="OUS79" s="684"/>
      <c r="OUT79" s="684"/>
      <c r="OUU79" s="684"/>
      <c r="OUV79" s="684"/>
      <c r="OUW79" s="684"/>
      <c r="OUX79" s="684"/>
      <c r="OUY79" s="684"/>
      <c r="OUZ79" s="684"/>
      <c r="OVA79" s="684"/>
      <c r="OVB79" s="684"/>
      <c r="OVC79" s="684"/>
      <c r="OVD79" s="684"/>
      <c r="OVE79" s="684"/>
      <c r="OVF79" s="684"/>
      <c r="OVG79" s="684"/>
      <c r="OVH79" s="684"/>
      <c r="OVI79" s="684"/>
      <c r="OVJ79" s="684"/>
      <c r="OVK79" s="684"/>
      <c r="OVL79" s="684"/>
      <c r="OVM79" s="684"/>
      <c r="OVN79" s="684"/>
      <c r="OVO79" s="684"/>
      <c r="OVP79" s="684"/>
      <c r="OVQ79" s="684"/>
      <c r="OVR79" s="684"/>
      <c r="OVS79" s="684"/>
      <c r="OVT79" s="684"/>
      <c r="OVU79" s="684"/>
      <c r="OVV79" s="684"/>
      <c r="OVW79" s="684"/>
      <c r="OVX79" s="684"/>
      <c r="OVY79" s="684"/>
      <c r="OVZ79" s="684"/>
      <c r="OWA79" s="684"/>
      <c r="OWB79" s="684"/>
      <c r="OWC79" s="684"/>
      <c r="OWD79" s="684"/>
      <c r="OWE79" s="684"/>
      <c r="OWF79" s="684"/>
      <c r="OWG79" s="684"/>
      <c r="OWH79" s="684"/>
      <c r="OWI79" s="684"/>
      <c r="OWJ79" s="684"/>
      <c r="OWK79" s="684"/>
      <c r="OWL79" s="684"/>
      <c r="OWM79" s="684"/>
      <c r="OWN79" s="684"/>
      <c r="OWO79" s="684"/>
      <c r="OWP79" s="684"/>
      <c r="OWQ79" s="684"/>
      <c r="OWR79" s="684"/>
      <c r="OWS79" s="684"/>
      <c r="OWT79" s="684"/>
      <c r="OWU79" s="684"/>
      <c r="OWV79" s="684"/>
      <c r="OWW79" s="684"/>
      <c r="OWX79" s="684"/>
      <c r="OWY79" s="684"/>
      <c r="OWZ79" s="684"/>
      <c r="OXA79" s="684"/>
      <c r="OXB79" s="684"/>
      <c r="OXC79" s="684"/>
      <c r="OXD79" s="684"/>
      <c r="OXE79" s="684"/>
      <c r="OXF79" s="684"/>
      <c r="OXG79" s="684"/>
      <c r="OXH79" s="684"/>
      <c r="OXI79" s="684"/>
      <c r="OXJ79" s="684"/>
      <c r="OXK79" s="684"/>
      <c r="OXL79" s="684"/>
      <c r="OXM79" s="684"/>
      <c r="OXN79" s="684"/>
      <c r="OXO79" s="684"/>
      <c r="OXP79" s="684"/>
      <c r="OXQ79" s="684"/>
      <c r="OXR79" s="684"/>
      <c r="OXS79" s="684"/>
      <c r="OXT79" s="684"/>
      <c r="OXU79" s="684"/>
      <c r="OXV79" s="684"/>
      <c r="OXW79" s="684"/>
      <c r="OXX79" s="684"/>
      <c r="OXY79" s="684"/>
      <c r="OXZ79" s="684"/>
      <c r="OYA79" s="684"/>
      <c r="OYB79" s="684"/>
      <c r="OYC79" s="684"/>
      <c r="OYD79" s="684"/>
      <c r="OYE79" s="684"/>
      <c r="OYF79" s="684"/>
      <c r="OYG79" s="684"/>
      <c r="OYH79" s="684"/>
      <c r="OYI79" s="684"/>
      <c r="OYJ79" s="684"/>
      <c r="OYK79" s="684"/>
      <c r="OYL79" s="684"/>
      <c r="OYM79" s="684"/>
      <c r="OYN79" s="684"/>
      <c r="OYO79" s="684"/>
      <c r="OYP79" s="684"/>
      <c r="OYQ79" s="684"/>
      <c r="OYR79" s="684"/>
      <c r="OYS79" s="684"/>
      <c r="OYT79" s="684"/>
      <c r="OYU79" s="684"/>
      <c r="OYV79" s="684"/>
      <c r="OYW79" s="684"/>
      <c r="OYX79" s="684"/>
      <c r="OYY79" s="684"/>
      <c r="OYZ79" s="684"/>
      <c r="OZA79" s="684"/>
      <c r="OZB79" s="684"/>
      <c r="OZC79" s="684"/>
      <c r="OZD79" s="684"/>
      <c r="OZE79" s="684"/>
      <c r="OZF79" s="684"/>
      <c r="OZG79" s="684"/>
      <c r="OZH79" s="684"/>
      <c r="OZI79" s="684"/>
      <c r="OZJ79" s="684"/>
      <c r="OZK79" s="684"/>
      <c r="OZL79" s="684"/>
      <c r="OZM79" s="684"/>
      <c r="OZN79" s="684"/>
      <c r="OZO79" s="684"/>
      <c r="OZP79" s="684"/>
      <c r="OZQ79" s="684"/>
      <c r="OZR79" s="684"/>
      <c r="OZS79" s="684"/>
      <c r="OZT79" s="684"/>
      <c r="OZU79" s="684"/>
      <c r="OZV79" s="684"/>
      <c r="OZW79" s="684"/>
      <c r="OZX79" s="684"/>
      <c r="OZY79" s="684"/>
      <c r="OZZ79" s="684"/>
      <c r="PAA79" s="684"/>
      <c r="PAB79" s="684"/>
      <c r="PAC79" s="684"/>
      <c r="PAD79" s="684"/>
      <c r="PAE79" s="684"/>
      <c r="PAF79" s="684"/>
      <c r="PAG79" s="684"/>
      <c r="PAH79" s="684"/>
      <c r="PAI79" s="684"/>
      <c r="PAJ79" s="684"/>
      <c r="PAK79" s="684"/>
      <c r="PAL79" s="684"/>
      <c r="PAM79" s="684"/>
      <c r="PAN79" s="684"/>
      <c r="PAO79" s="684"/>
      <c r="PAP79" s="684"/>
      <c r="PAQ79" s="684"/>
      <c r="PAR79" s="684"/>
      <c r="PAS79" s="684"/>
      <c r="PAT79" s="684"/>
      <c r="PAU79" s="684"/>
      <c r="PAV79" s="684"/>
      <c r="PAW79" s="684"/>
      <c r="PAX79" s="684"/>
      <c r="PAY79" s="684"/>
      <c r="PAZ79" s="684"/>
      <c r="PBA79" s="684"/>
      <c r="PBB79" s="684"/>
      <c r="PBC79" s="684"/>
      <c r="PBD79" s="684"/>
      <c r="PBE79" s="684"/>
      <c r="PBF79" s="684"/>
      <c r="PBG79" s="684"/>
      <c r="PBH79" s="684"/>
      <c r="PBI79" s="684"/>
      <c r="PBJ79" s="684"/>
      <c r="PBK79" s="684"/>
      <c r="PBL79" s="684"/>
      <c r="PBM79" s="684"/>
      <c r="PBN79" s="684"/>
      <c r="PBO79" s="684"/>
      <c r="PBP79" s="684"/>
      <c r="PBQ79" s="684"/>
      <c r="PBR79" s="684"/>
      <c r="PBS79" s="684"/>
      <c r="PBT79" s="684"/>
      <c r="PBU79" s="684"/>
      <c r="PBV79" s="684"/>
      <c r="PBW79" s="684"/>
      <c r="PBX79" s="684"/>
      <c r="PBY79" s="684"/>
      <c r="PBZ79" s="684"/>
      <c r="PCA79" s="684"/>
      <c r="PCB79" s="684"/>
      <c r="PCC79" s="684"/>
      <c r="PCD79" s="684"/>
      <c r="PCE79" s="684"/>
      <c r="PCF79" s="684"/>
      <c r="PCG79" s="684"/>
      <c r="PCH79" s="684"/>
      <c r="PCI79" s="684"/>
      <c r="PCJ79" s="684"/>
      <c r="PCK79" s="684"/>
      <c r="PCL79" s="684"/>
      <c r="PCM79" s="684"/>
      <c r="PCN79" s="684"/>
      <c r="PCO79" s="684"/>
      <c r="PCP79" s="684"/>
      <c r="PCQ79" s="684"/>
      <c r="PCR79" s="684"/>
      <c r="PCS79" s="684"/>
      <c r="PCT79" s="684"/>
      <c r="PCU79" s="684"/>
      <c r="PCV79" s="684"/>
      <c r="PCW79" s="684"/>
      <c r="PCX79" s="684"/>
      <c r="PCY79" s="684"/>
      <c r="PCZ79" s="684"/>
      <c r="PDA79" s="684"/>
      <c r="PDB79" s="684"/>
      <c r="PDC79" s="684"/>
      <c r="PDD79" s="684"/>
      <c r="PDE79" s="684"/>
      <c r="PDF79" s="684"/>
      <c r="PDG79" s="684"/>
      <c r="PDH79" s="684"/>
      <c r="PDI79" s="684"/>
      <c r="PDJ79" s="684"/>
      <c r="PDK79" s="684"/>
      <c r="PDL79" s="684"/>
      <c r="PDM79" s="684"/>
      <c r="PDN79" s="684"/>
      <c r="PDO79" s="684"/>
      <c r="PDP79" s="684"/>
      <c r="PDQ79" s="684"/>
      <c r="PDR79" s="684"/>
      <c r="PDS79" s="684"/>
      <c r="PDT79" s="684"/>
      <c r="PDU79" s="684"/>
      <c r="PDV79" s="684"/>
      <c r="PDW79" s="684"/>
      <c r="PDX79" s="684"/>
      <c r="PDY79" s="684"/>
      <c r="PDZ79" s="684"/>
      <c r="PEA79" s="684"/>
      <c r="PEB79" s="684"/>
      <c r="PEC79" s="684"/>
      <c r="PED79" s="684"/>
      <c r="PEE79" s="684"/>
      <c r="PEF79" s="684"/>
      <c r="PEG79" s="684"/>
      <c r="PEH79" s="684"/>
      <c r="PEI79" s="684"/>
      <c r="PEJ79" s="684"/>
      <c r="PEK79" s="684"/>
      <c r="PEL79" s="684"/>
      <c r="PEM79" s="684"/>
      <c r="PEN79" s="684"/>
      <c r="PEO79" s="684"/>
      <c r="PEP79" s="684"/>
      <c r="PEQ79" s="684"/>
      <c r="PER79" s="684"/>
      <c r="PES79" s="684"/>
      <c r="PET79" s="684"/>
      <c r="PEU79" s="684"/>
      <c r="PEV79" s="684"/>
      <c r="PEW79" s="684"/>
      <c r="PEX79" s="684"/>
      <c r="PEY79" s="684"/>
      <c r="PEZ79" s="684"/>
      <c r="PFA79" s="684"/>
      <c r="PFB79" s="684"/>
      <c r="PFC79" s="684"/>
      <c r="PFD79" s="684"/>
      <c r="PFE79" s="684"/>
      <c r="PFF79" s="684"/>
      <c r="PFG79" s="684"/>
      <c r="PFH79" s="684"/>
      <c r="PFI79" s="684"/>
      <c r="PFJ79" s="684"/>
      <c r="PFK79" s="684"/>
      <c r="PFL79" s="684"/>
      <c r="PFM79" s="684"/>
      <c r="PFN79" s="684"/>
      <c r="PFO79" s="684"/>
      <c r="PFP79" s="684"/>
      <c r="PFQ79" s="684"/>
      <c r="PFR79" s="684"/>
      <c r="PFS79" s="684"/>
      <c r="PFT79" s="684"/>
      <c r="PFU79" s="684"/>
      <c r="PFV79" s="684"/>
      <c r="PFW79" s="684"/>
      <c r="PFX79" s="684"/>
      <c r="PFY79" s="684"/>
      <c r="PFZ79" s="684"/>
      <c r="PGA79" s="684"/>
      <c r="PGB79" s="684"/>
      <c r="PGC79" s="684"/>
      <c r="PGD79" s="684"/>
      <c r="PGE79" s="684"/>
      <c r="PGF79" s="684"/>
      <c r="PGG79" s="684"/>
      <c r="PGH79" s="684"/>
      <c r="PGI79" s="684"/>
      <c r="PGJ79" s="684"/>
      <c r="PGK79" s="684"/>
      <c r="PGL79" s="684"/>
      <c r="PGM79" s="684"/>
      <c r="PGN79" s="684"/>
      <c r="PGO79" s="684"/>
      <c r="PGP79" s="684"/>
      <c r="PGQ79" s="684"/>
      <c r="PGR79" s="684"/>
      <c r="PGS79" s="684"/>
      <c r="PGT79" s="684"/>
      <c r="PGU79" s="684"/>
      <c r="PGV79" s="684"/>
      <c r="PGW79" s="684"/>
      <c r="PGX79" s="684"/>
      <c r="PGY79" s="684"/>
      <c r="PGZ79" s="684"/>
      <c r="PHA79" s="684"/>
      <c r="PHB79" s="684"/>
      <c r="PHC79" s="684"/>
      <c r="PHD79" s="684"/>
      <c r="PHE79" s="684"/>
      <c r="PHF79" s="684"/>
      <c r="PHG79" s="684"/>
      <c r="PHH79" s="684"/>
      <c r="PHI79" s="684"/>
      <c r="PHJ79" s="684"/>
      <c r="PHK79" s="684"/>
      <c r="PHL79" s="684"/>
      <c r="PHM79" s="684"/>
      <c r="PHN79" s="684"/>
      <c r="PHO79" s="684"/>
      <c r="PHP79" s="684"/>
      <c r="PHQ79" s="684"/>
      <c r="PHR79" s="684"/>
      <c r="PHS79" s="684"/>
      <c r="PHT79" s="684"/>
      <c r="PHU79" s="684"/>
      <c r="PHV79" s="684"/>
      <c r="PHW79" s="684"/>
      <c r="PHX79" s="684"/>
      <c r="PHY79" s="684"/>
      <c r="PHZ79" s="684"/>
      <c r="PIA79" s="684"/>
      <c r="PIB79" s="684"/>
      <c r="PIC79" s="684"/>
      <c r="PID79" s="684"/>
      <c r="PIE79" s="684"/>
      <c r="PIF79" s="684"/>
      <c r="PIG79" s="684"/>
      <c r="PIH79" s="684"/>
      <c r="PII79" s="684"/>
      <c r="PIJ79" s="684"/>
      <c r="PIK79" s="684"/>
      <c r="PIL79" s="684"/>
      <c r="PIM79" s="684"/>
      <c r="PIN79" s="684"/>
      <c r="PIO79" s="684"/>
      <c r="PIP79" s="684"/>
      <c r="PIQ79" s="684"/>
      <c r="PIR79" s="684"/>
      <c r="PIS79" s="684"/>
      <c r="PIT79" s="684"/>
      <c r="PIU79" s="684"/>
      <c r="PIV79" s="684"/>
      <c r="PIW79" s="684"/>
      <c r="PIX79" s="684"/>
      <c r="PIY79" s="684"/>
      <c r="PIZ79" s="684"/>
      <c r="PJA79" s="684"/>
      <c r="PJB79" s="684"/>
      <c r="PJC79" s="684"/>
      <c r="PJD79" s="684"/>
      <c r="PJE79" s="684"/>
      <c r="PJF79" s="684"/>
      <c r="PJG79" s="684"/>
      <c r="PJH79" s="684"/>
      <c r="PJI79" s="684"/>
      <c r="PJJ79" s="684"/>
      <c r="PJK79" s="684"/>
      <c r="PJL79" s="684"/>
      <c r="PJM79" s="684"/>
      <c r="PJN79" s="684"/>
      <c r="PJO79" s="684"/>
      <c r="PJP79" s="684"/>
      <c r="PJQ79" s="684"/>
      <c r="PJR79" s="684"/>
      <c r="PJS79" s="684"/>
      <c r="PJT79" s="684"/>
      <c r="PJU79" s="684"/>
      <c r="PJV79" s="684"/>
      <c r="PJW79" s="684"/>
      <c r="PJX79" s="684"/>
      <c r="PJY79" s="684"/>
      <c r="PJZ79" s="684"/>
      <c r="PKA79" s="684"/>
      <c r="PKB79" s="684"/>
      <c r="PKC79" s="684"/>
      <c r="PKD79" s="684"/>
      <c r="PKE79" s="684"/>
      <c r="PKF79" s="684"/>
      <c r="PKG79" s="684"/>
      <c r="PKH79" s="684"/>
      <c r="PKI79" s="684"/>
      <c r="PKJ79" s="684"/>
      <c r="PKK79" s="684"/>
      <c r="PKL79" s="684"/>
      <c r="PKM79" s="684"/>
      <c r="PKN79" s="684"/>
      <c r="PKO79" s="684"/>
      <c r="PKP79" s="684"/>
      <c r="PKQ79" s="684"/>
      <c r="PKR79" s="684"/>
      <c r="PKS79" s="684"/>
      <c r="PKT79" s="684"/>
      <c r="PKU79" s="684"/>
      <c r="PKV79" s="684"/>
      <c r="PKW79" s="684"/>
      <c r="PKX79" s="684"/>
      <c r="PKY79" s="684"/>
      <c r="PKZ79" s="684"/>
      <c r="PLA79" s="684"/>
      <c r="PLB79" s="684"/>
      <c r="PLC79" s="684"/>
      <c r="PLD79" s="684"/>
      <c r="PLE79" s="684"/>
      <c r="PLF79" s="684"/>
      <c r="PLG79" s="684"/>
      <c r="PLH79" s="684"/>
      <c r="PLI79" s="684"/>
      <c r="PLJ79" s="684"/>
      <c r="PLK79" s="684"/>
      <c r="PLL79" s="684"/>
      <c r="PLM79" s="684"/>
      <c r="PLN79" s="684"/>
      <c r="PLO79" s="684"/>
      <c r="PLP79" s="684"/>
      <c r="PLQ79" s="684"/>
      <c r="PLR79" s="684"/>
      <c r="PLS79" s="684"/>
      <c r="PLT79" s="684"/>
      <c r="PLU79" s="684"/>
      <c r="PLV79" s="684"/>
      <c r="PLW79" s="684"/>
      <c r="PLX79" s="684"/>
      <c r="PLY79" s="684"/>
      <c r="PLZ79" s="684"/>
      <c r="PMA79" s="684"/>
      <c r="PMB79" s="684"/>
      <c r="PMC79" s="684"/>
      <c r="PMD79" s="684"/>
      <c r="PME79" s="684"/>
      <c r="PMF79" s="684"/>
      <c r="PMG79" s="684"/>
      <c r="PMH79" s="684"/>
      <c r="PMI79" s="684"/>
      <c r="PMJ79" s="684"/>
      <c r="PMK79" s="684"/>
      <c r="PML79" s="684"/>
      <c r="PMM79" s="684"/>
      <c r="PMN79" s="684"/>
      <c r="PMO79" s="684"/>
      <c r="PMP79" s="684"/>
      <c r="PMQ79" s="684"/>
      <c r="PMR79" s="684"/>
      <c r="PMS79" s="684"/>
      <c r="PMT79" s="684"/>
      <c r="PMU79" s="684"/>
      <c r="PMV79" s="684"/>
      <c r="PMW79" s="684"/>
      <c r="PMX79" s="684"/>
      <c r="PMY79" s="684"/>
      <c r="PMZ79" s="684"/>
      <c r="PNA79" s="684"/>
      <c r="PNB79" s="684"/>
      <c r="PNC79" s="684"/>
      <c r="PND79" s="684"/>
      <c r="PNE79" s="684"/>
      <c r="PNF79" s="684"/>
      <c r="PNG79" s="684"/>
      <c r="PNH79" s="684"/>
      <c r="PNI79" s="684"/>
      <c r="PNJ79" s="684"/>
      <c r="PNK79" s="684"/>
      <c r="PNL79" s="684"/>
      <c r="PNM79" s="684"/>
      <c r="PNN79" s="684"/>
      <c r="PNO79" s="684"/>
      <c r="PNP79" s="684"/>
      <c r="PNQ79" s="684"/>
      <c r="PNR79" s="684"/>
      <c r="PNS79" s="684"/>
      <c r="PNT79" s="684"/>
      <c r="PNU79" s="684"/>
      <c r="PNV79" s="684"/>
      <c r="PNW79" s="684"/>
      <c r="PNX79" s="684"/>
      <c r="PNY79" s="684"/>
      <c r="PNZ79" s="684"/>
      <c r="POA79" s="684"/>
      <c r="POB79" s="684"/>
      <c r="POC79" s="684"/>
      <c r="POD79" s="684"/>
      <c r="POE79" s="684"/>
      <c r="POF79" s="684"/>
      <c r="POG79" s="684"/>
      <c r="POH79" s="684"/>
      <c r="POI79" s="684"/>
      <c r="POJ79" s="684"/>
      <c r="POK79" s="684"/>
      <c r="POL79" s="684"/>
      <c r="POM79" s="684"/>
      <c r="PON79" s="684"/>
      <c r="POO79" s="684"/>
      <c r="POP79" s="684"/>
      <c r="POQ79" s="684"/>
      <c r="POR79" s="684"/>
      <c r="POS79" s="684"/>
      <c r="POT79" s="684"/>
      <c r="POU79" s="684"/>
      <c r="POV79" s="684"/>
      <c r="POW79" s="684"/>
      <c r="POX79" s="684"/>
      <c r="POY79" s="684"/>
      <c r="POZ79" s="684"/>
      <c r="PPA79" s="684"/>
      <c r="PPB79" s="684"/>
      <c r="PPC79" s="684"/>
      <c r="PPD79" s="684"/>
      <c r="PPE79" s="684"/>
      <c r="PPF79" s="684"/>
      <c r="PPG79" s="684"/>
      <c r="PPH79" s="684"/>
      <c r="PPI79" s="684"/>
      <c r="PPJ79" s="684"/>
      <c r="PPK79" s="684"/>
      <c r="PPL79" s="684"/>
      <c r="PPM79" s="684"/>
      <c r="PPN79" s="684"/>
      <c r="PPO79" s="684"/>
      <c r="PPP79" s="684"/>
      <c r="PPQ79" s="684"/>
      <c r="PPR79" s="684"/>
      <c r="PPS79" s="684"/>
      <c r="PPT79" s="684"/>
      <c r="PPU79" s="684"/>
      <c r="PPV79" s="684"/>
      <c r="PPW79" s="684"/>
      <c r="PPX79" s="684"/>
      <c r="PPY79" s="684"/>
      <c r="PPZ79" s="684"/>
      <c r="PQA79" s="684"/>
      <c r="PQB79" s="684"/>
      <c r="PQC79" s="684"/>
      <c r="PQD79" s="684"/>
      <c r="PQE79" s="684"/>
      <c r="PQF79" s="684"/>
      <c r="PQG79" s="684"/>
      <c r="PQH79" s="684"/>
      <c r="PQI79" s="684"/>
      <c r="PQJ79" s="684"/>
      <c r="PQK79" s="684"/>
      <c r="PQL79" s="684"/>
      <c r="PQM79" s="684"/>
      <c r="PQN79" s="684"/>
      <c r="PQO79" s="684"/>
      <c r="PQP79" s="684"/>
      <c r="PQQ79" s="684"/>
      <c r="PQR79" s="684"/>
      <c r="PQS79" s="684"/>
      <c r="PQT79" s="684"/>
      <c r="PQU79" s="684"/>
      <c r="PQV79" s="684"/>
      <c r="PQW79" s="684"/>
      <c r="PQX79" s="684"/>
      <c r="PQY79" s="684"/>
      <c r="PQZ79" s="684"/>
      <c r="PRA79" s="684"/>
      <c r="PRB79" s="684"/>
      <c r="PRC79" s="684"/>
      <c r="PRD79" s="684"/>
      <c r="PRE79" s="684"/>
      <c r="PRF79" s="684"/>
      <c r="PRG79" s="684"/>
      <c r="PRH79" s="684"/>
      <c r="PRI79" s="684"/>
      <c r="PRJ79" s="684"/>
      <c r="PRK79" s="684"/>
      <c r="PRL79" s="684"/>
      <c r="PRM79" s="684"/>
      <c r="PRN79" s="684"/>
      <c r="PRO79" s="684"/>
      <c r="PRP79" s="684"/>
      <c r="PRQ79" s="684"/>
      <c r="PRR79" s="684"/>
      <c r="PRS79" s="684"/>
      <c r="PRT79" s="684"/>
      <c r="PRU79" s="684"/>
      <c r="PRV79" s="684"/>
      <c r="PRW79" s="684"/>
      <c r="PRX79" s="684"/>
      <c r="PRY79" s="684"/>
      <c r="PRZ79" s="684"/>
      <c r="PSA79" s="684"/>
      <c r="PSB79" s="684"/>
      <c r="PSC79" s="684"/>
      <c r="PSD79" s="684"/>
      <c r="PSE79" s="684"/>
      <c r="PSF79" s="684"/>
      <c r="PSG79" s="684"/>
      <c r="PSH79" s="684"/>
      <c r="PSI79" s="684"/>
      <c r="PSJ79" s="684"/>
      <c r="PSK79" s="684"/>
      <c r="PSL79" s="684"/>
      <c r="PSM79" s="684"/>
      <c r="PSN79" s="684"/>
      <c r="PSO79" s="684"/>
      <c r="PSP79" s="684"/>
      <c r="PSQ79" s="684"/>
      <c r="PSR79" s="684"/>
      <c r="PSS79" s="684"/>
      <c r="PST79" s="684"/>
      <c r="PSU79" s="684"/>
      <c r="PSV79" s="684"/>
      <c r="PSW79" s="684"/>
      <c r="PSX79" s="684"/>
      <c r="PSY79" s="684"/>
      <c r="PSZ79" s="684"/>
      <c r="PTA79" s="684"/>
      <c r="PTB79" s="684"/>
      <c r="PTC79" s="684"/>
      <c r="PTD79" s="684"/>
      <c r="PTE79" s="684"/>
      <c r="PTF79" s="684"/>
      <c r="PTG79" s="684"/>
      <c r="PTH79" s="684"/>
      <c r="PTI79" s="684"/>
      <c r="PTJ79" s="684"/>
      <c r="PTK79" s="684"/>
      <c r="PTL79" s="684"/>
      <c r="PTM79" s="684"/>
      <c r="PTN79" s="684"/>
      <c r="PTO79" s="684"/>
      <c r="PTP79" s="684"/>
      <c r="PTQ79" s="684"/>
      <c r="PTR79" s="684"/>
      <c r="PTS79" s="684"/>
      <c r="PTT79" s="684"/>
      <c r="PTU79" s="684"/>
      <c r="PTV79" s="684"/>
      <c r="PTW79" s="684"/>
      <c r="PTX79" s="684"/>
      <c r="PTY79" s="684"/>
      <c r="PTZ79" s="684"/>
      <c r="PUA79" s="684"/>
      <c r="PUB79" s="684"/>
      <c r="PUC79" s="684"/>
      <c r="PUD79" s="684"/>
      <c r="PUE79" s="684"/>
      <c r="PUF79" s="684"/>
      <c r="PUG79" s="684"/>
      <c r="PUH79" s="684"/>
      <c r="PUI79" s="684"/>
      <c r="PUJ79" s="684"/>
      <c r="PUK79" s="684"/>
      <c r="PUL79" s="684"/>
      <c r="PUM79" s="684"/>
      <c r="PUN79" s="684"/>
      <c r="PUO79" s="684"/>
      <c r="PUP79" s="684"/>
      <c r="PUQ79" s="684"/>
      <c r="PUR79" s="684"/>
      <c r="PUS79" s="684"/>
      <c r="PUT79" s="684"/>
      <c r="PUU79" s="684"/>
      <c r="PUV79" s="684"/>
      <c r="PUW79" s="684"/>
      <c r="PUX79" s="684"/>
      <c r="PUY79" s="684"/>
      <c r="PUZ79" s="684"/>
      <c r="PVA79" s="684"/>
      <c r="PVB79" s="684"/>
      <c r="PVC79" s="684"/>
      <c r="PVD79" s="684"/>
      <c r="PVE79" s="684"/>
      <c r="PVF79" s="684"/>
      <c r="PVG79" s="684"/>
      <c r="PVH79" s="684"/>
      <c r="PVI79" s="684"/>
      <c r="PVJ79" s="684"/>
      <c r="PVK79" s="684"/>
      <c r="PVL79" s="684"/>
      <c r="PVM79" s="684"/>
      <c r="PVN79" s="684"/>
      <c r="PVO79" s="684"/>
      <c r="PVP79" s="684"/>
      <c r="PVQ79" s="684"/>
      <c r="PVR79" s="684"/>
      <c r="PVS79" s="684"/>
      <c r="PVT79" s="684"/>
      <c r="PVU79" s="684"/>
      <c r="PVV79" s="684"/>
      <c r="PVW79" s="684"/>
      <c r="PVX79" s="684"/>
      <c r="PVY79" s="684"/>
      <c r="PVZ79" s="684"/>
      <c r="PWA79" s="684"/>
      <c r="PWB79" s="684"/>
      <c r="PWC79" s="684"/>
      <c r="PWD79" s="684"/>
      <c r="PWE79" s="684"/>
      <c r="PWF79" s="684"/>
      <c r="PWG79" s="684"/>
      <c r="PWH79" s="684"/>
      <c r="PWI79" s="684"/>
      <c r="PWJ79" s="684"/>
      <c r="PWK79" s="684"/>
      <c r="PWL79" s="684"/>
      <c r="PWM79" s="684"/>
      <c r="PWN79" s="684"/>
      <c r="PWO79" s="684"/>
      <c r="PWP79" s="684"/>
      <c r="PWQ79" s="684"/>
      <c r="PWR79" s="684"/>
      <c r="PWS79" s="684"/>
      <c r="PWT79" s="684"/>
      <c r="PWU79" s="684"/>
      <c r="PWV79" s="684"/>
      <c r="PWW79" s="684"/>
      <c r="PWX79" s="684"/>
      <c r="PWY79" s="684"/>
      <c r="PWZ79" s="684"/>
      <c r="PXA79" s="684"/>
      <c r="PXB79" s="684"/>
      <c r="PXC79" s="684"/>
      <c r="PXD79" s="684"/>
      <c r="PXE79" s="684"/>
      <c r="PXF79" s="684"/>
      <c r="PXG79" s="684"/>
      <c r="PXH79" s="684"/>
      <c r="PXI79" s="684"/>
      <c r="PXJ79" s="684"/>
      <c r="PXK79" s="684"/>
      <c r="PXL79" s="684"/>
      <c r="PXM79" s="684"/>
      <c r="PXN79" s="684"/>
      <c r="PXO79" s="684"/>
      <c r="PXP79" s="684"/>
      <c r="PXQ79" s="684"/>
      <c r="PXR79" s="684"/>
      <c r="PXS79" s="684"/>
      <c r="PXT79" s="684"/>
      <c r="PXU79" s="684"/>
      <c r="PXV79" s="684"/>
      <c r="PXW79" s="684"/>
      <c r="PXX79" s="684"/>
      <c r="PXY79" s="684"/>
      <c r="PXZ79" s="684"/>
      <c r="PYA79" s="684"/>
      <c r="PYB79" s="684"/>
      <c r="PYC79" s="684"/>
      <c r="PYD79" s="684"/>
      <c r="PYE79" s="684"/>
      <c r="PYF79" s="684"/>
      <c r="PYG79" s="684"/>
      <c r="PYH79" s="684"/>
      <c r="PYI79" s="684"/>
      <c r="PYJ79" s="684"/>
      <c r="PYK79" s="684"/>
      <c r="PYL79" s="684"/>
      <c r="PYM79" s="684"/>
      <c r="PYN79" s="684"/>
      <c r="PYO79" s="684"/>
      <c r="PYP79" s="684"/>
      <c r="PYQ79" s="684"/>
      <c r="PYR79" s="684"/>
      <c r="PYS79" s="684"/>
      <c r="PYT79" s="684"/>
      <c r="PYU79" s="684"/>
      <c r="PYV79" s="684"/>
      <c r="PYW79" s="684"/>
      <c r="PYX79" s="684"/>
      <c r="PYY79" s="684"/>
      <c r="PYZ79" s="684"/>
      <c r="PZA79" s="684"/>
      <c r="PZB79" s="684"/>
      <c r="PZC79" s="684"/>
      <c r="PZD79" s="684"/>
      <c r="PZE79" s="684"/>
      <c r="PZF79" s="684"/>
      <c r="PZG79" s="684"/>
      <c r="PZH79" s="684"/>
      <c r="PZI79" s="684"/>
      <c r="PZJ79" s="684"/>
      <c r="PZK79" s="684"/>
      <c r="PZL79" s="684"/>
      <c r="PZM79" s="684"/>
      <c r="PZN79" s="684"/>
      <c r="PZO79" s="684"/>
      <c r="PZP79" s="684"/>
      <c r="PZQ79" s="684"/>
      <c r="PZR79" s="684"/>
      <c r="PZS79" s="684"/>
      <c r="PZT79" s="684"/>
      <c r="PZU79" s="684"/>
      <c r="PZV79" s="684"/>
      <c r="PZW79" s="684"/>
      <c r="PZX79" s="684"/>
      <c r="PZY79" s="684"/>
      <c r="PZZ79" s="684"/>
      <c r="QAA79" s="684"/>
      <c r="QAB79" s="684"/>
      <c r="QAC79" s="684"/>
      <c r="QAD79" s="684"/>
      <c r="QAE79" s="684"/>
      <c r="QAF79" s="684"/>
      <c r="QAG79" s="684"/>
      <c r="QAH79" s="684"/>
      <c r="QAI79" s="684"/>
      <c r="QAJ79" s="684"/>
      <c r="QAK79" s="684"/>
      <c r="QAL79" s="684"/>
      <c r="QAM79" s="684"/>
      <c r="QAN79" s="684"/>
      <c r="QAO79" s="684"/>
      <c r="QAP79" s="684"/>
      <c r="QAQ79" s="684"/>
      <c r="QAR79" s="684"/>
      <c r="QAS79" s="684"/>
      <c r="QAT79" s="684"/>
      <c r="QAU79" s="684"/>
      <c r="QAV79" s="684"/>
      <c r="QAW79" s="684"/>
      <c r="QAX79" s="684"/>
      <c r="QAY79" s="684"/>
      <c r="QAZ79" s="684"/>
      <c r="QBA79" s="684"/>
      <c r="QBB79" s="684"/>
      <c r="QBC79" s="684"/>
      <c r="QBD79" s="684"/>
      <c r="QBE79" s="684"/>
      <c r="QBF79" s="684"/>
      <c r="QBG79" s="684"/>
      <c r="QBH79" s="684"/>
      <c r="QBI79" s="684"/>
      <c r="QBJ79" s="684"/>
      <c r="QBK79" s="684"/>
      <c r="QBL79" s="684"/>
      <c r="QBM79" s="684"/>
      <c r="QBN79" s="684"/>
      <c r="QBO79" s="684"/>
      <c r="QBP79" s="684"/>
      <c r="QBQ79" s="684"/>
      <c r="QBR79" s="684"/>
      <c r="QBS79" s="684"/>
      <c r="QBT79" s="684"/>
      <c r="QBU79" s="684"/>
      <c r="QBV79" s="684"/>
      <c r="QBW79" s="684"/>
      <c r="QBX79" s="684"/>
      <c r="QBY79" s="684"/>
      <c r="QBZ79" s="684"/>
      <c r="QCA79" s="684"/>
      <c r="QCB79" s="684"/>
      <c r="QCC79" s="684"/>
      <c r="QCD79" s="684"/>
      <c r="QCE79" s="684"/>
      <c r="QCF79" s="684"/>
      <c r="QCG79" s="684"/>
      <c r="QCH79" s="684"/>
      <c r="QCI79" s="684"/>
      <c r="QCJ79" s="684"/>
      <c r="QCK79" s="684"/>
      <c r="QCL79" s="684"/>
      <c r="QCM79" s="684"/>
      <c r="QCN79" s="684"/>
      <c r="QCO79" s="684"/>
      <c r="QCP79" s="684"/>
      <c r="QCQ79" s="684"/>
      <c r="QCR79" s="684"/>
      <c r="QCS79" s="684"/>
      <c r="QCT79" s="684"/>
      <c r="QCU79" s="684"/>
      <c r="QCV79" s="684"/>
      <c r="QCW79" s="684"/>
      <c r="QCX79" s="684"/>
      <c r="QCY79" s="684"/>
      <c r="QCZ79" s="684"/>
      <c r="QDA79" s="684"/>
      <c r="QDB79" s="684"/>
      <c r="QDC79" s="684"/>
      <c r="QDD79" s="684"/>
      <c r="QDE79" s="684"/>
      <c r="QDF79" s="684"/>
      <c r="QDG79" s="684"/>
      <c r="QDH79" s="684"/>
      <c r="QDI79" s="684"/>
      <c r="QDJ79" s="684"/>
      <c r="QDK79" s="684"/>
      <c r="QDL79" s="684"/>
      <c r="QDM79" s="684"/>
      <c r="QDN79" s="684"/>
      <c r="QDO79" s="684"/>
      <c r="QDP79" s="684"/>
      <c r="QDQ79" s="684"/>
      <c r="QDR79" s="684"/>
      <c r="QDS79" s="684"/>
      <c r="QDT79" s="684"/>
      <c r="QDU79" s="684"/>
      <c r="QDV79" s="684"/>
      <c r="QDW79" s="684"/>
      <c r="QDX79" s="684"/>
      <c r="QDY79" s="684"/>
      <c r="QDZ79" s="684"/>
      <c r="QEA79" s="684"/>
      <c r="QEB79" s="684"/>
      <c r="QEC79" s="684"/>
      <c r="QED79" s="684"/>
      <c r="QEE79" s="684"/>
      <c r="QEF79" s="684"/>
      <c r="QEG79" s="684"/>
      <c r="QEH79" s="684"/>
      <c r="QEI79" s="684"/>
      <c r="QEJ79" s="684"/>
      <c r="QEK79" s="684"/>
      <c r="QEL79" s="684"/>
      <c r="QEM79" s="684"/>
      <c r="QEN79" s="684"/>
      <c r="QEO79" s="684"/>
      <c r="QEP79" s="684"/>
      <c r="QEQ79" s="684"/>
      <c r="QER79" s="684"/>
      <c r="QES79" s="684"/>
      <c r="QET79" s="684"/>
      <c r="QEU79" s="684"/>
      <c r="QEV79" s="684"/>
      <c r="QEW79" s="684"/>
      <c r="QEX79" s="684"/>
      <c r="QEY79" s="684"/>
      <c r="QEZ79" s="684"/>
      <c r="QFA79" s="684"/>
      <c r="QFB79" s="684"/>
      <c r="QFC79" s="684"/>
      <c r="QFD79" s="684"/>
      <c r="QFE79" s="684"/>
      <c r="QFF79" s="684"/>
      <c r="QFG79" s="684"/>
      <c r="QFH79" s="684"/>
      <c r="QFI79" s="684"/>
      <c r="QFJ79" s="684"/>
      <c r="QFK79" s="684"/>
      <c r="QFL79" s="684"/>
      <c r="QFM79" s="684"/>
      <c r="QFN79" s="684"/>
      <c r="QFO79" s="684"/>
      <c r="QFP79" s="684"/>
      <c r="QFQ79" s="684"/>
      <c r="QFR79" s="684"/>
      <c r="QFS79" s="684"/>
      <c r="QFT79" s="684"/>
      <c r="QFU79" s="684"/>
      <c r="QFV79" s="684"/>
      <c r="QFW79" s="684"/>
      <c r="QFX79" s="684"/>
      <c r="QFY79" s="684"/>
      <c r="QFZ79" s="684"/>
      <c r="QGA79" s="684"/>
      <c r="QGB79" s="684"/>
      <c r="QGC79" s="684"/>
      <c r="QGD79" s="684"/>
      <c r="QGE79" s="684"/>
      <c r="QGF79" s="684"/>
      <c r="QGG79" s="684"/>
      <c r="QGH79" s="684"/>
      <c r="QGI79" s="684"/>
      <c r="QGJ79" s="684"/>
      <c r="QGK79" s="684"/>
      <c r="QGL79" s="684"/>
      <c r="QGM79" s="684"/>
      <c r="QGN79" s="684"/>
      <c r="QGO79" s="684"/>
      <c r="QGP79" s="684"/>
      <c r="QGQ79" s="684"/>
      <c r="QGR79" s="684"/>
      <c r="QGS79" s="684"/>
      <c r="QGT79" s="684"/>
      <c r="QGU79" s="684"/>
      <c r="QGV79" s="684"/>
      <c r="QGW79" s="684"/>
      <c r="QGX79" s="684"/>
      <c r="QGY79" s="684"/>
      <c r="QGZ79" s="684"/>
      <c r="QHA79" s="684"/>
      <c r="QHB79" s="684"/>
      <c r="QHC79" s="684"/>
      <c r="QHD79" s="684"/>
      <c r="QHE79" s="684"/>
      <c r="QHF79" s="684"/>
      <c r="QHG79" s="684"/>
      <c r="QHH79" s="684"/>
      <c r="QHI79" s="684"/>
      <c r="QHJ79" s="684"/>
      <c r="QHK79" s="684"/>
      <c r="QHL79" s="684"/>
      <c r="QHM79" s="684"/>
      <c r="QHN79" s="684"/>
      <c r="QHO79" s="684"/>
      <c r="QHP79" s="684"/>
      <c r="QHQ79" s="684"/>
      <c r="QHR79" s="684"/>
      <c r="QHS79" s="684"/>
      <c r="QHT79" s="684"/>
      <c r="QHU79" s="684"/>
      <c r="QHV79" s="684"/>
      <c r="QHW79" s="684"/>
      <c r="QHX79" s="684"/>
      <c r="QHY79" s="684"/>
      <c r="QHZ79" s="684"/>
      <c r="QIA79" s="684"/>
      <c r="QIB79" s="684"/>
      <c r="QIC79" s="684"/>
      <c r="QID79" s="684"/>
      <c r="QIE79" s="684"/>
      <c r="QIF79" s="684"/>
      <c r="QIG79" s="684"/>
      <c r="QIH79" s="684"/>
      <c r="QII79" s="684"/>
      <c r="QIJ79" s="684"/>
      <c r="QIK79" s="684"/>
      <c r="QIL79" s="684"/>
      <c r="QIM79" s="684"/>
      <c r="QIN79" s="684"/>
      <c r="QIO79" s="684"/>
      <c r="QIP79" s="684"/>
      <c r="QIQ79" s="684"/>
      <c r="QIR79" s="684"/>
      <c r="QIS79" s="684"/>
      <c r="QIT79" s="684"/>
      <c r="QIU79" s="684"/>
      <c r="QIV79" s="684"/>
      <c r="QIW79" s="684"/>
      <c r="QIX79" s="684"/>
      <c r="QIY79" s="684"/>
      <c r="QIZ79" s="684"/>
      <c r="QJA79" s="684"/>
      <c r="QJB79" s="684"/>
      <c r="QJC79" s="684"/>
      <c r="QJD79" s="684"/>
      <c r="QJE79" s="684"/>
      <c r="QJF79" s="684"/>
      <c r="QJG79" s="684"/>
      <c r="QJH79" s="684"/>
      <c r="QJI79" s="684"/>
      <c r="QJJ79" s="684"/>
      <c r="QJK79" s="684"/>
      <c r="QJL79" s="684"/>
      <c r="QJM79" s="684"/>
      <c r="QJN79" s="684"/>
      <c r="QJO79" s="684"/>
      <c r="QJP79" s="684"/>
      <c r="QJQ79" s="684"/>
      <c r="QJR79" s="684"/>
      <c r="QJS79" s="684"/>
      <c r="QJT79" s="684"/>
      <c r="QJU79" s="684"/>
      <c r="QJV79" s="684"/>
      <c r="QJW79" s="684"/>
      <c r="QJX79" s="684"/>
      <c r="QJY79" s="684"/>
      <c r="QJZ79" s="684"/>
      <c r="QKA79" s="684"/>
      <c r="QKB79" s="684"/>
      <c r="QKC79" s="684"/>
      <c r="QKD79" s="684"/>
      <c r="QKE79" s="684"/>
      <c r="QKF79" s="684"/>
      <c r="QKG79" s="684"/>
      <c r="QKH79" s="684"/>
      <c r="QKI79" s="684"/>
      <c r="QKJ79" s="684"/>
      <c r="QKK79" s="684"/>
      <c r="QKL79" s="684"/>
      <c r="QKM79" s="684"/>
      <c r="QKN79" s="684"/>
      <c r="QKO79" s="684"/>
      <c r="QKP79" s="684"/>
      <c r="QKQ79" s="684"/>
      <c r="QKR79" s="684"/>
      <c r="QKS79" s="684"/>
      <c r="QKT79" s="684"/>
      <c r="QKU79" s="684"/>
      <c r="QKV79" s="684"/>
      <c r="QKW79" s="684"/>
      <c r="QKX79" s="684"/>
      <c r="QKY79" s="684"/>
      <c r="QKZ79" s="684"/>
      <c r="QLA79" s="684"/>
      <c r="QLB79" s="684"/>
      <c r="QLC79" s="684"/>
      <c r="QLD79" s="684"/>
      <c r="QLE79" s="684"/>
      <c r="QLF79" s="684"/>
      <c r="QLG79" s="684"/>
      <c r="QLH79" s="684"/>
      <c r="QLI79" s="684"/>
      <c r="QLJ79" s="684"/>
      <c r="QLK79" s="684"/>
      <c r="QLL79" s="684"/>
      <c r="QLM79" s="684"/>
      <c r="QLN79" s="684"/>
      <c r="QLO79" s="684"/>
      <c r="QLP79" s="684"/>
      <c r="QLQ79" s="684"/>
      <c r="QLR79" s="684"/>
      <c r="QLS79" s="684"/>
      <c r="QLT79" s="684"/>
      <c r="QLU79" s="684"/>
      <c r="QLV79" s="684"/>
      <c r="QLW79" s="684"/>
      <c r="QLX79" s="684"/>
      <c r="QLY79" s="684"/>
      <c r="QLZ79" s="684"/>
      <c r="QMA79" s="684"/>
      <c r="QMB79" s="684"/>
      <c r="QMC79" s="684"/>
      <c r="QMD79" s="684"/>
      <c r="QME79" s="684"/>
      <c r="QMF79" s="684"/>
      <c r="QMG79" s="684"/>
      <c r="QMH79" s="684"/>
      <c r="QMI79" s="684"/>
      <c r="QMJ79" s="684"/>
      <c r="QMK79" s="684"/>
      <c r="QML79" s="684"/>
      <c r="QMM79" s="684"/>
      <c r="QMN79" s="684"/>
      <c r="QMO79" s="684"/>
      <c r="QMP79" s="684"/>
      <c r="QMQ79" s="684"/>
      <c r="QMR79" s="684"/>
      <c r="QMS79" s="684"/>
      <c r="QMT79" s="684"/>
      <c r="QMU79" s="684"/>
      <c r="QMV79" s="684"/>
      <c r="QMW79" s="684"/>
      <c r="QMX79" s="684"/>
      <c r="QMY79" s="684"/>
      <c r="QMZ79" s="684"/>
      <c r="QNA79" s="684"/>
      <c r="QNB79" s="684"/>
      <c r="QNC79" s="684"/>
      <c r="QND79" s="684"/>
      <c r="QNE79" s="684"/>
      <c r="QNF79" s="684"/>
      <c r="QNG79" s="684"/>
      <c r="QNH79" s="684"/>
      <c r="QNI79" s="684"/>
      <c r="QNJ79" s="684"/>
      <c r="QNK79" s="684"/>
      <c r="QNL79" s="684"/>
      <c r="QNM79" s="684"/>
      <c r="QNN79" s="684"/>
      <c r="QNO79" s="684"/>
      <c r="QNP79" s="684"/>
      <c r="QNQ79" s="684"/>
      <c r="QNR79" s="684"/>
      <c r="QNS79" s="684"/>
      <c r="QNT79" s="684"/>
      <c r="QNU79" s="684"/>
      <c r="QNV79" s="684"/>
      <c r="QNW79" s="684"/>
      <c r="QNX79" s="684"/>
      <c r="QNY79" s="684"/>
      <c r="QNZ79" s="684"/>
      <c r="QOA79" s="684"/>
      <c r="QOB79" s="684"/>
      <c r="QOC79" s="684"/>
      <c r="QOD79" s="684"/>
      <c r="QOE79" s="684"/>
      <c r="QOF79" s="684"/>
      <c r="QOG79" s="684"/>
      <c r="QOH79" s="684"/>
      <c r="QOI79" s="684"/>
      <c r="QOJ79" s="684"/>
      <c r="QOK79" s="684"/>
      <c r="QOL79" s="684"/>
      <c r="QOM79" s="684"/>
      <c r="QON79" s="684"/>
      <c r="QOO79" s="684"/>
      <c r="QOP79" s="684"/>
      <c r="QOQ79" s="684"/>
      <c r="QOR79" s="684"/>
      <c r="QOS79" s="684"/>
      <c r="QOT79" s="684"/>
      <c r="QOU79" s="684"/>
      <c r="QOV79" s="684"/>
      <c r="QOW79" s="684"/>
      <c r="QOX79" s="684"/>
      <c r="QOY79" s="684"/>
      <c r="QOZ79" s="684"/>
      <c r="QPA79" s="684"/>
      <c r="QPB79" s="684"/>
      <c r="QPC79" s="684"/>
      <c r="QPD79" s="684"/>
      <c r="QPE79" s="684"/>
      <c r="QPF79" s="684"/>
      <c r="QPG79" s="684"/>
      <c r="QPH79" s="684"/>
      <c r="QPI79" s="684"/>
      <c r="QPJ79" s="684"/>
      <c r="QPK79" s="684"/>
      <c r="QPL79" s="684"/>
      <c r="QPM79" s="684"/>
      <c r="QPN79" s="684"/>
      <c r="QPO79" s="684"/>
      <c r="QPP79" s="684"/>
      <c r="QPQ79" s="684"/>
      <c r="QPR79" s="684"/>
      <c r="QPS79" s="684"/>
      <c r="QPT79" s="684"/>
      <c r="QPU79" s="684"/>
      <c r="QPV79" s="684"/>
      <c r="QPW79" s="684"/>
      <c r="QPX79" s="684"/>
      <c r="QPY79" s="684"/>
      <c r="QPZ79" s="684"/>
      <c r="QQA79" s="684"/>
      <c r="QQB79" s="684"/>
      <c r="QQC79" s="684"/>
      <c r="QQD79" s="684"/>
      <c r="QQE79" s="684"/>
      <c r="QQF79" s="684"/>
      <c r="QQG79" s="684"/>
      <c r="QQH79" s="684"/>
      <c r="QQI79" s="684"/>
      <c r="QQJ79" s="684"/>
      <c r="QQK79" s="684"/>
      <c r="QQL79" s="684"/>
      <c r="QQM79" s="684"/>
      <c r="QQN79" s="684"/>
      <c r="QQO79" s="684"/>
      <c r="QQP79" s="684"/>
      <c r="QQQ79" s="684"/>
      <c r="QQR79" s="684"/>
      <c r="QQS79" s="684"/>
      <c r="QQT79" s="684"/>
      <c r="QQU79" s="684"/>
      <c r="QQV79" s="684"/>
      <c r="QQW79" s="684"/>
      <c r="QQX79" s="684"/>
      <c r="QQY79" s="684"/>
      <c r="QQZ79" s="684"/>
      <c r="QRA79" s="684"/>
      <c r="QRB79" s="684"/>
      <c r="QRC79" s="684"/>
      <c r="QRD79" s="684"/>
      <c r="QRE79" s="684"/>
      <c r="QRF79" s="684"/>
      <c r="QRG79" s="684"/>
      <c r="QRH79" s="684"/>
      <c r="QRI79" s="684"/>
      <c r="QRJ79" s="684"/>
      <c r="QRK79" s="684"/>
      <c r="QRL79" s="684"/>
      <c r="QRM79" s="684"/>
      <c r="QRN79" s="684"/>
      <c r="QRO79" s="684"/>
      <c r="QRP79" s="684"/>
      <c r="QRQ79" s="684"/>
      <c r="QRR79" s="684"/>
      <c r="QRS79" s="684"/>
      <c r="QRT79" s="684"/>
      <c r="QRU79" s="684"/>
      <c r="QRV79" s="684"/>
      <c r="QRW79" s="684"/>
      <c r="QRX79" s="684"/>
      <c r="QRY79" s="684"/>
      <c r="QRZ79" s="684"/>
      <c r="QSA79" s="684"/>
      <c r="QSB79" s="684"/>
      <c r="QSC79" s="684"/>
      <c r="QSD79" s="684"/>
      <c r="QSE79" s="684"/>
      <c r="QSF79" s="684"/>
      <c r="QSG79" s="684"/>
      <c r="QSH79" s="684"/>
      <c r="QSI79" s="684"/>
      <c r="QSJ79" s="684"/>
      <c r="QSK79" s="684"/>
      <c r="QSL79" s="684"/>
      <c r="QSM79" s="684"/>
      <c r="QSN79" s="684"/>
      <c r="QSO79" s="684"/>
      <c r="QSP79" s="684"/>
      <c r="QSQ79" s="684"/>
      <c r="QSR79" s="684"/>
      <c r="QSS79" s="684"/>
      <c r="QST79" s="684"/>
      <c r="QSU79" s="684"/>
      <c r="QSV79" s="684"/>
      <c r="QSW79" s="684"/>
      <c r="QSX79" s="684"/>
      <c r="QSY79" s="684"/>
      <c r="QSZ79" s="684"/>
      <c r="QTA79" s="684"/>
      <c r="QTB79" s="684"/>
      <c r="QTC79" s="684"/>
      <c r="QTD79" s="684"/>
      <c r="QTE79" s="684"/>
      <c r="QTF79" s="684"/>
      <c r="QTG79" s="684"/>
      <c r="QTH79" s="684"/>
      <c r="QTI79" s="684"/>
      <c r="QTJ79" s="684"/>
      <c r="QTK79" s="684"/>
      <c r="QTL79" s="684"/>
      <c r="QTM79" s="684"/>
      <c r="QTN79" s="684"/>
      <c r="QTO79" s="684"/>
      <c r="QTP79" s="684"/>
      <c r="QTQ79" s="684"/>
      <c r="QTR79" s="684"/>
      <c r="QTS79" s="684"/>
      <c r="QTT79" s="684"/>
      <c r="QTU79" s="684"/>
      <c r="QTV79" s="684"/>
      <c r="QTW79" s="684"/>
      <c r="QTX79" s="684"/>
      <c r="QTY79" s="684"/>
      <c r="QTZ79" s="684"/>
      <c r="QUA79" s="684"/>
      <c r="QUB79" s="684"/>
      <c r="QUC79" s="684"/>
      <c r="QUD79" s="684"/>
      <c r="QUE79" s="684"/>
      <c r="QUF79" s="684"/>
      <c r="QUG79" s="684"/>
      <c r="QUH79" s="684"/>
      <c r="QUI79" s="684"/>
      <c r="QUJ79" s="684"/>
      <c r="QUK79" s="684"/>
      <c r="QUL79" s="684"/>
      <c r="QUM79" s="684"/>
      <c r="QUN79" s="684"/>
      <c r="QUO79" s="684"/>
      <c r="QUP79" s="684"/>
      <c r="QUQ79" s="684"/>
      <c r="QUR79" s="684"/>
      <c r="QUS79" s="684"/>
      <c r="QUT79" s="684"/>
      <c r="QUU79" s="684"/>
      <c r="QUV79" s="684"/>
      <c r="QUW79" s="684"/>
      <c r="QUX79" s="684"/>
      <c r="QUY79" s="684"/>
      <c r="QUZ79" s="684"/>
      <c r="QVA79" s="684"/>
      <c r="QVB79" s="684"/>
      <c r="QVC79" s="684"/>
      <c r="QVD79" s="684"/>
      <c r="QVE79" s="684"/>
      <c r="QVF79" s="684"/>
      <c r="QVG79" s="684"/>
      <c r="QVH79" s="684"/>
      <c r="QVI79" s="684"/>
      <c r="QVJ79" s="684"/>
      <c r="QVK79" s="684"/>
      <c r="QVL79" s="684"/>
      <c r="QVM79" s="684"/>
      <c r="QVN79" s="684"/>
      <c r="QVO79" s="684"/>
      <c r="QVP79" s="684"/>
      <c r="QVQ79" s="684"/>
      <c r="QVR79" s="684"/>
      <c r="QVS79" s="684"/>
      <c r="QVT79" s="684"/>
      <c r="QVU79" s="684"/>
      <c r="QVV79" s="684"/>
      <c r="QVW79" s="684"/>
      <c r="QVX79" s="684"/>
      <c r="QVY79" s="684"/>
      <c r="QVZ79" s="684"/>
      <c r="QWA79" s="684"/>
      <c r="QWB79" s="684"/>
      <c r="QWC79" s="684"/>
      <c r="QWD79" s="684"/>
      <c r="QWE79" s="684"/>
      <c r="QWF79" s="684"/>
      <c r="QWG79" s="684"/>
      <c r="QWH79" s="684"/>
      <c r="QWI79" s="684"/>
      <c r="QWJ79" s="684"/>
      <c r="QWK79" s="684"/>
      <c r="QWL79" s="684"/>
      <c r="QWM79" s="684"/>
      <c r="QWN79" s="684"/>
      <c r="QWO79" s="684"/>
      <c r="QWP79" s="684"/>
      <c r="QWQ79" s="684"/>
      <c r="QWR79" s="684"/>
      <c r="QWS79" s="684"/>
      <c r="QWT79" s="684"/>
      <c r="QWU79" s="684"/>
      <c r="QWV79" s="684"/>
      <c r="QWW79" s="684"/>
      <c r="QWX79" s="684"/>
      <c r="QWY79" s="684"/>
      <c r="QWZ79" s="684"/>
      <c r="QXA79" s="684"/>
      <c r="QXB79" s="684"/>
      <c r="QXC79" s="684"/>
      <c r="QXD79" s="684"/>
      <c r="QXE79" s="684"/>
      <c r="QXF79" s="684"/>
      <c r="QXG79" s="684"/>
      <c r="QXH79" s="684"/>
      <c r="QXI79" s="684"/>
      <c r="QXJ79" s="684"/>
      <c r="QXK79" s="684"/>
      <c r="QXL79" s="684"/>
      <c r="QXM79" s="684"/>
      <c r="QXN79" s="684"/>
      <c r="QXO79" s="684"/>
      <c r="QXP79" s="684"/>
      <c r="QXQ79" s="684"/>
      <c r="QXR79" s="684"/>
      <c r="QXS79" s="684"/>
      <c r="QXT79" s="684"/>
      <c r="QXU79" s="684"/>
      <c r="QXV79" s="684"/>
      <c r="QXW79" s="684"/>
      <c r="QXX79" s="684"/>
      <c r="QXY79" s="684"/>
      <c r="QXZ79" s="684"/>
      <c r="QYA79" s="684"/>
      <c r="QYB79" s="684"/>
      <c r="QYC79" s="684"/>
      <c r="QYD79" s="684"/>
      <c r="QYE79" s="684"/>
      <c r="QYF79" s="684"/>
      <c r="QYG79" s="684"/>
      <c r="QYH79" s="684"/>
      <c r="QYI79" s="684"/>
      <c r="QYJ79" s="684"/>
      <c r="QYK79" s="684"/>
      <c r="QYL79" s="684"/>
      <c r="QYM79" s="684"/>
      <c r="QYN79" s="684"/>
      <c r="QYO79" s="684"/>
      <c r="QYP79" s="684"/>
      <c r="QYQ79" s="684"/>
      <c r="QYR79" s="684"/>
      <c r="QYS79" s="684"/>
      <c r="QYT79" s="684"/>
      <c r="QYU79" s="684"/>
      <c r="QYV79" s="684"/>
      <c r="QYW79" s="684"/>
      <c r="QYX79" s="684"/>
      <c r="QYY79" s="684"/>
      <c r="QYZ79" s="684"/>
      <c r="QZA79" s="684"/>
      <c r="QZB79" s="684"/>
      <c r="QZC79" s="684"/>
      <c r="QZD79" s="684"/>
      <c r="QZE79" s="684"/>
      <c r="QZF79" s="684"/>
      <c r="QZG79" s="684"/>
      <c r="QZH79" s="684"/>
      <c r="QZI79" s="684"/>
      <c r="QZJ79" s="684"/>
      <c r="QZK79" s="684"/>
      <c r="QZL79" s="684"/>
      <c r="QZM79" s="684"/>
      <c r="QZN79" s="684"/>
      <c r="QZO79" s="684"/>
      <c r="QZP79" s="684"/>
      <c r="QZQ79" s="684"/>
      <c r="QZR79" s="684"/>
      <c r="QZS79" s="684"/>
      <c r="QZT79" s="684"/>
      <c r="QZU79" s="684"/>
      <c r="QZV79" s="684"/>
      <c r="QZW79" s="684"/>
      <c r="QZX79" s="684"/>
      <c r="QZY79" s="684"/>
      <c r="QZZ79" s="684"/>
      <c r="RAA79" s="684"/>
      <c r="RAB79" s="684"/>
      <c r="RAC79" s="684"/>
      <c r="RAD79" s="684"/>
      <c r="RAE79" s="684"/>
      <c r="RAF79" s="684"/>
      <c r="RAG79" s="684"/>
      <c r="RAH79" s="684"/>
      <c r="RAI79" s="684"/>
      <c r="RAJ79" s="684"/>
      <c r="RAK79" s="684"/>
      <c r="RAL79" s="684"/>
      <c r="RAM79" s="684"/>
      <c r="RAN79" s="684"/>
      <c r="RAO79" s="684"/>
      <c r="RAP79" s="684"/>
      <c r="RAQ79" s="684"/>
      <c r="RAR79" s="684"/>
      <c r="RAS79" s="684"/>
      <c r="RAT79" s="684"/>
      <c r="RAU79" s="684"/>
      <c r="RAV79" s="684"/>
      <c r="RAW79" s="684"/>
      <c r="RAX79" s="684"/>
      <c r="RAY79" s="684"/>
      <c r="RAZ79" s="684"/>
      <c r="RBA79" s="684"/>
      <c r="RBB79" s="684"/>
      <c r="RBC79" s="684"/>
      <c r="RBD79" s="684"/>
      <c r="RBE79" s="684"/>
      <c r="RBF79" s="684"/>
      <c r="RBG79" s="684"/>
      <c r="RBH79" s="684"/>
      <c r="RBI79" s="684"/>
      <c r="RBJ79" s="684"/>
      <c r="RBK79" s="684"/>
      <c r="RBL79" s="684"/>
      <c r="RBM79" s="684"/>
      <c r="RBN79" s="684"/>
      <c r="RBO79" s="684"/>
      <c r="RBP79" s="684"/>
      <c r="RBQ79" s="684"/>
      <c r="RBR79" s="684"/>
      <c r="RBS79" s="684"/>
      <c r="RBT79" s="684"/>
      <c r="RBU79" s="684"/>
      <c r="RBV79" s="684"/>
      <c r="RBW79" s="684"/>
      <c r="RBX79" s="684"/>
      <c r="RBY79" s="684"/>
      <c r="RBZ79" s="684"/>
      <c r="RCA79" s="684"/>
      <c r="RCB79" s="684"/>
      <c r="RCC79" s="684"/>
      <c r="RCD79" s="684"/>
      <c r="RCE79" s="684"/>
      <c r="RCF79" s="684"/>
      <c r="RCG79" s="684"/>
      <c r="RCH79" s="684"/>
      <c r="RCI79" s="684"/>
      <c r="RCJ79" s="684"/>
      <c r="RCK79" s="684"/>
      <c r="RCL79" s="684"/>
      <c r="RCM79" s="684"/>
      <c r="RCN79" s="684"/>
      <c r="RCO79" s="684"/>
      <c r="RCP79" s="684"/>
      <c r="RCQ79" s="684"/>
      <c r="RCR79" s="684"/>
      <c r="RCS79" s="684"/>
      <c r="RCT79" s="684"/>
      <c r="RCU79" s="684"/>
      <c r="RCV79" s="684"/>
      <c r="RCW79" s="684"/>
      <c r="RCX79" s="684"/>
      <c r="RCY79" s="684"/>
      <c r="RCZ79" s="684"/>
      <c r="RDA79" s="684"/>
      <c r="RDB79" s="684"/>
      <c r="RDC79" s="684"/>
      <c r="RDD79" s="684"/>
      <c r="RDE79" s="684"/>
      <c r="RDF79" s="684"/>
      <c r="RDG79" s="684"/>
      <c r="RDH79" s="684"/>
      <c r="RDI79" s="684"/>
      <c r="RDJ79" s="684"/>
      <c r="RDK79" s="684"/>
      <c r="RDL79" s="684"/>
      <c r="RDM79" s="684"/>
      <c r="RDN79" s="684"/>
      <c r="RDO79" s="684"/>
      <c r="RDP79" s="684"/>
      <c r="RDQ79" s="684"/>
      <c r="RDR79" s="684"/>
      <c r="RDS79" s="684"/>
      <c r="RDT79" s="684"/>
      <c r="RDU79" s="684"/>
      <c r="RDV79" s="684"/>
      <c r="RDW79" s="684"/>
      <c r="RDX79" s="684"/>
      <c r="RDY79" s="684"/>
      <c r="RDZ79" s="684"/>
      <c r="REA79" s="684"/>
      <c r="REB79" s="684"/>
      <c r="REC79" s="684"/>
      <c r="RED79" s="684"/>
      <c r="REE79" s="684"/>
      <c r="REF79" s="684"/>
      <c r="REG79" s="684"/>
      <c r="REH79" s="684"/>
      <c r="REI79" s="684"/>
      <c r="REJ79" s="684"/>
      <c r="REK79" s="684"/>
      <c r="REL79" s="684"/>
      <c r="REM79" s="684"/>
      <c r="REN79" s="684"/>
      <c r="REO79" s="684"/>
      <c r="REP79" s="684"/>
      <c r="REQ79" s="684"/>
      <c r="RER79" s="684"/>
      <c r="RES79" s="684"/>
      <c r="RET79" s="684"/>
      <c r="REU79" s="684"/>
      <c r="REV79" s="684"/>
      <c r="REW79" s="684"/>
      <c r="REX79" s="684"/>
      <c r="REY79" s="684"/>
      <c r="REZ79" s="684"/>
      <c r="RFA79" s="684"/>
      <c r="RFB79" s="684"/>
      <c r="RFC79" s="684"/>
      <c r="RFD79" s="684"/>
      <c r="RFE79" s="684"/>
      <c r="RFF79" s="684"/>
      <c r="RFG79" s="684"/>
      <c r="RFH79" s="684"/>
      <c r="RFI79" s="684"/>
      <c r="RFJ79" s="684"/>
      <c r="RFK79" s="684"/>
      <c r="RFL79" s="684"/>
      <c r="RFM79" s="684"/>
      <c r="RFN79" s="684"/>
      <c r="RFO79" s="684"/>
      <c r="RFP79" s="684"/>
      <c r="RFQ79" s="684"/>
      <c r="RFR79" s="684"/>
      <c r="RFS79" s="684"/>
      <c r="RFT79" s="684"/>
      <c r="RFU79" s="684"/>
      <c r="RFV79" s="684"/>
      <c r="RFW79" s="684"/>
      <c r="RFX79" s="684"/>
      <c r="RFY79" s="684"/>
      <c r="RFZ79" s="684"/>
      <c r="RGA79" s="684"/>
      <c r="RGB79" s="684"/>
      <c r="RGC79" s="684"/>
      <c r="RGD79" s="684"/>
      <c r="RGE79" s="684"/>
      <c r="RGF79" s="684"/>
      <c r="RGG79" s="684"/>
      <c r="RGH79" s="684"/>
      <c r="RGI79" s="684"/>
      <c r="RGJ79" s="684"/>
      <c r="RGK79" s="684"/>
      <c r="RGL79" s="684"/>
      <c r="RGM79" s="684"/>
      <c r="RGN79" s="684"/>
      <c r="RGO79" s="684"/>
      <c r="RGP79" s="684"/>
      <c r="RGQ79" s="684"/>
      <c r="RGR79" s="684"/>
      <c r="RGS79" s="684"/>
      <c r="RGT79" s="684"/>
      <c r="RGU79" s="684"/>
      <c r="RGV79" s="684"/>
      <c r="RGW79" s="684"/>
      <c r="RGX79" s="684"/>
      <c r="RGY79" s="684"/>
      <c r="RGZ79" s="684"/>
      <c r="RHA79" s="684"/>
      <c r="RHB79" s="684"/>
      <c r="RHC79" s="684"/>
      <c r="RHD79" s="684"/>
      <c r="RHE79" s="684"/>
      <c r="RHF79" s="684"/>
      <c r="RHG79" s="684"/>
      <c r="RHH79" s="684"/>
      <c r="RHI79" s="684"/>
      <c r="RHJ79" s="684"/>
      <c r="RHK79" s="684"/>
      <c r="RHL79" s="684"/>
      <c r="RHM79" s="684"/>
      <c r="RHN79" s="684"/>
      <c r="RHO79" s="684"/>
      <c r="RHP79" s="684"/>
      <c r="RHQ79" s="684"/>
      <c r="RHR79" s="684"/>
      <c r="RHS79" s="684"/>
      <c r="RHT79" s="684"/>
      <c r="RHU79" s="684"/>
      <c r="RHV79" s="684"/>
      <c r="RHW79" s="684"/>
      <c r="RHX79" s="684"/>
      <c r="RHY79" s="684"/>
      <c r="RHZ79" s="684"/>
      <c r="RIA79" s="684"/>
      <c r="RIB79" s="684"/>
      <c r="RIC79" s="684"/>
      <c r="RID79" s="684"/>
      <c r="RIE79" s="684"/>
      <c r="RIF79" s="684"/>
      <c r="RIG79" s="684"/>
      <c r="RIH79" s="684"/>
      <c r="RII79" s="684"/>
      <c r="RIJ79" s="684"/>
      <c r="RIK79" s="684"/>
      <c r="RIL79" s="684"/>
      <c r="RIM79" s="684"/>
      <c r="RIN79" s="684"/>
      <c r="RIO79" s="684"/>
      <c r="RIP79" s="684"/>
      <c r="RIQ79" s="684"/>
      <c r="RIR79" s="684"/>
      <c r="RIS79" s="684"/>
      <c r="RIT79" s="684"/>
      <c r="RIU79" s="684"/>
      <c r="RIV79" s="684"/>
      <c r="RIW79" s="684"/>
      <c r="RIX79" s="684"/>
      <c r="RIY79" s="684"/>
      <c r="RIZ79" s="684"/>
      <c r="RJA79" s="684"/>
      <c r="RJB79" s="684"/>
      <c r="RJC79" s="684"/>
      <c r="RJD79" s="684"/>
      <c r="RJE79" s="684"/>
      <c r="RJF79" s="684"/>
      <c r="RJG79" s="684"/>
      <c r="RJH79" s="684"/>
      <c r="RJI79" s="684"/>
      <c r="RJJ79" s="684"/>
      <c r="RJK79" s="684"/>
      <c r="RJL79" s="684"/>
      <c r="RJM79" s="684"/>
      <c r="RJN79" s="684"/>
      <c r="RJO79" s="684"/>
      <c r="RJP79" s="684"/>
      <c r="RJQ79" s="684"/>
      <c r="RJR79" s="684"/>
      <c r="RJS79" s="684"/>
      <c r="RJT79" s="684"/>
      <c r="RJU79" s="684"/>
      <c r="RJV79" s="684"/>
      <c r="RJW79" s="684"/>
      <c r="RJX79" s="684"/>
      <c r="RJY79" s="684"/>
      <c r="RJZ79" s="684"/>
      <c r="RKA79" s="684"/>
      <c r="RKB79" s="684"/>
      <c r="RKC79" s="684"/>
      <c r="RKD79" s="684"/>
      <c r="RKE79" s="684"/>
      <c r="RKF79" s="684"/>
      <c r="RKG79" s="684"/>
      <c r="RKH79" s="684"/>
      <c r="RKI79" s="684"/>
      <c r="RKJ79" s="684"/>
      <c r="RKK79" s="684"/>
      <c r="RKL79" s="684"/>
      <c r="RKM79" s="684"/>
      <c r="RKN79" s="684"/>
      <c r="RKO79" s="684"/>
      <c r="RKP79" s="684"/>
      <c r="RKQ79" s="684"/>
      <c r="RKR79" s="684"/>
      <c r="RKS79" s="684"/>
      <c r="RKT79" s="684"/>
      <c r="RKU79" s="684"/>
      <c r="RKV79" s="684"/>
      <c r="RKW79" s="684"/>
      <c r="RKX79" s="684"/>
      <c r="RKY79" s="684"/>
      <c r="RKZ79" s="684"/>
      <c r="RLA79" s="684"/>
      <c r="RLB79" s="684"/>
      <c r="RLC79" s="684"/>
      <c r="RLD79" s="684"/>
      <c r="RLE79" s="684"/>
      <c r="RLF79" s="684"/>
      <c r="RLG79" s="684"/>
      <c r="RLH79" s="684"/>
      <c r="RLI79" s="684"/>
      <c r="RLJ79" s="684"/>
      <c r="RLK79" s="684"/>
      <c r="RLL79" s="684"/>
      <c r="RLM79" s="684"/>
      <c r="RLN79" s="684"/>
      <c r="RLO79" s="684"/>
      <c r="RLP79" s="684"/>
      <c r="RLQ79" s="684"/>
      <c r="RLR79" s="684"/>
      <c r="RLS79" s="684"/>
      <c r="RLT79" s="684"/>
      <c r="RLU79" s="684"/>
      <c r="RLV79" s="684"/>
      <c r="RLW79" s="684"/>
      <c r="RLX79" s="684"/>
      <c r="RLY79" s="684"/>
      <c r="RLZ79" s="684"/>
      <c r="RMA79" s="684"/>
      <c r="RMB79" s="684"/>
      <c r="RMC79" s="684"/>
      <c r="RMD79" s="684"/>
      <c r="RME79" s="684"/>
      <c r="RMF79" s="684"/>
      <c r="RMG79" s="684"/>
      <c r="RMH79" s="684"/>
      <c r="RMI79" s="684"/>
      <c r="RMJ79" s="684"/>
      <c r="RMK79" s="684"/>
      <c r="RML79" s="684"/>
      <c r="RMM79" s="684"/>
      <c r="RMN79" s="684"/>
      <c r="RMO79" s="684"/>
      <c r="RMP79" s="684"/>
      <c r="RMQ79" s="684"/>
      <c r="RMR79" s="684"/>
      <c r="RMS79" s="684"/>
      <c r="RMT79" s="684"/>
      <c r="RMU79" s="684"/>
      <c r="RMV79" s="684"/>
      <c r="RMW79" s="684"/>
      <c r="RMX79" s="684"/>
      <c r="RMY79" s="684"/>
      <c r="RMZ79" s="684"/>
      <c r="RNA79" s="684"/>
      <c r="RNB79" s="684"/>
      <c r="RNC79" s="684"/>
      <c r="RND79" s="684"/>
      <c r="RNE79" s="684"/>
      <c r="RNF79" s="684"/>
      <c r="RNG79" s="684"/>
      <c r="RNH79" s="684"/>
      <c r="RNI79" s="684"/>
      <c r="RNJ79" s="684"/>
      <c r="RNK79" s="684"/>
      <c r="RNL79" s="684"/>
      <c r="RNM79" s="684"/>
      <c r="RNN79" s="684"/>
      <c r="RNO79" s="684"/>
      <c r="RNP79" s="684"/>
      <c r="RNQ79" s="684"/>
      <c r="RNR79" s="684"/>
      <c r="RNS79" s="684"/>
      <c r="RNT79" s="684"/>
      <c r="RNU79" s="684"/>
      <c r="RNV79" s="684"/>
      <c r="RNW79" s="684"/>
      <c r="RNX79" s="684"/>
      <c r="RNY79" s="684"/>
      <c r="RNZ79" s="684"/>
      <c r="ROA79" s="684"/>
      <c r="ROB79" s="684"/>
      <c r="ROC79" s="684"/>
      <c r="ROD79" s="684"/>
      <c r="ROE79" s="684"/>
      <c r="ROF79" s="684"/>
      <c r="ROG79" s="684"/>
      <c r="ROH79" s="684"/>
      <c r="ROI79" s="684"/>
      <c r="ROJ79" s="684"/>
      <c r="ROK79" s="684"/>
      <c r="ROL79" s="684"/>
      <c r="ROM79" s="684"/>
      <c r="RON79" s="684"/>
      <c r="ROO79" s="684"/>
      <c r="ROP79" s="684"/>
      <c r="ROQ79" s="684"/>
      <c r="ROR79" s="684"/>
      <c r="ROS79" s="684"/>
      <c r="ROT79" s="684"/>
      <c r="ROU79" s="684"/>
      <c r="ROV79" s="684"/>
      <c r="ROW79" s="684"/>
      <c r="ROX79" s="684"/>
      <c r="ROY79" s="684"/>
      <c r="ROZ79" s="684"/>
      <c r="RPA79" s="684"/>
      <c r="RPB79" s="684"/>
      <c r="RPC79" s="684"/>
      <c r="RPD79" s="684"/>
      <c r="RPE79" s="684"/>
      <c r="RPF79" s="684"/>
      <c r="RPG79" s="684"/>
      <c r="RPH79" s="684"/>
      <c r="RPI79" s="684"/>
      <c r="RPJ79" s="684"/>
      <c r="RPK79" s="684"/>
      <c r="RPL79" s="684"/>
      <c r="RPM79" s="684"/>
      <c r="RPN79" s="684"/>
      <c r="RPO79" s="684"/>
      <c r="RPP79" s="684"/>
      <c r="RPQ79" s="684"/>
      <c r="RPR79" s="684"/>
      <c r="RPS79" s="684"/>
      <c r="RPT79" s="684"/>
      <c r="RPU79" s="684"/>
      <c r="RPV79" s="684"/>
      <c r="RPW79" s="684"/>
      <c r="RPX79" s="684"/>
      <c r="RPY79" s="684"/>
      <c r="RPZ79" s="684"/>
      <c r="RQA79" s="684"/>
      <c r="RQB79" s="684"/>
      <c r="RQC79" s="684"/>
      <c r="RQD79" s="684"/>
      <c r="RQE79" s="684"/>
      <c r="RQF79" s="684"/>
      <c r="RQG79" s="684"/>
      <c r="RQH79" s="684"/>
      <c r="RQI79" s="684"/>
      <c r="RQJ79" s="684"/>
      <c r="RQK79" s="684"/>
      <c r="RQL79" s="684"/>
      <c r="RQM79" s="684"/>
      <c r="RQN79" s="684"/>
      <c r="RQO79" s="684"/>
      <c r="RQP79" s="684"/>
      <c r="RQQ79" s="684"/>
      <c r="RQR79" s="684"/>
      <c r="RQS79" s="684"/>
      <c r="RQT79" s="684"/>
      <c r="RQU79" s="684"/>
      <c r="RQV79" s="684"/>
      <c r="RQW79" s="684"/>
      <c r="RQX79" s="684"/>
      <c r="RQY79" s="684"/>
      <c r="RQZ79" s="684"/>
      <c r="RRA79" s="684"/>
      <c r="RRB79" s="684"/>
      <c r="RRC79" s="684"/>
      <c r="RRD79" s="684"/>
      <c r="RRE79" s="684"/>
      <c r="RRF79" s="684"/>
      <c r="RRG79" s="684"/>
      <c r="RRH79" s="684"/>
      <c r="RRI79" s="684"/>
      <c r="RRJ79" s="684"/>
      <c r="RRK79" s="684"/>
      <c r="RRL79" s="684"/>
      <c r="RRM79" s="684"/>
      <c r="RRN79" s="684"/>
      <c r="RRO79" s="684"/>
      <c r="RRP79" s="684"/>
      <c r="RRQ79" s="684"/>
      <c r="RRR79" s="684"/>
      <c r="RRS79" s="684"/>
      <c r="RRT79" s="684"/>
      <c r="RRU79" s="684"/>
      <c r="RRV79" s="684"/>
      <c r="RRW79" s="684"/>
      <c r="RRX79" s="684"/>
      <c r="RRY79" s="684"/>
      <c r="RRZ79" s="684"/>
      <c r="RSA79" s="684"/>
      <c r="RSB79" s="684"/>
      <c r="RSC79" s="684"/>
      <c r="RSD79" s="684"/>
      <c r="RSE79" s="684"/>
      <c r="RSF79" s="684"/>
      <c r="RSG79" s="684"/>
      <c r="RSH79" s="684"/>
      <c r="RSI79" s="684"/>
      <c r="RSJ79" s="684"/>
      <c r="RSK79" s="684"/>
      <c r="RSL79" s="684"/>
      <c r="RSM79" s="684"/>
      <c r="RSN79" s="684"/>
      <c r="RSO79" s="684"/>
      <c r="RSP79" s="684"/>
      <c r="RSQ79" s="684"/>
      <c r="RSR79" s="684"/>
      <c r="RSS79" s="684"/>
      <c r="RST79" s="684"/>
      <c r="RSU79" s="684"/>
      <c r="RSV79" s="684"/>
      <c r="RSW79" s="684"/>
      <c r="RSX79" s="684"/>
      <c r="RSY79" s="684"/>
      <c r="RSZ79" s="684"/>
      <c r="RTA79" s="684"/>
      <c r="RTB79" s="684"/>
      <c r="RTC79" s="684"/>
      <c r="RTD79" s="684"/>
      <c r="RTE79" s="684"/>
      <c r="RTF79" s="684"/>
      <c r="RTG79" s="684"/>
      <c r="RTH79" s="684"/>
      <c r="RTI79" s="684"/>
      <c r="RTJ79" s="684"/>
      <c r="RTK79" s="684"/>
      <c r="RTL79" s="684"/>
      <c r="RTM79" s="684"/>
      <c r="RTN79" s="684"/>
      <c r="RTO79" s="684"/>
      <c r="RTP79" s="684"/>
      <c r="RTQ79" s="684"/>
      <c r="RTR79" s="684"/>
      <c r="RTS79" s="684"/>
      <c r="RTT79" s="684"/>
      <c r="RTU79" s="684"/>
      <c r="RTV79" s="684"/>
      <c r="RTW79" s="684"/>
      <c r="RTX79" s="684"/>
      <c r="RTY79" s="684"/>
      <c r="RTZ79" s="684"/>
      <c r="RUA79" s="684"/>
      <c r="RUB79" s="684"/>
      <c r="RUC79" s="684"/>
      <c r="RUD79" s="684"/>
      <c r="RUE79" s="684"/>
      <c r="RUF79" s="684"/>
      <c r="RUG79" s="684"/>
      <c r="RUH79" s="684"/>
      <c r="RUI79" s="684"/>
      <c r="RUJ79" s="684"/>
      <c r="RUK79" s="684"/>
      <c r="RUL79" s="684"/>
      <c r="RUM79" s="684"/>
      <c r="RUN79" s="684"/>
      <c r="RUO79" s="684"/>
      <c r="RUP79" s="684"/>
      <c r="RUQ79" s="684"/>
      <c r="RUR79" s="684"/>
      <c r="RUS79" s="684"/>
      <c r="RUT79" s="684"/>
      <c r="RUU79" s="684"/>
      <c r="RUV79" s="684"/>
      <c r="RUW79" s="684"/>
      <c r="RUX79" s="684"/>
      <c r="RUY79" s="684"/>
      <c r="RUZ79" s="684"/>
      <c r="RVA79" s="684"/>
      <c r="RVB79" s="684"/>
      <c r="RVC79" s="684"/>
      <c r="RVD79" s="684"/>
      <c r="RVE79" s="684"/>
      <c r="RVF79" s="684"/>
      <c r="RVG79" s="684"/>
      <c r="RVH79" s="684"/>
      <c r="RVI79" s="684"/>
      <c r="RVJ79" s="684"/>
      <c r="RVK79" s="684"/>
      <c r="RVL79" s="684"/>
      <c r="RVM79" s="684"/>
      <c r="RVN79" s="684"/>
      <c r="RVO79" s="684"/>
      <c r="RVP79" s="684"/>
      <c r="RVQ79" s="684"/>
      <c r="RVR79" s="684"/>
      <c r="RVS79" s="684"/>
      <c r="RVT79" s="684"/>
      <c r="RVU79" s="684"/>
      <c r="RVV79" s="684"/>
      <c r="RVW79" s="684"/>
      <c r="RVX79" s="684"/>
      <c r="RVY79" s="684"/>
      <c r="RVZ79" s="684"/>
      <c r="RWA79" s="684"/>
      <c r="RWB79" s="684"/>
      <c r="RWC79" s="684"/>
      <c r="RWD79" s="684"/>
      <c r="RWE79" s="684"/>
      <c r="RWF79" s="684"/>
      <c r="RWG79" s="684"/>
      <c r="RWH79" s="684"/>
      <c r="RWI79" s="684"/>
      <c r="RWJ79" s="684"/>
      <c r="RWK79" s="684"/>
      <c r="RWL79" s="684"/>
      <c r="RWM79" s="684"/>
      <c r="RWN79" s="684"/>
      <c r="RWO79" s="684"/>
      <c r="RWP79" s="684"/>
      <c r="RWQ79" s="684"/>
      <c r="RWR79" s="684"/>
      <c r="RWS79" s="684"/>
      <c r="RWT79" s="684"/>
      <c r="RWU79" s="684"/>
      <c r="RWV79" s="684"/>
      <c r="RWW79" s="684"/>
      <c r="RWX79" s="684"/>
      <c r="RWY79" s="684"/>
      <c r="RWZ79" s="684"/>
      <c r="RXA79" s="684"/>
      <c r="RXB79" s="684"/>
      <c r="RXC79" s="684"/>
      <c r="RXD79" s="684"/>
      <c r="RXE79" s="684"/>
      <c r="RXF79" s="684"/>
      <c r="RXG79" s="684"/>
      <c r="RXH79" s="684"/>
      <c r="RXI79" s="684"/>
      <c r="RXJ79" s="684"/>
      <c r="RXK79" s="684"/>
      <c r="RXL79" s="684"/>
      <c r="RXM79" s="684"/>
      <c r="RXN79" s="684"/>
      <c r="RXO79" s="684"/>
      <c r="RXP79" s="684"/>
      <c r="RXQ79" s="684"/>
      <c r="RXR79" s="684"/>
      <c r="RXS79" s="684"/>
      <c r="RXT79" s="684"/>
      <c r="RXU79" s="684"/>
      <c r="RXV79" s="684"/>
      <c r="RXW79" s="684"/>
      <c r="RXX79" s="684"/>
      <c r="RXY79" s="684"/>
      <c r="RXZ79" s="684"/>
      <c r="RYA79" s="684"/>
      <c r="RYB79" s="684"/>
      <c r="RYC79" s="684"/>
      <c r="RYD79" s="684"/>
      <c r="RYE79" s="684"/>
      <c r="RYF79" s="684"/>
      <c r="RYG79" s="684"/>
      <c r="RYH79" s="684"/>
      <c r="RYI79" s="684"/>
      <c r="RYJ79" s="684"/>
      <c r="RYK79" s="684"/>
      <c r="RYL79" s="684"/>
      <c r="RYM79" s="684"/>
      <c r="RYN79" s="684"/>
      <c r="RYO79" s="684"/>
      <c r="RYP79" s="684"/>
      <c r="RYQ79" s="684"/>
      <c r="RYR79" s="684"/>
      <c r="RYS79" s="684"/>
      <c r="RYT79" s="684"/>
      <c r="RYU79" s="684"/>
      <c r="RYV79" s="684"/>
      <c r="RYW79" s="684"/>
      <c r="RYX79" s="684"/>
      <c r="RYY79" s="684"/>
      <c r="RYZ79" s="684"/>
      <c r="RZA79" s="684"/>
      <c r="RZB79" s="684"/>
      <c r="RZC79" s="684"/>
      <c r="RZD79" s="684"/>
      <c r="RZE79" s="684"/>
      <c r="RZF79" s="684"/>
      <c r="RZG79" s="684"/>
      <c r="RZH79" s="684"/>
      <c r="RZI79" s="684"/>
      <c r="RZJ79" s="684"/>
      <c r="RZK79" s="684"/>
      <c r="RZL79" s="684"/>
      <c r="RZM79" s="684"/>
      <c r="RZN79" s="684"/>
      <c r="RZO79" s="684"/>
      <c r="RZP79" s="684"/>
      <c r="RZQ79" s="684"/>
      <c r="RZR79" s="684"/>
      <c r="RZS79" s="684"/>
      <c r="RZT79" s="684"/>
      <c r="RZU79" s="684"/>
      <c r="RZV79" s="684"/>
      <c r="RZW79" s="684"/>
      <c r="RZX79" s="684"/>
      <c r="RZY79" s="684"/>
      <c r="RZZ79" s="684"/>
      <c r="SAA79" s="684"/>
      <c r="SAB79" s="684"/>
      <c r="SAC79" s="684"/>
      <c r="SAD79" s="684"/>
      <c r="SAE79" s="684"/>
      <c r="SAF79" s="684"/>
      <c r="SAG79" s="684"/>
      <c r="SAH79" s="684"/>
      <c r="SAI79" s="684"/>
      <c r="SAJ79" s="684"/>
      <c r="SAK79" s="684"/>
      <c r="SAL79" s="684"/>
      <c r="SAM79" s="684"/>
      <c r="SAN79" s="684"/>
      <c r="SAO79" s="684"/>
      <c r="SAP79" s="684"/>
      <c r="SAQ79" s="684"/>
      <c r="SAR79" s="684"/>
      <c r="SAS79" s="684"/>
      <c r="SAT79" s="684"/>
      <c r="SAU79" s="684"/>
      <c r="SAV79" s="684"/>
      <c r="SAW79" s="684"/>
      <c r="SAX79" s="684"/>
      <c r="SAY79" s="684"/>
      <c r="SAZ79" s="684"/>
      <c r="SBA79" s="684"/>
      <c r="SBB79" s="684"/>
      <c r="SBC79" s="684"/>
      <c r="SBD79" s="684"/>
      <c r="SBE79" s="684"/>
      <c r="SBF79" s="684"/>
      <c r="SBG79" s="684"/>
      <c r="SBH79" s="684"/>
      <c r="SBI79" s="684"/>
      <c r="SBJ79" s="684"/>
      <c r="SBK79" s="684"/>
      <c r="SBL79" s="684"/>
      <c r="SBM79" s="684"/>
      <c r="SBN79" s="684"/>
      <c r="SBO79" s="684"/>
      <c r="SBP79" s="684"/>
      <c r="SBQ79" s="684"/>
      <c r="SBR79" s="684"/>
      <c r="SBS79" s="684"/>
      <c r="SBT79" s="684"/>
      <c r="SBU79" s="684"/>
      <c r="SBV79" s="684"/>
      <c r="SBW79" s="684"/>
      <c r="SBX79" s="684"/>
      <c r="SBY79" s="684"/>
      <c r="SBZ79" s="684"/>
      <c r="SCA79" s="684"/>
      <c r="SCB79" s="684"/>
      <c r="SCC79" s="684"/>
      <c r="SCD79" s="684"/>
      <c r="SCE79" s="684"/>
      <c r="SCF79" s="684"/>
      <c r="SCG79" s="684"/>
      <c r="SCH79" s="684"/>
      <c r="SCI79" s="684"/>
      <c r="SCJ79" s="684"/>
      <c r="SCK79" s="684"/>
      <c r="SCL79" s="684"/>
      <c r="SCM79" s="684"/>
      <c r="SCN79" s="684"/>
      <c r="SCO79" s="684"/>
      <c r="SCP79" s="684"/>
      <c r="SCQ79" s="684"/>
      <c r="SCR79" s="684"/>
      <c r="SCS79" s="684"/>
      <c r="SCT79" s="684"/>
      <c r="SCU79" s="684"/>
      <c r="SCV79" s="684"/>
      <c r="SCW79" s="684"/>
      <c r="SCX79" s="684"/>
      <c r="SCY79" s="684"/>
      <c r="SCZ79" s="684"/>
      <c r="SDA79" s="684"/>
      <c r="SDB79" s="684"/>
      <c r="SDC79" s="684"/>
      <c r="SDD79" s="684"/>
      <c r="SDE79" s="684"/>
      <c r="SDF79" s="684"/>
      <c r="SDG79" s="684"/>
      <c r="SDH79" s="684"/>
      <c r="SDI79" s="684"/>
      <c r="SDJ79" s="684"/>
      <c r="SDK79" s="684"/>
      <c r="SDL79" s="684"/>
      <c r="SDM79" s="684"/>
      <c r="SDN79" s="684"/>
      <c r="SDO79" s="684"/>
      <c r="SDP79" s="684"/>
      <c r="SDQ79" s="684"/>
      <c r="SDR79" s="684"/>
      <c r="SDS79" s="684"/>
      <c r="SDT79" s="684"/>
      <c r="SDU79" s="684"/>
      <c r="SDV79" s="684"/>
      <c r="SDW79" s="684"/>
      <c r="SDX79" s="684"/>
      <c r="SDY79" s="684"/>
      <c r="SDZ79" s="684"/>
      <c r="SEA79" s="684"/>
      <c r="SEB79" s="684"/>
      <c r="SEC79" s="684"/>
      <c r="SED79" s="684"/>
      <c r="SEE79" s="684"/>
      <c r="SEF79" s="684"/>
      <c r="SEG79" s="684"/>
      <c r="SEH79" s="684"/>
      <c r="SEI79" s="684"/>
      <c r="SEJ79" s="684"/>
      <c r="SEK79" s="684"/>
      <c r="SEL79" s="684"/>
      <c r="SEM79" s="684"/>
      <c r="SEN79" s="684"/>
      <c r="SEO79" s="684"/>
      <c r="SEP79" s="684"/>
      <c r="SEQ79" s="684"/>
      <c r="SER79" s="684"/>
      <c r="SES79" s="684"/>
      <c r="SET79" s="684"/>
      <c r="SEU79" s="684"/>
      <c r="SEV79" s="684"/>
      <c r="SEW79" s="684"/>
      <c r="SEX79" s="684"/>
      <c r="SEY79" s="684"/>
      <c r="SEZ79" s="684"/>
      <c r="SFA79" s="684"/>
      <c r="SFB79" s="684"/>
      <c r="SFC79" s="684"/>
      <c r="SFD79" s="684"/>
      <c r="SFE79" s="684"/>
      <c r="SFF79" s="684"/>
      <c r="SFG79" s="684"/>
      <c r="SFH79" s="684"/>
      <c r="SFI79" s="684"/>
      <c r="SFJ79" s="684"/>
      <c r="SFK79" s="684"/>
      <c r="SFL79" s="684"/>
      <c r="SFM79" s="684"/>
      <c r="SFN79" s="684"/>
      <c r="SFO79" s="684"/>
      <c r="SFP79" s="684"/>
      <c r="SFQ79" s="684"/>
      <c r="SFR79" s="684"/>
      <c r="SFS79" s="684"/>
      <c r="SFT79" s="684"/>
      <c r="SFU79" s="684"/>
      <c r="SFV79" s="684"/>
      <c r="SFW79" s="684"/>
      <c r="SFX79" s="684"/>
      <c r="SFY79" s="684"/>
      <c r="SFZ79" s="684"/>
      <c r="SGA79" s="684"/>
      <c r="SGB79" s="684"/>
      <c r="SGC79" s="684"/>
      <c r="SGD79" s="684"/>
      <c r="SGE79" s="684"/>
      <c r="SGF79" s="684"/>
      <c r="SGG79" s="684"/>
      <c r="SGH79" s="684"/>
      <c r="SGI79" s="684"/>
      <c r="SGJ79" s="684"/>
      <c r="SGK79" s="684"/>
      <c r="SGL79" s="684"/>
      <c r="SGM79" s="684"/>
      <c r="SGN79" s="684"/>
      <c r="SGO79" s="684"/>
      <c r="SGP79" s="684"/>
      <c r="SGQ79" s="684"/>
      <c r="SGR79" s="684"/>
      <c r="SGS79" s="684"/>
      <c r="SGT79" s="684"/>
      <c r="SGU79" s="684"/>
      <c r="SGV79" s="684"/>
      <c r="SGW79" s="684"/>
      <c r="SGX79" s="684"/>
      <c r="SGY79" s="684"/>
      <c r="SGZ79" s="684"/>
      <c r="SHA79" s="684"/>
      <c r="SHB79" s="684"/>
      <c r="SHC79" s="684"/>
      <c r="SHD79" s="684"/>
      <c r="SHE79" s="684"/>
      <c r="SHF79" s="684"/>
      <c r="SHG79" s="684"/>
      <c r="SHH79" s="684"/>
      <c r="SHI79" s="684"/>
      <c r="SHJ79" s="684"/>
      <c r="SHK79" s="684"/>
      <c r="SHL79" s="684"/>
      <c r="SHM79" s="684"/>
      <c r="SHN79" s="684"/>
      <c r="SHO79" s="684"/>
      <c r="SHP79" s="684"/>
      <c r="SHQ79" s="684"/>
      <c r="SHR79" s="684"/>
      <c r="SHS79" s="684"/>
      <c r="SHT79" s="684"/>
      <c r="SHU79" s="684"/>
      <c r="SHV79" s="684"/>
      <c r="SHW79" s="684"/>
      <c r="SHX79" s="684"/>
      <c r="SHY79" s="684"/>
      <c r="SHZ79" s="684"/>
      <c r="SIA79" s="684"/>
      <c r="SIB79" s="684"/>
      <c r="SIC79" s="684"/>
      <c r="SID79" s="684"/>
      <c r="SIE79" s="684"/>
      <c r="SIF79" s="684"/>
      <c r="SIG79" s="684"/>
      <c r="SIH79" s="684"/>
      <c r="SII79" s="684"/>
      <c r="SIJ79" s="684"/>
      <c r="SIK79" s="684"/>
      <c r="SIL79" s="684"/>
      <c r="SIM79" s="684"/>
      <c r="SIN79" s="684"/>
      <c r="SIO79" s="684"/>
      <c r="SIP79" s="684"/>
      <c r="SIQ79" s="684"/>
      <c r="SIR79" s="684"/>
      <c r="SIS79" s="684"/>
      <c r="SIT79" s="684"/>
      <c r="SIU79" s="684"/>
      <c r="SIV79" s="684"/>
      <c r="SIW79" s="684"/>
      <c r="SIX79" s="684"/>
      <c r="SIY79" s="684"/>
      <c r="SIZ79" s="684"/>
      <c r="SJA79" s="684"/>
      <c r="SJB79" s="684"/>
      <c r="SJC79" s="684"/>
      <c r="SJD79" s="684"/>
      <c r="SJE79" s="684"/>
      <c r="SJF79" s="684"/>
      <c r="SJG79" s="684"/>
      <c r="SJH79" s="684"/>
      <c r="SJI79" s="684"/>
      <c r="SJJ79" s="684"/>
      <c r="SJK79" s="684"/>
      <c r="SJL79" s="684"/>
      <c r="SJM79" s="684"/>
      <c r="SJN79" s="684"/>
      <c r="SJO79" s="684"/>
      <c r="SJP79" s="684"/>
      <c r="SJQ79" s="684"/>
      <c r="SJR79" s="684"/>
      <c r="SJS79" s="684"/>
      <c r="SJT79" s="684"/>
      <c r="SJU79" s="684"/>
      <c r="SJV79" s="684"/>
      <c r="SJW79" s="684"/>
      <c r="SJX79" s="684"/>
      <c r="SJY79" s="684"/>
      <c r="SJZ79" s="684"/>
      <c r="SKA79" s="684"/>
      <c r="SKB79" s="684"/>
      <c r="SKC79" s="684"/>
      <c r="SKD79" s="684"/>
      <c r="SKE79" s="684"/>
      <c r="SKF79" s="684"/>
      <c r="SKG79" s="684"/>
      <c r="SKH79" s="684"/>
      <c r="SKI79" s="684"/>
      <c r="SKJ79" s="684"/>
      <c r="SKK79" s="684"/>
      <c r="SKL79" s="684"/>
      <c r="SKM79" s="684"/>
      <c r="SKN79" s="684"/>
      <c r="SKO79" s="684"/>
      <c r="SKP79" s="684"/>
      <c r="SKQ79" s="684"/>
      <c r="SKR79" s="684"/>
      <c r="SKS79" s="684"/>
      <c r="SKT79" s="684"/>
      <c r="SKU79" s="684"/>
      <c r="SKV79" s="684"/>
      <c r="SKW79" s="684"/>
      <c r="SKX79" s="684"/>
      <c r="SKY79" s="684"/>
      <c r="SKZ79" s="684"/>
      <c r="SLA79" s="684"/>
      <c r="SLB79" s="684"/>
      <c r="SLC79" s="684"/>
      <c r="SLD79" s="684"/>
      <c r="SLE79" s="684"/>
      <c r="SLF79" s="684"/>
      <c r="SLG79" s="684"/>
      <c r="SLH79" s="684"/>
      <c r="SLI79" s="684"/>
      <c r="SLJ79" s="684"/>
      <c r="SLK79" s="684"/>
      <c r="SLL79" s="684"/>
      <c r="SLM79" s="684"/>
      <c r="SLN79" s="684"/>
      <c r="SLO79" s="684"/>
      <c r="SLP79" s="684"/>
      <c r="SLQ79" s="684"/>
      <c r="SLR79" s="684"/>
      <c r="SLS79" s="684"/>
      <c r="SLT79" s="684"/>
      <c r="SLU79" s="684"/>
      <c r="SLV79" s="684"/>
      <c r="SLW79" s="684"/>
      <c r="SLX79" s="684"/>
      <c r="SLY79" s="684"/>
      <c r="SLZ79" s="684"/>
      <c r="SMA79" s="684"/>
      <c r="SMB79" s="684"/>
      <c r="SMC79" s="684"/>
      <c r="SMD79" s="684"/>
      <c r="SME79" s="684"/>
      <c r="SMF79" s="684"/>
      <c r="SMG79" s="684"/>
      <c r="SMH79" s="684"/>
      <c r="SMI79" s="684"/>
      <c r="SMJ79" s="684"/>
      <c r="SMK79" s="684"/>
      <c r="SML79" s="684"/>
      <c r="SMM79" s="684"/>
      <c r="SMN79" s="684"/>
      <c r="SMO79" s="684"/>
      <c r="SMP79" s="684"/>
      <c r="SMQ79" s="684"/>
      <c r="SMR79" s="684"/>
      <c r="SMS79" s="684"/>
      <c r="SMT79" s="684"/>
      <c r="SMU79" s="684"/>
      <c r="SMV79" s="684"/>
      <c r="SMW79" s="684"/>
      <c r="SMX79" s="684"/>
      <c r="SMY79" s="684"/>
      <c r="SMZ79" s="684"/>
      <c r="SNA79" s="684"/>
      <c r="SNB79" s="684"/>
      <c r="SNC79" s="684"/>
      <c r="SND79" s="684"/>
      <c r="SNE79" s="684"/>
      <c r="SNF79" s="684"/>
      <c r="SNG79" s="684"/>
      <c r="SNH79" s="684"/>
      <c r="SNI79" s="684"/>
      <c r="SNJ79" s="684"/>
      <c r="SNK79" s="684"/>
      <c r="SNL79" s="684"/>
      <c r="SNM79" s="684"/>
      <c r="SNN79" s="684"/>
      <c r="SNO79" s="684"/>
      <c r="SNP79" s="684"/>
      <c r="SNQ79" s="684"/>
      <c r="SNR79" s="684"/>
      <c r="SNS79" s="684"/>
      <c r="SNT79" s="684"/>
      <c r="SNU79" s="684"/>
      <c r="SNV79" s="684"/>
      <c r="SNW79" s="684"/>
      <c r="SNX79" s="684"/>
      <c r="SNY79" s="684"/>
      <c r="SNZ79" s="684"/>
      <c r="SOA79" s="684"/>
      <c r="SOB79" s="684"/>
      <c r="SOC79" s="684"/>
      <c r="SOD79" s="684"/>
      <c r="SOE79" s="684"/>
      <c r="SOF79" s="684"/>
      <c r="SOG79" s="684"/>
      <c r="SOH79" s="684"/>
      <c r="SOI79" s="684"/>
      <c r="SOJ79" s="684"/>
      <c r="SOK79" s="684"/>
      <c r="SOL79" s="684"/>
      <c r="SOM79" s="684"/>
      <c r="SON79" s="684"/>
      <c r="SOO79" s="684"/>
      <c r="SOP79" s="684"/>
      <c r="SOQ79" s="684"/>
      <c r="SOR79" s="684"/>
      <c r="SOS79" s="684"/>
      <c r="SOT79" s="684"/>
      <c r="SOU79" s="684"/>
      <c r="SOV79" s="684"/>
      <c r="SOW79" s="684"/>
      <c r="SOX79" s="684"/>
      <c r="SOY79" s="684"/>
      <c r="SOZ79" s="684"/>
      <c r="SPA79" s="684"/>
      <c r="SPB79" s="684"/>
      <c r="SPC79" s="684"/>
      <c r="SPD79" s="684"/>
      <c r="SPE79" s="684"/>
      <c r="SPF79" s="684"/>
      <c r="SPG79" s="684"/>
      <c r="SPH79" s="684"/>
      <c r="SPI79" s="684"/>
      <c r="SPJ79" s="684"/>
      <c r="SPK79" s="684"/>
      <c r="SPL79" s="684"/>
      <c r="SPM79" s="684"/>
      <c r="SPN79" s="684"/>
      <c r="SPO79" s="684"/>
      <c r="SPP79" s="684"/>
      <c r="SPQ79" s="684"/>
      <c r="SPR79" s="684"/>
      <c r="SPS79" s="684"/>
      <c r="SPT79" s="684"/>
      <c r="SPU79" s="684"/>
      <c r="SPV79" s="684"/>
      <c r="SPW79" s="684"/>
      <c r="SPX79" s="684"/>
      <c r="SPY79" s="684"/>
      <c r="SPZ79" s="684"/>
      <c r="SQA79" s="684"/>
      <c r="SQB79" s="684"/>
      <c r="SQC79" s="684"/>
      <c r="SQD79" s="684"/>
      <c r="SQE79" s="684"/>
      <c r="SQF79" s="684"/>
      <c r="SQG79" s="684"/>
      <c r="SQH79" s="684"/>
      <c r="SQI79" s="684"/>
      <c r="SQJ79" s="684"/>
      <c r="SQK79" s="684"/>
      <c r="SQL79" s="684"/>
      <c r="SQM79" s="684"/>
      <c r="SQN79" s="684"/>
      <c r="SQO79" s="684"/>
      <c r="SQP79" s="684"/>
      <c r="SQQ79" s="684"/>
      <c r="SQR79" s="684"/>
      <c r="SQS79" s="684"/>
      <c r="SQT79" s="684"/>
      <c r="SQU79" s="684"/>
      <c r="SQV79" s="684"/>
      <c r="SQW79" s="684"/>
      <c r="SQX79" s="684"/>
      <c r="SQY79" s="684"/>
      <c r="SQZ79" s="684"/>
      <c r="SRA79" s="684"/>
      <c r="SRB79" s="684"/>
      <c r="SRC79" s="684"/>
      <c r="SRD79" s="684"/>
      <c r="SRE79" s="684"/>
      <c r="SRF79" s="684"/>
      <c r="SRG79" s="684"/>
      <c r="SRH79" s="684"/>
      <c r="SRI79" s="684"/>
      <c r="SRJ79" s="684"/>
      <c r="SRK79" s="684"/>
      <c r="SRL79" s="684"/>
      <c r="SRM79" s="684"/>
      <c r="SRN79" s="684"/>
      <c r="SRO79" s="684"/>
      <c r="SRP79" s="684"/>
      <c r="SRQ79" s="684"/>
      <c r="SRR79" s="684"/>
      <c r="SRS79" s="684"/>
      <c r="SRT79" s="684"/>
      <c r="SRU79" s="684"/>
      <c r="SRV79" s="684"/>
      <c r="SRW79" s="684"/>
      <c r="SRX79" s="684"/>
      <c r="SRY79" s="684"/>
      <c r="SRZ79" s="684"/>
      <c r="SSA79" s="684"/>
      <c r="SSB79" s="684"/>
      <c r="SSC79" s="684"/>
      <c r="SSD79" s="684"/>
      <c r="SSE79" s="684"/>
      <c r="SSF79" s="684"/>
      <c r="SSG79" s="684"/>
      <c r="SSH79" s="684"/>
      <c r="SSI79" s="684"/>
      <c r="SSJ79" s="684"/>
      <c r="SSK79" s="684"/>
      <c r="SSL79" s="684"/>
      <c r="SSM79" s="684"/>
      <c r="SSN79" s="684"/>
      <c r="SSO79" s="684"/>
      <c r="SSP79" s="684"/>
      <c r="SSQ79" s="684"/>
      <c r="SSR79" s="684"/>
      <c r="SSS79" s="684"/>
      <c r="SST79" s="684"/>
      <c r="SSU79" s="684"/>
      <c r="SSV79" s="684"/>
      <c r="SSW79" s="684"/>
      <c r="SSX79" s="684"/>
      <c r="SSY79" s="684"/>
      <c r="SSZ79" s="684"/>
      <c r="STA79" s="684"/>
      <c r="STB79" s="684"/>
      <c r="STC79" s="684"/>
      <c r="STD79" s="684"/>
      <c r="STE79" s="684"/>
      <c r="STF79" s="684"/>
      <c r="STG79" s="684"/>
      <c r="STH79" s="684"/>
      <c r="STI79" s="684"/>
      <c r="STJ79" s="684"/>
      <c r="STK79" s="684"/>
      <c r="STL79" s="684"/>
      <c r="STM79" s="684"/>
      <c r="STN79" s="684"/>
      <c r="STO79" s="684"/>
      <c r="STP79" s="684"/>
      <c r="STQ79" s="684"/>
      <c r="STR79" s="684"/>
      <c r="STS79" s="684"/>
      <c r="STT79" s="684"/>
      <c r="STU79" s="684"/>
      <c r="STV79" s="684"/>
      <c r="STW79" s="684"/>
      <c r="STX79" s="684"/>
      <c r="STY79" s="684"/>
      <c r="STZ79" s="684"/>
      <c r="SUA79" s="684"/>
      <c r="SUB79" s="684"/>
      <c r="SUC79" s="684"/>
      <c r="SUD79" s="684"/>
      <c r="SUE79" s="684"/>
      <c r="SUF79" s="684"/>
      <c r="SUG79" s="684"/>
      <c r="SUH79" s="684"/>
      <c r="SUI79" s="684"/>
      <c r="SUJ79" s="684"/>
      <c r="SUK79" s="684"/>
      <c r="SUL79" s="684"/>
      <c r="SUM79" s="684"/>
      <c r="SUN79" s="684"/>
      <c r="SUO79" s="684"/>
      <c r="SUP79" s="684"/>
      <c r="SUQ79" s="684"/>
      <c r="SUR79" s="684"/>
      <c r="SUS79" s="684"/>
      <c r="SUT79" s="684"/>
      <c r="SUU79" s="684"/>
      <c r="SUV79" s="684"/>
      <c r="SUW79" s="684"/>
      <c r="SUX79" s="684"/>
      <c r="SUY79" s="684"/>
      <c r="SUZ79" s="684"/>
      <c r="SVA79" s="684"/>
      <c r="SVB79" s="684"/>
      <c r="SVC79" s="684"/>
      <c r="SVD79" s="684"/>
      <c r="SVE79" s="684"/>
      <c r="SVF79" s="684"/>
      <c r="SVG79" s="684"/>
      <c r="SVH79" s="684"/>
      <c r="SVI79" s="684"/>
      <c r="SVJ79" s="684"/>
      <c r="SVK79" s="684"/>
      <c r="SVL79" s="684"/>
      <c r="SVM79" s="684"/>
      <c r="SVN79" s="684"/>
      <c r="SVO79" s="684"/>
      <c r="SVP79" s="684"/>
      <c r="SVQ79" s="684"/>
      <c r="SVR79" s="684"/>
      <c r="SVS79" s="684"/>
      <c r="SVT79" s="684"/>
      <c r="SVU79" s="684"/>
      <c r="SVV79" s="684"/>
      <c r="SVW79" s="684"/>
      <c r="SVX79" s="684"/>
      <c r="SVY79" s="684"/>
      <c r="SVZ79" s="684"/>
      <c r="SWA79" s="684"/>
      <c r="SWB79" s="684"/>
      <c r="SWC79" s="684"/>
      <c r="SWD79" s="684"/>
      <c r="SWE79" s="684"/>
      <c r="SWF79" s="684"/>
      <c r="SWG79" s="684"/>
      <c r="SWH79" s="684"/>
      <c r="SWI79" s="684"/>
      <c r="SWJ79" s="684"/>
      <c r="SWK79" s="684"/>
      <c r="SWL79" s="684"/>
      <c r="SWM79" s="684"/>
      <c r="SWN79" s="684"/>
      <c r="SWO79" s="684"/>
      <c r="SWP79" s="684"/>
      <c r="SWQ79" s="684"/>
      <c r="SWR79" s="684"/>
      <c r="SWS79" s="684"/>
      <c r="SWT79" s="684"/>
      <c r="SWU79" s="684"/>
      <c r="SWV79" s="684"/>
      <c r="SWW79" s="684"/>
      <c r="SWX79" s="684"/>
      <c r="SWY79" s="684"/>
      <c r="SWZ79" s="684"/>
      <c r="SXA79" s="684"/>
      <c r="SXB79" s="684"/>
      <c r="SXC79" s="684"/>
      <c r="SXD79" s="684"/>
      <c r="SXE79" s="684"/>
      <c r="SXF79" s="684"/>
      <c r="SXG79" s="684"/>
      <c r="SXH79" s="684"/>
      <c r="SXI79" s="684"/>
      <c r="SXJ79" s="684"/>
      <c r="SXK79" s="684"/>
      <c r="SXL79" s="684"/>
      <c r="SXM79" s="684"/>
      <c r="SXN79" s="684"/>
      <c r="SXO79" s="684"/>
      <c r="SXP79" s="684"/>
      <c r="SXQ79" s="684"/>
      <c r="SXR79" s="684"/>
      <c r="SXS79" s="684"/>
      <c r="SXT79" s="684"/>
      <c r="SXU79" s="684"/>
      <c r="SXV79" s="684"/>
      <c r="SXW79" s="684"/>
      <c r="SXX79" s="684"/>
      <c r="SXY79" s="684"/>
      <c r="SXZ79" s="684"/>
      <c r="SYA79" s="684"/>
      <c r="SYB79" s="684"/>
      <c r="SYC79" s="684"/>
      <c r="SYD79" s="684"/>
      <c r="SYE79" s="684"/>
      <c r="SYF79" s="684"/>
      <c r="SYG79" s="684"/>
      <c r="SYH79" s="684"/>
      <c r="SYI79" s="684"/>
      <c r="SYJ79" s="684"/>
      <c r="SYK79" s="684"/>
      <c r="SYL79" s="684"/>
      <c r="SYM79" s="684"/>
      <c r="SYN79" s="684"/>
      <c r="SYO79" s="684"/>
      <c r="SYP79" s="684"/>
      <c r="SYQ79" s="684"/>
      <c r="SYR79" s="684"/>
      <c r="SYS79" s="684"/>
      <c r="SYT79" s="684"/>
      <c r="SYU79" s="684"/>
      <c r="SYV79" s="684"/>
      <c r="SYW79" s="684"/>
      <c r="SYX79" s="684"/>
      <c r="SYY79" s="684"/>
      <c r="SYZ79" s="684"/>
      <c r="SZA79" s="684"/>
      <c r="SZB79" s="684"/>
      <c r="SZC79" s="684"/>
      <c r="SZD79" s="684"/>
      <c r="SZE79" s="684"/>
      <c r="SZF79" s="684"/>
      <c r="SZG79" s="684"/>
      <c r="SZH79" s="684"/>
      <c r="SZI79" s="684"/>
      <c r="SZJ79" s="684"/>
      <c r="SZK79" s="684"/>
      <c r="SZL79" s="684"/>
      <c r="SZM79" s="684"/>
      <c r="SZN79" s="684"/>
      <c r="SZO79" s="684"/>
      <c r="SZP79" s="684"/>
      <c r="SZQ79" s="684"/>
      <c r="SZR79" s="684"/>
      <c r="SZS79" s="684"/>
      <c r="SZT79" s="684"/>
      <c r="SZU79" s="684"/>
      <c r="SZV79" s="684"/>
      <c r="SZW79" s="684"/>
      <c r="SZX79" s="684"/>
      <c r="SZY79" s="684"/>
      <c r="SZZ79" s="684"/>
      <c r="TAA79" s="684"/>
      <c r="TAB79" s="684"/>
      <c r="TAC79" s="684"/>
      <c r="TAD79" s="684"/>
      <c r="TAE79" s="684"/>
      <c r="TAF79" s="684"/>
      <c r="TAG79" s="684"/>
      <c r="TAH79" s="684"/>
      <c r="TAI79" s="684"/>
      <c r="TAJ79" s="684"/>
      <c r="TAK79" s="684"/>
      <c r="TAL79" s="684"/>
      <c r="TAM79" s="684"/>
      <c r="TAN79" s="684"/>
      <c r="TAO79" s="684"/>
      <c r="TAP79" s="684"/>
      <c r="TAQ79" s="684"/>
      <c r="TAR79" s="684"/>
      <c r="TAS79" s="684"/>
      <c r="TAT79" s="684"/>
      <c r="TAU79" s="684"/>
      <c r="TAV79" s="684"/>
      <c r="TAW79" s="684"/>
      <c r="TAX79" s="684"/>
      <c r="TAY79" s="684"/>
      <c r="TAZ79" s="684"/>
      <c r="TBA79" s="684"/>
      <c r="TBB79" s="684"/>
      <c r="TBC79" s="684"/>
      <c r="TBD79" s="684"/>
      <c r="TBE79" s="684"/>
      <c r="TBF79" s="684"/>
      <c r="TBG79" s="684"/>
      <c r="TBH79" s="684"/>
      <c r="TBI79" s="684"/>
      <c r="TBJ79" s="684"/>
      <c r="TBK79" s="684"/>
      <c r="TBL79" s="684"/>
      <c r="TBM79" s="684"/>
      <c r="TBN79" s="684"/>
      <c r="TBO79" s="684"/>
      <c r="TBP79" s="684"/>
      <c r="TBQ79" s="684"/>
      <c r="TBR79" s="684"/>
      <c r="TBS79" s="684"/>
      <c r="TBT79" s="684"/>
      <c r="TBU79" s="684"/>
      <c r="TBV79" s="684"/>
      <c r="TBW79" s="684"/>
      <c r="TBX79" s="684"/>
      <c r="TBY79" s="684"/>
      <c r="TBZ79" s="684"/>
      <c r="TCA79" s="684"/>
      <c r="TCB79" s="684"/>
      <c r="TCC79" s="684"/>
      <c r="TCD79" s="684"/>
      <c r="TCE79" s="684"/>
      <c r="TCF79" s="684"/>
      <c r="TCG79" s="684"/>
      <c r="TCH79" s="684"/>
      <c r="TCI79" s="684"/>
      <c r="TCJ79" s="684"/>
      <c r="TCK79" s="684"/>
      <c r="TCL79" s="684"/>
      <c r="TCM79" s="684"/>
      <c r="TCN79" s="684"/>
      <c r="TCO79" s="684"/>
      <c r="TCP79" s="684"/>
      <c r="TCQ79" s="684"/>
      <c r="TCR79" s="684"/>
      <c r="TCS79" s="684"/>
      <c r="TCT79" s="684"/>
      <c r="TCU79" s="684"/>
      <c r="TCV79" s="684"/>
      <c r="TCW79" s="684"/>
      <c r="TCX79" s="684"/>
      <c r="TCY79" s="684"/>
      <c r="TCZ79" s="684"/>
      <c r="TDA79" s="684"/>
      <c r="TDB79" s="684"/>
      <c r="TDC79" s="684"/>
      <c r="TDD79" s="684"/>
      <c r="TDE79" s="684"/>
      <c r="TDF79" s="684"/>
      <c r="TDG79" s="684"/>
      <c r="TDH79" s="684"/>
      <c r="TDI79" s="684"/>
      <c r="TDJ79" s="684"/>
      <c r="TDK79" s="684"/>
      <c r="TDL79" s="684"/>
      <c r="TDM79" s="684"/>
      <c r="TDN79" s="684"/>
      <c r="TDO79" s="684"/>
      <c r="TDP79" s="684"/>
      <c r="TDQ79" s="684"/>
      <c r="TDR79" s="684"/>
      <c r="TDS79" s="684"/>
      <c r="TDT79" s="684"/>
      <c r="TDU79" s="684"/>
      <c r="TDV79" s="684"/>
      <c r="TDW79" s="684"/>
      <c r="TDX79" s="684"/>
      <c r="TDY79" s="684"/>
      <c r="TDZ79" s="684"/>
      <c r="TEA79" s="684"/>
      <c r="TEB79" s="684"/>
      <c r="TEC79" s="684"/>
      <c r="TED79" s="684"/>
      <c r="TEE79" s="684"/>
      <c r="TEF79" s="684"/>
      <c r="TEG79" s="684"/>
      <c r="TEH79" s="684"/>
      <c r="TEI79" s="684"/>
      <c r="TEJ79" s="684"/>
      <c r="TEK79" s="684"/>
      <c r="TEL79" s="684"/>
      <c r="TEM79" s="684"/>
      <c r="TEN79" s="684"/>
      <c r="TEO79" s="684"/>
      <c r="TEP79" s="684"/>
      <c r="TEQ79" s="684"/>
      <c r="TER79" s="684"/>
      <c r="TES79" s="684"/>
      <c r="TET79" s="684"/>
      <c r="TEU79" s="684"/>
      <c r="TEV79" s="684"/>
      <c r="TEW79" s="684"/>
      <c r="TEX79" s="684"/>
      <c r="TEY79" s="684"/>
      <c r="TEZ79" s="684"/>
      <c r="TFA79" s="684"/>
      <c r="TFB79" s="684"/>
      <c r="TFC79" s="684"/>
      <c r="TFD79" s="684"/>
      <c r="TFE79" s="684"/>
      <c r="TFF79" s="684"/>
      <c r="TFG79" s="684"/>
      <c r="TFH79" s="684"/>
      <c r="TFI79" s="684"/>
      <c r="TFJ79" s="684"/>
      <c r="TFK79" s="684"/>
      <c r="TFL79" s="684"/>
      <c r="TFM79" s="684"/>
      <c r="TFN79" s="684"/>
      <c r="TFO79" s="684"/>
      <c r="TFP79" s="684"/>
      <c r="TFQ79" s="684"/>
      <c r="TFR79" s="684"/>
      <c r="TFS79" s="684"/>
      <c r="TFT79" s="684"/>
      <c r="TFU79" s="684"/>
      <c r="TFV79" s="684"/>
      <c r="TFW79" s="684"/>
      <c r="TFX79" s="684"/>
      <c r="TFY79" s="684"/>
      <c r="TFZ79" s="684"/>
      <c r="TGA79" s="684"/>
      <c r="TGB79" s="684"/>
      <c r="TGC79" s="684"/>
      <c r="TGD79" s="684"/>
      <c r="TGE79" s="684"/>
      <c r="TGF79" s="684"/>
      <c r="TGG79" s="684"/>
      <c r="TGH79" s="684"/>
      <c r="TGI79" s="684"/>
      <c r="TGJ79" s="684"/>
      <c r="TGK79" s="684"/>
      <c r="TGL79" s="684"/>
      <c r="TGM79" s="684"/>
      <c r="TGN79" s="684"/>
      <c r="TGO79" s="684"/>
      <c r="TGP79" s="684"/>
      <c r="TGQ79" s="684"/>
      <c r="TGR79" s="684"/>
      <c r="TGS79" s="684"/>
      <c r="TGT79" s="684"/>
      <c r="TGU79" s="684"/>
      <c r="TGV79" s="684"/>
      <c r="TGW79" s="684"/>
      <c r="TGX79" s="684"/>
      <c r="TGY79" s="684"/>
      <c r="TGZ79" s="684"/>
      <c r="THA79" s="684"/>
      <c r="THB79" s="684"/>
      <c r="THC79" s="684"/>
      <c r="THD79" s="684"/>
      <c r="THE79" s="684"/>
      <c r="THF79" s="684"/>
      <c r="THG79" s="684"/>
      <c r="THH79" s="684"/>
      <c r="THI79" s="684"/>
      <c r="THJ79" s="684"/>
      <c r="THK79" s="684"/>
      <c r="THL79" s="684"/>
      <c r="THM79" s="684"/>
      <c r="THN79" s="684"/>
      <c r="THO79" s="684"/>
      <c r="THP79" s="684"/>
      <c r="THQ79" s="684"/>
      <c r="THR79" s="684"/>
      <c r="THS79" s="684"/>
      <c r="THT79" s="684"/>
      <c r="THU79" s="684"/>
      <c r="THV79" s="684"/>
      <c r="THW79" s="684"/>
      <c r="THX79" s="684"/>
      <c r="THY79" s="684"/>
      <c r="THZ79" s="684"/>
      <c r="TIA79" s="684"/>
      <c r="TIB79" s="684"/>
      <c r="TIC79" s="684"/>
      <c r="TID79" s="684"/>
      <c r="TIE79" s="684"/>
      <c r="TIF79" s="684"/>
      <c r="TIG79" s="684"/>
      <c r="TIH79" s="684"/>
      <c r="TII79" s="684"/>
      <c r="TIJ79" s="684"/>
      <c r="TIK79" s="684"/>
      <c r="TIL79" s="684"/>
      <c r="TIM79" s="684"/>
      <c r="TIN79" s="684"/>
      <c r="TIO79" s="684"/>
      <c r="TIP79" s="684"/>
      <c r="TIQ79" s="684"/>
      <c r="TIR79" s="684"/>
      <c r="TIS79" s="684"/>
      <c r="TIT79" s="684"/>
      <c r="TIU79" s="684"/>
      <c r="TIV79" s="684"/>
      <c r="TIW79" s="684"/>
      <c r="TIX79" s="684"/>
      <c r="TIY79" s="684"/>
      <c r="TIZ79" s="684"/>
      <c r="TJA79" s="684"/>
      <c r="TJB79" s="684"/>
      <c r="TJC79" s="684"/>
      <c r="TJD79" s="684"/>
      <c r="TJE79" s="684"/>
      <c r="TJF79" s="684"/>
      <c r="TJG79" s="684"/>
      <c r="TJH79" s="684"/>
      <c r="TJI79" s="684"/>
      <c r="TJJ79" s="684"/>
      <c r="TJK79" s="684"/>
      <c r="TJL79" s="684"/>
      <c r="TJM79" s="684"/>
      <c r="TJN79" s="684"/>
      <c r="TJO79" s="684"/>
      <c r="TJP79" s="684"/>
      <c r="TJQ79" s="684"/>
      <c r="TJR79" s="684"/>
      <c r="TJS79" s="684"/>
      <c r="TJT79" s="684"/>
      <c r="TJU79" s="684"/>
      <c r="TJV79" s="684"/>
      <c r="TJW79" s="684"/>
      <c r="TJX79" s="684"/>
      <c r="TJY79" s="684"/>
      <c r="TJZ79" s="684"/>
      <c r="TKA79" s="684"/>
      <c r="TKB79" s="684"/>
      <c r="TKC79" s="684"/>
      <c r="TKD79" s="684"/>
      <c r="TKE79" s="684"/>
      <c r="TKF79" s="684"/>
      <c r="TKG79" s="684"/>
      <c r="TKH79" s="684"/>
      <c r="TKI79" s="684"/>
      <c r="TKJ79" s="684"/>
      <c r="TKK79" s="684"/>
      <c r="TKL79" s="684"/>
      <c r="TKM79" s="684"/>
      <c r="TKN79" s="684"/>
      <c r="TKO79" s="684"/>
      <c r="TKP79" s="684"/>
      <c r="TKQ79" s="684"/>
      <c r="TKR79" s="684"/>
      <c r="TKS79" s="684"/>
      <c r="TKT79" s="684"/>
      <c r="TKU79" s="684"/>
      <c r="TKV79" s="684"/>
      <c r="TKW79" s="684"/>
      <c r="TKX79" s="684"/>
      <c r="TKY79" s="684"/>
      <c r="TKZ79" s="684"/>
      <c r="TLA79" s="684"/>
      <c r="TLB79" s="684"/>
      <c r="TLC79" s="684"/>
      <c r="TLD79" s="684"/>
      <c r="TLE79" s="684"/>
      <c r="TLF79" s="684"/>
      <c r="TLG79" s="684"/>
      <c r="TLH79" s="684"/>
      <c r="TLI79" s="684"/>
      <c r="TLJ79" s="684"/>
      <c r="TLK79" s="684"/>
      <c r="TLL79" s="684"/>
      <c r="TLM79" s="684"/>
      <c r="TLN79" s="684"/>
      <c r="TLO79" s="684"/>
      <c r="TLP79" s="684"/>
      <c r="TLQ79" s="684"/>
      <c r="TLR79" s="684"/>
      <c r="TLS79" s="684"/>
      <c r="TLT79" s="684"/>
      <c r="TLU79" s="684"/>
      <c r="TLV79" s="684"/>
      <c r="TLW79" s="684"/>
      <c r="TLX79" s="684"/>
      <c r="TLY79" s="684"/>
      <c r="TLZ79" s="684"/>
      <c r="TMA79" s="684"/>
      <c r="TMB79" s="684"/>
      <c r="TMC79" s="684"/>
      <c r="TMD79" s="684"/>
      <c r="TME79" s="684"/>
      <c r="TMF79" s="684"/>
      <c r="TMG79" s="684"/>
      <c r="TMH79" s="684"/>
      <c r="TMI79" s="684"/>
      <c r="TMJ79" s="684"/>
      <c r="TMK79" s="684"/>
      <c r="TML79" s="684"/>
      <c r="TMM79" s="684"/>
      <c r="TMN79" s="684"/>
      <c r="TMO79" s="684"/>
      <c r="TMP79" s="684"/>
      <c r="TMQ79" s="684"/>
      <c r="TMR79" s="684"/>
      <c r="TMS79" s="684"/>
      <c r="TMT79" s="684"/>
      <c r="TMU79" s="684"/>
      <c r="TMV79" s="684"/>
      <c r="TMW79" s="684"/>
      <c r="TMX79" s="684"/>
      <c r="TMY79" s="684"/>
      <c r="TMZ79" s="684"/>
      <c r="TNA79" s="684"/>
      <c r="TNB79" s="684"/>
      <c r="TNC79" s="684"/>
      <c r="TND79" s="684"/>
      <c r="TNE79" s="684"/>
      <c r="TNF79" s="684"/>
      <c r="TNG79" s="684"/>
      <c r="TNH79" s="684"/>
      <c r="TNI79" s="684"/>
      <c r="TNJ79" s="684"/>
      <c r="TNK79" s="684"/>
      <c r="TNL79" s="684"/>
      <c r="TNM79" s="684"/>
      <c r="TNN79" s="684"/>
      <c r="TNO79" s="684"/>
      <c r="TNP79" s="684"/>
      <c r="TNQ79" s="684"/>
      <c r="TNR79" s="684"/>
      <c r="TNS79" s="684"/>
      <c r="TNT79" s="684"/>
      <c r="TNU79" s="684"/>
      <c r="TNV79" s="684"/>
      <c r="TNW79" s="684"/>
      <c r="TNX79" s="684"/>
      <c r="TNY79" s="684"/>
      <c r="TNZ79" s="684"/>
      <c r="TOA79" s="684"/>
      <c r="TOB79" s="684"/>
      <c r="TOC79" s="684"/>
      <c r="TOD79" s="684"/>
      <c r="TOE79" s="684"/>
      <c r="TOF79" s="684"/>
      <c r="TOG79" s="684"/>
      <c r="TOH79" s="684"/>
      <c r="TOI79" s="684"/>
      <c r="TOJ79" s="684"/>
      <c r="TOK79" s="684"/>
      <c r="TOL79" s="684"/>
      <c r="TOM79" s="684"/>
      <c r="TON79" s="684"/>
      <c r="TOO79" s="684"/>
      <c r="TOP79" s="684"/>
      <c r="TOQ79" s="684"/>
      <c r="TOR79" s="684"/>
      <c r="TOS79" s="684"/>
      <c r="TOT79" s="684"/>
      <c r="TOU79" s="684"/>
      <c r="TOV79" s="684"/>
      <c r="TOW79" s="684"/>
      <c r="TOX79" s="684"/>
      <c r="TOY79" s="684"/>
      <c r="TOZ79" s="684"/>
      <c r="TPA79" s="684"/>
      <c r="TPB79" s="684"/>
      <c r="TPC79" s="684"/>
      <c r="TPD79" s="684"/>
      <c r="TPE79" s="684"/>
      <c r="TPF79" s="684"/>
      <c r="TPG79" s="684"/>
      <c r="TPH79" s="684"/>
      <c r="TPI79" s="684"/>
      <c r="TPJ79" s="684"/>
      <c r="TPK79" s="684"/>
      <c r="TPL79" s="684"/>
      <c r="TPM79" s="684"/>
      <c r="TPN79" s="684"/>
      <c r="TPO79" s="684"/>
      <c r="TPP79" s="684"/>
      <c r="TPQ79" s="684"/>
      <c r="TPR79" s="684"/>
      <c r="TPS79" s="684"/>
      <c r="TPT79" s="684"/>
      <c r="TPU79" s="684"/>
      <c r="TPV79" s="684"/>
      <c r="TPW79" s="684"/>
      <c r="TPX79" s="684"/>
      <c r="TPY79" s="684"/>
      <c r="TPZ79" s="684"/>
      <c r="TQA79" s="684"/>
      <c r="TQB79" s="684"/>
      <c r="TQC79" s="684"/>
      <c r="TQD79" s="684"/>
      <c r="TQE79" s="684"/>
      <c r="TQF79" s="684"/>
      <c r="TQG79" s="684"/>
      <c r="TQH79" s="684"/>
      <c r="TQI79" s="684"/>
      <c r="TQJ79" s="684"/>
      <c r="TQK79" s="684"/>
      <c r="TQL79" s="684"/>
      <c r="TQM79" s="684"/>
      <c r="TQN79" s="684"/>
      <c r="TQO79" s="684"/>
      <c r="TQP79" s="684"/>
      <c r="TQQ79" s="684"/>
      <c r="TQR79" s="684"/>
      <c r="TQS79" s="684"/>
      <c r="TQT79" s="684"/>
      <c r="TQU79" s="684"/>
      <c r="TQV79" s="684"/>
      <c r="TQW79" s="684"/>
      <c r="TQX79" s="684"/>
      <c r="TQY79" s="684"/>
      <c r="TQZ79" s="684"/>
      <c r="TRA79" s="684"/>
      <c r="TRB79" s="684"/>
      <c r="TRC79" s="684"/>
      <c r="TRD79" s="684"/>
      <c r="TRE79" s="684"/>
      <c r="TRF79" s="684"/>
      <c r="TRG79" s="684"/>
      <c r="TRH79" s="684"/>
      <c r="TRI79" s="684"/>
      <c r="TRJ79" s="684"/>
      <c r="TRK79" s="684"/>
      <c r="TRL79" s="684"/>
      <c r="TRM79" s="684"/>
      <c r="TRN79" s="684"/>
      <c r="TRO79" s="684"/>
      <c r="TRP79" s="684"/>
      <c r="TRQ79" s="684"/>
      <c r="TRR79" s="684"/>
      <c r="TRS79" s="684"/>
      <c r="TRT79" s="684"/>
      <c r="TRU79" s="684"/>
      <c r="TRV79" s="684"/>
      <c r="TRW79" s="684"/>
      <c r="TRX79" s="684"/>
      <c r="TRY79" s="684"/>
      <c r="TRZ79" s="684"/>
      <c r="TSA79" s="684"/>
      <c r="TSB79" s="684"/>
      <c r="TSC79" s="684"/>
      <c r="TSD79" s="684"/>
      <c r="TSE79" s="684"/>
      <c r="TSF79" s="684"/>
      <c r="TSG79" s="684"/>
      <c r="TSH79" s="684"/>
      <c r="TSI79" s="684"/>
      <c r="TSJ79" s="684"/>
      <c r="TSK79" s="684"/>
      <c r="TSL79" s="684"/>
      <c r="TSM79" s="684"/>
      <c r="TSN79" s="684"/>
      <c r="TSO79" s="684"/>
      <c r="TSP79" s="684"/>
      <c r="TSQ79" s="684"/>
      <c r="TSR79" s="684"/>
      <c r="TSS79" s="684"/>
      <c r="TST79" s="684"/>
      <c r="TSU79" s="684"/>
      <c r="TSV79" s="684"/>
      <c r="TSW79" s="684"/>
      <c r="TSX79" s="684"/>
      <c r="TSY79" s="684"/>
      <c r="TSZ79" s="684"/>
      <c r="TTA79" s="684"/>
      <c r="TTB79" s="684"/>
      <c r="TTC79" s="684"/>
      <c r="TTD79" s="684"/>
      <c r="TTE79" s="684"/>
      <c r="TTF79" s="684"/>
      <c r="TTG79" s="684"/>
      <c r="TTH79" s="684"/>
      <c r="TTI79" s="684"/>
      <c r="TTJ79" s="684"/>
      <c r="TTK79" s="684"/>
      <c r="TTL79" s="684"/>
      <c r="TTM79" s="684"/>
      <c r="TTN79" s="684"/>
      <c r="TTO79" s="684"/>
      <c r="TTP79" s="684"/>
      <c r="TTQ79" s="684"/>
      <c r="TTR79" s="684"/>
      <c r="TTS79" s="684"/>
      <c r="TTT79" s="684"/>
      <c r="TTU79" s="684"/>
      <c r="TTV79" s="684"/>
      <c r="TTW79" s="684"/>
      <c r="TTX79" s="684"/>
      <c r="TTY79" s="684"/>
      <c r="TTZ79" s="684"/>
      <c r="TUA79" s="684"/>
      <c r="TUB79" s="684"/>
      <c r="TUC79" s="684"/>
      <c r="TUD79" s="684"/>
      <c r="TUE79" s="684"/>
      <c r="TUF79" s="684"/>
      <c r="TUG79" s="684"/>
      <c r="TUH79" s="684"/>
      <c r="TUI79" s="684"/>
      <c r="TUJ79" s="684"/>
      <c r="TUK79" s="684"/>
      <c r="TUL79" s="684"/>
      <c r="TUM79" s="684"/>
      <c r="TUN79" s="684"/>
      <c r="TUO79" s="684"/>
      <c r="TUP79" s="684"/>
      <c r="TUQ79" s="684"/>
      <c r="TUR79" s="684"/>
      <c r="TUS79" s="684"/>
      <c r="TUT79" s="684"/>
      <c r="TUU79" s="684"/>
      <c r="TUV79" s="684"/>
      <c r="TUW79" s="684"/>
      <c r="TUX79" s="684"/>
      <c r="TUY79" s="684"/>
      <c r="TUZ79" s="684"/>
      <c r="TVA79" s="684"/>
      <c r="TVB79" s="684"/>
      <c r="TVC79" s="684"/>
      <c r="TVD79" s="684"/>
      <c r="TVE79" s="684"/>
      <c r="TVF79" s="684"/>
      <c r="TVG79" s="684"/>
      <c r="TVH79" s="684"/>
      <c r="TVI79" s="684"/>
      <c r="TVJ79" s="684"/>
      <c r="TVK79" s="684"/>
      <c r="TVL79" s="684"/>
      <c r="TVM79" s="684"/>
      <c r="TVN79" s="684"/>
      <c r="TVO79" s="684"/>
      <c r="TVP79" s="684"/>
      <c r="TVQ79" s="684"/>
      <c r="TVR79" s="684"/>
      <c r="TVS79" s="684"/>
      <c r="TVT79" s="684"/>
      <c r="TVU79" s="684"/>
      <c r="TVV79" s="684"/>
      <c r="TVW79" s="684"/>
      <c r="TVX79" s="684"/>
      <c r="TVY79" s="684"/>
      <c r="TVZ79" s="684"/>
      <c r="TWA79" s="684"/>
      <c r="TWB79" s="684"/>
      <c r="TWC79" s="684"/>
      <c r="TWD79" s="684"/>
      <c r="TWE79" s="684"/>
      <c r="TWF79" s="684"/>
      <c r="TWG79" s="684"/>
      <c r="TWH79" s="684"/>
      <c r="TWI79" s="684"/>
      <c r="TWJ79" s="684"/>
      <c r="TWK79" s="684"/>
      <c r="TWL79" s="684"/>
      <c r="TWM79" s="684"/>
      <c r="TWN79" s="684"/>
      <c r="TWO79" s="684"/>
      <c r="TWP79" s="684"/>
      <c r="TWQ79" s="684"/>
      <c r="TWR79" s="684"/>
      <c r="TWS79" s="684"/>
      <c r="TWT79" s="684"/>
      <c r="TWU79" s="684"/>
      <c r="TWV79" s="684"/>
      <c r="TWW79" s="684"/>
      <c r="TWX79" s="684"/>
      <c r="TWY79" s="684"/>
      <c r="TWZ79" s="684"/>
      <c r="TXA79" s="684"/>
      <c r="TXB79" s="684"/>
      <c r="TXC79" s="684"/>
      <c r="TXD79" s="684"/>
      <c r="TXE79" s="684"/>
      <c r="TXF79" s="684"/>
      <c r="TXG79" s="684"/>
      <c r="TXH79" s="684"/>
      <c r="TXI79" s="684"/>
      <c r="TXJ79" s="684"/>
      <c r="TXK79" s="684"/>
      <c r="TXL79" s="684"/>
      <c r="TXM79" s="684"/>
      <c r="TXN79" s="684"/>
      <c r="TXO79" s="684"/>
      <c r="TXP79" s="684"/>
      <c r="TXQ79" s="684"/>
      <c r="TXR79" s="684"/>
      <c r="TXS79" s="684"/>
      <c r="TXT79" s="684"/>
      <c r="TXU79" s="684"/>
      <c r="TXV79" s="684"/>
      <c r="TXW79" s="684"/>
      <c r="TXX79" s="684"/>
      <c r="TXY79" s="684"/>
      <c r="TXZ79" s="684"/>
      <c r="TYA79" s="684"/>
      <c r="TYB79" s="684"/>
      <c r="TYC79" s="684"/>
      <c r="TYD79" s="684"/>
      <c r="TYE79" s="684"/>
      <c r="TYF79" s="684"/>
      <c r="TYG79" s="684"/>
      <c r="TYH79" s="684"/>
      <c r="TYI79" s="684"/>
      <c r="TYJ79" s="684"/>
      <c r="TYK79" s="684"/>
      <c r="TYL79" s="684"/>
      <c r="TYM79" s="684"/>
      <c r="TYN79" s="684"/>
      <c r="TYO79" s="684"/>
      <c r="TYP79" s="684"/>
      <c r="TYQ79" s="684"/>
      <c r="TYR79" s="684"/>
      <c r="TYS79" s="684"/>
      <c r="TYT79" s="684"/>
      <c r="TYU79" s="684"/>
      <c r="TYV79" s="684"/>
      <c r="TYW79" s="684"/>
      <c r="TYX79" s="684"/>
      <c r="TYY79" s="684"/>
      <c r="TYZ79" s="684"/>
      <c r="TZA79" s="684"/>
      <c r="TZB79" s="684"/>
      <c r="TZC79" s="684"/>
      <c r="TZD79" s="684"/>
      <c r="TZE79" s="684"/>
      <c r="TZF79" s="684"/>
      <c r="TZG79" s="684"/>
      <c r="TZH79" s="684"/>
      <c r="TZI79" s="684"/>
      <c r="TZJ79" s="684"/>
      <c r="TZK79" s="684"/>
      <c r="TZL79" s="684"/>
      <c r="TZM79" s="684"/>
      <c r="TZN79" s="684"/>
      <c r="TZO79" s="684"/>
      <c r="TZP79" s="684"/>
      <c r="TZQ79" s="684"/>
      <c r="TZR79" s="684"/>
      <c r="TZS79" s="684"/>
      <c r="TZT79" s="684"/>
      <c r="TZU79" s="684"/>
      <c r="TZV79" s="684"/>
      <c r="TZW79" s="684"/>
      <c r="TZX79" s="684"/>
      <c r="TZY79" s="684"/>
      <c r="TZZ79" s="684"/>
      <c r="UAA79" s="684"/>
      <c r="UAB79" s="684"/>
      <c r="UAC79" s="684"/>
      <c r="UAD79" s="684"/>
      <c r="UAE79" s="684"/>
      <c r="UAF79" s="684"/>
      <c r="UAG79" s="684"/>
      <c r="UAH79" s="684"/>
      <c r="UAI79" s="684"/>
      <c r="UAJ79" s="684"/>
      <c r="UAK79" s="684"/>
      <c r="UAL79" s="684"/>
      <c r="UAM79" s="684"/>
      <c r="UAN79" s="684"/>
      <c r="UAO79" s="684"/>
      <c r="UAP79" s="684"/>
      <c r="UAQ79" s="684"/>
      <c r="UAR79" s="684"/>
      <c r="UAS79" s="684"/>
      <c r="UAT79" s="684"/>
      <c r="UAU79" s="684"/>
      <c r="UAV79" s="684"/>
      <c r="UAW79" s="684"/>
      <c r="UAX79" s="684"/>
      <c r="UAY79" s="684"/>
      <c r="UAZ79" s="684"/>
      <c r="UBA79" s="684"/>
      <c r="UBB79" s="684"/>
      <c r="UBC79" s="684"/>
      <c r="UBD79" s="684"/>
      <c r="UBE79" s="684"/>
      <c r="UBF79" s="684"/>
      <c r="UBG79" s="684"/>
      <c r="UBH79" s="684"/>
      <c r="UBI79" s="684"/>
      <c r="UBJ79" s="684"/>
      <c r="UBK79" s="684"/>
      <c r="UBL79" s="684"/>
      <c r="UBM79" s="684"/>
      <c r="UBN79" s="684"/>
      <c r="UBO79" s="684"/>
      <c r="UBP79" s="684"/>
      <c r="UBQ79" s="684"/>
      <c r="UBR79" s="684"/>
      <c r="UBS79" s="684"/>
      <c r="UBT79" s="684"/>
      <c r="UBU79" s="684"/>
      <c r="UBV79" s="684"/>
      <c r="UBW79" s="684"/>
      <c r="UBX79" s="684"/>
      <c r="UBY79" s="684"/>
      <c r="UBZ79" s="684"/>
      <c r="UCA79" s="684"/>
      <c r="UCB79" s="684"/>
      <c r="UCC79" s="684"/>
      <c r="UCD79" s="684"/>
      <c r="UCE79" s="684"/>
      <c r="UCF79" s="684"/>
      <c r="UCG79" s="684"/>
      <c r="UCH79" s="684"/>
      <c r="UCI79" s="684"/>
      <c r="UCJ79" s="684"/>
      <c r="UCK79" s="684"/>
      <c r="UCL79" s="684"/>
      <c r="UCM79" s="684"/>
      <c r="UCN79" s="684"/>
      <c r="UCO79" s="684"/>
      <c r="UCP79" s="684"/>
      <c r="UCQ79" s="684"/>
      <c r="UCR79" s="684"/>
      <c r="UCS79" s="684"/>
      <c r="UCT79" s="684"/>
      <c r="UCU79" s="684"/>
      <c r="UCV79" s="684"/>
      <c r="UCW79" s="684"/>
      <c r="UCX79" s="684"/>
      <c r="UCY79" s="684"/>
      <c r="UCZ79" s="684"/>
      <c r="UDA79" s="684"/>
      <c r="UDB79" s="684"/>
      <c r="UDC79" s="684"/>
      <c r="UDD79" s="684"/>
      <c r="UDE79" s="684"/>
      <c r="UDF79" s="684"/>
      <c r="UDG79" s="684"/>
      <c r="UDH79" s="684"/>
      <c r="UDI79" s="684"/>
      <c r="UDJ79" s="684"/>
      <c r="UDK79" s="684"/>
      <c r="UDL79" s="684"/>
      <c r="UDM79" s="684"/>
      <c r="UDN79" s="684"/>
      <c r="UDO79" s="684"/>
      <c r="UDP79" s="684"/>
      <c r="UDQ79" s="684"/>
      <c r="UDR79" s="684"/>
      <c r="UDS79" s="684"/>
      <c r="UDT79" s="684"/>
      <c r="UDU79" s="684"/>
      <c r="UDV79" s="684"/>
      <c r="UDW79" s="684"/>
      <c r="UDX79" s="684"/>
      <c r="UDY79" s="684"/>
      <c r="UDZ79" s="684"/>
      <c r="UEA79" s="684"/>
      <c r="UEB79" s="684"/>
      <c r="UEC79" s="684"/>
      <c r="UED79" s="684"/>
      <c r="UEE79" s="684"/>
      <c r="UEF79" s="684"/>
      <c r="UEG79" s="684"/>
      <c r="UEH79" s="684"/>
      <c r="UEI79" s="684"/>
      <c r="UEJ79" s="684"/>
      <c r="UEK79" s="684"/>
      <c r="UEL79" s="684"/>
      <c r="UEM79" s="684"/>
      <c r="UEN79" s="684"/>
      <c r="UEO79" s="684"/>
      <c r="UEP79" s="684"/>
      <c r="UEQ79" s="684"/>
      <c r="UER79" s="684"/>
      <c r="UES79" s="684"/>
      <c r="UET79" s="684"/>
      <c r="UEU79" s="684"/>
      <c r="UEV79" s="684"/>
      <c r="UEW79" s="684"/>
      <c r="UEX79" s="684"/>
      <c r="UEY79" s="684"/>
      <c r="UEZ79" s="684"/>
      <c r="UFA79" s="684"/>
      <c r="UFB79" s="684"/>
      <c r="UFC79" s="684"/>
      <c r="UFD79" s="684"/>
      <c r="UFE79" s="684"/>
      <c r="UFF79" s="684"/>
      <c r="UFG79" s="684"/>
      <c r="UFH79" s="684"/>
      <c r="UFI79" s="684"/>
      <c r="UFJ79" s="684"/>
      <c r="UFK79" s="684"/>
      <c r="UFL79" s="684"/>
      <c r="UFM79" s="684"/>
      <c r="UFN79" s="684"/>
      <c r="UFO79" s="684"/>
      <c r="UFP79" s="684"/>
      <c r="UFQ79" s="684"/>
      <c r="UFR79" s="684"/>
      <c r="UFS79" s="684"/>
      <c r="UFT79" s="684"/>
      <c r="UFU79" s="684"/>
      <c r="UFV79" s="684"/>
      <c r="UFW79" s="684"/>
      <c r="UFX79" s="684"/>
      <c r="UFY79" s="684"/>
      <c r="UFZ79" s="684"/>
      <c r="UGA79" s="684"/>
      <c r="UGB79" s="684"/>
      <c r="UGC79" s="684"/>
      <c r="UGD79" s="684"/>
      <c r="UGE79" s="684"/>
      <c r="UGF79" s="684"/>
      <c r="UGG79" s="684"/>
      <c r="UGH79" s="684"/>
      <c r="UGI79" s="684"/>
      <c r="UGJ79" s="684"/>
      <c r="UGK79" s="684"/>
      <c r="UGL79" s="684"/>
      <c r="UGM79" s="684"/>
      <c r="UGN79" s="684"/>
      <c r="UGO79" s="684"/>
      <c r="UGP79" s="684"/>
      <c r="UGQ79" s="684"/>
      <c r="UGR79" s="684"/>
      <c r="UGS79" s="684"/>
      <c r="UGT79" s="684"/>
      <c r="UGU79" s="684"/>
      <c r="UGV79" s="684"/>
      <c r="UGW79" s="684"/>
      <c r="UGX79" s="684"/>
      <c r="UGY79" s="684"/>
      <c r="UGZ79" s="684"/>
      <c r="UHA79" s="684"/>
      <c r="UHB79" s="684"/>
      <c r="UHC79" s="684"/>
      <c r="UHD79" s="684"/>
      <c r="UHE79" s="684"/>
      <c r="UHF79" s="684"/>
      <c r="UHG79" s="684"/>
      <c r="UHH79" s="684"/>
      <c r="UHI79" s="684"/>
      <c r="UHJ79" s="684"/>
      <c r="UHK79" s="684"/>
      <c r="UHL79" s="684"/>
      <c r="UHM79" s="684"/>
      <c r="UHN79" s="684"/>
      <c r="UHO79" s="684"/>
      <c r="UHP79" s="684"/>
      <c r="UHQ79" s="684"/>
      <c r="UHR79" s="684"/>
      <c r="UHS79" s="684"/>
      <c r="UHT79" s="684"/>
      <c r="UHU79" s="684"/>
      <c r="UHV79" s="684"/>
      <c r="UHW79" s="684"/>
      <c r="UHX79" s="684"/>
      <c r="UHY79" s="684"/>
      <c r="UHZ79" s="684"/>
      <c r="UIA79" s="684"/>
      <c r="UIB79" s="684"/>
      <c r="UIC79" s="684"/>
      <c r="UID79" s="684"/>
      <c r="UIE79" s="684"/>
      <c r="UIF79" s="684"/>
      <c r="UIG79" s="684"/>
      <c r="UIH79" s="684"/>
      <c r="UII79" s="684"/>
      <c r="UIJ79" s="684"/>
      <c r="UIK79" s="684"/>
      <c r="UIL79" s="684"/>
      <c r="UIM79" s="684"/>
      <c r="UIN79" s="684"/>
      <c r="UIO79" s="684"/>
      <c r="UIP79" s="684"/>
      <c r="UIQ79" s="684"/>
      <c r="UIR79" s="684"/>
      <c r="UIS79" s="684"/>
      <c r="UIT79" s="684"/>
      <c r="UIU79" s="684"/>
      <c r="UIV79" s="684"/>
      <c r="UIW79" s="684"/>
      <c r="UIX79" s="684"/>
      <c r="UIY79" s="684"/>
      <c r="UIZ79" s="684"/>
      <c r="UJA79" s="684"/>
      <c r="UJB79" s="684"/>
      <c r="UJC79" s="684"/>
      <c r="UJD79" s="684"/>
      <c r="UJE79" s="684"/>
      <c r="UJF79" s="684"/>
      <c r="UJG79" s="684"/>
      <c r="UJH79" s="684"/>
      <c r="UJI79" s="684"/>
      <c r="UJJ79" s="684"/>
      <c r="UJK79" s="684"/>
      <c r="UJL79" s="684"/>
      <c r="UJM79" s="684"/>
      <c r="UJN79" s="684"/>
      <c r="UJO79" s="684"/>
      <c r="UJP79" s="684"/>
      <c r="UJQ79" s="684"/>
      <c r="UJR79" s="684"/>
      <c r="UJS79" s="684"/>
      <c r="UJT79" s="684"/>
      <c r="UJU79" s="684"/>
      <c r="UJV79" s="684"/>
      <c r="UJW79" s="684"/>
      <c r="UJX79" s="684"/>
      <c r="UJY79" s="684"/>
      <c r="UJZ79" s="684"/>
      <c r="UKA79" s="684"/>
      <c r="UKB79" s="684"/>
      <c r="UKC79" s="684"/>
      <c r="UKD79" s="684"/>
      <c r="UKE79" s="684"/>
      <c r="UKF79" s="684"/>
      <c r="UKG79" s="684"/>
      <c r="UKH79" s="684"/>
      <c r="UKI79" s="684"/>
      <c r="UKJ79" s="684"/>
      <c r="UKK79" s="684"/>
      <c r="UKL79" s="684"/>
      <c r="UKM79" s="684"/>
      <c r="UKN79" s="684"/>
      <c r="UKO79" s="684"/>
      <c r="UKP79" s="684"/>
      <c r="UKQ79" s="684"/>
      <c r="UKR79" s="684"/>
      <c r="UKS79" s="684"/>
      <c r="UKT79" s="684"/>
      <c r="UKU79" s="684"/>
      <c r="UKV79" s="684"/>
      <c r="UKW79" s="684"/>
      <c r="UKX79" s="684"/>
      <c r="UKY79" s="684"/>
      <c r="UKZ79" s="684"/>
      <c r="ULA79" s="684"/>
      <c r="ULB79" s="684"/>
      <c r="ULC79" s="684"/>
      <c r="ULD79" s="684"/>
      <c r="ULE79" s="684"/>
      <c r="ULF79" s="684"/>
      <c r="ULG79" s="684"/>
      <c r="ULH79" s="684"/>
      <c r="ULI79" s="684"/>
      <c r="ULJ79" s="684"/>
      <c r="ULK79" s="684"/>
      <c r="ULL79" s="684"/>
      <c r="ULM79" s="684"/>
      <c r="ULN79" s="684"/>
      <c r="ULO79" s="684"/>
      <c r="ULP79" s="684"/>
      <c r="ULQ79" s="684"/>
      <c r="ULR79" s="684"/>
      <c r="ULS79" s="684"/>
      <c r="ULT79" s="684"/>
      <c r="ULU79" s="684"/>
      <c r="ULV79" s="684"/>
      <c r="ULW79" s="684"/>
      <c r="ULX79" s="684"/>
      <c r="ULY79" s="684"/>
      <c r="ULZ79" s="684"/>
      <c r="UMA79" s="684"/>
      <c r="UMB79" s="684"/>
      <c r="UMC79" s="684"/>
      <c r="UMD79" s="684"/>
      <c r="UME79" s="684"/>
      <c r="UMF79" s="684"/>
      <c r="UMG79" s="684"/>
      <c r="UMH79" s="684"/>
      <c r="UMI79" s="684"/>
      <c r="UMJ79" s="684"/>
      <c r="UMK79" s="684"/>
      <c r="UML79" s="684"/>
      <c r="UMM79" s="684"/>
      <c r="UMN79" s="684"/>
      <c r="UMO79" s="684"/>
      <c r="UMP79" s="684"/>
      <c r="UMQ79" s="684"/>
      <c r="UMR79" s="684"/>
      <c r="UMS79" s="684"/>
      <c r="UMT79" s="684"/>
      <c r="UMU79" s="684"/>
      <c r="UMV79" s="684"/>
      <c r="UMW79" s="684"/>
      <c r="UMX79" s="684"/>
      <c r="UMY79" s="684"/>
      <c r="UMZ79" s="684"/>
      <c r="UNA79" s="684"/>
      <c r="UNB79" s="684"/>
      <c r="UNC79" s="684"/>
      <c r="UND79" s="684"/>
      <c r="UNE79" s="684"/>
      <c r="UNF79" s="684"/>
      <c r="UNG79" s="684"/>
      <c r="UNH79" s="684"/>
      <c r="UNI79" s="684"/>
      <c r="UNJ79" s="684"/>
      <c r="UNK79" s="684"/>
      <c r="UNL79" s="684"/>
      <c r="UNM79" s="684"/>
      <c r="UNN79" s="684"/>
      <c r="UNO79" s="684"/>
      <c r="UNP79" s="684"/>
      <c r="UNQ79" s="684"/>
      <c r="UNR79" s="684"/>
      <c r="UNS79" s="684"/>
      <c r="UNT79" s="684"/>
      <c r="UNU79" s="684"/>
      <c r="UNV79" s="684"/>
      <c r="UNW79" s="684"/>
      <c r="UNX79" s="684"/>
      <c r="UNY79" s="684"/>
      <c r="UNZ79" s="684"/>
      <c r="UOA79" s="684"/>
      <c r="UOB79" s="684"/>
      <c r="UOC79" s="684"/>
      <c r="UOD79" s="684"/>
      <c r="UOE79" s="684"/>
      <c r="UOF79" s="684"/>
      <c r="UOG79" s="684"/>
      <c r="UOH79" s="684"/>
      <c r="UOI79" s="684"/>
      <c r="UOJ79" s="684"/>
      <c r="UOK79" s="684"/>
      <c r="UOL79" s="684"/>
      <c r="UOM79" s="684"/>
      <c r="UON79" s="684"/>
      <c r="UOO79" s="684"/>
      <c r="UOP79" s="684"/>
      <c r="UOQ79" s="684"/>
      <c r="UOR79" s="684"/>
      <c r="UOS79" s="684"/>
      <c r="UOT79" s="684"/>
      <c r="UOU79" s="684"/>
      <c r="UOV79" s="684"/>
      <c r="UOW79" s="684"/>
      <c r="UOX79" s="684"/>
      <c r="UOY79" s="684"/>
      <c r="UOZ79" s="684"/>
      <c r="UPA79" s="684"/>
      <c r="UPB79" s="684"/>
      <c r="UPC79" s="684"/>
      <c r="UPD79" s="684"/>
      <c r="UPE79" s="684"/>
      <c r="UPF79" s="684"/>
      <c r="UPG79" s="684"/>
      <c r="UPH79" s="684"/>
      <c r="UPI79" s="684"/>
      <c r="UPJ79" s="684"/>
      <c r="UPK79" s="684"/>
      <c r="UPL79" s="684"/>
      <c r="UPM79" s="684"/>
      <c r="UPN79" s="684"/>
      <c r="UPO79" s="684"/>
      <c r="UPP79" s="684"/>
      <c r="UPQ79" s="684"/>
      <c r="UPR79" s="684"/>
      <c r="UPS79" s="684"/>
      <c r="UPT79" s="684"/>
      <c r="UPU79" s="684"/>
      <c r="UPV79" s="684"/>
      <c r="UPW79" s="684"/>
      <c r="UPX79" s="684"/>
      <c r="UPY79" s="684"/>
      <c r="UPZ79" s="684"/>
      <c r="UQA79" s="684"/>
      <c r="UQB79" s="684"/>
      <c r="UQC79" s="684"/>
      <c r="UQD79" s="684"/>
      <c r="UQE79" s="684"/>
      <c r="UQF79" s="684"/>
      <c r="UQG79" s="684"/>
      <c r="UQH79" s="684"/>
      <c r="UQI79" s="684"/>
      <c r="UQJ79" s="684"/>
      <c r="UQK79" s="684"/>
      <c r="UQL79" s="684"/>
      <c r="UQM79" s="684"/>
      <c r="UQN79" s="684"/>
      <c r="UQO79" s="684"/>
      <c r="UQP79" s="684"/>
      <c r="UQQ79" s="684"/>
      <c r="UQR79" s="684"/>
      <c r="UQS79" s="684"/>
      <c r="UQT79" s="684"/>
      <c r="UQU79" s="684"/>
      <c r="UQV79" s="684"/>
      <c r="UQW79" s="684"/>
      <c r="UQX79" s="684"/>
      <c r="UQY79" s="684"/>
      <c r="UQZ79" s="684"/>
      <c r="URA79" s="684"/>
      <c r="URB79" s="684"/>
      <c r="URC79" s="684"/>
      <c r="URD79" s="684"/>
      <c r="URE79" s="684"/>
      <c r="URF79" s="684"/>
      <c r="URG79" s="684"/>
      <c r="URH79" s="684"/>
      <c r="URI79" s="684"/>
      <c r="URJ79" s="684"/>
      <c r="URK79" s="684"/>
      <c r="URL79" s="684"/>
      <c r="URM79" s="684"/>
      <c r="URN79" s="684"/>
      <c r="URO79" s="684"/>
      <c r="URP79" s="684"/>
      <c r="URQ79" s="684"/>
      <c r="URR79" s="684"/>
      <c r="URS79" s="684"/>
      <c r="URT79" s="684"/>
      <c r="URU79" s="684"/>
      <c r="URV79" s="684"/>
      <c r="URW79" s="684"/>
      <c r="URX79" s="684"/>
      <c r="URY79" s="684"/>
      <c r="URZ79" s="684"/>
      <c r="USA79" s="684"/>
      <c r="USB79" s="684"/>
      <c r="USC79" s="684"/>
      <c r="USD79" s="684"/>
      <c r="USE79" s="684"/>
      <c r="USF79" s="684"/>
      <c r="USG79" s="684"/>
      <c r="USH79" s="684"/>
      <c r="USI79" s="684"/>
      <c r="USJ79" s="684"/>
      <c r="USK79" s="684"/>
      <c r="USL79" s="684"/>
      <c r="USM79" s="684"/>
      <c r="USN79" s="684"/>
      <c r="USO79" s="684"/>
      <c r="USP79" s="684"/>
      <c r="USQ79" s="684"/>
      <c r="USR79" s="684"/>
      <c r="USS79" s="684"/>
      <c r="UST79" s="684"/>
      <c r="USU79" s="684"/>
      <c r="USV79" s="684"/>
      <c r="USW79" s="684"/>
      <c r="USX79" s="684"/>
      <c r="USY79" s="684"/>
      <c r="USZ79" s="684"/>
      <c r="UTA79" s="684"/>
      <c r="UTB79" s="684"/>
      <c r="UTC79" s="684"/>
      <c r="UTD79" s="684"/>
      <c r="UTE79" s="684"/>
      <c r="UTF79" s="684"/>
      <c r="UTG79" s="684"/>
      <c r="UTH79" s="684"/>
      <c r="UTI79" s="684"/>
      <c r="UTJ79" s="684"/>
      <c r="UTK79" s="684"/>
      <c r="UTL79" s="684"/>
      <c r="UTM79" s="684"/>
      <c r="UTN79" s="684"/>
      <c r="UTO79" s="684"/>
      <c r="UTP79" s="684"/>
      <c r="UTQ79" s="684"/>
      <c r="UTR79" s="684"/>
      <c r="UTS79" s="684"/>
      <c r="UTT79" s="684"/>
      <c r="UTU79" s="684"/>
      <c r="UTV79" s="684"/>
      <c r="UTW79" s="684"/>
      <c r="UTX79" s="684"/>
      <c r="UTY79" s="684"/>
      <c r="UTZ79" s="684"/>
      <c r="UUA79" s="684"/>
      <c r="UUB79" s="684"/>
      <c r="UUC79" s="684"/>
      <c r="UUD79" s="684"/>
      <c r="UUE79" s="684"/>
      <c r="UUF79" s="684"/>
      <c r="UUG79" s="684"/>
      <c r="UUH79" s="684"/>
      <c r="UUI79" s="684"/>
      <c r="UUJ79" s="684"/>
      <c r="UUK79" s="684"/>
      <c r="UUL79" s="684"/>
      <c r="UUM79" s="684"/>
      <c r="UUN79" s="684"/>
      <c r="UUO79" s="684"/>
      <c r="UUP79" s="684"/>
      <c r="UUQ79" s="684"/>
      <c r="UUR79" s="684"/>
      <c r="UUS79" s="684"/>
      <c r="UUT79" s="684"/>
      <c r="UUU79" s="684"/>
      <c r="UUV79" s="684"/>
      <c r="UUW79" s="684"/>
      <c r="UUX79" s="684"/>
      <c r="UUY79" s="684"/>
      <c r="UUZ79" s="684"/>
      <c r="UVA79" s="684"/>
      <c r="UVB79" s="684"/>
      <c r="UVC79" s="684"/>
      <c r="UVD79" s="684"/>
      <c r="UVE79" s="684"/>
      <c r="UVF79" s="684"/>
      <c r="UVG79" s="684"/>
      <c r="UVH79" s="684"/>
      <c r="UVI79" s="684"/>
      <c r="UVJ79" s="684"/>
      <c r="UVK79" s="684"/>
      <c r="UVL79" s="684"/>
      <c r="UVM79" s="684"/>
      <c r="UVN79" s="684"/>
      <c r="UVO79" s="684"/>
      <c r="UVP79" s="684"/>
      <c r="UVQ79" s="684"/>
      <c r="UVR79" s="684"/>
      <c r="UVS79" s="684"/>
      <c r="UVT79" s="684"/>
      <c r="UVU79" s="684"/>
      <c r="UVV79" s="684"/>
      <c r="UVW79" s="684"/>
      <c r="UVX79" s="684"/>
      <c r="UVY79" s="684"/>
      <c r="UVZ79" s="684"/>
      <c r="UWA79" s="684"/>
      <c r="UWB79" s="684"/>
      <c r="UWC79" s="684"/>
      <c r="UWD79" s="684"/>
      <c r="UWE79" s="684"/>
      <c r="UWF79" s="684"/>
      <c r="UWG79" s="684"/>
      <c r="UWH79" s="684"/>
      <c r="UWI79" s="684"/>
      <c r="UWJ79" s="684"/>
      <c r="UWK79" s="684"/>
      <c r="UWL79" s="684"/>
      <c r="UWM79" s="684"/>
      <c r="UWN79" s="684"/>
      <c r="UWO79" s="684"/>
      <c r="UWP79" s="684"/>
      <c r="UWQ79" s="684"/>
      <c r="UWR79" s="684"/>
      <c r="UWS79" s="684"/>
      <c r="UWT79" s="684"/>
      <c r="UWU79" s="684"/>
      <c r="UWV79" s="684"/>
      <c r="UWW79" s="684"/>
      <c r="UWX79" s="684"/>
      <c r="UWY79" s="684"/>
      <c r="UWZ79" s="684"/>
      <c r="UXA79" s="684"/>
      <c r="UXB79" s="684"/>
      <c r="UXC79" s="684"/>
      <c r="UXD79" s="684"/>
      <c r="UXE79" s="684"/>
      <c r="UXF79" s="684"/>
      <c r="UXG79" s="684"/>
      <c r="UXH79" s="684"/>
      <c r="UXI79" s="684"/>
      <c r="UXJ79" s="684"/>
      <c r="UXK79" s="684"/>
      <c r="UXL79" s="684"/>
      <c r="UXM79" s="684"/>
      <c r="UXN79" s="684"/>
      <c r="UXO79" s="684"/>
      <c r="UXP79" s="684"/>
      <c r="UXQ79" s="684"/>
      <c r="UXR79" s="684"/>
      <c r="UXS79" s="684"/>
      <c r="UXT79" s="684"/>
      <c r="UXU79" s="684"/>
      <c r="UXV79" s="684"/>
      <c r="UXW79" s="684"/>
      <c r="UXX79" s="684"/>
      <c r="UXY79" s="684"/>
      <c r="UXZ79" s="684"/>
      <c r="UYA79" s="684"/>
      <c r="UYB79" s="684"/>
      <c r="UYC79" s="684"/>
      <c r="UYD79" s="684"/>
      <c r="UYE79" s="684"/>
      <c r="UYF79" s="684"/>
      <c r="UYG79" s="684"/>
      <c r="UYH79" s="684"/>
      <c r="UYI79" s="684"/>
      <c r="UYJ79" s="684"/>
      <c r="UYK79" s="684"/>
      <c r="UYL79" s="684"/>
      <c r="UYM79" s="684"/>
      <c r="UYN79" s="684"/>
      <c r="UYO79" s="684"/>
      <c r="UYP79" s="684"/>
      <c r="UYQ79" s="684"/>
      <c r="UYR79" s="684"/>
      <c r="UYS79" s="684"/>
      <c r="UYT79" s="684"/>
      <c r="UYU79" s="684"/>
      <c r="UYV79" s="684"/>
      <c r="UYW79" s="684"/>
      <c r="UYX79" s="684"/>
      <c r="UYY79" s="684"/>
      <c r="UYZ79" s="684"/>
      <c r="UZA79" s="684"/>
      <c r="UZB79" s="684"/>
      <c r="UZC79" s="684"/>
      <c r="UZD79" s="684"/>
      <c r="UZE79" s="684"/>
      <c r="UZF79" s="684"/>
      <c r="UZG79" s="684"/>
      <c r="UZH79" s="684"/>
      <c r="UZI79" s="684"/>
      <c r="UZJ79" s="684"/>
      <c r="UZK79" s="684"/>
      <c r="UZL79" s="684"/>
      <c r="UZM79" s="684"/>
      <c r="UZN79" s="684"/>
      <c r="UZO79" s="684"/>
      <c r="UZP79" s="684"/>
      <c r="UZQ79" s="684"/>
      <c r="UZR79" s="684"/>
      <c r="UZS79" s="684"/>
      <c r="UZT79" s="684"/>
      <c r="UZU79" s="684"/>
      <c r="UZV79" s="684"/>
      <c r="UZW79" s="684"/>
      <c r="UZX79" s="684"/>
      <c r="UZY79" s="684"/>
      <c r="UZZ79" s="684"/>
      <c r="VAA79" s="684"/>
      <c r="VAB79" s="684"/>
      <c r="VAC79" s="684"/>
      <c r="VAD79" s="684"/>
      <c r="VAE79" s="684"/>
      <c r="VAF79" s="684"/>
      <c r="VAG79" s="684"/>
      <c r="VAH79" s="684"/>
      <c r="VAI79" s="684"/>
      <c r="VAJ79" s="684"/>
      <c r="VAK79" s="684"/>
      <c r="VAL79" s="684"/>
      <c r="VAM79" s="684"/>
      <c r="VAN79" s="684"/>
      <c r="VAO79" s="684"/>
      <c r="VAP79" s="684"/>
      <c r="VAQ79" s="684"/>
      <c r="VAR79" s="684"/>
      <c r="VAS79" s="684"/>
      <c r="VAT79" s="684"/>
      <c r="VAU79" s="684"/>
      <c r="VAV79" s="684"/>
      <c r="VAW79" s="684"/>
      <c r="VAX79" s="684"/>
      <c r="VAY79" s="684"/>
      <c r="VAZ79" s="684"/>
      <c r="VBA79" s="684"/>
      <c r="VBB79" s="684"/>
      <c r="VBC79" s="684"/>
      <c r="VBD79" s="684"/>
      <c r="VBE79" s="684"/>
      <c r="VBF79" s="684"/>
      <c r="VBG79" s="684"/>
      <c r="VBH79" s="684"/>
      <c r="VBI79" s="684"/>
      <c r="VBJ79" s="684"/>
      <c r="VBK79" s="684"/>
      <c r="VBL79" s="684"/>
      <c r="VBM79" s="684"/>
      <c r="VBN79" s="684"/>
      <c r="VBO79" s="684"/>
      <c r="VBP79" s="684"/>
      <c r="VBQ79" s="684"/>
      <c r="VBR79" s="684"/>
      <c r="VBS79" s="684"/>
      <c r="VBT79" s="684"/>
      <c r="VBU79" s="684"/>
      <c r="VBV79" s="684"/>
      <c r="VBW79" s="684"/>
      <c r="VBX79" s="684"/>
      <c r="VBY79" s="684"/>
      <c r="VBZ79" s="684"/>
      <c r="VCA79" s="684"/>
      <c r="VCB79" s="684"/>
      <c r="VCC79" s="684"/>
      <c r="VCD79" s="684"/>
      <c r="VCE79" s="684"/>
      <c r="VCF79" s="684"/>
      <c r="VCG79" s="684"/>
      <c r="VCH79" s="684"/>
      <c r="VCI79" s="684"/>
      <c r="VCJ79" s="684"/>
      <c r="VCK79" s="684"/>
      <c r="VCL79" s="684"/>
      <c r="VCM79" s="684"/>
      <c r="VCN79" s="684"/>
      <c r="VCO79" s="684"/>
      <c r="VCP79" s="684"/>
      <c r="VCQ79" s="684"/>
      <c r="VCR79" s="684"/>
      <c r="VCS79" s="684"/>
      <c r="VCT79" s="684"/>
      <c r="VCU79" s="684"/>
      <c r="VCV79" s="684"/>
      <c r="VCW79" s="684"/>
      <c r="VCX79" s="684"/>
      <c r="VCY79" s="684"/>
      <c r="VCZ79" s="684"/>
      <c r="VDA79" s="684"/>
      <c r="VDB79" s="684"/>
      <c r="VDC79" s="684"/>
      <c r="VDD79" s="684"/>
      <c r="VDE79" s="684"/>
      <c r="VDF79" s="684"/>
      <c r="VDG79" s="684"/>
      <c r="VDH79" s="684"/>
      <c r="VDI79" s="684"/>
      <c r="VDJ79" s="684"/>
      <c r="VDK79" s="684"/>
      <c r="VDL79" s="684"/>
      <c r="VDM79" s="684"/>
      <c r="VDN79" s="684"/>
      <c r="VDO79" s="684"/>
      <c r="VDP79" s="684"/>
      <c r="VDQ79" s="684"/>
      <c r="VDR79" s="684"/>
      <c r="VDS79" s="684"/>
      <c r="VDT79" s="684"/>
      <c r="VDU79" s="684"/>
      <c r="VDV79" s="684"/>
      <c r="VDW79" s="684"/>
      <c r="VDX79" s="684"/>
      <c r="VDY79" s="684"/>
      <c r="VDZ79" s="684"/>
      <c r="VEA79" s="684"/>
      <c r="VEB79" s="684"/>
      <c r="VEC79" s="684"/>
      <c r="VED79" s="684"/>
      <c r="VEE79" s="684"/>
      <c r="VEF79" s="684"/>
      <c r="VEG79" s="684"/>
      <c r="VEH79" s="684"/>
      <c r="VEI79" s="684"/>
      <c r="VEJ79" s="684"/>
      <c r="VEK79" s="684"/>
      <c r="VEL79" s="684"/>
      <c r="VEM79" s="684"/>
      <c r="VEN79" s="684"/>
      <c r="VEO79" s="684"/>
      <c r="VEP79" s="684"/>
      <c r="VEQ79" s="684"/>
      <c r="VER79" s="684"/>
      <c r="VES79" s="684"/>
      <c r="VET79" s="684"/>
      <c r="VEU79" s="684"/>
      <c r="VEV79" s="684"/>
      <c r="VEW79" s="684"/>
      <c r="VEX79" s="684"/>
      <c r="VEY79" s="684"/>
      <c r="VEZ79" s="684"/>
      <c r="VFA79" s="684"/>
      <c r="VFB79" s="684"/>
      <c r="VFC79" s="684"/>
      <c r="VFD79" s="684"/>
      <c r="VFE79" s="684"/>
      <c r="VFF79" s="684"/>
      <c r="VFG79" s="684"/>
      <c r="VFH79" s="684"/>
      <c r="VFI79" s="684"/>
      <c r="VFJ79" s="684"/>
      <c r="VFK79" s="684"/>
      <c r="VFL79" s="684"/>
      <c r="VFM79" s="684"/>
      <c r="VFN79" s="684"/>
      <c r="VFO79" s="684"/>
      <c r="VFP79" s="684"/>
      <c r="VFQ79" s="684"/>
      <c r="VFR79" s="684"/>
      <c r="VFS79" s="684"/>
      <c r="VFT79" s="684"/>
      <c r="VFU79" s="684"/>
      <c r="VFV79" s="684"/>
      <c r="VFW79" s="684"/>
      <c r="VFX79" s="684"/>
      <c r="VFY79" s="684"/>
      <c r="VFZ79" s="684"/>
      <c r="VGA79" s="684"/>
      <c r="VGB79" s="684"/>
      <c r="VGC79" s="684"/>
      <c r="VGD79" s="684"/>
      <c r="VGE79" s="684"/>
      <c r="VGF79" s="684"/>
      <c r="VGG79" s="684"/>
      <c r="VGH79" s="684"/>
      <c r="VGI79" s="684"/>
      <c r="VGJ79" s="684"/>
      <c r="VGK79" s="684"/>
      <c r="VGL79" s="684"/>
      <c r="VGM79" s="684"/>
      <c r="VGN79" s="684"/>
      <c r="VGO79" s="684"/>
      <c r="VGP79" s="684"/>
      <c r="VGQ79" s="684"/>
      <c r="VGR79" s="684"/>
      <c r="VGS79" s="684"/>
      <c r="VGT79" s="684"/>
      <c r="VGU79" s="684"/>
      <c r="VGV79" s="684"/>
      <c r="VGW79" s="684"/>
      <c r="VGX79" s="684"/>
      <c r="VGY79" s="684"/>
      <c r="VGZ79" s="684"/>
      <c r="VHA79" s="684"/>
      <c r="VHB79" s="684"/>
      <c r="VHC79" s="684"/>
      <c r="VHD79" s="684"/>
      <c r="VHE79" s="684"/>
      <c r="VHF79" s="684"/>
      <c r="VHG79" s="684"/>
      <c r="VHH79" s="684"/>
      <c r="VHI79" s="684"/>
      <c r="VHJ79" s="684"/>
      <c r="VHK79" s="684"/>
      <c r="VHL79" s="684"/>
      <c r="VHM79" s="684"/>
      <c r="VHN79" s="684"/>
      <c r="VHO79" s="684"/>
      <c r="VHP79" s="684"/>
      <c r="VHQ79" s="684"/>
      <c r="VHR79" s="684"/>
      <c r="VHS79" s="684"/>
      <c r="VHT79" s="684"/>
      <c r="VHU79" s="684"/>
      <c r="VHV79" s="684"/>
      <c r="VHW79" s="684"/>
      <c r="VHX79" s="684"/>
      <c r="VHY79" s="684"/>
      <c r="VHZ79" s="684"/>
      <c r="VIA79" s="684"/>
      <c r="VIB79" s="684"/>
      <c r="VIC79" s="684"/>
      <c r="VID79" s="684"/>
      <c r="VIE79" s="684"/>
      <c r="VIF79" s="684"/>
      <c r="VIG79" s="684"/>
      <c r="VIH79" s="684"/>
      <c r="VII79" s="684"/>
      <c r="VIJ79" s="684"/>
      <c r="VIK79" s="684"/>
      <c r="VIL79" s="684"/>
      <c r="VIM79" s="684"/>
      <c r="VIN79" s="684"/>
      <c r="VIO79" s="684"/>
      <c r="VIP79" s="684"/>
      <c r="VIQ79" s="684"/>
      <c r="VIR79" s="684"/>
      <c r="VIS79" s="684"/>
      <c r="VIT79" s="684"/>
      <c r="VIU79" s="684"/>
      <c r="VIV79" s="684"/>
      <c r="VIW79" s="684"/>
      <c r="VIX79" s="684"/>
      <c r="VIY79" s="684"/>
      <c r="VIZ79" s="684"/>
      <c r="VJA79" s="684"/>
      <c r="VJB79" s="684"/>
      <c r="VJC79" s="684"/>
      <c r="VJD79" s="684"/>
      <c r="VJE79" s="684"/>
      <c r="VJF79" s="684"/>
      <c r="VJG79" s="684"/>
      <c r="VJH79" s="684"/>
      <c r="VJI79" s="684"/>
      <c r="VJJ79" s="684"/>
      <c r="VJK79" s="684"/>
      <c r="VJL79" s="684"/>
      <c r="VJM79" s="684"/>
      <c r="VJN79" s="684"/>
      <c r="VJO79" s="684"/>
      <c r="VJP79" s="684"/>
      <c r="VJQ79" s="684"/>
      <c r="VJR79" s="684"/>
      <c r="VJS79" s="684"/>
      <c r="VJT79" s="684"/>
      <c r="VJU79" s="684"/>
      <c r="VJV79" s="684"/>
      <c r="VJW79" s="684"/>
      <c r="VJX79" s="684"/>
      <c r="VJY79" s="684"/>
      <c r="VJZ79" s="684"/>
      <c r="VKA79" s="684"/>
      <c r="VKB79" s="684"/>
      <c r="VKC79" s="684"/>
      <c r="VKD79" s="684"/>
      <c r="VKE79" s="684"/>
      <c r="VKF79" s="684"/>
      <c r="VKG79" s="684"/>
      <c r="VKH79" s="684"/>
      <c r="VKI79" s="684"/>
      <c r="VKJ79" s="684"/>
      <c r="VKK79" s="684"/>
      <c r="VKL79" s="684"/>
      <c r="VKM79" s="684"/>
      <c r="VKN79" s="684"/>
      <c r="VKO79" s="684"/>
      <c r="VKP79" s="684"/>
      <c r="VKQ79" s="684"/>
      <c r="VKR79" s="684"/>
      <c r="VKS79" s="684"/>
      <c r="VKT79" s="684"/>
      <c r="VKU79" s="684"/>
      <c r="VKV79" s="684"/>
      <c r="VKW79" s="684"/>
      <c r="VKX79" s="684"/>
      <c r="VKY79" s="684"/>
      <c r="VKZ79" s="684"/>
      <c r="VLA79" s="684"/>
      <c r="VLB79" s="684"/>
      <c r="VLC79" s="684"/>
      <c r="VLD79" s="684"/>
      <c r="VLE79" s="684"/>
      <c r="VLF79" s="684"/>
      <c r="VLG79" s="684"/>
      <c r="VLH79" s="684"/>
      <c r="VLI79" s="684"/>
      <c r="VLJ79" s="684"/>
      <c r="VLK79" s="684"/>
      <c r="VLL79" s="684"/>
      <c r="VLM79" s="684"/>
      <c r="VLN79" s="684"/>
      <c r="VLO79" s="684"/>
      <c r="VLP79" s="684"/>
      <c r="VLQ79" s="684"/>
      <c r="VLR79" s="684"/>
      <c r="VLS79" s="684"/>
      <c r="VLT79" s="684"/>
      <c r="VLU79" s="684"/>
      <c r="VLV79" s="684"/>
      <c r="VLW79" s="684"/>
      <c r="VLX79" s="684"/>
      <c r="VLY79" s="684"/>
      <c r="VLZ79" s="684"/>
      <c r="VMA79" s="684"/>
      <c r="VMB79" s="684"/>
      <c r="VMC79" s="684"/>
      <c r="VMD79" s="684"/>
      <c r="VME79" s="684"/>
      <c r="VMF79" s="684"/>
      <c r="VMG79" s="684"/>
      <c r="VMH79" s="684"/>
      <c r="VMI79" s="684"/>
      <c r="VMJ79" s="684"/>
      <c r="VMK79" s="684"/>
      <c r="VML79" s="684"/>
      <c r="VMM79" s="684"/>
      <c r="VMN79" s="684"/>
      <c r="VMO79" s="684"/>
      <c r="VMP79" s="684"/>
      <c r="VMQ79" s="684"/>
      <c r="VMR79" s="684"/>
      <c r="VMS79" s="684"/>
      <c r="VMT79" s="684"/>
      <c r="VMU79" s="684"/>
      <c r="VMV79" s="684"/>
      <c r="VMW79" s="684"/>
      <c r="VMX79" s="684"/>
      <c r="VMY79" s="684"/>
      <c r="VMZ79" s="684"/>
      <c r="VNA79" s="684"/>
      <c r="VNB79" s="684"/>
      <c r="VNC79" s="684"/>
      <c r="VND79" s="684"/>
      <c r="VNE79" s="684"/>
      <c r="VNF79" s="684"/>
      <c r="VNG79" s="684"/>
      <c r="VNH79" s="684"/>
      <c r="VNI79" s="684"/>
      <c r="VNJ79" s="684"/>
      <c r="VNK79" s="684"/>
      <c r="VNL79" s="684"/>
      <c r="VNM79" s="684"/>
      <c r="VNN79" s="684"/>
      <c r="VNO79" s="684"/>
      <c r="VNP79" s="684"/>
      <c r="VNQ79" s="684"/>
      <c r="VNR79" s="684"/>
      <c r="VNS79" s="684"/>
      <c r="VNT79" s="684"/>
      <c r="VNU79" s="684"/>
      <c r="VNV79" s="684"/>
      <c r="VNW79" s="684"/>
      <c r="VNX79" s="684"/>
      <c r="VNY79" s="684"/>
      <c r="VNZ79" s="684"/>
      <c r="VOA79" s="684"/>
      <c r="VOB79" s="684"/>
      <c r="VOC79" s="684"/>
      <c r="VOD79" s="684"/>
      <c r="VOE79" s="684"/>
      <c r="VOF79" s="684"/>
      <c r="VOG79" s="684"/>
      <c r="VOH79" s="684"/>
      <c r="VOI79" s="684"/>
      <c r="VOJ79" s="684"/>
      <c r="VOK79" s="684"/>
      <c r="VOL79" s="684"/>
      <c r="VOM79" s="684"/>
      <c r="VON79" s="684"/>
      <c r="VOO79" s="684"/>
      <c r="VOP79" s="684"/>
      <c r="VOQ79" s="684"/>
      <c r="VOR79" s="684"/>
      <c r="VOS79" s="684"/>
      <c r="VOT79" s="684"/>
      <c r="VOU79" s="684"/>
      <c r="VOV79" s="684"/>
      <c r="VOW79" s="684"/>
      <c r="VOX79" s="684"/>
      <c r="VOY79" s="684"/>
      <c r="VOZ79" s="684"/>
      <c r="VPA79" s="684"/>
      <c r="VPB79" s="684"/>
      <c r="VPC79" s="684"/>
      <c r="VPD79" s="684"/>
      <c r="VPE79" s="684"/>
      <c r="VPF79" s="684"/>
      <c r="VPG79" s="684"/>
      <c r="VPH79" s="684"/>
      <c r="VPI79" s="684"/>
      <c r="VPJ79" s="684"/>
      <c r="VPK79" s="684"/>
      <c r="VPL79" s="684"/>
      <c r="VPM79" s="684"/>
      <c r="VPN79" s="684"/>
      <c r="VPO79" s="684"/>
      <c r="VPP79" s="684"/>
      <c r="VPQ79" s="684"/>
      <c r="VPR79" s="684"/>
      <c r="VPS79" s="684"/>
      <c r="VPT79" s="684"/>
      <c r="VPU79" s="684"/>
      <c r="VPV79" s="684"/>
      <c r="VPW79" s="684"/>
      <c r="VPX79" s="684"/>
      <c r="VPY79" s="684"/>
      <c r="VPZ79" s="684"/>
      <c r="VQA79" s="684"/>
      <c r="VQB79" s="684"/>
      <c r="VQC79" s="684"/>
      <c r="VQD79" s="684"/>
      <c r="VQE79" s="684"/>
      <c r="VQF79" s="684"/>
      <c r="VQG79" s="684"/>
      <c r="VQH79" s="684"/>
      <c r="VQI79" s="684"/>
      <c r="VQJ79" s="684"/>
      <c r="VQK79" s="684"/>
      <c r="VQL79" s="684"/>
      <c r="VQM79" s="684"/>
      <c r="VQN79" s="684"/>
      <c r="VQO79" s="684"/>
      <c r="VQP79" s="684"/>
      <c r="VQQ79" s="684"/>
      <c r="VQR79" s="684"/>
      <c r="VQS79" s="684"/>
      <c r="VQT79" s="684"/>
      <c r="VQU79" s="684"/>
      <c r="VQV79" s="684"/>
      <c r="VQW79" s="684"/>
      <c r="VQX79" s="684"/>
      <c r="VQY79" s="684"/>
      <c r="VQZ79" s="684"/>
      <c r="VRA79" s="684"/>
      <c r="VRB79" s="684"/>
      <c r="VRC79" s="684"/>
      <c r="VRD79" s="684"/>
      <c r="VRE79" s="684"/>
      <c r="VRF79" s="684"/>
      <c r="VRG79" s="684"/>
      <c r="VRH79" s="684"/>
      <c r="VRI79" s="684"/>
      <c r="VRJ79" s="684"/>
      <c r="VRK79" s="684"/>
      <c r="VRL79" s="684"/>
      <c r="VRM79" s="684"/>
      <c r="VRN79" s="684"/>
      <c r="VRO79" s="684"/>
      <c r="VRP79" s="684"/>
      <c r="VRQ79" s="684"/>
      <c r="VRR79" s="684"/>
      <c r="VRS79" s="684"/>
      <c r="VRT79" s="684"/>
      <c r="VRU79" s="684"/>
      <c r="VRV79" s="684"/>
      <c r="VRW79" s="684"/>
      <c r="VRX79" s="684"/>
      <c r="VRY79" s="684"/>
      <c r="VRZ79" s="684"/>
      <c r="VSA79" s="684"/>
      <c r="VSB79" s="684"/>
      <c r="VSC79" s="684"/>
      <c r="VSD79" s="684"/>
      <c r="VSE79" s="684"/>
      <c r="VSF79" s="684"/>
      <c r="VSG79" s="684"/>
      <c r="VSH79" s="684"/>
      <c r="VSI79" s="684"/>
      <c r="VSJ79" s="684"/>
      <c r="VSK79" s="684"/>
      <c r="VSL79" s="684"/>
      <c r="VSM79" s="684"/>
      <c r="VSN79" s="684"/>
      <c r="VSO79" s="684"/>
      <c r="VSP79" s="684"/>
      <c r="VSQ79" s="684"/>
      <c r="VSR79" s="684"/>
      <c r="VSS79" s="684"/>
      <c r="VST79" s="684"/>
      <c r="VSU79" s="684"/>
      <c r="VSV79" s="684"/>
      <c r="VSW79" s="684"/>
      <c r="VSX79" s="684"/>
      <c r="VSY79" s="684"/>
      <c r="VSZ79" s="684"/>
      <c r="VTA79" s="684"/>
      <c r="VTB79" s="684"/>
      <c r="VTC79" s="684"/>
      <c r="VTD79" s="684"/>
      <c r="VTE79" s="684"/>
      <c r="VTF79" s="684"/>
      <c r="VTG79" s="684"/>
      <c r="VTH79" s="684"/>
      <c r="VTI79" s="684"/>
      <c r="VTJ79" s="684"/>
      <c r="VTK79" s="684"/>
      <c r="VTL79" s="684"/>
      <c r="VTM79" s="684"/>
      <c r="VTN79" s="684"/>
      <c r="VTO79" s="684"/>
      <c r="VTP79" s="684"/>
      <c r="VTQ79" s="684"/>
      <c r="VTR79" s="684"/>
      <c r="VTS79" s="684"/>
      <c r="VTT79" s="684"/>
      <c r="VTU79" s="684"/>
      <c r="VTV79" s="684"/>
      <c r="VTW79" s="684"/>
      <c r="VTX79" s="684"/>
      <c r="VTY79" s="684"/>
      <c r="VTZ79" s="684"/>
      <c r="VUA79" s="684"/>
      <c r="VUB79" s="684"/>
      <c r="VUC79" s="684"/>
      <c r="VUD79" s="684"/>
      <c r="VUE79" s="684"/>
      <c r="VUF79" s="684"/>
      <c r="VUG79" s="684"/>
      <c r="VUH79" s="684"/>
      <c r="VUI79" s="684"/>
      <c r="VUJ79" s="684"/>
      <c r="VUK79" s="684"/>
      <c r="VUL79" s="684"/>
      <c r="VUM79" s="684"/>
      <c r="VUN79" s="684"/>
      <c r="VUO79" s="684"/>
      <c r="VUP79" s="684"/>
      <c r="VUQ79" s="684"/>
      <c r="VUR79" s="684"/>
      <c r="VUS79" s="684"/>
      <c r="VUT79" s="684"/>
      <c r="VUU79" s="684"/>
      <c r="VUV79" s="684"/>
      <c r="VUW79" s="684"/>
      <c r="VUX79" s="684"/>
      <c r="VUY79" s="684"/>
      <c r="VUZ79" s="684"/>
      <c r="VVA79" s="684"/>
      <c r="VVB79" s="684"/>
      <c r="VVC79" s="684"/>
      <c r="VVD79" s="684"/>
      <c r="VVE79" s="684"/>
      <c r="VVF79" s="684"/>
      <c r="VVG79" s="684"/>
      <c r="VVH79" s="684"/>
      <c r="VVI79" s="684"/>
      <c r="VVJ79" s="684"/>
      <c r="VVK79" s="684"/>
      <c r="VVL79" s="684"/>
      <c r="VVM79" s="684"/>
      <c r="VVN79" s="684"/>
      <c r="VVO79" s="684"/>
      <c r="VVP79" s="684"/>
      <c r="VVQ79" s="684"/>
      <c r="VVR79" s="684"/>
      <c r="VVS79" s="684"/>
      <c r="VVT79" s="684"/>
      <c r="VVU79" s="684"/>
      <c r="VVV79" s="684"/>
      <c r="VVW79" s="684"/>
      <c r="VVX79" s="684"/>
      <c r="VVY79" s="684"/>
      <c r="VVZ79" s="684"/>
      <c r="VWA79" s="684"/>
      <c r="VWB79" s="684"/>
      <c r="VWC79" s="684"/>
      <c r="VWD79" s="684"/>
      <c r="VWE79" s="684"/>
      <c r="VWF79" s="684"/>
      <c r="VWG79" s="684"/>
      <c r="VWH79" s="684"/>
      <c r="VWI79" s="684"/>
      <c r="VWJ79" s="684"/>
      <c r="VWK79" s="684"/>
      <c r="VWL79" s="684"/>
      <c r="VWM79" s="684"/>
      <c r="VWN79" s="684"/>
      <c r="VWO79" s="684"/>
      <c r="VWP79" s="684"/>
      <c r="VWQ79" s="684"/>
      <c r="VWR79" s="684"/>
      <c r="VWS79" s="684"/>
      <c r="VWT79" s="684"/>
      <c r="VWU79" s="684"/>
      <c r="VWV79" s="684"/>
      <c r="VWW79" s="684"/>
      <c r="VWX79" s="684"/>
      <c r="VWY79" s="684"/>
      <c r="VWZ79" s="684"/>
      <c r="VXA79" s="684"/>
      <c r="VXB79" s="684"/>
      <c r="VXC79" s="684"/>
      <c r="VXD79" s="684"/>
      <c r="VXE79" s="684"/>
      <c r="VXF79" s="684"/>
      <c r="VXG79" s="684"/>
      <c r="VXH79" s="684"/>
      <c r="VXI79" s="684"/>
      <c r="VXJ79" s="684"/>
      <c r="VXK79" s="684"/>
      <c r="VXL79" s="684"/>
      <c r="VXM79" s="684"/>
      <c r="VXN79" s="684"/>
      <c r="VXO79" s="684"/>
      <c r="VXP79" s="684"/>
      <c r="VXQ79" s="684"/>
      <c r="VXR79" s="684"/>
      <c r="VXS79" s="684"/>
      <c r="VXT79" s="684"/>
      <c r="VXU79" s="684"/>
      <c r="VXV79" s="684"/>
      <c r="VXW79" s="684"/>
      <c r="VXX79" s="684"/>
      <c r="VXY79" s="684"/>
      <c r="VXZ79" s="684"/>
      <c r="VYA79" s="684"/>
      <c r="VYB79" s="684"/>
      <c r="VYC79" s="684"/>
      <c r="VYD79" s="684"/>
      <c r="VYE79" s="684"/>
      <c r="VYF79" s="684"/>
      <c r="VYG79" s="684"/>
      <c r="VYH79" s="684"/>
      <c r="VYI79" s="684"/>
      <c r="VYJ79" s="684"/>
      <c r="VYK79" s="684"/>
      <c r="VYL79" s="684"/>
      <c r="VYM79" s="684"/>
      <c r="VYN79" s="684"/>
      <c r="VYO79" s="684"/>
      <c r="VYP79" s="684"/>
      <c r="VYQ79" s="684"/>
      <c r="VYR79" s="684"/>
      <c r="VYS79" s="684"/>
      <c r="VYT79" s="684"/>
      <c r="VYU79" s="684"/>
      <c r="VYV79" s="684"/>
      <c r="VYW79" s="684"/>
      <c r="VYX79" s="684"/>
      <c r="VYY79" s="684"/>
      <c r="VYZ79" s="684"/>
      <c r="VZA79" s="684"/>
      <c r="VZB79" s="684"/>
      <c r="VZC79" s="684"/>
      <c r="VZD79" s="684"/>
      <c r="VZE79" s="684"/>
      <c r="VZF79" s="684"/>
      <c r="VZG79" s="684"/>
      <c r="VZH79" s="684"/>
      <c r="VZI79" s="684"/>
      <c r="VZJ79" s="684"/>
      <c r="VZK79" s="684"/>
      <c r="VZL79" s="684"/>
      <c r="VZM79" s="684"/>
      <c r="VZN79" s="684"/>
      <c r="VZO79" s="684"/>
      <c r="VZP79" s="684"/>
      <c r="VZQ79" s="684"/>
      <c r="VZR79" s="684"/>
      <c r="VZS79" s="684"/>
      <c r="VZT79" s="684"/>
      <c r="VZU79" s="684"/>
      <c r="VZV79" s="684"/>
      <c r="VZW79" s="684"/>
      <c r="VZX79" s="684"/>
      <c r="VZY79" s="684"/>
      <c r="VZZ79" s="684"/>
      <c r="WAA79" s="684"/>
      <c r="WAB79" s="684"/>
      <c r="WAC79" s="684"/>
      <c r="WAD79" s="684"/>
      <c r="WAE79" s="684"/>
      <c r="WAF79" s="684"/>
      <c r="WAG79" s="684"/>
      <c r="WAH79" s="684"/>
      <c r="WAI79" s="684"/>
      <c r="WAJ79" s="684"/>
      <c r="WAK79" s="684"/>
      <c r="WAL79" s="684"/>
      <c r="WAM79" s="684"/>
      <c r="WAN79" s="684"/>
      <c r="WAO79" s="684"/>
      <c r="WAP79" s="684"/>
      <c r="WAQ79" s="684"/>
      <c r="WAR79" s="684"/>
      <c r="WAS79" s="684"/>
      <c r="WAT79" s="684"/>
      <c r="WAU79" s="684"/>
      <c r="WAV79" s="684"/>
      <c r="WAW79" s="684"/>
      <c r="WAX79" s="684"/>
      <c r="WAY79" s="684"/>
      <c r="WAZ79" s="684"/>
      <c r="WBA79" s="684"/>
      <c r="WBB79" s="684"/>
      <c r="WBC79" s="684"/>
      <c r="WBD79" s="684"/>
      <c r="WBE79" s="684"/>
      <c r="WBF79" s="684"/>
      <c r="WBG79" s="684"/>
      <c r="WBH79" s="684"/>
      <c r="WBI79" s="684"/>
      <c r="WBJ79" s="684"/>
      <c r="WBK79" s="684"/>
      <c r="WBL79" s="684"/>
      <c r="WBM79" s="684"/>
      <c r="WBN79" s="684"/>
      <c r="WBO79" s="684"/>
      <c r="WBP79" s="684"/>
      <c r="WBQ79" s="684"/>
      <c r="WBR79" s="684"/>
      <c r="WBS79" s="684"/>
      <c r="WBT79" s="684"/>
      <c r="WBU79" s="684"/>
      <c r="WBV79" s="684"/>
      <c r="WBW79" s="684"/>
      <c r="WBX79" s="684"/>
      <c r="WBY79" s="684"/>
      <c r="WBZ79" s="684"/>
      <c r="WCA79" s="684"/>
      <c r="WCB79" s="684"/>
      <c r="WCC79" s="684"/>
      <c r="WCD79" s="684"/>
      <c r="WCE79" s="684"/>
      <c r="WCF79" s="684"/>
      <c r="WCG79" s="684"/>
      <c r="WCH79" s="684"/>
      <c r="WCI79" s="684"/>
      <c r="WCJ79" s="684"/>
      <c r="WCK79" s="684"/>
      <c r="WCL79" s="684"/>
      <c r="WCM79" s="684"/>
      <c r="WCN79" s="684"/>
      <c r="WCO79" s="684"/>
      <c r="WCP79" s="684"/>
      <c r="WCQ79" s="684"/>
      <c r="WCR79" s="684"/>
      <c r="WCS79" s="684"/>
      <c r="WCT79" s="684"/>
      <c r="WCU79" s="684"/>
      <c r="WCV79" s="684"/>
      <c r="WCW79" s="684"/>
      <c r="WCX79" s="684"/>
      <c r="WCY79" s="684"/>
      <c r="WCZ79" s="684"/>
      <c r="WDA79" s="684"/>
      <c r="WDB79" s="684"/>
      <c r="WDC79" s="684"/>
      <c r="WDD79" s="684"/>
      <c r="WDE79" s="684"/>
      <c r="WDF79" s="684"/>
      <c r="WDG79" s="684"/>
      <c r="WDH79" s="684"/>
      <c r="WDI79" s="684"/>
      <c r="WDJ79" s="684"/>
      <c r="WDK79" s="684"/>
      <c r="WDL79" s="684"/>
      <c r="WDM79" s="684"/>
      <c r="WDN79" s="684"/>
      <c r="WDO79" s="684"/>
      <c r="WDP79" s="684"/>
      <c r="WDQ79" s="684"/>
      <c r="WDR79" s="684"/>
      <c r="WDS79" s="684"/>
      <c r="WDT79" s="684"/>
      <c r="WDU79" s="684"/>
      <c r="WDV79" s="684"/>
      <c r="WDW79" s="684"/>
      <c r="WDX79" s="684"/>
      <c r="WDY79" s="684"/>
      <c r="WDZ79" s="684"/>
      <c r="WEA79" s="684"/>
      <c r="WEB79" s="684"/>
      <c r="WEC79" s="684"/>
      <c r="WED79" s="684"/>
      <c r="WEE79" s="684"/>
      <c r="WEF79" s="684"/>
      <c r="WEG79" s="684"/>
      <c r="WEH79" s="684"/>
      <c r="WEI79" s="684"/>
      <c r="WEJ79" s="684"/>
      <c r="WEK79" s="684"/>
      <c r="WEL79" s="684"/>
      <c r="WEM79" s="684"/>
      <c r="WEN79" s="684"/>
      <c r="WEO79" s="684"/>
      <c r="WEP79" s="684"/>
      <c r="WEQ79" s="684"/>
      <c r="WER79" s="684"/>
      <c r="WES79" s="684"/>
      <c r="WET79" s="684"/>
      <c r="WEU79" s="684"/>
      <c r="WEV79" s="684"/>
      <c r="WEW79" s="684"/>
      <c r="WEX79" s="684"/>
      <c r="WEY79" s="684"/>
      <c r="WEZ79" s="684"/>
      <c r="WFA79" s="684"/>
      <c r="WFB79" s="684"/>
      <c r="WFC79" s="684"/>
      <c r="WFD79" s="684"/>
      <c r="WFE79" s="684"/>
      <c r="WFF79" s="684"/>
      <c r="WFG79" s="684"/>
      <c r="WFH79" s="684"/>
      <c r="WFI79" s="684"/>
      <c r="WFJ79" s="684"/>
      <c r="WFK79" s="684"/>
      <c r="WFL79" s="684"/>
      <c r="WFM79" s="684"/>
      <c r="WFN79" s="684"/>
      <c r="WFO79" s="684"/>
      <c r="WFP79" s="684"/>
      <c r="WFQ79" s="684"/>
      <c r="WFR79" s="684"/>
      <c r="WFS79" s="684"/>
      <c r="WFT79" s="684"/>
      <c r="WFU79" s="684"/>
      <c r="WFV79" s="684"/>
      <c r="WFW79" s="684"/>
      <c r="WFX79" s="684"/>
      <c r="WFY79" s="684"/>
      <c r="WFZ79" s="684"/>
      <c r="WGA79" s="684"/>
      <c r="WGB79" s="684"/>
      <c r="WGC79" s="684"/>
      <c r="WGD79" s="684"/>
      <c r="WGE79" s="684"/>
      <c r="WGF79" s="684"/>
      <c r="WGG79" s="684"/>
      <c r="WGH79" s="684"/>
      <c r="WGI79" s="684"/>
      <c r="WGJ79" s="684"/>
      <c r="WGK79" s="684"/>
      <c r="WGL79" s="684"/>
      <c r="WGM79" s="684"/>
      <c r="WGN79" s="684"/>
      <c r="WGO79" s="684"/>
      <c r="WGP79" s="684"/>
      <c r="WGQ79" s="684"/>
      <c r="WGR79" s="684"/>
      <c r="WGS79" s="684"/>
      <c r="WGT79" s="684"/>
      <c r="WGU79" s="684"/>
      <c r="WGV79" s="684"/>
      <c r="WGW79" s="684"/>
      <c r="WGX79" s="684"/>
      <c r="WGY79" s="684"/>
      <c r="WGZ79" s="684"/>
      <c r="WHA79" s="684"/>
      <c r="WHB79" s="684"/>
      <c r="WHC79" s="684"/>
      <c r="WHD79" s="684"/>
      <c r="WHE79" s="684"/>
      <c r="WHF79" s="684"/>
      <c r="WHG79" s="684"/>
      <c r="WHH79" s="684"/>
      <c r="WHI79" s="684"/>
      <c r="WHJ79" s="684"/>
      <c r="WHK79" s="684"/>
      <c r="WHL79" s="684"/>
      <c r="WHM79" s="684"/>
      <c r="WHN79" s="684"/>
      <c r="WHO79" s="684"/>
      <c r="WHP79" s="684"/>
      <c r="WHQ79" s="684"/>
      <c r="WHR79" s="684"/>
      <c r="WHS79" s="684"/>
      <c r="WHT79" s="684"/>
      <c r="WHU79" s="684"/>
      <c r="WHV79" s="684"/>
      <c r="WHW79" s="684"/>
      <c r="WHX79" s="684"/>
      <c r="WHY79" s="684"/>
      <c r="WHZ79" s="684"/>
      <c r="WIA79" s="684"/>
      <c r="WIB79" s="684"/>
      <c r="WIC79" s="684"/>
      <c r="WID79" s="684"/>
      <c r="WIE79" s="684"/>
      <c r="WIF79" s="684"/>
      <c r="WIG79" s="684"/>
      <c r="WIH79" s="684"/>
      <c r="WII79" s="684"/>
      <c r="WIJ79" s="684"/>
      <c r="WIK79" s="684"/>
      <c r="WIL79" s="684"/>
      <c r="WIM79" s="684"/>
      <c r="WIN79" s="684"/>
      <c r="WIO79" s="684"/>
      <c r="WIP79" s="684"/>
      <c r="WIQ79" s="684"/>
      <c r="WIR79" s="684"/>
      <c r="WIS79" s="684"/>
      <c r="WIT79" s="684"/>
      <c r="WIU79" s="684"/>
      <c r="WIV79" s="684"/>
      <c r="WIW79" s="684"/>
      <c r="WIX79" s="684"/>
      <c r="WIY79" s="684"/>
      <c r="WIZ79" s="684"/>
      <c r="WJA79" s="684"/>
      <c r="WJB79" s="684"/>
      <c r="WJC79" s="684"/>
      <c r="WJD79" s="684"/>
      <c r="WJE79" s="684"/>
      <c r="WJF79" s="684"/>
      <c r="WJG79" s="684"/>
      <c r="WJH79" s="684"/>
      <c r="WJI79" s="684"/>
      <c r="WJJ79" s="684"/>
      <c r="WJK79" s="684"/>
      <c r="WJL79" s="684"/>
      <c r="WJM79" s="684"/>
      <c r="WJN79" s="684"/>
      <c r="WJO79" s="684"/>
      <c r="WJP79" s="684"/>
      <c r="WJQ79" s="684"/>
      <c r="WJR79" s="684"/>
      <c r="WJS79" s="684"/>
      <c r="WJT79" s="684"/>
      <c r="WJU79" s="684"/>
      <c r="WJV79" s="684"/>
      <c r="WJW79" s="684"/>
      <c r="WJX79" s="684"/>
      <c r="WJY79" s="684"/>
      <c r="WJZ79" s="684"/>
      <c r="WKA79" s="684"/>
      <c r="WKB79" s="684"/>
      <c r="WKC79" s="684"/>
      <c r="WKD79" s="684"/>
      <c r="WKE79" s="684"/>
      <c r="WKF79" s="684"/>
      <c r="WKG79" s="684"/>
      <c r="WKH79" s="684"/>
      <c r="WKI79" s="684"/>
      <c r="WKJ79" s="684"/>
      <c r="WKK79" s="684"/>
      <c r="WKL79" s="684"/>
      <c r="WKM79" s="684"/>
      <c r="WKN79" s="684"/>
      <c r="WKO79" s="684"/>
      <c r="WKP79" s="684"/>
      <c r="WKQ79" s="684"/>
      <c r="WKR79" s="684"/>
      <c r="WKS79" s="684"/>
      <c r="WKT79" s="684"/>
      <c r="WKU79" s="684"/>
      <c r="WKV79" s="684"/>
      <c r="WKW79" s="684"/>
      <c r="WKX79" s="684"/>
      <c r="WKY79" s="684"/>
      <c r="WKZ79" s="684"/>
      <c r="WLA79" s="684"/>
      <c r="WLB79" s="684"/>
      <c r="WLC79" s="684"/>
      <c r="WLD79" s="684"/>
      <c r="WLE79" s="684"/>
      <c r="WLF79" s="684"/>
      <c r="WLG79" s="684"/>
      <c r="WLH79" s="684"/>
      <c r="WLI79" s="684"/>
      <c r="WLJ79" s="684"/>
      <c r="WLK79" s="684"/>
      <c r="WLL79" s="684"/>
      <c r="WLM79" s="684"/>
      <c r="WLN79" s="684"/>
      <c r="WLO79" s="684"/>
      <c r="WLP79" s="684"/>
      <c r="WLQ79" s="684"/>
      <c r="WLR79" s="684"/>
      <c r="WLS79" s="684"/>
      <c r="WLT79" s="684"/>
      <c r="WLU79" s="684"/>
      <c r="WLV79" s="684"/>
      <c r="WLW79" s="684"/>
      <c r="WLX79" s="684"/>
      <c r="WLY79" s="684"/>
      <c r="WLZ79" s="684"/>
      <c r="WMA79" s="684"/>
      <c r="WMB79" s="684"/>
      <c r="WMC79" s="684"/>
      <c r="WMD79" s="684"/>
      <c r="WME79" s="684"/>
      <c r="WMF79" s="684"/>
      <c r="WMG79" s="684"/>
      <c r="WMH79" s="684"/>
      <c r="WMI79" s="684"/>
      <c r="WMJ79" s="684"/>
      <c r="WMK79" s="684"/>
      <c r="WML79" s="684"/>
      <c r="WMM79" s="684"/>
      <c r="WMN79" s="684"/>
      <c r="WMO79" s="684"/>
      <c r="WMP79" s="684"/>
      <c r="WMQ79" s="684"/>
      <c r="WMR79" s="684"/>
      <c r="WMS79" s="684"/>
      <c r="WMT79" s="684"/>
      <c r="WMU79" s="684"/>
      <c r="WMV79" s="684"/>
      <c r="WMW79" s="684"/>
      <c r="WMX79" s="684"/>
      <c r="WMY79" s="684"/>
      <c r="WMZ79" s="684"/>
      <c r="WNA79" s="684"/>
      <c r="WNB79" s="684"/>
      <c r="WNC79" s="684"/>
      <c r="WND79" s="684"/>
      <c r="WNE79" s="684"/>
      <c r="WNF79" s="684"/>
      <c r="WNG79" s="684"/>
      <c r="WNH79" s="684"/>
      <c r="WNI79" s="684"/>
      <c r="WNJ79" s="684"/>
      <c r="WNK79" s="684"/>
      <c r="WNL79" s="684"/>
      <c r="WNM79" s="684"/>
      <c r="WNN79" s="684"/>
      <c r="WNO79" s="684"/>
      <c r="WNP79" s="684"/>
      <c r="WNQ79" s="684"/>
      <c r="WNR79" s="684"/>
      <c r="WNS79" s="684"/>
      <c r="WNT79" s="684"/>
      <c r="WNU79" s="684"/>
      <c r="WNV79" s="684"/>
      <c r="WNW79" s="684"/>
      <c r="WNX79" s="684"/>
      <c r="WNY79" s="684"/>
      <c r="WNZ79" s="684"/>
      <c r="WOA79" s="684"/>
      <c r="WOB79" s="684"/>
      <c r="WOC79" s="684"/>
      <c r="WOD79" s="684"/>
      <c r="WOE79" s="684"/>
      <c r="WOF79" s="684"/>
      <c r="WOG79" s="684"/>
      <c r="WOH79" s="684"/>
      <c r="WOI79" s="684"/>
      <c r="WOJ79" s="684"/>
      <c r="WOK79" s="684"/>
      <c r="WOL79" s="684"/>
      <c r="WOM79" s="684"/>
      <c r="WON79" s="684"/>
      <c r="WOO79" s="684"/>
      <c r="WOP79" s="684"/>
      <c r="WOQ79" s="684"/>
      <c r="WOR79" s="684"/>
      <c r="WOS79" s="684"/>
      <c r="WOT79" s="684"/>
      <c r="WOU79" s="684"/>
      <c r="WOV79" s="684"/>
      <c r="WOW79" s="684"/>
      <c r="WOX79" s="684"/>
      <c r="WOY79" s="684"/>
      <c r="WOZ79" s="684"/>
      <c r="WPA79" s="684"/>
      <c r="WPB79" s="684"/>
      <c r="WPC79" s="684"/>
      <c r="WPD79" s="684"/>
      <c r="WPE79" s="684"/>
      <c r="WPF79" s="684"/>
      <c r="WPG79" s="684"/>
      <c r="WPH79" s="684"/>
      <c r="WPI79" s="684"/>
      <c r="WPJ79" s="684"/>
      <c r="WPK79" s="684"/>
      <c r="WPL79" s="684"/>
      <c r="WPM79" s="684"/>
      <c r="WPN79" s="684"/>
      <c r="WPO79" s="684"/>
      <c r="WPP79" s="684"/>
      <c r="WPQ79" s="684"/>
      <c r="WPR79" s="684"/>
      <c r="WPS79" s="684"/>
      <c r="WPT79" s="684"/>
      <c r="WPU79" s="684"/>
      <c r="WPV79" s="684"/>
      <c r="WPW79" s="684"/>
      <c r="WPX79" s="684"/>
      <c r="WPY79" s="684"/>
      <c r="WPZ79" s="684"/>
      <c r="WQA79" s="684"/>
      <c r="WQB79" s="684"/>
      <c r="WQC79" s="684"/>
      <c r="WQD79" s="684"/>
      <c r="WQE79" s="684"/>
      <c r="WQF79" s="684"/>
      <c r="WQG79" s="684"/>
      <c r="WQH79" s="684"/>
      <c r="WQI79" s="684"/>
      <c r="WQJ79" s="684"/>
      <c r="WQK79" s="684"/>
      <c r="WQL79" s="684"/>
      <c r="WQM79" s="684"/>
      <c r="WQN79" s="684"/>
      <c r="WQO79" s="684"/>
      <c r="WQP79" s="684"/>
      <c r="WQQ79" s="684"/>
      <c r="WQR79" s="684"/>
      <c r="WQS79" s="684"/>
      <c r="WQT79" s="684"/>
      <c r="WQU79" s="684"/>
      <c r="WQV79" s="684"/>
      <c r="WQW79" s="684"/>
      <c r="WQX79" s="684"/>
      <c r="WQY79" s="684"/>
      <c r="WQZ79" s="684"/>
      <c r="WRA79" s="684"/>
      <c r="WRB79" s="684"/>
      <c r="WRC79" s="684"/>
      <c r="WRD79" s="684"/>
      <c r="WRE79" s="684"/>
      <c r="WRF79" s="684"/>
      <c r="WRG79" s="684"/>
      <c r="WRH79" s="684"/>
      <c r="WRI79" s="684"/>
      <c r="WRJ79" s="684"/>
      <c r="WRK79" s="684"/>
      <c r="WRL79" s="684"/>
      <c r="WRM79" s="684"/>
      <c r="WRN79" s="684"/>
      <c r="WRO79" s="684"/>
      <c r="WRP79" s="684"/>
      <c r="WRQ79" s="684"/>
      <c r="WRR79" s="684"/>
      <c r="WRS79" s="684"/>
      <c r="WRT79" s="684"/>
      <c r="WRU79" s="684"/>
      <c r="WRV79" s="684"/>
      <c r="WRW79" s="684"/>
      <c r="WRX79" s="684"/>
      <c r="WRY79" s="684"/>
      <c r="WRZ79" s="684"/>
      <c r="WSA79" s="684"/>
      <c r="WSB79" s="684"/>
      <c r="WSC79" s="684"/>
      <c r="WSD79" s="684"/>
      <c r="WSE79" s="684"/>
      <c r="WSF79" s="684"/>
      <c r="WSG79" s="684"/>
      <c r="WSH79" s="684"/>
      <c r="WSI79" s="684"/>
      <c r="WSJ79" s="684"/>
      <c r="WSK79" s="684"/>
      <c r="WSL79" s="684"/>
      <c r="WSM79" s="684"/>
      <c r="WSN79" s="684"/>
      <c r="WSO79" s="684"/>
      <c r="WSP79" s="684"/>
      <c r="WSQ79" s="684"/>
      <c r="WSR79" s="684"/>
      <c r="WSS79" s="684"/>
      <c r="WST79" s="684"/>
      <c r="WSU79" s="684"/>
      <c r="WSV79" s="684"/>
      <c r="WSW79" s="684"/>
      <c r="WSX79" s="684"/>
      <c r="WSY79" s="684"/>
      <c r="WSZ79" s="684"/>
      <c r="WTA79" s="684"/>
      <c r="WTB79" s="684"/>
      <c r="WTC79" s="684"/>
      <c r="WTD79" s="684"/>
      <c r="WTE79" s="684"/>
      <c r="WTF79" s="684"/>
      <c r="WTG79" s="684"/>
      <c r="WTH79" s="684"/>
      <c r="WTI79" s="684"/>
      <c r="WTJ79" s="684"/>
      <c r="WTK79" s="684"/>
      <c r="WTL79" s="684"/>
      <c r="WTM79" s="684"/>
      <c r="WTN79" s="684"/>
      <c r="WTO79" s="684"/>
      <c r="WTP79" s="684"/>
      <c r="WTQ79" s="684"/>
      <c r="WTR79" s="684"/>
      <c r="WTS79" s="684"/>
      <c r="WTT79" s="684"/>
      <c r="WTU79" s="684"/>
      <c r="WTV79" s="684"/>
      <c r="WTW79" s="684"/>
      <c r="WTX79" s="684"/>
      <c r="WTY79" s="684"/>
      <c r="WTZ79" s="684"/>
      <c r="WUA79" s="684"/>
      <c r="WUB79" s="684"/>
      <c r="WUC79" s="684"/>
      <c r="WUD79" s="684"/>
      <c r="WUE79" s="684"/>
      <c r="WUF79" s="684"/>
      <c r="WUG79" s="684"/>
      <c r="WUH79" s="684"/>
      <c r="WUI79" s="684"/>
      <c r="WUJ79" s="684"/>
      <c r="WUK79" s="684"/>
      <c r="WUL79" s="684"/>
      <c r="WUM79" s="684"/>
      <c r="WUN79" s="684"/>
      <c r="WUO79" s="684"/>
      <c r="WUP79" s="684"/>
      <c r="WUQ79" s="684"/>
      <c r="WUR79" s="684"/>
      <c r="WUS79" s="684"/>
      <c r="WUT79" s="684"/>
      <c r="WUU79" s="684"/>
      <c r="WUV79" s="684"/>
      <c r="WUW79" s="684"/>
      <c r="WUX79" s="684"/>
      <c r="WUY79" s="684"/>
      <c r="WUZ79" s="684"/>
      <c r="WVA79" s="684"/>
      <c r="WVB79" s="684"/>
      <c r="WVC79" s="684"/>
      <c r="WVD79" s="684"/>
      <c r="WVE79" s="684"/>
      <c r="WVF79" s="684"/>
      <c r="WVG79" s="684"/>
      <c r="WVH79" s="684"/>
      <c r="WVI79" s="684"/>
      <c r="WVJ79" s="684"/>
      <c r="WVK79" s="684"/>
      <c r="WVL79" s="684"/>
      <c r="WVM79" s="684"/>
      <c r="WVN79" s="684"/>
      <c r="WVO79" s="684"/>
      <c r="WVP79" s="684"/>
      <c r="WVQ79" s="684"/>
      <c r="WVR79" s="684"/>
      <c r="WVS79" s="684"/>
      <c r="WVT79" s="684"/>
      <c r="WVU79" s="684"/>
      <c r="WVV79" s="684"/>
      <c r="WVW79" s="684"/>
      <c r="WVX79" s="684"/>
      <c r="WVY79" s="684"/>
      <c r="WVZ79" s="684"/>
      <c r="WWA79" s="684"/>
      <c r="WWB79" s="684"/>
      <c r="WWC79" s="684"/>
      <c r="WWD79" s="684"/>
      <c r="WWE79" s="684"/>
      <c r="WWF79" s="684"/>
      <c r="WWG79" s="684"/>
      <c r="WWH79" s="684"/>
      <c r="WWI79" s="684"/>
      <c r="WWJ79" s="684"/>
      <c r="WWK79" s="684"/>
      <c r="WWL79" s="684"/>
      <c r="WWM79" s="684"/>
      <c r="WWN79" s="684"/>
      <c r="WWO79" s="684"/>
      <c r="WWP79" s="684"/>
      <c r="WWQ79" s="684"/>
      <c r="WWR79" s="684"/>
      <c r="WWS79" s="684"/>
      <c r="WWT79" s="684"/>
      <c r="WWU79" s="684"/>
      <c r="WWV79" s="684"/>
      <c r="WWW79" s="684"/>
      <c r="WWX79" s="684"/>
      <c r="WWY79" s="684"/>
      <c r="WWZ79" s="684"/>
      <c r="WXA79" s="684"/>
      <c r="WXB79" s="684"/>
      <c r="WXC79" s="684"/>
      <c r="WXD79" s="684"/>
      <c r="WXE79" s="684"/>
      <c r="WXF79" s="684"/>
      <c r="WXG79" s="684"/>
      <c r="WXH79" s="684"/>
      <c r="WXI79" s="684"/>
      <c r="WXJ79" s="684"/>
      <c r="WXK79" s="684"/>
      <c r="WXL79" s="684"/>
      <c r="WXM79" s="684"/>
      <c r="WXN79" s="684"/>
      <c r="WXO79" s="684"/>
      <c r="WXP79" s="684"/>
      <c r="WXQ79" s="684"/>
      <c r="WXR79" s="684"/>
      <c r="WXS79" s="684"/>
      <c r="WXT79" s="684"/>
      <c r="WXU79" s="684"/>
      <c r="WXV79" s="684"/>
      <c r="WXW79" s="684"/>
      <c r="WXX79" s="684"/>
      <c r="WXY79" s="684"/>
      <c r="WXZ79" s="684"/>
      <c r="WYA79" s="684"/>
      <c r="WYB79" s="684"/>
      <c r="WYC79" s="684"/>
      <c r="WYD79" s="684"/>
      <c r="WYE79" s="684"/>
      <c r="WYF79" s="684"/>
      <c r="WYG79" s="684"/>
      <c r="WYH79" s="684"/>
      <c r="WYI79" s="684"/>
      <c r="WYJ79" s="684"/>
      <c r="WYK79" s="684"/>
      <c r="WYL79" s="684"/>
      <c r="WYM79" s="684"/>
      <c r="WYN79" s="684"/>
      <c r="WYO79" s="684"/>
      <c r="WYP79" s="684"/>
      <c r="WYQ79" s="684"/>
      <c r="WYR79" s="684"/>
      <c r="WYS79" s="684"/>
      <c r="WYT79" s="684"/>
      <c r="WYU79" s="684"/>
      <c r="WYV79" s="684"/>
      <c r="WYW79" s="684"/>
      <c r="WYX79" s="684"/>
      <c r="WYY79" s="684"/>
      <c r="WYZ79" s="684"/>
      <c r="WZA79" s="684"/>
      <c r="WZB79" s="684"/>
      <c r="WZC79" s="684"/>
      <c r="WZD79" s="684"/>
      <c r="WZE79" s="684"/>
      <c r="WZF79" s="684"/>
      <c r="WZG79" s="684"/>
      <c r="WZH79" s="684"/>
      <c r="WZI79" s="684"/>
      <c r="WZJ79" s="684"/>
      <c r="WZK79" s="684"/>
      <c r="WZL79" s="684"/>
      <c r="WZM79" s="684"/>
      <c r="WZN79" s="684"/>
      <c r="WZO79" s="684"/>
      <c r="WZP79" s="684"/>
      <c r="WZQ79" s="684"/>
      <c r="WZR79" s="684"/>
      <c r="WZS79" s="684"/>
      <c r="WZT79" s="684"/>
      <c r="WZU79" s="684"/>
      <c r="WZV79" s="684"/>
      <c r="WZW79" s="684"/>
      <c r="WZX79" s="684"/>
      <c r="WZY79" s="684"/>
      <c r="WZZ79" s="684"/>
      <c r="XAA79" s="684"/>
      <c r="XAB79" s="684"/>
      <c r="XAC79" s="684"/>
      <c r="XAD79" s="684"/>
      <c r="XAE79" s="684"/>
      <c r="XAF79" s="684"/>
      <c r="XAG79" s="684"/>
      <c r="XAH79" s="684"/>
      <c r="XAI79" s="684"/>
      <c r="XAJ79" s="684"/>
      <c r="XAK79" s="684"/>
      <c r="XAL79" s="684"/>
      <c r="XAM79" s="684"/>
      <c r="XAN79" s="684"/>
      <c r="XAO79" s="684"/>
      <c r="XAP79" s="684"/>
      <c r="XAQ79" s="684"/>
      <c r="XAR79" s="684"/>
      <c r="XAS79" s="684"/>
      <c r="XAT79" s="684"/>
      <c r="XAU79" s="684"/>
      <c r="XAV79" s="684"/>
      <c r="XAW79" s="684"/>
      <c r="XAX79" s="684"/>
      <c r="XAY79" s="684"/>
      <c r="XAZ79" s="684"/>
      <c r="XBA79" s="684"/>
      <c r="XBB79" s="684"/>
      <c r="XBC79" s="684"/>
      <c r="XBD79" s="684"/>
      <c r="XBE79" s="684"/>
      <c r="XBF79" s="684"/>
      <c r="XBG79" s="684"/>
      <c r="XBH79" s="684"/>
      <c r="XBI79" s="684"/>
      <c r="XBJ79" s="684"/>
      <c r="XBK79" s="684"/>
      <c r="XBL79" s="684"/>
      <c r="XBM79" s="684"/>
      <c r="XBN79" s="684"/>
      <c r="XBO79" s="684"/>
      <c r="XBP79" s="684"/>
      <c r="XBQ79" s="684"/>
      <c r="XBR79" s="684"/>
      <c r="XBS79" s="684"/>
      <c r="XBT79" s="684"/>
      <c r="XBU79" s="684"/>
      <c r="XBV79" s="684"/>
      <c r="XBW79" s="684"/>
      <c r="XBX79" s="684"/>
      <c r="XBY79" s="684"/>
      <c r="XBZ79" s="684"/>
      <c r="XCA79" s="684"/>
      <c r="XCB79" s="684"/>
      <c r="XCC79" s="684"/>
      <c r="XCD79" s="684"/>
      <c r="XCE79" s="684"/>
      <c r="XCF79" s="684"/>
      <c r="XCG79" s="684"/>
      <c r="XCH79" s="684"/>
      <c r="XCI79" s="684"/>
      <c r="XCJ79" s="684"/>
      <c r="XCK79" s="684"/>
      <c r="XCL79" s="684"/>
      <c r="XCM79" s="684"/>
      <c r="XCN79" s="684"/>
      <c r="XCO79" s="684"/>
      <c r="XCP79" s="684"/>
      <c r="XCQ79" s="684"/>
      <c r="XCR79" s="684"/>
      <c r="XCS79" s="684"/>
      <c r="XCT79" s="684"/>
      <c r="XCU79" s="684"/>
      <c r="XCV79" s="684"/>
      <c r="XCW79" s="684"/>
      <c r="XCX79" s="684"/>
      <c r="XCY79" s="684"/>
      <c r="XCZ79" s="684"/>
      <c r="XDA79" s="684"/>
      <c r="XDB79" s="684"/>
      <c r="XDC79" s="684"/>
      <c r="XDD79" s="684"/>
      <c r="XDE79" s="684"/>
      <c r="XDF79" s="684"/>
      <c r="XDG79" s="684"/>
      <c r="XDH79" s="684"/>
      <c r="XDI79" s="684"/>
      <c r="XDJ79" s="684"/>
      <c r="XDK79" s="684"/>
      <c r="XDL79" s="684"/>
      <c r="XDM79" s="684"/>
      <c r="XDN79" s="684"/>
      <c r="XDO79" s="684"/>
      <c r="XDP79" s="684"/>
      <c r="XDQ79" s="684"/>
      <c r="XDR79" s="684"/>
      <c r="XDS79" s="684"/>
      <c r="XDT79" s="684"/>
      <c r="XDU79" s="684"/>
      <c r="XDV79" s="684"/>
      <c r="XDW79" s="684"/>
      <c r="XDX79" s="684"/>
      <c r="XDY79" s="684"/>
      <c r="XDZ79" s="684"/>
      <c r="XEA79" s="684"/>
      <c r="XEB79" s="684"/>
      <c r="XEC79" s="684"/>
      <c r="XED79" s="684"/>
      <c r="XEE79" s="684"/>
      <c r="XEF79" s="684"/>
      <c r="XEG79" s="684"/>
      <c r="XEH79" s="684"/>
      <c r="XEI79" s="684"/>
      <c r="XEJ79" s="684"/>
      <c r="XEK79" s="684"/>
      <c r="XEL79" s="684"/>
      <c r="XEM79" s="684"/>
      <c r="XEN79" s="684"/>
      <c r="XEO79" s="684"/>
      <c r="XEP79" s="684"/>
      <c r="XEQ79" s="684"/>
      <c r="XER79" s="684"/>
      <c r="XES79" s="684"/>
      <c r="XET79" s="684"/>
      <c r="XEU79" s="684"/>
      <c r="XEV79" s="684"/>
      <c r="XEW79" s="684"/>
      <c r="XEX79" s="684"/>
      <c r="XEY79" s="684"/>
      <c r="XEZ79" s="684"/>
      <c r="XFA79" s="684"/>
      <c r="XFB79" s="684"/>
      <c r="XFC79" s="684"/>
      <c r="XFD79" s="684"/>
    </row>
    <row r="80" spans="1:16384" s="853" customFormat="1" ht="13.5" thickBot="1">
      <c r="A80" s="1120" t="s">
        <v>2515</v>
      </c>
      <c r="B80" s="1121" t="s">
        <v>2521</v>
      </c>
      <c r="C80" s="1121" t="s">
        <v>2521</v>
      </c>
      <c r="D80" s="4281"/>
      <c r="E80" s="4388"/>
      <c r="F80" s="4279"/>
      <c r="G80" s="4281"/>
      <c r="H80" s="4207"/>
      <c r="I80" s="4207"/>
      <c r="J80" s="684"/>
      <c r="K80" s="684"/>
      <c r="L80" s="684"/>
      <c r="M80" s="684"/>
      <c r="N80" s="684"/>
      <c r="O80" s="684"/>
      <c r="P80" s="684"/>
      <c r="Q80" s="684"/>
      <c r="R80" s="684"/>
      <c r="S80" s="684"/>
      <c r="T80" s="684"/>
      <c r="U80" s="684"/>
      <c r="V80" s="684"/>
      <c r="W80" s="684"/>
      <c r="X80" s="684"/>
      <c r="Y80" s="684"/>
      <c r="Z80" s="684"/>
      <c r="AA80" s="684"/>
      <c r="AB80" s="684"/>
      <c r="AC80" s="684"/>
      <c r="AD80" s="684"/>
      <c r="AE80" s="684"/>
      <c r="AF80" s="684"/>
      <c r="AG80" s="684"/>
      <c r="AH80" s="684"/>
      <c r="AI80" s="684"/>
      <c r="AJ80" s="684"/>
      <c r="AK80" s="684"/>
      <c r="AL80" s="684"/>
      <c r="AM80" s="684"/>
      <c r="AN80" s="684"/>
      <c r="AO80" s="684"/>
      <c r="AP80" s="684"/>
      <c r="AQ80" s="684"/>
      <c r="AR80" s="684"/>
      <c r="AS80" s="684"/>
      <c r="AT80" s="684"/>
      <c r="AU80" s="684"/>
      <c r="AV80" s="684"/>
      <c r="AW80" s="684"/>
      <c r="AX80" s="684"/>
      <c r="AY80" s="684"/>
      <c r="AZ80" s="684"/>
      <c r="BA80" s="684"/>
      <c r="BB80" s="684"/>
      <c r="BC80" s="684"/>
      <c r="BD80" s="684"/>
      <c r="BE80" s="684"/>
      <c r="BF80" s="684"/>
      <c r="BG80" s="684"/>
      <c r="BH80" s="684"/>
      <c r="BI80" s="684"/>
      <c r="BJ80" s="684"/>
      <c r="BK80" s="684"/>
      <c r="BL80" s="684"/>
      <c r="BM80" s="684"/>
      <c r="BN80" s="684"/>
      <c r="BO80" s="684"/>
      <c r="BP80" s="684"/>
      <c r="BQ80" s="684"/>
      <c r="BR80" s="684"/>
      <c r="BS80" s="684"/>
      <c r="BT80" s="684"/>
      <c r="BU80" s="684"/>
      <c r="BV80" s="684"/>
      <c r="BW80" s="684"/>
      <c r="BX80" s="684"/>
      <c r="BY80" s="684"/>
      <c r="BZ80" s="684"/>
      <c r="CA80" s="684"/>
      <c r="CB80" s="684"/>
      <c r="CC80" s="684"/>
      <c r="CD80" s="684"/>
      <c r="CE80" s="684"/>
      <c r="CF80" s="684"/>
      <c r="CG80" s="684"/>
      <c r="CH80" s="684"/>
      <c r="CI80" s="684"/>
      <c r="CJ80" s="684"/>
      <c r="CK80" s="684"/>
      <c r="CL80" s="684"/>
      <c r="CM80" s="684"/>
      <c r="CN80" s="684"/>
      <c r="CO80" s="684"/>
      <c r="CP80" s="684"/>
      <c r="CQ80" s="684"/>
      <c r="CR80" s="684"/>
      <c r="CS80" s="684"/>
      <c r="CT80" s="684"/>
      <c r="CU80" s="684"/>
      <c r="CV80" s="684"/>
      <c r="CW80" s="684"/>
      <c r="CX80" s="684"/>
      <c r="CY80" s="684"/>
      <c r="CZ80" s="684"/>
      <c r="DA80" s="684"/>
      <c r="DB80" s="684"/>
      <c r="DC80" s="684"/>
      <c r="DD80" s="684"/>
      <c r="DE80" s="684"/>
      <c r="DF80" s="684"/>
      <c r="DG80" s="684"/>
      <c r="DH80" s="684"/>
      <c r="DI80" s="684"/>
      <c r="DJ80" s="684"/>
      <c r="DK80" s="684"/>
      <c r="DL80" s="684"/>
      <c r="DM80" s="684"/>
      <c r="DN80" s="684"/>
      <c r="DO80" s="684"/>
      <c r="DP80" s="684"/>
      <c r="DQ80" s="684"/>
      <c r="DR80" s="684"/>
      <c r="DS80" s="684"/>
      <c r="DT80" s="684"/>
      <c r="DU80" s="684"/>
      <c r="DV80" s="684"/>
      <c r="DW80" s="684"/>
      <c r="DX80" s="684"/>
      <c r="DY80" s="684"/>
      <c r="DZ80" s="684"/>
      <c r="EA80" s="684"/>
      <c r="EB80" s="684"/>
      <c r="EC80" s="684"/>
      <c r="ED80" s="684"/>
      <c r="EE80" s="684"/>
      <c r="EF80" s="684"/>
      <c r="EG80" s="684"/>
      <c r="EH80" s="684"/>
      <c r="EI80" s="684"/>
      <c r="EJ80" s="684"/>
      <c r="EK80" s="684"/>
      <c r="EL80" s="684"/>
      <c r="EM80" s="684"/>
      <c r="EN80" s="684"/>
      <c r="EO80" s="684"/>
      <c r="EP80" s="684"/>
      <c r="EQ80" s="684"/>
      <c r="ER80" s="684"/>
      <c r="ES80" s="684"/>
      <c r="ET80" s="684"/>
      <c r="EU80" s="684"/>
      <c r="EV80" s="684"/>
      <c r="EW80" s="684"/>
      <c r="EX80" s="684"/>
      <c r="EY80" s="684"/>
      <c r="EZ80" s="684"/>
      <c r="FA80" s="684"/>
      <c r="FB80" s="684"/>
      <c r="FC80" s="684"/>
      <c r="FD80" s="684"/>
      <c r="FE80" s="684"/>
      <c r="FF80" s="684"/>
      <c r="FG80" s="684"/>
      <c r="FH80" s="684"/>
      <c r="FI80" s="684"/>
      <c r="FJ80" s="684"/>
      <c r="FK80" s="684"/>
      <c r="FL80" s="684"/>
      <c r="FM80" s="684"/>
      <c r="FN80" s="684"/>
      <c r="FO80" s="684"/>
      <c r="FP80" s="684"/>
      <c r="FQ80" s="684"/>
      <c r="FR80" s="684"/>
      <c r="FS80" s="684"/>
      <c r="FT80" s="684"/>
      <c r="FU80" s="684"/>
      <c r="FV80" s="684"/>
      <c r="FW80" s="684"/>
      <c r="FX80" s="684"/>
      <c r="FY80" s="684"/>
      <c r="FZ80" s="684"/>
      <c r="GA80" s="684"/>
      <c r="GB80" s="684"/>
      <c r="GC80" s="684"/>
      <c r="GD80" s="684"/>
      <c r="GE80" s="684"/>
      <c r="GF80" s="684"/>
      <c r="GG80" s="684"/>
      <c r="GH80" s="684"/>
      <c r="GI80" s="684"/>
      <c r="GJ80" s="684"/>
      <c r="GK80" s="684"/>
      <c r="GL80" s="684"/>
      <c r="GM80" s="684"/>
      <c r="GN80" s="684"/>
      <c r="GO80" s="684"/>
      <c r="GP80" s="684"/>
      <c r="GQ80" s="684"/>
      <c r="GR80" s="684"/>
      <c r="GS80" s="684"/>
      <c r="GT80" s="684"/>
      <c r="GU80" s="684"/>
      <c r="GV80" s="684"/>
      <c r="GW80" s="684"/>
      <c r="GX80" s="684"/>
      <c r="GY80" s="684"/>
      <c r="GZ80" s="684"/>
      <c r="HA80" s="684"/>
      <c r="HB80" s="684"/>
      <c r="HC80" s="684"/>
      <c r="HD80" s="684"/>
      <c r="HE80" s="684"/>
      <c r="HF80" s="684"/>
      <c r="HG80" s="684"/>
      <c r="HH80" s="684"/>
      <c r="HI80" s="684"/>
      <c r="HJ80" s="684"/>
      <c r="HK80" s="684"/>
      <c r="HL80" s="684"/>
      <c r="HM80" s="684"/>
      <c r="HN80" s="684"/>
      <c r="HO80" s="684"/>
      <c r="HP80" s="684"/>
      <c r="HQ80" s="684"/>
      <c r="HR80" s="684"/>
      <c r="HS80" s="684"/>
      <c r="HT80" s="684"/>
      <c r="HU80" s="684"/>
      <c r="HV80" s="684"/>
      <c r="HW80" s="684"/>
      <c r="HX80" s="684"/>
      <c r="HY80" s="684"/>
      <c r="HZ80" s="684"/>
      <c r="IA80" s="684"/>
      <c r="IB80" s="684"/>
      <c r="IC80" s="684"/>
      <c r="ID80" s="684"/>
      <c r="IE80" s="684"/>
      <c r="IF80" s="684"/>
      <c r="IG80" s="684"/>
      <c r="IH80" s="684"/>
      <c r="II80" s="684"/>
      <c r="IJ80" s="684"/>
      <c r="IK80" s="684"/>
      <c r="IL80" s="684"/>
      <c r="IM80" s="684"/>
      <c r="IN80" s="684"/>
      <c r="IO80" s="684"/>
      <c r="IP80" s="684"/>
      <c r="IQ80" s="684"/>
      <c r="IR80" s="684"/>
      <c r="IS80" s="684"/>
      <c r="IT80" s="684"/>
      <c r="IU80" s="684"/>
      <c r="IV80" s="684"/>
      <c r="IW80" s="684"/>
      <c r="IX80" s="684"/>
      <c r="IY80" s="684"/>
      <c r="IZ80" s="684"/>
      <c r="JA80" s="684"/>
      <c r="JB80" s="684"/>
      <c r="JC80" s="684"/>
      <c r="JD80" s="684"/>
      <c r="JE80" s="684"/>
      <c r="JF80" s="684"/>
      <c r="JG80" s="684"/>
      <c r="JH80" s="684"/>
      <c r="JI80" s="684"/>
      <c r="JJ80" s="684"/>
      <c r="JK80" s="684"/>
      <c r="JL80" s="684"/>
      <c r="JM80" s="684"/>
      <c r="JN80" s="684"/>
      <c r="JO80" s="684"/>
      <c r="JP80" s="684"/>
      <c r="JQ80" s="684"/>
      <c r="JR80" s="684"/>
      <c r="JS80" s="684"/>
      <c r="JT80" s="684"/>
      <c r="JU80" s="684"/>
      <c r="JV80" s="684"/>
      <c r="JW80" s="684"/>
      <c r="JX80" s="684"/>
      <c r="JY80" s="684"/>
      <c r="JZ80" s="684"/>
      <c r="KA80" s="684"/>
      <c r="KB80" s="684"/>
      <c r="KC80" s="684"/>
      <c r="KD80" s="684"/>
      <c r="KE80" s="684"/>
      <c r="KF80" s="684"/>
      <c r="KG80" s="684"/>
      <c r="KH80" s="684"/>
      <c r="KI80" s="684"/>
      <c r="KJ80" s="684"/>
      <c r="KK80" s="684"/>
      <c r="KL80" s="684"/>
      <c r="KM80" s="684"/>
      <c r="KN80" s="684"/>
      <c r="KO80" s="684"/>
      <c r="KP80" s="684"/>
      <c r="KQ80" s="684"/>
      <c r="KR80" s="684"/>
      <c r="KS80" s="684"/>
      <c r="KT80" s="684"/>
      <c r="KU80" s="684"/>
      <c r="KV80" s="684"/>
      <c r="KW80" s="684"/>
      <c r="KX80" s="684"/>
      <c r="KY80" s="684"/>
      <c r="KZ80" s="684"/>
      <c r="LA80" s="684"/>
      <c r="LB80" s="684"/>
      <c r="LC80" s="684"/>
      <c r="LD80" s="684"/>
      <c r="LE80" s="684"/>
      <c r="LF80" s="684"/>
      <c r="LG80" s="684"/>
      <c r="LH80" s="684"/>
      <c r="LI80" s="684"/>
      <c r="LJ80" s="684"/>
      <c r="LK80" s="684"/>
      <c r="LL80" s="684"/>
      <c r="LM80" s="684"/>
      <c r="LN80" s="684"/>
      <c r="LO80" s="684"/>
      <c r="LP80" s="684"/>
      <c r="LQ80" s="684"/>
      <c r="LR80" s="684"/>
      <c r="LS80" s="684"/>
      <c r="LT80" s="684"/>
      <c r="LU80" s="684"/>
      <c r="LV80" s="684"/>
      <c r="LW80" s="684"/>
      <c r="LX80" s="684"/>
      <c r="LY80" s="684"/>
      <c r="LZ80" s="684"/>
      <c r="MA80" s="684"/>
      <c r="MB80" s="684"/>
      <c r="MC80" s="684"/>
      <c r="MD80" s="684"/>
      <c r="ME80" s="684"/>
      <c r="MF80" s="684"/>
      <c r="MG80" s="684"/>
      <c r="MH80" s="684"/>
      <c r="MI80" s="684"/>
      <c r="MJ80" s="684"/>
      <c r="MK80" s="684"/>
      <c r="ML80" s="684"/>
      <c r="MM80" s="684"/>
      <c r="MN80" s="684"/>
      <c r="MO80" s="684"/>
      <c r="MP80" s="684"/>
      <c r="MQ80" s="684"/>
      <c r="MR80" s="684"/>
      <c r="MS80" s="684"/>
      <c r="MT80" s="684"/>
      <c r="MU80" s="684"/>
      <c r="MV80" s="684"/>
      <c r="MW80" s="684"/>
      <c r="MX80" s="684"/>
      <c r="MY80" s="684"/>
      <c r="MZ80" s="684"/>
      <c r="NA80" s="684"/>
      <c r="NB80" s="684"/>
      <c r="NC80" s="684"/>
      <c r="ND80" s="684"/>
      <c r="NE80" s="684"/>
      <c r="NF80" s="684"/>
      <c r="NG80" s="684"/>
      <c r="NH80" s="684"/>
      <c r="NI80" s="684"/>
      <c r="NJ80" s="684"/>
      <c r="NK80" s="684"/>
      <c r="NL80" s="684"/>
      <c r="NM80" s="684"/>
      <c r="NN80" s="684"/>
      <c r="NO80" s="684"/>
      <c r="NP80" s="684"/>
      <c r="NQ80" s="684"/>
      <c r="NR80" s="684"/>
      <c r="NS80" s="684"/>
      <c r="NT80" s="684"/>
      <c r="NU80" s="684"/>
      <c r="NV80" s="684"/>
      <c r="NW80" s="684"/>
      <c r="NX80" s="684"/>
      <c r="NY80" s="684"/>
      <c r="NZ80" s="684"/>
      <c r="OA80" s="684"/>
      <c r="OB80" s="684"/>
      <c r="OC80" s="684"/>
      <c r="OD80" s="684"/>
      <c r="OE80" s="684"/>
      <c r="OF80" s="684"/>
      <c r="OG80" s="684"/>
      <c r="OH80" s="684"/>
      <c r="OI80" s="684"/>
      <c r="OJ80" s="684"/>
      <c r="OK80" s="684"/>
      <c r="OL80" s="684"/>
      <c r="OM80" s="684"/>
      <c r="ON80" s="684"/>
      <c r="OO80" s="684"/>
      <c r="OP80" s="684"/>
      <c r="OQ80" s="684"/>
      <c r="OR80" s="684"/>
      <c r="OS80" s="684"/>
      <c r="OT80" s="684"/>
      <c r="OU80" s="684"/>
      <c r="OV80" s="684"/>
      <c r="OW80" s="684"/>
      <c r="OX80" s="684"/>
      <c r="OY80" s="684"/>
      <c r="OZ80" s="684"/>
      <c r="PA80" s="684"/>
      <c r="PB80" s="684"/>
      <c r="PC80" s="684"/>
      <c r="PD80" s="684"/>
      <c r="PE80" s="684"/>
      <c r="PF80" s="684"/>
      <c r="PG80" s="684"/>
      <c r="PH80" s="684"/>
      <c r="PI80" s="684"/>
      <c r="PJ80" s="684"/>
      <c r="PK80" s="684"/>
      <c r="PL80" s="684"/>
      <c r="PM80" s="684"/>
      <c r="PN80" s="684"/>
      <c r="PO80" s="684"/>
      <c r="PP80" s="684"/>
      <c r="PQ80" s="684"/>
      <c r="PR80" s="684"/>
      <c r="PS80" s="684"/>
      <c r="PT80" s="684"/>
      <c r="PU80" s="684"/>
      <c r="PV80" s="684"/>
      <c r="PW80" s="684"/>
      <c r="PX80" s="684"/>
      <c r="PY80" s="684"/>
      <c r="PZ80" s="684"/>
      <c r="QA80" s="684"/>
      <c r="QB80" s="684"/>
      <c r="QC80" s="684"/>
      <c r="QD80" s="684"/>
      <c r="QE80" s="684"/>
      <c r="QF80" s="684"/>
      <c r="QG80" s="684"/>
      <c r="QH80" s="684"/>
      <c r="QI80" s="684"/>
      <c r="QJ80" s="684"/>
      <c r="QK80" s="684"/>
      <c r="QL80" s="684"/>
      <c r="QM80" s="684"/>
      <c r="QN80" s="684"/>
      <c r="QO80" s="684"/>
      <c r="QP80" s="684"/>
      <c r="QQ80" s="684"/>
      <c r="QR80" s="684"/>
      <c r="QS80" s="684"/>
      <c r="QT80" s="684"/>
      <c r="QU80" s="684"/>
      <c r="QV80" s="684"/>
      <c r="QW80" s="684"/>
      <c r="QX80" s="684"/>
      <c r="QY80" s="684"/>
      <c r="QZ80" s="684"/>
      <c r="RA80" s="684"/>
      <c r="RB80" s="684"/>
      <c r="RC80" s="684"/>
      <c r="RD80" s="684"/>
      <c r="RE80" s="684"/>
      <c r="RF80" s="684"/>
      <c r="RG80" s="684"/>
      <c r="RH80" s="684"/>
      <c r="RI80" s="684"/>
      <c r="RJ80" s="684"/>
      <c r="RK80" s="684"/>
      <c r="RL80" s="684"/>
      <c r="RM80" s="684"/>
      <c r="RN80" s="684"/>
      <c r="RO80" s="684"/>
      <c r="RP80" s="684"/>
      <c r="RQ80" s="684"/>
      <c r="RR80" s="684"/>
      <c r="RS80" s="684"/>
      <c r="RT80" s="684"/>
      <c r="RU80" s="684"/>
      <c r="RV80" s="684"/>
      <c r="RW80" s="684"/>
      <c r="RX80" s="684"/>
      <c r="RY80" s="684"/>
      <c r="RZ80" s="684"/>
      <c r="SA80" s="684"/>
      <c r="SB80" s="684"/>
      <c r="SC80" s="684"/>
      <c r="SD80" s="684"/>
      <c r="SE80" s="684"/>
      <c r="SF80" s="684"/>
      <c r="SG80" s="684"/>
      <c r="SH80" s="684"/>
      <c r="SI80" s="684"/>
      <c r="SJ80" s="684"/>
      <c r="SK80" s="684"/>
      <c r="SL80" s="684"/>
      <c r="SM80" s="684"/>
      <c r="SN80" s="684"/>
      <c r="SO80" s="684"/>
      <c r="SP80" s="684"/>
      <c r="SQ80" s="684"/>
      <c r="SR80" s="684"/>
      <c r="SS80" s="684"/>
      <c r="ST80" s="684"/>
      <c r="SU80" s="684"/>
      <c r="SV80" s="684"/>
      <c r="SW80" s="684"/>
      <c r="SX80" s="684"/>
      <c r="SY80" s="684"/>
      <c r="SZ80" s="684"/>
      <c r="TA80" s="684"/>
      <c r="TB80" s="684"/>
      <c r="TC80" s="684"/>
      <c r="TD80" s="684"/>
      <c r="TE80" s="684"/>
      <c r="TF80" s="684"/>
      <c r="TG80" s="684"/>
      <c r="TH80" s="684"/>
      <c r="TI80" s="684"/>
      <c r="TJ80" s="684"/>
      <c r="TK80" s="684"/>
      <c r="TL80" s="684"/>
      <c r="TM80" s="684"/>
      <c r="TN80" s="684"/>
      <c r="TO80" s="684"/>
      <c r="TP80" s="684"/>
      <c r="TQ80" s="684"/>
      <c r="TR80" s="684"/>
      <c r="TS80" s="684"/>
      <c r="TT80" s="684"/>
      <c r="TU80" s="684"/>
      <c r="TV80" s="684"/>
      <c r="TW80" s="684"/>
      <c r="TX80" s="684"/>
      <c r="TY80" s="684"/>
      <c r="TZ80" s="684"/>
      <c r="UA80" s="684"/>
      <c r="UB80" s="684"/>
      <c r="UC80" s="684"/>
      <c r="UD80" s="684"/>
      <c r="UE80" s="684"/>
      <c r="UF80" s="684"/>
      <c r="UG80" s="684"/>
      <c r="UH80" s="684"/>
      <c r="UI80" s="684"/>
      <c r="UJ80" s="684"/>
      <c r="UK80" s="684"/>
      <c r="UL80" s="684"/>
      <c r="UM80" s="684"/>
      <c r="UN80" s="684"/>
      <c r="UO80" s="684"/>
      <c r="UP80" s="684"/>
      <c r="UQ80" s="684"/>
      <c r="UR80" s="684"/>
      <c r="US80" s="684"/>
      <c r="UT80" s="684"/>
      <c r="UU80" s="684"/>
      <c r="UV80" s="684"/>
      <c r="UW80" s="684"/>
      <c r="UX80" s="684"/>
      <c r="UY80" s="684"/>
      <c r="UZ80" s="684"/>
      <c r="VA80" s="684"/>
      <c r="VB80" s="684"/>
      <c r="VC80" s="684"/>
      <c r="VD80" s="684"/>
      <c r="VE80" s="684"/>
      <c r="VF80" s="684"/>
      <c r="VG80" s="684"/>
      <c r="VH80" s="684"/>
      <c r="VI80" s="684"/>
      <c r="VJ80" s="684"/>
      <c r="VK80" s="684"/>
      <c r="VL80" s="684"/>
      <c r="VM80" s="684"/>
      <c r="VN80" s="684"/>
      <c r="VO80" s="684"/>
      <c r="VP80" s="684"/>
      <c r="VQ80" s="684"/>
      <c r="VR80" s="684"/>
      <c r="VS80" s="684"/>
      <c r="VT80" s="684"/>
      <c r="VU80" s="684"/>
      <c r="VV80" s="684"/>
      <c r="VW80" s="684"/>
      <c r="VX80" s="684"/>
      <c r="VY80" s="684"/>
      <c r="VZ80" s="684"/>
      <c r="WA80" s="684"/>
      <c r="WB80" s="684"/>
      <c r="WC80" s="684"/>
      <c r="WD80" s="684"/>
      <c r="WE80" s="684"/>
      <c r="WF80" s="684"/>
      <c r="WG80" s="684"/>
      <c r="WH80" s="684"/>
      <c r="WI80" s="684"/>
      <c r="WJ80" s="684"/>
      <c r="WK80" s="684"/>
      <c r="WL80" s="684"/>
      <c r="WM80" s="684"/>
      <c r="WN80" s="684"/>
      <c r="WO80" s="684"/>
      <c r="WP80" s="684"/>
      <c r="WQ80" s="684"/>
      <c r="WR80" s="684"/>
      <c r="WS80" s="684"/>
      <c r="WT80" s="684"/>
      <c r="WU80" s="684"/>
      <c r="WV80" s="684"/>
      <c r="WW80" s="684"/>
      <c r="WX80" s="684"/>
      <c r="WY80" s="684"/>
      <c r="WZ80" s="684"/>
      <c r="XA80" s="684"/>
      <c r="XB80" s="684"/>
      <c r="XC80" s="684"/>
      <c r="XD80" s="684"/>
      <c r="XE80" s="684"/>
      <c r="XF80" s="684"/>
      <c r="XG80" s="684"/>
      <c r="XH80" s="684"/>
      <c r="XI80" s="684"/>
      <c r="XJ80" s="684"/>
      <c r="XK80" s="684"/>
      <c r="XL80" s="684"/>
      <c r="XM80" s="684"/>
      <c r="XN80" s="684"/>
      <c r="XO80" s="684"/>
      <c r="XP80" s="684"/>
      <c r="XQ80" s="684"/>
      <c r="XR80" s="684"/>
      <c r="XS80" s="684"/>
      <c r="XT80" s="684"/>
      <c r="XU80" s="684"/>
      <c r="XV80" s="684"/>
      <c r="XW80" s="684"/>
      <c r="XX80" s="684"/>
      <c r="XY80" s="684"/>
      <c r="XZ80" s="684"/>
      <c r="YA80" s="684"/>
      <c r="YB80" s="684"/>
      <c r="YC80" s="684"/>
      <c r="YD80" s="684"/>
      <c r="YE80" s="684"/>
      <c r="YF80" s="684"/>
      <c r="YG80" s="684"/>
      <c r="YH80" s="684"/>
      <c r="YI80" s="684"/>
      <c r="YJ80" s="684"/>
      <c r="YK80" s="684"/>
      <c r="YL80" s="684"/>
      <c r="YM80" s="684"/>
      <c r="YN80" s="684"/>
      <c r="YO80" s="684"/>
      <c r="YP80" s="684"/>
      <c r="YQ80" s="684"/>
      <c r="YR80" s="684"/>
      <c r="YS80" s="684"/>
      <c r="YT80" s="684"/>
      <c r="YU80" s="684"/>
      <c r="YV80" s="684"/>
      <c r="YW80" s="684"/>
      <c r="YX80" s="684"/>
      <c r="YY80" s="684"/>
      <c r="YZ80" s="684"/>
      <c r="ZA80" s="684"/>
      <c r="ZB80" s="684"/>
      <c r="ZC80" s="684"/>
      <c r="ZD80" s="684"/>
      <c r="ZE80" s="684"/>
      <c r="ZF80" s="684"/>
      <c r="ZG80" s="684"/>
      <c r="ZH80" s="684"/>
      <c r="ZI80" s="684"/>
      <c r="ZJ80" s="684"/>
      <c r="ZK80" s="684"/>
      <c r="ZL80" s="684"/>
      <c r="ZM80" s="684"/>
      <c r="ZN80" s="684"/>
      <c r="ZO80" s="684"/>
      <c r="ZP80" s="684"/>
      <c r="ZQ80" s="684"/>
      <c r="ZR80" s="684"/>
      <c r="ZS80" s="684"/>
      <c r="ZT80" s="684"/>
      <c r="ZU80" s="684"/>
      <c r="ZV80" s="684"/>
      <c r="ZW80" s="684"/>
      <c r="ZX80" s="684"/>
      <c r="ZY80" s="684"/>
      <c r="ZZ80" s="684"/>
      <c r="AAA80" s="684"/>
      <c r="AAB80" s="684"/>
      <c r="AAC80" s="684"/>
      <c r="AAD80" s="684"/>
      <c r="AAE80" s="684"/>
      <c r="AAF80" s="684"/>
      <c r="AAG80" s="684"/>
      <c r="AAH80" s="684"/>
      <c r="AAI80" s="684"/>
      <c r="AAJ80" s="684"/>
      <c r="AAK80" s="684"/>
      <c r="AAL80" s="684"/>
      <c r="AAM80" s="684"/>
      <c r="AAN80" s="684"/>
      <c r="AAO80" s="684"/>
      <c r="AAP80" s="684"/>
      <c r="AAQ80" s="684"/>
      <c r="AAR80" s="684"/>
      <c r="AAS80" s="684"/>
      <c r="AAT80" s="684"/>
      <c r="AAU80" s="684"/>
      <c r="AAV80" s="684"/>
      <c r="AAW80" s="684"/>
      <c r="AAX80" s="684"/>
      <c r="AAY80" s="684"/>
      <c r="AAZ80" s="684"/>
      <c r="ABA80" s="684"/>
      <c r="ABB80" s="684"/>
      <c r="ABC80" s="684"/>
      <c r="ABD80" s="684"/>
      <c r="ABE80" s="684"/>
      <c r="ABF80" s="684"/>
      <c r="ABG80" s="684"/>
      <c r="ABH80" s="684"/>
      <c r="ABI80" s="684"/>
      <c r="ABJ80" s="684"/>
      <c r="ABK80" s="684"/>
      <c r="ABL80" s="684"/>
      <c r="ABM80" s="684"/>
      <c r="ABN80" s="684"/>
      <c r="ABO80" s="684"/>
      <c r="ABP80" s="684"/>
      <c r="ABQ80" s="684"/>
      <c r="ABR80" s="684"/>
      <c r="ABS80" s="684"/>
      <c r="ABT80" s="684"/>
      <c r="ABU80" s="684"/>
      <c r="ABV80" s="684"/>
      <c r="ABW80" s="684"/>
      <c r="ABX80" s="684"/>
      <c r="ABY80" s="684"/>
      <c r="ABZ80" s="684"/>
      <c r="ACA80" s="684"/>
      <c r="ACB80" s="684"/>
      <c r="ACC80" s="684"/>
      <c r="ACD80" s="684"/>
      <c r="ACE80" s="684"/>
      <c r="ACF80" s="684"/>
      <c r="ACG80" s="684"/>
      <c r="ACH80" s="684"/>
      <c r="ACI80" s="684"/>
      <c r="ACJ80" s="684"/>
      <c r="ACK80" s="684"/>
      <c r="ACL80" s="684"/>
      <c r="ACM80" s="684"/>
      <c r="ACN80" s="684"/>
      <c r="ACO80" s="684"/>
      <c r="ACP80" s="684"/>
      <c r="ACQ80" s="684"/>
      <c r="ACR80" s="684"/>
      <c r="ACS80" s="684"/>
      <c r="ACT80" s="684"/>
      <c r="ACU80" s="684"/>
      <c r="ACV80" s="684"/>
      <c r="ACW80" s="684"/>
      <c r="ACX80" s="684"/>
      <c r="ACY80" s="684"/>
      <c r="ACZ80" s="684"/>
      <c r="ADA80" s="684"/>
      <c r="ADB80" s="684"/>
      <c r="ADC80" s="684"/>
      <c r="ADD80" s="684"/>
      <c r="ADE80" s="684"/>
      <c r="ADF80" s="684"/>
      <c r="ADG80" s="684"/>
      <c r="ADH80" s="684"/>
      <c r="ADI80" s="684"/>
      <c r="ADJ80" s="684"/>
      <c r="ADK80" s="684"/>
      <c r="ADL80" s="684"/>
      <c r="ADM80" s="684"/>
      <c r="ADN80" s="684"/>
      <c r="ADO80" s="684"/>
      <c r="ADP80" s="684"/>
      <c r="ADQ80" s="684"/>
      <c r="ADR80" s="684"/>
      <c r="ADS80" s="684"/>
      <c r="ADT80" s="684"/>
      <c r="ADU80" s="684"/>
      <c r="ADV80" s="684"/>
      <c r="ADW80" s="684"/>
      <c r="ADX80" s="684"/>
      <c r="ADY80" s="684"/>
      <c r="ADZ80" s="684"/>
      <c r="AEA80" s="684"/>
      <c r="AEB80" s="684"/>
      <c r="AEC80" s="684"/>
      <c r="AED80" s="684"/>
      <c r="AEE80" s="684"/>
      <c r="AEF80" s="684"/>
      <c r="AEG80" s="684"/>
      <c r="AEH80" s="684"/>
      <c r="AEI80" s="684"/>
      <c r="AEJ80" s="684"/>
      <c r="AEK80" s="684"/>
      <c r="AEL80" s="684"/>
      <c r="AEM80" s="684"/>
      <c r="AEN80" s="684"/>
      <c r="AEO80" s="684"/>
      <c r="AEP80" s="684"/>
      <c r="AEQ80" s="684"/>
      <c r="AER80" s="684"/>
      <c r="AES80" s="684"/>
      <c r="AET80" s="684"/>
      <c r="AEU80" s="684"/>
      <c r="AEV80" s="684"/>
      <c r="AEW80" s="684"/>
      <c r="AEX80" s="684"/>
      <c r="AEY80" s="684"/>
      <c r="AEZ80" s="684"/>
      <c r="AFA80" s="684"/>
      <c r="AFB80" s="684"/>
      <c r="AFC80" s="684"/>
      <c r="AFD80" s="684"/>
      <c r="AFE80" s="684"/>
      <c r="AFF80" s="684"/>
      <c r="AFG80" s="684"/>
      <c r="AFH80" s="684"/>
      <c r="AFI80" s="684"/>
      <c r="AFJ80" s="684"/>
      <c r="AFK80" s="684"/>
      <c r="AFL80" s="684"/>
      <c r="AFM80" s="684"/>
      <c r="AFN80" s="684"/>
      <c r="AFO80" s="684"/>
      <c r="AFP80" s="684"/>
      <c r="AFQ80" s="684"/>
      <c r="AFR80" s="684"/>
      <c r="AFS80" s="684"/>
      <c r="AFT80" s="684"/>
      <c r="AFU80" s="684"/>
      <c r="AFV80" s="684"/>
      <c r="AFW80" s="684"/>
      <c r="AFX80" s="684"/>
      <c r="AFY80" s="684"/>
      <c r="AFZ80" s="684"/>
      <c r="AGA80" s="684"/>
      <c r="AGB80" s="684"/>
      <c r="AGC80" s="684"/>
      <c r="AGD80" s="684"/>
      <c r="AGE80" s="684"/>
      <c r="AGF80" s="684"/>
      <c r="AGG80" s="684"/>
      <c r="AGH80" s="684"/>
      <c r="AGI80" s="684"/>
      <c r="AGJ80" s="684"/>
      <c r="AGK80" s="684"/>
      <c r="AGL80" s="684"/>
      <c r="AGM80" s="684"/>
      <c r="AGN80" s="684"/>
      <c r="AGO80" s="684"/>
      <c r="AGP80" s="684"/>
      <c r="AGQ80" s="684"/>
      <c r="AGR80" s="684"/>
      <c r="AGS80" s="684"/>
      <c r="AGT80" s="684"/>
      <c r="AGU80" s="684"/>
      <c r="AGV80" s="684"/>
      <c r="AGW80" s="684"/>
      <c r="AGX80" s="684"/>
      <c r="AGY80" s="684"/>
      <c r="AGZ80" s="684"/>
      <c r="AHA80" s="684"/>
      <c r="AHB80" s="684"/>
      <c r="AHC80" s="684"/>
      <c r="AHD80" s="684"/>
      <c r="AHE80" s="684"/>
      <c r="AHF80" s="684"/>
      <c r="AHG80" s="684"/>
      <c r="AHH80" s="684"/>
      <c r="AHI80" s="684"/>
      <c r="AHJ80" s="684"/>
      <c r="AHK80" s="684"/>
      <c r="AHL80" s="684"/>
      <c r="AHM80" s="684"/>
      <c r="AHN80" s="684"/>
      <c r="AHO80" s="684"/>
      <c r="AHP80" s="684"/>
      <c r="AHQ80" s="684"/>
      <c r="AHR80" s="684"/>
      <c r="AHS80" s="684"/>
      <c r="AHT80" s="684"/>
      <c r="AHU80" s="684"/>
      <c r="AHV80" s="684"/>
      <c r="AHW80" s="684"/>
      <c r="AHX80" s="684"/>
      <c r="AHY80" s="684"/>
      <c r="AHZ80" s="684"/>
      <c r="AIA80" s="684"/>
      <c r="AIB80" s="684"/>
      <c r="AIC80" s="684"/>
      <c r="AID80" s="684"/>
      <c r="AIE80" s="684"/>
      <c r="AIF80" s="684"/>
      <c r="AIG80" s="684"/>
      <c r="AIH80" s="684"/>
      <c r="AII80" s="684"/>
      <c r="AIJ80" s="684"/>
      <c r="AIK80" s="684"/>
      <c r="AIL80" s="684"/>
      <c r="AIM80" s="684"/>
      <c r="AIN80" s="684"/>
      <c r="AIO80" s="684"/>
      <c r="AIP80" s="684"/>
      <c r="AIQ80" s="684"/>
      <c r="AIR80" s="684"/>
      <c r="AIS80" s="684"/>
      <c r="AIT80" s="684"/>
      <c r="AIU80" s="684"/>
      <c r="AIV80" s="684"/>
      <c r="AIW80" s="684"/>
      <c r="AIX80" s="684"/>
      <c r="AIY80" s="684"/>
      <c r="AIZ80" s="684"/>
      <c r="AJA80" s="684"/>
      <c r="AJB80" s="684"/>
      <c r="AJC80" s="684"/>
      <c r="AJD80" s="684"/>
      <c r="AJE80" s="684"/>
      <c r="AJF80" s="684"/>
      <c r="AJG80" s="684"/>
      <c r="AJH80" s="684"/>
      <c r="AJI80" s="684"/>
      <c r="AJJ80" s="684"/>
      <c r="AJK80" s="684"/>
      <c r="AJL80" s="684"/>
      <c r="AJM80" s="684"/>
      <c r="AJN80" s="684"/>
      <c r="AJO80" s="684"/>
      <c r="AJP80" s="684"/>
      <c r="AJQ80" s="684"/>
      <c r="AJR80" s="684"/>
      <c r="AJS80" s="684"/>
      <c r="AJT80" s="684"/>
      <c r="AJU80" s="684"/>
      <c r="AJV80" s="684"/>
      <c r="AJW80" s="684"/>
      <c r="AJX80" s="684"/>
      <c r="AJY80" s="684"/>
      <c r="AJZ80" s="684"/>
      <c r="AKA80" s="684"/>
      <c r="AKB80" s="684"/>
      <c r="AKC80" s="684"/>
      <c r="AKD80" s="684"/>
      <c r="AKE80" s="684"/>
      <c r="AKF80" s="684"/>
      <c r="AKG80" s="684"/>
      <c r="AKH80" s="684"/>
      <c r="AKI80" s="684"/>
      <c r="AKJ80" s="684"/>
      <c r="AKK80" s="684"/>
      <c r="AKL80" s="684"/>
      <c r="AKM80" s="684"/>
      <c r="AKN80" s="684"/>
      <c r="AKO80" s="684"/>
      <c r="AKP80" s="684"/>
      <c r="AKQ80" s="684"/>
      <c r="AKR80" s="684"/>
      <c r="AKS80" s="684"/>
      <c r="AKT80" s="684"/>
      <c r="AKU80" s="684"/>
      <c r="AKV80" s="684"/>
      <c r="AKW80" s="684"/>
      <c r="AKX80" s="684"/>
      <c r="AKY80" s="684"/>
      <c r="AKZ80" s="684"/>
      <c r="ALA80" s="684"/>
      <c r="ALB80" s="684"/>
      <c r="ALC80" s="684"/>
      <c r="ALD80" s="684"/>
      <c r="ALE80" s="684"/>
      <c r="ALF80" s="684"/>
      <c r="ALG80" s="684"/>
      <c r="ALH80" s="684"/>
      <c r="ALI80" s="684"/>
      <c r="ALJ80" s="684"/>
      <c r="ALK80" s="684"/>
      <c r="ALL80" s="684"/>
      <c r="ALM80" s="684"/>
      <c r="ALN80" s="684"/>
      <c r="ALO80" s="684"/>
      <c r="ALP80" s="684"/>
      <c r="ALQ80" s="684"/>
      <c r="ALR80" s="684"/>
      <c r="ALS80" s="684"/>
      <c r="ALT80" s="684"/>
      <c r="ALU80" s="684"/>
      <c r="ALV80" s="684"/>
      <c r="ALW80" s="684"/>
      <c r="ALX80" s="684"/>
      <c r="ALY80" s="684"/>
      <c r="ALZ80" s="684"/>
      <c r="AMA80" s="684"/>
      <c r="AMB80" s="684"/>
      <c r="AMC80" s="684"/>
      <c r="AMD80" s="684"/>
      <c r="AME80" s="684"/>
      <c r="AMF80" s="684"/>
      <c r="AMG80" s="684"/>
      <c r="AMH80" s="684"/>
      <c r="AMI80" s="684"/>
      <c r="AMJ80" s="684"/>
      <c r="AMK80" s="684"/>
      <c r="AML80" s="684"/>
      <c r="AMM80" s="684"/>
      <c r="AMN80" s="684"/>
      <c r="AMO80" s="684"/>
      <c r="AMP80" s="684"/>
      <c r="AMQ80" s="684"/>
      <c r="AMR80" s="684"/>
      <c r="AMS80" s="684"/>
      <c r="AMT80" s="684"/>
      <c r="AMU80" s="684"/>
      <c r="AMV80" s="684"/>
      <c r="AMW80" s="684"/>
      <c r="AMX80" s="684"/>
      <c r="AMY80" s="684"/>
      <c r="AMZ80" s="684"/>
      <c r="ANA80" s="684"/>
      <c r="ANB80" s="684"/>
      <c r="ANC80" s="684"/>
      <c r="AND80" s="684"/>
      <c r="ANE80" s="684"/>
      <c r="ANF80" s="684"/>
      <c r="ANG80" s="684"/>
      <c r="ANH80" s="684"/>
      <c r="ANI80" s="684"/>
      <c r="ANJ80" s="684"/>
      <c r="ANK80" s="684"/>
      <c r="ANL80" s="684"/>
      <c r="ANM80" s="684"/>
      <c r="ANN80" s="684"/>
      <c r="ANO80" s="684"/>
      <c r="ANP80" s="684"/>
      <c r="ANQ80" s="684"/>
      <c r="ANR80" s="684"/>
      <c r="ANS80" s="684"/>
      <c r="ANT80" s="684"/>
      <c r="ANU80" s="684"/>
      <c r="ANV80" s="684"/>
      <c r="ANW80" s="684"/>
      <c r="ANX80" s="684"/>
      <c r="ANY80" s="684"/>
      <c r="ANZ80" s="684"/>
      <c r="AOA80" s="684"/>
      <c r="AOB80" s="684"/>
      <c r="AOC80" s="684"/>
      <c r="AOD80" s="684"/>
      <c r="AOE80" s="684"/>
      <c r="AOF80" s="684"/>
      <c r="AOG80" s="684"/>
      <c r="AOH80" s="684"/>
      <c r="AOI80" s="684"/>
      <c r="AOJ80" s="684"/>
      <c r="AOK80" s="684"/>
      <c r="AOL80" s="684"/>
      <c r="AOM80" s="684"/>
      <c r="AON80" s="684"/>
      <c r="AOO80" s="684"/>
      <c r="AOP80" s="684"/>
      <c r="AOQ80" s="684"/>
      <c r="AOR80" s="684"/>
      <c r="AOS80" s="684"/>
      <c r="AOT80" s="684"/>
      <c r="AOU80" s="684"/>
      <c r="AOV80" s="684"/>
      <c r="AOW80" s="684"/>
      <c r="AOX80" s="684"/>
      <c r="AOY80" s="684"/>
      <c r="AOZ80" s="684"/>
      <c r="APA80" s="684"/>
      <c r="APB80" s="684"/>
      <c r="APC80" s="684"/>
      <c r="APD80" s="684"/>
      <c r="APE80" s="684"/>
      <c r="APF80" s="684"/>
      <c r="APG80" s="684"/>
      <c r="APH80" s="684"/>
      <c r="API80" s="684"/>
      <c r="APJ80" s="684"/>
      <c r="APK80" s="684"/>
      <c r="APL80" s="684"/>
      <c r="APM80" s="684"/>
      <c r="APN80" s="684"/>
      <c r="APO80" s="684"/>
      <c r="APP80" s="684"/>
      <c r="APQ80" s="684"/>
      <c r="APR80" s="684"/>
      <c r="APS80" s="684"/>
      <c r="APT80" s="684"/>
      <c r="APU80" s="684"/>
      <c r="APV80" s="684"/>
      <c r="APW80" s="684"/>
      <c r="APX80" s="684"/>
      <c r="APY80" s="684"/>
      <c r="APZ80" s="684"/>
      <c r="AQA80" s="684"/>
      <c r="AQB80" s="684"/>
      <c r="AQC80" s="684"/>
      <c r="AQD80" s="684"/>
      <c r="AQE80" s="684"/>
      <c r="AQF80" s="684"/>
      <c r="AQG80" s="684"/>
      <c r="AQH80" s="684"/>
      <c r="AQI80" s="684"/>
      <c r="AQJ80" s="684"/>
      <c r="AQK80" s="684"/>
      <c r="AQL80" s="684"/>
      <c r="AQM80" s="684"/>
      <c r="AQN80" s="684"/>
      <c r="AQO80" s="684"/>
      <c r="AQP80" s="684"/>
      <c r="AQQ80" s="684"/>
      <c r="AQR80" s="684"/>
      <c r="AQS80" s="684"/>
      <c r="AQT80" s="684"/>
      <c r="AQU80" s="684"/>
      <c r="AQV80" s="684"/>
      <c r="AQW80" s="684"/>
      <c r="AQX80" s="684"/>
      <c r="AQY80" s="684"/>
      <c r="AQZ80" s="684"/>
      <c r="ARA80" s="684"/>
      <c r="ARB80" s="684"/>
      <c r="ARC80" s="684"/>
      <c r="ARD80" s="684"/>
      <c r="ARE80" s="684"/>
      <c r="ARF80" s="684"/>
      <c r="ARG80" s="684"/>
      <c r="ARH80" s="684"/>
      <c r="ARI80" s="684"/>
      <c r="ARJ80" s="684"/>
      <c r="ARK80" s="684"/>
      <c r="ARL80" s="684"/>
      <c r="ARM80" s="684"/>
      <c r="ARN80" s="684"/>
      <c r="ARO80" s="684"/>
      <c r="ARP80" s="684"/>
      <c r="ARQ80" s="684"/>
      <c r="ARR80" s="684"/>
      <c r="ARS80" s="684"/>
      <c r="ART80" s="684"/>
      <c r="ARU80" s="684"/>
      <c r="ARV80" s="684"/>
      <c r="ARW80" s="684"/>
      <c r="ARX80" s="684"/>
      <c r="ARY80" s="684"/>
      <c r="ARZ80" s="684"/>
      <c r="ASA80" s="684"/>
      <c r="ASB80" s="684"/>
      <c r="ASC80" s="684"/>
      <c r="ASD80" s="684"/>
      <c r="ASE80" s="684"/>
      <c r="ASF80" s="684"/>
      <c r="ASG80" s="684"/>
      <c r="ASH80" s="684"/>
      <c r="ASI80" s="684"/>
      <c r="ASJ80" s="684"/>
      <c r="ASK80" s="684"/>
      <c r="ASL80" s="684"/>
      <c r="ASM80" s="684"/>
      <c r="ASN80" s="684"/>
      <c r="ASO80" s="684"/>
      <c r="ASP80" s="684"/>
      <c r="ASQ80" s="684"/>
      <c r="ASR80" s="684"/>
      <c r="ASS80" s="684"/>
      <c r="AST80" s="684"/>
      <c r="ASU80" s="684"/>
      <c r="ASV80" s="684"/>
      <c r="ASW80" s="684"/>
      <c r="ASX80" s="684"/>
      <c r="ASY80" s="684"/>
      <c r="ASZ80" s="684"/>
      <c r="ATA80" s="684"/>
      <c r="ATB80" s="684"/>
      <c r="ATC80" s="684"/>
      <c r="ATD80" s="684"/>
      <c r="ATE80" s="684"/>
      <c r="ATF80" s="684"/>
      <c r="ATG80" s="684"/>
      <c r="ATH80" s="684"/>
      <c r="ATI80" s="684"/>
      <c r="ATJ80" s="684"/>
      <c r="ATK80" s="684"/>
      <c r="ATL80" s="684"/>
      <c r="ATM80" s="684"/>
      <c r="ATN80" s="684"/>
      <c r="ATO80" s="684"/>
      <c r="ATP80" s="684"/>
      <c r="ATQ80" s="684"/>
      <c r="ATR80" s="684"/>
      <c r="ATS80" s="684"/>
      <c r="ATT80" s="684"/>
      <c r="ATU80" s="684"/>
      <c r="ATV80" s="684"/>
      <c r="ATW80" s="684"/>
      <c r="ATX80" s="684"/>
      <c r="ATY80" s="684"/>
      <c r="ATZ80" s="684"/>
      <c r="AUA80" s="684"/>
      <c r="AUB80" s="684"/>
      <c r="AUC80" s="684"/>
      <c r="AUD80" s="684"/>
      <c r="AUE80" s="684"/>
      <c r="AUF80" s="684"/>
      <c r="AUG80" s="684"/>
      <c r="AUH80" s="684"/>
      <c r="AUI80" s="684"/>
      <c r="AUJ80" s="684"/>
      <c r="AUK80" s="684"/>
      <c r="AUL80" s="684"/>
      <c r="AUM80" s="684"/>
      <c r="AUN80" s="684"/>
      <c r="AUO80" s="684"/>
      <c r="AUP80" s="684"/>
      <c r="AUQ80" s="684"/>
      <c r="AUR80" s="684"/>
      <c r="AUS80" s="684"/>
      <c r="AUT80" s="684"/>
      <c r="AUU80" s="684"/>
      <c r="AUV80" s="684"/>
      <c r="AUW80" s="684"/>
      <c r="AUX80" s="684"/>
      <c r="AUY80" s="684"/>
      <c r="AUZ80" s="684"/>
      <c r="AVA80" s="684"/>
      <c r="AVB80" s="684"/>
      <c r="AVC80" s="684"/>
      <c r="AVD80" s="684"/>
      <c r="AVE80" s="684"/>
      <c r="AVF80" s="684"/>
      <c r="AVG80" s="684"/>
      <c r="AVH80" s="684"/>
      <c r="AVI80" s="684"/>
      <c r="AVJ80" s="684"/>
      <c r="AVK80" s="684"/>
      <c r="AVL80" s="684"/>
      <c r="AVM80" s="684"/>
      <c r="AVN80" s="684"/>
      <c r="AVO80" s="684"/>
      <c r="AVP80" s="684"/>
      <c r="AVQ80" s="684"/>
      <c r="AVR80" s="684"/>
      <c r="AVS80" s="684"/>
      <c r="AVT80" s="684"/>
      <c r="AVU80" s="684"/>
      <c r="AVV80" s="684"/>
      <c r="AVW80" s="684"/>
      <c r="AVX80" s="684"/>
      <c r="AVY80" s="684"/>
      <c r="AVZ80" s="684"/>
      <c r="AWA80" s="684"/>
      <c r="AWB80" s="684"/>
      <c r="AWC80" s="684"/>
      <c r="AWD80" s="684"/>
      <c r="AWE80" s="684"/>
      <c r="AWF80" s="684"/>
      <c r="AWG80" s="684"/>
      <c r="AWH80" s="684"/>
      <c r="AWI80" s="684"/>
      <c r="AWJ80" s="684"/>
      <c r="AWK80" s="684"/>
      <c r="AWL80" s="684"/>
      <c r="AWM80" s="684"/>
      <c r="AWN80" s="684"/>
      <c r="AWO80" s="684"/>
      <c r="AWP80" s="684"/>
      <c r="AWQ80" s="684"/>
      <c r="AWR80" s="684"/>
      <c r="AWS80" s="684"/>
      <c r="AWT80" s="684"/>
      <c r="AWU80" s="684"/>
      <c r="AWV80" s="684"/>
      <c r="AWW80" s="684"/>
      <c r="AWX80" s="684"/>
      <c r="AWY80" s="684"/>
      <c r="AWZ80" s="684"/>
      <c r="AXA80" s="684"/>
      <c r="AXB80" s="684"/>
      <c r="AXC80" s="684"/>
      <c r="AXD80" s="684"/>
      <c r="AXE80" s="684"/>
      <c r="AXF80" s="684"/>
      <c r="AXG80" s="684"/>
      <c r="AXH80" s="684"/>
      <c r="AXI80" s="684"/>
      <c r="AXJ80" s="684"/>
      <c r="AXK80" s="684"/>
      <c r="AXL80" s="684"/>
      <c r="AXM80" s="684"/>
      <c r="AXN80" s="684"/>
      <c r="AXO80" s="684"/>
      <c r="AXP80" s="684"/>
      <c r="AXQ80" s="684"/>
      <c r="AXR80" s="684"/>
      <c r="AXS80" s="684"/>
      <c r="AXT80" s="684"/>
      <c r="AXU80" s="684"/>
      <c r="AXV80" s="684"/>
      <c r="AXW80" s="684"/>
      <c r="AXX80" s="684"/>
      <c r="AXY80" s="684"/>
      <c r="AXZ80" s="684"/>
      <c r="AYA80" s="684"/>
      <c r="AYB80" s="684"/>
      <c r="AYC80" s="684"/>
      <c r="AYD80" s="684"/>
      <c r="AYE80" s="684"/>
      <c r="AYF80" s="684"/>
      <c r="AYG80" s="684"/>
      <c r="AYH80" s="684"/>
      <c r="AYI80" s="684"/>
      <c r="AYJ80" s="684"/>
      <c r="AYK80" s="684"/>
      <c r="AYL80" s="684"/>
      <c r="AYM80" s="684"/>
      <c r="AYN80" s="684"/>
      <c r="AYO80" s="684"/>
      <c r="AYP80" s="684"/>
      <c r="AYQ80" s="684"/>
      <c r="AYR80" s="684"/>
      <c r="AYS80" s="684"/>
      <c r="AYT80" s="684"/>
      <c r="AYU80" s="684"/>
      <c r="AYV80" s="684"/>
      <c r="AYW80" s="684"/>
      <c r="AYX80" s="684"/>
      <c r="AYY80" s="684"/>
      <c r="AYZ80" s="684"/>
      <c r="AZA80" s="684"/>
      <c r="AZB80" s="684"/>
      <c r="AZC80" s="684"/>
      <c r="AZD80" s="684"/>
      <c r="AZE80" s="684"/>
      <c r="AZF80" s="684"/>
      <c r="AZG80" s="684"/>
      <c r="AZH80" s="684"/>
      <c r="AZI80" s="684"/>
      <c r="AZJ80" s="684"/>
      <c r="AZK80" s="684"/>
      <c r="AZL80" s="684"/>
      <c r="AZM80" s="684"/>
      <c r="AZN80" s="684"/>
      <c r="AZO80" s="684"/>
      <c r="AZP80" s="684"/>
      <c r="AZQ80" s="684"/>
      <c r="AZR80" s="684"/>
      <c r="AZS80" s="684"/>
      <c r="AZT80" s="684"/>
      <c r="AZU80" s="684"/>
      <c r="AZV80" s="684"/>
      <c r="AZW80" s="684"/>
      <c r="AZX80" s="684"/>
      <c r="AZY80" s="684"/>
      <c r="AZZ80" s="684"/>
      <c r="BAA80" s="684"/>
      <c r="BAB80" s="684"/>
      <c r="BAC80" s="684"/>
      <c r="BAD80" s="684"/>
      <c r="BAE80" s="684"/>
      <c r="BAF80" s="684"/>
      <c r="BAG80" s="684"/>
      <c r="BAH80" s="684"/>
      <c r="BAI80" s="684"/>
      <c r="BAJ80" s="684"/>
      <c r="BAK80" s="684"/>
      <c r="BAL80" s="684"/>
      <c r="BAM80" s="684"/>
      <c r="BAN80" s="684"/>
      <c r="BAO80" s="684"/>
      <c r="BAP80" s="684"/>
      <c r="BAQ80" s="684"/>
      <c r="BAR80" s="684"/>
      <c r="BAS80" s="684"/>
      <c r="BAT80" s="684"/>
      <c r="BAU80" s="684"/>
      <c r="BAV80" s="684"/>
      <c r="BAW80" s="684"/>
      <c r="BAX80" s="684"/>
      <c r="BAY80" s="684"/>
      <c r="BAZ80" s="684"/>
      <c r="BBA80" s="684"/>
      <c r="BBB80" s="684"/>
      <c r="BBC80" s="684"/>
      <c r="BBD80" s="684"/>
      <c r="BBE80" s="684"/>
      <c r="BBF80" s="684"/>
      <c r="BBG80" s="684"/>
      <c r="BBH80" s="684"/>
      <c r="BBI80" s="684"/>
      <c r="BBJ80" s="684"/>
      <c r="BBK80" s="684"/>
      <c r="BBL80" s="684"/>
      <c r="BBM80" s="684"/>
      <c r="BBN80" s="684"/>
      <c r="BBO80" s="684"/>
      <c r="BBP80" s="684"/>
      <c r="BBQ80" s="684"/>
      <c r="BBR80" s="684"/>
      <c r="BBS80" s="684"/>
      <c r="BBT80" s="684"/>
      <c r="BBU80" s="684"/>
      <c r="BBV80" s="684"/>
      <c r="BBW80" s="684"/>
      <c r="BBX80" s="684"/>
      <c r="BBY80" s="684"/>
      <c r="BBZ80" s="684"/>
      <c r="BCA80" s="684"/>
      <c r="BCB80" s="684"/>
      <c r="BCC80" s="684"/>
      <c r="BCD80" s="684"/>
      <c r="BCE80" s="684"/>
      <c r="BCF80" s="684"/>
      <c r="BCG80" s="684"/>
      <c r="BCH80" s="684"/>
      <c r="BCI80" s="684"/>
      <c r="BCJ80" s="684"/>
      <c r="BCK80" s="684"/>
      <c r="BCL80" s="684"/>
      <c r="BCM80" s="684"/>
      <c r="BCN80" s="684"/>
      <c r="BCO80" s="684"/>
      <c r="BCP80" s="684"/>
      <c r="BCQ80" s="684"/>
      <c r="BCR80" s="684"/>
      <c r="BCS80" s="684"/>
      <c r="BCT80" s="684"/>
      <c r="BCU80" s="684"/>
      <c r="BCV80" s="684"/>
      <c r="BCW80" s="684"/>
      <c r="BCX80" s="684"/>
      <c r="BCY80" s="684"/>
      <c r="BCZ80" s="684"/>
      <c r="BDA80" s="684"/>
      <c r="BDB80" s="684"/>
      <c r="BDC80" s="684"/>
      <c r="BDD80" s="684"/>
      <c r="BDE80" s="684"/>
      <c r="BDF80" s="684"/>
      <c r="BDG80" s="684"/>
      <c r="BDH80" s="684"/>
      <c r="BDI80" s="684"/>
      <c r="BDJ80" s="684"/>
      <c r="BDK80" s="684"/>
      <c r="BDL80" s="684"/>
      <c r="BDM80" s="684"/>
      <c r="BDN80" s="684"/>
      <c r="BDO80" s="684"/>
      <c r="BDP80" s="684"/>
      <c r="BDQ80" s="684"/>
      <c r="BDR80" s="684"/>
      <c r="BDS80" s="684"/>
      <c r="BDT80" s="684"/>
      <c r="BDU80" s="684"/>
      <c r="BDV80" s="684"/>
      <c r="BDW80" s="684"/>
      <c r="BDX80" s="684"/>
      <c r="BDY80" s="684"/>
      <c r="BDZ80" s="684"/>
      <c r="BEA80" s="684"/>
      <c r="BEB80" s="684"/>
      <c r="BEC80" s="684"/>
      <c r="BED80" s="684"/>
      <c r="BEE80" s="684"/>
      <c r="BEF80" s="684"/>
      <c r="BEG80" s="684"/>
      <c r="BEH80" s="684"/>
      <c r="BEI80" s="684"/>
      <c r="BEJ80" s="684"/>
      <c r="BEK80" s="684"/>
      <c r="BEL80" s="684"/>
      <c r="BEM80" s="684"/>
      <c r="BEN80" s="684"/>
      <c r="BEO80" s="684"/>
      <c r="BEP80" s="684"/>
      <c r="BEQ80" s="684"/>
      <c r="BER80" s="684"/>
      <c r="BES80" s="684"/>
      <c r="BET80" s="684"/>
      <c r="BEU80" s="684"/>
      <c r="BEV80" s="684"/>
      <c r="BEW80" s="684"/>
      <c r="BEX80" s="684"/>
      <c r="BEY80" s="684"/>
      <c r="BEZ80" s="684"/>
      <c r="BFA80" s="684"/>
      <c r="BFB80" s="684"/>
      <c r="BFC80" s="684"/>
      <c r="BFD80" s="684"/>
      <c r="BFE80" s="684"/>
      <c r="BFF80" s="684"/>
      <c r="BFG80" s="684"/>
      <c r="BFH80" s="684"/>
      <c r="BFI80" s="684"/>
      <c r="BFJ80" s="684"/>
      <c r="BFK80" s="684"/>
      <c r="BFL80" s="684"/>
      <c r="BFM80" s="684"/>
      <c r="BFN80" s="684"/>
      <c r="BFO80" s="684"/>
      <c r="BFP80" s="684"/>
      <c r="BFQ80" s="684"/>
      <c r="BFR80" s="684"/>
      <c r="BFS80" s="684"/>
      <c r="BFT80" s="684"/>
      <c r="BFU80" s="684"/>
      <c r="BFV80" s="684"/>
      <c r="BFW80" s="684"/>
      <c r="BFX80" s="684"/>
      <c r="BFY80" s="684"/>
      <c r="BFZ80" s="684"/>
      <c r="BGA80" s="684"/>
      <c r="BGB80" s="684"/>
      <c r="BGC80" s="684"/>
      <c r="BGD80" s="684"/>
      <c r="BGE80" s="684"/>
      <c r="BGF80" s="684"/>
      <c r="BGG80" s="684"/>
      <c r="BGH80" s="684"/>
      <c r="BGI80" s="684"/>
      <c r="BGJ80" s="684"/>
      <c r="BGK80" s="684"/>
      <c r="BGL80" s="684"/>
      <c r="BGM80" s="684"/>
      <c r="BGN80" s="684"/>
      <c r="BGO80" s="684"/>
      <c r="BGP80" s="684"/>
      <c r="BGQ80" s="684"/>
      <c r="BGR80" s="684"/>
      <c r="BGS80" s="684"/>
      <c r="BGT80" s="684"/>
      <c r="BGU80" s="684"/>
      <c r="BGV80" s="684"/>
      <c r="BGW80" s="684"/>
      <c r="BGX80" s="684"/>
      <c r="BGY80" s="684"/>
      <c r="BGZ80" s="684"/>
      <c r="BHA80" s="684"/>
      <c r="BHB80" s="684"/>
      <c r="BHC80" s="684"/>
      <c r="BHD80" s="684"/>
      <c r="BHE80" s="684"/>
      <c r="BHF80" s="684"/>
      <c r="BHG80" s="684"/>
      <c r="BHH80" s="684"/>
      <c r="BHI80" s="684"/>
      <c r="BHJ80" s="684"/>
      <c r="BHK80" s="684"/>
      <c r="BHL80" s="684"/>
      <c r="BHM80" s="684"/>
      <c r="BHN80" s="684"/>
      <c r="BHO80" s="684"/>
      <c r="BHP80" s="684"/>
      <c r="BHQ80" s="684"/>
      <c r="BHR80" s="684"/>
      <c r="BHS80" s="684"/>
      <c r="BHT80" s="684"/>
      <c r="BHU80" s="684"/>
      <c r="BHV80" s="684"/>
      <c r="BHW80" s="684"/>
      <c r="BHX80" s="684"/>
      <c r="BHY80" s="684"/>
      <c r="BHZ80" s="684"/>
      <c r="BIA80" s="684"/>
      <c r="BIB80" s="684"/>
      <c r="BIC80" s="684"/>
      <c r="BID80" s="684"/>
      <c r="BIE80" s="684"/>
      <c r="BIF80" s="684"/>
      <c r="BIG80" s="684"/>
      <c r="BIH80" s="684"/>
      <c r="BII80" s="684"/>
      <c r="BIJ80" s="684"/>
      <c r="BIK80" s="684"/>
      <c r="BIL80" s="684"/>
      <c r="BIM80" s="684"/>
      <c r="BIN80" s="684"/>
      <c r="BIO80" s="684"/>
      <c r="BIP80" s="684"/>
      <c r="BIQ80" s="684"/>
      <c r="BIR80" s="684"/>
      <c r="BIS80" s="684"/>
      <c r="BIT80" s="684"/>
      <c r="BIU80" s="684"/>
      <c r="BIV80" s="684"/>
      <c r="BIW80" s="684"/>
      <c r="BIX80" s="684"/>
      <c r="BIY80" s="684"/>
      <c r="BIZ80" s="684"/>
      <c r="BJA80" s="684"/>
      <c r="BJB80" s="684"/>
      <c r="BJC80" s="684"/>
      <c r="BJD80" s="684"/>
      <c r="BJE80" s="684"/>
      <c r="BJF80" s="684"/>
      <c r="BJG80" s="684"/>
      <c r="BJH80" s="684"/>
      <c r="BJI80" s="684"/>
      <c r="BJJ80" s="684"/>
      <c r="BJK80" s="684"/>
      <c r="BJL80" s="684"/>
      <c r="BJM80" s="684"/>
      <c r="BJN80" s="684"/>
      <c r="BJO80" s="684"/>
      <c r="BJP80" s="684"/>
      <c r="BJQ80" s="684"/>
      <c r="BJR80" s="684"/>
      <c r="BJS80" s="684"/>
      <c r="BJT80" s="684"/>
      <c r="BJU80" s="684"/>
      <c r="BJV80" s="684"/>
      <c r="BJW80" s="684"/>
      <c r="BJX80" s="684"/>
      <c r="BJY80" s="684"/>
      <c r="BJZ80" s="684"/>
      <c r="BKA80" s="684"/>
      <c r="BKB80" s="684"/>
      <c r="BKC80" s="684"/>
      <c r="BKD80" s="684"/>
      <c r="BKE80" s="684"/>
      <c r="BKF80" s="684"/>
      <c r="BKG80" s="684"/>
      <c r="BKH80" s="684"/>
      <c r="BKI80" s="684"/>
      <c r="BKJ80" s="684"/>
      <c r="BKK80" s="684"/>
      <c r="BKL80" s="684"/>
      <c r="BKM80" s="684"/>
      <c r="BKN80" s="684"/>
      <c r="BKO80" s="684"/>
      <c r="BKP80" s="684"/>
      <c r="BKQ80" s="684"/>
      <c r="BKR80" s="684"/>
      <c r="BKS80" s="684"/>
      <c r="BKT80" s="684"/>
      <c r="BKU80" s="684"/>
      <c r="BKV80" s="684"/>
      <c r="BKW80" s="684"/>
      <c r="BKX80" s="684"/>
      <c r="BKY80" s="684"/>
      <c r="BKZ80" s="684"/>
      <c r="BLA80" s="684"/>
      <c r="BLB80" s="684"/>
      <c r="BLC80" s="684"/>
      <c r="BLD80" s="684"/>
      <c r="BLE80" s="684"/>
      <c r="BLF80" s="684"/>
      <c r="BLG80" s="684"/>
      <c r="BLH80" s="684"/>
      <c r="BLI80" s="684"/>
      <c r="BLJ80" s="684"/>
      <c r="BLK80" s="684"/>
      <c r="BLL80" s="684"/>
      <c r="BLM80" s="684"/>
      <c r="BLN80" s="684"/>
      <c r="BLO80" s="684"/>
      <c r="BLP80" s="684"/>
      <c r="BLQ80" s="684"/>
      <c r="BLR80" s="684"/>
      <c r="BLS80" s="684"/>
      <c r="BLT80" s="684"/>
      <c r="BLU80" s="684"/>
      <c r="BLV80" s="684"/>
      <c r="BLW80" s="684"/>
      <c r="BLX80" s="684"/>
      <c r="BLY80" s="684"/>
      <c r="BLZ80" s="684"/>
      <c r="BMA80" s="684"/>
      <c r="BMB80" s="684"/>
      <c r="BMC80" s="684"/>
      <c r="BMD80" s="684"/>
      <c r="BME80" s="684"/>
      <c r="BMF80" s="684"/>
      <c r="BMG80" s="684"/>
      <c r="BMH80" s="684"/>
      <c r="BMI80" s="684"/>
      <c r="BMJ80" s="684"/>
      <c r="BMK80" s="684"/>
      <c r="BML80" s="684"/>
      <c r="BMM80" s="684"/>
      <c r="BMN80" s="684"/>
      <c r="BMO80" s="684"/>
      <c r="BMP80" s="684"/>
      <c r="BMQ80" s="684"/>
      <c r="BMR80" s="684"/>
      <c r="BMS80" s="684"/>
      <c r="BMT80" s="684"/>
      <c r="BMU80" s="684"/>
      <c r="BMV80" s="684"/>
      <c r="BMW80" s="684"/>
      <c r="BMX80" s="684"/>
      <c r="BMY80" s="684"/>
      <c r="BMZ80" s="684"/>
      <c r="BNA80" s="684"/>
      <c r="BNB80" s="684"/>
      <c r="BNC80" s="684"/>
      <c r="BND80" s="684"/>
      <c r="BNE80" s="684"/>
      <c r="BNF80" s="684"/>
      <c r="BNG80" s="684"/>
      <c r="BNH80" s="684"/>
      <c r="BNI80" s="684"/>
      <c r="BNJ80" s="684"/>
      <c r="BNK80" s="684"/>
      <c r="BNL80" s="684"/>
      <c r="BNM80" s="684"/>
      <c r="BNN80" s="684"/>
      <c r="BNO80" s="684"/>
      <c r="BNP80" s="684"/>
      <c r="BNQ80" s="684"/>
      <c r="BNR80" s="684"/>
      <c r="BNS80" s="684"/>
      <c r="BNT80" s="684"/>
      <c r="BNU80" s="684"/>
      <c r="BNV80" s="684"/>
      <c r="BNW80" s="684"/>
      <c r="BNX80" s="684"/>
      <c r="BNY80" s="684"/>
      <c r="BNZ80" s="684"/>
      <c r="BOA80" s="684"/>
      <c r="BOB80" s="684"/>
      <c r="BOC80" s="684"/>
      <c r="BOD80" s="684"/>
      <c r="BOE80" s="684"/>
      <c r="BOF80" s="684"/>
      <c r="BOG80" s="684"/>
      <c r="BOH80" s="684"/>
      <c r="BOI80" s="684"/>
      <c r="BOJ80" s="684"/>
      <c r="BOK80" s="684"/>
      <c r="BOL80" s="684"/>
      <c r="BOM80" s="684"/>
      <c r="BON80" s="684"/>
      <c r="BOO80" s="684"/>
      <c r="BOP80" s="684"/>
      <c r="BOQ80" s="684"/>
      <c r="BOR80" s="684"/>
      <c r="BOS80" s="684"/>
      <c r="BOT80" s="684"/>
      <c r="BOU80" s="684"/>
      <c r="BOV80" s="684"/>
      <c r="BOW80" s="684"/>
      <c r="BOX80" s="684"/>
      <c r="BOY80" s="684"/>
      <c r="BOZ80" s="684"/>
      <c r="BPA80" s="684"/>
      <c r="BPB80" s="684"/>
      <c r="BPC80" s="684"/>
      <c r="BPD80" s="684"/>
      <c r="BPE80" s="684"/>
      <c r="BPF80" s="684"/>
      <c r="BPG80" s="684"/>
      <c r="BPH80" s="684"/>
      <c r="BPI80" s="684"/>
      <c r="BPJ80" s="684"/>
      <c r="BPK80" s="684"/>
      <c r="BPL80" s="684"/>
      <c r="BPM80" s="684"/>
      <c r="BPN80" s="684"/>
      <c r="BPO80" s="684"/>
      <c r="BPP80" s="684"/>
      <c r="BPQ80" s="684"/>
      <c r="BPR80" s="684"/>
      <c r="BPS80" s="684"/>
      <c r="BPT80" s="684"/>
      <c r="BPU80" s="684"/>
      <c r="BPV80" s="684"/>
      <c r="BPW80" s="684"/>
      <c r="BPX80" s="684"/>
      <c r="BPY80" s="684"/>
      <c r="BPZ80" s="684"/>
      <c r="BQA80" s="684"/>
      <c r="BQB80" s="684"/>
      <c r="BQC80" s="684"/>
      <c r="BQD80" s="684"/>
      <c r="BQE80" s="684"/>
      <c r="BQF80" s="684"/>
      <c r="BQG80" s="684"/>
      <c r="BQH80" s="684"/>
      <c r="BQI80" s="684"/>
      <c r="BQJ80" s="684"/>
      <c r="BQK80" s="684"/>
      <c r="BQL80" s="684"/>
      <c r="BQM80" s="684"/>
      <c r="BQN80" s="684"/>
      <c r="BQO80" s="684"/>
      <c r="BQP80" s="684"/>
      <c r="BQQ80" s="684"/>
      <c r="BQR80" s="684"/>
      <c r="BQS80" s="684"/>
      <c r="BQT80" s="684"/>
      <c r="BQU80" s="684"/>
      <c r="BQV80" s="684"/>
      <c r="BQW80" s="684"/>
      <c r="BQX80" s="684"/>
      <c r="BQY80" s="684"/>
      <c r="BQZ80" s="684"/>
      <c r="BRA80" s="684"/>
      <c r="BRB80" s="684"/>
      <c r="BRC80" s="684"/>
      <c r="BRD80" s="684"/>
      <c r="BRE80" s="684"/>
      <c r="BRF80" s="684"/>
      <c r="BRG80" s="684"/>
      <c r="BRH80" s="684"/>
      <c r="BRI80" s="684"/>
      <c r="BRJ80" s="684"/>
      <c r="BRK80" s="684"/>
      <c r="BRL80" s="684"/>
      <c r="BRM80" s="684"/>
      <c r="BRN80" s="684"/>
      <c r="BRO80" s="684"/>
      <c r="BRP80" s="684"/>
      <c r="BRQ80" s="684"/>
      <c r="BRR80" s="684"/>
      <c r="BRS80" s="684"/>
      <c r="BRT80" s="684"/>
      <c r="BRU80" s="684"/>
      <c r="BRV80" s="684"/>
      <c r="BRW80" s="684"/>
      <c r="BRX80" s="684"/>
      <c r="BRY80" s="684"/>
      <c r="BRZ80" s="684"/>
      <c r="BSA80" s="684"/>
      <c r="BSB80" s="684"/>
      <c r="BSC80" s="684"/>
      <c r="BSD80" s="684"/>
      <c r="BSE80" s="684"/>
      <c r="BSF80" s="684"/>
      <c r="BSG80" s="684"/>
      <c r="BSH80" s="684"/>
      <c r="BSI80" s="684"/>
      <c r="BSJ80" s="684"/>
      <c r="BSK80" s="684"/>
      <c r="BSL80" s="684"/>
      <c r="BSM80" s="684"/>
      <c r="BSN80" s="684"/>
      <c r="BSO80" s="684"/>
      <c r="BSP80" s="684"/>
      <c r="BSQ80" s="684"/>
      <c r="BSR80" s="684"/>
      <c r="BSS80" s="684"/>
      <c r="BST80" s="684"/>
      <c r="BSU80" s="684"/>
      <c r="BSV80" s="684"/>
      <c r="BSW80" s="684"/>
      <c r="BSX80" s="684"/>
      <c r="BSY80" s="684"/>
      <c r="BSZ80" s="684"/>
      <c r="BTA80" s="684"/>
      <c r="BTB80" s="684"/>
      <c r="BTC80" s="684"/>
      <c r="BTD80" s="684"/>
      <c r="BTE80" s="684"/>
      <c r="BTF80" s="684"/>
      <c r="BTG80" s="684"/>
      <c r="BTH80" s="684"/>
      <c r="BTI80" s="684"/>
      <c r="BTJ80" s="684"/>
      <c r="BTK80" s="684"/>
      <c r="BTL80" s="684"/>
      <c r="BTM80" s="684"/>
      <c r="BTN80" s="684"/>
      <c r="BTO80" s="684"/>
      <c r="BTP80" s="684"/>
      <c r="BTQ80" s="684"/>
      <c r="BTR80" s="684"/>
      <c r="BTS80" s="684"/>
      <c r="BTT80" s="684"/>
      <c r="BTU80" s="684"/>
      <c r="BTV80" s="684"/>
      <c r="BTW80" s="684"/>
      <c r="BTX80" s="684"/>
      <c r="BTY80" s="684"/>
      <c r="BTZ80" s="684"/>
      <c r="BUA80" s="684"/>
      <c r="BUB80" s="684"/>
      <c r="BUC80" s="684"/>
      <c r="BUD80" s="684"/>
      <c r="BUE80" s="684"/>
      <c r="BUF80" s="684"/>
      <c r="BUG80" s="684"/>
      <c r="BUH80" s="684"/>
      <c r="BUI80" s="684"/>
      <c r="BUJ80" s="684"/>
      <c r="BUK80" s="684"/>
      <c r="BUL80" s="684"/>
      <c r="BUM80" s="684"/>
      <c r="BUN80" s="684"/>
      <c r="BUO80" s="684"/>
      <c r="BUP80" s="684"/>
      <c r="BUQ80" s="684"/>
      <c r="BUR80" s="684"/>
      <c r="BUS80" s="684"/>
      <c r="BUT80" s="684"/>
      <c r="BUU80" s="684"/>
      <c r="BUV80" s="684"/>
      <c r="BUW80" s="684"/>
      <c r="BUX80" s="684"/>
      <c r="BUY80" s="684"/>
      <c r="BUZ80" s="684"/>
      <c r="BVA80" s="684"/>
      <c r="BVB80" s="684"/>
      <c r="BVC80" s="684"/>
      <c r="BVD80" s="684"/>
      <c r="BVE80" s="684"/>
      <c r="BVF80" s="684"/>
      <c r="BVG80" s="684"/>
      <c r="BVH80" s="684"/>
      <c r="BVI80" s="684"/>
      <c r="BVJ80" s="684"/>
      <c r="BVK80" s="684"/>
      <c r="BVL80" s="684"/>
      <c r="BVM80" s="684"/>
      <c r="BVN80" s="684"/>
      <c r="BVO80" s="684"/>
      <c r="BVP80" s="684"/>
      <c r="BVQ80" s="684"/>
      <c r="BVR80" s="684"/>
      <c r="BVS80" s="684"/>
      <c r="BVT80" s="684"/>
      <c r="BVU80" s="684"/>
      <c r="BVV80" s="684"/>
      <c r="BVW80" s="684"/>
      <c r="BVX80" s="684"/>
      <c r="BVY80" s="684"/>
      <c r="BVZ80" s="684"/>
      <c r="BWA80" s="684"/>
      <c r="BWB80" s="684"/>
      <c r="BWC80" s="684"/>
      <c r="BWD80" s="684"/>
      <c r="BWE80" s="684"/>
      <c r="BWF80" s="684"/>
      <c r="BWG80" s="684"/>
      <c r="BWH80" s="684"/>
      <c r="BWI80" s="684"/>
      <c r="BWJ80" s="684"/>
      <c r="BWK80" s="684"/>
      <c r="BWL80" s="684"/>
      <c r="BWM80" s="684"/>
      <c r="BWN80" s="684"/>
      <c r="BWO80" s="684"/>
      <c r="BWP80" s="684"/>
      <c r="BWQ80" s="684"/>
      <c r="BWR80" s="684"/>
      <c r="BWS80" s="684"/>
      <c r="BWT80" s="684"/>
      <c r="BWU80" s="684"/>
      <c r="BWV80" s="684"/>
      <c r="BWW80" s="684"/>
      <c r="BWX80" s="684"/>
      <c r="BWY80" s="684"/>
      <c r="BWZ80" s="684"/>
      <c r="BXA80" s="684"/>
      <c r="BXB80" s="684"/>
      <c r="BXC80" s="684"/>
      <c r="BXD80" s="684"/>
      <c r="BXE80" s="684"/>
      <c r="BXF80" s="684"/>
      <c r="BXG80" s="684"/>
      <c r="BXH80" s="684"/>
      <c r="BXI80" s="684"/>
      <c r="BXJ80" s="684"/>
      <c r="BXK80" s="684"/>
      <c r="BXL80" s="684"/>
      <c r="BXM80" s="684"/>
      <c r="BXN80" s="684"/>
      <c r="BXO80" s="684"/>
      <c r="BXP80" s="684"/>
      <c r="BXQ80" s="684"/>
      <c r="BXR80" s="684"/>
      <c r="BXS80" s="684"/>
      <c r="BXT80" s="684"/>
      <c r="BXU80" s="684"/>
      <c r="BXV80" s="684"/>
      <c r="BXW80" s="684"/>
      <c r="BXX80" s="684"/>
      <c r="BXY80" s="684"/>
      <c r="BXZ80" s="684"/>
      <c r="BYA80" s="684"/>
      <c r="BYB80" s="684"/>
      <c r="BYC80" s="684"/>
      <c r="BYD80" s="684"/>
      <c r="BYE80" s="684"/>
      <c r="BYF80" s="684"/>
      <c r="BYG80" s="684"/>
      <c r="BYH80" s="684"/>
      <c r="BYI80" s="684"/>
      <c r="BYJ80" s="684"/>
      <c r="BYK80" s="684"/>
      <c r="BYL80" s="684"/>
      <c r="BYM80" s="684"/>
      <c r="BYN80" s="684"/>
      <c r="BYO80" s="684"/>
      <c r="BYP80" s="684"/>
      <c r="BYQ80" s="684"/>
      <c r="BYR80" s="684"/>
      <c r="BYS80" s="684"/>
      <c r="BYT80" s="684"/>
      <c r="BYU80" s="684"/>
      <c r="BYV80" s="684"/>
      <c r="BYW80" s="684"/>
      <c r="BYX80" s="684"/>
      <c r="BYY80" s="684"/>
      <c r="BYZ80" s="684"/>
      <c r="BZA80" s="684"/>
      <c r="BZB80" s="684"/>
      <c r="BZC80" s="684"/>
      <c r="BZD80" s="684"/>
      <c r="BZE80" s="684"/>
      <c r="BZF80" s="684"/>
      <c r="BZG80" s="684"/>
      <c r="BZH80" s="684"/>
      <c r="BZI80" s="684"/>
      <c r="BZJ80" s="684"/>
      <c r="BZK80" s="684"/>
      <c r="BZL80" s="684"/>
      <c r="BZM80" s="684"/>
      <c r="BZN80" s="684"/>
      <c r="BZO80" s="684"/>
      <c r="BZP80" s="684"/>
      <c r="BZQ80" s="684"/>
      <c r="BZR80" s="684"/>
      <c r="BZS80" s="684"/>
      <c r="BZT80" s="684"/>
      <c r="BZU80" s="684"/>
      <c r="BZV80" s="684"/>
      <c r="BZW80" s="684"/>
      <c r="BZX80" s="684"/>
      <c r="BZY80" s="684"/>
      <c r="BZZ80" s="684"/>
      <c r="CAA80" s="684"/>
      <c r="CAB80" s="684"/>
      <c r="CAC80" s="684"/>
      <c r="CAD80" s="684"/>
      <c r="CAE80" s="684"/>
      <c r="CAF80" s="684"/>
      <c r="CAG80" s="684"/>
      <c r="CAH80" s="684"/>
      <c r="CAI80" s="684"/>
      <c r="CAJ80" s="684"/>
      <c r="CAK80" s="684"/>
      <c r="CAL80" s="684"/>
      <c r="CAM80" s="684"/>
      <c r="CAN80" s="684"/>
      <c r="CAO80" s="684"/>
      <c r="CAP80" s="684"/>
      <c r="CAQ80" s="684"/>
      <c r="CAR80" s="684"/>
      <c r="CAS80" s="684"/>
      <c r="CAT80" s="684"/>
      <c r="CAU80" s="684"/>
      <c r="CAV80" s="684"/>
      <c r="CAW80" s="684"/>
      <c r="CAX80" s="684"/>
      <c r="CAY80" s="684"/>
      <c r="CAZ80" s="684"/>
      <c r="CBA80" s="684"/>
      <c r="CBB80" s="684"/>
      <c r="CBC80" s="684"/>
      <c r="CBD80" s="684"/>
      <c r="CBE80" s="684"/>
      <c r="CBF80" s="684"/>
      <c r="CBG80" s="684"/>
      <c r="CBH80" s="684"/>
      <c r="CBI80" s="684"/>
      <c r="CBJ80" s="684"/>
      <c r="CBK80" s="684"/>
      <c r="CBL80" s="684"/>
      <c r="CBM80" s="684"/>
      <c r="CBN80" s="684"/>
      <c r="CBO80" s="684"/>
      <c r="CBP80" s="684"/>
      <c r="CBQ80" s="684"/>
      <c r="CBR80" s="684"/>
      <c r="CBS80" s="684"/>
      <c r="CBT80" s="684"/>
      <c r="CBU80" s="684"/>
      <c r="CBV80" s="684"/>
      <c r="CBW80" s="684"/>
      <c r="CBX80" s="684"/>
      <c r="CBY80" s="684"/>
      <c r="CBZ80" s="684"/>
      <c r="CCA80" s="684"/>
      <c r="CCB80" s="684"/>
      <c r="CCC80" s="684"/>
      <c r="CCD80" s="684"/>
      <c r="CCE80" s="684"/>
      <c r="CCF80" s="684"/>
      <c r="CCG80" s="684"/>
      <c r="CCH80" s="684"/>
      <c r="CCI80" s="684"/>
      <c r="CCJ80" s="684"/>
      <c r="CCK80" s="684"/>
      <c r="CCL80" s="684"/>
      <c r="CCM80" s="684"/>
      <c r="CCN80" s="684"/>
      <c r="CCO80" s="684"/>
      <c r="CCP80" s="684"/>
      <c r="CCQ80" s="684"/>
      <c r="CCR80" s="684"/>
      <c r="CCS80" s="684"/>
      <c r="CCT80" s="684"/>
      <c r="CCU80" s="684"/>
      <c r="CCV80" s="684"/>
      <c r="CCW80" s="684"/>
      <c r="CCX80" s="684"/>
      <c r="CCY80" s="684"/>
      <c r="CCZ80" s="684"/>
      <c r="CDA80" s="684"/>
      <c r="CDB80" s="684"/>
      <c r="CDC80" s="684"/>
      <c r="CDD80" s="684"/>
      <c r="CDE80" s="684"/>
      <c r="CDF80" s="684"/>
      <c r="CDG80" s="684"/>
      <c r="CDH80" s="684"/>
      <c r="CDI80" s="684"/>
      <c r="CDJ80" s="684"/>
      <c r="CDK80" s="684"/>
      <c r="CDL80" s="684"/>
      <c r="CDM80" s="684"/>
      <c r="CDN80" s="684"/>
      <c r="CDO80" s="684"/>
      <c r="CDP80" s="684"/>
      <c r="CDQ80" s="684"/>
      <c r="CDR80" s="684"/>
      <c r="CDS80" s="684"/>
      <c r="CDT80" s="684"/>
      <c r="CDU80" s="684"/>
      <c r="CDV80" s="684"/>
      <c r="CDW80" s="684"/>
      <c r="CDX80" s="684"/>
      <c r="CDY80" s="684"/>
      <c r="CDZ80" s="684"/>
      <c r="CEA80" s="684"/>
      <c r="CEB80" s="684"/>
      <c r="CEC80" s="684"/>
      <c r="CED80" s="684"/>
      <c r="CEE80" s="684"/>
      <c r="CEF80" s="684"/>
      <c r="CEG80" s="684"/>
      <c r="CEH80" s="684"/>
      <c r="CEI80" s="684"/>
      <c r="CEJ80" s="684"/>
      <c r="CEK80" s="684"/>
      <c r="CEL80" s="684"/>
      <c r="CEM80" s="684"/>
      <c r="CEN80" s="684"/>
      <c r="CEO80" s="684"/>
      <c r="CEP80" s="684"/>
      <c r="CEQ80" s="684"/>
      <c r="CER80" s="684"/>
      <c r="CES80" s="684"/>
      <c r="CET80" s="684"/>
      <c r="CEU80" s="684"/>
      <c r="CEV80" s="684"/>
      <c r="CEW80" s="684"/>
      <c r="CEX80" s="684"/>
      <c r="CEY80" s="684"/>
      <c r="CEZ80" s="684"/>
      <c r="CFA80" s="684"/>
      <c r="CFB80" s="684"/>
      <c r="CFC80" s="684"/>
      <c r="CFD80" s="684"/>
      <c r="CFE80" s="684"/>
      <c r="CFF80" s="684"/>
      <c r="CFG80" s="684"/>
      <c r="CFH80" s="684"/>
      <c r="CFI80" s="684"/>
      <c r="CFJ80" s="684"/>
      <c r="CFK80" s="684"/>
      <c r="CFL80" s="684"/>
      <c r="CFM80" s="684"/>
      <c r="CFN80" s="684"/>
      <c r="CFO80" s="684"/>
      <c r="CFP80" s="684"/>
      <c r="CFQ80" s="684"/>
      <c r="CFR80" s="684"/>
      <c r="CFS80" s="684"/>
      <c r="CFT80" s="684"/>
      <c r="CFU80" s="684"/>
      <c r="CFV80" s="684"/>
      <c r="CFW80" s="684"/>
      <c r="CFX80" s="684"/>
      <c r="CFY80" s="684"/>
      <c r="CFZ80" s="684"/>
      <c r="CGA80" s="684"/>
      <c r="CGB80" s="684"/>
      <c r="CGC80" s="684"/>
      <c r="CGD80" s="684"/>
      <c r="CGE80" s="684"/>
      <c r="CGF80" s="684"/>
      <c r="CGG80" s="684"/>
      <c r="CGH80" s="684"/>
      <c r="CGI80" s="684"/>
      <c r="CGJ80" s="684"/>
      <c r="CGK80" s="684"/>
      <c r="CGL80" s="684"/>
      <c r="CGM80" s="684"/>
      <c r="CGN80" s="684"/>
      <c r="CGO80" s="684"/>
      <c r="CGP80" s="684"/>
      <c r="CGQ80" s="684"/>
      <c r="CGR80" s="684"/>
      <c r="CGS80" s="684"/>
      <c r="CGT80" s="684"/>
      <c r="CGU80" s="684"/>
      <c r="CGV80" s="684"/>
      <c r="CGW80" s="684"/>
      <c r="CGX80" s="684"/>
      <c r="CGY80" s="684"/>
      <c r="CGZ80" s="684"/>
      <c r="CHA80" s="684"/>
      <c r="CHB80" s="684"/>
      <c r="CHC80" s="684"/>
      <c r="CHD80" s="684"/>
      <c r="CHE80" s="684"/>
      <c r="CHF80" s="684"/>
      <c r="CHG80" s="684"/>
      <c r="CHH80" s="684"/>
      <c r="CHI80" s="684"/>
      <c r="CHJ80" s="684"/>
      <c r="CHK80" s="684"/>
      <c r="CHL80" s="684"/>
      <c r="CHM80" s="684"/>
      <c r="CHN80" s="684"/>
      <c r="CHO80" s="684"/>
      <c r="CHP80" s="684"/>
      <c r="CHQ80" s="684"/>
      <c r="CHR80" s="684"/>
      <c r="CHS80" s="684"/>
      <c r="CHT80" s="684"/>
      <c r="CHU80" s="684"/>
      <c r="CHV80" s="684"/>
      <c r="CHW80" s="684"/>
      <c r="CHX80" s="684"/>
      <c r="CHY80" s="684"/>
      <c r="CHZ80" s="684"/>
      <c r="CIA80" s="684"/>
      <c r="CIB80" s="684"/>
      <c r="CIC80" s="684"/>
      <c r="CID80" s="684"/>
      <c r="CIE80" s="684"/>
      <c r="CIF80" s="684"/>
      <c r="CIG80" s="684"/>
      <c r="CIH80" s="684"/>
      <c r="CII80" s="684"/>
      <c r="CIJ80" s="684"/>
      <c r="CIK80" s="684"/>
      <c r="CIL80" s="684"/>
      <c r="CIM80" s="684"/>
      <c r="CIN80" s="684"/>
      <c r="CIO80" s="684"/>
      <c r="CIP80" s="684"/>
      <c r="CIQ80" s="684"/>
      <c r="CIR80" s="684"/>
      <c r="CIS80" s="684"/>
      <c r="CIT80" s="684"/>
      <c r="CIU80" s="684"/>
      <c r="CIV80" s="684"/>
      <c r="CIW80" s="684"/>
      <c r="CIX80" s="684"/>
      <c r="CIY80" s="684"/>
      <c r="CIZ80" s="684"/>
      <c r="CJA80" s="684"/>
      <c r="CJB80" s="684"/>
      <c r="CJC80" s="684"/>
      <c r="CJD80" s="684"/>
      <c r="CJE80" s="684"/>
      <c r="CJF80" s="684"/>
      <c r="CJG80" s="684"/>
      <c r="CJH80" s="684"/>
      <c r="CJI80" s="684"/>
      <c r="CJJ80" s="684"/>
      <c r="CJK80" s="684"/>
      <c r="CJL80" s="684"/>
      <c r="CJM80" s="684"/>
      <c r="CJN80" s="684"/>
      <c r="CJO80" s="684"/>
      <c r="CJP80" s="684"/>
      <c r="CJQ80" s="684"/>
      <c r="CJR80" s="684"/>
      <c r="CJS80" s="684"/>
      <c r="CJT80" s="684"/>
      <c r="CJU80" s="684"/>
      <c r="CJV80" s="684"/>
      <c r="CJW80" s="684"/>
      <c r="CJX80" s="684"/>
      <c r="CJY80" s="684"/>
      <c r="CJZ80" s="684"/>
      <c r="CKA80" s="684"/>
      <c r="CKB80" s="684"/>
      <c r="CKC80" s="684"/>
      <c r="CKD80" s="684"/>
      <c r="CKE80" s="684"/>
      <c r="CKF80" s="684"/>
      <c r="CKG80" s="684"/>
      <c r="CKH80" s="684"/>
      <c r="CKI80" s="684"/>
      <c r="CKJ80" s="684"/>
      <c r="CKK80" s="684"/>
      <c r="CKL80" s="684"/>
      <c r="CKM80" s="684"/>
      <c r="CKN80" s="684"/>
      <c r="CKO80" s="684"/>
      <c r="CKP80" s="684"/>
      <c r="CKQ80" s="684"/>
      <c r="CKR80" s="684"/>
      <c r="CKS80" s="684"/>
      <c r="CKT80" s="684"/>
      <c r="CKU80" s="684"/>
      <c r="CKV80" s="684"/>
      <c r="CKW80" s="684"/>
      <c r="CKX80" s="684"/>
      <c r="CKY80" s="684"/>
      <c r="CKZ80" s="684"/>
      <c r="CLA80" s="684"/>
      <c r="CLB80" s="684"/>
      <c r="CLC80" s="684"/>
      <c r="CLD80" s="684"/>
      <c r="CLE80" s="684"/>
      <c r="CLF80" s="684"/>
      <c r="CLG80" s="684"/>
      <c r="CLH80" s="684"/>
      <c r="CLI80" s="684"/>
      <c r="CLJ80" s="684"/>
      <c r="CLK80" s="684"/>
      <c r="CLL80" s="684"/>
      <c r="CLM80" s="684"/>
      <c r="CLN80" s="684"/>
      <c r="CLO80" s="684"/>
      <c r="CLP80" s="684"/>
      <c r="CLQ80" s="684"/>
      <c r="CLR80" s="684"/>
      <c r="CLS80" s="684"/>
      <c r="CLT80" s="684"/>
      <c r="CLU80" s="684"/>
      <c r="CLV80" s="684"/>
      <c r="CLW80" s="684"/>
      <c r="CLX80" s="684"/>
      <c r="CLY80" s="684"/>
      <c r="CLZ80" s="684"/>
      <c r="CMA80" s="684"/>
      <c r="CMB80" s="684"/>
      <c r="CMC80" s="684"/>
      <c r="CMD80" s="684"/>
      <c r="CME80" s="684"/>
      <c r="CMF80" s="684"/>
      <c r="CMG80" s="684"/>
      <c r="CMH80" s="684"/>
      <c r="CMI80" s="684"/>
      <c r="CMJ80" s="684"/>
      <c r="CMK80" s="684"/>
      <c r="CML80" s="684"/>
      <c r="CMM80" s="684"/>
      <c r="CMN80" s="684"/>
      <c r="CMO80" s="684"/>
      <c r="CMP80" s="684"/>
      <c r="CMQ80" s="684"/>
      <c r="CMR80" s="684"/>
      <c r="CMS80" s="684"/>
      <c r="CMT80" s="684"/>
      <c r="CMU80" s="684"/>
      <c r="CMV80" s="684"/>
      <c r="CMW80" s="684"/>
      <c r="CMX80" s="684"/>
      <c r="CMY80" s="684"/>
      <c r="CMZ80" s="684"/>
      <c r="CNA80" s="684"/>
      <c r="CNB80" s="684"/>
      <c r="CNC80" s="684"/>
      <c r="CND80" s="684"/>
      <c r="CNE80" s="684"/>
      <c r="CNF80" s="684"/>
      <c r="CNG80" s="684"/>
      <c r="CNH80" s="684"/>
      <c r="CNI80" s="684"/>
      <c r="CNJ80" s="684"/>
      <c r="CNK80" s="684"/>
      <c r="CNL80" s="684"/>
      <c r="CNM80" s="684"/>
      <c r="CNN80" s="684"/>
      <c r="CNO80" s="684"/>
      <c r="CNP80" s="684"/>
      <c r="CNQ80" s="684"/>
      <c r="CNR80" s="684"/>
      <c r="CNS80" s="684"/>
      <c r="CNT80" s="684"/>
      <c r="CNU80" s="684"/>
      <c r="CNV80" s="684"/>
      <c r="CNW80" s="684"/>
      <c r="CNX80" s="684"/>
      <c r="CNY80" s="684"/>
      <c r="CNZ80" s="684"/>
      <c r="COA80" s="684"/>
      <c r="COB80" s="684"/>
      <c r="COC80" s="684"/>
      <c r="COD80" s="684"/>
      <c r="COE80" s="684"/>
      <c r="COF80" s="684"/>
      <c r="COG80" s="684"/>
      <c r="COH80" s="684"/>
      <c r="COI80" s="684"/>
      <c r="COJ80" s="684"/>
      <c r="COK80" s="684"/>
      <c r="COL80" s="684"/>
      <c r="COM80" s="684"/>
      <c r="CON80" s="684"/>
      <c r="COO80" s="684"/>
      <c r="COP80" s="684"/>
      <c r="COQ80" s="684"/>
      <c r="COR80" s="684"/>
      <c r="COS80" s="684"/>
      <c r="COT80" s="684"/>
      <c r="COU80" s="684"/>
      <c r="COV80" s="684"/>
      <c r="COW80" s="684"/>
      <c r="COX80" s="684"/>
      <c r="COY80" s="684"/>
      <c r="COZ80" s="684"/>
      <c r="CPA80" s="684"/>
      <c r="CPB80" s="684"/>
      <c r="CPC80" s="684"/>
      <c r="CPD80" s="684"/>
      <c r="CPE80" s="684"/>
      <c r="CPF80" s="684"/>
      <c r="CPG80" s="684"/>
      <c r="CPH80" s="684"/>
      <c r="CPI80" s="684"/>
      <c r="CPJ80" s="684"/>
      <c r="CPK80" s="684"/>
      <c r="CPL80" s="684"/>
      <c r="CPM80" s="684"/>
      <c r="CPN80" s="684"/>
      <c r="CPO80" s="684"/>
      <c r="CPP80" s="684"/>
      <c r="CPQ80" s="684"/>
      <c r="CPR80" s="684"/>
      <c r="CPS80" s="684"/>
      <c r="CPT80" s="684"/>
      <c r="CPU80" s="684"/>
      <c r="CPV80" s="684"/>
      <c r="CPW80" s="684"/>
      <c r="CPX80" s="684"/>
      <c r="CPY80" s="684"/>
      <c r="CPZ80" s="684"/>
      <c r="CQA80" s="684"/>
      <c r="CQB80" s="684"/>
      <c r="CQC80" s="684"/>
      <c r="CQD80" s="684"/>
      <c r="CQE80" s="684"/>
      <c r="CQF80" s="684"/>
      <c r="CQG80" s="684"/>
      <c r="CQH80" s="684"/>
      <c r="CQI80" s="684"/>
      <c r="CQJ80" s="684"/>
      <c r="CQK80" s="684"/>
      <c r="CQL80" s="684"/>
      <c r="CQM80" s="684"/>
      <c r="CQN80" s="684"/>
      <c r="CQO80" s="684"/>
      <c r="CQP80" s="684"/>
      <c r="CQQ80" s="684"/>
      <c r="CQR80" s="684"/>
      <c r="CQS80" s="684"/>
      <c r="CQT80" s="684"/>
      <c r="CQU80" s="684"/>
      <c r="CQV80" s="684"/>
      <c r="CQW80" s="684"/>
      <c r="CQX80" s="684"/>
      <c r="CQY80" s="684"/>
      <c r="CQZ80" s="684"/>
      <c r="CRA80" s="684"/>
      <c r="CRB80" s="684"/>
      <c r="CRC80" s="684"/>
      <c r="CRD80" s="684"/>
      <c r="CRE80" s="684"/>
      <c r="CRF80" s="684"/>
      <c r="CRG80" s="684"/>
      <c r="CRH80" s="684"/>
      <c r="CRI80" s="684"/>
      <c r="CRJ80" s="684"/>
      <c r="CRK80" s="684"/>
      <c r="CRL80" s="684"/>
      <c r="CRM80" s="684"/>
      <c r="CRN80" s="684"/>
      <c r="CRO80" s="684"/>
      <c r="CRP80" s="684"/>
      <c r="CRQ80" s="684"/>
      <c r="CRR80" s="684"/>
      <c r="CRS80" s="684"/>
      <c r="CRT80" s="684"/>
      <c r="CRU80" s="684"/>
      <c r="CRV80" s="684"/>
      <c r="CRW80" s="684"/>
      <c r="CRX80" s="684"/>
      <c r="CRY80" s="684"/>
      <c r="CRZ80" s="684"/>
      <c r="CSA80" s="684"/>
      <c r="CSB80" s="684"/>
      <c r="CSC80" s="684"/>
      <c r="CSD80" s="684"/>
      <c r="CSE80" s="684"/>
      <c r="CSF80" s="684"/>
      <c r="CSG80" s="684"/>
      <c r="CSH80" s="684"/>
      <c r="CSI80" s="684"/>
      <c r="CSJ80" s="684"/>
      <c r="CSK80" s="684"/>
      <c r="CSL80" s="684"/>
      <c r="CSM80" s="684"/>
      <c r="CSN80" s="684"/>
      <c r="CSO80" s="684"/>
      <c r="CSP80" s="684"/>
      <c r="CSQ80" s="684"/>
      <c r="CSR80" s="684"/>
      <c r="CSS80" s="684"/>
      <c r="CST80" s="684"/>
      <c r="CSU80" s="684"/>
      <c r="CSV80" s="684"/>
      <c r="CSW80" s="684"/>
      <c r="CSX80" s="684"/>
      <c r="CSY80" s="684"/>
      <c r="CSZ80" s="684"/>
      <c r="CTA80" s="684"/>
      <c r="CTB80" s="684"/>
      <c r="CTC80" s="684"/>
      <c r="CTD80" s="684"/>
      <c r="CTE80" s="684"/>
      <c r="CTF80" s="684"/>
      <c r="CTG80" s="684"/>
      <c r="CTH80" s="684"/>
      <c r="CTI80" s="684"/>
      <c r="CTJ80" s="684"/>
      <c r="CTK80" s="684"/>
      <c r="CTL80" s="684"/>
      <c r="CTM80" s="684"/>
      <c r="CTN80" s="684"/>
      <c r="CTO80" s="684"/>
      <c r="CTP80" s="684"/>
      <c r="CTQ80" s="684"/>
      <c r="CTR80" s="684"/>
      <c r="CTS80" s="684"/>
      <c r="CTT80" s="684"/>
      <c r="CTU80" s="684"/>
      <c r="CTV80" s="684"/>
      <c r="CTW80" s="684"/>
      <c r="CTX80" s="684"/>
      <c r="CTY80" s="684"/>
      <c r="CTZ80" s="684"/>
      <c r="CUA80" s="684"/>
      <c r="CUB80" s="684"/>
      <c r="CUC80" s="684"/>
      <c r="CUD80" s="684"/>
      <c r="CUE80" s="684"/>
      <c r="CUF80" s="684"/>
      <c r="CUG80" s="684"/>
      <c r="CUH80" s="684"/>
      <c r="CUI80" s="684"/>
      <c r="CUJ80" s="684"/>
      <c r="CUK80" s="684"/>
      <c r="CUL80" s="684"/>
      <c r="CUM80" s="684"/>
      <c r="CUN80" s="684"/>
      <c r="CUO80" s="684"/>
      <c r="CUP80" s="684"/>
      <c r="CUQ80" s="684"/>
      <c r="CUR80" s="684"/>
      <c r="CUS80" s="684"/>
      <c r="CUT80" s="684"/>
      <c r="CUU80" s="684"/>
      <c r="CUV80" s="684"/>
      <c r="CUW80" s="684"/>
      <c r="CUX80" s="684"/>
      <c r="CUY80" s="684"/>
      <c r="CUZ80" s="684"/>
      <c r="CVA80" s="684"/>
      <c r="CVB80" s="684"/>
      <c r="CVC80" s="684"/>
      <c r="CVD80" s="684"/>
      <c r="CVE80" s="684"/>
      <c r="CVF80" s="684"/>
      <c r="CVG80" s="684"/>
      <c r="CVH80" s="684"/>
      <c r="CVI80" s="684"/>
      <c r="CVJ80" s="684"/>
      <c r="CVK80" s="684"/>
      <c r="CVL80" s="684"/>
      <c r="CVM80" s="684"/>
      <c r="CVN80" s="684"/>
      <c r="CVO80" s="684"/>
      <c r="CVP80" s="684"/>
      <c r="CVQ80" s="684"/>
      <c r="CVR80" s="684"/>
      <c r="CVS80" s="684"/>
      <c r="CVT80" s="684"/>
      <c r="CVU80" s="684"/>
      <c r="CVV80" s="684"/>
      <c r="CVW80" s="684"/>
      <c r="CVX80" s="684"/>
      <c r="CVY80" s="684"/>
      <c r="CVZ80" s="684"/>
      <c r="CWA80" s="684"/>
      <c r="CWB80" s="684"/>
      <c r="CWC80" s="684"/>
      <c r="CWD80" s="684"/>
      <c r="CWE80" s="684"/>
      <c r="CWF80" s="684"/>
      <c r="CWG80" s="684"/>
      <c r="CWH80" s="684"/>
      <c r="CWI80" s="684"/>
      <c r="CWJ80" s="684"/>
      <c r="CWK80" s="684"/>
      <c r="CWL80" s="684"/>
      <c r="CWM80" s="684"/>
      <c r="CWN80" s="684"/>
      <c r="CWO80" s="684"/>
      <c r="CWP80" s="684"/>
      <c r="CWQ80" s="684"/>
      <c r="CWR80" s="684"/>
      <c r="CWS80" s="684"/>
      <c r="CWT80" s="684"/>
      <c r="CWU80" s="684"/>
      <c r="CWV80" s="684"/>
      <c r="CWW80" s="684"/>
      <c r="CWX80" s="684"/>
      <c r="CWY80" s="684"/>
      <c r="CWZ80" s="684"/>
      <c r="CXA80" s="684"/>
      <c r="CXB80" s="684"/>
      <c r="CXC80" s="684"/>
      <c r="CXD80" s="684"/>
      <c r="CXE80" s="684"/>
      <c r="CXF80" s="684"/>
      <c r="CXG80" s="684"/>
      <c r="CXH80" s="684"/>
      <c r="CXI80" s="684"/>
      <c r="CXJ80" s="684"/>
      <c r="CXK80" s="684"/>
      <c r="CXL80" s="684"/>
      <c r="CXM80" s="684"/>
      <c r="CXN80" s="684"/>
      <c r="CXO80" s="684"/>
      <c r="CXP80" s="684"/>
      <c r="CXQ80" s="684"/>
      <c r="CXR80" s="684"/>
      <c r="CXS80" s="684"/>
      <c r="CXT80" s="684"/>
      <c r="CXU80" s="684"/>
      <c r="CXV80" s="684"/>
      <c r="CXW80" s="684"/>
      <c r="CXX80" s="684"/>
      <c r="CXY80" s="684"/>
      <c r="CXZ80" s="684"/>
      <c r="CYA80" s="684"/>
      <c r="CYB80" s="684"/>
      <c r="CYC80" s="684"/>
      <c r="CYD80" s="684"/>
      <c r="CYE80" s="684"/>
      <c r="CYF80" s="684"/>
      <c r="CYG80" s="684"/>
      <c r="CYH80" s="684"/>
      <c r="CYI80" s="684"/>
      <c r="CYJ80" s="684"/>
      <c r="CYK80" s="684"/>
      <c r="CYL80" s="684"/>
      <c r="CYM80" s="684"/>
      <c r="CYN80" s="684"/>
      <c r="CYO80" s="684"/>
      <c r="CYP80" s="684"/>
      <c r="CYQ80" s="684"/>
      <c r="CYR80" s="684"/>
      <c r="CYS80" s="684"/>
      <c r="CYT80" s="684"/>
      <c r="CYU80" s="684"/>
      <c r="CYV80" s="684"/>
      <c r="CYW80" s="684"/>
      <c r="CYX80" s="684"/>
      <c r="CYY80" s="684"/>
      <c r="CYZ80" s="684"/>
      <c r="CZA80" s="684"/>
      <c r="CZB80" s="684"/>
      <c r="CZC80" s="684"/>
      <c r="CZD80" s="684"/>
      <c r="CZE80" s="684"/>
      <c r="CZF80" s="684"/>
      <c r="CZG80" s="684"/>
      <c r="CZH80" s="684"/>
      <c r="CZI80" s="684"/>
      <c r="CZJ80" s="684"/>
      <c r="CZK80" s="684"/>
      <c r="CZL80" s="684"/>
      <c r="CZM80" s="684"/>
      <c r="CZN80" s="684"/>
      <c r="CZO80" s="684"/>
      <c r="CZP80" s="684"/>
      <c r="CZQ80" s="684"/>
      <c r="CZR80" s="684"/>
      <c r="CZS80" s="684"/>
      <c r="CZT80" s="684"/>
      <c r="CZU80" s="684"/>
      <c r="CZV80" s="684"/>
      <c r="CZW80" s="684"/>
      <c r="CZX80" s="684"/>
      <c r="CZY80" s="684"/>
      <c r="CZZ80" s="684"/>
      <c r="DAA80" s="684"/>
      <c r="DAB80" s="684"/>
      <c r="DAC80" s="684"/>
      <c r="DAD80" s="684"/>
      <c r="DAE80" s="684"/>
      <c r="DAF80" s="684"/>
      <c r="DAG80" s="684"/>
      <c r="DAH80" s="684"/>
      <c r="DAI80" s="684"/>
      <c r="DAJ80" s="684"/>
      <c r="DAK80" s="684"/>
      <c r="DAL80" s="684"/>
      <c r="DAM80" s="684"/>
      <c r="DAN80" s="684"/>
      <c r="DAO80" s="684"/>
      <c r="DAP80" s="684"/>
      <c r="DAQ80" s="684"/>
      <c r="DAR80" s="684"/>
      <c r="DAS80" s="684"/>
      <c r="DAT80" s="684"/>
      <c r="DAU80" s="684"/>
      <c r="DAV80" s="684"/>
      <c r="DAW80" s="684"/>
      <c r="DAX80" s="684"/>
      <c r="DAY80" s="684"/>
      <c r="DAZ80" s="684"/>
      <c r="DBA80" s="684"/>
      <c r="DBB80" s="684"/>
      <c r="DBC80" s="684"/>
      <c r="DBD80" s="684"/>
      <c r="DBE80" s="684"/>
      <c r="DBF80" s="684"/>
      <c r="DBG80" s="684"/>
      <c r="DBH80" s="684"/>
      <c r="DBI80" s="684"/>
      <c r="DBJ80" s="684"/>
      <c r="DBK80" s="684"/>
      <c r="DBL80" s="684"/>
      <c r="DBM80" s="684"/>
      <c r="DBN80" s="684"/>
      <c r="DBO80" s="684"/>
      <c r="DBP80" s="684"/>
      <c r="DBQ80" s="684"/>
      <c r="DBR80" s="684"/>
      <c r="DBS80" s="684"/>
      <c r="DBT80" s="684"/>
      <c r="DBU80" s="684"/>
      <c r="DBV80" s="684"/>
      <c r="DBW80" s="684"/>
      <c r="DBX80" s="684"/>
      <c r="DBY80" s="684"/>
      <c r="DBZ80" s="684"/>
      <c r="DCA80" s="684"/>
      <c r="DCB80" s="684"/>
      <c r="DCC80" s="684"/>
      <c r="DCD80" s="684"/>
      <c r="DCE80" s="684"/>
      <c r="DCF80" s="684"/>
      <c r="DCG80" s="684"/>
      <c r="DCH80" s="684"/>
      <c r="DCI80" s="684"/>
      <c r="DCJ80" s="684"/>
      <c r="DCK80" s="684"/>
      <c r="DCL80" s="684"/>
      <c r="DCM80" s="684"/>
      <c r="DCN80" s="684"/>
      <c r="DCO80" s="684"/>
      <c r="DCP80" s="684"/>
      <c r="DCQ80" s="684"/>
      <c r="DCR80" s="684"/>
      <c r="DCS80" s="684"/>
      <c r="DCT80" s="684"/>
      <c r="DCU80" s="684"/>
      <c r="DCV80" s="684"/>
      <c r="DCW80" s="684"/>
      <c r="DCX80" s="684"/>
      <c r="DCY80" s="684"/>
      <c r="DCZ80" s="684"/>
      <c r="DDA80" s="684"/>
      <c r="DDB80" s="684"/>
      <c r="DDC80" s="684"/>
      <c r="DDD80" s="684"/>
      <c r="DDE80" s="684"/>
      <c r="DDF80" s="684"/>
      <c r="DDG80" s="684"/>
      <c r="DDH80" s="684"/>
      <c r="DDI80" s="684"/>
      <c r="DDJ80" s="684"/>
      <c r="DDK80" s="684"/>
      <c r="DDL80" s="684"/>
      <c r="DDM80" s="684"/>
      <c r="DDN80" s="684"/>
      <c r="DDO80" s="684"/>
      <c r="DDP80" s="684"/>
      <c r="DDQ80" s="684"/>
      <c r="DDR80" s="684"/>
      <c r="DDS80" s="684"/>
      <c r="DDT80" s="684"/>
      <c r="DDU80" s="684"/>
      <c r="DDV80" s="684"/>
      <c r="DDW80" s="684"/>
      <c r="DDX80" s="684"/>
      <c r="DDY80" s="684"/>
      <c r="DDZ80" s="684"/>
      <c r="DEA80" s="684"/>
      <c r="DEB80" s="684"/>
      <c r="DEC80" s="684"/>
      <c r="DED80" s="684"/>
      <c r="DEE80" s="684"/>
      <c r="DEF80" s="684"/>
      <c r="DEG80" s="684"/>
      <c r="DEH80" s="684"/>
      <c r="DEI80" s="684"/>
      <c r="DEJ80" s="684"/>
      <c r="DEK80" s="684"/>
      <c r="DEL80" s="684"/>
      <c r="DEM80" s="684"/>
      <c r="DEN80" s="684"/>
      <c r="DEO80" s="684"/>
      <c r="DEP80" s="684"/>
      <c r="DEQ80" s="684"/>
      <c r="DER80" s="684"/>
      <c r="DES80" s="684"/>
      <c r="DET80" s="684"/>
      <c r="DEU80" s="684"/>
      <c r="DEV80" s="684"/>
      <c r="DEW80" s="684"/>
      <c r="DEX80" s="684"/>
      <c r="DEY80" s="684"/>
      <c r="DEZ80" s="684"/>
      <c r="DFA80" s="684"/>
      <c r="DFB80" s="684"/>
      <c r="DFC80" s="684"/>
      <c r="DFD80" s="684"/>
      <c r="DFE80" s="684"/>
      <c r="DFF80" s="684"/>
      <c r="DFG80" s="684"/>
      <c r="DFH80" s="684"/>
      <c r="DFI80" s="684"/>
      <c r="DFJ80" s="684"/>
      <c r="DFK80" s="684"/>
      <c r="DFL80" s="684"/>
      <c r="DFM80" s="684"/>
      <c r="DFN80" s="684"/>
      <c r="DFO80" s="684"/>
      <c r="DFP80" s="684"/>
      <c r="DFQ80" s="684"/>
      <c r="DFR80" s="684"/>
      <c r="DFS80" s="684"/>
      <c r="DFT80" s="684"/>
      <c r="DFU80" s="684"/>
      <c r="DFV80" s="684"/>
      <c r="DFW80" s="684"/>
      <c r="DFX80" s="684"/>
      <c r="DFY80" s="684"/>
      <c r="DFZ80" s="684"/>
      <c r="DGA80" s="684"/>
      <c r="DGB80" s="684"/>
      <c r="DGC80" s="684"/>
      <c r="DGD80" s="684"/>
      <c r="DGE80" s="684"/>
      <c r="DGF80" s="684"/>
      <c r="DGG80" s="684"/>
      <c r="DGH80" s="684"/>
      <c r="DGI80" s="684"/>
      <c r="DGJ80" s="684"/>
      <c r="DGK80" s="684"/>
      <c r="DGL80" s="684"/>
      <c r="DGM80" s="684"/>
      <c r="DGN80" s="684"/>
      <c r="DGO80" s="684"/>
      <c r="DGP80" s="684"/>
      <c r="DGQ80" s="684"/>
      <c r="DGR80" s="684"/>
      <c r="DGS80" s="684"/>
      <c r="DGT80" s="684"/>
      <c r="DGU80" s="684"/>
      <c r="DGV80" s="684"/>
      <c r="DGW80" s="684"/>
      <c r="DGX80" s="684"/>
      <c r="DGY80" s="684"/>
      <c r="DGZ80" s="684"/>
      <c r="DHA80" s="684"/>
      <c r="DHB80" s="684"/>
      <c r="DHC80" s="684"/>
      <c r="DHD80" s="684"/>
      <c r="DHE80" s="684"/>
      <c r="DHF80" s="684"/>
      <c r="DHG80" s="684"/>
      <c r="DHH80" s="684"/>
      <c r="DHI80" s="684"/>
      <c r="DHJ80" s="684"/>
      <c r="DHK80" s="684"/>
      <c r="DHL80" s="684"/>
      <c r="DHM80" s="684"/>
      <c r="DHN80" s="684"/>
      <c r="DHO80" s="684"/>
      <c r="DHP80" s="684"/>
      <c r="DHQ80" s="684"/>
      <c r="DHR80" s="684"/>
      <c r="DHS80" s="684"/>
      <c r="DHT80" s="684"/>
      <c r="DHU80" s="684"/>
      <c r="DHV80" s="684"/>
      <c r="DHW80" s="684"/>
      <c r="DHX80" s="684"/>
      <c r="DHY80" s="684"/>
      <c r="DHZ80" s="684"/>
      <c r="DIA80" s="684"/>
      <c r="DIB80" s="684"/>
      <c r="DIC80" s="684"/>
      <c r="DID80" s="684"/>
      <c r="DIE80" s="684"/>
      <c r="DIF80" s="684"/>
      <c r="DIG80" s="684"/>
      <c r="DIH80" s="684"/>
      <c r="DII80" s="684"/>
      <c r="DIJ80" s="684"/>
      <c r="DIK80" s="684"/>
      <c r="DIL80" s="684"/>
      <c r="DIM80" s="684"/>
      <c r="DIN80" s="684"/>
      <c r="DIO80" s="684"/>
      <c r="DIP80" s="684"/>
      <c r="DIQ80" s="684"/>
      <c r="DIR80" s="684"/>
      <c r="DIS80" s="684"/>
      <c r="DIT80" s="684"/>
      <c r="DIU80" s="684"/>
      <c r="DIV80" s="684"/>
      <c r="DIW80" s="684"/>
      <c r="DIX80" s="684"/>
      <c r="DIY80" s="684"/>
      <c r="DIZ80" s="684"/>
      <c r="DJA80" s="684"/>
      <c r="DJB80" s="684"/>
      <c r="DJC80" s="684"/>
      <c r="DJD80" s="684"/>
      <c r="DJE80" s="684"/>
      <c r="DJF80" s="684"/>
      <c r="DJG80" s="684"/>
      <c r="DJH80" s="684"/>
      <c r="DJI80" s="684"/>
      <c r="DJJ80" s="684"/>
      <c r="DJK80" s="684"/>
      <c r="DJL80" s="684"/>
      <c r="DJM80" s="684"/>
      <c r="DJN80" s="684"/>
      <c r="DJO80" s="684"/>
      <c r="DJP80" s="684"/>
      <c r="DJQ80" s="684"/>
      <c r="DJR80" s="684"/>
      <c r="DJS80" s="684"/>
      <c r="DJT80" s="684"/>
      <c r="DJU80" s="684"/>
      <c r="DJV80" s="684"/>
      <c r="DJW80" s="684"/>
      <c r="DJX80" s="684"/>
      <c r="DJY80" s="684"/>
      <c r="DJZ80" s="684"/>
      <c r="DKA80" s="684"/>
      <c r="DKB80" s="684"/>
      <c r="DKC80" s="684"/>
      <c r="DKD80" s="684"/>
      <c r="DKE80" s="684"/>
      <c r="DKF80" s="684"/>
      <c r="DKG80" s="684"/>
      <c r="DKH80" s="684"/>
      <c r="DKI80" s="684"/>
      <c r="DKJ80" s="684"/>
      <c r="DKK80" s="684"/>
      <c r="DKL80" s="684"/>
      <c r="DKM80" s="684"/>
      <c r="DKN80" s="684"/>
      <c r="DKO80" s="684"/>
      <c r="DKP80" s="684"/>
      <c r="DKQ80" s="684"/>
      <c r="DKR80" s="684"/>
      <c r="DKS80" s="684"/>
      <c r="DKT80" s="684"/>
      <c r="DKU80" s="684"/>
      <c r="DKV80" s="684"/>
      <c r="DKW80" s="684"/>
      <c r="DKX80" s="684"/>
      <c r="DKY80" s="684"/>
      <c r="DKZ80" s="684"/>
      <c r="DLA80" s="684"/>
      <c r="DLB80" s="684"/>
      <c r="DLC80" s="684"/>
      <c r="DLD80" s="684"/>
      <c r="DLE80" s="684"/>
      <c r="DLF80" s="684"/>
      <c r="DLG80" s="684"/>
      <c r="DLH80" s="684"/>
      <c r="DLI80" s="684"/>
      <c r="DLJ80" s="684"/>
      <c r="DLK80" s="684"/>
      <c r="DLL80" s="684"/>
      <c r="DLM80" s="684"/>
      <c r="DLN80" s="684"/>
      <c r="DLO80" s="684"/>
      <c r="DLP80" s="684"/>
      <c r="DLQ80" s="684"/>
      <c r="DLR80" s="684"/>
      <c r="DLS80" s="684"/>
      <c r="DLT80" s="684"/>
      <c r="DLU80" s="684"/>
      <c r="DLV80" s="684"/>
      <c r="DLW80" s="684"/>
      <c r="DLX80" s="684"/>
      <c r="DLY80" s="684"/>
      <c r="DLZ80" s="684"/>
      <c r="DMA80" s="684"/>
      <c r="DMB80" s="684"/>
      <c r="DMC80" s="684"/>
      <c r="DMD80" s="684"/>
      <c r="DME80" s="684"/>
      <c r="DMF80" s="684"/>
      <c r="DMG80" s="684"/>
      <c r="DMH80" s="684"/>
      <c r="DMI80" s="684"/>
      <c r="DMJ80" s="684"/>
      <c r="DMK80" s="684"/>
      <c r="DML80" s="684"/>
      <c r="DMM80" s="684"/>
      <c r="DMN80" s="684"/>
      <c r="DMO80" s="684"/>
      <c r="DMP80" s="684"/>
      <c r="DMQ80" s="684"/>
      <c r="DMR80" s="684"/>
      <c r="DMS80" s="684"/>
      <c r="DMT80" s="684"/>
      <c r="DMU80" s="684"/>
      <c r="DMV80" s="684"/>
      <c r="DMW80" s="684"/>
      <c r="DMX80" s="684"/>
      <c r="DMY80" s="684"/>
      <c r="DMZ80" s="684"/>
      <c r="DNA80" s="684"/>
      <c r="DNB80" s="684"/>
      <c r="DNC80" s="684"/>
      <c r="DND80" s="684"/>
      <c r="DNE80" s="684"/>
      <c r="DNF80" s="684"/>
      <c r="DNG80" s="684"/>
      <c r="DNH80" s="684"/>
      <c r="DNI80" s="684"/>
      <c r="DNJ80" s="684"/>
      <c r="DNK80" s="684"/>
      <c r="DNL80" s="684"/>
      <c r="DNM80" s="684"/>
      <c r="DNN80" s="684"/>
      <c r="DNO80" s="684"/>
      <c r="DNP80" s="684"/>
      <c r="DNQ80" s="684"/>
      <c r="DNR80" s="684"/>
      <c r="DNS80" s="684"/>
      <c r="DNT80" s="684"/>
      <c r="DNU80" s="684"/>
      <c r="DNV80" s="684"/>
      <c r="DNW80" s="684"/>
      <c r="DNX80" s="684"/>
      <c r="DNY80" s="684"/>
      <c r="DNZ80" s="684"/>
      <c r="DOA80" s="684"/>
      <c r="DOB80" s="684"/>
      <c r="DOC80" s="684"/>
      <c r="DOD80" s="684"/>
      <c r="DOE80" s="684"/>
      <c r="DOF80" s="684"/>
      <c r="DOG80" s="684"/>
      <c r="DOH80" s="684"/>
      <c r="DOI80" s="684"/>
      <c r="DOJ80" s="684"/>
      <c r="DOK80" s="684"/>
      <c r="DOL80" s="684"/>
      <c r="DOM80" s="684"/>
      <c r="DON80" s="684"/>
      <c r="DOO80" s="684"/>
      <c r="DOP80" s="684"/>
      <c r="DOQ80" s="684"/>
      <c r="DOR80" s="684"/>
      <c r="DOS80" s="684"/>
      <c r="DOT80" s="684"/>
      <c r="DOU80" s="684"/>
      <c r="DOV80" s="684"/>
      <c r="DOW80" s="684"/>
      <c r="DOX80" s="684"/>
      <c r="DOY80" s="684"/>
      <c r="DOZ80" s="684"/>
      <c r="DPA80" s="684"/>
      <c r="DPB80" s="684"/>
      <c r="DPC80" s="684"/>
      <c r="DPD80" s="684"/>
      <c r="DPE80" s="684"/>
      <c r="DPF80" s="684"/>
      <c r="DPG80" s="684"/>
      <c r="DPH80" s="684"/>
      <c r="DPI80" s="684"/>
      <c r="DPJ80" s="684"/>
      <c r="DPK80" s="684"/>
      <c r="DPL80" s="684"/>
      <c r="DPM80" s="684"/>
      <c r="DPN80" s="684"/>
      <c r="DPO80" s="684"/>
      <c r="DPP80" s="684"/>
      <c r="DPQ80" s="684"/>
      <c r="DPR80" s="684"/>
      <c r="DPS80" s="684"/>
      <c r="DPT80" s="684"/>
      <c r="DPU80" s="684"/>
      <c r="DPV80" s="684"/>
      <c r="DPW80" s="684"/>
      <c r="DPX80" s="684"/>
      <c r="DPY80" s="684"/>
      <c r="DPZ80" s="684"/>
      <c r="DQA80" s="684"/>
      <c r="DQB80" s="684"/>
      <c r="DQC80" s="684"/>
      <c r="DQD80" s="684"/>
      <c r="DQE80" s="684"/>
      <c r="DQF80" s="684"/>
      <c r="DQG80" s="684"/>
      <c r="DQH80" s="684"/>
      <c r="DQI80" s="684"/>
      <c r="DQJ80" s="684"/>
      <c r="DQK80" s="684"/>
      <c r="DQL80" s="684"/>
      <c r="DQM80" s="684"/>
      <c r="DQN80" s="684"/>
      <c r="DQO80" s="684"/>
      <c r="DQP80" s="684"/>
      <c r="DQQ80" s="684"/>
      <c r="DQR80" s="684"/>
      <c r="DQS80" s="684"/>
      <c r="DQT80" s="684"/>
      <c r="DQU80" s="684"/>
      <c r="DQV80" s="684"/>
      <c r="DQW80" s="684"/>
      <c r="DQX80" s="684"/>
      <c r="DQY80" s="684"/>
      <c r="DQZ80" s="684"/>
      <c r="DRA80" s="684"/>
      <c r="DRB80" s="684"/>
      <c r="DRC80" s="684"/>
      <c r="DRD80" s="684"/>
      <c r="DRE80" s="684"/>
      <c r="DRF80" s="684"/>
      <c r="DRG80" s="684"/>
      <c r="DRH80" s="684"/>
      <c r="DRI80" s="684"/>
      <c r="DRJ80" s="684"/>
      <c r="DRK80" s="684"/>
      <c r="DRL80" s="684"/>
      <c r="DRM80" s="684"/>
      <c r="DRN80" s="684"/>
      <c r="DRO80" s="684"/>
      <c r="DRP80" s="684"/>
      <c r="DRQ80" s="684"/>
      <c r="DRR80" s="684"/>
      <c r="DRS80" s="684"/>
      <c r="DRT80" s="684"/>
      <c r="DRU80" s="684"/>
      <c r="DRV80" s="684"/>
      <c r="DRW80" s="684"/>
      <c r="DRX80" s="684"/>
      <c r="DRY80" s="684"/>
      <c r="DRZ80" s="684"/>
      <c r="DSA80" s="684"/>
      <c r="DSB80" s="684"/>
      <c r="DSC80" s="684"/>
      <c r="DSD80" s="684"/>
      <c r="DSE80" s="684"/>
      <c r="DSF80" s="684"/>
      <c r="DSG80" s="684"/>
      <c r="DSH80" s="684"/>
      <c r="DSI80" s="684"/>
      <c r="DSJ80" s="684"/>
      <c r="DSK80" s="684"/>
      <c r="DSL80" s="684"/>
      <c r="DSM80" s="684"/>
      <c r="DSN80" s="684"/>
      <c r="DSO80" s="684"/>
      <c r="DSP80" s="684"/>
      <c r="DSQ80" s="684"/>
      <c r="DSR80" s="684"/>
      <c r="DSS80" s="684"/>
      <c r="DST80" s="684"/>
      <c r="DSU80" s="684"/>
      <c r="DSV80" s="684"/>
      <c r="DSW80" s="684"/>
      <c r="DSX80" s="684"/>
      <c r="DSY80" s="684"/>
      <c r="DSZ80" s="684"/>
      <c r="DTA80" s="684"/>
      <c r="DTB80" s="684"/>
      <c r="DTC80" s="684"/>
      <c r="DTD80" s="684"/>
      <c r="DTE80" s="684"/>
      <c r="DTF80" s="684"/>
      <c r="DTG80" s="684"/>
      <c r="DTH80" s="684"/>
      <c r="DTI80" s="684"/>
      <c r="DTJ80" s="684"/>
      <c r="DTK80" s="684"/>
      <c r="DTL80" s="684"/>
      <c r="DTM80" s="684"/>
      <c r="DTN80" s="684"/>
      <c r="DTO80" s="684"/>
      <c r="DTP80" s="684"/>
      <c r="DTQ80" s="684"/>
      <c r="DTR80" s="684"/>
      <c r="DTS80" s="684"/>
      <c r="DTT80" s="684"/>
      <c r="DTU80" s="684"/>
      <c r="DTV80" s="684"/>
      <c r="DTW80" s="684"/>
      <c r="DTX80" s="684"/>
      <c r="DTY80" s="684"/>
      <c r="DTZ80" s="684"/>
      <c r="DUA80" s="684"/>
      <c r="DUB80" s="684"/>
      <c r="DUC80" s="684"/>
      <c r="DUD80" s="684"/>
      <c r="DUE80" s="684"/>
      <c r="DUF80" s="684"/>
      <c r="DUG80" s="684"/>
      <c r="DUH80" s="684"/>
      <c r="DUI80" s="684"/>
      <c r="DUJ80" s="684"/>
      <c r="DUK80" s="684"/>
      <c r="DUL80" s="684"/>
      <c r="DUM80" s="684"/>
      <c r="DUN80" s="684"/>
      <c r="DUO80" s="684"/>
      <c r="DUP80" s="684"/>
      <c r="DUQ80" s="684"/>
      <c r="DUR80" s="684"/>
      <c r="DUS80" s="684"/>
      <c r="DUT80" s="684"/>
      <c r="DUU80" s="684"/>
      <c r="DUV80" s="684"/>
      <c r="DUW80" s="684"/>
      <c r="DUX80" s="684"/>
      <c r="DUY80" s="684"/>
      <c r="DUZ80" s="684"/>
      <c r="DVA80" s="684"/>
      <c r="DVB80" s="684"/>
      <c r="DVC80" s="684"/>
      <c r="DVD80" s="684"/>
      <c r="DVE80" s="684"/>
      <c r="DVF80" s="684"/>
      <c r="DVG80" s="684"/>
      <c r="DVH80" s="684"/>
      <c r="DVI80" s="684"/>
      <c r="DVJ80" s="684"/>
      <c r="DVK80" s="684"/>
      <c r="DVL80" s="684"/>
      <c r="DVM80" s="684"/>
      <c r="DVN80" s="684"/>
      <c r="DVO80" s="684"/>
      <c r="DVP80" s="684"/>
      <c r="DVQ80" s="684"/>
      <c r="DVR80" s="684"/>
      <c r="DVS80" s="684"/>
      <c r="DVT80" s="684"/>
      <c r="DVU80" s="684"/>
      <c r="DVV80" s="684"/>
      <c r="DVW80" s="684"/>
      <c r="DVX80" s="684"/>
      <c r="DVY80" s="684"/>
      <c r="DVZ80" s="684"/>
      <c r="DWA80" s="684"/>
      <c r="DWB80" s="684"/>
      <c r="DWC80" s="684"/>
      <c r="DWD80" s="684"/>
      <c r="DWE80" s="684"/>
      <c r="DWF80" s="684"/>
      <c r="DWG80" s="684"/>
      <c r="DWH80" s="684"/>
      <c r="DWI80" s="684"/>
      <c r="DWJ80" s="684"/>
      <c r="DWK80" s="684"/>
      <c r="DWL80" s="684"/>
      <c r="DWM80" s="684"/>
      <c r="DWN80" s="684"/>
      <c r="DWO80" s="684"/>
      <c r="DWP80" s="684"/>
      <c r="DWQ80" s="684"/>
      <c r="DWR80" s="684"/>
      <c r="DWS80" s="684"/>
      <c r="DWT80" s="684"/>
      <c r="DWU80" s="684"/>
      <c r="DWV80" s="684"/>
      <c r="DWW80" s="684"/>
      <c r="DWX80" s="684"/>
      <c r="DWY80" s="684"/>
      <c r="DWZ80" s="684"/>
      <c r="DXA80" s="684"/>
      <c r="DXB80" s="684"/>
      <c r="DXC80" s="684"/>
      <c r="DXD80" s="684"/>
      <c r="DXE80" s="684"/>
      <c r="DXF80" s="684"/>
      <c r="DXG80" s="684"/>
      <c r="DXH80" s="684"/>
      <c r="DXI80" s="684"/>
      <c r="DXJ80" s="684"/>
      <c r="DXK80" s="684"/>
      <c r="DXL80" s="684"/>
      <c r="DXM80" s="684"/>
      <c r="DXN80" s="684"/>
      <c r="DXO80" s="684"/>
      <c r="DXP80" s="684"/>
      <c r="DXQ80" s="684"/>
      <c r="DXR80" s="684"/>
      <c r="DXS80" s="684"/>
      <c r="DXT80" s="684"/>
      <c r="DXU80" s="684"/>
      <c r="DXV80" s="684"/>
      <c r="DXW80" s="684"/>
      <c r="DXX80" s="684"/>
      <c r="DXY80" s="684"/>
      <c r="DXZ80" s="684"/>
      <c r="DYA80" s="684"/>
      <c r="DYB80" s="684"/>
      <c r="DYC80" s="684"/>
      <c r="DYD80" s="684"/>
      <c r="DYE80" s="684"/>
      <c r="DYF80" s="684"/>
      <c r="DYG80" s="684"/>
      <c r="DYH80" s="684"/>
      <c r="DYI80" s="684"/>
      <c r="DYJ80" s="684"/>
      <c r="DYK80" s="684"/>
      <c r="DYL80" s="684"/>
      <c r="DYM80" s="684"/>
      <c r="DYN80" s="684"/>
      <c r="DYO80" s="684"/>
      <c r="DYP80" s="684"/>
      <c r="DYQ80" s="684"/>
      <c r="DYR80" s="684"/>
      <c r="DYS80" s="684"/>
      <c r="DYT80" s="684"/>
      <c r="DYU80" s="684"/>
      <c r="DYV80" s="684"/>
      <c r="DYW80" s="684"/>
      <c r="DYX80" s="684"/>
      <c r="DYY80" s="684"/>
      <c r="DYZ80" s="684"/>
      <c r="DZA80" s="684"/>
      <c r="DZB80" s="684"/>
      <c r="DZC80" s="684"/>
      <c r="DZD80" s="684"/>
      <c r="DZE80" s="684"/>
      <c r="DZF80" s="684"/>
      <c r="DZG80" s="684"/>
      <c r="DZH80" s="684"/>
      <c r="DZI80" s="684"/>
      <c r="DZJ80" s="684"/>
      <c r="DZK80" s="684"/>
      <c r="DZL80" s="684"/>
      <c r="DZM80" s="684"/>
      <c r="DZN80" s="684"/>
      <c r="DZO80" s="684"/>
      <c r="DZP80" s="684"/>
      <c r="DZQ80" s="684"/>
      <c r="DZR80" s="684"/>
      <c r="DZS80" s="684"/>
      <c r="DZT80" s="684"/>
      <c r="DZU80" s="684"/>
      <c r="DZV80" s="684"/>
      <c r="DZW80" s="684"/>
      <c r="DZX80" s="684"/>
      <c r="DZY80" s="684"/>
      <c r="DZZ80" s="684"/>
      <c r="EAA80" s="684"/>
      <c r="EAB80" s="684"/>
      <c r="EAC80" s="684"/>
      <c r="EAD80" s="684"/>
      <c r="EAE80" s="684"/>
      <c r="EAF80" s="684"/>
      <c r="EAG80" s="684"/>
      <c r="EAH80" s="684"/>
      <c r="EAI80" s="684"/>
      <c r="EAJ80" s="684"/>
      <c r="EAK80" s="684"/>
      <c r="EAL80" s="684"/>
      <c r="EAM80" s="684"/>
      <c r="EAN80" s="684"/>
      <c r="EAO80" s="684"/>
      <c r="EAP80" s="684"/>
      <c r="EAQ80" s="684"/>
      <c r="EAR80" s="684"/>
      <c r="EAS80" s="684"/>
      <c r="EAT80" s="684"/>
      <c r="EAU80" s="684"/>
      <c r="EAV80" s="684"/>
      <c r="EAW80" s="684"/>
      <c r="EAX80" s="684"/>
      <c r="EAY80" s="684"/>
      <c r="EAZ80" s="684"/>
      <c r="EBA80" s="684"/>
      <c r="EBB80" s="684"/>
      <c r="EBC80" s="684"/>
      <c r="EBD80" s="684"/>
      <c r="EBE80" s="684"/>
      <c r="EBF80" s="684"/>
      <c r="EBG80" s="684"/>
      <c r="EBH80" s="684"/>
      <c r="EBI80" s="684"/>
      <c r="EBJ80" s="684"/>
      <c r="EBK80" s="684"/>
      <c r="EBL80" s="684"/>
      <c r="EBM80" s="684"/>
      <c r="EBN80" s="684"/>
      <c r="EBO80" s="684"/>
      <c r="EBP80" s="684"/>
      <c r="EBQ80" s="684"/>
      <c r="EBR80" s="684"/>
      <c r="EBS80" s="684"/>
      <c r="EBT80" s="684"/>
      <c r="EBU80" s="684"/>
      <c r="EBV80" s="684"/>
      <c r="EBW80" s="684"/>
      <c r="EBX80" s="684"/>
      <c r="EBY80" s="684"/>
      <c r="EBZ80" s="684"/>
      <c r="ECA80" s="684"/>
      <c r="ECB80" s="684"/>
      <c r="ECC80" s="684"/>
      <c r="ECD80" s="684"/>
      <c r="ECE80" s="684"/>
      <c r="ECF80" s="684"/>
      <c r="ECG80" s="684"/>
      <c r="ECH80" s="684"/>
      <c r="ECI80" s="684"/>
      <c r="ECJ80" s="684"/>
      <c r="ECK80" s="684"/>
      <c r="ECL80" s="684"/>
      <c r="ECM80" s="684"/>
      <c r="ECN80" s="684"/>
      <c r="ECO80" s="684"/>
      <c r="ECP80" s="684"/>
      <c r="ECQ80" s="684"/>
      <c r="ECR80" s="684"/>
      <c r="ECS80" s="684"/>
      <c r="ECT80" s="684"/>
      <c r="ECU80" s="684"/>
      <c r="ECV80" s="684"/>
      <c r="ECW80" s="684"/>
      <c r="ECX80" s="684"/>
      <c r="ECY80" s="684"/>
      <c r="ECZ80" s="684"/>
      <c r="EDA80" s="684"/>
      <c r="EDB80" s="684"/>
      <c r="EDC80" s="684"/>
      <c r="EDD80" s="684"/>
      <c r="EDE80" s="684"/>
      <c r="EDF80" s="684"/>
      <c r="EDG80" s="684"/>
      <c r="EDH80" s="684"/>
      <c r="EDI80" s="684"/>
      <c r="EDJ80" s="684"/>
      <c r="EDK80" s="684"/>
      <c r="EDL80" s="684"/>
      <c r="EDM80" s="684"/>
      <c r="EDN80" s="684"/>
      <c r="EDO80" s="684"/>
      <c r="EDP80" s="684"/>
      <c r="EDQ80" s="684"/>
      <c r="EDR80" s="684"/>
      <c r="EDS80" s="684"/>
      <c r="EDT80" s="684"/>
      <c r="EDU80" s="684"/>
      <c r="EDV80" s="684"/>
      <c r="EDW80" s="684"/>
      <c r="EDX80" s="684"/>
      <c r="EDY80" s="684"/>
      <c r="EDZ80" s="684"/>
      <c r="EEA80" s="684"/>
      <c r="EEB80" s="684"/>
      <c r="EEC80" s="684"/>
      <c r="EED80" s="684"/>
      <c r="EEE80" s="684"/>
      <c r="EEF80" s="684"/>
      <c r="EEG80" s="684"/>
      <c r="EEH80" s="684"/>
      <c r="EEI80" s="684"/>
      <c r="EEJ80" s="684"/>
      <c r="EEK80" s="684"/>
      <c r="EEL80" s="684"/>
      <c r="EEM80" s="684"/>
      <c r="EEN80" s="684"/>
      <c r="EEO80" s="684"/>
      <c r="EEP80" s="684"/>
      <c r="EEQ80" s="684"/>
      <c r="EER80" s="684"/>
      <c r="EES80" s="684"/>
      <c r="EET80" s="684"/>
      <c r="EEU80" s="684"/>
      <c r="EEV80" s="684"/>
      <c r="EEW80" s="684"/>
      <c r="EEX80" s="684"/>
      <c r="EEY80" s="684"/>
      <c r="EEZ80" s="684"/>
      <c r="EFA80" s="684"/>
      <c r="EFB80" s="684"/>
      <c r="EFC80" s="684"/>
      <c r="EFD80" s="684"/>
      <c r="EFE80" s="684"/>
      <c r="EFF80" s="684"/>
      <c r="EFG80" s="684"/>
      <c r="EFH80" s="684"/>
      <c r="EFI80" s="684"/>
      <c r="EFJ80" s="684"/>
      <c r="EFK80" s="684"/>
      <c r="EFL80" s="684"/>
      <c r="EFM80" s="684"/>
      <c r="EFN80" s="684"/>
      <c r="EFO80" s="684"/>
      <c r="EFP80" s="684"/>
      <c r="EFQ80" s="684"/>
      <c r="EFR80" s="684"/>
      <c r="EFS80" s="684"/>
      <c r="EFT80" s="684"/>
      <c r="EFU80" s="684"/>
      <c r="EFV80" s="684"/>
      <c r="EFW80" s="684"/>
      <c r="EFX80" s="684"/>
      <c r="EFY80" s="684"/>
      <c r="EFZ80" s="684"/>
      <c r="EGA80" s="684"/>
      <c r="EGB80" s="684"/>
      <c r="EGC80" s="684"/>
      <c r="EGD80" s="684"/>
      <c r="EGE80" s="684"/>
      <c r="EGF80" s="684"/>
      <c r="EGG80" s="684"/>
      <c r="EGH80" s="684"/>
      <c r="EGI80" s="684"/>
      <c r="EGJ80" s="684"/>
      <c r="EGK80" s="684"/>
      <c r="EGL80" s="684"/>
      <c r="EGM80" s="684"/>
      <c r="EGN80" s="684"/>
      <c r="EGO80" s="684"/>
      <c r="EGP80" s="684"/>
      <c r="EGQ80" s="684"/>
      <c r="EGR80" s="684"/>
      <c r="EGS80" s="684"/>
      <c r="EGT80" s="684"/>
      <c r="EGU80" s="684"/>
      <c r="EGV80" s="684"/>
      <c r="EGW80" s="684"/>
      <c r="EGX80" s="684"/>
      <c r="EGY80" s="684"/>
      <c r="EGZ80" s="684"/>
      <c r="EHA80" s="684"/>
      <c r="EHB80" s="684"/>
      <c r="EHC80" s="684"/>
      <c r="EHD80" s="684"/>
      <c r="EHE80" s="684"/>
      <c r="EHF80" s="684"/>
      <c r="EHG80" s="684"/>
      <c r="EHH80" s="684"/>
      <c r="EHI80" s="684"/>
      <c r="EHJ80" s="684"/>
      <c r="EHK80" s="684"/>
      <c r="EHL80" s="684"/>
      <c r="EHM80" s="684"/>
      <c r="EHN80" s="684"/>
      <c r="EHO80" s="684"/>
      <c r="EHP80" s="684"/>
      <c r="EHQ80" s="684"/>
      <c r="EHR80" s="684"/>
      <c r="EHS80" s="684"/>
      <c r="EHT80" s="684"/>
      <c r="EHU80" s="684"/>
      <c r="EHV80" s="684"/>
      <c r="EHW80" s="684"/>
      <c r="EHX80" s="684"/>
      <c r="EHY80" s="684"/>
      <c r="EHZ80" s="684"/>
      <c r="EIA80" s="684"/>
      <c r="EIB80" s="684"/>
      <c r="EIC80" s="684"/>
      <c r="EID80" s="684"/>
      <c r="EIE80" s="684"/>
      <c r="EIF80" s="684"/>
      <c r="EIG80" s="684"/>
      <c r="EIH80" s="684"/>
      <c r="EII80" s="684"/>
      <c r="EIJ80" s="684"/>
      <c r="EIK80" s="684"/>
      <c r="EIL80" s="684"/>
      <c r="EIM80" s="684"/>
      <c r="EIN80" s="684"/>
      <c r="EIO80" s="684"/>
      <c r="EIP80" s="684"/>
      <c r="EIQ80" s="684"/>
      <c r="EIR80" s="684"/>
      <c r="EIS80" s="684"/>
      <c r="EIT80" s="684"/>
      <c r="EIU80" s="684"/>
      <c r="EIV80" s="684"/>
      <c r="EIW80" s="684"/>
      <c r="EIX80" s="684"/>
      <c r="EIY80" s="684"/>
      <c r="EIZ80" s="684"/>
      <c r="EJA80" s="684"/>
      <c r="EJB80" s="684"/>
      <c r="EJC80" s="684"/>
      <c r="EJD80" s="684"/>
      <c r="EJE80" s="684"/>
      <c r="EJF80" s="684"/>
      <c r="EJG80" s="684"/>
      <c r="EJH80" s="684"/>
      <c r="EJI80" s="684"/>
      <c r="EJJ80" s="684"/>
      <c r="EJK80" s="684"/>
      <c r="EJL80" s="684"/>
      <c r="EJM80" s="684"/>
      <c r="EJN80" s="684"/>
      <c r="EJO80" s="684"/>
      <c r="EJP80" s="684"/>
      <c r="EJQ80" s="684"/>
      <c r="EJR80" s="684"/>
      <c r="EJS80" s="684"/>
      <c r="EJT80" s="684"/>
      <c r="EJU80" s="684"/>
      <c r="EJV80" s="684"/>
      <c r="EJW80" s="684"/>
      <c r="EJX80" s="684"/>
      <c r="EJY80" s="684"/>
      <c r="EJZ80" s="684"/>
      <c r="EKA80" s="684"/>
      <c r="EKB80" s="684"/>
      <c r="EKC80" s="684"/>
      <c r="EKD80" s="684"/>
      <c r="EKE80" s="684"/>
      <c r="EKF80" s="684"/>
      <c r="EKG80" s="684"/>
      <c r="EKH80" s="684"/>
      <c r="EKI80" s="684"/>
      <c r="EKJ80" s="684"/>
      <c r="EKK80" s="684"/>
      <c r="EKL80" s="684"/>
      <c r="EKM80" s="684"/>
      <c r="EKN80" s="684"/>
      <c r="EKO80" s="684"/>
      <c r="EKP80" s="684"/>
      <c r="EKQ80" s="684"/>
      <c r="EKR80" s="684"/>
      <c r="EKS80" s="684"/>
      <c r="EKT80" s="684"/>
      <c r="EKU80" s="684"/>
      <c r="EKV80" s="684"/>
      <c r="EKW80" s="684"/>
      <c r="EKX80" s="684"/>
      <c r="EKY80" s="684"/>
      <c r="EKZ80" s="684"/>
      <c r="ELA80" s="684"/>
      <c r="ELB80" s="684"/>
      <c r="ELC80" s="684"/>
      <c r="ELD80" s="684"/>
      <c r="ELE80" s="684"/>
      <c r="ELF80" s="684"/>
      <c r="ELG80" s="684"/>
      <c r="ELH80" s="684"/>
      <c r="ELI80" s="684"/>
      <c r="ELJ80" s="684"/>
      <c r="ELK80" s="684"/>
      <c r="ELL80" s="684"/>
      <c r="ELM80" s="684"/>
      <c r="ELN80" s="684"/>
      <c r="ELO80" s="684"/>
      <c r="ELP80" s="684"/>
      <c r="ELQ80" s="684"/>
      <c r="ELR80" s="684"/>
      <c r="ELS80" s="684"/>
      <c r="ELT80" s="684"/>
      <c r="ELU80" s="684"/>
      <c r="ELV80" s="684"/>
      <c r="ELW80" s="684"/>
      <c r="ELX80" s="684"/>
      <c r="ELY80" s="684"/>
      <c r="ELZ80" s="684"/>
      <c r="EMA80" s="684"/>
      <c r="EMB80" s="684"/>
      <c r="EMC80" s="684"/>
      <c r="EMD80" s="684"/>
      <c r="EME80" s="684"/>
      <c r="EMF80" s="684"/>
      <c r="EMG80" s="684"/>
      <c r="EMH80" s="684"/>
      <c r="EMI80" s="684"/>
      <c r="EMJ80" s="684"/>
      <c r="EMK80" s="684"/>
      <c r="EML80" s="684"/>
      <c r="EMM80" s="684"/>
      <c r="EMN80" s="684"/>
      <c r="EMO80" s="684"/>
      <c r="EMP80" s="684"/>
      <c r="EMQ80" s="684"/>
      <c r="EMR80" s="684"/>
      <c r="EMS80" s="684"/>
      <c r="EMT80" s="684"/>
      <c r="EMU80" s="684"/>
      <c r="EMV80" s="684"/>
      <c r="EMW80" s="684"/>
      <c r="EMX80" s="684"/>
      <c r="EMY80" s="684"/>
      <c r="EMZ80" s="684"/>
      <c r="ENA80" s="684"/>
      <c r="ENB80" s="684"/>
      <c r="ENC80" s="684"/>
      <c r="END80" s="684"/>
      <c r="ENE80" s="684"/>
      <c r="ENF80" s="684"/>
      <c r="ENG80" s="684"/>
      <c r="ENH80" s="684"/>
      <c r="ENI80" s="684"/>
      <c r="ENJ80" s="684"/>
      <c r="ENK80" s="684"/>
      <c r="ENL80" s="684"/>
      <c r="ENM80" s="684"/>
      <c r="ENN80" s="684"/>
      <c r="ENO80" s="684"/>
      <c r="ENP80" s="684"/>
      <c r="ENQ80" s="684"/>
      <c r="ENR80" s="684"/>
      <c r="ENS80" s="684"/>
      <c r="ENT80" s="684"/>
      <c r="ENU80" s="684"/>
      <c r="ENV80" s="684"/>
      <c r="ENW80" s="684"/>
      <c r="ENX80" s="684"/>
      <c r="ENY80" s="684"/>
      <c r="ENZ80" s="684"/>
      <c r="EOA80" s="684"/>
      <c r="EOB80" s="684"/>
      <c r="EOC80" s="684"/>
      <c r="EOD80" s="684"/>
      <c r="EOE80" s="684"/>
      <c r="EOF80" s="684"/>
      <c r="EOG80" s="684"/>
      <c r="EOH80" s="684"/>
      <c r="EOI80" s="684"/>
      <c r="EOJ80" s="684"/>
      <c r="EOK80" s="684"/>
      <c r="EOL80" s="684"/>
      <c r="EOM80" s="684"/>
      <c r="EON80" s="684"/>
      <c r="EOO80" s="684"/>
      <c r="EOP80" s="684"/>
      <c r="EOQ80" s="684"/>
      <c r="EOR80" s="684"/>
      <c r="EOS80" s="684"/>
      <c r="EOT80" s="684"/>
      <c r="EOU80" s="684"/>
      <c r="EOV80" s="684"/>
      <c r="EOW80" s="684"/>
      <c r="EOX80" s="684"/>
      <c r="EOY80" s="684"/>
      <c r="EOZ80" s="684"/>
      <c r="EPA80" s="684"/>
      <c r="EPB80" s="684"/>
      <c r="EPC80" s="684"/>
      <c r="EPD80" s="684"/>
      <c r="EPE80" s="684"/>
      <c r="EPF80" s="684"/>
      <c r="EPG80" s="684"/>
      <c r="EPH80" s="684"/>
      <c r="EPI80" s="684"/>
      <c r="EPJ80" s="684"/>
      <c r="EPK80" s="684"/>
      <c r="EPL80" s="684"/>
      <c r="EPM80" s="684"/>
      <c r="EPN80" s="684"/>
      <c r="EPO80" s="684"/>
      <c r="EPP80" s="684"/>
      <c r="EPQ80" s="684"/>
      <c r="EPR80" s="684"/>
      <c r="EPS80" s="684"/>
      <c r="EPT80" s="684"/>
      <c r="EPU80" s="684"/>
      <c r="EPV80" s="684"/>
      <c r="EPW80" s="684"/>
      <c r="EPX80" s="684"/>
      <c r="EPY80" s="684"/>
      <c r="EPZ80" s="684"/>
      <c r="EQA80" s="684"/>
      <c r="EQB80" s="684"/>
      <c r="EQC80" s="684"/>
      <c r="EQD80" s="684"/>
      <c r="EQE80" s="684"/>
      <c r="EQF80" s="684"/>
      <c r="EQG80" s="684"/>
      <c r="EQH80" s="684"/>
      <c r="EQI80" s="684"/>
      <c r="EQJ80" s="684"/>
      <c r="EQK80" s="684"/>
      <c r="EQL80" s="684"/>
      <c r="EQM80" s="684"/>
      <c r="EQN80" s="684"/>
      <c r="EQO80" s="684"/>
      <c r="EQP80" s="684"/>
      <c r="EQQ80" s="684"/>
      <c r="EQR80" s="684"/>
      <c r="EQS80" s="684"/>
      <c r="EQT80" s="684"/>
      <c r="EQU80" s="684"/>
      <c r="EQV80" s="684"/>
      <c r="EQW80" s="684"/>
      <c r="EQX80" s="684"/>
      <c r="EQY80" s="684"/>
      <c r="EQZ80" s="684"/>
      <c r="ERA80" s="684"/>
      <c r="ERB80" s="684"/>
      <c r="ERC80" s="684"/>
      <c r="ERD80" s="684"/>
      <c r="ERE80" s="684"/>
      <c r="ERF80" s="684"/>
      <c r="ERG80" s="684"/>
      <c r="ERH80" s="684"/>
      <c r="ERI80" s="684"/>
      <c r="ERJ80" s="684"/>
      <c r="ERK80" s="684"/>
      <c r="ERL80" s="684"/>
      <c r="ERM80" s="684"/>
      <c r="ERN80" s="684"/>
      <c r="ERO80" s="684"/>
      <c r="ERP80" s="684"/>
      <c r="ERQ80" s="684"/>
      <c r="ERR80" s="684"/>
      <c r="ERS80" s="684"/>
      <c r="ERT80" s="684"/>
      <c r="ERU80" s="684"/>
      <c r="ERV80" s="684"/>
      <c r="ERW80" s="684"/>
      <c r="ERX80" s="684"/>
      <c r="ERY80" s="684"/>
      <c r="ERZ80" s="684"/>
      <c r="ESA80" s="684"/>
      <c r="ESB80" s="684"/>
      <c r="ESC80" s="684"/>
      <c r="ESD80" s="684"/>
      <c r="ESE80" s="684"/>
      <c r="ESF80" s="684"/>
      <c r="ESG80" s="684"/>
      <c r="ESH80" s="684"/>
      <c r="ESI80" s="684"/>
      <c r="ESJ80" s="684"/>
      <c r="ESK80" s="684"/>
      <c r="ESL80" s="684"/>
      <c r="ESM80" s="684"/>
      <c r="ESN80" s="684"/>
      <c r="ESO80" s="684"/>
      <c r="ESP80" s="684"/>
      <c r="ESQ80" s="684"/>
      <c r="ESR80" s="684"/>
      <c r="ESS80" s="684"/>
      <c r="EST80" s="684"/>
      <c r="ESU80" s="684"/>
      <c r="ESV80" s="684"/>
      <c r="ESW80" s="684"/>
      <c r="ESX80" s="684"/>
      <c r="ESY80" s="684"/>
      <c r="ESZ80" s="684"/>
      <c r="ETA80" s="684"/>
      <c r="ETB80" s="684"/>
      <c r="ETC80" s="684"/>
      <c r="ETD80" s="684"/>
      <c r="ETE80" s="684"/>
      <c r="ETF80" s="684"/>
      <c r="ETG80" s="684"/>
      <c r="ETH80" s="684"/>
      <c r="ETI80" s="684"/>
      <c r="ETJ80" s="684"/>
      <c r="ETK80" s="684"/>
      <c r="ETL80" s="684"/>
      <c r="ETM80" s="684"/>
      <c r="ETN80" s="684"/>
      <c r="ETO80" s="684"/>
      <c r="ETP80" s="684"/>
      <c r="ETQ80" s="684"/>
      <c r="ETR80" s="684"/>
      <c r="ETS80" s="684"/>
      <c r="ETT80" s="684"/>
      <c r="ETU80" s="684"/>
      <c r="ETV80" s="684"/>
      <c r="ETW80" s="684"/>
      <c r="ETX80" s="684"/>
      <c r="ETY80" s="684"/>
      <c r="ETZ80" s="684"/>
      <c r="EUA80" s="684"/>
      <c r="EUB80" s="684"/>
      <c r="EUC80" s="684"/>
      <c r="EUD80" s="684"/>
      <c r="EUE80" s="684"/>
      <c r="EUF80" s="684"/>
      <c r="EUG80" s="684"/>
      <c r="EUH80" s="684"/>
      <c r="EUI80" s="684"/>
      <c r="EUJ80" s="684"/>
      <c r="EUK80" s="684"/>
      <c r="EUL80" s="684"/>
      <c r="EUM80" s="684"/>
      <c r="EUN80" s="684"/>
      <c r="EUO80" s="684"/>
      <c r="EUP80" s="684"/>
      <c r="EUQ80" s="684"/>
      <c r="EUR80" s="684"/>
      <c r="EUS80" s="684"/>
      <c r="EUT80" s="684"/>
      <c r="EUU80" s="684"/>
      <c r="EUV80" s="684"/>
      <c r="EUW80" s="684"/>
      <c r="EUX80" s="684"/>
      <c r="EUY80" s="684"/>
      <c r="EUZ80" s="684"/>
      <c r="EVA80" s="684"/>
      <c r="EVB80" s="684"/>
      <c r="EVC80" s="684"/>
      <c r="EVD80" s="684"/>
      <c r="EVE80" s="684"/>
      <c r="EVF80" s="684"/>
      <c r="EVG80" s="684"/>
      <c r="EVH80" s="684"/>
      <c r="EVI80" s="684"/>
      <c r="EVJ80" s="684"/>
      <c r="EVK80" s="684"/>
      <c r="EVL80" s="684"/>
      <c r="EVM80" s="684"/>
      <c r="EVN80" s="684"/>
      <c r="EVO80" s="684"/>
      <c r="EVP80" s="684"/>
      <c r="EVQ80" s="684"/>
      <c r="EVR80" s="684"/>
      <c r="EVS80" s="684"/>
      <c r="EVT80" s="684"/>
      <c r="EVU80" s="684"/>
      <c r="EVV80" s="684"/>
      <c r="EVW80" s="684"/>
      <c r="EVX80" s="684"/>
      <c r="EVY80" s="684"/>
      <c r="EVZ80" s="684"/>
      <c r="EWA80" s="684"/>
      <c r="EWB80" s="684"/>
      <c r="EWC80" s="684"/>
      <c r="EWD80" s="684"/>
      <c r="EWE80" s="684"/>
      <c r="EWF80" s="684"/>
      <c r="EWG80" s="684"/>
      <c r="EWH80" s="684"/>
      <c r="EWI80" s="684"/>
      <c r="EWJ80" s="684"/>
      <c r="EWK80" s="684"/>
      <c r="EWL80" s="684"/>
      <c r="EWM80" s="684"/>
      <c r="EWN80" s="684"/>
      <c r="EWO80" s="684"/>
      <c r="EWP80" s="684"/>
      <c r="EWQ80" s="684"/>
      <c r="EWR80" s="684"/>
      <c r="EWS80" s="684"/>
      <c r="EWT80" s="684"/>
      <c r="EWU80" s="684"/>
      <c r="EWV80" s="684"/>
      <c r="EWW80" s="684"/>
      <c r="EWX80" s="684"/>
      <c r="EWY80" s="684"/>
      <c r="EWZ80" s="684"/>
      <c r="EXA80" s="684"/>
      <c r="EXB80" s="684"/>
      <c r="EXC80" s="684"/>
      <c r="EXD80" s="684"/>
      <c r="EXE80" s="684"/>
      <c r="EXF80" s="684"/>
      <c r="EXG80" s="684"/>
      <c r="EXH80" s="684"/>
      <c r="EXI80" s="684"/>
      <c r="EXJ80" s="684"/>
      <c r="EXK80" s="684"/>
      <c r="EXL80" s="684"/>
      <c r="EXM80" s="684"/>
      <c r="EXN80" s="684"/>
      <c r="EXO80" s="684"/>
      <c r="EXP80" s="684"/>
      <c r="EXQ80" s="684"/>
      <c r="EXR80" s="684"/>
      <c r="EXS80" s="684"/>
      <c r="EXT80" s="684"/>
      <c r="EXU80" s="684"/>
      <c r="EXV80" s="684"/>
      <c r="EXW80" s="684"/>
      <c r="EXX80" s="684"/>
      <c r="EXY80" s="684"/>
      <c r="EXZ80" s="684"/>
      <c r="EYA80" s="684"/>
      <c r="EYB80" s="684"/>
      <c r="EYC80" s="684"/>
      <c r="EYD80" s="684"/>
      <c r="EYE80" s="684"/>
      <c r="EYF80" s="684"/>
      <c r="EYG80" s="684"/>
      <c r="EYH80" s="684"/>
      <c r="EYI80" s="684"/>
      <c r="EYJ80" s="684"/>
      <c r="EYK80" s="684"/>
      <c r="EYL80" s="684"/>
      <c r="EYM80" s="684"/>
      <c r="EYN80" s="684"/>
      <c r="EYO80" s="684"/>
      <c r="EYP80" s="684"/>
      <c r="EYQ80" s="684"/>
      <c r="EYR80" s="684"/>
      <c r="EYS80" s="684"/>
      <c r="EYT80" s="684"/>
      <c r="EYU80" s="684"/>
      <c r="EYV80" s="684"/>
      <c r="EYW80" s="684"/>
      <c r="EYX80" s="684"/>
      <c r="EYY80" s="684"/>
      <c r="EYZ80" s="684"/>
      <c r="EZA80" s="684"/>
      <c r="EZB80" s="684"/>
      <c r="EZC80" s="684"/>
      <c r="EZD80" s="684"/>
      <c r="EZE80" s="684"/>
      <c r="EZF80" s="684"/>
      <c r="EZG80" s="684"/>
      <c r="EZH80" s="684"/>
      <c r="EZI80" s="684"/>
      <c r="EZJ80" s="684"/>
      <c r="EZK80" s="684"/>
      <c r="EZL80" s="684"/>
      <c r="EZM80" s="684"/>
      <c r="EZN80" s="684"/>
      <c r="EZO80" s="684"/>
      <c r="EZP80" s="684"/>
      <c r="EZQ80" s="684"/>
      <c r="EZR80" s="684"/>
      <c r="EZS80" s="684"/>
      <c r="EZT80" s="684"/>
      <c r="EZU80" s="684"/>
      <c r="EZV80" s="684"/>
      <c r="EZW80" s="684"/>
      <c r="EZX80" s="684"/>
      <c r="EZY80" s="684"/>
      <c r="EZZ80" s="684"/>
      <c r="FAA80" s="684"/>
      <c r="FAB80" s="684"/>
      <c r="FAC80" s="684"/>
      <c r="FAD80" s="684"/>
      <c r="FAE80" s="684"/>
      <c r="FAF80" s="684"/>
      <c r="FAG80" s="684"/>
      <c r="FAH80" s="684"/>
      <c r="FAI80" s="684"/>
      <c r="FAJ80" s="684"/>
      <c r="FAK80" s="684"/>
      <c r="FAL80" s="684"/>
      <c r="FAM80" s="684"/>
      <c r="FAN80" s="684"/>
      <c r="FAO80" s="684"/>
      <c r="FAP80" s="684"/>
      <c r="FAQ80" s="684"/>
      <c r="FAR80" s="684"/>
      <c r="FAS80" s="684"/>
      <c r="FAT80" s="684"/>
      <c r="FAU80" s="684"/>
      <c r="FAV80" s="684"/>
      <c r="FAW80" s="684"/>
      <c r="FAX80" s="684"/>
      <c r="FAY80" s="684"/>
      <c r="FAZ80" s="684"/>
      <c r="FBA80" s="684"/>
      <c r="FBB80" s="684"/>
      <c r="FBC80" s="684"/>
      <c r="FBD80" s="684"/>
      <c r="FBE80" s="684"/>
      <c r="FBF80" s="684"/>
      <c r="FBG80" s="684"/>
      <c r="FBH80" s="684"/>
      <c r="FBI80" s="684"/>
      <c r="FBJ80" s="684"/>
      <c r="FBK80" s="684"/>
      <c r="FBL80" s="684"/>
      <c r="FBM80" s="684"/>
      <c r="FBN80" s="684"/>
      <c r="FBO80" s="684"/>
      <c r="FBP80" s="684"/>
      <c r="FBQ80" s="684"/>
      <c r="FBR80" s="684"/>
      <c r="FBS80" s="684"/>
      <c r="FBT80" s="684"/>
      <c r="FBU80" s="684"/>
      <c r="FBV80" s="684"/>
      <c r="FBW80" s="684"/>
      <c r="FBX80" s="684"/>
      <c r="FBY80" s="684"/>
      <c r="FBZ80" s="684"/>
      <c r="FCA80" s="684"/>
      <c r="FCB80" s="684"/>
      <c r="FCC80" s="684"/>
      <c r="FCD80" s="684"/>
      <c r="FCE80" s="684"/>
      <c r="FCF80" s="684"/>
      <c r="FCG80" s="684"/>
      <c r="FCH80" s="684"/>
      <c r="FCI80" s="684"/>
      <c r="FCJ80" s="684"/>
      <c r="FCK80" s="684"/>
      <c r="FCL80" s="684"/>
      <c r="FCM80" s="684"/>
      <c r="FCN80" s="684"/>
      <c r="FCO80" s="684"/>
      <c r="FCP80" s="684"/>
      <c r="FCQ80" s="684"/>
      <c r="FCR80" s="684"/>
      <c r="FCS80" s="684"/>
      <c r="FCT80" s="684"/>
      <c r="FCU80" s="684"/>
      <c r="FCV80" s="684"/>
      <c r="FCW80" s="684"/>
      <c r="FCX80" s="684"/>
      <c r="FCY80" s="684"/>
      <c r="FCZ80" s="684"/>
      <c r="FDA80" s="684"/>
      <c r="FDB80" s="684"/>
      <c r="FDC80" s="684"/>
      <c r="FDD80" s="684"/>
      <c r="FDE80" s="684"/>
      <c r="FDF80" s="684"/>
      <c r="FDG80" s="684"/>
      <c r="FDH80" s="684"/>
      <c r="FDI80" s="684"/>
      <c r="FDJ80" s="684"/>
      <c r="FDK80" s="684"/>
      <c r="FDL80" s="684"/>
      <c r="FDM80" s="684"/>
      <c r="FDN80" s="684"/>
      <c r="FDO80" s="684"/>
      <c r="FDP80" s="684"/>
      <c r="FDQ80" s="684"/>
      <c r="FDR80" s="684"/>
      <c r="FDS80" s="684"/>
      <c r="FDT80" s="684"/>
      <c r="FDU80" s="684"/>
      <c r="FDV80" s="684"/>
      <c r="FDW80" s="684"/>
      <c r="FDX80" s="684"/>
      <c r="FDY80" s="684"/>
      <c r="FDZ80" s="684"/>
      <c r="FEA80" s="684"/>
      <c r="FEB80" s="684"/>
      <c r="FEC80" s="684"/>
      <c r="FED80" s="684"/>
      <c r="FEE80" s="684"/>
      <c r="FEF80" s="684"/>
      <c r="FEG80" s="684"/>
      <c r="FEH80" s="684"/>
      <c r="FEI80" s="684"/>
      <c r="FEJ80" s="684"/>
      <c r="FEK80" s="684"/>
      <c r="FEL80" s="684"/>
      <c r="FEM80" s="684"/>
      <c r="FEN80" s="684"/>
      <c r="FEO80" s="684"/>
      <c r="FEP80" s="684"/>
      <c r="FEQ80" s="684"/>
      <c r="FER80" s="684"/>
      <c r="FES80" s="684"/>
      <c r="FET80" s="684"/>
      <c r="FEU80" s="684"/>
      <c r="FEV80" s="684"/>
      <c r="FEW80" s="684"/>
      <c r="FEX80" s="684"/>
      <c r="FEY80" s="684"/>
      <c r="FEZ80" s="684"/>
      <c r="FFA80" s="684"/>
      <c r="FFB80" s="684"/>
      <c r="FFC80" s="684"/>
      <c r="FFD80" s="684"/>
      <c r="FFE80" s="684"/>
      <c r="FFF80" s="684"/>
      <c r="FFG80" s="684"/>
      <c r="FFH80" s="684"/>
      <c r="FFI80" s="684"/>
      <c r="FFJ80" s="684"/>
      <c r="FFK80" s="684"/>
      <c r="FFL80" s="684"/>
      <c r="FFM80" s="684"/>
      <c r="FFN80" s="684"/>
      <c r="FFO80" s="684"/>
      <c r="FFP80" s="684"/>
      <c r="FFQ80" s="684"/>
      <c r="FFR80" s="684"/>
      <c r="FFS80" s="684"/>
      <c r="FFT80" s="684"/>
      <c r="FFU80" s="684"/>
      <c r="FFV80" s="684"/>
      <c r="FFW80" s="684"/>
      <c r="FFX80" s="684"/>
      <c r="FFY80" s="684"/>
      <c r="FFZ80" s="684"/>
      <c r="FGA80" s="684"/>
      <c r="FGB80" s="684"/>
      <c r="FGC80" s="684"/>
      <c r="FGD80" s="684"/>
      <c r="FGE80" s="684"/>
      <c r="FGF80" s="684"/>
      <c r="FGG80" s="684"/>
      <c r="FGH80" s="684"/>
      <c r="FGI80" s="684"/>
      <c r="FGJ80" s="684"/>
      <c r="FGK80" s="684"/>
      <c r="FGL80" s="684"/>
      <c r="FGM80" s="684"/>
      <c r="FGN80" s="684"/>
      <c r="FGO80" s="684"/>
      <c r="FGP80" s="684"/>
      <c r="FGQ80" s="684"/>
      <c r="FGR80" s="684"/>
      <c r="FGS80" s="684"/>
      <c r="FGT80" s="684"/>
      <c r="FGU80" s="684"/>
      <c r="FGV80" s="684"/>
      <c r="FGW80" s="684"/>
      <c r="FGX80" s="684"/>
      <c r="FGY80" s="684"/>
      <c r="FGZ80" s="684"/>
      <c r="FHA80" s="684"/>
      <c r="FHB80" s="684"/>
      <c r="FHC80" s="684"/>
      <c r="FHD80" s="684"/>
      <c r="FHE80" s="684"/>
      <c r="FHF80" s="684"/>
      <c r="FHG80" s="684"/>
      <c r="FHH80" s="684"/>
      <c r="FHI80" s="684"/>
      <c r="FHJ80" s="684"/>
      <c r="FHK80" s="684"/>
      <c r="FHL80" s="684"/>
      <c r="FHM80" s="684"/>
      <c r="FHN80" s="684"/>
      <c r="FHO80" s="684"/>
      <c r="FHP80" s="684"/>
      <c r="FHQ80" s="684"/>
      <c r="FHR80" s="684"/>
      <c r="FHS80" s="684"/>
      <c r="FHT80" s="684"/>
      <c r="FHU80" s="684"/>
      <c r="FHV80" s="684"/>
      <c r="FHW80" s="684"/>
      <c r="FHX80" s="684"/>
      <c r="FHY80" s="684"/>
      <c r="FHZ80" s="684"/>
      <c r="FIA80" s="684"/>
      <c r="FIB80" s="684"/>
      <c r="FIC80" s="684"/>
      <c r="FID80" s="684"/>
      <c r="FIE80" s="684"/>
      <c r="FIF80" s="684"/>
      <c r="FIG80" s="684"/>
      <c r="FIH80" s="684"/>
      <c r="FII80" s="684"/>
      <c r="FIJ80" s="684"/>
      <c r="FIK80" s="684"/>
      <c r="FIL80" s="684"/>
      <c r="FIM80" s="684"/>
      <c r="FIN80" s="684"/>
      <c r="FIO80" s="684"/>
      <c r="FIP80" s="684"/>
      <c r="FIQ80" s="684"/>
      <c r="FIR80" s="684"/>
      <c r="FIS80" s="684"/>
      <c r="FIT80" s="684"/>
      <c r="FIU80" s="684"/>
      <c r="FIV80" s="684"/>
      <c r="FIW80" s="684"/>
      <c r="FIX80" s="684"/>
      <c r="FIY80" s="684"/>
      <c r="FIZ80" s="684"/>
      <c r="FJA80" s="684"/>
      <c r="FJB80" s="684"/>
      <c r="FJC80" s="684"/>
      <c r="FJD80" s="684"/>
      <c r="FJE80" s="684"/>
      <c r="FJF80" s="684"/>
      <c r="FJG80" s="684"/>
      <c r="FJH80" s="684"/>
      <c r="FJI80" s="684"/>
      <c r="FJJ80" s="684"/>
      <c r="FJK80" s="684"/>
      <c r="FJL80" s="684"/>
      <c r="FJM80" s="684"/>
      <c r="FJN80" s="684"/>
      <c r="FJO80" s="684"/>
      <c r="FJP80" s="684"/>
      <c r="FJQ80" s="684"/>
      <c r="FJR80" s="684"/>
      <c r="FJS80" s="684"/>
      <c r="FJT80" s="684"/>
      <c r="FJU80" s="684"/>
      <c r="FJV80" s="684"/>
      <c r="FJW80" s="684"/>
      <c r="FJX80" s="684"/>
      <c r="FJY80" s="684"/>
      <c r="FJZ80" s="684"/>
      <c r="FKA80" s="684"/>
      <c r="FKB80" s="684"/>
      <c r="FKC80" s="684"/>
      <c r="FKD80" s="684"/>
      <c r="FKE80" s="684"/>
      <c r="FKF80" s="684"/>
      <c r="FKG80" s="684"/>
      <c r="FKH80" s="684"/>
      <c r="FKI80" s="684"/>
      <c r="FKJ80" s="684"/>
      <c r="FKK80" s="684"/>
      <c r="FKL80" s="684"/>
      <c r="FKM80" s="684"/>
      <c r="FKN80" s="684"/>
      <c r="FKO80" s="684"/>
      <c r="FKP80" s="684"/>
      <c r="FKQ80" s="684"/>
      <c r="FKR80" s="684"/>
      <c r="FKS80" s="684"/>
      <c r="FKT80" s="684"/>
      <c r="FKU80" s="684"/>
      <c r="FKV80" s="684"/>
      <c r="FKW80" s="684"/>
      <c r="FKX80" s="684"/>
      <c r="FKY80" s="684"/>
      <c r="FKZ80" s="684"/>
      <c r="FLA80" s="684"/>
      <c r="FLB80" s="684"/>
      <c r="FLC80" s="684"/>
      <c r="FLD80" s="684"/>
      <c r="FLE80" s="684"/>
      <c r="FLF80" s="684"/>
      <c r="FLG80" s="684"/>
      <c r="FLH80" s="684"/>
      <c r="FLI80" s="684"/>
      <c r="FLJ80" s="684"/>
      <c r="FLK80" s="684"/>
      <c r="FLL80" s="684"/>
      <c r="FLM80" s="684"/>
      <c r="FLN80" s="684"/>
      <c r="FLO80" s="684"/>
      <c r="FLP80" s="684"/>
      <c r="FLQ80" s="684"/>
      <c r="FLR80" s="684"/>
      <c r="FLS80" s="684"/>
      <c r="FLT80" s="684"/>
      <c r="FLU80" s="684"/>
      <c r="FLV80" s="684"/>
      <c r="FLW80" s="684"/>
      <c r="FLX80" s="684"/>
      <c r="FLY80" s="684"/>
      <c r="FLZ80" s="684"/>
      <c r="FMA80" s="684"/>
      <c r="FMB80" s="684"/>
      <c r="FMC80" s="684"/>
      <c r="FMD80" s="684"/>
      <c r="FME80" s="684"/>
      <c r="FMF80" s="684"/>
      <c r="FMG80" s="684"/>
      <c r="FMH80" s="684"/>
      <c r="FMI80" s="684"/>
      <c r="FMJ80" s="684"/>
      <c r="FMK80" s="684"/>
      <c r="FML80" s="684"/>
      <c r="FMM80" s="684"/>
      <c r="FMN80" s="684"/>
      <c r="FMO80" s="684"/>
      <c r="FMP80" s="684"/>
      <c r="FMQ80" s="684"/>
      <c r="FMR80" s="684"/>
      <c r="FMS80" s="684"/>
      <c r="FMT80" s="684"/>
      <c r="FMU80" s="684"/>
      <c r="FMV80" s="684"/>
      <c r="FMW80" s="684"/>
      <c r="FMX80" s="684"/>
      <c r="FMY80" s="684"/>
      <c r="FMZ80" s="684"/>
      <c r="FNA80" s="684"/>
      <c r="FNB80" s="684"/>
      <c r="FNC80" s="684"/>
      <c r="FND80" s="684"/>
      <c r="FNE80" s="684"/>
      <c r="FNF80" s="684"/>
      <c r="FNG80" s="684"/>
      <c r="FNH80" s="684"/>
      <c r="FNI80" s="684"/>
      <c r="FNJ80" s="684"/>
      <c r="FNK80" s="684"/>
      <c r="FNL80" s="684"/>
      <c r="FNM80" s="684"/>
      <c r="FNN80" s="684"/>
      <c r="FNO80" s="684"/>
      <c r="FNP80" s="684"/>
      <c r="FNQ80" s="684"/>
      <c r="FNR80" s="684"/>
      <c r="FNS80" s="684"/>
      <c r="FNT80" s="684"/>
      <c r="FNU80" s="684"/>
      <c r="FNV80" s="684"/>
      <c r="FNW80" s="684"/>
      <c r="FNX80" s="684"/>
      <c r="FNY80" s="684"/>
      <c r="FNZ80" s="684"/>
      <c r="FOA80" s="684"/>
      <c r="FOB80" s="684"/>
      <c r="FOC80" s="684"/>
      <c r="FOD80" s="684"/>
      <c r="FOE80" s="684"/>
      <c r="FOF80" s="684"/>
      <c r="FOG80" s="684"/>
      <c r="FOH80" s="684"/>
      <c r="FOI80" s="684"/>
      <c r="FOJ80" s="684"/>
      <c r="FOK80" s="684"/>
      <c r="FOL80" s="684"/>
      <c r="FOM80" s="684"/>
      <c r="FON80" s="684"/>
      <c r="FOO80" s="684"/>
      <c r="FOP80" s="684"/>
      <c r="FOQ80" s="684"/>
      <c r="FOR80" s="684"/>
      <c r="FOS80" s="684"/>
      <c r="FOT80" s="684"/>
      <c r="FOU80" s="684"/>
      <c r="FOV80" s="684"/>
      <c r="FOW80" s="684"/>
      <c r="FOX80" s="684"/>
      <c r="FOY80" s="684"/>
      <c r="FOZ80" s="684"/>
      <c r="FPA80" s="684"/>
      <c r="FPB80" s="684"/>
      <c r="FPC80" s="684"/>
      <c r="FPD80" s="684"/>
      <c r="FPE80" s="684"/>
      <c r="FPF80" s="684"/>
      <c r="FPG80" s="684"/>
      <c r="FPH80" s="684"/>
      <c r="FPI80" s="684"/>
      <c r="FPJ80" s="684"/>
      <c r="FPK80" s="684"/>
      <c r="FPL80" s="684"/>
      <c r="FPM80" s="684"/>
      <c r="FPN80" s="684"/>
      <c r="FPO80" s="684"/>
      <c r="FPP80" s="684"/>
      <c r="FPQ80" s="684"/>
      <c r="FPR80" s="684"/>
      <c r="FPS80" s="684"/>
      <c r="FPT80" s="684"/>
      <c r="FPU80" s="684"/>
      <c r="FPV80" s="684"/>
      <c r="FPW80" s="684"/>
      <c r="FPX80" s="684"/>
      <c r="FPY80" s="684"/>
      <c r="FPZ80" s="684"/>
      <c r="FQA80" s="684"/>
      <c r="FQB80" s="684"/>
      <c r="FQC80" s="684"/>
      <c r="FQD80" s="684"/>
      <c r="FQE80" s="684"/>
      <c r="FQF80" s="684"/>
      <c r="FQG80" s="684"/>
      <c r="FQH80" s="684"/>
      <c r="FQI80" s="684"/>
      <c r="FQJ80" s="684"/>
      <c r="FQK80" s="684"/>
      <c r="FQL80" s="684"/>
      <c r="FQM80" s="684"/>
      <c r="FQN80" s="684"/>
      <c r="FQO80" s="684"/>
      <c r="FQP80" s="684"/>
      <c r="FQQ80" s="684"/>
      <c r="FQR80" s="684"/>
      <c r="FQS80" s="684"/>
      <c r="FQT80" s="684"/>
      <c r="FQU80" s="684"/>
      <c r="FQV80" s="684"/>
      <c r="FQW80" s="684"/>
      <c r="FQX80" s="684"/>
      <c r="FQY80" s="684"/>
      <c r="FQZ80" s="684"/>
      <c r="FRA80" s="684"/>
      <c r="FRB80" s="684"/>
      <c r="FRC80" s="684"/>
      <c r="FRD80" s="684"/>
      <c r="FRE80" s="684"/>
      <c r="FRF80" s="684"/>
      <c r="FRG80" s="684"/>
      <c r="FRH80" s="684"/>
      <c r="FRI80" s="684"/>
      <c r="FRJ80" s="684"/>
      <c r="FRK80" s="684"/>
      <c r="FRL80" s="684"/>
      <c r="FRM80" s="684"/>
      <c r="FRN80" s="684"/>
      <c r="FRO80" s="684"/>
      <c r="FRP80" s="684"/>
      <c r="FRQ80" s="684"/>
      <c r="FRR80" s="684"/>
      <c r="FRS80" s="684"/>
      <c r="FRT80" s="684"/>
      <c r="FRU80" s="684"/>
      <c r="FRV80" s="684"/>
      <c r="FRW80" s="684"/>
      <c r="FRX80" s="684"/>
      <c r="FRY80" s="684"/>
      <c r="FRZ80" s="684"/>
      <c r="FSA80" s="684"/>
      <c r="FSB80" s="684"/>
      <c r="FSC80" s="684"/>
      <c r="FSD80" s="684"/>
      <c r="FSE80" s="684"/>
      <c r="FSF80" s="684"/>
      <c r="FSG80" s="684"/>
      <c r="FSH80" s="684"/>
      <c r="FSI80" s="684"/>
      <c r="FSJ80" s="684"/>
      <c r="FSK80" s="684"/>
      <c r="FSL80" s="684"/>
      <c r="FSM80" s="684"/>
      <c r="FSN80" s="684"/>
      <c r="FSO80" s="684"/>
      <c r="FSP80" s="684"/>
      <c r="FSQ80" s="684"/>
      <c r="FSR80" s="684"/>
      <c r="FSS80" s="684"/>
      <c r="FST80" s="684"/>
      <c r="FSU80" s="684"/>
      <c r="FSV80" s="684"/>
      <c r="FSW80" s="684"/>
      <c r="FSX80" s="684"/>
      <c r="FSY80" s="684"/>
      <c r="FSZ80" s="684"/>
      <c r="FTA80" s="684"/>
      <c r="FTB80" s="684"/>
      <c r="FTC80" s="684"/>
      <c r="FTD80" s="684"/>
      <c r="FTE80" s="684"/>
      <c r="FTF80" s="684"/>
      <c r="FTG80" s="684"/>
      <c r="FTH80" s="684"/>
      <c r="FTI80" s="684"/>
      <c r="FTJ80" s="684"/>
      <c r="FTK80" s="684"/>
      <c r="FTL80" s="684"/>
      <c r="FTM80" s="684"/>
      <c r="FTN80" s="684"/>
      <c r="FTO80" s="684"/>
      <c r="FTP80" s="684"/>
      <c r="FTQ80" s="684"/>
      <c r="FTR80" s="684"/>
      <c r="FTS80" s="684"/>
      <c r="FTT80" s="684"/>
      <c r="FTU80" s="684"/>
      <c r="FTV80" s="684"/>
      <c r="FTW80" s="684"/>
      <c r="FTX80" s="684"/>
      <c r="FTY80" s="684"/>
      <c r="FTZ80" s="684"/>
      <c r="FUA80" s="684"/>
      <c r="FUB80" s="684"/>
      <c r="FUC80" s="684"/>
      <c r="FUD80" s="684"/>
      <c r="FUE80" s="684"/>
      <c r="FUF80" s="684"/>
      <c r="FUG80" s="684"/>
      <c r="FUH80" s="684"/>
      <c r="FUI80" s="684"/>
      <c r="FUJ80" s="684"/>
      <c r="FUK80" s="684"/>
      <c r="FUL80" s="684"/>
      <c r="FUM80" s="684"/>
      <c r="FUN80" s="684"/>
      <c r="FUO80" s="684"/>
      <c r="FUP80" s="684"/>
      <c r="FUQ80" s="684"/>
      <c r="FUR80" s="684"/>
      <c r="FUS80" s="684"/>
      <c r="FUT80" s="684"/>
      <c r="FUU80" s="684"/>
      <c r="FUV80" s="684"/>
      <c r="FUW80" s="684"/>
      <c r="FUX80" s="684"/>
      <c r="FUY80" s="684"/>
      <c r="FUZ80" s="684"/>
      <c r="FVA80" s="684"/>
      <c r="FVB80" s="684"/>
      <c r="FVC80" s="684"/>
      <c r="FVD80" s="684"/>
      <c r="FVE80" s="684"/>
      <c r="FVF80" s="684"/>
      <c r="FVG80" s="684"/>
      <c r="FVH80" s="684"/>
      <c r="FVI80" s="684"/>
      <c r="FVJ80" s="684"/>
      <c r="FVK80" s="684"/>
      <c r="FVL80" s="684"/>
      <c r="FVM80" s="684"/>
      <c r="FVN80" s="684"/>
      <c r="FVO80" s="684"/>
      <c r="FVP80" s="684"/>
      <c r="FVQ80" s="684"/>
      <c r="FVR80" s="684"/>
      <c r="FVS80" s="684"/>
      <c r="FVT80" s="684"/>
      <c r="FVU80" s="684"/>
      <c r="FVV80" s="684"/>
      <c r="FVW80" s="684"/>
      <c r="FVX80" s="684"/>
      <c r="FVY80" s="684"/>
      <c r="FVZ80" s="684"/>
      <c r="FWA80" s="684"/>
      <c r="FWB80" s="684"/>
      <c r="FWC80" s="684"/>
      <c r="FWD80" s="684"/>
      <c r="FWE80" s="684"/>
      <c r="FWF80" s="684"/>
      <c r="FWG80" s="684"/>
      <c r="FWH80" s="684"/>
      <c r="FWI80" s="684"/>
      <c r="FWJ80" s="684"/>
      <c r="FWK80" s="684"/>
      <c r="FWL80" s="684"/>
      <c r="FWM80" s="684"/>
      <c r="FWN80" s="684"/>
      <c r="FWO80" s="684"/>
      <c r="FWP80" s="684"/>
      <c r="FWQ80" s="684"/>
      <c r="FWR80" s="684"/>
      <c r="FWS80" s="684"/>
      <c r="FWT80" s="684"/>
      <c r="FWU80" s="684"/>
      <c r="FWV80" s="684"/>
      <c r="FWW80" s="684"/>
      <c r="FWX80" s="684"/>
      <c r="FWY80" s="684"/>
      <c r="FWZ80" s="684"/>
      <c r="FXA80" s="684"/>
      <c r="FXB80" s="684"/>
      <c r="FXC80" s="684"/>
      <c r="FXD80" s="684"/>
      <c r="FXE80" s="684"/>
      <c r="FXF80" s="684"/>
      <c r="FXG80" s="684"/>
      <c r="FXH80" s="684"/>
      <c r="FXI80" s="684"/>
      <c r="FXJ80" s="684"/>
      <c r="FXK80" s="684"/>
      <c r="FXL80" s="684"/>
      <c r="FXM80" s="684"/>
      <c r="FXN80" s="684"/>
      <c r="FXO80" s="684"/>
      <c r="FXP80" s="684"/>
      <c r="FXQ80" s="684"/>
      <c r="FXR80" s="684"/>
      <c r="FXS80" s="684"/>
      <c r="FXT80" s="684"/>
      <c r="FXU80" s="684"/>
      <c r="FXV80" s="684"/>
      <c r="FXW80" s="684"/>
      <c r="FXX80" s="684"/>
      <c r="FXY80" s="684"/>
      <c r="FXZ80" s="684"/>
      <c r="FYA80" s="684"/>
      <c r="FYB80" s="684"/>
      <c r="FYC80" s="684"/>
      <c r="FYD80" s="684"/>
      <c r="FYE80" s="684"/>
      <c r="FYF80" s="684"/>
      <c r="FYG80" s="684"/>
      <c r="FYH80" s="684"/>
      <c r="FYI80" s="684"/>
      <c r="FYJ80" s="684"/>
      <c r="FYK80" s="684"/>
      <c r="FYL80" s="684"/>
      <c r="FYM80" s="684"/>
      <c r="FYN80" s="684"/>
      <c r="FYO80" s="684"/>
      <c r="FYP80" s="684"/>
      <c r="FYQ80" s="684"/>
      <c r="FYR80" s="684"/>
      <c r="FYS80" s="684"/>
      <c r="FYT80" s="684"/>
      <c r="FYU80" s="684"/>
      <c r="FYV80" s="684"/>
      <c r="FYW80" s="684"/>
      <c r="FYX80" s="684"/>
      <c r="FYY80" s="684"/>
      <c r="FYZ80" s="684"/>
      <c r="FZA80" s="684"/>
      <c r="FZB80" s="684"/>
      <c r="FZC80" s="684"/>
      <c r="FZD80" s="684"/>
      <c r="FZE80" s="684"/>
      <c r="FZF80" s="684"/>
      <c r="FZG80" s="684"/>
      <c r="FZH80" s="684"/>
      <c r="FZI80" s="684"/>
      <c r="FZJ80" s="684"/>
      <c r="FZK80" s="684"/>
      <c r="FZL80" s="684"/>
      <c r="FZM80" s="684"/>
      <c r="FZN80" s="684"/>
      <c r="FZO80" s="684"/>
      <c r="FZP80" s="684"/>
      <c r="FZQ80" s="684"/>
      <c r="FZR80" s="684"/>
      <c r="FZS80" s="684"/>
      <c r="FZT80" s="684"/>
      <c r="FZU80" s="684"/>
      <c r="FZV80" s="684"/>
      <c r="FZW80" s="684"/>
      <c r="FZX80" s="684"/>
      <c r="FZY80" s="684"/>
      <c r="FZZ80" s="684"/>
      <c r="GAA80" s="684"/>
      <c r="GAB80" s="684"/>
      <c r="GAC80" s="684"/>
      <c r="GAD80" s="684"/>
      <c r="GAE80" s="684"/>
      <c r="GAF80" s="684"/>
      <c r="GAG80" s="684"/>
      <c r="GAH80" s="684"/>
      <c r="GAI80" s="684"/>
      <c r="GAJ80" s="684"/>
      <c r="GAK80" s="684"/>
      <c r="GAL80" s="684"/>
      <c r="GAM80" s="684"/>
      <c r="GAN80" s="684"/>
      <c r="GAO80" s="684"/>
      <c r="GAP80" s="684"/>
      <c r="GAQ80" s="684"/>
      <c r="GAR80" s="684"/>
      <c r="GAS80" s="684"/>
      <c r="GAT80" s="684"/>
      <c r="GAU80" s="684"/>
      <c r="GAV80" s="684"/>
      <c r="GAW80" s="684"/>
      <c r="GAX80" s="684"/>
      <c r="GAY80" s="684"/>
      <c r="GAZ80" s="684"/>
      <c r="GBA80" s="684"/>
      <c r="GBB80" s="684"/>
      <c r="GBC80" s="684"/>
      <c r="GBD80" s="684"/>
      <c r="GBE80" s="684"/>
      <c r="GBF80" s="684"/>
      <c r="GBG80" s="684"/>
      <c r="GBH80" s="684"/>
      <c r="GBI80" s="684"/>
      <c r="GBJ80" s="684"/>
      <c r="GBK80" s="684"/>
      <c r="GBL80" s="684"/>
      <c r="GBM80" s="684"/>
      <c r="GBN80" s="684"/>
      <c r="GBO80" s="684"/>
      <c r="GBP80" s="684"/>
      <c r="GBQ80" s="684"/>
      <c r="GBR80" s="684"/>
      <c r="GBS80" s="684"/>
      <c r="GBT80" s="684"/>
      <c r="GBU80" s="684"/>
      <c r="GBV80" s="684"/>
      <c r="GBW80" s="684"/>
      <c r="GBX80" s="684"/>
      <c r="GBY80" s="684"/>
      <c r="GBZ80" s="684"/>
      <c r="GCA80" s="684"/>
      <c r="GCB80" s="684"/>
      <c r="GCC80" s="684"/>
      <c r="GCD80" s="684"/>
      <c r="GCE80" s="684"/>
      <c r="GCF80" s="684"/>
      <c r="GCG80" s="684"/>
      <c r="GCH80" s="684"/>
      <c r="GCI80" s="684"/>
      <c r="GCJ80" s="684"/>
      <c r="GCK80" s="684"/>
      <c r="GCL80" s="684"/>
      <c r="GCM80" s="684"/>
      <c r="GCN80" s="684"/>
      <c r="GCO80" s="684"/>
      <c r="GCP80" s="684"/>
      <c r="GCQ80" s="684"/>
      <c r="GCR80" s="684"/>
      <c r="GCS80" s="684"/>
      <c r="GCT80" s="684"/>
      <c r="GCU80" s="684"/>
      <c r="GCV80" s="684"/>
      <c r="GCW80" s="684"/>
      <c r="GCX80" s="684"/>
      <c r="GCY80" s="684"/>
      <c r="GCZ80" s="684"/>
      <c r="GDA80" s="684"/>
      <c r="GDB80" s="684"/>
      <c r="GDC80" s="684"/>
      <c r="GDD80" s="684"/>
      <c r="GDE80" s="684"/>
      <c r="GDF80" s="684"/>
      <c r="GDG80" s="684"/>
      <c r="GDH80" s="684"/>
      <c r="GDI80" s="684"/>
      <c r="GDJ80" s="684"/>
      <c r="GDK80" s="684"/>
      <c r="GDL80" s="684"/>
      <c r="GDM80" s="684"/>
      <c r="GDN80" s="684"/>
      <c r="GDO80" s="684"/>
      <c r="GDP80" s="684"/>
      <c r="GDQ80" s="684"/>
      <c r="GDR80" s="684"/>
      <c r="GDS80" s="684"/>
      <c r="GDT80" s="684"/>
      <c r="GDU80" s="684"/>
      <c r="GDV80" s="684"/>
      <c r="GDW80" s="684"/>
      <c r="GDX80" s="684"/>
      <c r="GDY80" s="684"/>
      <c r="GDZ80" s="684"/>
      <c r="GEA80" s="684"/>
      <c r="GEB80" s="684"/>
      <c r="GEC80" s="684"/>
      <c r="GED80" s="684"/>
      <c r="GEE80" s="684"/>
      <c r="GEF80" s="684"/>
      <c r="GEG80" s="684"/>
      <c r="GEH80" s="684"/>
      <c r="GEI80" s="684"/>
      <c r="GEJ80" s="684"/>
      <c r="GEK80" s="684"/>
      <c r="GEL80" s="684"/>
      <c r="GEM80" s="684"/>
      <c r="GEN80" s="684"/>
      <c r="GEO80" s="684"/>
      <c r="GEP80" s="684"/>
      <c r="GEQ80" s="684"/>
      <c r="GER80" s="684"/>
      <c r="GES80" s="684"/>
      <c r="GET80" s="684"/>
      <c r="GEU80" s="684"/>
      <c r="GEV80" s="684"/>
      <c r="GEW80" s="684"/>
      <c r="GEX80" s="684"/>
      <c r="GEY80" s="684"/>
      <c r="GEZ80" s="684"/>
      <c r="GFA80" s="684"/>
      <c r="GFB80" s="684"/>
      <c r="GFC80" s="684"/>
      <c r="GFD80" s="684"/>
      <c r="GFE80" s="684"/>
      <c r="GFF80" s="684"/>
      <c r="GFG80" s="684"/>
      <c r="GFH80" s="684"/>
      <c r="GFI80" s="684"/>
      <c r="GFJ80" s="684"/>
      <c r="GFK80" s="684"/>
      <c r="GFL80" s="684"/>
      <c r="GFM80" s="684"/>
      <c r="GFN80" s="684"/>
      <c r="GFO80" s="684"/>
      <c r="GFP80" s="684"/>
      <c r="GFQ80" s="684"/>
      <c r="GFR80" s="684"/>
      <c r="GFS80" s="684"/>
      <c r="GFT80" s="684"/>
      <c r="GFU80" s="684"/>
      <c r="GFV80" s="684"/>
      <c r="GFW80" s="684"/>
      <c r="GFX80" s="684"/>
      <c r="GFY80" s="684"/>
      <c r="GFZ80" s="684"/>
      <c r="GGA80" s="684"/>
      <c r="GGB80" s="684"/>
      <c r="GGC80" s="684"/>
      <c r="GGD80" s="684"/>
      <c r="GGE80" s="684"/>
      <c r="GGF80" s="684"/>
      <c r="GGG80" s="684"/>
      <c r="GGH80" s="684"/>
      <c r="GGI80" s="684"/>
      <c r="GGJ80" s="684"/>
      <c r="GGK80" s="684"/>
      <c r="GGL80" s="684"/>
      <c r="GGM80" s="684"/>
      <c r="GGN80" s="684"/>
      <c r="GGO80" s="684"/>
      <c r="GGP80" s="684"/>
      <c r="GGQ80" s="684"/>
      <c r="GGR80" s="684"/>
      <c r="GGS80" s="684"/>
      <c r="GGT80" s="684"/>
      <c r="GGU80" s="684"/>
      <c r="GGV80" s="684"/>
      <c r="GGW80" s="684"/>
      <c r="GGX80" s="684"/>
      <c r="GGY80" s="684"/>
      <c r="GGZ80" s="684"/>
      <c r="GHA80" s="684"/>
      <c r="GHB80" s="684"/>
      <c r="GHC80" s="684"/>
      <c r="GHD80" s="684"/>
      <c r="GHE80" s="684"/>
      <c r="GHF80" s="684"/>
      <c r="GHG80" s="684"/>
      <c r="GHH80" s="684"/>
      <c r="GHI80" s="684"/>
      <c r="GHJ80" s="684"/>
      <c r="GHK80" s="684"/>
      <c r="GHL80" s="684"/>
      <c r="GHM80" s="684"/>
      <c r="GHN80" s="684"/>
      <c r="GHO80" s="684"/>
      <c r="GHP80" s="684"/>
      <c r="GHQ80" s="684"/>
      <c r="GHR80" s="684"/>
      <c r="GHS80" s="684"/>
      <c r="GHT80" s="684"/>
      <c r="GHU80" s="684"/>
      <c r="GHV80" s="684"/>
      <c r="GHW80" s="684"/>
      <c r="GHX80" s="684"/>
      <c r="GHY80" s="684"/>
      <c r="GHZ80" s="684"/>
      <c r="GIA80" s="684"/>
      <c r="GIB80" s="684"/>
      <c r="GIC80" s="684"/>
      <c r="GID80" s="684"/>
      <c r="GIE80" s="684"/>
      <c r="GIF80" s="684"/>
      <c r="GIG80" s="684"/>
      <c r="GIH80" s="684"/>
      <c r="GII80" s="684"/>
      <c r="GIJ80" s="684"/>
      <c r="GIK80" s="684"/>
      <c r="GIL80" s="684"/>
      <c r="GIM80" s="684"/>
      <c r="GIN80" s="684"/>
      <c r="GIO80" s="684"/>
      <c r="GIP80" s="684"/>
      <c r="GIQ80" s="684"/>
      <c r="GIR80" s="684"/>
      <c r="GIS80" s="684"/>
      <c r="GIT80" s="684"/>
      <c r="GIU80" s="684"/>
      <c r="GIV80" s="684"/>
      <c r="GIW80" s="684"/>
      <c r="GIX80" s="684"/>
      <c r="GIY80" s="684"/>
      <c r="GIZ80" s="684"/>
      <c r="GJA80" s="684"/>
      <c r="GJB80" s="684"/>
      <c r="GJC80" s="684"/>
      <c r="GJD80" s="684"/>
      <c r="GJE80" s="684"/>
      <c r="GJF80" s="684"/>
      <c r="GJG80" s="684"/>
      <c r="GJH80" s="684"/>
      <c r="GJI80" s="684"/>
      <c r="GJJ80" s="684"/>
      <c r="GJK80" s="684"/>
      <c r="GJL80" s="684"/>
      <c r="GJM80" s="684"/>
      <c r="GJN80" s="684"/>
      <c r="GJO80" s="684"/>
      <c r="GJP80" s="684"/>
      <c r="GJQ80" s="684"/>
      <c r="GJR80" s="684"/>
      <c r="GJS80" s="684"/>
      <c r="GJT80" s="684"/>
      <c r="GJU80" s="684"/>
      <c r="GJV80" s="684"/>
      <c r="GJW80" s="684"/>
      <c r="GJX80" s="684"/>
      <c r="GJY80" s="684"/>
      <c r="GJZ80" s="684"/>
      <c r="GKA80" s="684"/>
      <c r="GKB80" s="684"/>
      <c r="GKC80" s="684"/>
      <c r="GKD80" s="684"/>
      <c r="GKE80" s="684"/>
      <c r="GKF80" s="684"/>
      <c r="GKG80" s="684"/>
      <c r="GKH80" s="684"/>
      <c r="GKI80" s="684"/>
      <c r="GKJ80" s="684"/>
      <c r="GKK80" s="684"/>
      <c r="GKL80" s="684"/>
      <c r="GKM80" s="684"/>
      <c r="GKN80" s="684"/>
      <c r="GKO80" s="684"/>
      <c r="GKP80" s="684"/>
      <c r="GKQ80" s="684"/>
      <c r="GKR80" s="684"/>
      <c r="GKS80" s="684"/>
      <c r="GKT80" s="684"/>
      <c r="GKU80" s="684"/>
      <c r="GKV80" s="684"/>
      <c r="GKW80" s="684"/>
      <c r="GKX80" s="684"/>
      <c r="GKY80" s="684"/>
      <c r="GKZ80" s="684"/>
      <c r="GLA80" s="684"/>
      <c r="GLB80" s="684"/>
      <c r="GLC80" s="684"/>
      <c r="GLD80" s="684"/>
      <c r="GLE80" s="684"/>
      <c r="GLF80" s="684"/>
      <c r="GLG80" s="684"/>
      <c r="GLH80" s="684"/>
      <c r="GLI80" s="684"/>
      <c r="GLJ80" s="684"/>
      <c r="GLK80" s="684"/>
      <c r="GLL80" s="684"/>
      <c r="GLM80" s="684"/>
      <c r="GLN80" s="684"/>
      <c r="GLO80" s="684"/>
      <c r="GLP80" s="684"/>
      <c r="GLQ80" s="684"/>
      <c r="GLR80" s="684"/>
      <c r="GLS80" s="684"/>
      <c r="GLT80" s="684"/>
      <c r="GLU80" s="684"/>
      <c r="GLV80" s="684"/>
      <c r="GLW80" s="684"/>
      <c r="GLX80" s="684"/>
      <c r="GLY80" s="684"/>
      <c r="GLZ80" s="684"/>
      <c r="GMA80" s="684"/>
      <c r="GMB80" s="684"/>
      <c r="GMC80" s="684"/>
      <c r="GMD80" s="684"/>
      <c r="GME80" s="684"/>
      <c r="GMF80" s="684"/>
      <c r="GMG80" s="684"/>
      <c r="GMH80" s="684"/>
      <c r="GMI80" s="684"/>
      <c r="GMJ80" s="684"/>
      <c r="GMK80" s="684"/>
      <c r="GML80" s="684"/>
      <c r="GMM80" s="684"/>
      <c r="GMN80" s="684"/>
      <c r="GMO80" s="684"/>
      <c r="GMP80" s="684"/>
      <c r="GMQ80" s="684"/>
      <c r="GMR80" s="684"/>
      <c r="GMS80" s="684"/>
      <c r="GMT80" s="684"/>
      <c r="GMU80" s="684"/>
      <c r="GMV80" s="684"/>
      <c r="GMW80" s="684"/>
      <c r="GMX80" s="684"/>
      <c r="GMY80" s="684"/>
      <c r="GMZ80" s="684"/>
      <c r="GNA80" s="684"/>
      <c r="GNB80" s="684"/>
      <c r="GNC80" s="684"/>
      <c r="GND80" s="684"/>
      <c r="GNE80" s="684"/>
      <c r="GNF80" s="684"/>
      <c r="GNG80" s="684"/>
      <c r="GNH80" s="684"/>
      <c r="GNI80" s="684"/>
      <c r="GNJ80" s="684"/>
      <c r="GNK80" s="684"/>
      <c r="GNL80" s="684"/>
      <c r="GNM80" s="684"/>
      <c r="GNN80" s="684"/>
      <c r="GNO80" s="684"/>
      <c r="GNP80" s="684"/>
      <c r="GNQ80" s="684"/>
      <c r="GNR80" s="684"/>
      <c r="GNS80" s="684"/>
      <c r="GNT80" s="684"/>
      <c r="GNU80" s="684"/>
      <c r="GNV80" s="684"/>
      <c r="GNW80" s="684"/>
      <c r="GNX80" s="684"/>
      <c r="GNY80" s="684"/>
      <c r="GNZ80" s="684"/>
      <c r="GOA80" s="684"/>
      <c r="GOB80" s="684"/>
      <c r="GOC80" s="684"/>
      <c r="GOD80" s="684"/>
      <c r="GOE80" s="684"/>
      <c r="GOF80" s="684"/>
      <c r="GOG80" s="684"/>
      <c r="GOH80" s="684"/>
      <c r="GOI80" s="684"/>
      <c r="GOJ80" s="684"/>
      <c r="GOK80" s="684"/>
      <c r="GOL80" s="684"/>
      <c r="GOM80" s="684"/>
      <c r="GON80" s="684"/>
      <c r="GOO80" s="684"/>
      <c r="GOP80" s="684"/>
      <c r="GOQ80" s="684"/>
      <c r="GOR80" s="684"/>
      <c r="GOS80" s="684"/>
      <c r="GOT80" s="684"/>
      <c r="GOU80" s="684"/>
      <c r="GOV80" s="684"/>
      <c r="GOW80" s="684"/>
      <c r="GOX80" s="684"/>
      <c r="GOY80" s="684"/>
      <c r="GOZ80" s="684"/>
      <c r="GPA80" s="684"/>
      <c r="GPB80" s="684"/>
      <c r="GPC80" s="684"/>
      <c r="GPD80" s="684"/>
      <c r="GPE80" s="684"/>
      <c r="GPF80" s="684"/>
      <c r="GPG80" s="684"/>
      <c r="GPH80" s="684"/>
      <c r="GPI80" s="684"/>
      <c r="GPJ80" s="684"/>
      <c r="GPK80" s="684"/>
      <c r="GPL80" s="684"/>
      <c r="GPM80" s="684"/>
      <c r="GPN80" s="684"/>
      <c r="GPO80" s="684"/>
      <c r="GPP80" s="684"/>
      <c r="GPQ80" s="684"/>
      <c r="GPR80" s="684"/>
      <c r="GPS80" s="684"/>
      <c r="GPT80" s="684"/>
      <c r="GPU80" s="684"/>
      <c r="GPV80" s="684"/>
      <c r="GPW80" s="684"/>
      <c r="GPX80" s="684"/>
      <c r="GPY80" s="684"/>
      <c r="GPZ80" s="684"/>
      <c r="GQA80" s="684"/>
      <c r="GQB80" s="684"/>
      <c r="GQC80" s="684"/>
      <c r="GQD80" s="684"/>
      <c r="GQE80" s="684"/>
      <c r="GQF80" s="684"/>
      <c r="GQG80" s="684"/>
      <c r="GQH80" s="684"/>
      <c r="GQI80" s="684"/>
      <c r="GQJ80" s="684"/>
      <c r="GQK80" s="684"/>
      <c r="GQL80" s="684"/>
      <c r="GQM80" s="684"/>
      <c r="GQN80" s="684"/>
      <c r="GQO80" s="684"/>
      <c r="GQP80" s="684"/>
      <c r="GQQ80" s="684"/>
      <c r="GQR80" s="684"/>
      <c r="GQS80" s="684"/>
      <c r="GQT80" s="684"/>
      <c r="GQU80" s="684"/>
      <c r="GQV80" s="684"/>
      <c r="GQW80" s="684"/>
      <c r="GQX80" s="684"/>
      <c r="GQY80" s="684"/>
      <c r="GQZ80" s="684"/>
      <c r="GRA80" s="684"/>
      <c r="GRB80" s="684"/>
      <c r="GRC80" s="684"/>
      <c r="GRD80" s="684"/>
      <c r="GRE80" s="684"/>
      <c r="GRF80" s="684"/>
      <c r="GRG80" s="684"/>
      <c r="GRH80" s="684"/>
      <c r="GRI80" s="684"/>
      <c r="GRJ80" s="684"/>
      <c r="GRK80" s="684"/>
      <c r="GRL80" s="684"/>
      <c r="GRM80" s="684"/>
      <c r="GRN80" s="684"/>
      <c r="GRO80" s="684"/>
      <c r="GRP80" s="684"/>
      <c r="GRQ80" s="684"/>
      <c r="GRR80" s="684"/>
      <c r="GRS80" s="684"/>
      <c r="GRT80" s="684"/>
      <c r="GRU80" s="684"/>
      <c r="GRV80" s="684"/>
      <c r="GRW80" s="684"/>
      <c r="GRX80" s="684"/>
      <c r="GRY80" s="684"/>
      <c r="GRZ80" s="684"/>
      <c r="GSA80" s="684"/>
      <c r="GSB80" s="684"/>
      <c r="GSC80" s="684"/>
      <c r="GSD80" s="684"/>
      <c r="GSE80" s="684"/>
      <c r="GSF80" s="684"/>
      <c r="GSG80" s="684"/>
      <c r="GSH80" s="684"/>
      <c r="GSI80" s="684"/>
      <c r="GSJ80" s="684"/>
      <c r="GSK80" s="684"/>
      <c r="GSL80" s="684"/>
      <c r="GSM80" s="684"/>
      <c r="GSN80" s="684"/>
      <c r="GSO80" s="684"/>
      <c r="GSP80" s="684"/>
      <c r="GSQ80" s="684"/>
      <c r="GSR80" s="684"/>
      <c r="GSS80" s="684"/>
      <c r="GST80" s="684"/>
      <c r="GSU80" s="684"/>
      <c r="GSV80" s="684"/>
      <c r="GSW80" s="684"/>
      <c r="GSX80" s="684"/>
      <c r="GSY80" s="684"/>
      <c r="GSZ80" s="684"/>
      <c r="GTA80" s="684"/>
      <c r="GTB80" s="684"/>
      <c r="GTC80" s="684"/>
      <c r="GTD80" s="684"/>
      <c r="GTE80" s="684"/>
      <c r="GTF80" s="684"/>
      <c r="GTG80" s="684"/>
      <c r="GTH80" s="684"/>
      <c r="GTI80" s="684"/>
      <c r="GTJ80" s="684"/>
      <c r="GTK80" s="684"/>
      <c r="GTL80" s="684"/>
      <c r="GTM80" s="684"/>
      <c r="GTN80" s="684"/>
      <c r="GTO80" s="684"/>
      <c r="GTP80" s="684"/>
      <c r="GTQ80" s="684"/>
      <c r="GTR80" s="684"/>
      <c r="GTS80" s="684"/>
      <c r="GTT80" s="684"/>
      <c r="GTU80" s="684"/>
      <c r="GTV80" s="684"/>
      <c r="GTW80" s="684"/>
      <c r="GTX80" s="684"/>
      <c r="GTY80" s="684"/>
      <c r="GTZ80" s="684"/>
      <c r="GUA80" s="684"/>
      <c r="GUB80" s="684"/>
      <c r="GUC80" s="684"/>
      <c r="GUD80" s="684"/>
      <c r="GUE80" s="684"/>
      <c r="GUF80" s="684"/>
      <c r="GUG80" s="684"/>
      <c r="GUH80" s="684"/>
      <c r="GUI80" s="684"/>
      <c r="GUJ80" s="684"/>
      <c r="GUK80" s="684"/>
      <c r="GUL80" s="684"/>
      <c r="GUM80" s="684"/>
      <c r="GUN80" s="684"/>
      <c r="GUO80" s="684"/>
      <c r="GUP80" s="684"/>
      <c r="GUQ80" s="684"/>
      <c r="GUR80" s="684"/>
      <c r="GUS80" s="684"/>
      <c r="GUT80" s="684"/>
      <c r="GUU80" s="684"/>
      <c r="GUV80" s="684"/>
      <c r="GUW80" s="684"/>
      <c r="GUX80" s="684"/>
      <c r="GUY80" s="684"/>
      <c r="GUZ80" s="684"/>
      <c r="GVA80" s="684"/>
      <c r="GVB80" s="684"/>
      <c r="GVC80" s="684"/>
      <c r="GVD80" s="684"/>
      <c r="GVE80" s="684"/>
      <c r="GVF80" s="684"/>
      <c r="GVG80" s="684"/>
      <c r="GVH80" s="684"/>
      <c r="GVI80" s="684"/>
      <c r="GVJ80" s="684"/>
      <c r="GVK80" s="684"/>
      <c r="GVL80" s="684"/>
      <c r="GVM80" s="684"/>
      <c r="GVN80" s="684"/>
      <c r="GVO80" s="684"/>
      <c r="GVP80" s="684"/>
      <c r="GVQ80" s="684"/>
      <c r="GVR80" s="684"/>
      <c r="GVS80" s="684"/>
      <c r="GVT80" s="684"/>
      <c r="GVU80" s="684"/>
      <c r="GVV80" s="684"/>
      <c r="GVW80" s="684"/>
      <c r="GVX80" s="684"/>
      <c r="GVY80" s="684"/>
      <c r="GVZ80" s="684"/>
      <c r="GWA80" s="684"/>
      <c r="GWB80" s="684"/>
      <c r="GWC80" s="684"/>
      <c r="GWD80" s="684"/>
      <c r="GWE80" s="684"/>
      <c r="GWF80" s="684"/>
      <c r="GWG80" s="684"/>
      <c r="GWH80" s="684"/>
      <c r="GWI80" s="684"/>
      <c r="GWJ80" s="684"/>
      <c r="GWK80" s="684"/>
      <c r="GWL80" s="684"/>
      <c r="GWM80" s="684"/>
      <c r="GWN80" s="684"/>
      <c r="GWO80" s="684"/>
      <c r="GWP80" s="684"/>
      <c r="GWQ80" s="684"/>
      <c r="GWR80" s="684"/>
      <c r="GWS80" s="684"/>
      <c r="GWT80" s="684"/>
      <c r="GWU80" s="684"/>
      <c r="GWV80" s="684"/>
      <c r="GWW80" s="684"/>
      <c r="GWX80" s="684"/>
      <c r="GWY80" s="684"/>
      <c r="GWZ80" s="684"/>
      <c r="GXA80" s="684"/>
      <c r="GXB80" s="684"/>
      <c r="GXC80" s="684"/>
      <c r="GXD80" s="684"/>
      <c r="GXE80" s="684"/>
      <c r="GXF80" s="684"/>
      <c r="GXG80" s="684"/>
      <c r="GXH80" s="684"/>
      <c r="GXI80" s="684"/>
      <c r="GXJ80" s="684"/>
      <c r="GXK80" s="684"/>
      <c r="GXL80" s="684"/>
      <c r="GXM80" s="684"/>
      <c r="GXN80" s="684"/>
      <c r="GXO80" s="684"/>
      <c r="GXP80" s="684"/>
      <c r="GXQ80" s="684"/>
      <c r="GXR80" s="684"/>
      <c r="GXS80" s="684"/>
      <c r="GXT80" s="684"/>
      <c r="GXU80" s="684"/>
      <c r="GXV80" s="684"/>
      <c r="GXW80" s="684"/>
      <c r="GXX80" s="684"/>
      <c r="GXY80" s="684"/>
      <c r="GXZ80" s="684"/>
      <c r="GYA80" s="684"/>
      <c r="GYB80" s="684"/>
      <c r="GYC80" s="684"/>
      <c r="GYD80" s="684"/>
      <c r="GYE80" s="684"/>
      <c r="GYF80" s="684"/>
      <c r="GYG80" s="684"/>
      <c r="GYH80" s="684"/>
      <c r="GYI80" s="684"/>
      <c r="GYJ80" s="684"/>
      <c r="GYK80" s="684"/>
      <c r="GYL80" s="684"/>
      <c r="GYM80" s="684"/>
      <c r="GYN80" s="684"/>
      <c r="GYO80" s="684"/>
      <c r="GYP80" s="684"/>
      <c r="GYQ80" s="684"/>
      <c r="GYR80" s="684"/>
      <c r="GYS80" s="684"/>
      <c r="GYT80" s="684"/>
      <c r="GYU80" s="684"/>
      <c r="GYV80" s="684"/>
      <c r="GYW80" s="684"/>
      <c r="GYX80" s="684"/>
      <c r="GYY80" s="684"/>
      <c r="GYZ80" s="684"/>
      <c r="GZA80" s="684"/>
      <c r="GZB80" s="684"/>
      <c r="GZC80" s="684"/>
      <c r="GZD80" s="684"/>
      <c r="GZE80" s="684"/>
      <c r="GZF80" s="684"/>
      <c r="GZG80" s="684"/>
      <c r="GZH80" s="684"/>
      <c r="GZI80" s="684"/>
      <c r="GZJ80" s="684"/>
      <c r="GZK80" s="684"/>
      <c r="GZL80" s="684"/>
      <c r="GZM80" s="684"/>
      <c r="GZN80" s="684"/>
      <c r="GZO80" s="684"/>
      <c r="GZP80" s="684"/>
      <c r="GZQ80" s="684"/>
      <c r="GZR80" s="684"/>
      <c r="GZS80" s="684"/>
      <c r="GZT80" s="684"/>
      <c r="GZU80" s="684"/>
      <c r="GZV80" s="684"/>
      <c r="GZW80" s="684"/>
      <c r="GZX80" s="684"/>
      <c r="GZY80" s="684"/>
      <c r="GZZ80" s="684"/>
      <c r="HAA80" s="684"/>
      <c r="HAB80" s="684"/>
      <c r="HAC80" s="684"/>
      <c r="HAD80" s="684"/>
      <c r="HAE80" s="684"/>
      <c r="HAF80" s="684"/>
      <c r="HAG80" s="684"/>
      <c r="HAH80" s="684"/>
      <c r="HAI80" s="684"/>
      <c r="HAJ80" s="684"/>
      <c r="HAK80" s="684"/>
      <c r="HAL80" s="684"/>
      <c r="HAM80" s="684"/>
      <c r="HAN80" s="684"/>
      <c r="HAO80" s="684"/>
      <c r="HAP80" s="684"/>
      <c r="HAQ80" s="684"/>
      <c r="HAR80" s="684"/>
      <c r="HAS80" s="684"/>
      <c r="HAT80" s="684"/>
      <c r="HAU80" s="684"/>
      <c r="HAV80" s="684"/>
      <c r="HAW80" s="684"/>
      <c r="HAX80" s="684"/>
      <c r="HAY80" s="684"/>
      <c r="HAZ80" s="684"/>
      <c r="HBA80" s="684"/>
      <c r="HBB80" s="684"/>
      <c r="HBC80" s="684"/>
      <c r="HBD80" s="684"/>
      <c r="HBE80" s="684"/>
      <c r="HBF80" s="684"/>
      <c r="HBG80" s="684"/>
      <c r="HBH80" s="684"/>
      <c r="HBI80" s="684"/>
      <c r="HBJ80" s="684"/>
      <c r="HBK80" s="684"/>
      <c r="HBL80" s="684"/>
      <c r="HBM80" s="684"/>
      <c r="HBN80" s="684"/>
      <c r="HBO80" s="684"/>
      <c r="HBP80" s="684"/>
      <c r="HBQ80" s="684"/>
      <c r="HBR80" s="684"/>
      <c r="HBS80" s="684"/>
      <c r="HBT80" s="684"/>
      <c r="HBU80" s="684"/>
      <c r="HBV80" s="684"/>
      <c r="HBW80" s="684"/>
      <c r="HBX80" s="684"/>
      <c r="HBY80" s="684"/>
      <c r="HBZ80" s="684"/>
      <c r="HCA80" s="684"/>
      <c r="HCB80" s="684"/>
      <c r="HCC80" s="684"/>
      <c r="HCD80" s="684"/>
      <c r="HCE80" s="684"/>
      <c r="HCF80" s="684"/>
      <c r="HCG80" s="684"/>
      <c r="HCH80" s="684"/>
      <c r="HCI80" s="684"/>
      <c r="HCJ80" s="684"/>
      <c r="HCK80" s="684"/>
      <c r="HCL80" s="684"/>
      <c r="HCM80" s="684"/>
      <c r="HCN80" s="684"/>
      <c r="HCO80" s="684"/>
      <c r="HCP80" s="684"/>
      <c r="HCQ80" s="684"/>
      <c r="HCR80" s="684"/>
      <c r="HCS80" s="684"/>
      <c r="HCT80" s="684"/>
      <c r="HCU80" s="684"/>
      <c r="HCV80" s="684"/>
      <c r="HCW80" s="684"/>
      <c r="HCX80" s="684"/>
      <c r="HCY80" s="684"/>
      <c r="HCZ80" s="684"/>
      <c r="HDA80" s="684"/>
      <c r="HDB80" s="684"/>
      <c r="HDC80" s="684"/>
      <c r="HDD80" s="684"/>
      <c r="HDE80" s="684"/>
      <c r="HDF80" s="684"/>
      <c r="HDG80" s="684"/>
      <c r="HDH80" s="684"/>
      <c r="HDI80" s="684"/>
      <c r="HDJ80" s="684"/>
      <c r="HDK80" s="684"/>
      <c r="HDL80" s="684"/>
      <c r="HDM80" s="684"/>
      <c r="HDN80" s="684"/>
      <c r="HDO80" s="684"/>
      <c r="HDP80" s="684"/>
      <c r="HDQ80" s="684"/>
      <c r="HDR80" s="684"/>
      <c r="HDS80" s="684"/>
      <c r="HDT80" s="684"/>
      <c r="HDU80" s="684"/>
      <c r="HDV80" s="684"/>
      <c r="HDW80" s="684"/>
      <c r="HDX80" s="684"/>
      <c r="HDY80" s="684"/>
      <c r="HDZ80" s="684"/>
      <c r="HEA80" s="684"/>
      <c r="HEB80" s="684"/>
      <c r="HEC80" s="684"/>
      <c r="HED80" s="684"/>
      <c r="HEE80" s="684"/>
      <c r="HEF80" s="684"/>
      <c r="HEG80" s="684"/>
      <c r="HEH80" s="684"/>
      <c r="HEI80" s="684"/>
      <c r="HEJ80" s="684"/>
      <c r="HEK80" s="684"/>
      <c r="HEL80" s="684"/>
      <c r="HEM80" s="684"/>
      <c r="HEN80" s="684"/>
      <c r="HEO80" s="684"/>
      <c r="HEP80" s="684"/>
      <c r="HEQ80" s="684"/>
      <c r="HER80" s="684"/>
      <c r="HES80" s="684"/>
      <c r="HET80" s="684"/>
      <c r="HEU80" s="684"/>
      <c r="HEV80" s="684"/>
      <c r="HEW80" s="684"/>
      <c r="HEX80" s="684"/>
      <c r="HEY80" s="684"/>
      <c r="HEZ80" s="684"/>
      <c r="HFA80" s="684"/>
      <c r="HFB80" s="684"/>
      <c r="HFC80" s="684"/>
      <c r="HFD80" s="684"/>
      <c r="HFE80" s="684"/>
      <c r="HFF80" s="684"/>
      <c r="HFG80" s="684"/>
      <c r="HFH80" s="684"/>
      <c r="HFI80" s="684"/>
      <c r="HFJ80" s="684"/>
      <c r="HFK80" s="684"/>
      <c r="HFL80" s="684"/>
      <c r="HFM80" s="684"/>
      <c r="HFN80" s="684"/>
      <c r="HFO80" s="684"/>
      <c r="HFP80" s="684"/>
      <c r="HFQ80" s="684"/>
      <c r="HFR80" s="684"/>
      <c r="HFS80" s="684"/>
      <c r="HFT80" s="684"/>
      <c r="HFU80" s="684"/>
      <c r="HFV80" s="684"/>
      <c r="HFW80" s="684"/>
      <c r="HFX80" s="684"/>
      <c r="HFY80" s="684"/>
      <c r="HFZ80" s="684"/>
      <c r="HGA80" s="684"/>
      <c r="HGB80" s="684"/>
      <c r="HGC80" s="684"/>
      <c r="HGD80" s="684"/>
      <c r="HGE80" s="684"/>
      <c r="HGF80" s="684"/>
      <c r="HGG80" s="684"/>
      <c r="HGH80" s="684"/>
      <c r="HGI80" s="684"/>
      <c r="HGJ80" s="684"/>
      <c r="HGK80" s="684"/>
      <c r="HGL80" s="684"/>
      <c r="HGM80" s="684"/>
      <c r="HGN80" s="684"/>
      <c r="HGO80" s="684"/>
      <c r="HGP80" s="684"/>
      <c r="HGQ80" s="684"/>
      <c r="HGR80" s="684"/>
      <c r="HGS80" s="684"/>
      <c r="HGT80" s="684"/>
      <c r="HGU80" s="684"/>
      <c r="HGV80" s="684"/>
      <c r="HGW80" s="684"/>
      <c r="HGX80" s="684"/>
      <c r="HGY80" s="684"/>
      <c r="HGZ80" s="684"/>
      <c r="HHA80" s="684"/>
      <c r="HHB80" s="684"/>
      <c r="HHC80" s="684"/>
      <c r="HHD80" s="684"/>
      <c r="HHE80" s="684"/>
      <c r="HHF80" s="684"/>
      <c r="HHG80" s="684"/>
      <c r="HHH80" s="684"/>
      <c r="HHI80" s="684"/>
      <c r="HHJ80" s="684"/>
      <c r="HHK80" s="684"/>
      <c r="HHL80" s="684"/>
      <c r="HHM80" s="684"/>
      <c r="HHN80" s="684"/>
      <c r="HHO80" s="684"/>
      <c r="HHP80" s="684"/>
      <c r="HHQ80" s="684"/>
      <c r="HHR80" s="684"/>
      <c r="HHS80" s="684"/>
      <c r="HHT80" s="684"/>
      <c r="HHU80" s="684"/>
      <c r="HHV80" s="684"/>
      <c r="HHW80" s="684"/>
      <c r="HHX80" s="684"/>
      <c r="HHY80" s="684"/>
      <c r="HHZ80" s="684"/>
      <c r="HIA80" s="684"/>
      <c r="HIB80" s="684"/>
      <c r="HIC80" s="684"/>
      <c r="HID80" s="684"/>
      <c r="HIE80" s="684"/>
      <c r="HIF80" s="684"/>
      <c r="HIG80" s="684"/>
      <c r="HIH80" s="684"/>
      <c r="HII80" s="684"/>
      <c r="HIJ80" s="684"/>
      <c r="HIK80" s="684"/>
      <c r="HIL80" s="684"/>
      <c r="HIM80" s="684"/>
      <c r="HIN80" s="684"/>
      <c r="HIO80" s="684"/>
      <c r="HIP80" s="684"/>
      <c r="HIQ80" s="684"/>
      <c r="HIR80" s="684"/>
      <c r="HIS80" s="684"/>
      <c r="HIT80" s="684"/>
      <c r="HIU80" s="684"/>
      <c r="HIV80" s="684"/>
      <c r="HIW80" s="684"/>
      <c r="HIX80" s="684"/>
      <c r="HIY80" s="684"/>
      <c r="HIZ80" s="684"/>
      <c r="HJA80" s="684"/>
      <c r="HJB80" s="684"/>
      <c r="HJC80" s="684"/>
      <c r="HJD80" s="684"/>
      <c r="HJE80" s="684"/>
      <c r="HJF80" s="684"/>
      <c r="HJG80" s="684"/>
      <c r="HJH80" s="684"/>
      <c r="HJI80" s="684"/>
      <c r="HJJ80" s="684"/>
      <c r="HJK80" s="684"/>
      <c r="HJL80" s="684"/>
      <c r="HJM80" s="684"/>
      <c r="HJN80" s="684"/>
      <c r="HJO80" s="684"/>
      <c r="HJP80" s="684"/>
      <c r="HJQ80" s="684"/>
      <c r="HJR80" s="684"/>
      <c r="HJS80" s="684"/>
      <c r="HJT80" s="684"/>
      <c r="HJU80" s="684"/>
      <c r="HJV80" s="684"/>
      <c r="HJW80" s="684"/>
      <c r="HJX80" s="684"/>
      <c r="HJY80" s="684"/>
      <c r="HJZ80" s="684"/>
      <c r="HKA80" s="684"/>
      <c r="HKB80" s="684"/>
      <c r="HKC80" s="684"/>
      <c r="HKD80" s="684"/>
      <c r="HKE80" s="684"/>
      <c r="HKF80" s="684"/>
      <c r="HKG80" s="684"/>
      <c r="HKH80" s="684"/>
      <c r="HKI80" s="684"/>
      <c r="HKJ80" s="684"/>
      <c r="HKK80" s="684"/>
      <c r="HKL80" s="684"/>
      <c r="HKM80" s="684"/>
      <c r="HKN80" s="684"/>
      <c r="HKO80" s="684"/>
      <c r="HKP80" s="684"/>
      <c r="HKQ80" s="684"/>
      <c r="HKR80" s="684"/>
      <c r="HKS80" s="684"/>
      <c r="HKT80" s="684"/>
      <c r="HKU80" s="684"/>
      <c r="HKV80" s="684"/>
      <c r="HKW80" s="684"/>
      <c r="HKX80" s="684"/>
      <c r="HKY80" s="684"/>
      <c r="HKZ80" s="684"/>
      <c r="HLA80" s="684"/>
      <c r="HLB80" s="684"/>
      <c r="HLC80" s="684"/>
      <c r="HLD80" s="684"/>
      <c r="HLE80" s="684"/>
      <c r="HLF80" s="684"/>
      <c r="HLG80" s="684"/>
      <c r="HLH80" s="684"/>
      <c r="HLI80" s="684"/>
      <c r="HLJ80" s="684"/>
      <c r="HLK80" s="684"/>
      <c r="HLL80" s="684"/>
      <c r="HLM80" s="684"/>
      <c r="HLN80" s="684"/>
      <c r="HLO80" s="684"/>
      <c r="HLP80" s="684"/>
      <c r="HLQ80" s="684"/>
      <c r="HLR80" s="684"/>
      <c r="HLS80" s="684"/>
      <c r="HLT80" s="684"/>
      <c r="HLU80" s="684"/>
      <c r="HLV80" s="684"/>
      <c r="HLW80" s="684"/>
      <c r="HLX80" s="684"/>
      <c r="HLY80" s="684"/>
      <c r="HLZ80" s="684"/>
      <c r="HMA80" s="684"/>
      <c r="HMB80" s="684"/>
      <c r="HMC80" s="684"/>
      <c r="HMD80" s="684"/>
      <c r="HME80" s="684"/>
      <c r="HMF80" s="684"/>
      <c r="HMG80" s="684"/>
      <c r="HMH80" s="684"/>
      <c r="HMI80" s="684"/>
      <c r="HMJ80" s="684"/>
      <c r="HMK80" s="684"/>
      <c r="HML80" s="684"/>
      <c r="HMM80" s="684"/>
      <c r="HMN80" s="684"/>
      <c r="HMO80" s="684"/>
      <c r="HMP80" s="684"/>
      <c r="HMQ80" s="684"/>
      <c r="HMR80" s="684"/>
      <c r="HMS80" s="684"/>
      <c r="HMT80" s="684"/>
      <c r="HMU80" s="684"/>
      <c r="HMV80" s="684"/>
      <c r="HMW80" s="684"/>
      <c r="HMX80" s="684"/>
      <c r="HMY80" s="684"/>
      <c r="HMZ80" s="684"/>
      <c r="HNA80" s="684"/>
      <c r="HNB80" s="684"/>
      <c r="HNC80" s="684"/>
      <c r="HND80" s="684"/>
      <c r="HNE80" s="684"/>
      <c r="HNF80" s="684"/>
      <c r="HNG80" s="684"/>
      <c r="HNH80" s="684"/>
      <c r="HNI80" s="684"/>
      <c r="HNJ80" s="684"/>
      <c r="HNK80" s="684"/>
      <c r="HNL80" s="684"/>
      <c r="HNM80" s="684"/>
      <c r="HNN80" s="684"/>
      <c r="HNO80" s="684"/>
      <c r="HNP80" s="684"/>
      <c r="HNQ80" s="684"/>
      <c r="HNR80" s="684"/>
      <c r="HNS80" s="684"/>
      <c r="HNT80" s="684"/>
      <c r="HNU80" s="684"/>
      <c r="HNV80" s="684"/>
      <c r="HNW80" s="684"/>
      <c r="HNX80" s="684"/>
      <c r="HNY80" s="684"/>
      <c r="HNZ80" s="684"/>
      <c r="HOA80" s="684"/>
      <c r="HOB80" s="684"/>
      <c r="HOC80" s="684"/>
      <c r="HOD80" s="684"/>
      <c r="HOE80" s="684"/>
      <c r="HOF80" s="684"/>
      <c r="HOG80" s="684"/>
      <c r="HOH80" s="684"/>
      <c r="HOI80" s="684"/>
      <c r="HOJ80" s="684"/>
      <c r="HOK80" s="684"/>
      <c r="HOL80" s="684"/>
      <c r="HOM80" s="684"/>
      <c r="HON80" s="684"/>
      <c r="HOO80" s="684"/>
      <c r="HOP80" s="684"/>
      <c r="HOQ80" s="684"/>
      <c r="HOR80" s="684"/>
      <c r="HOS80" s="684"/>
      <c r="HOT80" s="684"/>
      <c r="HOU80" s="684"/>
      <c r="HOV80" s="684"/>
      <c r="HOW80" s="684"/>
      <c r="HOX80" s="684"/>
      <c r="HOY80" s="684"/>
      <c r="HOZ80" s="684"/>
      <c r="HPA80" s="684"/>
      <c r="HPB80" s="684"/>
      <c r="HPC80" s="684"/>
      <c r="HPD80" s="684"/>
      <c r="HPE80" s="684"/>
      <c r="HPF80" s="684"/>
      <c r="HPG80" s="684"/>
      <c r="HPH80" s="684"/>
      <c r="HPI80" s="684"/>
      <c r="HPJ80" s="684"/>
      <c r="HPK80" s="684"/>
      <c r="HPL80" s="684"/>
      <c r="HPM80" s="684"/>
      <c r="HPN80" s="684"/>
      <c r="HPO80" s="684"/>
      <c r="HPP80" s="684"/>
      <c r="HPQ80" s="684"/>
      <c r="HPR80" s="684"/>
      <c r="HPS80" s="684"/>
      <c r="HPT80" s="684"/>
      <c r="HPU80" s="684"/>
      <c r="HPV80" s="684"/>
      <c r="HPW80" s="684"/>
      <c r="HPX80" s="684"/>
      <c r="HPY80" s="684"/>
      <c r="HPZ80" s="684"/>
      <c r="HQA80" s="684"/>
      <c r="HQB80" s="684"/>
      <c r="HQC80" s="684"/>
      <c r="HQD80" s="684"/>
      <c r="HQE80" s="684"/>
      <c r="HQF80" s="684"/>
      <c r="HQG80" s="684"/>
      <c r="HQH80" s="684"/>
      <c r="HQI80" s="684"/>
      <c r="HQJ80" s="684"/>
      <c r="HQK80" s="684"/>
      <c r="HQL80" s="684"/>
      <c r="HQM80" s="684"/>
      <c r="HQN80" s="684"/>
      <c r="HQO80" s="684"/>
      <c r="HQP80" s="684"/>
      <c r="HQQ80" s="684"/>
      <c r="HQR80" s="684"/>
      <c r="HQS80" s="684"/>
      <c r="HQT80" s="684"/>
      <c r="HQU80" s="684"/>
      <c r="HQV80" s="684"/>
      <c r="HQW80" s="684"/>
      <c r="HQX80" s="684"/>
      <c r="HQY80" s="684"/>
      <c r="HQZ80" s="684"/>
      <c r="HRA80" s="684"/>
      <c r="HRB80" s="684"/>
      <c r="HRC80" s="684"/>
      <c r="HRD80" s="684"/>
      <c r="HRE80" s="684"/>
      <c r="HRF80" s="684"/>
      <c r="HRG80" s="684"/>
      <c r="HRH80" s="684"/>
      <c r="HRI80" s="684"/>
      <c r="HRJ80" s="684"/>
      <c r="HRK80" s="684"/>
      <c r="HRL80" s="684"/>
      <c r="HRM80" s="684"/>
      <c r="HRN80" s="684"/>
      <c r="HRO80" s="684"/>
      <c r="HRP80" s="684"/>
      <c r="HRQ80" s="684"/>
      <c r="HRR80" s="684"/>
      <c r="HRS80" s="684"/>
      <c r="HRT80" s="684"/>
      <c r="HRU80" s="684"/>
      <c r="HRV80" s="684"/>
      <c r="HRW80" s="684"/>
      <c r="HRX80" s="684"/>
      <c r="HRY80" s="684"/>
      <c r="HRZ80" s="684"/>
      <c r="HSA80" s="684"/>
      <c r="HSB80" s="684"/>
      <c r="HSC80" s="684"/>
      <c r="HSD80" s="684"/>
      <c r="HSE80" s="684"/>
      <c r="HSF80" s="684"/>
      <c r="HSG80" s="684"/>
      <c r="HSH80" s="684"/>
      <c r="HSI80" s="684"/>
      <c r="HSJ80" s="684"/>
      <c r="HSK80" s="684"/>
      <c r="HSL80" s="684"/>
      <c r="HSM80" s="684"/>
      <c r="HSN80" s="684"/>
      <c r="HSO80" s="684"/>
      <c r="HSP80" s="684"/>
      <c r="HSQ80" s="684"/>
      <c r="HSR80" s="684"/>
      <c r="HSS80" s="684"/>
      <c r="HST80" s="684"/>
      <c r="HSU80" s="684"/>
      <c r="HSV80" s="684"/>
      <c r="HSW80" s="684"/>
      <c r="HSX80" s="684"/>
      <c r="HSY80" s="684"/>
      <c r="HSZ80" s="684"/>
      <c r="HTA80" s="684"/>
      <c r="HTB80" s="684"/>
      <c r="HTC80" s="684"/>
      <c r="HTD80" s="684"/>
      <c r="HTE80" s="684"/>
      <c r="HTF80" s="684"/>
      <c r="HTG80" s="684"/>
      <c r="HTH80" s="684"/>
      <c r="HTI80" s="684"/>
      <c r="HTJ80" s="684"/>
      <c r="HTK80" s="684"/>
      <c r="HTL80" s="684"/>
      <c r="HTM80" s="684"/>
      <c r="HTN80" s="684"/>
      <c r="HTO80" s="684"/>
      <c r="HTP80" s="684"/>
      <c r="HTQ80" s="684"/>
      <c r="HTR80" s="684"/>
      <c r="HTS80" s="684"/>
      <c r="HTT80" s="684"/>
      <c r="HTU80" s="684"/>
      <c r="HTV80" s="684"/>
      <c r="HTW80" s="684"/>
      <c r="HTX80" s="684"/>
      <c r="HTY80" s="684"/>
      <c r="HTZ80" s="684"/>
      <c r="HUA80" s="684"/>
      <c r="HUB80" s="684"/>
      <c r="HUC80" s="684"/>
      <c r="HUD80" s="684"/>
      <c r="HUE80" s="684"/>
      <c r="HUF80" s="684"/>
      <c r="HUG80" s="684"/>
      <c r="HUH80" s="684"/>
      <c r="HUI80" s="684"/>
      <c r="HUJ80" s="684"/>
      <c r="HUK80" s="684"/>
      <c r="HUL80" s="684"/>
      <c r="HUM80" s="684"/>
      <c r="HUN80" s="684"/>
      <c r="HUO80" s="684"/>
      <c r="HUP80" s="684"/>
      <c r="HUQ80" s="684"/>
      <c r="HUR80" s="684"/>
      <c r="HUS80" s="684"/>
      <c r="HUT80" s="684"/>
      <c r="HUU80" s="684"/>
      <c r="HUV80" s="684"/>
      <c r="HUW80" s="684"/>
      <c r="HUX80" s="684"/>
      <c r="HUY80" s="684"/>
      <c r="HUZ80" s="684"/>
      <c r="HVA80" s="684"/>
      <c r="HVB80" s="684"/>
      <c r="HVC80" s="684"/>
      <c r="HVD80" s="684"/>
      <c r="HVE80" s="684"/>
      <c r="HVF80" s="684"/>
      <c r="HVG80" s="684"/>
      <c r="HVH80" s="684"/>
      <c r="HVI80" s="684"/>
      <c r="HVJ80" s="684"/>
      <c r="HVK80" s="684"/>
      <c r="HVL80" s="684"/>
      <c r="HVM80" s="684"/>
      <c r="HVN80" s="684"/>
      <c r="HVO80" s="684"/>
      <c r="HVP80" s="684"/>
      <c r="HVQ80" s="684"/>
      <c r="HVR80" s="684"/>
      <c r="HVS80" s="684"/>
      <c r="HVT80" s="684"/>
      <c r="HVU80" s="684"/>
      <c r="HVV80" s="684"/>
      <c r="HVW80" s="684"/>
      <c r="HVX80" s="684"/>
      <c r="HVY80" s="684"/>
      <c r="HVZ80" s="684"/>
      <c r="HWA80" s="684"/>
      <c r="HWB80" s="684"/>
      <c r="HWC80" s="684"/>
      <c r="HWD80" s="684"/>
      <c r="HWE80" s="684"/>
      <c r="HWF80" s="684"/>
      <c r="HWG80" s="684"/>
      <c r="HWH80" s="684"/>
      <c r="HWI80" s="684"/>
      <c r="HWJ80" s="684"/>
      <c r="HWK80" s="684"/>
      <c r="HWL80" s="684"/>
      <c r="HWM80" s="684"/>
      <c r="HWN80" s="684"/>
      <c r="HWO80" s="684"/>
      <c r="HWP80" s="684"/>
      <c r="HWQ80" s="684"/>
      <c r="HWR80" s="684"/>
      <c r="HWS80" s="684"/>
      <c r="HWT80" s="684"/>
      <c r="HWU80" s="684"/>
      <c r="HWV80" s="684"/>
      <c r="HWW80" s="684"/>
      <c r="HWX80" s="684"/>
      <c r="HWY80" s="684"/>
      <c r="HWZ80" s="684"/>
      <c r="HXA80" s="684"/>
      <c r="HXB80" s="684"/>
      <c r="HXC80" s="684"/>
      <c r="HXD80" s="684"/>
      <c r="HXE80" s="684"/>
      <c r="HXF80" s="684"/>
      <c r="HXG80" s="684"/>
      <c r="HXH80" s="684"/>
      <c r="HXI80" s="684"/>
      <c r="HXJ80" s="684"/>
      <c r="HXK80" s="684"/>
      <c r="HXL80" s="684"/>
      <c r="HXM80" s="684"/>
      <c r="HXN80" s="684"/>
      <c r="HXO80" s="684"/>
      <c r="HXP80" s="684"/>
      <c r="HXQ80" s="684"/>
      <c r="HXR80" s="684"/>
      <c r="HXS80" s="684"/>
      <c r="HXT80" s="684"/>
      <c r="HXU80" s="684"/>
      <c r="HXV80" s="684"/>
      <c r="HXW80" s="684"/>
      <c r="HXX80" s="684"/>
      <c r="HXY80" s="684"/>
      <c r="HXZ80" s="684"/>
      <c r="HYA80" s="684"/>
      <c r="HYB80" s="684"/>
      <c r="HYC80" s="684"/>
      <c r="HYD80" s="684"/>
      <c r="HYE80" s="684"/>
      <c r="HYF80" s="684"/>
      <c r="HYG80" s="684"/>
      <c r="HYH80" s="684"/>
      <c r="HYI80" s="684"/>
      <c r="HYJ80" s="684"/>
      <c r="HYK80" s="684"/>
      <c r="HYL80" s="684"/>
      <c r="HYM80" s="684"/>
      <c r="HYN80" s="684"/>
      <c r="HYO80" s="684"/>
      <c r="HYP80" s="684"/>
      <c r="HYQ80" s="684"/>
      <c r="HYR80" s="684"/>
      <c r="HYS80" s="684"/>
      <c r="HYT80" s="684"/>
      <c r="HYU80" s="684"/>
      <c r="HYV80" s="684"/>
      <c r="HYW80" s="684"/>
      <c r="HYX80" s="684"/>
      <c r="HYY80" s="684"/>
      <c r="HYZ80" s="684"/>
      <c r="HZA80" s="684"/>
      <c r="HZB80" s="684"/>
      <c r="HZC80" s="684"/>
      <c r="HZD80" s="684"/>
      <c r="HZE80" s="684"/>
      <c r="HZF80" s="684"/>
      <c r="HZG80" s="684"/>
      <c r="HZH80" s="684"/>
      <c r="HZI80" s="684"/>
      <c r="HZJ80" s="684"/>
      <c r="HZK80" s="684"/>
      <c r="HZL80" s="684"/>
      <c r="HZM80" s="684"/>
      <c r="HZN80" s="684"/>
      <c r="HZO80" s="684"/>
      <c r="HZP80" s="684"/>
      <c r="HZQ80" s="684"/>
      <c r="HZR80" s="684"/>
      <c r="HZS80" s="684"/>
      <c r="HZT80" s="684"/>
      <c r="HZU80" s="684"/>
      <c r="HZV80" s="684"/>
      <c r="HZW80" s="684"/>
      <c r="HZX80" s="684"/>
      <c r="HZY80" s="684"/>
      <c r="HZZ80" s="684"/>
      <c r="IAA80" s="684"/>
      <c r="IAB80" s="684"/>
      <c r="IAC80" s="684"/>
      <c r="IAD80" s="684"/>
      <c r="IAE80" s="684"/>
      <c r="IAF80" s="684"/>
      <c r="IAG80" s="684"/>
      <c r="IAH80" s="684"/>
      <c r="IAI80" s="684"/>
      <c r="IAJ80" s="684"/>
      <c r="IAK80" s="684"/>
      <c r="IAL80" s="684"/>
      <c r="IAM80" s="684"/>
      <c r="IAN80" s="684"/>
      <c r="IAO80" s="684"/>
      <c r="IAP80" s="684"/>
      <c r="IAQ80" s="684"/>
      <c r="IAR80" s="684"/>
      <c r="IAS80" s="684"/>
      <c r="IAT80" s="684"/>
      <c r="IAU80" s="684"/>
      <c r="IAV80" s="684"/>
      <c r="IAW80" s="684"/>
      <c r="IAX80" s="684"/>
      <c r="IAY80" s="684"/>
      <c r="IAZ80" s="684"/>
      <c r="IBA80" s="684"/>
      <c r="IBB80" s="684"/>
      <c r="IBC80" s="684"/>
      <c r="IBD80" s="684"/>
      <c r="IBE80" s="684"/>
      <c r="IBF80" s="684"/>
      <c r="IBG80" s="684"/>
      <c r="IBH80" s="684"/>
      <c r="IBI80" s="684"/>
      <c r="IBJ80" s="684"/>
      <c r="IBK80" s="684"/>
      <c r="IBL80" s="684"/>
      <c r="IBM80" s="684"/>
      <c r="IBN80" s="684"/>
      <c r="IBO80" s="684"/>
      <c r="IBP80" s="684"/>
      <c r="IBQ80" s="684"/>
      <c r="IBR80" s="684"/>
      <c r="IBS80" s="684"/>
      <c r="IBT80" s="684"/>
      <c r="IBU80" s="684"/>
      <c r="IBV80" s="684"/>
      <c r="IBW80" s="684"/>
      <c r="IBX80" s="684"/>
      <c r="IBY80" s="684"/>
      <c r="IBZ80" s="684"/>
      <c r="ICA80" s="684"/>
      <c r="ICB80" s="684"/>
      <c r="ICC80" s="684"/>
      <c r="ICD80" s="684"/>
      <c r="ICE80" s="684"/>
      <c r="ICF80" s="684"/>
      <c r="ICG80" s="684"/>
      <c r="ICH80" s="684"/>
      <c r="ICI80" s="684"/>
      <c r="ICJ80" s="684"/>
      <c r="ICK80" s="684"/>
      <c r="ICL80" s="684"/>
      <c r="ICM80" s="684"/>
      <c r="ICN80" s="684"/>
      <c r="ICO80" s="684"/>
      <c r="ICP80" s="684"/>
      <c r="ICQ80" s="684"/>
      <c r="ICR80" s="684"/>
      <c r="ICS80" s="684"/>
      <c r="ICT80" s="684"/>
      <c r="ICU80" s="684"/>
      <c r="ICV80" s="684"/>
      <c r="ICW80" s="684"/>
      <c r="ICX80" s="684"/>
      <c r="ICY80" s="684"/>
      <c r="ICZ80" s="684"/>
      <c r="IDA80" s="684"/>
      <c r="IDB80" s="684"/>
      <c r="IDC80" s="684"/>
      <c r="IDD80" s="684"/>
      <c r="IDE80" s="684"/>
      <c r="IDF80" s="684"/>
      <c r="IDG80" s="684"/>
      <c r="IDH80" s="684"/>
      <c r="IDI80" s="684"/>
      <c r="IDJ80" s="684"/>
      <c r="IDK80" s="684"/>
      <c r="IDL80" s="684"/>
      <c r="IDM80" s="684"/>
      <c r="IDN80" s="684"/>
      <c r="IDO80" s="684"/>
      <c r="IDP80" s="684"/>
      <c r="IDQ80" s="684"/>
      <c r="IDR80" s="684"/>
      <c r="IDS80" s="684"/>
      <c r="IDT80" s="684"/>
      <c r="IDU80" s="684"/>
      <c r="IDV80" s="684"/>
      <c r="IDW80" s="684"/>
      <c r="IDX80" s="684"/>
      <c r="IDY80" s="684"/>
      <c r="IDZ80" s="684"/>
      <c r="IEA80" s="684"/>
      <c r="IEB80" s="684"/>
      <c r="IEC80" s="684"/>
      <c r="IED80" s="684"/>
      <c r="IEE80" s="684"/>
      <c r="IEF80" s="684"/>
      <c r="IEG80" s="684"/>
      <c r="IEH80" s="684"/>
      <c r="IEI80" s="684"/>
      <c r="IEJ80" s="684"/>
      <c r="IEK80" s="684"/>
      <c r="IEL80" s="684"/>
      <c r="IEM80" s="684"/>
      <c r="IEN80" s="684"/>
      <c r="IEO80" s="684"/>
      <c r="IEP80" s="684"/>
      <c r="IEQ80" s="684"/>
      <c r="IER80" s="684"/>
      <c r="IES80" s="684"/>
      <c r="IET80" s="684"/>
      <c r="IEU80" s="684"/>
      <c r="IEV80" s="684"/>
      <c r="IEW80" s="684"/>
      <c r="IEX80" s="684"/>
      <c r="IEY80" s="684"/>
      <c r="IEZ80" s="684"/>
      <c r="IFA80" s="684"/>
      <c r="IFB80" s="684"/>
      <c r="IFC80" s="684"/>
      <c r="IFD80" s="684"/>
      <c r="IFE80" s="684"/>
      <c r="IFF80" s="684"/>
      <c r="IFG80" s="684"/>
      <c r="IFH80" s="684"/>
      <c r="IFI80" s="684"/>
      <c r="IFJ80" s="684"/>
      <c r="IFK80" s="684"/>
      <c r="IFL80" s="684"/>
      <c r="IFM80" s="684"/>
      <c r="IFN80" s="684"/>
      <c r="IFO80" s="684"/>
      <c r="IFP80" s="684"/>
      <c r="IFQ80" s="684"/>
      <c r="IFR80" s="684"/>
      <c r="IFS80" s="684"/>
      <c r="IFT80" s="684"/>
      <c r="IFU80" s="684"/>
      <c r="IFV80" s="684"/>
      <c r="IFW80" s="684"/>
      <c r="IFX80" s="684"/>
      <c r="IFY80" s="684"/>
      <c r="IFZ80" s="684"/>
      <c r="IGA80" s="684"/>
      <c r="IGB80" s="684"/>
      <c r="IGC80" s="684"/>
      <c r="IGD80" s="684"/>
      <c r="IGE80" s="684"/>
      <c r="IGF80" s="684"/>
      <c r="IGG80" s="684"/>
      <c r="IGH80" s="684"/>
      <c r="IGI80" s="684"/>
      <c r="IGJ80" s="684"/>
      <c r="IGK80" s="684"/>
      <c r="IGL80" s="684"/>
      <c r="IGM80" s="684"/>
      <c r="IGN80" s="684"/>
      <c r="IGO80" s="684"/>
      <c r="IGP80" s="684"/>
      <c r="IGQ80" s="684"/>
      <c r="IGR80" s="684"/>
      <c r="IGS80" s="684"/>
      <c r="IGT80" s="684"/>
      <c r="IGU80" s="684"/>
      <c r="IGV80" s="684"/>
      <c r="IGW80" s="684"/>
      <c r="IGX80" s="684"/>
      <c r="IGY80" s="684"/>
      <c r="IGZ80" s="684"/>
      <c r="IHA80" s="684"/>
      <c r="IHB80" s="684"/>
      <c r="IHC80" s="684"/>
      <c r="IHD80" s="684"/>
      <c r="IHE80" s="684"/>
      <c r="IHF80" s="684"/>
      <c r="IHG80" s="684"/>
      <c r="IHH80" s="684"/>
      <c r="IHI80" s="684"/>
      <c r="IHJ80" s="684"/>
      <c r="IHK80" s="684"/>
      <c r="IHL80" s="684"/>
      <c r="IHM80" s="684"/>
      <c r="IHN80" s="684"/>
      <c r="IHO80" s="684"/>
      <c r="IHP80" s="684"/>
      <c r="IHQ80" s="684"/>
      <c r="IHR80" s="684"/>
      <c r="IHS80" s="684"/>
      <c r="IHT80" s="684"/>
      <c r="IHU80" s="684"/>
      <c r="IHV80" s="684"/>
      <c r="IHW80" s="684"/>
      <c r="IHX80" s="684"/>
      <c r="IHY80" s="684"/>
      <c r="IHZ80" s="684"/>
      <c r="IIA80" s="684"/>
      <c r="IIB80" s="684"/>
      <c r="IIC80" s="684"/>
      <c r="IID80" s="684"/>
      <c r="IIE80" s="684"/>
      <c r="IIF80" s="684"/>
      <c r="IIG80" s="684"/>
      <c r="IIH80" s="684"/>
      <c r="III80" s="684"/>
      <c r="IIJ80" s="684"/>
      <c r="IIK80" s="684"/>
      <c r="IIL80" s="684"/>
      <c r="IIM80" s="684"/>
      <c r="IIN80" s="684"/>
      <c r="IIO80" s="684"/>
      <c r="IIP80" s="684"/>
      <c r="IIQ80" s="684"/>
      <c r="IIR80" s="684"/>
      <c r="IIS80" s="684"/>
      <c r="IIT80" s="684"/>
      <c r="IIU80" s="684"/>
      <c r="IIV80" s="684"/>
      <c r="IIW80" s="684"/>
      <c r="IIX80" s="684"/>
      <c r="IIY80" s="684"/>
      <c r="IIZ80" s="684"/>
      <c r="IJA80" s="684"/>
      <c r="IJB80" s="684"/>
      <c r="IJC80" s="684"/>
      <c r="IJD80" s="684"/>
      <c r="IJE80" s="684"/>
      <c r="IJF80" s="684"/>
      <c r="IJG80" s="684"/>
      <c r="IJH80" s="684"/>
      <c r="IJI80" s="684"/>
      <c r="IJJ80" s="684"/>
      <c r="IJK80" s="684"/>
      <c r="IJL80" s="684"/>
      <c r="IJM80" s="684"/>
      <c r="IJN80" s="684"/>
      <c r="IJO80" s="684"/>
      <c r="IJP80" s="684"/>
      <c r="IJQ80" s="684"/>
      <c r="IJR80" s="684"/>
      <c r="IJS80" s="684"/>
      <c r="IJT80" s="684"/>
      <c r="IJU80" s="684"/>
      <c r="IJV80" s="684"/>
      <c r="IJW80" s="684"/>
      <c r="IJX80" s="684"/>
      <c r="IJY80" s="684"/>
      <c r="IJZ80" s="684"/>
      <c r="IKA80" s="684"/>
      <c r="IKB80" s="684"/>
      <c r="IKC80" s="684"/>
      <c r="IKD80" s="684"/>
      <c r="IKE80" s="684"/>
      <c r="IKF80" s="684"/>
      <c r="IKG80" s="684"/>
      <c r="IKH80" s="684"/>
      <c r="IKI80" s="684"/>
      <c r="IKJ80" s="684"/>
      <c r="IKK80" s="684"/>
      <c r="IKL80" s="684"/>
      <c r="IKM80" s="684"/>
      <c r="IKN80" s="684"/>
      <c r="IKO80" s="684"/>
      <c r="IKP80" s="684"/>
      <c r="IKQ80" s="684"/>
      <c r="IKR80" s="684"/>
      <c r="IKS80" s="684"/>
      <c r="IKT80" s="684"/>
      <c r="IKU80" s="684"/>
      <c r="IKV80" s="684"/>
      <c r="IKW80" s="684"/>
      <c r="IKX80" s="684"/>
      <c r="IKY80" s="684"/>
      <c r="IKZ80" s="684"/>
      <c r="ILA80" s="684"/>
      <c r="ILB80" s="684"/>
      <c r="ILC80" s="684"/>
      <c r="ILD80" s="684"/>
      <c r="ILE80" s="684"/>
      <c r="ILF80" s="684"/>
      <c r="ILG80" s="684"/>
      <c r="ILH80" s="684"/>
      <c r="ILI80" s="684"/>
      <c r="ILJ80" s="684"/>
      <c r="ILK80" s="684"/>
      <c r="ILL80" s="684"/>
      <c r="ILM80" s="684"/>
      <c r="ILN80" s="684"/>
      <c r="ILO80" s="684"/>
      <c r="ILP80" s="684"/>
      <c r="ILQ80" s="684"/>
      <c r="ILR80" s="684"/>
      <c r="ILS80" s="684"/>
      <c r="ILT80" s="684"/>
      <c r="ILU80" s="684"/>
      <c r="ILV80" s="684"/>
      <c r="ILW80" s="684"/>
      <c r="ILX80" s="684"/>
      <c r="ILY80" s="684"/>
      <c r="ILZ80" s="684"/>
      <c r="IMA80" s="684"/>
      <c r="IMB80" s="684"/>
      <c r="IMC80" s="684"/>
      <c r="IMD80" s="684"/>
      <c r="IME80" s="684"/>
      <c r="IMF80" s="684"/>
      <c r="IMG80" s="684"/>
      <c r="IMH80" s="684"/>
      <c r="IMI80" s="684"/>
      <c r="IMJ80" s="684"/>
      <c r="IMK80" s="684"/>
      <c r="IML80" s="684"/>
      <c r="IMM80" s="684"/>
      <c r="IMN80" s="684"/>
      <c r="IMO80" s="684"/>
      <c r="IMP80" s="684"/>
      <c r="IMQ80" s="684"/>
      <c r="IMR80" s="684"/>
      <c r="IMS80" s="684"/>
      <c r="IMT80" s="684"/>
      <c r="IMU80" s="684"/>
      <c r="IMV80" s="684"/>
      <c r="IMW80" s="684"/>
      <c r="IMX80" s="684"/>
      <c r="IMY80" s="684"/>
      <c r="IMZ80" s="684"/>
      <c r="INA80" s="684"/>
      <c r="INB80" s="684"/>
      <c r="INC80" s="684"/>
      <c r="IND80" s="684"/>
      <c r="INE80" s="684"/>
      <c r="INF80" s="684"/>
      <c r="ING80" s="684"/>
      <c r="INH80" s="684"/>
      <c r="INI80" s="684"/>
      <c r="INJ80" s="684"/>
      <c r="INK80" s="684"/>
      <c r="INL80" s="684"/>
      <c r="INM80" s="684"/>
      <c r="INN80" s="684"/>
      <c r="INO80" s="684"/>
      <c r="INP80" s="684"/>
      <c r="INQ80" s="684"/>
      <c r="INR80" s="684"/>
      <c r="INS80" s="684"/>
      <c r="INT80" s="684"/>
      <c r="INU80" s="684"/>
      <c r="INV80" s="684"/>
      <c r="INW80" s="684"/>
      <c r="INX80" s="684"/>
      <c r="INY80" s="684"/>
      <c r="INZ80" s="684"/>
      <c r="IOA80" s="684"/>
      <c r="IOB80" s="684"/>
      <c r="IOC80" s="684"/>
      <c r="IOD80" s="684"/>
      <c r="IOE80" s="684"/>
      <c r="IOF80" s="684"/>
      <c r="IOG80" s="684"/>
      <c r="IOH80" s="684"/>
      <c r="IOI80" s="684"/>
      <c r="IOJ80" s="684"/>
      <c r="IOK80" s="684"/>
      <c r="IOL80" s="684"/>
      <c r="IOM80" s="684"/>
      <c r="ION80" s="684"/>
      <c r="IOO80" s="684"/>
      <c r="IOP80" s="684"/>
      <c r="IOQ80" s="684"/>
      <c r="IOR80" s="684"/>
      <c r="IOS80" s="684"/>
      <c r="IOT80" s="684"/>
      <c r="IOU80" s="684"/>
      <c r="IOV80" s="684"/>
      <c r="IOW80" s="684"/>
      <c r="IOX80" s="684"/>
      <c r="IOY80" s="684"/>
      <c r="IOZ80" s="684"/>
      <c r="IPA80" s="684"/>
      <c r="IPB80" s="684"/>
      <c r="IPC80" s="684"/>
      <c r="IPD80" s="684"/>
      <c r="IPE80" s="684"/>
      <c r="IPF80" s="684"/>
      <c r="IPG80" s="684"/>
      <c r="IPH80" s="684"/>
      <c r="IPI80" s="684"/>
      <c r="IPJ80" s="684"/>
      <c r="IPK80" s="684"/>
      <c r="IPL80" s="684"/>
      <c r="IPM80" s="684"/>
      <c r="IPN80" s="684"/>
      <c r="IPO80" s="684"/>
      <c r="IPP80" s="684"/>
      <c r="IPQ80" s="684"/>
      <c r="IPR80" s="684"/>
      <c r="IPS80" s="684"/>
      <c r="IPT80" s="684"/>
      <c r="IPU80" s="684"/>
      <c r="IPV80" s="684"/>
      <c r="IPW80" s="684"/>
      <c r="IPX80" s="684"/>
      <c r="IPY80" s="684"/>
      <c r="IPZ80" s="684"/>
      <c r="IQA80" s="684"/>
      <c r="IQB80" s="684"/>
      <c r="IQC80" s="684"/>
      <c r="IQD80" s="684"/>
      <c r="IQE80" s="684"/>
      <c r="IQF80" s="684"/>
      <c r="IQG80" s="684"/>
      <c r="IQH80" s="684"/>
      <c r="IQI80" s="684"/>
      <c r="IQJ80" s="684"/>
      <c r="IQK80" s="684"/>
      <c r="IQL80" s="684"/>
      <c r="IQM80" s="684"/>
      <c r="IQN80" s="684"/>
      <c r="IQO80" s="684"/>
      <c r="IQP80" s="684"/>
      <c r="IQQ80" s="684"/>
      <c r="IQR80" s="684"/>
      <c r="IQS80" s="684"/>
      <c r="IQT80" s="684"/>
      <c r="IQU80" s="684"/>
      <c r="IQV80" s="684"/>
      <c r="IQW80" s="684"/>
      <c r="IQX80" s="684"/>
      <c r="IQY80" s="684"/>
      <c r="IQZ80" s="684"/>
      <c r="IRA80" s="684"/>
      <c r="IRB80" s="684"/>
      <c r="IRC80" s="684"/>
      <c r="IRD80" s="684"/>
      <c r="IRE80" s="684"/>
      <c r="IRF80" s="684"/>
      <c r="IRG80" s="684"/>
      <c r="IRH80" s="684"/>
      <c r="IRI80" s="684"/>
      <c r="IRJ80" s="684"/>
      <c r="IRK80" s="684"/>
      <c r="IRL80" s="684"/>
      <c r="IRM80" s="684"/>
      <c r="IRN80" s="684"/>
      <c r="IRO80" s="684"/>
      <c r="IRP80" s="684"/>
      <c r="IRQ80" s="684"/>
      <c r="IRR80" s="684"/>
      <c r="IRS80" s="684"/>
      <c r="IRT80" s="684"/>
      <c r="IRU80" s="684"/>
      <c r="IRV80" s="684"/>
      <c r="IRW80" s="684"/>
      <c r="IRX80" s="684"/>
      <c r="IRY80" s="684"/>
      <c r="IRZ80" s="684"/>
      <c r="ISA80" s="684"/>
      <c r="ISB80" s="684"/>
      <c r="ISC80" s="684"/>
      <c r="ISD80" s="684"/>
      <c r="ISE80" s="684"/>
      <c r="ISF80" s="684"/>
      <c r="ISG80" s="684"/>
      <c r="ISH80" s="684"/>
      <c r="ISI80" s="684"/>
      <c r="ISJ80" s="684"/>
      <c r="ISK80" s="684"/>
      <c r="ISL80" s="684"/>
      <c r="ISM80" s="684"/>
      <c r="ISN80" s="684"/>
      <c r="ISO80" s="684"/>
      <c r="ISP80" s="684"/>
      <c r="ISQ80" s="684"/>
      <c r="ISR80" s="684"/>
      <c r="ISS80" s="684"/>
      <c r="IST80" s="684"/>
      <c r="ISU80" s="684"/>
      <c r="ISV80" s="684"/>
      <c r="ISW80" s="684"/>
      <c r="ISX80" s="684"/>
      <c r="ISY80" s="684"/>
      <c r="ISZ80" s="684"/>
      <c r="ITA80" s="684"/>
      <c r="ITB80" s="684"/>
      <c r="ITC80" s="684"/>
      <c r="ITD80" s="684"/>
      <c r="ITE80" s="684"/>
      <c r="ITF80" s="684"/>
      <c r="ITG80" s="684"/>
      <c r="ITH80" s="684"/>
      <c r="ITI80" s="684"/>
      <c r="ITJ80" s="684"/>
      <c r="ITK80" s="684"/>
      <c r="ITL80" s="684"/>
      <c r="ITM80" s="684"/>
      <c r="ITN80" s="684"/>
      <c r="ITO80" s="684"/>
      <c r="ITP80" s="684"/>
      <c r="ITQ80" s="684"/>
      <c r="ITR80" s="684"/>
      <c r="ITS80" s="684"/>
      <c r="ITT80" s="684"/>
      <c r="ITU80" s="684"/>
      <c r="ITV80" s="684"/>
      <c r="ITW80" s="684"/>
      <c r="ITX80" s="684"/>
      <c r="ITY80" s="684"/>
      <c r="ITZ80" s="684"/>
      <c r="IUA80" s="684"/>
      <c r="IUB80" s="684"/>
      <c r="IUC80" s="684"/>
      <c r="IUD80" s="684"/>
      <c r="IUE80" s="684"/>
      <c r="IUF80" s="684"/>
      <c r="IUG80" s="684"/>
      <c r="IUH80" s="684"/>
      <c r="IUI80" s="684"/>
      <c r="IUJ80" s="684"/>
      <c r="IUK80" s="684"/>
      <c r="IUL80" s="684"/>
      <c r="IUM80" s="684"/>
      <c r="IUN80" s="684"/>
      <c r="IUO80" s="684"/>
      <c r="IUP80" s="684"/>
      <c r="IUQ80" s="684"/>
      <c r="IUR80" s="684"/>
      <c r="IUS80" s="684"/>
      <c r="IUT80" s="684"/>
      <c r="IUU80" s="684"/>
      <c r="IUV80" s="684"/>
      <c r="IUW80" s="684"/>
      <c r="IUX80" s="684"/>
      <c r="IUY80" s="684"/>
      <c r="IUZ80" s="684"/>
      <c r="IVA80" s="684"/>
      <c r="IVB80" s="684"/>
      <c r="IVC80" s="684"/>
      <c r="IVD80" s="684"/>
      <c r="IVE80" s="684"/>
      <c r="IVF80" s="684"/>
      <c r="IVG80" s="684"/>
      <c r="IVH80" s="684"/>
      <c r="IVI80" s="684"/>
      <c r="IVJ80" s="684"/>
      <c r="IVK80" s="684"/>
      <c r="IVL80" s="684"/>
      <c r="IVM80" s="684"/>
      <c r="IVN80" s="684"/>
      <c r="IVO80" s="684"/>
      <c r="IVP80" s="684"/>
      <c r="IVQ80" s="684"/>
      <c r="IVR80" s="684"/>
      <c r="IVS80" s="684"/>
      <c r="IVT80" s="684"/>
      <c r="IVU80" s="684"/>
      <c r="IVV80" s="684"/>
      <c r="IVW80" s="684"/>
      <c r="IVX80" s="684"/>
      <c r="IVY80" s="684"/>
      <c r="IVZ80" s="684"/>
      <c r="IWA80" s="684"/>
      <c r="IWB80" s="684"/>
      <c r="IWC80" s="684"/>
      <c r="IWD80" s="684"/>
      <c r="IWE80" s="684"/>
      <c r="IWF80" s="684"/>
      <c r="IWG80" s="684"/>
      <c r="IWH80" s="684"/>
      <c r="IWI80" s="684"/>
      <c r="IWJ80" s="684"/>
      <c r="IWK80" s="684"/>
      <c r="IWL80" s="684"/>
      <c r="IWM80" s="684"/>
      <c r="IWN80" s="684"/>
      <c r="IWO80" s="684"/>
      <c r="IWP80" s="684"/>
      <c r="IWQ80" s="684"/>
      <c r="IWR80" s="684"/>
      <c r="IWS80" s="684"/>
      <c r="IWT80" s="684"/>
      <c r="IWU80" s="684"/>
      <c r="IWV80" s="684"/>
      <c r="IWW80" s="684"/>
      <c r="IWX80" s="684"/>
      <c r="IWY80" s="684"/>
      <c r="IWZ80" s="684"/>
      <c r="IXA80" s="684"/>
      <c r="IXB80" s="684"/>
      <c r="IXC80" s="684"/>
      <c r="IXD80" s="684"/>
      <c r="IXE80" s="684"/>
      <c r="IXF80" s="684"/>
      <c r="IXG80" s="684"/>
      <c r="IXH80" s="684"/>
      <c r="IXI80" s="684"/>
      <c r="IXJ80" s="684"/>
      <c r="IXK80" s="684"/>
      <c r="IXL80" s="684"/>
      <c r="IXM80" s="684"/>
      <c r="IXN80" s="684"/>
      <c r="IXO80" s="684"/>
      <c r="IXP80" s="684"/>
      <c r="IXQ80" s="684"/>
      <c r="IXR80" s="684"/>
      <c r="IXS80" s="684"/>
      <c r="IXT80" s="684"/>
      <c r="IXU80" s="684"/>
      <c r="IXV80" s="684"/>
      <c r="IXW80" s="684"/>
      <c r="IXX80" s="684"/>
      <c r="IXY80" s="684"/>
      <c r="IXZ80" s="684"/>
      <c r="IYA80" s="684"/>
      <c r="IYB80" s="684"/>
      <c r="IYC80" s="684"/>
      <c r="IYD80" s="684"/>
      <c r="IYE80" s="684"/>
      <c r="IYF80" s="684"/>
      <c r="IYG80" s="684"/>
      <c r="IYH80" s="684"/>
      <c r="IYI80" s="684"/>
      <c r="IYJ80" s="684"/>
      <c r="IYK80" s="684"/>
      <c r="IYL80" s="684"/>
      <c r="IYM80" s="684"/>
      <c r="IYN80" s="684"/>
      <c r="IYO80" s="684"/>
      <c r="IYP80" s="684"/>
      <c r="IYQ80" s="684"/>
      <c r="IYR80" s="684"/>
      <c r="IYS80" s="684"/>
      <c r="IYT80" s="684"/>
      <c r="IYU80" s="684"/>
      <c r="IYV80" s="684"/>
      <c r="IYW80" s="684"/>
      <c r="IYX80" s="684"/>
      <c r="IYY80" s="684"/>
      <c r="IYZ80" s="684"/>
      <c r="IZA80" s="684"/>
      <c r="IZB80" s="684"/>
      <c r="IZC80" s="684"/>
      <c r="IZD80" s="684"/>
      <c r="IZE80" s="684"/>
      <c r="IZF80" s="684"/>
      <c r="IZG80" s="684"/>
      <c r="IZH80" s="684"/>
      <c r="IZI80" s="684"/>
      <c r="IZJ80" s="684"/>
      <c r="IZK80" s="684"/>
      <c r="IZL80" s="684"/>
      <c r="IZM80" s="684"/>
      <c r="IZN80" s="684"/>
      <c r="IZO80" s="684"/>
      <c r="IZP80" s="684"/>
      <c r="IZQ80" s="684"/>
      <c r="IZR80" s="684"/>
      <c r="IZS80" s="684"/>
      <c r="IZT80" s="684"/>
      <c r="IZU80" s="684"/>
      <c r="IZV80" s="684"/>
      <c r="IZW80" s="684"/>
      <c r="IZX80" s="684"/>
      <c r="IZY80" s="684"/>
      <c r="IZZ80" s="684"/>
      <c r="JAA80" s="684"/>
      <c r="JAB80" s="684"/>
      <c r="JAC80" s="684"/>
      <c r="JAD80" s="684"/>
      <c r="JAE80" s="684"/>
      <c r="JAF80" s="684"/>
      <c r="JAG80" s="684"/>
      <c r="JAH80" s="684"/>
      <c r="JAI80" s="684"/>
      <c r="JAJ80" s="684"/>
      <c r="JAK80" s="684"/>
      <c r="JAL80" s="684"/>
      <c r="JAM80" s="684"/>
      <c r="JAN80" s="684"/>
      <c r="JAO80" s="684"/>
      <c r="JAP80" s="684"/>
      <c r="JAQ80" s="684"/>
      <c r="JAR80" s="684"/>
      <c r="JAS80" s="684"/>
      <c r="JAT80" s="684"/>
      <c r="JAU80" s="684"/>
      <c r="JAV80" s="684"/>
      <c r="JAW80" s="684"/>
      <c r="JAX80" s="684"/>
      <c r="JAY80" s="684"/>
      <c r="JAZ80" s="684"/>
      <c r="JBA80" s="684"/>
      <c r="JBB80" s="684"/>
      <c r="JBC80" s="684"/>
      <c r="JBD80" s="684"/>
      <c r="JBE80" s="684"/>
      <c r="JBF80" s="684"/>
      <c r="JBG80" s="684"/>
      <c r="JBH80" s="684"/>
      <c r="JBI80" s="684"/>
      <c r="JBJ80" s="684"/>
      <c r="JBK80" s="684"/>
      <c r="JBL80" s="684"/>
      <c r="JBM80" s="684"/>
      <c r="JBN80" s="684"/>
      <c r="JBO80" s="684"/>
      <c r="JBP80" s="684"/>
      <c r="JBQ80" s="684"/>
      <c r="JBR80" s="684"/>
      <c r="JBS80" s="684"/>
      <c r="JBT80" s="684"/>
      <c r="JBU80" s="684"/>
      <c r="JBV80" s="684"/>
      <c r="JBW80" s="684"/>
      <c r="JBX80" s="684"/>
      <c r="JBY80" s="684"/>
      <c r="JBZ80" s="684"/>
      <c r="JCA80" s="684"/>
      <c r="JCB80" s="684"/>
      <c r="JCC80" s="684"/>
      <c r="JCD80" s="684"/>
      <c r="JCE80" s="684"/>
      <c r="JCF80" s="684"/>
      <c r="JCG80" s="684"/>
      <c r="JCH80" s="684"/>
      <c r="JCI80" s="684"/>
      <c r="JCJ80" s="684"/>
      <c r="JCK80" s="684"/>
      <c r="JCL80" s="684"/>
      <c r="JCM80" s="684"/>
      <c r="JCN80" s="684"/>
      <c r="JCO80" s="684"/>
      <c r="JCP80" s="684"/>
      <c r="JCQ80" s="684"/>
      <c r="JCR80" s="684"/>
      <c r="JCS80" s="684"/>
      <c r="JCT80" s="684"/>
      <c r="JCU80" s="684"/>
      <c r="JCV80" s="684"/>
      <c r="JCW80" s="684"/>
      <c r="JCX80" s="684"/>
      <c r="JCY80" s="684"/>
      <c r="JCZ80" s="684"/>
      <c r="JDA80" s="684"/>
      <c r="JDB80" s="684"/>
      <c r="JDC80" s="684"/>
      <c r="JDD80" s="684"/>
      <c r="JDE80" s="684"/>
      <c r="JDF80" s="684"/>
      <c r="JDG80" s="684"/>
      <c r="JDH80" s="684"/>
      <c r="JDI80" s="684"/>
      <c r="JDJ80" s="684"/>
      <c r="JDK80" s="684"/>
      <c r="JDL80" s="684"/>
      <c r="JDM80" s="684"/>
      <c r="JDN80" s="684"/>
      <c r="JDO80" s="684"/>
      <c r="JDP80" s="684"/>
      <c r="JDQ80" s="684"/>
      <c r="JDR80" s="684"/>
      <c r="JDS80" s="684"/>
      <c r="JDT80" s="684"/>
      <c r="JDU80" s="684"/>
      <c r="JDV80" s="684"/>
      <c r="JDW80" s="684"/>
      <c r="JDX80" s="684"/>
      <c r="JDY80" s="684"/>
      <c r="JDZ80" s="684"/>
      <c r="JEA80" s="684"/>
      <c r="JEB80" s="684"/>
      <c r="JEC80" s="684"/>
      <c r="JED80" s="684"/>
      <c r="JEE80" s="684"/>
      <c r="JEF80" s="684"/>
      <c r="JEG80" s="684"/>
      <c r="JEH80" s="684"/>
      <c r="JEI80" s="684"/>
      <c r="JEJ80" s="684"/>
      <c r="JEK80" s="684"/>
      <c r="JEL80" s="684"/>
      <c r="JEM80" s="684"/>
      <c r="JEN80" s="684"/>
      <c r="JEO80" s="684"/>
      <c r="JEP80" s="684"/>
      <c r="JEQ80" s="684"/>
      <c r="JER80" s="684"/>
      <c r="JES80" s="684"/>
      <c r="JET80" s="684"/>
      <c r="JEU80" s="684"/>
      <c r="JEV80" s="684"/>
      <c r="JEW80" s="684"/>
      <c r="JEX80" s="684"/>
      <c r="JEY80" s="684"/>
      <c r="JEZ80" s="684"/>
      <c r="JFA80" s="684"/>
      <c r="JFB80" s="684"/>
      <c r="JFC80" s="684"/>
      <c r="JFD80" s="684"/>
      <c r="JFE80" s="684"/>
      <c r="JFF80" s="684"/>
      <c r="JFG80" s="684"/>
      <c r="JFH80" s="684"/>
      <c r="JFI80" s="684"/>
      <c r="JFJ80" s="684"/>
      <c r="JFK80" s="684"/>
      <c r="JFL80" s="684"/>
      <c r="JFM80" s="684"/>
      <c r="JFN80" s="684"/>
      <c r="JFO80" s="684"/>
      <c r="JFP80" s="684"/>
      <c r="JFQ80" s="684"/>
      <c r="JFR80" s="684"/>
      <c r="JFS80" s="684"/>
      <c r="JFT80" s="684"/>
      <c r="JFU80" s="684"/>
      <c r="JFV80" s="684"/>
      <c r="JFW80" s="684"/>
      <c r="JFX80" s="684"/>
      <c r="JFY80" s="684"/>
      <c r="JFZ80" s="684"/>
      <c r="JGA80" s="684"/>
      <c r="JGB80" s="684"/>
      <c r="JGC80" s="684"/>
      <c r="JGD80" s="684"/>
      <c r="JGE80" s="684"/>
      <c r="JGF80" s="684"/>
      <c r="JGG80" s="684"/>
      <c r="JGH80" s="684"/>
      <c r="JGI80" s="684"/>
      <c r="JGJ80" s="684"/>
      <c r="JGK80" s="684"/>
      <c r="JGL80" s="684"/>
      <c r="JGM80" s="684"/>
      <c r="JGN80" s="684"/>
      <c r="JGO80" s="684"/>
      <c r="JGP80" s="684"/>
      <c r="JGQ80" s="684"/>
      <c r="JGR80" s="684"/>
      <c r="JGS80" s="684"/>
      <c r="JGT80" s="684"/>
      <c r="JGU80" s="684"/>
      <c r="JGV80" s="684"/>
      <c r="JGW80" s="684"/>
      <c r="JGX80" s="684"/>
      <c r="JGY80" s="684"/>
      <c r="JGZ80" s="684"/>
      <c r="JHA80" s="684"/>
      <c r="JHB80" s="684"/>
      <c r="JHC80" s="684"/>
      <c r="JHD80" s="684"/>
      <c r="JHE80" s="684"/>
      <c r="JHF80" s="684"/>
      <c r="JHG80" s="684"/>
      <c r="JHH80" s="684"/>
      <c r="JHI80" s="684"/>
      <c r="JHJ80" s="684"/>
      <c r="JHK80" s="684"/>
      <c r="JHL80" s="684"/>
      <c r="JHM80" s="684"/>
      <c r="JHN80" s="684"/>
      <c r="JHO80" s="684"/>
      <c r="JHP80" s="684"/>
      <c r="JHQ80" s="684"/>
      <c r="JHR80" s="684"/>
      <c r="JHS80" s="684"/>
      <c r="JHT80" s="684"/>
      <c r="JHU80" s="684"/>
      <c r="JHV80" s="684"/>
      <c r="JHW80" s="684"/>
      <c r="JHX80" s="684"/>
      <c r="JHY80" s="684"/>
      <c r="JHZ80" s="684"/>
      <c r="JIA80" s="684"/>
      <c r="JIB80" s="684"/>
      <c r="JIC80" s="684"/>
      <c r="JID80" s="684"/>
      <c r="JIE80" s="684"/>
      <c r="JIF80" s="684"/>
      <c r="JIG80" s="684"/>
      <c r="JIH80" s="684"/>
      <c r="JII80" s="684"/>
      <c r="JIJ80" s="684"/>
      <c r="JIK80" s="684"/>
      <c r="JIL80" s="684"/>
      <c r="JIM80" s="684"/>
      <c r="JIN80" s="684"/>
      <c r="JIO80" s="684"/>
      <c r="JIP80" s="684"/>
      <c r="JIQ80" s="684"/>
      <c r="JIR80" s="684"/>
      <c r="JIS80" s="684"/>
      <c r="JIT80" s="684"/>
      <c r="JIU80" s="684"/>
      <c r="JIV80" s="684"/>
      <c r="JIW80" s="684"/>
      <c r="JIX80" s="684"/>
      <c r="JIY80" s="684"/>
      <c r="JIZ80" s="684"/>
      <c r="JJA80" s="684"/>
      <c r="JJB80" s="684"/>
      <c r="JJC80" s="684"/>
      <c r="JJD80" s="684"/>
      <c r="JJE80" s="684"/>
      <c r="JJF80" s="684"/>
      <c r="JJG80" s="684"/>
      <c r="JJH80" s="684"/>
      <c r="JJI80" s="684"/>
      <c r="JJJ80" s="684"/>
      <c r="JJK80" s="684"/>
      <c r="JJL80" s="684"/>
      <c r="JJM80" s="684"/>
      <c r="JJN80" s="684"/>
      <c r="JJO80" s="684"/>
      <c r="JJP80" s="684"/>
      <c r="JJQ80" s="684"/>
      <c r="JJR80" s="684"/>
      <c r="JJS80" s="684"/>
      <c r="JJT80" s="684"/>
      <c r="JJU80" s="684"/>
      <c r="JJV80" s="684"/>
      <c r="JJW80" s="684"/>
      <c r="JJX80" s="684"/>
      <c r="JJY80" s="684"/>
      <c r="JJZ80" s="684"/>
      <c r="JKA80" s="684"/>
      <c r="JKB80" s="684"/>
      <c r="JKC80" s="684"/>
      <c r="JKD80" s="684"/>
      <c r="JKE80" s="684"/>
      <c r="JKF80" s="684"/>
      <c r="JKG80" s="684"/>
      <c r="JKH80" s="684"/>
      <c r="JKI80" s="684"/>
      <c r="JKJ80" s="684"/>
      <c r="JKK80" s="684"/>
      <c r="JKL80" s="684"/>
      <c r="JKM80" s="684"/>
      <c r="JKN80" s="684"/>
      <c r="JKO80" s="684"/>
      <c r="JKP80" s="684"/>
      <c r="JKQ80" s="684"/>
      <c r="JKR80" s="684"/>
      <c r="JKS80" s="684"/>
      <c r="JKT80" s="684"/>
      <c r="JKU80" s="684"/>
      <c r="JKV80" s="684"/>
      <c r="JKW80" s="684"/>
      <c r="JKX80" s="684"/>
      <c r="JKY80" s="684"/>
      <c r="JKZ80" s="684"/>
      <c r="JLA80" s="684"/>
      <c r="JLB80" s="684"/>
      <c r="JLC80" s="684"/>
      <c r="JLD80" s="684"/>
      <c r="JLE80" s="684"/>
      <c r="JLF80" s="684"/>
      <c r="JLG80" s="684"/>
      <c r="JLH80" s="684"/>
      <c r="JLI80" s="684"/>
      <c r="JLJ80" s="684"/>
      <c r="JLK80" s="684"/>
      <c r="JLL80" s="684"/>
      <c r="JLM80" s="684"/>
      <c r="JLN80" s="684"/>
      <c r="JLO80" s="684"/>
      <c r="JLP80" s="684"/>
      <c r="JLQ80" s="684"/>
      <c r="JLR80" s="684"/>
      <c r="JLS80" s="684"/>
      <c r="JLT80" s="684"/>
      <c r="JLU80" s="684"/>
      <c r="JLV80" s="684"/>
      <c r="JLW80" s="684"/>
      <c r="JLX80" s="684"/>
      <c r="JLY80" s="684"/>
      <c r="JLZ80" s="684"/>
      <c r="JMA80" s="684"/>
      <c r="JMB80" s="684"/>
      <c r="JMC80" s="684"/>
      <c r="JMD80" s="684"/>
      <c r="JME80" s="684"/>
      <c r="JMF80" s="684"/>
      <c r="JMG80" s="684"/>
      <c r="JMH80" s="684"/>
      <c r="JMI80" s="684"/>
      <c r="JMJ80" s="684"/>
      <c r="JMK80" s="684"/>
      <c r="JML80" s="684"/>
      <c r="JMM80" s="684"/>
      <c r="JMN80" s="684"/>
      <c r="JMO80" s="684"/>
      <c r="JMP80" s="684"/>
      <c r="JMQ80" s="684"/>
      <c r="JMR80" s="684"/>
      <c r="JMS80" s="684"/>
      <c r="JMT80" s="684"/>
      <c r="JMU80" s="684"/>
      <c r="JMV80" s="684"/>
      <c r="JMW80" s="684"/>
      <c r="JMX80" s="684"/>
      <c r="JMY80" s="684"/>
      <c r="JMZ80" s="684"/>
      <c r="JNA80" s="684"/>
      <c r="JNB80" s="684"/>
      <c r="JNC80" s="684"/>
      <c r="JND80" s="684"/>
      <c r="JNE80" s="684"/>
      <c r="JNF80" s="684"/>
      <c r="JNG80" s="684"/>
      <c r="JNH80" s="684"/>
      <c r="JNI80" s="684"/>
      <c r="JNJ80" s="684"/>
      <c r="JNK80" s="684"/>
      <c r="JNL80" s="684"/>
      <c r="JNM80" s="684"/>
      <c r="JNN80" s="684"/>
      <c r="JNO80" s="684"/>
      <c r="JNP80" s="684"/>
      <c r="JNQ80" s="684"/>
      <c r="JNR80" s="684"/>
      <c r="JNS80" s="684"/>
      <c r="JNT80" s="684"/>
      <c r="JNU80" s="684"/>
      <c r="JNV80" s="684"/>
      <c r="JNW80" s="684"/>
      <c r="JNX80" s="684"/>
      <c r="JNY80" s="684"/>
      <c r="JNZ80" s="684"/>
      <c r="JOA80" s="684"/>
      <c r="JOB80" s="684"/>
      <c r="JOC80" s="684"/>
      <c r="JOD80" s="684"/>
      <c r="JOE80" s="684"/>
      <c r="JOF80" s="684"/>
      <c r="JOG80" s="684"/>
      <c r="JOH80" s="684"/>
      <c r="JOI80" s="684"/>
      <c r="JOJ80" s="684"/>
      <c r="JOK80" s="684"/>
      <c r="JOL80" s="684"/>
      <c r="JOM80" s="684"/>
      <c r="JON80" s="684"/>
      <c r="JOO80" s="684"/>
      <c r="JOP80" s="684"/>
      <c r="JOQ80" s="684"/>
      <c r="JOR80" s="684"/>
      <c r="JOS80" s="684"/>
      <c r="JOT80" s="684"/>
      <c r="JOU80" s="684"/>
      <c r="JOV80" s="684"/>
      <c r="JOW80" s="684"/>
      <c r="JOX80" s="684"/>
      <c r="JOY80" s="684"/>
      <c r="JOZ80" s="684"/>
      <c r="JPA80" s="684"/>
      <c r="JPB80" s="684"/>
      <c r="JPC80" s="684"/>
      <c r="JPD80" s="684"/>
      <c r="JPE80" s="684"/>
      <c r="JPF80" s="684"/>
      <c r="JPG80" s="684"/>
      <c r="JPH80" s="684"/>
      <c r="JPI80" s="684"/>
      <c r="JPJ80" s="684"/>
      <c r="JPK80" s="684"/>
      <c r="JPL80" s="684"/>
      <c r="JPM80" s="684"/>
      <c r="JPN80" s="684"/>
      <c r="JPO80" s="684"/>
      <c r="JPP80" s="684"/>
      <c r="JPQ80" s="684"/>
      <c r="JPR80" s="684"/>
      <c r="JPS80" s="684"/>
      <c r="JPT80" s="684"/>
      <c r="JPU80" s="684"/>
      <c r="JPV80" s="684"/>
      <c r="JPW80" s="684"/>
      <c r="JPX80" s="684"/>
      <c r="JPY80" s="684"/>
      <c r="JPZ80" s="684"/>
      <c r="JQA80" s="684"/>
      <c r="JQB80" s="684"/>
      <c r="JQC80" s="684"/>
      <c r="JQD80" s="684"/>
      <c r="JQE80" s="684"/>
      <c r="JQF80" s="684"/>
      <c r="JQG80" s="684"/>
      <c r="JQH80" s="684"/>
      <c r="JQI80" s="684"/>
      <c r="JQJ80" s="684"/>
      <c r="JQK80" s="684"/>
      <c r="JQL80" s="684"/>
      <c r="JQM80" s="684"/>
      <c r="JQN80" s="684"/>
      <c r="JQO80" s="684"/>
      <c r="JQP80" s="684"/>
      <c r="JQQ80" s="684"/>
      <c r="JQR80" s="684"/>
      <c r="JQS80" s="684"/>
      <c r="JQT80" s="684"/>
      <c r="JQU80" s="684"/>
      <c r="JQV80" s="684"/>
      <c r="JQW80" s="684"/>
      <c r="JQX80" s="684"/>
      <c r="JQY80" s="684"/>
      <c r="JQZ80" s="684"/>
      <c r="JRA80" s="684"/>
      <c r="JRB80" s="684"/>
      <c r="JRC80" s="684"/>
      <c r="JRD80" s="684"/>
      <c r="JRE80" s="684"/>
      <c r="JRF80" s="684"/>
      <c r="JRG80" s="684"/>
      <c r="JRH80" s="684"/>
      <c r="JRI80" s="684"/>
      <c r="JRJ80" s="684"/>
      <c r="JRK80" s="684"/>
      <c r="JRL80" s="684"/>
      <c r="JRM80" s="684"/>
      <c r="JRN80" s="684"/>
      <c r="JRO80" s="684"/>
      <c r="JRP80" s="684"/>
      <c r="JRQ80" s="684"/>
      <c r="JRR80" s="684"/>
      <c r="JRS80" s="684"/>
      <c r="JRT80" s="684"/>
      <c r="JRU80" s="684"/>
      <c r="JRV80" s="684"/>
      <c r="JRW80" s="684"/>
      <c r="JRX80" s="684"/>
      <c r="JRY80" s="684"/>
      <c r="JRZ80" s="684"/>
      <c r="JSA80" s="684"/>
      <c r="JSB80" s="684"/>
      <c r="JSC80" s="684"/>
      <c r="JSD80" s="684"/>
      <c r="JSE80" s="684"/>
      <c r="JSF80" s="684"/>
      <c r="JSG80" s="684"/>
      <c r="JSH80" s="684"/>
      <c r="JSI80" s="684"/>
      <c r="JSJ80" s="684"/>
      <c r="JSK80" s="684"/>
      <c r="JSL80" s="684"/>
      <c r="JSM80" s="684"/>
      <c r="JSN80" s="684"/>
      <c r="JSO80" s="684"/>
      <c r="JSP80" s="684"/>
      <c r="JSQ80" s="684"/>
      <c r="JSR80" s="684"/>
      <c r="JSS80" s="684"/>
      <c r="JST80" s="684"/>
      <c r="JSU80" s="684"/>
      <c r="JSV80" s="684"/>
      <c r="JSW80" s="684"/>
      <c r="JSX80" s="684"/>
      <c r="JSY80" s="684"/>
      <c r="JSZ80" s="684"/>
      <c r="JTA80" s="684"/>
      <c r="JTB80" s="684"/>
      <c r="JTC80" s="684"/>
      <c r="JTD80" s="684"/>
      <c r="JTE80" s="684"/>
      <c r="JTF80" s="684"/>
      <c r="JTG80" s="684"/>
      <c r="JTH80" s="684"/>
      <c r="JTI80" s="684"/>
      <c r="JTJ80" s="684"/>
      <c r="JTK80" s="684"/>
      <c r="JTL80" s="684"/>
      <c r="JTM80" s="684"/>
      <c r="JTN80" s="684"/>
      <c r="JTO80" s="684"/>
      <c r="JTP80" s="684"/>
      <c r="JTQ80" s="684"/>
      <c r="JTR80" s="684"/>
      <c r="JTS80" s="684"/>
      <c r="JTT80" s="684"/>
      <c r="JTU80" s="684"/>
      <c r="JTV80" s="684"/>
      <c r="JTW80" s="684"/>
      <c r="JTX80" s="684"/>
      <c r="JTY80" s="684"/>
      <c r="JTZ80" s="684"/>
      <c r="JUA80" s="684"/>
      <c r="JUB80" s="684"/>
      <c r="JUC80" s="684"/>
      <c r="JUD80" s="684"/>
      <c r="JUE80" s="684"/>
      <c r="JUF80" s="684"/>
      <c r="JUG80" s="684"/>
      <c r="JUH80" s="684"/>
      <c r="JUI80" s="684"/>
      <c r="JUJ80" s="684"/>
      <c r="JUK80" s="684"/>
      <c r="JUL80" s="684"/>
      <c r="JUM80" s="684"/>
      <c r="JUN80" s="684"/>
      <c r="JUO80" s="684"/>
      <c r="JUP80" s="684"/>
      <c r="JUQ80" s="684"/>
      <c r="JUR80" s="684"/>
      <c r="JUS80" s="684"/>
      <c r="JUT80" s="684"/>
      <c r="JUU80" s="684"/>
      <c r="JUV80" s="684"/>
      <c r="JUW80" s="684"/>
      <c r="JUX80" s="684"/>
      <c r="JUY80" s="684"/>
      <c r="JUZ80" s="684"/>
      <c r="JVA80" s="684"/>
      <c r="JVB80" s="684"/>
      <c r="JVC80" s="684"/>
      <c r="JVD80" s="684"/>
      <c r="JVE80" s="684"/>
      <c r="JVF80" s="684"/>
      <c r="JVG80" s="684"/>
      <c r="JVH80" s="684"/>
      <c r="JVI80" s="684"/>
      <c r="JVJ80" s="684"/>
      <c r="JVK80" s="684"/>
      <c r="JVL80" s="684"/>
      <c r="JVM80" s="684"/>
      <c r="JVN80" s="684"/>
      <c r="JVO80" s="684"/>
      <c r="JVP80" s="684"/>
      <c r="JVQ80" s="684"/>
      <c r="JVR80" s="684"/>
      <c r="JVS80" s="684"/>
      <c r="JVT80" s="684"/>
      <c r="JVU80" s="684"/>
      <c r="JVV80" s="684"/>
      <c r="JVW80" s="684"/>
      <c r="JVX80" s="684"/>
      <c r="JVY80" s="684"/>
      <c r="JVZ80" s="684"/>
      <c r="JWA80" s="684"/>
      <c r="JWB80" s="684"/>
      <c r="JWC80" s="684"/>
      <c r="JWD80" s="684"/>
      <c r="JWE80" s="684"/>
      <c r="JWF80" s="684"/>
      <c r="JWG80" s="684"/>
      <c r="JWH80" s="684"/>
      <c r="JWI80" s="684"/>
      <c r="JWJ80" s="684"/>
      <c r="JWK80" s="684"/>
      <c r="JWL80" s="684"/>
      <c r="JWM80" s="684"/>
      <c r="JWN80" s="684"/>
      <c r="JWO80" s="684"/>
      <c r="JWP80" s="684"/>
      <c r="JWQ80" s="684"/>
      <c r="JWR80" s="684"/>
      <c r="JWS80" s="684"/>
      <c r="JWT80" s="684"/>
      <c r="JWU80" s="684"/>
      <c r="JWV80" s="684"/>
      <c r="JWW80" s="684"/>
      <c r="JWX80" s="684"/>
      <c r="JWY80" s="684"/>
      <c r="JWZ80" s="684"/>
      <c r="JXA80" s="684"/>
      <c r="JXB80" s="684"/>
      <c r="JXC80" s="684"/>
      <c r="JXD80" s="684"/>
      <c r="JXE80" s="684"/>
      <c r="JXF80" s="684"/>
      <c r="JXG80" s="684"/>
      <c r="JXH80" s="684"/>
      <c r="JXI80" s="684"/>
      <c r="JXJ80" s="684"/>
      <c r="JXK80" s="684"/>
      <c r="JXL80" s="684"/>
      <c r="JXM80" s="684"/>
      <c r="JXN80" s="684"/>
      <c r="JXO80" s="684"/>
      <c r="JXP80" s="684"/>
      <c r="JXQ80" s="684"/>
      <c r="JXR80" s="684"/>
      <c r="JXS80" s="684"/>
      <c r="JXT80" s="684"/>
      <c r="JXU80" s="684"/>
      <c r="JXV80" s="684"/>
      <c r="JXW80" s="684"/>
      <c r="JXX80" s="684"/>
      <c r="JXY80" s="684"/>
      <c r="JXZ80" s="684"/>
      <c r="JYA80" s="684"/>
      <c r="JYB80" s="684"/>
      <c r="JYC80" s="684"/>
      <c r="JYD80" s="684"/>
      <c r="JYE80" s="684"/>
      <c r="JYF80" s="684"/>
      <c r="JYG80" s="684"/>
      <c r="JYH80" s="684"/>
      <c r="JYI80" s="684"/>
      <c r="JYJ80" s="684"/>
      <c r="JYK80" s="684"/>
      <c r="JYL80" s="684"/>
      <c r="JYM80" s="684"/>
      <c r="JYN80" s="684"/>
      <c r="JYO80" s="684"/>
      <c r="JYP80" s="684"/>
      <c r="JYQ80" s="684"/>
      <c r="JYR80" s="684"/>
      <c r="JYS80" s="684"/>
      <c r="JYT80" s="684"/>
      <c r="JYU80" s="684"/>
      <c r="JYV80" s="684"/>
      <c r="JYW80" s="684"/>
      <c r="JYX80" s="684"/>
      <c r="JYY80" s="684"/>
      <c r="JYZ80" s="684"/>
      <c r="JZA80" s="684"/>
      <c r="JZB80" s="684"/>
      <c r="JZC80" s="684"/>
      <c r="JZD80" s="684"/>
      <c r="JZE80" s="684"/>
      <c r="JZF80" s="684"/>
      <c r="JZG80" s="684"/>
      <c r="JZH80" s="684"/>
      <c r="JZI80" s="684"/>
      <c r="JZJ80" s="684"/>
      <c r="JZK80" s="684"/>
      <c r="JZL80" s="684"/>
      <c r="JZM80" s="684"/>
      <c r="JZN80" s="684"/>
      <c r="JZO80" s="684"/>
      <c r="JZP80" s="684"/>
      <c r="JZQ80" s="684"/>
      <c r="JZR80" s="684"/>
      <c r="JZS80" s="684"/>
      <c r="JZT80" s="684"/>
      <c r="JZU80" s="684"/>
      <c r="JZV80" s="684"/>
      <c r="JZW80" s="684"/>
      <c r="JZX80" s="684"/>
      <c r="JZY80" s="684"/>
      <c r="JZZ80" s="684"/>
      <c r="KAA80" s="684"/>
      <c r="KAB80" s="684"/>
      <c r="KAC80" s="684"/>
      <c r="KAD80" s="684"/>
      <c r="KAE80" s="684"/>
      <c r="KAF80" s="684"/>
      <c r="KAG80" s="684"/>
      <c r="KAH80" s="684"/>
      <c r="KAI80" s="684"/>
      <c r="KAJ80" s="684"/>
      <c r="KAK80" s="684"/>
      <c r="KAL80" s="684"/>
      <c r="KAM80" s="684"/>
      <c r="KAN80" s="684"/>
      <c r="KAO80" s="684"/>
      <c r="KAP80" s="684"/>
      <c r="KAQ80" s="684"/>
      <c r="KAR80" s="684"/>
      <c r="KAS80" s="684"/>
      <c r="KAT80" s="684"/>
      <c r="KAU80" s="684"/>
      <c r="KAV80" s="684"/>
      <c r="KAW80" s="684"/>
      <c r="KAX80" s="684"/>
      <c r="KAY80" s="684"/>
      <c r="KAZ80" s="684"/>
      <c r="KBA80" s="684"/>
      <c r="KBB80" s="684"/>
      <c r="KBC80" s="684"/>
      <c r="KBD80" s="684"/>
      <c r="KBE80" s="684"/>
      <c r="KBF80" s="684"/>
      <c r="KBG80" s="684"/>
      <c r="KBH80" s="684"/>
      <c r="KBI80" s="684"/>
      <c r="KBJ80" s="684"/>
      <c r="KBK80" s="684"/>
      <c r="KBL80" s="684"/>
      <c r="KBM80" s="684"/>
      <c r="KBN80" s="684"/>
      <c r="KBO80" s="684"/>
      <c r="KBP80" s="684"/>
      <c r="KBQ80" s="684"/>
      <c r="KBR80" s="684"/>
      <c r="KBS80" s="684"/>
      <c r="KBT80" s="684"/>
      <c r="KBU80" s="684"/>
      <c r="KBV80" s="684"/>
      <c r="KBW80" s="684"/>
      <c r="KBX80" s="684"/>
      <c r="KBY80" s="684"/>
      <c r="KBZ80" s="684"/>
      <c r="KCA80" s="684"/>
      <c r="KCB80" s="684"/>
      <c r="KCC80" s="684"/>
      <c r="KCD80" s="684"/>
      <c r="KCE80" s="684"/>
      <c r="KCF80" s="684"/>
      <c r="KCG80" s="684"/>
      <c r="KCH80" s="684"/>
      <c r="KCI80" s="684"/>
      <c r="KCJ80" s="684"/>
      <c r="KCK80" s="684"/>
      <c r="KCL80" s="684"/>
      <c r="KCM80" s="684"/>
      <c r="KCN80" s="684"/>
      <c r="KCO80" s="684"/>
      <c r="KCP80" s="684"/>
      <c r="KCQ80" s="684"/>
      <c r="KCR80" s="684"/>
      <c r="KCS80" s="684"/>
      <c r="KCT80" s="684"/>
      <c r="KCU80" s="684"/>
      <c r="KCV80" s="684"/>
      <c r="KCW80" s="684"/>
      <c r="KCX80" s="684"/>
      <c r="KCY80" s="684"/>
      <c r="KCZ80" s="684"/>
      <c r="KDA80" s="684"/>
      <c r="KDB80" s="684"/>
      <c r="KDC80" s="684"/>
      <c r="KDD80" s="684"/>
      <c r="KDE80" s="684"/>
      <c r="KDF80" s="684"/>
      <c r="KDG80" s="684"/>
      <c r="KDH80" s="684"/>
      <c r="KDI80" s="684"/>
      <c r="KDJ80" s="684"/>
      <c r="KDK80" s="684"/>
      <c r="KDL80" s="684"/>
      <c r="KDM80" s="684"/>
      <c r="KDN80" s="684"/>
      <c r="KDO80" s="684"/>
      <c r="KDP80" s="684"/>
      <c r="KDQ80" s="684"/>
      <c r="KDR80" s="684"/>
      <c r="KDS80" s="684"/>
      <c r="KDT80" s="684"/>
      <c r="KDU80" s="684"/>
      <c r="KDV80" s="684"/>
      <c r="KDW80" s="684"/>
      <c r="KDX80" s="684"/>
      <c r="KDY80" s="684"/>
      <c r="KDZ80" s="684"/>
      <c r="KEA80" s="684"/>
      <c r="KEB80" s="684"/>
      <c r="KEC80" s="684"/>
      <c r="KED80" s="684"/>
      <c r="KEE80" s="684"/>
      <c r="KEF80" s="684"/>
      <c r="KEG80" s="684"/>
      <c r="KEH80" s="684"/>
      <c r="KEI80" s="684"/>
      <c r="KEJ80" s="684"/>
      <c r="KEK80" s="684"/>
      <c r="KEL80" s="684"/>
      <c r="KEM80" s="684"/>
      <c r="KEN80" s="684"/>
      <c r="KEO80" s="684"/>
      <c r="KEP80" s="684"/>
      <c r="KEQ80" s="684"/>
      <c r="KER80" s="684"/>
      <c r="KES80" s="684"/>
      <c r="KET80" s="684"/>
      <c r="KEU80" s="684"/>
      <c r="KEV80" s="684"/>
      <c r="KEW80" s="684"/>
      <c r="KEX80" s="684"/>
      <c r="KEY80" s="684"/>
      <c r="KEZ80" s="684"/>
      <c r="KFA80" s="684"/>
      <c r="KFB80" s="684"/>
      <c r="KFC80" s="684"/>
      <c r="KFD80" s="684"/>
      <c r="KFE80" s="684"/>
      <c r="KFF80" s="684"/>
      <c r="KFG80" s="684"/>
      <c r="KFH80" s="684"/>
      <c r="KFI80" s="684"/>
      <c r="KFJ80" s="684"/>
      <c r="KFK80" s="684"/>
      <c r="KFL80" s="684"/>
      <c r="KFM80" s="684"/>
      <c r="KFN80" s="684"/>
      <c r="KFO80" s="684"/>
      <c r="KFP80" s="684"/>
      <c r="KFQ80" s="684"/>
      <c r="KFR80" s="684"/>
      <c r="KFS80" s="684"/>
      <c r="KFT80" s="684"/>
      <c r="KFU80" s="684"/>
      <c r="KFV80" s="684"/>
      <c r="KFW80" s="684"/>
      <c r="KFX80" s="684"/>
      <c r="KFY80" s="684"/>
      <c r="KFZ80" s="684"/>
      <c r="KGA80" s="684"/>
      <c r="KGB80" s="684"/>
      <c r="KGC80" s="684"/>
      <c r="KGD80" s="684"/>
      <c r="KGE80" s="684"/>
      <c r="KGF80" s="684"/>
      <c r="KGG80" s="684"/>
      <c r="KGH80" s="684"/>
      <c r="KGI80" s="684"/>
      <c r="KGJ80" s="684"/>
      <c r="KGK80" s="684"/>
      <c r="KGL80" s="684"/>
      <c r="KGM80" s="684"/>
      <c r="KGN80" s="684"/>
      <c r="KGO80" s="684"/>
      <c r="KGP80" s="684"/>
      <c r="KGQ80" s="684"/>
      <c r="KGR80" s="684"/>
      <c r="KGS80" s="684"/>
      <c r="KGT80" s="684"/>
      <c r="KGU80" s="684"/>
      <c r="KGV80" s="684"/>
      <c r="KGW80" s="684"/>
      <c r="KGX80" s="684"/>
      <c r="KGY80" s="684"/>
      <c r="KGZ80" s="684"/>
      <c r="KHA80" s="684"/>
      <c r="KHB80" s="684"/>
      <c r="KHC80" s="684"/>
      <c r="KHD80" s="684"/>
      <c r="KHE80" s="684"/>
      <c r="KHF80" s="684"/>
      <c r="KHG80" s="684"/>
      <c r="KHH80" s="684"/>
      <c r="KHI80" s="684"/>
      <c r="KHJ80" s="684"/>
      <c r="KHK80" s="684"/>
      <c r="KHL80" s="684"/>
      <c r="KHM80" s="684"/>
      <c r="KHN80" s="684"/>
      <c r="KHO80" s="684"/>
      <c r="KHP80" s="684"/>
      <c r="KHQ80" s="684"/>
      <c r="KHR80" s="684"/>
      <c r="KHS80" s="684"/>
      <c r="KHT80" s="684"/>
      <c r="KHU80" s="684"/>
      <c r="KHV80" s="684"/>
      <c r="KHW80" s="684"/>
      <c r="KHX80" s="684"/>
      <c r="KHY80" s="684"/>
      <c r="KHZ80" s="684"/>
      <c r="KIA80" s="684"/>
      <c r="KIB80" s="684"/>
      <c r="KIC80" s="684"/>
      <c r="KID80" s="684"/>
      <c r="KIE80" s="684"/>
      <c r="KIF80" s="684"/>
      <c r="KIG80" s="684"/>
      <c r="KIH80" s="684"/>
      <c r="KII80" s="684"/>
      <c r="KIJ80" s="684"/>
      <c r="KIK80" s="684"/>
      <c r="KIL80" s="684"/>
      <c r="KIM80" s="684"/>
      <c r="KIN80" s="684"/>
      <c r="KIO80" s="684"/>
      <c r="KIP80" s="684"/>
      <c r="KIQ80" s="684"/>
      <c r="KIR80" s="684"/>
      <c r="KIS80" s="684"/>
      <c r="KIT80" s="684"/>
      <c r="KIU80" s="684"/>
      <c r="KIV80" s="684"/>
      <c r="KIW80" s="684"/>
      <c r="KIX80" s="684"/>
      <c r="KIY80" s="684"/>
      <c r="KIZ80" s="684"/>
      <c r="KJA80" s="684"/>
      <c r="KJB80" s="684"/>
      <c r="KJC80" s="684"/>
      <c r="KJD80" s="684"/>
      <c r="KJE80" s="684"/>
      <c r="KJF80" s="684"/>
      <c r="KJG80" s="684"/>
      <c r="KJH80" s="684"/>
      <c r="KJI80" s="684"/>
      <c r="KJJ80" s="684"/>
      <c r="KJK80" s="684"/>
      <c r="KJL80" s="684"/>
      <c r="KJM80" s="684"/>
      <c r="KJN80" s="684"/>
      <c r="KJO80" s="684"/>
      <c r="KJP80" s="684"/>
      <c r="KJQ80" s="684"/>
      <c r="KJR80" s="684"/>
      <c r="KJS80" s="684"/>
      <c r="KJT80" s="684"/>
      <c r="KJU80" s="684"/>
      <c r="KJV80" s="684"/>
      <c r="KJW80" s="684"/>
      <c r="KJX80" s="684"/>
      <c r="KJY80" s="684"/>
      <c r="KJZ80" s="684"/>
      <c r="KKA80" s="684"/>
      <c r="KKB80" s="684"/>
      <c r="KKC80" s="684"/>
      <c r="KKD80" s="684"/>
      <c r="KKE80" s="684"/>
      <c r="KKF80" s="684"/>
      <c r="KKG80" s="684"/>
      <c r="KKH80" s="684"/>
      <c r="KKI80" s="684"/>
      <c r="KKJ80" s="684"/>
      <c r="KKK80" s="684"/>
      <c r="KKL80" s="684"/>
      <c r="KKM80" s="684"/>
      <c r="KKN80" s="684"/>
      <c r="KKO80" s="684"/>
      <c r="KKP80" s="684"/>
      <c r="KKQ80" s="684"/>
      <c r="KKR80" s="684"/>
      <c r="KKS80" s="684"/>
      <c r="KKT80" s="684"/>
      <c r="KKU80" s="684"/>
      <c r="KKV80" s="684"/>
      <c r="KKW80" s="684"/>
      <c r="KKX80" s="684"/>
      <c r="KKY80" s="684"/>
      <c r="KKZ80" s="684"/>
      <c r="KLA80" s="684"/>
      <c r="KLB80" s="684"/>
      <c r="KLC80" s="684"/>
      <c r="KLD80" s="684"/>
      <c r="KLE80" s="684"/>
      <c r="KLF80" s="684"/>
      <c r="KLG80" s="684"/>
      <c r="KLH80" s="684"/>
      <c r="KLI80" s="684"/>
      <c r="KLJ80" s="684"/>
      <c r="KLK80" s="684"/>
      <c r="KLL80" s="684"/>
      <c r="KLM80" s="684"/>
      <c r="KLN80" s="684"/>
      <c r="KLO80" s="684"/>
      <c r="KLP80" s="684"/>
      <c r="KLQ80" s="684"/>
      <c r="KLR80" s="684"/>
      <c r="KLS80" s="684"/>
      <c r="KLT80" s="684"/>
      <c r="KLU80" s="684"/>
      <c r="KLV80" s="684"/>
      <c r="KLW80" s="684"/>
      <c r="KLX80" s="684"/>
      <c r="KLY80" s="684"/>
      <c r="KLZ80" s="684"/>
      <c r="KMA80" s="684"/>
      <c r="KMB80" s="684"/>
      <c r="KMC80" s="684"/>
      <c r="KMD80" s="684"/>
      <c r="KME80" s="684"/>
      <c r="KMF80" s="684"/>
      <c r="KMG80" s="684"/>
      <c r="KMH80" s="684"/>
      <c r="KMI80" s="684"/>
      <c r="KMJ80" s="684"/>
      <c r="KMK80" s="684"/>
      <c r="KML80" s="684"/>
      <c r="KMM80" s="684"/>
      <c r="KMN80" s="684"/>
      <c r="KMO80" s="684"/>
      <c r="KMP80" s="684"/>
      <c r="KMQ80" s="684"/>
      <c r="KMR80" s="684"/>
      <c r="KMS80" s="684"/>
      <c r="KMT80" s="684"/>
      <c r="KMU80" s="684"/>
      <c r="KMV80" s="684"/>
      <c r="KMW80" s="684"/>
      <c r="KMX80" s="684"/>
      <c r="KMY80" s="684"/>
      <c r="KMZ80" s="684"/>
      <c r="KNA80" s="684"/>
      <c r="KNB80" s="684"/>
      <c r="KNC80" s="684"/>
      <c r="KND80" s="684"/>
      <c r="KNE80" s="684"/>
      <c r="KNF80" s="684"/>
      <c r="KNG80" s="684"/>
      <c r="KNH80" s="684"/>
      <c r="KNI80" s="684"/>
      <c r="KNJ80" s="684"/>
      <c r="KNK80" s="684"/>
      <c r="KNL80" s="684"/>
      <c r="KNM80" s="684"/>
      <c r="KNN80" s="684"/>
      <c r="KNO80" s="684"/>
      <c r="KNP80" s="684"/>
      <c r="KNQ80" s="684"/>
      <c r="KNR80" s="684"/>
      <c r="KNS80" s="684"/>
      <c r="KNT80" s="684"/>
      <c r="KNU80" s="684"/>
      <c r="KNV80" s="684"/>
      <c r="KNW80" s="684"/>
      <c r="KNX80" s="684"/>
      <c r="KNY80" s="684"/>
      <c r="KNZ80" s="684"/>
      <c r="KOA80" s="684"/>
      <c r="KOB80" s="684"/>
      <c r="KOC80" s="684"/>
      <c r="KOD80" s="684"/>
      <c r="KOE80" s="684"/>
      <c r="KOF80" s="684"/>
      <c r="KOG80" s="684"/>
      <c r="KOH80" s="684"/>
      <c r="KOI80" s="684"/>
      <c r="KOJ80" s="684"/>
      <c r="KOK80" s="684"/>
      <c r="KOL80" s="684"/>
      <c r="KOM80" s="684"/>
      <c r="KON80" s="684"/>
      <c r="KOO80" s="684"/>
      <c r="KOP80" s="684"/>
      <c r="KOQ80" s="684"/>
      <c r="KOR80" s="684"/>
      <c r="KOS80" s="684"/>
      <c r="KOT80" s="684"/>
      <c r="KOU80" s="684"/>
      <c r="KOV80" s="684"/>
      <c r="KOW80" s="684"/>
      <c r="KOX80" s="684"/>
      <c r="KOY80" s="684"/>
      <c r="KOZ80" s="684"/>
      <c r="KPA80" s="684"/>
      <c r="KPB80" s="684"/>
      <c r="KPC80" s="684"/>
      <c r="KPD80" s="684"/>
      <c r="KPE80" s="684"/>
      <c r="KPF80" s="684"/>
      <c r="KPG80" s="684"/>
      <c r="KPH80" s="684"/>
      <c r="KPI80" s="684"/>
      <c r="KPJ80" s="684"/>
      <c r="KPK80" s="684"/>
      <c r="KPL80" s="684"/>
      <c r="KPM80" s="684"/>
      <c r="KPN80" s="684"/>
      <c r="KPO80" s="684"/>
      <c r="KPP80" s="684"/>
      <c r="KPQ80" s="684"/>
      <c r="KPR80" s="684"/>
      <c r="KPS80" s="684"/>
      <c r="KPT80" s="684"/>
      <c r="KPU80" s="684"/>
      <c r="KPV80" s="684"/>
      <c r="KPW80" s="684"/>
      <c r="KPX80" s="684"/>
      <c r="KPY80" s="684"/>
      <c r="KPZ80" s="684"/>
      <c r="KQA80" s="684"/>
      <c r="KQB80" s="684"/>
      <c r="KQC80" s="684"/>
      <c r="KQD80" s="684"/>
      <c r="KQE80" s="684"/>
      <c r="KQF80" s="684"/>
      <c r="KQG80" s="684"/>
      <c r="KQH80" s="684"/>
      <c r="KQI80" s="684"/>
      <c r="KQJ80" s="684"/>
      <c r="KQK80" s="684"/>
      <c r="KQL80" s="684"/>
      <c r="KQM80" s="684"/>
      <c r="KQN80" s="684"/>
      <c r="KQO80" s="684"/>
      <c r="KQP80" s="684"/>
      <c r="KQQ80" s="684"/>
      <c r="KQR80" s="684"/>
      <c r="KQS80" s="684"/>
      <c r="KQT80" s="684"/>
      <c r="KQU80" s="684"/>
      <c r="KQV80" s="684"/>
      <c r="KQW80" s="684"/>
      <c r="KQX80" s="684"/>
      <c r="KQY80" s="684"/>
      <c r="KQZ80" s="684"/>
      <c r="KRA80" s="684"/>
      <c r="KRB80" s="684"/>
      <c r="KRC80" s="684"/>
      <c r="KRD80" s="684"/>
      <c r="KRE80" s="684"/>
      <c r="KRF80" s="684"/>
      <c r="KRG80" s="684"/>
      <c r="KRH80" s="684"/>
      <c r="KRI80" s="684"/>
      <c r="KRJ80" s="684"/>
      <c r="KRK80" s="684"/>
      <c r="KRL80" s="684"/>
      <c r="KRM80" s="684"/>
      <c r="KRN80" s="684"/>
      <c r="KRO80" s="684"/>
      <c r="KRP80" s="684"/>
      <c r="KRQ80" s="684"/>
      <c r="KRR80" s="684"/>
      <c r="KRS80" s="684"/>
      <c r="KRT80" s="684"/>
      <c r="KRU80" s="684"/>
      <c r="KRV80" s="684"/>
      <c r="KRW80" s="684"/>
      <c r="KRX80" s="684"/>
      <c r="KRY80" s="684"/>
      <c r="KRZ80" s="684"/>
      <c r="KSA80" s="684"/>
      <c r="KSB80" s="684"/>
      <c r="KSC80" s="684"/>
      <c r="KSD80" s="684"/>
      <c r="KSE80" s="684"/>
      <c r="KSF80" s="684"/>
      <c r="KSG80" s="684"/>
      <c r="KSH80" s="684"/>
      <c r="KSI80" s="684"/>
      <c r="KSJ80" s="684"/>
      <c r="KSK80" s="684"/>
      <c r="KSL80" s="684"/>
      <c r="KSM80" s="684"/>
      <c r="KSN80" s="684"/>
      <c r="KSO80" s="684"/>
      <c r="KSP80" s="684"/>
      <c r="KSQ80" s="684"/>
      <c r="KSR80" s="684"/>
      <c r="KSS80" s="684"/>
      <c r="KST80" s="684"/>
      <c r="KSU80" s="684"/>
      <c r="KSV80" s="684"/>
      <c r="KSW80" s="684"/>
      <c r="KSX80" s="684"/>
      <c r="KSY80" s="684"/>
      <c r="KSZ80" s="684"/>
      <c r="KTA80" s="684"/>
      <c r="KTB80" s="684"/>
      <c r="KTC80" s="684"/>
      <c r="KTD80" s="684"/>
      <c r="KTE80" s="684"/>
      <c r="KTF80" s="684"/>
      <c r="KTG80" s="684"/>
      <c r="KTH80" s="684"/>
      <c r="KTI80" s="684"/>
      <c r="KTJ80" s="684"/>
      <c r="KTK80" s="684"/>
      <c r="KTL80" s="684"/>
      <c r="KTM80" s="684"/>
      <c r="KTN80" s="684"/>
      <c r="KTO80" s="684"/>
      <c r="KTP80" s="684"/>
      <c r="KTQ80" s="684"/>
      <c r="KTR80" s="684"/>
      <c r="KTS80" s="684"/>
      <c r="KTT80" s="684"/>
      <c r="KTU80" s="684"/>
      <c r="KTV80" s="684"/>
      <c r="KTW80" s="684"/>
      <c r="KTX80" s="684"/>
      <c r="KTY80" s="684"/>
      <c r="KTZ80" s="684"/>
      <c r="KUA80" s="684"/>
      <c r="KUB80" s="684"/>
      <c r="KUC80" s="684"/>
      <c r="KUD80" s="684"/>
      <c r="KUE80" s="684"/>
      <c r="KUF80" s="684"/>
      <c r="KUG80" s="684"/>
      <c r="KUH80" s="684"/>
      <c r="KUI80" s="684"/>
      <c r="KUJ80" s="684"/>
      <c r="KUK80" s="684"/>
      <c r="KUL80" s="684"/>
      <c r="KUM80" s="684"/>
      <c r="KUN80" s="684"/>
      <c r="KUO80" s="684"/>
      <c r="KUP80" s="684"/>
      <c r="KUQ80" s="684"/>
      <c r="KUR80" s="684"/>
      <c r="KUS80" s="684"/>
      <c r="KUT80" s="684"/>
      <c r="KUU80" s="684"/>
      <c r="KUV80" s="684"/>
      <c r="KUW80" s="684"/>
      <c r="KUX80" s="684"/>
      <c r="KUY80" s="684"/>
      <c r="KUZ80" s="684"/>
      <c r="KVA80" s="684"/>
      <c r="KVB80" s="684"/>
      <c r="KVC80" s="684"/>
      <c r="KVD80" s="684"/>
      <c r="KVE80" s="684"/>
      <c r="KVF80" s="684"/>
      <c r="KVG80" s="684"/>
      <c r="KVH80" s="684"/>
      <c r="KVI80" s="684"/>
      <c r="KVJ80" s="684"/>
      <c r="KVK80" s="684"/>
      <c r="KVL80" s="684"/>
      <c r="KVM80" s="684"/>
      <c r="KVN80" s="684"/>
      <c r="KVO80" s="684"/>
      <c r="KVP80" s="684"/>
      <c r="KVQ80" s="684"/>
      <c r="KVR80" s="684"/>
      <c r="KVS80" s="684"/>
      <c r="KVT80" s="684"/>
      <c r="KVU80" s="684"/>
      <c r="KVV80" s="684"/>
      <c r="KVW80" s="684"/>
      <c r="KVX80" s="684"/>
      <c r="KVY80" s="684"/>
      <c r="KVZ80" s="684"/>
      <c r="KWA80" s="684"/>
      <c r="KWB80" s="684"/>
      <c r="KWC80" s="684"/>
      <c r="KWD80" s="684"/>
      <c r="KWE80" s="684"/>
      <c r="KWF80" s="684"/>
      <c r="KWG80" s="684"/>
      <c r="KWH80" s="684"/>
      <c r="KWI80" s="684"/>
      <c r="KWJ80" s="684"/>
      <c r="KWK80" s="684"/>
      <c r="KWL80" s="684"/>
      <c r="KWM80" s="684"/>
      <c r="KWN80" s="684"/>
      <c r="KWO80" s="684"/>
      <c r="KWP80" s="684"/>
      <c r="KWQ80" s="684"/>
      <c r="KWR80" s="684"/>
      <c r="KWS80" s="684"/>
      <c r="KWT80" s="684"/>
      <c r="KWU80" s="684"/>
      <c r="KWV80" s="684"/>
      <c r="KWW80" s="684"/>
      <c r="KWX80" s="684"/>
      <c r="KWY80" s="684"/>
      <c r="KWZ80" s="684"/>
      <c r="KXA80" s="684"/>
      <c r="KXB80" s="684"/>
      <c r="KXC80" s="684"/>
      <c r="KXD80" s="684"/>
      <c r="KXE80" s="684"/>
      <c r="KXF80" s="684"/>
      <c r="KXG80" s="684"/>
      <c r="KXH80" s="684"/>
      <c r="KXI80" s="684"/>
      <c r="KXJ80" s="684"/>
      <c r="KXK80" s="684"/>
      <c r="KXL80" s="684"/>
      <c r="KXM80" s="684"/>
      <c r="KXN80" s="684"/>
      <c r="KXO80" s="684"/>
      <c r="KXP80" s="684"/>
      <c r="KXQ80" s="684"/>
      <c r="KXR80" s="684"/>
      <c r="KXS80" s="684"/>
      <c r="KXT80" s="684"/>
      <c r="KXU80" s="684"/>
      <c r="KXV80" s="684"/>
      <c r="KXW80" s="684"/>
      <c r="KXX80" s="684"/>
      <c r="KXY80" s="684"/>
      <c r="KXZ80" s="684"/>
      <c r="KYA80" s="684"/>
      <c r="KYB80" s="684"/>
      <c r="KYC80" s="684"/>
      <c r="KYD80" s="684"/>
      <c r="KYE80" s="684"/>
      <c r="KYF80" s="684"/>
      <c r="KYG80" s="684"/>
      <c r="KYH80" s="684"/>
      <c r="KYI80" s="684"/>
      <c r="KYJ80" s="684"/>
      <c r="KYK80" s="684"/>
      <c r="KYL80" s="684"/>
      <c r="KYM80" s="684"/>
      <c r="KYN80" s="684"/>
      <c r="KYO80" s="684"/>
      <c r="KYP80" s="684"/>
      <c r="KYQ80" s="684"/>
      <c r="KYR80" s="684"/>
      <c r="KYS80" s="684"/>
      <c r="KYT80" s="684"/>
      <c r="KYU80" s="684"/>
      <c r="KYV80" s="684"/>
      <c r="KYW80" s="684"/>
      <c r="KYX80" s="684"/>
      <c r="KYY80" s="684"/>
      <c r="KYZ80" s="684"/>
      <c r="KZA80" s="684"/>
      <c r="KZB80" s="684"/>
      <c r="KZC80" s="684"/>
      <c r="KZD80" s="684"/>
      <c r="KZE80" s="684"/>
      <c r="KZF80" s="684"/>
      <c r="KZG80" s="684"/>
      <c r="KZH80" s="684"/>
      <c r="KZI80" s="684"/>
      <c r="KZJ80" s="684"/>
      <c r="KZK80" s="684"/>
      <c r="KZL80" s="684"/>
      <c r="KZM80" s="684"/>
      <c r="KZN80" s="684"/>
      <c r="KZO80" s="684"/>
      <c r="KZP80" s="684"/>
      <c r="KZQ80" s="684"/>
      <c r="KZR80" s="684"/>
      <c r="KZS80" s="684"/>
      <c r="KZT80" s="684"/>
      <c r="KZU80" s="684"/>
      <c r="KZV80" s="684"/>
      <c r="KZW80" s="684"/>
      <c r="KZX80" s="684"/>
      <c r="KZY80" s="684"/>
      <c r="KZZ80" s="684"/>
      <c r="LAA80" s="684"/>
      <c r="LAB80" s="684"/>
      <c r="LAC80" s="684"/>
      <c r="LAD80" s="684"/>
      <c r="LAE80" s="684"/>
      <c r="LAF80" s="684"/>
      <c r="LAG80" s="684"/>
      <c r="LAH80" s="684"/>
      <c r="LAI80" s="684"/>
      <c r="LAJ80" s="684"/>
      <c r="LAK80" s="684"/>
      <c r="LAL80" s="684"/>
      <c r="LAM80" s="684"/>
      <c r="LAN80" s="684"/>
      <c r="LAO80" s="684"/>
      <c r="LAP80" s="684"/>
      <c r="LAQ80" s="684"/>
      <c r="LAR80" s="684"/>
      <c r="LAS80" s="684"/>
      <c r="LAT80" s="684"/>
      <c r="LAU80" s="684"/>
      <c r="LAV80" s="684"/>
      <c r="LAW80" s="684"/>
      <c r="LAX80" s="684"/>
      <c r="LAY80" s="684"/>
      <c r="LAZ80" s="684"/>
      <c r="LBA80" s="684"/>
      <c r="LBB80" s="684"/>
      <c r="LBC80" s="684"/>
      <c r="LBD80" s="684"/>
      <c r="LBE80" s="684"/>
      <c r="LBF80" s="684"/>
      <c r="LBG80" s="684"/>
      <c r="LBH80" s="684"/>
      <c r="LBI80" s="684"/>
      <c r="LBJ80" s="684"/>
      <c r="LBK80" s="684"/>
      <c r="LBL80" s="684"/>
      <c r="LBM80" s="684"/>
      <c r="LBN80" s="684"/>
      <c r="LBO80" s="684"/>
      <c r="LBP80" s="684"/>
      <c r="LBQ80" s="684"/>
      <c r="LBR80" s="684"/>
      <c r="LBS80" s="684"/>
      <c r="LBT80" s="684"/>
      <c r="LBU80" s="684"/>
      <c r="LBV80" s="684"/>
      <c r="LBW80" s="684"/>
      <c r="LBX80" s="684"/>
      <c r="LBY80" s="684"/>
      <c r="LBZ80" s="684"/>
      <c r="LCA80" s="684"/>
      <c r="LCB80" s="684"/>
      <c r="LCC80" s="684"/>
      <c r="LCD80" s="684"/>
      <c r="LCE80" s="684"/>
      <c r="LCF80" s="684"/>
      <c r="LCG80" s="684"/>
      <c r="LCH80" s="684"/>
      <c r="LCI80" s="684"/>
      <c r="LCJ80" s="684"/>
      <c r="LCK80" s="684"/>
      <c r="LCL80" s="684"/>
      <c r="LCM80" s="684"/>
      <c r="LCN80" s="684"/>
      <c r="LCO80" s="684"/>
      <c r="LCP80" s="684"/>
      <c r="LCQ80" s="684"/>
      <c r="LCR80" s="684"/>
      <c r="LCS80" s="684"/>
      <c r="LCT80" s="684"/>
      <c r="LCU80" s="684"/>
      <c r="LCV80" s="684"/>
      <c r="LCW80" s="684"/>
      <c r="LCX80" s="684"/>
      <c r="LCY80" s="684"/>
      <c r="LCZ80" s="684"/>
      <c r="LDA80" s="684"/>
      <c r="LDB80" s="684"/>
      <c r="LDC80" s="684"/>
      <c r="LDD80" s="684"/>
      <c r="LDE80" s="684"/>
      <c r="LDF80" s="684"/>
      <c r="LDG80" s="684"/>
      <c r="LDH80" s="684"/>
      <c r="LDI80" s="684"/>
      <c r="LDJ80" s="684"/>
      <c r="LDK80" s="684"/>
      <c r="LDL80" s="684"/>
      <c r="LDM80" s="684"/>
      <c r="LDN80" s="684"/>
      <c r="LDO80" s="684"/>
      <c r="LDP80" s="684"/>
      <c r="LDQ80" s="684"/>
      <c r="LDR80" s="684"/>
      <c r="LDS80" s="684"/>
      <c r="LDT80" s="684"/>
      <c r="LDU80" s="684"/>
      <c r="LDV80" s="684"/>
      <c r="LDW80" s="684"/>
      <c r="LDX80" s="684"/>
      <c r="LDY80" s="684"/>
      <c r="LDZ80" s="684"/>
      <c r="LEA80" s="684"/>
      <c r="LEB80" s="684"/>
      <c r="LEC80" s="684"/>
      <c r="LED80" s="684"/>
      <c r="LEE80" s="684"/>
      <c r="LEF80" s="684"/>
      <c r="LEG80" s="684"/>
      <c r="LEH80" s="684"/>
      <c r="LEI80" s="684"/>
      <c r="LEJ80" s="684"/>
      <c r="LEK80" s="684"/>
      <c r="LEL80" s="684"/>
      <c r="LEM80" s="684"/>
      <c r="LEN80" s="684"/>
      <c r="LEO80" s="684"/>
      <c r="LEP80" s="684"/>
      <c r="LEQ80" s="684"/>
      <c r="LER80" s="684"/>
      <c r="LES80" s="684"/>
      <c r="LET80" s="684"/>
      <c r="LEU80" s="684"/>
      <c r="LEV80" s="684"/>
      <c r="LEW80" s="684"/>
      <c r="LEX80" s="684"/>
      <c r="LEY80" s="684"/>
      <c r="LEZ80" s="684"/>
      <c r="LFA80" s="684"/>
      <c r="LFB80" s="684"/>
      <c r="LFC80" s="684"/>
      <c r="LFD80" s="684"/>
      <c r="LFE80" s="684"/>
      <c r="LFF80" s="684"/>
      <c r="LFG80" s="684"/>
      <c r="LFH80" s="684"/>
      <c r="LFI80" s="684"/>
      <c r="LFJ80" s="684"/>
      <c r="LFK80" s="684"/>
      <c r="LFL80" s="684"/>
      <c r="LFM80" s="684"/>
      <c r="LFN80" s="684"/>
      <c r="LFO80" s="684"/>
      <c r="LFP80" s="684"/>
      <c r="LFQ80" s="684"/>
      <c r="LFR80" s="684"/>
      <c r="LFS80" s="684"/>
      <c r="LFT80" s="684"/>
      <c r="LFU80" s="684"/>
      <c r="LFV80" s="684"/>
      <c r="LFW80" s="684"/>
      <c r="LFX80" s="684"/>
      <c r="LFY80" s="684"/>
      <c r="LFZ80" s="684"/>
      <c r="LGA80" s="684"/>
      <c r="LGB80" s="684"/>
      <c r="LGC80" s="684"/>
      <c r="LGD80" s="684"/>
      <c r="LGE80" s="684"/>
      <c r="LGF80" s="684"/>
      <c r="LGG80" s="684"/>
      <c r="LGH80" s="684"/>
      <c r="LGI80" s="684"/>
      <c r="LGJ80" s="684"/>
      <c r="LGK80" s="684"/>
      <c r="LGL80" s="684"/>
      <c r="LGM80" s="684"/>
      <c r="LGN80" s="684"/>
      <c r="LGO80" s="684"/>
      <c r="LGP80" s="684"/>
      <c r="LGQ80" s="684"/>
      <c r="LGR80" s="684"/>
      <c r="LGS80" s="684"/>
      <c r="LGT80" s="684"/>
      <c r="LGU80" s="684"/>
      <c r="LGV80" s="684"/>
      <c r="LGW80" s="684"/>
      <c r="LGX80" s="684"/>
      <c r="LGY80" s="684"/>
      <c r="LGZ80" s="684"/>
      <c r="LHA80" s="684"/>
      <c r="LHB80" s="684"/>
      <c r="LHC80" s="684"/>
      <c r="LHD80" s="684"/>
      <c r="LHE80" s="684"/>
      <c r="LHF80" s="684"/>
      <c r="LHG80" s="684"/>
      <c r="LHH80" s="684"/>
      <c r="LHI80" s="684"/>
      <c r="LHJ80" s="684"/>
      <c r="LHK80" s="684"/>
      <c r="LHL80" s="684"/>
      <c r="LHM80" s="684"/>
      <c r="LHN80" s="684"/>
      <c r="LHO80" s="684"/>
      <c r="LHP80" s="684"/>
      <c r="LHQ80" s="684"/>
      <c r="LHR80" s="684"/>
      <c r="LHS80" s="684"/>
      <c r="LHT80" s="684"/>
      <c r="LHU80" s="684"/>
      <c r="LHV80" s="684"/>
      <c r="LHW80" s="684"/>
      <c r="LHX80" s="684"/>
      <c r="LHY80" s="684"/>
      <c r="LHZ80" s="684"/>
      <c r="LIA80" s="684"/>
      <c r="LIB80" s="684"/>
      <c r="LIC80" s="684"/>
      <c r="LID80" s="684"/>
      <c r="LIE80" s="684"/>
      <c r="LIF80" s="684"/>
      <c r="LIG80" s="684"/>
      <c r="LIH80" s="684"/>
      <c r="LII80" s="684"/>
      <c r="LIJ80" s="684"/>
      <c r="LIK80" s="684"/>
      <c r="LIL80" s="684"/>
      <c r="LIM80" s="684"/>
      <c r="LIN80" s="684"/>
      <c r="LIO80" s="684"/>
      <c r="LIP80" s="684"/>
      <c r="LIQ80" s="684"/>
      <c r="LIR80" s="684"/>
      <c r="LIS80" s="684"/>
      <c r="LIT80" s="684"/>
      <c r="LIU80" s="684"/>
      <c r="LIV80" s="684"/>
      <c r="LIW80" s="684"/>
      <c r="LIX80" s="684"/>
      <c r="LIY80" s="684"/>
      <c r="LIZ80" s="684"/>
      <c r="LJA80" s="684"/>
      <c r="LJB80" s="684"/>
      <c r="LJC80" s="684"/>
      <c r="LJD80" s="684"/>
      <c r="LJE80" s="684"/>
      <c r="LJF80" s="684"/>
      <c r="LJG80" s="684"/>
      <c r="LJH80" s="684"/>
      <c r="LJI80" s="684"/>
      <c r="LJJ80" s="684"/>
      <c r="LJK80" s="684"/>
      <c r="LJL80" s="684"/>
      <c r="LJM80" s="684"/>
      <c r="LJN80" s="684"/>
      <c r="LJO80" s="684"/>
      <c r="LJP80" s="684"/>
      <c r="LJQ80" s="684"/>
      <c r="LJR80" s="684"/>
      <c r="LJS80" s="684"/>
      <c r="LJT80" s="684"/>
      <c r="LJU80" s="684"/>
      <c r="LJV80" s="684"/>
      <c r="LJW80" s="684"/>
      <c r="LJX80" s="684"/>
      <c r="LJY80" s="684"/>
      <c r="LJZ80" s="684"/>
      <c r="LKA80" s="684"/>
      <c r="LKB80" s="684"/>
      <c r="LKC80" s="684"/>
      <c r="LKD80" s="684"/>
      <c r="LKE80" s="684"/>
      <c r="LKF80" s="684"/>
      <c r="LKG80" s="684"/>
      <c r="LKH80" s="684"/>
      <c r="LKI80" s="684"/>
      <c r="LKJ80" s="684"/>
      <c r="LKK80" s="684"/>
      <c r="LKL80" s="684"/>
      <c r="LKM80" s="684"/>
      <c r="LKN80" s="684"/>
      <c r="LKO80" s="684"/>
      <c r="LKP80" s="684"/>
      <c r="LKQ80" s="684"/>
      <c r="LKR80" s="684"/>
      <c r="LKS80" s="684"/>
      <c r="LKT80" s="684"/>
      <c r="LKU80" s="684"/>
      <c r="LKV80" s="684"/>
      <c r="LKW80" s="684"/>
      <c r="LKX80" s="684"/>
      <c r="LKY80" s="684"/>
      <c r="LKZ80" s="684"/>
      <c r="LLA80" s="684"/>
      <c r="LLB80" s="684"/>
      <c r="LLC80" s="684"/>
      <c r="LLD80" s="684"/>
      <c r="LLE80" s="684"/>
      <c r="LLF80" s="684"/>
      <c r="LLG80" s="684"/>
      <c r="LLH80" s="684"/>
      <c r="LLI80" s="684"/>
      <c r="LLJ80" s="684"/>
      <c r="LLK80" s="684"/>
      <c r="LLL80" s="684"/>
      <c r="LLM80" s="684"/>
      <c r="LLN80" s="684"/>
      <c r="LLO80" s="684"/>
      <c r="LLP80" s="684"/>
      <c r="LLQ80" s="684"/>
      <c r="LLR80" s="684"/>
      <c r="LLS80" s="684"/>
      <c r="LLT80" s="684"/>
      <c r="LLU80" s="684"/>
      <c r="LLV80" s="684"/>
      <c r="LLW80" s="684"/>
      <c r="LLX80" s="684"/>
      <c r="LLY80" s="684"/>
      <c r="LLZ80" s="684"/>
      <c r="LMA80" s="684"/>
      <c r="LMB80" s="684"/>
      <c r="LMC80" s="684"/>
      <c r="LMD80" s="684"/>
      <c r="LME80" s="684"/>
      <c r="LMF80" s="684"/>
      <c r="LMG80" s="684"/>
      <c r="LMH80" s="684"/>
      <c r="LMI80" s="684"/>
      <c r="LMJ80" s="684"/>
      <c r="LMK80" s="684"/>
      <c r="LML80" s="684"/>
      <c r="LMM80" s="684"/>
      <c r="LMN80" s="684"/>
      <c r="LMO80" s="684"/>
      <c r="LMP80" s="684"/>
      <c r="LMQ80" s="684"/>
      <c r="LMR80" s="684"/>
      <c r="LMS80" s="684"/>
      <c r="LMT80" s="684"/>
      <c r="LMU80" s="684"/>
      <c r="LMV80" s="684"/>
      <c r="LMW80" s="684"/>
      <c r="LMX80" s="684"/>
      <c r="LMY80" s="684"/>
      <c r="LMZ80" s="684"/>
      <c r="LNA80" s="684"/>
      <c r="LNB80" s="684"/>
      <c r="LNC80" s="684"/>
      <c r="LND80" s="684"/>
      <c r="LNE80" s="684"/>
      <c r="LNF80" s="684"/>
      <c r="LNG80" s="684"/>
      <c r="LNH80" s="684"/>
      <c r="LNI80" s="684"/>
      <c r="LNJ80" s="684"/>
      <c r="LNK80" s="684"/>
      <c r="LNL80" s="684"/>
      <c r="LNM80" s="684"/>
      <c r="LNN80" s="684"/>
      <c r="LNO80" s="684"/>
      <c r="LNP80" s="684"/>
      <c r="LNQ80" s="684"/>
      <c r="LNR80" s="684"/>
      <c r="LNS80" s="684"/>
      <c r="LNT80" s="684"/>
      <c r="LNU80" s="684"/>
      <c r="LNV80" s="684"/>
      <c r="LNW80" s="684"/>
      <c r="LNX80" s="684"/>
      <c r="LNY80" s="684"/>
      <c r="LNZ80" s="684"/>
      <c r="LOA80" s="684"/>
      <c r="LOB80" s="684"/>
      <c r="LOC80" s="684"/>
      <c r="LOD80" s="684"/>
      <c r="LOE80" s="684"/>
      <c r="LOF80" s="684"/>
      <c r="LOG80" s="684"/>
      <c r="LOH80" s="684"/>
      <c r="LOI80" s="684"/>
      <c r="LOJ80" s="684"/>
      <c r="LOK80" s="684"/>
      <c r="LOL80" s="684"/>
      <c r="LOM80" s="684"/>
      <c r="LON80" s="684"/>
      <c r="LOO80" s="684"/>
      <c r="LOP80" s="684"/>
      <c r="LOQ80" s="684"/>
      <c r="LOR80" s="684"/>
      <c r="LOS80" s="684"/>
      <c r="LOT80" s="684"/>
      <c r="LOU80" s="684"/>
      <c r="LOV80" s="684"/>
      <c r="LOW80" s="684"/>
      <c r="LOX80" s="684"/>
      <c r="LOY80" s="684"/>
      <c r="LOZ80" s="684"/>
      <c r="LPA80" s="684"/>
      <c r="LPB80" s="684"/>
      <c r="LPC80" s="684"/>
      <c r="LPD80" s="684"/>
      <c r="LPE80" s="684"/>
      <c r="LPF80" s="684"/>
      <c r="LPG80" s="684"/>
      <c r="LPH80" s="684"/>
      <c r="LPI80" s="684"/>
      <c r="LPJ80" s="684"/>
      <c r="LPK80" s="684"/>
      <c r="LPL80" s="684"/>
      <c r="LPM80" s="684"/>
      <c r="LPN80" s="684"/>
      <c r="LPO80" s="684"/>
      <c r="LPP80" s="684"/>
      <c r="LPQ80" s="684"/>
      <c r="LPR80" s="684"/>
      <c r="LPS80" s="684"/>
      <c r="LPT80" s="684"/>
      <c r="LPU80" s="684"/>
      <c r="LPV80" s="684"/>
      <c r="LPW80" s="684"/>
      <c r="LPX80" s="684"/>
      <c r="LPY80" s="684"/>
      <c r="LPZ80" s="684"/>
      <c r="LQA80" s="684"/>
      <c r="LQB80" s="684"/>
      <c r="LQC80" s="684"/>
      <c r="LQD80" s="684"/>
      <c r="LQE80" s="684"/>
      <c r="LQF80" s="684"/>
      <c r="LQG80" s="684"/>
      <c r="LQH80" s="684"/>
      <c r="LQI80" s="684"/>
      <c r="LQJ80" s="684"/>
      <c r="LQK80" s="684"/>
      <c r="LQL80" s="684"/>
      <c r="LQM80" s="684"/>
      <c r="LQN80" s="684"/>
      <c r="LQO80" s="684"/>
      <c r="LQP80" s="684"/>
      <c r="LQQ80" s="684"/>
      <c r="LQR80" s="684"/>
      <c r="LQS80" s="684"/>
      <c r="LQT80" s="684"/>
      <c r="LQU80" s="684"/>
      <c r="LQV80" s="684"/>
      <c r="LQW80" s="684"/>
      <c r="LQX80" s="684"/>
      <c r="LQY80" s="684"/>
      <c r="LQZ80" s="684"/>
      <c r="LRA80" s="684"/>
      <c r="LRB80" s="684"/>
      <c r="LRC80" s="684"/>
      <c r="LRD80" s="684"/>
      <c r="LRE80" s="684"/>
      <c r="LRF80" s="684"/>
      <c r="LRG80" s="684"/>
      <c r="LRH80" s="684"/>
      <c r="LRI80" s="684"/>
      <c r="LRJ80" s="684"/>
      <c r="LRK80" s="684"/>
      <c r="LRL80" s="684"/>
      <c r="LRM80" s="684"/>
      <c r="LRN80" s="684"/>
      <c r="LRO80" s="684"/>
      <c r="LRP80" s="684"/>
      <c r="LRQ80" s="684"/>
      <c r="LRR80" s="684"/>
      <c r="LRS80" s="684"/>
      <c r="LRT80" s="684"/>
      <c r="LRU80" s="684"/>
      <c r="LRV80" s="684"/>
      <c r="LRW80" s="684"/>
      <c r="LRX80" s="684"/>
      <c r="LRY80" s="684"/>
      <c r="LRZ80" s="684"/>
      <c r="LSA80" s="684"/>
      <c r="LSB80" s="684"/>
      <c r="LSC80" s="684"/>
      <c r="LSD80" s="684"/>
      <c r="LSE80" s="684"/>
      <c r="LSF80" s="684"/>
      <c r="LSG80" s="684"/>
      <c r="LSH80" s="684"/>
      <c r="LSI80" s="684"/>
      <c r="LSJ80" s="684"/>
      <c r="LSK80" s="684"/>
      <c r="LSL80" s="684"/>
      <c r="LSM80" s="684"/>
      <c r="LSN80" s="684"/>
      <c r="LSO80" s="684"/>
      <c r="LSP80" s="684"/>
      <c r="LSQ80" s="684"/>
      <c r="LSR80" s="684"/>
      <c r="LSS80" s="684"/>
      <c r="LST80" s="684"/>
      <c r="LSU80" s="684"/>
      <c r="LSV80" s="684"/>
      <c r="LSW80" s="684"/>
      <c r="LSX80" s="684"/>
      <c r="LSY80" s="684"/>
      <c r="LSZ80" s="684"/>
      <c r="LTA80" s="684"/>
      <c r="LTB80" s="684"/>
      <c r="LTC80" s="684"/>
      <c r="LTD80" s="684"/>
      <c r="LTE80" s="684"/>
      <c r="LTF80" s="684"/>
      <c r="LTG80" s="684"/>
      <c r="LTH80" s="684"/>
      <c r="LTI80" s="684"/>
      <c r="LTJ80" s="684"/>
      <c r="LTK80" s="684"/>
      <c r="LTL80" s="684"/>
      <c r="LTM80" s="684"/>
      <c r="LTN80" s="684"/>
      <c r="LTO80" s="684"/>
      <c r="LTP80" s="684"/>
      <c r="LTQ80" s="684"/>
      <c r="LTR80" s="684"/>
      <c r="LTS80" s="684"/>
      <c r="LTT80" s="684"/>
      <c r="LTU80" s="684"/>
      <c r="LTV80" s="684"/>
      <c r="LTW80" s="684"/>
      <c r="LTX80" s="684"/>
      <c r="LTY80" s="684"/>
      <c r="LTZ80" s="684"/>
      <c r="LUA80" s="684"/>
      <c r="LUB80" s="684"/>
      <c r="LUC80" s="684"/>
      <c r="LUD80" s="684"/>
      <c r="LUE80" s="684"/>
      <c r="LUF80" s="684"/>
      <c r="LUG80" s="684"/>
      <c r="LUH80" s="684"/>
      <c r="LUI80" s="684"/>
      <c r="LUJ80" s="684"/>
      <c r="LUK80" s="684"/>
      <c r="LUL80" s="684"/>
      <c r="LUM80" s="684"/>
      <c r="LUN80" s="684"/>
      <c r="LUO80" s="684"/>
      <c r="LUP80" s="684"/>
      <c r="LUQ80" s="684"/>
      <c r="LUR80" s="684"/>
      <c r="LUS80" s="684"/>
      <c r="LUT80" s="684"/>
      <c r="LUU80" s="684"/>
      <c r="LUV80" s="684"/>
      <c r="LUW80" s="684"/>
      <c r="LUX80" s="684"/>
      <c r="LUY80" s="684"/>
      <c r="LUZ80" s="684"/>
      <c r="LVA80" s="684"/>
      <c r="LVB80" s="684"/>
      <c r="LVC80" s="684"/>
      <c r="LVD80" s="684"/>
      <c r="LVE80" s="684"/>
      <c r="LVF80" s="684"/>
      <c r="LVG80" s="684"/>
      <c r="LVH80" s="684"/>
      <c r="LVI80" s="684"/>
      <c r="LVJ80" s="684"/>
      <c r="LVK80" s="684"/>
      <c r="LVL80" s="684"/>
      <c r="LVM80" s="684"/>
      <c r="LVN80" s="684"/>
      <c r="LVO80" s="684"/>
      <c r="LVP80" s="684"/>
      <c r="LVQ80" s="684"/>
      <c r="LVR80" s="684"/>
      <c r="LVS80" s="684"/>
      <c r="LVT80" s="684"/>
      <c r="LVU80" s="684"/>
      <c r="LVV80" s="684"/>
      <c r="LVW80" s="684"/>
      <c r="LVX80" s="684"/>
      <c r="LVY80" s="684"/>
      <c r="LVZ80" s="684"/>
      <c r="LWA80" s="684"/>
      <c r="LWB80" s="684"/>
      <c r="LWC80" s="684"/>
      <c r="LWD80" s="684"/>
      <c r="LWE80" s="684"/>
      <c r="LWF80" s="684"/>
      <c r="LWG80" s="684"/>
      <c r="LWH80" s="684"/>
      <c r="LWI80" s="684"/>
      <c r="LWJ80" s="684"/>
      <c r="LWK80" s="684"/>
      <c r="LWL80" s="684"/>
      <c r="LWM80" s="684"/>
      <c r="LWN80" s="684"/>
      <c r="LWO80" s="684"/>
      <c r="LWP80" s="684"/>
      <c r="LWQ80" s="684"/>
      <c r="LWR80" s="684"/>
      <c r="LWS80" s="684"/>
      <c r="LWT80" s="684"/>
      <c r="LWU80" s="684"/>
      <c r="LWV80" s="684"/>
      <c r="LWW80" s="684"/>
      <c r="LWX80" s="684"/>
      <c r="LWY80" s="684"/>
      <c r="LWZ80" s="684"/>
      <c r="LXA80" s="684"/>
      <c r="LXB80" s="684"/>
      <c r="LXC80" s="684"/>
      <c r="LXD80" s="684"/>
      <c r="LXE80" s="684"/>
      <c r="LXF80" s="684"/>
      <c r="LXG80" s="684"/>
      <c r="LXH80" s="684"/>
      <c r="LXI80" s="684"/>
      <c r="LXJ80" s="684"/>
      <c r="LXK80" s="684"/>
      <c r="LXL80" s="684"/>
      <c r="LXM80" s="684"/>
      <c r="LXN80" s="684"/>
      <c r="LXO80" s="684"/>
      <c r="LXP80" s="684"/>
      <c r="LXQ80" s="684"/>
      <c r="LXR80" s="684"/>
      <c r="LXS80" s="684"/>
      <c r="LXT80" s="684"/>
      <c r="LXU80" s="684"/>
      <c r="LXV80" s="684"/>
      <c r="LXW80" s="684"/>
      <c r="LXX80" s="684"/>
      <c r="LXY80" s="684"/>
      <c r="LXZ80" s="684"/>
      <c r="LYA80" s="684"/>
      <c r="LYB80" s="684"/>
      <c r="LYC80" s="684"/>
      <c r="LYD80" s="684"/>
      <c r="LYE80" s="684"/>
      <c r="LYF80" s="684"/>
      <c r="LYG80" s="684"/>
      <c r="LYH80" s="684"/>
      <c r="LYI80" s="684"/>
      <c r="LYJ80" s="684"/>
      <c r="LYK80" s="684"/>
      <c r="LYL80" s="684"/>
      <c r="LYM80" s="684"/>
      <c r="LYN80" s="684"/>
      <c r="LYO80" s="684"/>
      <c r="LYP80" s="684"/>
      <c r="LYQ80" s="684"/>
      <c r="LYR80" s="684"/>
      <c r="LYS80" s="684"/>
      <c r="LYT80" s="684"/>
      <c r="LYU80" s="684"/>
      <c r="LYV80" s="684"/>
      <c r="LYW80" s="684"/>
      <c r="LYX80" s="684"/>
      <c r="LYY80" s="684"/>
      <c r="LYZ80" s="684"/>
      <c r="LZA80" s="684"/>
      <c r="LZB80" s="684"/>
      <c r="LZC80" s="684"/>
      <c r="LZD80" s="684"/>
      <c r="LZE80" s="684"/>
      <c r="LZF80" s="684"/>
      <c r="LZG80" s="684"/>
      <c r="LZH80" s="684"/>
      <c r="LZI80" s="684"/>
      <c r="LZJ80" s="684"/>
      <c r="LZK80" s="684"/>
      <c r="LZL80" s="684"/>
      <c r="LZM80" s="684"/>
      <c r="LZN80" s="684"/>
      <c r="LZO80" s="684"/>
      <c r="LZP80" s="684"/>
      <c r="LZQ80" s="684"/>
      <c r="LZR80" s="684"/>
      <c r="LZS80" s="684"/>
      <c r="LZT80" s="684"/>
      <c r="LZU80" s="684"/>
      <c r="LZV80" s="684"/>
      <c r="LZW80" s="684"/>
      <c r="LZX80" s="684"/>
      <c r="LZY80" s="684"/>
      <c r="LZZ80" s="684"/>
      <c r="MAA80" s="684"/>
      <c r="MAB80" s="684"/>
      <c r="MAC80" s="684"/>
      <c r="MAD80" s="684"/>
      <c r="MAE80" s="684"/>
      <c r="MAF80" s="684"/>
      <c r="MAG80" s="684"/>
      <c r="MAH80" s="684"/>
      <c r="MAI80" s="684"/>
      <c r="MAJ80" s="684"/>
      <c r="MAK80" s="684"/>
      <c r="MAL80" s="684"/>
      <c r="MAM80" s="684"/>
      <c r="MAN80" s="684"/>
      <c r="MAO80" s="684"/>
      <c r="MAP80" s="684"/>
      <c r="MAQ80" s="684"/>
      <c r="MAR80" s="684"/>
      <c r="MAS80" s="684"/>
      <c r="MAT80" s="684"/>
      <c r="MAU80" s="684"/>
      <c r="MAV80" s="684"/>
      <c r="MAW80" s="684"/>
      <c r="MAX80" s="684"/>
      <c r="MAY80" s="684"/>
      <c r="MAZ80" s="684"/>
      <c r="MBA80" s="684"/>
      <c r="MBB80" s="684"/>
      <c r="MBC80" s="684"/>
      <c r="MBD80" s="684"/>
      <c r="MBE80" s="684"/>
      <c r="MBF80" s="684"/>
      <c r="MBG80" s="684"/>
      <c r="MBH80" s="684"/>
      <c r="MBI80" s="684"/>
      <c r="MBJ80" s="684"/>
      <c r="MBK80" s="684"/>
      <c r="MBL80" s="684"/>
      <c r="MBM80" s="684"/>
      <c r="MBN80" s="684"/>
      <c r="MBO80" s="684"/>
      <c r="MBP80" s="684"/>
      <c r="MBQ80" s="684"/>
      <c r="MBR80" s="684"/>
      <c r="MBS80" s="684"/>
      <c r="MBT80" s="684"/>
      <c r="MBU80" s="684"/>
      <c r="MBV80" s="684"/>
      <c r="MBW80" s="684"/>
      <c r="MBX80" s="684"/>
      <c r="MBY80" s="684"/>
      <c r="MBZ80" s="684"/>
      <c r="MCA80" s="684"/>
      <c r="MCB80" s="684"/>
      <c r="MCC80" s="684"/>
      <c r="MCD80" s="684"/>
      <c r="MCE80" s="684"/>
      <c r="MCF80" s="684"/>
      <c r="MCG80" s="684"/>
      <c r="MCH80" s="684"/>
      <c r="MCI80" s="684"/>
      <c r="MCJ80" s="684"/>
      <c r="MCK80" s="684"/>
      <c r="MCL80" s="684"/>
      <c r="MCM80" s="684"/>
      <c r="MCN80" s="684"/>
      <c r="MCO80" s="684"/>
      <c r="MCP80" s="684"/>
      <c r="MCQ80" s="684"/>
      <c r="MCR80" s="684"/>
      <c r="MCS80" s="684"/>
      <c r="MCT80" s="684"/>
      <c r="MCU80" s="684"/>
      <c r="MCV80" s="684"/>
      <c r="MCW80" s="684"/>
      <c r="MCX80" s="684"/>
      <c r="MCY80" s="684"/>
      <c r="MCZ80" s="684"/>
      <c r="MDA80" s="684"/>
      <c r="MDB80" s="684"/>
      <c r="MDC80" s="684"/>
      <c r="MDD80" s="684"/>
      <c r="MDE80" s="684"/>
      <c r="MDF80" s="684"/>
      <c r="MDG80" s="684"/>
      <c r="MDH80" s="684"/>
      <c r="MDI80" s="684"/>
      <c r="MDJ80" s="684"/>
      <c r="MDK80" s="684"/>
      <c r="MDL80" s="684"/>
      <c r="MDM80" s="684"/>
      <c r="MDN80" s="684"/>
      <c r="MDO80" s="684"/>
      <c r="MDP80" s="684"/>
      <c r="MDQ80" s="684"/>
      <c r="MDR80" s="684"/>
      <c r="MDS80" s="684"/>
      <c r="MDT80" s="684"/>
      <c r="MDU80" s="684"/>
      <c r="MDV80" s="684"/>
      <c r="MDW80" s="684"/>
      <c r="MDX80" s="684"/>
      <c r="MDY80" s="684"/>
      <c r="MDZ80" s="684"/>
      <c r="MEA80" s="684"/>
      <c r="MEB80" s="684"/>
      <c r="MEC80" s="684"/>
      <c r="MED80" s="684"/>
      <c r="MEE80" s="684"/>
      <c r="MEF80" s="684"/>
      <c r="MEG80" s="684"/>
      <c r="MEH80" s="684"/>
      <c r="MEI80" s="684"/>
      <c r="MEJ80" s="684"/>
      <c r="MEK80" s="684"/>
      <c r="MEL80" s="684"/>
      <c r="MEM80" s="684"/>
      <c r="MEN80" s="684"/>
      <c r="MEO80" s="684"/>
      <c r="MEP80" s="684"/>
      <c r="MEQ80" s="684"/>
      <c r="MER80" s="684"/>
      <c r="MES80" s="684"/>
      <c r="MET80" s="684"/>
      <c r="MEU80" s="684"/>
      <c r="MEV80" s="684"/>
      <c r="MEW80" s="684"/>
      <c r="MEX80" s="684"/>
      <c r="MEY80" s="684"/>
      <c r="MEZ80" s="684"/>
      <c r="MFA80" s="684"/>
      <c r="MFB80" s="684"/>
      <c r="MFC80" s="684"/>
      <c r="MFD80" s="684"/>
      <c r="MFE80" s="684"/>
      <c r="MFF80" s="684"/>
      <c r="MFG80" s="684"/>
      <c r="MFH80" s="684"/>
      <c r="MFI80" s="684"/>
      <c r="MFJ80" s="684"/>
      <c r="MFK80" s="684"/>
      <c r="MFL80" s="684"/>
      <c r="MFM80" s="684"/>
      <c r="MFN80" s="684"/>
      <c r="MFO80" s="684"/>
      <c r="MFP80" s="684"/>
      <c r="MFQ80" s="684"/>
      <c r="MFR80" s="684"/>
      <c r="MFS80" s="684"/>
      <c r="MFT80" s="684"/>
      <c r="MFU80" s="684"/>
      <c r="MFV80" s="684"/>
      <c r="MFW80" s="684"/>
      <c r="MFX80" s="684"/>
      <c r="MFY80" s="684"/>
      <c r="MFZ80" s="684"/>
      <c r="MGA80" s="684"/>
      <c r="MGB80" s="684"/>
      <c r="MGC80" s="684"/>
      <c r="MGD80" s="684"/>
      <c r="MGE80" s="684"/>
      <c r="MGF80" s="684"/>
      <c r="MGG80" s="684"/>
      <c r="MGH80" s="684"/>
      <c r="MGI80" s="684"/>
      <c r="MGJ80" s="684"/>
      <c r="MGK80" s="684"/>
      <c r="MGL80" s="684"/>
      <c r="MGM80" s="684"/>
      <c r="MGN80" s="684"/>
      <c r="MGO80" s="684"/>
      <c r="MGP80" s="684"/>
      <c r="MGQ80" s="684"/>
      <c r="MGR80" s="684"/>
      <c r="MGS80" s="684"/>
      <c r="MGT80" s="684"/>
      <c r="MGU80" s="684"/>
      <c r="MGV80" s="684"/>
      <c r="MGW80" s="684"/>
      <c r="MGX80" s="684"/>
      <c r="MGY80" s="684"/>
      <c r="MGZ80" s="684"/>
      <c r="MHA80" s="684"/>
      <c r="MHB80" s="684"/>
      <c r="MHC80" s="684"/>
      <c r="MHD80" s="684"/>
      <c r="MHE80" s="684"/>
      <c r="MHF80" s="684"/>
      <c r="MHG80" s="684"/>
      <c r="MHH80" s="684"/>
      <c r="MHI80" s="684"/>
      <c r="MHJ80" s="684"/>
      <c r="MHK80" s="684"/>
      <c r="MHL80" s="684"/>
      <c r="MHM80" s="684"/>
      <c r="MHN80" s="684"/>
      <c r="MHO80" s="684"/>
      <c r="MHP80" s="684"/>
      <c r="MHQ80" s="684"/>
      <c r="MHR80" s="684"/>
      <c r="MHS80" s="684"/>
      <c r="MHT80" s="684"/>
      <c r="MHU80" s="684"/>
      <c r="MHV80" s="684"/>
      <c r="MHW80" s="684"/>
      <c r="MHX80" s="684"/>
      <c r="MHY80" s="684"/>
      <c r="MHZ80" s="684"/>
      <c r="MIA80" s="684"/>
      <c r="MIB80" s="684"/>
      <c r="MIC80" s="684"/>
      <c r="MID80" s="684"/>
      <c r="MIE80" s="684"/>
      <c r="MIF80" s="684"/>
      <c r="MIG80" s="684"/>
      <c r="MIH80" s="684"/>
      <c r="MII80" s="684"/>
      <c r="MIJ80" s="684"/>
      <c r="MIK80" s="684"/>
      <c r="MIL80" s="684"/>
      <c r="MIM80" s="684"/>
      <c r="MIN80" s="684"/>
      <c r="MIO80" s="684"/>
      <c r="MIP80" s="684"/>
      <c r="MIQ80" s="684"/>
      <c r="MIR80" s="684"/>
      <c r="MIS80" s="684"/>
      <c r="MIT80" s="684"/>
      <c r="MIU80" s="684"/>
      <c r="MIV80" s="684"/>
      <c r="MIW80" s="684"/>
      <c r="MIX80" s="684"/>
      <c r="MIY80" s="684"/>
      <c r="MIZ80" s="684"/>
      <c r="MJA80" s="684"/>
      <c r="MJB80" s="684"/>
      <c r="MJC80" s="684"/>
      <c r="MJD80" s="684"/>
      <c r="MJE80" s="684"/>
      <c r="MJF80" s="684"/>
      <c r="MJG80" s="684"/>
      <c r="MJH80" s="684"/>
      <c r="MJI80" s="684"/>
      <c r="MJJ80" s="684"/>
      <c r="MJK80" s="684"/>
      <c r="MJL80" s="684"/>
      <c r="MJM80" s="684"/>
      <c r="MJN80" s="684"/>
      <c r="MJO80" s="684"/>
      <c r="MJP80" s="684"/>
      <c r="MJQ80" s="684"/>
      <c r="MJR80" s="684"/>
      <c r="MJS80" s="684"/>
      <c r="MJT80" s="684"/>
      <c r="MJU80" s="684"/>
      <c r="MJV80" s="684"/>
      <c r="MJW80" s="684"/>
      <c r="MJX80" s="684"/>
      <c r="MJY80" s="684"/>
      <c r="MJZ80" s="684"/>
      <c r="MKA80" s="684"/>
      <c r="MKB80" s="684"/>
      <c r="MKC80" s="684"/>
      <c r="MKD80" s="684"/>
      <c r="MKE80" s="684"/>
      <c r="MKF80" s="684"/>
      <c r="MKG80" s="684"/>
      <c r="MKH80" s="684"/>
      <c r="MKI80" s="684"/>
      <c r="MKJ80" s="684"/>
      <c r="MKK80" s="684"/>
      <c r="MKL80" s="684"/>
      <c r="MKM80" s="684"/>
      <c r="MKN80" s="684"/>
      <c r="MKO80" s="684"/>
      <c r="MKP80" s="684"/>
      <c r="MKQ80" s="684"/>
      <c r="MKR80" s="684"/>
      <c r="MKS80" s="684"/>
      <c r="MKT80" s="684"/>
      <c r="MKU80" s="684"/>
      <c r="MKV80" s="684"/>
      <c r="MKW80" s="684"/>
      <c r="MKX80" s="684"/>
      <c r="MKY80" s="684"/>
      <c r="MKZ80" s="684"/>
      <c r="MLA80" s="684"/>
      <c r="MLB80" s="684"/>
      <c r="MLC80" s="684"/>
      <c r="MLD80" s="684"/>
      <c r="MLE80" s="684"/>
      <c r="MLF80" s="684"/>
      <c r="MLG80" s="684"/>
      <c r="MLH80" s="684"/>
      <c r="MLI80" s="684"/>
      <c r="MLJ80" s="684"/>
      <c r="MLK80" s="684"/>
      <c r="MLL80" s="684"/>
      <c r="MLM80" s="684"/>
      <c r="MLN80" s="684"/>
      <c r="MLO80" s="684"/>
      <c r="MLP80" s="684"/>
      <c r="MLQ80" s="684"/>
      <c r="MLR80" s="684"/>
      <c r="MLS80" s="684"/>
      <c r="MLT80" s="684"/>
      <c r="MLU80" s="684"/>
      <c r="MLV80" s="684"/>
      <c r="MLW80" s="684"/>
      <c r="MLX80" s="684"/>
      <c r="MLY80" s="684"/>
      <c r="MLZ80" s="684"/>
      <c r="MMA80" s="684"/>
      <c r="MMB80" s="684"/>
      <c r="MMC80" s="684"/>
      <c r="MMD80" s="684"/>
      <c r="MME80" s="684"/>
      <c r="MMF80" s="684"/>
      <c r="MMG80" s="684"/>
      <c r="MMH80" s="684"/>
      <c r="MMI80" s="684"/>
      <c r="MMJ80" s="684"/>
      <c r="MMK80" s="684"/>
      <c r="MML80" s="684"/>
      <c r="MMM80" s="684"/>
      <c r="MMN80" s="684"/>
      <c r="MMO80" s="684"/>
      <c r="MMP80" s="684"/>
      <c r="MMQ80" s="684"/>
      <c r="MMR80" s="684"/>
      <c r="MMS80" s="684"/>
      <c r="MMT80" s="684"/>
      <c r="MMU80" s="684"/>
      <c r="MMV80" s="684"/>
      <c r="MMW80" s="684"/>
      <c r="MMX80" s="684"/>
      <c r="MMY80" s="684"/>
      <c r="MMZ80" s="684"/>
      <c r="MNA80" s="684"/>
      <c r="MNB80" s="684"/>
      <c r="MNC80" s="684"/>
      <c r="MND80" s="684"/>
      <c r="MNE80" s="684"/>
      <c r="MNF80" s="684"/>
      <c r="MNG80" s="684"/>
      <c r="MNH80" s="684"/>
      <c r="MNI80" s="684"/>
      <c r="MNJ80" s="684"/>
      <c r="MNK80" s="684"/>
      <c r="MNL80" s="684"/>
      <c r="MNM80" s="684"/>
      <c r="MNN80" s="684"/>
      <c r="MNO80" s="684"/>
      <c r="MNP80" s="684"/>
      <c r="MNQ80" s="684"/>
      <c r="MNR80" s="684"/>
      <c r="MNS80" s="684"/>
      <c r="MNT80" s="684"/>
      <c r="MNU80" s="684"/>
      <c r="MNV80" s="684"/>
      <c r="MNW80" s="684"/>
      <c r="MNX80" s="684"/>
      <c r="MNY80" s="684"/>
      <c r="MNZ80" s="684"/>
      <c r="MOA80" s="684"/>
      <c r="MOB80" s="684"/>
      <c r="MOC80" s="684"/>
      <c r="MOD80" s="684"/>
      <c r="MOE80" s="684"/>
      <c r="MOF80" s="684"/>
      <c r="MOG80" s="684"/>
      <c r="MOH80" s="684"/>
      <c r="MOI80" s="684"/>
      <c r="MOJ80" s="684"/>
      <c r="MOK80" s="684"/>
      <c r="MOL80" s="684"/>
      <c r="MOM80" s="684"/>
      <c r="MON80" s="684"/>
      <c r="MOO80" s="684"/>
      <c r="MOP80" s="684"/>
      <c r="MOQ80" s="684"/>
      <c r="MOR80" s="684"/>
      <c r="MOS80" s="684"/>
      <c r="MOT80" s="684"/>
      <c r="MOU80" s="684"/>
      <c r="MOV80" s="684"/>
      <c r="MOW80" s="684"/>
      <c r="MOX80" s="684"/>
      <c r="MOY80" s="684"/>
      <c r="MOZ80" s="684"/>
      <c r="MPA80" s="684"/>
      <c r="MPB80" s="684"/>
      <c r="MPC80" s="684"/>
      <c r="MPD80" s="684"/>
      <c r="MPE80" s="684"/>
      <c r="MPF80" s="684"/>
      <c r="MPG80" s="684"/>
      <c r="MPH80" s="684"/>
      <c r="MPI80" s="684"/>
      <c r="MPJ80" s="684"/>
      <c r="MPK80" s="684"/>
      <c r="MPL80" s="684"/>
      <c r="MPM80" s="684"/>
      <c r="MPN80" s="684"/>
      <c r="MPO80" s="684"/>
      <c r="MPP80" s="684"/>
      <c r="MPQ80" s="684"/>
      <c r="MPR80" s="684"/>
      <c r="MPS80" s="684"/>
      <c r="MPT80" s="684"/>
      <c r="MPU80" s="684"/>
      <c r="MPV80" s="684"/>
      <c r="MPW80" s="684"/>
      <c r="MPX80" s="684"/>
      <c r="MPY80" s="684"/>
      <c r="MPZ80" s="684"/>
      <c r="MQA80" s="684"/>
      <c r="MQB80" s="684"/>
      <c r="MQC80" s="684"/>
      <c r="MQD80" s="684"/>
      <c r="MQE80" s="684"/>
      <c r="MQF80" s="684"/>
      <c r="MQG80" s="684"/>
      <c r="MQH80" s="684"/>
      <c r="MQI80" s="684"/>
      <c r="MQJ80" s="684"/>
      <c r="MQK80" s="684"/>
      <c r="MQL80" s="684"/>
      <c r="MQM80" s="684"/>
      <c r="MQN80" s="684"/>
      <c r="MQO80" s="684"/>
      <c r="MQP80" s="684"/>
      <c r="MQQ80" s="684"/>
      <c r="MQR80" s="684"/>
      <c r="MQS80" s="684"/>
      <c r="MQT80" s="684"/>
      <c r="MQU80" s="684"/>
      <c r="MQV80" s="684"/>
      <c r="MQW80" s="684"/>
      <c r="MQX80" s="684"/>
      <c r="MQY80" s="684"/>
      <c r="MQZ80" s="684"/>
      <c r="MRA80" s="684"/>
      <c r="MRB80" s="684"/>
      <c r="MRC80" s="684"/>
      <c r="MRD80" s="684"/>
      <c r="MRE80" s="684"/>
      <c r="MRF80" s="684"/>
      <c r="MRG80" s="684"/>
      <c r="MRH80" s="684"/>
      <c r="MRI80" s="684"/>
      <c r="MRJ80" s="684"/>
      <c r="MRK80" s="684"/>
      <c r="MRL80" s="684"/>
      <c r="MRM80" s="684"/>
      <c r="MRN80" s="684"/>
      <c r="MRO80" s="684"/>
      <c r="MRP80" s="684"/>
      <c r="MRQ80" s="684"/>
      <c r="MRR80" s="684"/>
      <c r="MRS80" s="684"/>
      <c r="MRT80" s="684"/>
      <c r="MRU80" s="684"/>
      <c r="MRV80" s="684"/>
      <c r="MRW80" s="684"/>
      <c r="MRX80" s="684"/>
      <c r="MRY80" s="684"/>
      <c r="MRZ80" s="684"/>
      <c r="MSA80" s="684"/>
      <c r="MSB80" s="684"/>
      <c r="MSC80" s="684"/>
      <c r="MSD80" s="684"/>
      <c r="MSE80" s="684"/>
      <c r="MSF80" s="684"/>
      <c r="MSG80" s="684"/>
      <c r="MSH80" s="684"/>
      <c r="MSI80" s="684"/>
      <c r="MSJ80" s="684"/>
      <c r="MSK80" s="684"/>
      <c r="MSL80" s="684"/>
      <c r="MSM80" s="684"/>
      <c r="MSN80" s="684"/>
      <c r="MSO80" s="684"/>
      <c r="MSP80" s="684"/>
      <c r="MSQ80" s="684"/>
      <c r="MSR80" s="684"/>
      <c r="MSS80" s="684"/>
      <c r="MST80" s="684"/>
      <c r="MSU80" s="684"/>
      <c r="MSV80" s="684"/>
      <c r="MSW80" s="684"/>
      <c r="MSX80" s="684"/>
      <c r="MSY80" s="684"/>
      <c r="MSZ80" s="684"/>
      <c r="MTA80" s="684"/>
      <c r="MTB80" s="684"/>
      <c r="MTC80" s="684"/>
      <c r="MTD80" s="684"/>
      <c r="MTE80" s="684"/>
      <c r="MTF80" s="684"/>
      <c r="MTG80" s="684"/>
      <c r="MTH80" s="684"/>
      <c r="MTI80" s="684"/>
      <c r="MTJ80" s="684"/>
      <c r="MTK80" s="684"/>
      <c r="MTL80" s="684"/>
      <c r="MTM80" s="684"/>
      <c r="MTN80" s="684"/>
      <c r="MTO80" s="684"/>
      <c r="MTP80" s="684"/>
      <c r="MTQ80" s="684"/>
      <c r="MTR80" s="684"/>
      <c r="MTS80" s="684"/>
      <c r="MTT80" s="684"/>
      <c r="MTU80" s="684"/>
      <c r="MTV80" s="684"/>
      <c r="MTW80" s="684"/>
      <c r="MTX80" s="684"/>
      <c r="MTY80" s="684"/>
      <c r="MTZ80" s="684"/>
      <c r="MUA80" s="684"/>
      <c r="MUB80" s="684"/>
      <c r="MUC80" s="684"/>
      <c r="MUD80" s="684"/>
      <c r="MUE80" s="684"/>
      <c r="MUF80" s="684"/>
      <c r="MUG80" s="684"/>
      <c r="MUH80" s="684"/>
      <c r="MUI80" s="684"/>
      <c r="MUJ80" s="684"/>
      <c r="MUK80" s="684"/>
      <c r="MUL80" s="684"/>
      <c r="MUM80" s="684"/>
      <c r="MUN80" s="684"/>
      <c r="MUO80" s="684"/>
      <c r="MUP80" s="684"/>
      <c r="MUQ80" s="684"/>
      <c r="MUR80" s="684"/>
      <c r="MUS80" s="684"/>
      <c r="MUT80" s="684"/>
      <c r="MUU80" s="684"/>
      <c r="MUV80" s="684"/>
      <c r="MUW80" s="684"/>
      <c r="MUX80" s="684"/>
      <c r="MUY80" s="684"/>
      <c r="MUZ80" s="684"/>
      <c r="MVA80" s="684"/>
      <c r="MVB80" s="684"/>
      <c r="MVC80" s="684"/>
      <c r="MVD80" s="684"/>
      <c r="MVE80" s="684"/>
      <c r="MVF80" s="684"/>
      <c r="MVG80" s="684"/>
      <c r="MVH80" s="684"/>
      <c r="MVI80" s="684"/>
      <c r="MVJ80" s="684"/>
      <c r="MVK80" s="684"/>
      <c r="MVL80" s="684"/>
      <c r="MVM80" s="684"/>
      <c r="MVN80" s="684"/>
      <c r="MVO80" s="684"/>
      <c r="MVP80" s="684"/>
      <c r="MVQ80" s="684"/>
      <c r="MVR80" s="684"/>
      <c r="MVS80" s="684"/>
      <c r="MVT80" s="684"/>
      <c r="MVU80" s="684"/>
      <c r="MVV80" s="684"/>
      <c r="MVW80" s="684"/>
      <c r="MVX80" s="684"/>
      <c r="MVY80" s="684"/>
      <c r="MVZ80" s="684"/>
      <c r="MWA80" s="684"/>
      <c r="MWB80" s="684"/>
      <c r="MWC80" s="684"/>
      <c r="MWD80" s="684"/>
      <c r="MWE80" s="684"/>
      <c r="MWF80" s="684"/>
      <c r="MWG80" s="684"/>
      <c r="MWH80" s="684"/>
      <c r="MWI80" s="684"/>
      <c r="MWJ80" s="684"/>
      <c r="MWK80" s="684"/>
      <c r="MWL80" s="684"/>
      <c r="MWM80" s="684"/>
      <c r="MWN80" s="684"/>
      <c r="MWO80" s="684"/>
      <c r="MWP80" s="684"/>
      <c r="MWQ80" s="684"/>
      <c r="MWR80" s="684"/>
      <c r="MWS80" s="684"/>
      <c r="MWT80" s="684"/>
      <c r="MWU80" s="684"/>
      <c r="MWV80" s="684"/>
      <c r="MWW80" s="684"/>
      <c r="MWX80" s="684"/>
      <c r="MWY80" s="684"/>
      <c r="MWZ80" s="684"/>
      <c r="MXA80" s="684"/>
      <c r="MXB80" s="684"/>
      <c r="MXC80" s="684"/>
      <c r="MXD80" s="684"/>
      <c r="MXE80" s="684"/>
      <c r="MXF80" s="684"/>
      <c r="MXG80" s="684"/>
      <c r="MXH80" s="684"/>
      <c r="MXI80" s="684"/>
      <c r="MXJ80" s="684"/>
      <c r="MXK80" s="684"/>
      <c r="MXL80" s="684"/>
      <c r="MXM80" s="684"/>
      <c r="MXN80" s="684"/>
      <c r="MXO80" s="684"/>
      <c r="MXP80" s="684"/>
      <c r="MXQ80" s="684"/>
      <c r="MXR80" s="684"/>
      <c r="MXS80" s="684"/>
      <c r="MXT80" s="684"/>
      <c r="MXU80" s="684"/>
      <c r="MXV80" s="684"/>
      <c r="MXW80" s="684"/>
      <c r="MXX80" s="684"/>
      <c r="MXY80" s="684"/>
      <c r="MXZ80" s="684"/>
      <c r="MYA80" s="684"/>
      <c r="MYB80" s="684"/>
      <c r="MYC80" s="684"/>
      <c r="MYD80" s="684"/>
      <c r="MYE80" s="684"/>
      <c r="MYF80" s="684"/>
      <c r="MYG80" s="684"/>
      <c r="MYH80" s="684"/>
      <c r="MYI80" s="684"/>
      <c r="MYJ80" s="684"/>
      <c r="MYK80" s="684"/>
      <c r="MYL80" s="684"/>
      <c r="MYM80" s="684"/>
      <c r="MYN80" s="684"/>
      <c r="MYO80" s="684"/>
      <c r="MYP80" s="684"/>
      <c r="MYQ80" s="684"/>
      <c r="MYR80" s="684"/>
      <c r="MYS80" s="684"/>
      <c r="MYT80" s="684"/>
      <c r="MYU80" s="684"/>
      <c r="MYV80" s="684"/>
      <c r="MYW80" s="684"/>
      <c r="MYX80" s="684"/>
      <c r="MYY80" s="684"/>
      <c r="MYZ80" s="684"/>
      <c r="MZA80" s="684"/>
      <c r="MZB80" s="684"/>
      <c r="MZC80" s="684"/>
      <c r="MZD80" s="684"/>
      <c r="MZE80" s="684"/>
      <c r="MZF80" s="684"/>
      <c r="MZG80" s="684"/>
      <c r="MZH80" s="684"/>
      <c r="MZI80" s="684"/>
      <c r="MZJ80" s="684"/>
      <c r="MZK80" s="684"/>
      <c r="MZL80" s="684"/>
      <c r="MZM80" s="684"/>
      <c r="MZN80" s="684"/>
      <c r="MZO80" s="684"/>
      <c r="MZP80" s="684"/>
      <c r="MZQ80" s="684"/>
      <c r="MZR80" s="684"/>
      <c r="MZS80" s="684"/>
      <c r="MZT80" s="684"/>
      <c r="MZU80" s="684"/>
      <c r="MZV80" s="684"/>
      <c r="MZW80" s="684"/>
      <c r="MZX80" s="684"/>
      <c r="MZY80" s="684"/>
      <c r="MZZ80" s="684"/>
      <c r="NAA80" s="684"/>
      <c r="NAB80" s="684"/>
      <c r="NAC80" s="684"/>
      <c r="NAD80" s="684"/>
      <c r="NAE80" s="684"/>
      <c r="NAF80" s="684"/>
      <c r="NAG80" s="684"/>
      <c r="NAH80" s="684"/>
      <c r="NAI80" s="684"/>
      <c r="NAJ80" s="684"/>
      <c r="NAK80" s="684"/>
      <c r="NAL80" s="684"/>
      <c r="NAM80" s="684"/>
      <c r="NAN80" s="684"/>
      <c r="NAO80" s="684"/>
      <c r="NAP80" s="684"/>
      <c r="NAQ80" s="684"/>
      <c r="NAR80" s="684"/>
      <c r="NAS80" s="684"/>
      <c r="NAT80" s="684"/>
      <c r="NAU80" s="684"/>
      <c r="NAV80" s="684"/>
      <c r="NAW80" s="684"/>
      <c r="NAX80" s="684"/>
      <c r="NAY80" s="684"/>
      <c r="NAZ80" s="684"/>
      <c r="NBA80" s="684"/>
      <c r="NBB80" s="684"/>
      <c r="NBC80" s="684"/>
      <c r="NBD80" s="684"/>
      <c r="NBE80" s="684"/>
      <c r="NBF80" s="684"/>
      <c r="NBG80" s="684"/>
      <c r="NBH80" s="684"/>
      <c r="NBI80" s="684"/>
      <c r="NBJ80" s="684"/>
      <c r="NBK80" s="684"/>
      <c r="NBL80" s="684"/>
      <c r="NBM80" s="684"/>
      <c r="NBN80" s="684"/>
      <c r="NBO80" s="684"/>
      <c r="NBP80" s="684"/>
      <c r="NBQ80" s="684"/>
      <c r="NBR80" s="684"/>
      <c r="NBS80" s="684"/>
      <c r="NBT80" s="684"/>
      <c r="NBU80" s="684"/>
      <c r="NBV80" s="684"/>
      <c r="NBW80" s="684"/>
      <c r="NBX80" s="684"/>
      <c r="NBY80" s="684"/>
      <c r="NBZ80" s="684"/>
      <c r="NCA80" s="684"/>
      <c r="NCB80" s="684"/>
      <c r="NCC80" s="684"/>
      <c r="NCD80" s="684"/>
      <c r="NCE80" s="684"/>
      <c r="NCF80" s="684"/>
      <c r="NCG80" s="684"/>
      <c r="NCH80" s="684"/>
      <c r="NCI80" s="684"/>
      <c r="NCJ80" s="684"/>
      <c r="NCK80" s="684"/>
      <c r="NCL80" s="684"/>
      <c r="NCM80" s="684"/>
      <c r="NCN80" s="684"/>
      <c r="NCO80" s="684"/>
      <c r="NCP80" s="684"/>
      <c r="NCQ80" s="684"/>
      <c r="NCR80" s="684"/>
      <c r="NCS80" s="684"/>
      <c r="NCT80" s="684"/>
      <c r="NCU80" s="684"/>
      <c r="NCV80" s="684"/>
      <c r="NCW80" s="684"/>
      <c r="NCX80" s="684"/>
      <c r="NCY80" s="684"/>
      <c r="NCZ80" s="684"/>
      <c r="NDA80" s="684"/>
      <c r="NDB80" s="684"/>
      <c r="NDC80" s="684"/>
      <c r="NDD80" s="684"/>
      <c r="NDE80" s="684"/>
      <c r="NDF80" s="684"/>
      <c r="NDG80" s="684"/>
      <c r="NDH80" s="684"/>
      <c r="NDI80" s="684"/>
      <c r="NDJ80" s="684"/>
      <c r="NDK80" s="684"/>
      <c r="NDL80" s="684"/>
      <c r="NDM80" s="684"/>
      <c r="NDN80" s="684"/>
      <c r="NDO80" s="684"/>
      <c r="NDP80" s="684"/>
      <c r="NDQ80" s="684"/>
      <c r="NDR80" s="684"/>
      <c r="NDS80" s="684"/>
      <c r="NDT80" s="684"/>
      <c r="NDU80" s="684"/>
      <c r="NDV80" s="684"/>
      <c r="NDW80" s="684"/>
      <c r="NDX80" s="684"/>
      <c r="NDY80" s="684"/>
      <c r="NDZ80" s="684"/>
      <c r="NEA80" s="684"/>
      <c r="NEB80" s="684"/>
      <c r="NEC80" s="684"/>
      <c r="NED80" s="684"/>
      <c r="NEE80" s="684"/>
      <c r="NEF80" s="684"/>
      <c r="NEG80" s="684"/>
      <c r="NEH80" s="684"/>
      <c r="NEI80" s="684"/>
      <c r="NEJ80" s="684"/>
      <c r="NEK80" s="684"/>
      <c r="NEL80" s="684"/>
      <c r="NEM80" s="684"/>
      <c r="NEN80" s="684"/>
      <c r="NEO80" s="684"/>
      <c r="NEP80" s="684"/>
      <c r="NEQ80" s="684"/>
      <c r="NER80" s="684"/>
      <c r="NES80" s="684"/>
      <c r="NET80" s="684"/>
      <c r="NEU80" s="684"/>
      <c r="NEV80" s="684"/>
      <c r="NEW80" s="684"/>
      <c r="NEX80" s="684"/>
      <c r="NEY80" s="684"/>
      <c r="NEZ80" s="684"/>
      <c r="NFA80" s="684"/>
      <c r="NFB80" s="684"/>
      <c r="NFC80" s="684"/>
      <c r="NFD80" s="684"/>
      <c r="NFE80" s="684"/>
      <c r="NFF80" s="684"/>
      <c r="NFG80" s="684"/>
      <c r="NFH80" s="684"/>
      <c r="NFI80" s="684"/>
      <c r="NFJ80" s="684"/>
      <c r="NFK80" s="684"/>
      <c r="NFL80" s="684"/>
      <c r="NFM80" s="684"/>
      <c r="NFN80" s="684"/>
      <c r="NFO80" s="684"/>
      <c r="NFP80" s="684"/>
      <c r="NFQ80" s="684"/>
      <c r="NFR80" s="684"/>
      <c r="NFS80" s="684"/>
      <c r="NFT80" s="684"/>
      <c r="NFU80" s="684"/>
      <c r="NFV80" s="684"/>
      <c r="NFW80" s="684"/>
      <c r="NFX80" s="684"/>
      <c r="NFY80" s="684"/>
      <c r="NFZ80" s="684"/>
      <c r="NGA80" s="684"/>
      <c r="NGB80" s="684"/>
      <c r="NGC80" s="684"/>
      <c r="NGD80" s="684"/>
      <c r="NGE80" s="684"/>
      <c r="NGF80" s="684"/>
      <c r="NGG80" s="684"/>
      <c r="NGH80" s="684"/>
      <c r="NGI80" s="684"/>
      <c r="NGJ80" s="684"/>
      <c r="NGK80" s="684"/>
      <c r="NGL80" s="684"/>
      <c r="NGM80" s="684"/>
      <c r="NGN80" s="684"/>
      <c r="NGO80" s="684"/>
      <c r="NGP80" s="684"/>
      <c r="NGQ80" s="684"/>
      <c r="NGR80" s="684"/>
      <c r="NGS80" s="684"/>
      <c r="NGT80" s="684"/>
      <c r="NGU80" s="684"/>
      <c r="NGV80" s="684"/>
      <c r="NGW80" s="684"/>
      <c r="NGX80" s="684"/>
      <c r="NGY80" s="684"/>
      <c r="NGZ80" s="684"/>
      <c r="NHA80" s="684"/>
      <c r="NHB80" s="684"/>
      <c r="NHC80" s="684"/>
      <c r="NHD80" s="684"/>
      <c r="NHE80" s="684"/>
      <c r="NHF80" s="684"/>
      <c r="NHG80" s="684"/>
      <c r="NHH80" s="684"/>
      <c r="NHI80" s="684"/>
      <c r="NHJ80" s="684"/>
      <c r="NHK80" s="684"/>
      <c r="NHL80" s="684"/>
      <c r="NHM80" s="684"/>
      <c r="NHN80" s="684"/>
      <c r="NHO80" s="684"/>
      <c r="NHP80" s="684"/>
      <c r="NHQ80" s="684"/>
      <c r="NHR80" s="684"/>
      <c r="NHS80" s="684"/>
      <c r="NHT80" s="684"/>
      <c r="NHU80" s="684"/>
      <c r="NHV80" s="684"/>
      <c r="NHW80" s="684"/>
      <c r="NHX80" s="684"/>
      <c r="NHY80" s="684"/>
      <c r="NHZ80" s="684"/>
      <c r="NIA80" s="684"/>
      <c r="NIB80" s="684"/>
      <c r="NIC80" s="684"/>
      <c r="NID80" s="684"/>
      <c r="NIE80" s="684"/>
      <c r="NIF80" s="684"/>
      <c r="NIG80" s="684"/>
      <c r="NIH80" s="684"/>
      <c r="NII80" s="684"/>
      <c r="NIJ80" s="684"/>
      <c r="NIK80" s="684"/>
      <c r="NIL80" s="684"/>
      <c r="NIM80" s="684"/>
      <c r="NIN80" s="684"/>
      <c r="NIO80" s="684"/>
      <c r="NIP80" s="684"/>
      <c r="NIQ80" s="684"/>
      <c r="NIR80" s="684"/>
      <c r="NIS80" s="684"/>
      <c r="NIT80" s="684"/>
      <c r="NIU80" s="684"/>
      <c r="NIV80" s="684"/>
      <c r="NIW80" s="684"/>
      <c r="NIX80" s="684"/>
      <c r="NIY80" s="684"/>
      <c r="NIZ80" s="684"/>
      <c r="NJA80" s="684"/>
      <c r="NJB80" s="684"/>
      <c r="NJC80" s="684"/>
      <c r="NJD80" s="684"/>
      <c r="NJE80" s="684"/>
      <c r="NJF80" s="684"/>
      <c r="NJG80" s="684"/>
      <c r="NJH80" s="684"/>
      <c r="NJI80" s="684"/>
      <c r="NJJ80" s="684"/>
      <c r="NJK80" s="684"/>
      <c r="NJL80" s="684"/>
      <c r="NJM80" s="684"/>
      <c r="NJN80" s="684"/>
      <c r="NJO80" s="684"/>
      <c r="NJP80" s="684"/>
      <c r="NJQ80" s="684"/>
      <c r="NJR80" s="684"/>
      <c r="NJS80" s="684"/>
      <c r="NJT80" s="684"/>
      <c r="NJU80" s="684"/>
      <c r="NJV80" s="684"/>
      <c r="NJW80" s="684"/>
      <c r="NJX80" s="684"/>
      <c r="NJY80" s="684"/>
      <c r="NJZ80" s="684"/>
      <c r="NKA80" s="684"/>
      <c r="NKB80" s="684"/>
      <c r="NKC80" s="684"/>
      <c r="NKD80" s="684"/>
      <c r="NKE80" s="684"/>
      <c r="NKF80" s="684"/>
      <c r="NKG80" s="684"/>
      <c r="NKH80" s="684"/>
      <c r="NKI80" s="684"/>
      <c r="NKJ80" s="684"/>
      <c r="NKK80" s="684"/>
      <c r="NKL80" s="684"/>
      <c r="NKM80" s="684"/>
      <c r="NKN80" s="684"/>
      <c r="NKO80" s="684"/>
      <c r="NKP80" s="684"/>
      <c r="NKQ80" s="684"/>
      <c r="NKR80" s="684"/>
      <c r="NKS80" s="684"/>
      <c r="NKT80" s="684"/>
      <c r="NKU80" s="684"/>
      <c r="NKV80" s="684"/>
      <c r="NKW80" s="684"/>
      <c r="NKX80" s="684"/>
      <c r="NKY80" s="684"/>
      <c r="NKZ80" s="684"/>
      <c r="NLA80" s="684"/>
      <c r="NLB80" s="684"/>
      <c r="NLC80" s="684"/>
      <c r="NLD80" s="684"/>
      <c r="NLE80" s="684"/>
      <c r="NLF80" s="684"/>
      <c r="NLG80" s="684"/>
      <c r="NLH80" s="684"/>
      <c r="NLI80" s="684"/>
      <c r="NLJ80" s="684"/>
      <c r="NLK80" s="684"/>
      <c r="NLL80" s="684"/>
      <c r="NLM80" s="684"/>
      <c r="NLN80" s="684"/>
      <c r="NLO80" s="684"/>
      <c r="NLP80" s="684"/>
      <c r="NLQ80" s="684"/>
      <c r="NLR80" s="684"/>
      <c r="NLS80" s="684"/>
      <c r="NLT80" s="684"/>
      <c r="NLU80" s="684"/>
      <c r="NLV80" s="684"/>
      <c r="NLW80" s="684"/>
      <c r="NLX80" s="684"/>
      <c r="NLY80" s="684"/>
      <c r="NLZ80" s="684"/>
      <c r="NMA80" s="684"/>
      <c r="NMB80" s="684"/>
      <c r="NMC80" s="684"/>
      <c r="NMD80" s="684"/>
      <c r="NME80" s="684"/>
      <c r="NMF80" s="684"/>
      <c r="NMG80" s="684"/>
      <c r="NMH80" s="684"/>
      <c r="NMI80" s="684"/>
      <c r="NMJ80" s="684"/>
      <c r="NMK80" s="684"/>
      <c r="NML80" s="684"/>
      <c r="NMM80" s="684"/>
      <c r="NMN80" s="684"/>
      <c r="NMO80" s="684"/>
      <c r="NMP80" s="684"/>
      <c r="NMQ80" s="684"/>
      <c r="NMR80" s="684"/>
      <c r="NMS80" s="684"/>
      <c r="NMT80" s="684"/>
      <c r="NMU80" s="684"/>
      <c r="NMV80" s="684"/>
      <c r="NMW80" s="684"/>
      <c r="NMX80" s="684"/>
      <c r="NMY80" s="684"/>
      <c r="NMZ80" s="684"/>
      <c r="NNA80" s="684"/>
      <c r="NNB80" s="684"/>
      <c r="NNC80" s="684"/>
      <c r="NND80" s="684"/>
      <c r="NNE80" s="684"/>
      <c r="NNF80" s="684"/>
      <c r="NNG80" s="684"/>
      <c r="NNH80" s="684"/>
      <c r="NNI80" s="684"/>
      <c r="NNJ80" s="684"/>
      <c r="NNK80" s="684"/>
      <c r="NNL80" s="684"/>
      <c r="NNM80" s="684"/>
      <c r="NNN80" s="684"/>
      <c r="NNO80" s="684"/>
      <c r="NNP80" s="684"/>
      <c r="NNQ80" s="684"/>
      <c r="NNR80" s="684"/>
      <c r="NNS80" s="684"/>
      <c r="NNT80" s="684"/>
      <c r="NNU80" s="684"/>
      <c r="NNV80" s="684"/>
      <c r="NNW80" s="684"/>
      <c r="NNX80" s="684"/>
      <c r="NNY80" s="684"/>
      <c r="NNZ80" s="684"/>
      <c r="NOA80" s="684"/>
      <c r="NOB80" s="684"/>
      <c r="NOC80" s="684"/>
      <c r="NOD80" s="684"/>
      <c r="NOE80" s="684"/>
      <c r="NOF80" s="684"/>
      <c r="NOG80" s="684"/>
      <c r="NOH80" s="684"/>
      <c r="NOI80" s="684"/>
      <c r="NOJ80" s="684"/>
      <c r="NOK80" s="684"/>
      <c r="NOL80" s="684"/>
      <c r="NOM80" s="684"/>
      <c r="NON80" s="684"/>
      <c r="NOO80" s="684"/>
      <c r="NOP80" s="684"/>
      <c r="NOQ80" s="684"/>
      <c r="NOR80" s="684"/>
      <c r="NOS80" s="684"/>
      <c r="NOT80" s="684"/>
      <c r="NOU80" s="684"/>
      <c r="NOV80" s="684"/>
      <c r="NOW80" s="684"/>
      <c r="NOX80" s="684"/>
      <c r="NOY80" s="684"/>
      <c r="NOZ80" s="684"/>
      <c r="NPA80" s="684"/>
      <c r="NPB80" s="684"/>
      <c r="NPC80" s="684"/>
      <c r="NPD80" s="684"/>
      <c r="NPE80" s="684"/>
      <c r="NPF80" s="684"/>
      <c r="NPG80" s="684"/>
      <c r="NPH80" s="684"/>
      <c r="NPI80" s="684"/>
      <c r="NPJ80" s="684"/>
      <c r="NPK80" s="684"/>
      <c r="NPL80" s="684"/>
      <c r="NPM80" s="684"/>
      <c r="NPN80" s="684"/>
      <c r="NPO80" s="684"/>
      <c r="NPP80" s="684"/>
      <c r="NPQ80" s="684"/>
      <c r="NPR80" s="684"/>
      <c r="NPS80" s="684"/>
      <c r="NPT80" s="684"/>
      <c r="NPU80" s="684"/>
      <c r="NPV80" s="684"/>
      <c r="NPW80" s="684"/>
      <c r="NPX80" s="684"/>
      <c r="NPY80" s="684"/>
      <c r="NPZ80" s="684"/>
      <c r="NQA80" s="684"/>
      <c r="NQB80" s="684"/>
      <c r="NQC80" s="684"/>
      <c r="NQD80" s="684"/>
      <c r="NQE80" s="684"/>
      <c r="NQF80" s="684"/>
      <c r="NQG80" s="684"/>
      <c r="NQH80" s="684"/>
      <c r="NQI80" s="684"/>
      <c r="NQJ80" s="684"/>
      <c r="NQK80" s="684"/>
      <c r="NQL80" s="684"/>
      <c r="NQM80" s="684"/>
      <c r="NQN80" s="684"/>
      <c r="NQO80" s="684"/>
      <c r="NQP80" s="684"/>
      <c r="NQQ80" s="684"/>
      <c r="NQR80" s="684"/>
      <c r="NQS80" s="684"/>
      <c r="NQT80" s="684"/>
      <c r="NQU80" s="684"/>
      <c r="NQV80" s="684"/>
      <c r="NQW80" s="684"/>
      <c r="NQX80" s="684"/>
      <c r="NQY80" s="684"/>
      <c r="NQZ80" s="684"/>
      <c r="NRA80" s="684"/>
      <c r="NRB80" s="684"/>
      <c r="NRC80" s="684"/>
      <c r="NRD80" s="684"/>
      <c r="NRE80" s="684"/>
      <c r="NRF80" s="684"/>
      <c r="NRG80" s="684"/>
      <c r="NRH80" s="684"/>
      <c r="NRI80" s="684"/>
      <c r="NRJ80" s="684"/>
      <c r="NRK80" s="684"/>
      <c r="NRL80" s="684"/>
      <c r="NRM80" s="684"/>
      <c r="NRN80" s="684"/>
      <c r="NRO80" s="684"/>
      <c r="NRP80" s="684"/>
      <c r="NRQ80" s="684"/>
      <c r="NRR80" s="684"/>
      <c r="NRS80" s="684"/>
      <c r="NRT80" s="684"/>
      <c r="NRU80" s="684"/>
      <c r="NRV80" s="684"/>
      <c r="NRW80" s="684"/>
      <c r="NRX80" s="684"/>
      <c r="NRY80" s="684"/>
      <c r="NRZ80" s="684"/>
      <c r="NSA80" s="684"/>
      <c r="NSB80" s="684"/>
      <c r="NSC80" s="684"/>
      <c r="NSD80" s="684"/>
      <c r="NSE80" s="684"/>
      <c r="NSF80" s="684"/>
      <c r="NSG80" s="684"/>
      <c r="NSH80" s="684"/>
      <c r="NSI80" s="684"/>
      <c r="NSJ80" s="684"/>
      <c r="NSK80" s="684"/>
      <c r="NSL80" s="684"/>
      <c r="NSM80" s="684"/>
      <c r="NSN80" s="684"/>
      <c r="NSO80" s="684"/>
      <c r="NSP80" s="684"/>
      <c r="NSQ80" s="684"/>
      <c r="NSR80" s="684"/>
      <c r="NSS80" s="684"/>
      <c r="NST80" s="684"/>
      <c r="NSU80" s="684"/>
      <c r="NSV80" s="684"/>
      <c r="NSW80" s="684"/>
      <c r="NSX80" s="684"/>
      <c r="NSY80" s="684"/>
      <c r="NSZ80" s="684"/>
      <c r="NTA80" s="684"/>
      <c r="NTB80" s="684"/>
      <c r="NTC80" s="684"/>
      <c r="NTD80" s="684"/>
      <c r="NTE80" s="684"/>
      <c r="NTF80" s="684"/>
      <c r="NTG80" s="684"/>
      <c r="NTH80" s="684"/>
      <c r="NTI80" s="684"/>
      <c r="NTJ80" s="684"/>
      <c r="NTK80" s="684"/>
      <c r="NTL80" s="684"/>
      <c r="NTM80" s="684"/>
      <c r="NTN80" s="684"/>
      <c r="NTO80" s="684"/>
      <c r="NTP80" s="684"/>
      <c r="NTQ80" s="684"/>
      <c r="NTR80" s="684"/>
      <c r="NTS80" s="684"/>
      <c r="NTT80" s="684"/>
      <c r="NTU80" s="684"/>
      <c r="NTV80" s="684"/>
      <c r="NTW80" s="684"/>
      <c r="NTX80" s="684"/>
      <c r="NTY80" s="684"/>
      <c r="NTZ80" s="684"/>
      <c r="NUA80" s="684"/>
      <c r="NUB80" s="684"/>
      <c r="NUC80" s="684"/>
      <c r="NUD80" s="684"/>
      <c r="NUE80" s="684"/>
      <c r="NUF80" s="684"/>
      <c r="NUG80" s="684"/>
      <c r="NUH80" s="684"/>
      <c r="NUI80" s="684"/>
      <c r="NUJ80" s="684"/>
      <c r="NUK80" s="684"/>
      <c r="NUL80" s="684"/>
      <c r="NUM80" s="684"/>
      <c r="NUN80" s="684"/>
      <c r="NUO80" s="684"/>
      <c r="NUP80" s="684"/>
      <c r="NUQ80" s="684"/>
      <c r="NUR80" s="684"/>
      <c r="NUS80" s="684"/>
      <c r="NUT80" s="684"/>
      <c r="NUU80" s="684"/>
      <c r="NUV80" s="684"/>
      <c r="NUW80" s="684"/>
      <c r="NUX80" s="684"/>
      <c r="NUY80" s="684"/>
      <c r="NUZ80" s="684"/>
      <c r="NVA80" s="684"/>
      <c r="NVB80" s="684"/>
      <c r="NVC80" s="684"/>
      <c r="NVD80" s="684"/>
      <c r="NVE80" s="684"/>
      <c r="NVF80" s="684"/>
      <c r="NVG80" s="684"/>
      <c r="NVH80" s="684"/>
      <c r="NVI80" s="684"/>
      <c r="NVJ80" s="684"/>
      <c r="NVK80" s="684"/>
      <c r="NVL80" s="684"/>
      <c r="NVM80" s="684"/>
      <c r="NVN80" s="684"/>
      <c r="NVO80" s="684"/>
      <c r="NVP80" s="684"/>
      <c r="NVQ80" s="684"/>
      <c r="NVR80" s="684"/>
      <c r="NVS80" s="684"/>
      <c r="NVT80" s="684"/>
      <c r="NVU80" s="684"/>
      <c r="NVV80" s="684"/>
      <c r="NVW80" s="684"/>
      <c r="NVX80" s="684"/>
      <c r="NVY80" s="684"/>
      <c r="NVZ80" s="684"/>
      <c r="NWA80" s="684"/>
      <c r="NWB80" s="684"/>
      <c r="NWC80" s="684"/>
      <c r="NWD80" s="684"/>
      <c r="NWE80" s="684"/>
      <c r="NWF80" s="684"/>
      <c r="NWG80" s="684"/>
      <c r="NWH80" s="684"/>
      <c r="NWI80" s="684"/>
      <c r="NWJ80" s="684"/>
      <c r="NWK80" s="684"/>
      <c r="NWL80" s="684"/>
      <c r="NWM80" s="684"/>
      <c r="NWN80" s="684"/>
      <c r="NWO80" s="684"/>
      <c r="NWP80" s="684"/>
      <c r="NWQ80" s="684"/>
      <c r="NWR80" s="684"/>
      <c r="NWS80" s="684"/>
      <c r="NWT80" s="684"/>
      <c r="NWU80" s="684"/>
      <c r="NWV80" s="684"/>
      <c r="NWW80" s="684"/>
      <c r="NWX80" s="684"/>
      <c r="NWY80" s="684"/>
      <c r="NWZ80" s="684"/>
      <c r="NXA80" s="684"/>
      <c r="NXB80" s="684"/>
      <c r="NXC80" s="684"/>
      <c r="NXD80" s="684"/>
      <c r="NXE80" s="684"/>
      <c r="NXF80" s="684"/>
      <c r="NXG80" s="684"/>
      <c r="NXH80" s="684"/>
      <c r="NXI80" s="684"/>
      <c r="NXJ80" s="684"/>
      <c r="NXK80" s="684"/>
      <c r="NXL80" s="684"/>
      <c r="NXM80" s="684"/>
      <c r="NXN80" s="684"/>
      <c r="NXO80" s="684"/>
      <c r="NXP80" s="684"/>
      <c r="NXQ80" s="684"/>
      <c r="NXR80" s="684"/>
      <c r="NXS80" s="684"/>
      <c r="NXT80" s="684"/>
      <c r="NXU80" s="684"/>
      <c r="NXV80" s="684"/>
      <c r="NXW80" s="684"/>
      <c r="NXX80" s="684"/>
      <c r="NXY80" s="684"/>
      <c r="NXZ80" s="684"/>
      <c r="NYA80" s="684"/>
      <c r="NYB80" s="684"/>
      <c r="NYC80" s="684"/>
      <c r="NYD80" s="684"/>
      <c r="NYE80" s="684"/>
      <c r="NYF80" s="684"/>
      <c r="NYG80" s="684"/>
      <c r="NYH80" s="684"/>
      <c r="NYI80" s="684"/>
      <c r="NYJ80" s="684"/>
      <c r="NYK80" s="684"/>
      <c r="NYL80" s="684"/>
      <c r="NYM80" s="684"/>
      <c r="NYN80" s="684"/>
      <c r="NYO80" s="684"/>
      <c r="NYP80" s="684"/>
      <c r="NYQ80" s="684"/>
      <c r="NYR80" s="684"/>
      <c r="NYS80" s="684"/>
      <c r="NYT80" s="684"/>
      <c r="NYU80" s="684"/>
      <c r="NYV80" s="684"/>
      <c r="NYW80" s="684"/>
      <c r="NYX80" s="684"/>
      <c r="NYY80" s="684"/>
      <c r="NYZ80" s="684"/>
      <c r="NZA80" s="684"/>
      <c r="NZB80" s="684"/>
      <c r="NZC80" s="684"/>
      <c r="NZD80" s="684"/>
      <c r="NZE80" s="684"/>
      <c r="NZF80" s="684"/>
      <c r="NZG80" s="684"/>
      <c r="NZH80" s="684"/>
      <c r="NZI80" s="684"/>
      <c r="NZJ80" s="684"/>
      <c r="NZK80" s="684"/>
      <c r="NZL80" s="684"/>
      <c r="NZM80" s="684"/>
      <c r="NZN80" s="684"/>
      <c r="NZO80" s="684"/>
      <c r="NZP80" s="684"/>
      <c r="NZQ80" s="684"/>
      <c r="NZR80" s="684"/>
      <c r="NZS80" s="684"/>
      <c r="NZT80" s="684"/>
      <c r="NZU80" s="684"/>
      <c r="NZV80" s="684"/>
      <c r="NZW80" s="684"/>
      <c r="NZX80" s="684"/>
      <c r="NZY80" s="684"/>
      <c r="NZZ80" s="684"/>
      <c r="OAA80" s="684"/>
      <c r="OAB80" s="684"/>
      <c r="OAC80" s="684"/>
      <c r="OAD80" s="684"/>
      <c r="OAE80" s="684"/>
      <c r="OAF80" s="684"/>
      <c r="OAG80" s="684"/>
      <c r="OAH80" s="684"/>
      <c r="OAI80" s="684"/>
      <c r="OAJ80" s="684"/>
      <c r="OAK80" s="684"/>
      <c r="OAL80" s="684"/>
      <c r="OAM80" s="684"/>
      <c r="OAN80" s="684"/>
      <c r="OAO80" s="684"/>
      <c r="OAP80" s="684"/>
      <c r="OAQ80" s="684"/>
      <c r="OAR80" s="684"/>
      <c r="OAS80" s="684"/>
      <c r="OAT80" s="684"/>
      <c r="OAU80" s="684"/>
      <c r="OAV80" s="684"/>
      <c r="OAW80" s="684"/>
      <c r="OAX80" s="684"/>
      <c r="OAY80" s="684"/>
      <c r="OAZ80" s="684"/>
      <c r="OBA80" s="684"/>
      <c r="OBB80" s="684"/>
      <c r="OBC80" s="684"/>
      <c r="OBD80" s="684"/>
      <c r="OBE80" s="684"/>
      <c r="OBF80" s="684"/>
      <c r="OBG80" s="684"/>
      <c r="OBH80" s="684"/>
      <c r="OBI80" s="684"/>
      <c r="OBJ80" s="684"/>
      <c r="OBK80" s="684"/>
      <c r="OBL80" s="684"/>
      <c r="OBM80" s="684"/>
      <c r="OBN80" s="684"/>
      <c r="OBO80" s="684"/>
      <c r="OBP80" s="684"/>
      <c r="OBQ80" s="684"/>
      <c r="OBR80" s="684"/>
      <c r="OBS80" s="684"/>
      <c r="OBT80" s="684"/>
      <c r="OBU80" s="684"/>
      <c r="OBV80" s="684"/>
      <c r="OBW80" s="684"/>
      <c r="OBX80" s="684"/>
      <c r="OBY80" s="684"/>
      <c r="OBZ80" s="684"/>
      <c r="OCA80" s="684"/>
      <c r="OCB80" s="684"/>
      <c r="OCC80" s="684"/>
      <c r="OCD80" s="684"/>
      <c r="OCE80" s="684"/>
      <c r="OCF80" s="684"/>
      <c r="OCG80" s="684"/>
      <c r="OCH80" s="684"/>
      <c r="OCI80" s="684"/>
      <c r="OCJ80" s="684"/>
      <c r="OCK80" s="684"/>
      <c r="OCL80" s="684"/>
      <c r="OCM80" s="684"/>
      <c r="OCN80" s="684"/>
      <c r="OCO80" s="684"/>
      <c r="OCP80" s="684"/>
      <c r="OCQ80" s="684"/>
      <c r="OCR80" s="684"/>
      <c r="OCS80" s="684"/>
      <c r="OCT80" s="684"/>
      <c r="OCU80" s="684"/>
      <c r="OCV80" s="684"/>
      <c r="OCW80" s="684"/>
      <c r="OCX80" s="684"/>
      <c r="OCY80" s="684"/>
      <c r="OCZ80" s="684"/>
      <c r="ODA80" s="684"/>
      <c r="ODB80" s="684"/>
      <c r="ODC80" s="684"/>
      <c r="ODD80" s="684"/>
      <c r="ODE80" s="684"/>
      <c r="ODF80" s="684"/>
      <c r="ODG80" s="684"/>
      <c r="ODH80" s="684"/>
      <c r="ODI80" s="684"/>
      <c r="ODJ80" s="684"/>
      <c r="ODK80" s="684"/>
      <c r="ODL80" s="684"/>
      <c r="ODM80" s="684"/>
      <c r="ODN80" s="684"/>
      <c r="ODO80" s="684"/>
      <c r="ODP80" s="684"/>
      <c r="ODQ80" s="684"/>
      <c r="ODR80" s="684"/>
      <c r="ODS80" s="684"/>
      <c r="ODT80" s="684"/>
      <c r="ODU80" s="684"/>
      <c r="ODV80" s="684"/>
      <c r="ODW80" s="684"/>
      <c r="ODX80" s="684"/>
      <c r="ODY80" s="684"/>
      <c r="ODZ80" s="684"/>
      <c r="OEA80" s="684"/>
      <c r="OEB80" s="684"/>
      <c r="OEC80" s="684"/>
      <c r="OED80" s="684"/>
      <c r="OEE80" s="684"/>
      <c r="OEF80" s="684"/>
      <c r="OEG80" s="684"/>
      <c r="OEH80" s="684"/>
      <c r="OEI80" s="684"/>
      <c r="OEJ80" s="684"/>
      <c r="OEK80" s="684"/>
      <c r="OEL80" s="684"/>
      <c r="OEM80" s="684"/>
      <c r="OEN80" s="684"/>
      <c r="OEO80" s="684"/>
      <c r="OEP80" s="684"/>
      <c r="OEQ80" s="684"/>
      <c r="OER80" s="684"/>
      <c r="OES80" s="684"/>
      <c r="OET80" s="684"/>
      <c r="OEU80" s="684"/>
      <c r="OEV80" s="684"/>
      <c r="OEW80" s="684"/>
      <c r="OEX80" s="684"/>
      <c r="OEY80" s="684"/>
      <c r="OEZ80" s="684"/>
      <c r="OFA80" s="684"/>
      <c r="OFB80" s="684"/>
      <c r="OFC80" s="684"/>
      <c r="OFD80" s="684"/>
      <c r="OFE80" s="684"/>
      <c r="OFF80" s="684"/>
      <c r="OFG80" s="684"/>
      <c r="OFH80" s="684"/>
      <c r="OFI80" s="684"/>
      <c r="OFJ80" s="684"/>
      <c r="OFK80" s="684"/>
      <c r="OFL80" s="684"/>
      <c r="OFM80" s="684"/>
      <c r="OFN80" s="684"/>
      <c r="OFO80" s="684"/>
      <c r="OFP80" s="684"/>
      <c r="OFQ80" s="684"/>
      <c r="OFR80" s="684"/>
      <c r="OFS80" s="684"/>
      <c r="OFT80" s="684"/>
      <c r="OFU80" s="684"/>
      <c r="OFV80" s="684"/>
      <c r="OFW80" s="684"/>
      <c r="OFX80" s="684"/>
      <c r="OFY80" s="684"/>
      <c r="OFZ80" s="684"/>
      <c r="OGA80" s="684"/>
      <c r="OGB80" s="684"/>
      <c r="OGC80" s="684"/>
      <c r="OGD80" s="684"/>
      <c r="OGE80" s="684"/>
      <c r="OGF80" s="684"/>
      <c r="OGG80" s="684"/>
      <c r="OGH80" s="684"/>
      <c r="OGI80" s="684"/>
      <c r="OGJ80" s="684"/>
      <c r="OGK80" s="684"/>
      <c r="OGL80" s="684"/>
      <c r="OGM80" s="684"/>
      <c r="OGN80" s="684"/>
      <c r="OGO80" s="684"/>
      <c r="OGP80" s="684"/>
      <c r="OGQ80" s="684"/>
      <c r="OGR80" s="684"/>
      <c r="OGS80" s="684"/>
      <c r="OGT80" s="684"/>
      <c r="OGU80" s="684"/>
      <c r="OGV80" s="684"/>
      <c r="OGW80" s="684"/>
      <c r="OGX80" s="684"/>
      <c r="OGY80" s="684"/>
      <c r="OGZ80" s="684"/>
      <c r="OHA80" s="684"/>
      <c r="OHB80" s="684"/>
      <c r="OHC80" s="684"/>
      <c r="OHD80" s="684"/>
      <c r="OHE80" s="684"/>
      <c r="OHF80" s="684"/>
      <c r="OHG80" s="684"/>
      <c r="OHH80" s="684"/>
      <c r="OHI80" s="684"/>
      <c r="OHJ80" s="684"/>
      <c r="OHK80" s="684"/>
      <c r="OHL80" s="684"/>
      <c r="OHM80" s="684"/>
      <c r="OHN80" s="684"/>
      <c r="OHO80" s="684"/>
      <c r="OHP80" s="684"/>
      <c r="OHQ80" s="684"/>
      <c r="OHR80" s="684"/>
      <c r="OHS80" s="684"/>
      <c r="OHT80" s="684"/>
      <c r="OHU80" s="684"/>
      <c r="OHV80" s="684"/>
      <c r="OHW80" s="684"/>
      <c r="OHX80" s="684"/>
      <c r="OHY80" s="684"/>
      <c r="OHZ80" s="684"/>
      <c r="OIA80" s="684"/>
      <c r="OIB80" s="684"/>
      <c r="OIC80" s="684"/>
      <c r="OID80" s="684"/>
      <c r="OIE80" s="684"/>
      <c r="OIF80" s="684"/>
      <c r="OIG80" s="684"/>
      <c r="OIH80" s="684"/>
      <c r="OII80" s="684"/>
      <c r="OIJ80" s="684"/>
      <c r="OIK80" s="684"/>
      <c r="OIL80" s="684"/>
      <c r="OIM80" s="684"/>
      <c r="OIN80" s="684"/>
      <c r="OIO80" s="684"/>
      <c r="OIP80" s="684"/>
      <c r="OIQ80" s="684"/>
      <c r="OIR80" s="684"/>
      <c r="OIS80" s="684"/>
      <c r="OIT80" s="684"/>
      <c r="OIU80" s="684"/>
      <c r="OIV80" s="684"/>
      <c r="OIW80" s="684"/>
      <c r="OIX80" s="684"/>
      <c r="OIY80" s="684"/>
      <c r="OIZ80" s="684"/>
      <c r="OJA80" s="684"/>
      <c r="OJB80" s="684"/>
      <c r="OJC80" s="684"/>
      <c r="OJD80" s="684"/>
      <c r="OJE80" s="684"/>
      <c r="OJF80" s="684"/>
      <c r="OJG80" s="684"/>
      <c r="OJH80" s="684"/>
      <c r="OJI80" s="684"/>
      <c r="OJJ80" s="684"/>
      <c r="OJK80" s="684"/>
      <c r="OJL80" s="684"/>
      <c r="OJM80" s="684"/>
      <c r="OJN80" s="684"/>
      <c r="OJO80" s="684"/>
      <c r="OJP80" s="684"/>
      <c r="OJQ80" s="684"/>
      <c r="OJR80" s="684"/>
      <c r="OJS80" s="684"/>
      <c r="OJT80" s="684"/>
      <c r="OJU80" s="684"/>
      <c r="OJV80" s="684"/>
      <c r="OJW80" s="684"/>
      <c r="OJX80" s="684"/>
      <c r="OJY80" s="684"/>
      <c r="OJZ80" s="684"/>
      <c r="OKA80" s="684"/>
      <c r="OKB80" s="684"/>
      <c r="OKC80" s="684"/>
      <c r="OKD80" s="684"/>
      <c r="OKE80" s="684"/>
      <c r="OKF80" s="684"/>
      <c r="OKG80" s="684"/>
      <c r="OKH80" s="684"/>
      <c r="OKI80" s="684"/>
      <c r="OKJ80" s="684"/>
      <c r="OKK80" s="684"/>
      <c r="OKL80" s="684"/>
      <c r="OKM80" s="684"/>
      <c r="OKN80" s="684"/>
      <c r="OKO80" s="684"/>
      <c r="OKP80" s="684"/>
      <c r="OKQ80" s="684"/>
      <c r="OKR80" s="684"/>
      <c r="OKS80" s="684"/>
      <c r="OKT80" s="684"/>
      <c r="OKU80" s="684"/>
      <c r="OKV80" s="684"/>
      <c r="OKW80" s="684"/>
      <c r="OKX80" s="684"/>
      <c r="OKY80" s="684"/>
      <c r="OKZ80" s="684"/>
      <c r="OLA80" s="684"/>
      <c r="OLB80" s="684"/>
      <c r="OLC80" s="684"/>
      <c r="OLD80" s="684"/>
      <c r="OLE80" s="684"/>
      <c r="OLF80" s="684"/>
      <c r="OLG80" s="684"/>
      <c r="OLH80" s="684"/>
      <c r="OLI80" s="684"/>
      <c r="OLJ80" s="684"/>
      <c r="OLK80" s="684"/>
      <c r="OLL80" s="684"/>
      <c r="OLM80" s="684"/>
      <c r="OLN80" s="684"/>
      <c r="OLO80" s="684"/>
      <c r="OLP80" s="684"/>
      <c r="OLQ80" s="684"/>
      <c r="OLR80" s="684"/>
      <c r="OLS80" s="684"/>
      <c r="OLT80" s="684"/>
      <c r="OLU80" s="684"/>
      <c r="OLV80" s="684"/>
      <c r="OLW80" s="684"/>
      <c r="OLX80" s="684"/>
      <c r="OLY80" s="684"/>
      <c r="OLZ80" s="684"/>
      <c r="OMA80" s="684"/>
      <c r="OMB80" s="684"/>
      <c r="OMC80" s="684"/>
      <c r="OMD80" s="684"/>
      <c r="OME80" s="684"/>
      <c r="OMF80" s="684"/>
      <c r="OMG80" s="684"/>
      <c r="OMH80" s="684"/>
      <c r="OMI80" s="684"/>
      <c r="OMJ80" s="684"/>
      <c r="OMK80" s="684"/>
      <c r="OML80" s="684"/>
      <c r="OMM80" s="684"/>
      <c r="OMN80" s="684"/>
      <c r="OMO80" s="684"/>
      <c r="OMP80" s="684"/>
      <c r="OMQ80" s="684"/>
      <c r="OMR80" s="684"/>
      <c r="OMS80" s="684"/>
      <c r="OMT80" s="684"/>
      <c r="OMU80" s="684"/>
      <c r="OMV80" s="684"/>
      <c r="OMW80" s="684"/>
      <c r="OMX80" s="684"/>
      <c r="OMY80" s="684"/>
      <c r="OMZ80" s="684"/>
      <c r="ONA80" s="684"/>
      <c r="ONB80" s="684"/>
      <c r="ONC80" s="684"/>
      <c r="OND80" s="684"/>
      <c r="ONE80" s="684"/>
      <c r="ONF80" s="684"/>
      <c r="ONG80" s="684"/>
      <c r="ONH80" s="684"/>
      <c r="ONI80" s="684"/>
      <c r="ONJ80" s="684"/>
      <c r="ONK80" s="684"/>
      <c r="ONL80" s="684"/>
      <c r="ONM80" s="684"/>
      <c r="ONN80" s="684"/>
      <c r="ONO80" s="684"/>
      <c r="ONP80" s="684"/>
      <c r="ONQ80" s="684"/>
      <c r="ONR80" s="684"/>
      <c r="ONS80" s="684"/>
      <c r="ONT80" s="684"/>
      <c r="ONU80" s="684"/>
      <c r="ONV80" s="684"/>
      <c r="ONW80" s="684"/>
      <c r="ONX80" s="684"/>
      <c r="ONY80" s="684"/>
      <c r="ONZ80" s="684"/>
      <c r="OOA80" s="684"/>
      <c r="OOB80" s="684"/>
      <c r="OOC80" s="684"/>
      <c r="OOD80" s="684"/>
      <c r="OOE80" s="684"/>
      <c r="OOF80" s="684"/>
      <c r="OOG80" s="684"/>
      <c r="OOH80" s="684"/>
      <c r="OOI80" s="684"/>
      <c r="OOJ80" s="684"/>
      <c r="OOK80" s="684"/>
      <c r="OOL80" s="684"/>
      <c r="OOM80" s="684"/>
      <c r="OON80" s="684"/>
      <c r="OOO80" s="684"/>
      <c r="OOP80" s="684"/>
      <c r="OOQ80" s="684"/>
      <c r="OOR80" s="684"/>
      <c r="OOS80" s="684"/>
      <c r="OOT80" s="684"/>
      <c r="OOU80" s="684"/>
      <c r="OOV80" s="684"/>
      <c r="OOW80" s="684"/>
      <c r="OOX80" s="684"/>
      <c r="OOY80" s="684"/>
      <c r="OOZ80" s="684"/>
      <c r="OPA80" s="684"/>
      <c r="OPB80" s="684"/>
      <c r="OPC80" s="684"/>
      <c r="OPD80" s="684"/>
      <c r="OPE80" s="684"/>
      <c r="OPF80" s="684"/>
      <c r="OPG80" s="684"/>
      <c r="OPH80" s="684"/>
      <c r="OPI80" s="684"/>
      <c r="OPJ80" s="684"/>
      <c r="OPK80" s="684"/>
      <c r="OPL80" s="684"/>
      <c r="OPM80" s="684"/>
      <c r="OPN80" s="684"/>
      <c r="OPO80" s="684"/>
      <c r="OPP80" s="684"/>
      <c r="OPQ80" s="684"/>
      <c r="OPR80" s="684"/>
      <c r="OPS80" s="684"/>
      <c r="OPT80" s="684"/>
      <c r="OPU80" s="684"/>
      <c r="OPV80" s="684"/>
      <c r="OPW80" s="684"/>
      <c r="OPX80" s="684"/>
      <c r="OPY80" s="684"/>
      <c r="OPZ80" s="684"/>
      <c r="OQA80" s="684"/>
      <c r="OQB80" s="684"/>
      <c r="OQC80" s="684"/>
      <c r="OQD80" s="684"/>
      <c r="OQE80" s="684"/>
      <c r="OQF80" s="684"/>
      <c r="OQG80" s="684"/>
      <c r="OQH80" s="684"/>
      <c r="OQI80" s="684"/>
      <c r="OQJ80" s="684"/>
      <c r="OQK80" s="684"/>
      <c r="OQL80" s="684"/>
      <c r="OQM80" s="684"/>
      <c r="OQN80" s="684"/>
      <c r="OQO80" s="684"/>
      <c r="OQP80" s="684"/>
      <c r="OQQ80" s="684"/>
      <c r="OQR80" s="684"/>
      <c r="OQS80" s="684"/>
      <c r="OQT80" s="684"/>
      <c r="OQU80" s="684"/>
      <c r="OQV80" s="684"/>
      <c r="OQW80" s="684"/>
      <c r="OQX80" s="684"/>
      <c r="OQY80" s="684"/>
      <c r="OQZ80" s="684"/>
      <c r="ORA80" s="684"/>
      <c r="ORB80" s="684"/>
      <c r="ORC80" s="684"/>
      <c r="ORD80" s="684"/>
      <c r="ORE80" s="684"/>
      <c r="ORF80" s="684"/>
      <c r="ORG80" s="684"/>
      <c r="ORH80" s="684"/>
      <c r="ORI80" s="684"/>
      <c r="ORJ80" s="684"/>
      <c r="ORK80" s="684"/>
      <c r="ORL80" s="684"/>
      <c r="ORM80" s="684"/>
      <c r="ORN80" s="684"/>
      <c r="ORO80" s="684"/>
      <c r="ORP80" s="684"/>
      <c r="ORQ80" s="684"/>
      <c r="ORR80" s="684"/>
      <c r="ORS80" s="684"/>
      <c r="ORT80" s="684"/>
      <c r="ORU80" s="684"/>
      <c r="ORV80" s="684"/>
      <c r="ORW80" s="684"/>
      <c r="ORX80" s="684"/>
      <c r="ORY80" s="684"/>
      <c r="ORZ80" s="684"/>
      <c r="OSA80" s="684"/>
      <c r="OSB80" s="684"/>
      <c r="OSC80" s="684"/>
      <c r="OSD80" s="684"/>
      <c r="OSE80" s="684"/>
      <c r="OSF80" s="684"/>
      <c r="OSG80" s="684"/>
      <c r="OSH80" s="684"/>
      <c r="OSI80" s="684"/>
      <c r="OSJ80" s="684"/>
      <c r="OSK80" s="684"/>
      <c r="OSL80" s="684"/>
      <c r="OSM80" s="684"/>
      <c r="OSN80" s="684"/>
      <c r="OSO80" s="684"/>
      <c r="OSP80" s="684"/>
      <c r="OSQ80" s="684"/>
      <c r="OSR80" s="684"/>
      <c r="OSS80" s="684"/>
      <c r="OST80" s="684"/>
      <c r="OSU80" s="684"/>
      <c r="OSV80" s="684"/>
      <c r="OSW80" s="684"/>
      <c r="OSX80" s="684"/>
      <c r="OSY80" s="684"/>
      <c r="OSZ80" s="684"/>
      <c r="OTA80" s="684"/>
      <c r="OTB80" s="684"/>
      <c r="OTC80" s="684"/>
      <c r="OTD80" s="684"/>
      <c r="OTE80" s="684"/>
      <c r="OTF80" s="684"/>
      <c r="OTG80" s="684"/>
      <c r="OTH80" s="684"/>
      <c r="OTI80" s="684"/>
      <c r="OTJ80" s="684"/>
      <c r="OTK80" s="684"/>
      <c r="OTL80" s="684"/>
      <c r="OTM80" s="684"/>
      <c r="OTN80" s="684"/>
      <c r="OTO80" s="684"/>
      <c r="OTP80" s="684"/>
      <c r="OTQ80" s="684"/>
      <c r="OTR80" s="684"/>
      <c r="OTS80" s="684"/>
      <c r="OTT80" s="684"/>
      <c r="OTU80" s="684"/>
      <c r="OTV80" s="684"/>
      <c r="OTW80" s="684"/>
      <c r="OTX80" s="684"/>
      <c r="OTY80" s="684"/>
      <c r="OTZ80" s="684"/>
      <c r="OUA80" s="684"/>
      <c r="OUB80" s="684"/>
      <c r="OUC80" s="684"/>
      <c r="OUD80" s="684"/>
      <c r="OUE80" s="684"/>
      <c r="OUF80" s="684"/>
      <c r="OUG80" s="684"/>
      <c r="OUH80" s="684"/>
      <c r="OUI80" s="684"/>
      <c r="OUJ80" s="684"/>
      <c r="OUK80" s="684"/>
      <c r="OUL80" s="684"/>
      <c r="OUM80" s="684"/>
      <c r="OUN80" s="684"/>
      <c r="OUO80" s="684"/>
      <c r="OUP80" s="684"/>
      <c r="OUQ80" s="684"/>
      <c r="OUR80" s="684"/>
      <c r="OUS80" s="684"/>
      <c r="OUT80" s="684"/>
      <c r="OUU80" s="684"/>
      <c r="OUV80" s="684"/>
      <c r="OUW80" s="684"/>
      <c r="OUX80" s="684"/>
      <c r="OUY80" s="684"/>
      <c r="OUZ80" s="684"/>
      <c r="OVA80" s="684"/>
      <c r="OVB80" s="684"/>
      <c r="OVC80" s="684"/>
      <c r="OVD80" s="684"/>
      <c r="OVE80" s="684"/>
      <c r="OVF80" s="684"/>
      <c r="OVG80" s="684"/>
      <c r="OVH80" s="684"/>
      <c r="OVI80" s="684"/>
      <c r="OVJ80" s="684"/>
      <c r="OVK80" s="684"/>
      <c r="OVL80" s="684"/>
      <c r="OVM80" s="684"/>
      <c r="OVN80" s="684"/>
      <c r="OVO80" s="684"/>
      <c r="OVP80" s="684"/>
      <c r="OVQ80" s="684"/>
      <c r="OVR80" s="684"/>
      <c r="OVS80" s="684"/>
      <c r="OVT80" s="684"/>
      <c r="OVU80" s="684"/>
      <c r="OVV80" s="684"/>
      <c r="OVW80" s="684"/>
      <c r="OVX80" s="684"/>
      <c r="OVY80" s="684"/>
      <c r="OVZ80" s="684"/>
      <c r="OWA80" s="684"/>
      <c r="OWB80" s="684"/>
      <c r="OWC80" s="684"/>
      <c r="OWD80" s="684"/>
      <c r="OWE80" s="684"/>
      <c r="OWF80" s="684"/>
      <c r="OWG80" s="684"/>
      <c r="OWH80" s="684"/>
      <c r="OWI80" s="684"/>
      <c r="OWJ80" s="684"/>
      <c r="OWK80" s="684"/>
      <c r="OWL80" s="684"/>
      <c r="OWM80" s="684"/>
      <c r="OWN80" s="684"/>
      <c r="OWO80" s="684"/>
      <c r="OWP80" s="684"/>
      <c r="OWQ80" s="684"/>
      <c r="OWR80" s="684"/>
      <c r="OWS80" s="684"/>
      <c r="OWT80" s="684"/>
      <c r="OWU80" s="684"/>
      <c r="OWV80" s="684"/>
      <c r="OWW80" s="684"/>
      <c r="OWX80" s="684"/>
      <c r="OWY80" s="684"/>
      <c r="OWZ80" s="684"/>
      <c r="OXA80" s="684"/>
      <c r="OXB80" s="684"/>
      <c r="OXC80" s="684"/>
      <c r="OXD80" s="684"/>
      <c r="OXE80" s="684"/>
      <c r="OXF80" s="684"/>
      <c r="OXG80" s="684"/>
      <c r="OXH80" s="684"/>
      <c r="OXI80" s="684"/>
      <c r="OXJ80" s="684"/>
      <c r="OXK80" s="684"/>
      <c r="OXL80" s="684"/>
      <c r="OXM80" s="684"/>
      <c r="OXN80" s="684"/>
      <c r="OXO80" s="684"/>
      <c r="OXP80" s="684"/>
      <c r="OXQ80" s="684"/>
      <c r="OXR80" s="684"/>
      <c r="OXS80" s="684"/>
      <c r="OXT80" s="684"/>
      <c r="OXU80" s="684"/>
      <c r="OXV80" s="684"/>
      <c r="OXW80" s="684"/>
      <c r="OXX80" s="684"/>
      <c r="OXY80" s="684"/>
      <c r="OXZ80" s="684"/>
      <c r="OYA80" s="684"/>
      <c r="OYB80" s="684"/>
      <c r="OYC80" s="684"/>
      <c r="OYD80" s="684"/>
      <c r="OYE80" s="684"/>
      <c r="OYF80" s="684"/>
      <c r="OYG80" s="684"/>
      <c r="OYH80" s="684"/>
      <c r="OYI80" s="684"/>
      <c r="OYJ80" s="684"/>
      <c r="OYK80" s="684"/>
      <c r="OYL80" s="684"/>
      <c r="OYM80" s="684"/>
      <c r="OYN80" s="684"/>
      <c r="OYO80" s="684"/>
      <c r="OYP80" s="684"/>
      <c r="OYQ80" s="684"/>
      <c r="OYR80" s="684"/>
      <c r="OYS80" s="684"/>
      <c r="OYT80" s="684"/>
      <c r="OYU80" s="684"/>
      <c r="OYV80" s="684"/>
      <c r="OYW80" s="684"/>
      <c r="OYX80" s="684"/>
      <c r="OYY80" s="684"/>
      <c r="OYZ80" s="684"/>
      <c r="OZA80" s="684"/>
      <c r="OZB80" s="684"/>
      <c r="OZC80" s="684"/>
      <c r="OZD80" s="684"/>
      <c r="OZE80" s="684"/>
      <c r="OZF80" s="684"/>
      <c r="OZG80" s="684"/>
      <c r="OZH80" s="684"/>
      <c r="OZI80" s="684"/>
      <c r="OZJ80" s="684"/>
      <c r="OZK80" s="684"/>
      <c r="OZL80" s="684"/>
      <c r="OZM80" s="684"/>
      <c r="OZN80" s="684"/>
      <c r="OZO80" s="684"/>
      <c r="OZP80" s="684"/>
      <c r="OZQ80" s="684"/>
      <c r="OZR80" s="684"/>
      <c r="OZS80" s="684"/>
      <c r="OZT80" s="684"/>
      <c r="OZU80" s="684"/>
      <c r="OZV80" s="684"/>
      <c r="OZW80" s="684"/>
      <c r="OZX80" s="684"/>
      <c r="OZY80" s="684"/>
      <c r="OZZ80" s="684"/>
      <c r="PAA80" s="684"/>
      <c r="PAB80" s="684"/>
      <c r="PAC80" s="684"/>
      <c r="PAD80" s="684"/>
      <c r="PAE80" s="684"/>
      <c r="PAF80" s="684"/>
      <c r="PAG80" s="684"/>
      <c r="PAH80" s="684"/>
      <c r="PAI80" s="684"/>
      <c r="PAJ80" s="684"/>
      <c r="PAK80" s="684"/>
      <c r="PAL80" s="684"/>
      <c r="PAM80" s="684"/>
      <c r="PAN80" s="684"/>
      <c r="PAO80" s="684"/>
      <c r="PAP80" s="684"/>
      <c r="PAQ80" s="684"/>
      <c r="PAR80" s="684"/>
      <c r="PAS80" s="684"/>
      <c r="PAT80" s="684"/>
      <c r="PAU80" s="684"/>
      <c r="PAV80" s="684"/>
      <c r="PAW80" s="684"/>
      <c r="PAX80" s="684"/>
      <c r="PAY80" s="684"/>
      <c r="PAZ80" s="684"/>
      <c r="PBA80" s="684"/>
      <c r="PBB80" s="684"/>
      <c r="PBC80" s="684"/>
      <c r="PBD80" s="684"/>
      <c r="PBE80" s="684"/>
      <c r="PBF80" s="684"/>
      <c r="PBG80" s="684"/>
      <c r="PBH80" s="684"/>
      <c r="PBI80" s="684"/>
      <c r="PBJ80" s="684"/>
      <c r="PBK80" s="684"/>
      <c r="PBL80" s="684"/>
      <c r="PBM80" s="684"/>
      <c r="PBN80" s="684"/>
      <c r="PBO80" s="684"/>
      <c r="PBP80" s="684"/>
      <c r="PBQ80" s="684"/>
      <c r="PBR80" s="684"/>
      <c r="PBS80" s="684"/>
      <c r="PBT80" s="684"/>
      <c r="PBU80" s="684"/>
      <c r="PBV80" s="684"/>
      <c r="PBW80" s="684"/>
      <c r="PBX80" s="684"/>
      <c r="PBY80" s="684"/>
      <c r="PBZ80" s="684"/>
      <c r="PCA80" s="684"/>
      <c r="PCB80" s="684"/>
      <c r="PCC80" s="684"/>
      <c r="PCD80" s="684"/>
      <c r="PCE80" s="684"/>
      <c r="PCF80" s="684"/>
      <c r="PCG80" s="684"/>
      <c r="PCH80" s="684"/>
      <c r="PCI80" s="684"/>
      <c r="PCJ80" s="684"/>
      <c r="PCK80" s="684"/>
      <c r="PCL80" s="684"/>
      <c r="PCM80" s="684"/>
      <c r="PCN80" s="684"/>
      <c r="PCO80" s="684"/>
      <c r="PCP80" s="684"/>
      <c r="PCQ80" s="684"/>
      <c r="PCR80" s="684"/>
      <c r="PCS80" s="684"/>
      <c r="PCT80" s="684"/>
      <c r="PCU80" s="684"/>
      <c r="PCV80" s="684"/>
      <c r="PCW80" s="684"/>
      <c r="PCX80" s="684"/>
      <c r="PCY80" s="684"/>
      <c r="PCZ80" s="684"/>
      <c r="PDA80" s="684"/>
      <c r="PDB80" s="684"/>
      <c r="PDC80" s="684"/>
      <c r="PDD80" s="684"/>
      <c r="PDE80" s="684"/>
      <c r="PDF80" s="684"/>
      <c r="PDG80" s="684"/>
      <c r="PDH80" s="684"/>
      <c r="PDI80" s="684"/>
      <c r="PDJ80" s="684"/>
      <c r="PDK80" s="684"/>
      <c r="PDL80" s="684"/>
      <c r="PDM80" s="684"/>
      <c r="PDN80" s="684"/>
      <c r="PDO80" s="684"/>
      <c r="PDP80" s="684"/>
      <c r="PDQ80" s="684"/>
      <c r="PDR80" s="684"/>
      <c r="PDS80" s="684"/>
      <c r="PDT80" s="684"/>
      <c r="PDU80" s="684"/>
      <c r="PDV80" s="684"/>
      <c r="PDW80" s="684"/>
      <c r="PDX80" s="684"/>
      <c r="PDY80" s="684"/>
      <c r="PDZ80" s="684"/>
      <c r="PEA80" s="684"/>
      <c r="PEB80" s="684"/>
      <c r="PEC80" s="684"/>
      <c r="PED80" s="684"/>
      <c r="PEE80" s="684"/>
      <c r="PEF80" s="684"/>
      <c r="PEG80" s="684"/>
      <c r="PEH80" s="684"/>
      <c r="PEI80" s="684"/>
      <c r="PEJ80" s="684"/>
      <c r="PEK80" s="684"/>
      <c r="PEL80" s="684"/>
      <c r="PEM80" s="684"/>
      <c r="PEN80" s="684"/>
      <c r="PEO80" s="684"/>
      <c r="PEP80" s="684"/>
      <c r="PEQ80" s="684"/>
      <c r="PER80" s="684"/>
      <c r="PES80" s="684"/>
      <c r="PET80" s="684"/>
      <c r="PEU80" s="684"/>
      <c r="PEV80" s="684"/>
      <c r="PEW80" s="684"/>
      <c r="PEX80" s="684"/>
      <c r="PEY80" s="684"/>
      <c r="PEZ80" s="684"/>
      <c r="PFA80" s="684"/>
      <c r="PFB80" s="684"/>
      <c r="PFC80" s="684"/>
      <c r="PFD80" s="684"/>
      <c r="PFE80" s="684"/>
      <c r="PFF80" s="684"/>
      <c r="PFG80" s="684"/>
      <c r="PFH80" s="684"/>
      <c r="PFI80" s="684"/>
      <c r="PFJ80" s="684"/>
      <c r="PFK80" s="684"/>
      <c r="PFL80" s="684"/>
      <c r="PFM80" s="684"/>
      <c r="PFN80" s="684"/>
      <c r="PFO80" s="684"/>
      <c r="PFP80" s="684"/>
      <c r="PFQ80" s="684"/>
      <c r="PFR80" s="684"/>
      <c r="PFS80" s="684"/>
      <c r="PFT80" s="684"/>
      <c r="PFU80" s="684"/>
      <c r="PFV80" s="684"/>
      <c r="PFW80" s="684"/>
      <c r="PFX80" s="684"/>
      <c r="PFY80" s="684"/>
      <c r="PFZ80" s="684"/>
      <c r="PGA80" s="684"/>
      <c r="PGB80" s="684"/>
      <c r="PGC80" s="684"/>
      <c r="PGD80" s="684"/>
      <c r="PGE80" s="684"/>
      <c r="PGF80" s="684"/>
      <c r="PGG80" s="684"/>
      <c r="PGH80" s="684"/>
      <c r="PGI80" s="684"/>
      <c r="PGJ80" s="684"/>
      <c r="PGK80" s="684"/>
      <c r="PGL80" s="684"/>
      <c r="PGM80" s="684"/>
      <c r="PGN80" s="684"/>
      <c r="PGO80" s="684"/>
      <c r="PGP80" s="684"/>
      <c r="PGQ80" s="684"/>
      <c r="PGR80" s="684"/>
      <c r="PGS80" s="684"/>
      <c r="PGT80" s="684"/>
      <c r="PGU80" s="684"/>
      <c r="PGV80" s="684"/>
      <c r="PGW80" s="684"/>
      <c r="PGX80" s="684"/>
      <c r="PGY80" s="684"/>
      <c r="PGZ80" s="684"/>
      <c r="PHA80" s="684"/>
      <c r="PHB80" s="684"/>
      <c r="PHC80" s="684"/>
      <c r="PHD80" s="684"/>
      <c r="PHE80" s="684"/>
      <c r="PHF80" s="684"/>
      <c r="PHG80" s="684"/>
      <c r="PHH80" s="684"/>
      <c r="PHI80" s="684"/>
      <c r="PHJ80" s="684"/>
      <c r="PHK80" s="684"/>
      <c r="PHL80" s="684"/>
      <c r="PHM80" s="684"/>
      <c r="PHN80" s="684"/>
      <c r="PHO80" s="684"/>
      <c r="PHP80" s="684"/>
      <c r="PHQ80" s="684"/>
      <c r="PHR80" s="684"/>
      <c r="PHS80" s="684"/>
      <c r="PHT80" s="684"/>
      <c r="PHU80" s="684"/>
      <c r="PHV80" s="684"/>
      <c r="PHW80" s="684"/>
      <c r="PHX80" s="684"/>
      <c r="PHY80" s="684"/>
      <c r="PHZ80" s="684"/>
      <c r="PIA80" s="684"/>
      <c r="PIB80" s="684"/>
      <c r="PIC80" s="684"/>
      <c r="PID80" s="684"/>
      <c r="PIE80" s="684"/>
      <c r="PIF80" s="684"/>
      <c r="PIG80" s="684"/>
      <c r="PIH80" s="684"/>
      <c r="PII80" s="684"/>
      <c r="PIJ80" s="684"/>
      <c r="PIK80" s="684"/>
      <c r="PIL80" s="684"/>
      <c r="PIM80" s="684"/>
      <c r="PIN80" s="684"/>
      <c r="PIO80" s="684"/>
      <c r="PIP80" s="684"/>
      <c r="PIQ80" s="684"/>
      <c r="PIR80" s="684"/>
      <c r="PIS80" s="684"/>
      <c r="PIT80" s="684"/>
      <c r="PIU80" s="684"/>
      <c r="PIV80" s="684"/>
      <c r="PIW80" s="684"/>
      <c r="PIX80" s="684"/>
      <c r="PIY80" s="684"/>
      <c r="PIZ80" s="684"/>
      <c r="PJA80" s="684"/>
      <c r="PJB80" s="684"/>
      <c r="PJC80" s="684"/>
      <c r="PJD80" s="684"/>
      <c r="PJE80" s="684"/>
      <c r="PJF80" s="684"/>
      <c r="PJG80" s="684"/>
      <c r="PJH80" s="684"/>
      <c r="PJI80" s="684"/>
      <c r="PJJ80" s="684"/>
      <c r="PJK80" s="684"/>
      <c r="PJL80" s="684"/>
      <c r="PJM80" s="684"/>
      <c r="PJN80" s="684"/>
      <c r="PJO80" s="684"/>
      <c r="PJP80" s="684"/>
      <c r="PJQ80" s="684"/>
      <c r="PJR80" s="684"/>
      <c r="PJS80" s="684"/>
      <c r="PJT80" s="684"/>
      <c r="PJU80" s="684"/>
      <c r="PJV80" s="684"/>
      <c r="PJW80" s="684"/>
      <c r="PJX80" s="684"/>
      <c r="PJY80" s="684"/>
      <c r="PJZ80" s="684"/>
      <c r="PKA80" s="684"/>
      <c r="PKB80" s="684"/>
      <c r="PKC80" s="684"/>
      <c r="PKD80" s="684"/>
      <c r="PKE80" s="684"/>
      <c r="PKF80" s="684"/>
      <c r="PKG80" s="684"/>
      <c r="PKH80" s="684"/>
      <c r="PKI80" s="684"/>
      <c r="PKJ80" s="684"/>
      <c r="PKK80" s="684"/>
      <c r="PKL80" s="684"/>
      <c r="PKM80" s="684"/>
      <c r="PKN80" s="684"/>
      <c r="PKO80" s="684"/>
      <c r="PKP80" s="684"/>
      <c r="PKQ80" s="684"/>
      <c r="PKR80" s="684"/>
      <c r="PKS80" s="684"/>
      <c r="PKT80" s="684"/>
      <c r="PKU80" s="684"/>
      <c r="PKV80" s="684"/>
      <c r="PKW80" s="684"/>
      <c r="PKX80" s="684"/>
      <c r="PKY80" s="684"/>
      <c r="PKZ80" s="684"/>
      <c r="PLA80" s="684"/>
      <c r="PLB80" s="684"/>
      <c r="PLC80" s="684"/>
      <c r="PLD80" s="684"/>
      <c r="PLE80" s="684"/>
      <c r="PLF80" s="684"/>
      <c r="PLG80" s="684"/>
      <c r="PLH80" s="684"/>
      <c r="PLI80" s="684"/>
      <c r="PLJ80" s="684"/>
      <c r="PLK80" s="684"/>
      <c r="PLL80" s="684"/>
      <c r="PLM80" s="684"/>
      <c r="PLN80" s="684"/>
      <c r="PLO80" s="684"/>
      <c r="PLP80" s="684"/>
      <c r="PLQ80" s="684"/>
      <c r="PLR80" s="684"/>
      <c r="PLS80" s="684"/>
      <c r="PLT80" s="684"/>
      <c r="PLU80" s="684"/>
      <c r="PLV80" s="684"/>
      <c r="PLW80" s="684"/>
      <c r="PLX80" s="684"/>
      <c r="PLY80" s="684"/>
      <c r="PLZ80" s="684"/>
      <c r="PMA80" s="684"/>
      <c r="PMB80" s="684"/>
      <c r="PMC80" s="684"/>
      <c r="PMD80" s="684"/>
      <c r="PME80" s="684"/>
      <c r="PMF80" s="684"/>
      <c r="PMG80" s="684"/>
      <c r="PMH80" s="684"/>
      <c r="PMI80" s="684"/>
      <c r="PMJ80" s="684"/>
      <c r="PMK80" s="684"/>
      <c r="PML80" s="684"/>
      <c r="PMM80" s="684"/>
      <c r="PMN80" s="684"/>
      <c r="PMO80" s="684"/>
      <c r="PMP80" s="684"/>
      <c r="PMQ80" s="684"/>
      <c r="PMR80" s="684"/>
      <c r="PMS80" s="684"/>
      <c r="PMT80" s="684"/>
      <c r="PMU80" s="684"/>
      <c r="PMV80" s="684"/>
      <c r="PMW80" s="684"/>
      <c r="PMX80" s="684"/>
      <c r="PMY80" s="684"/>
      <c r="PMZ80" s="684"/>
      <c r="PNA80" s="684"/>
      <c r="PNB80" s="684"/>
      <c r="PNC80" s="684"/>
      <c r="PND80" s="684"/>
      <c r="PNE80" s="684"/>
      <c r="PNF80" s="684"/>
      <c r="PNG80" s="684"/>
      <c r="PNH80" s="684"/>
      <c r="PNI80" s="684"/>
      <c r="PNJ80" s="684"/>
      <c r="PNK80" s="684"/>
      <c r="PNL80" s="684"/>
      <c r="PNM80" s="684"/>
      <c r="PNN80" s="684"/>
      <c r="PNO80" s="684"/>
      <c r="PNP80" s="684"/>
      <c r="PNQ80" s="684"/>
      <c r="PNR80" s="684"/>
      <c r="PNS80" s="684"/>
      <c r="PNT80" s="684"/>
      <c r="PNU80" s="684"/>
      <c r="PNV80" s="684"/>
      <c r="PNW80" s="684"/>
      <c r="PNX80" s="684"/>
      <c r="PNY80" s="684"/>
      <c r="PNZ80" s="684"/>
      <c r="POA80" s="684"/>
      <c r="POB80" s="684"/>
      <c r="POC80" s="684"/>
      <c r="POD80" s="684"/>
      <c r="POE80" s="684"/>
      <c r="POF80" s="684"/>
      <c r="POG80" s="684"/>
      <c r="POH80" s="684"/>
      <c r="POI80" s="684"/>
      <c r="POJ80" s="684"/>
      <c r="POK80" s="684"/>
      <c r="POL80" s="684"/>
      <c r="POM80" s="684"/>
      <c r="PON80" s="684"/>
      <c r="POO80" s="684"/>
      <c r="POP80" s="684"/>
      <c r="POQ80" s="684"/>
      <c r="POR80" s="684"/>
      <c r="POS80" s="684"/>
      <c r="POT80" s="684"/>
      <c r="POU80" s="684"/>
      <c r="POV80" s="684"/>
      <c r="POW80" s="684"/>
      <c r="POX80" s="684"/>
      <c r="POY80" s="684"/>
      <c r="POZ80" s="684"/>
      <c r="PPA80" s="684"/>
      <c r="PPB80" s="684"/>
      <c r="PPC80" s="684"/>
      <c r="PPD80" s="684"/>
      <c r="PPE80" s="684"/>
      <c r="PPF80" s="684"/>
      <c r="PPG80" s="684"/>
      <c r="PPH80" s="684"/>
      <c r="PPI80" s="684"/>
      <c r="PPJ80" s="684"/>
      <c r="PPK80" s="684"/>
      <c r="PPL80" s="684"/>
      <c r="PPM80" s="684"/>
      <c r="PPN80" s="684"/>
      <c r="PPO80" s="684"/>
      <c r="PPP80" s="684"/>
      <c r="PPQ80" s="684"/>
      <c r="PPR80" s="684"/>
      <c r="PPS80" s="684"/>
      <c r="PPT80" s="684"/>
      <c r="PPU80" s="684"/>
      <c r="PPV80" s="684"/>
      <c r="PPW80" s="684"/>
      <c r="PPX80" s="684"/>
      <c r="PPY80" s="684"/>
      <c r="PPZ80" s="684"/>
      <c r="PQA80" s="684"/>
      <c r="PQB80" s="684"/>
      <c r="PQC80" s="684"/>
      <c r="PQD80" s="684"/>
      <c r="PQE80" s="684"/>
      <c r="PQF80" s="684"/>
      <c r="PQG80" s="684"/>
      <c r="PQH80" s="684"/>
      <c r="PQI80" s="684"/>
      <c r="PQJ80" s="684"/>
      <c r="PQK80" s="684"/>
      <c r="PQL80" s="684"/>
      <c r="PQM80" s="684"/>
      <c r="PQN80" s="684"/>
      <c r="PQO80" s="684"/>
      <c r="PQP80" s="684"/>
      <c r="PQQ80" s="684"/>
      <c r="PQR80" s="684"/>
      <c r="PQS80" s="684"/>
      <c r="PQT80" s="684"/>
      <c r="PQU80" s="684"/>
      <c r="PQV80" s="684"/>
      <c r="PQW80" s="684"/>
      <c r="PQX80" s="684"/>
      <c r="PQY80" s="684"/>
      <c r="PQZ80" s="684"/>
      <c r="PRA80" s="684"/>
      <c r="PRB80" s="684"/>
      <c r="PRC80" s="684"/>
      <c r="PRD80" s="684"/>
      <c r="PRE80" s="684"/>
      <c r="PRF80" s="684"/>
      <c r="PRG80" s="684"/>
      <c r="PRH80" s="684"/>
      <c r="PRI80" s="684"/>
      <c r="PRJ80" s="684"/>
      <c r="PRK80" s="684"/>
      <c r="PRL80" s="684"/>
      <c r="PRM80" s="684"/>
      <c r="PRN80" s="684"/>
      <c r="PRO80" s="684"/>
      <c r="PRP80" s="684"/>
      <c r="PRQ80" s="684"/>
      <c r="PRR80" s="684"/>
      <c r="PRS80" s="684"/>
      <c r="PRT80" s="684"/>
      <c r="PRU80" s="684"/>
      <c r="PRV80" s="684"/>
      <c r="PRW80" s="684"/>
      <c r="PRX80" s="684"/>
      <c r="PRY80" s="684"/>
      <c r="PRZ80" s="684"/>
      <c r="PSA80" s="684"/>
      <c r="PSB80" s="684"/>
      <c r="PSC80" s="684"/>
      <c r="PSD80" s="684"/>
      <c r="PSE80" s="684"/>
      <c r="PSF80" s="684"/>
      <c r="PSG80" s="684"/>
      <c r="PSH80" s="684"/>
      <c r="PSI80" s="684"/>
      <c r="PSJ80" s="684"/>
      <c r="PSK80" s="684"/>
      <c r="PSL80" s="684"/>
      <c r="PSM80" s="684"/>
      <c r="PSN80" s="684"/>
      <c r="PSO80" s="684"/>
      <c r="PSP80" s="684"/>
      <c r="PSQ80" s="684"/>
      <c r="PSR80" s="684"/>
      <c r="PSS80" s="684"/>
      <c r="PST80" s="684"/>
      <c r="PSU80" s="684"/>
      <c r="PSV80" s="684"/>
      <c r="PSW80" s="684"/>
      <c r="PSX80" s="684"/>
      <c r="PSY80" s="684"/>
      <c r="PSZ80" s="684"/>
      <c r="PTA80" s="684"/>
      <c r="PTB80" s="684"/>
      <c r="PTC80" s="684"/>
      <c r="PTD80" s="684"/>
      <c r="PTE80" s="684"/>
      <c r="PTF80" s="684"/>
      <c r="PTG80" s="684"/>
      <c r="PTH80" s="684"/>
      <c r="PTI80" s="684"/>
      <c r="PTJ80" s="684"/>
      <c r="PTK80" s="684"/>
      <c r="PTL80" s="684"/>
      <c r="PTM80" s="684"/>
      <c r="PTN80" s="684"/>
      <c r="PTO80" s="684"/>
      <c r="PTP80" s="684"/>
      <c r="PTQ80" s="684"/>
      <c r="PTR80" s="684"/>
      <c r="PTS80" s="684"/>
      <c r="PTT80" s="684"/>
      <c r="PTU80" s="684"/>
      <c r="PTV80" s="684"/>
      <c r="PTW80" s="684"/>
      <c r="PTX80" s="684"/>
      <c r="PTY80" s="684"/>
      <c r="PTZ80" s="684"/>
      <c r="PUA80" s="684"/>
      <c r="PUB80" s="684"/>
      <c r="PUC80" s="684"/>
      <c r="PUD80" s="684"/>
      <c r="PUE80" s="684"/>
      <c r="PUF80" s="684"/>
      <c r="PUG80" s="684"/>
      <c r="PUH80" s="684"/>
      <c r="PUI80" s="684"/>
      <c r="PUJ80" s="684"/>
      <c r="PUK80" s="684"/>
      <c r="PUL80" s="684"/>
      <c r="PUM80" s="684"/>
      <c r="PUN80" s="684"/>
      <c r="PUO80" s="684"/>
      <c r="PUP80" s="684"/>
      <c r="PUQ80" s="684"/>
      <c r="PUR80" s="684"/>
      <c r="PUS80" s="684"/>
      <c r="PUT80" s="684"/>
      <c r="PUU80" s="684"/>
      <c r="PUV80" s="684"/>
      <c r="PUW80" s="684"/>
      <c r="PUX80" s="684"/>
      <c r="PUY80" s="684"/>
      <c r="PUZ80" s="684"/>
      <c r="PVA80" s="684"/>
      <c r="PVB80" s="684"/>
      <c r="PVC80" s="684"/>
      <c r="PVD80" s="684"/>
      <c r="PVE80" s="684"/>
      <c r="PVF80" s="684"/>
      <c r="PVG80" s="684"/>
      <c r="PVH80" s="684"/>
      <c r="PVI80" s="684"/>
      <c r="PVJ80" s="684"/>
      <c r="PVK80" s="684"/>
      <c r="PVL80" s="684"/>
      <c r="PVM80" s="684"/>
      <c r="PVN80" s="684"/>
      <c r="PVO80" s="684"/>
      <c r="PVP80" s="684"/>
      <c r="PVQ80" s="684"/>
      <c r="PVR80" s="684"/>
      <c r="PVS80" s="684"/>
      <c r="PVT80" s="684"/>
      <c r="PVU80" s="684"/>
      <c r="PVV80" s="684"/>
      <c r="PVW80" s="684"/>
      <c r="PVX80" s="684"/>
      <c r="PVY80" s="684"/>
      <c r="PVZ80" s="684"/>
      <c r="PWA80" s="684"/>
      <c r="PWB80" s="684"/>
      <c r="PWC80" s="684"/>
      <c r="PWD80" s="684"/>
      <c r="PWE80" s="684"/>
      <c r="PWF80" s="684"/>
      <c r="PWG80" s="684"/>
      <c r="PWH80" s="684"/>
      <c r="PWI80" s="684"/>
      <c r="PWJ80" s="684"/>
      <c r="PWK80" s="684"/>
      <c r="PWL80" s="684"/>
      <c r="PWM80" s="684"/>
      <c r="PWN80" s="684"/>
      <c r="PWO80" s="684"/>
      <c r="PWP80" s="684"/>
      <c r="PWQ80" s="684"/>
      <c r="PWR80" s="684"/>
      <c r="PWS80" s="684"/>
      <c r="PWT80" s="684"/>
      <c r="PWU80" s="684"/>
      <c r="PWV80" s="684"/>
      <c r="PWW80" s="684"/>
      <c r="PWX80" s="684"/>
      <c r="PWY80" s="684"/>
      <c r="PWZ80" s="684"/>
      <c r="PXA80" s="684"/>
      <c r="PXB80" s="684"/>
      <c r="PXC80" s="684"/>
      <c r="PXD80" s="684"/>
      <c r="PXE80" s="684"/>
      <c r="PXF80" s="684"/>
      <c r="PXG80" s="684"/>
      <c r="PXH80" s="684"/>
      <c r="PXI80" s="684"/>
      <c r="PXJ80" s="684"/>
      <c r="PXK80" s="684"/>
      <c r="PXL80" s="684"/>
      <c r="PXM80" s="684"/>
      <c r="PXN80" s="684"/>
      <c r="PXO80" s="684"/>
      <c r="PXP80" s="684"/>
      <c r="PXQ80" s="684"/>
      <c r="PXR80" s="684"/>
      <c r="PXS80" s="684"/>
      <c r="PXT80" s="684"/>
      <c r="PXU80" s="684"/>
      <c r="PXV80" s="684"/>
      <c r="PXW80" s="684"/>
      <c r="PXX80" s="684"/>
      <c r="PXY80" s="684"/>
      <c r="PXZ80" s="684"/>
      <c r="PYA80" s="684"/>
      <c r="PYB80" s="684"/>
      <c r="PYC80" s="684"/>
      <c r="PYD80" s="684"/>
      <c r="PYE80" s="684"/>
      <c r="PYF80" s="684"/>
      <c r="PYG80" s="684"/>
      <c r="PYH80" s="684"/>
      <c r="PYI80" s="684"/>
      <c r="PYJ80" s="684"/>
      <c r="PYK80" s="684"/>
      <c r="PYL80" s="684"/>
      <c r="PYM80" s="684"/>
      <c r="PYN80" s="684"/>
      <c r="PYO80" s="684"/>
      <c r="PYP80" s="684"/>
      <c r="PYQ80" s="684"/>
      <c r="PYR80" s="684"/>
      <c r="PYS80" s="684"/>
      <c r="PYT80" s="684"/>
      <c r="PYU80" s="684"/>
      <c r="PYV80" s="684"/>
      <c r="PYW80" s="684"/>
      <c r="PYX80" s="684"/>
      <c r="PYY80" s="684"/>
      <c r="PYZ80" s="684"/>
      <c r="PZA80" s="684"/>
      <c r="PZB80" s="684"/>
      <c r="PZC80" s="684"/>
      <c r="PZD80" s="684"/>
      <c r="PZE80" s="684"/>
      <c r="PZF80" s="684"/>
      <c r="PZG80" s="684"/>
      <c r="PZH80" s="684"/>
      <c r="PZI80" s="684"/>
      <c r="PZJ80" s="684"/>
      <c r="PZK80" s="684"/>
      <c r="PZL80" s="684"/>
      <c r="PZM80" s="684"/>
      <c r="PZN80" s="684"/>
      <c r="PZO80" s="684"/>
      <c r="PZP80" s="684"/>
      <c r="PZQ80" s="684"/>
      <c r="PZR80" s="684"/>
      <c r="PZS80" s="684"/>
      <c r="PZT80" s="684"/>
      <c r="PZU80" s="684"/>
      <c r="PZV80" s="684"/>
      <c r="PZW80" s="684"/>
      <c r="PZX80" s="684"/>
      <c r="PZY80" s="684"/>
      <c r="PZZ80" s="684"/>
      <c r="QAA80" s="684"/>
      <c r="QAB80" s="684"/>
      <c r="QAC80" s="684"/>
      <c r="QAD80" s="684"/>
      <c r="QAE80" s="684"/>
      <c r="QAF80" s="684"/>
      <c r="QAG80" s="684"/>
      <c r="QAH80" s="684"/>
      <c r="QAI80" s="684"/>
      <c r="QAJ80" s="684"/>
      <c r="QAK80" s="684"/>
      <c r="QAL80" s="684"/>
      <c r="QAM80" s="684"/>
      <c r="QAN80" s="684"/>
      <c r="QAO80" s="684"/>
      <c r="QAP80" s="684"/>
      <c r="QAQ80" s="684"/>
      <c r="QAR80" s="684"/>
      <c r="QAS80" s="684"/>
      <c r="QAT80" s="684"/>
      <c r="QAU80" s="684"/>
      <c r="QAV80" s="684"/>
      <c r="QAW80" s="684"/>
      <c r="QAX80" s="684"/>
      <c r="QAY80" s="684"/>
      <c r="QAZ80" s="684"/>
      <c r="QBA80" s="684"/>
      <c r="QBB80" s="684"/>
      <c r="QBC80" s="684"/>
      <c r="QBD80" s="684"/>
      <c r="QBE80" s="684"/>
      <c r="QBF80" s="684"/>
      <c r="QBG80" s="684"/>
      <c r="QBH80" s="684"/>
      <c r="QBI80" s="684"/>
      <c r="QBJ80" s="684"/>
      <c r="QBK80" s="684"/>
      <c r="QBL80" s="684"/>
      <c r="QBM80" s="684"/>
      <c r="QBN80" s="684"/>
      <c r="QBO80" s="684"/>
      <c r="QBP80" s="684"/>
      <c r="QBQ80" s="684"/>
      <c r="QBR80" s="684"/>
      <c r="QBS80" s="684"/>
      <c r="QBT80" s="684"/>
      <c r="QBU80" s="684"/>
      <c r="QBV80" s="684"/>
      <c r="QBW80" s="684"/>
      <c r="QBX80" s="684"/>
      <c r="QBY80" s="684"/>
      <c r="QBZ80" s="684"/>
      <c r="QCA80" s="684"/>
      <c r="QCB80" s="684"/>
      <c r="QCC80" s="684"/>
      <c r="QCD80" s="684"/>
      <c r="QCE80" s="684"/>
      <c r="QCF80" s="684"/>
      <c r="QCG80" s="684"/>
      <c r="QCH80" s="684"/>
      <c r="QCI80" s="684"/>
      <c r="QCJ80" s="684"/>
      <c r="QCK80" s="684"/>
      <c r="QCL80" s="684"/>
      <c r="QCM80" s="684"/>
      <c r="QCN80" s="684"/>
      <c r="QCO80" s="684"/>
      <c r="QCP80" s="684"/>
      <c r="QCQ80" s="684"/>
      <c r="QCR80" s="684"/>
      <c r="QCS80" s="684"/>
      <c r="QCT80" s="684"/>
      <c r="QCU80" s="684"/>
      <c r="QCV80" s="684"/>
      <c r="QCW80" s="684"/>
      <c r="QCX80" s="684"/>
      <c r="QCY80" s="684"/>
      <c r="QCZ80" s="684"/>
      <c r="QDA80" s="684"/>
      <c r="QDB80" s="684"/>
      <c r="QDC80" s="684"/>
      <c r="QDD80" s="684"/>
      <c r="QDE80" s="684"/>
      <c r="QDF80" s="684"/>
      <c r="QDG80" s="684"/>
      <c r="QDH80" s="684"/>
      <c r="QDI80" s="684"/>
      <c r="QDJ80" s="684"/>
      <c r="QDK80" s="684"/>
      <c r="QDL80" s="684"/>
      <c r="QDM80" s="684"/>
      <c r="QDN80" s="684"/>
      <c r="QDO80" s="684"/>
      <c r="QDP80" s="684"/>
      <c r="QDQ80" s="684"/>
      <c r="QDR80" s="684"/>
      <c r="QDS80" s="684"/>
      <c r="QDT80" s="684"/>
      <c r="QDU80" s="684"/>
      <c r="QDV80" s="684"/>
      <c r="QDW80" s="684"/>
      <c r="QDX80" s="684"/>
      <c r="QDY80" s="684"/>
      <c r="QDZ80" s="684"/>
      <c r="QEA80" s="684"/>
      <c r="QEB80" s="684"/>
      <c r="QEC80" s="684"/>
      <c r="QED80" s="684"/>
      <c r="QEE80" s="684"/>
      <c r="QEF80" s="684"/>
      <c r="QEG80" s="684"/>
      <c r="QEH80" s="684"/>
      <c r="QEI80" s="684"/>
      <c r="QEJ80" s="684"/>
      <c r="QEK80" s="684"/>
      <c r="QEL80" s="684"/>
      <c r="QEM80" s="684"/>
      <c r="QEN80" s="684"/>
      <c r="QEO80" s="684"/>
      <c r="QEP80" s="684"/>
      <c r="QEQ80" s="684"/>
      <c r="QER80" s="684"/>
      <c r="QES80" s="684"/>
      <c r="QET80" s="684"/>
      <c r="QEU80" s="684"/>
      <c r="QEV80" s="684"/>
      <c r="QEW80" s="684"/>
      <c r="QEX80" s="684"/>
      <c r="QEY80" s="684"/>
      <c r="QEZ80" s="684"/>
      <c r="QFA80" s="684"/>
      <c r="QFB80" s="684"/>
      <c r="QFC80" s="684"/>
      <c r="QFD80" s="684"/>
      <c r="QFE80" s="684"/>
      <c r="QFF80" s="684"/>
      <c r="QFG80" s="684"/>
      <c r="QFH80" s="684"/>
      <c r="QFI80" s="684"/>
      <c r="QFJ80" s="684"/>
      <c r="QFK80" s="684"/>
      <c r="QFL80" s="684"/>
      <c r="QFM80" s="684"/>
      <c r="QFN80" s="684"/>
      <c r="QFO80" s="684"/>
      <c r="QFP80" s="684"/>
      <c r="QFQ80" s="684"/>
      <c r="QFR80" s="684"/>
      <c r="QFS80" s="684"/>
      <c r="QFT80" s="684"/>
      <c r="QFU80" s="684"/>
      <c r="QFV80" s="684"/>
      <c r="QFW80" s="684"/>
      <c r="QFX80" s="684"/>
      <c r="QFY80" s="684"/>
      <c r="QFZ80" s="684"/>
      <c r="QGA80" s="684"/>
      <c r="QGB80" s="684"/>
      <c r="QGC80" s="684"/>
      <c r="QGD80" s="684"/>
      <c r="QGE80" s="684"/>
      <c r="QGF80" s="684"/>
      <c r="QGG80" s="684"/>
      <c r="QGH80" s="684"/>
      <c r="QGI80" s="684"/>
      <c r="QGJ80" s="684"/>
      <c r="QGK80" s="684"/>
      <c r="QGL80" s="684"/>
      <c r="QGM80" s="684"/>
      <c r="QGN80" s="684"/>
      <c r="QGO80" s="684"/>
      <c r="QGP80" s="684"/>
      <c r="QGQ80" s="684"/>
      <c r="QGR80" s="684"/>
      <c r="QGS80" s="684"/>
      <c r="QGT80" s="684"/>
      <c r="QGU80" s="684"/>
      <c r="QGV80" s="684"/>
      <c r="QGW80" s="684"/>
      <c r="QGX80" s="684"/>
      <c r="QGY80" s="684"/>
      <c r="QGZ80" s="684"/>
      <c r="QHA80" s="684"/>
      <c r="QHB80" s="684"/>
      <c r="QHC80" s="684"/>
      <c r="QHD80" s="684"/>
      <c r="QHE80" s="684"/>
      <c r="QHF80" s="684"/>
      <c r="QHG80" s="684"/>
      <c r="QHH80" s="684"/>
      <c r="QHI80" s="684"/>
      <c r="QHJ80" s="684"/>
      <c r="QHK80" s="684"/>
      <c r="QHL80" s="684"/>
      <c r="QHM80" s="684"/>
      <c r="QHN80" s="684"/>
      <c r="QHO80" s="684"/>
      <c r="QHP80" s="684"/>
      <c r="QHQ80" s="684"/>
      <c r="QHR80" s="684"/>
      <c r="QHS80" s="684"/>
      <c r="QHT80" s="684"/>
      <c r="QHU80" s="684"/>
      <c r="QHV80" s="684"/>
      <c r="QHW80" s="684"/>
      <c r="QHX80" s="684"/>
      <c r="QHY80" s="684"/>
      <c r="QHZ80" s="684"/>
      <c r="QIA80" s="684"/>
      <c r="QIB80" s="684"/>
      <c r="QIC80" s="684"/>
      <c r="QID80" s="684"/>
      <c r="QIE80" s="684"/>
      <c r="QIF80" s="684"/>
      <c r="QIG80" s="684"/>
      <c r="QIH80" s="684"/>
      <c r="QII80" s="684"/>
      <c r="QIJ80" s="684"/>
      <c r="QIK80" s="684"/>
      <c r="QIL80" s="684"/>
      <c r="QIM80" s="684"/>
      <c r="QIN80" s="684"/>
      <c r="QIO80" s="684"/>
      <c r="QIP80" s="684"/>
      <c r="QIQ80" s="684"/>
      <c r="QIR80" s="684"/>
      <c r="QIS80" s="684"/>
      <c r="QIT80" s="684"/>
      <c r="QIU80" s="684"/>
      <c r="QIV80" s="684"/>
      <c r="QIW80" s="684"/>
      <c r="QIX80" s="684"/>
      <c r="QIY80" s="684"/>
      <c r="QIZ80" s="684"/>
      <c r="QJA80" s="684"/>
      <c r="QJB80" s="684"/>
      <c r="QJC80" s="684"/>
      <c r="QJD80" s="684"/>
      <c r="QJE80" s="684"/>
      <c r="QJF80" s="684"/>
      <c r="QJG80" s="684"/>
      <c r="QJH80" s="684"/>
      <c r="QJI80" s="684"/>
      <c r="QJJ80" s="684"/>
      <c r="QJK80" s="684"/>
      <c r="QJL80" s="684"/>
      <c r="QJM80" s="684"/>
      <c r="QJN80" s="684"/>
      <c r="QJO80" s="684"/>
      <c r="QJP80" s="684"/>
      <c r="QJQ80" s="684"/>
      <c r="QJR80" s="684"/>
      <c r="QJS80" s="684"/>
      <c r="QJT80" s="684"/>
      <c r="QJU80" s="684"/>
      <c r="QJV80" s="684"/>
      <c r="QJW80" s="684"/>
      <c r="QJX80" s="684"/>
      <c r="QJY80" s="684"/>
      <c r="QJZ80" s="684"/>
      <c r="QKA80" s="684"/>
      <c r="QKB80" s="684"/>
      <c r="QKC80" s="684"/>
      <c r="QKD80" s="684"/>
      <c r="QKE80" s="684"/>
      <c r="QKF80" s="684"/>
      <c r="QKG80" s="684"/>
      <c r="QKH80" s="684"/>
      <c r="QKI80" s="684"/>
      <c r="QKJ80" s="684"/>
      <c r="QKK80" s="684"/>
      <c r="QKL80" s="684"/>
      <c r="QKM80" s="684"/>
      <c r="QKN80" s="684"/>
      <c r="QKO80" s="684"/>
      <c r="QKP80" s="684"/>
      <c r="QKQ80" s="684"/>
      <c r="QKR80" s="684"/>
      <c r="QKS80" s="684"/>
      <c r="QKT80" s="684"/>
      <c r="QKU80" s="684"/>
      <c r="QKV80" s="684"/>
      <c r="QKW80" s="684"/>
      <c r="QKX80" s="684"/>
      <c r="QKY80" s="684"/>
      <c r="QKZ80" s="684"/>
      <c r="QLA80" s="684"/>
      <c r="QLB80" s="684"/>
      <c r="QLC80" s="684"/>
      <c r="QLD80" s="684"/>
      <c r="QLE80" s="684"/>
      <c r="QLF80" s="684"/>
      <c r="QLG80" s="684"/>
      <c r="QLH80" s="684"/>
      <c r="QLI80" s="684"/>
      <c r="QLJ80" s="684"/>
      <c r="QLK80" s="684"/>
      <c r="QLL80" s="684"/>
      <c r="QLM80" s="684"/>
      <c r="QLN80" s="684"/>
      <c r="QLO80" s="684"/>
      <c r="QLP80" s="684"/>
      <c r="QLQ80" s="684"/>
      <c r="QLR80" s="684"/>
      <c r="QLS80" s="684"/>
      <c r="QLT80" s="684"/>
      <c r="QLU80" s="684"/>
      <c r="QLV80" s="684"/>
      <c r="QLW80" s="684"/>
      <c r="QLX80" s="684"/>
      <c r="QLY80" s="684"/>
      <c r="QLZ80" s="684"/>
      <c r="QMA80" s="684"/>
      <c r="QMB80" s="684"/>
      <c r="QMC80" s="684"/>
      <c r="QMD80" s="684"/>
      <c r="QME80" s="684"/>
      <c r="QMF80" s="684"/>
      <c r="QMG80" s="684"/>
      <c r="QMH80" s="684"/>
      <c r="QMI80" s="684"/>
      <c r="QMJ80" s="684"/>
      <c r="QMK80" s="684"/>
      <c r="QML80" s="684"/>
      <c r="QMM80" s="684"/>
      <c r="QMN80" s="684"/>
      <c r="QMO80" s="684"/>
      <c r="QMP80" s="684"/>
      <c r="QMQ80" s="684"/>
      <c r="QMR80" s="684"/>
      <c r="QMS80" s="684"/>
      <c r="QMT80" s="684"/>
      <c r="QMU80" s="684"/>
      <c r="QMV80" s="684"/>
      <c r="QMW80" s="684"/>
      <c r="QMX80" s="684"/>
      <c r="QMY80" s="684"/>
      <c r="QMZ80" s="684"/>
      <c r="QNA80" s="684"/>
      <c r="QNB80" s="684"/>
      <c r="QNC80" s="684"/>
      <c r="QND80" s="684"/>
      <c r="QNE80" s="684"/>
      <c r="QNF80" s="684"/>
      <c r="QNG80" s="684"/>
      <c r="QNH80" s="684"/>
      <c r="QNI80" s="684"/>
      <c r="QNJ80" s="684"/>
      <c r="QNK80" s="684"/>
      <c r="QNL80" s="684"/>
      <c r="QNM80" s="684"/>
      <c r="QNN80" s="684"/>
      <c r="QNO80" s="684"/>
      <c r="QNP80" s="684"/>
      <c r="QNQ80" s="684"/>
      <c r="QNR80" s="684"/>
      <c r="QNS80" s="684"/>
      <c r="QNT80" s="684"/>
      <c r="QNU80" s="684"/>
      <c r="QNV80" s="684"/>
      <c r="QNW80" s="684"/>
      <c r="QNX80" s="684"/>
      <c r="QNY80" s="684"/>
      <c r="QNZ80" s="684"/>
      <c r="QOA80" s="684"/>
      <c r="QOB80" s="684"/>
      <c r="QOC80" s="684"/>
      <c r="QOD80" s="684"/>
      <c r="QOE80" s="684"/>
      <c r="QOF80" s="684"/>
      <c r="QOG80" s="684"/>
      <c r="QOH80" s="684"/>
      <c r="QOI80" s="684"/>
      <c r="QOJ80" s="684"/>
      <c r="QOK80" s="684"/>
      <c r="QOL80" s="684"/>
      <c r="QOM80" s="684"/>
      <c r="QON80" s="684"/>
      <c r="QOO80" s="684"/>
      <c r="QOP80" s="684"/>
      <c r="QOQ80" s="684"/>
      <c r="QOR80" s="684"/>
      <c r="QOS80" s="684"/>
      <c r="QOT80" s="684"/>
      <c r="QOU80" s="684"/>
      <c r="QOV80" s="684"/>
      <c r="QOW80" s="684"/>
      <c r="QOX80" s="684"/>
      <c r="QOY80" s="684"/>
      <c r="QOZ80" s="684"/>
      <c r="QPA80" s="684"/>
      <c r="QPB80" s="684"/>
      <c r="QPC80" s="684"/>
      <c r="QPD80" s="684"/>
      <c r="QPE80" s="684"/>
      <c r="QPF80" s="684"/>
      <c r="QPG80" s="684"/>
      <c r="QPH80" s="684"/>
      <c r="QPI80" s="684"/>
      <c r="QPJ80" s="684"/>
      <c r="QPK80" s="684"/>
      <c r="QPL80" s="684"/>
      <c r="QPM80" s="684"/>
      <c r="QPN80" s="684"/>
      <c r="QPO80" s="684"/>
      <c r="QPP80" s="684"/>
      <c r="QPQ80" s="684"/>
      <c r="QPR80" s="684"/>
      <c r="QPS80" s="684"/>
      <c r="QPT80" s="684"/>
      <c r="QPU80" s="684"/>
      <c r="QPV80" s="684"/>
      <c r="QPW80" s="684"/>
      <c r="QPX80" s="684"/>
      <c r="QPY80" s="684"/>
      <c r="QPZ80" s="684"/>
      <c r="QQA80" s="684"/>
      <c r="QQB80" s="684"/>
      <c r="QQC80" s="684"/>
      <c r="QQD80" s="684"/>
      <c r="QQE80" s="684"/>
      <c r="QQF80" s="684"/>
      <c r="QQG80" s="684"/>
      <c r="QQH80" s="684"/>
      <c r="QQI80" s="684"/>
      <c r="QQJ80" s="684"/>
      <c r="QQK80" s="684"/>
      <c r="QQL80" s="684"/>
      <c r="QQM80" s="684"/>
      <c r="QQN80" s="684"/>
      <c r="QQO80" s="684"/>
      <c r="QQP80" s="684"/>
      <c r="QQQ80" s="684"/>
      <c r="QQR80" s="684"/>
      <c r="QQS80" s="684"/>
      <c r="QQT80" s="684"/>
      <c r="QQU80" s="684"/>
      <c r="QQV80" s="684"/>
      <c r="QQW80" s="684"/>
      <c r="QQX80" s="684"/>
      <c r="QQY80" s="684"/>
      <c r="QQZ80" s="684"/>
      <c r="QRA80" s="684"/>
      <c r="QRB80" s="684"/>
      <c r="QRC80" s="684"/>
      <c r="QRD80" s="684"/>
      <c r="QRE80" s="684"/>
      <c r="QRF80" s="684"/>
      <c r="QRG80" s="684"/>
      <c r="QRH80" s="684"/>
      <c r="QRI80" s="684"/>
      <c r="QRJ80" s="684"/>
      <c r="QRK80" s="684"/>
      <c r="QRL80" s="684"/>
      <c r="QRM80" s="684"/>
      <c r="QRN80" s="684"/>
      <c r="QRO80" s="684"/>
      <c r="QRP80" s="684"/>
      <c r="QRQ80" s="684"/>
      <c r="QRR80" s="684"/>
      <c r="QRS80" s="684"/>
      <c r="QRT80" s="684"/>
      <c r="QRU80" s="684"/>
      <c r="QRV80" s="684"/>
      <c r="QRW80" s="684"/>
      <c r="QRX80" s="684"/>
      <c r="QRY80" s="684"/>
      <c r="QRZ80" s="684"/>
      <c r="QSA80" s="684"/>
      <c r="QSB80" s="684"/>
      <c r="QSC80" s="684"/>
      <c r="QSD80" s="684"/>
      <c r="QSE80" s="684"/>
      <c r="QSF80" s="684"/>
      <c r="QSG80" s="684"/>
      <c r="QSH80" s="684"/>
      <c r="QSI80" s="684"/>
      <c r="QSJ80" s="684"/>
      <c r="QSK80" s="684"/>
      <c r="QSL80" s="684"/>
      <c r="QSM80" s="684"/>
      <c r="QSN80" s="684"/>
      <c r="QSO80" s="684"/>
      <c r="QSP80" s="684"/>
      <c r="QSQ80" s="684"/>
      <c r="QSR80" s="684"/>
      <c r="QSS80" s="684"/>
      <c r="QST80" s="684"/>
      <c r="QSU80" s="684"/>
      <c r="QSV80" s="684"/>
      <c r="QSW80" s="684"/>
      <c r="QSX80" s="684"/>
      <c r="QSY80" s="684"/>
      <c r="QSZ80" s="684"/>
      <c r="QTA80" s="684"/>
      <c r="QTB80" s="684"/>
      <c r="QTC80" s="684"/>
      <c r="QTD80" s="684"/>
      <c r="QTE80" s="684"/>
      <c r="QTF80" s="684"/>
      <c r="QTG80" s="684"/>
      <c r="QTH80" s="684"/>
      <c r="QTI80" s="684"/>
      <c r="QTJ80" s="684"/>
      <c r="QTK80" s="684"/>
      <c r="QTL80" s="684"/>
      <c r="QTM80" s="684"/>
      <c r="QTN80" s="684"/>
      <c r="QTO80" s="684"/>
      <c r="QTP80" s="684"/>
      <c r="QTQ80" s="684"/>
      <c r="QTR80" s="684"/>
      <c r="QTS80" s="684"/>
      <c r="QTT80" s="684"/>
      <c r="QTU80" s="684"/>
      <c r="QTV80" s="684"/>
      <c r="QTW80" s="684"/>
      <c r="QTX80" s="684"/>
      <c r="QTY80" s="684"/>
      <c r="QTZ80" s="684"/>
      <c r="QUA80" s="684"/>
      <c r="QUB80" s="684"/>
      <c r="QUC80" s="684"/>
      <c r="QUD80" s="684"/>
      <c r="QUE80" s="684"/>
      <c r="QUF80" s="684"/>
      <c r="QUG80" s="684"/>
      <c r="QUH80" s="684"/>
      <c r="QUI80" s="684"/>
      <c r="QUJ80" s="684"/>
      <c r="QUK80" s="684"/>
      <c r="QUL80" s="684"/>
      <c r="QUM80" s="684"/>
      <c r="QUN80" s="684"/>
      <c r="QUO80" s="684"/>
      <c r="QUP80" s="684"/>
      <c r="QUQ80" s="684"/>
      <c r="QUR80" s="684"/>
      <c r="QUS80" s="684"/>
      <c r="QUT80" s="684"/>
      <c r="QUU80" s="684"/>
      <c r="QUV80" s="684"/>
      <c r="QUW80" s="684"/>
      <c r="QUX80" s="684"/>
      <c r="QUY80" s="684"/>
      <c r="QUZ80" s="684"/>
      <c r="QVA80" s="684"/>
      <c r="QVB80" s="684"/>
      <c r="QVC80" s="684"/>
      <c r="QVD80" s="684"/>
      <c r="QVE80" s="684"/>
      <c r="QVF80" s="684"/>
      <c r="QVG80" s="684"/>
      <c r="QVH80" s="684"/>
      <c r="QVI80" s="684"/>
      <c r="QVJ80" s="684"/>
      <c r="QVK80" s="684"/>
      <c r="QVL80" s="684"/>
      <c r="QVM80" s="684"/>
      <c r="QVN80" s="684"/>
      <c r="QVO80" s="684"/>
      <c r="QVP80" s="684"/>
      <c r="QVQ80" s="684"/>
      <c r="QVR80" s="684"/>
      <c r="QVS80" s="684"/>
      <c r="QVT80" s="684"/>
      <c r="QVU80" s="684"/>
      <c r="QVV80" s="684"/>
      <c r="QVW80" s="684"/>
      <c r="QVX80" s="684"/>
      <c r="QVY80" s="684"/>
      <c r="QVZ80" s="684"/>
      <c r="QWA80" s="684"/>
      <c r="QWB80" s="684"/>
      <c r="QWC80" s="684"/>
      <c r="QWD80" s="684"/>
      <c r="QWE80" s="684"/>
      <c r="QWF80" s="684"/>
      <c r="QWG80" s="684"/>
      <c r="QWH80" s="684"/>
      <c r="QWI80" s="684"/>
      <c r="QWJ80" s="684"/>
      <c r="QWK80" s="684"/>
      <c r="QWL80" s="684"/>
      <c r="QWM80" s="684"/>
      <c r="QWN80" s="684"/>
      <c r="QWO80" s="684"/>
      <c r="QWP80" s="684"/>
      <c r="QWQ80" s="684"/>
      <c r="QWR80" s="684"/>
      <c r="QWS80" s="684"/>
      <c r="QWT80" s="684"/>
      <c r="QWU80" s="684"/>
      <c r="QWV80" s="684"/>
      <c r="QWW80" s="684"/>
      <c r="QWX80" s="684"/>
      <c r="QWY80" s="684"/>
      <c r="QWZ80" s="684"/>
      <c r="QXA80" s="684"/>
      <c r="QXB80" s="684"/>
      <c r="QXC80" s="684"/>
      <c r="QXD80" s="684"/>
      <c r="QXE80" s="684"/>
      <c r="QXF80" s="684"/>
      <c r="QXG80" s="684"/>
      <c r="QXH80" s="684"/>
      <c r="QXI80" s="684"/>
      <c r="QXJ80" s="684"/>
      <c r="QXK80" s="684"/>
      <c r="QXL80" s="684"/>
      <c r="QXM80" s="684"/>
      <c r="QXN80" s="684"/>
      <c r="QXO80" s="684"/>
      <c r="QXP80" s="684"/>
      <c r="QXQ80" s="684"/>
      <c r="QXR80" s="684"/>
      <c r="QXS80" s="684"/>
      <c r="QXT80" s="684"/>
      <c r="QXU80" s="684"/>
      <c r="QXV80" s="684"/>
      <c r="QXW80" s="684"/>
      <c r="QXX80" s="684"/>
      <c r="QXY80" s="684"/>
      <c r="QXZ80" s="684"/>
      <c r="QYA80" s="684"/>
      <c r="QYB80" s="684"/>
      <c r="QYC80" s="684"/>
      <c r="QYD80" s="684"/>
      <c r="QYE80" s="684"/>
      <c r="QYF80" s="684"/>
      <c r="QYG80" s="684"/>
      <c r="QYH80" s="684"/>
      <c r="QYI80" s="684"/>
      <c r="QYJ80" s="684"/>
      <c r="QYK80" s="684"/>
      <c r="QYL80" s="684"/>
      <c r="QYM80" s="684"/>
      <c r="QYN80" s="684"/>
      <c r="QYO80" s="684"/>
      <c r="QYP80" s="684"/>
      <c r="QYQ80" s="684"/>
      <c r="QYR80" s="684"/>
      <c r="QYS80" s="684"/>
      <c r="QYT80" s="684"/>
      <c r="QYU80" s="684"/>
      <c r="QYV80" s="684"/>
      <c r="QYW80" s="684"/>
      <c r="QYX80" s="684"/>
      <c r="QYY80" s="684"/>
      <c r="QYZ80" s="684"/>
      <c r="QZA80" s="684"/>
      <c r="QZB80" s="684"/>
      <c r="QZC80" s="684"/>
      <c r="QZD80" s="684"/>
      <c r="QZE80" s="684"/>
      <c r="QZF80" s="684"/>
      <c r="QZG80" s="684"/>
      <c r="QZH80" s="684"/>
      <c r="QZI80" s="684"/>
      <c r="QZJ80" s="684"/>
      <c r="QZK80" s="684"/>
      <c r="QZL80" s="684"/>
      <c r="QZM80" s="684"/>
      <c r="QZN80" s="684"/>
      <c r="QZO80" s="684"/>
      <c r="QZP80" s="684"/>
      <c r="QZQ80" s="684"/>
      <c r="QZR80" s="684"/>
      <c r="QZS80" s="684"/>
      <c r="QZT80" s="684"/>
      <c r="QZU80" s="684"/>
      <c r="QZV80" s="684"/>
      <c r="QZW80" s="684"/>
      <c r="QZX80" s="684"/>
      <c r="QZY80" s="684"/>
      <c r="QZZ80" s="684"/>
      <c r="RAA80" s="684"/>
      <c r="RAB80" s="684"/>
      <c r="RAC80" s="684"/>
      <c r="RAD80" s="684"/>
      <c r="RAE80" s="684"/>
      <c r="RAF80" s="684"/>
      <c r="RAG80" s="684"/>
      <c r="RAH80" s="684"/>
      <c r="RAI80" s="684"/>
      <c r="RAJ80" s="684"/>
      <c r="RAK80" s="684"/>
      <c r="RAL80" s="684"/>
      <c r="RAM80" s="684"/>
      <c r="RAN80" s="684"/>
      <c r="RAO80" s="684"/>
      <c r="RAP80" s="684"/>
      <c r="RAQ80" s="684"/>
      <c r="RAR80" s="684"/>
      <c r="RAS80" s="684"/>
      <c r="RAT80" s="684"/>
      <c r="RAU80" s="684"/>
      <c r="RAV80" s="684"/>
      <c r="RAW80" s="684"/>
      <c r="RAX80" s="684"/>
      <c r="RAY80" s="684"/>
      <c r="RAZ80" s="684"/>
      <c r="RBA80" s="684"/>
      <c r="RBB80" s="684"/>
      <c r="RBC80" s="684"/>
      <c r="RBD80" s="684"/>
      <c r="RBE80" s="684"/>
      <c r="RBF80" s="684"/>
      <c r="RBG80" s="684"/>
      <c r="RBH80" s="684"/>
      <c r="RBI80" s="684"/>
      <c r="RBJ80" s="684"/>
      <c r="RBK80" s="684"/>
      <c r="RBL80" s="684"/>
      <c r="RBM80" s="684"/>
      <c r="RBN80" s="684"/>
      <c r="RBO80" s="684"/>
      <c r="RBP80" s="684"/>
      <c r="RBQ80" s="684"/>
      <c r="RBR80" s="684"/>
      <c r="RBS80" s="684"/>
      <c r="RBT80" s="684"/>
      <c r="RBU80" s="684"/>
      <c r="RBV80" s="684"/>
      <c r="RBW80" s="684"/>
      <c r="RBX80" s="684"/>
      <c r="RBY80" s="684"/>
      <c r="RBZ80" s="684"/>
      <c r="RCA80" s="684"/>
      <c r="RCB80" s="684"/>
      <c r="RCC80" s="684"/>
      <c r="RCD80" s="684"/>
      <c r="RCE80" s="684"/>
      <c r="RCF80" s="684"/>
      <c r="RCG80" s="684"/>
      <c r="RCH80" s="684"/>
      <c r="RCI80" s="684"/>
      <c r="RCJ80" s="684"/>
      <c r="RCK80" s="684"/>
      <c r="RCL80" s="684"/>
      <c r="RCM80" s="684"/>
      <c r="RCN80" s="684"/>
      <c r="RCO80" s="684"/>
      <c r="RCP80" s="684"/>
      <c r="RCQ80" s="684"/>
      <c r="RCR80" s="684"/>
      <c r="RCS80" s="684"/>
      <c r="RCT80" s="684"/>
      <c r="RCU80" s="684"/>
      <c r="RCV80" s="684"/>
      <c r="RCW80" s="684"/>
      <c r="RCX80" s="684"/>
      <c r="RCY80" s="684"/>
      <c r="RCZ80" s="684"/>
      <c r="RDA80" s="684"/>
      <c r="RDB80" s="684"/>
      <c r="RDC80" s="684"/>
      <c r="RDD80" s="684"/>
      <c r="RDE80" s="684"/>
      <c r="RDF80" s="684"/>
      <c r="RDG80" s="684"/>
      <c r="RDH80" s="684"/>
      <c r="RDI80" s="684"/>
      <c r="RDJ80" s="684"/>
      <c r="RDK80" s="684"/>
      <c r="RDL80" s="684"/>
      <c r="RDM80" s="684"/>
      <c r="RDN80" s="684"/>
      <c r="RDO80" s="684"/>
      <c r="RDP80" s="684"/>
      <c r="RDQ80" s="684"/>
      <c r="RDR80" s="684"/>
      <c r="RDS80" s="684"/>
      <c r="RDT80" s="684"/>
      <c r="RDU80" s="684"/>
      <c r="RDV80" s="684"/>
      <c r="RDW80" s="684"/>
      <c r="RDX80" s="684"/>
      <c r="RDY80" s="684"/>
      <c r="RDZ80" s="684"/>
      <c r="REA80" s="684"/>
      <c r="REB80" s="684"/>
      <c r="REC80" s="684"/>
      <c r="RED80" s="684"/>
      <c r="REE80" s="684"/>
      <c r="REF80" s="684"/>
      <c r="REG80" s="684"/>
      <c r="REH80" s="684"/>
      <c r="REI80" s="684"/>
      <c r="REJ80" s="684"/>
      <c r="REK80" s="684"/>
      <c r="REL80" s="684"/>
      <c r="REM80" s="684"/>
      <c r="REN80" s="684"/>
      <c r="REO80" s="684"/>
      <c r="REP80" s="684"/>
      <c r="REQ80" s="684"/>
      <c r="RER80" s="684"/>
      <c r="RES80" s="684"/>
      <c r="RET80" s="684"/>
      <c r="REU80" s="684"/>
      <c r="REV80" s="684"/>
      <c r="REW80" s="684"/>
      <c r="REX80" s="684"/>
      <c r="REY80" s="684"/>
      <c r="REZ80" s="684"/>
      <c r="RFA80" s="684"/>
      <c r="RFB80" s="684"/>
      <c r="RFC80" s="684"/>
      <c r="RFD80" s="684"/>
      <c r="RFE80" s="684"/>
      <c r="RFF80" s="684"/>
      <c r="RFG80" s="684"/>
      <c r="RFH80" s="684"/>
      <c r="RFI80" s="684"/>
      <c r="RFJ80" s="684"/>
      <c r="RFK80" s="684"/>
      <c r="RFL80" s="684"/>
      <c r="RFM80" s="684"/>
      <c r="RFN80" s="684"/>
      <c r="RFO80" s="684"/>
      <c r="RFP80" s="684"/>
      <c r="RFQ80" s="684"/>
      <c r="RFR80" s="684"/>
      <c r="RFS80" s="684"/>
      <c r="RFT80" s="684"/>
      <c r="RFU80" s="684"/>
      <c r="RFV80" s="684"/>
      <c r="RFW80" s="684"/>
      <c r="RFX80" s="684"/>
      <c r="RFY80" s="684"/>
      <c r="RFZ80" s="684"/>
      <c r="RGA80" s="684"/>
      <c r="RGB80" s="684"/>
      <c r="RGC80" s="684"/>
      <c r="RGD80" s="684"/>
      <c r="RGE80" s="684"/>
      <c r="RGF80" s="684"/>
      <c r="RGG80" s="684"/>
      <c r="RGH80" s="684"/>
      <c r="RGI80" s="684"/>
      <c r="RGJ80" s="684"/>
      <c r="RGK80" s="684"/>
      <c r="RGL80" s="684"/>
      <c r="RGM80" s="684"/>
      <c r="RGN80" s="684"/>
      <c r="RGO80" s="684"/>
      <c r="RGP80" s="684"/>
      <c r="RGQ80" s="684"/>
      <c r="RGR80" s="684"/>
      <c r="RGS80" s="684"/>
      <c r="RGT80" s="684"/>
      <c r="RGU80" s="684"/>
      <c r="RGV80" s="684"/>
      <c r="RGW80" s="684"/>
      <c r="RGX80" s="684"/>
      <c r="RGY80" s="684"/>
      <c r="RGZ80" s="684"/>
      <c r="RHA80" s="684"/>
      <c r="RHB80" s="684"/>
      <c r="RHC80" s="684"/>
      <c r="RHD80" s="684"/>
      <c r="RHE80" s="684"/>
      <c r="RHF80" s="684"/>
      <c r="RHG80" s="684"/>
      <c r="RHH80" s="684"/>
      <c r="RHI80" s="684"/>
      <c r="RHJ80" s="684"/>
      <c r="RHK80" s="684"/>
      <c r="RHL80" s="684"/>
      <c r="RHM80" s="684"/>
      <c r="RHN80" s="684"/>
      <c r="RHO80" s="684"/>
      <c r="RHP80" s="684"/>
      <c r="RHQ80" s="684"/>
      <c r="RHR80" s="684"/>
      <c r="RHS80" s="684"/>
      <c r="RHT80" s="684"/>
      <c r="RHU80" s="684"/>
      <c r="RHV80" s="684"/>
      <c r="RHW80" s="684"/>
      <c r="RHX80" s="684"/>
      <c r="RHY80" s="684"/>
      <c r="RHZ80" s="684"/>
      <c r="RIA80" s="684"/>
      <c r="RIB80" s="684"/>
      <c r="RIC80" s="684"/>
      <c r="RID80" s="684"/>
      <c r="RIE80" s="684"/>
      <c r="RIF80" s="684"/>
      <c r="RIG80" s="684"/>
      <c r="RIH80" s="684"/>
      <c r="RII80" s="684"/>
      <c r="RIJ80" s="684"/>
      <c r="RIK80" s="684"/>
      <c r="RIL80" s="684"/>
      <c r="RIM80" s="684"/>
      <c r="RIN80" s="684"/>
      <c r="RIO80" s="684"/>
      <c r="RIP80" s="684"/>
      <c r="RIQ80" s="684"/>
      <c r="RIR80" s="684"/>
      <c r="RIS80" s="684"/>
      <c r="RIT80" s="684"/>
      <c r="RIU80" s="684"/>
      <c r="RIV80" s="684"/>
      <c r="RIW80" s="684"/>
      <c r="RIX80" s="684"/>
      <c r="RIY80" s="684"/>
      <c r="RIZ80" s="684"/>
      <c r="RJA80" s="684"/>
      <c r="RJB80" s="684"/>
      <c r="RJC80" s="684"/>
      <c r="RJD80" s="684"/>
      <c r="RJE80" s="684"/>
      <c r="RJF80" s="684"/>
      <c r="RJG80" s="684"/>
      <c r="RJH80" s="684"/>
      <c r="RJI80" s="684"/>
      <c r="RJJ80" s="684"/>
      <c r="RJK80" s="684"/>
      <c r="RJL80" s="684"/>
      <c r="RJM80" s="684"/>
      <c r="RJN80" s="684"/>
      <c r="RJO80" s="684"/>
      <c r="RJP80" s="684"/>
      <c r="RJQ80" s="684"/>
      <c r="RJR80" s="684"/>
      <c r="RJS80" s="684"/>
      <c r="RJT80" s="684"/>
      <c r="RJU80" s="684"/>
      <c r="RJV80" s="684"/>
      <c r="RJW80" s="684"/>
      <c r="RJX80" s="684"/>
      <c r="RJY80" s="684"/>
      <c r="RJZ80" s="684"/>
      <c r="RKA80" s="684"/>
      <c r="RKB80" s="684"/>
      <c r="RKC80" s="684"/>
      <c r="RKD80" s="684"/>
      <c r="RKE80" s="684"/>
      <c r="RKF80" s="684"/>
      <c r="RKG80" s="684"/>
      <c r="RKH80" s="684"/>
      <c r="RKI80" s="684"/>
      <c r="RKJ80" s="684"/>
      <c r="RKK80" s="684"/>
      <c r="RKL80" s="684"/>
      <c r="RKM80" s="684"/>
      <c r="RKN80" s="684"/>
      <c r="RKO80" s="684"/>
      <c r="RKP80" s="684"/>
      <c r="RKQ80" s="684"/>
      <c r="RKR80" s="684"/>
      <c r="RKS80" s="684"/>
      <c r="RKT80" s="684"/>
      <c r="RKU80" s="684"/>
      <c r="RKV80" s="684"/>
      <c r="RKW80" s="684"/>
      <c r="RKX80" s="684"/>
      <c r="RKY80" s="684"/>
      <c r="RKZ80" s="684"/>
      <c r="RLA80" s="684"/>
      <c r="RLB80" s="684"/>
      <c r="RLC80" s="684"/>
      <c r="RLD80" s="684"/>
      <c r="RLE80" s="684"/>
      <c r="RLF80" s="684"/>
      <c r="RLG80" s="684"/>
      <c r="RLH80" s="684"/>
      <c r="RLI80" s="684"/>
      <c r="RLJ80" s="684"/>
      <c r="RLK80" s="684"/>
      <c r="RLL80" s="684"/>
      <c r="RLM80" s="684"/>
      <c r="RLN80" s="684"/>
      <c r="RLO80" s="684"/>
      <c r="RLP80" s="684"/>
      <c r="RLQ80" s="684"/>
      <c r="RLR80" s="684"/>
      <c r="RLS80" s="684"/>
      <c r="RLT80" s="684"/>
      <c r="RLU80" s="684"/>
      <c r="RLV80" s="684"/>
      <c r="RLW80" s="684"/>
      <c r="RLX80" s="684"/>
      <c r="RLY80" s="684"/>
      <c r="RLZ80" s="684"/>
      <c r="RMA80" s="684"/>
      <c r="RMB80" s="684"/>
      <c r="RMC80" s="684"/>
      <c r="RMD80" s="684"/>
      <c r="RME80" s="684"/>
      <c r="RMF80" s="684"/>
      <c r="RMG80" s="684"/>
      <c r="RMH80" s="684"/>
      <c r="RMI80" s="684"/>
      <c r="RMJ80" s="684"/>
      <c r="RMK80" s="684"/>
      <c r="RML80" s="684"/>
      <c r="RMM80" s="684"/>
      <c r="RMN80" s="684"/>
      <c r="RMO80" s="684"/>
      <c r="RMP80" s="684"/>
      <c r="RMQ80" s="684"/>
      <c r="RMR80" s="684"/>
      <c r="RMS80" s="684"/>
      <c r="RMT80" s="684"/>
      <c r="RMU80" s="684"/>
      <c r="RMV80" s="684"/>
      <c r="RMW80" s="684"/>
      <c r="RMX80" s="684"/>
      <c r="RMY80" s="684"/>
      <c r="RMZ80" s="684"/>
      <c r="RNA80" s="684"/>
      <c r="RNB80" s="684"/>
      <c r="RNC80" s="684"/>
      <c r="RND80" s="684"/>
      <c r="RNE80" s="684"/>
      <c r="RNF80" s="684"/>
      <c r="RNG80" s="684"/>
      <c r="RNH80" s="684"/>
      <c r="RNI80" s="684"/>
      <c r="RNJ80" s="684"/>
      <c r="RNK80" s="684"/>
      <c r="RNL80" s="684"/>
      <c r="RNM80" s="684"/>
      <c r="RNN80" s="684"/>
      <c r="RNO80" s="684"/>
      <c r="RNP80" s="684"/>
      <c r="RNQ80" s="684"/>
      <c r="RNR80" s="684"/>
      <c r="RNS80" s="684"/>
      <c r="RNT80" s="684"/>
      <c r="RNU80" s="684"/>
      <c r="RNV80" s="684"/>
      <c r="RNW80" s="684"/>
      <c r="RNX80" s="684"/>
      <c r="RNY80" s="684"/>
      <c r="RNZ80" s="684"/>
      <c r="ROA80" s="684"/>
      <c r="ROB80" s="684"/>
      <c r="ROC80" s="684"/>
      <c r="ROD80" s="684"/>
      <c r="ROE80" s="684"/>
      <c r="ROF80" s="684"/>
      <c r="ROG80" s="684"/>
      <c r="ROH80" s="684"/>
      <c r="ROI80" s="684"/>
      <c r="ROJ80" s="684"/>
      <c r="ROK80" s="684"/>
      <c r="ROL80" s="684"/>
      <c r="ROM80" s="684"/>
      <c r="RON80" s="684"/>
      <c r="ROO80" s="684"/>
      <c r="ROP80" s="684"/>
      <c r="ROQ80" s="684"/>
      <c r="ROR80" s="684"/>
      <c r="ROS80" s="684"/>
      <c r="ROT80" s="684"/>
      <c r="ROU80" s="684"/>
      <c r="ROV80" s="684"/>
      <c r="ROW80" s="684"/>
      <c r="ROX80" s="684"/>
      <c r="ROY80" s="684"/>
      <c r="ROZ80" s="684"/>
      <c r="RPA80" s="684"/>
      <c r="RPB80" s="684"/>
      <c r="RPC80" s="684"/>
      <c r="RPD80" s="684"/>
      <c r="RPE80" s="684"/>
      <c r="RPF80" s="684"/>
      <c r="RPG80" s="684"/>
      <c r="RPH80" s="684"/>
      <c r="RPI80" s="684"/>
      <c r="RPJ80" s="684"/>
      <c r="RPK80" s="684"/>
      <c r="RPL80" s="684"/>
      <c r="RPM80" s="684"/>
      <c r="RPN80" s="684"/>
      <c r="RPO80" s="684"/>
      <c r="RPP80" s="684"/>
      <c r="RPQ80" s="684"/>
      <c r="RPR80" s="684"/>
      <c r="RPS80" s="684"/>
      <c r="RPT80" s="684"/>
      <c r="RPU80" s="684"/>
      <c r="RPV80" s="684"/>
      <c r="RPW80" s="684"/>
      <c r="RPX80" s="684"/>
      <c r="RPY80" s="684"/>
      <c r="RPZ80" s="684"/>
      <c r="RQA80" s="684"/>
      <c r="RQB80" s="684"/>
      <c r="RQC80" s="684"/>
      <c r="RQD80" s="684"/>
      <c r="RQE80" s="684"/>
      <c r="RQF80" s="684"/>
      <c r="RQG80" s="684"/>
      <c r="RQH80" s="684"/>
      <c r="RQI80" s="684"/>
      <c r="RQJ80" s="684"/>
      <c r="RQK80" s="684"/>
      <c r="RQL80" s="684"/>
      <c r="RQM80" s="684"/>
      <c r="RQN80" s="684"/>
      <c r="RQO80" s="684"/>
      <c r="RQP80" s="684"/>
      <c r="RQQ80" s="684"/>
      <c r="RQR80" s="684"/>
      <c r="RQS80" s="684"/>
      <c r="RQT80" s="684"/>
      <c r="RQU80" s="684"/>
      <c r="RQV80" s="684"/>
      <c r="RQW80" s="684"/>
      <c r="RQX80" s="684"/>
      <c r="RQY80" s="684"/>
      <c r="RQZ80" s="684"/>
      <c r="RRA80" s="684"/>
      <c r="RRB80" s="684"/>
      <c r="RRC80" s="684"/>
      <c r="RRD80" s="684"/>
      <c r="RRE80" s="684"/>
      <c r="RRF80" s="684"/>
      <c r="RRG80" s="684"/>
      <c r="RRH80" s="684"/>
      <c r="RRI80" s="684"/>
      <c r="RRJ80" s="684"/>
      <c r="RRK80" s="684"/>
      <c r="RRL80" s="684"/>
      <c r="RRM80" s="684"/>
      <c r="RRN80" s="684"/>
      <c r="RRO80" s="684"/>
      <c r="RRP80" s="684"/>
      <c r="RRQ80" s="684"/>
      <c r="RRR80" s="684"/>
      <c r="RRS80" s="684"/>
      <c r="RRT80" s="684"/>
      <c r="RRU80" s="684"/>
      <c r="RRV80" s="684"/>
      <c r="RRW80" s="684"/>
      <c r="RRX80" s="684"/>
      <c r="RRY80" s="684"/>
      <c r="RRZ80" s="684"/>
      <c r="RSA80" s="684"/>
      <c r="RSB80" s="684"/>
      <c r="RSC80" s="684"/>
      <c r="RSD80" s="684"/>
      <c r="RSE80" s="684"/>
      <c r="RSF80" s="684"/>
      <c r="RSG80" s="684"/>
      <c r="RSH80" s="684"/>
      <c r="RSI80" s="684"/>
      <c r="RSJ80" s="684"/>
      <c r="RSK80" s="684"/>
      <c r="RSL80" s="684"/>
      <c r="RSM80" s="684"/>
      <c r="RSN80" s="684"/>
      <c r="RSO80" s="684"/>
      <c r="RSP80" s="684"/>
      <c r="RSQ80" s="684"/>
      <c r="RSR80" s="684"/>
      <c r="RSS80" s="684"/>
      <c r="RST80" s="684"/>
      <c r="RSU80" s="684"/>
      <c r="RSV80" s="684"/>
      <c r="RSW80" s="684"/>
      <c r="RSX80" s="684"/>
      <c r="RSY80" s="684"/>
      <c r="RSZ80" s="684"/>
      <c r="RTA80" s="684"/>
      <c r="RTB80" s="684"/>
      <c r="RTC80" s="684"/>
      <c r="RTD80" s="684"/>
      <c r="RTE80" s="684"/>
      <c r="RTF80" s="684"/>
      <c r="RTG80" s="684"/>
      <c r="RTH80" s="684"/>
      <c r="RTI80" s="684"/>
      <c r="RTJ80" s="684"/>
      <c r="RTK80" s="684"/>
      <c r="RTL80" s="684"/>
      <c r="RTM80" s="684"/>
      <c r="RTN80" s="684"/>
      <c r="RTO80" s="684"/>
      <c r="RTP80" s="684"/>
      <c r="RTQ80" s="684"/>
      <c r="RTR80" s="684"/>
      <c r="RTS80" s="684"/>
      <c r="RTT80" s="684"/>
      <c r="RTU80" s="684"/>
      <c r="RTV80" s="684"/>
      <c r="RTW80" s="684"/>
      <c r="RTX80" s="684"/>
      <c r="RTY80" s="684"/>
      <c r="RTZ80" s="684"/>
      <c r="RUA80" s="684"/>
      <c r="RUB80" s="684"/>
      <c r="RUC80" s="684"/>
      <c r="RUD80" s="684"/>
      <c r="RUE80" s="684"/>
      <c r="RUF80" s="684"/>
      <c r="RUG80" s="684"/>
      <c r="RUH80" s="684"/>
      <c r="RUI80" s="684"/>
      <c r="RUJ80" s="684"/>
      <c r="RUK80" s="684"/>
      <c r="RUL80" s="684"/>
      <c r="RUM80" s="684"/>
      <c r="RUN80" s="684"/>
      <c r="RUO80" s="684"/>
      <c r="RUP80" s="684"/>
      <c r="RUQ80" s="684"/>
      <c r="RUR80" s="684"/>
      <c r="RUS80" s="684"/>
      <c r="RUT80" s="684"/>
      <c r="RUU80" s="684"/>
      <c r="RUV80" s="684"/>
      <c r="RUW80" s="684"/>
      <c r="RUX80" s="684"/>
      <c r="RUY80" s="684"/>
      <c r="RUZ80" s="684"/>
      <c r="RVA80" s="684"/>
      <c r="RVB80" s="684"/>
      <c r="RVC80" s="684"/>
      <c r="RVD80" s="684"/>
      <c r="RVE80" s="684"/>
      <c r="RVF80" s="684"/>
      <c r="RVG80" s="684"/>
      <c r="RVH80" s="684"/>
      <c r="RVI80" s="684"/>
      <c r="RVJ80" s="684"/>
      <c r="RVK80" s="684"/>
      <c r="RVL80" s="684"/>
      <c r="RVM80" s="684"/>
      <c r="RVN80" s="684"/>
      <c r="RVO80" s="684"/>
      <c r="RVP80" s="684"/>
      <c r="RVQ80" s="684"/>
      <c r="RVR80" s="684"/>
      <c r="RVS80" s="684"/>
      <c r="RVT80" s="684"/>
      <c r="RVU80" s="684"/>
      <c r="RVV80" s="684"/>
      <c r="RVW80" s="684"/>
      <c r="RVX80" s="684"/>
      <c r="RVY80" s="684"/>
      <c r="RVZ80" s="684"/>
      <c r="RWA80" s="684"/>
      <c r="RWB80" s="684"/>
      <c r="RWC80" s="684"/>
      <c r="RWD80" s="684"/>
      <c r="RWE80" s="684"/>
      <c r="RWF80" s="684"/>
      <c r="RWG80" s="684"/>
      <c r="RWH80" s="684"/>
      <c r="RWI80" s="684"/>
      <c r="RWJ80" s="684"/>
      <c r="RWK80" s="684"/>
      <c r="RWL80" s="684"/>
      <c r="RWM80" s="684"/>
      <c r="RWN80" s="684"/>
      <c r="RWO80" s="684"/>
      <c r="RWP80" s="684"/>
      <c r="RWQ80" s="684"/>
      <c r="RWR80" s="684"/>
      <c r="RWS80" s="684"/>
      <c r="RWT80" s="684"/>
      <c r="RWU80" s="684"/>
      <c r="RWV80" s="684"/>
      <c r="RWW80" s="684"/>
      <c r="RWX80" s="684"/>
      <c r="RWY80" s="684"/>
      <c r="RWZ80" s="684"/>
      <c r="RXA80" s="684"/>
      <c r="RXB80" s="684"/>
      <c r="RXC80" s="684"/>
      <c r="RXD80" s="684"/>
      <c r="RXE80" s="684"/>
      <c r="RXF80" s="684"/>
      <c r="RXG80" s="684"/>
      <c r="RXH80" s="684"/>
      <c r="RXI80" s="684"/>
      <c r="RXJ80" s="684"/>
      <c r="RXK80" s="684"/>
      <c r="RXL80" s="684"/>
      <c r="RXM80" s="684"/>
      <c r="RXN80" s="684"/>
      <c r="RXO80" s="684"/>
      <c r="RXP80" s="684"/>
      <c r="RXQ80" s="684"/>
      <c r="RXR80" s="684"/>
      <c r="RXS80" s="684"/>
      <c r="RXT80" s="684"/>
      <c r="RXU80" s="684"/>
      <c r="RXV80" s="684"/>
      <c r="RXW80" s="684"/>
      <c r="RXX80" s="684"/>
      <c r="RXY80" s="684"/>
      <c r="RXZ80" s="684"/>
      <c r="RYA80" s="684"/>
      <c r="RYB80" s="684"/>
      <c r="RYC80" s="684"/>
      <c r="RYD80" s="684"/>
      <c r="RYE80" s="684"/>
      <c r="RYF80" s="684"/>
      <c r="RYG80" s="684"/>
      <c r="RYH80" s="684"/>
      <c r="RYI80" s="684"/>
      <c r="RYJ80" s="684"/>
      <c r="RYK80" s="684"/>
      <c r="RYL80" s="684"/>
      <c r="RYM80" s="684"/>
      <c r="RYN80" s="684"/>
      <c r="RYO80" s="684"/>
      <c r="RYP80" s="684"/>
      <c r="RYQ80" s="684"/>
      <c r="RYR80" s="684"/>
      <c r="RYS80" s="684"/>
      <c r="RYT80" s="684"/>
      <c r="RYU80" s="684"/>
      <c r="RYV80" s="684"/>
      <c r="RYW80" s="684"/>
      <c r="RYX80" s="684"/>
      <c r="RYY80" s="684"/>
      <c r="RYZ80" s="684"/>
      <c r="RZA80" s="684"/>
      <c r="RZB80" s="684"/>
      <c r="RZC80" s="684"/>
      <c r="RZD80" s="684"/>
      <c r="RZE80" s="684"/>
      <c r="RZF80" s="684"/>
      <c r="RZG80" s="684"/>
      <c r="RZH80" s="684"/>
      <c r="RZI80" s="684"/>
      <c r="RZJ80" s="684"/>
      <c r="RZK80" s="684"/>
      <c r="RZL80" s="684"/>
      <c r="RZM80" s="684"/>
      <c r="RZN80" s="684"/>
      <c r="RZO80" s="684"/>
      <c r="RZP80" s="684"/>
      <c r="RZQ80" s="684"/>
      <c r="RZR80" s="684"/>
      <c r="RZS80" s="684"/>
      <c r="RZT80" s="684"/>
      <c r="RZU80" s="684"/>
      <c r="RZV80" s="684"/>
      <c r="RZW80" s="684"/>
      <c r="RZX80" s="684"/>
      <c r="RZY80" s="684"/>
      <c r="RZZ80" s="684"/>
      <c r="SAA80" s="684"/>
      <c r="SAB80" s="684"/>
      <c r="SAC80" s="684"/>
      <c r="SAD80" s="684"/>
      <c r="SAE80" s="684"/>
      <c r="SAF80" s="684"/>
      <c r="SAG80" s="684"/>
      <c r="SAH80" s="684"/>
      <c r="SAI80" s="684"/>
      <c r="SAJ80" s="684"/>
      <c r="SAK80" s="684"/>
      <c r="SAL80" s="684"/>
      <c r="SAM80" s="684"/>
      <c r="SAN80" s="684"/>
      <c r="SAO80" s="684"/>
      <c r="SAP80" s="684"/>
      <c r="SAQ80" s="684"/>
      <c r="SAR80" s="684"/>
      <c r="SAS80" s="684"/>
      <c r="SAT80" s="684"/>
      <c r="SAU80" s="684"/>
      <c r="SAV80" s="684"/>
      <c r="SAW80" s="684"/>
      <c r="SAX80" s="684"/>
      <c r="SAY80" s="684"/>
      <c r="SAZ80" s="684"/>
      <c r="SBA80" s="684"/>
      <c r="SBB80" s="684"/>
      <c r="SBC80" s="684"/>
      <c r="SBD80" s="684"/>
      <c r="SBE80" s="684"/>
      <c r="SBF80" s="684"/>
      <c r="SBG80" s="684"/>
      <c r="SBH80" s="684"/>
      <c r="SBI80" s="684"/>
      <c r="SBJ80" s="684"/>
      <c r="SBK80" s="684"/>
      <c r="SBL80" s="684"/>
      <c r="SBM80" s="684"/>
      <c r="SBN80" s="684"/>
      <c r="SBO80" s="684"/>
      <c r="SBP80" s="684"/>
      <c r="SBQ80" s="684"/>
      <c r="SBR80" s="684"/>
      <c r="SBS80" s="684"/>
      <c r="SBT80" s="684"/>
      <c r="SBU80" s="684"/>
      <c r="SBV80" s="684"/>
      <c r="SBW80" s="684"/>
      <c r="SBX80" s="684"/>
      <c r="SBY80" s="684"/>
      <c r="SBZ80" s="684"/>
      <c r="SCA80" s="684"/>
      <c r="SCB80" s="684"/>
      <c r="SCC80" s="684"/>
      <c r="SCD80" s="684"/>
      <c r="SCE80" s="684"/>
      <c r="SCF80" s="684"/>
      <c r="SCG80" s="684"/>
      <c r="SCH80" s="684"/>
      <c r="SCI80" s="684"/>
      <c r="SCJ80" s="684"/>
      <c r="SCK80" s="684"/>
      <c r="SCL80" s="684"/>
      <c r="SCM80" s="684"/>
      <c r="SCN80" s="684"/>
      <c r="SCO80" s="684"/>
      <c r="SCP80" s="684"/>
      <c r="SCQ80" s="684"/>
      <c r="SCR80" s="684"/>
      <c r="SCS80" s="684"/>
      <c r="SCT80" s="684"/>
      <c r="SCU80" s="684"/>
      <c r="SCV80" s="684"/>
      <c r="SCW80" s="684"/>
      <c r="SCX80" s="684"/>
      <c r="SCY80" s="684"/>
      <c r="SCZ80" s="684"/>
      <c r="SDA80" s="684"/>
      <c r="SDB80" s="684"/>
      <c r="SDC80" s="684"/>
      <c r="SDD80" s="684"/>
      <c r="SDE80" s="684"/>
      <c r="SDF80" s="684"/>
      <c r="SDG80" s="684"/>
      <c r="SDH80" s="684"/>
      <c r="SDI80" s="684"/>
      <c r="SDJ80" s="684"/>
      <c r="SDK80" s="684"/>
      <c r="SDL80" s="684"/>
      <c r="SDM80" s="684"/>
      <c r="SDN80" s="684"/>
      <c r="SDO80" s="684"/>
      <c r="SDP80" s="684"/>
      <c r="SDQ80" s="684"/>
      <c r="SDR80" s="684"/>
      <c r="SDS80" s="684"/>
      <c r="SDT80" s="684"/>
      <c r="SDU80" s="684"/>
      <c r="SDV80" s="684"/>
      <c r="SDW80" s="684"/>
      <c r="SDX80" s="684"/>
      <c r="SDY80" s="684"/>
      <c r="SDZ80" s="684"/>
      <c r="SEA80" s="684"/>
      <c r="SEB80" s="684"/>
      <c r="SEC80" s="684"/>
      <c r="SED80" s="684"/>
      <c r="SEE80" s="684"/>
      <c r="SEF80" s="684"/>
      <c r="SEG80" s="684"/>
      <c r="SEH80" s="684"/>
      <c r="SEI80" s="684"/>
      <c r="SEJ80" s="684"/>
      <c r="SEK80" s="684"/>
      <c r="SEL80" s="684"/>
      <c r="SEM80" s="684"/>
      <c r="SEN80" s="684"/>
      <c r="SEO80" s="684"/>
      <c r="SEP80" s="684"/>
      <c r="SEQ80" s="684"/>
      <c r="SER80" s="684"/>
      <c r="SES80" s="684"/>
      <c r="SET80" s="684"/>
      <c r="SEU80" s="684"/>
      <c r="SEV80" s="684"/>
      <c r="SEW80" s="684"/>
      <c r="SEX80" s="684"/>
      <c r="SEY80" s="684"/>
      <c r="SEZ80" s="684"/>
      <c r="SFA80" s="684"/>
      <c r="SFB80" s="684"/>
      <c r="SFC80" s="684"/>
      <c r="SFD80" s="684"/>
      <c r="SFE80" s="684"/>
      <c r="SFF80" s="684"/>
      <c r="SFG80" s="684"/>
      <c r="SFH80" s="684"/>
      <c r="SFI80" s="684"/>
      <c r="SFJ80" s="684"/>
      <c r="SFK80" s="684"/>
      <c r="SFL80" s="684"/>
      <c r="SFM80" s="684"/>
      <c r="SFN80" s="684"/>
      <c r="SFO80" s="684"/>
      <c r="SFP80" s="684"/>
      <c r="SFQ80" s="684"/>
      <c r="SFR80" s="684"/>
      <c r="SFS80" s="684"/>
      <c r="SFT80" s="684"/>
      <c r="SFU80" s="684"/>
      <c r="SFV80" s="684"/>
      <c r="SFW80" s="684"/>
      <c r="SFX80" s="684"/>
      <c r="SFY80" s="684"/>
      <c r="SFZ80" s="684"/>
      <c r="SGA80" s="684"/>
      <c r="SGB80" s="684"/>
      <c r="SGC80" s="684"/>
      <c r="SGD80" s="684"/>
      <c r="SGE80" s="684"/>
      <c r="SGF80" s="684"/>
      <c r="SGG80" s="684"/>
      <c r="SGH80" s="684"/>
      <c r="SGI80" s="684"/>
      <c r="SGJ80" s="684"/>
      <c r="SGK80" s="684"/>
      <c r="SGL80" s="684"/>
      <c r="SGM80" s="684"/>
      <c r="SGN80" s="684"/>
      <c r="SGO80" s="684"/>
      <c r="SGP80" s="684"/>
      <c r="SGQ80" s="684"/>
      <c r="SGR80" s="684"/>
      <c r="SGS80" s="684"/>
      <c r="SGT80" s="684"/>
      <c r="SGU80" s="684"/>
      <c r="SGV80" s="684"/>
      <c r="SGW80" s="684"/>
      <c r="SGX80" s="684"/>
      <c r="SGY80" s="684"/>
      <c r="SGZ80" s="684"/>
      <c r="SHA80" s="684"/>
      <c r="SHB80" s="684"/>
      <c r="SHC80" s="684"/>
      <c r="SHD80" s="684"/>
      <c r="SHE80" s="684"/>
      <c r="SHF80" s="684"/>
      <c r="SHG80" s="684"/>
      <c r="SHH80" s="684"/>
      <c r="SHI80" s="684"/>
      <c r="SHJ80" s="684"/>
      <c r="SHK80" s="684"/>
      <c r="SHL80" s="684"/>
      <c r="SHM80" s="684"/>
      <c r="SHN80" s="684"/>
      <c r="SHO80" s="684"/>
      <c r="SHP80" s="684"/>
      <c r="SHQ80" s="684"/>
      <c r="SHR80" s="684"/>
      <c r="SHS80" s="684"/>
      <c r="SHT80" s="684"/>
      <c r="SHU80" s="684"/>
      <c r="SHV80" s="684"/>
      <c r="SHW80" s="684"/>
      <c r="SHX80" s="684"/>
      <c r="SHY80" s="684"/>
      <c r="SHZ80" s="684"/>
      <c r="SIA80" s="684"/>
      <c r="SIB80" s="684"/>
      <c r="SIC80" s="684"/>
      <c r="SID80" s="684"/>
      <c r="SIE80" s="684"/>
      <c r="SIF80" s="684"/>
      <c r="SIG80" s="684"/>
      <c r="SIH80" s="684"/>
      <c r="SII80" s="684"/>
      <c r="SIJ80" s="684"/>
      <c r="SIK80" s="684"/>
      <c r="SIL80" s="684"/>
      <c r="SIM80" s="684"/>
      <c r="SIN80" s="684"/>
      <c r="SIO80" s="684"/>
      <c r="SIP80" s="684"/>
      <c r="SIQ80" s="684"/>
      <c r="SIR80" s="684"/>
      <c r="SIS80" s="684"/>
      <c r="SIT80" s="684"/>
      <c r="SIU80" s="684"/>
      <c r="SIV80" s="684"/>
      <c r="SIW80" s="684"/>
      <c r="SIX80" s="684"/>
      <c r="SIY80" s="684"/>
      <c r="SIZ80" s="684"/>
      <c r="SJA80" s="684"/>
      <c r="SJB80" s="684"/>
      <c r="SJC80" s="684"/>
      <c r="SJD80" s="684"/>
      <c r="SJE80" s="684"/>
      <c r="SJF80" s="684"/>
      <c r="SJG80" s="684"/>
      <c r="SJH80" s="684"/>
      <c r="SJI80" s="684"/>
      <c r="SJJ80" s="684"/>
      <c r="SJK80" s="684"/>
      <c r="SJL80" s="684"/>
      <c r="SJM80" s="684"/>
      <c r="SJN80" s="684"/>
      <c r="SJO80" s="684"/>
      <c r="SJP80" s="684"/>
      <c r="SJQ80" s="684"/>
      <c r="SJR80" s="684"/>
      <c r="SJS80" s="684"/>
      <c r="SJT80" s="684"/>
      <c r="SJU80" s="684"/>
      <c r="SJV80" s="684"/>
      <c r="SJW80" s="684"/>
      <c r="SJX80" s="684"/>
      <c r="SJY80" s="684"/>
      <c r="SJZ80" s="684"/>
      <c r="SKA80" s="684"/>
      <c r="SKB80" s="684"/>
      <c r="SKC80" s="684"/>
      <c r="SKD80" s="684"/>
      <c r="SKE80" s="684"/>
      <c r="SKF80" s="684"/>
      <c r="SKG80" s="684"/>
      <c r="SKH80" s="684"/>
      <c r="SKI80" s="684"/>
      <c r="SKJ80" s="684"/>
      <c r="SKK80" s="684"/>
      <c r="SKL80" s="684"/>
      <c r="SKM80" s="684"/>
      <c r="SKN80" s="684"/>
      <c r="SKO80" s="684"/>
      <c r="SKP80" s="684"/>
      <c r="SKQ80" s="684"/>
      <c r="SKR80" s="684"/>
      <c r="SKS80" s="684"/>
      <c r="SKT80" s="684"/>
      <c r="SKU80" s="684"/>
      <c r="SKV80" s="684"/>
      <c r="SKW80" s="684"/>
      <c r="SKX80" s="684"/>
      <c r="SKY80" s="684"/>
      <c r="SKZ80" s="684"/>
      <c r="SLA80" s="684"/>
      <c r="SLB80" s="684"/>
      <c r="SLC80" s="684"/>
      <c r="SLD80" s="684"/>
      <c r="SLE80" s="684"/>
      <c r="SLF80" s="684"/>
      <c r="SLG80" s="684"/>
      <c r="SLH80" s="684"/>
      <c r="SLI80" s="684"/>
      <c r="SLJ80" s="684"/>
      <c r="SLK80" s="684"/>
      <c r="SLL80" s="684"/>
      <c r="SLM80" s="684"/>
      <c r="SLN80" s="684"/>
      <c r="SLO80" s="684"/>
      <c r="SLP80" s="684"/>
      <c r="SLQ80" s="684"/>
      <c r="SLR80" s="684"/>
      <c r="SLS80" s="684"/>
      <c r="SLT80" s="684"/>
      <c r="SLU80" s="684"/>
      <c r="SLV80" s="684"/>
      <c r="SLW80" s="684"/>
      <c r="SLX80" s="684"/>
      <c r="SLY80" s="684"/>
      <c r="SLZ80" s="684"/>
      <c r="SMA80" s="684"/>
      <c r="SMB80" s="684"/>
      <c r="SMC80" s="684"/>
      <c r="SMD80" s="684"/>
      <c r="SME80" s="684"/>
      <c r="SMF80" s="684"/>
      <c r="SMG80" s="684"/>
      <c r="SMH80" s="684"/>
      <c r="SMI80" s="684"/>
      <c r="SMJ80" s="684"/>
      <c r="SMK80" s="684"/>
      <c r="SML80" s="684"/>
      <c r="SMM80" s="684"/>
      <c r="SMN80" s="684"/>
      <c r="SMO80" s="684"/>
      <c r="SMP80" s="684"/>
      <c r="SMQ80" s="684"/>
      <c r="SMR80" s="684"/>
      <c r="SMS80" s="684"/>
      <c r="SMT80" s="684"/>
      <c r="SMU80" s="684"/>
      <c r="SMV80" s="684"/>
      <c r="SMW80" s="684"/>
      <c r="SMX80" s="684"/>
      <c r="SMY80" s="684"/>
      <c r="SMZ80" s="684"/>
      <c r="SNA80" s="684"/>
      <c r="SNB80" s="684"/>
      <c r="SNC80" s="684"/>
      <c r="SND80" s="684"/>
      <c r="SNE80" s="684"/>
      <c r="SNF80" s="684"/>
      <c r="SNG80" s="684"/>
      <c r="SNH80" s="684"/>
      <c r="SNI80" s="684"/>
      <c r="SNJ80" s="684"/>
      <c r="SNK80" s="684"/>
      <c r="SNL80" s="684"/>
      <c r="SNM80" s="684"/>
      <c r="SNN80" s="684"/>
      <c r="SNO80" s="684"/>
      <c r="SNP80" s="684"/>
      <c r="SNQ80" s="684"/>
      <c r="SNR80" s="684"/>
      <c r="SNS80" s="684"/>
      <c r="SNT80" s="684"/>
      <c r="SNU80" s="684"/>
      <c r="SNV80" s="684"/>
      <c r="SNW80" s="684"/>
      <c r="SNX80" s="684"/>
      <c r="SNY80" s="684"/>
      <c r="SNZ80" s="684"/>
      <c r="SOA80" s="684"/>
      <c r="SOB80" s="684"/>
      <c r="SOC80" s="684"/>
      <c r="SOD80" s="684"/>
      <c r="SOE80" s="684"/>
      <c r="SOF80" s="684"/>
      <c r="SOG80" s="684"/>
      <c r="SOH80" s="684"/>
      <c r="SOI80" s="684"/>
      <c r="SOJ80" s="684"/>
      <c r="SOK80" s="684"/>
      <c r="SOL80" s="684"/>
      <c r="SOM80" s="684"/>
      <c r="SON80" s="684"/>
      <c r="SOO80" s="684"/>
      <c r="SOP80" s="684"/>
      <c r="SOQ80" s="684"/>
      <c r="SOR80" s="684"/>
      <c r="SOS80" s="684"/>
      <c r="SOT80" s="684"/>
      <c r="SOU80" s="684"/>
      <c r="SOV80" s="684"/>
      <c r="SOW80" s="684"/>
      <c r="SOX80" s="684"/>
      <c r="SOY80" s="684"/>
      <c r="SOZ80" s="684"/>
      <c r="SPA80" s="684"/>
      <c r="SPB80" s="684"/>
      <c r="SPC80" s="684"/>
      <c r="SPD80" s="684"/>
      <c r="SPE80" s="684"/>
      <c r="SPF80" s="684"/>
      <c r="SPG80" s="684"/>
      <c r="SPH80" s="684"/>
      <c r="SPI80" s="684"/>
      <c r="SPJ80" s="684"/>
      <c r="SPK80" s="684"/>
      <c r="SPL80" s="684"/>
      <c r="SPM80" s="684"/>
      <c r="SPN80" s="684"/>
      <c r="SPO80" s="684"/>
      <c r="SPP80" s="684"/>
      <c r="SPQ80" s="684"/>
      <c r="SPR80" s="684"/>
      <c r="SPS80" s="684"/>
      <c r="SPT80" s="684"/>
      <c r="SPU80" s="684"/>
      <c r="SPV80" s="684"/>
      <c r="SPW80" s="684"/>
      <c r="SPX80" s="684"/>
      <c r="SPY80" s="684"/>
      <c r="SPZ80" s="684"/>
      <c r="SQA80" s="684"/>
      <c r="SQB80" s="684"/>
      <c r="SQC80" s="684"/>
      <c r="SQD80" s="684"/>
      <c r="SQE80" s="684"/>
      <c r="SQF80" s="684"/>
      <c r="SQG80" s="684"/>
      <c r="SQH80" s="684"/>
      <c r="SQI80" s="684"/>
      <c r="SQJ80" s="684"/>
      <c r="SQK80" s="684"/>
      <c r="SQL80" s="684"/>
      <c r="SQM80" s="684"/>
      <c r="SQN80" s="684"/>
      <c r="SQO80" s="684"/>
      <c r="SQP80" s="684"/>
      <c r="SQQ80" s="684"/>
      <c r="SQR80" s="684"/>
      <c r="SQS80" s="684"/>
      <c r="SQT80" s="684"/>
      <c r="SQU80" s="684"/>
      <c r="SQV80" s="684"/>
      <c r="SQW80" s="684"/>
      <c r="SQX80" s="684"/>
      <c r="SQY80" s="684"/>
      <c r="SQZ80" s="684"/>
      <c r="SRA80" s="684"/>
      <c r="SRB80" s="684"/>
      <c r="SRC80" s="684"/>
      <c r="SRD80" s="684"/>
      <c r="SRE80" s="684"/>
      <c r="SRF80" s="684"/>
      <c r="SRG80" s="684"/>
      <c r="SRH80" s="684"/>
      <c r="SRI80" s="684"/>
      <c r="SRJ80" s="684"/>
      <c r="SRK80" s="684"/>
      <c r="SRL80" s="684"/>
      <c r="SRM80" s="684"/>
      <c r="SRN80" s="684"/>
      <c r="SRO80" s="684"/>
      <c r="SRP80" s="684"/>
      <c r="SRQ80" s="684"/>
      <c r="SRR80" s="684"/>
      <c r="SRS80" s="684"/>
      <c r="SRT80" s="684"/>
      <c r="SRU80" s="684"/>
      <c r="SRV80" s="684"/>
      <c r="SRW80" s="684"/>
      <c r="SRX80" s="684"/>
      <c r="SRY80" s="684"/>
      <c r="SRZ80" s="684"/>
      <c r="SSA80" s="684"/>
      <c r="SSB80" s="684"/>
      <c r="SSC80" s="684"/>
      <c r="SSD80" s="684"/>
      <c r="SSE80" s="684"/>
      <c r="SSF80" s="684"/>
      <c r="SSG80" s="684"/>
      <c r="SSH80" s="684"/>
      <c r="SSI80" s="684"/>
      <c r="SSJ80" s="684"/>
      <c r="SSK80" s="684"/>
      <c r="SSL80" s="684"/>
      <c r="SSM80" s="684"/>
      <c r="SSN80" s="684"/>
      <c r="SSO80" s="684"/>
      <c r="SSP80" s="684"/>
      <c r="SSQ80" s="684"/>
      <c r="SSR80" s="684"/>
      <c r="SSS80" s="684"/>
      <c r="SST80" s="684"/>
      <c r="SSU80" s="684"/>
      <c r="SSV80" s="684"/>
      <c r="SSW80" s="684"/>
      <c r="SSX80" s="684"/>
      <c r="SSY80" s="684"/>
      <c r="SSZ80" s="684"/>
      <c r="STA80" s="684"/>
      <c r="STB80" s="684"/>
      <c r="STC80" s="684"/>
      <c r="STD80" s="684"/>
      <c r="STE80" s="684"/>
      <c r="STF80" s="684"/>
      <c r="STG80" s="684"/>
      <c r="STH80" s="684"/>
      <c r="STI80" s="684"/>
      <c r="STJ80" s="684"/>
      <c r="STK80" s="684"/>
      <c r="STL80" s="684"/>
      <c r="STM80" s="684"/>
      <c r="STN80" s="684"/>
      <c r="STO80" s="684"/>
      <c r="STP80" s="684"/>
      <c r="STQ80" s="684"/>
      <c r="STR80" s="684"/>
      <c r="STS80" s="684"/>
      <c r="STT80" s="684"/>
      <c r="STU80" s="684"/>
      <c r="STV80" s="684"/>
      <c r="STW80" s="684"/>
      <c r="STX80" s="684"/>
      <c r="STY80" s="684"/>
      <c r="STZ80" s="684"/>
      <c r="SUA80" s="684"/>
      <c r="SUB80" s="684"/>
      <c r="SUC80" s="684"/>
      <c r="SUD80" s="684"/>
      <c r="SUE80" s="684"/>
      <c r="SUF80" s="684"/>
      <c r="SUG80" s="684"/>
      <c r="SUH80" s="684"/>
      <c r="SUI80" s="684"/>
      <c r="SUJ80" s="684"/>
      <c r="SUK80" s="684"/>
      <c r="SUL80" s="684"/>
      <c r="SUM80" s="684"/>
      <c r="SUN80" s="684"/>
      <c r="SUO80" s="684"/>
      <c r="SUP80" s="684"/>
      <c r="SUQ80" s="684"/>
      <c r="SUR80" s="684"/>
      <c r="SUS80" s="684"/>
      <c r="SUT80" s="684"/>
      <c r="SUU80" s="684"/>
      <c r="SUV80" s="684"/>
      <c r="SUW80" s="684"/>
      <c r="SUX80" s="684"/>
      <c r="SUY80" s="684"/>
      <c r="SUZ80" s="684"/>
      <c r="SVA80" s="684"/>
      <c r="SVB80" s="684"/>
      <c r="SVC80" s="684"/>
      <c r="SVD80" s="684"/>
      <c r="SVE80" s="684"/>
      <c r="SVF80" s="684"/>
      <c r="SVG80" s="684"/>
      <c r="SVH80" s="684"/>
      <c r="SVI80" s="684"/>
      <c r="SVJ80" s="684"/>
      <c r="SVK80" s="684"/>
      <c r="SVL80" s="684"/>
      <c r="SVM80" s="684"/>
      <c r="SVN80" s="684"/>
      <c r="SVO80" s="684"/>
      <c r="SVP80" s="684"/>
      <c r="SVQ80" s="684"/>
      <c r="SVR80" s="684"/>
      <c r="SVS80" s="684"/>
      <c r="SVT80" s="684"/>
      <c r="SVU80" s="684"/>
      <c r="SVV80" s="684"/>
      <c r="SVW80" s="684"/>
      <c r="SVX80" s="684"/>
      <c r="SVY80" s="684"/>
      <c r="SVZ80" s="684"/>
      <c r="SWA80" s="684"/>
      <c r="SWB80" s="684"/>
      <c r="SWC80" s="684"/>
      <c r="SWD80" s="684"/>
      <c r="SWE80" s="684"/>
      <c r="SWF80" s="684"/>
      <c r="SWG80" s="684"/>
      <c r="SWH80" s="684"/>
      <c r="SWI80" s="684"/>
      <c r="SWJ80" s="684"/>
      <c r="SWK80" s="684"/>
      <c r="SWL80" s="684"/>
      <c r="SWM80" s="684"/>
      <c r="SWN80" s="684"/>
      <c r="SWO80" s="684"/>
      <c r="SWP80" s="684"/>
      <c r="SWQ80" s="684"/>
      <c r="SWR80" s="684"/>
      <c r="SWS80" s="684"/>
      <c r="SWT80" s="684"/>
      <c r="SWU80" s="684"/>
      <c r="SWV80" s="684"/>
      <c r="SWW80" s="684"/>
      <c r="SWX80" s="684"/>
      <c r="SWY80" s="684"/>
      <c r="SWZ80" s="684"/>
      <c r="SXA80" s="684"/>
      <c r="SXB80" s="684"/>
      <c r="SXC80" s="684"/>
      <c r="SXD80" s="684"/>
      <c r="SXE80" s="684"/>
      <c r="SXF80" s="684"/>
      <c r="SXG80" s="684"/>
      <c r="SXH80" s="684"/>
      <c r="SXI80" s="684"/>
      <c r="SXJ80" s="684"/>
      <c r="SXK80" s="684"/>
      <c r="SXL80" s="684"/>
      <c r="SXM80" s="684"/>
      <c r="SXN80" s="684"/>
      <c r="SXO80" s="684"/>
      <c r="SXP80" s="684"/>
      <c r="SXQ80" s="684"/>
      <c r="SXR80" s="684"/>
      <c r="SXS80" s="684"/>
      <c r="SXT80" s="684"/>
      <c r="SXU80" s="684"/>
      <c r="SXV80" s="684"/>
      <c r="SXW80" s="684"/>
      <c r="SXX80" s="684"/>
      <c r="SXY80" s="684"/>
      <c r="SXZ80" s="684"/>
      <c r="SYA80" s="684"/>
      <c r="SYB80" s="684"/>
      <c r="SYC80" s="684"/>
      <c r="SYD80" s="684"/>
      <c r="SYE80" s="684"/>
      <c r="SYF80" s="684"/>
      <c r="SYG80" s="684"/>
      <c r="SYH80" s="684"/>
      <c r="SYI80" s="684"/>
      <c r="SYJ80" s="684"/>
      <c r="SYK80" s="684"/>
      <c r="SYL80" s="684"/>
      <c r="SYM80" s="684"/>
      <c r="SYN80" s="684"/>
      <c r="SYO80" s="684"/>
      <c r="SYP80" s="684"/>
      <c r="SYQ80" s="684"/>
      <c r="SYR80" s="684"/>
      <c r="SYS80" s="684"/>
      <c r="SYT80" s="684"/>
      <c r="SYU80" s="684"/>
      <c r="SYV80" s="684"/>
      <c r="SYW80" s="684"/>
      <c r="SYX80" s="684"/>
      <c r="SYY80" s="684"/>
      <c r="SYZ80" s="684"/>
      <c r="SZA80" s="684"/>
      <c r="SZB80" s="684"/>
      <c r="SZC80" s="684"/>
      <c r="SZD80" s="684"/>
      <c r="SZE80" s="684"/>
      <c r="SZF80" s="684"/>
      <c r="SZG80" s="684"/>
      <c r="SZH80" s="684"/>
      <c r="SZI80" s="684"/>
      <c r="SZJ80" s="684"/>
      <c r="SZK80" s="684"/>
      <c r="SZL80" s="684"/>
      <c r="SZM80" s="684"/>
      <c r="SZN80" s="684"/>
      <c r="SZO80" s="684"/>
      <c r="SZP80" s="684"/>
      <c r="SZQ80" s="684"/>
      <c r="SZR80" s="684"/>
      <c r="SZS80" s="684"/>
      <c r="SZT80" s="684"/>
      <c r="SZU80" s="684"/>
      <c r="SZV80" s="684"/>
      <c r="SZW80" s="684"/>
      <c r="SZX80" s="684"/>
      <c r="SZY80" s="684"/>
      <c r="SZZ80" s="684"/>
      <c r="TAA80" s="684"/>
      <c r="TAB80" s="684"/>
      <c r="TAC80" s="684"/>
      <c r="TAD80" s="684"/>
      <c r="TAE80" s="684"/>
      <c r="TAF80" s="684"/>
      <c r="TAG80" s="684"/>
      <c r="TAH80" s="684"/>
      <c r="TAI80" s="684"/>
      <c r="TAJ80" s="684"/>
      <c r="TAK80" s="684"/>
      <c r="TAL80" s="684"/>
      <c r="TAM80" s="684"/>
      <c r="TAN80" s="684"/>
      <c r="TAO80" s="684"/>
      <c r="TAP80" s="684"/>
      <c r="TAQ80" s="684"/>
      <c r="TAR80" s="684"/>
      <c r="TAS80" s="684"/>
      <c r="TAT80" s="684"/>
      <c r="TAU80" s="684"/>
      <c r="TAV80" s="684"/>
      <c r="TAW80" s="684"/>
      <c r="TAX80" s="684"/>
      <c r="TAY80" s="684"/>
      <c r="TAZ80" s="684"/>
      <c r="TBA80" s="684"/>
      <c r="TBB80" s="684"/>
      <c r="TBC80" s="684"/>
      <c r="TBD80" s="684"/>
      <c r="TBE80" s="684"/>
      <c r="TBF80" s="684"/>
      <c r="TBG80" s="684"/>
      <c r="TBH80" s="684"/>
      <c r="TBI80" s="684"/>
      <c r="TBJ80" s="684"/>
      <c r="TBK80" s="684"/>
      <c r="TBL80" s="684"/>
      <c r="TBM80" s="684"/>
      <c r="TBN80" s="684"/>
      <c r="TBO80" s="684"/>
      <c r="TBP80" s="684"/>
      <c r="TBQ80" s="684"/>
      <c r="TBR80" s="684"/>
      <c r="TBS80" s="684"/>
      <c r="TBT80" s="684"/>
      <c r="TBU80" s="684"/>
      <c r="TBV80" s="684"/>
      <c r="TBW80" s="684"/>
      <c r="TBX80" s="684"/>
      <c r="TBY80" s="684"/>
      <c r="TBZ80" s="684"/>
      <c r="TCA80" s="684"/>
      <c r="TCB80" s="684"/>
      <c r="TCC80" s="684"/>
      <c r="TCD80" s="684"/>
      <c r="TCE80" s="684"/>
      <c r="TCF80" s="684"/>
      <c r="TCG80" s="684"/>
      <c r="TCH80" s="684"/>
      <c r="TCI80" s="684"/>
      <c r="TCJ80" s="684"/>
      <c r="TCK80" s="684"/>
      <c r="TCL80" s="684"/>
      <c r="TCM80" s="684"/>
      <c r="TCN80" s="684"/>
      <c r="TCO80" s="684"/>
      <c r="TCP80" s="684"/>
      <c r="TCQ80" s="684"/>
      <c r="TCR80" s="684"/>
      <c r="TCS80" s="684"/>
      <c r="TCT80" s="684"/>
      <c r="TCU80" s="684"/>
      <c r="TCV80" s="684"/>
      <c r="TCW80" s="684"/>
      <c r="TCX80" s="684"/>
      <c r="TCY80" s="684"/>
      <c r="TCZ80" s="684"/>
      <c r="TDA80" s="684"/>
      <c r="TDB80" s="684"/>
      <c r="TDC80" s="684"/>
      <c r="TDD80" s="684"/>
      <c r="TDE80" s="684"/>
      <c r="TDF80" s="684"/>
      <c r="TDG80" s="684"/>
      <c r="TDH80" s="684"/>
      <c r="TDI80" s="684"/>
      <c r="TDJ80" s="684"/>
      <c r="TDK80" s="684"/>
      <c r="TDL80" s="684"/>
      <c r="TDM80" s="684"/>
      <c r="TDN80" s="684"/>
      <c r="TDO80" s="684"/>
      <c r="TDP80" s="684"/>
      <c r="TDQ80" s="684"/>
      <c r="TDR80" s="684"/>
      <c r="TDS80" s="684"/>
      <c r="TDT80" s="684"/>
      <c r="TDU80" s="684"/>
      <c r="TDV80" s="684"/>
      <c r="TDW80" s="684"/>
      <c r="TDX80" s="684"/>
      <c r="TDY80" s="684"/>
      <c r="TDZ80" s="684"/>
      <c r="TEA80" s="684"/>
      <c r="TEB80" s="684"/>
      <c r="TEC80" s="684"/>
      <c r="TED80" s="684"/>
      <c r="TEE80" s="684"/>
      <c r="TEF80" s="684"/>
      <c r="TEG80" s="684"/>
      <c r="TEH80" s="684"/>
      <c r="TEI80" s="684"/>
      <c r="TEJ80" s="684"/>
      <c r="TEK80" s="684"/>
      <c r="TEL80" s="684"/>
      <c r="TEM80" s="684"/>
      <c r="TEN80" s="684"/>
      <c r="TEO80" s="684"/>
      <c r="TEP80" s="684"/>
      <c r="TEQ80" s="684"/>
      <c r="TER80" s="684"/>
      <c r="TES80" s="684"/>
      <c r="TET80" s="684"/>
      <c r="TEU80" s="684"/>
      <c r="TEV80" s="684"/>
      <c r="TEW80" s="684"/>
      <c r="TEX80" s="684"/>
      <c r="TEY80" s="684"/>
      <c r="TEZ80" s="684"/>
      <c r="TFA80" s="684"/>
      <c r="TFB80" s="684"/>
      <c r="TFC80" s="684"/>
      <c r="TFD80" s="684"/>
      <c r="TFE80" s="684"/>
      <c r="TFF80" s="684"/>
      <c r="TFG80" s="684"/>
      <c r="TFH80" s="684"/>
      <c r="TFI80" s="684"/>
      <c r="TFJ80" s="684"/>
      <c r="TFK80" s="684"/>
      <c r="TFL80" s="684"/>
      <c r="TFM80" s="684"/>
      <c r="TFN80" s="684"/>
      <c r="TFO80" s="684"/>
      <c r="TFP80" s="684"/>
      <c r="TFQ80" s="684"/>
      <c r="TFR80" s="684"/>
      <c r="TFS80" s="684"/>
      <c r="TFT80" s="684"/>
      <c r="TFU80" s="684"/>
      <c r="TFV80" s="684"/>
      <c r="TFW80" s="684"/>
      <c r="TFX80" s="684"/>
      <c r="TFY80" s="684"/>
      <c r="TFZ80" s="684"/>
      <c r="TGA80" s="684"/>
      <c r="TGB80" s="684"/>
      <c r="TGC80" s="684"/>
      <c r="TGD80" s="684"/>
      <c r="TGE80" s="684"/>
      <c r="TGF80" s="684"/>
      <c r="TGG80" s="684"/>
      <c r="TGH80" s="684"/>
      <c r="TGI80" s="684"/>
      <c r="TGJ80" s="684"/>
      <c r="TGK80" s="684"/>
      <c r="TGL80" s="684"/>
      <c r="TGM80" s="684"/>
      <c r="TGN80" s="684"/>
      <c r="TGO80" s="684"/>
      <c r="TGP80" s="684"/>
      <c r="TGQ80" s="684"/>
      <c r="TGR80" s="684"/>
      <c r="TGS80" s="684"/>
      <c r="TGT80" s="684"/>
      <c r="TGU80" s="684"/>
      <c r="TGV80" s="684"/>
      <c r="TGW80" s="684"/>
      <c r="TGX80" s="684"/>
      <c r="TGY80" s="684"/>
      <c r="TGZ80" s="684"/>
      <c r="THA80" s="684"/>
      <c r="THB80" s="684"/>
      <c r="THC80" s="684"/>
      <c r="THD80" s="684"/>
      <c r="THE80" s="684"/>
      <c r="THF80" s="684"/>
      <c r="THG80" s="684"/>
      <c r="THH80" s="684"/>
      <c r="THI80" s="684"/>
      <c r="THJ80" s="684"/>
      <c r="THK80" s="684"/>
      <c r="THL80" s="684"/>
      <c r="THM80" s="684"/>
      <c r="THN80" s="684"/>
      <c r="THO80" s="684"/>
      <c r="THP80" s="684"/>
      <c r="THQ80" s="684"/>
      <c r="THR80" s="684"/>
      <c r="THS80" s="684"/>
      <c r="THT80" s="684"/>
      <c r="THU80" s="684"/>
      <c r="THV80" s="684"/>
      <c r="THW80" s="684"/>
      <c r="THX80" s="684"/>
      <c r="THY80" s="684"/>
      <c r="THZ80" s="684"/>
      <c r="TIA80" s="684"/>
      <c r="TIB80" s="684"/>
      <c r="TIC80" s="684"/>
      <c r="TID80" s="684"/>
      <c r="TIE80" s="684"/>
      <c r="TIF80" s="684"/>
      <c r="TIG80" s="684"/>
      <c r="TIH80" s="684"/>
      <c r="TII80" s="684"/>
      <c r="TIJ80" s="684"/>
      <c r="TIK80" s="684"/>
      <c r="TIL80" s="684"/>
      <c r="TIM80" s="684"/>
      <c r="TIN80" s="684"/>
      <c r="TIO80" s="684"/>
      <c r="TIP80" s="684"/>
      <c r="TIQ80" s="684"/>
      <c r="TIR80" s="684"/>
      <c r="TIS80" s="684"/>
      <c r="TIT80" s="684"/>
      <c r="TIU80" s="684"/>
      <c r="TIV80" s="684"/>
      <c r="TIW80" s="684"/>
      <c r="TIX80" s="684"/>
      <c r="TIY80" s="684"/>
      <c r="TIZ80" s="684"/>
      <c r="TJA80" s="684"/>
      <c r="TJB80" s="684"/>
      <c r="TJC80" s="684"/>
      <c r="TJD80" s="684"/>
      <c r="TJE80" s="684"/>
      <c r="TJF80" s="684"/>
      <c r="TJG80" s="684"/>
      <c r="TJH80" s="684"/>
      <c r="TJI80" s="684"/>
      <c r="TJJ80" s="684"/>
      <c r="TJK80" s="684"/>
      <c r="TJL80" s="684"/>
      <c r="TJM80" s="684"/>
      <c r="TJN80" s="684"/>
      <c r="TJO80" s="684"/>
      <c r="TJP80" s="684"/>
      <c r="TJQ80" s="684"/>
      <c r="TJR80" s="684"/>
      <c r="TJS80" s="684"/>
      <c r="TJT80" s="684"/>
      <c r="TJU80" s="684"/>
      <c r="TJV80" s="684"/>
      <c r="TJW80" s="684"/>
      <c r="TJX80" s="684"/>
      <c r="TJY80" s="684"/>
      <c r="TJZ80" s="684"/>
      <c r="TKA80" s="684"/>
      <c r="TKB80" s="684"/>
      <c r="TKC80" s="684"/>
      <c r="TKD80" s="684"/>
      <c r="TKE80" s="684"/>
      <c r="TKF80" s="684"/>
      <c r="TKG80" s="684"/>
      <c r="TKH80" s="684"/>
      <c r="TKI80" s="684"/>
      <c r="TKJ80" s="684"/>
      <c r="TKK80" s="684"/>
      <c r="TKL80" s="684"/>
      <c r="TKM80" s="684"/>
      <c r="TKN80" s="684"/>
      <c r="TKO80" s="684"/>
      <c r="TKP80" s="684"/>
      <c r="TKQ80" s="684"/>
      <c r="TKR80" s="684"/>
      <c r="TKS80" s="684"/>
      <c r="TKT80" s="684"/>
      <c r="TKU80" s="684"/>
      <c r="TKV80" s="684"/>
      <c r="TKW80" s="684"/>
      <c r="TKX80" s="684"/>
      <c r="TKY80" s="684"/>
      <c r="TKZ80" s="684"/>
      <c r="TLA80" s="684"/>
      <c r="TLB80" s="684"/>
      <c r="TLC80" s="684"/>
      <c r="TLD80" s="684"/>
      <c r="TLE80" s="684"/>
      <c r="TLF80" s="684"/>
      <c r="TLG80" s="684"/>
      <c r="TLH80" s="684"/>
      <c r="TLI80" s="684"/>
      <c r="TLJ80" s="684"/>
      <c r="TLK80" s="684"/>
      <c r="TLL80" s="684"/>
      <c r="TLM80" s="684"/>
      <c r="TLN80" s="684"/>
      <c r="TLO80" s="684"/>
      <c r="TLP80" s="684"/>
      <c r="TLQ80" s="684"/>
      <c r="TLR80" s="684"/>
      <c r="TLS80" s="684"/>
      <c r="TLT80" s="684"/>
      <c r="TLU80" s="684"/>
      <c r="TLV80" s="684"/>
      <c r="TLW80" s="684"/>
      <c r="TLX80" s="684"/>
      <c r="TLY80" s="684"/>
      <c r="TLZ80" s="684"/>
      <c r="TMA80" s="684"/>
      <c r="TMB80" s="684"/>
      <c r="TMC80" s="684"/>
      <c r="TMD80" s="684"/>
      <c r="TME80" s="684"/>
      <c r="TMF80" s="684"/>
      <c r="TMG80" s="684"/>
      <c r="TMH80" s="684"/>
      <c r="TMI80" s="684"/>
      <c r="TMJ80" s="684"/>
      <c r="TMK80" s="684"/>
      <c r="TML80" s="684"/>
      <c r="TMM80" s="684"/>
      <c r="TMN80" s="684"/>
      <c r="TMO80" s="684"/>
      <c r="TMP80" s="684"/>
      <c r="TMQ80" s="684"/>
      <c r="TMR80" s="684"/>
      <c r="TMS80" s="684"/>
      <c r="TMT80" s="684"/>
      <c r="TMU80" s="684"/>
      <c r="TMV80" s="684"/>
      <c r="TMW80" s="684"/>
      <c r="TMX80" s="684"/>
      <c r="TMY80" s="684"/>
      <c r="TMZ80" s="684"/>
      <c r="TNA80" s="684"/>
      <c r="TNB80" s="684"/>
      <c r="TNC80" s="684"/>
      <c r="TND80" s="684"/>
      <c r="TNE80" s="684"/>
      <c r="TNF80" s="684"/>
      <c r="TNG80" s="684"/>
      <c r="TNH80" s="684"/>
      <c r="TNI80" s="684"/>
      <c r="TNJ80" s="684"/>
      <c r="TNK80" s="684"/>
      <c r="TNL80" s="684"/>
      <c r="TNM80" s="684"/>
      <c r="TNN80" s="684"/>
      <c r="TNO80" s="684"/>
      <c r="TNP80" s="684"/>
      <c r="TNQ80" s="684"/>
      <c r="TNR80" s="684"/>
      <c r="TNS80" s="684"/>
      <c r="TNT80" s="684"/>
      <c r="TNU80" s="684"/>
      <c r="TNV80" s="684"/>
      <c r="TNW80" s="684"/>
      <c r="TNX80" s="684"/>
      <c r="TNY80" s="684"/>
      <c r="TNZ80" s="684"/>
      <c r="TOA80" s="684"/>
      <c r="TOB80" s="684"/>
      <c r="TOC80" s="684"/>
      <c r="TOD80" s="684"/>
      <c r="TOE80" s="684"/>
      <c r="TOF80" s="684"/>
      <c r="TOG80" s="684"/>
      <c r="TOH80" s="684"/>
      <c r="TOI80" s="684"/>
      <c r="TOJ80" s="684"/>
      <c r="TOK80" s="684"/>
      <c r="TOL80" s="684"/>
      <c r="TOM80" s="684"/>
      <c r="TON80" s="684"/>
      <c r="TOO80" s="684"/>
      <c r="TOP80" s="684"/>
      <c r="TOQ80" s="684"/>
      <c r="TOR80" s="684"/>
      <c r="TOS80" s="684"/>
      <c r="TOT80" s="684"/>
      <c r="TOU80" s="684"/>
      <c r="TOV80" s="684"/>
      <c r="TOW80" s="684"/>
      <c r="TOX80" s="684"/>
      <c r="TOY80" s="684"/>
      <c r="TOZ80" s="684"/>
      <c r="TPA80" s="684"/>
      <c r="TPB80" s="684"/>
      <c r="TPC80" s="684"/>
      <c r="TPD80" s="684"/>
      <c r="TPE80" s="684"/>
      <c r="TPF80" s="684"/>
      <c r="TPG80" s="684"/>
      <c r="TPH80" s="684"/>
      <c r="TPI80" s="684"/>
      <c r="TPJ80" s="684"/>
      <c r="TPK80" s="684"/>
      <c r="TPL80" s="684"/>
      <c r="TPM80" s="684"/>
      <c r="TPN80" s="684"/>
      <c r="TPO80" s="684"/>
      <c r="TPP80" s="684"/>
      <c r="TPQ80" s="684"/>
      <c r="TPR80" s="684"/>
      <c r="TPS80" s="684"/>
      <c r="TPT80" s="684"/>
      <c r="TPU80" s="684"/>
      <c r="TPV80" s="684"/>
      <c r="TPW80" s="684"/>
      <c r="TPX80" s="684"/>
      <c r="TPY80" s="684"/>
      <c r="TPZ80" s="684"/>
      <c r="TQA80" s="684"/>
      <c r="TQB80" s="684"/>
      <c r="TQC80" s="684"/>
      <c r="TQD80" s="684"/>
      <c r="TQE80" s="684"/>
      <c r="TQF80" s="684"/>
      <c r="TQG80" s="684"/>
      <c r="TQH80" s="684"/>
      <c r="TQI80" s="684"/>
      <c r="TQJ80" s="684"/>
      <c r="TQK80" s="684"/>
      <c r="TQL80" s="684"/>
      <c r="TQM80" s="684"/>
      <c r="TQN80" s="684"/>
      <c r="TQO80" s="684"/>
      <c r="TQP80" s="684"/>
      <c r="TQQ80" s="684"/>
      <c r="TQR80" s="684"/>
      <c r="TQS80" s="684"/>
      <c r="TQT80" s="684"/>
      <c r="TQU80" s="684"/>
      <c r="TQV80" s="684"/>
      <c r="TQW80" s="684"/>
      <c r="TQX80" s="684"/>
      <c r="TQY80" s="684"/>
      <c r="TQZ80" s="684"/>
      <c r="TRA80" s="684"/>
      <c r="TRB80" s="684"/>
      <c r="TRC80" s="684"/>
      <c r="TRD80" s="684"/>
      <c r="TRE80" s="684"/>
      <c r="TRF80" s="684"/>
      <c r="TRG80" s="684"/>
      <c r="TRH80" s="684"/>
      <c r="TRI80" s="684"/>
      <c r="TRJ80" s="684"/>
      <c r="TRK80" s="684"/>
      <c r="TRL80" s="684"/>
      <c r="TRM80" s="684"/>
      <c r="TRN80" s="684"/>
      <c r="TRO80" s="684"/>
      <c r="TRP80" s="684"/>
      <c r="TRQ80" s="684"/>
      <c r="TRR80" s="684"/>
      <c r="TRS80" s="684"/>
      <c r="TRT80" s="684"/>
      <c r="TRU80" s="684"/>
      <c r="TRV80" s="684"/>
      <c r="TRW80" s="684"/>
      <c r="TRX80" s="684"/>
      <c r="TRY80" s="684"/>
      <c r="TRZ80" s="684"/>
      <c r="TSA80" s="684"/>
      <c r="TSB80" s="684"/>
      <c r="TSC80" s="684"/>
      <c r="TSD80" s="684"/>
      <c r="TSE80" s="684"/>
      <c r="TSF80" s="684"/>
      <c r="TSG80" s="684"/>
      <c r="TSH80" s="684"/>
      <c r="TSI80" s="684"/>
      <c r="TSJ80" s="684"/>
      <c r="TSK80" s="684"/>
      <c r="TSL80" s="684"/>
      <c r="TSM80" s="684"/>
      <c r="TSN80" s="684"/>
      <c r="TSO80" s="684"/>
      <c r="TSP80" s="684"/>
      <c r="TSQ80" s="684"/>
      <c r="TSR80" s="684"/>
      <c r="TSS80" s="684"/>
      <c r="TST80" s="684"/>
      <c r="TSU80" s="684"/>
      <c r="TSV80" s="684"/>
      <c r="TSW80" s="684"/>
      <c r="TSX80" s="684"/>
      <c r="TSY80" s="684"/>
      <c r="TSZ80" s="684"/>
      <c r="TTA80" s="684"/>
      <c r="TTB80" s="684"/>
      <c r="TTC80" s="684"/>
      <c r="TTD80" s="684"/>
      <c r="TTE80" s="684"/>
      <c r="TTF80" s="684"/>
      <c r="TTG80" s="684"/>
      <c r="TTH80" s="684"/>
      <c r="TTI80" s="684"/>
      <c r="TTJ80" s="684"/>
      <c r="TTK80" s="684"/>
      <c r="TTL80" s="684"/>
      <c r="TTM80" s="684"/>
      <c r="TTN80" s="684"/>
      <c r="TTO80" s="684"/>
      <c r="TTP80" s="684"/>
      <c r="TTQ80" s="684"/>
      <c r="TTR80" s="684"/>
      <c r="TTS80" s="684"/>
      <c r="TTT80" s="684"/>
      <c r="TTU80" s="684"/>
      <c r="TTV80" s="684"/>
      <c r="TTW80" s="684"/>
      <c r="TTX80" s="684"/>
      <c r="TTY80" s="684"/>
      <c r="TTZ80" s="684"/>
      <c r="TUA80" s="684"/>
      <c r="TUB80" s="684"/>
      <c r="TUC80" s="684"/>
      <c r="TUD80" s="684"/>
      <c r="TUE80" s="684"/>
      <c r="TUF80" s="684"/>
      <c r="TUG80" s="684"/>
      <c r="TUH80" s="684"/>
      <c r="TUI80" s="684"/>
      <c r="TUJ80" s="684"/>
      <c r="TUK80" s="684"/>
      <c r="TUL80" s="684"/>
      <c r="TUM80" s="684"/>
      <c r="TUN80" s="684"/>
      <c r="TUO80" s="684"/>
      <c r="TUP80" s="684"/>
      <c r="TUQ80" s="684"/>
      <c r="TUR80" s="684"/>
      <c r="TUS80" s="684"/>
      <c r="TUT80" s="684"/>
      <c r="TUU80" s="684"/>
      <c r="TUV80" s="684"/>
      <c r="TUW80" s="684"/>
      <c r="TUX80" s="684"/>
      <c r="TUY80" s="684"/>
      <c r="TUZ80" s="684"/>
      <c r="TVA80" s="684"/>
      <c r="TVB80" s="684"/>
      <c r="TVC80" s="684"/>
      <c r="TVD80" s="684"/>
      <c r="TVE80" s="684"/>
      <c r="TVF80" s="684"/>
      <c r="TVG80" s="684"/>
      <c r="TVH80" s="684"/>
      <c r="TVI80" s="684"/>
      <c r="TVJ80" s="684"/>
      <c r="TVK80" s="684"/>
      <c r="TVL80" s="684"/>
      <c r="TVM80" s="684"/>
      <c r="TVN80" s="684"/>
      <c r="TVO80" s="684"/>
      <c r="TVP80" s="684"/>
      <c r="TVQ80" s="684"/>
      <c r="TVR80" s="684"/>
      <c r="TVS80" s="684"/>
      <c r="TVT80" s="684"/>
      <c r="TVU80" s="684"/>
      <c r="TVV80" s="684"/>
      <c r="TVW80" s="684"/>
      <c r="TVX80" s="684"/>
      <c r="TVY80" s="684"/>
      <c r="TVZ80" s="684"/>
      <c r="TWA80" s="684"/>
      <c r="TWB80" s="684"/>
      <c r="TWC80" s="684"/>
      <c r="TWD80" s="684"/>
      <c r="TWE80" s="684"/>
      <c r="TWF80" s="684"/>
      <c r="TWG80" s="684"/>
      <c r="TWH80" s="684"/>
      <c r="TWI80" s="684"/>
      <c r="TWJ80" s="684"/>
      <c r="TWK80" s="684"/>
      <c r="TWL80" s="684"/>
      <c r="TWM80" s="684"/>
      <c r="TWN80" s="684"/>
      <c r="TWO80" s="684"/>
      <c r="TWP80" s="684"/>
      <c r="TWQ80" s="684"/>
      <c r="TWR80" s="684"/>
      <c r="TWS80" s="684"/>
      <c r="TWT80" s="684"/>
      <c r="TWU80" s="684"/>
      <c r="TWV80" s="684"/>
      <c r="TWW80" s="684"/>
      <c r="TWX80" s="684"/>
      <c r="TWY80" s="684"/>
      <c r="TWZ80" s="684"/>
      <c r="TXA80" s="684"/>
      <c r="TXB80" s="684"/>
      <c r="TXC80" s="684"/>
      <c r="TXD80" s="684"/>
      <c r="TXE80" s="684"/>
      <c r="TXF80" s="684"/>
      <c r="TXG80" s="684"/>
      <c r="TXH80" s="684"/>
      <c r="TXI80" s="684"/>
      <c r="TXJ80" s="684"/>
      <c r="TXK80" s="684"/>
      <c r="TXL80" s="684"/>
      <c r="TXM80" s="684"/>
      <c r="TXN80" s="684"/>
      <c r="TXO80" s="684"/>
      <c r="TXP80" s="684"/>
      <c r="TXQ80" s="684"/>
      <c r="TXR80" s="684"/>
      <c r="TXS80" s="684"/>
      <c r="TXT80" s="684"/>
      <c r="TXU80" s="684"/>
      <c r="TXV80" s="684"/>
      <c r="TXW80" s="684"/>
      <c r="TXX80" s="684"/>
      <c r="TXY80" s="684"/>
      <c r="TXZ80" s="684"/>
      <c r="TYA80" s="684"/>
      <c r="TYB80" s="684"/>
      <c r="TYC80" s="684"/>
      <c r="TYD80" s="684"/>
      <c r="TYE80" s="684"/>
      <c r="TYF80" s="684"/>
      <c r="TYG80" s="684"/>
      <c r="TYH80" s="684"/>
      <c r="TYI80" s="684"/>
      <c r="TYJ80" s="684"/>
      <c r="TYK80" s="684"/>
      <c r="TYL80" s="684"/>
      <c r="TYM80" s="684"/>
      <c r="TYN80" s="684"/>
      <c r="TYO80" s="684"/>
      <c r="TYP80" s="684"/>
      <c r="TYQ80" s="684"/>
      <c r="TYR80" s="684"/>
      <c r="TYS80" s="684"/>
      <c r="TYT80" s="684"/>
      <c r="TYU80" s="684"/>
      <c r="TYV80" s="684"/>
      <c r="TYW80" s="684"/>
      <c r="TYX80" s="684"/>
      <c r="TYY80" s="684"/>
      <c r="TYZ80" s="684"/>
      <c r="TZA80" s="684"/>
      <c r="TZB80" s="684"/>
      <c r="TZC80" s="684"/>
      <c r="TZD80" s="684"/>
      <c r="TZE80" s="684"/>
      <c r="TZF80" s="684"/>
      <c r="TZG80" s="684"/>
      <c r="TZH80" s="684"/>
      <c r="TZI80" s="684"/>
      <c r="TZJ80" s="684"/>
      <c r="TZK80" s="684"/>
      <c r="TZL80" s="684"/>
      <c r="TZM80" s="684"/>
      <c r="TZN80" s="684"/>
      <c r="TZO80" s="684"/>
      <c r="TZP80" s="684"/>
      <c r="TZQ80" s="684"/>
      <c r="TZR80" s="684"/>
      <c r="TZS80" s="684"/>
      <c r="TZT80" s="684"/>
      <c r="TZU80" s="684"/>
      <c r="TZV80" s="684"/>
      <c r="TZW80" s="684"/>
      <c r="TZX80" s="684"/>
      <c r="TZY80" s="684"/>
      <c r="TZZ80" s="684"/>
      <c r="UAA80" s="684"/>
      <c r="UAB80" s="684"/>
      <c r="UAC80" s="684"/>
      <c r="UAD80" s="684"/>
      <c r="UAE80" s="684"/>
      <c r="UAF80" s="684"/>
      <c r="UAG80" s="684"/>
      <c r="UAH80" s="684"/>
      <c r="UAI80" s="684"/>
      <c r="UAJ80" s="684"/>
      <c r="UAK80" s="684"/>
      <c r="UAL80" s="684"/>
      <c r="UAM80" s="684"/>
      <c r="UAN80" s="684"/>
      <c r="UAO80" s="684"/>
      <c r="UAP80" s="684"/>
      <c r="UAQ80" s="684"/>
      <c r="UAR80" s="684"/>
      <c r="UAS80" s="684"/>
      <c r="UAT80" s="684"/>
      <c r="UAU80" s="684"/>
      <c r="UAV80" s="684"/>
      <c r="UAW80" s="684"/>
      <c r="UAX80" s="684"/>
      <c r="UAY80" s="684"/>
      <c r="UAZ80" s="684"/>
      <c r="UBA80" s="684"/>
      <c r="UBB80" s="684"/>
      <c r="UBC80" s="684"/>
      <c r="UBD80" s="684"/>
      <c r="UBE80" s="684"/>
      <c r="UBF80" s="684"/>
      <c r="UBG80" s="684"/>
      <c r="UBH80" s="684"/>
      <c r="UBI80" s="684"/>
      <c r="UBJ80" s="684"/>
      <c r="UBK80" s="684"/>
      <c r="UBL80" s="684"/>
      <c r="UBM80" s="684"/>
      <c r="UBN80" s="684"/>
      <c r="UBO80" s="684"/>
      <c r="UBP80" s="684"/>
      <c r="UBQ80" s="684"/>
      <c r="UBR80" s="684"/>
      <c r="UBS80" s="684"/>
      <c r="UBT80" s="684"/>
      <c r="UBU80" s="684"/>
      <c r="UBV80" s="684"/>
      <c r="UBW80" s="684"/>
      <c r="UBX80" s="684"/>
      <c r="UBY80" s="684"/>
      <c r="UBZ80" s="684"/>
      <c r="UCA80" s="684"/>
      <c r="UCB80" s="684"/>
      <c r="UCC80" s="684"/>
      <c r="UCD80" s="684"/>
      <c r="UCE80" s="684"/>
      <c r="UCF80" s="684"/>
      <c r="UCG80" s="684"/>
      <c r="UCH80" s="684"/>
      <c r="UCI80" s="684"/>
      <c r="UCJ80" s="684"/>
      <c r="UCK80" s="684"/>
      <c r="UCL80" s="684"/>
      <c r="UCM80" s="684"/>
      <c r="UCN80" s="684"/>
      <c r="UCO80" s="684"/>
      <c r="UCP80" s="684"/>
      <c r="UCQ80" s="684"/>
      <c r="UCR80" s="684"/>
      <c r="UCS80" s="684"/>
      <c r="UCT80" s="684"/>
      <c r="UCU80" s="684"/>
      <c r="UCV80" s="684"/>
      <c r="UCW80" s="684"/>
      <c r="UCX80" s="684"/>
      <c r="UCY80" s="684"/>
      <c r="UCZ80" s="684"/>
      <c r="UDA80" s="684"/>
      <c r="UDB80" s="684"/>
      <c r="UDC80" s="684"/>
      <c r="UDD80" s="684"/>
      <c r="UDE80" s="684"/>
      <c r="UDF80" s="684"/>
      <c r="UDG80" s="684"/>
      <c r="UDH80" s="684"/>
      <c r="UDI80" s="684"/>
      <c r="UDJ80" s="684"/>
      <c r="UDK80" s="684"/>
      <c r="UDL80" s="684"/>
      <c r="UDM80" s="684"/>
      <c r="UDN80" s="684"/>
      <c r="UDO80" s="684"/>
      <c r="UDP80" s="684"/>
      <c r="UDQ80" s="684"/>
      <c r="UDR80" s="684"/>
      <c r="UDS80" s="684"/>
      <c r="UDT80" s="684"/>
      <c r="UDU80" s="684"/>
      <c r="UDV80" s="684"/>
      <c r="UDW80" s="684"/>
      <c r="UDX80" s="684"/>
      <c r="UDY80" s="684"/>
      <c r="UDZ80" s="684"/>
      <c r="UEA80" s="684"/>
      <c r="UEB80" s="684"/>
      <c r="UEC80" s="684"/>
      <c r="UED80" s="684"/>
      <c r="UEE80" s="684"/>
      <c r="UEF80" s="684"/>
      <c r="UEG80" s="684"/>
      <c r="UEH80" s="684"/>
      <c r="UEI80" s="684"/>
      <c r="UEJ80" s="684"/>
      <c r="UEK80" s="684"/>
      <c r="UEL80" s="684"/>
      <c r="UEM80" s="684"/>
      <c r="UEN80" s="684"/>
      <c r="UEO80" s="684"/>
      <c r="UEP80" s="684"/>
      <c r="UEQ80" s="684"/>
      <c r="UER80" s="684"/>
      <c r="UES80" s="684"/>
      <c r="UET80" s="684"/>
      <c r="UEU80" s="684"/>
      <c r="UEV80" s="684"/>
      <c r="UEW80" s="684"/>
      <c r="UEX80" s="684"/>
      <c r="UEY80" s="684"/>
      <c r="UEZ80" s="684"/>
      <c r="UFA80" s="684"/>
      <c r="UFB80" s="684"/>
      <c r="UFC80" s="684"/>
      <c r="UFD80" s="684"/>
      <c r="UFE80" s="684"/>
      <c r="UFF80" s="684"/>
      <c r="UFG80" s="684"/>
      <c r="UFH80" s="684"/>
      <c r="UFI80" s="684"/>
      <c r="UFJ80" s="684"/>
      <c r="UFK80" s="684"/>
      <c r="UFL80" s="684"/>
      <c r="UFM80" s="684"/>
      <c r="UFN80" s="684"/>
      <c r="UFO80" s="684"/>
      <c r="UFP80" s="684"/>
      <c r="UFQ80" s="684"/>
      <c r="UFR80" s="684"/>
      <c r="UFS80" s="684"/>
      <c r="UFT80" s="684"/>
      <c r="UFU80" s="684"/>
      <c r="UFV80" s="684"/>
      <c r="UFW80" s="684"/>
      <c r="UFX80" s="684"/>
      <c r="UFY80" s="684"/>
      <c r="UFZ80" s="684"/>
      <c r="UGA80" s="684"/>
      <c r="UGB80" s="684"/>
      <c r="UGC80" s="684"/>
      <c r="UGD80" s="684"/>
      <c r="UGE80" s="684"/>
      <c r="UGF80" s="684"/>
      <c r="UGG80" s="684"/>
      <c r="UGH80" s="684"/>
      <c r="UGI80" s="684"/>
      <c r="UGJ80" s="684"/>
      <c r="UGK80" s="684"/>
      <c r="UGL80" s="684"/>
      <c r="UGM80" s="684"/>
      <c r="UGN80" s="684"/>
      <c r="UGO80" s="684"/>
      <c r="UGP80" s="684"/>
      <c r="UGQ80" s="684"/>
      <c r="UGR80" s="684"/>
      <c r="UGS80" s="684"/>
      <c r="UGT80" s="684"/>
      <c r="UGU80" s="684"/>
      <c r="UGV80" s="684"/>
      <c r="UGW80" s="684"/>
      <c r="UGX80" s="684"/>
      <c r="UGY80" s="684"/>
      <c r="UGZ80" s="684"/>
      <c r="UHA80" s="684"/>
      <c r="UHB80" s="684"/>
      <c r="UHC80" s="684"/>
      <c r="UHD80" s="684"/>
      <c r="UHE80" s="684"/>
      <c r="UHF80" s="684"/>
      <c r="UHG80" s="684"/>
      <c r="UHH80" s="684"/>
      <c r="UHI80" s="684"/>
      <c r="UHJ80" s="684"/>
      <c r="UHK80" s="684"/>
      <c r="UHL80" s="684"/>
      <c r="UHM80" s="684"/>
      <c r="UHN80" s="684"/>
      <c r="UHO80" s="684"/>
      <c r="UHP80" s="684"/>
      <c r="UHQ80" s="684"/>
      <c r="UHR80" s="684"/>
      <c r="UHS80" s="684"/>
      <c r="UHT80" s="684"/>
      <c r="UHU80" s="684"/>
      <c r="UHV80" s="684"/>
      <c r="UHW80" s="684"/>
      <c r="UHX80" s="684"/>
      <c r="UHY80" s="684"/>
      <c r="UHZ80" s="684"/>
      <c r="UIA80" s="684"/>
      <c r="UIB80" s="684"/>
      <c r="UIC80" s="684"/>
      <c r="UID80" s="684"/>
      <c r="UIE80" s="684"/>
      <c r="UIF80" s="684"/>
      <c r="UIG80" s="684"/>
      <c r="UIH80" s="684"/>
      <c r="UII80" s="684"/>
      <c r="UIJ80" s="684"/>
      <c r="UIK80" s="684"/>
      <c r="UIL80" s="684"/>
      <c r="UIM80" s="684"/>
      <c r="UIN80" s="684"/>
      <c r="UIO80" s="684"/>
      <c r="UIP80" s="684"/>
      <c r="UIQ80" s="684"/>
      <c r="UIR80" s="684"/>
      <c r="UIS80" s="684"/>
      <c r="UIT80" s="684"/>
      <c r="UIU80" s="684"/>
      <c r="UIV80" s="684"/>
      <c r="UIW80" s="684"/>
      <c r="UIX80" s="684"/>
      <c r="UIY80" s="684"/>
      <c r="UIZ80" s="684"/>
      <c r="UJA80" s="684"/>
      <c r="UJB80" s="684"/>
      <c r="UJC80" s="684"/>
      <c r="UJD80" s="684"/>
      <c r="UJE80" s="684"/>
      <c r="UJF80" s="684"/>
      <c r="UJG80" s="684"/>
      <c r="UJH80" s="684"/>
      <c r="UJI80" s="684"/>
      <c r="UJJ80" s="684"/>
      <c r="UJK80" s="684"/>
      <c r="UJL80" s="684"/>
      <c r="UJM80" s="684"/>
      <c r="UJN80" s="684"/>
      <c r="UJO80" s="684"/>
      <c r="UJP80" s="684"/>
      <c r="UJQ80" s="684"/>
      <c r="UJR80" s="684"/>
      <c r="UJS80" s="684"/>
      <c r="UJT80" s="684"/>
      <c r="UJU80" s="684"/>
      <c r="UJV80" s="684"/>
      <c r="UJW80" s="684"/>
      <c r="UJX80" s="684"/>
      <c r="UJY80" s="684"/>
      <c r="UJZ80" s="684"/>
      <c r="UKA80" s="684"/>
      <c r="UKB80" s="684"/>
      <c r="UKC80" s="684"/>
      <c r="UKD80" s="684"/>
      <c r="UKE80" s="684"/>
      <c r="UKF80" s="684"/>
      <c r="UKG80" s="684"/>
      <c r="UKH80" s="684"/>
      <c r="UKI80" s="684"/>
      <c r="UKJ80" s="684"/>
      <c r="UKK80" s="684"/>
      <c r="UKL80" s="684"/>
      <c r="UKM80" s="684"/>
      <c r="UKN80" s="684"/>
      <c r="UKO80" s="684"/>
      <c r="UKP80" s="684"/>
      <c r="UKQ80" s="684"/>
      <c r="UKR80" s="684"/>
      <c r="UKS80" s="684"/>
      <c r="UKT80" s="684"/>
      <c r="UKU80" s="684"/>
      <c r="UKV80" s="684"/>
      <c r="UKW80" s="684"/>
      <c r="UKX80" s="684"/>
      <c r="UKY80" s="684"/>
      <c r="UKZ80" s="684"/>
      <c r="ULA80" s="684"/>
      <c r="ULB80" s="684"/>
      <c r="ULC80" s="684"/>
      <c r="ULD80" s="684"/>
      <c r="ULE80" s="684"/>
      <c r="ULF80" s="684"/>
      <c r="ULG80" s="684"/>
      <c r="ULH80" s="684"/>
      <c r="ULI80" s="684"/>
      <c r="ULJ80" s="684"/>
      <c r="ULK80" s="684"/>
      <c r="ULL80" s="684"/>
      <c r="ULM80" s="684"/>
      <c r="ULN80" s="684"/>
      <c r="ULO80" s="684"/>
      <c r="ULP80" s="684"/>
      <c r="ULQ80" s="684"/>
      <c r="ULR80" s="684"/>
      <c r="ULS80" s="684"/>
      <c r="ULT80" s="684"/>
      <c r="ULU80" s="684"/>
      <c r="ULV80" s="684"/>
      <c r="ULW80" s="684"/>
      <c r="ULX80" s="684"/>
      <c r="ULY80" s="684"/>
      <c r="ULZ80" s="684"/>
      <c r="UMA80" s="684"/>
      <c r="UMB80" s="684"/>
      <c r="UMC80" s="684"/>
      <c r="UMD80" s="684"/>
      <c r="UME80" s="684"/>
      <c r="UMF80" s="684"/>
      <c r="UMG80" s="684"/>
      <c r="UMH80" s="684"/>
      <c r="UMI80" s="684"/>
      <c r="UMJ80" s="684"/>
      <c r="UMK80" s="684"/>
      <c r="UML80" s="684"/>
      <c r="UMM80" s="684"/>
      <c r="UMN80" s="684"/>
      <c r="UMO80" s="684"/>
      <c r="UMP80" s="684"/>
      <c r="UMQ80" s="684"/>
      <c r="UMR80" s="684"/>
      <c r="UMS80" s="684"/>
      <c r="UMT80" s="684"/>
      <c r="UMU80" s="684"/>
      <c r="UMV80" s="684"/>
      <c r="UMW80" s="684"/>
      <c r="UMX80" s="684"/>
      <c r="UMY80" s="684"/>
      <c r="UMZ80" s="684"/>
      <c r="UNA80" s="684"/>
      <c r="UNB80" s="684"/>
      <c r="UNC80" s="684"/>
      <c r="UND80" s="684"/>
      <c r="UNE80" s="684"/>
      <c r="UNF80" s="684"/>
      <c r="UNG80" s="684"/>
      <c r="UNH80" s="684"/>
      <c r="UNI80" s="684"/>
      <c r="UNJ80" s="684"/>
      <c r="UNK80" s="684"/>
      <c r="UNL80" s="684"/>
      <c r="UNM80" s="684"/>
      <c r="UNN80" s="684"/>
      <c r="UNO80" s="684"/>
      <c r="UNP80" s="684"/>
      <c r="UNQ80" s="684"/>
      <c r="UNR80" s="684"/>
      <c r="UNS80" s="684"/>
      <c r="UNT80" s="684"/>
      <c r="UNU80" s="684"/>
      <c r="UNV80" s="684"/>
      <c r="UNW80" s="684"/>
      <c r="UNX80" s="684"/>
      <c r="UNY80" s="684"/>
      <c r="UNZ80" s="684"/>
      <c r="UOA80" s="684"/>
      <c r="UOB80" s="684"/>
      <c r="UOC80" s="684"/>
      <c r="UOD80" s="684"/>
      <c r="UOE80" s="684"/>
      <c r="UOF80" s="684"/>
      <c r="UOG80" s="684"/>
      <c r="UOH80" s="684"/>
      <c r="UOI80" s="684"/>
      <c r="UOJ80" s="684"/>
      <c r="UOK80" s="684"/>
      <c r="UOL80" s="684"/>
      <c r="UOM80" s="684"/>
      <c r="UON80" s="684"/>
      <c r="UOO80" s="684"/>
      <c r="UOP80" s="684"/>
      <c r="UOQ80" s="684"/>
      <c r="UOR80" s="684"/>
      <c r="UOS80" s="684"/>
      <c r="UOT80" s="684"/>
      <c r="UOU80" s="684"/>
      <c r="UOV80" s="684"/>
      <c r="UOW80" s="684"/>
      <c r="UOX80" s="684"/>
      <c r="UOY80" s="684"/>
      <c r="UOZ80" s="684"/>
      <c r="UPA80" s="684"/>
      <c r="UPB80" s="684"/>
      <c r="UPC80" s="684"/>
      <c r="UPD80" s="684"/>
      <c r="UPE80" s="684"/>
      <c r="UPF80" s="684"/>
      <c r="UPG80" s="684"/>
      <c r="UPH80" s="684"/>
      <c r="UPI80" s="684"/>
      <c r="UPJ80" s="684"/>
      <c r="UPK80" s="684"/>
      <c r="UPL80" s="684"/>
      <c r="UPM80" s="684"/>
      <c r="UPN80" s="684"/>
      <c r="UPO80" s="684"/>
      <c r="UPP80" s="684"/>
      <c r="UPQ80" s="684"/>
      <c r="UPR80" s="684"/>
      <c r="UPS80" s="684"/>
      <c r="UPT80" s="684"/>
      <c r="UPU80" s="684"/>
      <c r="UPV80" s="684"/>
      <c r="UPW80" s="684"/>
      <c r="UPX80" s="684"/>
      <c r="UPY80" s="684"/>
      <c r="UPZ80" s="684"/>
      <c r="UQA80" s="684"/>
      <c r="UQB80" s="684"/>
      <c r="UQC80" s="684"/>
      <c r="UQD80" s="684"/>
      <c r="UQE80" s="684"/>
      <c r="UQF80" s="684"/>
      <c r="UQG80" s="684"/>
      <c r="UQH80" s="684"/>
      <c r="UQI80" s="684"/>
      <c r="UQJ80" s="684"/>
      <c r="UQK80" s="684"/>
      <c r="UQL80" s="684"/>
      <c r="UQM80" s="684"/>
      <c r="UQN80" s="684"/>
      <c r="UQO80" s="684"/>
      <c r="UQP80" s="684"/>
      <c r="UQQ80" s="684"/>
      <c r="UQR80" s="684"/>
      <c r="UQS80" s="684"/>
      <c r="UQT80" s="684"/>
      <c r="UQU80" s="684"/>
      <c r="UQV80" s="684"/>
      <c r="UQW80" s="684"/>
      <c r="UQX80" s="684"/>
      <c r="UQY80" s="684"/>
      <c r="UQZ80" s="684"/>
      <c r="URA80" s="684"/>
      <c r="URB80" s="684"/>
      <c r="URC80" s="684"/>
      <c r="URD80" s="684"/>
      <c r="URE80" s="684"/>
      <c r="URF80" s="684"/>
      <c r="URG80" s="684"/>
      <c r="URH80" s="684"/>
      <c r="URI80" s="684"/>
      <c r="URJ80" s="684"/>
      <c r="URK80" s="684"/>
      <c r="URL80" s="684"/>
      <c r="URM80" s="684"/>
      <c r="URN80" s="684"/>
      <c r="URO80" s="684"/>
      <c r="URP80" s="684"/>
      <c r="URQ80" s="684"/>
      <c r="URR80" s="684"/>
      <c r="URS80" s="684"/>
      <c r="URT80" s="684"/>
      <c r="URU80" s="684"/>
      <c r="URV80" s="684"/>
      <c r="URW80" s="684"/>
      <c r="URX80" s="684"/>
      <c r="URY80" s="684"/>
      <c r="URZ80" s="684"/>
      <c r="USA80" s="684"/>
      <c r="USB80" s="684"/>
      <c r="USC80" s="684"/>
      <c r="USD80" s="684"/>
      <c r="USE80" s="684"/>
      <c r="USF80" s="684"/>
      <c r="USG80" s="684"/>
      <c r="USH80" s="684"/>
      <c r="USI80" s="684"/>
      <c r="USJ80" s="684"/>
      <c r="USK80" s="684"/>
      <c r="USL80" s="684"/>
      <c r="USM80" s="684"/>
      <c r="USN80" s="684"/>
      <c r="USO80" s="684"/>
      <c r="USP80" s="684"/>
      <c r="USQ80" s="684"/>
      <c r="USR80" s="684"/>
      <c r="USS80" s="684"/>
      <c r="UST80" s="684"/>
      <c r="USU80" s="684"/>
      <c r="USV80" s="684"/>
      <c r="USW80" s="684"/>
      <c r="USX80" s="684"/>
      <c r="USY80" s="684"/>
      <c r="USZ80" s="684"/>
      <c r="UTA80" s="684"/>
      <c r="UTB80" s="684"/>
      <c r="UTC80" s="684"/>
      <c r="UTD80" s="684"/>
      <c r="UTE80" s="684"/>
      <c r="UTF80" s="684"/>
      <c r="UTG80" s="684"/>
      <c r="UTH80" s="684"/>
      <c r="UTI80" s="684"/>
      <c r="UTJ80" s="684"/>
      <c r="UTK80" s="684"/>
      <c r="UTL80" s="684"/>
      <c r="UTM80" s="684"/>
      <c r="UTN80" s="684"/>
      <c r="UTO80" s="684"/>
      <c r="UTP80" s="684"/>
      <c r="UTQ80" s="684"/>
      <c r="UTR80" s="684"/>
      <c r="UTS80" s="684"/>
      <c r="UTT80" s="684"/>
      <c r="UTU80" s="684"/>
      <c r="UTV80" s="684"/>
      <c r="UTW80" s="684"/>
      <c r="UTX80" s="684"/>
      <c r="UTY80" s="684"/>
      <c r="UTZ80" s="684"/>
      <c r="UUA80" s="684"/>
      <c r="UUB80" s="684"/>
      <c r="UUC80" s="684"/>
      <c r="UUD80" s="684"/>
      <c r="UUE80" s="684"/>
      <c r="UUF80" s="684"/>
      <c r="UUG80" s="684"/>
      <c r="UUH80" s="684"/>
      <c r="UUI80" s="684"/>
      <c r="UUJ80" s="684"/>
      <c r="UUK80" s="684"/>
      <c r="UUL80" s="684"/>
      <c r="UUM80" s="684"/>
      <c r="UUN80" s="684"/>
      <c r="UUO80" s="684"/>
      <c r="UUP80" s="684"/>
      <c r="UUQ80" s="684"/>
      <c r="UUR80" s="684"/>
      <c r="UUS80" s="684"/>
      <c r="UUT80" s="684"/>
      <c r="UUU80" s="684"/>
      <c r="UUV80" s="684"/>
      <c r="UUW80" s="684"/>
      <c r="UUX80" s="684"/>
      <c r="UUY80" s="684"/>
      <c r="UUZ80" s="684"/>
      <c r="UVA80" s="684"/>
      <c r="UVB80" s="684"/>
      <c r="UVC80" s="684"/>
      <c r="UVD80" s="684"/>
      <c r="UVE80" s="684"/>
      <c r="UVF80" s="684"/>
      <c r="UVG80" s="684"/>
      <c r="UVH80" s="684"/>
      <c r="UVI80" s="684"/>
      <c r="UVJ80" s="684"/>
      <c r="UVK80" s="684"/>
      <c r="UVL80" s="684"/>
      <c r="UVM80" s="684"/>
      <c r="UVN80" s="684"/>
      <c r="UVO80" s="684"/>
      <c r="UVP80" s="684"/>
      <c r="UVQ80" s="684"/>
      <c r="UVR80" s="684"/>
      <c r="UVS80" s="684"/>
      <c r="UVT80" s="684"/>
      <c r="UVU80" s="684"/>
      <c r="UVV80" s="684"/>
      <c r="UVW80" s="684"/>
      <c r="UVX80" s="684"/>
      <c r="UVY80" s="684"/>
      <c r="UVZ80" s="684"/>
      <c r="UWA80" s="684"/>
      <c r="UWB80" s="684"/>
      <c r="UWC80" s="684"/>
      <c r="UWD80" s="684"/>
      <c r="UWE80" s="684"/>
      <c r="UWF80" s="684"/>
      <c r="UWG80" s="684"/>
      <c r="UWH80" s="684"/>
      <c r="UWI80" s="684"/>
      <c r="UWJ80" s="684"/>
      <c r="UWK80" s="684"/>
      <c r="UWL80" s="684"/>
      <c r="UWM80" s="684"/>
      <c r="UWN80" s="684"/>
      <c r="UWO80" s="684"/>
      <c r="UWP80" s="684"/>
      <c r="UWQ80" s="684"/>
      <c r="UWR80" s="684"/>
      <c r="UWS80" s="684"/>
      <c r="UWT80" s="684"/>
      <c r="UWU80" s="684"/>
      <c r="UWV80" s="684"/>
      <c r="UWW80" s="684"/>
      <c r="UWX80" s="684"/>
      <c r="UWY80" s="684"/>
      <c r="UWZ80" s="684"/>
      <c r="UXA80" s="684"/>
      <c r="UXB80" s="684"/>
      <c r="UXC80" s="684"/>
      <c r="UXD80" s="684"/>
      <c r="UXE80" s="684"/>
      <c r="UXF80" s="684"/>
      <c r="UXG80" s="684"/>
      <c r="UXH80" s="684"/>
      <c r="UXI80" s="684"/>
      <c r="UXJ80" s="684"/>
      <c r="UXK80" s="684"/>
      <c r="UXL80" s="684"/>
      <c r="UXM80" s="684"/>
      <c r="UXN80" s="684"/>
      <c r="UXO80" s="684"/>
      <c r="UXP80" s="684"/>
      <c r="UXQ80" s="684"/>
      <c r="UXR80" s="684"/>
      <c r="UXS80" s="684"/>
      <c r="UXT80" s="684"/>
      <c r="UXU80" s="684"/>
      <c r="UXV80" s="684"/>
      <c r="UXW80" s="684"/>
      <c r="UXX80" s="684"/>
      <c r="UXY80" s="684"/>
      <c r="UXZ80" s="684"/>
      <c r="UYA80" s="684"/>
      <c r="UYB80" s="684"/>
      <c r="UYC80" s="684"/>
      <c r="UYD80" s="684"/>
      <c r="UYE80" s="684"/>
      <c r="UYF80" s="684"/>
      <c r="UYG80" s="684"/>
      <c r="UYH80" s="684"/>
      <c r="UYI80" s="684"/>
      <c r="UYJ80" s="684"/>
      <c r="UYK80" s="684"/>
      <c r="UYL80" s="684"/>
      <c r="UYM80" s="684"/>
      <c r="UYN80" s="684"/>
      <c r="UYO80" s="684"/>
      <c r="UYP80" s="684"/>
      <c r="UYQ80" s="684"/>
      <c r="UYR80" s="684"/>
      <c r="UYS80" s="684"/>
      <c r="UYT80" s="684"/>
      <c r="UYU80" s="684"/>
      <c r="UYV80" s="684"/>
      <c r="UYW80" s="684"/>
      <c r="UYX80" s="684"/>
      <c r="UYY80" s="684"/>
      <c r="UYZ80" s="684"/>
      <c r="UZA80" s="684"/>
      <c r="UZB80" s="684"/>
      <c r="UZC80" s="684"/>
      <c r="UZD80" s="684"/>
      <c r="UZE80" s="684"/>
      <c r="UZF80" s="684"/>
      <c r="UZG80" s="684"/>
      <c r="UZH80" s="684"/>
      <c r="UZI80" s="684"/>
      <c r="UZJ80" s="684"/>
      <c r="UZK80" s="684"/>
      <c r="UZL80" s="684"/>
      <c r="UZM80" s="684"/>
      <c r="UZN80" s="684"/>
      <c r="UZO80" s="684"/>
      <c r="UZP80" s="684"/>
      <c r="UZQ80" s="684"/>
      <c r="UZR80" s="684"/>
      <c r="UZS80" s="684"/>
      <c r="UZT80" s="684"/>
      <c r="UZU80" s="684"/>
      <c r="UZV80" s="684"/>
      <c r="UZW80" s="684"/>
      <c r="UZX80" s="684"/>
      <c r="UZY80" s="684"/>
      <c r="UZZ80" s="684"/>
      <c r="VAA80" s="684"/>
      <c r="VAB80" s="684"/>
      <c r="VAC80" s="684"/>
      <c r="VAD80" s="684"/>
      <c r="VAE80" s="684"/>
      <c r="VAF80" s="684"/>
      <c r="VAG80" s="684"/>
      <c r="VAH80" s="684"/>
      <c r="VAI80" s="684"/>
      <c r="VAJ80" s="684"/>
      <c r="VAK80" s="684"/>
      <c r="VAL80" s="684"/>
      <c r="VAM80" s="684"/>
      <c r="VAN80" s="684"/>
      <c r="VAO80" s="684"/>
      <c r="VAP80" s="684"/>
      <c r="VAQ80" s="684"/>
      <c r="VAR80" s="684"/>
      <c r="VAS80" s="684"/>
      <c r="VAT80" s="684"/>
      <c r="VAU80" s="684"/>
      <c r="VAV80" s="684"/>
      <c r="VAW80" s="684"/>
      <c r="VAX80" s="684"/>
      <c r="VAY80" s="684"/>
      <c r="VAZ80" s="684"/>
      <c r="VBA80" s="684"/>
      <c r="VBB80" s="684"/>
      <c r="VBC80" s="684"/>
      <c r="VBD80" s="684"/>
      <c r="VBE80" s="684"/>
      <c r="VBF80" s="684"/>
      <c r="VBG80" s="684"/>
      <c r="VBH80" s="684"/>
      <c r="VBI80" s="684"/>
      <c r="VBJ80" s="684"/>
      <c r="VBK80" s="684"/>
      <c r="VBL80" s="684"/>
      <c r="VBM80" s="684"/>
      <c r="VBN80" s="684"/>
      <c r="VBO80" s="684"/>
      <c r="VBP80" s="684"/>
      <c r="VBQ80" s="684"/>
      <c r="VBR80" s="684"/>
      <c r="VBS80" s="684"/>
      <c r="VBT80" s="684"/>
      <c r="VBU80" s="684"/>
      <c r="VBV80" s="684"/>
      <c r="VBW80" s="684"/>
      <c r="VBX80" s="684"/>
      <c r="VBY80" s="684"/>
      <c r="VBZ80" s="684"/>
      <c r="VCA80" s="684"/>
      <c r="VCB80" s="684"/>
      <c r="VCC80" s="684"/>
      <c r="VCD80" s="684"/>
      <c r="VCE80" s="684"/>
      <c r="VCF80" s="684"/>
      <c r="VCG80" s="684"/>
      <c r="VCH80" s="684"/>
      <c r="VCI80" s="684"/>
      <c r="VCJ80" s="684"/>
      <c r="VCK80" s="684"/>
      <c r="VCL80" s="684"/>
      <c r="VCM80" s="684"/>
      <c r="VCN80" s="684"/>
      <c r="VCO80" s="684"/>
      <c r="VCP80" s="684"/>
      <c r="VCQ80" s="684"/>
      <c r="VCR80" s="684"/>
      <c r="VCS80" s="684"/>
      <c r="VCT80" s="684"/>
      <c r="VCU80" s="684"/>
      <c r="VCV80" s="684"/>
      <c r="VCW80" s="684"/>
      <c r="VCX80" s="684"/>
      <c r="VCY80" s="684"/>
      <c r="VCZ80" s="684"/>
      <c r="VDA80" s="684"/>
      <c r="VDB80" s="684"/>
      <c r="VDC80" s="684"/>
      <c r="VDD80" s="684"/>
      <c r="VDE80" s="684"/>
      <c r="VDF80" s="684"/>
      <c r="VDG80" s="684"/>
      <c r="VDH80" s="684"/>
      <c r="VDI80" s="684"/>
      <c r="VDJ80" s="684"/>
      <c r="VDK80" s="684"/>
      <c r="VDL80" s="684"/>
      <c r="VDM80" s="684"/>
      <c r="VDN80" s="684"/>
      <c r="VDO80" s="684"/>
      <c r="VDP80" s="684"/>
      <c r="VDQ80" s="684"/>
      <c r="VDR80" s="684"/>
      <c r="VDS80" s="684"/>
      <c r="VDT80" s="684"/>
      <c r="VDU80" s="684"/>
      <c r="VDV80" s="684"/>
      <c r="VDW80" s="684"/>
      <c r="VDX80" s="684"/>
      <c r="VDY80" s="684"/>
      <c r="VDZ80" s="684"/>
      <c r="VEA80" s="684"/>
      <c r="VEB80" s="684"/>
      <c r="VEC80" s="684"/>
      <c r="VED80" s="684"/>
      <c r="VEE80" s="684"/>
      <c r="VEF80" s="684"/>
      <c r="VEG80" s="684"/>
      <c r="VEH80" s="684"/>
      <c r="VEI80" s="684"/>
      <c r="VEJ80" s="684"/>
      <c r="VEK80" s="684"/>
      <c r="VEL80" s="684"/>
      <c r="VEM80" s="684"/>
      <c r="VEN80" s="684"/>
      <c r="VEO80" s="684"/>
      <c r="VEP80" s="684"/>
      <c r="VEQ80" s="684"/>
      <c r="VER80" s="684"/>
      <c r="VES80" s="684"/>
      <c r="VET80" s="684"/>
      <c r="VEU80" s="684"/>
      <c r="VEV80" s="684"/>
      <c r="VEW80" s="684"/>
      <c r="VEX80" s="684"/>
      <c r="VEY80" s="684"/>
      <c r="VEZ80" s="684"/>
      <c r="VFA80" s="684"/>
      <c r="VFB80" s="684"/>
      <c r="VFC80" s="684"/>
      <c r="VFD80" s="684"/>
      <c r="VFE80" s="684"/>
      <c r="VFF80" s="684"/>
      <c r="VFG80" s="684"/>
      <c r="VFH80" s="684"/>
      <c r="VFI80" s="684"/>
      <c r="VFJ80" s="684"/>
      <c r="VFK80" s="684"/>
      <c r="VFL80" s="684"/>
      <c r="VFM80" s="684"/>
      <c r="VFN80" s="684"/>
      <c r="VFO80" s="684"/>
      <c r="VFP80" s="684"/>
      <c r="VFQ80" s="684"/>
      <c r="VFR80" s="684"/>
      <c r="VFS80" s="684"/>
      <c r="VFT80" s="684"/>
      <c r="VFU80" s="684"/>
      <c r="VFV80" s="684"/>
      <c r="VFW80" s="684"/>
      <c r="VFX80" s="684"/>
      <c r="VFY80" s="684"/>
      <c r="VFZ80" s="684"/>
      <c r="VGA80" s="684"/>
      <c r="VGB80" s="684"/>
      <c r="VGC80" s="684"/>
      <c r="VGD80" s="684"/>
      <c r="VGE80" s="684"/>
      <c r="VGF80" s="684"/>
      <c r="VGG80" s="684"/>
      <c r="VGH80" s="684"/>
      <c r="VGI80" s="684"/>
      <c r="VGJ80" s="684"/>
      <c r="VGK80" s="684"/>
      <c r="VGL80" s="684"/>
      <c r="VGM80" s="684"/>
      <c r="VGN80" s="684"/>
      <c r="VGO80" s="684"/>
      <c r="VGP80" s="684"/>
      <c r="VGQ80" s="684"/>
      <c r="VGR80" s="684"/>
      <c r="VGS80" s="684"/>
      <c r="VGT80" s="684"/>
      <c r="VGU80" s="684"/>
      <c r="VGV80" s="684"/>
      <c r="VGW80" s="684"/>
      <c r="VGX80" s="684"/>
      <c r="VGY80" s="684"/>
      <c r="VGZ80" s="684"/>
      <c r="VHA80" s="684"/>
      <c r="VHB80" s="684"/>
      <c r="VHC80" s="684"/>
      <c r="VHD80" s="684"/>
      <c r="VHE80" s="684"/>
      <c r="VHF80" s="684"/>
      <c r="VHG80" s="684"/>
      <c r="VHH80" s="684"/>
      <c r="VHI80" s="684"/>
      <c r="VHJ80" s="684"/>
      <c r="VHK80" s="684"/>
      <c r="VHL80" s="684"/>
      <c r="VHM80" s="684"/>
      <c r="VHN80" s="684"/>
      <c r="VHO80" s="684"/>
      <c r="VHP80" s="684"/>
      <c r="VHQ80" s="684"/>
      <c r="VHR80" s="684"/>
      <c r="VHS80" s="684"/>
      <c r="VHT80" s="684"/>
      <c r="VHU80" s="684"/>
      <c r="VHV80" s="684"/>
      <c r="VHW80" s="684"/>
      <c r="VHX80" s="684"/>
      <c r="VHY80" s="684"/>
      <c r="VHZ80" s="684"/>
      <c r="VIA80" s="684"/>
      <c r="VIB80" s="684"/>
      <c r="VIC80" s="684"/>
      <c r="VID80" s="684"/>
      <c r="VIE80" s="684"/>
      <c r="VIF80" s="684"/>
      <c r="VIG80" s="684"/>
      <c r="VIH80" s="684"/>
      <c r="VII80" s="684"/>
      <c r="VIJ80" s="684"/>
      <c r="VIK80" s="684"/>
      <c r="VIL80" s="684"/>
      <c r="VIM80" s="684"/>
      <c r="VIN80" s="684"/>
      <c r="VIO80" s="684"/>
      <c r="VIP80" s="684"/>
      <c r="VIQ80" s="684"/>
      <c r="VIR80" s="684"/>
      <c r="VIS80" s="684"/>
      <c r="VIT80" s="684"/>
      <c r="VIU80" s="684"/>
      <c r="VIV80" s="684"/>
      <c r="VIW80" s="684"/>
      <c r="VIX80" s="684"/>
      <c r="VIY80" s="684"/>
      <c r="VIZ80" s="684"/>
      <c r="VJA80" s="684"/>
      <c r="VJB80" s="684"/>
      <c r="VJC80" s="684"/>
      <c r="VJD80" s="684"/>
      <c r="VJE80" s="684"/>
      <c r="VJF80" s="684"/>
      <c r="VJG80" s="684"/>
      <c r="VJH80" s="684"/>
      <c r="VJI80" s="684"/>
      <c r="VJJ80" s="684"/>
      <c r="VJK80" s="684"/>
      <c r="VJL80" s="684"/>
      <c r="VJM80" s="684"/>
      <c r="VJN80" s="684"/>
      <c r="VJO80" s="684"/>
      <c r="VJP80" s="684"/>
      <c r="VJQ80" s="684"/>
      <c r="VJR80" s="684"/>
      <c r="VJS80" s="684"/>
      <c r="VJT80" s="684"/>
      <c r="VJU80" s="684"/>
      <c r="VJV80" s="684"/>
      <c r="VJW80" s="684"/>
      <c r="VJX80" s="684"/>
      <c r="VJY80" s="684"/>
      <c r="VJZ80" s="684"/>
      <c r="VKA80" s="684"/>
      <c r="VKB80" s="684"/>
      <c r="VKC80" s="684"/>
      <c r="VKD80" s="684"/>
      <c r="VKE80" s="684"/>
      <c r="VKF80" s="684"/>
      <c r="VKG80" s="684"/>
      <c r="VKH80" s="684"/>
      <c r="VKI80" s="684"/>
      <c r="VKJ80" s="684"/>
      <c r="VKK80" s="684"/>
      <c r="VKL80" s="684"/>
      <c r="VKM80" s="684"/>
      <c r="VKN80" s="684"/>
      <c r="VKO80" s="684"/>
      <c r="VKP80" s="684"/>
      <c r="VKQ80" s="684"/>
      <c r="VKR80" s="684"/>
      <c r="VKS80" s="684"/>
      <c r="VKT80" s="684"/>
      <c r="VKU80" s="684"/>
      <c r="VKV80" s="684"/>
      <c r="VKW80" s="684"/>
      <c r="VKX80" s="684"/>
      <c r="VKY80" s="684"/>
      <c r="VKZ80" s="684"/>
      <c r="VLA80" s="684"/>
      <c r="VLB80" s="684"/>
      <c r="VLC80" s="684"/>
      <c r="VLD80" s="684"/>
      <c r="VLE80" s="684"/>
      <c r="VLF80" s="684"/>
      <c r="VLG80" s="684"/>
      <c r="VLH80" s="684"/>
      <c r="VLI80" s="684"/>
      <c r="VLJ80" s="684"/>
      <c r="VLK80" s="684"/>
      <c r="VLL80" s="684"/>
      <c r="VLM80" s="684"/>
      <c r="VLN80" s="684"/>
      <c r="VLO80" s="684"/>
      <c r="VLP80" s="684"/>
      <c r="VLQ80" s="684"/>
      <c r="VLR80" s="684"/>
      <c r="VLS80" s="684"/>
      <c r="VLT80" s="684"/>
      <c r="VLU80" s="684"/>
      <c r="VLV80" s="684"/>
      <c r="VLW80" s="684"/>
      <c r="VLX80" s="684"/>
      <c r="VLY80" s="684"/>
      <c r="VLZ80" s="684"/>
      <c r="VMA80" s="684"/>
      <c r="VMB80" s="684"/>
      <c r="VMC80" s="684"/>
      <c r="VMD80" s="684"/>
      <c r="VME80" s="684"/>
      <c r="VMF80" s="684"/>
      <c r="VMG80" s="684"/>
      <c r="VMH80" s="684"/>
      <c r="VMI80" s="684"/>
      <c r="VMJ80" s="684"/>
      <c r="VMK80" s="684"/>
      <c r="VML80" s="684"/>
      <c r="VMM80" s="684"/>
      <c r="VMN80" s="684"/>
      <c r="VMO80" s="684"/>
      <c r="VMP80" s="684"/>
      <c r="VMQ80" s="684"/>
      <c r="VMR80" s="684"/>
      <c r="VMS80" s="684"/>
      <c r="VMT80" s="684"/>
      <c r="VMU80" s="684"/>
      <c r="VMV80" s="684"/>
      <c r="VMW80" s="684"/>
      <c r="VMX80" s="684"/>
      <c r="VMY80" s="684"/>
      <c r="VMZ80" s="684"/>
      <c r="VNA80" s="684"/>
      <c r="VNB80" s="684"/>
      <c r="VNC80" s="684"/>
      <c r="VND80" s="684"/>
      <c r="VNE80" s="684"/>
      <c r="VNF80" s="684"/>
      <c r="VNG80" s="684"/>
      <c r="VNH80" s="684"/>
      <c r="VNI80" s="684"/>
      <c r="VNJ80" s="684"/>
      <c r="VNK80" s="684"/>
      <c r="VNL80" s="684"/>
      <c r="VNM80" s="684"/>
      <c r="VNN80" s="684"/>
      <c r="VNO80" s="684"/>
      <c r="VNP80" s="684"/>
      <c r="VNQ80" s="684"/>
      <c r="VNR80" s="684"/>
      <c r="VNS80" s="684"/>
      <c r="VNT80" s="684"/>
      <c r="VNU80" s="684"/>
      <c r="VNV80" s="684"/>
      <c r="VNW80" s="684"/>
      <c r="VNX80" s="684"/>
      <c r="VNY80" s="684"/>
      <c r="VNZ80" s="684"/>
      <c r="VOA80" s="684"/>
      <c r="VOB80" s="684"/>
      <c r="VOC80" s="684"/>
      <c r="VOD80" s="684"/>
      <c r="VOE80" s="684"/>
      <c r="VOF80" s="684"/>
      <c r="VOG80" s="684"/>
      <c r="VOH80" s="684"/>
      <c r="VOI80" s="684"/>
      <c r="VOJ80" s="684"/>
      <c r="VOK80" s="684"/>
      <c r="VOL80" s="684"/>
      <c r="VOM80" s="684"/>
      <c r="VON80" s="684"/>
      <c r="VOO80" s="684"/>
      <c r="VOP80" s="684"/>
      <c r="VOQ80" s="684"/>
      <c r="VOR80" s="684"/>
      <c r="VOS80" s="684"/>
      <c r="VOT80" s="684"/>
      <c r="VOU80" s="684"/>
      <c r="VOV80" s="684"/>
      <c r="VOW80" s="684"/>
      <c r="VOX80" s="684"/>
      <c r="VOY80" s="684"/>
      <c r="VOZ80" s="684"/>
      <c r="VPA80" s="684"/>
      <c r="VPB80" s="684"/>
      <c r="VPC80" s="684"/>
      <c r="VPD80" s="684"/>
      <c r="VPE80" s="684"/>
      <c r="VPF80" s="684"/>
      <c r="VPG80" s="684"/>
      <c r="VPH80" s="684"/>
      <c r="VPI80" s="684"/>
      <c r="VPJ80" s="684"/>
      <c r="VPK80" s="684"/>
      <c r="VPL80" s="684"/>
      <c r="VPM80" s="684"/>
      <c r="VPN80" s="684"/>
      <c r="VPO80" s="684"/>
      <c r="VPP80" s="684"/>
      <c r="VPQ80" s="684"/>
      <c r="VPR80" s="684"/>
      <c r="VPS80" s="684"/>
      <c r="VPT80" s="684"/>
      <c r="VPU80" s="684"/>
      <c r="VPV80" s="684"/>
      <c r="VPW80" s="684"/>
      <c r="VPX80" s="684"/>
      <c r="VPY80" s="684"/>
      <c r="VPZ80" s="684"/>
      <c r="VQA80" s="684"/>
      <c r="VQB80" s="684"/>
      <c r="VQC80" s="684"/>
      <c r="VQD80" s="684"/>
      <c r="VQE80" s="684"/>
      <c r="VQF80" s="684"/>
      <c r="VQG80" s="684"/>
      <c r="VQH80" s="684"/>
      <c r="VQI80" s="684"/>
      <c r="VQJ80" s="684"/>
      <c r="VQK80" s="684"/>
      <c r="VQL80" s="684"/>
      <c r="VQM80" s="684"/>
      <c r="VQN80" s="684"/>
      <c r="VQO80" s="684"/>
      <c r="VQP80" s="684"/>
      <c r="VQQ80" s="684"/>
      <c r="VQR80" s="684"/>
      <c r="VQS80" s="684"/>
      <c r="VQT80" s="684"/>
      <c r="VQU80" s="684"/>
      <c r="VQV80" s="684"/>
      <c r="VQW80" s="684"/>
      <c r="VQX80" s="684"/>
      <c r="VQY80" s="684"/>
      <c r="VQZ80" s="684"/>
      <c r="VRA80" s="684"/>
      <c r="VRB80" s="684"/>
      <c r="VRC80" s="684"/>
      <c r="VRD80" s="684"/>
      <c r="VRE80" s="684"/>
      <c r="VRF80" s="684"/>
      <c r="VRG80" s="684"/>
      <c r="VRH80" s="684"/>
      <c r="VRI80" s="684"/>
      <c r="VRJ80" s="684"/>
      <c r="VRK80" s="684"/>
      <c r="VRL80" s="684"/>
      <c r="VRM80" s="684"/>
      <c r="VRN80" s="684"/>
      <c r="VRO80" s="684"/>
      <c r="VRP80" s="684"/>
      <c r="VRQ80" s="684"/>
      <c r="VRR80" s="684"/>
      <c r="VRS80" s="684"/>
      <c r="VRT80" s="684"/>
      <c r="VRU80" s="684"/>
      <c r="VRV80" s="684"/>
      <c r="VRW80" s="684"/>
      <c r="VRX80" s="684"/>
      <c r="VRY80" s="684"/>
      <c r="VRZ80" s="684"/>
      <c r="VSA80" s="684"/>
      <c r="VSB80" s="684"/>
      <c r="VSC80" s="684"/>
      <c r="VSD80" s="684"/>
      <c r="VSE80" s="684"/>
      <c r="VSF80" s="684"/>
      <c r="VSG80" s="684"/>
      <c r="VSH80" s="684"/>
      <c r="VSI80" s="684"/>
      <c r="VSJ80" s="684"/>
      <c r="VSK80" s="684"/>
      <c r="VSL80" s="684"/>
      <c r="VSM80" s="684"/>
      <c r="VSN80" s="684"/>
      <c r="VSO80" s="684"/>
      <c r="VSP80" s="684"/>
      <c r="VSQ80" s="684"/>
      <c r="VSR80" s="684"/>
      <c r="VSS80" s="684"/>
      <c r="VST80" s="684"/>
      <c r="VSU80" s="684"/>
      <c r="VSV80" s="684"/>
      <c r="VSW80" s="684"/>
      <c r="VSX80" s="684"/>
      <c r="VSY80" s="684"/>
      <c r="VSZ80" s="684"/>
      <c r="VTA80" s="684"/>
      <c r="VTB80" s="684"/>
      <c r="VTC80" s="684"/>
      <c r="VTD80" s="684"/>
      <c r="VTE80" s="684"/>
      <c r="VTF80" s="684"/>
      <c r="VTG80" s="684"/>
      <c r="VTH80" s="684"/>
      <c r="VTI80" s="684"/>
      <c r="VTJ80" s="684"/>
      <c r="VTK80" s="684"/>
      <c r="VTL80" s="684"/>
      <c r="VTM80" s="684"/>
      <c r="VTN80" s="684"/>
      <c r="VTO80" s="684"/>
      <c r="VTP80" s="684"/>
      <c r="VTQ80" s="684"/>
      <c r="VTR80" s="684"/>
      <c r="VTS80" s="684"/>
      <c r="VTT80" s="684"/>
      <c r="VTU80" s="684"/>
      <c r="VTV80" s="684"/>
      <c r="VTW80" s="684"/>
      <c r="VTX80" s="684"/>
      <c r="VTY80" s="684"/>
      <c r="VTZ80" s="684"/>
      <c r="VUA80" s="684"/>
      <c r="VUB80" s="684"/>
      <c r="VUC80" s="684"/>
      <c r="VUD80" s="684"/>
      <c r="VUE80" s="684"/>
      <c r="VUF80" s="684"/>
      <c r="VUG80" s="684"/>
      <c r="VUH80" s="684"/>
      <c r="VUI80" s="684"/>
      <c r="VUJ80" s="684"/>
      <c r="VUK80" s="684"/>
      <c r="VUL80" s="684"/>
      <c r="VUM80" s="684"/>
      <c r="VUN80" s="684"/>
      <c r="VUO80" s="684"/>
      <c r="VUP80" s="684"/>
      <c r="VUQ80" s="684"/>
      <c r="VUR80" s="684"/>
      <c r="VUS80" s="684"/>
      <c r="VUT80" s="684"/>
      <c r="VUU80" s="684"/>
      <c r="VUV80" s="684"/>
      <c r="VUW80" s="684"/>
      <c r="VUX80" s="684"/>
      <c r="VUY80" s="684"/>
      <c r="VUZ80" s="684"/>
      <c r="VVA80" s="684"/>
      <c r="VVB80" s="684"/>
      <c r="VVC80" s="684"/>
      <c r="VVD80" s="684"/>
      <c r="VVE80" s="684"/>
      <c r="VVF80" s="684"/>
      <c r="VVG80" s="684"/>
      <c r="VVH80" s="684"/>
      <c r="VVI80" s="684"/>
      <c r="VVJ80" s="684"/>
      <c r="VVK80" s="684"/>
      <c r="VVL80" s="684"/>
      <c r="VVM80" s="684"/>
      <c r="VVN80" s="684"/>
      <c r="VVO80" s="684"/>
      <c r="VVP80" s="684"/>
      <c r="VVQ80" s="684"/>
      <c r="VVR80" s="684"/>
      <c r="VVS80" s="684"/>
      <c r="VVT80" s="684"/>
      <c r="VVU80" s="684"/>
      <c r="VVV80" s="684"/>
      <c r="VVW80" s="684"/>
      <c r="VVX80" s="684"/>
      <c r="VVY80" s="684"/>
      <c r="VVZ80" s="684"/>
      <c r="VWA80" s="684"/>
      <c r="VWB80" s="684"/>
      <c r="VWC80" s="684"/>
      <c r="VWD80" s="684"/>
      <c r="VWE80" s="684"/>
      <c r="VWF80" s="684"/>
      <c r="VWG80" s="684"/>
      <c r="VWH80" s="684"/>
      <c r="VWI80" s="684"/>
      <c r="VWJ80" s="684"/>
      <c r="VWK80" s="684"/>
      <c r="VWL80" s="684"/>
      <c r="VWM80" s="684"/>
      <c r="VWN80" s="684"/>
      <c r="VWO80" s="684"/>
      <c r="VWP80" s="684"/>
      <c r="VWQ80" s="684"/>
      <c r="VWR80" s="684"/>
      <c r="VWS80" s="684"/>
      <c r="VWT80" s="684"/>
      <c r="VWU80" s="684"/>
      <c r="VWV80" s="684"/>
      <c r="VWW80" s="684"/>
      <c r="VWX80" s="684"/>
      <c r="VWY80" s="684"/>
      <c r="VWZ80" s="684"/>
      <c r="VXA80" s="684"/>
      <c r="VXB80" s="684"/>
      <c r="VXC80" s="684"/>
      <c r="VXD80" s="684"/>
      <c r="VXE80" s="684"/>
      <c r="VXF80" s="684"/>
      <c r="VXG80" s="684"/>
      <c r="VXH80" s="684"/>
      <c r="VXI80" s="684"/>
      <c r="VXJ80" s="684"/>
      <c r="VXK80" s="684"/>
      <c r="VXL80" s="684"/>
      <c r="VXM80" s="684"/>
      <c r="VXN80" s="684"/>
      <c r="VXO80" s="684"/>
      <c r="VXP80" s="684"/>
      <c r="VXQ80" s="684"/>
      <c r="VXR80" s="684"/>
      <c r="VXS80" s="684"/>
      <c r="VXT80" s="684"/>
      <c r="VXU80" s="684"/>
      <c r="VXV80" s="684"/>
      <c r="VXW80" s="684"/>
      <c r="VXX80" s="684"/>
      <c r="VXY80" s="684"/>
      <c r="VXZ80" s="684"/>
      <c r="VYA80" s="684"/>
      <c r="VYB80" s="684"/>
      <c r="VYC80" s="684"/>
      <c r="VYD80" s="684"/>
      <c r="VYE80" s="684"/>
      <c r="VYF80" s="684"/>
      <c r="VYG80" s="684"/>
      <c r="VYH80" s="684"/>
      <c r="VYI80" s="684"/>
      <c r="VYJ80" s="684"/>
      <c r="VYK80" s="684"/>
      <c r="VYL80" s="684"/>
      <c r="VYM80" s="684"/>
      <c r="VYN80" s="684"/>
      <c r="VYO80" s="684"/>
      <c r="VYP80" s="684"/>
      <c r="VYQ80" s="684"/>
      <c r="VYR80" s="684"/>
      <c r="VYS80" s="684"/>
      <c r="VYT80" s="684"/>
      <c r="VYU80" s="684"/>
      <c r="VYV80" s="684"/>
      <c r="VYW80" s="684"/>
      <c r="VYX80" s="684"/>
      <c r="VYY80" s="684"/>
      <c r="VYZ80" s="684"/>
      <c r="VZA80" s="684"/>
      <c r="VZB80" s="684"/>
      <c r="VZC80" s="684"/>
      <c r="VZD80" s="684"/>
      <c r="VZE80" s="684"/>
      <c r="VZF80" s="684"/>
      <c r="VZG80" s="684"/>
      <c r="VZH80" s="684"/>
      <c r="VZI80" s="684"/>
      <c r="VZJ80" s="684"/>
      <c r="VZK80" s="684"/>
      <c r="VZL80" s="684"/>
      <c r="VZM80" s="684"/>
      <c r="VZN80" s="684"/>
      <c r="VZO80" s="684"/>
      <c r="VZP80" s="684"/>
      <c r="VZQ80" s="684"/>
      <c r="VZR80" s="684"/>
      <c r="VZS80" s="684"/>
      <c r="VZT80" s="684"/>
      <c r="VZU80" s="684"/>
      <c r="VZV80" s="684"/>
      <c r="VZW80" s="684"/>
      <c r="VZX80" s="684"/>
      <c r="VZY80" s="684"/>
      <c r="VZZ80" s="684"/>
      <c r="WAA80" s="684"/>
      <c r="WAB80" s="684"/>
      <c r="WAC80" s="684"/>
      <c r="WAD80" s="684"/>
      <c r="WAE80" s="684"/>
      <c r="WAF80" s="684"/>
      <c r="WAG80" s="684"/>
      <c r="WAH80" s="684"/>
      <c r="WAI80" s="684"/>
      <c r="WAJ80" s="684"/>
      <c r="WAK80" s="684"/>
      <c r="WAL80" s="684"/>
      <c r="WAM80" s="684"/>
      <c r="WAN80" s="684"/>
      <c r="WAO80" s="684"/>
      <c r="WAP80" s="684"/>
      <c r="WAQ80" s="684"/>
      <c r="WAR80" s="684"/>
      <c r="WAS80" s="684"/>
      <c r="WAT80" s="684"/>
      <c r="WAU80" s="684"/>
      <c r="WAV80" s="684"/>
      <c r="WAW80" s="684"/>
      <c r="WAX80" s="684"/>
      <c r="WAY80" s="684"/>
      <c r="WAZ80" s="684"/>
      <c r="WBA80" s="684"/>
      <c r="WBB80" s="684"/>
      <c r="WBC80" s="684"/>
      <c r="WBD80" s="684"/>
      <c r="WBE80" s="684"/>
      <c r="WBF80" s="684"/>
      <c r="WBG80" s="684"/>
      <c r="WBH80" s="684"/>
      <c r="WBI80" s="684"/>
      <c r="WBJ80" s="684"/>
      <c r="WBK80" s="684"/>
      <c r="WBL80" s="684"/>
      <c r="WBM80" s="684"/>
      <c r="WBN80" s="684"/>
      <c r="WBO80" s="684"/>
      <c r="WBP80" s="684"/>
      <c r="WBQ80" s="684"/>
      <c r="WBR80" s="684"/>
      <c r="WBS80" s="684"/>
      <c r="WBT80" s="684"/>
      <c r="WBU80" s="684"/>
      <c r="WBV80" s="684"/>
      <c r="WBW80" s="684"/>
      <c r="WBX80" s="684"/>
      <c r="WBY80" s="684"/>
      <c r="WBZ80" s="684"/>
      <c r="WCA80" s="684"/>
      <c r="WCB80" s="684"/>
      <c r="WCC80" s="684"/>
      <c r="WCD80" s="684"/>
      <c r="WCE80" s="684"/>
      <c r="WCF80" s="684"/>
      <c r="WCG80" s="684"/>
      <c r="WCH80" s="684"/>
      <c r="WCI80" s="684"/>
      <c r="WCJ80" s="684"/>
      <c r="WCK80" s="684"/>
      <c r="WCL80" s="684"/>
      <c r="WCM80" s="684"/>
      <c r="WCN80" s="684"/>
      <c r="WCO80" s="684"/>
      <c r="WCP80" s="684"/>
      <c r="WCQ80" s="684"/>
      <c r="WCR80" s="684"/>
      <c r="WCS80" s="684"/>
      <c r="WCT80" s="684"/>
      <c r="WCU80" s="684"/>
      <c r="WCV80" s="684"/>
      <c r="WCW80" s="684"/>
      <c r="WCX80" s="684"/>
      <c r="WCY80" s="684"/>
      <c r="WCZ80" s="684"/>
      <c r="WDA80" s="684"/>
      <c r="WDB80" s="684"/>
      <c r="WDC80" s="684"/>
      <c r="WDD80" s="684"/>
      <c r="WDE80" s="684"/>
      <c r="WDF80" s="684"/>
      <c r="WDG80" s="684"/>
      <c r="WDH80" s="684"/>
      <c r="WDI80" s="684"/>
      <c r="WDJ80" s="684"/>
      <c r="WDK80" s="684"/>
      <c r="WDL80" s="684"/>
      <c r="WDM80" s="684"/>
      <c r="WDN80" s="684"/>
      <c r="WDO80" s="684"/>
      <c r="WDP80" s="684"/>
      <c r="WDQ80" s="684"/>
      <c r="WDR80" s="684"/>
      <c r="WDS80" s="684"/>
      <c r="WDT80" s="684"/>
      <c r="WDU80" s="684"/>
      <c r="WDV80" s="684"/>
      <c r="WDW80" s="684"/>
      <c r="WDX80" s="684"/>
      <c r="WDY80" s="684"/>
      <c r="WDZ80" s="684"/>
      <c r="WEA80" s="684"/>
      <c r="WEB80" s="684"/>
      <c r="WEC80" s="684"/>
      <c r="WED80" s="684"/>
      <c r="WEE80" s="684"/>
      <c r="WEF80" s="684"/>
      <c r="WEG80" s="684"/>
      <c r="WEH80" s="684"/>
      <c r="WEI80" s="684"/>
      <c r="WEJ80" s="684"/>
      <c r="WEK80" s="684"/>
      <c r="WEL80" s="684"/>
      <c r="WEM80" s="684"/>
      <c r="WEN80" s="684"/>
      <c r="WEO80" s="684"/>
      <c r="WEP80" s="684"/>
      <c r="WEQ80" s="684"/>
      <c r="WER80" s="684"/>
      <c r="WES80" s="684"/>
      <c r="WET80" s="684"/>
      <c r="WEU80" s="684"/>
      <c r="WEV80" s="684"/>
      <c r="WEW80" s="684"/>
      <c r="WEX80" s="684"/>
      <c r="WEY80" s="684"/>
      <c r="WEZ80" s="684"/>
      <c r="WFA80" s="684"/>
      <c r="WFB80" s="684"/>
      <c r="WFC80" s="684"/>
      <c r="WFD80" s="684"/>
      <c r="WFE80" s="684"/>
      <c r="WFF80" s="684"/>
      <c r="WFG80" s="684"/>
      <c r="WFH80" s="684"/>
      <c r="WFI80" s="684"/>
      <c r="WFJ80" s="684"/>
      <c r="WFK80" s="684"/>
      <c r="WFL80" s="684"/>
      <c r="WFM80" s="684"/>
      <c r="WFN80" s="684"/>
      <c r="WFO80" s="684"/>
      <c r="WFP80" s="684"/>
      <c r="WFQ80" s="684"/>
      <c r="WFR80" s="684"/>
      <c r="WFS80" s="684"/>
      <c r="WFT80" s="684"/>
      <c r="WFU80" s="684"/>
      <c r="WFV80" s="684"/>
      <c r="WFW80" s="684"/>
      <c r="WFX80" s="684"/>
      <c r="WFY80" s="684"/>
      <c r="WFZ80" s="684"/>
      <c r="WGA80" s="684"/>
      <c r="WGB80" s="684"/>
      <c r="WGC80" s="684"/>
      <c r="WGD80" s="684"/>
      <c r="WGE80" s="684"/>
      <c r="WGF80" s="684"/>
      <c r="WGG80" s="684"/>
      <c r="WGH80" s="684"/>
      <c r="WGI80" s="684"/>
      <c r="WGJ80" s="684"/>
      <c r="WGK80" s="684"/>
      <c r="WGL80" s="684"/>
      <c r="WGM80" s="684"/>
      <c r="WGN80" s="684"/>
      <c r="WGO80" s="684"/>
      <c r="WGP80" s="684"/>
      <c r="WGQ80" s="684"/>
      <c r="WGR80" s="684"/>
      <c r="WGS80" s="684"/>
      <c r="WGT80" s="684"/>
      <c r="WGU80" s="684"/>
      <c r="WGV80" s="684"/>
      <c r="WGW80" s="684"/>
      <c r="WGX80" s="684"/>
      <c r="WGY80" s="684"/>
      <c r="WGZ80" s="684"/>
      <c r="WHA80" s="684"/>
      <c r="WHB80" s="684"/>
      <c r="WHC80" s="684"/>
      <c r="WHD80" s="684"/>
      <c r="WHE80" s="684"/>
      <c r="WHF80" s="684"/>
      <c r="WHG80" s="684"/>
      <c r="WHH80" s="684"/>
      <c r="WHI80" s="684"/>
      <c r="WHJ80" s="684"/>
      <c r="WHK80" s="684"/>
      <c r="WHL80" s="684"/>
      <c r="WHM80" s="684"/>
      <c r="WHN80" s="684"/>
      <c r="WHO80" s="684"/>
      <c r="WHP80" s="684"/>
      <c r="WHQ80" s="684"/>
      <c r="WHR80" s="684"/>
      <c r="WHS80" s="684"/>
      <c r="WHT80" s="684"/>
      <c r="WHU80" s="684"/>
      <c r="WHV80" s="684"/>
      <c r="WHW80" s="684"/>
      <c r="WHX80" s="684"/>
      <c r="WHY80" s="684"/>
      <c r="WHZ80" s="684"/>
      <c r="WIA80" s="684"/>
      <c r="WIB80" s="684"/>
      <c r="WIC80" s="684"/>
      <c r="WID80" s="684"/>
      <c r="WIE80" s="684"/>
      <c r="WIF80" s="684"/>
      <c r="WIG80" s="684"/>
      <c r="WIH80" s="684"/>
      <c r="WII80" s="684"/>
      <c r="WIJ80" s="684"/>
      <c r="WIK80" s="684"/>
      <c r="WIL80" s="684"/>
      <c r="WIM80" s="684"/>
      <c r="WIN80" s="684"/>
      <c r="WIO80" s="684"/>
      <c r="WIP80" s="684"/>
      <c r="WIQ80" s="684"/>
      <c r="WIR80" s="684"/>
      <c r="WIS80" s="684"/>
      <c r="WIT80" s="684"/>
      <c r="WIU80" s="684"/>
      <c r="WIV80" s="684"/>
      <c r="WIW80" s="684"/>
      <c r="WIX80" s="684"/>
      <c r="WIY80" s="684"/>
      <c r="WIZ80" s="684"/>
      <c r="WJA80" s="684"/>
      <c r="WJB80" s="684"/>
      <c r="WJC80" s="684"/>
      <c r="WJD80" s="684"/>
      <c r="WJE80" s="684"/>
      <c r="WJF80" s="684"/>
      <c r="WJG80" s="684"/>
      <c r="WJH80" s="684"/>
      <c r="WJI80" s="684"/>
      <c r="WJJ80" s="684"/>
      <c r="WJK80" s="684"/>
      <c r="WJL80" s="684"/>
      <c r="WJM80" s="684"/>
      <c r="WJN80" s="684"/>
      <c r="WJO80" s="684"/>
      <c r="WJP80" s="684"/>
      <c r="WJQ80" s="684"/>
      <c r="WJR80" s="684"/>
      <c r="WJS80" s="684"/>
      <c r="WJT80" s="684"/>
      <c r="WJU80" s="684"/>
      <c r="WJV80" s="684"/>
      <c r="WJW80" s="684"/>
      <c r="WJX80" s="684"/>
      <c r="WJY80" s="684"/>
      <c r="WJZ80" s="684"/>
      <c r="WKA80" s="684"/>
      <c r="WKB80" s="684"/>
      <c r="WKC80" s="684"/>
      <c r="WKD80" s="684"/>
      <c r="WKE80" s="684"/>
      <c r="WKF80" s="684"/>
      <c r="WKG80" s="684"/>
      <c r="WKH80" s="684"/>
      <c r="WKI80" s="684"/>
      <c r="WKJ80" s="684"/>
      <c r="WKK80" s="684"/>
      <c r="WKL80" s="684"/>
      <c r="WKM80" s="684"/>
      <c r="WKN80" s="684"/>
      <c r="WKO80" s="684"/>
      <c r="WKP80" s="684"/>
      <c r="WKQ80" s="684"/>
      <c r="WKR80" s="684"/>
      <c r="WKS80" s="684"/>
      <c r="WKT80" s="684"/>
      <c r="WKU80" s="684"/>
      <c r="WKV80" s="684"/>
      <c r="WKW80" s="684"/>
      <c r="WKX80" s="684"/>
      <c r="WKY80" s="684"/>
      <c r="WKZ80" s="684"/>
      <c r="WLA80" s="684"/>
      <c r="WLB80" s="684"/>
      <c r="WLC80" s="684"/>
      <c r="WLD80" s="684"/>
      <c r="WLE80" s="684"/>
      <c r="WLF80" s="684"/>
      <c r="WLG80" s="684"/>
      <c r="WLH80" s="684"/>
      <c r="WLI80" s="684"/>
      <c r="WLJ80" s="684"/>
      <c r="WLK80" s="684"/>
      <c r="WLL80" s="684"/>
      <c r="WLM80" s="684"/>
      <c r="WLN80" s="684"/>
      <c r="WLO80" s="684"/>
      <c r="WLP80" s="684"/>
      <c r="WLQ80" s="684"/>
      <c r="WLR80" s="684"/>
      <c r="WLS80" s="684"/>
      <c r="WLT80" s="684"/>
      <c r="WLU80" s="684"/>
      <c r="WLV80" s="684"/>
      <c r="WLW80" s="684"/>
      <c r="WLX80" s="684"/>
      <c r="WLY80" s="684"/>
      <c r="WLZ80" s="684"/>
      <c r="WMA80" s="684"/>
      <c r="WMB80" s="684"/>
      <c r="WMC80" s="684"/>
      <c r="WMD80" s="684"/>
      <c r="WME80" s="684"/>
      <c r="WMF80" s="684"/>
      <c r="WMG80" s="684"/>
      <c r="WMH80" s="684"/>
      <c r="WMI80" s="684"/>
      <c r="WMJ80" s="684"/>
      <c r="WMK80" s="684"/>
      <c r="WML80" s="684"/>
      <c r="WMM80" s="684"/>
      <c r="WMN80" s="684"/>
      <c r="WMO80" s="684"/>
      <c r="WMP80" s="684"/>
      <c r="WMQ80" s="684"/>
      <c r="WMR80" s="684"/>
      <c r="WMS80" s="684"/>
      <c r="WMT80" s="684"/>
      <c r="WMU80" s="684"/>
      <c r="WMV80" s="684"/>
      <c r="WMW80" s="684"/>
      <c r="WMX80" s="684"/>
      <c r="WMY80" s="684"/>
      <c r="WMZ80" s="684"/>
      <c r="WNA80" s="684"/>
      <c r="WNB80" s="684"/>
      <c r="WNC80" s="684"/>
      <c r="WND80" s="684"/>
      <c r="WNE80" s="684"/>
      <c r="WNF80" s="684"/>
      <c r="WNG80" s="684"/>
      <c r="WNH80" s="684"/>
      <c r="WNI80" s="684"/>
      <c r="WNJ80" s="684"/>
      <c r="WNK80" s="684"/>
      <c r="WNL80" s="684"/>
      <c r="WNM80" s="684"/>
      <c r="WNN80" s="684"/>
      <c r="WNO80" s="684"/>
      <c r="WNP80" s="684"/>
      <c r="WNQ80" s="684"/>
      <c r="WNR80" s="684"/>
      <c r="WNS80" s="684"/>
      <c r="WNT80" s="684"/>
      <c r="WNU80" s="684"/>
      <c r="WNV80" s="684"/>
      <c r="WNW80" s="684"/>
      <c r="WNX80" s="684"/>
      <c r="WNY80" s="684"/>
      <c r="WNZ80" s="684"/>
      <c r="WOA80" s="684"/>
      <c r="WOB80" s="684"/>
      <c r="WOC80" s="684"/>
      <c r="WOD80" s="684"/>
      <c r="WOE80" s="684"/>
      <c r="WOF80" s="684"/>
      <c r="WOG80" s="684"/>
      <c r="WOH80" s="684"/>
      <c r="WOI80" s="684"/>
      <c r="WOJ80" s="684"/>
      <c r="WOK80" s="684"/>
      <c r="WOL80" s="684"/>
      <c r="WOM80" s="684"/>
      <c r="WON80" s="684"/>
      <c r="WOO80" s="684"/>
      <c r="WOP80" s="684"/>
      <c r="WOQ80" s="684"/>
      <c r="WOR80" s="684"/>
      <c r="WOS80" s="684"/>
      <c r="WOT80" s="684"/>
      <c r="WOU80" s="684"/>
      <c r="WOV80" s="684"/>
      <c r="WOW80" s="684"/>
      <c r="WOX80" s="684"/>
      <c r="WOY80" s="684"/>
      <c r="WOZ80" s="684"/>
      <c r="WPA80" s="684"/>
      <c r="WPB80" s="684"/>
      <c r="WPC80" s="684"/>
      <c r="WPD80" s="684"/>
      <c r="WPE80" s="684"/>
      <c r="WPF80" s="684"/>
      <c r="WPG80" s="684"/>
      <c r="WPH80" s="684"/>
      <c r="WPI80" s="684"/>
      <c r="WPJ80" s="684"/>
      <c r="WPK80" s="684"/>
      <c r="WPL80" s="684"/>
      <c r="WPM80" s="684"/>
      <c r="WPN80" s="684"/>
      <c r="WPO80" s="684"/>
      <c r="WPP80" s="684"/>
      <c r="WPQ80" s="684"/>
      <c r="WPR80" s="684"/>
      <c r="WPS80" s="684"/>
      <c r="WPT80" s="684"/>
      <c r="WPU80" s="684"/>
      <c r="WPV80" s="684"/>
      <c r="WPW80" s="684"/>
      <c r="WPX80" s="684"/>
      <c r="WPY80" s="684"/>
      <c r="WPZ80" s="684"/>
      <c r="WQA80" s="684"/>
      <c r="WQB80" s="684"/>
      <c r="WQC80" s="684"/>
      <c r="WQD80" s="684"/>
      <c r="WQE80" s="684"/>
      <c r="WQF80" s="684"/>
      <c r="WQG80" s="684"/>
      <c r="WQH80" s="684"/>
      <c r="WQI80" s="684"/>
      <c r="WQJ80" s="684"/>
      <c r="WQK80" s="684"/>
      <c r="WQL80" s="684"/>
      <c r="WQM80" s="684"/>
      <c r="WQN80" s="684"/>
      <c r="WQO80" s="684"/>
      <c r="WQP80" s="684"/>
      <c r="WQQ80" s="684"/>
      <c r="WQR80" s="684"/>
      <c r="WQS80" s="684"/>
      <c r="WQT80" s="684"/>
      <c r="WQU80" s="684"/>
      <c r="WQV80" s="684"/>
      <c r="WQW80" s="684"/>
      <c r="WQX80" s="684"/>
      <c r="WQY80" s="684"/>
      <c r="WQZ80" s="684"/>
      <c r="WRA80" s="684"/>
      <c r="WRB80" s="684"/>
      <c r="WRC80" s="684"/>
      <c r="WRD80" s="684"/>
      <c r="WRE80" s="684"/>
      <c r="WRF80" s="684"/>
      <c r="WRG80" s="684"/>
      <c r="WRH80" s="684"/>
      <c r="WRI80" s="684"/>
      <c r="WRJ80" s="684"/>
      <c r="WRK80" s="684"/>
      <c r="WRL80" s="684"/>
      <c r="WRM80" s="684"/>
      <c r="WRN80" s="684"/>
      <c r="WRO80" s="684"/>
      <c r="WRP80" s="684"/>
      <c r="WRQ80" s="684"/>
      <c r="WRR80" s="684"/>
      <c r="WRS80" s="684"/>
      <c r="WRT80" s="684"/>
      <c r="WRU80" s="684"/>
      <c r="WRV80" s="684"/>
      <c r="WRW80" s="684"/>
      <c r="WRX80" s="684"/>
      <c r="WRY80" s="684"/>
      <c r="WRZ80" s="684"/>
      <c r="WSA80" s="684"/>
      <c r="WSB80" s="684"/>
      <c r="WSC80" s="684"/>
      <c r="WSD80" s="684"/>
      <c r="WSE80" s="684"/>
      <c r="WSF80" s="684"/>
      <c r="WSG80" s="684"/>
      <c r="WSH80" s="684"/>
      <c r="WSI80" s="684"/>
      <c r="WSJ80" s="684"/>
      <c r="WSK80" s="684"/>
      <c r="WSL80" s="684"/>
      <c r="WSM80" s="684"/>
      <c r="WSN80" s="684"/>
      <c r="WSO80" s="684"/>
      <c r="WSP80" s="684"/>
      <c r="WSQ80" s="684"/>
      <c r="WSR80" s="684"/>
      <c r="WSS80" s="684"/>
      <c r="WST80" s="684"/>
      <c r="WSU80" s="684"/>
      <c r="WSV80" s="684"/>
      <c r="WSW80" s="684"/>
      <c r="WSX80" s="684"/>
      <c r="WSY80" s="684"/>
      <c r="WSZ80" s="684"/>
      <c r="WTA80" s="684"/>
      <c r="WTB80" s="684"/>
      <c r="WTC80" s="684"/>
      <c r="WTD80" s="684"/>
      <c r="WTE80" s="684"/>
      <c r="WTF80" s="684"/>
      <c r="WTG80" s="684"/>
      <c r="WTH80" s="684"/>
      <c r="WTI80" s="684"/>
      <c r="WTJ80" s="684"/>
      <c r="WTK80" s="684"/>
      <c r="WTL80" s="684"/>
      <c r="WTM80" s="684"/>
      <c r="WTN80" s="684"/>
      <c r="WTO80" s="684"/>
      <c r="WTP80" s="684"/>
      <c r="WTQ80" s="684"/>
      <c r="WTR80" s="684"/>
      <c r="WTS80" s="684"/>
      <c r="WTT80" s="684"/>
      <c r="WTU80" s="684"/>
      <c r="WTV80" s="684"/>
      <c r="WTW80" s="684"/>
      <c r="WTX80" s="684"/>
      <c r="WTY80" s="684"/>
      <c r="WTZ80" s="684"/>
      <c r="WUA80" s="684"/>
      <c r="WUB80" s="684"/>
      <c r="WUC80" s="684"/>
      <c r="WUD80" s="684"/>
      <c r="WUE80" s="684"/>
      <c r="WUF80" s="684"/>
      <c r="WUG80" s="684"/>
      <c r="WUH80" s="684"/>
      <c r="WUI80" s="684"/>
      <c r="WUJ80" s="684"/>
      <c r="WUK80" s="684"/>
      <c r="WUL80" s="684"/>
      <c r="WUM80" s="684"/>
      <c r="WUN80" s="684"/>
      <c r="WUO80" s="684"/>
      <c r="WUP80" s="684"/>
      <c r="WUQ80" s="684"/>
      <c r="WUR80" s="684"/>
      <c r="WUS80" s="684"/>
      <c r="WUT80" s="684"/>
      <c r="WUU80" s="684"/>
      <c r="WUV80" s="684"/>
      <c r="WUW80" s="684"/>
      <c r="WUX80" s="684"/>
      <c r="WUY80" s="684"/>
      <c r="WUZ80" s="684"/>
      <c r="WVA80" s="684"/>
      <c r="WVB80" s="684"/>
      <c r="WVC80" s="684"/>
      <c r="WVD80" s="684"/>
      <c r="WVE80" s="684"/>
      <c r="WVF80" s="684"/>
      <c r="WVG80" s="684"/>
      <c r="WVH80" s="684"/>
      <c r="WVI80" s="684"/>
      <c r="WVJ80" s="684"/>
      <c r="WVK80" s="684"/>
      <c r="WVL80" s="684"/>
      <c r="WVM80" s="684"/>
      <c r="WVN80" s="684"/>
      <c r="WVO80" s="684"/>
      <c r="WVP80" s="684"/>
      <c r="WVQ80" s="684"/>
      <c r="WVR80" s="684"/>
      <c r="WVS80" s="684"/>
      <c r="WVT80" s="684"/>
      <c r="WVU80" s="684"/>
      <c r="WVV80" s="684"/>
      <c r="WVW80" s="684"/>
      <c r="WVX80" s="684"/>
      <c r="WVY80" s="684"/>
      <c r="WVZ80" s="684"/>
      <c r="WWA80" s="684"/>
      <c r="WWB80" s="684"/>
      <c r="WWC80" s="684"/>
      <c r="WWD80" s="684"/>
      <c r="WWE80" s="684"/>
      <c r="WWF80" s="684"/>
      <c r="WWG80" s="684"/>
      <c r="WWH80" s="684"/>
      <c r="WWI80" s="684"/>
      <c r="WWJ80" s="684"/>
      <c r="WWK80" s="684"/>
      <c r="WWL80" s="684"/>
      <c r="WWM80" s="684"/>
      <c r="WWN80" s="684"/>
      <c r="WWO80" s="684"/>
      <c r="WWP80" s="684"/>
      <c r="WWQ80" s="684"/>
      <c r="WWR80" s="684"/>
      <c r="WWS80" s="684"/>
      <c r="WWT80" s="684"/>
      <c r="WWU80" s="684"/>
      <c r="WWV80" s="684"/>
      <c r="WWW80" s="684"/>
      <c r="WWX80" s="684"/>
      <c r="WWY80" s="684"/>
      <c r="WWZ80" s="684"/>
      <c r="WXA80" s="684"/>
      <c r="WXB80" s="684"/>
      <c r="WXC80" s="684"/>
      <c r="WXD80" s="684"/>
      <c r="WXE80" s="684"/>
      <c r="WXF80" s="684"/>
      <c r="WXG80" s="684"/>
      <c r="WXH80" s="684"/>
      <c r="WXI80" s="684"/>
      <c r="WXJ80" s="684"/>
      <c r="WXK80" s="684"/>
      <c r="WXL80" s="684"/>
      <c r="WXM80" s="684"/>
      <c r="WXN80" s="684"/>
      <c r="WXO80" s="684"/>
      <c r="WXP80" s="684"/>
      <c r="WXQ80" s="684"/>
      <c r="WXR80" s="684"/>
      <c r="WXS80" s="684"/>
      <c r="WXT80" s="684"/>
      <c r="WXU80" s="684"/>
      <c r="WXV80" s="684"/>
      <c r="WXW80" s="684"/>
      <c r="WXX80" s="684"/>
      <c r="WXY80" s="684"/>
      <c r="WXZ80" s="684"/>
      <c r="WYA80" s="684"/>
      <c r="WYB80" s="684"/>
      <c r="WYC80" s="684"/>
      <c r="WYD80" s="684"/>
      <c r="WYE80" s="684"/>
      <c r="WYF80" s="684"/>
      <c r="WYG80" s="684"/>
      <c r="WYH80" s="684"/>
      <c r="WYI80" s="684"/>
      <c r="WYJ80" s="684"/>
      <c r="WYK80" s="684"/>
      <c r="WYL80" s="684"/>
      <c r="WYM80" s="684"/>
      <c r="WYN80" s="684"/>
      <c r="WYO80" s="684"/>
      <c r="WYP80" s="684"/>
      <c r="WYQ80" s="684"/>
      <c r="WYR80" s="684"/>
      <c r="WYS80" s="684"/>
      <c r="WYT80" s="684"/>
      <c r="WYU80" s="684"/>
      <c r="WYV80" s="684"/>
      <c r="WYW80" s="684"/>
      <c r="WYX80" s="684"/>
      <c r="WYY80" s="684"/>
      <c r="WYZ80" s="684"/>
      <c r="WZA80" s="684"/>
      <c r="WZB80" s="684"/>
      <c r="WZC80" s="684"/>
      <c r="WZD80" s="684"/>
      <c r="WZE80" s="684"/>
      <c r="WZF80" s="684"/>
      <c r="WZG80" s="684"/>
      <c r="WZH80" s="684"/>
      <c r="WZI80" s="684"/>
      <c r="WZJ80" s="684"/>
      <c r="WZK80" s="684"/>
      <c r="WZL80" s="684"/>
      <c r="WZM80" s="684"/>
      <c r="WZN80" s="684"/>
      <c r="WZO80" s="684"/>
      <c r="WZP80" s="684"/>
      <c r="WZQ80" s="684"/>
      <c r="WZR80" s="684"/>
      <c r="WZS80" s="684"/>
      <c r="WZT80" s="684"/>
      <c r="WZU80" s="684"/>
      <c r="WZV80" s="684"/>
      <c r="WZW80" s="684"/>
      <c r="WZX80" s="684"/>
      <c r="WZY80" s="684"/>
      <c r="WZZ80" s="684"/>
      <c r="XAA80" s="684"/>
      <c r="XAB80" s="684"/>
      <c r="XAC80" s="684"/>
      <c r="XAD80" s="684"/>
      <c r="XAE80" s="684"/>
      <c r="XAF80" s="684"/>
      <c r="XAG80" s="684"/>
      <c r="XAH80" s="684"/>
      <c r="XAI80" s="684"/>
      <c r="XAJ80" s="684"/>
      <c r="XAK80" s="684"/>
      <c r="XAL80" s="684"/>
      <c r="XAM80" s="684"/>
      <c r="XAN80" s="684"/>
      <c r="XAO80" s="684"/>
      <c r="XAP80" s="684"/>
      <c r="XAQ80" s="684"/>
      <c r="XAR80" s="684"/>
      <c r="XAS80" s="684"/>
      <c r="XAT80" s="684"/>
      <c r="XAU80" s="684"/>
      <c r="XAV80" s="684"/>
      <c r="XAW80" s="684"/>
      <c r="XAX80" s="684"/>
      <c r="XAY80" s="684"/>
      <c r="XAZ80" s="684"/>
      <c r="XBA80" s="684"/>
      <c r="XBB80" s="684"/>
      <c r="XBC80" s="684"/>
      <c r="XBD80" s="684"/>
      <c r="XBE80" s="684"/>
      <c r="XBF80" s="684"/>
      <c r="XBG80" s="684"/>
      <c r="XBH80" s="684"/>
      <c r="XBI80" s="684"/>
      <c r="XBJ80" s="684"/>
      <c r="XBK80" s="684"/>
      <c r="XBL80" s="684"/>
      <c r="XBM80" s="684"/>
      <c r="XBN80" s="684"/>
      <c r="XBO80" s="684"/>
      <c r="XBP80" s="684"/>
      <c r="XBQ80" s="684"/>
      <c r="XBR80" s="684"/>
      <c r="XBS80" s="684"/>
      <c r="XBT80" s="684"/>
      <c r="XBU80" s="684"/>
      <c r="XBV80" s="684"/>
      <c r="XBW80" s="684"/>
      <c r="XBX80" s="684"/>
      <c r="XBY80" s="684"/>
      <c r="XBZ80" s="684"/>
      <c r="XCA80" s="684"/>
      <c r="XCB80" s="684"/>
      <c r="XCC80" s="684"/>
      <c r="XCD80" s="684"/>
      <c r="XCE80" s="684"/>
      <c r="XCF80" s="684"/>
      <c r="XCG80" s="684"/>
      <c r="XCH80" s="684"/>
      <c r="XCI80" s="684"/>
      <c r="XCJ80" s="684"/>
      <c r="XCK80" s="684"/>
      <c r="XCL80" s="684"/>
      <c r="XCM80" s="684"/>
      <c r="XCN80" s="684"/>
      <c r="XCO80" s="684"/>
      <c r="XCP80" s="684"/>
      <c r="XCQ80" s="684"/>
      <c r="XCR80" s="684"/>
      <c r="XCS80" s="684"/>
      <c r="XCT80" s="684"/>
      <c r="XCU80" s="684"/>
      <c r="XCV80" s="684"/>
      <c r="XCW80" s="684"/>
      <c r="XCX80" s="684"/>
      <c r="XCY80" s="684"/>
      <c r="XCZ80" s="684"/>
      <c r="XDA80" s="684"/>
      <c r="XDB80" s="684"/>
      <c r="XDC80" s="684"/>
      <c r="XDD80" s="684"/>
      <c r="XDE80" s="684"/>
      <c r="XDF80" s="684"/>
      <c r="XDG80" s="684"/>
      <c r="XDH80" s="684"/>
      <c r="XDI80" s="684"/>
      <c r="XDJ80" s="684"/>
      <c r="XDK80" s="684"/>
      <c r="XDL80" s="684"/>
      <c r="XDM80" s="684"/>
      <c r="XDN80" s="684"/>
      <c r="XDO80" s="684"/>
      <c r="XDP80" s="684"/>
      <c r="XDQ80" s="684"/>
      <c r="XDR80" s="684"/>
      <c r="XDS80" s="684"/>
      <c r="XDT80" s="684"/>
      <c r="XDU80" s="684"/>
      <c r="XDV80" s="684"/>
      <c r="XDW80" s="684"/>
      <c r="XDX80" s="684"/>
      <c r="XDY80" s="684"/>
      <c r="XDZ80" s="684"/>
      <c r="XEA80" s="684"/>
      <c r="XEB80" s="684"/>
      <c r="XEC80" s="684"/>
      <c r="XED80" s="684"/>
      <c r="XEE80" s="684"/>
      <c r="XEF80" s="684"/>
      <c r="XEG80" s="684"/>
      <c r="XEH80" s="684"/>
      <c r="XEI80" s="684"/>
      <c r="XEJ80" s="684"/>
      <c r="XEK80" s="684"/>
      <c r="XEL80" s="684"/>
      <c r="XEM80" s="684"/>
      <c r="XEN80" s="684"/>
      <c r="XEO80" s="684"/>
      <c r="XEP80" s="684"/>
      <c r="XEQ80" s="684"/>
      <c r="XER80" s="684"/>
      <c r="XES80" s="684"/>
      <c r="XET80" s="684"/>
      <c r="XEU80" s="684"/>
      <c r="XEV80" s="684"/>
      <c r="XEW80" s="684"/>
      <c r="XEX80" s="684"/>
      <c r="XEY80" s="684"/>
      <c r="XEZ80" s="684"/>
      <c r="XFA80" s="684"/>
      <c r="XFB80" s="684"/>
      <c r="XFC80" s="684"/>
      <c r="XFD80" s="684"/>
    </row>
    <row r="81" spans="1:16384" s="853" customFormat="1">
      <c r="A81" s="1122" t="s">
        <v>2516</v>
      </c>
      <c r="B81" s="1115" t="s">
        <v>2524</v>
      </c>
      <c r="C81" s="1115" t="s">
        <v>2524</v>
      </c>
      <c r="D81" s="4216" t="str">
        <f>$A81&amp;"  "&amp;$A82</f>
        <v>pwauslihsapp37  pwauslihsapp38</v>
      </c>
      <c r="E81" s="4218" t="str">
        <f>$B81&amp;"  "&amp;$B82</f>
        <v>10.136.68.75  10.136.68.76</v>
      </c>
      <c r="F81" s="4320" t="s">
        <v>76</v>
      </c>
      <c r="G81" s="4322" t="s">
        <v>3048</v>
      </c>
      <c r="H81" s="4197" t="s">
        <v>3052</v>
      </c>
      <c r="I81" s="4197" t="s">
        <v>3051</v>
      </c>
      <c r="J81" s="684"/>
      <c r="K81" s="684"/>
      <c r="L81" s="684"/>
      <c r="M81" s="684"/>
      <c r="N81" s="684"/>
      <c r="O81" s="684"/>
      <c r="P81" s="684"/>
      <c r="Q81" s="684"/>
      <c r="R81" s="684"/>
      <c r="S81" s="684"/>
      <c r="T81" s="684"/>
      <c r="U81" s="684"/>
      <c r="V81" s="684"/>
      <c r="W81" s="684"/>
      <c r="X81" s="684"/>
      <c r="Y81" s="684"/>
      <c r="Z81" s="684"/>
      <c r="AA81" s="684"/>
      <c r="AB81" s="684"/>
      <c r="AC81" s="684"/>
      <c r="AD81" s="684"/>
      <c r="AE81" s="684"/>
      <c r="AF81" s="684"/>
      <c r="AG81" s="684"/>
      <c r="AH81" s="684"/>
      <c r="AI81" s="684"/>
      <c r="AJ81" s="684"/>
      <c r="AK81" s="684"/>
      <c r="AL81" s="684"/>
      <c r="AM81" s="684"/>
      <c r="AN81" s="684"/>
      <c r="AO81" s="684"/>
      <c r="AP81" s="684"/>
      <c r="AQ81" s="684"/>
      <c r="AR81" s="684"/>
      <c r="AS81" s="684"/>
      <c r="AT81" s="684"/>
      <c r="AU81" s="684"/>
      <c r="AV81" s="684"/>
      <c r="AW81" s="684"/>
      <c r="AX81" s="684"/>
      <c r="AY81" s="684"/>
      <c r="AZ81" s="684"/>
      <c r="BA81" s="684"/>
      <c r="BB81" s="684"/>
      <c r="BC81" s="684"/>
      <c r="BD81" s="684"/>
      <c r="BE81" s="684"/>
      <c r="BF81" s="684"/>
      <c r="BG81" s="684"/>
      <c r="BH81" s="684"/>
      <c r="BI81" s="684"/>
      <c r="BJ81" s="684"/>
      <c r="BK81" s="684"/>
      <c r="BL81" s="684"/>
      <c r="BM81" s="684"/>
      <c r="BN81" s="684"/>
      <c r="BO81" s="684"/>
      <c r="BP81" s="684"/>
      <c r="BQ81" s="684"/>
      <c r="BR81" s="684"/>
      <c r="BS81" s="684"/>
      <c r="BT81" s="684"/>
      <c r="BU81" s="684"/>
      <c r="BV81" s="684"/>
      <c r="BW81" s="684"/>
      <c r="BX81" s="684"/>
      <c r="BY81" s="684"/>
      <c r="BZ81" s="684"/>
      <c r="CA81" s="684"/>
      <c r="CB81" s="684"/>
      <c r="CC81" s="684"/>
      <c r="CD81" s="684"/>
      <c r="CE81" s="684"/>
      <c r="CF81" s="684"/>
      <c r="CG81" s="684"/>
      <c r="CH81" s="684"/>
      <c r="CI81" s="684"/>
      <c r="CJ81" s="684"/>
      <c r="CK81" s="684"/>
      <c r="CL81" s="684"/>
      <c r="CM81" s="684"/>
      <c r="CN81" s="684"/>
      <c r="CO81" s="684"/>
      <c r="CP81" s="684"/>
      <c r="CQ81" s="684"/>
      <c r="CR81" s="684"/>
      <c r="CS81" s="684"/>
      <c r="CT81" s="684"/>
      <c r="CU81" s="684"/>
      <c r="CV81" s="684"/>
      <c r="CW81" s="684"/>
      <c r="CX81" s="684"/>
      <c r="CY81" s="684"/>
      <c r="CZ81" s="684"/>
      <c r="DA81" s="684"/>
      <c r="DB81" s="684"/>
      <c r="DC81" s="684"/>
      <c r="DD81" s="684"/>
      <c r="DE81" s="684"/>
      <c r="DF81" s="684"/>
      <c r="DG81" s="684"/>
      <c r="DH81" s="684"/>
      <c r="DI81" s="684"/>
      <c r="DJ81" s="684"/>
      <c r="DK81" s="684"/>
      <c r="DL81" s="684"/>
      <c r="DM81" s="684"/>
      <c r="DN81" s="684"/>
      <c r="DO81" s="684"/>
      <c r="DP81" s="684"/>
      <c r="DQ81" s="684"/>
      <c r="DR81" s="684"/>
      <c r="DS81" s="684"/>
      <c r="DT81" s="684"/>
      <c r="DU81" s="684"/>
      <c r="DV81" s="684"/>
      <c r="DW81" s="684"/>
      <c r="DX81" s="684"/>
      <c r="DY81" s="684"/>
      <c r="DZ81" s="684"/>
      <c r="EA81" s="684"/>
      <c r="EB81" s="684"/>
      <c r="EC81" s="684"/>
      <c r="ED81" s="684"/>
      <c r="EE81" s="684"/>
      <c r="EF81" s="684"/>
      <c r="EG81" s="684"/>
      <c r="EH81" s="684"/>
      <c r="EI81" s="684"/>
      <c r="EJ81" s="684"/>
      <c r="EK81" s="684"/>
      <c r="EL81" s="684"/>
      <c r="EM81" s="684"/>
      <c r="EN81" s="684"/>
      <c r="EO81" s="684"/>
      <c r="EP81" s="684"/>
      <c r="EQ81" s="684"/>
      <c r="ER81" s="684"/>
      <c r="ES81" s="684"/>
      <c r="ET81" s="684"/>
      <c r="EU81" s="684"/>
      <c r="EV81" s="684"/>
      <c r="EW81" s="684"/>
      <c r="EX81" s="684"/>
      <c r="EY81" s="684"/>
      <c r="EZ81" s="684"/>
      <c r="FA81" s="684"/>
      <c r="FB81" s="684"/>
      <c r="FC81" s="684"/>
      <c r="FD81" s="684"/>
      <c r="FE81" s="684"/>
      <c r="FF81" s="684"/>
      <c r="FG81" s="684"/>
      <c r="FH81" s="684"/>
      <c r="FI81" s="684"/>
      <c r="FJ81" s="684"/>
      <c r="FK81" s="684"/>
      <c r="FL81" s="684"/>
      <c r="FM81" s="684"/>
      <c r="FN81" s="684"/>
      <c r="FO81" s="684"/>
      <c r="FP81" s="684"/>
      <c r="FQ81" s="684"/>
      <c r="FR81" s="684"/>
      <c r="FS81" s="684"/>
      <c r="FT81" s="684"/>
      <c r="FU81" s="684"/>
      <c r="FV81" s="684"/>
      <c r="FW81" s="684"/>
      <c r="FX81" s="684"/>
      <c r="FY81" s="684"/>
      <c r="FZ81" s="684"/>
      <c r="GA81" s="684"/>
      <c r="GB81" s="684"/>
      <c r="GC81" s="684"/>
      <c r="GD81" s="684"/>
      <c r="GE81" s="684"/>
      <c r="GF81" s="684"/>
      <c r="GG81" s="684"/>
      <c r="GH81" s="684"/>
      <c r="GI81" s="684"/>
      <c r="GJ81" s="684"/>
      <c r="GK81" s="684"/>
      <c r="GL81" s="684"/>
      <c r="GM81" s="684"/>
      <c r="GN81" s="684"/>
      <c r="GO81" s="684"/>
      <c r="GP81" s="684"/>
      <c r="GQ81" s="684"/>
      <c r="GR81" s="684"/>
      <c r="GS81" s="684"/>
      <c r="GT81" s="684"/>
      <c r="GU81" s="684"/>
      <c r="GV81" s="684"/>
      <c r="GW81" s="684"/>
      <c r="GX81" s="684"/>
      <c r="GY81" s="684"/>
      <c r="GZ81" s="684"/>
      <c r="HA81" s="684"/>
      <c r="HB81" s="684"/>
      <c r="HC81" s="684"/>
      <c r="HD81" s="684"/>
      <c r="HE81" s="684"/>
      <c r="HF81" s="684"/>
      <c r="HG81" s="684"/>
      <c r="HH81" s="684"/>
      <c r="HI81" s="684"/>
      <c r="HJ81" s="684"/>
      <c r="HK81" s="684"/>
      <c r="HL81" s="684"/>
      <c r="HM81" s="684"/>
      <c r="HN81" s="684"/>
      <c r="HO81" s="684"/>
      <c r="HP81" s="684"/>
      <c r="HQ81" s="684"/>
      <c r="HR81" s="684"/>
      <c r="HS81" s="684"/>
      <c r="HT81" s="684"/>
      <c r="HU81" s="684"/>
      <c r="HV81" s="684"/>
      <c r="HW81" s="684"/>
      <c r="HX81" s="684"/>
      <c r="HY81" s="684"/>
      <c r="HZ81" s="684"/>
      <c r="IA81" s="684"/>
      <c r="IB81" s="684"/>
      <c r="IC81" s="684"/>
      <c r="ID81" s="684"/>
      <c r="IE81" s="684"/>
      <c r="IF81" s="684"/>
      <c r="IG81" s="684"/>
      <c r="IH81" s="684"/>
      <c r="II81" s="684"/>
      <c r="IJ81" s="684"/>
      <c r="IK81" s="684"/>
      <c r="IL81" s="684"/>
      <c r="IM81" s="684"/>
      <c r="IN81" s="684"/>
      <c r="IO81" s="684"/>
      <c r="IP81" s="684"/>
      <c r="IQ81" s="684"/>
      <c r="IR81" s="684"/>
      <c r="IS81" s="684"/>
      <c r="IT81" s="684"/>
      <c r="IU81" s="684"/>
      <c r="IV81" s="684"/>
      <c r="IW81" s="684"/>
      <c r="IX81" s="684"/>
      <c r="IY81" s="684"/>
      <c r="IZ81" s="684"/>
      <c r="JA81" s="684"/>
      <c r="JB81" s="684"/>
      <c r="JC81" s="684"/>
      <c r="JD81" s="684"/>
      <c r="JE81" s="684"/>
      <c r="JF81" s="684"/>
      <c r="JG81" s="684"/>
      <c r="JH81" s="684"/>
      <c r="JI81" s="684"/>
      <c r="JJ81" s="684"/>
      <c r="JK81" s="684"/>
      <c r="JL81" s="684"/>
      <c r="JM81" s="684"/>
      <c r="JN81" s="684"/>
      <c r="JO81" s="684"/>
      <c r="JP81" s="684"/>
      <c r="JQ81" s="684"/>
      <c r="JR81" s="684"/>
      <c r="JS81" s="684"/>
      <c r="JT81" s="684"/>
      <c r="JU81" s="684"/>
      <c r="JV81" s="684"/>
      <c r="JW81" s="684"/>
      <c r="JX81" s="684"/>
      <c r="JY81" s="684"/>
      <c r="JZ81" s="684"/>
      <c r="KA81" s="684"/>
      <c r="KB81" s="684"/>
      <c r="KC81" s="684"/>
      <c r="KD81" s="684"/>
      <c r="KE81" s="684"/>
      <c r="KF81" s="684"/>
      <c r="KG81" s="684"/>
      <c r="KH81" s="684"/>
      <c r="KI81" s="684"/>
      <c r="KJ81" s="684"/>
      <c r="KK81" s="684"/>
      <c r="KL81" s="684"/>
      <c r="KM81" s="684"/>
      <c r="KN81" s="684"/>
      <c r="KO81" s="684"/>
      <c r="KP81" s="684"/>
      <c r="KQ81" s="684"/>
      <c r="KR81" s="684"/>
      <c r="KS81" s="684"/>
      <c r="KT81" s="684"/>
      <c r="KU81" s="684"/>
      <c r="KV81" s="684"/>
      <c r="KW81" s="684"/>
      <c r="KX81" s="684"/>
      <c r="KY81" s="684"/>
      <c r="KZ81" s="684"/>
      <c r="LA81" s="684"/>
      <c r="LB81" s="684"/>
      <c r="LC81" s="684"/>
      <c r="LD81" s="684"/>
      <c r="LE81" s="684"/>
      <c r="LF81" s="684"/>
      <c r="LG81" s="684"/>
      <c r="LH81" s="684"/>
      <c r="LI81" s="684"/>
      <c r="LJ81" s="684"/>
      <c r="LK81" s="684"/>
      <c r="LL81" s="684"/>
      <c r="LM81" s="684"/>
      <c r="LN81" s="684"/>
      <c r="LO81" s="684"/>
      <c r="LP81" s="684"/>
      <c r="LQ81" s="684"/>
      <c r="LR81" s="684"/>
      <c r="LS81" s="684"/>
      <c r="LT81" s="684"/>
      <c r="LU81" s="684"/>
      <c r="LV81" s="684"/>
      <c r="LW81" s="684"/>
      <c r="LX81" s="684"/>
      <c r="LY81" s="684"/>
      <c r="LZ81" s="684"/>
      <c r="MA81" s="684"/>
      <c r="MB81" s="684"/>
      <c r="MC81" s="684"/>
      <c r="MD81" s="684"/>
      <c r="ME81" s="684"/>
      <c r="MF81" s="684"/>
      <c r="MG81" s="684"/>
      <c r="MH81" s="684"/>
      <c r="MI81" s="684"/>
      <c r="MJ81" s="684"/>
      <c r="MK81" s="684"/>
      <c r="ML81" s="684"/>
      <c r="MM81" s="684"/>
      <c r="MN81" s="684"/>
      <c r="MO81" s="684"/>
      <c r="MP81" s="684"/>
      <c r="MQ81" s="684"/>
      <c r="MR81" s="684"/>
      <c r="MS81" s="684"/>
      <c r="MT81" s="684"/>
      <c r="MU81" s="684"/>
      <c r="MV81" s="684"/>
      <c r="MW81" s="684"/>
      <c r="MX81" s="684"/>
      <c r="MY81" s="684"/>
      <c r="MZ81" s="684"/>
      <c r="NA81" s="684"/>
      <c r="NB81" s="684"/>
      <c r="NC81" s="684"/>
      <c r="ND81" s="684"/>
      <c r="NE81" s="684"/>
      <c r="NF81" s="684"/>
      <c r="NG81" s="684"/>
      <c r="NH81" s="684"/>
      <c r="NI81" s="684"/>
      <c r="NJ81" s="684"/>
      <c r="NK81" s="684"/>
      <c r="NL81" s="684"/>
      <c r="NM81" s="684"/>
      <c r="NN81" s="684"/>
      <c r="NO81" s="684"/>
      <c r="NP81" s="684"/>
      <c r="NQ81" s="684"/>
      <c r="NR81" s="684"/>
      <c r="NS81" s="684"/>
      <c r="NT81" s="684"/>
      <c r="NU81" s="684"/>
      <c r="NV81" s="684"/>
      <c r="NW81" s="684"/>
      <c r="NX81" s="684"/>
      <c r="NY81" s="684"/>
      <c r="NZ81" s="684"/>
      <c r="OA81" s="684"/>
      <c r="OB81" s="684"/>
      <c r="OC81" s="684"/>
      <c r="OD81" s="684"/>
      <c r="OE81" s="684"/>
      <c r="OF81" s="684"/>
      <c r="OG81" s="684"/>
      <c r="OH81" s="684"/>
      <c r="OI81" s="684"/>
      <c r="OJ81" s="684"/>
      <c r="OK81" s="684"/>
      <c r="OL81" s="684"/>
      <c r="OM81" s="684"/>
      <c r="ON81" s="684"/>
      <c r="OO81" s="684"/>
      <c r="OP81" s="684"/>
      <c r="OQ81" s="684"/>
      <c r="OR81" s="684"/>
      <c r="OS81" s="684"/>
      <c r="OT81" s="684"/>
      <c r="OU81" s="684"/>
      <c r="OV81" s="684"/>
      <c r="OW81" s="684"/>
      <c r="OX81" s="684"/>
      <c r="OY81" s="684"/>
      <c r="OZ81" s="684"/>
      <c r="PA81" s="684"/>
      <c r="PB81" s="684"/>
      <c r="PC81" s="684"/>
      <c r="PD81" s="684"/>
      <c r="PE81" s="684"/>
      <c r="PF81" s="684"/>
      <c r="PG81" s="684"/>
      <c r="PH81" s="684"/>
      <c r="PI81" s="684"/>
      <c r="PJ81" s="684"/>
      <c r="PK81" s="684"/>
      <c r="PL81" s="684"/>
      <c r="PM81" s="684"/>
      <c r="PN81" s="684"/>
      <c r="PO81" s="684"/>
      <c r="PP81" s="684"/>
      <c r="PQ81" s="684"/>
      <c r="PR81" s="684"/>
      <c r="PS81" s="684"/>
      <c r="PT81" s="684"/>
      <c r="PU81" s="684"/>
      <c r="PV81" s="684"/>
      <c r="PW81" s="684"/>
      <c r="PX81" s="684"/>
      <c r="PY81" s="684"/>
      <c r="PZ81" s="684"/>
      <c r="QA81" s="684"/>
      <c r="QB81" s="684"/>
      <c r="QC81" s="684"/>
      <c r="QD81" s="684"/>
      <c r="QE81" s="684"/>
      <c r="QF81" s="684"/>
      <c r="QG81" s="684"/>
      <c r="QH81" s="684"/>
      <c r="QI81" s="684"/>
      <c r="QJ81" s="684"/>
      <c r="QK81" s="684"/>
      <c r="QL81" s="684"/>
      <c r="QM81" s="684"/>
      <c r="QN81" s="684"/>
      <c r="QO81" s="684"/>
      <c r="QP81" s="684"/>
      <c r="QQ81" s="684"/>
      <c r="QR81" s="684"/>
      <c r="QS81" s="684"/>
      <c r="QT81" s="684"/>
      <c r="QU81" s="684"/>
      <c r="QV81" s="684"/>
      <c r="QW81" s="684"/>
      <c r="QX81" s="684"/>
      <c r="QY81" s="684"/>
      <c r="QZ81" s="684"/>
      <c r="RA81" s="684"/>
      <c r="RB81" s="684"/>
      <c r="RC81" s="684"/>
      <c r="RD81" s="684"/>
      <c r="RE81" s="684"/>
      <c r="RF81" s="684"/>
      <c r="RG81" s="684"/>
      <c r="RH81" s="684"/>
      <c r="RI81" s="684"/>
      <c r="RJ81" s="684"/>
      <c r="RK81" s="684"/>
      <c r="RL81" s="684"/>
      <c r="RM81" s="684"/>
      <c r="RN81" s="684"/>
      <c r="RO81" s="684"/>
      <c r="RP81" s="684"/>
      <c r="RQ81" s="684"/>
      <c r="RR81" s="684"/>
      <c r="RS81" s="684"/>
      <c r="RT81" s="684"/>
      <c r="RU81" s="684"/>
      <c r="RV81" s="684"/>
      <c r="RW81" s="684"/>
      <c r="RX81" s="684"/>
      <c r="RY81" s="684"/>
      <c r="RZ81" s="684"/>
      <c r="SA81" s="684"/>
      <c r="SB81" s="684"/>
      <c r="SC81" s="684"/>
      <c r="SD81" s="684"/>
      <c r="SE81" s="684"/>
      <c r="SF81" s="684"/>
      <c r="SG81" s="684"/>
      <c r="SH81" s="684"/>
      <c r="SI81" s="684"/>
      <c r="SJ81" s="684"/>
      <c r="SK81" s="684"/>
      <c r="SL81" s="684"/>
      <c r="SM81" s="684"/>
      <c r="SN81" s="684"/>
      <c r="SO81" s="684"/>
      <c r="SP81" s="684"/>
      <c r="SQ81" s="684"/>
      <c r="SR81" s="684"/>
      <c r="SS81" s="684"/>
      <c r="ST81" s="684"/>
      <c r="SU81" s="684"/>
      <c r="SV81" s="684"/>
      <c r="SW81" s="684"/>
      <c r="SX81" s="684"/>
      <c r="SY81" s="684"/>
      <c r="SZ81" s="684"/>
      <c r="TA81" s="684"/>
      <c r="TB81" s="684"/>
      <c r="TC81" s="684"/>
      <c r="TD81" s="684"/>
      <c r="TE81" s="684"/>
      <c r="TF81" s="684"/>
      <c r="TG81" s="684"/>
      <c r="TH81" s="684"/>
      <c r="TI81" s="684"/>
      <c r="TJ81" s="684"/>
      <c r="TK81" s="684"/>
      <c r="TL81" s="684"/>
      <c r="TM81" s="684"/>
      <c r="TN81" s="684"/>
      <c r="TO81" s="684"/>
      <c r="TP81" s="684"/>
      <c r="TQ81" s="684"/>
      <c r="TR81" s="684"/>
      <c r="TS81" s="684"/>
      <c r="TT81" s="684"/>
      <c r="TU81" s="684"/>
      <c r="TV81" s="684"/>
      <c r="TW81" s="684"/>
      <c r="TX81" s="684"/>
      <c r="TY81" s="684"/>
      <c r="TZ81" s="684"/>
      <c r="UA81" s="684"/>
      <c r="UB81" s="684"/>
      <c r="UC81" s="684"/>
      <c r="UD81" s="684"/>
      <c r="UE81" s="684"/>
      <c r="UF81" s="684"/>
      <c r="UG81" s="684"/>
      <c r="UH81" s="684"/>
      <c r="UI81" s="684"/>
      <c r="UJ81" s="684"/>
      <c r="UK81" s="684"/>
      <c r="UL81" s="684"/>
      <c r="UM81" s="684"/>
      <c r="UN81" s="684"/>
      <c r="UO81" s="684"/>
      <c r="UP81" s="684"/>
      <c r="UQ81" s="684"/>
      <c r="UR81" s="684"/>
      <c r="US81" s="684"/>
      <c r="UT81" s="684"/>
      <c r="UU81" s="684"/>
      <c r="UV81" s="684"/>
      <c r="UW81" s="684"/>
      <c r="UX81" s="684"/>
      <c r="UY81" s="684"/>
      <c r="UZ81" s="684"/>
      <c r="VA81" s="684"/>
      <c r="VB81" s="684"/>
      <c r="VC81" s="684"/>
      <c r="VD81" s="684"/>
      <c r="VE81" s="684"/>
      <c r="VF81" s="684"/>
      <c r="VG81" s="684"/>
      <c r="VH81" s="684"/>
      <c r="VI81" s="684"/>
      <c r="VJ81" s="684"/>
      <c r="VK81" s="684"/>
      <c r="VL81" s="684"/>
      <c r="VM81" s="684"/>
      <c r="VN81" s="684"/>
      <c r="VO81" s="684"/>
      <c r="VP81" s="684"/>
      <c r="VQ81" s="684"/>
      <c r="VR81" s="684"/>
      <c r="VS81" s="684"/>
      <c r="VT81" s="684"/>
      <c r="VU81" s="684"/>
      <c r="VV81" s="684"/>
      <c r="VW81" s="684"/>
      <c r="VX81" s="684"/>
      <c r="VY81" s="684"/>
      <c r="VZ81" s="684"/>
      <c r="WA81" s="684"/>
      <c r="WB81" s="684"/>
      <c r="WC81" s="684"/>
      <c r="WD81" s="684"/>
      <c r="WE81" s="684"/>
      <c r="WF81" s="684"/>
      <c r="WG81" s="684"/>
      <c r="WH81" s="684"/>
      <c r="WI81" s="684"/>
      <c r="WJ81" s="684"/>
      <c r="WK81" s="684"/>
      <c r="WL81" s="684"/>
      <c r="WM81" s="684"/>
      <c r="WN81" s="684"/>
      <c r="WO81" s="684"/>
      <c r="WP81" s="684"/>
      <c r="WQ81" s="684"/>
      <c r="WR81" s="684"/>
      <c r="WS81" s="684"/>
      <c r="WT81" s="684"/>
      <c r="WU81" s="684"/>
      <c r="WV81" s="684"/>
      <c r="WW81" s="684"/>
      <c r="WX81" s="684"/>
      <c r="WY81" s="684"/>
      <c r="WZ81" s="684"/>
      <c r="XA81" s="684"/>
      <c r="XB81" s="684"/>
      <c r="XC81" s="684"/>
      <c r="XD81" s="684"/>
      <c r="XE81" s="684"/>
      <c r="XF81" s="684"/>
      <c r="XG81" s="684"/>
      <c r="XH81" s="684"/>
      <c r="XI81" s="684"/>
      <c r="XJ81" s="684"/>
      <c r="XK81" s="684"/>
      <c r="XL81" s="684"/>
      <c r="XM81" s="684"/>
      <c r="XN81" s="684"/>
      <c r="XO81" s="684"/>
      <c r="XP81" s="684"/>
      <c r="XQ81" s="684"/>
      <c r="XR81" s="684"/>
      <c r="XS81" s="684"/>
      <c r="XT81" s="684"/>
      <c r="XU81" s="684"/>
      <c r="XV81" s="684"/>
      <c r="XW81" s="684"/>
      <c r="XX81" s="684"/>
      <c r="XY81" s="684"/>
      <c r="XZ81" s="684"/>
      <c r="YA81" s="684"/>
      <c r="YB81" s="684"/>
      <c r="YC81" s="684"/>
      <c r="YD81" s="684"/>
      <c r="YE81" s="684"/>
      <c r="YF81" s="684"/>
      <c r="YG81" s="684"/>
      <c r="YH81" s="684"/>
      <c r="YI81" s="684"/>
      <c r="YJ81" s="684"/>
      <c r="YK81" s="684"/>
      <c r="YL81" s="684"/>
      <c r="YM81" s="684"/>
      <c r="YN81" s="684"/>
      <c r="YO81" s="684"/>
      <c r="YP81" s="684"/>
      <c r="YQ81" s="684"/>
      <c r="YR81" s="684"/>
      <c r="YS81" s="684"/>
      <c r="YT81" s="684"/>
      <c r="YU81" s="684"/>
      <c r="YV81" s="684"/>
      <c r="YW81" s="684"/>
      <c r="YX81" s="684"/>
      <c r="YY81" s="684"/>
      <c r="YZ81" s="684"/>
      <c r="ZA81" s="684"/>
      <c r="ZB81" s="684"/>
      <c r="ZC81" s="684"/>
      <c r="ZD81" s="684"/>
      <c r="ZE81" s="684"/>
      <c r="ZF81" s="684"/>
      <c r="ZG81" s="684"/>
      <c r="ZH81" s="684"/>
      <c r="ZI81" s="684"/>
      <c r="ZJ81" s="684"/>
      <c r="ZK81" s="684"/>
      <c r="ZL81" s="684"/>
      <c r="ZM81" s="684"/>
      <c r="ZN81" s="684"/>
      <c r="ZO81" s="684"/>
      <c r="ZP81" s="684"/>
      <c r="ZQ81" s="684"/>
      <c r="ZR81" s="684"/>
      <c r="ZS81" s="684"/>
      <c r="ZT81" s="684"/>
      <c r="ZU81" s="684"/>
      <c r="ZV81" s="684"/>
      <c r="ZW81" s="684"/>
      <c r="ZX81" s="684"/>
      <c r="ZY81" s="684"/>
      <c r="ZZ81" s="684"/>
      <c r="AAA81" s="684"/>
      <c r="AAB81" s="684"/>
      <c r="AAC81" s="684"/>
      <c r="AAD81" s="684"/>
      <c r="AAE81" s="684"/>
      <c r="AAF81" s="684"/>
      <c r="AAG81" s="684"/>
      <c r="AAH81" s="684"/>
      <c r="AAI81" s="684"/>
      <c r="AAJ81" s="684"/>
      <c r="AAK81" s="684"/>
      <c r="AAL81" s="684"/>
      <c r="AAM81" s="684"/>
      <c r="AAN81" s="684"/>
      <c r="AAO81" s="684"/>
      <c r="AAP81" s="684"/>
      <c r="AAQ81" s="684"/>
      <c r="AAR81" s="684"/>
      <c r="AAS81" s="684"/>
      <c r="AAT81" s="684"/>
      <c r="AAU81" s="684"/>
      <c r="AAV81" s="684"/>
      <c r="AAW81" s="684"/>
      <c r="AAX81" s="684"/>
      <c r="AAY81" s="684"/>
      <c r="AAZ81" s="684"/>
      <c r="ABA81" s="684"/>
      <c r="ABB81" s="684"/>
      <c r="ABC81" s="684"/>
      <c r="ABD81" s="684"/>
      <c r="ABE81" s="684"/>
      <c r="ABF81" s="684"/>
      <c r="ABG81" s="684"/>
      <c r="ABH81" s="684"/>
      <c r="ABI81" s="684"/>
      <c r="ABJ81" s="684"/>
      <c r="ABK81" s="684"/>
      <c r="ABL81" s="684"/>
      <c r="ABM81" s="684"/>
      <c r="ABN81" s="684"/>
      <c r="ABO81" s="684"/>
      <c r="ABP81" s="684"/>
      <c r="ABQ81" s="684"/>
      <c r="ABR81" s="684"/>
      <c r="ABS81" s="684"/>
      <c r="ABT81" s="684"/>
      <c r="ABU81" s="684"/>
      <c r="ABV81" s="684"/>
      <c r="ABW81" s="684"/>
      <c r="ABX81" s="684"/>
      <c r="ABY81" s="684"/>
      <c r="ABZ81" s="684"/>
      <c r="ACA81" s="684"/>
      <c r="ACB81" s="684"/>
      <c r="ACC81" s="684"/>
      <c r="ACD81" s="684"/>
      <c r="ACE81" s="684"/>
      <c r="ACF81" s="684"/>
      <c r="ACG81" s="684"/>
      <c r="ACH81" s="684"/>
      <c r="ACI81" s="684"/>
      <c r="ACJ81" s="684"/>
      <c r="ACK81" s="684"/>
      <c r="ACL81" s="684"/>
      <c r="ACM81" s="684"/>
      <c r="ACN81" s="684"/>
      <c r="ACO81" s="684"/>
      <c r="ACP81" s="684"/>
      <c r="ACQ81" s="684"/>
      <c r="ACR81" s="684"/>
      <c r="ACS81" s="684"/>
      <c r="ACT81" s="684"/>
      <c r="ACU81" s="684"/>
      <c r="ACV81" s="684"/>
      <c r="ACW81" s="684"/>
      <c r="ACX81" s="684"/>
      <c r="ACY81" s="684"/>
      <c r="ACZ81" s="684"/>
      <c r="ADA81" s="684"/>
      <c r="ADB81" s="684"/>
      <c r="ADC81" s="684"/>
      <c r="ADD81" s="684"/>
      <c r="ADE81" s="684"/>
      <c r="ADF81" s="684"/>
      <c r="ADG81" s="684"/>
      <c r="ADH81" s="684"/>
      <c r="ADI81" s="684"/>
      <c r="ADJ81" s="684"/>
      <c r="ADK81" s="684"/>
      <c r="ADL81" s="684"/>
      <c r="ADM81" s="684"/>
      <c r="ADN81" s="684"/>
      <c r="ADO81" s="684"/>
      <c r="ADP81" s="684"/>
      <c r="ADQ81" s="684"/>
      <c r="ADR81" s="684"/>
      <c r="ADS81" s="684"/>
      <c r="ADT81" s="684"/>
      <c r="ADU81" s="684"/>
      <c r="ADV81" s="684"/>
      <c r="ADW81" s="684"/>
      <c r="ADX81" s="684"/>
      <c r="ADY81" s="684"/>
      <c r="ADZ81" s="684"/>
      <c r="AEA81" s="684"/>
      <c r="AEB81" s="684"/>
      <c r="AEC81" s="684"/>
      <c r="AED81" s="684"/>
      <c r="AEE81" s="684"/>
      <c r="AEF81" s="684"/>
      <c r="AEG81" s="684"/>
      <c r="AEH81" s="684"/>
      <c r="AEI81" s="684"/>
      <c r="AEJ81" s="684"/>
      <c r="AEK81" s="684"/>
      <c r="AEL81" s="684"/>
      <c r="AEM81" s="684"/>
      <c r="AEN81" s="684"/>
      <c r="AEO81" s="684"/>
      <c r="AEP81" s="684"/>
      <c r="AEQ81" s="684"/>
      <c r="AER81" s="684"/>
      <c r="AES81" s="684"/>
      <c r="AET81" s="684"/>
      <c r="AEU81" s="684"/>
      <c r="AEV81" s="684"/>
      <c r="AEW81" s="684"/>
      <c r="AEX81" s="684"/>
      <c r="AEY81" s="684"/>
      <c r="AEZ81" s="684"/>
      <c r="AFA81" s="684"/>
      <c r="AFB81" s="684"/>
      <c r="AFC81" s="684"/>
      <c r="AFD81" s="684"/>
      <c r="AFE81" s="684"/>
      <c r="AFF81" s="684"/>
      <c r="AFG81" s="684"/>
      <c r="AFH81" s="684"/>
      <c r="AFI81" s="684"/>
      <c r="AFJ81" s="684"/>
      <c r="AFK81" s="684"/>
      <c r="AFL81" s="684"/>
      <c r="AFM81" s="684"/>
      <c r="AFN81" s="684"/>
      <c r="AFO81" s="684"/>
      <c r="AFP81" s="684"/>
      <c r="AFQ81" s="684"/>
      <c r="AFR81" s="684"/>
      <c r="AFS81" s="684"/>
      <c r="AFT81" s="684"/>
      <c r="AFU81" s="684"/>
      <c r="AFV81" s="684"/>
      <c r="AFW81" s="684"/>
      <c r="AFX81" s="684"/>
      <c r="AFY81" s="684"/>
      <c r="AFZ81" s="684"/>
      <c r="AGA81" s="684"/>
      <c r="AGB81" s="684"/>
      <c r="AGC81" s="684"/>
      <c r="AGD81" s="684"/>
      <c r="AGE81" s="684"/>
      <c r="AGF81" s="684"/>
      <c r="AGG81" s="684"/>
      <c r="AGH81" s="684"/>
      <c r="AGI81" s="684"/>
      <c r="AGJ81" s="684"/>
      <c r="AGK81" s="684"/>
      <c r="AGL81" s="684"/>
      <c r="AGM81" s="684"/>
      <c r="AGN81" s="684"/>
      <c r="AGO81" s="684"/>
      <c r="AGP81" s="684"/>
      <c r="AGQ81" s="684"/>
      <c r="AGR81" s="684"/>
      <c r="AGS81" s="684"/>
      <c r="AGT81" s="684"/>
      <c r="AGU81" s="684"/>
      <c r="AGV81" s="684"/>
      <c r="AGW81" s="684"/>
      <c r="AGX81" s="684"/>
      <c r="AGY81" s="684"/>
      <c r="AGZ81" s="684"/>
      <c r="AHA81" s="684"/>
      <c r="AHB81" s="684"/>
      <c r="AHC81" s="684"/>
      <c r="AHD81" s="684"/>
      <c r="AHE81" s="684"/>
      <c r="AHF81" s="684"/>
      <c r="AHG81" s="684"/>
      <c r="AHH81" s="684"/>
      <c r="AHI81" s="684"/>
      <c r="AHJ81" s="684"/>
      <c r="AHK81" s="684"/>
      <c r="AHL81" s="684"/>
      <c r="AHM81" s="684"/>
      <c r="AHN81" s="684"/>
      <c r="AHO81" s="684"/>
      <c r="AHP81" s="684"/>
      <c r="AHQ81" s="684"/>
      <c r="AHR81" s="684"/>
      <c r="AHS81" s="684"/>
      <c r="AHT81" s="684"/>
      <c r="AHU81" s="684"/>
      <c r="AHV81" s="684"/>
      <c r="AHW81" s="684"/>
      <c r="AHX81" s="684"/>
      <c r="AHY81" s="684"/>
      <c r="AHZ81" s="684"/>
      <c r="AIA81" s="684"/>
      <c r="AIB81" s="684"/>
      <c r="AIC81" s="684"/>
      <c r="AID81" s="684"/>
      <c r="AIE81" s="684"/>
      <c r="AIF81" s="684"/>
      <c r="AIG81" s="684"/>
      <c r="AIH81" s="684"/>
      <c r="AII81" s="684"/>
      <c r="AIJ81" s="684"/>
      <c r="AIK81" s="684"/>
      <c r="AIL81" s="684"/>
      <c r="AIM81" s="684"/>
      <c r="AIN81" s="684"/>
      <c r="AIO81" s="684"/>
      <c r="AIP81" s="684"/>
      <c r="AIQ81" s="684"/>
      <c r="AIR81" s="684"/>
      <c r="AIS81" s="684"/>
      <c r="AIT81" s="684"/>
      <c r="AIU81" s="684"/>
      <c r="AIV81" s="684"/>
      <c r="AIW81" s="684"/>
      <c r="AIX81" s="684"/>
      <c r="AIY81" s="684"/>
      <c r="AIZ81" s="684"/>
      <c r="AJA81" s="684"/>
      <c r="AJB81" s="684"/>
      <c r="AJC81" s="684"/>
      <c r="AJD81" s="684"/>
      <c r="AJE81" s="684"/>
      <c r="AJF81" s="684"/>
      <c r="AJG81" s="684"/>
      <c r="AJH81" s="684"/>
      <c r="AJI81" s="684"/>
      <c r="AJJ81" s="684"/>
      <c r="AJK81" s="684"/>
      <c r="AJL81" s="684"/>
      <c r="AJM81" s="684"/>
      <c r="AJN81" s="684"/>
      <c r="AJO81" s="684"/>
      <c r="AJP81" s="684"/>
      <c r="AJQ81" s="684"/>
      <c r="AJR81" s="684"/>
      <c r="AJS81" s="684"/>
      <c r="AJT81" s="684"/>
      <c r="AJU81" s="684"/>
      <c r="AJV81" s="684"/>
      <c r="AJW81" s="684"/>
      <c r="AJX81" s="684"/>
      <c r="AJY81" s="684"/>
      <c r="AJZ81" s="684"/>
      <c r="AKA81" s="684"/>
      <c r="AKB81" s="684"/>
      <c r="AKC81" s="684"/>
      <c r="AKD81" s="684"/>
      <c r="AKE81" s="684"/>
      <c r="AKF81" s="684"/>
      <c r="AKG81" s="684"/>
      <c r="AKH81" s="684"/>
      <c r="AKI81" s="684"/>
      <c r="AKJ81" s="684"/>
      <c r="AKK81" s="684"/>
      <c r="AKL81" s="684"/>
      <c r="AKM81" s="684"/>
      <c r="AKN81" s="684"/>
      <c r="AKO81" s="684"/>
      <c r="AKP81" s="684"/>
      <c r="AKQ81" s="684"/>
      <c r="AKR81" s="684"/>
      <c r="AKS81" s="684"/>
      <c r="AKT81" s="684"/>
      <c r="AKU81" s="684"/>
      <c r="AKV81" s="684"/>
      <c r="AKW81" s="684"/>
      <c r="AKX81" s="684"/>
      <c r="AKY81" s="684"/>
      <c r="AKZ81" s="684"/>
      <c r="ALA81" s="684"/>
      <c r="ALB81" s="684"/>
      <c r="ALC81" s="684"/>
      <c r="ALD81" s="684"/>
      <c r="ALE81" s="684"/>
      <c r="ALF81" s="684"/>
      <c r="ALG81" s="684"/>
      <c r="ALH81" s="684"/>
      <c r="ALI81" s="684"/>
      <c r="ALJ81" s="684"/>
      <c r="ALK81" s="684"/>
      <c r="ALL81" s="684"/>
      <c r="ALM81" s="684"/>
      <c r="ALN81" s="684"/>
      <c r="ALO81" s="684"/>
      <c r="ALP81" s="684"/>
      <c r="ALQ81" s="684"/>
      <c r="ALR81" s="684"/>
      <c r="ALS81" s="684"/>
      <c r="ALT81" s="684"/>
      <c r="ALU81" s="684"/>
      <c r="ALV81" s="684"/>
      <c r="ALW81" s="684"/>
      <c r="ALX81" s="684"/>
      <c r="ALY81" s="684"/>
      <c r="ALZ81" s="684"/>
      <c r="AMA81" s="684"/>
      <c r="AMB81" s="684"/>
      <c r="AMC81" s="684"/>
      <c r="AMD81" s="684"/>
      <c r="AME81" s="684"/>
      <c r="AMF81" s="684"/>
      <c r="AMG81" s="684"/>
      <c r="AMH81" s="684"/>
      <c r="AMI81" s="684"/>
      <c r="AMJ81" s="684"/>
      <c r="AMK81" s="684"/>
      <c r="AML81" s="684"/>
      <c r="AMM81" s="684"/>
      <c r="AMN81" s="684"/>
      <c r="AMO81" s="684"/>
      <c r="AMP81" s="684"/>
      <c r="AMQ81" s="684"/>
      <c r="AMR81" s="684"/>
      <c r="AMS81" s="684"/>
      <c r="AMT81" s="684"/>
      <c r="AMU81" s="684"/>
      <c r="AMV81" s="684"/>
      <c r="AMW81" s="684"/>
      <c r="AMX81" s="684"/>
      <c r="AMY81" s="684"/>
      <c r="AMZ81" s="684"/>
      <c r="ANA81" s="684"/>
      <c r="ANB81" s="684"/>
      <c r="ANC81" s="684"/>
      <c r="AND81" s="684"/>
      <c r="ANE81" s="684"/>
      <c r="ANF81" s="684"/>
      <c r="ANG81" s="684"/>
      <c r="ANH81" s="684"/>
      <c r="ANI81" s="684"/>
      <c r="ANJ81" s="684"/>
      <c r="ANK81" s="684"/>
      <c r="ANL81" s="684"/>
      <c r="ANM81" s="684"/>
      <c r="ANN81" s="684"/>
      <c r="ANO81" s="684"/>
      <c r="ANP81" s="684"/>
      <c r="ANQ81" s="684"/>
      <c r="ANR81" s="684"/>
      <c r="ANS81" s="684"/>
      <c r="ANT81" s="684"/>
      <c r="ANU81" s="684"/>
      <c r="ANV81" s="684"/>
      <c r="ANW81" s="684"/>
      <c r="ANX81" s="684"/>
      <c r="ANY81" s="684"/>
      <c r="ANZ81" s="684"/>
      <c r="AOA81" s="684"/>
      <c r="AOB81" s="684"/>
      <c r="AOC81" s="684"/>
      <c r="AOD81" s="684"/>
      <c r="AOE81" s="684"/>
      <c r="AOF81" s="684"/>
      <c r="AOG81" s="684"/>
      <c r="AOH81" s="684"/>
      <c r="AOI81" s="684"/>
      <c r="AOJ81" s="684"/>
      <c r="AOK81" s="684"/>
      <c r="AOL81" s="684"/>
      <c r="AOM81" s="684"/>
      <c r="AON81" s="684"/>
      <c r="AOO81" s="684"/>
      <c r="AOP81" s="684"/>
      <c r="AOQ81" s="684"/>
      <c r="AOR81" s="684"/>
      <c r="AOS81" s="684"/>
      <c r="AOT81" s="684"/>
      <c r="AOU81" s="684"/>
      <c r="AOV81" s="684"/>
      <c r="AOW81" s="684"/>
      <c r="AOX81" s="684"/>
      <c r="AOY81" s="684"/>
      <c r="AOZ81" s="684"/>
      <c r="APA81" s="684"/>
      <c r="APB81" s="684"/>
      <c r="APC81" s="684"/>
      <c r="APD81" s="684"/>
      <c r="APE81" s="684"/>
      <c r="APF81" s="684"/>
      <c r="APG81" s="684"/>
      <c r="APH81" s="684"/>
      <c r="API81" s="684"/>
      <c r="APJ81" s="684"/>
      <c r="APK81" s="684"/>
      <c r="APL81" s="684"/>
      <c r="APM81" s="684"/>
      <c r="APN81" s="684"/>
      <c r="APO81" s="684"/>
      <c r="APP81" s="684"/>
      <c r="APQ81" s="684"/>
      <c r="APR81" s="684"/>
      <c r="APS81" s="684"/>
      <c r="APT81" s="684"/>
      <c r="APU81" s="684"/>
      <c r="APV81" s="684"/>
      <c r="APW81" s="684"/>
      <c r="APX81" s="684"/>
      <c r="APY81" s="684"/>
      <c r="APZ81" s="684"/>
      <c r="AQA81" s="684"/>
      <c r="AQB81" s="684"/>
      <c r="AQC81" s="684"/>
      <c r="AQD81" s="684"/>
      <c r="AQE81" s="684"/>
      <c r="AQF81" s="684"/>
      <c r="AQG81" s="684"/>
      <c r="AQH81" s="684"/>
      <c r="AQI81" s="684"/>
      <c r="AQJ81" s="684"/>
      <c r="AQK81" s="684"/>
      <c r="AQL81" s="684"/>
      <c r="AQM81" s="684"/>
      <c r="AQN81" s="684"/>
      <c r="AQO81" s="684"/>
      <c r="AQP81" s="684"/>
      <c r="AQQ81" s="684"/>
      <c r="AQR81" s="684"/>
      <c r="AQS81" s="684"/>
      <c r="AQT81" s="684"/>
      <c r="AQU81" s="684"/>
      <c r="AQV81" s="684"/>
      <c r="AQW81" s="684"/>
      <c r="AQX81" s="684"/>
      <c r="AQY81" s="684"/>
      <c r="AQZ81" s="684"/>
      <c r="ARA81" s="684"/>
      <c r="ARB81" s="684"/>
      <c r="ARC81" s="684"/>
      <c r="ARD81" s="684"/>
      <c r="ARE81" s="684"/>
      <c r="ARF81" s="684"/>
      <c r="ARG81" s="684"/>
      <c r="ARH81" s="684"/>
      <c r="ARI81" s="684"/>
      <c r="ARJ81" s="684"/>
      <c r="ARK81" s="684"/>
      <c r="ARL81" s="684"/>
      <c r="ARM81" s="684"/>
      <c r="ARN81" s="684"/>
      <c r="ARO81" s="684"/>
      <c r="ARP81" s="684"/>
      <c r="ARQ81" s="684"/>
      <c r="ARR81" s="684"/>
      <c r="ARS81" s="684"/>
      <c r="ART81" s="684"/>
      <c r="ARU81" s="684"/>
      <c r="ARV81" s="684"/>
      <c r="ARW81" s="684"/>
      <c r="ARX81" s="684"/>
      <c r="ARY81" s="684"/>
      <c r="ARZ81" s="684"/>
      <c r="ASA81" s="684"/>
      <c r="ASB81" s="684"/>
      <c r="ASC81" s="684"/>
      <c r="ASD81" s="684"/>
      <c r="ASE81" s="684"/>
      <c r="ASF81" s="684"/>
      <c r="ASG81" s="684"/>
      <c r="ASH81" s="684"/>
      <c r="ASI81" s="684"/>
      <c r="ASJ81" s="684"/>
      <c r="ASK81" s="684"/>
      <c r="ASL81" s="684"/>
      <c r="ASM81" s="684"/>
      <c r="ASN81" s="684"/>
      <c r="ASO81" s="684"/>
      <c r="ASP81" s="684"/>
      <c r="ASQ81" s="684"/>
      <c r="ASR81" s="684"/>
      <c r="ASS81" s="684"/>
      <c r="AST81" s="684"/>
      <c r="ASU81" s="684"/>
      <c r="ASV81" s="684"/>
      <c r="ASW81" s="684"/>
      <c r="ASX81" s="684"/>
      <c r="ASY81" s="684"/>
      <c r="ASZ81" s="684"/>
      <c r="ATA81" s="684"/>
      <c r="ATB81" s="684"/>
      <c r="ATC81" s="684"/>
      <c r="ATD81" s="684"/>
      <c r="ATE81" s="684"/>
      <c r="ATF81" s="684"/>
      <c r="ATG81" s="684"/>
      <c r="ATH81" s="684"/>
      <c r="ATI81" s="684"/>
      <c r="ATJ81" s="684"/>
      <c r="ATK81" s="684"/>
      <c r="ATL81" s="684"/>
      <c r="ATM81" s="684"/>
      <c r="ATN81" s="684"/>
      <c r="ATO81" s="684"/>
      <c r="ATP81" s="684"/>
      <c r="ATQ81" s="684"/>
      <c r="ATR81" s="684"/>
      <c r="ATS81" s="684"/>
      <c r="ATT81" s="684"/>
      <c r="ATU81" s="684"/>
      <c r="ATV81" s="684"/>
      <c r="ATW81" s="684"/>
      <c r="ATX81" s="684"/>
      <c r="ATY81" s="684"/>
      <c r="ATZ81" s="684"/>
      <c r="AUA81" s="684"/>
      <c r="AUB81" s="684"/>
      <c r="AUC81" s="684"/>
      <c r="AUD81" s="684"/>
      <c r="AUE81" s="684"/>
      <c r="AUF81" s="684"/>
      <c r="AUG81" s="684"/>
      <c r="AUH81" s="684"/>
      <c r="AUI81" s="684"/>
      <c r="AUJ81" s="684"/>
      <c r="AUK81" s="684"/>
      <c r="AUL81" s="684"/>
      <c r="AUM81" s="684"/>
      <c r="AUN81" s="684"/>
      <c r="AUO81" s="684"/>
      <c r="AUP81" s="684"/>
      <c r="AUQ81" s="684"/>
      <c r="AUR81" s="684"/>
      <c r="AUS81" s="684"/>
      <c r="AUT81" s="684"/>
      <c r="AUU81" s="684"/>
      <c r="AUV81" s="684"/>
      <c r="AUW81" s="684"/>
      <c r="AUX81" s="684"/>
      <c r="AUY81" s="684"/>
      <c r="AUZ81" s="684"/>
      <c r="AVA81" s="684"/>
      <c r="AVB81" s="684"/>
      <c r="AVC81" s="684"/>
      <c r="AVD81" s="684"/>
      <c r="AVE81" s="684"/>
      <c r="AVF81" s="684"/>
      <c r="AVG81" s="684"/>
      <c r="AVH81" s="684"/>
      <c r="AVI81" s="684"/>
      <c r="AVJ81" s="684"/>
      <c r="AVK81" s="684"/>
      <c r="AVL81" s="684"/>
      <c r="AVM81" s="684"/>
      <c r="AVN81" s="684"/>
      <c r="AVO81" s="684"/>
      <c r="AVP81" s="684"/>
      <c r="AVQ81" s="684"/>
      <c r="AVR81" s="684"/>
      <c r="AVS81" s="684"/>
      <c r="AVT81" s="684"/>
      <c r="AVU81" s="684"/>
      <c r="AVV81" s="684"/>
      <c r="AVW81" s="684"/>
      <c r="AVX81" s="684"/>
      <c r="AVY81" s="684"/>
      <c r="AVZ81" s="684"/>
      <c r="AWA81" s="684"/>
      <c r="AWB81" s="684"/>
      <c r="AWC81" s="684"/>
      <c r="AWD81" s="684"/>
      <c r="AWE81" s="684"/>
      <c r="AWF81" s="684"/>
      <c r="AWG81" s="684"/>
      <c r="AWH81" s="684"/>
      <c r="AWI81" s="684"/>
      <c r="AWJ81" s="684"/>
      <c r="AWK81" s="684"/>
      <c r="AWL81" s="684"/>
      <c r="AWM81" s="684"/>
      <c r="AWN81" s="684"/>
      <c r="AWO81" s="684"/>
      <c r="AWP81" s="684"/>
      <c r="AWQ81" s="684"/>
      <c r="AWR81" s="684"/>
      <c r="AWS81" s="684"/>
      <c r="AWT81" s="684"/>
      <c r="AWU81" s="684"/>
      <c r="AWV81" s="684"/>
      <c r="AWW81" s="684"/>
      <c r="AWX81" s="684"/>
      <c r="AWY81" s="684"/>
      <c r="AWZ81" s="684"/>
      <c r="AXA81" s="684"/>
      <c r="AXB81" s="684"/>
      <c r="AXC81" s="684"/>
      <c r="AXD81" s="684"/>
      <c r="AXE81" s="684"/>
      <c r="AXF81" s="684"/>
      <c r="AXG81" s="684"/>
      <c r="AXH81" s="684"/>
      <c r="AXI81" s="684"/>
      <c r="AXJ81" s="684"/>
      <c r="AXK81" s="684"/>
      <c r="AXL81" s="684"/>
      <c r="AXM81" s="684"/>
      <c r="AXN81" s="684"/>
      <c r="AXO81" s="684"/>
      <c r="AXP81" s="684"/>
      <c r="AXQ81" s="684"/>
      <c r="AXR81" s="684"/>
      <c r="AXS81" s="684"/>
      <c r="AXT81" s="684"/>
      <c r="AXU81" s="684"/>
      <c r="AXV81" s="684"/>
      <c r="AXW81" s="684"/>
      <c r="AXX81" s="684"/>
      <c r="AXY81" s="684"/>
      <c r="AXZ81" s="684"/>
      <c r="AYA81" s="684"/>
      <c r="AYB81" s="684"/>
      <c r="AYC81" s="684"/>
      <c r="AYD81" s="684"/>
      <c r="AYE81" s="684"/>
      <c r="AYF81" s="684"/>
      <c r="AYG81" s="684"/>
      <c r="AYH81" s="684"/>
      <c r="AYI81" s="684"/>
      <c r="AYJ81" s="684"/>
      <c r="AYK81" s="684"/>
      <c r="AYL81" s="684"/>
      <c r="AYM81" s="684"/>
      <c r="AYN81" s="684"/>
      <c r="AYO81" s="684"/>
      <c r="AYP81" s="684"/>
      <c r="AYQ81" s="684"/>
      <c r="AYR81" s="684"/>
      <c r="AYS81" s="684"/>
      <c r="AYT81" s="684"/>
      <c r="AYU81" s="684"/>
      <c r="AYV81" s="684"/>
      <c r="AYW81" s="684"/>
      <c r="AYX81" s="684"/>
      <c r="AYY81" s="684"/>
      <c r="AYZ81" s="684"/>
      <c r="AZA81" s="684"/>
      <c r="AZB81" s="684"/>
      <c r="AZC81" s="684"/>
      <c r="AZD81" s="684"/>
      <c r="AZE81" s="684"/>
      <c r="AZF81" s="684"/>
      <c r="AZG81" s="684"/>
      <c r="AZH81" s="684"/>
      <c r="AZI81" s="684"/>
      <c r="AZJ81" s="684"/>
      <c r="AZK81" s="684"/>
      <c r="AZL81" s="684"/>
      <c r="AZM81" s="684"/>
      <c r="AZN81" s="684"/>
      <c r="AZO81" s="684"/>
      <c r="AZP81" s="684"/>
      <c r="AZQ81" s="684"/>
      <c r="AZR81" s="684"/>
      <c r="AZS81" s="684"/>
      <c r="AZT81" s="684"/>
      <c r="AZU81" s="684"/>
      <c r="AZV81" s="684"/>
      <c r="AZW81" s="684"/>
      <c r="AZX81" s="684"/>
      <c r="AZY81" s="684"/>
      <c r="AZZ81" s="684"/>
      <c r="BAA81" s="684"/>
      <c r="BAB81" s="684"/>
      <c r="BAC81" s="684"/>
      <c r="BAD81" s="684"/>
      <c r="BAE81" s="684"/>
      <c r="BAF81" s="684"/>
      <c r="BAG81" s="684"/>
      <c r="BAH81" s="684"/>
      <c r="BAI81" s="684"/>
      <c r="BAJ81" s="684"/>
      <c r="BAK81" s="684"/>
      <c r="BAL81" s="684"/>
      <c r="BAM81" s="684"/>
      <c r="BAN81" s="684"/>
      <c r="BAO81" s="684"/>
      <c r="BAP81" s="684"/>
      <c r="BAQ81" s="684"/>
      <c r="BAR81" s="684"/>
      <c r="BAS81" s="684"/>
      <c r="BAT81" s="684"/>
      <c r="BAU81" s="684"/>
      <c r="BAV81" s="684"/>
      <c r="BAW81" s="684"/>
      <c r="BAX81" s="684"/>
      <c r="BAY81" s="684"/>
      <c r="BAZ81" s="684"/>
      <c r="BBA81" s="684"/>
      <c r="BBB81" s="684"/>
      <c r="BBC81" s="684"/>
      <c r="BBD81" s="684"/>
      <c r="BBE81" s="684"/>
      <c r="BBF81" s="684"/>
      <c r="BBG81" s="684"/>
      <c r="BBH81" s="684"/>
      <c r="BBI81" s="684"/>
      <c r="BBJ81" s="684"/>
      <c r="BBK81" s="684"/>
      <c r="BBL81" s="684"/>
      <c r="BBM81" s="684"/>
      <c r="BBN81" s="684"/>
      <c r="BBO81" s="684"/>
      <c r="BBP81" s="684"/>
      <c r="BBQ81" s="684"/>
      <c r="BBR81" s="684"/>
      <c r="BBS81" s="684"/>
      <c r="BBT81" s="684"/>
      <c r="BBU81" s="684"/>
      <c r="BBV81" s="684"/>
      <c r="BBW81" s="684"/>
      <c r="BBX81" s="684"/>
      <c r="BBY81" s="684"/>
      <c r="BBZ81" s="684"/>
      <c r="BCA81" s="684"/>
      <c r="BCB81" s="684"/>
      <c r="BCC81" s="684"/>
      <c r="BCD81" s="684"/>
      <c r="BCE81" s="684"/>
      <c r="BCF81" s="684"/>
      <c r="BCG81" s="684"/>
      <c r="BCH81" s="684"/>
      <c r="BCI81" s="684"/>
      <c r="BCJ81" s="684"/>
      <c r="BCK81" s="684"/>
      <c r="BCL81" s="684"/>
      <c r="BCM81" s="684"/>
      <c r="BCN81" s="684"/>
      <c r="BCO81" s="684"/>
      <c r="BCP81" s="684"/>
      <c r="BCQ81" s="684"/>
      <c r="BCR81" s="684"/>
      <c r="BCS81" s="684"/>
      <c r="BCT81" s="684"/>
      <c r="BCU81" s="684"/>
      <c r="BCV81" s="684"/>
      <c r="BCW81" s="684"/>
      <c r="BCX81" s="684"/>
      <c r="BCY81" s="684"/>
      <c r="BCZ81" s="684"/>
      <c r="BDA81" s="684"/>
      <c r="BDB81" s="684"/>
      <c r="BDC81" s="684"/>
      <c r="BDD81" s="684"/>
      <c r="BDE81" s="684"/>
      <c r="BDF81" s="684"/>
      <c r="BDG81" s="684"/>
      <c r="BDH81" s="684"/>
      <c r="BDI81" s="684"/>
      <c r="BDJ81" s="684"/>
      <c r="BDK81" s="684"/>
      <c r="BDL81" s="684"/>
      <c r="BDM81" s="684"/>
      <c r="BDN81" s="684"/>
      <c r="BDO81" s="684"/>
      <c r="BDP81" s="684"/>
      <c r="BDQ81" s="684"/>
      <c r="BDR81" s="684"/>
      <c r="BDS81" s="684"/>
      <c r="BDT81" s="684"/>
      <c r="BDU81" s="684"/>
      <c r="BDV81" s="684"/>
      <c r="BDW81" s="684"/>
      <c r="BDX81" s="684"/>
      <c r="BDY81" s="684"/>
      <c r="BDZ81" s="684"/>
      <c r="BEA81" s="684"/>
      <c r="BEB81" s="684"/>
      <c r="BEC81" s="684"/>
      <c r="BED81" s="684"/>
      <c r="BEE81" s="684"/>
      <c r="BEF81" s="684"/>
      <c r="BEG81" s="684"/>
      <c r="BEH81" s="684"/>
      <c r="BEI81" s="684"/>
      <c r="BEJ81" s="684"/>
      <c r="BEK81" s="684"/>
      <c r="BEL81" s="684"/>
      <c r="BEM81" s="684"/>
      <c r="BEN81" s="684"/>
      <c r="BEO81" s="684"/>
      <c r="BEP81" s="684"/>
      <c r="BEQ81" s="684"/>
      <c r="BER81" s="684"/>
      <c r="BES81" s="684"/>
      <c r="BET81" s="684"/>
      <c r="BEU81" s="684"/>
      <c r="BEV81" s="684"/>
      <c r="BEW81" s="684"/>
      <c r="BEX81" s="684"/>
      <c r="BEY81" s="684"/>
      <c r="BEZ81" s="684"/>
      <c r="BFA81" s="684"/>
      <c r="BFB81" s="684"/>
      <c r="BFC81" s="684"/>
      <c r="BFD81" s="684"/>
      <c r="BFE81" s="684"/>
      <c r="BFF81" s="684"/>
      <c r="BFG81" s="684"/>
      <c r="BFH81" s="684"/>
      <c r="BFI81" s="684"/>
      <c r="BFJ81" s="684"/>
      <c r="BFK81" s="684"/>
      <c r="BFL81" s="684"/>
      <c r="BFM81" s="684"/>
      <c r="BFN81" s="684"/>
      <c r="BFO81" s="684"/>
      <c r="BFP81" s="684"/>
      <c r="BFQ81" s="684"/>
      <c r="BFR81" s="684"/>
      <c r="BFS81" s="684"/>
      <c r="BFT81" s="684"/>
      <c r="BFU81" s="684"/>
      <c r="BFV81" s="684"/>
      <c r="BFW81" s="684"/>
      <c r="BFX81" s="684"/>
      <c r="BFY81" s="684"/>
      <c r="BFZ81" s="684"/>
      <c r="BGA81" s="684"/>
      <c r="BGB81" s="684"/>
      <c r="BGC81" s="684"/>
      <c r="BGD81" s="684"/>
      <c r="BGE81" s="684"/>
      <c r="BGF81" s="684"/>
      <c r="BGG81" s="684"/>
      <c r="BGH81" s="684"/>
      <c r="BGI81" s="684"/>
      <c r="BGJ81" s="684"/>
      <c r="BGK81" s="684"/>
      <c r="BGL81" s="684"/>
      <c r="BGM81" s="684"/>
      <c r="BGN81" s="684"/>
      <c r="BGO81" s="684"/>
      <c r="BGP81" s="684"/>
      <c r="BGQ81" s="684"/>
      <c r="BGR81" s="684"/>
      <c r="BGS81" s="684"/>
      <c r="BGT81" s="684"/>
      <c r="BGU81" s="684"/>
      <c r="BGV81" s="684"/>
      <c r="BGW81" s="684"/>
      <c r="BGX81" s="684"/>
      <c r="BGY81" s="684"/>
      <c r="BGZ81" s="684"/>
      <c r="BHA81" s="684"/>
      <c r="BHB81" s="684"/>
      <c r="BHC81" s="684"/>
      <c r="BHD81" s="684"/>
      <c r="BHE81" s="684"/>
      <c r="BHF81" s="684"/>
      <c r="BHG81" s="684"/>
      <c r="BHH81" s="684"/>
      <c r="BHI81" s="684"/>
      <c r="BHJ81" s="684"/>
      <c r="BHK81" s="684"/>
      <c r="BHL81" s="684"/>
      <c r="BHM81" s="684"/>
      <c r="BHN81" s="684"/>
      <c r="BHO81" s="684"/>
      <c r="BHP81" s="684"/>
      <c r="BHQ81" s="684"/>
      <c r="BHR81" s="684"/>
      <c r="BHS81" s="684"/>
      <c r="BHT81" s="684"/>
      <c r="BHU81" s="684"/>
      <c r="BHV81" s="684"/>
      <c r="BHW81" s="684"/>
      <c r="BHX81" s="684"/>
      <c r="BHY81" s="684"/>
      <c r="BHZ81" s="684"/>
      <c r="BIA81" s="684"/>
      <c r="BIB81" s="684"/>
      <c r="BIC81" s="684"/>
      <c r="BID81" s="684"/>
      <c r="BIE81" s="684"/>
      <c r="BIF81" s="684"/>
      <c r="BIG81" s="684"/>
      <c r="BIH81" s="684"/>
      <c r="BII81" s="684"/>
      <c r="BIJ81" s="684"/>
      <c r="BIK81" s="684"/>
      <c r="BIL81" s="684"/>
      <c r="BIM81" s="684"/>
      <c r="BIN81" s="684"/>
      <c r="BIO81" s="684"/>
      <c r="BIP81" s="684"/>
      <c r="BIQ81" s="684"/>
      <c r="BIR81" s="684"/>
      <c r="BIS81" s="684"/>
      <c r="BIT81" s="684"/>
      <c r="BIU81" s="684"/>
      <c r="BIV81" s="684"/>
      <c r="BIW81" s="684"/>
      <c r="BIX81" s="684"/>
      <c r="BIY81" s="684"/>
      <c r="BIZ81" s="684"/>
      <c r="BJA81" s="684"/>
      <c r="BJB81" s="684"/>
      <c r="BJC81" s="684"/>
      <c r="BJD81" s="684"/>
      <c r="BJE81" s="684"/>
      <c r="BJF81" s="684"/>
      <c r="BJG81" s="684"/>
      <c r="BJH81" s="684"/>
      <c r="BJI81" s="684"/>
      <c r="BJJ81" s="684"/>
      <c r="BJK81" s="684"/>
      <c r="BJL81" s="684"/>
      <c r="BJM81" s="684"/>
      <c r="BJN81" s="684"/>
      <c r="BJO81" s="684"/>
      <c r="BJP81" s="684"/>
      <c r="BJQ81" s="684"/>
      <c r="BJR81" s="684"/>
      <c r="BJS81" s="684"/>
      <c r="BJT81" s="684"/>
      <c r="BJU81" s="684"/>
      <c r="BJV81" s="684"/>
      <c r="BJW81" s="684"/>
      <c r="BJX81" s="684"/>
      <c r="BJY81" s="684"/>
      <c r="BJZ81" s="684"/>
      <c r="BKA81" s="684"/>
      <c r="BKB81" s="684"/>
      <c r="BKC81" s="684"/>
      <c r="BKD81" s="684"/>
      <c r="BKE81" s="684"/>
      <c r="BKF81" s="684"/>
      <c r="BKG81" s="684"/>
      <c r="BKH81" s="684"/>
      <c r="BKI81" s="684"/>
      <c r="BKJ81" s="684"/>
      <c r="BKK81" s="684"/>
      <c r="BKL81" s="684"/>
      <c r="BKM81" s="684"/>
      <c r="BKN81" s="684"/>
      <c r="BKO81" s="684"/>
      <c r="BKP81" s="684"/>
      <c r="BKQ81" s="684"/>
      <c r="BKR81" s="684"/>
      <c r="BKS81" s="684"/>
      <c r="BKT81" s="684"/>
      <c r="BKU81" s="684"/>
      <c r="BKV81" s="684"/>
      <c r="BKW81" s="684"/>
      <c r="BKX81" s="684"/>
      <c r="BKY81" s="684"/>
      <c r="BKZ81" s="684"/>
      <c r="BLA81" s="684"/>
      <c r="BLB81" s="684"/>
      <c r="BLC81" s="684"/>
      <c r="BLD81" s="684"/>
      <c r="BLE81" s="684"/>
      <c r="BLF81" s="684"/>
      <c r="BLG81" s="684"/>
      <c r="BLH81" s="684"/>
      <c r="BLI81" s="684"/>
      <c r="BLJ81" s="684"/>
      <c r="BLK81" s="684"/>
      <c r="BLL81" s="684"/>
      <c r="BLM81" s="684"/>
      <c r="BLN81" s="684"/>
      <c r="BLO81" s="684"/>
      <c r="BLP81" s="684"/>
      <c r="BLQ81" s="684"/>
      <c r="BLR81" s="684"/>
      <c r="BLS81" s="684"/>
      <c r="BLT81" s="684"/>
      <c r="BLU81" s="684"/>
      <c r="BLV81" s="684"/>
      <c r="BLW81" s="684"/>
      <c r="BLX81" s="684"/>
      <c r="BLY81" s="684"/>
      <c r="BLZ81" s="684"/>
      <c r="BMA81" s="684"/>
      <c r="BMB81" s="684"/>
      <c r="BMC81" s="684"/>
      <c r="BMD81" s="684"/>
      <c r="BME81" s="684"/>
      <c r="BMF81" s="684"/>
      <c r="BMG81" s="684"/>
      <c r="BMH81" s="684"/>
      <c r="BMI81" s="684"/>
      <c r="BMJ81" s="684"/>
      <c r="BMK81" s="684"/>
      <c r="BML81" s="684"/>
      <c r="BMM81" s="684"/>
      <c r="BMN81" s="684"/>
      <c r="BMO81" s="684"/>
      <c r="BMP81" s="684"/>
      <c r="BMQ81" s="684"/>
      <c r="BMR81" s="684"/>
      <c r="BMS81" s="684"/>
      <c r="BMT81" s="684"/>
      <c r="BMU81" s="684"/>
      <c r="BMV81" s="684"/>
      <c r="BMW81" s="684"/>
      <c r="BMX81" s="684"/>
      <c r="BMY81" s="684"/>
      <c r="BMZ81" s="684"/>
      <c r="BNA81" s="684"/>
      <c r="BNB81" s="684"/>
      <c r="BNC81" s="684"/>
      <c r="BND81" s="684"/>
      <c r="BNE81" s="684"/>
      <c r="BNF81" s="684"/>
      <c r="BNG81" s="684"/>
      <c r="BNH81" s="684"/>
      <c r="BNI81" s="684"/>
      <c r="BNJ81" s="684"/>
      <c r="BNK81" s="684"/>
      <c r="BNL81" s="684"/>
      <c r="BNM81" s="684"/>
      <c r="BNN81" s="684"/>
      <c r="BNO81" s="684"/>
      <c r="BNP81" s="684"/>
      <c r="BNQ81" s="684"/>
      <c r="BNR81" s="684"/>
      <c r="BNS81" s="684"/>
      <c r="BNT81" s="684"/>
      <c r="BNU81" s="684"/>
      <c r="BNV81" s="684"/>
      <c r="BNW81" s="684"/>
      <c r="BNX81" s="684"/>
      <c r="BNY81" s="684"/>
      <c r="BNZ81" s="684"/>
      <c r="BOA81" s="684"/>
      <c r="BOB81" s="684"/>
      <c r="BOC81" s="684"/>
      <c r="BOD81" s="684"/>
      <c r="BOE81" s="684"/>
      <c r="BOF81" s="684"/>
      <c r="BOG81" s="684"/>
      <c r="BOH81" s="684"/>
      <c r="BOI81" s="684"/>
      <c r="BOJ81" s="684"/>
      <c r="BOK81" s="684"/>
      <c r="BOL81" s="684"/>
      <c r="BOM81" s="684"/>
      <c r="BON81" s="684"/>
      <c r="BOO81" s="684"/>
      <c r="BOP81" s="684"/>
      <c r="BOQ81" s="684"/>
      <c r="BOR81" s="684"/>
      <c r="BOS81" s="684"/>
      <c r="BOT81" s="684"/>
      <c r="BOU81" s="684"/>
      <c r="BOV81" s="684"/>
      <c r="BOW81" s="684"/>
      <c r="BOX81" s="684"/>
      <c r="BOY81" s="684"/>
      <c r="BOZ81" s="684"/>
      <c r="BPA81" s="684"/>
      <c r="BPB81" s="684"/>
      <c r="BPC81" s="684"/>
      <c r="BPD81" s="684"/>
      <c r="BPE81" s="684"/>
      <c r="BPF81" s="684"/>
      <c r="BPG81" s="684"/>
      <c r="BPH81" s="684"/>
      <c r="BPI81" s="684"/>
      <c r="BPJ81" s="684"/>
      <c r="BPK81" s="684"/>
      <c r="BPL81" s="684"/>
      <c r="BPM81" s="684"/>
      <c r="BPN81" s="684"/>
      <c r="BPO81" s="684"/>
      <c r="BPP81" s="684"/>
      <c r="BPQ81" s="684"/>
      <c r="BPR81" s="684"/>
      <c r="BPS81" s="684"/>
      <c r="BPT81" s="684"/>
      <c r="BPU81" s="684"/>
      <c r="BPV81" s="684"/>
      <c r="BPW81" s="684"/>
      <c r="BPX81" s="684"/>
      <c r="BPY81" s="684"/>
      <c r="BPZ81" s="684"/>
      <c r="BQA81" s="684"/>
      <c r="BQB81" s="684"/>
      <c r="BQC81" s="684"/>
      <c r="BQD81" s="684"/>
      <c r="BQE81" s="684"/>
      <c r="BQF81" s="684"/>
      <c r="BQG81" s="684"/>
      <c r="BQH81" s="684"/>
      <c r="BQI81" s="684"/>
      <c r="BQJ81" s="684"/>
      <c r="BQK81" s="684"/>
      <c r="BQL81" s="684"/>
      <c r="BQM81" s="684"/>
      <c r="BQN81" s="684"/>
      <c r="BQO81" s="684"/>
      <c r="BQP81" s="684"/>
      <c r="BQQ81" s="684"/>
      <c r="BQR81" s="684"/>
      <c r="BQS81" s="684"/>
      <c r="BQT81" s="684"/>
      <c r="BQU81" s="684"/>
      <c r="BQV81" s="684"/>
      <c r="BQW81" s="684"/>
      <c r="BQX81" s="684"/>
      <c r="BQY81" s="684"/>
      <c r="BQZ81" s="684"/>
      <c r="BRA81" s="684"/>
      <c r="BRB81" s="684"/>
      <c r="BRC81" s="684"/>
      <c r="BRD81" s="684"/>
      <c r="BRE81" s="684"/>
      <c r="BRF81" s="684"/>
      <c r="BRG81" s="684"/>
      <c r="BRH81" s="684"/>
      <c r="BRI81" s="684"/>
      <c r="BRJ81" s="684"/>
      <c r="BRK81" s="684"/>
      <c r="BRL81" s="684"/>
      <c r="BRM81" s="684"/>
      <c r="BRN81" s="684"/>
      <c r="BRO81" s="684"/>
      <c r="BRP81" s="684"/>
      <c r="BRQ81" s="684"/>
      <c r="BRR81" s="684"/>
      <c r="BRS81" s="684"/>
      <c r="BRT81" s="684"/>
      <c r="BRU81" s="684"/>
      <c r="BRV81" s="684"/>
      <c r="BRW81" s="684"/>
      <c r="BRX81" s="684"/>
      <c r="BRY81" s="684"/>
      <c r="BRZ81" s="684"/>
      <c r="BSA81" s="684"/>
      <c r="BSB81" s="684"/>
      <c r="BSC81" s="684"/>
      <c r="BSD81" s="684"/>
      <c r="BSE81" s="684"/>
      <c r="BSF81" s="684"/>
      <c r="BSG81" s="684"/>
      <c r="BSH81" s="684"/>
      <c r="BSI81" s="684"/>
      <c r="BSJ81" s="684"/>
      <c r="BSK81" s="684"/>
      <c r="BSL81" s="684"/>
      <c r="BSM81" s="684"/>
      <c r="BSN81" s="684"/>
      <c r="BSO81" s="684"/>
      <c r="BSP81" s="684"/>
      <c r="BSQ81" s="684"/>
      <c r="BSR81" s="684"/>
      <c r="BSS81" s="684"/>
      <c r="BST81" s="684"/>
      <c r="BSU81" s="684"/>
      <c r="BSV81" s="684"/>
      <c r="BSW81" s="684"/>
      <c r="BSX81" s="684"/>
      <c r="BSY81" s="684"/>
      <c r="BSZ81" s="684"/>
      <c r="BTA81" s="684"/>
      <c r="BTB81" s="684"/>
      <c r="BTC81" s="684"/>
      <c r="BTD81" s="684"/>
      <c r="BTE81" s="684"/>
      <c r="BTF81" s="684"/>
      <c r="BTG81" s="684"/>
      <c r="BTH81" s="684"/>
      <c r="BTI81" s="684"/>
      <c r="BTJ81" s="684"/>
      <c r="BTK81" s="684"/>
      <c r="BTL81" s="684"/>
      <c r="BTM81" s="684"/>
      <c r="BTN81" s="684"/>
      <c r="BTO81" s="684"/>
      <c r="BTP81" s="684"/>
      <c r="BTQ81" s="684"/>
      <c r="BTR81" s="684"/>
      <c r="BTS81" s="684"/>
      <c r="BTT81" s="684"/>
      <c r="BTU81" s="684"/>
      <c r="BTV81" s="684"/>
      <c r="BTW81" s="684"/>
      <c r="BTX81" s="684"/>
      <c r="BTY81" s="684"/>
      <c r="BTZ81" s="684"/>
      <c r="BUA81" s="684"/>
      <c r="BUB81" s="684"/>
      <c r="BUC81" s="684"/>
      <c r="BUD81" s="684"/>
      <c r="BUE81" s="684"/>
      <c r="BUF81" s="684"/>
      <c r="BUG81" s="684"/>
      <c r="BUH81" s="684"/>
      <c r="BUI81" s="684"/>
      <c r="BUJ81" s="684"/>
      <c r="BUK81" s="684"/>
      <c r="BUL81" s="684"/>
      <c r="BUM81" s="684"/>
      <c r="BUN81" s="684"/>
      <c r="BUO81" s="684"/>
      <c r="BUP81" s="684"/>
      <c r="BUQ81" s="684"/>
      <c r="BUR81" s="684"/>
      <c r="BUS81" s="684"/>
      <c r="BUT81" s="684"/>
      <c r="BUU81" s="684"/>
      <c r="BUV81" s="684"/>
      <c r="BUW81" s="684"/>
      <c r="BUX81" s="684"/>
      <c r="BUY81" s="684"/>
      <c r="BUZ81" s="684"/>
      <c r="BVA81" s="684"/>
      <c r="BVB81" s="684"/>
      <c r="BVC81" s="684"/>
      <c r="BVD81" s="684"/>
      <c r="BVE81" s="684"/>
      <c r="BVF81" s="684"/>
      <c r="BVG81" s="684"/>
      <c r="BVH81" s="684"/>
      <c r="BVI81" s="684"/>
      <c r="BVJ81" s="684"/>
      <c r="BVK81" s="684"/>
      <c r="BVL81" s="684"/>
      <c r="BVM81" s="684"/>
      <c r="BVN81" s="684"/>
      <c r="BVO81" s="684"/>
      <c r="BVP81" s="684"/>
      <c r="BVQ81" s="684"/>
      <c r="BVR81" s="684"/>
      <c r="BVS81" s="684"/>
      <c r="BVT81" s="684"/>
      <c r="BVU81" s="684"/>
      <c r="BVV81" s="684"/>
      <c r="BVW81" s="684"/>
      <c r="BVX81" s="684"/>
      <c r="BVY81" s="684"/>
      <c r="BVZ81" s="684"/>
      <c r="BWA81" s="684"/>
      <c r="BWB81" s="684"/>
      <c r="BWC81" s="684"/>
      <c r="BWD81" s="684"/>
      <c r="BWE81" s="684"/>
      <c r="BWF81" s="684"/>
      <c r="BWG81" s="684"/>
      <c r="BWH81" s="684"/>
      <c r="BWI81" s="684"/>
      <c r="BWJ81" s="684"/>
      <c r="BWK81" s="684"/>
      <c r="BWL81" s="684"/>
      <c r="BWM81" s="684"/>
      <c r="BWN81" s="684"/>
      <c r="BWO81" s="684"/>
      <c r="BWP81" s="684"/>
      <c r="BWQ81" s="684"/>
      <c r="BWR81" s="684"/>
      <c r="BWS81" s="684"/>
      <c r="BWT81" s="684"/>
      <c r="BWU81" s="684"/>
      <c r="BWV81" s="684"/>
      <c r="BWW81" s="684"/>
      <c r="BWX81" s="684"/>
      <c r="BWY81" s="684"/>
      <c r="BWZ81" s="684"/>
      <c r="BXA81" s="684"/>
      <c r="BXB81" s="684"/>
      <c r="BXC81" s="684"/>
      <c r="BXD81" s="684"/>
      <c r="BXE81" s="684"/>
      <c r="BXF81" s="684"/>
      <c r="BXG81" s="684"/>
      <c r="BXH81" s="684"/>
      <c r="BXI81" s="684"/>
      <c r="BXJ81" s="684"/>
      <c r="BXK81" s="684"/>
      <c r="BXL81" s="684"/>
      <c r="BXM81" s="684"/>
      <c r="BXN81" s="684"/>
      <c r="BXO81" s="684"/>
      <c r="BXP81" s="684"/>
      <c r="BXQ81" s="684"/>
      <c r="BXR81" s="684"/>
      <c r="BXS81" s="684"/>
      <c r="BXT81" s="684"/>
      <c r="BXU81" s="684"/>
      <c r="BXV81" s="684"/>
      <c r="BXW81" s="684"/>
      <c r="BXX81" s="684"/>
      <c r="BXY81" s="684"/>
      <c r="BXZ81" s="684"/>
      <c r="BYA81" s="684"/>
      <c r="BYB81" s="684"/>
      <c r="BYC81" s="684"/>
      <c r="BYD81" s="684"/>
      <c r="BYE81" s="684"/>
      <c r="BYF81" s="684"/>
      <c r="BYG81" s="684"/>
      <c r="BYH81" s="684"/>
      <c r="BYI81" s="684"/>
      <c r="BYJ81" s="684"/>
      <c r="BYK81" s="684"/>
      <c r="BYL81" s="684"/>
      <c r="BYM81" s="684"/>
      <c r="BYN81" s="684"/>
      <c r="BYO81" s="684"/>
      <c r="BYP81" s="684"/>
      <c r="BYQ81" s="684"/>
      <c r="BYR81" s="684"/>
      <c r="BYS81" s="684"/>
      <c r="BYT81" s="684"/>
      <c r="BYU81" s="684"/>
      <c r="BYV81" s="684"/>
      <c r="BYW81" s="684"/>
      <c r="BYX81" s="684"/>
      <c r="BYY81" s="684"/>
      <c r="BYZ81" s="684"/>
      <c r="BZA81" s="684"/>
      <c r="BZB81" s="684"/>
      <c r="BZC81" s="684"/>
      <c r="BZD81" s="684"/>
      <c r="BZE81" s="684"/>
      <c r="BZF81" s="684"/>
      <c r="BZG81" s="684"/>
      <c r="BZH81" s="684"/>
      <c r="BZI81" s="684"/>
      <c r="BZJ81" s="684"/>
      <c r="BZK81" s="684"/>
      <c r="BZL81" s="684"/>
      <c r="BZM81" s="684"/>
      <c r="BZN81" s="684"/>
      <c r="BZO81" s="684"/>
      <c r="BZP81" s="684"/>
      <c r="BZQ81" s="684"/>
      <c r="BZR81" s="684"/>
      <c r="BZS81" s="684"/>
      <c r="BZT81" s="684"/>
      <c r="BZU81" s="684"/>
      <c r="BZV81" s="684"/>
      <c r="BZW81" s="684"/>
      <c r="BZX81" s="684"/>
      <c r="BZY81" s="684"/>
      <c r="BZZ81" s="684"/>
      <c r="CAA81" s="684"/>
      <c r="CAB81" s="684"/>
      <c r="CAC81" s="684"/>
      <c r="CAD81" s="684"/>
      <c r="CAE81" s="684"/>
      <c r="CAF81" s="684"/>
      <c r="CAG81" s="684"/>
      <c r="CAH81" s="684"/>
      <c r="CAI81" s="684"/>
      <c r="CAJ81" s="684"/>
      <c r="CAK81" s="684"/>
      <c r="CAL81" s="684"/>
      <c r="CAM81" s="684"/>
      <c r="CAN81" s="684"/>
      <c r="CAO81" s="684"/>
      <c r="CAP81" s="684"/>
      <c r="CAQ81" s="684"/>
      <c r="CAR81" s="684"/>
      <c r="CAS81" s="684"/>
      <c r="CAT81" s="684"/>
      <c r="CAU81" s="684"/>
      <c r="CAV81" s="684"/>
      <c r="CAW81" s="684"/>
      <c r="CAX81" s="684"/>
      <c r="CAY81" s="684"/>
      <c r="CAZ81" s="684"/>
      <c r="CBA81" s="684"/>
      <c r="CBB81" s="684"/>
      <c r="CBC81" s="684"/>
      <c r="CBD81" s="684"/>
      <c r="CBE81" s="684"/>
      <c r="CBF81" s="684"/>
      <c r="CBG81" s="684"/>
      <c r="CBH81" s="684"/>
      <c r="CBI81" s="684"/>
      <c r="CBJ81" s="684"/>
      <c r="CBK81" s="684"/>
      <c r="CBL81" s="684"/>
      <c r="CBM81" s="684"/>
      <c r="CBN81" s="684"/>
      <c r="CBO81" s="684"/>
      <c r="CBP81" s="684"/>
      <c r="CBQ81" s="684"/>
      <c r="CBR81" s="684"/>
      <c r="CBS81" s="684"/>
      <c r="CBT81" s="684"/>
      <c r="CBU81" s="684"/>
      <c r="CBV81" s="684"/>
      <c r="CBW81" s="684"/>
      <c r="CBX81" s="684"/>
      <c r="CBY81" s="684"/>
      <c r="CBZ81" s="684"/>
      <c r="CCA81" s="684"/>
      <c r="CCB81" s="684"/>
      <c r="CCC81" s="684"/>
      <c r="CCD81" s="684"/>
      <c r="CCE81" s="684"/>
      <c r="CCF81" s="684"/>
      <c r="CCG81" s="684"/>
      <c r="CCH81" s="684"/>
      <c r="CCI81" s="684"/>
      <c r="CCJ81" s="684"/>
      <c r="CCK81" s="684"/>
      <c r="CCL81" s="684"/>
      <c r="CCM81" s="684"/>
      <c r="CCN81" s="684"/>
      <c r="CCO81" s="684"/>
      <c r="CCP81" s="684"/>
      <c r="CCQ81" s="684"/>
      <c r="CCR81" s="684"/>
      <c r="CCS81" s="684"/>
      <c r="CCT81" s="684"/>
      <c r="CCU81" s="684"/>
      <c r="CCV81" s="684"/>
      <c r="CCW81" s="684"/>
      <c r="CCX81" s="684"/>
      <c r="CCY81" s="684"/>
      <c r="CCZ81" s="684"/>
      <c r="CDA81" s="684"/>
      <c r="CDB81" s="684"/>
      <c r="CDC81" s="684"/>
      <c r="CDD81" s="684"/>
      <c r="CDE81" s="684"/>
      <c r="CDF81" s="684"/>
      <c r="CDG81" s="684"/>
      <c r="CDH81" s="684"/>
      <c r="CDI81" s="684"/>
      <c r="CDJ81" s="684"/>
      <c r="CDK81" s="684"/>
      <c r="CDL81" s="684"/>
      <c r="CDM81" s="684"/>
      <c r="CDN81" s="684"/>
      <c r="CDO81" s="684"/>
      <c r="CDP81" s="684"/>
      <c r="CDQ81" s="684"/>
      <c r="CDR81" s="684"/>
      <c r="CDS81" s="684"/>
      <c r="CDT81" s="684"/>
      <c r="CDU81" s="684"/>
      <c r="CDV81" s="684"/>
      <c r="CDW81" s="684"/>
      <c r="CDX81" s="684"/>
      <c r="CDY81" s="684"/>
      <c r="CDZ81" s="684"/>
      <c r="CEA81" s="684"/>
      <c r="CEB81" s="684"/>
      <c r="CEC81" s="684"/>
      <c r="CED81" s="684"/>
      <c r="CEE81" s="684"/>
      <c r="CEF81" s="684"/>
      <c r="CEG81" s="684"/>
      <c r="CEH81" s="684"/>
      <c r="CEI81" s="684"/>
      <c r="CEJ81" s="684"/>
      <c r="CEK81" s="684"/>
      <c r="CEL81" s="684"/>
      <c r="CEM81" s="684"/>
      <c r="CEN81" s="684"/>
      <c r="CEO81" s="684"/>
      <c r="CEP81" s="684"/>
      <c r="CEQ81" s="684"/>
      <c r="CER81" s="684"/>
      <c r="CES81" s="684"/>
      <c r="CET81" s="684"/>
      <c r="CEU81" s="684"/>
      <c r="CEV81" s="684"/>
      <c r="CEW81" s="684"/>
      <c r="CEX81" s="684"/>
      <c r="CEY81" s="684"/>
      <c r="CEZ81" s="684"/>
      <c r="CFA81" s="684"/>
      <c r="CFB81" s="684"/>
      <c r="CFC81" s="684"/>
      <c r="CFD81" s="684"/>
      <c r="CFE81" s="684"/>
      <c r="CFF81" s="684"/>
      <c r="CFG81" s="684"/>
      <c r="CFH81" s="684"/>
      <c r="CFI81" s="684"/>
      <c r="CFJ81" s="684"/>
      <c r="CFK81" s="684"/>
      <c r="CFL81" s="684"/>
      <c r="CFM81" s="684"/>
      <c r="CFN81" s="684"/>
      <c r="CFO81" s="684"/>
      <c r="CFP81" s="684"/>
      <c r="CFQ81" s="684"/>
      <c r="CFR81" s="684"/>
      <c r="CFS81" s="684"/>
      <c r="CFT81" s="684"/>
      <c r="CFU81" s="684"/>
      <c r="CFV81" s="684"/>
      <c r="CFW81" s="684"/>
      <c r="CFX81" s="684"/>
      <c r="CFY81" s="684"/>
      <c r="CFZ81" s="684"/>
      <c r="CGA81" s="684"/>
      <c r="CGB81" s="684"/>
      <c r="CGC81" s="684"/>
      <c r="CGD81" s="684"/>
      <c r="CGE81" s="684"/>
      <c r="CGF81" s="684"/>
      <c r="CGG81" s="684"/>
      <c r="CGH81" s="684"/>
      <c r="CGI81" s="684"/>
      <c r="CGJ81" s="684"/>
      <c r="CGK81" s="684"/>
      <c r="CGL81" s="684"/>
      <c r="CGM81" s="684"/>
      <c r="CGN81" s="684"/>
      <c r="CGO81" s="684"/>
      <c r="CGP81" s="684"/>
      <c r="CGQ81" s="684"/>
      <c r="CGR81" s="684"/>
      <c r="CGS81" s="684"/>
      <c r="CGT81" s="684"/>
      <c r="CGU81" s="684"/>
      <c r="CGV81" s="684"/>
      <c r="CGW81" s="684"/>
      <c r="CGX81" s="684"/>
      <c r="CGY81" s="684"/>
      <c r="CGZ81" s="684"/>
      <c r="CHA81" s="684"/>
      <c r="CHB81" s="684"/>
      <c r="CHC81" s="684"/>
      <c r="CHD81" s="684"/>
      <c r="CHE81" s="684"/>
      <c r="CHF81" s="684"/>
      <c r="CHG81" s="684"/>
      <c r="CHH81" s="684"/>
      <c r="CHI81" s="684"/>
      <c r="CHJ81" s="684"/>
      <c r="CHK81" s="684"/>
      <c r="CHL81" s="684"/>
      <c r="CHM81" s="684"/>
      <c r="CHN81" s="684"/>
      <c r="CHO81" s="684"/>
      <c r="CHP81" s="684"/>
      <c r="CHQ81" s="684"/>
      <c r="CHR81" s="684"/>
      <c r="CHS81" s="684"/>
      <c r="CHT81" s="684"/>
      <c r="CHU81" s="684"/>
      <c r="CHV81" s="684"/>
      <c r="CHW81" s="684"/>
      <c r="CHX81" s="684"/>
      <c r="CHY81" s="684"/>
      <c r="CHZ81" s="684"/>
      <c r="CIA81" s="684"/>
      <c r="CIB81" s="684"/>
      <c r="CIC81" s="684"/>
      <c r="CID81" s="684"/>
      <c r="CIE81" s="684"/>
      <c r="CIF81" s="684"/>
      <c r="CIG81" s="684"/>
      <c r="CIH81" s="684"/>
      <c r="CII81" s="684"/>
      <c r="CIJ81" s="684"/>
      <c r="CIK81" s="684"/>
      <c r="CIL81" s="684"/>
      <c r="CIM81" s="684"/>
      <c r="CIN81" s="684"/>
      <c r="CIO81" s="684"/>
      <c r="CIP81" s="684"/>
      <c r="CIQ81" s="684"/>
      <c r="CIR81" s="684"/>
      <c r="CIS81" s="684"/>
      <c r="CIT81" s="684"/>
      <c r="CIU81" s="684"/>
      <c r="CIV81" s="684"/>
      <c r="CIW81" s="684"/>
      <c r="CIX81" s="684"/>
      <c r="CIY81" s="684"/>
      <c r="CIZ81" s="684"/>
      <c r="CJA81" s="684"/>
      <c r="CJB81" s="684"/>
      <c r="CJC81" s="684"/>
      <c r="CJD81" s="684"/>
      <c r="CJE81" s="684"/>
      <c r="CJF81" s="684"/>
      <c r="CJG81" s="684"/>
      <c r="CJH81" s="684"/>
      <c r="CJI81" s="684"/>
      <c r="CJJ81" s="684"/>
      <c r="CJK81" s="684"/>
      <c r="CJL81" s="684"/>
      <c r="CJM81" s="684"/>
      <c r="CJN81" s="684"/>
      <c r="CJO81" s="684"/>
      <c r="CJP81" s="684"/>
      <c r="CJQ81" s="684"/>
      <c r="CJR81" s="684"/>
      <c r="CJS81" s="684"/>
      <c r="CJT81" s="684"/>
      <c r="CJU81" s="684"/>
      <c r="CJV81" s="684"/>
      <c r="CJW81" s="684"/>
      <c r="CJX81" s="684"/>
      <c r="CJY81" s="684"/>
      <c r="CJZ81" s="684"/>
      <c r="CKA81" s="684"/>
      <c r="CKB81" s="684"/>
      <c r="CKC81" s="684"/>
      <c r="CKD81" s="684"/>
      <c r="CKE81" s="684"/>
      <c r="CKF81" s="684"/>
      <c r="CKG81" s="684"/>
      <c r="CKH81" s="684"/>
      <c r="CKI81" s="684"/>
      <c r="CKJ81" s="684"/>
      <c r="CKK81" s="684"/>
      <c r="CKL81" s="684"/>
      <c r="CKM81" s="684"/>
      <c r="CKN81" s="684"/>
      <c r="CKO81" s="684"/>
      <c r="CKP81" s="684"/>
      <c r="CKQ81" s="684"/>
      <c r="CKR81" s="684"/>
      <c r="CKS81" s="684"/>
      <c r="CKT81" s="684"/>
      <c r="CKU81" s="684"/>
      <c r="CKV81" s="684"/>
      <c r="CKW81" s="684"/>
      <c r="CKX81" s="684"/>
      <c r="CKY81" s="684"/>
      <c r="CKZ81" s="684"/>
      <c r="CLA81" s="684"/>
      <c r="CLB81" s="684"/>
      <c r="CLC81" s="684"/>
      <c r="CLD81" s="684"/>
      <c r="CLE81" s="684"/>
      <c r="CLF81" s="684"/>
      <c r="CLG81" s="684"/>
      <c r="CLH81" s="684"/>
      <c r="CLI81" s="684"/>
      <c r="CLJ81" s="684"/>
      <c r="CLK81" s="684"/>
      <c r="CLL81" s="684"/>
      <c r="CLM81" s="684"/>
      <c r="CLN81" s="684"/>
      <c r="CLO81" s="684"/>
      <c r="CLP81" s="684"/>
      <c r="CLQ81" s="684"/>
      <c r="CLR81" s="684"/>
      <c r="CLS81" s="684"/>
      <c r="CLT81" s="684"/>
      <c r="CLU81" s="684"/>
      <c r="CLV81" s="684"/>
      <c r="CLW81" s="684"/>
      <c r="CLX81" s="684"/>
      <c r="CLY81" s="684"/>
      <c r="CLZ81" s="684"/>
      <c r="CMA81" s="684"/>
      <c r="CMB81" s="684"/>
      <c r="CMC81" s="684"/>
      <c r="CMD81" s="684"/>
      <c r="CME81" s="684"/>
      <c r="CMF81" s="684"/>
      <c r="CMG81" s="684"/>
      <c r="CMH81" s="684"/>
      <c r="CMI81" s="684"/>
      <c r="CMJ81" s="684"/>
      <c r="CMK81" s="684"/>
      <c r="CML81" s="684"/>
      <c r="CMM81" s="684"/>
      <c r="CMN81" s="684"/>
      <c r="CMO81" s="684"/>
      <c r="CMP81" s="684"/>
      <c r="CMQ81" s="684"/>
      <c r="CMR81" s="684"/>
      <c r="CMS81" s="684"/>
      <c r="CMT81" s="684"/>
      <c r="CMU81" s="684"/>
      <c r="CMV81" s="684"/>
      <c r="CMW81" s="684"/>
      <c r="CMX81" s="684"/>
      <c r="CMY81" s="684"/>
      <c r="CMZ81" s="684"/>
      <c r="CNA81" s="684"/>
      <c r="CNB81" s="684"/>
      <c r="CNC81" s="684"/>
      <c r="CND81" s="684"/>
      <c r="CNE81" s="684"/>
      <c r="CNF81" s="684"/>
      <c r="CNG81" s="684"/>
      <c r="CNH81" s="684"/>
      <c r="CNI81" s="684"/>
      <c r="CNJ81" s="684"/>
      <c r="CNK81" s="684"/>
      <c r="CNL81" s="684"/>
      <c r="CNM81" s="684"/>
      <c r="CNN81" s="684"/>
      <c r="CNO81" s="684"/>
      <c r="CNP81" s="684"/>
      <c r="CNQ81" s="684"/>
      <c r="CNR81" s="684"/>
      <c r="CNS81" s="684"/>
      <c r="CNT81" s="684"/>
      <c r="CNU81" s="684"/>
      <c r="CNV81" s="684"/>
      <c r="CNW81" s="684"/>
      <c r="CNX81" s="684"/>
      <c r="CNY81" s="684"/>
      <c r="CNZ81" s="684"/>
      <c r="COA81" s="684"/>
      <c r="COB81" s="684"/>
      <c r="COC81" s="684"/>
      <c r="COD81" s="684"/>
      <c r="COE81" s="684"/>
      <c r="COF81" s="684"/>
      <c r="COG81" s="684"/>
      <c r="COH81" s="684"/>
      <c r="COI81" s="684"/>
      <c r="COJ81" s="684"/>
      <c r="COK81" s="684"/>
      <c r="COL81" s="684"/>
      <c r="COM81" s="684"/>
      <c r="CON81" s="684"/>
      <c r="COO81" s="684"/>
      <c r="COP81" s="684"/>
      <c r="COQ81" s="684"/>
      <c r="COR81" s="684"/>
      <c r="COS81" s="684"/>
      <c r="COT81" s="684"/>
      <c r="COU81" s="684"/>
      <c r="COV81" s="684"/>
      <c r="COW81" s="684"/>
      <c r="COX81" s="684"/>
      <c r="COY81" s="684"/>
      <c r="COZ81" s="684"/>
      <c r="CPA81" s="684"/>
      <c r="CPB81" s="684"/>
      <c r="CPC81" s="684"/>
      <c r="CPD81" s="684"/>
      <c r="CPE81" s="684"/>
      <c r="CPF81" s="684"/>
      <c r="CPG81" s="684"/>
      <c r="CPH81" s="684"/>
      <c r="CPI81" s="684"/>
      <c r="CPJ81" s="684"/>
      <c r="CPK81" s="684"/>
      <c r="CPL81" s="684"/>
      <c r="CPM81" s="684"/>
      <c r="CPN81" s="684"/>
      <c r="CPO81" s="684"/>
      <c r="CPP81" s="684"/>
      <c r="CPQ81" s="684"/>
      <c r="CPR81" s="684"/>
      <c r="CPS81" s="684"/>
      <c r="CPT81" s="684"/>
      <c r="CPU81" s="684"/>
      <c r="CPV81" s="684"/>
      <c r="CPW81" s="684"/>
      <c r="CPX81" s="684"/>
      <c r="CPY81" s="684"/>
      <c r="CPZ81" s="684"/>
      <c r="CQA81" s="684"/>
      <c r="CQB81" s="684"/>
      <c r="CQC81" s="684"/>
      <c r="CQD81" s="684"/>
      <c r="CQE81" s="684"/>
      <c r="CQF81" s="684"/>
      <c r="CQG81" s="684"/>
      <c r="CQH81" s="684"/>
      <c r="CQI81" s="684"/>
      <c r="CQJ81" s="684"/>
      <c r="CQK81" s="684"/>
      <c r="CQL81" s="684"/>
      <c r="CQM81" s="684"/>
      <c r="CQN81" s="684"/>
      <c r="CQO81" s="684"/>
      <c r="CQP81" s="684"/>
      <c r="CQQ81" s="684"/>
      <c r="CQR81" s="684"/>
      <c r="CQS81" s="684"/>
      <c r="CQT81" s="684"/>
      <c r="CQU81" s="684"/>
      <c r="CQV81" s="684"/>
      <c r="CQW81" s="684"/>
      <c r="CQX81" s="684"/>
      <c r="CQY81" s="684"/>
      <c r="CQZ81" s="684"/>
      <c r="CRA81" s="684"/>
      <c r="CRB81" s="684"/>
      <c r="CRC81" s="684"/>
      <c r="CRD81" s="684"/>
      <c r="CRE81" s="684"/>
      <c r="CRF81" s="684"/>
      <c r="CRG81" s="684"/>
      <c r="CRH81" s="684"/>
      <c r="CRI81" s="684"/>
      <c r="CRJ81" s="684"/>
      <c r="CRK81" s="684"/>
      <c r="CRL81" s="684"/>
      <c r="CRM81" s="684"/>
      <c r="CRN81" s="684"/>
      <c r="CRO81" s="684"/>
      <c r="CRP81" s="684"/>
      <c r="CRQ81" s="684"/>
      <c r="CRR81" s="684"/>
      <c r="CRS81" s="684"/>
      <c r="CRT81" s="684"/>
      <c r="CRU81" s="684"/>
      <c r="CRV81" s="684"/>
      <c r="CRW81" s="684"/>
      <c r="CRX81" s="684"/>
      <c r="CRY81" s="684"/>
      <c r="CRZ81" s="684"/>
      <c r="CSA81" s="684"/>
      <c r="CSB81" s="684"/>
      <c r="CSC81" s="684"/>
      <c r="CSD81" s="684"/>
      <c r="CSE81" s="684"/>
      <c r="CSF81" s="684"/>
      <c r="CSG81" s="684"/>
      <c r="CSH81" s="684"/>
      <c r="CSI81" s="684"/>
      <c r="CSJ81" s="684"/>
      <c r="CSK81" s="684"/>
      <c r="CSL81" s="684"/>
      <c r="CSM81" s="684"/>
      <c r="CSN81" s="684"/>
      <c r="CSO81" s="684"/>
      <c r="CSP81" s="684"/>
      <c r="CSQ81" s="684"/>
      <c r="CSR81" s="684"/>
      <c r="CSS81" s="684"/>
      <c r="CST81" s="684"/>
      <c r="CSU81" s="684"/>
      <c r="CSV81" s="684"/>
      <c r="CSW81" s="684"/>
      <c r="CSX81" s="684"/>
      <c r="CSY81" s="684"/>
      <c r="CSZ81" s="684"/>
      <c r="CTA81" s="684"/>
      <c r="CTB81" s="684"/>
      <c r="CTC81" s="684"/>
      <c r="CTD81" s="684"/>
      <c r="CTE81" s="684"/>
      <c r="CTF81" s="684"/>
      <c r="CTG81" s="684"/>
      <c r="CTH81" s="684"/>
      <c r="CTI81" s="684"/>
      <c r="CTJ81" s="684"/>
      <c r="CTK81" s="684"/>
      <c r="CTL81" s="684"/>
      <c r="CTM81" s="684"/>
      <c r="CTN81" s="684"/>
      <c r="CTO81" s="684"/>
      <c r="CTP81" s="684"/>
      <c r="CTQ81" s="684"/>
      <c r="CTR81" s="684"/>
      <c r="CTS81" s="684"/>
      <c r="CTT81" s="684"/>
      <c r="CTU81" s="684"/>
      <c r="CTV81" s="684"/>
      <c r="CTW81" s="684"/>
      <c r="CTX81" s="684"/>
      <c r="CTY81" s="684"/>
      <c r="CTZ81" s="684"/>
      <c r="CUA81" s="684"/>
      <c r="CUB81" s="684"/>
      <c r="CUC81" s="684"/>
      <c r="CUD81" s="684"/>
      <c r="CUE81" s="684"/>
      <c r="CUF81" s="684"/>
      <c r="CUG81" s="684"/>
      <c r="CUH81" s="684"/>
      <c r="CUI81" s="684"/>
      <c r="CUJ81" s="684"/>
      <c r="CUK81" s="684"/>
      <c r="CUL81" s="684"/>
      <c r="CUM81" s="684"/>
      <c r="CUN81" s="684"/>
      <c r="CUO81" s="684"/>
      <c r="CUP81" s="684"/>
      <c r="CUQ81" s="684"/>
      <c r="CUR81" s="684"/>
      <c r="CUS81" s="684"/>
      <c r="CUT81" s="684"/>
      <c r="CUU81" s="684"/>
      <c r="CUV81" s="684"/>
      <c r="CUW81" s="684"/>
      <c r="CUX81" s="684"/>
      <c r="CUY81" s="684"/>
      <c r="CUZ81" s="684"/>
      <c r="CVA81" s="684"/>
      <c r="CVB81" s="684"/>
      <c r="CVC81" s="684"/>
      <c r="CVD81" s="684"/>
      <c r="CVE81" s="684"/>
      <c r="CVF81" s="684"/>
      <c r="CVG81" s="684"/>
      <c r="CVH81" s="684"/>
      <c r="CVI81" s="684"/>
      <c r="CVJ81" s="684"/>
      <c r="CVK81" s="684"/>
      <c r="CVL81" s="684"/>
      <c r="CVM81" s="684"/>
      <c r="CVN81" s="684"/>
      <c r="CVO81" s="684"/>
      <c r="CVP81" s="684"/>
      <c r="CVQ81" s="684"/>
      <c r="CVR81" s="684"/>
      <c r="CVS81" s="684"/>
      <c r="CVT81" s="684"/>
      <c r="CVU81" s="684"/>
      <c r="CVV81" s="684"/>
      <c r="CVW81" s="684"/>
      <c r="CVX81" s="684"/>
      <c r="CVY81" s="684"/>
      <c r="CVZ81" s="684"/>
      <c r="CWA81" s="684"/>
      <c r="CWB81" s="684"/>
      <c r="CWC81" s="684"/>
      <c r="CWD81" s="684"/>
      <c r="CWE81" s="684"/>
      <c r="CWF81" s="684"/>
      <c r="CWG81" s="684"/>
      <c r="CWH81" s="684"/>
      <c r="CWI81" s="684"/>
      <c r="CWJ81" s="684"/>
      <c r="CWK81" s="684"/>
      <c r="CWL81" s="684"/>
      <c r="CWM81" s="684"/>
      <c r="CWN81" s="684"/>
      <c r="CWO81" s="684"/>
      <c r="CWP81" s="684"/>
      <c r="CWQ81" s="684"/>
      <c r="CWR81" s="684"/>
      <c r="CWS81" s="684"/>
      <c r="CWT81" s="684"/>
      <c r="CWU81" s="684"/>
      <c r="CWV81" s="684"/>
      <c r="CWW81" s="684"/>
      <c r="CWX81" s="684"/>
      <c r="CWY81" s="684"/>
      <c r="CWZ81" s="684"/>
      <c r="CXA81" s="684"/>
      <c r="CXB81" s="684"/>
      <c r="CXC81" s="684"/>
      <c r="CXD81" s="684"/>
      <c r="CXE81" s="684"/>
      <c r="CXF81" s="684"/>
      <c r="CXG81" s="684"/>
      <c r="CXH81" s="684"/>
      <c r="CXI81" s="684"/>
      <c r="CXJ81" s="684"/>
      <c r="CXK81" s="684"/>
      <c r="CXL81" s="684"/>
      <c r="CXM81" s="684"/>
      <c r="CXN81" s="684"/>
      <c r="CXO81" s="684"/>
      <c r="CXP81" s="684"/>
      <c r="CXQ81" s="684"/>
      <c r="CXR81" s="684"/>
      <c r="CXS81" s="684"/>
      <c r="CXT81" s="684"/>
      <c r="CXU81" s="684"/>
      <c r="CXV81" s="684"/>
      <c r="CXW81" s="684"/>
      <c r="CXX81" s="684"/>
      <c r="CXY81" s="684"/>
      <c r="CXZ81" s="684"/>
      <c r="CYA81" s="684"/>
      <c r="CYB81" s="684"/>
      <c r="CYC81" s="684"/>
      <c r="CYD81" s="684"/>
      <c r="CYE81" s="684"/>
      <c r="CYF81" s="684"/>
      <c r="CYG81" s="684"/>
      <c r="CYH81" s="684"/>
      <c r="CYI81" s="684"/>
      <c r="CYJ81" s="684"/>
      <c r="CYK81" s="684"/>
      <c r="CYL81" s="684"/>
      <c r="CYM81" s="684"/>
      <c r="CYN81" s="684"/>
      <c r="CYO81" s="684"/>
      <c r="CYP81" s="684"/>
      <c r="CYQ81" s="684"/>
      <c r="CYR81" s="684"/>
      <c r="CYS81" s="684"/>
      <c r="CYT81" s="684"/>
      <c r="CYU81" s="684"/>
      <c r="CYV81" s="684"/>
      <c r="CYW81" s="684"/>
      <c r="CYX81" s="684"/>
      <c r="CYY81" s="684"/>
      <c r="CYZ81" s="684"/>
      <c r="CZA81" s="684"/>
      <c r="CZB81" s="684"/>
      <c r="CZC81" s="684"/>
      <c r="CZD81" s="684"/>
      <c r="CZE81" s="684"/>
      <c r="CZF81" s="684"/>
      <c r="CZG81" s="684"/>
      <c r="CZH81" s="684"/>
      <c r="CZI81" s="684"/>
      <c r="CZJ81" s="684"/>
      <c r="CZK81" s="684"/>
      <c r="CZL81" s="684"/>
      <c r="CZM81" s="684"/>
      <c r="CZN81" s="684"/>
      <c r="CZO81" s="684"/>
      <c r="CZP81" s="684"/>
      <c r="CZQ81" s="684"/>
      <c r="CZR81" s="684"/>
      <c r="CZS81" s="684"/>
      <c r="CZT81" s="684"/>
      <c r="CZU81" s="684"/>
      <c r="CZV81" s="684"/>
      <c r="CZW81" s="684"/>
      <c r="CZX81" s="684"/>
      <c r="CZY81" s="684"/>
      <c r="CZZ81" s="684"/>
      <c r="DAA81" s="684"/>
      <c r="DAB81" s="684"/>
      <c r="DAC81" s="684"/>
      <c r="DAD81" s="684"/>
      <c r="DAE81" s="684"/>
      <c r="DAF81" s="684"/>
      <c r="DAG81" s="684"/>
      <c r="DAH81" s="684"/>
      <c r="DAI81" s="684"/>
      <c r="DAJ81" s="684"/>
      <c r="DAK81" s="684"/>
      <c r="DAL81" s="684"/>
      <c r="DAM81" s="684"/>
      <c r="DAN81" s="684"/>
      <c r="DAO81" s="684"/>
      <c r="DAP81" s="684"/>
      <c r="DAQ81" s="684"/>
      <c r="DAR81" s="684"/>
      <c r="DAS81" s="684"/>
      <c r="DAT81" s="684"/>
      <c r="DAU81" s="684"/>
      <c r="DAV81" s="684"/>
      <c r="DAW81" s="684"/>
      <c r="DAX81" s="684"/>
      <c r="DAY81" s="684"/>
      <c r="DAZ81" s="684"/>
      <c r="DBA81" s="684"/>
      <c r="DBB81" s="684"/>
      <c r="DBC81" s="684"/>
      <c r="DBD81" s="684"/>
      <c r="DBE81" s="684"/>
      <c r="DBF81" s="684"/>
      <c r="DBG81" s="684"/>
      <c r="DBH81" s="684"/>
      <c r="DBI81" s="684"/>
      <c r="DBJ81" s="684"/>
      <c r="DBK81" s="684"/>
      <c r="DBL81" s="684"/>
      <c r="DBM81" s="684"/>
      <c r="DBN81" s="684"/>
      <c r="DBO81" s="684"/>
      <c r="DBP81" s="684"/>
      <c r="DBQ81" s="684"/>
      <c r="DBR81" s="684"/>
      <c r="DBS81" s="684"/>
      <c r="DBT81" s="684"/>
      <c r="DBU81" s="684"/>
      <c r="DBV81" s="684"/>
      <c r="DBW81" s="684"/>
      <c r="DBX81" s="684"/>
      <c r="DBY81" s="684"/>
      <c r="DBZ81" s="684"/>
      <c r="DCA81" s="684"/>
      <c r="DCB81" s="684"/>
      <c r="DCC81" s="684"/>
      <c r="DCD81" s="684"/>
      <c r="DCE81" s="684"/>
      <c r="DCF81" s="684"/>
      <c r="DCG81" s="684"/>
      <c r="DCH81" s="684"/>
      <c r="DCI81" s="684"/>
      <c r="DCJ81" s="684"/>
      <c r="DCK81" s="684"/>
      <c r="DCL81" s="684"/>
      <c r="DCM81" s="684"/>
      <c r="DCN81" s="684"/>
      <c r="DCO81" s="684"/>
      <c r="DCP81" s="684"/>
      <c r="DCQ81" s="684"/>
      <c r="DCR81" s="684"/>
      <c r="DCS81" s="684"/>
      <c r="DCT81" s="684"/>
      <c r="DCU81" s="684"/>
      <c r="DCV81" s="684"/>
      <c r="DCW81" s="684"/>
      <c r="DCX81" s="684"/>
      <c r="DCY81" s="684"/>
      <c r="DCZ81" s="684"/>
      <c r="DDA81" s="684"/>
      <c r="DDB81" s="684"/>
      <c r="DDC81" s="684"/>
      <c r="DDD81" s="684"/>
      <c r="DDE81" s="684"/>
      <c r="DDF81" s="684"/>
      <c r="DDG81" s="684"/>
      <c r="DDH81" s="684"/>
      <c r="DDI81" s="684"/>
      <c r="DDJ81" s="684"/>
      <c r="DDK81" s="684"/>
      <c r="DDL81" s="684"/>
      <c r="DDM81" s="684"/>
      <c r="DDN81" s="684"/>
      <c r="DDO81" s="684"/>
      <c r="DDP81" s="684"/>
      <c r="DDQ81" s="684"/>
      <c r="DDR81" s="684"/>
      <c r="DDS81" s="684"/>
      <c r="DDT81" s="684"/>
      <c r="DDU81" s="684"/>
      <c r="DDV81" s="684"/>
      <c r="DDW81" s="684"/>
      <c r="DDX81" s="684"/>
      <c r="DDY81" s="684"/>
      <c r="DDZ81" s="684"/>
      <c r="DEA81" s="684"/>
      <c r="DEB81" s="684"/>
      <c r="DEC81" s="684"/>
      <c r="DED81" s="684"/>
      <c r="DEE81" s="684"/>
      <c r="DEF81" s="684"/>
      <c r="DEG81" s="684"/>
      <c r="DEH81" s="684"/>
      <c r="DEI81" s="684"/>
      <c r="DEJ81" s="684"/>
      <c r="DEK81" s="684"/>
      <c r="DEL81" s="684"/>
      <c r="DEM81" s="684"/>
      <c r="DEN81" s="684"/>
      <c r="DEO81" s="684"/>
      <c r="DEP81" s="684"/>
      <c r="DEQ81" s="684"/>
      <c r="DER81" s="684"/>
      <c r="DES81" s="684"/>
      <c r="DET81" s="684"/>
      <c r="DEU81" s="684"/>
      <c r="DEV81" s="684"/>
      <c r="DEW81" s="684"/>
      <c r="DEX81" s="684"/>
      <c r="DEY81" s="684"/>
      <c r="DEZ81" s="684"/>
      <c r="DFA81" s="684"/>
      <c r="DFB81" s="684"/>
      <c r="DFC81" s="684"/>
      <c r="DFD81" s="684"/>
      <c r="DFE81" s="684"/>
      <c r="DFF81" s="684"/>
      <c r="DFG81" s="684"/>
      <c r="DFH81" s="684"/>
      <c r="DFI81" s="684"/>
      <c r="DFJ81" s="684"/>
      <c r="DFK81" s="684"/>
      <c r="DFL81" s="684"/>
      <c r="DFM81" s="684"/>
      <c r="DFN81" s="684"/>
      <c r="DFO81" s="684"/>
      <c r="DFP81" s="684"/>
      <c r="DFQ81" s="684"/>
      <c r="DFR81" s="684"/>
      <c r="DFS81" s="684"/>
      <c r="DFT81" s="684"/>
      <c r="DFU81" s="684"/>
      <c r="DFV81" s="684"/>
      <c r="DFW81" s="684"/>
      <c r="DFX81" s="684"/>
      <c r="DFY81" s="684"/>
      <c r="DFZ81" s="684"/>
      <c r="DGA81" s="684"/>
      <c r="DGB81" s="684"/>
      <c r="DGC81" s="684"/>
      <c r="DGD81" s="684"/>
      <c r="DGE81" s="684"/>
      <c r="DGF81" s="684"/>
      <c r="DGG81" s="684"/>
      <c r="DGH81" s="684"/>
      <c r="DGI81" s="684"/>
      <c r="DGJ81" s="684"/>
      <c r="DGK81" s="684"/>
      <c r="DGL81" s="684"/>
      <c r="DGM81" s="684"/>
      <c r="DGN81" s="684"/>
      <c r="DGO81" s="684"/>
      <c r="DGP81" s="684"/>
      <c r="DGQ81" s="684"/>
      <c r="DGR81" s="684"/>
      <c r="DGS81" s="684"/>
      <c r="DGT81" s="684"/>
      <c r="DGU81" s="684"/>
      <c r="DGV81" s="684"/>
      <c r="DGW81" s="684"/>
      <c r="DGX81" s="684"/>
      <c r="DGY81" s="684"/>
      <c r="DGZ81" s="684"/>
      <c r="DHA81" s="684"/>
      <c r="DHB81" s="684"/>
      <c r="DHC81" s="684"/>
      <c r="DHD81" s="684"/>
      <c r="DHE81" s="684"/>
      <c r="DHF81" s="684"/>
      <c r="DHG81" s="684"/>
      <c r="DHH81" s="684"/>
      <c r="DHI81" s="684"/>
      <c r="DHJ81" s="684"/>
      <c r="DHK81" s="684"/>
      <c r="DHL81" s="684"/>
      <c r="DHM81" s="684"/>
      <c r="DHN81" s="684"/>
      <c r="DHO81" s="684"/>
      <c r="DHP81" s="684"/>
      <c r="DHQ81" s="684"/>
      <c r="DHR81" s="684"/>
      <c r="DHS81" s="684"/>
      <c r="DHT81" s="684"/>
      <c r="DHU81" s="684"/>
      <c r="DHV81" s="684"/>
      <c r="DHW81" s="684"/>
      <c r="DHX81" s="684"/>
      <c r="DHY81" s="684"/>
      <c r="DHZ81" s="684"/>
      <c r="DIA81" s="684"/>
      <c r="DIB81" s="684"/>
      <c r="DIC81" s="684"/>
      <c r="DID81" s="684"/>
      <c r="DIE81" s="684"/>
      <c r="DIF81" s="684"/>
      <c r="DIG81" s="684"/>
      <c r="DIH81" s="684"/>
      <c r="DII81" s="684"/>
      <c r="DIJ81" s="684"/>
      <c r="DIK81" s="684"/>
      <c r="DIL81" s="684"/>
      <c r="DIM81" s="684"/>
      <c r="DIN81" s="684"/>
      <c r="DIO81" s="684"/>
      <c r="DIP81" s="684"/>
      <c r="DIQ81" s="684"/>
      <c r="DIR81" s="684"/>
      <c r="DIS81" s="684"/>
      <c r="DIT81" s="684"/>
      <c r="DIU81" s="684"/>
      <c r="DIV81" s="684"/>
      <c r="DIW81" s="684"/>
      <c r="DIX81" s="684"/>
      <c r="DIY81" s="684"/>
      <c r="DIZ81" s="684"/>
      <c r="DJA81" s="684"/>
      <c r="DJB81" s="684"/>
      <c r="DJC81" s="684"/>
      <c r="DJD81" s="684"/>
      <c r="DJE81" s="684"/>
      <c r="DJF81" s="684"/>
      <c r="DJG81" s="684"/>
      <c r="DJH81" s="684"/>
      <c r="DJI81" s="684"/>
      <c r="DJJ81" s="684"/>
      <c r="DJK81" s="684"/>
      <c r="DJL81" s="684"/>
      <c r="DJM81" s="684"/>
      <c r="DJN81" s="684"/>
      <c r="DJO81" s="684"/>
      <c r="DJP81" s="684"/>
      <c r="DJQ81" s="684"/>
      <c r="DJR81" s="684"/>
      <c r="DJS81" s="684"/>
      <c r="DJT81" s="684"/>
      <c r="DJU81" s="684"/>
      <c r="DJV81" s="684"/>
      <c r="DJW81" s="684"/>
      <c r="DJX81" s="684"/>
      <c r="DJY81" s="684"/>
      <c r="DJZ81" s="684"/>
      <c r="DKA81" s="684"/>
      <c r="DKB81" s="684"/>
      <c r="DKC81" s="684"/>
      <c r="DKD81" s="684"/>
      <c r="DKE81" s="684"/>
      <c r="DKF81" s="684"/>
      <c r="DKG81" s="684"/>
      <c r="DKH81" s="684"/>
      <c r="DKI81" s="684"/>
      <c r="DKJ81" s="684"/>
      <c r="DKK81" s="684"/>
      <c r="DKL81" s="684"/>
      <c r="DKM81" s="684"/>
      <c r="DKN81" s="684"/>
      <c r="DKO81" s="684"/>
      <c r="DKP81" s="684"/>
      <c r="DKQ81" s="684"/>
      <c r="DKR81" s="684"/>
      <c r="DKS81" s="684"/>
      <c r="DKT81" s="684"/>
      <c r="DKU81" s="684"/>
      <c r="DKV81" s="684"/>
      <c r="DKW81" s="684"/>
      <c r="DKX81" s="684"/>
      <c r="DKY81" s="684"/>
      <c r="DKZ81" s="684"/>
      <c r="DLA81" s="684"/>
      <c r="DLB81" s="684"/>
      <c r="DLC81" s="684"/>
      <c r="DLD81" s="684"/>
      <c r="DLE81" s="684"/>
      <c r="DLF81" s="684"/>
      <c r="DLG81" s="684"/>
      <c r="DLH81" s="684"/>
      <c r="DLI81" s="684"/>
      <c r="DLJ81" s="684"/>
      <c r="DLK81" s="684"/>
      <c r="DLL81" s="684"/>
      <c r="DLM81" s="684"/>
      <c r="DLN81" s="684"/>
      <c r="DLO81" s="684"/>
      <c r="DLP81" s="684"/>
      <c r="DLQ81" s="684"/>
      <c r="DLR81" s="684"/>
      <c r="DLS81" s="684"/>
      <c r="DLT81" s="684"/>
      <c r="DLU81" s="684"/>
      <c r="DLV81" s="684"/>
      <c r="DLW81" s="684"/>
      <c r="DLX81" s="684"/>
      <c r="DLY81" s="684"/>
      <c r="DLZ81" s="684"/>
      <c r="DMA81" s="684"/>
      <c r="DMB81" s="684"/>
      <c r="DMC81" s="684"/>
      <c r="DMD81" s="684"/>
      <c r="DME81" s="684"/>
      <c r="DMF81" s="684"/>
      <c r="DMG81" s="684"/>
      <c r="DMH81" s="684"/>
      <c r="DMI81" s="684"/>
      <c r="DMJ81" s="684"/>
      <c r="DMK81" s="684"/>
      <c r="DML81" s="684"/>
      <c r="DMM81" s="684"/>
      <c r="DMN81" s="684"/>
      <c r="DMO81" s="684"/>
      <c r="DMP81" s="684"/>
      <c r="DMQ81" s="684"/>
      <c r="DMR81" s="684"/>
      <c r="DMS81" s="684"/>
      <c r="DMT81" s="684"/>
      <c r="DMU81" s="684"/>
      <c r="DMV81" s="684"/>
      <c r="DMW81" s="684"/>
      <c r="DMX81" s="684"/>
      <c r="DMY81" s="684"/>
      <c r="DMZ81" s="684"/>
      <c r="DNA81" s="684"/>
      <c r="DNB81" s="684"/>
      <c r="DNC81" s="684"/>
      <c r="DND81" s="684"/>
      <c r="DNE81" s="684"/>
      <c r="DNF81" s="684"/>
      <c r="DNG81" s="684"/>
      <c r="DNH81" s="684"/>
      <c r="DNI81" s="684"/>
      <c r="DNJ81" s="684"/>
      <c r="DNK81" s="684"/>
      <c r="DNL81" s="684"/>
      <c r="DNM81" s="684"/>
      <c r="DNN81" s="684"/>
      <c r="DNO81" s="684"/>
      <c r="DNP81" s="684"/>
      <c r="DNQ81" s="684"/>
      <c r="DNR81" s="684"/>
      <c r="DNS81" s="684"/>
      <c r="DNT81" s="684"/>
      <c r="DNU81" s="684"/>
      <c r="DNV81" s="684"/>
      <c r="DNW81" s="684"/>
      <c r="DNX81" s="684"/>
      <c r="DNY81" s="684"/>
      <c r="DNZ81" s="684"/>
      <c r="DOA81" s="684"/>
      <c r="DOB81" s="684"/>
      <c r="DOC81" s="684"/>
      <c r="DOD81" s="684"/>
      <c r="DOE81" s="684"/>
      <c r="DOF81" s="684"/>
      <c r="DOG81" s="684"/>
      <c r="DOH81" s="684"/>
      <c r="DOI81" s="684"/>
      <c r="DOJ81" s="684"/>
      <c r="DOK81" s="684"/>
      <c r="DOL81" s="684"/>
      <c r="DOM81" s="684"/>
      <c r="DON81" s="684"/>
      <c r="DOO81" s="684"/>
      <c r="DOP81" s="684"/>
      <c r="DOQ81" s="684"/>
      <c r="DOR81" s="684"/>
      <c r="DOS81" s="684"/>
      <c r="DOT81" s="684"/>
      <c r="DOU81" s="684"/>
      <c r="DOV81" s="684"/>
      <c r="DOW81" s="684"/>
      <c r="DOX81" s="684"/>
      <c r="DOY81" s="684"/>
      <c r="DOZ81" s="684"/>
      <c r="DPA81" s="684"/>
      <c r="DPB81" s="684"/>
      <c r="DPC81" s="684"/>
      <c r="DPD81" s="684"/>
      <c r="DPE81" s="684"/>
      <c r="DPF81" s="684"/>
      <c r="DPG81" s="684"/>
      <c r="DPH81" s="684"/>
      <c r="DPI81" s="684"/>
      <c r="DPJ81" s="684"/>
      <c r="DPK81" s="684"/>
      <c r="DPL81" s="684"/>
      <c r="DPM81" s="684"/>
      <c r="DPN81" s="684"/>
      <c r="DPO81" s="684"/>
      <c r="DPP81" s="684"/>
      <c r="DPQ81" s="684"/>
      <c r="DPR81" s="684"/>
      <c r="DPS81" s="684"/>
      <c r="DPT81" s="684"/>
      <c r="DPU81" s="684"/>
      <c r="DPV81" s="684"/>
      <c r="DPW81" s="684"/>
      <c r="DPX81" s="684"/>
      <c r="DPY81" s="684"/>
      <c r="DPZ81" s="684"/>
      <c r="DQA81" s="684"/>
      <c r="DQB81" s="684"/>
      <c r="DQC81" s="684"/>
      <c r="DQD81" s="684"/>
      <c r="DQE81" s="684"/>
      <c r="DQF81" s="684"/>
      <c r="DQG81" s="684"/>
      <c r="DQH81" s="684"/>
      <c r="DQI81" s="684"/>
      <c r="DQJ81" s="684"/>
      <c r="DQK81" s="684"/>
      <c r="DQL81" s="684"/>
      <c r="DQM81" s="684"/>
      <c r="DQN81" s="684"/>
      <c r="DQO81" s="684"/>
      <c r="DQP81" s="684"/>
      <c r="DQQ81" s="684"/>
      <c r="DQR81" s="684"/>
      <c r="DQS81" s="684"/>
      <c r="DQT81" s="684"/>
      <c r="DQU81" s="684"/>
      <c r="DQV81" s="684"/>
      <c r="DQW81" s="684"/>
      <c r="DQX81" s="684"/>
      <c r="DQY81" s="684"/>
      <c r="DQZ81" s="684"/>
      <c r="DRA81" s="684"/>
      <c r="DRB81" s="684"/>
      <c r="DRC81" s="684"/>
      <c r="DRD81" s="684"/>
      <c r="DRE81" s="684"/>
      <c r="DRF81" s="684"/>
      <c r="DRG81" s="684"/>
      <c r="DRH81" s="684"/>
      <c r="DRI81" s="684"/>
      <c r="DRJ81" s="684"/>
      <c r="DRK81" s="684"/>
      <c r="DRL81" s="684"/>
      <c r="DRM81" s="684"/>
      <c r="DRN81" s="684"/>
      <c r="DRO81" s="684"/>
      <c r="DRP81" s="684"/>
      <c r="DRQ81" s="684"/>
      <c r="DRR81" s="684"/>
      <c r="DRS81" s="684"/>
      <c r="DRT81" s="684"/>
      <c r="DRU81" s="684"/>
      <c r="DRV81" s="684"/>
      <c r="DRW81" s="684"/>
      <c r="DRX81" s="684"/>
      <c r="DRY81" s="684"/>
      <c r="DRZ81" s="684"/>
      <c r="DSA81" s="684"/>
      <c r="DSB81" s="684"/>
      <c r="DSC81" s="684"/>
      <c r="DSD81" s="684"/>
      <c r="DSE81" s="684"/>
      <c r="DSF81" s="684"/>
      <c r="DSG81" s="684"/>
      <c r="DSH81" s="684"/>
      <c r="DSI81" s="684"/>
      <c r="DSJ81" s="684"/>
      <c r="DSK81" s="684"/>
      <c r="DSL81" s="684"/>
      <c r="DSM81" s="684"/>
      <c r="DSN81" s="684"/>
      <c r="DSO81" s="684"/>
      <c r="DSP81" s="684"/>
      <c r="DSQ81" s="684"/>
      <c r="DSR81" s="684"/>
      <c r="DSS81" s="684"/>
      <c r="DST81" s="684"/>
      <c r="DSU81" s="684"/>
      <c r="DSV81" s="684"/>
      <c r="DSW81" s="684"/>
      <c r="DSX81" s="684"/>
      <c r="DSY81" s="684"/>
      <c r="DSZ81" s="684"/>
      <c r="DTA81" s="684"/>
      <c r="DTB81" s="684"/>
      <c r="DTC81" s="684"/>
      <c r="DTD81" s="684"/>
      <c r="DTE81" s="684"/>
      <c r="DTF81" s="684"/>
      <c r="DTG81" s="684"/>
      <c r="DTH81" s="684"/>
      <c r="DTI81" s="684"/>
      <c r="DTJ81" s="684"/>
      <c r="DTK81" s="684"/>
      <c r="DTL81" s="684"/>
      <c r="DTM81" s="684"/>
      <c r="DTN81" s="684"/>
      <c r="DTO81" s="684"/>
      <c r="DTP81" s="684"/>
      <c r="DTQ81" s="684"/>
      <c r="DTR81" s="684"/>
      <c r="DTS81" s="684"/>
      <c r="DTT81" s="684"/>
      <c r="DTU81" s="684"/>
      <c r="DTV81" s="684"/>
      <c r="DTW81" s="684"/>
      <c r="DTX81" s="684"/>
      <c r="DTY81" s="684"/>
      <c r="DTZ81" s="684"/>
      <c r="DUA81" s="684"/>
      <c r="DUB81" s="684"/>
      <c r="DUC81" s="684"/>
      <c r="DUD81" s="684"/>
      <c r="DUE81" s="684"/>
      <c r="DUF81" s="684"/>
      <c r="DUG81" s="684"/>
      <c r="DUH81" s="684"/>
      <c r="DUI81" s="684"/>
      <c r="DUJ81" s="684"/>
      <c r="DUK81" s="684"/>
      <c r="DUL81" s="684"/>
      <c r="DUM81" s="684"/>
      <c r="DUN81" s="684"/>
      <c r="DUO81" s="684"/>
      <c r="DUP81" s="684"/>
      <c r="DUQ81" s="684"/>
      <c r="DUR81" s="684"/>
      <c r="DUS81" s="684"/>
      <c r="DUT81" s="684"/>
      <c r="DUU81" s="684"/>
      <c r="DUV81" s="684"/>
      <c r="DUW81" s="684"/>
      <c r="DUX81" s="684"/>
      <c r="DUY81" s="684"/>
      <c r="DUZ81" s="684"/>
      <c r="DVA81" s="684"/>
      <c r="DVB81" s="684"/>
      <c r="DVC81" s="684"/>
      <c r="DVD81" s="684"/>
      <c r="DVE81" s="684"/>
      <c r="DVF81" s="684"/>
      <c r="DVG81" s="684"/>
      <c r="DVH81" s="684"/>
      <c r="DVI81" s="684"/>
      <c r="DVJ81" s="684"/>
      <c r="DVK81" s="684"/>
      <c r="DVL81" s="684"/>
      <c r="DVM81" s="684"/>
      <c r="DVN81" s="684"/>
      <c r="DVO81" s="684"/>
      <c r="DVP81" s="684"/>
      <c r="DVQ81" s="684"/>
      <c r="DVR81" s="684"/>
      <c r="DVS81" s="684"/>
      <c r="DVT81" s="684"/>
      <c r="DVU81" s="684"/>
      <c r="DVV81" s="684"/>
      <c r="DVW81" s="684"/>
      <c r="DVX81" s="684"/>
      <c r="DVY81" s="684"/>
      <c r="DVZ81" s="684"/>
      <c r="DWA81" s="684"/>
      <c r="DWB81" s="684"/>
      <c r="DWC81" s="684"/>
      <c r="DWD81" s="684"/>
      <c r="DWE81" s="684"/>
      <c r="DWF81" s="684"/>
      <c r="DWG81" s="684"/>
      <c r="DWH81" s="684"/>
      <c r="DWI81" s="684"/>
      <c r="DWJ81" s="684"/>
      <c r="DWK81" s="684"/>
      <c r="DWL81" s="684"/>
      <c r="DWM81" s="684"/>
      <c r="DWN81" s="684"/>
      <c r="DWO81" s="684"/>
      <c r="DWP81" s="684"/>
      <c r="DWQ81" s="684"/>
      <c r="DWR81" s="684"/>
      <c r="DWS81" s="684"/>
      <c r="DWT81" s="684"/>
      <c r="DWU81" s="684"/>
      <c r="DWV81" s="684"/>
      <c r="DWW81" s="684"/>
      <c r="DWX81" s="684"/>
      <c r="DWY81" s="684"/>
      <c r="DWZ81" s="684"/>
      <c r="DXA81" s="684"/>
      <c r="DXB81" s="684"/>
      <c r="DXC81" s="684"/>
      <c r="DXD81" s="684"/>
      <c r="DXE81" s="684"/>
      <c r="DXF81" s="684"/>
      <c r="DXG81" s="684"/>
      <c r="DXH81" s="684"/>
      <c r="DXI81" s="684"/>
      <c r="DXJ81" s="684"/>
      <c r="DXK81" s="684"/>
      <c r="DXL81" s="684"/>
      <c r="DXM81" s="684"/>
      <c r="DXN81" s="684"/>
      <c r="DXO81" s="684"/>
      <c r="DXP81" s="684"/>
      <c r="DXQ81" s="684"/>
      <c r="DXR81" s="684"/>
      <c r="DXS81" s="684"/>
      <c r="DXT81" s="684"/>
      <c r="DXU81" s="684"/>
      <c r="DXV81" s="684"/>
      <c r="DXW81" s="684"/>
      <c r="DXX81" s="684"/>
      <c r="DXY81" s="684"/>
      <c r="DXZ81" s="684"/>
      <c r="DYA81" s="684"/>
      <c r="DYB81" s="684"/>
      <c r="DYC81" s="684"/>
      <c r="DYD81" s="684"/>
      <c r="DYE81" s="684"/>
      <c r="DYF81" s="684"/>
      <c r="DYG81" s="684"/>
      <c r="DYH81" s="684"/>
      <c r="DYI81" s="684"/>
      <c r="DYJ81" s="684"/>
      <c r="DYK81" s="684"/>
      <c r="DYL81" s="684"/>
      <c r="DYM81" s="684"/>
      <c r="DYN81" s="684"/>
      <c r="DYO81" s="684"/>
      <c r="DYP81" s="684"/>
      <c r="DYQ81" s="684"/>
      <c r="DYR81" s="684"/>
      <c r="DYS81" s="684"/>
      <c r="DYT81" s="684"/>
      <c r="DYU81" s="684"/>
      <c r="DYV81" s="684"/>
      <c r="DYW81" s="684"/>
      <c r="DYX81" s="684"/>
      <c r="DYY81" s="684"/>
      <c r="DYZ81" s="684"/>
      <c r="DZA81" s="684"/>
      <c r="DZB81" s="684"/>
      <c r="DZC81" s="684"/>
      <c r="DZD81" s="684"/>
      <c r="DZE81" s="684"/>
      <c r="DZF81" s="684"/>
      <c r="DZG81" s="684"/>
      <c r="DZH81" s="684"/>
      <c r="DZI81" s="684"/>
      <c r="DZJ81" s="684"/>
      <c r="DZK81" s="684"/>
      <c r="DZL81" s="684"/>
      <c r="DZM81" s="684"/>
      <c r="DZN81" s="684"/>
      <c r="DZO81" s="684"/>
      <c r="DZP81" s="684"/>
      <c r="DZQ81" s="684"/>
      <c r="DZR81" s="684"/>
      <c r="DZS81" s="684"/>
      <c r="DZT81" s="684"/>
      <c r="DZU81" s="684"/>
      <c r="DZV81" s="684"/>
      <c r="DZW81" s="684"/>
      <c r="DZX81" s="684"/>
      <c r="DZY81" s="684"/>
      <c r="DZZ81" s="684"/>
      <c r="EAA81" s="684"/>
      <c r="EAB81" s="684"/>
      <c r="EAC81" s="684"/>
      <c r="EAD81" s="684"/>
      <c r="EAE81" s="684"/>
      <c r="EAF81" s="684"/>
      <c r="EAG81" s="684"/>
      <c r="EAH81" s="684"/>
      <c r="EAI81" s="684"/>
      <c r="EAJ81" s="684"/>
      <c r="EAK81" s="684"/>
      <c r="EAL81" s="684"/>
      <c r="EAM81" s="684"/>
      <c r="EAN81" s="684"/>
      <c r="EAO81" s="684"/>
      <c r="EAP81" s="684"/>
      <c r="EAQ81" s="684"/>
      <c r="EAR81" s="684"/>
      <c r="EAS81" s="684"/>
      <c r="EAT81" s="684"/>
      <c r="EAU81" s="684"/>
      <c r="EAV81" s="684"/>
      <c r="EAW81" s="684"/>
      <c r="EAX81" s="684"/>
      <c r="EAY81" s="684"/>
      <c r="EAZ81" s="684"/>
      <c r="EBA81" s="684"/>
      <c r="EBB81" s="684"/>
      <c r="EBC81" s="684"/>
      <c r="EBD81" s="684"/>
      <c r="EBE81" s="684"/>
      <c r="EBF81" s="684"/>
      <c r="EBG81" s="684"/>
      <c r="EBH81" s="684"/>
      <c r="EBI81" s="684"/>
      <c r="EBJ81" s="684"/>
      <c r="EBK81" s="684"/>
      <c r="EBL81" s="684"/>
      <c r="EBM81" s="684"/>
      <c r="EBN81" s="684"/>
      <c r="EBO81" s="684"/>
      <c r="EBP81" s="684"/>
      <c r="EBQ81" s="684"/>
      <c r="EBR81" s="684"/>
      <c r="EBS81" s="684"/>
      <c r="EBT81" s="684"/>
      <c r="EBU81" s="684"/>
      <c r="EBV81" s="684"/>
      <c r="EBW81" s="684"/>
      <c r="EBX81" s="684"/>
      <c r="EBY81" s="684"/>
      <c r="EBZ81" s="684"/>
      <c r="ECA81" s="684"/>
      <c r="ECB81" s="684"/>
      <c r="ECC81" s="684"/>
      <c r="ECD81" s="684"/>
      <c r="ECE81" s="684"/>
      <c r="ECF81" s="684"/>
      <c r="ECG81" s="684"/>
      <c r="ECH81" s="684"/>
      <c r="ECI81" s="684"/>
      <c r="ECJ81" s="684"/>
      <c r="ECK81" s="684"/>
      <c r="ECL81" s="684"/>
      <c r="ECM81" s="684"/>
      <c r="ECN81" s="684"/>
      <c r="ECO81" s="684"/>
      <c r="ECP81" s="684"/>
      <c r="ECQ81" s="684"/>
      <c r="ECR81" s="684"/>
      <c r="ECS81" s="684"/>
      <c r="ECT81" s="684"/>
      <c r="ECU81" s="684"/>
      <c r="ECV81" s="684"/>
      <c r="ECW81" s="684"/>
      <c r="ECX81" s="684"/>
      <c r="ECY81" s="684"/>
      <c r="ECZ81" s="684"/>
      <c r="EDA81" s="684"/>
      <c r="EDB81" s="684"/>
      <c r="EDC81" s="684"/>
      <c r="EDD81" s="684"/>
      <c r="EDE81" s="684"/>
      <c r="EDF81" s="684"/>
      <c r="EDG81" s="684"/>
      <c r="EDH81" s="684"/>
      <c r="EDI81" s="684"/>
      <c r="EDJ81" s="684"/>
      <c r="EDK81" s="684"/>
      <c r="EDL81" s="684"/>
      <c r="EDM81" s="684"/>
      <c r="EDN81" s="684"/>
      <c r="EDO81" s="684"/>
      <c r="EDP81" s="684"/>
      <c r="EDQ81" s="684"/>
      <c r="EDR81" s="684"/>
      <c r="EDS81" s="684"/>
      <c r="EDT81" s="684"/>
      <c r="EDU81" s="684"/>
      <c r="EDV81" s="684"/>
      <c r="EDW81" s="684"/>
      <c r="EDX81" s="684"/>
      <c r="EDY81" s="684"/>
      <c r="EDZ81" s="684"/>
      <c r="EEA81" s="684"/>
      <c r="EEB81" s="684"/>
      <c r="EEC81" s="684"/>
      <c r="EED81" s="684"/>
      <c r="EEE81" s="684"/>
      <c r="EEF81" s="684"/>
      <c r="EEG81" s="684"/>
      <c r="EEH81" s="684"/>
      <c r="EEI81" s="684"/>
      <c r="EEJ81" s="684"/>
      <c r="EEK81" s="684"/>
      <c r="EEL81" s="684"/>
      <c r="EEM81" s="684"/>
      <c r="EEN81" s="684"/>
      <c r="EEO81" s="684"/>
      <c r="EEP81" s="684"/>
      <c r="EEQ81" s="684"/>
      <c r="EER81" s="684"/>
      <c r="EES81" s="684"/>
      <c r="EET81" s="684"/>
      <c r="EEU81" s="684"/>
      <c r="EEV81" s="684"/>
      <c r="EEW81" s="684"/>
      <c r="EEX81" s="684"/>
      <c r="EEY81" s="684"/>
      <c r="EEZ81" s="684"/>
      <c r="EFA81" s="684"/>
      <c r="EFB81" s="684"/>
      <c r="EFC81" s="684"/>
      <c r="EFD81" s="684"/>
      <c r="EFE81" s="684"/>
      <c r="EFF81" s="684"/>
      <c r="EFG81" s="684"/>
      <c r="EFH81" s="684"/>
      <c r="EFI81" s="684"/>
      <c r="EFJ81" s="684"/>
      <c r="EFK81" s="684"/>
      <c r="EFL81" s="684"/>
      <c r="EFM81" s="684"/>
      <c r="EFN81" s="684"/>
      <c r="EFO81" s="684"/>
      <c r="EFP81" s="684"/>
      <c r="EFQ81" s="684"/>
      <c r="EFR81" s="684"/>
      <c r="EFS81" s="684"/>
      <c r="EFT81" s="684"/>
      <c r="EFU81" s="684"/>
      <c r="EFV81" s="684"/>
      <c r="EFW81" s="684"/>
      <c r="EFX81" s="684"/>
      <c r="EFY81" s="684"/>
      <c r="EFZ81" s="684"/>
      <c r="EGA81" s="684"/>
      <c r="EGB81" s="684"/>
      <c r="EGC81" s="684"/>
      <c r="EGD81" s="684"/>
      <c r="EGE81" s="684"/>
      <c r="EGF81" s="684"/>
      <c r="EGG81" s="684"/>
      <c r="EGH81" s="684"/>
      <c r="EGI81" s="684"/>
      <c r="EGJ81" s="684"/>
      <c r="EGK81" s="684"/>
      <c r="EGL81" s="684"/>
      <c r="EGM81" s="684"/>
      <c r="EGN81" s="684"/>
      <c r="EGO81" s="684"/>
      <c r="EGP81" s="684"/>
      <c r="EGQ81" s="684"/>
      <c r="EGR81" s="684"/>
      <c r="EGS81" s="684"/>
      <c r="EGT81" s="684"/>
      <c r="EGU81" s="684"/>
      <c r="EGV81" s="684"/>
      <c r="EGW81" s="684"/>
      <c r="EGX81" s="684"/>
      <c r="EGY81" s="684"/>
      <c r="EGZ81" s="684"/>
      <c r="EHA81" s="684"/>
      <c r="EHB81" s="684"/>
      <c r="EHC81" s="684"/>
      <c r="EHD81" s="684"/>
      <c r="EHE81" s="684"/>
      <c r="EHF81" s="684"/>
      <c r="EHG81" s="684"/>
      <c r="EHH81" s="684"/>
      <c r="EHI81" s="684"/>
      <c r="EHJ81" s="684"/>
      <c r="EHK81" s="684"/>
      <c r="EHL81" s="684"/>
      <c r="EHM81" s="684"/>
      <c r="EHN81" s="684"/>
      <c r="EHO81" s="684"/>
      <c r="EHP81" s="684"/>
      <c r="EHQ81" s="684"/>
      <c r="EHR81" s="684"/>
      <c r="EHS81" s="684"/>
      <c r="EHT81" s="684"/>
      <c r="EHU81" s="684"/>
      <c r="EHV81" s="684"/>
      <c r="EHW81" s="684"/>
      <c r="EHX81" s="684"/>
      <c r="EHY81" s="684"/>
      <c r="EHZ81" s="684"/>
      <c r="EIA81" s="684"/>
      <c r="EIB81" s="684"/>
      <c r="EIC81" s="684"/>
      <c r="EID81" s="684"/>
      <c r="EIE81" s="684"/>
      <c r="EIF81" s="684"/>
      <c r="EIG81" s="684"/>
      <c r="EIH81" s="684"/>
      <c r="EII81" s="684"/>
      <c r="EIJ81" s="684"/>
      <c r="EIK81" s="684"/>
      <c r="EIL81" s="684"/>
      <c r="EIM81" s="684"/>
      <c r="EIN81" s="684"/>
      <c r="EIO81" s="684"/>
      <c r="EIP81" s="684"/>
      <c r="EIQ81" s="684"/>
      <c r="EIR81" s="684"/>
      <c r="EIS81" s="684"/>
      <c r="EIT81" s="684"/>
      <c r="EIU81" s="684"/>
      <c r="EIV81" s="684"/>
      <c r="EIW81" s="684"/>
      <c r="EIX81" s="684"/>
      <c r="EIY81" s="684"/>
      <c r="EIZ81" s="684"/>
      <c r="EJA81" s="684"/>
      <c r="EJB81" s="684"/>
      <c r="EJC81" s="684"/>
      <c r="EJD81" s="684"/>
      <c r="EJE81" s="684"/>
      <c r="EJF81" s="684"/>
      <c r="EJG81" s="684"/>
      <c r="EJH81" s="684"/>
      <c r="EJI81" s="684"/>
      <c r="EJJ81" s="684"/>
      <c r="EJK81" s="684"/>
      <c r="EJL81" s="684"/>
      <c r="EJM81" s="684"/>
      <c r="EJN81" s="684"/>
      <c r="EJO81" s="684"/>
      <c r="EJP81" s="684"/>
      <c r="EJQ81" s="684"/>
      <c r="EJR81" s="684"/>
      <c r="EJS81" s="684"/>
      <c r="EJT81" s="684"/>
      <c r="EJU81" s="684"/>
      <c r="EJV81" s="684"/>
      <c r="EJW81" s="684"/>
      <c r="EJX81" s="684"/>
      <c r="EJY81" s="684"/>
      <c r="EJZ81" s="684"/>
      <c r="EKA81" s="684"/>
      <c r="EKB81" s="684"/>
      <c r="EKC81" s="684"/>
      <c r="EKD81" s="684"/>
      <c r="EKE81" s="684"/>
      <c r="EKF81" s="684"/>
      <c r="EKG81" s="684"/>
      <c r="EKH81" s="684"/>
      <c r="EKI81" s="684"/>
      <c r="EKJ81" s="684"/>
      <c r="EKK81" s="684"/>
      <c r="EKL81" s="684"/>
      <c r="EKM81" s="684"/>
      <c r="EKN81" s="684"/>
      <c r="EKO81" s="684"/>
      <c r="EKP81" s="684"/>
      <c r="EKQ81" s="684"/>
      <c r="EKR81" s="684"/>
      <c r="EKS81" s="684"/>
      <c r="EKT81" s="684"/>
      <c r="EKU81" s="684"/>
      <c r="EKV81" s="684"/>
      <c r="EKW81" s="684"/>
      <c r="EKX81" s="684"/>
      <c r="EKY81" s="684"/>
      <c r="EKZ81" s="684"/>
      <c r="ELA81" s="684"/>
      <c r="ELB81" s="684"/>
      <c r="ELC81" s="684"/>
      <c r="ELD81" s="684"/>
      <c r="ELE81" s="684"/>
      <c r="ELF81" s="684"/>
      <c r="ELG81" s="684"/>
      <c r="ELH81" s="684"/>
      <c r="ELI81" s="684"/>
      <c r="ELJ81" s="684"/>
      <c r="ELK81" s="684"/>
      <c r="ELL81" s="684"/>
      <c r="ELM81" s="684"/>
      <c r="ELN81" s="684"/>
      <c r="ELO81" s="684"/>
      <c r="ELP81" s="684"/>
      <c r="ELQ81" s="684"/>
      <c r="ELR81" s="684"/>
      <c r="ELS81" s="684"/>
      <c r="ELT81" s="684"/>
      <c r="ELU81" s="684"/>
      <c r="ELV81" s="684"/>
      <c r="ELW81" s="684"/>
      <c r="ELX81" s="684"/>
      <c r="ELY81" s="684"/>
      <c r="ELZ81" s="684"/>
      <c r="EMA81" s="684"/>
      <c r="EMB81" s="684"/>
      <c r="EMC81" s="684"/>
      <c r="EMD81" s="684"/>
      <c r="EME81" s="684"/>
      <c r="EMF81" s="684"/>
      <c r="EMG81" s="684"/>
      <c r="EMH81" s="684"/>
      <c r="EMI81" s="684"/>
      <c r="EMJ81" s="684"/>
      <c r="EMK81" s="684"/>
      <c r="EML81" s="684"/>
      <c r="EMM81" s="684"/>
      <c r="EMN81" s="684"/>
      <c r="EMO81" s="684"/>
      <c r="EMP81" s="684"/>
      <c r="EMQ81" s="684"/>
      <c r="EMR81" s="684"/>
      <c r="EMS81" s="684"/>
      <c r="EMT81" s="684"/>
      <c r="EMU81" s="684"/>
      <c r="EMV81" s="684"/>
      <c r="EMW81" s="684"/>
      <c r="EMX81" s="684"/>
      <c r="EMY81" s="684"/>
      <c r="EMZ81" s="684"/>
      <c r="ENA81" s="684"/>
      <c r="ENB81" s="684"/>
      <c r="ENC81" s="684"/>
      <c r="END81" s="684"/>
      <c r="ENE81" s="684"/>
      <c r="ENF81" s="684"/>
      <c r="ENG81" s="684"/>
      <c r="ENH81" s="684"/>
      <c r="ENI81" s="684"/>
      <c r="ENJ81" s="684"/>
      <c r="ENK81" s="684"/>
      <c r="ENL81" s="684"/>
      <c r="ENM81" s="684"/>
      <c r="ENN81" s="684"/>
      <c r="ENO81" s="684"/>
      <c r="ENP81" s="684"/>
      <c r="ENQ81" s="684"/>
      <c r="ENR81" s="684"/>
      <c r="ENS81" s="684"/>
      <c r="ENT81" s="684"/>
      <c r="ENU81" s="684"/>
      <c r="ENV81" s="684"/>
      <c r="ENW81" s="684"/>
      <c r="ENX81" s="684"/>
      <c r="ENY81" s="684"/>
      <c r="ENZ81" s="684"/>
      <c r="EOA81" s="684"/>
      <c r="EOB81" s="684"/>
      <c r="EOC81" s="684"/>
      <c r="EOD81" s="684"/>
      <c r="EOE81" s="684"/>
      <c r="EOF81" s="684"/>
      <c r="EOG81" s="684"/>
      <c r="EOH81" s="684"/>
      <c r="EOI81" s="684"/>
      <c r="EOJ81" s="684"/>
      <c r="EOK81" s="684"/>
      <c r="EOL81" s="684"/>
      <c r="EOM81" s="684"/>
      <c r="EON81" s="684"/>
      <c r="EOO81" s="684"/>
      <c r="EOP81" s="684"/>
      <c r="EOQ81" s="684"/>
      <c r="EOR81" s="684"/>
      <c r="EOS81" s="684"/>
      <c r="EOT81" s="684"/>
      <c r="EOU81" s="684"/>
      <c r="EOV81" s="684"/>
      <c r="EOW81" s="684"/>
      <c r="EOX81" s="684"/>
      <c r="EOY81" s="684"/>
      <c r="EOZ81" s="684"/>
      <c r="EPA81" s="684"/>
      <c r="EPB81" s="684"/>
      <c r="EPC81" s="684"/>
      <c r="EPD81" s="684"/>
      <c r="EPE81" s="684"/>
      <c r="EPF81" s="684"/>
      <c r="EPG81" s="684"/>
      <c r="EPH81" s="684"/>
      <c r="EPI81" s="684"/>
      <c r="EPJ81" s="684"/>
      <c r="EPK81" s="684"/>
      <c r="EPL81" s="684"/>
      <c r="EPM81" s="684"/>
      <c r="EPN81" s="684"/>
      <c r="EPO81" s="684"/>
      <c r="EPP81" s="684"/>
      <c r="EPQ81" s="684"/>
      <c r="EPR81" s="684"/>
      <c r="EPS81" s="684"/>
      <c r="EPT81" s="684"/>
      <c r="EPU81" s="684"/>
      <c r="EPV81" s="684"/>
      <c r="EPW81" s="684"/>
      <c r="EPX81" s="684"/>
      <c r="EPY81" s="684"/>
      <c r="EPZ81" s="684"/>
      <c r="EQA81" s="684"/>
      <c r="EQB81" s="684"/>
      <c r="EQC81" s="684"/>
      <c r="EQD81" s="684"/>
      <c r="EQE81" s="684"/>
      <c r="EQF81" s="684"/>
      <c r="EQG81" s="684"/>
      <c r="EQH81" s="684"/>
      <c r="EQI81" s="684"/>
      <c r="EQJ81" s="684"/>
      <c r="EQK81" s="684"/>
      <c r="EQL81" s="684"/>
      <c r="EQM81" s="684"/>
      <c r="EQN81" s="684"/>
      <c r="EQO81" s="684"/>
      <c r="EQP81" s="684"/>
      <c r="EQQ81" s="684"/>
      <c r="EQR81" s="684"/>
      <c r="EQS81" s="684"/>
      <c r="EQT81" s="684"/>
      <c r="EQU81" s="684"/>
      <c r="EQV81" s="684"/>
      <c r="EQW81" s="684"/>
      <c r="EQX81" s="684"/>
      <c r="EQY81" s="684"/>
      <c r="EQZ81" s="684"/>
      <c r="ERA81" s="684"/>
      <c r="ERB81" s="684"/>
      <c r="ERC81" s="684"/>
      <c r="ERD81" s="684"/>
      <c r="ERE81" s="684"/>
      <c r="ERF81" s="684"/>
      <c r="ERG81" s="684"/>
      <c r="ERH81" s="684"/>
      <c r="ERI81" s="684"/>
      <c r="ERJ81" s="684"/>
      <c r="ERK81" s="684"/>
      <c r="ERL81" s="684"/>
      <c r="ERM81" s="684"/>
      <c r="ERN81" s="684"/>
      <c r="ERO81" s="684"/>
      <c r="ERP81" s="684"/>
      <c r="ERQ81" s="684"/>
      <c r="ERR81" s="684"/>
      <c r="ERS81" s="684"/>
      <c r="ERT81" s="684"/>
      <c r="ERU81" s="684"/>
      <c r="ERV81" s="684"/>
      <c r="ERW81" s="684"/>
      <c r="ERX81" s="684"/>
      <c r="ERY81" s="684"/>
      <c r="ERZ81" s="684"/>
      <c r="ESA81" s="684"/>
      <c r="ESB81" s="684"/>
      <c r="ESC81" s="684"/>
      <c r="ESD81" s="684"/>
      <c r="ESE81" s="684"/>
      <c r="ESF81" s="684"/>
      <c r="ESG81" s="684"/>
      <c r="ESH81" s="684"/>
      <c r="ESI81" s="684"/>
      <c r="ESJ81" s="684"/>
      <c r="ESK81" s="684"/>
      <c r="ESL81" s="684"/>
      <c r="ESM81" s="684"/>
      <c r="ESN81" s="684"/>
      <c r="ESO81" s="684"/>
      <c r="ESP81" s="684"/>
      <c r="ESQ81" s="684"/>
      <c r="ESR81" s="684"/>
      <c r="ESS81" s="684"/>
      <c r="EST81" s="684"/>
      <c r="ESU81" s="684"/>
      <c r="ESV81" s="684"/>
      <c r="ESW81" s="684"/>
      <c r="ESX81" s="684"/>
      <c r="ESY81" s="684"/>
      <c r="ESZ81" s="684"/>
      <c r="ETA81" s="684"/>
      <c r="ETB81" s="684"/>
      <c r="ETC81" s="684"/>
      <c r="ETD81" s="684"/>
      <c r="ETE81" s="684"/>
      <c r="ETF81" s="684"/>
      <c r="ETG81" s="684"/>
      <c r="ETH81" s="684"/>
      <c r="ETI81" s="684"/>
      <c r="ETJ81" s="684"/>
      <c r="ETK81" s="684"/>
      <c r="ETL81" s="684"/>
      <c r="ETM81" s="684"/>
      <c r="ETN81" s="684"/>
      <c r="ETO81" s="684"/>
      <c r="ETP81" s="684"/>
      <c r="ETQ81" s="684"/>
      <c r="ETR81" s="684"/>
      <c r="ETS81" s="684"/>
      <c r="ETT81" s="684"/>
      <c r="ETU81" s="684"/>
      <c r="ETV81" s="684"/>
      <c r="ETW81" s="684"/>
      <c r="ETX81" s="684"/>
      <c r="ETY81" s="684"/>
      <c r="ETZ81" s="684"/>
      <c r="EUA81" s="684"/>
      <c r="EUB81" s="684"/>
      <c r="EUC81" s="684"/>
      <c r="EUD81" s="684"/>
      <c r="EUE81" s="684"/>
      <c r="EUF81" s="684"/>
      <c r="EUG81" s="684"/>
      <c r="EUH81" s="684"/>
      <c r="EUI81" s="684"/>
      <c r="EUJ81" s="684"/>
      <c r="EUK81" s="684"/>
      <c r="EUL81" s="684"/>
      <c r="EUM81" s="684"/>
      <c r="EUN81" s="684"/>
      <c r="EUO81" s="684"/>
      <c r="EUP81" s="684"/>
      <c r="EUQ81" s="684"/>
      <c r="EUR81" s="684"/>
      <c r="EUS81" s="684"/>
      <c r="EUT81" s="684"/>
      <c r="EUU81" s="684"/>
      <c r="EUV81" s="684"/>
      <c r="EUW81" s="684"/>
      <c r="EUX81" s="684"/>
      <c r="EUY81" s="684"/>
      <c r="EUZ81" s="684"/>
      <c r="EVA81" s="684"/>
      <c r="EVB81" s="684"/>
      <c r="EVC81" s="684"/>
      <c r="EVD81" s="684"/>
      <c r="EVE81" s="684"/>
      <c r="EVF81" s="684"/>
      <c r="EVG81" s="684"/>
      <c r="EVH81" s="684"/>
      <c r="EVI81" s="684"/>
      <c r="EVJ81" s="684"/>
      <c r="EVK81" s="684"/>
      <c r="EVL81" s="684"/>
      <c r="EVM81" s="684"/>
      <c r="EVN81" s="684"/>
      <c r="EVO81" s="684"/>
      <c r="EVP81" s="684"/>
      <c r="EVQ81" s="684"/>
      <c r="EVR81" s="684"/>
      <c r="EVS81" s="684"/>
      <c r="EVT81" s="684"/>
      <c r="EVU81" s="684"/>
      <c r="EVV81" s="684"/>
      <c r="EVW81" s="684"/>
      <c r="EVX81" s="684"/>
      <c r="EVY81" s="684"/>
      <c r="EVZ81" s="684"/>
      <c r="EWA81" s="684"/>
      <c r="EWB81" s="684"/>
      <c r="EWC81" s="684"/>
      <c r="EWD81" s="684"/>
      <c r="EWE81" s="684"/>
      <c r="EWF81" s="684"/>
      <c r="EWG81" s="684"/>
      <c r="EWH81" s="684"/>
      <c r="EWI81" s="684"/>
      <c r="EWJ81" s="684"/>
      <c r="EWK81" s="684"/>
      <c r="EWL81" s="684"/>
      <c r="EWM81" s="684"/>
      <c r="EWN81" s="684"/>
      <c r="EWO81" s="684"/>
      <c r="EWP81" s="684"/>
      <c r="EWQ81" s="684"/>
      <c r="EWR81" s="684"/>
      <c r="EWS81" s="684"/>
      <c r="EWT81" s="684"/>
      <c r="EWU81" s="684"/>
      <c r="EWV81" s="684"/>
      <c r="EWW81" s="684"/>
      <c r="EWX81" s="684"/>
      <c r="EWY81" s="684"/>
      <c r="EWZ81" s="684"/>
      <c r="EXA81" s="684"/>
      <c r="EXB81" s="684"/>
      <c r="EXC81" s="684"/>
      <c r="EXD81" s="684"/>
      <c r="EXE81" s="684"/>
      <c r="EXF81" s="684"/>
      <c r="EXG81" s="684"/>
      <c r="EXH81" s="684"/>
      <c r="EXI81" s="684"/>
      <c r="EXJ81" s="684"/>
      <c r="EXK81" s="684"/>
      <c r="EXL81" s="684"/>
      <c r="EXM81" s="684"/>
      <c r="EXN81" s="684"/>
      <c r="EXO81" s="684"/>
      <c r="EXP81" s="684"/>
      <c r="EXQ81" s="684"/>
      <c r="EXR81" s="684"/>
      <c r="EXS81" s="684"/>
      <c r="EXT81" s="684"/>
      <c r="EXU81" s="684"/>
      <c r="EXV81" s="684"/>
      <c r="EXW81" s="684"/>
      <c r="EXX81" s="684"/>
      <c r="EXY81" s="684"/>
      <c r="EXZ81" s="684"/>
      <c r="EYA81" s="684"/>
      <c r="EYB81" s="684"/>
      <c r="EYC81" s="684"/>
      <c r="EYD81" s="684"/>
      <c r="EYE81" s="684"/>
      <c r="EYF81" s="684"/>
      <c r="EYG81" s="684"/>
      <c r="EYH81" s="684"/>
      <c r="EYI81" s="684"/>
      <c r="EYJ81" s="684"/>
      <c r="EYK81" s="684"/>
      <c r="EYL81" s="684"/>
      <c r="EYM81" s="684"/>
      <c r="EYN81" s="684"/>
      <c r="EYO81" s="684"/>
      <c r="EYP81" s="684"/>
      <c r="EYQ81" s="684"/>
      <c r="EYR81" s="684"/>
      <c r="EYS81" s="684"/>
      <c r="EYT81" s="684"/>
      <c r="EYU81" s="684"/>
      <c r="EYV81" s="684"/>
      <c r="EYW81" s="684"/>
      <c r="EYX81" s="684"/>
      <c r="EYY81" s="684"/>
      <c r="EYZ81" s="684"/>
      <c r="EZA81" s="684"/>
      <c r="EZB81" s="684"/>
      <c r="EZC81" s="684"/>
      <c r="EZD81" s="684"/>
      <c r="EZE81" s="684"/>
      <c r="EZF81" s="684"/>
      <c r="EZG81" s="684"/>
      <c r="EZH81" s="684"/>
      <c r="EZI81" s="684"/>
      <c r="EZJ81" s="684"/>
      <c r="EZK81" s="684"/>
      <c r="EZL81" s="684"/>
      <c r="EZM81" s="684"/>
      <c r="EZN81" s="684"/>
      <c r="EZO81" s="684"/>
      <c r="EZP81" s="684"/>
      <c r="EZQ81" s="684"/>
      <c r="EZR81" s="684"/>
      <c r="EZS81" s="684"/>
      <c r="EZT81" s="684"/>
      <c r="EZU81" s="684"/>
      <c r="EZV81" s="684"/>
      <c r="EZW81" s="684"/>
      <c r="EZX81" s="684"/>
      <c r="EZY81" s="684"/>
      <c r="EZZ81" s="684"/>
      <c r="FAA81" s="684"/>
      <c r="FAB81" s="684"/>
      <c r="FAC81" s="684"/>
      <c r="FAD81" s="684"/>
      <c r="FAE81" s="684"/>
      <c r="FAF81" s="684"/>
      <c r="FAG81" s="684"/>
      <c r="FAH81" s="684"/>
      <c r="FAI81" s="684"/>
      <c r="FAJ81" s="684"/>
      <c r="FAK81" s="684"/>
      <c r="FAL81" s="684"/>
      <c r="FAM81" s="684"/>
      <c r="FAN81" s="684"/>
      <c r="FAO81" s="684"/>
      <c r="FAP81" s="684"/>
      <c r="FAQ81" s="684"/>
      <c r="FAR81" s="684"/>
      <c r="FAS81" s="684"/>
      <c r="FAT81" s="684"/>
      <c r="FAU81" s="684"/>
      <c r="FAV81" s="684"/>
      <c r="FAW81" s="684"/>
      <c r="FAX81" s="684"/>
      <c r="FAY81" s="684"/>
      <c r="FAZ81" s="684"/>
      <c r="FBA81" s="684"/>
      <c r="FBB81" s="684"/>
      <c r="FBC81" s="684"/>
      <c r="FBD81" s="684"/>
      <c r="FBE81" s="684"/>
      <c r="FBF81" s="684"/>
      <c r="FBG81" s="684"/>
      <c r="FBH81" s="684"/>
      <c r="FBI81" s="684"/>
      <c r="FBJ81" s="684"/>
      <c r="FBK81" s="684"/>
      <c r="FBL81" s="684"/>
      <c r="FBM81" s="684"/>
      <c r="FBN81" s="684"/>
      <c r="FBO81" s="684"/>
      <c r="FBP81" s="684"/>
      <c r="FBQ81" s="684"/>
      <c r="FBR81" s="684"/>
      <c r="FBS81" s="684"/>
      <c r="FBT81" s="684"/>
      <c r="FBU81" s="684"/>
      <c r="FBV81" s="684"/>
      <c r="FBW81" s="684"/>
      <c r="FBX81" s="684"/>
      <c r="FBY81" s="684"/>
      <c r="FBZ81" s="684"/>
      <c r="FCA81" s="684"/>
      <c r="FCB81" s="684"/>
      <c r="FCC81" s="684"/>
      <c r="FCD81" s="684"/>
      <c r="FCE81" s="684"/>
      <c r="FCF81" s="684"/>
      <c r="FCG81" s="684"/>
      <c r="FCH81" s="684"/>
      <c r="FCI81" s="684"/>
      <c r="FCJ81" s="684"/>
      <c r="FCK81" s="684"/>
      <c r="FCL81" s="684"/>
      <c r="FCM81" s="684"/>
      <c r="FCN81" s="684"/>
      <c r="FCO81" s="684"/>
      <c r="FCP81" s="684"/>
      <c r="FCQ81" s="684"/>
      <c r="FCR81" s="684"/>
      <c r="FCS81" s="684"/>
      <c r="FCT81" s="684"/>
      <c r="FCU81" s="684"/>
      <c r="FCV81" s="684"/>
      <c r="FCW81" s="684"/>
      <c r="FCX81" s="684"/>
      <c r="FCY81" s="684"/>
      <c r="FCZ81" s="684"/>
      <c r="FDA81" s="684"/>
      <c r="FDB81" s="684"/>
      <c r="FDC81" s="684"/>
      <c r="FDD81" s="684"/>
      <c r="FDE81" s="684"/>
      <c r="FDF81" s="684"/>
      <c r="FDG81" s="684"/>
      <c r="FDH81" s="684"/>
      <c r="FDI81" s="684"/>
      <c r="FDJ81" s="684"/>
      <c r="FDK81" s="684"/>
      <c r="FDL81" s="684"/>
      <c r="FDM81" s="684"/>
      <c r="FDN81" s="684"/>
      <c r="FDO81" s="684"/>
      <c r="FDP81" s="684"/>
      <c r="FDQ81" s="684"/>
      <c r="FDR81" s="684"/>
      <c r="FDS81" s="684"/>
      <c r="FDT81" s="684"/>
      <c r="FDU81" s="684"/>
      <c r="FDV81" s="684"/>
      <c r="FDW81" s="684"/>
      <c r="FDX81" s="684"/>
      <c r="FDY81" s="684"/>
      <c r="FDZ81" s="684"/>
      <c r="FEA81" s="684"/>
      <c r="FEB81" s="684"/>
      <c r="FEC81" s="684"/>
      <c r="FED81" s="684"/>
      <c r="FEE81" s="684"/>
      <c r="FEF81" s="684"/>
      <c r="FEG81" s="684"/>
      <c r="FEH81" s="684"/>
      <c r="FEI81" s="684"/>
      <c r="FEJ81" s="684"/>
      <c r="FEK81" s="684"/>
      <c r="FEL81" s="684"/>
      <c r="FEM81" s="684"/>
      <c r="FEN81" s="684"/>
      <c r="FEO81" s="684"/>
      <c r="FEP81" s="684"/>
      <c r="FEQ81" s="684"/>
      <c r="FER81" s="684"/>
      <c r="FES81" s="684"/>
      <c r="FET81" s="684"/>
      <c r="FEU81" s="684"/>
      <c r="FEV81" s="684"/>
      <c r="FEW81" s="684"/>
      <c r="FEX81" s="684"/>
      <c r="FEY81" s="684"/>
      <c r="FEZ81" s="684"/>
      <c r="FFA81" s="684"/>
      <c r="FFB81" s="684"/>
      <c r="FFC81" s="684"/>
      <c r="FFD81" s="684"/>
      <c r="FFE81" s="684"/>
      <c r="FFF81" s="684"/>
      <c r="FFG81" s="684"/>
      <c r="FFH81" s="684"/>
      <c r="FFI81" s="684"/>
      <c r="FFJ81" s="684"/>
      <c r="FFK81" s="684"/>
      <c r="FFL81" s="684"/>
      <c r="FFM81" s="684"/>
      <c r="FFN81" s="684"/>
      <c r="FFO81" s="684"/>
      <c r="FFP81" s="684"/>
      <c r="FFQ81" s="684"/>
      <c r="FFR81" s="684"/>
      <c r="FFS81" s="684"/>
      <c r="FFT81" s="684"/>
      <c r="FFU81" s="684"/>
      <c r="FFV81" s="684"/>
      <c r="FFW81" s="684"/>
      <c r="FFX81" s="684"/>
      <c r="FFY81" s="684"/>
      <c r="FFZ81" s="684"/>
      <c r="FGA81" s="684"/>
      <c r="FGB81" s="684"/>
      <c r="FGC81" s="684"/>
      <c r="FGD81" s="684"/>
      <c r="FGE81" s="684"/>
      <c r="FGF81" s="684"/>
      <c r="FGG81" s="684"/>
      <c r="FGH81" s="684"/>
      <c r="FGI81" s="684"/>
      <c r="FGJ81" s="684"/>
      <c r="FGK81" s="684"/>
      <c r="FGL81" s="684"/>
      <c r="FGM81" s="684"/>
      <c r="FGN81" s="684"/>
      <c r="FGO81" s="684"/>
      <c r="FGP81" s="684"/>
      <c r="FGQ81" s="684"/>
      <c r="FGR81" s="684"/>
      <c r="FGS81" s="684"/>
      <c r="FGT81" s="684"/>
      <c r="FGU81" s="684"/>
      <c r="FGV81" s="684"/>
      <c r="FGW81" s="684"/>
      <c r="FGX81" s="684"/>
      <c r="FGY81" s="684"/>
      <c r="FGZ81" s="684"/>
      <c r="FHA81" s="684"/>
      <c r="FHB81" s="684"/>
      <c r="FHC81" s="684"/>
      <c r="FHD81" s="684"/>
      <c r="FHE81" s="684"/>
      <c r="FHF81" s="684"/>
      <c r="FHG81" s="684"/>
      <c r="FHH81" s="684"/>
      <c r="FHI81" s="684"/>
      <c r="FHJ81" s="684"/>
      <c r="FHK81" s="684"/>
      <c r="FHL81" s="684"/>
      <c r="FHM81" s="684"/>
      <c r="FHN81" s="684"/>
      <c r="FHO81" s="684"/>
      <c r="FHP81" s="684"/>
      <c r="FHQ81" s="684"/>
      <c r="FHR81" s="684"/>
      <c r="FHS81" s="684"/>
      <c r="FHT81" s="684"/>
      <c r="FHU81" s="684"/>
      <c r="FHV81" s="684"/>
      <c r="FHW81" s="684"/>
      <c r="FHX81" s="684"/>
      <c r="FHY81" s="684"/>
      <c r="FHZ81" s="684"/>
      <c r="FIA81" s="684"/>
      <c r="FIB81" s="684"/>
      <c r="FIC81" s="684"/>
      <c r="FID81" s="684"/>
      <c r="FIE81" s="684"/>
      <c r="FIF81" s="684"/>
      <c r="FIG81" s="684"/>
      <c r="FIH81" s="684"/>
      <c r="FII81" s="684"/>
      <c r="FIJ81" s="684"/>
      <c r="FIK81" s="684"/>
      <c r="FIL81" s="684"/>
      <c r="FIM81" s="684"/>
      <c r="FIN81" s="684"/>
      <c r="FIO81" s="684"/>
      <c r="FIP81" s="684"/>
      <c r="FIQ81" s="684"/>
      <c r="FIR81" s="684"/>
      <c r="FIS81" s="684"/>
      <c r="FIT81" s="684"/>
      <c r="FIU81" s="684"/>
      <c r="FIV81" s="684"/>
      <c r="FIW81" s="684"/>
      <c r="FIX81" s="684"/>
      <c r="FIY81" s="684"/>
      <c r="FIZ81" s="684"/>
      <c r="FJA81" s="684"/>
      <c r="FJB81" s="684"/>
      <c r="FJC81" s="684"/>
      <c r="FJD81" s="684"/>
      <c r="FJE81" s="684"/>
      <c r="FJF81" s="684"/>
      <c r="FJG81" s="684"/>
      <c r="FJH81" s="684"/>
      <c r="FJI81" s="684"/>
      <c r="FJJ81" s="684"/>
      <c r="FJK81" s="684"/>
      <c r="FJL81" s="684"/>
      <c r="FJM81" s="684"/>
      <c r="FJN81" s="684"/>
      <c r="FJO81" s="684"/>
      <c r="FJP81" s="684"/>
      <c r="FJQ81" s="684"/>
      <c r="FJR81" s="684"/>
      <c r="FJS81" s="684"/>
      <c r="FJT81" s="684"/>
      <c r="FJU81" s="684"/>
      <c r="FJV81" s="684"/>
      <c r="FJW81" s="684"/>
      <c r="FJX81" s="684"/>
      <c r="FJY81" s="684"/>
      <c r="FJZ81" s="684"/>
      <c r="FKA81" s="684"/>
      <c r="FKB81" s="684"/>
      <c r="FKC81" s="684"/>
      <c r="FKD81" s="684"/>
      <c r="FKE81" s="684"/>
      <c r="FKF81" s="684"/>
      <c r="FKG81" s="684"/>
      <c r="FKH81" s="684"/>
      <c r="FKI81" s="684"/>
      <c r="FKJ81" s="684"/>
      <c r="FKK81" s="684"/>
      <c r="FKL81" s="684"/>
      <c r="FKM81" s="684"/>
      <c r="FKN81" s="684"/>
      <c r="FKO81" s="684"/>
      <c r="FKP81" s="684"/>
      <c r="FKQ81" s="684"/>
      <c r="FKR81" s="684"/>
      <c r="FKS81" s="684"/>
      <c r="FKT81" s="684"/>
      <c r="FKU81" s="684"/>
      <c r="FKV81" s="684"/>
      <c r="FKW81" s="684"/>
      <c r="FKX81" s="684"/>
      <c r="FKY81" s="684"/>
      <c r="FKZ81" s="684"/>
      <c r="FLA81" s="684"/>
      <c r="FLB81" s="684"/>
      <c r="FLC81" s="684"/>
      <c r="FLD81" s="684"/>
      <c r="FLE81" s="684"/>
      <c r="FLF81" s="684"/>
      <c r="FLG81" s="684"/>
      <c r="FLH81" s="684"/>
      <c r="FLI81" s="684"/>
      <c r="FLJ81" s="684"/>
      <c r="FLK81" s="684"/>
      <c r="FLL81" s="684"/>
      <c r="FLM81" s="684"/>
      <c r="FLN81" s="684"/>
      <c r="FLO81" s="684"/>
      <c r="FLP81" s="684"/>
      <c r="FLQ81" s="684"/>
      <c r="FLR81" s="684"/>
      <c r="FLS81" s="684"/>
      <c r="FLT81" s="684"/>
      <c r="FLU81" s="684"/>
      <c r="FLV81" s="684"/>
      <c r="FLW81" s="684"/>
      <c r="FLX81" s="684"/>
      <c r="FLY81" s="684"/>
      <c r="FLZ81" s="684"/>
      <c r="FMA81" s="684"/>
      <c r="FMB81" s="684"/>
      <c r="FMC81" s="684"/>
      <c r="FMD81" s="684"/>
      <c r="FME81" s="684"/>
      <c r="FMF81" s="684"/>
      <c r="FMG81" s="684"/>
      <c r="FMH81" s="684"/>
      <c r="FMI81" s="684"/>
      <c r="FMJ81" s="684"/>
      <c r="FMK81" s="684"/>
      <c r="FML81" s="684"/>
      <c r="FMM81" s="684"/>
      <c r="FMN81" s="684"/>
      <c r="FMO81" s="684"/>
      <c r="FMP81" s="684"/>
      <c r="FMQ81" s="684"/>
      <c r="FMR81" s="684"/>
      <c r="FMS81" s="684"/>
      <c r="FMT81" s="684"/>
      <c r="FMU81" s="684"/>
      <c r="FMV81" s="684"/>
      <c r="FMW81" s="684"/>
      <c r="FMX81" s="684"/>
      <c r="FMY81" s="684"/>
      <c r="FMZ81" s="684"/>
      <c r="FNA81" s="684"/>
      <c r="FNB81" s="684"/>
      <c r="FNC81" s="684"/>
      <c r="FND81" s="684"/>
      <c r="FNE81" s="684"/>
      <c r="FNF81" s="684"/>
      <c r="FNG81" s="684"/>
      <c r="FNH81" s="684"/>
      <c r="FNI81" s="684"/>
      <c r="FNJ81" s="684"/>
      <c r="FNK81" s="684"/>
      <c r="FNL81" s="684"/>
      <c r="FNM81" s="684"/>
      <c r="FNN81" s="684"/>
      <c r="FNO81" s="684"/>
      <c r="FNP81" s="684"/>
      <c r="FNQ81" s="684"/>
      <c r="FNR81" s="684"/>
      <c r="FNS81" s="684"/>
      <c r="FNT81" s="684"/>
      <c r="FNU81" s="684"/>
      <c r="FNV81" s="684"/>
      <c r="FNW81" s="684"/>
      <c r="FNX81" s="684"/>
      <c r="FNY81" s="684"/>
      <c r="FNZ81" s="684"/>
      <c r="FOA81" s="684"/>
      <c r="FOB81" s="684"/>
      <c r="FOC81" s="684"/>
      <c r="FOD81" s="684"/>
      <c r="FOE81" s="684"/>
      <c r="FOF81" s="684"/>
      <c r="FOG81" s="684"/>
      <c r="FOH81" s="684"/>
      <c r="FOI81" s="684"/>
      <c r="FOJ81" s="684"/>
      <c r="FOK81" s="684"/>
      <c r="FOL81" s="684"/>
      <c r="FOM81" s="684"/>
      <c r="FON81" s="684"/>
      <c r="FOO81" s="684"/>
      <c r="FOP81" s="684"/>
      <c r="FOQ81" s="684"/>
      <c r="FOR81" s="684"/>
      <c r="FOS81" s="684"/>
      <c r="FOT81" s="684"/>
      <c r="FOU81" s="684"/>
      <c r="FOV81" s="684"/>
      <c r="FOW81" s="684"/>
      <c r="FOX81" s="684"/>
      <c r="FOY81" s="684"/>
      <c r="FOZ81" s="684"/>
      <c r="FPA81" s="684"/>
      <c r="FPB81" s="684"/>
      <c r="FPC81" s="684"/>
      <c r="FPD81" s="684"/>
      <c r="FPE81" s="684"/>
      <c r="FPF81" s="684"/>
      <c r="FPG81" s="684"/>
      <c r="FPH81" s="684"/>
      <c r="FPI81" s="684"/>
      <c r="FPJ81" s="684"/>
      <c r="FPK81" s="684"/>
      <c r="FPL81" s="684"/>
      <c r="FPM81" s="684"/>
      <c r="FPN81" s="684"/>
      <c r="FPO81" s="684"/>
      <c r="FPP81" s="684"/>
      <c r="FPQ81" s="684"/>
      <c r="FPR81" s="684"/>
      <c r="FPS81" s="684"/>
      <c r="FPT81" s="684"/>
      <c r="FPU81" s="684"/>
      <c r="FPV81" s="684"/>
      <c r="FPW81" s="684"/>
      <c r="FPX81" s="684"/>
      <c r="FPY81" s="684"/>
      <c r="FPZ81" s="684"/>
      <c r="FQA81" s="684"/>
      <c r="FQB81" s="684"/>
      <c r="FQC81" s="684"/>
      <c r="FQD81" s="684"/>
      <c r="FQE81" s="684"/>
      <c r="FQF81" s="684"/>
      <c r="FQG81" s="684"/>
      <c r="FQH81" s="684"/>
      <c r="FQI81" s="684"/>
      <c r="FQJ81" s="684"/>
      <c r="FQK81" s="684"/>
      <c r="FQL81" s="684"/>
      <c r="FQM81" s="684"/>
      <c r="FQN81" s="684"/>
      <c r="FQO81" s="684"/>
      <c r="FQP81" s="684"/>
      <c r="FQQ81" s="684"/>
      <c r="FQR81" s="684"/>
      <c r="FQS81" s="684"/>
      <c r="FQT81" s="684"/>
      <c r="FQU81" s="684"/>
      <c r="FQV81" s="684"/>
      <c r="FQW81" s="684"/>
      <c r="FQX81" s="684"/>
      <c r="FQY81" s="684"/>
      <c r="FQZ81" s="684"/>
      <c r="FRA81" s="684"/>
      <c r="FRB81" s="684"/>
      <c r="FRC81" s="684"/>
      <c r="FRD81" s="684"/>
      <c r="FRE81" s="684"/>
      <c r="FRF81" s="684"/>
      <c r="FRG81" s="684"/>
      <c r="FRH81" s="684"/>
      <c r="FRI81" s="684"/>
      <c r="FRJ81" s="684"/>
      <c r="FRK81" s="684"/>
      <c r="FRL81" s="684"/>
      <c r="FRM81" s="684"/>
      <c r="FRN81" s="684"/>
      <c r="FRO81" s="684"/>
      <c r="FRP81" s="684"/>
      <c r="FRQ81" s="684"/>
      <c r="FRR81" s="684"/>
      <c r="FRS81" s="684"/>
      <c r="FRT81" s="684"/>
      <c r="FRU81" s="684"/>
      <c r="FRV81" s="684"/>
      <c r="FRW81" s="684"/>
      <c r="FRX81" s="684"/>
      <c r="FRY81" s="684"/>
      <c r="FRZ81" s="684"/>
      <c r="FSA81" s="684"/>
      <c r="FSB81" s="684"/>
      <c r="FSC81" s="684"/>
      <c r="FSD81" s="684"/>
      <c r="FSE81" s="684"/>
      <c r="FSF81" s="684"/>
      <c r="FSG81" s="684"/>
      <c r="FSH81" s="684"/>
      <c r="FSI81" s="684"/>
      <c r="FSJ81" s="684"/>
      <c r="FSK81" s="684"/>
      <c r="FSL81" s="684"/>
      <c r="FSM81" s="684"/>
      <c r="FSN81" s="684"/>
      <c r="FSO81" s="684"/>
      <c r="FSP81" s="684"/>
      <c r="FSQ81" s="684"/>
      <c r="FSR81" s="684"/>
      <c r="FSS81" s="684"/>
      <c r="FST81" s="684"/>
      <c r="FSU81" s="684"/>
      <c r="FSV81" s="684"/>
      <c r="FSW81" s="684"/>
      <c r="FSX81" s="684"/>
      <c r="FSY81" s="684"/>
      <c r="FSZ81" s="684"/>
      <c r="FTA81" s="684"/>
      <c r="FTB81" s="684"/>
      <c r="FTC81" s="684"/>
      <c r="FTD81" s="684"/>
      <c r="FTE81" s="684"/>
      <c r="FTF81" s="684"/>
      <c r="FTG81" s="684"/>
      <c r="FTH81" s="684"/>
      <c r="FTI81" s="684"/>
      <c r="FTJ81" s="684"/>
      <c r="FTK81" s="684"/>
      <c r="FTL81" s="684"/>
      <c r="FTM81" s="684"/>
      <c r="FTN81" s="684"/>
      <c r="FTO81" s="684"/>
      <c r="FTP81" s="684"/>
      <c r="FTQ81" s="684"/>
      <c r="FTR81" s="684"/>
      <c r="FTS81" s="684"/>
      <c r="FTT81" s="684"/>
      <c r="FTU81" s="684"/>
      <c r="FTV81" s="684"/>
      <c r="FTW81" s="684"/>
      <c r="FTX81" s="684"/>
      <c r="FTY81" s="684"/>
      <c r="FTZ81" s="684"/>
      <c r="FUA81" s="684"/>
      <c r="FUB81" s="684"/>
      <c r="FUC81" s="684"/>
      <c r="FUD81" s="684"/>
      <c r="FUE81" s="684"/>
      <c r="FUF81" s="684"/>
      <c r="FUG81" s="684"/>
      <c r="FUH81" s="684"/>
      <c r="FUI81" s="684"/>
      <c r="FUJ81" s="684"/>
      <c r="FUK81" s="684"/>
      <c r="FUL81" s="684"/>
      <c r="FUM81" s="684"/>
      <c r="FUN81" s="684"/>
      <c r="FUO81" s="684"/>
      <c r="FUP81" s="684"/>
      <c r="FUQ81" s="684"/>
      <c r="FUR81" s="684"/>
      <c r="FUS81" s="684"/>
      <c r="FUT81" s="684"/>
      <c r="FUU81" s="684"/>
      <c r="FUV81" s="684"/>
      <c r="FUW81" s="684"/>
      <c r="FUX81" s="684"/>
      <c r="FUY81" s="684"/>
      <c r="FUZ81" s="684"/>
      <c r="FVA81" s="684"/>
      <c r="FVB81" s="684"/>
      <c r="FVC81" s="684"/>
      <c r="FVD81" s="684"/>
      <c r="FVE81" s="684"/>
      <c r="FVF81" s="684"/>
      <c r="FVG81" s="684"/>
      <c r="FVH81" s="684"/>
      <c r="FVI81" s="684"/>
      <c r="FVJ81" s="684"/>
      <c r="FVK81" s="684"/>
      <c r="FVL81" s="684"/>
      <c r="FVM81" s="684"/>
      <c r="FVN81" s="684"/>
      <c r="FVO81" s="684"/>
      <c r="FVP81" s="684"/>
      <c r="FVQ81" s="684"/>
      <c r="FVR81" s="684"/>
      <c r="FVS81" s="684"/>
      <c r="FVT81" s="684"/>
      <c r="FVU81" s="684"/>
      <c r="FVV81" s="684"/>
      <c r="FVW81" s="684"/>
      <c r="FVX81" s="684"/>
      <c r="FVY81" s="684"/>
      <c r="FVZ81" s="684"/>
      <c r="FWA81" s="684"/>
      <c r="FWB81" s="684"/>
      <c r="FWC81" s="684"/>
      <c r="FWD81" s="684"/>
      <c r="FWE81" s="684"/>
      <c r="FWF81" s="684"/>
      <c r="FWG81" s="684"/>
      <c r="FWH81" s="684"/>
      <c r="FWI81" s="684"/>
      <c r="FWJ81" s="684"/>
      <c r="FWK81" s="684"/>
      <c r="FWL81" s="684"/>
      <c r="FWM81" s="684"/>
      <c r="FWN81" s="684"/>
      <c r="FWO81" s="684"/>
      <c r="FWP81" s="684"/>
      <c r="FWQ81" s="684"/>
      <c r="FWR81" s="684"/>
      <c r="FWS81" s="684"/>
      <c r="FWT81" s="684"/>
      <c r="FWU81" s="684"/>
      <c r="FWV81" s="684"/>
      <c r="FWW81" s="684"/>
      <c r="FWX81" s="684"/>
      <c r="FWY81" s="684"/>
      <c r="FWZ81" s="684"/>
      <c r="FXA81" s="684"/>
      <c r="FXB81" s="684"/>
      <c r="FXC81" s="684"/>
      <c r="FXD81" s="684"/>
      <c r="FXE81" s="684"/>
      <c r="FXF81" s="684"/>
      <c r="FXG81" s="684"/>
      <c r="FXH81" s="684"/>
      <c r="FXI81" s="684"/>
      <c r="FXJ81" s="684"/>
      <c r="FXK81" s="684"/>
      <c r="FXL81" s="684"/>
      <c r="FXM81" s="684"/>
      <c r="FXN81" s="684"/>
      <c r="FXO81" s="684"/>
      <c r="FXP81" s="684"/>
      <c r="FXQ81" s="684"/>
      <c r="FXR81" s="684"/>
      <c r="FXS81" s="684"/>
      <c r="FXT81" s="684"/>
      <c r="FXU81" s="684"/>
      <c r="FXV81" s="684"/>
      <c r="FXW81" s="684"/>
      <c r="FXX81" s="684"/>
      <c r="FXY81" s="684"/>
      <c r="FXZ81" s="684"/>
      <c r="FYA81" s="684"/>
      <c r="FYB81" s="684"/>
      <c r="FYC81" s="684"/>
      <c r="FYD81" s="684"/>
      <c r="FYE81" s="684"/>
      <c r="FYF81" s="684"/>
      <c r="FYG81" s="684"/>
      <c r="FYH81" s="684"/>
      <c r="FYI81" s="684"/>
      <c r="FYJ81" s="684"/>
      <c r="FYK81" s="684"/>
      <c r="FYL81" s="684"/>
      <c r="FYM81" s="684"/>
      <c r="FYN81" s="684"/>
      <c r="FYO81" s="684"/>
      <c r="FYP81" s="684"/>
      <c r="FYQ81" s="684"/>
      <c r="FYR81" s="684"/>
      <c r="FYS81" s="684"/>
      <c r="FYT81" s="684"/>
      <c r="FYU81" s="684"/>
      <c r="FYV81" s="684"/>
      <c r="FYW81" s="684"/>
      <c r="FYX81" s="684"/>
      <c r="FYY81" s="684"/>
      <c r="FYZ81" s="684"/>
      <c r="FZA81" s="684"/>
      <c r="FZB81" s="684"/>
      <c r="FZC81" s="684"/>
      <c r="FZD81" s="684"/>
      <c r="FZE81" s="684"/>
      <c r="FZF81" s="684"/>
      <c r="FZG81" s="684"/>
      <c r="FZH81" s="684"/>
      <c r="FZI81" s="684"/>
      <c r="FZJ81" s="684"/>
      <c r="FZK81" s="684"/>
      <c r="FZL81" s="684"/>
      <c r="FZM81" s="684"/>
      <c r="FZN81" s="684"/>
      <c r="FZO81" s="684"/>
      <c r="FZP81" s="684"/>
      <c r="FZQ81" s="684"/>
      <c r="FZR81" s="684"/>
      <c r="FZS81" s="684"/>
      <c r="FZT81" s="684"/>
      <c r="FZU81" s="684"/>
      <c r="FZV81" s="684"/>
      <c r="FZW81" s="684"/>
      <c r="FZX81" s="684"/>
      <c r="FZY81" s="684"/>
      <c r="FZZ81" s="684"/>
      <c r="GAA81" s="684"/>
      <c r="GAB81" s="684"/>
      <c r="GAC81" s="684"/>
      <c r="GAD81" s="684"/>
      <c r="GAE81" s="684"/>
      <c r="GAF81" s="684"/>
      <c r="GAG81" s="684"/>
      <c r="GAH81" s="684"/>
      <c r="GAI81" s="684"/>
      <c r="GAJ81" s="684"/>
      <c r="GAK81" s="684"/>
      <c r="GAL81" s="684"/>
      <c r="GAM81" s="684"/>
      <c r="GAN81" s="684"/>
      <c r="GAO81" s="684"/>
      <c r="GAP81" s="684"/>
      <c r="GAQ81" s="684"/>
      <c r="GAR81" s="684"/>
      <c r="GAS81" s="684"/>
      <c r="GAT81" s="684"/>
      <c r="GAU81" s="684"/>
      <c r="GAV81" s="684"/>
      <c r="GAW81" s="684"/>
      <c r="GAX81" s="684"/>
      <c r="GAY81" s="684"/>
      <c r="GAZ81" s="684"/>
      <c r="GBA81" s="684"/>
      <c r="GBB81" s="684"/>
      <c r="GBC81" s="684"/>
      <c r="GBD81" s="684"/>
      <c r="GBE81" s="684"/>
      <c r="GBF81" s="684"/>
      <c r="GBG81" s="684"/>
      <c r="GBH81" s="684"/>
      <c r="GBI81" s="684"/>
      <c r="GBJ81" s="684"/>
      <c r="GBK81" s="684"/>
      <c r="GBL81" s="684"/>
      <c r="GBM81" s="684"/>
      <c r="GBN81" s="684"/>
      <c r="GBO81" s="684"/>
      <c r="GBP81" s="684"/>
      <c r="GBQ81" s="684"/>
      <c r="GBR81" s="684"/>
      <c r="GBS81" s="684"/>
      <c r="GBT81" s="684"/>
      <c r="GBU81" s="684"/>
      <c r="GBV81" s="684"/>
      <c r="GBW81" s="684"/>
      <c r="GBX81" s="684"/>
      <c r="GBY81" s="684"/>
      <c r="GBZ81" s="684"/>
      <c r="GCA81" s="684"/>
      <c r="GCB81" s="684"/>
      <c r="GCC81" s="684"/>
      <c r="GCD81" s="684"/>
      <c r="GCE81" s="684"/>
      <c r="GCF81" s="684"/>
      <c r="GCG81" s="684"/>
      <c r="GCH81" s="684"/>
      <c r="GCI81" s="684"/>
      <c r="GCJ81" s="684"/>
      <c r="GCK81" s="684"/>
      <c r="GCL81" s="684"/>
      <c r="GCM81" s="684"/>
      <c r="GCN81" s="684"/>
      <c r="GCO81" s="684"/>
      <c r="GCP81" s="684"/>
      <c r="GCQ81" s="684"/>
      <c r="GCR81" s="684"/>
      <c r="GCS81" s="684"/>
      <c r="GCT81" s="684"/>
      <c r="GCU81" s="684"/>
      <c r="GCV81" s="684"/>
      <c r="GCW81" s="684"/>
      <c r="GCX81" s="684"/>
      <c r="GCY81" s="684"/>
      <c r="GCZ81" s="684"/>
      <c r="GDA81" s="684"/>
      <c r="GDB81" s="684"/>
      <c r="GDC81" s="684"/>
      <c r="GDD81" s="684"/>
      <c r="GDE81" s="684"/>
      <c r="GDF81" s="684"/>
      <c r="GDG81" s="684"/>
      <c r="GDH81" s="684"/>
      <c r="GDI81" s="684"/>
      <c r="GDJ81" s="684"/>
      <c r="GDK81" s="684"/>
      <c r="GDL81" s="684"/>
      <c r="GDM81" s="684"/>
      <c r="GDN81" s="684"/>
      <c r="GDO81" s="684"/>
      <c r="GDP81" s="684"/>
      <c r="GDQ81" s="684"/>
      <c r="GDR81" s="684"/>
      <c r="GDS81" s="684"/>
      <c r="GDT81" s="684"/>
      <c r="GDU81" s="684"/>
      <c r="GDV81" s="684"/>
      <c r="GDW81" s="684"/>
      <c r="GDX81" s="684"/>
      <c r="GDY81" s="684"/>
      <c r="GDZ81" s="684"/>
      <c r="GEA81" s="684"/>
      <c r="GEB81" s="684"/>
      <c r="GEC81" s="684"/>
      <c r="GED81" s="684"/>
      <c r="GEE81" s="684"/>
      <c r="GEF81" s="684"/>
      <c r="GEG81" s="684"/>
      <c r="GEH81" s="684"/>
      <c r="GEI81" s="684"/>
      <c r="GEJ81" s="684"/>
      <c r="GEK81" s="684"/>
      <c r="GEL81" s="684"/>
      <c r="GEM81" s="684"/>
      <c r="GEN81" s="684"/>
      <c r="GEO81" s="684"/>
      <c r="GEP81" s="684"/>
      <c r="GEQ81" s="684"/>
      <c r="GER81" s="684"/>
      <c r="GES81" s="684"/>
      <c r="GET81" s="684"/>
      <c r="GEU81" s="684"/>
      <c r="GEV81" s="684"/>
      <c r="GEW81" s="684"/>
      <c r="GEX81" s="684"/>
      <c r="GEY81" s="684"/>
      <c r="GEZ81" s="684"/>
      <c r="GFA81" s="684"/>
      <c r="GFB81" s="684"/>
      <c r="GFC81" s="684"/>
      <c r="GFD81" s="684"/>
      <c r="GFE81" s="684"/>
      <c r="GFF81" s="684"/>
      <c r="GFG81" s="684"/>
      <c r="GFH81" s="684"/>
      <c r="GFI81" s="684"/>
      <c r="GFJ81" s="684"/>
      <c r="GFK81" s="684"/>
      <c r="GFL81" s="684"/>
      <c r="GFM81" s="684"/>
      <c r="GFN81" s="684"/>
      <c r="GFO81" s="684"/>
      <c r="GFP81" s="684"/>
      <c r="GFQ81" s="684"/>
      <c r="GFR81" s="684"/>
      <c r="GFS81" s="684"/>
      <c r="GFT81" s="684"/>
      <c r="GFU81" s="684"/>
      <c r="GFV81" s="684"/>
      <c r="GFW81" s="684"/>
      <c r="GFX81" s="684"/>
      <c r="GFY81" s="684"/>
      <c r="GFZ81" s="684"/>
      <c r="GGA81" s="684"/>
      <c r="GGB81" s="684"/>
      <c r="GGC81" s="684"/>
      <c r="GGD81" s="684"/>
      <c r="GGE81" s="684"/>
      <c r="GGF81" s="684"/>
      <c r="GGG81" s="684"/>
      <c r="GGH81" s="684"/>
      <c r="GGI81" s="684"/>
      <c r="GGJ81" s="684"/>
      <c r="GGK81" s="684"/>
      <c r="GGL81" s="684"/>
      <c r="GGM81" s="684"/>
      <c r="GGN81" s="684"/>
      <c r="GGO81" s="684"/>
      <c r="GGP81" s="684"/>
      <c r="GGQ81" s="684"/>
      <c r="GGR81" s="684"/>
      <c r="GGS81" s="684"/>
      <c r="GGT81" s="684"/>
      <c r="GGU81" s="684"/>
      <c r="GGV81" s="684"/>
      <c r="GGW81" s="684"/>
      <c r="GGX81" s="684"/>
      <c r="GGY81" s="684"/>
      <c r="GGZ81" s="684"/>
      <c r="GHA81" s="684"/>
      <c r="GHB81" s="684"/>
      <c r="GHC81" s="684"/>
      <c r="GHD81" s="684"/>
      <c r="GHE81" s="684"/>
      <c r="GHF81" s="684"/>
      <c r="GHG81" s="684"/>
      <c r="GHH81" s="684"/>
      <c r="GHI81" s="684"/>
      <c r="GHJ81" s="684"/>
      <c r="GHK81" s="684"/>
      <c r="GHL81" s="684"/>
      <c r="GHM81" s="684"/>
      <c r="GHN81" s="684"/>
      <c r="GHO81" s="684"/>
      <c r="GHP81" s="684"/>
      <c r="GHQ81" s="684"/>
      <c r="GHR81" s="684"/>
      <c r="GHS81" s="684"/>
      <c r="GHT81" s="684"/>
      <c r="GHU81" s="684"/>
      <c r="GHV81" s="684"/>
      <c r="GHW81" s="684"/>
      <c r="GHX81" s="684"/>
      <c r="GHY81" s="684"/>
      <c r="GHZ81" s="684"/>
      <c r="GIA81" s="684"/>
      <c r="GIB81" s="684"/>
      <c r="GIC81" s="684"/>
      <c r="GID81" s="684"/>
      <c r="GIE81" s="684"/>
      <c r="GIF81" s="684"/>
      <c r="GIG81" s="684"/>
      <c r="GIH81" s="684"/>
      <c r="GII81" s="684"/>
      <c r="GIJ81" s="684"/>
      <c r="GIK81" s="684"/>
      <c r="GIL81" s="684"/>
      <c r="GIM81" s="684"/>
      <c r="GIN81" s="684"/>
      <c r="GIO81" s="684"/>
      <c r="GIP81" s="684"/>
      <c r="GIQ81" s="684"/>
      <c r="GIR81" s="684"/>
      <c r="GIS81" s="684"/>
      <c r="GIT81" s="684"/>
      <c r="GIU81" s="684"/>
      <c r="GIV81" s="684"/>
      <c r="GIW81" s="684"/>
      <c r="GIX81" s="684"/>
      <c r="GIY81" s="684"/>
      <c r="GIZ81" s="684"/>
      <c r="GJA81" s="684"/>
      <c r="GJB81" s="684"/>
      <c r="GJC81" s="684"/>
      <c r="GJD81" s="684"/>
      <c r="GJE81" s="684"/>
      <c r="GJF81" s="684"/>
      <c r="GJG81" s="684"/>
      <c r="GJH81" s="684"/>
      <c r="GJI81" s="684"/>
      <c r="GJJ81" s="684"/>
      <c r="GJK81" s="684"/>
      <c r="GJL81" s="684"/>
      <c r="GJM81" s="684"/>
      <c r="GJN81" s="684"/>
      <c r="GJO81" s="684"/>
      <c r="GJP81" s="684"/>
      <c r="GJQ81" s="684"/>
      <c r="GJR81" s="684"/>
      <c r="GJS81" s="684"/>
      <c r="GJT81" s="684"/>
      <c r="GJU81" s="684"/>
      <c r="GJV81" s="684"/>
      <c r="GJW81" s="684"/>
      <c r="GJX81" s="684"/>
      <c r="GJY81" s="684"/>
      <c r="GJZ81" s="684"/>
      <c r="GKA81" s="684"/>
      <c r="GKB81" s="684"/>
      <c r="GKC81" s="684"/>
      <c r="GKD81" s="684"/>
      <c r="GKE81" s="684"/>
      <c r="GKF81" s="684"/>
      <c r="GKG81" s="684"/>
      <c r="GKH81" s="684"/>
      <c r="GKI81" s="684"/>
      <c r="GKJ81" s="684"/>
      <c r="GKK81" s="684"/>
      <c r="GKL81" s="684"/>
      <c r="GKM81" s="684"/>
      <c r="GKN81" s="684"/>
      <c r="GKO81" s="684"/>
      <c r="GKP81" s="684"/>
      <c r="GKQ81" s="684"/>
      <c r="GKR81" s="684"/>
      <c r="GKS81" s="684"/>
      <c r="GKT81" s="684"/>
      <c r="GKU81" s="684"/>
      <c r="GKV81" s="684"/>
      <c r="GKW81" s="684"/>
      <c r="GKX81" s="684"/>
      <c r="GKY81" s="684"/>
      <c r="GKZ81" s="684"/>
      <c r="GLA81" s="684"/>
      <c r="GLB81" s="684"/>
      <c r="GLC81" s="684"/>
      <c r="GLD81" s="684"/>
      <c r="GLE81" s="684"/>
      <c r="GLF81" s="684"/>
      <c r="GLG81" s="684"/>
      <c r="GLH81" s="684"/>
      <c r="GLI81" s="684"/>
      <c r="GLJ81" s="684"/>
      <c r="GLK81" s="684"/>
      <c r="GLL81" s="684"/>
      <c r="GLM81" s="684"/>
      <c r="GLN81" s="684"/>
      <c r="GLO81" s="684"/>
      <c r="GLP81" s="684"/>
      <c r="GLQ81" s="684"/>
      <c r="GLR81" s="684"/>
      <c r="GLS81" s="684"/>
      <c r="GLT81" s="684"/>
      <c r="GLU81" s="684"/>
      <c r="GLV81" s="684"/>
      <c r="GLW81" s="684"/>
      <c r="GLX81" s="684"/>
      <c r="GLY81" s="684"/>
      <c r="GLZ81" s="684"/>
      <c r="GMA81" s="684"/>
      <c r="GMB81" s="684"/>
      <c r="GMC81" s="684"/>
      <c r="GMD81" s="684"/>
      <c r="GME81" s="684"/>
      <c r="GMF81" s="684"/>
      <c r="GMG81" s="684"/>
      <c r="GMH81" s="684"/>
      <c r="GMI81" s="684"/>
      <c r="GMJ81" s="684"/>
      <c r="GMK81" s="684"/>
      <c r="GML81" s="684"/>
      <c r="GMM81" s="684"/>
      <c r="GMN81" s="684"/>
      <c r="GMO81" s="684"/>
      <c r="GMP81" s="684"/>
      <c r="GMQ81" s="684"/>
      <c r="GMR81" s="684"/>
      <c r="GMS81" s="684"/>
      <c r="GMT81" s="684"/>
      <c r="GMU81" s="684"/>
      <c r="GMV81" s="684"/>
      <c r="GMW81" s="684"/>
      <c r="GMX81" s="684"/>
      <c r="GMY81" s="684"/>
      <c r="GMZ81" s="684"/>
      <c r="GNA81" s="684"/>
      <c r="GNB81" s="684"/>
      <c r="GNC81" s="684"/>
      <c r="GND81" s="684"/>
      <c r="GNE81" s="684"/>
      <c r="GNF81" s="684"/>
      <c r="GNG81" s="684"/>
      <c r="GNH81" s="684"/>
      <c r="GNI81" s="684"/>
      <c r="GNJ81" s="684"/>
      <c r="GNK81" s="684"/>
      <c r="GNL81" s="684"/>
      <c r="GNM81" s="684"/>
      <c r="GNN81" s="684"/>
      <c r="GNO81" s="684"/>
      <c r="GNP81" s="684"/>
      <c r="GNQ81" s="684"/>
      <c r="GNR81" s="684"/>
      <c r="GNS81" s="684"/>
      <c r="GNT81" s="684"/>
      <c r="GNU81" s="684"/>
      <c r="GNV81" s="684"/>
      <c r="GNW81" s="684"/>
      <c r="GNX81" s="684"/>
      <c r="GNY81" s="684"/>
      <c r="GNZ81" s="684"/>
      <c r="GOA81" s="684"/>
      <c r="GOB81" s="684"/>
      <c r="GOC81" s="684"/>
      <c r="GOD81" s="684"/>
      <c r="GOE81" s="684"/>
      <c r="GOF81" s="684"/>
      <c r="GOG81" s="684"/>
      <c r="GOH81" s="684"/>
      <c r="GOI81" s="684"/>
      <c r="GOJ81" s="684"/>
      <c r="GOK81" s="684"/>
      <c r="GOL81" s="684"/>
      <c r="GOM81" s="684"/>
      <c r="GON81" s="684"/>
      <c r="GOO81" s="684"/>
      <c r="GOP81" s="684"/>
      <c r="GOQ81" s="684"/>
      <c r="GOR81" s="684"/>
      <c r="GOS81" s="684"/>
      <c r="GOT81" s="684"/>
      <c r="GOU81" s="684"/>
      <c r="GOV81" s="684"/>
      <c r="GOW81" s="684"/>
      <c r="GOX81" s="684"/>
      <c r="GOY81" s="684"/>
      <c r="GOZ81" s="684"/>
      <c r="GPA81" s="684"/>
      <c r="GPB81" s="684"/>
      <c r="GPC81" s="684"/>
      <c r="GPD81" s="684"/>
      <c r="GPE81" s="684"/>
      <c r="GPF81" s="684"/>
      <c r="GPG81" s="684"/>
      <c r="GPH81" s="684"/>
      <c r="GPI81" s="684"/>
      <c r="GPJ81" s="684"/>
      <c r="GPK81" s="684"/>
      <c r="GPL81" s="684"/>
      <c r="GPM81" s="684"/>
      <c r="GPN81" s="684"/>
      <c r="GPO81" s="684"/>
      <c r="GPP81" s="684"/>
      <c r="GPQ81" s="684"/>
      <c r="GPR81" s="684"/>
      <c r="GPS81" s="684"/>
      <c r="GPT81" s="684"/>
      <c r="GPU81" s="684"/>
      <c r="GPV81" s="684"/>
      <c r="GPW81" s="684"/>
      <c r="GPX81" s="684"/>
      <c r="GPY81" s="684"/>
      <c r="GPZ81" s="684"/>
      <c r="GQA81" s="684"/>
      <c r="GQB81" s="684"/>
      <c r="GQC81" s="684"/>
      <c r="GQD81" s="684"/>
      <c r="GQE81" s="684"/>
      <c r="GQF81" s="684"/>
      <c r="GQG81" s="684"/>
      <c r="GQH81" s="684"/>
      <c r="GQI81" s="684"/>
      <c r="GQJ81" s="684"/>
      <c r="GQK81" s="684"/>
      <c r="GQL81" s="684"/>
      <c r="GQM81" s="684"/>
      <c r="GQN81" s="684"/>
      <c r="GQO81" s="684"/>
      <c r="GQP81" s="684"/>
      <c r="GQQ81" s="684"/>
      <c r="GQR81" s="684"/>
      <c r="GQS81" s="684"/>
      <c r="GQT81" s="684"/>
      <c r="GQU81" s="684"/>
      <c r="GQV81" s="684"/>
      <c r="GQW81" s="684"/>
      <c r="GQX81" s="684"/>
      <c r="GQY81" s="684"/>
      <c r="GQZ81" s="684"/>
      <c r="GRA81" s="684"/>
      <c r="GRB81" s="684"/>
      <c r="GRC81" s="684"/>
      <c r="GRD81" s="684"/>
      <c r="GRE81" s="684"/>
      <c r="GRF81" s="684"/>
      <c r="GRG81" s="684"/>
      <c r="GRH81" s="684"/>
      <c r="GRI81" s="684"/>
      <c r="GRJ81" s="684"/>
      <c r="GRK81" s="684"/>
      <c r="GRL81" s="684"/>
      <c r="GRM81" s="684"/>
      <c r="GRN81" s="684"/>
      <c r="GRO81" s="684"/>
      <c r="GRP81" s="684"/>
      <c r="GRQ81" s="684"/>
      <c r="GRR81" s="684"/>
      <c r="GRS81" s="684"/>
      <c r="GRT81" s="684"/>
      <c r="GRU81" s="684"/>
      <c r="GRV81" s="684"/>
      <c r="GRW81" s="684"/>
      <c r="GRX81" s="684"/>
      <c r="GRY81" s="684"/>
      <c r="GRZ81" s="684"/>
      <c r="GSA81" s="684"/>
      <c r="GSB81" s="684"/>
      <c r="GSC81" s="684"/>
      <c r="GSD81" s="684"/>
      <c r="GSE81" s="684"/>
      <c r="GSF81" s="684"/>
      <c r="GSG81" s="684"/>
      <c r="GSH81" s="684"/>
      <c r="GSI81" s="684"/>
      <c r="GSJ81" s="684"/>
      <c r="GSK81" s="684"/>
      <c r="GSL81" s="684"/>
      <c r="GSM81" s="684"/>
      <c r="GSN81" s="684"/>
      <c r="GSO81" s="684"/>
      <c r="GSP81" s="684"/>
      <c r="GSQ81" s="684"/>
      <c r="GSR81" s="684"/>
      <c r="GSS81" s="684"/>
      <c r="GST81" s="684"/>
      <c r="GSU81" s="684"/>
      <c r="GSV81" s="684"/>
      <c r="GSW81" s="684"/>
      <c r="GSX81" s="684"/>
      <c r="GSY81" s="684"/>
      <c r="GSZ81" s="684"/>
      <c r="GTA81" s="684"/>
      <c r="GTB81" s="684"/>
      <c r="GTC81" s="684"/>
      <c r="GTD81" s="684"/>
      <c r="GTE81" s="684"/>
      <c r="GTF81" s="684"/>
      <c r="GTG81" s="684"/>
      <c r="GTH81" s="684"/>
      <c r="GTI81" s="684"/>
      <c r="GTJ81" s="684"/>
      <c r="GTK81" s="684"/>
      <c r="GTL81" s="684"/>
      <c r="GTM81" s="684"/>
      <c r="GTN81" s="684"/>
      <c r="GTO81" s="684"/>
      <c r="GTP81" s="684"/>
      <c r="GTQ81" s="684"/>
      <c r="GTR81" s="684"/>
      <c r="GTS81" s="684"/>
      <c r="GTT81" s="684"/>
      <c r="GTU81" s="684"/>
      <c r="GTV81" s="684"/>
      <c r="GTW81" s="684"/>
      <c r="GTX81" s="684"/>
      <c r="GTY81" s="684"/>
      <c r="GTZ81" s="684"/>
      <c r="GUA81" s="684"/>
      <c r="GUB81" s="684"/>
      <c r="GUC81" s="684"/>
      <c r="GUD81" s="684"/>
      <c r="GUE81" s="684"/>
      <c r="GUF81" s="684"/>
      <c r="GUG81" s="684"/>
      <c r="GUH81" s="684"/>
      <c r="GUI81" s="684"/>
      <c r="GUJ81" s="684"/>
      <c r="GUK81" s="684"/>
      <c r="GUL81" s="684"/>
      <c r="GUM81" s="684"/>
      <c r="GUN81" s="684"/>
      <c r="GUO81" s="684"/>
      <c r="GUP81" s="684"/>
      <c r="GUQ81" s="684"/>
      <c r="GUR81" s="684"/>
      <c r="GUS81" s="684"/>
      <c r="GUT81" s="684"/>
      <c r="GUU81" s="684"/>
      <c r="GUV81" s="684"/>
      <c r="GUW81" s="684"/>
      <c r="GUX81" s="684"/>
      <c r="GUY81" s="684"/>
      <c r="GUZ81" s="684"/>
      <c r="GVA81" s="684"/>
      <c r="GVB81" s="684"/>
      <c r="GVC81" s="684"/>
      <c r="GVD81" s="684"/>
      <c r="GVE81" s="684"/>
      <c r="GVF81" s="684"/>
      <c r="GVG81" s="684"/>
      <c r="GVH81" s="684"/>
      <c r="GVI81" s="684"/>
      <c r="GVJ81" s="684"/>
      <c r="GVK81" s="684"/>
      <c r="GVL81" s="684"/>
      <c r="GVM81" s="684"/>
      <c r="GVN81" s="684"/>
      <c r="GVO81" s="684"/>
      <c r="GVP81" s="684"/>
      <c r="GVQ81" s="684"/>
      <c r="GVR81" s="684"/>
      <c r="GVS81" s="684"/>
      <c r="GVT81" s="684"/>
      <c r="GVU81" s="684"/>
      <c r="GVV81" s="684"/>
      <c r="GVW81" s="684"/>
      <c r="GVX81" s="684"/>
      <c r="GVY81" s="684"/>
      <c r="GVZ81" s="684"/>
      <c r="GWA81" s="684"/>
      <c r="GWB81" s="684"/>
      <c r="GWC81" s="684"/>
      <c r="GWD81" s="684"/>
      <c r="GWE81" s="684"/>
      <c r="GWF81" s="684"/>
      <c r="GWG81" s="684"/>
      <c r="GWH81" s="684"/>
      <c r="GWI81" s="684"/>
      <c r="GWJ81" s="684"/>
      <c r="GWK81" s="684"/>
      <c r="GWL81" s="684"/>
      <c r="GWM81" s="684"/>
      <c r="GWN81" s="684"/>
      <c r="GWO81" s="684"/>
      <c r="GWP81" s="684"/>
      <c r="GWQ81" s="684"/>
      <c r="GWR81" s="684"/>
      <c r="GWS81" s="684"/>
      <c r="GWT81" s="684"/>
      <c r="GWU81" s="684"/>
      <c r="GWV81" s="684"/>
      <c r="GWW81" s="684"/>
      <c r="GWX81" s="684"/>
      <c r="GWY81" s="684"/>
      <c r="GWZ81" s="684"/>
      <c r="GXA81" s="684"/>
      <c r="GXB81" s="684"/>
      <c r="GXC81" s="684"/>
      <c r="GXD81" s="684"/>
      <c r="GXE81" s="684"/>
      <c r="GXF81" s="684"/>
      <c r="GXG81" s="684"/>
      <c r="GXH81" s="684"/>
      <c r="GXI81" s="684"/>
      <c r="GXJ81" s="684"/>
      <c r="GXK81" s="684"/>
      <c r="GXL81" s="684"/>
      <c r="GXM81" s="684"/>
      <c r="GXN81" s="684"/>
      <c r="GXO81" s="684"/>
      <c r="GXP81" s="684"/>
      <c r="GXQ81" s="684"/>
      <c r="GXR81" s="684"/>
      <c r="GXS81" s="684"/>
      <c r="GXT81" s="684"/>
      <c r="GXU81" s="684"/>
      <c r="GXV81" s="684"/>
      <c r="GXW81" s="684"/>
      <c r="GXX81" s="684"/>
      <c r="GXY81" s="684"/>
      <c r="GXZ81" s="684"/>
      <c r="GYA81" s="684"/>
      <c r="GYB81" s="684"/>
      <c r="GYC81" s="684"/>
      <c r="GYD81" s="684"/>
      <c r="GYE81" s="684"/>
      <c r="GYF81" s="684"/>
      <c r="GYG81" s="684"/>
      <c r="GYH81" s="684"/>
      <c r="GYI81" s="684"/>
      <c r="GYJ81" s="684"/>
      <c r="GYK81" s="684"/>
      <c r="GYL81" s="684"/>
      <c r="GYM81" s="684"/>
      <c r="GYN81" s="684"/>
      <c r="GYO81" s="684"/>
      <c r="GYP81" s="684"/>
      <c r="GYQ81" s="684"/>
      <c r="GYR81" s="684"/>
      <c r="GYS81" s="684"/>
      <c r="GYT81" s="684"/>
      <c r="GYU81" s="684"/>
      <c r="GYV81" s="684"/>
      <c r="GYW81" s="684"/>
      <c r="GYX81" s="684"/>
      <c r="GYY81" s="684"/>
      <c r="GYZ81" s="684"/>
      <c r="GZA81" s="684"/>
      <c r="GZB81" s="684"/>
      <c r="GZC81" s="684"/>
      <c r="GZD81" s="684"/>
      <c r="GZE81" s="684"/>
      <c r="GZF81" s="684"/>
      <c r="GZG81" s="684"/>
      <c r="GZH81" s="684"/>
      <c r="GZI81" s="684"/>
      <c r="GZJ81" s="684"/>
      <c r="GZK81" s="684"/>
      <c r="GZL81" s="684"/>
      <c r="GZM81" s="684"/>
      <c r="GZN81" s="684"/>
      <c r="GZO81" s="684"/>
      <c r="GZP81" s="684"/>
      <c r="GZQ81" s="684"/>
      <c r="GZR81" s="684"/>
      <c r="GZS81" s="684"/>
      <c r="GZT81" s="684"/>
      <c r="GZU81" s="684"/>
      <c r="GZV81" s="684"/>
      <c r="GZW81" s="684"/>
      <c r="GZX81" s="684"/>
      <c r="GZY81" s="684"/>
      <c r="GZZ81" s="684"/>
      <c r="HAA81" s="684"/>
      <c r="HAB81" s="684"/>
      <c r="HAC81" s="684"/>
      <c r="HAD81" s="684"/>
      <c r="HAE81" s="684"/>
      <c r="HAF81" s="684"/>
      <c r="HAG81" s="684"/>
      <c r="HAH81" s="684"/>
      <c r="HAI81" s="684"/>
      <c r="HAJ81" s="684"/>
      <c r="HAK81" s="684"/>
      <c r="HAL81" s="684"/>
      <c r="HAM81" s="684"/>
      <c r="HAN81" s="684"/>
      <c r="HAO81" s="684"/>
      <c r="HAP81" s="684"/>
      <c r="HAQ81" s="684"/>
      <c r="HAR81" s="684"/>
      <c r="HAS81" s="684"/>
      <c r="HAT81" s="684"/>
      <c r="HAU81" s="684"/>
      <c r="HAV81" s="684"/>
      <c r="HAW81" s="684"/>
      <c r="HAX81" s="684"/>
      <c r="HAY81" s="684"/>
      <c r="HAZ81" s="684"/>
      <c r="HBA81" s="684"/>
      <c r="HBB81" s="684"/>
      <c r="HBC81" s="684"/>
      <c r="HBD81" s="684"/>
      <c r="HBE81" s="684"/>
      <c r="HBF81" s="684"/>
      <c r="HBG81" s="684"/>
      <c r="HBH81" s="684"/>
      <c r="HBI81" s="684"/>
      <c r="HBJ81" s="684"/>
      <c r="HBK81" s="684"/>
      <c r="HBL81" s="684"/>
      <c r="HBM81" s="684"/>
      <c r="HBN81" s="684"/>
      <c r="HBO81" s="684"/>
      <c r="HBP81" s="684"/>
      <c r="HBQ81" s="684"/>
      <c r="HBR81" s="684"/>
      <c r="HBS81" s="684"/>
      <c r="HBT81" s="684"/>
      <c r="HBU81" s="684"/>
      <c r="HBV81" s="684"/>
      <c r="HBW81" s="684"/>
      <c r="HBX81" s="684"/>
      <c r="HBY81" s="684"/>
      <c r="HBZ81" s="684"/>
      <c r="HCA81" s="684"/>
      <c r="HCB81" s="684"/>
      <c r="HCC81" s="684"/>
      <c r="HCD81" s="684"/>
      <c r="HCE81" s="684"/>
      <c r="HCF81" s="684"/>
      <c r="HCG81" s="684"/>
      <c r="HCH81" s="684"/>
      <c r="HCI81" s="684"/>
      <c r="HCJ81" s="684"/>
      <c r="HCK81" s="684"/>
      <c r="HCL81" s="684"/>
      <c r="HCM81" s="684"/>
      <c r="HCN81" s="684"/>
      <c r="HCO81" s="684"/>
      <c r="HCP81" s="684"/>
      <c r="HCQ81" s="684"/>
      <c r="HCR81" s="684"/>
      <c r="HCS81" s="684"/>
      <c r="HCT81" s="684"/>
      <c r="HCU81" s="684"/>
      <c r="HCV81" s="684"/>
      <c r="HCW81" s="684"/>
      <c r="HCX81" s="684"/>
      <c r="HCY81" s="684"/>
      <c r="HCZ81" s="684"/>
      <c r="HDA81" s="684"/>
      <c r="HDB81" s="684"/>
      <c r="HDC81" s="684"/>
      <c r="HDD81" s="684"/>
      <c r="HDE81" s="684"/>
      <c r="HDF81" s="684"/>
      <c r="HDG81" s="684"/>
      <c r="HDH81" s="684"/>
      <c r="HDI81" s="684"/>
      <c r="HDJ81" s="684"/>
      <c r="HDK81" s="684"/>
      <c r="HDL81" s="684"/>
      <c r="HDM81" s="684"/>
      <c r="HDN81" s="684"/>
      <c r="HDO81" s="684"/>
      <c r="HDP81" s="684"/>
      <c r="HDQ81" s="684"/>
      <c r="HDR81" s="684"/>
      <c r="HDS81" s="684"/>
      <c r="HDT81" s="684"/>
      <c r="HDU81" s="684"/>
      <c r="HDV81" s="684"/>
      <c r="HDW81" s="684"/>
      <c r="HDX81" s="684"/>
      <c r="HDY81" s="684"/>
      <c r="HDZ81" s="684"/>
      <c r="HEA81" s="684"/>
      <c r="HEB81" s="684"/>
      <c r="HEC81" s="684"/>
      <c r="HED81" s="684"/>
      <c r="HEE81" s="684"/>
      <c r="HEF81" s="684"/>
      <c r="HEG81" s="684"/>
      <c r="HEH81" s="684"/>
      <c r="HEI81" s="684"/>
      <c r="HEJ81" s="684"/>
      <c r="HEK81" s="684"/>
      <c r="HEL81" s="684"/>
      <c r="HEM81" s="684"/>
      <c r="HEN81" s="684"/>
      <c r="HEO81" s="684"/>
      <c r="HEP81" s="684"/>
      <c r="HEQ81" s="684"/>
      <c r="HER81" s="684"/>
      <c r="HES81" s="684"/>
      <c r="HET81" s="684"/>
      <c r="HEU81" s="684"/>
      <c r="HEV81" s="684"/>
      <c r="HEW81" s="684"/>
      <c r="HEX81" s="684"/>
      <c r="HEY81" s="684"/>
      <c r="HEZ81" s="684"/>
      <c r="HFA81" s="684"/>
      <c r="HFB81" s="684"/>
      <c r="HFC81" s="684"/>
      <c r="HFD81" s="684"/>
      <c r="HFE81" s="684"/>
      <c r="HFF81" s="684"/>
      <c r="HFG81" s="684"/>
      <c r="HFH81" s="684"/>
      <c r="HFI81" s="684"/>
      <c r="HFJ81" s="684"/>
      <c r="HFK81" s="684"/>
      <c r="HFL81" s="684"/>
      <c r="HFM81" s="684"/>
      <c r="HFN81" s="684"/>
      <c r="HFO81" s="684"/>
      <c r="HFP81" s="684"/>
      <c r="HFQ81" s="684"/>
      <c r="HFR81" s="684"/>
      <c r="HFS81" s="684"/>
      <c r="HFT81" s="684"/>
      <c r="HFU81" s="684"/>
      <c r="HFV81" s="684"/>
      <c r="HFW81" s="684"/>
      <c r="HFX81" s="684"/>
      <c r="HFY81" s="684"/>
      <c r="HFZ81" s="684"/>
      <c r="HGA81" s="684"/>
      <c r="HGB81" s="684"/>
      <c r="HGC81" s="684"/>
      <c r="HGD81" s="684"/>
      <c r="HGE81" s="684"/>
      <c r="HGF81" s="684"/>
      <c r="HGG81" s="684"/>
      <c r="HGH81" s="684"/>
      <c r="HGI81" s="684"/>
      <c r="HGJ81" s="684"/>
      <c r="HGK81" s="684"/>
      <c r="HGL81" s="684"/>
      <c r="HGM81" s="684"/>
      <c r="HGN81" s="684"/>
      <c r="HGO81" s="684"/>
      <c r="HGP81" s="684"/>
      <c r="HGQ81" s="684"/>
      <c r="HGR81" s="684"/>
      <c r="HGS81" s="684"/>
      <c r="HGT81" s="684"/>
      <c r="HGU81" s="684"/>
      <c r="HGV81" s="684"/>
      <c r="HGW81" s="684"/>
      <c r="HGX81" s="684"/>
      <c r="HGY81" s="684"/>
      <c r="HGZ81" s="684"/>
      <c r="HHA81" s="684"/>
      <c r="HHB81" s="684"/>
      <c r="HHC81" s="684"/>
      <c r="HHD81" s="684"/>
      <c r="HHE81" s="684"/>
      <c r="HHF81" s="684"/>
      <c r="HHG81" s="684"/>
      <c r="HHH81" s="684"/>
      <c r="HHI81" s="684"/>
      <c r="HHJ81" s="684"/>
      <c r="HHK81" s="684"/>
      <c r="HHL81" s="684"/>
      <c r="HHM81" s="684"/>
      <c r="HHN81" s="684"/>
      <c r="HHO81" s="684"/>
      <c r="HHP81" s="684"/>
      <c r="HHQ81" s="684"/>
      <c r="HHR81" s="684"/>
      <c r="HHS81" s="684"/>
      <c r="HHT81" s="684"/>
      <c r="HHU81" s="684"/>
      <c r="HHV81" s="684"/>
      <c r="HHW81" s="684"/>
      <c r="HHX81" s="684"/>
      <c r="HHY81" s="684"/>
      <c r="HHZ81" s="684"/>
      <c r="HIA81" s="684"/>
      <c r="HIB81" s="684"/>
      <c r="HIC81" s="684"/>
      <c r="HID81" s="684"/>
      <c r="HIE81" s="684"/>
      <c r="HIF81" s="684"/>
      <c r="HIG81" s="684"/>
      <c r="HIH81" s="684"/>
      <c r="HII81" s="684"/>
      <c r="HIJ81" s="684"/>
      <c r="HIK81" s="684"/>
      <c r="HIL81" s="684"/>
      <c r="HIM81" s="684"/>
      <c r="HIN81" s="684"/>
      <c r="HIO81" s="684"/>
      <c r="HIP81" s="684"/>
      <c r="HIQ81" s="684"/>
      <c r="HIR81" s="684"/>
      <c r="HIS81" s="684"/>
      <c r="HIT81" s="684"/>
      <c r="HIU81" s="684"/>
      <c r="HIV81" s="684"/>
      <c r="HIW81" s="684"/>
      <c r="HIX81" s="684"/>
      <c r="HIY81" s="684"/>
      <c r="HIZ81" s="684"/>
      <c r="HJA81" s="684"/>
      <c r="HJB81" s="684"/>
      <c r="HJC81" s="684"/>
      <c r="HJD81" s="684"/>
      <c r="HJE81" s="684"/>
      <c r="HJF81" s="684"/>
      <c r="HJG81" s="684"/>
      <c r="HJH81" s="684"/>
      <c r="HJI81" s="684"/>
      <c r="HJJ81" s="684"/>
      <c r="HJK81" s="684"/>
      <c r="HJL81" s="684"/>
      <c r="HJM81" s="684"/>
      <c r="HJN81" s="684"/>
      <c r="HJO81" s="684"/>
      <c r="HJP81" s="684"/>
      <c r="HJQ81" s="684"/>
      <c r="HJR81" s="684"/>
      <c r="HJS81" s="684"/>
      <c r="HJT81" s="684"/>
      <c r="HJU81" s="684"/>
      <c r="HJV81" s="684"/>
      <c r="HJW81" s="684"/>
      <c r="HJX81" s="684"/>
      <c r="HJY81" s="684"/>
      <c r="HJZ81" s="684"/>
      <c r="HKA81" s="684"/>
      <c r="HKB81" s="684"/>
      <c r="HKC81" s="684"/>
      <c r="HKD81" s="684"/>
      <c r="HKE81" s="684"/>
      <c r="HKF81" s="684"/>
      <c r="HKG81" s="684"/>
      <c r="HKH81" s="684"/>
      <c r="HKI81" s="684"/>
      <c r="HKJ81" s="684"/>
      <c r="HKK81" s="684"/>
      <c r="HKL81" s="684"/>
      <c r="HKM81" s="684"/>
      <c r="HKN81" s="684"/>
      <c r="HKO81" s="684"/>
      <c r="HKP81" s="684"/>
      <c r="HKQ81" s="684"/>
      <c r="HKR81" s="684"/>
      <c r="HKS81" s="684"/>
      <c r="HKT81" s="684"/>
      <c r="HKU81" s="684"/>
      <c r="HKV81" s="684"/>
      <c r="HKW81" s="684"/>
      <c r="HKX81" s="684"/>
      <c r="HKY81" s="684"/>
      <c r="HKZ81" s="684"/>
      <c r="HLA81" s="684"/>
      <c r="HLB81" s="684"/>
      <c r="HLC81" s="684"/>
      <c r="HLD81" s="684"/>
      <c r="HLE81" s="684"/>
      <c r="HLF81" s="684"/>
      <c r="HLG81" s="684"/>
      <c r="HLH81" s="684"/>
      <c r="HLI81" s="684"/>
      <c r="HLJ81" s="684"/>
      <c r="HLK81" s="684"/>
      <c r="HLL81" s="684"/>
      <c r="HLM81" s="684"/>
      <c r="HLN81" s="684"/>
      <c r="HLO81" s="684"/>
      <c r="HLP81" s="684"/>
      <c r="HLQ81" s="684"/>
      <c r="HLR81" s="684"/>
      <c r="HLS81" s="684"/>
      <c r="HLT81" s="684"/>
      <c r="HLU81" s="684"/>
      <c r="HLV81" s="684"/>
      <c r="HLW81" s="684"/>
      <c r="HLX81" s="684"/>
      <c r="HLY81" s="684"/>
      <c r="HLZ81" s="684"/>
      <c r="HMA81" s="684"/>
      <c r="HMB81" s="684"/>
      <c r="HMC81" s="684"/>
      <c r="HMD81" s="684"/>
      <c r="HME81" s="684"/>
      <c r="HMF81" s="684"/>
      <c r="HMG81" s="684"/>
      <c r="HMH81" s="684"/>
      <c r="HMI81" s="684"/>
      <c r="HMJ81" s="684"/>
      <c r="HMK81" s="684"/>
      <c r="HML81" s="684"/>
      <c r="HMM81" s="684"/>
      <c r="HMN81" s="684"/>
      <c r="HMO81" s="684"/>
      <c r="HMP81" s="684"/>
      <c r="HMQ81" s="684"/>
      <c r="HMR81" s="684"/>
      <c r="HMS81" s="684"/>
      <c r="HMT81" s="684"/>
      <c r="HMU81" s="684"/>
      <c r="HMV81" s="684"/>
      <c r="HMW81" s="684"/>
      <c r="HMX81" s="684"/>
      <c r="HMY81" s="684"/>
      <c r="HMZ81" s="684"/>
      <c r="HNA81" s="684"/>
      <c r="HNB81" s="684"/>
      <c r="HNC81" s="684"/>
      <c r="HND81" s="684"/>
      <c r="HNE81" s="684"/>
      <c r="HNF81" s="684"/>
      <c r="HNG81" s="684"/>
      <c r="HNH81" s="684"/>
      <c r="HNI81" s="684"/>
      <c r="HNJ81" s="684"/>
      <c r="HNK81" s="684"/>
      <c r="HNL81" s="684"/>
      <c r="HNM81" s="684"/>
      <c r="HNN81" s="684"/>
      <c r="HNO81" s="684"/>
      <c r="HNP81" s="684"/>
      <c r="HNQ81" s="684"/>
      <c r="HNR81" s="684"/>
      <c r="HNS81" s="684"/>
      <c r="HNT81" s="684"/>
      <c r="HNU81" s="684"/>
      <c r="HNV81" s="684"/>
      <c r="HNW81" s="684"/>
      <c r="HNX81" s="684"/>
      <c r="HNY81" s="684"/>
      <c r="HNZ81" s="684"/>
      <c r="HOA81" s="684"/>
      <c r="HOB81" s="684"/>
      <c r="HOC81" s="684"/>
      <c r="HOD81" s="684"/>
      <c r="HOE81" s="684"/>
      <c r="HOF81" s="684"/>
      <c r="HOG81" s="684"/>
      <c r="HOH81" s="684"/>
      <c r="HOI81" s="684"/>
      <c r="HOJ81" s="684"/>
      <c r="HOK81" s="684"/>
      <c r="HOL81" s="684"/>
      <c r="HOM81" s="684"/>
      <c r="HON81" s="684"/>
      <c r="HOO81" s="684"/>
      <c r="HOP81" s="684"/>
      <c r="HOQ81" s="684"/>
      <c r="HOR81" s="684"/>
      <c r="HOS81" s="684"/>
      <c r="HOT81" s="684"/>
      <c r="HOU81" s="684"/>
      <c r="HOV81" s="684"/>
      <c r="HOW81" s="684"/>
      <c r="HOX81" s="684"/>
      <c r="HOY81" s="684"/>
      <c r="HOZ81" s="684"/>
      <c r="HPA81" s="684"/>
      <c r="HPB81" s="684"/>
      <c r="HPC81" s="684"/>
      <c r="HPD81" s="684"/>
      <c r="HPE81" s="684"/>
      <c r="HPF81" s="684"/>
      <c r="HPG81" s="684"/>
      <c r="HPH81" s="684"/>
      <c r="HPI81" s="684"/>
      <c r="HPJ81" s="684"/>
      <c r="HPK81" s="684"/>
      <c r="HPL81" s="684"/>
      <c r="HPM81" s="684"/>
      <c r="HPN81" s="684"/>
      <c r="HPO81" s="684"/>
      <c r="HPP81" s="684"/>
      <c r="HPQ81" s="684"/>
      <c r="HPR81" s="684"/>
      <c r="HPS81" s="684"/>
      <c r="HPT81" s="684"/>
      <c r="HPU81" s="684"/>
      <c r="HPV81" s="684"/>
      <c r="HPW81" s="684"/>
      <c r="HPX81" s="684"/>
      <c r="HPY81" s="684"/>
      <c r="HPZ81" s="684"/>
      <c r="HQA81" s="684"/>
      <c r="HQB81" s="684"/>
      <c r="HQC81" s="684"/>
      <c r="HQD81" s="684"/>
      <c r="HQE81" s="684"/>
      <c r="HQF81" s="684"/>
      <c r="HQG81" s="684"/>
      <c r="HQH81" s="684"/>
      <c r="HQI81" s="684"/>
      <c r="HQJ81" s="684"/>
      <c r="HQK81" s="684"/>
      <c r="HQL81" s="684"/>
      <c r="HQM81" s="684"/>
      <c r="HQN81" s="684"/>
      <c r="HQO81" s="684"/>
      <c r="HQP81" s="684"/>
      <c r="HQQ81" s="684"/>
      <c r="HQR81" s="684"/>
      <c r="HQS81" s="684"/>
      <c r="HQT81" s="684"/>
      <c r="HQU81" s="684"/>
      <c r="HQV81" s="684"/>
      <c r="HQW81" s="684"/>
      <c r="HQX81" s="684"/>
      <c r="HQY81" s="684"/>
      <c r="HQZ81" s="684"/>
      <c r="HRA81" s="684"/>
      <c r="HRB81" s="684"/>
      <c r="HRC81" s="684"/>
      <c r="HRD81" s="684"/>
      <c r="HRE81" s="684"/>
      <c r="HRF81" s="684"/>
      <c r="HRG81" s="684"/>
      <c r="HRH81" s="684"/>
      <c r="HRI81" s="684"/>
      <c r="HRJ81" s="684"/>
      <c r="HRK81" s="684"/>
      <c r="HRL81" s="684"/>
      <c r="HRM81" s="684"/>
      <c r="HRN81" s="684"/>
      <c r="HRO81" s="684"/>
      <c r="HRP81" s="684"/>
      <c r="HRQ81" s="684"/>
      <c r="HRR81" s="684"/>
      <c r="HRS81" s="684"/>
      <c r="HRT81" s="684"/>
      <c r="HRU81" s="684"/>
      <c r="HRV81" s="684"/>
      <c r="HRW81" s="684"/>
      <c r="HRX81" s="684"/>
      <c r="HRY81" s="684"/>
      <c r="HRZ81" s="684"/>
      <c r="HSA81" s="684"/>
      <c r="HSB81" s="684"/>
      <c r="HSC81" s="684"/>
      <c r="HSD81" s="684"/>
      <c r="HSE81" s="684"/>
      <c r="HSF81" s="684"/>
      <c r="HSG81" s="684"/>
      <c r="HSH81" s="684"/>
      <c r="HSI81" s="684"/>
      <c r="HSJ81" s="684"/>
      <c r="HSK81" s="684"/>
      <c r="HSL81" s="684"/>
      <c r="HSM81" s="684"/>
      <c r="HSN81" s="684"/>
      <c r="HSO81" s="684"/>
      <c r="HSP81" s="684"/>
      <c r="HSQ81" s="684"/>
      <c r="HSR81" s="684"/>
      <c r="HSS81" s="684"/>
      <c r="HST81" s="684"/>
      <c r="HSU81" s="684"/>
      <c r="HSV81" s="684"/>
      <c r="HSW81" s="684"/>
      <c r="HSX81" s="684"/>
      <c r="HSY81" s="684"/>
      <c r="HSZ81" s="684"/>
      <c r="HTA81" s="684"/>
      <c r="HTB81" s="684"/>
      <c r="HTC81" s="684"/>
      <c r="HTD81" s="684"/>
      <c r="HTE81" s="684"/>
      <c r="HTF81" s="684"/>
      <c r="HTG81" s="684"/>
      <c r="HTH81" s="684"/>
      <c r="HTI81" s="684"/>
      <c r="HTJ81" s="684"/>
      <c r="HTK81" s="684"/>
      <c r="HTL81" s="684"/>
      <c r="HTM81" s="684"/>
      <c r="HTN81" s="684"/>
      <c r="HTO81" s="684"/>
      <c r="HTP81" s="684"/>
      <c r="HTQ81" s="684"/>
      <c r="HTR81" s="684"/>
      <c r="HTS81" s="684"/>
      <c r="HTT81" s="684"/>
      <c r="HTU81" s="684"/>
      <c r="HTV81" s="684"/>
      <c r="HTW81" s="684"/>
      <c r="HTX81" s="684"/>
      <c r="HTY81" s="684"/>
      <c r="HTZ81" s="684"/>
      <c r="HUA81" s="684"/>
      <c r="HUB81" s="684"/>
      <c r="HUC81" s="684"/>
      <c r="HUD81" s="684"/>
      <c r="HUE81" s="684"/>
      <c r="HUF81" s="684"/>
      <c r="HUG81" s="684"/>
      <c r="HUH81" s="684"/>
      <c r="HUI81" s="684"/>
      <c r="HUJ81" s="684"/>
      <c r="HUK81" s="684"/>
      <c r="HUL81" s="684"/>
      <c r="HUM81" s="684"/>
      <c r="HUN81" s="684"/>
      <c r="HUO81" s="684"/>
      <c r="HUP81" s="684"/>
      <c r="HUQ81" s="684"/>
      <c r="HUR81" s="684"/>
      <c r="HUS81" s="684"/>
      <c r="HUT81" s="684"/>
      <c r="HUU81" s="684"/>
      <c r="HUV81" s="684"/>
      <c r="HUW81" s="684"/>
      <c r="HUX81" s="684"/>
      <c r="HUY81" s="684"/>
      <c r="HUZ81" s="684"/>
      <c r="HVA81" s="684"/>
      <c r="HVB81" s="684"/>
      <c r="HVC81" s="684"/>
      <c r="HVD81" s="684"/>
      <c r="HVE81" s="684"/>
      <c r="HVF81" s="684"/>
      <c r="HVG81" s="684"/>
      <c r="HVH81" s="684"/>
      <c r="HVI81" s="684"/>
      <c r="HVJ81" s="684"/>
      <c r="HVK81" s="684"/>
      <c r="HVL81" s="684"/>
      <c r="HVM81" s="684"/>
      <c r="HVN81" s="684"/>
      <c r="HVO81" s="684"/>
      <c r="HVP81" s="684"/>
      <c r="HVQ81" s="684"/>
      <c r="HVR81" s="684"/>
      <c r="HVS81" s="684"/>
      <c r="HVT81" s="684"/>
      <c r="HVU81" s="684"/>
      <c r="HVV81" s="684"/>
      <c r="HVW81" s="684"/>
      <c r="HVX81" s="684"/>
      <c r="HVY81" s="684"/>
      <c r="HVZ81" s="684"/>
      <c r="HWA81" s="684"/>
      <c r="HWB81" s="684"/>
      <c r="HWC81" s="684"/>
      <c r="HWD81" s="684"/>
      <c r="HWE81" s="684"/>
      <c r="HWF81" s="684"/>
      <c r="HWG81" s="684"/>
      <c r="HWH81" s="684"/>
      <c r="HWI81" s="684"/>
      <c r="HWJ81" s="684"/>
      <c r="HWK81" s="684"/>
      <c r="HWL81" s="684"/>
      <c r="HWM81" s="684"/>
      <c r="HWN81" s="684"/>
      <c r="HWO81" s="684"/>
      <c r="HWP81" s="684"/>
      <c r="HWQ81" s="684"/>
      <c r="HWR81" s="684"/>
      <c r="HWS81" s="684"/>
      <c r="HWT81" s="684"/>
      <c r="HWU81" s="684"/>
      <c r="HWV81" s="684"/>
      <c r="HWW81" s="684"/>
      <c r="HWX81" s="684"/>
      <c r="HWY81" s="684"/>
      <c r="HWZ81" s="684"/>
      <c r="HXA81" s="684"/>
      <c r="HXB81" s="684"/>
      <c r="HXC81" s="684"/>
      <c r="HXD81" s="684"/>
      <c r="HXE81" s="684"/>
      <c r="HXF81" s="684"/>
      <c r="HXG81" s="684"/>
      <c r="HXH81" s="684"/>
      <c r="HXI81" s="684"/>
      <c r="HXJ81" s="684"/>
      <c r="HXK81" s="684"/>
      <c r="HXL81" s="684"/>
      <c r="HXM81" s="684"/>
      <c r="HXN81" s="684"/>
      <c r="HXO81" s="684"/>
      <c r="HXP81" s="684"/>
      <c r="HXQ81" s="684"/>
      <c r="HXR81" s="684"/>
      <c r="HXS81" s="684"/>
      <c r="HXT81" s="684"/>
      <c r="HXU81" s="684"/>
      <c r="HXV81" s="684"/>
      <c r="HXW81" s="684"/>
      <c r="HXX81" s="684"/>
      <c r="HXY81" s="684"/>
      <c r="HXZ81" s="684"/>
      <c r="HYA81" s="684"/>
      <c r="HYB81" s="684"/>
      <c r="HYC81" s="684"/>
      <c r="HYD81" s="684"/>
      <c r="HYE81" s="684"/>
      <c r="HYF81" s="684"/>
      <c r="HYG81" s="684"/>
      <c r="HYH81" s="684"/>
      <c r="HYI81" s="684"/>
      <c r="HYJ81" s="684"/>
      <c r="HYK81" s="684"/>
      <c r="HYL81" s="684"/>
      <c r="HYM81" s="684"/>
      <c r="HYN81" s="684"/>
      <c r="HYO81" s="684"/>
      <c r="HYP81" s="684"/>
      <c r="HYQ81" s="684"/>
      <c r="HYR81" s="684"/>
      <c r="HYS81" s="684"/>
      <c r="HYT81" s="684"/>
      <c r="HYU81" s="684"/>
      <c r="HYV81" s="684"/>
      <c r="HYW81" s="684"/>
      <c r="HYX81" s="684"/>
      <c r="HYY81" s="684"/>
      <c r="HYZ81" s="684"/>
      <c r="HZA81" s="684"/>
      <c r="HZB81" s="684"/>
      <c r="HZC81" s="684"/>
      <c r="HZD81" s="684"/>
      <c r="HZE81" s="684"/>
      <c r="HZF81" s="684"/>
      <c r="HZG81" s="684"/>
      <c r="HZH81" s="684"/>
      <c r="HZI81" s="684"/>
      <c r="HZJ81" s="684"/>
      <c r="HZK81" s="684"/>
      <c r="HZL81" s="684"/>
      <c r="HZM81" s="684"/>
      <c r="HZN81" s="684"/>
      <c r="HZO81" s="684"/>
      <c r="HZP81" s="684"/>
      <c r="HZQ81" s="684"/>
      <c r="HZR81" s="684"/>
      <c r="HZS81" s="684"/>
      <c r="HZT81" s="684"/>
      <c r="HZU81" s="684"/>
      <c r="HZV81" s="684"/>
      <c r="HZW81" s="684"/>
      <c r="HZX81" s="684"/>
      <c r="HZY81" s="684"/>
      <c r="HZZ81" s="684"/>
      <c r="IAA81" s="684"/>
      <c r="IAB81" s="684"/>
      <c r="IAC81" s="684"/>
      <c r="IAD81" s="684"/>
      <c r="IAE81" s="684"/>
      <c r="IAF81" s="684"/>
      <c r="IAG81" s="684"/>
      <c r="IAH81" s="684"/>
      <c r="IAI81" s="684"/>
      <c r="IAJ81" s="684"/>
      <c r="IAK81" s="684"/>
      <c r="IAL81" s="684"/>
      <c r="IAM81" s="684"/>
      <c r="IAN81" s="684"/>
      <c r="IAO81" s="684"/>
      <c r="IAP81" s="684"/>
      <c r="IAQ81" s="684"/>
      <c r="IAR81" s="684"/>
      <c r="IAS81" s="684"/>
      <c r="IAT81" s="684"/>
      <c r="IAU81" s="684"/>
      <c r="IAV81" s="684"/>
      <c r="IAW81" s="684"/>
      <c r="IAX81" s="684"/>
      <c r="IAY81" s="684"/>
      <c r="IAZ81" s="684"/>
      <c r="IBA81" s="684"/>
      <c r="IBB81" s="684"/>
      <c r="IBC81" s="684"/>
      <c r="IBD81" s="684"/>
      <c r="IBE81" s="684"/>
      <c r="IBF81" s="684"/>
      <c r="IBG81" s="684"/>
      <c r="IBH81" s="684"/>
      <c r="IBI81" s="684"/>
      <c r="IBJ81" s="684"/>
      <c r="IBK81" s="684"/>
      <c r="IBL81" s="684"/>
      <c r="IBM81" s="684"/>
      <c r="IBN81" s="684"/>
      <c r="IBO81" s="684"/>
      <c r="IBP81" s="684"/>
      <c r="IBQ81" s="684"/>
      <c r="IBR81" s="684"/>
      <c r="IBS81" s="684"/>
      <c r="IBT81" s="684"/>
      <c r="IBU81" s="684"/>
      <c r="IBV81" s="684"/>
      <c r="IBW81" s="684"/>
      <c r="IBX81" s="684"/>
      <c r="IBY81" s="684"/>
      <c r="IBZ81" s="684"/>
      <c r="ICA81" s="684"/>
      <c r="ICB81" s="684"/>
      <c r="ICC81" s="684"/>
      <c r="ICD81" s="684"/>
      <c r="ICE81" s="684"/>
      <c r="ICF81" s="684"/>
      <c r="ICG81" s="684"/>
      <c r="ICH81" s="684"/>
      <c r="ICI81" s="684"/>
      <c r="ICJ81" s="684"/>
      <c r="ICK81" s="684"/>
      <c r="ICL81" s="684"/>
      <c r="ICM81" s="684"/>
      <c r="ICN81" s="684"/>
      <c r="ICO81" s="684"/>
      <c r="ICP81" s="684"/>
      <c r="ICQ81" s="684"/>
      <c r="ICR81" s="684"/>
      <c r="ICS81" s="684"/>
      <c r="ICT81" s="684"/>
      <c r="ICU81" s="684"/>
      <c r="ICV81" s="684"/>
      <c r="ICW81" s="684"/>
      <c r="ICX81" s="684"/>
      <c r="ICY81" s="684"/>
      <c r="ICZ81" s="684"/>
      <c r="IDA81" s="684"/>
      <c r="IDB81" s="684"/>
      <c r="IDC81" s="684"/>
      <c r="IDD81" s="684"/>
      <c r="IDE81" s="684"/>
      <c r="IDF81" s="684"/>
      <c r="IDG81" s="684"/>
      <c r="IDH81" s="684"/>
      <c r="IDI81" s="684"/>
      <c r="IDJ81" s="684"/>
      <c r="IDK81" s="684"/>
      <c r="IDL81" s="684"/>
      <c r="IDM81" s="684"/>
      <c r="IDN81" s="684"/>
      <c r="IDO81" s="684"/>
      <c r="IDP81" s="684"/>
      <c r="IDQ81" s="684"/>
      <c r="IDR81" s="684"/>
      <c r="IDS81" s="684"/>
      <c r="IDT81" s="684"/>
      <c r="IDU81" s="684"/>
      <c r="IDV81" s="684"/>
      <c r="IDW81" s="684"/>
      <c r="IDX81" s="684"/>
      <c r="IDY81" s="684"/>
      <c r="IDZ81" s="684"/>
      <c r="IEA81" s="684"/>
      <c r="IEB81" s="684"/>
      <c r="IEC81" s="684"/>
      <c r="IED81" s="684"/>
      <c r="IEE81" s="684"/>
      <c r="IEF81" s="684"/>
      <c r="IEG81" s="684"/>
      <c r="IEH81" s="684"/>
      <c r="IEI81" s="684"/>
      <c r="IEJ81" s="684"/>
      <c r="IEK81" s="684"/>
      <c r="IEL81" s="684"/>
      <c r="IEM81" s="684"/>
      <c r="IEN81" s="684"/>
      <c r="IEO81" s="684"/>
      <c r="IEP81" s="684"/>
      <c r="IEQ81" s="684"/>
      <c r="IER81" s="684"/>
      <c r="IES81" s="684"/>
      <c r="IET81" s="684"/>
      <c r="IEU81" s="684"/>
      <c r="IEV81" s="684"/>
      <c r="IEW81" s="684"/>
      <c r="IEX81" s="684"/>
      <c r="IEY81" s="684"/>
      <c r="IEZ81" s="684"/>
      <c r="IFA81" s="684"/>
      <c r="IFB81" s="684"/>
      <c r="IFC81" s="684"/>
      <c r="IFD81" s="684"/>
      <c r="IFE81" s="684"/>
      <c r="IFF81" s="684"/>
      <c r="IFG81" s="684"/>
      <c r="IFH81" s="684"/>
      <c r="IFI81" s="684"/>
      <c r="IFJ81" s="684"/>
      <c r="IFK81" s="684"/>
      <c r="IFL81" s="684"/>
      <c r="IFM81" s="684"/>
      <c r="IFN81" s="684"/>
      <c r="IFO81" s="684"/>
      <c r="IFP81" s="684"/>
      <c r="IFQ81" s="684"/>
      <c r="IFR81" s="684"/>
      <c r="IFS81" s="684"/>
      <c r="IFT81" s="684"/>
      <c r="IFU81" s="684"/>
      <c r="IFV81" s="684"/>
      <c r="IFW81" s="684"/>
      <c r="IFX81" s="684"/>
      <c r="IFY81" s="684"/>
      <c r="IFZ81" s="684"/>
      <c r="IGA81" s="684"/>
      <c r="IGB81" s="684"/>
      <c r="IGC81" s="684"/>
      <c r="IGD81" s="684"/>
      <c r="IGE81" s="684"/>
      <c r="IGF81" s="684"/>
      <c r="IGG81" s="684"/>
      <c r="IGH81" s="684"/>
      <c r="IGI81" s="684"/>
      <c r="IGJ81" s="684"/>
      <c r="IGK81" s="684"/>
      <c r="IGL81" s="684"/>
      <c r="IGM81" s="684"/>
      <c r="IGN81" s="684"/>
      <c r="IGO81" s="684"/>
      <c r="IGP81" s="684"/>
      <c r="IGQ81" s="684"/>
      <c r="IGR81" s="684"/>
      <c r="IGS81" s="684"/>
      <c r="IGT81" s="684"/>
      <c r="IGU81" s="684"/>
      <c r="IGV81" s="684"/>
      <c r="IGW81" s="684"/>
      <c r="IGX81" s="684"/>
      <c r="IGY81" s="684"/>
      <c r="IGZ81" s="684"/>
      <c r="IHA81" s="684"/>
      <c r="IHB81" s="684"/>
      <c r="IHC81" s="684"/>
      <c r="IHD81" s="684"/>
      <c r="IHE81" s="684"/>
      <c r="IHF81" s="684"/>
      <c r="IHG81" s="684"/>
      <c r="IHH81" s="684"/>
      <c r="IHI81" s="684"/>
      <c r="IHJ81" s="684"/>
      <c r="IHK81" s="684"/>
      <c r="IHL81" s="684"/>
      <c r="IHM81" s="684"/>
      <c r="IHN81" s="684"/>
      <c r="IHO81" s="684"/>
      <c r="IHP81" s="684"/>
      <c r="IHQ81" s="684"/>
      <c r="IHR81" s="684"/>
      <c r="IHS81" s="684"/>
      <c r="IHT81" s="684"/>
      <c r="IHU81" s="684"/>
      <c r="IHV81" s="684"/>
      <c r="IHW81" s="684"/>
      <c r="IHX81" s="684"/>
      <c r="IHY81" s="684"/>
      <c r="IHZ81" s="684"/>
      <c r="IIA81" s="684"/>
      <c r="IIB81" s="684"/>
      <c r="IIC81" s="684"/>
      <c r="IID81" s="684"/>
      <c r="IIE81" s="684"/>
      <c r="IIF81" s="684"/>
      <c r="IIG81" s="684"/>
      <c r="IIH81" s="684"/>
      <c r="III81" s="684"/>
      <c r="IIJ81" s="684"/>
      <c r="IIK81" s="684"/>
      <c r="IIL81" s="684"/>
      <c r="IIM81" s="684"/>
      <c r="IIN81" s="684"/>
      <c r="IIO81" s="684"/>
      <c r="IIP81" s="684"/>
      <c r="IIQ81" s="684"/>
      <c r="IIR81" s="684"/>
      <c r="IIS81" s="684"/>
      <c r="IIT81" s="684"/>
      <c r="IIU81" s="684"/>
      <c r="IIV81" s="684"/>
      <c r="IIW81" s="684"/>
      <c r="IIX81" s="684"/>
      <c r="IIY81" s="684"/>
      <c r="IIZ81" s="684"/>
      <c r="IJA81" s="684"/>
      <c r="IJB81" s="684"/>
      <c r="IJC81" s="684"/>
      <c r="IJD81" s="684"/>
      <c r="IJE81" s="684"/>
      <c r="IJF81" s="684"/>
      <c r="IJG81" s="684"/>
      <c r="IJH81" s="684"/>
      <c r="IJI81" s="684"/>
      <c r="IJJ81" s="684"/>
      <c r="IJK81" s="684"/>
      <c r="IJL81" s="684"/>
      <c r="IJM81" s="684"/>
      <c r="IJN81" s="684"/>
      <c r="IJO81" s="684"/>
      <c r="IJP81" s="684"/>
      <c r="IJQ81" s="684"/>
      <c r="IJR81" s="684"/>
      <c r="IJS81" s="684"/>
      <c r="IJT81" s="684"/>
      <c r="IJU81" s="684"/>
      <c r="IJV81" s="684"/>
      <c r="IJW81" s="684"/>
      <c r="IJX81" s="684"/>
      <c r="IJY81" s="684"/>
      <c r="IJZ81" s="684"/>
      <c r="IKA81" s="684"/>
      <c r="IKB81" s="684"/>
      <c r="IKC81" s="684"/>
      <c r="IKD81" s="684"/>
      <c r="IKE81" s="684"/>
      <c r="IKF81" s="684"/>
      <c r="IKG81" s="684"/>
      <c r="IKH81" s="684"/>
      <c r="IKI81" s="684"/>
      <c r="IKJ81" s="684"/>
      <c r="IKK81" s="684"/>
      <c r="IKL81" s="684"/>
      <c r="IKM81" s="684"/>
      <c r="IKN81" s="684"/>
      <c r="IKO81" s="684"/>
      <c r="IKP81" s="684"/>
      <c r="IKQ81" s="684"/>
      <c r="IKR81" s="684"/>
      <c r="IKS81" s="684"/>
      <c r="IKT81" s="684"/>
      <c r="IKU81" s="684"/>
      <c r="IKV81" s="684"/>
      <c r="IKW81" s="684"/>
      <c r="IKX81" s="684"/>
      <c r="IKY81" s="684"/>
      <c r="IKZ81" s="684"/>
      <c r="ILA81" s="684"/>
      <c r="ILB81" s="684"/>
      <c r="ILC81" s="684"/>
      <c r="ILD81" s="684"/>
      <c r="ILE81" s="684"/>
      <c r="ILF81" s="684"/>
      <c r="ILG81" s="684"/>
      <c r="ILH81" s="684"/>
      <c r="ILI81" s="684"/>
      <c r="ILJ81" s="684"/>
      <c r="ILK81" s="684"/>
      <c r="ILL81" s="684"/>
      <c r="ILM81" s="684"/>
      <c r="ILN81" s="684"/>
      <c r="ILO81" s="684"/>
      <c r="ILP81" s="684"/>
      <c r="ILQ81" s="684"/>
      <c r="ILR81" s="684"/>
      <c r="ILS81" s="684"/>
      <c r="ILT81" s="684"/>
      <c r="ILU81" s="684"/>
      <c r="ILV81" s="684"/>
      <c r="ILW81" s="684"/>
      <c r="ILX81" s="684"/>
      <c r="ILY81" s="684"/>
      <c r="ILZ81" s="684"/>
      <c r="IMA81" s="684"/>
      <c r="IMB81" s="684"/>
      <c r="IMC81" s="684"/>
      <c r="IMD81" s="684"/>
      <c r="IME81" s="684"/>
      <c r="IMF81" s="684"/>
      <c r="IMG81" s="684"/>
      <c r="IMH81" s="684"/>
      <c r="IMI81" s="684"/>
      <c r="IMJ81" s="684"/>
      <c r="IMK81" s="684"/>
      <c r="IML81" s="684"/>
      <c r="IMM81" s="684"/>
      <c r="IMN81" s="684"/>
      <c r="IMO81" s="684"/>
      <c r="IMP81" s="684"/>
      <c r="IMQ81" s="684"/>
      <c r="IMR81" s="684"/>
      <c r="IMS81" s="684"/>
      <c r="IMT81" s="684"/>
      <c r="IMU81" s="684"/>
      <c r="IMV81" s="684"/>
      <c r="IMW81" s="684"/>
      <c r="IMX81" s="684"/>
      <c r="IMY81" s="684"/>
      <c r="IMZ81" s="684"/>
      <c r="INA81" s="684"/>
      <c r="INB81" s="684"/>
      <c r="INC81" s="684"/>
      <c r="IND81" s="684"/>
      <c r="INE81" s="684"/>
      <c r="INF81" s="684"/>
      <c r="ING81" s="684"/>
      <c r="INH81" s="684"/>
      <c r="INI81" s="684"/>
      <c r="INJ81" s="684"/>
      <c r="INK81" s="684"/>
      <c r="INL81" s="684"/>
      <c r="INM81" s="684"/>
      <c r="INN81" s="684"/>
      <c r="INO81" s="684"/>
      <c r="INP81" s="684"/>
      <c r="INQ81" s="684"/>
      <c r="INR81" s="684"/>
      <c r="INS81" s="684"/>
      <c r="INT81" s="684"/>
      <c r="INU81" s="684"/>
      <c r="INV81" s="684"/>
      <c r="INW81" s="684"/>
      <c r="INX81" s="684"/>
      <c r="INY81" s="684"/>
      <c r="INZ81" s="684"/>
      <c r="IOA81" s="684"/>
      <c r="IOB81" s="684"/>
      <c r="IOC81" s="684"/>
      <c r="IOD81" s="684"/>
      <c r="IOE81" s="684"/>
      <c r="IOF81" s="684"/>
      <c r="IOG81" s="684"/>
      <c r="IOH81" s="684"/>
      <c r="IOI81" s="684"/>
      <c r="IOJ81" s="684"/>
      <c r="IOK81" s="684"/>
      <c r="IOL81" s="684"/>
      <c r="IOM81" s="684"/>
      <c r="ION81" s="684"/>
      <c r="IOO81" s="684"/>
      <c r="IOP81" s="684"/>
      <c r="IOQ81" s="684"/>
      <c r="IOR81" s="684"/>
      <c r="IOS81" s="684"/>
      <c r="IOT81" s="684"/>
      <c r="IOU81" s="684"/>
      <c r="IOV81" s="684"/>
      <c r="IOW81" s="684"/>
      <c r="IOX81" s="684"/>
      <c r="IOY81" s="684"/>
      <c r="IOZ81" s="684"/>
      <c r="IPA81" s="684"/>
      <c r="IPB81" s="684"/>
      <c r="IPC81" s="684"/>
      <c r="IPD81" s="684"/>
      <c r="IPE81" s="684"/>
      <c r="IPF81" s="684"/>
      <c r="IPG81" s="684"/>
      <c r="IPH81" s="684"/>
      <c r="IPI81" s="684"/>
      <c r="IPJ81" s="684"/>
      <c r="IPK81" s="684"/>
      <c r="IPL81" s="684"/>
      <c r="IPM81" s="684"/>
      <c r="IPN81" s="684"/>
      <c r="IPO81" s="684"/>
      <c r="IPP81" s="684"/>
      <c r="IPQ81" s="684"/>
      <c r="IPR81" s="684"/>
      <c r="IPS81" s="684"/>
      <c r="IPT81" s="684"/>
      <c r="IPU81" s="684"/>
      <c r="IPV81" s="684"/>
      <c r="IPW81" s="684"/>
      <c r="IPX81" s="684"/>
      <c r="IPY81" s="684"/>
      <c r="IPZ81" s="684"/>
      <c r="IQA81" s="684"/>
      <c r="IQB81" s="684"/>
      <c r="IQC81" s="684"/>
      <c r="IQD81" s="684"/>
      <c r="IQE81" s="684"/>
      <c r="IQF81" s="684"/>
      <c r="IQG81" s="684"/>
      <c r="IQH81" s="684"/>
      <c r="IQI81" s="684"/>
      <c r="IQJ81" s="684"/>
      <c r="IQK81" s="684"/>
      <c r="IQL81" s="684"/>
      <c r="IQM81" s="684"/>
      <c r="IQN81" s="684"/>
      <c r="IQO81" s="684"/>
      <c r="IQP81" s="684"/>
      <c r="IQQ81" s="684"/>
      <c r="IQR81" s="684"/>
      <c r="IQS81" s="684"/>
      <c r="IQT81" s="684"/>
      <c r="IQU81" s="684"/>
      <c r="IQV81" s="684"/>
      <c r="IQW81" s="684"/>
      <c r="IQX81" s="684"/>
      <c r="IQY81" s="684"/>
      <c r="IQZ81" s="684"/>
      <c r="IRA81" s="684"/>
      <c r="IRB81" s="684"/>
      <c r="IRC81" s="684"/>
      <c r="IRD81" s="684"/>
      <c r="IRE81" s="684"/>
      <c r="IRF81" s="684"/>
      <c r="IRG81" s="684"/>
      <c r="IRH81" s="684"/>
      <c r="IRI81" s="684"/>
      <c r="IRJ81" s="684"/>
      <c r="IRK81" s="684"/>
      <c r="IRL81" s="684"/>
      <c r="IRM81" s="684"/>
      <c r="IRN81" s="684"/>
      <c r="IRO81" s="684"/>
      <c r="IRP81" s="684"/>
      <c r="IRQ81" s="684"/>
      <c r="IRR81" s="684"/>
      <c r="IRS81" s="684"/>
      <c r="IRT81" s="684"/>
      <c r="IRU81" s="684"/>
      <c r="IRV81" s="684"/>
      <c r="IRW81" s="684"/>
      <c r="IRX81" s="684"/>
      <c r="IRY81" s="684"/>
      <c r="IRZ81" s="684"/>
      <c r="ISA81" s="684"/>
      <c r="ISB81" s="684"/>
      <c r="ISC81" s="684"/>
      <c r="ISD81" s="684"/>
      <c r="ISE81" s="684"/>
      <c r="ISF81" s="684"/>
      <c r="ISG81" s="684"/>
      <c r="ISH81" s="684"/>
      <c r="ISI81" s="684"/>
      <c r="ISJ81" s="684"/>
      <c r="ISK81" s="684"/>
      <c r="ISL81" s="684"/>
      <c r="ISM81" s="684"/>
      <c r="ISN81" s="684"/>
      <c r="ISO81" s="684"/>
      <c r="ISP81" s="684"/>
      <c r="ISQ81" s="684"/>
      <c r="ISR81" s="684"/>
      <c r="ISS81" s="684"/>
      <c r="IST81" s="684"/>
      <c r="ISU81" s="684"/>
      <c r="ISV81" s="684"/>
      <c r="ISW81" s="684"/>
      <c r="ISX81" s="684"/>
      <c r="ISY81" s="684"/>
      <c r="ISZ81" s="684"/>
      <c r="ITA81" s="684"/>
      <c r="ITB81" s="684"/>
      <c r="ITC81" s="684"/>
      <c r="ITD81" s="684"/>
      <c r="ITE81" s="684"/>
      <c r="ITF81" s="684"/>
      <c r="ITG81" s="684"/>
      <c r="ITH81" s="684"/>
      <c r="ITI81" s="684"/>
      <c r="ITJ81" s="684"/>
      <c r="ITK81" s="684"/>
      <c r="ITL81" s="684"/>
      <c r="ITM81" s="684"/>
      <c r="ITN81" s="684"/>
      <c r="ITO81" s="684"/>
      <c r="ITP81" s="684"/>
      <c r="ITQ81" s="684"/>
      <c r="ITR81" s="684"/>
      <c r="ITS81" s="684"/>
      <c r="ITT81" s="684"/>
      <c r="ITU81" s="684"/>
      <c r="ITV81" s="684"/>
      <c r="ITW81" s="684"/>
      <c r="ITX81" s="684"/>
      <c r="ITY81" s="684"/>
      <c r="ITZ81" s="684"/>
      <c r="IUA81" s="684"/>
      <c r="IUB81" s="684"/>
      <c r="IUC81" s="684"/>
      <c r="IUD81" s="684"/>
      <c r="IUE81" s="684"/>
      <c r="IUF81" s="684"/>
      <c r="IUG81" s="684"/>
      <c r="IUH81" s="684"/>
      <c r="IUI81" s="684"/>
      <c r="IUJ81" s="684"/>
      <c r="IUK81" s="684"/>
      <c r="IUL81" s="684"/>
      <c r="IUM81" s="684"/>
      <c r="IUN81" s="684"/>
      <c r="IUO81" s="684"/>
      <c r="IUP81" s="684"/>
      <c r="IUQ81" s="684"/>
      <c r="IUR81" s="684"/>
      <c r="IUS81" s="684"/>
      <c r="IUT81" s="684"/>
      <c r="IUU81" s="684"/>
      <c r="IUV81" s="684"/>
      <c r="IUW81" s="684"/>
      <c r="IUX81" s="684"/>
      <c r="IUY81" s="684"/>
      <c r="IUZ81" s="684"/>
      <c r="IVA81" s="684"/>
      <c r="IVB81" s="684"/>
      <c r="IVC81" s="684"/>
      <c r="IVD81" s="684"/>
      <c r="IVE81" s="684"/>
      <c r="IVF81" s="684"/>
      <c r="IVG81" s="684"/>
      <c r="IVH81" s="684"/>
      <c r="IVI81" s="684"/>
      <c r="IVJ81" s="684"/>
      <c r="IVK81" s="684"/>
      <c r="IVL81" s="684"/>
      <c r="IVM81" s="684"/>
      <c r="IVN81" s="684"/>
      <c r="IVO81" s="684"/>
      <c r="IVP81" s="684"/>
      <c r="IVQ81" s="684"/>
      <c r="IVR81" s="684"/>
      <c r="IVS81" s="684"/>
      <c r="IVT81" s="684"/>
      <c r="IVU81" s="684"/>
      <c r="IVV81" s="684"/>
      <c r="IVW81" s="684"/>
      <c r="IVX81" s="684"/>
      <c r="IVY81" s="684"/>
      <c r="IVZ81" s="684"/>
      <c r="IWA81" s="684"/>
      <c r="IWB81" s="684"/>
      <c r="IWC81" s="684"/>
      <c r="IWD81" s="684"/>
      <c r="IWE81" s="684"/>
      <c r="IWF81" s="684"/>
      <c r="IWG81" s="684"/>
      <c r="IWH81" s="684"/>
      <c r="IWI81" s="684"/>
      <c r="IWJ81" s="684"/>
      <c r="IWK81" s="684"/>
      <c r="IWL81" s="684"/>
      <c r="IWM81" s="684"/>
      <c r="IWN81" s="684"/>
      <c r="IWO81" s="684"/>
      <c r="IWP81" s="684"/>
      <c r="IWQ81" s="684"/>
      <c r="IWR81" s="684"/>
      <c r="IWS81" s="684"/>
      <c r="IWT81" s="684"/>
      <c r="IWU81" s="684"/>
      <c r="IWV81" s="684"/>
      <c r="IWW81" s="684"/>
      <c r="IWX81" s="684"/>
      <c r="IWY81" s="684"/>
      <c r="IWZ81" s="684"/>
      <c r="IXA81" s="684"/>
      <c r="IXB81" s="684"/>
      <c r="IXC81" s="684"/>
      <c r="IXD81" s="684"/>
      <c r="IXE81" s="684"/>
      <c r="IXF81" s="684"/>
      <c r="IXG81" s="684"/>
      <c r="IXH81" s="684"/>
      <c r="IXI81" s="684"/>
      <c r="IXJ81" s="684"/>
      <c r="IXK81" s="684"/>
      <c r="IXL81" s="684"/>
      <c r="IXM81" s="684"/>
      <c r="IXN81" s="684"/>
      <c r="IXO81" s="684"/>
      <c r="IXP81" s="684"/>
      <c r="IXQ81" s="684"/>
      <c r="IXR81" s="684"/>
      <c r="IXS81" s="684"/>
      <c r="IXT81" s="684"/>
      <c r="IXU81" s="684"/>
      <c r="IXV81" s="684"/>
      <c r="IXW81" s="684"/>
      <c r="IXX81" s="684"/>
      <c r="IXY81" s="684"/>
      <c r="IXZ81" s="684"/>
      <c r="IYA81" s="684"/>
      <c r="IYB81" s="684"/>
      <c r="IYC81" s="684"/>
      <c r="IYD81" s="684"/>
      <c r="IYE81" s="684"/>
      <c r="IYF81" s="684"/>
      <c r="IYG81" s="684"/>
      <c r="IYH81" s="684"/>
      <c r="IYI81" s="684"/>
      <c r="IYJ81" s="684"/>
      <c r="IYK81" s="684"/>
      <c r="IYL81" s="684"/>
      <c r="IYM81" s="684"/>
      <c r="IYN81" s="684"/>
      <c r="IYO81" s="684"/>
      <c r="IYP81" s="684"/>
      <c r="IYQ81" s="684"/>
      <c r="IYR81" s="684"/>
      <c r="IYS81" s="684"/>
      <c r="IYT81" s="684"/>
      <c r="IYU81" s="684"/>
      <c r="IYV81" s="684"/>
      <c r="IYW81" s="684"/>
      <c r="IYX81" s="684"/>
      <c r="IYY81" s="684"/>
      <c r="IYZ81" s="684"/>
      <c r="IZA81" s="684"/>
      <c r="IZB81" s="684"/>
      <c r="IZC81" s="684"/>
      <c r="IZD81" s="684"/>
      <c r="IZE81" s="684"/>
      <c r="IZF81" s="684"/>
      <c r="IZG81" s="684"/>
      <c r="IZH81" s="684"/>
      <c r="IZI81" s="684"/>
      <c r="IZJ81" s="684"/>
      <c r="IZK81" s="684"/>
      <c r="IZL81" s="684"/>
      <c r="IZM81" s="684"/>
      <c r="IZN81" s="684"/>
      <c r="IZO81" s="684"/>
      <c r="IZP81" s="684"/>
      <c r="IZQ81" s="684"/>
      <c r="IZR81" s="684"/>
      <c r="IZS81" s="684"/>
      <c r="IZT81" s="684"/>
      <c r="IZU81" s="684"/>
      <c r="IZV81" s="684"/>
      <c r="IZW81" s="684"/>
      <c r="IZX81" s="684"/>
      <c r="IZY81" s="684"/>
      <c r="IZZ81" s="684"/>
      <c r="JAA81" s="684"/>
      <c r="JAB81" s="684"/>
      <c r="JAC81" s="684"/>
      <c r="JAD81" s="684"/>
      <c r="JAE81" s="684"/>
      <c r="JAF81" s="684"/>
      <c r="JAG81" s="684"/>
      <c r="JAH81" s="684"/>
      <c r="JAI81" s="684"/>
      <c r="JAJ81" s="684"/>
      <c r="JAK81" s="684"/>
      <c r="JAL81" s="684"/>
      <c r="JAM81" s="684"/>
      <c r="JAN81" s="684"/>
      <c r="JAO81" s="684"/>
      <c r="JAP81" s="684"/>
      <c r="JAQ81" s="684"/>
      <c r="JAR81" s="684"/>
      <c r="JAS81" s="684"/>
      <c r="JAT81" s="684"/>
      <c r="JAU81" s="684"/>
      <c r="JAV81" s="684"/>
      <c r="JAW81" s="684"/>
      <c r="JAX81" s="684"/>
      <c r="JAY81" s="684"/>
      <c r="JAZ81" s="684"/>
      <c r="JBA81" s="684"/>
      <c r="JBB81" s="684"/>
      <c r="JBC81" s="684"/>
      <c r="JBD81" s="684"/>
      <c r="JBE81" s="684"/>
      <c r="JBF81" s="684"/>
      <c r="JBG81" s="684"/>
      <c r="JBH81" s="684"/>
      <c r="JBI81" s="684"/>
      <c r="JBJ81" s="684"/>
      <c r="JBK81" s="684"/>
      <c r="JBL81" s="684"/>
      <c r="JBM81" s="684"/>
      <c r="JBN81" s="684"/>
      <c r="JBO81" s="684"/>
      <c r="JBP81" s="684"/>
      <c r="JBQ81" s="684"/>
      <c r="JBR81" s="684"/>
      <c r="JBS81" s="684"/>
      <c r="JBT81" s="684"/>
      <c r="JBU81" s="684"/>
      <c r="JBV81" s="684"/>
      <c r="JBW81" s="684"/>
      <c r="JBX81" s="684"/>
      <c r="JBY81" s="684"/>
      <c r="JBZ81" s="684"/>
      <c r="JCA81" s="684"/>
      <c r="JCB81" s="684"/>
      <c r="JCC81" s="684"/>
      <c r="JCD81" s="684"/>
      <c r="JCE81" s="684"/>
      <c r="JCF81" s="684"/>
      <c r="JCG81" s="684"/>
      <c r="JCH81" s="684"/>
      <c r="JCI81" s="684"/>
      <c r="JCJ81" s="684"/>
      <c r="JCK81" s="684"/>
      <c r="JCL81" s="684"/>
      <c r="JCM81" s="684"/>
      <c r="JCN81" s="684"/>
      <c r="JCO81" s="684"/>
      <c r="JCP81" s="684"/>
      <c r="JCQ81" s="684"/>
      <c r="JCR81" s="684"/>
      <c r="JCS81" s="684"/>
      <c r="JCT81" s="684"/>
      <c r="JCU81" s="684"/>
      <c r="JCV81" s="684"/>
      <c r="JCW81" s="684"/>
      <c r="JCX81" s="684"/>
      <c r="JCY81" s="684"/>
      <c r="JCZ81" s="684"/>
      <c r="JDA81" s="684"/>
      <c r="JDB81" s="684"/>
      <c r="JDC81" s="684"/>
      <c r="JDD81" s="684"/>
      <c r="JDE81" s="684"/>
      <c r="JDF81" s="684"/>
      <c r="JDG81" s="684"/>
      <c r="JDH81" s="684"/>
      <c r="JDI81" s="684"/>
      <c r="JDJ81" s="684"/>
      <c r="JDK81" s="684"/>
      <c r="JDL81" s="684"/>
      <c r="JDM81" s="684"/>
      <c r="JDN81" s="684"/>
      <c r="JDO81" s="684"/>
      <c r="JDP81" s="684"/>
      <c r="JDQ81" s="684"/>
      <c r="JDR81" s="684"/>
      <c r="JDS81" s="684"/>
      <c r="JDT81" s="684"/>
      <c r="JDU81" s="684"/>
      <c r="JDV81" s="684"/>
      <c r="JDW81" s="684"/>
      <c r="JDX81" s="684"/>
      <c r="JDY81" s="684"/>
      <c r="JDZ81" s="684"/>
      <c r="JEA81" s="684"/>
      <c r="JEB81" s="684"/>
      <c r="JEC81" s="684"/>
      <c r="JED81" s="684"/>
      <c r="JEE81" s="684"/>
      <c r="JEF81" s="684"/>
      <c r="JEG81" s="684"/>
      <c r="JEH81" s="684"/>
      <c r="JEI81" s="684"/>
      <c r="JEJ81" s="684"/>
      <c r="JEK81" s="684"/>
      <c r="JEL81" s="684"/>
      <c r="JEM81" s="684"/>
      <c r="JEN81" s="684"/>
      <c r="JEO81" s="684"/>
      <c r="JEP81" s="684"/>
      <c r="JEQ81" s="684"/>
      <c r="JER81" s="684"/>
      <c r="JES81" s="684"/>
      <c r="JET81" s="684"/>
      <c r="JEU81" s="684"/>
      <c r="JEV81" s="684"/>
      <c r="JEW81" s="684"/>
      <c r="JEX81" s="684"/>
      <c r="JEY81" s="684"/>
      <c r="JEZ81" s="684"/>
      <c r="JFA81" s="684"/>
      <c r="JFB81" s="684"/>
      <c r="JFC81" s="684"/>
      <c r="JFD81" s="684"/>
      <c r="JFE81" s="684"/>
      <c r="JFF81" s="684"/>
      <c r="JFG81" s="684"/>
      <c r="JFH81" s="684"/>
      <c r="JFI81" s="684"/>
      <c r="JFJ81" s="684"/>
      <c r="JFK81" s="684"/>
      <c r="JFL81" s="684"/>
      <c r="JFM81" s="684"/>
      <c r="JFN81" s="684"/>
      <c r="JFO81" s="684"/>
      <c r="JFP81" s="684"/>
      <c r="JFQ81" s="684"/>
      <c r="JFR81" s="684"/>
      <c r="JFS81" s="684"/>
      <c r="JFT81" s="684"/>
      <c r="JFU81" s="684"/>
      <c r="JFV81" s="684"/>
      <c r="JFW81" s="684"/>
      <c r="JFX81" s="684"/>
      <c r="JFY81" s="684"/>
      <c r="JFZ81" s="684"/>
      <c r="JGA81" s="684"/>
      <c r="JGB81" s="684"/>
      <c r="JGC81" s="684"/>
      <c r="JGD81" s="684"/>
      <c r="JGE81" s="684"/>
      <c r="JGF81" s="684"/>
      <c r="JGG81" s="684"/>
      <c r="JGH81" s="684"/>
      <c r="JGI81" s="684"/>
      <c r="JGJ81" s="684"/>
      <c r="JGK81" s="684"/>
      <c r="JGL81" s="684"/>
      <c r="JGM81" s="684"/>
      <c r="JGN81" s="684"/>
      <c r="JGO81" s="684"/>
      <c r="JGP81" s="684"/>
      <c r="JGQ81" s="684"/>
      <c r="JGR81" s="684"/>
      <c r="JGS81" s="684"/>
      <c r="JGT81" s="684"/>
      <c r="JGU81" s="684"/>
      <c r="JGV81" s="684"/>
      <c r="JGW81" s="684"/>
      <c r="JGX81" s="684"/>
      <c r="JGY81" s="684"/>
      <c r="JGZ81" s="684"/>
      <c r="JHA81" s="684"/>
      <c r="JHB81" s="684"/>
      <c r="JHC81" s="684"/>
      <c r="JHD81" s="684"/>
      <c r="JHE81" s="684"/>
      <c r="JHF81" s="684"/>
      <c r="JHG81" s="684"/>
      <c r="JHH81" s="684"/>
      <c r="JHI81" s="684"/>
      <c r="JHJ81" s="684"/>
      <c r="JHK81" s="684"/>
      <c r="JHL81" s="684"/>
      <c r="JHM81" s="684"/>
      <c r="JHN81" s="684"/>
      <c r="JHO81" s="684"/>
      <c r="JHP81" s="684"/>
      <c r="JHQ81" s="684"/>
      <c r="JHR81" s="684"/>
      <c r="JHS81" s="684"/>
      <c r="JHT81" s="684"/>
      <c r="JHU81" s="684"/>
      <c r="JHV81" s="684"/>
      <c r="JHW81" s="684"/>
      <c r="JHX81" s="684"/>
      <c r="JHY81" s="684"/>
      <c r="JHZ81" s="684"/>
      <c r="JIA81" s="684"/>
      <c r="JIB81" s="684"/>
      <c r="JIC81" s="684"/>
      <c r="JID81" s="684"/>
      <c r="JIE81" s="684"/>
      <c r="JIF81" s="684"/>
      <c r="JIG81" s="684"/>
      <c r="JIH81" s="684"/>
      <c r="JII81" s="684"/>
      <c r="JIJ81" s="684"/>
      <c r="JIK81" s="684"/>
      <c r="JIL81" s="684"/>
      <c r="JIM81" s="684"/>
      <c r="JIN81" s="684"/>
      <c r="JIO81" s="684"/>
      <c r="JIP81" s="684"/>
      <c r="JIQ81" s="684"/>
      <c r="JIR81" s="684"/>
      <c r="JIS81" s="684"/>
      <c r="JIT81" s="684"/>
      <c r="JIU81" s="684"/>
      <c r="JIV81" s="684"/>
      <c r="JIW81" s="684"/>
      <c r="JIX81" s="684"/>
      <c r="JIY81" s="684"/>
      <c r="JIZ81" s="684"/>
      <c r="JJA81" s="684"/>
      <c r="JJB81" s="684"/>
      <c r="JJC81" s="684"/>
      <c r="JJD81" s="684"/>
      <c r="JJE81" s="684"/>
      <c r="JJF81" s="684"/>
      <c r="JJG81" s="684"/>
      <c r="JJH81" s="684"/>
      <c r="JJI81" s="684"/>
      <c r="JJJ81" s="684"/>
      <c r="JJK81" s="684"/>
      <c r="JJL81" s="684"/>
      <c r="JJM81" s="684"/>
      <c r="JJN81" s="684"/>
      <c r="JJO81" s="684"/>
      <c r="JJP81" s="684"/>
      <c r="JJQ81" s="684"/>
      <c r="JJR81" s="684"/>
      <c r="JJS81" s="684"/>
      <c r="JJT81" s="684"/>
      <c r="JJU81" s="684"/>
      <c r="JJV81" s="684"/>
      <c r="JJW81" s="684"/>
      <c r="JJX81" s="684"/>
      <c r="JJY81" s="684"/>
      <c r="JJZ81" s="684"/>
      <c r="JKA81" s="684"/>
      <c r="JKB81" s="684"/>
      <c r="JKC81" s="684"/>
      <c r="JKD81" s="684"/>
      <c r="JKE81" s="684"/>
      <c r="JKF81" s="684"/>
      <c r="JKG81" s="684"/>
      <c r="JKH81" s="684"/>
      <c r="JKI81" s="684"/>
      <c r="JKJ81" s="684"/>
      <c r="JKK81" s="684"/>
      <c r="JKL81" s="684"/>
      <c r="JKM81" s="684"/>
      <c r="JKN81" s="684"/>
      <c r="JKO81" s="684"/>
      <c r="JKP81" s="684"/>
      <c r="JKQ81" s="684"/>
      <c r="JKR81" s="684"/>
      <c r="JKS81" s="684"/>
      <c r="JKT81" s="684"/>
      <c r="JKU81" s="684"/>
      <c r="JKV81" s="684"/>
      <c r="JKW81" s="684"/>
      <c r="JKX81" s="684"/>
      <c r="JKY81" s="684"/>
      <c r="JKZ81" s="684"/>
      <c r="JLA81" s="684"/>
      <c r="JLB81" s="684"/>
      <c r="JLC81" s="684"/>
      <c r="JLD81" s="684"/>
      <c r="JLE81" s="684"/>
      <c r="JLF81" s="684"/>
      <c r="JLG81" s="684"/>
      <c r="JLH81" s="684"/>
      <c r="JLI81" s="684"/>
      <c r="JLJ81" s="684"/>
      <c r="JLK81" s="684"/>
      <c r="JLL81" s="684"/>
      <c r="JLM81" s="684"/>
      <c r="JLN81" s="684"/>
      <c r="JLO81" s="684"/>
      <c r="JLP81" s="684"/>
      <c r="JLQ81" s="684"/>
      <c r="JLR81" s="684"/>
      <c r="JLS81" s="684"/>
      <c r="JLT81" s="684"/>
      <c r="JLU81" s="684"/>
      <c r="JLV81" s="684"/>
      <c r="JLW81" s="684"/>
      <c r="JLX81" s="684"/>
      <c r="JLY81" s="684"/>
      <c r="JLZ81" s="684"/>
      <c r="JMA81" s="684"/>
      <c r="JMB81" s="684"/>
      <c r="JMC81" s="684"/>
      <c r="JMD81" s="684"/>
      <c r="JME81" s="684"/>
      <c r="JMF81" s="684"/>
      <c r="JMG81" s="684"/>
      <c r="JMH81" s="684"/>
      <c r="JMI81" s="684"/>
      <c r="JMJ81" s="684"/>
      <c r="JMK81" s="684"/>
      <c r="JML81" s="684"/>
      <c r="JMM81" s="684"/>
      <c r="JMN81" s="684"/>
      <c r="JMO81" s="684"/>
      <c r="JMP81" s="684"/>
      <c r="JMQ81" s="684"/>
      <c r="JMR81" s="684"/>
      <c r="JMS81" s="684"/>
      <c r="JMT81" s="684"/>
      <c r="JMU81" s="684"/>
      <c r="JMV81" s="684"/>
      <c r="JMW81" s="684"/>
      <c r="JMX81" s="684"/>
      <c r="JMY81" s="684"/>
      <c r="JMZ81" s="684"/>
      <c r="JNA81" s="684"/>
      <c r="JNB81" s="684"/>
      <c r="JNC81" s="684"/>
      <c r="JND81" s="684"/>
      <c r="JNE81" s="684"/>
      <c r="JNF81" s="684"/>
      <c r="JNG81" s="684"/>
      <c r="JNH81" s="684"/>
      <c r="JNI81" s="684"/>
      <c r="JNJ81" s="684"/>
      <c r="JNK81" s="684"/>
      <c r="JNL81" s="684"/>
      <c r="JNM81" s="684"/>
      <c r="JNN81" s="684"/>
      <c r="JNO81" s="684"/>
      <c r="JNP81" s="684"/>
      <c r="JNQ81" s="684"/>
      <c r="JNR81" s="684"/>
      <c r="JNS81" s="684"/>
      <c r="JNT81" s="684"/>
      <c r="JNU81" s="684"/>
      <c r="JNV81" s="684"/>
      <c r="JNW81" s="684"/>
      <c r="JNX81" s="684"/>
      <c r="JNY81" s="684"/>
      <c r="JNZ81" s="684"/>
      <c r="JOA81" s="684"/>
      <c r="JOB81" s="684"/>
      <c r="JOC81" s="684"/>
      <c r="JOD81" s="684"/>
      <c r="JOE81" s="684"/>
      <c r="JOF81" s="684"/>
      <c r="JOG81" s="684"/>
      <c r="JOH81" s="684"/>
      <c r="JOI81" s="684"/>
      <c r="JOJ81" s="684"/>
      <c r="JOK81" s="684"/>
      <c r="JOL81" s="684"/>
      <c r="JOM81" s="684"/>
      <c r="JON81" s="684"/>
      <c r="JOO81" s="684"/>
      <c r="JOP81" s="684"/>
      <c r="JOQ81" s="684"/>
      <c r="JOR81" s="684"/>
      <c r="JOS81" s="684"/>
      <c r="JOT81" s="684"/>
      <c r="JOU81" s="684"/>
      <c r="JOV81" s="684"/>
      <c r="JOW81" s="684"/>
      <c r="JOX81" s="684"/>
      <c r="JOY81" s="684"/>
      <c r="JOZ81" s="684"/>
      <c r="JPA81" s="684"/>
      <c r="JPB81" s="684"/>
      <c r="JPC81" s="684"/>
      <c r="JPD81" s="684"/>
      <c r="JPE81" s="684"/>
      <c r="JPF81" s="684"/>
      <c r="JPG81" s="684"/>
      <c r="JPH81" s="684"/>
      <c r="JPI81" s="684"/>
      <c r="JPJ81" s="684"/>
      <c r="JPK81" s="684"/>
      <c r="JPL81" s="684"/>
      <c r="JPM81" s="684"/>
      <c r="JPN81" s="684"/>
      <c r="JPO81" s="684"/>
      <c r="JPP81" s="684"/>
      <c r="JPQ81" s="684"/>
      <c r="JPR81" s="684"/>
      <c r="JPS81" s="684"/>
      <c r="JPT81" s="684"/>
      <c r="JPU81" s="684"/>
      <c r="JPV81" s="684"/>
      <c r="JPW81" s="684"/>
      <c r="JPX81" s="684"/>
      <c r="JPY81" s="684"/>
      <c r="JPZ81" s="684"/>
      <c r="JQA81" s="684"/>
      <c r="JQB81" s="684"/>
      <c r="JQC81" s="684"/>
      <c r="JQD81" s="684"/>
      <c r="JQE81" s="684"/>
      <c r="JQF81" s="684"/>
      <c r="JQG81" s="684"/>
      <c r="JQH81" s="684"/>
      <c r="JQI81" s="684"/>
      <c r="JQJ81" s="684"/>
      <c r="JQK81" s="684"/>
      <c r="JQL81" s="684"/>
      <c r="JQM81" s="684"/>
      <c r="JQN81" s="684"/>
      <c r="JQO81" s="684"/>
      <c r="JQP81" s="684"/>
      <c r="JQQ81" s="684"/>
      <c r="JQR81" s="684"/>
      <c r="JQS81" s="684"/>
      <c r="JQT81" s="684"/>
      <c r="JQU81" s="684"/>
      <c r="JQV81" s="684"/>
      <c r="JQW81" s="684"/>
      <c r="JQX81" s="684"/>
      <c r="JQY81" s="684"/>
      <c r="JQZ81" s="684"/>
      <c r="JRA81" s="684"/>
      <c r="JRB81" s="684"/>
      <c r="JRC81" s="684"/>
      <c r="JRD81" s="684"/>
      <c r="JRE81" s="684"/>
      <c r="JRF81" s="684"/>
      <c r="JRG81" s="684"/>
      <c r="JRH81" s="684"/>
      <c r="JRI81" s="684"/>
      <c r="JRJ81" s="684"/>
      <c r="JRK81" s="684"/>
      <c r="JRL81" s="684"/>
      <c r="JRM81" s="684"/>
      <c r="JRN81" s="684"/>
      <c r="JRO81" s="684"/>
      <c r="JRP81" s="684"/>
      <c r="JRQ81" s="684"/>
      <c r="JRR81" s="684"/>
      <c r="JRS81" s="684"/>
      <c r="JRT81" s="684"/>
      <c r="JRU81" s="684"/>
      <c r="JRV81" s="684"/>
      <c r="JRW81" s="684"/>
      <c r="JRX81" s="684"/>
      <c r="JRY81" s="684"/>
      <c r="JRZ81" s="684"/>
      <c r="JSA81" s="684"/>
      <c r="JSB81" s="684"/>
      <c r="JSC81" s="684"/>
      <c r="JSD81" s="684"/>
      <c r="JSE81" s="684"/>
      <c r="JSF81" s="684"/>
      <c r="JSG81" s="684"/>
      <c r="JSH81" s="684"/>
      <c r="JSI81" s="684"/>
      <c r="JSJ81" s="684"/>
      <c r="JSK81" s="684"/>
      <c r="JSL81" s="684"/>
      <c r="JSM81" s="684"/>
      <c r="JSN81" s="684"/>
      <c r="JSO81" s="684"/>
      <c r="JSP81" s="684"/>
      <c r="JSQ81" s="684"/>
      <c r="JSR81" s="684"/>
      <c r="JSS81" s="684"/>
      <c r="JST81" s="684"/>
      <c r="JSU81" s="684"/>
      <c r="JSV81" s="684"/>
      <c r="JSW81" s="684"/>
      <c r="JSX81" s="684"/>
      <c r="JSY81" s="684"/>
      <c r="JSZ81" s="684"/>
      <c r="JTA81" s="684"/>
      <c r="JTB81" s="684"/>
      <c r="JTC81" s="684"/>
      <c r="JTD81" s="684"/>
      <c r="JTE81" s="684"/>
      <c r="JTF81" s="684"/>
      <c r="JTG81" s="684"/>
      <c r="JTH81" s="684"/>
      <c r="JTI81" s="684"/>
      <c r="JTJ81" s="684"/>
      <c r="JTK81" s="684"/>
      <c r="JTL81" s="684"/>
      <c r="JTM81" s="684"/>
      <c r="JTN81" s="684"/>
      <c r="JTO81" s="684"/>
      <c r="JTP81" s="684"/>
      <c r="JTQ81" s="684"/>
      <c r="JTR81" s="684"/>
      <c r="JTS81" s="684"/>
      <c r="JTT81" s="684"/>
      <c r="JTU81" s="684"/>
      <c r="JTV81" s="684"/>
      <c r="JTW81" s="684"/>
      <c r="JTX81" s="684"/>
      <c r="JTY81" s="684"/>
      <c r="JTZ81" s="684"/>
      <c r="JUA81" s="684"/>
      <c r="JUB81" s="684"/>
      <c r="JUC81" s="684"/>
      <c r="JUD81" s="684"/>
      <c r="JUE81" s="684"/>
      <c r="JUF81" s="684"/>
      <c r="JUG81" s="684"/>
      <c r="JUH81" s="684"/>
      <c r="JUI81" s="684"/>
      <c r="JUJ81" s="684"/>
      <c r="JUK81" s="684"/>
      <c r="JUL81" s="684"/>
      <c r="JUM81" s="684"/>
      <c r="JUN81" s="684"/>
      <c r="JUO81" s="684"/>
      <c r="JUP81" s="684"/>
      <c r="JUQ81" s="684"/>
      <c r="JUR81" s="684"/>
      <c r="JUS81" s="684"/>
      <c r="JUT81" s="684"/>
      <c r="JUU81" s="684"/>
      <c r="JUV81" s="684"/>
      <c r="JUW81" s="684"/>
      <c r="JUX81" s="684"/>
      <c r="JUY81" s="684"/>
      <c r="JUZ81" s="684"/>
      <c r="JVA81" s="684"/>
      <c r="JVB81" s="684"/>
      <c r="JVC81" s="684"/>
      <c r="JVD81" s="684"/>
      <c r="JVE81" s="684"/>
      <c r="JVF81" s="684"/>
      <c r="JVG81" s="684"/>
      <c r="JVH81" s="684"/>
      <c r="JVI81" s="684"/>
      <c r="JVJ81" s="684"/>
      <c r="JVK81" s="684"/>
      <c r="JVL81" s="684"/>
      <c r="JVM81" s="684"/>
      <c r="JVN81" s="684"/>
      <c r="JVO81" s="684"/>
      <c r="JVP81" s="684"/>
      <c r="JVQ81" s="684"/>
      <c r="JVR81" s="684"/>
      <c r="JVS81" s="684"/>
      <c r="JVT81" s="684"/>
      <c r="JVU81" s="684"/>
      <c r="JVV81" s="684"/>
      <c r="JVW81" s="684"/>
      <c r="JVX81" s="684"/>
      <c r="JVY81" s="684"/>
      <c r="JVZ81" s="684"/>
      <c r="JWA81" s="684"/>
      <c r="JWB81" s="684"/>
      <c r="JWC81" s="684"/>
      <c r="JWD81" s="684"/>
      <c r="JWE81" s="684"/>
      <c r="JWF81" s="684"/>
      <c r="JWG81" s="684"/>
      <c r="JWH81" s="684"/>
      <c r="JWI81" s="684"/>
      <c r="JWJ81" s="684"/>
      <c r="JWK81" s="684"/>
      <c r="JWL81" s="684"/>
      <c r="JWM81" s="684"/>
      <c r="JWN81" s="684"/>
      <c r="JWO81" s="684"/>
      <c r="JWP81" s="684"/>
      <c r="JWQ81" s="684"/>
      <c r="JWR81" s="684"/>
      <c r="JWS81" s="684"/>
      <c r="JWT81" s="684"/>
      <c r="JWU81" s="684"/>
      <c r="JWV81" s="684"/>
      <c r="JWW81" s="684"/>
      <c r="JWX81" s="684"/>
      <c r="JWY81" s="684"/>
      <c r="JWZ81" s="684"/>
      <c r="JXA81" s="684"/>
      <c r="JXB81" s="684"/>
      <c r="JXC81" s="684"/>
      <c r="JXD81" s="684"/>
      <c r="JXE81" s="684"/>
      <c r="JXF81" s="684"/>
      <c r="JXG81" s="684"/>
      <c r="JXH81" s="684"/>
      <c r="JXI81" s="684"/>
      <c r="JXJ81" s="684"/>
      <c r="JXK81" s="684"/>
      <c r="JXL81" s="684"/>
      <c r="JXM81" s="684"/>
      <c r="JXN81" s="684"/>
      <c r="JXO81" s="684"/>
      <c r="JXP81" s="684"/>
      <c r="JXQ81" s="684"/>
      <c r="JXR81" s="684"/>
      <c r="JXS81" s="684"/>
      <c r="JXT81" s="684"/>
      <c r="JXU81" s="684"/>
      <c r="JXV81" s="684"/>
      <c r="JXW81" s="684"/>
      <c r="JXX81" s="684"/>
      <c r="JXY81" s="684"/>
      <c r="JXZ81" s="684"/>
      <c r="JYA81" s="684"/>
      <c r="JYB81" s="684"/>
      <c r="JYC81" s="684"/>
      <c r="JYD81" s="684"/>
      <c r="JYE81" s="684"/>
      <c r="JYF81" s="684"/>
      <c r="JYG81" s="684"/>
      <c r="JYH81" s="684"/>
      <c r="JYI81" s="684"/>
      <c r="JYJ81" s="684"/>
      <c r="JYK81" s="684"/>
      <c r="JYL81" s="684"/>
      <c r="JYM81" s="684"/>
      <c r="JYN81" s="684"/>
      <c r="JYO81" s="684"/>
      <c r="JYP81" s="684"/>
      <c r="JYQ81" s="684"/>
      <c r="JYR81" s="684"/>
      <c r="JYS81" s="684"/>
      <c r="JYT81" s="684"/>
      <c r="JYU81" s="684"/>
      <c r="JYV81" s="684"/>
      <c r="JYW81" s="684"/>
      <c r="JYX81" s="684"/>
      <c r="JYY81" s="684"/>
      <c r="JYZ81" s="684"/>
      <c r="JZA81" s="684"/>
      <c r="JZB81" s="684"/>
      <c r="JZC81" s="684"/>
      <c r="JZD81" s="684"/>
      <c r="JZE81" s="684"/>
      <c r="JZF81" s="684"/>
      <c r="JZG81" s="684"/>
      <c r="JZH81" s="684"/>
      <c r="JZI81" s="684"/>
      <c r="JZJ81" s="684"/>
      <c r="JZK81" s="684"/>
      <c r="JZL81" s="684"/>
      <c r="JZM81" s="684"/>
      <c r="JZN81" s="684"/>
      <c r="JZO81" s="684"/>
      <c r="JZP81" s="684"/>
      <c r="JZQ81" s="684"/>
      <c r="JZR81" s="684"/>
      <c r="JZS81" s="684"/>
      <c r="JZT81" s="684"/>
      <c r="JZU81" s="684"/>
      <c r="JZV81" s="684"/>
      <c r="JZW81" s="684"/>
      <c r="JZX81" s="684"/>
      <c r="JZY81" s="684"/>
      <c r="JZZ81" s="684"/>
      <c r="KAA81" s="684"/>
      <c r="KAB81" s="684"/>
      <c r="KAC81" s="684"/>
      <c r="KAD81" s="684"/>
      <c r="KAE81" s="684"/>
      <c r="KAF81" s="684"/>
      <c r="KAG81" s="684"/>
      <c r="KAH81" s="684"/>
      <c r="KAI81" s="684"/>
      <c r="KAJ81" s="684"/>
      <c r="KAK81" s="684"/>
      <c r="KAL81" s="684"/>
      <c r="KAM81" s="684"/>
      <c r="KAN81" s="684"/>
      <c r="KAO81" s="684"/>
      <c r="KAP81" s="684"/>
      <c r="KAQ81" s="684"/>
      <c r="KAR81" s="684"/>
      <c r="KAS81" s="684"/>
      <c r="KAT81" s="684"/>
      <c r="KAU81" s="684"/>
      <c r="KAV81" s="684"/>
      <c r="KAW81" s="684"/>
      <c r="KAX81" s="684"/>
      <c r="KAY81" s="684"/>
      <c r="KAZ81" s="684"/>
      <c r="KBA81" s="684"/>
      <c r="KBB81" s="684"/>
      <c r="KBC81" s="684"/>
      <c r="KBD81" s="684"/>
      <c r="KBE81" s="684"/>
      <c r="KBF81" s="684"/>
      <c r="KBG81" s="684"/>
      <c r="KBH81" s="684"/>
      <c r="KBI81" s="684"/>
      <c r="KBJ81" s="684"/>
      <c r="KBK81" s="684"/>
      <c r="KBL81" s="684"/>
      <c r="KBM81" s="684"/>
      <c r="KBN81" s="684"/>
      <c r="KBO81" s="684"/>
      <c r="KBP81" s="684"/>
      <c r="KBQ81" s="684"/>
      <c r="KBR81" s="684"/>
      <c r="KBS81" s="684"/>
      <c r="KBT81" s="684"/>
      <c r="KBU81" s="684"/>
      <c r="KBV81" s="684"/>
      <c r="KBW81" s="684"/>
      <c r="KBX81" s="684"/>
      <c r="KBY81" s="684"/>
      <c r="KBZ81" s="684"/>
      <c r="KCA81" s="684"/>
      <c r="KCB81" s="684"/>
      <c r="KCC81" s="684"/>
      <c r="KCD81" s="684"/>
      <c r="KCE81" s="684"/>
      <c r="KCF81" s="684"/>
      <c r="KCG81" s="684"/>
      <c r="KCH81" s="684"/>
      <c r="KCI81" s="684"/>
      <c r="KCJ81" s="684"/>
      <c r="KCK81" s="684"/>
      <c r="KCL81" s="684"/>
      <c r="KCM81" s="684"/>
      <c r="KCN81" s="684"/>
      <c r="KCO81" s="684"/>
      <c r="KCP81" s="684"/>
      <c r="KCQ81" s="684"/>
      <c r="KCR81" s="684"/>
      <c r="KCS81" s="684"/>
      <c r="KCT81" s="684"/>
      <c r="KCU81" s="684"/>
      <c r="KCV81" s="684"/>
      <c r="KCW81" s="684"/>
      <c r="KCX81" s="684"/>
      <c r="KCY81" s="684"/>
      <c r="KCZ81" s="684"/>
      <c r="KDA81" s="684"/>
      <c r="KDB81" s="684"/>
      <c r="KDC81" s="684"/>
      <c r="KDD81" s="684"/>
      <c r="KDE81" s="684"/>
      <c r="KDF81" s="684"/>
      <c r="KDG81" s="684"/>
      <c r="KDH81" s="684"/>
      <c r="KDI81" s="684"/>
      <c r="KDJ81" s="684"/>
      <c r="KDK81" s="684"/>
      <c r="KDL81" s="684"/>
      <c r="KDM81" s="684"/>
      <c r="KDN81" s="684"/>
      <c r="KDO81" s="684"/>
      <c r="KDP81" s="684"/>
      <c r="KDQ81" s="684"/>
      <c r="KDR81" s="684"/>
      <c r="KDS81" s="684"/>
      <c r="KDT81" s="684"/>
      <c r="KDU81" s="684"/>
      <c r="KDV81" s="684"/>
      <c r="KDW81" s="684"/>
      <c r="KDX81" s="684"/>
      <c r="KDY81" s="684"/>
      <c r="KDZ81" s="684"/>
      <c r="KEA81" s="684"/>
      <c r="KEB81" s="684"/>
      <c r="KEC81" s="684"/>
      <c r="KED81" s="684"/>
      <c r="KEE81" s="684"/>
      <c r="KEF81" s="684"/>
      <c r="KEG81" s="684"/>
      <c r="KEH81" s="684"/>
      <c r="KEI81" s="684"/>
      <c r="KEJ81" s="684"/>
      <c r="KEK81" s="684"/>
      <c r="KEL81" s="684"/>
      <c r="KEM81" s="684"/>
      <c r="KEN81" s="684"/>
      <c r="KEO81" s="684"/>
      <c r="KEP81" s="684"/>
      <c r="KEQ81" s="684"/>
      <c r="KER81" s="684"/>
      <c r="KES81" s="684"/>
      <c r="KET81" s="684"/>
      <c r="KEU81" s="684"/>
      <c r="KEV81" s="684"/>
      <c r="KEW81" s="684"/>
      <c r="KEX81" s="684"/>
      <c r="KEY81" s="684"/>
      <c r="KEZ81" s="684"/>
      <c r="KFA81" s="684"/>
      <c r="KFB81" s="684"/>
      <c r="KFC81" s="684"/>
      <c r="KFD81" s="684"/>
      <c r="KFE81" s="684"/>
      <c r="KFF81" s="684"/>
      <c r="KFG81" s="684"/>
      <c r="KFH81" s="684"/>
      <c r="KFI81" s="684"/>
      <c r="KFJ81" s="684"/>
      <c r="KFK81" s="684"/>
      <c r="KFL81" s="684"/>
      <c r="KFM81" s="684"/>
      <c r="KFN81" s="684"/>
      <c r="KFO81" s="684"/>
      <c r="KFP81" s="684"/>
      <c r="KFQ81" s="684"/>
      <c r="KFR81" s="684"/>
      <c r="KFS81" s="684"/>
      <c r="KFT81" s="684"/>
      <c r="KFU81" s="684"/>
      <c r="KFV81" s="684"/>
      <c r="KFW81" s="684"/>
      <c r="KFX81" s="684"/>
      <c r="KFY81" s="684"/>
      <c r="KFZ81" s="684"/>
      <c r="KGA81" s="684"/>
      <c r="KGB81" s="684"/>
      <c r="KGC81" s="684"/>
      <c r="KGD81" s="684"/>
      <c r="KGE81" s="684"/>
      <c r="KGF81" s="684"/>
      <c r="KGG81" s="684"/>
      <c r="KGH81" s="684"/>
      <c r="KGI81" s="684"/>
      <c r="KGJ81" s="684"/>
      <c r="KGK81" s="684"/>
      <c r="KGL81" s="684"/>
      <c r="KGM81" s="684"/>
      <c r="KGN81" s="684"/>
      <c r="KGO81" s="684"/>
      <c r="KGP81" s="684"/>
      <c r="KGQ81" s="684"/>
      <c r="KGR81" s="684"/>
      <c r="KGS81" s="684"/>
      <c r="KGT81" s="684"/>
      <c r="KGU81" s="684"/>
      <c r="KGV81" s="684"/>
      <c r="KGW81" s="684"/>
      <c r="KGX81" s="684"/>
      <c r="KGY81" s="684"/>
      <c r="KGZ81" s="684"/>
      <c r="KHA81" s="684"/>
      <c r="KHB81" s="684"/>
      <c r="KHC81" s="684"/>
      <c r="KHD81" s="684"/>
      <c r="KHE81" s="684"/>
      <c r="KHF81" s="684"/>
      <c r="KHG81" s="684"/>
      <c r="KHH81" s="684"/>
      <c r="KHI81" s="684"/>
      <c r="KHJ81" s="684"/>
      <c r="KHK81" s="684"/>
      <c r="KHL81" s="684"/>
      <c r="KHM81" s="684"/>
      <c r="KHN81" s="684"/>
      <c r="KHO81" s="684"/>
      <c r="KHP81" s="684"/>
      <c r="KHQ81" s="684"/>
      <c r="KHR81" s="684"/>
      <c r="KHS81" s="684"/>
      <c r="KHT81" s="684"/>
      <c r="KHU81" s="684"/>
      <c r="KHV81" s="684"/>
      <c r="KHW81" s="684"/>
      <c r="KHX81" s="684"/>
      <c r="KHY81" s="684"/>
      <c r="KHZ81" s="684"/>
      <c r="KIA81" s="684"/>
      <c r="KIB81" s="684"/>
      <c r="KIC81" s="684"/>
      <c r="KID81" s="684"/>
      <c r="KIE81" s="684"/>
      <c r="KIF81" s="684"/>
      <c r="KIG81" s="684"/>
      <c r="KIH81" s="684"/>
      <c r="KII81" s="684"/>
      <c r="KIJ81" s="684"/>
      <c r="KIK81" s="684"/>
      <c r="KIL81" s="684"/>
      <c r="KIM81" s="684"/>
      <c r="KIN81" s="684"/>
      <c r="KIO81" s="684"/>
      <c r="KIP81" s="684"/>
      <c r="KIQ81" s="684"/>
      <c r="KIR81" s="684"/>
      <c r="KIS81" s="684"/>
      <c r="KIT81" s="684"/>
      <c r="KIU81" s="684"/>
      <c r="KIV81" s="684"/>
      <c r="KIW81" s="684"/>
      <c r="KIX81" s="684"/>
      <c r="KIY81" s="684"/>
      <c r="KIZ81" s="684"/>
      <c r="KJA81" s="684"/>
      <c r="KJB81" s="684"/>
      <c r="KJC81" s="684"/>
      <c r="KJD81" s="684"/>
      <c r="KJE81" s="684"/>
      <c r="KJF81" s="684"/>
      <c r="KJG81" s="684"/>
      <c r="KJH81" s="684"/>
      <c r="KJI81" s="684"/>
      <c r="KJJ81" s="684"/>
      <c r="KJK81" s="684"/>
      <c r="KJL81" s="684"/>
      <c r="KJM81" s="684"/>
      <c r="KJN81" s="684"/>
      <c r="KJO81" s="684"/>
      <c r="KJP81" s="684"/>
      <c r="KJQ81" s="684"/>
      <c r="KJR81" s="684"/>
      <c r="KJS81" s="684"/>
      <c r="KJT81" s="684"/>
      <c r="KJU81" s="684"/>
      <c r="KJV81" s="684"/>
      <c r="KJW81" s="684"/>
      <c r="KJX81" s="684"/>
      <c r="KJY81" s="684"/>
      <c r="KJZ81" s="684"/>
      <c r="KKA81" s="684"/>
      <c r="KKB81" s="684"/>
      <c r="KKC81" s="684"/>
      <c r="KKD81" s="684"/>
      <c r="KKE81" s="684"/>
      <c r="KKF81" s="684"/>
      <c r="KKG81" s="684"/>
      <c r="KKH81" s="684"/>
      <c r="KKI81" s="684"/>
      <c r="KKJ81" s="684"/>
      <c r="KKK81" s="684"/>
      <c r="KKL81" s="684"/>
      <c r="KKM81" s="684"/>
      <c r="KKN81" s="684"/>
      <c r="KKO81" s="684"/>
      <c r="KKP81" s="684"/>
      <c r="KKQ81" s="684"/>
      <c r="KKR81" s="684"/>
      <c r="KKS81" s="684"/>
      <c r="KKT81" s="684"/>
      <c r="KKU81" s="684"/>
      <c r="KKV81" s="684"/>
      <c r="KKW81" s="684"/>
      <c r="KKX81" s="684"/>
      <c r="KKY81" s="684"/>
      <c r="KKZ81" s="684"/>
      <c r="KLA81" s="684"/>
      <c r="KLB81" s="684"/>
      <c r="KLC81" s="684"/>
      <c r="KLD81" s="684"/>
      <c r="KLE81" s="684"/>
      <c r="KLF81" s="684"/>
      <c r="KLG81" s="684"/>
      <c r="KLH81" s="684"/>
      <c r="KLI81" s="684"/>
      <c r="KLJ81" s="684"/>
      <c r="KLK81" s="684"/>
      <c r="KLL81" s="684"/>
      <c r="KLM81" s="684"/>
      <c r="KLN81" s="684"/>
      <c r="KLO81" s="684"/>
      <c r="KLP81" s="684"/>
      <c r="KLQ81" s="684"/>
      <c r="KLR81" s="684"/>
      <c r="KLS81" s="684"/>
      <c r="KLT81" s="684"/>
      <c r="KLU81" s="684"/>
      <c r="KLV81" s="684"/>
      <c r="KLW81" s="684"/>
      <c r="KLX81" s="684"/>
      <c r="KLY81" s="684"/>
      <c r="KLZ81" s="684"/>
      <c r="KMA81" s="684"/>
      <c r="KMB81" s="684"/>
      <c r="KMC81" s="684"/>
      <c r="KMD81" s="684"/>
      <c r="KME81" s="684"/>
      <c r="KMF81" s="684"/>
      <c r="KMG81" s="684"/>
      <c r="KMH81" s="684"/>
      <c r="KMI81" s="684"/>
      <c r="KMJ81" s="684"/>
      <c r="KMK81" s="684"/>
      <c r="KML81" s="684"/>
      <c r="KMM81" s="684"/>
      <c r="KMN81" s="684"/>
      <c r="KMO81" s="684"/>
      <c r="KMP81" s="684"/>
      <c r="KMQ81" s="684"/>
      <c r="KMR81" s="684"/>
      <c r="KMS81" s="684"/>
      <c r="KMT81" s="684"/>
      <c r="KMU81" s="684"/>
      <c r="KMV81" s="684"/>
      <c r="KMW81" s="684"/>
      <c r="KMX81" s="684"/>
      <c r="KMY81" s="684"/>
      <c r="KMZ81" s="684"/>
      <c r="KNA81" s="684"/>
      <c r="KNB81" s="684"/>
      <c r="KNC81" s="684"/>
      <c r="KND81" s="684"/>
      <c r="KNE81" s="684"/>
      <c r="KNF81" s="684"/>
      <c r="KNG81" s="684"/>
      <c r="KNH81" s="684"/>
      <c r="KNI81" s="684"/>
      <c r="KNJ81" s="684"/>
      <c r="KNK81" s="684"/>
      <c r="KNL81" s="684"/>
      <c r="KNM81" s="684"/>
      <c r="KNN81" s="684"/>
      <c r="KNO81" s="684"/>
      <c r="KNP81" s="684"/>
      <c r="KNQ81" s="684"/>
      <c r="KNR81" s="684"/>
      <c r="KNS81" s="684"/>
      <c r="KNT81" s="684"/>
      <c r="KNU81" s="684"/>
      <c r="KNV81" s="684"/>
      <c r="KNW81" s="684"/>
      <c r="KNX81" s="684"/>
      <c r="KNY81" s="684"/>
      <c r="KNZ81" s="684"/>
      <c r="KOA81" s="684"/>
      <c r="KOB81" s="684"/>
      <c r="KOC81" s="684"/>
      <c r="KOD81" s="684"/>
      <c r="KOE81" s="684"/>
      <c r="KOF81" s="684"/>
      <c r="KOG81" s="684"/>
      <c r="KOH81" s="684"/>
      <c r="KOI81" s="684"/>
      <c r="KOJ81" s="684"/>
      <c r="KOK81" s="684"/>
      <c r="KOL81" s="684"/>
      <c r="KOM81" s="684"/>
      <c r="KON81" s="684"/>
      <c r="KOO81" s="684"/>
      <c r="KOP81" s="684"/>
      <c r="KOQ81" s="684"/>
      <c r="KOR81" s="684"/>
      <c r="KOS81" s="684"/>
      <c r="KOT81" s="684"/>
      <c r="KOU81" s="684"/>
      <c r="KOV81" s="684"/>
      <c r="KOW81" s="684"/>
      <c r="KOX81" s="684"/>
      <c r="KOY81" s="684"/>
      <c r="KOZ81" s="684"/>
      <c r="KPA81" s="684"/>
      <c r="KPB81" s="684"/>
      <c r="KPC81" s="684"/>
      <c r="KPD81" s="684"/>
      <c r="KPE81" s="684"/>
      <c r="KPF81" s="684"/>
      <c r="KPG81" s="684"/>
      <c r="KPH81" s="684"/>
      <c r="KPI81" s="684"/>
      <c r="KPJ81" s="684"/>
      <c r="KPK81" s="684"/>
      <c r="KPL81" s="684"/>
      <c r="KPM81" s="684"/>
      <c r="KPN81" s="684"/>
      <c r="KPO81" s="684"/>
      <c r="KPP81" s="684"/>
      <c r="KPQ81" s="684"/>
      <c r="KPR81" s="684"/>
      <c r="KPS81" s="684"/>
      <c r="KPT81" s="684"/>
      <c r="KPU81" s="684"/>
      <c r="KPV81" s="684"/>
      <c r="KPW81" s="684"/>
      <c r="KPX81" s="684"/>
      <c r="KPY81" s="684"/>
      <c r="KPZ81" s="684"/>
      <c r="KQA81" s="684"/>
      <c r="KQB81" s="684"/>
      <c r="KQC81" s="684"/>
      <c r="KQD81" s="684"/>
      <c r="KQE81" s="684"/>
      <c r="KQF81" s="684"/>
      <c r="KQG81" s="684"/>
      <c r="KQH81" s="684"/>
      <c r="KQI81" s="684"/>
      <c r="KQJ81" s="684"/>
      <c r="KQK81" s="684"/>
      <c r="KQL81" s="684"/>
      <c r="KQM81" s="684"/>
      <c r="KQN81" s="684"/>
      <c r="KQO81" s="684"/>
      <c r="KQP81" s="684"/>
      <c r="KQQ81" s="684"/>
      <c r="KQR81" s="684"/>
      <c r="KQS81" s="684"/>
      <c r="KQT81" s="684"/>
      <c r="KQU81" s="684"/>
      <c r="KQV81" s="684"/>
      <c r="KQW81" s="684"/>
      <c r="KQX81" s="684"/>
      <c r="KQY81" s="684"/>
      <c r="KQZ81" s="684"/>
      <c r="KRA81" s="684"/>
      <c r="KRB81" s="684"/>
      <c r="KRC81" s="684"/>
      <c r="KRD81" s="684"/>
      <c r="KRE81" s="684"/>
      <c r="KRF81" s="684"/>
      <c r="KRG81" s="684"/>
      <c r="KRH81" s="684"/>
      <c r="KRI81" s="684"/>
      <c r="KRJ81" s="684"/>
      <c r="KRK81" s="684"/>
      <c r="KRL81" s="684"/>
      <c r="KRM81" s="684"/>
      <c r="KRN81" s="684"/>
      <c r="KRO81" s="684"/>
      <c r="KRP81" s="684"/>
      <c r="KRQ81" s="684"/>
      <c r="KRR81" s="684"/>
      <c r="KRS81" s="684"/>
      <c r="KRT81" s="684"/>
      <c r="KRU81" s="684"/>
      <c r="KRV81" s="684"/>
      <c r="KRW81" s="684"/>
      <c r="KRX81" s="684"/>
      <c r="KRY81" s="684"/>
      <c r="KRZ81" s="684"/>
      <c r="KSA81" s="684"/>
      <c r="KSB81" s="684"/>
      <c r="KSC81" s="684"/>
      <c r="KSD81" s="684"/>
      <c r="KSE81" s="684"/>
      <c r="KSF81" s="684"/>
      <c r="KSG81" s="684"/>
      <c r="KSH81" s="684"/>
      <c r="KSI81" s="684"/>
      <c r="KSJ81" s="684"/>
      <c r="KSK81" s="684"/>
      <c r="KSL81" s="684"/>
      <c r="KSM81" s="684"/>
      <c r="KSN81" s="684"/>
      <c r="KSO81" s="684"/>
      <c r="KSP81" s="684"/>
      <c r="KSQ81" s="684"/>
      <c r="KSR81" s="684"/>
      <c r="KSS81" s="684"/>
      <c r="KST81" s="684"/>
      <c r="KSU81" s="684"/>
      <c r="KSV81" s="684"/>
      <c r="KSW81" s="684"/>
      <c r="KSX81" s="684"/>
      <c r="KSY81" s="684"/>
      <c r="KSZ81" s="684"/>
      <c r="KTA81" s="684"/>
      <c r="KTB81" s="684"/>
      <c r="KTC81" s="684"/>
      <c r="KTD81" s="684"/>
      <c r="KTE81" s="684"/>
      <c r="KTF81" s="684"/>
      <c r="KTG81" s="684"/>
      <c r="KTH81" s="684"/>
      <c r="KTI81" s="684"/>
      <c r="KTJ81" s="684"/>
      <c r="KTK81" s="684"/>
      <c r="KTL81" s="684"/>
      <c r="KTM81" s="684"/>
      <c r="KTN81" s="684"/>
      <c r="KTO81" s="684"/>
      <c r="KTP81" s="684"/>
      <c r="KTQ81" s="684"/>
      <c r="KTR81" s="684"/>
      <c r="KTS81" s="684"/>
      <c r="KTT81" s="684"/>
      <c r="KTU81" s="684"/>
      <c r="KTV81" s="684"/>
      <c r="KTW81" s="684"/>
      <c r="KTX81" s="684"/>
      <c r="KTY81" s="684"/>
      <c r="KTZ81" s="684"/>
      <c r="KUA81" s="684"/>
      <c r="KUB81" s="684"/>
      <c r="KUC81" s="684"/>
      <c r="KUD81" s="684"/>
      <c r="KUE81" s="684"/>
      <c r="KUF81" s="684"/>
      <c r="KUG81" s="684"/>
      <c r="KUH81" s="684"/>
      <c r="KUI81" s="684"/>
      <c r="KUJ81" s="684"/>
      <c r="KUK81" s="684"/>
      <c r="KUL81" s="684"/>
      <c r="KUM81" s="684"/>
      <c r="KUN81" s="684"/>
      <c r="KUO81" s="684"/>
      <c r="KUP81" s="684"/>
      <c r="KUQ81" s="684"/>
      <c r="KUR81" s="684"/>
      <c r="KUS81" s="684"/>
      <c r="KUT81" s="684"/>
      <c r="KUU81" s="684"/>
      <c r="KUV81" s="684"/>
      <c r="KUW81" s="684"/>
      <c r="KUX81" s="684"/>
      <c r="KUY81" s="684"/>
      <c r="KUZ81" s="684"/>
      <c r="KVA81" s="684"/>
      <c r="KVB81" s="684"/>
      <c r="KVC81" s="684"/>
      <c r="KVD81" s="684"/>
      <c r="KVE81" s="684"/>
      <c r="KVF81" s="684"/>
      <c r="KVG81" s="684"/>
      <c r="KVH81" s="684"/>
      <c r="KVI81" s="684"/>
      <c r="KVJ81" s="684"/>
      <c r="KVK81" s="684"/>
      <c r="KVL81" s="684"/>
      <c r="KVM81" s="684"/>
      <c r="KVN81" s="684"/>
      <c r="KVO81" s="684"/>
      <c r="KVP81" s="684"/>
      <c r="KVQ81" s="684"/>
      <c r="KVR81" s="684"/>
      <c r="KVS81" s="684"/>
      <c r="KVT81" s="684"/>
      <c r="KVU81" s="684"/>
      <c r="KVV81" s="684"/>
      <c r="KVW81" s="684"/>
      <c r="KVX81" s="684"/>
      <c r="KVY81" s="684"/>
      <c r="KVZ81" s="684"/>
      <c r="KWA81" s="684"/>
      <c r="KWB81" s="684"/>
      <c r="KWC81" s="684"/>
      <c r="KWD81" s="684"/>
      <c r="KWE81" s="684"/>
      <c r="KWF81" s="684"/>
      <c r="KWG81" s="684"/>
      <c r="KWH81" s="684"/>
      <c r="KWI81" s="684"/>
      <c r="KWJ81" s="684"/>
      <c r="KWK81" s="684"/>
      <c r="KWL81" s="684"/>
      <c r="KWM81" s="684"/>
      <c r="KWN81" s="684"/>
      <c r="KWO81" s="684"/>
      <c r="KWP81" s="684"/>
      <c r="KWQ81" s="684"/>
      <c r="KWR81" s="684"/>
      <c r="KWS81" s="684"/>
      <c r="KWT81" s="684"/>
      <c r="KWU81" s="684"/>
      <c r="KWV81" s="684"/>
      <c r="KWW81" s="684"/>
      <c r="KWX81" s="684"/>
      <c r="KWY81" s="684"/>
      <c r="KWZ81" s="684"/>
      <c r="KXA81" s="684"/>
      <c r="KXB81" s="684"/>
      <c r="KXC81" s="684"/>
      <c r="KXD81" s="684"/>
      <c r="KXE81" s="684"/>
      <c r="KXF81" s="684"/>
      <c r="KXG81" s="684"/>
      <c r="KXH81" s="684"/>
      <c r="KXI81" s="684"/>
      <c r="KXJ81" s="684"/>
      <c r="KXK81" s="684"/>
      <c r="KXL81" s="684"/>
      <c r="KXM81" s="684"/>
      <c r="KXN81" s="684"/>
      <c r="KXO81" s="684"/>
      <c r="KXP81" s="684"/>
      <c r="KXQ81" s="684"/>
      <c r="KXR81" s="684"/>
      <c r="KXS81" s="684"/>
      <c r="KXT81" s="684"/>
      <c r="KXU81" s="684"/>
      <c r="KXV81" s="684"/>
      <c r="KXW81" s="684"/>
      <c r="KXX81" s="684"/>
      <c r="KXY81" s="684"/>
      <c r="KXZ81" s="684"/>
      <c r="KYA81" s="684"/>
      <c r="KYB81" s="684"/>
      <c r="KYC81" s="684"/>
      <c r="KYD81" s="684"/>
      <c r="KYE81" s="684"/>
      <c r="KYF81" s="684"/>
      <c r="KYG81" s="684"/>
      <c r="KYH81" s="684"/>
      <c r="KYI81" s="684"/>
      <c r="KYJ81" s="684"/>
      <c r="KYK81" s="684"/>
      <c r="KYL81" s="684"/>
      <c r="KYM81" s="684"/>
      <c r="KYN81" s="684"/>
      <c r="KYO81" s="684"/>
      <c r="KYP81" s="684"/>
      <c r="KYQ81" s="684"/>
      <c r="KYR81" s="684"/>
      <c r="KYS81" s="684"/>
      <c r="KYT81" s="684"/>
      <c r="KYU81" s="684"/>
      <c r="KYV81" s="684"/>
      <c r="KYW81" s="684"/>
      <c r="KYX81" s="684"/>
      <c r="KYY81" s="684"/>
      <c r="KYZ81" s="684"/>
      <c r="KZA81" s="684"/>
      <c r="KZB81" s="684"/>
      <c r="KZC81" s="684"/>
      <c r="KZD81" s="684"/>
      <c r="KZE81" s="684"/>
      <c r="KZF81" s="684"/>
      <c r="KZG81" s="684"/>
      <c r="KZH81" s="684"/>
      <c r="KZI81" s="684"/>
      <c r="KZJ81" s="684"/>
      <c r="KZK81" s="684"/>
      <c r="KZL81" s="684"/>
      <c r="KZM81" s="684"/>
      <c r="KZN81" s="684"/>
      <c r="KZO81" s="684"/>
      <c r="KZP81" s="684"/>
      <c r="KZQ81" s="684"/>
      <c r="KZR81" s="684"/>
      <c r="KZS81" s="684"/>
      <c r="KZT81" s="684"/>
      <c r="KZU81" s="684"/>
      <c r="KZV81" s="684"/>
      <c r="KZW81" s="684"/>
      <c r="KZX81" s="684"/>
      <c r="KZY81" s="684"/>
      <c r="KZZ81" s="684"/>
      <c r="LAA81" s="684"/>
      <c r="LAB81" s="684"/>
      <c r="LAC81" s="684"/>
      <c r="LAD81" s="684"/>
      <c r="LAE81" s="684"/>
      <c r="LAF81" s="684"/>
      <c r="LAG81" s="684"/>
      <c r="LAH81" s="684"/>
      <c r="LAI81" s="684"/>
      <c r="LAJ81" s="684"/>
      <c r="LAK81" s="684"/>
      <c r="LAL81" s="684"/>
      <c r="LAM81" s="684"/>
      <c r="LAN81" s="684"/>
      <c r="LAO81" s="684"/>
      <c r="LAP81" s="684"/>
      <c r="LAQ81" s="684"/>
      <c r="LAR81" s="684"/>
      <c r="LAS81" s="684"/>
      <c r="LAT81" s="684"/>
      <c r="LAU81" s="684"/>
      <c r="LAV81" s="684"/>
      <c r="LAW81" s="684"/>
      <c r="LAX81" s="684"/>
      <c r="LAY81" s="684"/>
      <c r="LAZ81" s="684"/>
      <c r="LBA81" s="684"/>
      <c r="LBB81" s="684"/>
      <c r="LBC81" s="684"/>
      <c r="LBD81" s="684"/>
      <c r="LBE81" s="684"/>
      <c r="LBF81" s="684"/>
      <c r="LBG81" s="684"/>
      <c r="LBH81" s="684"/>
      <c r="LBI81" s="684"/>
      <c r="LBJ81" s="684"/>
      <c r="LBK81" s="684"/>
      <c r="LBL81" s="684"/>
      <c r="LBM81" s="684"/>
      <c r="LBN81" s="684"/>
      <c r="LBO81" s="684"/>
      <c r="LBP81" s="684"/>
      <c r="LBQ81" s="684"/>
      <c r="LBR81" s="684"/>
      <c r="LBS81" s="684"/>
      <c r="LBT81" s="684"/>
      <c r="LBU81" s="684"/>
      <c r="LBV81" s="684"/>
      <c r="LBW81" s="684"/>
      <c r="LBX81" s="684"/>
      <c r="LBY81" s="684"/>
      <c r="LBZ81" s="684"/>
      <c r="LCA81" s="684"/>
      <c r="LCB81" s="684"/>
      <c r="LCC81" s="684"/>
      <c r="LCD81" s="684"/>
      <c r="LCE81" s="684"/>
      <c r="LCF81" s="684"/>
      <c r="LCG81" s="684"/>
      <c r="LCH81" s="684"/>
      <c r="LCI81" s="684"/>
      <c r="LCJ81" s="684"/>
      <c r="LCK81" s="684"/>
      <c r="LCL81" s="684"/>
      <c r="LCM81" s="684"/>
      <c r="LCN81" s="684"/>
      <c r="LCO81" s="684"/>
      <c r="LCP81" s="684"/>
      <c r="LCQ81" s="684"/>
      <c r="LCR81" s="684"/>
      <c r="LCS81" s="684"/>
      <c r="LCT81" s="684"/>
      <c r="LCU81" s="684"/>
      <c r="LCV81" s="684"/>
      <c r="LCW81" s="684"/>
      <c r="LCX81" s="684"/>
      <c r="LCY81" s="684"/>
      <c r="LCZ81" s="684"/>
      <c r="LDA81" s="684"/>
      <c r="LDB81" s="684"/>
      <c r="LDC81" s="684"/>
      <c r="LDD81" s="684"/>
      <c r="LDE81" s="684"/>
      <c r="LDF81" s="684"/>
      <c r="LDG81" s="684"/>
      <c r="LDH81" s="684"/>
      <c r="LDI81" s="684"/>
      <c r="LDJ81" s="684"/>
      <c r="LDK81" s="684"/>
      <c r="LDL81" s="684"/>
      <c r="LDM81" s="684"/>
      <c r="LDN81" s="684"/>
      <c r="LDO81" s="684"/>
      <c r="LDP81" s="684"/>
      <c r="LDQ81" s="684"/>
      <c r="LDR81" s="684"/>
      <c r="LDS81" s="684"/>
      <c r="LDT81" s="684"/>
      <c r="LDU81" s="684"/>
      <c r="LDV81" s="684"/>
      <c r="LDW81" s="684"/>
      <c r="LDX81" s="684"/>
      <c r="LDY81" s="684"/>
      <c r="LDZ81" s="684"/>
      <c r="LEA81" s="684"/>
      <c r="LEB81" s="684"/>
      <c r="LEC81" s="684"/>
      <c r="LED81" s="684"/>
      <c r="LEE81" s="684"/>
      <c r="LEF81" s="684"/>
      <c r="LEG81" s="684"/>
      <c r="LEH81" s="684"/>
      <c r="LEI81" s="684"/>
      <c r="LEJ81" s="684"/>
      <c r="LEK81" s="684"/>
      <c r="LEL81" s="684"/>
      <c r="LEM81" s="684"/>
      <c r="LEN81" s="684"/>
      <c r="LEO81" s="684"/>
      <c r="LEP81" s="684"/>
      <c r="LEQ81" s="684"/>
      <c r="LER81" s="684"/>
      <c r="LES81" s="684"/>
      <c r="LET81" s="684"/>
      <c r="LEU81" s="684"/>
      <c r="LEV81" s="684"/>
      <c r="LEW81" s="684"/>
      <c r="LEX81" s="684"/>
      <c r="LEY81" s="684"/>
      <c r="LEZ81" s="684"/>
      <c r="LFA81" s="684"/>
      <c r="LFB81" s="684"/>
      <c r="LFC81" s="684"/>
      <c r="LFD81" s="684"/>
      <c r="LFE81" s="684"/>
      <c r="LFF81" s="684"/>
      <c r="LFG81" s="684"/>
      <c r="LFH81" s="684"/>
      <c r="LFI81" s="684"/>
      <c r="LFJ81" s="684"/>
      <c r="LFK81" s="684"/>
      <c r="LFL81" s="684"/>
      <c r="LFM81" s="684"/>
      <c r="LFN81" s="684"/>
      <c r="LFO81" s="684"/>
      <c r="LFP81" s="684"/>
      <c r="LFQ81" s="684"/>
      <c r="LFR81" s="684"/>
      <c r="LFS81" s="684"/>
      <c r="LFT81" s="684"/>
      <c r="LFU81" s="684"/>
      <c r="LFV81" s="684"/>
      <c r="LFW81" s="684"/>
      <c r="LFX81" s="684"/>
      <c r="LFY81" s="684"/>
      <c r="LFZ81" s="684"/>
      <c r="LGA81" s="684"/>
      <c r="LGB81" s="684"/>
      <c r="LGC81" s="684"/>
      <c r="LGD81" s="684"/>
      <c r="LGE81" s="684"/>
      <c r="LGF81" s="684"/>
      <c r="LGG81" s="684"/>
      <c r="LGH81" s="684"/>
      <c r="LGI81" s="684"/>
      <c r="LGJ81" s="684"/>
      <c r="LGK81" s="684"/>
      <c r="LGL81" s="684"/>
      <c r="LGM81" s="684"/>
      <c r="LGN81" s="684"/>
      <c r="LGO81" s="684"/>
      <c r="LGP81" s="684"/>
      <c r="LGQ81" s="684"/>
      <c r="LGR81" s="684"/>
      <c r="LGS81" s="684"/>
      <c r="LGT81" s="684"/>
      <c r="LGU81" s="684"/>
      <c r="LGV81" s="684"/>
      <c r="LGW81" s="684"/>
      <c r="LGX81" s="684"/>
      <c r="LGY81" s="684"/>
      <c r="LGZ81" s="684"/>
      <c r="LHA81" s="684"/>
      <c r="LHB81" s="684"/>
      <c r="LHC81" s="684"/>
      <c r="LHD81" s="684"/>
      <c r="LHE81" s="684"/>
      <c r="LHF81" s="684"/>
      <c r="LHG81" s="684"/>
      <c r="LHH81" s="684"/>
      <c r="LHI81" s="684"/>
      <c r="LHJ81" s="684"/>
      <c r="LHK81" s="684"/>
      <c r="LHL81" s="684"/>
      <c r="LHM81" s="684"/>
      <c r="LHN81" s="684"/>
      <c r="LHO81" s="684"/>
      <c r="LHP81" s="684"/>
      <c r="LHQ81" s="684"/>
      <c r="LHR81" s="684"/>
      <c r="LHS81" s="684"/>
      <c r="LHT81" s="684"/>
      <c r="LHU81" s="684"/>
      <c r="LHV81" s="684"/>
      <c r="LHW81" s="684"/>
      <c r="LHX81" s="684"/>
      <c r="LHY81" s="684"/>
      <c r="LHZ81" s="684"/>
      <c r="LIA81" s="684"/>
      <c r="LIB81" s="684"/>
      <c r="LIC81" s="684"/>
      <c r="LID81" s="684"/>
      <c r="LIE81" s="684"/>
      <c r="LIF81" s="684"/>
      <c r="LIG81" s="684"/>
      <c r="LIH81" s="684"/>
      <c r="LII81" s="684"/>
      <c r="LIJ81" s="684"/>
      <c r="LIK81" s="684"/>
      <c r="LIL81" s="684"/>
      <c r="LIM81" s="684"/>
      <c r="LIN81" s="684"/>
      <c r="LIO81" s="684"/>
      <c r="LIP81" s="684"/>
      <c r="LIQ81" s="684"/>
      <c r="LIR81" s="684"/>
      <c r="LIS81" s="684"/>
      <c r="LIT81" s="684"/>
      <c r="LIU81" s="684"/>
      <c r="LIV81" s="684"/>
      <c r="LIW81" s="684"/>
      <c r="LIX81" s="684"/>
      <c r="LIY81" s="684"/>
      <c r="LIZ81" s="684"/>
      <c r="LJA81" s="684"/>
      <c r="LJB81" s="684"/>
      <c r="LJC81" s="684"/>
      <c r="LJD81" s="684"/>
      <c r="LJE81" s="684"/>
      <c r="LJF81" s="684"/>
      <c r="LJG81" s="684"/>
      <c r="LJH81" s="684"/>
      <c r="LJI81" s="684"/>
      <c r="LJJ81" s="684"/>
      <c r="LJK81" s="684"/>
      <c r="LJL81" s="684"/>
      <c r="LJM81" s="684"/>
      <c r="LJN81" s="684"/>
      <c r="LJO81" s="684"/>
      <c r="LJP81" s="684"/>
      <c r="LJQ81" s="684"/>
      <c r="LJR81" s="684"/>
      <c r="LJS81" s="684"/>
      <c r="LJT81" s="684"/>
      <c r="LJU81" s="684"/>
      <c r="LJV81" s="684"/>
      <c r="LJW81" s="684"/>
      <c r="LJX81" s="684"/>
      <c r="LJY81" s="684"/>
      <c r="LJZ81" s="684"/>
      <c r="LKA81" s="684"/>
      <c r="LKB81" s="684"/>
      <c r="LKC81" s="684"/>
      <c r="LKD81" s="684"/>
      <c r="LKE81" s="684"/>
      <c r="LKF81" s="684"/>
      <c r="LKG81" s="684"/>
      <c r="LKH81" s="684"/>
      <c r="LKI81" s="684"/>
      <c r="LKJ81" s="684"/>
      <c r="LKK81" s="684"/>
      <c r="LKL81" s="684"/>
      <c r="LKM81" s="684"/>
      <c r="LKN81" s="684"/>
      <c r="LKO81" s="684"/>
      <c r="LKP81" s="684"/>
      <c r="LKQ81" s="684"/>
      <c r="LKR81" s="684"/>
      <c r="LKS81" s="684"/>
      <c r="LKT81" s="684"/>
      <c r="LKU81" s="684"/>
      <c r="LKV81" s="684"/>
      <c r="LKW81" s="684"/>
      <c r="LKX81" s="684"/>
      <c r="LKY81" s="684"/>
      <c r="LKZ81" s="684"/>
      <c r="LLA81" s="684"/>
      <c r="LLB81" s="684"/>
      <c r="LLC81" s="684"/>
      <c r="LLD81" s="684"/>
      <c r="LLE81" s="684"/>
      <c r="LLF81" s="684"/>
      <c r="LLG81" s="684"/>
      <c r="LLH81" s="684"/>
      <c r="LLI81" s="684"/>
      <c r="LLJ81" s="684"/>
      <c r="LLK81" s="684"/>
      <c r="LLL81" s="684"/>
      <c r="LLM81" s="684"/>
      <c r="LLN81" s="684"/>
      <c r="LLO81" s="684"/>
      <c r="LLP81" s="684"/>
      <c r="LLQ81" s="684"/>
      <c r="LLR81" s="684"/>
      <c r="LLS81" s="684"/>
      <c r="LLT81" s="684"/>
      <c r="LLU81" s="684"/>
      <c r="LLV81" s="684"/>
      <c r="LLW81" s="684"/>
      <c r="LLX81" s="684"/>
      <c r="LLY81" s="684"/>
      <c r="LLZ81" s="684"/>
      <c r="LMA81" s="684"/>
      <c r="LMB81" s="684"/>
      <c r="LMC81" s="684"/>
      <c r="LMD81" s="684"/>
      <c r="LME81" s="684"/>
      <c r="LMF81" s="684"/>
      <c r="LMG81" s="684"/>
      <c r="LMH81" s="684"/>
      <c r="LMI81" s="684"/>
      <c r="LMJ81" s="684"/>
      <c r="LMK81" s="684"/>
      <c r="LML81" s="684"/>
      <c r="LMM81" s="684"/>
      <c r="LMN81" s="684"/>
      <c r="LMO81" s="684"/>
      <c r="LMP81" s="684"/>
      <c r="LMQ81" s="684"/>
      <c r="LMR81" s="684"/>
      <c r="LMS81" s="684"/>
      <c r="LMT81" s="684"/>
      <c r="LMU81" s="684"/>
      <c r="LMV81" s="684"/>
      <c r="LMW81" s="684"/>
      <c r="LMX81" s="684"/>
      <c r="LMY81" s="684"/>
      <c r="LMZ81" s="684"/>
      <c r="LNA81" s="684"/>
      <c r="LNB81" s="684"/>
      <c r="LNC81" s="684"/>
      <c r="LND81" s="684"/>
      <c r="LNE81" s="684"/>
      <c r="LNF81" s="684"/>
      <c r="LNG81" s="684"/>
      <c r="LNH81" s="684"/>
      <c r="LNI81" s="684"/>
      <c r="LNJ81" s="684"/>
      <c r="LNK81" s="684"/>
      <c r="LNL81" s="684"/>
      <c r="LNM81" s="684"/>
      <c r="LNN81" s="684"/>
      <c r="LNO81" s="684"/>
      <c r="LNP81" s="684"/>
      <c r="LNQ81" s="684"/>
      <c r="LNR81" s="684"/>
      <c r="LNS81" s="684"/>
      <c r="LNT81" s="684"/>
      <c r="LNU81" s="684"/>
      <c r="LNV81" s="684"/>
      <c r="LNW81" s="684"/>
      <c r="LNX81" s="684"/>
      <c r="LNY81" s="684"/>
      <c r="LNZ81" s="684"/>
      <c r="LOA81" s="684"/>
      <c r="LOB81" s="684"/>
      <c r="LOC81" s="684"/>
      <c r="LOD81" s="684"/>
      <c r="LOE81" s="684"/>
      <c r="LOF81" s="684"/>
      <c r="LOG81" s="684"/>
      <c r="LOH81" s="684"/>
      <c r="LOI81" s="684"/>
      <c r="LOJ81" s="684"/>
      <c r="LOK81" s="684"/>
      <c r="LOL81" s="684"/>
      <c r="LOM81" s="684"/>
      <c r="LON81" s="684"/>
      <c r="LOO81" s="684"/>
      <c r="LOP81" s="684"/>
      <c r="LOQ81" s="684"/>
      <c r="LOR81" s="684"/>
      <c r="LOS81" s="684"/>
      <c r="LOT81" s="684"/>
      <c r="LOU81" s="684"/>
      <c r="LOV81" s="684"/>
      <c r="LOW81" s="684"/>
      <c r="LOX81" s="684"/>
      <c r="LOY81" s="684"/>
      <c r="LOZ81" s="684"/>
      <c r="LPA81" s="684"/>
      <c r="LPB81" s="684"/>
      <c r="LPC81" s="684"/>
      <c r="LPD81" s="684"/>
      <c r="LPE81" s="684"/>
      <c r="LPF81" s="684"/>
      <c r="LPG81" s="684"/>
      <c r="LPH81" s="684"/>
      <c r="LPI81" s="684"/>
      <c r="LPJ81" s="684"/>
      <c r="LPK81" s="684"/>
      <c r="LPL81" s="684"/>
      <c r="LPM81" s="684"/>
      <c r="LPN81" s="684"/>
      <c r="LPO81" s="684"/>
      <c r="LPP81" s="684"/>
      <c r="LPQ81" s="684"/>
      <c r="LPR81" s="684"/>
      <c r="LPS81" s="684"/>
      <c r="LPT81" s="684"/>
      <c r="LPU81" s="684"/>
      <c r="LPV81" s="684"/>
      <c r="LPW81" s="684"/>
      <c r="LPX81" s="684"/>
      <c r="LPY81" s="684"/>
      <c r="LPZ81" s="684"/>
      <c r="LQA81" s="684"/>
      <c r="LQB81" s="684"/>
      <c r="LQC81" s="684"/>
      <c r="LQD81" s="684"/>
      <c r="LQE81" s="684"/>
      <c r="LQF81" s="684"/>
      <c r="LQG81" s="684"/>
      <c r="LQH81" s="684"/>
      <c r="LQI81" s="684"/>
      <c r="LQJ81" s="684"/>
      <c r="LQK81" s="684"/>
      <c r="LQL81" s="684"/>
      <c r="LQM81" s="684"/>
      <c r="LQN81" s="684"/>
      <c r="LQO81" s="684"/>
      <c r="LQP81" s="684"/>
      <c r="LQQ81" s="684"/>
      <c r="LQR81" s="684"/>
      <c r="LQS81" s="684"/>
      <c r="LQT81" s="684"/>
      <c r="LQU81" s="684"/>
      <c r="LQV81" s="684"/>
      <c r="LQW81" s="684"/>
      <c r="LQX81" s="684"/>
      <c r="LQY81" s="684"/>
      <c r="LQZ81" s="684"/>
      <c r="LRA81" s="684"/>
      <c r="LRB81" s="684"/>
      <c r="LRC81" s="684"/>
      <c r="LRD81" s="684"/>
      <c r="LRE81" s="684"/>
      <c r="LRF81" s="684"/>
      <c r="LRG81" s="684"/>
      <c r="LRH81" s="684"/>
      <c r="LRI81" s="684"/>
      <c r="LRJ81" s="684"/>
      <c r="LRK81" s="684"/>
      <c r="LRL81" s="684"/>
      <c r="LRM81" s="684"/>
      <c r="LRN81" s="684"/>
      <c r="LRO81" s="684"/>
      <c r="LRP81" s="684"/>
      <c r="LRQ81" s="684"/>
      <c r="LRR81" s="684"/>
      <c r="LRS81" s="684"/>
      <c r="LRT81" s="684"/>
      <c r="LRU81" s="684"/>
      <c r="LRV81" s="684"/>
      <c r="LRW81" s="684"/>
      <c r="LRX81" s="684"/>
      <c r="LRY81" s="684"/>
      <c r="LRZ81" s="684"/>
      <c r="LSA81" s="684"/>
      <c r="LSB81" s="684"/>
      <c r="LSC81" s="684"/>
      <c r="LSD81" s="684"/>
      <c r="LSE81" s="684"/>
      <c r="LSF81" s="684"/>
      <c r="LSG81" s="684"/>
      <c r="LSH81" s="684"/>
      <c r="LSI81" s="684"/>
      <c r="LSJ81" s="684"/>
      <c r="LSK81" s="684"/>
      <c r="LSL81" s="684"/>
      <c r="LSM81" s="684"/>
      <c r="LSN81" s="684"/>
      <c r="LSO81" s="684"/>
      <c r="LSP81" s="684"/>
      <c r="LSQ81" s="684"/>
      <c r="LSR81" s="684"/>
      <c r="LSS81" s="684"/>
      <c r="LST81" s="684"/>
      <c r="LSU81" s="684"/>
      <c r="LSV81" s="684"/>
      <c r="LSW81" s="684"/>
      <c r="LSX81" s="684"/>
      <c r="LSY81" s="684"/>
      <c r="LSZ81" s="684"/>
      <c r="LTA81" s="684"/>
      <c r="LTB81" s="684"/>
      <c r="LTC81" s="684"/>
      <c r="LTD81" s="684"/>
      <c r="LTE81" s="684"/>
      <c r="LTF81" s="684"/>
      <c r="LTG81" s="684"/>
      <c r="LTH81" s="684"/>
      <c r="LTI81" s="684"/>
      <c r="LTJ81" s="684"/>
      <c r="LTK81" s="684"/>
      <c r="LTL81" s="684"/>
      <c r="LTM81" s="684"/>
      <c r="LTN81" s="684"/>
      <c r="LTO81" s="684"/>
      <c r="LTP81" s="684"/>
      <c r="LTQ81" s="684"/>
      <c r="LTR81" s="684"/>
      <c r="LTS81" s="684"/>
      <c r="LTT81" s="684"/>
      <c r="LTU81" s="684"/>
      <c r="LTV81" s="684"/>
      <c r="LTW81" s="684"/>
      <c r="LTX81" s="684"/>
      <c r="LTY81" s="684"/>
      <c r="LTZ81" s="684"/>
      <c r="LUA81" s="684"/>
      <c r="LUB81" s="684"/>
      <c r="LUC81" s="684"/>
      <c r="LUD81" s="684"/>
      <c r="LUE81" s="684"/>
      <c r="LUF81" s="684"/>
      <c r="LUG81" s="684"/>
      <c r="LUH81" s="684"/>
      <c r="LUI81" s="684"/>
      <c r="LUJ81" s="684"/>
      <c r="LUK81" s="684"/>
      <c r="LUL81" s="684"/>
      <c r="LUM81" s="684"/>
      <c r="LUN81" s="684"/>
      <c r="LUO81" s="684"/>
      <c r="LUP81" s="684"/>
      <c r="LUQ81" s="684"/>
      <c r="LUR81" s="684"/>
      <c r="LUS81" s="684"/>
      <c r="LUT81" s="684"/>
      <c r="LUU81" s="684"/>
      <c r="LUV81" s="684"/>
      <c r="LUW81" s="684"/>
      <c r="LUX81" s="684"/>
      <c r="LUY81" s="684"/>
      <c r="LUZ81" s="684"/>
      <c r="LVA81" s="684"/>
      <c r="LVB81" s="684"/>
      <c r="LVC81" s="684"/>
      <c r="LVD81" s="684"/>
      <c r="LVE81" s="684"/>
      <c r="LVF81" s="684"/>
      <c r="LVG81" s="684"/>
      <c r="LVH81" s="684"/>
      <c r="LVI81" s="684"/>
      <c r="LVJ81" s="684"/>
      <c r="LVK81" s="684"/>
      <c r="LVL81" s="684"/>
      <c r="LVM81" s="684"/>
      <c r="LVN81" s="684"/>
      <c r="LVO81" s="684"/>
      <c r="LVP81" s="684"/>
      <c r="LVQ81" s="684"/>
      <c r="LVR81" s="684"/>
      <c r="LVS81" s="684"/>
      <c r="LVT81" s="684"/>
      <c r="LVU81" s="684"/>
      <c r="LVV81" s="684"/>
      <c r="LVW81" s="684"/>
      <c r="LVX81" s="684"/>
      <c r="LVY81" s="684"/>
      <c r="LVZ81" s="684"/>
      <c r="LWA81" s="684"/>
      <c r="LWB81" s="684"/>
      <c r="LWC81" s="684"/>
      <c r="LWD81" s="684"/>
      <c r="LWE81" s="684"/>
      <c r="LWF81" s="684"/>
      <c r="LWG81" s="684"/>
      <c r="LWH81" s="684"/>
      <c r="LWI81" s="684"/>
      <c r="LWJ81" s="684"/>
      <c r="LWK81" s="684"/>
      <c r="LWL81" s="684"/>
      <c r="LWM81" s="684"/>
      <c r="LWN81" s="684"/>
      <c r="LWO81" s="684"/>
      <c r="LWP81" s="684"/>
      <c r="LWQ81" s="684"/>
      <c r="LWR81" s="684"/>
      <c r="LWS81" s="684"/>
      <c r="LWT81" s="684"/>
      <c r="LWU81" s="684"/>
      <c r="LWV81" s="684"/>
      <c r="LWW81" s="684"/>
      <c r="LWX81" s="684"/>
      <c r="LWY81" s="684"/>
      <c r="LWZ81" s="684"/>
      <c r="LXA81" s="684"/>
      <c r="LXB81" s="684"/>
      <c r="LXC81" s="684"/>
      <c r="LXD81" s="684"/>
      <c r="LXE81" s="684"/>
      <c r="LXF81" s="684"/>
      <c r="LXG81" s="684"/>
      <c r="LXH81" s="684"/>
      <c r="LXI81" s="684"/>
      <c r="LXJ81" s="684"/>
      <c r="LXK81" s="684"/>
      <c r="LXL81" s="684"/>
      <c r="LXM81" s="684"/>
      <c r="LXN81" s="684"/>
      <c r="LXO81" s="684"/>
      <c r="LXP81" s="684"/>
      <c r="LXQ81" s="684"/>
      <c r="LXR81" s="684"/>
      <c r="LXS81" s="684"/>
      <c r="LXT81" s="684"/>
      <c r="LXU81" s="684"/>
      <c r="LXV81" s="684"/>
      <c r="LXW81" s="684"/>
      <c r="LXX81" s="684"/>
      <c r="LXY81" s="684"/>
      <c r="LXZ81" s="684"/>
      <c r="LYA81" s="684"/>
      <c r="LYB81" s="684"/>
      <c r="LYC81" s="684"/>
      <c r="LYD81" s="684"/>
      <c r="LYE81" s="684"/>
      <c r="LYF81" s="684"/>
      <c r="LYG81" s="684"/>
      <c r="LYH81" s="684"/>
      <c r="LYI81" s="684"/>
      <c r="LYJ81" s="684"/>
      <c r="LYK81" s="684"/>
      <c r="LYL81" s="684"/>
      <c r="LYM81" s="684"/>
      <c r="LYN81" s="684"/>
      <c r="LYO81" s="684"/>
      <c r="LYP81" s="684"/>
      <c r="LYQ81" s="684"/>
      <c r="LYR81" s="684"/>
      <c r="LYS81" s="684"/>
      <c r="LYT81" s="684"/>
      <c r="LYU81" s="684"/>
      <c r="LYV81" s="684"/>
      <c r="LYW81" s="684"/>
      <c r="LYX81" s="684"/>
      <c r="LYY81" s="684"/>
      <c r="LYZ81" s="684"/>
      <c r="LZA81" s="684"/>
      <c r="LZB81" s="684"/>
      <c r="LZC81" s="684"/>
      <c r="LZD81" s="684"/>
      <c r="LZE81" s="684"/>
      <c r="LZF81" s="684"/>
      <c r="LZG81" s="684"/>
      <c r="LZH81" s="684"/>
      <c r="LZI81" s="684"/>
      <c r="LZJ81" s="684"/>
      <c r="LZK81" s="684"/>
      <c r="LZL81" s="684"/>
      <c r="LZM81" s="684"/>
      <c r="LZN81" s="684"/>
      <c r="LZO81" s="684"/>
      <c r="LZP81" s="684"/>
      <c r="LZQ81" s="684"/>
      <c r="LZR81" s="684"/>
      <c r="LZS81" s="684"/>
      <c r="LZT81" s="684"/>
      <c r="LZU81" s="684"/>
      <c r="LZV81" s="684"/>
      <c r="LZW81" s="684"/>
      <c r="LZX81" s="684"/>
      <c r="LZY81" s="684"/>
      <c r="LZZ81" s="684"/>
      <c r="MAA81" s="684"/>
      <c r="MAB81" s="684"/>
      <c r="MAC81" s="684"/>
      <c r="MAD81" s="684"/>
      <c r="MAE81" s="684"/>
      <c r="MAF81" s="684"/>
      <c r="MAG81" s="684"/>
      <c r="MAH81" s="684"/>
      <c r="MAI81" s="684"/>
      <c r="MAJ81" s="684"/>
      <c r="MAK81" s="684"/>
      <c r="MAL81" s="684"/>
      <c r="MAM81" s="684"/>
      <c r="MAN81" s="684"/>
      <c r="MAO81" s="684"/>
      <c r="MAP81" s="684"/>
      <c r="MAQ81" s="684"/>
      <c r="MAR81" s="684"/>
      <c r="MAS81" s="684"/>
      <c r="MAT81" s="684"/>
      <c r="MAU81" s="684"/>
      <c r="MAV81" s="684"/>
      <c r="MAW81" s="684"/>
      <c r="MAX81" s="684"/>
      <c r="MAY81" s="684"/>
      <c r="MAZ81" s="684"/>
      <c r="MBA81" s="684"/>
      <c r="MBB81" s="684"/>
      <c r="MBC81" s="684"/>
      <c r="MBD81" s="684"/>
      <c r="MBE81" s="684"/>
      <c r="MBF81" s="684"/>
      <c r="MBG81" s="684"/>
      <c r="MBH81" s="684"/>
      <c r="MBI81" s="684"/>
      <c r="MBJ81" s="684"/>
      <c r="MBK81" s="684"/>
      <c r="MBL81" s="684"/>
      <c r="MBM81" s="684"/>
      <c r="MBN81" s="684"/>
      <c r="MBO81" s="684"/>
      <c r="MBP81" s="684"/>
      <c r="MBQ81" s="684"/>
      <c r="MBR81" s="684"/>
      <c r="MBS81" s="684"/>
      <c r="MBT81" s="684"/>
      <c r="MBU81" s="684"/>
      <c r="MBV81" s="684"/>
      <c r="MBW81" s="684"/>
      <c r="MBX81" s="684"/>
      <c r="MBY81" s="684"/>
      <c r="MBZ81" s="684"/>
      <c r="MCA81" s="684"/>
      <c r="MCB81" s="684"/>
      <c r="MCC81" s="684"/>
      <c r="MCD81" s="684"/>
      <c r="MCE81" s="684"/>
      <c r="MCF81" s="684"/>
      <c r="MCG81" s="684"/>
      <c r="MCH81" s="684"/>
      <c r="MCI81" s="684"/>
      <c r="MCJ81" s="684"/>
      <c r="MCK81" s="684"/>
      <c r="MCL81" s="684"/>
      <c r="MCM81" s="684"/>
      <c r="MCN81" s="684"/>
      <c r="MCO81" s="684"/>
      <c r="MCP81" s="684"/>
      <c r="MCQ81" s="684"/>
      <c r="MCR81" s="684"/>
      <c r="MCS81" s="684"/>
      <c r="MCT81" s="684"/>
      <c r="MCU81" s="684"/>
      <c r="MCV81" s="684"/>
      <c r="MCW81" s="684"/>
      <c r="MCX81" s="684"/>
      <c r="MCY81" s="684"/>
      <c r="MCZ81" s="684"/>
      <c r="MDA81" s="684"/>
      <c r="MDB81" s="684"/>
      <c r="MDC81" s="684"/>
      <c r="MDD81" s="684"/>
      <c r="MDE81" s="684"/>
      <c r="MDF81" s="684"/>
      <c r="MDG81" s="684"/>
      <c r="MDH81" s="684"/>
      <c r="MDI81" s="684"/>
      <c r="MDJ81" s="684"/>
      <c r="MDK81" s="684"/>
      <c r="MDL81" s="684"/>
      <c r="MDM81" s="684"/>
      <c r="MDN81" s="684"/>
      <c r="MDO81" s="684"/>
      <c r="MDP81" s="684"/>
      <c r="MDQ81" s="684"/>
      <c r="MDR81" s="684"/>
      <c r="MDS81" s="684"/>
      <c r="MDT81" s="684"/>
      <c r="MDU81" s="684"/>
      <c r="MDV81" s="684"/>
      <c r="MDW81" s="684"/>
      <c r="MDX81" s="684"/>
      <c r="MDY81" s="684"/>
      <c r="MDZ81" s="684"/>
      <c r="MEA81" s="684"/>
      <c r="MEB81" s="684"/>
      <c r="MEC81" s="684"/>
      <c r="MED81" s="684"/>
      <c r="MEE81" s="684"/>
      <c r="MEF81" s="684"/>
      <c r="MEG81" s="684"/>
      <c r="MEH81" s="684"/>
      <c r="MEI81" s="684"/>
      <c r="MEJ81" s="684"/>
      <c r="MEK81" s="684"/>
      <c r="MEL81" s="684"/>
      <c r="MEM81" s="684"/>
      <c r="MEN81" s="684"/>
      <c r="MEO81" s="684"/>
      <c r="MEP81" s="684"/>
      <c r="MEQ81" s="684"/>
      <c r="MER81" s="684"/>
      <c r="MES81" s="684"/>
      <c r="MET81" s="684"/>
      <c r="MEU81" s="684"/>
      <c r="MEV81" s="684"/>
      <c r="MEW81" s="684"/>
      <c r="MEX81" s="684"/>
      <c r="MEY81" s="684"/>
      <c r="MEZ81" s="684"/>
      <c r="MFA81" s="684"/>
      <c r="MFB81" s="684"/>
      <c r="MFC81" s="684"/>
      <c r="MFD81" s="684"/>
      <c r="MFE81" s="684"/>
      <c r="MFF81" s="684"/>
      <c r="MFG81" s="684"/>
      <c r="MFH81" s="684"/>
      <c r="MFI81" s="684"/>
      <c r="MFJ81" s="684"/>
      <c r="MFK81" s="684"/>
      <c r="MFL81" s="684"/>
      <c r="MFM81" s="684"/>
      <c r="MFN81" s="684"/>
      <c r="MFO81" s="684"/>
      <c r="MFP81" s="684"/>
      <c r="MFQ81" s="684"/>
      <c r="MFR81" s="684"/>
      <c r="MFS81" s="684"/>
      <c r="MFT81" s="684"/>
      <c r="MFU81" s="684"/>
      <c r="MFV81" s="684"/>
      <c r="MFW81" s="684"/>
      <c r="MFX81" s="684"/>
      <c r="MFY81" s="684"/>
      <c r="MFZ81" s="684"/>
      <c r="MGA81" s="684"/>
      <c r="MGB81" s="684"/>
      <c r="MGC81" s="684"/>
      <c r="MGD81" s="684"/>
      <c r="MGE81" s="684"/>
      <c r="MGF81" s="684"/>
      <c r="MGG81" s="684"/>
      <c r="MGH81" s="684"/>
      <c r="MGI81" s="684"/>
      <c r="MGJ81" s="684"/>
      <c r="MGK81" s="684"/>
      <c r="MGL81" s="684"/>
      <c r="MGM81" s="684"/>
      <c r="MGN81" s="684"/>
      <c r="MGO81" s="684"/>
      <c r="MGP81" s="684"/>
      <c r="MGQ81" s="684"/>
      <c r="MGR81" s="684"/>
      <c r="MGS81" s="684"/>
      <c r="MGT81" s="684"/>
      <c r="MGU81" s="684"/>
      <c r="MGV81" s="684"/>
      <c r="MGW81" s="684"/>
      <c r="MGX81" s="684"/>
      <c r="MGY81" s="684"/>
      <c r="MGZ81" s="684"/>
      <c r="MHA81" s="684"/>
      <c r="MHB81" s="684"/>
      <c r="MHC81" s="684"/>
      <c r="MHD81" s="684"/>
      <c r="MHE81" s="684"/>
      <c r="MHF81" s="684"/>
      <c r="MHG81" s="684"/>
      <c r="MHH81" s="684"/>
      <c r="MHI81" s="684"/>
      <c r="MHJ81" s="684"/>
      <c r="MHK81" s="684"/>
      <c r="MHL81" s="684"/>
      <c r="MHM81" s="684"/>
      <c r="MHN81" s="684"/>
      <c r="MHO81" s="684"/>
      <c r="MHP81" s="684"/>
      <c r="MHQ81" s="684"/>
      <c r="MHR81" s="684"/>
      <c r="MHS81" s="684"/>
      <c r="MHT81" s="684"/>
      <c r="MHU81" s="684"/>
      <c r="MHV81" s="684"/>
      <c r="MHW81" s="684"/>
      <c r="MHX81" s="684"/>
      <c r="MHY81" s="684"/>
      <c r="MHZ81" s="684"/>
      <c r="MIA81" s="684"/>
      <c r="MIB81" s="684"/>
      <c r="MIC81" s="684"/>
      <c r="MID81" s="684"/>
      <c r="MIE81" s="684"/>
      <c r="MIF81" s="684"/>
      <c r="MIG81" s="684"/>
      <c r="MIH81" s="684"/>
      <c r="MII81" s="684"/>
      <c r="MIJ81" s="684"/>
      <c r="MIK81" s="684"/>
      <c r="MIL81" s="684"/>
      <c r="MIM81" s="684"/>
      <c r="MIN81" s="684"/>
      <c r="MIO81" s="684"/>
      <c r="MIP81" s="684"/>
      <c r="MIQ81" s="684"/>
      <c r="MIR81" s="684"/>
      <c r="MIS81" s="684"/>
      <c r="MIT81" s="684"/>
      <c r="MIU81" s="684"/>
      <c r="MIV81" s="684"/>
      <c r="MIW81" s="684"/>
      <c r="MIX81" s="684"/>
      <c r="MIY81" s="684"/>
      <c r="MIZ81" s="684"/>
      <c r="MJA81" s="684"/>
      <c r="MJB81" s="684"/>
      <c r="MJC81" s="684"/>
      <c r="MJD81" s="684"/>
      <c r="MJE81" s="684"/>
      <c r="MJF81" s="684"/>
      <c r="MJG81" s="684"/>
      <c r="MJH81" s="684"/>
      <c r="MJI81" s="684"/>
      <c r="MJJ81" s="684"/>
      <c r="MJK81" s="684"/>
      <c r="MJL81" s="684"/>
      <c r="MJM81" s="684"/>
      <c r="MJN81" s="684"/>
      <c r="MJO81" s="684"/>
      <c r="MJP81" s="684"/>
      <c r="MJQ81" s="684"/>
      <c r="MJR81" s="684"/>
      <c r="MJS81" s="684"/>
      <c r="MJT81" s="684"/>
      <c r="MJU81" s="684"/>
      <c r="MJV81" s="684"/>
      <c r="MJW81" s="684"/>
      <c r="MJX81" s="684"/>
      <c r="MJY81" s="684"/>
      <c r="MJZ81" s="684"/>
      <c r="MKA81" s="684"/>
      <c r="MKB81" s="684"/>
      <c r="MKC81" s="684"/>
      <c r="MKD81" s="684"/>
      <c r="MKE81" s="684"/>
      <c r="MKF81" s="684"/>
      <c r="MKG81" s="684"/>
      <c r="MKH81" s="684"/>
      <c r="MKI81" s="684"/>
      <c r="MKJ81" s="684"/>
      <c r="MKK81" s="684"/>
      <c r="MKL81" s="684"/>
      <c r="MKM81" s="684"/>
      <c r="MKN81" s="684"/>
      <c r="MKO81" s="684"/>
      <c r="MKP81" s="684"/>
      <c r="MKQ81" s="684"/>
      <c r="MKR81" s="684"/>
      <c r="MKS81" s="684"/>
      <c r="MKT81" s="684"/>
      <c r="MKU81" s="684"/>
      <c r="MKV81" s="684"/>
      <c r="MKW81" s="684"/>
      <c r="MKX81" s="684"/>
      <c r="MKY81" s="684"/>
      <c r="MKZ81" s="684"/>
      <c r="MLA81" s="684"/>
      <c r="MLB81" s="684"/>
      <c r="MLC81" s="684"/>
      <c r="MLD81" s="684"/>
      <c r="MLE81" s="684"/>
      <c r="MLF81" s="684"/>
      <c r="MLG81" s="684"/>
      <c r="MLH81" s="684"/>
      <c r="MLI81" s="684"/>
      <c r="MLJ81" s="684"/>
      <c r="MLK81" s="684"/>
      <c r="MLL81" s="684"/>
      <c r="MLM81" s="684"/>
      <c r="MLN81" s="684"/>
      <c r="MLO81" s="684"/>
      <c r="MLP81" s="684"/>
      <c r="MLQ81" s="684"/>
      <c r="MLR81" s="684"/>
      <c r="MLS81" s="684"/>
      <c r="MLT81" s="684"/>
      <c r="MLU81" s="684"/>
      <c r="MLV81" s="684"/>
      <c r="MLW81" s="684"/>
      <c r="MLX81" s="684"/>
      <c r="MLY81" s="684"/>
      <c r="MLZ81" s="684"/>
      <c r="MMA81" s="684"/>
      <c r="MMB81" s="684"/>
      <c r="MMC81" s="684"/>
      <c r="MMD81" s="684"/>
      <c r="MME81" s="684"/>
      <c r="MMF81" s="684"/>
      <c r="MMG81" s="684"/>
      <c r="MMH81" s="684"/>
      <c r="MMI81" s="684"/>
      <c r="MMJ81" s="684"/>
      <c r="MMK81" s="684"/>
      <c r="MML81" s="684"/>
      <c r="MMM81" s="684"/>
      <c r="MMN81" s="684"/>
      <c r="MMO81" s="684"/>
      <c r="MMP81" s="684"/>
      <c r="MMQ81" s="684"/>
      <c r="MMR81" s="684"/>
      <c r="MMS81" s="684"/>
      <c r="MMT81" s="684"/>
      <c r="MMU81" s="684"/>
      <c r="MMV81" s="684"/>
      <c r="MMW81" s="684"/>
      <c r="MMX81" s="684"/>
      <c r="MMY81" s="684"/>
      <c r="MMZ81" s="684"/>
      <c r="MNA81" s="684"/>
      <c r="MNB81" s="684"/>
      <c r="MNC81" s="684"/>
      <c r="MND81" s="684"/>
      <c r="MNE81" s="684"/>
      <c r="MNF81" s="684"/>
      <c r="MNG81" s="684"/>
      <c r="MNH81" s="684"/>
      <c r="MNI81" s="684"/>
      <c r="MNJ81" s="684"/>
      <c r="MNK81" s="684"/>
      <c r="MNL81" s="684"/>
      <c r="MNM81" s="684"/>
      <c r="MNN81" s="684"/>
      <c r="MNO81" s="684"/>
      <c r="MNP81" s="684"/>
      <c r="MNQ81" s="684"/>
      <c r="MNR81" s="684"/>
      <c r="MNS81" s="684"/>
      <c r="MNT81" s="684"/>
      <c r="MNU81" s="684"/>
      <c r="MNV81" s="684"/>
      <c r="MNW81" s="684"/>
      <c r="MNX81" s="684"/>
      <c r="MNY81" s="684"/>
      <c r="MNZ81" s="684"/>
      <c r="MOA81" s="684"/>
      <c r="MOB81" s="684"/>
      <c r="MOC81" s="684"/>
      <c r="MOD81" s="684"/>
      <c r="MOE81" s="684"/>
      <c r="MOF81" s="684"/>
      <c r="MOG81" s="684"/>
      <c r="MOH81" s="684"/>
      <c r="MOI81" s="684"/>
      <c r="MOJ81" s="684"/>
      <c r="MOK81" s="684"/>
      <c r="MOL81" s="684"/>
      <c r="MOM81" s="684"/>
      <c r="MON81" s="684"/>
      <c r="MOO81" s="684"/>
      <c r="MOP81" s="684"/>
      <c r="MOQ81" s="684"/>
      <c r="MOR81" s="684"/>
      <c r="MOS81" s="684"/>
      <c r="MOT81" s="684"/>
      <c r="MOU81" s="684"/>
      <c r="MOV81" s="684"/>
      <c r="MOW81" s="684"/>
      <c r="MOX81" s="684"/>
      <c r="MOY81" s="684"/>
      <c r="MOZ81" s="684"/>
      <c r="MPA81" s="684"/>
      <c r="MPB81" s="684"/>
      <c r="MPC81" s="684"/>
      <c r="MPD81" s="684"/>
      <c r="MPE81" s="684"/>
      <c r="MPF81" s="684"/>
      <c r="MPG81" s="684"/>
      <c r="MPH81" s="684"/>
      <c r="MPI81" s="684"/>
      <c r="MPJ81" s="684"/>
      <c r="MPK81" s="684"/>
      <c r="MPL81" s="684"/>
      <c r="MPM81" s="684"/>
      <c r="MPN81" s="684"/>
      <c r="MPO81" s="684"/>
      <c r="MPP81" s="684"/>
      <c r="MPQ81" s="684"/>
      <c r="MPR81" s="684"/>
      <c r="MPS81" s="684"/>
      <c r="MPT81" s="684"/>
      <c r="MPU81" s="684"/>
      <c r="MPV81" s="684"/>
      <c r="MPW81" s="684"/>
      <c r="MPX81" s="684"/>
      <c r="MPY81" s="684"/>
      <c r="MPZ81" s="684"/>
      <c r="MQA81" s="684"/>
      <c r="MQB81" s="684"/>
      <c r="MQC81" s="684"/>
      <c r="MQD81" s="684"/>
      <c r="MQE81" s="684"/>
      <c r="MQF81" s="684"/>
      <c r="MQG81" s="684"/>
      <c r="MQH81" s="684"/>
      <c r="MQI81" s="684"/>
      <c r="MQJ81" s="684"/>
      <c r="MQK81" s="684"/>
      <c r="MQL81" s="684"/>
      <c r="MQM81" s="684"/>
      <c r="MQN81" s="684"/>
      <c r="MQO81" s="684"/>
      <c r="MQP81" s="684"/>
      <c r="MQQ81" s="684"/>
      <c r="MQR81" s="684"/>
      <c r="MQS81" s="684"/>
      <c r="MQT81" s="684"/>
      <c r="MQU81" s="684"/>
      <c r="MQV81" s="684"/>
      <c r="MQW81" s="684"/>
      <c r="MQX81" s="684"/>
      <c r="MQY81" s="684"/>
      <c r="MQZ81" s="684"/>
      <c r="MRA81" s="684"/>
      <c r="MRB81" s="684"/>
      <c r="MRC81" s="684"/>
      <c r="MRD81" s="684"/>
      <c r="MRE81" s="684"/>
      <c r="MRF81" s="684"/>
      <c r="MRG81" s="684"/>
      <c r="MRH81" s="684"/>
      <c r="MRI81" s="684"/>
      <c r="MRJ81" s="684"/>
      <c r="MRK81" s="684"/>
      <c r="MRL81" s="684"/>
      <c r="MRM81" s="684"/>
      <c r="MRN81" s="684"/>
      <c r="MRO81" s="684"/>
      <c r="MRP81" s="684"/>
      <c r="MRQ81" s="684"/>
      <c r="MRR81" s="684"/>
      <c r="MRS81" s="684"/>
      <c r="MRT81" s="684"/>
      <c r="MRU81" s="684"/>
      <c r="MRV81" s="684"/>
      <c r="MRW81" s="684"/>
      <c r="MRX81" s="684"/>
      <c r="MRY81" s="684"/>
      <c r="MRZ81" s="684"/>
      <c r="MSA81" s="684"/>
      <c r="MSB81" s="684"/>
      <c r="MSC81" s="684"/>
      <c r="MSD81" s="684"/>
      <c r="MSE81" s="684"/>
      <c r="MSF81" s="684"/>
      <c r="MSG81" s="684"/>
      <c r="MSH81" s="684"/>
      <c r="MSI81" s="684"/>
      <c r="MSJ81" s="684"/>
      <c r="MSK81" s="684"/>
      <c r="MSL81" s="684"/>
      <c r="MSM81" s="684"/>
      <c r="MSN81" s="684"/>
      <c r="MSO81" s="684"/>
      <c r="MSP81" s="684"/>
      <c r="MSQ81" s="684"/>
      <c r="MSR81" s="684"/>
      <c r="MSS81" s="684"/>
      <c r="MST81" s="684"/>
      <c r="MSU81" s="684"/>
      <c r="MSV81" s="684"/>
      <c r="MSW81" s="684"/>
      <c r="MSX81" s="684"/>
      <c r="MSY81" s="684"/>
      <c r="MSZ81" s="684"/>
      <c r="MTA81" s="684"/>
      <c r="MTB81" s="684"/>
      <c r="MTC81" s="684"/>
      <c r="MTD81" s="684"/>
      <c r="MTE81" s="684"/>
      <c r="MTF81" s="684"/>
      <c r="MTG81" s="684"/>
      <c r="MTH81" s="684"/>
      <c r="MTI81" s="684"/>
      <c r="MTJ81" s="684"/>
      <c r="MTK81" s="684"/>
      <c r="MTL81" s="684"/>
      <c r="MTM81" s="684"/>
      <c r="MTN81" s="684"/>
      <c r="MTO81" s="684"/>
      <c r="MTP81" s="684"/>
      <c r="MTQ81" s="684"/>
      <c r="MTR81" s="684"/>
      <c r="MTS81" s="684"/>
      <c r="MTT81" s="684"/>
      <c r="MTU81" s="684"/>
      <c r="MTV81" s="684"/>
      <c r="MTW81" s="684"/>
      <c r="MTX81" s="684"/>
      <c r="MTY81" s="684"/>
      <c r="MTZ81" s="684"/>
      <c r="MUA81" s="684"/>
      <c r="MUB81" s="684"/>
      <c r="MUC81" s="684"/>
      <c r="MUD81" s="684"/>
      <c r="MUE81" s="684"/>
      <c r="MUF81" s="684"/>
      <c r="MUG81" s="684"/>
      <c r="MUH81" s="684"/>
      <c r="MUI81" s="684"/>
      <c r="MUJ81" s="684"/>
      <c r="MUK81" s="684"/>
      <c r="MUL81" s="684"/>
      <c r="MUM81" s="684"/>
      <c r="MUN81" s="684"/>
      <c r="MUO81" s="684"/>
      <c r="MUP81" s="684"/>
      <c r="MUQ81" s="684"/>
      <c r="MUR81" s="684"/>
      <c r="MUS81" s="684"/>
      <c r="MUT81" s="684"/>
      <c r="MUU81" s="684"/>
      <c r="MUV81" s="684"/>
      <c r="MUW81" s="684"/>
      <c r="MUX81" s="684"/>
      <c r="MUY81" s="684"/>
      <c r="MUZ81" s="684"/>
      <c r="MVA81" s="684"/>
      <c r="MVB81" s="684"/>
      <c r="MVC81" s="684"/>
      <c r="MVD81" s="684"/>
      <c r="MVE81" s="684"/>
      <c r="MVF81" s="684"/>
      <c r="MVG81" s="684"/>
      <c r="MVH81" s="684"/>
      <c r="MVI81" s="684"/>
      <c r="MVJ81" s="684"/>
      <c r="MVK81" s="684"/>
      <c r="MVL81" s="684"/>
      <c r="MVM81" s="684"/>
      <c r="MVN81" s="684"/>
      <c r="MVO81" s="684"/>
      <c r="MVP81" s="684"/>
      <c r="MVQ81" s="684"/>
      <c r="MVR81" s="684"/>
      <c r="MVS81" s="684"/>
      <c r="MVT81" s="684"/>
      <c r="MVU81" s="684"/>
      <c r="MVV81" s="684"/>
      <c r="MVW81" s="684"/>
      <c r="MVX81" s="684"/>
      <c r="MVY81" s="684"/>
      <c r="MVZ81" s="684"/>
      <c r="MWA81" s="684"/>
      <c r="MWB81" s="684"/>
      <c r="MWC81" s="684"/>
      <c r="MWD81" s="684"/>
      <c r="MWE81" s="684"/>
      <c r="MWF81" s="684"/>
      <c r="MWG81" s="684"/>
      <c r="MWH81" s="684"/>
      <c r="MWI81" s="684"/>
      <c r="MWJ81" s="684"/>
      <c r="MWK81" s="684"/>
      <c r="MWL81" s="684"/>
      <c r="MWM81" s="684"/>
      <c r="MWN81" s="684"/>
      <c r="MWO81" s="684"/>
      <c r="MWP81" s="684"/>
      <c r="MWQ81" s="684"/>
      <c r="MWR81" s="684"/>
      <c r="MWS81" s="684"/>
      <c r="MWT81" s="684"/>
      <c r="MWU81" s="684"/>
      <c r="MWV81" s="684"/>
      <c r="MWW81" s="684"/>
      <c r="MWX81" s="684"/>
      <c r="MWY81" s="684"/>
      <c r="MWZ81" s="684"/>
      <c r="MXA81" s="684"/>
      <c r="MXB81" s="684"/>
      <c r="MXC81" s="684"/>
      <c r="MXD81" s="684"/>
      <c r="MXE81" s="684"/>
      <c r="MXF81" s="684"/>
      <c r="MXG81" s="684"/>
      <c r="MXH81" s="684"/>
      <c r="MXI81" s="684"/>
      <c r="MXJ81" s="684"/>
      <c r="MXK81" s="684"/>
      <c r="MXL81" s="684"/>
      <c r="MXM81" s="684"/>
      <c r="MXN81" s="684"/>
      <c r="MXO81" s="684"/>
      <c r="MXP81" s="684"/>
      <c r="MXQ81" s="684"/>
      <c r="MXR81" s="684"/>
      <c r="MXS81" s="684"/>
      <c r="MXT81" s="684"/>
      <c r="MXU81" s="684"/>
      <c r="MXV81" s="684"/>
      <c r="MXW81" s="684"/>
      <c r="MXX81" s="684"/>
      <c r="MXY81" s="684"/>
      <c r="MXZ81" s="684"/>
      <c r="MYA81" s="684"/>
      <c r="MYB81" s="684"/>
      <c r="MYC81" s="684"/>
      <c r="MYD81" s="684"/>
      <c r="MYE81" s="684"/>
      <c r="MYF81" s="684"/>
      <c r="MYG81" s="684"/>
      <c r="MYH81" s="684"/>
      <c r="MYI81" s="684"/>
      <c r="MYJ81" s="684"/>
      <c r="MYK81" s="684"/>
      <c r="MYL81" s="684"/>
      <c r="MYM81" s="684"/>
      <c r="MYN81" s="684"/>
      <c r="MYO81" s="684"/>
      <c r="MYP81" s="684"/>
      <c r="MYQ81" s="684"/>
      <c r="MYR81" s="684"/>
      <c r="MYS81" s="684"/>
      <c r="MYT81" s="684"/>
      <c r="MYU81" s="684"/>
      <c r="MYV81" s="684"/>
      <c r="MYW81" s="684"/>
      <c r="MYX81" s="684"/>
      <c r="MYY81" s="684"/>
      <c r="MYZ81" s="684"/>
      <c r="MZA81" s="684"/>
      <c r="MZB81" s="684"/>
      <c r="MZC81" s="684"/>
      <c r="MZD81" s="684"/>
      <c r="MZE81" s="684"/>
      <c r="MZF81" s="684"/>
      <c r="MZG81" s="684"/>
      <c r="MZH81" s="684"/>
      <c r="MZI81" s="684"/>
      <c r="MZJ81" s="684"/>
      <c r="MZK81" s="684"/>
      <c r="MZL81" s="684"/>
      <c r="MZM81" s="684"/>
      <c r="MZN81" s="684"/>
      <c r="MZO81" s="684"/>
      <c r="MZP81" s="684"/>
      <c r="MZQ81" s="684"/>
      <c r="MZR81" s="684"/>
      <c r="MZS81" s="684"/>
      <c r="MZT81" s="684"/>
      <c r="MZU81" s="684"/>
      <c r="MZV81" s="684"/>
      <c r="MZW81" s="684"/>
      <c r="MZX81" s="684"/>
      <c r="MZY81" s="684"/>
      <c r="MZZ81" s="684"/>
      <c r="NAA81" s="684"/>
      <c r="NAB81" s="684"/>
      <c r="NAC81" s="684"/>
      <c r="NAD81" s="684"/>
      <c r="NAE81" s="684"/>
      <c r="NAF81" s="684"/>
      <c r="NAG81" s="684"/>
      <c r="NAH81" s="684"/>
      <c r="NAI81" s="684"/>
      <c r="NAJ81" s="684"/>
      <c r="NAK81" s="684"/>
      <c r="NAL81" s="684"/>
      <c r="NAM81" s="684"/>
      <c r="NAN81" s="684"/>
      <c r="NAO81" s="684"/>
      <c r="NAP81" s="684"/>
      <c r="NAQ81" s="684"/>
      <c r="NAR81" s="684"/>
      <c r="NAS81" s="684"/>
      <c r="NAT81" s="684"/>
      <c r="NAU81" s="684"/>
      <c r="NAV81" s="684"/>
      <c r="NAW81" s="684"/>
      <c r="NAX81" s="684"/>
      <c r="NAY81" s="684"/>
      <c r="NAZ81" s="684"/>
      <c r="NBA81" s="684"/>
      <c r="NBB81" s="684"/>
      <c r="NBC81" s="684"/>
      <c r="NBD81" s="684"/>
      <c r="NBE81" s="684"/>
      <c r="NBF81" s="684"/>
      <c r="NBG81" s="684"/>
      <c r="NBH81" s="684"/>
      <c r="NBI81" s="684"/>
      <c r="NBJ81" s="684"/>
      <c r="NBK81" s="684"/>
      <c r="NBL81" s="684"/>
      <c r="NBM81" s="684"/>
      <c r="NBN81" s="684"/>
      <c r="NBO81" s="684"/>
      <c r="NBP81" s="684"/>
      <c r="NBQ81" s="684"/>
      <c r="NBR81" s="684"/>
      <c r="NBS81" s="684"/>
      <c r="NBT81" s="684"/>
      <c r="NBU81" s="684"/>
      <c r="NBV81" s="684"/>
      <c r="NBW81" s="684"/>
      <c r="NBX81" s="684"/>
      <c r="NBY81" s="684"/>
      <c r="NBZ81" s="684"/>
      <c r="NCA81" s="684"/>
      <c r="NCB81" s="684"/>
      <c r="NCC81" s="684"/>
      <c r="NCD81" s="684"/>
      <c r="NCE81" s="684"/>
      <c r="NCF81" s="684"/>
      <c r="NCG81" s="684"/>
      <c r="NCH81" s="684"/>
      <c r="NCI81" s="684"/>
      <c r="NCJ81" s="684"/>
      <c r="NCK81" s="684"/>
      <c r="NCL81" s="684"/>
      <c r="NCM81" s="684"/>
      <c r="NCN81" s="684"/>
      <c r="NCO81" s="684"/>
      <c r="NCP81" s="684"/>
      <c r="NCQ81" s="684"/>
      <c r="NCR81" s="684"/>
      <c r="NCS81" s="684"/>
      <c r="NCT81" s="684"/>
      <c r="NCU81" s="684"/>
      <c r="NCV81" s="684"/>
      <c r="NCW81" s="684"/>
      <c r="NCX81" s="684"/>
      <c r="NCY81" s="684"/>
      <c r="NCZ81" s="684"/>
      <c r="NDA81" s="684"/>
      <c r="NDB81" s="684"/>
      <c r="NDC81" s="684"/>
      <c r="NDD81" s="684"/>
      <c r="NDE81" s="684"/>
      <c r="NDF81" s="684"/>
      <c r="NDG81" s="684"/>
      <c r="NDH81" s="684"/>
      <c r="NDI81" s="684"/>
      <c r="NDJ81" s="684"/>
      <c r="NDK81" s="684"/>
      <c r="NDL81" s="684"/>
      <c r="NDM81" s="684"/>
      <c r="NDN81" s="684"/>
      <c r="NDO81" s="684"/>
      <c r="NDP81" s="684"/>
      <c r="NDQ81" s="684"/>
      <c r="NDR81" s="684"/>
      <c r="NDS81" s="684"/>
      <c r="NDT81" s="684"/>
      <c r="NDU81" s="684"/>
      <c r="NDV81" s="684"/>
      <c r="NDW81" s="684"/>
      <c r="NDX81" s="684"/>
      <c r="NDY81" s="684"/>
      <c r="NDZ81" s="684"/>
      <c r="NEA81" s="684"/>
      <c r="NEB81" s="684"/>
      <c r="NEC81" s="684"/>
      <c r="NED81" s="684"/>
      <c r="NEE81" s="684"/>
      <c r="NEF81" s="684"/>
      <c r="NEG81" s="684"/>
      <c r="NEH81" s="684"/>
      <c r="NEI81" s="684"/>
      <c r="NEJ81" s="684"/>
      <c r="NEK81" s="684"/>
      <c r="NEL81" s="684"/>
      <c r="NEM81" s="684"/>
      <c r="NEN81" s="684"/>
      <c r="NEO81" s="684"/>
      <c r="NEP81" s="684"/>
      <c r="NEQ81" s="684"/>
      <c r="NER81" s="684"/>
      <c r="NES81" s="684"/>
      <c r="NET81" s="684"/>
      <c r="NEU81" s="684"/>
      <c r="NEV81" s="684"/>
      <c r="NEW81" s="684"/>
      <c r="NEX81" s="684"/>
      <c r="NEY81" s="684"/>
      <c r="NEZ81" s="684"/>
      <c r="NFA81" s="684"/>
      <c r="NFB81" s="684"/>
      <c r="NFC81" s="684"/>
      <c r="NFD81" s="684"/>
      <c r="NFE81" s="684"/>
      <c r="NFF81" s="684"/>
      <c r="NFG81" s="684"/>
      <c r="NFH81" s="684"/>
      <c r="NFI81" s="684"/>
      <c r="NFJ81" s="684"/>
      <c r="NFK81" s="684"/>
      <c r="NFL81" s="684"/>
      <c r="NFM81" s="684"/>
      <c r="NFN81" s="684"/>
      <c r="NFO81" s="684"/>
      <c r="NFP81" s="684"/>
      <c r="NFQ81" s="684"/>
      <c r="NFR81" s="684"/>
      <c r="NFS81" s="684"/>
      <c r="NFT81" s="684"/>
      <c r="NFU81" s="684"/>
      <c r="NFV81" s="684"/>
      <c r="NFW81" s="684"/>
      <c r="NFX81" s="684"/>
      <c r="NFY81" s="684"/>
      <c r="NFZ81" s="684"/>
      <c r="NGA81" s="684"/>
      <c r="NGB81" s="684"/>
      <c r="NGC81" s="684"/>
      <c r="NGD81" s="684"/>
      <c r="NGE81" s="684"/>
      <c r="NGF81" s="684"/>
      <c r="NGG81" s="684"/>
      <c r="NGH81" s="684"/>
      <c r="NGI81" s="684"/>
      <c r="NGJ81" s="684"/>
      <c r="NGK81" s="684"/>
      <c r="NGL81" s="684"/>
      <c r="NGM81" s="684"/>
      <c r="NGN81" s="684"/>
      <c r="NGO81" s="684"/>
      <c r="NGP81" s="684"/>
      <c r="NGQ81" s="684"/>
      <c r="NGR81" s="684"/>
      <c r="NGS81" s="684"/>
      <c r="NGT81" s="684"/>
      <c r="NGU81" s="684"/>
      <c r="NGV81" s="684"/>
      <c r="NGW81" s="684"/>
      <c r="NGX81" s="684"/>
      <c r="NGY81" s="684"/>
      <c r="NGZ81" s="684"/>
      <c r="NHA81" s="684"/>
      <c r="NHB81" s="684"/>
      <c r="NHC81" s="684"/>
      <c r="NHD81" s="684"/>
      <c r="NHE81" s="684"/>
      <c r="NHF81" s="684"/>
      <c r="NHG81" s="684"/>
      <c r="NHH81" s="684"/>
      <c r="NHI81" s="684"/>
      <c r="NHJ81" s="684"/>
      <c r="NHK81" s="684"/>
      <c r="NHL81" s="684"/>
      <c r="NHM81" s="684"/>
      <c r="NHN81" s="684"/>
      <c r="NHO81" s="684"/>
      <c r="NHP81" s="684"/>
      <c r="NHQ81" s="684"/>
      <c r="NHR81" s="684"/>
      <c r="NHS81" s="684"/>
      <c r="NHT81" s="684"/>
      <c r="NHU81" s="684"/>
      <c r="NHV81" s="684"/>
      <c r="NHW81" s="684"/>
      <c r="NHX81" s="684"/>
      <c r="NHY81" s="684"/>
      <c r="NHZ81" s="684"/>
      <c r="NIA81" s="684"/>
      <c r="NIB81" s="684"/>
      <c r="NIC81" s="684"/>
      <c r="NID81" s="684"/>
      <c r="NIE81" s="684"/>
      <c r="NIF81" s="684"/>
      <c r="NIG81" s="684"/>
      <c r="NIH81" s="684"/>
      <c r="NII81" s="684"/>
      <c r="NIJ81" s="684"/>
      <c r="NIK81" s="684"/>
      <c r="NIL81" s="684"/>
      <c r="NIM81" s="684"/>
      <c r="NIN81" s="684"/>
      <c r="NIO81" s="684"/>
      <c r="NIP81" s="684"/>
      <c r="NIQ81" s="684"/>
      <c r="NIR81" s="684"/>
      <c r="NIS81" s="684"/>
      <c r="NIT81" s="684"/>
      <c r="NIU81" s="684"/>
      <c r="NIV81" s="684"/>
      <c r="NIW81" s="684"/>
      <c r="NIX81" s="684"/>
      <c r="NIY81" s="684"/>
      <c r="NIZ81" s="684"/>
      <c r="NJA81" s="684"/>
      <c r="NJB81" s="684"/>
      <c r="NJC81" s="684"/>
      <c r="NJD81" s="684"/>
      <c r="NJE81" s="684"/>
      <c r="NJF81" s="684"/>
      <c r="NJG81" s="684"/>
      <c r="NJH81" s="684"/>
      <c r="NJI81" s="684"/>
      <c r="NJJ81" s="684"/>
      <c r="NJK81" s="684"/>
      <c r="NJL81" s="684"/>
      <c r="NJM81" s="684"/>
      <c r="NJN81" s="684"/>
      <c r="NJO81" s="684"/>
      <c r="NJP81" s="684"/>
      <c r="NJQ81" s="684"/>
      <c r="NJR81" s="684"/>
      <c r="NJS81" s="684"/>
      <c r="NJT81" s="684"/>
      <c r="NJU81" s="684"/>
      <c r="NJV81" s="684"/>
      <c r="NJW81" s="684"/>
      <c r="NJX81" s="684"/>
      <c r="NJY81" s="684"/>
      <c r="NJZ81" s="684"/>
      <c r="NKA81" s="684"/>
      <c r="NKB81" s="684"/>
      <c r="NKC81" s="684"/>
      <c r="NKD81" s="684"/>
      <c r="NKE81" s="684"/>
      <c r="NKF81" s="684"/>
      <c r="NKG81" s="684"/>
      <c r="NKH81" s="684"/>
      <c r="NKI81" s="684"/>
      <c r="NKJ81" s="684"/>
      <c r="NKK81" s="684"/>
      <c r="NKL81" s="684"/>
      <c r="NKM81" s="684"/>
      <c r="NKN81" s="684"/>
      <c r="NKO81" s="684"/>
      <c r="NKP81" s="684"/>
      <c r="NKQ81" s="684"/>
      <c r="NKR81" s="684"/>
      <c r="NKS81" s="684"/>
      <c r="NKT81" s="684"/>
      <c r="NKU81" s="684"/>
      <c r="NKV81" s="684"/>
      <c r="NKW81" s="684"/>
      <c r="NKX81" s="684"/>
      <c r="NKY81" s="684"/>
      <c r="NKZ81" s="684"/>
      <c r="NLA81" s="684"/>
      <c r="NLB81" s="684"/>
      <c r="NLC81" s="684"/>
      <c r="NLD81" s="684"/>
      <c r="NLE81" s="684"/>
      <c r="NLF81" s="684"/>
      <c r="NLG81" s="684"/>
      <c r="NLH81" s="684"/>
      <c r="NLI81" s="684"/>
      <c r="NLJ81" s="684"/>
      <c r="NLK81" s="684"/>
      <c r="NLL81" s="684"/>
      <c r="NLM81" s="684"/>
      <c r="NLN81" s="684"/>
      <c r="NLO81" s="684"/>
      <c r="NLP81" s="684"/>
      <c r="NLQ81" s="684"/>
      <c r="NLR81" s="684"/>
      <c r="NLS81" s="684"/>
      <c r="NLT81" s="684"/>
      <c r="NLU81" s="684"/>
      <c r="NLV81" s="684"/>
      <c r="NLW81" s="684"/>
      <c r="NLX81" s="684"/>
      <c r="NLY81" s="684"/>
      <c r="NLZ81" s="684"/>
      <c r="NMA81" s="684"/>
      <c r="NMB81" s="684"/>
      <c r="NMC81" s="684"/>
      <c r="NMD81" s="684"/>
      <c r="NME81" s="684"/>
      <c r="NMF81" s="684"/>
      <c r="NMG81" s="684"/>
      <c r="NMH81" s="684"/>
      <c r="NMI81" s="684"/>
      <c r="NMJ81" s="684"/>
      <c r="NMK81" s="684"/>
      <c r="NML81" s="684"/>
      <c r="NMM81" s="684"/>
      <c r="NMN81" s="684"/>
      <c r="NMO81" s="684"/>
      <c r="NMP81" s="684"/>
      <c r="NMQ81" s="684"/>
      <c r="NMR81" s="684"/>
      <c r="NMS81" s="684"/>
      <c r="NMT81" s="684"/>
      <c r="NMU81" s="684"/>
      <c r="NMV81" s="684"/>
      <c r="NMW81" s="684"/>
      <c r="NMX81" s="684"/>
      <c r="NMY81" s="684"/>
      <c r="NMZ81" s="684"/>
      <c r="NNA81" s="684"/>
      <c r="NNB81" s="684"/>
      <c r="NNC81" s="684"/>
      <c r="NND81" s="684"/>
      <c r="NNE81" s="684"/>
      <c r="NNF81" s="684"/>
      <c r="NNG81" s="684"/>
      <c r="NNH81" s="684"/>
      <c r="NNI81" s="684"/>
      <c r="NNJ81" s="684"/>
      <c r="NNK81" s="684"/>
      <c r="NNL81" s="684"/>
      <c r="NNM81" s="684"/>
      <c r="NNN81" s="684"/>
      <c r="NNO81" s="684"/>
      <c r="NNP81" s="684"/>
      <c r="NNQ81" s="684"/>
      <c r="NNR81" s="684"/>
      <c r="NNS81" s="684"/>
      <c r="NNT81" s="684"/>
      <c r="NNU81" s="684"/>
      <c r="NNV81" s="684"/>
      <c r="NNW81" s="684"/>
      <c r="NNX81" s="684"/>
      <c r="NNY81" s="684"/>
      <c r="NNZ81" s="684"/>
      <c r="NOA81" s="684"/>
      <c r="NOB81" s="684"/>
      <c r="NOC81" s="684"/>
      <c r="NOD81" s="684"/>
      <c r="NOE81" s="684"/>
      <c r="NOF81" s="684"/>
      <c r="NOG81" s="684"/>
      <c r="NOH81" s="684"/>
      <c r="NOI81" s="684"/>
      <c r="NOJ81" s="684"/>
      <c r="NOK81" s="684"/>
      <c r="NOL81" s="684"/>
      <c r="NOM81" s="684"/>
      <c r="NON81" s="684"/>
      <c r="NOO81" s="684"/>
      <c r="NOP81" s="684"/>
      <c r="NOQ81" s="684"/>
      <c r="NOR81" s="684"/>
      <c r="NOS81" s="684"/>
      <c r="NOT81" s="684"/>
      <c r="NOU81" s="684"/>
      <c r="NOV81" s="684"/>
      <c r="NOW81" s="684"/>
      <c r="NOX81" s="684"/>
      <c r="NOY81" s="684"/>
      <c r="NOZ81" s="684"/>
      <c r="NPA81" s="684"/>
      <c r="NPB81" s="684"/>
      <c r="NPC81" s="684"/>
      <c r="NPD81" s="684"/>
      <c r="NPE81" s="684"/>
      <c r="NPF81" s="684"/>
      <c r="NPG81" s="684"/>
      <c r="NPH81" s="684"/>
      <c r="NPI81" s="684"/>
      <c r="NPJ81" s="684"/>
      <c r="NPK81" s="684"/>
      <c r="NPL81" s="684"/>
      <c r="NPM81" s="684"/>
      <c r="NPN81" s="684"/>
      <c r="NPO81" s="684"/>
      <c r="NPP81" s="684"/>
      <c r="NPQ81" s="684"/>
      <c r="NPR81" s="684"/>
      <c r="NPS81" s="684"/>
      <c r="NPT81" s="684"/>
      <c r="NPU81" s="684"/>
      <c r="NPV81" s="684"/>
      <c r="NPW81" s="684"/>
      <c r="NPX81" s="684"/>
      <c r="NPY81" s="684"/>
      <c r="NPZ81" s="684"/>
      <c r="NQA81" s="684"/>
      <c r="NQB81" s="684"/>
      <c r="NQC81" s="684"/>
      <c r="NQD81" s="684"/>
      <c r="NQE81" s="684"/>
      <c r="NQF81" s="684"/>
      <c r="NQG81" s="684"/>
      <c r="NQH81" s="684"/>
      <c r="NQI81" s="684"/>
      <c r="NQJ81" s="684"/>
      <c r="NQK81" s="684"/>
      <c r="NQL81" s="684"/>
      <c r="NQM81" s="684"/>
      <c r="NQN81" s="684"/>
      <c r="NQO81" s="684"/>
      <c r="NQP81" s="684"/>
      <c r="NQQ81" s="684"/>
      <c r="NQR81" s="684"/>
      <c r="NQS81" s="684"/>
      <c r="NQT81" s="684"/>
      <c r="NQU81" s="684"/>
      <c r="NQV81" s="684"/>
      <c r="NQW81" s="684"/>
      <c r="NQX81" s="684"/>
      <c r="NQY81" s="684"/>
      <c r="NQZ81" s="684"/>
      <c r="NRA81" s="684"/>
      <c r="NRB81" s="684"/>
      <c r="NRC81" s="684"/>
      <c r="NRD81" s="684"/>
      <c r="NRE81" s="684"/>
      <c r="NRF81" s="684"/>
      <c r="NRG81" s="684"/>
      <c r="NRH81" s="684"/>
      <c r="NRI81" s="684"/>
      <c r="NRJ81" s="684"/>
      <c r="NRK81" s="684"/>
      <c r="NRL81" s="684"/>
      <c r="NRM81" s="684"/>
      <c r="NRN81" s="684"/>
      <c r="NRO81" s="684"/>
      <c r="NRP81" s="684"/>
      <c r="NRQ81" s="684"/>
      <c r="NRR81" s="684"/>
      <c r="NRS81" s="684"/>
      <c r="NRT81" s="684"/>
      <c r="NRU81" s="684"/>
      <c r="NRV81" s="684"/>
      <c r="NRW81" s="684"/>
      <c r="NRX81" s="684"/>
      <c r="NRY81" s="684"/>
      <c r="NRZ81" s="684"/>
      <c r="NSA81" s="684"/>
      <c r="NSB81" s="684"/>
      <c r="NSC81" s="684"/>
      <c r="NSD81" s="684"/>
      <c r="NSE81" s="684"/>
      <c r="NSF81" s="684"/>
      <c r="NSG81" s="684"/>
      <c r="NSH81" s="684"/>
      <c r="NSI81" s="684"/>
      <c r="NSJ81" s="684"/>
      <c r="NSK81" s="684"/>
      <c r="NSL81" s="684"/>
      <c r="NSM81" s="684"/>
      <c r="NSN81" s="684"/>
      <c r="NSO81" s="684"/>
      <c r="NSP81" s="684"/>
      <c r="NSQ81" s="684"/>
      <c r="NSR81" s="684"/>
      <c r="NSS81" s="684"/>
      <c r="NST81" s="684"/>
      <c r="NSU81" s="684"/>
      <c r="NSV81" s="684"/>
      <c r="NSW81" s="684"/>
      <c r="NSX81" s="684"/>
      <c r="NSY81" s="684"/>
      <c r="NSZ81" s="684"/>
      <c r="NTA81" s="684"/>
      <c r="NTB81" s="684"/>
      <c r="NTC81" s="684"/>
      <c r="NTD81" s="684"/>
      <c r="NTE81" s="684"/>
      <c r="NTF81" s="684"/>
      <c r="NTG81" s="684"/>
      <c r="NTH81" s="684"/>
      <c r="NTI81" s="684"/>
      <c r="NTJ81" s="684"/>
      <c r="NTK81" s="684"/>
      <c r="NTL81" s="684"/>
      <c r="NTM81" s="684"/>
      <c r="NTN81" s="684"/>
      <c r="NTO81" s="684"/>
      <c r="NTP81" s="684"/>
      <c r="NTQ81" s="684"/>
      <c r="NTR81" s="684"/>
      <c r="NTS81" s="684"/>
      <c r="NTT81" s="684"/>
      <c r="NTU81" s="684"/>
      <c r="NTV81" s="684"/>
      <c r="NTW81" s="684"/>
      <c r="NTX81" s="684"/>
      <c r="NTY81" s="684"/>
      <c r="NTZ81" s="684"/>
      <c r="NUA81" s="684"/>
      <c r="NUB81" s="684"/>
      <c r="NUC81" s="684"/>
      <c r="NUD81" s="684"/>
      <c r="NUE81" s="684"/>
      <c r="NUF81" s="684"/>
      <c r="NUG81" s="684"/>
      <c r="NUH81" s="684"/>
      <c r="NUI81" s="684"/>
      <c r="NUJ81" s="684"/>
      <c r="NUK81" s="684"/>
      <c r="NUL81" s="684"/>
      <c r="NUM81" s="684"/>
      <c r="NUN81" s="684"/>
      <c r="NUO81" s="684"/>
      <c r="NUP81" s="684"/>
      <c r="NUQ81" s="684"/>
      <c r="NUR81" s="684"/>
      <c r="NUS81" s="684"/>
      <c r="NUT81" s="684"/>
      <c r="NUU81" s="684"/>
      <c r="NUV81" s="684"/>
      <c r="NUW81" s="684"/>
      <c r="NUX81" s="684"/>
      <c r="NUY81" s="684"/>
      <c r="NUZ81" s="684"/>
      <c r="NVA81" s="684"/>
      <c r="NVB81" s="684"/>
      <c r="NVC81" s="684"/>
      <c r="NVD81" s="684"/>
      <c r="NVE81" s="684"/>
      <c r="NVF81" s="684"/>
      <c r="NVG81" s="684"/>
      <c r="NVH81" s="684"/>
      <c r="NVI81" s="684"/>
      <c r="NVJ81" s="684"/>
      <c r="NVK81" s="684"/>
      <c r="NVL81" s="684"/>
      <c r="NVM81" s="684"/>
      <c r="NVN81" s="684"/>
      <c r="NVO81" s="684"/>
      <c r="NVP81" s="684"/>
      <c r="NVQ81" s="684"/>
      <c r="NVR81" s="684"/>
      <c r="NVS81" s="684"/>
      <c r="NVT81" s="684"/>
      <c r="NVU81" s="684"/>
      <c r="NVV81" s="684"/>
      <c r="NVW81" s="684"/>
      <c r="NVX81" s="684"/>
      <c r="NVY81" s="684"/>
      <c r="NVZ81" s="684"/>
      <c r="NWA81" s="684"/>
      <c r="NWB81" s="684"/>
      <c r="NWC81" s="684"/>
      <c r="NWD81" s="684"/>
      <c r="NWE81" s="684"/>
      <c r="NWF81" s="684"/>
      <c r="NWG81" s="684"/>
      <c r="NWH81" s="684"/>
      <c r="NWI81" s="684"/>
      <c r="NWJ81" s="684"/>
      <c r="NWK81" s="684"/>
      <c r="NWL81" s="684"/>
      <c r="NWM81" s="684"/>
      <c r="NWN81" s="684"/>
      <c r="NWO81" s="684"/>
      <c r="NWP81" s="684"/>
      <c r="NWQ81" s="684"/>
      <c r="NWR81" s="684"/>
      <c r="NWS81" s="684"/>
      <c r="NWT81" s="684"/>
      <c r="NWU81" s="684"/>
      <c r="NWV81" s="684"/>
      <c r="NWW81" s="684"/>
      <c r="NWX81" s="684"/>
      <c r="NWY81" s="684"/>
      <c r="NWZ81" s="684"/>
      <c r="NXA81" s="684"/>
      <c r="NXB81" s="684"/>
      <c r="NXC81" s="684"/>
      <c r="NXD81" s="684"/>
      <c r="NXE81" s="684"/>
      <c r="NXF81" s="684"/>
      <c r="NXG81" s="684"/>
      <c r="NXH81" s="684"/>
      <c r="NXI81" s="684"/>
      <c r="NXJ81" s="684"/>
      <c r="NXK81" s="684"/>
      <c r="NXL81" s="684"/>
      <c r="NXM81" s="684"/>
      <c r="NXN81" s="684"/>
      <c r="NXO81" s="684"/>
      <c r="NXP81" s="684"/>
      <c r="NXQ81" s="684"/>
      <c r="NXR81" s="684"/>
      <c r="NXS81" s="684"/>
      <c r="NXT81" s="684"/>
      <c r="NXU81" s="684"/>
      <c r="NXV81" s="684"/>
      <c r="NXW81" s="684"/>
      <c r="NXX81" s="684"/>
      <c r="NXY81" s="684"/>
      <c r="NXZ81" s="684"/>
      <c r="NYA81" s="684"/>
      <c r="NYB81" s="684"/>
      <c r="NYC81" s="684"/>
      <c r="NYD81" s="684"/>
      <c r="NYE81" s="684"/>
      <c r="NYF81" s="684"/>
      <c r="NYG81" s="684"/>
      <c r="NYH81" s="684"/>
      <c r="NYI81" s="684"/>
      <c r="NYJ81" s="684"/>
      <c r="NYK81" s="684"/>
      <c r="NYL81" s="684"/>
      <c r="NYM81" s="684"/>
      <c r="NYN81" s="684"/>
      <c r="NYO81" s="684"/>
      <c r="NYP81" s="684"/>
      <c r="NYQ81" s="684"/>
      <c r="NYR81" s="684"/>
      <c r="NYS81" s="684"/>
      <c r="NYT81" s="684"/>
      <c r="NYU81" s="684"/>
      <c r="NYV81" s="684"/>
      <c r="NYW81" s="684"/>
      <c r="NYX81" s="684"/>
      <c r="NYY81" s="684"/>
      <c r="NYZ81" s="684"/>
      <c r="NZA81" s="684"/>
      <c r="NZB81" s="684"/>
      <c r="NZC81" s="684"/>
      <c r="NZD81" s="684"/>
      <c r="NZE81" s="684"/>
      <c r="NZF81" s="684"/>
      <c r="NZG81" s="684"/>
      <c r="NZH81" s="684"/>
      <c r="NZI81" s="684"/>
      <c r="NZJ81" s="684"/>
      <c r="NZK81" s="684"/>
      <c r="NZL81" s="684"/>
      <c r="NZM81" s="684"/>
      <c r="NZN81" s="684"/>
      <c r="NZO81" s="684"/>
      <c r="NZP81" s="684"/>
      <c r="NZQ81" s="684"/>
      <c r="NZR81" s="684"/>
      <c r="NZS81" s="684"/>
      <c r="NZT81" s="684"/>
      <c r="NZU81" s="684"/>
      <c r="NZV81" s="684"/>
      <c r="NZW81" s="684"/>
      <c r="NZX81" s="684"/>
      <c r="NZY81" s="684"/>
      <c r="NZZ81" s="684"/>
      <c r="OAA81" s="684"/>
      <c r="OAB81" s="684"/>
      <c r="OAC81" s="684"/>
      <c r="OAD81" s="684"/>
      <c r="OAE81" s="684"/>
      <c r="OAF81" s="684"/>
      <c r="OAG81" s="684"/>
      <c r="OAH81" s="684"/>
      <c r="OAI81" s="684"/>
      <c r="OAJ81" s="684"/>
      <c r="OAK81" s="684"/>
      <c r="OAL81" s="684"/>
      <c r="OAM81" s="684"/>
      <c r="OAN81" s="684"/>
      <c r="OAO81" s="684"/>
      <c r="OAP81" s="684"/>
      <c r="OAQ81" s="684"/>
      <c r="OAR81" s="684"/>
      <c r="OAS81" s="684"/>
      <c r="OAT81" s="684"/>
      <c r="OAU81" s="684"/>
      <c r="OAV81" s="684"/>
      <c r="OAW81" s="684"/>
      <c r="OAX81" s="684"/>
      <c r="OAY81" s="684"/>
      <c r="OAZ81" s="684"/>
      <c r="OBA81" s="684"/>
      <c r="OBB81" s="684"/>
      <c r="OBC81" s="684"/>
      <c r="OBD81" s="684"/>
      <c r="OBE81" s="684"/>
      <c r="OBF81" s="684"/>
      <c r="OBG81" s="684"/>
      <c r="OBH81" s="684"/>
      <c r="OBI81" s="684"/>
      <c r="OBJ81" s="684"/>
      <c r="OBK81" s="684"/>
      <c r="OBL81" s="684"/>
      <c r="OBM81" s="684"/>
      <c r="OBN81" s="684"/>
      <c r="OBO81" s="684"/>
      <c r="OBP81" s="684"/>
      <c r="OBQ81" s="684"/>
      <c r="OBR81" s="684"/>
      <c r="OBS81" s="684"/>
      <c r="OBT81" s="684"/>
      <c r="OBU81" s="684"/>
      <c r="OBV81" s="684"/>
      <c r="OBW81" s="684"/>
      <c r="OBX81" s="684"/>
      <c r="OBY81" s="684"/>
      <c r="OBZ81" s="684"/>
      <c r="OCA81" s="684"/>
      <c r="OCB81" s="684"/>
      <c r="OCC81" s="684"/>
      <c r="OCD81" s="684"/>
      <c r="OCE81" s="684"/>
      <c r="OCF81" s="684"/>
      <c r="OCG81" s="684"/>
      <c r="OCH81" s="684"/>
      <c r="OCI81" s="684"/>
      <c r="OCJ81" s="684"/>
      <c r="OCK81" s="684"/>
      <c r="OCL81" s="684"/>
      <c r="OCM81" s="684"/>
      <c r="OCN81" s="684"/>
      <c r="OCO81" s="684"/>
      <c r="OCP81" s="684"/>
      <c r="OCQ81" s="684"/>
      <c r="OCR81" s="684"/>
      <c r="OCS81" s="684"/>
      <c r="OCT81" s="684"/>
      <c r="OCU81" s="684"/>
      <c r="OCV81" s="684"/>
      <c r="OCW81" s="684"/>
      <c r="OCX81" s="684"/>
      <c r="OCY81" s="684"/>
      <c r="OCZ81" s="684"/>
      <c r="ODA81" s="684"/>
      <c r="ODB81" s="684"/>
      <c r="ODC81" s="684"/>
      <c r="ODD81" s="684"/>
      <c r="ODE81" s="684"/>
      <c r="ODF81" s="684"/>
      <c r="ODG81" s="684"/>
      <c r="ODH81" s="684"/>
      <c r="ODI81" s="684"/>
      <c r="ODJ81" s="684"/>
      <c r="ODK81" s="684"/>
      <c r="ODL81" s="684"/>
      <c r="ODM81" s="684"/>
      <c r="ODN81" s="684"/>
      <c r="ODO81" s="684"/>
      <c r="ODP81" s="684"/>
      <c r="ODQ81" s="684"/>
      <c r="ODR81" s="684"/>
      <c r="ODS81" s="684"/>
      <c r="ODT81" s="684"/>
      <c r="ODU81" s="684"/>
      <c r="ODV81" s="684"/>
      <c r="ODW81" s="684"/>
      <c r="ODX81" s="684"/>
      <c r="ODY81" s="684"/>
      <c r="ODZ81" s="684"/>
      <c r="OEA81" s="684"/>
      <c r="OEB81" s="684"/>
      <c r="OEC81" s="684"/>
      <c r="OED81" s="684"/>
      <c r="OEE81" s="684"/>
      <c r="OEF81" s="684"/>
      <c r="OEG81" s="684"/>
      <c r="OEH81" s="684"/>
      <c r="OEI81" s="684"/>
      <c r="OEJ81" s="684"/>
      <c r="OEK81" s="684"/>
      <c r="OEL81" s="684"/>
      <c r="OEM81" s="684"/>
      <c r="OEN81" s="684"/>
      <c r="OEO81" s="684"/>
      <c r="OEP81" s="684"/>
      <c r="OEQ81" s="684"/>
      <c r="OER81" s="684"/>
      <c r="OES81" s="684"/>
      <c r="OET81" s="684"/>
      <c r="OEU81" s="684"/>
      <c r="OEV81" s="684"/>
      <c r="OEW81" s="684"/>
      <c r="OEX81" s="684"/>
      <c r="OEY81" s="684"/>
      <c r="OEZ81" s="684"/>
      <c r="OFA81" s="684"/>
      <c r="OFB81" s="684"/>
      <c r="OFC81" s="684"/>
      <c r="OFD81" s="684"/>
      <c r="OFE81" s="684"/>
      <c r="OFF81" s="684"/>
      <c r="OFG81" s="684"/>
      <c r="OFH81" s="684"/>
      <c r="OFI81" s="684"/>
      <c r="OFJ81" s="684"/>
      <c r="OFK81" s="684"/>
      <c r="OFL81" s="684"/>
      <c r="OFM81" s="684"/>
      <c r="OFN81" s="684"/>
      <c r="OFO81" s="684"/>
      <c r="OFP81" s="684"/>
      <c r="OFQ81" s="684"/>
      <c r="OFR81" s="684"/>
      <c r="OFS81" s="684"/>
      <c r="OFT81" s="684"/>
      <c r="OFU81" s="684"/>
      <c r="OFV81" s="684"/>
      <c r="OFW81" s="684"/>
      <c r="OFX81" s="684"/>
      <c r="OFY81" s="684"/>
      <c r="OFZ81" s="684"/>
      <c r="OGA81" s="684"/>
      <c r="OGB81" s="684"/>
      <c r="OGC81" s="684"/>
      <c r="OGD81" s="684"/>
      <c r="OGE81" s="684"/>
      <c r="OGF81" s="684"/>
      <c r="OGG81" s="684"/>
      <c r="OGH81" s="684"/>
      <c r="OGI81" s="684"/>
      <c r="OGJ81" s="684"/>
      <c r="OGK81" s="684"/>
      <c r="OGL81" s="684"/>
      <c r="OGM81" s="684"/>
      <c r="OGN81" s="684"/>
      <c r="OGO81" s="684"/>
      <c r="OGP81" s="684"/>
      <c r="OGQ81" s="684"/>
      <c r="OGR81" s="684"/>
      <c r="OGS81" s="684"/>
      <c r="OGT81" s="684"/>
      <c r="OGU81" s="684"/>
      <c r="OGV81" s="684"/>
      <c r="OGW81" s="684"/>
      <c r="OGX81" s="684"/>
      <c r="OGY81" s="684"/>
      <c r="OGZ81" s="684"/>
      <c r="OHA81" s="684"/>
      <c r="OHB81" s="684"/>
      <c r="OHC81" s="684"/>
      <c r="OHD81" s="684"/>
      <c r="OHE81" s="684"/>
      <c r="OHF81" s="684"/>
      <c r="OHG81" s="684"/>
      <c r="OHH81" s="684"/>
      <c r="OHI81" s="684"/>
      <c r="OHJ81" s="684"/>
      <c r="OHK81" s="684"/>
      <c r="OHL81" s="684"/>
      <c r="OHM81" s="684"/>
      <c r="OHN81" s="684"/>
      <c r="OHO81" s="684"/>
      <c r="OHP81" s="684"/>
      <c r="OHQ81" s="684"/>
      <c r="OHR81" s="684"/>
      <c r="OHS81" s="684"/>
      <c r="OHT81" s="684"/>
      <c r="OHU81" s="684"/>
      <c r="OHV81" s="684"/>
      <c r="OHW81" s="684"/>
      <c r="OHX81" s="684"/>
      <c r="OHY81" s="684"/>
      <c r="OHZ81" s="684"/>
      <c r="OIA81" s="684"/>
      <c r="OIB81" s="684"/>
      <c r="OIC81" s="684"/>
      <c r="OID81" s="684"/>
      <c r="OIE81" s="684"/>
      <c r="OIF81" s="684"/>
      <c r="OIG81" s="684"/>
      <c r="OIH81" s="684"/>
      <c r="OII81" s="684"/>
      <c r="OIJ81" s="684"/>
      <c r="OIK81" s="684"/>
      <c r="OIL81" s="684"/>
      <c r="OIM81" s="684"/>
      <c r="OIN81" s="684"/>
      <c r="OIO81" s="684"/>
      <c r="OIP81" s="684"/>
      <c r="OIQ81" s="684"/>
      <c r="OIR81" s="684"/>
      <c r="OIS81" s="684"/>
      <c r="OIT81" s="684"/>
      <c r="OIU81" s="684"/>
      <c r="OIV81" s="684"/>
      <c r="OIW81" s="684"/>
      <c r="OIX81" s="684"/>
      <c r="OIY81" s="684"/>
      <c r="OIZ81" s="684"/>
      <c r="OJA81" s="684"/>
      <c r="OJB81" s="684"/>
      <c r="OJC81" s="684"/>
      <c r="OJD81" s="684"/>
      <c r="OJE81" s="684"/>
      <c r="OJF81" s="684"/>
      <c r="OJG81" s="684"/>
      <c r="OJH81" s="684"/>
      <c r="OJI81" s="684"/>
      <c r="OJJ81" s="684"/>
      <c r="OJK81" s="684"/>
      <c r="OJL81" s="684"/>
      <c r="OJM81" s="684"/>
      <c r="OJN81" s="684"/>
      <c r="OJO81" s="684"/>
      <c r="OJP81" s="684"/>
      <c r="OJQ81" s="684"/>
      <c r="OJR81" s="684"/>
      <c r="OJS81" s="684"/>
      <c r="OJT81" s="684"/>
      <c r="OJU81" s="684"/>
      <c r="OJV81" s="684"/>
      <c r="OJW81" s="684"/>
      <c r="OJX81" s="684"/>
      <c r="OJY81" s="684"/>
      <c r="OJZ81" s="684"/>
      <c r="OKA81" s="684"/>
      <c r="OKB81" s="684"/>
      <c r="OKC81" s="684"/>
      <c r="OKD81" s="684"/>
      <c r="OKE81" s="684"/>
      <c r="OKF81" s="684"/>
      <c r="OKG81" s="684"/>
      <c r="OKH81" s="684"/>
      <c r="OKI81" s="684"/>
      <c r="OKJ81" s="684"/>
      <c r="OKK81" s="684"/>
      <c r="OKL81" s="684"/>
      <c r="OKM81" s="684"/>
      <c r="OKN81" s="684"/>
      <c r="OKO81" s="684"/>
      <c r="OKP81" s="684"/>
      <c r="OKQ81" s="684"/>
      <c r="OKR81" s="684"/>
      <c r="OKS81" s="684"/>
      <c r="OKT81" s="684"/>
      <c r="OKU81" s="684"/>
      <c r="OKV81" s="684"/>
      <c r="OKW81" s="684"/>
      <c r="OKX81" s="684"/>
      <c r="OKY81" s="684"/>
      <c r="OKZ81" s="684"/>
      <c r="OLA81" s="684"/>
      <c r="OLB81" s="684"/>
      <c r="OLC81" s="684"/>
      <c r="OLD81" s="684"/>
      <c r="OLE81" s="684"/>
      <c r="OLF81" s="684"/>
      <c r="OLG81" s="684"/>
      <c r="OLH81" s="684"/>
      <c r="OLI81" s="684"/>
      <c r="OLJ81" s="684"/>
      <c r="OLK81" s="684"/>
      <c r="OLL81" s="684"/>
      <c r="OLM81" s="684"/>
      <c r="OLN81" s="684"/>
      <c r="OLO81" s="684"/>
      <c r="OLP81" s="684"/>
      <c r="OLQ81" s="684"/>
      <c r="OLR81" s="684"/>
      <c r="OLS81" s="684"/>
      <c r="OLT81" s="684"/>
      <c r="OLU81" s="684"/>
      <c r="OLV81" s="684"/>
      <c r="OLW81" s="684"/>
      <c r="OLX81" s="684"/>
      <c r="OLY81" s="684"/>
      <c r="OLZ81" s="684"/>
      <c r="OMA81" s="684"/>
      <c r="OMB81" s="684"/>
      <c r="OMC81" s="684"/>
      <c r="OMD81" s="684"/>
      <c r="OME81" s="684"/>
      <c r="OMF81" s="684"/>
      <c r="OMG81" s="684"/>
      <c r="OMH81" s="684"/>
      <c r="OMI81" s="684"/>
      <c r="OMJ81" s="684"/>
      <c r="OMK81" s="684"/>
      <c r="OML81" s="684"/>
      <c r="OMM81" s="684"/>
      <c r="OMN81" s="684"/>
      <c r="OMO81" s="684"/>
      <c r="OMP81" s="684"/>
      <c r="OMQ81" s="684"/>
      <c r="OMR81" s="684"/>
      <c r="OMS81" s="684"/>
      <c r="OMT81" s="684"/>
      <c r="OMU81" s="684"/>
      <c r="OMV81" s="684"/>
      <c r="OMW81" s="684"/>
      <c r="OMX81" s="684"/>
      <c r="OMY81" s="684"/>
      <c r="OMZ81" s="684"/>
      <c r="ONA81" s="684"/>
      <c r="ONB81" s="684"/>
      <c r="ONC81" s="684"/>
      <c r="OND81" s="684"/>
      <c r="ONE81" s="684"/>
      <c r="ONF81" s="684"/>
      <c r="ONG81" s="684"/>
      <c r="ONH81" s="684"/>
      <c r="ONI81" s="684"/>
      <c r="ONJ81" s="684"/>
      <c r="ONK81" s="684"/>
      <c r="ONL81" s="684"/>
      <c r="ONM81" s="684"/>
      <c r="ONN81" s="684"/>
      <c r="ONO81" s="684"/>
      <c r="ONP81" s="684"/>
      <c r="ONQ81" s="684"/>
      <c r="ONR81" s="684"/>
      <c r="ONS81" s="684"/>
      <c r="ONT81" s="684"/>
      <c r="ONU81" s="684"/>
      <c r="ONV81" s="684"/>
      <c r="ONW81" s="684"/>
      <c r="ONX81" s="684"/>
      <c r="ONY81" s="684"/>
      <c r="ONZ81" s="684"/>
      <c r="OOA81" s="684"/>
      <c r="OOB81" s="684"/>
      <c r="OOC81" s="684"/>
      <c r="OOD81" s="684"/>
      <c r="OOE81" s="684"/>
      <c r="OOF81" s="684"/>
      <c r="OOG81" s="684"/>
      <c r="OOH81" s="684"/>
      <c r="OOI81" s="684"/>
      <c r="OOJ81" s="684"/>
      <c r="OOK81" s="684"/>
      <c r="OOL81" s="684"/>
      <c r="OOM81" s="684"/>
      <c r="OON81" s="684"/>
      <c r="OOO81" s="684"/>
      <c r="OOP81" s="684"/>
      <c r="OOQ81" s="684"/>
      <c r="OOR81" s="684"/>
      <c r="OOS81" s="684"/>
      <c r="OOT81" s="684"/>
      <c r="OOU81" s="684"/>
      <c r="OOV81" s="684"/>
      <c r="OOW81" s="684"/>
      <c r="OOX81" s="684"/>
      <c r="OOY81" s="684"/>
      <c r="OOZ81" s="684"/>
      <c r="OPA81" s="684"/>
      <c r="OPB81" s="684"/>
      <c r="OPC81" s="684"/>
      <c r="OPD81" s="684"/>
      <c r="OPE81" s="684"/>
      <c r="OPF81" s="684"/>
      <c r="OPG81" s="684"/>
      <c r="OPH81" s="684"/>
      <c r="OPI81" s="684"/>
      <c r="OPJ81" s="684"/>
      <c r="OPK81" s="684"/>
      <c r="OPL81" s="684"/>
      <c r="OPM81" s="684"/>
      <c r="OPN81" s="684"/>
      <c r="OPO81" s="684"/>
      <c r="OPP81" s="684"/>
      <c r="OPQ81" s="684"/>
      <c r="OPR81" s="684"/>
      <c r="OPS81" s="684"/>
      <c r="OPT81" s="684"/>
      <c r="OPU81" s="684"/>
      <c r="OPV81" s="684"/>
      <c r="OPW81" s="684"/>
      <c r="OPX81" s="684"/>
      <c r="OPY81" s="684"/>
      <c r="OPZ81" s="684"/>
      <c r="OQA81" s="684"/>
      <c r="OQB81" s="684"/>
      <c r="OQC81" s="684"/>
      <c r="OQD81" s="684"/>
      <c r="OQE81" s="684"/>
      <c r="OQF81" s="684"/>
      <c r="OQG81" s="684"/>
      <c r="OQH81" s="684"/>
      <c r="OQI81" s="684"/>
      <c r="OQJ81" s="684"/>
      <c r="OQK81" s="684"/>
      <c r="OQL81" s="684"/>
      <c r="OQM81" s="684"/>
      <c r="OQN81" s="684"/>
      <c r="OQO81" s="684"/>
      <c r="OQP81" s="684"/>
      <c r="OQQ81" s="684"/>
      <c r="OQR81" s="684"/>
      <c r="OQS81" s="684"/>
      <c r="OQT81" s="684"/>
      <c r="OQU81" s="684"/>
      <c r="OQV81" s="684"/>
      <c r="OQW81" s="684"/>
      <c r="OQX81" s="684"/>
      <c r="OQY81" s="684"/>
      <c r="OQZ81" s="684"/>
      <c r="ORA81" s="684"/>
      <c r="ORB81" s="684"/>
      <c r="ORC81" s="684"/>
      <c r="ORD81" s="684"/>
      <c r="ORE81" s="684"/>
      <c r="ORF81" s="684"/>
      <c r="ORG81" s="684"/>
      <c r="ORH81" s="684"/>
      <c r="ORI81" s="684"/>
      <c r="ORJ81" s="684"/>
      <c r="ORK81" s="684"/>
      <c r="ORL81" s="684"/>
      <c r="ORM81" s="684"/>
      <c r="ORN81" s="684"/>
      <c r="ORO81" s="684"/>
      <c r="ORP81" s="684"/>
      <c r="ORQ81" s="684"/>
      <c r="ORR81" s="684"/>
      <c r="ORS81" s="684"/>
      <c r="ORT81" s="684"/>
      <c r="ORU81" s="684"/>
      <c r="ORV81" s="684"/>
      <c r="ORW81" s="684"/>
      <c r="ORX81" s="684"/>
      <c r="ORY81" s="684"/>
      <c r="ORZ81" s="684"/>
      <c r="OSA81" s="684"/>
      <c r="OSB81" s="684"/>
      <c r="OSC81" s="684"/>
      <c r="OSD81" s="684"/>
      <c r="OSE81" s="684"/>
      <c r="OSF81" s="684"/>
      <c r="OSG81" s="684"/>
      <c r="OSH81" s="684"/>
      <c r="OSI81" s="684"/>
      <c r="OSJ81" s="684"/>
      <c r="OSK81" s="684"/>
      <c r="OSL81" s="684"/>
      <c r="OSM81" s="684"/>
      <c r="OSN81" s="684"/>
      <c r="OSO81" s="684"/>
      <c r="OSP81" s="684"/>
      <c r="OSQ81" s="684"/>
      <c r="OSR81" s="684"/>
      <c r="OSS81" s="684"/>
      <c r="OST81" s="684"/>
      <c r="OSU81" s="684"/>
      <c r="OSV81" s="684"/>
      <c r="OSW81" s="684"/>
      <c r="OSX81" s="684"/>
      <c r="OSY81" s="684"/>
      <c r="OSZ81" s="684"/>
      <c r="OTA81" s="684"/>
      <c r="OTB81" s="684"/>
      <c r="OTC81" s="684"/>
      <c r="OTD81" s="684"/>
      <c r="OTE81" s="684"/>
      <c r="OTF81" s="684"/>
      <c r="OTG81" s="684"/>
      <c r="OTH81" s="684"/>
      <c r="OTI81" s="684"/>
      <c r="OTJ81" s="684"/>
      <c r="OTK81" s="684"/>
      <c r="OTL81" s="684"/>
      <c r="OTM81" s="684"/>
      <c r="OTN81" s="684"/>
      <c r="OTO81" s="684"/>
      <c r="OTP81" s="684"/>
      <c r="OTQ81" s="684"/>
      <c r="OTR81" s="684"/>
      <c r="OTS81" s="684"/>
      <c r="OTT81" s="684"/>
      <c r="OTU81" s="684"/>
      <c r="OTV81" s="684"/>
      <c r="OTW81" s="684"/>
      <c r="OTX81" s="684"/>
      <c r="OTY81" s="684"/>
      <c r="OTZ81" s="684"/>
      <c r="OUA81" s="684"/>
      <c r="OUB81" s="684"/>
      <c r="OUC81" s="684"/>
      <c r="OUD81" s="684"/>
      <c r="OUE81" s="684"/>
      <c r="OUF81" s="684"/>
      <c r="OUG81" s="684"/>
      <c r="OUH81" s="684"/>
      <c r="OUI81" s="684"/>
      <c r="OUJ81" s="684"/>
      <c r="OUK81" s="684"/>
      <c r="OUL81" s="684"/>
      <c r="OUM81" s="684"/>
      <c r="OUN81" s="684"/>
      <c r="OUO81" s="684"/>
      <c r="OUP81" s="684"/>
      <c r="OUQ81" s="684"/>
      <c r="OUR81" s="684"/>
      <c r="OUS81" s="684"/>
      <c r="OUT81" s="684"/>
      <c r="OUU81" s="684"/>
      <c r="OUV81" s="684"/>
      <c r="OUW81" s="684"/>
      <c r="OUX81" s="684"/>
      <c r="OUY81" s="684"/>
      <c r="OUZ81" s="684"/>
      <c r="OVA81" s="684"/>
      <c r="OVB81" s="684"/>
      <c r="OVC81" s="684"/>
      <c r="OVD81" s="684"/>
      <c r="OVE81" s="684"/>
      <c r="OVF81" s="684"/>
      <c r="OVG81" s="684"/>
      <c r="OVH81" s="684"/>
      <c r="OVI81" s="684"/>
      <c r="OVJ81" s="684"/>
      <c r="OVK81" s="684"/>
      <c r="OVL81" s="684"/>
      <c r="OVM81" s="684"/>
      <c r="OVN81" s="684"/>
      <c r="OVO81" s="684"/>
      <c r="OVP81" s="684"/>
      <c r="OVQ81" s="684"/>
      <c r="OVR81" s="684"/>
      <c r="OVS81" s="684"/>
      <c r="OVT81" s="684"/>
      <c r="OVU81" s="684"/>
      <c r="OVV81" s="684"/>
      <c r="OVW81" s="684"/>
      <c r="OVX81" s="684"/>
      <c r="OVY81" s="684"/>
      <c r="OVZ81" s="684"/>
      <c r="OWA81" s="684"/>
      <c r="OWB81" s="684"/>
      <c r="OWC81" s="684"/>
      <c r="OWD81" s="684"/>
      <c r="OWE81" s="684"/>
      <c r="OWF81" s="684"/>
      <c r="OWG81" s="684"/>
      <c r="OWH81" s="684"/>
      <c r="OWI81" s="684"/>
      <c r="OWJ81" s="684"/>
      <c r="OWK81" s="684"/>
      <c r="OWL81" s="684"/>
      <c r="OWM81" s="684"/>
      <c r="OWN81" s="684"/>
      <c r="OWO81" s="684"/>
      <c r="OWP81" s="684"/>
      <c r="OWQ81" s="684"/>
      <c r="OWR81" s="684"/>
      <c r="OWS81" s="684"/>
      <c r="OWT81" s="684"/>
      <c r="OWU81" s="684"/>
      <c r="OWV81" s="684"/>
      <c r="OWW81" s="684"/>
      <c r="OWX81" s="684"/>
      <c r="OWY81" s="684"/>
      <c r="OWZ81" s="684"/>
      <c r="OXA81" s="684"/>
      <c r="OXB81" s="684"/>
      <c r="OXC81" s="684"/>
      <c r="OXD81" s="684"/>
      <c r="OXE81" s="684"/>
      <c r="OXF81" s="684"/>
      <c r="OXG81" s="684"/>
      <c r="OXH81" s="684"/>
      <c r="OXI81" s="684"/>
      <c r="OXJ81" s="684"/>
      <c r="OXK81" s="684"/>
      <c r="OXL81" s="684"/>
      <c r="OXM81" s="684"/>
      <c r="OXN81" s="684"/>
      <c r="OXO81" s="684"/>
      <c r="OXP81" s="684"/>
      <c r="OXQ81" s="684"/>
      <c r="OXR81" s="684"/>
      <c r="OXS81" s="684"/>
      <c r="OXT81" s="684"/>
      <c r="OXU81" s="684"/>
      <c r="OXV81" s="684"/>
      <c r="OXW81" s="684"/>
      <c r="OXX81" s="684"/>
      <c r="OXY81" s="684"/>
      <c r="OXZ81" s="684"/>
      <c r="OYA81" s="684"/>
      <c r="OYB81" s="684"/>
      <c r="OYC81" s="684"/>
      <c r="OYD81" s="684"/>
      <c r="OYE81" s="684"/>
      <c r="OYF81" s="684"/>
      <c r="OYG81" s="684"/>
      <c r="OYH81" s="684"/>
      <c r="OYI81" s="684"/>
      <c r="OYJ81" s="684"/>
      <c r="OYK81" s="684"/>
      <c r="OYL81" s="684"/>
      <c r="OYM81" s="684"/>
      <c r="OYN81" s="684"/>
      <c r="OYO81" s="684"/>
      <c r="OYP81" s="684"/>
      <c r="OYQ81" s="684"/>
      <c r="OYR81" s="684"/>
      <c r="OYS81" s="684"/>
      <c r="OYT81" s="684"/>
      <c r="OYU81" s="684"/>
      <c r="OYV81" s="684"/>
      <c r="OYW81" s="684"/>
      <c r="OYX81" s="684"/>
      <c r="OYY81" s="684"/>
      <c r="OYZ81" s="684"/>
      <c r="OZA81" s="684"/>
      <c r="OZB81" s="684"/>
      <c r="OZC81" s="684"/>
      <c r="OZD81" s="684"/>
      <c r="OZE81" s="684"/>
      <c r="OZF81" s="684"/>
      <c r="OZG81" s="684"/>
      <c r="OZH81" s="684"/>
      <c r="OZI81" s="684"/>
      <c r="OZJ81" s="684"/>
      <c r="OZK81" s="684"/>
      <c r="OZL81" s="684"/>
      <c r="OZM81" s="684"/>
      <c r="OZN81" s="684"/>
      <c r="OZO81" s="684"/>
      <c r="OZP81" s="684"/>
      <c r="OZQ81" s="684"/>
      <c r="OZR81" s="684"/>
      <c r="OZS81" s="684"/>
      <c r="OZT81" s="684"/>
      <c r="OZU81" s="684"/>
      <c r="OZV81" s="684"/>
      <c r="OZW81" s="684"/>
      <c r="OZX81" s="684"/>
      <c r="OZY81" s="684"/>
      <c r="OZZ81" s="684"/>
      <c r="PAA81" s="684"/>
      <c r="PAB81" s="684"/>
      <c r="PAC81" s="684"/>
      <c r="PAD81" s="684"/>
      <c r="PAE81" s="684"/>
      <c r="PAF81" s="684"/>
      <c r="PAG81" s="684"/>
      <c r="PAH81" s="684"/>
      <c r="PAI81" s="684"/>
      <c r="PAJ81" s="684"/>
      <c r="PAK81" s="684"/>
      <c r="PAL81" s="684"/>
      <c r="PAM81" s="684"/>
      <c r="PAN81" s="684"/>
      <c r="PAO81" s="684"/>
      <c r="PAP81" s="684"/>
      <c r="PAQ81" s="684"/>
      <c r="PAR81" s="684"/>
      <c r="PAS81" s="684"/>
      <c r="PAT81" s="684"/>
      <c r="PAU81" s="684"/>
      <c r="PAV81" s="684"/>
      <c r="PAW81" s="684"/>
      <c r="PAX81" s="684"/>
      <c r="PAY81" s="684"/>
      <c r="PAZ81" s="684"/>
      <c r="PBA81" s="684"/>
      <c r="PBB81" s="684"/>
      <c r="PBC81" s="684"/>
      <c r="PBD81" s="684"/>
      <c r="PBE81" s="684"/>
      <c r="PBF81" s="684"/>
      <c r="PBG81" s="684"/>
      <c r="PBH81" s="684"/>
      <c r="PBI81" s="684"/>
      <c r="PBJ81" s="684"/>
      <c r="PBK81" s="684"/>
      <c r="PBL81" s="684"/>
      <c r="PBM81" s="684"/>
      <c r="PBN81" s="684"/>
      <c r="PBO81" s="684"/>
      <c r="PBP81" s="684"/>
      <c r="PBQ81" s="684"/>
      <c r="PBR81" s="684"/>
      <c r="PBS81" s="684"/>
      <c r="PBT81" s="684"/>
      <c r="PBU81" s="684"/>
      <c r="PBV81" s="684"/>
      <c r="PBW81" s="684"/>
      <c r="PBX81" s="684"/>
      <c r="PBY81" s="684"/>
      <c r="PBZ81" s="684"/>
      <c r="PCA81" s="684"/>
      <c r="PCB81" s="684"/>
      <c r="PCC81" s="684"/>
      <c r="PCD81" s="684"/>
      <c r="PCE81" s="684"/>
      <c r="PCF81" s="684"/>
      <c r="PCG81" s="684"/>
      <c r="PCH81" s="684"/>
      <c r="PCI81" s="684"/>
      <c r="PCJ81" s="684"/>
      <c r="PCK81" s="684"/>
      <c r="PCL81" s="684"/>
      <c r="PCM81" s="684"/>
      <c r="PCN81" s="684"/>
      <c r="PCO81" s="684"/>
      <c r="PCP81" s="684"/>
      <c r="PCQ81" s="684"/>
      <c r="PCR81" s="684"/>
      <c r="PCS81" s="684"/>
      <c r="PCT81" s="684"/>
      <c r="PCU81" s="684"/>
      <c r="PCV81" s="684"/>
      <c r="PCW81" s="684"/>
      <c r="PCX81" s="684"/>
      <c r="PCY81" s="684"/>
      <c r="PCZ81" s="684"/>
      <c r="PDA81" s="684"/>
      <c r="PDB81" s="684"/>
      <c r="PDC81" s="684"/>
      <c r="PDD81" s="684"/>
      <c r="PDE81" s="684"/>
      <c r="PDF81" s="684"/>
      <c r="PDG81" s="684"/>
      <c r="PDH81" s="684"/>
      <c r="PDI81" s="684"/>
      <c r="PDJ81" s="684"/>
      <c r="PDK81" s="684"/>
      <c r="PDL81" s="684"/>
      <c r="PDM81" s="684"/>
      <c r="PDN81" s="684"/>
      <c r="PDO81" s="684"/>
      <c r="PDP81" s="684"/>
      <c r="PDQ81" s="684"/>
      <c r="PDR81" s="684"/>
      <c r="PDS81" s="684"/>
      <c r="PDT81" s="684"/>
      <c r="PDU81" s="684"/>
      <c r="PDV81" s="684"/>
      <c r="PDW81" s="684"/>
      <c r="PDX81" s="684"/>
      <c r="PDY81" s="684"/>
      <c r="PDZ81" s="684"/>
      <c r="PEA81" s="684"/>
      <c r="PEB81" s="684"/>
      <c r="PEC81" s="684"/>
      <c r="PED81" s="684"/>
      <c r="PEE81" s="684"/>
      <c r="PEF81" s="684"/>
      <c r="PEG81" s="684"/>
      <c r="PEH81" s="684"/>
      <c r="PEI81" s="684"/>
      <c r="PEJ81" s="684"/>
      <c r="PEK81" s="684"/>
      <c r="PEL81" s="684"/>
      <c r="PEM81" s="684"/>
      <c r="PEN81" s="684"/>
      <c r="PEO81" s="684"/>
      <c r="PEP81" s="684"/>
      <c r="PEQ81" s="684"/>
      <c r="PER81" s="684"/>
      <c r="PES81" s="684"/>
      <c r="PET81" s="684"/>
      <c r="PEU81" s="684"/>
      <c r="PEV81" s="684"/>
      <c r="PEW81" s="684"/>
      <c r="PEX81" s="684"/>
      <c r="PEY81" s="684"/>
      <c r="PEZ81" s="684"/>
      <c r="PFA81" s="684"/>
      <c r="PFB81" s="684"/>
      <c r="PFC81" s="684"/>
      <c r="PFD81" s="684"/>
      <c r="PFE81" s="684"/>
      <c r="PFF81" s="684"/>
      <c r="PFG81" s="684"/>
      <c r="PFH81" s="684"/>
      <c r="PFI81" s="684"/>
      <c r="PFJ81" s="684"/>
      <c r="PFK81" s="684"/>
      <c r="PFL81" s="684"/>
      <c r="PFM81" s="684"/>
      <c r="PFN81" s="684"/>
      <c r="PFO81" s="684"/>
      <c r="PFP81" s="684"/>
      <c r="PFQ81" s="684"/>
      <c r="PFR81" s="684"/>
      <c r="PFS81" s="684"/>
      <c r="PFT81" s="684"/>
      <c r="PFU81" s="684"/>
      <c r="PFV81" s="684"/>
      <c r="PFW81" s="684"/>
      <c r="PFX81" s="684"/>
      <c r="PFY81" s="684"/>
      <c r="PFZ81" s="684"/>
      <c r="PGA81" s="684"/>
      <c r="PGB81" s="684"/>
      <c r="PGC81" s="684"/>
      <c r="PGD81" s="684"/>
      <c r="PGE81" s="684"/>
      <c r="PGF81" s="684"/>
      <c r="PGG81" s="684"/>
      <c r="PGH81" s="684"/>
      <c r="PGI81" s="684"/>
      <c r="PGJ81" s="684"/>
      <c r="PGK81" s="684"/>
      <c r="PGL81" s="684"/>
      <c r="PGM81" s="684"/>
      <c r="PGN81" s="684"/>
      <c r="PGO81" s="684"/>
      <c r="PGP81" s="684"/>
      <c r="PGQ81" s="684"/>
      <c r="PGR81" s="684"/>
      <c r="PGS81" s="684"/>
      <c r="PGT81" s="684"/>
      <c r="PGU81" s="684"/>
      <c r="PGV81" s="684"/>
      <c r="PGW81" s="684"/>
      <c r="PGX81" s="684"/>
      <c r="PGY81" s="684"/>
      <c r="PGZ81" s="684"/>
      <c r="PHA81" s="684"/>
      <c r="PHB81" s="684"/>
      <c r="PHC81" s="684"/>
      <c r="PHD81" s="684"/>
      <c r="PHE81" s="684"/>
      <c r="PHF81" s="684"/>
      <c r="PHG81" s="684"/>
      <c r="PHH81" s="684"/>
      <c r="PHI81" s="684"/>
      <c r="PHJ81" s="684"/>
      <c r="PHK81" s="684"/>
      <c r="PHL81" s="684"/>
      <c r="PHM81" s="684"/>
      <c r="PHN81" s="684"/>
      <c r="PHO81" s="684"/>
      <c r="PHP81" s="684"/>
      <c r="PHQ81" s="684"/>
      <c r="PHR81" s="684"/>
      <c r="PHS81" s="684"/>
      <c r="PHT81" s="684"/>
      <c r="PHU81" s="684"/>
      <c r="PHV81" s="684"/>
      <c r="PHW81" s="684"/>
      <c r="PHX81" s="684"/>
      <c r="PHY81" s="684"/>
      <c r="PHZ81" s="684"/>
      <c r="PIA81" s="684"/>
      <c r="PIB81" s="684"/>
      <c r="PIC81" s="684"/>
      <c r="PID81" s="684"/>
      <c r="PIE81" s="684"/>
      <c r="PIF81" s="684"/>
      <c r="PIG81" s="684"/>
      <c r="PIH81" s="684"/>
      <c r="PII81" s="684"/>
      <c r="PIJ81" s="684"/>
      <c r="PIK81" s="684"/>
      <c r="PIL81" s="684"/>
      <c r="PIM81" s="684"/>
      <c r="PIN81" s="684"/>
      <c r="PIO81" s="684"/>
      <c r="PIP81" s="684"/>
      <c r="PIQ81" s="684"/>
      <c r="PIR81" s="684"/>
      <c r="PIS81" s="684"/>
      <c r="PIT81" s="684"/>
      <c r="PIU81" s="684"/>
      <c r="PIV81" s="684"/>
      <c r="PIW81" s="684"/>
      <c r="PIX81" s="684"/>
      <c r="PIY81" s="684"/>
      <c r="PIZ81" s="684"/>
      <c r="PJA81" s="684"/>
      <c r="PJB81" s="684"/>
      <c r="PJC81" s="684"/>
      <c r="PJD81" s="684"/>
      <c r="PJE81" s="684"/>
      <c r="PJF81" s="684"/>
      <c r="PJG81" s="684"/>
      <c r="PJH81" s="684"/>
      <c r="PJI81" s="684"/>
      <c r="PJJ81" s="684"/>
      <c r="PJK81" s="684"/>
      <c r="PJL81" s="684"/>
      <c r="PJM81" s="684"/>
      <c r="PJN81" s="684"/>
      <c r="PJO81" s="684"/>
      <c r="PJP81" s="684"/>
      <c r="PJQ81" s="684"/>
      <c r="PJR81" s="684"/>
      <c r="PJS81" s="684"/>
      <c r="PJT81" s="684"/>
      <c r="PJU81" s="684"/>
      <c r="PJV81" s="684"/>
      <c r="PJW81" s="684"/>
      <c r="PJX81" s="684"/>
      <c r="PJY81" s="684"/>
      <c r="PJZ81" s="684"/>
      <c r="PKA81" s="684"/>
      <c r="PKB81" s="684"/>
      <c r="PKC81" s="684"/>
      <c r="PKD81" s="684"/>
      <c r="PKE81" s="684"/>
      <c r="PKF81" s="684"/>
      <c r="PKG81" s="684"/>
      <c r="PKH81" s="684"/>
      <c r="PKI81" s="684"/>
      <c r="PKJ81" s="684"/>
      <c r="PKK81" s="684"/>
      <c r="PKL81" s="684"/>
      <c r="PKM81" s="684"/>
      <c r="PKN81" s="684"/>
      <c r="PKO81" s="684"/>
      <c r="PKP81" s="684"/>
      <c r="PKQ81" s="684"/>
      <c r="PKR81" s="684"/>
      <c r="PKS81" s="684"/>
      <c r="PKT81" s="684"/>
      <c r="PKU81" s="684"/>
      <c r="PKV81" s="684"/>
      <c r="PKW81" s="684"/>
      <c r="PKX81" s="684"/>
      <c r="PKY81" s="684"/>
      <c r="PKZ81" s="684"/>
      <c r="PLA81" s="684"/>
      <c r="PLB81" s="684"/>
      <c r="PLC81" s="684"/>
      <c r="PLD81" s="684"/>
      <c r="PLE81" s="684"/>
      <c r="PLF81" s="684"/>
      <c r="PLG81" s="684"/>
      <c r="PLH81" s="684"/>
      <c r="PLI81" s="684"/>
      <c r="PLJ81" s="684"/>
      <c r="PLK81" s="684"/>
      <c r="PLL81" s="684"/>
      <c r="PLM81" s="684"/>
      <c r="PLN81" s="684"/>
      <c r="PLO81" s="684"/>
      <c r="PLP81" s="684"/>
      <c r="PLQ81" s="684"/>
      <c r="PLR81" s="684"/>
      <c r="PLS81" s="684"/>
      <c r="PLT81" s="684"/>
      <c r="PLU81" s="684"/>
      <c r="PLV81" s="684"/>
      <c r="PLW81" s="684"/>
      <c r="PLX81" s="684"/>
      <c r="PLY81" s="684"/>
      <c r="PLZ81" s="684"/>
      <c r="PMA81" s="684"/>
      <c r="PMB81" s="684"/>
      <c r="PMC81" s="684"/>
      <c r="PMD81" s="684"/>
      <c r="PME81" s="684"/>
      <c r="PMF81" s="684"/>
      <c r="PMG81" s="684"/>
      <c r="PMH81" s="684"/>
      <c r="PMI81" s="684"/>
      <c r="PMJ81" s="684"/>
      <c r="PMK81" s="684"/>
      <c r="PML81" s="684"/>
      <c r="PMM81" s="684"/>
      <c r="PMN81" s="684"/>
      <c r="PMO81" s="684"/>
      <c r="PMP81" s="684"/>
      <c r="PMQ81" s="684"/>
      <c r="PMR81" s="684"/>
      <c r="PMS81" s="684"/>
      <c r="PMT81" s="684"/>
      <c r="PMU81" s="684"/>
      <c r="PMV81" s="684"/>
      <c r="PMW81" s="684"/>
      <c r="PMX81" s="684"/>
      <c r="PMY81" s="684"/>
      <c r="PMZ81" s="684"/>
      <c r="PNA81" s="684"/>
      <c r="PNB81" s="684"/>
      <c r="PNC81" s="684"/>
      <c r="PND81" s="684"/>
      <c r="PNE81" s="684"/>
      <c r="PNF81" s="684"/>
      <c r="PNG81" s="684"/>
      <c r="PNH81" s="684"/>
      <c r="PNI81" s="684"/>
      <c r="PNJ81" s="684"/>
      <c r="PNK81" s="684"/>
      <c r="PNL81" s="684"/>
      <c r="PNM81" s="684"/>
      <c r="PNN81" s="684"/>
      <c r="PNO81" s="684"/>
      <c r="PNP81" s="684"/>
      <c r="PNQ81" s="684"/>
      <c r="PNR81" s="684"/>
      <c r="PNS81" s="684"/>
      <c r="PNT81" s="684"/>
      <c r="PNU81" s="684"/>
      <c r="PNV81" s="684"/>
      <c r="PNW81" s="684"/>
      <c r="PNX81" s="684"/>
      <c r="PNY81" s="684"/>
      <c r="PNZ81" s="684"/>
      <c r="POA81" s="684"/>
      <c r="POB81" s="684"/>
      <c r="POC81" s="684"/>
      <c r="POD81" s="684"/>
      <c r="POE81" s="684"/>
      <c r="POF81" s="684"/>
      <c r="POG81" s="684"/>
      <c r="POH81" s="684"/>
      <c r="POI81" s="684"/>
      <c r="POJ81" s="684"/>
      <c r="POK81" s="684"/>
      <c r="POL81" s="684"/>
      <c r="POM81" s="684"/>
      <c r="PON81" s="684"/>
      <c r="POO81" s="684"/>
      <c r="POP81" s="684"/>
      <c r="POQ81" s="684"/>
      <c r="POR81" s="684"/>
      <c r="POS81" s="684"/>
      <c r="POT81" s="684"/>
      <c r="POU81" s="684"/>
      <c r="POV81" s="684"/>
      <c r="POW81" s="684"/>
      <c r="POX81" s="684"/>
      <c r="POY81" s="684"/>
      <c r="POZ81" s="684"/>
      <c r="PPA81" s="684"/>
      <c r="PPB81" s="684"/>
      <c r="PPC81" s="684"/>
      <c r="PPD81" s="684"/>
      <c r="PPE81" s="684"/>
      <c r="PPF81" s="684"/>
      <c r="PPG81" s="684"/>
      <c r="PPH81" s="684"/>
      <c r="PPI81" s="684"/>
      <c r="PPJ81" s="684"/>
      <c r="PPK81" s="684"/>
      <c r="PPL81" s="684"/>
      <c r="PPM81" s="684"/>
      <c r="PPN81" s="684"/>
      <c r="PPO81" s="684"/>
      <c r="PPP81" s="684"/>
      <c r="PPQ81" s="684"/>
      <c r="PPR81" s="684"/>
      <c r="PPS81" s="684"/>
      <c r="PPT81" s="684"/>
      <c r="PPU81" s="684"/>
      <c r="PPV81" s="684"/>
      <c r="PPW81" s="684"/>
      <c r="PPX81" s="684"/>
      <c r="PPY81" s="684"/>
      <c r="PPZ81" s="684"/>
      <c r="PQA81" s="684"/>
      <c r="PQB81" s="684"/>
      <c r="PQC81" s="684"/>
      <c r="PQD81" s="684"/>
      <c r="PQE81" s="684"/>
      <c r="PQF81" s="684"/>
      <c r="PQG81" s="684"/>
      <c r="PQH81" s="684"/>
      <c r="PQI81" s="684"/>
      <c r="PQJ81" s="684"/>
      <c r="PQK81" s="684"/>
      <c r="PQL81" s="684"/>
      <c r="PQM81" s="684"/>
      <c r="PQN81" s="684"/>
      <c r="PQO81" s="684"/>
      <c r="PQP81" s="684"/>
      <c r="PQQ81" s="684"/>
      <c r="PQR81" s="684"/>
      <c r="PQS81" s="684"/>
      <c r="PQT81" s="684"/>
      <c r="PQU81" s="684"/>
      <c r="PQV81" s="684"/>
      <c r="PQW81" s="684"/>
      <c r="PQX81" s="684"/>
      <c r="PQY81" s="684"/>
      <c r="PQZ81" s="684"/>
      <c r="PRA81" s="684"/>
      <c r="PRB81" s="684"/>
      <c r="PRC81" s="684"/>
      <c r="PRD81" s="684"/>
      <c r="PRE81" s="684"/>
      <c r="PRF81" s="684"/>
      <c r="PRG81" s="684"/>
      <c r="PRH81" s="684"/>
      <c r="PRI81" s="684"/>
      <c r="PRJ81" s="684"/>
      <c r="PRK81" s="684"/>
      <c r="PRL81" s="684"/>
      <c r="PRM81" s="684"/>
      <c r="PRN81" s="684"/>
      <c r="PRO81" s="684"/>
      <c r="PRP81" s="684"/>
      <c r="PRQ81" s="684"/>
      <c r="PRR81" s="684"/>
      <c r="PRS81" s="684"/>
      <c r="PRT81" s="684"/>
      <c r="PRU81" s="684"/>
      <c r="PRV81" s="684"/>
      <c r="PRW81" s="684"/>
      <c r="PRX81" s="684"/>
      <c r="PRY81" s="684"/>
      <c r="PRZ81" s="684"/>
      <c r="PSA81" s="684"/>
      <c r="PSB81" s="684"/>
      <c r="PSC81" s="684"/>
      <c r="PSD81" s="684"/>
      <c r="PSE81" s="684"/>
      <c r="PSF81" s="684"/>
      <c r="PSG81" s="684"/>
      <c r="PSH81" s="684"/>
      <c r="PSI81" s="684"/>
      <c r="PSJ81" s="684"/>
      <c r="PSK81" s="684"/>
      <c r="PSL81" s="684"/>
      <c r="PSM81" s="684"/>
      <c r="PSN81" s="684"/>
      <c r="PSO81" s="684"/>
      <c r="PSP81" s="684"/>
      <c r="PSQ81" s="684"/>
      <c r="PSR81" s="684"/>
      <c r="PSS81" s="684"/>
      <c r="PST81" s="684"/>
      <c r="PSU81" s="684"/>
      <c r="PSV81" s="684"/>
      <c r="PSW81" s="684"/>
      <c r="PSX81" s="684"/>
      <c r="PSY81" s="684"/>
      <c r="PSZ81" s="684"/>
      <c r="PTA81" s="684"/>
      <c r="PTB81" s="684"/>
      <c r="PTC81" s="684"/>
      <c r="PTD81" s="684"/>
      <c r="PTE81" s="684"/>
      <c r="PTF81" s="684"/>
      <c r="PTG81" s="684"/>
      <c r="PTH81" s="684"/>
      <c r="PTI81" s="684"/>
      <c r="PTJ81" s="684"/>
      <c r="PTK81" s="684"/>
      <c r="PTL81" s="684"/>
      <c r="PTM81" s="684"/>
      <c r="PTN81" s="684"/>
      <c r="PTO81" s="684"/>
      <c r="PTP81" s="684"/>
      <c r="PTQ81" s="684"/>
      <c r="PTR81" s="684"/>
      <c r="PTS81" s="684"/>
      <c r="PTT81" s="684"/>
      <c r="PTU81" s="684"/>
      <c r="PTV81" s="684"/>
      <c r="PTW81" s="684"/>
      <c r="PTX81" s="684"/>
      <c r="PTY81" s="684"/>
      <c r="PTZ81" s="684"/>
      <c r="PUA81" s="684"/>
      <c r="PUB81" s="684"/>
      <c r="PUC81" s="684"/>
      <c r="PUD81" s="684"/>
      <c r="PUE81" s="684"/>
      <c r="PUF81" s="684"/>
      <c r="PUG81" s="684"/>
      <c r="PUH81" s="684"/>
      <c r="PUI81" s="684"/>
      <c r="PUJ81" s="684"/>
      <c r="PUK81" s="684"/>
      <c r="PUL81" s="684"/>
      <c r="PUM81" s="684"/>
      <c r="PUN81" s="684"/>
      <c r="PUO81" s="684"/>
      <c r="PUP81" s="684"/>
      <c r="PUQ81" s="684"/>
      <c r="PUR81" s="684"/>
      <c r="PUS81" s="684"/>
      <c r="PUT81" s="684"/>
      <c r="PUU81" s="684"/>
      <c r="PUV81" s="684"/>
      <c r="PUW81" s="684"/>
      <c r="PUX81" s="684"/>
      <c r="PUY81" s="684"/>
      <c r="PUZ81" s="684"/>
      <c r="PVA81" s="684"/>
      <c r="PVB81" s="684"/>
      <c r="PVC81" s="684"/>
      <c r="PVD81" s="684"/>
      <c r="PVE81" s="684"/>
      <c r="PVF81" s="684"/>
      <c r="PVG81" s="684"/>
      <c r="PVH81" s="684"/>
      <c r="PVI81" s="684"/>
      <c r="PVJ81" s="684"/>
      <c r="PVK81" s="684"/>
      <c r="PVL81" s="684"/>
      <c r="PVM81" s="684"/>
      <c r="PVN81" s="684"/>
      <c r="PVO81" s="684"/>
      <c r="PVP81" s="684"/>
      <c r="PVQ81" s="684"/>
      <c r="PVR81" s="684"/>
      <c r="PVS81" s="684"/>
      <c r="PVT81" s="684"/>
      <c r="PVU81" s="684"/>
      <c r="PVV81" s="684"/>
      <c r="PVW81" s="684"/>
      <c r="PVX81" s="684"/>
      <c r="PVY81" s="684"/>
      <c r="PVZ81" s="684"/>
      <c r="PWA81" s="684"/>
      <c r="PWB81" s="684"/>
      <c r="PWC81" s="684"/>
      <c r="PWD81" s="684"/>
      <c r="PWE81" s="684"/>
      <c r="PWF81" s="684"/>
      <c r="PWG81" s="684"/>
      <c r="PWH81" s="684"/>
      <c r="PWI81" s="684"/>
      <c r="PWJ81" s="684"/>
      <c r="PWK81" s="684"/>
      <c r="PWL81" s="684"/>
      <c r="PWM81" s="684"/>
      <c r="PWN81" s="684"/>
      <c r="PWO81" s="684"/>
      <c r="PWP81" s="684"/>
      <c r="PWQ81" s="684"/>
      <c r="PWR81" s="684"/>
      <c r="PWS81" s="684"/>
      <c r="PWT81" s="684"/>
      <c r="PWU81" s="684"/>
      <c r="PWV81" s="684"/>
      <c r="PWW81" s="684"/>
      <c r="PWX81" s="684"/>
      <c r="PWY81" s="684"/>
      <c r="PWZ81" s="684"/>
      <c r="PXA81" s="684"/>
      <c r="PXB81" s="684"/>
      <c r="PXC81" s="684"/>
      <c r="PXD81" s="684"/>
      <c r="PXE81" s="684"/>
      <c r="PXF81" s="684"/>
      <c r="PXG81" s="684"/>
      <c r="PXH81" s="684"/>
      <c r="PXI81" s="684"/>
      <c r="PXJ81" s="684"/>
      <c r="PXK81" s="684"/>
      <c r="PXL81" s="684"/>
      <c r="PXM81" s="684"/>
      <c r="PXN81" s="684"/>
      <c r="PXO81" s="684"/>
      <c r="PXP81" s="684"/>
      <c r="PXQ81" s="684"/>
      <c r="PXR81" s="684"/>
      <c r="PXS81" s="684"/>
      <c r="PXT81" s="684"/>
      <c r="PXU81" s="684"/>
      <c r="PXV81" s="684"/>
      <c r="PXW81" s="684"/>
      <c r="PXX81" s="684"/>
      <c r="PXY81" s="684"/>
      <c r="PXZ81" s="684"/>
      <c r="PYA81" s="684"/>
      <c r="PYB81" s="684"/>
      <c r="PYC81" s="684"/>
      <c r="PYD81" s="684"/>
      <c r="PYE81" s="684"/>
      <c r="PYF81" s="684"/>
      <c r="PYG81" s="684"/>
      <c r="PYH81" s="684"/>
      <c r="PYI81" s="684"/>
      <c r="PYJ81" s="684"/>
      <c r="PYK81" s="684"/>
      <c r="PYL81" s="684"/>
      <c r="PYM81" s="684"/>
      <c r="PYN81" s="684"/>
      <c r="PYO81" s="684"/>
      <c r="PYP81" s="684"/>
      <c r="PYQ81" s="684"/>
      <c r="PYR81" s="684"/>
      <c r="PYS81" s="684"/>
      <c r="PYT81" s="684"/>
      <c r="PYU81" s="684"/>
      <c r="PYV81" s="684"/>
      <c r="PYW81" s="684"/>
      <c r="PYX81" s="684"/>
      <c r="PYY81" s="684"/>
      <c r="PYZ81" s="684"/>
      <c r="PZA81" s="684"/>
      <c r="PZB81" s="684"/>
      <c r="PZC81" s="684"/>
      <c r="PZD81" s="684"/>
      <c r="PZE81" s="684"/>
      <c r="PZF81" s="684"/>
      <c r="PZG81" s="684"/>
      <c r="PZH81" s="684"/>
      <c r="PZI81" s="684"/>
      <c r="PZJ81" s="684"/>
      <c r="PZK81" s="684"/>
      <c r="PZL81" s="684"/>
      <c r="PZM81" s="684"/>
      <c r="PZN81" s="684"/>
      <c r="PZO81" s="684"/>
      <c r="PZP81" s="684"/>
      <c r="PZQ81" s="684"/>
      <c r="PZR81" s="684"/>
      <c r="PZS81" s="684"/>
      <c r="PZT81" s="684"/>
      <c r="PZU81" s="684"/>
      <c r="PZV81" s="684"/>
      <c r="PZW81" s="684"/>
      <c r="PZX81" s="684"/>
      <c r="PZY81" s="684"/>
      <c r="PZZ81" s="684"/>
      <c r="QAA81" s="684"/>
      <c r="QAB81" s="684"/>
      <c r="QAC81" s="684"/>
      <c r="QAD81" s="684"/>
      <c r="QAE81" s="684"/>
      <c r="QAF81" s="684"/>
      <c r="QAG81" s="684"/>
      <c r="QAH81" s="684"/>
      <c r="QAI81" s="684"/>
      <c r="QAJ81" s="684"/>
      <c r="QAK81" s="684"/>
      <c r="QAL81" s="684"/>
      <c r="QAM81" s="684"/>
      <c r="QAN81" s="684"/>
      <c r="QAO81" s="684"/>
      <c r="QAP81" s="684"/>
      <c r="QAQ81" s="684"/>
      <c r="QAR81" s="684"/>
      <c r="QAS81" s="684"/>
      <c r="QAT81" s="684"/>
      <c r="QAU81" s="684"/>
      <c r="QAV81" s="684"/>
      <c r="QAW81" s="684"/>
      <c r="QAX81" s="684"/>
      <c r="QAY81" s="684"/>
      <c r="QAZ81" s="684"/>
      <c r="QBA81" s="684"/>
      <c r="QBB81" s="684"/>
      <c r="QBC81" s="684"/>
      <c r="QBD81" s="684"/>
      <c r="QBE81" s="684"/>
      <c r="QBF81" s="684"/>
      <c r="QBG81" s="684"/>
      <c r="QBH81" s="684"/>
      <c r="QBI81" s="684"/>
      <c r="QBJ81" s="684"/>
      <c r="QBK81" s="684"/>
      <c r="QBL81" s="684"/>
      <c r="QBM81" s="684"/>
      <c r="QBN81" s="684"/>
      <c r="QBO81" s="684"/>
      <c r="QBP81" s="684"/>
      <c r="QBQ81" s="684"/>
      <c r="QBR81" s="684"/>
      <c r="QBS81" s="684"/>
      <c r="QBT81" s="684"/>
      <c r="QBU81" s="684"/>
      <c r="QBV81" s="684"/>
      <c r="QBW81" s="684"/>
      <c r="QBX81" s="684"/>
      <c r="QBY81" s="684"/>
      <c r="QBZ81" s="684"/>
      <c r="QCA81" s="684"/>
      <c r="QCB81" s="684"/>
      <c r="QCC81" s="684"/>
      <c r="QCD81" s="684"/>
      <c r="QCE81" s="684"/>
      <c r="QCF81" s="684"/>
      <c r="QCG81" s="684"/>
      <c r="QCH81" s="684"/>
      <c r="QCI81" s="684"/>
      <c r="QCJ81" s="684"/>
      <c r="QCK81" s="684"/>
      <c r="QCL81" s="684"/>
      <c r="QCM81" s="684"/>
      <c r="QCN81" s="684"/>
      <c r="QCO81" s="684"/>
      <c r="QCP81" s="684"/>
      <c r="QCQ81" s="684"/>
      <c r="QCR81" s="684"/>
      <c r="QCS81" s="684"/>
      <c r="QCT81" s="684"/>
      <c r="QCU81" s="684"/>
      <c r="QCV81" s="684"/>
      <c r="QCW81" s="684"/>
      <c r="QCX81" s="684"/>
      <c r="QCY81" s="684"/>
      <c r="QCZ81" s="684"/>
      <c r="QDA81" s="684"/>
      <c r="QDB81" s="684"/>
      <c r="QDC81" s="684"/>
      <c r="QDD81" s="684"/>
      <c r="QDE81" s="684"/>
      <c r="QDF81" s="684"/>
      <c r="QDG81" s="684"/>
      <c r="QDH81" s="684"/>
      <c r="QDI81" s="684"/>
      <c r="QDJ81" s="684"/>
      <c r="QDK81" s="684"/>
      <c r="QDL81" s="684"/>
      <c r="QDM81" s="684"/>
      <c r="QDN81" s="684"/>
      <c r="QDO81" s="684"/>
      <c r="QDP81" s="684"/>
      <c r="QDQ81" s="684"/>
      <c r="QDR81" s="684"/>
      <c r="QDS81" s="684"/>
      <c r="QDT81" s="684"/>
      <c r="QDU81" s="684"/>
      <c r="QDV81" s="684"/>
      <c r="QDW81" s="684"/>
      <c r="QDX81" s="684"/>
      <c r="QDY81" s="684"/>
      <c r="QDZ81" s="684"/>
      <c r="QEA81" s="684"/>
      <c r="QEB81" s="684"/>
      <c r="QEC81" s="684"/>
      <c r="QED81" s="684"/>
      <c r="QEE81" s="684"/>
      <c r="QEF81" s="684"/>
      <c r="QEG81" s="684"/>
      <c r="QEH81" s="684"/>
      <c r="QEI81" s="684"/>
      <c r="QEJ81" s="684"/>
      <c r="QEK81" s="684"/>
      <c r="QEL81" s="684"/>
      <c r="QEM81" s="684"/>
      <c r="QEN81" s="684"/>
      <c r="QEO81" s="684"/>
      <c r="QEP81" s="684"/>
      <c r="QEQ81" s="684"/>
      <c r="QER81" s="684"/>
      <c r="QES81" s="684"/>
      <c r="QET81" s="684"/>
      <c r="QEU81" s="684"/>
      <c r="QEV81" s="684"/>
      <c r="QEW81" s="684"/>
      <c r="QEX81" s="684"/>
      <c r="QEY81" s="684"/>
      <c r="QEZ81" s="684"/>
      <c r="QFA81" s="684"/>
      <c r="QFB81" s="684"/>
      <c r="QFC81" s="684"/>
      <c r="QFD81" s="684"/>
      <c r="QFE81" s="684"/>
      <c r="QFF81" s="684"/>
      <c r="QFG81" s="684"/>
      <c r="QFH81" s="684"/>
      <c r="QFI81" s="684"/>
      <c r="QFJ81" s="684"/>
      <c r="QFK81" s="684"/>
      <c r="QFL81" s="684"/>
      <c r="QFM81" s="684"/>
      <c r="QFN81" s="684"/>
      <c r="QFO81" s="684"/>
      <c r="QFP81" s="684"/>
      <c r="QFQ81" s="684"/>
      <c r="QFR81" s="684"/>
      <c r="QFS81" s="684"/>
      <c r="QFT81" s="684"/>
      <c r="QFU81" s="684"/>
      <c r="QFV81" s="684"/>
      <c r="QFW81" s="684"/>
      <c r="QFX81" s="684"/>
      <c r="QFY81" s="684"/>
      <c r="QFZ81" s="684"/>
      <c r="QGA81" s="684"/>
      <c r="QGB81" s="684"/>
      <c r="QGC81" s="684"/>
      <c r="QGD81" s="684"/>
      <c r="QGE81" s="684"/>
      <c r="QGF81" s="684"/>
      <c r="QGG81" s="684"/>
      <c r="QGH81" s="684"/>
      <c r="QGI81" s="684"/>
      <c r="QGJ81" s="684"/>
      <c r="QGK81" s="684"/>
      <c r="QGL81" s="684"/>
      <c r="QGM81" s="684"/>
      <c r="QGN81" s="684"/>
      <c r="QGO81" s="684"/>
      <c r="QGP81" s="684"/>
      <c r="QGQ81" s="684"/>
      <c r="QGR81" s="684"/>
      <c r="QGS81" s="684"/>
      <c r="QGT81" s="684"/>
      <c r="QGU81" s="684"/>
      <c r="QGV81" s="684"/>
      <c r="QGW81" s="684"/>
      <c r="QGX81" s="684"/>
      <c r="QGY81" s="684"/>
      <c r="QGZ81" s="684"/>
      <c r="QHA81" s="684"/>
      <c r="QHB81" s="684"/>
      <c r="QHC81" s="684"/>
      <c r="QHD81" s="684"/>
      <c r="QHE81" s="684"/>
      <c r="QHF81" s="684"/>
      <c r="QHG81" s="684"/>
      <c r="QHH81" s="684"/>
      <c r="QHI81" s="684"/>
      <c r="QHJ81" s="684"/>
      <c r="QHK81" s="684"/>
      <c r="QHL81" s="684"/>
      <c r="QHM81" s="684"/>
      <c r="QHN81" s="684"/>
      <c r="QHO81" s="684"/>
      <c r="QHP81" s="684"/>
      <c r="QHQ81" s="684"/>
      <c r="QHR81" s="684"/>
      <c r="QHS81" s="684"/>
      <c r="QHT81" s="684"/>
      <c r="QHU81" s="684"/>
      <c r="QHV81" s="684"/>
      <c r="QHW81" s="684"/>
      <c r="QHX81" s="684"/>
      <c r="QHY81" s="684"/>
      <c r="QHZ81" s="684"/>
      <c r="QIA81" s="684"/>
      <c r="QIB81" s="684"/>
      <c r="QIC81" s="684"/>
      <c r="QID81" s="684"/>
      <c r="QIE81" s="684"/>
      <c r="QIF81" s="684"/>
      <c r="QIG81" s="684"/>
      <c r="QIH81" s="684"/>
      <c r="QII81" s="684"/>
      <c r="QIJ81" s="684"/>
      <c r="QIK81" s="684"/>
      <c r="QIL81" s="684"/>
      <c r="QIM81" s="684"/>
      <c r="QIN81" s="684"/>
      <c r="QIO81" s="684"/>
      <c r="QIP81" s="684"/>
      <c r="QIQ81" s="684"/>
      <c r="QIR81" s="684"/>
      <c r="QIS81" s="684"/>
      <c r="QIT81" s="684"/>
      <c r="QIU81" s="684"/>
      <c r="QIV81" s="684"/>
      <c r="QIW81" s="684"/>
      <c r="QIX81" s="684"/>
      <c r="QIY81" s="684"/>
      <c r="QIZ81" s="684"/>
      <c r="QJA81" s="684"/>
      <c r="QJB81" s="684"/>
      <c r="QJC81" s="684"/>
      <c r="QJD81" s="684"/>
      <c r="QJE81" s="684"/>
      <c r="QJF81" s="684"/>
      <c r="QJG81" s="684"/>
      <c r="QJH81" s="684"/>
      <c r="QJI81" s="684"/>
      <c r="QJJ81" s="684"/>
      <c r="QJK81" s="684"/>
      <c r="QJL81" s="684"/>
      <c r="QJM81" s="684"/>
      <c r="QJN81" s="684"/>
      <c r="QJO81" s="684"/>
      <c r="QJP81" s="684"/>
      <c r="QJQ81" s="684"/>
      <c r="QJR81" s="684"/>
      <c r="QJS81" s="684"/>
      <c r="QJT81" s="684"/>
      <c r="QJU81" s="684"/>
      <c r="QJV81" s="684"/>
      <c r="QJW81" s="684"/>
      <c r="QJX81" s="684"/>
      <c r="QJY81" s="684"/>
      <c r="QJZ81" s="684"/>
      <c r="QKA81" s="684"/>
      <c r="QKB81" s="684"/>
      <c r="QKC81" s="684"/>
      <c r="QKD81" s="684"/>
      <c r="QKE81" s="684"/>
      <c r="QKF81" s="684"/>
      <c r="QKG81" s="684"/>
      <c r="QKH81" s="684"/>
      <c r="QKI81" s="684"/>
      <c r="QKJ81" s="684"/>
      <c r="QKK81" s="684"/>
      <c r="QKL81" s="684"/>
      <c r="QKM81" s="684"/>
      <c r="QKN81" s="684"/>
      <c r="QKO81" s="684"/>
      <c r="QKP81" s="684"/>
      <c r="QKQ81" s="684"/>
      <c r="QKR81" s="684"/>
      <c r="QKS81" s="684"/>
      <c r="QKT81" s="684"/>
      <c r="QKU81" s="684"/>
      <c r="QKV81" s="684"/>
      <c r="QKW81" s="684"/>
      <c r="QKX81" s="684"/>
      <c r="QKY81" s="684"/>
      <c r="QKZ81" s="684"/>
      <c r="QLA81" s="684"/>
      <c r="QLB81" s="684"/>
      <c r="QLC81" s="684"/>
      <c r="QLD81" s="684"/>
      <c r="QLE81" s="684"/>
      <c r="QLF81" s="684"/>
      <c r="QLG81" s="684"/>
      <c r="QLH81" s="684"/>
      <c r="QLI81" s="684"/>
      <c r="QLJ81" s="684"/>
      <c r="QLK81" s="684"/>
      <c r="QLL81" s="684"/>
      <c r="QLM81" s="684"/>
      <c r="QLN81" s="684"/>
      <c r="QLO81" s="684"/>
      <c r="QLP81" s="684"/>
      <c r="QLQ81" s="684"/>
      <c r="QLR81" s="684"/>
      <c r="QLS81" s="684"/>
      <c r="QLT81" s="684"/>
      <c r="QLU81" s="684"/>
      <c r="QLV81" s="684"/>
      <c r="QLW81" s="684"/>
      <c r="QLX81" s="684"/>
      <c r="QLY81" s="684"/>
      <c r="QLZ81" s="684"/>
      <c r="QMA81" s="684"/>
      <c r="QMB81" s="684"/>
      <c r="QMC81" s="684"/>
      <c r="QMD81" s="684"/>
      <c r="QME81" s="684"/>
      <c r="QMF81" s="684"/>
      <c r="QMG81" s="684"/>
      <c r="QMH81" s="684"/>
      <c r="QMI81" s="684"/>
      <c r="QMJ81" s="684"/>
      <c r="QMK81" s="684"/>
      <c r="QML81" s="684"/>
      <c r="QMM81" s="684"/>
      <c r="QMN81" s="684"/>
      <c r="QMO81" s="684"/>
      <c r="QMP81" s="684"/>
      <c r="QMQ81" s="684"/>
      <c r="QMR81" s="684"/>
      <c r="QMS81" s="684"/>
      <c r="QMT81" s="684"/>
      <c r="QMU81" s="684"/>
      <c r="QMV81" s="684"/>
      <c r="QMW81" s="684"/>
      <c r="QMX81" s="684"/>
      <c r="QMY81" s="684"/>
      <c r="QMZ81" s="684"/>
      <c r="QNA81" s="684"/>
      <c r="QNB81" s="684"/>
      <c r="QNC81" s="684"/>
      <c r="QND81" s="684"/>
      <c r="QNE81" s="684"/>
      <c r="QNF81" s="684"/>
      <c r="QNG81" s="684"/>
      <c r="QNH81" s="684"/>
      <c r="QNI81" s="684"/>
      <c r="QNJ81" s="684"/>
      <c r="QNK81" s="684"/>
      <c r="QNL81" s="684"/>
      <c r="QNM81" s="684"/>
      <c r="QNN81" s="684"/>
      <c r="QNO81" s="684"/>
      <c r="QNP81" s="684"/>
      <c r="QNQ81" s="684"/>
      <c r="QNR81" s="684"/>
      <c r="QNS81" s="684"/>
      <c r="QNT81" s="684"/>
      <c r="QNU81" s="684"/>
      <c r="QNV81" s="684"/>
      <c r="QNW81" s="684"/>
      <c r="QNX81" s="684"/>
      <c r="QNY81" s="684"/>
      <c r="QNZ81" s="684"/>
      <c r="QOA81" s="684"/>
      <c r="QOB81" s="684"/>
      <c r="QOC81" s="684"/>
      <c r="QOD81" s="684"/>
      <c r="QOE81" s="684"/>
      <c r="QOF81" s="684"/>
      <c r="QOG81" s="684"/>
      <c r="QOH81" s="684"/>
      <c r="QOI81" s="684"/>
      <c r="QOJ81" s="684"/>
      <c r="QOK81" s="684"/>
      <c r="QOL81" s="684"/>
      <c r="QOM81" s="684"/>
      <c r="QON81" s="684"/>
      <c r="QOO81" s="684"/>
      <c r="QOP81" s="684"/>
      <c r="QOQ81" s="684"/>
      <c r="QOR81" s="684"/>
      <c r="QOS81" s="684"/>
      <c r="QOT81" s="684"/>
      <c r="QOU81" s="684"/>
      <c r="QOV81" s="684"/>
      <c r="QOW81" s="684"/>
      <c r="QOX81" s="684"/>
      <c r="QOY81" s="684"/>
      <c r="QOZ81" s="684"/>
      <c r="QPA81" s="684"/>
      <c r="QPB81" s="684"/>
      <c r="QPC81" s="684"/>
      <c r="QPD81" s="684"/>
      <c r="QPE81" s="684"/>
      <c r="QPF81" s="684"/>
      <c r="QPG81" s="684"/>
      <c r="QPH81" s="684"/>
      <c r="QPI81" s="684"/>
      <c r="QPJ81" s="684"/>
      <c r="QPK81" s="684"/>
      <c r="QPL81" s="684"/>
      <c r="QPM81" s="684"/>
      <c r="QPN81" s="684"/>
      <c r="QPO81" s="684"/>
      <c r="QPP81" s="684"/>
      <c r="QPQ81" s="684"/>
      <c r="QPR81" s="684"/>
      <c r="QPS81" s="684"/>
      <c r="QPT81" s="684"/>
      <c r="QPU81" s="684"/>
      <c r="QPV81" s="684"/>
      <c r="QPW81" s="684"/>
      <c r="QPX81" s="684"/>
      <c r="QPY81" s="684"/>
      <c r="QPZ81" s="684"/>
      <c r="QQA81" s="684"/>
      <c r="QQB81" s="684"/>
      <c r="QQC81" s="684"/>
      <c r="QQD81" s="684"/>
      <c r="QQE81" s="684"/>
      <c r="QQF81" s="684"/>
      <c r="QQG81" s="684"/>
      <c r="QQH81" s="684"/>
      <c r="QQI81" s="684"/>
      <c r="QQJ81" s="684"/>
      <c r="QQK81" s="684"/>
      <c r="QQL81" s="684"/>
      <c r="QQM81" s="684"/>
      <c r="QQN81" s="684"/>
      <c r="QQO81" s="684"/>
      <c r="QQP81" s="684"/>
      <c r="QQQ81" s="684"/>
      <c r="QQR81" s="684"/>
      <c r="QQS81" s="684"/>
      <c r="QQT81" s="684"/>
      <c r="QQU81" s="684"/>
      <c r="QQV81" s="684"/>
      <c r="QQW81" s="684"/>
      <c r="QQX81" s="684"/>
      <c r="QQY81" s="684"/>
      <c r="QQZ81" s="684"/>
      <c r="QRA81" s="684"/>
      <c r="QRB81" s="684"/>
      <c r="QRC81" s="684"/>
      <c r="QRD81" s="684"/>
      <c r="QRE81" s="684"/>
      <c r="QRF81" s="684"/>
      <c r="QRG81" s="684"/>
      <c r="QRH81" s="684"/>
      <c r="QRI81" s="684"/>
      <c r="QRJ81" s="684"/>
      <c r="QRK81" s="684"/>
      <c r="QRL81" s="684"/>
      <c r="QRM81" s="684"/>
      <c r="QRN81" s="684"/>
      <c r="QRO81" s="684"/>
      <c r="QRP81" s="684"/>
      <c r="QRQ81" s="684"/>
      <c r="QRR81" s="684"/>
      <c r="QRS81" s="684"/>
      <c r="QRT81" s="684"/>
      <c r="QRU81" s="684"/>
      <c r="QRV81" s="684"/>
      <c r="QRW81" s="684"/>
      <c r="QRX81" s="684"/>
      <c r="QRY81" s="684"/>
      <c r="QRZ81" s="684"/>
      <c r="QSA81" s="684"/>
      <c r="QSB81" s="684"/>
      <c r="QSC81" s="684"/>
      <c r="QSD81" s="684"/>
      <c r="QSE81" s="684"/>
      <c r="QSF81" s="684"/>
      <c r="QSG81" s="684"/>
      <c r="QSH81" s="684"/>
      <c r="QSI81" s="684"/>
      <c r="QSJ81" s="684"/>
      <c r="QSK81" s="684"/>
      <c r="QSL81" s="684"/>
      <c r="QSM81" s="684"/>
      <c r="QSN81" s="684"/>
      <c r="QSO81" s="684"/>
      <c r="QSP81" s="684"/>
      <c r="QSQ81" s="684"/>
      <c r="QSR81" s="684"/>
      <c r="QSS81" s="684"/>
      <c r="QST81" s="684"/>
      <c r="QSU81" s="684"/>
      <c r="QSV81" s="684"/>
      <c r="QSW81" s="684"/>
      <c r="QSX81" s="684"/>
      <c r="QSY81" s="684"/>
      <c r="QSZ81" s="684"/>
      <c r="QTA81" s="684"/>
      <c r="QTB81" s="684"/>
      <c r="QTC81" s="684"/>
      <c r="QTD81" s="684"/>
      <c r="QTE81" s="684"/>
      <c r="QTF81" s="684"/>
      <c r="QTG81" s="684"/>
      <c r="QTH81" s="684"/>
      <c r="QTI81" s="684"/>
      <c r="QTJ81" s="684"/>
      <c r="QTK81" s="684"/>
      <c r="QTL81" s="684"/>
      <c r="QTM81" s="684"/>
      <c r="QTN81" s="684"/>
      <c r="QTO81" s="684"/>
      <c r="QTP81" s="684"/>
      <c r="QTQ81" s="684"/>
      <c r="QTR81" s="684"/>
      <c r="QTS81" s="684"/>
      <c r="QTT81" s="684"/>
      <c r="QTU81" s="684"/>
      <c r="QTV81" s="684"/>
      <c r="QTW81" s="684"/>
      <c r="QTX81" s="684"/>
      <c r="QTY81" s="684"/>
      <c r="QTZ81" s="684"/>
      <c r="QUA81" s="684"/>
      <c r="QUB81" s="684"/>
      <c r="QUC81" s="684"/>
      <c r="QUD81" s="684"/>
      <c r="QUE81" s="684"/>
      <c r="QUF81" s="684"/>
      <c r="QUG81" s="684"/>
      <c r="QUH81" s="684"/>
      <c r="QUI81" s="684"/>
      <c r="QUJ81" s="684"/>
      <c r="QUK81" s="684"/>
      <c r="QUL81" s="684"/>
      <c r="QUM81" s="684"/>
      <c r="QUN81" s="684"/>
      <c r="QUO81" s="684"/>
      <c r="QUP81" s="684"/>
      <c r="QUQ81" s="684"/>
      <c r="QUR81" s="684"/>
      <c r="QUS81" s="684"/>
      <c r="QUT81" s="684"/>
      <c r="QUU81" s="684"/>
      <c r="QUV81" s="684"/>
      <c r="QUW81" s="684"/>
      <c r="QUX81" s="684"/>
      <c r="QUY81" s="684"/>
      <c r="QUZ81" s="684"/>
      <c r="QVA81" s="684"/>
      <c r="QVB81" s="684"/>
      <c r="QVC81" s="684"/>
      <c r="QVD81" s="684"/>
      <c r="QVE81" s="684"/>
      <c r="QVF81" s="684"/>
      <c r="QVG81" s="684"/>
      <c r="QVH81" s="684"/>
      <c r="QVI81" s="684"/>
      <c r="QVJ81" s="684"/>
      <c r="QVK81" s="684"/>
      <c r="QVL81" s="684"/>
      <c r="QVM81" s="684"/>
      <c r="QVN81" s="684"/>
      <c r="QVO81" s="684"/>
      <c r="QVP81" s="684"/>
      <c r="QVQ81" s="684"/>
      <c r="QVR81" s="684"/>
      <c r="QVS81" s="684"/>
      <c r="QVT81" s="684"/>
      <c r="QVU81" s="684"/>
      <c r="QVV81" s="684"/>
      <c r="QVW81" s="684"/>
      <c r="QVX81" s="684"/>
      <c r="QVY81" s="684"/>
      <c r="QVZ81" s="684"/>
      <c r="QWA81" s="684"/>
      <c r="QWB81" s="684"/>
      <c r="QWC81" s="684"/>
      <c r="QWD81" s="684"/>
      <c r="QWE81" s="684"/>
      <c r="QWF81" s="684"/>
      <c r="QWG81" s="684"/>
      <c r="QWH81" s="684"/>
      <c r="QWI81" s="684"/>
      <c r="QWJ81" s="684"/>
      <c r="QWK81" s="684"/>
      <c r="QWL81" s="684"/>
      <c r="QWM81" s="684"/>
      <c r="QWN81" s="684"/>
      <c r="QWO81" s="684"/>
      <c r="QWP81" s="684"/>
      <c r="QWQ81" s="684"/>
      <c r="QWR81" s="684"/>
      <c r="QWS81" s="684"/>
      <c r="QWT81" s="684"/>
      <c r="QWU81" s="684"/>
      <c r="QWV81" s="684"/>
      <c r="QWW81" s="684"/>
      <c r="QWX81" s="684"/>
      <c r="QWY81" s="684"/>
      <c r="QWZ81" s="684"/>
      <c r="QXA81" s="684"/>
      <c r="QXB81" s="684"/>
      <c r="QXC81" s="684"/>
      <c r="QXD81" s="684"/>
      <c r="QXE81" s="684"/>
      <c r="QXF81" s="684"/>
      <c r="QXG81" s="684"/>
      <c r="QXH81" s="684"/>
      <c r="QXI81" s="684"/>
      <c r="QXJ81" s="684"/>
      <c r="QXK81" s="684"/>
      <c r="QXL81" s="684"/>
      <c r="QXM81" s="684"/>
      <c r="QXN81" s="684"/>
      <c r="QXO81" s="684"/>
      <c r="QXP81" s="684"/>
      <c r="QXQ81" s="684"/>
      <c r="QXR81" s="684"/>
      <c r="QXS81" s="684"/>
      <c r="QXT81" s="684"/>
      <c r="QXU81" s="684"/>
      <c r="QXV81" s="684"/>
      <c r="QXW81" s="684"/>
      <c r="QXX81" s="684"/>
      <c r="QXY81" s="684"/>
      <c r="QXZ81" s="684"/>
      <c r="QYA81" s="684"/>
      <c r="QYB81" s="684"/>
      <c r="QYC81" s="684"/>
      <c r="QYD81" s="684"/>
      <c r="QYE81" s="684"/>
      <c r="QYF81" s="684"/>
      <c r="QYG81" s="684"/>
      <c r="QYH81" s="684"/>
      <c r="QYI81" s="684"/>
      <c r="QYJ81" s="684"/>
      <c r="QYK81" s="684"/>
      <c r="QYL81" s="684"/>
      <c r="QYM81" s="684"/>
      <c r="QYN81" s="684"/>
      <c r="QYO81" s="684"/>
      <c r="QYP81" s="684"/>
      <c r="QYQ81" s="684"/>
      <c r="QYR81" s="684"/>
      <c r="QYS81" s="684"/>
      <c r="QYT81" s="684"/>
      <c r="QYU81" s="684"/>
      <c r="QYV81" s="684"/>
      <c r="QYW81" s="684"/>
      <c r="QYX81" s="684"/>
      <c r="QYY81" s="684"/>
      <c r="QYZ81" s="684"/>
      <c r="QZA81" s="684"/>
      <c r="QZB81" s="684"/>
      <c r="QZC81" s="684"/>
      <c r="QZD81" s="684"/>
      <c r="QZE81" s="684"/>
      <c r="QZF81" s="684"/>
      <c r="QZG81" s="684"/>
      <c r="QZH81" s="684"/>
      <c r="QZI81" s="684"/>
      <c r="QZJ81" s="684"/>
      <c r="QZK81" s="684"/>
      <c r="QZL81" s="684"/>
      <c r="QZM81" s="684"/>
      <c r="QZN81" s="684"/>
      <c r="QZO81" s="684"/>
      <c r="QZP81" s="684"/>
      <c r="QZQ81" s="684"/>
      <c r="QZR81" s="684"/>
      <c r="QZS81" s="684"/>
      <c r="QZT81" s="684"/>
      <c r="QZU81" s="684"/>
      <c r="QZV81" s="684"/>
      <c r="QZW81" s="684"/>
      <c r="QZX81" s="684"/>
      <c r="QZY81" s="684"/>
      <c r="QZZ81" s="684"/>
      <c r="RAA81" s="684"/>
      <c r="RAB81" s="684"/>
      <c r="RAC81" s="684"/>
      <c r="RAD81" s="684"/>
      <c r="RAE81" s="684"/>
      <c r="RAF81" s="684"/>
      <c r="RAG81" s="684"/>
      <c r="RAH81" s="684"/>
      <c r="RAI81" s="684"/>
      <c r="RAJ81" s="684"/>
      <c r="RAK81" s="684"/>
      <c r="RAL81" s="684"/>
      <c r="RAM81" s="684"/>
      <c r="RAN81" s="684"/>
      <c r="RAO81" s="684"/>
      <c r="RAP81" s="684"/>
      <c r="RAQ81" s="684"/>
      <c r="RAR81" s="684"/>
      <c r="RAS81" s="684"/>
      <c r="RAT81" s="684"/>
      <c r="RAU81" s="684"/>
      <c r="RAV81" s="684"/>
      <c r="RAW81" s="684"/>
      <c r="RAX81" s="684"/>
      <c r="RAY81" s="684"/>
      <c r="RAZ81" s="684"/>
      <c r="RBA81" s="684"/>
      <c r="RBB81" s="684"/>
      <c r="RBC81" s="684"/>
      <c r="RBD81" s="684"/>
      <c r="RBE81" s="684"/>
      <c r="RBF81" s="684"/>
      <c r="RBG81" s="684"/>
      <c r="RBH81" s="684"/>
      <c r="RBI81" s="684"/>
      <c r="RBJ81" s="684"/>
      <c r="RBK81" s="684"/>
      <c r="RBL81" s="684"/>
      <c r="RBM81" s="684"/>
      <c r="RBN81" s="684"/>
      <c r="RBO81" s="684"/>
      <c r="RBP81" s="684"/>
      <c r="RBQ81" s="684"/>
      <c r="RBR81" s="684"/>
      <c r="RBS81" s="684"/>
      <c r="RBT81" s="684"/>
      <c r="RBU81" s="684"/>
      <c r="RBV81" s="684"/>
      <c r="RBW81" s="684"/>
      <c r="RBX81" s="684"/>
      <c r="RBY81" s="684"/>
      <c r="RBZ81" s="684"/>
      <c r="RCA81" s="684"/>
      <c r="RCB81" s="684"/>
      <c r="RCC81" s="684"/>
      <c r="RCD81" s="684"/>
      <c r="RCE81" s="684"/>
      <c r="RCF81" s="684"/>
      <c r="RCG81" s="684"/>
      <c r="RCH81" s="684"/>
      <c r="RCI81" s="684"/>
      <c r="RCJ81" s="684"/>
      <c r="RCK81" s="684"/>
      <c r="RCL81" s="684"/>
      <c r="RCM81" s="684"/>
      <c r="RCN81" s="684"/>
      <c r="RCO81" s="684"/>
      <c r="RCP81" s="684"/>
      <c r="RCQ81" s="684"/>
      <c r="RCR81" s="684"/>
      <c r="RCS81" s="684"/>
      <c r="RCT81" s="684"/>
      <c r="RCU81" s="684"/>
      <c r="RCV81" s="684"/>
      <c r="RCW81" s="684"/>
      <c r="RCX81" s="684"/>
      <c r="RCY81" s="684"/>
      <c r="RCZ81" s="684"/>
      <c r="RDA81" s="684"/>
      <c r="RDB81" s="684"/>
      <c r="RDC81" s="684"/>
      <c r="RDD81" s="684"/>
      <c r="RDE81" s="684"/>
      <c r="RDF81" s="684"/>
      <c r="RDG81" s="684"/>
      <c r="RDH81" s="684"/>
      <c r="RDI81" s="684"/>
      <c r="RDJ81" s="684"/>
      <c r="RDK81" s="684"/>
      <c r="RDL81" s="684"/>
      <c r="RDM81" s="684"/>
      <c r="RDN81" s="684"/>
      <c r="RDO81" s="684"/>
      <c r="RDP81" s="684"/>
      <c r="RDQ81" s="684"/>
      <c r="RDR81" s="684"/>
      <c r="RDS81" s="684"/>
      <c r="RDT81" s="684"/>
      <c r="RDU81" s="684"/>
      <c r="RDV81" s="684"/>
      <c r="RDW81" s="684"/>
      <c r="RDX81" s="684"/>
      <c r="RDY81" s="684"/>
      <c r="RDZ81" s="684"/>
      <c r="REA81" s="684"/>
      <c r="REB81" s="684"/>
      <c r="REC81" s="684"/>
      <c r="RED81" s="684"/>
      <c r="REE81" s="684"/>
      <c r="REF81" s="684"/>
      <c r="REG81" s="684"/>
      <c r="REH81" s="684"/>
      <c r="REI81" s="684"/>
      <c r="REJ81" s="684"/>
      <c r="REK81" s="684"/>
      <c r="REL81" s="684"/>
      <c r="REM81" s="684"/>
      <c r="REN81" s="684"/>
      <c r="REO81" s="684"/>
      <c r="REP81" s="684"/>
      <c r="REQ81" s="684"/>
      <c r="RER81" s="684"/>
      <c r="RES81" s="684"/>
      <c r="RET81" s="684"/>
      <c r="REU81" s="684"/>
      <c r="REV81" s="684"/>
      <c r="REW81" s="684"/>
      <c r="REX81" s="684"/>
      <c r="REY81" s="684"/>
      <c r="REZ81" s="684"/>
      <c r="RFA81" s="684"/>
      <c r="RFB81" s="684"/>
      <c r="RFC81" s="684"/>
      <c r="RFD81" s="684"/>
      <c r="RFE81" s="684"/>
      <c r="RFF81" s="684"/>
      <c r="RFG81" s="684"/>
      <c r="RFH81" s="684"/>
      <c r="RFI81" s="684"/>
      <c r="RFJ81" s="684"/>
      <c r="RFK81" s="684"/>
      <c r="RFL81" s="684"/>
      <c r="RFM81" s="684"/>
      <c r="RFN81" s="684"/>
      <c r="RFO81" s="684"/>
      <c r="RFP81" s="684"/>
      <c r="RFQ81" s="684"/>
      <c r="RFR81" s="684"/>
      <c r="RFS81" s="684"/>
      <c r="RFT81" s="684"/>
      <c r="RFU81" s="684"/>
      <c r="RFV81" s="684"/>
      <c r="RFW81" s="684"/>
      <c r="RFX81" s="684"/>
      <c r="RFY81" s="684"/>
      <c r="RFZ81" s="684"/>
      <c r="RGA81" s="684"/>
      <c r="RGB81" s="684"/>
      <c r="RGC81" s="684"/>
      <c r="RGD81" s="684"/>
      <c r="RGE81" s="684"/>
      <c r="RGF81" s="684"/>
      <c r="RGG81" s="684"/>
      <c r="RGH81" s="684"/>
      <c r="RGI81" s="684"/>
      <c r="RGJ81" s="684"/>
      <c r="RGK81" s="684"/>
      <c r="RGL81" s="684"/>
      <c r="RGM81" s="684"/>
      <c r="RGN81" s="684"/>
      <c r="RGO81" s="684"/>
      <c r="RGP81" s="684"/>
      <c r="RGQ81" s="684"/>
      <c r="RGR81" s="684"/>
      <c r="RGS81" s="684"/>
      <c r="RGT81" s="684"/>
      <c r="RGU81" s="684"/>
      <c r="RGV81" s="684"/>
      <c r="RGW81" s="684"/>
      <c r="RGX81" s="684"/>
      <c r="RGY81" s="684"/>
      <c r="RGZ81" s="684"/>
      <c r="RHA81" s="684"/>
      <c r="RHB81" s="684"/>
      <c r="RHC81" s="684"/>
      <c r="RHD81" s="684"/>
      <c r="RHE81" s="684"/>
      <c r="RHF81" s="684"/>
      <c r="RHG81" s="684"/>
      <c r="RHH81" s="684"/>
      <c r="RHI81" s="684"/>
      <c r="RHJ81" s="684"/>
      <c r="RHK81" s="684"/>
      <c r="RHL81" s="684"/>
      <c r="RHM81" s="684"/>
      <c r="RHN81" s="684"/>
      <c r="RHO81" s="684"/>
      <c r="RHP81" s="684"/>
      <c r="RHQ81" s="684"/>
      <c r="RHR81" s="684"/>
      <c r="RHS81" s="684"/>
      <c r="RHT81" s="684"/>
      <c r="RHU81" s="684"/>
      <c r="RHV81" s="684"/>
      <c r="RHW81" s="684"/>
      <c r="RHX81" s="684"/>
      <c r="RHY81" s="684"/>
      <c r="RHZ81" s="684"/>
      <c r="RIA81" s="684"/>
      <c r="RIB81" s="684"/>
      <c r="RIC81" s="684"/>
      <c r="RID81" s="684"/>
      <c r="RIE81" s="684"/>
      <c r="RIF81" s="684"/>
      <c r="RIG81" s="684"/>
      <c r="RIH81" s="684"/>
      <c r="RII81" s="684"/>
      <c r="RIJ81" s="684"/>
      <c r="RIK81" s="684"/>
      <c r="RIL81" s="684"/>
      <c r="RIM81" s="684"/>
      <c r="RIN81" s="684"/>
      <c r="RIO81" s="684"/>
      <c r="RIP81" s="684"/>
      <c r="RIQ81" s="684"/>
      <c r="RIR81" s="684"/>
      <c r="RIS81" s="684"/>
      <c r="RIT81" s="684"/>
      <c r="RIU81" s="684"/>
      <c r="RIV81" s="684"/>
      <c r="RIW81" s="684"/>
      <c r="RIX81" s="684"/>
      <c r="RIY81" s="684"/>
      <c r="RIZ81" s="684"/>
      <c r="RJA81" s="684"/>
      <c r="RJB81" s="684"/>
      <c r="RJC81" s="684"/>
      <c r="RJD81" s="684"/>
      <c r="RJE81" s="684"/>
      <c r="RJF81" s="684"/>
      <c r="RJG81" s="684"/>
      <c r="RJH81" s="684"/>
      <c r="RJI81" s="684"/>
      <c r="RJJ81" s="684"/>
      <c r="RJK81" s="684"/>
      <c r="RJL81" s="684"/>
      <c r="RJM81" s="684"/>
      <c r="RJN81" s="684"/>
      <c r="RJO81" s="684"/>
      <c r="RJP81" s="684"/>
      <c r="RJQ81" s="684"/>
      <c r="RJR81" s="684"/>
      <c r="RJS81" s="684"/>
      <c r="RJT81" s="684"/>
      <c r="RJU81" s="684"/>
      <c r="RJV81" s="684"/>
      <c r="RJW81" s="684"/>
      <c r="RJX81" s="684"/>
      <c r="RJY81" s="684"/>
      <c r="RJZ81" s="684"/>
      <c r="RKA81" s="684"/>
      <c r="RKB81" s="684"/>
      <c r="RKC81" s="684"/>
      <c r="RKD81" s="684"/>
      <c r="RKE81" s="684"/>
      <c r="RKF81" s="684"/>
      <c r="RKG81" s="684"/>
      <c r="RKH81" s="684"/>
      <c r="RKI81" s="684"/>
      <c r="RKJ81" s="684"/>
      <c r="RKK81" s="684"/>
      <c r="RKL81" s="684"/>
      <c r="RKM81" s="684"/>
      <c r="RKN81" s="684"/>
      <c r="RKO81" s="684"/>
      <c r="RKP81" s="684"/>
      <c r="RKQ81" s="684"/>
      <c r="RKR81" s="684"/>
      <c r="RKS81" s="684"/>
      <c r="RKT81" s="684"/>
      <c r="RKU81" s="684"/>
      <c r="RKV81" s="684"/>
      <c r="RKW81" s="684"/>
      <c r="RKX81" s="684"/>
      <c r="RKY81" s="684"/>
      <c r="RKZ81" s="684"/>
      <c r="RLA81" s="684"/>
      <c r="RLB81" s="684"/>
      <c r="RLC81" s="684"/>
      <c r="RLD81" s="684"/>
      <c r="RLE81" s="684"/>
      <c r="RLF81" s="684"/>
      <c r="RLG81" s="684"/>
      <c r="RLH81" s="684"/>
      <c r="RLI81" s="684"/>
      <c r="RLJ81" s="684"/>
      <c r="RLK81" s="684"/>
      <c r="RLL81" s="684"/>
      <c r="RLM81" s="684"/>
      <c r="RLN81" s="684"/>
      <c r="RLO81" s="684"/>
      <c r="RLP81" s="684"/>
      <c r="RLQ81" s="684"/>
      <c r="RLR81" s="684"/>
      <c r="RLS81" s="684"/>
      <c r="RLT81" s="684"/>
      <c r="RLU81" s="684"/>
      <c r="RLV81" s="684"/>
      <c r="RLW81" s="684"/>
      <c r="RLX81" s="684"/>
      <c r="RLY81" s="684"/>
      <c r="RLZ81" s="684"/>
      <c r="RMA81" s="684"/>
      <c r="RMB81" s="684"/>
      <c r="RMC81" s="684"/>
      <c r="RMD81" s="684"/>
      <c r="RME81" s="684"/>
      <c r="RMF81" s="684"/>
      <c r="RMG81" s="684"/>
      <c r="RMH81" s="684"/>
      <c r="RMI81" s="684"/>
      <c r="RMJ81" s="684"/>
      <c r="RMK81" s="684"/>
      <c r="RML81" s="684"/>
      <c r="RMM81" s="684"/>
      <c r="RMN81" s="684"/>
      <c r="RMO81" s="684"/>
      <c r="RMP81" s="684"/>
      <c r="RMQ81" s="684"/>
      <c r="RMR81" s="684"/>
      <c r="RMS81" s="684"/>
      <c r="RMT81" s="684"/>
      <c r="RMU81" s="684"/>
      <c r="RMV81" s="684"/>
      <c r="RMW81" s="684"/>
      <c r="RMX81" s="684"/>
      <c r="RMY81" s="684"/>
      <c r="RMZ81" s="684"/>
      <c r="RNA81" s="684"/>
      <c r="RNB81" s="684"/>
      <c r="RNC81" s="684"/>
      <c r="RND81" s="684"/>
      <c r="RNE81" s="684"/>
      <c r="RNF81" s="684"/>
      <c r="RNG81" s="684"/>
      <c r="RNH81" s="684"/>
      <c r="RNI81" s="684"/>
      <c r="RNJ81" s="684"/>
      <c r="RNK81" s="684"/>
      <c r="RNL81" s="684"/>
      <c r="RNM81" s="684"/>
      <c r="RNN81" s="684"/>
      <c r="RNO81" s="684"/>
      <c r="RNP81" s="684"/>
      <c r="RNQ81" s="684"/>
      <c r="RNR81" s="684"/>
      <c r="RNS81" s="684"/>
      <c r="RNT81" s="684"/>
      <c r="RNU81" s="684"/>
      <c r="RNV81" s="684"/>
      <c r="RNW81" s="684"/>
      <c r="RNX81" s="684"/>
      <c r="RNY81" s="684"/>
      <c r="RNZ81" s="684"/>
      <c r="ROA81" s="684"/>
      <c r="ROB81" s="684"/>
      <c r="ROC81" s="684"/>
      <c r="ROD81" s="684"/>
      <c r="ROE81" s="684"/>
      <c r="ROF81" s="684"/>
      <c r="ROG81" s="684"/>
      <c r="ROH81" s="684"/>
      <c r="ROI81" s="684"/>
      <c r="ROJ81" s="684"/>
      <c r="ROK81" s="684"/>
      <c r="ROL81" s="684"/>
      <c r="ROM81" s="684"/>
      <c r="RON81" s="684"/>
      <c r="ROO81" s="684"/>
      <c r="ROP81" s="684"/>
      <c r="ROQ81" s="684"/>
      <c r="ROR81" s="684"/>
      <c r="ROS81" s="684"/>
      <c r="ROT81" s="684"/>
      <c r="ROU81" s="684"/>
      <c r="ROV81" s="684"/>
      <c r="ROW81" s="684"/>
      <c r="ROX81" s="684"/>
      <c r="ROY81" s="684"/>
      <c r="ROZ81" s="684"/>
      <c r="RPA81" s="684"/>
      <c r="RPB81" s="684"/>
      <c r="RPC81" s="684"/>
      <c r="RPD81" s="684"/>
      <c r="RPE81" s="684"/>
      <c r="RPF81" s="684"/>
      <c r="RPG81" s="684"/>
      <c r="RPH81" s="684"/>
      <c r="RPI81" s="684"/>
      <c r="RPJ81" s="684"/>
      <c r="RPK81" s="684"/>
      <c r="RPL81" s="684"/>
      <c r="RPM81" s="684"/>
      <c r="RPN81" s="684"/>
      <c r="RPO81" s="684"/>
      <c r="RPP81" s="684"/>
      <c r="RPQ81" s="684"/>
      <c r="RPR81" s="684"/>
      <c r="RPS81" s="684"/>
      <c r="RPT81" s="684"/>
      <c r="RPU81" s="684"/>
      <c r="RPV81" s="684"/>
      <c r="RPW81" s="684"/>
      <c r="RPX81" s="684"/>
      <c r="RPY81" s="684"/>
      <c r="RPZ81" s="684"/>
      <c r="RQA81" s="684"/>
      <c r="RQB81" s="684"/>
      <c r="RQC81" s="684"/>
      <c r="RQD81" s="684"/>
      <c r="RQE81" s="684"/>
      <c r="RQF81" s="684"/>
      <c r="RQG81" s="684"/>
      <c r="RQH81" s="684"/>
      <c r="RQI81" s="684"/>
      <c r="RQJ81" s="684"/>
      <c r="RQK81" s="684"/>
      <c r="RQL81" s="684"/>
      <c r="RQM81" s="684"/>
      <c r="RQN81" s="684"/>
      <c r="RQO81" s="684"/>
      <c r="RQP81" s="684"/>
      <c r="RQQ81" s="684"/>
      <c r="RQR81" s="684"/>
      <c r="RQS81" s="684"/>
      <c r="RQT81" s="684"/>
      <c r="RQU81" s="684"/>
      <c r="RQV81" s="684"/>
      <c r="RQW81" s="684"/>
      <c r="RQX81" s="684"/>
      <c r="RQY81" s="684"/>
      <c r="RQZ81" s="684"/>
      <c r="RRA81" s="684"/>
      <c r="RRB81" s="684"/>
      <c r="RRC81" s="684"/>
      <c r="RRD81" s="684"/>
      <c r="RRE81" s="684"/>
      <c r="RRF81" s="684"/>
      <c r="RRG81" s="684"/>
      <c r="RRH81" s="684"/>
      <c r="RRI81" s="684"/>
      <c r="RRJ81" s="684"/>
      <c r="RRK81" s="684"/>
      <c r="RRL81" s="684"/>
      <c r="RRM81" s="684"/>
      <c r="RRN81" s="684"/>
      <c r="RRO81" s="684"/>
      <c r="RRP81" s="684"/>
      <c r="RRQ81" s="684"/>
      <c r="RRR81" s="684"/>
      <c r="RRS81" s="684"/>
      <c r="RRT81" s="684"/>
      <c r="RRU81" s="684"/>
      <c r="RRV81" s="684"/>
      <c r="RRW81" s="684"/>
      <c r="RRX81" s="684"/>
      <c r="RRY81" s="684"/>
      <c r="RRZ81" s="684"/>
      <c r="RSA81" s="684"/>
      <c r="RSB81" s="684"/>
      <c r="RSC81" s="684"/>
      <c r="RSD81" s="684"/>
      <c r="RSE81" s="684"/>
      <c r="RSF81" s="684"/>
      <c r="RSG81" s="684"/>
      <c r="RSH81" s="684"/>
      <c r="RSI81" s="684"/>
      <c r="RSJ81" s="684"/>
      <c r="RSK81" s="684"/>
      <c r="RSL81" s="684"/>
      <c r="RSM81" s="684"/>
      <c r="RSN81" s="684"/>
      <c r="RSO81" s="684"/>
      <c r="RSP81" s="684"/>
      <c r="RSQ81" s="684"/>
      <c r="RSR81" s="684"/>
      <c r="RSS81" s="684"/>
      <c r="RST81" s="684"/>
      <c r="RSU81" s="684"/>
      <c r="RSV81" s="684"/>
      <c r="RSW81" s="684"/>
      <c r="RSX81" s="684"/>
      <c r="RSY81" s="684"/>
      <c r="RSZ81" s="684"/>
      <c r="RTA81" s="684"/>
      <c r="RTB81" s="684"/>
      <c r="RTC81" s="684"/>
      <c r="RTD81" s="684"/>
      <c r="RTE81" s="684"/>
      <c r="RTF81" s="684"/>
      <c r="RTG81" s="684"/>
      <c r="RTH81" s="684"/>
      <c r="RTI81" s="684"/>
      <c r="RTJ81" s="684"/>
      <c r="RTK81" s="684"/>
      <c r="RTL81" s="684"/>
      <c r="RTM81" s="684"/>
      <c r="RTN81" s="684"/>
      <c r="RTO81" s="684"/>
      <c r="RTP81" s="684"/>
      <c r="RTQ81" s="684"/>
      <c r="RTR81" s="684"/>
      <c r="RTS81" s="684"/>
      <c r="RTT81" s="684"/>
      <c r="RTU81" s="684"/>
      <c r="RTV81" s="684"/>
      <c r="RTW81" s="684"/>
      <c r="RTX81" s="684"/>
      <c r="RTY81" s="684"/>
      <c r="RTZ81" s="684"/>
      <c r="RUA81" s="684"/>
      <c r="RUB81" s="684"/>
      <c r="RUC81" s="684"/>
      <c r="RUD81" s="684"/>
      <c r="RUE81" s="684"/>
      <c r="RUF81" s="684"/>
      <c r="RUG81" s="684"/>
      <c r="RUH81" s="684"/>
      <c r="RUI81" s="684"/>
      <c r="RUJ81" s="684"/>
      <c r="RUK81" s="684"/>
      <c r="RUL81" s="684"/>
      <c r="RUM81" s="684"/>
      <c r="RUN81" s="684"/>
      <c r="RUO81" s="684"/>
      <c r="RUP81" s="684"/>
      <c r="RUQ81" s="684"/>
      <c r="RUR81" s="684"/>
      <c r="RUS81" s="684"/>
      <c r="RUT81" s="684"/>
      <c r="RUU81" s="684"/>
      <c r="RUV81" s="684"/>
      <c r="RUW81" s="684"/>
      <c r="RUX81" s="684"/>
      <c r="RUY81" s="684"/>
      <c r="RUZ81" s="684"/>
      <c r="RVA81" s="684"/>
      <c r="RVB81" s="684"/>
      <c r="RVC81" s="684"/>
      <c r="RVD81" s="684"/>
      <c r="RVE81" s="684"/>
      <c r="RVF81" s="684"/>
      <c r="RVG81" s="684"/>
      <c r="RVH81" s="684"/>
      <c r="RVI81" s="684"/>
      <c r="RVJ81" s="684"/>
      <c r="RVK81" s="684"/>
      <c r="RVL81" s="684"/>
      <c r="RVM81" s="684"/>
      <c r="RVN81" s="684"/>
      <c r="RVO81" s="684"/>
      <c r="RVP81" s="684"/>
      <c r="RVQ81" s="684"/>
      <c r="RVR81" s="684"/>
      <c r="RVS81" s="684"/>
      <c r="RVT81" s="684"/>
      <c r="RVU81" s="684"/>
      <c r="RVV81" s="684"/>
      <c r="RVW81" s="684"/>
      <c r="RVX81" s="684"/>
      <c r="RVY81" s="684"/>
      <c r="RVZ81" s="684"/>
      <c r="RWA81" s="684"/>
      <c r="RWB81" s="684"/>
      <c r="RWC81" s="684"/>
      <c r="RWD81" s="684"/>
      <c r="RWE81" s="684"/>
      <c r="RWF81" s="684"/>
      <c r="RWG81" s="684"/>
      <c r="RWH81" s="684"/>
      <c r="RWI81" s="684"/>
      <c r="RWJ81" s="684"/>
      <c r="RWK81" s="684"/>
      <c r="RWL81" s="684"/>
      <c r="RWM81" s="684"/>
      <c r="RWN81" s="684"/>
      <c r="RWO81" s="684"/>
      <c r="RWP81" s="684"/>
      <c r="RWQ81" s="684"/>
      <c r="RWR81" s="684"/>
      <c r="RWS81" s="684"/>
      <c r="RWT81" s="684"/>
      <c r="RWU81" s="684"/>
      <c r="RWV81" s="684"/>
      <c r="RWW81" s="684"/>
      <c r="RWX81" s="684"/>
      <c r="RWY81" s="684"/>
      <c r="RWZ81" s="684"/>
      <c r="RXA81" s="684"/>
      <c r="RXB81" s="684"/>
      <c r="RXC81" s="684"/>
      <c r="RXD81" s="684"/>
      <c r="RXE81" s="684"/>
      <c r="RXF81" s="684"/>
      <c r="RXG81" s="684"/>
      <c r="RXH81" s="684"/>
      <c r="RXI81" s="684"/>
      <c r="RXJ81" s="684"/>
      <c r="RXK81" s="684"/>
      <c r="RXL81" s="684"/>
      <c r="RXM81" s="684"/>
      <c r="RXN81" s="684"/>
      <c r="RXO81" s="684"/>
      <c r="RXP81" s="684"/>
      <c r="RXQ81" s="684"/>
      <c r="RXR81" s="684"/>
      <c r="RXS81" s="684"/>
      <c r="RXT81" s="684"/>
      <c r="RXU81" s="684"/>
      <c r="RXV81" s="684"/>
      <c r="RXW81" s="684"/>
      <c r="RXX81" s="684"/>
      <c r="RXY81" s="684"/>
      <c r="RXZ81" s="684"/>
      <c r="RYA81" s="684"/>
      <c r="RYB81" s="684"/>
      <c r="RYC81" s="684"/>
      <c r="RYD81" s="684"/>
      <c r="RYE81" s="684"/>
      <c r="RYF81" s="684"/>
      <c r="RYG81" s="684"/>
      <c r="RYH81" s="684"/>
      <c r="RYI81" s="684"/>
      <c r="RYJ81" s="684"/>
      <c r="RYK81" s="684"/>
      <c r="RYL81" s="684"/>
      <c r="RYM81" s="684"/>
      <c r="RYN81" s="684"/>
      <c r="RYO81" s="684"/>
      <c r="RYP81" s="684"/>
      <c r="RYQ81" s="684"/>
      <c r="RYR81" s="684"/>
      <c r="RYS81" s="684"/>
      <c r="RYT81" s="684"/>
      <c r="RYU81" s="684"/>
      <c r="RYV81" s="684"/>
      <c r="RYW81" s="684"/>
      <c r="RYX81" s="684"/>
      <c r="RYY81" s="684"/>
      <c r="RYZ81" s="684"/>
      <c r="RZA81" s="684"/>
      <c r="RZB81" s="684"/>
      <c r="RZC81" s="684"/>
      <c r="RZD81" s="684"/>
      <c r="RZE81" s="684"/>
      <c r="RZF81" s="684"/>
      <c r="RZG81" s="684"/>
      <c r="RZH81" s="684"/>
      <c r="RZI81" s="684"/>
      <c r="RZJ81" s="684"/>
      <c r="RZK81" s="684"/>
      <c r="RZL81" s="684"/>
      <c r="RZM81" s="684"/>
      <c r="RZN81" s="684"/>
      <c r="RZO81" s="684"/>
      <c r="RZP81" s="684"/>
      <c r="RZQ81" s="684"/>
      <c r="RZR81" s="684"/>
      <c r="RZS81" s="684"/>
      <c r="RZT81" s="684"/>
      <c r="RZU81" s="684"/>
      <c r="RZV81" s="684"/>
      <c r="RZW81" s="684"/>
      <c r="RZX81" s="684"/>
      <c r="RZY81" s="684"/>
      <c r="RZZ81" s="684"/>
      <c r="SAA81" s="684"/>
      <c r="SAB81" s="684"/>
      <c r="SAC81" s="684"/>
      <c r="SAD81" s="684"/>
      <c r="SAE81" s="684"/>
      <c r="SAF81" s="684"/>
      <c r="SAG81" s="684"/>
      <c r="SAH81" s="684"/>
      <c r="SAI81" s="684"/>
      <c r="SAJ81" s="684"/>
      <c r="SAK81" s="684"/>
      <c r="SAL81" s="684"/>
      <c r="SAM81" s="684"/>
      <c r="SAN81" s="684"/>
      <c r="SAO81" s="684"/>
      <c r="SAP81" s="684"/>
      <c r="SAQ81" s="684"/>
      <c r="SAR81" s="684"/>
      <c r="SAS81" s="684"/>
      <c r="SAT81" s="684"/>
      <c r="SAU81" s="684"/>
      <c r="SAV81" s="684"/>
      <c r="SAW81" s="684"/>
      <c r="SAX81" s="684"/>
      <c r="SAY81" s="684"/>
      <c r="SAZ81" s="684"/>
      <c r="SBA81" s="684"/>
      <c r="SBB81" s="684"/>
      <c r="SBC81" s="684"/>
      <c r="SBD81" s="684"/>
      <c r="SBE81" s="684"/>
      <c r="SBF81" s="684"/>
      <c r="SBG81" s="684"/>
      <c r="SBH81" s="684"/>
      <c r="SBI81" s="684"/>
      <c r="SBJ81" s="684"/>
      <c r="SBK81" s="684"/>
      <c r="SBL81" s="684"/>
      <c r="SBM81" s="684"/>
      <c r="SBN81" s="684"/>
      <c r="SBO81" s="684"/>
      <c r="SBP81" s="684"/>
      <c r="SBQ81" s="684"/>
      <c r="SBR81" s="684"/>
      <c r="SBS81" s="684"/>
      <c r="SBT81" s="684"/>
      <c r="SBU81" s="684"/>
      <c r="SBV81" s="684"/>
      <c r="SBW81" s="684"/>
      <c r="SBX81" s="684"/>
      <c r="SBY81" s="684"/>
      <c r="SBZ81" s="684"/>
      <c r="SCA81" s="684"/>
      <c r="SCB81" s="684"/>
      <c r="SCC81" s="684"/>
      <c r="SCD81" s="684"/>
      <c r="SCE81" s="684"/>
      <c r="SCF81" s="684"/>
      <c r="SCG81" s="684"/>
      <c r="SCH81" s="684"/>
      <c r="SCI81" s="684"/>
      <c r="SCJ81" s="684"/>
      <c r="SCK81" s="684"/>
      <c r="SCL81" s="684"/>
      <c r="SCM81" s="684"/>
      <c r="SCN81" s="684"/>
      <c r="SCO81" s="684"/>
      <c r="SCP81" s="684"/>
      <c r="SCQ81" s="684"/>
      <c r="SCR81" s="684"/>
      <c r="SCS81" s="684"/>
      <c r="SCT81" s="684"/>
      <c r="SCU81" s="684"/>
      <c r="SCV81" s="684"/>
      <c r="SCW81" s="684"/>
      <c r="SCX81" s="684"/>
      <c r="SCY81" s="684"/>
      <c r="SCZ81" s="684"/>
      <c r="SDA81" s="684"/>
      <c r="SDB81" s="684"/>
      <c r="SDC81" s="684"/>
      <c r="SDD81" s="684"/>
      <c r="SDE81" s="684"/>
      <c r="SDF81" s="684"/>
      <c r="SDG81" s="684"/>
      <c r="SDH81" s="684"/>
      <c r="SDI81" s="684"/>
      <c r="SDJ81" s="684"/>
      <c r="SDK81" s="684"/>
      <c r="SDL81" s="684"/>
      <c r="SDM81" s="684"/>
      <c r="SDN81" s="684"/>
      <c r="SDO81" s="684"/>
      <c r="SDP81" s="684"/>
      <c r="SDQ81" s="684"/>
      <c r="SDR81" s="684"/>
      <c r="SDS81" s="684"/>
      <c r="SDT81" s="684"/>
      <c r="SDU81" s="684"/>
      <c r="SDV81" s="684"/>
      <c r="SDW81" s="684"/>
      <c r="SDX81" s="684"/>
      <c r="SDY81" s="684"/>
      <c r="SDZ81" s="684"/>
      <c r="SEA81" s="684"/>
      <c r="SEB81" s="684"/>
      <c r="SEC81" s="684"/>
      <c r="SED81" s="684"/>
      <c r="SEE81" s="684"/>
      <c r="SEF81" s="684"/>
      <c r="SEG81" s="684"/>
      <c r="SEH81" s="684"/>
      <c r="SEI81" s="684"/>
      <c r="SEJ81" s="684"/>
      <c r="SEK81" s="684"/>
      <c r="SEL81" s="684"/>
      <c r="SEM81" s="684"/>
      <c r="SEN81" s="684"/>
      <c r="SEO81" s="684"/>
      <c r="SEP81" s="684"/>
      <c r="SEQ81" s="684"/>
      <c r="SER81" s="684"/>
      <c r="SES81" s="684"/>
      <c r="SET81" s="684"/>
      <c r="SEU81" s="684"/>
      <c r="SEV81" s="684"/>
      <c r="SEW81" s="684"/>
      <c r="SEX81" s="684"/>
      <c r="SEY81" s="684"/>
      <c r="SEZ81" s="684"/>
      <c r="SFA81" s="684"/>
      <c r="SFB81" s="684"/>
      <c r="SFC81" s="684"/>
      <c r="SFD81" s="684"/>
      <c r="SFE81" s="684"/>
      <c r="SFF81" s="684"/>
      <c r="SFG81" s="684"/>
      <c r="SFH81" s="684"/>
      <c r="SFI81" s="684"/>
      <c r="SFJ81" s="684"/>
      <c r="SFK81" s="684"/>
      <c r="SFL81" s="684"/>
      <c r="SFM81" s="684"/>
      <c r="SFN81" s="684"/>
      <c r="SFO81" s="684"/>
      <c r="SFP81" s="684"/>
      <c r="SFQ81" s="684"/>
      <c r="SFR81" s="684"/>
      <c r="SFS81" s="684"/>
      <c r="SFT81" s="684"/>
      <c r="SFU81" s="684"/>
      <c r="SFV81" s="684"/>
      <c r="SFW81" s="684"/>
      <c r="SFX81" s="684"/>
      <c r="SFY81" s="684"/>
      <c r="SFZ81" s="684"/>
      <c r="SGA81" s="684"/>
      <c r="SGB81" s="684"/>
      <c r="SGC81" s="684"/>
      <c r="SGD81" s="684"/>
      <c r="SGE81" s="684"/>
      <c r="SGF81" s="684"/>
      <c r="SGG81" s="684"/>
      <c r="SGH81" s="684"/>
      <c r="SGI81" s="684"/>
      <c r="SGJ81" s="684"/>
      <c r="SGK81" s="684"/>
      <c r="SGL81" s="684"/>
      <c r="SGM81" s="684"/>
      <c r="SGN81" s="684"/>
      <c r="SGO81" s="684"/>
      <c r="SGP81" s="684"/>
      <c r="SGQ81" s="684"/>
      <c r="SGR81" s="684"/>
      <c r="SGS81" s="684"/>
      <c r="SGT81" s="684"/>
      <c r="SGU81" s="684"/>
      <c r="SGV81" s="684"/>
      <c r="SGW81" s="684"/>
      <c r="SGX81" s="684"/>
      <c r="SGY81" s="684"/>
      <c r="SGZ81" s="684"/>
      <c r="SHA81" s="684"/>
      <c r="SHB81" s="684"/>
      <c r="SHC81" s="684"/>
      <c r="SHD81" s="684"/>
      <c r="SHE81" s="684"/>
      <c r="SHF81" s="684"/>
      <c r="SHG81" s="684"/>
      <c r="SHH81" s="684"/>
      <c r="SHI81" s="684"/>
      <c r="SHJ81" s="684"/>
      <c r="SHK81" s="684"/>
      <c r="SHL81" s="684"/>
      <c r="SHM81" s="684"/>
      <c r="SHN81" s="684"/>
      <c r="SHO81" s="684"/>
      <c r="SHP81" s="684"/>
      <c r="SHQ81" s="684"/>
      <c r="SHR81" s="684"/>
      <c r="SHS81" s="684"/>
      <c r="SHT81" s="684"/>
      <c r="SHU81" s="684"/>
      <c r="SHV81" s="684"/>
      <c r="SHW81" s="684"/>
      <c r="SHX81" s="684"/>
      <c r="SHY81" s="684"/>
      <c r="SHZ81" s="684"/>
      <c r="SIA81" s="684"/>
      <c r="SIB81" s="684"/>
      <c r="SIC81" s="684"/>
      <c r="SID81" s="684"/>
      <c r="SIE81" s="684"/>
      <c r="SIF81" s="684"/>
      <c r="SIG81" s="684"/>
      <c r="SIH81" s="684"/>
      <c r="SII81" s="684"/>
      <c r="SIJ81" s="684"/>
      <c r="SIK81" s="684"/>
      <c r="SIL81" s="684"/>
      <c r="SIM81" s="684"/>
      <c r="SIN81" s="684"/>
      <c r="SIO81" s="684"/>
      <c r="SIP81" s="684"/>
      <c r="SIQ81" s="684"/>
      <c r="SIR81" s="684"/>
      <c r="SIS81" s="684"/>
      <c r="SIT81" s="684"/>
      <c r="SIU81" s="684"/>
      <c r="SIV81" s="684"/>
      <c r="SIW81" s="684"/>
      <c r="SIX81" s="684"/>
      <c r="SIY81" s="684"/>
      <c r="SIZ81" s="684"/>
      <c r="SJA81" s="684"/>
      <c r="SJB81" s="684"/>
      <c r="SJC81" s="684"/>
      <c r="SJD81" s="684"/>
      <c r="SJE81" s="684"/>
      <c r="SJF81" s="684"/>
      <c r="SJG81" s="684"/>
      <c r="SJH81" s="684"/>
      <c r="SJI81" s="684"/>
      <c r="SJJ81" s="684"/>
      <c r="SJK81" s="684"/>
      <c r="SJL81" s="684"/>
      <c r="SJM81" s="684"/>
      <c r="SJN81" s="684"/>
      <c r="SJO81" s="684"/>
      <c r="SJP81" s="684"/>
      <c r="SJQ81" s="684"/>
      <c r="SJR81" s="684"/>
      <c r="SJS81" s="684"/>
      <c r="SJT81" s="684"/>
      <c r="SJU81" s="684"/>
      <c r="SJV81" s="684"/>
      <c r="SJW81" s="684"/>
      <c r="SJX81" s="684"/>
      <c r="SJY81" s="684"/>
      <c r="SJZ81" s="684"/>
      <c r="SKA81" s="684"/>
      <c r="SKB81" s="684"/>
      <c r="SKC81" s="684"/>
      <c r="SKD81" s="684"/>
      <c r="SKE81" s="684"/>
      <c r="SKF81" s="684"/>
      <c r="SKG81" s="684"/>
      <c r="SKH81" s="684"/>
      <c r="SKI81" s="684"/>
      <c r="SKJ81" s="684"/>
      <c r="SKK81" s="684"/>
      <c r="SKL81" s="684"/>
      <c r="SKM81" s="684"/>
      <c r="SKN81" s="684"/>
      <c r="SKO81" s="684"/>
      <c r="SKP81" s="684"/>
      <c r="SKQ81" s="684"/>
      <c r="SKR81" s="684"/>
      <c r="SKS81" s="684"/>
      <c r="SKT81" s="684"/>
      <c r="SKU81" s="684"/>
      <c r="SKV81" s="684"/>
      <c r="SKW81" s="684"/>
      <c r="SKX81" s="684"/>
      <c r="SKY81" s="684"/>
      <c r="SKZ81" s="684"/>
      <c r="SLA81" s="684"/>
      <c r="SLB81" s="684"/>
      <c r="SLC81" s="684"/>
      <c r="SLD81" s="684"/>
      <c r="SLE81" s="684"/>
      <c r="SLF81" s="684"/>
      <c r="SLG81" s="684"/>
      <c r="SLH81" s="684"/>
      <c r="SLI81" s="684"/>
      <c r="SLJ81" s="684"/>
      <c r="SLK81" s="684"/>
      <c r="SLL81" s="684"/>
      <c r="SLM81" s="684"/>
      <c r="SLN81" s="684"/>
      <c r="SLO81" s="684"/>
      <c r="SLP81" s="684"/>
      <c r="SLQ81" s="684"/>
      <c r="SLR81" s="684"/>
      <c r="SLS81" s="684"/>
      <c r="SLT81" s="684"/>
      <c r="SLU81" s="684"/>
      <c r="SLV81" s="684"/>
      <c r="SLW81" s="684"/>
      <c r="SLX81" s="684"/>
      <c r="SLY81" s="684"/>
      <c r="SLZ81" s="684"/>
      <c r="SMA81" s="684"/>
      <c r="SMB81" s="684"/>
      <c r="SMC81" s="684"/>
      <c r="SMD81" s="684"/>
      <c r="SME81" s="684"/>
      <c r="SMF81" s="684"/>
      <c r="SMG81" s="684"/>
      <c r="SMH81" s="684"/>
      <c r="SMI81" s="684"/>
      <c r="SMJ81" s="684"/>
      <c r="SMK81" s="684"/>
      <c r="SML81" s="684"/>
      <c r="SMM81" s="684"/>
      <c r="SMN81" s="684"/>
      <c r="SMO81" s="684"/>
      <c r="SMP81" s="684"/>
      <c r="SMQ81" s="684"/>
      <c r="SMR81" s="684"/>
      <c r="SMS81" s="684"/>
      <c r="SMT81" s="684"/>
      <c r="SMU81" s="684"/>
      <c r="SMV81" s="684"/>
      <c r="SMW81" s="684"/>
      <c r="SMX81" s="684"/>
      <c r="SMY81" s="684"/>
      <c r="SMZ81" s="684"/>
      <c r="SNA81" s="684"/>
      <c r="SNB81" s="684"/>
      <c r="SNC81" s="684"/>
      <c r="SND81" s="684"/>
      <c r="SNE81" s="684"/>
      <c r="SNF81" s="684"/>
      <c r="SNG81" s="684"/>
      <c r="SNH81" s="684"/>
      <c r="SNI81" s="684"/>
      <c r="SNJ81" s="684"/>
      <c r="SNK81" s="684"/>
      <c r="SNL81" s="684"/>
      <c r="SNM81" s="684"/>
      <c r="SNN81" s="684"/>
      <c r="SNO81" s="684"/>
      <c r="SNP81" s="684"/>
      <c r="SNQ81" s="684"/>
      <c r="SNR81" s="684"/>
      <c r="SNS81" s="684"/>
      <c r="SNT81" s="684"/>
      <c r="SNU81" s="684"/>
      <c r="SNV81" s="684"/>
      <c r="SNW81" s="684"/>
      <c r="SNX81" s="684"/>
      <c r="SNY81" s="684"/>
      <c r="SNZ81" s="684"/>
      <c r="SOA81" s="684"/>
      <c r="SOB81" s="684"/>
      <c r="SOC81" s="684"/>
      <c r="SOD81" s="684"/>
      <c r="SOE81" s="684"/>
      <c r="SOF81" s="684"/>
      <c r="SOG81" s="684"/>
      <c r="SOH81" s="684"/>
      <c r="SOI81" s="684"/>
      <c r="SOJ81" s="684"/>
      <c r="SOK81" s="684"/>
      <c r="SOL81" s="684"/>
      <c r="SOM81" s="684"/>
      <c r="SON81" s="684"/>
      <c r="SOO81" s="684"/>
      <c r="SOP81" s="684"/>
      <c r="SOQ81" s="684"/>
      <c r="SOR81" s="684"/>
      <c r="SOS81" s="684"/>
      <c r="SOT81" s="684"/>
      <c r="SOU81" s="684"/>
      <c r="SOV81" s="684"/>
      <c r="SOW81" s="684"/>
      <c r="SOX81" s="684"/>
      <c r="SOY81" s="684"/>
      <c r="SOZ81" s="684"/>
      <c r="SPA81" s="684"/>
      <c r="SPB81" s="684"/>
      <c r="SPC81" s="684"/>
      <c r="SPD81" s="684"/>
      <c r="SPE81" s="684"/>
      <c r="SPF81" s="684"/>
      <c r="SPG81" s="684"/>
      <c r="SPH81" s="684"/>
      <c r="SPI81" s="684"/>
      <c r="SPJ81" s="684"/>
      <c r="SPK81" s="684"/>
      <c r="SPL81" s="684"/>
      <c r="SPM81" s="684"/>
      <c r="SPN81" s="684"/>
      <c r="SPO81" s="684"/>
      <c r="SPP81" s="684"/>
      <c r="SPQ81" s="684"/>
      <c r="SPR81" s="684"/>
      <c r="SPS81" s="684"/>
      <c r="SPT81" s="684"/>
      <c r="SPU81" s="684"/>
      <c r="SPV81" s="684"/>
      <c r="SPW81" s="684"/>
      <c r="SPX81" s="684"/>
      <c r="SPY81" s="684"/>
      <c r="SPZ81" s="684"/>
      <c r="SQA81" s="684"/>
      <c r="SQB81" s="684"/>
      <c r="SQC81" s="684"/>
      <c r="SQD81" s="684"/>
      <c r="SQE81" s="684"/>
      <c r="SQF81" s="684"/>
      <c r="SQG81" s="684"/>
      <c r="SQH81" s="684"/>
      <c r="SQI81" s="684"/>
      <c r="SQJ81" s="684"/>
      <c r="SQK81" s="684"/>
      <c r="SQL81" s="684"/>
      <c r="SQM81" s="684"/>
      <c r="SQN81" s="684"/>
      <c r="SQO81" s="684"/>
      <c r="SQP81" s="684"/>
      <c r="SQQ81" s="684"/>
      <c r="SQR81" s="684"/>
      <c r="SQS81" s="684"/>
      <c r="SQT81" s="684"/>
      <c r="SQU81" s="684"/>
      <c r="SQV81" s="684"/>
      <c r="SQW81" s="684"/>
      <c r="SQX81" s="684"/>
      <c r="SQY81" s="684"/>
      <c r="SQZ81" s="684"/>
      <c r="SRA81" s="684"/>
      <c r="SRB81" s="684"/>
      <c r="SRC81" s="684"/>
      <c r="SRD81" s="684"/>
      <c r="SRE81" s="684"/>
      <c r="SRF81" s="684"/>
      <c r="SRG81" s="684"/>
      <c r="SRH81" s="684"/>
      <c r="SRI81" s="684"/>
      <c r="SRJ81" s="684"/>
      <c r="SRK81" s="684"/>
      <c r="SRL81" s="684"/>
      <c r="SRM81" s="684"/>
      <c r="SRN81" s="684"/>
      <c r="SRO81" s="684"/>
      <c r="SRP81" s="684"/>
      <c r="SRQ81" s="684"/>
      <c r="SRR81" s="684"/>
      <c r="SRS81" s="684"/>
      <c r="SRT81" s="684"/>
      <c r="SRU81" s="684"/>
      <c r="SRV81" s="684"/>
      <c r="SRW81" s="684"/>
      <c r="SRX81" s="684"/>
      <c r="SRY81" s="684"/>
      <c r="SRZ81" s="684"/>
      <c r="SSA81" s="684"/>
      <c r="SSB81" s="684"/>
      <c r="SSC81" s="684"/>
      <c r="SSD81" s="684"/>
      <c r="SSE81" s="684"/>
      <c r="SSF81" s="684"/>
      <c r="SSG81" s="684"/>
      <c r="SSH81" s="684"/>
      <c r="SSI81" s="684"/>
      <c r="SSJ81" s="684"/>
      <c r="SSK81" s="684"/>
      <c r="SSL81" s="684"/>
      <c r="SSM81" s="684"/>
      <c r="SSN81" s="684"/>
      <c r="SSO81" s="684"/>
      <c r="SSP81" s="684"/>
      <c r="SSQ81" s="684"/>
      <c r="SSR81" s="684"/>
      <c r="SSS81" s="684"/>
      <c r="SST81" s="684"/>
      <c r="SSU81" s="684"/>
      <c r="SSV81" s="684"/>
      <c r="SSW81" s="684"/>
      <c r="SSX81" s="684"/>
      <c r="SSY81" s="684"/>
      <c r="SSZ81" s="684"/>
      <c r="STA81" s="684"/>
      <c r="STB81" s="684"/>
      <c r="STC81" s="684"/>
      <c r="STD81" s="684"/>
      <c r="STE81" s="684"/>
      <c r="STF81" s="684"/>
      <c r="STG81" s="684"/>
      <c r="STH81" s="684"/>
      <c r="STI81" s="684"/>
      <c r="STJ81" s="684"/>
      <c r="STK81" s="684"/>
      <c r="STL81" s="684"/>
      <c r="STM81" s="684"/>
      <c r="STN81" s="684"/>
      <c r="STO81" s="684"/>
      <c r="STP81" s="684"/>
      <c r="STQ81" s="684"/>
      <c r="STR81" s="684"/>
      <c r="STS81" s="684"/>
      <c r="STT81" s="684"/>
      <c r="STU81" s="684"/>
      <c r="STV81" s="684"/>
      <c r="STW81" s="684"/>
      <c r="STX81" s="684"/>
      <c r="STY81" s="684"/>
      <c r="STZ81" s="684"/>
      <c r="SUA81" s="684"/>
      <c r="SUB81" s="684"/>
      <c r="SUC81" s="684"/>
      <c r="SUD81" s="684"/>
      <c r="SUE81" s="684"/>
      <c r="SUF81" s="684"/>
      <c r="SUG81" s="684"/>
      <c r="SUH81" s="684"/>
      <c r="SUI81" s="684"/>
      <c r="SUJ81" s="684"/>
      <c r="SUK81" s="684"/>
      <c r="SUL81" s="684"/>
      <c r="SUM81" s="684"/>
      <c r="SUN81" s="684"/>
      <c r="SUO81" s="684"/>
      <c r="SUP81" s="684"/>
      <c r="SUQ81" s="684"/>
      <c r="SUR81" s="684"/>
      <c r="SUS81" s="684"/>
      <c r="SUT81" s="684"/>
      <c r="SUU81" s="684"/>
      <c r="SUV81" s="684"/>
      <c r="SUW81" s="684"/>
      <c r="SUX81" s="684"/>
      <c r="SUY81" s="684"/>
      <c r="SUZ81" s="684"/>
      <c r="SVA81" s="684"/>
      <c r="SVB81" s="684"/>
      <c r="SVC81" s="684"/>
      <c r="SVD81" s="684"/>
      <c r="SVE81" s="684"/>
      <c r="SVF81" s="684"/>
      <c r="SVG81" s="684"/>
      <c r="SVH81" s="684"/>
      <c r="SVI81" s="684"/>
      <c r="SVJ81" s="684"/>
      <c r="SVK81" s="684"/>
      <c r="SVL81" s="684"/>
      <c r="SVM81" s="684"/>
      <c r="SVN81" s="684"/>
      <c r="SVO81" s="684"/>
      <c r="SVP81" s="684"/>
      <c r="SVQ81" s="684"/>
      <c r="SVR81" s="684"/>
      <c r="SVS81" s="684"/>
      <c r="SVT81" s="684"/>
      <c r="SVU81" s="684"/>
      <c r="SVV81" s="684"/>
      <c r="SVW81" s="684"/>
      <c r="SVX81" s="684"/>
      <c r="SVY81" s="684"/>
      <c r="SVZ81" s="684"/>
      <c r="SWA81" s="684"/>
      <c r="SWB81" s="684"/>
      <c r="SWC81" s="684"/>
      <c r="SWD81" s="684"/>
      <c r="SWE81" s="684"/>
      <c r="SWF81" s="684"/>
      <c r="SWG81" s="684"/>
      <c r="SWH81" s="684"/>
      <c r="SWI81" s="684"/>
      <c r="SWJ81" s="684"/>
      <c r="SWK81" s="684"/>
      <c r="SWL81" s="684"/>
      <c r="SWM81" s="684"/>
      <c r="SWN81" s="684"/>
      <c r="SWO81" s="684"/>
      <c r="SWP81" s="684"/>
      <c r="SWQ81" s="684"/>
      <c r="SWR81" s="684"/>
      <c r="SWS81" s="684"/>
      <c r="SWT81" s="684"/>
      <c r="SWU81" s="684"/>
      <c r="SWV81" s="684"/>
      <c r="SWW81" s="684"/>
      <c r="SWX81" s="684"/>
      <c r="SWY81" s="684"/>
      <c r="SWZ81" s="684"/>
      <c r="SXA81" s="684"/>
      <c r="SXB81" s="684"/>
      <c r="SXC81" s="684"/>
      <c r="SXD81" s="684"/>
      <c r="SXE81" s="684"/>
      <c r="SXF81" s="684"/>
      <c r="SXG81" s="684"/>
      <c r="SXH81" s="684"/>
      <c r="SXI81" s="684"/>
      <c r="SXJ81" s="684"/>
      <c r="SXK81" s="684"/>
      <c r="SXL81" s="684"/>
      <c r="SXM81" s="684"/>
      <c r="SXN81" s="684"/>
      <c r="SXO81" s="684"/>
      <c r="SXP81" s="684"/>
      <c r="SXQ81" s="684"/>
      <c r="SXR81" s="684"/>
      <c r="SXS81" s="684"/>
      <c r="SXT81" s="684"/>
      <c r="SXU81" s="684"/>
      <c r="SXV81" s="684"/>
      <c r="SXW81" s="684"/>
      <c r="SXX81" s="684"/>
      <c r="SXY81" s="684"/>
      <c r="SXZ81" s="684"/>
      <c r="SYA81" s="684"/>
      <c r="SYB81" s="684"/>
      <c r="SYC81" s="684"/>
      <c r="SYD81" s="684"/>
      <c r="SYE81" s="684"/>
      <c r="SYF81" s="684"/>
      <c r="SYG81" s="684"/>
      <c r="SYH81" s="684"/>
      <c r="SYI81" s="684"/>
      <c r="SYJ81" s="684"/>
      <c r="SYK81" s="684"/>
      <c r="SYL81" s="684"/>
      <c r="SYM81" s="684"/>
      <c r="SYN81" s="684"/>
      <c r="SYO81" s="684"/>
      <c r="SYP81" s="684"/>
      <c r="SYQ81" s="684"/>
      <c r="SYR81" s="684"/>
      <c r="SYS81" s="684"/>
      <c r="SYT81" s="684"/>
      <c r="SYU81" s="684"/>
      <c r="SYV81" s="684"/>
      <c r="SYW81" s="684"/>
      <c r="SYX81" s="684"/>
      <c r="SYY81" s="684"/>
      <c r="SYZ81" s="684"/>
      <c r="SZA81" s="684"/>
      <c r="SZB81" s="684"/>
      <c r="SZC81" s="684"/>
      <c r="SZD81" s="684"/>
      <c r="SZE81" s="684"/>
      <c r="SZF81" s="684"/>
      <c r="SZG81" s="684"/>
      <c r="SZH81" s="684"/>
      <c r="SZI81" s="684"/>
      <c r="SZJ81" s="684"/>
      <c r="SZK81" s="684"/>
      <c r="SZL81" s="684"/>
      <c r="SZM81" s="684"/>
      <c r="SZN81" s="684"/>
      <c r="SZO81" s="684"/>
      <c r="SZP81" s="684"/>
      <c r="SZQ81" s="684"/>
      <c r="SZR81" s="684"/>
      <c r="SZS81" s="684"/>
      <c r="SZT81" s="684"/>
      <c r="SZU81" s="684"/>
      <c r="SZV81" s="684"/>
      <c r="SZW81" s="684"/>
      <c r="SZX81" s="684"/>
      <c r="SZY81" s="684"/>
      <c r="SZZ81" s="684"/>
      <c r="TAA81" s="684"/>
      <c r="TAB81" s="684"/>
      <c r="TAC81" s="684"/>
      <c r="TAD81" s="684"/>
      <c r="TAE81" s="684"/>
      <c r="TAF81" s="684"/>
      <c r="TAG81" s="684"/>
      <c r="TAH81" s="684"/>
      <c r="TAI81" s="684"/>
      <c r="TAJ81" s="684"/>
      <c r="TAK81" s="684"/>
      <c r="TAL81" s="684"/>
      <c r="TAM81" s="684"/>
      <c r="TAN81" s="684"/>
      <c r="TAO81" s="684"/>
      <c r="TAP81" s="684"/>
      <c r="TAQ81" s="684"/>
      <c r="TAR81" s="684"/>
      <c r="TAS81" s="684"/>
      <c r="TAT81" s="684"/>
      <c r="TAU81" s="684"/>
      <c r="TAV81" s="684"/>
      <c r="TAW81" s="684"/>
      <c r="TAX81" s="684"/>
      <c r="TAY81" s="684"/>
      <c r="TAZ81" s="684"/>
      <c r="TBA81" s="684"/>
      <c r="TBB81" s="684"/>
      <c r="TBC81" s="684"/>
      <c r="TBD81" s="684"/>
      <c r="TBE81" s="684"/>
      <c r="TBF81" s="684"/>
      <c r="TBG81" s="684"/>
      <c r="TBH81" s="684"/>
      <c r="TBI81" s="684"/>
      <c r="TBJ81" s="684"/>
      <c r="TBK81" s="684"/>
      <c r="TBL81" s="684"/>
      <c r="TBM81" s="684"/>
      <c r="TBN81" s="684"/>
      <c r="TBO81" s="684"/>
      <c r="TBP81" s="684"/>
      <c r="TBQ81" s="684"/>
      <c r="TBR81" s="684"/>
      <c r="TBS81" s="684"/>
      <c r="TBT81" s="684"/>
      <c r="TBU81" s="684"/>
      <c r="TBV81" s="684"/>
      <c r="TBW81" s="684"/>
      <c r="TBX81" s="684"/>
      <c r="TBY81" s="684"/>
      <c r="TBZ81" s="684"/>
      <c r="TCA81" s="684"/>
      <c r="TCB81" s="684"/>
      <c r="TCC81" s="684"/>
      <c r="TCD81" s="684"/>
      <c r="TCE81" s="684"/>
      <c r="TCF81" s="684"/>
      <c r="TCG81" s="684"/>
      <c r="TCH81" s="684"/>
      <c r="TCI81" s="684"/>
      <c r="TCJ81" s="684"/>
      <c r="TCK81" s="684"/>
      <c r="TCL81" s="684"/>
      <c r="TCM81" s="684"/>
      <c r="TCN81" s="684"/>
      <c r="TCO81" s="684"/>
      <c r="TCP81" s="684"/>
      <c r="TCQ81" s="684"/>
      <c r="TCR81" s="684"/>
      <c r="TCS81" s="684"/>
      <c r="TCT81" s="684"/>
      <c r="TCU81" s="684"/>
      <c r="TCV81" s="684"/>
      <c r="TCW81" s="684"/>
      <c r="TCX81" s="684"/>
      <c r="TCY81" s="684"/>
      <c r="TCZ81" s="684"/>
      <c r="TDA81" s="684"/>
      <c r="TDB81" s="684"/>
      <c r="TDC81" s="684"/>
      <c r="TDD81" s="684"/>
      <c r="TDE81" s="684"/>
      <c r="TDF81" s="684"/>
      <c r="TDG81" s="684"/>
      <c r="TDH81" s="684"/>
      <c r="TDI81" s="684"/>
      <c r="TDJ81" s="684"/>
      <c r="TDK81" s="684"/>
      <c r="TDL81" s="684"/>
      <c r="TDM81" s="684"/>
      <c r="TDN81" s="684"/>
      <c r="TDO81" s="684"/>
      <c r="TDP81" s="684"/>
      <c r="TDQ81" s="684"/>
      <c r="TDR81" s="684"/>
      <c r="TDS81" s="684"/>
      <c r="TDT81" s="684"/>
      <c r="TDU81" s="684"/>
      <c r="TDV81" s="684"/>
      <c r="TDW81" s="684"/>
      <c r="TDX81" s="684"/>
      <c r="TDY81" s="684"/>
      <c r="TDZ81" s="684"/>
      <c r="TEA81" s="684"/>
      <c r="TEB81" s="684"/>
      <c r="TEC81" s="684"/>
      <c r="TED81" s="684"/>
      <c r="TEE81" s="684"/>
      <c r="TEF81" s="684"/>
      <c r="TEG81" s="684"/>
      <c r="TEH81" s="684"/>
      <c r="TEI81" s="684"/>
      <c r="TEJ81" s="684"/>
      <c r="TEK81" s="684"/>
      <c r="TEL81" s="684"/>
      <c r="TEM81" s="684"/>
      <c r="TEN81" s="684"/>
      <c r="TEO81" s="684"/>
      <c r="TEP81" s="684"/>
      <c r="TEQ81" s="684"/>
      <c r="TER81" s="684"/>
      <c r="TES81" s="684"/>
      <c r="TET81" s="684"/>
      <c r="TEU81" s="684"/>
      <c r="TEV81" s="684"/>
      <c r="TEW81" s="684"/>
      <c r="TEX81" s="684"/>
      <c r="TEY81" s="684"/>
      <c r="TEZ81" s="684"/>
      <c r="TFA81" s="684"/>
      <c r="TFB81" s="684"/>
      <c r="TFC81" s="684"/>
      <c r="TFD81" s="684"/>
      <c r="TFE81" s="684"/>
      <c r="TFF81" s="684"/>
      <c r="TFG81" s="684"/>
      <c r="TFH81" s="684"/>
      <c r="TFI81" s="684"/>
      <c r="TFJ81" s="684"/>
      <c r="TFK81" s="684"/>
      <c r="TFL81" s="684"/>
      <c r="TFM81" s="684"/>
      <c r="TFN81" s="684"/>
      <c r="TFO81" s="684"/>
      <c r="TFP81" s="684"/>
      <c r="TFQ81" s="684"/>
      <c r="TFR81" s="684"/>
      <c r="TFS81" s="684"/>
      <c r="TFT81" s="684"/>
      <c r="TFU81" s="684"/>
      <c r="TFV81" s="684"/>
      <c r="TFW81" s="684"/>
      <c r="TFX81" s="684"/>
      <c r="TFY81" s="684"/>
      <c r="TFZ81" s="684"/>
      <c r="TGA81" s="684"/>
      <c r="TGB81" s="684"/>
      <c r="TGC81" s="684"/>
      <c r="TGD81" s="684"/>
      <c r="TGE81" s="684"/>
      <c r="TGF81" s="684"/>
      <c r="TGG81" s="684"/>
      <c r="TGH81" s="684"/>
      <c r="TGI81" s="684"/>
      <c r="TGJ81" s="684"/>
      <c r="TGK81" s="684"/>
      <c r="TGL81" s="684"/>
      <c r="TGM81" s="684"/>
      <c r="TGN81" s="684"/>
      <c r="TGO81" s="684"/>
      <c r="TGP81" s="684"/>
      <c r="TGQ81" s="684"/>
      <c r="TGR81" s="684"/>
      <c r="TGS81" s="684"/>
      <c r="TGT81" s="684"/>
      <c r="TGU81" s="684"/>
      <c r="TGV81" s="684"/>
      <c r="TGW81" s="684"/>
      <c r="TGX81" s="684"/>
      <c r="TGY81" s="684"/>
      <c r="TGZ81" s="684"/>
      <c r="THA81" s="684"/>
      <c r="THB81" s="684"/>
      <c r="THC81" s="684"/>
      <c r="THD81" s="684"/>
      <c r="THE81" s="684"/>
      <c r="THF81" s="684"/>
      <c r="THG81" s="684"/>
      <c r="THH81" s="684"/>
      <c r="THI81" s="684"/>
      <c r="THJ81" s="684"/>
      <c r="THK81" s="684"/>
      <c r="THL81" s="684"/>
      <c r="THM81" s="684"/>
      <c r="THN81" s="684"/>
      <c r="THO81" s="684"/>
      <c r="THP81" s="684"/>
      <c r="THQ81" s="684"/>
      <c r="THR81" s="684"/>
      <c r="THS81" s="684"/>
      <c r="THT81" s="684"/>
      <c r="THU81" s="684"/>
      <c r="THV81" s="684"/>
      <c r="THW81" s="684"/>
      <c r="THX81" s="684"/>
      <c r="THY81" s="684"/>
      <c r="THZ81" s="684"/>
      <c r="TIA81" s="684"/>
      <c r="TIB81" s="684"/>
      <c r="TIC81" s="684"/>
      <c r="TID81" s="684"/>
      <c r="TIE81" s="684"/>
      <c r="TIF81" s="684"/>
      <c r="TIG81" s="684"/>
      <c r="TIH81" s="684"/>
      <c r="TII81" s="684"/>
      <c r="TIJ81" s="684"/>
      <c r="TIK81" s="684"/>
      <c r="TIL81" s="684"/>
      <c r="TIM81" s="684"/>
      <c r="TIN81" s="684"/>
      <c r="TIO81" s="684"/>
      <c r="TIP81" s="684"/>
      <c r="TIQ81" s="684"/>
      <c r="TIR81" s="684"/>
      <c r="TIS81" s="684"/>
      <c r="TIT81" s="684"/>
      <c r="TIU81" s="684"/>
      <c r="TIV81" s="684"/>
      <c r="TIW81" s="684"/>
      <c r="TIX81" s="684"/>
      <c r="TIY81" s="684"/>
      <c r="TIZ81" s="684"/>
      <c r="TJA81" s="684"/>
      <c r="TJB81" s="684"/>
      <c r="TJC81" s="684"/>
      <c r="TJD81" s="684"/>
      <c r="TJE81" s="684"/>
      <c r="TJF81" s="684"/>
      <c r="TJG81" s="684"/>
      <c r="TJH81" s="684"/>
      <c r="TJI81" s="684"/>
      <c r="TJJ81" s="684"/>
      <c r="TJK81" s="684"/>
      <c r="TJL81" s="684"/>
      <c r="TJM81" s="684"/>
      <c r="TJN81" s="684"/>
      <c r="TJO81" s="684"/>
      <c r="TJP81" s="684"/>
      <c r="TJQ81" s="684"/>
      <c r="TJR81" s="684"/>
      <c r="TJS81" s="684"/>
      <c r="TJT81" s="684"/>
      <c r="TJU81" s="684"/>
      <c r="TJV81" s="684"/>
      <c r="TJW81" s="684"/>
      <c r="TJX81" s="684"/>
      <c r="TJY81" s="684"/>
      <c r="TJZ81" s="684"/>
      <c r="TKA81" s="684"/>
      <c r="TKB81" s="684"/>
      <c r="TKC81" s="684"/>
      <c r="TKD81" s="684"/>
      <c r="TKE81" s="684"/>
      <c r="TKF81" s="684"/>
      <c r="TKG81" s="684"/>
      <c r="TKH81" s="684"/>
      <c r="TKI81" s="684"/>
      <c r="TKJ81" s="684"/>
      <c r="TKK81" s="684"/>
      <c r="TKL81" s="684"/>
      <c r="TKM81" s="684"/>
      <c r="TKN81" s="684"/>
      <c r="TKO81" s="684"/>
      <c r="TKP81" s="684"/>
      <c r="TKQ81" s="684"/>
      <c r="TKR81" s="684"/>
      <c r="TKS81" s="684"/>
      <c r="TKT81" s="684"/>
      <c r="TKU81" s="684"/>
      <c r="TKV81" s="684"/>
      <c r="TKW81" s="684"/>
      <c r="TKX81" s="684"/>
      <c r="TKY81" s="684"/>
      <c r="TKZ81" s="684"/>
      <c r="TLA81" s="684"/>
      <c r="TLB81" s="684"/>
      <c r="TLC81" s="684"/>
      <c r="TLD81" s="684"/>
      <c r="TLE81" s="684"/>
      <c r="TLF81" s="684"/>
      <c r="TLG81" s="684"/>
      <c r="TLH81" s="684"/>
      <c r="TLI81" s="684"/>
      <c r="TLJ81" s="684"/>
      <c r="TLK81" s="684"/>
      <c r="TLL81" s="684"/>
      <c r="TLM81" s="684"/>
      <c r="TLN81" s="684"/>
      <c r="TLO81" s="684"/>
      <c r="TLP81" s="684"/>
      <c r="TLQ81" s="684"/>
      <c r="TLR81" s="684"/>
      <c r="TLS81" s="684"/>
      <c r="TLT81" s="684"/>
      <c r="TLU81" s="684"/>
      <c r="TLV81" s="684"/>
      <c r="TLW81" s="684"/>
      <c r="TLX81" s="684"/>
      <c r="TLY81" s="684"/>
      <c r="TLZ81" s="684"/>
      <c r="TMA81" s="684"/>
      <c r="TMB81" s="684"/>
      <c r="TMC81" s="684"/>
      <c r="TMD81" s="684"/>
      <c r="TME81" s="684"/>
      <c r="TMF81" s="684"/>
      <c r="TMG81" s="684"/>
      <c r="TMH81" s="684"/>
      <c r="TMI81" s="684"/>
      <c r="TMJ81" s="684"/>
      <c r="TMK81" s="684"/>
      <c r="TML81" s="684"/>
      <c r="TMM81" s="684"/>
      <c r="TMN81" s="684"/>
      <c r="TMO81" s="684"/>
      <c r="TMP81" s="684"/>
      <c r="TMQ81" s="684"/>
      <c r="TMR81" s="684"/>
      <c r="TMS81" s="684"/>
      <c r="TMT81" s="684"/>
      <c r="TMU81" s="684"/>
      <c r="TMV81" s="684"/>
      <c r="TMW81" s="684"/>
      <c r="TMX81" s="684"/>
      <c r="TMY81" s="684"/>
      <c r="TMZ81" s="684"/>
      <c r="TNA81" s="684"/>
      <c r="TNB81" s="684"/>
      <c r="TNC81" s="684"/>
      <c r="TND81" s="684"/>
      <c r="TNE81" s="684"/>
      <c r="TNF81" s="684"/>
      <c r="TNG81" s="684"/>
      <c r="TNH81" s="684"/>
      <c r="TNI81" s="684"/>
      <c r="TNJ81" s="684"/>
      <c r="TNK81" s="684"/>
      <c r="TNL81" s="684"/>
      <c r="TNM81" s="684"/>
      <c r="TNN81" s="684"/>
      <c r="TNO81" s="684"/>
      <c r="TNP81" s="684"/>
      <c r="TNQ81" s="684"/>
      <c r="TNR81" s="684"/>
      <c r="TNS81" s="684"/>
      <c r="TNT81" s="684"/>
      <c r="TNU81" s="684"/>
      <c r="TNV81" s="684"/>
      <c r="TNW81" s="684"/>
      <c r="TNX81" s="684"/>
      <c r="TNY81" s="684"/>
      <c r="TNZ81" s="684"/>
      <c r="TOA81" s="684"/>
      <c r="TOB81" s="684"/>
      <c r="TOC81" s="684"/>
      <c r="TOD81" s="684"/>
      <c r="TOE81" s="684"/>
      <c r="TOF81" s="684"/>
      <c r="TOG81" s="684"/>
      <c r="TOH81" s="684"/>
      <c r="TOI81" s="684"/>
      <c r="TOJ81" s="684"/>
      <c r="TOK81" s="684"/>
      <c r="TOL81" s="684"/>
      <c r="TOM81" s="684"/>
      <c r="TON81" s="684"/>
      <c r="TOO81" s="684"/>
      <c r="TOP81" s="684"/>
      <c r="TOQ81" s="684"/>
      <c r="TOR81" s="684"/>
      <c r="TOS81" s="684"/>
      <c r="TOT81" s="684"/>
      <c r="TOU81" s="684"/>
      <c r="TOV81" s="684"/>
      <c r="TOW81" s="684"/>
      <c r="TOX81" s="684"/>
      <c r="TOY81" s="684"/>
      <c r="TOZ81" s="684"/>
      <c r="TPA81" s="684"/>
      <c r="TPB81" s="684"/>
      <c r="TPC81" s="684"/>
      <c r="TPD81" s="684"/>
      <c r="TPE81" s="684"/>
      <c r="TPF81" s="684"/>
      <c r="TPG81" s="684"/>
      <c r="TPH81" s="684"/>
      <c r="TPI81" s="684"/>
      <c r="TPJ81" s="684"/>
      <c r="TPK81" s="684"/>
      <c r="TPL81" s="684"/>
      <c r="TPM81" s="684"/>
      <c r="TPN81" s="684"/>
      <c r="TPO81" s="684"/>
      <c r="TPP81" s="684"/>
      <c r="TPQ81" s="684"/>
      <c r="TPR81" s="684"/>
      <c r="TPS81" s="684"/>
      <c r="TPT81" s="684"/>
      <c r="TPU81" s="684"/>
      <c r="TPV81" s="684"/>
      <c r="TPW81" s="684"/>
      <c r="TPX81" s="684"/>
      <c r="TPY81" s="684"/>
      <c r="TPZ81" s="684"/>
      <c r="TQA81" s="684"/>
      <c r="TQB81" s="684"/>
      <c r="TQC81" s="684"/>
      <c r="TQD81" s="684"/>
      <c r="TQE81" s="684"/>
      <c r="TQF81" s="684"/>
      <c r="TQG81" s="684"/>
      <c r="TQH81" s="684"/>
      <c r="TQI81" s="684"/>
      <c r="TQJ81" s="684"/>
      <c r="TQK81" s="684"/>
      <c r="TQL81" s="684"/>
      <c r="TQM81" s="684"/>
      <c r="TQN81" s="684"/>
      <c r="TQO81" s="684"/>
      <c r="TQP81" s="684"/>
      <c r="TQQ81" s="684"/>
      <c r="TQR81" s="684"/>
      <c r="TQS81" s="684"/>
      <c r="TQT81" s="684"/>
      <c r="TQU81" s="684"/>
      <c r="TQV81" s="684"/>
      <c r="TQW81" s="684"/>
      <c r="TQX81" s="684"/>
      <c r="TQY81" s="684"/>
      <c r="TQZ81" s="684"/>
      <c r="TRA81" s="684"/>
      <c r="TRB81" s="684"/>
      <c r="TRC81" s="684"/>
      <c r="TRD81" s="684"/>
      <c r="TRE81" s="684"/>
      <c r="TRF81" s="684"/>
      <c r="TRG81" s="684"/>
      <c r="TRH81" s="684"/>
      <c r="TRI81" s="684"/>
      <c r="TRJ81" s="684"/>
      <c r="TRK81" s="684"/>
      <c r="TRL81" s="684"/>
      <c r="TRM81" s="684"/>
      <c r="TRN81" s="684"/>
      <c r="TRO81" s="684"/>
      <c r="TRP81" s="684"/>
      <c r="TRQ81" s="684"/>
      <c r="TRR81" s="684"/>
      <c r="TRS81" s="684"/>
      <c r="TRT81" s="684"/>
      <c r="TRU81" s="684"/>
      <c r="TRV81" s="684"/>
      <c r="TRW81" s="684"/>
      <c r="TRX81" s="684"/>
      <c r="TRY81" s="684"/>
      <c r="TRZ81" s="684"/>
      <c r="TSA81" s="684"/>
      <c r="TSB81" s="684"/>
      <c r="TSC81" s="684"/>
      <c r="TSD81" s="684"/>
      <c r="TSE81" s="684"/>
      <c r="TSF81" s="684"/>
      <c r="TSG81" s="684"/>
      <c r="TSH81" s="684"/>
      <c r="TSI81" s="684"/>
      <c r="TSJ81" s="684"/>
      <c r="TSK81" s="684"/>
      <c r="TSL81" s="684"/>
      <c r="TSM81" s="684"/>
      <c r="TSN81" s="684"/>
      <c r="TSO81" s="684"/>
      <c r="TSP81" s="684"/>
      <c r="TSQ81" s="684"/>
      <c r="TSR81" s="684"/>
      <c r="TSS81" s="684"/>
      <c r="TST81" s="684"/>
      <c r="TSU81" s="684"/>
      <c r="TSV81" s="684"/>
      <c r="TSW81" s="684"/>
      <c r="TSX81" s="684"/>
      <c r="TSY81" s="684"/>
      <c r="TSZ81" s="684"/>
      <c r="TTA81" s="684"/>
      <c r="TTB81" s="684"/>
      <c r="TTC81" s="684"/>
      <c r="TTD81" s="684"/>
      <c r="TTE81" s="684"/>
      <c r="TTF81" s="684"/>
      <c r="TTG81" s="684"/>
      <c r="TTH81" s="684"/>
      <c r="TTI81" s="684"/>
      <c r="TTJ81" s="684"/>
      <c r="TTK81" s="684"/>
      <c r="TTL81" s="684"/>
      <c r="TTM81" s="684"/>
      <c r="TTN81" s="684"/>
      <c r="TTO81" s="684"/>
      <c r="TTP81" s="684"/>
      <c r="TTQ81" s="684"/>
      <c r="TTR81" s="684"/>
      <c r="TTS81" s="684"/>
      <c r="TTT81" s="684"/>
      <c r="TTU81" s="684"/>
      <c r="TTV81" s="684"/>
      <c r="TTW81" s="684"/>
      <c r="TTX81" s="684"/>
      <c r="TTY81" s="684"/>
      <c r="TTZ81" s="684"/>
      <c r="TUA81" s="684"/>
      <c r="TUB81" s="684"/>
      <c r="TUC81" s="684"/>
      <c r="TUD81" s="684"/>
      <c r="TUE81" s="684"/>
      <c r="TUF81" s="684"/>
      <c r="TUG81" s="684"/>
      <c r="TUH81" s="684"/>
      <c r="TUI81" s="684"/>
      <c r="TUJ81" s="684"/>
      <c r="TUK81" s="684"/>
      <c r="TUL81" s="684"/>
      <c r="TUM81" s="684"/>
      <c r="TUN81" s="684"/>
      <c r="TUO81" s="684"/>
      <c r="TUP81" s="684"/>
      <c r="TUQ81" s="684"/>
      <c r="TUR81" s="684"/>
      <c r="TUS81" s="684"/>
      <c r="TUT81" s="684"/>
      <c r="TUU81" s="684"/>
      <c r="TUV81" s="684"/>
      <c r="TUW81" s="684"/>
      <c r="TUX81" s="684"/>
      <c r="TUY81" s="684"/>
      <c r="TUZ81" s="684"/>
      <c r="TVA81" s="684"/>
      <c r="TVB81" s="684"/>
      <c r="TVC81" s="684"/>
      <c r="TVD81" s="684"/>
      <c r="TVE81" s="684"/>
      <c r="TVF81" s="684"/>
      <c r="TVG81" s="684"/>
      <c r="TVH81" s="684"/>
      <c r="TVI81" s="684"/>
      <c r="TVJ81" s="684"/>
      <c r="TVK81" s="684"/>
      <c r="TVL81" s="684"/>
      <c r="TVM81" s="684"/>
      <c r="TVN81" s="684"/>
      <c r="TVO81" s="684"/>
      <c r="TVP81" s="684"/>
      <c r="TVQ81" s="684"/>
      <c r="TVR81" s="684"/>
      <c r="TVS81" s="684"/>
      <c r="TVT81" s="684"/>
      <c r="TVU81" s="684"/>
      <c r="TVV81" s="684"/>
      <c r="TVW81" s="684"/>
      <c r="TVX81" s="684"/>
      <c r="TVY81" s="684"/>
      <c r="TVZ81" s="684"/>
      <c r="TWA81" s="684"/>
      <c r="TWB81" s="684"/>
      <c r="TWC81" s="684"/>
      <c r="TWD81" s="684"/>
      <c r="TWE81" s="684"/>
      <c r="TWF81" s="684"/>
      <c r="TWG81" s="684"/>
      <c r="TWH81" s="684"/>
      <c r="TWI81" s="684"/>
      <c r="TWJ81" s="684"/>
      <c r="TWK81" s="684"/>
      <c r="TWL81" s="684"/>
      <c r="TWM81" s="684"/>
      <c r="TWN81" s="684"/>
      <c r="TWO81" s="684"/>
      <c r="TWP81" s="684"/>
      <c r="TWQ81" s="684"/>
      <c r="TWR81" s="684"/>
      <c r="TWS81" s="684"/>
      <c r="TWT81" s="684"/>
      <c r="TWU81" s="684"/>
      <c r="TWV81" s="684"/>
      <c r="TWW81" s="684"/>
      <c r="TWX81" s="684"/>
      <c r="TWY81" s="684"/>
      <c r="TWZ81" s="684"/>
      <c r="TXA81" s="684"/>
      <c r="TXB81" s="684"/>
      <c r="TXC81" s="684"/>
      <c r="TXD81" s="684"/>
      <c r="TXE81" s="684"/>
      <c r="TXF81" s="684"/>
      <c r="TXG81" s="684"/>
      <c r="TXH81" s="684"/>
      <c r="TXI81" s="684"/>
      <c r="TXJ81" s="684"/>
      <c r="TXK81" s="684"/>
      <c r="TXL81" s="684"/>
      <c r="TXM81" s="684"/>
      <c r="TXN81" s="684"/>
      <c r="TXO81" s="684"/>
      <c r="TXP81" s="684"/>
      <c r="TXQ81" s="684"/>
      <c r="TXR81" s="684"/>
      <c r="TXS81" s="684"/>
      <c r="TXT81" s="684"/>
      <c r="TXU81" s="684"/>
      <c r="TXV81" s="684"/>
      <c r="TXW81" s="684"/>
      <c r="TXX81" s="684"/>
      <c r="TXY81" s="684"/>
      <c r="TXZ81" s="684"/>
      <c r="TYA81" s="684"/>
      <c r="TYB81" s="684"/>
      <c r="TYC81" s="684"/>
      <c r="TYD81" s="684"/>
      <c r="TYE81" s="684"/>
      <c r="TYF81" s="684"/>
      <c r="TYG81" s="684"/>
      <c r="TYH81" s="684"/>
      <c r="TYI81" s="684"/>
      <c r="TYJ81" s="684"/>
      <c r="TYK81" s="684"/>
      <c r="TYL81" s="684"/>
      <c r="TYM81" s="684"/>
      <c r="TYN81" s="684"/>
      <c r="TYO81" s="684"/>
      <c r="TYP81" s="684"/>
      <c r="TYQ81" s="684"/>
      <c r="TYR81" s="684"/>
      <c r="TYS81" s="684"/>
      <c r="TYT81" s="684"/>
      <c r="TYU81" s="684"/>
      <c r="TYV81" s="684"/>
      <c r="TYW81" s="684"/>
      <c r="TYX81" s="684"/>
      <c r="TYY81" s="684"/>
      <c r="TYZ81" s="684"/>
      <c r="TZA81" s="684"/>
      <c r="TZB81" s="684"/>
      <c r="TZC81" s="684"/>
      <c r="TZD81" s="684"/>
      <c r="TZE81" s="684"/>
      <c r="TZF81" s="684"/>
      <c r="TZG81" s="684"/>
      <c r="TZH81" s="684"/>
      <c r="TZI81" s="684"/>
      <c r="TZJ81" s="684"/>
      <c r="TZK81" s="684"/>
      <c r="TZL81" s="684"/>
      <c r="TZM81" s="684"/>
      <c r="TZN81" s="684"/>
      <c r="TZO81" s="684"/>
      <c r="TZP81" s="684"/>
      <c r="TZQ81" s="684"/>
      <c r="TZR81" s="684"/>
      <c r="TZS81" s="684"/>
      <c r="TZT81" s="684"/>
      <c r="TZU81" s="684"/>
      <c r="TZV81" s="684"/>
      <c r="TZW81" s="684"/>
      <c r="TZX81" s="684"/>
      <c r="TZY81" s="684"/>
      <c r="TZZ81" s="684"/>
      <c r="UAA81" s="684"/>
      <c r="UAB81" s="684"/>
      <c r="UAC81" s="684"/>
      <c r="UAD81" s="684"/>
      <c r="UAE81" s="684"/>
      <c r="UAF81" s="684"/>
      <c r="UAG81" s="684"/>
      <c r="UAH81" s="684"/>
      <c r="UAI81" s="684"/>
      <c r="UAJ81" s="684"/>
      <c r="UAK81" s="684"/>
      <c r="UAL81" s="684"/>
      <c r="UAM81" s="684"/>
      <c r="UAN81" s="684"/>
      <c r="UAO81" s="684"/>
      <c r="UAP81" s="684"/>
      <c r="UAQ81" s="684"/>
      <c r="UAR81" s="684"/>
      <c r="UAS81" s="684"/>
      <c r="UAT81" s="684"/>
      <c r="UAU81" s="684"/>
      <c r="UAV81" s="684"/>
      <c r="UAW81" s="684"/>
      <c r="UAX81" s="684"/>
      <c r="UAY81" s="684"/>
      <c r="UAZ81" s="684"/>
      <c r="UBA81" s="684"/>
      <c r="UBB81" s="684"/>
      <c r="UBC81" s="684"/>
      <c r="UBD81" s="684"/>
      <c r="UBE81" s="684"/>
      <c r="UBF81" s="684"/>
      <c r="UBG81" s="684"/>
      <c r="UBH81" s="684"/>
      <c r="UBI81" s="684"/>
      <c r="UBJ81" s="684"/>
      <c r="UBK81" s="684"/>
      <c r="UBL81" s="684"/>
      <c r="UBM81" s="684"/>
      <c r="UBN81" s="684"/>
      <c r="UBO81" s="684"/>
      <c r="UBP81" s="684"/>
      <c r="UBQ81" s="684"/>
      <c r="UBR81" s="684"/>
      <c r="UBS81" s="684"/>
      <c r="UBT81" s="684"/>
      <c r="UBU81" s="684"/>
      <c r="UBV81" s="684"/>
      <c r="UBW81" s="684"/>
      <c r="UBX81" s="684"/>
      <c r="UBY81" s="684"/>
      <c r="UBZ81" s="684"/>
      <c r="UCA81" s="684"/>
      <c r="UCB81" s="684"/>
      <c r="UCC81" s="684"/>
      <c r="UCD81" s="684"/>
      <c r="UCE81" s="684"/>
      <c r="UCF81" s="684"/>
      <c r="UCG81" s="684"/>
      <c r="UCH81" s="684"/>
      <c r="UCI81" s="684"/>
      <c r="UCJ81" s="684"/>
      <c r="UCK81" s="684"/>
      <c r="UCL81" s="684"/>
      <c r="UCM81" s="684"/>
      <c r="UCN81" s="684"/>
      <c r="UCO81" s="684"/>
      <c r="UCP81" s="684"/>
      <c r="UCQ81" s="684"/>
      <c r="UCR81" s="684"/>
      <c r="UCS81" s="684"/>
      <c r="UCT81" s="684"/>
      <c r="UCU81" s="684"/>
      <c r="UCV81" s="684"/>
      <c r="UCW81" s="684"/>
      <c r="UCX81" s="684"/>
      <c r="UCY81" s="684"/>
      <c r="UCZ81" s="684"/>
      <c r="UDA81" s="684"/>
      <c r="UDB81" s="684"/>
      <c r="UDC81" s="684"/>
      <c r="UDD81" s="684"/>
      <c r="UDE81" s="684"/>
      <c r="UDF81" s="684"/>
      <c r="UDG81" s="684"/>
      <c r="UDH81" s="684"/>
      <c r="UDI81" s="684"/>
      <c r="UDJ81" s="684"/>
      <c r="UDK81" s="684"/>
      <c r="UDL81" s="684"/>
      <c r="UDM81" s="684"/>
      <c r="UDN81" s="684"/>
      <c r="UDO81" s="684"/>
      <c r="UDP81" s="684"/>
      <c r="UDQ81" s="684"/>
      <c r="UDR81" s="684"/>
      <c r="UDS81" s="684"/>
      <c r="UDT81" s="684"/>
      <c r="UDU81" s="684"/>
      <c r="UDV81" s="684"/>
      <c r="UDW81" s="684"/>
      <c r="UDX81" s="684"/>
      <c r="UDY81" s="684"/>
      <c r="UDZ81" s="684"/>
      <c r="UEA81" s="684"/>
      <c r="UEB81" s="684"/>
      <c r="UEC81" s="684"/>
      <c r="UED81" s="684"/>
      <c r="UEE81" s="684"/>
      <c r="UEF81" s="684"/>
      <c r="UEG81" s="684"/>
      <c r="UEH81" s="684"/>
      <c r="UEI81" s="684"/>
      <c r="UEJ81" s="684"/>
      <c r="UEK81" s="684"/>
      <c r="UEL81" s="684"/>
      <c r="UEM81" s="684"/>
      <c r="UEN81" s="684"/>
      <c r="UEO81" s="684"/>
      <c r="UEP81" s="684"/>
      <c r="UEQ81" s="684"/>
      <c r="UER81" s="684"/>
      <c r="UES81" s="684"/>
      <c r="UET81" s="684"/>
      <c r="UEU81" s="684"/>
      <c r="UEV81" s="684"/>
      <c r="UEW81" s="684"/>
      <c r="UEX81" s="684"/>
      <c r="UEY81" s="684"/>
      <c r="UEZ81" s="684"/>
      <c r="UFA81" s="684"/>
      <c r="UFB81" s="684"/>
      <c r="UFC81" s="684"/>
      <c r="UFD81" s="684"/>
      <c r="UFE81" s="684"/>
      <c r="UFF81" s="684"/>
      <c r="UFG81" s="684"/>
      <c r="UFH81" s="684"/>
      <c r="UFI81" s="684"/>
      <c r="UFJ81" s="684"/>
      <c r="UFK81" s="684"/>
      <c r="UFL81" s="684"/>
      <c r="UFM81" s="684"/>
      <c r="UFN81" s="684"/>
      <c r="UFO81" s="684"/>
      <c r="UFP81" s="684"/>
      <c r="UFQ81" s="684"/>
      <c r="UFR81" s="684"/>
      <c r="UFS81" s="684"/>
      <c r="UFT81" s="684"/>
      <c r="UFU81" s="684"/>
      <c r="UFV81" s="684"/>
      <c r="UFW81" s="684"/>
      <c r="UFX81" s="684"/>
      <c r="UFY81" s="684"/>
      <c r="UFZ81" s="684"/>
      <c r="UGA81" s="684"/>
      <c r="UGB81" s="684"/>
      <c r="UGC81" s="684"/>
      <c r="UGD81" s="684"/>
      <c r="UGE81" s="684"/>
      <c r="UGF81" s="684"/>
      <c r="UGG81" s="684"/>
      <c r="UGH81" s="684"/>
      <c r="UGI81" s="684"/>
      <c r="UGJ81" s="684"/>
      <c r="UGK81" s="684"/>
      <c r="UGL81" s="684"/>
      <c r="UGM81" s="684"/>
      <c r="UGN81" s="684"/>
      <c r="UGO81" s="684"/>
      <c r="UGP81" s="684"/>
      <c r="UGQ81" s="684"/>
      <c r="UGR81" s="684"/>
      <c r="UGS81" s="684"/>
      <c r="UGT81" s="684"/>
      <c r="UGU81" s="684"/>
      <c r="UGV81" s="684"/>
      <c r="UGW81" s="684"/>
      <c r="UGX81" s="684"/>
      <c r="UGY81" s="684"/>
      <c r="UGZ81" s="684"/>
      <c r="UHA81" s="684"/>
      <c r="UHB81" s="684"/>
      <c r="UHC81" s="684"/>
      <c r="UHD81" s="684"/>
      <c r="UHE81" s="684"/>
      <c r="UHF81" s="684"/>
      <c r="UHG81" s="684"/>
      <c r="UHH81" s="684"/>
      <c r="UHI81" s="684"/>
      <c r="UHJ81" s="684"/>
      <c r="UHK81" s="684"/>
      <c r="UHL81" s="684"/>
      <c r="UHM81" s="684"/>
      <c r="UHN81" s="684"/>
      <c r="UHO81" s="684"/>
      <c r="UHP81" s="684"/>
      <c r="UHQ81" s="684"/>
      <c r="UHR81" s="684"/>
      <c r="UHS81" s="684"/>
      <c r="UHT81" s="684"/>
      <c r="UHU81" s="684"/>
      <c r="UHV81" s="684"/>
      <c r="UHW81" s="684"/>
      <c r="UHX81" s="684"/>
      <c r="UHY81" s="684"/>
      <c r="UHZ81" s="684"/>
      <c r="UIA81" s="684"/>
      <c r="UIB81" s="684"/>
      <c r="UIC81" s="684"/>
      <c r="UID81" s="684"/>
      <c r="UIE81" s="684"/>
      <c r="UIF81" s="684"/>
      <c r="UIG81" s="684"/>
      <c r="UIH81" s="684"/>
      <c r="UII81" s="684"/>
      <c r="UIJ81" s="684"/>
      <c r="UIK81" s="684"/>
      <c r="UIL81" s="684"/>
      <c r="UIM81" s="684"/>
      <c r="UIN81" s="684"/>
      <c r="UIO81" s="684"/>
      <c r="UIP81" s="684"/>
      <c r="UIQ81" s="684"/>
      <c r="UIR81" s="684"/>
      <c r="UIS81" s="684"/>
      <c r="UIT81" s="684"/>
      <c r="UIU81" s="684"/>
      <c r="UIV81" s="684"/>
      <c r="UIW81" s="684"/>
      <c r="UIX81" s="684"/>
      <c r="UIY81" s="684"/>
      <c r="UIZ81" s="684"/>
      <c r="UJA81" s="684"/>
      <c r="UJB81" s="684"/>
      <c r="UJC81" s="684"/>
      <c r="UJD81" s="684"/>
      <c r="UJE81" s="684"/>
      <c r="UJF81" s="684"/>
      <c r="UJG81" s="684"/>
      <c r="UJH81" s="684"/>
      <c r="UJI81" s="684"/>
      <c r="UJJ81" s="684"/>
      <c r="UJK81" s="684"/>
      <c r="UJL81" s="684"/>
      <c r="UJM81" s="684"/>
      <c r="UJN81" s="684"/>
      <c r="UJO81" s="684"/>
      <c r="UJP81" s="684"/>
      <c r="UJQ81" s="684"/>
      <c r="UJR81" s="684"/>
      <c r="UJS81" s="684"/>
      <c r="UJT81" s="684"/>
      <c r="UJU81" s="684"/>
      <c r="UJV81" s="684"/>
      <c r="UJW81" s="684"/>
      <c r="UJX81" s="684"/>
      <c r="UJY81" s="684"/>
      <c r="UJZ81" s="684"/>
      <c r="UKA81" s="684"/>
      <c r="UKB81" s="684"/>
      <c r="UKC81" s="684"/>
      <c r="UKD81" s="684"/>
      <c r="UKE81" s="684"/>
      <c r="UKF81" s="684"/>
      <c r="UKG81" s="684"/>
      <c r="UKH81" s="684"/>
      <c r="UKI81" s="684"/>
      <c r="UKJ81" s="684"/>
      <c r="UKK81" s="684"/>
      <c r="UKL81" s="684"/>
      <c r="UKM81" s="684"/>
      <c r="UKN81" s="684"/>
      <c r="UKO81" s="684"/>
      <c r="UKP81" s="684"/>
      <c r="UKQ81" s="684"/>
      <c r="UKR81" s="684"/>
      <c r="UKS81" s="684"/>
      <c r="UKT81" s="684"/>
      <c r="UKU81" s="684"/>
      <c r="UKV81" s="684"/>
      <c r="UKW81" s="684"/>
      <c r="UKX81" s="684"/>
      <c r="UKY81" s="684"/>
      <c r="UKZ81" s="684"/>
      <c r="ULA81" s="684"/>
      <c r="ULB81" s="684"/>
      <c r="ULC81" s="684"/>
      <c r="ULD81" s="684"/>
      <c r="ULE81" s="684"/>
      <c r="ULF81" s="684"/>
      <c r="ULG81" s="684"/>
      <c r="ULH81" s="684"/>
      <c r="ULI81" s="684"/>
      <c r="ULJ81" s="684"/>
      <c r="ULK81" s="684"/>
      <c r="ULL81" s="684"/>
      <c r="ULM81" s="684"/>
      <c r="ULN81" s="684"/>
      <c r="ULO81" s="684"/>
      <c r="ULP81" s="684"/>
      <c r="ULQ81" s="684"/>
      <c r="ULR81" s="684"/>
      <c r="ULS81" s="684"/>
      <c r="ULT81" s="684"/>
      <c r="ULU81" s="684"/>
      <c r="ULV81" s="684"/>
      <c r="ULW81" s="684"/>
      <c r="ULX81" s="684"/>
      <c r="ULY81" s="684"/>
      <c r="ULZ81" s="684"/>
      <c r="UMA81" s="684"/>
      <c r="UMB81" s="684"/>
      <c r="UMC81" s="684"/>
      <c r="UMD81" s="684"/>
      <c r="UME81" s="684"/>
      <c r="UMF81" s="684"/>
      <c r="UMG81" s="684"/>
      <c r="UMH81" s="684"/>
      <c r="UMI81" s="684"/>
      <c r="UMJ81" s="684"/>
      <c r="UMK81" s="684"/>
      <c r="UML81" s="684"/>
      <c r="UMM81" s="684"/>
      <c r="UMN81" s="684"/>
      <c r="UMO81" s="684"/>
      <c r="UMP81" s="684"/>
      <c r="UMQ81" s="684"/>
      <c r="UMR81" s="684"/>
      <c r="UMS81" s="684"/>
      <c r="UMT81" s="684"/>
      <c r="UMU81" s="684"/>
      <c r="UMV81" s="684"/>
      <c r="UMW81" s="684"/>
      <c r="UMX81" s="684"/>
      <c r="UMY81" s="684"/>
      <c r="UMZ81" s="684"/>
      <c r="UNA81" s="684"/>
      <c r="UNB81" s="684"/>
      <c r="UNC81" s="684"/>
      <c r="UND81" s="684"/>
      <c r="UNE81" s="684"/>
      <c r="UNF81" s="684"/>
      <c r="UNG81" s="684"/>
      <c r="UNH81" s="684"/>
      <c r="UNI81" s="684"/>
      <c r="UNJ81" s="684"/>
      <c r="UNK81" s="684"/>
      <c r="UNL81" s="684"/>
      <c r="UNM81" s="684"/>
      <c r="UNN81" s="684"/>
      <c r="UNO81" s="684"/>
      <c r="UNP81" s="684"/>
      <c r="UNQ81" s="684"/>
      <c r="UNR81" s="684"/>
      <c r="UNS81" s="684"/>
      <c r="UNT81" s="684"/>
      <c r="UNU81" s="684"/>
      <c r="UNV81" s="684"/>
      <c r="UNW81" s="684"/>
      <c r="UNX81" s="684"/>
      <c r="UNY81" s="684"/>
      <c r="UNZ81" s="684"/>
      <c r="UOA81" s="684"/>
      <c r="UOB81" s="684"/>
      <c r="UOC81" s="684"/>
      <c r="UOD81" s="684"/>
      <c r="UOE81" s="684"/>
      <c r="UOF81" s="684"/>
      <c r="UOG81" s="684"/>
      <c r="UOH81" s="684"/>
      <c r="UOI81" s="684"/>
      <c r="UOJ81" s="684"/>
      <c r="UOK81" s="684"/>
      <c r="UOL81" s="684"/>
      <c r="UOM81" s="684"/>
      <c r="UON81" s="684"/>
      <c r="UOO81" s="684"/>
      <c r="UOP81" s="684"/>
      <c r="UOQ81" s="684"/>
      <c r="UOR81" s="684"/>
      <c r="UOS81" s="684"/>
      <c r="UOT81" s="684"/>
      <c r="UOU81" s="684"/>
      <c r="UOV81" s="684"/>
      <c r="UOW81" s="684"/>
      <c r="UOX81" s="684"/>
      <c r="UOY81" s="684"/>
      <c r="UOZ81" s="684"/>
      <c r="UPA81" s="684"/>
      <c r="UPB81" s="684"/>
      <c r="UPC81" s="684"/>
      <c r="UPD81" s="684"/>
      <c r="UPE81" s="684"/>
      <c r="UPF81" s="684"/>
      <c r="UPG81" s="684"/>
      <c r="UPH81" s="684"/>
      <c r="UPI81" s="684"/>
      <c r="UPJ81" s="684"/>
      <c r="UPK81" s="684"/>
      <c r="UPL81" s="684"/>
      <c r="UPM81" s="684"/>
      <c r="UPN81" s="684"/>
      <c r="UPO81" s="684"/>
      <c r="UPP81" s="684"/>
      <c r="UPQ81" s="684"/>
      <c r="UPR81" s="684"/>
      <c r="UPS81" s="684"/>
      <c r="UPT81" s="684"/>
      <c r="UPU81" s="684"/>
      <c r="UPV81" s="684"/>
      <c r="UPW81" s="684"/>
      <c r="UPX81" s="684"/>
      <c r="UPY81" s="684"/>
      <c r="UPZ81" s="684"/>
      <c r="UQA81" s="684"/>
      <c r="UQB81" s="684"/>
      <c r="UQC81" s="684"/>
      <c r="UQD81" s="684"/>
      <c r="UQE81" s="684"/>
      <c r="UQF81" s="684"/>
      <c r="UQG81" s="684"/>
      <c r="UQH81" s="684"/>
      <c r="UQI81" s="684"/>
      <c r="UQJ81" s="684"/>
      <c r="UQK81" s="684"/>
      <c r="UQL81" s="684"/>
      <c r="UQM81" s="684"/>
      <c r="UQN81" s="684"/>
      <c r="UQO81" s="684"/>
      <c r="UQP81" s="684"/>
      <c r="UQQ81" s="684"/>
      <c r="UQR81" s="684"/>
      <c r="UQS81" s="684"/>
      <c r="UQT81" s="684"/>
      <c r="UQU81" s="684"/>
      <c r="UQV81" s="684"/>
      <c r="UQW81" s="684"/>
      <c r="UQX81" s="684"/>
      <c r="UQY81" s="684"/>
      <c r="UQZ81" s="684"/>
      <c r="URA81" s="684"/>
      <c r="URB81" s="684"/>
      <c r="URC81" s="684"/>
      <c r="URD81" s="684"/>
      <c r="URE81" s="684"/>
      <c r="URF81" s="684"/>
      <c r="URG81" s="684"/>
      <c r="URH81" s="684"/>
      <c r="URI81" s="684"/>
      <c r="URJ81" s="684"/>
      <c r="URK81" s="684"/>
      <c r="URL81" s="684"/>
      <c r="URM81" s="684"/>
      <c r="URN81" s="684"/>
      <c r="URO81" s="684"/>
      <c r="URP81" s="684"/>
      <c r="URQ81" s="684"/>
      <c r="URR81" s="684"/>
      <c r="URS81" s="684"/>
      <c r="URT81" s="684"/>
      <c r="URU81" s="684"/>
      <c r="URV81" s="684"/>
      <c r="URW81" s="684"/>
      <c r="URX81" s="684"/>
      <c r="URY81" s="684"/>
      <c r="URZ81" s="684"/>
      <c r="USA81" s="684"/>
      <c r="USB81" s="684"/>
      <c r="USC81" s="684"/>
      <c r="USD81" s="684"/>
      <c r="USE81" s="684"/>
      <c r="USF81" s="684"/>
      <c r="USG81" s="684"/>
      <c r="USH81" s="684"/>
      <c r="USI81" s="684"/>
      <c r="USJ81" s="684"/>
      <c r="USK81" s="684"/>
      <c r="USL81" s="684"/>
      <c r="USM81" s="684"/>
      <c r="USN81" s="684"/>
      <c r="USO81" s="684"/>
      <c r="USP81" s="684"/>
      <c r="USQ81" s="684"/>
      <c r="USR81" s="684"/>
      <c r="USS81" s="684"/>
      <c r="UST81" s="684"/>
      <c r="USU81" s="684"/>
      <c r="USV81" s="684"/>
      <c r="USW81" s="684"/>
      <c r="USX81" s="684"/>
      <c r="USY81" s="684"/>
      <c r="USZ81" s="684"/>
      <c r="UTA81" s="684"/>
      <c r="UTB81" s="684"/>
      <c r="UTC81" s="684"/>
      <c r="UTD81" s="684"/>
      <c r="UTE81" s="684"/>
      <c r="UTF81" s="684"/>
      <c r="UTG81" s="684"/>
      <c r="UTH81" s="684"/>
      <c r="UTI81" s="684"/>
      <c r="UTJ81" s="684"/>
      <c r="UTK81" s="684"/>
      <c r="UTL81" s="684"/>
      <c r="UTM81" s="684"/>
      <c r="UTN81" s="684"/>
      <c r="UTO81" s="684"/>
      <c r="UTP81" s="684"/>
      <c r="UTQ81" s="684"/>
      <c r="UTR81" s="684"/>
      <c r="UTS81" s="684"/>
      <c r="UTT81" s="684"/>
      <c r="UTU81" s="684"/>
      <c r="UTV81" s="684"/>
      <c r="UTW81" s="684"/>
      <c r="UTX81" s="684"/>
      <c r="UTY81" s="684"/>
      <c r="UTZ81" s="684"/>
      <c r="UUA81" s="684"/>
      <c r="UUB81" s="684"/>
      <c r="UUC81" s="684"/>
      <c r="UUD81" s="684"/>
      <c r="UUE81" s="684"/>
      <c r="UUF81" s="684"/>
      <c r="UUG81" s="684"/>
      <c r="UUH81" s="684"/>
      <c r="UUI81" s="684"/>
      <c r="UUJ81" s="684"/>
      <c r="UUK81" s="684"/>
      <c r="UUL81" s="684"/>
      <c r="UUM81" s="684"/>
      <c r="UUN81" s="684"/>
      <c r="UUO81" s="684"/>
      <c r="UUP81" s="684"/>
      <c r="UUQ81" s="684"/>
      <c r="UUR81" s="684"/>
      <c r="UUS81" s="684"/>
      <c r="UUT81" s="684"/>
      <c r="UUU81" s="684"/>
      <c r="UUV81" s="684"/>
      <c r="UUW81" s="684"/>
      <c r="UUX81" s="684"/>
      <c r="UUY81" s="684"/>
      <c r="UUZ81" s="684"/>
      <c r="UVA81" s="684"/>
      <c r="UVB81" s="684"/>
      <c r="UVC81" s="684"/>
      <c r="UVD81" s="684"/>
      <c r="UVE81" s="684"/>
      <c r="UVF81" s="684"/>
      <c r="UVG81" s="684"/>
      <c r="UVH81" s="684"/>
      <c r="UVI81" s="684"/>
      <c r="UVJ81" s="684"/>
      <c r="UVK81" s="684"/>
      <c r="UVL81" s="684"/>
      <c r="UVM81" s="684"/>
      <c r="UVN81" s="684"/>
      <c r="UVO81" s="684"/>
      <c r="UVP81" s="684"/>
      <c r="UVQ81" s="684"/>
      <c r="UVR81" s="684"/>
      <c r="UVS81" s="684"/>
      <c r="UVT81" s="684"/>
      <c r="UVU81" s="684"/>
      <c r="UVV81" s="684"/>
      <c r="UVW81" s="684"/>
      <c r="UVX81" s="684"/>
      <c r="UVY81" s="684"/>
      <c r="UVZ81" s="684"/>
      <c r="UWA81" s="684"/>
      <c r="UWB81" s="684"/>
      <c r="UWC81" s="684"/>
      <c r="UWD81" s="684"/>
      <c r="UWE81" s="684"/>
      <c r="UWF81" s="684"/>
      <c r="UWG81" s="684"/>
      <c r="UWH81" s="684"/>
      <c r="UWI81" s="684"/>
      <c r="UWJ81" s="684"/>
      <c r="UWK81" s="684"/>
      <c r="UWL81" s="684"/>
      <c r="UWM81" s="684"/>
      <c r="UWN81" s="684"/>
      <c r="UWO81" s="684"/>
      <c r="UWP81" s="684"/>
      <c r="UWQ81" s="684"/>
      <c r="UWR81" s="684"/>
      <c r="UWS81" s="684"/>
      <c r="UWT81" s="684"/>
      <c r="UWU81" s="684"/>
      <c r="UWV81" s="684"/>
      <c r="UWW81" s="684"/>
      <c r="UWX81" s="684"/>
      <c r="UWY81" s="684"/>
      <c r="UWZ81" s="684"/>
      <c r="UXA81" s="684"/>
      <c r="UXB81" s="684"/>
      <c r="UXC81" s="684"/>
      <c r="UXD81" s="684"/>
      <c r="UXE81" s="684"/>
      <c r="UXF81" s="684"/>
      <c r="UXG81" s="684"/>
      <c r="UXH81" s="684"/>
      <c r="UXI81" s="684"/>
      <c r="UXJ81" s="684"/>
      <c r="UXK81" s="684"/>
      <c r="UXL81" s="684"/>
      <c r="UXM81" s="684"/>
      <c r="UXN81" s="684"/>
      <c r="UXO81" s="684"/>
      <c r="UXP81" s="684"/>
      <c r="UXQ81" s="684"/>
      <c r="UXR81" s="684"/>
      <c r="UXS81" s="684"/>
      <c r="UXT81" s="684"/>
      <c r="UXU81" s="684"/>
      <c r="UXV81" s="684"/>
      <c r="UXW81" s="684"/>
      <c r="UXX81" s="684"/>
      <c r="UXY81" s="684"/>
      <c r="UXZ81" s="684"/>
      <c r="UYA81" s="684"/>
      <c r="UYB81" s="684"/>
      <c r="UYC81" s="684"/>
      <c r="UYD81" s="684"/>
      <c r="UYE81" s="684"/>
      <c r="UYF81" s="684"/>
      <c r="UYG81" s="684"/>
      <c r="UYH81" s="684"/>
      <c r="UYI81" s="684"/>
      <c r="UYJ81" s="684"/>
      <c r="UYK81" s="684"/>
      <c r="UYL81" s="684"/>
      <c r="UYM81" s="684"/>
      <c r="UYN81" s="684"/>
      <c r="UYO81" s="684"/>
      <c r="UYP81" s="684"/>
      <c r="UYQ81" s="684"/>
      <c r="UYR81" s="684"/>
      <c r="UYS81" s="684"/>
      <c r="UYT81" s="684"/>
      <c r="UYU81" s="684"/>
      <c r="UYV81" s="684"/>
      <c r="UYW81" s="684"/>
      <c r="UYX81" s="684"/>
      <c r="UYY81" s="684"/>
      <c r="UYZ81" s="684"/>
      <c r="UZA81" s="684"/>
      <c r="UZB81" s="684"/>
      <c r="UZC81" s="684"/>
      <c r="UZD81" s="684"/>
      <c r="UZE81" s="684"/>
      <c r="UZF81" s="684"/>
      <c r="UZG81" s="684"/>
      <c r="UZH81" s="684"/>
      <c r="UZI81" s="684"/>
      <c r="UZJ81" s="684"/>
      <c r="UZK81" s="684"/>
      <c r="UZL81" s="684"/>
      <c r="UZM81" s="684"/>
      <c r="UZN81" s="684"/>
      <c r="UZO81" s="684"/>
      <c r="UZP81" s="684"/>
      <c r="UZQ81" s="684"/>
      <c r="UZR81" s="684"/>
      <c r="UZS81" s="684"/>
      <c r="UZT81" s="684"/>
      <c r="UZU81" s="684"/>
      <c r="UZV81" s="684"/>
      <c r="UZW81" s="684"/>
      <c r="UZX81" s="684"/>
      <c r="UZY81" s="684"/>
      <c r="UZZ81" s="684"/>
      <c r="VAA81" s="684"/>
      <c r="VAB81" s="684"/>
      <c r="VAC81" s="684"/>
      <c r="VAD81" s="684"/>
      <c r="VAE81" s="684"/>
      <c r="VAF81" s="684"/>
      <c r="VAG81" s="684"/>
      <c r="VAH81" s="684"/>
      <c r="VAI81" s="684"/>
      <c r="VAJ81" s="684"/>
      <c r="VAK81" s="684"/>
      <c r="VAL81" s="684"/>
      <c r="VAM81" s="684"/>
      <c r="VAN81" s="684"/>
      <c r="VAO81" s="684"/>
      <c r="VAP81" s="684"/>
      <c r="VAQ81" s="684"/>
      <c r="VAR81" s="684"/>
      <c r="VAS81" s="684"/>
      <c r="VAT81" s="684"/>
      <c r="VAU81" s="684"/>
      <c r="VAV81" s="684"/>
      <c r="VAW81" s="684"/>
      <c r="VAX81" s="684"/>
      <c r="VAY81" s="684"/>
      <c r="VAZ81" s="684"/>
      <c r="VBA81" s="684"/>
      <c r="VBB81" s="684"/>
      <c r="VBC81" s="684"/>
      <c r="VBD81" s="684"/>
      <c r="VBE81" s="684"/>
      <c r="VBF81" s="684"/>
      <c r="VBG81" s="684"/>
      <c r="VBH81" s="684"/>
      <c r="VBI81" s="684"/>
      <c r="VBJ81" s="684"/>
      <c r="VBK81" s="684"/>
      <c r="VBL81" s="684"/>
      <c r="VBM81" s="684"/>
      <c r="VBN81" s="684"/>
      <c r="VBO81" s="684"/>
      <c r="VBP81" s="684"/>
      <c r="VBQ81" s="684"/>
      <c r="VBR81" s="684"/>
      <c r="VBS81" s="684"/>
      <c r="VBT81" s="684"/>
      <c r="VBU81" s="684"/>
      <c r="VBV81" s="684"/>
      <c r="VBW81" s="684"/>
      <c r="VBX81" s="684"/>
      <c r="VBY81" s="684"/>
      <c r="VBZ81" s="684"/>
      <c r="VCA81" s="684"/>
      <c r="VCB81" s="684"/>
      <c r="VCC81" s="684"/>
      <c r="VCD81" s="684"/>
      <c r="VCE81" s="684"/>
      <c r="VCF81" s="684"/>
      <c r="VCG81" s="684"/>
      <c r="VCH81" s="684"/>
      <c r="VCI81" s="684"/>
      <c r="VCJ81" s="684"/>
      <c r="VCK81" s="684"/>
      <c r="VCL81" s="684"/>
      <c r="VCM81" s="684"/>
      <c r="VCN81" s="684"/>
      <c r="VCO81" s="684"/>
      <c r="VCP81" s="684"/>
      <c r="VCQ81" s="684"/>
      <c r="VCR81" s="684"/>
      <c r="VCS81" s="684"/>
      <c r="VCT81" s="684"/>
      <c r="VCU81" s="684"/>
      <c r="VCV81" s="684"/>
      <c r="VCW81" s="684"/>
      <c r="VCX81" s="684"/>
      <c r="VCY81" s="684"/>
      <c r="VCZ81" s="684"/>
      <c r="VDA81" s="684"/>
      <c r="VDB81" s="684"/>
      <c r="VDC81" s="684"/>
      <c r="VDD81" s="684"/>
      <c r="VDE81" s="684"/>
      <c r="VDF81" s="684"/>
      <c r="VDG81" s="684"/>
      <c r="VDH81" s="684"/>
      <c r="VDI81" s="684"/>
      <c r="VDJ81" s="684"/>
      <c r="VDK81" s="684"/>
      <c r="VDL81" s="684"/>
      <c r="VDM81" s="684"/>
      <c r="VDN81" s="684"/>
      <c r="VDO81" s="684"/>
      <c r="VDP81" s="684"/>
      <c r="VDQ81" s="684"/>
      <c r="VDR81" s="684"/>
      <c r="VDS81" s="684"/>
      <c r="VDT81" s="684"/>
      <c r="VDU81" s="684"/>
      <c r="VDV81" s="684"/>
      <c r="VDW81" s="684"/>
      <c r="VDX81" s="684"/>
      <c r="VDY81" s="684"/>
      <c r="VDZ81" s="684"/>
      <c r="VEA81" s="684"/>
      <c r="VEB81" s="684"/>
      <c r="VEC81" s="684"/>
      <c r="VED81" s="684"/>
      <c r="VEE81" s="684"/>
      <c r="VEF81" s="684"/>
      <c r="VEG81" s="684"/>
      <c r="VEH81" s="684"/>
      <c r="VEI81" s="684"/>
      <c r="VEJ81" s="684"/>
      <c r="VEK81" s="684"/>
      <c r="VEL81" s="684"/>
      <c r="VEM81" s="684"/>
      <c r="VEN81" s="684"/>
      <c r="VEO81" s="684"/>
      <c r="VEP81" s="684"/>
      <c r="VEQ81" s="684"/>
      <c r="VER81" s="684"/>
      <c r="VES81" s="684"/>
      <c r="VET81" s="684"/>
      <c r="VEU81" s="684"/>
      <c r="VEV81" s="684"/>
      <c r="VEW81" s="684"/>
      <c r="VEX81" s="684"/>
      <c r="VEY81" s="684"/>
      <c r="VEZ81" s="684"/>
      <c r="VFA81" s="684"/>
      <c r="VFB81" s="684"/>
      <c r="VFC81" s="684"/>
      <c r="VFD81" s="684"/>
      <c r="VFE81" s="684"/>
      <c r="VFF81" s="684"/>
      <c r="VFG81" s="684"/>
      <c r="VFH81" s="684"/>
      <c r="VFI81" s="684"/>
      <c r="VFJ81" s="684"/>
      <c r="VFK81" s="684"/>
      <c r="VFL81" s="684"/>
      <c r="VFM81" s="684"/>
      <c r="VFN81" s="684"/>
      <c r="VFO81" s="684"/>
      <c r="VFP81" s="684"/>
      <c r="VFQ81" s="684"/>
      <c r="VFR81" s="684"/>
      <c r="VFS81" s="684"/>
      <c r="VFT81" s="684"/>
      <c r="VFU81" s="684"/>
      <c r="VFV81" s="684"/>
      <c r="VFW81" s="684"/>
      <c r="VFX81" s="684"/>
      <c r="VFY81" s="684"/>
      <c r="VFZ81" s="684"/>
      <c r="VGA81" s="684"/>
      <c r="VGB81" s="684"/>
      <c r="VGC81" s="684"/>
      <c r="VGD81" s="684"/>
      <c r="VGE81" s="684"/>
      <c r="VGF81" s="684"/>
      <c r="VGG81" s="684"/>
      <c r="VGH81" s="684"/>
      <c r="VGI81" s="684"/>
      <c r="VGJ81" s="684"/>
      <c r="VGK81" s="684"/>
      <c r="VGL81" s="684"/>
      <c r="VGM81" s="684"/>
      <c r="VGN81" s="684"/>
      <c r="VGO81" s="684"/>
      <c r="VGP81" s="684"/>
      <c r="VGQ81" s="684"/>
      <c r="VGR81" s="684"/>
      <c r="VGS81" s="684"/>
      <c r="VGT81" s="684"/>
      <c r="VGU81" s="684"/>
      <c r="VGV81" s="684"/>
      <c r="VGW81" s="684"/>
      <c r="VGX81" s="684"/>
      <c r="VGY81" s="684"/>
      <c r="VGZ81" s="684"/>
      <c r="VHA81" s="684"/>
      <c r="VHB81" s="684"/>
      <c r="VHC81" s="684"/>
      <c r="VHD81" s="684"/>
      <c r="VHE81" s="684"/>
      <c r="VHF81" s="684"/>
      <c r="VHG81" s="684"/>
      <c r="VHH81" s="684"/>
      <c r="VHI81" s="684"/>
      <c r="VHJ81" s="684"/>
      <c r="VHK81" s="684"/>
      <c r="VHL81" s="684"/>
      <c r="VHM81" s="684"/>
      <c r="VHN81" s="684"/>
      <c r="VHO81" s="684"/>
      <c r="VHP81" s="684"/>
      <c r="VHQ81" s="684"/>
      <c r="VHR81" s="684"/>
      <c r="VHS81" s="684"/>
      <c r="VHT81" s="684"/>
      <c r="VHU81" s="684"/>
      <c r="VHV81" s="684"/>
      <c r="VHW81" s="684"/>
      <c r="VHX81" s="684"/>
      <c r="VHY81" s="684"/>
      <c r="VHZ81" s="684"/>
      <c r="VIA81" s="684"/>
      <c r="VIB81" s="684"/>
      <c r="VIC81" s="684"/>
      <c r="VID81" s="684"/>
      <c r="VIE81" s="684"/>
      <c r="VIF81" s="684"/>
      <c r="VIG81" s="684"/>
      <c r="VIH81" s="684"/>
      <c r="VII81" s="684"/>
      <c r="VIJ81" s="684"/>
      <c r="VIK81" s="684"/>
      <c r="VIL81" s="684"/>
      <c r="VIM81" s="684"/>
      <c r="VIN81" s="684"/>
      <c r="VIO81" s="684"/>
      <c r="VIP81" s="684"/>
      <c r="VIQ81" s="684"/>
      <c r="VIR81" s="684"/>
      <c r="VIS81" s="684"/>
      <c r="VIT81" s="684"/>
      <c r="VIU81" s="684"/>
      <c r="VIV81" s="684"/>
      <c r="VIW81" s="684"/>
      <c r="VIX81" s="684"/>
      <c r="VIY81" s="684"/>
      <c r="VIZ81" s="684"/>
      <c r="VJA81" s="684"/>
      <c r="VJB81" s="684"/>
      <c r="VJC81" s="684"/>
      <c r="VJD81" s="684"/>
      <c r="VJE81" s="684"/>
      <c r="VJF81" s="684"/>
      <c r="VJG81" s="684"/>
      <c r="VJH81" s="684"/>
      <c r="VJI81" s="684"/>
      <c r="VJJ81" s="684"/>
      <c r="VJK81" s="684"/>
      <c r="VJL81" s="684"/>
      <c r="VJM81" s="684"/>
      <c r="VJN81" s="684"/>
      <c r="VJO81" s="684"/>
      <c r="VJP81" s="684"/>
      <c r="VJQ81" s="684"/>
      <c r="VJR81" s="684"/>
      <c r="VJS81" s="684"/>
      <c r="VJT81" s="684"/>
      <c r="VJU81" s="684"/>
      <c r="VJV81" s="684"/>
      <c r="VJW81" s="684"/>
      <c r="VJX81" s="684"/>
      <c r="VJY81" s="684"/>
      <c r="VJZ81" s="684"/>
      <c r="VKA81" s="684"/>
      <c r="VKB81" s="684"/>
      <c r="VKC81" s="684"/>
      <c r="VKD81" s="684"/>
      <c r="VKE81" s="684"/>
      <c r="VKF81" s="684"/>
      <c r="VKG81" s="684"/>
      <c r="VKH81" s="684"/>
      <c r="VKI81" s="684"/>
      <c r="VKJ81" s="684"/>
      <c r="VKK81" s="684"/>
      <c r="VKL81" s="684"/>
      <c r="VKM81" s="684"/>
      <c r="VKN81" s="684"/>
      <c r="VKO81" s="684"/>
      <c r="VKP81" s="684"/>
      <c r="VKQ81" s="684"/>
      <c r="VKR81" s="684"/>
      <c r="VKS81" s="684"/>
      <c r="VKT81" s="684"/>
      <c r="VKU81" s="684"/>
      <c r="VKV81" s="684"/>
      <c r="VKW81" s="684"/>
      <c r="VKX81" s="684"/>
      <c r="VKY81" s="684"/>
      <c r="VKZ81" s="684"/>
      <c r="VLA81" s="684"/>
      <c r="VLB81" s="684"/>
      <c r="VLC81" s="684"/>
      <c r="VLD81" s="684"/>
      <c r="VLE81" s="684"/>
      <c r="VLF81" s="684"/>
      <c r="VLG81" s="684"/>
      <c r="VLH81" s="684"/>
      <c r="VLI81" s="684"/>
      <c r="VLJ81" s="684"/>
      <c r="VLK81" s="684"/>
      <c r="VLL81" s="684"/>
      <c r="VLM81" s="684"/>
      <c r="VLN81" s="684"/>
      <c r="VLO81" s="684"/>
      <c r="VLP81" s="684"/>
      <c r="VLQ81" s="684"/>
      <c r="VLR81" s="684"/>
      <c r="VLS81" s="684"/>
      <c r="VLT81" s="684"/>
      <c r="VLU81" s="684"/>
      <c r="VLV81" s="684"/>
      <c r="VLW81" s="684"/>
      <c r="VLX81" s="684"/>
      <c r="VLY81" s="684"/>
      <c r="VLZ81" s="684"/>
      <c r="VMA81" s="684"/>
      <c r="VMB81" s="684"/>
      <c r="VMC81" s="684"/>
      <c r="VMD81" s="684"/>
      <c r="VME81" s="684"/>
      <c r="VMF81" s="684"/>
      <c r="VMG81" s="684"/>
      <c r="VMH81" s="684"/>
      <c r="VMI81" s="684"/>
      <c r="VMJ81" s="684"/>
      <c r="VMK81" s="684"/>
      <c r="VML81" s="684"/>
      <c r="VMM81" s="684"/>
      <c r="VMN81" s="684"/>
      <c r="VMO81" s="684"/>
      <c r="VMP81" s="684"/>
      <c r="VMQ81" s="684"/>
      <c r="VMR81" s="684"/>
      <c r="VMS81" s="684"/>
      <c r="VMT81" s="684"/>
      <c r="VMU81" s="684"/>
      <c r="VMV81" s="684"/>
      <c r="VMW81" s="684"/>
      <c r="VMX81" s="684"/>
      <c r="VMY81" s="684"/>
      <c r="VMZ81" s="684"/>
      <c r="VNA81" s="684"/>
      <c r="VNB81" s="684"/>
      <c r="VNC81" s="684"/>
      <c r="VND81" s="684"/>
      <c r="VNE81" s="684"/>
      <c r="VNF81" s="684"/>
      <c r="VNG81" s="684"/>
      <c r="VNH81" s="684"/>
      <c r="VNI81" s="684"/>
      <c r="VNJ81" s="684"/>
      <c r="VNK81" s="684"/>
      <c r="VNL81" s="684"/>
      <c r="VNM81" s="684"/>
      <c r="VNN81" s="684"/>
      <c r="VNO81" s="684"/>
      <c r="VNP81" s="684"/>
      <c r="VNQ81" s="684"/>
      <c r="VNR81" s="684"/>
      <c r="VNS81" s="684"/>
      <c r="VNT81" s="684"/>
      <c r="VNU81" s="684"/>
      <c r="VNV81" s="684"/>
      <c r="VNW81" s="684"/>
      <c r="VNX81" s="684"/>
      <c r="VNY81" s="684"/>
      <c r="VNZ81" s="684"/>
      <c r="VOA81" s="684"/>
      <c r="VOB81" s="684"/>
      <c r="VOC81" s="684"/>
      <c r="VOD81" s="684"/>
      <c r="VOE81" s="684"/>
      <c r="VOF81" s="684"/>
      <c r="VOG81" s="684"/>
      <c r="VOH81" s="684"/>
      <c r="VOI81" s="684"/>
      <c r="VOJ81" s="684"/>
      <c r="VOK81" s="684"/>
      <c r="VOL81" s="684"/>
      <c r="VOM81" s="684"/>
      <c r="VON81" s="684"/>
      <c r="VOO81" s="684"/>
      <c r="VOP81" s="684"/>
      <c r="VOQ81" s="684"/>
      <c r="VOR81" s="684"/>
      <c r="VOS81" s="684"/>
      <c r="VOT81" s="684"/>
      <c r="VOU81" s="684"/>
      <c r="VOV81" s="684"/>
      <c r="VOW81" s="684"/>
      <c r="VOX81" s="684"/>
      <c r="VOY81" s="684"/>
      <c r="VOZ81" s="684"/>
      <c r="VPA81" s="684"/>
      <c r="VPB81" s="684"/>
      <c r="VPC81" s="684"/>
      <c r="VPD81" s="684"/>
      <c r="VPE81" s="684"/>
      <c r="VPF81" s="684"/>
      <c r="VPG81" s="684"/>
      <c r="VPH81" s="684"/>
      <c r="VPI81" s="684"/>
      <c r="VPJ81" s="684"/>
      <c r="VPK81" s="684"/>
      <c r="VPL81" s="684"/>
      <c r="VPM81" s="684"/>
      <c r="VPN81" s="684"/>
      <c r="VPO81" s="684"/>
      <c r="VPP81" s="684"/>
      <c r="VPQ81" s="684"/>
      <c r="VPR81" s="684"/>
      <c r="VPS81" s="684"/>
      <c r="VPT81" s="684"/>
      <c r="VPU81" s="684"/>
      <c r="VPV81" s="684"/>
      <c r="VPW81" s="684"/>
      <c r="VPX81" s="684"/>
      <c r="VPY81" s="684"/>
      <c r="VPZ81" s="684"/>
      <c r="VQA81" s="684"/>
      <c r="VQB81" s="684"/>
      <c r="VQC81" s="684"/>
      <c r="VQD81" s="684"/>
      <c r="VQE81" s="684"/>
      <c r="VQF81" s="684"/>
      <c r="VQG81" s="684"/>
      <c r="VQH81" s="684"/>
      <c r="VQI81" s="684"/>
      <c r="VQJ81" s="684"/>
      <c r="VQK81" s="684"/>
      <c r="VQL81" s="684"/>
      <c r="VQM81" s="684"/>
      <c r="VQN81" s="684"/>
      <c r="VQO81" s="684"/>
      <c r="VQP81" s="684"/>
      <c r="VQQ81" s="684"/>
      <c r="VQR81" s="684"/>
      <c r="VQS81" s="684"/>
      <c r="VQT81" s="684"/>
      <c r="VQU81" s="684"/>
      <c r="VQV81" s="684"/>
      <c r="VQW81" s="684"/>
      <c r="VQX81" s="684"/>
      <c r="VQY81" s="684"/>
      <c r="VQZ81" s="684"/>
      <c r="VRA81" s="684"/>
      <c r="VRB81" s="684"/>
      <c r="VRC81" s="684"/>
      <c r="VRD81" s="684"/>
      <c r="VRE81" s="684"/>
      <c r="VRF81" s="684"/>
      <c r="VRG81" s="684"/>
      <c r="VRH81" s="684"/>
      <c r="VRI81" s="684"/>
      <c r="VRJ81" s="684"/>
      <c r="VRK81" s="684"/>
      <c r="VRL81" s="684"/>
      <c r="VRM81" s="684"/>
      <c r="VRN81" s="684"/>
      <c r="VRO81" s="684"/>
      <c r="VRP81" s="684"/>
      <c r="VRQ81" s="684"/>
      <c r="VRR81" s="684"/>
      <c r="VRS81" s="684"/>
      <c r="VRT81" s="684"/>
      <c r="VRU81" s="684"/>
      <c r="VRV81" s="684"/>
      <c r="VRW81" s="684"/>
      <c r="VRX81" s="684"/>
      <c r="VRY81" s="684"/>
      <c r="VRZ81" s="684"/>
      <c r="VSA81" s="684"/>
      <c r="VSB81" s="684"/>
      <c r="VSC81" s="684"/>
      <c r="VSD81" s="684"/>
      <c r="VSE81" s="684"/>
      <c r="VSF81" s="684"/>
      <c r="VSG81" s="684"/>
      <c r="VSH81" s="684"/>
      <c r="VSI81" s="684"/>
      <c r="VSJ81" s="684"/>
      <c r="VSK81" s="684"/>
      <c r="VSL81" s="684"/>
      <c r="VSM81" s="684"/>
      <c r="VSN81" s="684"/>
      <c r="VSO81" s="684"/>
      <c r="VSP81" s="684"/>
      <c r="VSQ81" s="684"/>
      <c r="VSR81" s="684"/>
      <c r="VSS81" s="684"/>
      <c r="VST81" s="684"/>
      <c r="VSU81" s="684"/>
      <c r="VSV81" s="684"/>
      <c r="VSW81" s="684"/>
      <c r="VSX81" s="684"/>
      <c r="VSY81" s="684"/>
      <c r="VSZ81" s="684"/>
      <c r="VTA81" s="684"/>
      <c r="VTB81" s="684"/>
      <c r="VTC81" s="684"/>
      <c r="VTD81" s="684"/>
      <c r="VTE81" s="684"/>
      <c r="VTF81" s="684"/>
      <c r="VTG81" s="684"/>
      <c r="VTH81" s="684"/>
      <c r="VTI81" s="684"/>
      <c r="VTJ81" s="684"/>
      <c r="VTK81" s="684"/>
      <c r="VTL81" s="684"/>
      <c r="VTM81" s="684"/>
      <c r="VTN81" s="684"/>
      <c r="VTO81" s="684"/>
      <c r="VTP81" s="684"/>
      <c r="VTQ81" s="684"/>
      <c r="VTR81" s="684"/>
      <c r="VTS81" s="684"/>
      <c r="VTT81" s="684"/>
      <c r="VTU81" s="684"/>
      <c r="VTV81" s="684"/>
      <c r="VTW81" s="684"/>
      <c r="VTX81" s="684"/>
      <c r="VTY81" s="684"/>
      <c r="VTZ81" s="684"/>
      <c r="VUA81" s="684"/>
      <c r="VUB81" s="684"/>
      <c r="VUC81" s="684"/>
      <c r="VUD81" s="684"/>
      <c r="VUE81" s="684"/>
      <c r="VUF81" s="684"/>
      <c r="VUG81" s="684"/>
      <c r="VUH81" s="684"/>
      <c r="VUI81" s="684"/>
      <c r="VUJ81" s="684"/>
      <c r="VUK81" s="684"/>
      <c r="VUL81" s="684"/>
      <c r="VUM81" s="684"/>
      <c r="VUN81" s="684"/>
      <c r="VUO81" s="684"/>
      <c r="VUP81" s="684"/>
      <c r="VUQ81" s="684"/>
      <c r="VUR81" s="684"/>
      <c r="VUS81" s="684"/>
      <c r="VUT81" s="684"/>
      <c r="VUU81" s="684"/>
      <c r="VUV81" s="684"/>
      <c r="VUW81" s="684"/>
      <c r="VUX81" s="684"/>
      <c r="VUY81" s="684"/>
      <c r="VUZ81" s="684"/>
      <c r="VVA81" s="684"/>
      <c r="VVB81" s="684"/>
      <c r="VVC81" s="684"/>
      <c r="VVD81" s="684"/>
      <c r="VVE81" s="684"/>
      <c r="VVF81" s="684"/>
      <c r="VVG81" s="684"/>
      <c r="VVH81" s="684"/>
      <c r="VVI81" s="684"/>
      <c r="VVJ81" s="684"/>
      <c r="VVK81" s="684"/>
      <c r="VVL81" s="684"/>
      <c r="VVM81" s="684"/>
      <c r="VVN81" s="684"/>
      <c r="VVO81" s="684"/>
      <c r="VVP81" s="684"/>
      <c r="VVQ81" s="684"/>
      <c r="VVR81" s="684"/>
      <c r="VVS81" s="684"/>
      <c r="VVT81" s="684"/>
      <c r="VVU81" s="684"/>
      <c r="VVV81" s="684"/>
      <c r="VVW81" s="684"/>
      <c r="VVX81" s="684"/>
      <c r="VVY81" s="684"/>
      <c r="VVZ81" s="684"/>
      <c r="VWA81" s="684"/>
      <c r="VWB81" s="684"/>
      <c r="VWC81" s="684"/>
      <c r="VWD81" s="684"/>
      <c r="VWE81" s="684"/>
      <c r="VWF81" s="684"/>
      <c r="VWG81" s="684"/>
      <c r="VWH81" s="684"/>
      <c r="VWI81" s="684"/>
      <c r="VWJ81" s="684"/>
      <c r="VWK81" s="684"/>
      <c r="VWL81" s="684"/>
      <c r="VWM81" s="684"/>
      <c r="VWN81" s="684"/>
      <c r="VWO81" s="684"/>
      <c r="VWP81" s="684"/>
      <c r="VWQ81" s="684"/>
      <c r="VWR81" s="684"/>
      <c r="VWS81" s="684"/>
      <c r="VWT81" s="684"/>
      <c r="VWU81" s="684"/>
      <c r="VWV81" s="684"/>
      <c r="VWW81" s="684"/>
      <c r="VWX81" s="684"/>
      <c r="VWY81" s="684"/>
      <c r="VWZ81" s="684"/>
      <c r="VXA81" s="684"/>
      <c r="VXB81" s="684"/>
      <c r="VXC81" s="684"/>
      <c r="VXD81" s="684"/>
      <c r="VXE81" s="684"/>
      <c r="VXF81" s="684"/>
      <c r="VXG81" s="684"/>
      <c r="VXH81" s="684"/>
      <c r="VXI81" s="684"/>
      <c r="VXJ81" s="684"/>
      <c r="VXK81" s="684"/>
      <c r="VXL81" s="684"/>
      <c r="VXM81" s="684"/>
      <c r="VXN81" s="684"/>
      <c r="VXO81" s="684"/>
      <c r="VXP81" s="684"/>
      <c r="VXQ81" s="684"/>
      <c r="VXR81" s="684"/>
      <c r="VXS81" s="684"/>
      <c r="VXT81" s="684"/>
      <c r="VXU81" s="684"/>
      <c r="VXV81" s="684"/>
      <c r="VXW81" s="684"/>
      <c r="VXX81" s="684"/>
      <c r="VXY81" s="684"/>
      <c r="VXZ81" s="684"/>
      <c r="VYA81" s="684"/>
      <c r="VYB81" s="684"/>
      <c r="VYC81" s="684"/>
      <c r="VYD81" s="684"/>
      <c r="VYE81" s="684"/>
      <c r="VYF81" s="684"/>
      <c r="VYG81" s="684"/>
      <c r="VYH81" s="684"/>
      <c r="VYI81" s="684"/>
      <c r="VYJ81" s="684"/>
      <c r="VYK81" s="684"/>
      <c r="VYL81" s="684"/>
      <c r="VYM81" s="684"/>
      <c r="VYN81" s="684"/>
      <c r="VYO81" s="684"/>
      <c r="VYP81" s="684"/>
      <c r="VYQ81" s="684"/>
      <c r="VYR81" s="684"/>
      <c r="VYS81" s="684"/>
      <c r="VYT81" s="684"/>
      <c r="VYU81" s="684"/>
      <c r="VYV81" s="684"/>
      <c r="VYW81" s="684"/>
      <c r="VYX81" s="684"/>
      <c r="VYY81" s="684"/>
      <c r="VYZ81" s="684"/>
      <c r="VZA81" s="684"/>
      <c r="VZB81" s="684"/>
      <c r="VZC81" s="684"/>
      <c r="VZD81" s="684"/>
      <c r="VZE81" s="684"/>
      <c r="VZF81" s="684"/>
      <c r="VZG81" s="684"/>
      <c r="VZH81" s="684"/>
      <c r="VZI81" s="684"/>
      <c r="VZJ81" s="684"/>
      <c r="VZK81" s="684"/>
      <c r="VZL81" s="684"/>
      <c r="VZM81" s="684"/>
      <c r="VZN81" s="684"/>
      <c r="VZO81" s="684"/>
      <c r="VZP81" s="684"/>
      <c r="VZQ81" s="684"/>
      <c r="VZR81" s="684"/>
      <c r="VZS81" s="684"/>
      <c r="VZT81" s="684"/>
      <c r="VZU81" s="684"/>
      <c r="VZV81" s="684"/>
      <c r="VZW81" s="684"/>
      <c r="VZX81" s="684"/>
      <c r="VZY81" s="684"/>
      <c r="VZZ81" s="684"/>
      <c r="WAA81" s="684"/>
      <c r="WAB81" s="684"/>
      <c r="WAC81" s="684"/>
      <c r="WAD81" s="684"/>
      <c r="WAE81" s="684"/>
      <c r="WAF81" s="684"/>
      <c r="WAG81" s="684"/>
      <c r="WAH81" s="684"/>
      <c r="WAI81" s="684"/>
      <c r="WAJ81" s="684"/>
      <c r="WAK81" s="684"/>
      <c r="WAL81" s="684"/>
      <c r="WAM81" s="684"/>
      <c r="WAN81" s="684"/>
      <c r="WAO81" s="684"/>
      <c r="WAP81" s="684"/>
      <c r="WAQ81" s="684"/>
      <c r="WAR81" s="684"/>
      <c r="WAS81" s="684"/>
      <c r="WAT81" s="684"/>
      <c r="WAU81" s="684"/>
      <c r="WAV81" s="684"/>
      <c r="WAW81" s="684"/>
      <c r="WAX81" s="684"/>
      <c r="WAY81" s="684"/>
      <c r="WAZ81" s="684"/>
      <c r="WBA81" s="684"/>
      <c r="WBB81" s="684"/>
      <c r="WBC81" s="684"/>
      <c r="WBD81" s="684"/>
      <c r="WBE81" s="684"/>
      <c r="WBF81" s="684"/>
      <c r="WBG81" s="684"/>
      <c r="WBH81" s="684"/>
      <c r="WBI81" s="684"/>
      <c r="WBJ81" s="684"/>
      <c r="WBK81" s="684"/>
      <c r="WBL81" s="684"/>
      <c r="WBM81" s="684"/>
      <c r="WBN81" s="684"/>
      <c r="WBO81" s="684"/>
      <c r="WBP81" s="684"/>
      <c r="WBQ81" s="684"/>
      <c r="WBR81" s="684"/>
      <c r="WBS81" s="684"/>
      <c r="WBT81" s="684"/>
      <c r="WBU81" s="684"/>
      <c r="WBV81" s="684"/>
      <c r="WBW81" s="684"/>
      <c r="WBX81" s="684"/>
      <c r="WBY81" s="684"/>
      <c r="WBZ81" s="684"/>
      <c r="WCA81" s="684"/>
      <c r="WCB81" s="684"/>
      <c r="WCC81" s="684"/>
      <c r="WCD81" s="684"/>
      <c r="WCE81" s="684"/>
      <c r="WCF81" s="684"/>
      <c r="WCG81" s="684"/>
      <c r="WCH81" s="684"/>
      <c r="WCI81" s="684"/>
      <c r="WCJ81" s="684"/>
      <c r="WCK81" s="684"/>
      <c r="WCL81" s="684"/>
      <c r="WCM81" s="684"/>
      <c r="WCN81" s="684"/>
      <c r="WCO81" s="684"/>
      <c r="WCP81" s="684"/>
      <c r="WCQ81" s="684"/>
      <c r="WCR81" s="684"/>
      <c r="WCS81" s="684"/>
      <c r="WCT81" s="684"/>
      <c r="WCU81" s="684"/>
      <c r="WCV81" s="684"/>
      <c r="WCW81" s="684"/>
      <c r="WCX81" s="684"/>
      <c r="WCY81" s="684"/>
      <c r="WCZ81" s="684"/>
      <c r="WDA81" s="684"/>
      <c r="WDB81" s="684"/>
      <c r="WDC81" s="684"/>
      <c r="WDD81" s="684"/>
      <c r="WDE81" s="684"/>
      <c r="WDF81" s="684"/>
      <c r="WDG81" s="684"/>
      <c r="WDH81" s="684"/>
      <c r="WDI81" s="684"/>
      <c r="WDJ81" s="684"/>
      <c r="WDK81" s="684"/>
      <c r="WDL81" s="684"/>
      <c r="WDM81" s="684"/>
      <c r="WDN81" s="684"/>
      <c r="WDO81" s="684"/>
      <c r="WDP81" s="684"/>
      <c r="WDQ81" s="684"/>
      <c r="WDR81" s="684"/>
      <c r="WDS81" s="684"/>
      <c r="WDT81" s="684"/>
      <c r="WDU81" s="684"/>
      <c r="WDV81" s="684"/>
      <c r="WDW81" s="684"/>
      <c r="WDX81" s="684"/>
      <c r="WDY81" s="684"/>
      <c r="WDZ81" s="684"/>
      <c r="WEA81" s="684"/>
      <c r="WEB81" s="684"/>
      <c r="WEC81" s="684"/>
      <c r="WED81" s="684"/>
      <c r="WEE81" s="684"/>
      <c r="WEF81" s="684"/>
      <c r="WEG81" s="684"/>
      <c r="WEH81" s="684"/>
      <c r="WEI81" s="684"/>
      <c r="WEJ81" s="684"/>
      <c r="WEK81" s="684"/>
      <c r="WEL81" s="684"/>
      <c r="WEM81" s="684"/>
      <c r="WEN81" s="684"/>
      <c r="WEO81" s="684"/>
      <c r="WEP81" s="684"/>
      <c r="WEQ81" s="684"/>
      <c r="WER81" s="684"/>
      <c r="WES81" s="684"/>
      <c r="WET81" s="684"/>
      <c r="WEU81" s="684"/>
      <c r="WEV81" s="684"/>
      <c r="WEW81" s="684"/>
      <c r="WEX81" s="684"/>
      <c r="WEY81" s="684"/>
      <c r="WEZ81" s="684"/>
      <c r="WFA81" s="684"/>
      <c r="WFB81" s="684"/>
      <c r="WFC81" s="684"/>
      <c r="WFD81" s="684"/>
      <c r="WFE81" s="684"/>
      <c r="WFF81" s="684"/>
      <c r="WFG81" s="684"/>
      <c r="WFH81" s="684"/>
      <c r="WFI81" s="684"/>
      <c r="WFJ81" s="684"/>
      <c r="WFK81" s="684"/>
      <c r="WFL81" s="684"/>
      <c r="WFM81" s="684"/>
      <c r="WFN81" s="684"/>
      <c r="WFO81" s="684"/>
      <c r="WFP81" s="684"/>
      <c r="WFQ81" s="684"/>
      <c r="WFR81" s="684"/>
      <c r="WFS81" s="684"/>
      <c r="WFT81" s="684"/>
      <c r="WFU81" s="684"/>
      <c r="WFV81" s="684"/>
      <c r="WFW81" s="684"/>
      <c r="WFX81" s="684"/>
      <c r="WFY81" s="684"/>
      <c r="WFZ81" s="684"/>
      <c r="WGA81" s="684"/>
      <c r="WGB81" s="684"/>
      <c r="WGC81" s="684"/>
      <c r="WGD81" s="684"/>
      <c r="WGE81" s="684"/>
      <c r="WGF81" s="684"/>
      <c r="WGG81" s="684"/>
      <c r="WGH81" s="684"/>
      <c r="WGI81" s="684"/>
      <c r="WGJ81" s="684"/>
      <c r="WGK81" s="684"/>
      <c r="WGL81" s="684"/>
      <c r="WGM81" s="684"/>
      <c r="WGN81" s="684"/>
      <c r="WGO81" s="684"/>
      <c r="WGP81" s="684"/>
      <c r="WGQ81" s="684"/>
      <c r="WGR81" s="684"/>
      <c r="WGS81" s="684"/>
      <c r="WGT81" s="684"/>
      <c r="WGU81" s="684"/>
      <c r="WGV81" s="684"/>
      <c r="WGW81" s="684"/>
      <c r="WGX81" s="684"/>
      <c r="WGY81" s="684"/>
      <c r="WGZ81" s="684"/>
      <c r="WHA81" s="684"/>
      <c r="WHB81" s="684"/>
      <c r="WHC81" s="684"/>
      <c r="WHD81" s="684"/>
      <c r="WHE81" s="684"/>
      <c r="WHF81" s="684"/>
      <c r="WHG81" s="684"/>
      <c r="WHH81" s="684"/>
      <c r="WHI81" s="684"/>
      <c r="WHJ81" s="684"/>
      <c r="WHK81" s="684"/>
      <c r="WHL81" s="684"/>
      <c r="WHM81" s="684"/>
      <c r="WHN81" s="684"/>
      <c r="WHO81" s="684"/>
      <c r="WHP81" s="684"/>
      <c r="WHQ81" s="684"/>
      <c r="WHR81" s="684"/>
      <c r="WHS81" s="684"/>
      <c r="WHT81" s="684"/>
      <c r="WHU81" s="684"/>
      <c r="WHV81" s="684"/>
      <c r="WHW81" s="684"/>
      <c r="WHX81" s="684"/>
      <c r="WHY81" s="684"/>
      <c r="WHZ81" s="684"/>
      <c r="WIA81" s="684"/>
      <c r="WIB81" s="684"/>
      <c r="WIC81" s="684"/>
      <c r="WID81" s="684"/>
      <c r="WIE81" s="684"/>
      <c r="WIF81" s="684"/>
      <c r="WIG81" s="684"/>
      <c r="WIH81" s="684"/>
      <c r="WII81" s="684"/>
      <c r="WIJ81" s="684"/>
      <c r="WIK81" s="684"/>
      <c r="WIL81" s="684"/>
      <c r="WIM81" s="684"/>
      <c r="WIN81" s="684"/>
      <c r="WIO81" s="684"/>
      <c r="WIP81" s="684"/>
      <c r="WIQ81" s="684"/>
      <c r="WIR81" s="684"/>
      <c r="WIS81" s="684"/>
      <c r="WIT81" s="684"/>
      <c r="WIU81" s="684"/>
      <c r="WIV81" s="684"/>
      <c r="WIW81" s="684"/>
      <c r="WIX81" s="684"/>
      <c r="WIY81" s="684"/>
      <c r="WIZ81" s="684"/>
      <c r="WJA81" s="684"/>
      <c r="WJB81" s="684"/>
      <c r="WJC81" s="684"/>
      <c r="WJD81" s="684"/>
      <c r="WJE81" s="684"/>
      <c r="WJF81" s="684"/>
      <c r="WJG81" s="684"/>
      <c r="WJH81" s="684"/>
      <c r="WJI81" s="684"/>
      <c r="WJJ81" s="684"/>
      <c r="WJK81" s="684"/>
      <c r="WJL81" s="684"/>
      <c r="WJM81" s="684"/>
      <c r="WJN81" s="684"/>
      <c r="WJO81" s="684"/>
      <c r="WJP81" s="684"/>
      <c r="WJQ81" s="684"/>
      <c r="WJR81" s="684"/>
      <c r="WJS81" s="684"/>
      <c r="WJT81" s="684"/>
      <c r="WJU81" s="684"/>
      <c r="WJV81" s="684"/>
      <c r="WJW81" s="684"/>
      <c r="WJX81" s="684"/>
      <c r="WJY81" s="684"/>
      <c r="WJZ81" s="684"/>
      <c r="WKA81" s="684"/>
      <c r="WKB81" s="684"/>
      <c r="WKC81" s="684"/>
      <c r="WKD81" s="684"/>
      <c r="WKE81" s="684"/>
      <c r="WKF81" s="684"/>
      <c r="WKG81" s="684"/>
      <c r="WKH81" s="684"/>
      <c r="WKI81" s="684"/>
      <c r="WKJ81" s="684"/>
      <c r="WKK81" s="684"/>
      <c r="WKL81" s="684"/>
      <c r="WKM81" s="684"/>
      <c r="WKN81" s="684"/>
      <c r="WKO81" s="684"/>
      <c r="WKP81" s="684"/>
      <c r="WKQ81" s="684"/>
      <c r="WKR81" s="684"/>
      <c r="WKS81" s="684"/>
      <c r="WKT81" s="684"/>
      <c r="WKU81" s="684"/>
      <c r="WKV81" s="684"/>
      <c r="WKW81" s="684"/>
      <c r="WKX81" s="684"/>
      <c r="WKY81" s="684"/>
      <c r="WKZ81" s="684"/>
      <c r="WLA81" s="684"/>
      <c r="WLB81" s="684"/>
      <c r="WLC81" s="684"/>
      <c r="WLD81" s="684"/>
      <c r="WLE81" s="684"/>
      <c r="WLF81" s="684"/>
      <c r="WLG81" s="684"/>
      <c r="WLH81" s="684"/>
      <c r="WLI81" s="684"/>
      <c r="WLJ81" s="684"/>
      <c r="WLK81" s="684"/>
      <c r="WLL81" s="684"/>
      <c r="WLM81" s="684"/>
      <c r="WLN81" s="684"/>
      <c r="WLO81" s="684"/>
      <c r="WLP81" s="684"/>
      <c r="WLQ81" s="684"/>
      <c r="WLR81" s="684"/>
      <c r="WLS81" s="684"/>
      <c r="WLT81" s="684"/>
      <c r="WLU81" s="684"/>
      <c r="WLV81" s="684"/>
      <c r="WLW81" s="684"/>
      <c r="WLX81" s="684"/>
      <c r="WLY81" s="684"/>
      <c r="WLZ81" s="684"/>
      <c r="WMA81" s="684"/>
      <c r="WMB81" s="684"/>
      <c r="WMC81" s="684"/>
      <c r="WMD81" s="684"/>
      <c r="WME81" s="684"/>
      <c r="WMF81" s="684"/>
      <c r="WMG81" s="684"/>
      <c r="WMH81" s="684"/>
      <c r="WMI81" s="684"/>
      <c r="WMJ81" s="684"/>
      <c r="WMK81" s="684"/>
      <c r="WML81" s="684"/>
      <c r="WMM81" s="684"/>
      <c r="WMN81" s="684"/>
      <c r="WMO81" s="684"/>
      <c r="WMP81" s="684"/>
      <c r="WMQ81" s="684"/>
      <c r="WMR81" s="684"/>
      <c r="WMS81" s="684"/>
      <c r="WMT81" s="684"/>
      <c r="WMU81" s="684"/>
      <c r="WMV81" s="684"/>
      <c r="WMW81" s="684"/>
      <c r="WMX81" s="684"/>
      <c r="WMY81" s="684"/>
      <c r="WMZ81" s="684"/>
      <c r="WNA81" s="684"/>
      <c r="WNB81" s="684"/>
      <c r="WNC81" s="684"/>
      <c r="WND81" s="684"/>
      <c r="WNE81" s="684"/>
      <c r="WNF81" s="684"/>
      <c r="WNG81" s="684"/>
      <c r="WNH81" s="684"/>
      <c r="WNI81" s="684"/>
      <c r="WNJ81" s="684"/>
      <c r="WNK81" s="684"/>
      <c r="WNL81" s="684"/>
      <c r="WNM81" s="684"/>
      <c r="WNN81" s="684"/>
      <c r="WNO81" s="684"/>
      <c r="WNP81" s="684"/>
      <c r="WNQ81" s="684"/>
      <c r="WNR81" s="684"/>
      <c r="WNS81" s="684"/>
      <c r="WNT81" s="684"/>
      <c r="WNU81" s="684"/>
      <c r="WNV81" s="684"/>
      <c r="WNW81" s="684"/>
      <c r="WNX81" s="684"/>
      <c r="WNY81" s="684"/>
      <c r="WNZ81" s="684"/>
      <c r="WOA81" s="684"/>
      <c r="WOB81" s="684"/>
      <c r="WOC81" s="684"/>
      <c r="WOD81" s="684"/>
      <c r="WOE81" s="684"/>
      <c r="WOF81" s="684"/>
      <c r="WOG81" s="684"/>
      <c r="WOH81" s="684"/>
      <c r="WOI81" s="684"/>
      <c r="WOJ81" s="684"/>
      <c r="WOK81" s="684"/>
      <c r="WOL81" s="684"/>
      <c r="WOM81" s="684"/>
      <c r="WON81" s="684"/>
      <c r="WOO81" s="684"/>
      <c r="WOP81" s="684"/>
      <c r="WOQ81" s="684"/>
      <c r="WOR81" s="684"/>
      <c r="WOS81" s="684"/>
      <c r="WOT81" s="684"/>
      <c r="WOU81" s="684"/>
      <c r="WOV81" s="684"/>
      <c r="WOW81" s="684"/>
      <c r="WOX81" s="684"/>
      <c r="WOY81" s="684"/>
      <c r="WOZ81" s="684"/>
      <c r="WPA81" s="684"/>
      <c r="WPB81" s="684"/>
      <c r="WPC81" s="684"/>
      <c r="WPD81" s="684"/>
      <c r="WPE81" s="684"/>
      <c r="WPF81" s="684"/>
      <c r="WPG81" s="684"/>
      <c r="WPH81" s="684"/>
      <c r="WPI81" s="684"/>
      <c r="WPJ81" s="684"/>
      <c r="WPK81" s="684"/>
      <c r="WPL81" s="684"/>
      <c r="WPM81" s="684"/>
      <c r="WPN81" s="684"/>
      <c r="WPO81" s="684"/>
      <c r="WPP81" s="684"/>
      <c r="WPQ81" s="684"/>
      <c r="WPR81" s="684"/>
      <c r="WPS81" s="684"/>
      <c r="WPT81" s="684"/>
      <c r="WPU81" s="684"/>
      <c r="WPV81" s="684"/>
      <c r="WPW81" s="684"/>
      <c r="WPX81" s="684"/>
      <c r="WPY81" s="684"/>
      <c r="WPZ81" s="684"/>
      <c r="WQA81" s="684"/>
      <c r="WQB81" s="684"/>
      <c r="WQC81" s="684"/>
      <c r="WQD81" s="684"/>
      <c r="WQE81" s="684"/>
      <c r="WQF81" s="684"/>
      <c r="WQG81" s="684"/>
      <c r="WQH81" s="684"/>
      <c r="WQI81" s="684"/>
      <c r="WQJ81" s="684"/>
      <c r="WQK81" s="684"/>
      <c r="WQL81" s="684"/>
      <c r="WQM81" s="684"/>
      <c r="WQN81" s="684"/>
      <c r="WQO81" s="684"/>
      <c r="WQP81" s="684"/>
      <c r="WQQ81" s="684"/>
      <c r="WQR81" s="684"/>
      <c r="WQS81" s="684"/>
      <c r="WQT81" s="684"/>
      <c r="WQU81" s="684"/>
      <c r="WQV81" s="684"/>
      <c r="WQW81" s="684"/>
      <c r="WQX81" s="684"/>
      <c r="WQY81" s="684"/>
      <c r="WQZ81" s="684"/>
      <c r="WRA81" s="684"/>
      <c r="WRB81" s="684"/>
      <c r="WRC81" s="684"/>
      <c r="WRD81" s="684"/>
      <c r="WRE81" s="684"/>
      <c r="WRF81" s="684"/>
      <c r="WRG81" s="684"/>
      <c r="WRH81" s="684"/>
      <c r="WRI81" s="684"/>
      <c r="WRJ81" s="684"/>
      <c r="WRK81" s="684"/>
      <c r="WRL81" s="684"/>
      <c r="WRM81" s="684"/>
      <c r="WRN81" s="684"/>
      <c r="WRO81" s="684"/>
      <c r="WRP81" s="684"/>
      <c r="WRQ81" s="684"/>
      <c r="WRR81" s="684"/>
      <c r="WRS81" s="684"/>
      <c r="WRT81" s="684"/>
      <c r="WRU81" s="684"/>
      <c r="WRV81" s="684"/>
      <c r="WRW81" s="684"/>
      <c r="WRX81" s="684"/>
      <c r="WRY81" s="684"/>
      <c r="WRZ81" s="684"/>
      <c r="WSA81" s="684"/>
      <c r="WSB81" s="684"/>
      <c r="WSC81" s="684"/>
      <c r="WSD81" s="684"/>
      <c r="WSE81" s="684"/>
      <c r="WSF81" s="684"/>
      <c r="WSG81" s="684"/>
      <c r="WSH81" s="684"/>
      <c r="WSI81" s="684"/>
      <c r="WSJ81" s="684"/>
      <c r="WSK81" s="684"/>
      <c r="WSL81" s="684"/>
      <c r="WSM81" s="684"/>
      <c r="WSN81" s="684"/>
      <c r="WSO81" s="684"/>
      <c r="WSP81" s="684"/>
      <c r="WSQ81" s="684"/>
      <c r="WSR81" s="684"/>
      <c r="WSS81" s="684"/>
      <c r="WST81" s="684"/>
      <c r="WSU81" s="684"/>
      <c r="WSV81" s="684"/>
      <c r="WSW81" s="684"/>
      <c r="WSX81" s="684"/>
      <c r="WSY81" s="684"/>
      <c r="WSZ81" s="684"/>
      <c r="WTA81" s="684"/>
      <c r="WTB81" s="684"/>
      <c r="WTC81" s="684"/>
      <c r="WTD81" s="684"/>
      <c r="WTE81" s="684"/>
      <c r="WTF81" s="684"/>
      <c r="WTG81" s="684"/>
      <c r="WTH81" s="684"/>
      <c r="WTI81" s="684"/>
      <c r="WTJ81" s="684"/>
      <c r="WTK81" s="684"/>
      <c r="WTL81" s="684"/>
      <c r="WTM81" s="684"/>
      <c r="WTN81" s="684"/>
      <c r="WTO81" s="684"/>
      <c r="WTP81" s="684"/>
      <c r="WTQ81" s="684"/>
      <c r="WTR81" s="684"/>
      <c r="WTS81" s="684"/>
      <c r="WTT81" s="684"/>
      <c r="WTU81" s="684"/>
      <c r="WTV81" s="684"/>
      <c r="WTW81" s="684"/>
      <c r="WTX81" s="684"/>
      <c r="WTY81" s="684"/>
      <c r="WTZ81" s="684"/>
      <c r="WUA81" s="684"/>
      <c r="WUB81" s="684"/>
      <c r="WUC81" s="684"/>
      <c r="WUD81" s="684"/>
      <c r="WUE81" s="684"/>
      <c r="WUF81" s="684"/>
      <c r="WUG81" s="684"/>
      <c r="WUH81" s="684"/>
      <c r="WUI81" s="684"/>
      <c r="WUJ81" s="684"/>
      <c r="WUK81" s="684"/>
      <c r="WUL81" s="684"/>
      <c r="WUM81" s="684"/>
      <c r="WUN81" s="684"/>
      <c r="WUO81" s="684"/>
      <c r="WUP81" s="684"/>
      <c r="WUQ81" s="684"/>
      <c r="WUR81" s="684"/>
      <c r="WUS81" s="684"/>
      <c r="WUT81" s="684"/>
      <c r="WUU81" s="684"/>
      <c r="WUV81" s="684"/>
      <c r="WUW81" s="684"/>
      <c r="WUX81" s="684"/>
      <c r="WUY81" s="684"/>
      <c r="WUZ81" s="684"/>
      <c r="WVA81" s="684"/>
      <c r="WVB81" s="684"/>
      <c r="WVC81" s="684"/>
      <c r="WVD81" s="684"/>
      <c r="WVE81" s="684"/>
      <c r="WVF81" s="684"/>
      <c r="WVG81" s="684"/>
      <c r="WVH81" s="684"/>
      <c r="WVI81" s="684"/>
      <c r="WVJ81" s="684"/>
      <c r="WVK81" s="684"/>
      <c r="WVL81" s="684"/>
      <c r="WVM81" s="684"/>
      <c r="WVN81" s="684"/>
      <c r="WVO81" s="684"/>
      <c r="WVP81" s="684"/>
      <c r="WVQ81" s="684"/>
      <c r="WVR81" s="684"/>
      <c r="WVS81" s="684"/>
      <c r="WVT81" s="684"/>
      <c r="WVU81" s="684"/>
      <c r="WVV81" s="684"/>
      <c r="WVW81" s="684"/>
      <c r="WVX81" s="684"/>
      <c r="WVY81" s="684"/>
      <c r="WVZ81" s="684"/>
      <c r="WWA81" s="684"/>
      <c r="WWB81" s="684"/>
      <c r="WWC81" s="684"/>
      <c r="WWD81" s="684"/>
      <c r="WWE81" s="684"/>
      <c r="WWF81" s="684"/>
      <c r="WWG81" s="684"/>
      <c r="WWH81" s="684"/>
      <c r="WWI81" s="684"/>
      <c r="WWJ81" s="684"/>
      <c r="WWK81" s="684"/>
      <c r="WWL81" s="684"/>
      <c r="WWM81" s="684"/>
      <c r="WWN81" s="684"/>
      <c r="WWO81" s="684"/>
      <c r="WWP81" s="684"/>
      <c r="WWQ81" s="684"/>
      <c r="WWR81" s="684"/>
      <c r="WWS81" s="684"/>
      <c r="WWT81" s="684"/>
      <c r="WWU81" s="684"/>
      <c r="WWV81" s="684"/>
      <c r="WWW81" s="684"/>
      <c r="WWX81" s="684"/>
      <c r="WWY81" s="684"/>
      <c r="WWZ81" s="684"/>
      <c r="WXA81" s="684"/>
      <c r="WXB81" s="684"/>
      <c r="WXC81" s="684"/>
      <c r="WXD81" s="684"/>
      <c r="WXE81" s="684"/>
      <c r="WXF81" s="684"/>
      <c r="WXG81" s="684"/>
      <c r="WXH81" s="684"/>
      <c r="WXI81" s="684"/>
      <c r="WXJ81" s="684"/>
      <c r="WXK81" s="684"/>
      <c r="WXL81" s="684"/>
      <c r="WXM81" s="684"/>
      <c r="WXN81" s="684"/>
      <c r="WXO81" s="684"/>
      <c r="WXP81" s="684"/>
      <c r="WXQ81" s="684"/>
      <c r="WXR81" s="684"/>
      <c r="WXS81" s="684"/>
      <c r="WXT81" s="684"/>
      <c r="WXU81" s="684"/>
      <c r="WXV81" s="684"/>
      <c r="WXW81" s="684"/>
      <c r="WXX81" s="684"/>
      <c r="WXY81" s="684"/>
      <c r="WXZ81" s="684"/>
      <c r="WYA81" s="684"/>
      <c r="WYB81" s="684"/>
      <c r="WYC81" s="684"/>
      <c r="WYD81" s="684"/>
      <c r="WYE81" s="684"/>
      <c r="WYF81" s="684"/>
      <c r="WYG81" s="684"/>
      <c r="WYH81" s="684"/>
      <c r="WYI81" s="684"/>
      <c r="WYJ81" s="684"/>
      <c r="WYK81" s="684"/>
      <c r="WYL81" s="684"/>
      <c r="WYM81" s="684"/>
      <c r="WYN81" s="684"/>
      <c r="WYO81" s="684"/>
      <c r="WYP81" s="684"/>
      <c r="WYQ81" s="684"/>
      <c r="WYR81" s="684"/>
      <c r="WYS81" s="684"/>
      <c r="WYT81" s="684"/>
      <c r="WYU81" s="684"/>
      <c r="WYV81" s="684"/>
      <c r="WYW81" s="684"/>
      <c r="WYX81" s="684"/>
      <c r="WYY81" s="684"/>
      <c r="WYZ81" s="684"/>
      <c r="WZA81" s="684"/>
      <c r="WZB81" s="684"/>
      <c r="WZC81" s="684"/>
      <c r="WZD81" s="684"/>
      <c r="WZE81" s="684"/>
      <c r="WZF81" s="684"/>
      <c r="WZG81" s="684"/>
      <c r="WZH81" s="684"/>
      <c r="WZI81" s="684"/>
      <c r="WZJ81" s="684"/>
      <c r="WZK81" s="684"/>
      <c r="WZL81" s="684"/>
      <c r="WZM81" s="684"/>
      <c r="WZN81" s="684"/>
      <c r="WZO81" s="684"/>
      <c r="WZP81" s="684"/>
      <c r="WZQ81" s="684"/>
      <c r="WZR81" s="684"/>
      <c r="WZS81" s="684"/>
      <c r="WZT81" s="684"/>
      <c r="WZU81" s="684"/>
      <c r="WZV81" s="684"/>
      <c r="WZW81" s="684"/>
      <c r="WZX81" s="684"/>
      <c r="WZY81" s="684"/>
      <c r="WZZ81" s="684"/>
      <c r="XAA81" s="684"/>
      <c r="XAB81" s="684"/>
      <c r="XAC81" s="684"/>
      <c r="XAD81" s="684"/>
      <c r="XAE81" s="684"/>
      <c r="XAF81" s="684"/>
      <c r="XAG81" s="684"/>
      <c r="XAH81" s="684"/>
      <c r="XAI81" s="684"/>
      <c r="XAJ81" s="684"/>
      <c r="XAK81" s="684"/>
      <c r="XAL81" s="684"/>
      <c r="XAM81" s="684"/>
      <c r="XAN81" s="684"/>
      <c r="XAO81" s="684"/>
      <c r="XAP81" s="684"/>
      <c r="XAQ81" s="684"/>
      <c r="XAR81" s="684"/>
      <c r="XAS81" s="684"/>
      <c r="XAT81" s="684"/>
      <c r="XAU81" s="684"/>
      <c r="XAV81" s="684"/>
      <c r="XAW81" s="684"/>
      <c r="XAX81" s="684"/>
      <c r="XAY81" s="684"/>
      <c r="XAZ81" s="684"/>
      <c r="XBA81" s="684"/>
      <c r="XBB81" s="684"/>
      <c r="XBC81" s="684"/>
      <c r="XBD81" s="684"/>
      <c r="XBE81" s="684"/>
      <c r="XBF81" s="684"/>
      <c r="XBG81" s="684"/>
      <c r="XBH81" s="684"/>
      <c r="XBI81" s="684"/>
      <c r="XBJ81" s="684"/>
      <c r="XBK81" s="684"/>
      <c r="XBL81" s="684"/>
      <c r="XBM81" s="684"/>
      <c r="XBN81" s="684"/>
      <c r="XBO81" s="684"/>
      <c r="XBP81" s="684"/>
      <c r="XBQ81" s="684"/>
      <c r="XBR81" s="684"/>
      <c r="XBS81" s="684"/>
      <c r="XBT81" s="684"/>
      <c r="XBU81" s="684"/>
      <c r="XBV81" s="684"/>
      <c r="XBW81" s="684"/>
      <c r="XBX81" s="684"/>
      <c r="XBY81" s="684"/>
      <c r="XBZ81" s="684"/>
      <c r="XCA81" s="684"/>
      <c r="XCB81" s="684"/>
      <c r="XCC81" s="684"/>
      <c r="XCD81" s="684"/>
      <c r="XCE81" s="684"/>
      <c r="XCF81" s="684"/>
      <c r="XCG81" s="684"/>
      <c r="XCH81" s="684"/>
      <c r="XCI81" s="684"/>
      <c r="XCJ81" s="684"/>
      <c r="XCK81" s="684"/>
      <c r="XCL81" s="684"/>
      <c r="XCM81" s="684"/>
      <c r="XCN81" s="684"/>
      <c r="XCO81" s="684"/>
      <c r="XCP81" s="684"/>
      <c r="XCQ81" s="684"/>
      <c r="XCR81" s="684"/>
      <c r="XCS81" s="684"/>
      <c r="XCT81" s="684"/>
      <c r="XCU81" s="684"/>
      <c r="XCV81" s="684"/>
      <c r="XCW81" s="684"/>
      <c r="XCX81" s="684"/>
      <c r="XCY81" s="684"/>
      <c r="XCZ81" s="684"/>
      <c r="XDA81" s="684"/>
      <c r="XDB81" s="684"/>
      <c r="XDC81" s="684"/>
      <c r="XDD81" s="684"/>
      <c r="XDE81" s="684"/>
      <c r="XDF81" s="684"/>
      <c r="XDG81" s="684"/>
      <c r="XDH81" s="684"/>
      <c r="XDI81" s="684"/>
      <c r="XDJ81" s="684"/>
      <c r="XDK81" s="684"/>
      <c r="XDL81" s="684"/>
      <c r="XDM81" s="684"/>
      <c r="XDN81" s="684"/>
      <c r="XDO81" s="684"/>
      <c r="XDP81" s="684"/>
      <c r="XDQ81" s="684"/>
      <c r="XDR81" s="684"/>
      <c r="XDS81" s="684"/>
      <c r="XDT81" s="684"/>
      <c r="XDU81" s="684"/>
      <c r="XDV81" s="684"/>
      <c r="XDW81" s="684"/>
      <c r="XDX81" s="684"/>
      <c r="XDY81" s="684"/>
      <c r="XDZ81" s="684"/>
      <c r="XEA81" s="684"/>
      <c r="XEB81" s="684"/>
      <c r="XEC81" s="684"/>
      <c r="XED81" s="684"/>
      <c r="XEE81" s="684"/>
      <c r="XEF81" s="684"/>
      <c r="XEG81" s="684"/>
      <c r="XEH81" s="684"/>
      <c r="XEI81" s="684"/>
      <c r="XEJ81" s="684"/>
      <c r="XEK81" s="684"/>
      <c r="XEL81" s="684"/>
      <c r="XEM81" s="684"/>
      <c r="XEN81" s="684"/>
      <c r="XEO81" s="684"/>
      <c r="XEP81" s="684"/>
      <c r="XEQ81" s="684"/>
      <c r="XER81" s="684"/>
      <c r="XES81" s="684"/>
      <c r="XET81" s="684"/>
      <c r="XEU81" s="684"/>
      <c r="XEV81" s="684"/>
      <c r="XEW81" s="684"/>
      <c r="XEX81" s="684"/>
      <c r="XEY81" s="684"/>
      <c r="XEZ81" s="684"/>
      <c r="XFA81" s="684"/>
      <c r="XFB81" s="684"/>
      <c r="XFC81" s="684"/>
      <c r="XFD81" s="684"/>
    </row>
    <row r="82" spans="1:16384" s="853" customFormat="1" ht="28.5" customHeight="1" thickBot="1">
      <c r="A82" s="1350" t="s">
        <v>2523</v>
      </c>
      <c r="B82" s="1351" t="s">
        <v>2525</v>
      </c>
      <c r="C82" s="1351" t="s">
        <v>2525</v>
      </c>
      <c r="D82" s="4217"/>
      <c r="E82" s="4219"/>
      <c r="F82" s="4384"/>
      <c r="G82" s="4385"/>
      <c r="H82" s="4208"/>
      <c r="I82" s="4208"/>
      <c r="J82" s="684"/>
      <c r="K82" s="684"/>
      <c r="L82" s="684"/>
      <c r="M82" s="684"/>
      <c r="N82" s="684"/>
      <c r="O82" s="684"/>
      <c r="P82" s="684"/>
      <c r="Q82" s="684"/>
      <c r="R82" s="684"/>
      <c r="S82" s="684"/>
      <c r="T82" s="684"/>
      <c r="U82" s="684"/>
      <c r="V82" s="684"/>
      <c r="W82" s="684"/>
      <c r="X82" s="684"/>
      <c r="Y82" s="684"/>
      <c r="Z82" s="684"/>
      <c r="AA82" s="684"/>
      <c r="AB82" s="684"/>
      <c r="AC82" s="684"/>
      <c r="AD82" s="684"/>
      <c r="AE82" s="684"/>
      <c r="AF82" s="684"/>
      <c r="AG82" s="684"/>
      <c r="AH82" s="684"/>
      <c r="AI82" s="684"/>
      <c r="AJ82" s="684"/>
      <c r="AK82" s="684"/>
      <c r="AL82" s="684"/>
      <c r="AM82" s="684"/>
      <c r="AN82" s="684"/>
      <c r="AO82" s="684"/>
      <c r="AP82" s="684"/>
      <c r="AQ82" s="684"/>
      <c r="AR82" s="684"/>
      <c r="AS82" s="684"/>
      <c r="AT82" s="684"/>
      <c r="AU82" s="684"/>
      <c r="AV82" s="684"/>
      <c r="AW82" s="684"/>
      <c r="AX82" s="684"/>
      <c r="AY82" s="684"/>
      <c r="AZ82" s="684"/>
      <c r="BA82" s="684"/>
      <c r="BB82" s="684"/>
      <c r="BC82" s="684"/>
      <c r="BD82" s="684"/>
      <c r="BE82" s="684"/>
      <c r="BF82" s="684"/>
      <c r="BG82" s="684"/>
      <c r="BH82" s="684"/>
      <c r="BI82" s="684"/>
      <c r="BJ82" s="684"/>
      <c r="BK82" s="684"/>
      <c r="BL82" s="684"/>
      <c r="BM82" s="684"/>
      <c r="BN82" s="684"/>
      <c r="BO82" s="684"/>
      <c r="BP82" s="684"/>
      <c r="BQ82" s="684"/>
      <c r="BR82" s="684"/>
      <c r="BS82" s="684"/>
      <c r="BT82" s="684"/>
      <c r="BU82" s="684"/>
      <c r="BV82" s="684"/>
      <c r="BW82" s="684"/>
      <c r="BX82" s="684"/>
      <c r="BY82" s="684"/>
      <c r="BZ82" s="684"/>
      <c r="CA82" s="684"/>
      <c r="CB82" s="684"/>
      <c r="CC82" s="684"/>
      <c r="CD82" s="684"/>
      <c r="CE82" s="684"/>
      <c r="CF82" s="684"/>
      <c r="CG82" s="684"/>
      <c r="CH82" s="684"/>
      <c r="CI82" s="684"/>
      <c r="CJ82" s="684"/>
      <c r="CK82" s="684"/>
      <c r="CL82" s="684"/>
      <c r="CM82" s="684"/>
      <c r="CN82" s="684"/>
      <c r="CO82" s="684"/>
      <c r="CP82" s="684"/>
      <c r="CQ82" s="684"/>
      <c r="CR82" s="684"/>
      <c r="CS82" s="684"/>
      <c r="CT82" s="684"/>
      <c r="CU82" s="684"/>
      <c r="CV82" s="684"/>
      <c r="CW82" s="684"/>
      <c r="CX82" s="684"/>
      <c r="CY82" s="684"/>
      <c r="CZ82" s="684"/>
      <c r="DA82" s="684"/>
      <c r="DB82" s="684"/>
      <c r="DC82" s="684"/>
      <c r="DD82" s="684"/>
      <c r="DE82" s="684"/>
      <c r="DF82" s="684"/>
      <c r="DG82" s="684"/>
      <c r="DH82" s="684"/>
      <c r="DI82" s="684"/>
      <c r="DJ82" s="684"/>
      <c r="DK82" s="684"/>
      <c r="DL82" s="684"/>
      <c r="DM82" s="684"/>
      <c r="DN82" s="684"/>
      <c r="DO82" s="684"/>
      <c r="DP82" s="684"/>
      <c r="DQ82" s="684"/>
      <c r="DR82" s="684"/>
      <c r="DS82" s="684"/>
      <c r="DT82" s="684"/>
      <c r="DU82" s="684"/>
      <c r="DV82" s="684"/>
      <c r="DW82" s="684"/>
      <c r="DX82" s="684"/>
      <c r="DY82" s="684"/>
      <c r="DZ82" s="684"/>
      <c r="EA82" s="684"/>
      <c r="EB82" s="684"/>
      <c r="EC82" s="684"/>
      <c r="ED82" s="684"/>
      <c r="EE82" s="684"/>
      <c r="EF82" s="684"/>
      <c r="EG82" s="684"/>
      <c r="EH82" s="684"/>
      <c r="EI82" s="684"/>
      <c r="EJ82" s="684"/>
      <c r="EK82" s="684"/>
      <c r="EL82" s="684"/>
      <c r="EM82" s="684"/>
      <c r="EN82" s="684"/>
      <c r="EO82" s="684"/>
      <c r="EP82" s="684"/>
      <c r="EQ82" s="684"/>
      <c r="ER82" s="684"/>
      <c r="ES82" s="684"/>
      <c r="ET82" s="684"/>
      <c r="EU82" s="684"/>
      <c r="EV82" s="684"/>
      <c r="EW82" s="684"/>
      <c r="EX82" s="684"/>
      <c r="EY82" s="684"/>
      <c r="EZ82" s="684"/>
      <c r="FA82" s="684"/>
      <c r="FB82" s="684"/>
      <c r="FC82" s="684"/>
      <c r="FD82" s="684"/>
      <c r="FE82" s="684"/>
      <c r="FF82" s="684"/>
      <c r="FG82" s="684"/>
      <c r="FH82" s="684"/>
      <c r="FI82" s="684"/>
      <c r="FJ82" s="684"/>
      <c r="FK82" s="684"/>
      <c r="FL82" s="684"/>
      <c r="FM82" s="684"/>
      <c r="FN82" s="684"/>
      <c r="FO82" s="684"/>
      <c r="FP82" s="684"/>
      <c r="FQ82" s="684"/>
      <c r="FR82" s="684"/>
      <c r="FS82" s="684"/>
      <c r="FT82" s="684"/>
      <c r="FU82" s="684"/>
      <c r="FV82" s="684"/>
      <c r="FW82" s="684"/>
      <c r="FX82" s="684"/>
      <c r="FY82" s="684"/>
      <c r="FZ82" s="684"/>
      <c r="GA82" s="684"/>
      <c r="GB82" s="684"/>
      <c r="GC82" s="684"/>
      <c r="GD82" s="684"/>
      <c r="GE82" s="684"/>
      <c r="GF82" s="684"/>
      <c r="GG82" s="684"/>
      <c r="GH82" s="684"/>
      <c r="GI82" s="684"/>
      <c r="GJ82" s="684"/>
      <c r="GK82" s="684"/>
      <c r="GL82" s="684"/>
      <c r="GM82" s="684"/>
      <c r="GN82" s="684"/>
      <c r="GO82" s="684"/>
      <c r="GP82" s="684"/>
      <c r="GQ82" s="684"/>
      <c r="GR82" s="684"/>
      <c r="GS82" s="684"/>
      <c r="GT82" s="684"/>
      <c r="GU82" s="684"/>
      <c r="GV82" s="684"/>
      <c r="GW82" s="684"/>
      <c r="GX82" s="684"/>
      <c r="GY82" s="684"/>
      <c r="GZ82" s="684"/>
      <c r="HA82" s="684"/>
      <c r="HB82" s="684"/>
      <c r="HC82" s="684"/>
      <c r="HD82" s="684"/>
      <c r="HE82" s="684"/>
      <c r="HF82" s="684"/>
      <c r="HG82" s="684"/>
      <c r="HH82" s="684"/>
      <c r="HI82" s="684"/>
      <c r="HJ82" s="684"/>
      <c r="HK82" s="684"/>
      <c r="HL82" s="684"/>
      <c r="HM82" s="684"/>
      <c r="HN82" s="684"/>
      <c r="HO82" s="684"/>
      <c r="HP82" s="684"/>
      <c r="HQ82" s="684"/>
      <c r="HR82" s="684"/>
      <c r="HS82" s="684"/>
      <c r="HT82" s="684"/>
      <c r="HU82" s="684"/>
      <c r="HV82" s="684"/>
      <c r="HW82" s="684"/>
      <c r="HX82" s="684"/>
      <c r="HY82" s="684"/>
      <c r="HZ82" s="684"/>
      <c r="IA82" s="684"/>
      <c r="IB82" s="684"/>
      <c r="IC82" s="684"/>
      <c r="ID82" s="684"/>
      <c r="IE82" s="684"/>
      <c r="IF82" s="684"/>
      <c r="IG82" s="684"/>
      <c r="IH82" s="684"/>
      <c r="II82" s="684"/>
      <c r="IJ82" s="684"/>
      <c r="IK82" s="684"/>
      <c r="IL82" s="684"/>
      <c r="IM82" s="684"/>
      <c r="IN82" s="684"/>
      <c r="IO82" s="684"/>
      <c r="IP82" s="684"/>
      <c r="IQ82" s="684"/>
      <c r="IR82" s="684"/>
      <c r="IS82" s="684"/>
      <c r="IT82" s="684"/>
      <c r="IU82" s="684"/>
      <c r="IV82" s="684"/>
      <c r="IW82" s="684"/>
      <c r="IX82" s="684"/>
      <c r="IY82" s="684"/>
      <c r="IZ82" s="684"/>
      <c r="JA82" s="684"/>
      <c r="JB82" s="684"/>
      <c r="JC82" s="684"/>
      <c r="JD82" s="684"/>
      <c r="JE82" s="684"/>
      <c r="JF82" s="684"/>
      <c r="JG82" s="684"/>
      <c r="JH82" s="684"/>
      <c r="JI82" s="684"/>
      <c r="JJ82" s="684"/>
      <c r="JK82" s="684"/>
      <c r="JL82" s="684"/>
      <c r="JM82" s="684"/>
      <c r="JN82" s="684"/>
      <c r="JO82" s="684"/>
      <c r="JP82" s="684"/>
      <c r="JQ82" s="684"/>
      <c r="JR82" s="684"/>
      <c r="JS82" s="684"/>
      <c r="JT82" s="684"/>
      <c r="JU82" s="684"/>
      <c r="JV82" s="684"/>
      <c r="JW82" s="684"/>
      <c r="JX82" s="684"/>
      <c r="JY82" s="684"/>
      <c r="JZ82" s="684"/>
      <c r="KA82" s="684"/>
      <c r="KB82" s="684"/>
      <c r="KC82" s="684"/>
      <c r="KD82" s="684"/>
      <c r="KE82" s="684"/>
      <c r="KF82" s="684"/>
      <c r="KG82" s="684"/>
      <c r="KH82" s="684"/>
      <c r="KI82" s="684"/>
      <c r="KJ82" s="684"/>
      <c r="KK82" s="684"/>
      <c r="KL82" s="684"/>
      <c r="KM82" s="684"/>
      <c r="KN82" s="684"/>
      <c r="KO82" s="684"/>
      <c r="KP82" s="684"/>
      <c r="KQ82" s="684"/>
      <c r="KR82" s="684"/>
      <c r="KS82" s="684"/>
      <c r="KT82" s="684"/>
      <c r="KU82" s="684"/>
      <c r="KV82" s="684"/>
      <c r="KW82" s="684"/>
      <c r="KX82" s="684"/>
      <c r="KY82" s="684"/>
      <c r="KZ82" s="684"/>
      <c r="LA82" s="684"/>
      <c r="LB82" s="684"/>
      <c r="LC82" s="684"/>
      <c r="LD82" s="684"/>
      <c r="LE82" s="684"/>
      <c r="LF82" s="684"/>
      <c r="LG82" s="684"/>
      <c r="LH82" s="684"/>
      <c r="LI82" s="684"/>
      <c r="LJ82" s="684"/>
      <c r="LK82" s="684"/>
      <c r="LL82" s="684"/>
      <c r="LM82" s="684"/>
      <c r="LN82" s="684"/>
      <c r="LO82" s="684"/>
      <c r="LP82" s="684"/>
      <c r="LQ82" s="684"/>
      <c r="LR82" s="684"/>
      <c r="LS82" s="684"/>
      <c r="LT82" s="684"/>
      <c r="LU82" s="684"/>
      <c r="LV82" s="684"/>
      <c r="LW82" s="684"/>
      <c r="LX82" s="684"/>
      <c r="LY82" s="684"/>
      <c r="LZ82" s="684"/>
      <c r="MA82" s="684"/>
      <c r="MB82" s="684"/>
      <c r="MC82" s="684"/>
      <c r="MD82" s="684"/>
      <c r="ME82" s="684"/>
      <c r="MF82" s="684"/>
      <c r="MG82" s="684"/>
      <c r="MH82" s="684"/>
      <c r="MI82" s="684"/>
      <c r="MJ82" s="684"/>
      <c r="MK82" s="684"/>
      <c r="ML82" s="684"/>
      <c r="MM82" s="684"/>
      <c r="MN82" s="684"/>
      <c r="MO82" s="684"/>
      <c r="MP82" s="684"/>
      <c r="MQ82" s="684"/>
      <c r="MR82" s="684"/>
      <c r="MS82" s="684"/>
      <c r="MT82" s="684"/>
      <c r="MU82" s="684"/>
      <c r="MV82" s="684"/>
      <c r="MW82" s="684"/>
      <c r="MX82" s="684"/>
      <c r="MY82" s="684"/>
      <c r="MZ82" s="684"/>
      <c r="NA82" s="684"/>
      <c r="NB82" s="684"/>
      <c r="NC82" s="684"/>
      <c r="ND82" s="684"/>
      <c r="NE82" s="684"/>
      <c r="NF82" s="684"/>
      <c r="NG82" s="684"/>
      <c r="NH82" s="684"/>
      <c r="NI82" s="684"/>
      <c r="NJ82" s="684"/>
      <c r="NK82" s="684"/>
      <c r="NL82" s="684"/>
      <c r="NM82" s="684"/>
      <c r="NN82" s="684"/>
      <c r="NO82" s="684"/>
      <c r="NP82" s="684"/>
      <c r="NQ82" s="684"/>
      <c r="NR82" s="684"/>
      <c r="NS82" s="684"/>
      <c r="NT82" s="684"/>
      <c r="NU82" s="684"/>
      <c r="NV82" s="684"/>
      <c r="NW82" s="684"/>
      <c r="NX82" s="684"/>
      <c r="NY82" s="684"/>
      <c r="NZ82" s="684"/>
      <c r="OA82" s="684"/>
      <c r="OB82" s="684"/>
      <c r="OC82" s="684"/>
      <c r="OD82" s="684"/>
      <c r="OE82" s="684"/>
      <c r="OF82" s="684"/>
      <c r="OG82" s="684"/>
      <c r="OH82" s="684"/>
      <c r="OI82" s="684"/>
      <c r="OJ82" s="684"/>
      <c r="OK82" s="684"/>
      <c r="OL82" s="684"/>
      <c r="OM82" s="684"/>
      <c r="ON82" s="684"/>
      <c r="OO82" s="684"/>
      <c r="OP82" s="684"/>
      <c r="OQ82" s="684"/>
      <c r="OR82" s="684"/>
      <c r="OS82" s="684"/>
      <c r="OT82" s="684"/>
      <c r="OU82" s="684"/>
      <c r="OV82" s="684"/>
      <c r="OW82" s="684"/>
      <c r="OX82" s="684"/>
      <c r="OY82" s="684"/>
      <c r="OZ82" s="684"/>
      <c r="PA82" s="684"/>
      <c r="PB82" s="684"/>
      <c r="PC82" s="684"/>
      <c r="PD82" s="684"/>
      <c r="PE82" s="684"/>
      <c r="PF82" s="684"/>
      <c r="PG82" s="684"/>
      <c r="PH82" s="684"/>
      <c r="PI82" s="684"/>
      <c r="PJ82" s="684"/>
      <c r="PK82" s="684"/>
      <c r="PL82" s="684"/>
      <c r="PM82" s="684"/>
      <c r="PN82" s="684"/>
      <c r="PO82" s="684"/>
      <c r="PP82" s="684"/>
      <c r="PQ82" s="684"/>
      <c r="PR82" s="684"/>
      <c r="PS82" s="684"/>
      <c r="PT82" s="684"/>
      <c r="PU82" s="684"/>
      <c r="PV82" s="684"/>
      <c r="PW82" s="684"/>
      <c r="PX82" s="684"/>
      <c r="PY82" s="684"/>
      <c r="PZ82" s="684"/>
      <c r="QA82" s="684"/>
      <c r="QB82" s="684"/>
      <c r="QC82" s="684"/>
      <c r="QD82" s="684"/>
      <c r="QE82" s="684"/>
      <c r="QF82" s="684"/>
      <c r="QG82" s="684"/>
      <c r="QH82" s="684"/>
      <c r="QI82" s="684"/>
      <c r="QJ82" s="684"/>
      <c r="QK82" s="684"/>
      <c r="QL82" s="684"/>
      <c r="QM82" s="684"/>
      <c r="QN82" s="684"/>
      <c r="QO82" s="684"/>
      <c r="QP82" s="684"/>
      <c r="QQ82" s="684"/>
      <c r="QR82" s="684"/>
      <c r="QS82" s="684"/>
      <c r="QT82" s="684"/>
      <c r="QU82" s="684"/>
      <c r="QV82" s="684"/>
      <c r="QW82" s="684"/>
      <c r="QX82" s="684"/>
      <c r="QY82" s="684"/>
      <c r="QZ82" s="684"/>
      <c r="RA82" s="684"/>
      <c r="RB82" s="684"/>
      <c r="RC82" s="684"/>
      <c r="RD82" s="684"/>
      <c r="RE82" s="684"/>
      <c r="RF82" s="684"/>
      <c r="RG82" s="684"/>
      <c r="RH82" s="684"/>
      <c r="RI82" s="684"/>
      <c r="RJ82" s="684"/>
      <c r="RK82" s="684"/>
      <c r="RL82" s="684"/>
      <c r="RM82" s="684"/>
      <c r="RN82" s="684"/>
      <c r="RO82" s="684"/>
      <c r="RP82" s="684"/>
      <c r="RQ82" s="684"/>
      <c r="RR82" s="684"/>
      <c r="RS82" s="684"/>
      <c r="RT82" s="684"/>
      <c r="RU82" s="684"/>
      <c r="RV82" s="684"/>
      <c r="RW82" s="684"/>
      <c r="RX82" s="684"/>
      <c r="RY82" s="684"/>
      <c r="RZ82" s="684"/>
      <c r="SA82" s="684"/>
      <c r="SB82" s="684"/>
      <c r="SC82" s="684"/>
      <c r="SD82" s="684"/>
      <c r="SE82" s="684"/>
      <c r="SF82" s="684"/>
      <c r="SG82" s="684"/>
      <c r="SH82" s="684"/>
      <c r="SI82" s="684"/>
      <c r="SJ82" s="684"/>
      <c r="SK82" s="684"/>
      <c r="SL82" s="684"/>
      <c r="SM82" s="684"/>
      <c r="SN82" s="684"/>
      <c r="SO82" s="684"/>
      <c r="SP82" s="684"/>
      <c r="SQ82" s="684"/>
      <c r="SR82" s="684"/>
      <c r="SS82" s="684"/>
      <c r="ST82" s="684"/>
      <c r="SU82" s="684"/>
      <c r="SV82" s="684"/>
      <c r="SW82" s="684"/>
      <c r="SX82" s="684"/>
      <c r="SY82" s="684"/>
      <c r="SZ82" s="684"/>
      <c r="TA82" s="684"/>
      <c r="TB82" s="684"/>
      <c r="TC82" s="684"/>
      <c r="TD82" s="684"/>
      <c r="TE82" s="684"/>
      <c r="TF82" s="684"/>
      <c r="TG82" s="684"/>
      <c r="TH82" s="684"/>
      <c r="TI82" s="684"/>
      <c r="TJ82" s="684"/>
      <c r="TK82" s="684"/>
      <c r="TL82" s="684"/>
      <c r="TM82" s="684"/>
      <c r="TN82" s="684"/>
      <c r="TO82" s="684"/>
      <c r="TP82" s="684"/>
      <c r="TQ82" s="684"/>
      <c r="TR82" s="684"/>
      <c r="TS82" s="684"/>
      <c r="TT82" s="684"/>
      <c r="TU82" s="684"/>
      <c r="TV82" s="684"/>
      <c r="TW82" s="684"/>
      <c r="TX82" s="684"/>
      <c r="TY82" s="684"/>
      <c r="TZ82" s="684"/>
      <c r="UA82" s="684"/>
      <c r="UB82" s="684"/>
      <c r="UC82" s="684"/>
      <c r="UD82" s="684"/>
      <c r="UE82" s="684"/>
      <c r="UF82" s="684"/>
      <c r="UG82" s="684"/>
      <c r="UH82" s="684"/>
      <c r="UI82" s="684"/>
      <c r="UJ82" s="684"/>
      <c r="UK82" s="684"/>
      <c r="UL82" s="684"/>
      <c r="UM82" s="684"/>
      <c r="UN82" s="684"/>
      <c r="UO82" s="684"/>
      <c r="UP82" s="684"/>
      <c r="UQ82" s="684"/>
      <c r="UR82" s="684"/>
      <c r="US82" s="684"/>
      <c r="UT82" s="684"/>
      <c r="UU82" s="684"/>
      <c r="UV82" s="684"/>
      <c r="UW82" s="684"/>
      <c r="UX82" s="684"/>
      <c r="UY82" s="684"/>
      <c r="UZ82" s="684"/>
      <c r="VA82" s="684"/>
      <c r="VB82" s="684"/>
      <c r="VC82" s="684"/>
      <c r="VD82" s="684"/>
      <c r="VE82" s="684"/>
      <c r="VF82" s="684"/>
      <c r="VG82" s="684"/>
      <c r="VH82" s="684"/>
      <c r="VI82" s="684"/>
      <c r="VJ82" s="684"/>
      <c r="VK82" s="684"/>
      <c r="VL82" s="684"/>
      <c r="VM82" s="684"/>
      <c r="VN82" s="684"/>
      <c r="VO82" s="684"/>
      <c r="VP82" s="684"/>
      <c r="VQ82" s="684"/>
      <c r="VR82" s="684"/>
      <c r="VS82" s="684"/>
      <c r="VT82" s="684"/>
      <c r="VU82" s="684"/>
      <c r="VV82" s="684"/>
      <c r="VW82" s="684"/>
      <c r="VX82" s="684"/>
      <c r="VY82" s="684"/>
      <c r="VZ82" s="684"/>
      <c r="WA82" s="684"/>
      <c r="WB82" s="684"/>
      <c r="WC82" s="684"/>
      <c r="WD82" s="684"/>
      <c r="WE82" s="684"/>
      <c r="WF82" s="684"/>
      <c r="WG82" s="684"/>
      <c r="WH82" s="684"/>
      <c r="WI82" s="684"/>
      <c r="WJ82" s="684"/>
      <c r="WK82" s="684"/>
      <c r="WL82" s="684"/>
      <c r="WM82" s="684"/>
      <c r="WN82" s="684"/>
      <c r="WO82" s="684"/>
      <c r="WP82" s="684"/>
      <c r="WQ82" s="684"/>
      <c r="WR82" s="684"/>
      <c r="WS82" s="684"/>
      <c r="WT82" s="684"/>
      <c r="WU82" s="684"/>
      <c r="WV82" s="684"/>
      <c r="WW82" s="684"/>
      <c r="WX82" s="684"/>
      <c r="WY82" s="684"/>
      <c r="WZ82" s="684"/>
      <c r="XA82" s="684"/>
      <c r="XB82" s="684"/>
      <c r="XC82" s="684"/>
      <c r="XD82" s="684"/>
      <c r="XE82" s="684"/>
      <c r="XF82" s="684"/>
      <c r="XG82" s="684"/>
      <c r="XH82" s="684"/>
      <c r="XI82" s="684"/>
      <c r="XJ82" s="684"/>
      <c r="XK82" s="684"/>
      <c r="XL82" s="684"/>
      <c r="XM82" s="684"/>
      <c r="XN82" s="684"/>
      <c r="XO82" s="684"/>
      <c r="XP82" s="684"/>
      <c r="XQ82" s="684"/>
      <c r="XR82" s="684"/>
      <c r="XS82" s="684"/>
      <c r="XT82" s="684"/>
      <c r="XU82" s="684"/>
      <c r="XV82" s="684"/>
      <c r="XW82" s="684"/>
      <c r="XX82" s="684"/>
      <c r="XY82" s="684"/>
      <c r="XZ82" s="684"/>
      <c r="YA82" s="684"/>
      <c r="YB82" s="684"/>
      <c r="YC82" s="684"/>
      <c r="YD82" s="684"/>
      <c r="YE82" s="684"/>
      <c r="YF82" s="684"/>
      <c r="YG82" s="684"/>
      <c r="YH82" s="684"/>
      <c r="YI82" s="684"/>
      <c r="YJ82" s="684"/>
      <c r="YK82" s="684"/>
      <c r="YL82" s="684"/>
      <c r="YM82" s="684"/>
      <c r="YN82" s="684"/>
      <c r="YO82" s="684"/>
      <c r="YP82" s="684"/>
      <c r="YQ82" s="684"/>
      <c r="YR82" s="684"/>
      <c r="YS82" s="684"/>
      <c r="YT82" s="684"/>
      <c r="YU82" s="684"/>
      <c r="YV82" s="684"/>
      <c r="YW82" s="684"/>
      <c r="YX82" s="684"/>
      <c r="YY82" s="684"/>
      <c r="YZ82" s="684"/>
      <c r="ZA82" s="684"/>
      <c r="ZB82" s="684"/>
      <c r="ZC82" s="684"/>
      <c r="ZD82" s="684"/>
      <c r="ZE82" s="684"/>
      <c r="ZF82" s="684"/>
      <c r="ZG82" s="684"/>
      <c r="ZH82" s="684"/>
      <c r="ZI82" s="684"/>
      <c r="ZJ82" s="684"/>
      <c r="ZK82" s="684"/>
      <c r="ZL82" s="684"/>
      <c r="ZM82" s="684"/>
      <c r="ZN82" s="684"/>
      <c r="ZO82" s="684"/>
      <c r="ZP82" s="684"/>
      <c r="ZQ82" s="684"/>
      <c r="ZR82" s="684"/>
      <c r="ZS82" s="684"/>
      <c r="ZT82" s="684"/>
      <c r="ZU82" s="684"/>
      <c r="ZV82" s="684"/>
      <c r="ZW82" s="684"/>
      <c r="ZX82" s="684"/>
      <c r="ZY82" s="684"/>
      <c r="ZZ82" s="684"/>
      <c r="AAA82" s="684"/>
      <c r="AAB82" s="684"/>
      <c r="AAC82" s="684"/>
      <c r="AAD82" s="684"/>
      <c r="AAE82" s="684"/>
      <c r="AAF82" s="684"/>
      <c r="AAG82" s="684"/>
      <c r="AAH82" s="684"/>
      <c r="AAI82" s="684"/>
      <c r="AAJ82" s="684"/>
      <c r="AAK82" s="684"/>
      <c r="AAL82" s="684"/>
      <c r="AAM82" s="684"/>
      <c r="AAN82" s="684"/>
      <c r="AAO82" s="684"/>
      <c r="AAP82" s="684"/>
      <c r="AAQ82" s="684"/>
      <c r="AAR82" s="684"/>
      <c r="AAS82" s="684"/>
      <c r="AAT82" s="684"/>
      <c r="AAU82" s="684"/>
      <c r="AAV82" s="684"/>
      <c r="AAW82" s="684"/>
      <c r="AAX82" s="684"/>
      <c r="AAY82" s="684"/>
      <c r="AAZ82" s="684"/>
      <c r="ABA82" s="684"/>
      <c r="ABB82" s="684"/>
      <c r="ABC82" s="684"/>
      <c r="ABD82" s="684"/>
      <c r="ABE82" s="684"/>
      <c r="ABF82" s="684"/>
      <c r="ABG82" s="684"/>
      <c r="ABH82" s="684"/>
      <c r="ABI82" s="684"/>
      <c r="ABJ82" s="684"/>
      <c r="ABK82" s="684"/>
      <c r="ABL82" s="684"/>
      <c r="ABM82" s="684"/>
      <c r="ABN82" s="684"/>
      <c r="ABO82" s="684"/>
      <c r="ABP82" s="684"/>
      <c r="ABQ82" s="684"/>
      <c r="ABR82" s="684"/>
      <c r="ABS82" s="684"/>
      <c r="ABT82" s="684"/>
      <c r="ABU82" s="684"/>
      <c r="ABV82" s="684"/>
      <c r="ABW82" s="684"/>
      <c r="ABX82" s="684"/>
      <c r="ABY82" s="684"/>
      <c r="ABZ82" s="684"/>
      <c r="ACA82" s="684"/>
      <c r="ACB82" s="684"/>
      <c r="ACC82" s="684"/>
      <c r="ACD82" s="684"/>
      <c r="ACE82" s="684"/>
      <c r="ACF82" s="684"/>
      <c r="ACG82" s="684"/>
      <c r="ACH82" s="684"/>
      <c r="ACI82" s="684"/>
      <c r="ACJ82" s="684"/>
      <c r="ACK82" s="684"/>
      <c r="ACL82" s="684"/>
      <c r="ACM82" s="684"/>
      <c r="ACN82" s="684"/>
      <c r="ACO82" s="684"/>
      <c r="ACP82" s="684"/>
      <c r="ACQ82" s="684"/>
      <c r="ACR82" s="684"/>
      <c r="ACS82" s="684"/>
      <c r="ACT82" s="684"/>
      <c r="ACU82" s="684"/>
      <c r="ACV82" s="684"/>
      <c r="ACW82" s="684"/>
      <c r="ACX82" s="684"/>
      <c r="ACY82" s="684"/>
      <c r="ACZ82" s="684"/>
      <c r="ADA82" s="684"/>
      <c r="ADB82" s="684"/>
      <c r="ADC82" s="684"/>
      <c r="ADD82" s="684"/>
      <c r="ADE82" s="684"/>
      <c r="ADF82" s="684"/>
      <c r="ADG82" s="684"/>
      <c r="ADH82" s="684"/>
      <c r="ADI82" s="684"/>
      <c r="ADJ82" s="684"/>
      <c r="ADK82" s="684"/>
      <c r="ADL82" s="684"/>
      <c r="ADM82" s="684"/>
      <c r="ADN82" s="684"/>
      <c r="ADO82" s="684"/>
      <c r="ADP82" s="684"/>
      <c r="ADQ82" s="684"/>
      <c r="ADR82" s="684"/>
      <c r="ADS82" s="684"/>
      <c r="ADT82" s="684"/>
      <c r="ADU82" s="684"/>
      <c r="ADV82" s="684"/>
      <c r="ADW82" s="684"/>
      <c r="ADX82" s="684"/>
      <c r="ADY82" s="684"/>
      <c r="ADZ82" s="684"/>
      <c r="AEA82" s="684"/>
      <c r="AEB82" s="684"/>
      <c r="AEC82" s="684"/>
      <c r="AED82" s="684"/>
      <c r="AEE82" s="684"/>
      <c r="AEF82" s="684"/>
      <c r="AEG82" s="684"/>
      <c r="AEH82" s="684"/>
      <c r="AEI82" s="684"/>
      <c r="AEJ82" s="684"/>
      <c r="AEK82" s="684"/>
      <c r="AEL82" s="684"/>
      <c r="AEM82" s="684"/>
      <c r="AEN82" s="684"/>
      <c r="AEO82" s="684"/>
      <c r="AEP82" s="684"/>
      <c r="AEQ82" s="684"/>
      <c r="AER82" s="684"/>
      <c r="AES82" s="684"/>
      <c r="AET82" s="684"/>
      <c r="AEU82" s="684"/>
      <c r="AEV82" s="684"/>
      <c r="AEW82" s="684"/>
      <c r="AEX82" s="684"/>
      <c r="AEY82" s="684"/>
      <c r="AEZ82" s="684"/>
      <c r="AFA82" s="684"/>
      <c r="AFB82" s="684"/>
      <c r="AFC82" s="684"/>
      <c r="AFD82" s="684"/>
      <c r="AFE82" s="684"/>
      <c r="AFF82" s="684"/>
      <c r="AFG82" s="684"/>
      <c r="AFH82" s="684"/>
      <c r="AFI82" s="684"/>
      <c r="AFJ82" s="684"/>
      <c r="AFK82" s="684"/>
      <c r="AFL82" s="684"/>
      <c r="AFM82" s="684"/>
      <c r="AFN82" s="684"/>
      <c r="AFO82" s="684"/>
      <c r="AFP82" s="684"/>
      <c r="AFQ82" s="684"/>
      <c r="AFR82" s="684"/>
      <c r="AFS82" s="684"/>
      <c r="AFT82" s="684"/>
      <c r="AFU82" s="684"/>
      <c r="AFV82" s="684"/>
      <c r="AFW82" s="684"/>
      <c r="AFX82" s="684"/>
      <c r="AFY82" s="684"/>
      <c r="AFZ82" s="684"/>
      <c r="AGA82" s="684"/>
      <c r="AGB82" s="684"/>
      <c r="AGC82" s="684"/>
      <c r="AGD82" s="684"/>
      <c r="AGE82" s="684"/>
      <c r="AGF82" s="684"/>
      <c r="AGG82" s="684"/>
      <c r="AGH82" s="684"/>
      <c r="AGI82" s="684"/>
      <c r="AGJ82" s="684"/>
      <c r="AGK82" s="684"/>
      <c r="AGL82" s="684"/>
      <c r="AGM82" s="684"/>
      <c r="AGN82" s="684"/>
      <c r="AGO82" s="684"/>
      <c r="AGP82" s="684"/>
      <c r="AGQ82" s="684"/>
      <c r="AGR82" s="684"/>
      <c r="AGS82" s="684"/>
      <c r="AGT82" s="684"/>
      <c r="AGU82" s="684"/>
      <c r="AGV82" s="684"/>
      <c r="AGW82" s="684"/>
      <c r="AGX82" s="684"/>
      <c r="AGY82" s="684"/>
      <c r="AGZ82" s="684"/>
      <c r="AHA82" s="684"/>
      <c r="AHB82" s="684"/>
      <c r="AHC82" s="684"/>
      <c r="AHD82" s="684"/>
      <c r="AHE82" s="684"/>
      <c r="AHF82" s="684"/>
      <c r="AHG82" s="684"/>
      <c r="AHH82" s="684"/>
      <c r="AHI82" s="684"/>
      <c r="AHJ82" s="684"/>
      <c r="AHK82" s="684"/>
      <c r="AHL82" s="684"/>
      <c r="AHM82" s="684"/>
      <c r="AHN82" s="684"/>
      <c r="AHO82" s="684"/>
      <c r="AHP82" s="684"/>
      <c r="AHQ82" s="684"/>
      <c r="AHR82" s="684"/>
      <c r="AHS82" s="684"/>
      <c r="AHT82" s="684"/>
      <c r="AHU82" s="684"/>
      <c r="AHV82" s="684"/>
      <c r="AHW82" s="684"/>
      <c r="AHX82" s="684"/>
      <c r="AHY82" s="684"/>
      <c r="AHZ82" s="684"/>
      <c r="AIA82" s="684"/>
      <c r="AIB82" s="684"/>
      <c r="AIC82" s="684"/>
      <c r="AID82" s="684"/>
      <c r="AIE82" s="684"/>
      <c r="AIF82" s="684"/>
      <c r="AIG82" s="684"/>
      <c r="AIH82" s="684"/>
      <c r="AII82" s="684"/>
      <c r="AIJ82" s="684"/>
      <c r="AIK82" s="684"/>
      <c r="AIL82" s="684"/>
      <c r="AIM82" s="684"/>
      <c r="AIN82" s="684"/>
      <c r="AIO82" s="684"/>
      <c r="AIP82" s="684"/>
      <c r="AIQ82" s="684"/>
      <c r="AIR82" s="684"/>
      <c r="AIS82" s="684"/>
      <c r="AIT82" s="684"/>
      <c r="AIU82" s="684"/>
      <c r="AIV82" s="684"/>
      <c r="AIW82" s="684"/>
      <c r="AIX82" s="684"/>
      <c r="AIY82" s="684"/>
      <c r="AIZ82" s="684"/>
      <c r="AJA82" s="684"/>
      <c r="AJB82" s="684"/>
      <c r="AJC82" s="684"/>
      <c r="AJD82" s="684"/>
      <c r="AJE82" s="684"/>
      <c r="AJF82" s="684"/>
      <c r="AJG82" s="684"/>
      <c r="AJH82" s="684"/>
      <c r="AJI82" s="684"/>
      <c r="AJJ82" s="684"/>
      <c r="AJK82" s="684"/>
      <c r="AJL82" s="684"/>
      <c r="AJM82" s="684"/>
      <c r="AJN82" s="684"/>
      <c r="AJO82" s="684"/>
      <c r="AJP82" s="684"/>
      <c r="AJQ82" s="684"/>
      <c r="AJR82" s="684"/>
      <c r="AJS82" s="684"/>
      <c r="AJT82" s="684"/>
      <c r="AJU82" s="684"/>
      <c r="AJV82" s="684"/>
      <c r="AJW82" s="684"/>
      <c r="AJX82" s="684"/>
      <c r="AJY82" s="684"/>
      <c r="AJZ82" s="684"/>
      <c r="AKA82" s="684"/>
      <c r="AKB82" s="684"/>
      <c r="AKC82" s="684"/>
      <c r="AKD82" s="684"/>
      <c r="AKE82" s="684"/>
      <c r="AKF82" s="684"/>
      <c r="AKG82" s="684"/>
      <c r="AKH82" s="684"/>
      <c r="AKI82" s="684"/>
      <c r="AKJ82" s="684"/>
      <c r="AKK82" s="684"/>
      <c r="AKL82" s="684"/>
      <c r="AKM82" s="684"/>
      <c r="AKN82" s="684"/>
      <c r="AKO82" s="684"/>
      <c r="AKP82" s="684"/>
      <c r="AKQ82" s="684"/>
      <c r="AKR82" s="684"/>
      <c r="AKS82" s="684"/>
      <c r="AKT82" s="684"/>
      <c r="AKU82" s="684"/>
      <c r="AKV82" s="684"/>
      <c r="AKW82" s="684"/>
      <c r="AKX82" s="684"/>
      <c r="AKY82" s="684"/>
      <c r="AKZ82" s="684"/>
      <c r="ALA82" s="684"/>
      <c r="ALB82" s="684"/>
      <c r="ALC82" s="684"/>
      <c r="ALD82" s="684"/>
      <c r="ALE82" s="684"/>
      <c r="ALF82" s="684"/>
      <c r="ALG82" s="684"/>
      <c r="ALH82" s="684"/>
      <c r="ALI82" s="684"/>
      <c r="ALJ82" s="684"/>
      <c r="ALK82" s="684"/>
      <c r="ALL82" s="684"/>
      <c r="ALM82" s="684"/>
      <c r="ALN82" s="684"/>
      <c r="ALO82" s="684"/>
      <c r="ALP82" s="684"/>
      <c r="ALQ82" s="684"/>
      <c r="ALR82" s="684"/>
      <c r="ALS82" s="684"/>
      <c r="ALT82" s="684"/>
      <c r="ALU82" s="684"/>
      <c r="ALV82" s="684"/>
      <c r="ALW82" s="684"/>
      <c r="ALX82" s="684"/>
      <c r="ALY82" s="684"/>
      <c r="ALZ82" s="684"/>
      <c r="AMA82" s="684"/>
      <c r="AMB82" s="684"/>
      <c r="AMC82" s="684"/>
      <c r="AMD82" s="684"/>
      <c r="AME82" s="684"/>
      <c r="AMF82" s="684"/>
      <c r="AMG82" s="684"/>
      <c r="AMH82" s="684"/>
      <c r="AMI82" s="684"/>
      <c r="AMJ82" s="684"/>
      <c r="AMK82" s="684"/>
      <c r="AML82" s="684"/>
      <c r="AMM82" s="684"/>
      <c r="AMN82" s="684"/>
      <c r="AMO82" s="684"/>
      <c r="AMP82" s="684"/>
      <c r="AMQ82" s="684"/>
      <c r="AMR82" s="684"/>
      <c r="AMS82" s="684"/>
      <c r="AMT82" s="684"/>
      <c r="AMU82" s="684"/>
      <c r="AMV82" s="684"/>
      <c r="AMW82" s="684"/>
      <c r="AMX82" s="684"/>
      <c r="AMY82" s="684"/>
      <c r="AMZ82" s="684"/>
      <c r="ANA82" s="684"/>
      <c r="ANB82" s="684"/>
      <c r="ANC82" s="684"/>
      <c r="AND82" s="684"/>
      <c r="ANE82" s="684"/>
      <c r="ANF82" s="684"/>
      <c r="ANG82" s="684"/>
      <c r="ANH82" s="684"/>
      <c r="ANI82" s="684"/>
      <c r="ANJ82" s="684"/>
      <c r="ANK82" s="684"/>
      <c r="ANL82" s="684"/>
      <c r="ANM82" s="684"/>
      <c r="ANN82" s="684"/>
      <c r="ANO82" s="684"/>
      <c r="ANP82" s="684"/>
      <c r="ANQ82" s="684"/>
      <c r="ANR82" s="684"/>
      <c r="ANS82" s="684"/>
      <c r="ANT82" s="684"/>
      <c r="ANU82" s="684"/>
      <c r="ANV82" s="684"/>
      <c r="ANW82" s="684"/>
      <c r="ANX82" s="684"/>
      <c r="ANY82" s="684"/>
      <c r="ANZ82" s="684"/>
      <c r="AOA82" s="684"/>
      <c r="AOB82" s="684"/>
      <c r="AOC82" s="684"/>
      <c r="AOD82" s="684"/>
      <c r="AOE82" s="684"/>
      <c r="AOF82" s="684"/>
      <c r="AOG82" s="684"/>
      <c r="AOH82" s="684"/>
      <c r="AOI82" s="684"/>
      <c r="AOJ82" s="684"/>
      <c r="AOK82" s="684"/>
      <c r="AOL82" s="684"/>
      <c r="AOM82" s="684"/>
      <c r="AON82" s="684"/>
      <c r="AOO82" s="684"/>
      <c r="AOP82" s="684"/>
      <c r="AOQ82" s="684"/>
      <c r="AOR82" s="684"/>
      <c r="AOS82" s="684"/>
      <c r="AOT82" s="684"/>
      <c r="AOU82" s="684"/>
      <c r="AOV82" s="684"/>
      <c r="AOW82" s="684"/>
      <c r="AOX82" s="684"/>
      <c r="AOY82" s="684"/>
      <c r="AOZ82" s="684"/>
      <c r="APA82" s="684"/>
      <c r="APB82" s="684"/>
      <c r="APC82" s="684"/>
      <c r="APD82" s="684"/>
      <c r="APE82" s="684"/>
      <c r="APF82" s="684"/>
      <c r="APG82" s="684"/>
      <c r="APH82" s="684"/>
      <c r="API82" s="684"/>
      <c r="APJ82" s="684"/>
      <c r="APK82" s="684"/>
      <c r="APL82" s="684"/>
      <c r="APM82" s="684"/>
      <c r="APN82" s="684"/>
      <c r="APO82" s="684"/>
      <c r="APP82" s="684"/>
      <c r="APQ82" s="684"/>
      <c r="APR82" s="684"/>
      <c r="APS82" s="684"/>
      <c r="APT82" s="684"/>
      <c r="APU82" s="684"/>
      <c r="APV82" s="684"/>
      <c r="APW82" s="684"/>
      <c r="APX82" s="684"/>
      <c r="APY82" s="684"/>
      <c r="APZ82" s="684"/>
      <c r="AQA82" s="684"/>
      <c r="AQB82" s="684"/>
      <c r="AQC82" s="684"/>
      <c r="AQD82" s="684"/>
      <c r="AQE82" s="684"/>
      <c r="AQF82" s="684"/>
      <c r="AQG82" s="684"/>
      <c r="AQH82" s="684"/>
      <c r="AQI82" s="684"/>
      <c r="AQJ82" s="684"/>
      <c r="AQK82" s="684"/>
      <c r="AQL82" s="684"/>
      <c r="AQM82" s="684"/>
      <c r="AQN82" s="684"/>
      <c r="AQO82" s="684"/>
      <c r="AQP82" s="684"/>
      <c r="AQQ82" s="684"/>
      <c r="AQR82" s="684"/>
      <c r="AQS82" s="684"/>
      <c r="AQT82" s="684"/>
      <c r="AQU82" s="684"/>
      <c r="AQV82" s="684"/>
      <c r="AQW82" s="684"/>
      <c r="AQX82" s="684"/>
      <c r="AQY82" s="684"/>
      <c r="AQZ82" s="684"/>
      <c r="ARA82" s="684"/>
      <c r="ARB82" s="684"/>
      <c r="ARC82" s="684"/>
      <c r="ARD82" s="684"/>
      <c r="ARE82" s="684"/>
      <c r="ARF82" s="684"/>
      <c r="ARG82" s="684"/>
      <c r="ARH82" s="684"/>
      <c r="ARI82" s="684"/>
      <c r="ARJ82" s="684"/>
      <c r="ARK82" s="684"/>
      <c r="ARL82" s="684"/>
      <c r="ARM82" s="684"/>
      <c r="ARN82" s="684"/>
      <c r="ARO82" s="684"/>
      <c r="ARP82" s="684"/>
      <c r="ARQ82" s="684"/>
      <c r="ARR82" s="684"/>
      <c r="ARS82" s="684"/>
      <c r="ART82" s="684"/>
      <c r="ARU82" s="684"/>
      <c r="ARV82" s="684"/>
      <c r="ARW82" s="684"/>
      <c r="ARX82" s="684"/>
      <c r="ARY82" s="684"/>
      <c r="ARZ82" s="684"/>
      <c r="ASA82" s="684"/>
      <c r="ASB82" s="684"/>
      <c r="ASC82" s="684"/>
      <c r="ASD82" s="684"/>
      <c r="ASE82" s="684"/>
      <c r="ASF82" s="684"/>
      <c r="ASG82" s="684"/>
      <c r="ASH82" s="684"/>
      <c r="ASI82" s="684"/>
      <c r="ASJ82" s="684"/>
      <c r="ASK82" s="684"/>
      <c r="ASL82" s="684"/>
      <c r="ASM82" s="684"/>
      <c r="ASN82" s="684"/>
      <c r="ASO82" s="684"/>
      <c r="ASP82" s="684"/>
      <c r="ASQ82" s="684"/>
      <c r="ASR82" s="684"/>
      <c r="ASS82" s="684"/>
      <c r="AST82" s="684"/>
      <c r="ASU82" s="684"/>
      <c r="ASV82" s="684"/>
      <c r="ASW82" s="684"/>
      <c r="ASX82" s="684"/>
      <c r="ASY82" s="684"/>
      <c r="ASZ82" s="684"/>
      <c r="ATA82" s="684"/>
      <c r="ATB82" s="684"/>
      <c r="ATC82" s="684"/>
      <c r="ATD82" s="684"/>
      <c r="ATE82" s="684"/>
      <c r="ATF82" s="684"/>
      <c r="ATG82" s="684"/>
      <c r="ATH82" s="684"/>
      <c r="ATI82" s="684"/>
      <c r="ATJ82" s="684"/>
      <c r="ATK82" s="684"/>
      <c r="ATL82" s="684"/>
      <c r="ATM82" s="684"/>
      <c r="ATN82" s="684"/>
      <c r="ATO82" s="684"/>
      <c r="ATP82" s="684"/>
      <c r="ATQ82" s="684"/>
      <c r="ATR82" s="684"/>
      <c r="ATS82" s="684"/>
      <c r="ATT82" s="684"/>
      <c r="ATU82" s="684"/>
      <c r="ATV82" s="684"/>
      <c r="ATW82" s="684"/>
      <c r="ATX82" s="684"/>
      <c r="ATY82" s="684"/>
      <c r="ATZ82" s="684"/>
      <c r="AUA82" s="684"/>
      <c r="AUB82" s="684"/>
      <c r="AUC82" s="684"/>
      <c r="AUD82" s="684"/>
      <c r="AUE82" s="684"/>
      <c r="AUF82" s="684"/>
      <c r="AUG82" s="684"/>
      <c r="AUH82" s="684"/>
      <c r="AUI82" s="684"/>
      <c r="AUJ82" s="684"/>
      <c r="AUK82" s="684"/>
      <c r="AUL82" s="684"/>
      <c r="AUM82" s="684"/>
      <c r="AUN82" s="684"/>
      <c r="AUO82" s="684"/>
      <c r="AUP82" s="684"/>
      <c r="AUQ82" s="684"/>
      <c r="AUR82" s="684"/>
      <c r="AUS82" s="684"/>
      <c r="AUT82" s="684"/>
      <c r="AUU82" s="684"/>
      <c r="AUV82" s="684"/>
      <c r="AUW82" s="684"/>
      <c r="AUX82" s="684"/>
      <c r="AUY82" s="684"/>
      <c r="AUZ82" s="684"/>
      <c r="AVA82" s="684"/>
      <c r="AVB82" s="684"/>
      <c r="AVC82" s="684"/>
      <c r="AVD82" s="684"/>
      <c r="AVE82" s="684"/>
      <c r="AVF82" s="684"/>
      <c r="AVG82" s="684"/>
      <c r="AVH82" s="684"/>
      <c r="AVI82" s="684"/>
      <c r="AVJ82" s="684"/>
      <c r="AVK82" s="684"/>
      <c r="AVL82" s="684"/>
      <c r="AVM82" s="684"/>
      <c r="AVN82" s="684"/>
      <c r="AVO82" s="684"/>
      <c r="AVP82" s="684"/>
      <c r="AVQ82" s="684"/>
      <c r="AVR82" s="684"/>
      <c r="AVS82" s="684"/>
      <c r="AVT82" s="684"/>
      <c r="AVU82" s="684"/>
      <c r="AVV82" s="684"/>
      <c r="AVW82" s="684"/>
      <c r="AVX82" s="684"/>
      <c r="AVY82" s="684"/>
      <c r="AVZ82" s="684"/>
      <c r="AWA82" s="684"/>
      <c r="AWB82" s="684"/>
      <c r="AWC82" s="684"/>
      <c r="AWD82" s="684"/>
      <c r="AWE82" s="684"/>
      <c r="AWF82" s="684"/>
      <c r="AWG82" s="684"/>
      <c r="AWH82" s="684"/>
      <c r="AWI82" s="684"/>
      <c r="AWJ82" s="684"/>
      <c r="AWK82" s="684"/>
      <c r="AWL82" s="684"/>
      <c r="AWM82" s="684"/>
      <c r="AWN82" s="684"/>
      <c r="AWO82" s="684"/>
      <c r="AWP82" s="684"/>
      <c r="AWQ82" s="684"/>
      <c r="AWR82" s="684"/>
      <c r="AWS82" s="684"/>
      <c r="AWT82" s="684"/>
      <c r="AWU82" s="684"/>
      <c r="AWV82" s="684"/>
      <c r="AWW82" s="684"/>
      <c r="AWX82" s="684"/>
      <c r="AWY82" s="684"/>
      <c r="AWZ82" s="684"/>
      <c r="AXA82" s="684"/>
      <c r="AXB82" s="684"/>
      <c r="AXC82" s="684"/>
      <c r="AXD82" s="684"/>
      <c r="AXE82" s="684"/>
      <c r="AXF82" s="684"/>
      <c r="AXG82" s="684"/>
      <c r="AXH82" s="684"/>
      <c r="AXI82" s="684"/>
      <c r="AXJ82" s="684"/>
      <c r="AXK82" s="684"/>
      <c r="AXL82" s="684"/>
      <c r="AXM82" s="684"/>
      <c r="AXN82" s="684"/>
      <c r="AXO82" s="684"/>
      <c r="AXP82" s="684"/>
      <c r="AXQ82" s="684"/>
      <c r="AXR82" s="684"/>
      <c r="AXS82" s="684"/>
      <c r="AXT82" s="684"/>
      <c r="AXU82" s="684"/>
      <c r="AXV82" s="684"/>
      <c r="AXW82" s="684"/>
      <c r="AXX82" s="684"/>
      <c r="AXY82" s="684"/>
      <c r="AXZ82" s="684"/>
      <c r="AYA82" s="684"/>
      <c r="AYB82" s="684"/>
      <c r="AYC82" s="684"/>
      <c r="AYD82" s="684"/>
      <c r="AYE82" s="684"/>
      <c r="AYF82" s="684"/>
      <c r="AYG82" s="684"/>
      <c r="AYH82" s="684"/>
      <c r="AYI82" s="684"/>
      <c r="AYJ82" s="684"/>
      <c r="AYK82" s="684"/>
      <c r="AYL82" s="684"/>
      <c r="AYM82" s="684"/>
      <c r="AYN82" s="684"/>
      <c r="AYO82" s="684"/>
      <c r="AYP82" s="684"/>
      <c r="AYQ82" s="684"/>
      <c r="AYR82" s="684"/>
      <c r="AYS82" s="684"/>
      <c r="AYT82" s="684"/>
      <c r="AYU82" s="684"/>
      <c r="AYV82" s="684"/>
      <c r="AYW82" s="684"/>
      <c r="AYX82" s="684"/>
      <c r="AYY82" s="684"/>
      <c r="AYZ82" s="684"/>
      <c r="AZA82" s="684"/>
      <c r="AZB82" s="684"/>
      <c r="AZC82" s="684"/>
      <c r="AZD82" s="684"/>
      <c r="AZE82" s="684"/>
      <c r="AZF82" s="684"/>
      <c r="AZG82" s="684"/>
      <c r="AZH82" s="684"/>
      <c r="AZI82" s="684"/>
      <c r="AZJ82" s="684"/>
      <c r="AZK82" s="684"/>
      <c r="AZL82" s="684"/>
      <c r="AZM82" s="684"/>
      <c r="AZN82" s="684"/>
      <c r="AZO82" s="684"/>
      <c r="AZP82" s="684"/>
      <c r="AZQ82" s="684"/>
      <c r="AZR82" s="684"/>
      <c r="AZS82" s="684"/>
      <c r="AZT82" s="684"/>
      <c r="AZU82" s="684"/>
      <c r="AZV82" s="684"/>
      <c r="AZW82" s="684"/>
      <c r="AZX82" s="684"/>
      <c r="AZY82" s="684"/>
      <c r="AZZ82" s="684"/>
      <c r="BAA82" s="684"/>
      <c r="BAB82" s="684"/>
      <c r="BAC82" s="684"/>
      <c r="BAD82" s="684"/>
      <c r="BAE82" s="684"/>
      <c r="BAF82" s="684"/>
      <c r="BAG82" s="684"/>
      <c r="BAH82" s="684"/>
      <c r="BAI82" s="684"/>
      <c r="BAJ82" s="684"/>
      <c r="BAK82" s="684"/>
      <c r="BAL82" s="684"/>
      <c r="BAM82" s="684"/>
      <c r="BAN82" s="684"/>
      <c r="BAO82" s="684"/>
      <c r="BAP82" s="684"/>
      <c r="BAQ82" s="684"/>
      <c r="BAR82" s="684"/>
      <c r="BAS82" s="684"/>
      <c r="BAT82" s="684"/>
      <c r="BAU82" s="684"/>
      <c r="BAV82" s="684"/>
      <c r="BAW82" s="684"/>
      <c r="BAX82" s="684"/>
      <c r="BAY82" s="684"/>
      <c r="BAZ82" s="684"/>
      <c r="BBA82" s="684"/>
      <c r="BBB82" s="684"/>
      <c r="BBC82" s="684"/>
      <c r="BBD82" s="684"/>
      <c r="BBE82" s="684"/>
      <c r="BBF82" s="684"/>
      <c r="BBG82" s="684"/>
      <c r="BBH82" s="684"/>
      <c r="BBI82" s="684"/>
      <c r="BBJ82" s="684"/>
      <c r="BBK82" s="684"/>
      <c r="BBL82" s="684"/>
      <c r="BBM82" s="684"/>
      <c r="BBN82" s="684"/>
      <c r="BBO82" s="684"/>
      <c r="BBP82" s="684"/>
      <c r="BBQ82" s="684"/>
      <c r="BBR82" s="684"/>
      <c r="BBS82" s="684"/>
      <c r="BBT82" s="684"/>
      <c r="BBU82" s="684"/>
      <c r="BBV82" s="684"/>
      <c r="BBW82" s="684"/>
      <c r="BBX82" s="684"/>
      <c r="BBY82" s="684"/>
      <c r="BBZ82" s="684"/>
      <c r="BCA82" s="684"/>
      <c r="BCB82" s="684"/>
      <c r="BCC82" s="684"/>
      <c r="BCD82" s="684"/>
      <c r="BCE82" s="684"/>
      <c r="BCF82" s="684"/>
      <c r="BCG82" s="684"/>
      <c r="BCH82" s="684"/>
      <c r="BCI82" s="684"/>
      <c r="BCJ82" s="684"/>
      <c r="BCK82" s="684"/>
      <c r="BCL82" s="684"/>
      <c r="BCM82" s="684"/>
      <c r="BCN82" s="684"/>
      <c r="BCO82" s="684"/>
      <c r="BCP82" s="684"/>
      <c r="BCQ82" s="684"/>
      <c r="BCR82" s="684"/>
      <c r="BCS82" s="684"/>
      <c r="BCT82" s="684"/>
      <c r="BCU82" s="684"/>
      <c r="BCV82" s="684"/>
      <c r="BCW82" s="684"/>
      <c r="BCX82" s="684"/>
      <c r="BCY82" s="684"/>
      <c r="BCZ82" s="684"/>
      <c r="BDA82" s="684"/>
      <c r="BDB82" s="684"/>
      <c r="BDC82" s="684"/>
      <c r="BDD82" s="684"/>
      <c r="BDE82" s="684"/>
      <c r="BDF82" s="684"/>
      <c r="BDG82" s="684"/>
      <c r="BDH82" s="684"/>
      <c r="BDI82" s="684"/>
      <c r="BDJ82" s="684"/>
      <c r="BDK82" s="684"/>
      <c r="BDL82" s="684"/>
      <c r="BDM82" s="684"/>
      <c r="BDN82" s="684"/>
      <c r="BDO82" s="684"/>
      <c r="BDP82" s="684"/>
      <c r="BDQ82" s="684"/>
      <c r="BDR82" s="684"/>
      <c r="BDS82" s="684"/>
      <c r="BDT82" s="684"/>
      <c r="BDU82" s="684"/>
      <c r="BDV82" s="684"/>
      <c r="BDW82" s="684"/>
      <c r="BDX82" s="684"/>
      <c r="BDY82" s="684"/>
      <c r="BDZ82" s="684"/>
      <c r="BEA82" s="684"/>
      <c r="BEB82" s="684"/>
      <c r="BEC82" s="684"/>
      <c r="BED82" s="684"/>
      <c r="BEE82" s="684"/>
      <c r="BEF82" s="684"/>
      <c r="BEG82" s="684"/>
      <c r="BEH82" s="684"/>
      <c r="BEI82" s="684"/>
      <c r="BEJ82" s="684"/>
      <c r="BEK82" s="684"/>
      <c r="BEL82" s="684"/>
      <c r="BEM82" s="684"/>
      <c r="BEN82" s="684"/>
      <c r="BEO82" s="684"/>
      <c r="BEP82" s="684"/>
      <c r="BEQ82" s="684"/>
      <c r="BER82" s="684"/>
      <c r="BES82" s="684"/>
      <c r="BET82" s="684"/>
      <c r="BEU82" s="684"/>
      <c r="BEV82" s="684"/>
      <c r="BEW82" s="684"/>
      <c r="BEX82" s="684"/>
      <c r="BEY82" s="684"/>
      <c r="BEZ82" s="684"/>
      <c r="BFA82" s="684"/>
      <c r="BFB82" s="684"/>
      <c r="BFC82" s="684"/>
      <c r="BFD82" s="684"/>
      <c r="BFE82" s="684"/>
      <c r="BFF82" s="684"/>
      <c r="BFG82" s="684"/>
      <c r="BFH82" s="684"/>
      <c r="BFI82" s="684"/>
      <c r="BFJ82" s="684"/>
      <c r="BFK82" s="684"/>
      <c r="BFL82" s="684"/>
      <c r="BFM82" s="684"/>
      <c r="BFN82" s="684"/>
      <c r="BFO82" s="684"/>
      <c r="BFP82" s="684"/>
      <c r="BFQ82" s="684"/>
      <c r="BFR82" s="684"/>
      <c r="BFS82" s="684"/>
      <c r="BFT82" s="684"/>
      <c r="BFU82" s="684"/>
      <c r="BFV82" s="684"/>
      <c r="BFW82" s="684"/>
      <c r="BFX82" s="684"/>
      <c r="BFY82" s="684"/>
      <c r="BFZ82" s="684"/>
      <c r="BGA82" s="684"/>
      <c r="BGB82" s="684"/>
      <c r="BGC82" s="684"/>
      <c r="BGD82" s="684"/>
      <c r="BGE82" s="684"/>
      <c r="BGF82" s="684"/>
      <c r="BGG82" s="684"/>
      <c r="BGH82" s="684"/>
      <c r="BGI82" s="684"/>
      <c r="BGJ82" s="684"/>
      <c r="BGK82" s="684"/>
      <c r="BGL82" s="684"/>
      <c r="BGM82" s="684"/>
      <c r="BGN82" s="684"/>
      <c r="BGO82" s="684"/>
      <c r="BGP82" s="684"/>
      <c r="BGQ82" s="684"/>
      <c r="BGR82" s="684"/>
      <c r="BGS82" s="684"/>
      <c r="BGT82" s="684"/>
      <c r="BGU82" s="684"/>
      <c r="BGV82" s="684"/>
      <c r="BGW82" s="684"/>
      <c r="BGX82" s="684"/>
      <c r="BGY82" s="684"/>
      <c r="BGZ82" s="684"/>
      <c r="BHA82" s="684"/>
      <c r="BHB82" s="684"/>
      <c r="BHC82" s="684"/>
      <c r="BHD82" s="684"/>
      <c r="BHE82" s="684"/>
      <c r="BHF82" s="684"/>
      <c r="BHG82" s="684"/>
      <c r="BHH82" s="684"/>
      <c r="BHI82" s="684"/>
      <c r="BHJ82" s="684"/>
      <c r="BHK82" s="684"/>
      <c r="BHL82" s="684"/>
      <c r="BHM82" s="684"/>
      <c r="BHN82" s="684"/>
      <c r="BHO82" s="684"/>
      <c r="BHP82" s="684"/>
      <c r="BHQ82" s="684"/>
      <c r="BHR82" s="684"/>
      <c r="BHS82" s="684"/>
      <c r="BHT82" s="684"/>
      <c r="BHU82" s="684"/>
      <c r="BHV82" s="684"/>
      <c r="BHW82" s="684"/>
      <c r="BHX82" s="684"/>
      <c r="BHY82" s="684"/>
      <c r="BHZ82" s="684"/>
      <c r="BIA82" s="684"/>
      <c r="BIB82" s="684"/>
      <c r="BIC82" s="684"/>
      <c r="BID82" s="684"/>
      <c r="BIE82" s="684"/>
      <c r="BIF82" s="684"/>
      <c r="BIG82" s="684"/>
      <c r="BIH82" s="684"/>
      <c r="BII82" s="684"/>
      <c r="BIJ82" s="684"/>
      <c r="BIK82" s="684"/>
      <c r="BIL82" s="684"/>
      <c r="BIM82" s="684"/>
      <c r="BIN82" s="684"/>
      <c r="BIO82" s="684"/>
      <c r="BIP82" s="684"/>
      <c r="BIQ82" s="684"/>
      <c r="BIR82" s="684"/>
      <c r="BIS82" s="684"/>
      <c r="BIT82" s="684"/>
      <c r="BIU82" s="684"/>
      <c r="BIV82" s="684"/>
      <c r="BIW82" s="684"/>
      <c r="BIX82" s="684"/>
      <c r="BIY82" s="684"/>
      <c r="BIZ82" s="684"/>
      <c r="BJA82" s="684"/>
      <c r="BJB82" s="684"/>
      <c r="BJC82" s="684"/>
      <c r="BJD82" s="684"/>
      <c r="BJE82" s="684"/>
      <c r="BJF82" s="684"/>
      <c r="BJG82" s="684"/>
      <c r="BJH82" s="684"/>
      <c r="BJI82" s="684"/>
      <c r="BJJ82" s="684"/>
      <c r="BJK82" s="684"/>
      <c r="BJL82" s="684"/>
      <c r="BJM82" s="684"/>
      <c r="BJN82" s="684"/>
      <c r="BJO82" s="684"/>
      <c r="BJP82" s="684"/>
      <c r="BJQ82" s="684"/>
      <c r="BJR82" s="684"/>
      <c r="BJS82" s="684"/>
      <c r="BJT82" s="684"/>
      <c r="BJU82" s="684"/>
      <c r="BJV82" s="684"/>
      <c r="BJW82" s="684"/>
      <c r="BJX82" s="684"/>
      <c r="BJY82" s="684"/>
      <c r="BJZ82" s="684"/>
      <c r="BKA82" s="684"/>
      <c r="BKB82" s="684"/>
      <c r="BKC82" s="684"/>
      <c r="BKD82" s="684"/>
      <c r="BKE82" s="684"/>
      <c r="BKF82" s="684"/>
      <c r="BKG82" s="684"/>
      <c r="BKH82" s="684"/>
      <c r="BKI82" s="684"/>
      <c r="BKJ82" s="684"/>
      <c r="BKK82" s="684"/>
      <c r="BKL82" s="684"/>
      <c r="BKM82" s="684"/>
      <c r="BKN82" s="684"/>
      <c r="BKO82" s="684"/>
      <c r="BKP82" s="684"/>
      <c r="BKQ82" s="684"/>
      <c r="BKR82" s="684"/>
      <c r="BKS82" s="684"/>
      <c r="BKT82" s="684"/>
      <c r="BKU82" s="684"/>
      <c r="BKV82" s="684"/>
      <c r="BKW82" s="684"/>
      <c r="BKX82" s="684"/>
      <c r="BKY82" s="684"/>
      <c r="BKZ82" s="684"/>
      <c r="BLA82" s="684"/>
      <c r="BLB82" s="684"/>
      <c r="BLC82" s="684"/>
      <c r="BLD82" s="684"/>
      <c r="BLE82" s="684"/>
      <c r="BLF82" s="684"/>
      <c r="BLG82" s="684"/>
      <c r="BLH82" s="684"/>
      <c r="BLI82" s="684"/>
      <c r="BLJ82" s="684"/>
      <c r="BLK82" s="684"/>
      <c r="BLL82" s="684"/>
      <c r="BLM82" s="684"/>
      <c r="BLN82" s="684"/>
      <c r="BLO82" s="684"/>
      <c r="BLP82" s="684"/>
      <c r="BLQ82" s="684"/>
      <c r="BLR82" s="684"/>
      <c r="BLS82" s="684"/>
      <c r="BLT82" s="684"/>
      <c r="BLU82" s="684"/>
      <c r="BLV82" s="684"/>
      <c r="BLW82" s="684"/>
      <c r="BLX82" s="684"/>
      <c r="BLY82" s="684"/>
      <c r="BLZ82" s="684"/>
      <c r="BMA82" s="684"/>
      <c r="BMB82" s="684"/>
      <c r="BMC82" s="684"/>
      <c r="BMD82" s="684"/>
      <c r="BME82" s="684"/>
      <c r="BMF82" s="684"/>
      <c r="BMG82" s="684"/>
      <c r="BMH82" s="684"/>
      <c r="BMI82" s="684"/>
      <c r="BMJ82" s="684"/>
      <c r="BMK82" s="684"/>
      <c r="BML82" s="684"/>
      <c r="BMM82" s="684"/>
      <c r="BMN82" s="684"/>
      <c r="BMO82" s="684"/>
      <c r="BMP82" s="684"/>
      <c r="BMQ82" s="684"/>
      <c r="BMR82" s="684"/>
      <c r="BMS82" s="684"/>
      <c r="BMT82" s="684"/>
      <c r="BMU82" s="684"/>
      <c r="BMV82" s="684"/>
      <c r="BMW82" s="684"/>
      <c r="BMX82" s="684"/>
      <c r="BMY82" s="684"/>
      <c r="BMZ82" s="684"/>
      <c r="BNA82" s="684"/>
      <c r="BNB82" s="684"/>
      <c r="BNC82" s="684"/>
      <c r="BND82" s="684"/>
      <c r="BNE82" s="684"/>
      <c r="BNF82" s="684"/>
      <c r="BNG82" s="684"/>
      <c r="BNH82" s="684"/>
      <c r="BNI82" s="684"/>
      <c r="BNJ82" s="684"/>
      <c r="BNK82" s="684"/>
      <c r="BNL82" s="684"/>
      <c r="BNM82" s="684"/>
      <c r="BNN82" s="684"/>
      <c r="BNO82" s="684"/>
      <c r="BNP82" s="684"/>
      <c r="BNQ82" s="684"/>
      <c r="BNR82" s="684"/>
      <c r="BNS82" s="684"/>
      <c r="BNT82" s="684"/>
      <c r="BNU82" s="684"/>
      <c r="BNV82" s="684"/>
      <c r="BNW82" s="684"/>
      <c r="BNX82" s="684"/>
      <c r="BNY82" s="684"/>
      <c r="BNZ82" s="684"/>
      <c r="BOA82" s="684"/>
      <c r="BOB82" s="684"/>
      <c r="BOC82" s="684"/>
      <c r="BOD82" s="684"/>
      <c r="BOE82" s="684"/>
      <c r="BOF82" s="684"/>
      <c r="BOG82" s="684"/>
      <c r="BOH82" s="684"/>
      <c r="BOI82" s="684"/>
      <c r="BOJ82" s="684"/>
      <c r="BOK82" s="684"/>
      <c r="BOL82" s="684"/>
      <c r="BOM82" s="684"/>
      <c r="BON82" s="684"/>
      <c r="BOO82" s="684"/>
      <c r="BOP82" s="684"/>
      <c r="BOQ82" s="684"/>
      <c r="BOR82" s="684"/>
      <c r="BOS82" s="684"/>
      <c r="BOT82" s="684"/>
      <c r="BOU82" s="684"/>
      <c r="BOV82" s="684"/>
      <c r="BOW82" s="684"/>
      <c r="BOX82" s="684"/>
      <c r="BOY82" s="684"/>
      <c r="BOZ82" s="684"/>
      <c r="BPA82" s="684"/>
      <c r="BPB82" s="684"/>
      <c r="BPC82" s="684"/>
      <c r="BPD82" s="684"/>
      <c r="BPE82" s="684"/>
      <c r="BPF82" s="684"/>
      <c r="BPG82" s="684"/>
      <c r="BPH82" s="684"/>
      <c r="BPI82" s="684"/>
      <c r="BPJ82" s="684"/>
      <c r="BPK82" s="684"/>
      <c r="BPL82" s="684"/>
      <c r="BPM82" s="684"/>
      <c r="BPN82" s="684"/>
      <c r="BPO82" s="684"/>
      <c r="BPP82" s="684"/>
      <c r="BPQ82" s="684"/>
      <c r="BPR82" s="684"/>
      <c r="BPS82" s="684"/>
      <c r="BPT82" s="684"/>
      <c r="BPU82" s="684"/>
      <c r="BPV82" s="684"/>
      <c r="BPW82" s="684"/>
      <c r="BPX82" s="684"/>
      <c r="BPY82" s="684"/>
      <c r="BPZ82" s="684"/>
      <c r="BQA82" s="684"/>
      <c r="BQB82" s="684"/>
      <c r="BQC82" s="684"/>
      <c r="BQD82" s="684"/>
      <c r="BQE82" s="684"/>
      <c r="BQF82" s="684"/>
      <c r="BQG82" s="684"/>
      <c r="BQH82" s="684"/>
      <c r="BQI82" s="684"/>
      <c r="BQJ82" s="684"/>
      <c r="BQK82" s="684"/>
      <c r="BQL82" s="684"/>
      <c r="BQM82" s="684"/>
      <c r="BQN82" s="684"/>
      <c r="BQO82" s="684"/>
      <c r="BQP82" s="684"/>
      <c r="BQQ82" s="684"/>
      <c r="BQR82" s="684"/>
      <c r="BQS82" s="684"/>
      <c r="BQT82" s="684"/>
      <c r="BQU82" s="684"/>
      <c r="BQV82" s="684"/>
      <c r="BQW82" s="684"/>
      <c r="BQX82" s="684"/>
      <c r="BQY82" s="684"/>
      <c r="BQZ82" s="684"/>
      <c r="BRA82" s="684"/>
      <c r="BRB82" s="684"/>
      <c r="BRC82" s="684"/>
      <c r="BRD82" s="684"/>
      <c r="BRE82" s="684"/>
      <c r="BRF82" s="684"/>
      <c r="BRG82" s="684"/>
      <c r="BRH82" s="684"/>
      <c r="BRI82" s="684"/>
      <c r="BRJ82" s="684"/>
      <c r="BRK82" s="684"/>
      <c r="BRL82" s="684"/>
      <c r="BRM82" s="684"/>
      <c r="BRN82" s="684"/>
      <c r="BRO82" s="684"/>
      <c r="BRP82" s="684"/>
      <c r="BRQ82" s="684"/>
      <c r="BRR82" s="684"/>
      <c r="BRS82" s="684"/>
      <c r="BRT82" s="684"/>
      <c r="BRU82" s="684"/>
      <c r="BRV82" s="684"/>
      <c r="BRW82" s="684"/>
      <c r="BRX82" s="684"/>
      <c r="BRY82" s="684"/>
      <c r="BRZ82" s="684"/>
      <c r="BSA82" s="684"/>
      <c r="BSB82" s="684"/>
      <c r="BSC82" s="684"/>
      <c r="BSD82" s="684"/>
      <c r="BSE82" s="684"/>
      <c r="BSF82" s="684"/>
      <c r="BSG82" s="684"/>
      <c r="BSH82" s="684"/>
      <c r="BSI82" s="684"/>
      <c r="BSJ82" s="684"/>
      <c r="BSK82" s="684"/>
      <c r="BSL82" s="684"/>
      <c r="BSM82" s="684"/>
      <c r="BSN82" s="684"/>
      <c r="BSO82" s="684"/>
      <c r="BSP82" s="684"/>
      <c r="BSQ82" s="684"/>
      <c r="BSR82" s="684"/>
      <c r="BSS82" s="684"/>
      <c r="BST82" s="684"/>
      <c r="BSU82" s="684"/>
      <c r="BSV82" s="684"/>
      <c r="BSW82" s="684"/>
      <c r="BSX82" s="684"/>
      <c r="BSY82" s="684"/>
      <c r="BSZ82" s="684"/>
      <c r="BTA82" s="684"/>
      <c r="BTB82" s="684"/>
      <c r="BTC82" s="684"/>
      <c r="BTD82" s="684"/>
      <c r="BTE82" s="684"/>
      <c r="BTF82" s="684"/>
      <c r="BTG82" s="684"/>
      <c r="BTH82" s="684"/>
      <c r="BTI82" s="684"/>
      <c r="BTJ82" s="684"/>
      <c r="BTK82" s="684"/>
      <c r="BTL82" s="684"/>
      <c r="BTM82" s="684"/>
      <c r="BTN82" s="684"/>
      <c r="BTO82" s="684"/>
      <c r="BTP82" s="684"/>
      <c r="BTQ82" s="684"/>
      <c r="BTR82" s="684"/>
      <c r="BTS82" s="684"/>
      <c r="BTT82" s="684"/>
      <c r="BTU82" s="684"/>
      <c r="BTV82" s="684"/>
      <c r="BTW82" s="684"/>
      <c r="BTX82" s="684"/>
      <c r="BTY82" s="684"/>
      <c r="BTZ82" s="684"/>
      <c r="BUA82" s="684"/>
      <c r="BUB82" s="684"/>
      <c r="BUC82" s="684"/>
      <c r="BUD82" s="684"/>
      <c r="BUE82" s="684"/>
      <c r="BUF82" s="684"/>
      <c r="BUG82" s="684"/>
      <c r="BUH82" s="684"/>
      <c r="BUI82" s="684"/>
      <c r="BUJ82" s="684"/>
      <c r="BUK82" s="684"/>
      <c r="BUL82" s="684"/>
      <c r="BUM82" s="684"/>
      <c r="BUN82" s="684"/>
      <c r="BUO82" s="684"/>
      <c r="BUP82" s="684"/>
      <c r="BUQ82" s="684"/>
      <c r="BUR82" s="684"/>
      <c r="BUS82" s="684"/>
      <c r="BUT82" s="684"/>
      <c r="BUU82" s="684"/>
      <c r="BUV82" s="684"/>
      <c r="BUW82" s="684"/>
      <c r="BUX82" s="684"/>
      <c r="BUY82" s="684"/>
      <c r="BUZ82" s="684"/>
      <c r="BVA82" s="684"/>
      <c r="BVB82" s="684"/>
      <c r="BVC82" s="684"/>
      <c r="BVD82" s="684"/>
      <c r="BVE82" s="684"/>
      <c r="BVF82" s="684"/>
      <c r="BVG82" s="684"/>
      <c r="BVH82" s="684"/>
      <c r="BVI82" s="684"/>
      <c r="BVJ82" s="684"/>
      <c r="BVK82" s="684"/>
      <c r="BVL82" s="684"/>
      <c r="BVM82" s="684"/>
      <c r="BVN82" s="684"/>
      <c r="BVO82" s="684"/>
      <c r="BVP82" s="684"/>
      <c r="BVQ82" s="684"/>
      <c r="BVR82" s="684"/>
      <c r="BVS82" s="684"/>
      <c r="BVT82" s="684"/>
      <c r="BVU82" s="684"/>
      <c r="BVV82" s="684"/>
      <c r="BVW82" s="684"/>
      <c r="BVX82" s="684"/>
      <c r="BVY82" s="684"/>
      <c r="BVZ82" s="684"/>
      <c r="BWA82" s="684"/>
      <c r="BWB82" s="684"/>
      <c r="BWC82" s="684"/>
      <c r="BWD82" s="684"/>
      <c r="BWE82" s="684"/>
      <c r="BWF82" s="684"/>
      <c r="BWG82" s="684"/>
      <c r="BWH82" s="684"/>
      <c r="BWI82" s="684"/>
      <c r="BWJ82" s="684"/>
      <c r="BWK82" s="684"/>
      <c r="BWL82" s="684"/>
      <c r="BWM82" s="684"/>
      <c r="BWN82" s="684"/>
      <c r="BWO82" s="684"/>
      <c r="BWP82" s="684"/>
      <c r="BWQ82" s="684"/>
      <c r="BWR82" s="684"/>
      <c r="BWS82" s="684"/>
      <c r="BWT82" s="684"/>
      <c r="BWU82" s="684"/>
      <c r="BWV82" s="684"/>
      <c r="BWW82" s="684"/>
      <c r="BWX82" s="684"/>
      <c r="BWY82" s="684"/>
      <c r="BWZ82" s="684"/>
      <c r="BXA82" s="684"/>
      <c r="BXB82" s="684"/>
      <c r="BXC82" s="684"/>
      <c r="BXD82" s="684"/>
      <c r="BXE82" s="684"/>
      <c r="BXF82" s="684"/>
      <c r="BXG82" s="684"/>
      <c r="BXH82" s="684"/>
      <c r="BXI82" s="684"/>
      <c r="BXJ82" s="684"/>
      <c r="BXK82" s="684"/>
      <c r="BXL82" s="684"/>
      <c r="BXM82" s="684"/>
      <c r="BXN82" s="684"/>
      <c r="BXO82" s="684"/>
      <c r="BXP82" s="684"/>
      <c r="BXQ82" s="684"/>
      <c r="BXR82" s="684"/>
      <c r="BXS82" s="684"/>
      <c r="BXT82" s="684"/>
      <c r="BXU82" s="684"/>
      <c r="BXV82" s="684"/>
      <c r="BXW82" s="684"/>
      <c r="BXX82" s="684"/>
      <c r="BXY82" s="684"/>
      <c r="BXZ82" s="684"/>
      <c r="BYA82" s="684"/>
      <c r="BYB82" s="684"/>
      <c r="BYC82" s="684"/>
      <c r="BYD82" s="684"/>
      <c r="BYE82" s="684"/>
      <c r="BYF82" s="684"/>
      <c r="BYG82" s="684"/>
      <c r="BYH82" s="684"/>
      <c r="BYI82" s="684"/>
      <c r="BYJ82" s="684"/>
      <c r="BYK82" s="684"/>
      <c r="BYL82" s="684"/>
      <c r="BYM82" s="684"/>
      <c r="BYN82" s="684"/>
      <c r="BYO82" s="684"/>
      <c r="BYP82" s="684"/>
      <c r="BYQ82" s="684"/>
      <c r="BYR82" s="684"/>
      <c r="BYS82" s="684"/>
      <c r="BYT82" s="684"/>
      <c r="BYU82" s="684"/>
      <c r="BYV82" s="684"/>
      <c r="BYW82" s="684"/>
      <c r="BYX82" s="684"/>
      <c r="BYY82" s="684"/>
      <c r="BYZ82" s="684"/>
      <c r="BZA82" s="684"/>
      <c r="BZB82" s="684"/>
      <c r="BZC82" s="684"/>
      <c r="BZD82" s="684"/>
      <c r="BZE82" s="684"/>
      <c r="BZF82" s="684"/>
      <c r="BZG82" s="684"/>
      <c r="BZH82" s="684"/>
      <c r="BZI82" s="684"/>
      <c r="BZJ82" s="684"/>
      <c r="BZK82" s="684"/>
      <c r="BZL82" s="684"/>
      <c r="BZM82" s="684"/>
      <c r="BZN82" s="684"/>
      <c r="BZO82" s="684"/>
      <c r="BZP82" s="684"/>
      <c r="BZQ82" s="684"/>
      <c r="BZR82" s="684"/>
      <c r="BZS82" s="684"/>
      <c r="BZT82" s="684"/>
      <c r="BZU82" s="684"/>
      <c r="BZV82" s="684"/>
      <c r="BZW82" s="684"/>
      <c r="BZX82" s="684"/>
      <c r="BZY82" s="684"/>
      <c r="BZZ82" s="684"/>
      <c r="CAA82" s="684"/>
      <c r="CAB82" s="684"/>
      <c r="CAC82" s="684"/>
      <c r="CAD82" s="684"/>
      <c r="CAE82" s="684"/>
      <c r="CAF82" s="684"/>
      <c r="CAG82" s="684"/>
      <c r="CAH82" s="684"/>
      <c r="CAI82" s="684"/>
      <c r="CAJ82" s="684"/>
      <c r="CAK82" s="684"/>
      <c r="CAL82" s="684"/>
      <c r="CAM82" s="684"/>
      <c r="CAN82" s="684"/>
      <c r="CAO82" s="684"/>
      <c r="CAP82" s="684"/>
      <c r="CAQ82" s="684"/>
      <c r="CAR82" s="684"/>
      <c r="CAS82" s="684"/>
      <c r="CAT82" s="684"/>
      <c r="CAU82" s="684"/>
      <c r="CAV82" s="684"/>
      <c r="CAW82" s="684"/>
      <c r="CAX82" s="684"/>
      <c r="CAY82" s="684"/>
      <c r="CAZ82" s="684"/>
      <c r="CBA82" s="684"/>
      <c r="CBB82" s="684"/>
      <c r="CBC82" s="684"/>
      <c r="CBD82" s="684"/>
      <c r="CBE82" s="684"/>
      <c r="CBF82" s="684"/>
      <c r="CBG82" s="684"/>
      <c r="CBH82" s="684"/>
      <c r="CBI82" s="684"/>
      <c r="CBJ82" s="684"/>
      <c r="CBK82" s="684"/>
      <c r="CBL82" s="684"/>
      <c r="CBM82" s="684"/>
      <c r="CBN82" s="684"/>
      <c r="CBO82" s="684"/>
      <c r="CBP82" s="684"/>
      <c r="CBQ82" s="684"/>
      <c r="CBR82" s="684"/>
      <c r="CBS82" s="684"/>
      <c r="CBT82" s="684"/>
      <c r="CBU82" s="684"/>
      <c r="CBV82" s="684"/>
      <c r="CBW82" s="684"/>
      <c r="CBX82" s="684"/>
      <c r="CBY82" s="684"/>
      <c r="CBZ82" s="684"/>
      <c r="CCA82" s="684"/>
      <c r="CCB82" s="684"/>
      <c r="CCC82" s="684"/>
      <c r="CCD82" s="684"/>
      <c r="CCE82" s="684"/>
      <c r="CCF82" s="684"/>
      <c r="CCG82" s="684"/>
      <c r="CCH82" s="684"/>
      <c r="CCI82" s="684"/>
      <c r="CCJ82" s="684"/>
      <c r="CCK82" s="684"/>
      <c r="CCL82" s="684"/>
      <c r="CCM82" s="684"/>
      <c r="CCN82" s="684"/>
      <c r="CCO82" s="684"/>
      <c r="CCP82" s="684"/>
      <c r="CCQ82" s="684"/>
      <c r="CCR82" s="684"/>
      <c r="CCS82" s="684"/>
      <c r="CCT82" s="684"/>
      <c r="CCU82" s="684"/>
      <c r="CCV82" s="684"/>
      <c r="CCW82" s="684"/>
      <c r="CCX82" s="684"/>
      <c r="CCY82" s="684"/>
      <c r="CCZ82" s="684"/>
      <c r="CDA82" s="684"/>
      <c r="CDB82" s="684"/>
      <c r="CDC82" s="684"/>
      <c r="CDD82" s="684"/>
      <c r="CDE82" s="684"/>
      <c r="CDF82" s="684"/>
      <c r="CDG82" s="684"/>
      <c r="CDH82" s="684"/>
      <c r="CDI82" s="684"/>
      <c r="CDJ82" s="684"/>
      <c r="CDK82" s="684"/>
      <c r="CDL82" s="684"/>
      <c r="CDM82" s="684"/>
      <c r="CDN82" s="684"/>
      <c r="CDO82" s="684"/>
      <c r="CDP82" s="684"/>
      <c r="CDQ82" s="684"/>
      <c r="CDR82" s="684"/>
      <c r="CDS82" s="684"/>
      <c r="CDT82" s="684"/>
      <c r="CDU82" s="684"/>
      <c r="CDV82" s="684"/>
      <c r="CDW82" s="684"/>
      <c r="CDX82" s="684"/>
      <c r="CDY82" s="684"/>
      <c r="CDZ82" s="684"/>
      <c r="CEA82" s="684"/>
      <c r="CEB82" s="684"/>
      <c r="CEC82" s="684"/>
      <c r="CED82" s="684"/>
      <c r="CEE82" s="684"/>
      <c r="CEF82" s="684"/>
      <c r="CEG82" s="684"/>
      <c r="CEH82" s="684"/>
      <c r="CEI82" s="684"/>
      <c r="CEJ82" s="684"/>
      <c r="CEK82" s="684"/>
      <c r="CEL82" s="684"/>
      <c r="CEM82" s="684"/>
      <c r="CEN82" s="684"/>
      <c r="CEO82" s="684"/>
      <c r="CEP82" s="684"/>
      <c r="CEQ82" s="684"/>
      <c r="CER82" s="684"/>
      <c r="CES82" s="684"/>
      <c r="CET82" s="684"/>
      <c r="CEU82" s="684"/>
      <c r="CEV82" s="684"/>
      <c r="CEW82" s="684"/>
      <c r="CEX82" s="684"/>
      <c r="CEY82" s="684"/>
      <c r="CEZ82" s="684"/>
      <c r="CFA82" s="684"/>
      <c r="CFB82" s="684"/>
      <c r="CFC82" s="684"/>
      <c r="CFD82" s="684"/>
      <c r="CFE82" s="684"/>
      <c r="CFF82" s="684"/>
      <c r="CFG82" s="684"/>
      <c r="CFH82" s="684"/>
      <c r="CFI82" s="684"/>
      <c r="CFJ82" s="684"/>
      <c r="CFK82" s="684"/>
      <c r="CFL82" s="684"/>
      <c r="CFM82" s="684"/>
      <c r="CFN82" s="684"/>
      <c r="CFO82" s="684"/>
      <c r="CFP82" s="684"/>
      <c r="CFQ82" s="684"/>
      <c r="CFR82" s="684"/>
      <c r="CFS82" s="684"/>
      <c r="CFT82" s="684"/>
      <c r="CFU82" s="684"/>
      <c r="CFV82" s="684"/>
      <c r="CFW82" s="684"/>
      <c r="CFX82" s="684"/>
      <c r="CFY82" s="684"/>
      <c r="CFZ82" s="684"/>
      <c r="CGA82" s="684"/>
      <c r="CGB82" s="684"/>
      <c r="CGC82" s="684"/>
      <c r="CGD82" s="684"/>
      <c r="CGE82" s="684"/>
      <c r="CGF82" s="684"/>
      <c r="CGG82" s="684"/>
      <c r="CGH82" s="684"/>
      <c r="CGI82" s="684"/>
      <c r="CGJ82" s="684"/>
      <c r="CGK82" s="684"/>
      <c r="CGL82" s="684"/>
      <c r="CGM82" s="684"/>
      <c r="CGN82" s="684"/>
      <c r="CGO82" s="684"/>
      <c r="CGP82" s="684"/>
      <c r="CGQ82" s="684"/>
      <c r="CGR82" s="684"/>
      <c r="CGS82" s="684"/>
      <c r="CGT82" s="684"/>
      <c r="CGU82" s="684"/>
      <c r="CGV82" s="684"/>
      <c r="CGW82" s="684"/>
      <c r="CGX82" s="684"/>
      <c r="CGY82" s="684"/>
      <c r="CGZ82" s="684"/>
      <c r="CHA82" s="684"/>
      <c r="CHB82" s="684"/>
      <c r="CHC82" s="684"/>
      <c r="CHD82" s="684"/>
      <c r="CHE82" s="684"/>
      <c r="CHF82" s="684"/>
      <c r="CHG82" s="684"/>
      <c r="CHH82" s="684"/>
      <c r="CHI82" s="684"/>
      <c r="CHJ82" s="684"/>
      <c r="CHK82" s="684"/>
      <c r="CHL82" s="684"/>
      <c r="CHM82" s="684"/>
      <c r="CHN82" s="684"/>
      <c r="CHO82" s="684"/>
      <c r="CHP82" s="684"/>
      <c r="CHQ82" s="684"/>
      <c r="CHR82" s="684"/>
      <c r="CHS82" s="684"/>
      <c r="CHT82" s="684"/>
      <c r="CHU82" s="684"/>
      <c r="CHV82" s="684"/>
      <c r="CHW82" s="684"/>
      <c r="CHX82" s="684"/>
      <c r="CHY82" s="684"/>
      <c r="CHZ82" s="684"/>
      <c r="CIA82" s="684"/>
      <c r="CIB82" s="684"/>
      <c r="CIC82" s="684"/>
      <c r="CID82" s="684"/>
      <c r="CIE82" s="684"/>
      <c r="CIF82" s="684"/>
      <c r="CIG82" s="684"/>
      <c r="CIH82" s="684"/>
      <c r="CII82" s="684"/>
      <c r="CIJ82" s="684"/>
      <c r="CIK82" s="684"/>
      <c r="CIL82" s="684"/>
      <c r="CIM82" s="684"/>
      <c r="CIN82" s="684"/>
      <c r="CIO82" s="684"/>
      <c r="CIP82" s="684"/>
      <c r="CIQ82" s="684"/>
      <c r="CIR82" s="684"/>
      <c r="CIS82" s="684"/>
      <c r="CIT82" s="684"/>
      <c r="CIU82" s="684"/>
      <c r="CIV82" s="684"/>
      <c r="CIW82" s="684"/>
      <c r="CIX82" s="684"/>
      <c r="CIY82" s="684"/>
      <c r="CIZ82" s="684"/>
      <c r="CJA82" s="684"/>
      <c r="CJB82" s="684"/>
      <c r="CJC82" s="684"/>
      <c r="CJD82" s="684"/>
      <c r="CJE82" s="684"/>
      <c r="CJF82" s="684"/>
      <c r="CJG82" s="684"/>
      <c r="CJH82" s="684"/>
      <c r="CJI82" s="684"/>
      <c r="CJJ82" s="684"/>
      <c r="CJK82" s="684"/>
      <c r="CJL82" s="684"/>
      <c r="CJM82" s="684"/>
      <c r="CJN82" s="684"/>
      <c r="CJO82" s="684"/>
      <c r="CJP82" s="684"/>
      <c r="CJQ82" s="684"/>
      <c r="CJR82" s="684"/>
      <c r="CJS82" s="684"/>
      <c r="CJT82" s="684"/>
      <c r="CJU82" s="684"/>
      <c r="CJV82" s="684"/>
      <c r="CJW82" s="684"/>
      <c r="CJX82" s="684"/>
      <c r="CJY82" s="684"/>
      <c r="CJZ82" s="684"/>
      <c r="CKA82" s="684"/>
      <c r="CKB82" s="684"/>
      <c r="CKC82" s="684"/>
      <c r="CKD82" s="684"/>
      <c r="CKE82" s="684"/>
      <c r="CKF82" s="684"/>
      <c r="CKG82" s="684"/>
      <c r="CKH82" s="684"/>
      <c r="CKI82" s="684"/>
      <c r="CKJ82" s="684"/>
      <c r="CKK82" s="684"/>
      <c r="CKL82" s="684"/>
      <c r="CKM82" s="684"/>
      <c r="CKN82" s="684"/>
      <c r="CKO82" s="684"/>
      <c r="CKP82" s="684"/>
      <c r="CKQ82" s="684"/>
      <c r="CKR82" s="684"/>
      <c r="CKS82" s="684"/>
      <c r="CKT82" s="684"/>
      <c r="CKU82" s="684"/>
      <c r="CKV82" s="684"/>
      <c r="CKW82" s="684"/>
      <c r="CKX82" s="684"/>
      <c r="CKY82" s="684"/>
      <c r="CKZ82" s="684"/>
      <c r="CLA82" s="684"/>
      <c r="CLB82" s="684"/>
      <c r="CLC82" s="684"/>
      <c r="CLD82" s="684"/>
      <c r="CLE82" s="684"/>
      <c r="CLF82" s="684"/>
      <c r="CLG82" s="684"/>
      <c r="CLH82" s="684"/>
      <c r="CLI82" s="684"/>
      <c r="CLJ82" s="684"/>
      <c r="CLK82" s="684"/>
      <c r="CLL82" s="684"/>
      <c r="CLM82" s="684"/>
      <c r="CLN82" s="684"/>
      <c r="CLO82" s="684"/>
      <c r="CLP82" s="684"/>
      <c r="CLQ82" s="684"/>
      <c r="CLR82" s="684"/>
      <c r="CLS82" s="684"/>
      <c r="CLT82" s="684"/>
      <c r="CLU82" s="684"/>
      <c r="CLV82" s="684"/>
      <c r="CLW82" s="684"/>
      <c r="CLX82" s="684"/>
      <c r="CLY82" s="684"/>
      <c r="CLZ82" s="684"/>
      <c r="CMA82" s="684"/>
      <c r="CMB82" s="684"/>
      <c r="CMC82" s="684"/>
      <c r="CMD82" s="684"/>
      <c r="CME82" s="684"/>
      <c r="CMF82" s="684"/>
      <c r="CMG82" s="684"/>
      <c r="CMH82" s="684"/>
      <c r="CMI82" s="684"/>
      <c r="CMJ82" s="684"/>
      <c r="CMK82" s="684"/>
      <c r="CML82" s="684"/>
      <c r="CMM82" s="684"/>
      <c r="CMN82" s="684"/>
      <c r="CMO82" s="684"/>
      <c r="CMP82" s="684"/>
      <c r="CMQ82" s="684"/>
      <c r="CMR82" s="684"/>
      <c r="CMS82" s="684"/>
      <c r="CMT82" s="684"/>
      <c r="CMU82" s="684"/>
      <c r="CMV82" s="684"/>
      <c r="CMW82" s="684"/>
      <c r="CMX82" s="684"/>
      <c r="CMY82" s="684"/>
      <c r="CMZ82" s="684"/>
      <c r="CNA82" s="684"/>
      <c r="CNB82" s="684"/>
      <c r="CNC82" s="684"/>
      <c r="CND82" s="684"/>
      <c r="CNE82" s="684"/>
      <c r="CNF82" s="684"/>
      <c r="CNG82" s="684"/>
      <c r="CNH82" s="684"/>
      <c r="CNI82" s="684"/>
      <c r="CNJ82" s="684"/>
      <c r="CNK82" s="684"/>
      <c r="CNL82" s="684"/>
      <c r="CNM82" s="684"/>
      <c r="CNN82" s="684"/>
      <c r="CNO82" s="684"/>
      <c r="CNP82" s="684"/>
      <c r="CNQ82" s="684"/>
      <c r="CNR82" s="684"/>
      <c r="CNS82" s="684"/>
      <c r="CNT82" s="684"/>
      <c r="CNU82" s="684"/>
      <c r="CNV82" s="684"/>
      <c r="CNW82" s="684"/>
      <c r="CNX82" s="684"/>
      <c r="CNY82" s="684"/>
      <c r="CNZ82" s="684"/>
      <c r="COA82" s="684"/>
      <c r="COB82" s="684"/>
      <c r="COC82" s="684"/>
      <c r="COD82" s="684"/>
      <c r="COE82" s="684"/>
      <c r="COF82" s="684"/>
      <c r="COG82" s="684"/>
      <c r="COH82" s="684"/>
      <c r="COI82" s="684"/>
      <c r="COJ82" s="684"/>
      <c r="COK82" s="684"/>
      <c r="COL82" s="684"/>
      <c r="COM82" s="684"/>
      <c r="CON82" s="684"/>
      <c r="COO82" s="684"/>
      <c r="COP82" s="684"/>
      <c r="COQ82" s="684"/>
      <c r="COR82" s="684"/>
      <c r="COS82" s="684"/>
      <c r="COT82" s="684"/>
      <c r="COU82" s="684"/>
      <c r="COV82" s="684"/>
      <c r="COW82" s="684"/>
      <c r="COX82" s="684"/>
      <c r="COY82" s="684"/>
      <c r="COZ82" s="684"/>
      <c r="CPA82" s="684"/>
      <c r="CPB82" s="684"/>
      <c r="CPC82" s="684"/>
      <c r="CPD82" s="684"/>
      <c r="CPE82" s="684"/>
      <c r="CPF82" s="684"/>
      <c r="CPG82" s="684"/>
      <c r="CPH82" s="684"/>
      <c r="CPI82" s="684"/>
      <c r="CPJ82" s="684"/>
      <c r="CPK82" s="684"/>
      <c r="CPL82" s="684"/>
      <c r="CPM82" s="684"/>
      <c r="CPN82" s="684"/>
      <c r="CPO82" s="684"/>
      <c r="CPP82" s="684"/>
      <c r="CPQ82" s="684"/>
      <c r="CPR82" s="684"/>
      <c r="CPS82" s="684"/>
      <c r="CPT82" s="684"/>
      <c r="CPU82" s="684"/>
      <c r="CPV82" s="684"/>
      <c r="CPW82" s="684"/>
      <c r="CPX82" s="684"/>
      <c r="CPY82" s="684"/>
      <c r="CPZ82" s="684"/>
      <c r="CQA82" s="684"/>
      <c r="CQB82" s="684"/>
      <c r="CQC82" s="684"/>
      <c r="CQD82" s="684"/>
      <c r="CQE82" s="684"/>
      <c r="CQF82" s="684"/>
      <c r="CQG82" s="684"/>
      <c r="CQH82" s="684"/>
      <c r="CQI82" s="684"/>
      <c r="CQJ82" s="684"/>
      <c r="CQK82" s="684"/>
      <c r="CQL82" s="684"/>
      <c r="CQM82" s="684"/>
      <c r="CQN82" s="684"/>
      <c r="CQO82" s="684"/>
      <c r="CQP82" s="684"/>
      <c r="CQQ82" s="684"/>
      <c r="CQR82" s="684"/>
      <c r="CQS82" s="684"/>
      <c r="CQT82" s="684"/>
      <c r="CQU82" s="684"/>
      <c r="CQV82" s="684"/>
      <c r="CQW82" s="684"/>
      <c r="CQX82" s="684"/>
      <c r="CQY82" s="684"/>
      <c r="CQZ82" s="684"/>
      <c r="CRA82" s="684"/>
      <c r="CRB82" s="684"/>
      <c r="CRC82" s="684"/>
      <c r="CRD82" s="684"/>
      <c r="CRE82" s="684"/>
      <c r="CRF82" s="684"/>
      <c r="CRG82" s="684"/>
      <c r="CRH82" s="684"/>
      <c r="CRI82" s="684"/>
      <c r="CRJ82" s="684"/>
      <c r="CRK82" s="684"/>
      <c r="CRL82" s="684"/>
      <c r="CRM82" s="684"/>
      <c r="CRN82" s="684"/>
      <c r="CRO82" s="684"/>
      <c r="CRP82" s="684"/>
      <c r="CRQ82" s="684"/>
      <c r="CRR82" s="684"/>
      <c r="CRS82" s="684"/>
      <c r="CRT82" s="684"/>
      <c r="CRU82" s="684"/>
      <c r="CRV82" s="684"/>
      <c r="CRW82" s="684"/>
      <c r="CRX82" s="684"/>
      <c r="CRY82" s="684"/>
      <c r="CRZ82" s="684"/>
      <c r="CSA82" s="684"/>
      <c r="CSB82" s="684"/>
      <c r="CSC82" s="684"/>
      <c r="CSD82" s="684"/>
      <c r="CSE82" s="684"/>
      <c r="CSF82" s="684"/>
      <c r="CSG82" s="684"/>
      <c r="CSH82" s="684"/>
      <c r="CSI82" s="684"/>
      <c r="CSJ82" s="684"/>
      <c r="CSK82" s="684"/>
      <c r="CSL82" s="684"/>
      <c r="CSM82" s="684"/>
      <c r="CSN82" s="684"/>
      <c r="CSO82" s="684"/>
      <c r="CSP82" s="684"/>
      <c r="CSQ82" s="684"/>
      <c r="CSR82" s="684"/>
      <c r="CSS82" s="684"/>
      <c r="CST82" s="684"/>
      <c r="CSU82" s="684"/>
      <c r="CSV82" s="684"/>
      <c r="CSW82" s="684"/>
      <c r="CSX82" s="684"/>
      <c r="CSY82" s="684"/>
      <c r="CSZ82" s="684"/>
      <c r="CTA82" s="684"/>
      <c r="CTB82" s="684"/>
      <c r="CTC82" s="684"/>
      <c r="CTD82" s="684"/>
      <c r="CTE82" s="684"/>
      <c r="CTF82" s="684"/>
      <c r="CTG82" s="684"/>
      <c r="CTH82" s="684"/>
      <c r="CTI82" s="684"/>
      <c r="CTJ82" s="684"/>
      <c r="CTK82" s="684"/>
      <c r="CTL82" s="684"/>
      <c r="CTM82" s="684"/>
      <c r="CTN82" s="684"/>
      <c r="CTO82" s="684"/>
      <c r="CTP82" s="684"/>
      <c r="CTQ82" s="684"/>
      <c r="CTR82" s="684"/>
      <c r="CTS82" s="684"/>
      <c r="CTT82" s="684"/>
      <c r="CTU82" s="684"/>
      <c r="CTV82" s="684"/>
      <c r="CTW82" s="684"/>
      <c r="CTX82" s="684"/>
      <c r="CTY82" s="684"/>
      <c r="CTZ82" s="684"/>
      <c r="CUA82" s="684"/>
      <c r="CUB82" s="684"/>
      <c r="CUC82" s="684"/>
      <c r="CUD82" s="684"/>
      <c r="CUE82" s="684"/>
      <c r="CUF82" s="684"/>
      <c r="CUG82" s="684"/>
      <c r="CUH82" s="684"/>
      <c r="CUI82" s="684"/>
      <c r="CUJ82" s="684"/>
      <c r="CUK82" s="684"/>
      <c r="CUL82" s="684"/>
      <c r="CUM82" s="684"/>
      <c r="CUN82" s="684"/>
      <c r="CUO82" s="684"/>
      <c r="CUP82" s="684"/>
      <c r="CUQ82" s="684"/>
      <c r="CUR82" s="684"/>
      <c r="CUS82" s="684"/>
      <c r="CUT82" s="684"/>
      <c r="CUU82" s="684"/>
      <c r="CUV82" s="684"/>
      <c r="CUW82" s="684"/>
      <c r="CUX82" s="684"/>
      <c r="CUY82" s="684"/>
      <c r="CUZ82" s="684"/>
      <c r="CVA82" s="684"/>
      <c r="CVB82" s="684"/>
      <c r="CVC82" s="684"/>
      <c r="CVD82" s="684"/>
      <c r="CVE82" s="684"/>
      <c r="CVF82" s="684"/>
      <c r="CVG82" s="684"/>
      <c r="CVH82" s="684"/>
      <c r="CVI82" s="684"/>
      <c r="CVJ82" s="684"/>
      <c r="CVK82" s="684"/>
      <c r="CVL82" s="684"/>
      <c r="CVM82" s="684"/>
      <c r="CVN82" s="684"/>
      <c r="CVO82" s="684"/>
      <c r="CVP82" s="684"/>
      <c r="CVQ82" s="684"/>
      <c r="CVR82" s="684"/>
      <c r="CVS82" s="684"/>
      <c r="CVT82" s="684"/>
      <c r="CVU82" s="684"/>
      <c r="CVV82" s="684"/>
      <c r="CVW82" s="684"/>
      <c r="CVX82" s="684"/>
      <c r="CVY82" s="684"/>
      <c r="CVZ82" s="684"/>
      <c r="CWA82" s="684"/>
      <c r="CWB82" s="684"/>
      <c r="CWC82" s="684"/>
      <c r="CWD82" s="684"/>
      <c r="CWE82" s="684"/>
      <c r="CWF82" s="684"/>
      <c r="CWG82" s="684"/>
      <c r="CWH82" s="684"/>
      <c r="CWI82" s="684"/>
      <c r="CWJ82" s="684"/>
      <c r="CWK82" s="684"/>
      <c r="CWL82" s="684"/>
      <c r="CWM82" s="684"/>
      <c r="CWN82" s="684"/>
      <c r="CWO82" s="684"/>
      <c r="CWP82" s="684"/>
      <c r="CWQ82" s="684"/>
      <c r="CWR82" s="684"/>
      <c r="CWS82" s="684"/>
      <c r="CWT82" s="684"/>
      <c r="CWU82" s="684"/>
      <c r="CWV82" s="684"/>
      <c r="CWW82" s="684"/>
      <c r="CWX82" s="684"/>
      <c r="CWY82" s="684"/>
      <c r="CWZ82" s="684"/>
      <c r="CXA82" s="684"/>
      <c r="CXB82" s="684"/>
      <c r="CXC82" s="684"/>
      <c r="CXD82" s="684"/>
      <c r="CXE82" s="684"/>
      <c r="CXF82" s="684"/>
      <c r="CXG82" s="684"/>
      <c r="CXH82" s="684"/>
      <c r="CXI82" s="684"/>
      <c r="CXJ82" s="684"/>
      <c r="CXK82" s="684"/>
      <c r="CXL82" s="684"/>
      <c r="CXM82" s="684"/>
      <c r="CXN82" s="684"/>
      <c r="CXO82" s="684"/>
      <c r="CXP82" s="684"/>
      <c r="CXQ82" s="684"/>
      <c r="CXR82" s="684"/>
      <c r="CXS82" s="684"/>
      <c r="CXT82" s="684"/>
      <c r="CXU82" s="684"/>
      <c r="CXV82" s="684"/>
      <c r="CXW82" s="684"/>
      <c r="CXX82" s="684"/>
      <c r="CXY82" s="684"/>
      <c r="CXZ82" s="684"/>
      <c r="CYA82" s="684"/>
      <c r="CYB82" s="684"/>
      <c r="CYC82" s="684"/>
      <c r="CYD82" s="684"/>
      <c r="CYE82" s="684"/>
      <c r="CYF82" s="684"/>
      <c r="CYG82" s="684"/>
      <c r="CYH82" s="684"/>
      <c r="CYI82" s="684"/>
      <c r="CYJ82" s="684"/>
      <c r="CYK82" s="684"/>
      <c r="CYL82" s="684"/>
      <c r="CYM82" s="684"/>
      <c r="CYN82" s="684"/>
      <c r="CYO82" s="684"/>
      <c r="CYP82" s="684"/>
      <c r="CYQ82" s="684"/>
      <c r="CYR82" s="684"/>
      <c r="CYS82" s="684"/>
      <c r="CYT82" s="684"/>
      <c r="CYU82" s="684"/>
      <c r="CYV82" s="684"/>
      <c r="CYW82" s="684"/>
      <c r="CYX82" s="684"/>
      <c r="CYY82" s="684"/>
      <c r="CYZ82" s="684"/>
      <c r="CZA82" s="684"/>
      <c r="CZB82" s="684"/>
      <c r="CZC82" s="684"/>
      <c r="CZD82" s="684"/>
      <c r="CZE82" s="684"/>
      <c r="CZF82" s="684"/>
      <c r="CZG82" s="684"/>
      <c r="CZH82" s="684"/>
      <c r="CZI82" s="684"/>
      <c r="CZJ82" s="684"/>
      <c r="CZK82" s="684"/>
      <c r="CZL82" s="684"/>
      <c r="CZM82" s="684"/>
      <c r="CZN82" s="684"/>
      <c r="CZO82" s="684"/>
      <c r="CZP82" s="684"/>
      <c r="CZQ82" s="684"/>
      <c r="CZR82" s="684"/>
      <c r="CZS82" s="684"/>
      <c r="CZT82" s="684"/>
      <c r="CZU82" s="684"/>
      <c r="CZV82" s="684"/>
      <c r="CZW82" s="684"/>
      <c r="CZX82" s="684"/>
      <c r="CZY82" s="684"/>
      <c r="CZZ82" s="684"/>
      <c r="DAA82" s="684"/>
      <c r="DAB82" s="684"/>
      <c r="DAC82" s="684"/>
      <c r="DAD82" s="684"/>
      <c r="DAE82" s="684"/>
      <c r="DAF82" s="684"/>
      <c r="DAG82" s="684"/>
      <c r="DAH82" s="684"/>
      <c r="DAI82" s="684"/>
      <c r="DAJ82" s="684"/>
      <c r="DAK82" s="684"/>
      <c r="DAL82" s="684"/>
      <c r="DAM82" s="684"/>
      <c r="DAN82" s="684"/>
      <c r="DAO82" s="684"/>
      <c r="DAP82" s="684"/>
      <c r="DAQ82" s="684"/>
      <c r="DAR82" s="684"/>
      <c r="DAS82" s="684"/>
      <c r="DAT82" s="684"/>
      <c r="DAU82" s="684"/>
      <c r="DAV82" s="684"/>
      <c r="DAW82" s="684"/>
      <c r="DAX82" s="684"/>
      <c r="DAY82" s="684"/>
      <c r="DAZ82" s="684"/>
      <c r="DBA82" s="684"/>
      <c r="DBB82" s="684"/>
      <c r="DBC82" s="684"/>
      <c r="DBD82" s="684"/>
      <c r="DBE82" s="684"/>
      <c r="DBF82" s="684"/>
      <c r="DBG82" s="684"/>
      <c r="DBH82" s="684"/>
      <c r="DBI82" s="684"/>
      <c r="DBJ82" s="684"/>
      <c r="DBK82" s="684"/>
      <c r="DBL82" s="684"/>
      <c r="DBM82" s="684"/>
      <c r="DBN82" s="684"/>
      <c r="DBO82" s="684"/>
      <c r="DBP82" s="684"/>
      <c r="DBQ82" s="684"/>
      <c r="DBR82" s="684"/>
      <c r="DBS82" s="684"/>
      <c r="DBT82" s="684"/>
      <c r="DBU82" s="684"/>
      <c r="DBV82" s="684"/>
      <c r="DBW82" s="684"/>
      <c r="DBX82" s="684"/>
      <c r="DBY82" s="684"/>
      <c r="DBZ82" s="684"/>
      <c r="DCA82" s="684"/>
      <c r="DCB82" s="684"/>
      <c r="DCC82" s="684"/>
      <c r="DCD82" s="684"/>
      <c r="DCE82" s="684"/>
      <c r="DCF82" s="684"/>
      <c r="DCG82" s="684"/>
      <c r="DCH82" s="684"/>
      <c r="DCI82" s="684"/>
      <c r="DCJ82" s="684"/>
      <c r="DCK82" s="684"/>
      <c r="DCL82" s="684"/>
      <c r="DCM82" s="684"/>
      <c r="DCN82" s="684"/>
      <c r="DCO82" s="684"/>
      <c r="DCP82" s="684"/>
      <c r="DCQ82" s="684"/>
      <c r="DCR82" s="684"/>
      <c r="DCS82" s="684"/>
      <c r="DCT82" s="684"/>
      <c r="DCU82" s="684"/>
      <c r="DCV82" s="684"/>
      <c r="DCW82" s="684"/>
      <c r="DCX82" s="684"/>
      <c r="DCY82" s="684"/>
      <c r="DCZ82" s="684"/>
      <c r="DDA82" s="684"/>
      <c r="DDB82" s="684"/>
      <c r="DDC82" s="684"/>
      <c r="DDD82" s="684"/>
      <c r="DDE82" s="684"/>
      <c r="DDF82" s="684"/>
      <c r="DDG82" s="684"/>
      <c r="DDH82" s="684"/>
      <c r="DDI82" s="684"/>
      <c r="DDJ82" s="684"/>
      <c r="DDK82" s="684"/>
      <c r="DDL82" s="684"/>
      <c r="DDM82" s="684"/>
      <c r="DDN82" s="684"/>
      <c r="DDO82" s="684"/>
      <c r="DDP82" s="684"/>
      <c r="DDQ82" s="684"/>
      <c r="DDR82" s="684"/>
      <c r="DDS82" s="684"/>
      <c r="DDT82" s="684"/>
      <c r="DDU82" s="684"/>
      <c r="DDV82" s="684"/>
      <c r="DDW82" s="684"/>
      <c r="DDX82" s="684"/>
      <c r="DDY82" s="684"/>
      <c r="DDZ82" s="684"/>
      <c r="DEA82" s="684"/>
      <c r="DEB82" s="684"/>
      <c r="DEC82" s="684"/>
      <c r="DED82" s="684"/>
      <c r="DEE82" s="684"/>
      <c r="DEF82" s="684"/>
      <c r="DEG82" s="684"/>
      <c r="DEH82" s="684"/>
      <c r="DEI82" s="684"/>
      <c r="DEJ82" s="684"/>
      <c r="DEK82" s="684"/>
      <c r="DEL82" s="684"/>
      <c r="DEM82" s="684"/>
      <c r="DEN82" s="684"/>
      <c r="DEO82" s="684"/>
      <c r="DEP82" s="684"/>
      <c r="DEQ82" s="684"/>
      <c r="DER82" s="684"/>
      <c r="DES82" s="684"/>
      <c r="DET82" s="684"/>
      <c r="DEU82" s="684"/>
      <c r="DEV82" s="684"/>
      <c r="DEW82" s="684"/>
      <c r="DEX82" s="684"/>
      <c r="DEY82" s="684"/>
      <c r="DEZ82" s="684"/>
      <c r="DFA82" s="684"/>
      <c r="DFB82" s="684"/>
      <c r="DFC82" s="684"/>
      <c r="DFD82" s="684"/>
      <c r="DFE82" s="684"/>
      <c r="DFF82" s="684"/>
      <c r="DFG82" s="684"/>
      <c r="DFH82" s="684"/>
      <c r="DFI82" s="684"/>
      <c r="DFJ82" s="684"/>
      <c r="DFK82" s="684"/>
      <c r="DFL82" s="684"/>
      <c r="DFM82" s="684"/>
      <c r="DFN82" s="684"/>
      <c r="DFO82" s="684"/>
      <c r="DFP82" s="684"/>
      <c r="DFQ82" s="684"/>
      <c r="DFR82" s="684"/>
      <c r="DFS82" s="684"/>
      <c r="DFT82" s="684"/>
      <c r="DFU82" s="684"/>
      <c r="DFV82" s="684"/>
      <c r="DFW82" s="684"/>
      <c r="DFX82" s="684"/>
      <c r="DFY82" s="684"/>
      <c r="DFZ82" s="684"/>
      <c r="DGA82" s="684"/>
      <c r="DGB82" s="684"/>
      <c r="DGC82" s="684"/>
      <c r="DGD82" s="684"/>
      <c r="DGE82" s="684"/>
      <c r="DGF82" s="684"/>
      <c r="DGG82" s="684"/>
      <c r="DGH82" s="684"/>
      <c r="DGI82" s="684"/>
      <c r="DGJ82" s="684"/>
      <c r="DGK82" s="684"/>
      <c r="DGL82" s="684"/>
      <c r="DGM82" s="684"/>
      <c r="DGN82" s="684"/>
      <c r="DGO82" s="684"/>
      <c r="DGP82" s="684"/>
      <c r="DGQ82" s="684"/>
      <c r="DGR82" s="684"/>
      <c r="DGS82" s="684"/>
      <c r="DGT82" s="684"/>
      <c r="DGU82" s="684"/>
      <c r="DGV82" s="684"/>
      <c r="DGW82" s="684"/>
      <c r="DGX82" s="684"/>
      <c r="DGY82" s="684"/>
      <c r="DGZ82" s="684"/>
      <c r="DHA82" s="684"/>
      <c r="DHB82" s="684"/>
      <c r="DHC82" s="684"/>
      <c r="DHD82" s="684"/>
      <c r="DHE82" s="684"/>
      <c r="DHF82" s="684"/>
      <c r="DHG82" s="684"/>
      <c r="DHH82" s="684"/>
      <c r="DHI82" s="684"/>
      <c r="DHJ82" s="684"/>
      <c r="DHK82" s="684"/>
      <c r="DHL82" s="684"/>
      <c r="DHM82" s="684"/>
      <c r="DHN82" s="684"/>
      <c r="DHO82" s="684"/>
      <c r="DHP82" s="684"/>
      <c r="DHQ82" s="684"/>
      <c r="DHR82" s="684"/>
      <c r="DHS82" s="684"/>
      <c r="DHT82" s="684"/>
      <c r="DHU82" s="684"/>
      <c r="DHV82" s="684"/>
      <c r="DHW82" s="684"/>
      <c r="DHX82" s="684"/>
      <c r="DHY82" s="684"/>
      <c r="DHZ82" s="684"/>
      <c r="DIA82" s="684"/>
      <c r="DIB82" s="684"/>
      <c r="DIC82" s="684"/>
      <c r="DID82" s="684"/>
      <c r="DIE82" s="684"/>
      <c r="DIF82" s="684"/>
      <c r="DIG82" s="684"/>
      <c r="DIH82" s="684"/>
      <c r="DII82" s="684"/>
      <c r="DIJ82" s="684"/>
      <c r="DIK82" s="684"/>
      <c r="DIL82" s="684"/>
      <c r="DIM82" s="684"/>
      <c r="DIN82" s="684"/>
      <c r="DIO82" s="684"/>
      <c r="DIP82" s="684"/>
      <c r="DIQ82" s="684"/>
      <c r="DIR82" s="684"/>
      <c r="DIS82" s="684"/>
      <c r="DIT82" s="684"/>
      <c r="DIU82" s="684"/>
      <c r="DIV82" s="684"/>
      <c r="DIW82" s="684"/>
      <c r="DIX82" s="684"/>
      <c r="DIY82" s="684"/>
      <c r="DIZ82" s="684"/>
      <c r="DJA82" s="684"/>
      <c r="DJB82" s="684"/>
      <c r="DJC82" s="684"/>
      <c r="DJD82" s="684"/>
      <c r="DJE82" s="684"/>
      <c r="DJF82" s="684"/>
      <c r="DJG82" s="684"/>
      <c r="DJH82" s="684"/>
      <c r="DJI82" s="684"/>
      <c r="DJJ82" s="684"/>
      <c r="DJK82" s="684"/>
      <c r="DJL82" s="684"/>
      <c r="DJM82" s="684"/>
      <c r="DJN82" s="684"/>
      <c r="DJO82" s="684"/>
      <c r="DJP82" s="684"/>
      <c r="DJQ82" s="684"/>
      <c r="DJR82" s="684"/>
      <c r="DJS82" s="684"/>
      <c r="DJT82" s="684"/>
      <c r="DJU82" s="684"/>
      <c r="DJV82" s="684"/>
      <c r="DJW82" s="684"/>
      <c r="DJX82" s="684"/>
      <c r="DJY82" s="684"/>
      <c r="DJZ82" s="684"/>
      <c r="DKA82" s="684"/>
      <c r="DKB82" s="684"/>
      <c r="DKC82" s="684"/>
      <c r="DKD82" s="684"/>
      <c r="DKE82" s="684"/>
      <c r="DKF82" s="684"/>
      <c r="DKG82" s="684"/>
      <c r="DKH82" s="684"/>
      <c r="DKI82" s="684"/>
      <c r="DKJ82" s="684"/>
      <c r="DKK82" s="684"/>
      <c r="DKL82" s="684"/>
      <c r="DKM82" s="684"/>
      <c r="DKN82" s="684"/>
      <c r="DKO82" s="684"/>
      <c r="DKP82" s="684"/>
      <c r="DKQ82" s="684"/>
      <c r="DKR82" s="684"/>
      <c r="DKS82" s="684"/>
      <c r="DKT82" s="684"/>
      <c r="DKU82" s="684"/>
      <c r="DKV82" s="684"/>
      <c r="DKW82" s="684"/>
      <c r="DKX82" s="684"/>
      <c r="DKY82" s="684"/>
      <c r="DKZ82" s="684"/>
      <c r="DLA82" s="684"/>
      <c r="DLB82" s="684"/>
      <c r="DLC82" s="684"/>
      <c r="DLD82" s="684"/>
      <c r="DLE82" s="684"/>
      <c r="DLF82" s="684"/>
      <c r="DLG82" s="684"/>
      <c r="DLH82" s="684"/>
      <c r="DLI82" s="684"/>
      <c r="DLJ82" s="684"/>
      <c r="DLK82" s="684"/>
      <c r="DLL82" s="684"/>
      <c r="DLM82" s="684"/>
      <c r="DLN82" s="684"/>
      <c r="DLO82" s="684"/>
      <c r="DLP82" s="684"/>
      <c r="DLQ82" s="684"/>
      <c r="DLR82" s="684"/>
      <c r="DLS82" s="684"/>
      <c r="DLT82" s="684"/>
      <c r="DLU82" s="684"/>
      <c r="DLV82" s="684"/>
      <c r="DLW82" s="684"/>
      <c r="DLX82" s="684"/>
      <c r="DLY82" s="684"/>
      <c r="DLZ82" s="684"/>
      <c r="DMA82" s="684"/>
      <c r="DMB82" s="684"/>
      <c r="DMC82" s="684"/>
      <c r="DMD82" s="684"/>
      <c r="DME82" s="684"/>
      <c r="DMF82" s="684"/>
      <c r="DMG82" s="684"/>
      <c r="DMH82" s="684"/>
      <c r="DMI82" s="684"/>
      <c r="DMJ82" s="684"/>
      <c r="DMK82" s="684"/>
      <c r="DML82" s="684"/>
      <c r="DMM82" s="684"/>
      <c r="DMN82" s="684"/>
      <c r="DMO82" s="684"/>
      <c r="DMP82" s="684"/>
      <c r="DMQ82" s="684"/>
      <c r="DMR82" s="684"/>
      <c r="DMS82" s="684"/>
      <c r="DMT82" s="684"/>
      <c r="DMU82" s="684"/>
      <c r="DMV82" s="684"/>
      <c r="DMW82" s="684"/>
      <c r="DMX82" s="684"/>
      <c r="DMY82" s="684"/>
      <c r="DMZ82" s="684"/>
      <c r="DNA82" s="684"/>
      <c r="DNB82" s="684"/>
      <c r="DNC82" s="684"/>
      <c r="DND82" s="684"/>
      <c r="DNE82" s="684"/>
      <c r="DNF82" s="684"/>
      <c r="DNG82" s="684"/>
      <c r="DNH82" s="684"/>
      <c r="DNI82" s="684"/>
      <c r="DNJ82" s="684"/>
      <c r="DNK82" s="684"/>
      <c r="DNL82" s="684"/>
      <c r="DNM82" s="684"/>
      <c r="DNN82" s="684"/>
      <c r="DNO82" s="684"/>
      <c r="DNP82" s="684"/>
      <c r="DNQ82" s="684"/>
      <c r="DNR82" s="684"/>
      <c r="DNS82" s="684"/>
      <c r="DNT82" s="684"/>
      <c r="DNU82" s="684"/>
      <c r="DNV82" s="684"/>
      <c r="DNW82" s="684"/>
      <c r="DNX82" s="684"/>
      <c r="DNY82" s="684"/>
      <c r="DNZ82" s="684"/>
      <c r="DOA82" s="684"/>
      <c r="DOB82" s="684"/>
      <c r="DOC82" s="684"/>
      <c r="DOD82" s="684"/>
      <c r="DOE82" s="684"/>
      <c r="DOF82" s="684"/>
      <c r="DOG82" s="684"/>
      <c r="DOH82" s="684"/>
      <c r="DOI82" s="684"/>
      <c r="DOJ82" s="684"/>
      <c r="DOK82" s="684"/>
      <c r="DOL82" s="684"/>
      <c r="DOM82" s="684"/>
      <c r="DON82" s="684"/>
      <c r="DOO82" s="684"/>
      <c r="DOP82" s="684"/>
      <c r="DOQ82" s="684"/>
      <c r="DOR82" s="684"/>
      <c r="DOS82" s="684"/>
      <c r="DOT82" s="684"/>
      <c r="DOU82" s="684"/>
      <c r="DOV82" s="684"/>
      <c r="DOW82" s="684"/>
      <c r="DOX82" s="684"/>
      <c r="DOY82" s="684"/>
      <c r="DOZ82" s="684"/>
      <c r="DPA82" s="684"/>
      <c r="DPB82" s="684"/>
      <c r="DPC82" s="684"/>
      <c r="DPD82" s="684"/>
      <c r="DPE82" s="684"/>
      <c r="DPF82" s="684"/>
      <c r="DPG82" s="684"/>
      <c r="DPH82" s="684"/>
      <c r="DPI82" s="684"/>
      <c r="DPJ82" s="684"/>
      <c r="DPK82" s="684"/>
      <c r="DPL82" s="684"/>
      <c r="DPM82" s="684"/>
      <c r="DPN82" s="684"/>
      <c r="DPO82" s="684"/>
      <c r="DPP82" s="684"/>
      <c r="DPQ82" s="684"/>
      <c r="DPR82" s="684"/>
      <c r="DPS82" s="684"/>
      <c r="DPT82" s="684"/>
      <c r="DPU82" s="684"/>
      <c r="DPV82" s="684"/>
      <c r="DPW82" s="684"/>
      <c r="DPX82" s="684"/>
      <c r="DPY82" s="684"/>
      <c r="DPZ82" s="684"/>
      <c r="DQA82" s="684"/>
      <c r="DQB82" s="684"/>
      <c r="DQC82" s="684"/>
      <c r="DQD82" s="684"/>
      <c r="DQE82" s="684"/>
      <c r="DQF82" s="684"/>
      <c r="DQG82" s="684"/>
      <c r="DQH82" s="684"/>
      <c r="DQI82" s="684"/>
      <c r="DQJ82" s="684"/>
      <c r="DQK82" s="684"/>
      <c r="DQL82" s="684"/>
      <c r="DQM82" s="684"/>
      <c r="DQN82" s="684"/>
      <c r="DQO82" s="684"/>
      <c r="DQP82" s="684"/>
      <c r="DQQ82" s="684"/>
      <c r="DQR82" s="684"/>
      <c r="DQS82" s="684"/>
      <c r="DQT82" s="684"/>
      <c r="DQU82" s="684"/>
      <c r="DQV82" s="684"/>
      <c r="DQW82" s="684"/>
      <c r="DQX82" s="684"/>
      <c r="DQY82" s="684"/>
      <c r="DQZ82" s="684"/>
      <c r="DRA82" s="684"/>
      <c r="DRB82" s="684"/>
      <c r="DRC82" s="684"/>
      <c r="DRD82" s="684"/>
      <c r="DRE82" s="684"/>
      <c r="DRF82" s="684"/>
      <c r="DRG82" s="684"/>
      <c r="DRH82" s="684"/>
      <c r="DRI82" s="684"/>
      <c r="DRJ82" s="684"/>
      <c r="DRK82" s="684"/>
      <c r="DRL82" s="684"/>
      <c r="DRM82" s="684"/>
      <c r="DRN82" s="684"/>
      <c r="DRO82" s="684"/>
      <c r="DRP82" s="684"/>
      <c r="DRQ82" s="684"/>
      <c r="DRR82" s="684"/>
      <c r="DRS82" s="684"/>
      <c r="DRT82" s="684"/>
      <c r="DRU82" s="684"/>
      <c r="DRV82" s="684"/>
      <c r="DRW82" s="684"/>
      <c r="DRX82" s="684"/>
      <c r="DRY82" s="684"/>
      <c r="DRZ82" s="684"/>
      <c r="DSA82" s="684"/>
      <c r="DSB82" s="684"/>
      <c r="DSC82" s="684"/>
      <c r="DSD82" s="684"/>
      <c r="DSE82" s="684"/>
      <c r="DSF82" s="684"/>
      <c r="DSG82" s="684"/>
      <c r="DSH82" s="684"/>
      <c r="DSI82" s="684"/>
      <c r="DSJ82" s="684"/>
      <c r="DSK82" s="684"/>
      <c r="DSL82" s="684"/>
      <c r="DSM82" s="684"/>
      <c r="DSN82" s="684"/>
      <c r="DSO82" s="684"/>
      <c r="DSP82" s="684"/>
      <c r="DSQ82" s="684"/>
      <c r="DSR82" s="684"/>
      <c r="DSS82" s="684"/>
      <c r="DST82" s="684"/>
      <c r="DSU82" s="684"/>
      <c r="DSV82" s="684"/>
      <c r="DSW82" s="684"/>
      <c r="DSX82" s="684"/>
      <c r="DSY82" s="684"/>
      <c r="DSZ82" s="684"/>
      <c r="DTA82" s="684"/>
      <c r="DTB82" s="684"/>
      <c r="DTC82" s="684"/>
      <c r="DTD82" s="684"/>
      <c r="DTE82" s="684"/>
      <c r="DTF82" s="684"/>
      <c r="DTG82" s="684"/>
      <c r="DTH82" s="684"/>
      <c r="DTI82" s="684"/>
      <c r="DTJ82" s="684"/>
      <c r="DTK82" s="684"/>
      <c r="DTL82" s="684"/>
      <c r="DTM82" s="684"/>
      <c r="DTN82" s="684"/>
      <c r="DTO82" s="684"/>
      <c r="DTP82" s="684"/>
      <c r="DTQ82" s="684"/>
      <c r="DTR82" s="684"/>
      <c r="DTS82" s="684"/>
      <c r="DTT82" s="684"/>
      <c r="DTU82" s="684"/>
      <c r="DTV82" s="684"/>
      <c r="DTW82" s="684"/>
      <c r="DTX82" s="684"/>
      <c r="DTY82" s="684"/>
      <c r="DTZ82" s="684"/>
      <c r="DUA82" s="684"/>
      <c r="DUB82" s="684"/>
      <c r="DUC82" s="684"/>
      <c r="DUD82" s="684"/>
      <c r="DUE82" s="684"/>
      <c r="DUF82" s="684"/>
      <c r="DUG82" s="684"/>
      <c r="DUH82" s="684"/>
      <c r="DUI82" s="684"/>
      <c r="DUJ82" s="684"/>
      <c r="DUK82" s="684"/>
      <c r="DUL82" s="684"/>
      <c r="DUM82" s="684"/>
      <c r="DUN82" s="684"/>
      <c r="DUO82" s="684"/>
      <c r="DUP82" s="684"/>
      <c r="DUQ82" s="684"/>
      <c r="DUR82" s="684"/>
      <c r="DUS82" s="684"/>
      <c r="DUT82" s="684"/>
      <c r="DUU82" s="684"/>
      <c r="DUV82" s="684"/>
      <c r="DUW82" s="684"/>
      <c r="DUX82" s="684"/>
      <c r="DUY82" s="684"/>
      <c r="DUZ82" s="684"/>
      <c r="DVA82" s="684"/>
      <c r="DVB82" s="684"/>
      <c r="DVC82" s="684"/>
      <c r="DVD82" s="684"/>
      <c r="DVE82" s="684"/>
      <c r="DVF82" s="684"/>
      <c r="DVG82" s="684"/>
      <c r="DVH82" s="684"/>
      <c r="DVI82" s="684"/>
      <c r="DVJ82" s="684"/>
      <c r="DVK82" s="684"/>
      <c r="DVL82" s="684"/>
      <c r="DVM82" s="684"/>
      <c r="DVN82" s="684"/>
      <c r="DVO82" s="684"/>
      <c r="DVP82" s="684"/>
      <c r="DVQ82" s="684"/>
      <c r="DVR82" s="684"/>
      <c r="DVS82" s="684"/>
      <c r="DVT82" s="684"/>
      <c r="DVU82" s="684"/>
      <c r="DVV82" s="684"/>
      <c r="DVW82" s="684"/>
      <c r="DVX82" s="684"/>
      <c r="DVY82" s="684"/>
      <c r="DVZ82" s="684"/>
      <c r="DWA82" s="684"/>
      <c r="DWB82" s="684"/>
      <c r="DWC82" s="684"/>
      <c r="DWD82" s="684"/>
      <c r="DWE82" s="684"/>
      <c r="DWF82" s="684"/>
      <c r="DWG82" s="684"/>
      <c r="DWH82" s="684"/>
      <c r="DWI82" s="684"/>
      <c r="DWJ82" s="684"/>
      <c r="DWK82" s="684"/>
      <c r="DWL82" s="684"/>
      <c r="DWM82" s="684"/>
      <c r="DWN82" s="684"/>
      <c r="DWO82" s="684"/>
      <c r="DWP82" s="684"/>
      <c r="DWQ82" s="684"/>
      <c r="DWR82" s="684"/>
      <c r="DWS82" s="684"/>
      <c r="DWT82" s="684"/>
      <c r="DWU82" s="684"/>
      <c r="DWV82" s="684"/>
      <c r="DWW82" s="684"/>
      <c r="DWX82" s="684"/>
      <c r="DWY82" s="684"/>
      <c r="DWZ82" s="684"/>
      <c r="DXA82" s="684"/>
      <c r="DXB82" s="684"/>
      <c r="DXC82" s="684"/>
      <c r="DXD82" s="684"/>
      <c r="DXE82" s="684"/>
      <c r="DXF82" s="684"/>
      <c r="DXG82" s="684"/>
      <c r="DXH82" s="684"/>
      <c r="DXI82" s="684"/>
      <c r="DXJ82" s="684"/>
      <c r="DXK82" s="684"/>
      <c r="DXL82" s="684"/>
      <c r="DXM82" s="684"/>
      <c r="DXN82" s="684"/>
      <c r="DXO82" s="684"/>
      <c r="DXP82" s="684"/>
      <c r="DXQ82" s="684"/>
      <c r="DXR82" s="684"/>
      <c r="DXS82" s="684"/>
      <c r="DXT82" s="684"/>
      <c r="DXU82" s="684"/>
      <c r="DXV82" s="684"/>
      <c r="DXW82" s="684"/>
      <c r="DXX82" s="684"/>
      <c r="DXY82" s="684"/>
      <c r="DXZ82" s="684"/>
      <c r="DYA82" s="684"/>
      <c r="DYB82" s="684"/>
      <c r="DYC82" s="684"/>
      <c r="DYD82" s="684"/>
      <c r="DYE82" s="684"/>
      <c r="DYF82" s="684"/>
      <c r="DYG82" s="684"/>
      <c r="DYH82" s="684"/>
      <c r="DYI82" s="684"/>
      <c r="DYJ82" s="684"/>
      <c r="DYK82" s="684"/>
      <c r="DYL82" s="684"/>
      <c r="DYM82" s="684"/>
      <c r="DYN82" s="684"/>
      <c r="DYO82" s="684"/>
      <c r="DYP82" s="684"/>
      <c r="DYQ82" s="684"/>
      <c r="DYR82" s="684"/>
      <c r="DYS82" s="684"/>
      <c r="DYT82" s="684"/>
      <c r="DYU82" s="684"/>
      <c r="DYV82" s="684"/>
      <c r="DYW82" s="684"/>
      <c r="DYX82" s="684"/>
      <c r="DYY82" s="684"/>
      <c r="DYZ82" s="684"/>
      <c r="DZA82" s="684"/>
      <c r="DZB82" s="684"/>
      <c r="DZC82" s="684"/>
      <c r="DZD82" s="684"/>
      <c r="DZE82" s="684"/>
      <c r="DZF82" s="684"/>
      <c r="DZG82" s="684"/>
      <c r="DZH82" s="684"/>
      <c r="DZI82" s="684"/>
      <c r="DZJ82" s="684"/>
      <c r="DZK82" s="684"/>
      <c r="DZL82" s="684"/>
      <c r="DZM82" s="684"/>
      <c r="DZN82" s="684"/>
      <c r="DZO82" s="684"/>
      <c r="DZP82" s="684"/>
      <c r="DZQ82" s="684"/>
      <c r="DZR82" s="684"/>
      <c r="DZS82" s="684"/>
      <c r="DZT82" s="684"/>
      <c r="DZU82" s="684"/>
      <c r="DZV82" s="684"/>
      <c r="DZW82" s="684"/>
      <c r="DZX82" s="684"/>
      <c r="DZY82" s="684"/>
      <c r="DZZ82" s="684"/>
      <c r="EAA82" s="684"/>
      <c r="EAB82" s="684"/>
      <c r="EAC82" s="684"/>
      <c r="EAD82" s="684"/>
      <c r="EAE82" s="684"/>
      <c r="EAF82" s="684"/>
      <c r="EAG82" s="684"/>
      <c r="EAH82" s="684"/>
      <c r="EAI82" s="684"/>
      <c r="EAJ82" s="684"/>
      <c r="EAK82" s="684"/>
      <c r="EAL82" s="684"/>
      <c r="EAM82" s="684"/>
      <c r="EAN82" s="684"/>
      <c r="EAO82" s="684"/>
      <c r="EAP82" s="684"/>
      <c r="EAQ82" s="684"/>
      <c r="EAR82" s="684"/>
      <c r="EAS82" s="684"/>
      <c r="EAT82" s="684"/>
      <c r="EAU82" s="684"/>
      <c r="EAV82" s="684"/>
      <c r="EAW82" s="684"/>
      <c r="EAX82" s="684"/>
      <c r="EAY82" s="684"/>
      <c r="EAZ82" s="684"/>
      <c r="EBA82" s="684"/>
      <c r="EBB82" s="684"/>
      <c r="EBC82" s="684"/>
      <c r="EBD82" s="684"/>
      <c r="EBE82" s="684"/>
      <c r="EBF82" s="684"/>
      <c r="EBG82" s="684"/>
      <c r="EBH82" s="684"/>
      <c r="EBI82" s="684"/>
      <c r="EBJ82" s="684"/>
      <c r="EBK82" s="684"/>
      <c r="EBL82" s="684"/>
      <c r="EBM82" s="684"/>
      <c r="EBN82" s="684"/>
      <c r="EBO82" s="684"/>
      <c r="EBP82" s="684"/>
      <c r="EBQ82" s="684"/>
      <c r="EBR82" s="684"/>
      <c r="EBS82" s="684"/>
      <c r="EBT82" s="684"/>
      <c r="EBU82" s="684"/>
      <c r="EBV82" s="684"/>
      <c r="EBW82" s="684"/>
      <c r="EBX82" s="684"/>
      <c r="EBY82" s="684"/>
      <c r="EBZ82" s="684"/>
      <c r="ECA82" s="684"/>
      <c r="ECB82" s="684"/>
      <c r="ECC82" s="684"/>
      <c r="ECD82" s="684"/>
      <c r="ECE82" s="684"/>
      <c r="ECF82" s="684"/>
      <c r="ECG82" s="684"/>
      <c r="ECH82" s="684"/>
      <c r="ECI82" s="684"/>
      <c r="ECJ82" s="684"/>
      <c r="ECK82" s="684"/>
      <c r="ECL82" s="684"/>
      <c r="ECM82" s="684"/>
      <c r="ECN82" s="684"/>
      <c r="ECO82" s="684"/>
      <c r="ECP82" s="684"/>
      <c r="ECQ82" s="684"/>
      <c r="ECR82" s="684"/>
      <c r="ECS82" s="684"/>
      <c r="ECT82" s="684"/>
      <c r="ECU82" s="684"/>
      <c r="ECV82" s="684"/>
      <c r="ECW82" s="684"/>
      <c r="ECX82" s="684"/>
      <c r="ECY82" s="684"/>
      <c r="ECZ82" s="684"/>
      <c r="EDA82" s="684"/>
      <c r="EDB82" s="684"/>
      <c r="EDC82" s="684"/>
      <c r="EDD82" s="684"/>
      <c r="EDE82" s="684"/>
      <c r="EDF82" s="684"/>
      <c r="EDG82" s="684"/>
      <c r="EDH82" s="684"/>
      <c r="EDI82" s="684"/>
      <c r="EDJ82" s="684"/>
      <c r="EDK82" s="684"/>
      <c r="EDL82" s="684"/>
      <c r="EDM82" s="684"/>
      <c r="EDN82" s="684"/>
      <c r="EDO82" s="684"/>
      <c r="EDP82" s="684"/>
      <c r="EDQ82" s="684"/>
      <c r="EDR82" s="684"/>
      <c r="EDS82" s="684"/>
      <c r="EDT82" s="684"/>
      <c r="EDU82" s="684"/>
      <c r="EDV82" s="684"/>
      <c r="EDW82" s="684"/>
      <c r="EDX82" s="684"/>
      <c r="EDY82" s="684"/>
      <c r="EDZ82" s="684"/>
      <c r="EEA82" s="684"/>
      <c r="EEB82" s="684"/>
      <c r="EEC82" s="684"/>
      <c r="EED82" s="684"/>
      <c r="EEE82" s="684"/>
      <c r="EEF82" s="684"/>
      <c r="EEG82" s="684"/>
      <c r="EEH82" s="684"/>
      <c r="EEI82" s="684"/>
      <c r="EEJ82" s="684"/>
      <c r="EEK82" s="684"/>
      <c r="EEL82" s="684"/>
      <c r="EEM82" s="684"/>
      <c r="EEN82" s="684"/>
      <c r="EEO82" s="684"/>
      <c r="EEP82" s="684"/>
      <c r="EEQ82" s="684"/>
      <c r="EER82" s="684"/>
      <c r="EES82" s="684"/>
      <c r="EET82" s="684"/>
      <c r="EEU82" s="684"/>
      <c r="EEV82" s="684"/>
      <c r="EEW82" s="684"/>
      <c r="EEX82" s="684"/>
      <c r="EEY82" s="684"/>
      <c r="EEZ82" s="684"/>
      <c r="EFA82" s="684"/>
      <c r="EFB82" s="684"/>
      <c r="EFC82" s="684"/>
      <c r="EFD82" s="684"/>
      <c r="EFE82" s="684"/>
      <c r="EFF82" s="684"/>
      <c r="EFG82" s="684"/>
      <c r="EFH82" s="684"/>
      <c r="EFI82" s="684"/>
      <c r="EFJ82" s="684"/>
      <c r="EFK82" s="684"/>
      <c r="EFL82" s="684"/>
      <c r="EFM82" s="684"/>
      <c r="EFN82" s="684"/>
      <c r="EFO82" s="684"/>
      <c r="EFP82" s="684"/>
      <c r="EFQ82" s="684"/>
      <c r="EFR82" s="684"/>
      <c r="EFS82" s="684"/>
      <c r="EFT82" s="684"/>
      <c r="EFU82" s="684"/>
      <c r="EFV82" s="684"/>
      <c r="EFW82" s="684"/>
      <c r="EFX82" s="684"/>
      <c r="EFY82" s="684"/>
      <c r="EFZ82" s="684"/>
      <c r="EGA82" s="684"/>
      <c r="EGB82" s="684"/>
      <c r="EGC82" s="684"/>
      <c r="EGD82" s="684"/>
      <c r="EGE82" s="684"/>
      <c r="EGF82" s="684"/>
      <c r="EGG82" s="684"/>
      <c r="EGH82" s="684"/>
      <c r="EGI82" s="684"/>
      <c r="EGJ82" s="684"/>
      <c r="EGK82" s="684"/>
      <c r="EGL82" s="684"/>
      <c r="EGM82" s="684"/>
      <c r="EGN82" s="684"/>
      <c r="EGO82" s="684"/>
      <c r="EGP82" s="684"/>
      <c r="EGQ82" s="684"/>
      <c r="EGR82" s="684"/>
      <c r="EGS82" s="684"/>
      <c r="EGT82" s="684"/>
      <c r="EGU82" s="684"/>
      <c r="EGV82" s="684"/>
      <c r="EGW82" s="684"/>
      <c r="EGX82" s="684"/>
      <c r="EGY82" s="684"/>
      <c r="EGZ82" s="684"/>
      <c r="EHA82" s="684"/>
      <c r="EHB82" s="684"/>
      <c r="EHC82" s="684"/>
      <c r="EHD82" s="684"/>
      <c r="EHE82" s="684"/>
      <c r="EHF82" s="684"/>
      <c r="EHG82" s="684"/>
      <c r="EHH82" s="684"/>
      <c r="EHI82" s="684"/>
      <c r="EHJ82" s="684"/>
      <c r="EHK82" s="684"/>
      <c r="EHL82" s="684"/>
      <c r="EHM82" s="684"/>
      <c r="EHN82" s="684"/>
      <c r="EHO82" s="684"/>
      <c r="EHP82" s="684"/>
      <c r="EHQ82" s="684"/>
      <c r="EHR82" s="684"/>
      <c r="EHS82" s="684"/>
      <c r="EHT82" s="684"/>
      <c r="EHU82" s="684"/>
      <c r="EHV82" s="684"/>
      <c r="EHW82" s="684"/>
      <c r="EHX82" s="684"/>
      <c r="EHY82" s="684"/>
      <c r="EHZ82" s="684"/>
      <c r="EIA82" s="684"/>
      <c r="EIB82" s="684"/>
      <c r="EIC82" s="684"/>
      <c r="EID82" s="684"/>
      <c r="EIE82" s="684"/>
      <c r="EIF82" s="684"/>
      <c r="EIG82" s="684"/>
      <c r="EIH82" s="684"/>
      <c r="EII82" s="684"/>
      <c r="EIJ82" s="684"/>
      <c r="EIK82" s="684"/>
      <c r="EIL82" s="684"/>
      <c r="EIM82" s="684"/>
      <c r="EIN82" s="684"/>
      <c r="EIO82" s="684"/>
      <c r="EIP82" s="684"/>
      <c r="EIQ82" s="684"/>
      <c r="EIR82" s="684"/>
      <c r="EIS82" s="684"/>
      <c r="EIT82" s="684"/>
      <c r="EIU82" s="684"/>
      <c r="EIV82" s="684"/>
      <c r="EIW82" s="684"/>
      <c r="EIX82" s="684"/>
      <c r="EIY82" s="684"/>
      <c r="EIZ82" s="684"/>
      <c r="EJA82" s="684"/>
      <c r="EJB82" s="684"/>
      <c r="EJC82" s="684"/>
      <c r="EJD82" s="684"/>
      <c r="EJE82" s="684"/>
      <c r="EJF82" s="684"/>
      <c r="EJG82" s="684"/>
      <c r="EJH82" s="684"/>
      <c r="EJI82" s="684"/>
      <c r="EJJ82" s="684"/>
      <c r="EJK82" s="684"/>
      <c r="EJL82" s="684"/>
      <c r="EJM82" s="684"/>
      <c r="EJN82" s="684"/>
      <c r="EJO82" s="684"/>
      <c r="EJP82" s="684"/>
      <c r="EJQ82" s="684"/>
      <c r="EJR82" s="684"/>
      <c r="EJS82" s="684"/>
      <c r="EJT82" s="684"/>
      <c r="EJU82" s="684"/>
      <c r="EJV82" s="684"/>
      <c r="EJW82" s="684"/>
      <c r="EJX82" s="684"/>
      <c r="EJY82" s="684"/>
      <c r="EJZ82" s="684"/>
      <c r="EKA82" s="684"/>
      <c r="EKB82" s="684"/>
      <c r="EKC82" s="684"/>
      <c r="EKD82" s="684"/>
      <c r="EKE82" s="684"/>
      <c r="EKF82" s="684"/>
      <c r="EKG82" s="684"/>
      <c r="EKH82" s="684"/>
      <c r="EKI82" s="684"/>
      <c r="EKJ82" s="684"/>
      <c r="EKK82" s="684"/>
      <c r="EKL82" s="684"/>
      <c r="EKM82" s="684"/>
      <c r="EKN82" s="684"/>
      <c r="EKO82" s="684"/>
      <c r="EKP82" s="684"/>
      <c r="EKQ82" s="684"/>
      <c r="EKR82" s="684"/>
      <c r="EKS82" s="684"/>
      <c r="EKT82" s="684"/>
      <c r="EKU82" s="684"/>
      <c r="EKV82" s="684"/>
      <c r="EKW82" s="684"/>
      <c r="EKX82" s="684"/>
      <c r="EKY82" s="684"/>
      <c r="EKZ82" s="684"/>
      <c r="ELA82" s="684"/>
      <c r="ELB82" s="684"/>
      <c r="ELC82" s="684"/>
      <c r="ELD82" s="684"/>
      <c r="ELE82" s="684"/>
      <c r="ELF82" s="684"/>
      <c r="ELG82" s="684"/>
      <c r="ELH82" s="684"/>
      <c r="ELI82" s="684"/>
      <c r="ELJ82" s="684"/>
      <c r="ELK82" s="684"/>
      <c r="ELL82" s="684"/>
      <c r="ELM82" s="684"/>
      <c r="ELN82" s="684"/>
      <c r="ELO82" s="684"/>
      <c r="ELP82" s="684"/>
      <c r="ELQ82" s="684"/>
      <c r="ELR82" s="684"/>
      <c r="ELS82" s="684"/>
      <c r="ELT82" s="684"/>
      <c r="ELU82" s="684"/>
      <c r="ELV82" s="684"/>
      <c r="ELW82" s="684"/>
      <c r="ELX82" s="684"/>
      <c r="ELY82" s="684"/>
      <c r="ELZ82" s="684"/>
      <c r="EMA82" s="684"/>
      <c r="EMB82" s="684"/>
      <c r="EMC82" s="684"/>
      <c r="EMD82" s="684"/>
      <c r="EME82" s="684"/>
      <c r="EMF82" s="684"/>
      <c r="EMG82" s="684"/>
      <c r="EMH82" s="684"/>
      <c r="EMI82" s="684"/>
      <c r="EMJ82" s="684"/>
      <c r="EMK82" s="684"/>
      <c r="EML82" s="684"/>
      <c r="EMM82" s="684"/>
      <c r="EMN82" s="684"/>
      <c r="EMO82" s="684"/>
      <c r="EMP82" s="684"/>
      <c r="EMQ82" s="684"/>
      <c r="EMR82" s="684"/>
      <c r="EMS82" s="684"/>
      <c r="EMT82" s="684"/>
      <c r="EMU82" s="684"/>
      <c r="EMV82" s="684"/>
      <c r="EMW82" s="684"/>
      <c r="EMX82" s="684"/>
      <c r="EMY82" s="684"/>
      <c r="EMZ82" s="684"/>
      <c r="ENA82" s="684"/>
      <c r="ENB82" s="684"/>
      <c r="ENC82" s="684"/>
      <c r="END82" s="684"/>
      <c r="ENE82" s="684"/>
      <c r="ENF82" s="684"/>
      <c r="ENG82" s="684"/>
      <c r="ENH82" s="684"/>
      <c r="ENI82" s="684"/>
      <c r="ENJ82" s="684"/>
      <c r="ENK82" s="684"/>
      <c r="ENL82" s="684"/>
      <c r="ENM82" s="684"/>
      <c r="ENN82" s="684"/>
      <c r="ENO82" s="684"/>
      <c r="ENP82" s="684"/>
      <c r="ENQ82" s="684"/>
      <c r="ENR82" s="684"/>
      <c r="ENS82" s="684"/>
      <c r="ENT82" s="684"/>
      <c r="ENU82" s="684"/>
      <c r="ENV82" s="684"/>
      <c r="ENW82" s="684"/>
      <c r="ENX82" s="684"/>
      <c r="ENY82" s="684"/>
      <c r="ENZ82" s="684"/>
      <c r="EOA82" s="684"/>
      <c r="EOB82" s="684"/>
      <c r="EOC82" s="684"/>
      <c r="EOD82" s="684"/>
      <c r="EOE82" s="684"/>
      <c r="EOF82" s="684"/>
      <c r="EOG82" s="684"/>
      <c r="EOH82" s="684"/>
      <c r="EOI82" s="684"/>
      <c r="EOJ82" s="684"/>
      <c r="EOK82" s="684"/>
      <c r="EOL82" s="684"/>
      <c r="EOM82" s="684"/>
      <c r="EON82" s="684"/>
      <c r="EOO82" s="684"/>
      <c r="EOP82" s="684"/>
      <c r="EOQ82" s="684"/>
      <c r="EOR82" s="684"/>
      <c r="EOS82" s="684"/>
      <c r="EOT82" s="684"/>
      <c r="EOU82" s="684"/>
      <c r="EOV82" s="684"/>
      <c r="EOW82" s="684"/>
      <c r="EOX82" s="684"/>
      <c r="EOY82" s="684"/>
      <c r="EOZ82" s="684"/>
      <c r="EPA82" s="684"/>
      <c r="EPB82" s="684"/>
      <c r="EPC82" s="684"/>
      <c r="EPD82" s="684"/>
      <c r="EPE82" s="684"/>
      <c r="EPF82" s="684"/>
      <c r="EPG82" s="684"/>
      <c r="EPH82" s="684"/>
      <c r="EPI82" s="684"/>
      <c r="EPJ82" s="684"/>
      <c r="EPK82" s="684"/>
      <c r="EPL82" s="684"/>
      <c r="EPM82" s="684"/>
      <c r="EPN82" s="684"/>
      <c r="EPO82" s="684"/>
      <c r="EPP82" s="684"/>
      <c r="EPQ82" s="684"/>
      <c r="EPR82" s="684"/>
      <c r="EPS82" s="684"/>
      <c r="EPT82" s="684"/>
      <c r="EPU82" s="684"/>
      <c r="EPV82" s="684"/>
      <c r="EPW82" s="684"/>
      <c r="EPX82" s="684"/>
      <c r="EPY82" s="684"/>
      <c r="EPZ82" s="684"/>
      <c r="EQA82" s="684"/>
      <c r="EQB82" s="684"/>
      <c r="EQC82" s="684"/>
      <c r="EQD82" s="684"/>
      <c r="EQE82" s="684"/>
      <c r="EQF82" s="684"/>
      <c r="EQG82" s="684"/>
      <c r="EQH82" s="684"/>
      <c r="EQI82" s="684"/>
      <c r="EQJ82" s="684"/>
      <c r="EQK82" s="684"/>
      <c r="EQL82" s="684"/>
      <c r="EQM82" s="684"/>
      <c r="EQN82" s="684"/>
      <c r="EQO82" s="684"/>
      <c r="EQP82" s="684"/>
      <c r="EQQ82" s="684"/>
      <c r="EQR82" s="684"/>
      <c r="EQS82" s="684"/>
      <c r="EQT82" s="684"/>
      <c r="EQU82" s="684"/>
      <c r="EQV82" s="684"/>
      <c r="EQW82" s="684"/>
      <c r="EQX82" s="684"/>
      <c r="EQY82" s="684"/>
      <c r="EQZ82" s="684"/>
      <c r="ERA82" s="684"/>
      <c r="ERB82" s="684"/>
      <c r="ERC82" s="684"/>
      <c r="ERD82" s="684"/>
      <c r="ERE82" s="684"/>
      <c r="ERF82" s="684"/>
      <c r="ERG82" s="684"/>
      <c r="ERH82" s="684"/>
      <c r="ERI82" s="684"/>
      <c r="ERJ82" s="684"/>
      <c r="ERK82" s="684"/>
      <c r="ERL82" s="684"/>
      <c r="ERM82" s="684"/>
      <c r="ERN82" s="684"/>
      <c r="ERO82" s="684"/>
      <c r="ERP82" s="684"/>
      <c r="ERQ82" s="684"/>
      <c r="ERR82" s="684"/>
      <c r="ERS82" s="684"/>
      <c r="ERT82" s="684"/>
      <c r="ERU82" s="684"/>
      <c r="ERV82" s="684"/>
      <c r="ERW82" s="684"/>
      <c r="ERX82" s="684"/>
      <c r="ERY82" s="684"/>
      <c r="ERZ82" s="684"/>
      <c r="ESA82" s="684"/>
      <c r="ESB82" s="684"/>
      <c r="ESC82" s="684"/>
      <c r="ESD82" s="684"/>
      <c r="ESE82" s="684"/>
      <c r="ESF82" s="684"/>
      <c r="ESG82" s="684"/>
      <c r="ESH82" s="684"/>
      <c r="ESI82" s="684"/>
      <c r="ESJ82" s="684"/>
      <c r="ESK82" s="684"/>
      <c r="ESL82" s="684"/>
      <c r="ESM82" s="684"/>
      <c r="ESN82" s="684"/>
      <c r="ESO82" s="684"/>
      <c r="ESP82" s="684"/>
      <c r="ESQ82" s="684"/>
      <c r="ESR82" s="684"/>
      <c r="ESS82" s="684"/>
      <c r="EST82" s="684"/>
      <c r="ESU82" s="684"/>
      <c r="ESV82" s="684"/>
      <c r="ESW82" s="684"/>
      <c r="ESX82" s="684"/>
      <c r="ESY82" s="684"/>
      <c r="ESZ82" s="684"/>
      <c r="ETA82" s="684"/>
      <c r="ETB82" s="684"/>
      <c r="ETC82" s="684"/>
      <c r="ETD82" s="684"/>
      <c r="ETE82" s="684"/>
      <c r="ETF82" s="684"/>
      <c r="ETG82" s="684"/>
      <c r="ETH82" s="684"/>
      <c r="ETI82" s="684"/>
      <c r="ETJ82" s="684"/>
      <c r="ETK82" s="684"/>
      <c r="ETL82" s="684"/>
      <c r="ETM82" s="684"/>
      <c r="ETN82" s="684"/>
      <c r="ETO82" s="684"/>
      <c r="ETP82" s="684"/>
      <c r="ETQ82" s="684"/>
      <c r="ETR82" s="684"/>
      <c r="ETS82" s="684"/>
      <c r="ETT82" s="684"/>
      <c r="ETU82" s="684"/>
      <c r="ETV82" s="684"/>
      <c r="ETW82" s="684"/>
      <c r="ETX82" s="684"/>
      <c r="ETY82" s="684"/>
      <c r="ETZ82" s="684"/>
      <c r="EUA82" s="684"/>
      <c r="EUB82" s="684"/>
      <c r="EUC82" s="684"/>
      <c r="EUD82" s="684"/>
      <c r="EUE82" s="684"/>
      <c r="EUF82" s="684"/>
      <c r="EUG82" s="684"/>
      <c r="EUH82" s="684"/>
      <c r="EUI82" s="684"/>
      <c r="EUJ82" s="684"/>
      <c r="EUK82" s="684"/>
      <c r="EUL82" s="684"/>
      <c r="EUM82" s="684"/>
      <c r="EUN82" s="684"/>
      <c r="EUO82" s="684"/>
      <c r="EUP82" s="684"/>
      <c r="EUQ82" s="684"/>
      <c r="EUR82" s="684"/>
      <c r="EUS82" s="684"/>
      <c r="EUT82" s="684"/>
      <c r="EUU82" s="684"/>
      <c r="EUV82" s="684"/>
      <c r="EUW82" s="684"/>
      <c r="EUX82" s="684"/>
      <c r="EUY82" s="684"/>
      <c r="EUZ82" s="684"/>
      <c r="EVA82" s="684"/>
      <c r="EVB82" s="684"/>
      <c r="EVC82" s="684"/>
      <c r="EVD82" s="684"/>
      <c r="EVE82" s="684"/>
      <c r="EVF82" s="684"/>
      <c r="EVG82" s="684"/>
      <c r="EVH82" s="684"/>
      <c r="EVI82" s="684"/>
      <c r="EVJ82" s="684"/>
      <c r="EVK82" s="684"/>
      <c r="EVL82" s="684"/>
      <c r="EVM82" s="684"/>
      <c r="EVN82" s="684"/>
      <c r="EVO82" s="684"/>
      <c r="EVP82" s="684"/>
      <c r="EVQ82" s="684"/>
      <c r="EVR82" s="684"/>
      <c r="EVS82" s="684"/>
      <c r="EVT82" s="684"/>
      <c r="EVU82" s="684"/>
      <c r="EVV82" s="684"/>
      <c r="EVW82" s="684"/>
      <c r="EVX82" s="684"/>
      <c r="EVY82" s="684"/>
      <c r="EVZ82" s="684"/>
      <c r="EWA82" s="684"/>
      <c r="EWB82" s="684"/>
      <c r="EWC82" s="684"/>
      <c r="EWD82" s="684"/>
      <c r="EWE82" s="684"/>
      <c r="EWF82" s="684"/>
      <c r="EWG82" s="684"/>
      <c r="EWH82" s="684"/>
      <c r="EWI82" s="684"/>
      <c r="EWJ82" s="684"/>
      <c r="EWK82" s="684"/>
      <c r="EWL82" s="684"/>
      <c r="EWM82" s="684"/>
      <c r="EWN82" s="684"/>
      <c r="EWO82" s="684"/>
      <c r="EWP82" s="684"/>
      <c r="EWQ82" s="684"/>
      <c r="EWR82" s="684"/>
      <c r="EWS82" s="684"/>
      <c r="EWT82" s="684"/>
      <c r="EWU82" s="684"/>
      <c r="EWV82" s="684"/>
      <c r="EWW82" s="684"/>
      <c r="EWX82" s="684"/>
      <c r="EWY82" s="684"/>
      <c r="EWZ82" s="684"/>
      <c r="EXA82" s="684"/>
      <c r="EXB82" s="684"/>
      <c r="EXC82" s="684"/>
      <c r="EXD82" s="684"/>
      <c r="EXE82" s="684"/>
      <c r="EXF82" s="684"/>
      <c r="EXG82" s="684"/>
      <c r="EXH82" s="684"/>
      <c r="EXI82" s="684"/>
      <c r="EXJ82" s="684"/>
      <c r="EXK82" s="684"/>
      <c r="EXL82" s="684"/>
      <c r="EXM82" s="684"/>
      <c r="EXN82" s="684"/>
      <c r="EXO82" s="684"/>
      <c r="EXP82" s="684"/>
      <c r="EXQ82" s="684"/>
      <c r="EXR82" s="684"/>
      <c r="EXS82" s="684"/>
      <c r="EXT82" s="684"/>
      <c r="EXU82" s="684"/>
      <c r="EXV82" s="684"/>
      <c r="EXW82" s="684"/>
      <c r="EXX82" s="684"/>
      <c r="EXY82" s="684"/>
      <c r="EXZ82" s="684"/>
      <c r="EYA82" s="684"/>
      <c r="EYB82" s="684"/>
      <c r="EYC82" s="684"/>
      <c r="EYD82" s="684"/>
      <c r="EYE82" s="684"/>
      <c r="EYF82" s="684"/>
      <c r="EYG82" s="684"/>
      <c r="EYH82" s="684"/>
      <c r="EYI82" s="684"/>
      <c r="EYJ82" s="684"/>
      <c r="EYK82" s="684"/>
      <c r="EYL82" s="684"/>
      <c r="EYM82" s="684"/>
      <c r="EYN82" s="684"/>
      <c r="EYO82" s="684"/>
      <c r="EYP82" s="684"/>
      <c r="EYQ82" s="684"/>
      <c r="EYR82" s="684"/>
      <c r="EYS82" s="684"/>
      <c r="EYT82" s="684"/>
      <c r="EYU82" s="684"/>
      <c r="EYV82" s="684"/>
      <c r="EYW82" s="684"/>
      <c r="EYX82" s="684"/>
      <c r="EYY82" s="684"/>
      <c r="EYZ82" s="684"/>
      <c r="EZA82" s="684"/>
      <c r="EZB82" s="684"/>
      <c r="EZC82" s="684"/>
      <c r="EZD82" s="684"/>
      <c r="EZE82" s="684"/>
      <c r="EZF82" s="684"/>
      <c r="EZG82" s="684"/>
      <c r="EZH82" s="684"/>
      <c r="EZI82" s="684"/>
      <c r="EZJ82" s="684"/>
      <c r="EZK82" s="684"/>
      <c r="EZL82" s="684"/>
      <c r="EZM82" s="684"/>
      <c r="EZN82" s="684"/>
      <c r="EZO82" s="684"/>
      <c r="EZP82" s="684"/>
      <c r="EZQ82" s="684"/>
      <c r="EZR82" s="684"/>
      <c r="EZS82" s="684"/>
      <c r="EZT82" s="684"/>
      <c r="EZU82" s="684"/>
      <c r="EZV82" s="684"/>
      <c r="EZW82" s="684"/>
      <c r="EZX82" s="684"/>
      <c r="EZY82" s="684"/>
      <c r="EZZ82" s="684"/>
      <c r="FAA82" s="684"/>
      <c r="FAB82" s="684"/>
      <c r="FAC82" s="684"/>
      <c r="FAD82" s="684"/>
      <c r="FAE82" s="684"/>
      <c r="FAF82" s="684"/>
      <c r="FAG82" s="684"/>
      <c r="FAH82" s="684"/>
      <c r="FAI82" s="684"/>
      <c r="FAJ82" s="684"/>
      <c r="FAK82" s="684"/>
      <c r="FAL82" s="684"/>
      <c r="FAM82" s="684"/>
      <c r="FAN82" s="684"/>
      <c r="FAO82" s="684"/>
      <c r="FAP82" s="684"/>
      <c r="FAQ82" s="684"/>
      <c r="FAR82" s="684"/>
      <c r="FAS82" s="684"/>
      <c r="FAT82" s="684"/>
      <c r="FAU82" s="684"/>
      <c r="FAV82" s="684"/>
      <c r="FAW82" s="684"/>
      <c r="FAX82" s="684"/>
      <c r="FAY82" s="684"/>
      <c r="FAZ82" s="684"/>
      <c r="FBA82" s="684"/>
      <c r="FBB82" s="684"/>
      <c r="FBC82" s="684"/>
      <c r="FBD82" s="684"/>
      <c r="FBE82" s="684"/>
      <c r="FBF82" s="684"/>
      <c r="FBG82" s="684"/>
      <c r="FBH82" s="684"/>
      <c r="FBI82" s="684"/>
      <c r="FBJ82" s="684"/>
      <c r="FBK82" s="684"/>
      <c r="FBL82" s="684"/>
      <c r="FBM82" s="684"/>
      <c r="FBN82" s="684"/>
      <c r="FBO82" s="684"/>
      <c r="FBP82" s="684"/>
      <c r="FBQ82" s="684"/>
      <c r="FBR82" s="684"/>
      <c r="FBS82" s="684"/>
      <c r="FBT82" s="684"/>
      <c r="FBU82" s="684"/>
      <c r="FBV82" s="684"/>
      <c r="FBW82" s="684"/>
      <c r="FBX82" s="684"/>
      <c r="FBY82" s="684"/>
      <c r="FBZ82" s="684"/>
      <c r="FCA82" s="684"/>
      <c r="FCB82" s="684"/>
      <c r="FCC82" s="684"/>
      <c r="FCD82" s="684"/>
      <c r="FCE82" s="684"/>
      <c r="FCF82" s="684"/>
      <c r="FCG82" s="684"/>
      <c r="FCH82" s="684"/>
      <c r="FCI82" s="684"/>
      <c r="FCJ82" s="684"/>
      <c r="FCK82" s="684"/>
      <c r="FCL82" s="684"/>
      <c r="FCM82" s="684"/>
      <c r="FCN82" s="684"/>
      <c r="FCO82" s="684"/>
      <c r="FCP82" s="684"/>
      <c r="FCQ82" s="684"/>
      <c r="FCR82" s="684"/>
      <c r="FCS82" s="684"/>
      <c r="FCT82" s="684"/>
      <c r="FCU82" s="684"/>
      <c r="FCV82" s="684"/>
      <c r="FCW82" s="684"/>
      <c r="FCX82" s="684"/>
      <c r="FCY82" s="684"/>
      <c r="FCZ82" s="684"/>
      <c r="FDA82" s="684"/>
      <c r="FDB82" s="684"/>
      <c r="FDC82" s="684"/>
      <c r="FDD82" s="684"/>
      <c r="FDE82" s="684"/>
      <c r="FDF82" s="684"/>
      <c r="FDG82" s="684"/>
      <c r="FDH82" s="684"/>
      <c r="FDI82" s="684"/>
      <c r="FDJ82" s="684"/>
      <c r="FDK82" s="684"/>
      <c r="FDL82" s="684"/>
      <c r="FDM82" s="684"/>
      <c r="FDN82" s="684"/>
      <c r="FDO82" s="684"/>
      <c r="FDP82" s="684"/>
      <c r="FDQ82" s="684"/>
      <c r="FDR82" s="684"/>
      <c r="FDS82" s="684"/>
      <c r="FDT82" s="684"/>
      <c r="FDU82" s="684"/>
      <c r="FDV82" s="684"/>
      <c r="FDW82" s="684"/>
      <c r="FDX82" s="684"/>
      <c r="FDY82" s="684"/>
      <c r="FDZ82" s="684"/>
      <c r="FEA82" s="684"/>
      <c r="FEB82" s="684"/>
      <c r="FEC82" s="684"/>
      <c r="FED82" s="684"/>
      <c r="FEE82" s="684"/>
      <c r="FEF82" s="684"/>
      <c r="FEG82" s="684"/>
      <c r="FEH82" s="684"/>
      <c r="FEI82" s="684"/>
      <c r="FEJ82" s="684"/>
      <c r="FEK82" s="684"/>
      <c r="FEL82" s="684"/>
      <c r="FEM82" s="684"/>
      <c r="FEN82" s="684"/>
      <c r="FEO82" s="684"/>
      <c r="FEP82" s="684"/>
      <c r="FEQ82" s="684"/>
      <c r="FER82" s="684"/>
      <c r="FES82" s="684"/>
      <c r="FET82" s="684"/>
      <c r="FEU82" s="684"/>
      <c r="FEV82" s="684"/>
      <c r="FEW82" s="684"/>
      <c r="FEX82" s="684"/>
      <c r="FEY82" s="684"/>
      <c r="FEZ82" s="684"/>
      <c r="FFA82" s="684"/>
      <c r="FFB82" s="684"/>
      <c r="FFC82" s="684"/>
      <c r="FFD82" s="684"/>
      <c r="FFE82" s="684"/>
      <c r="FFF82" s="684"/>
      <c r="FFG82" s="684"/>
      <c r="FFH82" s="684"/>
      <c r="FFI82" s="684"/>
      <c r="FFJ82" s="684"/>
      <c r="FFK82" s="684"/>
      <c r="FFL82" s="684"/>
      <c r="FFM82" s="684"/>
      <c r="FFN82" s="684"/>
      <c r="FFO82" s="684"/>
      <c r="FFP82" s="684"/>
      <c r="FFQ82" s="684"/>
      <c r="FFR82" s="684"/>
      <c r="FFS82" s="684"/>
      <c r="FFT82" s="684"/>
      <c r="FFU82" s="684"/>
      <c r="FFV82" s="684"/>
      <c r="FFW82" s="684"/>
      <c r="FFX82" s="684"/>
      <c r="FFY82" s="684"/>
      <c r="FFZ82" s="684"/>
      <c r="FGA82" s="684"/>
      <c r="FGB82" s="684"/>
      <c r="FGC82" s="684"/>
      <c r="FGD82" s="684"/>
      <c r="FGE82" s="684"/>
      <c r="FGF82" s="684"/>
      <c r="FGG82" s="684"/>
      <c r="FGH82" s="684"/>
      <c r="FGI82" s="684"/>
      <c r="FGJ82" s="684"/>
      <c r="FGK82" s="684"/>
      <c r="FGL82" s="684"/>
      <c r="FGM82" s="684"/>
      <c r="FGN82" s="684"/>
      <c r="FGO82" s="684"/>
      <c r="FGP82" s="684"/>
      <c r="FGQ82" s="684"/>
      <c r="FGR82" s="684"/>
      <c r="FGS82" s="684"/>
      <c r="FGT82" s="684"/>
      <c r="FGU82" s="684"/>
      <c r="FGV82" s="684"/>
      <c r="FGW82" s="684"/>
      <c r="FGX82" s="684"/>
      <c r="FGY82" s="684"/>
      <c r="FGZ82" s="684"/>
      <c r="FHA82" s="684"/>
      <c r="FHB82" s="684"/>
      <c r="FHC82" s="684"/>
      <c r="FHD82" s="684"/>
      <c r="FHE82" s="684"/>
      <c r="FHF82" s="684"/>
      <c r="FHG82" s="684"/>
      <c r="FHH82" s="684"/>
      <c r="FHI82" s="684"/>
      <c r="FHJ82" s="684"/>
      <c r="FHK82" s="684"/>
      <c r="FHL82" s="684"/>
      <c r="FHM82" s="684"/>
      <c r="FHN82" s="684"/>
      <c r="FHO82" s="684"/>
      <c r="FHP82" s="684"/>
      <c r="FHQ82" s="684"/>
      <c r="FHR82" s="684"/>
      <c r="FHS82" s="684"/>
      <c r="FHT82" s="684"/>
      <c r="FHU82" s="684"/>
      <c r="FHV82" s="684"/>
      <c r="FHW82" s="684"/>
      <c r="FHX82" s="684"/>
      <c r="FHY82" s="684"/>
      <c r="FHZ82" s="684"/>
      <c r="FIA82" s="684"/>
      <c r="FIB82" s="684"/>
      <c r="FIC82" s="684"/>
      <c r="FID82" s="684"/>
      <c r="FIE82" s="684"/>
      <c r="FIF82" s="684"/>
      <c r="FIG82" s="684"/>
      <c r="FIH82" s="684"/>
      <c r="FII82" s="684"/>
      <c r="FIJ82" s="684"/>
      <c r="FIK82" s="684"/>
      <c r="FIL82" s="684"/>
      <c r="FIM82" s="684"/>
      <c r="FIN82" s="684"/>
      <c r="FIO82" s="684"/>
      <c r="FIP82" s="684"/>
      <c r="FIQ82" s="684"/>
      <c r="FIR82" s="684"/>
      <c r="FIS82" s="684"/>
      <c r="FIT82" s="684"/>
      <c r="FIU82" s="684"/>
      <c r="FIV82" s="684"/>
      <c r="FIW82" s="684"/>
      <c r="FIX82" s="684"/>
      <c r="FIY82" s="684"/>
      <c r="FIZ82" s="684"/>
      <c r="FJA82" s="684"/>
      <c r="FJB82" s="684"/>
      <c r="FJC82" s="684"/>
      <c r="FJD82" s="684"/>
      <c r="FJE82" s="684"/>
      <c r="FJF82" s="684"/>
      <c r="FJG82" s="684"/>
      <c r="FJH82" s="684"/>
      <c r="FJI82" s="684"/>
      <c r="FJJ82" s="684"/>
      <c r="FJK82" s="684"/>
      <c r="FJL82" s="684"/>
      <c r="FJM82" s="684"/>
      <c r="FJN82" s="684"/>
      <c r="FJO82" s="684"/>
      <c r="FJP82" s="684"/>
      <c r="FJQ82" s="684"/>
      <c r="FJR82" s="684"/>
      <c r="FJS82" s="684"/>
      <c r="FJT82" s="684"/>
      <c r="FJU82" s="684"/>
      <c r="FJV82" s="684"/>
      <c r="FJW82" s="684"/>
      <c r="FJX82" s="684"/>
      <c r="FJY82" s="684"/>
      <c r="FJZ82" s="684"/>
      <c r="FKA82" s="684"/>
      <c r="FKB82" s="684"/>
      <c r="FKC82" s="684"/>
      <c r="FKD82" s="684"/>
      <c r="FKE82" s="684"/>
      <c r="FKF82" s="684"/>
      <c r="FKG82" s="684"/>
      <c r="FKH82" s="684"/>
      <c r="FKI82" s="684"/>
      <c r="FKJ82" s="684"/>
      <c r="FKK82" s="684"/>
      <c r="FKL82" s="684"/>
      <c r="FKM82" s="684"/>
      <c r="FKN82" s="684"/>
      <c r="FKO82" s="684"/>
      <c r="FKP82" s="684"/>
      <c r="FKQ82" s="684"/>
      <c r="FKR82" s="684"/>
      <c r="FKS82" s="684"/>
      <c r="FKT82" s="684"/>
      <c r="FKU82" s="684"/>
      <c r="FKV82" s="684"/>
      <c r="FKW82" s="684"/>
      <c r="FKX82" s="684"/>
      <c r="FKY82" s="684"/>
      <c r="FKZ82" s="684"/>
      <c r="FLA82" s="684"/>
      <c r="FLB82" s="684"/>
      <c r="FLC82" s="684"/>
      <c r="FLD82" s="684"/>
      <c r="FLE82" s="684"/>
      <c r="FLF82" s="684"/>
      <c r="FLG82" s="684"/>
      <c r="FLH82" s="684"/>
      <c r="FLI82" s="684"/>
      <c r="FLJ82" s="684"/>
      <c r="FLK82" s="684"/>
      <c r="FLL82" s="684"/>
      <c r="FLM82" s="684"/>
      <c r="FLN82" s="684"/>
      <c r="FLO82" s="684"/>
      <c r="FLP82" s="684"/>
      <c r="FLQ82" s="684"/>
      <c r="FLR82" s="684"/>
      <c r="FLS82" s="684"/>
      <c r="FLT82" s="684"/>
      <c r="FLU82" s="684"/>
      <c r="FLV82" s="684"/>
      <c r="FLW82" s="684"/>
      <c r="FLX82" s="684"/>
      <c r="FLY82" s="684"/>
      <c r="FLZ82" s="684"/>
      <c r="FMA82" s="684"/>
      <c r="FMB82" s="684"/>
      <c r="FMC82" s="684"/>
      <c r="FMD82" s="684"/>
      <c r="FME82" s="684"/>
      <c r="FMF82" s="684"/>
      <c r="FMG82" s="684"/>
      <c r="FMH82" s="684"/>
      <c r="FMI82" s="684"/>
      <c r="FMJ82" s="684"/>
      <c r="FMK82" s="684"/>
      <c r="FML82" s="684"/>
      <c r="FMM82" s="684"/>
      <c r="FMN82" s="684"/>
      <c r="FMO82" s="684"/>
      <c r="FMP82" s="684"/>
      <c r="FMQ82" s="684"/>
      <c r="FMR82" s="684"/>
      <c r="FMS82" s="684"/>
      <c r="FMT82" s="684"/>
      <c r="FMU82" s="684"/>
      <c r="FMV82" s="684"/>
      <c r="FMW82" s="684"/>
      <c r="FMX82" s="684"/>
      <c r="FMY82" s="684"/>
      <c r="FMZ82" s="684"/>
      <c r="FNA82" s="684"/>
      <c r="FNB82" s="684"/>
      <c r="FNC82" s="684"/>
      <c r="FND82" s="684"/>
      <c r="FNE82" s="684"/>
      <c r="FNF82" s="684"/>
      <c r="FNG82" s="684"/>
      <c r="FNH82" s="684"/>
      <c r="FNI82" s="684"/>
      <c r="FNJ82" s="684"/>
      <c r="FNK82" s="684"/>
      <c r="FNL82" s="684"/>
      <c r="FNM82" s="684"/>
      <c r="FNN82" s="684"/>
      <c r="FNO82" s="684"/>
      <c r="FNP82" s="684"/>
      <c r="FNQ82" s="684"/>
      <c r="FNR82" s="684"/>
      <c r="FNS82" s="684"/>
      <c r="FNT82" s="684"/>
      <c r="FNU82" s="684"/>
      <c r="FNV82" s="684"/>
      <c r="FNW82" s="684"/>
      <c r="FNX82" s="684"/>
      <c r="FNY82" s="684"/>
      <c r="FNZ82" s="684"/>
      <c r="FOA82" s="684"/>
      <c r="FOB82" s="684"/>
      <c r="FOC82" s="684"/>
      <c r="FOD82" s="684"/>
      <c r="FOE82" s="684"/>
      <c r="FOF82" s="684"/>
      <c r="FOG82" s="684"/>
      <c r="FOH82" s="684"/>
      <c r="FOI82" s="684"/>
      <c r="FOJ82" s="684"/>
      <c r="FOK82" s="684"/>
      <c r="FOL82" s="684"/>
      <c r="FOM82" s="684"/>
      <c r="FON82" s="684"/>
      <c r="FOO82" s="684"/>
      <c r="FOP82" s="684"/>
      <c r="FOQ82" s="684"/>
      <c r="FOR82" s="684"/>
      <c r="FOS82" s="684"/>
      <c r="FOT82" s="684"/>
      <c r="FOU82" s="684"/>
      <c r="FOV82" s="684"/>
      <c r="FOW82" s="684"/>
      <c r="FOX82" s="684"/>
      <c r="FOY82" s="684"/>
      <c r="FOZ82" s="684"/>
      <c r="FPA82" s="684"/>
      <c r="FPB82" s="684"/>
      <c r="FPC82" s="684"/>
      <c r="FPD82" s="684"/>
      <c r="FPE82" s="684"/>
      <c r="FPF82" s="684"/>
      <c r="FPG82" s="684"/>
      <c r="FPH82" s="684"/>
      <c r="FPI82" s="684"/>
      <c r="FPJ82" s="684"/>
      <c r="FPK82" s="684"/>
      <c r="FPL82" s="684"/>
      <c r="FPM82" s="684"/>
      <c r="FPN82" s="684"/>
      <c r="FPO82" s="684"/>
      <c r="FPP82" s="684"/>
      <c r="FPQ82" s="684"/>
      <c r="FPR82" s="684"/>
      <c r="FPS82" s="684"/>
      <c r="FPT82" s="684"/>
      <c r="FPU82" s="684"/>
      <c r="FPV82" s="684"/>
      <c r="FPW82" s="684"/>
      <c r="FPX82" s="684"/>
      <c r="FPY82" s="684"/>
      <c r="FPZ82" s="684"/>
      <c r="FQA82" s="684"/>
      <c r="FQB82" s="684"/>
      <c r="FQC82" s="684"/>
      <c r="FQD82" s="684"/>
      <c r="FQE82" s="684"/>
      <c r="FQF82" s="684"/>
      <c r="FQG82" s="684"/>
      <c r="FQH82" s="684"/>
      <c r="FQI82" s="684"/>
      <c r="FQJ82" s="684"/>
      <c r="FQK82" s="684"/>
      <c r="FQL82" s="684"/>
      <c r="FQM82" s="684"/>
      <c r="FQN82" s="684"/>
      <c r="FQO82" s="684"/>
      <c r="FQP82" s="684"/>
      <c r="FQQ82" s="684"/>
      <c r="FQR82" s="684"/>
      <c r="FQS82" s="684"/>
      <c r="FQT82" s="684"/>
      <c r="FQU82" s="684"/>
      <c r="FQV82" s="684"/>
      <c r="FQW82" s="684"/>
      <c r="FQX82" s="684"/>
      <c r="FQY82" s="684"/>
      <c r="FQZ82" s="684"/>
      <c r="FRA82" s="684"/>
      <c r="FRB82" s="684"/>
      <c r="FRC82" s="684"/>
      <c r="FRD82" s="684"/>
      <c r="FRE82" s="684"/>
      <c r="FRF82" s="684"/>
      <c r="FRG82" s="684"/>
      <c r="FRH82" s="684"/>
      <c r="FRI82" s="684"/>
      <c r="FRJ82" s="684"/>
      <c r="FRK82" s="684"/>
      <c r="FRL82" s="684"/>
      <c r="FRM82" s="684"/>
      <c r="FRN82" s="684"/>
      <c r="FRO82" s="684"/>
      <c r="FRP82" s="684"/>
      <c r="FRQ82" s="684"/>
      <c r="FRR82" s="684"/>
      <c r="FRS82" s="684"/>
      <c r="FRT82" s="684"/>
      <c r="FRU82" s="684"/>
      <c r="FRV82" s="684"/>
      <c r="FRW82" s="684"/>
      <c r="FRX82" s="684"/>
      <c r="FRY82" s="684"/>
      <c r="FRZ82" s="684"/>
      <c r="FSA82" s="684"/>
      <c r="FSB82" s="684"/>
      <c r="FSC82" s="684"/>
      <c r="FSD82" s="684"/>
      <c r="FSE82" s="684"/>
      <c r="FSF82" s="684"/>
      <c r="FSG82" s="684"/>
      <c r="FSH82" s="684"/>
      <c r="FSI82" s="684"/>
      <c r="FSJ82" s="684"/>
      <c r="FSK82" s="684"/>
      <c r="FSL82" s="684"/>
      <c r="FSM82" s="684"/>
      <c r="FSN82" s="684"/>
      <c r="FSO82" s="684"/>
      <c r="FSP82" s="684"/>
      <c r="FSQ82" s="684"/>
      <c r="FSR82" s="684"/>
      <c r="FSS82" s="684"/>
      <c r="FST82" s="684"/>
      <c r="FSU82" s="684"/>
      <c r="FSV82" s="684"/>
      <c r="FSW82" s="684"/>
      <c r="FSX82" s="684"/>
      <c r="FSY82" s="684"/>
      <c r="FSZ82" s="684"/>
      <c r="FTA82" s="684"/>
      <c r="FTB82" s="684"/>
      <c r="FTC82" s="684"/>
      <c r="FTD82" s="684"/>
      <c r="FTE82" s="684"/>
      <c r="FTF82" s="684"/>
      <c r="FTG82" s="684"/>
      <c r="FTH82" s="684"/>
      <c r="FTI82" s="684"/>
      <c r="FTJ82" s="684"/>
      <c r="FTK82" s="684"/>
      <c r="FTL82" s="684"/>
      <c r="FTM82" s="684"/>
      <c r="FTN82" s="684"/>
      <c r="FTO82" s="684"/>
      <c r="FTP82" s="684"/>
      <c r="FTQ82" s="684"/>
      <c r="FTR82" s="684"/>
      <c r="FTS82" s="684"/>
      <c r="FTT82" s="684"/>
      <c r="FTU82" s="684"/>
      <c r="FTV82" s="684"/>
      <c r="FTW82" s="684"/>
      <c r="FTX82" s="684"/>
      <c r="FTY82" s="684"/>
      <c r="FTZ82" s="684"/>
      <c r="FUA82" s="684"/>
      <c r="FUB82" s="684"/>
      <c r="FUC82" s="684"/>
      <c r="FUD82" s="684"/>
      <c r="FUE82" s="684"/>
      <c r="FUF82" s="684"/>
      <c r="FUG82" s="684"/>
      <c r="FUH82" s="684"/>
      <c r="FUI82" s="684"/>
      <c r="FUJ82" s="684"/>
      <c r="FUK82" s="684"/>
      <c r="FUL82" s="684"/>
      <c r="FUM82" s="684"/>
      <c r="FUN82" s="684"/>
      <c r="FUO82" s="684"/>
      <c r="FUP82" s="684"/>
      <c r="FUQ82" s="684"/>
      <c r="FUR82" s="684"/>
      <c r="FUS82" s="684"/>
      <c r="FUT82" s="684"/>
      <c r="FUU82" s="684"/>
      <c r="FUV82" s="684"/>
      <c r="FUW82" s="684"/>
      <c r="FUX82" s="684"/>
      <c r="FUY82" s="684"/>
      <c r="FUZ82" s="684"/>
      <c r="FVA82" s="684"/>
      <c r="FVB82" s="684"/>
      <c r="FVC82" s="684"/>
      <c r="FVD82" s="684"/>
      <c r="FVE82" s="684"/>
      <c r="FVF82" s="684"/>
      <c r="FVG82" s="684"/>
      <c r="FVH82" s="684"/>
      <c r="FVI82" s="684"/>
      <c r="FVJ82" s="684"/>
      <c r="FVK82" s="684"/>
      <c r="FVL82" s="684"/>
      <c r="FVM82" s="684"/>
      <c r="FVN82" s="684"/>
      <c r="FVO82" s="684"/>
      <c r="FVP82" s="684"/>
      <c r="FVQ82" s="684"/>
      <c r="FVR82" s="684"/>
      <c r="FVS82" s="684"/>
      <c r="FVT82" s="684"/>
      <c r="FVU82" s="684"/>
      <c r="FVV82" s="684"/>
      <c r="FVW82" s="684"/>
      <c r="FVX82" s="684"/>
      <c r="FVY82" s="684"/>
      <c r="FVZ82" s="684"/>
      <c r="FWA82" s="684"/>
      <c r="FWB82" s="684"/>
      <c r="FWC82" s="684"/>
      <c r="FWD82" s="684"/>
      <c r="FWE82" s="684"/>
      <c r="FWF82" s="684"/>
      <c r="FWG82" s="684"/>
      <c r="FWH82" s="684"/>
      <c r="FWI82" s="684"/>
      <c r="FWJ82" s="684"/>
      <c r="FWK82" s="684"/>
      <c r="FWL82" s="684"/>
      <c r="FWM82" s="684"/>
      <c r="FWN82" s="684"/>
      <c r="FWO82" s="684"/>
      <c r="FWP82" s="684"/>
      <c r="FWQ82" s="684"/>
      <c r="FWR82" s="684"/>
      <c r="FWS82" s="684"/>
      <c r="FWT82" s="684"/>
      <c r="FWU82" s="684"/>
      <c r="FWV82" s="684"/>
      <c r="FWW82" s="684"/>
      <c r="FWX82" s="684"/>
      <c r="FWY82" s="684"/>
      <c r="FWZ82" s="684"/>
      <c r="FXA82" s="684"/>
      <c r="FXB82" s="684"/>
      <c r="FXC82" s="684"/>
      <c r="FXD82" s="684"/>
      <c r="FXE82" s="684"/>
      <c r="FXF82" s="684"/>
      <c r="FXG82" s="684"/>
      <c r="FXH82" s="684"/>
      <c r="FXI82" s="684"/>
      <c r="FXJ82" s="684"/>
      <c r="FXK82" s="684"/>
      <c r="FXL82" s="684"/>
      <c r="FXM82" s="684"/>
      <c r="FXN82" s="684"/>
      <c r="FXO82" s="684"/>
      <c r="FXP82" s="684"/>
      <c r="FXQ82" s="684"/>
      <c r="FXR82" s="684"/>
      <c r="FXS82" s="684"/>
      <c r="FXT82" s="684"/>
      <c r="FXU82" s="684"/>
      <c r="FXV82" s="684"/>
      <c r="FXW82" s="684"/>
      <c r="FXX82" s="684"/>
      <c r="FXY82" s="684"/>
      <c r="FXZ82" s="684"/>
      <c r="FYA82" s="684"/>
      <c r="FYB82" s="684"/>
      <c r="FYC82" s="684"/>
      <c r="FYD82" s="684"/>
      <c r="FYE82" s="684"/>
      <c r="FYF82" s="684"/>
      <c r="FYG82" s="684"/>
      <c r="FYH82" s="684"/>
      <c r="FYI82" s="684"/>
      <c r="FYJ82" s="684"/>
      <c r="FYK82" s="684"/>
      <c r="FYL82" s="684"/>
      <c r="FYM82" s="684"/>
      <c r="FYN82" s="684"/>
      <c r="FYO82" s="684"/>
      <c r="FYP82" s="684"/>
      <c r="FYQ82" s="684"/>
      <c r="FYR82" s="684"/>
      <c r="FYS82" s="684"/>
      <c r="FYT82" s="684"/>
      <c r="FYU82" s="684"/>
      <c r="FYV82" s="684"/>
      <c r="FYW82" s="684"/>
      <c r="FYX82" s="684"/>
      <c r="FYY82" s="684"/>
      <c r="FYZ82" s="684"/>
      <c r="FZA82" s="684"/>
      <c r="FZB82" s="684"/>
      <c r="FZC82" s="684"/>
      <c r="FZD82" s="684"/>
      <c r="FZE82" s="684"/>
      <c r="FZF82" s="684"/>
      <c r="FZG82" s="684"/>
      <c r="FZH82" s="684"/>
      <c r="FZI82" s="684"/>
      <c r="FZJ82" s="684"/>
      <c r="FZK82" s="684"/>
      <c r="FZL82" s="684"/>
      <c r="FZM82" s="684"/>
      <c r="FZN82" s="684"/>
      <c r="FZO82" s="684"/>
      <c r="FZP82" s="684"/>
      <c r="FZQ82" s="684"/>
      <c r="FZR82" s="684"/>
      <c r="FZS82" s="684"/>
      <c r="FZT82" s="684"/>
      <c r="FZU82" s="684"/>
      <c r="FZV82" s="684"/>
      <c r="FZW82" s="684"/>
      <c r="FZX82" s="684"/>
      <c r="FZY82" s="684"/>
      <c r="FZZ82" s="684"/>
      <c r="GAA82" s="684"/>
      <c r="GAB82" s="684"/>
      <c r="GAC82" s="684"/>
      <c r="GAD82" s="684"/>
      <c r="GAE82" s="684"/>
      <c r="GAF82" s="684"/>
      <c r="GAG82" s="684"/>
      <c r="GAH82" s="684"/>
      <c r="GAI82" s="684"/>
      <c r="GAJ82" s="684"/>
      <c r="GAK82" s="684"/>
      <c r="GAL82" s="684"/>
      <c r="GAM82" s="684"/>
      <c r="GAN82" s="684"/>
      <c r="GAO82" s="684"/>
      <c r="GAP82" s="684"/>
      <c r="GAQ82" s="684"/>
      <c r="GAR82" s="684"/>
      <c r="GAS82" s="684"/>
      <c r="GAT82" s="684"/>
      <c r="GAU82" s="684"/>
      <c r="GAV82" s="684"/>
      <c r="GAW82" s="684"/>
      <c r="GAX82" s="684"/>
      <c r="GAY82" s="684"/>
      <c r="GAZ82" s="684"/>
      <c r="GBA82" s="684"/>
      <c r="GBB82" s="684"/>
      <c r="GBC82" s="684"/>
      <c r="GBD82" s="684"/>
      <c r="GBE82" s="684"/>
      <c r="GBF82" s="684"/>
      <c r="GBG82" s="684"/>
      <c r="GBH82" s="684"/>
      <c r="GBI82" s="684"/>
      <c r="GBJ82" s="684"/>
      <c r="GBK82" s="684"/>
      <c r="GBL82" s="684"/>
      <c r="GBM82" s="684"/>
      <c r="GBN82" s="684"/>
      <c r="GBO82" s="684"/>
      <c r="GBP82" s="684"/>
      <c r="GBQ82" s="684"/>
      <c r="GBR82" s="684"/>
      <c r="GBS82" s="684"/>
      <c r="GBT82" s="684"/>
      <c r="GBU82" s="684"/>
      <c r="GBV82" s="684"/>
      <c r="GBW82" s="684"/>
      <c r="GBX82" s="684"/>
      <c r="GBY82" s="684"/>
      <c r="GBZ82" s="684"/>
      <c r="GCA82" s="684"/>
      <c r="GCB82" s="684"/>
      <c r="GCC82" s="684"/>
      <c r="GCD82" s="684"/>
      <c r="GCE82" s="684"/>
      <c r="GCF82" s="684"/>
      <c r="GCG82" s="684"/>
      <c r="GCH82" s="684"/>
      <c r="GCI82" s="684"/>
      <c r="GCJ82" s="684"/>
      <c r="GCK82" s="684"/>
      <c r="GCL82" s="684"/>
      <c r="GCM82" s="684"/>
      <c r="GCN82" s="684"/>
      <c r="GCO82" s="684"/>
      <c r="GCP82" s="684"/>
      <c r="GCQ82" s="684"/>
      <c r="GCR82" s="684"/>
      <c r="GCS82" s="684"/>
      <c r="GCT82" s="684"/>
      <c r="GCU82" s="684"/>
      <c r="GCV82" s="684"/>
      <c r="GCW82" s="684"/>
      <c r="GCX82" s="684"/>
      <c r="GCY82" s="684"/>
      <c r="GCZ82" s="684"/>
      <c r="GDA82" s="684"/>
      <c r="GDB82" s="684"/>
      <c r="GDC82" s="684"/>
      <c r="GDD82" s="684"/>
      <c r="GDE82" s="684"/>
      <c r="GDF82" s="684"/>
      <c r="GDG82" s="684"/>
      <c r="GDH82" s="684"/>
      <c r="GDI82" s="684"/>
      <c r="GDJ82" s="684"/>
      <c r="GDK82" s="684"/>
      <c r="GDL82" s="684"/>
      <c r="GDM82" s="684"/>
      <c r="GDN82" s="684"/>
      <c r="GDO82" s="684"/>
      <c r="GDP82" s="684"/>
      <c r="GDQ82" s="684"/>
      <c r="GDR82" s="684"/>
      <c r="GDS82" s="684"/>
      <c r="GDT82" s="684"/>
      <c r="GDU82" s="684"/>
      <c r="GDV82" s="684"/>
      <c r="GDW82" s="684"/>
      <c r="GDX82" s="684"/>
      <c r="GDY82" s="684"/>
      <c r="GDZ82" s="684"/>
      <c r="GEA82" s="684"/>
      <c r="GEB82" s="684"/>
      <c r="GEC82" s="684"/>
      <c r="GED82" s="684"/>
      <c r="GEE82" s="684"/>
      <c r="GEF82" s="684"/>
      <c r="GEG82" s="684"/>
      <c r="GEH82" s="684"/>
      <c r="GEI82" s="684"/>
      <c r="GEJ82" s="684"/>
      <c r="GEK82" s="684"/>
      <c r="GEL82" s="684"/>
      <c r="GEM82" s="684"/>
      <c r="GEN82" s="684"/>
      <c r="GEO82" s="684"/>
      <c r="GEP82" s="684"/>
      <c r="GEQ82" s="684"/>
      <c r="GER82" s="684"/>
      <c r="GES82" s="684"/>
      <c r="GET82" s="684"/>
      <c r="GEU82" s="684"/>
      <c r="GEV82" s="684"/>
      <c r="GEW82" s="684"/>
      <c r="GEX82" s="684"/>
      <c r="GEY82" s="684"/>
      <c r="GEZ82" s="684"/>
      <c r="GFA82" s="684"/>
      <c r="GFB82" s="684"/>
      <c r="GFC82" s="684"/>
      <c r="GFD82" s="684"/>
      <c r="GFE82" s="684"/>
      <c r="GFF82" s="684"/>
      <c r="GFG82" s="684"/>
      <c r="GFH82" s="684"/>
      <c r="GFI82" s="684"/>
      <c r="GFJ82" s="684"/>
      <c r="GFK82" s="684"/>
      <c r="GFL82" s="684"/>
      <c r="GFM82" s="684"/>
      <c r="GFN82" s="684"/>
      <c r="GFO82" s="684"/>
      <c r="GFP82" s="684"/>
      <c r="GFQ82" s="684"/>
      <c r="GFR82" s="684"/>
      <c r="GFS82" s="684"/>
      <c r="GFT82" s="684"/>
      <c r="GFU82" s="684"/>
      <c r="GFV82" s="684"/>
      <c r="GFW82" s="684"/>
      <c r="GFX82" s="684"/>
      <c r="GFY82" s="684"/>
      <c r="GFZ82" s="684"/>
      <c r="GGA82" s="684"/>
      <c r="GGB82" s="684"/>
      <c r="GGC82" s="684"/>
      <c r="GGD82" s="684"/>
      <c r="GGE82" s="684"/>
      <c r="GGF82" s="684"/>
      <c r="GGG82" s="684"/>
      <c r="GGH82" s="684"/>
      <c r="GGI82" s="684"/>
      <c r="GGJ82" s="684"/>
      <c r="GGK82" s="684"/>
      <c r="GGL82" s="684"/>
      <c r="GGM82" s="684"/>
      <c r="GGN82" s="684"/>
      <c r="GGO82" s="684"/>
      <c r="GGP82" s="684"/>
      <c r="GGQ82" s="684"/>
      <c r="GGR82" s="684"/>
      <c r="GGS82" s="684"/>
      <c r="GGT82" s="684"/>
      <c r="GGU82" s="684"/>
      <c r="GGV82" s="684"/>
      <c r="GGW82" s="684"/>
      <c r="GGX82" s="684"/>
      <c r="GGY82" s="684"/>
      <c r="GGZ82" s="684"/>
      <c r="GHA82" s="684"/>
      <c r="GHB82" s="684"/>
      <c r="GHC82" s="684"/>
      <c r="GHD82" s="684"/>
      <c r="GHE82" s="684"/>
      <c r="GHF82" s="684"/>
      <c r="GHG82" s="684"/>
      <c r="GHH82" s="684"/>
      <c r="GHI82" s="684"/>
      <c r="GHJ82" s="684"/>
      <c r="GHK82" s="684"/>
      <c r="GHL82" s="684"/>
      <c r="GHM82" s="684"/>
      <c r="GHN82" s="684"/>
      <c r="GHO82" s="684"/>
      <c r="GHP82" s="684"/>
      <c r="GHQ82" s="684"/>
      <c r="GHR82" s="684"/>
      <c r="GHS82" s="684"/>
      <c r="GHT82" s="684"/>
      <c r="GHU82" s="684"/>
      <c r="GHV82" s="684"/>
      <c r="GHW82" s="684"/>
      <c r="GHX82" s="684"/>
      <c r="GHY82" s="684"/>
      <c r="GHZ82" s="684"/>
      <c r="GIA82" s="684"/>
      <c r="GIB82" s="684"/>
      <c r="GIC82" s="684"/>
      <c r="GID82" s="684"/>
      <c r="GIE82" s="684"/>
      <c r="GIF82" s="684"/>
      <c r="GIG82" s="684"/>
      <c r="GIH82" s="684"/>
      <c r="GII82" s="684"/>
      <c r="GIJ82" s="684"/>
      <c r="GIK82" s="684"/>
      <c r="GIL82" s="684"/>
      <c r="GIM82" s="684"/>
      <c r="GIN82" s="684"/>
      <c r="GIO82" s="684"/>
      <c r="GIP82" s="684"/>
      <c r="GIQ82" s="684"/>
      <c r="GIR82" s="684"/>
      <c r="GIS82" s="684"/>
      <c r="GIT82" s="684"/>
      <c r="GIU82" s="684"/>
      <c r="GIV82" s="684"/>
      <c r="GIW82" s="684"/>
      <c r="GIX82" s="684"/>
      <c r="GIY82" s="684"/>
      <c r="GIZ82" s="684"/>
      <c r="GJA82" s="684"/>
      <c r="GJB82" s="684"/>
      <c r="GJC82" s="684"/>
      <c r="GJD82" s="684"/>
      <c r="GJE82" s="684"/>
      <c r="GJF82" s="684"/>
      <c r="GJG82" s="684"/>
      <c r="GJH82" s="684"/>
      <c r="GJI82" s="684"/>
      <c r="GJJ82" s="684"/>
      <c r="GJK82" s="684"/>
      <c r="GJL82" s="684"/>
      <c r="GJM82" s="684"/>
      <c r="GJN82" s="684"/>
      <c r="GJO82" s="684"/>
      <c r="GJP82" s="684"/>
      <c r="GJQ82" s="684"/>
      <c r="GJR82" s="684"/>
      <c r="GJS82" s="684"/>
      <c r="GJT82" s="684"/>
      <c r="GJU82" s="684"/>
      <c r="GJV82" s="684"/>
      <c r="GJW82" s="684"/>
      <c r="GJX82" s="684"/>
      <c r="GJY82" s="684"/>
      <c r="GJZ82" s="684"/>
      <c r="GKA82" s="684"/>
      <c r="GKB82" s="684"/>
      <c r="GKC82" s="684"/>
      <c r="GKD82" s="684"/>
      <c r="GKE82" s="684"/>
      <c r="GKF82" s="684"/>
      <c r="GKG82" s="684"/>
      <c r="GKH82" s="684"/>
      <c r="GKI82" s="684"/>
      <c r="GKJ82" s="684"/>
      <c r="GKK82" s="684"/>
      <c r="GKL82" s="684"/>
      <c r="GKM82" s="684"/>
      <c r="GKN82" s="684"/>
      <c r="GKO82" s="684"/>
      <c r="GKP82" s="684"/>
      <c r="GKQ82" s="684"/>
      <c r="GKR82" s="684"/>
      <c r="GKS82" s="684"/>
      <c r="GKT82" s="684"/>
      <c r="GKU82" s="684"/>
      <c r="GKV82" s="684"/>
      <c r="GKW82" s="684"/>
      <c r="GKX82" s="684"/>
      <c r="GKY82" s="684"/>
      <c r="GKZ82" s="684"/>
      <c r="GLA82" s="684"/>
      <c r="GLB82" s="684"/>
      <c r="GLC82" s="684"/>
      <c r="GLD82" s="684"/>
      <c r="GLE82" s="684"/>
      <c r="GLF82" s="684"/>
      <c r="GLG82" s="684"/>
      <c r="GLH82" s="684"/>
      <c r="GLI82" s="684"/>
      <c r="GLJ82" s="684"/>
      <c r="GLK82" s="684"/>
      <c r="GLL82" s="684"/>
      <c r="GLM82" s="684"/>
      <c r="GLN82" s="684"/>
      <c r="GLO82" s="684"/>
      <c r="GLP82" s="684"/>
      <c r="GLQ82" s="684"/>
      <c r="GLR82" s="684"/>
      <c r="GLS82" s="684"/>
      <c r="GLT82" s="684"/>
      <c r="GLU82" s="684"/>
      <c r="GLV82" s="684"/>
      <c r="GLW82" s="684"/>
      <c r="GLX82" s="684"/>
      <c r="GLY82" s="684"/>
      <c r="GLZ82" s="684"/>
      <c r="GMA82" s="684"/>
      <c r="GMB82" s="684"/>
      <c r="GMC82" s="684"/>
      <c r="GMD82" s="684"/>
      <c r="GME82" s="684"/>
      <c r="GMF82" s="684"/>
      <c r="GMG82" s="684"/>
      <c r="GMH82" s="684"/>
      <c r="GMI82" s="684"/>
      <c r="GMJ82" s="684"/>
      <c r="GMK82" s="684"/>
      <c r="GML82" s="684"/>
      <c r="GMM82" s="684"/>
      <c r="GMN82" s="684"/>
      <c r="GMO82" s="684"/>
      <c r="GMP82" s="684"/>
      <c r="GMQ82" s="684"/>
      <c r="GMR82" s="684"/>
      <c r="GMS82" s="684"/>
      <c r="GMT82" s="684"/>
      <c r="GMU82" s="684"/>
      <c r="GMV82" s="684"/>
      <c r="GMW82" s="684"/>
      <c r="GMX82" s="684"/>
      <c r="GMY82" s="684"/>
      <c r="GMZ82" s="684"/>
      <c r="GNA82" s="684"/>
      <c r="GNB82" s="684"/>
      <c r="GNC82" s="684"/>
      <c r="GND82" s="684"/>
      <c r="GNE82" s="684"/>
      <c r="GNF82" s="684"/>
      <c r="GNG82" s="684"/>
      <c r="GNH82" s="684"/>
      <c r="GNI82" s="684"/>
      <c r="GNJ82" s="684"/>
      <c r="GNK82" s="684"/>
      <c r="GNL82" s="684"/>
      <c r="GNM82" s="684"/>
      <c r="GNN82" s="684"/>
      <c r="GNO82" s="684"/>
      <c r="GNP82" s="684"/>
      <c r="GNQ82" s="684"/>
      <c r="GNR82" s="684"/>
      <c r="GNS82" s="684"/>
      <c r="GNT82" s="684"/>
      <c r="GNU82" s="684"/>
      <c r="GNV82" s="684"/>
      <c r="GNW82" s="684"/>
      <c r="GNX82" s="684"/>
      <c r="GNY82" s="684"/>
      <c r="GNZ82" s="684"/>
      <c r="GOA82" s="684"/>
      <c r="GOB82" s="684"/>
      <c r="GOC82" s="684"/>
      <c r="GOD82" s="684"/>
      <c r="GOE82" s="684"/>
      <c r="GOF82" s="684"/>
      <c r="GOG82" s="684"/>
      <c r="GOH82" s="684"/>
      <c r="GOI82" s="684"/>
      <c r="GOJ82" s="684"/>
      <c r="GOK82" s="684"/>
      <c r="GOL82" s="684"/>
      <c r="GOM82" s="684"/>
      <c r="GON82" s="684"/>
      <c r="GOO82" s="684"/>
      <c r="GOP82" s="684"/>
      <c r="GOQ82" s="684"/>
      <c r="GOR82" s="684"/>
      <c r="GOS82" s="684"/>
      <c r="GOT82" s="684"/>
      <c r="GOU82" s="684"/>
      <c r="GOV82" s="684"/>
      <c r="GOW82" s="684"/>
      <c r="GOX82" s="684"/>
      <c r="GOY82" s="684"/>
      <c r="GOZ82" s="684"/>
      <c r="GPA82" s="684"/>
      <c r="GPB82" s="684"/>
      <c r="GPC82" s="684"/>
      <c r="GPD82" s="684"/>
      <c r="GPE82" s="684"/>
      <c r="GPF82" s="684"/>
      <c r="GPG82" s="684"/>
      <c r="GPH82" s="684"/>
      <c r="GPI82" s="684"/>
      <c r="GPJ82" s="684"/>
      <c r="GPK82" s="684"/>
      <c r="GPL82" s="684"/>
      <c r="GPM82" s="684"/>
      <c r="GPN82" s="684"/>
      <c r="GPO82" s="684"/>
      <c r="GPP82" s="684"/>
      <c r="GPQ82" s="684"/>
      <c r="GPR82" s="684"/>
      <c r="GPS82" s="684"/>
      <c r="GPT82" s="684"/>
      <c r="GPU82" s="684"/>
      <c r="GPV82" s="684"/>
      <c r="GPW82" s="684"/>
      <c r="GPX82" s="684"/>
      <c r="GPY82" s="684"/>
      <c r="GPZ82" s="684"/>
      <c r="GQA82" s="684"/>
      <c r="GQB82" s="684"/>
      <c r="GQC82" s="684"/>
      <c r="GQD82" s="684"/>
      <c r="GQE82" s="684"/>
      <c r="GQF82" s="684"/>
      <c r="GQG82" s="684"/>
      <c r="GQH82" s="684"/>
      <c r="GQI82" s="684"/>
      <c r="GQJ82" s="684"/>
      <c r="GQK82" s="684"/>
      <c r="GQL82" s="684"/>
      <c r="GQM82" s="684"/>
      <c r="GQN82" s="684"/>
      <c r="GQO82" s="684"/>
      <c r="GQP82" s="684"/>
      <c r="GQQ82" s="684"/>
      <c r="GQR82" s="684"/>
      <c r="GQS82" s="684"/>
      <c r="GQT82" s="684"/>
      <c r="GQU82" s="684"/>
      <c r="GQV82" s="684"/>
      <c r="GQW82" s="684"/>
      <c r="GQX82" s="684"/>
      <c r="GQY82" s="684"/>
      <c r="GQZ82" s="684"/>
      <c r="GRA82" s="684"/>
      <c r="GRB82" s="684"/>
      <c r="GRC82" s="684"/>
      <c r="GRD82" s="684"/>
      <c r="GRE82" s="684"/>
      <c r="GRF82" s="684"/>
      <c r="GRG82" s="684"/>
      <c r="GRH82" s="684"/>
      <c r="GRI82" s="684"/>
      <c r="GRJ82" s="684"/>
      <c r="GRK82" s="684"/>
      <c r="GRL82" s="684"/>
      <c r="GRM82" s="684"/>
      <c r="GRN82" s="684"/>
      <c r="GRO82" s="684"/>
      <c r="GRP82" s="684"/>
      <c r="GRQ82" s="684"/>
      <c r="GRR82" s="684"/>
      <c r="GRS82" s="684"/>
      <c r="GRT82" s="684"/>
      <c r="GRU82" s="684"/>
      <c r="GRV82" s="684"/>
      <c r="GRW82" s="684"/>
      <c r="GRX82" s="684"/>
      <c r="GRY82" s="684"/>
      <c r="GRZ82" s="684"/>
      <c r="GSA82" s="684"/>
      <c r="GSB82" s="684"/>
      <c r="GSC82" s="684"/>
      <c r="GSD82" s="684"/>
      <c r="GSE82" s="684"/>
      <c r="GSF82" s="684"/>
      <c r="GSG82" s="684"/>
      <c r="GSH82" s="684"/>
      <c r="GSI82" s="684"/>
      <c r="GSJ82" s="684"/>
      <c r="GSK82" s="684"/>
      <c r="GSL82" s="684"/>
      <c r="GSM82" s="684"/>
      <c r="GSN82" s="684"/>
      <c r="GSO82" s="684"/>
      <c r="GSP82" s="684"/>
      <c r="GSQ82" s="684"/>
      <c r="GSR82" s="684"/>
      <c r="GSS82" s="684"/>
      <c r="GST82" s="684"/>
      <c r="GSU82" s="684"/>
      <c r="GSV82" s="684"/>
      <c r="GSW82" s="684"/>
      <c r="GSX82" s="684"/>
      <c r="GSY82" s="684"/>
      <c r="GSZ82" s="684"/>
      <c r="GTA82" s="684"/>
      <c r="GTB82" s="684"/>
      <c r="GTC82" s="684"/>
      <c r="GTD82" s="684"/>
      <c r="GTE82" s="684"/>
      <c r="GTF82" s="684"/>
      <c r="GTG82" s="684"/>
      <c r="GTH82" s="684"/>
      <c r="GTI82" s="684"/>
      <c r="GTJ82" s="684"/>
      <c r="GTK82" s="684"/>
      <c r="GTL82" s="684"/>
      <c r="GTM82" s="684"/>
      <c r="GTN82" s="684"/>
      <c r="GTO82" s="684"/>
      <c r="GTP82" s="684"/>
      <c r="GTQ82" s="684"/>
      <c r="GTR82" s="684"/>
      <c r="GTS82" s="684"/>
      <c r="GTT82" s="684"/>
      <c r="GTU82" s="684"/>
      <c r="GTV82" s="684"/>
      <c r="GTW82" s="684"/>
      <c r="GTX82" s="684"/>
      <c r="GTY82" s="684"/>
      <c r="GTZ82" s="684"/>
      <c r="GUA82" s="684"/>
      <c r="GUB82" s="684"/>
      <c r="GUC82" s="684"/>
      <c r="GUD82" s="684"/>
      <c r="GUE82" s="684"/>
      <c r="GUF82" s="684"/>
      <c r="GUG82" s="684"/>
      <c r="GUH82" s="684"/>
      <c r="GUI82" s="684"/>
      <c r="GUJ82" s="684"/>
      <c r="GUK82" s="684"/>
      <c r="GUL82" s="684"/>
      <c r="GUM82" s="684"/>
      <c r="GUN82" s="684"/>
      <c r="GUO82" s="684"/>
      <c r="GUP82" s="684"/>
      <c r="GUQ82" s="684"/>
      <c r="GUR82" s="684"/>
      <c r="GUS82" s="684"/>
      <c r="GUT82" s="684"/>
      <c r="GUU82" s="684"/>
      <c r="GUV82" s="684"/>
      <c r="GUW82" s="684"/>
      <c r="GUX82" s="684"/>
      <c r="GUY82" s="684"/>
      <c r="GUZ82" s="684"/>
      <c r="GVA82" s="684"/>
      <c r="GVB82" s="684"/>
      <c r="GVC82" s="684"/>
      <c r="GVD82" s="684"/>
      <c r="GVE82" s="684"/>
      <c r="GVF82" s="684"/>
      <c r="GVG82" s="684"/>
      <c r="GVH82" s="684"/>
      <c r="GVI82" s="684"/>
      <c r="GVJ82" s="684"/>
      <c r="GVK82" s="684"/>
      <c r="GVL82" s="684"/>
      <c r="GVM82" s="684"/>
      <c r="GVN82" s="684"/>
      <c r="GVO82" s="684"/>
      <c r="GVP82" s="684"/>
      <c r="GVQ82" s="684"/>
      <c r="GVR82" s="684"/>
      <c r="GVS82" s="684"/>
      <c r="GVT82" s="684"/>
      <c r="GVU82" s="684"/>
      <c r="GVV82" s="684"/>
      <c r="GVW82" s="684"/>
      <c r="GVX82" s="684"/>
      <c r="GVY82" s="684"/>
      <c r="GVZ82" s="684"/>
      <c r="GWA82" s="684"/>
      <c r="GWB82" s="684"/>
      <c r="GWC82" s="684"/>
      <c r="GWD82" s="684"/>
      <c r="GWE82" s="684"/>
      <c r="GWF82" s="684"/>
      <c r="GWG82" s="684"/>
      <c r="GWH82" s="684"/>
      <c r="GWI82" s="684"/>
      <c r="GWJ82" s="684"/>
      <c r="GWK82" s="684"/>
      <c r="GWL82" s="684"/>
      <c r="GWM82" s="684"/>
      <c r="GWN82" s="684"/>
      <c r="GWO82" s="684"/>
      <c r="GWP82" s="684"/>
      <c r="GWQ82" s="684"/>
      <c r="GWR82" s="684"/>
      <c r="GWS82" s="684"/>
      <c r="GWT82" s="684"/>
      <c r="GWU82" s="684"/>
      <c r="GWV82" s="684"/>
      <c r="GWW82" s="684"/>
      <c r="GWX82" s="684"/>
      <c r="GWY82" s="684"/>
      <c r="GWZ82" s="684"/>
      <c r="GXA82" s="684"/>
      <c r="GXB82" s="684"/>
      <c r="GXC82" s="684"/>
      <c r="GXD82" s="684"/>
      <c r="GXE82" s="684"/>
      <c r="GXF82" s="684"/>
      <c r="GXG82" s="684"/>
      <c r="GXH82" s="684"/>
      <c r="GXI82" s="684"/>
      <c r="GXJ82" s="684"/>
      <c r="GXK82" s="684"/>
      <c r="GXL82" s="684"/>
      <c r="GXM82" s="684"/>
      <c r="GXN82" s="684"/>
      <c r="GXO82" s="684"/>
      <c r="GXP82" s="684"/>
      <c r="GXQ82" s="684"/>
      <c r="GXR82" s="684"/>
      <c r="GXS82" s="684"/>
      <c r="GXT82" s="684"/>
      <c r="GXU82" s="684"/>
      <c r="GXV82" s="684"/>
      <c r="GXW82" s="684"/>
      <c r="GXX82" s="684"/>
      <c r="GXY82" s="684"/>
      <c r="GXZ82" s="684"/>
      <c r="GYA82" s="684"/>
      <c r="GYB82" s="684"/>
      <c r="GYC82" s="684"/>
      <c r="GYD82" s="684"/>
      <c r="GYE82" s="684"/>
      <c r="GYF82" s="684"/>
      <c r="GYG82" s="684"/>
      <c r="GYH82" s="684"/>
      <c r="GYI82" s="684"/>
      <c r="GYJ82" s="684"/>
      <c r="GYK82" s="684"/>
      <c r="GYL82" s="684"/>
      <c r="GYM82" s="684"/>
      <c r="GYN82" s="684"/>
      <c r="GYO82" s="684"/>
      <c r="GYP82" s="684"/>
      <c r="GYQ82" s="684"/>
      <c r="GYR82" s="684"/>
      <c r="GYS82" s="684"/>
      <c r="GYT82" s="684"/>
      <c r="GYU82" s="684"/>
      <c r="GYV82" s="684"/>
      <c r="GYW82" s="684"/>
      <c r="GYX82" s="684"/>
      <c r="GYY82" s="684"/>
      <c r="GYZ82" s="684"/>
      <c r="GZA82" s="684"/>
      <c r="GZB82" s="684"/>
      <c r="GZC82" s="684"/>
      <c r="GZD82" s="684"/>
      <c r="GZE82" s="684"/>
      <c r="GZF82" s="684"/>
      <c r="GZG82" s="684"/>
      <c r="GZH82" s="684"/>
      <c r="GZI82" s="684"/>
      <c r="GZJ82" s="684"/>
      <c r="GZK82" s="684"/>
      <c r="GZL82" s="684"/>
      <c r="GZM82" s="684"/>
      <c r="GZN82" s="684"/>
      <c r="GZO82" s="684"/>
      <c r="GZP82" s="684"/>
      <c r="GZQ82" s="684"/>
      <c r="GZR82" s="684"/>
      <c r="GZS82" s="684"/>
      <c r="GZT82" s="684"/>
      <c r="GZU82" s="684"/>
      <c r="GZV82" s="684"/>
      <c r="GZW82" s="684"/>
      <c r="GZX82" s="684"/>
      <c r="GZY82" s="684"/>
      <c r="GZZ82" s="684"/>
      <c r="HAA82" s="684"/>
      <c r="HAB82" s="684"/>
      <c r="HAC82" s="684"/>
      <c r="HAD82" s="684"/>
      <c r="HAE82" s="684"/>
      <c r="HAF82" s="684"/>
      <c r="HAG82" s="684"/>
      <c r="HAH82" s="684"/>
      <c r="HAI82" s="684"/>
      <c r="HAJ82" s="684"/>
      <c r="HAK82" s="684"/>
      <c r="HAL82" s="684"/>
      <c r="HAM82" s="684"/>
      <c r="HAN82" s="684"/>
      <c r="HAO82" s="684"/>
      <c r="HAP82" s="684"/>
      <c r="HAQ82" s="684"/>
      <c r="HAR82" s="684"/>
      <c r="HAS82" s="684"/>
      <c r="HAT82" s="684"/>
      <c r="HAU82" s="684"/>
      <c r="HAV82" s="684"/>
      <c r="HAW82" s="684"/>
      <c r="HAX82" s="684"/>
      <c r="HAY82" s="684"/>
      <c r="HAZ82" s="684"/>
      <c r="HBA82" s="684"/>
      <c r="HBB82" s="684"/>
      <c r="HBC82" s="684"/>
      <c r="HBD82" s="684"/>
      <c r="HBE82" s="684"/>
      <c r="HBF82" s="684"/>
      <c r="HBG82" s="684"/>
      <c r="HBH82" s="684"/>
      <c r="HBI82" s="684"/>
      <c r="HBJ82" s="684"/>
      <c r="HBK82" s="684"/>
      <c r="HBL82" s="684"/>
      <c r="HBM82" s="684"/>
      <c r="HBN82" s="684"/>
      <c r="HBO82" s="684"/>
      <c r="HBP82" s="684"/>
      <c r="HBQ82" s="684"/>
      <c r="HBR82" s="684"/>
      <c r="HBS82" s="684"/>
      <c r="HBT82" s="684"/>
      <c r="HBU82" s="684"/>
      <c r="HBV82" s="684"/>
      <c r="HBW82" s="684"/>
      <c r="HBX82" s="684"/>
      <c r="HBY82" s="684"/>
      <c r="HBZ82" s="684"/>
      <c r="HCA82" s="684"/>
      <c r="HCB82" s="684"/>
      <c r="HCC82" s="684"/>
      <c r="HCD82" s="684"/>
      <c r="HCE82" s="684"/>
      <c r="HCF82" s="684"/>
      <c r="HCG82" s="684"/>
      <c r="HCH82" s="684"/>
      <c r="HCI82" s="684"/>
      <c r="HCJ82" s="684"/>
      <c r="HCK82" s="684"/>
      <c r="HCL82" s="684"/>
      <c r="HCM82" s="684"/>
      <c r="HCN82" s="684"/>
      <c r="HCO82" s="684"/>
      <c r="HCP82" s="684"/>
      <c r="HCQ82" s="684"/>
      <c r="HCR82" s="684"/>
      <c r="HCS82" s="684"/>
      <c r="HCT82" s="684"/>
      <c r="HCU82" s="684"/>
      <c r="HCV82" s="684"/>
      <c r="HCW82" s="684"/>
      <c r="HCX82" s="684"/>
      <c r="HCY82" s="684"/>
      <c r="HCZ82" s="684"/>
      <c r="HDA82" s="684"/>
      <c r="HDB82" s="684"/>
      <c r="HDC82" s="684"/>
      <c r="HDD82" s="684"/>
      <c r="HDE82" s="684"/>
      <c r="HDF82" s="684"/>
      <c r="HDG82" s="684"/>
      <c r="HDH82" s="684"/>
      <c r="HDI82" s="684"/>
      <c r="HDJ82" s="684"/>
      <c r="HDK82" s="684"/>
      <c r="HDL82" s="684"/>
      <c r="HDM82" s="684"/>
      <c r="HDN82" s="684"/>
      <c r="HDO82" s="684"/>
      <c r="HDP82" s="684"/>
      <c r="HDQ82" s="684"/>
      <c r="HDR82" s="684"/>
      <c r="HDS82" s="684"/>
      <c r="HDT82" s="684"/>
      <c r="HDU82" s="684"/>
      <c r="HDV82" s="684"/>
      <c r="HDW82" s="684"/>
      <c r="HDX82" s="684"/>
      <c r="HDY82" s="684"/>
      <c r="HDZ82" s="684"/>
      <c r="HEA82" s="684"/>
      <c r="HEB82" s="684"/>
      <c r="HEC82" s="684"/>
      <c r="HED82" s="684"/>
      <c r="HEE82" s="684"/>
      <c r="HEF82" s="684"/>
      <c r="HEG82" s="684"/>
      <c r="HEH82" s="684"/>
      <c r="HEI82" s="684"/>
      <c r="HEJ82" s="684"/>
      <c r="HEK82" s="684"/>
      <c r="HEL82" s="684"/>
      <c r="HEM82" s="684"/>
      <c r="HEN82" s="684"/>
      <c r="HEO82" s="684"/>
      <c r="HEP82" s="684"/>
      <c r="HEQ82" s="684"/>
      <c r="HER82" s="684"/>
      <c r="HES82" s="684"/>
      <c r="HET82" s="684"/>
      <c r="HEU82" s="684"/>
      <c r="HEV82" s="684"/>
      <c r="HEW82" s="684"/>
      <c r="HEX82" s="684"/>
      <c r="HEY82" s="684"/>
      <c r="HEZ82" s="684"/>
      <c r="HFA82" s="684"/>
      <c r="HFB82" s="684"/>
      <c r="HFC82" s="684"/>
      <c r="HFD82" s="684"/>
      <c r="HFE82" s="684"/>
      <c r="HFF82" s="684"/>
      <c r="HFG82" s="684"/>
      <c r="HFH82" s="684"/>
      <c r="HFI82" s="684"/>
      <c r="HFJ82" s="684"/>
      <c r="HFK82" s="684"/>
      <c r="HFL82" s="684"/>
      <c r="HFM82" s="684"/>
      <c r="HFN82" s="684"/>
      <c r="HFO82" s="684"/>
      <c r="HFP82" s="684"/>
      <c r="HFQ82" s="684"/>
      <c r="HFR82" s="684"/>
      <c r="HFS82" s="684"/>
      <c r="HFT82" s="684"/>
      <c r="HFU82" s="684"/>
      <c r="HFV82" s="684"/>
      <c r="HFW82" s="684"/>
      <c r="HFX82" s="684"/>
      <c r="HFY82" s="684"/>
      <c r="HFZ82" s="684"/>
      <c r="HGA82" s="684"/>
      <c r="HGB82" s="684"/>
      <c r="HGC82" s="684"/>
      <c r="HGD82" s="684"/>
      <c r="HGE82" s="684"/>
      <c r="HGF82" s="684"/>
      <c r="HGG82" s="684"/>
      <c r="HGH82" s="684"/>
      <c r="HGI82" s="684"/>
      <c r="HGJ82" s="684"/>
      <c r="HGK82" s="684"/>
      <c r="HGL82" s="684"/>
      <c r="HGM82" s="684"/>
      <c r="HGN82" s="684"/>
      <c r="HGO82" s="684"/>
      <c r="HGP82" s="684"/>
      <c r="HGQ82" s="684"/>
      <c r="HGR82" s="684"/>
      <c r="HGS82" s="684"/>
      <c r="HGT82" s="684"/>
      <c r="HGU82" s="684"/>
      <c r="HGV82" s="684"/>
      <c r="HGW82" s="684"/>
      <c r="HGX82" s="684"/>
      <c r="HGY82" s="684"/>
      <c r="HGZ82" s="684"/>
      <c r="HHA82" s="684"/>
      <c r="HHB82" s="684"/>
      <c r="HHC82" s="684"/>
      <c r="HHD82" s="684"/>
      <c r="HHE82" s="684"/>
      <c r="HHF82" s="684"/>
      <c r="HHG82" s="684"/>
      <c r="HHH82" s="684"/>
      <c r="HHI82" s="684"/>
      <c r="HHJ82" s="684"/>
      <c r="HHK82" s="684"/>
      <c r="HHL82" s="684"/>
      <c r="HHM82" s="684"/>
      <c r="HHN82" s="684"/>
      <c r="HHO82" s="684"/>
      <c r="HHP82" s="684"/>
      <c r="HHQ82" s="684"/>
      <c r="HHR82" s="684"/>
      <c r="HHS82" s="684"/>
      <c r="HHT82" s="684"/>
      <c r="HHU82" s="684"/>
      <c r="HHV82" s="684"/>
      <c r="HHW82" s="684"/>
      <c r="HHX82" s="684"/>
      <c r="HHY82" s="684"/>
      <c r="HHZ82" s="684"/>
      <c r="HIA82" s="684"/>
      <c r="HIB82" s="684"/>
      <c r="HIC82" s="684"/>
      <c r="HID82" s="684"/>
      <c r="HIE82" s="684"/>
      <c r="HIF82" s="684"/>
      <c r="HIG82" s="684"/>
      <c r="HIH82" s="684"/>
      <c r="HII82" s="684"/>
      <c r="HIJ82" s="684"/>
      <c r="HIK82" s="684"/>
      <c r="HIL82" s="684"/>
      <c r="HIM82" s="684"/>
      <c r="HIN82" s="684"/>
      <c r="HIO82" s="684"/>
      <c r="HIP82" s="684"/>
      <c r="HIQ82" s="684"/>
      <c r="HIR82" s="684"/>
      <c r="HIS82" s="684"/>
      <c r="HIT82" s="684"/>
      <c r="HIU82" s="684"/>
      <c r="HIV82" s="684"/>
      <c r="HIW82" s="684"/>
      <c r="HIX82" s="684"/>
      <c r="HIY82" s="684"/>
      <c r="HIZ82" s="684"/>
      <c r="HJA82" s="684"/>
      <c r="HJB82" s="684"/>
      <c r="HJC82" s="684"/>
      <c r="HJD82" s="684"/>
      <c r="HJE82" s="684"/>
      <c r="HJF82" s="684"/>
      <c r="HJG82" s="684"/>
      <c r="HJH82" s="684"/>
      <c r="HJI82" s="684"/>
      <c r="HJJ82" s="684"/>
      <c r="HJK82" s="684"/>
      <c r="HJL82" s="684"/>
      <c r="HJM82" s="684"/>
      <c r="HJN82" s="684"/>
      <c r="HJO82" s="684"/>
      <c r="HJP82" s="684"/>
      <c r="HJQ82" s="684"/>
      <c r="HJR82" s="684"/>
      <c r="HJS82" s="684"/>
      <c r="HJT82" s="684"/>
      <c r="HJU82" s="684"/>
      <c r="HJV82" s="684"/>
      <c r="HJW82" s="684"/>
      <c r="HJX82" s="684"/>
      <c r="HJY82" s="684"/>
      <c r="HJZ82" s="684"/>
      <c r="HKA82" s="684"/>
      <c r="HKB82" s="684"/>
      <c r="HKC82" s="684"/>
      <c r="HKD82" s="684"/>
      <c r="HKE82" s="684"/>
      <c r="HKF82" s="684"/>
      <c r="HKG82" s="684"/>
      <c r="HKH82" s="684"/>
      <c r="HKI82" s="684"/>
      <c r="HKJ82" s="684"/>
      <c r="HKK82" s="684"/>
      <c r="HKL82" s="684"/>
      <c r="HKM82" s="684"/>
      <c r="HKN82" s="684"/>
      <c r="HKO82" s="684"/>
      <c r="HKP82" s="684"/>
      <c r="HKQ82" s="684"/>
      <c r="HKR82" s="684"/>
      <c r="HKS82" s="684"/>
      <c r="HKT82" s="684"/>
      <c r="HKU82" s="684"/>
      <c r="HKV82" s="684"/>
      <c r="HKW82" s="684"/>
      <c r="HKX82" s="684"/>
      <c r="HKY82" s="684"/>
      <c r="HKZ82" s="684"/>
      <c r="HLA82" s="684"/>
      <c r="HLB82" s="684"/>
      <c r="HLC82" s="684"/>
      <c r="HLD82" s="684"/>
      <c r="HLE82" s="684"/>
      <c r="HLF82" s="684"/>
      <c r="HLG82" s="684"/>
      <c r="HLH82" s="684"/>
      <c r="HLI82" s="684"/>
      <c r="HLJ82" s="684"/>
      <c r="HLK82" s="684"/>
      <c r="HLL82" s="684"/>
      <c r="HLM82" s="684"/>
      <c r="HLN82" s="684"/>
      <c r="HLO82" s="684"/>
      <c r="HLP82" s="684"/>
      <c r="HLQ82" s="684"/>
      <c r="HLR82" s="684"/>
      <c r="HLS82" s="684"/>
      <c r="HLT82" s="684"/>
      <c r="HLU82" s="684"/>
      <c r="HLV82" s="684"/>
      <c r="HLW82" s="684"/>
      <c r="HLX82" s="684"/>
      <c r="HLY82" s="684"/>
      <c r="HLZ82" s="684"/>
      <c r="HMA82" s="684"/>
      <c r="HMB82" s="684"/>
      <c r="HMC82" s="684"/>
      <c r="HMD82" s="684"/>
      <c r="HME82" s="684"/>
      <c r="HMF82" s="684"/>
      <c r="HMG82" s="684"/>
      <c r="HMH82" s="684"/>
      <c r="HMI82" s="684"/>
      <c r="HMJ82" s="684"/>
      <c r="HMK82" s="684"/>
      <c r="HML82" s="684"/>
      <c r="HMM82" s="684"/>
      <c r="HMN82" s="684"/>
      <c r="HMO82" s="684"/>
      <c r="HMP82" s="684"/>
      <c r="HMQ82" s="684"/>
      <c r="HMR82" s="684"/>
      <c r="HMS82" s="684"/>
      <c r="HMT82" s="684"/>
      <c r="HMU82" s="684"/>
      <c r="HMV82" s="684"/>
      <c r="HMW82" s="684"/>
      <c r="HMX82" s="684"/>
      <c r="HMY82" s="684"/>
      <c r="HMZ82" s="684"/>
      <c r="HNA82" s="684"/>
      <c r="HNB82" s="684"/>
      <c r="HNC82" s="684"/>
      <c r="HND82" s="684"/>
      <c r="HNE82" s="684"/>
      <c r="HNF82" s="684"/>
      <c r="HNG82" s="684"/>
      <c r="HNH82" s="684"/>
      <c r="HNI82" s="684"/>
      <c r="HNJ82" s="684"/>
      <c r="HNK82" s="684"/>
      <c r="HNL82" s="684"/>
      <c r="HNM82" s="684"/>
      <c r="HNN82" s="684"/>
      <c r="HNO82" s="684"/>
      <c r="HNP82" s="684"/>
      <c r="HNQ82" s="684"/>
      <c r="HNR82" s="684"/>
      <c r="HNS82" s="684"/>
      <c r="HNT82" s="684"/>
      <c r="HNU82" s="684"/>
      <c r="HNV82" s="684"/>
      <c r="HNW82" s="684"/>
      <c r="HNX82" s="684"/>
      <c r="HNY82" s="684"/>
      <c r="HNZ82" s="684"/>
      <c r="HOA82" s="684"/>
      <c r="HOB82" s="684"/>
      <c r="HOC82" s="684"/>
      <c r="HOD82" s="684"/>
      <c r="HOE82" s="684"/>
      <c r="HOF82" s="684"/>
      <c r="HOG82" s="684"/>
      <c r="HOH82" s="684"/>
      <c r="HOI82" s="684"/>
      <c r="HOJ82" s="684"/>
      <c r="HOK82" s="684"/>
      <c r="HOL82" s="684"/>
      <c r="HOM82" s="684"/>
      <c r="HON82" s="684"/>
      <c r="HOO82" s="684"/>
      <c r="HOP82" s="684"/>
      <c r="HOQ82" s="684"/>
      <c r="HOR82" s="684"/>
      <c r="HOS82" s="684"/>
      <c r="HOT82" s="684"/>
      <c r="HOU82" s="684"/>
      <c r="HOV82" s="684"/>
      <c r="HOW82" s="684"/>
      <c r="HOX82" s="684"/>
      <c r="HOY82" s="684"/>
      <c r="HOZ82" s="684"/>
      <c r="HPA82" s="684"/>
      <c r="HPB82" s="684"/>
      <c r="HPC82" s="684"/>
      <c r="HPD82" s="684"/>
      <c r="HPE82" s="684"/>
      <c r="HPF82" s="684"/>
      <c r="HPG82" s="684"/>
      <c r="HPH82" s="684"/>
      <c r="HPI82" s="684"/>
      <c r="HPJ82" s="684"/>
      <c r="HPK82" s="684"/>
      <c r="HPL82" s="684"/>
      <c r="HPM82" s="684"/>
      <c r="HPN82" s="684"/>
      <c r="HPO82" s="684"/>
      <c r="HPP82" s="684"/>
      <c r="HPQ82" s="684"/>
      <c r="HPR82" s="684"/>
      <c r="HPS82" s="684"/>
      <c r="HPT82" s="684"/>
      <c r="HPU82" s="684"/>
      <c r="HPV82" s="684"/>
      <c r="HPW82" s="684"/>
      <c r="HPX82" s="684"/>
      <c r="HPY82" s="684"/>
      <c r="HPZ82" s="684"/>
      <c r="HQA82" s="684"/>
      <c r="HQB82" s="684"/>
      <c r="HQC82" s="684"/>
      <c r="HQD82" s="684"/>
      <c r="HQE82" s="684"/>
      <c r="HQF82" s="684"/>
      <c r="HQG82" s="684"/>
      <c r="HQH82" s="684"/>
      <c r="HQI82" s="684"/>
      <c r="HQJ82" s="684"/>
      <c r="HQK82" s="684"/>
      <c r="HQL82" s="684"/>
      <c r="HQM82" s="684"/>
      <c r="HQN82" s="684"/>
      <c r="HQO82" s="684"/>
      <c r="HQP82" s="684"/>
      <c r="HQQ82" s="684"/>
      <c r="HQR82" s="684"/>
      <c r="HQS82" s="684"/>
      <c r="HQT82" s="684"/>
      <c r="HQU82" s="684"/>
      <c r="HQV82" s="684"/>
      <c r="HQW82" s="684"/>
      <c r="HQX82" s="684"/>
      <c r="HQY82" s="684"/>
      <c r="HQZ82" s="684"/>
      <c r="HRA82" s="684"/>
      <c r="HRB82" s="684"/>
      <c r="HRC82" s="684"/>
      <c r="HRD82" s="684"/>
      <c r="HRE82" s="684"/>
      <c r="HRF82" s="684"/>
      <c r="HRG82" s="684"/>
      <c r="HRH82" s="684"/>
      <c r="HRI82" s="684"/>
      <c r="HRJ82" s="684"/>
      <c r="HRK82" s="684"/>
      <c r="HRL82" s="684"/>
      <c r="HRM82" s="684"/>
      <c r="HRN82" s="684"/>
      <c r="HRO82" s="684"/>
      <c r="HRP82" s="684"/>
      <c r="HRQ82" s="684"/>
      <c r="HRR82" s="684"/>
      <c r="HRS82" s="684"/>
      <c r="HRT82" s="684"/>
      <c r="HRU82" s="684"/>
      <c r="HRV82" s="684"/>
      <c r="HRW82" s="684"/>
      <c r="HRX82" s="684"/>
      <c r="HRY82" s="684"/>
      <c r="HRZ82" s="684"/>
      <c r="HSA82" s="684"/>
      <c r="HSB82" s="684"/>
      <c r="HSC82" s="684"/>
      <c r="HSD82" s="684"/>
      <c r="HSE82" s="684"/>
      <c r="HSF82" s="684"/>
      <c r="HSG82" s="684"/>
      <c r="HSH82" s="684"/>
      <c r="HSI82" s="684"/>
      <c r="HSJ82" s="684"/>
      <c r="HSK82" s="684"/>
      <c r="HSL82" s="684"/>
      <c r="HSM82" s="684"/>
      <c r="HSN82" s="684"/>
      <c r="HSO82" s="684"/>
      <c r="HSP82" s="684"/>
      <c r="HSQ82" s="684"/>
      <c r="HSR82" s="684"/>
      <c r="HSS82" s="684"/>
      <c r="HST82" s="684"/>
      <c r="HSU82" s="684"/>
      <c r="HSV82" s="684"/>
      <c r="HSW82" s="684"/>
      <c r="HSX82" s="684"/>
      <c r="HSY82" s="684"/>
      <c r="HSZ82" s="684"/>
      <c r="HTA82" s="684"/>
      <c r="HTB82" s="684"/>
      <c r="HTC82" s="684"/>
      <c r="HTD82" s="684"/>
      <c r="HTE82" s="684"/>
      <c r="HTF82" s="684"/>
      <c r="HTG82" s="684"/>
      <c r="HTH82" s="684"/>
      <c r="HTI82" s="684"/>
      <c r="HTJ82" s="684"/>
      <c r="HTK82" s="684"/>
      <c r="HTL82" s="684"/>
      <c r="HTM82" s="684"/>
      <c r="HTN82" s="684"/>
      <c r="HTO82" s="684"/>
      <c r="HTP82" s="684"/>
      <c r="HTQ82" s="684"/>
      <c r="HTR82" s="684"/>
      <c r="HTS82" s="684"/>
      <c r="HTT82" s="684"/>
      <c r="HTU82" s="684"/>
      <c r="HTV82" s="684"/>
      <c r="HTW82" s="684"/>
      <c r="HTX82" s="684"/>
      <c r="HTY82" s="684"/>
      <c r="HTZ82" s="684"/>
      <c r="HUA82" s="684"/>
      <c r="HUB82" s="684"/>
      <c r="HUC82" s="684"/>
      <c r="HUD82" s="684"/>
      <c r="HUE82" s="684"/>
      <c r="HUF82" s="684"/>
      <c r="HUG82" s="684"/>
      <c r="HUH82" s="684"/>
      <c r="HUI82" s="684"/>
      <c r="HUJ82" s="684"/>
      <c r="HUK82" s="684"/>
      <c r="HUL82" s="684"/>
      <c r="HUM82" s="684"/>
      <c r="HUN82" s="684"/>
      <c r="HUO82" s="684"/>
      <c r="HUP82" s="684"/>
      <c r="HUQ82" s="684"/>
      <c r="HUR82" s="684"/>
      <c r="HUS82" s="684"/>
      <c r="HUT82" s="684"/>
      <c r="HUU82" s="684"/>
      <c r="HUV82" s="684"/>
      <c r="HUW82" s="684"/>
      <c r="HUX82" s="684"/>
      <c r="HUY82" s="684"/>
      <c r="HUZ82" s="684"/>
      <c r="HVA82" s="684"/>
      <c r="HVB82" s="684"/>
      <c r="HVC82" s="684"/>
      <c r="HVD82" s="684"/>
      <c r="HVE82" s="684"/>
      <c r="HVF82" s="684"/>
      <c r="HVG82" s="684"/>
      <c r="HVH82" s="684"/>
      <c r="HVI82" s="684"/>
      <c r="HVJ82" s="684"/>
      <c r="HVK82" s="684"/>
      <c r="HVL82" s="684"/>
      <c r="HVM82" s="684"/>
      <c r="HVN82" s="684"/>
      <c r="HVO82" s="684"/>
      <c r="HVP82" s="684"/>
      <c r="HVQ82" s="684"/>
      <c r="HVR82" s="684"/>
      <c r="HVS82" s="684"/>
      <c r="HVT82" s="684"/>
      <c r="HVU82" s="684"/>
      <c r="HVV82" s="684"/>
      <c r="HVW82" s="684"/>
      <c r="HVX82" s="684"/>
      <c r="HVY82" s="684"/>
      <c r="HVZ82" s="684"/>
      <c r="HWA82" s="684"/>
      <c r="HWB82" s="684"/>
      <c r="HWC82" s="684"/>
      <c r="HWD82" s="684"/>
      <c r="HWE82" s="684"/>
      <c r="HWF82" s="684"/>
      <c r="HWG82" s="684"/>
      <c r="HWH82" s="684"/>
      <c r="HWI82" s="684"/>
      <c r="HWJ82" s="684"/>
      <c r="HWK82" s="684"/>
      <c r="HWL82" s="684"/>
      <c r="HWM82" s="684"/>
      <c r="HWN82" s="684"/>
      <c r="HWO82" s="684"/>
      <c r="HWP82" s="684"/>
      <c r="HWQ82" s="684"/>
      <c r="HWR82" s="684"/>
      <c r="HWS82" s="684"/>
      <c r="HWT82" s="684"/>
      <c r="HWU82" s="684"/>
      <c r="HWV82" s="684"/>
      <c r="HWW82" s="684"/>
      <c r="HWX82" s="684"/>
      <c r="HWY82" s="684"/>
      <c r="HWZ82" s="684"/>
      <c r="HXA82" s="684"/>
      <c r="HXB82" s="684"/>
      <c r="HXC82" s="684"/>
      <c r="HXD82" s="684"/>
      <c r="HXE82" s="684"/>
      <c r="HXF82" s="684"/>
      <c r="HXG82" s="684"/>
      <c r="HXH82" s="684"/>
      <c r="HXI82" s="684"/>
      <c r="HXJ82" s="684"/>
      <c r="HXK82" s="684"/>
      <c r="HXL82" s="684"/>
      <c r="HXM82" s="684"/>
      <c r="HXN82" s="684"/>
      <c r="HXO82" s="684"/>
      <c r="HXP82" s="684"/>
      <c r="HXQ82" s="684"/>
      <c r="HXR82" s="684"/>
      <c r="HXS82" s="684"/>
      <c r="HXT82" s="684"/>
      <c r="HXU82" s="684"/>
      <c r="HXV82" s="684"/>
      <c r="HXW82" s="684"/>
      <c r="HXX82" s="684"/>
      <c r="HXY82" s="684"/>
      <c r="HXZ82" s="684"/>
      <c r="HYA82" s="684"/>
      <c r="HYB82" s="684"/>
      <c r="HYC82" s="684"/>
      <c r="HYD82" s="684"/>
      <c r="HYE82" s="684"/>
      <c r="HYF82" s="684"/>
      <c r="HYG82" s="684"/>
      <c r="HYH82" s="684"/>
      <c r="HYI82" s="684"/>
      <c r="HYJ82" s="684"/>
      <c r="HYK82" s="684"/>
      <c r="HYL82" s="684"/>
      <c r="HYM82" s="684"/>
      <c r="HYN82" s="684"/>
      <c r="HYO82" s="684"/>
      <c r="HYP82" s="684"/>
      <c r="HYQ82" s="684"/>
      <c r="HYR82" s="684"/>
      <c r="HYS82" s="684"/>
      <c r="HYT82" s="684"/>
      <c r="HYU82" s="684"/>
      <c r="HYV82" s="684"/>
      <c r="HYW82" s="684"/>
      <c r="HYX82" s="684"/>
      <c r="HYY82" s="684"/>
      <c r="HYZ82" s="684"/>
      <c r="HZA82" s="684"/>
      <c r="HZB82" s="684"/>
      <c r="HZC82" s="684"/>
      <c r="HZD82" s="684"/>
      <c r="HZE82" s="684"/>
      <c r="HZF82" s="684"/>
      <c r="HZG82" s="684"/>
      <c r="HZH82" s="684"/>
      <c r="HZI82" s="684"/>
      <c r="HZJ82" s="684"/>
      <c r="HZK82" s="684"/>
      <c r="HZL82" s="684"/>
      <c r="HZM82" s="684"/>
      <c r="HZN82" s="684"/>
      <c r="HZO82" s="684"/>
      <c r="HZP82" s="684"/>
      <c r="HZQ82" s="684"/>
      <c r="HZR82" s="684"/>
      <c r="HZS82" s="684"/>
      <c r="HZT82" s="684"/>
      <c r="HZU82" s="684"/>
      <c r="HZV82" s="684"/>
      <c r="HZW82" s="684"/>
      <c r="HZX82" s="684"/>
      <c r="HZY82" s="684"/>
      <c r="HZZ82" s="684"/>
      <c r="IAA82" s="684"/>
      <c r="IAB82" s="684"/>
      <c r="IAC82" s="684"/>
      <c r="IAD82" s="684"/>
      <c r="IAE82" s="684"/>
      <c r="IAF82" s="684"/>
      <c r="IAG82" s="684"/>
      <c r="IAH82" s="684"/>
      <c r="IAI82" s="684"/>
      <c r="IAJ82" s="684"/>
      <c r="IAK82" s="684"/>
      <c r="IAL82" s="684"/>
      <c r="IAM82" s="684"/>
      <c r="IAN82" s="684"/>
      <c r="IAO82" s="684"/>
      <c r="IAP82" s="684"/>
      <c r="IAQ82" s="684"/>
      <c r="IAR82" s="684"/>
      <c r="IAS82" s="684"/>
      <c r="IAT82" s="684"/>
      <c r="IAU82" s="684"/>
      <c r="IAV82" s="684"/>
      <c r="IAW82" s="684"/>
      <c r="IAX82" s="684"/>
      <c r="IAY82" s="684"/>
      <c r="IAZ82" s="684"/>
      <c r="IBA82" s="684"/>
      <c r="IBB82" s="684"/>
      <c r="IBC82" s="684"/>
      <c r="IBD82" s="684"/>
      <c r="IBE82" s="684"/>
      <c r="IBF82" s="684"/>
      <c r="IBG82" s="684"/>
      <c r="IBH82" s="684"/>
      <c r="IBI82" s="684"/>
      <c r="IBJ82" s="684"/>
      <c r="IBK82" s="684"/>
      <c r="IBL82" s="684"/>
      <c r="IBM82" s="684"/>
      <c r="IBN82" s="684"/>
      <c r="IBO82" s="684"/>
      <c r="IBP82" s="684"/>
      <c r="IBQ82" s="684"/>
      <c r="IBR82" s="684"/>
      <c r="IBS82" s="684"/>
      <c r="IBT82" s="684"/>
      <c r="IBU82" s="684"/>
      <c r="IBV82" s="684"/>
      <c r="IBW82" s="684"/>
      <c r="IBX82" s="684"/>
      <c r="IBY82" s="684"/>
      <c r="IBZ82" s="684"/>
      <c r="ICA82" s="684"/>
      <c r="ICB82" s="684"/>
      <c r="ICC82" s="684"/>
      <c r="ICD82" s="684"/>
      <c r="ICE82" s="684"/>
      <c r="ICF82" s="684"/>
      <c r="ICG82" s="684"/>
      <c r="ICH82" s="684"/>
      <c r="ICI82" s="684"/>
      <c r="ICJ82" s="684"/>
      <c r="ICK82" s="684"/>
      <c r="ICL82" s="684"/>
      <c r="ICM82" s="684"/>
      <c r="ICN82" s="684"/>
      <c r="ICO82" s="684"/>
      <c r="ICP82" s="684"/>
      <c r="ICQ82" s="684"/>
      <c r="ICR82" s="684"/>
      <c r="ICS82" s="684"/>
      <c r="ICT82" s="684"/>
      <c r="ICU82" s="684"/>
      <c r="ICV82" s="684"/>
      <c r="ICW82" s="684"/>
      <c r="ICX82" s="684"/>
      <c r="ICY82" s="684"/>
      <c r="ICZ82" s="684"/>
      <c r="IDA82" s="684"/>
      <c r="IDB82" s="684"/>
      <c r="IDC82" s="684"/>
      <c r="IDD82" s="684"/>
      <c r="IDE82" s="684"/>
      <c r="IDF82" s="684"/>
      <c r="IDG82" s="684"/>
      <c r="IDH82" s="684"/>
      <c r="IDI82" s="684"/>
      <c r="IDJ82" s="684"/>
      <c r="IDK82" s="684"/>
      <c r="IDL82" s="684"/>
      <c r="IDM82" s="684"/>
      <c r="IDN82" s="684"/>
      <c r="IDO82" s="684"/>
      <c r="IDP82" s="684"/>
      <c r="IDQ82" s="684"/>
      <c r="IDR82" s="684"/>
      <c r="IDS82" s="684"/>
      <c r="IDT82" s="684"/>
      <c r="IDU82" s="684"/>
      <c r="IDV82" s="684"/>
      <c r="IDW82" s="684"/>
      <c r="IDX82" s="684"/>
      <c r="IDY82" s="684"/>
      <c r="IDZ82" s="684"/>
      <c r="IEA82" s="684"/>
      <c r="IEB82" s="684"/>
      <c r="IEC82" s="684"/>
      <c r="IED82" s="684"/>
      <c r="IEE82" s="684"/>
      <c r="IEF82" s="684"/>
      <c r="IEG82" s="684"/>
      <c r="IEH82" s="684"/>
      <c r="IEI82" s="684"/>
      <c r="IEJ82" s="684"/>
      <c r="IEK82" s="684"/>
      <c r="IEL82" s="684"/>
      <c r="IEM82" s="684"/>
      <c r="IEN82" s="684"/>
      <c r="IEO82" s="684"/>
      <c r="IEP82" s="684"/>
      <c r="IEQ82" s="684"/>
      <c r="IER82" s="684"/>
      <c r="IES82" s="684"/>
      <c r="IET82" s="684"/>
      <c r="IEU82" s="684"/>
      <c r="IEV82" s="684"/>
      <c r="IEW82" s="684"/>
      <c r="IEX82" s="684"/>
      <c r="IEY82" s="684"/>
      <c r="IEZ82" s="684"/>
      <c r="IFA82" s="684"/>
      <c r="IFB82" s="684"/>
      <c r="IFC82" s="684"/>
      <c r="IFD82" s="684"/>
      <c r="IFE82" s="684"/>
      <c r="IFF82" s="684"/>
      <c r="IFG82" s="684"/>
      <c r="IFH82" s="684"/>
      <c r="IFI82" s="684"/>
      <c r="IFJ82" s="684"/>
      <c r="IFK82" s="684"/>
      <c r="IFL82" s="684"/>
      <c r="IFM82" s="684"/>
      <c r="IFN82" s="684"/>
      <c r="IFO82" s="684"/>
      <c r="IFP82" s="684"/>
      <c r="IFQ82" s="684"/>
      <c r="IFR82" s="684"/>
      <c r="IFS82" s="684"/>
      <c r="IFT82" s="684"/>
      <c r="IFU82" s="684"/>
      <c r="IFV82" s="684"/>
      <c r="IFW82" s="684"/>
      <c r="IFX82" s="684"/>
      <c r="IFY82" s="684"/>
      <c r="IFZ82" s="684"/>
      <c r="IGA82" s="684"/>
      <c r="IGB82" s="684"/>
      <c r="IGC82" s="684"/>
      <c r="IGD82" s="684"/>
      <c r="IGE82" s="684"/>
      <c r="IGF82" s="684"/>
      <c r="IGG82" s="684"/>
      <c r="IGH82" s="684"/>
      <c r="IGI82" s="684"/>
      <c r="IGJ82" s="684"/>
      <c r="IGK82" s="684"/>
      <c r="IGL82" s="684"/>
      <c r="IGM82" s="684"/>
      <c r="IGN82" s="684"/>
      <c r="IGO82" s="684"/>
      <c r="IGP82" s="684"/>
      <c r="IGQ82" s="684"/>
      <c r="IGR82" s="684"/>
      <c r="IGS82" s="684"/>
      <c r="IGT82" s="684"/>
      <c r="IGU82" s="684"/>
      <c r="IGV82" s="684"/>
      <c r="IGW82" s="684"/>
      <c r="IGX82" s="684"/>
      <c r="IGY82" s="684"/>
      <c r="IGZ82" s="684"/>
      <c r="IHA82" s="684"/>
      <c r="IHB82" s="684"/>
      <c r="IHC82" s="684"/>
      <c r="IHD82" s="684"/>
      <c r="IHE82" s="684"/>
      <c r="IHF82" s="684"/>
      <c r="IHG82" s="684"/>
      <c r="IHH82" s="684"/>
      <c r="IHI82" s="684"/>
      <c r="IHJ82" s="684"/>
      <c r="IHK82" s="684"/>
      <c r="IHL82" s="684"/>
      <c r="IHM82" s="684"/>
      <c r="IHN82" s="684"/>
      <c r="IHO82" s="684"/>
      <c r="IHP82" s="684"/>
      <c r="IHQ82" s="684"/>
      <c r="IHR82" s="684"/>
      <c r="IHS82" s="684"/>
      <c r="IHT82" s="684"/>
      <c r="IHU82" s="684"/>
      <c r="IHV82" s="684"/>
      <c r="IHW82" s="684"/>
      <c r="IHX82" s="684"/>
      <c r="IHY82" s="684"/>
      <c r="IHZ82" s="684"/>
      <c r="IIA82" s="684"/>
      <c r="IIB82" s="684"/>
      <c r="IIC82" s="684"/>
      <c r="IID82" s="684"/>
      <c r="IIE82" s="684"/>
      <c r="IIF82" s="684"/>
      <c r="IIG82" s="684"/>
      <c r="IIH82" s="684"/>
      <c r="III82" s="684"/>
      <c r="IIJ82" s="684"/>
      <c r="IIK82" s="684"/>
      <c r="IIL82" s="684"/>
      <c r="IIM82" s="684"/>
      <c r="IIN82" s="684"/>
      <c r="IIO82" s="684"/>
      <c r="IIP82" s="684"/>
      <c r="IIQ82" s="684"/>
      <c r="IIR82" s="684"/>
      <c r="IIS82" s="684"/>
      <c r="IIT82" s="684"/>
      <c r="IIU82" s="684"/>
      <c r="IIV82" s="684"/>
      <c r="IIW82" s="684"/>
      <c r="IIX82" s="684"/>
      <c r="IIY82" s="684"/>
      <c r="IIZ82" s="684"/>
      <c r="IJA82" s="684"/>
      <c r="IJB82" s="684"/>
      <c r="IJC82" s="684"/>
      <c r="IJD82" s="684"/>
      <c r="IJE82" s="684"/>
      <c r="IJF82" s="684"/>
      <c r="IJG82" s="684"/>
      <c r="IJH82" s="684"/>
      <c r="IJI82" s="684"/>
      <c r="IJJ82" s="684"/>
      <c r="IJK82" s="684"/>
      <c r="IJL82" s="684"/>
      <c r="IJM82" s="684"/>
      <c r="IJN82" s="684"/>
      <c r="IJO82" s="684"/>
      <c r="IJP82" s="684"/>
      <c r="IJQ82" s="684"/>
      <c r="IJR82" s="684"/>
      <c r="IJS82" s="684"/>
      <c r="IJT82" s="684"/>
      <c r="IJU82" s="684"/>
      <c r="IJV82" s="684"/>
      <c r="IJW82" s="684"/>
      <c r="IJX82" s="684"/>
      <c r="IJY82" s="684"/>
      <c r="IJZ82" s="684"/>
      <c r="IKA82" s="684"/>
      <c r="IKB82" s="684"/>
      <c r="IKC82" s="684"/>
      <c r="IKD82" s="684"/>
      <c r="IKE82" s="684"/>
      <c r="IKF82" s="684"/>
      <c r="IKG82" s="684"/>
      <c r="IKH82" s="684"/>
      <c r="IKI82" s="684"/>
      <c r="IKJ82" s="684"/>
      <c r="IKK82" s="684"/>
      <c r="IKL82" s="684"/>
      <c r="IKM82" s="684"/>
      <c r="IKN82" s="684"/>
      <c r="IKO82" s="684"/>
      <c r="IKP82" s="684"/>
      <c r="IKQ82" s="684"/>
      <c r="IKR82" s="684"/>
      <c r="IKS82" s="684"/>
      <c r="IKT82" s="684"/>
      <c r="IKU82" s="684"/>
      <c r="IKV82" s="684"/>
      <c r="IKW82" s="684"/>
      <c r="IKX82" s="684"/>
      <c r="IKY82" s="684"/>
      <c r="IKZ82" s="684"/>
      <c r="ILA82" s="684"/>
      <c r="ILB82" s="684"/>
      <c r="ILC82" s="684"/>
      <c r="ILD82" s="684"/>
      <c r="ILE82" s="684"/>
      <c r="ILF82" s="684"/>
      <c r="ILG82" s="684"/>
      <c r="ILH82" s="684"/>
      <c r="ILI82" s="684"/>
      <c r="ILJ82" s="684"/>
      <c r="ILK82" s="684"/>
      <c r="ILL82" s="684"/>
      <c r="ILM82" s="684"/>
      <c r="ILN82" s="684"/>
      <c r="ILO82" s="684"/>
      <c r="ILP82" s="684"/>
      <c r="ILQ82" s="684"/>
      <c r="ILR82" s="684"/>
      <c r="ILS82" s="684"/>
      <c r="ILT82" s="684"/>
      <c r="ILU82" s="684"/>
      <c r="ILV82" s="684"/>
      <c r="ILW82" s="684"/>
      <c r="ILX82" s="684"/>
      <c r="ILY82" s="684"/>
      <c r="ILZ82" s="684"/>
      <c r="IMA82" s="684"/>
      <c r="IMB82" s="684"/>
      <c r="IMC82" s="684"/>
      <c r="IMD82" s="684"/>
      <c r="IME82" s="684"/>
      <c r="IMF82" s="684"/>
      <c r="IMG82" s="684"/>
      <c r="IMH82" s="684"/>
      <c r="IMI82" s="684"/>
      <c r="IMJ82" s="684"/>
      <c r="IMK82" s="684"/>
      <c r="IML82" s="684"/>
      <c r="IMM82" s="684"/>
      <c r="IMN82" s="684"/>
      <c r="IMO82" s="684"/>
      <c r="IMP82" s="684"/>
      <c r="IMQ82" s="684"/>
      <c r="IMR82" s="684"/>
      <c r="IMS82" s="684"/>
      <c r="IMT82" s="684"/>
      <c r="IMU82" s="684"/>
      <c r="IMV82" s="684"/>
      <c r="IMW82" s="684"/>
      <c r="IMX82" s="684"/>
      <c r="IMY82" s="684"/>
      <c r="IMZ82" s="684"/>
      <c r="INA82" s="684"/>
      <c r="INB82" s="684"/>
      <c r="INC82" s="684"/>
      <c r="IND82" s="684"/>
      <c r="INE82" s="684"/>
      <c r="INF82" s="684"/>
      <c r="ING82" s="684"/>
      <c r="INH82" s="684"/>
      <c r="INI82" s="684"/>
      <c r="INJ82" s="684"/>
      <c r="INK82" s="684"/>
      <c r="INL82" s="684"/>
      <c r="INM82" s="684"/>
      <c r="INN82" s="684"/>
      <c r="INO82" s="684"/>
      <c r="INP82" s="684"/>
      <c r="INQ82" s="684"/>
      <c r="INR82" s="684"/>
      <c r="INS82" s="684"/>
      <c r="INT82" s="684"/>
      <c r="INU82" s="684"/>
      <c r="INV82" s="684"/>
      <c r="INW82" s="684"/>
      <c r="INX82" s="684"/>
      <c r="INY82" s="684"/>
      <c r="INZ82" s="684"/>
      <c r="IOA82" s="684"/>
      <c r="IOB82" s="684"/>
      <c r="IOC82" s="684"/>
      <c r="IOD82" s="684"/>
      <c r="IOE82" s="684"/>
      <c r="IOF82" s="684"/>
      <c r="IOG82" s="684"/>
      <c r="IOH82" s="684"/>
      <c r="IOI82" s="684"/>
      <c r="IOJ82" s="684"/>
      <c r="IOK82" s="684"/>
      <c r="IOL82" s="684"/>
      <c r="IOM82" s="684"/>
      <c r="ION82" s="684"/>
      <c r="IOO82" s="684"/>
      <c r="IOP82" s="684"/>
      <c r="IOQ82" s="684"/>
      <c r="IOR82" s="684"/>
      <c r="IOS82" s="684"/>
      <c r="IOT82" s="684"/>
      <c r="IOU82" s="684"/>
      <c r="IOV82" s="684"/>
      <c r="IOW82" s="684"/>
      <c r="IOX82" s="684"/>
      <c r="IOY82" s="684"/>
      <c r="IOZ82" s="684"/>
      <c r="IPA82" s="684"/>
      <c r="IPB82" s="684"/>
      <c r="IPC82" s="684"/>
      <c r="IPD82" s="684"/>
      <c r="IPE82" s="684"/>
      <c r="IPF82" s="684"/>
      <c r="IPG82" s="684"/>
      <c r="IPH82" s="684"/>
      <c r="IPI82" s="684"/>
      <c r="IPJ82" s="684"/>
      <c r="IPK82" s="684"/>
      <c r="IPL82" s="684"/>
      <c r="IPM82" s="684"/>
      <c r="IPN82" s="684"/>
      <c r="IPO82" s="684"/>
      <c r="IPP82" s="684"/>
      <c r="IPQ82" s="684"/>
      <c r="IPR82" s="684"/>
      <c r="IPS82" s="684"/>
      <c r="IPT82" s="684"/>
      <c r="IPU82" s="684"/>
      <c r="IPV82" s="684"/>
      <c r="IPW82" s="684"/>
      <c r="IPX82" s="684"/>
      <c r="IPY82" s="684"/>
      <c r="IPZ82" s="684"/>
      <c r="IQA82" s="684"/>
      <c r="IQB82" s="684"/>
      <c r="IQC82" s="684"/>
      <c r="IQD82" s="684"/>
      <c r="IQE82" s="684"/>
      <c r="IQF82" s="684"/>
      <c r="IQG82" s="684"/>
      <c r="IQH82" s="684"/>
      <c r="IQI82" s="684"/>
      <c r="IQJ82" s="684"/>
      <c r="IQK82" s="684"/>
      <c r="IQL82" s="684"/>
      <c r="IQM82" s="684"/>
      <c r="IQN82" s="684"/>
      <c r="IQO82" s="684"/>
      <c r="IQP82" s="684"/>
      <c r="IQQ82" s="684"/>
      <c r="IQR82" s="684"/>
      <c r="IQS82" s="684"/>
      <c r="IQT82" s="684"/>
      <c r="IQU82" s="684"/>
      <c r="IQV82" s="684"/>
      <c r="IQW82" s="684"/>
      <c r="IQX82" s="684"/>
      <c r="IQY82" s="684"/>
      <c r="IQZ82" s="684"/>
      <c r="IRA82" s="684"/>
      <c r="IRB82" s="684"/>
      <c r="IRC82" s="684"/>
      <c r="IRD82" s="684"/>
      <c r="IRE82" s="684"/>
      <c r="IRF82" s="684"/>
      <c r="IRG82" s="684"/>
      <c r="IRH82" s="684"/>
      <c r="IRI82" s="684"/>
      <c r="IRJ82" s="684"/>
      <c r="IRK82" s="684"/>
      <c r="IRL82" s="684"/>
      <c r="IRM82" s="684"/>
      <c r="IRN82" s="684"/>
      <c r="IRO82" s="684"/>
      <c r="IRP82" s="684"/>
      <c r="IRQ82" s="684"/>
      <c r="IRR82" s="684"/>
      <c r="IRS82" s="684"/>
      <c r="IRT82" s="684"/>
      <c r="IRU82" s="684"/>
      <c r="IRV82" s="684"/>
      <c r="IRW82" s="684"/>
      <c r="IRX82" s="684"/>
      <c r="IRY82" s="684"/>
      <c r="IRZ82" s="684"/>
      <c r="ISA82" s="684"/>
      <c r="ISB82" s="684"/>
      <c r="ISC82" s="684"/>
      <c r="ISD82" s="684"/>
      <c r="ISE82" s="684"/>
      <c r="ISF82" s="684"/>
      <c r="ISG82" s="684"/>
      <c r="ISH82" s="684"/>
      <c r="ISI82" s="684"/>
      <c r="ISJ82" s="684"/>
      <c r="ISK82" s="684"/>
      <c r="ISL82" s="684"/>
      <c r="ISM82" s="684"/>
      <c r="ISN82" s="684"/>
      <c r="ISO82" s="684"/>
      <c r="ISP82" s="684"/>
      <c r="ISQ82" s="684"/>
      <c r="ISR82" s="684"/>
      <c r="ISS82" s="684"/>
      <c r="IST82" s="684"/>
      <c r="ISU82" s="684"/>
      <c r="ISV82" s="684"/>
      <c r="ISW82" s="684"/>
      <c r="ISX82" s="684"/>
      <c r="ISY82" s="684"/>
      <c r="ISZ82" s="684"/>
      <c r="ITA82" s="684"/>
      <c r="ITB82" s="684"/>
      <c r="ITC82" s="684"/>
      <c r="ITD82" s="684"/>
      <c r="ITE82" s="684"/>
      <c r="ITF82" s="684"/>
      <c r="ITG82" s="684"/>
      <c r="ITH82" s="684"/>
      <c r="ITI82" s="684"/>
      <c r="ITJ82" s="684"/>
      <c r="ITK82" s="684"/>
      <c r="ITL82" s="684"/>
      <c r="ITM82" s="684"/>
      <c r="ITN82" s="684"/>
      <c r="ITO82" s="684"/>
      <c r="ITP82" s="684"/>
      <c r="ITQ82" s="684"/>
      <c r="ITR82" s="684"/>
      <c r="ITS82" s="684"/>
      <c r="ITT82" s="684"/>
      <c r="ITU82" s="684"/>
      <c r="ITV82" s="684"/>
      <c r="ITW82" s="684"/>
      <c r="ITX82" s="684"/>
      <c r="ITY82" s="684"/>
      <c r="ITZ82" s="684"/>
      <c r="IUA82" s="684"/>
      <c r="IUB82" s="684"/>
      <c r="IUC82" s="684"/>
      <c r="IUD82" s="684"/>
      <c r="IUE82" s="684"/>
      <c r="IUF82" s="684"/>
      <c r="IUG82" s="684"/>
      <c r="IUH82" s="684"/>
      <c r="IUI82" s="684"/>
      <c r="IUJ82" s="684"/>
      <c r="IUK82" s="684"/>
      <c r="IUL82" s="684"/>
      <c r="IUM82" s="684"/>
      <c r="IUN82" s="684"/>
      <c r="IUO82" s="684"/>
      <c r="IUP82" s="684"/>
      <c r="IUQ82" s="684"/>
      <c r="IUR82" s="684"/>
      <c r="IUS82" s="684"/>
      <c r="IUT82" s="684"/>
      <c r="IUU82" s="684"/>
      <c r="IUV82" s="684"/>
      <c r="IUW82" s="684"/>
      <c r="IUX82" s="684"/>
      <c r="IUY82" s="684"/>
      <c r="IUZ82" s="684"/>
      <c r="IVA82" s="684"/>
      <c r="IVB82" s="684"/>
      <c r="IVC82" s="684"/>
      <c r="IVD82" s="684"/>
      <c r="IVE82" s="684"/>
      <c r="IVF82" s="684"/>
      <c r="IVG82" s="684"/>
      <c r="IVH82" s="684"/>
      <c r="IVI82" s="684"/>
      <c r="IVJ82" s="684"/>
      <c r="IVK82" s="684"/>
      <c r="IVL82" s="684"/>
      <c r="IVM82" s="684"/>
      <c r="IVN82" s="684"/>
      <c r="IVO82" s="684"/>
      <c r="IVP82" s="684"/>
      <c r="IVQ82" s="684"/>
      <c r="IVR82" s="684"/>
      <c r="IVS82" s="684"/>
      <c r="IVT82" s="684"/>
      <c r="IVU82" s="684"/>
      <c r="IVV82" s="684"/>
      <c r="IVW82" s="684"/>
      <c r="IVX82" s="684"/>
      <c r="IVY82" s="684"/>
      <c r="IVZ82" s="684"/>
      <c r="IWA82" s="684"/>
      <c r="IWB82" s="684"/>
      <c r="IWC82" s="684"/>
      <c r="IWD82" s="684"/>
      <c r="IWE82" s="684"/>
      <c r="IWF82" s="684"/>
      <c r="IWG82" s="684"/>
      <c r="IWH82" s="684"/>
      <c r="IWI82" s="684"/>
      <c r="IWJ82" s="684"/>
      <c r="IWK82" s="684"/>
      <c r="IWL82" s="684"/>
      <c r="IWM82" s="684"/>
      <c r="IWN82" s="684"/>
      <c r="IWO82" s="684"/>
      <c r="IWP82" s="684"/>
      <c r="IWQ82" s="684"/>
      <c r="IWR82" s="684"/>
      <c r="IWS82" s="684"/>
      <c r="IWT82" s="684"/>
      <c r="IWU82" s="684"/>
      <c r="IWV82" s="684"/>
      <c r="IWW82" s="684"/>
      <c r="IWX82" s="684"/>
      <c r="IWY82" s="684"/>
      <c r="IWZ82" s="684"/>
      <c r="IXA82" s="684"/>
      <c r="IXB82" s="684"/>
      <c r="IXC82" s="684"/>
      <c r="IXD82" s="684"/>
      <c r="IXE82" s="684"/>
      <c r="IXF82" s="684"/>
      <c r="IXG82" s="684"/>
      <c r="IXH82" s="684"/>
      <c r="IXI82" s="684"/>
      <c r="IXJ82" s="684"/>
      <c r="IXK82" s="684"/>
      <c r="IXL82" s="684"/>
      <c r="IXM82" s="684"/>
      <c r="IXN82" s="684"/>
      <c r="IXO82" s="684"/>
      <c r="IXP82" s="684"/>
      <c r="IXQ82" s="684"/>
      <c r="IXR82" s="684"/>
      <c r="IXS82" s="684"/>
      <c r="IXT82" s="684"/>
      <c r="IXU82" s="684"/>
      <c r="IXV82" s="684"/>
      <c r="IXW82" s="684"/>
      <c r="IXX82" s="684"/>
      <c r="IXY82" s="684"/>
      <c r="IXZ82" s="684"/>
      <c r="IYA82" s="684"/>
      <c r="IYB82" s="684"/>
      <c r="IYC82" s="684"/>
      <c r="IYD82" s="684"/>
      <c r="IYE82" s="684"/>
      <c r="IYF82" s="684"/>
      <c r="IYG82" s="684"/>
      <c r="IYH82" s="684"/>
      <c r="IYI82" s="684"/>
      <c r="IYJ82" s="684"/>
      <c r="IYK82" s="684"/>
      <c r="IYL82" s="684"/>
      <c r="IYM82" s="684"/>
      <c r="IYN82" s="684"/>
      <c r="IYO82" s="684"/>
      <c r="IYP82" s="684"/>
      <c r="IYQ82" s="684"/>
      <c r="IYR82" s="684"/>
      <c r="IYS82" s="684"/>
      <c r="IYT82" s="684"/>
      <c r="IYU82" s="684"/>
      <c r="IYV82" s="684"/>
      <c r="IYW82" s="684"/>
      <c r="IYX82" s="684"/>
      <c r="IYY82" s="684"/>
      <c r="IYZ82" s="684"/>
      <c r="IZA82" s="684"/>
      <c r="IZB82" s="684"/>
      <c r="IZC82" s="684"/>
      <c r="IZD82" s="684"/>
      <c r="IZE82" s="684"/>
      <c r="IZF82" s="684"/>
      <c r="IZG82" s="684"/>
      <c r="IZH82" s="684"/>
      <c r="IZI82" s="684"/>
      <c r="IZJ82" s="684"/>
      <c r="IZK82" s="684"/>
      <c r="IZL82" s="684"/>
      <c r="IZM82" s="684"/>
      <c r="IZN82" s="684"/>
      <c r="IZO82" s="684"/>
      <c r="IZP82" s="684"/>
      <c r="IZQ82" s="684"/>
      <c r="IZR82" s="684"/>
      <c r="IZS82" s="684"/>
      <c r="IZT82" s="684"/>
      <c r="IZU82" s="684"/>
      <c r="IZV82" s="684"/>
      <c r="IZW82" s="684"/>
      <c r="IZX82" s="684"/>
      <c r="IZY82" s="684"/>
      <c r="IZZ82" s="684"/>
      <c r="JAA82" s="684"/>
      <c r="JAB82" s="684"/>
      <c r="JAC82" s="684"/>
      <c r="JAD82" s="684"/>
      <c r="JAE82" s="684"/>
      <c r="JAF82" s="684"/>
      <c r="JAG82" s="684"/>
      <c r="JAH82" s="684"/>
      <c r="JAI82" s="684"/>
      <c r="JAJ82" s="684"/>
      <c r="JAK82" s="684"/>
      <c r="JAL82" s="684"/>
      <c r="JAM82" s="684"/>
      <c r="JAN82" s="684"/>
      <c r="JAO82" s="684"/>
      <c r="JAP82" s="684"/>
      <c r="JAQ82" s="684"/>
      <c r="JAR82" s="684"/>
      <c r="JAS82" s="684"/>
      <c r="JAT82" s="684"/>
      <c r="JAU82" s="684"/>
      <c r="JAV82" s="684"/>
      <c r="JAW82" s="684"/>
      <c r="JAX82" s="684"/>
      <c r="JAY82" s="684"/>
      <c r="JAZ82" s="684"/>
      <c r="JBA82" s="684"/>
      <c r="JBB82" s="684"/>
      <c r="JBC82" s="684"/>
      <c r="JBD82" s="684"/>
      <c r="JBE82" s="684"/>
      <c r="JBF82" s="684"/>
      <c r="JBG82" s="684"/>
      <c r="JBH82" s="684"/>
      <c r="JBI82" s="684"/>
      <c r="JBJ82" s="684"/>
      <c r="JBK82" s="684"/>
      <c r="JBL82" s="684"/>
      <c r="JBM82" s="684"/>
      <c r="JBN82" s="684"/>
      <c r="JBO82" s="684"/>
      <c r="JBP82" s="684"/>
      <c r="JBQ82" s="684"/>
      <c r="JBR82" s="684"/>
      <c r="JBS82" s="684"/>
      <c r="JBT82" s="684"/>
      <c r="JBU82" s="684"/>
      <c r="JBV82" s="684"/>
      <c r="JBW82" s="684"/>
      <c r="JBX82" s="684"/>
      <c r="JBY82" s="684"/>
      <c r="JBZ82" s="684"/>
      <c r="JCA82" s="684"/>
      <c r="JCB82" s="684"/>
      <c r="JCC82" s="684"/>
      <c r="JCD82" s="684"/>
      <c r="JCE82" s="684"/>
      <c r="JCF82" s="684"/>
      <c r="JCG82" s="684"/>
      <c r="JCH82" s="684"/>
      <c r="JCI82" s="684"/>
      <c r="JCJ82" s="684"/>
      <c r="JCK82" s="684"/>
      <c r="JCL82" s="684"/>
      <c r="JCM82" s="684"/>
      <c r="JCN82" s="684"/>
      <c r="JCO82" s="684"/>
      <c r="JCP82" s="684"/>
      <c r="JCQ82" s="684"/>
      <c r="JCR82" s="684"/>
      <c r="JCS82" s="684"/>
      <c r="JCT82" s="684"/>
      <c r="JCU82" s="684"/>
      <c r="JCV82" s="684"/>
      <c r="JCW82" s="684"/>
      <c r="JCX82" s="684"/>
      <c r="JCY82" s="684"/>
      <c r="JCZ82" s="684"/>
      <c r="JDA82" s="684"/>
      <c r="JDB82" s="684"/>
      <c r="JDC82" s="684"/>
      <c r="JDD82" s="684"/>
      <c r="JDE82" s="684"/>
      <c r="JDF82" s="684"/>
      <c r="JDG82" s="684"/>
      <c r="JDH82" s="684"/>
      <c r="JDI82" s="684"/>
      <c r="JDJ82" s="684"/>
      <c r="JDK82" s="684"/>
      <c r="JDL82" s="684"/>
      <c r="JDM82" s="684"/>
      <c r="JDN82" s="684"/>
      <c r="JDO82" s="684"/>
      <c r="JDP82" s="684"/>
      <c r="JDQ82" s="684"/>
      <c r="JDR82" s="684"/>
      <c r="JDS82" s="684"/>
      <c r="JDT82" s="684"/>
      <c r="JDU82" s="684"/>
      <c r="JDV82" s="684"/>
      <c r="JDW82" s="684"/>
      <c r="JDX82" s="684"/>
      <c r="JDY82" s="684"/>
      <c r="JDZ82" s="684"/>
      <c r="JEA82" s="684"/>
      <c r="JEB82" s="684"/>
      <c r="JEC82" s="684"/>
      <c r="JED82" s="684"/>
      <c r="JEE82" s="684"/>
      <c r="JEF82" s="684"/>
      <c r="JEG82" s="684"/>
      <c r="JEH82" s="684"/>
      <c r="JEI82" s="684"/>
      <c r="JEJ82" s="684"/>
      <c r="JEK82" s="684"/>
      <c r="JEL82" s="684"/>
      <c r="JEM82" s="684"/>
      <c r="JEN82" s="684"/>
      <c r="JEO82" s="684"/>
      <c r="JEP82" s="684"/>
      <c r="JEQ82" s="684"/>
      <c r="JER82" s="684"/>
      <c r="JES82" s="684"/>
      <c r="JET82" s="684"/>
      <c r="JEU82" s="684"/>
      <c r="JEV82" s="684"/>
      <c r="JEW82" s="684"/>
      <c r="JEX82" s="684"/>
      <c r="JEY82" s="684"/>
      <c r="JEZ82" s="684"/>
      <c r="JFA82" s="684"/>
      <c r="JFB82" s="684"/>
      <c r="JFC82" s="684"/>
      <c r="JFD82" s="684"/>
      <c r="JFE82" s="684"/>
      <c r="JFF82" s="684"/>
      <c r="JFG82" s="684"/>
      <c r="JFH82" s="684"/>
      <c r="JFI82" s="684"/>
      <c r="JFJ82" s="684"/>
      <c r="JFK82" s="684"/>
      <c r="JFL82" s="684"/>
      <c r="JFM82" s="684"/>
      <c r="JFN82" s="684"/>
      <c r="JFO82" s="684"/>
      <c r="JFP82" s="684"/>
      <c r="JFQ82" s="684"/>
      <c r="JFR82" s="684"/>
      <c r="JFS82" s="684"/>
      <c r="JFT82" s="684"/>
      <c r="JFU82" s="684"/>
      <c r="JFV82" s="684"/>
      <c r="JFW82" s="684"/>
      <c r="JFX82" s="684"/>
      <c r="JFY82" s="684"/>
      <c r="JFZ82" s="684"/>
      <c r="JGA82" s="684"/>
      <c r="JGB82" s="684"/>
      <c r="JGC82" s="684"/>
      <c r="JGD82" s="684"/>
      <c r="JGE82" s="684"/>
      <c r="JGF82" s="684"/>
      <c r="JGG82" s="684"/>
      <c r="JGH82" s="684"/>
      <c r="JGI82" s="684"/>
      <c r="JGJ82" s="684"/>
      <c r="JGK82" s="684"/>
      <c r="JGL82" s="684"/>
      <c r="JGM82" s="684"/>
      <c r="JGN82" s="684"/>
      <c r="JGO82" s="684"/>
      <c r="JGP82" s="684"/>
      <c r="JGQ82" s="684"/>
      <c r="JGR82" s="684"/>
      <c r="JGS82" s="684"/>
      <c r="JGT82" s="684"/>
      <c r="JGU82" s="684"/>
      <c r="JGV82" s="684"/>
      <c r="JGW82" s="684"/>
      <c r="JGX82" s="684"/>
      <c r="JGY82" s="684"/>
      <c r="JGZ82" s="684"/>
      <c r="JHA82" s="684"/>
      <c r="JHB82" s="684"/>
      <c r="JHC82" s="684"/>
      <c r="JHD82" s="684"/>
      <c r="JHE82" s="684"/>
      <c r="JHF82" s="684"/>
      <c r="JHG82" s="684"/>
      <c r="JHH82" s="684"/>
      <c r="JHI82" s="684"/>
      <c r="JHJ82" s="684"/>
      <c r="JHK82" s="684"/>
      <c r="JHL82" s="684"/>
      <c r="JHM82" s="684"/>
      <c r="JHN82" s="684"/>
      <c r="JHO82" s="684"/>
      <c r="JHP82" s="684"/>
      <c r="JHQ82" s="684"/>
      <c r="JHR82" s="684"/>
      <c r="JHS82" s="684"/>
      <c r="JHT82" s="684"/>
      <c r="JHU82" s="684"/>
      <c r="JHV82" s="684"/>
      <c r="JHW82" s="684"/>
      <c r="JHX82" s="684"/>
      <c r="JHY82" s="684"/>
      <c r="JHZ82" s="684"/>
      <c r="JIA82" s="684"/>
      <c r="JIB82" s="684"/>
      <c r="JIC82" s="684"/>
      <c r="JID82" s="684"/>
      <c r="JIE82" s="684"/>
      <c r="JIF82" s="684"/>
      <c r="JIG82" s="684"/>
      <c r="JIH82" s="684"/>
      <c r="JII82" s="684"/>
      <c r="JIJ82" s="684"/>
      <c r="JIK82" s="684"/>
      <c r="JIL82" s="684"/>
      <c r="JIM82" s="684"/>
      <c r="JIN82" s="684"/>
      <c r="JIO82" s="684"/>
      <c r="JIP82" s="684"/>
      <c r="JIQ82" s="684"/>
      <c r="JIR82" s="684"/>
      <c r="JIS82" s="684"/>
      <c r="JIT82" s="684"/>
      <c r="JIU82" s="684"/>
      <c r="JIV82" s="684"/>
      <c r="JIW82" s="684"/>
      <c r="JIX82" s="684"/>
      <c r="JIY82" s="684"/>
      <c r="JIZ82" s="684"/>
      <c r="JJA82" s="684"/>
      <c r="JJB82" s="684"/>
      <c r="JJC82" s="684"/>
      <c r="JJD82" s="684"/>
      <c r="JJE82" s="684"/>
      <c r="JJF82" s="684"/>
      <c r="JJG82" s="684"/>
      <c r="JJH82" s="684"/>
      <c r="JJI82" s="684"/>
      <c r="JJJ82" s="684"/>
      <c r="JJK82" s="684"/>
      <c r="JJL82" s="684"/>
      <c r="JJM82" s="684"/>
      <c r="JJN82" s="684"/>
      <c r="JJO82" s="684"/>
      <c r="JJP82" s="684"/>
      <c r="JJQ82" s="684"/>
      <c r="JJR82" s="684"/>
      <c r="JJS82" s="684"/>
      <c r="JJT82" s="684"/>
      <c r="JJU82" s="684"/>
      <c r="JJV82" s="684"/>
      <c r="JJW82" s="684"/>
      <c r="JJX82" s="684"/>
      <c r="JJY82" s="684"/>
      <c r="JJZ82" s="684"/>
      <c r="JKA82" s="684"/>
      <c r="JKB82" s="684"/>
      <c r="JKC82" s="684"/>
      <c r="JKD82" s="684"/>
      <c r="JKE82" s="684"/>
      <c r="JKF82" s="684"/>
      <c r="JKG82" s="684"/>
      <c r="JKH82" s="684"/>
      <c r="JKI82" s="684"/>
      <c r="JKJ82" s="684"/>
      <c r="JKK82" s="684"/>
      <c r="JKL82" s="684"/>
      <c r="JKM82" s="684"/>
      <c r="JKN82" s="684"/>
      <c r="JKO82" s="684"/>
      <c r="JKP82" s="684"/>
      <c r="JKQ82" s="684"/>
      <c r="JKR82" s="684"/>
      <c r="JKS82" s="684"/>
      <c r="JKT82" s="684"/>
      <c r="JKU82" s="684"/>
      <c r="JKV82" s="684"/>
      <c r="JKW82" s="684"/>
      <c r="JKX82" s="684"/>
      <c r="JKY82" s="684"/>
      <c r="JKZ82" s="684"/>
      <c r="JLA82" s="684"/>
      <c r="JLB82" s="684"/>
      <c r="JLC82" s="684"/>
      <c r="JLD82" s="684"/>
      <c r="JLE82" s="684"/>
      <c r="JLF82" s="684"/>
      <c r="JLG82" s="684"/>
      <c r="JLH82" s="684"/>
      <c r="JLI82" s="684"/>
      <c r="JLJ82" s="684"/>
      <c r="JLK82" s="684"/>
      <c r="JLL82" s="684"/>
      <c r="JLM82" s="684"/>
      <c r="JLN82" s="684"/>
      <c r="JLO82" s="684"/>
      <c r="JLP82" s="684"/>
      <c r="JLQ82" s="684"/>
      <c r="JLR82" s="684"/>
      <c r="JLS82" s="684"/>
      <c r="JLT82" s="684"/>
      <c r="JLU82" s="684"/>
      <c r="JLV82" s="684"/>
      <c r="JLW82" s="684"/>
      <c r="JLX82" s="684"/>
      <c r="JLY82" s="684"/>
      <c r="JLZ82" s="684"/>
      <c r="JMA82" s="684"/>
      <c r="JMB82" s="684"/>
      <c r="JMC82" s="684"/>
      <c r="JMD82" s="684"/>
      <c r="JME82" s="684"/>
      <c r="JMF82" s="684"/>
      <c r="JMG82" s="684"/>
      <c r="JMH82" s="684"/>
      <c r="JMI82" s="684"/>
      <c r="JMJ82" s="684"/>
      <c r="JMK82" s="684"/>
      <c r="JML82" s="684"/>
      <c r="JMM82" s="684"/>
      <c r="JMN82" s="684"/>
      <c r="JMO82" s="684"/>
      <c r="JMP82" s="684"/>
      <c r="JMQ82" s="684"/>
      <c r="JMR82" s="684"/>
      <c r="JMS82" s="684"/>
      <c r="JMT82" s="684"/>
      <c r="JMU82" s="684"/>
      <c r="JMV82" s="684"/>
      <c r="JMW82" s="684"/>
      <c r="JMX82" s="684"/>
      <c r="JMY82" s="684"/>
      <c r="JMZ82" s="684"/>
      <c r="JNA82" s="684"/>
      <c r="JNB82" s="684"/>
      <c r="JNC82" s="684"/>
      <c r="JND82" s="684"/>
      <c r="JNE82" s="684"/>
      <c r="JNF82" s="684"/>
      <c r="JNG82" s="684"/>
      <c r="JNH82" s="684"/>
      <c r="JNI82" s="684"/>
      <c r="JNJ82" s="684"/>
      <c r="JNK82" s="684"/>
      <c r="JNL82" s="684"/>
      <c r="JNM82" s="684"/>
      <c r="JNN82" s="684"/>
      <c r="JNO82" s="684"/>
      <c r="JNP82" s="684"/>
      <c r="JNQ82" s="684"/>
      <c r="JNR82" s="684"/>
      <c r="JNS82" s="684"/>
      <c r="JNT82" s="684"/>
      <c r="JNU82" s="684"/>
      <c r="JNV82" s="684"/>
      <c r="JNW82" s="684"/>
      <c r="JNX82" s="684"/>
      <c r="JNY82" s="684"/>
      <c r="JNZ82" s="684"/>
      <c r="JOA82" s="684"/>
      <c r="JOB82" s="684"/>
      <c r="JOC82" s="684"/>
      <c r="JOD82" s="684"/>
      <c r="JOE82" s="684"/>
      <c r="JOF82" s="684"/>
      <c r="JOG82" s="684"/>
      <c r="JOH82" s="684"/>
      <c r="JOI82" s="684"/>
      <c r="JOJ82" s="684"/>
      <c r="JOK82" s="684"/>
      <c r="JOL82" s="684"/>
      <c r="JOM82" s="684"/>
      <c r="JON82" s="684"/>
      <c r="JOO82" s="684"/>
      <c r="JOP82" s="684"/>
      <c r="JOQ82" s="684"/>
      <c r="JOR82" s="684"/>
      <c r="JOS82" s="684"/>
      <c r="JOT82" s="684"/>
      <c r="JOU82" s="684"/>
      <c r="JOV82" s="684"/>
      <c r="JOW82" s="684"/>
      <c r="JOX82" s="684"/>
      <c r="JOY82" s="684"/>
      <c r="JOZ82" s="684"/>
      <c r="JPA82" s="684"/>
      <c r="JPB82" s="684"/>
      <c r="JPC82" s="684"/>
      <c r="JPD82" s="684"/>
      <c r="JPE82" s="684"/>
      <c r="JPF82" s="684"/>
      <c r="JPG82" s="684"/>
      <c r="JPH82" s="684"/>
      <c r="JPI82" s="684"/>
      <c r="JPJ82" s="684"/>
      <c r="JPK82" s="684"/>
      <c r="JPL82" s="684"/>
      <c r="JPM82" s="684"/>
      <c r="JPN82" s="684"/>
      <c r="JPO82" s="684"/>
      <c r="JPP82" s="684"/>
      <c r="JPQ82" s="684"/>
      <c r="JPR82" s="684"/>
      <c r="JPS82" s="684"/>
      <c r="JPT82" s="684"/>
      <c r="JPU82" s="684"/>
      <c r="JPV82" s="684"/>
      <c r="JPW82" s="684"/>
      <c r="JPX82" s="684"/>
      <c r="JPY82" s="684"/>
      <c r="JPZ82" s="684"/>
      <c r="JQA82" s="684"/>
      <c r="JQB82" s="684"/>
      <c r="JQC82" s="684"/>
      <c r="JQD82" s="684"/>
      <c r="JQE82" s="684"/>
      <c r="JQF82" s="684"/>
      <c r="JQG82" s="684"/>
      <c r="JQH82" s="684"/>
      <c r="JQI82" s="684"/>
      <c r="JQJ82" s="684"/>
      <c r="JQK82" s="684"/>
      <c r="JQL82" s="684"/>
      <c r="JQM82" s="684"/>
      <c r="JQN82" s="684"/>
      <c r="JQO82" s="684"/>
      <c r="JQP82" s="684"/>
      <c r="JQQ82" s="684"/>
      <c r="JQR82" s="684"/>
      <c r="JQS82" s="684"/>
      <c r="JQT82" s="684"/>
      <c r="JQU82" s="684"/>
      <c r="JQV82" s="684"/>
      <c r="JQW82" s="684"/>
      <c r="JQX82" s="684"/>
      <c r="JQY82" s="684"/>
      <c r="JQZ82" s="684"/>
      <c r="JRA82" s="684"/>
      <c r="JRB82" s="684"/>
      <c r="JRC82" s="684"/>
      <c r="JRD82" s="684"/>
      <c r="JRE82" s="684"/>
      <c r="JRF82" s="684"/>
      <c r="JRG82" s="684"/>
      <c r="JRH82" s="684"/>
      <c r="JRI82" s="684"/>
      <c r="JRJ82" s="684"/>
      <c r="JRK82" s="684"/>
      <c r="JRL82" s="684"/>
      <c r="JRM82" s="684"/>
      <c r="JRN82" s="684"/>
      <c r="JRO82" s="684"/>
      <c r="JRP82" s="684"/>
      <c r="JRQ82" s="684"/>
      <c r="JRR82" s="684"/>
      <c r="JRS82" s="684"/>
      <c r="JRT82" s="684"/>
      <c r="JRU82" s="684"/>
      <c r="JRV82" s="684"/>
      <c r="JRW82" s="684"/>
      <c r="JRX82" s="684"/>
      <c r="JRY82" s="684"/>
      <c r="JRZ82" s="684"/>
      <c r="JSA82" s="684"/>
      <c r="JSB82" s="684"/>
      <c r="JSC82" s="684"/>
      <c r="JSD82" s="684"/>
      <c r="JSE82" s="684"/>
      <c r="JSF82" s="684"/>
      <c r="JSG82" s="684"/>
      <c r="JSH82" s="684"/>
      <c r="JSI82" s="684"/>
      <c r="JSJ82" s="684"/>
      <c r="JSK82" s="684"/>
      <c r="JSL82" s="684"/>
      <c r="JSM82" s="684"/>
      <c r="JSN82" s="684"/>
      <c r="JSO82" s="684"/>
      <c r="JSP82" s="684"/>
      <c r="JSQ82" s="684"/>
      <c r="JSR82" s="684"/>
      <c r="JSS82" s="684"/>
      <c r="JST82" s="684"/>
      <c r="JSU82" s="684"/>
      <c r="JSV82" s="684"/>
      <c r="JSW82" s="684"/>
      <c r="JSX82" s="684"/>
      <c r="JSY82" s="684"/>
      <c r="JSZ82" s="684"/>
      <c r="JTA82" s="684"/>
      <c r="JTB82" s="684"/>
      <c r="JTC82" s="684"/>
      <c r="JTD82" s="684"/>
      <c r="JTE82" s="684"/>
      <c r="JTF82" s="684"/>
      <c r="JTG82" s="684"/>
      <c r="JTH82" s="684"/>
      <c r="JTI82" s="684"/>
      <c r="JTJ82" s="684"/>
      <c r="JTK82" s="684"/>
      <c r="JTL82" s="684"/>
      <c r="JTM82" s="684"/>
      <c r="JTN82" s="684"/>
      <c r="JTO82" s="684"/>
      <c r="JTP82" s="684"/>
      <c r="JTQ82" s="684"/>
      <c r="JTR82" s="684"/>
      <c r="JTS82" s="684"/>
      <c r="JTT82" s="684"/>
      <c r="JTU82" s="684"/>
      <c r="JTV82" s="684"/>
      <c r="JTW82" s="684"/>
      <c r="JTX82" s="684"/>
      <c r="JTY82" s="684"/>
      <c r="JTZ82" s="684"/>
      <c r="JUA82" s="684"/>
      <c r="JUB82" s="684"/>
      <c r="JUC82" s="684"/>
      <c r="JUD82" s="684"/>
      <c r="JUE82" s="684"/>
      <c r="JUF82" s="684"/>
      <c r="JUG82" s="684"/>
      <c r="JUH82" s="684"/>
      <c r="JUI82" s="684"/>
      <c r="JUJ82" s="684"/>
      <c r="JUK82" s="684"/>
      <c r="JUL82" s="684"/>
      <c r="JUM82" s="684"/>
      <c r="JUN82" s="684"/>
      <c r="JUO82" s="684"/>
      <c r="JUP82" s="684"/>
      <c r="JUQ82" s="684"/>
      <c r="JUR82" s="684"/>
      <c r="JUS82" s="684"/>
      <c r="JUT82" s="684"/>
      <c r="JUU82" s="684"/>
      <c r="JUV82" s="684"/>
      <c r="JUW82" s="684"/>
      <c r="JUX82" s="684"/>
      <c r="JUY82" s="684"/>
      <c r="JUZ82" s="684"/>
      <c r="JVA82" s="684"/>
      <c r="JVB82" s="684"/>
      <c r="JVC82" s="684"/>
      <c r="JVD82" s="684"/>
      <c r="JVE82" s="684"/>
      <c r="JVF82" s="684"/>
      <c r="JVG82" s="684"/>
      <c r="JVH82" s="684"/>
      <c r="JVI82" s="684"/>
      <c r="JVJ82" s="684"/>
      <c r="JVK82" s="684"/>
      <c r="JVL82" s="684"/>
      <c r="JVM82" s="684"/>
      <c r="JVN82" s="684"/>
      <c r="JVO82" s="684"/>
      <c r="JVP82" s="684"/>
      <c r="JVQ82" s="684"/>
      <c r="JVR82" s="684"/>
      <c r="JVS82" s="684"/>
      <c r="JVT82" s="684"/>
      <c r="JVU82" s="684"/>
      <c r="JVV82" s="684"/>
      <c r="JVW82" s="684"/>
      <c r="JVX82" s="684"/>
      <c r="JVY82" s="684"/>
      <c r="JVZ82" s="684"/>
      <c r="JWA82" s="684"/>
      <c r="JWB82" s="684"/>
      <c r="JWC82" s="684"/>
      <c r="JWD82" s="684"/>
      <c r="JWE82" s="684"/>
      <c r="JWF82" s="684"/>
      <c r="JWG82" s="684"/>
      <c r="JWH82" s="684"/>
      <c r="JWI82" s="684"/>
      <c r="JWJ82" s="684"/>
      <c r="JWK82" s="684"/>
      <c r="JWL82" s="684"/>
      <c r="JWM82" s="684"/>
      <c r="JWN82" s="684"/>
      <c r="JWO82" s="684"/>
      <c r="JWP82" s="684"/>
      <c r="JWQ82" s="684"/>
      <c r="JWR82" s="684"/>
      <c r="JWS82" s="684"/>
      <c r="JWT82" s="684"/>
      <c r="JWU82" s="684"/>
      <c r="JWV82" s="684"/>
      <c r="JWW82" s="684"/>
      <c r="JWX82" s="684"/>
      <c r="JWY82" s="684"/>
      <c r="JWZ82" s="684"/>
      <c r="JXA82" s="684"/>
      <c r="JXB82" s="684"/>
      <c r="JXC82" s="684"/>
      <c r="JXD82" s="684"/>
      <c r="JXE82" s="684"/>
      <c r="JXF82" s="684"/>
      <c r="JXG82" s="684"/>
      <c r="JXH82" s="684"/>
      <c r="JXI82" s="684"/>
      <c r="JXJ82" s="684"/>
      <c r="JXK82" s="684"/>
      <c r="JXL82" s="684"/>
      <c r="JXM82" s="684"/>
      <c r="JXN82" s="684"/>
      <c r="JXO82" s="684"/>
      <c r="JXP82" s="684"/>
      <c r="JXQ82" s="684"/>
      <c r="JXR82" s="684"/>
      <c r="JXS82" s="684"/>
      <c r="JXT82" s="684"/>
      <c r="JXU82" s="684"/>
      <c r="JXV82" s="684"/>
      <c r="JXW82" s="684"/>
      <c r="JXX82" s="684"/>
      <c r="JXY82" s="684"/>
      <c r="JXZ82" s="684"/>
      <c r="JYA82" s="684"/>
      <c r="JYB82" s="684"/>
      <c r="JYC82" s="684"/>
      <c r="JYD82" s="684"/>
      <c r="JYE82" s="684"/>
      <c r="JYF82" s="684"/>
      <c r="JYG82" s="684"/>
      <c r="JYH82" s="684"/>
      <c r="JYI82" s="684"/>
      <c r="JYJ82" s="684"/>
      <c r="JYK82" s="684"/>
      <c r="JYL82" s="684"/>
      <c r="JYM82" s="684"/>
      <c r="JYN82" s="684"/>
      <c r="JYO82" s="684"/>
      <c r="JYP82" s="684"/>
      <c r="JYQ82" s="684"/>
      <c r="JYR82" s="684"/>
      <c r="JYS82" s="684"/>
      <c r="JYT82" s="684"/>
      <c r="JYU82" s="684"/>
      <c r="JYV82" s="684"/>
      <c r="JYW82" s="684"/>
      <c r="JYX82" s="684"/>
      <c r="JYY82" s="684"/>
      <c r="JYZ82" s="684"/>
      <c r="JZA82" s="684"/>
      <c r="JZB82" s="684"/>
      <c r="JZC82" s="684"/>
      <c r="JZD82" s="684"/>
      <c r="JZE82" s="684"/>
      <c r="JZF82" s="684"/>
      <c r="JZG82" s="684"/>
      <c r="JZH82" s="684"/>
      <c r="JZI82" s="684"/>
      <c r="JZJ82" s="684"/>
      <c r="JZK82" s="684"/>
      <c r="JZL82" s="684"/>
      <c r="JZM82" s="684"/>
      <c r="JZN82" s="684"/>
      <c r="JZO82" s="684"/>
      <c r="JZP82" s="684"/>
      <c r="JZQ82" s="684"/>
      <c r="JZR82" s="684"/>
      <c r="JZS82" s="684"/>
      <c r="JZT82" s="684"/>
      <c r="JZU82" s="684"/>
      <c r="JZV82" s="684"/>
      <c r="JZW82" s="684"/>
      <c r="JZX82" s="684"/>
      <c r="JZY82" s="684"/>
      <c r="JZZ82" s="684"/>
      <c r="KAA82" s="684"/>
      <c r="KAB82" s="684"/>
      <c r="KAC82" s="684"/>
      <c r="KAD82" s="684"/>
      <c r="KAE82" s="684"/>
      <c r="KAF82" s="684"/>
      <c r="KAG82" s="684"/>
      <c r="KAH82" s="684"/>
      <c r="KAI82" s="684"/>
      <c r="KAJ82" s="684"/>
      <c r="KAK82" s="684"/>
      <c r="KAL82" s="684"/>
      <c r="KAM82" s="684"/>
      <c r="KAN82" s="684"/>
      <c r="KAO82" s="684"/>
      <c r="KAP82" s="684"/>
      <c r="KAQ82" s="684"/>
      <c r="KAR82" s="684"/>
      <c r="KAS82" s="684"/>
      <c r="KAT82" s="684"/>
      <c r="KAU82" s="684"/>
      <c r="KAV82" s="684"/>
      <c r="KAW82" s="684"/>
      <c r="KAX82" s="684"/>
      <c r="KAY82" s="684"/>
      <c r="KAZ82" s="684"/>
      <c r="KBA82" s="684"/>
      <c r="KBB82" s="684"/>
      <c r="KBC82" s="684"/>
      <c r="KBD82" s="684"/>
      <c r="KBE82" s="684"/>
      <c r="KBF82" s="684"/>
      <c r="KBG82" s="684"/>
      <c r="KBH82" s="684"/>
      <c r="KBI82" s="684"/>
      <c r="KBJ82" s="684"/>
      <c r="KBK82" s="684"/>
      <c r="KBL82" s="684"/>
      <c r="KBM82" s="684"/>
      <c r="KBN82" s="684"/>
      <c r="KBO82" s="684"/>
      <c r="KBP82" s="684"/>
      <c r="KBQ82" s="684"/>
      <c r="KBR82" s="684"/>
      <c r="KBS82" s="684"/>
      <c r="KBT82" s="684"/>
      <c r="KBU82" s="684"/>
      <c r="KBV82" s="684"/>
      <c r="KBW82" s="684"/>
      <c r="KBX82" s="684"/>
      <c r="KBY82" s="684"/>
      <c r="KBZ82" s="684"/>
      <c r="KCA82" s="684"/>
      <c r="KCB82" s="684"/>
      <c r="KCC82" s="684"/>
      <c r="KCD82" s="684"/>
      <c r="KCE82" s="684"/>
      <c r="KCF82" s="684"/>
      <c r="KCG82" s="684"/>
      <c r="KCH82" s="684"/>
      <c r="KCI82" s="684"/>
      <c r="KCJ82" s="684"/>
      <c r="KCK82" s="684"/>
      <c r="KCL82" s="684"/>
      <c r="KCM82" s="684"/>
      <c r="KCN82" s="684"/>
      <c r="KCO82" s="684"/>
      <c r="KCP82" s="684"/>
      <c r="KCQ82" s="684"/>
      <c r="KCR82" s="684"/>
      <c r="KCS82" s="684"/>
      <c r="KCT82" s="684"/>
      <c r="KCU82" s="684"/>
      <c r="KCV82" s="684"/>
      <c r="KCW82" s="684"/>
      <c r="KCX82" s="684"/>
      <c r="KCY82" s="684"/>
      <c r="KCZ82" s="684"/>
      <c r="KDA82" s="684"/>
      <c r="KDB82" s="684"/>
      <c r="KDC82" s="684"/>
      <c r="KDD82" s="684"/>
      <c r="KDE82" s="684"/>
      <c r="KDF82" s="684"/>
      <c r="KDG82" s="684"/>
      <c r="KDH82" s="684"/>
      <c r="KDI82" s="684"/>
      <c r="KDJ82" s="684"/>
      <c r="KDK82" s="684"/>
      <c r="KDL82" s="684"/>
      <c r="KDM82" s="684"/>
      <c r="KDN82" s="684"/>
      <c r="KDO82" s="684"/>
      <c r="KDP82" s="684"/>
      <c r="KDQ82" s="684"/>
      <c r="KDR82" s="684"/>
      <c r="KDS82" s="684"/>
      <c r="KDT82" s="684"/>
      <c r="KDU82" s="684"/>
      <c r="KDV82" s="684"/>
      <c r="KDW82" s="684"/>
      <c r="KDX82" s="684"/>
      <c r="KDY82" s="684"/>
      <c r="KDZ82" s="684"/>
      <c r="KEA82" s="684"/>
      <c r="KEB82" s="684"/>
      <c r="KEC82" s="684"/>
      <c r="KED82" s="684"/>
      <c r="KEE82" s="684"/>
      <c r="KEF82" s="684"/>
      <c r="KEG82" s="684"/>
      <c r="KEH82" s="684"/>
      <c r="KEI82" s="684"/>
      <c r="KEJ82" s="684"/>
      <c r="KEK82" s="684"/>
      <c r="KEL82" s="684"/>
      <c r="KEM82" s="684"/>
      <c r="KEN82" s="684"/>
      <c r="KEO82" s="684"/>
      <c r="KEP82" s="684"/>
      <c r="KEQ82" s="684"/>
      <c r="KER82" s="684"/>
      <c r="KES82" s="684"/>
      <c r="KET82" s="684"/>
      <c r="KEU82" s="684"/>
      <c r="KEV82" s="684"/>
      <c r="KEW82" s="684"/>
      <c r="KEX82" s="684"/>
      <c r="KEY82" s="684"/>
      <c r="KEZ82" s="684"/>
      <c r="KFA82" s="684"/>
      <c r="KFB82" s="684"/>
      <c r="KFC82" s="684"/>
      <c r="KFD82" s="684"/>
      <c r="KFE82" s="684"/>
      <c r="KFF82" s="684"/>
      <c r="KFG82" s="684"/>
      <c r="KFH82" s="684"/>
      <c r="KFI82" s="684"/>
      <c r="KFJ82" s="684"/>
      <c r="KFK82" s="684"/>
      <c r="KFL82" s="684"/>
      <c r="KFM82" s="684"/>
      <c r="KFN82" s="684"/>
      <c r="KFO82" s="684"/>
      <c r="KFP82" s="684"/>
      <c r="KFQ82" s="684"/>
      <c r="KFR82" s="684"/>
      <c r="KFS82" s="684"/>
      <c r="KFT82" s="684"/>
      <c r="KFU82" s="684"/>
      <c r="KFV82" s="684"/>
      <c r="KFW82" s="684"/>
      <c r="KFX82" s="684"/>
      <c r="KFY82" s="684"/>
      <c r="KFZ82" s="684"/>
      <c r="KGA82" s="684"/>
      <c r="KGB82" s="684"/>
      <c r="KGC82" s="684"/>
      <c r="KGD82" s="684"/>
      <c r="KGE82" s="684"/>
      <c r="KGF82" s="684"/>
      <c r="KGG82" s="684"/>
      <c r="KGH82" s="684"/>
      <c r="KGI82" s="684"/>
      <c r="KGJ82" s="684"/>
      <c r="KGK82" s="684"/>
      <c r="KGL82" s="684"/>
      <c r="KGM82" s="684"/>
      <c r="KGN82" s="684"/>
      <c r="KGO82" s="684"/>
      <c r="KGP82" s="684"/>
      <c r="KGQ82" s="684"/>
      <c r="KGR82" s="684"/>
      <c r="KGS82" s="684"/>
      <c r="KGT82" s="684"/>
      <c r="KGU82" s="684"/>
      <c r="KGV82" s="684"/>
      <c r="KGW82" s="684"/>
      <c r="KGX82" s="684"/>
      <c r="KGY82" s="684"/>
      <c r="KGZ82" s="684"/>
      <c r="KHA82" s="684"/>
      <c r="KHB82" s="684"/>
      <c r="KHC82" s="684"/>
      <c r="KHD82" s="684"/>
      <c r="KHE82" s="684"/>
      <c r="KHF82" s="684"/>
      <c r="KHG82" s="684"/>
      <c r="KHH82" s="684"/>
      <c r="KHI82" s="684"/>
      <c r="KHJ82" s="684"/>
      <c r="KHK82" s="684"/>
      <c r="KHL82" s="684"/>
      <c r="KHM82" s="684"/>
      <c r="KHN82" s="684"/>
      <c r="KHO82" s="684"/>
      <c r="KHP82" s="684"/>
      <c r="KHQ82" s="684"/>
      <c r="KHR82" s="684"/>
      <c r="KHS82" s="684"/>
      <c r="KHT82" s="684"/>
      <c r="KHU82" s="684"/>
      <c r="KHV82" s="684"/>
      <c r="KHW82" s="684"/>
      <c r="KHX82" s="684"/>
      <c r="KHY82" s="684"/>
      <c r="KHZ82" s="684"/>
      <c r="KIA82" s="684"/>
      <c r="KIB82" s="684"/>
      <c r="KIC82" s="684"/>
      <c r="KID82" s="684"/>
      <c r="KIE82" s="684"/>
      <c r="KIF82" s="684"/>
      <c r="KIG82" s="684"/>
      <c r="KIH82" s="684"/>
      <c r="KII82" s="684"/>
      <c r="KIJ82" s="684"/>
      <c r="KIK82" s="684"/>
      <c r="KIL82" s="684"/>
      <c r="KIM82" s="684"/>
      <c r="KIN82" s="684"/>
      <c r="KIO82" s="684"/>
      <c r="KIP82" s="684"/>
      <c r="KIQ82" s="684"/>
      <c r="KIR82" s="684"/>
      <c r="KIS82" s="684"/>
      <c r="KIT82" s="684"/>
      <c r="KIU82" s="684"/>
      <c r="KIV82" s="684"/>
      <c r="KIW82" s="684"/>
      <c r="KIX82" s="684"/>
      <c r="KIY82" s="684"/>
      <c r="KIZ82" s="684"/>
      <c r="KJA82" s="684"/>
      <c r="KJB82" s="684"/>
      <c r="KJC82" s="684"/>
      <c r="KJD82" s="684"/>
      <c r="KJE82" s="684"/>
      <c r="KJF82" s="684"/>
      <c r="KJG82" s="684"/>
      <c r="KJH82" s="684"/>
      <c r="KJI82" s="684"/>
      <c r="KJJ82" s="684"/>
      <c r="KJK82" s="684"/>
      <c r="KJL82" s="684"/>
      <c r="KJM82" s="684"/>
      <c r="KJN82" s="684"/>
      <c r="KJO82" s="684"/>
      <c r="KJP82" s="684"/>
      <c r="KJQ82" s="684"/>
      <c r="KJR82" s="684"/>
      <c r="KJS82" s="684"/>
      <c r="KJT82" s="684"/>
      <c r="KJU82" s="684"/>
      <c r="KJV82" s="684"/>
      <c r="KJW82" s="684"/>
      <c r="KJX82" s="684"/>
      <c r="KJY82" s="684"/>
      <c r="KJZ82" s="684"/>
      <c r="KKA82" s="684"/>
      <c r="KKB82" s="684"/>
      <c r="KKC82" s="684"/>
      <c r="KKD82" s="684"/>
      <c r="KKE82" s="684"/>
      <c r="KKF82" s="684"/>
      <c r="KKG82" s="684"/>
      <c r="KKH82" s="684"/>
      <c r="KKI82" s="684"/>
      <c r="KKJ82" s="684"/>
      <c r="KKK82" s="684"/>
      <c r="KKL82" s="684"/>
      <c r="KKM82" s="684"/>
      <c r="KKN82" s="684"/>
      <c r="KKO82" s="684"/>
      <c r="KKP82" s="684"/>
      <c r="KKQ82" s="684"/>
      <c r="KKR82" s="684"/>
      <c r="KKS82" s="684"/>
      <c r="KKT82" s="684"/>
      <c r="KKU82" s="684"/>
      <c r="KKV82" s="684"/>
      <c r="KKW82" s="684"/>
      <c r="KKX82" s="684"/>
      <c r="KKY82" s="684"/>
      <c r="KKZ82" s="684"/>
      <c r="KLA82" s="684"/>
      <c r="KLB82" s="684"/>
      <c r="KLC82" s="684"/>
      <c r="KLD82" s="684"/>
      <c r="KLE82" s="684"/>
      <c r="KLF82" s="684"/>
      <c r="KLG82" s="684"/>
      <c r="KLH82" s="684"/>
      <c r="KLI82" s="684"/>
      <c r="KLJ82" s="684"/>
      <c r="KLK82" s="684"/>
      <c r="KLL82" s="684"/>
      <c r="KLM82" s="684"/>
      <c r="KLN82" s="684"/>
      <c r="KLO82" s="684"/>
      <c r="KLP82" s="684"/>
      <c r="KLQ82" s="684"/>
      <c r="KLR82" s="684"/>
      <c r="KLS82" s="684"/>
      <c r="KLT82" s="684"/>
      <c r="KLU82" s="684"/>
      <c r="KLV82" s="684"/>
      <c r="KLW82" s="684"/>
      <c r="KLX82" s="684"/>
      <c r="KLY82" s="684"/>
      <c r="KLZ82" s="684"/>
      <c r="KMA82" s="684"/>
      <c r="KMB82" s="684"/>
      <c r="KMC82" s="684"/>
      <c r="KMD82" s="684"/>
      <c r="KME82" s="684"/>
      <c r="KMF82" s="684"/>
      <c r="KMG82" s="684"/>
      <c r="KMH82" s="684"/>
      <c r="KMI82" s="684"/>
      <c r="KMJ82" s="684"/>
      <c r="KMK82" s="684"/>
      <c r="KML82" s="684"/>
      <c r="KMM82" s="684"/>
      <c r="KMN82" s="684"/>
      <c r="KMO82" s="684"/>
      <c r="KMP82" s="684"/>
      <c r="KMQ82" s="684"/>
      <c r="KMR82" s="684"/>
      <c r="KMS82" s="684"/>
      <c r="KMT82" s="684"/>
      <c r="KMU82" s="684"/>
      <c r="KMV82" s="684"/>
      <c r="KMW82" s="684"/>
      <c r="KMX82" s="684"/>
      <c r="KMY82" s="684"/>
      <c r="KMZ82" s="684"/>
      <c r="KNA82" s="684"/>
      <c r="KNB82" s="684"/>
      <c r="KNC82" s="684"/>
      <c r="KND82" s="684"/>
      <c r="KNE82" s="684"/>
      <c r="KNF82" s="684"/>
      <c r="KNG82" s="684"/>
      <c r="KNH82" s="684"/>
      <c r="KNI82" s="684"/>
      <c r="KNJ82" s="684"/>
      <c r="KNK82" s="684"/>
      <c r="KNL82" s="684"/>
      <c r="KNM82" s="684"/>
      <c r="KNN82" s="684"/>
      <c r="KNO82" s="684"/>
      <c r="KNP82" s="684"/>
      <c r="KNQ82" s="684"/>
      <c r="KNR82" s="684"/>
      <c r="KNS82" s="684"/>
      <c r="KNT82" s="684"/>
      <c r="KNU82" s="684"/>
      <c r="KNV82" s="684"/>
      <c r="KNW82" s="684"/>
      <c r="KNX82" s="684"/>
      <c r="KNY82" s="684"/>
      <c r="KNZ82" s="684"/>
      <c r="KOA82" s="684"/>
      <c r="KOB82" s="684"/>
      <c r="KOC82" s="684"/>
      <c r="KOD82" s="684"/>
      <c r="KOE82" s="684"/>
      <c r="KOF82" s="684"/>
      <c r="KOG82" s="684"/>
      <c r="KOH82" s="684"/>
      <c r="KOI82" s="684"/>
      <c r="KOJ82" s="684"/>
      <c r="KOK82" s="684"/>
      <c r="KOL82" s="684"/>
      <c r="KOM82" s="684"/>
      <c r="KON82" s="684"/>
      <c r="KOO82" s="684"/>
      <c r="KOP82" s="684"/>
      <c r="KOQ82" s="684"/>
      <c r="KOR82" s="684"/>
      <c r="KOS82" s="684"/>
      <c r="KOT82" s="684"/>
      <c r="KOU82" s="684"/>
      <c r="KOV82" s="684"/>
      <c r="KOW82" s="684"/>
      <c r="KOX82" s="684"/>
      <c r="KOY82" s="684"/>
      <c r="KOZ82" s="684"/>
      <c r="KPA82" s="684"/>
      <c r="KPB82" s="684"/>
      <c r="KPC82" s="684"/>
      <c r="KPD82" s="684"/>
      <c r="KPE82" s="684"/>
      <c r="KPF82" s="684"/>
      <c r="KPG82" s="684"/>
      <c r="KPH82" s="684"/>
      <c r="KPI82" s="684"/>
      <c r="KPJ82" s="684"/>
      <c r="KPK82" s="684"/>
      <c r="KPL82" s="684"/>
      <c r="KPM82" s="684"/>
      <c r="KPN82" s="684"/>
      <c r="KPO82" s="684"/>
      <c r="KPP82" s="684"/>
      <c r="KPQ82" s="684"/>
      <c r="KPR82" s="684"/>
      <c r="KPS82" s="684"/>
      <c r="KPT82" s="684"/>
      <c r="KPU82" s="684"/>
      <c r="KPV82" s="684"/>
      <c r="KPW82" s="684"/>
      <c r="KPX82" s="684"/>
      <c r="KPY82" s="684"/>
      <c r="KPZ82" s="684"/>
      <c r="KQA82" s="684"/>
      <c r="KQB82" s="684"/>
      <c r="KQC82" s="684"/>
      <c r="KQD82" s="684"/>
      <c r="KQE82" s="684"/>
      <c r="KQF82" s="684"/>
      <c r="KQG82" s="684"/>
      <c r="KQH82" s="684"/>
      <c r="KQI82" s="684"/>
      <c r="KQJ82" s="684"/>
      <c r="KQK82" s="684"/>
      <c r="KQL82" s="684"/>
      <c r="KQM82" s="684"/>
      <c r="KQN82" s="684"/>
      <c r="KQO82" s="684"/>
      <c r="KQP82" s="684"/>
      <c r="KQQ82" s="684"/>
      <c r="KQR82" s="684"/>
      <c r="KQS82" s="684"/>
      <c r="KQT82" s="684"/>
      <c r="KQU82" s="684"/>
      <c r="KQV82" s="684"/>
      <c r="KQW82" s="684"/>
      <c r="KQX82" s="684"/>
      <c r="KQY82" s="684"/>
      <c r="KQZ82" s="684"/>
      <c r="KRA82" s="684"/>
      <c r="KRB82" s="684"/>
      <c r="KRC82" s="684"/>
      <c r="KRD82" s="684"/>
      <c r="KRE82" s="684"/>
      <c r="KRF82" s="684"/>
      <c r="KRG82" s="684"/>
      <c r="KRH82" s="684"/>
      <c r="KRI82" s="684"/>
      <c r="KRJ82" s="684"/>
      <c r="KRK82" s="684"/>
      <c r="KRL82" s="684"/>
      <c r="KRM82" s="684"/>
      <c r="KRN82" s="684"/>
      <c r="KRO82" s="684"/>
      <c r="KRP82" s="684"/>
      <c r="KRQ82" s="684"/>
      <c r="KRR82" s="684"/>
      <c r="KRS82" s="684"/>
      <c r="KRT82" s="684"/>
      <c r="KRU82" s="684"/>
      <c r="KRV82" s="684"/>
      <c r="KRW82" s="684"/>
      <c r="KRX82" s="684"/>
      <c r="KRY82" s="684"/>
      <c r="KRZ82" s="684"/>
      <c r="KSA82" s="684"/>
      <c r="KSB82" s="684"/>
      <c r="KSC82" s="684"/>
      <c r="KSD82" s="684"/>
      <c r="KSE82" s="684"/>
      <c r="KSF82" s="684"/>
      <c r="KSG82" s="684"/>
      <c r="KSH82" s="684"/>
      <c r="KSI82" s="684"/>
      <c r="KSJ82" s="684"/>
      <c r="KSK82" s="684"/>
      <c r="KSL82" s="684"/>
      <c r="KSM82" s="684"/>
      <c r="KSN82" s="684"/>
      <c r="KSO82" s="684"/>
      <c r="KSP82" s="684"/>
      <c r="KSQ82" s="684"/>
      <c r="KSR82" s="684"/>
      <c r="KSS82" s="684"/>
      <c r="KST82" s="684"/>
      <c r="KSU82" s="684"/>
      <c r="KSV82" s="684"/>
      <c r="KSW82" s="684"/>
      <c r="KSX82" s="684"/>
      <c r="KSY82" s="684"/>
      <c r="KSZ82" s="684"/>
      <c r="KTA82" s="684"/>
      <c r="KTB82" s="684"/>
      <c r="KTC82" s="684"/>
      <c r="KTD82" s="684"/>
      <c r="KTE82" s="684"/>
      <c r="KTF82" s="684"/>
      <c r="KTG82" s="684"/>
      <c r="KTH82" s="684"/>
      <c r="KTI82" s="684"/>
      <c r="KTJ82" s="684"/>
      <c r="KTK82" s="684"/>
      <c r="KTL82" s="684"/>
      <c r="KTM82" s="684"/>
      <c r="KTN82" s="684"/>
      <c r="KTO82" s="684"/>
      <c r="KTP82" s="684"/>
      <c r="KTQ82" s="684"/>
      <c r="KTR82" s="684"/>
      <c r="KTS82" s="684"/>
      <c r="KTT82" s="684"/>
      <c r="KTU82" s="684"/>
      <c r="KTV82" s="684"/>
      <c r="KTW82" s="684"/>
      <c r="KTX82" s="684"/>
      <c r="KTY82" s="684"/>
      <c r="KTZ82" s="684"/>
      <c r="KUA82" s="684"/>
      <c r="KUB82" s="684"/>
      <c r="KUC82" s="684"/>
      <c r="KUD82" s="684"/>
      <c r="KUE82" s="684"/>
      <c r="KUF82" s="684"/>
      <c r="KUG82" s="684"/>
      <c r="KUH82" s="684"/>
      <c r="KUI82" s="684"/>
      <c r="KUJ82" s="684"/>
      <c r="KUK82" s="684"/>
      <c r="KUL82" s="684"/>
      <c r="KUM82" s="684"/>
      <c r="KUN82" s="684"/>
      <c r="KUO82" s="684"/>
      <c r="KUP82" s="684"/>
      <c r="KUQ82" s="684"/>
      <c r="KUR82" s="684"/>
      <c r="KUS82" s="684"/>
      <c r="KUT82" s="684"/>
      <c r="KUU82" s="684"/>
      <c r="KUV82" s="684"/>
      <c r="KUW82" s="684"/>
      <c r="KUX82" s="684"/>
      <c r="KUY82" s="684"/>
      <c r="KUZ82" s="684"/>
      <c r="KVA82" s="684"/>
      <c r="KVB82" s="684"/>
      <c r="KVC82" s="684"/>
      <c r="KVD82" s="684"/>
      <c r="KVE82" s="684"/>
      <c r="KVF82" s="684"/>
      <c r="KVG82" s="684"/>
      <c r="KVH82" s="684"/>
      <c r="KVI82" s="684"/>
      <c r="KVJ82" s="684"/>
      <c r="KVK82" s="684"/>
      <c r="KVL82" s="684"/>
      <c r="KVM82" s="684"/>
      <c r="KVN82" s="684"/>
      <c r="KVO82" s="684"/>
      <c r="KVP82" s="684"/>
      <c r="KVQ82" s="684"/>
      <c r="KVR82" s="684"/>
      <c r="KVS82" s="684"/>
      <c r="KVT82" s="684"/>
      <c r="KVU82" s="684"/>
      <c r="KVV82" s="684"/>
      <c r="KVW82" s="684"/>
      <c r="KVX82" s="684"/>
      <c r="KVY82" s="684"/>
      <c r="KVZ82" s="684"/>
      <c r="KWA82" s="684"/>
      <c r="KWB82" s="684"/>
      <c r="KWC82" s="684"/>
      <c r="KWD82" s="684"/>
      <c r="KWE82" s="684"/>
      <c r="KWF82" s="684"/>
      <c r="KWG82" s="684"/>
      <c r="KWH82" s="684"/>
      <c r="KWI82" s="684"/>
      <c r="KWJ82" s="684"/>
      <c r="KWK82" s="684"/>
      <c r="KWL82" s="684"/>
      <c r="KWM82" s="684"/>
      <c r="KWN82" s="684"/>
      <c r="KWO82" s="684"/>
      <c r="KWP82" s="684"/>
      <c r="KWQ82" s="684"/>
      <c r="KWR82" s="684"/>
      <c r="KWS82" s="684"/>
      <c r="KWT82" s="684"/>
      <c r="KWU82" s="684"/>
      <c r="KWV82" s="684"/>
      <c r="KWW82" s="684"/>
      <c r="KWX82" s="684"/>
      <c r="KWY82" s="684"/>
      <c r="KWZ82" s="684"/>
      <c r="KXA82" s="684"/>
      <c r="KXB82" s="684"/>
      <c r="KXC82" s="684"/>
      <c r="KXD82" s="684"/>
      <c r="KXE82" s="684"/>
      <c r="KXF82" s="684"/>
      <c r="KXG82" s="684"/>
      <c r="KXH82" s="684"/>
      <c r="KXI82" s="684"/>
      <c r="KXJ82" s="684"/>
      <c r="KXK82" s="684"/>
      <c r="KXL82" s="684"/>
      <c r="KXM82" s="684"/>
      <c r="KXN82" s="684"/>
      <c r="KXO82" s="684"/>
      <c r="KXP82" s="684"/>
      <c r="KXQ82" s="684"/>
      <c r="KXR82" s="684"/>
      <c r="KXS82" s="684"/>
      <c r="KXT82" s="684"/>
      <c r="KXU82" s="684"/>
      <c r="KXV82" s="684"/>
      <c r="KXW82" s="684"/>
      <c r="KXX82" s="684"/>
      <c r="KXY82" s="684"/>
      <c r="KXZ82" s="684"/>
      <c r="KYA82" s="684"/>
      <c r="KYB82" s="684"/>
      <c r="KYC82" s="684"/>
      <c r="KYD82" s="684"/>
      <c r="KYE82" s="684"/>
      <c r="KYF82" s="684"/>
      <c r="KYG82" s="684"/>
      <c r="KYH82" s="684"/>
      <c r="KYI82" s="684"/>
      <c r="KYJ82" s="684"/>
      <c r="KYK82" s="684"/>
      <c r="KYL82" s="684"/>
      <c r="KYM82" s="684"/>
      <c r="KYN82" s="684"/>
      <c r="KYO82" s="684"/>
      <c r="KYP82" s="684"/>
      <c r="KYQ82" s="684"/>
      <c r="KYR82" s="684"/>
      <c r="KYS82" s="684"/>
      <c r="KYT82" s="684"/>
      <c r="KYU82" s="684"/>
      <c r="KYV82" s="684"/>
      <c r="KYW82" s="684"/>
      <c r="KYX82" s="684"/>
      <c r="KYY82" s="684"/>
      <c r="KYZ82" s="684"/>
      <c r="KZA82" s="684"/>
      <c r="KZB82" s="684"/>
      <c r="KZC82" s="684"/>
      <c r="KZD82" s="684"/>
      <c r="KZE82" s="684"/>
      <c r="KZF82" s="684"/>
      <c r="KZG82" s="684"/>
      <c r="KZH82" s="684"/>
      <c r="KZI82" s="684"/>
      <c r="KZJ82" s="684"/>
      <c r="KZK82" s="684"/>
      <c r="KZL82" s="684"/>
      <c r="KZM82" s="684"/>
      <c r="KZN82" s="684"/>
      <c r="KZO82" s="684"/>
      <c r="KZP82" s="684"/>
      <c r="KZQ82" s="684"/>
      <c r="KZR82" s="684"/>
      <c r="KZS82" s="684"/>
      <c r="KZT82" s="684"/>
      <c r="KZU82" s="684"/>
      <c r="KZV82" s="684"/>
      <c r="KZW82" s="684"/>
      <c r="KZX82" s="684"/>
      <c r="KZY82" s="684"/>
      <c r="KZZ82" s="684"/>
      <c r="LAA82" s="684"/>
      <c r="LAB82" s="684"/>
      <c r="LAC82" s="684"/>
      <c r="LAD82" s="684"/>
      <c r="LAE82" s="684"/>
      <c r="LAF82" s="684"/>
      <c r="LAG82" s="684"/>
      <c r="LAH82" s="684"/>
      <c r="LAI82" s="684"/>
      <c r="LAJ82" s="684"/>
      <c r="LAK82" s="684"/>
      <c r="LAL82" s="684"/>
      <c r="LAM82" s="684"/>
      <c r="LAN82" s="684"/>
      <c r="LAO82" s="684"/>
      <c r="LAP82" s="684"/>
      <c r="LAQ82" s="684"/>
      <c r="LAR82" s="684"/>
      <c r="LAS82" s="684"/>
      <c r="LAT82" s="684"/>
      <c r="LAU82" s="684"/>
      <c r="LAV82" s="684"/>
      <c r="LAW82" s="684"/>
      <c r="LAX82" s="684"/>
      <c r="LAY82" s="684"/>
      <c r="LAZ82" s="684"/>
      <c r="LBA82" s="684"/>
      <c r="LBB82" s="684"/>
      <c r="LBC82" s="684"/>
      <c r="LBD82" s="684"/>
      <c r="LBE82" s="684"/>
      <c r="LBF82" s="684"/>
      <c r="LBG82" s="684"/>
      <c r="LBH82" s="684"/>
      <c r="LBI82" s="684"/>
      <c r="LBJ82" s="684"/>
      <c r="LBK82" s="684"/>
      <c r="LBL82" s="684"/>
      <c r="LBM82" s="684"/>
      <c r="LBN82" s="684"/>
      <c r="LBO82" s="684"/>
      <c r="LBP82" s="684"/>
      <c r="LBQ82" s="684"/>
      <c r="LBR82" s="684"/>
      <c r="LBS82" s="684"/>
      <c r="LBT82" s="684"/>
      <c r="LBU82" s="684"/>
      <c r="LBV82" s="684"/>
      <c r="LBW82" s="684"/>
      <c r="LBX82" s="684"/>
      <c r="LBY82" s="684"/>
      <c r="LBZ82" s="684"/>
      <c r="LCA82" s="684"/>
      <c r="LCB82" s="684"/>
      <c r="LCC82" s="684"/>
      <c r="LCD82" s="684"/>
      <c r="LCE82" s="684"/>
      <c r="LCF82" s="684"/>
      <c r="LCG82" s="684"/>
      <c r="LCH82" s="684"/>
      <c r="LCI82" s="684"/>
      <c r="LCJ82" s="684"/>
      <c r="LCK82" s="684"/>
      <c r="LCL82" s="684"/>
      <c r="LCM82" s="684"/>
      <c r="LCN82" s="684"/>
      <c r="LCO82" s="684"/>
      <c r="LCP82" s="684"/>
      <c r="LCQ82" s="684"/>
      <c r="LCR82" s="684"/>
      <c r="LCS82" s="684"/>
      <c r="LCT82" s="684"/>
      <c r="LCU82" s="684"/>
      <c r="LCV82" s="684"/>
      <c r="LCW82" s="684"/>
      <c r="LCX82" s="684"/>
      <c r="LCY82" s="684"/>
      <c r="LCZ82" s="684"/>
      <c r="LDA82" s="684"/>
      <c r="LDB82" s="684"/>
      <c r="LDC82" s="684"/>
      <c r="LDD82" s="684"/>
      <c r="LDE82" s="684"/>
      <c r="LDF82" s="684"/>
      <c r="LDG82" s="684"/>
      <c r="LDH82" s="684"/>
      <c r="LDI82" s="684"/>
      <c r="LDJ82" s="684"/>
      <c r="LDK82" s="684"/>
      <c r="LDL82" s="684"/>
      <c r="LDM82" s="684"/>
      <c r="LDN82" s="684"/>
      <c r="LDO82" s="684"/>
      <c r="LDP82" s="684"/>
      <c r="LDQ82" s="684"/>
      <c r="LDR82" s="684"/>
      <c r="LDS82" s="684"/>
      <c r="LDT82" s="684"/>
      <c r="LDU82" s="684"/>
      <c r="LDV82" s="684"/>
      <c r="LDW82" s="684"/>
      <c r="LDX82" s="684"/>
      <c r="LDY82" s="684"/>
      <c r="LDZ82" s="684"/>
      <c r="LEA82" s="684"/>
      <c r="LEB82" s="684"/>
      <c r="LEC82" s="684"/>
      <c r="LED82" s="684"/>
      <c r="LEE82" s="684"/>
      <c r="LEF82" s="684"/>
      <c r="LEG82" s="684"/>
      <c r="LEH82" s="684"/>
      <c r="LEI82" s="684"/>
      <c r="LEJ82" s="684"/>
      <c r="LEK82" s="684"/>
      <c r="LEL82" s="684"/>
      <c r="LEM82" s="684"/>
      <c r="LEN82" s="684"/>
      <c r="LEO82" s="684"/>
      <c r="LEP82" s="684"/>
      <c r="LEQ82" s="684"/>
      <c r="LER82" s="684"/>
      <c r="LES82" s="684"/>
      <c r="LET82" s="684"/>
      <c r="LEU82" s="684"/>
      <c r="LEV82" s="684"/>
      <c r="LEW82" s="684"/>
      <c r="LEX82" s="684"/>
      <c r="LEY82" s="684"/>
      <c r="LEZ82" s="684"/>
      <c r="LFA82" s="684"/>
      <c r="LFB82" s="684"/>
      <c r="LFC82" s="684"/>
      <c r="LFD82" s="684"/>
      <c r="LFE82" s="684"/>
      <c r="LFF82" s="684"/>
      <c r="LFG82" s="684"/>
      <c r="LFH82" s="684"/>
      <c r="LFI82" s="684"/>
      <c r="LFJ82" s="684"/>
      <c r="LFK82" s="684"/>
      <c r="LFL82" s="684"/>
      <c r="LFM82" s="684"/>
      <c r="LFN82" s="684"/>
      <c r="LFO82" s="684"/>
      <c r="LFP82" s="684"/>
      <c r="LFQ82" s="684"/>
      <c r="LFR82" s="684"/>
      <c r="LFS82" s="684"/>
      <c r="LFT82" s="684"/>
      <c r="LFU82" s="684"/>
      <c r="LFV82" s="684"/>
      <c r="LFW82" s="684"/>
      <c r="LFX82" s="684"/>
      <c r="LFY82" s="684"/>
      <c r="LFZ82" s="684"/>
      <c r="LGA82" s="684"/>
      <c r="LGB82" s="684"/>
      <c r="LGC82" s="684"/>
      <c r="LGD82" s="684"/>
      <c r="LGE82" s="684"/>
      <c r="LGF82" s="684"/>
      <c r="LGG82" s="684"/>
      <c r="LGH82" s="684"/>
      <c r="LGI82" s="684"/>
      <c r="LGJ82" s="684"/>
      <c r="LGK82" s="684"/>
      <c r="LGL82" s="684"/>
      <c r="LGM82" s="684"/>
      <c r="LGN82" s="684"/>
      <c r="LGO82" s="684"/>
      <c r="LGP82" s="684"/>
      <c r="LGQ82" s="684"/>
      <c r="LGR82" s="684"/>
      <c r="LGS82" s="684"/>
      <c r="LGT82" s="684"/>
      <c r="LGU82" s="684"/>
      <c r="LGV82" s="684"/>
      <c r="LGW82" s="684"/>
      <c r="LGX82" s="684"/>
      <c r="LGY82" s="684"/>
      <c r="LGZ82" s="684"/>
      <c r="LHA82" s="684"/>
      <c r="LHB82" s="684"/>
      <c r="LHC82" s="684"/>
      <c r="LHD82" s="684"/>
      <c r="LHE82" s="684"/>
      <c r="LHF82" s="684"/>
      <c r="LHG82" s="684"/>
      <c r="LHH82" s="684"/>
      <c r="LHI82" s="684"/>
      <c r="LHJ82" s="684"/>
      <c r="LHK82" s="684"/>
      <c r="LHL82" s="684"/>
      <c r="LHM82" s="684"/>
      <c r="LHN82" s="684"/>
      <c r="LHO82" s="684"/>
      <c r="LHP82" s="684"/>
      <c r="LHQ82" s="684"/>
      <c r="LHR82" s="684"/>
      <c r="LHS82" s="684"/>
      <c r="LHT82" s="684"/>
      <c r="LHU82" s="684"/>
      <c r="LHV82" s="684"/>
      <c r="LHW82" s="684"/>
      <c r="LHX82" s="684"/>
      <c r="LHY82" s="684"/>
      <c r="LHZ82" s="684"/>
      <c r="LIA82" s="684"/>
      <c r="LIB82" s="684"/>
      <c r="LIC82" s="684"/>
      <c r="LID82" s="684"/>
      <c r="LIE82" s="684"/>
      <c r="LIF82" s="684"/>
      <c r="LIG82" s="684"/>
      <c r="LIH82" s="684"/>
      <c r="LII82" s="684"/>
      <c r="LIJ82" s="684"/>
      <c r="LIK82" s="684"/>
      <c r="LIL82" s="684"/>
      <c r="LIM82" s="684"/>
      <c r="LIN82" s="684"/>
      <c r="LIO82" s="684"/>
      <c r="LIP82" s="684"/>
      <c r="LIQ82" s="684"/>
      <c r="LIR82" s="684"/>
      <c r="LIS82" s="684"/>
      <c r="LIT82" s="684"/>
      <c r="LIU82" s="684"/>
      <c r="LIV82" s="684"/>
      <c r="LIW82" s="684"/>
      <c r="LIX82" s="684"/>
      <c r="LIY82" s="684"/>
      <c r="LIZ82" s="684"/>
      <c r="LJA82" s="684"/>
      <c r="LJB82" s="684"/>
      <c r="LJC82" s="684"/>
      <c r="LJD82" s="684"/>
      <c r="LJE82" s="684"/>
      <c r="LJF82" s="684"/>
      <c r="LJG82" s="684"/>
      <c r="LJH82" s="684"/>
      <c r="LJI82" s="684"/>
      <c r="LJJ82" s="684"/>
      <c r="LJK82" s="684"/>
      <c r="LJL82" s="684"/>
      <c r="LJM82" s="684"/>
      <c r="LJN82" s="684"/>
      <c r="LJO82" s="684"/>
      <c r="LJP82" s="684"/>
      <c r="LJQ82" s="684"/>
      <c r="LJR82" s="684"/>
      <c r="LJS82" s="684"/>
      <c r="LJT82" s="684"/>
      <c r="LJU82" s="684"/>
      <c r="LJV82" s="684"/>
      <c r="LJW82" s="684"/>
      <c r="LJX82" s="684"/>
      <c r="LJY82" s="684"/>
      <c r="LJZ82" s="684"/>
      <c r="LKA82" s="684"/>
      <c r="LKB82" s="684"/>
      <c r="LKC82" s="684"/>
      <c r="LKD82" s="684"/>
      <c r="LKE82" s="684"/>
      <c r="LKF82" s="684"/>
      <c r="LKG82" s="684"/>
      <c r="LKH82" s="684"/>
      <c r="LKI82" s="684"/>
      <c r="LKJ82" s="684"/>
      <c r="LKK82" s="684"/>
      <c r="LKL82" s="684"/>
      <c r="LKM82" s="684"/>
      <c r="LKN82" s="684"/>
      <c r="LKO82" s="684"/>
      <c r="LKP82" s="684"/>
      <c r="LKQ82" s="684"/>
      <c r="LKR82" s="684"/>
      <c r="LKS82" s="684"/>
      <c r="LKT82" s="684"/>
      <c r="LKU82" s="684"/>
      <c r="LKV82" s="684"/>
      <c r="LKW82" s="684"/>
      <c r="LKX82" s="684"/>
      <c r="LKY82" s="684"/>
      <c r="LKZ82" s="684"/>
      <c r="LLA82" s="684"/>
      <c r="LLB82" s="684"/>
      <c r="LLC82" s="684"/>
      <c r="LLD82" s="684"/>
      <c r="LLE82" s="684"/>
      <c r="LLF82" s="684"/>
      <c r="LLG82" s="684"/>
      <c r="LLH82" s="684"/>
      <c r="LLI82" s="684"/>
      <c r="LLJ82" s="684"/>
      <c r="LLK82" s="684"/>
      <c r="LLL82" s="684"/>
      <c r="LLM82" s="684"/>
      <c r="LLN82" s="684"/>
      <c r="LLO82" s="684"/>
      <c r="LLP82" s="684"/>
      <c r="LLQ82" s="684"/>
      <c r="LLR82" s="684"/>
      <c r="LLS82" s="684"/>
      <c r="LLT82" s="684"/>
      <c r="LLU82" s="684"/>
      <c r="LLV82" s="684"/>
      <c r="LLW82" s="684"/>
      <c r="LLX82" s="684"/>
      <c r="LLY82" s="684"/>
      <c r="LLZ82" s="684"/>
      <c r="LMA82" s="684"/>
      <c r="LMB82" s="684"/>
      <c r="LMC82" s="684"/>
      <c r="LMD82" s="684"/>
      <c r="LME82" s="684"/>
      <c r="LMF82" s="684"/>
      <c r="LMG82" s="684"/>
      <c r="LMH82" s="684"/>
      <c r="LMI82" s="684"/>
      <c r="LMJ82" s="684"/>
      <c r="LMK82" s="684"/>
      <c r="LML82" s="684"/>
      <c r="LMM82" s="684"/>
      <c r="LMN82" s="684"/>
      <c r="LMO82" s="684"/>
      <c r="LMP82" s="684"/>
      <c r="LMQ82" s="684"/>
      <c r="LMR82" s="684"/>
      <c r="LMS82" s="684"/>
      <c r="LMT82" s="684"/>
      <c r="LMU82" s="684"/>
      <c r="LMV82" s="684"/>
      <c r="LMW82" s="684"/>
      <c r="LMX82" s="684"/>
      <c r="LMY82" s="684"/>
      <c r="LMZ82" s="684"/>
      <c r="LNA82" s="684"/>
      <c r="LNB82" s="684"/>
      <c r="LNC82" s="684"/>
      <c r="LND82" s="684"/>
      <c r="LNE82" s="684"/>
      <c r="LNF82" s="684"/>
      <c r="LNG82" s="684"/>
      <c r="LNH82" s="684"/>
      <c r="LNI82" s="684"/>
      <c r="LNJ82" s="684"/>
      <c r="LNK82" s="684"/>
      <c r="LNL82" s="684"/>
      <c r="LNM82" s="684"/>
      <c r="LNN82" s="684"/>
      <c r="LNO82" s="684"/>
      <c r="LNP82" s="684"/>
      <c r="LNQ82" s="684"/>
      <c r="LNR82" s="684"/>
      <c r="LNS82" s="684"/>
      <c r="LNT82" s="684"/>
      <c r="LNU82" s="684"/>
      <c r="LNV82" s="684"/>
      <c r="LNW82" s="684"/>
      <c r="LNX82" s="684"/>
      <c r="LNY82" s="684"/>
      <c r="LNZ82" s="684"/>
      <c r="LOA82" s="684"/>
      <c r="LOB82" s="684"/>
      <c r="LOC82" s="684"/>
      <c r="LOD82" s="684"/>
      <c r="LOE82" s="684"/>
      <c r="LOF82" s="684"/>
      <c r="LOG82" s="684"/>
      <c r="LOH82" s="684"/>
      <c r="LOI82" s="684"/>
      <c r="LOJ82" s="684"/>
      <c r="LOK82" s="684"/>
      <c r="LOL82" s="684"/>
      <c r="LOM82" s="684"/>
      <c r="LON82" s="684"/>
      <c r="LOO82" s="684"/>
      <c r="LOP82" s="684"/>
      <c r="LOQ82" s="684"/>
      <c r="LOR82" s="684"/>
      <c r="LOS82" s="684"/>
      <c r="LOT82" s="684"/>
      <c r="LOU82" s="684"/>
      <c r="LOV82" s="684"/>
      <c r="LOW82" s="684"/>
      <c r="LOX82" s="684"/>
      <c r="LOY82" s="684"/>
      <c r="LOZ82" s="684"/>
      <c r="LPA82" s="684"/>
      <c r="LPB82" s="684"/>
      <c r="LPC82" s="684"/>
      <c r="LPD82" s="684"/>
      <c r="LPE82" s="684"/>
      <c r="LPF82" s="684"/>
      <c r="LPG82" s="684"/>
      <c r="LPH82" s="684"/>
      <c r="LPI82" s="684"/>
      <c r="LPJ82" s="684"/>
      <c r="LPK82" s="684"/>
      <c r="LPL82" s="684"/>
      <c r="LPM82" s="684"/>
      <c r="LPN82" s="684"/>
      <c r="LPO82" s="684"/>
      <c r="LPP82" s="684"/>
      <c r="LPQ82" s="684"/>
      <c r="LPR82" s="684"/>
      <c r="LPS82" s="684"/>
      <c r="LPT82" s="684"/>
      <c r="LPU82" s="684"/>
      <c r="LPV82" s="684"/>
      <c r="LPW82" s="684"/>
      <c r="LPX82" s="684"/>
      <c r="LPY82" s="684"/>
      <c r="LPZ82" s="684"/>
      <c r="LQA82" s="684"/>
      <c r="LQB82" s="684"/>
      <c r="LQC82" s="684"/>
      <c r="LQD82" s="684"/>
      <c r="LQE82" s="684"/>
      <c r="LQF82" s="684"/>
      <c r="LQG82" s="684"/>
      <c r="LQH82" s="684"/>
      <c r="LQI82" s="684"/>
      <c r="LQJ82" s="684"/>
      <c r="LQK82" s="684"/>
      <c r="LQL82" s="684"/>
      <c r="LQM82" s="684"/>
      <c r="LQN82" s="684"/>
      <c r="LQO82" s="684"/>
      <c r="LQP82" s="684"/>
      <c r="LQQ82" s="684"/>
      <c r="LQR82" s="684"/>
      <c r="LQS82" s="684"/>
      <c r="LQT82" s="684"/>
      <c r="LQU82" s="684"/>
      <c r="LQV82" s="684"/>
      <c r="LQW82" s="684"/>
      <c r="LQX82" s="684"/>
      <c r="LQY82" s="684"/>
      <c r="LQZ82" s="684"/>
      <c r="LRA82" s="684"/>
      <c r="LRB82" s="684"/>
      <c r="LRC82" s="684"/>
      <c r="LRD82" s="684"/>
      <c r="LRE82" s="684"/>
      <c r="LRF82" s="684"/>
      <c r="LRG82" s="684"/>
      <c r="LRH82" s="684"/>
      <c r="LRI82" s="684"/>
      <c r="LRJ82" s="684"/>
      <c r="LRK82" s="684"/>
      <c r="LRL82" s="684"/>
      <c r="LRM82" s="684"/>
      <c r="LRN82" s="684"/>
      <c r="LRO82" s="684"/>
      <c r="LRP82" s="684"/>
      <c r="LRQ82" s="684"/>
      <c r="LRR82" s="684"/>
      <c r="LRS82" s="684"/>
      <c r="LRT82" s="684"/>
      <c r="LRU82" s="684"/>
      <c r="LRV82" s="684"/>
      <c r="LRW82" s="684"/>
      <c r="LRX82" s="684"/>
      <c r="LRY82" s="684"/>
      <c r="LRZ82" s="684"/>
      <c r="LSA82" s="684"/>
      <c r="LSB82" s="684"/>
      <c r="LSC82" s="684"/>
      <c r="LSD82" s="684"/>
      <c r="LSE82" s="684"/>
      <c r="LSF82" s="684"/>
      <c r="LSG82" s="684"/>
      <c r="LSH82" s="684"/>
      <c r="LSI82" s="684"/>
      <c r="LSJ82" s="684"/>
      <c r="LSK82" s="684"/>
      <c r="LSL82" s="684"/>
      <c r="LSM82" s="684"/>
      <c r="LSN82" s="684"/>
      <c r="LSO82" s="684"/>
      <c r="LSP82" s="684"/>
      <c r="LSQ82" s="684"/>
      <c r="LSR82" s="684"/>
      <c r="LSS82" s="684"/>
      <c r="LST82" s="684"/>
      <c r="LSU82" s="684"/>
      <c r="LSV82" s="684"/>
      <c r="LSW82" s="684"/>
      <c r="LSX82" s="684"/>
      <c r="LSY82" s="684"/>
      <c r="LSZ82" s="684"/>
      <c r="LTA82" s="684"/>
      <c r="LTB82" s="684"/>
      <c r="LTC82" s="684"/>
      <c r="LTD82" s="684"/>
      <c r="LTE82" s="684"/>
      <c r="LTF82" s="684"/>
      <c r="LTG82" s="684"/>
      <c r="LTH82" s="684"/>
      <c r="LTI82" s="684"/>
      <c r="LTJ82" s="684"/>
      <c r="LTK82" s="684"/>
      <c r="LTL82" s="684"/>
      <c r="LTM82" s="684"/>
      <c r="LTN82" s="684"/>
      <c r="LTO82" s="684"/>
      <c r="LTP82" s="684"/>
      <c r="LTQ82" s="684"/>
      <c r="LTR82" s="684"/>
      <c r="LTS82" s="684"/>
      <c r="LTT82" s="684"/>
      <c r="LTU82" s="684"/>
      <c r="LTV82" s="684"/>
      <c r="LTW82" s="684"/>
      <c r="LTX82" s="684"/>
      <c r="LTY82" s="684"/>
      <c r="LTZ82" s="684"/>
      <c r="LUA82" s="684"/>
      <c r="LUB82" s="684"/>
      <c r="LUC82" s="684"/>
      <c r="LUD82" s="684"/>
      <c r="LUE82" s="684"/>
      <c r="LUF82" s="684"/>
      <c r="LUG82" s="684"/>
      <c r="LUH82" s="684"/>
      <c r="LUI82" s="684"/>
      <c r="LUJ82" s="684"/>
      <c r="LUK82" s="684"/>
      <c r="LUL82" s="684"/>
      <c r="LUM82" s="684"/>
      <c r="LUN82" s="684"/>
      <c r="LUO82" s="684"/>
      <c r="LUP82" s="684"/>
      <c r="LUQ82" s="684"/>
      <c r="LUR82" s="684"/>
      <c r="LUS82" s="684"/>
      <c r="LUT82" s="684"/>
      <c r="LUU82" s="684"/>
      <c r="LUV82" s="684"/>
      <c r="LUW82" s="684"/>
      <c r="LUX82" s="684"/>
      <c r="LUY82" s="684"/>
      <c r="LUZ82" s="684"/>
      <c r="LVA82" s="684"/>
      <c r="LVB82" s="684"/>
      <c r="LVC82" s="684"/>
      <c r="LVD82" s="684"/>
      <c r="LVE82" s="684"/>
      <c r="LVF82" s="684"/>
      <c r="LVG82" s="684"/>
      <c r="LVH82" s="684"/>
      <c r="LVI82" s="684"/>
      <c r="LVJ82" s="684"/>
      <c r="LVK82" s="684"/>
      <c r="LVL82" s="684"/>
      <c r="LVM82" s="684"/>
      <c r="LVN82" s="684"/>
      <c r="LVO82" s="684"/>
      <c r="LVP82" s="684"/>
      <c r="LVQ82" s="684"/>
      <c r="LVR82" s="684"/>
      <c r="LVS82" s="684"/>
      <c r="LVT82" s="684"/>
      <c r="LVU82" s="684"/>
      <c r="LVV82" s="684"/>
      <c r="LVW82" s="684"/>
      <c r="LVX82" s="684"/>
      <c r="LVY82" s="684"/>
      <c r="LVZ82" s="684"/>
      <c r="LWA82" s="684"/>
      <c r="LWB82" s="684"/>
      <c r="LWC82" s="684"/>
      <c r="LWD82" s="684"/>
      <c r="LWE82" s="684"/>
      <c r="LWF82" s="684"/>
      <c r="LWG82" s="684"/>
      <c r="LWH82" s="684"/>
      <c r="LWI82" s="684"/>
      <c r="LWJ82" s="684"/>
      <c r="LWK82" s="684"/>
      <c r="LWL82" s="684"/>
      <c r="LWM82" s="684"/>
      <c r="LWN82" s="684"/>
      <c r="LWO82" s="684"/>
      <c r="LWP82" s="684"/>
      <c r="LWQ82" s="684"/>
      <c r="LWR82" s="684"/>
      <c r="LWS82" s="684"/>
      <c r="LWT82" s="684"/>
      <c r="LWU82" s="684"/>
      <c r="LWV82" s="684"/>
      <c r="LWW82" s="684"/>
      <c r="LWX82" s="684"/>
      <c r="LWY82" s="684"/>
      <c r="LWZ82" s="684"/>
      <c r="LXA82" s="684"/>
      <c r="LXB82" s="684"/>
      <c r="LXC82" s="684"/>
      <c r="LXD82" s="684"/>
      <c r="LXE82" s="684"/>
      <c r="LXF82" s="684"/>
      <c r="LXG82" s="684"/>
      <c r="LXH82" s="684"/>
      <c r="LXI82" s="684"/>
      <c r="LXJ82" s="684"/>
      <c r="LXK82" s="684"/>
      <c r="LXL82" s="684"/>
      <c r="LXM82" s="684"/>
      <c r="LXN82" s="684"/>
      <c r="LXO82" s="684"/>
      <c r="LXP82" s="684"/>
      <c r="LXQ82" s="684"/>
      <c r="LXR82" s="684"/>
      <c r="LXS82" s="684"/>
      <c r="LXT82" s="684"/>
      <c r="LXU82" s="684"/>
      <c r="LXV82" s="684"/>
      <c r="LXW82" s="684"/>
      <c r="LXX82" s="684"/>
      <c r="LXY82" s="684"/>
      <c r="LXZ82" s="684"/>
      <c r="LYA82" s="684"/>
      <c r="LYB82" s="684"/>
      <c r="LYC82" s="684"/>
      <c r="LYD82" s="684"/>
      <c r="LYE82" s="684"/>
      <c r="LYF82" s="684"/>
      <c r="LYG82" s="684"/>
      <c r="LYH82" s="684"/>
      <c r="LYI82" s="684"/>
      <c r="LYJ82" s="684"/>
      <c r="LYK82" s="684"/>
      <c r="LYL82" s="684"/>
      <c r="LYM82" s="684"/>
      <c r="LYN82" s="684"/>
      <c r="LYO82" s="684"/>
      <c r="LYP82" s="684"/>
      <c r="LYQ82" s="684"/>
      <c r="LYR82" s="684"/>
      <c r="LYS82" s="684"/>
      <c r="LYT82" s="684"/>
      <c r="LYU82" s="684"/>
      <c r="LYV82" s="684"/>
      <c r="LYW82" s="684"/>
      <c r="LYX82" s="684"/>
      <c r="LYY82" s="684"/>
      <c r="LYZ82" s="684"/>
      <c r="LZA82" s="684"/>
      <c r="LZB82" s="684"/>
      <c r="LZC82" s="684"/>
      <c r="LZD82" s="684"/>
      <c r="LZE82" s="684"/>
      <c r="LZF82" s="684"/>
      <c r="LZG82" s="684"/>
      <c r="LZH82" s="684"/>
      <c r="LZI82" s="684"/>
      <c r="LZJ82" s="684"/>
      <c r="LZK82" s="684"/>
      <c r="LZL82" s="684"/>
      <c r="LZM82" s="684"/>
      <c r="LZN82" s="684"/>
      <c r="LZO82" s="684"/>
      <c r="LZP82" s="684"/>
      <c r="LZQ82" s="684"/>
      <c r="LZR82" s="684"/>
      <c r="LZS82" s="684"/>
      <c r="LZT82" s="684"/>
      <c r="LZU82" s="684"/>
      <c r="LZV82" s="684"/>
      <c r="LZW82" s="684"/>
      <c r="LZX82" s="684"/>
      <c r="LZY82" s="684"/>
      <c r="LZZ82" s="684"/>
      <c r="MAA82" s="684"/>
      <c r="MAB82" s="684"/>
      <c r="MAC82" s="684"/>
      <c r="MAD82" s="684"/>
      <c r="MAE82" s="684"/>
      <c r="MAF82" s="684"/>
      <c r="MAG82" s="684"/>
      <c r="MAH82" s="684"/>
      <c r="MAI82" s="684"/>
      <c r="MAJ82" s="684"/>
      <c r="MAK82" s="684"/>
      <c r="MAL82" s="684"/>
      <c r="MAM82" s="684"/>
      <c r="MAN82" s="684"/>
      <c r="MAO82" s="684"/>
      <c r="MAP82" s="684"/>
      <c r="MAQ82" s="684"/>
      <c r="MAR82" s="684"/>
      <c r="MAS82" s="684"/>
      <c r="MAT82" s="684"/>
      <c r="MAU82" s="684"/>
      <c r="MAV82" s="684"/>
      <c r="MAW82" s="684"/>
      <c r="MAX82" s="684"/>
      <c r="MAY82" s="684"/>
      <c r="MAZ82" s="684"/>
      <c r="MBA82" s="684"/>
      <c r="MBB82" s="684"/>
      <c r="MBC82" s="684"/>
      <c r="MBD82" s="684"/>
      <c r="MBE82" s="684"/>
      <c r="MBF82" s="684"/>
      <c r="MBG82" s="684"/>
      <c r="MBH82" s="684"/>
      <c r="MBI82" s="684"/>
      <c r="MBJ82" s="684"/>
      <c r="MBK82" s="684"/>
      <c r="MBL82" s="684"/>
      <c r="MBM82" s="684"/>
      <c r="MBN82" s="684"/>
      <c r="MBO82" s="684"/>
      <c r="MBP82" s="684"/>
      <c r="MBQ82" s="684"/>
      <c r="MBR82" s="684"/>
      <c r="MBS82" s="684"/>
      <c r="MBT82" s="684"/>
      <c r="MBU82" s="684"/>
      <c r="MBV82" s="684"/>
      <c r="MBW82" s="684"/>
      <c r="MBX82" s="684"/>
      <c r="MBY82" s="684"/>
      <c r="MBZ82" s="684"/>
      <c r="MCA82" s="684"/>
      <c r="MCB82" s="684"/>
      <c r="MCC82" s="684"/>
      <c r="MCD82" s="684"/>
      <c r="MCE82" s="684"/>
      <c r="MCF82" s="684"/>
      <c r="MCG82" s="684"/>
      <c r="MCH82" s="684"/>
      <c r="MCI82" s="684"/>
      <c r="MCJ82" s="684"/>
      <c r="MCK82" s="684"/>
      <c r="MCL82" s="684"/>
      <c r="MCM82" s="684"/>
      <c r="MCN82" s="684"/>
      <c r="MCO82" s="684"/>
      <c r="MCP82" s="684"/>
      <c r="MCQ82" s="684"/>
      <c r="MCR82" s="684"/>
      <c r="MCS82" s="684"/>
      <c r="MCT82" s="684"/>
      <c r="MCU82" s="684"/>
      <c r="MCV82" s="684"/>
      <c r="MCW82" s="684"/>
      <c r="MCX82" s="684"/>
      <c r="MCY82" s="684"/>
      <c r="MCZ82" s="684"/>
      <c r="MDA82" s="684"/>
      <c r="MDB82" s="684"/>
      <c r="MDC82" s="684"/>
      <c r="MDD82" s="684"/>
      <c r="MDE82" s="684"/>
      <c r="MDF82" s="684"/>
      <c r="MDG82" s="684"/>
      <c r="MDH82" s="684"/>
      <c r="MDI82" s="684"/>
      <c r="MDJ82" s="684"/>
      <c r="MDK82" s="684"/>
      <c r="MDL82" s="684"/>
      <c r="MDM82" s="684"/>
      <c r="MDN82" s="684"/>
      <c r="MDO82" s="684"/>
      <c r="MDP82" s="684"/>
      <c r="MDQ82" s="684"/>
      <c r="MDR82" s="684"/>
      <c r="MDS82" s="684"/>
      <c r="MDT82" s="684"/>
      <c r="MDU82" s="684"/>
      <c r="MDV82" s="684"/>
      <c r="MDW82" s="684"/>
      <c r="MDX82" s="684"/>
      <c r="MDY82" s="684"/>
      <c r="MDZ82" s="684"/>
      <c r="MEA82" s="684"/>
      <c r="MEB82" s="684"/>
      <c r="MEC82" s="684"/>
      <c r="MED82" s="684"/>
      <c r="MEE82" s="684"/>
      <c r="MEF82" s="684"/>
      <c r="MEG82" s="684"/>
      <c r="MEH82" s="684"/>
      <c r="MEI82" s="684"/>
      <c r="MEJ82" s="684"/>
      <c r="MEK82" s="684"/>
      <c r="MEL82" s="684"/>
      <c r="MEM82" s="684"/>
      <c r="MEN82" s="684"/>
      <c r="MEO82" s="684"/>
      <c r="MEP82" s="684"/>
      <c r="MEQ82" s="684"/>
      <c r="MER82" s="684"/>
      <c r="MES82" s="684"/>
      <c r="MET82" s="684"/>
      <c r="MEU82" s="684"/>
      <c r="MEV82" s="684"/>
      <c r="MEW82" s="684"/>
      <c r="MEX82" s="684"/>
      <c r="MEY82" s="684"/>
      <c r="MEZ82" s="684"/>
      <c r="MFA82" s="684"/>
      <c r="MFB82" s="684"/>
      <c r="MFC82" s="684"/>
      <c r="MFD82" s="684"/>
      <c r="MFE82" s="684"/>
      <c r="MFF82" s="684"/>
      <c r="MFG82" s="684"/>
      <c r="MFH82" s="684"/>
      <c r="MFI82" s="684"/>
      <c r="MFJ82" s="684"/>
      <c r="MFK82" s="684"/>
      <c r="MFL82" s="684"/>
      <c r="MFM82" s="684"/>
      <c r="MFN82" s="684"/>
      <c r="MFO82" s="684"/>
      <c r="MFP82" s="684"/>
      <c r="MFQ82" s="684"/>
      <c r="MFR82" s="684"/>
      <c r="MFS82" s="684"/>
      <c r="MFT82" s="684"/>
      <c r="MFU82" s="684"/>
      <c r="MFV82" s="684"/>
      <c r="MFW82" s="684"/>
      <c r="MFX82" s="684"/>
      <c r="MFY82" s="684"/>
      <c r="MFZ82" s="684"/>
      <c r="MGA82" s="684"/>
      <c r="MGB82" s="684"/>
      <c r="MGC82" s="684"/>
      <c r="MGD82" s="684"/>
      <c r="MGE82" s="684"/>
      <c r="MGF82" s="684"/>
      <c r="MGG82" s="684"/>
      <c r="MGH82" s="684"/>
      <c r="MGI82" s="684"/>
      <c r="MGJ82" s="684"/>
      <c r="MGK82" s="684"/>
      <c r="MGL82" s="684"/>
      <c r="MGM82" s="684"/>
      <c r="MGN82" s="684"/>
      <c r="MGO82" s="684"/>
      <c r="MGP82" s="684"/>
      <c r="MGQ82" s="684"/>
      <c r="MGR82" s="684"/>
      <c r="MGS82" s="684"/>
      <c r="MGT82" s="684"/>
      <c r="MGU82" s="684"/>
      <c r="MGV82" s="684"/>
      <c r="MGW82" s="684"/>
      <c r="MGX82" s="684"/>
      <c r="MGY82" s="684"/>
      <c r="MGZ82" s="684"/>
      <c r="MHA82" s="684"/>
      <c r="MHB82" s="684"/>
      <c r="MHC82" s="684"/>
      <c r="MHD82" s="684"/>
      <c r="MHE82" s="684"/>
      <c r="MHF82" s="684"/>
      <c r="MHG82" s="684"/>
      <c r="MHH82" s="684"/>
      <c r="MHI82" s="684"/>
      <c r="MHJ82" s="684"/>
      <c r="MHK82" s="684"/>
      <c r="MHL82" s="684"/>
      <c r="MHM82" s="684"/>
      <c r="MHN82" s="684"/>
      <c r="MHO82" s="684"/>
      <c r="MHP82" s="684"/>
      <c r="MHQ82" s="684"/>
      <c r="MHR82" s="684"/>
      <c r="MHS82" s="684"/>
      <c r="MHT82" s="684"/>
      <c r="MHU82" s="684"/>
      <c r="MHV82" s="684"/>
      <c r="MHW82" s="684"/>
      <c r="MHX82" s="684"/>
      <c r="MHY82" s="684"/>
      <c r="MHZ82" s="684"/>
      <c r="MIA82" s="684"/>
      <c r="MIB82" s="684"/>
      <c r="MIC82" s="684"/>
      <c r="MID82" s="684"/>
      <c r="MIE82" s="684"/>
      <c r="MIF82" s="684"/>
      <c r="MIG82" s="684"/>
      <c r="MIH82" s="684"/>
      <c r="MII82" s="684"/>
      <c r="MIJ82" s="684"/>
      <c r="MIK82" s="684"/>
      <c r="MIL82" s="684"/>
      <c r="MIM82" s="684"/>
      <c r="MIN82" s="684"/>
      <c r="MIO82" s="684"/>
      <c r="MIP82" s="684"/>
      <c r="MIQ82" s="684"/>
      <c r="MIR82" s="684"/>
      <c r="MIS82" s="684"/>
      <c r="MIT82" s="684"/>
      <c r="MIU82" s="684"/>
      <c r="MIV82" s="684"/>
      <c r="MIW82" s="684"/>
      <c r="MIX82" s="684"/>
      <c r="MIY82" s="684"/>
      <c r="MIZ82" s="684"/>
      <c r="MJA82" s="684"/>
      <c r="MJB82" s="684"/>
      <c r="MJC82" s="684"/>
      <c r="MJD82" s="684"/>
      <c r="MJE82" s="684"/>
      <c r="MJF82" s="684"/>
      <c r="MJG82" s="684"/>
      <c r="MJH82" s="684"/>
      <c r="MJI82" s="684"/>
      <c r="MJJ82" s="684"/>
      <c r="MJK82" s="684"/>
      <c r="MJL82" s="684"/>
      <c r="MJM82" s="684"/>
      <c r="MJN82" s="684"/>
      <c r="MJO82" s="684"/>
      <c r="MJP82" s="684"/>
      <c r="MJQ82" s="684"/>
      <c r="MJR82" s="684"/>
      <c r="MJS82" s="684"/>
      <c r="MJT82" s="684"/>
      <c r="MJU82" s="684"/>
      <c r="MJV82" s="684"/>
      <c r="MJW82" s="684"/>
      <c r="MJX82" s="684"/>
      <c r="MJY82" s="684"/>
      <c r="MJZ82" s="684"/>
      <c r="MKA82" s="684"/>
      <c r="MKB82" s="684"/>
      <c r="MKC82" s="684"/>
      <c r="MKD82" s="684"/>
      <c r="MKE82" s="684"/>
      <c r="MKF82" s="684"/>
      <c r="MKG82" s="684"/>
      <c r="MKH82" s="684"/>
      <c r="MKI82" s="684"/>
      <c r="MKJ82" s="684"/>
      <c r="MKK82" s="684"/>
      <c r="MKL82" s="684"/>
      <c r="MKM82" s="684"/>
      <c r="MKN82" s="684"/>
      <c r="MKO82" s="684"/>
      <c r="MKP82" s="684"/>
      <c r="MKQ82" s="684"/>
      <c r="MKR82" s="684"/>
      <c r="MKS82" s="684"/>
      <c r="MKT82" s="684"/>
      <c r="MKU82" s="684"/>
      <c r="MKV82" s="684"/>
      <c r="MKW82" s="684"/>
      <c r="MKX82" s="684"/>
      <c r="MKY82" s="684"/>
      <c r="MKZ82" s="684"/>
      <c r="MLA82" s="684"/>
      <c r="MLB82" s="684"/>
      <c r="MLC82" s="684"/>
      <c r="MLD82" s="684"/>
      <c r="MLE82" s="684"/>
      <c r="MLF82" s="684"/>
      <c r="MLG82" s="684"/>
      <c r="MLH82" s="684"/>
      <c r="MLI82" s="684"/>
      <c r="MLJ82" s="684"/>
      <c r="MLK82" s="684"/>
      <c r="MLL82" s="684"/>
      <c r="MLM82" s="684"/>
      <c r="MLN82" s="684"/>
      <c r="MLO82" s="684"/>
      <c r="MLP82" s="684"/>
      <c r="MLQ82" s="684"/>
      <c r="MLR82" s="684"/>
      <c r="MLS82" s="684"/>
      <c r="MLT82" s="684"/>
      <c r="MLU82" s="684"/>
      <c r="MLV82" s="684"/>
      <c r="MLW82" s="684"/>
      <c r="MLX82" s="684"/>
      <c r="MLY82" s="684"/>
      <c r="MLZ82" s="684"/>
      <c r="MMA82" s="684"/>
      <c r="MMB82" s="684"/>
      <c r="MMC82" s="684"/>
      <c r="MMD82" s="684"/>
      <c r="MME82" s="684"/>
      <c r="MMF82" s="684"/>
      <c r="MMG82" s="684"/>
      <c r="MMH82" s="684"/>
      <c r="MMI82" s="684"/>
      <c r="MMJ82" s="684"/>
      <c r="MMK82" s="684"/>
      <c r="MML82" s="684"/>
      <c r="MMM82" s="684"/>
      <c r="MMN82" s="684"/>
      <c r="MMO82" s="684"/>
      <c r="MMP82" s="684"/>
      <c r="MMQ82" s="684"/>
      <c r="MMR82" s="684"/>
      <c r="MMS82" s="684"/>
      <c r="MMT82" s="684"/>
      <c r="MMU82" s="684"/>
      <c r="MMV82" s="684"/>
      <c r="MMW82" s="684"/>
      <c r="MMX82" s="684"/>
      <c r="MMY82" s="684"/>
      <c r="MMZ82" s="684"/>
      <c r="MNA82" s="684"/>
      <c r="MNB82" s="684"/>
      <c r="MNC82" s="684"/>
      <c r="MND82" s="684"/>
      <c r="MNE82" s="684"/>
      <c r="MNF82" s="684"/>
      <c r="MNG82" s="684"/>
      <c r="MNH82" s="684"/>
      <c r="MNI82" s="684"/>
      <c r="MNJ82" s="684"/>
      <c r="MNK82" s="684"/>
      <c r="MNL82" s="684"/>
      <c r="MNM82" s="684"/>
      <c r="MNN82" s="684"/>
      <c r="MNO82" s="684"/>
      <c r="MNP82" s="684"/>
      <c r="MNQ82" s="684"/>
      <c r="MNR82" s="684"/>
      <c r="MNS82" s="684"/>
      <c r="MNT82" s="684"/>
      <c r="MNU82" s="684"/>
      <c r="MNV82" s="684"/>
      <c r="MNW82" s="684"/>
      <c r="MNX82" s="684"/>
      <c r="MNY82" s="684"/>
      <c r="MNZ82" s="684"/>
      <c r="MOA82" s="684"/>
      <c r="MOB82" s="684"/>
      <c r="MOC82" s="684"/>
      <c r="MOD82" s="684"/>
      <c r="MOE82" s="684"/>
      <c r="MOF82" s="684"/>
      <c r="MOG82" s="684"/>
      <c r="MOH82" s="684"/>
      <c r="MOI82" s="684"/>
      <c r="MOJ82" s="684"/>
      <c r="MOK82" s="684"/>
      <c r="MOL82" s="684"/>
      <c r="MOM82" s="684"/>
      <c r="MON82" s="684"/>
      <c r="MOO82" s="684"/>
      <c r="MOP82" s="684"/>
      <c r="MOQ82" s="684"/>
      <c r="MOR82" s="684"/>
      <c r="MOS82" s="684"/>
      <c r="MOT82" s="684"/>
      <c r="MOU82" s="684"/>
      <c r="MOV82" s="684"/>
      <c r="MOW82" s="684"/>
      <c r="MOX82" s="684"/>
      <c r="MOY82" s="684"/>
      <c r="MOZ82" s="684"/>
      <c r="MPA82" s="684"/>
      <c r="MPB82" s="684"/>
      <c r="MPC82" s="684"/>
      <c r="MPD82" s="684"/>
      <c r="MPE82" s="684"/>
      <c r="MPF82" s="684"/>
      <c r="MPG82" s="684"/>
      <c r="MPH82" s="684"/>
      <c r="MPI82" s="684"/>
      <c r="MPJ82" s="684"/>
      <c r="MPK82" s="684"/>
      <c r="MPL82" s="684"/>
      <c r="MPM82" s="684"/>
      <c r="MPN82" s="684"/>
      <c r="MPO82" s="684"/>
      <c r="MPP82" s="684"/>
      <c r="MPQ82" s="684"/>
      <c r="MPR82" s="684"/>
      <c r="MPS82" s="684"/>
      <c r="MPT82" s="684"/>
      <c r="MPU82" s="684"/>
      <c r="MPV82" s="684"/>
      <c r="MPW82" s="684"/>
      <c r="MPX82" s="684"/>
      <c r="MPY82" s="684"/>
      <c r="MPZ82" s="684"/>
      <c r="MQA82" s="684"/>
      <c r="MQB82" s="684"/>
      <c r="MQC82" s="684"/>
      <c r="MQD82" s="684"/>
      <c r="MQE82" s="684"/>
      <c r="MQF82" s="684"/>
      <c r="MQG82" s="684"/>
      <c r="MQH82" s="684"/>
      <c r="MQI82" s="684"/>
      <c r="MQJ82" s="684"/>
      <c r="MQK82" s="684"/>
      <c r="MQL82" s="684"/>
      <c r="MQM82" s="684"/>
      <c r="MQN82" s="684"/>
      <c r="MQO82" s="684"/>
      <c r="MQP82" s="684"/>
      <c r="MQQ82" s="684"/>
      <c r="MQR82" s="684"/>
      <c r="MQS82" s="684"/>
      <c r="MQT82" s="684"/>
      <c r="MQU82" s="684"/>
      <c r="MQV82" s="684"/>
      <c r="MQW82" s="684"/>
      <c r="MQX82" s="684"/>
      <c r="MQY82" s="684"/>
      <c r="MQZ82" s="684"/>
      <c r="MRA82" s="684"/>
      <c r="MRB82" s="684"/>
      <c r="MRC82" s="684"/>
      <c r="MRD82" s="684"/>
      <c r="MRE82" s="684"/>
      <c r="MRF82" s="684"/>
      <c r="MRG82" s="684"/>
      <c r="MRH82" s="684"/>
      <c r="MRI82" s="684"/>
      <c r="MRJ82" s="684"/>
      <c r="MRK82" s="684"/>
      <c r="MRL82" s="684"/>
      <c r="MRM82" s="684"/>
      <c r="MRN82" s="684"/>
      <c r="MRO82" s="684"/>
      <c r="MRP82" s="684"/>
      <c r="MRQ82" s="684"/>
      <c r="MRR82" s="684"/>
      <c r="MRS82" s="684"/>
      <c r="MRT82" s="684"/>
      <c r="MRU82" s="684"/>
      <c r="MRV82" s="684"/>
      <c r="MRW82" s="684"/>
      <c r="MRX82" s="684"/>
      <c r="MRY82" s="684"/>
      <c r="MRZ82" s="684"/>
      <c r="MSA82" s="684"/>
      <c r="MSB82" s="684"/>
      <c r="MSC82" s="684"/>
      <c r="MSD82" s="684"/>
      <c r="MSE82" s="684"/>
      <c r="MSF82" s="684"/>
      <c r="MSG82" s="684"/>
      <c r="MSH82" s="684"/>
      <c r="MSI82" s="684"/>
      <c r="MSJ82" s="684"/>
      <c r="MSK82" s="684"/>
      <c r="MSL82" s="684"/>
      <c r="MSM82" s="684"/>
      <c r="MSN82" s="684"/>
      <c r="MSO82" s="684"/>
      <c r="MSP82" s="684"/>
      <c r="MSQ82" s="684"/>
      <c r="MSR82" s="684"/>
      <c r="MSS82" s="684"/>
      <c r="MST82" s="684"/>
      <c r="MSU82" s="684"/>
      <c r="MSV82" s="684"/>
      <c r="MSW82" s="684"/>
      <c r="MSX82" s="684"/>
      <c r="MSY82" s="684"/>
      <c r="MSZ82" s="684"/>
      <c r="MTA82" s="684"/>
      <c r="MTB82" s="684"/>
      <c r="MTC82" s="684"/>
      <c r="MTD82" s="684"/>
      <c r="MTE82" s="684"/>
      <c r="MTF82" s="684"/>
      <c r="MTG82" s="684"/>
      <c r="MTH82" s="684"/>
      <c r="MTI82" s="684"/>
      <c r="MTJ82" s="684"/>
      <c r="MTK82" s="684"/>
      <c r="MTL82" s="684"/>
      <c r="MTM82" s="684"/>
      <c r="MTN82" s="684"/>
      <c r="MTO82" s="684"/>
      <c r="MTP82" s="684"/>
      <c r="MTQ82" s="684"/>
      <c r="MTR82" s="684"/>
      <c r="MTS82" s="684"/>
      <c r="MTT82" s="684"/>
      <c r="MTU82" s="684"/>
      <c r="MTV82" s="684"/>
      <c r="MTW82" s="684"/>
      <c r="MTX82" s="684"/>
      <c r="MTY82" s="684"/>
      <c r="MTZ82" s="684"/>
      <c r="MUA82" s="684"/>
      <c r="MUB82" s="684"/>
      <c r="MUC82" s="684"/>
      <c r="MUD82" s="684"/>
      <c r="MUE82" s="684"/>
      <c r="MUF82" s="684"/>
      <c r="MUG82" s="684"/>
      <c r="MUH82" s="684"/>
      <c r="MUI82" s="684"/>
      <c r="MUJ82" s="684"/>
      <c r="MUK82" s="684"/>
      <c r="MUL82" s="684"/>
      <c r="MUM82" s="684"/>
      <c r="MUN82" s="684"/>
      <c r="MUO82" s="684"/>
      <c r="MUP82" s="684"/>
      <c r="MUQ82" s="684"/>
      <c r="MUR82" s="684"/>
      <c r="MUS82" s="684"/>
      <c r="MUT82" s="684"/>
      <c r="MUU82" s="684"/>
      <c r="MUV82" s="684"/>
      <c r="MUW82" s="684"/>
      <c r="MUX82" s="684"/>
      <c r="MUY82" s="684"/>
      <c r="MUZ82" s="684"/>
      <c r="MVA82" s="684"/>
      <c r="MVB82" s="684"/>
      <c r="MVC82" s="684"/>
      <c r="MVD82" s="684"/>
      <c r="MVE82" s="684"/>
      <c r="MVF82" s="684"/>
      <c r="MVG82" s="684"/>
      <c r="MVH82" s="684"/>
      <c r="MVI82" s="684"/>
      <c r="MVJ82" s="684"/>
      <c r="MVK82" s="684"/>
      <c r="MVL82" s="684"/>
      <c r="MVM82" s="684"/>
      <c r="MVN82" s="684"/>
      <c r="MVO82" s="684"/>
      <c r="MVP82" s="684"/>
      <c r="MVQ82" s="684"/>
      <c r="MVR82" s="684"/>
      <c r="MVS82" s="684"/>
      <c r="MVT82" s="684"/>
      <c r="MVU82" s="684"/>
      <c r="MVV82" s="684"/>
      <c r="MVW82" s="684"/>
      <c r="MVX82" s="684"/>
      <c r="MVY82" s="684"/>
      <c r="MVZ82" s="684"/>
      <c r="MWA82" s="684"/>
      <c r="MWB82" s="684"/>
      <c r="MWC82" s="684"/>
      <c r="MWD82" s="684"/>
      <c r="MWE82" s="684"/>
      <c r="MWF82" s="684"/>
      <c r="MWG82" s="684"/>
      <c r="MWH82" s="684"/>
      <c r="MWI82" s="684"/>
      <c r="MWJ82" s="684"/>
      <c r="MWK82" s="684"/>
      <c r="MWL82" s="684"/>
      <c r="MWM82" s="684"/>
      <c r="MWN82" s="684"/>
      <c r="MWO82" s="684"/>
      <c r="MWP82" s="684"/>
      <c r="MWQ82" s="684"/>
      <c r="MWR82" s="684"/>
      <c r="MWS82" s="684"/>
      <c r="MWT82" s="684"/>
      <c r="MWU82" s="684"/>
      <c r="MWV82" s="684"/>
      <c r="MWW82" s="684"/>
      <c r="MWX82" s="684"/>
      <c r="MWY82" s="684"/>
      <c r="MWZ82" s="684"/>
      <c r="MXA82" s="684"/>
      <c r="MXB82" s="684"/>
      <c r="MXC82" s="684"/>
      <c r="MXD82" s="684"/>
      <c r="MXE82" s="684"/>
      <c r="MXF82" s="684"/>
      <c r="MXG82" s="684"/>
      <c r="MXH82" s="684"/>
      <c r="MXI82" s="684"/>
      <c r="MXJ82" s="684"/>
      <c r="MXK82" s="684"/>
      <c r="MXL82" s="684"/>
      <c r="MXM82" s="684"/>
      <c r="MXN82" s="684"/>
      <c r="MXO82" s="684"/>
      <c r="MXP82" s="684"/>
      <c r="MXQ82" s="684"/>
      <c r="MXR82" s="684"/>
      <c r="MXS82" s="684"/>
      <c r="MXT82" s="684"/>
      <c r="MXU82" s="684"/>
      <c r="MXV82" s="684"/>
      <c r="MXW82" s="684"/>
      <c r="MXX82" s="684"/>
      <c r="MXY82" s="684"/>
      <c r="MXZ82" s="684"/>
      <c r="MYA82" s="684"/>
      <c r="MYB82" s="684"/>
      <c r="MYC82" s="684"/>
      <c r="MYD82" s="684"/>
      <c r="MYE82" s="684"/>
      <c r="MYF82" s="684"/>
      <c r="MYG82" s="684"/>
      <c r="MYH82" s="684"/>
      <c r="MYI82" s="684"/>
      <c r="MYJ82" s="684"/>
      <c r="MYK82" s="684"/>
      <c r="MYL82" s="684"/>
      <c r="MYM82" s="684"/>
      <c r="MYN82" s="684"/>
      <c r="MYO82" s="684"/>
      <c r="MYP82" s="684"/>
      <c r="MYQ82" s="684"/>
      <c r="MYR82" s="684"/>
      <c r="MYS82" s="684"/>
      <c r="MYT82" s="684"/>
      <c r="MYU82" s="684"/>
      <c r="MYV82" s="684"/>
      <c r="MYW82" s="684"/>
      <c r="MYX82" s="684"/>
      <c r="MYY82" s="684"/>
      <c r="MYZ82" s="684"/>
      <c r="MZA82" s="684"/>
      <c r="MZB82" s="684"/>
      <c r="MZC82" s="684"/>
      <c r="MZD82" s="684"/>
      <c r="MZE82" s="684"/>
      <c r="MZF82" s="684"/>
      <c r="MZG82" s="684"/>
      <c r="MZH82" s="684"/>
      <c r="MZI82" s="684"/>
      <c r="MZJ82" s="684"/>
      <c r="MZK82" s="684"/>
      <c r="MZL82" s="684"/>
      <c r="MZM82" s="684"/>
      <c r="MZN82" s="684"/>
      <c r="MZO82" s="684"/>
      <c r="MZP82" s="684"/>
      <c r="MZQ82" s="684"/>
      <c r="MZR82" s="684"/>
      <c r="MZS82" s="684"/>
      <c r="MZT82" s="684"/>
      <c r="MZU82" s="684"/>
      <c r="MZV82" s="684"/>
      <c r="MZW82" s="684"/>
      <c r="MZX82" s="684"/>
      <c r="MZY82" s="684"/>
      <c r="MZZ82" s="684"/>
      <c r="NAA82" s="684"/>
      <c r="NAB82" s="684"/>
      <c r="NAC82" s="684"/>
      <c r="NAD82" s="684"/>
      <c r="NAE82" s="684"/>
      <c r="NAF82" s="684"/>
      <c r="NAG82" s="684"/>
      <c r="NAH82" s="684"/>
      <c r="NAI82" s="684"/>
      <c r="NAJ82" s="684"/>
      <c r="NAK82" s="684"/>
      <c r="NAL82" s="684"/>
      <c r="NAM82" s="684"/>
      <c r="NAN82" s="684"/>
      <c r="NAO82" s="684"/>
      <c r="NAP82" s="684"/>
      <c r="NAQ82" s="684"/>
      <c r="NAR82" s="684"/>
      <c r="NAS82" s="684"/>
      <c r="NAT82" s="684"/>
      <c r="NAU82" s="684"/>
      <c r="NAV82" s="684"/>
      <c r="NAW82" s="684"/>
      <c r="NAX82" s="684"/>
      <c r="NAY82" s="684"/>
      <c r="NAZ82" s="684"/>
      <c r="NBA82" s="684"/>
      <c r="NBB82" s="684"/>
      <c r="NBC82" s="684"/>
      <c r="NBD82" s="684"/>
      <c r="NBE82" s="684"/>
      <c r="NBF82" s="684"/>
      <c r="NBG82" s="684"/>
      <c r="NBH82" s="684"/>
      <c r="NBI82" s="684"/>
      <c r="NBJ82" s="684"/>
      <c r="NBK82" s="684"/>
      <c r="NBL82" s="684"/>
      <c r="NBM82" s="684"/>
      <c r="NBN82" s="684"/>
      <c r="NBO82" s="684"/>
      <c r="NBP82" s="684"/>
      <c r="NBQ82" s="684"/>
      <c r="NBR82" s="684"/>
      <c r="NBS82" s="684"/>
      <c r="NBT82" s="684"/>
      <c r="NBU82" s="684"/>
      <c r="NBV82" s="684"/>
      <c r="NBW82" s="684"/>
      <c r="NBX82" s="684"/>
      <c r="NBY82" s="684"/>
      <c r="NBZ82" s="684"/>
      <c r="NCA82" s="684"/>
      <c r="NCB82" s="684"/>
      <c r="NCC82" s="684"/>
      <c r="NCD82" s="684"/>
      <c r="NCE82" s="684"/>
      <c r="NCF82" s="684"/>
      <c r="NCG82" s="684"/>
      <c r="NCH82" s="684"/>
      <c r="NCI82" s="684"/>
      <c r="NCJ82" s="684"/>
      <c r="NCK82" s="684"/>
      <c r="NCL82" s="684"/>
      <c r="NCM82" s="684"/>
      <c r="NCN82" s="684"/>
      <c r="NCO82" s="684"/>
      <c r="NCP82" s="684"/>
      <c r="NCQ82" s="684"/>
      <c r="NCR82" s="684"/>
      <c r="NCS82" s="684"/>
      <c r="NCT82" s="684"/>
      <c r="NCU82" s="684"/>
      <c r="NCV82" s="684"/>
      <c r="NCW82" s="684"/>
      <c r="NCX82" s="684"/>
      <c r="NCY82" s="684"/>
      <c r="NCZ82" s="684"/>
      <c r="NDA82" s="684"/>
      <c r="NDB82" s="684"/>
      <c r="NDC82" s="684"/>
      <c r="NDD82" s="684"/>
      <c r="NDE82" s="684"/>
      <c r="NDF82" s="684"/>
      <c r="NDG82" s="684"/>
      <c r="NDH82" s="684"/>
      <c r="NDI82" s="684"/>
      <c r="NDJ82" s="684"/>
      <c r="NDK82" s="684"/>
      <c r="NDL82" s="684"/>
      <c r="NDM82" s="684"/>
      <c r="NDN82" s="684"/>
      <c r="NDO82" s="684"/>
      <c r="NDP82" s="684"/>
      <c r="NDQ82" s="684"/>
      <c r="NDR82" s="684"/>
      <c r="NDS82" s="684"/>
      <c r="NDT82" s="684"/>
      <c r="NDU82" s="684"/>
      <c r="NDV82" s="684"/>
      <c r="NDW82" s="684"/>
      <c r="NDX82" s="684"/>
      <c r="NDY82" s="684"/>
      <c r="NDZ82" s="684"/>
      <c r="NEA82" s="684"/>
      <c r="NEB82" s="684"/>
      <c r="NEC82" s="684"/>
      <c r="NED82" s="684"/>
      <c r="NEE82" s="684"/>
      <c r="NEF82" s="684"/>
      <c r="NEG82" s="684"/>
      <c r="NEH82" s="684"/>
      <c r="NEI82" s="684"/>
      <c r="NEJ82" s="684"/>
      <c r="NEK82" s="684"/>
      <c r="NEL82" s="684"/>
      <c r="NEM82" s="684"/>
      <c r="NEN82" s="684"/>
      <c r="NEO82" s="684"/>
      <c r="NEP82" s="684"/>
      <c r="NEQ82" s="684"/>
      <c r="NER82" s="684"/>
      <c r="NES82" s="684"/>
      <c r="NET82" s="684"/>
      <c r="NEU82" s="684"/>
      <c r="NEV82" s="684"/>
      <c r="NEW82" s="684"/>
      <c r="NEX82" s="684"/>
      <c r="NEY82" s="684"/>
      <c r="NEZ82" s="684"/>
      <c r="NFA82" s="684"/>
      <c r="NFB82" s="684"/>
      <c r="NFC82" s="684"/>
      <c r="NFD82" s="684"/>
      <c r="NFE82" s="684"/>
      <c r="NFF82" s="684"/>
      <c r="NFG82" s="684"/>
      <c r="NFH82" s="684"/>
      <c r="NFI82" s="684"/>
      <c r="NFJ82" s="684"/>
      <c r="NFK82" s="684"/>
      <c r="NFL82" s="684"/>
      <c r="NFM82" s="684"/>
      <c r="NFN82" s="684"/>
      <c r="NFO82" s="684"/>
      <c r="NFP82" s="684"/>
      <c r="NFQ82" s="684"/>
      <c r="NFR82" s="684"/>
      <c r="NFS82" s="684"/>
      <c r="NFT82" s="684"/>
      <c r="NFU82" s="684"/>
      <c r="NFV82" s="684"/>
      <c r="NFW82" s="684"/>
      <c r="NFX82" s="684"/>
      <c r="NFY82" s="684"/>
      <c r="NFZ82" s="684"/>
      <c r="NGA82" s="684"/>
      <c r="NGB82" s="684"/>
      <c r="NGC82" s="684"/>
      <c r="NGD82" s="684"/>
      <c r="NGE82" s="684"/>
      <c r="NGF82" s="684"/>
      <c r="NGG82" s="684"/>
      <c r="NGH82" s="684"/>
      <c r="NGI82" s="684"/>
      <c r="NGJ82" s="684"/>
      <c r="NGK82" s="684"/>
      <c r="NGL82" s="684"/>
      <c r="NGM82" s="684"/>
      <c r="NGN82" s="684"/>
      <c r="NGO82" s="684"/>
      <c r="NGP82" s="684"/>
      <c r="NGQ82" s="684"/>
      <c r="NGR82" s="684"/>
      <c r="NGS82" s="684"/>
      <c r="NGT82" s="684"/>
      <c r="NGU82" s="684"/>
      <c r="NGV82" s="684"/>
      <c r="NGW82" s="684"/>
      <c r="NGX82" s="684"/>
      <c r="NGY82" s="684"/>
      <c r="NGZ82" s="684"/>
      <c r="NHA82" s="684"/>
      <c r="NHB82" s="684"/>
      <c r="NHC82" s="684"/>
      <c r="NHD82" s="684"/>
      <c r="NHE82" s="684"/>
      <c r="NHF82" s="684"/>
      <c r="NHG82" s="684"/>
      <c r="NHH82" s="684"/>
      <c r="NHI82" s="684"/>
      <c r="NHJ82" s="684"/>
      <c r="NHK82" s="684"/>
      <c r="NHL82" s="684"/>
      <c r="NHM82" s="684"/>
      <c r="NHN82" s="684"/>
      <c r="NHO82" s="684"/>
      <c r="NHP82" s="684"/>
      <c r="NHQ82" s="684"/>
      <c r="NHR82" s="684"/>
      <c r="NHS82" s="684"/>
      <c r="NHT82" s="684"/>
      <c r="NHU82" s="684"/>
      <c r="NHV82" s="684"/>
      <c r="NHW82" s="684"/>
      <c r="NHX82" s="684"/>
      <c r="NHY82" s="684"/>
      <c r="NHZ82" s="684"/>
      <c r="NIA82" s="684"/>
      <c r="NIB82" s="684"/>
      <c r="NIC82" s="684"/>
      <c r="NID82" s="684"/>
      <c r="NIE82" s="684"/>
      <c r="NIF82" s="684"/>
      <c r="NIG82" s="684"/>
      <c r="NIH82" s="684"/>
      <c r="NII82" s="684"/>
      <c r="NIJ82" s="684"/>
      <c r="NIK82" s="684"/>
      <c r="NIL82" s="684"/>
      <c r="NIM82" s="684"/>
      <c r="NIN82" s="684"/>
      <c r="NIO82" s="684"/>
      <c r="NIP82" s="684"/>
      <c r="NIQ82" s="684"/>
      <c r="NIR82" s="684"/>
      <c r="NIS82" s="684"/>
      <c r="NIT82" s="684"/>
      <c r="NIU82" s="684"/>
      <c r="NIV82" s="684"/>
      <c r="NIW82" s="684"/>
      <c r="NIX82" s="684"/>
      <c r="NIY82" s="684"/>
      <c r="NIZ82" s="684"/>
      <c r="NJA82" s="684"/>
      <c r="NJB82" s="684"/>
      <c r="NJC82" s="684"/>
      <c r="NJD82" s="684"/>
      <c r="NJE82" s="684"/>
      <c r="NJF82" s="684"/>
      <c r="NJG82" s="684"/>
      <c r="NJH82" s="684"/>
      <c r="NJI82" s="684"/>
      <c r="NJJ82" s="684"/>
      <c r="NJK82" s="684"/>
      <c r="NJL82" s="684"/>
      <c r="NJM82" s="684"/>
      <c r="NJN82" s="684"/>
      <c r="NJO82" s="684"/>
      <c r="NJP82" s="684"/>
      <c r="NJQ82" s="684"/>
      <c r="NJR82" s="684"/>
      <c r="NJS82" s="684"/>
      <c r="NJT82" s="684"/>
      <c r="NJU82" s="684"/>
      <c r="NJV82" s="684"/>
      <c r="NJW82" s="684"/>
      <c r="NJX82" s="684"/>
      <c r="NJY82" s="684"/>
      <c r="NJZ82" s="684"/>
      <c r="NKA82" s="684"/>
      <c r="NKB82" s="684"/>
      <c r="NKC82" s="684"/>
      <c r="NKD82" s="684"/>
      <c r="NKE82" s="684"/>
      <c r="NKF82" s="684"/>
      <c r="NKG82" s="684"/>
      <c r="NKH82" s="684"/>
      <c r="NKI82" s="684"/>
      <c r="NKJ82" s="684"/>
      <c r="NKK82" s="684"/>
      <c r="NKL82" s="684"/>
      <c r="NKM82" s="684"/>
      <c r="NKN82" s="684"/>
      <c r="NKO82" s="684"/>
      <c r="NKP82" s="684"/>
      <c r="NKQ82" s="684"/>
      <c r="NKR82" s="684"/>
      <c r="NKS82" s="684"/>
      <c r="NKT82" s="684"/>
      <c r="NKU82" s="684"/>
      <c r="NKV82" s="684"/>
      <c r="NKW82" s="684"/>
      <c r="NKX82" s="684"/>
      <c r="NKY82" s="684"/>
      <c r="NKZ82" s="684"/>
      <c r="NLA82" s="684"/>
      <c r="NLB82" s="684"/>
      <c r="NLC82" s="684"/>
      <c r="NLD82" s="684"/>
      <c r="NLE82" s="684"/>
      <c r="NLF82" s="684"/>
      <c r="NLG82" s="684"/>
      <c r="NLH82" s="684"/>
      <c r="NLI82" s="684"/>
      <c r="NLJ82" s="684"/>
      <c r="NLK82" s="684"/>
      <c r="NLL82" s="684"/>
      <c r="NLM82" s="684"/>
      <c r="NLN82" s="684"/>
      <c r="NLO82" s="684"/>
      <c r="NLP82" s="684"/>
      <c r="NLQ82" s="684"/>
      <c r="NLR82" s="684"/>
      <c r="NLS82" s="684"/>
      <c r="NLT82" s="684"/>
      <c r="NLU82" s="684"/>
      <c r="NLV82" s="684"/>
      <c r="NLW82" s="684"/>
      <c r="NLX82" s="684"/>
      <c r="NLY82" s="684"/>
      <c r="NLZ82" s="684"/>
      <c r="NMA82" s="684"/>
      <c r="NMB82" s="684"/>
      <c r="NMC82" s="684"/>
      <c r="NMD82" s="684"/>
      <c r="NME82" s="684"/>
      <c r="NMF82" s="684"/>
      <c r="NMG82" s="684"/>
      <c r="NMH82" s="684"/>
      <c r="NMI82" s="684"/>
      <c r="NMJ82" s="684"/>
      <c r="NMK82" s="684"/>
      <c r="NML82" s="684"/>
      <c r="NMM82" s="684"/>
      <c r="NMN82" s="684"/>
      <c r="NMO82" s="684"/>
      <c r="NMP82" s="684"/>
      <c r="NMQ82" s="684"/>
      <c r="NMR82" s="684"/>
      <c r="NMS82" s="684"/>
      <c r="NMT82" s="684"/>
      <c r="NMU82" s="684"/>
      <c r="NMV82" s="684"/>
      <c r="NMW82" s="684"/>
      <c r="NMX82" s="684"/>
      <c r="NMY82" s="684"/>
      <c r="NMZ82" s="684"/>
      <c r="NNA82" s="684"/>
      <c r="NNB82" s="684"/>
      <c r="NNC82" s="684"/>
      <c r="NND82" s="684"/>
      <c r="NNE82" s="684"/>
      <c r="NNF82" s="684"/>
      <c r="NNG82" s="684"/>
      <c r="NNH82" s="684"/>
      <c r="NNI82" s="684"/>
      <c r="NNJ82" s="684"/>
      <c r="NNK82" s="684"/>
      <c r="NNL82" s="684"/>
      <c r="NNM82" s="684"/>
      <c r="NNN82" s="684"/>
      <c r="NNO82" s="684"/>
      <c r="NNP82" s="684"/>
      <c r="NNQ82" s="684"/>
      <c r="NNR82" s="684"/>
      <c r="NNS82" s="684"/>
      <c r="NNT82" s="684"/>
      <c r="NNU82" s="684"/>
      <c r="NNV82" s="684"/>
      <c r="NNW82" s="684"/>
      <c r="NNX82" s="684"/>
      <c r="NNY82" s="684"/>
      <c r="NNZ82" s="684"/>
      <c r="NOA82" s="684"/>
      <c r="NOB82" s="684"/>
      <c r="NOC82" s="684"/>
      <c r="NOD82" s="684"/>
      <c r="NOE82" s="684"/>
      <c r="NOF82" s="684"/>
      <c r="NOG82" s="684"/>
      <c r="NOH82" s="684"/>
      <c r="NOI82" s="684"/>
      <c r="NOJ82" s="684"/>
      <c r="NOK82" s="684"/>
      <c r="NOL82" s="684"/>
      <c r="NOM82" s="684"/>
      <c r="NON82" s="684"/>
      <c r="NOO82" s="684"/>
      <c r="NOP82" s="684"/>
      <c r="NOQ82" s="684"/>
      <c r="NOR82" s="684"/>
      <c r="NOS82" s="684"/>
      <c r="NOT82" s="684"/>
      <c r="NOU82" s="684"/>
      <c r="NOV82" s="684"/>
      <c r="NOW82" s="684"/>
      <c r="NOX82" s="684"/>
      <c r="NOY82" s="684"/>
      <c r="NOZ82" s="684"/>
      <c r="NPA82" s="684"/>
      <c r="NPB82" s="684"/>
      <c r="NPC82" s="684"/>
      <c r="NPD82" s="684"/>
      <c r="NPE82" s="684"/>
      <c r="NPF82" s="684"/>
      <c r="NPG82" s="684"/>
      <c r="NPH82" s="684"/>
      <c r="NPI82" s="684"/>
      <c r="NPJ82" s="684"/>
      <c r="NPK82" s="684"/>
      <c r="NPL82" s="684"/>
      <c r="NPM82" s="684"/>
      <c r="NPN82" s="684"/>
      <c r="NPO82" s="684"/>
      <c r="NPP82" s="684"/>
      <c r="NPQ82" s="684"/>
      <c r="NPR82" s="684"/>
      <c r="NPS82" s="684"/>
      <c r="NPT82" s="684"/>
      <c r="NPU82" s="684"/>
      <c r="NPV82" s="684"/>
      <c r="NPW82" s="684"/>
      <c r="NPX82" s="684"/>
      <c r="NPY82" s="684"/>
      <c r="NPZ82" s="684"/>
      <c r="NQA82" s="684"/>
      <c r="NQB82" s="684"/>
      <c r="NQC82" s="684"/>
      <c r="NQD82" s="684"/>
      <c r="NQE82" s="684"/>
      <c r="NQF82" s="684"/>
      <c r="NQG82" s="684"/>
      <c r="NQH82" s="684"/>
      <c r="NQI82" s="684"/>
      <c r="NQJ82" s="684"/>
      <c r="NQK82" s="684"/>
      <c r="NQL82" s="684"/>
      <c r="NQM82" s="684"/>
      <c r="NQN82" s="684"/>
      <c r="NQO82" s="684"/>
      <c r="NQP82" s="684"/>
      <c r="NQQ82" s="684"/>
      <c r="NQR82" s="684"/>
      <c r="NQS82" s="684"/>
      <c r="NQT82" s="684"/>
      <c r="NQU82" s="684"/>
      <c r="NQV82" s="684"/>
      <c r="NQW82" s="684"/>
      <c r="NQX82" s="684"/>
      <c r="NQY82" s="684"/>
      <c r="NQZ82" s="684"/>
      <c r="NRA82" s="684"/>
      <c r="NRB82" s="684"/>
      <c r="NRC82" s="684"/>
      <c r="NRD82" s="684"/>
      <c r="NRE82" s="684"/>
      <c r="NRF82" s="684"/>
      <c r="NRG82" s="684"/>
      <c r="NRH82" s="684"/>
      <c r="NRI82" s="684"/>
      <c r="NRJ82" s="684"/>
      <c r="NRK82" s="684"/>
      <c r="NRL82" s="684"/>
      <c r="NRM82" s="684"/>
      <c r="NRN82" s="684"/>
      <c r="NRO82" s="684"/>
      <c r="NRP82" s="684"/>
      <c r="NRQ82" s="684"/>
      <c r="NRR82" s="684"/>
      <c r="NRS82" s="684"/>
      <c r="NRT82" s="684"/>
      <c r="NRU82" s="684"/>
      <c r="NRV82" s="684"/>
      <c r="NRW82" s="684"/>
      <c r="NRX82" s="684"/>
      <c r="NRY82" s="684"/>
      <c r="NRZ82" s="684"/>
      <c r="NSA82" s="684"/>
      <c r="NSB82" s="684"/>
      <c r="NSC82" s="684"/>
      <c r="NSD82" s="684"/>
      <c r="NSE82" s="684"/>
      <c r="NSF82" s="684"/>
      <c r="NSG82" s="684"/>
      <c r="NSH82" s="684"/>
      <c r="NSI82" s="684"/>
      <c r="NSJ82" s="684"/>
      <c r="NSK82" s="684"/>
      <c r="NSL82" s="684"/>
      <c r="NSM82" s="684"/>
      <c r="NSN82" s="684"/>
      <c r="NSO82" s="684"/>
      <c r="NSP82" s="684"/>
      <c r="NSQ82" s="684"/>
      <c r="NSR82" s="684"/>
      <c r="NSS82" s="684"/>
      <c r="NST82" s="684"/>
      <c r="NSU82" s="684"/>
      <c r="NSV82" s="684"/>
      <c r="NSW82" s="684"/>
      <c r="NSX82" s="684"/>
      <c r="NSY82" s="684"/>
      <c r="NSZ82" s="684"/>
      <c r="NTA82" s="684"/>
      <c r="NTB82" s="684"/>
      <c r="NTC82" s="684"/>
      <c r="NTD82" s="684"/>
      <c r="NTE82" s="684"/>
      <c r="NTF82" s="684"/>
      <c r="NTG82" s="684"/>
      <c r="NTH82" s="684"/>
      <c r="NTI82" s="684"/>
      <c r="NTJ82" s="684"/>
      <c r="NTK82" s="684"/>
      <c r="NTL82" s="684"/>
      <c r="NTM82" s="684"/>
      <c r="NTN82" s="684"/>
      <c r="NTO82" s="684"/>
      <c r="NTP82" s="684"/>
      <c r="NTQ82" s="684"/>
      <c r="NTR82" s="684"/>
      <c r="NTS82" s="684"/>
      <c r="NTT82" s="684"/>
      <c r="NTU82" s="684"/>
      <c r="NTV82" s="684"/>
      <c r="NTW82" s="684"/>
      <c r="NTX82" s="684"/>
      <c r="NTY82" s="684"/>
      <c r="NTZ82" s="684"/>
      <c r="NUA82" s="684"/>
      <c r="NUB82" s="684"/>
      <c r="NUC82" s="684"/>
      <c r="NUD82" s="684"/>
      <c r="NUE82" s="684"/>
      <c r="NUF82" s="684"/>
      <c r="NUG82" s="684"/>
      <c r="NUH82" s="684"/>
      <c r="NUI82" s="684"/>
      <c r="NUJ82" s="684"/>
      <c r="NUK82" s="684"/>
      <c r="NUL82" s="684"/>
      <c r="NUM82" s="684"/>
      <c r="NUN82" s="684"/>
      <c r="NUO82" s="684"/>
      <c r="NUP82" s="684"/>
      <c r="NUQ82" s="684"/>
      <c r="NUR82" s="684"/>
      <c r="NUS82" s="684"/>
      <c r="NUT82" s="684"/>
      <c r="NUU82" s="684"/>
      <c r="NUV82" s="684"/>
      <c r="NUW82" s="684"/>
      <c r="NUX82" s="684"/>
      <c r="NUY82" s="684"/>
      <c r="NUZ82" s="684"/>
      <c r="NVA82" s="684"/>
      <c r="NVB82" s="684"/>
      <c r="NVC82" s="684"/>
      <c r="NVD82" s="684"/>
      <c r="NVE82" s="684"/>
      <c r="NVF82" s="684"/>
      <c r="NVG82" s="684"/>
      <c r="NVH82" s="684"/>
      <c r="NVI82" s="684"/>
      <c r="NVJ82" s="684"/>
      <c r="NVK82" s="684"/>
      <c r="NVL82" s="684"/>
      <c r="NVM82" s="684"/>
      <c r="NVN82" s="684"/>
      <c r="NVO82" s="684"/>
      <c r="NVP82" s="684"/>
      <c r="NVQ82" s="684"/>
      <c r="NVR82" s="684"/>
      <c r="NVS82" s="684"/>
      <c r="NVT82" s="684"/>
      <c r="NVU82" s="684"/>
      <c r="NVV82" s="684"/>
      <c r="NVW82" s="684"/>
      <c r="NVX82" s="684"/>
      <c r="NVY82" s="684"/>
      <c r="NVZ82" s="684"/>
      <c r="NWA82" s="684"/>
      <c r="NWB82" s="684"/>
      <c r="NWC82" s="684"/>
      <c r="NWD82" s="684"/>
      <c r="NWE82" s="684"/>
      <c r="NWF82" s="684"/>
      <c r="NWG82" s="684"/>
      <c r="NWH82" s="684"/>
      <c r="NWI82" s="684"/>
      <c r="NWJ82" s="684"/>
      <c r="NWK82" s="684"/>
      <c r="NWL82" s="684"/>
      <c r="NWM82" s="684"/>
      <c r="NWN82" s="684"/>
      <c r="NWO82" s="684"/>
      <c r="NWP82" s="684"/>
      <c r="NWQ82" s="684"/>
      <c r="NWR82" s="684"/>
      <c r="NWS82" s="684"/>
      <c r="NWT82" s="684"/>
      <c r="NWU82" s="684"/>
      <c r="NWV82" s="684"/>
      <c r="NWW82" s="684"/>
      <c r="NWX82" s="684"/>
      <c r="NWY82" s="684"/>
      <c r="NWZ82" s="684"/>
      <c r="NXA82" s="684"/>
      <c r="NXB82" s="684"/>
      <c r="NXC82" s="684"/>
      <c r="NXD82" s="684"/>
      <c r="NXE82" s="684"/>
      <c r="NXF82" s="684"/>
      <c r="NXG82" s="684"/>
      <c r="NXH82" s="684"/>
      <c r="NXI82" s="684"/>
      <c r="NXJ82" s="684"/>
      <c r="NXK82" s="684"/>
      <c r="NXL82" s="684"/>
      <c r="NXM82" s="684"/>
      <c r="NXN82" s="684"/>
      <c r="NXO82" s="684"/>
      <c r="NXP82" s="684"/>
      <c r="NXQ82" s="684"/>
      <c r="NXR82" s="684"/>
      <c r="NXS82" s="684"/>
      <c r="NXT82" s="684"/>
      <c r="NXU82" s="684"/>
      <c r="NXV82" s="684"/>
      <c r="NXW82" s="684"/>
      <c r="NXX82" s="684"/>
      <c r="NXY82" s="684"/>
      <c r="NXZ82" s="684"/>
      <c r="NYA82" s="684"/>
      <c r="NYB82" s="684"/>
      <c r="NYC82" s="684"/>
      <c r="NYD82" s="684"/>
      <c r="NYE82" s="684"/>
      <c r="NYF82" s="684"/>
      <c r="NYG82" s="684"/>
      <c r="NYH82" s="684"/>
      <c r="NYI82" s="684"/>
      <c r="NYJ82" s="684"/>
      <c r="NYK82" s="684"/>
      <c r="NYL82" s="684"/>
      <c r="NYM82" s="684"/>
      <c r="NYN82" s="684"/>
      <c r="NYO82" s="684"/>
      <c r="NYP82" s="684"/>
      <c r="NYQ82" s="684"/>
      <c r="NYR82" s="684"/>
      <c r="NYS82" s="684"/>
      <c r="NYT82" s="684"/>
      <c r="NYU82" s="684"/>
      <c r="NYV82" s="684"/>
      <c r="NYW82" s="684"/>
      <c r="NYX82" s="684"/>
      <c r="NYY82" s="684"/>
      <c r="NYZ82" s="684"/>
      <c r="NZA82" s="684"/>
      <c r="NZB82" s="684"/>
      <c r="NZC82" s="684"/>
      <c r="NZD82" s="684"/>
      <c r="NZE82" s="684"/>
      <c r="NZF82" s="684"/>
      <c r="NZG82" s="684"/>
      <c r="NZH82" s="684"/>
      <c r="NZI82" s="684"/>
      <c r="NZJ82" s="684"/>
      <c r="NZK82" s="684"/>
      <c r="NZL82" s="684"/>
      <c r="NZM82" s="684"/>
      <c r="NZN82" s="684"/>
      <c r="NZO82" s="684"/>
      <c r="NZP82" s="684"/>
      <c r="NZQ82" s="684"/>
      <c r="NZR82" s="684"/>
      <c r="NZS82" s="684"/>
      <c r="NZT82" s="684"/>
      <c r="NZU82" s="684"/>
      <c r="NZV82" s="684"/>
      <c r="NZW82" s="684"/>
      <c r="NZX82" s="684"/>
      <c r="NZY82" s="684"/>
      <c r="NZZ82" s="684"/>
      <c r="OAA82" s="684"/>
      <c r="OAB82" s="684"/>
      <c r="OAC82" s="684"/>
      <c r="OAD82" s="684"/>
      <c r="OAE82" s="684"/>
      <c r="OAF82" s="684"/>
      <c r="OAG82" s="684"/>
      <c r="OAH82" s="684"/>
      <c r="OAI82" s="684"/>
      <c r="OAJ82" s="684"/>
      <c r="OAK82" s="684"/>
      <c r="OAL82" s="684"/>
      <c r="OAM82" s="684"/>
      <c r="OAN82" s="684"/>
      <c r="OAO82" s="684"/>
      <c r="OAP82" s="684"/>
      <c r="OAQ82" s="684"/>
      <c r="OAR82" s="684"/>
      <c r="OAS82" s="684"/>
      <c r="OAT82" s="684"/>
      <c r="OAU82" s="684"/>
      <c r="OAV82" s="684"/>
      <c r="OAW82" s="684"/>
      <c r="OAX82" s="684"/>
      <c r="OAY82" s="684"/>
      <c r="OAZ82" s="684"/>
      <c r="OBA82" s="684"/>
      <c r="OBB82" s="684"/>
      <c r="OBC82" s="684"/>
      <c r="OBD82" s="684"/>
      <c r="OBE82" s="684"/>
      <c r="OBF82" s="684"/>
      <c r="OBG82" s="684"/>
      <c r="OBH82" s="684"/>
      <c r="OBI82" s="684"/>
      <c r="OBJ82" s="684"/>
      <c r="OBK82" s="684"/>
      <c r="OBL82" s="684"/>
      <c r="OBM82" s="684"/>
      <c r="OBN82" s="684"/>
      <c r="OBO82" s="684"/>
      <c r="OBP82" s="684"/>
      <c r="OBQ82" s="684"/>
      <c r="OBR82" s="684"/>
      <c r="OBS82" s="684"/>
      <c r="OBT82" s="684"/>
      <c r="OBU82" s="684"/>
      <c r="OBV82" s="684"/>
      <c r="OBW82" s="684"/>
      <c r="OBX82" s="684"/>
      <c r="OBY82" s="684"/>
      <c r="OBZ82" s="684"/>
      <c r="OCA82" s="684"/>
      <c r="OCB82" s="684"/>
      <c r="OCC82" s="684"/>
      <c r="OCD82" s="684"/>
      <c r="OCE82" s="684"/>
      <c r="OCF82" s="684"/>
      <c r="OCG82" s="684"/>
      <c r="OCH82" s="684"/>
      <c r="OCI82" s="684"/>
      <c r="OCJ82" s="684"/>
      <c r="OCK82" s="684"/>
      <c r="OCL82" s="684"/>
      <c r="OCM82" s="684"/>
      <c r="OCN82" s="684"/>
      <c r="OCO82" s="684"/>
      <c r="OCP82" s="684"/>
      <c r="OCQ82" s="684"/>
      <c r="OCR82" s="684"/>
      <c r="OCS82" s="684"/>
      <c r="OCT82" s="684"/>
      <c r="OCU82" s="684"/>
      <c r="OCV82" s="684"/>
      <c r="OCW82" s="684"/>
      <c r="OCX82" s="684"/>
      <c r="OCY82" s="684"/>
      <c r="OCZ82" s="684"/>
      <c r="ODA82" s="684"/>
      <c r="ODB82" s="684"/>
      <c r="ODC82" s="684"/>
      <c r="ODD82" s="684"/>
      <c r="ODE82" s="684"/>
      <c r="ODF82" s="684"/>
      <c r="ODG82" s="684"/>
      <c r="ODH82" s="684"/>
      <c r="ODI82" s="684"/>
      <c r="ODJ82" s="684"/>
      <c r="ODK82" s="684"/>
      <c r="ODL82" s="684"/>
      <c r="ODM82" s="684"/>
      <c r="ODN82" s="684"/>
      <c r="ODO82" s="684"/>
      <c r="ODP82" s="684"/>
      <c r="ODQ82" s="684"/>
      <c r="ODR82" s="684"/>
      <c r="ODS82" s="684"/>
      <c r="ODT82" s="684"/>
      <c r="ODU82" s="684"/>
      <c r="ODV82" s="684"/>
      <c r="ODW82" s="684"/>
      <c r="ODX82" s="684"/>
      <c r="ODY82" s="684"/>
      <c r="ODZ82" s="684"/>
      <c r="OEA82" s="684"/>
      <c r="OEB82" s="684"/>
      <c r="OEC82" s="684"/>
      <c r="OED82" s="684"/>
      <c r="OEE82" s="684"/>
      <c r="OEF82" s="684"/>
      <c r="OEG82" s="684"/>
      <c r="OEH82" s="684"/>
      <c r="OEI82" s="684"/>
      <c r="OEJ82" s="684"/>
      <c r="OEK82" s="684"/>
      <c r="OEL82" s="684"/>
      <c r="OEM82" s="684"/>
      <c r="OEN82" s="684"/>
      <c r="OEO82" s="684"/>
      <c r="OEP82" s="684"/>
      <c r="OEQ82" s="684"/>
      <c r="OER82" s="684"/>
      <c r="OES82" s="684"/>
      <c r="OET82" s="684"/>
      <c r="OEU82" s="684"/>
      <c r="OEV82" s="684"/>
      <c r="OEW82" s="684"/>
      <c r="OEX82" s="684"/>
      <c r="OEY82" s="684"/>
      <c r="OEZ82" s="684"/>
      <c r="OFA82" s="684"/>
      <c r="OFB82" s="684"/>
      <c r="OFC82" s="684"/>
      <c r="OFD82" s="684"/>
      <c r="OFE82" s="684"/>
      <c r="OFF82" s="684"/>
      <c r="OFG82" s="684"/>
      <c r="OFH82" s="684"/>
      <c r="OFI82" s="684"/>
      <c r="OFJ82" s="684"/>
      <c r="OFK82" s="684"/>
      <c r="OFL82" s="684"/>
      <c r="OFM82" s="684"/>
      <c r="OFN82" s="684"/>
      <c r="OFO82" s="684"/>
      <c r="OFP82" s="684"/>
      <c r="OFQ82" s="684"/>
      <c r="OFR82" s="684"/>
      <c r="OFS82" s="684"/>
      <c r="OFT82" s="684"/>
      <c r="OFU82" s="684"/>
      <c r="OFV82" s="684"/>
      <c r="OFW82" s="684"/>
      <c r="OFX82" s="684"/>
      <c r="OFY82" s="684"/>
      <c r="OFZ82" s="684"/>
      <c r="OGA82" s="684"/>
      <c r="OGB82" s="684"/>
      <c r="OGC82" s="684"/>
      <c r="OGD82" s="684"/>
      <c r="OGE82" s="684"/>
      <c r="OGF82" s="684"/>
      <c r="OGG82" s="684"/>
      <c r="OGH82" s="684"/>
      <c r="OGI82" s="684"/>
      <c r="OGJ82" s="684"/>
      <c r="OGK82" s="684"/>
      <c r="OGL82" s="684"/>
      <c r="OGM82" s="684"/>
      <c r="OGN82" s="684"/>
      <c r="OGO82" s="684"/>
      <c r="OGP82" s="684"/>
      <c r="OGQ82" s="684"/>
      <c r="OGR82" s="684"/>
      <c r="OGS82" s="684"/>
      <c r="OGT82" s="684"/>
      <c r="OGU82" s="684"/>
      <c r="OGV82" s="684"/>
      <c r="OGW82" s="684"/>
      <c r="OGX82" s="684"/>
      <c r="OGY82" s="684"/>
      <c r="OGZ82" s="684"/>
      <c r="OHA82" s="684"/>
      <c r="OHB82" s="684"/>
      <c r="OHC82" s="684"/>
      <c r="OHD82" s="684"/>
      <c r="OHE82" s="684"/>
      <c r="OHF82" s="684"/>
      <c r="OHG82" s="684"/>
      <c r="OHH82" s="684"/>
      <c r="OHI82" s="684"/>
      <c r="OHJ82" s="684"/>
      <c r="OHK82" s="684"/>
      <c r="OHL82" s="684"/>
      <c r="OHM82" s="684"/>
      <c r="OHN82" s="684"/>
      <c r="OHO82" s="684"/>
      <c r="OHP82" s="684"/>
      <c r="OHQ82" s="684"/>
      <c r="OHR82" s="684"/>
      <c r="OHS82" s="684"/>
      <c r="OHT82" s="684"/>
      <c r="OHU82" s="684"/>
      <c r="OHV82" s="684"/>
      <c r="OHW82" s="684"/>
      <c r="OHX82" s="684"/>
      <c r="OHY82" s="684"/>
      <c r="OHZ82" s="684"/>
      <c r="OIA82" s="684"/>
      <c r="OIB82" s="684"/>
      <c r="OIC82" s="684"/>
      <c r="OID82" s="684"/>
      <c r="OIE82" s="684"/>
      <c r="OIF82" s="684"/>
      <c r="OIG82" s="684"/>
      <c r="OIH82" s="684"/>
      <c r="OII82" s="684"/>
      <c r="OIJ82" s="684"/>
      <c r="OIK82" s="684"/>
      <c r="OIL82" s="684"/>
      <c r="OIM82" s="684"/>
      <c r="OIN82" s="684"/>
      <c r="OIO82" s="684"/>
      <c r="OIP82" s="684"/>
      <c r="OIQ82" s="684"/>
      <c r="OIR82" s="684"/>
      <c r="OIS82" s="684"/>
      <c r="OIT82" s="684"/>
      <c r="OIU82" s="684"/>
      <c r="OIV82" s="684"/>
      <c r="OIW82" s="684"/>
      <c r="OIX82" s="684"/>
      <c r="OIY82" s="684"/>
      <c r="OIZ82" s="684"/>
      <c r="OJA82" s="684"/>
      <c r="OJB82" s="684"/>
      <c r="OJC82" s="684"/>
      <c r="OJD82" s="684"/>
      <c r="OJE82" s="684"/>
      <c r="OJF82" s="684"/>
      <c r="OJG82" s="684"/>
      <c r="OJH82" s="684"/>
      <c r="OJI82" s="684"/>
      <c r="OJJ82" s="684"/>
      <c r="OJK82" s="684"/>
      <c r="OJL82" s="684"/>
      <c r="OJM82" s="684"/>
      <c r="OJN82" s="684"/>
      <c r="OJO82" s="684"/>
      <c r="OJP82" s="684"/>
      <c r="OJQ82" s="684"/>
      <c r="OJR82" s="684"/>
      <c r="OJS82" s="684"/>
      <c r="OJT82" s="684"/>
      <c r="OJU82" s="684"/>
      <c r="OJV82" s="684"/>
      <c r="OJW82" s="684"/>
      <c r="OJX82" s="684"/>
      <c r="OJY82" s="684"/>
      <c r="OJZ82" s="684"/>
      <c r="OKA82" s="684"/>
      <c r="OKB82" s="684"/>
      <c r="OKC82" s="684"/>
      <c r="OKD82" s="684"/>
      <c r="OKE82" s="684"/>
      <c r="OKF82" s="684"/>
      <c r="OKG82" s="684"/>
      <c r="OKH82" s="684"/>
      <c r="OKI82" s="684"/>
      <c r="OKJ82" s="684"/>
      <c r="OKK82" s="684"/>
      <c r="OKL82" s="684"/>
      <c r="OKM82" s="684"/>
      <c r="OKN82" s="684"/>
      <c r="OKO82" s="684"/>
      <c r="OKP82" s="684"/>
      <c r="OKQ82" s="684"/>
      <c r="OKR82" s="684"/>
      <c r="OKS82" s="684"/>
      <c r="OKT82" s="684"/>
      <c r="OKU82" s="684"/>
      <c r="OKV82" s="684"/>
      <c r="OKW82" s="684"/>
      <c r="OKX82" s="684"/>
      <c r="OKY82" s="684"/>
      <c r="OKZ82" s="684"/>
      <c r="OLA82" s="684"/>
      <c r="OLB82" s="684"/>
      <c r="OLC82" s="684"/>
      <c r="OLD82" s="684"/>
      <c r="OLE82" s="684"/>
      <c r="OLF82" s="684"/>
      <c r="OLG82" s="684"/>
      <c r="OLH82" s="684"/>
      <c r="OLI82" s="684"/>
      <c r="OLJ82" s="684"/>
      <c r="OLK82" s="684"/>
      <c r="OLL82" s="684"/>
      <c r="OLM82" s="684"/>
      <c r="OLN82" s="684"/>
      <c r="OLO82" s="684"/>
      <c r="OLP82" s="684"/>
      <c r="OLQ82" s="684"/>
      <c r="OLR82" s="684"/>
      <c r="OLS82" s="684"/>
      <c r="OLT82" s="684"/>
      <c r="OLU82" s="684"/>
      <c r="OLV82" s="684"/>
      <c r="OLW82" s="684"/>
      <c r="OLX82" s="684"/>
      <c r="OLY82" s="684"/>
      <c r="OLZ82" s="684"/>
      <c r="OMA82" s="684"/>
      <c r="OMB82" s="684"/>
      <c r="OMC82" s="684"/>
      <c r="OMD82" s="684"/>
      <c r="OME82" s="684"/>
      <c r="OMF82" s="684"/>
      <c r="OMG82" s="684"/>
      <c r="OMH82" s="684"/>
      <c r="OMI82" s="684"/>
      <c r="OMJ82" s="684"/>
      <c r="OMK82" s="684"/>
      <c r="OML82" s="684"/>
      <c r="OMM82" s="684"/>
      <c r="OMN82" s="684"/>
      <c r="OMO82" s="684"/>
      <c r="OMP82" s="684"/>
      <c r="OMQ82" s="684"/>
      <c r="OMR82" s="684"/>
      <c r="OMS82" s="684"/>
      <c r="OMT82" s="684"/>
      <c r="OMU82" s="684"/>
      <c r="OMV82" s="684"/>
      <c r="OMW82" s="684"/>
      <c r="OMX82" s="684"/>
      <c r="OMY82" s="684"/>
      <c r="OMZ82" s="684"/>
      <c r="ONA82" s="684"/>
      <c r="ONB82" s="684"/>
      <c r="ONC82" s="684"/>
      <c r="OND82" s="684"/>
      <c r="ONE82" s="684"/>
      <c r="ONF82" s="684"/>
      <c r="ONG82" s="684"/>
      <c r="ONH82" s="684"/>
      <c r="ONI82" s="684"/>
      <c r="ONJ82" s="684"/>
      <c r="ONK82" s="684"/>
      <c r="ONL82" s="684"/>
      <c r="ONM82" s="684"/>
      <c r="ONN82" s="684"/>
      <c r="ONO82" s="684"/>
      <c r="ONP82" s="684"/>
      <c r="ONQ82" s="684"/>
      <c r="ONR82" s="684"/>
      <c r="ONS82" s="684"/>
      <c r="ONT82" s="684"/>
      <c r="ONU82" s="684"/>
      <c r="ONV82" s="684"/>
      <c r="ONW82" s="684"/>
      <c r="ONX82" s="684"/>
      <c r="ONY82" s="684"/>
      <c r="ONZ82" s="684"/>
      <c r="OOA82" s="684"/>
      <c r="OOB82" s="684"/>
      <c r="OOC82" s="684"/>
      <c r="OOD82" s="684"/>
      <c r="OOE82" s="684"/>
      <c r="OOF82" s="684"/>
      <c r="OOG82" s="684"/>
      <c r="OOH82" s="684"/>
      <c r="OOI82" s="684"/>
      <c r="OOJ82" s="684"/>
      <c r="OOK82" s="684"/>
      <c r="OOL82" s="684"/>
      <c r="OOM82" s="684"/>
      <c r="OON82" s="684"/>
      <c r="OOO82" s="684"/>
      <c r="OOP82" s="684"/>
      <c r="OOQ82" s="684"/>
      <c r="OOR82" s="684"/>
      <c r="OOS82" s="684"/>
      <c r="OOT82" s="684"/>
      <c r="OOU82" s="684"/>
      <c r="OOV82" s="684"/>
      <c r="OOW82" s="684"/>
      <c r="OOX82" s="684"/>
      <c r="OOY82" s="684"/>
      <c r="OOZ82" s="684"/>
      <c r="OPA82" s="684"/>
      <c r="OPB82" s="684"/>
      <c r="OPC82" s="684"/>
      <c r="OPD82" s="684"/>
      <c r="OPE82" s="684"/>
      <c r="OPF82" s="684"/>
      <c r="OPG82" s="684"/>
      <c r="OPH82" s="684"/>
      <c r="OPI82" s="684"/>
      <c r="OPJ82" s="684"/>
      <c r="OPK82" s="684"/>
      <c r="OPL82" s="684"/>
      <c r="OPM82" s="684"/>
      <c r="OPN82" s="684"/>
      <c r="OPO82" s="684"/>
      <c r="OPP82" s="684"/>
      <c r="OPQ82" s="684"/>
      <c r="OPR82" s="684"/>
      <c r="OPS82" s="684"/>
      <c r="OPT82" s="684"/>
      <c r="OPU82" s="684"/>
      <c r="OPV82" s="684"/>
      <c r="OPW82" s="684"/>
      <c r="OPX82" s="684"/>
      <c r="OPY82" s="684"/>
      <c r="OPZ82" s="684"/>
      <c r="OQA82" s="684"/>
      <c r="OQB82" s="684"/>
      <c r="OQC82" s="684"/>
      <c r="OQD82" s="684"/>
      <c r="OQE82" s="684"/>
      <c r="OQF82" s="684"/>
      <c r="OQG82" s="684"/>
      <c r="OQH82" s="684"/>
      <c r="OQI82" s="684"/>
      <c r="OQJ82" s="684"/>
      <c r="OQK82" s="684"/>
      <c r="OQL82" s="684"/>
      <c r="OQM82" s="684"/>
      <c r="OQN82" s="684"/>
      <c r="OQO82" s="684"/>
      <c r="OQP82" s="684"/>
      <c r="OQQ82" s="684"/>
      <c r="OQR82" s="684"/>
      <c r="OQS82" s="684"/>
      <c r="OQT82" s="684"/>
      <c r="OQU82" s="684"/>
      <c r="OQV82" s="684"/>
      <c r="OQW82" s="684"/>
      <c r="OQX82" s="684"/>
      <c r="OQY82" s="684"/>
      <c r="OQZ82" s="684"/>
      <c r="ORA82" s="684"/>
      <c r="ORB82" s="684"/>
      <c r="ORC82" s="684"/>
      <c r="ORD82" s="684"/>
      <c r="ORE82" s="684"/>
      <c r="ORF82" s="684"/>
      <c r="ORG82" s="684"/>
      <c r="ORH82" s="684"/>
      <c r="ORI82" s="684"/>
      <c r="ORJ82" s="684"/>
      <c r="ORK82" s="684"/>
      <c r="ORL82" s="684"/>
      <c r="ORM82" s="684"/>
      <c r="ORN82" s="684"/>
      <c r="ORO82" s="684"/>
      <c r="ORP82" s="684"/>
      <c r="ORQ82" s="684"/>
      <c r="ORR82" s="684"/>
      <c r="ORS82" s="684"/>
      <c r="ORT82" s="684"/>
      <c r="ORU82" s="684"/>
      <c r="ORV82" s="684"/>
      <c r="ORW82" s="684"/>
      <c r="ORX82" s="684"/>
      <c r="ORY82" s="684"/>
      <c r="ORZ82" s="684"/>
      <c r="OSA82" s="684"/>
      <c r="OSB82" s="684"/>
      <c r="OSC82" s="684"/>
      <c r="OSD82" s="684"/>
      <c r="OSE82" s="684"/>
      <c r="OSF82" s="684"/>
      <c r="OSG82" s="684"/>
      <c r="OSH82" s="684"/>
      <c r="OSI82" s="684"/>
      <c r="OSJ82" s="684"/>
      <c r="OSK82" s="684"/>
      <c r="OSL82" s="684"/>
      <c r="OSM82" s="684"/>
      <c r="OSN82" s="684"/>
      <c r="OSO82" s="684"/>
      <c r="OSP82" s="684"/>
      <c r="OSQ82" s="684"/>
      <c r="OSR82" s="684"/>
      <c r="OSS82" s="684"/>
      <c r="OST82" s="684"/>
      <c r="OSU82" s="684"/>
      <c r="OSV82" s="684"/>
      <c r="OSW82" s="684"/>
      <c r="OSX82" s="684"/>
      <c r="OSY82" s="684"/>
      <c r="OSZ82" s="684"/>
      <c r="OTA82" s="684"/>
      <c r="OTB82" s="684"/>
      <c r="OTC82" s="684"/>
      <c r="OTD82" s="684"/>
      <c r="OTE82" s="684"/>
      <c r="OTF82" s="684"/>
      <c r="OTG82" s="684"/>
      <c r="OTH82" s="684"/>
      <c r="OTI82" s="684"/>
      <c r="OTJ82" s="684"/>
      <c r="OTK82" s="684"/>
      <c r="OTL82" s="684"/>
      <c r="OTM82" s="684"/>
      <c r="OTN82" s="684"/>
      <c r="OTO82" s="684"/>
      <c r="OTP82" s="684"/>
      <c r="OTQ82" s="684"/>
      <c r="OTR82" s="684"/>
      <c r="OTS82" s="684"/>
      <c r="OTT82" s="684"/>
      <c r="OTU82" s="684"/>
      <c r="OTV82" s="684"/>
      <c r="OTW82" s="684"/>
      <c r="OTX82" s="684"/>
      <c r="OTY82" s="684"/>
      <c r="OTZ82" s="684"/>
      <c r="OUA82" s="684"/>
      <c r="OUB82" s="684"/>
      <c r="OUC82" s="684"/>
      <c r="OUD82" s="684"/>
      <c r="OUE82" s="684"/>
      <c r="OUF82" s="684"/>
      <c r="OUG82" s="684"/>
      <c r="OUH82" s="684"/>
      <c r="OUI82" s="684"/>
      <c r="OUJ82" s="684"/>
      <c r="OUK82" s="684"/>
      <c r="OUL82" s="684"/>
      <c r="OUM82" s="684"/>
      <c r="OUN82" s="684"/>
      <c r="OUO82" s="684"/>
      <c r="OUP82" s="684"/>
      <c r="OUQ82" s="684"/>
      <c r="OUR82" s="684"/>
      <c r="OUS82" s="684"/>
      <c r="OUT82" s="684"/>
      <c r="OUU82" s="684"/>
      <c r="OUV82" s="684"/>
      <c r="OUW82" s="684"/>
      <c r="OUX82" s="684"/>
      <c r="OUY82" s="684"/>
      <c r="OUZ82" s="684"/>
      <c r="OVA82" s="684"/>
      <c r="OVB82" s="684"/>
      <c r="OVC82" s="684"/>
      <c r="OVD82" s="684"/>
      <c r="OVE82" s="684"/>
      <c r="OVF82" s="684"/>
      <c r="OVG82" s="684"/>
      <c r="OVH82" s="684"/>
      <c r="OVI82" s="684"/>
      <c r="OVJ82" s="684"/>
      <c r="OVK82" s="684"/>
      <c r="OVL82" s="684"/>
      <c r="OVM82" s="684"/>
      <c r="OVN82" s="684"/>
      <c r="OVO82" s="684"/>
      <c r="OVP82" s="684"/>
      <c r="OVQ82" s="684"/>
      <c r="OVR82" s="684"/>
      <c r="OVS82" s="684"/>
      <c r="OVT82" s="684"/>
      <c r="OVU82" s="684"/>
      <c r="OVV82" s="684"/>
      <c r="OVW82" s="684"/>
      <c r="OVX82" s="684"/>
      <c r="OVY82" s="684"/>
      <c r="OVZ82" s="684"/>
      <c r="OWA82" s="684"/>
      <c r="OWB82" s="684"/>
      <c r="OWC82" s="684"/>
      <c r="OWD82" s="684"/>
      <c r="OWE82" s="684"/>
      <c r="OWF82" s="684"/>
      <c r="OWG82" s="684"/>
      <c r="OWH82" s="684"/>
      <c r="OWI82" s="684"/>
      <c r="OWJ82" s="684"/>
      <c r="OWK82" s="684"/>
      <c r="OWL82" s="684"/>
      <c r="OWM82" s="684"/>
      <c r="OWN82" s="684"/>
      <c r="OWO82" s="684"/>
      <c r="OWP82" s="684"/>
      <c r="OWQ82" s="684"/>
      <c r="OWR82" s="684"/>
      <c r="OWS82" s="684"/>
      <c r="OWT82" s="684"/>
      <c r="OWU82" s="684"/>
      <c r="OWV82" s="684"/>
      <c r="OWW82" s="684"/>
      <c r="OWX82" s="684"/>
      <c r="OWY82" s="684"/>
      <c r="OWZ82" s="684"/>
      <c r="OXA82" s="684"/>
      <c r="OXB82" s="684"/>
      <c r="OXC82" s="684"/>
      <c r="OXD82" s="684"/>
      <c r="OXE82" s="684"/>
      <c r="OXF82" s="684"/>
      <c r="OXG82" s="684"/>
      <c r="OXH82" s="684"/>
      <c r="OXI82" s="684"/>
      <c r="OXJ82" s="684"/>
      <c r="OXK82" s="684"/>
      <c r="OXL82" s="684"/>
      <c r="OXM82" s="684"/>
      <c r="OXN82" s="684"/>
      <c r="OXO82" s="684"/>
      <c r="OXP82" s="684"/>
      <c r="OXQ82" s="684"/>
      <c r="OXR82" s="684"/>
      <c r="OXS82" s="684"/>
      <c r="OXT82" s="684"/>
      <c r="OXU82" s="684"/>
      <c r="OXV82" s="684"/>
      <c r="OXW82" s="684"/>
      <c r="OXX82" s="684"/>
      <c r="OXY82" s="684"/>
      <c r="OXZ82" s="684"/>
      <c r="OYA82" s="684"/>
      <c r="OYB82" s="684"/>
      <c r="OYC82" s="684"/>
      <c r="OYD82" s="684"/>
      <c r="OYE82" s="684"/>
      <c r="OYF82" s="684"/>
      <c r="OYG82" s="684"/>
      <c r="OYH82" s="684"/>
      <c r="OYI82" s="684"/>
      <c r="OYJ82" s="684"/>
      <c r="OYK82" s="684"/>
      <c r="OYL82" s="684"/>
      <c r="OYM82" s="684"/>
      <c r="OYN82" s="684"/>
      <c r="OYO82" s="684"/>
      <c r="OYP82" s="684"/>
      <c r="OYQ82" s="684"/>
      <c r="OYR82" s="684"/>
      <c r="OYS82" s="684"/>
      <c r="OYT82" s="684"/>
      <c r="OYU82" s="684"/>
      <c r="OYV82" s="684"/>
      <c r="OYW82" s="684"/>
      <c r="OYX82" s="684"/>
      <c r="OYY82" s="684"/>
      <c r="OYZ82" s="684"/>
      <c r="OZA82" s="684"/>
      <c r="OZB82" s="684"/>
      <c r="OZC82" s="684"/>
      <c r="OZD82" s="684"/>
      <c r="OZE82" s="684"/>
      <c r="OZF82" s="684"/>
      <c r="OZG82" s="684"/>
      <c r="OZH82" s="684"/>
      <c r="OZI82" s="684"/>
      <c r="OZJ82" s="684"/>
      <c r="OZK82" s="684"/>
      <c r="OZL82" s="684"/>
      <c r="OZM82" s="684"/>
      <c r="OZN82" s="684"/>
      <c r="OZO82" s="684"/>
      <c r="OZP82" s="684"/>
      <c r="OZQ82" s="684"/>
      <c r="OZR82" s="684"/>
      <c r="OZS82" s="684"/>
      <c r="OZT82" s="684"/>
      <c r="OZU82" s="684"/>
      <c r="OZV82" s="684"/>
      <c r="OZW82" s="684"/>
      <c r="OZX82" s="684"/>
      <c r="OZY82" s="684"/>
      <c r="OZZ82" s="684"/>
      <c r="PAA82" s="684"/>
      <c r="PAB82" s="684"/>
      <c r="PAC82" s="684"/>
      <c r="PAD82" s="684"/>
      <c r="PAE82" s="684"/>
      <c r="PAF82" s="684"/>
      <c r="PAG82" s="684"/>
      <c r="PAH82" s="684"/>
      <c r="PAI82" s="684"/>
      <c r="PAJ82" s="684"/>
      <c r="PAK82" s="684"/>
      <c r="PAL82" s="684"/>
      <c r="PAM82" s="684"/>
      <c r="PAN82" s="684"/>
      <c r="PAO82" s="684"/>
      <c r="PAP82" s="684"/>
      <c r="PAQ82" s="684"/>
      <c r="PAR82" s="684"/>
      <c r="PAS82" s="684"/>
      <c r="PAT82" s="684"/>
      <c r="PAU82" s="684"/>
      <c r="PAV82" s="684"/>
      <c r="PAW82" s="684"/>
      <c r="PAX82" s="684"/>
      <c r="PAY82" s="684"/>
      <c r="PAZ82" s="684"/>
      <c r="PBA82" s="684"/>
      <c r="PBB82" s="684"/>
      <c r="PBC82" s="684"/>
      <c r="PBD82" s="684"/>
      <c r="PBE82" s="684"/>
      <c r="PBF82" s="684"/>
      <c r="PBG82" s="684"/>
      <c r="PBH82" s="684"/>
      <c r="PBI82" s="684"/>
      <c r="PBJ82" s="684"/>
      <c r="PBK82" s="684"/>
      <c r="PBL82" s="684"/>
      <c r="PBM82" s="684"/>
      <c r="PBN82" s="684"/>
      <c r="PBO82" s="684"/>
      <c r="PBP82" s="684"/>
      <c r="PBQ82" s="684"/>
      <c r="PBR82" s="684"/>
      <c r="PBS82" s="684"/>
      <c r="PBT82" s="684"/>
      <c r="PBU82" s="684"/>
      <c r="PBV82" s="684"/>
      <c r="PBW82" s="684"/>
      <c r="PBX82" s="684"/>
      <c r="PBY82" s="684"/>
      <c r="PBZ82" s="684"/>
      <c r="PCA82" s="684"/>
      <c r="PCB82" s="684"/>
      <c r="PCC82" s="684"/>
      <c r="PCD82" s="684"/>
      <c r="PCE82" s="684"/>
      <c r="PCF82" s="684"/>
      <c r="PCG82" s="684"/>
      <c r="PCH82" s="684"/>
      <c r="PCI82" s="684"/>
      <c r="PCJ82" s="684"/>
      <c r="PCK82" s="684"/>
      <c r="PCL82" s="684"/>
      <c r="PCM82" s="684"/>
      <c r="PCN82" s="684"/>
      <c r="PCO82" s="684"/>
      <c r="PCP82" s="684"/>
      <c r="PCQ82" s="684"/>
      <c r="PCR82" s="684"/>
      <c r="PCS82" s="684"/>
      <c r="PCT82" s="684"/>
      <c r="PCU82" s="684"/>
      <c r="PCV82" s="684"/>
      <c r="PCW82" s="684"/>
      <c r="PCX82" s="684"/>
      <c r="PCY82" s="684"/>
      <c r="PCZ82" s="684"/>
      <c r="PDA82" s="684"/>
      <c r="PDB82" s="684"/>
      <c r="PDC82" s="684"/>
      <c r="PDD82" s="684"/>
      <c r="PDE82" s="684"/>
      <c r="PDF82" s="684"/>
      <c r="PDG82" s="684"/>
      <c r="PDH82" s="684"/>
      <c r="PDI82" s="684"/>
      <c r="PDJ82" s="684"/>
      <c r="PDK82" s="684"/>
      <c r="PDL82" s="684"/>
      <c r="PDM82" s="684"/>
      <c r="PDN82" s="684"/>
      <c r="PDO82" s="684"/>
      <c r="PDP82" s="684"/>
      <c r="PDQ82" s="684"/>
      <c r="PDR82" s="684"/>
      <c r="PDS82" s="684"/>
      <c r="PDT82" s="684"/>
      <c r="PDU82" s="684"/>
      <c r="PDV82" s="684"/>
      <c r="PDW82" s="684"/>
      <c r="PDX82" s="684"/>
      <c r="PDY82" s="684"/>
      <c r="PDZ82" s="684"/>
      <c r="PEA82" s="684"/>
      <c r="PEB82" s="684"/>
      <c r="PEC82" s="684"/>
      <c r="PED82" s="684"/>
      <c r="PEE82" s="684"/>
      <c r="PEF82" s="684"/>
      <c r="PEG82" s="684"/>
      <c r="PEH82" s="684"/>
      <c r="PEI82" s="684"/>
      <c r="PEJ82" s="684"/>
      <c r="PEK82" s="684"/>
      <c r="PEL82" s="684"/>
      <c r="PEM82" s="684"/>
      <c r="PEN82" s="684"/>
      <c r="PEO82" s="684"/>
      <c r="PEP82" s="684"/>
      <c r="PEQ82" s="684"/>
      <c r="PER82" s="684"/>
      <c r="PES82" s="684"/>
      <c r="PET82" s="684"/>
      <c r="PEU82" s="684"/>
      <c r="PEV82" s="684"/>
      <c r="PEW82" s="684"/>
      <c r="PEX82" s="684"/>
      <c r="PEY82" s="684"/>
      <c r="PEZ82" s="684"/>
      <c r="PFA82" s="684"/>
      <c r="PFB82" s="684"/>
      <c r="PFC82" s="684"/>
      <c r="PFD82" s="684"/>
      <c r="PFE82" s="684"/>
      <c r="PFF82" s="684"/>
      <c r="PFG82" s="684"/>
      <c r="PFH82" s="684"/>
      <c r="PFI82" s="684"/>
      <c r="PFJ82" s="684"/>
      <c r="PFK82" s="684"/>
      <c r="PFL82" s="684"/>
      <c r="PFM82" s="684"/>
      <c r="PFN82" s="684"/>
      <c r="PFO82" s="684"/>
      <c r="PFP82" s="684"/>
      <c r="PFQ82" s="684"/>
      <c r="PFR82" s="684"/>
      <c r="PFS82" s="684"/>
      <c r="PFT82" s="684"/>
      <c r="PFU82" s="684"/>
      <c r="PFV82" s="684"/>
      <c r="PFW82" s="684"/>
      <c r="PFX82" s="684"/>
      <c r="PFY82" s="684"/>
      <c r="PFZ82" s="684"/>
      <c r="PGA82" s="684"/>
      <c r="PGB82" s="684"/>
      <c r="PGC82" s="684"/>
      <c r="PGD82" s="684"/>
      <c r="PGE82" s="684"/>
      <c r="PGF82" s="684"/>
      <c r="PGG82" s="684"/>
      <c r="PGH82" s="684"/>
      <c r="PGI82" s="684"/>
      <c r="PGJ82" s="684"/>
      <c r="PGK82" s="684"/>
      <c r="PGL82" s="684"/>
      <c r="PGM82" s="684"/>
      <c r="PGN82" s="684"/>
      <c r="PGO82" s="684"/>
      <c r="PGP82" s="684"/>
      <c r="PGQ82" s="684"/>
      <c r="PGR82" s="684"/>
      <c r="PGS82" s="684"/>
      <c r="PGT82" s="684"/>
      <c r="PGU82" s="684"/>
      <c r="PGV82" s="684"/>
      <c r="PGW82" s="684"/>
      <c r="PGX82" s="684"/>
      <c r="PGY82" s="684"/>
      <c r="PGZ82" s="684"/>
      <c r="PHA82" s="684"/>
      <c r="PHB82" s="684"/>
      <c r="PHC82" s="684"/>
      <c r="PHD82" s="684"/>
      <c r="PHE82" s="684"/>
      <c r="PHF82" s="684"/>
      <c r="PHG82" s="684"/>
      <c r="PHH82" s="684"/>
      <c r="PHI82" s="684"/>
      <c r="PHJ82" s="684"/>
      <c r="PHK82" s="684"/>
      <c r="PHL82" s="684"/>
      <c r="PHM82" s="684"/>
      <c r="PHN82" s="684"/>
      <c r="PHO82" s="684"/>
      <c r="PHP82" s="684"/>
      <c r="PHQ82" s="684"/>
      <c r="PHR82" s="684"/>
      <c r="PHS82" s="684"/>
      <c r="PHT82" s="684"/>
      <c r="PHU82" s="684"/>
      <c r="PHV82" s="684"/>
      <c r="PHW82" s="684"/>
      <c r="PHX82" s="684"/>
      <c r="PHY82" s="684"/>
      <c r="PHZ82" s="684"/>
      <c r="PIA82" s="684"/>
      <c r="PIB82" s="684"/>
      <c r="PIC82" s="684"/>
      <c r="PID82" s="684"/>
      <c r="PIE82" s="684"/>
      <c r="PIF82" s="684"/>
      <c r="PIG82" s="684"/>
      <c r="PIH82" s="684"/>
      <c r="PII82" s="684"/>
      <c r="PIJ82" s="684"/>
      <c r="PIK82" s="684"/>
      <c r="PIL82" s="684"/>
      <c r="PIM82" s="684"/>
      <c r="PIN82" s="684"/>
      <c r="PIO82" s="684"/>
      <c r="PIP82" s="684"/>
      <c r="PIQ82" s="684"/>
      <c r="PIR82" s="684"/>
      <c r="PIS82" s="684"/>
      <c r="PIT82" s="684"/>
      <c r="PIU82" s="684"/>
      <c r="PIV82" s="684"/>
      <c r="PIW82" s="684"/>
      <c r="PIX82" s="684"/>
      <c r="PIY82" s="684"/>
      <c r="PIZ82" s="684"/>
      <c r="PJA82" s="684"/>
      <c r="PJB82" s="684"/>
      <c r="PJC82" s="684"/>
      <c r="PJD82" s="684"/>
      <c r="PJE82" s="684"/>
      <c r="PJF82" s="684"/>
      <c r="PJG82" s="684"/>
      <c r="PJH82" s="684"/>
      <c r="PJI82" s="684"/>
      <c r="PJJ82" s="684"/>
      <c r="PJK82" s="684"/>
      <c r="PJL82" s="684"/>
      <c r="PJM82" s="684"/>
      <c r="PJN82" s="684"/>
      <c r="PJO82" s="684"/>
      <c r="PJP82" s="684"/>
      <c r="PJQ82" s="684"/>
      <c r="PJR82" s="684"/>
      <c r="PJS82" s="684"/>
      <c r="PJT82" s="684"/>
      <c r="PJU82" s="684"/>
      <c r="PJV82" s="684"/>
      <c r="PJW82" s="684"/>
      <c r="PJX82" s="684"/>
      <c r="PJY82" s="684"/>
      <c r="PJZ82" s="684"/>
      <c r="PKA82" s="684"/>
      <c r="PKB82" s="684"/>
      <c r="PKC82" s="684"/>
      <c r="PKD82" s="684"/>
      <c r="PKE82" s="684"/>
      <c r="PKF82" s="684"/>
      <c r="PKG82" s="684"/>
      <c r="PKH82" s="684"/>
      <c r="PKI82" s="684"/>
      <c r="PKJ82" s="684"/>
      <c r="PKK82" s="684"/>
      <c r="PKL82" s="684"/>
      <c r="PKM82" s="684"/>
      <c r="PKN82" s="684"/>
      <c r="PKO82" s="684"/>
      <c r="PKP82" s="684"/>
      <c r="PKQ82" s="684"/>
      <c r="PKR82" s="684"/>
      <c r="PKS82" s="684"/>
      <c r="PKT82" s="684"/>
      <c r="PKU82" s="684"/>
      <c r="PKV82" s="684"/>
      <c r="PKW82" s="684"/>
      <c r="PKX82" s="684"/>
      <c r="PKY82" s="684"/>
      <c r="PKZ82" s="684"/>
      <c r="PLA82" s="684"/>
      <c r="PLB82" s="684"/>
      <c r="PLC82" s="684"/>
      <c r="PLD82" s="684"/>
      <c r="PLE82" s="684"/>
      <c r="PLF82" s="684"/>
      <c r="PLG82" s="684"/>
      <c r="PLH82" s="684"/>
      <c r="PLI82" s="684"/>
      <c r="PLJ82" s="684"/>
      <c r="PLK82" s="684"/>
      <c r="PLL82" s="684"/>
      <c r="PLM82" s="684"/>
      <c r="PLN82" s="684"/>
      <c r="PLO82" s="684"/>
      <c r="PLP82" s="684"/>
      <c r="PLQ82" s="684"/>
      <c r="PLR82" s="684"/>
      <c r="PLS82" s="684"/>
      <c r="PLT82" s="684"/>
      <c r="PLU82" s="684"/>
      <c r="PLV82" s="684"/>
      <c r="PLW82" s="684"/>
      <c r="PLX82" s="684"/>
      <c r="PLY82" s="684"/>
      <c r="PLZ82" s="684"/>
      <c r="PMA82" s="684"/>
      <c r="PMB82" s="684"/>
      <c r="PMC82" s="684"/>
      <c r="PMD82" s="684"/>
      <c r="PME82" s="684"/>
      <c r="PMF82" s="684"/>
      <c r="PMG82" s="684"/>
      <c r="PMH82" s="684"/>
      <c r="PMI82" s="684"/>
      <c r="PMJ82" s="684"/>
      <c r="PMK82" s="684"/>
      <c r="PML82" s="684"/>
      <c r="PMM82" s="684"/>
      <c r="PMN82" s="684"/>
      <c r="PMO82" s="684"/>
      <c r="PMP82" s="684"/>
      <c r="PMQ82" s="684"/>
      <c r="PMR82" s="684"/>
      <c r="PMS82" s="684"/>
      <c r="PMT82" s="684"/>
      <c r="PMU82" s="684"/>
      <c r="PMV82" s="684"/>
      <c r="PMW82" s="684"/>
      <c r="PMX82" s="684"/>
      <c r="PMY82" s="684"/>
      <c r="PMZ82" s="684"/>
      <c r="PNA82" s="684"/>
      <c r="PNB82" s="684"/>
      <c r="PNC82" s="684"/>
      <c r="PND82" s="684"/>
      <c r="PNE82" s="684"/>
      <c r="PNF82" s="684"/>
      <c r="PNG82" s="684"/>
      <c r="PNH82" s="684"/>
      <c r="PNI82" s="684"/>
      <c r="PNJ82" s="684"/>
      <c r="PNK82" s="684"/>
      <c r="PNL82" s="684"/>
      <c r="PNM82" s="684"/>
      <c r="PNN82" s="684"/>
      <c r="PNO82" s="684"/>
      <c r="PNP82" s="684"/>
      <c r="PNQ82" s="684"/>
      <c r="PNR82" s="684"/>
      <c r="PNS82" s="684"/>
      <c r="PNT82" s="684"/>
      <c r="PNU82" s="684"/>
      <c r="PNV82" s="684"/>
      <c r="PNW82" s="684"/>
      <c r="PNX82" s="684"/>
      <c r="PNY82" s="684"/>
      <c r="PNZ82" s="684"/>
      <c r="POA82" s="684"/>
      <c r="POB82" s="684"/>
      <c r="POC82" s="684"/>
      <c r="POD82" s="684"/>
      <c r="POE82" s="684"/>
      <c r="POF82" s="684"/>
      <c r="POG82" s="684"/>
      <c r="POH82" s="684"/>
      <c r="POI82" s="684"/>
      <c r="POJ82" s="684"/>
      <c r="POK82" s="684"/>
      <c r="POL82" s="684"/>
      <c r="POM82" s="684"/>
      <c r="PON82" s="684"/>
      <c r="POO82" s="684"/>
      <c r="POP82" s="684"/>
      <c r="POQ82" s="684"/>
      <c r="POR82" s="684"/>
      <c r="POS82" s="684"/>
      <c r="POT82" s="684"/>
      <c r="POU82" s="684"/>
      <c r="POV82" s="684"/>
      <c r="POW82" s="684"/>
      <c r="POX82" s="684"/>
      <c r="POY82" s="684"/>
      <c r="POZ82" s="684"/>
      <c r="PPA82" s="684"/>
      <c r="PPB82" s="684"/>
      <c r="PPC82" s="684"/>
      <c r="PPD82" s="684"/>
      <c r="PPE82" s="684"/>
      <c r="PPF82" s="684"/>
      <c r="PPG82" s="684"/>
      <c r="PPH82" s="684"/>
      <c r="PPI82" s="684"/>
      <c r="PPJ82" s="684"/>
      <c r="PPK82" s="684"/>
      <c r="PPL82" s="684"/>
      <c r="PPM82" s="684"/>
      <c r="PPN82" s="684"/>
      <c r="PPO82" s="684"/>
      <c r="PPP82" s="684"/>
      <c r="PPQ82" s="684"/>
      <c r="PPR82" s="684"/>
      <c r="PPS82" s="684"/>
      <c r="PPT82" s="684"/>
      <c r="PPU82" s="684"/>
      <c r="PPV82" s="684"/>
      <c r="PPW82" s="684"/>
      <c r="PPX82" s="684"/>
      <c r="PPY82" s="684"/>
      <c r="PPZ82" s="684"/>
      <c r="PQA82" s="684"/>
      <c r="PQB82" s="684"/>
      <c r="PQC82" s="684"/>
      <c r="PQD82" s="684"/>
      <c r="PQE82" s="684"/>
      <c r="PQF82" s="684"/>
      <c r="PQG82" s="684"/>
      <c r="PQH82" s="684"/>
      <c r="PQI82" s="684"/>
      <c r="PQJ82" s="684"/>
      <c r="PQK82" s="684"/>
      <c r="PQL82" s="684"/>
      <c r="PQM82" s="684"/>
      <c r="PQN82" s="684"/>
      <c r="PQO82" s="684"/>
      <c r="PQP82" s="684"/>
      <c r="PQQ82" s="684"/>
      <c r="PQR82" s="684"/>
      <c r="PQS82" s="684"/>
      <c r="PQT82" s="684"/>
      <c r="PQU82" s="684"/>
      <c r="PQV82" s="684"/>
      <c r="PQW82" s="684"/>
      <c r="PQX82" s="684"/>
      <c r="PQY82" s="684"/>
      <c r="PQZ82" s="684"/>
      <c r="PRA82" s="684"/>
      <c r="PRB82" s="684"/>
      <c r="PRC82" s="684"/>
      <c r="PRD82" s="684"/>
      <c r="PRE82" s="684"/>
      <c r="PRF82" s="684"/>
      <c r="PRG82" s="684"/>
      <c r="PRH82" s="684"/>
      <c r="PRI82" s="684"/>
      <c r="PRJ82" s="684"/>
      <c r="PRK82" s="684"/>
      <c r="PRL82" s="684"/>
      <c r="PRM82" s="684"/>
      <c r="PRN82" s="684"/>
      <c r="PRO82" s="684"/>
      <c r="PRP82" s="684"/>
      <c r="PRQ82" s="684"/>
      <c r="PRR82" s="684"/>
      <c r="PRS82" s="684"/>
      <c r="PRT82" s="684"/>
      <c r="PRU82" s="684"/>
      <c r="PRV82" s="684"/>
      <c r="PRW82" s="684"/>
      <c r="PRX82" s="684"/>
      <c r="PRY82" s="684"/>
      <c r="PRZ82" s="684"/>
      <c r="PSA82" s="684"/>
      <c r="PSB82" s="684"/>
      <c r="PSC82" s="684"/>
      <c r="PSD82" s="684"/>
      <c r="PSE82" s="684"/>
      <c r="PSF82" s="684"/>
      <c r="PSG82" s="684"/>
      <c r="PSH82" s="684"/>
      <c r="PSI82" s="684"/>
      <c r="PSJ82" s="684"/>
      <c r="PSK82" s="684"/>
      <c r="PSL82" s="684"/>
      <c r="PSM82" s="684"/>
      <c r="PSN82" s="684"/>
      <c r="PSO82" s="684"/>
      <c r="PSP82" s="684"/>
      <c r="PSQ82" s="684"/>
      <c r="PSR82" s="684"/>
      <c r="PSS82" s="684"/>
      <c r="PST82" s="684"/>
      <c r="PSU82" s="684"/>
      <c r="PSV82" s="684"/>
      <c r="PSW82" s="684"/>
      <c r="PSX82" s="684"/>
      <c r="PSY82" s="684"/>
      <c r="PSZ82" s="684"/>
      <c r="PTA82" s="684"/>
      <c r="PTB82" s="684"/>
      <c r="PTC82" s="684"/>
      <c r="PTD82" s="684"/>
      <c r="PTE82" s="684"/>
      <c r="PTF82" s="684"/>
      <c r="PTG82" s="684"/>
      <c r="PTH82" s="684"/>
      <c r="PTI82" s="684"/>
      <c r="PTJ82" s="684"/>
      <c r="PTK82" s="684"/>
      <c r="PTL82" s="684"/>
      <c r="PTM82" s="684"/>
      <c r="PTN82" s="684"/>
      <c r="PTO82" s="684"/>
      <c r="PTP82" s="684"/>
      <c r="PTQ82" s="684"/>
      <c r="PTR82" s="684"/>
      <c r="PTS82" s="684"/>
      <c r="PTT82" s="684"/>
      <c r="PTU82" s="684"/>
      <c r="PTV82" s="684"/>
      <c r="PTW82" s="684"/>
      <c r="PTX82" s="684"/>
      <c r="PTY82" s="684"/>
      <c r="PTZ82" s="684"/>
      <c r="PUA82" s="684"/>
      <c r="PUB82" s="684"/>
      <c r="PUC82" s="684"/>
      <c r="PUD82" s="684"/>
      <c r="PUE82" s="684"/>
      <c r="PUF82" s="684"/>
      <c r="PUG82" s="684"/>
      <c r="PUH82" s="684"/>
      <c r="PUI82" s="684"/>
      <c r="PUJ82" s="684"/>
      <c r="PUK82" s="684"/>
      <c r="PUL82" s="684"/>
      <c r="PUM82" s="684"/>
      <c r="PUN82" s="684"/>
      <c r="PUO82" s="684"/>
      <c r="PUP82" s="684"/>
      <c r="PUQ82" s="684"/>
      <c r="PUR82" s="684"/>
      <c r="PUS82" s="684"/>
      <c r="PUT82" s="684"/>
      <c r="PUU82" s="684"/>
      <c r="PUV82" s="684"/>
      <c r="PUW82" s="684"/>
      <c r="PUX82" s="684"/>
      <c r="PUY82" s="684"/>
      <c r="PUZ82" s="684"/>
      <c r="PVA82" s="684"/>
      <c r="PVB82" s="684"/>
      <c r="PVC82" s="684"/>
      <c r="PVD82" s="684"/>
      <c r="PVE82" s="684"/>
      <c r="PVF82" s="684"/>
      <c r="PVG82" s="684"/>
      <c r="PVH82" s="684"/>
      <c r="PVI82" s="684"/>
      <c r="PVJ82" s="684"/>
      <c r="PVK82" s="684"/>
      <c r="PVL82" s="684"/>
      <c r="PVM82" s="684"/>
      <c r="PVN82" s="684"/>
      <c r="PVO82" s="684"/>
      <c r="PVP82" s="684"/>
      <c r="PVQ82" s="684"/>
      <c r="PVR82" s="684"/>
      <c r="PVS82" s="684"/>
      <c r="PVT82" s="684"/>
      <c r="PVU82" s="684"/>
      <c r="PVV82" s="684"/>
      <c r="PVW82" s="684"/>
      <c r="PVX82" s="684"/>
      <c r="PVY82" s="684"/>
      <c r="PVZ82" s="684"/>
      <c r="PWA82" s="684"/>
      <c r="PWB82" s="684"/>
      <c r="PWC82" s="684"/>
      <c r="PWD82" s="684"/>
      <c r="PWE82" s="684"/>
      <c r="PWF82" s="684"/>
      <c r="PWG82" s="684"/>
      <c r="PWH82" s="684"/>
      <c r="PWI82" s="684"/>
      <c r="PWJ82" s="684"/>
      <c r="PWK82" s="684"/>
      <c r="PWL82" s="684"/>
      <c r="PWM82" s="684"/>
      <c r="PWN82" s="684"/>
      <c r="PWO82" s="684"/>
      <c r="PWP82" s="684"/>
      <c r="PWQ82" s="684"/>
      <c r="PWR82" s="684"/>
      <c r="PWS82" s="684"/>
      <c r="PWT82" s="684"/>
      <c r="PWU82" s="684"/>
      <c r="PWV82" s="684"/>
      <c r="PWW82" s="684"/>
      <c r="PWX82" s="684"/>
      <c r="PWY82" s="684"/>
      <c r="PWZ82" s="684"/>
      <c r="PXA82" s="684"/>
      <c r="PXB82" s="684"/>
      <c r="PXC82" s="684"/>
      <c r="PXD82" s="684"/>
      <c r="PXE82" s="684"/>
      <c r="PXF82" s="684"/>
      <c r="PXG82" s="684"/>
      <c r="PXH82" s="684"/>
      <c r="PXI82" s="684"/>
      <c r="PXJ82" s="684"/>
      <c r="PXK82" s="684"/>
      <c r="PXL82" s="684"/>
      <c r="PXM82" s="684"/>
      <c r="PXN82" s="684"/>
      <c r="PXO82" s="684"/>
      <c r="PXP82" s="684"/>
      <c r="PXQ82" s="684"/>
      <c r="PXR82" s="684"/>
      <c r="PXS82" s="684"/>
      <c r="PXT82" s="684"/>
      <c r="PXU82" s="684"/>
      <c r="PXV82" s="684"/>
      <c r="PXW82" s="684"/>
      <c r="PXX82" s="684"/>
      <c r="PXY82" s="684"/>
      <c r="PXZ82" s="684"/>
      <c r="PYA82" s="684"/>
      <c r="PYB82" s="684"/>
      <c r="PYC82" s="684"/>
      <c r="PYD82" s="684"/>
      <c r="PYE82" s="684"/>
      <c r="PYF82" s="684"/>
      <c r="PYG82" s="684"/>
      <c r="PYH82" s="684"/>
      <c r="PYI82" s="684"/>
      <c r="PYJ82" s="684"/>
      <c r="PYK82" s="684"/>
      <c r="PYL82" s="684"/>
      <c r="PYM82" s="684"/>
      <c r="PYN82" s="684"/>
      <c r="PYO82" s="684"/>
      <c r="PYP82" s="684"/>
      <c r="PYQ82" s="684"/>
      <c r="PYR82" s="684"/>
      <c r="PYS82" s="684"/>
      <c r="PYT82" s="684"/>
      <c r="PYU82" s="684"/>
      <c r="PYV82" s="684"/>
      <c r="PYW82" s="684"/>
      <c r="PYX82" s="684"/>
      <c r="PYY82" s="684"/>
      <c r="PYZ82" s="684"/>
      <c r="PZA82" s="684"/>
      <c r="PZB82" s="684"/>
      <c r="PZC82" s="684"/>
      <c r="PZD82" s="684"/>
      <c r="PZE82" s="684"/>
      <c r="PZF82" s="684"/>
      <c r="PZG82" s="684"/>
      <c r="PZH82" s="684"/>
      <c r="PZI82" s="684"/>
      <c r="PZJ82" s="684"/>
      <c r="PZK82" s="684"/>
      <c r="PZL82" s="684"/>
      <c r="PZM82" s="684"/>
      <c r="PZN82" s="684"/>
      <c r="PZO82" s="684"/>
      <c r="PZP82" s="684"/>
      <c r="PZQ82" s="684"/>
      <c r="PZR82" s="684"/>
      <c r="PZS82" s="684"/>
      <c r="PZT82" s="684"/>
      <c r="PZU82" s="684"/>
      <c r="PZV82" s="684"/>
      <c r="PZW82" s="684"/>
      <c r="PZX82" s="684"/>
      <c r="PZY82" s="684"/>
      <c r="PZZ82" s="684"/>
      <c r="QAA82" s="684"/>
      <c r="QAB82" s="684"/>
      <c r="QAC82" s="684"/>
      <c r="QAD82" s="684"/>
      <c r="QAE82" s="684"/>
      <c r="QAF82" s="684"/>
      <c r="QAG82" s="684"/>
      <c r="QAH82" s="684"/>
      <c r="QAI82" s="684"/>
      <c r="QAJ82" s="684"/>
      <c r="QAK82" s="684"/>
      <c r="QAL82" s="684"/>
      <c r="QAM82" s="684"/>
      <c r="QAN82" s="684"/>
      <c r="QAO82" s="684"/>
      <c r="QAP82" s="684"/>
      <c r="QAQ82" s="684"/>
      <c r="QAR82" s="684"/>
      <c r="QAS82" s="684"/>
      <c r="QAT82" s="684"/>
      <c r="QAU82" s="684"/>
      <c r="QAV82" s="684"/>
      <c r="QAW82" s="684"/>
      <c r="QAX82" s="684"/>
      <c r="QAY82" s="684"/>
      <c r="QAZ82" s="684"/>
      <c r="QBA82" s="684"/>
      <c r="QBB82" s="684"/>
      <c r="QBC82" s="684"/>
      <c r="QBD82" s="684"/>
      <c r="QBE82" s="684"/>
      <c r="QBF82" s="684"/>
      <c r="QBG82" s="684"/>
      <c r="QBH82" s="684"/>
      <c r="QBI82" s="684"/>
      <c r="QBJ82" s="684"/>
      <c r="QBK82" s="684"/>
      <c r="QBL82" s="684"/>
      <c r="QBM82" s="684"/>
      <c r="QBN82" s="684"/>
      <c r="QBO82" s="684"/>
      <c r="QBP82" s="684"/>
      <c r="QBQ82" s="684"/>
      <c r="QBR82" s="684"/>
      <c r="QBS82" s="684"/>
      <c r="QBT82" s="684"/>
      <c r="QBU82" s="684"/>
      <c r="QBV82" s="684"/>
      <c r="QBW82" s="684"/>
      <c r="QBX82" s="684"/>
      <c r="QBY82" s="684"/>
      <c r="QBZ82" s="684"/>
      <c r="QCA82" s="684"/>
      <c r="QCB82" s="684"/>
      <c r="QCC82" s="684"/>
      <c r="QCD82" s="684"/>
      <c r="QCE82" s="684"/>
      <c r="QCF82" s="684"/>
      <c r="QCG82" s="684"/>
      <c r="QCH82" s="684"/>
      <c r="QCI82" s="684"/>
      <c r="QCJ82" s="684"/>
      <c r="QCK82" s="684"/>
      <c r="QCL82" s="684"/>
      <c r="QCM82" s="684"/>
      <c r="QCN82" s="684"/>
      <c r="QCO82" s="684"/>
      <c r="QCP82" s="684"/>
      <c r="QCQ82" s="684"/>
      <c r="QCR82" s="684"/>
      <c r="QCS82" s="684"/>
      <c r="QCT82" s="684"/>
      <c r="QCU82" s="684"/>
      <c r="QCV82" s="684"/>
      <c r="QCW82" s="684"/>
      <c r="QCX82" s="684"/>
      <c r="QCY82" s="684"/>
      <c r="QCZ82" s="684"/>
      <c r="QDA82" s="684"/>
      <c r="QDB82" s="684"/>
      <c r="QDC82" s="684"/>
      <c r="QDD82" s="684"/>
      <c r="QDE82" s="684"/>
      <c r="QDF82" s="684"/>
      <c r="QDG82" s="684"/>
      <c r="QDH82" s="684"/>
      <c r="QDI82" s="684"/>
      <c r="QDJ82" s="684"/>
      <c r="QDK82" s="684"/>
      <c r="QDL82" s="684"/>
      <c r="QDM82" s="684"/>
      <c r="QDN82" s="684"/>
      <c r="QDO82" s="684"/>
      <c r="QDP82" s="684"/>
      <c r="QDQ82" s="684"/>
      <c r="QDR82" s="684"/>
      <c r="QDS82" s="684"/>
      <c r="QDT82" s="684"/>
      <c r="QDU82" s="684"/>
      <c r="QDV82" s="684"/>
      <c r="QDW82" s="684"/>
      <c r="QDX82" s="684"/>
      <c r="QDY82" s="684"/>
      <c r="QDZ82" s="684"/>
      <c r="QEA82" s="684"/>
      <c r="QEB82" s="684"/>
      <c r="QEC82" s="684"/>
      <c r="QED82" s="684"/>
      <c r="QEE82" s="684"/>
      <c r="QEF82" s="684"/>
      <c r="QEG82" s="684"/>
      <c r="QEH82" s="684"/>
      <c r="QEI82" s="684"/>
      <c r="QEJ82" s="684"/>
      <c r="QEK82" s="684"/>
      <c r="QEL82" s="684"/>
      <c r="QEM82" s="684"/>
      <c r="QEN82" s="684"/>
      <c r="QEO82" s="684"/>
      <c r="QEP82" s="684"/>
      <c r="QEQ82" s="684"/>
      <c r="QER82" s="684"/>
      <c r="QES82" s="684"/>
      <c r="QET82" s="684"/>
      <c r="QEU82" s="684"/>
      <c r="QEV82" s="684"/>
      <c r="QEW82" s="684"/>
      <c r="QEX82" s="684"/>
      <c r="QEY82" s="684"/>
      <c r="QEZ82" s="684"/>
      <c r="QFA82" s="684"/>
      <c r="QFB82" s="684"/>
      <c r="QFC82" s="684"/>
      <c r="QFD82" s="684"/>
      <c r="QFE82" s="684"/>
      <c r="QFF82" s="684"/>
      <c r="QFG82" s="684"/>
      <c r="QFH82" s="684"/>
      <c r="QFI82" s="684"/>
      <c r="QFJ82" s="684"/>
      <c r="QFK82" s="684"/>
      <c r="QFL82" s="684"/>
      <c r="QFM82" s="684"/>
      <c r="QFN82" s="684"/>
      <c r="QFO82" s="684"/>
      <c r="QFP82" s="684"/>
      <c r="QFQ82" s="684"/>
      <c r="QFR82" s="684"/>
      <c r="QFS82" s="684"/>
      <c r="QFT82" s="684"/>
      <c r="QFU82" s="684"/>
      <c r="QFV82" s="684"/>
      <c r="QFW82" s="684"/>
      <c r="QFX82" s="684"/>
      <c r="QFY82" s="684"/>
      <c r="QFZ82" s="684"/>
      <c r="QGA82" s="684"/>
      <c r="QGB82" s="684"/>
      <c r="QGC82" s="684"/>
      <c r="QGD82" s="684"/>
      <c r="QGE82" s="684"/>
      <c r="QGF82" s="684"/>
      <c r="QGG82" s="684"/>
      <c r="QGH82" s="684"/>
      <c r="QGI82" s="684"/>
      <c r="QGJ82" s="684"/>
      <c r="QGK82" s="684"/>
      <c r="QGL82" s="684"/>
      <c r="QGM82" s="684"/>
      <c r="QGN82" s="684"/>
      <c r="QGO82" s="684"/>
      <c r="QGP82" s="684"/>
      <c r="QGQ82" s="684"/>
      <c r="QGR82" s="684"/>
      <c r="QGS82" s="684"/>
      <c r="QGT82" s="684"/>
      <c r="QGU82" s="684"/>
      <c r="QGV82" s="684"/>
      <c r="QGW82" s="684"/>
      <c r="QGX82" s="684"/>
      <c r="QGY82" s="684"/>
      <c r="QGZ82" s="684"/>
      <c r="QHA82" s="684"/>
      <c r="QHB82" s="684"/>
      <c r="QHC82" s="684"/>
      <c r="QHD82" s="684"/>
      <c r="QHE82" s="684"/>
      <c r="QHF82" s="684"/>
      <c r="QHG82" s="684"/>
      <c r="QHH82" s="684"/>
      <c r="QHI82" s="684"/>
      <c r="QHJ82" s="684"/>
      <c r="QHK82" s="684"/>
      <c r="QHL82" s="684"/>
      <c r="QHM82" s="684"/>
      <c r="QHN82" s="684"/>
      <c r="QHO82" s="684"/>
      <c r="QHP82" s="684"/>
      <c r="QHQ82" s="684"/>
      <c r="QHR82" s="684"/>
      <c r="QHS82" s="684"/>
      <c r="QHT82" s="684"/>
      <c r="QHU82" s="684"/>
      <c r="QHV82" s="684"/>
      <c r="QHW82" s="684"/>
      <c r="QHX82" s="684"/>
      <c r="QHY82" s="684"/>
      <c r="QHZ82" s="684"/>
      <c r="QIA82" s="684"/>
      <c r="QIB82" s="684"/>
      <c r="QIC82" s="684"/>
      <c r="QID82" s="684"/>
      <c r="QIE82" s="684"/>
      <c r="QIF82" s="684"/>
      <c r="QIG82" s="684"/>
      <c r="QIH82" s="684"/>
      <c r="QII82" s="684"/>
      <c r="QIJ82" s="684"/>
      <c r="QIK82" s="684"/>
      <c r="QIL82" s="684"/>
      <c r="QIM82" s="684"/>
      <c r="QIN82" s="684"/>
      <c r="QIO82" s="684"/>
      <c r="QIP82" s="684"/>
      <c r="QIQ82" s="684"/>
      <c r="QIR82" s="684"/>
      <c r="QIS82" s="684"/>
      <c r="QIT82" s="684"/>
      <c r="QIU82" s="684"/>
      <c r="QIV82" s="684"/>
      <c r="QIW82" s="684"/>
      <c r="QIX82" s="684"/>
      <c r="QIY82" s="684"/>
      <c r="QIZ82" s="684"/>
      <c r="QJA82" s="684"/>
      <c r="QJB82" s="684"/>
      <c r="QJC82" s="684"/>
      <c r="QJD82" s="684"/>
      <c r="QJE82" s="684"/>
      <c r="QJF82" s="684"/>
      <c r="QJG82" s="684"/>
      <c r="QJH82" s="684"/>
      <c r="QJI82" s="684"/>
      <c r="QJJ82" s="684"/>
      <c r="QJK82" s="684"/>
      <c r="QJL82" s="684"/>
      <c r="QJM82" s="684"/>
      <c r="QJN82" s="684"/>
      <c r="QJO82" s="684"/>
      <c r="QJP82" s="684"/>
      <c r="QJQ82" s="684"/>
      <c r="QJR82" s="684"/>
      <c r="QJS82" s="684"/>
      <c r="QJT82" s="684"/>
      <c r="QJU82" s="684"/>
      <c r="QJV82" s="684"/>
      <c r="QJW82" s="684"/>
      <c r="QJX82" s="684"/>
      <c r="QJY82" s="684"/>
      <c r="QJZ82" s="684"/>
      <c r="QKA82" s="684"/>
      <c r="QKB82" s="684"/>
      <c r="QKC82" s="684"/>
      <c r="QKD82" s="684"/>
      <c r="QKE82" s="684"/>
      <c r="QKF82" s="684"/>
      <c r="QKG82" s="684"/>
      <c r="QKH82" s="684"/>
      <c r="QKI82" s="684"/>
      <c r="QKJ82" s="684"/>
      <c r="QKK82" s="684"/>
      <c r="QKL82" s="684"/>
      <c r="QKM82" s="684"/>
      <c r="QKN82" s="684"/>
      <c r="QKO82" s="684"/>
      <c r="QKP82" s="684"/>
      <c r="QKQ82" s="684"/>
      <c r="QKR82" s="684"/>
      <c r="QKS82" s="684"/>
      <c r="QKT82" s="684"/>
      <c r="QKU82" s="684"/>
      <c r="QKV82" s="684"/>
      <c r="QKW82" s="684"/>
      <c r="QKX82" s="684"/>
      <c r="QKY82" s="684"/>
      <c r="QKZ82" s="684"/>
      <c r="QLA82" s="684"/>
      <c r="QLB82" s="684"/>
      <c r="QLC82" s="684"/>
      <c r="QLD82" s="684"/>
      <c r="QLE82" s="684"/>
      <c r="QLF82" s="684"/>
      <c r="QLG82" s="684"/>
      <c r="QLH82" s="684"/>
      <c r="QLI82" s="684"/>
      <c r="QLJ82" s="684"/>
      <c r="QLK82" s="684"/>
      <c r="QLL82" s="684"/>
      <c r="QLM82" s="684"/>
      <c r="QLN82" s="684"/>
      <c r="QLO82" s="684"/>
      <c r="QLP82" s="684"/>
      <c r="QLQ82" s="684"/>
      <c r="QLR82" s="684"/>
      <c r="QLS82" s="684"/>
      <c r="QLT82" s="684"/>
      <c r="QLU82" s="684"/>
      <c r="QLV82" s="684"/>
      <c r="QLW82" s="684"/>
      <c r="QLX82" s="684"/>
      <c r="QLY82" s="684"/>
      <c r="QLZ82" s="684"/>
      <c r="QMA82" s="684"/>
      <c r="QMB82" s="684"/>
      <c r="QMC82" s="684"/>
      <c r="QMD82" s="684"/>
      <c r="QME82" s="684"/>
      <c r="QMF82" s="684"/>
      <c r="QMG82" s="684"/>
      <c r="QMH82" s="684"/>
      <c r="QMI82" s="684"/>
      <c r="QMJ82" s="684"/>
      <c r="QMK82" s="684"/>
      <c r="QML82" s="684"/>
      <c r="QMM82" s="684"/>
      <c r="QMN82" s="684"/>
      <c r="QMO82" s="684"/>
      <c r="QMP82" s="684"/>
      <c r="QMQ82" s="684"/>
      <c r="QMR82" s="684"/>
      <c r="QMS82" s="684"/>
      <c r="QMT82" s="684"/>
      <c r="QMU82" s="684"/>
      <c r="QMV82" s="684"/>
      <c r="QMW82" s="684"/>
      <c r="QMX82" s="684"/>
      <c r="QMY82" s="684"/>
      <c r="QMZ82" s="684"/>
      <c r="QNA82" s="684"/>
      <c r="QNB82" s="684"/>
      <c r="QNC82" s="684"/>
      <c r="QND82" s="684"/>
      <c r="QNE82" s="684"/>
      <c r="QNF82" s="684"/>
      <c r="QNG82" s="684"/>
      <c r="QNH82" s="684"/>
      <c r="QNI82" s="684"/>
      <c r="QNJ82" s="684"/>
      <c r="QNK82" s="684"/>
      <c r="QNL82" s="684"/>
      <c r="QNM82" s="684"/>
      <c r="QNN82" s="684"/>
      <c r="QNO82" s="684"/>
      <c r="QNP82" s="684"/>
      <c r="QNQ82" s="684"/>
      <c r="QNR82" s="684"/>
      <c r="QNS82" s="684"/>
      <c r="QNT82" s="684"/>
      <c r="QNU82" s="684"/>
      <c r="QNV82" s="684"/>
      <c r="QNW82" s="684"/>
      <c r="QNX82" s="684"/>
      <c r="QNY82" s="684"/>
      <c r="QNZ82" s="684"/>
      <c r="QOA82" s="684"/>
      <c r="QOB82" s="684"/>
      <c r="QOC82" s="684"/>
      <c r="QOD82" s="684"/>
      <c r="QOE82" s="684"/>
      <c r="QOF82" s="684"/>
      <c r="QOG82" s="684"/>
      <c r="QOH82" s="684"/>
      <c r="QOI82" s="684"/>
      <c r="QOJ82" s="684"/>
      <c r="QOK82" s="684"/>
      <c r="QOL82" s="684"/>
      <c r="QOM82" s="684"/>
      <c r="QON82" s="684"/>
      <c r="QOO82" s="684"/>
      <c r="QOP82" s="684"/>
      <c r="QOQ82" s="684"/>
      <c r="QOR82" s="684"/>
      <c r="QOS82" s="684"/>
      <c r="QOT82" s="684"/>
      <c r="QOU82" s="684"/>
      <c r="QOV82" s="684"/>
      <c r="QOW82" s="684"/>
      <c r="QOX82" s="684"/>
      <c r="QOY82" s="684"/>
      <c r="QOZ82" s="684"/>
      <c r="QPA82" s="684"/>
      <c r="QPB82" s="684"/>
      <c r="QPC82" s="684"/>
      <c r="QPD82" s="684"/>
      <c r="QPE82" s="684"/>
      <c r="QPF82" s="684"/>
      <c r="QPG82" s="684"/>
      <c r="QPH82" s="684"/>
      <c r="QPI82" s="684"/>
      <c r="QPJ82" s="684"/>
      <c r="QPK82" s="684"/>
      <c r="QPL82" s="684"/>
      <c r="QPM82" s="684"/>
      <c r="QPN82" s="684"/>
      <c r="QPO82" s="684"/>
      <c r="QPP82" s="684"/>
      <c r="QPQ82" s="684"/>
      <c r="QPR82" s="684"/>
      <c r="QPS82" s="684"/>
      <c r="QPT82" s="684"/>
      <c r="QPU82" s="684"/>
      <c r="QPV82" s="684"/>
      <c r="QPW82" s="684"/>
      <c r="QPX82" s="684"/>
      <c r="QPY82" s="684"/>
      <c r="QPZ82" s="684"/>
      <c r="QQA82" s="684"/>
      <c r="QQB82" s="684"/>
      <c r="QQC82" s="684"/>
      <c r="QQD82" s="684"/>
      <c r="QQE82" s="684"/>
      <c r="QQF82" s="684"/>
      <c r="QQG82" s="684"/>
      <c r="QQH82" s="684"/>
      <c r="QQI82" s="684"/>
      <c r="QQJ82" s="684"/>
      <c r="QQK82" s="684"/>
      <c r="QQL82" s="684"/>
      <c r="QQM82" s="684"/>
      <c r="QQN82" s="684"/>
      <c r="QQO82" s="684"/>
      <c r="QQP82" s="684"/>
      <c r="QQQ82" s="684"/>
      <c r="QQR82" s="684"/>
      <c r="QQS82" s="684"/>
      <c r="QQT82" s="684"/>
      <c r="QQU82" s="684"/>
      <c r="QQV82" s="684"/>
      <c r="QQW82" s="684"/>
      <c r="QQX82" s="684"/>
      <c r="QQY82" s="684"/>
      <c r="QQZ82" s="684"/>
      <c r="QRA82" s="684"/>
      <c r="QRB82" s="684"/>
      <c r="QRC82" s="684"/>
      <c r="QRD82" s="684"/>
      <c r="QRE82" s="684"/>
      <c r="QRF82" s="684"/>
      <c r="QRG82" s="684"/>
      <c r="QRH82" s="684"/>
      <c r="QRI82" s="684"/>
      <c r="QRJ82" s="684"/>
      <c r="QRK82" s="684"/>
      <c r="QRL82" s="684"/>
      <c r="QRM82" s="684"/>
      <c r="QRN82" s="684"/>
      <c r="QRO82" s="684"/>
      <c r="QRP82" s="684"/>
      <c r="QRQ82" s="684"/>
      <c r="QRR82" s="684"/>
      <c r="QRS82" s="684"/>
      <c r="QRT82" s="684"/>
      <c r="QRU82" s="684"/>
      <c r="QRV82" s="684"/>
      <c r="QRW82" s="684"/>
      <c r="QRX82" s="684"/>
      <c r="QRY82" s="684"/>
      <c r="QRZ82" s="684"/>
      <c r="QSA82" s="684"/>
      <c r="QSB82" s="684"/>
      <c r="QSC82" s="684"/>
      <c r="QSD82" s="684"/>
      <c r="QSE82" s="684"/>
      <c r="QSF82" s="684"/>
      <c r="QSG82" s="684"/>
      <c r="QSH82" s="684"/>
      <c r="QSI82" s="684"/>
      <c r="QSJ82" s="684"/>
      <c r="QSK82" s="684"/>
      <c r="QSL82" s="684"/>
      <c r="QSM82" s="684"/>
      <c r="QSN82" s="684"/>
      <c r="QSO82" s="684"/>
      <c r="QSP82" s="684"/>
      <c r="QSQ82" s="684"/>
      <c r="QSR82" s="684"/>
      <c r="QSS82" s="684"/>
      <c r="QST82" s="684"/>
      <c r="QSU82" s="684"/>
      <c r="QSV82" s="684"/>
      <c r="QSW82" s="684"/>
      <c r="QSX82" s="684"/>
      <c r="QSY82" s="684"/>
      <c r="QSZ82" s="684"/>
      <c r="QTA82" s="684"/>
      <c r="QTB82" s="684"/>
      <c r="QTC82" s="684"/>
      <c r="QTD82" s="684"/>
      <c r="QTE82" s="684"/>
      <c r="QTF82" s="684"/>
      <c r="QTG82" s="684"/>
      <c r="QTH82" s="684"/>
      <c r="QTI82" s="684"/>
      <c r="QTJ82" s="684"/>
      <c r="QTK82" s="684"/>
      <c r="QTL82" s="684"/>
      <c r="QTM82" s="684"/>
      <c r="QTN82" s="684"/>
      <c r="QTO82" s="684"/>
      <c r="QTP82" s="684"/>
      <c r="QTQ82" s="684"/>
      <c r="QTR82" s="684"/>
      <c r="QTS82" s="684"/>
      <c r="QTT82" s="684"/>
      <c r="QTU82" s="684"/>
      <c r="QTV82" s="684"/>
      <c r="QTW82" s="684"/>
      <c r="QTX82" s="684"/>
      <c r="QTY82" s="684"/>
      <c r="QTZ82" s="684"/>
      <c r="QUA82" s="684"/>
      <c r="QUB82" s="684"/>
      <c r="QUC82" s="684"/>
      <c r="QUD82" s="684"/>
      <c r="QUE82" s="684"/>
      <c r="QUF82" s="684"/>
      <c r="QUG82" s="684"/>
      <c r="QUH82" s="684"/>
      <c r="QUI82" s="684"/>
      <c r="QUJ82" s="684"/>
      <c r="QUK82" s="684"/>
      <c r="QUL82" s="684"/>
      <c r="QUM82" s="684"/>
      <c r="QUN82" s="684"/>
      <c r="QUO82" s="684"/>
      <c r="QUP82" s="684"/>
      <c r="QUQ82" s="684"/>
      <c r="QUR82" s="684"/>
      <c r="QUS82" s="684"/>
      <c r="QUT82" s="684"/>
      <c r="QUU82" s="684"/>
      <c r="QUV82" s="684"/>
      <c r="QUW82" s="684"/>
      <c r="QUX82" s="684"/>
      <c r="QUY82" s="684"/>
      <c r="QUZ82" s="684"/>
      <c r="QVA82" s="684"/>
      <c r="QVB82" s="684"/>
      <c r="QVC82" s="684"/>
      <c r="QVD82" s="684"/>
      <c r="QVE82" s="684"/>
      <c r="QVF82" s="684"/>
      <c r="QVG82" s="684"/>
      <c r="QVH82" s="684"/>
      <c r="QVI82" s="684"/>
      <c r="QVJ82" s="684"/>
      <c r="QVK82" s="684"/>
      <c r="QVL82" s="684"/>
      <c r="QVM82" s="684"/>
      <c r="QVN82" s="684"/>
      <c r="QVO82" s="684"/>
      <c r="QVP82" s="684"/>
      <c r="QVQ82" s="684"/>
      <c r="QVR82" s="684"/>
      <c r="QVS82" s="684"/>
      <c r="QVT82" s="684"/>
      <c r="QVU82" s="684"/>
      <c r="QVV82" s="684"/>
      <c r="QVW82" s="684"/>
      <c r="QVX82" s="684"/>
      <c r="QVY82" s="684"/>
      <c r="QVZ82" s="684"/>
      <c r="QWA82" s="684"/>
      <c r="QWB82" s="684"/>
      <c r="QWC82" s="684"/>
      <c r="QWD82" s="684"/>
      <c r="QWE82" s="684"/>
      <c r="QWF82" s="684"/>
      <c r="QWG82" s="684"/>
      <c r="QWH82" s="684"/>
      <c r="QWI82" s="684"/>
      <c r="QWJ82" s="684"/>
      <c r="QWK82" s="684"/>
      <c r="QWL82" s="684"/>
      <c r="QWM82" s="684"/>
      <c r="QWN82" s="684"/>
      <c r="QWO82" s="684"/>
      <c r="QWP82" s="684"/>
      <c r="QWQ82" s="684"/>
      <c r="QWR82" s="684"/>
      <c r="QWS82" s="684"/>
      <c r="QWT82" s="684"/>
      <c r="QWU82" s="684"/>
      <c r="QWV82" s="684"/>
      <c r="QWW82" s="684"/>
      <c r="QWX82" s="684"/>
      <c r="QWY82" s="684"/>
      <c r="QWZ82" s="684"/>
      <c r="QXA82" s="684"/>
      <c r="QXB82" s="684"/>
      <c r="QXC82" s="684"/>
      <c r="QXD82" s="684"/>
      <c r="QXE82" s="684"/>
      <c r="QXF82" s="684"/>
      <c r="QXG82" s="684"/>
      <c r="QXH82" s="684"/>
      <c r="QXI82" s="684"/>
      <c r="QXJ82" s="684"/>
      <c r="QXK82" s="684"/>
      <c r="QXL82" s="684"/>
      <c r="QXM82" s="684"/>
      <c r="QXN82" s="684"/>
      <c r="QXO82" s="684"/>
      <c r="QXP82" s="684"/>
      <c r="QXQ82" s="684"/>
      <c r="QXR82" s="684"/>
      <c r="QXS82" s="684"/>
      <c r="QXT82" s="684"/>
      <c r="QXU82" s="684"/>
      <c r="QXV82" s="684"/>
      <c r="QXW82" s="684"/>
      <c r="QXX82" s="684"/>
      <c r="QXY82" s="684"/>
      <c r="QXZ82" s="684"/>
      <c r="QYA82" s="684"/>
      <c r="QYB82" s="684"/>
      <c r="QYC82" s="684"/>
      <c r="QYD82" s="684"/>
      <c r="QYE82" s="684"/>
      <c r="QYF82" s="684"/>
      <c r="QYG82" s="684"/>
      <c r="QYH82" s="684"/>
      <c r="QYI82" s="684"/>
      <c r="QYJ82" s="684"/>
      <c r="QYK82" s="684"/>
      <c r="QYL82" s="684"/>
      <c r="QYM82" s="684"/>
      <c r="QYN82" s="684"/>
      <c r="QYO82" s="684"/>
      <c r="QYP82" s="684"/>
      <c r="QYQ82" s="684"/>
      <c r="QYR82" s="684"/>
      <c r="QYS82" s="684"/>
      <c r="QYT82" s="684"/>
      <c r="QYU82" s="684"/>
      <c r="QYV82" s="684"/>
      <c r="QYW82" s="684"/>
      <c r="QYX82" s="684"/>
      <c r="QYY82" s="684"/>
      <c r="QYZ82" s="684"/>
      <c r="QZA82" s="684"/>
      <c r="QZB82" s="684"/>
      <c r="QZC82" s="684"/>
      <c r="QZD82" s="684"/>
      <c r="QZE82" s="684"/>
      <c r="QZF82" s="684"/>
      <c r="QZG82" s="684"/>
      <c r="QZH82" s="684"/>
      <c r="QZI82" s="684"/>
      <c r="QZJ82" s="684"/>
      <c r="QZK82" s="684"/>
      <c r="QZL82" s="684"/>
      <c r="QZM82" s="684"/>
      <c r="QZN82" s="684"/>
      <c r="QZO82" s="684"/>
      <c r="QZP82" s="684"/>
      <c r="QZQ82" s="684"/>
      <c r="QZR82" s="684"/>
      <c r="QZS82" s="684"/>
      <c r="QZT82" s="684"/>
      <c r="QZU82" s="684"/>
      <c r="QZV82" s="684"/>
      <c r="QZW82" s="684"/>
      <c r="QZX82" s="684"/>
      <c r="QZY82" s="684"/>
      <c r="QZZ82" s="684"/>
      <c r="RAA82" s="684"/>
      <c r="RAB82" s="684"/>
      <c r="RAC82" s="684"/>
      <c r="RAD82" s="684"/>
      <c r="RAE82" s="684"/>
      <c r="RAF82" s="684"/>
      <c r="RAG82" s="684"/>
      <c r="RAH82" s="684"/>
      <c r="RAI82" s="684"/>
      <c r="RAJ82" s="684"/>
      <c r="RAK82" s="684"/>
      <c r="RAL82" s="684"/>
      <c r="RAM82" s="684"/>
      <c r="RAN82" s="684"/>
      <c r="RAO82" s="684"/>
      <c r="RAP82" s="684"/>
      <c r="RAQ82" s="684"/>
      <c r="RAR82" s="684"/>
      <c r="RAS82" s="684"/>
      <c r="RAT82" s="684"/>
      <c r="RAU82" s="684"/>
      <c r="RAV82" s="684"/>
      <c r="RAW82" s="684"/>
      <c r="RAX82" s="684"/>
      <c r="RAY82" s="684"/>
      <c r="RAZ82" s="684"/>
      <c r="RBA82" s="684"/>
      <c r="RBB82" s="684"/>
      <c r="RBC82" s="684"/>
      <c r="RBD82" s="684"/>
      <c r="RBE82" s="684"/>
      <c r="RBF82" s="684"/>
      <c r="RBG82" s="684"/>
      <c r="RBH82" s="684"/>
      <c r="RBI82" s="684"/>
      <c r="RBJ82" s="684"/>
      <c r="RBK82" s="684"/>
      <c r="RBL82" s="684"/>
      <c r="RBM82" s="684"/>
      <c r="RBN82" s="684"/>
      <c r="RBO82" s="684"/>
      <c r="RBP82" s="684"/>
      <c r="RBQ82" s="684"/>
      <c r="RBR82" s="684"/>
      <c r="RBS82" s="684"/>
      <c r="RBT82" s="684"/>
      <c r="RBU82" s="684"/>
      <c r="RBV82" s="684"/>
      <c r="RBW82" s="684"/>
      <c r="RBX82" s="684"/>
      <c r="RBY82" s="684"/>
      <c r="RBZ82" s="684"/>
      <c r="RCA82" s="684"/>
      <c r="RCB82" s="684"/>
      <c r="RCC82" s="684"/>
      <c r="RCD82" s="684"/>
      <c r="RCE82" s="684"/>
      <c r="RCF82" s="684"/>
      <c r="RCG82" s="684"/>
      <c r="RCH82" s="684"/>
      <c r="RCI82" s="684"/>
      <c r="RCJ82" s="684"/>
      <c r="RCK82" s="684"/>
      <c r="RCL82" s="684"/>
      <c r="RCM82" s="684"/>
      <c r="RCN82" s="684"/>
      <c r="RCO82" s="684"/>
      <c r="RCP82" s="684"/>
      <c r="RCQ82" s="684"/>
      <c r="RCR82" s="684"/>
      <c r="RCS82" s="684"/>
      <c r="RCT82" s="684"/>
      <c r="RCU82" s="684"/>
      <c r="RCV82" s="684"/>
      <c r="RCW82" s="684"/>
      <c r="RCX82" s="684"/>
      <c r="RCY82" s="684"/>
      <c r="RCZ82" s="684"/>
      <c r="RDA82" s="684"/>
      <c r="RDB82" s="684"/>
      <c r="RDC82" s="684"/>
      <c r="RDD82" s="684"/>
      <c r="RDE82" s="684"/>
      <c r="RDF82" s="684"/>
      <c r="RDG82" s="684"/>
      <c r="RDH82" s="684"/>
      <c r="RDI82" s="684"/>
      <c r="RDJ82" s="684"/>
      <c r="RDK82" s="684"/>
      <c r="RDL82" s="684"/>
      <c r="RDM82" s="684"/>
      <c r="RDN82" s="684"/>
      <c r="RDO82" s="684"/>
      <c r="RDP82" s="684"/>
      <c r="RDQ82" s="684"/>
      <c r="RDR82" s="684"/>
      <c r="RDS82" s="684"/>
      <c r="RDT82" s="684"/>
      <c r="RDU82" s="684"/>
      <c r="RDV82" s="684"/>
      <c r="RDW82" s="684"/>
      <c r="RDX82" s="684"/>
      <c r="RDY82" s="684"/>
      <c r="RDZ82" s="684"/>
      <c r="REA82" s="684"/>
      <c r="REB82" s="684"/>
      <c r="REC82" s="684"/>
      <c r="RED82" s="684"/>
      <c r="REE82" s="684"/>
      <c r="REF82" s="684"/>
      <c r="REG82" s="684"/>
      <c r="REH82" s="684"/>
      <c r="REI82" s="684"/>
      <c r="REJ82" s="684"/>
      <c r="REK82" s="684"/>
      <c r="REL82" s="684"/>
      <c r="REM82" s="684"/>
      <c r="REN82" s="684"/>
      <c r="REO82" s="684"/>
      <c r="REP82" s="684"/>
      <c r="REQ82" s="684"/>
      <c r="RER82" s="684"/>
      <c r="RES82" s="684"/>
      <c r="RET82" s="684"/>
      <c r="REU82" s="684"/>
      <c r="REV82" s="684"/>
      <c r="REW82" s="684"/>
      <c r="REX82" s="684"/>
      <c r="REY82" s="684"/>
      <c r="REZ82" s="684"/>
      <c r="RFA82" s="684"/>
      <c r="RFB82" s="684"/>
      <c r="RFC82" s="684"/>
      <c r="RFD82" s="684"/>
      <c r="RFE82" s="684"/>
      <c r="RFF82" s="684"/>
      <c r="RFG82" s="684"/>
      <c r="RFH82" s="684"/>
      <c r="RFI82" s="684"/>
      <c r="RFJ82" s="684"/>
      <c r="RFK82" s="684"/>
      <c r="RFL82" s="684"/>
      <c r="RFM82" s="684"/>
      <c r="RFN82" s="684"/>
      <c r="RFO82" s="684"/>
      <c r="RFP82" s="684"/>
      <c r="RFQ82" s="684"/>
      <c r="RFR82" s="684"/>
      <c r="RFS82" s="684"/>
      <c r="RFT82" s="684"/>
      <c r="RFU82" s="684"/>
      <c r="RFV82" s="684"/>
      <c r="RFW82" s="684"/>
      <c r="RFX82" s="684"/>
      <c r="RFY82" s="684"/>
      <c r="RFZ82" s="684"/>
      <c r="RGA82" s="684"/>
      <c r="RGB82" s="684"/>
      <c r="RGC82" s="684"/>
      <c r="RGD82" s="684"/>
      <c r="RGE82" s="684"/>
      <c r="RGF82" s="684"/>
      <c r="RGG82" s="684"/>
      <c r="RGH82" s="684"/>
      <c r="RGI82" s="684"/>
      <c r="RGJ82" s="684"/>
      <c r="RGK82" s="684"/>
      <c r="RGL82" s="684"/>
      <c r="RGM82" s="684"/>
      <c r="RGN82" s="684"/>
      <c r="RGO82" s="684"/>
      <c r="RGP82" s="684"/>
      <c r="RGQ82" s="684"/>
      <c r="RGR82" s="684"/>
      <c r="RGS82" s="684"/>
      <c r="RGT82" s="684"/>
      <c r="RGU82" s="684"/>
      <c r="RGV82" s="684"/>
      <c r="RGW82" s="684"/>
      <c r="RGX82" s="684"/>
      <c r="RGY82" s="684"/>
      <c r="RGZ82" s="684"/>
      <c r="RHA82" s="684"/>
      <c r="RHB82" s="684"/>
      <c r="RHC82" s="684"/>
      <c r="RHD82" s="684"/>
      <c r="RHE82" s="684"/>
      <c r="RHF82" s="684"/>
      <c r="RHG82" s="684"/>
      <c r="RHH82" s="684"/>
      <c r="RHI82" s="684"/>
      <c r="RHJ82" s="684"/>
      <c r="RHK82" s="684"/>
      <c r="RHL82" s="684"/>
      <c r="RHM82" s="684"/>
      <c r="RHN82" s="684"/>
      <c r="RHO82" s="684"/>
      <c r="RHP82" s="684"/>
      <c r="RHQ82" s="684"/>
      <c r="RHR82" s="684"/>
      <c r="RHS82" s="684"/>
      <c r="RHT82" s="684"/>
      <c r="RHU82" s="684"/>
      <c r="RHV82" s="684"/>
      <c r="RHW82" s="684"/>
      <c r="RHX82" s="684"/>
      <c r="RHY82" s="684"/>
      <c r="RHZ82" s="684"/>
      <c r="RIA82" s="684"/>
      <c r="RIB82" s="684"/>
      <c r="RIC82" s="684"/>
      <c r="RID82" s="684"/>
      <c r="RIE82" s="684"/>
      <c r="RIF82" s="684"/>
      <c r="RIG82" s="684"/>
      <c r="RIH82" s="684"/>
      <c r="RII82" s="684"/>
      <c r="RIJ82" s="684"/>
      <c r="RIK82" s="684"/>
      <c r="RIL82" s="684"/>
      <c r="RIM82" s="684"/>
      <c r="RIN82" s="684"/>
      <c r="RIO82" s="684"/>
      <c r="RIP82" s="684"/>
      <c r="RIQ82" s="684"/>
      <c r="RIR82" s="684"/>
      <c r="RIS82" s="684"/>
      <c r="RIT82" s="684"/>
      <c r="RIU82" s="684"/>
      <c r="RIV82" s="684"/>
      <c r="RIW82" s="684"/>
      <c r="RIX82" s="684"/>
      <c r="RIY82" s="684"/>
      <c r="RIZ82" s="684"/>
      <c r="RJA82" s="684"/>
      <c r="RJB82" s="684"/>
      <c r="RJC82" s="684"/>
      <c r="RJD82" s="684"/>
      <c r="RJE82" s="684"/>
      <c r="RJF82" s="684"/>
      <c r="RJG82" s="684"/>
      <c r="RJH82" s="684"/>
      <c r="RJI82" s="684"/>
      <c r="RJJ82" s="684"/>
      <c r="RJK82" s="684"/>
      <c r="RJL82" s="684"/>
      <c r="RJM82" s="684"/>
      <c r="RJN82" s="684"/>
      <c r="RJO82" s="684"/>
      <c r="RJP82" s="684"/>
      <c r="RJQ82" s="684"/>
      <c r="RJR82" s="684"/>
      <c r="RJS82" s="684"/>
      <c r="RJT82" s="684"/>
      <c r="RJU82" s="684"/>
      <c r="RJV82" s="684"/>
      <c r="RJW82" s="684"/>
      <c r="RJX82" s="684"/>
      <c r="RJY82" s="684"/>
      <c r="RJZ82" s="684"/>
      <c r="RKA82" s="684"/>
      <c r="RKB82" s="684"/>
      <c r="RKC82" s="684"/>
      <c r="RKD82" s="684"/>
      <c r="RKE82" s="684"/>
      <c r="RKF82" s="684"/>
      <c r="RKG82" s="684"/>
      <c r="RKH82" s="684"/>
      <c r="RKI82" s="684"/>
      <c r="RKJ82" s="684"/>
      <c r="RKK82" s="684"/>
      <c r="RKL82" s="684"/>
      <c r="RKM82" s="684"/>
      <c r="RKN82" s="684"/>
      <c r="RKO82" s="684"/>
      <c r="RKP82" s="684"/>
      <c r="RKQ82" s="684"/>
      <c r="RKR82" s="684"/>
      <c r="RKS82" s="684"/>
      <c r="RKT82" s="684"/>
      <c r="RKU82" s="684"/>
      <c r="RKV82" s="684"/>
      <c r="RKW82" s="684"/>
      <c r="RKX82" s="684"/>
      <c r="RKY82" s="684"/>
      <c r="RKZ82" s="684"/>
      <c r="RLA82" s="684"/>
      <c r="RLB82" s="684"/>
      <c r="RLC82" s="684"/>
      <c r="RLD82" s="684"/>
      <c r="RLE82" s="684"/>
      <c r="RLF82" s="684"/>
      <c r="RLG82" s="684"/>
      <c r="RLH82" s="684"/>
      <c r="RLI82" s="684"/>
      <c r="RLJ82" s="684"/>
      <c r="RLK82" s="684"/>
      <c r="RLL82" s="684"/>
      <c r="RLM82" s="684"/>
      <c r="RLN82" s="684"/>
      <c r="RLO82" s="684"/>
      <c r="RLP82" s="684"/>
      <c r="RLQ82" s="684"/>
      <c r="RLR82" s="684"/>
      <c r="RLS82" s="684"/>
      <c r="RLT82" s="684"/>
      <c r="RLU82" s="684"/>
      <c r="RLV82" s="684"/>
      <c r="RLW82" s="684"/>
      <c r="RLX82" s="684"/>
      <c r="RLY82" s="684"/>
      <c r="RLZ82" s="684"/>
      <c r="RMA82" s="684"/>
      <c r="RMB82" s="684"/>
      <c r="RMC82" s="684"/>
      <c r="RMD82" s="684"/>
      <c r="RME82" s="684"/>
      <c r="RMF82" s="684"/>
      <c r="RMG82" s="684"/>
      <c r="RMH82" s="684"/>
      <c r="RMI82" s="684"/>
      <c r="RMJ82" s="684"/>
      <c r="RMK82" s="684"/>
      <c r="RML82" s="684"/>
      <c r="RMM82" s="684"/>
      <c r="RMN82" s="684"/>
      <c r="RMO82" s="684"/>
      <c r="RMP82" s="684"/>
      <c r="RMQ82" s="684"/>
      <c r="RMR82" s="684"/>
      <c r="RMS82" s="684"/>
      <c r="RMT82" s="684"/>
      <c r="RMU82" s="684"/>
      <c r="RMV82" s="684"/>
      <c r="RMW82" s="684"/>
      <c r="RMX82" s="684"/>
      <c r="RMY82" s="684"/>
      <c r="RMZ82" s="684"/>
      <c r="RNA82" s="684"/>
      <c r="RNB82" s="684"/>
      <c r="RNC82" s="684"/>
      <c r="RND82" s="684"/>
      <c r="RNE82" s="684"/>
      <c r="RNF82" s="684"/>
      <c r="RNG82" s="684"/>
      <c r="RNH82" s="684"/>
      <c r="RNI82" s="684"/>
      <c r="RNJ82" s="684"/>
      <c r="RNK82" s="684"/>
      <c r="RNL82" s="684"/>
      <c r="RNM82" s="684"/>
      <c r="RNN82" s="684"/>
      <c r="RNO82" s="684"/>
      <c r="RNP82" s="684"/>
      <c r="RNQ82" s="684"/>
      <c r="RNR82" s="684"/>
      <c r="RNS82" s="684"/>
      <c r="RNT82" s="684"/>
      <c r="RNU82" s="684"/>
      <c r="RNV82" s="684"/>
      <c r="RNW82" s="684"/>
      <c r="RNX82" s="684"/>
      <c r="RNY82" s="684"/>
      <c r="RNZ82" s="684"/>
      <c r="ROA82" s="684"/>
      <c r="ROB82" s="684"/>
      <c r="ROC82" s="684"/>
      <c r="ROD82" s="684"/>
      <c r="ROE82" s="684"/>
      <c r="ROF82" s="684"/>
      <c r="ROG82" s="684"/>
      <c r="ROH82" s="684"/>
      <c r="ROI82" s="684"/>
      <c r="ROJ82" s="684"/>
      <c r="ROK82" s="684"/>
      <c r="ROL82" s="684"/>
      <c r="ROM82" s="684"/>
      <c r="RON82" s="684"/>
      <c r="ROO82" s="684"/>
      <c r="ROP82" s="684"/>
      <c r="ROQ82" s="684"/>
      <c r="ROR82" s="684"/>
      <c r="ROS82" s="684"/>
      <c r="ROT82" s="684"/>
      <c r="ROU82" s="684"/>
      <c r="ROV82" s="684"/>
      <c r="ROW82" s="684"/>
      <c r="ROX82" s="684"/>
      <c r="ROY82" s="684"/>
      <c r="ROZ82" s="684"/>
      <c r="RPA82" s="684"/>
      <c r="RPB82" s="684"/>
      <c r="RPC82" s="684"/>
      <c r="RPD82" s="684"/>
      <c r="RPE82" s="684"/>
      <c r="RPF82" s="684"/>
      <c r="RPG82" s="684"/>
      <c r="RPH82" s="684"/>
      <c r="RPI82" s="684"/>
      <c r="RPJ82" s="684"/>
      <c r="RPK82" s="684"/>
      <c r="RPL82" s="684"/>
      <c r="RPM82" s="684"/>
      <c r="RPN82" s="684"/>
      <c r="RPO82" s="684"/>
      <c r="RPP82" s="684"/>
      <c r="RPQ82" s="684"/>
      <c r="RPR82" s="684"/>
      <c r="RPS82" s="684"/>
      <c r="RPT82" s="684"/>
      <c r="RPU82" s="684"/>
      <c r="RPV82" s="684"/>
      <c r="RPW82" s="684"/>
      <c r="RPX82" s="684"/>
      <c r="RPY82" s="684"/>
      <c r="RPZ82" s="684"/>
      <c r="RQA82" s="684"/>
      <c r="RQB82" s="684"/>
      <c r="RQC82" s="684"/>
      <c r="RQD82" s="684"/>
      <c r="RQE82" s="684"/>
      <c r="RQF82" s="684"/>
      <c r="RQG82" s="684"/>
      <c r="RQH82" s="684"/>
      <c r="RQI82" s="684"/>
      <c r="RQJ82" s="684"/>
      <c r="RQK82" s="684"/>
      <c r="RQL82" s="684"/>
      <c r="RQM82" s="684"/>
      <c r="RQN82" s="684"/>
      <c r="RQO82" s="684"/>
      <c r="RQP82" s="684"/>
      <c r="RQQ82" s="684"/>
      <c r="RQR82" s="684"/>
      <c r="RQS82" s="684"/>
      <c r="RQT82" s="684"/>
      <c r="RQU82" s="684"/>
      <c r="RQV82" s="684"/>
      <c r="RQW82" s="684"/>
      <c r="RQX82" s="684"/>
      <c r="RQY82" s="684"/>
      <c r="RQZ82" s="684"/>
      <c r="RRA82" s="684"/>
      <c r="RRB82" s="684"/>
      <c r="RRC82" s="684"/>
      <c r="RRD82" s="684"/>
      <c r="RRE82" s="684"/>
      <c r="RRF82" s="684"/>
      <c r="RRG82" s="684"/>
      <c r="RRH82" s="684"/>
      <c r="RRI82" s="684"/>
      <c r="RRJ82" s="684"/>
      <c r="RRK82" s="684"/>
      <c r="RRL82" s="684"/>
      <c r="RRM82" s="684"/>
      <c r="RRN82" s="684"/>
      <c r="RRO82" s="684"/>
      <c r="RRP82" s="684"/>
      <c r="RRQ82" s="684"/>
      <c r="RRR82" s="684"/>
      <c r="RRS82" s="684"/>
      <c r="RRT82" s="684"/>
      <c r="RRU82" s="684"/>
      <c r="RRV82" s="684"/>
      <c r="RRW82" s="684"/>
      <c r="RRX82" s="684"/>
      <c r="RRY82" s="684"/>
      <c r="RRZ82" s="684"/>
      <c r="RSA82" s="684"/>
      <c r="RSB82" s="684"/>
      <c r="RSC82" s="684"/>
      <c r="RSD82" s="684"/>
      <c r="RSE82" s="684"/>
      <c r="RSF82" s="684"/>
      <c r="RSG82" s="684"/>
      <c r="RSH82" s="684"/>
      <c r="RSI82" s="684"/>
      <c r="RSJ82" s="684"/>
      <c r="RSK82" s="684"/>
      <c r="RSL82" s="684"/>
      <c r="RSM82" s="684"/>
      <c r="RSN82" s="684"/>
      <c r="RSO82" s="684"/>
      <c r="RSP82" s="684"/>
      <c r="RSQ82" s="684"/>
      <c r="RSR82" s="684"/>
      <c r="RSS82" s="684"/>
      <c r="RST82" s="684"/>
      <c r="RSU82" s="684"/>
      <c r="RSV82" s="684"/>
      <c r="RSW82" s="684"/>
      <c r="RSX82" s="684"/>
      <c r="RSY82" s="684"/>
      <c r="RSZ82" s="684"/>
      <c r="RTA82" s="684"/>
      <c r="RTB82" s="684"/>
      <c r="RTC82" s="684"/>
      <c r="RTD82" s="684"/>
      <c r="RTE82" s="684"/>
      <c r="RTF82" s="684"/>
      <c r="RTG82" s="684"/>
      <c r="RTH82" s="684"/>
      <c r="RTI82" s="684"/>
      <c r="RTJ82" s="684"/>
      <c r="RTK82" s="684"/>
      <c r="RTL82" s="684"/>
      <c r="RTM82" s="684"/>
      <c r="RTN82" s="684"/>
      <c r="RTO82" s="684"/>
      <c r="RTP82" s="684"/>
      <c r="RTQ82" s="684"/>
      <c r="RTR82" s="684"/>
      <c r="RTS82" s="684"/>
      <c r="RTT82" s="684"/>
      <c r="RTU82" s="684"/>
      <c r="RTV82" s="684"/>
      <c r="RTW82" s="684"/>
      <c r="RTX82" s="684"/>
      <c r="RTY82" s="684"/>
      <c r="RTZ82" s="684"/>
      <c r="RUA82" s="684"/>
      <c r="RUB82" s="684"/>
      <c r="RUC82" s="684"/>
      <c r="RUD82" s="684"/>
      <c r="RUE82" s="684"/>
      <c r="RUF82" s="684"/>
      <c r="RUG82" s="684"/>
      <c r="RUH82" s="684"/>
      <c r="RUI82" s="684"/>
      <c r="RUJ82" s="684"/>
      <c r="RUK82" s="684"/>
      <c r="RUL82" s="684"/>
      <c r="RUM82" s="684"/>
      <c r="RUN82" s="684"/>
      <c r="RUO82" s="684"/>
      <c r="RUP82" s="684"/>
      <c r="RUQ82" s="684"/>
      <c r="RUR82" s="684"/>
      <c r="RUS82" s="684"/>
      <c r="RUT82" s="684"/>
      <c r="RUU82" s="684"/>
      <c r="RUV82" s="684"/>
      <c r="RUW82" s="684"/>
      <c r="RUX82" s="684"/>
      <c r="RUY82" s="684"/>
      <c r="RUZ82" s="684"/>
      <c r="RVA82" s="684"/>
      <c r="RVB82" s="684"/>
      <c r="RVC82" s="684"/>
      <c r="RVD82" s="684"/>
      <c r="RVE82" s="684"/>
      <c r="RVF82" s="684"/>
      <c r="RVG82" s="684"/>
      <c r="RVH82" s="684"/>
      <c r="RVI82" s="684"/>
      <c r="RVJ82" s="684"/>
      <c r="RVK82" s="684"/>
      <c r="RVL82" s="684"/>
      <c r="RVM82" s="684"/>
      <c r="RVN82" s="684"/>
      <c r="RVO82" s="684"/>
      <c r="RVP82" s="684"/>
      <c r="RVQ82" s="684"/>
      <c r="RVR82" s="684"/>
      <c r="RVS82" s="684"/>
      <c r="RVT82" s="684"/>
      <c r="RVU82" s="684"/>
      <c r="RVV82" s="684"/>
      <c r="RVW82" s="684"/>
      <c r="RVX82" s="684"/>
      <c r="RVY82" s="684"/>
      <c r="RVZ82" s="684"/>
      <c r="RWA82" s="684"/>
      <c r="RWB82" s="684"/>
      <c r="RWC82" s="684"/>
      <c r="RWD82" s="684"/>
      <c r="RWE82" s="684"/>
      <c r="RWF82" s="684"/>
      <c r="RWG82" s="684"/>
      <c r="RWH82" s="684"/>
      <c r="RWI82" s="684"/>
      <c r="RWJ82" s="684"/>
      <c r="RWK82" s="684"/>
      <c r="RWL82" s="684"/>
      <c r="RWM82" s="684"/>
      <c r="RWN82" s="684"/>
      <c r="RWO82" s="684"/>
      <c r="RWP82" s="684"/>
      <c r="RWQ82" s="684"/>
      <c r="RWR82" s="684"/>
      <c r="RWS82" s="684"/>
      <c r="RWT82" s="684"/>
      <c r="RWU82" s="684"/>
      <c r="RWV82" s="684"/>
      <c r="RWW82" s="684"/>
      <c r="RWX82" s="684"/>
      <c r="RWY82" s="684"/>
      <c r="RWZ82" s="684"/>
      <c r="RXA82" s="684"/>
      <c r="RXB82" s="684"/>
      <c r="RXC82" s="684"/>
      <c r="RXD82" s="684"/>
      <c r="RXE82" s="684"/>
      <c r="RXF82" s="684"/>
      <c r="RXG82" s="684"/>
      <c r="RXH82" s="684"/>
      <c r="RXI82" s="684"/>
      <c r="RXJ82" s="684"/>
      <c r="RXK82" s="684"/>
      <c r="RXL82" s="684"/>
      <c r="RXM82" s="684"/>
      <c r="RXN82" s="684"/>
      <c r="RXO82" s="684"/>
      <c r="RXP82" s="684"/>
      <c r="RXQ82" s="684"/>
      <c r="RXR82" s="684"/>
      <c r="RXS82" s="684"/>
      <c r="RXT82" s="684"/>
      <c r="RXU82" s="684"/>
      <c r="RXV82" s="684"/>
      <c r="RXW82" s="684"/>
      <c r="RXX82" s="684"/>
      <c r="RXY82" s="684"/>
      <c r="RXZ82" s="684"/>
      <c r="RYA82" s="684"/>
      <c r="RYB82" s="684"/>
      <c r="RYC82" s="684"/>
      <c r="RYD82" s="684"/>
      <c r="RYE82" s="684"/>
      <c r="RYF82" s="684"/>
      <c r="RYG82" s="684"/>
      <c r="RYH82" s="684"/>
      <c r="RYI82" s="684"/>
      <c r="RYJ82" s="684"/>
      <c r="RYK82" s="684"/>
      <c r="RYL82" s="684"/>
      <c r="RYM82" s="684"/>
      <c r="RYN82" s="684"/>
      <c r="RYO82" s="684"/>
      <c r="RYP82" s="684"/>
      <c r="RYQ82" s="684"/>
      <c r="RYR82" s="684"/>
      <c r="RYS82" s="684"/>
      <c r="RYT82" s="684"/>
      <c r="RYU82" s="684"/>
      <c r="RYV82" s="684"/>
      <c r="RYW82" s="684"/>
      <c r="RYX82" s="684"/>
      <c r="RYY82" s="684"/>
      <c r="RYZ82" s="684"/>
      <c r="RZA82" s="684"/>
      <c r="RZB82" s="684"/>
      <c r="RZC82" s="684"/>
      <c r="RZD82" s="684"/>
      <c r="RZE82" s="684"/>
      <c r="RZF82" s="684"/>
      <c r="RZG82" s="684"/>
      <c r="RZH82" s="684"/>
      <c r="RZI82" s="684"/>
      <c r="RZJ82" s="684"/>
      <c r="RZK82" s="684"/>
      <c r="RZL82" s="684"/>
      <c r="RZM82" s="684"/>
      <c r="RZN82" s="684"/>
      <c r="RZO82" s="684"/>
      <c r="RZP82" s="684"/>
      <c r="RZQ82" s="684"/>
      <c r="RZR82" s="684"/>
      <c r="RZS82" s="684"/>
      <c r="RZT82" s="684"/>
      <c r="RZU82" s="684"/>
      <c r="RZV82" s="684"/>
      <c r="RZW82" s="684"/>
      <c r="RZX82" s="684"/>
      <c r="RZY82" s="684"/>
      <c r="RZZ82" s="684"/>
      <c r="SAA82" s="684"/>
      <c r="SAB82" s="684"/>
      <c r="SAC82" s="684"/>
      <c r="SAD82" s="684"/>
      <c r="SAE82" s="684"/>
      <c r="SAF82" s="684"/>
      <c r="SAG82" s="684"/>
      <c r="SAH82" s="684"/>
      <c r="SAI82" s="684"/>
      <c r="SAJ82" s="684"/>
      <c r="SAK82" s="684"/>
      <c r="SAL82" s="684"/>
      <c r="SAM82" s="684"/>
      <c r="SAN82" s="684"/>
      <c r="SAO82" s="684"/>
      <c r="SAP82" s="684"/>
      <c r="SAQ82" s="684"/>
      <c r="SAR82" s="684"/>
      <c r="SAS82" s="684"/>
      <c r="SAT82" s="684"/>
      <c r="SAU82" s="684"/>
      <c r="SAV82" s="684"/>
      <c r="SAW82" s="684"/>
      <c r="SAX82" s="684"/>
      <c r="SAY82" s="684"/>
      <c r="SAZ82" s="684"/>
      <c r="SBA82" s="684"/>
      <c r="SBB82" s="684"/>
      <c r="SBC82" s="684"/>
      <c r="SBD82" s="684"/>
      <c r="SBE82" s="684"/>
      <c r="SBF82" s="684"/>
      <c r="SBG82" s="684"/>
      <c r="SBH82" s="684"/>
      <c r="SBI82" s="684"/>
      <c r="SBJ82" s="684"/>
      <c r="SBK82" s="684"/>
      <c r="SBL82" s="684"/>
      <c r="SBM82" s="684"/>
      <c r="SBN82" s="684"/>
      <c r="SBO82" s="684"/>
      <c r="SBP82" s="684"/>
      <c r="SBQ82" s="684"/>
      <c r="SBR82" s="684"/>
      <c r="SBS82" s="684"/>
      <c r="SBT82" s="684"/>
      <c r="SBU82" s="684"/>
      <c r="SBV82" s="684"/>
      <c r="SBW82" s="684"/>
      <c r="SBX82" s="684"/>
      <c r="SBY82" s="684"/>
      <c r="SBZ82" s="684"/>
      <c r="SCA82" s="684"/>
      <c r="SCB82" s="684"/>
      <c r="SCC82" s="684"/>
      <c r="SCD82" s="684"/>
      <c r="SCE82" s="684"/>
      <c r="SCF82" s="684"/>
      <c r="SCG82" s="684"/>
      <c r="SCH82" s="684"/>
      <c r="SCI82" s="684"/>
      <c r="SCJ82" s="684"/>
      <c r="SCK82" s="684"/>
      <c r="SCL82" s="684"/>
      <c r="SCM82" s="684"/>
      <c r="SCN82" s="684"/>
      <c r="SCO82" s="684"/>
      <c r="SCP82" s="684"/>
      <c r="SCQ82" s="684"/>
      <c r="SCR82" s="684"/>
      <c r="SCS82" s="684"/>
      <c r="SCT82" s="684"/>
      <c r="SCU82" s="684"/>
      <c r="SCV82" s="684"/>
      <c r="SCW82" s="684"/>
      <c r="SCX82" s="684"/>
      <c r="SCY82" s="684"/>
      <c r="SCZ82" s="684"/>
      <c r="SDA82" s="684"/>
      <c r="SDB82" s="684"/>
      <c r="SDC82" s="684"/>
      <c r="SDD82" s="684"/>
      <c r="SDE82" s="684"/>
      <c r="SDF82" s="684"/>
      <c r="SDG82" s="684"/>
      <c r="SDH82" s="684"/>
      <c r="SDI82" s="684"/>
      <c r="SDJ82" s="684"/>
      <c r="SDK82" s="684"/>
      <c r="SDL82" s="684"/>
      <c r="SDM82" s="684"/>
      <c r="SDN82" s="684"/>
      <c r="SDO82" s="684"/>
      <c r="SDP82" s="684"/>
      <c r="SDQ82" s="684"/>
      <c r="SDR82" s="684"/>
      <c r="SDS82" s="684"/>
      <c r="SDT82" s="684"/>
      <c r="SDU82" s="684"/>
      <c r="SDV82" s="684"/>
      <c r="SDW82" s="684"/>
      <c r="SDX82" s="684"/>
      <c r="SDY82" s="684"/>
      <c r="SDZ82" s="684"/>
      <c r="SEA82" s="684"/>
      <c r="SEB82" s="684"/>
      <c r="SEC82" s="684"/>
      <c r="SED82" s="684"/>
      <c r="SEE82" s="684"/>
      <c r="SEF82" s="684"/>
      <c r="SEG82" s="684"/>
      <c r="SEH82" s="684"/>
      <c r="SEI82" s="684"/>
      <c r="SEJ82" s="684"/>
      <c r="SEK82" s="684"/>
      <c r="SEL82" s="684"/>
      <c r="SEM82" s="684"/>
      <c r="SEN82" s="684"/>
      <c r="SEO82" s="684"/>
      <c r="SEP82" s="684"/>
      <c r="SEQ82" s="684"/>
      <c r="SER82" s="684"/>
      <c r="SES82" s="684"/>
      <c r="SET82" s="684"/>
      <c r="SEU82" s="684"/>
      <c r="SEV82" s="684"/>
      <c r="SEW82" s="684"/>
      <c r="SEX82" s="684"/>
      <c r="SEY82" s="684"/>
      <c r="SEZ82" s="684"/>
      <c r="SFA82" s="684"/>
      <c r="SFB82" s="684"/>
      <c r="SFC82" s="684"/>
      <c r="SFD82" s="684"/>
      <c r="SFE82" s="684"/>
      <c r="SFF82" s="684"/>
      <c r="SFG82" s="684"/>
      <c r="SFH82" s="684"/>
      <c r="SFI82" s="684"/>
      <c r="SFJ82" s="684"/>
      <c r="SFK82" s="684"/>
      <c r="SFL82" s="684"/>
      <c r="SFM82" s="684"/>
      <c r="SFN82" s="684"/>
      <c r="SFO82" s="684"/>
      <c r="SFP82" s="684"/>
      <c r="SFQ82" s="684"/>
      <c r="SFR82" s="684"/>
      <c r="SFS82" s="684"/>
      <c r="SFT82" s="684"/>
      <c r="SFU82" s="684"/>
      <c r="SFV82" s="684"/>
      <c r="SFW82" s="684"/>
      <c r="SFX82" s="684"/>
      <c r="SFY82" s="684"/>
      <c r="SFZ82" s="684"/>
      <c r="SGA82" s="684"/>
      <c r="SGB82" s="684"/>
      <c r="SGC82" s="684"/>
      <c r="SGD82" s="684"/>
      <c r="SGE82" s="684"/>
      <c r="SGF82" s="684"/>
      <c r="SGG82" s="684"/>
      <c r="SGH82" s="684"/>
      <c r="SGI82" s="684"/>
      <c r="SGJ82" s="684"/>
      <c r="SGK82" s="684"/>
      <c r="SGL82" s="684"/>
      <c r="SGM82" s="684"/>
      <c r="SGN82" s="684"/>
      <c r="SGO82" s="684"/>
      <c r="SGP82" s="684"/>
      <c r="SGQ82" s="684"/>
      <c r="SGR82" s="684"/>
      <c r="SGS82" s="684"/>
      <c r="SGT82" s="684"/>
      <c r="SGU82" s="684"/>
      <c r="SGV82" s="684"/>
      <c r="SGW82" s="684"/>
      <c r="SGX82" s="684"/>
      <c r="SGY82" s="684"/>
      <c r="SGZ82" s="684"/>
      <c r="SHA82" s="684"/>
      <c r="SHB82" s="684"/>
      <c r="SHC82" s="684"/>
      <c r="SHD82" s="684"/>
      <c r="SHE82" s="684"/>
      <c r="SHF82" s="684"/>
      <c r="SHG82" s="684"/>
      <c r="SHH82" s="684"/>
      <c r="SHI82" s="684"/>
      <c r="SHJ82" s="684"/>
      <c r="SHK82" s="684"/>
      <c r="SHL82" s="684"/>
      <c r="SHM82" s="684"/>
      <c r="SHN82" s="684"/>
      <c r="SHO82" s="684"/>
      <c r="SHP82" s="684"/>
      <c r="SHQ82" s="684"/>
      <c r="SHR82" s="684"/>
      <c r="SHS82" s="684"/>
      <c r="SHT82" s="684"/>
      <c r="SHU82" s="684"/>
      <c r="SHV82" s="684"/>
      <c r="SHW82" s="684"/>
      <c r="SHX82" s="684"/>
      <c r="SHY82" s="684"/>
      <c r="SHZ82" s="684"/>
      <c r="SIA82" s="684"/>
      <c r="SIB82" s="684"/>
      <c r="SIC82" s="684"/>
      <c r="SID82" s="684"/>
      <c r="SIE82" s="684"/>
      <c r="SIF82" s="684"/>
      <c r="SIG82" s="684"/>
      <c r="SIH82" s="684"/>
      <c r="SII82" s="684"/>
      <c r="SIJ82" s="684"/>
      <c r="SIK82" s="684"/>
      <c r="SIL82" s="684"/>
      <c r="SIM82" s="684"/>
      <c r="SIN82" s="684"/>
      <c r="SIO82" s="684"/>
      <c r="SIP82" s="684"/>
      <c r="SIQ82" s="684"/>
      <c r="SIR82" s="684"/>
      <c r="SIS82" s="684"/>
      <c r="SIT82" s="684"/>
      <c r="SIU82" s="684"/>
      <c r="SIV82" s="684"/>
      <c r="SIW82" s="684"/>
      <c r="SIX82" s="684"/>
      <c r="SIY82" s="684"/>
      <c r="SIZ82" s="684"/>
      <c r="SJA82" s="684"/>
      <c r="SJB82" s="684"/>
      <c r="SJC82" s="684"/>
      <c r="SJD82" s="684"/>
      <c r="SJE82" s="684"/>
      <c r="SJF82" s="684"/>
      <c r="SJG82" s="684"/>
      <c r="SJH82" s="684"/>
      <c r="SJI82" s="684"/>
      <c r="SJJ82" s="684"/>
      <c r="SJK82" s="684"/>
      <c r="SJL82" s="684"/>
      <c r="SJM82" s="684"/>
      <c r="SJN82" s="684"/>
      <c r="SJO82" s="684"/>
      <c r="SJP82" s="684"/>
      <c r="SJQ82" s="684"/>
      <c r="SJR82" s="684"/>
      <c r="SJS82" s="684"/>
      <c r="SJT82" s="684"/>
      <c r="SJU82" s="684"/>
      <c r="SJV82" s="684"/>
      <c r="SJW82" s="684"/>
      <c r="SJX82" s="684"/>
      <c r="SJY82" s="684"/>
      <c r="SJZ82" s="684"/>
      <c r="SKA82" s="684"/>
      <c r="SKB82" s="684"/>
      <c r="SKC82" s="684"/>
      <c r="SKD82" s="684"/>
      <c r="SKE82" s="684"/>
      <c r="SKF82" s="684"/>
      <c r="SKG82" s="684"/>
      <c r="SKH82" s="684"/>
      <c r="SKI82" s="684"/>
      <c r="SKJ82" s="684"/>
      <c r="SKK82" s="684"/>
      <c r="SKL82" s="684"/>
      <c r="SKM82" s="684"/>
      <c r="SKN82" s="684"/>
      <c r="SKO82" s="684"/>
      <c r="SKP82" s="684"/>
      <c r="SKQ82" s="684"/>
      <c r="SKR82" s="684"/>
      <c r="SKS82" s="684"/>
      <c r="SKT82" s="684"/>
      <c r="SKU82" s="684"/>
      <c r="SKV82" s="684"/>
      <c r="SKW82" s="684"/>
      <c r="SKX82" s="684"/>
      <c r="SKY82" s="684"/>
      <c r="SKZ82" s="684"/>
      <c r="SLA82" s="684"/>
      <c r="SLB82" s="684"/>
      <c r="SLC82" s="684"/>
      <c r="SLD82" s="684"/>
      <c r="SLE82" s="684"/>
      <c r="SLF82" s="684"/>
      <c r="SLG82" s="684"/>
      <c r="SLH82" s="684"/>
      <c r="SLI82" s="684"/>
      <c r="SLJ82" s="684"/>
      <c r="SLK82" s="684"/>
      <c r="SLL82" s="684"/>
      <c r="SLM82" s="684"/>
      <c r="SLN82" s="684"/>
      <c r="SLO82" s="684"/>
      <c r="SLP82" s="684"/>
      <c r="SLQ82" s="684"/>
      <c r="SLR82" s="684"/>
      <c r="SLS82" s="684"/>
      <c r="SLT82" s="684"/>
      <c r="SLU82" s="684"/>
      <c r="SLV82" s="684"/>
      <c r="SLW82" s="684"/>
      <c r="SLX82" s="684"/>
      <c r="SLY82" s="684"/>
      <c r="SLZ82" s="684"/>
      <c r="SMA82" s="684"/>
      <c r="SMB82" s="684"/>
      <c r="SMC82" s="684"/>
      <c r="SMD82" s="684"/>
      <c r="SME82" s="684"/>
      <c r="SMF82" s="684"/>
      <c r="SMG82" s="684"/>
      <c r="SMH82" s="684"/>
      <c r="SMI82" s="684"/>
      <c r="SMJ82" s="684"/>
      <c r="SMK82" s="684"/>
      <c r="SML82" s="684"/>
      <c r="SMM82" s="684"/>
      <c r="SMN82" s="684"/>
      <c r="SMO82" s="684"/>
      <c r="SMP82" s="684"/>
      <c r="SMQ82" s="684"/>
      <c r="SMR82" s="684"/>
      <c r="SMS82" s="684"/>
      <c r="SMT82" s="684"/>
      <c r="SMU82" s="684"/>
      <c r="SMV82" s="684"/>
      <c r="SMW82" s="684"/>
      <c r="SMX82" s="684"/>
      <c r="SMY82" s="684"/>
      <c r="SMZ82" s="684"/>
      <c r="SNA82" s="684"/>
      <c r="SNB82" s="684"/>
      <c r="SNC82" s="684"/>
      <c r="SND82" s="684"/>
      <c r="SNE82" s="684"/>
      <c r="SNF82" s="684"/>
      <c r="SNG82" s="684"/>
      <c r="SNH82" s="684"/>
      <c r="SNI82" s="684"/>
      <c r="SNJ82" s="684"/>
      <c r="SNK82" s="684"/>
      <c r="SNL82" s="684"/>
      <c r="SNM82" s="684"/>
      <c r="SNN82" s="684"/>
      <c r="SNO82" s="684"/>
      <c r="SNP82" s="684"/>
      <c r="SNQ82" s="684"/>
      <c r="SNR82" s="684"/>
      <c r="SNS82" s="684"/>
      <c r="SNT82" s="684"/>
      <c r="SNU82" s="684"/>
      <c r="SNV82" s="684"/>
      <c r="SNW82" s="684"/>
      <c r="SNX82" s="684"/>
      <c r="SNY82" s="684"/>
      <c r="SNZ82" s="684"/>
      <c r="SOA82" s="684"/>
      <c r="SOB82" s="684"/>
      <c r="SOC82" s="684"/>
      <c r="SOD82" s="684"/>
      <c r="SOE82" s="684"/>
      <c r="SOF82" s="684"/>
      <c r="SOG82" s="684"/>
      <c r="SOH82" s="684"/>
      <c r="SOI82" s="684"/>
      <c r="SOJ82" s="684"/>
      <c r="SOK82" s="684"/>
      <c r="SOL82" s="684"/>
      <c r="SOM82" s="684"/>
      <c r="SON82" s="684"/>
      <c r="SOO82" s="684"/>
      <c r="SOP82" s="684"/>
      <c r="SOQ82" s="684"/>
      <c r="SOR82" s="684"/>
      <c r="SOS82" s="684"/>
      <c r="SOT82" s="684"/>
      <c r="SOU82" s="684"/>
      <c r="SOV82" s="684"/>
      <c r="SOW82" s="684"/>
      <c r="SOX82" s="684"/>
      <c r="SOY82" s="684"/>
      <c r="SOZ82" s="684"/>
      <c r="SPA82" s="684"/>
      <c r="SPB82" s="684"/>
      <c r="SPC82" s="684"/>
      <c r="SPD82" s="684"/>
      <c r="SPE82" s="684"/>
      <c r="SPF82" s="684"/>
      <c r="SPG82" s="684"/>
      <c r="SPH82" s="684"/>
      <c r="SPI82" s="684"/>
      <c r="SPJ82" s="684"/>
      <c r="SPK82" s="684"/>
      <c r="SPL82" s="684"/>
      <c r="SPM82" s="684"/>
      <c r="SPN82" s="684"/>
      <c r="SPO82" s="684"/>
      <c r="SPP82" s="684"/>
      <c r="SPQ82" s="684"/>
      <c r="SPR82" s="684"/>
      <c r="SPS82" s="684"/>
      <c r="SPT82" s="684"/>
      <c r="SPU82" s="684"/>
      <c r="SPV82" s="684"/>
      <c r="SPW82" s="684"/>
      <c r="SPX82" s="684"/>
      <c r="SPY82" s="684"/>
      <c r="SPZ82" s="684"/>
      <c r="SQA82" s="684"/>
      <c r="SQB82" s="684"/>
      <c r="SQC82" s="684"/>
      <c r="SQD82" s="684"/>
      <c r="SQE82" s="684"/>
      <c r="SQF82" s="684"/>
      <c r="SQG82" s="684"/>
      <c r="SQH82" s="684"/>
      <c r="SQI82" s="684"/>
      <c r="SQJ82" s="684"/>
      <c r="SQK82" s="684"/>
      <c r="SQL82" s="684"/>
      <c r="SQM82" s="684"/>
      <c r="SQN82" s="684"/>
      <c r="SQO82" s="684"/>
      <c r="SQP82" s="684"/>
      <c r="SQQ82" s="684"/>
      <c r="SQR82" s="684"/>
      <c r="SQS82" s="684"/>
      <c r="SQT82" s="684"/>
      <c r="SQU82" s="684"/>
      <c r="SQV82" s="684"/>
      <c r="SQW82" s="684"/>
      <c r="SQX82" s="684"/>
      <c r="SQY82" s="684"/>
      <c r="SQZ82" s="684"/>
      <c r="SRA82" s="684"/>
      <c r="SRB82" s="684"/>
      <c r="SRC82" s="684"/>
      <c r="SRD82" s="684"/>
      <c r="SRE82" s="684"/>
      <c r="SRF82" s="684"/>
      <c r="SRG82" s="684"/>
      <c r="SRH82" s="684"/>
      <c r="SRI82" s="684"/>
      <c r="SRJ82" s="684"/>
      <c r="SRK82" s="684"/>
      <c r="SRL82" s="684"/>
      <c r="SRM82" s="684"/>
      <c r="SRN82" s="684"/>
      <c r="SRO82" s="684"/>
      <c r="SRP82" s="684"/>
      <c r="SRQ82" s="684"/>
      <c r="SRR82" s="684"/>
      <c r="SRS82" s="684"/>
      <c r="SRT82" s="684"/>
      <c r="SRU82" s="684"/>
      <c r="SRV82" s="684"/>
      <c r="SRW82" s="684"/>
      <c r="SRX82" s="684"/>
      <c r="SRY82" s="684"/>
      <c r="SRZ82" s="684"/>
      <c r="SSA82" s="684"/>
      <c r="SSB82" s="684"/>
      <c r="SSC82" s="684"/>
      <c r="SSD82" s="684"/>
      <c r="SSE82" s="684"/>
      <c r="SSF82" s="684"/>
      <c r="SSG82" s="684"/>
      <c r="SSH82" s="684"/>
      <c r="SSI82" s="684"/>
      <c r="SSJ82" s="684"/>
      <c r="SSK82" s="684"/>
      <c r="SSL82" s="684"/>
      <c r="SSM82" s="684"/>
      <c r="SSN82" s="684"/>
      <c r="SSO82" s="684"/>
      <c r="SSP82" s="684"/>
      <c r="SSQ82" s="684"/>
      <c r="SSR82" s="684"/>
      <c r="SSS82" s="684"/>
      <c r="SST82" s="684"/>
      <c r="SSU82" s="684"/>
      <c r="SSV82" s="684"/>
      <c r="SSW82" s="684"/>
      <c r="SSX82" s="684"/>
      <c r="SSY82" s="684"/>
      <c r="SSZ82" s="684"/>
      <c r="STA82" s="684"/>
      <c r="STB82" s="684"/>
      <c r="STC82" s="684"/>
      <c r="STD82" s="684"/>
      <c r="STE82" s="684"/>
      <c r="STF82" s="684"/>
      <c r="STG82" s="684"/>
      <c r="STH82" s="684"/>
      <c r="STI82" s="684"/>
      <c r="STJ82" s="684"/>
      <c r="STK82" s="684"/>
      <c r="STL82" s="684"/>
      <c r="STM82" s="684"/>
      <c r="STN82" s="684"/>
      <c r="STO82" s="684"/>
      <c r="STP82" s="684"/>
      <c r="STQ82" s="684"/>
      <c r="STR82" s="684"/>
      <c r="STS82" s="684"/>
      <c r="STT82" s="684"/>
      <c r="STU82" s="684"/>
      <c r="STV82" s="684"/>
      <c r="STW82" s="684"/>
      <c r="STX82" s="684"/>
      <c r="STY82" s="684"/>
      <c r="STZ82" s="684"/>
      <c r="SUA82" s="684"/>
      <c r="SUB82" s="684"/>
      <c r="SUC82" s="684"/>
      <c r="SUD82" s="684"/>
      <c r="SUE82" s="684"/>
      <c r="SUF82" s="684"/>
      <c r="SUG82" s="684"/>
      <c r="SUH82" s="684"/>
      <c r="SUI82" s="684"/>
      <c r="SUJ82" s="684"/>
      <c r="SUK82" s="684"/>
      <c r="SUL82" s="684"/>
      <c r="SUM82" s="684"/>
      <c r="SUN82" s="684"/>
      <c r="SUO82" s="684"/>
      <c r="SUP82" s="684"/>
      <c r="SUQ82" s="684"/>
      <c r="SUR82" s="684"/>
      <c r="SUS82" s="684"/>
      <c r="SUT82" s="684"/>
      <c r="SUU82" s="684"/>
      <c r="SUV82" s="684"/>
      <c r="SUW82" s="684"/>
      <c r="SUX82" s="684"/>
      <c r="SUY82" s="684"/>
      <c r="SUZ82" s="684"/>
      <c r="SVA82" s="684"/>
      <c r="SVB82" s="684"/>
      <c r="SVC82" s="684"/>
      <c r="SVD82" s="684"/>
      <c r="SVE82" s="684"/>
      <c r="SVF82" s="684"/>
      <c r="SVG82" s="684"/>
      <c r="SVH82" s="684"/>
      <c r="SVI82" s="684"/>
      <c r="SVJ82" s="684"/>
      <c r="SVK82" s="684"/>
      <c r="SVL82" s="684"/>
      <c r="SVM82" s="684"/>
      <c r="SVN82" s="684"/>
      <c r="SVO82" s="684"/>
      <c r="SVP82" s="684"/>
      <c r="SVQ82" s="684"/>
      <c r="SVR82" s="684"/>
      <c r="SVS82" s="684"/>
      <c r="SVT82" s="684"/>
      <c r="SVU82" s="684"/>
      <c r="SVV82" s="684"/>
      <c r="SVW82" s="684"/>
      <c r="SVX82" s="684"/>
      <c r="SVY82" s="684"/>
      <c r="SVZ82" s="684"/>
      <c r="SWA82" s="684"/>
      <c r="SWB82" s="684"/>
      <c r="SWC82" s="684"/>
      <c r="SWD82" s="684"/>
      <c r="SWE82" s="684"/>
      <c r="SWF82" s="684"/>
      <c r="SWG82" s="684"/>
      <c r="SWH82" s="684"/>
      <c r="SWI82" s="684"/>
      <c r="SWJ82" s="684"/>
      <c r="SWK82" s="684"/>
      <c r="SWL82" s="684"/>
      <c r="SWM82" s="684"/>
      <c r="SWN82" s="684"/>
      <c r="SWO82" s="684"/>
      <c r="SWP82" s="684"/>
      <c r="SWQ82" s="684"/>
      <c r="SWR82" s="684"/>
      <c r="SWS82" s="684"/>
      <c r="SWT82" s="684"/>
      <c r="SWU82" s="684"/>
      <c r="SWV82" s="684"/>
      <c r="SWW82" s="684"/>
      <c r="SWX82" s="684"/>
      <c r="SWY82" s="684"/>
      <c r="SWZ82" s="684"/>
      <c r="SXA82" s="684"/>
      <c r="SXB82" s="684"/>
      <c r="SXC82" s="684"/>
      <c r="SXD82" s="684"/>
      <c r="SXE82" s="684"/>
      <c r="SXF82" s="684"/>
      <c r="SXG82" s="684"/>
      <c r="SXH82" s="684"/>
      <c r="SXI82" s="684"/>
      <c r="SXJ82" s="684"/>
      <c r="SXK82" s="684"/>
      <c r="SXL82" s="684"/>
      <c r="SXM82" s="684"/>
      <c r="SXN82" s="684"/>
      <c r="SXO82" s="684"/>
      <c r="SXP82" s="684"/>
      <c r="SXQ82" s="684"/>
      <c r="SXR82" s="684"/>
      <c r="SXS82" s="684"/>
      <c r="SXT82" s="684"/>
      <c r="SXU82" s="684"/>
      <c r="SXV82" s="684"/>
      <c r="SXW82" s="684"/>
      <c r="SXX82" s="684"/>
      <c r="SXY82" s="684"/>
      <c r="SXZ82" s="684"/>
      <c r="SYA82" s="684"/>
      <c r="SYB82" s="684"/>
      <c r="SYC82" s="684"/>
      <c r="SYD82" s="684"/>
      <c r="SYE82" s="684"/>
      <c r="SYF82" s="684"/>
      <c r="SYG82" s="684"/>
      <c r="SYH82" s="684"/>
      <c r="SYI82" s="684"/>
      <c r="SYJ82" s="684"/>
      <c r="SYK82" s="684"/>
      <c r="SYL82" s="684"/>
      <c r="SYM82" s="684"/>
      <c r="SYN82" s="684"/>
      <c r="SYO82" s="684"/>
      <c r="SYP82" s="684"/>
      <c r="SYQ82" s="684"/>
      <c r="SYR82" s="684"/>
      <c r="SYS82" s="684"/>
      <c r="SYT82" s="684"/>
      <c r="SYU82" s="684"/>
      <c r="SYV82" s="684"/>
      <c r="SYW82" s="684"/>
      <c r="SYX82" s="684"/>
      <c r="SYY82" s="684"/>
      <c r="SYZ82" s="684"/>
      <c r="SZA82" s="684"/>
      <c r="SZB82" s="684"/>
      <c r="SZC82" s="684"/>
      <c r="SZD82" s="684"/>
      <c r="SZE82" s="684"/>
      <c r="SZF82" s="684"/>
      <c r="SZG82" s="684"/>
      <c r="SZH82" s="684"/>
      <c r="SZI82" s="684"/>
      <c r="SZJ82" s="684"/>
      <c r="SZK82" s="684"/>
      <c r="SZL82" s="684"/>
      <c r="SZM82" s="684"/>
      <c r="SZN82" s="684"/>
      <c r="SZO82" s="684"/>
      <c r="SZP82" s="684"/>
      <c r="SZQ82" s="684"/>
      <c r="SZR82" s="684"/>
      <c r="SZS82" s="684"/>
      <c r="SZT82" s="684"/>
      <c r="SZU82" s="684"/>
      <c r="SZV82" s="684"/>
      <c r="SZW82" s="684"/>
      <c r="SZX82" s="684"/>
      <c r="SZY82" s="684"/>
      <c r="SZZ82" s="684"/>
      <c r="TAA82" s="684"/>
      <c r="TAB82" s="684"/>
      <c r="TAC82" s="684"/>
      <c r="TAD82" s="684"/>
      <c r="TAE82" s="684"/>
      <c r="TAF82" s="684"/>
      <c r="TAG82" s="684"/>
      <c r="TAH82" s="684"/>
      <c r="TAI82" s="684"/>
      <c r="TAJ82" s="684"/>
      <c r="TAK82" s="684"/>
      <c r="TAL82" s="684"/>
      <c r="TAM82" s="684"/>
      <c r="TAN82" s="684"/>
      <c r="TAO82" s="684"/>
      <c r="TAP82" s="684"/>
      <c r="TAQ82" s="684"/>
      <c r="TAR82" s="684"/>
      <c r="TAS82" s="684"/>
      <c r="TAT82" s="684"/>
      <c r="TAU82" s="684"/>
      <c r="TAV82" s="684"/>
      <c r="TAW82" s="684"/>
      <c r="TAX82" s="684"/>
      <c r="TAY82" s="684"/>
      <c r="TAZ82" s="684"/>
      <c r="TBA82" s="684"/>
      <c r="TBB82" s="684"/>
      <c r="TBC82" s="684"/>
      <c r="TBD82" s="684"/>
      <c r="TBE82" s="684"/>
      <c r="TBF82" s="684"/>
      <c r="TBG82" s="684"/>
      <c r="TBH82" s="684"/>
      <c r="TBI82" s="684"/>
      <c r="TBJ82" s="684"/>
      <c r="TBK82" s="684"/>
      <c r="TBL82" s="684"/>
      <c r="TBM82" s="684"/>
      <c r="TBN82" s="684"/>
      <c r="TBO82" s="684"/>
      <c r="TBP82" s="684"/>
      <c r="TBQ82" s="684"/>
      <c r="TBR82" s="684"/>
      <c r="TBS82" s="684"/>
      <c r="TBT82" s="684"/>
      <c r="TBU82" s="684"/>
      <c r="TBV82" s="684"/>
      <c r="TBW82" s="684"/>
      <c r="TBX82" s="684"/>
      <c r="TBY82" s="684"/>
      <c r="TBZ82" s="684"/>
      <c r="TCA82" s="684"/>
      <c r="TCB82" s="684"/>
      <c r="TCC82" s="684"/>
      <c r="TCD82" s="684"/>
      <c r="TCE82" s="684"/>
      <c r="TCF82" s="684"/>
      <c r="TCG82" s="684"/>
      <c r="TCH82" s="684"/>
      <c r="TCI82" s="684"/>
      <c r="TCJ82" s="684"/>
      <c r="TCK82" s="684"/>
      <c r="TCL82" s="684"/>
      <c r="TCM82" s="684"/>
      <c r="TCN82" s="684"/>
      <c r="TCO82" s="684"/>
      <c r="TCP82" s="684"/>
      <c r="TCQ82" s="684"/>
      <c r="TCR82" s="684"/>
      <c r="TCS82" s="684"/>
      <c r="TCT82" s="684"/>
      <c r="TCU82" s="684"/>
      <c r="TCV82" s="684"/>
      <c r="TCW82" s="684"/>
      <c r="TCX82" s="684"/>
      <c r="TCY82" s="684"/>
      <c r="TCZ82" s="684"/>
      <c r="TDA82" s="684"/>
      <c r="TDB82" s="684"/>
      <c r="TDC82" s="684"/>
      <c r="TDD82" s="684"/>
      <c r="TDE82" s="684"/>
      <c r="TDF82" s="684"/>
      <c r="TDG82" s="684"/>
      <c r="TDH82" s="684"/>
      <c r="TDI82" s="684"/>
      <c r="TDJ82" s="684"/>
      <c r="TDK82" s="684"/>
      <c r="TDL82" s="684"/>
      <c r="TDM82" s="684"/>
      <c r="TDN82" s="684"/>
      <c r="TDO82" s="684"/>
      <c r="TDP82" s="684"/>
      <c r="TDQ82" s="684"/>
      <c r="TDR82" s="684"/>
      <c r="TDS82" s="684"/>
      <c r="TDT82" s="684"/>
      <c r="TDU82" s="684"/>
      <c r="TDV82" s="684"/>
      <c r="TDW82" s="684"/>
      <c r="TDX82" s="684"/>
      <c r="TDY82" s="684"/>
      <c r="TDZ82" s="684"/>
      <c r="TEA82" s="684"/>
      <c r="TEB82" s="684"/>
      <c r="TEC82" s="684"/>
      <c r="TED82" s="684"/>
      <c r="TEE82" s="684"/>
      <c r="TEF82" s="684"/>
      <c r="TEG82" s="684"/>
      <c r="TEH82" s="684"/>
      <c r="TEI82" s="684"/>
      <c r="TEJ82" s="684"/>
      <c r="TEK82" s="684"/>
      <c r="TEL82" s="684"/>
      <c r="TEM82" s="684"/>
      <c r="TEN82" s="684"/>
      <c r="TEO82" s="684"/>
      <c r="TEP82" s="684"/>
      <c r="TEQ82" s="684"/>
      <c r="TER82" s="684"/>
      <c r="TES82" s="684"/>
      <c r="TET82" s="684"/>
      <c r="TEU82" s="684"/>
      <c r="TEV82" s="684"/>
      <c r="TEW82" s="684"/>
      <c r="TEX82" s="684"/>
      <c r="TEY82" s="684"/>
      <c r="TEZ82" s="684"/>
      <c r="TFA82" s="684"/>
      <c r="TFB82" s="684"/>
      <c r="TFC82" s="684"/>
      <c r="TFD82" s="684"/>
      <c r="TFE82" s="684"/>
      <c r="TFF82" s="684"/>
      <c r="TFG82" s="684"/>
      <c r="TFH82" s="684"/>
      <c r="TFI82" s="684"/>
      <c r="TFJ82" s="684"/>
      <c r="TFK82" s="684"/>
      <c r="TFL82" s="684"/>
      <c r="TFM82" s="684"/>
      <c r="TFN82" s="684"/>
      <c r="TFO82" s="684"/>
      <c r="TFP82" s="684"/>
      <c r="TFQ82" s="684"/>
      <c r="TFR82" s="684"/>
      <c r="TFS82" s="684"/>
      <c r="TFT82" s="684"/>
      <c r="TFU82" s="684"/>
      <c r="TFV82" s="684"/>
      <c r="TFW82" s="684"/>
      <c r="TFX82" s="684"/>
      <c r="TFY82" s="684"/>
      <c r="TFZ82" s="684"/>
      <c r="TGA82" s="684"/>
      <c r="TGB82" s="684"/>
      <c r="TGC82" s="684"/>
      <c r="TGD82" s="684"/>
      <c r="TGE82" s="684"/>
      <c r="TGF82" s="684"/>
      <c r="TGG82" s="684"/>
      <c r="TGH82" s="684"/>
      <c r="TGI82" s="684"/>
      <c r="TGJ82" s="684"/>
      <c r="TGK82" s="684"/>
      <c r="TGL82" s="684"/>
      <c r="TGM82" s="684"/>
      <c r="TGN82" s="684"/>
      <c r="TGO82" s="684"/>
      <c r="TGP82" s="684"/>
      <c r="TGQ82" s="684"/>
      <c r="TGR82" s="684"/>
      <c r="TGS82" s="684"/>
      <c r="TGT82" s="684"/>
      <c r="TGU82" s="684"/>
      <c r="TGV82" s="684"/>
      <c r="TGW82" s="684"/>
      <c r="TGX82" s="684"/>
      <c r="TGY82" s="684"/>
      <c r="TGZ82" s="684"/>
      <c r="THA82" s="684"/>
      <c r="THB82" s="684"/>
      <c r="THC82" s="684"/>
      <c r="THD82" s="684"/>
      <c r="THE82" s="684"/>
      <c r="THF82" s="684"/>
      <c r="THG82" s="684"/>
      <c r="THH82" s="684"/>
      <c r="THI82" s="684"/>
      <c r="THJ82" s="684"/>
      <c r="THK82" s="684"/>
      <c r="THL82" s="684"/>
      <c r="THM82" s="684"/>
      <c r="THN82" s="684"/>
      <c r="THO82" s="684"/>
      <c r="THP82" s="684"/>
      <c r="THQ82" s="684"/>
      <c r="THR82" s="684"/>
      <c r="THS82" s="684"/>
      <c r="THT82" s="684"/>
      <c r="THU82" s="684"/>
      <c r="THV82" s="684"/>
      <c r="THW82" s="684"/>
      <c r="THX82" s="684"/>
      <c r="THY82" s="684"/>
      <c r="THZ82" s="684"/>
      <c r="TIA82" s="684"/>
      <c r="TIB82" s="684"/>
      <c r="TIC82" s="684"/>
      <c r="TID82" s="684"/>
      <c r="TIE82" s="684"/>
      <c r="TIF82" s="684"/>
      <c r="TIG82" s="684"/>
      <c r="TIH82" s="684"/>
      <c r="TII82" s="684"/>
      <c r="TIJ82" s="684"/>
      <c r="TIK82" s="684"/>
      <c r="TIL82" s="684"/>
      <c r="TIM82" s="684"/>
      <c r="TIN82" s="684"/>
      <c r="TIO82" s="684"/>
      <c r="TIP82" s="684"/>
      <c r="TIQ82" s="684"/>
      <c r="TIR82" s="684"/>
      <c r="TIS82" s="684"/>
      <c r="TIT82" s="684"/>
      <c r="TIU82" s="684"/>
      <c r="TIV82" s="684"/>
      <c r="TIW82" s="684"/>
      <c r="TIX82" s="684"/>
      <c r="TIY82" s="684"/>
      <c r="TIZ82" s="684"/>
      <c r="TJA82" s="684"/>
      <c r="TJB82" s="684"/>
      <c r="TJC82" s="684"/>
      <c r="TJD82" s="684"/>
      <c r="TJE82" s="684"/>
      <c r="TJF82" s="684"/>
      <c r="TJG82" s="684"/>
      <c r="TJH82" s="684"/>
      <c r="TJI82" s="684"/>
      <c r="TJJ82" s="684"/>
      <c r="TJK82" s="684"/>
      <c r="TJL82" s="684"/>
      <c r="TJM82" s="684"/>
      <c r="TJN82" s="684"/>
      <c r="TJO82" s="684"/>
      <c r="TJP82" s="684"/>
      <c r="TJQ82" s="684"/>
      <c r="TJR82" s="684"/>
      <c r="TJS82" s="684"/>
      <c r="TJT82" s="684"/>
      <c r="TJU82" s="684"/>
      <c r="TJV82" s="684"/>
      <c r="TJW82" s="684"/>
      <c r="TJX82" s="684"/>
      <c r="TJY82" s="684"/>
      <c r="TJZ82" s="684"/>
      <c r="TKA82" s="684"/>
      <c r="TKB82" s="684"/>
      <c r="TKC82" s="684"/>
      <c r="TKD82" s="684"/>
      <c r="TKE82" s="684"/>
      <c r="TKF82" s="684"/>
      <c r="TKG82" s="684"/>
      <c r="TKH82" s="684"/>
      <c r="TKI82" s="684"/>
      <c r="TKJ82" s="684"/>
      <c r="TKK82" s="684"/>
      <c r="TKL82" s="684"/>
      <c r="TKM82" s="684"/>
      <c r="TKN82" s="684"/>
      <c r="TKO82" s="684"/>
      <c r="TKP82" s="684"/>
      <c r="TKQ82" s="684"/>
      <c r="TKR82" s="684"/>
      <c r="TKS82" s="684"/>
      <c r="TKT82" s="684"/>
      <c r="TKU82" s="684"/>
      <c r="TKV82" s="684"/>
      <c r="TKW82" s="684"/>
      <c r="TKX82" s="684"/>
      <c r="TKY82" s="684"/>
      <c r="TKZ82" s="684"/>
      <c r="TLA82" s="684"/>
      <c r="TLB82" s="684"/>
      <c r="TLC82" s="684"/>
      <c r="TLD82" s="684"/>
      <c r="TLE82" s="684"/>
      <c r="TLF82" s="684"/>
      <c r="TLG82" s="684"/>
      <c r="TLH82" s="684"/>
      <c r="TLI82" s="684"/>
      <c r="TLJ82" s="684"/>
      <c r="TLK82" s="684"/>
      <c r="TLL82" s="684"/>
      <c r="TLM82" s="684"/>
      <c r="TLN82" s="684"/>
      <c r="TLO82" s="684"/>
      <c r="TLP82" s="684"/>
      <c r="TLQ82" s="684"/>
      <c r="TLR82" s="684"/>
      <c r="TLS82" s="684"/>
      <c r="TLT82" s="684"/>
      <c r="TLU82" s="684"/>
      <c r="TLV82" s="684"/>
      <c r="TLW82" s="684"/>
      <c r="TLX82" s="684"/>
      <c r="TLY82" s="684"/>
      <c r="TLZ82" s="684"/>
      <c r="TMA82" s="684"/>
      <c r="TMB82" s="684"/>
      <c r="TMC82" s="684"/>
      <c r="TMD82" s="684"/>
      <c r="TME82" s="684"/>
      <c r="TMF82" s="684"/>
      <c r="TMG82" s="684"/>
      <c r="TMH82" s="684"/>
      <c r="TMI82" s="684"/>
      <c r="TMJ82" s="684"/>
      <c r="TMK82" s="684"/>
      <c r="TML82" s="684"/>
      <c r="TMM82" s="684"/>
      <c r="TMN82" s="684"/>
      <c r="TMO82" s="684"/>
      <c r="TMP82" s="684"/>
      <c r="TMQ82" s="684"/>
      <c r="TMR82" s="684"/>
      <c r="TMS82" s="684"/>
      <c r="TMT82" s="684"/>
      <c r="TMU82" s="684"/>
      <c r="TMV82" s="684"/>
      <c r="TMW82" s="684"/>
      <c r="TMX82" s="684"/>
      <c r="TMY82" s="684"/>
      <c r="TMZ82" s="684"/>
      <c r="TNA82" s="684"/>
      <c r="TNB82" s="684"/>
      <c r="TNC82" s="684"/>
      <c r="TND82" s="684"/>
      <c r="TNE82" s="684"/>
      <c r="TNF82" s="684"/>
      <c r="TNG82" s="684"/>
      <c r="TNH82" s="684"/>
      <c r="TNI82" s="684"/>
      <c r="TNJ82" s="684"/>
      <c r="TNK82" s="684"/>
      <c r="TNL82" s="684"/>
      <c r="TNM82" s="684"/>
      <c r="TNN82" s="684"/>
      <c r="TNO82" s="684"/>
      <c r="TNP82" s="684"/>
      <c r="TNQ82" s="684"/>
      <c r="TNR82" s="684"/>
      <c r="TNS82" s="684"/>
      <c r="TNT82" s="684"/>
      <c r="TNU82" s="684"/>
      <c r="TNV82" s="684"/>
      <c r="TNW82" s="684"/>
      <c r="TNX82" s="684"/>
      <c r="TNY82" s="684"/>
      <c r="TNZ82" s="684"/>
      <c r="TOA82" s="684"/>
      <c r="TOB82" s="684"/>
      <c r="TOC82" s="684"/>
      <c r="TOD82" s="684"/>
      <c r="TOE82" s="684"/>
      <c r="TOF82" s="684"/>
      <c r="TOG82" s="684"/>
      <c r="TOH82" s="684"/>
      <c r="TOI82" s="684"/>
      <c r="TOJ82" s="684"/>
      <c r="TOK82" s="684"/>
      <c r="TOL82" s="684"/>
      <c r="TOM82" s="684"/>
      <c r="TON82" s="684"/>
      <c r="TOO82" s="684"/>
      <c r="TOP82" s="684"/>
      <c r="TOQ82" s="684"/>
      <c r="TOR82" s="684"/>
      <c r="TOS82" s="684"/>
      <c r="TOT82" s="684"/>
      <c r="TOU82" s="684"/>
      <c r="TOV82" s="684"/>
      <c r="TOW82" s="684"/>
      <c r="TOX82" s="684"/>
      <c r="TOY82" s="684"/>
      <c r="TOZ82" s="684"/>
      <c r="TPA82" s="684"/>
      <c r="TPB82" s="684"/>
      <c r="TPC82" s="684"/>
      <c r="TPD82" s="684"/>
      <c r="TPE82" s="684"/>
      <c r="TPF82" s="684"/>
      <c r="TPG82" s="684"/>
      <c r="TPH82" s="684"/>
      <c r="TPI82" s="684"/>
      <c r="TPJ82" s="684"/>
      <c r="TPK82" s="684"/>
      <c r="TPL82" s="684"/>
      <c r="TPM82" s="684"/>
      <c r="TPN82" s="684"/>
      <c r="TPO82" s="684"/>
      <c r="TPP82" s="684"/>
      <c r="TPQ82" s="684"/>
      <c r="TPR82" s="684"/>
      <c r="TPS82" s="684"/>
      <c r="TPT82" s="684"/>
      <c r="TPU82" s="684"/>
      <c r="TPV82" s="684"/>
      <c r="TPW82" s="684"/>
      <c r="TPX82" s="684"/>
      <c r="TPY82" s="684"/>
      <c r="TPZ82" s="684"/>
      <c r="TQA82" s="684"/>
      <c r="TQB82" s="684"/>
      <c r="TQC82" s="684"/>
      <c r="TQD82" s="684"/>
      <c r="TQE82" s="684"/>
      <c r="TQF82" s="684"/>
      <c r="TQG82" s="684"/>
      <c r="TQH82" s="684"/>
      <c r="TQI82" s="684"/>
      <c r="TQJ82" s="684"/>
      <c r="TQK82" s="684"/>
      <c r="TQL82" s="684"/>
      <c r="TQM82" s="684"/>
      <c r="TQN82" s="684"/>
      <c r="TQO82" s="684"/>
      <c r="TQP82" s="684"/>
      <c r="TQQ82" s="684"/>
      <c r="TQR82" s="684"/>
      <c r="TQS82" s="684"/>
      <c r="TQT82" s="684"/>
      <c r="TQU82" s="684"/>
      <c r="TQV82" s="684"/>
      <c r="TQW82" s="684"/>
      <c r="TQX82" s="684"/>
      <c r="TQY82" s="684"/>
      <c r="TQZ82" s="684"/>
      <c r="TRA82" s="684"/>
      <c r="TRB82" s="684"/>
      <c r="TRC82" s="684"/>
      <c r="TRD82" s="684"/>
      <c r="TRE82" s="684"/>
      <c r="TRF82" s="684"/>
      <c r="TRG82" s="684"/>
      <c r="TRH82" s="684"/>
      <c r="TRI82" s="684"/>
      <c r="TRJ82" s="684"/>
      <c r="TRK82" s="684"/>
      <c r="TRL82" s="684"/>
      <c r="TRM82" s="684"/>
      <c r="TRN82" s="684"/>
      <c r="TRO82" s="684"/>
      <c r="TRP82" s="684"/>
      <c r="TRQ82" s="684"/>
      <c r="TRR82" s="684"/>
      <c r="TRS82" s="684"/>
      <c r="TRT82" s="684"/>
      <c r="TRU82" s="684"/>
      <c r="TRV82" s="684"/>
      <c r="TRW82" s="684"/>
      <c r="TRX82" s="684"/>
      <c r="TRY82" s="684"/>
      <c r="TRZ82" s="684"/>
      <c r="TSA82" s="684"/>
      <c r="TSB82" s="684"/>
      <c r="TSC82" s="684"/>
      <c r="TSD82" s="684"/>
      <c r="TSE82" s="684"/>
      <c r="TSF82" s="684"/>
      <c r="TSG82" s="684"/>
      <c r="TSH82" s="684"/>
      <c r="TSI82" s="684"/>
      <c r="TSJ82" s="684"/>
      <c r="TSK82" s="684"/>
      <c r="TSL82" s="684"/>
      <c r="TSM82" s="684"/>
      <c r="TSN82" s="684"/>
      <c r="TSO82" s="684"/>
      <c r="TSP82" s="684"/>
      <c r="TSQ82" s="684"/>
      <c r="TSR82" s="684"/>
      <c r="TSS82" s="684"/>
      <c r="TST82" s="684"/>
      <c r="TSU82" s="684"/>
      <c r="TSV82" s="684"/>
      <c r="TSW82" s="684"/>
      <c r="TSX82" s="684"/>
      <c r="TSY82" s="684"/>
      <c r="TSZ82" s="684"/>
      <c r="TTA82" s="684"/>
      <c r="TTB82" s="684"/>
      <c r="TTC82" s="684"/>
      <c r="TTD82" s="684"/>
      <c r="TTE82" s="684"/>
      <c r="TTF82" s="684"/>
      <c r="TTG82" s="684"/>
      <c r="TTH82" s="684"/>
      <c r="TTI82" s="684"/>
      <c r="TTJ82" s="684"/>
      <c r="TTK82" s="684"/>
      <c r="TTL82" s="684"/>
      <c r="TTM82" s="684"/>
      <c r="TTN82" s="684"/>
      <c r="TTO82" s="684"/>
      <c r="TTP82" s="684"/>
      <c r="TTQ82" s="684"/>
      <c r="TTR82" s="684"/>
      <c r="TTS82" s="684"/>
      <c r="TTT82" s="684"/>
      <c r="TTU82" s="684"/>
      <c r="TTV82" s="684"/>
      <c r="TTW82" s="684"/>
      <c r="TTX82" s="684"/>
      <c r="TTY82" s="684"/>
      <c r="TTZ82" s="684"/>
      <c r="TUA82" s="684"/>
      <c r="TUB82" s="684"/>
      <c r="TUC82" s="684"/>
      <c r="TUD82" s="684"/>
      <c r="TUE82" s="684"/>
      <c r="TUF82" s="684"/>
      <c r="TUG82" s="684"/>
      <c r="TUH82" s="684"/>
      <c r="TUI82" s="684"/>
      <c r="TUJ82" s="684"/>
      <c r="TUK82" s="684"/>
      <c r="TUL82" s="684"/>
      <c r="TUM82" s="684"/>
      <c r="TUN82" s="684"/>
      <c r="TUO82" s="684"/>
      <c r="TUP82" s="684"/>
      <c r="TUQ82" s="684"/>
      <c r="TUR82" s="684"/>
      <c r="TUS82" s="684"/>
      <c r="TUT82" s="684"/>
      <c r="TUU82" s="684"/>
      <c r="TUV82" s="684"/>
      <c r="TUW82" s="684"/>
      <c r="TUX82" s="684"/>
      <c r="TUY82" s="684"/>
      <c r="TUZ82" s="684"/>
      <c r="TVA82" s="684"/>
      <c r="TVB82" s="684"/>
      <c r="TVC82" s="684"/>
      <c r="TVD82" s="684"/>
      <c r="TVE82" s="684"/>
      <c r="TVF82" s="684"/>
      <c r="TVG82" s="684"/>
      <c r="TVH82" s="684"/>
      <c r="TVI82" s="684"/>
      <c r="TVJ82" s="684"/>
      <c r="TVK82" s="684"/>
      <c r="TVL82" s="684"/>
      <c r="TVM82" s="684"/>
      <c r="TVN82" s="684"/>
      <c r="TVO82" s="684"/>
      <c r="TVP82" s="684"/>
      <c r="TVQ82" s="684"/>
      <c r="TVR82" s="684"/>
      <c r="TVS82" s="684"/>
      <c r="TVT82" s="684"/>
      <c r="TVU82" s="684"/>
      <c r="TVV82" s="684"/>
      <c r="TVW82" s="684"/>
      <c r="TVX82" s="684"/>
      <c r="TVY82" s="684"/>
      <c r="TVZ82" s="684"/>
      <c r="TWA82" s="684"/>
      <c r="TWB82" s="684"/>
      <c r="TWC82" s="684"/>
      <c r="TWD82" s="684"/>
      <c r="TWE82" s="684"/>
      <c r="TWF82" s="684"/>
      <c r="TWG82" s="684"/>
      <c r="TWH82" s="684"/>
      <c r="TWI82" s="684"/>
      <c r="TWJ82" s="684"/>
      <c r="TWK82" s="684"/>
      <c r="TWL82" s="684"/>
      <c r="TWM82" s="684"/>
      <c r="TWN82" s="684"/>
      <c r="TWO82" s="684"/>
      <c r="TWP82" s="684"/>
      <c r="TWQ82" s="684"/>
      <c r="TWR82" s="684"/>
      <c r="TWS82" s="684"/>
      <c r="TWT82" s="684"/>
      <c r="TWU82" s="684"/>
      <c r="TWV82" s="684"/>
      <c r="TWW82" s="684"/>
      <c r="TWX82" s="684"/>
      <c r="TWY82" s="684"/>
      <c r="TWZ82" s="684"/>
      <c r="TXA82" s="684"/>
      <c r="TXB82" s="684"/>
      <c r="TXC82" s="684"/>
      <c r="TXD82" s="684"/>
      <c r="TXE82" s="684"/>
      <c r="TXF82" s="684"/>
      <c r="TXG82" s="684"/>
      <c r="TXH82" s="684"/>
      <c r="TXI82" s="684"/>
      <c r="TXJ82" s="684"/>
      <c r="TXK82" s="684"/>
      <c r="TXL82" s="684"/>
      <c r="TXM82" s="684"/>
      <c r="TXN82" s="684"/>
      <c r="TXO82" s="684"/>
      <c r="TXP82" s="684"/>
      <c r="TXQ82" s="684"/>
      <c r="TXR82" s="684"/>
      <c r="TXS82" s="684"/>
      <c r="TXT82" s="684"/>
      <c r="TXU82" s="684"/>
      <c r="TXV82" s="684"/>
      <c r="TXW82" s="684"/>
      <c r="TXX82" s="684"/>
      <c r="TXY82" s="684"/>
      <c r="TXZ82" s="684"/>
      <c r="TYA82" s="684"/>
      <c r="TYB82" s="684"/>
      <c r="TYC82" s="684"/>
      <c r="TYD82" s="684"/>
      <c r="TYE82" s="684"/>
      <c r="TYF82" s="684"/>
      <c r="TYG82" s="684"/>
      <c r="TYH82" s="684"/>
      <c r="TYI82" s="684"/>
      <c r="TYJ82" s="684"/>
      <c r="TYK82" s="684"/>
      <c r="TYL82" s="684"/>
      <c r="TYM82" s="684"/>
      <c r="TYN82" s="684"/>
      <c r="TYO82" s="684"/>
      <c r="TYP82" s="684"/>
      <c r="TYQ82" s="684"/>
      <c r="TYR82" s="684"/>
      <c r="TYS82" s="684"/>
      <c r="TYT82" s="684"/>
      <c r="TYU82" s="684"/>
      <c r="TYV82" s="684"/>
      <c r="TYW82" s="684"/>
      <c r="TYX82" s="684"/>
      <c r="TYY82" s="684"/>
      <c r="TYZ82" s="684"/>
      <c r="TZA82" s="684"/>
      <c r="TZB82" s="684"/>
      <c r="TZC82" s="684"/>
      <c r="TZD82" s="684"/>
      <c r="TZE82" s="684"/>
      <c r="TZF82" s="684"/>
      <c r="TZG82" s="684"/>
      <c r="TZH82" s="684"/>
      <c r="TZI82" s="684"/>
      <c r="TZJ82" s="684"/>
      <c r="TZK82" s="684"/>
      <c r="TZL82" s="684"/>
      <c r="TZM82" s="684"/>
      <c r="TZN82" s="684"/>
      <c r="TZO82" s="684"/>
      <c r="TZP82" s="684"/>
      <c r="TZQ82" s="684"/>
      <c r="TZR82" s="684"/>
      <c r="TZS82" s="684"/>
      <c r="TZT82" s="684"/>
      <c r="TZU82" s="684"/>
      <c r="TZV82" s="684"/>
      <c r="TZW82" s="684"/>
      <c r="TZX82" s="684"/>
      <c r="TZY82" s="684"/>
      <c r="TZZ82" s="684"/>
      <c r="UAA82" s="684"/>
      <c r="UAB82" s="684"/>
      <c r="UAC82" s="684"/>
      <c r="UAD82" s="684"/>
      <c r="UAE82" s="684"/>
      <c r="UAF82" s="684"/>
      <c r="UAG82" s="684"/>
      <c r="UAH82" s="684"/>
      <c r="UAI82" s="684"/>
      <c r="UAJ82" s="684"/>
      <c r="UAK82" s="684"/>
      <c r="UAL82" s="684"/>
      <c r="UAM82" s="684"/>
      <c r="UAN82" s="684"/>
      <c r="UAO82" s="684"/>
      <c r="UAP82" s="684"/>
      <c r="UAQ82" s="684"/>
      <c r="UAR82" s="684"/>
      <c r="UAS82" s="684"/>
      <c r="UAT82" s="684"/>
      <c r="UAU82" s="684"/>
      <c r="UAV82" s="684"/>
      <c r="UAW82" s="684"/>
      <c r="UAX82" s="684"/>
      <c r="UAY82" s="684"/>
      <c r="UAZ82" s="684"/>
      <c r="UBA82" s="684"/>
      <c r="UBB82" s="684"/>
      <c r="UBC82" s="684"/>
      <c r="UBD82" s="684"/>
      <c r="UBE82" s="684"/>
      <c r="UBF82" s="684"/>
      <c r="UBG82" s="684"/>
      <c r="UBH82" s="684"/>
      <c r="UBI82" s="684"/>
      <c r="UBJ82" s="684"/>
      <c r="UBK82" s="684"/>
      <c r="UBL82" s="684"/>
      <c r="UBM82" s="684"/>
      <c r="UBN82" s="684"/>
      <c r="UBO82" s="684"/>
      <c r="UBP82" s="684"/>
      <c r="UBQ82" s="684"/>
      <c r="UBR82" s="684"/>
      <c r="UBS82" s="684"/>
      <c r="UBT82" s="684"/>
      <c r="UBU82" s="684"/>
      <c r="UBV82" s="684"/>
      <c r="UBW82" s="684"/>
      <c r="UBX82" s="684"/>
      <c r="UBY82" s="684"/>
      <c r="UBZ82" s="684"/>
      <c r="UCA82" s="684"/>
      <c r="UCB82" s="684"/>
      <c r="UCC82" s="684"/>
      <c r="UCD82" s="684"/>
      <c r="UCE82" s="684"/>
      <c r="UCF82" s="684"/>
      <c r="UCG82" s="684"/>
      <c r="UCH82" s="684"/>
      <c r="UCI82" s="684"/>
      <c r="UCJ82" s="684"/>
      <c r="UCK82" s="684"/>
      <c r="UCL82" s="684"/>
      <c r="UCM82" s="684"/>
      <c r="UCN82" s="684"/>
      <c r="UCO82" s="684"/>
      <c r="UCP82" s="684"/>
      <c r="UCQ82" s="684"/>
      <c r="UCR82" s="684"/>
      <c r="UCS82" s="684"/>
      <c r="UCT82" s="684"/>
      <c r="UCU82" s="684"/>
      <c r="UCV82" s="684"/>
      <c r="UCW82" s="684"/>
      <c r="UCX82" s="684"/>
      <c r="UCY82" s="684"/>
      <c r="UCZ82" s="684"/>
      <c r="UDA82" s="684"/>
      <c r="UDB82" s="684"/>
      <c r="UDC82" s="684"/>
      <c r="UDD82" s="684"/>
      <c r="UDE82" s="684"/>
      <c r="UDF82" s="684"/>
      <c r="UDG82" s="684"/>
      <c r="UDH82" s="684"/>
      <c r="UDI82" s="684"/>
      <c r="UDJ82" s="684"/>
      <c r="UDK82" s="684"/>
      <c r="UDL82" s="684"/>
      <c r="UDM82" s="684"/>
      <c r="UDN82" s="684"/>
      <c r="UDO82" s="684"/>
      <c r="UDP82" s="684"/>
      <c r="UDQ82" s="684"/>
      <c r="UDR82" s="684"/>
      <c r="UDS82" s="684"/>
      <c r="UDT82" s="684"/>
      <c r="UDU82" s="684"/>
      <c r="UDV82" s="684"/>
      <c r="UDW82" s="684"/>
      <c r="UDX82" s="684"/>
      <c r="UDY82" s="684"/>
      <c r="UDZ82" s="684"/>
      <c r="UEA82" s="684"/>
      <c r="UEB82" s="684"/>
      <c r="UEC82" s="684"/>
      <c r="UED82" s="684"/>
      <c r="UEE82" s="684"/>
      <c r="UEF82" s="684"/>
      <c r="UEG82" s="684"/>
      <c r="UEH82" s="684"/>
      <c r="UEI82" s="684"/>
      <c r="UEJ82" s="684"/>
      <c r="UEK82" s="684"/>
      <c r="UEL82" s="684"/>
      <c r="UEM82" s="684"/>
      <c r="UEN82" s="684"/>
      <c r="UEO82" s="684"/>
      <c r="UEP82" s="684"/>
      <c r="UEQ82" s="684"/>
      <c r="UER82" s="684"/>
      <c r="UES82" s="684"/>
      <c r="UET82" s="684"/>
      <c r="UEU82" s="684"/>
      <c r="UEV82" s="684"/>
      <c r="UEW82" s="684"/>
      <c r="UEX82" s="684"/>
      <c r="UEY82" s="684"/>
      <c r="UEZ82" s="684"/>
      <c r="UFA82" s="684"/>
      <c r="UFB82" s="684"/>
      <c r="UFC82" s="684"/>
      <c r="UFD82" s="684"/>
      <c r="UFE82" s="684"/>
      <c r="UFF82" s="684"/>
      <c r="UFG82" s="684"/>
      <c r="UFH82" s="684"/>
      <c r="UFI82" s="684"/>
      <c r="UFJ82" s="684"/>
      <c r="UFK82" s="684"/>
      <c r="UFL82" s="684"/>
      <c r="UFM82" s="684"/>
      <c r="UFN82" s="684"/>
      <c r="UFO82" s="684"/>
      <c r="UFP82" s="684"/>
      <c r="UFQ82" s="684"/>
      <c r="UFR82" s="684"/>
      <c r="UFS82" s="684"/>
      <c r="UFT82" s="684"/>
      <c r="UFU82" s="684"/>
      <c r="UFV82" s="684"/>
      <c r="UFW82" s="684"/>
      <c r="UFX82" s="684"/>
      <c r="UFY82" s="684"/>
      <c r="UFZ82" s="684"/>
      <c r="UGA82" s="684"/>
      <c r="UGB82" s="684"/>
      <c r="UGC82" s="684"/>
      <c r="UGD82" s="684"/>
      <c r="UGE82" s="684"/>
      <c r="UGF82" s="684"/>
      <c r="UGG82" s="684"/>
      <c r="UGH82" s="684"/>
      <c r="UGI82" s="684"/>
      <c r="UGJ82" s="684"/>
      <c r="UGK82" s="684"/>
      <c r="UGL82" s="684"/>
      <c r="UGM82" s="684"/>
      <c r="UGN82" s="684"/>
      <c r="UGO82" s="684"/>
      <c r="UGP82" s="684"/>
      <c r="UGQ82" s="684"/>
      <c r="UGR82" s="684"/>
      <c r="UGS82" s="684"/>
      <c r="UGT82" s="684"/>
      <c r="UGU82" s="684"/>
      <c r="UGV82" s="684"/>
      <c r="UGW82" s="684"/>
      <c r="UGX82" s="684"/>
      <c r="UGY82" s="684"/>
      <c r="UGZ82" s="684"/>
      <c r="UHA82" s="684"/>
      <c r="UHB82" s="684"/>
      <c r="UHC82" s="684"/>
      <c r="UHD82" s="684"/>
      <c r="UHE82" s="684"/>
      <c r="UHF82" s="684"/>
      <c r="UHG82" s="684"/>
      <c r="UHH82" s="684"/>
      <c r="UHI82" s="684"/>
      <c r="UHJ82" s="684"/>
      <c r="UHK82" s="684"/>
      <c r="UHL82" s="684"/>
      <c r="UHM82" s="684"/>
      <c r="UHN82" s="684"/>
      <c r="UHO82" s="684"/>
      <c r="UHP82" s="684"/>
      <c r="UHQ82" s="684"/>
      <c r="UHR82" s="684"/>
      <c r="UHS82" s="684"/>
      <c r="UHT82" s="684"/>
      <c r="UHU82" s="684"/>
      <c r="UHV82" s="684"/>
      <c r="UHW82" s="684"/>
      <c r="UHX82" s="684"/>
      <c r="UHY82" s="684"/>
      <c r="UHZ82" s="684"/>
      <c r="UIA82" s="684"/>
      <c r="UIB82" s="684"/>
      <c r="UIC82" s="684"/>
      <c r="UID82" s="684"/>
      <c r="UIE82" s="684"/>
      <c r="UIF82" s="684"/>
      <c r="UIG82" s="684"/>
      <c r="UIH82" s="684"/>
      <c r="UII82" s="684"/>
      <c r="UIJ82" s="684"/>
      <c r="UIK82" s="684"/>
      <c r="UIL82" s="684"/>
      <c r="UIM82" s="684"/>
      <c r="UIN82" s="684"/>
      <c r="UIO82" s="684"/>
      <c r="UIP82" s="684"/>
      <c r="UIQ82" s="684"/>
      <c r="UIR82" s="684"/>
      <c r="UIS82" s="684"/>
      <c r="UIT82" s="684"/>
      <c r="UIU82" s="684"/>
      <c r="UIV82" s="684"/>
      <c r="UIW82" s="684"/>
      <c r="UIX82" s="684"/>
      <c r="UIY82" s="684"/>
      <c r="UIZ82" s="684"/>
      <c r="UJA82" s="684"/>
      <c r="UJB82" s="684"/>
      <c r="UJC82" s="684"/>
      <c r="UJD82" s="684"/>
      <c r="UJE82" s="684"/>
      <c r="UJF82" s="684"/>
      <c r="UJG82" s="684"/>
      <c r="UJH82" s="684"/>
      <c r="UJI82" s="684"/>
      <c r="UJJ82" s="684"/>
      <c r="UJK82" s="684"/>
      <c r="UJL82" s="684"/>
      <c r="UJM82" s="684"/>
      <c r="UJN82" s="684"/>
      <c r="UJO82" s="684"/>
      <c r="UJP82" s="684"/>
      <c r="UJQ82" s="684"/>
      <c r="UJR82" s="684"/>
      <c r="UJS82" s="684"/>
      <c r="UJT82" s="684"/>
      <c r="UJU82" s="684"/>
      <c r="UJV82" s="684"/>
      <c r="UJW82" s="684"/>
      <c r="UJX82" s="684"/>
      <c r="UJY82" s="684"/>
      <c r="UJZ82" s="684"/>
      <c r="UKA82" s="684"/>
      <c r="UKB82" s="684"/>
      <c r="UKC82" s="684"/>
      <c r="UKD82" s="684"/>
      <c r="UKE82" s="684"/>
      <c r="UKF82" s="684"/>
      <c r="UKG82" s="684"/>
      <c r="UKH82" s="684"/>
      <c r="UKI82" s="684"/>
      <c r="UKJ82" s="684"/>
      <c r="UKK82" s="684"/>
      <c r="UKL82" s="684"/>
      <c r="UKM82" s="684"/>
      <c r="UKN82" s="684"/>
      <c r="UKO82" s="684"/>
      <c r="UKP82" s="684"/>
      <c r="UKQ82" s="684"/>
      <c r="UKR82" s="684"/>
      <c r="UKS82" s="684"/>
      <c r="UKT82" s="684"/>
      <c r="UKU82" s="684"/>
      <c r="UKV82" s="684"/>
      <c r="UKW82" s="684"/>
      <c r="UKX82" s="684"/>
      <c r="UKY82" s="684"/>
      <c r="UKZ82" s="684"/>
      <c r="ULA82" s="684"/>
      <c r="ULB82" s="684"/>
      <c r="ULC82" s="684"/>
      <c r="ULD82" s="684"/>
      <c r="ULE82" s="684"/>
      <c r="ULF82" s="684"/>
      <c r="ULG82" s="684"/>
      <c r="ULH82" s="684"/>
      <c r="ULI82" s="684"/>
      <c r="ULJ82" s="684"/>
      <c r="ULK82" s="684"/>
      <c r="ULL82" s="684"/>
      <c r="ULM82" s="684"/>
      <c r="ULN82" s="684"/>
      <c r="ULO82" s="684"/>
      <c r="ULP82" s="684"/>
      <c r="ULQ82" s="684"/>
      <c r="ULR82" s="684"/>
      <c r="ULS82" s="684"/>
      <c r="ULT82" s="684"/>
      <c r="ULU82" s="684"/>
      <c r="ULV82" s="684"/>
      <c r="ULW82" s="684"/>
      <c r="ULX82" s="684"/>
      <c r="ULY82" s="684"/>
      <c r="ULZ82" s="684"/>
      <c r="UMA82" s="684"/>
      <c r="UMB82" s="684"/>
      <c r="UMC82" s="684"/>
      <c r="UMD82" s="684"/>
      <c r="UME82" s="684"/>
      <c r="UMF82" s="684"/>
      <c r="UMG82" s="684"/>
      <c r="UMH82" s="684"/>
      <c r="UMI82" s="684"/>
      <c r="UMJ82" s="684"/>
      <c r="UMK82" s="684"/>
      <c r="UML82" s="684"/>
      <c r="UMM82" s="684"/>
      <c r="UMN82" s="684"/>
      <c r="UMO82" s="684"/>
      <c r="UMP82" s="684"/>
      <c r="UMQ82" s="684"/>
      <c r="UMR82" s="684"/>
      <c r="UMS82" s="684"/>
      <c r="UMT82" s="684"/>
      <c r="UMU82" s="684"/>
      <c r="UMV82" s="684"/>
      <c r="UMW82" s="684"/>
      <c r="UMX82" s="684"/>
      <c r="UMY82" s="684"/>
      <c r="UMZ82" s="684"/>
      <c r="UNA82" s="684"/>
      <c r="UNB82" s="684"/>
      <c r="UNC82" s="684"/>
      <c r="UND82" s="684"/>
      <c r="UNE82" s="684"/>
      <c r="UNF82" s="684"/>
      <c r="UNG82" s="684"/>
      <c r="UNH82" s="684"/>
      <c r="UNI82" s="684"/>
      <c r="UNJ82" s="684"/>
      <c r="UNK82" s="684"/>
      <c r="UNL82" s="684"/>
      <c r="UNM82" s="684"/>
      <c r="UNN82" s="684"/>
      <c r="UNO82" s="684"/>
      <c r="UNP82" s="684"/>
      <c r="UNQ82" s="684"/>
      <c r="UNR82" s="684"/>
      <c r="UNS82" s="684"/>
      <c r="UNT82" s="684"/>
      <c r="UNU82" s="684"/>
      <c r="UNV82" s="684"/>
      <c r="UNW82" s="684"/>
      <c r="UNX82" s="684"/>
      <c r="UNY82" s="684"/>
      <c r="UNZ82" s="684"/>
      <c r="UOA82" s="684"/>
      <c r="UOB82" s="684"/>
      <c r="UOC82" s="684"/>
      <c r="UOD82" s="684"/>
      <c r="UOE82" s="684"/>
      <c r="UOF82" s="684"/>
      <c r="UOG82" s="684"/>
      <c r="UOH82" s="684"/>
      <c r="UOI82" s="684"/>
      <c r="UOJ82" s="684"/>
      <c r="UOK82" s="684"/>
      <c r="UOL82" s="684"/>
      <c r="UOM82" s="684"/>
      <c r="UON82" s="684"/>
      <c r="UOO82" s="684"/>
      <c r="UOP82" s="684"/>
      <c r="UOQ82" s="684"/>
      <c r="UOR82" s="684"/>
      <c r="UOS82" s="684"/>
      <c r="UOT82" s="684"/>
      <c r="UOU82" s="684"/>
      <c r="UOV82" s="684"/>
      <c r="UOW82" s="684"/>
      <c r="UOX82" s="684"/>
      <c r="UOY82" s="684"/>
      <c r="UOZ82" s="684"/>
      <c r="UPA82" s="684"/>
      <c r="UPB82" s="684"/>
      <c r="UPC82" s="684"/>
      <c r="UPD82" s="684"/>
      <c r="UPE82" s="684"/>
      <c r="UPF82" s="684"/>
      <c r="UPG82" s="684"/>
      <c r="UPH82" s="684"/>
      <c r="UPI82" s="684"/>
      <c r="UPJ82" s="684"/>
      <c r="UPK82" s="684"/>
      <c r="UPL82" s="684"/>
      <c r="UPM82" s="684"/>
      <c r="UPN82" s="684"/>
      <c r="UPO82" s="684"/>
      <c r="UPP82" s="684"/>
      <c r="UPQ82" s="684"/>
      <c r="UPR82" s="684"/>
      <c r="UPS82" s="684"/>
      <c r="UPT82" s="684"/>
      <c r="UPU82" s="684"/>
      <c r="UPV82" s="684"/>
      <c r="UPW82" s="684"/>
      <c r="UPX82" s="684"/>
      <c r="UPY82" s="684"/>
      <c r="UPZ82" s="684"/>
      <c r="UQA82" s="684"/>
      <c r="UQB82" s="684"/>
      <c r="UQC82" s="684"/>
      <c r="UQD82" s="684"/>
      <c r="UQE82" s="684"/>
      <c r="UQF82" s="684"/>
      <c r="UQG82" s="684"/>
      <c r="UQH82" s="684"/>
      <c r="UQI82" s="684"/>
      <c r="UQJ82" s="684"/>
      <c r="UQK82" s="684"/>
      <c r="UQL82" s="684"/>
      <c r="UQM82" s="684"/>
      <c r="UQN82" s="684"/>
      <c r="UQO82" s="684"/>
      <c r="UQP82" s="684"/>
      <c r="UQQ82" s="684"/>
      <c r="UQR82" s="684"/>
      <c r="UQS82" s="684"/>
      <c r="UQT82" s="684"/>
      <c r="UQU82" s="684"/>
      <c r="UQV82" s="684"/>
      <c r="UQW82" s="684"/>
      <c r="UQX82" s="684"/>
      <c r="UQY82" s="684"/>
      <c r="UQZ82" s="684"/>
      <c r="URA82" s="684"/>
      <c r="URB82" s="684"/>
      <c r="URC82" s="684"/>
      <c r="URD82" s="684"/>
      <c r="URE82" s="684"/>
      <c r="URF82" s="684"/>
      <c r="URG82" s="684"/>
      <c r="URH82" s="684"/>
      <c r="URI82" s="684"/>
      <c r="URJ82" s="684"/>
      <c r="URK82" s="684"/>
      <c r="URL82" s="684"/>
      <c r="URM82" s="684"/>
      <c r="URN82" s="684"/>
      <c r="URO82" s="684"/>
      <c r="URP82" s="684"/>
      <c r="URQ82" s="684"/>
      <c r="URR82" s="684"/>
      <c r="URS82" s="684"/>
      <c r="URT82" s="684"/>
      <c r="URU82" s="684"/>
      <c r="URV82" s="684"/>
      <c r="URW82" s="684"/>
      <c r="URX82" s="684"/>
      <c r="URY82" s="684"/>
      <c r="URZ82" s="684"/>
      <c r="USA82" s="684"/>
      <c r="USB82" s="684"/>
      <c r="USC82" s="684"/>
      <c r="USD82" s="684"/>
      <c r="USE82" s="684"/>
      <c r="USF82" s="684"/>
      <c r="USG82" s="684"/>
      <c r="USH82" s="684"/>
      <c r="USI82" s="684"/>
      <c r="USJ82" s="684"/>
      <c r="USK82" s="684"/>
      <c r="USL82" s="684"/>
      <c r="USM82" s="684"/>
      <c r="USN82" s="684"/>
      <c r="USO82" s="684"/>
      <c r="USP82" s="684"/>
      <c r="USQ82" s="684"/>
      <c r="USR82" s="684"/>
      <c r="USS82" s="684"/>
      <c r="UST82" s="684"/>
      <c r="USU82" s="684"/>
      <c r="USV82" s="684"/>
      <c r="USW82" s="684"/>
      <c r="USX82" s="684"/>
      <c r="USY82" s="684"/>
      <c r="USZ82" s="684"/>
      <c r="UTA82" s="684"/>
      <c r="UTB82" s="684"/>
      <c r="UTC82" s="684"/>
      <c r="UTD82" s="684"/>
      <c r="UTE82" s="684"/>
      <c r="UTF82" s="684"/>
      <c r="UTG82" s="684"/>
      <c r="UTH82" s="684"/>
      <c r="UTI82" s="684"/>
      <c r="UTJ82" s="684"/>
      <c r="UTK82" s="684"/>
      <c r="UTL82" s="684"/>
      <c r="UTM82" s="684"/>
      <c r="UTN82" s="684"/>
      <c r="UTO82" s="684"/>
      <c r="UTP82" s="684"/>
      <c r="UTQ82" s="684"/>
      <c r="UTR82" s="684"/>
      <c r="UTS82" s="684"/>
      <c r="UTT82" s="684"/>
      <c r="UTU82" s="684"/>
      <c r="UTV82" s="684"/>
      <c r="UTW82" s="684"/>
      <c r="UTX82" s="684"/>
      <c r="UTY82" s="684"/>
      <c r="UTZ82" s="684"/>
      <c r="UUA82" s="684"/>
      <c r="UUB82" s="684"/>
      <c r="UUC82" s="684"/>
      <c r="UUD82" s="684"/>
      <c r="UUE82" s="684"/>
      <c r="UUF82" s="684"/>
      <c r="UUG82" s="684"/>
      <c r="UUH82" s="684"/>
      <c r="UUI82" s="684"/>
      <c r="UUJ82" s="684"/>
      <c r="UUK82" s="684"/>
      <c r="UUL82" s="684"/>
      <c r="UUM82" s="684"/>
      <c r="UUN82" s="684"/>
      <c r="UUO82" s="684"/>
      <c r="UUP82" s="684"/>
      <c r="UUQ82" s="684"/>
      <c r="UUR82" s="684"/>
      <c r="UUS82" s="684"/>
      <c r="UUT82" s="684"/>
      <c r="UUU82" s="684"/>
      <c r="UUV82" s="684"/>
      <c r="UUW82" s="684"/>
      <c r="UUX82" s="684"/>
      <c r="UUY82" s="684"/>
      <c r="UUZ82" s="684"/>
      <c r="UVA82" s="684"/>
      <c r="UVB82" s="684"/>
      <c r="UVC82" s="684"/>
      <c r="UVD82" s="684"/>
      <c r="UVE82" s="684"/>
      <c r="UVF82" s="684"/>
      <c r="UVG82" s="684"/>
      <c r="UVH82" s="684"/>
      <c r="UVI82" s="684"/>
      <c r="UVJ82" s="684"/>
      <c r="UVK82" s="684"/>
      <c r="UVL82" s="684"/>
      <c r="UVM82" s="684"/>
      <c r="UVN82" s="684"/>
      <c r="UVO82" s="684"/>
      <c r="UVP82" s="684"/>
      <c r="UVQ82" s="684"/>
      <c r="UVR82" s="684"/>
      <c r="UVS82" s="684"/>
      <c r="UVT82" s="684"/>
      <c r="UVU82" s="684"/>
      <c r="UVV82" s="684"/>
      <c r="UVW82" s="684"/>
      <c r="UVX82" s="684"/>
      <c r="UVY82" s="684"/>
      <c r="UVZ82" s="684"/>
      <c r="UWA82" s="684"/>
      <c r="UWB82" s="684"/>
      <c r="UWC82" s="684"/>
      <c r="UWD82" s="684"/>
      <c r="UWE82" s="684"/>
      <c r="UWF82" s="684"/>
      <c r="UWG82" s="684"/>
      <c r="UWH82" s="684"/>
      <c r="UWI82" s="684"/>
      <c r="UWJ82" s="684"/>
      <c r="UWK82" s="684"/>
      <c r="UWL82" s="684"/>
      <c r="UWM82" s="684"/>
      <c r="UWN82" s="684"/>
      <c r="UWO82" s="684"/>
      <c r="UWP82" s="684"/>
      <c r="UWQ82" s="684"/>
      <c r="UWR82" s="684"/>
      <c r="UWS82" s="684"/>
      <c r="UWT82" s="684"/>
      <c r="UWU82" s="684"/>
      <c r="UWV82" s="684"/>
      <c r="UWW82" s="684"/>
      <c r="UWX82" s="684"/>
      <c r="UWY82" s="684"/>
      <c r="UWZ82" s="684"/>
      <c r="UXA82" s="684"/>
      <c r="UXB82" s="684"/>
      <c r="UXC82" s="684"/>
      <c r="UXD82" s="684"/>
      <c r="UXE82" s="684"/>
      <c r="UXF82" s="684"/>
      <c r="UXG82" s="684"/>
      <c r="UXH82" s="684"/>
      <c r="UXI82" s="684"/>
      <c r="UXJ82" s="684"/>
      <c r="UXK82" s="684"/>
      <c r="UXL82" s="684"/>
      <c r="UXM82" s="684"/>
      <c r="UXN82" s="684"/>
      <c r="UXO82" s="684"/>
      <c r="UXP82" s="684"/>
      <c r="UXQ82" s="684"/>
      <c r="UXR82" s="684"/>
      <c r="UXS82" s="684"/>
      <c r="UXT82" s="684"/>
      <c r="UXU82" s="684"/>
      <c r="UXV82" s="684"/>
      <c r="UXW82" s="684"/>
      <c r="UXX82" s="684"/>
      <c r="UXY82" s="684"/>
      <c r="UXZ82" s="684"/>
      <c r="UYA82" s="684"/>
      <c r="UYB82" s="684"/>
      <c r="UYC82" s="684"/>
      <c r="UYD82" s="684"/>
      <c r="UYE82" s="684"/>
      <c r="UYF82" s="684"/>
      <c r="UYG82" s="684"/>
      <c r="UYH82" s="684"/>
      <c r="UYI82" s="684"/>
      <c r="UYJ82" s="684"/>
      <c r="UYK82" s="684"/>
      <c r="UYL82" s="684"/>
      <c r="UYM82" s="684"/>
      <c r="UYN82" s="684"/>
      <c r="UYO82" s="684"/>
      <c r="UYP82" s="684"/>
      <c r="UYQ82" s="684"/>
      <c r="UYR82" s="684"/>
      <c r="UYS82" s="684"/>
      <c r="UYT82" s="684"/>
      <c r="UYU82" s="684"/>
      <c r="UYV82" s="684"/>
      <c r="UYW82" s="684"/>
      <c r="UYX82" s="684"/>
      <c r="UYY82" s="684"/>
      <c r="UYZ82" s="684"/>
      <c r="UZA82" s="684"/>
      <c r="UZB82" s="684"/>
      <c r="UZC82" s="684"/>
      <c r="UZD82" s="684"/>
      <c r="UZE82" s="684"/>
      <c r="UZF82" s="684"/>
      <c r="UZG82" s="684"/>
      <c r="UZH82" s="684"/>
      <c r="UZI82" s="684"/>
      <c r="UZJ82" s="684"/>
      <c r="UZK82" s="684"/>
      <c r="UZL82" s="684"/>
      <c r="UZM82" s="684"/>
      <c r="UZN82" s="684"/>
      <c r="UZO82" s="684"/>
      <c r="UZP82" s="684"/>
      <c r="UZQ82" s="684"/>
      <c r="UZR82" s="684"/>
      <c r="UZS82" s="684"/>
      <c r="UZT82" s="684"/>
      <c r="UZU82" s="684"/>
      <c r="UZV82" s="684"/>
      <c r="UZW82" s="684"/>
      <c r="UZX82" s="684"/>
      <c r="UZY82" s="684"/>
      <c r="UZZ82" s="684"/>
      <c r="VAA82" s="684"/>
      <c r="VAB82" s="684"/>
      <c r="VAC82" s="684"/>
      <c r="VAD82" s="684"/>
      <c r="VAE82" s="684"/>
      <c r="VAF82" s="684"/>
      <c r="VAG82" s="684"/>
      <c r="VAH82" s="684"/>
      <c r="VAI82" s="684"/>
      <c r="VAJ82" s="684"/>
      <c r="VAK82" s="684"/>
      <c r="VAL82" s="684"/>
      <c r="VAM82" s="684"/>
      <c r="VAN82" s="684"/>
      <c r="VAO82" s="684"/>
      <c r="VAP82" s="684"/>
      <c r="VAQ82" s="684"/>
      <c r="VAR82" s="684"/>
      <c r="VAS82" s="684"/>
      <c r="VAT82" s="684"/>
      <c r="VAU82" s="684"/>
      <c r="VAV82" s="684"/>
      <c r="VAW82" s="684"/>
      <c r="VAX82" s="684"/>
      <c r="VAY82" s="684"/>
      <c r="VAZ82" s="684"/>
      <c r="VBA82" s="684"/>
      <c r="VBB82" s="684"/>
      <c r="VBC82" s="684"/>
      <c r="VBD82" s="684"/>
      <c r="VBE82" s="684"/>
      <c r="VBF82" s="684"/>
      <c r="VBG82" s="684"/>
      <c r="VBH82" s="684"/>
      <c r="VBI82" s="684"/>
      <c r="VBJ82" s="684"/>
      <c r="VBK82" s="684"/>
      <c r="VBL82" s="684"/>
      <c r="VBM82" s="684"/>
      <c r="VBN82" s="684"/>
      <c r="VBO82" s="684"/>
      <c r="VBP82" s="684"/>
      <c r="VBQ82" s="684"/>
      <c r="VBR82" s="684"/>
      <c r="VBS82" s="684"/>
      <c r="VBT82" s="684"/>
      <c r="VBU82" s="684"/>
      <c r="VBV82" s="684"/>
      <c r="VBW82" s="684"/>
      <c r="VBX82" s="684"/>
      <c r="VBY82" s="684"/>
      <c r="VBZ82" s="684"/>
      <c r="VCA82" s="684"/>
      <c r="VCB82" s="684"/>
      <c r="VCC82" s="684"/>
      <c r="VCD82" s="684"/>
      <c r="VCE82" s="684"/>
      <c r="VCF82" s="684"/>
      <c r="VCG82" s="684"/>
      <c r="VCH82" s="684"/>
      <c r="VCI82" s="684"/>
      <c r="VCJ82" s="684"/>
      <c r="VCK82" s="684"/>
      <c r="VCL82" s="684"/>
      <c r="VCM82" s="684"/>
      <c r="VCN82" s="684"/>
      <c r="VCO82" s="684"/>
      <c r="VCP82" s="684"/>
      <c r="VCQ82" s="684"/>
      <c r="VCR82" s="684"/>
      <c r="VCS82" s="684"/>
      <c r="VCT82" s="684"/>
      <c r="VCU82" s="684"/>
      <c r="VCV82" s="684"/>
      <c r="VCW82" s="684"/>
      <c r="VCX82" s="684"/>
      <c r="VCY82" s="684"/>
      <c r="VCZ82" s="684"/>
      <c r="VDA82" s="684"/>
      <c r="VDB82" s="684"/>
      <c r="VDC82" s="684"/>
      <c r="VDD82" s="684"/>
      <c r="VDE82" s="684"/>
      <c r="VDF82" s="684"/>
      <c r="VDG82" s="684"/>
      <c r="VDH82" s="684"/>
      <c r="VDI82" s="684"/>
      <c r="VDJ82" s="684"/>
      <c r="VDK82" s="684"/>
      <c r="VDL82" s="684"/>
      <c r="VDM82" s="684"/>
      <c r="VDN82" s="684"/>
      <c r="VDO82" s="684"/>
      <c r="VDP82" s="684"/>
      <c r="VDQ82" s="684"/>
      <c r="VDR82" s="684"/>
      <c r="VDS82" s="684"/>
      <c r="VDT82" s="684"/>
      <c r="VDU82" s="684"/>
      <c r="VDV82" s="684"/>
      <c r="VDW82" s="684"/>
      <c r="VDX82" s="684"/>
      <c r="VDY82" s="684"/>
      <c r="VDZ82" s="684"/>
      <c r="VEA82" s="684"/>
      <c r="VEB82" s="684"/>
      <c r="VEC82" s="684"/>
      <c r="VED82" s="684"/>
      <c r="VEE82" s="684"/>
      <c r="VEF82" s="684"/>
      <c r="VEG82" s="684"/>
      <c r="VEH82" s="684"/>
      <c r="VEI82" s="684"/>
      <c r="VEJ82" s="684"/>
      <c r="VEK82" s="684"/>
      <c r="VEL82" s="684"/>
      <c r="VEM82" s="684"/>
      <c r="VEN82" s="684"/>
      <c r="VEO82" s="684"/>
      <c r="VEP82" s="684"/>
      <c r="VEQ82" s="684"/>
      <c r="VER82" s="684"/>
      <c r="VES82" s="684"/>
      <c r="VET82" s="684"/>
      <c r="VEU82" s="684"/>
      <c r="VEV82" s="684"/>
      <c r="VEW82" s="684"/>
      <c r="VEX82" s="684"/>
      <c r="VEY82" s="684"/>
      <c r="VEZ82" s="684"/>
      <c r="VFA82" s="684"/>
      <c r="VFB82" s="684"/>
      <c r="VFC82" s="684"/>
      <c r="VFD82" s="684"/>
      <c r="VFE82" s="684"/>
      <c r="VFF82" s="684"/>
      <c r="VFG82" s="684"/>
      <c r="VFH82" s="684"/>
      <c r="VFI82" s="684"/>
      <c r="VFJ82" s="684"/>
      <c r="VFK82" s="684"/>
      <c r="VFL82" s="684"/>
      <c r="VFM82" s="684"/>
      <c r="VFN82" s="684"/>
      <c r="VFO82" s="684"/>
      <c r="VFP82" s="684"/>
      <c r="VFQ82" s="684"/>
      <c r="VFR82" s="684"/>
      <c r="VFS82" s="684"/>
      <c r="VFT82" s="684"/>
      <c r="VFU82" s="684"/>
      <c r="VFV82" s="684"/>
      <c r="VFW82" s="684"/>
      <c r="VFX82" s="684"/>
      <c r="VFY82" s="684"/>
      <c r="VFZ82" s="684"/>
      <c r="VGA82" s="684"/>
      <c r="VGB82" s="684"/>
      <c r="VGC82" s="684"/>
      <c r="VGD82" s="684"/>
      <c r="VGE82" s="684"/>
      <c r="VGF82" s="684"/>
      <c r="VGG82" s="684"/>
      <c r="VGH82" s="684"/>
      <c r="VGI82" s="684"/>
      <c r="VGJ82" s="684"/>
      <c r="VGK82" s="684"/>
      <c r="VGL82" s="684"/>
      <c r="VGM82" s="684"/>
      <c r="VGN82" s="684"/>
      <c r="VGO82" s="684"/>
      <c r="VGP82" s="684"/>
      <c r="VGQ82" s="684"/>
      <c r="VGR82" s="684"/>
      <c r="VGS82" s="684"/>
      <c r="VGT82" s="684"/>
      <c r="VGU82" s="684"/>
      <c r="VGV82" s="684"/>
      <c r="VGW82" s="684"/>
      <c r="VGX82" s="684"/>
      <c r="VGY82" s="684"/>
      <c r="VGZ82" s="684"/>
      <c r="VHA82" s="684"/>
      <c r="VHB82" s="684"/>
      <c r="VHC82" s="684"/>
      <c r="VHD82" s="684"/>
      <c r="VHE82" s="684"/>
      <c r="VHF82" s="684"/>
      <c r="VHG82" s="684"/>
      <c r="VHH82" s="684"/>
      <c r="VHI82" s="684"/>
      <c r="VHJ82" s="684"/>
      <c r="VHK82" s="684"/>
      <c r="VHL82" s="684"/>
      <c r="VHM82" s="684"/>
      <c r="VHN82" s="684"/>
      <c r="VHO82" s="684"/>
      <c r="VHP82" s="684"/>
      <c r="VHQ82" s="684"/>
      <c r="VHR82" s="684"/>
      <c r="VHS82" s="684"/>
      <c r="VHT82" s="684"/>
      <c r="VHU82" s="684"/>
      <c r="VHV82" s="684"/>
      <c r="VHW82" s="684"/>
      <c r="VHX82" s="684"/>
      <c r="VHY82" s="684"/>
      <c r="VHZ82" s="684"/>
      <c r="VIA82" s="684"/>
      <c r="VIB82" s="684"/>
      <c r="VIC82" s="684"/>
      <c r="VID82" s="684"/>
      <c r="VIE82" s="684"/>
      <c r="VIF82" s="684"/>
      <c r="VIG82" s="684"/>
      <c r="VIH82" s="684"/>
      <c r="VII82" s="684"/>
      <c r="VIJ82" s="684"/>
      <c r="VIK82" s="684"/>
      <c r="VIL82" s="684"/>
      <c r="VIM82" s="684"/>
      <c r="VIN82" s="684"/>
      <c r="VIO82" s="684"/>
      <c r="VIP82" s="684"/>
      <c r="VIQ82" s="684"/>
      <c r="VIR82" s="684"/>
      <c r="VIS82" s="684"/>
      <c r="VIT82" s="684"/>
      <c r="VIU82" s="684"/>
      <c r="VIV82" s="684"/>
      <c r="VIW82" s="684"/>
      <c r="VIX82" s="684"/>
      <c r="VIY82" s="684"/>
      <c r="VIZ82" s="684"/>
      <c r="VJA82" s="684"/>
      <c r="VJB82" s="684"/>
      <c r="VJC82" s="684"/>
      <c r="VJD82" s="684"/>
      <c r="VJE82" s="684"/>
      <c r="VJF82" s="684"/>
      <c r="VJG82" s="684"/>
      <c r="VJH82" s="684"/>
      <c r="VJI82" s="684"/>
      <c r="VJJ82" s="684"/>
      <c r="VJK82" s="684"/>
      <c r="VJL82" s="684"/>
      <c r="VJM82" s="684"/>
      <c r="VJN82" s="684"/>
      <c r="VJO82" s="684"/>
      <c r="VJP82" s="684"/>
      <c r="VJQ82" s="684"/>
      <c r="VJR82" s="684"/>
      <c r="VJS82" s="684"/>
      <c r="VJT82" s="684"/>
      <c r="VJU82" s="684"/>
      <c r="VJV82" s="684"/>
      <c r="VJW82" s="684"/>
      <c r="VJX82" s="684"/>
      <c r="VJY82" s="684"/>
      <c r="VJZ82" s="684"/>
      <c r="VKA82" s="684"/>
      <c r="VKB82" s="684"/>
      <c r="VKC82" s="684"/>
      <c r="VKD82" s="684"/>
      <c r="VKE82" s="684"/>
      <c r="VKF82" s="684"/>
      <c r="VKG82" s="684"/>
      <c r="VKH82" s="684"/>
      <c r="VKI82" s="684"/>
      <c r="VKJ82" s="684"/>
      <c r="VKK82" s="684"/>
      <c r="VKL82" s="684"/>
      <c r="VKM82" s="684"/>
      <c r="VKN82" s="684"/>
      <c r="VKO82" s="684"/>
      <c r="VKP82" s="684"/>
      <c r="VKQ82" s="684"/>
      <c r="VKR82" s="684"/>
      <c r="VKS82" s="684"/>
      <c r="VKT82" s="684"/>
      <c r="VKU82" s="684"/>
      <c r="VKV82" s="684"/>
      <c r="VKW82" s="684"/>
      <c r="VKX82" s="684"/>
      <c r="VKY82" s="684"/>
      <c r="VKZ82" s="684"/>
      <c r="VLA82" s="684"/>
      <c r="VLB82" s="684"/>
      <c r="VLC82" s="684"/>
      <c r="VLD82" s="684"/>
      <c r="VLE82" s="684"/>
      <c r="VLF82" s="684"/>
      <c r="VLG82" s="684"/>
      <c r="VLH82" s="684"/>
      <c r="VLI82" s="684"/>
      <c r="VLJ82" s="684"/>
      <c r="VLK82" s="684"/>
      <c r="VLL82" s="684"/>
      <c r="VLM82" s="684"/>
      <c r="VLN82" s="684"/>
      <c r="VLO82" s="684"/>
      <c r="VLP82" s="684"/>
      <c r="VLQ82" s="684"/>
      <c r="VLR82" s="684"/>
      <c r="VLS82" s="684"/>
      <c r="VLT82" s="684"/>
      <c r="VLU82" s="684"/>
      <c r="VLV82" s="684"/>
      <c r="VLW82" s="684"/>
      <c r="VLX82" s="684"/>
      <c r="VLY82" s="684"/>
      <c r="VLZ82" s="684"/>
      <c r="VMA82" s="684"/>
      <c r="VMB82" s="684"/>
      <c r="VMC82" s="684"/>
      <c r="VMD82" s="684"/>
      <c r="VME82" s="684"/>
      <c r="VMF82" s="684"/>
      <c r="VMG82" s="684"/>
      <c r="VMH82" s="684"/>
      <c r="VMI82" s="684"/>
      <c r="VMJ82" s="684"/>
      <c r="VMK82" s="684"/>
      <c r="VML82" s="684"/>
      <c r="VMM82" s="684"/>
      <c r="VMN82" s="684"/>
      <c r="VMO82" s="684"/>
      <c r="VMP82" s="684"/>
      <c r="VMQ82" s="684"/>
      <c r="VMR82" s="684"/>
      <c r="VMS82" s="684"/>
      <c r="VMT82" s="684"/>
      <c r="VMU82" s="684"/>
      <c r="VMV82" s="684"/>
      <c r="VMW82" s="684"/>
      <c r="VMX82" s="684"/>
      <c r="VMY82" s="684"/>
      <c r="VMZ82" s="684"/>
      <c r="VNA82" s="684"/>
      <c r="VNB82" s="684"/>
      <c r="VNC82" s="684"/>
      <c r="VND82" s="684"/>
      <c r="VNE82" s="684"/>
      <c r="VNF82" s="684"/>
      <c r="VNG82" s="684"/>
      <c r="VNH82" s="684"/>
      <c r="VNI82" s="684"/>
      <c r="VNJ82" s="684"/>
      <c r="VNK82" s="684"/>
      <c r="VNL82" s="684"/>
      <c r="VNM82" s="684"/>
      <c r="VNN82" s="684"/>
      <c r="VNO82" s="684"/>
      <c r="VNP82" s="684"/>
      <c r="VNQ82" s="684"/>
      <c r="VNR82" s="684"/>
      <c r="VNS82" s="684"/>
      <c r="VNT82" s="684"/>
      <c r="VNU82" s="684"/>
      <c r="VNV82" s="684"/>
      <c r="VNW82" s="684"/>
      <c r="VNX82" s="684"/>
      <c r="VNY82" s="684"/>
      <c r="VNZ82" s="684"/>
      <c r="VOA82" s="684"/>
      <c r="VOB82" s="684"/>
      <c r="VOC82" s="684"/>
      <c r="VOD82" s="684"/>
      <c r="VOE82" s="684"/>
      <c r="VOF82" s="684"/>
      <c r="VOG82" s="684"/>
      <c r="VOH82" s="684"/>
      <c r="VOI82" s="684"/>
      <c r="VOJ82" s="684"/>
      <c r="VOK82" s="684"/>
      <c r="VOL82" s="684"/>
      <c r="VOM82" s="684"/>
      <c r="VON82" s="684"/>
      <c r="VOO82" s="684"/>
      <c r="VOP82" s="684"/>
      <c r="VOQ82" s="684"/>
      <c r="VOR82" s="684"/>
      <c r="VOS82" s="684"/>
      <c r="VOT82" s="684"/>
      <c r="VOU82" s="684"/>
      <c r="VOV82" s="684"/>
      <c r="VOW82" s="684"/>
      <c r="VOX82" s="684"/>
      <c r="VOY82" s="684"/>
      <c r="VOZ82" s="684"/>
      <c r="VPA82" s="684"/>
      <c r="VPB82" s="684"/>
      <c r="VPC82" s="684"/>
      <c r="VPD82" s="684"/>
      <c r="VPE82" s="684"/>
      <c r="VPF82" s="684"/>
      <c r="VPG82" s="684"/>
      <c r="VPH82" s="684"/>
      <c r="VPI82" s="684"/>
      <c r="VPJ82" s="684"/>
      <c r="VPK82" s="684"/>
      <c r="VPL82" s="684"/>
      <c r="VPM82" s="684"/>
      <c r="VPN82" s="684"/>
      <c r="VPO82" s="684"/>
      <c r="VPP82" s="684"/>
      <c r="VPQ82" s="684"/>
      <c r="VPR82" s="684"/>
      <c r="VPS82" s="684"/>
      <c r="VPT82" s="684"/>
      <c r="VPU82" s="684"/>
      <c r="VPV82" s="684"/>
      <c r="VPW82" s="684"/>
      <c r="VPX82" s="684"/>
      <c r="VPY82" s="684"/>
      <c r="VPZ82" s="684"/>
      <c r="VQA82" s="684"/>
      <c r="VQB82" s="684"/>
      <c r="VQC82" s="684"/>
      <c r="VQD82" s="684"/>
      <c r="VQE82" s="684"/>
      <c r="VQF82" s="684"/>
      <c r="VQG82" s="684"/>
      <c r="VQH82" s="684"/>
      <c r="VQI82" s="684"/>
      <c r="VQJ82" s="684"/>
      <c r="VQK82" s="684"/>
      <c r="VQL82" s="684"/>
      <c r="VQM82" s="684"/>
      <c r="VQN82" s="684"/>
      <c r="VQO82" s="684"/>
      <c r="VQP82" s="684"/>
      <c r="VQQ82" s="684"/>
      <c r="VQR82" s="684"/>
      <c r="VQS82" s="684"/>
      <c r="VQT82" s="684"/>
      <c r="VQU82" s="684"/>
      <c r="VQV82" s="684"/>
      <c r="VQW82" s="684"/>
      <c r="VQX82" s="684"/>
      <c r="VQY82" s="684"/>
      <c r="VQZ82" s="684"/>
      <c r="VRA82" s="684"/>
      <c r="VRB82" s="684"/>
      <c r="VRC82" s="684"/>
      <c r="VRD82" s="684"/>
      <c r="VRE82" s="684"/>
      <c r="VRF82" s="684"/>
      <c r="VRG82" s="684"/>
      <c r="VRH82" s="684"/>
      <c r="VRI82" s="684"/>
      <c r="VRJ82" s="684"/>
      <c r="VRK82" s="684"/>
      <c r="VRL82" s="684"/>
      <c r="VRM82" s="684"/>
      <c r="VRN82" s="684"/>
      <c r="VRO82" s="684"/>
      <c r="VRP82" s="684"/>
      <c r="VRQ82" s="684"/>
      <c r="VRR82" s="684"/>
      <c r="VRS82" s="684"/>
      <c r="VRT82" s="684"/>
      <c r="VRU82" s="684"/>
      <c r="VRV82" s="684"/>
      <c r="VRW82" s="684"/>
      <c r="VRX82" s="684"/>
      <c r="VRY82" s="684"/>
      <c r="VRZ82" s="684"/>
      <c r="VSA82" s="684"/>
      <c r="VSB82" s="684"/>
      <c r="VSC82" s="684"/>
      <c r="VSD82" s="684"/>
      <c r="VSE82" s="684"/>
      <c r="VSF82" s="684"/>
      <c r="VSG82" s="684"/>
      <c r="VSH82" s="684"/>
      <c r="VSI82" s="684"/>
      <c r="VSJ82" s="684"/>
      <c r="VSK82" s="684"/>
      <c r="VSL82" s="684"/>
      <c r="VSM82" s="684"/>
      <c r="VSN82" s="684"/>
      <c r="VSO82" s="684"/>
      <c r="VSP82" s="684"/>
      <c r="VSQ82" s="684"/>
      <c r="VSR82" s="684"/>
      <c r="VSS82" s="684"/>
      <c r="VST82" s="684"/>
      <c r="VSU82" s="684"/>
      <c r="VSV82" s="684"/>
      <c r="VSW82" s="684"/>
      <c r="VSX82" s="684"/>
      <c r="VSY82" s="684"/>
      <c r="VSZ82" s="684"/>
      <c r="VTA82" s="684"/>
      <c r="VTB82" s="684"/>
      <c r="VTC82" s="684"/>
      <c r="VTD82" s="684"/>
      <c r="VTE82" s="684"/>
      <c r="VTF82" s="684"/>
      <c r="VTG82" s="684"/>
      <c r="VTH82" s="684"/>
      <c r="VTI82" s="684"/>
      <c r="VTJ82" s="684"/>
      <c r="VTK82" s="684"/>
      <c r="VTL82" s="684"/>
      <c r="VTM82" s="684"/>
      <c r="VTN82" s="684"/>
      <c r="VTO82" s="684"/>
      <c r="VTP82" s="684"/>
      <c r="VTQ82" s="684"/>
      <c r="VTR82" s="684"/>
      <c r="VTS82" s="684"/>
      <c r="VTT82" s="684"/>
      <c r="VTU82" s="684"/>
      <c r="VTV82" s="684"/>
      <c r="VTW82" s="684"/>
      <c r="VTX82" s="684"/>
      <c r="VTY82" s="684"/>
      <c r="VTZ82" s="684"/>
      <c r="VUA82" s="684"/>
      <c r="VUB82" s="684"/>
      <c r="VUC82" s="684"/>
      <c r="VUD82" s="684"/>
      <c r="VUE82" s="684"/>
      <c r="VUF82" s="684"/>
      <c r="VUG82" s="684"/>
      <c r="VUH82" s="684"/>
      <c r="VUI82" s="684"/>
      <c r="VUJ82" s="684"/>
      <c r="VUK82" s="684"/>
      <c r="VUL82" s="684"/>
      <c r="VUM82" s="684"/>
      <c r="VUN82" s="684"/>
      <c r="VUO82" s="684"/>
      <c r="VUP82" s="684"/>
      <c r="VUQ82" s="684"/>
      <c r="VUR82" s="684"/>
      <c r="VUS82" s="684"/>
      <c r="VUT82" s="684"/>
      <c r="VUU82" s="684"/>
      <c r="VUV82" s="684"/>
      <c r="VUW82" s="684"/>
      <c r="VUX82" s="684"/>
      <c r="VUY82" s="684"/>
      <c r="VUZ82" s="684"/>
      <c r="VVA82" s="684"/>
      <c r="VVB82" s="684"/>
      <c r="VVC82" s="684"/>
      <c r="VVD82" s="684"/>
      <c r="VVE82" s="684"/>
      <c r="VVF82" s="684"/>
      <c r="VVG82" s="684"/>
      <c r="VVH82" s="684"/>
      <c r="VVI82" s="684"/>
      <c r="VVJ82" s="684"/>
      <c r="VVK82" s="684"/>
      <c r="VVL82" s="684"/>
      <c r="VVM82" s="684"/>
      <c r="VVN82" s="684"/>
      <c r="VVO82" s="684"/>
      <c r="VVP82" s="684"/>
      <c r="VVQ82" s="684"/>
      <c r="VVR82" s="684"/>
      <c r="VVS82" s="684"/>
      <c r="VVT82" s="684"/>
      <c r="VVU82" s="684"/>
      <c r="VVV82" s="684"/>
      <c r="VVW82" s="684"/>
      <c r="VVX82" s="684"/>
      <c r="VVY82" s="684"/>
      <c r="VVZ82" s="684"/>
      <c r="VWA82" s="684"/>
      <c r="VWB82" s="684"/>
      <c r="VWC82" s="684"/>
      <c r="VWD82" s="684"/>
      <c r="VWE82" s="684"/>
      <c r="VWF82" s="684"/>
      <c r="VWG82" s="684"/>
      <c r="VWH82" s="684"/>
      <c r="VWI82" s="684"/>
      <c r="VWJ82" s="684"/>
      <c r="VWK82" s="684"/>
      <c r="VWL82" s="684"/>
      <c r="VWM82" s="684"/>
      <c r="VWN82" s="684"/>
      <c r="VWO82" s="684"/>
      <c r="VWP82" s="684"/>
      <c r="VWQ82" s="684"/>
      <c r="VWR82" s="684"/>
      <c r="VWS82" s="684"/>
      <c r="VWT82" s="684"/>
      <c r="VWU82" s="684"/>
      <c r="VWV82" s="684"/>
      <c r="VWW82" s="684"/>
      <c r="VWX82" s="684"/>
      <c r="VWY82" s="684"/>
      <c r="VWZ82" s="684"/>
      <c r="VXA82" s="684"/>
      <c r="VXB82" s="684"/>
      <c r="VXC82" s="684"/>
      <c r="VXD82" s="684"/>
      <c r="VXE82" s="684"/>
      <c r="VXF82" s="684"/>
      <c r="VXG82" s="684"/>
      <c r="VXH82" s="684"/>
      <c r="VXI82" s="684"/>
      <c r="VXJ82" s="684"/>
      <c r="VXK82" s="684"/>
      <c r="VXL82" s="684"/>
      <c r="VXM82" s="684"/>
      <c r="VXN82" s="684"/>
      <c r="VXO82" s="684"/>
      <c r="VXP82" s="684"/>
      <c r="VXQ82" s="684"/>
      <c r="VXR82" s="684"/>
      <c r="VXS82" s="684"/>
      <c r="VXT82" s="684"/>
      <c r="VXU82" s="684"/>
      <c r="VXV82" s="684"/>
      <c r="VXW82" s="684"/>
      <c r="VXX82" s="684"/>
      <c r="VXY82" s="684"/>
      <c r="VXZ82" s="684"/>
      <c r="VYA82" s="684"/>
      <c r="VYB82" s="684"/>
      <c r="VYC82" s="684"/>
      <c r="VYD82" s="684"/>
      <c r="VYE82" s="684"/>
      <c r="VYF82" s="684"/>
      <c r="VYG82" s="684"/>
      <c r="VYH82" s="684"/>
      <c r="VYI82" s="684"/>
      <c r="VYJ82" s="684"/>
      <c r="VYK82" s="684"/>
      <c r="VYL82" s="684"/>
      <c r="VYM82" s="684"/>
      <c r="VYN82" s="684"/>
      <c r="VYO82" s="684"/>
      <c r="VYP82" s="684"/>
      <c r="VYQ82" s="684"/>
      <c r="VYR82" s="684"/>
      <c r="VYS82" s="684"/>
      <c r="VYT82" s="684"/>
      <c r="VYU82" s="684"/>
      <c r="VYV82" s="684"/>
      <c r="VYW82" s="684"/>
      <c r="VYX82" s="684"/>
      <c r="VYY82" s="684"/>
      <c r="VYZ82" s="684"/>
      <c r="VZA82" s="684"/>
      <c r="VZB82" s="684"/>
      <c r="VZC82" s="684"/>
      <c r="VZD82" s="684"/>
      <c r="VZE82" s="684"/>
      <c r="VZF82" s="684"/>
      <c r="VZG82" s="684"/>
      <c r="VZH82" s="684"/>
      <c r="VZI82" s="684"/>
      <c r="VZJ82" s="684"/>
      <c r="VZK82" s="684"/>
      <c r="VZL82" s="684"/>
      <c r="VZM82" s="684"/>
      <c r="VZN82" s="684"/>
      <c r="VZO82" s="684"/>
      <c r="VZP82" s="684"/>
      <c r="VZQ82" s="684"/>
      <c r="VZR82" s="684"/>
      <c r="VZS82" s="684"/>
      <c r="VZT82" s="684"/>
      <c r="VZU82" s="684"/>
      <c r="VZV82" s="684"/>
      <c r="VZW82" s="684"/>
      <c r="VZX82" s="684"/>
      <c r="VZY82" s="684"/>
      <c r="VZZ82" s="684"/>
      <c r="WAA82" s="684"/>
      <c r="WAB82" s="684"/>
      <c r="WAC82" s="684"/>
      <c r="WAD82" s="684"/>
      <c r="WAE82" s="684"/>
      <c r="WAF82" s="684"/>
      <c r="WAG82" s="684"/>
      <c r="WAH82" s="684"/>
      <c r="WAI82" s="684"/>
      <c r="WAJ82" s="684"/>
      <c r="WAK82" s="684"/>
      <c r="WAL82" s="684"/>
      <c r="WAM82" s="684"/>
      <c r="WAN82" s="684"/>
      <c r="WAO82" s="684"/>
      <c r="WAP82" s="684"/>
      <c r="WAQ82" s="684"/>
      <c r="WAR82" s="684"/>
      <c r="WAS82" s="684"/>
      <c r="WAT82" s="684"/>
      <c r="WAU82" s="684"/>
      <c r="WAV82" s="684"/>
      <c r="WAW82" s="684"/>
      <c r="WAX82" s="684"/>
      <c r="WAY82" s="684"/>
      <c r="WAZ82" s="684"/>
      <c r="WBA82" s="684"/>
      <c r="WBB82" s="684"/>
      <c r="WBC82" s="684"/>
      <c r="WBD82" s="684"/>
      <c r="WBE82" s="684"/>
      <c r="WBF82" s="684"/>
      <c r="WBG82" s="684"/>
      <c r="WBH82" s="684"/>
      <c r="WBI82" s="684"/>
      <c r="WBJ82" s="684"/>
      <c r="WBK82" s="684"/>
      <c r="WBL82" s="684"/>
      <c r="WBM82" s="684"/>
      <c r="WBN82" s="684"/>
      <c r="WBO82" s="684"/>
      <c r="WBP82" s="684"/>
      <c r="WBQ82" s="684"/>
      <c r="WBR82" s="684"/>
      <c r="WBS82" s="684"/>
      <c r="WBT82" s="684"/>
      <c r="WBU82" s="684"/>
      <c r="WBV82" s="684"/>
      <c r="WBW82" s="684"/>
      <c r="WBX82" s="684"/>
      <c r="WBY82" s="684"/>
      <c r="WBZ82" s="684"/>
      <c r="WCA82" s="684"/>
      <c r="WCB82" s="684"/>
      <c r="WCC82" s="684"/>
      <c r="WCD82" s="684"/>
      <c r="WCE82" s="684"/>
      <c r="WCF82" s="684"/>
      <c r="WCG82" s="684"/>
      <c r="WCH82" s="684"/>
      <c r="WCI82" s="684"/>
      <c r="WCJ82" s="684"/>
      <c r="WCK82" s="684"/>
      <c r="WCL82" s="684"/>
      <c r="WCM82" s="684"/>
      <c r="WCN82" s="684"/>
      <c r="WCO82" s="684"/>
      <c r="WCP82" s="684"/>
      <c r="WCQ82" s="684"/>
      <c r="WCR82" s="684"/>
      <c r="WCS82" s="684"/>
      <c r="WCT82" s="684"/>
      <c r="WCU82" s="684"/>
      <c r="WCV82" s="684"/>
      <c r="WCW82" s="684"/>
      <c r="WCX82" s="684"/>
      <c r="WCY82" s="684"/>
      <c r="WCZ82" s="684"/>
      <c r="WDA82" s="684"/>
      <c r="WDB82" s="684"/>
      <c r="WDC82" s="684"/>
      <c r="WDD82" s="684"/>
      <c r="WDE82" s="684"/>
      <c r="WDF82" s="684"/>
      <c r="WDG82" s="684"/>
      <c r="WDH82" s="684"/>
      <c r="WDI82" s="684"/>
      <c r="WDJ82" s="684"/>
      <c r="WDK82" s="684"/>
      <c r="WDL82" s="684"/>
      <c r="WDM82" s="684"/>
      <c r="WDN82" s="684"/>
      <c r="WDO82" s="684"/>
      <c r="WDP82" s="684"/>
      <c r="WDQ82" s="684"/>
      <c r="WDR82" s="684"/>
      <c r="WDS82" s="684"/>
      <c r="WDT82" s="684"/>
      <c r="WDU82" s="684"/>
      <c r="WDV82" s="684"/>
      <c r="WDW82" s="684"/>
      <c r="WDX82" s="684"/>
      <c r="WDY82" s="684"/>
      <c r="WDZ82" s="684"/>
      <c r="WEA82" s="684"/>
      <c r="WEB82" s="684"/>
      <c r="WEC82" s="684"/>
      <c r="WED82" s="684"/>
      <c r="WEE82" s="684"/>
      <c r="WEF82" s="684"/>
      <c r="WEG82" s="684"/>
      <c r="WEH82" s="684"/>
      <c r="WEI82" s="684"/>
      <c r="WEJ82" s="684"/>
      <c r="WEK82" s="684"/>
      <c r="WEL82" s="684"/>
      <c r="WEM82" s="684"/>
      <c r="WEN82" s="684"/>
      <c r="WEO82" s="684"/>
      <c r="WEP82" s="684"/>
      <c r="WEQ82" s="684"/>
      <c r="WER82" s="684"/>
      <c r="WES82" s="684"/>
      <c r="WET82" s="684"/>
      <c r="WEU82" s="684"/>
      <c r="WEV82" s="684"/>
      <c r="WEW82" s="684"/>
      <c r="WEX82" s="684"/>
      <c r="WEY82" s="684"/>
      <c r="WEZ82" s="684"/>
      <c r="WFA82" s="684"/>
      <c r="WFB82" s="684"/>
      <c r="WFC82" s="684"/>
      <c r="WFD82" s="684"/>
      <c r="WFE82" s="684"/>
      <c r="WFF82" s="684"/>
      <c r="WFG82" s="684"/>
      <c r="WFH82" s="684"/>
      <c r="WFI82" s="684"/>
      <c r="WFJ82" s="684"/>
      <c r="WFK82" s="684"/>
      <c r="WFL82" s="684"/>
      <c r="WFM82" s="684"/>
      <c r="WFN82" s="684"/>
      <c r="WFO82" s="684"/>
      <c r="WFP82" s="684"/>
      <c r="WFQ82" s="684"/>
      <c r="WFR82" s="684"/>
      <c r="WFS82" s="684"/>
      <c r="WFT82" s="684"/>
      <c r="WFU82" s="684"/>
      <c r="WFV82" s="684"/>
      <c r="WFW82" s="684"/>
      <c r="WFX82" s="684"/>
      <c r="WFY82" s="684"/>
      <c r="WFZ82" s="684"/>
      <c r="WGA82" s="684"/>
      <c r="WGB82" s="684"/>
      <c r="WGC82" s="684"/>
      <c r="WGD82" s="684"/>
      <c r="WGE82" s="684"/>
      <c r="WGF82" s="684"/>
      <c r="WGG82" s="684"/>
      <c r="WGH82" s="684"/>
      <c r="WGI82" s="684"/>
      <c r="WGJ82" s="684"/>
      <c r="WGK82" s="684"/>
      <c r="WGL82" s="684"/>
      <c r="WGM82" s="684"/>
      <c r="WGN82" s="684"/>
      <c r="WGO82" s="684"/>
      <c r="WGP82" s="684"/>
      <c r="WGQ82" s="684"/>
      <c r="WGR82" s="684"/>
      <c r="WGS82" s="684"/>
      <c r="WGT82" s="684"/>
      <c r="WGU82" s="684"/>
      <c r="WGV82" s="684"/>
      <c r="WGW82" s="684"/>
      <c r="WGX82" s="684"/>
      <c r="WGY82" s="684"/>
      <c r="WGZ82" s="684"/>
      <c r="WHA82" s="684"/>
      <c r="WHB82" s="684"/>
      <c r="WHC82" s="684"/>
      <c r="WHD82" s="684"/>
      <c r="WHE82" s="684"/>
      <c r="WHF82" s="684"/>
      <c r="WHG82" s="684"/>
      <c r="WHH82" s="684"/>
      <c r="WHI82" s="684"/>
      <c r="WHJ82" s="684"/>
      <c r="WHK82" s="684"/>
      <c r="WHL82" s="684"/>
      <c r="WHM82" s="684"/>
      <c r="WHN82" s="684"/>
      <c r="WHO82" s="684"/>
      <c r="WHP82" s="684"/>
      <c r="WHQ82" s="684"/>
      <c r="WHR82" s="684"/>
      <c r="WHS82" s="684"/>
      <c r="WHT82" s="684"/>
      <c r="WHU82" s="684"/>
      <c r="WHV82" s="684"/>
      <c r="WHW82" s="684"/>
      <c r="WHX82" s="684"/>
      <c r="WHY82" s="684"/>
      <c r="WHZ82" s="684"/>
      <c r="WIA82" s="684"/>
      <c r="WIB82" s="684"/>
      <c r="WIC82" s="684"/>
      <c r="WID82" s="684"/>
      <c r="WIE82" s="684"/>
      <c r="WIF82" s="684"/>
      <c r="WIG82" s="684"/>
      <c r="WIH82" s="684"/>
      <c r="WII82" s="684"/>
      <c r="WIJ82" s="684"/>
      <c r="WIK82" s="684"/>
      <c r="WIL82" s="684"/>
      <c r="WIM82" s="684"/>
      <c r="WIN82" s="684"/>
      <c r="WIO82" s="684"/>
      <c r="WIP82" s="684"/>
      <c r="WIQ82" s="684"/>
      <c r="WIR82" s="684"/>
      <c r="WIS82" s="684"/>
      <c r="WIT82" s="684"/>
      <c r="WIU82" s="684"/>
      <c r="WIV82" s="684"/>
      <c r="WIW82" s="684"/>
      <c r="WIX82" s="684"/>
      <c r="WIY82" s="684"/>
      <c r="WIZ82" s="684"/>
      <c r="WJA82" s="684"/>
      <c r="WJB82" s="684"/>
      <c r="WJC82" s="684"/>
      <c r="WJD82" s="684"/>
      <c r="WJE82" s="684"/>
      <c r="WJF82" s="684"/>
      <c r="WJG82" s="684"/>
      <c r="WJH82" s="684"/>
      <c r="WJI82" s="684"/>
      <c r="WJJ82" s="684"/>
      <c r="WJK82" s="684"/>
      <c r="WJL82" s="684"/>
      <c r="WJM82" s="684"/>
      <c r="WJN82" s="684"/>
      <c r="WJO82" s="684"/>
      <c r="WJP82" s="684"/>
      <c r="WJQ82" s="684"/>
      <c r="WJR82" s="684"/>
      <c r="WJS82" s="684"/>
      <c r="WJT82" s="684"/>
      <c r="WJU82" s="684"/>
      <c r="WJV82" s="684"/>
      <c r="WJW82" s="684"/>
      <c r="WJX82" s="684"/>
      <c r="WJY82" s="684"/>
      <c r="WJZ82" s="684"/>
      <c r="WKA82" s="684"/>
      <c r="WKB82" s="684"/>
      <c r="WKC82" s="684"/>
      <c r="WKD82" s="684"/>
      <c r="WKE82" s="684"/>
      <c r="WKF82" s="684"/>
      <c r="WKG82" s="684"/>
      <c r="WKH82" s="684"/>
      <c r="WKI82" s="684"/>
      <c r="WKJ82" s="684"/>
      <c r="WKK82" s="684"/>
      <c r="WKL82" s="684"/>
      <c r="WKM82" s="684"/>
      <c r="WKN82" s="684"/>
      <c r="WKO82" s="684"/>
      <c r="WKP82" s="684"/>
      <c r="WKQ82" s="684"/>
      <c r="WKR82" s="684"/>
      <c r="WKS82" s="684"/>
      <c r="WKT82" s="684"/>
      <c r="WKU82" s="684"/>
      <c r="WKV82" s="684"/>
      <c r="WKW82" s="684"/>
      <c r="WKX82" s="684"/>
      <c r="WKY82" s="684"/>
      <c r="WKZ82" s="684"/>
      <c r="WLA82" s="684"/>
      <c r="WLB82" s="684"/>
      <c r="WLC82" s="684"/>
      <c r="WLD82" s="684"/>
      <c r="WLE82" s="684"/>
      <c r="WLF82" s="684"/>
      <c r="WLG82" s="684"/>
      <c r="WLH82" s="684"/>
      <c r="WLI82" s="684"/>
      <c r="WLJ82" s="684"/>
      <c r="WLK82" s="684"/>
      <c r="WLL82" s="684"/>
      <c r="WLM82" s="684"/>
      <c r="WLN82" s="684"/>
      <c r="WLO82" s="684"/>
      <c r="WLP82" s="684"/>
      <c r="WLQ82" s="684"/>
      <c r="WLR82" s="684"/>
      <c r="WLS82" s="684"/>
      <c r="WLT82" s="684"/>
      <c r="WLU82" s="684"/>
      <c r="WLV82" s="684"/>
      <c r="WLW82" s="684"/>
      <c r="WLX82" s="684"/>
      <c r="WLY82" s="684"/>
      <c r="WLZ82" s="684"/>
      <c r="WMA82" s="684"/>
      <c r="WMB82" s="684"/>
      <c r="WMC82" s="684"/>
      <c r="WMD82" s="684"/>
      <c r="WME82" s="684"/>
      <c r="WMF82" s="684"/>
      <c r="WMG82" s="684"/>
      <c r="WMH82" s="684"/>
      <c r="WMI82" s="684"/>
      <c r="WMJ82" s="684"/>
      <c r="WMK82" s="684"/>
      <c r="WML82" s="684"/>
      <c r="WMM82" s="684"/>
      <c r="WMN82" s="684"/>
      <c r="WMO82" s="684"/>
      <c r="WMP82" s="684"/>
      <c r="WMQ82" s="684"/>
      <c r="WMR82" s="684"/>
      <c r="WMS82" s="684"/>
      <c r="WMT82" s="684"/>
      <c r="WMU82" s="684"/>
      <c r="WMV82" s="684"/>
      <c r="WMW82" s="684"/>
      <c r="WMX82" s="684"/>
      <c r="WMY82" s="684"/>
      <c r="WMZ82" s="684"/>
      <c r="WNA82" s="684"/>
      <c r="WNB82" s="684"/>
      <c r="WNC82" s="684"/>
      <c r="WND82" s="684"/>
      <c r="WNE82" s="684"/>
      <c r="WNF82" s="684"/>
      <c r="WNG82" s="684"/>
      <c r="WNH82" s="684"/>
      <c r="WNI82" s="684"/>
      <c r="WNJ82" s="684"/>
      <c r="WNK82" s="684"/>
      <c r="WNL82" s="684"/>
      <c r="WNM82" s="684"/>
      <c r="WNN82" s="684"/>
      <c r="WNO82" s="684"/>
      <c r="WNP82" s="684"/>
      <c r="WNQ82" s="684"/>
      <c r="WNR82" s="684"/>
      <c r="WNS82" s="684"/>
      <c r="WNT82" s="684"/>
      <c r="WNU82" s="684"/>
      <c r="WNV82" s="684"/>
      <c r="WNW82" s="684"/>
      <c r="WNX82" s="684"/>
      <c r="WNY82" s="684"/>
      <c r="WNZ82" s="684"/>
      <c r="WOA82" s="684"/>
      <c r="WOB82" s="684"/>
      <c r="WOC82" s="684"/>
      <c r="WOD82" s="684"/>
      <c r="WOE82" s="684"/>
      <c r="WOF82" s="684"/>
      <c r="WOG82" s="684"/>
      <c r="WOH82" s="684"/>
      <c r="WOI82" s="684"/>
      <c r="WOJ82" s="684"/>
      <c r="WOK82" s="684"/>
      <c r="WOL82" s="684"/>
      <c r="WOM82" s="684"/>
      <c r="WON82" s="684"/>
      <c r="WOO82" s="684"/>
      <c r="WOP82" s="684"/>
      <c r="WOQ82" s="684"/>
      <c r="WOR82" s="684"/>
      <c r="WOS82" s="684"/>
      <c r="WOT82" s="684"/>
      <c r="WOU82" s="684"/>
      <c r="WOV82" s="684"/>
      <c r="WOW82" s="684"/>
      <c r="WOX82" s="684"/>
      <c r="WOY82" s="684"/>
      <c r="WOZ82" s="684"/>
      <c r="WPA82" s="684"/>
      <c r="WPB82" s="684"/>
      <c r="WPC82" s="684"/>
      <c r="WPD82" s="684"/>
      <c r="WPE82" s="684"/>
      <c r="WPF82" s="684"/>
      <c r="WPG82" s="684"/>
      <c r="WPH82" s="684"/>
      <c r="WPI82" s="684"/>
      <c r="WPJ82" s="684"/>
      <c r="WPK82" s="684"/>
      <c r="WPL82" s="684"/>
      <c r="WPM82" s="684"/>
      <c r="WPN82" s="684"/>
      <c r="WPO82" s="684"/>
      <c r="WPP82" s="684"/>
      <c r="WPQ82" s="684"/>
      <c r="WPR82" s="684"/>
      <c r="WPS82" s="684"/>
      <c r="WPT82" s="684"/>
      <c r="WPU82" s="684"/>
      <c r="WPV82" s="684"/>
      <c r="WPW82" s="684"/>
      <c r="WPX82" s="684"/>
      <c r="WPY82" s="684"/>
      <c r="WPZ82" s="684"/>
      <c r="WQA82" s="684"/>
      <c r="WQB82" s="684"/>
      <c r="WQC82" s="684"/>
      <c r="WQD82" s="684"/>
      <c r="WQE82" s="684"/>
      <c r="WQF82" s="684"/>
      <c r="WQG82" s="684"/>
      <c r="WQH82" s="684"/>
      <c r="WQI82" s="684"/>
      <c r="WQJ82" s="684"/>
      <c r="WQK82" s="684"/>
      <c r="WQL82" s="684"/>
      <c r="WQM82" s="684"/>
      <c r="WQN82" s="684"/>
      <c r="WQO82" s="684"/>
      <c r="WQP82" s="684"/>
      <c r="WQQ82" s="684"/>
      <c r="WQR82" s="684"/>
      <c r="WQS82" s="684"/>
      <c r="WQT82" s="684"/>
      <c r="WQU82" s="684"/>
      <c r="WQV82" s="684"/>
      <c r="WQW82" s="684"/>
      <c r="WQX82" s="684"/>
      <c r="WQY82" s="684"/>
      <c r="WQZ82" s="684"/>
      <c r="WRA82" s="684"/>
      <c r="WRB82" s="684"/>
      <c r="WRC82" s="684"/>
      <c r="WRD82" s="684"/>
      <c r="WRE82" s="684"/>
      <c r="WRF82" s="684"/>
      <c r="WRG82" s="684"/>
      <c r="WRH82" s="684"/>
      <c r="WRI82" s="684"/>
      <c r="WRJ82" s="684"/>
      <c r="WRK82" s="684"/>
      <c r="WRL82" s="684"/>
      <c r="WRM82" s="684"/>
      <c r="WRN82" s="684"/>
      <c r="WRO82" s="684"/>
      <c r="WRP82" s="684"/>
      <c r="WRQ82" s="684"/>
      <c r="WRR82" s="684"/>
      <c r="WRS82" s="684"/>
      <c r="WRT82" s="684"/>
      <c r="WRU82" s="684"/>
      <c r="WRV82" s="684"/>
      <c r="WRW82" s="684"/>
      <c r="WRX82" s="684"/>
      <c r="WRY82" s="684"/>
      <c r="WRZ82" s="684"/>
      <c r="WSA82" s="684"/>
      <c r="WSB82" s="684"/>
      <c r="WSC82" s="684"/>
      <c r="WSD82" s="684"/>
      <c r="WSE82" s="684"/>
      <c r="WSF82" s="684"/>
      <c r="WSG82" s="684"/>
      <c r="WSH82" s="684"/>
      <c r="WSI82" s="684"/>
      <c r="WSJ82" s="684"/>
      <c r="WSK82" s="684"/>
      <c r="WSL82" s="684"/>
      <c r="WSM82" s="684"/>
      <c r="WSN82" s="684"/>
      <c r="WSO82" s="684"/>
      <c r="WSP82" s="684"/>
      <c r="WSQ82" s="684"/>
      <c r="WSR82" s="684"/>
      <c r="WSS82" s="684"/>
      <c r="WST82" s="684"/>
      <c r="WSU82" s="684"/>
      <c r="WSV82" s="684"/>
      <c r="WSW82" s="684"/>
      <c r="WSX82" s="684"/>
      <c r="WSY82" s="684"/>
      <c r="WSZ82" s="684"/>
      <c r="WTA82" s="684"/>
      <c r="WTB82" s="684"/>
      <c r="WTC82" s="684"/>
      <c r="WTD82" s="684"/>
      <c r="WTE82" s="684"/>
      <c r="WTF82" s="684"/>
      <c r="WTG82" s="684"/>
      <c r="WTH82" s="684"/>
      <c r="WTI82" s="684"/>
      <c r="WTJ82" s="684"/>
      <c r="WTK82" s="684"/>
      <c r="WTL82" s="684"/>
      <c r="WTM82" s="684"/>
      <c r="WTN82" s="684"/>
      <c r="WTO82" s="684"/>
      <c r="WTP82" s="684"/>
      <c r="WTQ82" s="684"/>
      <c r="WTR82" s="684"/>
      <c r="WTS82" s="684"/>
      <c r="WTT82" s="684"/>
      <c r="WTU82" s="684"/>
      <c r="WTV82" s="684"/>
      <c r="WTW82" s="684"/>
      <c r="WTX82" s="684"/>
      <c r="WTY82" s="684"/>
      <c r="WTZ82" s="684"/>
      <c r="WUA82" s="684"/>
      <c r="WUB82" s="684"/>
      <c r="WUC82" s="684"/>
      <c r="WUD82" s="684"/>
      <c r="WUE82" s="684"/>
      <c r="WUF82" s="684"/>
      <c r="WUG82" s="684"/>
      <c r="WUH82" s="684"/>
      <c r="WUI82" s="684"/>
      <c r="WUJ82" s="684"/>
      <c r="WUK82" s="684"/>
      <c r="WUL82" s="684"/>
      <c r="WUM82" s="684"/>
      <c r="WUN82" s="684"/>
      <c r="WUO82" s="684"/>
      <c r="WUP82" s="684"/>
      <c r="WUQ82" s="684"/>
      <c r="WUR82" s="684"/>
      <c r="WUS82" s="684"/>
      <c r="WUT82" s="684"/>
      <c r="WUU82" s="684"/>
      <c r="WUV82" s="684"/>
      <c r="WUW82" s="684"/>
      <c r="WUX82" s="684"/>
      <c r="WUY82" s="684"/>
      <c r="WUZ82" s="684"/>
      <c r="WVA82" s="684"/>
      <c r="WVB82" s="684"/>
      <c r="WVC82" s="684"/>
      <c r="WVD82" s="684"/>
      <c r="WVE82" s="684"/>
      <c r="WVF82" s="684"/>
      <c r="WVG82" s="684"/>
      <c r="WVH82" s="684"/>
      <c r="WVI82" s="684"/>
      <c r="WVJ82" s="684"/>
      <c r="WVK82" s="684"/>
      <c r="WVL82" s="684"/>
      <c r="WVM82" s="684"/>
      <c r="WVN82" s="684"/>
      <c r="WVO82" s="684"/>
      <c r="WVP82" s="684"/>
      <c r="WVQ82" s="684"/>
      <c r="WVR82" s="684"/>
      <c r="WVS82" s="684"/>
      <c r="WVT82" s="684"/>
      <c r="WVU82" s="684"/>
      <c r="WVV82" s="684"/>
      <c r="WVW82" s="684"/>
      <c r="WVX82" s="684"/>
      <c r="WVY82" s="684"/>
      <c r="WVZ82" s="684"/>
      <c r="WWA82" s="684"/>
      <c r="WWB82" s="684"/>
      <c r="WWC82" s="684"/>
      <c r="WWD82" s="684"/>
      <c r="WWE82" s="684"/>
      <c r="WWF82" s="684"/>
      <c r="WWG82" s="684"/>
      <c r="WWH82" s="684"/>
      <c r="WWI82" s="684"/>
      <c r="WWJ82" s="684"/>
      <c r="WWK82" s="684"/>
      <c r="WWL82" s="684"/>
      <c r="WWM82" s="684"/>
      <c r="WWN82" s="684"/>
      <c r="WWO82" s="684"/>
      <c r="WWP82" s="684"/>
      <c r="WWQ82" s="684"/>
      <c r="WWR82" s="684"/>
      <c r="WWS82" s="684"/>
      <c r="WWT82" s="684"/>
      <c r="WWU82" s="684"/>
      <c r="WWV82" s="684"/>
      <c r="WWW82" s="684"/>
      <c r="WWX82" s="684"/>
      <c r="WWY82" s="684"/>
      <c r="WWZ82" s="684"/>
      <c r="WXA82" s="684"/>
      <c r="WXB82" s="684"/>
      <c r="WXC82" s="684"/>
      <c r="WXD82" s="684"/>
      <c r="WXE82" s="684"/>
      <c r="WXF82" s="684"/>
      <c r="WXG82" s="684"/>
      <c r="WXH82" s="684"/>
      <c r="WXI82" s="684"/>
      <c r="WXJ82" s="684"/>
      <c r="WXK82" s="684"/>
      <c r="WXL82" s="684"/>
      <c r="WXM82" s="684"/>
      <c r="WXN82" s="684"/>
      <c r="WXO82" s="684"/>
      <c r="WXP82" s="684"/>
      <c r="WXQ82" s="684"/>
      <c r="WXR82" s="684"/>
      <c r="WXS82" s="684"/>
      <c r="WXT82" s="684"/>
      <c r="WXU82" s="684"/>
      <c r="WXV82" s="684"/>
      <c r="WXW82" s="684"/>
      <c r="WXX82" s="684"/>
      <c r="WXY82" s="684"/>
      <c r="WXZ82" s="684"/>
      <c r="WYA82" s="684"/>
      <c r="WYB82" s="684"/>
      <c r="WYC82" s="684"/>
      <c r="WYD82" s="684"/>
      <c r="WYE82" s="684"/>
      <c r="WYF82" s="684"/>
      <c r="WYG82" s="684"/>
      <c r="WYH82" s="684"/>
      <c r="WYI82" s="684"/>
      <c r="WYJ82" s="684"/>
      <c r="WYK82" s="684"/>
      <c r="WYL82" s="684"/>
      <c r="WYM82" s="684"/>
      <c r="WYN82" s="684"/>
      <c r="WYO82" s="684"/>
      <c r="WYP82" s="684"/>
      <c r="WYQ82" s="684"/>
      <c r="WYR82" s="684"/>
      <c r="WYS82" s="684"/>
      <c r="WYT82" s="684"/>
      <c r="WYU82" s="684"/>
      <c r="WYV82" s="684"/>
      <c r="WYW82" s="684"/>
      <c r="WYX82" s="684"/>
      <c r="WYY82" s="684"/>
      <c r="WYZ82" s="684"/>
      <c r="WZA82" s="684"/>
      <c r="WZB82" s="684"/>
      <c r="WZC82" s="684"/>
      <c r="WZD82" s="684"/>
      <c r="WZE82" s="684"/>
      <c r="WZF82" s="684"/>
      <c r="WZG82" s="684"/>
      <c r="WZH82" s="684"/>
      <c r="WZI82" s="684"/>
      <c r="WZJ82" s="684"/>
      <c r="WZK82" s="684"/>
      <c r="WZL82" s="684"/>
      <c r="WZM82" s="684"/>
      <c r="WZN82" s="684"/>
      <c r="WZO82" s="684"/>
      <c r="WZP82" s="684"/>
      <c r="WZQ82" s="684"/>
      <c r="WZR82" s="684"/>
      <c r="WZS82" s="684"/>
      <c r="WZT82" s="684"/>
      <c r="WZU82" s="684"/>
      <c r="WZV82" s="684"/>
      <c r="WZW82" s="684"/>
      <c r="WZX82" s="684"/>
      <c r="WZY82" s="684"/>
      <c r="WZZ82" s="684"/>
      <c r="XAA82" s="684"/>
      <c r="XAB82" s="684"/>
      <c r="XAC82" s="684"/>
      <c r="XAD82" s="684"/>
      <c r="XAE82" s="684"/>
      <c r="XAF82" s="684"/>
      <c r="XAG82" s="684"/>
      <c r="XAH82" s="684"/>
      <c r="XAI82" s="684"/>
      <c r="XAJ82" s="684"/>
      <c r="XAK82" s="684"/>
      <c r="XAL82" s="684"/>
      <c r="XAM82" s="684"/>
      <c r="XAN82" s="684"/>
      <c r="XAO82" s="684"/>
      <c r="XAP82" s="684"/>
      <c r="XAQ82" s="684"/>
      <c r="XAR82" s="684"/>
      <c r="XAS82" s="684"/>
      <c r="XAT82" s="684"/>
      <c r="XAU82" s="684"/>
      <c r="XAV82" s="684"/>
      <c r="XAW82" s="684"/>
      <c r="XAX82" s="684"/>
      <c r="XAY82" s="684"/>
      <c r="XAZ82" s="684"/>
      <c r="XBA82" s="684"/>
      <c r="XBB82" s="684"/>
      <c r="XBC82" s="684"/>
      <c r="XBD82" s="684"/>
      <c r="XBE82" s="684"/>
      <c r="XBF82" s="684"/>
      <c r="XBG82" s="684"/>
      <c r="XBH82" s="684"/>
      <c r="XBI82" s="684"/>
      <c r="XBJ82" s="684"/>
      <c r="XBK82" s="684"/>
      <c r="XBL82" s="684"/>
      <c r="XBM82" s="684"/>
      <c r="XBN82" s="684"/>
      <c r="XBO82" s="684"/>
      <c r="XBP82" s="684"/>
      <c r="XBQ82" s="684"/>
      <c r="XBR82" s="684"/>
      <c r="XBS82" s="684"/>
      <c r="XBT82" s="684"/>
      <c r="XBU82" s="684"/>
      <c r="XBV82" s="684"/>
      <c r="XBW82" s="684"/>
      <c r="XBX82" s="684"/>
      <c r="XBY82" s="684"/>
      <c r="XBZ82" s="684"/>
      <c r="XCA82" s="684"/>
      <c r="XCB82" s="684"/>
      <c r="XCC82" s="684"/>
      <c r="XCD82" s="684"/>
      <c r="XCE82" s="684"/>
      <c r="XCF82" s="684"/>
      <c r="XCG82" s="684"/>
      <c r="XCH82" s="684"/>
      <c r="XCI82" s="684"/>
      <c r="XCJ82" s="684"/>
      <c r="XCK82" s="684"/>
      <c r="XCL82" s="684"/>
      <c r="XCM82" s="684"/>
      <c r="XCN82" s="684"/>
      <c r="XCO82" s="684"/>
      <c r="XCP82" s="684"/>
      <c r="XCQ82" s="684"/>
      <c r="XCR82" s="684"/>
      <c r="XCS82" s="684"/>
      <c r="XCT82" s="684"/>
      <c r="XCU82" s="684"/>
      <c r="XCV82" s="684"/>
      <c r="XCW82" s="684"/>
      <c r="XCX82" s="684"/>
      <c r="XCY82" s="684"/>
      <c r="XCZ82" s="684"/>
      <c r="XDA82" s="684"/>
      <c r="XDB82" s="684"/>
      <c r="XDC82" s="684"/>
      <c r="XDD82" s="684"/>
      <c r="XDE82" s="684"/>
      <c r="XDF82" s="684"/>
      <c r="XDG82" s="684"/>
      <c r="XDH82" s="684"/>
      <c r="XDI82" s="684"/>
      <c r="XDJ82" s="684"/>
      <c r="XDK82" s="684"/>
      <c r="XDL82" s="684"/>
      <c r="XDM82" s="684"/>
      <c r="XDN82" s="684"/>
      <c r="XDO82" s="684"/>
      <c r="XDP82" s="684"/>
      <c r="XDQ82" s="684"/>
      <c r="XDR82" s="684"/>
      <c r="XDS82" s="684"/>
      <c r="XDT82" s="684"/>
      <c r="XDU82" s="684"/>
      <c r="XDV82" s="684"/>
      <c r="XDW82" s="684"/>
      <c r="XDX82" s="684"/>
      <c r="XDY82" s="684"/>
      <c r="XDZ82" s="684"/>
      <c r="XEA82" s="684"/>
      <c r="XEB82" s="684"/>
      <c r="XEC82" s="684"/>
      <c r="XED82" s="684"/>
      <c r="XEE82" s="684"/>
      <c r="XEF82" s="684"/>
      <c r="XEG82" s="684"/>
      <c r="XEH82" s="684"/>
      <c r="XEI82" s="684"/>
      <c r="XEJ82" s="684"/>
      <c r="XEK82" s="684"/>
      <c r="XEL82" s="684"/>
      <c r="XEM82" s="684"/>
      <c r="XEN82" s="684"/>
      <c r="XEO82" s="684"/>
      <c r="XEP82" s="684"/>
      <c r="XEQ82" s="684"/>
      <c r="XER82" s="684"/>
      <c r="XES82" s="684"/>
      <c r="XET82" s="684"/>
      <c r="XEU82" s="684"/>
      <c r="XEV82" s="684"/>
      <c r="XEW82" s="684"/>
      <c r="XEX82" s="684"/>
      <c r="XEY82" s="684"/>
      <c r="XEZ82" s="684"/>
      <c r="XFA82" s="684"/>
      <c r="XFB82" s="684"/>
      <c r="XFC82" s="684"/>
      <c r="XFD82" s="684"/>
    </row>
    <row r="83" spans="1:16384" s="774" customFormat="1">
      <c r="A83" s="1122" t="s">
        <v>3226</v>
      </c>
      <c r="B83" s="1115" t="s">
        <v>3228</v>
      </c>
      <c r="C83" s="1115" t="s">
        <v>3228</v>
      </c>
      <c r="D83" s="4216" t="str">
        <f>$A83&amp;"  "&amp;$A84</f>
        <v>pwauslihsapp39  pwauslihsapp40</v>
      </c>
      <c r="E83" s="4218" t="str">
        <f>$B83&amp;"  "&amp;$B84</f>
        <v>10.136.68.79  10.136.68.80</v>
      </c>
      <c r="F83" s="4320" t="s">
        <v>76</v>
      </c>
      <c r="G83" s="4322" t="s">
        <v>3230</v>
      </c>
      <c r="H83" s="4197" t="s">
        <v>3052</v>
      </c>
      <c r="I83" s="4197" t="s">
        <v>3051</v>
      </c>
      <c r="J83" s="684"/>
      <c r="K83" s="684"/>
      <c r="L83" s="684"/>
      <c r="M83" s="684"/>
      <c r="N83" s="684"/>
      <c r="O83" s="684"/>
      <c r="P83" s="684"/>
      <c r="Q83" s="684"/>
      <c r="R83" s="684"/>
      <c r="S83" s="684"/>
      <c r="T83" s="684"/>
      <c r="U83" s="684"/>
      <c r="V83" s="684"/>
      <c r="W83" s="684"/>
      <c r="X83" s="684"/>
      <c r="Y83" s="684"/>
      <c r="Z83" s="684"/>
      <c r="AA83" s="684"/>
      <c r="AB83" s="684"/>
      <c r="AC83" s="684"/>
      <c r="AD83" s="684"/>
      <c r="AE83" s="684"/>
      <c r="AF83" s="684"/>
      <c r="AG83" s="684"/>
      <c r="AH83" s="684"/>
      <c r="AI83" s="684"/>
      <c r="AJ83" s="684"/>
      <c r="AK83" s="684"/>
      <c r="AL83" s="684"/>
      <c r="AM83" s="684"/>
      <c r="AN83" s="684"/>
      <c r="AO83" s="684"/>
      <c r="AP83" s="684"/>
      <c r="AQ83" s="684"/>
      <c r="AR83" s="684"/>
      <c r="AS83" s="684"/>
      <c r="AT83" s="684"/>
      <c r="AU83" s="684"/>
      <c r="AV83" s="684"/>
      <c r="AW83" s="684"/>
      <c r="AX83" s="684"/>
      <c r="AY83" s="684"/>
      <c r="AZ83" s="684"/>
      <c r="BA83" s="684"/>
      <c r="BB83" s="684"/>
      <c r="BC83" s="684"/>
      <c r="BD83" s="684"/>
      <c r="BE83" s="684"/>
      <c r="BF83" s="684"/>
      <c r="BG83" s="684"/>
      <c r="BH83" s="684"/>
      <c r="BI83" s="684"/>
      <c r="BJ83" s="684"/>
      <c r="BK83" s="684"/>
      <c r="BL83" s="684"/>
      <c r="BM83" s="684"/>
      <c r="BN83" s="684"/>
      <c r="BO83" s="684"/>
      <c r="BP83" s="684"/>
      <c r="BQ83" s="684"/>
      <c r="BR83" s="684"/>
      <c r="BS83" s="684"/>
      <c r="BT83" s="684"/>
      <c r="BU83" s="684"/>
      <c r="BV83" s="684"/>
      <c r="BW83" s="684"/>
      <c r="BX83" s="684"/>
      <c r="BY83" s="684"/>
      <c r="BZ83" s="684"/>
      <c r="CA83" s="684"/>
      <c r="CB83" s="684"/>
      <c r="CC83" s="684"/>
      <c r="CD83" s="684"/>
      <c r="CE83" s="684"/>
      <c r="CF83" s="684"/>
      <c r="CG83" s="684"/>
      <c r="CH83" s="684"/>
      <c r="CI83" s="684"/>
      <c r="CJ83" s="684"/>
      <c r="CK83" s="684"/>
      <c r="CL83" s="684"/>
      <c r="CM83" s="684"/>
      <c r="CN83" s="684"/>
      <c r="CO83" s="684"/>
      <c r="CP83" s="684"/>
      <c r="CQ83" s="684"/>
      <c r="CR83" s="684"/>
      <c r="CS83" s="684"/>
      <c r="CT83" s="684"/>
      <c r="CU83" s="684"/>
      <c r="CV83" s="684"/>
      <c r="CW83" s="684"/>
      <c r="CX83" s="684"/>
      <c r="CY83" s="684"/>
      <c r="CZ83" s="684"/>
      <c r="DA83" s="684"/>
      <c r="DB83" s="684"/>
      <c r="DC83" s="684"/>
      <c r="DD83" s="684"/>
      <c r="DE83" s="684"/>
      <c r="DF83" s="684"/>
      <c r="DG83" s="684"/>
      <c r="DH83" s="684"/>
      <c r="DI83" s="684"/>
      <c r="DJ83" s="684"/>
      <c r="DK83" s="684"/>
      <c r="DL83" s="684"/>
      <c r="DM83" s="684"/>
      <c r="DN83" s="684"/>
      <c r="DO83" s="684"/>
      <c r="DP83" s="684"/>
      <c r="DQ83" s="684"/>
      <c r="DR83" s="684"/>
      <c r="DS83" s="684"/>
      <c r="DT83" s="684"/>
      <c r="DU83" s="684"/>
      <c r="DV83" s="684"/>
      <c r="DW83" s="684"/>
      <c r="DX83" s="684"/>
      <c r="DY83" s="684"/>
      <c r="DZ83" s="684"/>
      <c r="EA83" s="684"/>
      <c r="EB83" s="684"/>
      <c r="EC83" s="684"/>
      <c r="ED83" s="684"/>
      <c r="EE83" s="684"/>
      <c r="EF83" s="684"/>
      <c r="EG83" s="684"/>
      <c r="EH83" s="684"/>
      <c r="EI83" s="684"/>
      <c r="EJ83" s="684"/>
      <c r="EK83" s="684"/>
      <c r="EL83" s="684"/>
      <c r="EM83" s="684"/>
      <c r="EN83" s="684"/>
      <c r="EO83" s="684"/>
      <c r="EP83" s="684"/>
      <c r="EQ83" s="684"/>
      <c r="ER83" s="684"/>
      <c r="ES83" s="684"/>
      <c r="ET83" s="684"/>
      <c r="EU83" s="684"/>
      <c r="EV83" s="684"/>
      <c r="EW83" s="684"/>
      <c r="EX83" s="684"/>
      <c r="EY83" s="684"/>
      <c r="EZ83" s="684"/>
      <c r="FA83" s="684"/>
      <c r="FB83" s="684"/>
      <c r="FC83" s="684"/>
      <c r="FD83" s="684"/>
      <c r="FE83" s="684"/>
      <c r="FF83" s="684"/>
      <c r="FG83" s="684"/>
      <c r="FH83" s="684"/>
      <c r="FI83" s="684"/>
      <c r="FJ83" s="684"/>
      <c r="FK83" s="684"/>
      <c r="FL83" s="684"/>
      <c r="FM83" s="684"/>
      <c r="FN83" s="684"/>
      <c r="FO83" s="684"/>
      <c r="FP83" s="684"/>
      <c r="FQ83" s="684"/>
      <c r="FR83" s="684"/>
      <c r="FS83" s="684"/>
      <c r="FT83" s="684"/>
      <c r="FU83" s="684"/>
      <c r="FV83" s="684"/>
      <c r="FW83" s="684"/>
      <c r="FX83" s="684"/>
      <c r="FY83" s="684"/>
      <c r="FZ83" s="684"/>
      <c r="GA83" s="684"/>
      <c r="GB83" s="684"/>
      <c r="GC83" s="684"/>
      <c r="GD83" s="684"/>
      <c r="GE83" s="684"/>
      <c r="GF83" s="684"/>
      <c r="GG83" s="684"/>
      <c r="GH83" s="684"/>
      <c r="GI83" s="684"/>
      <c r="GJ83" s="684"/>
      <c r="GK83" s="684"/>
      <c r="GL83" s="684"/>
      <c r="GM83" s="684"/>
      <c r="GN83" s="684"/>
      <c r="GO83" s="684"/>
      <c r="GP83" s="684"/>
      <c r="GQ83" s="684"/>
      <c r="GR83" s="684"/>
      <c r="GS83" s="684"/>
      <c r="GT83" s="684"/>
      <c r="GU83" s="684"/>
      <c r="GV83" s="684"/>
      <c r="GW83" s="684"/>
      <c r="GX83" s="684"/>
      <c r="GY83" s="684"/>
      <c r="GZ83" s="684"/>
      <c r="HA83" s="684"/>
      <c r="HB83" s="684"/>
      <c r="HC83" s="684"/>
      <c r="HD83" s="684"/>
      <c r="HE83" s="684"/>
      <c r="HF83" s="684"/>
      <c r="HG83" s="684"/>
      <c r="HH83" s="684"/>
      <c r="HI83" s="684"/>
      <c r="HJ83" s="684"/>
      <c r="HK83" s="684"/>
      <c r="HL83" s="684"/>
      <c r="HM83" s="684"/>
      <c r="HN83" s="684"/>
      <c r="HO83" s="684"/>
      <c r="HP83" s="684"/>
      <c r="HQ83" s="684"/>
      <c r="HR83" s="684"/>
      <c r="HS83" s="684"/>
      <c r="HT83" s="684"/>
      <c r="HU83" s="684"/>
      <c r="HV83" s="684"/>
      <c r="HW83" s="684"/>
      <c r="HX83" s="684"/>
      <c r="HY83" s="684"/>
      <c r="HZ83" s="684"/>
      <c r="IA83" s="684"/>
      <c r="IB83" s="684"/>
      <c r="IC83" s="684"/>
      <c r="ID83" s="684"/>
      <c r="IE83" s="684"/>
      <c r="IF83" s="684"/>
      <c r="IG83" s="684"/>
      <c r="IH83" s="684"/>
      <c r="II83" s="684"/>
      <c r="IJ83" s="684"/>
      <c r="IK83" s="684"/>
      <c r="IL83" s="684"/>
      <c r="IM83" s="684"/>
      <c r="IN83" s="684"/>
      <c r="IO83" s="684"/>
      <c r="IP83" s="684"/>
      <c r="IQ83" s="684"/>
      <c r="IR83" s="684"/>
      <c r="IS83" s="684"/>
      <c r="IT83" s="684"/>
      <c r="IU83" s="684"/>
      <c r="IV83" s="684"/>
      <c r="IW83" s="684"/>
      <c r="IX83" s="684"/>
      <c r="IY83" s="684"/>
      <c r="IZ83" s="684"/>
      <c r="JA83" s="684"/>
      <c r="JB83" s="684"/>
      <c r="JC83" s="684"/>
      <c r="JD83" s="684"/>
      <c r="JE83" s="684"/>
      <c r="JF83" s="684"/>
      <c r="JG83" s="684"/>
      <c r="JH83" s="684"/>
      <c r="JI83" s="684"/>
      <c r="JJ83" s="684"/>
      <c r="JK83" s="684"/>
      <c r="JL83" s="684"/>
      <c r="JM83" s="684"/>
      <c r="JN83" s="684"/>
      <c r="JO83" s="684"/>
      <c r="JP83" s="684"/>
      <c r="JQ83" s="684"/>
      <c r="JR83" s="684"/>
      <c r="JS83" s="684"/>
      <c r="JT83" s="684"/>
      <c r="JU83" s="684"/>
      <c r="JV83" s="684"/>
      <c r="JW83" s="684"/>
      <c r="JX83" s="684"/>
      <c r="JY83" s="684"/>
      <c r="JZ83" s="684"/>
      <c r="KA83" s="684"/>
      <c r="KB83" s="684"/>
      <c r="KC83" s="684"/>
      <c r="KD83" s="684"/>
      <c r="KE83" s="684"/>
      <c r="KF83" s="684"/>
      <c r="KG83" s="684"/>
      <c r="KH83" s="684"/>
      <c r="KI83" s="684"/>
      <c r="KJ83" s="684"/>
      <c r="KK83" s="684"/>
      <c r="KL83" s="684"/>
      <c r="KM83" s="684"/>
      <c r="KN83" s="684"/>
      <c r="KO83" s="684"/>
      <c r="KP83" s="684"/>
      <c r="KQ83" s="684"/>
      <c r="KR83" s="684"/>
      <c r="KS83" s="684"/>
      <c r="KT83" s="684"/>
      <c r="KU83" s="684"/>
      <c r="KV83" s="684"/>
      <c r="KW83" s="684"/>
      <c r="KX83" s="684"/>
      <c r="KY83" s="684"/>
      <c r="KZ83" s="684"/>
      <c r="LA83" s="684"/>
      <c r="LB83" s="684"/>
      <c r="LC83" s="684"/>
      <c r="LD83" s="684"/>
      <c r="LE83" s="684"/>
      <c r="LF83" s="684"/>
      <c r="LG83" s="684"/>
      <c r="LH83" s="684"/>
      <c r="LI83" s="684"/>
      <c r="LJ83" s="684"/>
      <c r="LK83" s="684"/>
      <c r="LL83" s="684"/>
      <c r="LM83" s="684"/>
      <c r="LN83" s="684"/>
      <c r="LO83" s="684"/>
      <c r="LP83" s="684"/>
      <c r="LQ83" s="684"/>
      <c r="LR83" s="684"/>
      <c r="LS83" s="684"/>
      <c r="LT83" s="684"/>
      <c r="LU83" s="684"/>
      <c r="LV83" s="684"/>
      <c r="LW83" s="684"/>
      <c r="LX83" s="684"/>
      <c r="LY83" s="684"/>
      <c r="LZ83" s="684"/>
      <c r="MA83" s="684"/>
      <c r="MB83" s="684"/>
      <c r="MC83" s="684"/>
      <c r="MD83" s="684"/>
      <c r="ME83" s="684"/>
      <c r="MF83" s="684"/>
      <c r="MG83" s="684"/>
      <c r="MH83" s="684"/>
      <c r="MI83" s="684"/>
      <c r="MJ83" s="684"/>
      <c r="MK83" s="684"/>
      <c r="ML83" s="684"/>
      <c r="MM83" s="684"/>
      <c r="MN83" s="684"/>
      <c r="MO83" s="684"/>
      <c r="MP83" s="684"/>
      <c r="MQ83" s="684"/>
      <c r="MR83" s="684"/>
      <c r="MS83" s="684"/>
      <c r="MT83" s="684"/>
      <c r="MU83" s="684"/>
      <c r="MV83" s="684"/>
      <c r="MW83" s="684"/>
      <c r="MX83" s="684"/>
      <c r="MY83" s="684"/>
      <c r="MZ83" s="684"/>
      <c r="NA83" s="684"/>
      <c r="NB83" s="684"/>
      <c r="NC83" s="684"/>
      <c r="ND83" s="684"/>
      <c r="NE83" s="684"/>
      <c r="NF83" s="684"/>
      <c r="NG83" s="684"/>
      <c r="NH83" s="684"/>
      <c r="NI83" s="684"/>
      <c r="NJ83" s="684"/>
      <c r="NK83" s="684"/>
      <c r="NL83" s="684"/>
      <c r="NM83" s="684"/>
      <c r="NN83" s="684"/>
      <c r="NO83" s="684"/>
      <c r="NP83" s="684"/>
      <c r="NQ83" s="684"/>
      <c r="NR83" s="684"/>
      <c r="NS83" s="684"/>
      <c r="NT83" s="684"/>
      <c r="NU83" s="684"/>
      <c r="NV83" s="684"/>
      <c r="NW83" s="684"/>
      <c r="NX83" s="684"/>
      <c r="NY83" s="684"/>
      <c r="NZ83" s="684"/>
      <c r="OA83" s="684"/>
      <c r="OB83" s="684"/>
      <c r="OC83" s="684"/>
      <c r="OD83" s="684"/>
      <c r="OE83" s="684"/>
      <c r="OF83" s="684"/>
      <c r="OG83" s="684"/>
      <c r="OH83" s="684"/>
      <c r="OI83" s="684"/>
      <c r="OJ83" s="684"/>
      <c r="OK83" s="684"/>
      <c r="OL83" s="684"/>
      <c r="OM83" s="684"/>
      <c r="ON83" s="684"/>
      <c r="OO83" s="684"/>
      <c r="OP83" s="684"/>
      <c r="OQ83" s="684"/>
      <c r="OR83" s="684"/>
      <c r="OS83" s="684"/>
      <c r="OT83" s="684"/>
      <c r="OU83" s="684"/>
      <c r="OV83" s="684"/>
      <c r="OW83" s="684"/>
      <c r="OX83" s="684"/>
      <c r="OY83" s="684"/>
      <c r="OZ83" s="684"/>
      <c r="PA83" s="684"/>
      <c r="PB83" s="684"/>
      <c r="PC83" s="684"/>
      <c r="PD83" s="684"/>
      <c r="PE83" s="684"/>
      <c r="PF83" s="684"/>
      <c r="PG83" s="684"/>
      <c r="PH83" s="684"/>
      <c r="PI83" s="684"/>
      <c r="PJ83" s="684"/>
      <c r="PK83" s="684"/>
      <c r="PL83" s="684"/>
      <c r="PM83" s="684"/>
      <c r="PN83" s="684"/>
      <c r="PO83" s="684"/>
      <c r="PP83" s="684"/>
      <c r="PQ83" s="684"/>
      <c r="PR83" s="684"/>
      <c r="PS83" s="684"/>
      <c r="PT83" s="684"/>
      <c r="PU83" s="684"/>
      <c r="PV83" s="684"/>
      <c r="PW83" s="684"/>
      <c r="PX83" s="684"/>
      <c r="PY83" s="684"/>
      <c r="PZ83" s="684"/>
      <c r="QA83" s="684"/>
      <c r="QB83" s="684"/>
      <c r="QC83" s="684"/>
      <c r="QD83" s="684"/>
      <c r="QE83" s="684"/>
      <c r="QF83" s="684"/>
      <c r="QG83" s="684"/>
      <c r="QH83" s="684"/>
      <c r="QI83" s="684"/>
      <c r="QJ83" s="684"/>
      <c r="QK83" s="684"/>
      <c r="QL83" s="684"/>
      <c r="QM83" s="684"/>
      <c r="QN83" s="684"/>
      <c r="QO83" s="684"/>
      <c r="QP83" s="684"/>
      <c r="QQ83" s="684"/>
      <c r="QR83" s="684"/>
      <c r="QS83" s="684"/>
      <c r="QT83" s="684"/>
      <c r="QU83" s="684"/>
      <c r="QV83" s="684"/>
      <c r="QW83" s="684"/>
      <c r="QX83" s="684"/>
      <c r="QY83" s="684"/>
      <c r="QZ83" s="684"/>
      <c r="RA83" s="684"/>
      <c r="RB83" s="684"/>
      <c r="RC83" s="684"/>
      <c r="RD83" s="684"/>
      <c r="RE83" s="684"/>
      <c r="RF83" s="684"/>
      <c r="RG83" s="684"/>
      <c r="RH83" s="684"/>
      <c r="RI83" s="684"/>
      <c r="RJ83" s="684"/>
      <c r="RK83" s="684"/>
      <c r="RL83" s="684"/>
      <c r="RM83" s="684"/>
      <c r="RN83" s="684"/>
      <c r="RO83" s="684"/>
      <c r="RP83" s="684"/>
      <c r="RQ83" s="684"/>
      <c r="RR83" s="684"/>
      <c r="RS83" s="684"/>
      <c r="RT83" s="684"/>
      <c r="RU83" s="684"/>
      <c r="RV83" s="684"/>
      <c r="RW83" s="684"/>
      <c r="RX83" s="684"/>
      <c r="RY83" s="684"/>
      <c r="RZ83" s="684"/>
      <c r="SA83" s="684"/>
      <c r="SB83" s="684"/>
      <c r="SC83" s="684"/>
      <c r="SD83" s="684"/>
      <c r="SE83" s="684"/>
      <c r="SF83" s="684"/>
      <c r="SG83" s="684"/>
      <c r="SH83" s="684"/>
      <c r="SI83" s="684"/>
      <c r="SJ83" s="684"/>
      <c r="SK83" s="684"/>
      <c r="SL83" s="684"/>
      <c r="SM83" s="684"/>
      <c r="SN83" s="684"/>
      <c r="SO83" s="684"/>
      <c r="SP83" s="684"/>
      <c r="SQ83" s="684"/>
      <c r="SR83" s="684"/>
      <c r="SS83" s="684"/>
      <c r="ST83" s="684"/>
      <c r="SU83" s="684"/>
      <c r="SV83" s="684"/>
      <c r="SW83" s="684"/>
      <c r="SX83" s="684"/>
      <c r="SY83" s="684"/>
      <c r="SZ83" s="684"/>
      <c r="TA83" s="684"/>
      <c r="TB83" s="684"/>
      <c r="TC83" s="684"/>
      <c r="TD83" s="684"/>
      <c r="TE83" s="684"/>
      <c r="TF83" s="684"/>
      <c r="TG83" s="684"/>
      <c r="TH83" s="684"/>
      <c r="TI83" s="684"/>
      <c r="TJ83" s="684"/>
      <c r="TK83" s="684"/>
      <c r="TL83" s="684"/>
      <c r="TM83" s="684"/>
      <c r="TN83" s="684"/>
      <c r="TO83" s="684"/>
      <c r="TP83" s="684"/>
      <c r="TQ83" s="684"/>
      <c r="TR83" s="684"/>
      <c r="TS83" s="684"/>
      <c r="TT83" s="684"/>
      <c r="TU83" s="684"/>
      <c r="TV83" s="684"/>
      <c r="TW83" s="684"/>
      <c r="TX83" s="684"/>
      <c r="TY83" s="684"/>
      <c r="TZ83" s="684"/>
      <c r="UA83" s="684"/>
      <c r="UB83" s="684"/>
      <c r="UC83" s="684"/>
      <c r="UD83" s="684"/>
      <c r="UE83" s="684"/>
      <c r="UF83" s="684"/>
      <c r="UG83" s="684"/>
      <c r="UH83" s="684"/>
      <c r="UI83" s="684"/>
      <c r="UJ83" s="684"/>
      <c r="UK83" s="684"/>
      <c r="UL83" s="684"/>
      <c r="UM83" s="684"/>
      <c r="UN83" s="684"/>
      <c r="UO83" s="684"/>
      <c r="UP83" s="684"/>
      <c r="UQ83" s="684"/>
      <c r="UR83" s="684"/>
      <c r="US83" s="684"/>
      <c r="UT83" s="684"/>
      <c r="UU83" s="684"/>
      <c r="UV83" s="684"/>
      <c r="UW83" s="684"/>
      <c r="UX83" s="684"/>
      <c r="UY83" s="684"/>
      <c r="UZ83" s="684"/>
      <c r="VA83" s="684"/>
      <c r="VB83" s="684"/>
      <c r="VC83" s="684"/>
      <c r="VD83" s="684"/>
      <c r="VE83" s="684"/>
      <c r="VF83" s="684"/>
      <c r="VG83" s="684"/>
      <c r="VH83" s="684"/>
      <c r="VI83" s="684"/>
      <c r="VJ83" s="684"/>
      <c r="VK83" s="684"/>
      <c r="VL83" s="684"/>
      <c r="VM83" s="684"/>
      <c r="VN83" s="684"/>
      <c r="VO83" s="684"/>
      <c r="VP83" s="684"/>
      <c r="VQ83" s="684"/>
      <c r="VR83" s="684"/>
      <c r="VS83" s="684"/>
      <c r="VT83" s="684"/>
      <c r="VU83" s="684"/>
      <c r="VV83" s="684"/>
      <c r="VW83" s="684"/>
      <c r="VX83" s="684"/>
      <c r="VY83" s="684"/>
      <c r="VZ83" s="684"/>
      <c r="WA83" s="684"/>
      <c r="WB83" s="684"/>
      <c r="WC83" s="684"/>
      <c r="WD83" s="684"/>
      <c r="WE83" s="684"/>
      <c r="WF83" s="684"/>
      <c r="WG83" s="684"/>
      <c r="WH83" s="684"/>
      <c r="WI83" s="684"/>
      <c r="WJ83" s="684"/>
      <c r="WK83" s="684"/>
      <c r="WL83" s="684"/>
      <c r="WM83" s="684"/>
      <c r="WN83" s="684"/>
      <c r="WO83" s="684"/>
      <c r="WP83" s="684"/>
      <c r="WQ83" s="684"/>
      <c r="WR83" s="684"/>
      <c r="WS83" s="684"/>
      <c r="WT83" s="684"/>
      <c r="WU83" s="684"/>
      <c r="WV83" s="684"/>
      <c r="WW83" s="684"/>
      <c r="WX83" s="684"/>
      <c r="WY83" s="684"/>
      <c r="WZ83" s="684"/>
      <c r="XA83" s="684"/>
      <c r="XB83" s="684"/>
      <c r="XC83" s="684"/>
      <c r="XD83" s="684"/>
      <c r="XE83" s="684"/>
      <c r="XF83" s="684"/>
      <c r="XG83" s="684"/>
      <c r="XH83" s="684"/>
      <c r="XI83" s="684"/>
      <c r="XJ83" s="684"/>
      <c r="XK83" s="684"/>
      <c r="XL83" s="684"/>
      <c r="XM83" s="684"/>
      <c r="XN83" s="684"/>
      <c r="XO83" s="684"/>
      <c r="XP83" s="684"/>
      <c r="XQ83" s="684"/>
      <c r="XR83" s="684"/>
      <c r="XS83" s="684"/>
      <c r="XT83" s="684"/>
      <c r="XU83" s="684"/>
      <c r="XV83" s="684"/>
      <c r="XW83" s="684"/>
      <c r="XX83" s="684"/>
      <c r="XY83" s="684"/>
      <c r="XZ83" s="684"/>
      <c r="YA83" s="684"/>
      <c r="YB83" s="684"/>
      <c r="YC83" s="684"/>
      <c r="YD83" s="684"/>
      <c r="YE83" s="684"/>
      <c r="YF83" s="684"/>
      <c r="YG83" s="684"/>
      <c r="YH83" s="684"/>
      <c r="YI83" s="684"/>
      <c r="YJ83" s="684"/>
      <c r="YK83" s="684"/>
      <c r="YL83" s="684"/>
      <c r="YM83" s="684"/>
      <c r="YN83" s="684"/>
      <c r="YO83" s="684"/>
      <c r="YP83" s="684"/>
      <c r="YQ83" s="684"/>
      <c r="YR83" s="684"/>
      <c r="YS83" s="684"/>
      <c r="YT83" s="684"/>
      <c r="YU83" s="684"/>
      <c r="YV83" s="684"/>
      <c r="YW83" s="684"/>
      <c r="YX83" s="684"/>
      <c r="YY83" s="684"/>
      <c r="YZ83" s="684"/>
      <c r="ZA83" s="684"/>
      <c r="ZB83" s="684"/>
      <c r="ZC83" s="684"/>
      <c r="ZD83" s="684"/>
      <c r="ZE83" s="684"/>
      <c r="ZF83" s="684"/>
      <c r="ZG83" s="684"/>
      <c r="ZH83" s="684"/>
      <c r="ZI83" s="684"/>
      <c r="ZJ83" s="684"/>
      <c r="ZK83" s="684"/>
      <c r="ZL83" s="684"/>
      <c r="ZM83" s="684"/>
      <c r="ZN83" s="684"/>
      <c r="ZO83" s="684"/>
      <c r="ZP83" s="684"/>
      <c r="ZQ83" s="684"/>
      <c r="ZR83" s="684"/>
      <c r="ZS83" s="684"/>
      <c r="ZT83" s="684"/>
      <c r="ZU83" s="684"/>
      <c r="ZV83" s="684"/>
      <c r="ZW83" s="684"/>
      <c r="ZX83" s="684"/>
      <c r="ZY83" s="684"/>
      <c r="ZZ83" s="684"/>
      <c r="AAA83" s="684"/>
      <c r="AAB83" s="684"/>
      <c r="AAC83" s="684"/>
      <c r="AAD83" s="684"/>
      <c r="AAE83" s="684"/>
      <c r="AAF83" s="684"/>
      <c r="AAG83" s="684"/>
      <c r="AAH83" s="684"/>
      <c r="AAI83" s="684"/>
      <c r="AAJ83" s="684"/>
      <c r="AAK83" s="684"/>
      <c r="AAL83" s="684"/>
      <c r="AAM83" s="684"/>
      <c r="AAN83" s="684"/>
      <c r="AAO83" s="684"/>
      <c r="AAP83" s="684"/>
      <c r="AAQ83" s="684"/>
      <c r="AAR83" s="684"/>
      <c r="AAS83" s="684"/>
      <c r="AAT83" s="684"/>
      <c r="AAU83" s="684"/>
      <c r="AAV83" s="684"/>
      <c r="AAW83" s="684"/>
      <c r="AAX83" s="684"/>
      <c r="AAY83" s="684"/>
      <c r="AAZ83" s="684"/>
      <c r="ABA83" s="684"/>
      <c r="ABB83" s="684"/>
      <c r="ABC83" s="684"/>
      <c r="ABD83" s="684"/>
      <c r="ABE83" s="684"/>
      <c r="ABF83" s="684"/>
      <c r="ABG83" s="684"/>
      <c r="ABH83" s="684"/>
      <c r="ABI83" s="684"/>
      <c r="ABJ83" s="684"/>
      <c r="ABK83" s="684"/>
      <c r="ABL83" s="684"/>
      <c r="ABM83" s="684"/>
      <c r="ABN83" s="684"/>
      <c r="ABO83" s="684"/>
      <c r="ABP83" s="684"/>
      <c r="ABQ83" s="684"/>
      <c r="ABR83" s="684"/>
      <c r="ABS83" s="684"/>
      <c r="ABT83" s="684"/>
      <c r="ABU83" s="684"/>
      <c r="ABV83" s="684"/>
      <c r="ABW83" s="684"/>
      <c r="ABX83" s="684"/>
      <c r="ABY83" s="684"/>
      <c r="ABZ83" s="684"/>
      <c r="ACA83" s="684"/>
      <c r="ACB83" s="684"/>
      <c r="ACC83" s="684"/>
      <c r="ACD83" s="684"/>
      <c r="ACE83" s="684"/>
      <c r="ACF83" s="684"/>
      <c r="ACG83" s="684"/>
      <c r="ACH83" s="684"/>
      <c r="ACI83" s="684"/>
      <c r="ACJ83" s="684"/>
      <c r="ACK83" s="684"/>
      <c r="ACL83" s="684"/>
      <c r="ACM83" s="684"/>
      <c r="ACN83" s="684"/>
      <c r="ACO83" s="684"/>
      <c r="ACP83" s="684"/>
      <c r="ACQ83" s="684"/>
      <c r="ACR83" s="684"/>
      <c r="ACS83" s="684"/>
      <c r="ACT83" s="684"/>
      <c r="ACU83" s="684"/>
      <c r="ACV83" s="684"/>
      <c r="ACW83" s="684"/>
      <c r="ACX83" s="684"/>
      <c r="ACY83" s="684"/>
      <c r="ACZ83" s="684"/>
      <c r="ADA83" s="684"/>
      <c r="ADB83" s="684"/>
      <c r="ADC83" s="684"/>
      <c r="ADD83" s="684"/>
      <c r="ADE83" s="684"/>
      <c r="ADF83" s="684"/>
      <c r="ADG83" s="684"/>
      <c r="ADH83" s="684"/>
      <c r="ADI83" s="684"/>
      <c r="ADJ83" s="684"/>
      <c r="ADK83" s="684"/>
      <c r="ADL83" s="684"/>
      <c r="ADM83" s="684"/>
      <c r="ADN83" s="684"/>
      <c r="ADO83" s="684"/>
      <c r="ADP83" s="684"/>
      <c r="ADQ83" s="684"/>
      <c r="ADR83" s="684"/>
      <c r="ADS83" s="684"/>
      <c r="ADT83" s="684"/>
      <c r="ADU83" s="684"/>
      <c r="ADV83" s="684"/>
      <c r="ADW83" s="684"/>
      <c r="ADX83" s="684"/>
      <c r="ADY83" s="684"/>
      <c r="ADZ83" s="684"/>
      <c r="AEA83" s="684"/>
      <c r="AEB83" s="684"/>
      <c r="AEC83" s="684"/>
      <c r="AED83" s="684"/>
      <c r="AEE83" s="684"/>
      <c r="AEF83" s="684"/>
      <c r="AEG83" s="684"/>
      <c r="AEH83" s="684"/>
      <c r="AEI83" s="684"/>
      <c r="AEJ83" s="684"/>
      <c r="AEK83" s="684"/>
      <c r="AEL83" s="684"/>
      <c r="AEM83" s="684"/>
      <c r="AEN83" s="684"/>
      <c r="AEO83" s="684"/>
      <c r="AEP83" s="684"/>
      <c r="AEQ83" s="684"/>
      <c r="AER83" s="684"/>
      <c r="AES83" s="684"/>
      <c r="AET83" s="684"/>
      <c r="AEU83" s="684"/>
      <c r="AEV83" s="684"/>
      <c r="AEW83" s="684"/>
      <c r="AEX83" s="684"/>
      <c r="AEY83" s="684"/>
      <c r="AEZ83" s="684"/>
      <c r="AFA83" s="684"/>
      <c r="AFB83" s="684"/>
      <c r="AFC83" s="684"/>
      <c r="AFD83" s="684"/>
      <c r="AFE83" s="684"/>
      <c r="AFF83" s="684"/>
      <c r="AFG83" s="684"/>
      <c r="AFH83" s="684"/>
      <c r="AFI83" s="684"/>
      <c r="AFJ83" s="684"/>
      <c r="AFK83" s="684"/>
      <c r="AFL83" s="684"/>
      <c r="AFM83" s="684"/>
      <c r="AFN83" s="684"/>
      <c r="AFO83" s="684"/>
      <c r="AFP83" s="684"/>
      <c r="AFQ83" s="684"/>
      <c r="AFR83" s="684"/>
      <c r="AFS83" s="684"/>
      <c r="AFT83" s="684"/>
      <c r="AFU83" s="684"/>
      <c r="AFV83" s="684"/>
      <c r="AFW83" s="684"/>
      <c r="AFX83" s="684"/>
      <c r="AFY83" s="684"/>
      <c r="AFZ83" s="684"/>
      <c r="AGA83" s="684"/>
      <c r="AGB83" s="684"/>
      <c r="AGC83" s="684"/>
      <c r="AGD83" s="684"/>
      <c r="AGE83" s="684"/>
      <c r="AGF83" s="684"/>
      <c r="AGG83" s="684"/>
      <c r="AGH83" s="684"/>
      <c r="AGI83" s="684"/>
      <c r="AGJ83" s="684"/>
      <c r="AGK83" s="684"/>
      <c r="AGL83" s="684"/>
      <c r="AGM83" s="684"/>
      <c r="AGN83" s="684"/>
      <c r="AGO83" s="684"/>
      <c r="AGP83" s="684"/>
      <c r="AGQ83" s="684"/>
      <c r="AGR83" s="684"/>
      <c r="AGS83" s="684"/>
      <c r="AGT83" s="684"/>
      <c r="AGU83" s="684"/>
      <c r="AGV83" s="684"/>
      <c r="AGW83" s="684"/>
      <c r="AGX83" s="684"/>
      <c r="AGY83" s="684"/>
      <c r="AGZ83" s="684"/>
      <c r="AHA83" s="684"/>
      <c r="AHB83" s="684"/>
      <c r="AHC83" s="684"/>
      <c r="AHD83" s="684"/>
      <c r="AHE83" s="684"/>
      <c r="AHF83" s="684"/>
      <c r="AHG83" s="684"/>
      <c r="AHH83" s="684"/>
      <c r="AHI83" s="684"/>
      <c r="AHJ83" s="684"/>
      <c r="AHK83" s="684"/>
      <c r="AHL83" s="684"/>
      <c r="AHM83" s="684"/>
      <c r="AHN83" s="684"/>
      <c r="AHO83" s="684"/>
      <c r="AHP83" s="684"/>
      <c r="AHQ83" s="684"/>
      <c r="AHR83" s="684"/>
      <c r="AHS83" s="684"/>
      <c r="AHT83" s="684"/>
      <c r="AHU83" s="684"/>
      <c r="AHV83" s="684"/>
      <c r="AHW83" s="684"/>
      <c r="AHX83" s="684"/>
      <c r="AHY83" s="684"/>
      <c r="AHZ83" s="684"/>
      <c r="AIA83" s="684"/>
      <c r="AIB83" s="684"/>
      <c r="AIC83" s="684"/>
      <c r="AID83" s="684"/>
      <c r="AIE83" s="684"/>
      <c r="AIF83" s="684"/>
      <c r="AIG83" s="684"/>
      <c r="AIH83" s="684"/>
      <c r="AII83" s="684"/>
      <c r="AIJ83" s="684"/>
      <c r="AIK83" s="684"/>
      <c r="AIL83" s="684"/>
      <c r="AIM83" s="684"/>
      <c r="AIN83" s="684"/>
      <c r="AIO83" s="684"/>
      <c r="AIP83" s="684"/>
      <c r="AIQ83" s="684"/>
      <c r="AIR83" s="684"/>
      <c r="AIS83" s="684"/>
      <c r="AIT83" s="684"/>
      <c r="AIU83" s="684"/>
      <c r="AIV83" s="684"/>
      <c r="AIW83" s="684"/>
      <c r="AIX83" s="684"/>
      <c r="AIY83" s="684"/>
      <c r="AIZ83" s="684"/>
      <c r="AJA83" s="684"/>
      <c r="AJB83" s="684"/>
      <c r="AJC83" s="684"/>
      <c r="AJD83" s="684"/>
      <c r="AJE83" s="684"/>
      <c r="AJF83" s="684"/>
      <c r="AJG83" s="684"/>
      <c r="AJH83" s="684"/>
      <c r="AJI83" s="684"/>
      <c r="AJJ83" s="684"/>
      <c r="AJK83" s="684"/>
      <c r="AJL83" s="684"/>
      <c r="AJM83" s="684"/>
      <c r="AJN83" s="684"/>
      <c r="AJO83" s="684"/>
      <c r="AJP83" s="684"/>
      <c r="AJQ83" s="684"/>
      <c r="AJR83" s="684"/>
      <c r="AJS83" s="684"/>
      <c r="AJT83" s="684"/>
      <c r="AJU83" s="684"/>
      <c r="AJV83" s="684"/>
      <c r="AJW83" s="684"/>
      <c r="AJX83" s="684"/>
      <c r="AJY83" s="684"/>
      <c r="AJZ83" s="684"/>
      <c r="AKA83" s="684"/>
      <c r="AKB83" s="684"/>
      <c r="AKC83" s="684"/>
      <c r="AKD83" s="684"/>
      <c r="AKE83" s="684"/>
      <c r="AKF83" s="684"/>
      <c r="AKG83" s="684"/>
      <c r="AKH83" s="684"/>
      <c r="AKI83" s="684"/>
      <c r="AKJ83" s="684"/>
      <c r="AKK83" s="684"/>
      <c r="AKL83" s="684"/>
      <c r="AKM83" s="684"/>
      <c r="AKN83" s="684"/>
      <c r="AKO83" s="684"/>
      <c r="AKP83" s="684"/>
      <c r="AKQ83" s="684"/>
      <c r="AKR83" s="684"/>
      <c r="AKS83" s="684"/>
      <c r="AKT83" s="684"/>
      <c r="AKU83" s="684"/>
      <c r="AKV83" s="684"/>
      <c r="AKW83" s="684"/>
      <c r="AKX83" s="684"/>
      <c r="AKY83" s="684"/>
      <c r="AKZ83" s="684"/>
      <c r="ALA83" s="684"/>
      <c r="ALB83" s="684"/>
      <c r="ALC83" s="684"/>
      <c r="ALD83" s="684"/>
      <c r="ALE83" s="684"/>
      <c r="ALF83" s="684"/>
      <c r="ALG83" s="684"/>
      <c r="ALH83" s="684"/>
      <c r="ALI83" s="684"/>
      <c r="ALJ83" s="684"/>
      <c r="ALK83" s="684"/>
      <c r="ALL83" s="684"/>
      <c r="ALM83" s="684"/>
      <c r="ALN83" s="684"/>
      <c r="ALO83" s="684"/>
      <c r="ALP83" s="684"/>
      <c r="ALQ83" s="684"/>
      <c r="ALR83" s="684"/>
      <c r="ALS83" s="684"/>
      <c r="ALT83" s="684"/>
      <c r="ALU83" s="684"/>
      <c r="ALV83" s="684"/>
      <c r="ALW83" s="684"/>
      <c r="ALX83" s="684"/>
      <c r="ALY83" s="684"/>
      <c r="ALZ83" s="684"/>
      <c r="AMA83" s="684"/>
      <c r="AMB83" s="684"/>
      <c r="AMC83" s="684"/>
      <c r="AMD83" s="684"/>
      <c r="AME83" s="684"/>
      <c r="AMF83" s="684"/>
      <c r="AMG83" s="684"/>
      <c r="AMH83" s="684"/>
      <c r="AMI83" s="684"/>
      <c r="AMJ83" s="684"/>
      <c r="AMK83" s="684"/>
      <c r="AML83" s="684"/>
      <c r="AMM83" s="684"/>
      <c r="AMN83" s="684"/>
      <c r="AMO83" s="684"/>
      <c r="AMP83" s="684"/>
      <c r="AMQ83" s="684"/>
      <c r="AMR83" s="684"/>
      <c r="AMS83" s="684"/>
      <c r="AMT83" s="684"/>
      <c r="AMU83" s="684"/>
      <c r="AMV83" s="684"/>
      <c r="AMW83" s="684"/>
      <c r="AMX83" s="684"/>
      <c r="AMY83" s="684"/>
      <c r="AMZ83" s="684"/>
      <c r="ANA83" s="684"/>
      <c r="ANB83" s="684"/>
      <c r="ANC83" s="684"/>
      <c r="AND83" s="684"/>
      <c r="ANE83" s="684"/>
      <c r="ANF83" s="684"/>
      <c r="ANG83" s="684"/>
      <c r="ANH83" s="684"/>
      <c r="ANI83" s="684"/>
      <c r="ANJ83" s="684"/>
      <c r="ANK83" s="684"/>
      <c r="ANL83" s="684"/>
      <c r="ANM83" s="684"/>
      <c r="ANN83" s="684"/>
      <c r="ANO83" s="684"/>
      <c r="ANP83" s="684"/>
      <c r="ANQ83" s="684"/>
      <c r="ANR83" s="684"/>
      <c r="ANS83" s="684"/>
      <c r="ANT83" s="684"/>
      <c r="ANU83" s="684"/>
      <c r="ANV83" s="684"/>
      <c r="ANW83" s="684"/>
      <c r="ANX83" s="684"/>
      <c r="ANY83" s="684"/>
      <c r="ANZ83" s="684"/>
      <c r="AOA83" s="684"/>
      <c r="AOB83" s="684"/>
      <c r="AOC83" s="684"/>
      <c r="AOD83" s="684"/>
      <c r="AOE83" s="684"/>
      <c r="AOF83" s="684"/>
      <c r="AOG83" s="684"/>
      <c r="AOH83" s="684"/>
      <c r="AOI83" s="684"/>
      <c r="AOJ83" s="684"/>
      <c r="AOK83" s="684"/>
      <c r="AOL83" s="684"/>
      <c r="AOM83" s="684"/>
      <c r="AON83" s="684"/>
      <c r="AOO83" s="684"/>
      <c r="AOP83" s="684"/>
      <c r="AOQ83" s="684"/>
      <c r="AOR83" s="684"/>
      <c r="AOS83" s="684"/>
      <c r="AOT83" s="684"/>
      <c r="AOU83" s="684"/>
      <c r="AOV83" s="684"/>
      <c r="AOW83" s="684"/>
      <c r="AOX83" s="684"/>
      <c r="AOY83" s="684"/>
      <c r="AOZ83" s="684"/>
      <c r="APA83" s="684"/>
      <c r="APB83" s="684"/>
      <c r="APC83" s="684"/>
      <c r="APD83" s="684"/>
      <c r="APE83" s="684"/>
      <c r="APF83" s="684"/>
      <c r="APG83" s="684"/>
      <c r="APH83" s="684"/>
      <c r="API83" s="684"/>
      <c r="APJ83" s="684"/>
      <c r="APK83" s="684"/>
      <c r="APL83" s="684"/>
      <c r="APM83" s="684"/>
      <c r="APN83" s="684"/>
      <c r="APO83" s="684"/>
      <c r="APP83" s="684"/>
      <c r="APQ83" s="684"/>
      <c r="APR83" s="684"/>
      <c r="APS83" s="684"/>
      <c r="APT83" s="684"/>
      <c r="APU83" s="684"/>
      <c r="APV83" s="684"/>
      <c r="APW83" s="684"/>
      <c r="APX83" s="684"/>
      <c r="APY83" s="684"/>
      <c r="APZ83" s="684"/>
      <c r="AQA83" s="684"/>
      <c r="AQB83" s="684"/>
      <c r="AQC83" s="684"/>
      <c r="AQD83" s="684"/>
      <c r="AQE83" s="684"/>
      <c r="AQF83" s="684"/>
      <c r="AQG83" s="684"/>
      <c r="AQH83" s="684"/>
      <c r="AQI83" s="684"/>
      <c r="AQJ83" s="684"/>
      <c r="AQK83" s="684"/>
      <c r="AQL83" s="684"/>
      <c r="AQM83" s="684"/>
      <c r="AQN83" s="684"/>
      <c r="AQO83" s="684"/>
      <c r="AQP83" s="684"/>
      <c r="AQQ83" s="684"/>
      <c r="AQR83" s="684"/>
      <c r="AQS83" s="684"/>
      <c r="AQT83" s="684"/>
      <c r="AQU83" s="684"/>
      <c r="AQV83" s="684"/>
      <c r="AQW83" s="684"/>
      <c r="AQX83" s="684"/>
      <c r="AQY83" s="684"/>
      <c r="AQZ83" s="684"/>
      <c r="ARA83" s="684"/>
      <c r="ARB83" s="684"/>
      <c r="ARC83" s="684"/>
      <c r="ARD83" s="684"/>
      <c r="ARE83" s="684"/>
      <c r="ARF83" s="684"/>
      <c r="ARG83" s="684"/>
      <c r="ARH83" s="684"/>
      <c r="ARI83" s="684"/>
      <c r="ARJ83" s="684"/>
      <c r="ARK83" s="684"/>
      <c r="ARL83" s="684"/>
      <c r="ARM83" s="684"/>
      <c r="ARN83" s="684"/>
      <c r="ARO83" s="684"/>
      <c r="ARP83" s="684"/>
      <c r="ARQ83" s="684"/>
      <c r="ARR83" s="684"/>
      <c r="ARS83" s="684"/>
      <c r="ART83" s="684"/>
      <c r="ARU83" s="684"/>
      <c r="ARV83" s="684"/>
      <c r="ARW83" s="684"/>
      <c r="ARX83" s="684"/>
      <c r="ARY83" s="684"/>
      <c r="ARZ83" s="684"/>
      <c r="ASA83" s="684"/>
      <c r="ASB83" s="684"/>
      <c r="ASC83" s="684"/>
      <c r="ASD83" s="684"/>
      <c r="ASE83" s="684"/>
      <c r="ASF83" s="684"/>
      <c r="ASG83" s="684"/>
      <c r="ASH83" s="684"/>
      <c r="ASI83" s="684"/>
      <c r="ASJ83" s="684"/>
      <c r="ASK83" s="684"/>
      <c r="ASL83" s="684"/>
      <c r="ASM83" s="684"/>
      <c r="ASN83" s="684"/>
      <c r="ASO83" s="684"/>
      <c r="ASP83" s="684"/>
      <c r="ASQ83" s="684"/>
      <c r="ASR83" s="684"/>
      <c r="ASS83" s="684"/>
      <c r="AST83" s="684"/>
      <c r="ASU83" s="684"/>
      <c r="ASV83" s="684"/>
      <c r="ASW83" s="684"/>
      <c r="ASX83" s="684"/>
      <c r="ASY83" s="684"/>
      <c r="ASZ83" s="684"/>
      <c r="ATA83" s="684"/>
      <c r="ATB83" s="684"/>
      <c r="ATC83" s="684"/>
      <c r="ATD83" s="684"/>
      <c r="ATE83" s="684"/>
      <c r="ATF83" s="684"/>
      <c r="ATG83" s="684"/>
      <c r="ATH83" s="684"/>
      <c r="ATI83" s="684"/>
      <c r="ATJ83" s="684"/>
      <c r="ATK83" s="684"/>
      <c r="ATL83" s="684"/>
      <c r="ATM83" s="684"/>
      <c r="ATN83" s="684"/>
      <c r="ATO83" s="684"/>
      <c r="ATP83" s="684"/>
      <c r="ATQ83" s="684"/>
      <c r="ATR83" s="684"/>
      <c r="ATS83" s="684"/>
      <c r="ATT83" s="684"/>
      <c r="ATU83" s="684"/>
      <c r="ATV83" s="684"/>
      <c r="ATW83" s="684"/>
      <c r="ATX83" s="684"/>
      <c r="ATY83" s="684"/>
      <c r="ATZ83" s="684"/>
      <c r="AUA83" s="684"/>
      <c r="AUB83" s="684"/>
      <c r="AUC83" s="684"/>
      <c r="AUD83" s="684"/>
      <c r="AUE83" s="684"/>
      <c r="AUF83" s="684"/>
      <c r="AUG83" s="684"/>
      <c r="AUH83" s="684"/>
      <c r="AUI83" s="684"/>
      <c r="AUJ83" s="684"/>
      <c r="AUK83" s="684"/>
      <c r="AUL83" s="684"/>
      <c r="AUM83" s="684"/>
      <c r="AUN83" s="684"/>
      <c r="AUO83" s="684"/>
      <c r="AUP83" s="684"/>
      <c r="AUQ83" s="684"/>
      <c r="AUR83" s="684"/>
      <c r="AUS83" s="684"/>
      <c r="AUT83" s="684"/>
      <c r="AUU83" s="684"/>
      <c r="AUV83" s="684"/>
      <c r="AUW83" s="684"/>
      <c r="AUX83" s="684"/>
      <c r="AUY83" s="684"/>
      <c r="AUZ83" s="684"/>
      <c r="AVA83" s="684"/>
      <c r="AVB83" s="684"/>
      <c r="AVC83" s="684"/>
      <c r="AVD83" s="684"/>
      <c r="AVE83" s="684"/>
      <c r="AVF83" s="684"/>
      <c r="AVG83" s="684"/>
      <c r="AVH83" s="684"/>
      <c r="AVI83" s="684"/>
      <c r="AVJ83" s="684"/>
      <c r="AVK83" s="684"/>
      <c r="AVL83" s="684"/>
      <c r="AVM83" s="684"/>
      <c r="AVN83" s="684"/>
      <c r="AVO83" s="684"/>
      <c r="AVP83" s="684"/>
      <c r="AVQ83" s="684"/>
      <c r="AVR83" s="684"/>
      <c r="AVS83" s="684"/>
      <c r="AVT83" s="684"/>
      <c r="AVU83" s="684"/>
      <c r="AVV83" s="684"/>
      <c r="AVW83" s="684"/>
      <c r="AVX83" s="684"/>
      <c r="AVY83" s="684"/>
      <c r="AVZ83" s="684"/>
      <c r="AWA83" s="684"/>
      <c r="AWB83" s="684"/>
      <c r="AWC83" s="684"/>
      <c r="AWD83" s="684"/>
      <c r="AWE83" s="684"/>
      <c r="AWF83" s="684"/>
      <c r="AWG83" s="684"/>
      <c r="AWH83" s="684"/>
      <c r="AWI83" s="684"/>
      <c r="AWJ83" s="684"/>
      <c r="AWK83" s="684"/>
      <c r="AWL83" s="684"/>
      <c r="AWM83" s="684"/>
      <c r="AWN83" s="684"/>
      <c r="AWO83" s="684"/>
      <c r="AWP83" s="684"/>
      <c r="AWQ83" s="684"/>
      <c r="AWR83" s="684"/>
      <c r="AWS83" s="684"/>
      <c r="AWT83" s="684"/>
      <c r="AWU83" s="684"/>
      <c r="AWV83" s="684"/>
      <c r="AWW83" s="684"/>
      <c r="AWX83" s="684"/>
      <c r="AWY83" s="684"/>
      <c r="AWZ83" s="684"/>
      <c r="AXA83" s="684"/>
      <c r="AXB83" s="684"/>
      <c r="AXC83" s="684"/>
      <c r="AXD83" s="684"/>
      <c r="AXE83" s="684"/>
      <c r="AXF83" s="684"/>
      <c r="AXG83" s="684"/>
      <c r="AXH83" s="684"/>
      <c r="AXI83" s="684"/>
      <c r="AXJ83" s="684"/>
      <c r="AXK83" s="684"/>
      <c r="AXL83" s="684"/>
      <c r="AXM83" s="684"/>
      <c r="AXN83" s="684"/>
      <c r="AXO83" s="684"/>
      <c r="AXP83" s="684"/>
      <c r="AXQ83" s="684"/>
      <c r="AXR83" s="684"/>
      <c r="AXS83" s="684"/>
      <c r="AXT83" s="684"/>
      <c r="AXU83" s="684"/>
      <c r="AXV83" s="684"/>
      <c r="AXW83" s="684"/>
      <c r="AXX83" s="684"/>
      <c r="AXY83" s="684"/>
      <c r="AXZ83" s="684"/>
      <c r="AYA83" s="684"/>
      <c r="AYB83" s="684"/>
      <c r="AYC83" s="684"/>
      <c r="AYD83" s="684"/>
      <c r="AYE83" s="684"/>
      <c r="AYF83" s="684"/>
      <c r="AYG83" s="684"/>
      <c r="AYH83" s="684"/>
      <c r="AYI83" s="684"/>
      <c r="AYJ83" s="684"/>
      <c r="AYK83" s="684"/>
      <c r="AYL83" s="684"/>
      <c r="AYM83" s="684"/>
      <c r="AYN83" s="684"/>
      <c r="AYO83" s="684"/>
      <c r="AYP83" s="684"/>
      <c r="AYQ83" s="684"/>
      <c r="AYR83" s="684"/>
      <c r="AYS83" s="684"/>
      <c r="AYT83" s="684"/>
      <c r="AYU83" s="684"/>
      <c r="AYV83" s="684"/>
      <c r="AYW83" s="684"/>
      <c r="AYX83" s="684"/>
      <c r="AYY83" s="684"/>
      <c r="AYZ83" s="684"/>
      <c r="AZA83" s="684"/>
      <c r="AZB83" s="684"/>
      <c r="AZC83" s="684"/>
      <c r="AZD83" s="684"/>
      <c r="AZE83" s="684"/>
      <c r="AZF83" s="684"/>
      <c r="AZG83" s="684"/>
      <c r="AZH83" s="684"/>
      <c r="AZI83" s="684"/>
      <c r="AZJ83" s="684"/>
      <c r="AZK83" s="684"/>
      <c r="AZL83" s="684"/>
      <c r="AZM83" s="684"/>
      <c r="AZN83" s="684"/>
      <c r="AZO83" s="684"/>
      <c r="AZP83" s="684"/>
      <c r="AZQ83" s="684"/>
      <c r="AZR83" s="684"/>
      <c r="AZS83" s="684"/>
      <c r="AZT83" s="684"/>
      <c r="AZU83" s="684"/>
      <c r="AZV83" s="684"/>
      <c r="AZW83" s="684"/>
      <c r="AZX83" s="684"/>
      <c r="AZY83" s="684"/>
      <c r="AZZ83" s="684"/>
      <c r="BAA83" s="684"/>
      <c r="BAB83" s="684"/>
      <c r="BAC83" s="684"/>
      <c r="BAD83" s="684"/>
      <c r="BAE83" s="684"/>
      <c r="BAF83" s="684"/>
      <c r="BAG83" s="684"/>
      <c r="BAH83" s="684"/>
      <c r="BAI83" s="684"/>
      <c r="BAJ83" s="684"/>
      <c r="BAK83" s="684"/>
      <c r="BAL83" s="684"/>
      <c r="BAM83" s="684"/>
      <c r="BAN83" s="684"/>
      <c r="BAO83" s="684"/>
      <c r="BAP83" s="684"/>
      <c r="BAQ83" s="684"/>
      <c r="BAR83" s="684"/>
      <c r="BAS83" s="684"/>
      <c r="BAT83" s="684"/>
      <c r="BAU83" s="684"/>
      <c r="BAV83" s="684"/>
      <c r="BAW83" s="684"/>
      <c r="BAX83" s="684"/>
      <c r="BAY83" s="684"/>
      <c r="BAZ83" s="684"/>
      <c r="BBA83" s="684"/>
      <c r="BBB83" s="684"/>
      <c r="BBC83" s="684"/>
      <c r="BBD83" s="684"/>
      <c r="BBE83" s="684"/>
      <c r="BBF83" s="684"/>
      <c r="BBG83" s="684"/>
      <c r="BBH83" s="684"/>
      <c r="BBI83" s="684"/>
      <c r="BBJ83" s="684"/>
      <c r="BBK83" s="684"/>
      <c r="BBL83" s="684"/>
      <c r="BBM83" s="684"/>
      <c r="BBN83" s="684"/>
      <c r="BBO83" s="684"/>
      <c r="BBP83" s="684"/>
      <c r="BBQ83" s="684"/>
      <c r="BBR83" s="684"/>
      <c r="BBS83" s="684"/>
      <c r="BBT83" s="684"/>
      <c r="BBU83" s="684"/>
      <c r="BBV83" s="684"/>
      <c r="BBW83" s="684"/>
      <c r="BBX83" s="684"/>
      <c r="BBY83" s="684"/>
      <c r="BBZ83" s="684"/>
      <c r="BCA83" s="684"/>
      <c r="BCB83" s="684"/>
      <c r="BCC83" s="684"/>
      <c r="BCD83" s="684"/>
      <c r="BCE83" s="684"/>
      <c r="BCF83" s="684"/>
      <c r="BCG83" s="684"/>
      <c r="BCH83" s="684"/>
      <c r="BCI83" s="684"/>
      <c r="BCJ83" s="684"/>
      <c r="BCK83" s="684"/>
      <c r="BCL83" s="684"/>
      <c r="BCM83" s="684"/>
      <c r="BCN83" s="684"/>
      <c r="BCO83" s="684"/>
      <c r="BCP83" s="684"/>
      <c r="BCQ83" s="684"/>
      <c r="BCR83" s="684"/>
      <c r="BCS83" s="684"/>
      <c r="BCT83" s="684"/>
      <c r="BCU83" s="684"/>
      <c r="BCV83" s="684"/>
      <c r="BCW83" s="684"/>
      <c r="BCX83" s="684"/>
      <c r="BCY83" s="684"/>
      <c r="BCZ83" s="684"/>
      <c r="BDA83" s="684"/>
      <c r="BDB83" s="684"/>
      <c r="BDC83" s="684"/>
      <c r="BDD83" s="684"/>
      <c r="BDE83" s="684"/>
      <c r="BDF83" s="684"/>
      <c r="BDG83" s="684"/>
      <c r="BDH83" s="684"/>
      <c r="BDI83" s="684"/>
      <c r="BDJ83" s="684"/>
      <c r="BDK83" s="684"/>
      <c r="BDL83" s="684"/>
      <c r="BDM83" s="684"/>
      <c r="BDN83" s="684"/>
      <c r="BDO83" s="684"/>
      <c r="BDP83" s="684"/>
      <c r="BDQ83" s="684"/>
      <c r="BDR83" s="684"/>
      <c r="BDS83" s="684"/>
      <c r="BDT83" s="684"/>
      <c r="BDU83" s="684"/>
      <c r="BDV83" s="684"/>
      <c r="BDW83" s="684"/>
      <c r="BDX83" s="684"/>
      <c r="BDY83" s="684"/>
      <c r="BDZ83" s="684"/>
      <c r="BEA83" s="684"/>
      <c r="BEB83" s="684"/>
      <c r="BEC83" s="684"/>
      <c r="BED83" s="684"/>
      <c r="BEE83" s="684"/>
      <c r="BEF83" s="684"/>
      <c r="BEG83" s="684"/>
      <c r="BEH83" s="684"/>
      <c r="BEI83" s="684"/>
      <c r="BEJ83" s="684"/>
      <c r="BEK83" s="684"/>
      <c r="BEL83" s="684"/>
      <c r="BEM83" s="684"/>
      <c r="BEN83" s="684"/>
      <c r="BEO83" s="684"/>
      <c r="BEP83" s="684"/>
      <c r="BEQ83" s="684"/>
      <c r="BER83" s="684"/>
      <c r="BES83" s="684"/>
      <c r="BET83" s="684"/>
      <c r="BEU83" s="684"/>
      <c r="BEV83" s="684"/>
      <c r="BEW83" s="684"/>
      <c r="BEX83" s="684"/>
      <c r="BEY83" s="684"/>
      <c r="BEZ83" s="684"/>
      <c r="BFA83" s="684"/>
      <c r="BFB83" s="684"/>
      <c r="BFC83" s="684"/>
      <c r="BFD83" s="684"/>
      <c r="BFE83" s="684"/>
      <c r="BFF83" s="684"/>
      <c r="BFG83" s="684"/>
      <c r="BFH83" s="684"/>
      <c r="BFI83" s="684"/>
      <c r="BFJ83" s="684"/>
      <c r="BFK83" s="684"/>
      <c r="BFL83" s="684"/>
      <c r="BFM83" s="684"/>
      <c r="BFN83" s="684"/>
      <c r="BFO83" s="684"/>
      <c r="BFP83" s="684"/>
      <c r="BFQ83" s="684"/>
      <c r="BFR83" s="684"/>
      <c r="BFS83" s="684"/>
      <c r="BFT83" s="684"/>
      <c r="BFU83" s="684"/>
      <c r="BFV83" s="684"/>
      <c r="BFW83" s="684"/>
      <c r="BFX83" s="684"/>
      <c r="BFY83" s="684"/>
      <c r="BFZ83" s="684"/>
      <c r="BGA83" s="684"/>
      <c r="BGB83" s="684"/>
      <c r="BGC83" s="684"/>
      <c r="BGD83" s="684"/>
      <c r="BGE83" s="684"/>
      <c r="BGF83" s="684"/>
      <c r="BGG83" s="684"/>
      <c r="BGH83" s="684"/>
      <c r="BGI83" s="684"/>
      <c r="BGJ83" s="684"/>
      <c r="BGK83" s="684"/>
      <c r="BGL83" s="684"/>
      <c r="BGM83" s="684"/>
      <c r="BGN83" s="684"/>
      <c r="BGO83" s="684"/>
      <c r="BGP83" s="684"/>
      <c r="BGQ83" s="684"/>
      <c r="BGR83" s="684"/>
      <c r="BGS83" s="684"/>
      <c r="BGT83" s="684"/>
      <c r="BGU83" s="684"/>
      <c r="BGV83" s="684"/>
      <c r="BGW83" s="684"/>
      <c r="BGX83" s="684"/>
      <c r="BGY83" s="684"/>
      <c r="BGZ83" s="684"/>
      <c r="BHA83" s="684"/>
      <c r="BHB83" s="684"/>
      <c r="BHC83" s="684"/>
      <c r="BHD83" s="684"/>
      <c r="BHE83" s="684"/>
      <c r="BHF83" s="684"/>
      <c r="BHG83" s="684"/>
      <c r="BHH83" s="684"/>
      <c r="BHI83" s="684"/>
      <c r="BHJ83" s="684"/>
      <c r="BHK83" s="684"/>
      <c r="BHL83" s="684"/>
      <c r="BHM83" s="684"/>
      <c r="BHN83" s="684"/>
      <c r="BHO83" s="684"/>
      <c r="BHP83" s="684"/>
      <c r="BHQ83" s="684"/>
      <c r="BHR83" s="684"/>
      <c r="BHS83" s="684"/>
      <c r="BHT83" s="684"/>
      <c r="BHU83" s="684"/>
      <c r="BHV83" s="684"/>
      <c r="BHW83" s="684"/>
      <c r="BHX83" s="684"/>
      <c r="BHY83" s="684"/>
      <c r="BHZ83" s="684"/>
      <c r="BIA83" s="684"/>
      <c r="BIB83" s="684"/>
      <c r="BIC83" s="684"/>
      <c r="BID83" s="684"/>
      <c r="BIE83" s="684"/>
      <c r="BIF83" s="684"/>
      <c r="BIG83" s="684"/>
      <c r="BIH83" s="684"/>
      <c r="BII83" s="684"/>
      <c r="BIJ83" s="684"/>
      <c r="BIK83" s="684"/>
      <c r="BIL83" s="684"/>
      <c r="BIM83" s="684"/>
      <c r="BIN83" s="684"/>
      <c r="BIO83" s="684"/>
      <c r="BIP83" s="684"/>
      <c r="BIQ83" s="684"/>
      <c r="BIR83" s="684"/>
      <c r="BIS83" s="684"/>
      <c r="BIT83" s="684"/>
      <c r="BIU83" s="684"/>
      <c r="BIV83" s="684"/>
      <c r="BIW83" s="684"/>
      <c r="BIX83" s="684"/>
      <c r="BIY83" s="684"/>
      <c r="BIZ83" s="684"/>
      <c r="BJA83" s="684"/>
      <c r="BJB83" s="684"/>
      <c r="BJC83" s="684"/>
      <c r="BJD83" s="684"/>
      <c r="BJE83" s="684"/>
      <c r="BJF83" s="684"/>
      <c r="BJG83" s="684"/>
      <c r="BJH83" s="684"/>
      <c r="BJI83" s="684"/>
      <c r="BJJ83" s="684"/>
      <c r="BJK83" s="684"/>
      <c r="BJL83" s="684"/>
      <c r="BJM83" s="684"/>
      <c r="BJN83" s="684"/>
      <c r="BJO83" s="684"/>
      <c r="BJP83" s="684"/>
      <c r="BJQ83" s="684"/>
      <c r="BJR83" s="684"/>
      <c r="BJS83" s="684"/>
      <c r="BJT83" s="684"/>
      <c r="BJU83" s="684"/>
      <c r="BJV83" s="684"/>
      <c r="BJW83" s="684"/>
      <c r="BJX83" s="684"/>
      <c r="BJY83" s="684"/>
      <c r="BJZ83" s="684"/>
      <c r="BKA83" s="684"/>
      <c r="BKB83" s="684"/>
      <c r="BKC83" s="684"/>
      <c r="BKD83" s="684"/>
      <c r="BKE83" s="684"/>
      <c r="BKF83" s="684"/>
      <c r="BKG83" s="684"/>
      <c r="BKH83" s="684"/>
      <c r="BKI83" s="684"/>
      <c r="BKJ83" s="684"/>
      <c r="BKK83" s="684"/>
      <c r="BKL83" s="684"/>
      <c r="BKM83" s="684"/>
      <c r="BKN83" s="684"/>
      <c r="BKO83" s="684"/>
      <c r="BKP83" s="684"/>
      <c r="BKQ83" s="684"/>
      <c r="BKR83" s="684"/>
      <c r="BKS83" s="684"/>
      <c r="BKT83" s="684"/>
      <c r="BKU83" s="684"/>
      <c r="BKV83" s="684"/>
      <c r="BKW83" s="684"/>
      <c r="BKX83" s="684"/>
      <c r="BKY83" s="684"/>
      <c r="BKZ83" s="684"/>
      <c r="BLA83" s="684"/>
      <c r="BLB83" s="684"/>
      <c r="BLC83" s="684"/>
      <c r="BLD83" s="684"/>
      <c r="BLE83" s="684"/>
      <c r="BLF83" s="684"/>
      <c r="BLG83" s="684"/>
      <c r="BLH83" s="684"/>
      <c r="BLI83" s="684"/>
      <c r="BLJ83" s="684"/>
      <c r="BLK83" s="684"/>
      <c r="BLL83" s="684"/>
      <c r="BLM83" s="684"/>
      <c r="BLN83" s="684"/>
      <c r="BLO83" s="684"/>
      <c r="BLP83" s="684"/>
      <c r="BLQ83" s="684"/>
      <c r="BLR83" s="684"/>
      <c r="BLS83" s="684"/>
      <c r="BLT83" s="684"/>
      <c r="BLU83" s="684"/>
      <c r="BLV83" s="684"/>
      <c r="BLW83" s="684"/>
      <c r="BLX83" s="684"/>
      <c r="BLY83" s="684"/>
      <c r="BLZ83" s="684"/>
      <c r="BMA83" s="684"/>
      <c r="BMB83" s="684"/>
      <c r="BMC83" s="684"/>
      <c r="BMD83" s="684"/>
      <c r="BME83" s="684"/>
      <c r="BMF83" s="684"/>
      <c r="BMG83" s="684"/>
      <c r="BMH83" s="684"/>
      <c r="BMI83" s="684"/>
      <c r="BMJ83" s="684"/>
      <c r="BMK83" s="684"/>
      <c r="BML83" s="684"/>
      <c r="BMM83" s="684"/>
      <c r="BMN83" s="684"/>
      <c r="BMO83" s="684"/>
      <c r="BMP83" s="684"/>
      <c r="BMQ83" s="684"/>
      <c r="BMR83" s="684"/>
      <c r="BMS83" s="684"/>
      <c r="BMT83" s="684"/>
      <c r="BMU83" s="684"/>
      <c r="BMV83" s="684"/>
      <c r="BMW83" s="684"/>
      <c r="BMX83" s="684"/>
      <c r="BMY83" s="684"/>
      <c r="BMZ83" s="684"/>
      <c r="BNA83" s="684"/>
      <c r="BNB83" s="684"/>
      <c r="BNC83" s="684"/>
      <c r="BND83" s="684"/>
      <c r="BNE83" s="684"/>
      <c r="BNF83" s="684"/>
      <c r="BNG83" s="684"/>
      <c r="BNH83" s="684"/>
      <c r="BNI83" s="684"/>
      <c r="BNJ83" s="684"/>
      <c r="BNK83" s="684"/>
      <c r="BNL83" s="684"/>
      <c r="BNM83" s="684"/>
      <c r="BNN83" s="684"/>
      <c r="BNO83" s="684"/>
      <c r="BNP83" s="684"/>
      <c r="BNQ83" s="684"/>
      <c r="BNR83" s="684"/>
      <c r="BNS83" s="684"/>
      <c r="BNT83" s="684"/>
      <c r="BNU83" s="684"/>
      <c r="BNV83" s="684"/>
      <c r="BNW83" s="684"/>
      <c r="BNX83" s="684"/>
      <c r="BNY83" s="684"/>
      <c r="BNZ83" s="684"/>
      <c r="BOA83" s="684"/>
      <c r="BOB83" s="684"/>
      <c r="BOC83" s="684"/>
      <c r="BOD83" s="684"/>
      <c r="BOE83" s="684"/>
      <c r="BOF83" s="684"/>
      <c r="BOG83" s="684"/>
      <c r="BOH83" s="684"/>
      <c r="BOI83" s="684"/>
      <c r="BOJ83" s="684"/>
      <c r="BOK83" s="684"/>
      <c r="BOL83" s="684"/>
      <c r="BOM83" s="684"/>
      <c r="BON83" s="684"/>
      <c r="BOO83" s="684"/>
      <c r="BOP83" s="684"/>
      <c r="BOQ83" s="684"/>
      <c r="BOR83" s="684"/>
      <c r="BOS83" s="684"/>
      <c r="BOT83" s="684"/>
      <c r="BOU83" s="684"/>
      <c r="BOV83" s="684"/>
      <c r="BOW83" s="684"/>
      <c r="BOX83" s="684"/>
      <c r="BOY83" s="684"/>
      <c r="BOZ83" s="684"/>
      <c r="BPA83" s="684"/>
      <c r="BPB83" s="684"/>
      <c r="BPC83" s="684"/>
      <c r="BPD83" s="684"/>
      <c r="BPE83" s="684"/>
      <c r="BPF83" s="684"/>
      <c r="BPG83" s="684"/>
      <c r="BPH83" s="684"/>
      <c r="BPI83" s="684"/>
      <c r="BPJ83" s="684"/>
      <c r="BPK83" s="684"/>
      <c r="BPL83" s="684"/>
      <c r="BPM83" s="684"/>
      <c r="BPN83" s="684"/>
      <c r="BPO83" s="684"/>
      <c r="BPP83" s="684"/>
      <c r="BPQ83" s="684"/>
      <c r="BPR83" s="684"/>
      <c r="BPS83" s="684"/>
      <c r="BPT83" s="684"/>
      <c r="BPU83" s="684"/>
      <c r="BPV83" s="684"/>
      <c r="BPW83" s="684"/>
      <c r="BPX83" s="684"/>
      <c r="BPY83" s="684"/>
      <c r="BPZ83" s="684"/>
      <c r="BQA83" s="684"/>
      <c r="BQB83" s="684"/>
      <c r="BQC83" s="684"/>
      <c r="BQD83" s="684"/>
      <c r="BQE83" s="684"/>
      <c r="BQF83" s="684"/>
      <c r="BQG83" s="684"/>
      <c r="BQH83" s="684"/>
      <c r="BQI83" s="684"/>
      <c r="BQJ83" s="684"/>
      <c r="BQK83" s="684"/>
      <c r="BQL83" s="684"/>
      <c r="BQM83" s="684"/>
      <c r="BQN83" s="684"/>
      <c r="BQO83" s="684"/>
      <c r="BQP83" s="684"/>
      <c r="BQQ83" s="684"/>
      <c r="BQR83" s="684"/>
      <c r="BQS83" s="684"/>
      <c r="BQT83" s="684"/>
      <c r="BQU83" s="684"/>
      <c r="BQV83" s="684"/>
      <c r="BQW83" s="684"/>
      <c r="BQX83" s="684"/>
      <c r="BQY83" s="684"/>
      <c r="BQZ83" s="684"/>
      <c r="BRA83" s="684"/>
      <c r="BRB83" s="684"/>
      <c r="BRC83" s="684"/>
      <c r="BRD83" s="684"/>
      <c r="BRE83" s="684"/>
      <c r="BRF83" s="684"/>
      <c r="BRG83" s="684"/>
      <c r="BRH83" s="684"/>
      <c r="BRI83" s="684"/>
      <c r="BRJ83" s="684"/>
      <c r="BRK83" s="684"/>
      <c r="BRL83" s="684"/>
      <c r="BRM83" s="684"/>
      <c r="BRN83" s="684"/>
      <c r="BRO83" s="684"/>
      <c r="BRP83" s="684"/>
      <c r="BRQ83" s="684"/>
      <c r="BRR83" s="684"/>
      <c r="BRS83" s="684"/>
      <c r="BRT83" s="684"/>
      <c r="BRU83" s="684"/>
      <c r="BRV83" s="684"/>
      <c r="BRW83" s="684"/>
      <c r="BRX83" s="684"/>
      <c r="BRY83" s="684"/>
      <c r="BRZ83" s="684"/>
      <c r="BSA83" s="684"/>
      <c r="BSB83" s="684"/>
      <c r="BSC83" s="684"/>
      <c r="BSD83" s="684"/>
      <c r="BSE83" s="684"/>
      <c r="BSF83" s="684"/>
      <c r="BSG83" s="684"/>
      <c r="BSH83" s="684"/>
      <c r="BSI83" s="684"/>
      <c r="BSJ83" s="684"/>
      <c r="BSK83" s="684"/>
      <c r="BSL83" s="684"/>
      <c r="BSM83" s="684"/>
      <c r="BSN83" s="684"/>
      <c r="BSO83" s="684"/>
      <c r="BSP83" s="684"/>
      <c r="BSQ83" s="684"/>
      <c r="BSR83" s="684"/>
      <c r="BSS83" s="684"/>
      <c r="BST83" s="684"/>
      <c r="BSU83" s="684"/>
      <c r="BSV83" s="684"/>
      <c r="BSW83" s="684"/>
      <c r="BSX83" s="684"/>
      <c r="BSY83" s="684"/>
      <c r="BSZ83" s="684"/>
      <c r="BTA83" s="684"/>
      <c r="BTB83" s="684"/>
      <c r="BTC83" s="684"/>
      <c r="BTD83" s="684"/>
      <c r="BTE83" s="684"/>
      <c r="BTF83" s="684"/>
      <c r="BTG83" s="684"/>
      <c r="BTH83" s="684"/>
      <c r="BTI83" s="684"/>
      <c r="BTJ83" s="684"/>
      <c r="BTK83" s="684"/>
      <c r="BTL83" s="684"/>
      <c r="BTM83" s="684"/>
      <c r="BTN83" s="684"/>
      <c r="BTO83" s="684"/>
      <c r="BTP83" s="684"/>
      <c r="BTQ83" s="684"/>
      <c r="BTR83" s="684"/>
      <c r="BTS83" s="684"/>
      <c r="BTT83" s="684"/>
      <c r="BTU83" s="684"/>
      <c r="BTV83" s="684"/>
      <c r="BTW83" s="684"/>
      <c r="BTX83" s="684"/>
      <c r="BTY83" s="684"/>
      <c r="BTZ83" s="684"/>
      <c r="BUA83" s="684"/>
      <c r="BUB83" s="684"/>
      <c r="BUC83" s="684"/>
      <c r="BUD83" s="684"/>
      <c r="BUE83" s="684"/>
      <c r="BUF83" s="684"/>
      <c r="BUG83" s="684"/>
      <c r="BUH83" s="684"/>
      <c r="BUI83" s="684"/>
      <c r="BUJ83" s="684"/>
      <c r="BUK83" s="684"/>
      <c r="BUL83" s="684"/>
      <c r="BUM83" s="684"/>
      <c r="BUN83" s="684"/>
      <c r="BUO83" s="684"/>
      <c r="BUP83" s="684"/>
      <c r="BUQ83" s="684"/>
      <c r="BUR83" s="684"/>
      <c r="BUS83" s="684"/>
      <c r="BUT83" s="684"/>
      <c r="BUU83" s="684"/>
      <c r="BUV83" s="684"/>
      <c r="BUW83" s="684"/>
      <c r="BUX83" s="684"/>
      <c r="BUY83" s="684"/>
      <c r="BUZ83" s="684"/>
      <c r="BVA83" s="684"/>
      <c r="BVB83" s="684"/>
      <c r="BVC83" s="684"/>
      <c r="BVD83" s="684"/>
      <c r="BVE83" s="684"/>
      <c r="BVF83" s="684"/>
      <c r="BVG83" s="684"/>
      <c r="BVH83" s="684"/>
      <c r="BVI83" s="684"/>
      <c r="BVJ83" s="684"/>
      <c r="BVK83" s="684"/>
      <c r="BVL83" s="684"/>
      <c r="BVM83" s="684"/>
      <c r="BVN83" s="684"/>
      <c r="BVO83" s="684"/>
      <c r="BVP83" s="684"/>
      <c r="BVQ83" s="684"/>
      <c r="BVR83" s="684"/>
      <c r="BVS83" s="684"/>
      <c r="BVT83" s="684"/>
      <c r="BVU83" s="684"/>
      <c r="BVV83" s="684"/>
      <c r="BVW83" s="684"/>
      <c r="BVX83" s="684"/>
      <c r="BVY83" s="684"/>
      <c r="BVZ83" s="684"/>
      <c r="BWA83" s="684"/>
      <c r="BWB83" s="684"/>
      <c r="BWC83" s="684"/>
      <c r="BWD83" s="684"/>
      <c r="BWE83" s="684"/>
      <c r="BWF83" s="684"/>
      <c r="BWG83" s="684"/>
      <c r="BWH83" s="684"/>
      <c r="BWI83" s="684"/>
      <c r="BWJ83" s="684"/>
      <c r="BWK83" s="684"/>
      <c r="BWL83" s="684"/>
      <c r="BWM83" s="684"/>
      <c r="BWN83" s="684"/>
      <c r="BWO83" s="684"/>
      <c r="BWP83" s="684"/>
      <c r="BWQ83" s="684"/>
      <c r="BWR83" s="684"/>
      <c r="BWS83" s="684"/>
      <c r="BWT83" s="684"/>
      <c r="BWU83" s="684"/>
      <c r="BWV83" s="684"/>
      <c r="BWW83" s="684"/>
      <c r="BWX83" s="684"/>
      <c r="BWY83" s="684"/>
      <c r="BWZ83" s="684"/>
      <c r="BXA83" s="684"/>
      <c r="BXB83" s="684"/>
      <c r="BXC83" s="684"/>
      <c r="BXD83" s="684"/>
      <c r="BXE83" s="684"/>
      <c r="BXF83" s="684"/>
      <c r="BXG83" s="684"/>
      <c r="BXH83" s="684"/>
      <c r="BXI83" s="684"/>
      <c r="BXJ83" s="684"/>
      <c r="BXK83" s="684"/>
      <c r="BXL83" s="684"/>
      <c r="BXM83" s="684"/>
      <c r="BXN83" s="684"/>
      <c r="BXO83" s="684"/>
      <c r="BXP83" s="684"/>
      <c r="BXQ83" s="684"/>
      <c r="BXR83" s="684"/>
      <c r="BXS83" s="684"/>
      <c r="BXT83" s="684"/>
      <c r="BXU83" s="684"/>
      <c r="BXV83" s="684"/>
      <c r="BXW83" s="684"/>
      <c r="BXX83" s="684"/>
      <c r="BXY83" s="684"/>
      <c r="BXZ83" s="684"/>
      <c r="BYA83" s="684"/>
      <c r="BYB83" s="684"/>
      <c r="BYC83" s="684"/>
      <c r="BYD83" s="684"/>
      <c r="BYE83" s="684"/>
      <c r="BYF83" s="684"/>
      <c r="BYG83" s="684"/>
      <c r="BYH83" s="684"/>
      <c r="BYI83" s="684"/>
      <c r="BYJ83" s="684"/>
      <c r="BYK83" s="684"/>
      <c r="BYL83" s="684"/>
      <c r="BYM83" s="684"/>
      <c r="BYN83" s="684"/>
      <c r="BYO83" s="684"/>
      <c r="BYP83" s="684"/>
      <c r="BYQ83" s="684"/>
      <c r="BYR83" s="684"/>
      <c r="BYS83" s="684"/>
      <c r="BYT83" s="684"/>
      <c r="BYU83" s="684"/>
      <c r="BYV83" s="684"/>
      <c r="BYW83" s="684"/>
      <c r="BYX83" s="684"/>
      <c r="BYY83" s="684"/>
      <c r="BYZ83" s="684"/>
      <c r="BZA83" s="684"/>
      <c r="BZB83" s="684"/>
      <c r="BZC83" s="684"/>
      <c r="BZD83" s="684"/>
      <c r="BZE83" s="684"/>
      <c r="BZF83" s="684"/>
      <c r="BZG83" s="684"/>
      <c r="BZH83" s="684"/>
      <c r="BZI83" s="684"/>
      <c r="BZJ83" s="684"/>
      <c r="BZK83" s="684"/>
      <c r="BZL83" s="684"/>
      <c r="BZM83" s="684"/>
      <c r="BZN83" s="684"/>
      <c r="BZO83" s="684"/>
      <c r="BZP83" s="684"/>
      <c r="BZQ83" s="684"/>
      <c r="BZR83" s="684"/>
      <c r="BZS83" s="684"/>
      <c r="BZT83" s="684"/>
      <c r="BZU83" s="684"/>
      <c r="BZV83" s="684"/>
      <c r="BZW83" s="684"/>
      <c r="BZX83" s="684"/>
      <c r="BZY83" s="684"/>
      <c r="BZZ83" s="684"/>
      <c r="CAA83" s="684"/>
      <c r="CAB83" s="684"/>
      <c r="CAC83" s="684"/>
      <c r="CAD83" s="684"/>
      <c r="CAE83" s="684"/>
      <c r="CAF83" s="684"/>
      <c r="CAG83" s="684"/>
      <c r="CAH83" s="684"/>
      <c r="CAI83" s="684"/>
      <c r="CAJ83" s="684"/>
      <c r="CAK83" s="684"/>
      <c r="CAL83" s="684"/>
      <c r="CAM83" s="684"/>
      <c r="CAN83" s="684"/>
      <c r="CAO83" s="684"/>
      <c r="CAP83" s="684"/>
      <c r="CAQ83" s="684"/>
      <c r="CAR83" s="684"/>
      <c r="CAS83" s="684"/>
      <c r="CAT83" s="684"/>
      <c r="CAU83" s="684"/>
      <c r="CAV83" s="684"/>
      <c r="CAW83" s="684"/>
      <c r="CAX83" s="684"/>
      <c r="CAY83" s="684"/>
      <c r="CAZ83" s="684"/>
      <c r="CBA83" s="684"/>
      <c r="CBB83" s="684"/>
      <c r="CBC83" s="684"/>
      <c r="CBD83" s="684"/>
      <c r="CBE83" s="684"/>
      <c r="CBF83" s="684"/>
      <c r="CBG83" s="684"/>
      <c r="CBH83" s="684"/>
      <c r="CBI83" s="684"/>
      <c r="CBJ83" s="684"/>
      <c r="CBK83" s="684"/>
      <c r="CBL83" s="684"/>
      <c r="CBM83" s="684"/>
      <c r="CBN83" s="684"/>
      <c r="CBO83" s="684"/>
      <c r="CBP83" s="684"/>
      <c r="CBQ83" s="684"/>
      <c r="CBR83" s="684"/>
      <c r="CBS83" s="684"/>
      <c r="CBT83" s="684"/>
      <c r="CBU83" s="684"/>
      <c r="CBV83" s="684"/>
      <c r="CBW83" s="684"/>
      <c r="CBX83" s="684"/>
      <c r="CBY83" s="684"/>
      <c r="CBZ83" s="684"/>
      <c r="CCA83" s="684"/>
      <c r="CCB83" s="684"/>
      <c r="CCC83" s="684"/>
      <c r="CCD83" s="684"/>
      <c r="CCE83" s="684"/>
      <c r="CCF83" s="684"/>
      <c r="CCG83" s="684"/>
      <c r="CCH83" s="684"/>
      <c r="CCI83" s="684"/>
      <c r="CCJ83" s="684"/>
      <c r="CCK83" s="684"/>
      <c r="CCL83" s="684"/>
      <c r="CCM83" s="684"/>
      <c r="CCN83" s="684"/>
      <c r="CCO83" s="684"/>
      <c r="CCP83" s="684"/>
      <c r="CCQ83" s="684"/>
      <c r="CCR83" s="684"/>
      <c r="CCS83" s="684"/>
      <c r="CCT83" s="684"/>
      <c r="CCU83" s="684"/>
      <c r="CCV83" s="684"/>
      <c r="CCW83" s="684"/>
      <c r="CCX83" s="684"/>
      <c r="CCY83" s="684"/>
      <c r="CCZ83" s="684"/>
      <c r="CDA83" s="684"/>
      <c r="CDB83" s="684"/>
      <c r="CDC83" s="684"/>
      <c r="CDD83" s="684"/>
      <c r="CDE83" s="684"/>
      <c r="CDF83" s="684"/>
      <c r="CDG83" s="684"/>
      <c r="CDH83" s="684"/>
      <c r="CDI83" s="684"/>
      <c r="CDJ83" s="684"/>
      <c r="CDK83" s="684"/>
      <c r="CDL83" s="684"/>
      <c r="CDM83" s="684"/>
      <c r="CDN83" s="684"/>
      <c r="CDO83" s="684"/>
      <c r="CDP83" s="684"/>
      <c r="CDQ83" s="684"/>
      <c r="CDR83" s="684"/>
      <c r="CDS83" s="684"/>
      <c r="CDT83" s="684"/>
      <c r="CDU83" s="684"/>
      <c r="CDV83" s="684"/>
      <c r="CDW83" s="684"/>
      <c r="CDX83" s="684"/>
      <c r="CDY83" s="684"/>
      <c r="CDZ83" s="684"/>
      <c r="CEA83" s="684"/>
      <c r="CEB83" s="684"/>
      <c r="CEC83" s="684"/>
      <c r="CED83" s="684"/>
      <c r="CEE83" s="684"/>
      <c r="CEF83" s="684"/>
      <c r="CEG83" s="684"/>
      <c r="CEH83" s="684"/>
      <c r="CEI83" s="684"/>
      <c r="CEJ83" s="684"/>
      <c r="CEK83" s="684"/>
      <c r="CEL83" s="684"/>
      <c r="CEM83" s="684"/>
      <c r="CEN83" s="684"/>
      <c r="CEO83" s="684"/>
      <c r="CEP83" s="684"/>
      <c r="CEQ83" s="684"/>
      <c r="CER83" s="684"/>
      <c r="CES83" s="684"/>
      <c r="CET83" s="684"/>
      <c r="CEU83" s="684"/>
      <c r="CEV83" s="684"/>
      <c r="CEW83" s="684"/>
      <c r="CEX83" s="684"/>
      <c r="CEY83" s="684"/>
      <c r="CEZ83" s="684"/>
      <c r="CFA83" s="684"/>
      <c r="CFB83" s="684"/>
      <c r="CFC83" s="684"/>
      <c r="CFD83" s="684"/>
      <c r="CFE83" s="684"/>
      <c r="CFF83" s="684"/>
      <c r="CFG83" s="684"/>
      <c r="CFH83" s="684"/>
      <c r="CFI83" s="684"/>
      <c r="CFJ83" s="684"/>
      <c r="CFK83" s="684"/>
      <c r="CFL83" s="684"/>
      <c r="CFM83" s="684"/>
      <c r="CFN83" s="684"/>
      <c r="CFO83" s="684"/>
      <c r="CFP83" s="684"/>
      <c r="CFQ83" s="684"/>
      <c r="CFR83" s="684"/>
      <c r="CFS83" s="684"/>
      <c r="CFT83" s="684"/>
      <c r="CFU83" s="684"/>
      <c r="CFV83" s="684"/>
      <c r="CFW83" s="684"/>
      <c r="CFX83" s="684"/>
      <c r="CFY83" s="684"/>
      <c r="CFZ83" s="684"/>
      <c r="CGA83" s="684"/>
      <c r="CGB83" s="684"/>
      <c r="CGC83" s="684"/>
      <c r="CGD83" s="684"/>
      <c r="CGE83" s="684"/>
      <c r="CGF83" s="684"/>
      <c r="CGG83" s="684"/>
      <c r="CGH83" s="684"/>
      <c r="CGI83" s="684"/>
      <c r="CGJ83" s="684"/>
      <c r="CGK83" s="684"/>
      <c r="CGL83" s="684"/>
      <c r="CGM83" s="684"/>
      <c r="CGN83" s="684"/>
      <c r="CGO83" s="684"/>
      <c r="CGP83" s="684"/>
      <c r="CGQ83" s="684"/>
      <c r="CGR83" s="684"/>
      <c r="CGS83" s="684"/>
      <c r="CGT83" s="684"/>
      <c r="CGU83" s="684"/>
      <c r="CGV83" s="684"/>
      <c r="CGW83" s="684"/>
      <c r="CGX83" s="684"/>
      <c r="CGY83" s="684"/>
      <c r="CGZ83" s="684"/>
      <c r="CHA83" s="684"/>
      <c r="CHB83" s="684"/>
      <c r="CHC83" s="684"/>
      <c r="CHD83" s="684"/>
      <c r="CHE83" s="684"/>
      <c r="CHF83" s="684"/>
      <c r="CHG83" s="684"/>
      <c r="CHH83" s="684"/>
      <c r="CHI83" s="684"/>
      <c r="CHJ83" s="684"/>
      <c r="CHK83" s="684"/>
      <c r="CHL83" s="684"/>
      <c r="CHM83" s="684"/>
      <c r="CHN83" s="684"/>
      <c r="CHO83" s="684"/>
      <c r="CHP83" s="684"/>
      <c r="CHQ83" s="684"/>
      <c r="CHR83" s="684"/>
      <c r="CHS83" s="684"/>
      <c r="CHT83" s="684"/>
      <c r="CHU83" s="684"/>
      <c r="CHV83" s="684"/>
      <c r="CHW83" s="684"/>
      <c r="CHX83" s="684"/>
      <c r="CHY83" s="684"/>
      <c r="CHZ83" s="684"/>
      <c r="CIA83" s="684"/>
      <c r="CIB83" s="684"/>
      <c r="CIC83" s="684"/>
      <c r="CID83" s="684"/>
      <c r="CIE83" s="684"/>
      <c r="CIF83" s="684"/>
      <c r="CIG83" s="684"/>
      <c r="CIH83" s="684"/>
      <c r="CII83" s="684"/>
      <c r="CIJ83" s="684"/>
      <c r="CIK83" s="684"/>
      <c r="CIL83" s="684"/>
      <c r="CIM83" s="684"/>
      <c r="CIN83" s="684"/>
      <c r="CIO83" s="684"/>
      <c r="CIP83" s="684"/>
      <c r="CIQ83" s="684"/>
      <c r="CIR83" s="684"/>
      <c r="CIS83" s="684"/>
      <c r="CIT83" s="684"/>
      <c r="CIU83" s="684"/>
      <c r="CIV83" s="684"/>
      <c r="CIW83" s="684"/>
      <c r="CIX83" s="684"/>
      <c r="CIY83" s="684"/>
      <c r="CIZ83" s="684"/>
      <c r="CJA83" s="684"/>
      <c r="CJB83" s="684"/>
      <c r="CJC83" s="684"/>
      <c r="CJD83" s="684"/>
      <c r="CJE83" s="684"/>
      <c r="CJF83" s="684"/>
      <c r="CJG83" s="684"/>
      <c r="CJH83" s="684"/>
      <c r="CJI83" s="684"/>
      <c r="CJJ83" s="684"/>
      <c r="CJK83" s="684"/>
      <c r="CJL83" s="684"/>
      <c r="CJM83" s="684"/>
      <c r="CJN83" s="684"/>
      <c r="CJO83" s="684"/>
      <c r="CJP83" s="684"/>
      <c r="CJQ83" s="684"/>
      <c r="CJR83" s="684"/>
      <c r="CJS83" s="684"/>
      <c r="CJT83" s="684"/>
      <c r="CJU83" s="684"/>
      <c r="CJV83" s="684"/>
      <c r="CJW83" s="684"/>
      <c r="CJX83" s="684"/>
      <c r="CJY83" s="684"/>
      <c r="CJZ83" s="684"/>
      <c r="CKA83" s="684"/>
      <c r="CKB83" s="684"/>
      <c r="CKC83" s="684"/>
      <c r="CKD83" s="684"/>
      <c r="CKE83" s="684"/>
      <c r="CKF83" s="684"/>
      <c r="CKG83" s="684"/>
      <c r="CKH83" s="684"/>
      <c r="CKI83" s="684"/>
      <c r="CKJ83" s="684"/>
      <c r="CKK83" s="684"/>
      <c r="CKL83" s="684"/>
      <c r="CKM83" s="684"/>
      <c r="CKN83" s="684"/>
      <c r="CKO83" s="684"/>
      <c r="CKP83" s="684"/>
      <c r="CKQ83" s="684"/>
      <c r="CKR83" s="684"/>
      <c r="CKS83" s="684"/>
      <c r="CKT83" s="684"/>
      <c r="CKU83" s="684"/>
      <c r="CKV83" s="684"/>
      <c r="CKW83" s="684"/>
      <c r="CKX83" s="684"/>
      <c r="CKY83" s="684"/>
      <c r="CKZ83" s="684"/>
      <c r="CLA83" s="684"/>
      <c r="CLB83" s="684"/>
      <c r="CLC83" s="684"/>
      <c r="CLD83" s="684"/>
      <c r="CLE83" s="684"/>
      <c r="CLF83" s="684"/>
      <c r="CLG83" s="684"/>
      <c r="CLH83" s="684"/>
      <c r="CLI83" s="684"/>
      <c r="CLJ83" s="684"/>
      <c r="CLK83" s="684"/>
      <c r="CLL83" s="684"/>
      <c r="CLM83" s="684"/>
      <c r="CLN83" s="684"/>
      <c r="CLO83" s="684"/>
      <c r="CLP83" s="684"/>
      <c r="CLQ83" s="684"/>
      <c r="CLR83" s="684"/>
      <c r="CLS83" s="684"/>
      <c r="CLT83" s="684"/>
      <c r="CLU83" s="684"/>
      <c r="CLV83" s="684"/>
      <c r="CLW83" s="684"/>
      <c r="CLX83" s="684"/>
      <c r="CLY83" s="684"/>
      <c r="CLZ83" s="684"/>
      <c r="CMA83" s="684"/>
      <c r="CMB83" s="684"/>
      <c r="CMC83" s="684"/>
      <c r="CMD83" s="684"/>
      <c r="CME83" s="684"/>
      <c r="CMF83" s="684"/>
      <c r="CMG83" s="684"/>
      <c r="CMH83" s="684"/>
      <c r="CMI83" s="684"/>
      <c r="CMJ83" s="684"/>
      <c r="CMK83" s="684"/>
      <c r="CML83" s="684"/>
      <c r="CMM83" s="684"/>
      <c r="CMN83" s="684"/>
      <c r="CMO83" s="684"/>
      <c r="CMP83" s="684"/>
      <c r="CMQ83" s="684"/>
      <c r="CMR83" s="684"/>
      <c r="CMS83" s="684"/>
      <c r="CMT83" s="684"/>
      <c r="CMU83" s="684"/>
      <c r="CMV83" s="684"/>
      <c r="CMW83" s="684"/>
      <c r="CMX83" s="684"/>
      <c r="CMY83" s="684"/>
      <c r="CMZ83" s="684"/>
      <c r="CNA83" s="684"/>
      <c r="CNB83" s="684"/>
      <c r="CNC83" s="684"/>
      <c r="CND83" s="684"/>
      <c r="CNE83" s="684"/>
      <c r="CNF83" s="684"/>
      <c r="CNG83" s="684"/>
      <c r="CNH83" s="684"/>
      <c r="CNI83" s="684"/>
      <c r="CNJ83" s="684"/>
      <c r="CNK83" s="684"/>
      <c r="CNL83" s="684"/>
      <c r="CNM83" s="684"/>
      <c r="CNN83" s="684"/>
      <c r="CNO83" s="684"/>
      <c r="CNP83" s="684"/>
      <c r="CNQ83" s="684"/>
      <c r="CNR83" s="684"/>
      <c r="CNS83" s="684"/>
      <c r="CNT83" s="684"/>
      <c r="CNU83" s="684"/>
      <c r="CNV83" s="684"/>
      <c r="CNW83" s="684"/>
      <c r="CNX83" s="684"/>
      <c r="CNY83" s="684"/>
      <c r="CNZ83" s="684"/>
      <c r="COA83" s="684"/>
      <c r="COB83" s="684"/>
      <c r="COC83" s="684"/>
      <c r="COD83" s="684"/>
      <c r="COE83" s="684"/>
      <c r="COF83" s="684"/>
      <c r="COG83" s="684"/>
      <c r="COH83" s="684"/>
      <c r="COI83" s="684"/>
      <c r="COJ83" s="684"/>
      <c r="COK83" s="684"/>
      <c r="COL83" s="684"/>
      <c r="COM83" s="684"/>
      <c r="CON83" s="684"/>
      <c r="COO83" s="684"/>
      <c r="COP83" s="684"/>
      <c r="COQ83" s="684"/>
      <c r="COR83" s="684"/>
      <c r="COS83" s="684"/>
      <c r="COT83" s="684"/>
      <c r="COU83" s="684"/>
      <c r="COV83" s="684"/>
      <c r="COW83" s="684"/>
      <c r="COX83" s="684"/>
      <c r="COY83" s="684"/>
      <c r="COZ83" s="684"/>
      <c r="CPA83" s="684"/>
      <c r="CPB83" s="684"/>
      <c r="CPC83" s="684"/>
      <c r="CPD83" s="684"/>
      <c r="CPE83" s="684"/>
      <c r="CPF83" s="684"/>
      <c r="CPG83" s="684"/>
      <c r="CPH83" s="684"/>
      <c r="CPI83" s="684"/>
      <c r="CPJ83" s="684"/>
      <c r="CPK83" s="684"/>
      <c r="CPL83" s="684"/>
      <c r="CPM83" s="684"/>
      <c r="CPN83" s="684"/>
      <c r="CPO83" s="684"/>
      <c r="CPP83" s="684"/>
      <c r="CPQ83" s="684"/>
      <c r="CPR83" s="684"/>
      <c r="CPS83" s="684"/>
      <c r="CPT83" s="684"/>
      <c r="CPU83" s="684"/>
      <c r="CPV83" s="684"/>
      <c r="CPW83" s="684"/>
      <c r="CPX83" s="684"/>
      <c r="CPY83" s="684"/>
      <c r="CPZ83" s="684"/>
      <c r="CQA83" s="684"/>
      <c r="CQB83" s="684"/>
      <c r="CQC83" s="684"/>
      <c r="CQD83" s="684"/>
      <c r="CQE83" s="684"/>
      <c r="CQF83" s="684"/>
      <c r="CQG83" s="684"/>
      <c r="CQH83" s="684"/>
      <c r="CQI83" s="684"/>
      <c r="CQJ83" s="684"/>
      <c r="CQK83" s="684"/>
      <c r="CQL83" s="684"/>
      <c r="CQM83" s="684"/>
      <c r="CQN83" s="684"/>
      <c r="CQO83" s="684"/>
      <c r="CQP83" s="684"/>
      <c r="CQQ83" s="684"/>
      <c r="CQR83" s="684"/>
      <c r="CQS83" s="684"/>
      <c r="CQT83" s="684"/>
      <c r="CQU83" s="684"/>
      <c r="CQV83" s="684"/>
      <c r="CQW83" s="684"/>
      <c r="CQX83" s="684"/>
      <c r="CQY83" s="684"/>
      <c r="CQZ83" s="684"/>
      <c r="CRA83" s="684"/>
      <c r="CRB83" s="684"/>
      <c r="CRC83" s="684"/>
      <c r="CRD83" s="684"/>
      <c r="CRE83" s="684"/>
      <c r="CRF83" s="684"/>
      <c r="CRG83" s="684"/>
      <c r="CRH83" s="684"/>
      <c r="CRI83" s="684"/>
      <c r="CRJ83" s="684"/>
      <c r="CRK83" s="684"/>
      <c r="CRL83" s="684"/>
      <c r="CRM83" s="684"/>
      <c r="CRN83" s="684"/>
      <c r="CRO83" s="684"/>
      <c r="CRP83" s="684"/>
      <c r="CRQ83" s="684"/>
      <c r="CRR83" s="684"/>
      <c r="CRS83" s="684"/>
      <c r="CRT83" s="684"/>
      <c r="CRU83" s="684"/>
      <c r="CRV83" s="684"/>
      <c r="CRW83" s="684"/>
      <c r="CRX83" s="684"/>
      <c r="CRY83" s="684"/>
      <c r="CRZ83" s="684"/>
      <c r="CSA83" s="684"/>
      <c r="CSB83" s="684"/>
      <c r="CSC83" s="684"/>
      <c r="CSD83" s="684"/>
      <c r="CSE83" s="684"/>
      <c r="CSF83" s="684"/>
      <c r="CSG83" s="684"/>
      <c r="CSH83" s="684"/>
      <c r="CSI83" s="684"/>
      <c r="CSJ83" s="684"/>
      <c r="CSK83" s="684"/>
      <c r="CSL83" s="684"/>
      <c r="CSM83" s="684"/>
      <c r="CSN83" s="684"/>
      <c r="CSO83" s="684"/>
      <c r="CSP83" s="684"/>
      <c r="CSQ83" s="684"/>
      <c r="CSR83" s="684"/>
      <c r="CSS83" s="684"/>
      <c r="CST83" s="684"/>
      <c r="CSU83" s="684"/>
      <c r="CSV83" s="684"/>
      <c r="CSW83" s="684"/>
      <c r="CSX83" s="684"/>
      <c r="CSY83" s="684"/>
      <c r="CSZ83" s="684"/>
      <c r="CTA83" s="684"/>
      <c r="CTB83" s="684"/>
      <c r="CTC83" s="684"/>
      <c r="CTD83" s="684"/>
      <c r="CTE83" s="684"/>
      <c r="CTF83" s="684"/>
      <c r="CTG83" s="684"/>
      <c r="CTH83" s="684"/>
      <c r="CTI83" s="684"/>
      <c r="CTJ83" s="684"/>
      <c r="CTK83" s="684"/>
      <c r="CTL83" s="684"/>
      <c r="CTM83" s="684"/>
      <c r="CTN83" s="684"/>
      <c r="CTO83" s="684"/>
      <c r="CTP83" s="684"/>
      <c r="CTQ83" s="684"/>
      <c r="CTR83" s="684"/>
      <c r="CTS83" s="684"/>
      <c r="CTT83" s="684"/>
      <c r="CTU83" s="684"/>
      <c r="CTV83" s="684"/>
      <c r="CTW83" s="684"/>
      <c r="CTX83" s="684"/>
      <c r="CTY83" s="684"/>
      <c r="CTZ83" s="684"/>
      <c r="CUA83" s="684"/>
      <c r="CUB83" s="684"/>
      <c r="CUC83" s="684"/>
      <c r="CUD83" s="684"/>
      <c r="CUE83" s="684"/>
      <c r="CUF83" s="684"/>
      <c r="CUG83" s="684"/>
      <c r="CUH83" s="684"/>
      <c r="CUI83" s="684"/>
      <c r="CUJ83" s="684"/>
      <c r="CUK83" s="684"/>
      <c r="CUL83" s="684"/>
      <c r="CUM83" s="684"/>
      <c r="CUN83" s="684"/>
      <c r="CUO83" s="684"/>
      <c r="CUP83" s="684"/>
      <c r="CUQ83" s="684"/>
      <c r="CUR83" s="684"/>
      <c r="CUS83" s="684"/>
      <c r="CUT83" s="684"/>
      <c r="CUU83" s="684"/>
      <c r="CUV83" s="684"/>
      <c r="CUW83" s="684"/>
      <c r="CUX83" s="684"/>
      <c r="CUY83" s="684"/>
      <c r="CUZ83" s="684"/>
      <c r="CVA83" s="684"/>
      <c r="CVB83" s="684"/>
      <c r="CVC83" s="684"/>
      <c r="CVD83" s="684"/>
      <c r="CVE83" s="684"/>
      <c r="CVF83" s="684"/>
      <c r="CVG83" s="684"/>
      <c r="CVH83" s="684"/>
      <c r="CVI83" s="684"/>
      <c r="CVJ83" s="684"/>
      <c r="CVK83" s="684"/>
      <c r="CVL83" s="684"/>
      <c r="CVM83" s="684"/>
      <c r="CVN83" s="684"/>
      <c r="CVO83" s="684"/>
      <c r="CVP83" s="684"/>
      <c r="CVQ83" s="684"/>
      <c r="CVR83" s="684"/>
      <c r="CVS83" s="684"/>
      <c r="CVT83" s="684"/>
      <c r="CVU83" s="684"/>
      <c r="CVV83" s="684"/>
      <c r="CVW83" s="684"/>
      <c r="CVX83" s="684"/>
      <c r="CVY83" s="684"/>
      <c r="CVZ83" s="684"/>
      <c r="CWA83" s="684"/>
      <c r="CWB83" s="684"/>
      <c r="CWC83" s="684"/>
      <c r="CWD83" s="684"/>
      <c r="CWE83" s="684"/>
      <c r="CWF83" s="684"/>
      <c r="CWG83" s="684"/>
      <c r="CWH83" s="684"/>
      <c r="CWI83" s="684"/>
      <c r="CWJ83" s="684"/>
      <c r="CWK83" s="684"/>
      <c r="CWL83" s="684"/>
      <c r="CWM83" s="684"/>
      <c r="CWN83" s="684"/>
      <c r="CWO83" s="684"/>
      <c r="CWP83" s="684"/>
      <c r="CWQ83" s="684"/>
      <c r="CWR83" s="684"/>
      <c r="CWS83" s="684"/>
      <c r="CWT83" s="684"/>
      <c r="CWU83" s="684"/>
      <c r="CWV83" s="684"/>
      <c r="CWW83" s="684"/>
      <c r="CWX83" s="684"/>
      <c r="CWY83" s="684"/>
      <c r="CWZ83" s="684"/>
      <c r="CXA83" s="684"/>
      <c r="CXB83" s="684"/>
      <c r="CXC83" s="684"/>
      <c r="CXD83" s="684"/>
      <c r="CXE83" s="684"/>
      <c r="CXF83" s="684"/>
      <c r="CXG83" s="684"/>
      <c r="CXH83" s="684"/>
      <c r="CXI83" s="684"/>
      <c r="CXJ83" s="684"/>
      <c r="CXK83" s="684"/>
      <c r="CXL83" s="684"/>
      <c r="CXM83" s="684"/>
      <c r="CXN83" s="684"/>
      <c r="CXO83" s="684"/>
      <c r="CXP83" s="684"/>
      <c r="CXQ83" s="684"/>
      <c r="CXR83" s="684"/>
      <c r="CXS83" s="684"/>
      <c r="CXT83" s="684"/>
      <c r="CXU83" s="684"/>
      <c r="CXV83" s="684"/>
      <c r="CXW83" s="684"/>
      <c r="CXX83" s="684"/>
      <c r="CXY83" s="684"/>
      <c r="CXZ83" s="684"/>
      <c r="CYA83" s="684"/>
      <c r="CYB83" s="684"/>
      <c r="CYC83" s="684"/>
      <c r="CYD83" s="684"/>
      <c r="CYE83" s="684"/>
      <c r="CYF83" s="684"/>
      <c r="CYG83" s="684"/>
      <c r="CYH83" s="684"/>
      <c r="CYI83" s="684"/>
      <c r="CYJ83" s="684"/>
      <c r="CYK83" s="684"/>
      <c r="CYL83" s="684"/>
      <c r="CYM83" s="684"/>
      <c r="CYN83" s="684"/>
      <c r="CYO83" s="684"/>
      <c r="CYP83" s="684"/>
      <c r="CYQ83" s="684"/>
      <c r="CYR83" s="684"/>
      <c r="CYS83" s="684"/>
      <c r="CYT83" s="684"/>
      <c r="CYU83" s="684"/>
      <c r="CYV83" s="684"/>
      <c r="CYW83" s="684"/>
      <c r="CYX83" s="684"/>
      <c r="CYY83" s="684"/>
      <c r="CYZ83" s="684"/>
      <c r="CZA83" s="684"/>
      <c r="CZB83" s="684"/>
      <c r="CZC83" s="684"/>
      <c r="CZD83" s="684"/>
      <c r="CZE83" s="684"/>
      <c r="CZF83" s="684"/>
      <c r="CZG83" s="684"/>
      <c r="CZH83" s="684"/>
      <c r="CZI83" s="684"/>
      <c r="CZJ83" s="684"/>
      <c r="CZK83" s="684"/>
      <c r="CZL83" s="684"/>
      <c r="CZM83" s="684"/>
      <c r="CZN83" s="684"/>
      <c r="CZO83" s="684"/>
      <c r="CZP83" s="684"/>
      <c r="CZQ83" s="684"/>
      <c r="CZR83" s="684"/>
      <c r="CZS83" s="684"/>
      <c r="CZT83" s="684"/>
      <c r="CZU83" s="684"/>
      <c r="CZV83" s="684"/>
      <c r="CZW83" s="684"/>
      <c r="CZX83" s="684"/>
      <c r="CZY83" s="684"/>
      <c r="CZZ83" s="684"/>
      <c r="DAA83" s="684"/>
      <c r="DAB83" s="684"/>
      <c r="DAC83" s="684"/>
      <c r="DAD83" s="684"/>
      <c r="DAE83" s="684"/>
      <c r="DAF83" s="684"/>
      <c r="DAG83" s="684"/>
      <c r="DAH83" s="684"/>
      <c r="DAI83" s="684"/>
      <c r="DAJ83" s="684"/>
      <c r="DAK83" s="684"/>
      <c r="DAL83" s="684"/>
      <c r="DAM83" s="684"/>
      <c r="DAN83" s="684"/>
      <c r="DAO83" s="684"/>
      <c r="DAP83" s="684"/>
      <c r="DAQ83" s="684"/>
      <c r="DAR83" s="684"/>
      <c r="DAS83" s="684"/>
      <c r="DAT83" s="684"/>
      <c r="DAU83" s="684"/>
      <c r="DAV83" s="684"/>
      <c r="DAW83" s="684"/>
      <c r="DAX83" s="684"/>
      <c r="DAY83" s="684"/>
      <c r="DAZ83" s="684"/>
      <c r="DBA83" s="684"/>
      <c r="DBB83" s="684"/>
      <c r="DBC83" s="684"/>
      <c r="DBD83" s="684"/>
      <c r="DBE83" s="684"/>
      <c r="DBF83" s="684"/>
      <c r="DBG83" s="684"/>
      <c r="DBH83" s="684"/>
      <c r="DBI83" s="684"/>
      <c r="DBJ83" s="684"/>
      <c r="DBK83" s="684"/>
      <c r="DBL83" s="684"/>
      <c r="DBM83" s="684"/>
      <c r="DBN83" s="684"/>
      <c r="DBO83" s="684"/>
      <c r="DBP83" s="684"/>
      <c r="DBQ83" s="684"/>
      <c r="DBR83" s="684"/>
      <c r="DBS83" s="684"/>
      <c r="DBT83" s="684"/>
      <c r="DBU83" s="684"/>
      <c r="DBV83" s="684"/>
      <c r="DBW83" s="684"/>
      <c r="DBX83" s="684"/>
      <c r="DBY83" s="684"/>
      <c r="DBZ83" s="684"/>
      <c r="DCA83" s="684"/>
      <c r="DCB83" s="684"/>
      <c r="DCC83" s="684"/>
      <c r="DCD83" s="684"/>
      <c r="DCE83" s="684"/>
      <c r="DCF83" s="684"/>
      <c r="DCG83" s="684"/>
      <c r="DCH83" s="684"/>
      <c r="DCI83" s="684"/>
      <c r="DCJ83" s="684"/>
      <c r="DCK83" s="684"/>
      <c r="DCL83" s="684"/>
      <c r="DCM83" s="684"/>
      <c r="DCN83" s="684"/>
      <c r="DCO83" s="684"/>
      <c r="DCP83" s="684"/>
      <c r="DCQ83" s="684"/>
      <c r="DCR83" s="684"/>
      <c r="DCS83" s="684"/>
      <c r="DCT83" s="684"/>
      <c r="DCU83" s="684"/>
      <c r="DCV83" s="684"/>
      <c r="DCW83" s="684"/>
      <c r="DCX83" s="684"/>
      <c r="DCY83" s="684"/>
      <c r="DCZ83" s="684"/>
      <c r="DDA83" s="684"/>
      <c r="DDB83" s="684"/>
      <c r="DDC83" s="684"/>
      <c r="DDD83" s="684"/>
      <c r="DDE83" s="684"/>
      <c r="DDF83" s="684"/>
      <c r="DDG83" s="684"/>
      <c r="DDH83" s="684"/>
      <c r="DDI83" s="684"/>
      <c r="DDJ83" s="684"/>
      <c r="DDK83" s="684"/>
      <c r="DDL83" s="684"/>
      <c r="DDM83" s="684"/>
      <c r="DDN83" s="684"/>
      <c r="DDO83" s="684"/>
      <c r="DDP83" s="684"/>
      <c r="DDQ83" s="684"/>
      <c r="DDR83" s="684"/>
      <c r="DDS83" s="684"/>
      <c r="DDT83" s="684"/>
      <c r="DDU83" s="684"/>
      <c r="DDV83" s="684"/>
      <c r="DDW83" s="684"/>
      <c r="DDX83" s="684"/>
      <c r="DDY83" s="684"/>
      <c r="DDZ83" s="684"/>
      <c r="DEA83" s="684"/>
      <c r="DEB83" s="684"/>
      <c r="DEC83" s="684"/>
      <c r="DED83" s="684"/>
      <c r="DEE83" s="684"/>
      <c r="DEF83" s="684"/>
      <c r="DEG83" s="684"/>
      <c r="DEH83" s="684"/>
      <c r="DEI83" s="684"/>
      <c r="DEJ83" s="684"/>
      <c r="DEK83" s="684"/>
      <c r="DEL83" s="684"/>
      <c r="DEM83" s="684"/>
      <c r="DEN83" s="684"/>
      <c r="DEO83" s="684"/>
      <c r="DEP83" s="684"/>
      <c r="DEQ83" s="684"/>
      <c r="DER83" s="684"/>
      <c r="DES83" s="684"/>
      <c r="DET83" s="684"/>
      <c r="DEU83" s="684"/>
      <c r="DEV83" s="684"/>
      <c r="DEW83" s="684"/>
      <c r="DEX83" s="684"/>
      <c r="DEY83" s="684"/>
      <c r="DEZ83" s="684"/>
      <c r="DFA83" s="684"/>
      <c r="DFB83" s="684"/>
      <c r="DFC83" s="684"/>
      <c r="DFD83" s="684"/>
      <c r="DFE83" s="684"/>
      <c r="DFF83" s="684"/>
      <c r="DFG83" s="684"/>
      <c r="DFH83" s="684"/>
      <c r="DFI83" s="684"/>
      <c r="DFJ83" s="684"/>
      <c r="DFK83" s="684"/>
      <c r="DFL83" s="684"/>
      <c r="DFM83" s="684"/>
      <c r="DFN83" s="684"/>
      <c r="DFO83" s="684"/>
      <c r="DFP83" s="684"/>
      <c r="DFQ83" s="684"/>
      <c r="DFR83" s="684"/>
      <c r="DFS83" s="684"/>
      <c r="DFT83" s="684"/>
      <c r="DFU83" s="684"/>
      <c r="DFV83" s="684"/>
      <c r="DFW83" s="684"/>
      <c r="DFX83" s="684"/>
      <c r="DFY83" s="684"/>
      <c r="DFZ83" s="684"/>
      <c r="DGA83" s="684"/>
      <c r="DGB83" s="684"/>
      <c r="DGC83" s="684"/>
      <c r="DGD83" s="684"/>
      <c r="DGE83" s="684"/>
      <c r="DGF83" s="684"/>
      <c r="DGG83" s="684"/>
      <c r="DGH83" s="684"/>
      <c r="DGI83" s="684"/>
      <c r="DGJ83" s="684"/>
      <c r="DGK83" s="684"/>
      <c r="DGL83" s="684"/>
      <c r="DGM83" s="684"/>
      <c r="DGN83" s="684"/>
      <c r="DGO83" s="684"/>
      <c r="DGP83" s="684"/>
      <c r="DGQ83" s="684"/>
      <c r="DGR83" s="684"/>
      <c r="DGS83" s="684"/>
      <c r="DGT83" s="684"/>
      <c r="DGU83" s="684"/>
      <c r="DGV83" s="684"/>
      <c r="DGW83" s="684"/>
      <c r="DGX83" s="684"/>
      <c r="DGY83" s="684"/>
      <c r="DGZ83" s="684"/>
      <c r="DHA83" s="684"/>
      <c r="DHB83" s="684"/>
      <c r="DHC83" s="684"/>
      <c r="DHD83" s="684"/>
      <c r="DHE83" s="684"/>
      <c r="DHF83" s="684"/>
      <c r="DHG83" s="684"/>
      <c r="DHH83" s="684"/>
      <c r="DHI83" s="684"/>
      <c r="DHJ83" s="684"/>
      <c r="DHK83" s="684"/>
      <c r="DHL83" s="684"/>
      <c r="DHM83" s="684"/>
      <c r="DHN83" s="684"/>
      <c r="DHO83" s="684"/>
      <c r="DHP83" s="684"/>
      <c r="DHQ83" s="684"/>
      <c r="DHR83" s="684"/>
      <c r="DHS83" s="684"/>
      <c r="DHT83" s="684"/>
      <c r="DHU83" s="684"/>
      <c r="DHV83" s="684"/>
      <c r="DHW83" s="684"/>
      <c r="DHX83" s="684"/>
      <c r="DHY83" s="684"/>
      <c r="DHZ83" s="684"/>
      <c r="DIA83" s="684"/>
      <c r="DIB83" s="684"/>
      <c r="DIC83" s="684"/>
      <c r="DID83" s="684"/>
      <c r="DIE83" s="684"/>
      <c r="DIF83" s="684"/>
      <c r="DIG83" s="684"/>
      <c r="DIH83" s="684"/>
      <c r="DII83" s="684"/>
      <c r="DIJ83" s="684"/>
      <c r="DIK83" s="684"/>
      <c r="DIL83" s="684"/>
      <c r="DIM83" s="684"/>
      <c r="DIN83" s="684"/>
      <c r="DIO83" s="684"/>
      <c r="DIP83" s="684"/>
      <c r="DIQ83" s="684"/>
      <c r="DIR83" s="684"/>
      <c r="DIS83" s="684"/>
      <c r="DIT83" s="684"/>
      <c r="DIU83" s="684"/>
      <c r="DIV83" s="684"/>
      <c r="DIW83" s="684"/>
      <c r="DIX83" s="684"/>
      <c r="DIY83" s="684"/>
      <c r="DIZ83" s="684"/>
      <c r="DJA83" s="684"/>
      <c r="DJB83" s="684"/>
      <c r="DJC83" s="684"/>
      <c r="DJD83" s="684"/>
      <c r="DJE83" s="684"/>
      <c r="DJF83" s="684"/>
      <c r="DJG83" s="684"/>
      <c r="DJH83" s="684"/>
      <c r="DJI83" s="684"/>
      <c r="DJJ83" s="684"/>
      <c r="DJK83" s="684"/>
      <c r="DJL83" s="684"/>
      <c r="DJM83" s="684"/>
      <c r="DJN83" s="684"/>
      <c r="DJO83" s="684"/>
      <c r="DJP83" s="684"/>
      <c r="DJQ83" s="684"/>
      <c r="DJR83" s="684"/>
      <c r="DJS83" s="684"/>
      <c r="DJT83" s="684"/>
      <c r="DJU83" s="684"/>
      <c r="DJV83" s="684"/>
      <c r="DJW83" s="684"/>
      <c r="DJX83" s="684"/>
      <c r="DJY83" s="684"/>
      <c r="DJZ83" s="684"/>
      <c r="DKA83" s="684"/>
      <c r="DKB83" s="684"/>
      <c r="DKC83" s="684"/>
      <c r="DKD83" s="684"/>
      <c r="DKE83" s="684"/>
      <c r="DKF83" s="684"/>
      <c r="DKG83" s="684"/>
      <c r="DKH83" s="684"/>
      <c r="DKI83" s="684"/>
      <c r="DKJ83" s="684"/>
      <c r="DKK83" s="684"/>
      <c r="DKL83" s="684"/>
      <c r="DKM83" s="684"/>
      <c r="DKN83" s="684"/>
      <c r="DKO83" s="684"/>
      <c r="DKP83" s="684"/>
      <c r="DKQ83" s="684"/>
      <c r="DKR83" s="684"/>
      <c r="DKS83" s="684"/>
      <c r="DKT83" s="684"/>
      <c r="DKU83" s="684"/>
      <c r="DKV83" s="684"/>
      <c r="DKW83" s="684"/>
      <c r="DKX83" s="684"/>
      <c r="DKY83" s="684"/>
      <c r="DKZ83" s="684"/>
      <c r="DLA83" s="684"/>
      <c r="DLB83" s="684"/>
      <c r="DLC83" s="684"/>
      <c r="DLD83" s="684"/>
      <c r="DLE83" s="684"/>
      <c r="DLF83" s="684"/>
      <c r="DLG83" s="684"/>
      <c r="DLH83" s="684"/>
      <c r="DLI83" s="684"/>
      <c r="DLJ83" s="684"/>
      <c r="DLK83" s="684"/>
      <c r="DLL83" s="684"/>
      <c r="DLM83" s="684"/>
      <c r="DLN83" s="684"/>
      <c r="DLO83" s="684"/>
      <c r="DLP83" s="684"/>
      <c r="DLQ83" s="684"/>
      <c r="DLR83" s="684"/>
      <c r="DLS83" s="684"/>
      <c r="DLT83" s="684"/>
      <c r="DLU83" s="684"/>
      <c r="DLV83" s="684"/>
      <c r="DLW83" s="684"/>
      <c r="DLX83" s="684"/>
      <c r="DLY83" s="684"/>
      <c r="DLZ83" s="684"/>
      <c r="DMA83" s="684"/>
      <c r="DMB83" s="684"/>
      <c r="DMC83" s="684"/>
      <c r="DMD83" s="684"/>
      <c r="DME83" s="684"/>
      <c r="DMF83" s="684"/>
      <c r="DMG83" s="684"/>
      <c r="DMH83" s="684"/>
      <c r="DMI83" s="684"/>
      <c r="DMJ83" s="684"/>
      <c r="DMK83" s="684"/>
      <c r="DML83" s="684"/>
      <c r="DMM83" s="684"/>
      <c r="DMN83" s="684"/>
      <c r="DMO83" s="684"/>
      <c r="DMP83" s="684"/>
      <c r="DMQ83" s="684"/>
      <c r="DMR83" s="684"/>
      <c r="DMS83" s="684"/>
      <c r="DMT83" s="684"/>
      <c r="DMU83" s="684"/>
      <c r="DMV83" s="684"/>
      <c r="DMW83" s="684"/>
      <c r="DMX83" s="684"/>
      <c r="DMY83" s="684"/>
      <c r="DMZ83" s="684"/>
      <c r="DNA83" s="684"/>
      <c r="DNB83" s="684"/>
      <c r="DNC83" s="684"/>
      <c r="DND83" s="684"/>
      <c r="DNE83" s="684"/>
      <c r="DNF83" s="684"/>
      <c r="DNG83" s="684"/>
      <c r="DNH83" s="684"/>
      <c r="DNI83" s="684"/>
      <c r="DNJ83" s="684"/>
      <c r="DNK83" s="684"/>
      <c r="DNL83" s="684"/>
      <c r="DNM83" s="684"/>
      <c r="DNN83" s="684"/>
      <c r="DNO83" s="684"/>
      <c r="DNP83" s="684"/>
      <c r="DNQ83" s="684"/>
      <c r="DNR83" s="684"/>
      <c r="DNS83" s="684"/>
      <c r="DNT83" s="684"/>
      <c r="DNU83" s="684"/>
      <c r="DNV83" s="684"/>
      <c r="DNW83" s="684"/>
      <c r="DNX83" s="684"/>
      <c r="DNY83" s="684"/>
      <c r="DNZ83" s="684"/>
      <c r="DOA83" s="684"/>
      <c r="DOB83" s="684"/>
      <c r="DOC83" s="684"/>
      <c r="DOD83" s="684"/>
      <c r="DOE83" s="684"/>
      <c r="DOF83" s="684"/>
      <c r="DOG83" s="684"/>
      <c r="DOH83" s="684"/>
      <c r="DOI83" s="684"/>
      <c r="DOJ83" s="684"/>
      <c r="DOK83" s="684"/>
      <c r="DOL83" s="684"/>
      <c r="DOM83" s="684"/>
      <c r="DON83" s="684"/>
      <c r="DOO83" s="684"/>
      <c r="DOP83" s="684"/>
      <c r="DOQ83" s="684"/>
      <c r="DOR83" s="684"/>
      <c r="DOS83" s="684"/>
      <c r="DOT83" s="684"/>
      <c r="DOU83" s="684"/>
      <c r="DOV83" s="684"/>
      <c r="DOW83" s="684"/>
      <c r="DOX83" s="684"/>
      <c r="DOY83" s="684"/>
      <c r="DOZ83" s="684"/>
      <c r="DPA83" s="684"/>
      <c r="DPB83" s="684"/>
      <c r="DPC83" s="684"/>
      <c r="DPD83" s="684"/>
      <c r="DPE83" s="684"/>
      <c r="DPF83" s="684"/>
      <c r="DPG83" s="684"/>
      <c r="DPH83" s="684"/>
      <c r="DPI83" s="684"/>
      <c r="DPJ83" s="684"/>
      <c r="DPK83" s="684"/>
      <c r="DPL83" s="684"/>
      <c r="DPM83" s="684"/>
      <c r="DPN83" s="684"/>
      <c r="DPO83" s="684"/>
      <c r="DPP83" s="684"/>
      <c r="DPQ83" s="684"/>
      <c r="DPR83" s="684"/>
      <c r="DPS83" s="684"/>
      <c r="DPT83" s="684"/>
      <c r="DPU83" s="684"/>
      <c r="DPV83" s="684"/>
      <c r="DPW83" s="684"/>
      <c r="DPX83" s="684"/>
      <c r="DPY83" s="684"/>
      <c r="DPZ83" s="684"/>
      <c r="DQA83" s="684"/>
      <c r="DQB83" s="684"/>
      <c r="DQC83" s="684"/>
      <c r="DQD83" s="684"/>
      <c r="DQE83" s="684"/>
      <c r="DQF83" s="684"/>
      <c r="DQG83" s="684"/>
      <c r="DQH83" s="684"/>
      <c r="DQI83" s="684"/>
      <c r="DQJ83" s="684"/>
      <c r="DQK83" s="684"/>
      <c r="DQL83" s="684"/>
      <c r="DQM83" s="684"/>
      <c r="DQN83" s="684"/>
      <c r="DQO83" s="684"/>
      <c r="DQP83" s="684"/>
      <c r="DQQ83" s="684"/>
      <c r="DQR83" s="684"/>
      <c r="DQS83" s="684"/>
      <c r="DQT83" s="684"/>
      <c r="DQU83" s="684"/>
      <c r="DQV83" s="684"/>
      <c r="DQW83" s="684"/>
      <c r="DQX83" s="684"/>
      <c r="DQY83" s="684"/>
      <c r="DQZ83" s="684"/>
      <c r="DRA83" s="684"/>
      <c r="DRB83" s="684"/>
      <c r="DRC83" s="684"/>
      <c r="DRD83" s="684"/>
      <c r="DRE83" s="684"/>
      <c r="DRF83" s="684"/>
      <c r="DRG83" s="684"/>
      <c r="DRH83" s="684"/>
      <c r="DRI83" s="684"/>
      <c r="DRJ83" s="684"/>
      <c r="DRK83" s="684"/>
      <c r="DRL83" s="684"/>
      <c r="DRM83" s="684"/>
      <c r="DRN83" s="684"/>
      <c r="DRO83" s="684"/>
      <c r="DRP83" s="684"/>
      <c r="DRQ83" s="684"/>
      <c r="DRR83" s="684"/>
      <c r="DRS83" s="684"/>
      <c r="DRT83" s="684"/>
      <c r="DRU83" s="684"/>
      <c r="DRV83" s="684"/>
      <c r="DRW83" s="684"/>
      <c r="DRX83" s="684"/>
      <c r="DRY83" s="684"/>
      <c r="DRZ83" s="684"/>
      <c r="DSA83" s="684"/>
      <c r="DSB83" s="684"/>
      <c r="DSC83" s="684"/>
      <c r="DSD83" s="684"/>
      <c r="DSE83" s="684"/>
      <c r="DSF83" s="684"/>
      <c r="DSG83" s="684"/>
      <c r="DSH83" s="684"/>
      <c r="DSI83" s="684"/>
      <c r="DSJ83" s="684"/>
      <c r="DSK83" s="684"/>
      <c r="DSL83" s="684"/>
      <c r="DSM83" s="684"/>
      <c r="DSN83" s="684"/>
      <c r="DSO83" s="684"/>
      <c r="DSP83" s="684"/>
      <c r="DSQ83" s="684"/>
      <c r="DSR83" s="684"/>
      <c r="DSS83" s="684"/>
      <c r="DST83" s="684"/>
      <c r="DSU83" s="684"/>
      <c r="DSV83" s="684"/>
      <c r="DSW83" s="684"/>
      <c r="DSX83" s="684"/>
      <c r="DSY83" s="684"/>
      <c r="DSZ83" s="684"/>
      <c r="DTA83" s="684"/>
      <c r="DTB83" s="684"/>
      <c r="DTC83" s="684"/>
      <c r="DTD83" s="684"/>
      <c r="DTE83" s="684"/>
      <c r="DTF83" s="684"/>
      <c r="DTG83" s="684"/>
      <c r="DTH83" s="684"/>
      <c r="DTI83" s="684"/>
      <c r="DTJ83" s="684"/>
      <c r="DTK83" s="684"/>
      <c r="DTL83" s="684"/>
      <c r="DTM83" s="684"/>
      <c r="DTN83" s="684"/>
      <c r="DTO83" s="684"/>
      <c r="DTP83" s="684"/>
      <c r="DTQ83" s="684"/>
      <c r="DTR83" s="684"/>
      <c r="DTS83" s="684"/>
      <c r="DTT83" s="684"/>
      <c r="DTU83" s="684"/>
      <c r="DTV83" s="684"/>
      <c r="DTW83" s="684"/>
      <c r="DTX83" s="684"/>
      <c r="DTY83" s="684"/>
      <c r="DTZ83" s="684"/>
      <c r="DUA83" s="684"/>
      <c r="DUB83" s="684"/>
      <c r="DUC83" s="684"/>
      <c r="DUD83" s="684"/>
      <c r="DUE83" s="684"/>
      <c r="DUF83" s="684"/>
      <c r="DUG83" s="684"/>
      <c r="DUH83" s="684"/>
      <c r="DUI83" s="684"/>
      <c r="DUJ83" s="684"/>
      <c r="DUK83" s="684"/>
      <c r="DUL83" s="684"/>
      <c r="DUM83" s="684"/>
      <c r="DUN83" s="684"/>
      <c r="DUO83" s="684"/>
      <c r="DUP83" s="684"/>
      <c r="DUQ83" s="684"/>
      <c r="DUR83" s="684"/>
      <c r="DUS83" s="684"/>
      <c r="DUT83" s="684"/>
      <c r="DUU83" s="684"/>
      <c r="DUV83" s="684"/>
      <c r="DUW83" s="684"/>
      <c r="DUX83" s="684"/>
      <c r="DUY83" s="684"/>
      <c r="DUZ83" s="684"/>
      <c r="DVA83" s="684"/>
      <c r="DVB83" s="684"/>
      <c r="DVC83" s="684"/>
      <c r="DVD83" s="684"/>
      <c r="DVE83" s="684"/>
      <c r="DVF83" s="684"/>
      <c r="DVG83" s="684"/>
      <c r="DVH83" s="684"/>
      <c r="DVI83" s="684"/>
      <c r="DVJ83" s="684"/>
      <c r="DVK83" s="684"/>
      <c r="DVL83" s="684"/>
      <c r="DVM83" s="684"/>
      <c r="DVN83" s="684"/>
      <c r="DVO83" s="684"/>
      <c r="DVP83" s="684"/>
      <c r="DVQ83" s="684"/>
      <c r="DVR83" s="684"/>
      <c r="DVS83" s="684"/>
      <c r="DVT83" s="684"/>
      <c r="DVU83" s="684"/>
      <c r="DVV83" s="684"/>
      <c r="DVW83" s="684"/>
      <c r="DVX83" s="684"/>
      <c r="DVY83" s="684"/>
      <c r="DVZ83" s="684"/>
      <c r="DWA83" s="684"/>
      <c r="DWB83" s="684"/>
      <c r="DWC83" s="684"/>
      <c r="DWD83" s="684"/>
      <c r="DWE83" s="684"/>
      <c r="DWF83" s="684"/>
      <c r="DWG83" s="684"/>
      <c r="DWH83" s="684"/>
      <c r="DWI83" s="684"/>
      <c r="DWJ83" s="684"/>
      <c r="DWK83" s="684"/>
      <c r="DWL83" s="684"/>
      <c r="DWM83" s="684"/>
      <c r="DWN83" s="684"/>
      <c r="DWO83" s="684"/>
      <c r="DWP83" s="684"/>
      <c r="DWQ83" s="684"/>
      <c r="DWR83" s="684"/>
      <c r="DWS83" s="684"/>
      <c r="DWT83" s="684"/>
      <c r="DWU83" s="684"/>
      <c r="DWV83" s="684"/>
      <c r="DWW83" s="684"/>
      <c r="DWX83" s="684"/>
      <c r="DWY83" s="684"/>
      <c r="DWZ83" s="684"/>
      <c r="DXA83" s="684"/>
      <c r="DXB83" s="684"/>
      <c r="DXC83" s="684"/>
      <c r="DXD83" s="684"/>
      <c r="DXE83" s="684"/>
      <c r="DXF83" s="684"/>
      <c r="DXG83" s="684"/>
      <c r="DXH83" s="684"/>
      <c r="DXI83" s="684"/>
      <c r="DXJ83" s="684"/>
      <c r="DXK83" s="684"/>
      <c r="DXL83" s="684"/>
      <c r="DXM83" s="684"/>
      <c r="DXN83" s="684"/>
      <c r="DXO83" s="684"/>
      <c r="DXP83" s="684"/>
      <c r="DXQ83" s="684"/>
      <c r="DXR83" s="684"/>
      <c r="DXS83" s="684"/>
      <c r="DXT83" s="684"/>
      <c r="DXU83" s="684"/>
      <c r="DXV83" s="684"/>
      <c r="DXW83" s="684"/>
      <c r="DXX83" s="684"/>
      <c r="DXY83" s="684"/>
      <c r="DXZ83" s="684"/>
      <c r="DYA83" s="684"/>
      <c r="DYB83" s="684"/>
      <c r="DYC83" s="684"/>
      <c r="DYD83" s="684"/>
      <c r="DYE83" s="684"/>
      <c r="DYF83" s="684"/>
      <c r="DYG83" s="684"/>
      <c r="DYH83" s="684"/>
      <c r="DYI83" s="684"/>
      <c r="DYJ83" s="684"/>
      <c r="DYK83" s="684"/>
      <c r="DYL83" s="684"/>
      <c r="DYM83" s="684"/>
      <c r="DYN83" s="684"/>
      <c r="DYO83" s="684"/>
      <c r="DYP83" s="684"/>
      <c r="DYQ83" s="684"/>
      <c r="DYR83" s="684"/>
      <c r="DYS83" s="684"/>
      <c r="DYT83" s="684"/>
      <c r="DYU83" s="684"/>
      <c r="DYV83" s="684"/>
      <c r="DYW83" s="684"/>
      <c r="DYX83" s="684"/>
      <c r="DYY83" s="684"/>
      <c r="DYZ83" s="684"/>
      <c r="DZA83" s="684"/>
      <c r="DZB83" s="684"/>
      <c r="DZC83" s="684"/>
      <c r="DZD83" s="684"/>
      <c r="DZE83" s="684"/>
      <c r="DZF83" s="684"/>
      <c r="DZG83" s="684"/>
      <c r="DZH83" s="684"/>
      <c r="DZI83" s="684"/>
      <c r="DZJ83" s="684"/>
      <c r="DZK83" s="684"/>
      <c r="DZL83" s="684"/>
      <c r="DZM83" s="684"/>
      <c r="DZN83" s="684"/>
      <c r="DZO83" s="684"/>
      <c r="DZP83" s="684"/>
      <c r="DZQ83" s="684"/>
      <c r="DZR83" s="684"/>
      <c r="DZS83" s="684"/>
      <c r="DZT83" s="684"/>
      <c r="DZU83" s="684"/>
      <c r="DZV83" s="684"/>
      <c r="DZW83" s="684"/>
      <c r="DZX83" s="684"/>
      <c r="DZY83" s="684"/>
      <c r="DZZ83" s="684"/>
      <c r="EAA83" s="684"/>
      <c r="EAB83" s="684"/>
      <c r="EAC83" s="684"/>
      <c r="EAD83" s="684"/>
      <c r="EAE83" s="684"/>
      <c r="EAF83" s="684"/>
      <c r="EAG83" s="684"/>
      <c r="EAH83" s="684"/>
      <c r="EAI83" s="684"/>
      <c r="EAJ83" s="684"/>
      <c r="EAK83" s="684"/>
      <c r="EAL83" s="684"/>
      <c r="EAM83" s="684"/>
      <c r="EAN83" s="684"/>
      <c r="EAO83" s="684"/>
      <c r="EAP83" s="684"/>
      <c r="EAQ83" s="684"/>
      <c r="EAR83" s="684"/>
      <c r="EAS83" s="684"/>
      <c r="EAT83" s="684"/>
      <c r="EAU83" s="684"/>
      <c r="EAV83" s="684"/>
      <c r="EAW83" s="684"/>
      <c r="EAX83" s="684"/>
      <c r="EAY83" s="684"/>
      <c r="EAZ83" s="684"/>
      <c r="EBA83" s="684"/>
      <c r="EBB83" s="684"/>
      <c r="EBC83" s="684"/>
      <c r="EBD83" s="684"/>
      <c r="EBE83" s="684"/>
      <c r="EBF83" s="684"/>
      <c r="EBG83" s="684"/>
      <c r="EBH83" s="684"/>
      <c r="EBI83" s="684"/>
      <c r="EBJ83" s="684"/>
      <c r="EBK83" s="684"/>
      <c r="EBL83" s="684"/>
      <c r="EBM83" s="684"/>
      <c r="EBN83" s="684"/>
      <c r="EBO83" s="684"/>
      <c r="EBP83" s="684"/>
      <c r="EBQ83" s="684"/>
      <c r="EBR83" s="684"/>
      <c r="EBS83" s="684"/>
      <c r="EBT83" s="684"/>
      <c r="EBU83" s="684"/>
      <c r="EBV83" s="684"/>
      <c r="EBW83" s="684"/>
      <c r="EBX83" s="684"/>
      <c r="EBY83" s="684"/>
      <c r="EBZ83" s="684"/>
      <c r="ECA83" s="684"/>
      <c r="ECB83" s="684"/>
      <c r="ECC83" s="684"/>
      <c r="ECD83" s="684"/>
      <c r="ECE83" s="684"/>
      <c r="ECF83" s="684"/>
      <c r="ECG83" s="684"/>
      <c r="ECH83" s="684"/>
      <c r="ECI83" s="684"/>
      <c r="ECJ83" s="684"/>
      <c r="ECK83" s="684"/>
      <c r="ECL83" s="684"/>
      <c r="ECM83" s="684"/>
      <c r="ECN83" s="684"/>
      <c r="ECO83" s="684"/>
      <c r="ECP83" s="684"/>
      <c r="ECQ83" s="684"/>
      <c r="ECR83" s="684"/>
      <c r="ECS83" s="684"/>
      <c r="ECT83" s="684"/>
      <c r="ECU83" s="684"/>
      <c r="ECV83" s="684"/>
      <c r="ECW83" s="684"/>
      <c r="ECX83" s="684"/>
      <c r="ECY83" s="684"/>
      <c r="ECZ83" s="684"/>
      <c r="EDA83" s="684"/>
      <c r="EDB83" s="684"/>
      <c r="EDC83" s="684"/>
      <c r="EDD83" s="684"/>
      <c r="EDE83" s="684"/>
      <c r="EDF83" s="684"/>
      <c r="EDG83" s="684"/>
      <c r="EDH83" s="684"/>
      <c r="EDI83" s="684"/>
      <c r="EDJ83" s="684"/>
      <c r="EDK83" s="684"/>
      <c r="EDL83" s="684"/>
      <c r="EDM83" s="684"/>
      <c r="EDN83" s="684"/>
      <c r="EDO83" s="684"/>
      <c r="EDP83" s="684"/>
      <c r="EDQ83" s="684"/>
      <c r="EDR83" s="684"/>
      <c r="EDS83" s="684"/>
      <c r="EDT83" s="684"/>
      <c r="EDU83" s="684"/>
      <c r="EDV83" s="684"/>
      <c r="EDW83" s="684"/>
      <c r="EDX83" s="684"/>
      <c r="EDY83" s="684"/>
      <c r="EDZ83" s="684"/>
      <c r="EEA83" s="684"/>
      <c r="EEB83" s="684"/>
      <c r="EEC83" s="684"/>
      <c r="EED83" s="684"/>
      <c r="EEE83" s="684"/>
      <c r="EEF83" s="684"/>
      <c r="EEG83" s="684"/>
      <c r="EEH83" s="684"/>
      <c r="EEI83" s="684"/>
      <c r="EEJ83" s="684"/>
      <c r="EEK83" s="684"/>
      <c r="EEL83" s="684"/>
      <c r="EEM83" s="684"/>
      <c r="EEN83" s="684"/>
      <c r="EEO83" s="684"/>
      <c r="EEP83" s="684"/>
      <c r="EEQ83" s="684"/>
      <c r="EER83" s="684"/>
      <c r="EES83" s="684"/>
      <c r="EET83" s="684"/>
      <c r="EEU83" s="684"/>
      <c r="EEV83" s="684"/>
      <c r="EEW83" s="684"/>
      <c r="EEX83" s="684"/>
      <c r="EEY83" s="684"/>
      <c r="EEZ83" s="684"/>
      <c r="EFA83" s="684"/>
      <c r="EFB83" s="684"/>
      <c r="EFC83" s="684"/>
      <c r="EFD83" s="684"/>
      <c r="EFE83" s="684"/>
      <c r="EFF83" s="684"/>
      <c r="EFG83" s="684"/>
      <c r="EFH83" s="684"/>
      <c r="EFI83" s="684"/>
      <c r="EFJ83" s="684"/>
      <c r="EFK83" s="684"/>
      <c r="EFL83" s="684"/>
      <c r="EFM83" s="684"/>
      <c r="EFN83" s="684"/>
      <c r="EFO83" s="684"/>
      <c r="EFP83" s="684"/>
      <c r="EFQ83" s="684"/>
      <c r="EFR83" s="684"/>
      <c r="EFS83" s="684"/>
      <c r="EFT83" s="684"/>
      <c r="EFU83" s="684"/>
      <c r="EFV83" s="684"/>
      <c r="EFW83" s="684"/>
      <c r="EFX83" s="684"/>
      <c r="EFY83" s="684"/>
      <c r="EFZ83" s="684"/>
      <c r="EGA83" s="684"/>
      <c r="EGB83" s="684"/>
      <c r="EGC83" s="684"/>
      <c r="EGD83" s="684"/>
      <c r="EGE83" s="684"/>
      <c r="EGF83" s="684"/>
      <c r="EGG83" s="684"/>
      <c r="EGH83" s="684"/>
      <c r="EGI83" s="684"/>
      <c r="EGJ83" s="684"/>
      <c r="EGK83" s="684"/>
      <c r="EGL83" s="684"/>
      <c r="EGM83" s="684"/>
      <c r="EGN83" s="684"/>
      <c r="EGO83" s="684"/>
      <c r="EGP83" s="684"/>
      <c r="EGQ83" s="684"/>
      <c r="EGR83" s="684"/>
      <c r="EGS83" s="684"/>
      <c r="EGT83" s="684"/>
      <c r="EGU83" s="684"/>
      <c r="EGV83" s="684"/>
      <c r="EGW83" s="684"/>
      <c r="EGX83" s="684"/>
      <c r="EGY83" s="684"/>
      <c r="EGZ83" s="684"/>
      <c r="EHA83" s="684"/>
      <c r="EHB83" s="684"/>
      <c r="EHC83" s="684"/>
      <c r="EHD83" s="684"/>
      <c r="EHE83" s="684"/>
      <c r="EHF83" s="684"/>
      <c r="EHG83" s="684"/>
      <c r="EHH83" s="684"/>
      <c r="EHI83" s="684"/>
      <c r="EHJ83" s="684"/>
      <c r="EHK83" s="684"/>
      <c r="EHL83" s="684"/>
      <c r="EHM83" s="684"/>
      <c r="EHN83" s="684"/>
      <c r="EHO83" s="684"/>
      <c r="EHP83" s="684"/>
      <c r="EHQ83" s="684"/>
      <c r="EHR83" s="684"/>
      <c r="EHS83" s="684"/>
      <c r="EHT83" s="684"/>
      <c r="EHU83" s="684"/>
      <c r="EHV83" s="684"/>
      <c r="EHW83" s="684"/>
      <c r="EHX83" s="684"/>
      <c r="EHY83" s="684"/>
      <c r="EHZ83" s="684"/>
      <c r="EIA83" s="684"/>
      <c r="EIB83" s="684"/>
      <c r="EIC83" s="684"/>
      <c r="EID83" s="684"/>
      <c r="EIE83" s="684"/>
      <c r="EIF83" s="684"/>
      <c r="EIG83" s="684"/>
      <c r="EIH83" s="684"/>
      <c r="EII83" s="684"/>
      <c r="EIJ83" s="684"/>
      <c r="EIK83" s="684"/>
      <c r="EIL83" s="684"/>
      <c r="EIM83" s="684"/>
      <c r="EIN83" s="684"/>
      <c r="EIO83" s="684"/>
      <c r="EIP83" s="684"/>
      <c r="EIQ83" s="684"/>
      <c r="EIR83" s="684"/>
      <c r="EIS83" s="684"/>
      <c r="EIT83" s="684"/>
      <c r="EIU83" s="684"/>
      <c r="EIV83" s="684"/>
      <c r="EIW83" s="684"/>
      <c r="EIX83" s="684"/>
      <c r="EIY83" s="684"/>
      <c r="EIZ83" s="684"/>
      <c r="EJA83" s="684"/>
      <c r="EJB83" s="684"/>
      <c r="EJC83" s="684"/>
      <c r="EJD83" s="684"/>
      <c r="EJE83" s="684"/>
      <c r="EJF83" s="684"/>
      <c r="EJG83" s="684"/>
      <c r="EJH83" s="684"/>
      <c r="EJI83" s="684"/>
      <c r="EJJ83" s="684"/>
      <c r="EJK83" s="684"/>
      <c r="EJL83" s="684"/>
      <c r="EJM83" s="684"/>
      <c r="EJN83" s="684"/>
      <c r="EJO83" s="684"/>
      <c r="EJP83" s="684"/>
      <c r="EJQ83" s="684"/>
      <c r="EJR83" s="684"/>
      <c r="EJS83" s="684"/>
      <c r="EJT83" s="684"/>
      <c r="EJU83" s="684"/>
      <c r="EJV83" s="684"/>
      <c r="EJW83" s="684"/>
      <c r="EJX83" s="684"/>
      <c r="EJY83" s="684"/>
      <c r="EJZ83" s="684"/>
      <c r="EKA83" s="684"/>
      <c r="EKB83" s="684"/>
      <c r="EKC83" s="684"/>
      <c r="EKD83" s="684"/>
      <c r="EKE83" s="684"/>
      <c r="EKF83" s="684"/>
      <c r="EKG83" s="684"/>
      <c r="EKH83" s="684"/>
      <c r="EKI83" s="684"/>
      <c r="EKJ83" s="684"/>
      <c r="EKK83" s="684"/>
      <c r="EKL83" s="684"/>
      <c r="EKM83" s="684"/>
      <c r="EKN83" s="684"/>
      <c r="EKO83" s="684"/>
      <c r="EKP83" s="684"/>
      <c r="EKQ83" s="684"/>
      <c r="EKR83" s="684"/>
      <c r="EKS83" s="684"/>
      <c r="EKT83" s="684"/>
      <c r="EKU83" s="684"/>
      <c r="EKV83" s="684"/>
      <c r="EKW83" s="684"/>
      <c r="EKX83" s="684"/>
      <c r="EKY83" s="684"/>
      <c r="EKZ83" s="684"/>
      <c r="ELA83" s="684"/>
      <c r="ELB83" s="684"/>
      <c r="ELC83" s="684"/>
      <c r="ELD83" s="684"/>
      <c r="ELE83" s="684"/>
      <c r="ELF83" s="684"/>
      <c r="ELG83" s="684"/>
      <c r="ELH83" s="684"/>
      <c r="ELI83" s="684"/>
      <c r="ELJ83" s="684"/>
      <c r="ELK83" s="684"/>
      <c r="ELL83" s="684"/>
      <c r="ELM83" s="684"/>
      <c r="ELN83" s="684"/>
      <c r="ELO83" s="684"/>
      <c r="ELP83" s="684"/>
      <c r="ELQ83" s="684"/>
      <c r="ELR83" s="684"/>
      <c r="ELS83" s="684"/>
      <c r="ELT83" s="684"/>
      <c r="ELU83" s="684"/>
      <c r="ELV83" s="684"/>
      <c r="ELW83" s="684"/>
      <c r="ELX83" s="684"/>
      <c r="ELY83" s="684"/>
      <c r="ELZ83" s="684"/>
      <c r="EMA83" s="684"/>
      <c r="EMB83" s="684"/>
      <c r="EMC83" s="684"/>
      <c r="EMD83" s="684"/>
      <c r="EME83" s="684"/>
      <c r="EMF83" s="684"/>
      <c r="EMG83" s="684"/>
      <c r="EMH83" s="684"/>
      <c r="EMI83" s="684"/>
      <c r="EMJ83" s="684"/>
      <c r="EMK83" s="684"/>
      <c r="EML83" s="684"/>
      <c r="EMM83" s="684"/>
      <c r="EMN83" s="684"/>
      <c r="EMO83" s="684"/>
      <c r="EMP83" s="684"/>
      <c r="EMQ83" s="684"/>
      <c r="EMR83" s="684"/>
      <c r="EMS83" s="684"/>
      <c r="EMT83" s="684"/>
      <c r="EMU83" s="684"/>
      <c r="EMV83" s="684"/>
      <c r="EMW83" s="684"/>
      <c r="EMX83" s="684"/>
      <c r="EMY83" s="684"/>
      <c r="EMZ83" s="684"/>
      <c r="ENA83" s="684"/>
      <c r="ENB83" s="684"/>
      <c r="ENC83" s="684"/>
      <c r="END83" s="684"/>
      <c r="ENE83" s="684"/>
      <c r="ENF83" s="684"/>
      <c r="ENG83" s="684"/>
      <c r="ENH83" s="684"/>
      <c r="ENI83" s="684"/>
      <c r="ENJ83" s="684"/>
      <c r="ENK83" s="684"/>
      <c r="ENL83" s="684"/>
      <c r="ENM83" s="684"/>
      <c r="ENN83" s="684"/>
      <c r="ENO83" s="684"/>
      <c r="ENP83" s="684"/>
      <c r="ENQ83" s="684"/>
      <c r="ENR83" s="684"/>
      <c r="ENS83" s="684"/>
      <c r="ENT83" s="684"/>
      <c r="ENU83" s="684"/>
      <c r="ENV83" s="684"/>
      <c r="ENW83" s="684"/>
      <c r="ENX83" s="684"/>
      <c r="ENY83" s="684"/>
      <c r="ENZ83" s="684"/>
      <c r="EOA83" s="684"/>
      <c r="EOB83" s="684"/>
      <c r="EOC83" s="684"/>
      <c r="EOD83" s="684"/>
      <c r="EOE83" s="684"/>
      <c r="EOF83" s="684"/>
      <c r="EOG83" s="684"/>
      <c r="EOH83" s="684"/>
      <c r="EOI83" s="684"/>
      <c r="EOJ83" s="684"/>
      <c r="EOK83" s="684"/>
      <c r="EOL83" s="684"/>
      <c r="EOM83" s="684"/>
      <c r="EON83" s="684"/>
      <c r="EOO83" s="684"/>
      <c r="EOP83" s="684"/>
      <c r="EOQ83" s="684"/>
      <c r="EOR83" s="684"/>
      <c r="EOS83" s="684"/>
      <c r="EOT83" s="684"/>
      <c r="EOU83" s="684"/>
      <c r="EOV83" s="684"/>
      <c r="EOW83" s="684"/>
      <c r="EOX83" s="684"/>
      <c r="EOY83" s="684"/>
      <c r="EOZ83" s="684"/>
      <c r="EPA83" s="684"/>
      <c r="EPB83" s="684"/>
      <c r="EPC83" s="684"/>
      <c r="EPD83" s="684"/>
      <c r="EPE83" s="684"/>
      <c r="EPF83" s="684"/>
      <c r="EPG83" s="684"/>
      <c r="EPH83" s="684"/>
      <c r="EPI83" s="684"/>
      <c r="EPJ83" s="684"/>
      <c r="EPK83" s="684"/>
      <c r="EPL83" s="684"/>
      <c r="EPM83" s="684"/>
      <c r="EPN83" s="684"/>
      <c r="EPO83" s="684"/>
      <c r="EPP83" s="684"/>
      <c r="EPQ83" s="684"/>
      <c r="EPR83" s="684"/>
      <c r="EPS83" s="684"/>
      <c r="EPT83" s="684"/>
      <c r="EPU83" s="684"/>
      <c r="EPV83" s="684"/>
      <c r="EPW83" s="684"/>
      <c r="EPX83" s="684"/>
      <c r="EPY83" s="684"/>
      <c r="EPZ83" s="684"/>
      <c r="EQA83" s="684"/>
      <c r="EQB83" s="684"/>
      <c r="EQC83" s="684"/>
      <c r="EQD83" s="684"/>
      <c r="EQE83" s="684"/>
      <c r="EQF83" s="684"/>
      <c r="EQG83" s="684"/>
      <c r="EQH83" s="684"/>
      <c r="EQI83" s="684"/>
      <c r="EQJ83" s="684"/>
      <c r="EQK83" s="684"/>
      <c r="EQL83" s="684"/>
      <c r="EQM83" s="684"/>
      <c r="EQN83" s="684"/>
      <c r="EQO83" s="684"/>
      <c r="EQP83" s="684"/>
      <c r="EQQ83" s="684"/>
      <c r="EQR83" s="684"/>
      <c r="EQS83" s="684"/>
      <c r="EQT83" s="684"/>
      <c r="EQU83" s="684"/>
      <c r="EQV83" s="684"/>
      <c r="EQW83" s="684"/>
      <c r="EQX83" s="684"/>
      <c r="EQY83" s="684"/>
      <c r="EQZ83" s="684"/>
      <c r="ERA83" s="684"/>
      <c r="ERB83" s="684"/>
      <c r="ERC83" s="684"/>
      <c r="ERD83" s="684"/>
      <c r="ERE83" s="684"/>
      <c r="ERF83" s="684"/>
      <c r="ERG83" s="684"/>
      <c r="ERH83" s="684"/>
      <c r="ERI83" s="684"/>
      <c r="ERJ83" s="684"/>
      <c r="ERK83" s="684"/>
      <c r="ERL83" s="684"/>
      <c r="ERM83" s="684"/>
      <c r="ERN83" s="684"/>
      <c r="ERO83" s="684"/>
      <c r="ERP83" s="684"/>
      <c r="ERQ83" s="684"/>
      <c r="ERR83" s="684"/>
      <c r="ERS83" s="684"/>
      <c r="ERT83" s="684"/>
      <c r="ERU83" s="684"/>
      <c r="ERV83" s="684"/>
      <c r="ERW83" s="684"/>
      <c r="ERX83" s="684"/>
      <c r="ERY83" s="684"/>
      <c r="ERZ83" s="684"/>
      <c r="ESA83" s="684"/>
      <c r="ESB83" s="684"/>
      <c r="ESC83" s="684"/>
      <c r="ESD83" s="684"/>
      <c r="ESE83" s="684"/>
      <c r="ESF83" s="684"/>
      <c r="ESG83" s="684"/>
      <c r="ESH83" s="684"/>
      <c r="ESI83" s="684"/>
      <c r="ESJ83" s="684"/>
      <c r="ESK83" s="684"/>
      <c r="ESL83" s="684"/>
      <c r="ESM83" s="684"/>
      <c r="ESN83" s="684"/>
      <c r="ESO83" s="684"/>
      <c r="ESP83" s="684"/>
      <c r="ESQ83" s="684"/>
      <c r="ESR83" s="684"/>
      <c r="ESS83" s="684"/>
      <c r="EST83" s="684"/>
      <c r="ESU83" s="684"/>
      <c r="ESV83" s="684"/>
      <c r="ESW83" s="684"/>
      <c r="ESX83" s="684"/>
      <c r="ESY83" s="684"/>
      <c r="ESZ83" s="684"/>
      <c r="ETA83" s="684"/>
      <c r="ETB83" s="684"/>
      <c r="ETC83" s="684"/>
      <c r="ETD83" s="684"/>
      <c r="ETE83" s="684"/>
      <c r="ETF83" s="684"/>
      <c r="ETG83" s="684"/>
      <c r="ETH83" s="684"/>
      <c r="ETI83" s="684"/>
      <c r="ETJ83" s="684"/>
      <c r="ETK83" s="684"/>
      <c r="ETL83" s="684"/>
      <c r="ETM83" s="684"/>
      <c r="ETN83" s="684"/>
      <c r="ETO83" s="684"/>
      <c r="ETP83" s="684"/>
      <c r="ETQ83" s="684"/>
      <c r="ETR83" s="684"/>
      <c r="ETS83" s="684"/>
      <c r="ETT83" s="684"/>
      <c r="ETU83" s="684"/>
      <c r="ETV83" s="684"/>
      <c r="ETW83" s="684"/>
      <c r="ETX83" s="684"/>
      <c r="ETY83" s="684"/>
      <c r="ETZ83" s="684"/>
      <c r="EUA83" s="684"/>
      <c r="EUB83" s="684"/>
      <c r="EUC83" s="684"/>
      <c r="EUD83" s="684"/>
      <c r="EUE83" s="684"/>
      <c r="EUF83" s="684"/>
      <c r="EUG83" s="684"/>
      <c r="EUH83" s="684"/>
      <c r="EUI83" s="684"/>
      <c r="EUJ83" s="684"/>
      <c r="EUK83" s="684"/>
      <c r="EUL83" s="684"/>
      <c r="EUM83" s="684"/>
      <c r="EUN83" s="684"/>
      <c r="EUO83" s="684"/>
      <c r="EUP83" s="684"/>
      <c r="EUQ83" s="684"/>
      <c r="EUR83" s="684"/>
      <c r="EUS83" s="684"/>
      <c r="EUT83" s="684"/>
      <c r="EUU83" s="684"/>
      <c r="EUV83" s="684"/>
      <c r="EUW83" s="684"/>
      <c r="EUX83" s="684"/>
      <c r="EUY83" s="684"/>
      <c r="EUZ83" s="684"/>
      <c r="EVA83" s="684"/>
      <c r="EVB83" s="684"/>
      <c r="EVC83" s="684"/>
      <c r="EVD83" s="684"/>
      <c r="EVE83" s="684"/>
      <c r="EVF83" s="684"/>
      <c r="EVG83" s="684"/>
      <c r="EVH83" s="684"/>
      <c r="EVI83" s="684"/>
      <c r="EVJ83" s="684"/>
      <c r="EVK83" s="684"/>
      <c r="EVL83" s="684"/>
      <c r="EVM83" s="684"/>
      <c r="EVN83" s="684"/>
      <c r="EVO83" s="684"/>
      <c r="EVP83" s="684"/>
      <c r="EVQ83" s="684"/>
      <c r="EVR83" s="684"/>
      <c r="EVS83" s="684"/>
      <c r="EVT83" s="684"/>
      <c r="EVU83" s="684"/>
      <c r="EVV83" s="684"/>
      <c r="EVW83" s="684"/>
      <c r="EVX83" s="684"/>
      <c r="EVY83" s="684"/>
      <c r="EVZ83" s="684"/>
      <c r="EWA83" s="684"/>
      <c r="EWB83" s="684"/>
      <c r="EWC83" s="684"/>
      <c r="EWD83" s="684"/>
      <c r="EWE83" s="684"/>
      <c r="EWF83" s="684"/>
      <c r="EWG83" s="684"/>
      <c r="EWH83" s="684"/>
      <c r="EWI83" s="684"/>
      <c r="EWJ83" s="684"/>
      <c r="EWK83" s="684"/>
      <c r="EWL83" s="684"/>
      <c r="EWM83" s="684"/>
      <c r="EWN83" s="684"/>
      <c r="EWO83" s="684"/>
      <c r="EWP83" s="684"/>
      <c r="EWQ83" s="684"/>
      <c r="EWR83" s="684"/>
      <c r="EWS83" s="684"/>
      <c r="EWT83" s="684"/>
      <c r="EWU83" s="684"/>
      <c r="EWV83" s="684"/>
      <c r="EWW83" s="684"/>
      <c r="EWX83" s="684"/>
      <c r="EWY83" s="684"/>
      <c r="EWZ83" s="684"/>
      <c r="EXA83" s="684"/>
      <c r="EXB83" s="684"/>
      <c r="EXC83" s="684"/>
      <c r="EXD83" s="684"/>
      <c r="EXE83" s="684"/>
      <c r="EXF83" s="684"/>
      <c r="EXG83" s="684"/>
      <c r="EXH83" s="684"/>
      <c r="EXI83" s="684"/>
      <c r="EXJ83" s="684"/>
      <c r="EXK83" s="684"/>
      <c r="EXL83" s="684"/>
      <c r="EXM83" s="684"/>
      <c r="EXN83" s="684"/>
      <c r="EXO83" s="684"/>
      <c r="EXP83" s="684"/>
      <c r="EXQ83" s="684"/>
      <c r="EXR83" s="684"/>
      <c r="EXS83" s="684"/>
      <c r="EXT83" s="684"/>
      <c r="EXU83" s="684"/>
      <c r="EXV83" s="684"/>
      <c r="EXW83" s="684"/>
      <c r="EXX83" s="684"/>
      <c r="EXY83" s="684"/>
      <c r="EXZ83" s="684"/>
      <c r="EYA83" s="684"/>
      <c r="EYB83" s="684"/>
      <c r="EYC83" s="684"/>
      <c r="EYD83" s="684"/>
      <c r="EYE83" s="684"/>
      <c r="EYF83" s="684"/>
      <c r="EYG83" s="684"/>
      <c r="EYH83" s="684"/>
      <c r="EYI83" s="684"/>
      <c r="EYJ83" s="684"/>
      <c r="EYK83" s="684"/>
      <c r="EYL83" s="684"/>
      <c r="EYM83" s="684"/>
      <c r="EYN83" s="684"/>
      <c r="EYO83" s="684"/>
      <c r="EYP83" s="684"/>
      <c r="EYQ83" s="684"/>
      <c r="EYR83" s="684"/>
      <c r="EYS83" s="684"/>
      <c r="EYT83" s="684"/>
      <c r="EYU83" s="684"/>
      <c r="EYV83" s="684"/>
      <c r="EYW83" s="684"/>
      <c r="EYX83" s="684"/>
      <c r="EYY83" s="684"/>
      <c r="EYZ83" s="684"/>
      <c r="EZA83" s="684"/>
      <c r="EZB83" s="684"/>
      <c r="EZC83" s="684"/>
      <c r="EZD83" s="684"/>
      <c r="EZE83" s="684"/>
      <c r="EZF83" s="684"/>
      <c r="EZG83" s="684"/>
      <c r="EZH83" s="684"/>
      <c r="EZI83" s="684"/>
      <c r="EZJ83" s="684"/>
      <c r="EZK83" s="684"/>
      <c r="EZL83" s="684"/>
      <c r="EZM83" s="684"/>
      <c r="EZN83" s="684"/>
      <c r="EZO83" s="684"/>
      <c r="EZP83" s="684"/>
      <c r="EZQ83" s="684"/>
      <c r="EZR83" s="684"/>
      <c r="EZS83" s="684"/>
      <c r="EZT83" s="684"/>
      <c r="EZU83" s="684"/>
      <c r="EZV83" s="684"/>
      <c r="EZW83" s="684"/>
      <c r="EZX83" s="684"/>
      <c r="EZY83" s="684"/>
      <c r="EZZ83" s="684"/>
      <c r="FAA83" s="684"/>
      <c r="FAB83" s="684"/>
      <c r="FAC83" s="684"/>
      <c r="FAD83" s="684"/>
      <c r="FAE83" s="684"/>
      <c r="FAF83" s="684"/>
      <c r="FAG83" s="684"/>
      <c r="FAH83" s="684"/>
      <c r="FAI83" s="684"/>
      <c r="FAJ83" s="684"/>
      <c r="FAK83" s="684"/>
      <c r="FAL83" s="684"/>
      <c r="FAM83" s="684"/>
      <c r="FAN83" s="684"/>
      <c r="FAO83" s="684"/>
      <c r="FAP83" s="684"/>
      <c r="FAQ83" s="684"/>
      <c r="FAR83" s="684"/>
      <c r="FAS83" s="684"/>
      <c r="FAT83" s="684"/>
      <c r="FAU83" s="684"/>
      <c r="FAV83" s="684"/>
      <c r="FAW83" s="684"/>
      <c r="FAX83" s="684"/>
      <c r="FAY83" s="684"/>
      <c r="FAZ83" s="684"/>
      <c r="FBA83" s="684"/>
      <c r="FBB83" s="684"/>
      <c r="FBC83" s="684"/>
      <c r="FBD83" s="684"/>
      <c r="FBE83" s="684"/>
      <c r="FBF83" s="684"/>
      <c r="FBG83" s="684"/>
      <c r="FBH83" s="684"/>
      <c r="FBI83" s="684"/>
      <c r="FBJ83" s="684"/>
      <c r="FBK83" s="684"/>
      <c r="FBL83" s="684"/>
      <c r="FBM83" s="684"/>
      <c r="FBN83" s="684"/>
      <c r="FBO83" s="684"/>
      <c r="FBP83" s="684"/>
      <c r="FBQ83" s="684"/>
      <c r="FBR83" s="684"/>
      <c r="FBS83" s="684"/>
      <c r="FBT83" s="684"/>
      <c r="FBU83" s="684"/>
      <c r="FBV83" s="684"/>
      <c r="FBW83" s="684"/>
      <c r="FBX83" s="684"/>
      <c r="FBY83" s="684"/>
      <c r="FBZ83" s="684"/>
      <c r="FCA83" s="684"/>
      <c r="FCB83" s="684"/>
      <c r="FCC83" s="684"/>
      <c r="FCD83" s="684"/>
      <c r="FCE83" s="684"/>
      <c r="FCF83" s="684"/>
      <c r="FCG83" s="684"/>
      <c r="FCH83" s="684"/>
      <c r="FCI83" s="684"/>
      <c r="FCJ83" s="684"/>
      <c r="FCK83" s="684"/>
      <c r="FCL83" s="684"/>
      <c r="FCM83" s="684"/>
      <c r="FCN83" s="684"/>
      <c r="FCO83" s="684"/>
      <c r="FCP83" s="684"/>
      <c r="FCQ83" s="684"/>
      <c r="FCR83" s="684"/>
      <c r="FCS83" s="684"/>
      <c r="FCT83" s="684"/>
      <c r="FCU83" s="684"/>
      <c r="FCV83" s="684"/>
      <c r="FCW83" s="684"/>
      <c r="FCX83" s="684"/>
      <c r="FCY83" s="684"/>
      <c r="FCZ83" s="684"/>
      <c r="FDA83" s="684"/>
      <c r="FDB83" s="684"/>
      <c r="FDC83" s="684"/>
      <c r="FDD83" s="684"/>
      <c r="FDE83" s="684"/>
      <c r="FDF83" s="684"/>
      <c r="FDG83" s="684"/>
      <c r="FDH83" s="684"/>
      <c r="FDI83" s="684"/>
      <c r="FDJ83" s="684"/>
      <c r="FDK83" s="684"/>
      <c r="FDL83" s="684"/>
      <c r="FDM83" s="684"/>
      <c r="FDN83" s="684"/>
      <c r="FDO83" s="684"/>
      <c r="FDP83" s="684"/>
      <c r="FDQ83" s="684"/>
      <c r="FDR83" s="684"/>
      <c r="FDS83" s="684"/>
      <c r="FDT83" s="684"/>
      <c r="FDU83" s="684"/>
      <c r="FDV83" s="684"/>
      <c r="FDW83" s="684"/>
      <c r="FDX83" s="684"/>
      <c r="FDY83" s="684"/>
      <c r="FDZ83" s="684"/>
      <c r="FEA83" s="684"/>
      <c r="FEB83" s="684"/>
      <c r="FEC83" s="684"/>
      <c r="FED83" s="684"/>
      <c r="FEE83" s="684"/>
      <c r="FEF83" s="684"/>
      <c r="FEG83" s="684"/>
      <c r="FEH83" s="684"/>
      <c r="FEI83" s="684"/>
      <c r="FEJ83" s="684"/>
      <c r="FEK83" s="684"/>
      <c r="FEL83" s="684"/>
      <c r="FEM83" s="684"/>
      <c r="FEN83" s="684"/>
      <c r="FEO83" s="684"/>
      <c r="FEP83" s="684"/>
      <c r="FEQ83" s="684"/>
      <c r="FER83" s="684"/>
      <c r="FES83" s="684"/>
      <c r="FET83" s="684"/>
      <c r="FEU83" s="684"/>
      <c r="FEV83" s="684"/>
      <c r="FEW83" s="684"/>
      <c r="FEX83" s="684"/>
      <c r="FEY83" s="684"/>
      <c r="FEZ83" s="684"/>
      <c r="FFA83" s="684"/>
      <c r="FFB83" s="684"/>
      <c r="FFC83" s="684"/>
      <c r="FFD83" s="684"/>
      <c r="FFE83" s="684"/>
      <c r="FFF83" s="684"/>
      <c r="FFG83" s="684"/>
      <c r="FFH83" s="684"/>
      <c r="FFI83" s="684"/>
      <c r="FFJ83" s="684"/>
      <c r="FFK83" s="684"/>
      <c r="FFL83" s="684"/>
      <c r="FFM83" s="684"/>
      <c r="FFN83" s="684"/>
      <c r="FFO83" s="684"/>
      <c r="FFP83" s="684"/>
      <c r="FFQ83" s="684"/>
      <c r="FFR83" s="684"/>
      <c r="FFS83" s="684"/>
      <c r="FFT83" s="684"/>
      <c r="FFU83" s="684"/>
      <c r="FFV83" s="684"/>
      <c r="FFW83" s="684"/>
      <c r="FFX83" s="684"/>
      <c r="FFY83" s="684"/>
      <c r="FFZ83" s="684"/>
      <c r="FGA83" s="684"/>
      <c r="FGB83" s="684"/>
      <c r="FGC83" s="684"/>
      <c r="FGD83" s="684"/>
      <c r="FGE83" s="684"/>
      <c r="FGF83" s="684"/>
      <c r="FGG83" s="684"/>
      <c r="FGH83" s="684"/>
      <c r="FGI83" s="684"/>
      <c r="FGJ83" s="684"/>
      <c r="FGK83" s="684"/>
      <c r="FGL83" s="684"/>
      <c r="FGM83" s="684"/>
      <c r="FGN83" s="684"/>
      <c r="FGO83" s="684"/>
      <c r="FGP83" s="684"/>
      <c r="FGQ83" s="684"/>
      <c r="FGR83" s="684"/>
      <c r="FGS83" s="684"/>
      <c r="FGT83" s="684"/>
      <c r="FGU83" s="684"/>
      <c r="FGV83" s="684"/>
      <c r="FGW83" s="684"/>
      <c r="FGX83" s="684"/>
      <c r="FGY83" s="684"/>
      <c r="FGZ83" s="684"/>
      <c r="FHA83" s="684"/>
      <c r="FHB83" s="684"/>
      <c r="FHC83" s="684"/>
      <c r="FHD83" s="684"/>
      <c r="FHE83" s="684"/>
      <c r="FHF83" s="684"/>
      <c r="FHG83" s="684"/>
      <c r="FHH83" s="684"/>
      <c r="FHI83" s="684"/>
      <c r="FHJ83" s="684"/>
      <c r="FHK83" s="684"/>
      <c r="FHL83" s="684"/>
      <c r="FHM83" s="684"/>
      <c r="FHN83" s="684"/>
      <c r="FHO83" s="684"/>
      <c r="FHP83" s="684"/>
      <c r="FHQ83" s="684"/>
      <c r="FHR83" s="684"/>
      <c r="FHS83" s="684"/>
      <c r="FHT83" s="684"/>
      <c r="FHU83" s="684"/>
      <c r="FHV83" s="684"/>
      <c r="FHW83" s="684"/>
      <c r="FHX83" s="684"/>
      <c r="FHY83" s="684"/>
      <c r="FHZ83" s="684"/>
      <c r="FIA83" s="684"/>
      <c r="FIB83" s="684"/>
      <c r="FIC83" s="684"/>
      <c r="FID83" s="684"/>
      <c r="FIE83" s="684"/>
      <c r="FIF83" s="684"/>
      <c r="FIG83" s="684"/>
      <c r="FIH83" s="684"/>
      <c r="FII83" s="684"/>
      <c r="FIJ83" s="684"/>
      <c r="FIK83" s="684"/>
      <c r="FIL83" s="684"/>
      <c r="FIM83" s="684"/>
      <c r="FIN83" s="684"/>
      <c r="FIO83" s="684"/>
      <c r="FIP83" s="684"/>
      <c r="FIQ83" s="684"/>
      <c r="FIR83" s="684"/>
      <c r="FIS83" s="684"/>
      <c r="FIT83" s="684"/>
      <c r="FIU83" s="684"/>
      <c r="FIV83" s="684"/>
      <c r="FIW83" s="684"/>
      <c r="FIX83" s="684"/>
      <c r="FIY83" s="684"/>
      <c r="FIZ83" s="684"/>
      <c r="FJA83" s="684"/>
      <c r="FJB83" s="684"/>
      <c r="FJC83" s="684"/>
      <c r="FJD83" s="684"/>
      <c r="FJE83" s="684"/>
      <c r="FJF83" s="684"/>
      <c r="FJG83" s="684"/>
      <c r="FJH83" s="684"/>
      <c r="FJI83" s="684"/>
      <c r="FJJ83" s="684"/>
      <c r="FJK83" s="684"/>
      <c r="FJL83" s="684"/>
      <c r="FJM83" s="684"/>
      <c r="FJN83" s="684"/>
      <c r="FJO83" s="684"/>
      <c r="FJP83" s="684"/>
      <c r="FJQ83" s="684"/>
      <c r="FJR83" s="684"/>
      <c r="FJS83" s="684"/>
      <c r="FJT83" s="684"/>
      <c r="FJU83" s="684"/>
      <c r="FJV83" s="684"/>
      <c r="FJW83" s="684"/>
      <c r="FJX83" s="684"/>
      <c r="FJY83" s="684"/>
      <c r="FJZ83" s="684"/>
      <c r="FKA83" s="684"/>
      <c r="FKB83" s="684"/>
      <c r="FKC83" s="684"/>
      <c r="FKD83" s="684"/>
      <c r="FKE83" s="684"/>
      <c r="FKF83" s="684"/>
      <c r="FKG83" s="684"/>
      <c r="FKH83" s="684"/>
      <c r="FKI83" s="684"/>
      <c r="FKJ83" s="684"/>
      <c r="FKK83" s="684"/>
      <c r="FKL83" s="684"/>
      <c r="FKM83" s="684"/>
      <c r="FKN83" s="684"/>
      <c r="FKO83" s="684"/>
      <c r="FKP83" s="684"/>
      <c r="FKQ83" s="684"/>
      <c r="FKR83" s="684"/>
      <c r="FKS83" s="684"/>
      <c r="FKT83" s="684"/>
      <c r="FKU83" s="684"/>
      <c r="FKV83" s="684"/>
      <c r="FKW83" s="684"/>
      <c r="FKX83" s="684"/>
      <c r="FKY83" s="684"/>
      <c r="FKZ83" s="684"/>
      <c r="FLA83" s="684"/>
      <c r="FLB83" s="684"/>
      <c r="FLC83" s="684"/>
      <c r="FLD83" s="684"/>
      <c r="FLE83" s="684"/>
      <c r="FLF83" s="684"/>
      <c r="FLG83" s="684"/>
      <c r="FLH83" s="684"/>
      <c r="FLI83" s="684"/>
      <c r="FLJ83" s="684"/>
      <c r="FLK83" s="684"/>
      <c r="FLL83" s="684"/>
      <c r="FLM83" s="684"/>
      <c r="FLN83" s="684"/>
      <c r="FLO83" s="684"/>
      <c r="FLP83" s="684"/>
      <c r="FLQ83" s="684"/>
      <c r="FLR83" s="684"/>
      <c r="FLS83" s="684"/>
      <c r="FLT83" s="684"/>
      <c r="FLU83" s="684"/>
      <c r="FLV83" s="684"/>
      <c r="FLW83" s="684"/>
      <c r="FLX83" s="684"/>
      <c r="FLY83" s="684"/>
      <c r="FLZ83" s="684"/>
      <c r="FMA83" s="684"/>
      <c r="FMB83" s="684"/>
      <c r="FMC83" s="684"/>
      <c r="FMD83" s="684"/>
      <c r="FME83" s="684"/>
      <c r="FMF83" s="684"/>
      <c r="FMG83" s="684"/>
      <c r="FMH83" s="684"/>
      <c r="FMI83" s="684"/>
      <c r="FMJ83" s="684"/>
      <c r="FMK83" s="684"/>
      <c r="FML83" s="684"/>
      <c r="FMM83" s="684"/>
      <c r="FMN83" s="684"/>
      <c r="FMO83" s="684"/>
      <c r="FMP83" s="684"/>
      <c r="FMQ83" s="684"/>
      <c r="FMR83" s="684"/>
      <c r="FMS83" s="684"/>
      <c r="FMT83" s="684"/>
      <c r="FMU83" s="684"/>
      <c r="FMV83" s="684"/>
      <c r="FMW83" s="684"/>
      <c r="FMX83" s="684"/>
      <c r="FMY83" s="684"/>
      <c r="FMZ83" s="684"/>
      <c r="FNA83" s="684"/>
      <c r="FNB83" s="684"/>
      <c r="FNC83" s="684"/>
      <c r="FND83" s="684"/>
      <c r="FNE83" s="684"/>
      <c r="FNF83" s="684"/>
      <c r="FNG83" s="684"/>
      <c r="FNH83" s="684"/>
      <c r="FNI83" s="684"/>
      <c r="FNJ83" s="684"/>
      <c r="FNK83" s="684"/>
      <c r="FNL83" s="684"/>
      <c r="FNM83" s="684"/>
      <c r="FNN83" s="684"/>
      <c r="FNO83" s="684"/>
      <c r="FNP83" s="684"/>
      <c r="FNQ83" s="684"/>
      <c r="FNR83" s="684"/>
      <c r="FNS83" s="684"/>
      <c r="FNT83" s="684"/>
      <c r="FNU83" s="684"/>
      <c r="FNV83" s="684"/>
      <c r="FNW83" s="684"/>
      <c r="FNX83" s="684"/>
      <c r="FNY83" s="684"/>
      <c r="FNZ83" s="684"/>
      <c r="FOA83" s="684"/>
      <c r="FOB83" s="684"/>
      <c r="FOC83" s="684"/>
      <c r="FOD83" s="684"/>
      <c r="FOE83" s="684"/>
      <c r="FOF83" s="684"/>
      <c r="FOG83" s="684"/>
      <c r="FOH83" s="684"/>
      <c r="FOI83" s="684"/>
      <c r="FOJ83" s="684"/>
      <c r="FOK83" s="684"/>
      <c r="FOL83" s="684"/>
      <c r="FOM83" s="684"/>
      <c r="FON83" s="684"/>
      <c r="FOO83" s="684"/>
      <c r="FOP83" s="684"/>
      <c r="FOQ83" s="684"/>
      <c r="FOR83" s="684"/>
      <c r="FOS83" s="684"/>
      <c r="FOT83" s="684"/>
      <c r="FOU83" s="684"/>
      <c r="FOV83" s="684"/>
      <c r="FOW83" s="684"/>
      <c r="FOX83" s="684"/>
      <c r="FOY83" s="684"/>
      <c r="FOZ83" s="684"/>
      <c r="FPA83" s="684"/>
      <c r="FPB83" s="684"/>
      <c r="FPC83" s="684"/>
      <c r="FPD83" s="684"/>
      <c r="FPE83" s="684"/>
      <c r="FPF83" s="684"/>
      <c r="FPG83" s="684"/>
      <c r="FPH83" s="684"/>
      <c r="FPI83" s="684"/>
      <c r="FPJ83" s="684"/>
      <c r="FPK83" s="684"/>
      <c r="FPL83" s="684"/>
      <c r="FPM83" s="684"/>
      <c r="FPN83" s="684"/>
      <c r="FPO83" s="684"/>
      <c r="FPP83" s="684"/>
      <c r="FPQ83" s="684"/>
      <c r="FPR83" s="684"/>
      <c r="FPS83" s="684"/>
      <c r="FPT83" s="684"/>
      <c r="FPU83" s="684"/>
      <c r="FPV83" s="684"/>
      <c r="FPW83" s="684"/>
      <c r="FPX83" s="684"/>
      <c r="FPY83" s="684"/>
      <c r="FPZ83" s="684"/>
      <c r="FQA83" s="684"/>
      <c r="FQB83" s="684"/>
      <c r="FQC83" s="684"/>
      <c r="FQD83" s="684"/>
      <c r="FQE83" s="684"/>
      <c r="FQF83" s="684"/>
      <c r="FQG83" s="684"/>
      <c r="FQH83" s="684"/>
      <c r="FQI83" s="684"/>
      <c r="FQJ83" s="684"/>
      <c r="FQK83" s="684"/>
      <c r="FQL83" s="684"/>
      <c r="FQM83" s="684"/>
      <c r="FQN83" s="684"/>
      <c r="FQO83" s="684"/>
      <c r="FQP83" s="684"/>
      <c r="FQQ83" s="684"/>
      <c r="FQR83" s="684"/>
      <c r="FQS83" s="684"/>
      <c r="FQT83" s="684"/>
      <c r="FQU83" s="684"/>
      <c r="FQV83" s="684"/>
      <c r="FQW83" s="684"/>
      <c r="FQX83" s="684"/>
      <c r="FQY83" s="684"/>
      <c r="FQZ83" s="684"/>
      <c r="FRA83" s="684"/>
      <c r="FRB83" s="684"/>
      <c r="FRC83" s="684"/>
      <c r="FRD83" s="684"/>
      <c r="FRE83" s="684"/>
      <c r="FRF83" s="684"/>
      <c r="FRG83" s="684"/>
      <c r="FRH83" s="684"/>
      <c r="FRI83" s="684"/>
      <c r="FRJ83" s="684"/>
      <c r="FRK83" s="684"/>
      <c r="FRL83" s="684"/>
      <c r="FRM83" s="684"/>
      <c r="FRN83" s="684"/>
      <c r="FRO83" s="684"/>
      <c r="FRP83" s="684"/>
      <c r="FRQ83" s="684"/>
      <c r="FRR83" s="684"/>
      <c r="FRS83" s="684"/>
      <c r="FRT83" s="684"/>
      <c r="FRU83" s="684"/>
      <c r="FRV83" s="684"/>
      <c r="FRW83" s="684"/>
      <c r="FRX83" s="684"/>
      <c r="FRY83" s="684"/>
      <c r="FRZ83" s="684"/>
      <c r="FSA83" s="684"/>
      <c r="FSB83" s="684"/>
      <c r="FSC83" s="684"/>
      <c r="FSD83" s="684"/>
      <c r="FSE83" s="684"/>
      <c r="FSF83" s="684"/>
      <c r="FSG83" s="684"/>
      <c r="FSH83" s="684"/>
      <c r="FSI83" s="684"/>
      <c r="FSJ83" s="684"/>
      <c r="FSK83" s="684"/>
      <c r="FSL83" s="684"/>
      <c r="FSM83" s="684"/>
      <c r="FSN83" s="684"/>
      <c r="FSO83" s="684"/>
      <c r="FSP83" s="684"/>
      <c r="FSQ83" s="684"/>
      <c r="FSR83" s="684"/>
      <c r="FSS83" s="684"/>
      <c r="FST83" s="684"/>
      <c r="FSU83" s="684"/>
      <c r="FSV83" s="684"/>
      <c r="FSW83" s="684"/>
      <c r="FSX83" s="684"/>
      <c r="FSY83" s="684"/>
      <c r="FSZ83" s="684"/>
      <c r="FTA83" s="684"/>
      <c r="FTB83" s="684"/>
      <c r="FTC83" s="684"/>
      <c r="FTD83" s="684"/>
      <c r="FTE83" s="684"/>
      <c r="FTF83" s="684"/>
      <c r="FTG83" s="684"/>
      <c r="FTH83" s="684"/>
      <c r="FTI83" s="684"/>
      <c r="FTJ83" s="684"/>
      <c r="FTK83" s="684"/>
      <c r="FTL83" s="684"/>
      <c r="FTM83" s="684"/>
      <c r="FTN83" s="684"/>
      <c r="FTO83" s="684"/>
      <c r="FTP83" s="684"/>
      <c r="FTQ83" s="684"/>
      <c r="FTR83" s="684"/>
      <c r="FTS83" s="684"/>
      <c r="FTT83" s="684"/>
      <c r="FTU83" s="684"/>
      <c r="FTV83" s="684"/>
      <c r="FTW83" s="684"/>
      <c r="FTX83" s="684"/>
      <c r="FTY83" s="684"/>
      <c r="FTZ83" s="684"/>
      <c r="FUA83" s="684"/>
      <c r="FUB83" s="684"/>
      <c r="FUC83" s="684"/>
      <c r="FUD83" s="684"/>
      <c r="FUE83" s="684"/>
      <c r="FUF83" s="684"/>
      <c r="FUG83" s="684"/>
      <c r="FUH83" s="684"/>
      <c r="FUI83" s="684"/>
      <c r="FUJ83" s="684"/>
      <c r="FUK83" s="684"/>
      <c r="FUL83" s="684"/>
      <c r="FUM83" s="684"/>
      <c r="FUN83" s="684"/>
      <c r="FUO83" s="684"/>
      <c r="FUP83" s="684"/>
      <c r="FUQ83" s="684"/>
      <c r="FUR83" s="684"/>
      <c r="FUS83" s="684"/>
      <c r="FUT83" s="684"/>
      <c r="FUU83" s="684"/>
      <c r="FUV83" s="684"/>
      <c r="FUW83" s="684"/>
      <c r="FUX83" s="684"/>
      <c r="FUY83" s="684"/>
      <c r="FUZ83" s="684"/>
      <c r="FVA83" s="684"/>
      <c r="FVB83" s="684"/>
      <c r="FVC83" s="684"/>
      <c r="FVD83" s="684"/>
      <c r="FVE83" s="684"/>
      <c r="FVF83" s="684"/>
      <c r="FVG83" s="684"/>
      <c r="FVH83" s="684"/>
      <c r="FVI83" s="684"/>
      <c r="FVJ83" s="684"/>
      <c r="FVK83" s="684"/>
      <c r="FVL83" s="684"/>
      <c r="FVM83" s="684"/>
      <c r="FVN83" s="684"/>
      <c r="FVO83" s="684"/>
      <c r="FVP83" s="684"/>
      <c r="FVQ83" s="684"/>
      <c r="FVR83" s="684"/>
      <c r="FVS83" s="684"/>
      <c r="FVT83" s="684"/>
      <c r="FVU83" s="684"/>
      <c r="FVV83" s="684"/>
      <c r="FVW83" s="684"/>
      <c r="FVX83" s="684"/>
      <c r="FVY83" s="684"/>
      <c r="FVZ83" s="684"/>
      <c r="FWA83" s="684"/>
      <c r="FWB83" s="684"/>
      <c r="FWC83" s="684"/>
      <c r="FWD83" s="684"/>
      <c r="FWE83" s="684"/>
      <c r="FWF83" s="684"/>
      <c r="FWG83" s="684"/>
      <c r="FWH83" s="684"/>
      <c r="FWI83" s="684"/>
      <c r="FWJ83" s="684"/>
      <c r="FWK83" s="684"/>
      <c r="FWL83" s="684"/>
      <c r="FWM83" s="684"/>
      <c r="FWN83" s="684"/>
      <c r="FWO83" s="684"/>
      <c r="FWP83" s="684"/>
      <c r="FWQ83" s="684"/>
      <c r="FWR83" s="684"/>
      <c r="FWS83" s="684"/>
      <c r="FWT83" s="684"/>
      <c r="FWU83" s="684"/>
      <c r="FWV83" s="684"/>
      <c r="FWW83" s="684"/>
      <c r="FWX83" s="684"/>
      <c r="FWY83" s="684"/>
      <c r="FWZ83" s="684"/>
      <c r="FXA83" s="684"/>
      <c r="FXB83" s="684"/>
      <c r="FXC83" s="684"/>
      <c r="FXD83" s="684"/>
      <c r="FXE83" s="684"/>
      <c r="FXF83" s="684"/>
      <c r="FXG83" s="684"/>
      <c r="FXH83" s="684"/>
      <c r="FXI83" s="684"/>
      <c r="FXJ83" s="684"/>
      <c r="FXK83" s="684"/>
      <c r="FXL83" s="684"/>
      <c r="FXM83" s="684"/>
      <c r="FXN83" s="684"/>
      <c r="FXO83" s="684"/>
      <c r="FXP83" s="684"/>
      <c r="FXQ83" s="684"/>
      <c r="FXR83" s="684"/>
      <c r="FXS83" s="684"/>
      <c r="FXT83" s="684"/>
      <c r="FXU83" s="684"/>
      <c r="FXV83" s="684"/>
      <c r="FXW83" s="684"/>
      <c r="FXX83" s="684"/>
      <c r="FXY83" s="684"/>
      <c r="FXZ83" s="684"/>
      <c r="FYA83" s="684"/>
      <c r="FYB83" s="684"/>
      <c r="FYC83" s="684"/>
      <c r="FYD83" s="684"/>
      <c r="FYE83" s="684"/>
      <c r="FYF83" s="684"/>
      <c r="FYG83" s="684"/>
      <c r="FYH83" s="684"/>
      <c r="FYI83" s="684"/>
      <c r="FYJ83" s="684"/>
      <c r="FYK83" s="684"/>
      <c r="FYL83" s="684"/>
      <c r="FYM83" s="684"/>
      <c r="FYN83" s="684"/>
      <c r="FYO83" s="684"/>
      <c r="FYP83" s="684"/>
      <c r="FYQ83" s="684"/>
      <c r="FYR83" s="684"/>
      <c r="FYS83" s="684"/>
      <c r="FYT83" s="684"/>
      <c r="FYU83" s="684"/>
      <c r="FYV83" s="684"/>
      <c r="FYW83" s="684"/>
      <c r="FYX83" s="684"/>
      <c r="FYY83" s="684"/>
      <c r="FYZ83" s="684"/>
      <c r="FZA83" s="684"/>
      <c r="FZB83" s="684"/>
      <c r="FZC83" s="684"/>
      <c r="FZD83" s="684"/>
      <c r="FZE83" s="684"/>
      <c r="FZF83" s="684"/>
      <c r="FZG83" s="684"/>
      <c r="FZH83" s="684"/>
      <c r="FZI83" s="684"/>
      <c r="FZJ83" s="684"/>
      <c r="FZK83" s="684"/>
      <c r="FZL83" s="684"/>
      <c r="FZM83" s="684"/>
      <c r="FZN83" s="684"/>
      <c r="FZO83" s="684"/>
      <c r="FZP83" s="684"/>
      <c r="FZQ83" s="684"/>
      <c r="FZR83" s="684"/>
      <c r="FZS83" s="684"/>
      <c r="FZT83" s="684"/>
      <c r="FZU83" s="684"/>
      <c r="FZV83" s="684"/>
      <c r="FZW83" s="684"/>
      <c r="FZX83" s="684"/>
      <c r="FZY83" s="684"/>
      <c r="FZZ83" s="684"/>
      <c r="GAA83" s="684"/>
      <c r="GAB83" s="684"/>
      <c r="GAC83" s="684"/>
      <c r="GAD83" s="684"/>
      <c r="GAE83" s="684"/>
      <c r="GAF83" s="684"/>
      <c r="GAG83" s="684"/>
      <c r="GAH83" s="684"/>
      <c r="GAI83" s="684"/>
      <c r="GAJ83" s="684"/>
      <c r="GAK83" s="684"/>
      <c r="GAL83" s="684"/>
      <c r="GAM83" s="684"/>
      <c r="GAN83" s="684"/>
      <c r="GAO83" s="684"/>
      <c r="GAP83" s="684"/>
      <c r="GAQ83" s="684"/>
      <c r="GAR83" s="684"/>
      <c r="GAS83" s="684"/>
      <c r="GAT83" s="684"/>
      <c r="GAU83" s="684"/>
      <c r="GAV83" s="684"/>
      <c r="GAW83" s="684"/>
      <c r="GAX83" s="684"/>
      <c r="GAY83" s="684"/>
      <c r="GAZ83" s="684"/>
      <c r="GBA83" s="684"/>
      <c r="GBB83" s="684"/>
      <c r="GBC83" s="684"/>
      <c r="GBD83" s="684"/>
      <c r="GBE83" s="684"/>
      <c r="GBF83" s="684"/>
      <c r="GBG83" s="684"/>
      <c r="GBH83" s="684"/>
      <c r="GBI83" s="684"/>
      <c r="GBJ83" s="684"/>
      <c r="GBK83" s="684"/>
      <c r="GBL83" s="684"/>
      <c r="GBM83" s="684"/>
      <c r="GBN83" s="684"/>
      <c r="GBO83" s="684"/>
      <c r="GBP83" s="684"/>
      <c r="GBQ83" s="684"/>
      <c r="GBR83" s="684"/>
      <c r="GBS83" s="684"/>
      <c r="GBT83" s="684"/>
      <c r="GBU83" s="684"/>
      <c r="GBV83" s="684"/>
      <c r="GBW83" s="684"/>
      <c r="GBX83" s="684"/>
      <c r="GBY83" s="684"/>
      <c r="GBZ83" s="684"/>
      <c r="GCA83" s="684"/>
      <c r="GCB83" s="684"/>
      <c r="GCC83" s="684"/>
      <c r="GCD83" s="684"/>
      <c r="GCE83" s="684"/>
      <c r="GCF83" s="684"/>
      <c r="GCG83" s="684"/>
      <c r="GCH83" s="684"/>
      <c r="GCI83" s="684"/>
      <c r="GCJ83" s="684"/>
      <c r="GCK83" s="684"/>
      <c r="GCL83" s="684"/>
      <c r="GCM83" s="684"/>
      <c r="GCN83" s="684"/>
      <c r="GCO83" s="684"/>
      <c r="GCP83" s="684"/>
      <c r="GCQ83" s="684"/>
      <c r="GCR83" s="684"/>
      <c r="GCS83" s="684"/>
      <c r="GCT83" s="684"/>
      <c r="GCU83" s="684"/>
      <c r="GCV83" s="684"/>
      <c r="GCW83" s="684"/>
      <c r="GCX83" s="684"/>
      <c r="GCY83" s="684"/>
      <c r="GCZ83" s="684"/>
      <c r="GDA83" s="684"/>
      <c r="GDB83" s="684"/>
      <c r="GDC83" s="684"/>
      <c r="GDD83" s="684"/>
      <c r="GDE83" s="684"/>
      <c r="GDF83" s="684"/>
      <c r="GDG83" s="684"/>
      <c r="GDH83" s="684"/>
      <c r="GDI83" s="684"/>
      <c r="GDJ83" s="684"/>
      <c r="GDK83" s="684"/>
      <c r="GDL83" s="684"/>
      <c r="GDM83" s="684"/>
      <c r="GDN83" s="684"/>
      <c r="GDO83" s="684"/>
      <c r="GDP83" s="684"/>
      <c r="GDQ83" s="684"/>
      <c r="GDR83" s="684"/>
      <c r="GDS83" s="684"/>
      <c r="GDT83" s="684"/>
      <c r="GDU83" s="684"/>
      <c r="GDV83" s="684"/>
      <c r="GDW83" s="684"/>
      <c r="GDX83" s="684"/>
      <c r="GDY83" s="684"/>
      <c r="GDZ83" s="684"/>
      <c r="GEA83" s="684"/>
      <c r="GEB83" s="684"/>
      <c r="GEC83" s="684"/>
      <c r="GED83" s="684"/>
      <c r="GEE83" s="684"/>
      <c r="GEF83" s="684"/>
      <c r="GEG83" s="684"/>
      <c r="GEH83" s="684"/>
      <c r="GEI83" s="684"/>
      <c r="GEJ83" s="684"/>
      <c r="GEK83" s="684"/>
      <c r="GEL83" s="684"/>
      <c r="GEM83" s="684"/>
      <c r="GEN83" s="684"/>
      <c r="GEO83" s="684"/>
      <c r="GEP83" s="684"/>
      <c r="GEQ83" s="684"/>
      <c r="GER83" s="684"/>
      <c r="GES83" s="684"/>
      <c r="GET83" s="684"/>
      <c r="GEU83" s="684"/>
      <c r="GEV83" s="684"/>
      <c r="GEW83" s="684"/>
      <c r="GEX83" s="684"/>
      <c r="GEY83" s="684"/>
      <c r="GEZ83" s="684"/>
      <c r="GFA83" s="684"/>
      <c r="GFB83" s="684"/>
      <c r="GFC83" s="684"/>
      <c r="GFD83" s="684"/>
      <c r="GFE83" s="684"/>
      <c r="GFF83" s="684"/>
      <c r="GFG83" s="684"/>
      <c r="GFH83" s="684"/>
      <c r="GFI83" s="684"/>
      <c r="GFJ83" s="684"/>
      <c r="GFK83" s="684"/>
      <c r="GFL83" s="684"/>
      <c r="GFM83" s="684"/>
      <c r="GFN83" s="684"/>
      <c r="GFO83" s="684"/>
      <c r="GFP83" s="684"/>
      <c r="GFQ83" s="684"/>
      <c r="GFR83" s="684"/>
      <c r="GFS83" s="684"/>
      <c r="GFT83" s="684"/>
      <c r="GFU83" s="684"/>
      <c r="GFV83" s="684"/>
      <c r="GFW83" s="684"/>
      <c r="GFX83" s="684"/>
      <c r="GFY83" s="684"/>
      <c r="GFZ83" s="684"/>
      <c r="GGA83" s="684"/>
      <c r="GGB83" s="684"/>
      <c r="GGC83" s="684"/>
      <c r="GGD83" s="684"/>
      <c r="GGE83" s="684"/>
      <c r="GGF83" s="684"/>
      <c r="GGG83" s="684"/>
      <c r="GGH83" s="684"/>
      <c r="GGI83" s="684"/>
      <c r="GGJ83" s="684"/>
      <c r="GGK83" s="684"/>
      <c r="GGL83" s="684"/>
      <c r="GGM83" s="684"/>
      <c r="GGN83" s="684"/>
      <c r="GGO83" s="684"/>
      <c r="GGP83" s="684"/>
      <c r="GGQ83" s="684"/>
      <c r="GGR83" s="684"/>
      <c r="GGS83" s="684"/>
      <c r="GGT83" s="684"/>
      <c r="GGU83" s="684"/>
      <c r="GGV83" s="684"/>
      <c r="GGW83" s="684"/>
      <c r="GGX83" s="684"/>
      <c r="GGY83" s="684"/>
      <c r="GGZ83" s="684"/>
      <c r="GHA83" s="684"/>
      <c r="GHB83" s="684"/>
      <c r="GHC83" s="684"/>
      <c r="GHD83" s="684"/>
      <c r="GHE83" s="684"/>
      <c r="GHF83" s="684"/>
      <c r="GHG83" s="684"/>
      <c r="GHH83" s="684"/>
      <c r="GHI83" s="684"/>
      <c r="GHJ83" s="684"/>
      <c r="GHK83" s="684"/>
      <c r="GHL83" s="684"/>
      <c r="GHM83" s="684"/>
      <c r="GHN83" s="684"/>
      <c r="GHO83" s="684"/>
      <c r="GHP83" s="684"/>
      <c r="GHQ83" s="684"/>
      <c r="GHR83" s="684"/>
      <c r="GHS83" s="684"/>
      <c r="GHT83" s="684"/>
      <c r="GHU83" s="684"/>
      <c r="GHV83" s="684"/>
      <c r="GHW83" s="684"/>
      <c r="GHX83" s="684"/>
      <c r="GHY83" s="684"/>
      <c r="GHZ83" s="684"/>
      <c r="GIA83" s="684"/>
      <c r="GIB83" s="684"/>
      <c r="GIC83" s="684"/>
      <c r="GID83" s="684"/>
      <c r="GIE83" s="684"/>
      <c r="GIF83" s="684"/>
      <c r="GIG83" s="684"/>
      <c r="GIH83" s="684"/>
      <c r="GII83" s="684"/>
      <c r="GIJ83" s="684"/>
      <c r="GIK83" s="684"/>
      <c r="GIL83" s="684"/>
      <c r="GIM83" s="684"/>
      <c r="GIN83" s="684"/>
      <c r="GIO83" s="684"/>
      <c r="GIP83" s="684"/>
      <c r="GIQ83" s="684"/>
      <c r="GIR83" s="684"/>
      <c r="GIS83" s="684"/>
      <c r="GIT83" s="684"/>
      <c r="GIU83" s="684"/>
      <c r="GIV83" s="684"/>
      <c r="GIW83" s="684"/>
      <c r="GIX83" s="684"/>
      <c r="GIY83" s="684"/>
      <c r="GIZ83" s="684"/>
      <c r="GJA83" s="684"/>
      <c r="GJB83" s="684"/>
      <c r="GJC83" s="684"/>
      <c r="GJD83" s="684"/>
      <c r="GJE83" s="684"/>
      <c r="GJF83" s="684"/>
      <c r="GJG83" s="684"/>
      <c r="GJH83" s="684"/>
      <c r="GJI83" s="684"/>
      <c r="GJJ83" s="684"/>
      <c r="GJK83" s="684"/>
      <c r="GJL83" s="684"/>
      <c r="GJM83" s="684"/>
      <c r="GJN83" s="684"/>
      <c r="GJO83" s="684"/>
      <c r="GJP83" s="684"/>
      <c r="GJQ83" s="684"/>
      <c r="GJR83" s="684"/>
      <c r="GJS83" s="684"/>
      <c r="GJT83" s="684"/>
      <c r="GJU83" s="684"/>
      <c r="GJV83" s="684"/>
      <c r="GJW83" s="684"/>
      <c r="GJX83" s="684"/>
      <c r="GJY83" s="684"/>
      <c r="GJZ83" s="684"/>
      <c r="GKA83" s="684"/>
      <c r="GKB83" s="684"/>
      <c r="GKC83" s="684"/>
      <c r="GKD83" s="684"/>
      <c r="GKE83" s="684"/>
      <c r="GKF83" s="684"/>
      <c r="GKG83" s="684"/>
      <c r="GKH83" s="684"/>
      <c r="GKI83" s="684"/>
      <c r="GKJ83" s="684"/>
      <c r="GKK83" s="684"/>
      <c r="GKL83" s="684"/>
      <c r="GKM83" s="684"/>
      <c r="GKN83" s="684"/>
      <c r="GKO83" s="684"/>
      <c r="GKP83" s="684"/>
      <c r="GKQ83" s="684"/>
      <c r="GKR83" s="684"/>
      <c r="GKS83" s="684"/>
      <c r="GKT83" s="684"/>
      <c r="GKU83" s="684"/>
      <c r="GKV83" s="684"/>
      <c r="GKW83" s="684"/>
      <c r="GKX83" s="684"/>
      <c r="GKY83" s="684"/>
      <c r="GKZ83" s="684"/>
      <c r="GLA83" s="684"/>
      <c r="GLB83" s="684"/>
      <c r="GLC83" s="684"/>
      <c r="GLD83" s="684"/>
      <c r="GLE83" s="684"/>
      <c r="GLF83" s="684"/>
      <c r="GLG83" s="684"/>
      <c r="GLH83" s="684"/>
      <c r="GLI83" s="684"/>
      <c r="GLJ83" s="684"/>
      <c r="GLK83" s="684"/>
      <c r="GLL83" s="684"/>
      <c r="GLM83" s="684"/>
      <c r="GLN83" s="684"/>
      <c r="GLO83" s="684"/>
      <c r="GLP83" s="684"/>
      <c r="GLQ83" s="684"/>
      <c r="GLR83" s="684"/>
      <c r="GLS83" s="684"/>
      <c r="GLT83" s="684"/>
      <c r="GLU83" s="684"/>
      <c r="GLV83" s="684"/>
      <c r="GLW83" s="684"/>
      <c r="GLX83" s="684"/>
      <c r="GLY83" s="684"/>
      <c r="GLZ83" s="684"/>
      <c r="GMA83" s="684"/>
      <c r="GMB83" s="684"/>
      <c r="GMC83" s="684"/>
      <c r="GMD83" s="684"/>
      <c r="GME83" s="684"/>
      <c r="GMF83" s="684"/>
      <c r="GMG83" s="684"/>
      <c r="GMH83" s="684"/>
      <c r="GMI83" s="684"/>
      <c r="GMJ83" s="684"/>
      <c r="GMK83" s="684"/>
      <c r="GML83" s="684"/>
      <c r="GMM83" s="684"/>
      <c r="GMN83" s="684"/>
      <c r="GMO83" s="684"/>
      <c r="GMP83" s="684"/>
      <c r="GMQ83" s="684"/>
      <c r="GMR83" s="684"/>
      <c r="GMS83" s="684"/>
      <c r="GMT83" s="684"/>
      <c r="GMU83" s="684"/>
      <c r="GMV83" s="684"/>
      <c r="GMW83" s="684"/>
      <c r="GMX83" s="684"/>
      <c r="GMY83" s="684"/>
      <c r="GMZ83" s="684"/>
      <c r="GNA83" s="684"/>
      <c r="GNB83" s="684"/>
      <c r="GNC83" s="684"/>
      <c r="GND83" s="684"/>
      <c r="GNE83" s="684"/>
      <c r="GNF83" s="684"/>
      <c r="GNG83" s="684"/>
      <c r="GNH83" s="684"/>
      <c r="GNI83" s="684"/>
      <c r="GNJ83" s="684"/>
      <c r="GNK83" s="684"/>
      <c r="GNL83" s="684"/>
      <c r="GNM83" s="684"/>
      <c r="GNN83" s="684"/>
      <c r="GNO83" s="684"/>
      <c r="GNP83" s="684"/>
      <c r="GNQ83" s="684"/>
      <c r="GNR83" s="684"/>
      <c r="GNS83" s="684"/>
      <c r="GNT83" s="684"/>
      <c r="GNU83" s="684"/>
      <c r="GNV83" s="684"/>
      <c r="GNW83" s="684"/>
      <c r="GNX83" s="684"/>
      <c r="GNY83" s="684"/>
      <c r="GNZ83" s="684"/>
      <c r="GOA83" s="684"/>
      <c r="GOB83" s="684"/>
      <c r="GOC83" s="684"/>
      <c r="GOD83" s="684"/>
      <c r="GOE83" s="684"/>
      <c r="GOF83" s="684"/>
      <c r="GOG83" s="684"/>
      <c r="GOH83" s="684"/>
      <c r="GOI83" s="684"/>
      <c r="GOJ83" s="684"/>
      <c r="GOK83" s="684"/>
      <c r="GOL83" s="684"/>
      <c r="GOM83" s="684"/>
      <c r="GON83" s="684"/>
      <c r="GOO83" s="684"/>
      <c r="GOP83" s="684"/>
      <c r="GOQ83" s="684"/>
      <c r="GOR83" s="684"/>
      <c r="GOS83" s="684"/>
      <c r="GOT83" s="684"/>
      <c r="GOU83" s="684"/>
      <c r="GOV83" s="684"/>
      <c r="GOW83" s="684"/>
      <c r="GOX83" s="684"/>
      <c r="GOY83" s="684"/>
      <c r="GOZ83" s="684"/>
      <c r="GPA83" s="684"/>
      <c r="GPB83" s="684"/>
      <c r="GPC83" s="684"/>
      <c r="GPD83" s="684"/>
      <c r="GPE83" s="684"/>
      <c r="GPF83" s="684"/>
      <c r="GPG83" s="684"/>
      <c r="GPH83" s="684"/>
      <c r="GPI83" s="684"/>
      <c r="GPJ83" s="684"/>
      <c r="GPK83" s="684"/>
      <c r="GPL83" s="684"/>
      <c r="GPM83" s="684"/>
      <c r="GPN83" s="684"/>
      <c r="GPO83" s="684"/>
      <c r="GPP83" s="684"/>
      <c r="GPQ83" s="684"/>
      <c r="GPR83" s="684"/>
      <c r="GPS83" s="684"/>
      <c r="GPT83" s="684"/>
      <c r="GPU83" s="684"/>
      <c r="GPV83" s="684"/>
      <c r="GPW83" s="684"/>
      <c r="GPX83" s="684"/>
      <c r="GPY83" s="684"/>
      <c r="GPZ83" s="684"/>
      <c r="GQA83" s="684"/>
      <c r="GQB83" s="684"/>
      <c r="GQC83" s="684"/>
      <c r="GQD83" s="684"/>
      <c r="GQE83" s="684"/>
      <c r="GQF83" s="684"/>
      <c r="GQG83" s="684"/>
      <c r="GQH83" s="684"/>
      <c r="GQI83" s="684"/>
      <c r="GQJ83" s="684"/>
      <c r="GQK83" s="684"/>
      <c r="GQL83" s="684"/>
      <c r="GQM83" s="684"/>
      <c r="GQN83" s="684"/>
      <c r="GQO83" s="684"/>
      <c r="GQP83" s="684"/>
      <c r="GQQ83" s="684"/>
      <c r="GQR83" s="684"/>
      <c r="GQS83" s="684"/>
      <c r="GQT83" s="684"/>
      <c r="GQU83" s="684"/>
      <c r="GQV83" s="684"/>
      <c r="GQW83" s="684"/>
      <c r="GQX83" s="684"/>
      <c r="GQY83" s="684"/>
      <c r="GQZ83" s="684"/>
      <c r="GRA83" s="684"/>
      <c r="GRB83" s="684"/>
      <c r="GRC83" s="684"/>
      <c r="GRD83" s="684"/>
      <c r="GRE83" s="684"/>
      <c r="GRF83" s="684"/>
      <c r="GRG83" s="684"/>
      <c r="GRH83" s="684"/>
      <c r="GRI83" s="684"/>
      <c r="GRJ83" s="684"/>
      <c r="GRK83" s="684"/>
      <c r="GRL83" s="684"/>
      <c r="GRM83" s="684"/>
      <c r="GRN83" s="684"/>
      <c r="GRO83" s="684"/>
      <c r="GRP83" s="684"/>
      <c r="GRQ83" s="684"/>
      <c r="GRR83" s="684"/>
      <c r="GRS83" s="684"/>
      <c r="GRT83" s="684"/>
      <c r="GRU83" s="684"/>
      <c r="GRV83" s="684"/>
      <c r="GRW83" s="684"/>
      <c r="GRX83" s="684"/>
      <c r="GRY83" s="684"/>
      <c r="GRZ83" s="684"/>
      <c r="GSA83" s="684"/>
      <c r="GSB83" s="684"/>
      <c r="GSC83" s="684"/>
      <c r="GSD83" s="684"/>
      <c r="GSE83" s="684"/>
      <c r="GSF83" s="684"/>
      <c r="GSG83" s="684"/>
      <c r="GSH83" s="684"/>
      <c r="GSI83" s="684"/>
      <c r="GSJ83" s="684"/>
      <c r="GSK83" s="684"/>
      <c r="GSL83" s="684"/>
      <c r="GSM83" s="684"/>
      <c r="GSN83" s="684"/>
      <c r="GSO83" s="684"/>
      <c r="GSP83" s="684"/>
      <c r="GSQ83" s="684"/>
      <c r="GSR83" s="684"/>
      <c r="GSS83" s="684"/>
      <c r="GST83" s="684"/>
      <c r="GSU83" s="684"/>
      <c r="GSV83" s="684"/>
      <c r="GSW83" s="684"/>
      <c r="GSX83" s="684"/>
      <c r="GSY83" s="684"/>
      <c r="GSZ83" s="684"/>
      <c r="GTA83" s="684"/>
      <c r="GTB83" s="684"/>
      <c r="GTC83" s="684"/>
      <c r="GTD83" s="684"/>
      <c r="GTE83" s="684"/>
      <c r="GTF83" s="684"/>
      <c r="GTG83" s="684"/>
      <c r="GTH83" s="684"/>
      <c r="GTI83" s="684"/>
      <c r="GTJ83" s="684"/>
      <c r="GTK83" s="684"/>
      <c r="GTL83" s="684"/>
      <c r="GTM83" s="684"/>
      <c r="GTN83" s="684"/>
      <c r="GTO83" s="684"/>
      <c r="GTP83" s="684"/>
      <c r="GTQ83" s="684"/>
      <c r="GTR83" s="684"/>
      <c r="GTS83" s="684"/>
      <c r="GTT83" s="684"/>
      <c r="GTU83" s="684"/>
      <c r="GTV83" s="684"/>
      <c r="GTW83" s="684"/>
      <c r="GTX83" s="684"/>
      <c r="GTY83" s="684"/>
      <c r="GTZ83" s="684"/>
      <c r="GUA83" s="684"/>
      <c r="GUB83" s="684"/>
      <c r="GUC83" s="684"/>
      <c r="GUD83" s="684"/>
      <c r="GUE83" s="684"/>
      <c r="GUF83" s="684"/>
      <c r="GUG83" s="684"/>
      <c r="GUH83" s="684"/>
      <c r="GUI83" s="684"/>
      <c r="GUJ83" s="684"/>
      <c r="GUK83" s="684"/>
      <c r="GUL83" s="684"/>
      <c r="GUM83" s="684"/>
      <c r="GUN83" s="684"/>
      <c r="GUO83" s="684"/>
      <c r="GUP83" s="684"/>
      <c r="GUQ83" s="684"/>
      <c r="GUR83" s="684"/>
      <c r="GUS83" s="684"/>
      <c r="GUT83" s="684"/>
      <c r="GUU83" s="684"/>
      <c r="GUV83" s="684"/>
      <c r="GUW83" s="684"/>
      <c r="GUX83" s="684"/>
      <c r="GUY83" s="684"/>
      <c r="GUZ83" s="684"/>
      <c r="GVA83" s="684"/>
      <c r="GVB83" s="684"/>
      <c r="GVC83" s="684"/>
      <c r="GVD83" s="684"/>
      <c r="GVE83" s="684"/>
      <c r="GVF83" s="684"/>
      <c r="GVG83" s="684"/>
      <c r="GVH83" s="684"/>
      <c r="GVI83" s="684"/>
      <c r="GVJ83" s="684"/>
      <c r="GVK83" s="684"/>
      <c r="GVL83" s="684"/>
      <c r="GVM83" s="684"/>
      <c r="GVN83" s="684"/>
      <c r="GVO83" s="684"/>
      <c r="GVP83" s="684"/>
      <c r="GVQ83" s="684"/>
      <c r="GVR83" s="684"/>
      <c r="GVS83" s="684"/>
      <c r="GVT83" s="684"/>
      <c r="GVU83" s="684"/>
      <c r="GVV83" s="684"/>
      <c r="GVW83" s="684"/>
      <c r="GVX83" s="684"/>
      <c r="GVY83" s="684"/>
      <c r="GVZ83" s="684"/>
      <c r="GWA83" s="684"/>
      <c r="GWB83" s="684"/>
      <c r="GWC83" s="684"/>
      <c r="GWD83" s="684"/>
      <c r="GWE83" s="684"/>
      <c r="GWF83" s="684"/>
      <c r="GWG83" s="684"/>
      <c r="GWH83" s="684"/>
      <c r="GWI83" s="684"/>
      <c r="GWJ83" s="684"/>
      <c r="GWK83" s="684"/>
      <c r="GWL83" s="684"/>
      <c r="GWM83" s="684"/>
      <c r="GWN83" s="684"/>
      <c r="GWO83" s="684"/>
      <c r="GWP83" s="684"/>
      <c r="GWQ83" s="684"/>
      <c r="GWR83" s="684"/>
      <c r="GWS83" s="684"/>
      <c r="GWT83" s="684"/>
      <c r="GWU83" s="684"/>
      <c r="GWV83" s="684"/>
      <c r="GWW83" s="684"/>
      <c r="GWX83" s="684"/>
      <c r="GWY83" s="684"/>
      <c r="GWZ83" s="684"/>
      <c r="GXA83" s="684"/>
      <c r="GXB83" s="684"/>
      <c r="GXC83" s="684"/>
      <c r="GXD83" s="684"/>
      <c r="GXE83" s="684"/>
      <c r="GXF83" s="684"/>
      <c r="GXG83" s="684"/>
      <c r="GXH83" s="684"/>
      <c r="GXI83" s="684"/>
      <c r="GXJ83" s="684"/>
      <c r="GXK83" s="684"/>
      <c r="GXL83" s="684"/>
      <c r="GXM83" s="684"/>
      <c r="GXN83" s="684"/>
      <c r="GXO83" s="684"/>
      <c r="GXP83" s="684"/>
      <c r="GXQ83" s="684"/>
      <c r="GXR83" s="684"/>
      <c r="GXS83" s="684"/>
      <c r="GXT83" s="684"/>
      <c r="GXU83" s="684"/>
      <c r="GXV83" s="684"/>
      <c r="GXW83" s="684"/>
      <c r="GXX83" s="684"/>
      <c r="GXY83" s="684"/>
      <c r="GXZ83" s="684"/>
      <c r="GYA83" s="684"/>
      <c r="GYB83" s="684"/>
      <c r="GYC83" s="684"/>
      <c r="GYD83" s="684"/>
      <c r="GYE83" s="684"/>
      <c r="GYF83" s="684"/>
      <c r="GYG83" s="684"/>
      <c r="GYH83" s="684"/>
      <c r="GYI83" s="684"/>
      <c r="GYJ83" s="684"/>
      <c r="GYK83" s="684"/>
      <c r="GYL83" s="684"/>
      <c r="GYM83" s="684"/>
      <c r="GYN83" s="684"/>
      <c r="GYO83" s="684"/>
      <c r="GYP83" s="684"/>
      <c r="GYQ83" s="684"/>
      <c r="GYR83" s="684"/>
      <c r="GYS83" s="684"/>
      <c r="GYT83" s="684"/>
      <c r="GYU83" s="684"/>
      <c r="GYV83" s="684"/>
      <c r="GYW83" s="684"/>
      <c r="GYX83" s="684"/>
      <c r="GYY83" s="684"/>
      <c r="GYZ83" s="684"/>
      <c r="GZA83" s="684"/>
      <c r="GZB83" s="684"/>
      <c r="GZC83" s="684"/>
      <c r="GZD83" s="684"/>
      <c r="GZE83" s="684"/>
      <c r="GZF83" s="684"/>
      <c r="GZG83" s="684"/>
      <c r="GZH83" s="684"/>
      <c r="GZI83" s="684"/>
      <c r="GZJ83" s="684"/>
      <c r="GZK83" s="684"/>
      <c r="GZL83" s="684"/>
      <c r="GZM83" s="684"/>
      <c r="GZN83" s="684"/>
      <c r="GZO83" s="684"/>
      <c r="GZP83" s="684"/>
      <c r="GZQ83" s="684"/>
      <c r="GZR83" s="684"/>
      <c r="GZS83" s="684"/>
      <c r="GZT83" s="684"/>
      <c r="GZU83" s="684"/>
      <c r="GZV83" s="684"/>
      <c r="GZW83" s="684"/>
      <c r="GZX83" s="684"/>
      <c r="GZY83" s="684"/>
      <c r="GZZ83" s="684"/>
      <c r="HAA83" s="684"/>
      <c r="HAB83" s="684"/>
      <c r="HAC83" s="684"/>
      <c r="HAD83" s="684"/>
      <c r="HAE83" s="684"/>
      <c r="HAF83" s="684"/>
      <c r="HAG83" s="684"/>
      <c r="HAH83" s="684"/>
      <c r="HAI83" s="684"/>
      <c r="HAJ83" s="684"/>
      <c r="HAK83" s="684"/>
      <c r="HAL83" s="684"/>
      <c r="HAM83" s="684"/>
      <c r="HAN83" s="684"/>
      <c r="HAO83" s="684"/>
      <c r="HAP83" s="684"/>
      <c r="HAQ83" s="684"/>
      <c r="HAR83" s="684"/>
      <c r="HAS83" s="684"/>
      <c r="HAT83" s="684"/>
      <c r="HAU83" s="684"/>
      <c r="HAV83" s="684"/>
      <c r="HAW83" s="684"/>
      <c r="HAX83" s="684"/>
      <c r="HAY83" s="684"/>
      <c r="HAZ83" s="684"/>
      <c r="HBA83" s="684"/>
      <c r="HBB83" s="684"/>
      <c r="HBC83" s="684"/>
      <c r="HBD83" s="684"/>
      <c r="HBE83" s="684"/>
      <c r="HBF83" s="684"/>
      <c r="HBG83" s="684"/>
      <c r="HBH83" s="684"/>
      <c r="HBI83" s="684"/>
      <c r="HBJ83" s="684"/>
      <c r="HBK83" s="684"/>
      <c r="HBL83" s="684"/>
      <c r="HBM83" s="684"/>
      <c r="HBN83" s="684"/>
      <c r="HBO83" s="684"/>
      <c r="HBP83" s="684"/>
      <c r="HBQ83" s="684"/>
      <c r="HBR83" s="684"/>
      <c r="HBS83" s="684"/>
      <c r="HBT83" s="684"/>
      <c r="HBU83" s="684"/>
      <c r="HBV83" s="684"/>
      <c r="HBW83" s="684"/>
      <c r="HBX83" s="684"/>
      <c r="HBY83" s="684"/>
      <c r="HBZ83" s="684"/>
      <c r="HCA83" s="684"/>
      <c r="HCB83" s="684"/>
      <c r="HCC83" s="684"/>
      <c r="HCD83" s="684"/>
      <c r="HCE83" s="684"/>
      <c r="HCF83" s="684"/>
      <c r="HCG83" s="684"/>
      <c r="HCH83" s="684"/>
      <c r="HCI83" s="684"/>
      <c r="HCJ83" s="684"/>
      <c r="HCK83" s="684"/>
      <c r="HCL83" s="684"/>
      <c r="HCM83" s="684"/>
      <c r="HCN83" s="684"/>
      <c r="HCO83" s="684"/>
      <c r="HCP83" s="684"/>
      <c r="HCQ83" s="684"/>
      <c r="HCR83" s="684"/>
      <c r="HCS83" s="684"/>
      <c r="HCT83" s="684"/>
      <c r="HCU83" s="684"/>
      <c r="HCV83" s="684"/>
      <c r="HCW83" s="684"/>
      <c r="HCX83" s="684"/>
      <c r="HCY83" s="684"/>
      <c r="HCZ83" s="684"/>
      <c r="HDA83" s="684"/>
      <c r="HDB83" s="684"/>
      <c r="HDC83" s="684"/>
      <c r="HDD83" s="684"/>
      <c r="HDE83" s="684"/>
      <c r="HDF83" s="684"/>
      <c r="HDG83" s="684"/>
      <c r="HDH83" s="684"/>
      <c r="HDI83" s="684"/>
      <c r="HDJ83" s="684"/>
      <c r="HDK83" s="684"/>
      <c r="HDL83" s="684"/>
      <c r="HDM83" s="684"/>
      <c r="HDN83" s="684"/>
      <c r="HDO83" s="684"/>
      <c r="HDP83" s="684"/>
      <c r="HDQ83" s="684"/>
      <c r="HDR83" s="684"/>
      <c r="HDS83" s="684"/>
      <c r="HDT83" s="684"/>
      <c r="HDU83" s="684"/>
      <c r="HDV83" s="684"/>
      <c r="HDW83" s="684"/>
      <c r="HDX83" s="684"/>
      <c r="HDY83" s="684"/>
      <c r="HDZ83" s="684"/>
      <c r="HEA83" s="684"/>
      <c r="HEB83" s="684"/>
      <c r="HEC83" s="684"/>
      <c r="HED83" s="684"/>
      <c r="HEE83" s="684"/>
      <c r="HEF83" s="684"/>
      <c r="HEG83" s="684"/>
      <c r="HEH83" s="684"/>
      <c r="HEI83" s="684"/>
      <c r="HEJ83" s="684"/>
      <c r="HEK83" s="684"/>
      <c r="HEL83" s="684"/>
      <c r="HEM83" s="684"/>
      <c r="HEN83" s="684"/>
      <c r="HEO83" s="684"/>
      <c r="HEP83" s="684"/>
      <c r="HEQ83" s="684"/>
      <c r="HER83" s="684"/>
      <c r="HES83" s="684"/>
      <c r="HET83" s="684"/>
      <c r="HEU83" s="684"/>
      <c r="HEV83" s="684"/>
      <c r="HEW83" s="684"/>
      <c r="HEX83" s="684"/>
      <c r="HEY83" s="684"/>
      <c r="HEZ83" s="684"/>
      <c r="HFA83" s="684"/>
      <c r="HFB83" s="684"/>
      <c r="HFC83" s="684"/>
      <c r="HFD83" s="684"/>
      <c r="HFE83" s="684"/>
      <c r="HFF83" s="684"/>
      <c r="HFG83" s="684"/>
      <c r="HFH83" s="684"/>
      <c r="HFI83" s="684"/>
      <c r="HFJ83" s="684"/>
      <c r="HFK83" s="684"/>
      <c r="HFL83" s="684"/>
      <c r="HFM83" s="684"/>
      <c r="HFN83" s="684"/>
      <c r="HFO83" s="684"/>
      <c r="HFP83" s="684"/>
      <c r="HFQ83" s="684"/>
      <c r="HFR83" s="684"/>
      <c r="HFS83" s="684"/>
      <c r="HFT83" s="684"/>
      <c r="HFU83" s="684"/>
      <c r="HFV83" s="684"/>
      <c r="HFW83" s="684"/>
      <c r="HFX83" s="684"/>
      <c r="HFY83" s="684"/>
      <c r="HFZ83" s="684"/>
      <c r="HGA83" s="684"/>
      <c r="HGB83" s="684"/>
      <c r="HGC83" s="684"/>
      <c r="HGD83" s="684"/>
      <c r="HGE83" s="684"/>
      <c r="HGF83" s="684"/>
      <c r="HGG83" s="684"/>
      <c r="HGH83" s="684"/>
      <c r="HGI83" s="684"/>
      <c r="HGJ83" s="684"/>
      <c r="HGK83" s="684"/>
      <c r="HGL83" s="684"/>
      <c r="HGM83" s="684"/>
      <c r="HGN83" s="684"/>
      <c r="HGO83" s="684"/>
      <c r="HGP83" s="684"/>
      <c r="HGQ83" s="684"/>
      <c r="HGR83" s="684"/>
      <c r="HGS83" s="684"/>
      <c r="HGT83" s="684"/>
      <c r="HGU83" s="684"/>
      <c r="HGV83" s="684"/>
      <c r="HGW83" s="684"/>
      <c r="HGX83" s="684"/>
      <c r="HGY83" s="684"/>
      <c r="HGZ83" s="684"/>
      <c r="HHA83" s="684"/>
      <c r="HHB83" s="684"/>
      <c r="HHC83" s="684"/>
      <c r="HHD83" s="684"/>
      <c r="HHE83" s="684"/>
      <c r="HHF83" s="684"/>
      <c r="HHG83" s="684"/>
      <c r="HHH83" s="684"/>
      <c r="HHI83" s="684"/>
      <c r="HHJ83" s="684"/>
      <c r="HHK83" s="684"/>
      <c r="HHL83" s="684"/>
      <c r="HHM83" s="684"/>
      <c r="HHN83" s="684"/>
      <c r="HHO83" s="684"/>
      <c r="HHP83" s="684"/>
      <c r="HHQ83" s="684"/>
      <c r="HHR83" s="684"/>
      <c r="HHS83" s="684"/>
      <c r="HHT83" s="684"/>
      <c r="HHU83" s="684"/>
      <c r="HHV83" s="684"/>
      <c r="HHW83" s="684"/>
      <c r="HHX83" s="684"/>
      <c r="HHY83" s="684"/>
      <c r="HHZ83" s="684"/>
      <c r="HIA83" s="684"/>
      <c r="HIB83" s="684"/>
      <c r="HIC83" s="684"/>
      <c r="HID83" s="684"/>
      <c r="HIE83" s="684"/>
      <c r="HIF83" s="684"/>
      <c r="HIG83" s="684"/>
      <c r="HIH83" s="684"/>
      <c r="HII83" s="684"/>
      <c r="HIJ83" s="684"/>
      <c r="HIK83" s="684"/>
      <c r="HIL83" s="684"/>
      <c r="HIM83" s="684"/>
      <c r="HIN83" s="684"/>
      <c r="HIO83" s="684"/>
      <c r="HIP83" s="684"/>
      <c r="HIQ83" s="684"/>
      <c r="HIR83" s="684"/>
      <c r="HIS83" s="684"/>
      <c r="HIT83" s="684"/>
      <c r="HIU83" s="684"/>
      <c r="HIV83" s="684"/>
      <c r="HIW83" s="684"/>
      <c r="HIX83" s="684"/>
      <c r="HIY83" s="684"/>
      <c r="HIZ83" s="684"/>
      <c r="HJA83" s="684"/>
      <c r="HJB83" s="684"/>
      <c r="HJC83" s="684"/>
      <c r="HJD83" s="684"/>
      <c r="HJE83" s="684"/>
      <c r="HJF83" s="684"/>
      <c r="HJG83" s="684"/>
      <c r="HJH83" s="684"/>
      <c r="HJI83" s="684"/>
      <c r="HJJ83" s="684"/>
      <c r="HJK83" s="684"/>
      <c r="HJL83" s="684"/>
      <c r="HJM83" s="684"/>
      <c r="HJN83" s="684"/>
      <c r="HJO83" s="684"/>
      <c r="HJP83" s="684"/>
      <c r="HJQ83" s="684"/>
      <c r="HJR83" s="684"/>
      <c r="HJS83" s="684"/>
      <c r="HJT83" s="684"/>
      <c r="HJU83" s="684"/>
      <c r="HJV83" s="684"/>
      <c r="HJW83" s="684"/>
      <c r="HJX83" s="684"/>
      <c r="HJY83" s="684"/>
      <c r="HJZ83" s="684"/>
      <c r="HKA83" s="684"/>
      <c r="HKB83" s="684"/>
      <c r="HKC83" s="684"/>
      <c r="HKD83" s="684"/>
      <c r="HKE83" s="684"/>
      <c r="HKF83" s="684"/>
      <c r="HKG83" s="684"/>
      <c r="HKH83" s="684"/>
      <c r="HKI83" s="684"/>
      <c r="HKJ83" s="684"/>
      <c r="HKK83" s="684"/>
      <c r="HKL83" s="684"/>
      <c r="HKM83" s="684"/>
      <c r="HKN83" s="684"/>
      <c r="HKO83" s="684"/>
      <c r="HKP83" s="684"/>
      <c r="HKQ83" s="684"/>
      <c r="HKR83" s="684"/>
      <c r="HKS83" s="684"/>
      <c r="HKT83" s="684"/>
      <c r="HKU83" s="684"/>
      <c r="HKV83" s="684"/>
      <c r="HKW83" s="684"/>
      <c r="HKX83" s="684"/>
      <c r="HKY83" s="684"/>
      <c r="HKZ83" s="684"/>
      <c r="HLA83" s="684"/>
      <c r="HLB83" s="684"/>
      <c r="HLC83" s="684"/>
      <c r="HLD83" s="684"/>
      <c r="HLE83" s="684"/>
      <c r="HLF83" s="684"/>
      <c r="HLG83" s="684"/>
      <c r="HLH83" s="684"/>
      <c r="HLI83" s="684"/>
      <c r="HLJ83" s="684"/>
      <c r="HLK83" s="684"/>
      <c r="HLL83" s="684"/>
      <c r="HLM83" s="684"/>
      <c r="HLN83" s="684"/>
      <c r="HLO83" s="684"/>
      <c r="HLP83" s="684"/>
      <c r="HLQ83" s="684"/>
      <c r="HLR83" s="684"/>
      <c r="HLS83" s="684"/>
      <c r="HLT83" s="684"/>
      <c r="HLU83" s="684"/>
      <c r="HLV83" s="684"/>
      <c r="HLW83" s="684"/>
      <c r="HLX83" s="684"/>
      <c r="HLY83" s="684"/>
      <c r="HLZ83" s="684"/>
      <c r="HMA83" s="684"/>
      <c r="HMB83" s="684"/>
      <c r="HMC83" s="684"/>
      <c r="HMD83" s="684"/>
      <c r="HME83" s="684"/>
      <c r="HMF83" s="684"/>
      <c r="HMG83" s="684"/>
      <c r="HMH83" s="684"/>
      <c r="HMI83" s="684"/>
      <c r="HMJ83" s="684"/>
      <c r="HMK83" s="684"/>
      <c r="HML83" s="684"/>
      <c r="HMM83" s="684"/>
      <c r="HMN83" s="684"/>
      <c r="HMO83" s="684"/>
      <c r="HMP83" s="684"/>
      <c r="HMQ83" s="684"/>
      <c r="HMR83" s="684"/>
      <c r="HMS83" s="684"/>
      <c r="HMT83" s="684"/>
      <c r="HMU83" s="684"/>
      <c r="HMV83" s="684"/>
      <c r="HMW83" s="684"/>
      <c r="HMX83" s="684"/>
      <c r="HMY83" s="684"/>
      <c r="HMZ83" s="684"/>
      <c r="HNA83" s="684"/>
      <c r="HNB83" s="684"/>
      <c r="HNC83" s="684"/>
      <c r="HND83" s="684"/>
      <c r="HNE83" s="684"/>
      <c r="HNF83" s="684"/>
      <c r="HNG83" s="684"/>
      <c r="HNH83" s="684"/>
      <c r="HNI83" s="684"/>
      <c r="HNJ83" s="684"/>
      <c r="HNK83" s="684"/>
      <c r="HNL83" s="684"/>
      <c r="HNM83" s="684"/>
      <c r="HNN83" s="684"/>
      <c r="HNO83" s="684"/>
      <c r="HNP83" s="684"/>
      <c r="HNQ83" s="684"/>
      <c r="HNR83" s="684"/>
      <c r="HNS83" s="684"/>
      <c r="HNT83" s="684"/>
      <c r="HNU83" s="684"/>
      <c r="HNV83" s="684"/>
      <c r="HNW83" s="684"/>
      <c r="HNX83" s="684"/>
      <c r="HNY83" s="684"/>
      <c r="HNZ83" s="684"/>
      <c r="HOA83" s="684"/>
      <c r="HOB83" s="684"/>
      <c r="HOC83" s="684"/>
      <c r="HOD83" s="684"/>
      <c r="HOE83" s="684"/>
      <c r="HOF83" s="684"/>
      <c r="HOG83" s="684"/>
      <c r="HOH83" s="684"/>
      <c r="HOI83" s="684"/>
      <c r="HOJ83" s="684"/>
      <c r="HOK83" s="684"/>
      <c r="HOL83" s="684"/>
      <c r="HOM83" s="684"/>
      <c r="HON83" s="684"/>
      <c r="HOO83" s="684"/>
      <c r="HOP83" s="684"/>
      <c r="HOQ83" s="684"/>
      <c r="HOR83" s="684"/>
      <c r="HOS83" s="684"/>
      <c r="HOT83" s="684"/>
      <c r="HOU83" s="684"/>
      <c r="HOV83" s="684"/>
      <c r="HOW83" s="684"/>
      <c r="HOX83" s="684"/>
      <c r="HOY83" s="684"/>
      <c r="HOZ83" s="684"/>
      <c r="HPA83" s="684"/>
      <c r="HPB83" s="684"/>
      <c r="HPC83" s="684"/>
      <c r="HPD83" s="684"/>
      <c r="HPE83" s="684"/>
      <c r="HPF83" s="684"/>
      <c r="HPG83" s="684"/>
      <c r="HPH83" s="684"/>
      <c r="HPI83" s="684"/>
      <c r="HPJ83" s="684"/>
      <c r="HPK83" s="684"/>
      <c r="HPL83" s="684"/>
      <c r="HPM83" s="684"/>
      <c r="HPN83" s="684"/>
      <c r="HPO83" s="684"/>
      <c r="HPP83" s="684"/>
      <c r="HPQ83" s="684"/>
      <c r="HPR83" s="684"/>
      <c r="HPS83" s="684"/>
      <c r="HPT83" s="684"/>
      <c r="HPU83" s="684"/>
      <c r="HPV83" s="684"/>
      <c r="HPW83" s="684"/>
      <c r="HPX83" s="684"/>
      <c r="HPY83" s="684"/>
      <c r="HPZ83" s="684"/>
      <c r="HQA83" s="684"/>
      <c r="HQB83" s="684"/>
      <c r="HQC83" s="684"/>
      <c r="HQD83" s="684"/>
      <c r="HQE83" s="684"/>
      <c r="HQF83" s="684"/>
      <c r="HQG83" s="684"/>
      <c r="HQH83" s="684"/>
      <c r="HQI83" s="684"/>
      <c r="HQJ83" s="684"/>
      <c r="HQK83" s="684"/>
      <c r="HQL83" s="684"/>
      <c r="HQM83" s="684"/>
      <c r="HQN83" s="684"/>
      <c r="HQO83" s="684"/>
      <c r="HQP83" s="684"/>
      <c r="HQQ83" s="684"/>
      <c r="HQR83" s="684"/>
      <c r="HQS83" s="684"/>
      <c r="HQT83" s="684"/>
      <c r="HQU83" s="684"/>
      <c r="HQV83" s="684"/>
      <c r="HQW83" s="684"/>
      <c r="HQX83" s="684"/>
      <c r="HQY83" s="684"/>
      <c r="HQZ83" s="684"/>
      <c r="HRA83" s="684"/>
      <c r="HRB83" s="684"/>
      <c r="HRC83" s="684"/>
      <c r="HRD83" s="684"/>
      <c r="HRE83" s="684"/>
      <c r="HRF83" s="684"/>
      <c r="HRG83" s="684"/>
      <c r="HRH83" s="684"/>
      <c r="HRI83" s="684"/>
      <c r="HRJ83" s="684"/>
      <c r="HRK83" s="684"/>
      <c r="HRL83" s="684"/>
      <c r="HRM83" s="684"/>
      <c r="HRN83" s="684"/>
      <c r="HRO83" s="684"/>
      <c r="HRP83" s="684"/>
      <c r="HRQ83" s="684"/>
      <c r="HRR83" s="684"/>
      <c r="HRS83" s="684"/>
      <c r="HRT83" s="684"/>
      <c r="HRU83" s="684"/>
      <c r="HRV83" s="684"/>
      <c r="HRW83" s="684"/>
      <c r="HRX83" s="684"/>
      <c r="HRY83" s="684"/>
      <c r="HRZ83" s="684"/>
      <c r="HSA83" s="684"/>
      <c r="HSB83" s="684"/>
      <c r="HSC83" s="684"/>
      <c r="HSD83" s="684"/>
      <c r="HSE83" s="684"/>
      <c r="HSF83" s="684"/>
      <c r="HSG83" s="684"/>
      <c r="HSH83" s="684"/>
      <c r="HSI83" s="684"/>
      <c r="HSJ83" s="684"/>
      <c r="HSK83" s="684"/>
      <c r="HSL83" s="684"/>
      <c r="HSM83" s="684"/>
      <c r="HSN83" s="684"/>
      <c r="HSO83" s="684"/>
      <c r="HSP83" s="684"/>
      <c r="HSQ83" s="684"/>
      <c r="HSR83" s="684"/>
      <c r="HSS83" s="684"/>
      <c r="HST83" s="684"/>
      <c r="HSU83" s="684"/>
      <c r="HSV83" s="684"/>
      <c r="HSW83" s="684"/>
      <c r="HSX83" s="684"/>
      <c r="HSY83" s="684"/>
      <c r="HSZ83" s="684"/>
      <c r="HTA83" s="684"/>
      <c r="HTB83" s="684"/>
      <c r="HTC83" s="684"/>
      <c r="HTD83" s="684"/>
      <c r="HTE83" s="684"/>
      <c r="HTF83" s="684"/>
      <c r="HTG83" s="684"/>
      <c r="HTH83" s="684"/>
      <c r="HTI83" s="684"/>
      <c r="HTJ83" s="684"/>
      <c r="HTK83" s="684"/>
      <c r="HTL83" s="684"/>
      <c r="HTM83" s="684"/>
      <c r="HTN83" s="684"/>
      <c r="HTO83" s="684"/>
      <c r="HTP83" s="684"/>
      <c r="HTQ83" s="684"/>
      <c r="HTR83" s="684"/>
      <c r="HTS83" s="684"/>
      <c r="HTT83" s="684"/>
      <c r="HTU83" s="684"/>
      <c r="HTV83" s="684"/>
      <c r="HTW83" s="684"/>
      <c r="HTX83" s="684"/>
      <c r="HTY83" s="684"/>
      <c r="HTZ83" s="684"/>
      <c r="HUA83" s="684"/>
      <c r="HUB83" s="684"/>
      <c r="HUC83" s="684"/>
      <c r="HUD83" s="684"/>
      <c r="HUE83" s="684"/>
      <c r="HUF83" s="684"/>
      <c r="HUG83" s="684"/>
      <c r="HUH83" s="684"/>
      <c r="HUI83" s="684"/>
      <c r="HUJ83" s="684"/>
      <c r="HUK83" s="684"/>
      <c r="HUL83" s="684"/>
      <c r="HUM83" s="684"/>
      <c r="HUN83" s="684"/>
      <c r="HUO83" s="684"/>
      <c r="HUP83" s="684"/>
      <c r="HUQ83" s="684"/>
      <c r="HUR83" s="684"/>
      <c r="HUS83" s="684"/>
      <c r="HUT83" s="684"/>
      <c r="HUU83" s="684"/>
      <c r="HUV83" s="684"/>
      <c r="HUW83" s="684"/>
      <c r="HUX83" s="684"/>
      <c r="HUY83" s="684"/>
      <c r="HUZ83" s="684"/>
      <c r="HVA83" s="684"/>
      <c r="HVB83" s="684"/>
      <c r="HVC83" s="684"/>
      <c r="HVD83" s="684"/>
      <c r="HVE83" s="684"/>
      <c r="HVF83" s="684"/>
      <c r="HVG83" s="684"/>
      <c r="HVH83" s="684"/>
      <c r="HVI83" s="684"/>
      <c r="HVJ83" s="684"/>
      <c r="HVK83" s="684"/>
      <c r="HVL83" s="684"/>
      <c r="HVM83" s="684"/>
      <c r="HVN83" s="684"/>
      <c r="HVO83" s="684"/>
      <c r="HVP83" s="684"/>
      <c r="HVQ83" s="684"/>
      <c r="HVR83" s="684"/>
      <c r="HVS83" s="684"/>
      <c r="HVT83" s="684"/>
      <c r="HVU83" s="684"/>
      <c r="HVV83" s="684"/>
      <c r="HVW83" s="684"/>
      <c r="HVX83" s="684"/>
      <c r="HVY83" s="684"/>
      <c r="HVZ83" s="684"/>
      <c r="HWA83" s="684"/>
      <c r="HWB83" s="684"/>
      <c r="HWC83" s="684"/>
      <c r="HWD83" s="684"/>
      <c r="HWE83" s="684"/>
      <c r="HWF83" s="684"/>
      <c r="HWG83" s="684"/>
      <c r="HWH83" s="684"/>
      <c r="HWI83" s="684"/>
      <c r="HWJ83" s="684"/>
      <c r="HWK83" s="684"/>
      <c r="HWL83" s="684"/>
      <c r="HWM83" s="684"/>
      <c r="HWN83" s="684"/>
      <c r="HWO83" s="684"/>
      <c r="HWP83" s="684"/>
      <c r="HWQ83" s="684"/>
      <c r="HWR83" s="684"/>
      <c r="HWS83" s="684"/>
      <c r="HWT83" s="684"/>
      <c r="HWU83" s="684"/>
      <c r="HWV83" s="684"/>
      <c r="HWW83" s="684"/>
      <c r="HWX83" s="684"/>
      <c r="HWY83" s="684"/>
      <c r="HWZ83" s="684"/>
      <c r="HXA83" s="684"/>
      <c r="HXB83" s="684"/>
      <c r="HXC83" s="684"/>
      <c r="HXD83" s="684"/>
      <c r="HXE83" s="684"/>
      <c r="HXF83" s="684"/>
      <c r="HXG83" s="684"/>
      <c r="HXH83" s="684"/>
      <c r="HXI83" s="684"/>
      <c r="HXJ83" s="684"/>
      <c r="HXK83" s="684"/>
      <c r="HXL83" s="684"/>
      <c r="HXM83" s="684"/>
      <c r="HXN83" s="684"/>
      <c r="HXO83" s="684"/>
      <c r="HXP83" s="684"/>
      <c r="HXQ83" s="684"/>
      <c r="HXR83" s="684"/>
      <c r="HXS83" s="684"/>
      <c r="HXT83" s="684"/>
      <c r="HXU83" s="684"/>
      <c r="HXV83" s="684"/>
      <c r="HXW83" s="684"/>
      <c r="HXX83" s="684"/>
      <c r="HXY83" s="684"/>
      <c r="HXZ83" s="684"/>
      <c r="HYA83" s="684"/>
      <c r="HYB83" s="684"/>
      <c r="HYC83" s="684"/>
      <c r="HYD83" s="684"/>
      <c r="HYE83" s="684"/>
      <c r="HYF83" s="684"/>
      <c r="HYG83" s="684"/>
      <c r="HYH83" s="684"/>
      <c r="HYI83" s="684"/>
      <c r="HYJ83" s="684"/>
      <c r="HYK83" s="684"/>
      <c r="HYL83" s="684"/>
      <c r="HYM83" s="684"/>
      <c r="HYN83" s="684"/>
      <c r="HYO83" s="684"/>
      <c r="HYP83" s="684"/>
      <c r="HYQ83" s="684"/>
      <c r="HYR83" s="684"/>
      <c r="HYS83" s="684"/>
      <c r="HYT83" s="684"/>
      <c r="HYU83" s="684"/>
      <c r="HYV83" s="684"/>
      <c r="HYW83" s="684"/>
      <c r="HYX83" s="684"/>
      <c r="HYY83" s="684"/>
      <c r="HYZ83" s="684"/>
      <c r="HZA83" s="684"/>
      <c r="HZB83" s="684"/>
      <c r="HZC83" s="684"/>
      <c r="HZD83" s="684"/>
      <c r="HZE83" s="684"/>
      <c r="HZF83" s="684"/>
      <c r="HZG83" s="684"/>
      <c r="HZH83" s="684"/>
      <c r="HZI83" s="684"/>
      <c r="HZJ83" s="684"/>
      <c r="HZK83" s="684"/>
      <c r="HZL83" s="684"/>
      <c r="HZM83" s="684"/>
      <c r="HZN83" s="684"/>
      <c r="HZO83" s="684"/>
      <c r="HZP83" s="684"/>
      <c r="HZQ83" s="684"/>
      <c r="HZR83" s="684"/>
      <c r="HZS83" s="684"/>
      <c r="HZT83" s="684"/>
      <c r="HZU83" s="684"/>
      <c r="HZV83" s="684"/>
      <c r="HZW83" s="684"/>
      <c r="HZX83" s="684"/>
      <c r="HZY83" s="684"/>
      <c r="HZZ83" s="684"/>
      <c r="IAA83" s="684"/>
      <c r="IAB83" s="684"/>
      <c r="IAC83" s="684"/>
      <c r="IAD83" s="684"/>
      <c r="IAE83" s="684"/>
      <c r="IAF83" s="684"/>
      <c r="IAG83" s="684"/>
      <c r="IAH83" s="684"/>
      <c r="IAI83" s="684"/>
      <c r="IAJ83" s="684"/>
      <c r="IAK83" s="684"/>
      <c r="IAL83" s="684"/>
      <c r="IAM83" s="684"/>
      <c r="IAN83" s="684"/>
      <c r="IAO83" s="684"/>
      <c r="IAP83" s="684"/>
      <c r="IAQ83" s="684"/>
      <c r="IAR83" s="684"/>
      <c r="IAS83" s="684"/>
      <c r="IAT83" s="684"/>
      <c r="IAU83" s="684"/>
      <c r="IAV83" s="684"/>
      <c r="IAW83" s="684"/>
      <c r="IAX83" s="684"/>
      <c r="IAY83" s="684"/>
      <c r="IAZ83" s="684"/>
      <c r="IBA83" s="684"/>
      <c r="IBB83" s="684"/>
      <c r="IBC83" s="684"/>
      <c r="IBD83" s="684"/>
      <c r="IBE83" s="684"/>
      <c r="IBF83" s="684"/>
      <c r="IBG83" s="684"/>
      <c r="IBH83" s="684"/>
      <c r="IBI83" s="684"/>
      <c r="IBJ83" s="684"/>
      <c r="IBK83" s="684"/>
      <c r="IBL83" s="684"/>
      <c r="IBM83" s="684"/>
      <c r="IBN83" s="684"/>
      <c r="IBO83" s="684"/>
      <c r="IBP83" s="684"/>
      <c r="IBQ83" s="684"/>
      <c r="IBR83" s="684"/>
      <c r="IBS83" s="684"/>
      <c r="IBT83" s="684"/>
      <c r="IBU83" s="684"/>
      <c r="IBV83" s="684"/>
      <c r="IBW83" s="684"/>
      <c r="IBX83" s="684"/>
      <c r="IBY83" s="684"/>
      <c r="IBZ83" s="684"/>
      <c r="ICA83" s="684"/>
      <c r="ICB83" s="684"/>
      <c r="ICC83" s="684"/>
      <c r="ICD83" s="684"/>
      <c r="ICE83" s="684"/>
      <c r="ICF83" s="684"/>
      <c r="ICG83" s="684"/>
      <c r="ICH83" s="684"/>
      <c r="ICI83" s="684"/>
      <c r="ICJ83" s="684"/>
      <c r="ICK83" s="684"/>
      <c r="ICL83" s="684"/>
      <c r="ICM83" s="684"/>
      <c r="ICN83" s="684"/>
      <c r="ICO83" s="684"/>
      <c r="ICP83" s="684"/>
      <c r="ICQ83" s="684"/>
      <c r="ICR83" s="684"/>
      <c r="ICS83" s="684"/>
      <c r="ICT83" s="684"/>
      <c r="ICU83" s="684"/>
      <c r="ICV83" s="684"/>
      <c r="ICW83" s="684"/>
      <c r="ICX83" s="684"/>
      <c r="ICY83" s="684"/>
      <c r="ICZ83" s="684"/>
      <c r="IDA83" s="684"/>
      <c r="IDB83" s="684"/>
      <c r="IDC83" s="684"/>
      <c r="IDD83" s="684"/>
      <c r="IDE83" s="684"/>
      <c r="IDF83" s="684"/>
      <c r="IDG83" s="684"/>
      <c r="IDH83" s="684"/>
      <c r="IDI83" s="684"/>
      <c r="IDJ83" s="684"/>
      <c r="IDK83" s="684"/>
      <c r="IDL83" s="684"/>
      <c r="IDM83" s="684"/>
      <c r="IDN83" s="684"/>
      <c r="IDO83" s="684"/>
      <c r="IDP83" s="684"/>
      <c r="IDQ83" s="684"/>
      <c r="IDR83" s="684"/>
      <c r="IDS83" s="684"/>
      <c r="IDT83" s="684"/>
      <c r="IDU83" s="684"/>
      <c r="IDV83" s="684"/>
      <c r="IDW83" s="684"/>
      <c r="IDX83" s="684"/>
      <c r="IDY83" s="684"/>
      <c r="IDZ83" s="684"/>
      <c r="IEA83" s="684"/>
      <c r="IEB83" s="684"/>
      <c r="IEC83" s="684"/>
      <c r="IED83" s="684"/>
      <c r="IEE83" s="684"/>
      <c r="IEF83" s="684"/>
      <c r="IEG83" s="684"/>
      <c r="IEH83" s="684"/>
      <c r="IEI83" s="684"/>
      <c r="IEJ83" s="684"/>
      <c r="IEK83" s="684"/>
      <c r="IEL83" s="684"/>
      <c r="IEM83" s="684"/>
      <c r="IEN83" s="684"/>
      <c r="IEO83" s="684"/>
      <c r="IEP83" s="684"/>
      <c r="IEQ83" s="684"/>
      <c r="IER83" s="684"/>
      <c r="IES83" s="684"/>
      <c r="IET83" s="684"/>
      <c r="IEU83" s="684"/>
      <c r="IEV83" s="684"/>
      <c r="IEW83" s="684"/>
      <c r="IEX83" s="684"/>
      <c r="IEY83" s="684"/>
      <c r="IEZ83" s="684"/>
      <c r="IFA83" s="684"/>
      <c r="IFB83" s="684"/>
      <c r="IFC83" s="684"/>
      <c r="IFD83" s="684"/>
      <c r="IFE83" s="684"/>
      <c r="IFF83" s="684"/>
      <c r="IFG83" s="684"/>
      <c r="IFH83" s="684"/>
      <c r="IFI83" s="684"/>
      <c r="IFJ83" s="684"/>
      <c r="IFK83" s="684"/>
      <c r="IFL83" s="684"/>
      <c r="IFM83" s="684"/>
      <c r="IFN83" s="684"/>
      <c r="IFO83" s="684"/>
      <c r="IFP83" s="684"/>
      <c r="IFQ83" s="684"/>
      <c r="IFR83" s="684"/>
      <c r="IFS83" s="684"/>
      <c r="IFT83" s="684"/>
      <c r="IFU83" s="684"/>
      <c r="IFV83" s="684"/>
      <c r="IFW83" s="684"/>
      <c r="IFX83" s="684"/>
      <c r="IFY83" s="684"/>
      <c r="IFZ83" s="684"/>
      <c r="IGA83" s="684"/>
      <c r="IGB83" s="684"/>
      <c r="IGC83" s="684"/>
      <c r="IGD83" s="684"/>
      <c r="IGE83" s="684"/>
      <c r="IGF83" s="684"/>
      <c r="IGG83" s="684"/>
      <c r="IGH83" s="684"/>
      <c r="IGI83" s="684"/>
      <c r="IGJ83" s="684"/>
      <c r="IGK83" s="684"/>
      <c r="IGL83" s="684"/>
      <c r="IGM83" s="684"/>
      <c r="IGN83" s="684"/>
      <c r="IGO83" s="684"/>
      <c r="IGP83" s="684"/>
      <c r="IGQ83" s="684"/>
      <c r="IGR83" s="684"/>
      <c r="IGS83" s="684"/>
      <c r="IGT83" s="684"/>
      <c r="IGU83" s="684"/>
      <c r="IGV83" s="684"/>
      <c r="IGW83" s="684"/>
      <c r="IGX83" s="684"/>
      <c r="IGY83" s="684"/>
      <c r="IGZ83" s="684"/>
      <c r="IHA83" s="684"/>
      <c r="IHB83" s="684"/>
      <c r="IHC83" s="684"/>
      <c r="IHD83" s="684"/>
      <c r="IHE83" s="684"/>
      <c r="IHF83" s="684"/>
      <c r="IHG83" s="684"/>
      <c r="IHH83" s="684"/>
      <c r="IHI83" s="684"/>
      <c r="IHJ83" s="684"/>
      <c r="IHK83" s="684"/>
      <c r="IHL83" s="684"/>
      <c r="IHM83" s="684"/>
      <c r="IHN83" s="684"/>
      <c r="IHO83" s="684"/>
      <c r="IHP83" s="684"/>
      <c r="IHQ83" s="684"/>
      <c r="IHR83" s="684"/>
      <c r="IHS83" s="684"/>
      <c r="IHT83" s="684"/>
      <c r="IHU83" s="684"/>
      <c r="IHV83" s="684"/>
      <c r="IHW83" s="684"/>
      <c r="IHX83" s="684"/>
      <c r="IHY83" s="684"/>
      <c r="IHZ83" s="684"/>
      <c r="IIA83" s="684"/>
      <c r="IIB83" s="684"/>
      <c r="IIC83" s="684"/>
      <c r="IID83" s="684"/>
      <c r="IIE83" s="684"/>
      <c r="IIF83" s="684"/>
      <c r="IIG83" s="684"/>
      <c r="IIH83" s="684"/>
      <c r="III83" s="684"/>
      <c r="IIJ83" s="684"/>
      <c r="IIK83" s="684"/>
      <c r="IIL83" s="684"/>
      <c r="IIM83" s="684"/>
      <c r="IIN83" s="684"/>
      <c r="IIO83" s="684"/>
      <c r="IIP83" s="684"/>
      <c r="IIQ83" s="684"/>
      <c r="IIR83" s="684"/>
      <c r="IIS83" s="684"/>
      <c r="IIT83" s="684"/>
      <c r="IIU83" s="684"/>
      <c r="IIV83" s="684"/>
      <c r="IIW83" s="684"/>
      <c r="IIX83" s="684"/>
      <c r="IIY83" s="684"/>
      <c r="IIZ83" s="684"/>
      <c r="IJA83" s="684"/>
      <c r="IJB83" s="684"/>
      <c r="IJC83" s="684"/>
      <c r="IJD83" s="684"/>
      <c r="IJE83" s="684"/>
      <c r="IJF83" s="684"/>
      <c r="IJG83" s="684"/>
      <c r="IJH83" s="684"/>
      <c r="IJI83" s="684"/>
      <c r="IJJ83" s="684"/>
      <c r="IJK83" s="684"/>
      <c r="IJL83" s="684"/>
      <c r="IJM83" s="684"/>
      <c r="IJN83" s="684"/>
      <c r="IJO83" s="684"/>
      <c r="IJP83" s="684"/>
      <c r="IJQ83" s="684"/>
      <c r="IJR83" s="684"/>
      <c r="IJS83" s="684"/>
      <c r="IJT83" s="684"/>
      <c r="IJU83" s="684"/>
      <c r="IJV83" s="684"/>
      <c r="IJW83" s="684"/>
      <c r="IJX83" s="684"/>
      <c r="IJY83" s="684"/>
      <c r="IJZ83" s="684"/>
      <c r="IKA83" s="684"/>
      <c r="IKB83" s="684"/>
      <c r="IKC83" s="684"/>
      <c r="IKD83" s="684"/>
      <c r="IKE83" s="684"/>
      <c r="IKF83" s="684"/>
      <c r="IKG83" s="684"/>
      <c r="IKH83" s="684"/>
      <c r="IKI83" s="684"/>
      <c r="IKJ83" s="684"/>
      <c r="IKK83" s="684"/>
      <c r="IKL83" s="684"/>
      <c r="IKM83" s="684"/>
      <c r="IKN83" s="684"/>
      <c r="IKO83" s="684"/>
      <c r="IKP83" s="684"/>
      <c r="IKQ83" s="684"/>
      <c r="IKR83" s="684"/>
      <c r="IKS83" s="684"/>
      <c r="IKT83" s="684"/>
      <c r="IKU83" s="684"/>
      <c r="IKV83" s="684"/>
      <c r="IKW83" s="684"/>
      <c r="IKX83" s="684"/>
      <c r="IKY83" s="684"/>
      <c r="IKZ83" s="684"/>
      <c r="ILA83" s="684"/>
      <c r="ILB83" s="684"/>
      <c r="ILC83" s="684"/>
      <c r="ILD83" s="684"/>
      <c r="ILE83" s="684"/>
      <c r="ILF83" s="684"/>
      <c r="ILG83" s="684"/>
      <c r="ILH83" s="684"/>
      <c r="ILI83" s="684"/>
      <c r="ILJ83" s="684"/>
      <c r="ILK83" s="684"/>
      <c r="ILL83" s="684"/>
      <c r="ILM83" s="684"/>
      <c r="ILN83" s="684"/>
      <c r="ILO83" s="684"/>
      <c r="ILP83" s="684"/>
      <c r="ILQ83" s="684"/>
      <c r="ILR83" s="684"/>
      <c r="ILS83" s="684"/>
      <c r="ILT83" s="684"/>
      <c r="ILU83" s="684"/>
      <c r="ILV83" s="684"/>
      <c r="ILW83" s="684"/>
      <c r="ILX83" s="684"/>
      <c r="ILY83" s="684"/>
      <c r="ILZ83" s="684"/>
      <c r="IMA83" s="684"/>
      <c r="IMB83" s="684"/>
      <c r="IMC83" s="684"/>
      <c r="IMD83" s="684"/>
      <c r="IME83" s="684"/>
      <c r="IMF83" s="684"/>
      <c r="IMG83" s="684"/>
      <c r="IMH83" s="684"/>
      <c r="IMI83" s="684"/>
      <c r="IMJ83" s="684"/>
      <c r="IMK83" s="684"/>
      <c r="IML83" s="684"/>
      <c r="IMM83" s="684"/>
      <c r="IMN83" s="684"/>
      <c r="IMO83" s="684"/>
      <c r="IMP83" s="684"/>
      <c r="IMQ83" s="684"/>
      <c r="IMR83" s="684"/>
      <c r="IMS83" s="684"/>
      <c r="IMT83" s="684"/>
      <c r="IMU83" s="684"/>
      <c r="IMV83" s="684"/>
      <c r="IMW83" s="684"/>
      <c r="IMX83" s="684"/>
      <c r="IMY83" s="684"/>
      <c r="IMZ83" s="684"/>
      <c r="INA83" s="684"/>
      <c r="INB83" s="684"/>
      <c r="INC83" s="684"/>
      <c r="IND83" s="684"/>
      <c r="INE83" s="684"/>
      <c r="INF83" s="684"/>
      <c r="ING83" s="684"/>
      <c r="INH83" s="684"/>
      <c r="INI83" s="684"/>
      <c r="INJ83" s="684"/>
      <c r="INK83" s="684"/>
      <c r="INL83" s="684"/>
      <c r="INM83" s="684"/>
      <c r="INN83" s="684"/>
      <c r="INO83" s="684"/>
      <c r="INP83" s="684"/>
      <c r="INQ83" s="684"/>
      <c r="INR83" s="684"/>
      <c r="INS83" s="684"/>
      <c r="INT83" s="684"/>
      <c r="INU83" s="684"/>
      <c r="INV83" s="684"/>
      <c r="INW83" s="684"/>
      <c r="INX83" s="684"/>
      <c r="INY83" s="684"/>
      <c r="INZ83" s="684"/>
      <c r="IOA83" s="684"/>
      <c r="IOB83" s="684"/>
      <c r="IOC83" s="684"/>
      <c r="IOD83" s="684"/>
      <c r="IOE83" s="684"/>
      <c r="IOF83" s="684"/>
      <c r="IOG83" s="684"/>
      <c r="IOH83" s="684"/>
      <c r="IOI83" s="684"/>
      <c r="IOJ83" s="684"/>
      <c r="IOK83" s="684"/>
      <c r="IOL83" s="684"/>
      <c r="IOM83" s="684"/>
      <c r="ION83" s="684"/>
      <c r="IOO83" s="684"/>
      <c r="IOP83" s="684"/>
      <c r="IOQ83" s="684"/>
      <c r="IOR83" s="684"/>
      <c r="IOS83" s="684"/>
      <c r="IOT83" s="684"/>
      <c r="IOU83" s="684"/>
      <c r="IOV83" s="684"/>
      <c r="IOW83" s="684"/>
      <c r="IOX83" s="684"/>
      <c r="IOY83" s="684"/>
      <c r="IOZ83" s="684"/>
      <c r="IPA83" s="684"/>
      <c r="IPB83" s="684"/>
      <c r="IPC83" s="684"/>
      <c r="IPD83" s="684"/>
      <c r="IPE83" s="684"/>
      <c r="IPF83" s="684"/>
      <c r="IPG83" s="684"/>
      <c r="IPH83" s="684"/>
      <c r="IPI83" s="684"/>
      <c r="IPJ83" s="684"/>
      <c r="IPK83" s="684"/>
      <c r="IPL83" s="684"/>
      <c r="IPM83" s="684"/>
      <c r="IPN83" s="684"/>
      <c r="IPO83" s="684"/>
      <c r="IPP83" s="684"/>
      <c r="IPQ83" s="684"/>
      <c r="IPR83" s="684"/>
      <c r="IPS83" s="684"/>
      <c r="IPT83" s="684"/>
      <c r="IPU83" s="684"/>
      <c r="IPV83" s="684"/>
      <c r="IPW83" s="684"/>
      <c r="IPX83" s="684"/>
      <c r="IPY83" s="684"/>
      <c r="IPZ83" s="684"/>
      <c r="IQA83" s="684"/>
      <c r="IQB83" s="684"/>
      <c r="IQC83" s="684"/>
      <c r="IQD83" s="684"/>
      <c r="IQE83" s="684"/>
      <c r="IQF83" s="684"/>
      <c r="IQG83" s="684"/>
      <c r="IQH83" s="684"/>
      <c r="IQI83" s="684"/>
      <c r="IQJ83" s="684"/>
      <c r="IQK83" s="684"/>
      <c r="IQL83" s="684"/>
      <c r="IQM83" s="684"/>
      <c r="IQN83" s="684"/>
      <c r="IQO83" s="684"/>
      <c r="IQP83" s="684"/>
      <c r="IQQ83" s="684"/>
      <c r="IQR83" s="684"/>
      <c r="IQS83" s="684"/>
      <c r="IQT83" s="684"/>
      <c r="IQU83" s="684"/>
      <c r="IQV83" s="684"/>
      <c r="IQW83" s="684"/>
      <c r="IQX83" s="684"/>
      <c r="IQY83" s="684"/>
      <c r="IQZ83" s="684"/>
      <c r="IRA83" s="684"/>
      <c r="IRB83" s="684"/>
      <c r="IRC83" s="684"/>
      <c r="IRD83" s="684"/>
      <c r="IRE83" s="684"/>
      <c r="IRF83" s="684"/>
      <c r="IRG83" s="684"/>
      <c r="IRH83" s="684"/>
      <c r="IRI83" s="684"/>
      <c r="IRJ83" s="684"/>
      <c r="IRK83" s="684"/>
      <c r="IRL83" s="684"/>
      <c r="IRM83" s="684"/>
      <c r="IRN83" s="684"/>
      <c r="IRO83" s="684"/>
      <c r="IRP83" s="684"/>
      <c r="IRQ83" s="684"/>
      <c r="IRR83" s="684"/>
      <c r="IRS83" s="684"/>
      <c r="IRT83" s="684"/>
      <c r="IRU83" s="684"/>
      <c r="IRV83" s="684"/>
      <c r="IRW83" s="684"/>
      <c r="IRX83" s="684"/>
      <c r="IRY83" s="684"/>
      <c r="IRZ83" s="684"/>
      <c r="ISA83" s="684"/>
      <c r="ISB83" s="684"/>
      <c r="ISC83" s="684"/>
      <c r="ISD83" s="684"/>
      <c r="ISE83" s="684"/>
      <c r="ISF83" s="684"/>
      <c r="ISG83" s="684"/>
      <c r="ISH83" s="684"/>
      <c r="ISI83" s="684"/>
      <c r="ISJ83" s="684"/>
      <c r="ISK83" s="684"/>
      <c r="ISL83" s="684"/>
      <c r="ISM83" s="684"/>
      <c r="ISN83" s="684"/>
      <c r="ISO83" s="684"/>
      <c r="ISP83" s="684"/>
      <c r="ISQ83" s="684"/>
      <c r="ISR83" s="684"/>
      <c r="ISS83" s="684"/>
      <c r="IST83" s="684"/>
      <c r="ISU83" s="684"/>
      <c r="ISV83" s="684"/>
      <c r="ISW83" s="684"/>
      <c r="ISX83" s="684"/>
      <c r="ISY83" s="684"/>
      <c r="ISZ83" s="684"/>
      <c r="ITA83" s="684"/>
      <c r="ITB83" s="684"/>
      <c r="ITC83" s="684"/>
      <c r="ITD83" s="684"/>
      <c r="ITE83" s="684"/>
      <c r="ITF83" s="684"/>
      <c r="ITG83" s="684"/>
      <c r="ITH83" s="684"/>
      <c r="ITI83" s="684"/>
      <c r="ITJ83" s="684"/>
      <c r="ITK83" s="684"/>
      <c r="ITL83" s="684"/>
      <c r="ITM83" s="684"/>
      <c r="ITN83" s="684"/>
      <c r="ITO83" s="684"/>
      <c r="ITP83" s="684"/>
      <c r="ITQ83" s="684"/>
      <c r="ITR83" s="684"/>
      <c r="ITS83" s="684"/>
      <c r="ITT83" s="684"/>
      <c r="ITU83" s="684"/>
      <c r="ITV83" s="684"/>
      <c r="ITW83" s="684"/>
      <c r="ITX83" s="684"/>
      <c r="ITY83" s="684"/>
      <c r="ITZ83" s="684"/>
      <c r="IUA83" s="684"/>
      <c r="IUB83" s="684"/>
      <c r="IUC83" s="684"/>
      <c r="IUD83" s="684"/>
      <c r="IUE83" s="684"/>
      <c r="IUF83" s="684"/>
      <c r="IUG83" s="684"/>
      <c r="IUH83" s="684"/>
      <c r="IUI83" s="684"/>
      <c r="IUJ83" s="684"/>
      <c r="IUK83" s="684"/>
      <c r="IUL83" s="684"/>
      <c r="IUM83" s="684"/>
      <c r="IUN83" s="684"/>
      <c r="IUO83" s="684"/>
      <c r="IUP83" s="684"/>
      <c r="IUQ83" s="684"/>
      <c r="IUR83" s="684"/>
      <c r="IUS83" s="684"/>
      <c r="IUT83" s="684"/>
      <c r="IUU83" s="684"/>
      <c r="IUV83" s="684"/>
      <c r="IUW83" s="684"/>
      <c r="IUX83" s="684"/>
      <c r="IUY83" s="684"/>
      <c r="IUZ83" s="684"/>
      <c r="IVA83" s="684"/>
      <c r="IVB83" s="684"/>
      <c r="IVC83" s="684"/>
      <c r="IVD83" s="684"/>
      <c r="IVE83" s="684"/>
      <c r="IVF83" s="684"/>
      <c r="IVG83" s="684"/>
      <c r="IVH83" s="684"/>
      <c r="IVI83" s="684"/>
      <c r="IVJ83" s="684"/>
      <c r="IVK83" s="684"/>
      <c r="IVL83" s="684"/>
      <c r="IVM83" s="684"/>
      <c r="IVN83" s="684"/>
      <c r="IVO83" s="684"/>
      <c r="IVP83" s="684"/>
      <c r="IVQ83" s="684"/>
      <c r="IVR83" s="684"/>
      <c r="IVS83" s="684"/>
      <c r="IVT83" s="684"/>
      <c r="IVU83" s="684"/>
      <c r="IVV83" s="684"/>
      <c r="IVW83" s="684"/>
      <c r="IVX83" s="684"/>
      <c r="IVY83" s="684"/>
      <c r="IVZ83" s="684"/>
      <c r="IWA83" s="684"/>
      <c r="IWB83" s="684"/>
      <c r="IWC83" s="684"/>
      <c r="IWD83" s="684"/>
      <c r="IWE83" s="684"/>
      <c r="IWF83" s="684"/>
      <c r="IWG83" s="684"/>
      <c r="IWH83" s="684"/>
      <c r="IWI83" s="684"/>
      <c r="IWJ83" s="684"/>
      <c r="IWK83" s="684"/>
      <c r="IWL83" s="684"/>
      <c r="IWM83" s="684"/>
      <c r="IWN83" s="684"/>
      <c r="IWO83" s="684"/>
      <c r="IWP83" s="684"/>
      <c r="IWQ83" s="684"/>
      <c r="IWR83" s="684"/>
      <c r="IWS83" s="684"/>
      <c r="IWT83" s="684"/>
      <c r="IWU83" s="684"/>
      <c r="IWV83" s="684"/>
      <c r="IWW83" s="684"/>
      <c r="IWX83" s="684"/>
      <c r="IWY83" s="684"/>
      <c r="IWZ83" s="684"/>
      <c r="IXA83" s="684"/>
      <c r="IXB83" s="684"/>
      <c r="IXC83" s="684"/>
      <c r="IXD83" s="684"/>
      <c r="IXE83" s="684"/>
      <c r="IXF83" s="684"/>
      <c r="IXG83" s="684"/>
      <c r="IXH83" s="684"/>
      <c r="IXI83" s="684"/>
      <c r="IXJ83" s="684"/>
      <c r="IXK83" s="684"/>
      <c r="IXL83" s="684"/>
      <c r="IXM83" s="684"/>
      <c r="IXN83" s="684"/>
      <c r="IXO83" s="684"/>
      <c r="IXP83" s="684"/>
      <c r="IXQ83" s="684"/>
      <c r="IXR83" s="684"/>
      <c r="IXS83" s="684"/>
      <c r="IXT83" s="684"/>
      <c r="IXU83" s="684"/>
      <c r="IXV83" s="684"/>
      <c r="IXW83" s="684"/>
      <c r="IXX83" s="684"/>
      <c r="IXY83" s="684"/>
      <c r="IXZ83" s="684"/>
      <c r="IYA83" s="684"/>
      <c r="IYB83" s="684"/>
      <c r="IYC83" s="684"/>
      <c r="IYD83" s="684"/>
      <c r="IYE83" s="684"/>
      <c r="IYF83" s="684"/>
      <c r="IYG83" s="684"/>
      <c r="IYH83" s="684"/>
      <c r="IYI83" s="684"/>
      <c r="IYJ83" s="684"/>
      <c r="IYK83" s="684"/>
      <c r="IYL83" s="684"/>
      <c r="IYM83" s="684"/>
      <c r="IYN83" s="684"/>
      <c r="IYO83" s="684"/>
      <c r="IYP83" s="684"/>
      <c r="IYQ83" s="684"/>
      <c r="IYR83" s="684"/>
      <c r="IYS83" s="684"/>
      <c r="IYT83" s="684"/>
      <c r="IYU83" s="684"/>
      <c r="IYV83" s="684"/>
      <c r="IYW83" s="684"/>
      <c r="IYX83" s="684"/>
      <c r="IYY83" s="684"/>
      <c r="IYZ83" s="684"/>
      <c r="IZA83" s="684"/>
      <c r="IZB83" s="684"/>
      <c r="IZC83" s="684"/>
      <c r="IZD83" s="684"/>
      <c r="IZE83" s="684"/>
      <c r="IZF83" s="684"/>
      <c r="IZG83" s="684"/>
      <c r="IZH83" s="684"/>
      <c r="IZI83" s="684"/>
      <c r="IZJ83" s="684"/>
      <c r="IZK83" s="684"/>
      <c r="IZL83" s="684"/>
      <c r="IZM83" s="684"/>
      <c r="IZN83" s="684"/>
      <c r="IZO83" s="684"/>
      <c r="IZP83" s="684"/>
      <c r="IZQ83" s="684"/>
      <c r="IZR83" s="684"/>
      <c r="IZS83" s="684"/>
      <c r="IZT83" s="684"/>
      <c r="IZU83" s="684"/>
      <c r="IZV83" s="684"/>
      <c r="IZW83" s="684"/>
      <c r="IZX83" s="684"/>
      <c r="IZY83" s="684"/>
      <c r="IZZ83" s="684"/>
      <c r="JAA83" s="684"/>
      <c r="JAB83" s="684"/>
      <c r="JAC83" s="684"/>
      <c r="JAD83" s="684"/>
      <c r="JAE83" s="684"/>
      <c r="JAF83" s="684"/>
      <c r="JAG83" s="684"/>
      <c r="JAH83" s="684"/>
      <c r="JAI83" s="684"/>
      <c r="JAJ83" s="684"/>
      <c r="JAK83" s="684"/>
      <c r="JAL83" s="684"/>
      <c r="JAM83" s="684"/>
      <c r="JAN83" s="684"/>
      <c r="JAO83" s="684"/>
      <c r="JAP83" s="684"/>
      <c r="JAQ83" s="684"/>
      <c r="JAR83" s="684"/>
      <c r="JAS83" s="684"/>
      <c r="JAT83" s="684"/>
      <c r="JAU83" s="684"/>
      <c r="JAV83" s="684"/>
      <c r="JAW83" s="684"/>
      <c r="JAX83" s="684"/>
      <c r="JAY83" s="684"/>
      <c r="JAZ83" s="684"/>
      <c r="JBA83" s="684"/>
      <c r="JBB83" s="684"/>
      <c r="JBC83" s="684"/>
      <c r="JBD83" s="684"/>
      <c r="JBE83" s="684"/>
      <c r="JBF83" s="684"/>
      <c r="JBG83" s="684"/>
      <c r="JBH83" s="684"/>
      <c r="JBI83" s="684"/>
      <c r="JBJ83" s="684"/>
      <c r="JBK83" s="684"/>
      <c r="JBL83" s="684"/>
      <c r="JBM83" s="684"/>
      <c r="JBN83" s="684"/>
      <c r="JBO83" s="684"/>
      <c r="JBP83" s="684"/>
      <c r="JBQ83" s="684"/>
      <c r="JBR83" s="684"/>
      <c r="JBS83" s="684"/>
      <c r="JBT83" s="684"/>
      <c r="JBU83" s="684"/>
      <c r="JBV83" s="684"/>
      <c r="JBW83" s="684"/>
      <c r="JBX83" s="684"/>
      <c r="JBY83" s="684"/>
      <c r="JBZ83" s="684"/>
      <c r="JCA83" s="684"/>
      <c r="JCB83" s="684"/>
      <c r="JCC83" s="684"/>
      <c r="JCD83" s="684"/>
      <c r="JCE83" s="684"/>
      <c r="JCF83" s="684"/>
      <c r="JCG83" s="684"/>
      <c r="JCH83" s="684"/>
      <c r="JCI83" s="684"/>
      <c r="JCJ83" s="684"/>
      <c r="JCK83" s="684"/>
      <c r="JCL83" s="684"/>
      <c r="JCM83" s="684"/>
      <c r="JCN83" s="684"/>
      <c r="JCO83" s="684"/>
      <c r="JCP83" s="684"/>
      <c r="JCQ83" s="684"/>
      <c r="JCR83" s="684"/>
      <c r="JCS83" s="684"/>
      <c r="JCT83" s="684"/>
      <c r="JCU83" s="684"/>
      <c r="JCV83" s="684"/>
      <c r="JCW83" s="684"/>
      <c r="JCX83" s="684"/>
      <c r="JCY83" s="684"/>
      <c r="JCZ83" s="684"/>
      <c r="JDA83" s="684"/>
      <c r="JDB83" s="684"/>
      <c r="JDC83" s="684"/>
      <c r="JDD83" s="684"/>
      <c r="JDE83" s="684"/>
      <c r="JDF83" s="684"/>
      <c r="JDG83" s="684"/>
      <c r="JDH83" s="684"/>
      <c r="JDI83" s="684"/>
      <c r="JDJ83" s="684"/>
      <c r="JDK83" s="684"/>
      <c r="JDL83" s="684"/>
      <c r="JDM83" s="684"/>
      <c r="JDN83" s="684"/>
      <c r="JDO83" s="684"/>
      <c r="JDP83" s="684"/>
      <c r="JDQ83" s="684"/>
      <c r="JDR83" s="684"/>
      <c r="JDS83" s="684"/>
      <c r="JDT83" s="684"/>
      <c r="JDU83" s="684"/>
      <c r="JDV83" s="684"/>
      <c r="JDW83" s="684"/>
      <c r="JDX83" s="684"/>
      <c r="JDY83" s="684"/>
      <c r="JDZ83" s="684"/>
      <c r="JEA83" s="684"/>
      <c r="JEB83" s="684"/>
      <c r="JEC83" s="684"/>
      <c r="JED83" s="684"/>
      <c r="JEE83" s="684"/>
      <c r="JEF83" s="684"/>
      <c r="JEG83" s="684"/>
      <c r="JEH83" s="684"/>
      <c r="JEI83" s="684"/>
      <c r="JEJ83" s="684"/>
      <c r="JEK83" s="684"/>
      <c r="JEL83" s="684"/>
      <c r="JEM83" s="684"/>
      <c r="JEN83" s="684"/>
      <c r="JEO83" s="684"/>
      <c r="JEP83" s="684"/>
      <c r="JEQ83" s="684"/>
      <c r="JER83" s="684"/>
      <c r="JES83" s="684"/>
      <c r="JET83" s="684"/>
      <c r="JEU83" s="684"/>
      <c r="JEV83" s="684"/>
      <c r="JEW83" s="684"/>
      <c r="JEX83" s="684"/>
      <c r="JEY83" s="684"/>
      <c r="JEZ83" s="684"/>
      <c r="JFA83" s="684"/>
      <c r="JFB83" s="684"/>
      <c r="JFC83" s="684"/>
      <c r="JFD83" s="684"/>
      <c r="JFE83" s="684"/>
      <c r="JFF83" s="684"/>
      <c r="JFG83" s="684"/>
      <c r="JFH83" s="684"/>
      <c r="JFI83" s="684"/>
      <c r="JFJ83" s="684"/>
      <c r="JFK83" s="684"/>
      <c r="JFL83" s="684"/>
      <c r="JFM83" s="684"/>
      <c r="JFN83" s="684"/>
      <c r="JFO83" s="684"/>
      <c r="JFP83" s="684"/>
      <c r="JFQ83" s="684"/>
      <c r="JFR83" s="684"/>
      <c r="JFS83" s="684"/>
      <c r="JFT83" s="684"/>
      <c r="JFU83" s="684"/>
      <c r="JFV83" s="684"/>
      <c r="JFW83" s="684"/>
      <c r="JFX83" s="684"/>
      <c r="JFY83" s="684"/>
      <c r="JFZ83" s="684"/>
      <c r="JGA83" s="684"/>
      <c r="JGB83" s="684"/>
      <c r="JGC83" s="684"/>
      <c r="JGD83" s="684"/>
      <c r="JGE83" s="684"/>
      <c r="JGF83" s="684"/>
      <c r="JGG83" s="684"/>
      <c r="JGH83" s="684"/>
      <c r="JGI83" s="684"/>
      <c r="JGJ83" s="684"/>
      <c r="JGK83" s="684"/>
      <c r="JGL83" s="684"/>
      <c r="JGM83" s="684"/>
      <c r="JGN83" s="684"/>
      <c r="JGO83" s="684"/>
      <c r="JGP83" s="684"/>
      <c r="JGQ83" s="684"/>
      <c r="JGR83" s="684"/>
      <c r="JGS83" s="684"/>
      <c r="JGT83" s="684"/>
      <c r="JGU83" s="684"/>
      <c r="JGV83" s="684"/>
      <c r="JGW83" s="684"/>
      <c r="JGX83" s="684"/>
      <c r="JGY83" s="684"/>
      <c r="JGZ83" s="684"/>
      <c r="JHA83" s="684"/>
      <c r="JHB83" s="684"/>
      <c r="JHC83" s="684"/>
      <c r="JHD83" s="684"/>
      <c r="JHE83" s="684"/>
      <c r="JHF83" s="684"/>
      <c r="JHG83" s="684"/>
      <c r="JHH83" s="684"/>
      <c r="JHI83" s="684"/>
      <c r="JHJ83" s="684"/>
      <c r="JHK83" s="684"/>
      <c r="JHL83" s="684"/>
      <c r="JHM83" s="684"/>
      <c r="JHN83" s="684"/>
      <c r="JHO83" s="684"/>
      <c r="JHP83" s="684"/>
      <c r="JHQ83" s="684"/>
      <c r="JHR83" s="684"/>
      <c r="JHS83" s="684"/>
      <c r="JHT83" s="684"/>
      <c r="JHU83" s="684"/>
      <c r="JHV83" s="684"/>
      <c r="JHW83" s="684"/>
      <c r="JHX83" s="684"/>
      <c r="JHY83" s="684"/>
      <c r="JHZ83" s="684"/>
      <c r="JIA83" s="684"/>
      <c r="JIB83" s="684"/>
      <c r="JIC83" s="684"/>
      <c r="JID83" s="684"/>
      <c r="JIE83" s="684"/>
      <c r="JIF83" s="684"/>
      <c r="JIG83" s="684"/>
      <c r="JIH83" s="684"/>
      <c r="JII83" s="684"/>
      <c r="JIJ83" s="684"/>
      <c r="JIK83" s="684"/>
      <c r="JIL83" s="684"/>
      <c r="JIM83" s="684"/>
      <c r="JIN83" s="684"/>
      <c r="JIO83" s="684"/>
      <c r="JIP83" s="684"/>
      <c r="JIQ83" s="684"/>
      <c r="JIR83" s="684"/>
      <c r="JIS83" s="684"/>
      <c r="JIT83" s="684"/>
      <c r="JIU83" s="684"/>
      <c r="JIV83" s="684"/>
      <c r="JIW83" s="684"/>
      <c r="JIX83" s="684"/>
      <c r="JIY83" s="684"/>
      <c r="JIZ83" s="684"/>
      <c r="JJA83" s="684"/>
      <c r="JJB83" s="684"/>
      <c r="JJC83" s="684"/>
      <c r="JJD83" s="684"/>
      <c r="JJE83" s="684"/>
      <c r="JJF83" s="684"/>
      <c r="JJG83" s="684"/>
      <c r="JJH83" s="684"/>
      <c r="JJI83" s="684"/>
      <c r="JJJ83" s="684"/>
      <c r="JJK83" s="684"/>
      <c r="JJL83" s="684"/>
      <c r="JJM83" s="684"/>
      <c r="JJN83" s="684"/>
      <c r="JJO83" s="684"/>
      <c r="JJP83" s="684"/>
      <c r="JJQ83" s="684"/>
      <c r="JJR83" s="684"/>
      <c r="JJS83" s="684"/>
      <c r="JJT83" s="684"/>
      <c r="JJU83" s="684"/>
      <c r="JJV83" s="684"/>
      <c r="JJW83" s="684"/>
      <c r="JJX83" s="684"/>
      <c r="JJY83" s="684"/>
      <c r="JJZ83" s="684"/>
      <c r="JKA83" s="684"/>
      <c r="JKB83" s="684"/>
      <c r="JKC83" s="684"/>
      <c r="JKD83" s="684"/>
      <c r="JKE83" s="684"/>
      <c r="JKF83" s="684"/>
      <c r="JKG83" s="684"/>
      <c r="JKH83" s="684"/>
      <c r="JKI83" s="684"/>
      <c r="JKJ83" s="684"/>
      <c r="JKK83" s="684"/>
      <c r="JKL83" s="684"/>
      <c r="JKM83" s="684"/>
      <c r="JKN83" s="684"/>
      <c r="JKO83" s="684"/>
      <c r="JKP83" s="684"/>
      <c r="JKQ83" s="684"/>
      <c r="JKR83" s="684"/>
      <c r="JKS83" s="684"/>
      <c r="JKT83" s="684"/>
      <c r="JKU83" s="684"/>
      <c r="JKV83" s="684"/>
      <c r="JKW83" s="684"/>
      <c r="JKX83" s="684"/>
      <c r="JKY83" s="684"/>
      <c r="JKZ83" s="684"/>
      <c r="JLA83" s="684"/>
      <c r="JLB83" s="684"/>
      <c r="JLC83" s="684"/>
      <c r="JLD83" s="684"/>
      <c r="JLE83" s="684"/>
      <c r="JLF83" s="684"/>
      <c r="JLG83" s="684"/>
      <c r="JLH83" s="684"/>
      <c r="JLI83" s="684"/>
      <c r="JLJ83" s="684"/>
      <c r="JLK83" s="684"/>
      <c r="JLL83" s="684"/>
      <c r="JLM83" s="684"/>
      <c r="JLN83" s="684"/>
      <c r="JLO83" s="684"/>
      <c r="JLP83" s="684"/>
      <c r="JLQ83" s="684"/>
      <c r="JLR83" s="684"/>
      <c r="JLS83" s="684"/>
      <c r="JLT83" s="684"/>
      <c r="JLU83" s="684"/>
      <c r="JLV83" s="684"/>
      <c r="JLW83" s="684"/>
      <c r="JLX83" s="684"/>
      <c r="JLY83" s="684"/>
      <c r="JLZ83" s="684"/>
      <c r="JMA83" s="684"/>
      <c r="JMB83" s="684"/>
      <c r="JMC83" s="684"/>
      <c r="JMD83" s="684"/>
      <c r="JME83" s="684"/>
      <c r="JMF83" s="684"/>
      <c r="JMG83" s="684"/>
      <c r="JMH83" s="684"/>
      <c r="JMI83" s="684"/>
      <c r="JMJ83" s="684"/>
      <c r="JMK83" s="684"/>
      <c r="JML83" s="684"/>
      <c r="JMM83" s="684"/>
      <c r="JMN83" s="684"/>
      <c r="JMO83" s="684"/>
      <c r="JMP83" s="684"/>
      <c r="JMQ83" s="684"/>
      <c r="JMR83" s="684"/>
      <c r="JMS83" s="684"/>
      <c r="JMT83" s="684"/>
      <c r="JMU83" s="684"/>
      <c r="JMV83" s="684"/>
      <c r="JMW83" s="684"/>
      <c r="JMX83" s="684"/>
      <c r="JMY83" s="684"/>
      <c r="JMZ83" s="684"/>
      <c r="JNA83" s="684"/>
      <c r="JNB83" s="684"/>
      <c r="JNC83" s="684"/>
      <c r="JND83" s="684"/>
      <c r="JNE83" s="684"/>
      <c r="JNF83" s="684"/>
      <c r="JNG83" s="684"/>
      <c r="JNH83" s="684"/>
      <c r="JNI83" s="684"/>
      <c r="JNJ83" s="684"/>
      <c r="JNK83" s="684"/>
      <c r="JNL83" s="684"/>
      <c r="JNM83" s="684"/>
      <c r="JNN83" s="684"/>
      <c r="JNO83" s="684"/>
      <c r="JNP83" s="684"/>
      <c r="JNQ83" s="684"/>
      <c r="JNR83" s="684"/>
      <c r="JNS83" s="684"/>
      <c r="JNT83" s="684"/>
      <c r="JNU83" s="684"/>
      <c r="JNV83" s="684"/>
      <c r="JNW83" s="684"/>
      <c r="JNX83" s="684"/>
      <c r="JNY83" s="684"/>
      <c r="JNZ83" s="684"/>
      <c r="JOA83" s="684"/>
      <c r="JOB83" s="684"/>
      <c r="JOC83" s="684"/>
      <c r="JOD83" s="684"/>
      <c r="JOE83" s="684"/>
      <c r="JOF83" s="684"/>
      <c r="JOG83" s="684"/>
      <c r="JOH83" s="684"/>
      <c r="JOI83" s="684"/>
      <c r="JOJ83" s="684"/>
      <c r="JOK83" s="684"/>
      <c r="JOL83" s="684"/>
      <c r="JOM83" s="684"/>
      <c r="JON83" s="684"/>
      <c r="JOO83" s="684"/>
      <c r="JOP83" s="684"/>
      <c r="JOQ83" s="684"/>
      <c r="JOR83" s="684"/>
      <c r="JOS83" s="684"/>
      <c r="JOT83" s="684"/>
      <c r="JOU83" s="684"/>
      <c r="JOV83" s="684"/>
      <c r="JOW83" s="684"/>
      <c r="JOX83" s="684"/>
      <c r="JOY83" s="684"/>
      <c r="JOZ83" s="684"/>
      <c r="JPA83" s="684"/>
      <c r="JPB83" s="684"/>
      <c r="JPC83" s="684"/>
      <c r="JPD83" s="684"/>
      <c r="JPE83" s="684"/>
      <c r="JPF83" s="684"/>
      <c r="JPG83" s="684"/>
      <c r="JPH83" s="684"/>
      <c r="JPI83" s="684"/>
      <c r="JPJ83" s="684"/>
      <c r="JPK83" s="684"/>
      <c r="JPL83" s="684"/>
      <c r="JPM83" s="684"/>
      <c r="JPN83" s="684"/>
      <c r="JPO83" s="684"/>
      <c r="JPP83" s="684"/>
      <c r="JPQ83" s="684"/>
      <c r="JPR83" s="684"/>
      <c r="JPS83" s="684"/>
      <c r="JPT83" s="684"/>
      <c r="JPU83" s="684"/>
      <c r="JPV83" s="684"/>
      <c r="JPW83" s="684"/>
      <c r="JPX83" s="684"/>
      <c r="JPY83" s="684"/>
      <c r="JPZ83" s="684"/>
      <c r="JQA83" s="684"/>
      <c r="JQB83" s="684"/>
      <c r="JQC83" s="684"/>
      <c r="JQD83" s="684"/>
      <c r="JQE83" s="684"/>
      <c r="JQF83" s="684"/>
      <c r="JQG83" s="684"/>
      <c r="JQH83" s="684"/>
      <c r="JQI83" s="684"/>
      <c r="JQJ83" s="684"/>
      <c r="JQK83" s="684"/>
      <c r="JQL83" s="684"/>
      <c r="JQM83" s="684"/>
      <c r="JQN83" s="684"/>
      <c r="JQO83" s="684"/>
      <c r="JQP83" s="684"/>
      <c r="JQQ83" s="684"/>
      <c r="JQR83" s="684"/>
      <c r="JQS83" s="684"/>
      <c r="JQT83" s="684"/>
      <c r="JQU83" s="684"/>
      <c r="JQV83" s="684"/>
      <c r="JQW83" s="684"/>
      <c r="JQX83" s="684"/>
      <c r="JQY83" s="684"/>
      <c r="JQZ83" s="684"/>
      <c r="JRA83" s="684"/>
      <c r="JRB83" s="684"/>
      <c r="JRC83" s="684"/>
      <c r="JRD83" s="684"/>
      <c r="JRE83" s="684"/>
      <c r="JRF83" s="684"/>
      <c r="JRG83" s="684"/>
      <c r="JRH83" s="684"/>
      <c r="JRI83" s="684"/>
      <c r="JRJ83" s="684"/>
      <c r="JRK83" s="684"/>
      <c r="JRL83" s="684"/>
      <c r="JRM83" s="684"/>
      <c r="JRN83" s="684"/>
      <c r="JRO83" s="684"/>
      <c r="JRP83" s="684"/>
      <c r="JRQ83" s="684"/>
      <c r="JRR83" s="684"/>
      <c r="JRS83" s="684"/>
      <c r="JRT83" s="684"/>
      <c r="JRU83" s="684"/>
      <c r="JRV83" s="684"/>
      <c r="JRW83" s="684"/>
      <c r="JRX83" s="684"/>
      <c r="JRY83" s="684"/>
      <c r="JRZ83" s="684"/>
      <c r="JSA83" s="684"/>
      <c r="JSB83" s="684"/>
      <c r="JSC83" s="684"/>
      <c r="JSD83" s="684"/>
      <c r="JSE83" s="684"/>
      <c r="JSF83" s="684"/>
      <c r="JSG83" s="684"/>
      <c r="JSH83" s="684"/>
      <c r="JSI83" s="684"/>
      <c r="JSJ83" s="684"/>
      <c r="JSK83" s="684"/>
      <c r="JSL83" s="684"/>
      <c r="JSM83" s="684"/>
      <c r="JSN83" s="684"/>
      <c r="JSO83" s="684"/>
      <c r="JSP83" s="684"/>
      <c r="JSQ83" s="684"/>
      <c r="JSR83" s="684"/>
      <c r="JSS83" s="684"/>
      <c r="JST83" s="684"/>
      <c r="JSU83" s="684"/>
      <c r="JSV83" s="684"/>
      <c r="JSW83" s="684"/>
      <c r="JSX83" s="684"/>
      <c r="JSY83" s="684"/>
      <c r="JSZ83" s="684"/>
      <c r="JTA83" s="684"/>
      <c r="JTB83" s="684"/>
      <c r="JTC83" s="684"/>
      <c r="JTD83" s="684"/>
      <c r="JTE83" s="684"/>
      <c r="JTF83" s="684"/>
      <c r="JTG83" s="684"/>
      <c r="JTH83" s="684"/>
      <c r="JTI83" s="684"/>
      <c r="JTJ83" s="684"/>
      <c r="JTK83" s="684"/>
      <c r="JTL83" s="684"/>
      <c r="JTM83" s="684"/>
      <c r="JTN83" s="684"/>
      <c r="JTO83" s="684"/>
      <c r="JTP83" s="684"/>
      <c r="JTQ83" s="684"/>
      <c r="JTR83" s="684"/>
      <c r="JTS83" s="684"/>
      <c r="JTT83" s="684"/>
      <c r="JTU83" s="684"/>
      <c r="JTV83" s="684"/>
      <c r="JTW83" s="684"/>
      <c r="JTX83" s="684"/>
      <c r="JTY83" s="684"/>
      <c r="JTZ83" s="684"/>
      <c r="JUA83" s="684"/>
      <c r="JUB83" s="684"/>
      <c r="JUC83" s="684"/>
      <c r="JUD83" s="684"/>
      <c r="JUE83" s="684"/>
      <c r="JUF83" s="684"/>
      <c r="JUG83" s="684"/>
      <c r="JUH83" s="684"/>
      <c r="JUI83" s="684"/>
      <c r="JUJ83" s="684"/>
      <c r="JUK83" s="684"/>
      <c r="JUL83" s="684"/>
      <c r="JUM83" s="684"/>
      <c r="JUN83" s="684"/>
      <c r="JUO83" s="684"/>
      <c r="JUP83" s="684"/>
      <c r="JUQ83" s="684"/>
      <c r="JUR83" s="684"/>
      <c r="JUS83" s="684"/>
      <c r="JUT83" s="684"/>
      <c r="JUU83" s="684"/>
      <c r="JUV83" s="684"/>
      <c r="JUW83" s="684"/>
      <c r="JUX83" s="684"/>
      <c r="JUY83" s="684"/>
      <c r="JUZ83" s="684"/>
      <c r="JVA83" s="684"/>
      <c r="JVB83" s="684"/>
      <c r="JVC83" s="684"/>
      <c r="JVD83" s="684"/>
      <c r="JVE83" s="684"/>
      <c r="JVF83" s="684"/>
      <c r="JVG83" s="684"/>
      <c r="JVH83" s="684"/>
      <c r="JVI83" s="684"/>
      <c r="JVJ83" s="684"/>
      <c r="JVK83" s="684"/>
      <c r="JVL83" s="684"/>
      <c r="JVM83" s="684"/>
      <c r="JVN83" s="684"/>
      <c r="JVO83" s="684"/>
      <c r="JVP83" s="684"/>
      <c r="JVQ83" s="684"/>
      <c r="JVR83" s="684"/>
      <c r="JVS83" s="684"/>
      <c r="JVT83" s="684"/>
      <c r="JVU83" s="684"/>
      <c r="JVV83" s="684"/>
      <c r="JVW83" s="684"/>
      <c r="JVX83" s="684"/>
      <c r="JVY83" s="684"/>
      <c r="JVZ83" s="684"/>
      <c r="JWA83" s="684"/>
      <c r="JWB83" s="684"/>
      <c r="JWC83" s="684"/>
      <c r="JWD83" s="684"/>
      <c r="JWE83" s="684"/>
      <c r="JWF83" s="684"/>
      <c r="JWG83" s="684"/>
      <c r="JWH83" s="684"/>
      <c r="JWI83" s="684"/>
      <c r="JWJ83" s="684"/>
      <c r="JWK83" s="684"/>
      <c r="JWL83" s="684"/>
      <c r="JWM83" s="684"/>
      <c r="JWN83" s="684"/>
      <c r="JWO83" s="684"/>
      <c r="JWP83" s="684"/>
      <c r="JWQ83" s="684"/>
      <c r="JWR83" s="684"/>
      <c r="JWS83" s="684"/>
      <c r="JWT83" s="684"/>
      <c r="JWU83" s="684"/>
      <c r="JWV83" s="684"/>
      <c r="JWW83" s="684"/>
      <c r="JWX83" s="684"/>
      <c r="JWY83" s="684"/>
      <c r="JWZ83" s="684"/>
      <c r="JXA83" s="684"/>
      <c r="JXB83" s="684"/>
      <c r="JXC83" s="684"/>
      <c r="JXD83" s="684"/>
      <c r="JXE83" s="684"/>
      <c r="JXF83" s="684"/>
      <c r="JXG83" s="684"/>
      <c r="JXH83" s="684"/>
      <c r="JXI83" s="684"/>
      <c r="JXJ83" s="684"/>
      <c r="JXK83" s="684"/>
      <c r="JXL83" s="684"/>
      <c r="JXM83" s="684"/>
      <c r="JXN83" s="684"/>
      <c r="JXO83" s="684"/>
      <c r="JXP83" s="684"/>
      <c r="JXQ83" s="684"/>
      <c r="JXR83" s="684"/>
      <c r="JXS83" s="684"/>
      <c r="JXT83" s="684"/>
      <c r="JXU83" s="684"/>
      <c r="JXV83" s="684"/>
      <c r="JXW83" s="684"/>
      <c r="JXX83" s="684"/>
      <c r="JXY83" s="684"/>
      <c r="JXZ83" s="684"/>
      <c r="JYA83" s="684"/>
      <c r="JYB83" s="684"/>
      <c r="JYC83" s="684"/>
      <c r="JYD83" s="684"/>
      <c r="JYE83" s="684"/>
      <c r="JYF83" s="684"/>
      <c r="JYG83" s="684"/>
      <c r="JYH83" s="684"/>
      <c r="JYI83" s="684"/>
      <c r="JYJ83" s="684"/>
      <c r="JYK83" s="684"/>
      <c r="JYL83" s="684"/>
      <c r="JYM83" s="684"/>
      <c r="JYN83" s="684"/>
      <c r="JYO83" s="684"/>
      <c r="JYP83" s="684"/>
      <c r="JYQ83" s="684"/>
      <c r="JYR83" s="684"/>
      <c r="JYS83" s="684"/>
      <c r="JYT83" s="684"/>
      <c r="JYU83" s="684"/>
      <c r="JYV83" s="684"/>
      <c r="JYW83" s="684"/>
      <c r="JYX83" s="684"/>
      <c r="JYY83" s="684"/>
      <c r="JYZ83" s="684"/>
      <c r="JZA83" s="684"/>
      <c r="JZB83" s="684"/>
      <c r="JZC83" s="684"/>
      <c r="JZD83" s="684"/>
      <c r="JZE83" s="684"/>
      <c r="JZF83" s="684"/>
      <c r="JZG83" s="684"/>
      <c r="JZH83" s="684"/>
      <c r="JZI83" s="684"/>
      <c r="JZJ83" s="684"/>
      <c r="JZK83" s="684"/>
      <c r="JZL83" s="684"/>
      <c r="JZM83" s="684"/>
      <c r="JZN83" s="684"/>
      <c r="JZO83" s="684"/>
      <c r="JZP83" s="684"/>
      <c r="JZQ83" s="684"/>
      <c r="JZR83" s="684"/>
      <c r="JZS83" s="684"/>
      <c r="JZT83" s="684"/>
      <c r="JZU83" s="684"/>
      <c r="JZV83" s="684"/>
      <c r="JZW83" s="684"/>
      <c r="JZX83" s="684"/>
      <c r="JZY83" s="684"/>
      <c r="JZZ83" s="684"/>
      <c r="KAA83" s="684"/>
      <c r="KAB83" s="684"/>
      <c r="KAC83" s="684"/>
      <c r="KAD83" s="684"/>
      <c r="KAE83" s="684"/>
      <c r="KAF83" s="684"/>
      <c r="KAG83" s="684"/>
      <c r="KAH83" s="684"/>
      <c r="KAI83" s="684"/>
      <c r="KAJ83" s="684"/>
      <c r="KAK83" s="684"/>
      <c r="KAL83" s="684"/>
      <c r="KAM83" s="684"/>
      <c r="KAN83" s="684"/>
      <c r="KAO83" s="684"/>
      <c r="KAP83" s="684"/>
      <c r="KAQ83" s="684"/>
      <c r="KAR83" s="684"/>
      <c r="KAS83" s="684"/>
      <c r="KAT83" s="684"/>
      <c r="KAU83" s="684"/>
      <c r="KAV83" s="684"/>
      <c r="KAW83" s="684"/>
      <c r="KAX83" s="684"/>
      <c r="KAY83" s="684"/>
      <c r="KAZ83" s="684"/>
      <c r="KBA83" s="684"/>
      <c r="KBB83" s="684"/>
      <c r="KBC83" s="684"/>
      <c r="KBD83" s="684"/>
      <c r="KBE83" s="684"/>
      <c r="KBF83" s="684"/>
      <c r="KBG83" s="684"/>
      <c r="KBH83" s="684"/>
      <c r="KBI83" s="684"/>
      <c r="KBJ83" s="684"/>
      <c r="KBK83" s="684"/>
      <c r="KBL83" s="684"/>
      <c r="KBM83" s="684"/>
      <c r="KBN83" s="684"/>
      <c r="KBO83" s="684"/>
      <c r="KBP83" s="684"/>
      <c r="KBQ83" s="684"/>
      <c r="KBR83" s="684"/>
      <c r="KBS83" s="684"/>
      <c r="KBT83" s="684"/>
      <c r="KBU83" s="684"/>
      <c r="KBV83" s="684"/>
      <c r="KBW83" s="684"/>
      <c r="KBX83" s="684"/>
      <c r="KBY83" s="684"/>
      <c r="KBZ83" s="684"/>
      <c r="KCA83" s="684"/>
      <c r="KCB83" s="684"/>
      <c r="KCC83" s="684"/>
      <c r="KCD83" s="684"/>
      <c r="KCE83" s="684"/>
      <c r="KCF83" s="684"/>
      <c r="KCG83" s="684"/>
      <c r="KCH83" s="684"/>
      <c r="KCI83" s="684"/>
      <c r="KCJ83" s="684"/>
      <c r="KCK83" s="684"/>
      <c r="KCL83" s="684"/>
      <c r="KCM83" s="684"/>
      <c r="KCN83" s="684"/>
      <c r="KCO83" s="684"/>
      <c r="KCP83" s="684"/>
      <c r="KCQ83" s="684"/>
      <c r="KCR83" s="684"/>
      <c r="KCS83" s="684"/>
      <c r="KCT83" s="684"/>
      <c r="KCU83" s="684"/>
      <c r="KCV83" s="684"/>
      <c r="KCW83" s="684"/>
      <c r="KCX83" s="684"/>
      <c r="KCY83" s="684"/>
      <c r="KCZ83" s="684"/>
      <c r="KDA83" s="684"/>
      <c r="KDB83" s="684"/>
      <c r="KDC83" s="684"/>
      <c r="KDD83" s="684"/>
      <c r="KDE83" s="684"/>
      <c r="KDF83" s="684"/>
      <c r="KDG83" s="684"/>
      <c r="KDH83" s="684"/>
      <c r="KDI83" s="684"/>
      <c r="KDJ83" s="684"/>
      <c r="KDK83" s="684"/>
      <c r="KDL83" s="684"/>
      <c r="KDM83" s="684"/>
      <c r="KDN83" s="684"/>
      <c r="KDO83" s="684"/>
      <c r="KDP83" s="684"/>
      <c r="KDQ83" s="684"/>
      <c r="KDR83" s="684"/>
      <c r="KDS83" s="684"/>
      <c r="KDT83" s="684"/>
      <c r="KDU83" s="684"/>
      <c r="KDV83" s="684"/>
      <c r="KDW83" s="684"/>
      <c r="KDX83" s="684"/>
      <c r="KDY83" s="684"/>
      <c r="KDZ83" s="684"/>
      <c r="KEA83" s="684"/>
      <c r="KEB83" s="684"/>
      <c r="KEC83" s="684"/>
      <c r="KED83" s="684"/>
      <c r="KEE83" s="684"/>
      <c r="KEF83" s="684"/>
      <c r="KEG83" s="684"/>
      <c r="KEH83" s="684"/>
      <c r="KEI83" s="684"/>
      <c r="KEJ83" s="684"/>
      <c r="KEK83" s="684"/>
      <c r="KEL83" s="684"/>
      <c r="KEM83" s="684"/>
      <c r="KEN83" s="684"/>
      <c r="KEO83" s="684"/>
      <c r="KEP83" s="684"/>
      <c r="KEQ83" s="684"/>
      <c r="KER83" s="684"/>
      <c r="KES83" s="684"/>
      <c r="KET83" s="684"/>
      <c r="KEU83" s="684"/>
      <c r="KEV83" s="684"/>
      <c r="KEW83" s="684"/>
      <c r="KEX83" s="684"/>
      <c r="KEY83" s="684"/>
      <c r="KEZ83" s="684"/>
      <c r="KFA83" s="684"/>
      <c r="KFB83" s="684"/>
      <c r="KFC83" s="684"/>
      <c r="KFD83" s="684"/>
      <c r="KFE83" s="684"/>
      <c r="KFF83" s="684"/>
      <c r="KFG83" s="684"/>
      <c r="KFH83" s="684"/>
      <c r="KFI83" s="684"/>
      <c r="KFJ83" s="684"/>
      <c r="KFK83" s="684"/>
      <c r="KFL83" s="684"/>
      <c r="KFM83" s="684"/>
      <c r="KFN83" s="684"/>
      <c r="KFO83" s="684"/>
      <c r="KFP83" s="684"/>
      <c r="KFQ83" s="684"/>
      <c r="KFR83" s="684"/>
      <c r="KFS83" s="684"/>
      <c r="KFT83" s="684"/>
      <c r="KFU83" s="684"/>
      <c r="KFV83" s="684"/>
      <c r="KFW83" s="684"/>
      <c r="KFX83" s="684"/>
      <c r="KFY83" s="684"/>
      <c r="KFZ83" s="684"/>
      <c r="KGA83" s="684"/>
      <c r="KGB83" s="684"/>
      <c r="KGC83" s="684"/>
      <c r="KGD83" s="684"/>
      <c r="KGE83" s="684"/>
      <c r="KGF83" s="684"/>
      <c r="KGG83" s="684"/>
      <c r="KGH83" s="684"/>
      <c r="KGI83" s="684"/>
      <c r="KGJ83" s="684"/>
      <c r="KGK83" s="684"/>
      <c r="KGL83" s="684"/>
      <c r="KGM83" s="684"/>
      <c r="KGN83" s="684"/>
      <c r="KGO83" s="684"/>
      <c r="KGP83" s="684"/>
      <c r="KGQ83" s="684"/>
      <c r="KGR83" s="684"/>
      <c r="KGS83" s="684"/>
      <c r="KGT83" s="684"/>
      <c r="KGU83" s="684"/>
      <c r="KGV83" s="684"/>
      <c r="KGW83" s="684"/>
      <c r="KGX83" s="684"/>
      <c r="KGY83" s="684"/>
      <c r="KGZ83" s="684"/>
      <c r="KHA83" s="684"/>
      <c r="KHB83" s="684"/>
      <c r="KHC83" s="684"/>
      <c r="KHD83" s="684"/>
      <c r="KHE83" s="684"/>
      <c r="KHF83" s="684"/>
      <c r="KHG83" s="684"/>
      <c r="KHH83" s="684"/>
      <c r="KHI83" s="684"/>
      <c r="KHJ83" s="684"/>
      <c r="KHK83" s="684"/>
      <c r="KHL83" s="684"/>
      <c r="KHM83" s="684"/>
      <c r="KHN83" s="684"/>
      <c r="KHO83" s="684"/>
      <c r="KHP83" s="684"/>
      <c r="KHQ83" s="684"/>
      <c r="KHR83" s="684"/>
      <c r="KHS83" s="684"/>
      <c r="KHT83" s="684"/>
      <c r="KHU83" s="684"/>
      <c r="KHV83" s="684"/>
      <c r="KHW83" s="684"/>
      <c r="KHX83" s="684"/>
      <c r="KHY83" s="684"/>
      <c r="KHZ83" s="684"/>
      <c r="KIA83" s="684"/>
      <c r="KIB83" s="684"/>
      <c r="KIC83" s="684"/>
      <c r="KID83" s="684"/>
      <c r="KIE83" s="684"/>
      <c r="KIF83" s="684"/>
      <c r="KIG83" s="684"/>
      <c r="KIH83" s="684"/>
      <c r="KII83" s="684"/>
      <c r="KIJ83" s="684"/>
      <c r="KIK83" s="684"/>
      <c r="KIL83" s="684"/>
      <c r="KIM83" s="684"/>
      <c r="KIN83" s="684"/>
      <c r="KIO83" s="684"/>
      <c r="KIP83" s="684"/>
      <c r="KIQ83" s="684"/>
      <c r="KIR83" s="684"/>
      <c r="KIS83" s="684"/>
      <c r="KIT83" s="684"/>
      <c r="KIU83" s="684"/>
      <c r="KIV83" s="684"/>
      <c r="KIW83" s="684"/>
      <c r="KIX83" s="684"/>
      <c r="KIY83" s="684"/>
      <c r="KIZ83" s="684"/>
      <c r="KJA83" s="684"/>
      <c r="KJB83" s="684"/>
      <c r="KJC83" s="684"/>
      <c r="KJD83" s="684"/>
      <c r="KJE83" s="684"/>
      <c r="KJF83" s="684"/>
      <c r="KJG83" s="684"/>
      <c r="KJH83" s="684"/>
      <c r="KJI83" s="684"/>
      <c r="KJJ83" s="684"/>
      <c r="KJK83" s="684"/>
      <c r="KJL83" s="684"/>
      <c r="KJM83" s="684"/>
      <c r="KJN83" s="684"/>
      <c r="KJO83" s="684"/>
      <c r="KJP83" s="684"/>
      <c r="KJQ83" s="684"/>
      <c r="KJR83" s="684"/>
      <c r="KJS83" s="684"/>
      <c r="KJT83" s="684"/>
      <c r="KJU83" s="684"/>
      <c r="KJV83" s="684"/>
      <c r="KJW83" s="684"/>
      <c r="KJX83" s="684"/>
      <c r="KJY83" s="684"/>
      <c r="KJZ83" s="684"/>
      <c r="KKA83" s="684"/>
      <c r="KKB83" s="684"/>
      <c r="KKC83" s="684"/>
      <c r="KKD83" s="684"/>
      <c r="KKE83" s="684"/>
      <c r="KKF83" s="684"/>
      <c r="KKG83" s="684"/>
      <c r="KKH83" s="684"/>
      <c r="KKI83" s="684"/>
      <c r="KKJ83" s="684"/>
      <c r="KKK83" s="684"/>
      <c r="KKL83" s="684"/>
      <c r="KKM83" s="684"/>
      <c r="KKN83" s="684"/>
      <c r="KKO83" s="684"/>
      <c r="KKP83" s="684"/>
      <c r="KKQ83" s="684"/>
      <c r="KKR83" s="684"/>
      <c r="KKS83" s="684"/>
      <c r="KKT83" s="684"/>
      <c r="KKU83" s="684"/>
      <c r="KKV83" s="684"/>
      <c r="KKW83" s="684"/>
      <c r="KKX83" s="684"/>
      <c r="KKY83" s="684"/>
      <c r="KKZ83" s="684"/>
      <c r="KLA83" s="684"/>
      <c r="KLB83" s="684"/>
      <c r="KLC83" s="684"/>
      <c r="KLD83" s="684"/>
      <c r="KLE83" s="684"/>
      <c r="KLF83" s="684"/>
      <c r="KLG83" s="684"/>
      <c r="KLH83" s="684"/>
      <c r="KLI83" s="684"/>
      <c r="KLJ83" s="684"/>
      <c r="KLK83" s="684"/>
      <c r="KLL83" s="684"/>
      <c r="KLM83" s="684"/>
      <c r="KLN83" s="684"/>
      <c r="KLO83" s="684"/>
      <c r="KLP83" s="684"/>
      <c r="KLQ83" s="684"/>
      <c r="KLR83" s="684"/>
      <c r="KLS83" s="684"/>
      <c r="KLT83" s="684"/>
      <c r="KLU83" s="684"/>
      <c r="KLV83" s="684"/>
      <c r="KLW83" s="684"/>
      <c r="KLX83" s="684"/>
      <c r="KLY83" s="684"/>
      <c r="KLZ83" s="684"/>
      <c r="KMA83" s="684"/>
      <c r="KMB83" s="684"/>
      <c r="KMC83" s="684"/>
      <c r="KMD83" s="684"/>
      <c r="KME83" s="684"/>
      <c r="KMF83" s="684"/>
      <c r="KMG83" s="684"/>
      <c r="KMH83" s="684"/>
      <c r="KMI83" s="684"/>
      <c r="KMJ83" s="684"/>
      <c r="KMK83" s="684"/>
      <c r="KML83" s="684"/>
      <c r="KMM83" s="684"/>
      <c r="KMN83" s="684"/>
      <c r="KMO83" s="684"/>
      <c r="KMP83" s="684"/>
      <c r="KMQ83" s="684"/>
      <c r="KMR83" s="684"/>
      <c r="KMS83" s="684"/>
      <c r="KMT83" s="684"/>
      <c r="KMU83" s="684"/>
      <c r="KMV83" s="684"/>
      <c r="KMW83" s="684"/>
      <c r="KMX83" s="684"/>
      <c r="KMY83" s="684"/>
      <c r="KMZ83" s="684"/>
      <c r="KNA83" s="684"/>
      <c r="KNB83" s="684"/>
      <c r="KNC83" s="684"/>
      <c r="KND83" s="684"/>
      <c r="KNE83" s="684"/>
      <c r="KNF83" s="684"/>
      <c r="KNG83" s="684"/>
      <c r="KNH83" s="684"/>
      <c r="KNI83" s="684"/>
      <c r="KNJ83" s="684"/>
      <c r="KNK83" s="684"/>
      <c r="KNL83" s="684"/>
      <c r="KNM83" s="684"/>
      <c r="KNN83" s="684"/>
      <c r="KNO83" s="684"/>
      <c r="KNP83" s="684"/>
      <c r="KNQ83" s="684"/>
      <c r="KNR83" s="684"/>
      <c r="KNS83" s="684"/>
      <c r="KNT83" s="684"/>
      <c r="KNU83" s="684"/>
      <c r="KNV83" s="684"/>
      <c r="KNW83" s="684"/>
      <c r="KNX83" s="684"/>
      <c r="KNY83" s="684"/>
      <c r="KNZ83" s="684"/>
      <c r="KOA83" s="684"/>
      <c r="KOB83" s="684"/>
      <c r="KOC83" s="684"/>
      <c r="KOD83" s="684"/>
      <c r="KOE83" s="684"/>
      <c r="KOF83" s="684"/>
      <c r="KOG83" s="684"/>
      <c r="KOH83" s="684"/>
      <c r="KOI83" s="684"/>
      <c r="KOJ83" s="684"/>
      <c r="KOK83" s="684"/>
      <c r="KOL83" s="684"/>
      <c r="KOM83" s="684"/>
      <c r="KON83" s="684"/>
      <c r="KOO83" s="684"/>
      <c r="KOP83" s="684"/>
      <c r="KOQ83" s="684"/>
      <c r="KOR83" s="684"/>
      <c r="KOS83" s="684"/>
      <c r="KOT83" s="684"/>
      <c r="KOU83" s="684"/>
      <c r="KOV83" s="684"/>
      <c r="KOW83" s="684"/>
      <c r="KOX83" s="684"/>
      <c r="KOY83" s="684"/>
      <c r="KOZ83" s="684"/>
      <c r="KPA83" s="684"/>
      <c r="KPB83" s="684"/>
      <c r="KPC83" s="684"/>
      <c r="KPD83" s="684"/>
      <c r="KPE83" s="684"/>
      <c r="KPF83" s="684"/>
      <c r="KPG83" s="684"/>
      <c r="KPH83" s="684"/>
      <c r="KPI83" s="684"/>
      <c r="KPJ83" s="684"/>
      <c r="KPK83" s="684"/>
      <c r="KPL83" s="684"/>
      <c r="KPM83" s="684"/>
      <c r="KPN83" s="684"/>
      <c r="KPO83" s="684"/>
      <c r="KPP83" s="684"/>
      <c r="KPQ83" s="684"/>
      <c r="KPR83" s="684"/>
      <c r="KPS83" s="684"/>
      <c r="KPT83" s="684"/>
      <c r="KPU83" s="684"/>
      <c r="KPV83" s="684"/>
      <c r="KPW83" s="684"/>
      <c r="KPX83" s="684"/>
      <c r="KPY83" s="684"/>
      <c r="KPZ83" s="684"/>
      <c r="KQA83" s="684"/>
      <c r="KQB83" s="684"/>
      <c r="KQC83" s="684"/>
      <c r="KQD83" s="684"/>
      <c r="KQE83" s="684"/>
      <c r="KQF83" s="684"/>
      <c r="KQG83" s="684"/>
      <c r="KQH83" s="684"/>
      <c r="KQI83" s="684"/>
      <c r="KQJ83" s="684"/>
      <c r="KQK83" s="684"/>
      <c r="KQL83" s="684"/>
      <c r="KQM83" s="684"/>
      <c r="KQN83" s="684"/>
      <c r="KQO83" s="684"/>
      <c r="KQP83" s="684"/>
      <c r="KQQ83" s="684"/>
      <c r="KQR83" s="684"/>
      <c r="KQS83" s="684"/>
      <c r="KQT83" s="684"/>
      <c r="KQU83" s="684"/>
      <c r="KQV83" s="684"/>
      <c r="KQW83" s="684"/>
      <c r="KQX83" s="684"/>
      <c r="KQY83" s="684"/>
      <c r="KQZ83" s="684"/>
      <c r="KRA83" s="684"/>
      <c r="KRB83" s="684"/>
      <c r="KRC83" s="684"/>
      <c r="KRD83" s="684"/>
      <c r="KRE83" s="684"/>
      <c r="KRF83" s="684"/>
      <c r="KRG83" s="684"/>
      <c r="KRH83" s="684"/>
      <c r="KRI83" s="684"/>
      <c r="KRJ83" s="684"/>
      <c r="KRK83" s="684"/>
      <c r="KRL83" s="684"/>
      <c r="KRM83" s="684"/>
      <c r="KRN83" s="684"/>
      <c r="KRO83" s="684"/>
      <c r="KRP83" s="684"/>
      <c r="KRQ83" s="684"/>
      <c r="KRR83" s="684"/>
      <c r="KRS83" s="684"/>
      <c r="KRT83" s="684"/>
      <c r="KRU83" s="684"/>
      <c r="KRV83" s="684"/>
      <c r="KRW83" s="684"/>
      <c r="KRX83" s="684"/>
      <c r="KRY83" s="684"/>
      <c r="KRZ83" s="684"/>
      <c r="KSA83" s="684"/>
      <c r="KSB83" s="684"/>
      <c r="KSC83" s="684"/>
      <c r="KSD83" s="684"/>
      <c r="KSE83" s="684"/>
      <c r="KSF83" s="684"/>
      <c r="KSG83" s="684"/>
      <c r="KSH83" s="684"/>
      <c r="KSI83" s="684"/>
      <c r="KSJ83" s="684"/>
      <c r="KSK83" s="684"/>
      <c r="KSL83" s="684"/>
      <c r="KSM83" s="684"/>
      <c r="KSN83" s="684"/>
      <c r="KSO83" s="684"/>
      <c r="KSP83" s="684"/>
      <c r="KSQ83" s="684"/>
      <c r="KSR83" s="684"/>
      <c r="KSS83" s="684"/>
      <c r="KST83" s="684"/>
      <c r="KSU83" s="684"/>
      <c r="KSV83" s="684"/>
      <c r="KSW83" s="684"/>
      <c r="KSX83" s="684"/>
      <c r="KSY83" s="684"/>
      <c r="KSZ83" s="684"/>
      <c r="KTA83" s="684"/>
      <c r="KTB83" s="684"/>
      <c r="KTC83" s="684"/>
      <c r="KTD83" s="684"/>
      <c r="KTE83" s="684"/>
      <c r="KTF83" s="684"/>
      <c r="KTG83" s="684"/>
      <c r="KTH83" s="684"/>
      <c r="KTI83" s="684"/>
      <c r="KTJ83" s="684"/>
      <c r="KTK83" s="684"/>
      <c r="KTL83" s="684"/>
      <c r="KTM83" s="684"/>
      <c r="KTN83" s="684"/>
      <c r="KTO83" s="684"/>
      <c r="KTP83" s="684"/>
      <c r="KTQ83" s="684"/>
      <c r="KTR83" s="684"/>
      <c r="KTS83" s="684"/>
      <c r="KTT83" s="684"/>
      <c r="KTU83" s="684"/>
      <c r="KTV83" s="684"/>
      <c r="KTW83" s="684"/>
      <c r="KTX83" s="684"/>
      <c r="KTY83" s="684"/>
      <c r="KTZ83" s="684"/>
      <c r="KUA83" s="684"/>
      <c r="KUB83" s="684"/>
      <c r="KUC83" s="684"/>
      <c r="KUD83" s="684"/>
      <c r="KUE83" s="684"/>
      <c r="KUF83" s="684"/>
      <c r="KUG83" s="684"/>
      <c r="KUH83" s="684"/>
      <c r="KUI83" s="684"/>
      <c r="KUJ83" s="684"/>
      <c r="KUK83" s="684"/>
      <c r="KUL83" s="684"/>
      <c r="KUM83" s="684"/>
      <c r="KUN83" s="684"/>
      <c r="KUO83" s="684"/>
      <c r="KUP83" s="684"/>
      <c r="KUQ83" s="684"/>
      <c r="KUR83" s="684"/>
      <c r="KUS83" s="684"/>
      <c r="KUT83" s="684"/>
      <c r="KUU83" s="684"/>
      <c r="KUV83" s="684"/>
      <c r="KUW83" s="684"/>
      <c r="KUX83" s="684"/>
      <c r="KUY83" s="684"/>
      <c r="KUZ83" s="684"/>
      <c r="KVA83" s="684"/>
      <c r="KVB83" s="684"/>
      <c r="KVC83" s="684"/>
      <c r="KVD83" s="684"/>
      <c r="KVE83" s="684"/>
      <c r="KVF83" s="684"/>
      <c r="KVG83" s="684"/>
      <c r="KVH83" s="684"/>
      <c r="KVI83" s="684"/>
      <c r="KVJ83" s="684"/>
      <c r="KVK83" s="684"/>
      <c r="KVL83" s="684"/>
      <c r="KVM83" s="684"/>
      <c r="KVN83" s="684"/>
      <c r="KVO83" s="684"/>
      <c r="KVP83" s="684"/>
      <c r="KVQ83" s="684"/>
      <c r="KVR83" s="684"/>
      <c r="KVS83" s="684"/>
      <c r="KVT83" s="684"/>
      <c r="KVU83" s="684"/>
      <c r="KVV83" s="684"/>
      <c r="KVW83" s="684"/>
      <c r="KVX83" s="684"/>
      <c r="KVY83" s="684"/>
      <c r="KVZ83" s="684"/>
      <c r="KWA83" s="684"/>
      <c r="KWB83" s="684"/>
      <c r="KWC83" s="684"/>
      <c r="KWD83" s="684"/>
      <c r="KWE83" s="684"/>
      <c r="KWF83" s="684"/>
      <c r="KWG83" s="684"/>
      <c r="KWH83" s="684"/>
      <c r="KWI83" s="684"/>
      <c r="KWJ83" s="684"/>
      <c r="KWK83" s="684"/>
      <c r="KWL83" s="684"/>
      <c r="KWM83" s="684"/>
      <c r="KWN83" s="684"/>
      <c r="KWO83" s="684"/>
      <c r="KWP83" s="684"/>
      <c r="KWQ83" s="684"/>
      <c r="KWR83" s="684"/>
      <c r="KWS83" s="684"/>
      <c r="KWT83" s="684"/>
      <c r="KWU83" s="684"/>
      <c r="KWV83" s="684"/>
      <c r="KWW83" s="684"/>
      <c r="KWX83" s="684"/>
      <c r="KWY83" s="684"/>
      <c r="KWZ83" s="684"/>
      <c r="KXA83" s="684"/>
      <c r="KXB83" s="684"/>
      <c r="KXC83" s="684"/>
      <c r="KXD83" s="684"/>
      <c r="KXE83" s="684"/>
      <c r="KXF83" s="684"/>
      <c r="KXG83" s="684"/>
      <c r="KXH83" s="684"/>
      <c r="KXI83" s="684"/>
      <c r="KXJ83" s="684"/>
      <c r="KXK83" s="684"/>
      <c r="KXL83" s="684"/>
      <c r="KXM83" s="684"/>
      <c r="KXN83" s="684"/>
      <c r="KXO83" s="684"/>
      <c r="KXP83" s="684"/>
      <c r="KXQ83" s="684"/>
      <c r="KXR83" s="684"/>
      <c r="KXS83" s="684"/>
      <c r="KXT83" s="684"/>
      <c r="KXU83" s="684"/>
      <c r="KXV83" s="684"/>
      <c r="KXW83" s="684"/>
      <c r="KXX83" s="684"/>
      <c r="KXY83" s="684"/>
      <c r="KXZ83" s="684"/>
      <c r="KYA83" s="684"/>
      <c r="KYB83" s="684"/>
      <c r="KYC83" s="684"/>
      <c r="KYD83" s="684"/>
      <c r="KYE83" s="684"/>
      <c r="KYF83" s="684"/>
      <c r="KYG83" s="684"/>
      <c r="KYH83" s="684"/>
      <c r="KYI83" s="684"/>
      <c r="KYJ83" s="684"/>
      <c r="KYK83" s="684"/>
      <c r="KYL83" s="684"/>
      <c r="KYM83" s="684"/>
      <c r="KYN83" s="684"/>
      <c r="KYO83" s="684"/>
      <c r="KYP83" s="684"/>
      <c r="KYQ83" s="684"/>
      <c r="KYR83" s="684"/>
      <c r="KYS83" s="684"/>
      <c r="KYT83" s="684"/>
      <c r="KYU83" s="684"/>
      <c r="KYV83" s="684"/>
      <c r="KYW83" s="684"/>
      <c r="KYX83" s="684"/>
      <c r="KYY83" s="684"/>
      <c r="KYZ83" s="684"/>
      <c r="KZA83" s="684"/>
      <c r="KZB83" s="684"/>
      <c r="KZC83" s="684"/>
      <c r="KZD83" s="684"/>
      <c r="KZE83" s="684"/>
      <c r="KZF83" s="684"/>
      <c r="KZG83" s="684"/>
      <c r="KZH83" s="684"/>
      <c r="KZI83" s="684"/>
      <c r="KZJ83" s="684"/>
      <c r="KZK83" s="684"/>
      <c r="KZL83" s="684"/>
      <c r="KZM83" s="684"/>
      <c r="KZN83" s="684"/>
      <c r="KZO83" s="684"/>
      <c r="KZP83" s="684"/>
      <c r="KZQ83" s="684"/>
      <c r="KZR83" s="684"/>
      <c r="KZS83" s="684"/>
      <c r="KZT83" s="684"/>
      <c r="KZU83" s="684"/>
      <c r="KZV83" s="684"/>
      <c r="KZW83" s="684"/>
      <c r="KZX83" s="684"/>
      <c r="KZY83" s="684"/>
      <c r="KZZ83" s="684"/>
      <c r="LAA83" s="684"/>
      <c r="LAB83" s="684"/>
      <c r="LAC83" s="684"/>
      <c r="LAD83" s="684"/>
      <c r="LAE83" s="684"/>
      <c r="LAF83" s="684"/>
      <c r="LAG83" s="684"/>
      <c r="LAH83" s="684"/>
      <c r="LAI83" s="684"/>
      <c r="LAJ83" s="684"/>
      <c r="LAK83" s="684"/>
      <c r="LAL83" s="684"/>
      <c r="LAM83" s="684"/>
      <c r="LAN83" s="684"/>
      <c r="LAO83" s="684"/>
      <c r="LAP83" s="684"/>
      <c r="LAQ83" s="684"/>
      <c r="LAR83" s="684"/>
      <c r="LAS83" s="684"/>
      <c r="LAT83" s="684"/>
      <c r="LAU83" s="684"/>
      <c r="LAV83" s="684"/>
      <c r="LAW83" s="684"/>
      <c r="LAX83" s="684"/>
      <c r="LAY83" s="684"/>
      <c r="LAZ83" s="684"/>
      <c r="LBA83" s="684"/>
      <c r="LBB83" s="684"/>
      <c r="LBC83" s="684"/>
      <c r="LBD83" s="684"/>
      <c r="LBE83" s="684"/>
      <c r="LBF83" s="684"/>
      <c r="LBG83" s="684"/>
      <c r="LBH83" s="684"/>
      <c r="LBI83" s="684"/>
      <c r="LBJ83" s="684"/>
      <c r="LBK83" s="684"/>
      <c r="LBL83" s="684"/>
      <c r="LBM83" s="684"/>
      <c r="LBN83" s="684"/>
      <c r="LBO83" s="684"/>
      <c r="LBP83" s="684"/>
      <c r="LBQ83" s="684"/>
      <c r="LBR83" s="684"/>
      <c r="LBS83" s="684"/>
      <c r="LBT83" s="684"/>
      <c r="LBU83" s="684"/>
      <c r="LBV83" s="684"/>
      <c r="LBW83" s="684"/>
      <c r="LBX83" s="684"/>
      <c r="LBY83" s="684"/>
      <c r="LBZ83" s="684"/>
      <c r="LCA83" s="684"/>
      <c r="LCB83" s="684"/>
      <c r="LCC83" s="684"/>
      <c r="LCD83" s="684"/>
      <c r="LCE83" s="684"/>
      <c r="LCF83" s="684"/>
      <c r="LCG83" s="684"/>
      <c r="LCH83" s="684"/>
      <c r="LCI83" s="684"/>
      <c r="LCJ83" s="684"/>
      <c r="LCK83" s="684"/>
      <c r="LCL83" s="684"/>
      <c r="LCM83" s="684"/>
      <c r="LCN83" s="684"/>
      <c r="LCO83" s="684"/>
      <c r="LCP83" s="684"/>
      <c r="LCQ83" s="684"/>
      <c r="LCR83" s="684"/>
      <c r="LCS83" s="684"/>
      <c r="LCT83" s="684"/>
      <c r="LCU83" s="684"/>
      <c r="LCV83" s="684"/>
      <c r="LCW83" s="684"/>
      <c r="LCX83" s="684"/>
      <c r="LCY83" s="684"/>
      <c r="LCZ83" s="684"/>
      <c r="LDA83" s="684"/>
      <c r="LDB83" s="684"/>
      <c r="LDC83" s="684"/>
      <c r="LDD83" s="684"/>
      <c r="LDE83" s="684"/>
      <c r="LDF83" s="684"/>
      <c r="LDG83" s="684"/>
      <c r="LDH83" s="684"/>
      <c r="LDI83" s="684"/>
      <c r="LDJ83" s="684"/>
      <c r="LDK83" s="684"/>
      <c r="LDL83" s="684"/>
      <c r="LDM83" s="684"/>
      <c r="LDN83" s="684"/>
      <c r="LDO83" s="684"/>
      <c r="LDP83" s="684"/>
      <c r="LDQ83" s="684"/>
      <c r="LDR83" s="684"/>
      <c r="LDS83" s="684"/>
      <c r="LDT83" s="684"/>
      <c r="LDU83" s="684"/>
      <c r="LDV83" s="684"/>
      <c r="LDW83" s="684"/>
      <c r="LDX83" s="684"/>
      <c r="LDY83" s="684"/>
      <c r="LDZ83" s="684"/>
      <c r="LEA83" s="684"/>
      <c r="LEB83" s="684"/>
      <c r="LEC83" s="684"/>
      <c r="LED83" s="684"/>
      <c r="LEE83" s="684"/>
      <c r="LEF83" s="684"/>
      <c r="LEG83" s="684"/>
      <c r="LEH83" s="684"/>
      <c r="LEI83" s="684"/>
      <c r="LEJ83" s="684"/>
      <c r="LEK83" s="684"/>
      <c r="LEL83" s="684"/>
      <c r="LEM83" s="684"/>
      <c r="LEN83" s="684"/>
      <c r="LEO83" s="684"/>
      <c r="LEP83" s="684"/>
      <c r="LEQ83" s="684"/>
      <c r="LER83" s="684"/>
      <c r="LES83" s="684"/>
      <c r="LET83" s="684"/>
      <c r="LEU83" s="684"/>
      <c r="LEV83" s="684"/>
      <c r="LEW83" s="684"/>
      <c r="LEX83" s="684"/>
      <c r="LEY83" s="684"/>
      <c r="LEZ83" s="684"/>
      <c r="LFA83" s="684"/>
      <c r="LFB83" s="684"/>
      <c r="LFC83" s="684"/>
      <c r="LFD83" s="684"/>
      <c r="LFE83" s="684"/>
      <c r="LFF83" s="684"/>
      <c r="LFG83" s="684"/>
      <c r="LFH83" s="684"/>
      <c r="LFI83" s="684"/>
      <c r="LFJ83" s="684"/>
      <c r="LFK83" s="684"/>
      <c r="LFL83" s="684"/>
      <c r="LFM83" s="684"/>
      <c r="LFN83" s="684"/>
      <c r="LFO83" s="684"/>
      <c r="LFP83" s="684"/>
      <c r="LFQ83" s="684"/>
      <c r="LFR83" s="684"/>
      <c r="LFS83" s="684"/>
      <c r="LFT83" s="684"/>
      <c r="LFU83" s="684"/>
      <c r="LFV83" s="684"/>
      <c r="LFW83" s="684"/>
      <c r="LFX83" s="684"/>
      <c r="LFY83" s="684"/>
      <c r="LFZ83" s="684"/>
      <c r="LGA83" s="684"/>
      <c r="LGB83" s="684"/>
      <c r="LGC83" s="684"/>
      <c r="LGD83" s="684"/>
      <c r="LGE83" s="684"/>
      <c r="LGF83" s="684"/>
      <c r="LGG83" s="684"/>
      <c r="LGH83" s="684"/>
      <c r="LGI83" s="684"/>
      <c r="LGJ83" s="684"/>
      <c r="LGK83" s="684"/>
      <c r="LGL83" s="684"/>
      <c r="LGM83" s="684"/>
      <c r="LGN83" s="684"/>
      <c r="LGO83" s="684"/>
      <c r="LGP83" s="684"/>
      <c r="LGQ83" s="684"/>
      <c r="LGR83" s="684"/>
      <c r="LGS83" s="684"/>
      <c r="LGT83" s="684"/>
      <c r="LGU83" s="684"/>
      <c r="LGV83" s="684"/>
      <c r="LGW83" s="684"/>
      <c r="LGX83" s="684"/>
      <c r="LGY83" s="684"/>
      <c r="LGZ83" s="684"/>
      <c r="LHA83" s="684"/>
      <c r="LHB83" s="684"/>
      <c r="LHC83" s="684"/>
      <c r="LHD83" s="684"/>
      <c r="LHE83" s="684"/>
      <c r="LHF83" s="684"/>
      <c r="LHG83" s="684"/>
      <c r="LHH83" s="684"/>
      <c r="LHI83" s="684"/>
      <c r="LHJ83" s="684"/>
      <c r="LHK83" s="684"/>
      <c r="LHL83" s="684"/>
      <c r="LHM83" s="684"/>
      <c r="LHN83" s="684"/>
      <c r="LHO83" s="684"/>
      <c r="LHP83" s="684"/>
      <c r="LHQ83" s="684"/>
      <c r="LHR83" s="684"/>
      <c r="LHS83" s="684"/>
      <c r="LHT83" s="684"/>
      <c r="LHU83" s="684"/>
      <c r="LHV83" s="684"/>
      <c r="LHW83" s="684"/>
      <c r="LHX83" s="684"/>
      <c r="LHY83" s="684"/>
      <c r="LHZ83" s="684"/>
      <c r="LIA83" s="684"/>
      <c r="LIB83" s="684"/>
      <c r="LIC83" s="684"/>
      <c r="LID83" s="684"/>
      <c r="LIE83" s="684"/>
      <c r="LIF83" s="684"/>
      <c r="LIG83" s="684"/>
      <c r="LIH83" s="684"/>
      <c r="LII83" s="684"/>
      <c r="LIJ83" s="684"/>
      <c r="LIK83" s="684"/>
      <c r="LIL83" s="684"/>
      <c r="LIM83" s="684"/>
      <c r="LIN83" s="684"/>
      <c r="LIO83" s="684"/>
      <c r="LIP83" s="684"/>
      <c r="LIQ83" s="684"/>
      <c r="LIR83" s="684"/>
      <c r="LIS83" s="684"/>
      <c r="LIT83" s="684"/>
      <c r="LIU83" s="684"/>
      <c r="LIV83" s="684"/>
      <c r="LIW83" s="684"/>
      <c r="LIX83" s="684"/>
      <c r="LIY83" s="684"/>
      <c r="LIZ83" s="684"/>
      <c r="LJA83" s="684"/>
      <c r="LJB83" s="684"/>
      <c r="LJC83" s="684"/>
      <c r="LJD83" s="684"/>
      <c r="LJE83" s="684"/>
      <c r="LJF83" s="684"/>
      <c r="LJG83" s="684"/>
      <c r="LJH83" s="684"/>
      <c r="LJI83" s="684"/>
      <c r="LJJ83" s="684"/>
      <c r="LJK83" s="684"/>
      <c r="LJL83" s="684"/>
      <c r="LJM83" s="684"/>
      <c r="LJN83" s="684"/>
      <c r="LJO83" s="684"/>
      <c r="LJP83" s="684"/>
      <c r="LJQ83" s="684"/>
      <c r="LJR83" s="684"/>
      <c r="LJS83" s="684"/>
      <c r="LJT83" s="684"/>
      <c r="LJU83" s="684"/>
      <c r="LJV83" s="684"/>
      <c r="LJW83" s="684"/>
      <c r="LJX83" s="684"/>
      <c r="LJY83" s="684"/>
      <c r="LJZ83" s="684"/>
      <c r="LKA83" s="684"/>
      <c r="LKB83" s="684"/>
      <c r="LKC83" s="684"/>
      <c r="LKD83" s="684"/>
      <c r="LKE83" s="684"/>
      <c r="LKF83" s="684"/>
      <c r="LKG83" s="684"/>
      <c r="LKH83" s="684"/>
      <c r="LKI83" s="684"/>
      <c r="LKJ83" s="684"/>
      <c r="LKK83" s="684"/>
      <c r="LKL83" s="684"/>
      <c r="LKM83" s="684"/>
      <c r="LKN83" s="684"/>
      <c r="LKO83" s="684"/>
      <c r="LKP83" s="684"/>
      <c r="LKQ83" s="684"/>
      <c r="LKR83" s="684"/>
      <c r="LKS83" s="684"/>
      <c r="LKT83" s="684"/>
      <c r="LKU83" s="684"/>
      <c r="LKV83" s="684"/>
      <c r="LKW83" s="684"/>
      <c r="LKX83" s="684"/>
      <c r="LKY83" s="684"/>
      <c r="LKZ83" s="684"/>
      <c r="LLA83" s="684"/>
      <c r="LLB83" s="684"/>
      <c r="LLC83" s="684"/>
      <c r="LLD83" s="684"/>
      <c r="LLE83" s="684"/>
      <c r="LLF83" s="684"/>
      <c r="LLG83" s="684"/>
      <c r="LLH83" s="684"/>
      <c r="LLI83" s="684"/>
      <c r="LLJ83" s="684"/>
      <c r="LLK83" s="684"/>
      <c r="LLL83" s="684"/>
      <c r="LLM83" s="684"/>
      <c r="LLN83" s="684"/>
      <c r="LLO83" s="684"/>
      <c r="LLP83" s="684"/>
      <c r="LLQ83" s="684"/>
      <c r="LLR83" s="684"/>
      <c r="LLS83" s="684"/>
      <c r="LLT83" s="684"/>
      <c r="LLU83" s="684"/>
      <c r="LLV83" s="684"/>
      <c r="LLW83" s="684"/>
      <c r="LLX83" s="684"/>
      <c r="LLY83" s="684"/>
      <c r="LLZ83" s="684"/>
      <c r="LMA83" s="684"/>
      <c r="LMB83" s="684"/>
      <c r="LMC83" s="684"/>
      <c r="LMD83" s="684"/>
      <c r="LME83" s="684"/>
      <c r="LMF83" s="684"/>
      <c r="LMG83" s="684"/>
      <c r="LMH83" s="684"/>
      <c r="LMI83" s="684"/>
      <c r="LMJ83" s="684"/>
      <c r="LMK83" s="684"/>
      <c r="LML83" s="684"/>
      <c r="LMM83" s="684"/>
      <c r="LMN83" s="684"/>
      <c r="LMO83" s="684"/>
      <c r="LMP83" s="684"/>
      <c r="LMQ83" s="684"/>
      <c r="LMR83" s="684"/>
      <c r="LMS83" s="684"/>
      <c r="LMT83" s="684"/>
      <c r="LMU83" s="684"/>
      <c r="LMV83" s="684"/>
      <c r="LMW83" s="684"/>
      <c r="LMX83" s="684"/>
      <c r="LMY83" s="684"/>
      <c r="LMZ83" s="684"/>
      <c r="LNA83" s="684"/>
      <c r="LNB83" s="684"/>
      <c r="LNC83" s="684"/>
      <c r="LND83" s="684"/>
      <c r="LNE83" s="684"/>
      <c r="LNF83" s="684"/>
      <c r="LNG83" s="684"/>
      <c r="LNH83" s="684"/>
      <c r="LNI83" s="684"/>
      <c r="LNJ83" s="684"/>
      <c r="LNK83" s="684"/>
      <c r="LNL83" s="684"/>
      <c r="LNM83" s="684"/>
      <c r="LNN83" s="684"/>
      <c r="LNO83" s="684"/>
      <c r="LNP83" s="684"/>
      <c r="LNQ83" s="684"/>
      <c r="LNR83" s="684"/>
      <c r="LNS83" s="684"/>
      <c r="LNT83" s="684"/>
      <c r="LNU83" s="684"/>
      <c r="LNV83" s="684"/>
      <c r="LNW83" s="684"/>
      <c r="LNX83" s="684"/>
      <c r="LNY83" s="684"/>
      <c r="LNZ83" s="684"/>
      <c r="LOA83" s="684"/>
      <c r="LOB83" s="684"/>
      <c r="LOC83" s="684"/>
      <c r="LOD83" s="684"/>
      <c r="LOE83" s="684"/>
      <c r="LOF83" s="684"/>
      <c r="LOG83" s="684"/>
      <c r="LOH83" s="684"/>
      <c r="LOI83" s="684"/>
      <c r="LOJ83" s="684"/>
      <c r="LOK83" s="684"/>
      <c r="LOL83" s="684"/>
      <c r="LOM83" s="684"/>
      <c r="LON83" s="684"/>
      <c r="LOO83" s="684"/>
      <c r="LOP83" s="684"/>
      <c r="LOQ83" s="684"/>
      <c r="LOR83" s="684"/>
      <c r="LOS83" s="684"/>
      <c r="LOT83" s="684"/>
      <c r="LOU83" s="684"/>
      <c r="LOV83" s="684"/>
      <c r="LOW83" s="684"/>
      <c r="LOX83" s="684"/>
      <c r="LOY83" s="684"/>
      <c r="LOZ83" s="684"/>
      <c r="LPA83" s="684"/>
      <c r="LPB83" s="684"/>
      <c r="LPC83" s="684"/>
      <c r="LPD83" s="684"/>
      <c r="LPE83" s="684"/>
      <c r="LPF83" s="684"/>
      <c r="LPG83" s="684"/>
      <c r="LPH83" s="684"/>
      <c r="LPI83" s="684"/>
      <c r="LPJ83" s="684"/>
      <c r="LPK83" s="684"/>
      <c r="LPL83" s="684"/>
      <c r="LPM83" s="684"/>
      <c r="LPN83" s="684"/>
      <c r="LPO83" s="684"/>
      <c r="LPP83" s="684"/>
      <c r="LPQ83" s="684"/>
      <c r="LPR83" s="684"/>
      <c r="LPS83" s="684"/>
      <c r="LPT83" s="684"/>
      <c r="LPU83" s="684"/>
      <c r="LPV83" s="684"/>
      <c r="LPW83" s="684"/>
      <c r="LPX83" s="684"/>
      <c r="LPY83" s="684"/>
      <c r="LPZ83" s="684"/>
      <c r="LQA83" s="684"/>
      <c r="LQB83" s="684"/>
      <c r="LQC83" s="684"/>
      <c r="LQD83" s="684"/>
      <c r="LQE83" s="684"/>
      <c r="LQF83" s="684"/>
      <c r="LQG83" s="684"/>
      <c r="LQH83" s="684"/>
      <c r="LQI83" s="684"/>
      <c r="LQJ83" s="684"/>
      <c r="LQK83" s="684"/>
      <c r="LQL83" s="684"/>
      <c r="LQM83" s="684"/>
      <c r="LQN83" s="684"/>
      <c r="LQO83" s="684"/>
      <c r="LQP83" s="684"/>
      <c r="LQQ83" s="684"/>
      <c r="LQR83" s="684"/>
      <c r="LQS83" s="684"/>
      <c r="LQT83" s="684"/>
      <c r="LQU83" s="684"/>
      <c r="LQV83" s="684"/>
      <c r="LQW83" s="684"/>
      <c r="LQX83" s="684"/>
      <c r="LQY83" s="684"/>
      <c r="LQZ83" s="684"/>
      <c r="LRA83" s="684"/>
      <c r="LRB83" s="684"/>
      <c r="LRC83" s="684"/>
      <c r="LRD83" s="684"/>
      <c r="LRE83" s="684"/>
      <c r="LRF83" s="684"/>
      <c r="LRG83" s="684"/>
      <c r="LRH83" s="684"/>
      <c r="LRI83" s="684"/>
      <c r="LRJ83" s="684"/>
      <c r="LRK83" s="684"/>
      <c r="LRL83" s="684"/>
      <c r="LRM83" s="684"/>
      <c r="LRN83" s="684"/>
      <c r="LRO83" s="684"/>
      <c r="LRP83" s="684"/>
      <c r="LRQ83" s="684"/>
      <c r="LRR83" s="684"/>
      <c r="LRS83" s="684"/>
      <c r="LRT83" s="684"/>
      <c r="LRU83" s="684"/>
      <c r="LRV83" s="684"/>
      <c r="LRW83" s="684"/>
      <c r="LRX83" s="684"/>
      <c r="LRY83" s="684"/>
      <c r="LRZ83" s="684"/>
      <c r="LSA83" s="684"/>
      <c r="LSB83" s="684"/>
      <c r="LSC83" s="684"/>
      <c r="LSD83" s="684"/>
      <c r="LSE83" s="684"/>
      <c r="LSF83" s="684"/>
      <c r="LSG83" s="684"/>
      <c r="LSH83" s="684"/>
      <c r="LSI83" s="684"/>
      <c r="LSJ83" s="684"/>
      <c r="LSK83" s="684"/>
      <c r="LSL83" s="684"/>
      <c r="LSM83" s="684"/>
      <c r="LSN83" s="684"/>
      <c r="LSO83" s="684"/>
      <c r="LSP83" s="684"/>
      <c r="LSQ83" s="684"/>
      <c r="LSR83" s="684"/>
      <c r="LSS83" s="684"/>
      <c r="LST83" s="684"/>
      <c r="LSU83" s="684"/>
      <c r="LSV83" s="684"/>
      <c r="LSW83" s="684"/>
      <c r="LSX83" s="684"/>
      <c r="LSY83" s="684"/>
      <c r="LSZ83" s="684"/>
      <c r="LTA83" s="684"/>
      <c r="LTB83" s="684"/>
      <c r="LTC83" s="684"/>
      <c r="LTD83" s="684"/>
      <c r="LTE83" s="684"/>
      <c r="LTF83" s="684"/>
      <c r="LTG83" s="684"/>
      <c r="LTH83" s="684"/>
      <c r="LTI83" s="684"/>
      <c r="LTJ83" s="684"/>
      <c r="LTK83" s="684"/>
      <c r="LTL83" s="684"/>
      <c r="LTM83" s="684"/>
      <c r="LTN83" s="684"/>
      <c r="LTO83" s="684"/>
      <c r="LTP83" s="684"/>
      <c r="LTQ83" s="684"/>
      <c r="LTR83" s="684"/>
      <c r="LTS83" s="684"/>
      <c r="LTT83" s="684"/>
      <c r="LTU83" s="684"/>
      <c r="LTV83" s="684"/>
      <c r="LTW83" s="684"/>
      <c r="LTX83" s="684"/>
      <c r="LTY83" s="684"/>
      <c r="LTZ83" s="684"/>
      <c r="LUA83" s="684"/>
      <c r="LUB83" s="684"/>
      <c r="LUC83" s="684"/>
      <c r="LUD83" s="684"/>
      <c r="LUE83" s="684"/>
      <c r="LUF83" s="684"/>
      <c r="LUG83" s="684"/>
      <c r="LUH83" s="684"/>
      <c r="LUI83" s="684"/>
      <c r="LUJ83" s="684"/>
      <c r="LUK83" s="684"/>
      <c r="LUL83" s="684"/>
      <c r="LUM83" s="684"/>
      <c r="LUN83" s="684"/>
      <c r="LUO83" s="684"/>
      <c r="LUP83" s="684"/>
      <c r="LUQ83" s="684"/>
      <c r="LUR83" s="684"/>
      <c r="LUS83" s="684"/>
      <c r="LUT83" s="684"/>
      <c r="LUU83" s="684"/>
      <c r="LUV83" s="684"/>
      <c r="LUW83" s="684"/>
      <c r="LUX83" s="684"/>
      <c r="LUY83" s="684"/>
      <c r="LUZ83" s="684"/>
      <c r="LVA83" s="684"/>
      <c r="LVB83" s="684"/>
      <c r="LVC83" s="684"/>
      <c r="LVD83" s="684"/>
      <c r="LVE83" s="684"/>
      <c r="LVF83" s="684"/>
      <c r="LVG83" s="684"/>
      <c r="LVH83" s="684"/>
      <c r="LVI83" s="684"/>
      <c r="LVJ83" s="684"/>
      <c r="LVK83" s="684"/>
      <c r="LVL83" s="684"/>
      <c r="LVM83" s="684"/>
      <c r="LVN83" s="684"/>
      <c r="LVO83" s="684"/>
      <c r="LVP83" s="684"/>
      <c r="LVQ83" s="684"/>
      <c r="LVR83" s="684"/>
      <c r="LVS83" s="684"/>
      <c r="LVT83" s="684"/>
      <c r="LVU83" s="684"/>
      <c r="LVV83" s="684"/>
      <c r="LVW83" s="684"/>
      <c r="LVX83" s="684"/>
      <c r="LVY83" s="684"/>
      <c r="LVZ83" s="684"/>
      <c r="LWA83" s="684"/>
      <c r="LWB83" s="684"/>
      <c r="LWC83" s="684"/>
      <c r="LWD83" s="684"/>
      <c r="LWE83" s="684"/>
      <c r="LWF83" s="684"/>
      <c r="LWG83" s="684"/>
      <c r="LWH83" s="684"/>
      <c r="LWI83" s="684"/>
      <c r="LWJ83" s="684"/>
      <c r="LWK83" s="684"/>
      <c r="LWL83" s="684"/>
      <c r="LWM83" s="684"/>
      <c r="LWN83" s="684"/>
      <c r="LWO83" s="684"/>
      <c r="LWP83" s="684"/>
      <c r="LWQ83" s="684"/>
      <c r="LWR83" s="684"/>
      <c r="LWS83" s="684"/>
      <c r="LWT83" s="684"/>
      <c r="LWU83" s="684"/>
      <c r="LWV83" s="684"/>
      <c r="LWW83" s="684"/>
      <c r="LWX83" s="684"/>
      <c r="LWY83" s="684"/>
      <c r="LWZ83" s="684"/>
      <c r="LXA83" s="684"/>
      <c r="LXB83" s="684"/>
      <c r="LXC83" s="684"/>
      <c r="LXD83" s="684"/>
      <c r="LXE83" s="684"/>
      <c r="LXF83" s="684"/>
      <c r="LXG83" s="684"/>
      <c r="LXH83" s="684"/>
      <c r="LXI83" s="684"/>
      <c r="LXJ83" s="684"/>
      <c r="LXK83" s="684"/>
      <c r="LXL83" s="684"/>
      <c r="LXM83" s="684"/>
      <c r="LXN83" s="684"/>
      <c r="LXO83" s="684"/>
      <c r="LXP83" s="684"/>
      <c r="LXQ83" s="684"/>
      <c r="LXR83" s="684"/>
      <c r="LXS83" s="684"/>
      <c r="LXT83" s="684"/>
      <c r="LXU83" s="684"/>
      <c r="LXV83" s="684"/>
      <c r="LXW83" s="684"/>
      <c r="LXX83" s="684"/>
      <c r="LXY83" s="684"/>
      <c r="LXZ83" s="684"/>
      <c r="LYA83" s="684"/>
      <c r="LYB83" s="684"/>
      <c r="LYC83" s="684"/>
      <c r="LYD83" s="684"/>
      <c r="LYE83" s="684"/>
      <c r="LYF83" s="684"/>
      <c r="LYG83" s="684"/>
      <c r="LYH83" s="684"/>
      <c r="LYI83" s="684"/>
      <c r="LYJ83" s="684"/>
      <c r="LYK83" s="684"/>
      <c r="LYL83" s="684"/>
      <c r="LYM83" s="684"/>
      <c r="LYN83" s="684"/>
      <c r="LYO83" s="684"/>
      <c r="LYP83" s="684"/>
      <c r="LYQ83" s="684"/>
      <c r="LYR83" s="684"/>
      <c r="LYS83" s="684"/>
      <c r="LYT83" s="684"/>
      <c r="LYU83" s="684"/>
      <c r="LYV83" s="684"/>
      <c r="LYW83" s="684"/>
      <c r="LYX83" s="684"/>
      <c r="LYY83" s="684"/>
      <c r="LYZ83" s="684"/>
      <c r="LZA83" s="684"/>
      <c r="LZB83" s="684"/>
      <c r="LZC83" s="684"/>
      <c r="LZD83" s="684"/>
      <c r="LZE83" s="684"/>
      <c r="LZF83" s="684"/>
      <c r="LZG83" s="684"/>
      <c r="LZH83" s="684"/>
      <c r="LZI83" s="684"/>
      <c r="LZJ83" s="684"/>
      <c r="LZK83" s="684"/>
      <c r="LZL83" s="684"/>
      <c r="LZM83" s="684"/>
      <c r="LZN83" s="684"/>
      <c r="LZO83" s="684"/>
      <c r="LZP83" s="684"/>
      <c r="LZQ83" s="684"/>
      <c r="LZR83" s="684"/>
      <c r="LZS83" s="684"/>
      <c r="LZT83" s="684"/>
      <c r="LZU83" s="684"/>
      <c r="LZV83" s="684"/>
      <c r="LZW83" s="684"/>
      <c r="LZX83" s="684"/>
      <c r="LZY83" s="684"/>
      <c r="LZZ83" s="684"/>
      <c r="MAA83" s="684"/>
      <c r="MAB83" s="684"/>
      <c r="MAC83" s="684"/>
      <c r="MAD83" s="684"/>
      <c r="MAE83" s="684"/>
      <c r="MAF83" s="684"/>
      <c r="MAG83" s="684"/>
      <c r="MAH83" s="684"/>
      <c r="MAI83" s="684"/>
      <c r="MAJ83" s="684"/>
      <c r="MAK83" s="684"/>
      <c r="MAL83" s="684"/>
      <c r="MAM83" s="684"/>
      <c r="MAN83" s="684"/>
      <c r="MAO83" s="684"/>
      <c r="MAP83" s="684"/>
      <c r="MAQ83" s="684"/>
      <c r="MAR83" s="684"/>
      <c r="MAS83" s="684"/>
      <c r="MAT83" s="684"/>
      <c r="MAU83" s="684"/>
      <c r="MAV83" s="684"/>
      <c r="MAW83" s="684"/>
      <c r="MAX83" s="684"/>
      <c r="MAY83" s="684"/>
      <c r="MAZ83" s="684"/>
      <c r="MBA83" s="684"/>
      <c r="MBB83" s="684"/>
      <c r="MBC83" s="684"/>
      <c r="MBD83" s="684"/>
      <c r="MBE83" s="684"/>
      <c r="MBF83" s="684"/>
      <c r="MBG83" s="684"/>
      <c r="MBH83" s="684"/>
      <c r="MBI83" s="684"/>
      <c r="MBJ83" s="684"/>
      <c r="MBK83" s="684"/>
      <c r="MBL83" s="684"/>
      <c r="MBM83" s="684"/>
      <c r="MBN83" s="684"/>
      <c r="MBO83" s="684"/>
      <c r="MBP83" s="684"/>
      <c r="MBQ83" s="684"/>
      <c r="MBR83" s="684"/>
      <c r="MBS83" s="684"/>
      <c r="MBT83" s="684"/>
      <c r="MBU83" s="684"/>
      <c r="MBV83" s="684"/>
      <c r="MBW83" s="684"/>
      <c r="MBX83" s="684"/>
      <c r="MBY83" s="684"/>
      <c r="MBZ83" s="684"/>
      <c r="MCA83" s="684"/>
      <c r="MCB83" s="684"/>
      <c r="MCC83" s="684"/>
      <c r="MCD83" s="684"/>
      <c r="MCE83" s="684"/>
      <c r="MCF83" s="684"/>
      <c r="MCG83" s="684"/>
      <c r="MCH83" s="684"/>
      <c r="MCI83" s="684"/>
      <c r="MCJ83" s="684"/>
      <c r="MCK83" s="684"/>
      <c r="MCL83" s="684"/>
      <c r="MCM83" s="684"/>
      <c r="MCN83" s="684"/>
      <c r="MCO83" s="684"/>
      <c r="MCP83" s="684"/>
      <c r="MCQ83" s="684"/>
      <c r="MCR83" s="684"/>
      <c r="MCS83" s="684"/>
      <c r="MCT83" s="684"/>
      <c r="MCU83" s="684"/>
      <c r="MCV83" s="684"/>
      <c r="MCW83" s="684"/>
      <c r="MCX83" s="684"/>
      <c r="MCY83" s="684"/>
      <c r="MCZ83" s="684"/>
      <c r="MDA83" s="684"/>
      <c r="MDB83" s="684"/>
      <c r="MDC83" s="684"/>
      <c r="MDD83" s="684"/>
      <c r="MDE83" s="684"/>
      <c r="MDF83" s="684"/>
      <c r="MDG83" s="684"/>
      <c r="MDH83" s="684"/>
      <c r="MDI83" s="684"/>
      <c r="MDJ83" s="684"/>
      <c r="MDK83" s="684"/>
      <c r="MDL83" s="684"/>
      <c r="MDM83" s="684"/>
      <c r="MDN83" s="684"/>
      <c r="MDO83" s="684"/>
      <c r="MDP83" s="684"/>
      <c r="MDQ83" s="684"/>
      <c r="MDR83" s="684"/>
      <c r="MDS83" s="684"/>
      <c r="MDT83" s="684"/>
      <c r="MDU83" s="684"/>
      <c r="MDV83" s="684"/>
      <c r="MDW83" s="684"/>
      <c r="MDX83" s="684"/>
      <c r="MDY83" s="684"/>
      <c r="MDZ83" s="684"/>
      <c r="MEA83" s="684"/>
      <c r="MEB83" s="684"/>
      <c r="MEC83" s="684"/>
      <c r="MED83" s="684"/>
      <c r="MEE83" s="684"/>
      <c r="MEF83" s="684"/>
      <c r="MEG83" s="684"/>
      <c r="MEH83" s="684"/>
      <c r="MEI83" s="684"/>
      <c r="MEJ83" s="684"/>
      <c r="MEK83" s="684"/>
      <c r="MEL83" s="684"/>
      <c r="MEM83" s="684"/>
      <c r="MEN83" s="684"/>
      <c r="MEO83" s="684"/>
      <c r="MEP83" s="684"/>
      <c r="MEQ83" s="684"/>
      <c r="MER83" s="684"/>
      <c r="MES83" s="684"/>
      <c r="MET83" s="684"/>
      <c r="MEU83" s="684"/>
      <c r="MEV83" s="684"/>
      <c r="MEW83" s="684"/>
      <c r="MEX83" s="684"/>
      <c r="MEY83" s="684"/>
      <c r="MEZ83" s="684"/>
      <c r="MFA83" s="684"/>
      <c r="MFB83" s="684"/>
      <c r="MFC83" s="684"/>
      <c r="MFD83" s="684"/>
      <c r="MFE83" s="684"/>
      <c r="MFF83" s="684"/>
      <c r="MFG83" s="684"/>
      <c r="MFH83" s="684"/>
      <c r="MFI83" s="684"/>
      <c r="MFJ83" s="684"/>
      <c r="MFK83" s="684"/>
      <c r="MFL83" s="684"/>
      <c r="MFM83" s="684"/>
      <c r="MFN83" s="684"/>
      <c r="MFO83" s="684"/>
      <c r="MFP83" s="684"/>
      <c r="MFQ83" s="684"/>
      <c r="MFR83" s="684"/>
      <c r="MFS83" s="684"/>
      <c r="MFT83" s="684"/>
      <c r="MFU83" s="684"/>
      <c r="MFV83" s="684"/>
      <c r="MFW83" s="684"/>
      <c r="MFX83" s="684"/>
      <c r="MFY83" s="684"/>
      <c r="MFZ83" s="684"/>
      <c r="MGA83" s="684"/>
      <c r="MGB83" s="684"/>
      <c r="MGC83" s="684"/>
      <c r="MGD83" s="684"/>
      <c r="MGE83" s="684"/>
      <c r="MGF83" s="684"/>
      <c r="MGG83" s="684"/>
      <c r="MGH83" s="684"/>
      <c r="MGI83" s="684"/>
      <c r="MGJ83" s="684"/>
      <c r="MGK83" s="684"/>
      <c r="MGL83" s="684"/>
      <c r="MGM83" s="684"/>
      <c r="MGN83" s="684"/>
      <c r="MGO83" s="684"/>
      <c r="MGP83" s="684"/>
      <c r="MGQ83" s="684"/>
      <c r="MGR83" s="684"/>
      <c r="MGS83" s="684"/>
      <c r="MGT83" s="684"/>
      <c r="MGU83" s="684"/>
      <c r="MGV83" s="684"/>
      <c r="MGW83" s="684"/>
      <c r="MGX83" s="684"/>
      <c r="MGY83" s="684"/>
      <c r="MGZ83" s="684"/>
      <c r="MHA83" s="684"/>
      <c r="MHB83" s="684"/>
      <c r="MHC83" s="684"/>
      <c r="MHD83" s="684"/>
      <c r="MHE83" s="684"/>
      <c r="MHF83" s="684"/>
      <c r="MHG83" s="684"/>
      <c r="MHH83" s="684"/>
      <c r="MHI83" s="684"/>
      <c r="MHJ83" s="684"/>
      <c r="MHK83" s="684"/>
      <c r="MHL83" s="684"/>
      <c r="MHM83" s="684"/>
      <c r="MHN83" s="684"/>
      <c r="MHO83" s="684"/>
      <c r="MHP83" s="684"/>
      <c r="MHQ83" s="684"/>
      <c r="MHR83" s="684"/>
      <c r="MHS83" s="684"/>
      <c r="MHT83" s="684"/>
      <c r="MHU83" s="684"/>
      <c r="MHV83" s="684"/>
      <c r="MHW83" s="684"/>
      <c r="MHX83" s="684"/>
      <c r="MHY83" s="684"/>
      <c r="MHZ83" s="684"/>
      <c r="MIA83" s="684"/>
      <c r="MIB83" s="684"/>
      <c r="MIC83" s="684"/>
      <c r="MID83" s="684"/>
      <c r="MIE83" s="684"/>
      <c r="MIF83" s="684"/>
      <c r="MIG83" s="684"/>
      <c r="MIH83" s="684"/>
      <c r="MII83" s="684"/>
      <c r="MIJ83" s="684"/>
      <c r="MIK83" s="684"/>
      <c r="MIL83" s="684"/>
      <c r="MIM83" s="684"/>
      <c r="MIN83" s="684"/>
      <c r="MIO83" s="684"/>
      <c r="MIP83" s="684"/>
      <c r="MIQ83" s="684"/>
      <c r="MIR83" s="684"/>
      <c r="MIS83" s="684"/>
      <c r="MIT83" s="684"/>
      <c r="MIU83" s="684"/>
      <c r="MIV83" s="684"/>
      <c r="MIW83" s="684"/>
      <c r="MIX83" s="684"/>
      <c r="MIY83" s="684"/>
      <c r="MIZ83" s="684"/>
      <c r="MJA83" s="684"/>
      <c r="MJB83" s="684"/>
      <c r="MJC83" s="684"/>
      <c r="MJD83" s="684"/>
      <c r="MJE83" s="684"/>
      <c r="MJF83" s="684"/>
      <c r="MJG83" s="684"/>
      <c r="MJH83" s="684"/>
      <c r="MJI83" s="684"/>
      <c r="MJJ83" s="684"/>
      <c r="MJK83" s="684"/>
      <c r="MJL83" s="684"/>
      <c r="MJM83" s="684"/>
      <c r="MJN83" s="684"/>
      <c r="MJO83" s="684"/>
      <c r="MJP83" s="684"/>
      <c r="MJQ83" s="684"/>
      <c r="MJR83" s="684"/>
      <c r="MJS83" s="684"/>
      <c r="MJT83" s="684"/>
      <c r="MJU83" s="684"/>
      <c r="MJV83" s="684"/>
      <c r="MJW83" s="684"/>
      <c r="MJX83" s="684"/>
      <c r="MJY83" s="684"/>
      <c r="MJZ83" s="684"/>
      <c r="MKA83" s="684"/>
      <c r="MKB83" s="684"/>
      <c r="MKC83" s="684"/>
      <c r="MKD83" s="684"/>
      <c r="MKE83" s="684"/>
      <c r="MKF83" s="684"/>
      <c r="MKG83" s="684"/>
      <c r="MKH83" s="684"/>
      <c r="MKI83" s="684"/>
      <c r="MKJ83" s="684"/>
      <c r="MKK83" s="684"/>
      <c r="MKL83" s="684"/>
      <c r="MKM83" s="684"/>
      <c r="MKN83" s="684"/>
      <c r="MKO83" s="684"/>
      <c r="MKP83" s="684"/>
      <c r="MKQ83" s="684"/>
      <c r="MKR83" s="684"/>
      <c r="MKS83" s="684"/>
      <c r="MKT83" s="684"/>
      <c r="MKU83" s="684"/>
      <c r="MKV83" s="684"/>
      <c r="MKW83" s="684"/>
      <c r="MKX83" s="684"/>
      <c r="MKY83" s="684"/>
      <c r="MKZ83" s="684"/>
      <c r="MLA83" s="684"/>
      <c r="MLB83" s="684"/>
      <c r="MLC83" s="684"/>
      <c r="MLD83" s="684"/>
      <c r="MLE83" s="684"/>
      <c r="MLF83" s="684"/>
      <c r="MLG83" s="684"/>
      <c r="MLH83" s="684"/>
      <c r="MLI83" s="684"/>
      <c r="MLJ83" s="684"/>
      <c r="MLK83" s="684"/>
      <c r="MLL83" s="684"/>
      <c r="MLM83" s="684"/>
      <c r="MLN83" s="684"/>
      <c r="MLO83" s="684"/>
      <c r="MLP83" s="684"/>
      <c r="MLQ83" s="684"/>
      <c r="MLR83" s="684"/>
      <c r="MLS83" s="684"/>
      <c r="MLT83" s="684"/>
      <c r="MLU83" s="684"/>
      <c r="MLV83" s="684"/>
      <c r="MLW83" s="684"/>
      <c r="MLX83" s="684"/>
      <c r="MLY83" s="684"/>
      <c r="MLZ83" s="684"/>
      <c r="MMA83" s="684"/>
      <c r="MMB83" s="684"/>
      <c r="MMC83" s="684"/>
      <c r="MMD83" s="684"/>
      <c r="MME83" s="684"/>
      <c r="MMF83" s="684"/>
      <c r="MMG83" s="684"/>
      <c r="MMH83" s="684"/>
      <c r="MMI83" s="684"/>
      <c r="MMJ83" s="684"/>
      <c r="MMK83" s="684"/>
      <c r="MML83" s="684"/>
      <c r="MMM83" s="684"/>
      <c r="MMN83" s="684"/>
      <c r="MMO83" s="684"/>
      <c r="MMP83" s="684"/>
      <c r="MMQ83" s="684"/>
      <c r="MMR83" s="684"/>
      <c r="MMS83" s="684"/>
      <c r="MMT83" s="684"/>
      <c r="MMU83" s="684"/>
      <c r="MMV83" s="684"/>
      <c r="MMW83" s="684"/>
      <c r="MMX83" s="684"/>
      <c r="MMY83" s="684"/>
      <c r="MMZ83" s="684"/>
      <c r="MNA83" s="684"/>
      <c r="MNB83" s="684"/>
      <c r="MNC83" s="684"/>
      <c r="MND83" s="684"/>
      <c r="MNE83" s="684"/>
      <c r="MNF83" s="684"/>
      <c r="MNG83" s="684"/>
      <c r="MNH83" s="684"/>
      <c r="MNI83" s="684"/>
      <c r="MNJ83" s="684"/>
      <c r="MNK83" s="684"/>
      <c r="MNL83" s="684"/>
      <c r="MNM83" s="684"/>
      <c r="MNN83" s="684"/>
      <c r="MNO83" s="684"/>
      <c r="MNP83" s="684"/>
      <c r="MNQ83" s="684"/>
      <c r="MNR83" s="684"/>
      <c r="MNS83" s="684"/>
      <c r="MNT83" s="684"/>
      <c r="MNU83" s="684"/>
      <c r="MNV83" s="684"/>
      <c r="MNW83" s="684"/>
      <c r="MNX83" s="684"/>
      <c r="MNY83" s="684"/>
      <c r="MNZ83" s="684"/>
      <c r="MOA83" s="684"/>
      <c r="MOB83" s="684"/>
      <c r="MOC83" s="684"/>
      <c r="MOD83" s="684"/>
      <c r="MOE83" s="684"/>
      <c r="MOF83" s="684"/>
      <c r="MOG83" s="684"/>
      <c r="MOH83" s="684"/>
      <c r="MOI83" s="684"/>
      <c r="MOJ83" s="684"/>
      <c r="MOK83" s="684"/>
      <c r="MOL83" s="684"/>
      <c r="MOM83" s="684"/>
      <c r="MON83" s="684"/>
      <c r="MOO83" s="684"/>
      <c r="MOP83" s="684"/>
      <c r="MOQ83" s="684"/>
      <c r="MOR83" s="684"/>
      <c r="MOS83" s="684"/>
      <c r="MOT83" s="684"/>
      <c r="MOU83" s="684"/>
      <c r="MOV83" s="684"/>
      <c r="MOW83" s="684"/>
      <c r="MOX83" s="684"/>
      <c r="MOY83" s="684"/>
      <c r="MOZ83" s="684"/>
      <c r="MPA83" s="684"/>
      <c r="MPB83" s="684"/>
      <c r="MPC83" s="684"/>
      <c r="MPD83" s="684"/>
      <c r="MPE83" s="684"/>
      <c r="MPF83" s="684"/>
      <c r="MPG83" s="684"/>
      <c r="MPH83" s="684"/>
      <c r="MPI83" s="684"/>
      <c r="MPJ83" s="684"/>
      <c r="MPK83" s="684"/>
      <c r="MPL83" s="684"/>
      <c r="MPM83" s="684"/>
      <c r="MPN83" s="684"/>
      <c r="MPO83" s="684"/>
      <c r="MPP83" s="684"/>
      <c r="MPQ83" s="684"/>
      <c r="MPR83" s="684"/>
      <c r="MPS83" s="684"/>
      <c r="MPT83" s="684"/>
      <c r="MPU83" s="684"/>
      <c r="MPV83" s="684"/>
      <c r="MPW83" s="684"/>
      <c r="MPX83" s="684"/>
      <c r="MPY83" s="684"/>
      <c r="MPZ83" s="684"/>
      <c r="MQA83" s="684"/>
      <c r="MQB83" s="684"/>
      <c r="MQC83" s="684"/>
      <c r="MQD83" s="684"/>
      <c r="MQE83" s="684"/>
      <c r="MQF83" s="684"/>
      <c r="MQG83" s="684"/>
      <c r="MQH83" s="684"/>
      <c r="MQI83" s="684"/>
      <c r="MQJ83" s="684"/>
      <c r="MQK83" s="684"/>
      <c r="MQL83" s="684"/>
      <c r="MQM83" s="684"/>
      <c r="MQN83" s="684"/>
      <c r="MQO83" s="684"/>
      <c r="MQP83" s="684"/>
      <c r="MQQ83" s="684"/>
      <c r="MQR83" s="684"/>
      <c r="MQS83" s="684"/>
      <c r="MQT83" s="684"/>
      <c r="MQU83" s="684"/>
      <c r="MQV83" s="684"/>
      <c r="MQW83" s="684"/>
      <c r="MQX83" s="684"/>
      <c r="MQY83" s="684"/>
      <c r="MQZ83" s="684"/>
      <c r="MRA83" s="684"/>
      <c r="MRB83" s="684"/>
      <c r="MRC83" s="684"/>
      <c r="MRD83" s="684"/>
      <c r="MRE83" s="684"/>
      <c r="MRF83" s="684"/>
      <c r="MRG83" s="684"/>
      <c r="MRH83" s="684"/>
      <c r="MRI83" s="684"/>
      <c r="MRJ83" s="684"/>
      <c r="MRK83" s="684"/>
      <c r="MRL83" s="684"/>
      <c r="MRM83" s="684"/>
      <c r="MRN83" s="684"/>
      <c r="MRO83" s="684"/>
      <c r="MRP83" s="684"/>
      <c r="MRQ83" s="684"/>
      <c r="MRR83" s="684"/>
      <c r="MRS83" s="684"/>
      <c r="MRT83" s="684"/>
      <c r="MRU83" s="684"/>
      <c r="MRV83" s="684"/>
      <c r="MRW83" s="684"/>
      <c r="MRX83" s="684"/>
      <c r="MRY83" s="684"/>
      <c r="MRZ83" s="684"/>
      <c r="MSA83" s="684"/>
      <c r="MSB83" s="684"/>
      <c r="MSC83" s="684"/>
      <c r="MSD83" s="684"/>
      <c r="MSE83" s="684"/>
      <c r="MSF83" s="684"/>
      <c r="MSG83" s="684"/>
      <c r="MSH83" s="684"/>
      <c r="MSI83" s="684"/>
      <c r="MSJ83" s="684"/>
      <c r="MSK83" s="684"/>
      <c r="MSL83" s="684"/>
      <c r="MSM83" s="684"/>
      <c r="MSN83" s="684"/>
      <c r="MSO83" s="684"/>
      <c r="MSP83" s="684"/>
      <c r="MSQ83" s="684"/>
      <c r="MSR83" s="684"/>
      <c r="MSS83" s="684"/>
      <c r="MST83" s="684"/>
      <c r="MSU83" s="684"/>
      <c r="MSV83" s="684"/>
      <c r="MSW83" s="684"/>
      <c r="MSX83" s="684"/>
      <c r="MSY83" s="684"/>
      <c r="MSZ83" s="684"/>
      <c r="MTA83" s="684"/>
      <c r="MTB83" s="684"/>
      <c r="MTC83" s="684"/>
      <c r="MTD83" s="684"/>
      <c r="MTE83" s="684"/>
      <c r="MTF83" s="684"/>
      <c r="MTG83" s="684"/>
      <c r="MTH83" s="684"/>
      <c r="MTI83" s="684"/>
      <c r="MTJ83" s="684"/>
      <c r="MTK83" s="684"/>
      <c r="MTL83" s="684"/>
      <c r="MTM83" s="684"/>
      <c r="MTN83" s="684"/>
      <c r="MTO83" s="684"/>
      <c r="MTP83" s="684"/>
      <c r="MTQ83" s="684"/>
      <c r="MTR83" s="684"/>
      <c r="MTS83" s="684"/>
      <c r="MTT83" s="684"/>
      <c r="MTU83" s="684"/>
      <c r="MTV83" s="684"/>
      <c r="MTW83" s="684"/>
      <c r="MTX83" s="684"/>
      <c r="MTY83" s="684"/>
      <c r="MTZ83" s="684"/>
      <c r="MUA83" s="684"/>
      <c r="MUB83" s="684"/>
      <c r="MUC83" s="684"/>
      <c r="MUD83" s="684"/>
      <c r="MUE83" s="684"/>
      <c r="MUF83" s="684"/>
      <c r="MUG83" s="684"/>
      <c r="MUH83" s="684"/>
      <c r="MUI83" s="684"/>
      <c r="MUJ83" s="684"/>
      <c r="MUK83" s="684"/>
      <c r="MUL83" s="684"/>
      <c r="MUM83" s="684"/>
      <c r="MUN83" s="684"/>
      <c r="MUO83" s="684"/>
      <c r="MUP83" s="684"/>
      <c r="MUQ83" s="684"/>
      <c r="MUR83" s="684"/>
      <c r="MUS83" s="684"/>
      <c r="MUT83" s="684"/>
      <c r="MUU83" s="684"/>
      <c r="MUV83" s="684"/>
      <c r="MUW83" s="684"/>
      <c r="MUX83" s="684"/>
      <c r="MUY83" s="684"/>
      <c r="MUZ83" s="684"/>
      <c r="MVA83" s="684"/>
      <c r="MVB83" s="684"/>
      <c r="MVC83" s="684"/>
      <c r="MVD83" s="684"/>
      <c r="MVE83" s="684"/>
      <c r="MVF83" s="684"/>
      <c r="MVG83" s="684"/>
      <c r="MVH83" s="684"/>
      <c r="MVI83" s="684"/>
      <c r="MVJ83" s="684"/>
      <c r="MVK83" s="684"/>
      <c r="MVL83" s="684"/>
      <c r="MVM83" s="684"/>
      <c r="MVN83" s="684"/>
      <c r="MVO83" s="684"/>
      <c r="MVP83" s="684"/>
      <c r="MVQ83" s="684"/>
      <c r="MVR83" s="684"/>
      <c r="MVS83" s="684"/>
      <c r="MVT83" s="684"/>
      <c r="MVU83" s="684"/>
      <c r="MVV83" s="684"/>
      <c r="MVW83" s="684"/>
      <c r="MVX83" s="684"/>
      <c r="MVY83" s="684"/>
      <c r="MVZ83" s="684"/>
      <c r="MWA83" s="684"/>
      <c r="MWB83" s="684"/>
      <c r="MWC83" s="684"/>
      <c r="MWD83" s="684"/>
      <c r="MWE83" s="684"/>
      <c r="MWF83" s="684"/>
      <c r="MWG83" s="684"/>
      <c r="MWH83" s="684"/>
      <c r="MWI83" s="684"/>
      <c r="MWJ83" s="684"/>
      <c r="MWK83" s="684"/>
      <c r="MWL83" s="684"/>
      <c r="MWM83" s="684"/>
      <c r="MWN83" s="684"/>
      <c r="MWO83" s="684"/>
      <c r="MWP83" s="684"/>
      <c r="MWQ83" s="684"/>
      <c r="MWR83" s="684"/>
      <c r="MWS83" s="684"/>
      <c r="MWT83" s="684"/>
      <c r="MWU83" s="684"/>
      <c r="MWV83" s="684"/>
      <c r="MWW83" s="684"/>
      <c r="MWX83" s="684"/>
      <c r="MWY83" s="684"/>
      <c r="MWZ83" s="684"/>
      <c r="MXA83" s="684"/>
      <c r="MXB83" s="684"/>
      <c r="MXC83" s="684"/>
      <c r="MXD83" s="684"/>
      <c r="MXE83" s="684"/>
      <c r="MXF83" s="684"/>
      <c r="MXG83" s="684"/>
      <c r="MXH83" s="684"/>
      <c r="MXI83" s="684"/>
      <c r="MXJ83" s="684"/>
      <c r="MXK83" s="684"/>
      <c r="MXL83" s="684"/>
      <c r="MXM83" s="684"/>
      <c r="MXN83" s="684"/>
      <c r="MXO83" s="684"/>
      <c r="MXP83" s="684"/>
      <c r="MXQ83" s="684"/>
      <c r="MXR83" s="684"/>
      <c r="MXS83" s="684"/>
      <c r="MXT83" s="684"/>
      <c r="MXU83" s="684"/>
      <c r="MXV83" s="684"/>
      <c r="MXW83" s="684"/>
      <c r="MXX83" s="684"/>
      <c r="MXY83" s="684"/>
      <c r="MXZ83" s="684"/>
      <c r="MYA83" s="684"/>
      <c r="MYB83" s="684"/>
      <c r="MYC83" s="684"/>
      <c r="MYD83" s="684"/>
      <c r="MYE83" s="684"/>
      <c r="MYF83" s="684"/>
      <c r="MYG83" s="684"/>
      <c r="MYH83" s="684"/>
      <c r="MYI83" s="684"/>
      <c r="MYJ83" s="684"/>
      <c r="MYK83" s="684"/>
      <c r="MYL83" s="684"/>
      <c r="MYM83" s="684"/>
      <c r="MYN83" s="684"/>
      <c r="MYO83" s="684"/>
      <c r="MYP83" s="684"/>
      <c r="MYQ83" s="684"/>
      <c r="MYR83" s="684"/>
      <c r="MYS83" s="684"/>
      <c r="MYT83" s="684"/>
      <c r="MYU83" s="684"/>
      <c r="MYV83" s="684"/>
      <c r="MYW83" s="684"/>
      <c r="MYX83" s="684"/>
      <c r="MYY83" s="684"/>
      <c r="MYZ83" s="684"/>
      <c r="MZA83" s="684"/>
      <c r="MZB83" s="684"/>
      <c r="MZC83" s="684"/>
      <c r="MZD83" s="684"/>
      <c r="MZE83" s="684"/>
      <c r="MZF83" s="684"/>
      <c r="MZG83" s="684"/>
      <c r="MZH83" s="684"/>
      <c r="MZI83" s="684"/>
      <c r="MZJ83" s="684"/>
      <c r="MZK83" s="684"/>
      <c r="MZL83" s="684"/>
      <c r="MZM83" s="684"/>
      <c r="MZN83" s="684"/>
      <c r="MZO83" s="684"/>
      <c r="MZP83" s="684"/>
      <c r="MZQ83" s="684"/>
      <c r="MZR83" s="684"/>
      <c r="MZS83" s="684"/>
      <c r="MZT83" s="684"/>
      <c r="MZU83" s="684"/>
      <c r="MZV83" s="684"/>
      <c r="MZW83" s="684"/>
      <c r="MZX83" s="684"/>
      <c r="MZY83" s="684"/>
      <c r="MZZ83" s="684"/>
      <c r="NAA83" s="684"/>
      <c r="NAB83" s="684"/>
      <c r="NAC83" s="684"/>
      <c r="NAD83" s="684"/>
      <c r="NAE83" s="684"/>
      <c r="NAF83" s="684"/>
      <c r="NAG83" s="684"/>
      <c r="NAH83" s="684"/>
      <c r="NAI83" s="684"/>
      <c r="NAJ83" s="684"/>
      <c r="NAK83" s="684"/>
      <c r="NAL83" s="684"/>
      <c r="NAM83" s="684"/>
      <c r="NAN83" s="684"/>
      <c r="NAO83" s="684"/>
      <c r="NAP83" s="684"/>
      <c r="NAQ83" s="684"/>
      <c r="NAR83" s="684"/>
      <c r="NAS83" s="684"/>
      <c r="NAT83" s="684"/>
      <c r="NAU83" s="684"/>
      <c r="NAV83" s="684"/>
      <c r="NAW83" s="684"/>
      <c r="NAX83" s="684"/>
      <c r="NAY83" s="684"/>
      <c r="NAZ83" s="684"/>
      <c r="NBA83" s="684"/>
      <c r="NBB83" s="684"/>
      <c r="NBC83" s="684"/>
      <c r="NBD83" s="684"/>
      <c r="NBE83" s="684"/>
      <c r="NBF83" s="684"/>
      <c r="NBG83" s="684"/>
      <c r="NBH83" s="684"/>
      <c r="NBI83" s="684"/>
      <c r="NBJ83" s="684"/>
      <c r="NBK83" s="684"/>
      <c r="NBL83" s="684"/>
      <c r="NBM83" s="684"/>
      <c r="NBN83" s="684"/>
      <c r="NBO83" s="684"/>
      <c r="NBP83" s="684"/>
      <c r="NBQ83" s="684"/>
      <c r="NBR83" s="684"/>
      <c r="NBS83" s="684"/>
      <c r="NBT83" s="684"/>
      <c r="NBU83" s="684"/>
      <c r="NBV83" s="684"/>
      <c r="NBW83" s="684"/>
      <c r="NBX83" s="684"/>
      <c r="NBY83" s="684"/>
      <c r="NBZ83" s="684"/>
      <c r="NCA83" s="684"/>
      <c r="NCB83" s="684"/>
      <c r="NCC83" s="684"/>
      <c r="NCD83" s="684"/>
      <c r="NCE83" s="684"/>
      <c r="NCF83" s="684"/>
      <c r="NCG83" s="684"/>
      <c r="NCH83" s="684"/>
      <c r="NCI83" s="684"/>
      <c r="NCJ83" s="684"/>
      <c r="NCK83" s="684"/>
      <c r="NCL83" s="684"/>
      <c r="NCM83" s="684"/>
      <c r="NCN83" s="684"/>
      <c r="NCO83" s="684"/>
      <c r="NCP83" s="684"/>
      <c r="NCQ83" s="684"/>
      <c r="NCR83" s="684"/>
      <c r="NCS83" s="684"/>
      <c r="NCT83" s="684"/>
      <c r="NCU83" s="684"/>
      <c r="NCV83" s="684"/>
      <c r="NCW83" s="684"/>
      <c r="NCX83" s="684"/>
      <c r="NCY83" s="684"/>
      <c r="NCZ83" s="684"/>
      <c r="NDA83" s="684"/>
      <c r="NDB83" s="684"/>
      <c r="NDC83" s="684"/>
      <c r="NDD83" s="684"/>
      <c r="NDE83" s="684"/>
      <c r="NDF83" s="684"/>
      <c r="NDG83" s="684"/>
      <c r="NDH83" s="684"/>
      <c r="NDI83" s="684"/>
      <c r="NDJ83" s="684"/>
      <c r="NDK83" s="684"/>
      <c r="NDL83" s="684"/>
      <c r="NDM83" s="684"/>
      <c r="NDN83" s="684"/>
      <c r="NDO83" s="684"/>
      <c r="NDP83" s="684"/>
      <c r="NDQ83" s="684"/>
      <c r="NDR83" s="684"/>
      <c r="NDS83" s="684"/>
      <c r="NDT83" s="684"/>
      <c r="NDU83" s="684"/>
      <c r="NDV83" s="684"/>
      <c r="NDW83" s="684"/>
      <c r="NDX83" s="684"/>
      <c r="NDY83" s="684"/>
      <c r="NDZ83" s="684"/>
      <c r="NEA83" s="684"/>
      <c r="NEB83" s="684"/>
      <c r="NEC83" s="684"/>
      <c r="NED83" s="684"/>
      <c r="NEE83" s="684"/>
      <c r="NEF83" s="684"/>
      <c r="NEG83" s="684"/>
      <c r="NEH83" s="684"/>
      <c r="NEI83" s="684"/>
      <c r="NEJ83" s="684"/>
      <c r="NEK83" s="684"/>
      <c r="NEL83" s="684"/>
      <c r="NEM83" s="684"/>
      <c r="NEN83" s="684"/>
      <c r="NEO83" s="684"/>
      <c r="NEP83" s="684"/>
      <c r="NEQ83" s="684"/>
      <c r="NER83" s="684"/>
      <c r="NES83" s="684"/>
      <c r="NET83" s="684"/>
      <c r="NEU83" s="684"/>
      <c r="NEV83" s="684"/>
      <c r="NEW83" s="684"/>
      <c r="NEX83" s="684"/>
      <c r="NEY83" s="684"/>
      <c r="NEZ83" s="684"/>
      <c r="NFA83" s="684"/>
      <c r="NFB83" s="684"/>
      <c r="NFC83" s="684"/>
      <c r="NFD83" s="684"/>
      <c r="NFE83" s="684"/>
      <c r="NFF83" s="684"/>
      <c r="NFG83" s="684"/>
      <c r="NFH83" s="684"/>
      <c r="NFI83" s="684"/>
      <c r="NFJ83" s="684"/>
      <c r="NFK83" s="684"/>
      <c r="NFL83" s="684"/>
      <c r="NFM83" s="684"/>
      <c r="NFN83" s="684"/>
      <c r="NFO83" s="684"/>
      <c r="NFP83" s="684"/>
      <c r="NFQ83" s="684"/>
      <c r="NFR83" s="684"/>
      <c r="NFS83" s="684"/>
      <c r="NFT83" s="684"/>
      <c r="NFU83" s="684"/>
      <c r="NFV83" s="684"/>
      <c r="NFW83" s="684"/>
      <c r="NFX83" s="684"/>
      <c r="NFY83" s="684"/>
      <c r="NFZ83" s="684"/>
      <c r="NGA83" s="684"/>
      <c r="NGB83" s="684"/>
      <c r="NGC83" s="684"/>
      <c r="NGD83" s="684"/>
      <c r="NGE83" s="684"/>
      <c r="NGF83" s="684"/>
      <c r="NGG83" s="684"/>
      <c r="NGH83" s="684"/>
      <c r="NGI83" s="684"/>
      <c r="NGJ83" s="684"/>
      <c r="NGK83" s="684"/>
      <c r="NGL83" s="684"/>
      <c r="NGM83" s="684"/>
      <c r="NGN83" s="684"/>
      <c r="NGO83" s="684"/>
      <c r="NGP83" s="684"/>
      <c r="NGQ83" s="684"/>
      <c r="NGR83" s="684"/>
      <c r="NGS83" s="684"/>
      <c r="NGT83" s="684"/>
      <c r="NGU83" s="684"/>
      <c r="NGV83" s="684"/>
      <c r="NGW83" s="684"/>
      <c r="NGX83" s="684"/>
      <c r="NGY83" s="684"/>
      <c r="NGZ83" s="684"/>
      <c r="NHA83" s="684"/>
      <c r="NHB83" s="684"/>
      <c r="NHC83" s="684"/>
      <c r="NHD83" s="684"/>
      <c r="NHE83" s="684"/>
      <c r="NHF83" s="684"/>
      <c r="NHG83" s="684"/>
      <c r="NHH83" s="684"/>
      <c r="NHI83" s="684"/>
      <c r="NHJ83" s="684"/>
      <c r="NHK83" s="684"/>
      <c r="NHL83" s="684"/>
      <c r="NHM83" s="684"/>
      <c r="NHN83" s="684"/>
      <c r="NHO83" s="684"/>
      <c r="NHP83" s="684"/>
      <c r="NHQ83" s="684"/>
      <c r="NHR83" s="684"/>
      <c r="NHS83" s="684"/>
      <c r="NHT83" s="684"/>
      <c r="NHU83" s="684"/>
      <c r="NHV83" s="684"/>
      <c r="NHW83" s="684"/>
      <c r="NHX83" s="684"/>
      <c r="NHY83" s="684"/>
      <c r="NHZ83" s="684"/>
      <c r="NIA83" s="684"/>
      <c r="NIB83" s="684"/>
      <c r="NIC83" s="684"/>
      <c r="NID83" s="684"/>
      <c r="NIE83" s="684"/>
      <c r="NIF83" s="684"/>
      <c r="NIG83" s="684"/>
      <c r="NIH83" s="684"/>
      <c r="NII83" s="684"/>
      <c r="NIJ83" s="684"/>
      <c r="NIK83" s="684"/>
      <c r="NIL83" s="684"/>
      <c r="NIM83" s="684"/>
      <c r="NIN83" s="684"/>
      <c r="NIO83" s="684"/>
      <c r="NIP83" s="684"/>
      <c r="NIQ83" s="684"/>
      <c r="NIR83" s="684"/>
      <c r="NIS83" s="684"/>
      <c r="NIT83" s="684"/>
      <c r="NIU83" s="684"/>
      <c r="NIV83" s="684"/>
      <c r="NIW83" s="684"/>
      <c r="NIX83" s="684"/>
      <c r="NIY83" s="684"/>
      <c r="NIZ83" s="684"/>
      <c r="NJA83" s="684"/>
      <c r="NJB83" s="684"/>
      <c r="NJC83" s="684"/>
      <c r="NJD83" s="684"/>
      <c r="NJE83" s="684"/>
      <c r="NJF83" s="684"/>
      <c r="NJG83" s="684"/>
      <c r="NJH83" s="684"/>
      <c r="NJI83" s="684"/>
      <c r="NJJ83" s="684"/>
      <c r="NJK83" s="684"/>
      <c r="NJL83" s="684"/>
      <c r="NJM83" s="684"/>
      <c r="NJN83" s="684"/>
      <c r="NJO83" s="684"/>
      <c r="NJP83" s="684"/>
      <c r="NJQ83" s="684"/>
      <c r="NJR83" s="684"/>
      <c r="NJS83" s="684"/>
      <c r="NJT83" s="684"/>
      <c r="NJU83" s="684"/>
      <c r="NJV83" s="684"/>
      <c r="NJW83" s="684"/>
      <c r="NJX83" s="684"/>
      <c r="NJY83" s="684"/>
      <c r="NJZ83" s="684"/>
      <c r="NKA83" s="684"/>
      <c r="NKB83" s="684"/>
      <c r="NKC83" s="684"/>
      <c r="NKD83" s="684"/>
      <c r="NKE83" s="684"/>
      <c r="NKF83" s="684"/>
      <c r="NKG83" s="684"/>
      <c r="NKH83" s="684"/>
      <c r="NKI83" s="684"/>
      <c r="NKJ83" s="684"/>
      <c r="NKK83" s="684"/>
      <c r="NKL83" s="684"/>
      <c r="NKM83" s="684"/>
      <c r="NKN83" s="684"/>
      <c r="NKO83" s="684"/>
      <c r="NKP83" s="684"/>
      <c r="NKQ83" s="684"/>
      <c r="NKR83" s="684"/>
      <c r="NKS83" s="684"/>
      <c r="NKT83" s="684"/>
      <c r="NKU83" s="684"/>
      <c r="NKV83" s="684"/>
      <c r="NKW83" s="684"/>
      <c r="NKX83" s="684"/>
      <c r="NKY83" s="684"/>
      <c r="NKZ83" s="684"/>
      <c r="NLA83" s="684"/>
      <c r="NLB83" s="684"/>
      <c r="NLC83" s="684"/>
      <c r="NLD83" s="684"/>
      <c r="NLE83" s="684"/>
      <c r="NLF83" s="684"/>
      <c r="NLG83" s="684"/>
      <c r="NLH83" s="684"/>
      <c r="NLI83" s="684"/>
      <c r="NLJ83" s="684"/>
      <c r="NLK83" s="684"/>
      <c r="NLL83" s="684"/>
      <c r="NLM83" s="684"/>
      <c r="NLN83" s="684"/>
      <c r="NLO83" s="684"/>
      <c r="NLP83" s="684"/>
      <c r="NLQ83" s="684"/>
      <c r="NLR83" s="684"/>
      <c r="NLS83" s="684"/>
      <c r="NLT83" s="684"/>
      <c r="NLU83" s="684"/>
      <c r="NLV83" s="684"/>
      <c r="NLW83" s="684"/>
      <c r="NLX83" s="684"/>
      <c r="NLY83" s="684"/>
      <c r="NLZ83" s="684"/>
      <c r="NMA83" s="684"/>
      <c r="NMB83" s="684"/>
      <c r="NMC83" s="684"/>
      <c r="NMD83" s="684"/>
      <c r="NME83" s="684"/>
      <c r="NMF83" s="684"/>
      <c r="NMG83" s="684"/>
      <c r="NMH83" s="684"/>
      <c r="NMI83" s="684"/>
      <c r="NMJ83" s="684"/>
      <c r="NMK83" s="684"/>
      <c r="NML83" s="684"/>
      <c r="NMM83" s="684"/>
      <c r="NMN83" s="684"/>
      <c r="NMO83" s="684"/>
      <c r="NMP83" s="684"/>
      <c r="NMQ83" s="684"/>
      <c r="NMR83" s="684"/>
      <c r="NMS83" s="684"/>
      <c r="NMT83" s="684"/>
      <c r="NMU83" s="684"/>
      <c r="NMV83" s="684"/>
      <c r="NMW83" s="684"/>
      <c r="NMX83" s="684"/>
      <c r="NMY83" s="684"/>
      <c r="NMZ83" s="684"/>
      <c r="NNA83" s="684"/>
      <c r="NNB83" s="684"/>
      <c r="NNC83" s="684"/>
      <c r="NND83" s="684"/>
      <c r="NNE83" s="684"/>
      <c r="NNF83" s="684"/>
      <c r="NNG83" s="684"/>
      <c r="NNH83" s="684"/>
      <c r="NNI83" s="684"/>
      <c r="NNJ83" s="684"/>
      <c r="NNK83" s="684"/>
      <c r="NNL83" s="684"/>
      <c r="NNM83" s="684"/>
      <c r="NNN83" s="684"/>
      <c r="NNO83" s="684"/>
      <c r="NNP83" s="684"/>
      <c r="NNQ83" s="684"/>
      <c r="NNR83" s="684"/>
      <c r="NNS83" s="684"/>
      <c r="NNT83" s="684"/>
      <c r="NNU83" s="684"/>
      <c r="NNV83" s="684"/>
      <c r="NNW83" s="684"/>
      <c r="NNX83" s="684"/>
      <c r="NNY83" s="684"/>
      <c r="NNZ83" s="684"/>
      <c r="NOA83" s="684"/>
      <c r="NOB83" s="684"/>
      <c r="NOC83" s="684"/>
      <c r="NOD83" s="684"/>
      <c r="NOE83" s="684"/>
      <c r="NOF83" s="684"/>
      <c r="NOG83" s="684"/>
      <c r="NOH83" s="684"/>
      <c r="NOI83" s="684"/>
      <c r="NOJ83" s="684"/>
      <c r="NOK83" s="684"/>
      <c r="NOL83" s="684"/>
      <c r="NOM83" s="684"/>
      <c r="NON83" s="684"/>
      <c r="NOO83" s="684"/>
      <c r="NOP83" s="684"/>
      <c r="NOQ83" s="684"/>
      <c r="NOR83" s="684"/>
      <c r="NOS83" s="684"/>
      <c r="NOT83" s="684"/>
      <c r="NOU83" s="684"/>
      <c r="NOV83" s="684"/>
      <c r="NOW83" s="684"/>
      <c r="NOX83" s="684"/>
      <c r="NOY83" s="684"/>
      <c r="NOZ83" s="684"/>
      <c r="NPA83" s="684"/>
      <c r="NPB83" s="684"/>
      <c r="NPC83" s="684"/>
      <c r="NPD83" s="684"/>
      <c r="NPE83" s="684"/>
      <c r="NPF83" s="684"/>
      <c r="NPG83" s="684"/>
      <c r="NPH83" s="684"/>
      <c r="NPI83" s="684"/>
      <c r="NPJ83" s="684"/>
      <c r="NPK83" s="684"/>
      <c r="NPL83" s="684"/>
      <c r="NPM83" s="684"/>
      <c r="NPN83" s="684"/>
      <c r="NPO83" s="684"/>
      <c r="NPP83" s="684"/>
      <c r="NPQ83" s="684"/>
      <c r="NPR83" s="684"/>
      <c r="NPS83" s="684"/>
      <c r="NPT83" s="684"/>
      <c r="NPU83" s="684"/>
      <c r="NPV83" s="684"/>
      <c r="NPW83" s="684"/>
      <c r="NPX83" s="684"/>
      <c r="NPY83" s="684"/>
      <c r="NPZ83" s="684"/>
      <c r="NQA83" s="684"/>
      <c r="NQB83" s="684"/>
      <c r="NQC83" s="684"/>
      <c r="NQD83" s="684"/>
      <c r="NQE83" s="684"/>
      <c r="NQF83" s="684"/>
      <c r="NQG83" s="684"/>
      <c r="NQH83" s="684"/>
      <c r="NQI83" s="684"/>
      <c r="NQJ83" s="684"/>
      <c r="NQK83" s="684"/>
      <c r="NQL83" s="684"/>
      <c r="NQM83" s="684"/>
      <c r="NQN83" s="684"/>
      <c r="NQO83" s="684"/>
      <c r="NQP83" s="684"/>
      <c r="NQQ83" s="684"/>
      <c r="NQR83" s="684"/>
      <c r="NQS83" s="684"/>
      <c r="NQT83" s="684"/>
      <c r="NQU83" s="684"/>
      <c r="NQV83" s="684"/>
      <c r="NQW83" s="684"/>
      <c r="NQX83" s="684"/>
      <c r="NQY83" s="684"/>
      <c r="NQZ83" s="684"/>
      <c r="NRA83" s="684"/>
      <c r="NRB83" s="684"/>
      <c r="NRC83" s="684"/>
      <c r="NRD83" s="684"/>
      <c r="NRE83" s="684"/>
      <c r="NRF83" s="684"/>
      <c r="NRG83" s="684"/>
      <c r="NRH83" s="684"/>
      <c r="NRI83" s="684"/>
      <c r="NRJ83" s="684"/>
      <c r="NRK83" s="684"/>
      <c r="NRL83" s="684"/>
      <c r="NRM83" s="684"/>
      <c r="NRN83" s="684"/>
      <c r="NRO83" s="684"/>
      <c r="NRP83" s="684"/>
      <c r="NRQ83" s="684"/>
      <c r="NRR83" s="684"/>
      <c r="NRS83" s="684"/>
      <c r="NRT83" s="684"/>
      <c r="NRU83" s="684"/>
      <c r="NRV83" s="684"/>
      <c r="NRW83" s="684"/>
      <c r="NRX83" s="684"/>
      <c r="NRY83" s="684"/>
      <c r="NRZ83" s="684"/>
      <c r="NSA83" s="684"/>
      <c r="NSB83" s="684"/>
      <c r="NSC83" s="684"/>
      <c r="NSD83" s="684"/>
      <c r="NSE83" s="684"/>
      <c r="NSF83" s="684"/>
      <c r="NSG83" s="684"/>
      <c r="NSH83" s="684"/>
      <c r="NSI83" s="684"/>
      <c r="NSJ83" s="684"/>
      <c r="NSK83" s="684"/>
      <c r="NSL83" s="684"/>
      <c r="NSM83" s="684"/>
      <c r="NSN83" s="684"/>
      <c r="NSO83" s="684"/>
      <c r="NSP83" s="684"/>
      <c r="NSQ83" s="684"/>
      <c r="NSR83" s="684"/>
      <c r="NSS83" s="684"/>
      <c r="NST83" s="684"/>
      <c r="NSU83" s="684"/>
      <c r="NSV83" s="684"/>
      <c r="NSW83" s="684"/>
      <c r="NSX83" s="684"/>
      <c r="NSY83" s="684"/>
      <c r="NSZ83" s="684"/>
      <c r="NTA83" s="684"/>
      <c r="NTB83" s="684"/>
      <c r="NTC83" s="684"/>
      <c r="NTD83" s="684"/>
      <c r="NTE83" s="684"/>
      <c r="NTF83" s="684"/>
      <c r="NTG83" s="684"/>
      <c r="NTH83" s="684"/>
      <c r="NTI83" s="684"/>
      <c r="NTJ83" s="684"/>
      <c r="NTK83" s="684"/>
      <c r="NTL83" s="684"/>
      <c r="NTM83" s="684"/>
      <c r="NTN83" s="684"/>
      <c r="NTO83" s="684"/>
      <c r="NTP83" s="684"/>
      <c r="NTQ83" s="684"/>
      <c r="NTR83" s="684"/>
      <c r="NTS83" s="684"/>
      <c r="NTT83" s="684"/>
      <c r="NTU83" s="684"/>
      <c r="NTV83" s="684"/>
      <c r="NTW83" s="684"/>
      <c r="NTX83" s="684"/>
      <c r="NTY83" s="684"/>
      <c r="NTZ83" s="684"/>
      <c r="NUA83" s="684"/>
      <c r="NUB83" s="684"/>
      <c r="NUC83" s="684"/>
      <c r="NUD83" s="684"/>
      <c r="NUE83" s="684"/>
      <c r="NUF83" s="684"/>
      <c r="NUG83" s="684"/>
      <c r="NUH83" s="684"/>
      <c r="NUI83" s="684"/>
      <c r="NUJ83" s="684"/>
      <c r="NUK83" s="684"/>
      <c r="NUL83" s="684"/>
      <c r="NUM83" s="684"/>
      <c r="NUN83" s="684"/>
      <c r="NUO83" s="684"/>
      <c r="NUP83" s="684"/>
      <c r="NUQ83" s="684"/>
      <c r="NUR83" s="684"/>
      <c r="NUS83" s="684"/>
      <c r="NUT83" s="684"/>
      <c r="NUU83" s="684"/>
      <c r="NUV83" s="684"/>
      <c r="NUW83" s="684"/>
      <c r="NUX83" s="684"/>
      <c r="NUY83" s="684"/>
      <c r="NUZ83" s="684"/>
      <c r="NVA83" s="684"/>
      <c r="NVB83" s="684"/>
      <c r="NVC83" s="684"/>
      <c r="NVD83" s="684"/>
      <c r="NVE83" s="684"/>
      <c r="NVF83" s="684"/>
      <c r="NVG83" s="684"/>
      <c r="NVH83" s="684"/>
      <c r="NVI83" s="684"/>
      <c r="NVJ83" s="684"/>
      <c r="NVK83" s="684"/>
      <c r="NVL83" s="684"/>
      <c r="NVM83" s="684"/>
      <c r="NVN83" s="684"/>
      <c r="NVO83" s="684"/>
      <c r="NVP83" s="684"/>
      <c r="NVQ83" s="684"/>
      <c r="NVR83" s="684"/>
      <c r="NVS83" s="684"/>
      <c r="NVT83" s="684"/>
      <c r="NVU83" s="684"/>
      <c r="NVV83" s="684"/>
      <c r="NVW83" s="684"/>
      <c r="NVX83" s="684"/>
      <c r="NVY83" s="684"/>
      <c r="NVZ83" s="684"/>
      <c r="NWA83" s="684"/>
      <c r="NWB83" s="684"/>
      <c r="NWC83" s="684"/>
      <c r="NWD83" s="684"/>
      <c r="NWE83" s="684"/>
      <c r="NWF83" s="684"/>
      <c r="NWG83" s="684"/>
      <c r="NWH83" s="684"/>
      <c r="NWI83" s="684"/>
      <c r="NWJ83" s="684"/>
      <c r="NWK83" s="684"/>
      <c r="NWL83" s="684"/>
      <c r="NWM83" s="684"/>
      <c r="NWN83" s="684"/>
      <c r="NWO83" s="684"/>
      <c r="NWP83" s="684"/>
      <c r="NWQ83" s="684"/>
      <c r="NWR83" s="684"/>
      <c r="NWS83" s="684"/>
      <c r="NWT83" s="684"/>
      <c r="NWU83" s="684"/>
      <c r="NWV83" s="684"/>
      <c r="NWW83" s="684"/>
      <c r="NWX83" s="684"/>
      <c r="NWY83" s="684"/>
      <c r="NWZ83" s="684"/>
      <c r="NXA83" s="684"/>
      <c r="NXB83" s="684"/>
      <c r="NXC83" s="684"/>
      <c r="NXD83" s="684"/>
      <c r="NXE83" s="684"/>
      <c r="NXF83" s="684"/>
      <c r="NXG83" s="684"/>
      <c r="NXH83" s="684"/>
      <c r="NXI83" s="684"/>
      <c r="NXJ83" s="684"/>
      <c r="NXK83" s="684"/>
      <c r="NXL83" s="684"/>
      <c r="NXM83" s="684"/>
      <c r="NXN83" s="684"/>
      <c r="NXO83" s="684"/>
      <c r="NXP83" s="684"/>
      <c r="NXQ83" s="684"/>
      <c r="NXR83" s="684"/>
      <c r="NXS83" s="684"/>
      <c r="NXT83" s="684"/>
      <c r="NXU83" s="684"/>
      <c r="NXV83" s="684"/>
      <c r="NXW83" s="684"/>
      <c r="NXX83" s="684"/>
      <c r="NXY83" s="684"/>
      <c r="NXZ83" s="684"/>
      <c r="NYA83" s="684"/>
      <c r="NYB83" s="684"/>
      <c r="NYC83" s="684"/>
      <c r="NYD83" s="684"/>
      <c r="NYE83" s="684"/>
      <c r="NYF83" s="684"/>
      <c r="NYG83" s="684"/>
      <c r="NYH83" s="684"/>
      <c r="NYI83" s="684"/>
      <c r="NYJ83" s="684"/>
      <c r="NYK83" s="684"/>
      <c r="NYL83" s="684"/>
      <c r="NYM83" s="684"/>
      <c r="NYN83" s="684"/>
      <c r="NYO83" s="684"/>
      <c r="NYP83" s="684"/>
      <c r="NYQ83" s="684"/>
      <c r="NYR83" s="684"/>
      <c r="NYS83" s="684"/>
      <c r="NYT83" s="684"/>
      <c r="NYU83" s="684"/>
      <c r="NYV83" s="684"/>
      <c r="NYW83" s="684"/>
      <c r="NYX83" s="684"/>
      <c r="NYY83" s="684"/>
      <c r="NYZ83" s="684"/>
      <c r="NZA83" s="684"/>
      <c r="NZB83" s="684"/>
      <c r="NZC83" s="684"/>
      <c r="NZD83" s="684"/>
      <c r="NZE83" s="684"/>
      <c r="NZF83" s="684"/>
      <c r="NZG83" s="684"/>
      <c r="NZH83" s="684"/>
      <c r="NZI83" s="684"/>
      <c r="NZJ83" s="684"/>
      <c r="NZK83" s="684"/>
      <c r="NZL83" s="684"/>
      <c r="NZM83" s="684"/>
      <c r="NZN83" s="684"/>
      <c r="NZO83" s="684"/>
      <c r="NZP83" s="684"/>
      <c r="NZQ83" s="684"/>
      <c r="NZR83" s="684"/>
      <c r="NZS83" s="684"/>
      <c r="NZT83" s="684"/>
      <c r="NZU83" s="684"/>
      <c r="NZV83" s="684"/>
      <c r="NZW83" s="684"/>
      <c r="NZX83" s="684"/>
      <c r="NZY83" s="684"/>
      <c r="NZZ83" s="684"/>
      <c r="OAA83" s="684"/>
      <c r="OAB83" s="684"/>
      <c r="OAC83" s="684"/>
      <c r="OAD83" s="684"/>
      <c r="OAE83" s="684"/>
      <c r="OAF83" s="684"/>
      <c r="OAG83" s="684"/>
      <c r="OAH83" s="684"/>
      <c r="OAI83" s="684"/>
      <c r="OAJ83" s="684"/>
      <c r="OAK83" s="684"/>
      <c r="OAL83" s="684"/>
      <c r="OAM83" s="684"/>
      <c r="OAN83" s="684"/>
      <c r="OAO83" s="684"/>
      <c r="OAP83" s="684"/>
      <c r="OAQ83" s="684"/>
      <c r="OAR83" s="684"/>
      <c r="OAS83" s="684"/>
      <c r="OAT83" s="684"/>
      <c r="OAU83" s="684"/>
      <c r="OAV83" s="684"/>
      <c r="OAW83" s="684"/>
      <c r="OAX83" s="684"/>
      <c r="OAY83" s="684"/>
      <c r="OAZ83" s="684"/>
      <c r="OBA83" s="684"/>
      <c r="OBB83" s="684"/>
      <c r="OBC83" s="684"/>
      <c r="OBD83" s="684"/>
      <c r="OBE83" s="684"/>
      <c r="OBF83" s="684"/>
      <c r="OBG83" s="684"/>
      <c r="OBH83" s="684"/>
      <c r="OBI83" s="684"/>
      <c r="OBJ83" s="684"/>
      <c r="OBK83" s="684"/>
      <c r="OBL83" s="684"/>
      <c r="OBM83" s="684"/>
      <c r="OBN83" s="684"/>
      <c r="OBO83" s="684"/>
      <c r="OBP83" s="684"/>
      <c r="OBQ83" s="684"/>
      <c r="OBR83" s="684"/>
      <c r="OBS83" s="684"/>
      <c r="OBT83" s="684"/>
      <c r="OBU83" s="684"/>
      <c r="OBV83" s="684"/>
      <c r="OBW83" s="684"/>
      <c r="OBX83" s="684"/>
      <c r="OBY83" s="684"/>
      <c r="OBZ83" s="684"/>
      <c r="OCA83" s="684"/>
      <c r="OCB83" s="684"/>
      <c r="OCC83" s="684"/>
      <c r="OCD83" s="684"/>
      <c r="OCE83" s="684"/>
      <c r="OCF83" s="684"/>
      <c r="OCG83" s="684"/>
      <c r="OCH83" s="684"/>
      <c r="OCI83" s="684"/>
      <c r="OCJ83" s="684"/>
      <c r="OCK83" s="684"/>
      <c r="OCL83" s="684"/>
      <c r="OCM83" s="684"/>
      <c r="OCN83" s="684"/>
      <c r="OCO83" s="684"/>
      <c r="OCP83" s="684"/>
      <c r="OCQ83" s="684"/>
      <c r="OCR83" s="684"/>
      <c r="OCS83" s="684"/>
      <c r="OCT83" s="684"/>
      <c r="OCU83" s="684"/>
      <c r="OCV83" s="684"/>
      <c r="OCW83" s="684"/>
      <c r="OCX83" s="684"/>
      <c r="OCY83" s="684"/>
      <c r="OCZ83" s="684"/>
      <c r="ODA83" s="684"/>
      <c r="ODB83" s="684"/>
      <c r="ODC83" s="684"/>
      <c r="ODD83" s="684"/>
      <c r="ODE83" s="684"/>
      <c r="ODF83" s="684"/>
      <c r="ODG83" s="684"/>
      <c r="ODH83" s="684"/>
      <c r="ODI83" s="684"/>
      <c r="ODJ83" s="684"/>
      <c r="ODK83" s="684"/>
      <c r="ODL83" s="684"/>
      <c r="ODM83" s="684"/>
      <c r="ODN83" s="684"/>
      <c r="ODO83" s="684"/>
      <c r="ODP83" s="684"/>
      <c r="ODQ83" s="684"/>
      <c r="ODR83" s="684"/>
      <c r="ODS83" s="684"/>
      <c r="ODT83" s="684"/>
      <c r="ODU83" s="684"/>
      <c r="ODV83" s="684"/>
      <c r="ODW83" s="684"/>
      <c r="ODX83" s="684"/>
      <c r="ODY83" s="684"/>
      <c r="ODZ83" s="684"/>
      <c r="OEA83" s="684"/>
      <c r="OEB83" s="684"/>
      <c r="OEC83" s="684"/>
      <c r="OED83" s="684"/>
      <c r="OEE83" s="684"/>
      <c r="OEF83" s="684"/>
      <c r="OEG83" s="684"/>
      <c r="OEH83" s="684"/>
      <c r="OEI83" s="684"/>
      <c r="OEJ83" s="684"/>
      <c r="OEK83" s="684"/>
      <c r="OEL83" s="684"/>
      <c r="OEM83" s="684"/>
      <c r="OEN83" s="684"/>
      <c r="OEO83" s="684"/>
      <c r="OEP83" s="684"/>
      <c r="OEQ83" s="684"/>
      <c r="OER83" s="684"/>
      <c r="OES83" s="684"/>
      <c r="OET83" s="684"/>
      <c r="OEU83" s="684"/>
      <c r="OEV83" s="684"/>
      <c r="OEW83" s="684"/>
      <c r="OEX83" s="684"/>
      <c r="OEY83" s="684"/>
      <c r="OEZ83" s="684"/>
      <c r="OFA83" s="684"/>
      <c r="OFB83" s="684"/>
      <c r="OFC83" s="684"/>
      <c r="OFD83" s="684"/>
      <c r="OFE83" s="684"/>
      <c r="OFF83" s="684"/>
      <c r="OFG83" s="684"/>
      <c r="OFH83" s="684"/>
      <c r="OFI83" s="684"/>
      <c r="OFJ83" s="684"/>
      <c r="OFK83" s="684"/>
      <c r="OFL83" s="684"/>
      <c r="OFM83" s="684"/>
      <c r="OFN83" s="684"/>
      <c r="OFO83" s="684"/>
      <c r="OFP83" s="684"/>
      <c r="OFQ83" s="684"/>
      <c r="OFR83" s="684"/>
      <c r="OFS83" s="684"/>
      <c r="OFT83" s="684"/>
      <c r="OFU83" s="684"/>
      <c r="OFV83" s="684"/>
      <c r="OFW83" s="684"/>
      <c r="OFX83" s="684"/>
      <c r="OFY83" s="684"/>
      <c r="OFZ83" s="684"/>
      <c r="OGA83" s="684"/>
      <c r="OGB83" s="684"/>
      <c r="OGC83" s="684"/>
      <c r="OGD83" s="684"/>
      <c r="OGE83" s="684"/>
      <c r="OGF83" s="684"/>
      <c r="OGG83" s="684"/>
      <c r="OGH83" s="684"/>
      <c r="OGI83" s="684"/>
      <c r="OGJ83" s="684"/>
      <c r="OGK83" s="684"/>
      <c r="OGL83" s="684"/>
      <c r="OGM83" s="684"/>
      <c r="OGN83" s="684"/>
      <c r="OGO83" s="684"/>
      <c r="OGP83" s="684"/>
      <c r="OGQ83" s="684"/>
      <c r="OGR83" s="684"/>
      <c r="OGS83" s="684"/>
      <c r="OGT83" s="684"/>
      <c r="OGU83" s="684"/>
      <c r="OGV83" s="684"/>
      <c r="OGW83" s="684"/>
      <c r="OGX83" s="684"/>
      <c r="OGY83" s="684"/>
      <c r="OGZ83" s="684"/>
      <c r="OHA83" s="684"/>
      <c r="OHB83" s="684"/>
      <c r="OHC83" s="684"/>
      <c r="OHD83" s="684"/>
      <c r="OHE83" s="684"/>
      <c r="OHF83" s="684"/>
      <c r="OHG83" s="684"/>
      <c r="OHH83" s="684"/>
      <c r="OHI83" s="684"/>
      <c r="OHJ83" s="684"/>
      <c r="OHK83" s="684"/>
      <c r="OHL83" s="684"/>
      <c r="OHM83" s="684"/>
      <c r="OHN83" s="684"/>
      <c r="OHO83" s="684"/>
      <c r="OHP83" s="684"/>
      <c r="OHQ83" s="684"/>
      <c r="OHR83" s="684"/>
      <c r="OHS83" s="684"/>
      <c r="OHT83" s="684"/>
      <c r="OHU83" s="684"/>
      <c r="OHV83" s="684"/>
      <c r="OHW83" s="684"/>
      <c r="OHX83" s="684"/>
      <c r="OHY83" s="684"/>
      <c r="OHZ83" s="684"/>
      <c r="OIA83" s="684"/>
      <c r="OIB83" s="684"/>
      <c r="OIC83" s="684"/>
      <c r="OID83" s="684"/>
      <c r="OIE83" s="684"/>
      <c r="OIF83" s="684"/>
      <c r="OIG83" s="684"/>
      <c r="OIH83" s="684"/>
      <c r="OII83" s="684"/>
      <c r="OIJ83" s="684"/>
      <c r="OIK83" s="684"/>
      <c r="OIL83" s="684"/>
      <c r="OIM83" s="684"/>
      <c r="OIN83" s="684"/>
      <c r="OIO83" s="684"/>
      <c r="OIP83" s="684"/>
      <c r="OIQ83" s="684"/>
      <c r="OIR83" s="684"/>
      <c r="OIS83" s="684"/>
      <c r="OIT83" s="684"/>
      <c r="OIU83" s="684"/>
      <c r="OIV83" s="684"/>
      <c r="OIW83" s="684"/>
      <c r="OIX83" s="684"/>
      <c r="OIY83" s="684"/>
      <c r="OIZ83" s="684"/>
      <c r="OJA83" s="684"/>
      <c r="OJB83" s="684"/>
      <c r="OJC83" s="684"/>
      <c r="OJD83" s="684"/>
      <c r="OJE83" s="684"/>
      <c r="OJF83" s="684"/>
      <c r="OJG83" s="684"/>
      <c r="OJH83" s="684"/>
      <c r="OJI83" s="684"/>
      <c r="OJJ83" s="684"/>
      <c r="OJK83" s="684"/>
      <c r="OJL83" s="684"/>
      <c r="OJM83" s="684"/>
      <c r="OJN83" s="684"/>
      <c r="OJO83" s="684"/>
      <c r="OJP83" s="684"/>
      <c r="OJQ83" s="684"/>
      <c r="OJR83" s="684"/>
      <c r="OJS83" s="684"/>
      <c r="OJT83" s="684"/>
      <c r="OJU83" s="684"/>
      <c r="OJV83" s="684"/>
      <c r="OJW83" s="684"/>
      <c r="OJX83" s="684"/>
      <c r="OJY83" s="684"/>
      <c r="OJZ83" s="684"/>
      <c r="OKA83" s="684"/>
      <c r="OKB83" s="684"/>
      <c r="OKC83" s="684"/>
      <c r="OKD83" s="684"/>
      <c r="OKE83" s="684"/>
      <c r="OKF83" s="684"/>
      <c r="OKG83" s="684"/>
      <c r="OKH83" s="684"/>
      <c r="OKI83" s="684"/>
      <c r="OKJ83" s="684"/>
      <c r="OKK83" s="684"/>
      <c r="OKL83" s="684"/>
      <c r="OKM83" s="684"/>
      <c r="OKN83" s="684"/>
      <c r="OKO83" s="684"/>
      <c r="OKP83" s="684"/>
      <c r="OKQ83" s="684"/>
      <c r="OKR83" s="684"/>
      <c r="OKS83" s="684"/>
      <c r="OKT83" s="684"/>
      <c r="OKU83" s="684"/>
      <c r="OKV83" s="684"/>
      <c r="OKW83" s="684"/>
      <c r="OKX83" s="684"/>
      <c r="OKY83" s="684"/>
      <c r="OKZ83" s="684"/>
      <c r="OLA83" s="684"/>
      <c r="OLB83" s="684"/>
      <c r="OLC83" s="684"/>
      <c r="OLD83" s="684"/>
      <c r="OLE83" s="684"/>
      <c r="OLF83" s="684"/>
      <c r="OLG83" s="684"/>
      <c r="OLH83" s="684"/>
      <c r="OLI83" s="684"/>
      <c r="OLJ83" s="684"/>
      <c r="OLK83" s="684"/>
      <c r="OLL83" s="684"/>
      <c r="OLM83" s="684"/>
      <c r="OLN83" s="684"/>
      <c r="OLO83" s="684"/>
      <c r="OLP83" s="684"/>
      <c r="OLQ83" s="684"/>
      <c r="OLR83" s="684"/>
      <c r="OLS83" s="684"/>
      <c r="OLT83" s="684"/>
      <c r="OLU83" s="684"/>
      <c r="OLV83" s="684"/>
      <c r="OLW83" s="684"/>
      <c r="OLX83" s="684"/>
      <c r="OLY83" s="684"/>
      <c r="OLZ83" s="684"/>
      <c r="OMA83" s="684"/>
      <c r="OMB83" s="684"/>
      <c r="OMC83" s="684"/>
      <c r="OMD83" s="684"/>
      <c r="OME83" s="684"/>
      <c r="OMF83" s="684"/>
      <c r="OMG83" s="684"/>
      <c r="OMH83" s="684"/>
      <c r="OMI83" s="684"/>
      <c r="OMJ83" s="684"/>
      <c r="OMK83" s="684"/>
      <c r="OML83" s="684"/>
      <c r="OMM83" s="684"/>
      <c r="OMN83" s="684"/>
      <c r="OMO83" s="684"/>
      <c r="OMP83" s="684"/>
      <c r="OMQ83" s="684"/>
      <c r="OMR83" s="684"/>
      <c r="OMS83" s="684"/>
      <c r="OMT83" s="684"/>
      <c r="OMU83" s="684"/>
      <c r="OMV83" s="684"/>
      <c r="OMW83" s="684"/>
      <c r="OMX83" s="684"/>
      <c r="OMY83" s="684"/>
      <c r="OMZ83" s="684"/>
      <c r="ONA83" s="684"/>
      <c r="ONB83" s="684"/>
      <c r="ONC83" s="684"/>
      <c r="OND83" s="684"/>
      <c r="ONE83" s="684"/>
      <c r="ONF83" s="684"/>
      <c r="ONG83" s="684"/>
      <c r="ONH83" s="684"/>
      <c r="ONI83" s="684"/>
      <c r="ONJ83" s="684"/>
      <c r="ONK83" s="684"/>
      <c r="ONL83" s="684"/>
      <c r="ONM83" s="684"/>
      <c r="ONN83" s="684"/>
      <c r="ONO83" s="684"/>
      <c r="ONP83" s="684"/>
      <c r="ONQ83" s="684"/>
      <c r="ONR83" s="684"/>
      <c r="ONS83" s="684"/>
      <c r="ONT83" s="684"/>
      <c r="ONU83" s="684"/>
      <c r="ONV83" s="684"/>
      <c r="ONW83" s="684"/>
      <c r="ONX83" s="684"/>
      <c r="ONY83" s="684"/>
      <c r="ONZ83" s="684"/>
      <c r="OOA83" s="684"/>
      <c r="OOB83" s="684"/>
      <c r="OOC83" s="684"/>
      <c r="OOD83" s="684"/>
      <c r="OOE83" s="684"/>
      <c r="OOF83" s="684"/>
      <c r="OOG83" s="684"/>
      <c r="OOH83" s="684"/>
      <c r="OOI83" s="684"/>
      <c r="OOJ83" s="684"/>
      <c r="OOK83" s="684"/>
      <c r="OOL83" s="684"/>
      <c r="OOM83" s="684"/>
      <c r="OON83" s="684"/>
      <c r="OOO83" s="684"/>
      <c r="OOP83" s="684"/>
      <c r="OOQ83" s="684"/>
      <c r="OOR83" s="684"/>
      <c r="OOS83" s="684"/>
      <c r="OOT83" s="684"/>
      <c r="OOU83" s="684"/>
      <c r="OOV83" s="684"/>
      <c r="OOW83" s="684"/>
      <c r="OOX83" s="684"/>
      <c r="OOY83" s="684"/>
      <c r="OOZ83" s="684"/>
      <c r="OPA83" s="684"/>
      <c r="OPB83" s="684"/>
      <c r="OPC83" s="684"/>
      <c r="OPD83" s="684"/>
      <c r="OPE83" s="684"/>
      <c r="OPF83" s="684"/>
      <c r="OPG83" s="684"/>
      <c r="OPH83" s="684"/>
      <c r="OPI83" s="684"/>
      <c r="OPJ83" s="684"/>
      <c r="OPK83" s="684"/>
      <c r="OPL83" s="684"/>
      <c r="OPM83" s="684"/>
      <c r="OPN83" s="684"/>
      <c r="OPO83" s="684"/>
      <c r="OPP83" s="684"/>
      <c r="OPQ83" s="684"/>
      <c r="OPR83" s="684"/>
      <c r="OPS83" s="684"/>
      <c r="OPT83" s="684"/>
      <c r="OPU83" s="684"/>
      <c r="OPV83" s="684"/>
      <c r="OPW83" s="684"/>
      <c r="OPX83" s="684"/>
      <c r="OPY83" s="684"/>
      <c r="OPZ83" s="684"/>
      <c r="OQA83" s="684"/>
      <c r="OQB83" s="684"/>
      <c r="OQC83" s="684"/>
      <c r="OQD83" s="684"/>
      <c r="OQE83" s="684"/>
      <c r="OQF83" s="684"/>
      <c r="OQG83" s="684"/>
      <c r="OQH83" s="684"/>
      <c r="OQI83" s="684"/>
      <c r="OQJ83" s="684"/>
      <c r="OQK83" s="684"/>
      <c r="OQL83" s="684"/>
      <c r="OQM83" s="684"/>
      <c r="OQN83" s="684"/>
      <c r="OQO83" s="684"/>
      <c r="OQP83" s="684"/>
      <c r="OQQ83" s="684"/>
      <c r="OQR83" s="684"/>
      <c r="OQS83" s="684"/>
      <c r="OQT83" s="684"/>
      <c r="OQU83" s="684"/>
      <c r="OQV83" s="684"/>
      <c r="OQW83" s="684"/>
      <c r="OQX83" s="684"/>
      <c r="OQY83" s="684"/>
      <c r="OQZ83" s="684"/>
      <c r="ORA83" s="684"/>
      <c r="ORB83" s="684"/>
      <c r="ORC83" s="684"/>
      <c r="ORD83" s="684"/>
      <c r="ORE83" s="684"/>
      <c r="ORF83" s="684"/>
      <c r="ORG83" s="684"/>
      <c r="ORH83" s="684"/>
      <c r="ORI83" s="684"/>
      <c r="ORJ83" s="684"/>
      <c r="ORK83" s="684"/>
      <c r="ORL83" s="684"/>
      <c r="ORM83" s="684"/>
      <c r="ORN83" s="684"/>
      <c r="ORO83" s="684"/>
      <c r="ORP83" s="684"/>
      <c r="ORQ83" s="684"/>
      <c r="ORR83" s="684"/>
      <c r="ORS83" s="684"/>
      <c r="ORT83" s="684"/>
      <c r="ORU83" s="684"/>
      <c r="ORV83" s="684"/>
      <c r="ORW83" s="684"/>
      <c r="ORX83" s="684"/>
      <c r="ORY83" s="684"/>
      <c r="ORZ83" s="684"/>
      <c r="OSA83" s="684"/>
      <c r="OSB83" s="684"/>
      <c r="OSC83" s="684"/>
      <c r="OSD83" s="684"/>
      <c r="OSE83" s="684"/>
      <c r="OSF83" s="684"/>
      <c r="OSG83" s="684"/>
      <c r="OSH83" s="684"/>
      <c r="OSI83" s="684"/>
      <c r="OSJ83" s="684"/>
      <c r="OSK83" s="684"/>
      <c r="OSL83" s="684"/>
      <c r="OSM83" s="684"/>
      <c r="OSN83" s="684"/>
      <c r="OSO83" s="684"/>
      <c r="OSP83" s="684"/>
      <c r="OSQ83" s="684"/>
      <c r="OSR83" s="684"/>
      <c r="OSS83" s="684"/>
      <c r="OST83" s="684"/>
      <c r="OSU83" s="684"/>
      <c r="OSV83" s="684"/>
      <c r="OSW83" s="684"/>
      <c r="OSX83" s="684"/>
      <c r="OSY83" s="684"/>
      <c r="OSZ83" s="684"/>
      <c r="OTA83" s="684"/>
      <c r="OTB83" s="684"/>
      <c r="OTC83" s="684"/>
      <c r="OTD83" s="684"/>
      <c r="OTE83" s="684"/>
      <c r="OTF83" s="684"/>
      <c r="OTG83" s="684"/>
      <c r="OTH83" s="684"/>
      <c r="OTI83" s="684"/>
      <c r="OTJ83" s="684"/>
      <c r="OTK83" s="684"/>
      <c r="OTL83" s="684"/>
      <c r="OTM83" s="684"/>
      <c r="OTN83" s="684"/>
      <c r="OTO83" s="684"/>
      <c r="OTP83" s="684"/>
      <c r="OTQ83" s="684"/>
      <c r="OTR83" s="684"/>
      <c r="OTS83" s="684"/>
      <c r="OTT83" s="684"/>
      <c r="OTU83" s="684"/>
      <c r="OTV83" s="684"/>
      <c r="OTW83" s="684"/>
      <c r="OTX83" s="684"/>
      <c r="OTY83" s="684"/>
      <c r="OTZ83" s="684"/>
      <c r="OUA83" s="684"/>
      <c r="OUB83" s="684"/>
      <c r="OUC83" s="684"/>
      <c r="OUD83" s="684"/>
      <c r="OUE83" s="684"/>
      <c r="OUF83" s="684"/>
      <c r="OUG83" s="684"/>
      <c r="OUH83" s="684"/>
      <c r="OUI83" s="684"/>
      <c r="OUJ83" s="684"/>
      <c r="OUK83" s="684"/>
      <c r="OUL83" s="684"/>
      <c r="OUM83" s="684"/>
      <c r="OUN83" s="684"/>
      <c r="OUO83" s="684"/>
      <c r="OUP83" s="684"/>
      <c r="OUQ83" s="684"/>
      <c r="OUR83" s="684"/>
      <c r="OUS83" s="684"/>
      <c r="OUT83" s="684"/>
      <c r="OUU83" s="684"/>
      <c r="OUV83" s="684"/>
      <c r="OUW83" s="684"/>
      <c r="OUX83" s="684"/>
      <c r="OUY83" s="684"/>
      <c r="OUZ83" s="684"/>
      <c r="OVA83" s="684"/>
      <c r="OVB83" s="684"/>
      <c r="OVC83" s="684"/>
      <c r="OVD83" s="684"/>
      <c r="OVE83" s="684"/>
      <c r="OVF83" s="684"/>
      <c r="OVG83" s="684"/>
      <c r="OVH83" s="684"/>
      <c r="OVI83" s="684"/>
      <c r="OVJ83" s="684"/>
      <c r="OVK83" s="684"/>
      <c r="OVL83" s="684"/>
      <c r="OVM83" s="684"/>
      <c r="OVN83" s="684"/>
      <c r="OVO83" s="684"/>
      <c r="OVP83" s="684"/>
      <c r="OVQ83" s="684"/>
      <c r="OVR83" s="684"/>
      <c r="OVS83" s="684"/>
      <c r="OVT83" s="684"/>
      <c r="OVU83" s="684"/>
      <c r="OVV83" s="684"/>
      <c r="OVW83" s="684"/>
      <c r="OVX83" s="684"/>
      <c r="OVY83" s="684"/>
      <c r="OVZ83" s="684"/>
      <c r="OWA83" s="684"/>
      <c r="OWB83" s="684"/>
      <c r="OWC83" s="684"/>
      <c r="OWD83" s="684"/>
      <c r="OWE83" s="684"/>
      <c r="OWF83" s="684"/>
      <c r="OWG83" s="684"/>
      <c r="OWH83" s="684"/>
      <c r="OWI83" s="684"/>
      <c r="OWJ83" s="684"/>
      <c r="OWK83" s="684"/>
      <c r="OWL83" s="684"/>
      <c r="OWM83" s="684"/>
      <c r="OWN83" s="684"/>
      <c r="OWO83" s="684"/>
      <c r="OWP83" s="684"/>
      <c r="OWQ83" s="684"/>
      <c r="OWR83" s="684"/>
      <c r="OWS83" s="684"/>
      <c r="OWT83" s="684"/>
      <c r="OWU83" s="684"/>
      <c r="OWV83" s="684"/>
      <c r="OWW83" s="684"/>
      <c r="OWX83" s="684"/>
      <c r="OWY83" s="684"/>
      <c r="OWZ83" s="684"/>
      <c r="OXA83" s="684"/>
      <c r="OXB83" s="684"/>
      <c r="OXC83" s="684"/>
      <c r="OXD83" s="684"/>
      <c r="OXE83" s="684"/>
      <c r="OXF83" s="684"/>
      <c r="OXG83" s="684"/>
      <c r="OXH83" s="684"/>
      <c r="OXI83" s="684"/>
      <c r="OXJ83" s="684"/>
      <c r="OXK83" s="684"/>
      <c r="OXL83" s="684"/>
      <c r="OXM83" s="684"/>
      <c r="OXN83" s="684"/>
      <c r="OXO83" s="684"/>
      <c r="OXP83" s="684"/>
      <c r="OXQ83" s="684"/>
      <c r="OXR83" s="684"/>
      <c r="OXS83" s="684"/>
      <c r="OXT83" s="684"/>
      <c r="OXU83" s="684"/>
      <c r="OXV83" s="684"/>
      <c r="OXW83" s="684"/>
      <c r="OXX83" s="684"/>
      <c r="OXY83" s="684"/>
      <c r="OXZ83" s="684"/>
      <c r="OYA83" s="684"/>
      <c r="OYB83" s="684"/>
      <c r="OYC83" s="684"/>
      <c r="OYD83" s="684"/>
      <c r="OYE83" s="684"/>
      <c r="OYF83" s="684"/>
      <c r="OYG83" s="684"/>
      <c r="OYH83" s="684"/>
      <c r="OYI83" s="684"/>
      <c r="OYJ83" s="684"/>
      <c r="OYK83" s="684"/>
      <c r="OYL83" s="684"/>
      <c r="OYM83" s="684"/>
      <c r="OYN83" s="684"/>
      <c r="OYO83" s="684"/>
      <c r="OYP83" s="684"/>
      <c r="OYQ83" s="684"/>
      <c r="OYR83" s="684"/>
      <c r="OYS83" s="684"/>
      <c r="OYT83" s="684"/>
      <c r="OYU83" s="684"/>
      <c r="OYV83" s="684"/>
      <c r="OYW83" s="684"/>
      <c r="OYX83" s="684"/>
      <c r="OYY83" s="684"/>
      <c r="OYZ83" s="684"/>
      <c r="OZA83" s="684"/>
      <c r="OZB83" s="684"/>
      <c r="OZC83" s="684"/>
      <c r="OZD83" s="684"/>
      <c r="OZE83" s="684"/>
      <c r="OZF83" s="684"/>
      <c r="OZG83" s="684"/>
      <c r="OZH83" s="684"/>
      <c r="OZI83" s="684"/>
      <c r="OZJ83" s="684"/>
      <c r="OZK83" s="684"/>
      <c r="OZL83" s="684"/>
      <c r="OZM83" s="684"/>
      <c r="OZN83" s="684"/>
      <c r="OZO83" s="684"/>
      <c r="OZP83" s="684"/>
      <c r="OZQ83" s="684"/>
      <c r="OZR83" s="684"/>
      <c r="OZS83" s="684"/>
      <c r="OZT83" s="684"/>
      <c r="OZU83" s="684"/>
      <c r="OZV83" s="684"/>
      <c r="OZW83" s="684"/>
      <c r="OZX83" s="684"/>
      <c r="OZY83" s="684"/>
      <c r="OZZ83" s="684"/>
      <c r="PAA83" s="684"/>
      <c r="PAB83" s="684"/>
      <c r="PAC83" s="684"/>
      <c r="PAD83" s="684"/>
      <c r="PAE83" s="684"/>
      <c r="PAF83" s="684"/>
      <c r="PAG83" s="684"/>
      <c r="PAH83" s="684"/>
      <c r="PAI83" s="684"/>
      <c r="PAJ83" s="684"/>
      <c r="PAK83" s="684"/>
      <c r="PAL83" s="684"/>
      <c r="PAM83" s="684"/>
      <c r="PAN83" s="684"/>
      <c r="PAO83" s="684"/>
      <c r="PAP83" s="684"/>
      <c r="PAQ83" s="684"/>
      <c r="PAR83" s="684"/>
      <c r="PAS83" s="684"/>
      <c r="PAT83" s="684"/>
      <c r="PAU83" s="684"/>
      <c r="PAV83" s="684"/>
      <c r="PAW83" s="684"/>
      <c r="PAX83" s="684"/>
      <c r="PAY83" s="684"/>
      <c r="PAZ83" s="684"/>
      <c r="PBA83" s="684"/>
      <c r="PBB83" s="684"/>
      <c r="PBC83" s="684"/>
      <c r="PBD83" s="684"/>
      <c r="PBE83" s="684"/>
      <c r="PBF83" s="684"/>
      <c r="PBG83" s="684"/>
      <c r="PBH83" s="684"/>
      <c r="PBI83" s="684"/>
      <c r="PBJ83" s="684"/>
      <c r="PBK83" s="684"/>
      <c r="PBL83" s="684"/>
      <c r="PBM83" s="684"/>
      <c r="PBN83" s="684"/>
      <c r="PBO83" s="684"/>
      <c r="PBP83" s="684"/>
      <c r="PBQ83" s="684"/>
      <c r="PBR83" s="684"/>
      <c r="PBS83" s="684"/>
      <c r="PBT83" s="684"/>
      <c r="PBU83" s="684"/>
      <c r="PBV83" s="684"/>
      <c r="PBW83" s="684"/>
      <c r="PBX83" s="684"/>
      <c r="PBY83" s="684"/>
      <c r="PBZ83" s="684"/>
      <c r="PCA83" s="684"/>
      <c r="PCB83" s="684"/>
      <c r="PCC83" s="684"/>
      <c r="PCD83" s="684"/>
      <c r="PCE83" s="684"/>
      <c r="PCF83" s="684"/>
      <c r="PCG83" s="684"/>
      <c r="PCH83" s="684"/>
      <c r="PCI83" s="684"/>
      <c r="PCJ83" s="684"/>
      <c r="PCK83" s="684"/>
      <c r="PCL83" s="684"/>
      <c r="PCM83" s="684"/>
      <c r="PCN83" s="684"/>
      <c r="PCO83" s="684"/>
      <c r="PCP83" s="684"/>
      <c r="PCQ83" s="684"/>
      <c r="PCR83" s="684"/>
      <c r="PCS83" s="684"/>
      <c r="PCT83" s="684"/>
      <c r="PCU83" s="684"/>
      <c r="PCV83" s="684"/>
      <c r="PCW83" s="684"/>
      <c r="PCX83" s="684"/>
      <c r="PCY83" s="684"/>
      <c r="PCZ83" s="684"/>
      <c r="PDA83" s="684"/>
      <c r="PDB83" s="684"/>
      <c r="PDC83" s="684"/>
      <c r="PDD83" s="684"/>
      <c r="PDE83" s="684"/>
      <c r="PDF83" s="684"/>
      <c r="PDG83" s="684"/>
      <c r="PDH83" s="684"/>
      <c r="PDI83" s="684"/>
      <c r="PDJ83" s="684"/>
      <c r="PDK83" s="684"/>
      <c r="PDL83" s="684"/>
      <c r="PDM83" s="684"/>
      <c r="PDN83" s="684"/>
      <c r="PDO83" s="684"/>
      <c r="PDP83" s="684"/>
      <c r="PDQ83" s="684"/>
      <c r="PDR83" s="684"/>
      <c r="PDS83" s="684"/>
      <c r="PDT83" s="684"/>
      <c r="PDU83" s="684"/>
      <c r="PDV83" s="684"/>
      <c r="PDW83" s="684"/>
      <c r="PDX83" s="684"/>
      <c r="PDY83" s="684"/>
      <c r="PDZ83" s="684"/>
      <c r="PEA83" s="684"/>
      <c r="PEB83" s="684"/>
      <c r="PEC83" s="684"/>
      <c r="PED83" s="684"/>
      <c r="PEE83" s="684"/>
      <c r="PEF83" s="684"/>
      <c r="PEG83" s="684"/>
      <c r="PEH83" s="684"/>
      <c r="PEI83" s="684"/>
      <c r="PEJ83" s="684"/>
      <c r="PEK83" s="684"/>
      <c r="PEL83" s="684"/>
      <c r="PEM83" s="684"/>
      <c r="PEN83" s="684"/>
      <c r="PEO83" s="684"/>
      <c r="PEP83" s="684"/>
      <c r="PEQ83" s="684"/>
      <c r="PER83" s="684"/>
      <c r="PES83" s="684"/>
      <c r="PET83" s="684"/>
      <c r="PEU83" s="684"/>
      <c r="PEV83" s="684"/>
      <c r="PEW83" s="684"/>
      <c r="PEX83" s="684"/>
      <c r="PEY83" s="684"/>
      <c r="PEZ83" s="684"/>
      <c r="PFA83" s="684"/>
      <c r="PFB83" s="684"/>
      <c r="PFC83" s="684"/>
      <c r="PFD83" s="684"/>
      <c r="PFE83" s="684"/>
      <c r="PFF83" s="684"/>
      <c r="PFG83" s="684"/>
      <c r="PFH83" s="684"/>
      <c r="PFI83" s="684"/>
      <c r="PFJ83" s="684"/>
      <c r="PFK83" s="684"/>
      <c r="PFL83" s="684"/>
      <c r="PFM83" s="684"/>
      <c r="PFN83" s="684"/>
      <c r="PFO83" s="684"/>
      <c r="PFP83" s="684"/>
      <c r="PFQ83" s="684"/>
      <c r="PFR83" s="684"/>
      <c r="PFS83" s="684"/>
      <c r="PFT83" s="684"/>
      <c r="PFU83" s="684"/>
      <c r="PFV83" s="684"/>
      <c r="PFW83" s="684"/>
      <c r="PFX83" s="684"/>
      <c r="PFY83" s="684"/>
      <c r="PFZ83" s="684"/>
      <c r="PGA83" s="684"/>
      <c r="PGB83" s="684"/>
      <c r="PGC83" s="684"/>
      <c r="PGD83" s="684"/>
      <c r="PGE83" s="684"/>
      <c r="PGF83" s="684"/>
      <c r="PGG83" s="684"/>
      <c r="PGH83" s="684"/>
      <c r="PGI83" s="684"/>
      <c r="PGJ83" s="684"/>
      <c r="PGK83" s="684"/>
      <c r="PGL83" s="684"/>
      <c r="PGM83" s="684"/>
      <c r="PGN83" s="684"/>
      <c r="PGO83" s="684"/>
      <c r="PGP83" s="684"/>
      <c r="PGQ83" s="684"/>
      <c r="PGR83" s="684"/>
      <c r="PGS83" s="684"/>
      <c r="PGT83" s="684"/>
      <c r="PGU83" s="684"/>
      <c r="PGV83" s="684"/>
      <c r="PGW83" s="684"/>
      <c r="PGX83" s="684"/>
      <c r="PGY83" s="684"/>
      <c r="PGZ83" s="684"/>
      <c r="PHA83" s="684"/>
      <c r="PHB83" s="684"/>
      <c r="PHC83" s="684"/>
      <c r="PHD83" s="684"/>
      <c r="PHE83" s="684"/>
      <c r="PHF83" s="684"/>
      <c r="PHG83" s="684"/>
      <c r="PHH83" s="684"/>
      <c r="PHI83" s="684"/>
      <c r="PHJ83" s="684"/>
      <c r="PHK83" s="684"/>
      <c r="PHL83" s="684"/>
      <c r="PHM83" s="684"/>
      <c r="PHN83" s="684"/>
      <c r="PHO83" s="684"/>
      <c r="PHP83" s="684"/>
      <c r="PHQ83" s="684"/>
      <c r="PHR83" s="684"/>
      <c r="PHS83" s="684"/>
      <c r="PHT83" s="684"/>
      <c r="PHU83" s="684"/>
      <c r="PHV83" s="684"/>
      <c r="PHW83" s="684"/>
      <c r="PHX83" s="684"/>
      <c r="PHY83" s="684"/>
      <c r="PHZ83" s="684"/>
      <c r="PIA83" s="684"/>
      <c r="PIB83" s="684"/>
      <c r="PIC83" s="684"/>
      <c r="PID83" s="684"/>
      <c r="PIE83" s="684"/>
      <c r="PIF83" s="684"/>
      <c r="PIG83" s="684"/>
      <c r="PIH83" s="684"/>
      <c r="PII83" s="684"/>
      <c r="PIJ83" s="684"/>
      <c r="PIK83" s="684"/>
      <c r="PIL83" s="684"/>
      <c r="PIM83" s="684"/>
      <c r="PIN83" s="684"/>
      <c r="PIO83" s="684"/>
      <c r="PIP83" s="684"/>
      <c r="PIQ83" s="684"/>
      <c r="PIR83" s="684"/>
      <c r="PIS83" s="684"/>
      <c r="PIT83" s="684"/>
      <c r="PIU83" s="684"/>
      <c r="PIV83" s="684"/>
      <c r="PIW83" s="684"/>
      <c r="PIX83" s="684"/>
      <c r="PIY83" s="684"/>
      <c r="PIZ83" s="684"/>
      <c r="PJA83" s="684"/>
      <c r="PJB83" s="684"/>
      <c r="PJC83" s="684"/>
      <c r="PJD83" s="684"/>
      <c r="PJE83" s="684"/>
      <c r="PJF83" s="684"/>
      <c r="PJG83" s="684"/>
      <c r="PJH83" s="684"/>
      <c r="PJI83" s="684"/>
      <c r="PJJ83" s="684"/>
      <c r="PJK83" s="684"/>
      <c r="PJL83" s="684"/>
      <c r="PJM83" s="684"/>
      <c r="PJN83" s="684"/>
      <c r="PJO83" s="684"/>
      <c r="PJP83" s="684"/>
      <c r="PJQ83" s="684"/>
      <c r="PJR83" s="684"/>
      <c r="PJS83" s="684"/>
      <c r="PJT83" s="684"/>
      <c r="PJU83" s="684"/>
      <c r="PJV83" s="684"/>
      <c r="PJW83" s="684"/>
      <c r="PJX83" s="684"/>
      <c r="PJY83" s="684"/>
      <c r="PJZ83" s="684"/>
      <c r="PKA83" s="684"/>
      <c r="PKB83" s="684"/>
      <c r="PKC83" s="684"/>
      <c r="PKD83" s="684"/>
      <c r="PKE83" s="684"/>
      <c r="PKF83" s="684"/>
      <c r="PKG83" s="684"/>
      <c r="PKH83" s="684"/>
      <c r="PKI83" s="684"/>
      <c r="PKJ83" s="684"/>
      <c r="PKK83" s="684"/>
      <c r="PKL83" s="684"/>
      <c r="PKM83" s="684"/>
      <c r="PKN83" s="684"/>
      <c r="PKO83" s="684"/>
      <c r="PKP83" s="684"/>
      <c r="PKQ83" s="684"/>
      <c r="PKR83" s="684"/>
      <c r="PKS83" s="684"/>
      <c r="PKT83" s="684"/>
      <c r="PKU83" s="684"/>
      <c r="PKV83" s="684"/>
      <c r="PKW83" s="684"/>
      <c r="PKX83" s="684"/>
      <c r="PKY83" s="684"/>
      <c r="PKZ83" s="684"/>
      <c r="PLA83" s="684"/>
      <c r="PLB83" s="684"/>
      <c r="PLC83" s="684"/>
      <c r="PLD83" s="684"/>
      <c r="PLE83" s="684"/>
      <c r="PLF83" s="684"/>
      <c r="PLG83" s="684"/>
      <c r="PLH83" s="684"/>
      <c r="PLI83" s="684"/>
      <c r="PLJ83" s="684"/>
      <c r="PLK83" s="684"/>
      <c r="PLL83" s="684"/>
      <c r="PLM83" s="684"/>
      <c r="PLN83" s="684"/>
      <c r="PLO83" s="684"/>
      <c r="PLP83" s="684"/>
      <c r="PLQ83" s="684"/>
      <c r="PLR83" s="684"/>
      <c r="PLS83" s="684"/>
      <c r="PLT83" s="684"/>
      <c r="PLU83" s="684"/>
      <c r="PLV83" s="684"/>
      <c r="PLW83" s="684"/>
      <c r="PLX83" s="684"/>
      <c r="PLY83" s="684"/>
      <c r="PLZ83" s="684"/>
      <c r="PMA83" s="684"/>
      <c r="PMB83" s="684"/>
      <c r="PMC83" s="684"/>
      <c r="PMD83" s="684"/>
      <c r="PME83" s="684"/>
      <c r="PMF83" s="684"/>
      <c r="PMG83" s="684"/>
      <c r="PMH83" s="684"/>
      <c r="PMI83" s="684"/>
      <c r="PMJ83" s="684"/>
      <c r="PMK83" s="684"/>
      <c r="PML83" s="684"/>
      <c r="PMM83" s="684"/>
      <c r="PMN83" s="684"/>
      <c r="PMO83" s="684"/>
      <c r="PMP83" s="684"/>
      <c r="PMQ83" s="684"/>
      <c r="PMR83" s="684"/>
      <c r="PMS83" s="684"/>
      <c r="PMT83" s="684"/>
      <c r="PMU83" s="684"/>
      <c r="PMV83" s="684"/>
      <c r="PMW83" s="684"/>
      <c r="PMX83" s="684"/>
      <c r="PMY83" s="684"/>
      <c r="PMZ83" s="684"/>
      <c r="PNA83" s="684"/>
      <c r="PNB83" s="684"/>
      <c r="PNC83" s="684"/>
      <c r="PND83" s="684"/>
      <c r="PNE83" s="684"/>
      <c r="PNF83" s="684"/>
      <c r="PNG83" s="684"/>
      <c r="PNH83" s="684"/>
      <c r="PNI83" s="684"/>
      <c r="PNJ83" s="684"/>
      <c r="PNK83" s="684"/>
      <c r="PNL83" s="684"/>
      <c r="PNM83" s="684"/>
      <c r="PNN83" s="684"/>
      <c r="PNO83" s="684"/>
      <c r="PNP83" s="684"/>
      <c r="PNQ83" s="684"/>
      <c r="PNR83" s="684"/>
      <c r="PNS83" s="684"/>
      <c r="PNT83" s="684"/>
      <c r="PNU83" s="684"/>
      <c r="PNV83" s="684"/>
      <c r="PNW83" s="684"/>
      <c r="PNX83" s="684"/>
      <c r="PNY83" s="684"/>
      <c r="PNZ83" s="684"/>
      <c r="POA83" s="684"/>
      <c r="POB83" s="684"/>
      <c r="POC83" s="684"/>
      <c r="POD83" s="684"/>
      <c r="POE83" s="684"/>
      <c r="POF83" s="684"/>
      <c r="POG83" s="684"/>
      <c r="POH83" s="684"/>
      <c r="POI83" s="684"/>
      <c r="POJ83" s="684"/>
      <c r="POK83" s="684"/>
      <c r="POL83" s="684"/>
      <c r="POM83" s="684"/>
      <c r="PON83" s="684"/>
      <c r="POO83" s="684"/>
      <c r="POP83" s="684"/>
      <c r="POQ83" s="684"/>
      <c r="POR83" s="684"/>
      <c r="POS83" s="684"/>
      <c r="POT83" s="684"/>
      <c r="POU83" s="684"/>
      <c r="POV83" s="684"/>
      <c r="POW83" s="684"/>
      <c r="POX83" s="684"/>
      <c r="POY83" s="684"/>
      <c r="POZ83" s="684"/>
      <c r="PPA83" s="684"/>
      <c r="PPB83" s="684"/>
      <c r="PPC83" s="684"/>
      <c r="PPD83" s="684"/>
      <c r="PPE83" s="684"/>
      <c r="PPF83" s="684"/>
      <c r="PPG83" s="684"/>
      <c r="PPH83" s="684"/>
      <c r="PPI83" s="684"/>
      <c r="PPJ83" s="684"/>
      <c r="PPK83" s="684"/>
      <c r="PPL83" s="684"/>
      <c r="PPM83" s="684"/>
      <c r="PPN83" s="684"/>
      <c r="PPO83" s="684"/>
      <c r="PPP83" s="684"/>
      <c r="PPQ83" s="684"/>
      <c r="PPR83" s="684"/>
      <c r="PPS83" s="684"/>
      <c r="PPT83" s="684"/>
      <c r="PPU83" s="684"/>
      <c r="PPV83" s="684"/>
      <c r="PPW83" s="684"/>
      <c r="PPX83" s="684"/>
      <c r="PPY83" s="684"/>
      <c r="PPZ83" s="684"/>
      <c r="PQA83" s="684"/>
      <c r="PQB83" s="684"/>
      <c r="PQC83" s="684"/>
      <c r="PQD83" s="684"/>
      <c r="PQE83" s="684"/>
      <c r="PQF83" s="684"/>
      <c r="PQG83" s="684"/>
      <c r="PQH83" s="684"/>
      <c r="PQI83" s="684"/>
      <c r="PQJ83" s="684"/>
      <c r="PQK83" s="684"/>
      <c r="PQL83" s="684"/>
      <c r="PQM83" s="684"/>
      <c r="PQN83" s="684"/>
      <c r="PQO83" s="684"/>
      <c r="PQP83" s="684"/>
      <c r="PQQ83" s="684"/>
      <c r="PQR83" s="684"/>
      <c r="PQS83" s="684"/>
      <c r="PQT83" s="684"/>
      <c r="PQU83" s="684"/>
      <c r="PQV83" s="684"/>
      <c r="PQW83" s="684"/>
      <c r="PQX83" s="684"/>
      <c r="PQY83" s="684"/>
      <c r="PQZ83" s="684"/>
      <c r="PRA83" s="684"/>
      <c r="PRB83" s="684"/>
      <c r="PRC83" s="684"/>
      <c r="PRD83" s="684"/>
      <c r="PRE83" s="684"/>
      <c r="PRF83" s="684"/>
      <c r="PRG83" s="684"/>
      <c r="PRH83" s="684"/>
      <c r="PRI83" s="684"/>
      <c r="PRJ83" s="684"/>
      <c r="PRK83" s="684"/>
      <c r="PRL83" s="684"/>
      <c r="PRM83" s="684"/>
      <c r="PRN83" s="684"/>
      <c r="PRO83" s="684"/>
      <c r="PRP83" s="684"/>
      <c r="PRQ83" s="684"/>
      <c r="PRR83" s="684"/>
      <c r="PRS83" s="684"/>
      <c r="PRT83" s="684"/>
      <c r="PRU83" s="684"/>
      <c r="PRV83" s="684"/>
      <c r="PRW83" s="684"/>
      <c r="PRX83" s="684"/>
      <c r="PRY83" s="684"/>
      <c r="PRZ83" s="684"/>
      <c r="PSA83" s="684"/>
      <c r="PSB83" s="684"/>
      <c r="PSC83" s="684"/>
      <c r="PSD83" s="684"/>
      <c r="PSE83" s="684"/>
      <c r="PSF83" s="684"/>
      <c r="PSG83" s="684"/>
      <c r="PSH83" s="684"/>
      <c r="PSI83" s="684"/>
      <c r="PSJ83" s="684"/>
      <c r="PSK83" s="684"/>
      <c r="PSL83" s="684"/>
      <c r="PSM83" s="684"/>
      <c r="PSN83" s="684"/>
      <c r="PSO83" s="684"/>
      <c r="PSP83" s="684"/>
      <c r="PSQ83" s="684"/>
      <c r="PSR83" s="684"/>
      <c r="PSS83" s="684"/>
      <c r="PST83" s="684"/>
      <c r="PSU83" s="684"/>
      <c r="PSV83" s="684"/>
      <c r="PSW83" s="684"/>
      <c r="PSX83" s="684"/>
      <c r="PSY83" s="684"/>
      <c r="PSZ83" s="684"/>
      <c r="PTA83" s="684"/>
      <c r="PTB83" s="684"/>
      <c r="PTC83" s="684"/>
      <c r="PTD83" s="684"/>
      <c r="PTE83" s="684"/>
      <c r="PTF83" s="684"/>
      <c r="PTG83" s="684"/>
      <c r="PTH83" s="684"/>
      <c r="PTI83" s="684"/>
      <c r="PTJ83" s="684"/>
      <c r="PTK83" s="684"/>
      <c r="PTL83" s="684"/>
      <c r="PTM83" s="684"/>
      <c r="PTN83" s="684"/>
      <c r="PTO83" s="684"/>
      <c r="PTP83" s="684"/>
      <c r="PTQ83" s="684"/>
      <c r="PTR83" s="684"/>
      <c r="PTS83" s="684"/>
      <c r="PTT83" s="684"/>
      <c r="PTU83" s="684"/>
      <c r="PTV83" s="684"/>
      <c r="PTW83" s="684"/>
      <c r="PTX83" s="684"/>
      <c r="PTY83" s="684"/>
      <c r="PTZ83" s="684"/>
      <c r="PUA83" s="684"/>
      <c r="PUB83" s="684"/>
      <c r="PUC83" s="684"/>
      <c r="PUD83" s="684"/>
      <c r="PUE83" s="684"/>
      <c r="PUF83" s="684"/>
      <c r="PUG83" s="684"/>
      <c r="PUH83" s="684"/>
      <c r="PUI83" s="684"/>
      <c r="PUJ83" s="684"/>
      <c r="PUK83" s="684"/>
      <c r="PUL83" s="684"/>
      <c r="PUM83" s="684"/>
      <c r="PUN83" s="684"/>
      <c r="PUO83" s="684"/>
      <c r="PUP83" s="684"/>
      <c r="PUQ83" s="684"/>
      <c r="PUR83" s="684"/>
      <c r="PUS83" s="684"/>
      <c r="PUT83" s="684"/>
      <c r="PUU83" s="684"/>
      <c r="PUV83" s="684"/>
      <c r="PUW83" s="684"/>
      <c r="PUX83" s="684"/>
      <c r="PUY83" s="684"/>
      <c r="PUZ83" s="684"/>
      <c r="PVA83" s="684"/>
      <c r="PVB83" s="684"/>
      <c r="PVC83" s="684"/>
      <c r="PVD83" s="684"/>
      <c r="PVE83" s="684"/>
      <c r="PVF83" s="684"/>
      <c r="PVG83" s="684"/>
      <c r="PVH83" s="684"/>
      <c r="PVI83" s="684"/>
      <c r="PVJ83" s="684"/>
      <c r="PVK83" s="684"/>
      <c r="PVL83" s="684"/>
      <c r="PVM83" s="684"/>
      <c r="PVN83" s="684"/>
      <c r="PVO83" s="684"/>
      <c r="PVP83" s="684"/>
      <c r="PVQ83" s="684"/>
      <c r="PVR83" s="684"/>
      <c r="PVS83" s="684"/>
      <c r="PVT83" s="684"/>
      <c r="PVU83" s="684"/>
      <c r="PVV83" s="684"/>
      <c r="PVW83" s="684"/>
      <c r="PVX83" s="684"/>
      <c r="PVY83" s="684"/>
      <c r="PVZ83" s="684"/>
      <c r="PWA83" s="684"/>
      <c r="PWB83" s="684"/>
      <c r="PWC83" s="684"/>
      <c r="PWD83" s="684"/>
      <c r="PWE83" s="684"/>
      <c r="PWF83" s="684"/>
      <c r="PWG83" s="684"/>
      <c r="PWH83" s="684"/>
      <c r="PWI83" s="684"/>
      <c r="PWJ83" s="684"/>
      <c r="PWK83" s="684"/>
      <c r="PWL83" s="684"/>
      <c r="PWM83" s="684"/>
      <c r="PWN83" s="684"/>
      <c r="PWO83" s="684"/>
      <c r="PWP83" s="684"/>
      <c r="PWQ83" s="684"/>
      <c r="PWR83" s="684"/>
      <c r="PWS83" s="684"/>
      <c r="PWT83" s="684"/>
      <c r="PWU83" s="684"/>
      <c r="PWV83" s="684"/>
      <c r="PWW83" s="684"/>
      <c r="PWX83" s="684"/>
      <c r="PWY83" s="684"/>
      <c r="PWZ83" s="684"/>
      <c r="PXA83" s="684"/>
      <c r="PXB83" s="684"/>
      <c r="PXC83" s="684"/>
      <c r="PXD83" s="684"/>
      <c r="PXE83" s="684"/>
      <c r="PXF83" s="684"/>
      <c r="PXG83" s="684"/>
      <c r="PXH83" s="684"/>
      <c r="PXI83" s="684"/>
      <c r="PXJ83" s="684"/>
      <c r="PXK83" s="684"/>
      <c r="PXL83" s="684"/>
      <c r="PXM83" s="684"/>
      <c r="PXN83" s="684"/>
      <c r="PXO83" s="684"/>
      <c r="PXP83" s="684"/>
      <c r="PXQ83" s="684"/>
      <c r="PXR83" s="684"/>
      <c r="PXS83" s="684"/>
      <c r="PXT83" s="684"/>
      <c r="PXU83" s="684"/>
      <c r="PXV83" s="684"/>
      <c r="PXW83" s="684"/>
      <c r="PXX83" s="684"/>
      <c r="PXY83" s="684"/>
      <c r="PXZ83" s="684"/>
      <c r="PYA83" s="684"/>
      <c r="PYB83" s="684"/>
      <c r="PYC83" s="684"/>
      <c r="PYD83" s="684"/>
      <c r="PYE83" s="684"/>
      <c r="PYF83" s="684"/>
      <c r="PYG83" s="684"/>
      <c r="PYH83" s="684"/>
      <c r="PYI83" s="684"/>
      <c r="PYJ83" s="684"/>
      <c r="PYK83" s="684"/>
      <c r="PYL83" s="684"/>
      <c r="PYM83" s="684"/>
      <c r="PYN83" s="684"/>
      <c r="PYO83" s="684"/>
      <c r="PYP83" s="684"/>
      <c r="PYQ83" s="684"/>
      <c r="PYR83" s="684"/>
      <c r="PYS83" s="684"/>
      <c r="PYT83" s="684"/>
      <c r="PYU83" s="684"/>
      <c r="PYV83" s="684"/>
      <c r="PYW83" s="684"/>
      <c r="PYX83" s="684"/>
      <c r="PYY83" s="684"/>
      <c r="PYZ83" s="684"/>
      <c r="PZA83" s="684"/>
      <c r="PZB83" s="684"/>
      <c r="PZC83" s="684"/>
      <c r="PZD83" s="684"/>
      <c r="PZE83" s="684"/>
      <c r="PZF83" s="684"/>
      <c r="PZG83" s="684"/>
      <c r="PZH83" s="684"/>
      <c r="PZI83" s="684"/>
      <c r="PZJ83" s="684"/>
      <c r="PZK83" s="684"/>
      <c r="PZL83" s="684"/>
      <c r="PZM83" s="684"/>
      <c r="PZN83" s="684"/>
      <c r="PZO83" s="684"/>
      <c r="PZP83" s="684"/>
      <c r="PZQ83" s="684"/>
      <c r="PZR83" s="684"/>
      <c r="PZS83" s="684"/>
      <c r="PZT83" s="684"/>
      <c r="PZU83" s="684"/>
      <c r="PZV83" s="684"/>
      <c r="PZW83" s="684"/>
      <c r="PZX83" s="684"/>
      <c r="PZY83" s="684"/>
      <c r="PZZ83" s="684"/>
      <c r="QAA83" s="684"/>
      <c r="QAB83" s="684"/>
      <c r="QAC83" s="684"/>
      <c r="QAD83" s="684"/>
      <c r="QAE83" s="684"/>
      <c r="QAF83" s="684"/>
      <c r="QAG83" s="684"/>
      <c r="QAH83" s="684"/>
      <c r="QAI83" s="684"/>
      <c r="QAJ83" s="684"/>
      <c r="QAK83" s="684"/>
      <c r="QAL83" s="684"/>
      <c r="QAM83" s="684"/>
      <c r="QAN83" s="684"/>
      <c r="QAO83" s="684"/>
      <c r="QAP83" s="684"/>
      <c r="QAQ83" s="684"/>
      <c r="QAR83" s="684"/>
      <c r="QAS83" s="684"/>
      <c r="QAT83" s="684"/>
      <c r="QAU83" s="684"/>
      <c r="QAV83" s="684"/>
      <c r="QAW83" s="684"/>
      <c r="QAX83" s="684"/>
      <c r="QAY83" s="684"/>
      <c r="QAZ83" s="684"/>
      <c r="QBA83" s="684"/>
      <c r="QBB83" s="684"/>
      <c r="QBC83" s="684"/>
      <c r="QBD83" s="684"/>
      <c r="QBE83" s="684"/>
      <c r="QBF83" s="684"/>
      <c r="QBG83" s="684"/>
      <c r="QBH83" s="684"/>
      <c r="QBI83" s="684"/>
      <c r="QBJ83" s="684"/>
      <c r="QBK83" s="684"/>
      <c r="QBL83" s="684"/>
      <c r="QBM83" s="684"/>
      <c r="QBN83" s="684"/>
      <c r="QBO83" s="684"/>
      <c r="QBP83" s="684"/>
      <c r="QBQ83" s="684"/>
      <c r="QBR83" s="684"/>
      <c r="QBS83" s="684"/>
      <c r="QBT83" s="684"/>
      <c r="QBU83" s="684"/>
      <c r="QBV83" s="684"/>
      <c r="QBW83" s="684"/>
      <c r="QBX83" s="684"/>
      <c r="QBY83" s="684"/>
      <c r="QBZ83" s="684"/>
      <c r="QCA83" s="684"/>
      <c r="QCB83" s="684"/>
      <c r="QCC83" s="684"/>
      <c r="QCD83" s="684"/>
      <c r="QCE83" s="684"/>
      <c r="QCF83" s="684"/>
      <c r="QCG83" s="684"/>
      <c r="QCH83" s="684"/>
      <c r="QCI83" s="684"/>
      <c r="QCJ83" s="684"/>
      <c r="QCK83" s="684"/>
      <c r="QCL83" s="684"/>
      <c r="QCM83" s="684"/>
      <c r="QCN83" s="684"/>
      <c r="QCO83" s="684"/>
      <c r="QCP83" s="684"/>
      <c r="QCQ83" s="684"/>
      <c r="QCR83" s="684"/>
      <c r="QCS83" s="684"/>
      <c r="QCT83" s="684"/>
      <c r="QCU83" s="684"/>
      <c r="QCV83" s="684"/>
      <c r="QCW83" s="684"/>
      <c r="QCX83" s="684"/>
      <c r="QCY83" s="684"/>
      <c r="QCZ83" s="684"/>
      <c r="QDA83" s="684"/>
      <c r="QDB83" s="684"/>
      <c r="QDC83" s="684"/>
      <c r="QDD83" s="684"/>
      <c r="QDE83" s="684"/>
      <c r="QDF83" s="684"/>
      <c r="QDG83" s="684"/>
      <c r="QDH83" s="684"/>
      <c r="QDI83" s="684"/>
      <c r="QDJ83" s="684"/>
      <c r="QDK83" s="684"/>
      <c r="QDL83" s="684"/>
      <c r="QDM83" s="684"/>
      <c r="QDN83" s="684"/>
      <c r="QDO83" s="684"/>
      <c r="QDP83" s="684"/>
      <c r="QDQ83" s="684"/>
      <c r="QDR83" s="684"/>
      <c r="QDS83" s="684"/>
      <c r="QDT83" s="684"/>
      <c r="QDU83" s="684"/>
      <c r="QDV83" s="684"/>
      <c r="QDW83" s="684"/>
      <c r="QDX83" s="684"/>
      <c r="QDY83" s="684"/>
      <c r="QDZ83" s="684"/>
      <c r="QEA83" s="684"/>
      <c r="QEB83" s="684"/>
      <c r="QEC83" s="684"/>
      <c r="QED83" s="684"/>
      <c r="QEE83" s="684"/>
      <c r="QEF83" s="684"/>
      <c r="QEG83" s="684"/>
      <c r="QEH83" s="684"/>
      <c r="QEI83" s="684"/>
      <c r="QEJ83" s="684"/>
      <c r="QEK83" s="684"/>
      <c r="QEL83" s="684"/>
      <c r="QEM83" s="684"/>
      <c r="QEN83" s="684"/>
      <c r="QEO83" s="684"/>
      <c r="QEP83" s="684"/>
      <c r="QEQ83" s="684"/>
      <c r="QER83" s="684"/>
      <c r="QES83" s="684"/>
      <c r="QET83" s="684"/>
      <c r="QEU83" s="684"/>
      <c r="QEV83" s="684"/>
      <c r="QEW83" s="684"/>
      <c r="QEX83" s="684"/>
      <c r="QEY83" s="684"/>
      <c r="QEZ83" s="684"/>
      <c r="QFA83" s="684"/>
      <c r="QFB83" s="684"/>
      <c r="QFC83" s="684"/>
      <c r="QFD83" s="684"/>
      <c r="QFE83" s="684"/>
      <c r="QFF83" s="684"/>
      <c r="QFG83" s="684"/>
      <c r="QFH83" s="684"/>
      <c r="QFI83" s="684"/>
      <c r="QFJ83" s="684"/>
      <c r="QFK83" s="684"/>
      <c r="QFL83" s="684"/>
      <c r="QFM83" s="684"/>
      <c r="QFN83" s="684"/>
      <c r="QFO83" s="684"/>
      <c r="QFP83" s="684"/>
      <c r="QFQ83" s="684"/>
      <c r="QFR83" s="684"/>
      <c r="QFS83" s="684"/>
      <c r="QFT83" s="684"/>
      <c r="QFU83" s="684"/>
      <c r="QFV83" s="684"/>
      <c r="QFW83" s="684"/>
      <c r="QFX83" s="684"/>
      <c r="QFY83" s="684"/>
      <c r="QFZ83" s="684"/>
      <c r="QGA83" s="684"/>
      <c r="QGB83" s="684"/>
      <c r="QGC83" s="684"/>
      <c r="QGD83" s="684"/>
      <c r="QGE83" s="684"/>
      <c r="QGF83" s="684"/>
      <c r="QGG83" s="684"/>
      <c r="QGH83" s="684"/>
      <c r="QGI83" s="684"/>
      <c r="QGJ83" s="684"/>
      <c r="QGK83" s="684"/>
      <c r="QGL83" s="684"/>
      <c r="QGM83" s="684"/>
      <c r="QGN83" s="684"/>
      <c r="QGO83" s="684"/>
      <c r="QGP83" s="684"/>
      <c r="QGQ83" s="684"/>
      <c r="QGR83" s="684"/>
      <c r="QGS83" s="684"/>
      <c r="QGT83" s="684"/>
      <c r="QGU83" s="684"/>
      <c r="QGV83" s="684"/>
      <c r="QGW83" s="684"/>
      <c r="QGX83" s="684"/>
      <c r="QGY83" s="684"/>
      <c r="QGZ83" s="684"/>
      <c r="QHA83" s="684"/>
      <c r="QHB83" s="684"/>
      <c r="QHC83" s="684"/>
      <c r="QHD83" s="684"/>
      <c r="QHE83" s="684"/>
      <c r="QHF83" s="684"/>
      <c r="QHG83" s="684"/>
      <c r="QHH83" s="684"/>
      <c r="QHI83" s="684"/>
      <c r="QHJ83" s="684"/>
      <c r="QHK83" s="684"/>
      <c r="QHL83" s="684"/>
      <c r="QHM83" s="684"/>
      <c r="QHN83" s="684"/>
      <c r="QHO83" s="684"/>
      <c r="QHP83" s="684"/>
      <c r="QHQ83" s="684"/>
      <c r="QHR83" s="684"/>
      <c r="QHS83" s="684"/>
      <c r="QHT83" s="684"/>
      <c r="QHU83" s="684"/>
      <c r="QHV83" s="684"/>
      <c r="QHW83" s="684"/>
      <c r="QHX83" s="684"/>
      <c r="QHY83" s="684"/>
      <c r="QHZ83" s="684"/>
      <c r="QIA83" s="684"/>
      <c r="QIB83" s="684"/>
      <c r="QIC83" s="684"/>
      <c r="QID83" s="684"/>
      <c r="QIE83" s="684"/>
      <c r="QIF83" s="684"/>
      <c r="QIG83" s="684"/>
      <c r="QIH83" s="684"/>
      <c r="QII83" s="684"/>
      <c r="QIJ83" s="684"/>
      <c r="QIK83" s="684"/>
      <c r="QIL83" s="684"/>
      <c r="QIM83" s="684"/>
      <c r="QIN83" s="684"/>
      <c r="QIO83" s="684"/>
      <c r="QIP83" s="684"/>
      <c r="QIQ83" s="684"/>
      <c r="QIR83" s="684"/>
      <c r="QIS83" s="684"/>
      <c r="QIT83" s="684"/>
      <c r="QIU83" s="684"/>
      <c r="QIV83" s="684"/>
      <c r="QIW83" s="684"/>
      <c r="QIX83" s="684"/>
      <c r="QIY83" s="684"/>
      <c r="QIZ83" s="684"/>
      <c r="QJA83" s="684"/>
      <c r="QJB83" s="684"/>
      <c r="QJC83" s="684"/>
      <c r="QJD83" s="684"/>
      <c r="QJE83" s="684"/>
      <c r="QJF83" s="684"/>
      <c r="QJG83" s="684"/>
      <c r="QJH83" s="684"/>
      <c r="QJI83" s="684"/>
      <c r="QJJ83" s="684"/>
      <c r="QJK83" s="684"/>
      <c r="QJL83" s="684"/>
      <c r="QJM83" s="684"/>
      <c r="QJN83" s="684"/>
      <c r="QJO83" s="684"/>
      <c r="QJP83" s="684"/>
      <c r="QJQ83" s="684"/>
      <c r="QJR83" s="684"/>
      <c r="QJS83" s="684"/>
      <c r="QJT83" s="684"/>
      <c r="QJU83" s="684"/>
      <c r="QJV83" s="684"/>
      <c r="QJW83" s="684"/>
      <c r="QJX83" s="684"/>
      <c r="QJY83" s="684"/>
      <c r="QJZ83" s="684"/>
      <c r="QKA83" s="684"/>
      <c r="QKB83" s="684"/>
      <c r="QKC83" s="684"/>
      <c r="QKD83" s="684"/>
      <c r="QKE83" s="684"/>
      <c r="QKF83" s="684"/>
      <c r="QKG83" s="684"/>
      <c r="QKH83" s="684"/>
      <c r="QKI83" s="684"/>
      <c r="QKJ83" s="684"/>
      <c r="QKK83" s="684"/>
      <c r="QKL83" s="684"/>
      <c r="QKM83" s="684"/>
      <c r="QKN83" s="684"/>
      <c r="QKO83" s="684"/>
      <c r="QKP83" s="684"/>
      <c r="QKQ83" s="684"/>
      <c r="QKR83" s="684"/>
      <c r="QKS83" s="684"/>
      <c r="QKT83" s="684"/>
      <c r="QKU83" s="684"/>
      <c r="QKV83" s="684"/>
      <c r="QKW83" s="684"/>
      <c r="QKX83" s="684"/>
      <c r="QKY83" s="684"/>
      <c r="QKZ83" s="684"/>
      <c r="QLA83" s="684"/>
      <c r="QLB83" s="684"/>
      <c r="QLC83" s="684"/>
      <c r="QLD83" s="684"/>
      <c r="QLE83" s="684"/>
      <c r="QLF83" s="684"/>
      <c r="QLG83" s="684"/>
      <c r="QLH83" s="684"/>
      <c r="QLI83" s="684"/>
      <c r="QLJ83" s="684"/>
      <c r="QLK83" s="684"/>
      <c r="QLL83" s="684"/>
      <c r="QLM83" s="684"/>
      <c r="QLN83" s="684"/>
      <c r="QLO83" s="684"/>
      <c r="QLP83" s="684"/>
      <c r="QLQ83" s="684"/>
      <c r="QLR83" s="684"/>
      <c r="QLS83" s="684"/>
      <c r="QLT83" s="684"/>
      <c r="QLU83" s="684"/>
      <c r="QLV83" s="684"/>
      <c r="QLW83" s="684"/>
      <c r="QLX83" s="684"/>
      <c r="QLY83" s="684"/>
      <c r="QLZ83" s="684"/>
      <c r="QMA83" s="684"/>
      <c r="QMB83" s="684"/>
      <c r="QMC83" s="684"/>
      <c r="QMD83" s="684"/>
      <c r="QME83" s="684"/>
      <c r="QMF83" s="684"/>
      <c r="QMG83" s="684"/>
      <c r="QMH83" s="684"/>
      <c r="QMI83" s="684"/>
      <c r="QMJ83" s="684"/>
      <c r="QMK83" s="684"/>
      <c r="QML83" s="684"/>
      <c r="QMM83" s="684"/>
      <c r="QMN83" s="684"/>
      <c r="QMO83" s="684"/>
      <c r="QMP83" s="684"/>
      <c r="QMQ83" s="684"/>
      <c r="QMR83" s="684"/>
      <c r="QMS83" s="684"/>
      <c r="QMT83" s="684"/>
      <c r="QMU83" s="684"/>
      <c r="QMV83" s="684"/>
      <c r="QMW83" s="684"/>
      <c r="QMX83" s="684"/>
      <c r="QMY83" s="684"/>
      <c r="QMZ83" s="684"/>
      <c r="QNA83" s="684"/>
      <c r="QNB83" s="684"/>
      <c r="QNC83" s="684"/>
      <c r="QND83" s="684"/>
      <c r="QNE83" s="684"/>
      <c r="QNF83" s="684"/>
      <c r="QNG83" s="684"/>
      <c r="QNH83" s="684"/>
      <c r="QNI83" s="684"/>
      <c r="QNJ83" s="684"/>
      <c r="QNK83" s="684"/>
      <c r="QNL83" s="684"/>
      <c r="QNM83" s="684"/>
      <c r="QNN83" s="684"/>
      <c r="QNO83" s="684"/>
      <c r="QNP83" s="684"/>
      <c r="QNQ83" s="684"/>
      <c r="QNR83" s="684"/>
      <c r="QNS83" s="684"/>
      <c r="QNT83" s="684"/>
      <c r="QNU83" s="684"/>
      <c r="QNV83" s="684"/>
      <c r="QNW83" s="684"/>
      <c r="QNX83" s="684"/>
      <c r="QNY83" s="684"/>
      <c r="QNZ83" s="684"/>
      <c r="QOA83" s="684"/>
      <c r="QOB83" s="684"/>
      <c r="QOC83" s="684"/>
      <c r="QOD83" s="684"/>
      <c r="QOE83" s="684"/>
      <c r="QOF83" s="684"/>
      <c r="QOG83" s="684"/>
      <c r="QOH83" s="684"/>
      <c r="QOI83" s="684"/>
      <c r="QOJ83" s="684"/>
      <c r="QOK83" s="684"/>
      <c r="QOL83" s="684"/>
      <c r="QOM83" s="684"/>
      <c r="QON83" s="684"/>
      <c r="QOO83" s="684"/>
      <c r="QOP83" s="684"/>
      <c r="QOQ83" s="684"/>
      <c r="QOR83" s="684"/>
      <c r="QOS83" s="684"/>
      <c r="QOT83" s="684"/>
      <c r="QOU83" s="684"/>
      <c r="QOV83" s="684"/>
      <c r="QOW83" s="684"/>
      <c r="QOX83" s="684"/>
      <c r="QOY83" s="684"/>
      <c r="QOZ83" s="684"/>
      <c r="QPA83" s="684"/>
      <c r="QPB83" s="684"/>
      <c r="QPC83" s="684"/>
      <c r="QPD83" s="684"/>
      <c r="QPE83" s="684"/>
      <c r="QPF83" s="684"/>
      <c r="QPG83" s="684"/>
      <c r="QPH83" s="684"/>
      <c r="QPI83" s="684"/>
      <c r="QPJ83" s="684"/>
      <c r="QPK83" s="684"/>
      <c r="QPL83" s="684"/>
      <c r="QPM83" s="684"/>
      <c r="QPN83" s="684"/>
      <c r="QPO83" s="684"/>
      <c r="QPP83" s="684"/>
      <c r="QPQ83" s="684"/>
      <c r="QPR83" s="684"/>
      <c r="QPS83" s="684"/>
      <c r="QPT83" s="684"/>
      <c r="QPU83" s="684"/>
      <c r="QPV83" s="684"/>
      <c r="QPW83" s="684"/>
      <c r="QPX83" s="684"/>
      <c r="QPY83" s="684"/>
      <c r="QPZ83" s="684"/>
      <c r="QQA83" s="684"/>
      <c r="QQB83" s="684"/>
      <c r="QQC83" s="684"/>
      <c r="QQD83" s="684"/>
      <c r="QQE83" s="684"/>
      <c r="QQF83" s="684"/>
      <c r="QQG83" s="684"/>
      <c r="QQH83" s="684"/>
      <c r="QQI83" s="684"/>
      <c r="QQJ83" s="684"/>
      <c r="QQK83" s="684"/>
      <c r="QQL83" s="684"/>
      <c r="QQM83" s="684"/>
      <c r="QQN83" s="684"/>
      <c r="QQO83" s="684"/>
      <c r="QQP83" s="684"/>
      <c r="QQQ83" s="684"/>
      <c r="QQR83" s="684"/>
      <c r="QQS83" s="684"/>
      <c r="QQT83" s="684"/>
      <c r="QQU83" s="684"/>
      <c r="QQV83" s="684"/>
      <c r="QQW83" s="684"/>
      <c r="QQX83" s="684"/>
      <c r="QQY83" s="684"/>
      <c r="QQZ83" s="684"/>
      <c r="QRA83" s="684"/>
      <c r="QRB83" s="684"/>
      <c r="QRC83" s="684"/>
      <c r="QRD83" s="684"/>
      <c r="QRE83" s="684"/>
      <c r="QRF83" s="684"/>
      <c r="QRG83" s="684"/>
      <c r="QRH83" s="684"/>
      <c r="QRI83" s="684"/>
      <c r="QRJ83" s="684"/>
      <c r="QRK83" s="684"/>
      <c r="QRL83" s="684"/>
      <c r="QRM83" s="684"/>
      <c r="QRN83" s="684"/>
      <c r="QRO83" s="684"/>
      <c r="QRP83" s="684"/>
      <c r="QRQ83" s="684"/>
      <c r="QRR83" s="684"/>
      <c r="QRS83" s="684"/>
      <c r="QRT83" s="684"/>
      <c r="QRU83" s="684"/>
      <c r="QRV83" s="684"/>
      <c r="QRW83" s="684"/>
      <c r="QRX83" s="684"/>
      <c r="QRY83" s="684"/>
      <c r="QRZ83" s="684"/>
      <c r="QSA83" s="684"/>
      <c r="QSB83" s="684"/>
      <c r="QSC83" s="684"/>
      <c r="QSD83" s="684"/>
      <c r="QSE83" s="684"/>
      <c r="QSF83" s="684"/>
      <c r="QSG83" s="684"/>
      <c r="QSH83" s="684"/>
      <c r="QSI83" s="684"/>
      <c r="QSJ83" s="684"/>
      <c r="QSK83" s="684"/>
      <c r="QSL83" s="684"/>
      <c r="QSM83" s="684"/>
      <c r="QSN83" s="684"/>
      <c r="QSO83" s="684"/>
      <c r="QSP83" s="684"/>
      <c r="QSQ83" s="684"/>
      <c r="QSR83" s="684"/>
      <c r="QSS83" s="684"/>
      <c r="QST83" s="684"/>
      <c r="QSU83" s="684"/>
      <c r="QSV83" s="684"/>
      <c r="QSW83" s="684"/>
      <c r="QSX83" s="684"/>
      <c r="QSY83" s="684"/>
      <c r="QSZ83" s="684"/>
      <c r="QTA83" s="684"/>
      <c r="QTB83" s="684"/>
      <c r="QTC83" s="684"/>
      <c r="QTD83" s="684"/>
      <c r="QTE83" s="684"/>
      <c r="QTF83" s="684"/>
      <c r="QTG83" s="684"/>
      <c r="QTH83" s="684"/>
      <c r="QTI83" s="684"/>
      <c r="QTJ83" s="684"/>
      <c r="QTK83" s="684"/>
      <c r="QTL83" s="684"/>
      <c r="QTM83" s="684"/>
      <c r="QTN83" s="684"/>
      <c r="QTO83" s="684"/>
      <c r="QTP83" s="684"/>
      <c r="QTQ83" s="684"/>
      <c r="QTR83" s="684"/>
      <c r="QTS83" s="684"/>
      <c r="QTT83" s="684"/>
      <c r="QTU83" s="684"/>
      <c r="QTV83" s="684"/>
      <c r="QTW83" s="684"/>
      <c r="QTX83" s="684"/>
      <c r="QTY83" s="684"/>
      <c r="QTZ83" s="684"/>
      <c r="QUA83" s="684"/>
      <c r="QUB83" s="684"/>
      <c r="QUC83" s="684"/>
      <c r="QUD83" s="684"/>
      <c r="QUE83" s="684"/>
      <c r="QUF83" s="684"/>
      <c r="QUG83" s="684"/>
      <c r="QUH83" s="684"/>
      <c r="QUI83" s="684"/>
      <c r="QUJ83" s="684"/>
      <c r="QUK83" s="684"/>
      <c r="QUL83" s="684"/>
      <c r="QUM83" s="684"/>
      <c r="QUN83" s="684"/>
      <c r="QUO83" s="684"/>
      <c r="QUP83" s="684"/>
      <c r="QUQ83" s="684"/>
      <c r="QUR83" s="684"/>
      <c r="QUS83" s="684"/>
      <c r="QUT83" s="684"/>
      <c r="QUU83" s="684"/>
      <c r="QUV83" s="684"/>
      <c r="QUW83" s="684"/>
      <c r="QUX83" s="684"/>
      <c r="QUY83" s="684"/>
      <c r="QUZ83" s="684"/>
      <c r="QVA83" s="684"/>
      <c r="QVB83" s="684"/>
      <c r="QVC83" s="684"/>
      <c r="QVD83" s="684"/>
      <c r="QVE83" s="684"/>
      <c r="QVF83" s="684"/>
      <c r="QVG83" s="684"/>
      <c r="QVH83" s="684"/>
      <c r="QVI83" s="684"/>
      <c r="QVJ83" s="684"/>
      <c r="QVK83" s="684"/>
      <c r="QVL83" s="684"/>
      <c r="QVM83" s="684"/>
      <c r="QVN83" s="684"/>
      <c r="QVO83" s="684"/>
      <c r="QVP83" s="684"/>
      <c r="QVQ83" s="684"/>
      <c r="QVR83" s="684"/>
      <c r="QVS83" s="684"/>
      <c r="QVT83" s="684"/>
      <c r="QVU83" s="684"/>
      <c r="QVV83" s="684"/>
      <c r="QVW83" s="684"/>
      <c r="QVX83" s="684"/>
      <c r="QVY83" s="684"/>
      <c r="QVZ83" s="684"/>
      <c r="QWA83" s="684"/>
      <c r="QWB83" s="684"/>
      <c r="QWC83" s="684"/>
      <c r="QWD83" s="684"/>
      <c r="QWE83" s="684"/>
      <c r="QWF83" s="684"/>
      <c r="QWG83" s="684"/>
      <c r="QWH83" s="684"/>
      <c r="QWI83" s="684"/>
      <c r="QWJ83" s="684"/>
      <c r="QWK83" s="684"/>
      <c r="QWL83" s="684"/>
      <c r="QWM83" s="684"/>
      <c r="QWN83" s="684"/>
      <c r="QWO83" s="684"/>
      <c r="QWP83" s="684"/>
      <c r="QWQ83" s="684"/>
      <c r="QWR83" s="684"/>
      <c r="QWS83" s="684"/>
      <c r="QWT83" s="684"/>
      <c r="QWU83" s="684"/>
      <c r="QWV83" s="684"/>
      <c r="QWW83" s="684"/>
      <c r="QWX83" s="684"/>
      <c r="QWY83" s="684"/>
      <c r="QWZ83" s="684"/>
      <c r="QXA83" s="684"/>
      <c r="QXB83" s="684"/>
      <c r="QXC83" s="684"/>
      <c r="QXD83" s="684"/>
      <c r="QXE83" s="684"/>
      <c r="QXF83" s="684"/>
      <c r="QXG83" s="684"/>
      <c r="QXH83" s="684"/>
      <c r="QXI83" s="684"/>
      <c r="QXJ83" s="684"/>
      <c r="QXK83" s="684"/>
      <c r="QXL83" s="684"/>
      <c r="QXM83" s="684"/>
      <c r="QXN83" s="684"/>
      <c r="QXO83" s="684"/>
      <c r="QXP83" s="684"/>
      <c r="QXQ83" s="684"/>
      <c r="QXR83" s="684"/>
      <c r="QXS83" s="684"/>
      <c r="QXT83" s="684"/>
      <c r="QXU83" s="684"/>
      <c r="QXV83" s="684"/>
      <c r="QXW83" s="684"/>
      <c r="QXX83" s="684"/>
      <c r="QXY83" s="684"/>
      <c r="QXZ83" s="684"/>
      <c r="QYA83" s="684"/>
      <c r="QYB83" s="684"/>
      <c r="QYC83" s="684"/>
      <c r="QYD83" s="684"/>
      <c r="QYE83" s="684"/>
      <c r="QYF83" s="684"/>
      <c r="QYG83" s="684"/>
      <c r="QYH83" s="684"/>
      <c r="QYI83" s="684"/>
      <c r="QYJ83" s="684"/>
      <c r="QYK83" s="684"/>
      <c r="QYL83" s="684"/>
      <c r="QYM83" s="684"/>
      <c r="QYN83" s="684"/>
      <c r="QYO83" s="684"/>
      <c r="QYP83" s="684"/>
      <c r="QYQ83" s="684"/>
      <c r="QYR83" s="684"/>
      <c r="QYS83" s="684"/>
      <c r="QYT83" s="684"/>
      <c r="QYU83" s="684"/>
      <c r="QYV83" s="684"/>
      <c r="QYW83" s="684"/>
      <c r="QYX83" s="684"/>
      <c r="QYY83" s="684"/>
      <c r="QYZ83" s="684"/>
      <c r="QZA83" s="684"/>
      <c r="QZB83" s="684"/>
      <c r="QZC83" s="684"/>
      <c r="QZD83" s="684"/>
      <c r="QZE83" s="684"/>
      <c r="QZF83" s="684"/>
      <c r="QZG83" s="684"/>
      <c r="QZH83" s="684"/>
      <c r="QZI83" s="684"/>
      <c r="QZJ83" s="684"/>
      <c r="QZK83" s="684"/>
      <c r="QZL83" s="684"/>
      <c r="QZM83" s="684"/>
      <c r="QZN83" s="684"/>
      <c r="QZO83" s="684"/>
      <c r="QZP83" s="684"/>
      <c r="QZQ83" s="684"/>
      <c r="QZR83" s="684"/>
      <c r="QZS83" s="684"/>
      <c r="QZT83" s="684"/>
      <c r="QZU83" s="684"/>
      <c r="QZV83" s="684"/>
      <c r="QZW83" s="684"/>
      <c r="QZX83" s="684"/>
      <c r="QZY83" s="684"/>
      <c r="QZZ83" s="684"/>
      <c r="RAA83" s="684"/>
      <c r="RAB83" s="684"/>
      <c r="RAC83" s="684"/>
      <c r="RAD83" s="684"/>
      <c r="RAE83" s="684"/>
      <c r="RAF83" s="684"/>
      <c r="RAG83" s="684"/>
      <c r="RAH83" s="684"/>
      <c r="RAI83" s="684"/>
      <c r="RAJ83" s="684"/>
      <c r="RAK83" s="684"/>
      <c r="RAL83" s="684"/>
      <c r="RAM83" s="684"/>
      <c r="RAN83" s="684"/>
      <c r="RAO83" s="684"/>
      <c r="RAP83" s="684"/>
      <c r="RAQ83" s="684"/>
      <c r="RAR83" s="684"/>
      <c r="RAS83" s="684"/>
      <c r="RAT83" s="684"/>
      <c r="RAU83" s="684"/>
      <c r="RAV83" s="684"/>
      <c r="RAW83" s="684"/>
      <c r="RAX83" s="684"/>
      <c r="RAY83" s="684"/>
      <c r="RAZ83" s="684"/>
      <c r="RBA83" s="684"/>
      <c r="RBB83" s="684"/>
      <c r="RBC83" s="684"/>
      <c r="RBD83" s="684"/>
      <c r="RBE83" s="684"/>
      <c r="RBF83" s="684"/>
      <c r="RBG83" s="684"/>
      <c r="RBH83" s="684"/>
      <c r="RBI83" s="684"/>
      <c r="RBJ83" s="684"/>
      <c r="RBK83" s="684"/>
      <c r="RBL83" s="684"/>
      <c r="RBM83" s="684"/>
      <c r="RBN83" s="684"/>
      <c r="RBO83" s="684"/>
      <c r="RBP83" s="684"/>
      <c r="RBQ83" s="684"/>
      <c r="RBR83" s="684"/>
      <c r="RBS83" s="684"/>
      <c r="RBT83" s="684"/>
      <c r="RBU83" s="684"/>
      <c r="RBV83" s="684"/>
      <c r="RBW83" s="684"/>
      <c r="RBX83" s="684"/>
      <c r="RBY83" s="684"/>
      <c r="RBZ83" s="684"/>
      <c r="RCA83" s="684"/>
      <c r="RCB83" s="684"/>
      <c r="RCC83" s="684"/>
      <c r="RCD83" s="684"/>
      <c r="RCE83" s="684"/>
      <c r="RCF83" s="684"/>
      <c r="RCG83" s="684"/>
      <c r="RCH83" s="684"/>
      <c r="RCI83" s="684"/>
      <c r="RCJ83" s="684"/>
      <c r="RCK83" s="684"/>
      <c r="RCL83" s="684"/>
      <c r="RCM83" s="684"/>
      <c r="RCN83" s="684"/>
      <c r="RCO83" s="684"/>
      <c r="RCP83" s="684"/>
      <c r="RCQ83" s="684"/>
      <c r="RCR83" s="684"/>
      <c r="RCS83" s="684"/>
      <c r="RCT83" s="684"/>
      <c r="RCU83" s="684"/>
      <c r="RCV83" s="684"/>
      <c r="RCW83" s="684"/>
      <c r="RCX83" s="684"/>
      <c r="RCY83" s="684"/>
      <c r="RCZ83" s="684"/>
      <c r="RDA83" s="684"/>
      <c r="RDB83" s="684"/>
      <c r="RDC83" s="684"/>
      <c r="RDD83" s="684"/>
      <c r="RDE83" s="684"/>
      <c r="RDF83" s="684"/>
      <c r="RDG83" s="684"/>
      <c r="RDH83" s="684"/>
      <c r="RDI83" s="684"/>
      <c r="RDJ83" s="684"/>
      <c r="RDK83" s="684"/>
      <c r="RDL83" s="684"/>
      <c r="RDM83" s="684"/>
      <c r="RDN83" s="684"/>
      <c r="RDO83" s="684"/>
      <c r="RDP83" s="684"/>
      <c r="RDQ83" s="684"/>
      <c r="RDR83" s="684"/>
      <c r="RDS83" s="684"/>
      <c r="RDT83" s="684"/>
      <c r="RDU83" s="684"/>
      <c r="RDV83" s="684"/>
      <c r="RDW83" s="684"/>
      <c r="RDX83" s="684"/>
      <c r="RDY83" s="684"/>
      <c r="RDZ83" s="684"/>
      <c r="REA83" s="684"/>
      <c r="REB83" s="684"/>
      <c r="REC83" s="684"/>
      <c r="RED83" s="684"/>
      <c r="REE83" s="684"/>
      <c r="REF83" s="684"/>
      <c r="REG83" s="684"/>
      <c r="REH83" s="684"/>
      <c r="REI83" s="684"/>
      <c r="REJ83" s="684"/>
      <c r="REK83" s="684"/>
      <c r="REL83" s="684"/>
      <c r="REM83" s="684"/>
      <c r="REN83" s="684"/>
      <c r="REO83" s="684"/>
      <c r="REP83" s="684"/>
      <c r="REQ83" s="684"/>
      <c r="RER83" s="684"/>
      <c r="RES83" s="684"/>
      <c r="RET83" s="684"/>
      <c r="REU83" s="684"/>
      <c r="REV83" s="684"/>
      <c r="REW83" s="684"/>
      <c r="REX83" s="684"/>
      <c r="REY83" s="684"/>
      <c r="REZ83" s="684"/>
      <c r="RFA83" s="684"/>
      <c r="RFB83" s="684"/>
      <c r="RFC83" s="684"/>
      <c r="RFD83" s="684"/>
      <c r="RFE83" s="684"/>
      <c r="RFF83" s="684"/>
      <c r="RFG83" s="684"/>
      <c r="RFH83" s="684"/>
      <c r="RFI83" s="684"/>
      <c r="RFJ83" s="684"/>
      <c r="RFK83" s="684"/>
      <c r="RFL83" s="684"/>
      <c r="RFM83" s="684"/>
      <c r="RFN83" s="684"/>
      <c r="RFO83" s="684"/>
      <c r="RFP83" s="684"/>
      <c r="RFQ83" s="684"/>
      <c r="RFR83" s="684"/>
      <c r="RFS83" s="684"/>
      <c r="RFT83" s="684"/>
      <c r="RFU83" s="684"/>
      <c r="RFV83" s="684"/>
      <c r="RFW83" s="684"/>
      <c r="RFX83" s="684"/>
      <c r="RFY83" s="684"/>
      <c r="RFZ83" s="684"/>
      <c r="RGA83" s="684"/>
      <c r="RGB83" s="684"/>
      <c r="RGC83" s="684"/>
      <c r="RGD83" s="684"/>
      <c r="RGE83" s="684"/>
      <c r="RGF83" s="684"/>
      <c r="RGG83" s="684"/>
      <c r="RGH83" s="684"/>
      <c r="RGI83" s="684"/>
      <c r="RGJ83" s="684"/>
      <c r="RGK83" s="684"/>
      <c r="RGL83" s="684"/>
      <c r="RGM83" s="684"/>
      <c r="RGN83" s="684"/>
      <c r="RGO83" s="684"/>
      <c r="RGP83" s="684"/>
      <c r="RGQ83" s="684"/>
      <c r="RGR83" s="684"/>
      <c r="RGS83" s="684"/>
      <c r="RGT83" s="684"/>
      <c r="RGU83" s="684"/>
      <c r="RGV83" s="684"/>
      <c r="RGW83" s="684"/>
      <c r="RGX83" s="684"/>
      <c r="RGY83" s="684"/>
      <c r="RGZ83" s="684"/>
      <c r="RHA83" s="684"/>
      <c r="RHB83" s="684"/>
      <c r="RHC83" s="684"/>
      <c r="RHD83" s="684"/>
      <c r="RHE83" s="684"/>
      <c r="RHF83" s="684"/>
      <c r="RHG83" s="684"/>
      <c r="RHH83" s="684"/>
      <c r="RHI83" s="684"/>
      <c r="RHJ83" s="684"/>
      <c r="RHK83" s="684"/>
      <c r="RHL83" s="684"/>
      <c r="RHM83" s="684"/>
      <c r="RHN83" s="684"/>
      <c r="RHO83" s="684"/>
      <c r="RHP83" s="684"/>
      <c r="RHQ83" s="684"/>
      <c r="RHR83" s="684"/>
      <c r="RHS83" s="684"/>
      <c r="RHT83" s="684"/>
      <c r="RHU83" s="684"/>
      <c r="RHV83" s="684"/>
      <c r="RHW83" s="684"/>
      <c r="RHX83" s="684"/>
      <c r="RHY83" s="684"/>
      <c r="RHZ83" s="684"/>
      <c r="RIA83" s="684"/>
      <c r="RIB83" s="684"/>
      <c r="RIC83" s="684"/>
      <c r="RID83" s="684"/>
      <c r="RIE83" s="684"/>
      <c r="RIF83" s="684"/>
      <c r="RIG83" s="684"/>
      <c r="RIH83" s="684"/>
      <c r="RII83" s="684"/>
      <c r="RIJ83" s="684"/>
      <c r="RIK83" s="684"/>
      <c r="RIL83" s="684"/>
      <c r="RIM83" s="684"/>
      <c r="RIN83" s="684"/>
      <c r="RIO83" s="684"/>
      <c r="RIP83" s="684"/>
      <c r="RIQ83" s="684"/>
      <c r="RIR83" s="684"/>
      <c r="RIS83" s="684"/>
      <c r="RIT83" s="684"/>
      <c r="RIU83" s="684"/>
      <c r="RIV83" s="684"/>
      <c r="RIW83" s="684"/>
      <c r="RIX83" s="684"/>
      <c r="RIY83" s="684"/>
      <c r="RIZ83" s="684"/>
      <c r="RJA83" s="684"/>
      <c r="RJB83" s="684"/>
      <c r="RJC83" s="684"/>
      <c r="RJD83" s="684"/>
      <c r="RJE83" s="684"/>
      <c r="RJF83" s="684"/>
      <c r="RJG83" s="684"/>
      <c r="RJH83" s="684"/>
      <c r="RJI83" s="684"/>
      <c r="RJJ83" s="684"/>
      <c r="RJK83" s="684"/>
      <c r="RJL83" s="684"/>
      <c r="RJM83" s="684"/>
      <c r="RJN83" s="684"/>
      <c r="RJO83" s="684"/>
      <c r="RJP83" s="684"/>
      <c r="RJQ83" s="684"/>
      <c r="RJR83" s="684"/>
      <c r="RJS83" s="684"/>
      <c r="RJT83" s="684"/>
      <c r="RJU83" s="684"/>
      <c r="RJV83" s="684"/>
      <c r="RJW83" s="684"/>
      <c r="RJX83" s="684"/>
      <c r="RJY83" s="684"/>
      <c r="RJZ83" s="684"/>
      <c r="RKA83" s="684"/>
      <c r="RKB83" s="684"/>
      <c r="RKC83" s="684"/>
      <c r="RKD83" s="684"/>
      <c r="RKE83" s="684"/>
      <c r="RKF83" s="684"/>
      <c r="RKG83" s="684"/>
      <c r="RKH83" s="684"/>
      <c r="RKI83" s="684"/>
      <c r="RKJ83" s="684"/>
      <c r="RKK83" s="684"/>
      <c r="RKL83" s="684"/>
      <c r="RKM83" s="684"/>
      <c r="RKN83" s="684"/>
      <c r="RKO83" s="684"/>
      <c r="RKP83" s="684"/>
      <c r="RKQ83" s="684"/>
      <c r="RKR83" s="684"/>
      <c r="RKS83" s="684"/>
      <c r="RKT83" s="684"/>
      <c r="RKU83" s="684"/>
      <c r="RKV83" s="684"/>
      <c r="RKW83" s="684"/>
      <c r="RKX83" s="684"/>
      <c r="RKY83" s="684"/>
      <c r="RKZ83" s="684"/>
      <c r="RLA83" s="684"/>
      <c r="RLB83" s="684"/>
      <c r="RLC83" s="684"/>
      <c r="RLD83" s="684"/>
      <c r="RLE83" s="684"/>
      <c r="RLF83" s="684"/>
      <c r="RLG83" s="684"/>
      <c r="RLH83" s="684"/>
      <c r="RLI83" s="684"/>
      <c r="RLJ83" s="684"/>
      <c r="RLK83" s="684"/>
      <c r="RLL83" s="684"/>
      <c r="RLM83" s="684"/>
      <c r="RLN83" s="684"/>
      <c r="RLO83" s="684"/>
      <c r="RLP83" s="684"/>
      <c r="RLQ83" s="684"/>
      <c r="RLR83" s="684"/>
      <c r="RLS83" s="684"/>
      <c r="RLT83" s="684"/>
      <c r="RLU83" s="684"/>
      <c r="RLV83" s="684"/>
      <c r="RLW83" s="684"/>
      <c r="RLX83" s="684"/>
      <c r="RLY83" s="684"/>
      <c r="RLZ83" s="684"/>
      <c r="RMA83" s="684"/>
      <c r="RMB83" s="684"/>
      <c r="RMC83" s="684"/>
      <c r="RMD83" s="684"/>
      <c r="RME83" s="684"/>
      <c r="RMF83" s="684"/>
      <c r="RMG83" s="684"/>
      <c r="RMH83" s="684"/>
      <c r="RMI83" s="684"/>
      <c r="RMJ83" s="684"/>
      <c r="RMK83" s="684"/>
      <c r="RML83" s="684"/>
      <c r="RMM83" s="684"/>
      <c r="RMN83" s="684"/>
      <c r="RMO83" s="684"/>
      <c r="RMP83" s="684"/>
      <c r="RMQ83" s="684"/>
      <c r="RMR83" s="684"/>
      <c r="RMS83" s="684"/>
      <c r="RMT83" s="684"/>
      <c r="RMU83" s="684"/>
      <c r="RMV83" s="684"/>
      <c r="RMW83" s="684"/>
      <c r="RMX83" s="684"/>
      <c r="RMY83" s="684"/>
      <c r="RMZ83" s="684"/>
      <c r="RNA83" s="684"/>
      <c r="RNB83" s="684"/>
      <c r="RNC83" s="684"/>
      <c r="RND83" s="684"/>
      <c r="RNE83" s="684"/>
      <c r="RNF83" s="684"/>
      <c r="RNG83" s="684"/>
      <c r="RNH83" s="684"/>
      <c r="RNI83" s="684"/>
      <c r="RNJ83" s="684"/>
      <c r="RNK83" s="684"/>
      <c r="RNL83" s="684"/>
      <c r="RNM83" s="684"/>
      <c r="RNN83" s="684"/>
      <c r="RNO83" s="684"/>
      <c r="RNP83" s="684"/>
      <c r="RNQ83" s="684"/>
      <c r="RNR83" s="684"/>
      <c r="RNS83" s="684"/>
      <c r="RNT83" s="684"/>
      <c r="RNU83" s="684"/>
      <c r="RNV83" s="684"/>
      <c r="RNW83" s="684"/>
      <c r="RNX83" s="684"/>
      <c r="RNY83" s="684"/>
      <c r="RNZ83" s="684"/>
      <c r="ROA83" s="684"/>
      <c r="ROB83" s="684"/>
      <c r="ROC83" s="684"/>
      <c r="ROD83" s="684"/>
      <c r="ROE83" s="684"/>
      <c r="ROF83" s="684"/>
      <c r="ROG83" s="684"/>
      <c r="ROH83" s="684"/>
      <c r="ROI83" s="684"/>
      <c r="ROJ83" s="684"/>
      <c r="ROK83" s="684"/>
      <c r="ROL83" s="684"/>
      <c r="ROM83" s="684"/>
      <c r="RON83" s="684"/>
      <c r="ROO83" s="684"/>
      <c r="ROP83" s="684"/>
      <c r="ROQ83" s="684"/>
      <c r="ROR83" s="684"/>
      <c r="ROS83" s="684"/>
      <c r="ROT83" s="684"/>
      <c r="ROU83" s="684"/>
      <c r="ROV83" s="684"/>
      <c r="ROW83" s="684"/>
      <c r="ROX83" s="684"/>
      <c r="ROY83" s="684"/>
      <c r="ROZ83" s="684"/>
      <c r="RPA83" s="684"/>
      <c r="RPB83" s="684"/>
      <c r="RPC83" s="684"/>
      <c r="RPD83" s="684"/>
      <c r="RPE83" s="684"/>
      <c r="RPF83" s="684"/>
      <c r="RPG83" s="684"/>
      <c r="RPH83" s="684"/>
      <c r="RPI83" s="684"/>
      <c r="RPJ83" s="684"/>
      <c r="RPK83" s="684"/>
      <c r="RPL83" s="684"/>
      <c r="RPM83" s="684"/>
      <c r="RPN83" s="684"/>
      <c r="RPO83" s="684"/>
      <c r="RPP83" s="684"/>
      <c r="RPQ83" s="684"/>
      <c r="RPR83" s="684"/>
      <c r="RPS83" s="684"/>
      <c r="RPT83" s="684"/>
      <c r="RPU83" s="684"/>
      <c r="RPV83" s="684"/>
      <c r="RPW83" s="684"/>
      <c r="RPX83" s="684"/>
      <c r="RPY83" s="684"/>
      <c r="RPZ83" s="684"/>
      <c r="RQA83" s="684"/>
      <c r="RQB83" s="684"/>
      <c r="RQC83" s="684"/>
      <c r="RQD83" s="684"/>
      <c r="RQE83" s="684"/>
      <c r="RQF83" s="684"/>
      <c r="RQG83" s="684"/>
      <c r="RQH83" s="684"/>
      <c r="RQI83" s="684"/>
      <c r="RQJ83" s="684"/>
      <c r="RQK83" s="684"/>
      <c r="RQL83" s="684"/>
      <c r="RQM83" s="684"/>
      <c r="RQN83" s="684"/>
      <c r="RQO83" s="684"/>
      <c r="RQP83" s="684"/>
      <c r="RQQ83" s="684"/>
      <c r="RQR83" s="684"/>
      <c r="RQS83" s="684"/>
      <c r="RQT83" s="684"/>
      <c r="RQU83" s="684"/>
      <c r="RQV83" s="684"/>
      <c r="RQW83" s="684"/>
      <c r="RQX83" s="684"/>
      <c r="RQY83" s="684"/>
      <c r="RQZ83" s="684"/>
      <c r="RRA83" s="684"/>
      <c r="RRB83" s="684"/>
      <c r="RRC83" s="684"/>
      <c r="RRD83" s="684"/>
      <c r="RRE83" s="684"/>
      <c r="RRF83" s="684"/>
      <c r="RRG83" s="684"/>
      <c r="RRH83" s="684"/>
      <c r="RRI83" s="684"/>
      <c r="RRJ83" s="684"/>
      <c r="RRK83" s="684"/>
      <c r="RRL83" s="684"/>
      <c r="RRM83" s="684"/>
      <c r="RRN83" s="684"/>
      <c r="RRO83" s="684"/>
      <c r="RRP83" s="684"/>
      <c r="RRQ83" s="684"/>
      <c r="RRR83" s="684"/>
      <c r="RRS83" s="684"/>
      <c r="RRT83" s="684"/>
      <c r="RRU83" s="684"/>
      <c r="RRV83" s="684"/>
      <c r="RRW83" s="684"/>
      <c r="RRX83" s="684"/>
      <c r="RRY83" s="684"/>
      <c r="RRZ83" s="684"/>
      <c r="RSA83" s="684"/>
      <c r="RSB83" s="684"/>
      <c r="RSC83" s="684"/>
      <c r="RSD83" s="684"/>
      <c r="RSE83" s="684"/>
      <c r="RSF83" s="684"/>
      <c r="RSG83" s="684"/>
      <c r="RSH83" s="684"/>
      <c r="RSI83" s="684"/>
      <c r="RSJ83" s="684"/>
      <c r="RSK83" s="684"/>
      <c r="RSL83" s="684"/>
      <c r="RSM83" s="684"/>
      <c r="RSN83" s="684"/>
      <c r="RSO83" s="684"/>
      <c r="RSP83" s="684"/>
      <c r="RSQ83" s="684"/>
      <c r="RSR83" s="684"/>
      <c r="RSS83" s="684"/>
      <c r="RST83" s="684"/>
      <c r="RSU83" s="684"/>
      <c r="RSV83" s="684"/>
      <c r="RSW83" s="684"/>
      <c r="RSX83" s="684"/>
      <c r="RSY83" s="684"/>
      <c r="RSZ83" s="684"/>
      <c r="RTA83" s="684"/>
      <c r="RTB83" s="684"/>
      <c r="RTC83" s="684"/>
      <c r="RTD83" s="684"/>
      <c r="RTE83" s="684"/>
      <c r="RTF83" s="684"/>
      <c r="RTG83" s="684"/>
      <c r="RTH83" s="684"/>
      <c r="RTI83" s="684"/>
      <c r="RTJ83" s="684"/>
      <c r="RTK83" s="684"/>
      <c r="RTL83" s="684"/>
      <c r="RTM83" s="684"/>
      <c r="RTN83" s="684"/>
      <c r="RTO83" s="684"/>
      <c r="RTP83" s="684"/>
      <c r="RTQ83" s="684"/>
      <c r="RTR83" s="684"/>
      <c r="RTS83" s="684"/>
      <c r="RTT83" s="684"/>
      <c r="RTU83" s="684"/>
      <c r="RTV83" s="684"/>
      <c r="RTW83" s="684"/>
      <c r="RTX83" s="684"/>
      <c r="RTY83" s="684"/>
      <c r="RTZ83" s="684"/>
      <c r="RUA83" s="684"/>
      <c r="RUB83" s="684"/>
      <c r="RUC83" s="684"/>
      <c r="RUD83" s="684"/>
      <c r="RUE83" s="684"/>
      <c r="RUF83" s="684"/>
      <c r="RUG83" s="684"/>
      <c r="RUH83" s="684"/>
      <c r="RUI83" s="684"/>
      <c r="RUJ83" s="684"/>
      <c r="RUK83" s="684"/>
      <c r="RUL83" s="684"/>
      <c r="RUM83" s="684"/>
      <c r="RUN83" s="684"/>
      <c r="RUO83" s="684"/>
      <c r="RUP83" s="684"/>
      <c r="RUQ83" s="684"/>
      <c r="RUR83" s="684"/>
      <c r="RUS83" s="684"/>
      <c r="RUT83" s="684"/>
      <c r="RUU83" s="684"/>
      <c r="RUV83" s="684"/>
      <c r="RUW83" s="684"/>
      <c r="RUX83" s="684"/>
      <c r="RUY83" s="684"/>
      <c r="RUZ83" s="684"/>
      <c r="RVA83" s="684"/>
      <c r="RVB83" s="684"/>
      <c r="RVC83" s="684"/>
      <c r="RVD83" s="684"/>
      <c r="RVE83" s="684"/>
      <c r="RVF83" s="684"/>
      <c r="RVG83" s="684"/>
      <c r="RVH83" s="684"/>
      <c r="RVI83" s="684"/>
      <c r="RVJ83" s="684"/>
      <c r="RVK83" s="684"/>
      <c r="RVL83" s="684"/>
      <c r="RVM83" s="684"/>
      <c r="RVN83" s="684"/>
      <c r="RVO83" s="684"/>
      <c r="RVP83" s="684"/>
      <c r="RVQ83" s="684"/>
      <c r="RVR83" s="684"/>
      <c r="RVS83" s="684"/>
      <c r="RVT83" s="684"/>
      <c r="RVU83" s="684"/>
      <c r="RVV83" s="684"/>
      <c r="RVW83" s="684"/>
      <c r="RVX83" s="684"/>
      <c r="RVY83" s="684"/>
      <c r="RVZ83" s="684"/>
      <c r="RWA83" s="684"/>
      <c r="RWB83" s="684"/>
      <c r="RWC83" s="684"/>
      <c r="RWD83" s="684"/>
      <c r="RWE83" s="684"/>
      <c r="RWF83" s="684"/>
      <c r="RWG83" s="684"/>
      <c r="RWH83" s="684"/>
      <c r="RWI83" s="684"/>
      <c r="RWJ83" s="684"/>
      <c r="RWK83" s="684"/>
      <c r="RWL83" s="684"/>
      <c r="RWM83" s="684"/>
      <c r="RWN83" s="684"/>
      <c r="RWO83" s="684"/>
      <c r="RWP83" s="684"/>
      <c r="RWQ83" s="684"/>
      <c r="RWR83" s="684"/>
      <c r="RWS83" s="684"/>
      <c r="RWT83" s="684"/>
      <c r="RWU83" s="684"/>
      <c r="RWV83" s="684"/>
      <c r="RWW83" s="684"/>
      <c r="RWX83" s="684"/>
      <c r="RWY83" s="684"/>
      <c r="RWZ83" s="684"/>
      <c r="RXA83" s="684"/>
      <c r="RXB83" s="684"/>
      <c r="RXC83" s="684"/>
      <c r="RXD83" s="684"/>
      <c r="RXE83" s="684"/>
      <c r="RXF83" s="684"/>
      <c r="RXG83" s="684"/>
      <c r="RXH83" s="684"/>
      <c r="RXI83" s="684"/>
      <c r="RXJ83" s="684"/>
      <c r="RXK83" s="684"/>
      <c r="RXL83" s="684"/>
      <c r="RXM83" s="684"/>
      <c r="RXN83" s="684"/>
      <c r="RXO83" s="684"/>
      <c r="RXP83" s="684"/>
      <c r="RXQ83" s="684"/>
      <c r="RXR83" s="684"/>
      <c r="RXS83" s="684"/>
      <c r="RXT83" s="684"/>
      <c r="RXU83" s="684"/>
      <c r="RXV83" s="684"/>
      <c r="RXW83" s="684"/>
      <c r="RXX83" s="684"/>
      <c r="RXY83" s="684"/>
      <c r="RXZ83" s="684"/>
      <c r="RYA83" s="684"/>
      <c r="RYB83" s="684"/>
      <c r="RYC83" s="684"/>
      <c r="RYD83" s="684"/>
      <c r="RYE83" s="684"/>
      <c r="RYF83" s="684"/>
      <c r="RYG83" s="684"/>
      <c r="RYH83" s="684"/>
      <c r="RYI83" s="684"/>
      <c r="RYJ83" s="684"/>
      <c r="RYK83" s="684"/>
      <c r="RYL83" s="684"/>
      <c r="RYM83" s="684"/>
      <c r="RYN83" s="684"/>
      <c r="RYO83" s="684"/>
      <c r="RYP83" s="684"/>
      <c r="RYQ83" s="684"/>
      <c r="RYR83" s="684"/>
      <c r="RYS83" s="684"/>
      <c r="RYT83" s="684"/>
      <c r="RYU83" s="684"/>
      <c r="RYV83" s="684"/>
      <c r="RYW83" s="684"/>
      <c r="RYX83" s="684"/>
      <c r="RYY83" s="684"/>
      <c r="RYZ83" s="684"/>
      <c r="RZA83" s="684"/>
      <c r="RZB83" s="684"/>
      <c r="RZC83" s="684"/>
      <c r="RZD83" s="684"/>
      <c r="RZE83" s="684"/>
      <c r="RZF83" s="684"/>
      <c r="RZG83" s="684"/>
      <c r="RZH83" s="684"/>
      <c r="RZI83" s="684"/>
      <c r="RZJ83" s="684"/>
      <c r="RZK83" s="684"/>
      <c r="RZL83" s="684"/>
      <c r="RZM83" s="684"/>
      <c r="RZN83" s="684"/>
      <c r="RZO83" s="684"/>
      <c r="RZP83" s="684"/>
      <c r="RZQ83" s="684"/>
      <c r="RZR83" s="684"/>
      <c r="RZS83" s="684"/>
      <c r="RZT83" s="684"/>
      <c r="RZU83" s="684"/>
      <c r="RZV83" s="684"/>
      <c r="RZW83" s="684"/>
      <c r="RZX83" s="684"/>
      <c r="RZY83" s="684"/>
      <c r="RZZ83" s="684"/>
      <c r="SAA83" s="684"/>
      <c r="SAB83" s="684"/>
      <c r="SAC83" s="684"/>
      <c r="SAD83" s="684"/>
      <c r="SAE83" s="684"/>
      <c r="SAF83" s="684"/>
      <c r="SAG83" s="684"/>
      <c r="SAH83" s="684"/>
      <c r="SAI83" s="684"/>
      <c r="SAJ83" s="684"/>
      <c r="SAK83" s="684"/>
      <c r="SAL83" s="684"/>
      <c r="SAM83" s="684"/>
      <c r="SAN83" s="684"/>
      <c r="SAO83" s="684"/>
      <c r="SAP83" s="684"/>
      <c r="SAQ83" s="684"/>
      <c r="SAR83" s="684"/>
      <c r="SAS83" s="684"/>
      <c r="SAT83" s="684"/>
      <c r="SAU83" s="684"/>
      <c r="SAV83" s="684"/>
      <c r="SAW83" s="684"/>
      <c r="SAX83" s="684"/>
      <c r="SAY83" s="684"/>
      <c r="SAZ83" s="684"/>
      <c r="SBA83" s="684"/>
      <c r="SBB83" s="684"/>
      <c r="SBC83" s="684"/>
      <c r="SBD83" s="684"/>
      <c r="SBE83" s="684"/>
      <c r="SBF83" s="684"/>
      <c r="SBG83" s="684"/>
      <c r="SBH83" s="684"/>
      <c r="SBI83" s="684"/>
      <c r="SBJ83" s="684"/>
      <c r="SBK83" s="684"/>
      <c r="SBL83" s="684"/>
      <c r="SBM83" s="684"/>
      <c r="SBN83" s="684"/>
      <c r="SBO83" s="684"/>
      <c r="SBP83" s="684"/>
      <c r="SBQ83" s="684"/>
      <c r="SBR83" s="684"/>
      <c r="SBS83" s="684"/>
      <c r="SBT83" s="684"/>
      <c r="SBU83" s="684"/>
      <c r="SBV83" s="684"/>
      <c r="SBW83" s="684"/>
      <c r="SBX83" s="684"/>
      <c r="SBY83" s="684"/>
      <c r="SBZ83" s="684"/>
      <c r="SCA83" s="684"/>
      <c r="SCB83" s="684"/>
      <c r="SCC83" s="684"/>
      <c r="SCD83" s="684"/>
      <c r="SCE83" s="684"/>
      <c r="SCF83" s="684"/>
      <c r="SCG83" s="684"/>
      <c r="SCH83" s="684"/>
      <c r="SCI83" s="684"/>
      <c r="SCJ83" s="684"/>
      <c r="SCK83" s="684"/>
      <c r="SCL83" s="684"/>
      <c r="SCM83" s="684"/>
      <c r="SCN83" s="684"/>
      <c r="SCO83" s="684"/>
      <c r="SCP83" s="684"/>
      <c r="SCQ83" s="684"/>
      <c r="SCR83" s="684"/>
      <c r="SCS83" s="684"/>
      <c r="SCT83" s="684"/>
      <c r="SCU83" s="684"/>
      <c r="SCV83" s="684"/>
      <c r="SCW83" s="684"/>
      <c r="SCX83" s="684"/>
      <c r="SCY83" s="684"/>
      <c r="SCZ83" s="684"/>
      <c r="SDA83" s="684"/>
      <c r="SDB83" s="684"/>
      <c r="SDC83" s="684"/>
      <c r="SDD83" s="684"/>
      <c r="SDE83" s="684"/>
      <c r="SDF83" s="684"/>
      <c r="SDG83" s="684"/>
      <c r="SDH83" s="684"/>
      <c r="SDI83" s="684"/>
      <c r="SDJ83" s="684"/>
      <c r="SDK83" s="684"/>
      <c r="SDL83" s="684"/>
      <c r="SDM83" s="684"/>
      <c r="SDN83" s="684"/>
      <c r="SDO83" s="684"/>
      <c r="SDP83" s="684"/>
      <c r="SDQ83" s="684"/>
      <c r="SDR83" s="684"/>
      <c r="SDS83" s="684"/>
      <c r="SDT83" s="684"/>
      <c r="SDU83" s="684"/>
      <c r="SDV83" s="684"/>
      <c r="SDW83" s="684"/>
      <c r="SDX83" s="684"/>
      <c r="SDY83" s="684"/>
      <c r="SDZ83" s="684"/>
      <c r="SEA83" s="684"/>
      <c r="SEB83" s="684"/>
      <c r="SEC83" s="684"/>
      <c r="SED83" s="684"/>
      <c r="SEE83" s="684"/>
      <c r="SEF83" s="684"/>
      <c r="SEG83" s="684"/>
      <c r="SEH83" s="684"/>
      <c r="SEI83" s="684"/>
      <c r="SEJ83" s="684"/>
      <c r="SEK83" s="684"/>
      <c r="SEL83" s="684"/>
      <c r="SEM83" s="684"/>
      <c r="SEN83" s="684"/>
      <c r="SEO83" s="684"/>
      <c r="SEP83" s="684"/>
      <c r="SEQ83" s="684"/>
      <c r="SER83" s="684"/>
      <c r="SES83" s="684"/>
      <c r="SET83" s="684"/>
      <c r="SEU83" s="684"/>
      <c r="SEV83" s="684"/>
      <c r="SEW83" s="684"/>
      <c r="SEX83" s="684"/>
      <c r="SEY83" s="684"/>
      <c r="SEZ83" s="684"/>
      <c r="SFA83" s="684"/>
      <c r="SFB83" s="684"/>
      <c r="SFC83" s="684"/>
      <c r="SFD83" s="684"/>
      <c r="SFE83" s="684"/>
      <c r="SFF83" s="684"/>
      <c r="SFG83" s="684"/>
      <c r="SFH83" s="684"/>
      <c r="SFI83" s="684"/>
      <c r="SFJ83" s="684"/>
      <c r="SFK83" s="684"/>
      <c r="SFL83" s="684"/>
      <c r="SFM83" s="684"/>
      <c r="SFN83" s="684"/>
      <c r="SFO83" s="684"/>
      <c r="SFP83" s="684"/>
      <c r="SFQ83" s="684"/>
      <c r="SFR83" s="684"/>
      <c r="SFS83" s="684"/>
      <c r="SFT83" s="684"/>
      <c r="SFU83" s="684"/>
      <c r="SFV83" s="684"/>
      <c r="SFW83" s="684"/>
      <c r="SFX83" s="684"/>
      <c r="SFY83" s="684"/>
      <c r="SFZ83" s="684"/>
      <c r="SGA83" s="684"/>
      <c r="SGB83" s="684"/>
      <c r="SGC83" s="684"/>
      <c r="SGD83" s="684"/>
      <c r="SGE83" s="684"/>
      <c r="SGF83" s="684"/>
      <c r="SGG83" s="684"/>
      <c r="SGH83" s="684"/>
      <c r="SGI83" s="684"/>
      <c r="SGJ83" s="684"/>
      <c r="SGK83" s="684"/>
      <c r="SGL83" s="684"/>
      <c r="SGM83" s="684"/>
      <c r="SGN83" s="684"/>
      <c r="SGO83" s="684"/>
      <c r="SGP83" s="684"/>
      <c r="SGQ83" s="684"/>
      <c r="SGR83" s="684"/>
      <c r="SGS83" s="684"/>
      <c r="SGT83" s="684"/>
      <c r="SGU83" s="684"/>
      <c r="SGV83" s="684"/>
      <c r="SGW83" s="684"/>
      <c r="SGX83" s="684"/>
      <c r="SGY83" s="684"/>
      <c r="SGZ83" s="684"/>
      <c r="SHA83" s="684"/>
      <c r="SHB83" s="684"/>
      <c r="SHC83" s="684"/>
      <c r="SHD83" s="684"/>
      <c r="SHE83" s="684"/>
      <c r="SHF83" s="684"/>
      <c r="SHG83" s="684"/>
      <c r="SHH83" s="684"/>
      <c r="SHI83" s="684"/>
      <c r="SHJ83" s="684"/>
      <c r="SHK83" s="684"/>
      <c r="SHL83" s="684"/>
      <c r="SHM83" s="684"/>
      <c r="SHN83" s="684"/>
      <c r="SHO83" s="684"/>
      <c r="SHP83" s="684"/>
      <c r="SHQ83" s="684"/>
      <c r="SHR83" s="684"/>
      <c r="SHS83" s="684"/>
      <c r="SHT83" s="684"/>
      <c r="SHU83" s="684"/>
      <c r="SHV83" s="684"/>
      <c r="SHW83" s="684"/>
      <c r="SHX83" s="684"/>
      <c r="SHY83" s="684"/>
      <c r="SHZ83" s="684"/>
      <c r="SIA83" s="684"/>
      <c r="SIB83" s="684"/>
      <c r="SIC83" s="684"/>
      <c r="SID83" s="684"/>
      <c r="SIE83" s="684"/>
      <c r="SIF83" s="684"/>
      <c r="SIG83" s="684"/>
      <c r="SIH83" s="684"/>
      <c r="SII83" s="684"/>
      <c r="SIJ83" s="684"/>
      <c r="SIK83" s="684"/>
      <c r="SIL83" s="684"/>
      <c r="SIM83" s="684"/>
      <c r="SIN83" s="684"/>
      <c r="SIO83" s="684"/>
      <c r="SIP83" s="684"/>
      <c r="SIQ83" s="684"/>
      <c r="SIR83" s="684"/>
      <c r="SIS83" s="684"/>
      <c r="SIT83" s="684"/>
      <c r="SIU83" s="684"/>
      <c r="SIV83" s="684"/>
      <c r="SIW83" s="684"/>
      <c r="SIX83" s="684"/>
      <c r="SIY83" s="684"/>
      <c r="SIZ83" s="684"/>
      <c r="SJA83" s="684"/>
      <c r="SJB83" s="684"/>
      <c r="SJC83" s="684"/>
      <c r="SJD83" s="684"/>
      <c r="SJE83" s="684"/>
      <c r="SJF83" s="684"/>
      <c r="SJG83" s="684"/>
      <c r="SJH83" s="684"/>
      <c r="SJI83" s="684"/>
      <c r="SJJ83" s="684"/>
      <c r="SJK83" s="684"/>
      <c r="SJL83" s="684"/>
      <c r="SJM83" s="684"/>
      <c r="SJN83" s="684"/>
      <c r="SJO83" s="684"/>
      <c r="SJP83" s="684"/>
      <c r="SJQ83" s="684"/>
      <c r="SJR83" s="684"/>
      <c r="SJS83" s="684"/>
      <c r="SJT83" s="684"/>
      <c r="SJU83" s="684"/>
      <c r="SJV83" s="684"/>
      <c r="SJW83" s="684"/>
      <c r="SJX83" s="684"/>
      <c r="SJY83" s="684"/>
      <c r="SJZ83" s="684"/>
      <c r="SKA83" s="684"/>
      <c r="SKB83" s="684"/>
      <c r="SKC83" s="684"/>
      <c r="SKD83" s="684"/>
      <c r="SKE83" s="684"/>
      <c r="SKF83" s="684"/>
      <c r="SKG83" s="684"/>
      <c r="SKH83" s="684"/>
      <c r="SKI83" s="684"/>
      <c r="SKJ83" s="684"/>
      <c r="SKK83" s="684"/>
      <c r="SKL83" s="684"/>
      <c r="SKM83" s="684"/>
      <c r="SKN83" s="684"/>
      <c r="SKO83" s="684"/>
      <c r="SKP83" s="684"/>
      <c r="SKQ83" s="684"/>
      <c r="SKR83" s="684"/>
      <c r="SKS83" s="684"/>
      <c r="SKT83" s="684"/>
      <c r="SKU83" s="684"/>
      <c r="SKV83" s="684"/>
      <c r="SKW83" s="684"/>
      <c r="SKX83" s="684"/>
      <c r="SKY83" s="684"/>
      <c r="SKZ83" s="684"/>
      <c r="SLA83" s="684"/>
      <c r="SLB83" s="684"/>
      <c r="SLC83" s="684"/>
      <c r="SLD83" s="684"/>
      <c r="SLE83" s="684"/>
      <c r="SLF83" s="684"/>
      <c r="SLG83" s="684"/>
      <c r="SLH83" s="684"/>
      <c r="SLI83" s="684"/>
      <c r="SLJ83" s="684"/>
      <c r="SLK83" s="684"/>
      <c r="SLL83" s="684"/>
      <c r="SLM83" s="684"/>
      <c r="SLN83" s="684"/>
      <c r="SLO83" s="684"/>
      <c r="SLP83" s="684"/>
      <c r="SLQ83" s="684"/>
      <c r="SLR83" s="684"/>
      <c r="SLS83" s="684"/>
      <c r="SLT83" s="684"/>
      <c r="SLU83" s="684"/>
      <c r="SLV83" s="684"/>
      <c r="SLW83" s="684"/>
      <c r="SLX83" s="684"/>
      <c r="SLY83" s="684"/>
      <c r="SLZ83" s="684"/>
      <c r="SMA83" s="684"/>
      <c r="SMB83" s="684"/>
      <c r="SMC83" s="684"/>
      <c r="SMD83" s="684"/>
      <c r="SME83" s="684"/>
      <c r="SMF83" s="684"/>
      <c r="SMG83" s="684"/>
      <c r="SMH83" s="684"/>
      <c r="SMI83" s="684"/>
      <c r="SMJ83" s="684"/>
      <c r="SMK83" s="684"/>
      <c r="SML83" s="684"/>
      <c r="SMM83" s="684"/>
      <c r="SMN83" s="684"/>
      <c r="SMO83" s="684"/>
      <c r="SMP83" s="684"/>
      <c r="SMQ83" s="684"/>
      <c r="SMR83" s="684"/>
      <c r="SMS83" s="684"/>
      <c r="SMT83" s="684"/>
      <c r="SMU83" s="684"/>
      <c r="SMV83" s="684"/>
      <c r="SMW83" s="684"/>
      <c r="SMX83" s="684"/>
      <c r="SMY83" s="684"/>
      <c r="SMZ83" s="684"/>
      <c r="SNA83" s="684"/>
      <c r="SNB83" s="684"/>
      <c r="SNC83" s="684"/>
      <c r="SND83" s="684"/>
      <c r="SNE83" s="684"/>
      <c r="SNF83" s="684"/>
      <c r="SNG83" s="684"/>
      <c r="SNH83" s="684"/>
      <c r="SNI83" s="684"/>
      <c r="SNJ83" s="684"/>
      <c r="SNK83" s="684"/>
      <c r="SNL83" s="684"/>
      <c r="SNM83" s="684"/>
      <c r="SNN83" s="684"/>
      <c r="SNO83" s="684"/>
      <c r="SNP83" s="684"/>
      <c r="SNQ83" s="684"/>
      <c r="SNR83" s="684"/>
      <c r="SNS83" s="684"/>
      <c r="SNT83" s="684"/>
      <c r="SNU83" s="684"/>
      <c r="SNV83" s="684"/>
      <c r="SNW83" s="684"/>
      <c r="SNX83" s="684"/>
      <c r="SNY83" s="684"/>
      <c r="SNZ83" s="684"/>
      <c r="SOA83" s="684"/>
      <c r="SOB83" s="684"/>
      <c r="SOC83" s="684"/>
      <c r="SOD83" s="684"/>
      <c r="SOE83" s="684"/>
      <c r="SOF83" s="684"/>
      <c r="SOG83" s="684"/>
      <c r="SOH83" s="684"/>
      <c r="SOI83" s="684"/>
      <c r="SOJ83" s="684"/>
      <c r="SOK83" s="684"/>
      <c r="SOL83" s="684"/>
      <c r="SOM83" s="684"/>
      <c r="SON83" s="684"/>
      <c r="SOO83" s="684"/>
      <c r="SOP83" s="684"/>
      <c r="SOQ83" s="684"/>
      <c r="SOR83" s="684"/>
      <c r="SOS83" s="684"/>
      <c r="SOT83" s="684"/>
      <c r="SOU83" s="684"/>
      <c r="SOV83" s="684"/>
      <c r="SOW83" s="684"/>
      <c r="SOX83" s="684"/>
      <c r="SOY83" s="684"/>
      <c r="SOZ83" s="684"/>
      <c r="SPA83" s="684"/>
      <c r="SPB83" s="684"/>
      <c r="SPC83" s="684"/>
      <c r="SPD83" s="684"/>
      <c r="SPE83" s="684"/>
      <c r="SPF83" s="684"/>
      <c r="SPG83" s="684"/>
      <c r="SPH83" s="684"/>
      <c r="SPI83" s="684"/>
      <c r="SPJ83" s="684"/>
      <c r="SPK83" s="684"/>
      <c r="SPL83" s="684"/>
      <c r="SPM83" s="684"/>
      <c r="SPN83" s="684"/>
      <c r="SPO83" s="684"/>
      <c r="SPP83" s="684"/>
      <c r="SPQ83" s="684"/>
      <c r="SPR83" s="684"/>
      <c r="SPS83" s="684"/>
      <c r="SPT83" s="684"/>
      <c r="SPU83" s="684"/>
      <c r="SPV83" s="684"/>
      <c r="SPW83" s="684"/>
      <c r="SPX83" s="684"/>
      <c r="SPY83" s="684"/>
      <c r="SPZ83" s="684"/>
      <c r="SQA83" s="684"/>
      <c r="SQB83" s="684"/>
      <c r="SQC83" s="684"/>
      <c r="SQD83" s="684"/>
      <c r="SQE83" s="684"/>
      <c r="SQF83" s="684"/>
      <c r="SQG83" s="684"/>
      <c r="SQH83" s="684"/>
      <c r="SQI83" s="684"/>
      <c r="SQJ83" s="684"/>
      <c r="SQK83" s="684"/>
      <c r="SQL83" s="684"/>
      <c r="SQM83" s="684"/>
      <c r="SQN83" s="684"/>
      <c r="SQO83" s="684"/>
      <c r="SQP83" s="684"/>
      <c r="SQQ83" s="684"/>
      <c r="SQR83" s="684"/>
      <c r="SQS83" s="684"/>
      <c r="SQT83" s="684"/>
      <c r="SQU83" s="684"/>
      <c r="SQV83" s="684"/>
      <c r="SQW83" s="684"/>
      <c r="SQX83" s="684"/>
      <c r="SQY83" s="684"/>
      <c r="SQZ83" s="684"/>
      <c r="SRA83" s="684"/>
      <c r="SRB83" s="684"/>
      <c r="SRC83" s="684"/>
      <c r="SRD83" s="684"/>
      <c r="SRE83" s="684"/>
      <c r="SRF83" s="684"/>
      <c r="SRG83" s="684"/>
      <c r="SRH83" s="684"/>
      <c r="SRI83" s="684"/>
      <c r="SRJ83" s="684"/>
      <c r="SRK83" s="684"/>
      <c r="SRL83" s="684"/>
      <c r="SRM83" s="684"/>
      <c r="SRN83" s="684"/>
      <c r="SRO83" s="684"/>
      <c r="SRP83" s="684"/>
      <c r="SRQ83" s="684"/>
      <c r="SRR83" s="684"/>
      <c r="SRS83" s="684"/>
      <c r="SRT83" s="684"/>
      <c r="SRU83" s="684"/>
      <c r="SRV83" s="684"/>
      <c r="SRW83" s="684"/>
      <c r="SRX83" s="684"/>
      <c r="SRY83" s="684"/>
      <c r="SRZ83" s="684"/>
      <c r="SSA83" s="684"/>
      <c r="SSB83" s="684"/>
      <c r="SSC83" s="684"/>
      <c r="SSD83" s="684"/>
      <c r="SSE83" s="684"/>
      <c r="SSF83" s="684"/>
      <c r="SSG83" s="684"/>
      <c r="SSH83" s="684"/>
      <c r="SSI83" s="684"/>
      <c r="SSJ83" s="684"/>
      <c r="SSK83" s="684"/>
      <c r="SSL83" s="684"/>
      <c r="SSM83" s="684"/>
      <c r="SSN83" s="684"/>
      <c r="SSO83" s="684"/>
      <c r="SSP83" s="684"/>
      <c r="SSQ83" s="684"/>
      <c r="SSR83" s="684"/>
      <c r="SSS83" s="684"/>
      <c r="SST83" s="684"/>
      <c r="SSU83" s="684"/>
      <c r="SSV83" s="684"/>
      <c r="SSW83" s="684"/>
      <c r="SSX83" s="684"/>
      <c r="SSY83" s="684"/>
      <c r="SSZ83" s="684"/>
      <c r="STA83" s="684"/>
      <c r="STB83" s="684"/>
      <c r="STC83" s="684"/>
      <c r="STD83" s="684"/>
      <c r="STE83" s="684"/>
      <c r="STF83" s="684"/>
      <c r="STG83" s="684"/>
      <c r="STH83" s="684"/>
      <c r="STI83" s="684"/>
      <c r="STJ83" s="684"/>
      <c r="STK83" s="684"/>
      <c r="STL83" s="684"/>
      <c r="STM83" s="684"/>
      <c r="STN83" s="684"/>
      <c r="STO83" s="684"/>
      <c r="STP83" s="684"/>
      <c r="STQ83" s="684"/>
      <c r="STR83" s="684"/>
      <c r="STS83" s="684"/>
      <c r="STT83" s="684"/>
      <c r="STU83" s="684"/>
      <c r="STV83" s="684"/>
      <c r="STW83" s="684"/>
      <c r="STX83" s="684"/>
      <c r="STY83" s="684"/>
      <c r="STZ83" s="684"/>
      <c r="SUA83" s="684"/>
      <c r="SUB83" s="684"/>
      <c r="SUC83" s="684"/>
      <c r="SUD83" s="684"/>
      <c r="SUE83" s="684"/>
      <c r="SUF83" s="684"/>
      <c r="SUG83" s="684"/>
      <c r="SUH83" s="684"/>
      <c r="SUI83" s="684"/>
      <c r="SUJ83" s="684"/>
      <c r="SUK83" s="684"/>
      <c r="SUL83" s="684"/>
      <c r="SUM83" s="684"/>
      <c r="SUN83" s="684"/>
      <c r="SUO83" s="684"/>
      <c r="SUP83" s="684"/>
      <c r="SUQ83" s="684"/>
      <c r="SUR83" s="684"/>
      <c r="SUS83" s="684"/>
      <c r="SUT83" s="684"/>
      <c r="SUU83" s="684"/>
      <c r="SUV83" s="684"/>
      <c r="SUW83" s="684"/>
      <c r="SUX83" s="684"/>
      <c r="SUY83" s="684"/>
      <c r="SUZ83" s="684"/>
      <c r="SVA83" s="684"/>
      <c r="SVB83" s="684"/>
      <c r="SVC83" s="684"/>
      <c r="SVD83" s="684"/>
      <c r="SVE83" s="684"/>
      <c r="SVF83" s="684"/>
      <c r="SVG83" s="684"/>
      <c r="SVH83" s="684"/>
      <c r="SVI83" s="684"/>
      <c r="SVJ83" s="684"/>
      <c r="SVK83" s="684"/>
      <c r="SVL83" s="684"/>
      <c r="SVM83" s="684"/>
      <c r="SVN83" s="684"/>
      <c r="SVO83" s="684"/>
      <c r="SVP83" s="684"/>
      <c r="SVQ83" s="684"/>
      <c r="SVR83" s="684"/>
      <c r="SVS83" s="684"/>
      <c r="SVT83" s="684"/>
      <c r="SVU83" s="684"/>
      <c r="SVV83" s="684"/>
      <c r="SVW83" s="684"/>
      <c r="SVX83" s="684"/>
      <c r="SVY83" s="684"/>
      <c r="SVZ83" s="684"/>
      <c r="SWA83" s="684"/>
      <c r="SWB83" s="684"/>
      <c r="SWC83" s="684"/>
      <c r="SWD83" s="684"/>
      <c r="SWE83" s="684"/>
      <c r="SWF83" s="684"/>
      <c r="SWG83" s="684"/>
      <c r="SWH83" s="684"/>
      <c r="SWI83" s="684"/>
      <c r="SWJ83" s="684"/>
      <c r="SWK83" s="684"/>
      <c r="SWL83" s="684"/>
      <c r="SWM83" s="684"/>
      <c r="SWN83" s="684"/>
      <c r="SWO83" s="684"/>
      <c r="SWP83" s="684"/>
      <c r="SWQ83" s="684"/>
      <c r="SWR83" s="684"/>
      <c r="SWS83" s="684"/>
      <c r="SWT83" s="684"/>
      <c r="SWU83" s="684"/>
      <c r="SWV83" s="684"/>
      <c r="SWW83" s="684"/>
      <c r="SWX83" s="684"/>
      <c r="SWY83" s="684"/>
      <c r="SWZ83" s="684"/>
      <c r="SXA83" s="684"/>
      <c r="SXB83" s="684"/>
      <c r="SXC83" s="684"/>
      <c r="SXD83" s="684"/>
      <c r="SXE83" s="684"/>
      <c r="SXF83" s="684"/>
      <c r="SXG83" s="684"/>
      <c r="SXH83" s="684"/>
      <c r="SXI83" s="684"/>
      <c r="SXJ83" s="684"/>
      <c r="SXK83" s="684"/>
      <c r="SXL83" s="684"/>
      <c r="SXM83" s="684"/>
      <c r="SXN83" s="684"/>
      <c r="SXO83" s="684"/>
      <c r="SXP83" s="684"/>
      <c r="SXQ83" s="684"/>
      <c r="SXR83" s="684"/>
      <c r="SXS83" s="684"/>
      <c r="SXT83" s="684"/>
      <c r="SXU83" s="684"/>
      <c r="SXV83" s="684"/>
      <c r="SXW83" s="684"/>
      <c r="SXX83" s="684"/>
      <c r="SXY83" s="684"/>
      <c r="SXZ83" s="684"/>
      <c r="SYA83" s="684"/>
      <c r="SYB83" s="684"/>
      <c r="SYC83" s="684"/>
      <c r="SYD83" s="684"/>
      <c r="SYE83" s="684"/>
      <c r="SYF83" s="684"/>
      <c r="SYG83" s="684"/>
      <c r="SYH83" s="684"/>
      <c r="SYI83" s="684"/>
      <c r="SYJ83" s="684"/>
      <c r="SYK83" s="684"/>
      <c r="SYL83" s="684"/>
      <c r="SYM83" s="684"/>
      <c r="SYN83" s="684"/>
      <c r="SYO83" s="684"/>
      <c r="SYP83" s="684"/>
      <c r="SYQ83" s="684"/>
      <c r="SYR83" s="684"/>
      <c r="SYS83" s="684"/>
      <c r="SYT83" s="684"/>
      <c r="SYU83" s="684"/>
      <c r="SYV83" s="684"/>
      <c r="SYW83" s="684"/>
      <c r="SYX83" s="684"/>
      <c r="SYY83" s="684"/>
      <c r="SYZ83" s="684"/>
      <c r="SZA83" s="684"/>
      <c r="SZB83" s="684"/>
      <c r="SZC83" s="684"/>
      <c r="SZD83" s="684"/>
      <c r="SZE83" s="684"/>
      <c r="SZF83" s="684"/>
      <c r="SZG83" s="684"/>
      <c r="SZH83" s="684"/>
      <c r="SZI83" s="684"/>
      <c r="SZJ83" s="684"/>
      <c r="SZK83" s="684"/>
      <c r="SZL83" s="684"/>
      <c r="SZM83" s="684"/>
      <c r="SZN83" s="684"/>
      <c r="SZO83" s="684"/>
      <c r="SZP83" s="684"/>
      <c r="SZQ83" s="684"/>
      <c r="SZR83" s="684"/>
      <c r="SZS83" s="684"/>
      <c r="SZT83" s="684"/>
      <c r="SZU83" s="684"/>
      <c r="SZV83" s="684"/>
      <c r="SZW83" s="684"/>
      <c r="SZX83" s="684"/>
      <c r="SZY83" s="684"/>
      <c r="SZZ83" s="684"/>
      <c r="TAA83" s="684"/>
      <c r="TAB83" s="684"/>
      <c r="TAC83" s="684"/>
      <c r="TAD83" s="684"/>
      <c r="TAE83" s="684"/>
      <c r="TAF83" s="684"/>
      <c r="TAG83" s="684"/>
      <c r="TAH83" s="684"/>
      <c r="TAI83" s="684"/>
      <c r="TAJ83" s="684"/>
      <c r="TAK83" s="684"/>
      <c r="TAL83" s="684"/>
      <c r="TAM83" s="684"/>
      <c r="TAN83" s="684"/>
      <c r="TAO83" s="684"/>
      <c r="TAP83" s="684"/>
      <c r="TAQ83" s="684"/>
      <c r="TAR83" s="684"/>
      <c r="TAS83" s="684"/>
      <c r="TAT83" s="684"/>
      <c r="TAU83" s="684"/>
      <c r="TAV83" s="684"/>
      <c r="TAW83" s="684"/>
      <c r="TAX83" s="684"/>
      <c r="TAY83" s="684"/>
      <c r="TAZ83" s="684"/>
      <c r="TBA83" s="684"/>
      <c r="TBB83" s="684"/>
      <c r="TBC83" s="684"/>
      <c r="TBD83" s="684"/>
      <c r="TBE83" s="684"/>
      <c r="TBF83" s="684"/>
      <c r="TBG83" s="684"/>
      <c r="TBH83" s="684"/>
      <c r="TBI83" s="684"/>
      <c r="TBJ83" s="684"/>
      <c r="TBK83" s="684"/>
      <c r="TBL83" s="684"/>
      <c r="TBM83" s="684"/>
      <c r="TBN83" s="684"/>
      <c r="TBO83" s="684"/>
      <c r="TBP83" s="684"/>
      <c r="TBQ83" s="684"/>
      <c r="TBR83" s="684"/>
      <c r="TBS83" s="684"/>
      <c r="TBT83" s="684"/>
      <c r="TBU83" s="684"/>
      <c r="TBV83" s="684"/>
      <c r="TBW83" s="684"/>
      <c r="TBX83" s="684"/>
      <c r="TBY83" s="684"/>
      <c r="TBZ83" s="684"/>
      <c r="TCA83" s="684"/>
      <c r="TCB83" s="684"/>
      <c r="TCC83" s="684"/>
      <c r="TCD83" s="684"/>
      <c r="TCE83" s="684"/>
      <c r="TCF83" s="684"/>
      <c r="TCG83" s="684"/>
      <c r="TCH83" s="684"/>
      <c r="TCI83" s="684"/>
      <c r="TCJ83" s="684"/>
      <c r="TCK83" s="684"/>
      <c r="TCL83" s="684"/>
      <c r="TCM83" s="684"/>
      <c r="TCN83" s="684"/>
      <c r="TCO83" s="684"/>
      <c r="TCP83" s="684"/>
      <c r="TCQ83" s="684"/>
      <c r="TCR83" s="684"/>
      <c r="TCS83" s="684"/>
      <c r="TCT83" s="684"/>
      <c r="TCU83" s="684"/>
      <c r="TCV83" s="684"/>
      <c r="TCW83" s="684"/>
      <c r="TCX83" s="684"/>
      <c r="TCY83" s="684"/>
      <c r="TCZ83" s="684"/>
      <c r="TDA83" s="684"/>
      <c r="TDB83" s="684"/>
      <c r="TDC83" s="684"/>
      <c r="TDD83" s="684"/>
      <c r="TDE83" s="684"/>
      <c r="TDF83" s="684"/>
      <c r="TDG83" s="684"/>
      <c r="TDH83" s="684"/>
      <c r="TDI83" s="684"/>
      <c r="TDJ83" s="684"/>
      <c r="TDK83" s="684"/>
      <c r="TDL83" s="684"/>
      <c r="TDM83" s="684"/>
      <c r="TDN83" s="684"/>
      <c r="TDO83" s="684"/>
      <c r="TDP83" s="684"/>
      <c r="TDQ83" s="684"/>
      <c r="TDR83" s="684"/>
      <c r="TDS83" s="684"/>
      <c r="TDT83" s="684"/>
      <c r="TDU83" s="684"/>
      <c r="TDV83" s="684"/>
      <c r="TDW83" s="684"/>
      <c r="TDX83" s="684"/>
      <c r="TDY83" s="684"/>
      <c r="TDZ83" s="684"/>
      <c r="TEA83" s="684"/>
      <c r="TEB83" s="684"/>
      <c r="TEC83" s="684"/>
      <c r="TED83" s="684"/>
      <c r="TEE83" s="684"/>
      <c r="TEF83" s="684"/>
      <c r="TEG83" s="684"/>
      <c r="TEH83" s="684"/>
      <c r="TEI83" s="684"/>
      <c r="TEJ83" s="684"/>
      <c r="TEK83" s="684"/>
      <c r="TEL83" s="684"/>
      <c r="TEM83" s="684"/>
      <c r="TEN83" s="684"/>
      <c r="TEO83" s="684"/>
      <c r="TEP83" s="684"/>
      <c r="TEQ83" s="684"/>
      <c r="TER83" s="684"/>
      <c r="TES83" s="684"/>
      <c r="TET83" s="684"/>
      <c r="TEU83" s="684"/>
      <c r="TEV83" s="684"/>
      <c r="TEW83" s="684"/>
      <c r="TEX83" s="684"/>
      <c r="TEY83" s="684"/>
      <c r="TEZ83" s="684"/>
      <c r="TFA83" s="684"/>
      <c r="TFB83" s="684"/>
      <c r="TFC83" s="684"/>
      <c r="TFD83" s="684"/>
      <c r="TFE83" s="684"/>
      <c r="TFF83" s="684"/>
      <c r="TFG83" s="684"/>
      <c r="TFH83" s="684"/>
      <c r="TFI83" s="684"/>
      <c r="TFJ83" s="684"/>
      <c r="TFK83" s="684"/>
      <c r="TFL83" s="684"/>
      <c r="TFM83" s="684"/>
      <c r="TFN83" s="684"/>
      <c r="TFO83" s="684"/>
      <c r="TFP83" s="684"/>
      <c r="TFQ83" s="684"/>
      <c r="TFR83" s="684"/>
      <c r="TFS83" s="684"/>
      <c r="TFT83" s="684"/>
      <c r="TFU83" s="684"/>
      <c r="TFV83" s="684"/>
      <c r="TFW83" s="684"/>
      <c r="TFX83" s="684"/>
      <c r="TFY83" s="684"/>
      <c r="TFZ83" s="684"/>
      <c r="TGA83" s="684"/>
      <c r="TGB83" s="684"/>
      <c r="TGC83" s="684"/>
      <c r="TGD83" s="684"/>
      <c r="TGE83" s="684"/>
      <c r="TGF83" s="684"/>
      <c r="TGG83" s="684"/>
      <c r="TGH83" s="684"/>
      <c r="TGI83" s="684"/>
      <c r="TGJ83" s="684"/>
      <c r="TGK83" s="684"/>
      <c r="TGL83" s="684"/>
      <c r="TGM83" s="684"/>
      <c r="TGN83" s="684"/>
      <c r="TGO83" s="684"/>
      <c r="TGP83" s="684"/>
      <c r="TGQ83" s="684"/>
      <c r="TGR83" s="684"/>
      <c r="TGS83" s="684"/>
      <c r="TGT83" s="684"/>
      <c r="TGU83" s="684"/>
      <c r="TGV83" s="684"/>
      <c r="TGW83" s="684"/>
      <c r="TGX83" s="684"/>
      <c r="TGY83" s="684"/>
      <c r="TGZ83" s="684"/>
      <c r="THA83" s="684"/>
      <c r="THB83" s="684"/>
      <c r="THC83" s="684"/>
      <c r="THD83" s="684"/>
      <c r="THE83" s="684"/>
      <c r="THF83" s="684"/>
      <c r="THG83" s="684"/>
      <c r="THH83" s="684"/>
      <c r="THI83" s="684"/>
      <c r="THJ83" s="684"/>
      <c r="THK83" s="684"/>
      <c r="THL83" s="684"/>
      <c r="THM83" s="684"/>
      <c r="THN83" s="684"/>
      <c r="THO83" s="684"/>
      <c r="THP83" s="684"/>
      <c r="THQ83" s="684"/>
      <c r="THR83" s="684"/>
      <c r="THS83" s="684"/>
      <c r="THT83" s="684"/>
      <c r="THU83" s="684"/>
      <c r="THV83" s="684"/>
      <c r="THW83" s="684"/>
      <c r="THX83" s="684"/>
      <c r="THY83" s="684"/>
      <c r="THZ83" s="684"/>
      <c r="TIA83" s="684"/>
      <c r="TIB83" s="684"/>
      <c r="TIC83" s="684"/>
      <c r="TID83" s="684"/>
      <c r="TIE83" s="684"/>
      <c r="TIF83" s="684"/>
      <c r="TIG83" s="684"/>
      <c r="TIH83" s="684"/>
      <c r="TII83" s="684"/>
      <c r="TIJ83" s="684"/>
      <c r="TIK83" s="684"/>
      <c r="TIL83" s="684"/>
      <c r="TIM83" s="684"/>
      <c r="TIN83" s="684"/>
      <c r="TIO83" s="684"/>
      <c r="TIP83" s="684"/>
      <c r="TIQ83" s="684"/>
      <c r="TIR83" s="684"/>
      <c r="TIS83" s="684"/>
      <c r="TIT83" s="684"/>
      <c r="TIU83" s="684"/>
      <c r="TIV83" s="684"/>
      <c r="TIW83" s="684"/>
      <c r="TIX83" s="684"/>
      <c r="TIY83" s="684"/>
      <c r="TIZ83" s="684"/>
      <c r="TJA83" s="684"/>
      <c r="TJB83" s="684"/>
      <c r="TJC83" s="684"/>
      <c r="TJD83" s="684"/>
      <c r="TJE83" s="684"/>
      <c r="TJF83" s="684"/>
      <c r="TJG83" s="684"/>
      <c r="TJH83" s="684"/>
      <c r="TJI83" s="684"/>
      <c r="TJJ83" s="684"/>
      <c r="TJK83" s="684"/>
      <c r="TJL83" s="684"/>
      <c r="TJM83" s="684"/>
      <c r="TJN83" s="684"/>
      <c r="TJO83" s="684"/>
      <c r="TJP83" s="684"/>
      <c r="TJQ83" s="684"/>
      <c r="TJR83" s="684"/>
      <c r="TJS83" s="684"/>
      <c r="TJT83" s="684"/>
      <c r="TJU83" s="684"/>
      <c r="TJV83" s="684"/>
      <c r="TJW83" s="684"/>
      <c r="TJX83" s="684"/>
      <c r="TJY83" s="684"/>
      <c r="TJZ83" s="684"/>
      <c r="TKA83" s="684"/>
      <c r="TKB83" s="684"/>
      <c r="TKC83" s="684"/>
      <c r="TKD83" s="684"/>
      <c r="TKE83" s="684"/>
      <c r="TKF83" s="684"/>
      <c r="TKG83" s="684"/>
      <c r="TKH83" s="684"/>
      <c r="TKI83" s="684"/>
      <c r="TKJ83" s="684"/>
      <c r="TKK83" s="684"/>
      <c r="TKL83" s="684"/>
      <c r="TKM83" s="684"/>
      <c r="TKN83" s="684"/>
      <c r="TKO83" s="684"/>
      <c r="TKP83" s="684"/>
      <c r="TKQ83" s="684"/>
      <c r="TKR83" s="684"/>
      <c r="TKS83" s="684"/>
      <c r="TKT83" s="684"/>
      <c r="TKU83" s="684"/>
      <c r="TKV83" s="684"/>
      <c r="TKW83" s="684"/>
      <c r="TKX83" s="684"/>
      <c r="TKY83" s="684"/>
      <c r="TKZ83" s="684"/>
      <c r="TLA83" s="684"/>
      <c r="TLB83" s="684"/>
      <c r="TLC83" s="684"/>
      <c r="TLD83" s="684"/>
      <c r="TLE83" s="684"/>
      <c r="TLF83" s="684"/>
      <c r="TLG83" s="684"/>
      <c r="TLH83" s="684"/>
      <c r="TLI83" s="684"/>
      <c r="TLJ83" s="684"/>
      <c r="TLK83" s="684"/>
      <c r="TLL83" s="684"/>
      <c r="TLM83" s="684"/>
      <c r="TLN83" s="684"/>
      <c r="TLO83" s="684"/>
      <c r="TLP83" s="684"/>
      <c r="TLQ83" s="684"/>
      <c r="TLR83" s="684"/>
      <c r="TLS83" s="684"/>
      <c r="TLT83" s="684"/>
      <c r="TLU83" s="684"/>
      <c r="TLV83" s="684"/>
      <c r="TLW83" s="684"/>
      <c r="TLX83" s="684"/>
      <c r="TLY83" s="684"/>
      <c r="TLZ83" s="684"/>
      <c r="TMA83" s="684"/>
      <c r="TMB83" s="684"/>
      <c r="TMC83" s="684"/>
      <c r="TMD83" s="684"/>
      <c r="TME83" s="684"/>
      <c r="TMF83" s="684"/>
      <c r="TMG83" s="684"/>
      <c r="TMH83" s="684"/>
      <c r="TMI83" s="684"/>
      <c r="TMJ83" s="684"/>
      <c r="TMK83" s="684"/>
      <c r="TML83" s="684"/>
      <c r="TMM83" s="684"/>
      <c r="TMN83" s="684"/>
      <c r="TMO83" s="684"/>
      <c r="TMP83" s="684"/>
      <c r="TMQ83" s="684"/>
      <c r="TMR83" s="684"/>
      <c r="TMS83" s="684"/>
      <c r="TMT83" s="684"/>
      <c r="TMU83" s="684"/>
      <c r="TMV83" s="684"/>
      <c r="TMW83" s="684"/>
      <c r="TMX83" s="684"/>
      <c r="TMY83" s="684"/>
      <c r="TMZ83" s="684"/>
      <c r="TNA83" s="684"/>
      <c r="TNB83" s="684"/>
      <c r="TNC83" s="684"/>
      <c r="TND83" s="684"/>
      <c r="TNE83" s="684"/>
      <c r="TNF83" s="684"/>
      <c r="TNG83" s="684"/>
      <c r="TNH83" s="684"/>
      <c r="TNI83" s="684"/>
      <c r="TNJ83" s="684"/>
      <c r="TNK83" s="684"/>
      <c r="TNL83" s="684"/>
      <c r="TNM83" s="684"/>
      <c r="TNN83" s="684"/>
      <c r="TNO83" s="684"/>
      <c r="TNP83" s="684"/>
      <c r="TNQ83" s="684"/>
      <c r="TNR83" s="684"/>
      <c r="TNS83" s="684"/>
      <c r="TNT83" s="684"/>
      <c r="TNU83" s="684"/>
      <c r="TNV83" s="684"/>
      <c r="TNW83" s="684"/>
      <c r="TNX83" s="684"/>
      <c r="TNY83" s="684"/>
      <c r="TNZ83" s="684"/>
      <c r="TOA83" s="684"/>
      <c r="TOB83" s="684"/>
      <c r="TOC83" s="684"/>
      <c r="TOD83" s="684"/>
      <c r="TOE83" s="684"/>
      <c r="TOF83" s="684"/>
      <c r="TOG83" s="684"/>
      <c r="TOH83" s="684"/>
      <c r="TOI83" s="684"/>
      <c r="TOJ83" s="684"/>
      <c r="TOK83" s="684"/>
      <c r="TOL83" s="684"/>
      <c r="TOM83" s="684"/>
      <c r="TON83" s="684"/>
      <c r="TOO83" s="684"/>
      <c r="TOP83" s="684"/>
      <c r="TOQ83" s="684"/>
      <c r="TOR83" s="684"/>
      <c r="TOS83" s="684"/>
      <c r="TOT83" s="684"/>
      <c r="TOU83" s="684"/>
      <c r="TOV83" s="684"/>
      <c r="TOW83" s="684"/>
      <c r="TOX83" s="684"/>
      <c r="TOY83" s="684"/>
      <c r="TOZ83" s="684"/>
      <c r="TPA83" s="684"/>
      <c r="TPB83" s="684"/>
      <c r="TPC83" s="684"/>
      <c r="TPD83" s="684"/>
      <c r="TPE83" s="684"/>
      <c r="TPF83" s="684"/>
      <c r="TPG83" s="684"/>
      <c r="TPH83" s="684"/>
      <c r="TPI83" s="684"/>
      <c r="TPJ83" s="684"/>
      <c r="TPK83" s="684"/>
      <c r="TPL83" s="684"/>
      <c r="TPM83" s="684"/>
      <c r="TPN83" s="684"/>
      <c r="TPO83" s="684"/>
      <c r="TPP83" s="684"/>
      <c r="TPQ83" s="684"/>
      <c r="TPR83" s="684"/>
      <c r="TPS83" s="684"/>
      <c r="TPT83" s="684"/>
      <c r="TPU83" s="684"/>
      <c r="TPV83" s="684"/>
      <c r="TPW83" s="684"/>
      <c r="TPX83" s="684"/>
      <c r="TPY83" s="684"/>
      <c r="TPZ83" s="684"/>
      <c r="TQA83" s="684"/>
      <c r="TQB83" s="684"/>
      <c r="TQC83" s="684"/>
      <c r="TQD83" s="684"/>
      <c r="TQE83" s="684"/>
      <c r="TQF83" s="684"/>
      <c r="TQG83" s="684"/>
      <c r="TQH83" s="684"/>
      <c r="TQI83" s="684"/>
      <c r="TQJ83" s="684"/>
      <c r="TQK83" s="684"/>
      <c r="TQL83" s="684"/>
      <c r="TQM83" s="684"/>
      <c r="TQN83" s="684"/>
      <c r="TQO83" s="684"/>
      <c r="TQP83" s="684"/>
      <c r="TQQ83" s="684"/>
      <c r="TQR83" s="684"/>
      <c r="TQS83" s="684"/>
      <c r="TQT83" s="684"/>
      <c r="TQU83" s="684"/>
      <c r="TQV83" s="684"/>
      <c r="TQW83" s="684"/>
      <c r="TQX83" s="684"/>
      <c r="TQY83" s="684"/>
      <c r="TQZ83" s="684"/>
      <c r="TRA83" s="684"/>
      <c r="TRB83" s="684"/>
      <c r="TRC83" s="684"/>
      <c r="TRD83" s="684"/>
      <c r="TRE83" s="684"/>
      <c r="TRF83" s="684"/>
      <c r="TRG83" s="684"/>
      <c r="TRH83" s="684"/>
      <c r="TRI83" s="684"/>
      <c r="TRJ83" s="684"/>
      <c r="TRK83" s="684"/>
      <c r="TRL83" s="684"/>
      <c r="TRM83" s="684"/>
      <c r="TRN83" s="684"/>
      <c r="TRO83" s="684"/>
      <c r="TRP83" s="684"/>
      <c r="TRQ83" s="684"/>
      <c r="TRR83" s="684"/>
      <c r="TRS83" s="684"/>
      <c r="TRT83" s="684"/>
      <c r="TRU83" s="684"/>
      <c r="TRV83" s="684"/>
      <c r="TRW83" s="684"/>
      <c r="TRX83" s="684"/>
      <c r="TRY83" s="684"/>
      <c r="TRZ83" s="684"/>
      <c r="TSA83" s="684"/>
      <c r="TSB83" s="684"/>
      <c r="TSC83" s="684"/>
      <c r="TSD83" s="684"/>
      <c r="TSE83" s="684"/>
      <c r="TSF83" s="684"/>
      <c r="TSG83" s="684"/>
      <c r="TSH83" s="684"/>
      <c r="TSI83" s="684"/>
      <c r="TSJ83" s="684"/>
      <c r="TSK83" s="684"/>
      <c r="TSL83" s="684"/>
      <c r="TSM83" s="684"/>
      <c r="TSN83" s="684"/>
      <c r="TSO83" s="684"/>
      <c r="TSP83" s="684"/>
      <c r="TSQ83" s="684"/>
      <c r="TSR83" s="684"/>
      <c r="TSS83" s="684"/>
      <c r="TST83" s="684"/>
      <c r="TSU83" s="684"/>
      <c r="TSV83" s="684"/>
      <c r="TSW83" s="684"/>
      <c r="TSX83" s="684"/>
      <c r="TSY83" s="684"/>
      <c r="TSZ83" s="684"/>
      <c r="TTA83" s="684"/>
      <c r="TTB83" s="684"/>
      <c r="TTC83" s="684"/>
      <c r="TTD83" s="684"/>
      <c r="TTE83" s="684"/>
      <c r="TTF83" s="684"/>
      <c r="TTG83" s="684"/>
      <c r="TTH83" s="684"/>
      <c r="TTI83" s="684"/>
      <c r="TTJ83" s="684"/>
      <c r="TTK83" s="684"/>
      <c r="TTL83" s="684"/>
      <c r="TTM83" s="684"/>
      <c r="TTN83" s="684"/>
      <c r="TTO83" s="684"/>
      <c r="TTP83" s="684"/>
      <c r="TTQ83" s="684"/>
      <c r="TTR83" s="684"/>
      <c r="TTS83" s="684"/>
      <c r="TTT83" s="684"/>
      <c r="TTU83" s="684"/>
      <c r="TTV83" s="684"/>
      <c r="TTW83" s="684"/>
      <c r="TTX83" s="684"/>
      <c r="TTY83" s="684"/>
      <c r="TTZ83" s="684"/>
      <c r="TUA83" s="684"/>
      <c r="TUB83" s="684"/>
      <c r="TUC83" s="684"/>
      <c r="TUD83" s="684"/>
      <c r="TUE83" s="684"/>
      <c r="TUF83" s="684"/>
      <c r="TUG83" s="684"/>
      <c r="TUH83" s="684"/>
      <c r="TUI83" s="684"/>
      <c r="TUJ83" s="684"/>
      <c r="TUK83" s="684"/>
      <c r="TUL83" s="684"/>
      <c r="TUM83" s="684"/>
      <c r="TUN83" s="684"/>
      <c r="TUO83" s="684"/>
      <c r="TUP83" s="684"/>
      <c r="TUQ83" s="684"/>
      <c r="TUR83" s="684"/>
      <c r="TUS83" s="684"/>
      <c r="TUT83" s="684"/>
      <c r="TUU83" s="684"/>
      <c r="TUV83" s="684"/>
      <c r="TUW83" s="684"/>
      <c r="TUX83" s="684"/>
      <c r="TUY83" s="684"/>
      <c r="TUZ83" s="684"/>
      <c r="TVA83" s="684"/>
      <c r="TVB83" s="684"/>
      <c r="TVC83" s="684"/>
      <c r="TVD83" s="684"/>
      <c r="TVE83" s="684"/>
      <c r="TVF83" s="684"/>
      <c r="TVG83" s="684"/>
      <c r="TVH83" s="684"/>
      <c r="TVI83" s="684"/>
      <c r="TVJ83" s="684"/>
      <c r="TVK83" s="684"/>
      <c r="TVL83" s="684"/>
      <c r="TVM83" s="684"/>
      <c r="TVN83" s="684"/>
      <c r="TVO83" s="684"/>
      <c r="TVP83" s="684"/>
      <c r="TVQ83" s="684"/>
      <c r="TVR83" s="684"/>
      <c r="TVS83" s="684"/>
      <c r="TVT83" s="684"/>
      <c r="TVU83" s="684"/>
      <c r="TVV83" s="684"/>
      <c r="TVW83" s="684"/>
      <c r="TVX83" s="684"/>
      <c r="TVY83" s="684"/>
      <c r="TVZ83" s="684"/>
      <c r="TWA83" s="684"/>
      <c r="TWB83" s="684"/>
      <c r="TWC83" s="684"/>
      <c r="TWD83" s="684"/>
      <c r="TWE83" s="684"/>
      <c r="TWF83" s="684"/>
      <c r="TWG83" s="684"/>
      <c r="TWH83" s="684"/>
      <c r="TWI83" s="684"/>
      <c r="TWJ83" s="684"/>
      <c r="TWK83" s="684"/>
      <c r="TWL83" s="684"/>
      <c r="TWM83" s="684"/>
      <c r="TWN83" s="684"/>
      <c r="TWO83" s="684"/>
      <c r="TWP83" s="684"/>
      <c r="TWQ83" s="684"/>
      <c r="TWR83" s="684"/>
      <c r="TWS83" s="684"/>
      <c r="TWT83" s="684"/>
      <c r="TWU83" s="684"/>
      <c r="TWV83" s="684"/>
      <c r="TWW83" s="684"/>
      <c r="TWX83" s="684"/>
      <c r="TWY83" s="684"/>
      <c r="TWZ83" s="684"/>
      <c r="TXA83" s="684"/>
      <c r="TXB83" s="684"/>
      <c r="TXC83" s="684"/>
      <c r="TXD83" s="684"/>
      <c r="TXE83" s="684"/>
      <c r="TXF83" s="684"/>
      <c r="TXG83" s="684"/>
      <c r="TXH83" s="684"/>
      <c r="TXI83" s="684"/>
      <c r="TXJ83" s="684"/>
      <c r="TXK83" s="684"/>
      <c r="TXL83" s="684"/>
      <c r="TXM83" s="684"/>
      <c r="TXN83" s="684"/>
      <c r="TXO83" s="684"/>
      <c r="TXP83" s="684"/>
      <c r="TXQ83" s="684"/>
      <c r="TXR83" s="684"/>
      <c r="TXS83" s="684"/>
      <c r="TXT83" s="684"/>
      <c r="TXU83" s="684"/>
      <c r="TXV83" s="684"/>
      <c r="TXW83" s="684"/>
      <c r="TXX83" s="684"/>
      <c r="TXY83" s="684"/>
      <c r="TXZ83" s="684"/>
      <c r="TYA83" s="684"/>
      <c r="TYB83" s="684"/>
      <c r="TYC83" s="684"/>
      <c r="TYD83" s="684"/>
      <c r="TYE83" s="684"/>
      <c r="TYF83" s="684"/>
      <c r="TYG83" s="684"/>
      <c r="TYH83" s="684"/>
      <c r="TYI83" s="684"/>
      <c r="TYJ83" s="684"/>
      <c r="TYK83" s="684"/>
      <c r="TYL83" s="684"/>
      <c r="TYM83" s="684"/>
      <c r="TYN83" s="684"/>
      <c r="TYO83" s="684"/>
      <c r="TYP83" s="684"/>
      <c r="TYQ83" s="684"/>
      <c r="TYR83" s="684"/>
      <c r="TYS83" s="684"/>
      <c r="TYT83" s="684"/>
      <c r="TYU83" s="684"/>
      <c r="TYV83" s="684"/>
      <c r="TYW83" s="684"/>
      <c r="TYX83" s="684"/>
      <c r="TYY83" s="684"/>
      <c r="TYZ83" s="684"/>
      <c r="TZA83" s="684"/>
      <c r="TZB83" s="684"/>
      <c r="TZC83" s="684"/>
      <c r="TZD83" s="684"/>
      <c r="TZE83" s="684"/>
      <c r="TZF83" s="684"/>
      <c r="TZG83" s="684"/>
      <c r="TZH83" s="684"/>
      <c r="TZI83" s="684"/>
      <c r="TZJ83" s="684"/>
      <c r="TZK83" s="684"/>
      <c r="TZL83" s="684"/>
      <c r="TZM83" s="684"/>
      <c r="TZN83" s="684"/>
      <c r="TZO83" s="684"/>
      <c r="TZP83" s="684"/>
      <c r="TZQ83" s="684"/>
      <c r="TZR83" s="684"/>
      <c r="TZS83" s="684"/>
      <c r="TZT83" s="684"/>
      <c r="TZU83" s="684"/>
      <c r="TZV83" s="684"/>
      <c r="TZW83" s="684"/>
      <c r="TZX83" s="684"/>
      <c r="TZY83" s="684"/>
      <c r="TZZ83" s="684"/>
      <c r="UAA83" s="684"/>
      <c r="UAB83" s="684"/>
      <c r="UAC83" s="684"/>
      <c r="UAD83" s="684"/>
      <c r="UAE83" s="684"/>
      <c r="UAF83" s="684"/>
      <c r="UAG83" s="684"/>
      <c r="UAH83" s="684"/>
      <c r="UAI83" s="684"/>
      <c r="UAJ83" s="684"/>
      <c r="UAK83" s="684"/>
      <c r="UAL83" s="684"/>
      <c r="UAM83" s="684"/>
      <c r="UAN83" s="684"/>
      <c r="UAO83" s="684"/>
      <c r="UAP83" s="684"/>
      <c r="UAQ83" s="684"/>
      <c r="UAR83" s="684"/>
      <c r="UAS83" s="684"/>
      <c r="UAT83" s="684"/>
      <c r="UAU83" s="684"/>
      <c r="UAV83" s="684"/>
      <c r="UAW83" s="684"/>
      <c r="UAX83" s="684"/>
      <c r="UAY83" s="684"/>
      <c r="UAZ83" s="684"/>
      <c r="UBA83" s="684"/>
      <c r="UBB83" s="684"/>
      <c r="UBC83" s="684"/>
      <c r="UBD83" s="684"/>
      <c r="UBE83" s="684"/>
      <c r="UBF83" s="684"/>
      <c r="UBG83" s="684"/>
      <c r="UBH83" s="684"/>
      <c r="UBI83" s="684"/>
      <c r="UBJ83" s="684"/>
      <c r="UBK83" s="684"/>
      <c r="UBL83" s="684"/>
      <c r="UBM83" s="684"/>
      <c r="UBN83" s="684"/>
      <c r="UBO83" s="684"/>
      <c r="UBP83" s="684"/>
      <c r="UBQ83" s="684"/>
      <c r="UBR83" s="684"/>
      <c r="UBS83" s="684"/>
      <c r="UBT83" s="684"/>
      <c r="UBU83" s="684"/>
      <c r="UBV83" s="684"/>
      <c r="UBW83" s="684"/>
      <c r="UBX83" s="684"/>
      <c r="UBY83" s="684"/>
      <c r="UBZ83" s="684"/>
      <c r="UCA83" s="684"/>
      <c r="UCB83" s="684"/>
      <c r="UCC83" s="684"/>
      <c r="UCD83" s="684"/>
      <c r="UCE83" s="684"/>
      <c r="UCF83" s="684"/>
      <c r="UCG83" s="684"/>
      <c r="UCH83" s="684"/>
      <c r="UCI83" s="684"/>
      <c r="UCJ83" s="684"/>
      <c r="UCK83" s="684"/>
      <c r="UCL83" s="684"/>
      <c r="UCM83" s="684"/>
      <c r="UCN83" s="684"/>
      <c r="UCO83" s="684"/>
      <c r="UCP83" s="684"/>
      <c r="UCQ83" s="684"/>
      <c r="UCR83" s="684"/>
      <c r="UCS83" s="684"/>
      <c r="UCT83" s="684"/>
      <c r="UCU83" s="684"/>
      <c r="UCV83" s="684"/>
      <c r="UCW83" s="684"/>
      <c r="UCX83" s="684"/>
      <c r="UCY83" s="684"/>
      <c r="UCZ83" s="684"/>
      <c r="UDA83" s="684"/>
      <c r="UDB83" s="684"/>
      <c r="UDC83" s="684"/>
      <c r="UDD83" s="684"/>
      <c r="UDE83" s="684"/>
      <c r="UDF83" s="684"/>
      <c r="UDG83" s="684"/>
      <c r="UDH83" s="684"/>
      <c r="UDI83" s="684"/>
      <c r="UDJ83" s="684"/>
      <c r="UDK83" s="684"/>
      <c r="UDL83" s="684"/>
      <c r="UDM83" s="684"/>
      <c r="UDN83" s="684"/>
      <c r="UDO83" s="684"/>
      <c r="UDP83" s="684"/>
      <c r="UDQ83" s="684"/>
      <c r="UDR83" s="684"/>
      <c r="UDS83" s="684"/>
      <c r="UDT83" s="684"/>
      <c r="UDU83" s="684"/>
      <c r="UDV83" s="684"/>
      <c r="UDW83" s="684"/>
      <c r="UDX83" s="684"/>
      <c r="UDY83" s="684"/>
      <c r="UDZ83" s="684"/>
      <c r="UEA83" s="684"/>
      <c r="UEB83" s="684"/>
      <c r="UEC83" s="684"/>
      <c r="UED83" s="684"/>
      <c r="UEE83" s="684"/>
      <c r="UEF83" s="684"/>
      <c r="UEG83" s="684"/>
      <c r="UEH83" s="684"/>
      <c r="UEI83" s="684"/>
      <c r="UEJ83" s="684"/>
      <c r="UEK83" s="684"/>
      <c r="UEL83" s="684"/>
      <c r="UEM83" s="684"/>
      <c r="UEN83" s="684"/>
      <c r="UEO83" s="684"/>
      <c r="UEP83" s="684"/>
      <c r="UEQ83" s="684"/>
      <c r="UER83" s="684"/>
      <c r="UES83" s="684"/>
      <c r="UET83" s="684"/>
      <c r="UEU83" s="684"/>
      <c r="UEV83" s="684"/>
      <c r="UEW83" s="684"/>
      <c r="UEX83" s="684"/>
      <c r="UEY83" s="684"/>
      <c r="UEZ83" s="684"/>
      <c r="UFA83" s="684"/>
      <c r="UFB83" s="684"/>
      <c r="UFC83" s="684"/>
      <c r="UFD83" s="684"/>
      <c r="UFE83" s="684"/>
      <c r="UFF83" s="684"/>
      <c r="UFG83" s="684"/>
      <c r="UFH83" s="684"/>
      <c r="UFI83" s="684"/>
      <c r="UFJ83" s="684"/>
      <c r="UFK83" s="684"/>
      <c r="UFL83" s="684"/>
      <c r="UFM83" s="684"/>
      <c r="UFN83" s="684"/>
      <c r="UFO83" s="684"/>
      <c r="UFP83" s="684"/>
      <c r="UFQ83" s="684"/>
      <c r="UFR83" s="684"/>
      <c r="UFS83" s="684"/>
      <c r="UFT83" s="684"/>
      <c r="UFU83" s="684"/>
      <c r="UFV83" s="684"/>
      <c r="UFW83" s="684"/>
      <c r="UFX83" s="684"/>
      <c r="UFY83" s="684"/>
      <c r="UFZ83" s="684"/>
      <c r="UGA83" s="684"/>
      <c r="UGB83" s="684"/>
      <c r="UGC83" s="684"/>
      <c r="UGD83" s="684"/>
      <c r="UGE83" s="684"/>
      <c r="UGF83" s="684"/>
      <c r="UGG83" s="684"/>
      <c r="UGH83" s="684"/>
      <c r="UGI83" s="684"/>
      <c r="UGJ83" s="684"/>
      <c r="UGK83" s="684"/>
      <c r="UGL83" s="684"/>
      <c r="UGM83" s="684"/>
      <c r="UGN83" s="684"/>
      <c r="UGO83" s="684"/>
      <c r="UGP83" s="684"/>
      <c r="UGQ83" s="684"/>
      <c r="UGR83" s="684"/>
      <c r="UGS83" s="684"/>
      <c r="UGT83" s="684"/>
      <c r="UGU83" s="684"/>
      <c r="UGV83" s="684"/>
      <c r="UGW83" s="684"/>
      <c r="UGX83" s="684"/>
      <c r="UGY83" s="684"/>
      <c r="UGZ83" s="684"/>
      <c r="UHA83" s="684"/>
      <c r="UHB83" s="684"/>
      <c r="UHC83" s="684"/>
      <c r="UHD83" s="684"/>
      <c r="UHE83" s="684"/>
      <c r="UHF83" s="684"/>
      <c r="UHG83" s="684"/>
      <c r="UHH83" s="684"/>
      <c r="UHI83" s="684"/>
      <c r="UHJ83" s="684"/>
      <c r="UHK83" s="684"/>
      <c r="UHL83" s="684"/>
      <c r="UHM83" s="684"/>
      <c r="UHN83" s="684"/>
      <c r="UHO83" s="684"/>
      <c r="UHP83" s="684"/>
      <c r="UHQ83" s="684"/>
      <c r="UHR83" s="684"/>
      <c r="UHS83" s="684"/>
      <c r="UHT83" s="684"/>
      <c r="UHU83" s="684"/>
      <c r="UHV83" s="684"/>
      <c r="UHW83" s="684"/>
      <c r="UHX83" s="684"/>
      <c r="UHY83" s="684"/>
      <c r="UHZ83" s="684"/>
      <c r="UIA83" s="684"/>
      <c r="UIB83" s="684"/>
      <c r="UIC83" s="684"/>
      <c r="UID83" s="684"/>
      <c r="UIE83" s="684"/>
      <c r="UIF83" s="684"/>
      <c r="UIG83" s="684"/>
      <c r="UIH83" s="684"/>
      <c r="UII83" s="684"/>
      <c r="UIJ83" s="684"/>
      <c r="UIK83" s="684"/>
      <c r="UIL83" s="684"/>
      <c r="UIM83" s="684"/>
      <c r="UIN83" s="684"/>
      <c r="UIO83" s="684"/>
      <c r="UIP83" s="684"/>
      <c r="UIQ83" s="684"/>
      <c r="UIR83" s="684"/>
      <c r="UIS83" s="684"/>
      <c r="UIT83" s="684"/>
      <c r="UIU83" s="684"/>
      <c r="UIV83" s="684"/>
      <c r="UIW83" s="684"/>
      <c r="UIX83" s="684"/>
      <c r="UIY83" s="684"/>
      <c r="UIZ83" s="684"/>
      <c r="UJA83" s="684"/>
      <c r="UJB83" s="684"/>
      <c r="UJC83" s="684"/>
      <c r="UJD83" s="684"/>
      <c r="UJE83" s="684"/>
      <c r="UJF83" s="684"/>
      <c r="UJG83" s="684"/>
      <c r="UJH83" s="684"/>
      <c r="UJI83" s="684"/>
      <c r="UJJ83" s="684"/>
      <c r="UJK83" s="684"/>
      <c r="UJL83" s="684"/>
      <c r="UJM83" s="684"/>
      <c r="UJN83" s="684"/>
      <c r="UJO83" s="684"/>
      <c r="UJP83" s="684"/>
      <c r="UJQ83" s="684"/>
      <c r="UJR83" s="684"/>
      <c r="UJS83" s="684"/>
      <c r="UJT83" s="684"/>
      <c r="UJU83" s="684"/>
      <c r="UJV83" s="684"/>
      <c r="UJW83" s="684"/>
      <c r="UJX83" s="684"/>
      <c r="UJY83" s="684"/>
      <c r="UJZ83" s="684"/>
      <c r="UKA83" s="684"/>
      <c r="UKB83" s="684"/>
      <c r="UKC83" s="684"/>
      <c r="UKD83" s="684"/>
      <c r="UKE83" s="684"/>
      <c r="UKF83" s="684"/>
      <c r="UKG83" s="684"/>
      <c r="UKH83" s="684"/>
      <c r="UKI83" s="684"/>
      <c r="UKJ83" s="684"/>
      <c r="UKK83" s="684"/>
      <c r="UKL83" s="684"/>
      <c r="UKM83" s="684"/>
      <c r="UKN83" s="684"/>
      <c r="UKO83" s="684"/>
      <c r="UKP83" s="684"/>
      <c r="UKQ83" s="684"/>
      <c r="UKR83" s="684"/>
      <c r="UKS83" s="684"/>
      <c r="UKT83" s="684"/>
      <c r="UKU83" s="684"/>
      <c r="UKV83" s="684"/>
      <c r="UKW83" s="684"/>
      <c r="UKX83" s="684"/>
      <c r="UKY83" s="684"/>
      <c r="UKZ83" s="684"/>
      <c r="ULA83" s="684"/>
      <c r="ULB83" s="684"/>
      <c r="ULC83" s="684"/>
      <c r="ULD83" s="684"/>
      <c r="ULE83" s="684"/>
      <c r="ULF83" s="684"/>
      <c r="ULG83" s="684"/>
      <c r="ULH83" s="684"/>
      <c r="ULI83" s="684"/>
      <c r="ULJ83" s="684"/>
      <c r="ULK83" s="684"/>
      <c r="ULL83" s="684"/>
      <c r="ULM83" s="684"/>
      <c r="ULN83" s="684"/>
      <c r="ULO83" s="684"/>
      <c r="ULP83" s="684"/>
      <c r="ULQ83" s="684"/>
      <c r="ULR83" s="684"/>
      <c r="ULS83" s="684"/>
      <c r="ULT83" s="684"/>
      <c r="ULU83" s="684"/>
      <c r="ULV83" s="684"/>
      <c r="ULW83" s="684"/>
      <c r="ULX83" s="684"/>
      <c r="ULY83" s="684"/>
      <c r="ULZ83" s="684"/>
      <c r="UMA83" s="684"/>
      <c r="UMB83" s="684"/>
      <c r="UMC83" s="684"/>
      <c r="UMD83" s="684"/>
      <c r="UME83" s="684"/>
      <c r="UMF83" s="684"/>
      <c r="UMG83" s="684"/>
      <c r="UMH83" s="684"/>
      <c r="UMI83" s="684"/>
      <c r="UMJ83" s="684"/>
      <c r="UMK83" s="684"/>
      <c r="UML83" s="684"/>
      <c r="UMM83" s="684"/>
      <c r="UMN83" s="684"/>
      <c r="UMO83" s="684"/>
      <c r="UMP83" s="684"/>
      <c r="UMQ83" s="684"/>
      <c r="UMR83" s="684"/>
      <c r="UMS83" s="684"/>
      <c r="UMT83" s="684"/>
      <c r="UMU83" s="684"/>
      <c r="UMV83" s="684"/>
      <c r="UMW83" s="684"/>
      <c r="UMX83" s="684"/>
      <c r="UMY83" s="684"/>
      <c r="UMZ83" s="684"/>
      <c r="UNA83" s="684"/>
      <c r="UNB83" s="684"/>
      <c r="UNC83" s="684"/>
      <c r="UND83" s="684"/>
      <c r="UNE83" s="684"/>
      <c r="UNF83" s="684"/>
      <c r="UNG83" s="684"/>
      <c r="UNH83" s="684"/>
      <c r="UNI83" s="684"/>
      <c r="UNJ83" s="684"/>
      <c r="UNK83" s="684"/>
      <c r="UNL83" s="684"/>
      <c r="UNM83" s="684"/>
      <c r="UNN83" s="684"/>
      <c r="UNO83" s="684"/>
      <c r="UNP83" s="684"/>
      <c r="UNQ83" s="684"/>
      <c r="UNR83" s="684"/>
      <c r="UNS83" s="684"/>
      <c r="UNT83" s="684"/>
      <c r="UNU83" s="684"/>
      <c r="UNV83" s="684"/>
      <c r="UNW83" s="684"/>
      <c r="UNX83" s="684"/>
      <c r="UNY83" s="684"/>
      <c r="UNZ83" s="684"/>
      <c r="UOA83" s="684"/>
      <c r="UOB83" s="684"/>
      <c r="UOC83" s="684"/>
      <c r="UOD83" s="684"/>
      <c r="UOE83" s="684"/>
      <c r="UOF83" s="684"/>
      <c r="UOG83" s="684"/>
      <c r="UOH83" s="684"/>
      <c r="UOI83" s="684"/>
      <c r="UOJ83" s="684"/>
      <c r="UOK83" s="684"/>
      <c r="UOL83" s="684"/>
      <c r="UOM83" s="684"/>
      <c r="UON83" s="684"/>
      <c r="UOO83" s="684"/>
      <c r="UOP83" s="684"/>
      <c r="UOQ83" s="684"/>
      <c r="UOR83" s="684"/>
      <c r="UOS83" s="684"/>
      <c r="UOT83" s="684"/>
      <c r="UOU83" s="684"/>
      <c r="UOV83" s="684"/>
      <c r="UOW83" s="684"/>
      <c r="UOX83" s="684"/>
      <c r="UOY83" s="684"/>
      <c r="UOZ83" s="684"/>
      <c r="UPA83" s="684"/>
      <c r="UPB83" s="684"/>
      <c r="UPC83" s="684"/>
      <c r="UPD83" s="684"/>
      <c r="UPE83" s="684"/>
      <c r="UPF83" s="684"/>
      <c r="UPG83" s="684"/>
      <c r="UPH83" s="684"/>
      <c r="UPI83" s="684"/>
      <c r="UPJ83" s="684"/>
      <c r="UPK83" s="684"/>
      <c r="UPL83" s="684"/>
      <c r="UPM83" s="684"/>
      <c r="UPN83" s="684"/>
      <c r="UPO83" s="684"/>
      <c r="UPP83" s="684"/>
      <c r="UPQ83" s="684"/>
      <c r="UPR83" s="684"/>
      <c r="UPS83" s="684"/>
      <c r="UPT83" s="684"/>
      <c r="UPU83" s="684"/>
      <c r="UPV83" s="684"/>
      <c r="UPW83" s="684"/>
      <c r="UPX83" s="684"/>
      <c r="UPY83" s="684"/>
      <c r="UPZ83" s="684"/>
      <c r="UQA83" s="684"/>
      <c r="UQB83" s="684"/>
      <c r="UQC83" s="684"/>
      <c r="UQD83" s="684"/>
      <c r="UQE83" s="684"/>
      <c r="UQF83" s="684"/>
      <c r="UQG83" s="684"/>
      <c r="UQH83" s="684"/>
      <c r="UQI83" s="684"/>
      <c r="UQJ83" s="684"/>
      <c r="UQK83" s="684"/>
      <c r="UQL83" s="684"/>
      <c r="UQM83" s="684"/>
      <c r="UQN83" s="684"/>
      <c r="UQO83" s="684"/>
      <c r="UQP83" s="684"/>
      <c r="UQQ83" s="684"/>
      <c r="UQR83" s="684"/>
      <c r="UQS83" s="684"/>
      <c r="UQT83" s="684"/>
      <c r="UQU83" s="684"/>
      <c r="UQV83" s="684"/>
      <c r="UQW83" s="684"/>
      <c r="UQX83" s="684"/>
      <c r="UQY83" s="684"/>
      <c r="UQZ83" s="684"/>
      <c r="URA83" s="684"/>
      <c r="URB83" s="684"/>
      <c r="URC83" s="684"/>
      <c r="URD83" s="684"/>
      <c r="URE83" s="684"/>
      <c r="URF83" s="684"/>
      <c r="URG83" s="684"/>
      <c r="URH83" s="684"/>
      <c r="URI83" s="684"/>
      <c r="URJ83" s="684"/>
      <c r="URK83" s="684"/>
      <c r="URL83" s="684"/>
      <c r="URM83" s="684"/>
      <c r="URN83" s="684"/>
      <c r="URO83" s="684"/>
      <c r="URP83" s="684"/>
      <c r="URQ83" s="684"/>
      <c r="URR83" s="684"/>
      <c r="URS83" s="684"/>
      <c r="URT83" s="684"/>
      <c r="URU83" s="684"/>
      <c r="URV83" s="684"/>
      <c r="URW83" s="684"/>
      <c r="URX83" s="684"/>
      <c r="URY83" s="684"/>
      <c r="URZ83" s="684"/>
      <c r="USA83" s="684"/>
      <c r="USB83" s="684"/>
      <c r="USC83" s="684"/>
      <c r="USD83" s="684"/>
      <c r="USE83" s="684"/>
      <c r="USF83" s="684"/>
      <c r="USG83" s="684"/>
      <c r="USH83" s="684"/>
      <c r="USI83" s="684"/>
      <c r="USJ83" s="684"/>
      <c r="USK83" s="684"/>
      <c r="USL83" s="684"/>
      <c r="USM83" s="684"/>
      <c r="USN83" s="684"/>
      <c r="USO83" s="684"/>
      <c r="USP83" s="684"/>
      <c r="USQ83" s="684"/>
      <c r="USR83" s="684"/>
      <c r="USS83" s="684"/>
      <c r="UST83" s="684"/>
      <c r="USU83" s="684"/>
      <c r="USV83" s="684"/>
      <c r="USW83" s="684"/>
      <c r="USX83" s="684"/>
      <c r="USY83" s="684"/>
      <c r="USZ83" s="684"/>
      <c r="UTA83" s="684"/>
      <c r="UTB83" s="684"/>
      <c r="UTC83" s="684"/>
      <c r="UTD83" s="684"/>
      <c r="UTE83" s="684"/>
      <c r="UTF83" s="684"/>
      <c r="UTG83" s="684"/>
      <c r="UTH83" s="684"/>
      <c r="UTI83" s="684"/>
      <c r="UTJ83" s="684"/>
      <c r="UTK83" s="684"/>
      <c r="UTL83" s="684"/>
      <c r="UTM83" s="684"/>
      <c r="UTN83" s="684"/>
      <c r="UTO83" s="684"/>
      <c r="UTP83" s="684"/>
      <c r="UTQ83" s="684"/>
      <c r="UTR83" s="684"/>
      <c r="UTS83" s="684"/>
      <c r="UTT83" s="684"/>
      <c r="UTU83" s="684"/>
      <c r="UTV83" s="684"/>
      <c r="UTW83" s="684"/>
      <c r="UTX83" s="684"/>
      <c r="UTY83" s="684"/>
      <c r="UTZ83" s="684"/>
      <c r="UUA83" s="684"/>
      <c r="UUB83" s="684"/>
      <c r="UUC83" s="684"/>
      <c r="UUD83" s="684"/>
      <c r="UUE83" s="684"/>
      <c r="UUF83" s="684"/>
      <c r="UUG83" s="684"/>
      <c r="UUH83" s="684"/>
      <c r="UUI83" s="684"/>
      <c r="UUJ83" s="684"/>
      <c r="UUK83" s="684"/>
      <c r="UUL83" s="684"/>
      <c r="UUM83" s="684"/>
      <c r="UUN83" s="684"/>
      <c r="UUO83" s="684"/>
      <c r="UUP83" s="684"/>
      <c r="UUQ83" s="684"/>
      <c r="UUR83" s="684"/>
      <c r="UUS83" s="684"/>
      <c r="UUT83" s="684"/>
      <c r="UUU83" s="684"/>
      <c r="UUV83" s="684"/>
      <c r="UUW83" s="684"/>
      <c r="UUX83" s="684"/>
      <c r="UUY83" s="684"/>
      <c r="UUZ83" s="684"/>
      <c r="UVA83" s="684"/>
      <c r="UVB83" s="684"/>
      <c r="UVC83" s="684"/>
      <c r="UVD83" s="684"/>
      <c r="UVE83" s="684"/>
      <c r="UVF83" s="684"/>
      <c r="UVG83" s="684"/>
      <c r="UVH83" s="684"/>
      <c r="UVI83" s="684"/>
      <c r="UVJ83" s="684"/>
      <c r="UVK83" s="684"/>
      <c r="UVL83" s="684"/>
      <c r="UVM83" s="684"/>
      <c r="UVN83" s="684"/>
      <c r="UVO83" s="684"/>
      <c r="UVP83" s="684"/>
      <c r="UVQ83" s="684"/>
      <c r="UVR83" s="684"/>
      <c r="UVS83" s="684"/>
      <c r="UVT83" s="684"/>
      <c r="UVU83" s="684"/>
      <c r="UVV83" s="684"/>
      <c r="UVW83" s="684"/>
      <c r="UVX83" s="684"/>
      <c r="UVY83" s="684"/>
      <c r="UVZ83" s="684"/>
      <c r="UWA83" s="684"/>
      <c r="UWB83" s="684"/>
      <c r="UWC83" s="684"/>
      <c r="UWD83" s="684"/>
      <c r="UWE83" s="684"/>
      <c r="UWF83" s="684"/>
      <c r="UWG83" s="684"/>
      <c r="UWH83" s="684"/>
      <c r="UWI83" s="684"/>
      <c r="UWJ83" s="684"/>
      <c r="UWK83" s="684"/>
      <c r="UWL83" s="684"/>
      <c r="UWM83" s="684"/>
      <c r="UWN83" s="684"/>
      <c r="UWO83" s="684"/>
      <c r="UWP83" s="684"/>
      <c r="UWQ83" s="684"/>
      <c r="UWR83" s="684"/>
      <c r="UWS83" s="684"/>
      <c r="UWT83" s="684"/>
      <c r="UWU83" s="684"/>
      <c r="UWV83" s="684"/>
      <c r="UWW83" s="684"/>
      <c r="UWX83" s="684"/>
      <c r="UWY83" s="684"/>
      <c r="UWZ83" s="684"/>
      <c r="UXA83" s="684"/>
      <c r="UXB83" s="684"/>
      <c r="UXC83" s="684"/>
      <c r="UXD83" s="684"/>
      <c r="UXE83" s="684"/>
      <c r="UXF83" s="684"/>
      <c r="UXG83" s="684"/>
      <c r="UXH83" s="684"/>
      <c r="UXI83" s="684"/>
      <c r="UXJ83" s="684"/>
      <c r="UXK83" s="684"/>
      <c r="UXL83" s="684"/>
      <c r="UXM83" s="684"/>
      <c r="UXN83" s="684"/>
      <c r="UXO83" s="684"/>
      <c r="UXP83" s="684"/>
      <c r="UXQ83" s="684"/>
      <c r="UXR83" s="684"/>
      <c r="UXS83" s="684"/>
      <c r="UXT83" s="684"/>
      <c r="UXU83" s="684"/>
      <c r="UXV83" s="684"/>
      <c r="UXW83" s="684"/>
      <c r="UXX83" s="684"/>
      <c r="UXY83" s="684"/>
      <c r="UXZ83" s="684"/>
      <c r="UYA83" s="684"/>
      <c r="UYB83" s="684"/>
      <c r="UYC83" s="684"/>
      <c r="UYD83" s="684"/>
      <c r="UYE83" s="684"/>
      <c r="UYF83" s="684"/>
      <c r="UYG83" s="684"/>
      <c r="UYH83" s="684"/>
      <c r="UYI83" s="684"/>
      <c r="UYJ83" s="684"/>
      <c r="UYK83" s="684"/>
      <c r="UYL83" s="684"/>
      <c r="UYM83" s="684"/>
      <c r="UYN83" s="684"/>
      <c r="UYO83" s="684"/>
      <c r="UYP83" s="684"/>
      <c r="UYQ83" s="684"/>
      <c r="UYR83" s="684"/>
      <c r="UYS83" s="684"/>
      <c r="UYT83" s="684"/>
      <c r="UYU83" s="684"/>
      <c r="UYV83" s="684"/>
      <c r="UYW83" s="684"/>
      <c r="UYX83" s="684"/>
      <c r="UYY83" s="684"/>
      <c r="UYZ83" s="684"/>
      <c r="UZA83" s="684"/>
      <c r="UZB83" s="684"/>
      <c r="UZC83" s="684"/>
      <c r="UZD83" s="684"/>
      <c r="UZE83" s="684"/>
      <c r="UZF83" s="684"/>
      <c r="UZG83" s="684"/>
      <c r="UZH83" s="684"/>
      <c r="UZI83" s="684"/>
      <c r="UZJ83" s="684"/>
      <c r="UZK83" s="684"/>
      <c r="UZL83" s="684"/>
      <c r="UZM83" s="684"/>
      <c r="UZN83" s="684"/>
      <c r="UZO83" s="684"/>
      <c r="UZP83" s="684"/>
      <c r="UZQ83" s="684"/>
      <c r="UZR83" s="684"/>
      <c r="UZS83" s="684"/>
      <c r="UZT83" s="684"/>
      <c r="UZU83" s="684"/>
      <c r="UZV83" s="684"/>
      <c r="UZW83" s="684"/>
      <c r="UZX83" s="684"/>
      <c r="UZY83" s="684"/>
      <c r="UZZ83" s="684"/>
      <c r="VAA83" s="684"/>
      <c r="VAB83" s="684"/>
      <c r="VAC83" s="684"/>
      <c r="VAD83" s="684"/>
      <c r="VAE83" s="684"/>
      <c r="VAF83" s="684"/>
      <c r="VAG83" s="684"/>
      <c r="VAH83" s="684"/>
      <c r="VAI83" s="684"/>
      <c r="VAJ83" s="684"/>
      <c r="VAK83" s="684"/>
      <c r="VAL83" s="684"/>
      <c r="VAM83" s="684"/>
      <c r="VAN83" s="684"/>
      <c r="VAO83" s="684"/>
      <c r="VAP83" s="684"/>
      <c r="VAQ83" s="684"/>
      <c r="VAR83" s="684"/>
      <c r="VAS83" s="684"/>
      <c r="VAT83" s="684"/>
      <c r="VAU83" s="684"/>
      <c r="VAV83" s="684"/>
      <c r="VAW83" s="684"/>
      <c r="VAX83" s="684"/>
      <c r="VAY83" s="684"/>
      <c r="VAZ83" s="684"/>
      <c r="VBA83" s="684"/>
      <c r="VBB83" s="684"/>
      <c r="VBC83" s="684"/>
      <c r="VBD83" s="684"/>
      <c r="VBE83" s="684"/>
      <c r="VBF83" s="684"/>
      <c r="VBG83" s="684"/>
      <c r="VBH83" s="684"/>
      <c r="VBI83" s="684"/>
      <c r="VBJ83" s="684"/>
      <c r="VBK83" s="684"/>
      <c r="VBL83" s="684"/>
      <c r="VBM83" s="684"/>
      <c r="VBN83" s="684"/>
      <c r="VBO83" s="684"/>
      <c r="VBP83" s="684"/>
      <c r="VBQ83" s="684"/>
      <c r="VBR83" s="684"/>
      <c r="VBS83" s="684"/>
      <c r="VBT83" s="684"/>
      <c r="VBU83" s="684"/>
      <c r="VBV83" s="684"/>
      <c r="VBW83" s="684"/>
      <c r="VBX83" s="684"/>
      <c r="VBY83" s="684"/>
      <c r="VBZ83" s="684"/>
      <c r="VCA83" s="684"/>
      <c r="VCB83" s="684"/>
      <c r="VCC83" s="684"/>
      <c r="VCD83" s="684"/>
      <c r="VCE83" s="684"/>
      <c r="VCF83" s="684"/>
      <c r="VCG83" s="684"/>
      <c r="VCH83" s="684"/>
      <c r="VCI83" s="684"/>
      <c r="VCJ83" s="684"/>
      <c r="VCK83" s="684"/>
      <c r="VCL83" s="684"/>
      <c r="VCM83" s="684"/>
      <c r="VCN83" s="684"/>
      <c r="VCO83" s="684"/>
      <c r="VCP83" s="684"/>
      <c r="VCQ83" s="684"/>
      <c r="VCR83" s="684"/>
      <c r="VCS83" s="684"/>
      <c r="VCT83" s="684"/>
      <c r="VCU83" s="684"/>
      <c r="VCV83" s="684"/>
      <c r="VCW83" s="684"/>
      <c r="VCX83" s="684"/>
      <c r="VCY83" s="684"/>
      <c r="VCZ83" s="684"/>
      <c r="VDA83" s="684"/>
      <c r="VDB83" s="684"/>
      <c r="VDC83" s="684"/>
      <c r="VDD83" s="684"/>
      <c r="VDE83" s="684"/>
      <c r="VDF83" s="684"/>
      <c r="VDG83" s="684"/>
      <c r="VDH83" s="684"/>
      <c r="VDI83" s="684"/>
      <c r="VDJ83" s="684"/>
      <c r="VDK83" s="684"/>
      <c r="VDL83" s="684"/>
      <c r="VDM83" s="684"/>
      <c r="VDN83" s="684"/>
      <c r="VDO83" s="684"/>
      <c r="VDP83" s="684"/>
      <c r="VDQ83" s="684"/>
      <c r="VDR83" s="684"/>
      <c r="VDS83" s="684"/>
      <c r="VDT83" s="684"/>
      <c r="VDU83" s="684"/>
      <c r="VDV83" s="684"/>
      <c r="VDW83" s="684"/>
      <c r="VDX83" s="684"/>
      <c r="VDY83" s="684"/>
      <c r="VDZ83" s="684"/>
      <c r="VEA83" s="684"/>
      <c r="VEB83" s="684"/>
      <c r="VEC83" s="684"/>
      <c r="VED83" s="684"/>
      <c r="VEE83" s="684"/>
      <c r="VEF83" s="684"/>
      <c r="VEG83" s="684"/>
      <c r="VEH83" s="684"/>
      <c r="VEI83" s="684"/>
      <c r="VEJ83" s="684"/>
      <c r="VEK83" s="684"/>
      <c r="VEL83" s="684"/>
      <c r="VEM83" s="684"/>
      <c r="VEN83" s="684"/>
      <c r="VEO83" s="684"/>
      <c r="VEP83" s="684"/>
      <c r="VEQ83" s="684"/>
      <c r="VER83" s="684"/>
      <c r="VES83" s="684"/>
      <c r="VET83" s="684"/>
      <c r="VEU83" s="684"/>
      <c r="VEV83" s="684"/>
      <c r="VEW83" s="684"/>
      <c r="VEX83" s="684"/>
      <c r="VEY83" s="684"/>
      <c r="VEZ83" s="684"/>
      <c r="VFA83" s="684"/>
      <c r="VFB83" s="684"/>
      <c r="VFC83" s="684"/>
      <c r="VFD83" s="684"/>
      <c r="VFE83" s="684"/>
      <c r="VFF83" s="684"/>
      <c r="VFG83" s="684"/>
      <c r="VFH83" s="684"/>
      <c r="VFI83" s="684"/>
      <c r="VFJ83" s="684"/>
      <c r="VFK83" s="684"/>
      <c r="VFL83" s="684"/>
      <c r="VFM83" s="684"/>
      <c r="VFN83" s="684"/>
      <c r="VFO83" s="684"/>
      <c r="VFP83" s="684"/>
      <c r="VFQ83" s="684"/>
      <c r="VFR83" s="684"/>
      <c r="VFS83" s="684"/>
      <c r="VFT83" s="684"/>
      <c r="VFU83" s="684"/>
      <c r="VFV83" s="684"/>
      <c r="VFW83" s="684"/>
      <c r="VFX83" s="684"/>
      <c r="VFY83" s="684"/>
      <c r="VFZ83" s="684"/>
      <c r="VGA83" s="684"/>
      <c r="VGB83" s="684"/>
      <c r="VGC83" s="684"/>
      <c r="VGD83" s="684"/>
      <c r="VGE83" s="684"/>
      <c r="VGF83" s="684"/>
      <c r="VGG83" s="684"/>
      <c r="VGH83" s="684"/>
      <c r="VGI83" s="684"/>
      <c r="VGJ83" s="684"/>
      <c r="VGK83" s="684"/>
      <c r="VGL83" s="684"/>
      <c r="VGM83" s="684"/>
      <c r="VGN83" s="684"/>
      <c r="VGO83" s="684"/>
      <c r="VGP83" s="684"/>
      <c r="VGQ83" s="684"/>
      <c r="VGR83" s="684"/>
      <c r="VGS83" s="684"/>
      <c r="VGT83" s="684"/>
      <c r="VGU83" s="684"/>
      <c r="VGV83" s="684"/>
      <c r="VGW83" s="684"/>
      <c r="VGX83" s="684"/>
      <c r="VGY83" s="684"/>
      <c r="VGZ83" s="684"/>
      <c r="VHA83" s="684"/>
      <c r="VHB83" s="684"/>
      <c r="VHC83" s="684"/>
      <c r="VHD83" s="684"/>
      <c r="VHE83" s="684"/>
      <c r="VHF83" s="684"/>
      <c r="VHG83" s="684"/>
      <c r="VHH83" s="684"/>
      <c r="VHI83" s="684"/>
      <c r="VHJ83" s="684"/>
      <c r="VHK83" s="684"/>
      <c r="VHL83" s="684"/>
      <c r="VHM83" s="684"/>
      <c r="VHN83" s="684"/>
      <c r="VHO83" s="684"/>
      <c r="VHP83" s="684"/>
      <c r="VHQ83" s="684"/>
      <c r="VHR83" s="684"/>
      <c r="VHS83" s="684"/>
      <c r="VHT83" s="684"/>
      <c r="VHU83" s="684"/>
      <c r="VHV83" s="684"/>
      <c r="VHW83" s="684"/>
      <c r="VHX83" s="684"/>
      <c r="VHY83" s="684"/>
      <c r="VHZ83" s="684"/>
      <c r="VIA83" s="684"/>
      <c r="VIB83" s="684"/>
      <c r="VIC83" s="684"/>
      <c r="VID83" s="684"/>
      <c r="VIE83" s="684"/>
      <c r="VIF83" s="684"/>
      <c r="VIG83" s="684"/>
      <c r="VIH83" s="684"/>
      <c r="VII83" s="684"/>
      <c r="VIJ83" s="684"/>
      <c r="VIK83" s="684"/>
      <c r="VIL83" s="684"/>
      <c r="VIM83" s="684"/>
      <c r="VIN83" s="684"/>
      <c r="VIO83" s="684"/>
      <c r="VIP83" s="684"/>
      <c r="VIQ83" s="684"/>
      <c r="VIR83" s="684"/>
      <c r="VIS83" s="684"/>
      <c r="VIT83" s="684"/>
      <c r="VIU83" s="684"/>
      <c r="VIV83" s="684"/>
      <c r="VIW83" s="684"/>
      <c r="VIX83" s="684"/>
      <c r="VIY83" s="684"/>
      <c r="VIZ83" s="684"/>
      <c r="VJA83" s="684"/>
      <c r="VJB83" s="684"/>
      <c r="VJC83" s="684"/>
      <c r="VJD83" s="684"/>
      <c r="VJE83" s="684"/>
      <c r="VJF83" s="684"/>
      <c r="VJG83" s="684"/>
      <c r="VJH83" s="684"/>
      <c r="VJI83" s="684"/>
      <c r="VJJ83" s="684"/>
      <c r="VJK83" s="684"/>
      <c r="VJL83" s="684"/>
      <c r="VJM83" s="684"/>
      <c r="VJN83" s="684"/>
      <c r="VJO83" s="684"/>
      <c r="VJP83" s="684"/>
      <c r="VJQ83" s="684"/>
      <c r="VJR83" s="684"/>
      <c r="VJS83" s="684"/>
      <c r="VJT83" s="684"/>
      <c r="VJU83" s="684"/>
      <c r="VJV83" s="684"/>
      <c r="VJW83" s="684"/>
      <c r="VJX83" s="684"/>
      <c r="VJY83" s="684"/>
      <c r="VJZ83" s="684"/>
      <c r="VKA83" s="684"/>
      <c r="VKB83" s="684"/>
      <c r="VKC83" s="684"/>
      <c r="VKD83" s="684"/>
      <c r="VKE83" s="684"/>
      <c r="VKF83" s="684"/>
      <c r="VKG83" s="684"/>
      <c r="VKH83" s="684"/>
      <c r="VKI83" s="684"/>
      <c r="VKJ83" s="684"/>
      <c r="VKK83" s="684"/>
      <c r="VKL83" s="684"/>
      <c r="VKM83" s="684"/>
      <c r="VKN83" s="684"/>
      <c r="VKO83" s="684"/>
      <c r="VKP83" s="684"/>
      <c r="VKQ83" s="684"/>
      <c r="VKR83" s="684"/>
      <c r="VKS83" s="684"/>
      <c r="VKT83" s="684"/>
      <c r="VKU83" s="684"/>
      <c r="VKV83" s="684"/>
      <c r="VKW83" s="684"/>
      <c r="VKX83" s="684"/>
      <c r="VKY83" s="684"/>
      <c r="VKZ83" s="684"/>
      <c r="VLA83" s="684"/>
      <c r="VLB83" s="684"/>
      <c r="VLC83" s="684"/>
      <c r="VLD83" s="684"/>
      <c r="VLE83" s="684"/>
      <c r="VLF83" s="684"/>
      <c r="VLG83" s="684"/>
      <c r="VLH83" s="684"/>
      <c r="VLI83" s="684"/>
      <c r="VLJ83" s="684"/>
      <c r="VLK83" s="684"/>
      <c r="VLL83" s="684"/>
      <c r="VLM83" s="684"/>
      <c r="VLN83" s="684"/>
      <c r="VLO83" s="684"/>
      <c r="VLP83" s="684"/>
      <c r="VLQ83" s="684"/>
      <c r="VLR83" s="684"/>
      <c r="VLS83" s="684"/>
      <c r="VLT83" s="684"/>
      <c r="VLU83" s="684"/>
      <c r="VLV83" s="684"/>
      <c r="VLW83" s="684"/>
      <c r="VLX83" s="684"/>
      <c r="VLY83" s="684"/>
      <c r="VLZ83" s="684"/>
      <c r="VMA83" s="684"/>
      <c r="VMB83" s="684"/>
      <c r="VMC83" s="684"/>
      <c r="VMD83" s="684"/>
      <c r="VME83" s="684"/>
      <c r="VMF83" s="684"/>
      <c r="VMG83" s="684"/>
      <c r="VMH83" s="684"/>
      <c r="VMI83" s="684"/>
      <c r="VMJ83" s="684"/>
      <c r="VMK83" s="684"/>
      <c r="VML83" s="684"/>
      <c r="VMM83" s="684"/>
      <c r="VMN83" s="684"/>
      <c r="VMO83" s="684"/>
      <c r="VMP83" s="684"/>
      <c r="VMQ83" s="684"/>
      <c r="VMR83" s="684"/>
      <c r="VMS83" s="684"/>
      <c r="VMT83" s="684"/>
      <c r="VMU83" s="684"/>
      <c r="VMV83" s="684"/>
      <c r="VMW83" s="684"/>
      <c r="VMX83" s="684"/>
      <c r="VMY83" s="684"/>
      <c r="VMZ83" s="684"/>
      <c r="VNA83" s="684"/>
      <c r="VNB83" s="684"/>
      <c r="VNC83" s="684"/>
      <c r="VND83" s="684"/>
      <c r="VNE83" s="684"/>
      <c r="VNF83" s="684"/>
      <c r="VNG83" s="684"/>
      <c r="VNH83" s="684"/>
      <c r="VNI83" s="684"/>
      <c r="VNJ83" s="684"/>
      <c r="VNK83" s="684"/>
      <c r="VNL83" s="684"/>
      <c r="VNM83" s="684"/>
      <c r="VNN83" s="684"/>
      <c r="VNO83" s="684"/>
      <c r="VNP83" s="684"/>
      <c r="VNQ83" s="684"/>
      <c r="VNR83" s="684"/>
      <c r="VNS83" s="684"/>
      <c r="VNT83" s="684"/>
      <c r="VNU83" s="684"/>
      <c r="VNV83" s="684"/>
      <c r="VNW83" s="684"/>
      <c r="VNX83" s="684"/>
      <c r="VNY83" s="684"/>
      <c r="VNZ83" s="684"/>
      <c r="VOA83" s="684"/>
      <c r="VOB83" s="684"/>
      <c r="VOC83" s="684"/>
      <c r="VOD83" s="684"/>
      <c r="VOE83" s="684"/>
      <c r="VOF83" s="684"/>
      <c r="VOG83" s="684"/>
      <c r="VOH83" s="684"/>
      <c r="VOI83" s="684"/>
      <c r="VOJ83" s="684"/>
      <c r="VOK83" s="684"/>
      <c r="VOL83" s="684"/>
      <c r="VOM83" s="684"/>
      <c r="VON83" s="684"/>
      <c r="VOO83" s="684"/>
      <c r="VOP83" s="684"/>
      <c r="VOQ83" s="684"/>
      <c r="VOR83" s="684"/>
      <c r="VOS83" s="684"/>
      <c r="VOT83" s="684"/>
      <c r="VOU83" s="684"/>
      <c r="VOV83" s="684"/>
      <c r="VOW83" s="684"/>
      <c r="VOX83" s="684"/>
      <c r="VOY83" s="684"/>
      <c r="VOZ83" s="684"/>
      <c r="VPA83" s="684"/>
      <c r="VPB83" s="684"/>
      <c r="VPC83" s="684"/>
      <c r="VPD83" s="684"/>
      <c r="VPE83" s="684"/>
      <c r="VPF83" s="684"/>
      <c r="VPG83" s="684"/>
      <c r="VPH83" s="684"/>
      <c r="VPI83" s="684"/>
      <c r="VPJ83" s="684"/>
      <c r="VPK83" s="684"/>
      <c r="VPL83" s="684"/>
      <c r="VPM83" s="684"/>
      <c r="VPN83" s="684"/>
      <c r="VPO83" s="684"/>
      <c r="VPP83" s="684"/>
      <c r="VPQ83" s="684"/>
      <c r="VPR83" s="684"/>
      <c r="VPS83" s="684"/>
      <c r="VPT83" s="684"/>
      <c r="VPU83" s="684"/>
      <c r="VPV83" s="684"/>
      <c r="VPW83" s="684"/>
      <c r="VPX83" s="684"/>
      <c r="VPY83" s="684"/>
      <c r="VPZ83" s="684"/>
      <c r="VQA83" s="684"/>
      <c r="VQB83" s="684"/>
      <c r="VQC83" s="684"/>
      <c r="VQD83" s="684"/>
      <c r="VQE83" s="684"/>
      <c r="VQF83" s="684"/>
      <c r="VQG83" s="684"/>
      <c r="VQH83" s="684"/>
      <c r="VQI83" s="684"/>
      <c r="VQJ83" s="684"/>
      <c r="VQK83" s="684"/>
      <c r="VQL83" s="684"/>
      <c r="VQM83" s="684"/>
      <c r="VQN83" s="684"/>
      <c r="VQO83" s="684"/>
      <c r="VQP83" s="684"/>
      <c r="VQQ83" s="684"/>
      <c r="VQR83" s="684"/>
      <c r="VQS83" s="684"/>
      <c r="VQT83" s="684"/>
      <c r="VQU83" s="684"/>
      <c r="VQV83" s="684"/>
      <c r="VQW83" s="684"/>
      <c r="VQX83" s="684"/>
      <c r="VQY83" s="684"/>
      <c r="VQZ83" s="684"/>
      <c r="VRA83" s="684"/>
      <c r="VRB83" s="684"/>
      <c r="VRC83" s="684"/>
      <c r="VRD83" s="684"/>
      <c r="VRE83" s="684"/>
      <c r="VRF83" s="684"/>
      <c r="VRG83" s="684"/>
      <c r="VRH83" s="684"/>
      <c r="VRI83" s="684"/>
      <c r="VRJ83" s="684"/>
      <c r="VRK83" s="684"/>
      <c r="VRL83" s="684"/>
      <c r="VRM83" s="684"/>
      <c r="VRN83" s="684"/>
      <c r="VRO83" s="684"/>
      <c r="VRP83" s="684"/>
      <c r="VRQ83" s="684"/>
      <c r="VRR83" s="684"/>
      <c r="VRS83" s="684"/>
      <c r="VRT83" s="684"/>
      <c r="VRU83" s="684"/>
      <c r="VRV83" s="684"/>
      <c r="VRW83" s="684"/>
      <c r="VRX83" s="684"/>
      <c r="VRY83" s="684"/>
      <c r="VRZ83" s="684"/>
      <c r="VSA83" s="684"/>
      <c r="VSB83" s="684"/>
      <c r="VSC83" s="684"/>
      <c r="VSD83" s="684"/>
      <c r="VSE83" s="684"/>
      <c r="VSF83" s="684"/>
      <c r="VSG83" s="684"/>
      <c r="VSH83" s="684"/>
      <c r="VSI83" s="684"/>
      <c r="VSJ83" s="684"/>
      <c r="VSK83" s="684"/>
      <c r="VSL83" s="684"/>
      <c r="VSM83" s="684"/>
      <c r="VSN83" s="684"/>
      <c r="VSO83" s="684"/>
      <c r="VSP83" s="684"/>
      <c r="VSQ83" s="684"/>
      <c r="VSR83" s="684"/>
      <c r="VSS83" s="684"/>
      <c r="VST83" s="684"/>
      <c r="VSU83" s="684"/>
      <c r="VSV83" s="684"/>
      <c r="VSW83" s="684"/>
      <c r="VSX83" s="684"/>
      <c r="VSY83" s="684"/>
      <c r="VSZ83" s="684"/>
      <c r="VTA83" s="684"/>
      <c r="VTB83" s="684"/>
      <c r="VTC83" s="684"/>
      <c r="VTD83" s="684"/>
      <c r="VTE83" s="684"/>
      <c r="VTF83" s="684"/>
      <c r="VTG83" s="684"/>
      <c r="VTH83" s="684"/>
      <c r="VTI83" s="684"/>
      <c r="VTJ83" s="684"/>
      <c r="VTK83" s="684"/>
      <c r="VTL83" s="684"/>
      <c r="VTM83" s="684"/>
      <c r="VTN83" s="684"/>
      <c r="VTO83" s="684"/>
      <c r="VTP83" s="684"/>
      <c r="VTQ83" s="684"/>
      <c r="VTR83" s="684"/>
      <c r="VTS83" s="684"/>
      <c r="VTT83" s="684"/>
      <c r="VTU83" s="684"/>
      <c r="VTV83" s="684"/>
      <c r="VTW83" s="684"/>
      <c r="VTX83" s="684"/>
      <c r="VTY83" s="684"/>
      <c r="VTZ83" s="684"/>
      <c r="VUA83" s="684"/>
      <c r="VUB83" s="684"/>
      <c r="VUC83" s="684"/>
      <c r="VUD83" s="684"/>
      <c r="VUE83" s="684"/>
      <c r="VUF83" s="684"/>
      <c r="VUG83" s="684"/>
      <c r="VUH83" s="684"/>
      <c r="VUI83" s="684"/>
      <c r="VUJ83" s="684"/>
      <c r="VUK83" s="684"/>
      <c r="VUL83" s="684"/>
      <c r="VUM83" s="684"/>
      <c r="VUN83" s="684"/>
      <c r="VUO83" s="684"/>
      <c r="VUP83" s="684"/>
      <c r="VUQ83" s="684"/>
      <c r="VUR83" s="684"/>
      <c r="VUS83" s="684"/>
      <c r="VUT83" s="684"/>
      <c r="VUU83" s="684"/>
      <c r="VUV83" s="684"/>
      <c r="VUW83" s="684"/>
      <c r="VUX83" s="684"/>
      <c r="VUY83" s="684"/>
      <c r="VUZ83" s="684"/>
      <c r="VVA83" s="684"/>
      <c r="VVB83" s="684"/>
      <c r="VVC83" s="684"/>
      <c r="VVD83" s="684"/>
      <c r="VVE83" s="684"/>
      <c r="VVF83" s="684"/>
      <c r="VVG83" s="684"/>
      <c r="VVH83" s="684"/>
      <c r="VVI83" s="684"/>
      <c r="VVJ83" s="684"/>
      <c r="VVK83" s="684"/>
      <c r="VVL83" s="684"/>
      <c r="VVM83" s="684"/>
      <c r="VVN83" s="684"/>
      <c r="VVO83" s="684"/>
      <c r="VVP83" s="684"/>
      <c r="VVQ83" s="684"/>
      <c r="VVR83" s="684"/>
      <c r="VVS83" s="684"/>
      <c r="VVT83" s="684"/>
      <c r="VVU83" s="684"/>
      <c r="VVV83" s="684"/>
      <c r="VVW83" s="684"/>
      <c r="VVX83" s="684"/>
      <c r="VVY83" s="684"/>
      <c r="VVZ83" s="684"/>
      <c r="VWA83" s="684"/>
      <c r="VWB83" s="684"/>
      <c r="VWC83" s="684"/>
      <c r="VWD83" s="684"/>
      <c r="VWE83" s="684"/>
      <c r="VWF83" s="684"/>
      <c r="VWG83" s="684"/>
      <c r="VWH83" s="684"/>
      <c r="VWI83" s="684"/>
      <c r="VWJ83" s="684"/>
      <c r="VWK83" s="684"/>
      <c r="VWL83" s="684"/>
      <c r="VWM83" s="684"/>
      <c r="VWN83" s="684"/>
      <c r="VWO83" s="684"/>
      <c r="VWP83" s="684"/>
      <c r="VWQ83" s="684"/>
      <c r="VWR83" s="684"/>
      <c r="VWS83" s="684"/>
      <c r="VWT83" s="684"/>
      <c r="VWU83" s="684"/>
      <c r="VWV83" s="684"/>
      <c r="VWW83" s="684"/>
      <c r="VWX83" s="684"/>
      <c r="VWY83" s="684"/>
      <c r="VWZ83" s="684"/>
      <c r="VXA83" s="684"/>
      <c r="VXB83" s="684"/>
      <c r="VXC83" s="684"/>
      <c r="VXD83" s="684"/>
      <c r="VXE83" s="684"/>
      <c r="VXF83" s="684"/>
      <c r="VXG83" s="684"/>
      <c r="VXH83" s="684"/>
      <c r="VXI83" s="684"/>
      <c r="VXJ83" s="684"/>
      <c r="VXK83" s="684"/>
      <c r="VXL83" s="684"/>
      <c r="VXM83" s="684"/>
      <c r="VXN83" s="684"/>
      <c r="VXO83" s="684"/>
      <c r="VXP83" s="684"/>
      <c r="VXQ83" s="684"/>
      <c r="VXR83" s="684"/>
      <c r="VXS83" s="684"/>
      <c r="VXT83" s="684"/>
      <c r="VXU83" s="684"/>
      <c r="VXV83" s="684"/>
      <c r="VXW83" s="684"/>
      <c r="VXX83" s="684"/>
      <c r="VXY83" s="684"/>
      <c r="VXZ83" s="684"/>
      <c r="VYA83" s="684"/>
      <c r="VYB83" s="684"/>
      <c r="VYC83" s="684"/>
      <c r="VYD83" s="684"/>
      <c r="VYE83" s="684"/>
      <c r="VYF83" s="684"/>
      <c r="VYG83" s="684"/>
      <c r="VYH83" s="684"/>
      <c r="VYI83" s="684"/>
      <c r="VYJ83" s="684"/>
      <c r="VYK83" s="684"/>
      <c r="VYL83" s="684"/>
      <c r="VYM83" s="684"/>
      <c r="VYN83" s="684"/>
      <c r="VYO83" s="684"/>
      <c r="VYP83" s="684"/>
      <c r="VYQ83" s="684"/>
      <c r="VYR83" s="684"/>
      <c r="VYS83" s="684"/>
      <c r="VYT83" s="684"/>
      <c r="VYU83" s="684"/>
      <c r="VYV83" s="684"/>
      <c r="VYW83" s="684"/>
      <c r="VYX83" s="684"/>
      <c r="VYY83" s="684"/>
      <c r="VYZ83" s="684"/>
      <c r="VZA83" s="684"/>
      <c r="VZB83" s="684"/>
      <c r="VZC83" s="684"/>
      <c r="VZD83" s="684"/>
      <c r="VZE83" s="684"/>
      <c r="VZF83" s="684"/>
      <c r="VZG83" s="684"/>
      <c r="VZH83" s="684"/>
      <c r="VZI83" s="684"/>
      <c r="VZJ83" s="684"/>
      <c r="VZK83" s="684"/>
      <c r="VZL83" s="684"/>
      <c r="VZM83" s="684"/>
      <c r="VZN83" s="684"/>
      <c r="VZO83" s="684"/>
      <c r="VZP83" s="684"/>
      <c r="VZQ83" s="684"/>
      <c r="VZR83" s="684"/>
      <c r="VZS83" s="684"/>
      <c r="VZT83" s="684"/>
      <c r="VZU83" s="684"/>
      <c r="VZV83" s="684"/>
      <c r="VZW83" s="684"/>
      <c r="VZX83" s="684"/>
      <c r="VZY83" s="684"/>
      <c r="VZZ83" s="684"/>
      <c r="WAA83" s="684"/>
      <c r="WAB83" s="684"/>
      <c r="WAC83" s="684"/>
      <c r="WAD83" s="684"/>
      <c r="WAE83" s="684"/>
      <c r="WAF83" s="684"/>
      <c r="WAG83" s="684"/>
      <c r="WAH83" s="684"/>
      <c r="WAI83" s="684"/>
      <c r="WAJ83" s="684"/>
      <c r="WAK83" s="684"/>
      <c r="WAL83" s="684"/>
      <c r="WAM83" s="684"/>
      <c r="WAN83" s="684"/>
      <c r="WAO83" s="684"/>
      <c r="WAP83" s="684"/>
      <c r="WAQ83" s="684"/>
      <c r="WAR83" s="684"/>
      <c r="WAS83" s="684"/>
      <c r="WAT83" s="684"/>
      <c r="WAU83" s="684"/>
      <c r="WAV83" s="684"/>
      <c r="WAW83" s="684"/>
      <c r="WAX83" s="684"/>
      <c r="WAY83" s="684"/>
      <c r="WAZ83" s="684"/>
      <c r="WBA83" s="684"/>
      <c r="WBB83" s="684"/>
      <c r="WBC83" s="684"/>
      <c r="WBD83" s="684"/>
      <c r="WBE83" s="684"/>
      <c r="WBF83" s="684"/>
      <c r="WBG83" s="684"/>
      <c r="WBH83" s="684"/>
      <c r="WBI83" s="684"/>
      <c r="WBJ83" s="684"/>
      <c r="WBK83" s="684"/>
      <c r="WBL83" s="684"/>
      <c r="WBM83" s="684"/>
      <c r="WBN83" s="684"/>
      <c r="WBO83" s="684"/>
      <c r="WBP83" s="684"/>
      <c r="WBQ83" s="684"/>
      <c r="WBR83" s="684"/>
      <c r="WBS83" s="684"/>
      <c r="WBT83" s="684"/>
      <c r="WBU83" s="684"/>
      <c r="WBV83" s="684"/>
      <c r="WBW83" s="684"/>
      <c r="WBX83" s="684"/>
      <c r="WBY83" s="684"/>
      <c r="WBZ83" s="684"/>
      <c r="WCA83" s="684"/>
      <c r="WCB83" s="684"/>
      <c r="WCC83" s="684"/>
      <c r="WCD83" s="684"/>
      <c r="WCE83" s="684"/>
      <c r="WCF83" s="684"/>
      <c r="WCG83" s="684"/>
      <c r="WCH83" s="684"/>
      <c r="WCI83" s="684"/>
      <c r="WCJ83" s="684"/>
      <c r="WCK83" s="684"/>
      <c r="WCL83" s="684"/>
      <c r="WCM83" s="684"/>
      <c r="WCN83" s="684"/>
      <c r="WCO83" s="684"/>
      <c r="WCP83" s="684"/>
      <c r="WCQ83" s="684"/>
      <c r="WCR83" s="684"/>
      <c r="WCS83" s="684"/>
      <c r="WCT83" s="684"/>
      <c r="WCU83" s="684"/>
      <c r="WCV83" s="684"/>
      <c r="WCW83" s="684"/>
      <c r="WCX83" s="684"/>
      <c r="WCY83" s="684"/>
      <c r="WCZ83" s="684"/>
      <c r="WDA83" s="684"/>
      <c r="WDB83" s="684"/>
      <c r="WDC83" s="684"/>
      <c r="WDD83" s="684"/>
      <c r="WDE83" s="684"/>
      <c r="WDF83" s="684"/>
      <c r="WDG83" s="684"/>
      <c r="WDH83" s="684"/>
      <c r="WDI83" s="684"/>
      <c r="WDJ83" s="684"/>
      <c r="WDK83" s="684"/>
      <c r="WDL83" s="684"/>
      <c r="WDM83" s="684"/>
      <c r="WDN83" s="684"/>
      <c r="WDO83" s="684"/>
      <c r="WDP83" s="684"/>
      <c r="WDQ83" s="684"/>
      <c r="WDR83" s="684"/>
      <c r="WDS83" s="684"/>
      <c r="WDT83" s="684"/>
      <c r="WDU83" s="684"/>
      <c r="WDV83" s="684"/>
      <c r="WDW83" s="684"/>
      <c r="WDX83" s="684"/>
      <c r="WDY83" s="684"/>
      <c r="WDZ83" s="684"/>
      <c r="WEA83" s="684"/>
      <c r="WEB83" s="684"/>
      <c r="WEC83" s="684"/>
      <c r="WED83" s="684"/>
      <c r="WEE83" s="684"/>
      <c r="WEF83" s="684"/>
      <c r="WEG83" s="684"/>
      <c r="WEH83" s="684"/>
      <c r="WEI83" s="684"/>
      <c r="WEJ83" s="684"/>
      <c r="WEK83" s="684"/>
      <c r="WEL83" s="684"/>
      <c r="WEM83" s="684"/>
      <c r="WEN83" s="684"/>
      <c r="WEO83" s="684"/>
      <c r="WEP83" s="684"/>
      <c r="WEQ83" s="684"/>
      <c r="WER83" s="684"/>
      <c r="WES83" s="684"/>
      <c r="WET83" s="684"/>
      <c r="WEU83" s="684"/>
      <c r="WEV83" s="684"/>
      <c r="WEW83" s="684"/>
      <c r="WEX83" s="684"/>
      <c r="WEY83" s="684"/>
      <c r="WEZ83" s="684"/>
      <c r="WFA83" s="684"/>
      <c r="WFB83" s="684"/>
      <c r="WFC83" s="684"/>
      <c r="WFD83" s="684"/>
      <c r="WFE83" s="684"/>
      <c r="WFF83" s="684"/>
      <c r="WFG83" s="684"/>
      <c r="WFH83" s="684"/>
      <c r="WFI83" s="684"/>
      <c r="WFJ83" s="684"/>
      <c r="WFK83" s="684"/>
      <c r="WFL83" s="684"/>
      <c r="WFM83" s="684"/>
      <c r="WFN83" s="684"/>
      <c r="WFO83" s="684"/>
      <c r="WFP83" s="684"/>
      <c r="WFQ83" s="684"/>
      <c r="WFR83" s="684"/>
      <c r="WFS83" s="684"/>
      <c r="WFT83" s="684"/>
      <c r="WFU83" s="684"/>
      <c r="WFV83" s="684"/>
      <c r="WFW83" s="684"/>
      <c r="WFX83" s="684"/>
      <c r="WFY83" s="684"/>
      <c r="WFZ83" s="684"/>
      <c r="WGA83" s="684"/>
      <c r="WGB83" s="684"/>
      <c r="WGC83" s="684"/>
      <c r="WGD83" s="684"/>
      <c r="WGE83" s="684"/>
      <c r="WGF83" s="684"/>
      <c r="WGG83" s="684"/>
      <c r="WGH83" s="684"/>
      <c r="WGI83" s="684"/>
      <c r="WGJ83" s="684"/>
      <c r="WGK83" s="684"/>
      <c r="WGL83" s="684"/>
      <c r="WGM83" s="684"/>
      <c r="WGN83" s="684"/>
      <c r="WGO83" s="684"/>
      <c r="WGP83" s="684"/>
      <c r="WGQ83" s="684"/>
      <c r="WGR83" s="684"/>
      <c r="WGS83" s="684"/>
      <c r="WGT83" s="684"/>
      <c r="WGU83" s="684"/>
      <c r="WGV83" s="684"/>
      <c r="WGW83" s="684"/>
      <c r="WGX83" s="684"/>
      <c r="WGY83" s="684"/>
      <c r="WGZ83" s="684"/>
      <c r="WHA83" s="684"/>
      <c r="WHB83" s="684"/>
      <c r="WHC83" s="684"/>
      <c r="WHD83" s="684"/>
      <c r="WHE83" s="684"/>
      <c r="WHF83" s="684"/>
      <c r="WHG83" s="684"/>
      <c r="WHH83" s="684"/>
      <c r="WHI83" s="684"/>
      <c r="WHJ83" s="684"/>
      <c r="WHK83" s="684"/>
      <c r="WHL83" s="684"/>
      <c r="WHM83" s="684"/>
      <c r="WHN83" s="684"/>
      <c r="WHO83" s="684"/>
      <c r="WHP83" s="684"/>
      <c r="WHQ83" s="684"/>
      <c r="WHR83" s="684"/>
      <c r="WHS83" s="684"/>
      <c r="WHT83" s="684"/>
      <c r="WHU83" s="684"/>
      <c r="WHV83" s="684"/>
      <c r="WHW83" s="684"/>
      <c r="WHX83" s="684"/>
      <c r="WHY83" s="684"/>
      <c r="WHZ83" s="684"/>
      <c r="WIA83" s="684"/>
      <c r="WIB83" s="684"/>
      <c r="WIC83" s="684"/>
      <c r="WID83" s="684"/>
      <c r="WIE83" s="684"/>
      <c r="WIF83" s="684"/>
      <c r="WIG83" s="684"/>
      <c r="WIH83" s="684"/>
      <c r="WII83" s="684"/>
      <c r="WIJ83" s="684"/>
      <c r="WIK83" s="684"/>
      <c r="WIL83" s="684"/>
      <c r="WIM83" s="684"/>
      <c r="WIN83" s="684"/>
      <c r="WIO83" s="684"/>
      <c r="WIP83" s="684"/>
      <c r="WIQ83" s="684"/>
      <c r="WIR83" s="684"/>
      <c r="WIS83" s="684"/>
      <c r="WIT83" s="684"/>
      <c r="WIU83" s="684"/>
      <c r="WIV83" s="684"/>
      <c r="WIW83" s="684"/>
      <c r="WIX83" s="684"/>
      <c r="WIY83" s="684"/>
      <c r="WIZ83" s="684"/>
      <c r="WJA83" s="684"/>
      <c r="WJB83" s="684"/>
      <c r="WJC83" s="684"/>
      <c r="WJD83" s="684"/>
      <c r="WJE83" s="684"/>
      <c r="WJF83" s="684"/>
      <c r="WJG83" s="684"/>
      <c r="WJH83" s="684"/>
      <c r="WJI83" s="684"/>
      <c r="WJJ83" s="684"/>
      <c r="WJK83" s="684"/>
      <c r="WJL83" s="684"/>
      <c r="WJM83" s="684"/>
      <c r="WJN83" s="684"/>
      <c r="WJO83" s="684"/>
      <c r="WJP83" s="684"/>
      <c r="WJQ83" s="684"/>
      <c r="WJR83" s="684"/>
      <c r="WJS83" s="684"/>
      <c r="WJT83" s="684"/>
      <c r="WJU83" s="684"/>
      <c r="WJV83" s="684"/>
      <c r="WJW83" s="684"/>
      <c r="WJX83" s="684"/>
      <c r="WJY83" s="684"/>
      <c r="WJZ83" s="684"/>
      <c r="WKA83" s="684"/>
      <c r="WKB83" s="684"/>
      <c r="WKC83" s="684"/>
      <c r="WKD83" s="684"/>
      <c r="WKE83" s="684"/>
      <c r="WKF83" s="684"/>
      <c r="WKG83" s="684"/>
      <c r="WKH83" s="684"/>
      <c r="WKI83" s="684"/>
      <c r="WKJ83" s="684"/>
      <c r="WKK83" s="684"/>
      <c r="WKL83" s="684"/>
      <c r="WKM83" s="684"/>
      <c r="WKN83" s="684"/>
      <c r="WKO83" s="684"/>
      <c r="WKP83" s="684"/>
      <c r="WKQ83" s="684"/>
      <c r="WKR83" s="684"/>
      <c r="WKS83" s="684"/>
      <c r="WKT83" s="684"/>
      <c r="WKU83" s="684"/>
      <c r="WKV83" s="684"/>
      <c r="WKW83" s="684"/>
      <c r="WKX83" s="684"/>
      <c r="WKY83" s="684"/>
      <c r="WKZ83" s="684"/>
      <c r="WLA83" s="684"/>
      <c r="WLB83" s="684"/>
      <c r="WLC83" s="684"/>
      <c r="WLD83" s="684"/>
      <c r="WLE83" s="684"/>
      <c r="WLF83" s="684"/>
      <c r="WLG83" s="684"/>
      <c r="WLH83" s="684"/>
      <c r="WLI83" s="684"/>
      <c r="WLJ83" s="684"/>
      <c r="WLK83" s="684"/>
      <c r="WLL83" s="684"/>
      <c r="WLM83" s="684"/>
      <c r="WLN83" s="684"/>
      <c r="WLO83" s="684"/>
      <c r="WLP83" s="684"/>
      <c r="WLQ83" s="684"/>
      <c r="WLR83" s="684"/>
      <c r="WLS83" s="684"/>
      <c r="WLT83" s="684"/>
      <c r="WLU83" s="684"/>
      <c r="WLV83" s="684"/>
      <c r="WLW83" s="684"/>
      <c r="WLX83" s="684"/>
      <c r="WLY83" s="684"/>
      <c r="WLZ83" s="684"/>
      <c r="WMA83" s="684"/>
      <c r="WMB83" s="684"/>
      <c r="WMC83" s="684"/>
      <c r="WMD83" s="684"/>
      <c r="WME83" s="684"/>
      <c r="WMF83" s="684"/>
      <c r="WMG83" s="684"/>
      <c r="WMH83" s="684"/>
      <c r="WMI83" s="684"/>
      <c r="WMJ83" s="684"/>
      <c r="WMK83" s="684"/>
      <c r="WML83" s="684"/>
      <c r="WMM83" s="684"/>
      <c r="WMN83" s="684"/>
      <c r="WMO83" s="684"/>
      <c r="WMP83" s="684"/>
      <c r="WMQ83" s="684"/>
      <c r="WMR83" s="684"/>
      <c r="WMS83" s="684"/>
      <c r="WMT83" s="684"/>
      <c r="WMU83" s="684"/>
      <c r="WMV83" s="684"/>
      <c r="WMW83" s="684"/>
      <c r="WMX83" s="684"/>
      <c r="WMY83" s="684"/>
      <c r="WMZ83" s="684"/>
      <c r="WNA83" s="684"/>
      <c r="WNB83" s="684"/>
      <c r="WNC83" s="684"/>
      <c r="WND83" s="684"/>
      <c r="WNE83" s="684"/>
      <c r="WNF83" s="684"/>
      <c r="WNG83" s="684"/>
      <c r="WNH83" s="684"/>
      <c r="WNI83" s="684"/>
      <c r="WNJ83" s="684"/>
      <c r="WNK83" s="684"/>
      <c r="WNL83" s="684"/>
      <c r="WNM83" s="684"/>
      <c r="WNN83" s="684"/>
      <c r="WNO83" s="684"/>
      <c r="WNP83" s="684"/>
      <c r="WNQ83" s="684"/>
      <c r="WNR83" s="684"/>
      <c r="WNS83" s="684"/>
      <c r="WNT83" s="684"/>
      <c r="WNU83" s="684"/>
      <c r="WNV83" s="684"/>
      <c r="WNW83" s="684"/>
      <c r="WNX83" s="684"/>
      <c r="WNY83" s="684"/>
      <c r="WNZ83" s="684"/>
      <c r="WOA83" s="684"/>
      <c r="WOB83" s="684"/>
      <c r="WOC83" s="684"/>
      <c r="WOD83" s="684"/>
      <c r="WOE83" s="684"/>
      <c r="WOF83" s="684"/>
      <c r="WOG83" s="684"/>
      <c r="WOH83" s="684"/>
      <c r="WOI83" s="684"/>
      <c r="WOJ83" s="684"/>
      <c r="WOK83" s="684"/>
      <c r="WOL83" s="684"/>
      <c r="WOM83" s="684"/>
      <c r="WON83" s="684"/>
      <c r="WOO83" s="684"/>
      <c r="WOP83" s="684"/>
      <c r="WOQ83" s="684"/>
      <c r="WOR83" s="684"/>
      <c r="WOS83" s="684"/>
      <c r="WOT83" s="684"/>
      <c r="WOU83" s="684"/>
      <c r="WOV83" s="684"/>
      <c r="WOW83" s="684"/>
      <c r="WOX83" s="684"/>
      <c r="WOY83" s="684"/>
      <c r="WOZ83" s="684"/>
      <c r="WPA83" s="684"/>
      <c r="WPB83" s="684"/>
      <c r="WPC83" s="684"/>
      <c r="WPD83" s="684"/>
      <c r="WPE83" s="684"/>
      <c r="WPF83" s="684"/>
      <c r="WPG83" s="684"/>
      <c r="WPH83" s="684"/>
      <c r="WPI83" s="684"/>
      <c r="WPJ83" s="684"/>
      <c r="WPK83" s="684"/>
      <c r="WPL83" s="684"/>
      <c r="WPM83" s="684"/>
      <c r="WPN83" s="684"/>
      <c r="WPO83" s="684"/>
      <c r="WPP83" s="684"/>
      <c r="WPQ83" s="684"/>
      <c r="WPR83" s="684"/>
      <c r="WPS83" s="684"/>
      <c r="WPT83" s="684"/>
      <c r="WPU83" s="684"/>
      <c r="WPV83" s="684"/>
      <c r="WPW83" s="684"/>
      <c r="WPX83" s="684"/>
      <c r="WPY83" s="684"/>
      <c r="WPZ83" s="684"/>
      <c r="WQA83" s="684"/>
      <c r="WQB83" s="684"/>
      <c r="WQC83" s="684"/>
      <c r="WQD83" s="684"/>
      <c r="WQE83" s="684"/>
      <c r="WQF83" s="684"/>
      <c r="WQG83" s="684"/>
      <c r="WQH83" s="684"/>
      <c r="WQI83" s="684"/>
      <c r="WQJ83" s="684"/>
      <c r="WQK83" s="684"/>
      <c r="WQL83" s="684"/>
      <c r="WQM83" s="684"/>
      <c r="WQN83" s="684"/>
      <c r="WQO83" s="684"/>
      <c r="WQP83" s="684"/>
      <c r="WQQ83" s="684"/>
      <c r="WQR83" s="684"/>
      <c r="WQS83" s="684"/>
      <c r="WQT83" s="684"/>
      <c r="WQU83" s="684"/>
      <c r="WQV83" s="684"/>
      <c r="WQW83" s="684"/>
      <c r="WQX83" s="684"/>
      <c r="WQY83" s="684"/>
      <c r="WQZ83" s="684"/>
      <c r="WRA83" s="684"/>
      <c r="WRB83" s="684"/>
      <c r="WRC83" s="684"/>
      <c r="WRD83" s="684"/>
      <c r="WRE83" s="684"/>
      <c r="WRF83" s="684"/>
      <c r="WRG83" s="684"/>
      <c r="WRH83" s="684"/>
      <c r="WRI83" s="684"/>
      <c r="WRJ83" s="684"/>
      <c r="WRK83" s="684"/>
      <c r="WRL83" s="684"/>
      <c r="WRM83" s="684"/>
      <c r="WRN83" s="684"/>
      <c r="WRO83" s="684"/>
      <c r="WRP83" s="684"/>
      <c r="WRQ83" s="684"/>
      <c r="WRR83" s="684"/>
      <c r="WRS83" s="684"/>
      <c r="WRT83" s="684"/>
      <c r="WRU83" s="684"/>
      <c r="WRV83" s="684"/>
      <c r="WRW83" s="684"/>
      <c r="WRX83" s="684"/>
      <c r="WRY83" s="684"/>
      <c r="WRZ83" s="684"/>
      <c r="WSA83" s="684"/>
      <c r="WSB83" s="684"/>
      <c r="WSC83" s="684"/>
      <c r="WSD83" s="684"/>
      <c r="WSE83" s="684"/>
      <c r="WSF83" s="684"/>
      <c r="WSG83" s="684"/>
      <c r="WSH83" s="684"/>
      <c r="WSI83" s="684"/>
      <c r="WSJ83" s="684"/>
      <c r="WSK83" s="684"/>
      <c r="WSL83" s="684"/>
      <c r="WSM83" s="684"/>
      <c r="WSN83" s="684"/>
      <c r="WSO83" s="684"/>
      <c r="WSP83" s="684"/>
      <c r="WSQ83" s="684"/>
      <c r="WSR83" s="684"/>
      <c r="WSS83" s="684"/>
      <c r="WST83" s="684"/>
      <c r="WSU83" s="684"/>
      <c r="WSV83" s="684"/>
      <c r="WSW83" s="684"/>
      <c r="WSX83" s="684"/>
      <c r="WSY83" s="684"/>
      <c r="WSZ83" s="684"/>
      <c r="WTA83" s="684"/>
      <c r="WTB83" s="684"/>
      <c r="WTC83" s="684"/>
      <c r="WTD83" s="684"/>
      <c r="WTE83" s="684"/>
      <c r="WTF83" s="684"/>
      <c r="WTG83" s="684"/>
      <c r="WTH83" s="684"/>
      <c r="WTI83" s="684"/>
      <c r="WTJ83" s="684"/>
      <c r="WTK83" s="684"/>
      <c r="WTL83" s="684"/>
      <c r="WTM83" s="684"/>
      <c r="WTN83" s="684"/>
      <c r="WTO83" s="684"/>
      <c r="WTP83" s="684"/>
      <c r="WTQ83" s="684"/>
      <c r="WTR83" s="684"/>
      <c r="WTS83" s="684"/>
      <c r="WTT83" s="684"/>
      <c r="WTU83" s="684"/>
      <c r="WTV83" s="684"/>
      <c r="WTW83" s="684"/>
      <c r="WTX83" s="684"/>
      <c r="WTY83" s="684"/>
      <c r="WTZ83" s="684"/>
      <c r="WUA83" s="684"/>
      <c r="WUB83" s="684"/>
      <c r="WUC83" s="684"/>
      <c r="WUD83" s="684"/>
      <c r="WUE83" s="684"/>
      <c r="WUF83" s="684"/>
      <c r="WUG83" s="684"/>
      <c r="WUH83" s="684"/>
      <c r="WUI83" s="684"/>
      <c r="WUJ83" s="684"/>
      <c r="WUK83" s="684"/>
      <c r="WUL83" s="684"/>
      <c r="WUM83" s="684"/>
      <c r="WUN83" s="684"/>
      <c r="WUO83" s="684"/>
      <c r="WUP83" s="684"/>
      <c r="WUQ83" s="684"/>
      <c r="WUR83" s="684"/>
      <c r="WUS83" s="684"/>
      <c r="WUT83" s="684"/>
      <c r="WUU83" s="684"/>
      <c r="WUV83" s="684"/>
      <c r="WUW83" s="684"/>
      <c r="WUX83" s="684"/>
      <c r="WUY83" s="684"/>
      <c r="WUZ83" s="684"/>
      <c r="WVA83" s="684"/>
      <c r="WVB83" s="684"/>
      <c r="WVC83" s="684"/>
      <c r="WVD83" s="684"/>
      <c r="WVE83" s="684"/>
      <c r="WVF83" s="684"/>
      <c r="WVG83" s="684"/>
      <c r="WVH83" s="684"/>
      <c r="WVI83" s="684"/>
      <c r="WVJ83" s="684"/>
      <c r="WVK83" s="684"/>
      <c r="WVL83" s="684"/>
      <c r="WVM83" s="684"/>
      <c r="WVN83" s="684"/>
      <c r="WVO83" s="684"/>
      <c r="WVP83" s="684"/>
      <c r="WVQ83" s="684"/>
      <c r="WVR83" s="684"/>
      <c r="WVS83" s="684"/>
      <c r="WVT83" s="684"/>
      <c r="WVU83" s="684"/>
      <c r="WVV83" s="684"/>
      <c r="WVW83" s="684"/>
      <c r="WVX83" s="684"/>
      <c r="WVY83" s="684"/>
      <c r="WVZ83" s="684"/>
      <c r="WWA83" s="684"/>
      <c r="WWB83" s="684"/>
      <c r="WWC83" s="684"/>
      <c r="WWD83" s="684"/>
      <c r="WWE83" s="684"/>
      <c r="WWF83" s="684"/>
      <c r="WWG83" s="684"/>
      <c r="WWH83" s="684"/>
      <c r="WWI83" s="684"/>
      <c r="WWJ83" s="684"/>
      <c r="WWK83" s="684"/>
      <c r="WWL83" s="684"/>
      <c r="WWM83" s="684"/>
      <c r="WWN83" s="684"/>
      <c r="WWO83" s="684"/>
      <c r="WWP83" s="684"/>
      <c r="WWQ83" s="684"/>
      <c r="WWR83" s="684"/>
      <c r="WWS83" s="684"/>
      <c r="WWT83" s="684"/>
      <c r="WWU83" s="684"/>
      <c r="WWV83" s="684"/>
      <c r="WWW83" s="684"/>
      <c r="WWX83" s="684"/>
      <c r="WWY83" s="684"/>
      <c r="WWZ83" s="684"/>
      <c r="WXA83" s="684"/>
      <c r="WXB83" s="684"/>
      <c r="WXC83" s="684"/>
      <c r="WXD83" s="684"/>
      <c r="WXE83" s="684"/>
      <c r="WXF83" s="684"/>
      <c r="WXG83" s="684"/>
      <c r="WXH83" s="684"/>
      <c r="WXI83" s="684"/>
      <c r="WXJ83" s="684"/>
      <c r="WXK83" s="684"/>
      <c r="WXL83" s="684"/>
      <c r="WXM83" s="684"/>
      <c r="WXN83" s="684"/>
      <c r="WXO83" s="684"/>
      <c r="WXP83" s="684"/>
      <c r="WXQ83" s="684"/>
      <c r="WXR83" s="684"/>
      <c r="WXS83" s="684"/>
      <c r="WXT83" s="684"/>
      <c r="WXU83" s="684"/>
      <c r="WXV83" s="684"/>
      <c r="WXW83" s="684"/>
      <c r="WXX83" s="684"/>
      <c r="WXY83" s="684"/>
      <c r="WXZ83" s="684"/>
      <c r="WYA83" s="684"/>
      <c r="WYB83" s="684"/>
      <c r="WYC83" s="684"/>
      <c r="WYD83" s="684"/>
      <c r="WYE83" s="684"/>
      <c r="WYF83" s="684"/>
      <c r="WYG83" s="684"/>
      <c r="WYH83" s="684"/>
      <c r="WYI83" s="684"/>
      <c r="WYJ83" s="684"/>
      <c r="WYK83" s="684"/>
      <c r="WYL83" s="684"/>
      <c r="WYM83" s="684"/>
      <c r="WYN83" s="684"/>
      <c r="WYO83" s="684"/>
      <c r="WYP83" s="684"/>
      <c r="WYQ83" s="684"/>
      <c r="WYR83" s="684"/>
      <c r="WYS83" s="684"/>
      <c r="WYT83" s="684"/>
      <c r="WYU83" s="684"/>
      <c r="WYV83" s="684"/>
      <c r="WYW83" s="684"/>
      <c r="WYX83" s="684"/>
      <c r="WYY83" s="684"/>
      <c r="WYZ83" s="684"/>
      <c r="WZA83" s="684"/>
      <c r="WZB83" s="684"/>
      <c r="WZC83" s="684"/>
      <c r="WZD83" s="684"/>
      <c r="WZE83" s="684"/>
      <c r="WZF83" s="684"/>
      <c r="WZG83" s="684"/>
      <c r="WZH83" s="684"/>
      <c r="WZI83" s="684"/>
      <c r="WZJ83" s="684"/>
      <c r="WZK83" s="684"/>
      <c r="WZL83" s="684"/>
      <c r="WZM83" s="684"/>
      <c r="WZN83" s="684"/>
      <c r="WZO83" s="684"/>
      <c r="WZP83" s="684"/>
      <c r="WZQ83" s="684"/>
      <c r="WZR83" s="684"/>
      <c r="WZS83" s="684"/>
      <c r="WZT83" s="684"/>
      <c r="WZU83" s="684"/>
      <c r="WZV83" s="684"/>
      <c r="WZW83" s="684"/>
      <c r="WZX83" s="684"/>
      <c r="WZY83" s="684"/>
      <c r="WZZ83" s="684"/>
      <c r="XAA83" s="684"/>
      <c r="XAB83" s="684"/>
      <c r="XAC83" s="684"/>
      <c r="XAD83" s="684"/>
      <c r="XAE83" s="684"/>
      <c r="XAF83" s="684"/>
      <c r="XAG83" s="684"/>
      <c r="XAH83" s="684"/>
      <c r="XAI83" s="684"/>
      <c r="XAJ83" s="684"/>
      <c r="XAK83" s="684"/>
      <c r="XAL83" s="684"/>
      <c r="XAM83" s="684"/>
      <c r="XAN83" s="684"/>
      <c r="XAO83" s="684"/>
      <c r="XAP83" s="684"/>
      <c r="XAQ83" s="684"/>
      <c r="XAR83" s="684"/>
      <c r="XAS83" s="684"/>
      <c r="XAT83" s="684"/>
      <c r="XAU83" s="684"/>
      <c r="XAV83" s="684"/>
      <c r="XAW83" s="684"/>
      <c r="XAX83" s="684"/>
      <c r="XAY83" s="684"/>
      <c r="XAZ83" s="684"/>
      <c r="XBA83" s="684"/>
      <c r="XBB83" s="684"/>
      <c r="XBC83" s="684"/>
      <c r="XBD83" s="684"/>
      <c r="XBE83" s="684"/>
      <c r="XBF83" s="684"/>
      <c r="XBG83" s="684"/>
      <c r="XBH83" s="684"/>
      <c r="XBI83" s="684"/>
      <c r="XBJ83" s="684"/>
      <c r="XBK83" s="684"/>
      <c r="XBL83" s="684"/>
      <c r="XBM83" s="684"/>
      <c r="XBN83" s="684"/>
      <c r="XBO83" s="684"/>
      <c r="XBP83" s="684"/>
      <c r="XBQ83" s="684"/>
      <c r="XBR83" s="684"/>
      <c r="XBS83" s="684"/>
      <c r="XBT83" s="684"/>
      <c r="XBU83" s="684"/>
      <c r="XBV83" s="684"/>
      <c r="XBW83" s="684"/>
      <c r="XBX83" s="684"/>
      <c r="XBY83" s="684"/>
      <c r="XBZ83" s="684"/>
      <c r="XCA83" s="684"/>
      <c r="XCB83" s="684"/>
      <c r="XCC83" s="684"/>
      <c r="XCD83" s="684"/>
      <c r="XCE83" s="684"/>
      <c r="XCF83" s="684"/>
      <c r="XCG83" s="684"/>
      <c r="XCH83" s="684"/>
      <c r="XCI83" s="684"/>
      <c r="XCJ83" s="684"/>
      <c r="XCK83" s="684"/>
      <c r="XCL83" s="684"/>
      <c r="XCM83" s="684"/>
      <c r="XCN83" s="684"/>
      <c r="XCO83" s="684"/>
      <c r="XCP83" s="684"/>
      <c r="XCQ83" s="684"/>
      <c r="XCR83" s="684"/>
      <c r="XCS83" s="684"/>
      <c r="XCT83" s="684"/>
      <c r="XCU83" s="684"/>
      <c r="XCV83" s="684"/>
      <c r="XCW83" s="684"/>
      <c r="XCX83" s="684"/>
      <c r="XCY83" s="684"/>
      <c r="XCZ83" s="684"/>
      <c r="XDA83" s="684"/>
      <c r="XDB83" s="684"/>
      <c r="XDC83" s="684"/>
      <c r="XDD83" s="684"/>
      <c r="XDE83" s="684"/>
      <c r="XDF83" s="684"/>
      <c r="XDG83" s="684"/>
      <c r="XDH83" s="684"/>
      <c r="XDI83" s="684"/>
      <c r="XDJ83" s="684"/>
      <c r="XDK83" s="684"/>
      <c r="XDL83" s="684"/>
      <c r="XDM83" s="684"/>
      <c r="XDN83" s="684"/>
      <c r="XDO83" s="684"/>
      <c r="XDP83" s="684"/>
      <c r="XDQ83" s="684"/>
      <c r="XDR83" s="684"/>
      <c r="XDS83" s="684"/>
      <c r="XDT83" s="684"/>
      <c r="XDU83" s="684"/>
      <c r="XDV83" s="684"/>
      <c r="XDW83" s="684"/>
      <c r="XDX83" s="684"/>
      <c r="XDY83" s="684"/>
      <c r="XDZ83" s="684"/>
      <c r="XEA83" s="684"/>
      <c r="XEB83" s="684"/>
      <c r="XEC83" s="684"/>
      <c r="XED83" s="684"/>
      <c r="XEE83" s="684"/>
      <c r="XEF83" s="684"/>
      <c r="XEG83" s="684"/>
      <c r="XEH83" s="684"/>
      <c r="XEI83" s="684"/>
      <c r="XEJ83" s="684"/>
      <c r="XEK83" s="684"/>
      <c r="XEL83" s="684"/>
      <c r="XEM83" s="684"/>
      <c r="XEN83" s="684"/>
      <c r="XEO83" s="684"/>
      <c r="XEP83" s="684"/>
      <c r="XEQ83" s="684"/>
      <c r="XER83" s="684"/>
      <c r="XES83" s="684"/>
      <c r="XET83" s="684"/>
      <c r="XEU83" s="684"/>
      <c r="XEV83" s="684"/>
      <c r="XEW83" s="684"/>
      <c r="XEX83" s="684"/>
      <c r="XEY83" s="684"/>
      <c r="XEZ83" s="684"/>
      <c r="XFA83" s="684"/>
      <c r="XFB83" s="684"/>
      <c r="XFC83" s="684"/>
      <c r="XFD83" s="684"/>
    </row>
    <row r="84" spans="1:16384" s="774" customFormat="1" ht="13.5" thickBot="1">
      <c r="A84" s="1116" t="s">
        <v>3227</v>
      </c>
      <c r="B84" s="1117" t="s">
        <v>3229</v>
      </c>
      <c r="C84" s="1117" t="s">
        <v>3229</v>
      </c>
      <c r="D84" s="4228"/>
      <c r="E84" s="4381"/>
      <c r="F84" s="4321"/>
      <c r="G84" s="4323"/>
      <c r="H84" s="4209"/>
      <c r="I84" s="4209"/>
      <c r="J84" s="684"/>
      <c r="K84" s="684"/>
      <c r="L84" s="684"/>
      <c r="M84" s="684"/>
      <c r="N84" s="684"/>
      <c r="O84" s="684"/>
      <c r="P84" s="684"/>
      <c r="Q84" s="684"/>
      <c r="R84" s="684"/>
      <c r="S84" s="684"/>
      <c r="T84" s="684"/>
      <c r="U84" s="684"/>
      <c r="V84" s="684"/>
      <c r="W84" s="684"/>
      <c r="X84" s="684"/>
      <c r="Y84" s="684"/>
      <c r="Z84" s="684"/>
      <c r="AA84" s="684"/>
      <c r="AB84" s="684"/>
      <c r="AC84" s="684"/>
      <c r="AD84" s="684"/>
      <c r="AE84" s="684"/>
      <c r="AF84" s="684"/>
      <c r="AG84" s="684"/>
      <c r="AH84" s="684"/>
      <c r="AI84" s="684"/>
      <c r="AJ84" s="684"/>
      <c r="AK84" s="684"/>
      <c r="AL84" s="684"/>
      <c r="AM84" s="684"/>
      <c r="AN84" s="684"/>
      <c r="AO84" s="684"/>
      <c r="AP84" s="684"/>
      <c r="AQ84" s="684"/>
      <c r="AR84" s="684"/>
      <c r="AS84" s="684"/>
      <c r="AT84" s="684"/>
      <c r="AU84" s="684"/>
      <c r="AV84" s="684"/>
      <c r="AW84" s="684"/>
      <c r="AX84" s="684"/>
      <c r="AY84" s="684"/>
      <c r="AZ84" s="684"/>
      <c r="BA84" s="684"/>
      <c r="BB84" s="684"/>
      <c r="BC84" s="684"/>
      <c r="BD84" s="684"/>
      <c r="BE84" s="684"/>
      <c r="BF84" s="684"/>
      <c r="BG84" s="684"/>
      <c r="BH84" s="684"/>
      <c r="BI84" s="684"/>
      <c r="BJ84" s="684"/>
      <c r="BK84" s="684"/>
      <c r="BL84" s="684"/>
      <c r="BM84" s="684"/>
      <c r="BN84" s="684"/>
      <c r="BO84" s="684"/>
      <c r="BP84" s="684"/>
      <c r="BQ84" s="684"/>
      <c r="BR84" s="684"/>
      <c r="BS84" s="684"/>
      <c r="BT84" s="684"/>
      <c r="BU84" s="684"/>
      <c r="BV84" s="684"/>
      <c r="BW84" s="684"/>
      <c r="BX84" s="684"/>
      <c r="BY84" s="684"/>
      <c r="BZ84" s="684"/>
      <c r="CA84" s="684"/>
      <c r="CB84" s="684"/>
      <c r="CC84" s="684"/>
      <c r="CD84" s="684"/>
      <c r="CE84" s="684"/>
      <c r="CF84" s="684"/>
      <c r="CG84" s="684"/>
      <c r="CH84" s="684"/>
      <c r="CI84" s="684"/>
      <c r="CJ84" s="684"/>
      <c r="CK84" s="684"/>
      <c r="CL84" s="684"/>
      <c r="CM84" s="684"/>
      <c r="CN84" s="684"/>
      <c r="CO84" s="684"/>
      <c r="CP84" s="684"/>
      <c r="CQ84" s="684"/>
      <c r="CR84" s="684"/>
      <c r="CS84" s="684"/>
      <c r="CT84" s="684"/>
      <c r="CU84" s="684"/>
      <c r="CV84" s="684"/>
      <c r="CW84" s="684"/>
      <c r="CX84" s="684"/>
      <c r="CY84" s="684"/>
      <c r="CZ84" s="684"/>
      <c r="DA84" s="684"/>
      <c r="DB84" s="684"/>
      <c r="DC84" s="684"/>
      <c r="DD84" s="684"/>
      <c r="DE84" s="684"/>
      <c r="DF84" s="684"/>
      <c r="DG84" s="684"/>
      <c r="DH84" s="684"/>
      <c r="DI84" s="684"/>
      <c r="DJ84" s="684"/>
      <c r="DK84" s="684"/>
      <c r="DL84" s="684"/>
      <c r="DM84" s="684"/>
      <c r="DN84" s="684"/>
      <c r="DO84" s="684"/>
      <c r="DP84" s="684"/>
      <c r="DQ84" s="684"/>
      <c r="DR84" s="684"/>
      <c r="DS84" s="684"/>
      <c r="DT84" s="684"/>
      <c r="DU84" s="684"/>
      <c r="DV84" s="684"/>
      <c r="DW84" s="684"/>
      <c r="DX84" s="684"/>
      <c r="DY84" s="684"/>
      <c r="DZ84" s="684"/>
      <c r="EA84" s="684"/>
      <c r="EB84" s="684"/>
      <c r="EC84" s="684"/>
      <c r="ED84" s="684"/>
      <c r="EE84" s="684"/>
      <c r="EF84" s="684"/>
      <c r="EG84" s="684"/>
      <c r="EH84" s="684"/>
      <c r="EI84" s="684"/>
      <c r="EJ84" s="684"/>
      <c r="EK84" s="684"/>
      <c r="EL84" s="684"/>
      <c r="EM84" s="684"/>
      <c r="EN84" s="684"/>
      <c r="EO84" s="684"/>
      <c r="EP84" s="684"/>
      <c r="EQ84" s="684"/>
      <c r="ER84" s="684"/>
      <c r="ES84" s="684"/>
      <c r="ET84" s="684"/>
      <c r="EU84" s="684"/>
      <c r="EV84" s="684"/>
      <c r="EW84" s="684"/>
      <c r="EX84" s="684"/>
      <c r="EY84" s="684"/>
      <c r="EZ84" s="684"/>
      <c r="FA84" s="684"/>
      <c r="FB84" s="684"/>
      <c r="FC84" s="684"/>
      <c r="FD84" s="684"/>
      <c r="FE84" s="684"/>
      <c r="FF84" s="684"/>
      <c r="FG84" s="684"/>
      <c r="FH84" s="684"/>
      <c r="FI84" s="684"/>
      <c r="FJ84" s="684"/>
      <c r="FK84" s="684"/>
      <c r="FL84" s="684"/>
      <c r="FM84" s="684"/>
      <c r="FN84" s="684"/>
      <c r="FO84" s="684"/>
      <c r="FP84" s="684"/>
      <c r="FQ84" s="684"/>
      <c r="FR84" s="684"/>
      <c r="FS84" s="684"/>
      <c r="FT84" s="684"/>
      <c r="FU84" s="684"/>
      <c r="FV84" s="684"/>
      <c r="FW84" s="684"/>
      <c r="FX84" s="684"/>
      <c r="FY84" s="684"/>
      <c r="FZ84" s="684"/>
      <c r="GA84" s="684"/>
      <c r="GB84" s="684"/>
      <c r="GC84" s="684"/>
      <c r="GD84" s="684"/>
      <c r="GE84" s="684"/>
      <c r="GF84" s="684"/>
      <c r="GG84" s="684"/>
      <c r="GH84" s="684"/>
      <c r="GI84" s="684"/>
      <c r="GJ84" s="684"/>
      <c r="GK84" s="684"/>
      <c r="GL84" s="684"/>
      <c r="GM84" s="684"/>
      <c r="GN84" s="684"/>
      <c r="GO84" s="684"/>
      <c r="GP84" s="684"/>
      <c r="GQ84" s="684"/>
      <c r="GR84" s="684"/>
      <c r="GS84" s="684"/>
      <c r="GT84" s="684"/>
      <c r="GU84" s="684"/>
      <c r="GV84" s="684"/>
      <c r="GW84" s="684"/>
      <c r="GX84" s="684"/>
      <c r="GY84" s="684"/>
      <c r="GZ84" s="684"/>
      <c r="HA84" s="684"/>
      <c r="HB84" s="684"/>
      <c r="HC84" s="684"/>
      <c r="HD84" s="684"/>
      <c r="HE84" s="684"/>
      <c r="HF84" s="684"/>
      <c r="HG84" s="684"/>
      <c r="HH84" s="684"/>
      <c r="HI84" s="684"/>
      <c r="HJ84" s="684"/>
      <c r="HK84" s="684"/>
      <c r="HL84" s="684"/>
      <c r="HM84" s="684"/>
      <c r="HN84" s="684"/>
      <c r="HO84" s="684"/>
      <c r="HP84" s="684"/>
      <c r="HQ84" s="684"/>
      <c r="HR84" s="684"/>
      <c r="HS84" s="684"/>
      <c r="HT84" s="684"/>
      <c r="HU84" s="684"/>
      <c r="HV84" s="684"/>
      <c r="HW84" s="684"/>
      <c r="HX84" s="684"/>
      <c r="HY84" s="684"/>
      <c r="HZ84" s="684"/>
      <c r="IA84" s="684"/>
      <c r="IB84" s="684"/>
      <c r="IC84" s="684"/>
      <c r="ID84" s="684"/>
      <c r="IE84" s="684"/>
      <c r="IF84" s="684"/>
      <c r="IG84" s="684"/>
      <c r="IH84" s="684"/>
      <c r="II84" s="684"/>
      <c r="IJ84" s="684"/>
      <c r="IK84" s="684"/>
      <c r="IL84" s="684"/>
      <c r="IM84" s="684"/>
      <c r="IN84" s="684"/>
      <c r="IO84" s="684"/>
      <c r="IP84" s="684"/>
      <c r="IQ84" s="684"/>
      <c r="IR84" s="684"/>
      <c r="IS84" s="684"/>
      <c r="IT84" s="684"/>
      <c r="IU84" s="684"/>
      <c r="IV84" s="684"/>
      <c r="IW84" s="684"/>
      <c r="IX84" s="684"/>
      <c r="IY84" s="684"/>
      <c r="IZ84" s="684"/>
      <c r="JA84" s="684"/>
      <c r="JB84" s="684"/>
      <c r="JC84" s="684"/>
      <c r="JD84" s="684"/>
      <c r="JE84" s="684"/>
      <c r="JF84" s="684"/>
      <c r="JG84" s="684"/>
      <c r="JH84" s="684"/>
      <c r="JI84" s="684"/>
      <c r="JJ84" s="684"/>
      <c r="JK84" s="684"/>
      <c r="JL84" s="684"/>
      <c r="JM84" s="684"/>
      <c r="JN84" s="684"/>
      <c r="JO84" s="684"/>
      <c r="JP84" s="684"/>
      <c r="JQ84" s="684"/>
      <c r="JR84" s="684"/>
      <c r="JS84" s="684"/>
      <c r="JT84" s="684"/>
      <c r="JU84" s="684"/>
      <c r="JV84" s="684"/>
      <c r="JW84" s="684"/>
      <c r="JX84" s="684"/>
      <c r="JY84" s="684"/>
      <c r="JZ84" s="684"/>
      <c r="KA84" s="684"/>
      <c r="KB84" s="684"/>
      <c r="KC84" s="684"/>
      <c r="KD84" s="684"/>
      <c r="KE84" s="684"/>
      <c r="KF84" s="684"/>
      <c r="KG84" s="684"/>
      <c r="KH84" s="684"/>
      <c r="KI84" s="684"/>
      <c r="KJ84" s="684"/>
      <c r="KK84" s="684"/>
      <c r="KL84" s="684"/>
      <c r="KM84" s="684"/>
      <c r="KN84" s="684"/>
      <c r="KO84" s="684"/>
      <c r="KP84" s="684"/>
      <c r="KQ84" s="684"/>
      <c r="KR84" s="684"/>
      <c r="KS84" s="684"/>
      <c r="KT84" s="684"/>
      <c r="KU84" s="684"/>
      <c r="KV84" s="684"/>
      <c r="KW84" s="684"/>
      <c r="KX84" s="684"/>
      <c r="KY84" s="684"/>
      <c r="KZ84" s="684"/>
      <c r="LA84" s="684"/>
      <c r="LB84" s="684"/>
      <c r="LC84" s="684"/>
      <c r="LD84" s="684"/>
      <c r="LE84" s="684"/>
      <c r="LF84" s="684"/>
      <c r="LG84" s="684"/>
      <c r="LH84" s="684"/>
      <c r="LI84" s="684"/>
      <c r="LJ84" s="684"/>
      <c r="LK84" s="684"/>
      <c r="LL84" s="684"/>
      <c r="LM84" s="684"/>
      <c r="LN84" s="684"/>
      <c r="LO84" s="684"/>
      <c r="LP84" s="684"/>
      <c r="LQ84" s="684"/>
      <c r="LR84" s="684"/>
      <c r="LS84" s="684"/>
      <c r="LT84" s="684"/>
      <c r="LU84" s="684"/>
      <c r="LV84" s="684"/>
      <c r="LW84" s="684"/>
      <c r="LX84" s="684"/>
      <c r="LY84" s="684"/>
      <c r="LZ84" s="684"/>
      <c r="MA84" s="684"/>
      <c r="MB84" s="684"/>
      <c r="MC84" s="684"/>
      <c r="MD84" s="684"/>
      <c r="ME84" s="684"/>
      <c r="MF84" s="684"/>
      <c r="MG84" s="684"/>
      <c r="MH84" s="684"/>
      <c r="MI84" s="684"/>
      <c r="MJ84" s="684"/>
      <c r="MK84" s="684"/>
      <c r="ML84" s="684"/>
      <c r="MM84" s="684"/>
      <c r="MN84" s="684"/>
      <c r="MO84" s="684"/>
      <c r="MP84" s="684"/>
      <c r="MQ84" s="684"/>
      <c r="MR84" s="684"/>
      <c r="MS84" s="684"/>
      <c r="MT84" s="684"/>
      <c r="MU84" s="684"/>
      <c r="MV84" s="684"/>
      <c r="MW84" s="684"/>
      <c r="MX84" s="684"/>
      <c r="MY84" s="684"/>
      <c r="MZ84" s="684"/>
      <c r="NA84" s="684"/>
      <c r="NB84" s="684"/>
      <c r="NC84" s="684"/>
      <c r="ND84" s="684"/>
      <c r="NE84" s="684"/>
      <c r="NF84" s="684"/>
      <c r="NG84" s="684"/>
      <c r="NH84" s="684"/>
      <c r="NI84" s="684"/>
      <c r="NJ84" s="684"/>
      <c r="NK84" s="684"/>
      <c r="NL84" s="684"/>
      <c r="NM84" s="684"/>
      <c r="NN84" s="684"/>
      <c r="NO84" s="684"/>
      <c r="NP84" s="684"/>
      <c r="NQ84" s="684"/>
      <c r="NR84" s="684"/>
      <c r="NS84" s="684"/>
      <c r="NT84" s="684"/>
      <c r="NU84" s="684"/>
      <c r="NV84" s="684"/>
      <c r="NW84" s="684"/>
      <c r="NX84" s="684"/>
      <c r="NY84" s="684"/>
      <c r="NZ84" s="684"/>
      <c r="OA84" s="684"/>
      <c r="OB84" s="684"/>
      <c r="OC84" s="684"/>
      <c r="OD84" s="684"/>
      <c r="OE84" s="684"/>
      <c r="OF84" s="684"/>
      <c r="OG84" s="684"/>
      <c r="OH84" s="684"/>
      <c r="OI84" s="684"/>
      <c r="OJ84" s="684"/>
      <c r="OK84" s="684"/>
      <c r="OL84" s="684"/>
      <c r="OM84" s="684"/>
      <c r="ON84" s="684"/>
      <c r="OO84" s="684"/>
      <c r="OP84" s="684"/>
      <c r="OQ84" s="684"/>
      <c r="OR84" s="684"/>
      <c r="OS84" s="684"/>
      <c r="OT84" s="684"/>
      <c r="OU84" s="684"/>
      <c r="OV84" s="684"/>
      <c r="OW84" s="684"/>
      <c r="OX84" s="684"/>
      <c r="OY84" s="684"/>
      <c r="OZ84" s="684"/>
      <c r="PA84" s="684"/>
      <c r="PB84" s="684"/>
      <c r="PC84" s="684"/>
      <c r="PD84" s="684"/>
      <c r="PE84" s="684"/>
      <c r="PF84" s="684"/>
      <c r="PG84" s="684"/>
      <c r="PH84" s="684"/>
      <c r="PI84" s="684"/>
      <c r="PJ84" s="684"/>
      <c r="PK84" s="684"/>
      <c r="PL84" s="684"/>
      <c r="PM84" s="684"/>
      <c r="PN84" s="684"/>
      <c r="PO84" s="684"/>
      <c r="PP84" s="684"/>
      <c r="PQ84" s="684"/>
      <c r="PR84" s="684"/>
      <c r="PS84" s="684"/>
      <c r="PT84" s="684"/>
      <c r="PU84" s="684"/>
      <c r="PV84" s="684"/>
      <c r="PW84" s="684"/>
      <c r="PX84" s="684"/>
      <c r="PY84" s="684"/>
      <c r="PZ84" s="684"/>
      <c r="QA84" s="684"/>
      <c r="QB84" s="684"/>
      <c r="QC84" s="684"/>
      <c r="QD84" s="684"/>
      <c r="QE84" s="684"/>
      <c r="QF84" s="684"/>
      <c r="QG84" s="684"/>
      <c r="QH84" s="684"/>
      <c r="QI84" s="684"/>
      <c r="QJ84" s="684"/>
      <c r="QK84" s="684"/>
      <c r="QL84" s="684"/>
      <c r="QM84" s="684"/>
      <c r="QN84" s="684"/>
      <c r="QO84" s="684"/>
      <c r="QP84" s="684"/>
      <c r="QQ84" s="684"/>
      <c r="QR84" s="684"/>
      <c r="QS84" s="684"/>
      <c r="QT84" s="684"/>
      <c r="QU84" s="684"/>
      <c r="QV84" s="684"/>
      <c r="QW84" s="684"/>
      <c r="QX84" s="684"/>
      <c r="QY84" s="684"/>
      <c r="QZ84" s="684"/>
      <c r="RA84" s="684"/>
      <c r="RB84" s="684"/>
      <c r="RC84" s="684"/>
      <c r="RD84" s="684"/>
      <c r="RE84" s="684"/>
      <c r="RF84" s="684"/>
      <c r="RG84" s="684"/>
      <c r="RH84" s="684"/>
      <c r="RI84" s="684"/>
      <c r="RJ84" s="684"/>
      <c r="RK84" s="684"/>
      <c r="RL84" s="684"/>
      <c r="RM84" s="684"/>
      <c r="RN84" s="684"/>
      <c r="RO84" s="684"/>
      <c r="RP84" s="684"/>
      <c r="RQ84" s="684"/>
      <c r="RR84" s="684"/>
      <c r="RS84" s="684"/>
      <c r="RT84" s="684"/>
      <c r="RU84" s="684"/>
      <c r="RV84" s="684"/>
      <c r="RW84" s="684"/>
      <c r="RX84" s="684"/>
      <c r="RY84" s="684"/>
      <c r="RZ84" s="684"/>
      <c r="SA84" s="684"/>
      <c r="SB84" s="684"/>
      <c r="SC84" s="684"/>
      <c r="SD84" s="684"/>
      <c r="SE84" s="684"/>
      <c r="SF84" s="684"/>
      <c r="SG84" s="684"/>
      <c r="SH84" s="684"/>
      <c r="SI84" s="684"/>
      <c r="SJ84" s="684"/>
      <c r="SK84" s="684"/>
      <c r="SL84" s="684"/>
      <c r="SM84" s="684"/>
      <c r="SN84" s="684"/>
      <c r="SO84" s="684"/>
      <c r="SP84" s="684"/>
      <c r="SQ84" s="684"/>
      <c r="SR84" s="684"/>
      <c r="SS84" s="684"/>
      <c r="ST84" s="684"/>
      <c r="SU84" s="684"/>
      <c r="SV84" s="684"/>
      <c r="SW84" s="684"/>
      <c r="SX84" s="684"/>
      <c r="SY84" s="684"/>
      <c r="SZ84" s="684"/>
      <c r="TA84" s="684"/>
      <c r="TB84" s="684"/>
      <c r="TC84" s="684"/>
      <c r="TD84" s="684"/>
      <c r="TE84" s="684"/>
      <c r="TF84" s="684"/>
      <c r="TG84" s="684"/>
      <c r="TH84" s="684"/>
      <c r="TI84" s="684"/>
      <c r="TJ84" s="684"/>
      <c r="TK84" s="684"/>
      <c r="TL84" s="684"/>
      <c r="TM84" s="684"/>
      <c r="TN84" s="684"/>
      <c r="TO84" s="684"/>
      <c r="TP84" s="684"/>
      <c r="TQ84" s="684"/>
      <c r="TR84" s="684"/>
      <c r="TS84" s="684"/>
      <c r="TT84" s="684"/>
      <c r="TU84" s="684"/>
      <c r="TV84" s="684"/>
      <c r="TW84" s="684"/>
      <c r="TX84" s="684"/>
      <c r="TY84" s="684"/>
      <c r="TZ84" s="684"/>
      <c r="UA84" s="684"/>
      <c r="UB84" s="684"/>
      <c r="UC84" s="684"/>
      <c r="UD84" s="684"/>
      <c r="UE84" s="684"/>
      <c r="UF84" s="684"/>
      <c r="UG84" s="684"/>
      <c r="UH84" s="684"/>
      <c r="UI84" s="684"/>
      <c r="UJ84" s="684"/>
      <c r="UK84" s="684"/>
      <c r="UL84" s="684"/>
      <c r="UM84" s="684"/>
      <c r="UN84" s="684"/>
      <c r="UO84" s="684"/>
      <c r="UP84" s="684"/>
      <c r="UQ84" s="684"/>
      <c r="UR84" s="684"/>
      <c r="US84" s="684"/>
      <c r="UT84" s="684"/>
      <c r="UU84" s="684"/>
      <c r="UV84" s="684"/>
      <c r="UW84" s="684"/>
      <c r="UX84" s="684"/>
      <c r="UY84" s="684"/>
      <c r="UZ84" s="684"/>
      <c r="VA84" s="684"/>
      <c r="VB84" s="684"/>
      <c r="VC84" s="684"/>
      <c r="VD84" s="684"/>
      <c r="VE84" s="684"/>
      <c r="VF84" s="684"/>
      <c r="VG84" s="684"/>
      <c r="VH84" s="684"/>
      <c r="VI84" s="684"/>
      <c r="VJ84" s="684"/>
      <c r="VK84" s="684"/>
      <c r="VL84" s="684"/>
      <c r="VM84" s="684"/>
      <c r="VN84" s="684"/>
      <c r="VO84" s="684"/>
      <c r="VP84" s="684"/>
      <c r="VQ84" s="684"/>
      <c r="VR84" s="684"/>
      <c r="VS84" s="684"/>
      <c r="VT84" s="684"/>
      <c r="VU84" s="684"/>
      <c r="VV84" s="684"/>
      <c r="VW84" s="684"/>
      <c r="VX84" s="684"/>
      <c r="VY84" s="684"/>
      <c r="VZ84" s="684"/>
      <c r="WA84" s="684"/>
      <c r="WB84" s="684"/>
      <c r="WC84" s="684"/>
      <c r="WD84" s="684"/>
      <c r="WE84" s="684"/>
      <c r="WF84" s="684"/>
      <c r="WG84" s="684"/>
      <c r="WH84" s="684"/>
      <c r="WI84" s="684"/>
      <c r="WJ84" s="684"/>
      <c r="WK84" s="684"/>
      <c r="WL84" s="684"/>
      <c r="WM84" s="684"/>
      <c r="WN84" s="684"/>
      <c r="WO84" s="684"/>
      <c r="WP84" s="684"/>
      <c r="WQ84" s="684"/>
      <c r="WR84" s="684"/>
      <c r="WS84" s="684"/>
      <c r="WT84" s="684"/>
      <c r="WU84" s="684"/>
      <c r="WV84" s="684"/>
      <c r="WW84" s="684"/>
      <c r="WX84" s="684"/>
      <c r="WY84" s="684"/>
      <c r="WZ84" s="684"/>
      <c r="XA84" s="684"/>
      <c r="XB84" s="684"/>
      <c r="XC84" s="684"/>
      <c r="XD84" s="684"/>
      <c r="XE84" s="684"/>
      <c r="XF84" s="684"/>
      <c r="XG84" s="684"/>
      <c r="XH84" s="684"/>
      <c r="XI84" s="684"/>
      <c r="XJ84" s="684"/>
      <c r="XK84" s="684"/>
      <c r="XL84" s="684"/>
      <c r="XM84" s="684"/>
      <c r="XN84" s="684"/>
      <c r="XO84" s="684"/>
      <c r="XP84" s="684"/>
      <c r="XQ84" s="684"/>
      <c r="XR84" s="684"/>
      <c r="XS84" s="684"/>
      <c r="XT84" s="684"/>
      <c r="XU84" s="684"/>
      <c r="XV84" s="684"/>
      <c r="XW84" s="684"/>
      <c r="XX84" s="684"/>
      <c r="XY84" s="684"/>
      <c r="XZ84" s="684"/>
      <c r="YA84" s="684"/>
      <c r="YB84" s="684"/>
      <c r="YC84" s="684"/>
      <c r="YD84" s="684"/>
      <c r="YE84" s="684"/>
      <c r="YF84" s="684"/>
      <c r="YG84" s="684"/>
      <c r="YH84" s="684"/>
      <c r="YI84" s="684"/>
      <c r="YJ84" s="684"/>
      <c r="YK84" s="684"/>
      <c r="YL84" s="684"/>
      <c r="YM84" s="684"/>
      <c r="YN84" s="684"/>
      <c r="YO84" s="684"/>
      <c r="YP84" s="684"/>
      <c r="YQ84" s="684"/>
      <c r="YR84" s="684"/>
      <c r="YS84" s="684"/>
      <c r="YT84" s="684"/>
      <c r="YU84" s="684"/>
      <c r="YV84" s="684"/>
      <c r="YW84" s="684"/>
      <c r="YX84" s="684"/>
      <c r="YY84" s="684"/>
      <c r="YZ84" s="684"/>
      <c r="ZA84" s="684"/>
      <c r="ZB84" s="684"/>
      <c r="ZC84" s="684"/>
      <c r="ZD84" s="684"/>
      <c r="ZE84" s="684"/>
      <c r="ZF84" s="684"/>
      <c r="ZG84" s="684"/>
      <c r="ZH84" s="684"/>
      <c r="ZI84" s="684"/>
      <c r="ZJ84" s="684"/>
      <c r="ZK84" s="684"/>
      <c r="ZL84" s="684"/>
      <c r="ZM84" s="684"/>
      <c r="ZN84" s="684"/>
      <c r="ZO84" s="684"/>
      <c r="ZP84" s="684"/>
      <c r="ZQ84" s="684"/>
      <c r="ZR84" s="684"/>
      <c r="ZS84" s="684"/>
      <c r="ZT84" s="684"/>
      <c r="ZU84" s="684"/>
      <c r="ZV84" s="684"/>
      <c r="ZW84" s="684"/>
      <c r="ZX84" s="684"/>
      <c r="ZY84" s="684"/>
      <c r="ZZ84" s="684"/>
      <c r="AAA84" s="684"/>
      <c r="AAB84" s="684"/>
      <c r="AAC84" s="684"/>
      <c r="AAD84" s="684"/>
      <c r="AAE84" s="684"/>
      <c r="AAF84" s="684"/>
      <c r="AAG84" s="684"/>
      <c r="AAH84" s="684"/>
      <c r="AAI84" s="684"/>
      <c r="AAJ84" s="684"/>
      <c r="AAK84" s="684"/>
      <c r="AAL84" s="684"/>
      <c r="AAM84" s="684"/>
      <c r="AAN84" s="684"/>
      <c r="AAO84" s="684"/>
      <c r="AAP84" s="684"/>
      <c r="AAQ84" s="684"/>
      <c r="AAR84" s="684"/>
      <c r="AAS84" s="684"/>
      <c r="AAT84" s="684"/>
      <c r="AAU84" s="684"/>
      <c r="AAV84" s="684"/>
      <c r="AAW84" s="684"/>
      <c r="AAX84" s="684"/>
      <c r="AAY84" s="684"/>
      <c r="AAZ84" s="684"/>
      <c r="ABA84" s="684"/>
      <c r="ABB84" s="684"/>
      <c r="ABC84" s="684"/>
      <c r="ABD84" s="684"/>
      <c r="ABE84" s="684"/>
      <c r="ABF84" s="684"/>
      <c r="ABG84" s="684"/>
      <c r="ABH84" s="684"/>
      <c r="ABI84" s="684"/>
      <c r="ABJ84" s="684"/>
      <c r="ABK84" s="684"/>
      <c r="ABL84" s="684"/>
      <c r="ABM84" s="684"/>
      <c r="ABN84" s="684"/>
      <c r="ABO84" s="684"/>
      <c r="ABP84" s="684"/>
      <c r="ABQ84" s="684"/>
      <c r="ABR84" s="684"/>
      <c r="ABS84" s="684"/>
      <c r="ABT84" s="684"/>
      <c r="ABU84" s="684"/>
      <c r="ABV84" s="684"/>
      <c r="ABW84" s="684"/>
      <c r="ABX84" s="684"/>
      <c r="ABY84" s="684"/>
      <c r="ABZ84" s="684"/>
      <c r="ACA84" s="684"/>
      <c r="ACB84" s="684"/>
      <c r="ACC84" s="684"/>
      <c r="ACD84" s="684"/>
      <c r="ACE84" s="684"/>
      <c r="ACF84" s="684"/>
      <c r="ACG84" s="684"/>
      <c r="ACH84" s="684"/>
      <c r="ACI84" s="684"/>
      <c r="ACJ84" s="684"/>
      <c r="ACK84" s="684"/>
      <c r="ACL84" s="684"/>
      <c r="ACM84" s="684"/>
      <c r="ACN84" s="684"/>
      <c r="ACO84" s="684"/>
      <c r="ACP84" s="684"/>
      <c r="ACQ84" s="684"/>
      <c r="ACR84" s="684"/>
      <c r="ACS84" s="684"/>
      <c r="ACT84" s="684"/>
      <c r="ACU84" s="684"/>
      <c r="ACV84" s="684"/>
      <c r="ACW84" s="684"/>
      <c r="ACX84" s="684"/>
      <c r="ACY84" s="684"/>
      <c r="ACZ84" s="684"/>
      <c r="ADA84" s="684"/>
      <c r="ADB84" s="684"/>
      <c r="ADC84" s="684"/>
      <c r="ADD84" s="684"/>
      <c r="ADE84" s="684"/>
      <c r="ADF84" s="684"/>
      <c r="ADG84" s="684"/>
      <c r="ADH84" s="684"/>
      <c r="ADI84" s="684"/>
      <c r="ADJ84" s="684"/>
      <c r="ADK84" s="684"/>
      <c r="ADL84" s="684"/>
      <c r="ADM84" s="684"/>
      <c r="ADN84" s="684"/>
      <c r="ADO84" s="684"/>
      <c r="ADP84" s="684"/>
      <c r="ADQ84" s="684"/>
      <c r="ADR84" s="684"/>
      <c r="ADS84" s="684"/>
      <c r="ADT84" s="684"/>
      <c r="ADU84" s="684"/>
      <c r="ADV84" s="684"/>
      <c r="ADW84" s="684"/>
      <c r="ADX84" s="684"/>
      <c r="ADY84" s="684"/>
      <c r="ADZ84" s="684"/>
      <c r="AEA84" s="684"/>
      <c r="AEB84" s="684"/>
      <c r="AEC84" s="684"/>
      <c r="AED84" s="684"/>
      <c r="AEE84" s="684"/>
      <c r="AEF84" s="684"/>
      <c r="AEG84" s="684"/>
      <c r="AEH84" s="684"/>
      <c r="AEI84" s="684"/>
      <c r="AEJ84" s="684"/>
      <c r="AEK84" s="684"/>
      <c r="AEL84" s="684"/>
      <c r="AEM84" s="684"/>
      <c r="AEN84" s="684"/>
      <c r="AEO84" s="684"/>
      <c r="AEP84" s="684"/>
      <c r="AEQ84" s="684"/>
      <c r="AER84" s="684"/>
      <c r="AES84" s="684"/>
      <c r="AET84" s="684"/>
      <c r="AEU84" s="684"/>
      <c r="AEV84" s="684"/>
      <c r="AEW84" s="684"/>
      <c r="AEX84" s="684"/>
      <c r="AEY84" s="684"/>
      <c r="AEZ84" s="684"/>
      <c r="AFA84" s="684"/>
      <c r="AFB84" s="684"/>
      <c r="AFC84" s="684"/>
      <c r="AFD84" s="684"/>
      <c r="AFE84" s="684"/>
      <c r="AFF84" s="684"/>
      <c r="AFG84" s="684"/>
      <c r="AFH84" s="684"/>
      <c r="AFI84" s="684"/>
      <c r="AFJ84" s="684"/>
      <c r="AFK84" s="684"/>
      <c r="AFL84" s="684"/>
      <c r="AFM84" s="684"/>
      <c r="AFN84" s="684"/>
      <c r="AFO84" s="684"/>
      <c r="AFP84" s="684"/>
      <c r="AFQ84" s="684"/>
      <c r="AFR84" s="684"/>
      <c r="AFS84" s="684"/>
      <c r="AFT84" s="684"/>
      <c r="AFU84" s="684"/>
      <c r="AFV84" s="684"/>
      <c r="AFW84" s="684"/>
      <c r="AFX84" s="684"/>
      <c r="AFY84" s="684"/>
      <c r="AFZ84" s="684"/>
      <c r="AGA84" s="684"/>
      <c r="AGB84" s="684"/>
      <c r="AGC84" s="684"/>
      <c r="AGD84" s="684"/>
      <c r="AGE84" s="684"/>
      <c r="AGF84" s="684"/>
      <c r="AGG84" s="684"/>
      <c r="AGH84" s="684"/>
      <c r="AGI84" s="684"/>
      <c r="AGJ84" s="684"/>
      <c r="AGK84" s="684"/>
      <c r="AGL84" s="684"/>
      <c r="AGM84" s="684"/>
      <c r="AGN84" s="684"/>
      <c r="AGO84" s="684"/>
      <c r="AGP84" s="684"/>
      <c r="AGQ84" s="684"/>
      <c r="AGR84" s="684"/>
      <c r="AGS84" s="684"/>
      <c r="AGT84" s="684"/>
      <c r="AGU84" s="684"/>
      <c r="AGV84" s="684"/>
      <c r="AGW84" s="684"/>
      <c r="AGX84" s="684"/>
      <c r="AGY84" s="684"/>
      <c r="AGZ84" s="684"/>
      <c r="AHA84" s="684"/>
      <c r="AHB84" s="684"/>
      <c r="AHC84" s="684"/>
      <c r="AHD84" s="684"/>
      <c r="AHE84" s="684"/>
      <c r="AHF84" s="684"/>
      <c r="AHG84" s="684"/>
      <c r="AHH84" s="684"/>
      <c r="AHI84" s="684"/>
      <c r="AHJ84" s="684"/>
      <c r="AHK84" s="684"/>
      <c r="AHL84" s="684"/>
      <c r="AHM84" s="684"/>
      <c r="AHN84" s="684"/>
      <c r="AHO84" s="684"/>
      <c r="AHP84" s="684"/>
      <c r="AHQ84" s="684"/>
      <c r="AHR84" s="684"/>
      <c r="AHS84" s="684"/>
      <c r="AHT84" s="684"/>
      <c r="AHU84" s="684"/>
      <c r="AHV84" s="684"/>
      <c r="AHW84" s="684"/>
      <c r="AHX84" s="684"/>
      <c r="AHY84" s="684"/>
      <c r="AHZ84" s="684"/>
      <c r="AIA84" s="684"/>
      <c r="AIB84" s="684"/>
      <c r="AIC84" s="684"/>
      <c r="AID84" s="684"/>
      <c r="AIE84" s="684"/>
      <c r="AIF84" s="684"/>
      <c r="AIG84" s="684"/>
      <c r="AIH84" s="684"/>
      <c r="AII84" s="684"/>
      <c r="AIJ84" s="684"/>
      <c r="AIK84" s="684"/>
      <c r="AIL84" s="684"/>
      <c r="AIM84" s="684"/>
      <c r="AIN84" s="684"/>
      <c r="AIO84" s="684"/>
      <c r="AIP84" s="684"/>
      <c r="AIQ84" s="684"/>
      <c r="AIR84" s="684"/>
      <c r="AIS84" s="684"/>
      <c r="AIT84" s="684"/>
      <c r="AIU84" s="684"/>
      <c r="AIV84" s="684"/>
      <c r="AIW84" s="684"/>
      <c r="AIX84" s="684"/>
      <c r="AIY84" s="684"/>
      <c r="AIZ84" s="684"/>
      <c r="AJA84" s="684"/>
      <c r="AJB84" s="684"/>
      <c r="AJC84" s="684"/>
      <c r="AJD84" s="684"/>
      <c r="AJE84" s="684"/>
      <c r="AJF84" s="684"/>
      <c r="AJG84" s="684"/>
      <c r="AJH84" s="684"/>
      <c r="AJI84" s="684"/>
      <c r="AJJ84" s="684"/>
      <c r="AJK84" s="684"/>
      <c r="AJL84" s="684"/>
      <c r="AJM84" s="684"/>
      <c r="AJN84" s="684"/>
      <c r="AJO84" s="684"/>
      <c r="AJP84" s="684"/>
      <c r="AJQ84" s="684"/>
      <c r="AJR84" s="684"/>
      <c r="AJS84" s="684"/>
      <c r="AJT84" s="684"/>
      <c r="AJU84" s="684"/>
      <c r="AJV84" s="684"/>
      <c r="AJW84" s="684"/>
      <c r="AJX84" s="684"/>
      <c r="AJY84" s="684"/>
      <c r="AJZ84" s="684"/>
      <c r="AKA84" s="684"/>
      <c r="AKB84" s="684"/>
      <c r="AKC84" s="684"/>
      <c r="AKD84" s="684"/>
      <c r="AKE84" s="684"/>
      <c r="AKF84" s="684"/>
      <c r="AKG84" s="684"/>
      <c r="AKH84" s="684"/>
      <c r="AKI84" s="684"/>
      <c r="AKJ84" s="684"/>
      <c r="AKK84" s="684"/>
      <c r="AKL84" s="684"/>
      <c r="AKM84" s="684"/>
      <c r="AKN84" s="684"/>
      <c r="AKO84" s="684"/>
      <c r="AKP84" s="684"/>
      <c r="AKQ84" s="684"/>
      <c r="AKR84" s="684"/>
      <c r="AKS84" s="684"/>
      <c r="AKT84" s="684"/>
      <c r="AKU84" s="684"/>
      <c r="AKV84" s="684"/>
      <c r="AKW84" s="684"/>
      <c r="AKX84" s="684"/>
      <c r="AKY84" s="684"/>
      <c r="AKZ84" s="684"/>
      <c r="ALA84" s="684"/>
      <c r="ALB84" s="684"/>
      <c r="ALC84" s="684"/>
      <c r="ALD84" s="684"/>
      <c r="ALE84" s="684"/>
      <c r="ALF84" s="684"/>
      <c r="ALG84" s="684"/>
      <c r="ALH84" s="684"/>
      <c r="ALI84" s="684"/>
      <c r="ALJ84" s="684"/>
      <c r="ALK84" s="684"/>
      <c r="ALL84" s="684"/>
      <c r="ALM84" s="684"/>
      <c r="ALN84" s="684"/>
      <c r="ALO84" s="684"/>
      <c r="ALP84" s="684"/>
      <c r="ALQ84" s="684"/>
      <c r="ALR84" s="684"/>
      <c r="ALS84" s="684"/>
      <c r="ALT84" s="684"/>
      <c r="ALU84" s="684"/>
      <c r="ALV84" s="684"/>
      <c r="ALW84" s="684"/>
      <c r="ALX84" s="684"/>
      <c r="ALY84" s="684"/>
      <c r="ALZ84" s="684"/>
      <c r="AMA84" s="684"/>
      <c r="AMB84" s="684"/>
      <c r="AMC84" s="684"/>
      <c r="AMD84" s="684"/>
      <c r="AME84" s="684"/>
      <c r="AMF84" s="684"/>
      <c r="AMG84" s="684"/>
      <c r="AMH84" s="684"/>
      <c r="AMI84" s="684"/>
      <c r="AMJ84" s="684"/>
      <c r="AMK84" s="684"/>
      <c r="AML84" s="684"/>
      <c r="AMM84" s="684"/>
      <c r="AMN84" s="684"/>
      <c r="AMO84" s="684"/>
      <c r="AMP84" s="684"/>
      <c r="AMQ84" s="684"/>
      <c r="AMR84" s="684"/>
      <c r="AMS84" s="684"/>
      <c r="AMT84" s="684"/>
      <c r="AMU84" s="684"/>
      <c r="AMV84" s="684"/>
      <c r="AMW84" s="684"/>
      <c r="AMX84" s="684"/>
      <c r="AMY84" s="684"/>
      <c r="AMZ84" s="684"/>
      <c r="ANA84" s="684"/>
      <c r="ANB84" s="684"/>
      <c r="ANC84" s="684"/>
      <c r="AND84" s="684"/>
      <c r="ANE84" s="684"/>
      <c r="ANF84" s="684"/>
      <c r="ANG84" s="684"/>
      <c r="ANH84" s="684"/>
      <c r="ANI84" s="684"/>
      <c r="ANJ84" s="684"/>
      <c r="ANK84" s="684"/>
      <c r="ANL84" s="684"/>
      <c r="ANM84" s="684"/>
      <c r="ANN84" s="684"/>
      <c r="ANO84" s="684"/>
      <c r="ANP84" s="684"/>
      <c r="ANQ84" s="684"/>
      <c r="ANR84" s="684"/>
      <c r="ANS84" s="684"/>
      <c r="ANT84" s="684"/>
      <c r="ANU84" s="684"/>
      <c r="ANV84" s="684"/>
      <c r="ANW84" s="684"/>
      <c r="ANX84" s="684"/>
      <c r="ANY84" s="684"/>
      <c r="ANZ84" s="684"/>
      <c r="AOA84" s="684"/>
      <c r="AOB84" s="684"/>
      <c r="AOC84" s="684"/>
      <c r="AOD84" s="684"/>
      <c r="AOE84" s="684"/>
      <c r="AOF84" s="684"/>
      <c r="AOG84" s="684"/>
      <c r="AOH84" s="684"/>
      <c r="AOI84" s="684"/>
      <c r="AOJ84" s="684"/>
      <c r="AOK84" s="684"/>
      <c r="AOL84" s="684"/>
      <c r="AOM84" s="684"/>
      <c r="AON84" s="684"/>
      <c r="AOO84" s="684"/>
      <c r="AOP84" s="684"/>
      <c r="AOQ84" s="684"/>
      <c r="AOR84" s="684"/>
      <c r="AOS84" s="684"/>
      <c r="AOT84" s="684"/>
      <c r="AOU84" s="684"/>
      <c r="AOV84" s="684"/>
      <c r="AOW84" s="684"/>
      <c r="AOX84" s="684"/>
      <c r="AOY84" s="684"/>
      <c r="AOZ84" s="684"/>
      <c r="APA84" s="684"/>
      <c r="APB84" s="684"/>
      <c r="APC84" s="684"/>
      <c r="APD84" s="684"/>
      <c r="APE84" s="684"/>
      <c r="APF84" s="684"/>
      <c r="APG84" s="684"/>
      <c r="APH84" s="684"/>
      <c r="API84" s="684"/>
      <c r="APJ84" s="684"/>
      <c r="APK84" s="684"/>
      <c r="APL84" s="684"/>
      <c r="APM84" s="684"/>
      <c r="APN84" s="684"/>
      <c r="APO84" s="684"/>
      <c r="APP84" s="684"/>
      <c r="APQ84" s="684"/>
      <c r="APR84" s="684"/>
      <c r="APS84" s="684"/>
      <c r="APT84" s="684"/>
      <c r="APU84" s="684"/>
      <c r="APV84" s="684"/>
      <c r="APW84" s="684"/>
      <c r="APX84" s="684"/>
      <c r="APY84" s="684"/>
      <c r="APZ84" s="684"/>
      <c r="AQA84" s="684"/>
      <c r="AQB84" s="684"/>
      <c r="AQC84" s="684"/>
      <c r="AQD84" s="684"/>
      <c r="AQE84" s="684"/>
      <c r="AQF84" s="684"/>
      <c r="AQG84" s="684"/>
      <c r="AQH84" s="684"/>
      <c r="AQI84" s="684"/>
      <c r="AQJ84" s="684"/>
      <c r="AQK84" s="684"/>
      <c r="AQL84" s="684"/>
      <c r="AQM84" s="684"/>
      <c r="AQN84" s="684"/>
      <c r="AQO84" s="684"/>
      <c r="AQP84" s="684"/>
      <c r="AQQ84" s="684"/>
      <c r="AQR84" s="684"/>
      <c r="AQS84" s="684"/>
      <c r="AQT84" s="684"/>
      <c r="AQU84" s="684"/>
      <c r="AQV84" s="684"/>
      <c r="AQW84" s="684"/>
      <c r="AQX84" s="684"/>
      <c r="AQY84" s="684"/>
      <c r="AQZ84" s="684"/>
      <c r="ARA84" s="684"/>
      <c r="ARB84" s="684"/>
      <c r="ARC84" s="684"/>
      <c r="ARD84" s="684"/>
      <c r="ARE84" s="684"/>
      <c r="ARF84" s="684"/>
      <c r="ARG84" s="684"/>
      <c r="ARH84" s="684"/>
      <c r="ARI84" s="684"/>
      <c r="ARJ84" s="684"/>
      <c r="ARK84" s="684"/>
      <c r="ARL84" s="684"/>
      <c r="ARM84" s="684"/>
      <c r="ARN84" s="684"/>
      <c r="ARO84" s="684"/>
      <c r="ARP84" s="684"/>
      <c r="ARQ84" s="684"/>
      <c r="ARR84" s="684"/>
      <c r="ARS84" s="684"/>
      <c r="ART84" s="684"/>
      <c r="ARU84" s="684"/>
      <c r="ARV84" s="684"/>
      <c r="ARW84" s="684"/>
      <c r="ARX84" s="684"/>
      <c r="ARY84" s="684"/>
      <c r="ARZ84" s="684"/>
      <c r="ASA84" s="684"/>
      <c r="ASB84" s="684"/>
      <c r="ASC84" s="684"/>
      <c r="ASD84" s="684"/>
      <c r="ASE84" s="684"/>
      <c r="ASF84" s="684"/>
      <c r="ASG84" s="684"/>
      <c r="ASH84" s="684"/>
      <c r="ASI84" s="684"/>
      <c r="ASJ84" s="684"/>
      <c r="ASK84" s="684"/>
      <c r="ASL84" s="684"/>
      <c r="ASM84" s="684"/>
      <c r="ASN84" s="684"/>
      <c r="ASO84" s="684"/>
      <c r="ASP84" s="684"/>
      <c r="ASQ84" s="684"/>
      <c r="ASR84" s="684"/>
      <c r="ASS84" s="684"/>
      <c r="AST84" s="684"/>
      <c r="ASU84" s="684"/>
      <c r="ASV84" s="684"/>
      <c r="ASW84" s="684"/>
      <c r="ASX84" s="684"/>
      <c r="ASY84" s="684"/>
      <c r="ASZ84" s="684"/>
      <c r="ATA84" s="684"/>
      <c r="ATB84" s="684"/>
      <c r="ATC84" s="684"/>
      <c r="ATD84" s="684"/>
      <c r="ATE84" s="684"/>
      <c r="ATF84" s="684"/>
      <c r="ATG84" s="684"/>
      <c r="ATH84" s="684"/>
      <c r="ATI84" s="684"/>
      <c r="ATJ84" s="684"/>
      <c r="ATK84" s="684"/>
      <c r="ATL84" s="684"/>
      <c r="ATM84" s="684"/>
      <c r="ATN84" s="684"/>
      <c r="ATO84" s="684"/>
      <c r="ATP84" s="684"/>
      <c r="ATQ84" s="684"/>
      <c r="ATR84" s="684"/>
      <c r="ATS84" s="684"/>
      <c r="ATT84" s="684"/>
      <c r="ATU84" s="684"/>
      <c r="ATV84" s="684"/>
      <c r="ATW84" s="684"/>
      <c r="ATX84" s="684"/>
      <c r="ATY84" s="684"/>
      <c r="ATZ84" s="684"/>
      <c r="AUA84" s="684"/>
      <c r="AUB84" s="684"/>
      <c r="AUC84" s="684"/>
      <c r="AUD84" s="684"/>
      <c r="AUE84" s="684"/>
      <c r="AUF84" s="684"/>
      <c r="AUG84" s="684"/>
      <c r="AUH84" s="684"/>
      <c r="AUI84" s="684"/>
      <c r="AUJ84" s="684"/>
      <c r="AUK84" s="684"/>
      <c r="AUL84" s="684"/>
      <c r="AUM84" s="684"/>
      <c r="AUN84" s="684"/>
      <c r="AUO84" s="684"/>
      <c r="AUP84" s="684"/>
      <c r="AUQ84" s="684"/>
      <c r="AUR84" s="684"/>
      <c r="AUS84" s="684"/>
      <c r="AUT84" s="684"/>
      <c r="AUU84" s="684"/>
      <c r="AUV84" s="684"/>
      <c r="AUW84" s="684"/>
      <c r="AUX84" s="684"/>
      <c r="AUY84" s="684"/>
      <c r="AUZ84" s="684"/>
      <c r="AVA84" s="684"/>
      <c r="AVB84" s="684"/>
      <c r="AVC84" s="684"/>
      <c r="AVD84" s="684"/>
      <c r="AVE84" s="684"/>
      <c r="AVF84" s="684"/>
      <c r="AVG84" s="684"/>
      <c r="AVH84" s="684"/>
      <c r="AVI84" s="684"/>
      <c r="AVJ84" s="684"/>
      <c r="AVK84" s="684"/>
      <c r="AVL84" s="684"/>
      <c r="AVM84" s="684"/>
      <c r="AVN84" s="684"/>
      <c r="AVO84" s="684"/>
      <c r="AVP84" s="684"/>
      <c r="AVQ84" s="684"/>
      <c r="AVR84" s="684"/>
      <c r="AVS84" s="684"/>
      <c r="AVT84" s="684"/>
      <c r="AVU84" s="684"/>
      <c r="AVV84" s="684"/>
      <c r="AVW84" s="684"/>
      <c r="AVX84" s="684"/>
      <c r="AVY84" s="684"/>
      <c r="AVZ84" s="684"/>
      <c r="AWA84" s="684"/>
      <c r="AWB84" s="684"/>
      <c r="AWC84" s="684"/>
      <c r="AWD84" s="684"/>
      <c r="AWE84" s="684"/>
      <c r="AWF84" s="684"/>
      <c r="AWG84" s="684"/>
      <c r="AWH84" s="684"/>
      <c r="AWI84" s="684"/>
      <c r="AWJ84" s="684"/>
      <c r="AWK84" s="684"/>
      <c r="AWL84" s="684"/>
      <c r="AWM84" s="684"/>
      <c r="AWN84" s="684"/>
      <c r="AWO84" s="684"/>
      <c r="AWP84" s="684"/>
      <c r="AWQ84" s="684"/>
      <c r="AWR84" s="684"/>
      <c r="AWS84" s="684"/>
      <c r="AWT84" s="684"/>
      <c r="AWU84" s="684"/>
      <c r="AWV84" s="684"/>
      <c r="AWW84" s="684"/>
      <c r="AWX84" s="684"/>
      <c r="AWY84" s="684"/>
      <c r="AWZ84" s="684"/>
      <c r="AXA84" s="684"/>
      <c r="AXB84" s="684"/>
      <c r="AXC84" s="684"/>
      <c r="AXD84" s="684"/>
      <c r="AXE84" s="684"/>
      <c r="AXF84" s="684"/>
      <c r="AXG84" s="684"/>
      <c r="AXH84" s="684"/>
      <c r="AXI84" s="684"/>
      <c r="AXJ84" s="684"/>
      <c r="AXK84" s="684"/>
      <c r="AXL84" s="684"/>
      <c r="AXM84" s="684"/>
      <c r="AXN84" s="684"/>
      <c r="AXO84" s="684"/>
      <c r="AXP84" s="684"/>
      <c r="AXQ84" s="684"/>
      <c r="AXR84" s="684"/>
      <c r="AXS84" s="684"/>
      <c r="AXT84" s="684"/>
      <c r="AXU84" s="684"/>
      <c r="AXV84" s="684"/>
      <c r="AXW84" s="684"/>
      <c r="AXX84" s="684"/>
      <c r="AXY84" s="684"/>
      <c r="AXZ84" s="684"/>
      <c r="AYA84" s="684"/>
      <c r="AYB84" s="684"/>
      <c r="AYC84" s="684"/>
      <c r="AYD84" s="684"/>
      <c r="AYE84" s="684"/>
      <c r="AYF84" s="684"/>
      <c r="AYG84" s="684"/>
      <c r="AYH84" s="684"/>
      <c r="AYI84" s="684"/>
      <c r="AYJ84" s="684"/>
      <c r="AYK84" s="684"/>
      <c r="AYL84" s="684"/>
      <c r="AYM84" s="684"/>
      <c r="AYN84" s="684"/>
      <c r="AYO84" s="684"/>
      <c r="AYP84" s="684"/>
      <c r="AYQ84" s="684"/>
      <c r="AYR84" s="684"/>
      <c r="AYS84" s="684"/>
      <c r="AYT84" s="684"/>
      <c r="AYU84" s="684"/>
      <c r="AYV84" s="684"/>
      <c r="AYW84" s="684"/>
      <c r="AYX84" s="684"/>
      <c r="AYY84" s="684"/>
      <c r="AYZ84" s="684"/>
      <c r="AZA84" s="684"/>
      <c r="AZB84" s="684"/>
      <c r="AZC84" s="684"/>
      <c r="AZD84" s="684"/>
      <c r="AZE84" s="684"/>
      <c r="AZF84" s="684"/>
      <c r="AZG84" s="684"/>
      <c r="AZH84" s="684"/>
      <c r="AZI84" s="684"/>
      <c r="AZJ84" s="684"/>
      <c r="AZK84" s="684"/>
      <c r="AZL84" s="684"/>
      <c r="AZM84" s="684"/>
      <c r="AZN84" s="684"/>
      <c r="AZO84" s="684"/>
      <c r="AZP84" s="684"/>
      <c r="AZQ84" s="684"/>
      <c r="AZR84" s="684"/>
      <c r="AZS84" s="684"/>
      <c r="AZT84" s="684"/>
      <c r="AZU84" s="684"/>
      <c r="AZV84" s="684"/>
      <c r="AZW84" s="684"/>
      <c r="AZX84" s="684"/>
      <c r="AZY84" s="684"/>
      <c r="AZZ84" s="684"/>
      <c r="BAA84" s="684"/>
      <c r="BAB84" s="684"/>
      <c r="BAC84" s="684"/>
      <c r="BAD84" s="684"/>
      <c r="BAE84" s="684"/>
      <c r="BAF84" s="684"/>
      <c r="BAG84" s="684"/>
      <c r="BAH84" s="684"/>
      <c r="BAI84" s="684"/>
      <c r="BAJ84" s="684"/>
      <c r="BAK84" s="684"/>
      <c r="BAL84" s="684"/>
      <c r="BAM84" s="684"/>
      <c r="BAN84" s="684"/>
      <c r="BAO84" s="684"/>
      <c r="BAP84" s="684"/>
      <c r="BAQ84" s="684"/>
      <c r="BAR84" s="684"/>
      <c r="BAS84" s="684"/>
      <c r="BAT84" s="684"/>
      <c r="BAU84" s="684"/>
      <c r="BAV84" s="684"/>
      <c r="BAW84" s="684"/>
      <c r="BAX84" s="684"/>
      <c r="BAY84" s="684"/>
      <c r="BAZ84" s="684"/>
      <c r="BBA84" s="684"/>
      <c r="BBB84" s="684"/>
      <c r="BBC84" s="684"/>
      <c r="BBD84" s="684"/>
      <c r="BBE84" s="684"/>
      <c r="BBF84" s="684"/>
      <c r="BBG84" s="684"/>
      <c r="BBH84" s="684"/>
      <c r="BBI84" s="684"/>
      <c r="BBJ84" s="684"/>
      <c r="BBK84" s="684"/>
      <c r="BBL84" s="684"/>
      <c r="BBM84" s="684"/>
      <c r="BBN84" s="684"/>
      <c r="BBO84" s="684"/>
      <c r="BBP84" s="684"/>
      <c r="BBQ84" s="684"/>
      <c r="BBR84" s="684"/>
      <c r="BBS84" s="684"/>
      <c r="BBT84" s="684"/>
      <c r="BBU84" s="684"/>
      <c r="BBV84" s="684"/>
      <c r="BBW84" s="684"/>
      <c r="BBX84" s="684"/>
      <c r="BBY84" s="684"/>
      <c r="BBZ84" s="684"/>
      <c r="BCA84" s="684"/>
      <c r="BCB84" s="684"/>
      <c r="BCC84" s="684"/>
      <c r="BCD84" s="684"/>
      <c r="BCE84" s="684"/>
      <c r="BCF84" s="684"/>
      <c r="BCG84" s="684"/>
      <c r="BCH84" s="684"/>
      <c r="BCI84" s="684"/>
      <c r="BCJ84" s="684"/>
      <c r="BCK84" s="684"/>
      <c r="BCL84" s="684"/>
      <c r="BCM84" s="684"/>
      <c r="BCN84" s="684"/>
      <c r="BCO84" s="684"/>
      <c r="BCP84" s="684"/>
      <c r="BCQ84" s="684"/>
      <c r="BCR84" s="684"/>
      <c r="BCS84" s="684"/>
      <c r="BCT84" s="684"/>
      <c r="BCU84" s="684"/>
      <c r="BCV84" s="684"/>
      <c r="BCW84" s="684"/>
      <c r="BCX84" s="684"/>
      <c r="BCY84" s="684"/>
      <c r="BCZ84" s="684"/>
      <c r="BDA84" s="684"/>
      <c r="BDB84" s="684"/>
      <c r="BDC84" s="684"/>
      <c r="BDD84" s="684"/>
      <c r="BDE84" s="684"/>
      <c r="BDF84" s="684"/>
      <c r="BDG84" s="684"/>
      <c r="BDH84" s="684"/>
      <c r="BDI84" s="684"/>
      <c r="BDJ84" s="684"/>
      <c r="BDK84" s="684"/>
      <c r="BDL84" s="684"/>
      <c r="BDM84" s="684"/>
      <c r="BDN84" s="684"/>
      <c r="BDO84" s="684"/>
      <c r="BDP84" s="684"/>
      <c r="BDQ84" s="684"/>
      <c r="BDR84" s="684"/>
      <c r="BDS84" s="684"/>
      <c r="BDT84" s="684"/>
      <c r="BDU84" s="684"/>
      <c r="BDV84" s="684"/>
      <c r="BDW84" s="684"/>
      <c r="BDX84" s="684"/>
      <c r="BDY84" s="684"/>
      <c r="BDZ84" s="684"/>
      <c r="BEA84" s="684"/>
      <c r="BEB84" s="684"/>
      <c r="BEC84" s="684"/>
      <c r="BED84" s="684"/>
      <c r="BEE84" s="684"/>
      <c r="BEF84" s="684"/>
      <c r="BEG84" s="684"/>
      <c r="BEH84" s="684"/>
      <c r="BEI84" s="684"/>
      <c r="BEJ84" s="684"/>
      <c r="BEK84" s="684"/>
      <c r="BEL84" s="684"/>
      <c r="BEM84" s="684"/>
      <c r="BEN84" s="684"/>
      <c r="BEO84" s="684"/>
      <c r="BEP84" s="684"/>
      <c r="BEQ84" s="684"/>
      <c r="BER84" s="684"/>
      <c r="BES84" s="684"/>
      <c r="BET84" s="684"/>
      <c r="BEU84" s="684"/>
      <c r="BEV84" s="684"/>
      <c r="BEW84" s="684"/>
      <c r="BEX84" s="684"/>
      <c r="BEY84" s="684"/>
      <c r="BEZ84" s="684"/>
      <c r="BFA84" s="684"/>
      <c r="BFB84" s="684"/>
      <c r="BFC84" s="684"/>
      <c r="BFD84" s="684"/>
      <c r="BFE84" s="684"/>
      <c r="BFF84" s="684"/>
      <c r="BFG84" s="684"/>
      <c r="BFH84" s="684"/>
      <c r="BFI84" s="684"/>
      <c r="BFJ84" s="684"/>
      <c r="BFK84" s="684"/>
      <c r="BFL84" s="684"/>
      <c r="BFM84" s="684"/>
      <c r="BFN84" s="684"/>
      <c r="BFO84" s="684"/>
      <c r="BFP84" s="684"/>
      <c r="BFQ84" s="684"/>
      <c r="BFR84" s="684"/>
      <c r="BFS84" s="684"/>
      <c r="BFT84" s="684"/>
      <c r="BFU84" s="684"/>
      <c r="BFV84" s="684"/>
      <c r="BFW84" s="684"/>
      <c r="BFX84" s="684"/>
      <c r="BFY84" s="684"/>
      <c r="BFZ84" s="684"/>
      <c r="BGA84" s="684"/>
      <c r="BGB84" s="684"/>
      <c r="BGC84" s="684"/>
      <c r="BGD84" s="684"/>
      <c r="BGE84" s="684"/>
      <c r="BGF84" s="684"/>
      <c r="BGG84" s="684"/>
      <c r="BGH84" s="684"/>
      <c r="BGI84" s="684"/>
      <c r="BGJ84" s="684"/>
      <c r="BGK84" s="684"/>
      <c r="BGL84" s="684"/>
      <c r="BGM84" s="684"/>
      <c r="BGN84" s="684"/>
      <c r="BGO84" s="684"/>
      <c r="BGP84" s="684"/>
      <c r="BGQ84" s="684"/>
      <c r="BGR84" s="684"/>
      <c r="BGS84" s="684"/>
      <c r="BGT84" s="684"/>
      <c r="BGU84" s="684"/>
      <c r="BGV84" s="684"/>
      <c r="BGW84" s="684"/>
      <c r="BGX84" s="684"/>
      <c r="BGY84" s="684"/>
      <c r="BGZ84" s="684"/>
      <c r="BHA84" s="684"/>
      <c r="BHB84" s="684"/>
      <c r="BHC84" s="684"/>
      <c r="BHD84" s="684"/>
      <c r="BHE84" s="684"/>
      <c r="BHF84" s="684"/>
      <c r="BHG84" s="684"/>
      <c r="BHH84" s="684"/>
      <c r="BHI84" s="684"/>
      <c r="BHJ84" s="684"/>
      <c r="BHK84" s="684"/>
      <c r="BHL84" s="684"/>
      <c r="BHM84" s="684"/>
      <c r="BHN84" s="684"/>
      <c r="BHO84" s="684"/>
      <c r="BHP84" s="684"/>
      <c r="BHQ84" s="684"/>
      <c r="BHR84" s="684"/>
      <c r="BHS84" s="684"/>
      <c r="BHT84" s="684"/>
      <c r="BHU84" s="684"/>
      <c r="BHV84" s="684"/>
      <c r="BHW84" s="684"/>
      <c r="BHX84" s="684"/>
      <c r="BHY84" s="684"/>
      <c r="BHZ84" s="684"/>
      <c r="BIA84" s="684"/>
      <c r="BIB84" s="684"/>
      <c r="BIC84" s="684"/>
      <c r="BID84" s="684"/>
      <c r="BIE84" s="684"/>
      <c r="BIF84" s="684"/>
      <c r="BIG84" s="684"/>
      <c r="BIH84" s="684"/>
      <c r="BII84" s="684"/>
      <c r="BIJ84" s="684"/>
      <c r="BIK84" s="684"/>
      <c r="BIL84" s="684"/>
      <c r="BIM84" s="684"/>
      <c r="BIN84" s="684"/>
      <c r="BIO84" s="684"/>
      <c r="BIP84" s="684"/>
      <c r="BIQ84" s="684"/>
      <c r="BIR84" s="684"/>
      <c r="BIS84" s="684"/>
      <c r="BIT84" s="684"/>
      <c r="BIU84" s="684"/>
      <c r="BIV84" s="684"/>
      <c r="BIW84" s="684"/>
      <c r="BIX84" s="684"/>
      <c r="BIY84" s="684"/>
      <c r="BIZ84" s="684"/>
      <c r="BJA84" s="684"/>
      <c r="BJB84" s="684"/>
      <c r="BJC84" s="684"/>
      <c r="BJD84" s="684"/>
      <c r="BJE84" s="684"/>
      <c r="BJF84" s="684"/>
      <c r="BJG84" s="684"/>
      <c r="BJH84" s="684"/>
      <c r="BJI84" s="684"/>
      <c r="BJJ84" s="684"/>
      <c r="BJK84" s="684"/>
      <c r="BJL84" s="684"/>
      <c r="BJM84" s="684"/>
      <c r="BJN84" s="684"/>
      <c r="BJO84" s="684"/>
      <c r="BJP84" s="684"/>
      <c r="BJQ84" s="684"/>
      <c r="BJR84" s="684"/>
      <c r="BJS84" s="684"/>
      <c r="BJT84" s="684"/>
      <c r="BJU84" s="684"/>
      <c r="BJV84" s="684"/>
      <c r="BJW84" s="684"/>
      <c r="BJX84" s="684"/>
      <c r="BJY84" s="684"/>
      <c r="BJZ84" s="684"/>
      <c r="BKA84" s="684"/>
      <c r="BKB84" s="684"/>
      <c r="BKC84" s="684"/>
      <c r="BKD84" s="684"/>
      <c r="BKE84" s="684"/>
      <c r="BKF84" s="684"/>
      <c r="BKG84" s="684"/>
      <c r="BKH84" s="684"/>
      <c r="BKI84" s="684"/>
      <c r="BKJ84" s="684"/>
      <c r="BKK84" s="684"/>
      <c r="BKL84" s="684"/>
      <c r="BKM84" s="684"/>
      <c r="BKN84" s="684"/>
      <c r="BKO84" s="684"/>
      <c r="BKP84" s="684"/>
      <c r="BKQ84" s="684"/>
      <c r="BKR84" s="684"/>
      <c r="BKS84" s="684"/>
      <c r="BKT84" s="684"/>
      <c r="BKU84" s="684"/>
      <c r="BKV84" s="684"/>
      <c r="BKW84" s="684"/>
      <c r="BKX84" s="684"/>
      <c r="BKY84" s="684"/>
      <c r="BKZ84" s="684"/>
      <c r="BLA84" s="684"/>
      <c r="BLB84" s="684"/>
      <c r="BLC84" s="684"/>
      <c r="BLD84" s="684"/>
      <c r="BLE84" s="684"/>
      <c r="BLF84" s="684"/>
      <c r="BLG84" s="684"/>
      <c r="BLH84" s="684"/>
      <c r="BLI84" s="684"/>
      <c r="BLJ84" s="684"/>
      <c r="BLK84" s="684"/>
      <c r="BLL84" s="684"/>
      <c r="BLM84" s="684"/>
      <c r="BLN84" s="684"/>
      <c r="BLO84" s="684"/>
      <c r="BLP84" s="684"/>
      <c r="BLQ84" s="684"/>
      <c r="BLR84" s="684"/>
      <c r="BLS84" s="684"/>
      <c r="BLT84" s="684"/>
      <c r="BLU84" s="684"/>
      <c r="BLV84" s="684"/>
      <c r="BLW84" s="684"/>
      <c r="BLX84" s="684"/>
      <c r="BLY84" s="684"/>
      <c r="BLZ84" s="684"/>
      <c r="BMA84" s="684"/>
      <c r="BMB84" s="684"/>
      <c r="BMC84" s="684"/>
      <c r="BMD84" s="684"/>
      <c r="BME84" s="684"/>
      <c r="BMF84" s="684"/>
      <c r="BMG84" s="684"/>
      <c r="BMH84" s="684"/>
      <c r="BMI84" s="684"/>
      <c r="BMJ84" s="684"/>
      <c r="BMK84" s="684"/>
      <c r="BML84" s="684"/>
      <c r="BMM84" s="684"/>
      <c r="BMN84" s="684"/>
      <c r="BMO84" s="684"/>
      <c r="BMP84" s="684"/>
      <c r="BMQ84" s="684"/>
      <c r="BMR84" s="684"/>
      <c r="BMS84" s="684"/>
      <c r="BMT84" s="684"/>
      <c r="BMU84" s="684"/>
      <c r="BMV84" s="684"/>
      <c r="BMW84" s="684"/>
      <c r="BMX84" s="684"/>
      <c r="BMY84" s="684"/>
      <c r="BMZ84" s="684"/>
      <c r="BNA84" s="684"/>
      <c r="BNB84" s="684"/>
      <c r="BNC84" s="684"/>
      <c r="BND84" s="684"/>
      <c r="BNE84" s="684"/>
      <c r="BNF84" s="684"/>
      <c r="BNG84" s="684"/>
      <c r="BNH84" s="684"/>
      <c r="BNI84" s="684"/>
      <c r="BNJ84" s="684"/>
      <c r="BNK84" s="684"/>
      <c r="BNL84" s="684"/>
      <c r="BNM84" s="684"/>
      <c r="BNN84" s="684"/>
      <c r="BNO84" s="684"/>
      <c r="BNP84" s="684"/>
      <c r="BNQ84" s="684"/>
      <c r="BNR84" s="684"/>
      <c r="BNS84" s="684"/>
      <c r="BNT84" s="684"/>
      <c r="BNU84" s="684"/>
      <c r="BNV84" s="684"/>
      <c r="BNW84" s="684"/>
      <c r="BNX84" s="684"/>
      <c r="BNY84" s="684"/>
      <c r="BNZ84" s="684"/>
      <c r="BOA84" s="684"/>
      <c r="BOB84" s="684"/>
      <c r="BOC84" s="684"/>
      <c r="BOD84" s="684"/>
      <c r="BOE84" s="684"/>
      <c r="BOF84" s="684"/>
      <c r="BOG84" s="684"/>
      <c r="BOH84" s="684"/>
      <c r="BOI84" s="684"/>
      <c r="BOJ84" s="684"/>
      <c r="BOK84" s="684"/>
      <c r="BOL84" s="684"/>
      <c r="BOM84" s="684"/>
      <c r="BON84" s="684"/>
      <c r="BOO84" s="684"/>
      <c r="BOP84" s="684"/>
      <c r="BOQ84" s="684"/>
      <c r="BOR84" s="684"/>
      <c r="BOS84" s="684"/>
      <c r="BOT84" s="684"/>
      <c r="BOU84" s="684"/>
      <c r="BOV84" s="684"/>
      <c r="BOW84" s="684"/>
      <c r="BOX84" s="684"/>
      <c r="BOY84" s="684"/>
      <c r="BOZ84" s="684"/>
      <c r="BPA84" s="684"/>
      <c r="BPB84" s="684"/>
      <c r="BPC84" s="684"/>
      <c r="BPD84" s="684"/>
      <c r="BPE84" s="684"/>
      <c r="BPF84" s="684"/>
      <c r="BPG84" s="684"/>
      <c r="BPH84" s="684"/>
      <c r="BPI84" s="684"/>
      <c r="BPJ84" s="684"/>
      <c r="BPK84" s="684"/>
      <c r="BPL84" s="684"/>
      <c r="BPM84" s="684"/>
      <c r="BPN84" s="684"/>
      <c r="BPO84" s="684"/>
      <c r="BPP84" s="684"/>
      <c r="BPQ84" s="684"/>
      <c r="BPR84" s="684"/>
      <c r="BPS84" s="684"/>
      <c r="BPT84" s="684"/>
      <c r="BPU84" s="684"/>
      <c r="BPV84" s="684"/>
      <c r="BPW84" s="684"/>
      <c r="BPX84" s="684"/>
      <c r="BPY84" s="684"/>
      <c r="BPZ84" s="684"/>
      <c r="BQA84" s="684"/>
      <c r="BQB84" s="684"/>
      <c r="BQC84" s="684"/>
      <c r="BQD84" s="684"/>
      <c r="BQE84" s="684"/>
      <c r="BQF84" s="684"/>
      <c r="BQG84" s="684"/>
      <c r="BQH84" s="684"/>
      <c r="BQI84" s="684"/>
      <c r="BQJ84" s="684"/>
      <c r="BQK84" s="684"/>
      <c r="BQL84" s="684"/>
      <c r="BQM84" s="684"/>
      <c r="BQN84" s="684"/>
      <c r="BQO84" s="684"/>
      <c r="BQP84" s="684"/>
      <c r="BQQ84" s="684"/>
      <c r="BQR84" s="684"/>
      <c r="BQS84" s="684"/>
      <c r="BQT84" s="684"/>
      <c r="BQU84" s="684"/>
      <c r="BQV84" s="684"/>
      <c r="BQW84" s="684"/>
      <c r="BQX84" s="684"/>
      <c r="BQY84" s="684"/>
      <c r="BQZ84" s="684"/>
      <c r="BRA84" s="684"/>
      <c r="BRB84" s="684"/>
      <c r="BRC84" s="684"/>
      <c r="BRD84" s="684"/>
      <c r="BRE84" s="684"/>
      <c r="BRF84" s="684"/>
      <c r="BRG84" s="684"/>
      <c r="BRH84" s="684"/>
      <c r="BRI84" s="684"/>
      <c r="BRJ84" s="684"/>
      <c r="BRK84" s="684"/>
      <c r="BRL84" s="684"/>
      <c r="BRM84" s="684"/>
      <c r="BRN84" s="684"/>
      <c r="BRO84" s="684"/>
      <c r="BRP84" s="684"/>
      <c r="BRQ84" s="684"/>
      <c r="BRR84" s="684"/>
      <c r="BRS84" s="684"/>
      <c r="BRT84" s="684"/>
      <c r="BRU84" s="684"/>
      <c r="BRV84" s="684"/>
      <c r="BRW84" s="684"/>
      <c r="BRX84" s="684"/>
      <c r="BRY84" s="684"/>
      <c r="BRZ84" s="684"/>
      <c r="BSA84" s="684"/>
      <c r="BSB84" s="684"/>
      <c r="BSC84" s="684"/>
      <c r="BSD84" s="684"/>
      <c r="BSE84" s="684"/>
      <c r="BSF84" s="684"/>
      <c r="BSG84" s="684"/>
      <c r="BSH84" s="684"/>
      <c r="BSI84" s="684"/>
      <c r="BSJ84" s="684"/>
      <c r="BSK84" s="684"/>
      <c r="BSL84" s="684"/>
      <c r="BSM84" s="684"/>
      <c r="BSN84" s="684"/>
      <c r="BSO84" s="684"/>
      <c r="BSP84" s="684"/>
      <c r="BSQ84" s="684"/>
      <c r="BSR84" s="684"/>
      <c r="BSS84" s="684"/>
      <c r="BST84" s="684"/>
      <c r="BSU84" s="684"/>
      <c r="BSV84" s="684"/>
      <c r="BSW84" s="684"/>
      <c r="BSX84" s="684"/>
      <c r="BSY84" s="684"/>
      <c r="BSZ84" s="684"/>
      <c r="BTA84" s="684"/>
      <c r="BTB84" s="684"/>
      <c r="BTC84" s="684"/>
      <c r="BTD84" s="684"/>
      <c r="BTE84" s="684"/>
      <c r="BTF84" s="684"/>
      <c r="BTG84" s="684"/>
      <c r="BTH84" s="684"/>
      <c r="BTI84" s="684"/>
      <c r="BTJ84" s="684"/>
      <c r="BTK84" s="684"/>
      <c r="BTL84" s="684"/>
      <c r="BTM84" s="684"/>
      <c r="BTN84" s="684"/>
      <c r="BTO84" s="684"/>
      <c r="BTP84" s="684"/>
      <c r="BTQ84" s="684"/>
      <c r="BTR84" s="684"/>
      <c r="BTS84" s="684"/>
      <c r="BTT84" s="684"/>
      <c r="BTU84" s="684"/>
      <c r="BTV84" s="684"/>
      <c r="BTW84" s="684"/>
      <c r="BTX84" s="684"/>
      <c r="BTY84" s="684"/>
      <c r="BTZ84" s="684"/>
      <c r="BUA84" s="684"/>
      <c r="BUB84" s="684"/>
      <c r="BUC84" s="684"/>
      <c r="BUD84" s="684"/>
      <c r="BUE84" s="684"/>
      <c r="BUF84" s="684"/>
      <c r="BUG84" s="684"/>
      <c r="BUH84" s="684"/>
      <c r="BUI84" s="684"/>
      <c r="BUJ84" s="684"/>
      <c r="BUK84" s="684"/>
      <c r="BUL84" s="684"/>
      <c r="BUM84" s="684"/>
      <c r="BUN84" s="684"/>
      <c r="BUO84" s="684"/>
      <c r="BUP84" s="684"/>
      <c r="BUQ84" s="684"/>
      <c r="BUR84" s="684"/>
      <c r="BUS84" s="684"/>
      <c r="BUT84" s="684"/>
      <c r="BUU84" s="684"/>
      <c r="BUV84" s="684"/>
      <c r="BUW84" s="684"/>
      <c r="BUX84" s="684"/>
      <c r="BUY84" s="684"/>
      <c r="BUZ84" s="684"/>
      <c r="BVA84" s="684"/>
      <c r="BVB84" s="684"/>
      <c r="BVC84" s="684"/>
      <c r="BVD84" s="684"/>
      <c r="BVE84" s="684"/>
      <c r="BVF84" s="684"/>
      <c r="BVG84" s="684"/>
      <c r="BVH84" s="684"/>
      <c r="BVI84" s="684"/>
      <c r="BVJ84" s="684"/>
      <c r="BVK84" s="684"/>
      <c r="BVL84" s="684"/>
      <c r="BVM84" s="684"/>
      <c r="BVN84" s="684"/>
      <c r="BVO84" s="684"/>
      <c r="BVP84" s="684"/>
      <c r="BVQ84" s="684"/>
      <c r="BVR84" s="684"/>
      <c r="BVS84" s="684"/>
      <c r="BVT84" s="684"/>
      <c r="BVU84" s="684"/>
      <c r="BVV84" s="684"/>
      <c r="BVW84" s="684"/>
      <c r="BVX84" s="684"/>
      <c r="BVY84" s="684"/>
      <c r="BVZ84" s="684"/>
      <c r="BWA84" s="684"/>
      <c r="BWB84" s="684"/>
      <c r="BWC84" s="684"/>
      <c r="BWD84" s="684"/>
      <c r="BWE84" s="684"/>
      <c r="BWF84" s="684"/>
      <c r="BWG84" s="684"/>
      <c r="BWH84" s="684"/>
      <c r="BWI84" s="684"/>
      <c r="BWJ84" s="684"/>
      <c r="BWK84" s="684"/>
      <c r="BWL84" s="684"/>
      <c r="BWM84" s="684"/>
      <c r="BWN84" s="684"/>
      <c r="BWO84" s="684"/>
      <c r="BWP84" s="684"/>
      <c r="BWQ84" s="684"/>
      <c r="BWR84" s="684"/>
      <c r="BWS84" s="684"/>
      <c r="BWT84" s="684"/>
      <c r="BWU84" s="684"/>
      <c r="BWV84" s="684"/>
      <c r="BWW84" s="684"/>
      <c r="BWX84" s="684"/>
      <c r="BWY84" s="684"/>
      <c r="BWZ84" s="684"/>
      <c r="BXA84" s="684"/>
      <c r="BXB84" s="684"/>
      <c r="BXC84" s="684"/>
      <c r="BXD84" s="684"/>
      <c r="BXE84" s="684"/>
      <c r="BXF84" s="684"/>
      <c r="BXG84" s="684"/>
      <c r="BXH84" s="684"/>
      <c r="BXI84" s="684"/>
      <c r="BXJ84" s="684"/>
      <c r="BXK84" s="684"/>
      <c r="BXL84" s="684"/>
      <c r="BXM84" s="684"/>
      <c r="BXN84" s="684"/>
      <c r="BXO84" s="684"/>
      <c r="BXP84" s="684"/>
      <c r="BXQ84" s="684"/>
      <c r="BXR84" s="684"/>
      <c r="BXS84" s="684"/>
      <c r="BXT84" s="684"/>
      <c r="BXU84" s="684"/>
      <c r="BXV84" s="684"/>
      <c r="BXW84" s="684"/>
      <c r="BXX84" s="684"/>
      <c r="BXY84" s="684"/>
      <c r="BXZ84" s="684"/>
      <c r="BYA84" s="684"/>
      <c r="BYB84" s="684"/>
      <c r="BYC84" s="684"/>
      <c r="BYD84" s="684"/>
      <c r="BYE84" s="684"/>
      <c r="BYF84" s="684"/>
      <c r="BYG84" s="684"/>
      <c r="BYH84" s="684"/>
      <c r="BYI84" s="684"/>
      <c r="BYJ84" s="684"/>
      <c r="BYK84" s="684"/>
      <c r="BYL84" s="684"/>
      <c r="BYM84" s="684"/>
      <c r="BYN84" s="684"/>
      <c r="BYO84" s="684"/>
      <c r="BYP84" s="684"/>
      <c r="BYQ84" s="684"/>
      <c r="BYR84" s="684"/>
      <c r="BYS84" s="684"/>
      <c r="BYT84" s="684"/>
      <c r="BYU84" s="684"/>
      <c r="BYV84" s="684"/>
      <c r="BYW84" s="684"/>
      <c r="BYX84" s="684"/>
      <c r="BYY84" s="684"/>
      <c r="BYZ84" s="684"/>
      <c r="BZA84" s="684"/>
      <c r="BZB84" s="684"/>
      <c r="BZC84" s="684"/>
      <c r="BZD84" s="684"/>
      <c r="BZE84" s="684"/>
      <c r="BZF84" s="684"/>
      <c r="BZG84" s="684"/>
      <c r="BZH84" s="684"/>
      <c r="BZI84" s="684"/>
      <c r="BZJ84" s="684"/>
      <c r="BZK84" s="684"/>
      <c r="BZL84" s="684"/>
      <c r="BZM84" s="684"/>
      <c r="BZN84" s="684"/>
      <c r="BZO84" s="684"/>
      <c r="BZP84" s="684"/>
      <c r="BZQ84" s="684"/>
      <c r="BZR84" s="684"/>
      <c r="BZS84" s="684"/>
      <c r="BZT84" s="684"/>
      <c r="BZU84" s="684"/>
      <c r="BZV84" s="684"/>
      <c r="BZW84" s="684"/>
      <c r="BZX84" s="684"/>
      <c r="BZY84" s="684"/>
      <c r="BZZ84" s="684"/>
      <c r="CAA84" s="684"/>
      <c r="CAB84" s="684"/>
      <c r="CAC84" s="684"/>
      <c r="CAD84" s="684"/>
      <c r="CAE84" s="684"/>
      <c r="CAF84" s="684"/>
      <c r="CAG84" s="684"/>
      <c r="CAH84" s="684"/>
      <c r="CAI84" s="684"/>
      <c r="CAJ84" s="684"/>
      <c r="CAK84" s="684"/>
      <c r="CAL84" s="684"/>
      <c r="CAM84" s="684"/>
      <c r="CAN84" s="684"/>
      <c r="CAO84" s="684"/>
      <c r="CAP84" s="684"/>
      <c r="CAQ84" s="684"/>
      <c r="CAR84" s="684"/>
      <c r="CAS84" s="684"/>
      <c r="CAT84" s="684"/>
      <c r="CAU84" s="684"/>
      <c r="CAV84" s="684"/>
      <c r="CAW84" s="684"/>
      <c r="CAX84" s="684"/>
      <c r="CAY84" s="684"/>
      <c r="CAZ84" s="684"/>
      <c r="CBA84" s="684"/>
      <c r="CBB84" s="684"/>
      <c r="CBC84" s="684"/>
      <c r="CBD84" s="684"/>
      <c r="CBE84" s="684"/>
      <c r="CBF84" s="684"/>
      <c r="CBG84" s="684"/>
      <c r="CBH84" s="684"/>
      <c r="CBI84" s="684"/>
      <c r="CBJ84" s="684"/>
      <c r="CBK84" s="684"/>
      <c r="CBL84" s="684"/>
      <c r="CBM84" s="684"/>
      <c r="CBN84" s="684"/>
      <c r="CBO84" s="684"/>
      <c r="CBP84" s="684"/>
      <c r="CBQ84" s="684"/>
      <c r="CBR84" s="684"/>
      <c r="CBS84" s="684"/>
      <c r="CBT84" s="684"/>
      <c r="CBU84" s="684"/>
      <c r="CBV84" s="684"/>
      <c r="CBW84" s="684"/>
      <c r="CBX84" s="684"/>
      <c r="CBY84" s="684"/>
      <c r="CBZ84" s="684"/>
      <c r="CCA84" s="684"/>
      <c r="CCB84" s="684"/>
      <c r="CCC84" s="684"/>
      <c r="CCD84" s="684"/>
      <c r="CCE84" s="684"/>
      <c r="CCF84" s="684"/>
      <c r="CCG84" s="684"/>
      <c r="CCH84" s="684"/>
      <c r="CCI84" s="684"/>
      <c r="CCJ84" s="684"/>
      <c r="CCK84" s="684"/>
      <c r="CCL84" s="684"/>
      <c r="CCM84" s="684"/>
      <c r="CCN84" s="684"/>
      <c r="CCO84" s="684"/>
      <c r="CCP84" s="684"/>
      <c r="CCQ84" s="684"/>
      <c r="CCR84" s="684"/>
      <c r="CCS84" s="684"/>
      <c r="CCT84" s="684"/>
      <c r="CCU84" s="684"/>
      <c r="CCV84" s="684"/>
      <c r="CCW84" s="684"/>
      <c r="CCX84" s="684"/>
      <c r="CCY84" s="684"/>
      <c r="CCZ84" s="684"/>
      <c r="CDA84" s="684"/>
      <c r="CDB84" s="684"/>
      <c r="CDC84" s="684"/>
      <c r="CDD84" s="684"/>
      <c r="CDE84" s="684"/>
      <c r="CDF84" s="684"/>
      <c r="CDG84" s="684"/>
      <c r="CDH84" s="684"/>
      <c r="CDI84" s="684"/>
      <c r="CDJ84" s="684"/>
      <c r="CDK84" s="684"/>
      <c r="CDL84" s="684"/>
      <c r="CDM84" s="684"/>
      <c r="CDN84" s="684"/>
      <c r="CDO84" s="684"/>
      <c r="CDP84" s="684"/>
      <c r="CDQ84" s="684"/>
      <c r="CDR84" s="684"/>
      <c r="CDS84" s="684"/>
      <c r="CDT84" s="684"/>
      <c r="CDU84" s="684"/>
      <c r="CDV84" s="684"/>
      <c r="CDW84" s="684"/>
      <c r="CDX84" s="684"/>
      <c r="CDY84" s="684"/>
      <c r="CDZ84" s="684"/>
      <c r="CEA84" s="684"/>
      <c r="CEB84" s="684"/>
      <c r="CEC84" s="684"/>
      <c r="CED84" s="684"/>
      <c r="CEE84" s="684"/>
      <c r="CEF84" s="684"/>
      <c r="CEG84" s="684"/>
      <c r="CEH84" s="684"/>
      <c r="CEI84" s="684"/>
      <c r="CEJ84" s="684"/>
      <c r="CEK84" s="684"/>
      <c r="CEL84" s="684"/>
      <c r="CEM84" s="684"/>
      <c r="CEN84" s="684"/>
      <c r="CEO84" s="684"/>
      <c r="CEP84" s="684"/>
      <c r="CEQ84" s="684"/>
      <c r="CER84" s="684"/>
      <c r="CES84" s="684"/>
      <c r="CET84" s="684"/>
      <c r="CEU84" s="684"/>
      <c r="CEV84" s="684"/>
      <c r="CEW84" s="684"/>
      <c r="CEX84" s="684"/>
      <c r="CEY84" s="684"/>
      <c r="CEZ84" s="684"/>
      <c r="CFA84" s="684"/>
      <c r="CFB84" s="684"/>
      <c r="CFC84" s="684"/>
      <c r="CFD84" s="684"/>
      <c r="CFE84" s="684"/>
      <c r="CFF84" s="684"/>
      <c r="CFG84" s="684"/>
      <c r="CFH84" s="684"/>
      <c r="CFI84" s="684"/>
      <c r="CFJ84" s="684"/>
      <c r="CFK84" s="684"/>
      <c r="CFL84" s="684"/>
      <c r="CFM84" s="684"/>
      <c r="CFN84" s="684"/>
      <c r="CFO84" s="684"/>
      <c r="CFP84" s="684"/>
      <c r="CFQ84" s="684"/>
      <c r="CFR84" s="684"/>
      <c r="CFS84" s="684"/>
      <c r="CFT84" s="684"/>
      <c r="CFU84" s="684"/>
      <c r="CFV84" s="684"/>
      <c r="CFW84" s="684"/>
      <c r="CFX84" s="684"/>
      <c r="CFY84" s="684"/>
      <c r="CFZ84" s="684"/>
      <c r="CGA84" s="684"/>
      <c r="CGB84" s="684"/>
      <c r="CGC84" s="684"/>
      <c r="CGD84" s="684"/>
      <c r="CGE84" s="684"/>
      <c r="CGF84" s="684"/>
      <c r="CGG84" s="684"/>
      <c r="CGH84" s="684"/>
      <c r="CGI84" s="684"/>
      <c r="CGJ84" s="684"/>
      <c r="CGK84" s="684"/>
      <c r="CGL84" s="684"/>
      <c r="CGM84" s="684"/>
      <c r="CGN84" s="684"/>
      <c r="CGO84" s="684"/>
      <c r="CGP84" s="684"/>
      <c r="CGQ84" s="684"/>
      <c r="CGR84" s="684"/>
      <c r="CGS84" s="684"/>
      <c r="CGT84" s="684"/>
      <c r="CGU84" s="684"/>
      <c r="CGV84" s="684"/>
      <c r="CGW84" s="684"/>
      <c r="CGX84" s="684"/>
      <c r="CGY84" s="684"/>
      <c r="CGZ84" s="684"/>
      <c r="CHA84" s="684"/>
      <c r="CHB84" s="684"/>
      <c r="CHC84" s="684"/>
      <c r="CHD84" s="684"/>
      <c r="CHE84" s="684"/>
      <c r="CHF84" s="684"/>
      <c r="CHG84" s="684"/>
      <c r="CHH84" s="684"/>
      <c r="CHI84" s="684"/>
      <c r="CHJ84" s="684"/>
      <c r="CHK84" s="684"/>
      <c r="CHL84" s="684"/>
      <c r="CHM84" s="684"/>
      <c r="CHN84" s="684"/>
      <c r="CHO84" s="684"/>
      <c r="CHP84" s="684"/>
      <c r="CHQ84" s="684"/>
      <c r="CHR84" s="684"/>
      <c r="CHS84" s="684"/>
      <c r="CHT84" s="684"/>
      <c r="CHU84" s="684"/>
      <c r="CHV84" s="684"/>
      <c r="CHW84" s="684"/>
      <c r="CHX84" s="684"/>
      <c r="CHY84" s="684"/>
      <c r="CHZ84" s="684"/>
      <c r="CIA84" s="684"/>
      <c r="CIB84" s="684"/>
      <c r="CIC84" s="684"/>
      <c r="CID84" s="684"/>
      <c r="CIE84" s="684"/>
      <c r="CIF84" s="684"/>
      <c r="CIG84" s="684"/>
      <c r="CIH84" s="684"/>
      <c r="CII84" s="684"/>
      <c r="CIJ84" s="684"/>
      <c r="CIK84" s="684"/>
      <c r="CIL84" s="684"/>
      <c r="CIM84" s="684"/>
      <c r="CIN84" s="684"/>
      <c r="CIO84" s="684"/>
      <c r="CIP84" s="684"/>
      <c r="CIQ84" s="684"/>
      <c r="CIR84" s="684"/>
      <c r="CIS84" s="684"/>
      <c r="CIT84" s="684"/>
      <c r="CIU84" s="684"/>
      <c r="CIV84" s="684"/>
      <c r="CIW84" s="684"/>
      <c r="CIX84" s="684"/>
      <c r="CIY84" s="684"/>
      <c r="CIZ84" s="684"/>
      <c r="CJA84" s="684"/>
      <c r="CJB84" s="684"/>
      <c r="CJC84" s="684"/>
      <c r="CJD84" s="684"/>
      <c r="CJE84" s="684"/>
      <c r="CJF84" s="684"/>
      <c r="CJG84" s="684"/>
      <c r="CJH84" s="684"/>
      <c r="CJI84" s="684"/>
      <c r="CJJ84" s="684"/>
      <c r="CJK84" s="684"/>
      <c r="CJL84" s="684"/>
      <c r="CJM84" s="684"/>
      <c r="CJN84" s="684"/>
      <c r="CJO84" s="684"/>
      <c r="CJP84" s="684"/>
      <c r="CJQ84" s="684"/>
      <c r="CJR84" s="684"/>
      <c r="CJS84" s="684"/>
      <c r="CJT84" s="684"/>
      <c r="CJU84" s="684"/>
      <c r="CJV84" s="684"/>
      <c r="CJW84" s="684"/>
      <c r="CJX84" s="684"/>
      <c r="CJY84" s="684"/>
      <c r="CJZ84" s="684"/>
      <c r="CKA84" s="684"/>
      <c r="CKB84" s="684"/>
      <c r="CKC84" s="684"/>
      <c r="CKD84" s="684"/>
      <c r="CKE84" s="684"/>
      <c r="CKF84" s="684"/>
      <c r="CKG84" s="684"/>
      <c r="CKH84" s="684"/>
      <c r="CKI84" s="684"/>
      <c r="CKJ84" s="684"/>
      <c r="CKK84" s="684"/>
      <c r="CKL84" s="684"/>
      <c r="CKM84" s="684"/>
      <c r="CKN84" s="684"/>
      <c r="CKO84" s="684"/>
      <c r="CKP84" s="684"/>
      <c r="CKQ84" s="684"/>
      <c r="CKR84" s="684"/>
      <c r="CKS84" s="684"/>
      <c r="CKT84" s="684"/>
      <c r="CKU84" s="684"/>
      <c r="CKV84" s="684"/>
      <c r="CKW84" s="684"/>
      <c r="CKX84" s="684"/>
      <c r="CKY84" s="684"/>
      <c r="CKZ84" s="684"/>
      <c r="CLA84" s="684"/>
      <c r="CLB84" s="684"/>
      <c r="CLC84" s="684"/>
      <c r="CLD84" s="684"/>
      <c r="CLE84" s="684"/>
      <c r="CLF84" s="684"/>
      <c r="CLG84" s="684"/>
      <c r="CLH84" s="684"/>
      <c r="CLI84" s="684"/>
      <c r="CLJ84" s="684"/>
      <c r="CLK84" s="684"/>
      <c r="CLL84" s="684"/>
      <c r="CLM84" s="684"/>
      <c r="CLN84" s="684"/>
      <c r="CLO84" s="684"/>
      <c r="CLP84" s="684"/>
      <c r="CLQ84" s="684"/>
      <c r="CLR84" s="684"/>
      <c r="CLS84" s="684"/>
      <c r="CLT84" s="684"/>
      <c r="CLU84" s="684"/>
      <c r="CLV84" s="684"/>
      <c r="CLW84" s="684"/>
      <c r="CLX84" s="684"/>
      <c r="CLY84" s="684"/>
      <c r="CLZ84" s="684"/>
      <c r="CMA84" s="684"/>
      <c r="CMB84" s="684"/>
      <c r="CMC84" s="684"/>
      <c r="CMD84" s="684"/>
      <c r="CME84" s="684"/>
      <c r="CMF84" s="684"/>
      <c r="CMG84" s="684"/>
      <c r="CMH84" s="684"/>
      <c r="CMI84" s="684"/>
      <c r="CMJ84" s="684"/>
      <c r="CMK84" s="684"/>
      <c r="CML84" s="684"/>
      <c r="CMM84" s="684"/>
      <c r="CMN84" s="684"/>
      <c r="CMO84" s="684"/>
      <c r="CMP84" s="684"/>
      <c r="CMQ84" s="684"/>
      <c r="CMR84" s="684"/>
      <c r="CMS84" s="684"/>
      <c r="CMT84" s="684"/>
      <c r="CMU84" s="684"/>
      <c r="CMV84" s="684"/>
      <c r="CMW84" s="684"/>
      <c r="CMX84" s="684"/>
      <c r="CMY84" s="684"/>
      <c r="CMZ84" s="684"/>
      <c r="CNA84" s="684"/>
      <c r="CNB84" s="684"/>
      <c r="CNC84" s="684"/>
      <c r="CND84" s="684"/>
      <c r="CNE84" s="684"/>
      <c r="CNF84" s="684"/>
      <c r="CNG84" s="684"/>
      <c r="CNH84" s="684"/>
      <c r="CNI84" s="684"/>
      <c r="CNJ84" s="684"/>
      <c r="CNK84" s="684"/>
      <c r="CNL84" s="684"/>
      <c r="CNM84" s="684"/>
      <c r="CNN84" s="684"/>
      <c r="CNO84" s="684"/>
      <c r="CNP84" s="684"/>
      <c r="CNQ84" s="684"/>
      <c r="CNR84" s="684"/>
      <c r="CNS84" s="684"/>
      <c r="CNT84" s="684"/>
      <c r="CNU84" s="684"/>
      <c r="CNV84" s="684"/>
      <c r="CNW84" s="684"/>
      <c r="CNX84" s="684"/>
      <c r="CNY84" s="684"/>
      <c r="CNZ84" s="684"/>
      <c r="COA84" s="684"/>
      <c r="COB84" s="684"/>
      <c r="COC84" s="684"/>
      <c r="COD84" s="684"/>
      <c r="COE84" s="684"/>
      <c r="COF84" s="684"/>
      <c r="COG84" s="684"/>
      <c r="COH84" s="684"/>
      <c r="COI84" s="684"/>
      <c r="COJ84" s="684"/>
      <c r="COK84" s="684"/>
      <c r="COL84" s="684"/>
      <c r="COM84" s="684"/>
      <c r="CON84" s="684"/>
      <c r="COO84" s="684"/>
      <c r="COP84" s="684"/>
      <c r="COQ84" s="684"/>
      <c r="COR84" s="684"/>
      <c r="COS84" s="684"/>
      <c r="COT84" s="684"/>
      <c r="COU84" s="684"/>
      <c r="COV84" s="684"/>
      <c r="COW84" s="684"/>
      <c r="COX84" s="684"/>
      <c r="COY84" s="684"/>
      <c r="COZ84" s="684"/>
      <c r="CPA84" s="684"/>
      <c r="CPB84" s="684"/>
      <c r="CPC84" s="684"/>
      <c r="CPD84" s="684"/>
      <c r="CPE84" s="684"/>
      <c r="CPF84" s="684"/>
      <c r="CPG84" s="684"/>
      <c r="CPH84" s="684"/>
      <c r="CPI84" s="684"/>
      <c r="CPJ84" s="684"/>
      <c r="CPK84" s="684"/>
      <c r="CPL84" s="684"/>
      <c r="CPM84" s="684"/>
      <c r="CPN84" s="684"/>
      <c r="CPO84" s="684"/>
      <c r="CPP84" s="684"/>
      <c r="CPQ84" s="684"/>
      <c r="CPR84" s="684"/>
      <c r="CPS84" s="684"/>
      <c r="CPT84" s="684"/>
      <c r="CPU84" s="684"/>
      <c r="CPV84" s="684"/>
      <c r="CPW84" s="684"/>
      <c r="CPX84" s="684"/>
      <c r="CPY84" s="684"/>
      <c r="CPZ84" s="684"/>
      <c r="CQA84" s="684"/>
      <c r="CQB84" s="684"/>
      <c r="CQC84" s="684"/>
      <c r="CQD84" s="684"/>
      <c r="CQE84" s="684"/>
      <c r="CQF84" s="684"/>
      <c r="CQG84" s="684"/>
      <c r="CQH84" s="684"/>
      <c r="CQI84" s="684"/>
      <c r="CQJ84" s="684"/>
      <c r="CQK84" s="684"/>
      <c r="CQL84" s="684"/>
      <c r="CQM84" s="684"/>
      <c r="CQN84" s="684"/>
      <c r="CQO84" s="684"/>
      <c r="CQP84" s="684"/>
      <c r="CQQ84" s="684"/>
      <c r="CQR84" s="684"/>
      <c r="CQS84" s="684"/>
      <c r="CQT84" s="684"/>
      <c r="CQU84" s="684"/>
      <c r="CQV84" s="684"/>
      <c r="CQW84" s="684"/>
      <c r="CQX84" s="684"/>
      <c r="CQY84" s="684"/>
      <c r="CQZ84" s="684"/>
      <c r="CRA84" s="684"/>
      <c r="CRB84" s="684"/>
      <c r="CRC84" s="684"/>
      <c r="CRD84" s="684"/>
      <c r="CRE84" s="684"/>
      <c r="CRF84" s="684"/>
      <c r="CRG84" s="684"/>
      <c r="CRH84" s="684"/>
      <c r="CRI84" s="684"/>
      <c r="CRJ84" s="684"/>
      <c r="CRK84" s="684"/>
      <c r="CRL84" s="684"/>
      <c r="CRM84" s="684"/>
      <c r="CRN84" s="684"/>
      <c r="CRO84" s="684"/>
      <c r="CRP84" s="684"/>
      <c r="CRQ84" s="684"/>
      <c r="CRR84" s="684"/>
      <c r="CRS84" s="684"/>
      <c r="CRT84" s="684"/>
      <c r="CRU84" s="684"/>
      <c r="CRV84" s="684"/>
      <c r="CRW84" s="684"/>
      <c r="CRX84" s="684"/>
      <c r="CRY84" s="684"/>
      <c r="CRZ84" s="684"/>
      <c r="CSA84" s="684"/>
      <c r="CSB84" s="684"/>
      <c r="CSC84" s="684"/>
      <c r="CSD84" s="684"/>
      <c r="CSE84" s="684"/>
      <c r="CSF84" s="684"/>
      <c r="CSG84" s="684"/>
      <c r="CSH84" s="684"/>
      <c r="CSI84" s="684"/>
      <c r="CSJ84" s="684"/>
      <c r="CSK84" s="684"/>
      <c r="CSL84" s="684"/>
      <c r="CSM84" s="684"/>
      <c r="CSN84" s="684"/>
      <c r="CSO84" s="684"/>
      <c r="CSP84" s="684"/>
      <c r="CSQ84" s="684"/>
      <c r="CSR84" s="684"/>
      <c r="CSS84" s="684"/>
      <c r="CST84" s="684"/>
      <c r="CSU84" s="684"/>
      <c r="CSV84" s="684"/>
      <c r="CSW84" s="684"/>
      <c r="CSX84" s="684"/>
      <c r="CSY84" s="684"/>
      <c r="CSZ84" s="684"/>
      <c r="CTA84" s="684"/>
      <c r="CTB84" s="684"/>
      <c r="CTC84" s="684"/>
      <c r="CTD84" s="684"/>
      <c r="CTE84" s="684"/>
      <c r="CTF84" s="684"/>
      <c r="CTG84" s="684"/>
      <c r="CTH84" s="684"/>
      <c r="CTI84" s="684"/>
      <c r="CTJ84" s="684"/>
      <c r="CTK84" s="684"/>
      <c r="CTL84" s="684"/>
      <c r="CTM84" s="684"/>
      <c r="CTN84" s="684"/>
      <c r="CTO84" s="684"/>
      <c r="CTP84" s="684"/>
      <c r="CTQ84" s="684"/>
      <c r="CTR84" s="684"/>
      <c r="CTS84" s="684"/>
      <c r="CTT84" s="684"/>
      <c r="CTU84" s="684"/>
      <c r="CTV84" s="684"/>
      <c r="CTW84" s="684"/>
      <c r="CTX84" s="684"/>
      <c r="CTY84" s="684"/>
      <c r="CTZ84" s="684"/>
      <c r="CUA84" s="684"/>
      <c r="CUB84" s="684"/>
      <c r="CUC84" s="684"/>
      <c r="CUD84" s="684"/>
      <c r="CUE84" s="684"/>
      <c r="CUF84" s="684"/>
      <c r="CUG84" s="684"/>
      <c r="CUH84" s="684"/>
      <c r="CUI84" s="684"/>
      <c r="CUJ84" s="684"/>
      <c r="CUK84" s="684"/>
      <c r="CUL84" s="684"/>
      <c r="CUM84" s="684"/>
      <c r="CUN84" s="684"/>
      <c r="CUO84" s="684"/>
      <c r="CUP84" s="684"/>
      <c r="CUQ84" s="684"/>
      <c r="CUR84" s="684"/>
      <c r="CUS84" s="684"/>
      <c r="CUT84" s="684"/>
      <c r="CUU84" s="684"/>
      <c r="CUV84" s="684"/>
      <c r="CUW84" s="684"/>
      <c r="CUX84" s="684"/>
      <c r="CUY84" s="684"/>
      <c r="CUZ84" s="684"/>
      <c r="CVA84" s="684"/>
      <c r="CVB84" s="684"/>
      <c r="CVC84" s="684"/>
      <c r="CVD84" s="684"/>
      <c r="CVE84" s="684"/>
      <c r="CVF84" s="684"/>
      <c r="CVG84" s="684"/>
      <c r="CVH84" s="684"/>
      <c r="CVI84" s="684"/>
      <c r="CVJ84" s="684"/>
      <c r="CVK84" s="684"/>
      <c r="CVL84" s="684"/>
      <c r="CVM84" s="684"/>
      <c r="CVN84" s="684"/>
      <c r="CVO84" s="684"/>
      <c r="CVP84" s="684"/>
      <c r="CVQ84" s="684"/>
      <c r="CVR84" s="684"/>
      <c r="CVS84" s="684"/>
      <c r="CVT84" s="684"/>
      <c r="CVU84" s="684"/>
      <c r="CVV84" s="684"/>
      <c r="CVW84" s="684"/>
      <c r="CVX84" s="684"/>
      <c r="CVY84" s="684"/>
      <c r="CVZ84" s="684"/>
      <c r="CWA84" s="684"/>
      <c r="CWB84" s="684"/>
      <c r="CWC84" s="684"/>
      <c r="CWD84" s="684"/>
      <c r="CWE84" s="684"/>
      <c r="CWF84" s="684"/>
      <c r="CWG84" s="684"/>
      <c r="CWH84" s="684"/>
      <c r="CWI84" s="684"/>
      <c r="CWJ84" s="684"/>
      <c r="CWK84" s="684"/>
      <c r="CWL84" s="684"/>
      <c r="CWM84" s="684"/>
      <c r="CWN84" s="684"/>
      <c r="CWO84" s="684"/>
      <c r="CWP84" s="684"/>
      <c r="CWQ84" s="684"/>
      <c r="CWR84" s="684"/>
      <c r="CWS84" s="684"/>
      <c r="CWT84" s="684"/>
      <c r="CWU84" s="684"/>
      <c r="CWV84" s="684"/>
      <c r="CWW84" s="684"/>
      <c r="CWX84" s="684"/>
      <c r="CWY84" s="684"/>
      <c r="CWZ84" s="684"/>
      <c r="CXA84" s="684"/>
      <c r="CXB84" s="684"/>
      <c r="CXC84" s="684"/>
      <c r="CXD84" s="684"/>
      <c r="CXE84" s="684"/>
      <c r="CXF84" s="684"/>
      <c r="CXG84" s="684"/>
      <c r="CXH84" s="684"/>
      <c r="CXI84" s="684"/>
      <c r="CXJ84" s="684"/>
      <c r="CXK84" s="684"/>
      <c r="CXL84" s="684"/>
      <c r="CXM84" s="684"/>
      <c r="CXN84" s="684"/>
      <c r="CXO84" s="684"/>
      <c r="CXP84" s="684"/>
      <c r="CXQ84" s="684"/>
      <c r="CXR84" s="684"/>
      <c r="CXS84" s="684"/>
      <c r="CXT84" s="684"/>
      <c r="CXU84" s="684"/>
      <c r="CXV84" s="684"/>
      <c r="CXW84" s="684"/>
      <c r="CXX84" s="684"/>
      <c r="CXY84" s="684"/>
      <c r="CXZ84" s="684"/>
      <c r="CYA84" s="684"/>
      <c r="CYB84" s="684"/>
      <c r="CYC84" s="684"/>
      <c r="CYD84" s="684"/>
      <c r="CYE84" s="684"/>
      <c r="CYF84" s="684"/>
      <c r="CYG84" s="684"/>
      <c r="CYH84" s="684"/>
      <c r="CYI84" s="684"/>
      <c r="CYJ84" s="684"/>
      <c r="CYK84" s="684"/>
      <c r="CYL84" s="684"/>
      <c r="CYM84" s="684"/>
      <c r="CYN84" s="684"/>
      <c r="CYO84" s="684"/>
      <c r="CYP84" s="684"/>
      <c r="CYQ84" s="684"/>
      <c r="CYR84" s="684"/>
      <c r="CYS84" s="684"/>
      <c r="CYT84" s="684"/>
      <c r="CYU84" s="684"/>
      <c r="CYV84" s="684"/>
      <c r="CYW84" s="684"/>
      <c r="CYX84" s="684"/>
      <c r="CYY84" s="684"/>
      <c r="CYZ84" s="684"/>
      <c r="CZA84" s="684"/>
      <c r="CZB84" s="684"/>
      <c r="CZC84" s="684"/>
      <c r="CZD84" s="684"/>
      <c r="CZE84" s="684"/>
      <c r="CZF84" s="684"/>
      <c r="CZG84" s="684"/>
      <c r="CZH84" s="684"/>
      <c r="CZI84" s="684"/>
      <c r="CZJ84" s="684"/>
      <c r="CZK84" s="684"/>
      <c r="CZL84" s="684"/>
      <c r="CZM84" s="684"/>
      <c r="CZN84" s="684"/>
      <c r="CZO84" s="684"/>
      <c r="CZP84" s="684"/>
      <c r="CZQ84" s="684"/>
      <c r="CZR84" s="684"/>
      <c r="CZS84" s="684"/>
      <c r="CZT84" s="684"/>
      <c r="CZU84" s="684"/>
      <c r="CZV84" s="684"/>
      <c r="CZW84" s="684"/>
      <c r="CZX84" s="684"/>
      <c r="CZY84" s="684"/>
      <c r="CZZ84" s="684"/>
      <c r="DAA84" s="684"/>
      <c r="DAB84" s="684"/>
      <c r="DAC84" s="684"/>
      <c r="DAD84" s="684"/>
      <c r="DAE84" s="684"/>
      <c r="DAF84" s="684"/>
      <c r="DAG84" s="684"/>
      <c r="DAH84" s="684"/>
      <c r="DAI84" s="684"/>
      <c r="DAJ84" s="684"/>
      <c r="DAK84" s="684"/>
      <c r="DAL84" s="684"/>
      <c r="DAM84" s="684"/>
      <c r="DAN84" s="684"/>
      <c r="DAO84" s="684"/>
      <c r="DAP84" s="684"/>
      <c r="DAQ84" s="684"/>
      <c r="DAR84" s="684"/>
      <c r="DAS84" s="684"/>
      <c r="DAT84" s="684"/>
      <c r="DAU84" s="684"/>
      <c r="DAV84" s="684"/>
      <c r="DAW84" s="684"/>
      <c r="DAX84" s="684"/>
      <c r="DAY84" s="684"/>
      <c r="DAZ84" s="684"/>
      <c r="DBA84" s="684"/>
      <c r="DBB84" s="684"/>
      <c r="DBC84" s="684"/>
      <c r="DBD84" s="684"/>
      <c r="DBE84" s="684"/>
      <c r="DBF84" s="684"/>
      <c r="DBG84" s="684"/>
      <c r="DBH84" s="684"/>
      <c r="DBI84" s="684"/>
      <c r="DBJ84" s="684"/>
      <c r="DBK84" s="684"/>
      <c r="DBL84" s="684"/>
      <c r="DBM84" s="684"/>
      <c r="DBN84" s="684"/>
      <c r="DBO84" s="684"/>
      <c r="DBP84" s="684"/>
      <c r="DBQ84" s="684"/>
      <c r="DBR84" s="684"/>
      <c r="DBS84" s="684"/>
      <c r="DBT84" s="684"/>
      <c r="DBU84" s="684"/>
      <c r="DBV84" s="684"/>
      <c r="DBW84" s="684"/>
      <c r="DBX84" s="684"/>
      <c r="DBY84" s="684"/>
      <c r="DBZ84" s="684"/>
      <c r="DCA84" s="684"/>
      <c r="DCB84" s="684"/>
      <c r="DCC84" s="684"/>
      <c r="DCD84" s="684"/>
      <c r="DCE84" s="684"/>
      <c r="DCF84" s="684"/>
      <c r="DCG84" s="684"/>
      <c r="DCH84" s="684"/>
      <c r="DCI84" s="684"/>
      <c r="DCJ84" s="684"/>
      <c r="DCK84" s="684"/>
      <c r="DCL84" s="684"/>
      <c r="DCM84" s="684"/>
      <c r="DCN84" s="684"/>
      <c r="DCO84" s="684"/>
      <c r="DCP84" s="684"/>
      <c r="DCQ84" s="684"/>
      <c r="DCR84" s="684"/>
      <c r="DCS84" s="684"/>
      <c r="DCT84" s="684"/>
      <c r="DCU84" s="684"/>
      <c r="DCV84" s="684"/>
      <c r="DCW84" s="684"/>
      <c r="DCX84" s="684"/>
      <c r="DCY84" s="684"/>
      <c r="DCZ84" s="684"/>
      <c r="DDA84" s="684"/>
      <c r="DDB84" s="684"/>
      <c r="DDC84" s="684"/>
      <c r="DDD84" s="684"/>
      <c r="DDE84" s="684"/>
      <c r="DDF84" s="684"/>
      <c r="DDG84" s="684"/>
      <c r="DDH84" s="684"/>
      <c r="DDI84" s="684"/>
      <c r="DDJ84" s="684"/>
      <c r="DDK84" s="684"/>
      <c r="DDL84" s="684"/>
      <c r="DDM84" s="684"/>
      <c r="DDN84" s="684"/>
      <c r="DDO84" s="684"/>
      <c r="DDP84" s="684"/>
      <c r="DDQ84" s="684"/>
      <c r="DDR84" s="684"/>
      <c r="DDS84" s="684"/>
      <c r="DDT84" s="684"/>
      <c r="DDU84" s="684"/>
      <c r="DDV84" s="684"/>
      <c r="DDW84" s="684"/>
      <c r="DDX84" s="684"/>
      <c r="DDY84" s="684"/>
      <c r="DDZ84" s="684"/>
      <c r="DEA84" s="684"/>
      <c r="DEB84" s="684"/>
      <c r="DEC84" s="684"/>
      <c r="DED84" s="684"/>
      <c r="DEE84" s="684"/>
      <c r="DEF84" s="684"/>
      <c r="DEG84" s="684"/>
      <c r="DEH84" s="684"/>
      <c r="DEI84" s="684"/>
      <c r="DEJ84" s="684"/>
      <c r="DEK84" s="684"/>
      <c r="DEL84" s="684"/>
      <c r="DEM84" s="684"/>
      <c r="DEN84" s="684"/>
      <c r="DEO84" s="684"/>
      <c r="DEP84" s="684"/>
      <c r="DEQ84" s="684"/>
      <c r="DER84" s="684"/>
      <c r="DES84" s="684"/>
      <c r="DET84" s="684"/>
      <c r="DEU84" s="684"/>
      <c r="DEV84" s="684"/>
      <c r="DEW84" s="684"/>
      <c r="DEX84" s="684"/>
      <c r="DEY84" s="684"/>
      <c r="DEZ84" s="684"/>
      <c r="DFA84" s="684"/>
      <c r="DFB84" s="684"/>
      <c r="DFC84" s="684"/>
      <c r="DFD84" s="684"/>
      <c r="DFE84" s="684"/>
      <c r="DFF84" s="684"/>
      <c r="DFG84" s="684"/>
      <c r="DFH84" s="684"/>
      <c r="DFI84" s="684"/>
      <c r="DFJ84" s="684"/>
      <c r="DFK84" s="684"/>
      <c r="DFL84" s="684"/>
      <c r="DFM84" s="684"/>
      <c r="DFN84" s="684"/>
      <c r="DFO84" s="684"/>
      <c r="DFP84" s="684"/>
      <c r="DFQ84" s="684"/>
      <c r="DFR84" s="684"/>
      <c r="DFS84" s="684"/>
      <c r="DFT84" s="684"/>
      <c r="DFU84" s="684"/>
      <c r="DFV84" s="684"/>
      <c r="DFW84" s="684"/>
      <c r="DFX84" s="684"/>
      <c r="DFY84" s="684"/>
      <c r="DFZ84" s="684"/>
      <c r="DGA84" s="684"/>
      <c r="DGB84" s="684"/>
      <c r="DGC84" s="684"/>
      <c r="DGD84" s="684"/>
      <c r="DGE84" s="684"/>
      <c r="DGF84" s="684"/>
      <c r="DGG84" s="684"/>
      <c r="DGH84" s="684"/>
      <c r="DGI84" s="684"/>
      <c r="DGJ84" s="684"/>
      <c r="DGK84" s="684"/>
      <c r="DGL84" s="684"/>
      <c r="DGM84" s="684"/>
      <c r="DGN84" s="684"/>
      <c r="DGO84" s="684"/>
      <c r="DGP84" s="684"/>
      <c r="DGQ84" s="684"/>
      <c r="DGR84" s="684"/>
      <c r="DGS84" s="684"/>
      <c r="DGT84" s="684"/>
      <c r="DGU84" s="684"/>
      <c r="DGV84" s="684"/>
      <c r="DGW84" s="684"/>
      <c r="DGX84" s="684"/>
      <c r="DGY84" s="684"/>
      <c r="DGZ84" s="684"/>
      <c r="DHA84" s="684"/>
      <c r="DHB84" s="684"/>
      <c r="DHC84" s="684"/>
      <c r="DHD84" s="684"/>
      <c r="DHE84" s="684"/>
      <c r="DHF84" s="684"/>
      <c r="DHG84" s="684"/>
      <c r="DHH84" s="684"/>
      <c r="DHI84" s="684"/>
      <c r="DHJ84" s="684"/>
      <c r="DHK84" s="684"/>
      <c r="DHL84" s="684"/>
      <c r="DHM84" s="684"/>
      <c r="DHN84" s="684"/>
      <c r="DHO84" s="684"/>
      <c r="DHP84" s="684"/>
      <c r="DHQ84" s="684"/>
      <c r="DHR84" s="684"/>
      <c r="DHS84" s="684"/>
      <c r="DHT84" s="684"/>
      <c r="DHU84" s="684"/>
      <c r="DHV84" s="684"/>
      <c r="DHW84" s="684"/>
      <c r="DHX84" s="684"/>
      <c r="DHY84" s="684"/>
      <c r="DHZ84" s="684"/>
      <c r="DIA84" s="684"/>
      <c r="DIB84" s="684"/>
      <c r="DIC84" s="684"/>
      <c r="DID84" s="684"/>
      <c r="DIE84" s="684"/>
      <c r="DIF84" s="684"/>
      <c r="DIG84" s="684"/>
      <c r="DIH84" s="684"/>
      <c r="DII84" s="684"/>
      <c r="DIJ84" s="684"/>
      <c r="DIK84" s="684"/>
      <c r="DIL84" s="684"/>
      <c r="DIM84" s="684"/>
      <c r="DIN84" s="684"/>
      <c r="DIO84" s="684"/>
      <c r="DIP84" s="684"/>
      <c r="DIQ84" s="684"/>
      <c r="DIR84" s="684"/>
      <c r="DIS84" s="684"/>
      <c r="DIT84" s="684"/>
      <c r="DIU84" s="684"/>
      <c r="DIV84" s="684"/>
      <c r="DIW84" s="684"/>
      <c r="DIX84" s="684"/>
      <c r="DIY84" s="684"/>
      <c r="DIZ84" s="684"/>
      <c r="DJA84" s="684"/>
      <c r="DJB84" s="684"/>
      <c r="DJC84" s="684"/>
      <c r="DJD84" s="684"/>
      <c r="DJE84" s="684"/>
      <c r="DJF84" s="684"/>
      <c r="DJG84" s="684"/>
      <c r="DJH84" s="684"/>
      <c r="DJI84" s="684"/>
      <c r="DJJ84" s="684"/>
      <c r="DJK84" s="684"/>
      <c r="DJL84" s="684"/>
      <c r="DJM84" s="684"/>
      <c r="DJN84" s="684"/>
      <c r="DJO84" s="684"/>
      <c r="DJP84" s="684"/>
      <c r="DJQ84" s="684"/>
      <c r="DJR84" s="684"/>
      <c r="DJS84" s="684"/>
      <c r="DJT84" s="684"/>
      <c r="DJU84" s="684"/>
      <c r="DJV84" s="684"/>
      <c r="DJW84" s="684"/>
      <c r="DJX84" s="684"/>
      <c r="DJY84" s="684"/>
      <c r="DJZ84" s="684"/>
      <c r="DKA84" s="684"/>
      <c r="DKB84" s="684"/>
      <c r="DKC84" s="684"/>
      <c r="DKD84" s="684"/>
      <c r="DKE84" s="684"/>
      <c r="DKF84" s="684"/>
      <c r="DKG84" s="684"/>
      <c r="DKH84" s="684"/>
      <c r="DKI84" s="684"/>
      <c r="DKJ84" s="684"/>
      <c r="DKK84" s="684"/>
      <c r="DKL84" s="684"/>
      <c r="DKM84" s="684"/>
      <c r="DKN84" s="684"/>
      <c r="DKO84" s="684"/>
      <c r="DKP84" s="684"/>
      <c r="DKQ84" s="684"/>
      <c r="DKR84" s="684"/>
      <c r="DKS84" s="684"/>
      <c r="DKT84" s="684"/>
      <c r="DKU84" s="684"/>
      <c r="DKV84" s="684"/>
      <c r="DKW84" s="684"/>
      <c r="DKX84" s="684"/>
      <c r="DKY84" s="684"/>
      <c r="DKZ84" s="684"/>
      <c r="DLA84" s="684"/>
      <c r="DLB84" s="684"/>
      <c r="DLC84" s="684"/>
      <c r="DLD84" s="684"/>
      <c r="DLE84" s="684"/>
      <c r="DLF84" s="684"/>
      <c r="DLG84" s="684"/>
      <c r="DLH84" s="684"/>
      <c r="DLI84" s="684"/>
      <c r="DLJ84" s="684"/>
      <c r="DLK84" s="684"/>
      <c r="DLL84" s="684"/>
      <c r="DLM84" s="684"/>
      <c r="DLN84" s="684"/>
      <c r="DLO84" s="684"/>
      <c r="DLP84" s="684"/>
      <c r="DLQ84" s="684"/>
      <c r="DLR84" s="684"/>
      <c r="DLS84" s="684"/>
      <c r="DLT84" s="684"/>
      <c r="DLU84" s="684"/>
      <c r="DLV84" s="684"/>
      <c r="DLW84" s="684"/>
      <c r="DLX84" s="684"/>
      <c r="DLY84" s="684"/>
      <c r="DLZ84" s="684"/>
      <c r="DMA84" s="684"/>
      <c r="DMB84" s="684"/>
      <c r="DMC84" s="684"/>
      <c r="DMD84" s="684"/>
      <c r="DME84" s="684"/>
      <c r="DMF84" s="684"/>
      <c r="DMG84" s="684"/>
      <c r="DMH84" s="684"/>
      <c r="DMI84" s="684"/>
      <c r="DMJ84" s="684"/>
      <c r="DMK84" s="684"/>
      <c r="DML84" s="684"/>
      <c r="DMM84" s="684"/>
      <c r="DMN84" s="684"/>
      <c r="DMO84" s="684"/>
      <c r="DMP84" s="684"/>
      <c r="DMQ84" s="684"/>
      <c r="DMR84" s="684"/>
      <c r="DMS84" s="684"/>
      <c r="DMT84" s="684"/>
      <c r="DMU84" s="684"/>
      <c r="DMV84" s="684"/>
      <c r="DMW84" s="684"/>
      <c r="DMX84" s="684"/>
      <c r="DMY84" s="684"/>
      <c r="DMZ84" s="684"/>
      <c r="DNA84" s="684"/>
      <c r="DNB84" s="684"/>
      <c r="DNC84" s="684"/>
      <c r="DND84" s="684"/>
      <c r="DNE84" s="684"/>
      <c r="DNF84" s="684"/>
      <c r="DNG84" s="684"/>
      <c r="DNH84" s="684"/>
      <c r="DNI84" s="684"/>
      <c r="DNJ84" s="684"/>
      <c r="DNK84" s="684"/>
      <c r="DNL84" s="684"/>
      <c r="DNM84" s="684"/>
      <c r="DNN84" s="684"/>
      <c r="DNO84" s="684"/>
      <c r="DNP84" s="684"/>
      <c r="DNQ84" s="684"/>
      <c r="DNR84" s="684"/>
      <c r="DNS84" s="684"/>
      <c r="DNT84" s="684"/>
      <c r="DNU84" s="684"/>
      <c r="DNV84" s="684"/>
      <c r="DNW84" s="684"/>
      <c r="DNX84" s="684"/>
      <c r="DNY84" s="684"/>
      <c r="DNZ84" s="684"/>
      <c r="DOA84" s="684"/>
      <c r="DOB84" s="684"/>
      <c r="DOC84" s="684"/>
      <c r="DOD84" s="684"/>
      <c r="DOE84" s="684"/>
      <c r="DOF84" s="684"/>
      <c r="DOG84" s="684"/>
      <c r="DOH84" s="684"/>
      <c r="DOI84" s="684"/>
      <c r="DOJ84" s="684"/>
      <c r="DOK84" s="684"/>
      <c r="DOL84" s="684"/>
      <c r="DOM84" s="684"/>
      <c r="DON84" s="684"/>
      <c r="DOO84" s="684"/>
      <c r="DOP84" s="684"/>
      <c r="DOQ84" s="684"/>
      <c r="DOR84" s="684"/>
      <c r="DOS84" s="684"/>
      <c r="DOT84" s="684"/>
      <c r="DOU84" s="684"/>
      <c r="DOV84" s="684"/>
      <c r="DOW84" s="684"/>
      <c r="DOX84" s="684"/>
      <c r="DOY84" s="684"/>
      <c r="DOZ84" s="684"/>
      <c r="DPA84" s="684"/>
      <c r="DPB84" s="684"/>
      <c r="DPC84" s="684"/>
      <c r="DPD84" s="684"/>
      <c r="DPE84" s="684"/>
      <c r="DPF84" s="684"/>
      <c r="DPG84" s="684"/>
      <c r="DPH84" s="684"/>
      <c r="DPI84" s="684"/>
      <c r="DPJ84" s="684"/>
      <c r="DPK84" s="684"/>
      <c r="DPL84" s="684"/>
      <c r="DPM84" s="684"/>
      <c r="DPN84" s="684"/>
      <c r="DPO84" s="684"/>
      <c r="DPP84" s="684"/>
      <c r="DPQ84" s="684"/>
      <c r="DPR84" s="684"/>
      <c r="DPS84" s="684"/>
      <c r="DPT84" s="684"/>
      <c r="DPU84" s="684"/>
      <c r="DPV84" s="684"/>
      <c r="DPW84" s="684"/>
      <c r="DPX84" s="684"/>
      <c r="DPY84" s="684"/>
      <c r="DPZ84" s="684"/>
      <c r="DQA84" s="684"/>
      <c r="DQB84" s="684"/>
      <c r="DQC84" s="684"/>
      <c r="DQD84" s="684"/>
      <c r="DQE84" s="684"/>
      <c r="DQF84" s="684"/>
      <c r="DQG84" s="684"/>
      <c r="DQH84" s="684"/>
      <c r="DQI84" s="684"/>
      <c r="DQJ84" s="684"/>
      <c r="DQK84" s="684"/>
      <c r="DQL84" s="684"/>
      <c r="DQM84" s="684"/>
      <c r="DQN84" s="684"/>
      <c r="DQO84" s="684"/>
      <c r="DQP84" s="684"/>
      <c r="DQQ84" s="684"/>
      <c r="DQR84" s="684"/>
      <c r="DQS84" s="684"/>
      <c r="DQT84" s="684"/>
      <c r="DQU84" s="684"/>
      <c r="DQV84" s="684"/>
      <c r="DQW84" s="684"/>
      <c r="DQX84" s="684"/>
      <c r="DQY84" s="684"/>
      <c r="DQZ84" s="684"/>
      <c r="DRA84" s="684"/>
      <c r="DRB84" s="684"/>
      <c r="DRC84" s="684"/>
      <c r="DRD84" s="684"/>
      <c r="DRE84" s="684"/>
      <c r="DRF84" s="684"/>
      <c r="DRG84" s="684"/>
      <c r="DRH84" s="684"/>
      <c r="DRI84" s="684"/>
      <c r="DRJ84" s="684"/>
      <c r="DRK84" s="684"/>
      <c r="DRL84" s="684"/>
      <c r="DRM84" s="684"/>
      <c r="DRN84" s="684"/>
      <c r="DRO84" s="684"/>
      <c r="DRP84" s="684"/>
      <c r="DRQ84" s="684"/>
      <c r="DRR84" s="684"/>
      <c r="DRS84" s="684"/>
      <c r="DRT84" s="684"/>
      <c r="DRU84" s="684"/>
      <c r="DRV84" s="684"/>
      <c r="DRW84" s="684"/>
      <c r="DRX84" s="684"/>
      <c r="DRY84" s="684"/>
      <c r="DRZ84" s="684"/>
      <c r="DSA84" s="684"/>
      <c r="DSB84" s="684"/>
      <c r="DSC84" s="684"/>
      <c r="DSD84" s="684"/>
      <c r="DSE84" s="684"/>
      <c r="DSF84" s="684"/>
      <c r="DSG84" s="684"/>
      <c r="DSH84" s="684"/>
      <c r="DSI84" s="684"/>
      <c r="DSJ84" s="684"/>
      <c r="DSK84" s="684"/>
      <c r="DSL84" s="684"/>
      <c r="DSM84" s="684"/>
      <c r="DSN84" s="684"/>
      <c r="DSO84" s="684"/>
      <c r="DSP84" s="684"/>
      <c r="DSQ84" s="684"/>
      <c r="DSR84" s="684"/>
      <c r="DSS84" s="684"/>
      <c r="DST84" s="684"/>
      <c r="DSU84" s="684"/>
      <c r="DSV84" s="684"/>
      <c r="DSW84" s="684"/>
      <c r="DSX84" s="684"/>
      <c r="DSY84" s="684"/>
      <c r="DSZ84" s="684"/>
      <c r="DTA84" s="684"/>
      <c r="DTB84" s="684"/>
      <c r="DTC84" s="684"/>
      <c r="DTD84" s="684"/>
      <c r="DTE84" s="684"/>
      <c r="DTF84" s="684"/>
      <c r="DTG84" s="684"/>
      <c r="DTH84" s="684"/>
      <c r="DTI84" s="684"/>
      <c r="DTJ84" s="684"/>
      <c r="DTK84" s="684"/>
      <c r="DTL84" s="684"/>
      <c r="DTM84" s="684"/>
      <c r="DTN84" s="684"/>
      <c r="DTO84" s="684"/>
      <c r="DTP84" s="684"/>
      <c r="DTQ84" s="684"/>
      <c r="DTR84" s="684"/>
      <c r="DTS84" s="684"/>
      <c r="DTT84" s="684"/>
      <c r="DTU84" s="684"/>
      <c r="DTV84" s="684"/>
      <c r="DTW84" s="684"/>
      <c r="DTX84" s="684"/>
      <c r="DTY84" s="684"/>
      <c r="DTZ84" s="684"/>
      <c r="DUA84" s="684"/>
      <c r="DUB84" s="684"/>
      <c r="DUC84" s="684"/>
      <c r="DUD84" s="684"/>
      <c r="DUE84" s="684"/>
      <c r="DUF84" s="684"/>
      <c r="DUG84" s="684"/>
      <c r="DUH84" s="684"/>
      <c r="DUI84" s="684"/>
      <c r="DUJ84" s="684"/>
      <c r="DUK84" s="684"/>
      <c r="DUL84" s="684"/>
      <c r="DUM84" s="684"/>
      <c r="DUN84" s="684"/>
      <c r="DUO84" s="684"/>
      <c r="DUP84" s="684"/>
      <c r="DUQ84" s="684"/>
      <c r="DUR84" s="684"/>
      <c r="DUS84" s="684"/>
      <c r="DUT84" s="684"/>
      <c r="DUU84" s="684"/>
      <c r="DUV84" s="684"/>
      <c r="DUW84" s="684"/>
      <c r="DUX84" s="684"/>
      <c r="DUY84" s="684"/>
      <c r="DUZ84" s="684"/>
      <c r="DVA84" s="684"/>
      <c r="DVB84" s="684"/>
      <c r="DVC84" s="684"/>
      <c r="DVD84" s="684"/>
      <c r="DVE84" s="684"/>
      <c r="DVF84" s="684"/>
      <c r="DVG84" s="684"/>
      <c r="DVH84" s="684"/>
      <c r="DVI84" s="684"/>
      <c r="DVJ84" s="684"/>
      <c r="DVK84" s="684"/>
      <c r="DVL84" s="684"/>
      <c r="DVM84" s="684"/>
      <c r="DVN84" s="684"/>
      <c r="DVO84" s="684"/>
      <c r="DVP84" s="684"/>
      <c r="DVQ84" s="684"/>
      <c r="DVR84" s="684"/>
      <c r="DVS84" s="684"/>
      <c r="DVT84" s="684"/>
      <c r="DVU84" s="684"/>
      <c r="DVV84" s="684"/>
      <c r="DVW84" s="684"/>
      <c r="DVX84" s="684"/>
      <c r="DVY84" s="684"/>
      <c r="DVZ84" s="684"/>
      <c r="DWA84" s="684"/>
      <c r="DWB84" s="684"/>
      <c r="DWC84" s="684"/>
      <c r="DWD84" s="684"/>
      <c r="DWE84" s="684"/>
      <c r="DWF84" s="684"/>
      <c r="DWG84" s="684"/>
      <c r="DWH84" s="684"/>
      <c r="DWI84" s="684"/>
      <c r="DWJ84" s="684"/>
      <c r="DWK84" s="684"/>
      <c r="DWL84" s="684"/>
      <c r="DWM84" s="684"/>
      <c r="DWN84" s="684"/>
      <c r="DWO84" s="684"/>
      <c r="DWP84" s="684"/>
      <c r="DWQ84" s="684"/>
      <c r="DWR84" s="684"/>
      <c r="DWS84" s="684"/>
      <c r="DWT84" s="684"/>
      <c r="DWU84" s="684"/>
      <c r="DWV84" s="684"/>
      <c r="DWW84" s="684"/>
      <c r="DWX84" s="684"/>
      <c r="DWY84" s="684"/>
      <c r="DWZ84" s="684"/>
      <c r="DXA84" s="684"/>
      <c r="DXB84" s="684"/>
      <c r="DXC84" s="684"/>
      <c r="DXD84" s="684"/>
      <c r="DXE84" s="684"/>
      <c r="DXF84" s="684"/>
      <c r="DXG84" s="684"/>
      <c r="DXH84" s="684"/>
      <c r="DXI84" s="684"/>
      <c r="DXJ84" s="684"/>
      <c r="DXK84" s="684"/>
      <c r="DXL84" s="684"/>
      <c r="DXM84" s="684"/>
      <c r="DXN84" s="684"/>
      <c r="DXO84" s="684"/>
      <c r="DXP84" s="684"/>
      <c r="DXQ84" s="684"/>
      <c r="DXR84" s="684"/>
      <c r="DXS84" s="684"/>
      <c r="DXT84" s="684"/>
      <c r="DXU84" s="684"/>
      <c r="DXV84" s="684"/>
      <c r="DXW84" s="684"/>
      <c r="DXX84" s="684"/>
      <c r="DXY84" s="684"/>
      <c r="DXZ84" s="684"/>
      <c r="DYA84" s="684"/>
      <c r="DYB84" s="684"/>
      <c r="DYC84" s="684"/>
      <c r="DYD84" s="684"/>
      <c r="DYE84" s="684"/>
      <c r="DYF84" s="684"/>
      <c r="DYG84" s="684"/>
      <c r="DYH84" s="684"/>
      <c r="DYI84" s="684"/>
      <c r="DYJ84" s="684"/>
      <c r="DYK84" s="684"/>
      <c r="DYL84" s="684"/>
      <c r="DYM84" s="684"/>
      <c r="DYN84" s="684"/>
      <c r="DYO84" s="684"/>
      <c r="DYP84" s="684"/>
      <c r="DYQ84" s="684"/>
      <c r="DYR84" s="684"/>
      <c r="DYS84" s="684"/>
      <c r="DYT84" s="684"/>
      <c r="DYU84" s="684"/>
      <c r="DYV84" s="684"/>
      <c r="DYW84" s="684"/>
      <c r="DYX84" s="684"/>
      <c r="DYY84" s="684"/>
      <c r="DYZ84" s="684"/>
      <c r="DZA84" s="684"/>
      <c r="DZB84" s="684"/>
      <c r="DZC84" s="684"/>
      <c r="DZD84" s="684"/>
      <c r="DZE84" s="684"/>
      <c r="DZF84" s="684"/>
      <c r="DZG84" s="684"/>
      <c r="DZH84" s="684"/>
      <c r="DZI84" s="684"/>
      <c r="DZJ84" s="684"/>
      <c r="DZK84" s="684"/>
      <c r="DZL84" s="684"/>
      <c r="DZM84" s="684"/>
      <c r="DZN84" s="684"/>
      <c r="DZO84" s="684"/>
      <c r="DZP84" s="684"/>
      <c r="DZQ84" s="684"/>
      <c r="DZR84" s="684"/>
      <c r="DZS84" s="684"/>
      <c r="DZT84" s="684"/>
      <c r="DZU84" s="684"/>
      <c r="DZV84" s="684"/>
      <c r="DZW84" s="684"/>
      <c r="DZX84" s="684"/>
      <c r="DZY84" s="684"/>
      <c r="DZZ84" s="684"/>
      <c r="EAA84" s="684"/>
      <c r="EAB84" s="684"/>
      <c r="EAC84" s="684"/>
      <c r="EAD84" s="684"/>
      <c r="EAE84" s="684"/>
      <c r="EAF84" s="684"/>
      <c r="EAG84" s="684"/>
      <c r="EAH84" s="684"/>
      <c r="EAI84" s="684"/>
      <c r="EAJ84" s="684"/>
      <c r="EAK84" s="684"/>
      <c r="EAL84" s="684"/>
      <c r="EAM84" s="684"/>
      <c r="EAN84" s="684"/>
      <c r="EAO84" s="684"/>
      <c r="EAP84" s="684"/>
      <c r="EAQ84" s="684"/>
      <c r="EAR84" s="684"/>
      <c r="EAS84" s="684"/>
      <c r="EAT84" s="684"/>
      <c r="EAU84" s="684"/>
      <c r="EAV84" s="684"/>
      <c r="EAW84" s="684"/>
      <c r="EAX84" s="684"/>
      <c r="EAY84" s="684"/>
      <c r="EAZ84" s="684"/>
      <c r="EBA84" s="684"/>
      <c r="EBB84" s="684"/>
      <c r="EBC84" s="684"/>
      <c r="EBD84" s="684"/>
      <c r="EBE84" s="684"/>
      <c r="EBF84" s="684"/>
      <c r="EBG84" s="684"/>
      <c r="EBH84" s="684"/>
      <c r="EBI84" s="684"/>
      <c r="EBJ84" s="684"/>
      <c r="EBK84" s="684"/>
      <c r="EBL84" s="684"/>
      <c r="EBM84" s="684"/>
      <c r="EBN84" s="684"/>
      <c r="EBO84" s="684"/>
      <c r="EBP84" s="684"/>
      <c r="EBQ84" s="684"/>
      <c r="EBR84" s="684"/>
      <c r="EBS84" s="684"/>
      <c r="EBT84" s="684"/>
      <c r="EBU84" s="684"/>
      <c r="EBV84" s="684"/>
      <c r="EBW84" s="684"/>
      <c r="EBX84" s="684"/>
      <c r="EBY84" s="684"/>
      <c r="EBZ84" s="684"/>
      <c r="ECA84" s="684"/>
      <c r="ECB84" s="684"/>
      <c r="ECC84" s="684"/>
      <c r="ECD84" s="684"/>
      <c r="ECE84" s="684"/>
      <c r="ECF84" s="684"/>
      <c r="ECG84" s="684"/>
      <c r="ECH84" s="684"/>
      <c r="ECI84" s="684"/>
      <c r="ECJ84" s="684"/>
      <c r="ECK84" s="684"/>
      <c r="ECL84" s="684"/>
      <c r="ECM84" s="684"/>
      <c r="ECN84" s="684"/>
      <c r="ECO84" s="684"/>
      <c r="ECP84" s="684"/>
      <c r="ECQ84" s="684"/>
      <c r="ECR84" s="684"/>
      <c r="ECS84" s="684"/>
      <c r="ECT84" s="684"/>
      <c r="ECU84" s="684"/>
      <c r="ECV84" s="684"/>
      <c r="ECW84" s="684"/>
      <c r="ECX84" s="684"/>
      <c r="ECY84" s="684"/>
      <c r="ECZ84" s="684"/>
      <c r="EDA84" s="684"/>
      <c r="EDB84" s="684"/>
      <c r="EDC84" s="684"/>
      <c r="EDD84" s="684"/>
      <c r="EDE84" s="684"/>
      <c r="EDF84" s="684"/>
      <c r="EDG84" s="684"/>
      <c r="EDH84" s="684"/>
      <c r="EDI84" s="684"/>
      <c r="EDJ84" s="684"/>
      <c r="EDK84" s="684"/>
      <c r="EDL84" s="684"/>
      <c r="EDM84" s="684"/>
      <c r="EDN84" s="684"/>
      <c r="EDO84" s="684"/>
      <c r="EDP84" s="684"/>
      <c r="EDQ84" s="684"/>
      <c r="EDR84" s="684"/>
      <c r="EDS84" s="684"/>
      <c r="EDT84" s="684"/>
      <c r="EDU84" s="684"/>
      <c r="EDV84" s="684"/>
      <c r="EDW84" s="684"/>
      <c r="EDX84" s="684"/>
      <c r="EDY84" s="684"/>
      <c r="EDZ84" s="684"/>
      <c r="EEA84" s="684"/>
      <c r="EEB84" s="684"/>
      <c r="EEC84" s="684"/>
      <c r="EED84" s="684"/>
      <c r="EEE84" s="684"/>
      <c r="EEF84" s="684"/>
      <c r="EEG84" s="684"/>
      <c r="EEH84" s="684"/>
      <c r="EEI84" s="684"/>
      <c r="EEJ84" s="684"/>
      <c r="EEK84" s="684"/>
      <c r="EEL84" s="684"/>
      <c r="EEM84" s="684"/>
      <c r="EEN84" s="684"/>
      <c r="EEO84" s="684"/>
      <c r="EEP84" s="684"/>
      <c r="EEQ84" s="684"/>
      <c r="EER84" s="684"/>
      <c r="EES84" s="684"/>
      <c r="EET84" s="684"/>
      <c r="EEU84" s="684"/>
      <c r="EEV84" s="684"/>
      <c r="EEW84" s="684"/>
      <c r="EEX84" s="684"/>
      <c r="EEY84" s="684"/>
      <c r="EEZ84" s="684"/>
      <c r="EFA84" s="684"/>
      <c r="EFB84" s="684"/>
      <c r="EFC84" s="684"/>
      <c r="EFD84" s="684"/>
      <c r="EFE84" s="684"/>
      <c r="EFF84" s="684"/>
      <c r="EFG84" s="684"/>
      <c r="EFH84" s="684"/>
      <c r="EFI84" s="684"/>
      <c r="EFJ84" s="684"/>
      <c r="EFK84" s="684"/>
      <c r="EFL84" s="684"/>
      <c r="EFM84" s="684"/>
      <c r="EFN84" s="684"/>
      <c r="EFO84" s="684"/>
      <c r="EFP84" s="684"/>
      <c r="EFQ84" s="684"/>
      <c r="EFR84" s="684"/>
      <c r="EFS84" s="684"/>
      <c r="EFT84" s="684"/>
      <c r="EFU84" s="684"/>
      <c r="EFV84" s="684"/>
      <c r="EFW84" s="684"/>
      <c r="EFX84" s="684"/>
      <c r="EFY84" s="684"/>
      <c r="EFZ84" s="684"/>
      <c r="EGA84" s="684"/>
      <c r="EGB84" s="684"/>
      <c r="EGC84" s="684"/>
      <c r="EGD84" s="684"/>
      <c r="EGE84" s="684"/>
      <c r="EGF84" s="684"/>
      <c r="EGG84" s="684"/>
      <c r="EGH84" s="684"/>
      <c r="EGI84" s="684"/>
      <c r="EGJ84" s="684"/>
      <c r="EGK84" s="684"/>
      <c r="EGL84" s="684"/>
      <c r="EGM84" s="684"/>
      <c r="EGN84" s="684"/>
      <c r="EGO84" s="684"/>
      <c r="EGP84" s="684"/>
      <c r="EGQ84" s="684"/>
      <c r="EGR84" s="684"/>
      <c r="EGS84" s="684"/>
      <c r="EGT84" s="684"/>
      <c r="EGU84" s="684"/>
      <c r="EGV84" s="684"/>
      <c r="EGW84" s="684"/>
      <c r="EGX84" s="684"/>
      <c r="EGY84" s="684"/>
      <c r="EGZ84" s="684"/>
      <c r="EHA84" s="684"/>
      <c r="EHB84" s="684"/>
      <c r="EHC84" s="684"/>
      <c r="EHD84" s="684"/>
      <c r="EHE84" s="684"/>
      <c r="EHF84" s="684"/>
      <c r="EHG84" s="684"/>
      <c r="EHH84" s="684"/>
      <c r="EHI84" s="684"/>
      <c r="EHJ84" s="684"/>
      <c r="EHK84" s="684"/>
      <c r="EHL84" s="684"/>
      <c r="EHM84" s="684"/>
      <c r="EHN84" s="684"/>
      <c r="EHO84" s="684"/>
      <c r="EHP84" s="684"/>
      <c r="EHQ84" s="684"/>
      <c r="EHR84" s="684"/>
      <c r="EHS84" s="684"/>
      <c r="EHT84" s="684"/>
      <c r="EHU84" s="684"/>
      <c r="EHV84" s="684"/>
      <c r="EHW84" s="684"/>
      <c r="EHX84" s="684"/>
      <c r="EHY84" s="684"/>
      <c r="EHZ84" s="684"/>
      <c r="EIA84" s="684"/>
      <c r="EIB84" s="684"/>
      <c r="EIC84" s="684"/>
      <c r="EID84" s="684"/>
      <c r="EIE84" s="684"/>
      <c r="EIF84" s="684"/>
      <c r="EIG84" s="684"/>
      <c r="EIH84" s="684"/>
      <c r="EII84" s="684"/>
      <c r="EIJ84" s="684"/>
      <c r="EIK84" s="684"/>
      <c r="EIL84" s="684"/>
      <c r="EIM84" s="684"/>
      <c r="EIN84" s="684"/>
      <c r="EIO84" s="684"/>
      <c r="EIP84" s="684"/>
      <c r="EIQ84" s="684"/>
      <c r="EIR84" s="684"/>
      <c r="EIS84" s="684"/>
      <c r="EIT84" s="684"/>
      <c r="EIU84" s="684"/>
      <c r="EIV84" s="684"/>
      <c r="EIW84" s="684"/>
      <c r="EIX84" s="684"/>
      <c r="EIY84" s="684"/>
      <c r="EIZ84" s="684"/>
      <c r="EJA84" s="684"/>
      <c r="EJB84" s="684"/>
      <c r="EJC84" s="684"/>
      <c r="EJD84" s="684"/>
      <c r="EJE84" s="684"/>
      <c r="EJF84" s="684"/>
      <c r="EJG84" s="684"/>
      <c r="EJH84" s="684"/>
      <c r="EJI84" s="684"/>
      <c r="EJJ84" s="684"/>
      <c r="EJK84" s="684"/>
      <c r="EJL84" s="684"/>
      <c r="EJM84" s="684"/>
      <c r="EJN84" s="684"/>
      <c r="EJO84" s="684"/>
      <c r="EJP84" s="684"/>
      <c r="EJQ84" s="684"/>
      <c r="EJR84" s="684"/>
      <c r="EJS84" s="684"/>
      <c r="EJT84" s="684"/>
      <c r="EJU84" s="684"/>
      <c r="EJV84" s="684"/>
      <c r="EJW84" s="684"/>
      <c r="EJX84" s="684"/>
      <c r="EJY84" s="684"/>
      <c r="EJZ84" s="684"/>
      <c r="EKA84" s="684"/>
      <c r="EKB84" s="684"/>
      <c r="EKC84" s="684"/>
      <c r="EKD84" s="684"/>
      <c r="EKE84" s="684"/>
      <c r="EKF84" s="684"/>
      <c r="EKG84" s="684"/>
      <c r="EKH84" s="684"/>
      <c r="EKI84" s="684"/>
      <c r="EKJ84" s="684"/>
      <c r="EKK84" s="684"/>
      <c r="EKL84" s="684"/>
      <c r="EKM84" s="684"/>
      <c r="EKN84" s="684"/>
      <c r="EKO84" s="684"/>
      <c r="EKP84" s="684"/>
      <c r="EKQ84" s="684"/>
      <c r="EKR84" s="684"/>
      <c r="EKS84" s="684"/>
      <c r="EKT84" s="684"/>
      <c r="EKU84" s="684"/>
      <c r="EKV84" s="684"/>
      <c r="EKW84" s="684"/>
      <c r="EKX84" s="684"/>
      <c r="EKY84" s="684"/>
      <c r="EKZ84" s="684"/>
      <c r="ELA84" s="684"/>
      <c r="ELB84" s="684"/>
      <c r="ELC84" s="684"/>
      <c r="ELD84" s="684"/>
      <c r="ELE84" s="684"/>
      <c r="ELF84" s="684"/>
      <c r="ELG84" s="684"/>
      <c r="ELH84" s="684"/>
      <c r="ELI84" s="684"/>
      <c r="ELJ84" s="684"/>
      <c r="ELK84" s="684"/>
      <c r="ELL84" s="684"/>
      <c r="ELM84" s="684"/>
      <c r="ELN84" s="684"/>
      <c r="ELO84" s="684"/>
      <c r="ELP84" s="684"/>
      <c r="ELQ84" s="684"/>
      <c r="ELR84" s="684"/>
      <c r="ELS84" s="684"/>
      <c r="ELT84" s="684"/>
      <c r="ELU84" s="684"/>
      <c r="ELV84" s="684"/>
      <c r="ELW84" s="684"/>
      <c r="ELX84" s="684"/>
      <c r="ELY84" s="684"/>
      <c r="ELZ84" s="684"/>
      <c r="EMA84" s="684"/>
      <c r="EMB84" s="684"/>
      <c r="EMC84" s="684"/>
      <c r="EMD84" s="684"/>
      <c r="EME84" s="684"/>
      <c r="EMF84" s="684"/>
      <c r="EMG84" s="684"/>
      <c r="EMH84" s="684"/>
      <c r="EMI84" s="684"/>
      <c r="EMJ84" s="684"/>
      <c r="EMK84" s="684"/>
      <c r="EML84" s="684"/>
      <c r="EMM84" s="684"/>
      <c r="EMN84" s="684"/>
      <c r="EMO84" s="684"/>
      <c r="EMP84" s="684"/>
      <c r="EMQ84" s="684"/>
      <c r="EMR84" s="684"/>
      <c r="EMS84" s="684"/>
      <c r="EMT84" s="684"/>
      <c r="EMU84" s="684"/>
      <c r="EMV84" s="684"/>
      <c r="EMW84" s="684"/>
      <c r="EMX84" s="684"/>
      <c r="EMY84" s="684"/>
      <c r="EMZ84" s="684"/>
      <c r="ENA84" s="684"/>
      <c r="ENB84" s="684"/>
      <c r="ENC84" s="684"/>
      <c r="END84" s="684"/>
      <c r="ENE84" s="684"/>
      <c r="ENF84" s="684"/>
      <c r="ENG84" s="684"/>
      <c r="ENH84" s="684"/>
      <c r="ENI84" s="684"/>
      <c r="ENJ84" s="684"/>
      <c r="ENK84" s="684"/>
      <c r="ENL84" s="684"/>
      <c r="ENM84" s="684"/>
      <c r="ENN84" s="684"/>
      <c r="ENO84" s="684"/>
      <c r="ENP84" s="684"/>
      <c r="ENQ84" s="684"/>
      <c r="ENR84" s="684"/>
      <c r="ENS84" s="684"/>
      <c r="ENT84" s="684"/>
      <c r="ENU84" s="684"/>
      <c r="ENV84" s="684"/>
      <c r="ENW84" s="684"/>
      <c r="ENX84" s="684"/>
      <c r="ENY84" s="684"/>
      <c r="ENZ84" s="684"/>
      <c r="EOA84" s="684"/>
      <c r="EOB84" s="684"/>
      <c r="EOC84" s="684"/>
      <c r="EOD84" s="684"/>
      <c r="EOE84" s="684"/>
      <c r="EOF84" s="684"/>
      <c r="EOG84" s="684"/>
      <c r="EOH84" s="684"/>
      <c r="EOI84" s="684"/>
      <c r="EOJ84" s="684"/>
      <c r="EOK84" s="684"/>
      <c r="EOL84" s="684"/>
      <c r="EOM84" s="684"/>
      <c r="EON84" s="684"/>
      <c r="EOO84" s="684"/>
      <c r="EOP84" s="684"/>
      <c r="EOQ84" s="684"/>
      <c r="EOR84" s="684"/>
      <c r="EOS84" s="684"/>
      <c r="EOT84" s="684"/>
      <c r="EOU84" s="684"/>
      <c r="EOV84" s="684"/>
      <c r="EOW84" s="684"/>
      <c r="EOX84" s="684"/>
      <c r="EOY84" s="684"/>
      <c r="EOZ84" s="684"/>
      <c r="EPA84" s="684"/>
      <c r="EPB84" s="684"/>
      <c r="EPC84" s="684"/>
      <c r="EPD84" s="684"/>
      <c r="EPE84" s="684"/>
      <c r="EPF84" s="684"/>
      <c r="EPG84" s="684"/>
      <c r="EPH84" s="684"/>
      <c r="EPI84" s="684"/>
      <c r="EPJ84" s="684"/>
      <c r="EPK84" s="684"/>
      <c r="EPL84" s="684"/>
      <c r="EPM84" s="684"/>
      <c r="EPN84" s="684"/>
      <c r="EPO84" s="684"/>
      <c r="EPP84" s="684"/>
      <c r="EPQ84" s="684"/>
      <c r="EPR84" s="684"/>
      <c r="EPS84" s="684"/>
      <c r="EPT84" s="684"/>
      <c r="EPU84" s="684"/>
      <c r="EPV84" s="684"/>
      <c r="EPW84" s="684"/>
      <c r="EPX84" s="684"/>
      <c r="EPY84" s="684"/>
      <c r="EPZ84" s="684"/>
      <c r="EQA84" s="684"/>
      <c r="EQB84" s="684"/>
      <c r="EQC84" s="684"/>
      <c r="EQD84" s="684"/>
      <c r="EQE84" s="684"/>
      <c r="EQF84" s="684"/>
      <c r="EQG84" s="684"/>
      <c r="EQH84" s="684"/>
      <c r="EQI84" s="684"/>
      <c r="EQJ84" s="684"/>
      <c r="EQK84" s="684"/>
      <c r="EQL84" s="684"/>
      <c r="EQM84" s="684"/>
      <c r="EQN84" s="684"/>
      <c r="EQO84" s="684"/>
      <c r="EQP84" s="684"/>
      <c r="EQQ84" s="684"/>
      <c r="EQR84" s="684"/>
      <c r="EQS84" s="684"/>
      <c r="EQT84" s="684"/>
      <c r="EQU84" s="684"/>
      <c r="EQV84" s="684"/>
      <c r="EQW84" s="684"/>
      <c r="EQX84" s="684"/>
      <c r="EQY84" s="684"/>
      <c r="EQZ84" s="684"/>
      <c r="ERA84" s="684"/>
      <c r="ERB84" s="684"/>
      <c r="ERC84" s="684"/>
      <c r="ERD84" s="684"/>
      <c r="ERE84" s="684"/>
      <c r="ERF84" s="684"/>
      <c r="ERG84" s="684"/>
      <c r="ERH84" s="684"/>
      <c r="ERI84" s="684"/>
      <c r="ERJ84" s="684"/>
      <c r="ERK84" s="684"/>
      <c r="ERL84" s="684"/>
      <c r="ERM84" s="684"/>
      <c r="ERN84" s="684"/>
      <c r="ERO84" s="684"/>
      <c r="ERP84" s="684"/>
      <c r="ERQ84" s="684"/>
      <c r="ERR84" s="684"/>
      <c r="ERS84" s="684"/>
      <c r="ERT84" s="684"/>
      <c r="ERU84" s="684"/>
      <c r="ERV84" s="684"/>
      <c r="ERW84" s="684"/>
      <c r="ERX84" s="684"/>
      <c r="ERY84" s="684"/>
      <c r="ERZ84" s="684"/>
      <c r="ESA84" s="684"/>
      <c r="ESB84" s="684"/>
      <c r="ESC84" s="684"/>
      <c r="ESD84" s="684"/>
      <c r="ESE84" s="684"/>
      <c r="ESF84" s="684"/>
      <c r="ESG84" s="684"/>
      <c r="ESH84" s="684"/>
      <c r="ESI84" s="684"/>
      <c r="ESJ84" s="684"/>
      <c r="ESK84" s="684"/>
      <c r="ESL84" s="684"/>
      <c r="ESM84" s="684"/>
      <c r="ESN84" s="684"/>
      <c r="ESO84" s="684"/>
      <c r="ESP84" s="684"/>
      <c r="ESQ84" s="684"/>
      <c r="ESR84" s="684"/>
      <c r="ESS84" s="684"/>
      <c r="EST84" s="684"/>
      <c r="ESU84" s="684"/>
      <c r="ESV84" s="684"/>
      <c r="ESW84" s="684"/>
      <c r="ESX84" s="684"/>
      <c r="ESY84" s="684"/>
      <c r="ESZ84" s="684"/>
      <c r="ETA84" s="684"/>
      <c r="ETB84" s="684"/>
      <c r="ETC84" s="684"/>
      <c r="ETD84" s="684"/>
      <c r="ETE84" s="684"/>
      <c r="ETF84" s="684"/>
      <c r="ETG84" s="684"/>
      <c r="ETH84" s="684"/>
      <c r="ETI84" s="684"/>
      <c r="ETJ84" s="684"/>
      <c r="ETK84" s="684"/>
      <c r="ETL84" s="684"/>
      <c r="ETM84" s="684"/>
      <c r="ETN84" s="684"/>
      <c r="ETO84" s="684"/>
      <c r="ETP84" s="684"/>
      <c r="ETQ84" s="684"/>
      <c r="ETR84" s="684"/>
      <c r="ETS84" s="684"/>
      <c r="ETT84" s="684"/>
      <c r="ETU84" s="684"/>
      <c r="ETV84" s="684"/>
      <c r="ETW84" s="684"/>
      <c r="ETX84" s="684"/>
      <c r="ETY84" s="684"/>
      <c r="ETZ84" s="684"/>
      <c r="EUA84" s="684"/>
      <c r="EUB84" s="684"/>
      <c r="EUC84" s="684"/>
      <c r="EUD84" s="684"/>
      <c r="EUE84" s="684"/>
      <c r="EUF84" s="684"/>
      <c r="EUG84" s="684"/>
      <c r="EUH84" s="684"/>
      <c r="EUI84" s="684"/>
      <c r="EUJ84" s="684"/>
      <c r="EUK84" s="684"/>
      <c r="EUL84" s="684"/>
      <c r="EUM84" s="684"/>
      <c r="EUN84" s="684"/>
      <c r="EUO84" s="684"/>
      <c r="EUP84" s="684"/>
      <c r="EUQ84" s="684"/>
      <c r="EUR84" s="684"/>
      <c r="EUS84" s="684"/>
      <c r="EUT84" s="684"/>
      <c r="EUU84" s="684"/>
      <c r="EUV84" s="684"/>
      <c r="EUW84" s="684"/>
      <c r="EUX84" s="684"/>
      <c r="EUY84" s="684"/>
      <c r="EUZ84" s="684"/>
      <c r="EVA84" s="684"/>
      <c r="EVB84" s="684"/>
      <c r="EVC84" s="684"/>
      <c r="EVD84" s="684"/>
      <c r="EVE84" s="684"/>
      <c r="EVF84" s="684"/>
      <c r="EVG84" s="684"/>
      <c r="EVH84" s="684"/>
      <c r="EVI84" s="684"/>
      <c r="EVJ84" s="684"/>
      <c r="EVK84" s="684"/>
      <c r="EVL84" s="684"/>
      <c r="EVM84" s="684"/>
      <c r="EVN84" s="684"/>
      <c r="EVO84" s="684"/>
      <c r="EVP84" s="684"/>
      <c r="EVQ84" s="684"/>
      <c r="EVR84" s="684"/>
      <c r="EVS84" s="684"/>
      <c r="EVT84" s="684"/>
      <c r="EVU84" s="684"/>
      <c r="EVV84" s="684"/>
      <c r="EVW84" s="684"/>
      <c r="EVX84" s="684"/>
      <c r="EVY84" s="684"/>
      <c r="EVZ84" s="684"/>
      <c r="EWA84" s="684"/>
      <c r="EWB84" s="684"/>
      <c r="EWC84" s="684"/>
      <c r="EWD84" s="684"/>
      <c r="EWE84" s="684"/>
      <c r="EWF84" s="684"/>
      <c r="EWG84" s="684"/>
      <c r="EWH84" s="684"/>
      <c r="EWI84" s="684"/>
      <c r="EWJ84" s="684"/>
      <c r="EWK84" s="684"/>
      <c r="EWL84" s="684"/>
      <c r="EWM84" s="684"/>
      <c r="EWN84" s="684"/>
      <c r="EWO84" s="684"/>
      <c r="EWP84" s="684"/>
      <c r="EWQ84" s="684"/>
      <c r="EWR84" s="684"/>
      <c r="EWS84" s="684"/>
      <c r="EWT84" s="684"/>
      <c r="EWU84" s="684"/>
      <c r="EWV84" s="684"/>
      <c r="EWW84" s="684"/>
      <c r="EWX84" s="684"/>
      <c r="EWY84" s="684"/>
      <c r="EWZ84" s="684"/>
      <c r="EXA84" s="684"/>
      <c r="EXB84" s="684"/>
      <c r="EXC84" s="684"/>
      <c r="EXD84" s="684"/>
      <c r="EXE84" s="684"/>
      <c r="EXF84" s="684"/>
      <c r="EXG84" s="684"/>
      <c r="EXH84" s="684"/>
      <c r="EXI84" s="684"/>
      <c r="EXJ84" s="684"/>
      <c r="EXK84" s="684"/>
      <c r="EXL84" s="684"/>
      <c r="EXM84" s="684"/>
      <c r="EXN84" s="684"/>
      <c r="EXO84" s="684"/>
      <c r="EXP84" s="684"/>
      <c r="EXQ84" s="684"/>
      <c r="EXR84" s="684"/>
      <c r="EXS84" s="684"/>
      <c r="EXT84" s="684"/>
      <c r="EXU84" s="684"/>
      <c r="EXV84" s="684"/>
      <c r="EXW84" s="684"/>
      <c r="EXX84" s="684"/>
      <c r="EXY84" s="684"/>
      <c r="EXZ84" s="684"/>
      <c r="EYA84" s="684"/>
      <c r="EYB84" s="684"/>
      <c r="EYC84" s="684"/>
      <c r="EYD84" s="684"/>
      <c r="EYE84" s="684"/>
      <c r="EYF84" s="684"/>
      <c r="EYG84" s="684"/>
      <c r="EYH84" s="684"/>
      <c r="EYI84" s="684"/>
      <c r="EYJ84" s="684"/>
      <c r="EYK84" s="684"/>
      <c r="EYL84" s="684"/>
      <c r="EYM84" s="684"/>
      <c r="EYN84" s="684"/>
      <c r="EYO84" s="684"/>
      <c r="EYP84" s="684"/>
      <c r="EYQ84" s="684"/>
      <c r="EYR84" s="684"/>
      <c r="EYS84" s="684"/>
      <c r="EYT84" s="684"/>
      <c r="EYU84" s="684"/>
      <c r="EYV84" s="684"/>
      <c r="EYW84" s="684"/>
      <c r="EYX84" s="684"/>
      <c r="EYY84" s="684"/>
      <c r="EYZ84" s="684"/>
      <c r="EZA84" s="684"/>
      <c r="EZB84" s="684"/>
      <c r="EZC84" s="684"/>
      <c r="EZD84" s="684"/>
      <c r="EZE84" s="684"/>
      <c r="EZF84" s="684"/>
      <c r="EZG84" s="684"/>
      <c r="EZH84" s="684"/>
      <c r="EZI84" s="684"/>
      <c r="EZJ84" s="684"/>
      <c r="EZK84" s="684"/>
      <c r="EZL84" s="684"/>
      <c r="EZM84" s="684"/>
      <c r="EZN84" s="684"/>
      <c r="EZO84" s="684"/>
      <c r="EZP84" s="684"/>
      <c r="EZQ84" s="684"/>
      <c r="EZR84" s="684"/>
      <c r="EZS84" s="684"/>
      <c r="EZT84" s="684"/>
      <c r="EZU84" s="684"/>
      <c r="EZV84" s="684"/>
      <c r="EZW84" s="684"/>
      <c r="EZX84" s="684"/>
      <c r="EZY84" s="684"/>
      <c r="EZZ84" s="684"/>
      <c r="FAA84" s="684"/>
      <c r="FAB84" s="684"/>
      <c r="FAC84" s="684"/>
      <c r="FAD84" s="684"/>
      <c r="FAE84" s="684"/>
      <c r="FAF84" s="684"/>
      <c r="FAG84" s="684"/>
      <c r="FAH84" s="684"/>
      <c r="FAI84" s="684"/>
      <c r="FAJ84" s="684"/>
      <c r="FAK84" s="684"/>
      <c r="FAL84" s="684"/>
      <c r="FAM84" s="684"/>
      <c r="FAN84" s="684"/>
      <c r="FAO84" s="684"/>
      <c r="FAP84" s="684"/>
      <c r="FAQ84" s="684"/>
      <c r="FAR84" s="684"/>
      <c r="FAS84" s="684"/>
      <c r="FAT84" s="684"/>
      <c r="FAU84" s="684"/>
      <c r="FAV84" s="684"/>
      <c r="FAW84" s="684"/>
      <c r="FAX84" s="684"/>
      <c r="FAY84" s="684"/>
      <c r="FAZ84" s="684"/>
      <c r="FBA84" s="684"/>
      <c r="FBB84" s="684"/>
      <c r="FBC84" s="684"/>
      <c r="FBD84" s="684"/>
      <c r="FBE84" s="684"/>
      <c r="FBF84" s="684"/>
      <c r="FBG84" s="684"/>
      <c r="FBH84" s="684"/>
      <c r="FBI84" s="684"/>
      <c r="FBJ84" s="684"/>
      <c r="FBK84" s="684"/>
      <c r="FBL84" s="684"/>
      <c r="FBM84" s="684"/>
      <c r="FBN84" s="684"/>
      <c r="FBO84" s="684"/>
      <c r="FBP84" s="684"/>
      <c r="FBQ84" s="684"/>
      <c r="FBR84" s="684"/>
      <c r="FBS84" s="684"/>
      <c r="FBT84" s="684"/>
      <c r="FBU84" s="684"/>
      <c r="FBV84" s="684"/>
      <c r="FBW84" s="684"/>
      <c r="FBX84" s="684"/>
      <c r="FBY84" s="684"/>
      <c r="FBZ84" s="684"/>
      <c r="FCA84" s="684"/>
      <c r="FCB84" s="684"/>
      <c r="FCC84" s="684"/>
      <c r="FCD84" s="684"/>
      <c r="FCE84" s="684"/>
      <c r="FCF84" s="684"/>
      <c r="FCG84" s="684"/>
      <c r="FCH84" s="684"/>
      <c r="FCI84" s="684"/>
      <c r="FCJ84" s="684"/>
      <c r="FCK84" s="684"/>
      <c r="FCL84" s="684"/>
      <c r="FCM84" s="684"/>
      <c r="FCN84" s="684"/>
      <c r="FCO84" s="684"/>
      <c r="FCP84" s="684"/>
      <c r="FCQ84" s="684"/>
      <c r="FCR84" s="684"/>
      <c r="FCS84" s="684"/>
      <c r="FCT84" s="684"/>
      <c r="FCU84" s="684"/>
      <c r="FCV84" s="684"/>
      <c r="FCW84" s="684"/>
      <c r="FCX84" s="684"/>
      <c r="FCY84" s="684"/>
      <c r="FCZ84" s="684"/>
      <c r="FDA84" s="684"/>
      <c r="FDB84" s="684"/>
      <c r="FDC84" s="684"/>
      <c r="FDD84" s="684"/>
      <c r="FDE84" s="684"/>
      <c r="FDF84" s="684"/>
      <c r="FDG84" s="684"/>
      <c r="FDH84" s="684"/>
      <c r="FDI84" s="684"/>
      <c r="FDJ84" s="684"/>
      <c r="FDK84" s="684"/>
      <c r="FDL84" s="684"/>
      <c r="FDM84" s="684"/>
      <c r="FDN84" s="684"/>
      <c r="FDO84" s="684"/>
      <c r="FDP84" s="684"/>
      <c r="FDQ84" s="684"/>
      <c r="FDR84" s="684"/>
      <c r="FDS84" s="684"/>
      <c r="FDT84" s="684"/>
      <c r="FDU84" s="684"/>
      <c r="FDV84" s="684"/>
      <c r="FDW84" s="684"/>
      <c r="FDX84" s="684"/>
      <c r="FDY84" s="684"/>
      <c r="FDZ84" s="684"/>
      <c r="FEA84" s="684"/>
      <c r="FEB84" s="684"/>
      <c r="FEC84" s="684"/>
      <c r="FED84" s="684"/>
      <c r="FEE84" s="684"/>
      <c r="FEF84" s="684"/>
      <c r="FEG84" s="684"/>
      <c r="FEH84" s="684"/>
      <c r="FEI84" s="684"/>
      <c r="FEJ84" s="684"/>
      <c r="FEK84" s="684"/>
      <c r="FEL84" s="684"/>
      <c r="FEM84" s="684"/>
      <c r="FEN84" s="684"/>
      <c r="FEO84" s="684"/>
      <c r="FEP84" s="684"/>
      <c r="FEQ84" s="684"/>
      <c r="FER84" s="684"/>
      <c r="FES84" s="684"/>
      <c r="FET84" s="684"/>
      <c r="FEU84" s="684"/>
      <c r="FEV84" s="684"/>
      <c r="FEW84" s="684"/>
      <c r="FEX84" s="684"/>
      <c r="FEY84" s="684"/>
      <c r="FEZ84" s="684"/>
      <c r="FFA84" s="684"/>
      <c r="FFB84" s="684"/>
      <c r="FFC84" s="684"/>
      <c r="FFD84" s="684"/>
      <c r="FFE84" s="684"/>
      <c r="FFF84" s="684"/>
      <c r="FFG84" s="684"/>
      <c r="FFH84" s="684"/>
      <c r="FFI84" s="684"/>
      <c r="FFJ84" s="684"/>
      <c r="FFK84" s="684"/>
      <c r="FFL84" s="684"/>
      <c r="FFM84" s="684"/>
      <c r="FFN84" s="684"/>
      <c r="FFO84" s="684"/>
      <c r="FFP84" s="684"/>
      <c r="FFQ84" s="684"/>
      <c r="FFR84" s="684"/>
      <c r="FFS84" s="684"/>
      <c r="FFT84" s="684"/>
      <c r="FFU84" s="684"/>
      <c r="FFV84" s="684"/>
      <c r="FFW84" s="684"/>
      <c r="FFX84" s="684"/>
      <c r="FFY84" s="684"/>
      <c r="FFZ84" s="684"/>
      <c r="FGA84" s="684"/>
      <c r="FGB84" s="684"/>
      <c r="FGC84" s="684"/>
      <c r="FGD84" s="684"/>
      <c r="FGE84" s="684"/>
      <c r="FGF84" s="684"/>
      <c r="FGG84" s="684"/>
      <c r="FGH84" s="684"/>
      <c r="FGI84" s="684"/>
      <c r="FGJ84" s="684"/>
      <c r="FGK84" s="684"/>
      <c r="FGL84" s="684"/>
      <c r="FGM84" s="684"/>
      <c r="FGN84" s="684"/>
      <c r="FGO84" s="684"/>
      <c r="FGP84" s="684"/>
      <c r="FGQ84" s="684"/>
      <c r="FGR84" s="684"/>
      <c r="FGS84" s="684"/>
      <c r="FGT84" s="684"/>
      <c r="FGU84" s="684"/>
      <c r="FGV84" s="684"/>
      <c r="FGW84" s="684"/>
      <c r="FGX84" s="684"/>
      <c r="FGY84" s="684"/>
      <c r="FGZ84" s="684"/>
      <c r="FHA84" s="684"/>
      <c r="FHB84" s="684"/>
      <c r="FHC84" s="684"/>
      <c r="FHD84" s="684"/>
      <c r="FHE84" s="684"/>
      <c r="FHF84" s="684"/>
      <c r="FHG84" s="684"/>
      <c r="FHH84" s="684"/>
      <c r="FHI84" s="684"/>
      <c r="FHJ84" s="684"/>
      <c r="FHK84" s="684"/>
      <c r="FHL84" s="684"/>
      <c r="FHM84" s="684"/>
      <c r="FHN84" s="684"/>
      <c r="FHO84" s="684"/>
      <c r="FHP84" s="684"/>
      <c r="FHQ84" s="684"/>
      <c r="FHR84" s="684"/>
      <c r="FHS84" s="684"/>
      <c r="FHT84" s="684"/>
      <c r="FHU84" s="684"/>
      <c r="FHV84" s="684"/>
      <c r="FHW84" s="684"/>
      <c r="FHX84" s="684"/>
      <c r="FHY84" s="684"/>
      <c r="FHZ84" s="684"/>
      <c r="FIA84" s="684"/>
      <c r="FIB84" s="684"/>
      <c r="FIC84" s="684"/>
      <c r="FID84" s="684"/>
      <c r="FIE84" s="684"/>
      <c r="FIF84" s="684"/>
      <c r="FIG84" s="684"/>
      <c r="FIH84" s="684"/>
      <c r="FII84" s="684"/>
      <c r="FIJ84" s="684"/>
      <c r="FIK84" s="684"/>
      <c r="FIL84" s="684"/>
      <c r="FIM84" s="684"/>
      <c r="FIN84" s="684"/>
      <c r="FIO84" s="684"/>
      <c r="FIP84" s="684"/>
      <c r="FIQ84" s="684"/>
      <c r="FIR84" s="684"/>
      <c r="FIS84" s="684"/>
      <c r="FIT84" s="684"/>
      <c r="FIU84" s="684"/>
      <c r="FIV84" s="684"/>
      <c r="FIW84" s="684"/>
      <c r="FIX84" s="684"/>
      <c r="FIY84" s="684"/>
      <c r="FIZ84" s="684"/>
      <c r="FJA84" s="684"/>
      <c r="FJB84" s="684"/>
      <c r="FJC84" s="684"/>
      <c r="FJD84" s="684"/>
      <c r="FJE84" s="684"/>
      <c r="FJF84" s="684"/>
      <c r="FJG84" s="684"/>
      <c r="FJH84" s="684"/>
      <c r="FJI84" s="684"/>
      <c r="FJJ84" s="684"/>
      <c r="FJK84" s="684"/>
      <c r="FJL84" s="684"/>
      <c r="FJM84" s="684"/>
      <c r="FJN84" s="684"/>
      <c r="FJO84" s="684"/>
      <c r="FJP84" s="684"/>
      <c r="FJQ84" s="684"/>
      <c r="FJR84" s="684"/>
      <c r="FJS84" s="684"/>
      <c r="FJT84" s="684"/>
      <c r="FJU84" s="684"/>
      <c r="FJV84" s="684"/>
      <c r="FJW84" s="684"/>
      <c r="FJX84" s="684"/>
      <c r="FJY84" s="684"/>
      <c r="FJZ84" s="684"/>
      <c r="FKA84" s="684"/>
      <c r="FKB84" s="684"/>
      <c r="FKC84" s="684"/>
      <c r="FKD84" s="684"/>
      <c r="FKE84" s="684"/>
      <c r="FKF84" s="684"/>
      <c r="FKG84" s="684"/>
      <c r="FKH84" s="684"/>
      <c r="FKI84" s="684"/>
      <c r="FKJ84" s="684"/>
      <c r="FKK84" s="684"/>
      <c r="FKL84" s="684"/>
      <c r="FKM84" s="684"/>
      <c r="FKN84" s="684"/>
      <c r="FKO84" s="684"/>
      <c r="FKP84" s="684"/>
      <c r="FKQ84" s="684"/>
      <c r="FKR84" s="684"/>
      <c r="FKS84" s="684"/>
      <c r="FKT84" s="684"/>
      <c r="FKU84" s="684"/>
      <c r="FKV84" s="684"/>
      <c r="FKW84" s="684"/>
      <c r="FKX84" s="684"/>
      <c r="FKY84" s="684"/>
      <c r="FKZ84" s="684"/>
      <c r="FLA84" s="684"/>
      <c r="FLB84" s="684"/>
      <c r="FLC84" s="684"/>
      <c r="FLD84" s="684"/>
      <c r="FLE84" s="684"/>
      <c r="FLF84" s="684"/>
      <c r="FLG84" s="684"/>
      <c r="FLH84" s="684"/>
      <c r="FLI84" s="684"/>
      <c r="FLJ84" s="684"/>
      <c r="FLK84" s="684"/>
      <c r="FLL84" s="684"/>
      <c r="FLM84" s="684"/>
      <c r="FLN84" s="684"/>
      <c r="FLO84" s="684"/>
      <c r="FLP84" s="684"/>
      <c r="FLQ84" s="684"/>
      <c r="FLR84" s="684"/>
      <c r="FLS84" s="684"/>
      <c r="FLT84" s="684"/>
      <c r="FLU84" s="684"/>
      <c r="FLV84" s="684"/>
      <c r="FLW84" s="684"/>
      <c r="FLX84" s="684"/>
      <c r="FLY84" s="684"/>
      <c r="FLZ84" s="684"/>
      <c r="FMA84" s="684"/>
      <c r="FMB84" s="684"/>
      <c r="FMC84" s="684"/>
      <c r="FMD84" s="684"/>
      <c r="FME84" s="684"/>
      <c r="FMF84" s="684"/>
      <c r="FMG84" s="684"/>
      <c r="FMH84" s="684"/>
      <c r="FMI84" s="684"/>
      <c r="FMJ84" s="684"/>
      <c r="FMK84" s="684"/>
      <c r="FML84" s="684"/>
      <c r="FMM84" s="684"/>
      <c r="FMN84" s="684"/>
      <c r="FMO84" s="684"/>
      <c r="FMP84" s="684"/>
      <c r="FMQ84" s="684"/>
      <c r="FMR84" s="684"/>
      <c r="FMS84" s="684"/>
      <c r="FMT84" s="684"/>
      <c r="FMU84" s="684"/>
      <c r="FMV84" s="684"/>
      <c r="FMW84" s="684"/>
      <c r="FMX84" s="684"/>
      <c r="FMY84" s="684"/>
      <c r="FMZ84" s="684"/>
      <c r="FNA84" s="684"/>
      <c r="FNB84" s="684"/>
      <c r="FNC84" s="684"/>
      <c r="FND84" s="684"/>
      <c r="FNE84" s="684"/>
      <c r="FNF84" s="684"/>
      <c r="FNG84" s="684"/>
      <c r="FNH84" s="684"/>
      <c r="FNI84" s="684"/>
      <c r="FNJ84" s="684"/>
      <c r="FNK84" s="684"/>
      <c r="FNL84" s="684"/>
      <c r="FNM84" s="684"/>
      <c r="FNN84" s="684"/>
      <c r="FNO84" s="684"/>
      <c r="FNP84" s="684"/>
      <c r="FNQ84" s="684"/>
      <c r="FNR84" s="684"/>
      <c r="FNS84" s="684"/>
      <c r="FNT84" s="684"/>
      <c r="FNU84" s="684"/>
      <c r="FNV84" s="684"/>
      <c r="FNW84" s="684"/>
      <c r="FNX84" s="684"/>
      <c r="FNY84" s="684"/>
      <c r="FNZ84" s="684"/>
      <c r="FOA84" s="684"/>
      <c r="FOB84" s="684"/>
      <c r="FOC84" s="684"/>
      <c r="FOD84" s="684"/>
      <c r="FOE84" s="684"/>
      <c r="FOF84" s="684"/>
      <c r="FOG84" s="684"/>
      <c r="FOH84" s="684"/>
      <c r="FOI84" s="684"/>
      <c r="FOJ84" s="684"/>
      <c r="FOK84" s="684"/>
      <c r="FOL84" s="684"/>
      <c r="FOM84" s="684"/>
      <c r="FON84" s="684"/>
      <c r="FOO84" s="684"/>
      <c r="FOP84" s="684"/>
      <c r="FOQ84" s="684"/>
      <c r="FOR84" s="684"/>
      <c r="FOS84" s="684"/>
      <c r="FOT84" s="684"/>
      <c r="FOU84" s="684"/>
      <c r="FOV84" s="684"/>
      <c r="FOW84" s="684"/>
      <c r="FOX84" s="684"/>
      <c r="FOY84" s="684"/>
      <c r="FOZ84" s="684"/>
      <c r="FPA84" s="684"/>
      <c r="FPB84" s="684"/>
      <c r="FPC84" s="684"/>
      <c r="FPD84" s="684"/>
      <c r="FPE84" s="684"/>
      <c r="FPF84" s="684"/>
      <c r="FPG84" s="684"/>
      <c r="FPH84" s="684"/>
      <c r="FPI84" s="684"/>
      <c r="FPJ84" s="684"/>
      <c r="FPK84" s="684"/>
      <c r="FPL84" s="684"/>
      <c r="FPM84" s="684"/>
      <c r="FPN84" s="684"/>
      <c r="FPO84" s="684"/>
      <c r="FPP84" s="684"/>
      <c r="FPQ84" s="684"/>
      <c r="FPR84" s="684"/>
      <c r="FPS84" s="684"/>
      <c r="FPT84" s="684"/>
      <c r="FPU84" s="684"/>
      <c r="FPV84" s="684"/>
      <c r="FPW84" s="684"/>
      <c r="FPX84" s="684"/>
      <c r="FPY84" s="684"/>
      <c r="FPZ84" s="684"/>
      <c r="FQA84" s="684"/>
      <c r="FQB84" s="684"/>
      <c r="FQC84" s="684"/>
      <c r="FQD84" s="684"/>
      <c r="FQE84" s="684"/>
      <c r="FQF84" s="684"/>
      <c r="FQG84" s="684"/>
      <c r="FQH84" s="684"/>
      <c r="FQI84" s="684"/>
      <c r="FQJ84" s="684"/>
      <c r="FQK84" s="684"/>
      <c r="FQL84" s="684"/>
      <c r="FQM84" s="684"/>
      <c r="FQN84" s="684"/>
      <c r="FQO84" s="684"/>
      <c r="FQP84" s="684"/>
      <c r="FQQ84" s="684"/>
      <c r="FQR84" s="684"/>
      <c r="FQS84" s="684"/>
      <c r="FQT84" s="684"/>
      <c r="FQU84" s="684"/>
      <c r="FQV84" s="684"/>
      <c r="FQW84" s="684"/>
      <c r="FQX84" s="684"/>
      <c r="FQY84" s="684"/>
      <c r="FQZ84" s="684"/>
      <c r="FRA84" s="684"/>
      <c r="FRB84" s="684"/>
      <c r="FRC84" s="684"/>
      <c r="FRD84" s="684"/>
      <c r="FRE84" s="684"/>
      <c r="FRF84" s="684"/>
      <c r="FRG84" s="684"/>
      <c r="FRH84" s="684"/>
      <c r="FRI84" s="684"/>
      <c r="FRJ84" s="684"/>
      <c r="FRK84" s="684"/>
      <c r="FRL84" s="684"/>
      <c r="FRM84" s="684"/>
      <c r="FRN84" s="684"/>
      <c r="FRO84" s="684"/>
      <c r="FRP84" s="684"/>
      <c r="FRQ84" s="684"/>
      <c r="FRR84" s="684"/>
      <c r="FRS84" s="684"/>
      <c r="FRT84" s="684"/>
      <c r="FRU84" s="684"/>
      <c r="FRV84" s="684"/>
      <c r="FRW84" s="684"/>
      <c r="FRX84" s="684"/>
      <c r="FRY84" s="684"/>
      <c r="FRZ84" s="684"/>
      <c r="FSA84" s="684"/>
      <c r="FSB84" s="684"/>
      <c r="FSC84" s="684"/>
      <c r="FSD84" s="684"/>
      <c r="FSE84" s="684"/>
      <c r="FSF84" s="684"/>
      <c r="FSG84" s="684"/>
      <c r="FSH84" s="684"/>
      <c r="FSI84" s="684"/>
      <c r="FSJ84" s="684"/>
      <c r="FSK84" s="684"/>
      <c r="FSL84" s="684"/>
      <c r="FSM84" s="684"/>
      <c r="FSN84" s="684"/>
      <c r="FSO84" s="684"/>
      <c r="FSP84" s="684"/>
      <c r="FSQ84" s="684"/>
      <c r="FSR84" s="684"/>
      <c r="FSS84" s="684"/>
      <c r="FST84" s="684"/>
      <c r="FSU84" s="684"/>
      <c r="FSV84" s="684"/>
      <c r="FSW84" s="684"/>
      <c r="FSX84" s="684"/>
      <c r="FSY84" s="684"/>
      <c r="FSZ84" s="684"/>
      <c r="FTA84" s="684"/>
      <c r="FTB84" s="684"/>
      <c r="FTC84" s="684"/>
      <c r="FTD84" s="684"/>
      <c r="FTE84" s="684"/>
      <c r="FTF84" s="684"/>
      <c r="FTG84" s="684"/>
      <c r="FTH84" s="684"/>
      <c r="FTI84" s="684"/>
      <c r="FTJ84" s="684"/>
      <c r="FTK84" s="684"/>
      <c r="FTL84" s="684"/>
      <c r="FTM84" s="684"/>
      <c r="FTN84" s="684"/>
      <c r="FTO84" s="684"/>
      <c r="FTP84" s="684"/>
      <c r="FTQ84" s="684"/>
      <c r="FTR84" s="684"/>
      <c r="FTS84" s="684"/>
      <c r="FTT84" s="684"/>
      <c r="FTU84" s="684"/>
      <c r="FTV84" s="684"/>
      <c r="FTW84" s="684"/>
      <c r="FTX84" s="684"/>
      <c r="FTY84" s="684"/>
      <c r="FTZ84" s="684"/>
      <c r="FUA84" s="684"/>
      <c r="FUB84" s="684"/>
      <c r="FUC84" s="684"/>
      <c r="FUD84" s="684"/>
      <c r="FUE84" s="684"/>
      <c r="FUF84" s="684"/>
      <c r="FUG84" s="684"/>
      <c r="FUH84" s="684"/>
      <c r="FUI84" s="684"/>
      <c r="FUJ84" s="684"/>
      <c r="FUK84" s="684"/>
      <c r="FUL84" s="684"/>
      <c r="FUM84" s="684"/>
      <c r="FUN84" s="684"/>
      <c r="FUO84" s="684"/>
      <c r="FUP84" s="684"/>
      <c r="FUQ84" s="684"/>
      <c r="FUR84" s="684"/>
      <c r="FUS84" s="684"/>
      <c r="FUT84" s="684"/>
      <c r="FUU84" s="684"/>
      <c r="FUV84" s="684"/>
      <c r="FUW84" s="684"/>
      <c r="FUX84" s="684"/>
      <c r="FUY84" s="684"/>
      <c r="FUZ84" s="684"/>
      <c r="FVA84" s="684"/>
      <c r="FVB84" s="684"/>
      <c r="FVC84" s="684"/>
      <c r="FVD84" s="684"/>
      <c r="FVE84" s="684"/>
      <c r="FVF84" s="684"/>
      <c r="FVG84" s="684"/>
      <c r="FVH84" s="684"/>
      <c r="FVI84" s="684"/>
      <c r="FVJ84" s="684"/>
      <c r="FVK84" s="684"/>
      <c r="FVL84" s="684"/>
      <c r="FVM84" s="684"/>
      <c r="FVN84" s="684"/>
      <c r="FVO84" s="684"/>
      <c r="FVP84" s="684"/>
      <c r="FVQ84" s="684"/>
      <c r="FVR84" s="684"/>
      <c r="FVS84" s="684"/>
      <c r="FVT84" s="684"/>
      <c r="FVU84" s="684"/>
      <c r="FVV84" s="684"/>
      <c r="FVW84" s="684"/>
      <c r="FVX84" s="684"/>
      <c r="FVY84" s="684"/>
      <c r="FVZ84" s="684"/>
      <c r="FWA84" s="684"/>
      <c r="FWB84" s="684"/>
      <c r="FWC84" s="684"/>
      <c r="FWD84" s="684"/>
      <c r="FWE84" s="684"/>
      <c r="FWF84" s="684"/>
      <c r="FWG84" s="684"/>
      <c r="FWH84" s="684"/>
      <c r="FWI84" s="684"/>
      <c r="FWJ84" s="684"/>
      <c r="FWK84" s="684"/>
      <c r="FWL84" s="684"/>
      <c r="FWM84" s="684"/>
      <c r="FWN84" s="684"/>
      <c r="FWO84" s="684"/>
      <c r="FWP84" s="684"/>
      <c r="FWQ84" s="684"/>
      <c r="FWR84" s="684"/>
      <c r="FWS84" s="684"/>
      <c r="FWT84" s="684"/>
      <c r="FWU84" s="684"/>
      <c r="FWV84" s="684"/>
      <c r="FWW84" s="684"/>
      <c r="FWX84" s="684"/>
      <c r="FWY84" s="684"/>
      <c r="FWZ84" s="684"/>
      <c r="FXA84" s="684"/>
      <c r="FXB84" s="684"/>
      <c r="FXC84" s="684"/>
      <c r="FXD84" s="684"/>
      <c r="FXE84" s="684"/>
      <c r="FXF84" s="684"/>
      <c r="FXG84" s="684"/>
      <c r="FXH84" s="684"/>
      <c r="FXI84" s="684"/>
      <c r="FXJ84" s="684"/>
      <c r="FXK84" s="684"/>
      <c r="FXL84" s="684"/>
      <c r="FXM84" s="684"/>
      <c r="FXN84" s="684"/>
      <c r="FXO84" s="684"/>
      <c r="FXP84" s="684"/>
      <c r="FXQ84" s="684"/>
      <c r="FXR84" s="684"/>
      <c r="FXS84" s="684"/>
      <c r="FXT84" s="684"/>
      <c r="FXU84" s="684"/>
      <c r="FXV84" s="684"/>
      <c r="FXW84" s="684"/>
      <c r="FXX84" s="684"/>
      <c r="FXY84" s="684"/>
      <c r="FXZ84" s="684"/>
      <c r="FYA84" s="684"/>
      <c r="FYB84" s="684"/>
      <c r="FYC84" s="684"/>
      <c r="FYD84" s="684"/>
      <c r="FYE84" s="684"/>
      <c r="FYF84" s="684"/>
      <c r="FYG84" s="684"/>
      <c r="FYH84" s="684"/>
      <c r="FYI84" s="684"/>
      <c r="FYJ84" s="684"/>
      <c r="FYK84" s="684"/>
      <c r="FYL84" s="684"/>
      <c r="FYM84" s="684"/>
      <c r="FYN84" s="684"/>
      <c r="FYO84" s="684"/>
      <c r="FYP84" s="684"/>
      <c r="FYQ84" s="684"/>
      <c r="FYR84" s="684"/>
      <c r="FYS84" s="684"/>
      <c r="FYT84" s="684"/>
      <c r="FYU84" s="684"/>
      <c r="FYV84" s="684"/>
      <c r="FYW84" s="684"/>
      <c r="FYX84" s="684"/>
      <c r="FYY84" s="684"/>
      <c r="FYZ84" s="684"/>
      <c r="FZA84" s="684"/>
      <c r="FZB84" s="684"/>
      <c r="FZC84" s="684"/>
      <c r="FZD84" s="684"/>
      <c r="FZE84" s="684"/>
      <c r="FZF84" s="684"/>
      <c r="FZG84" s="684"/>
      <c r="FZH84" s="684"/>
      <c r="FZI84" s="684"/>
      <c r="FZJ84" s="684"/>
      <c r="FZK84" s="684"/>
      <c r="FZL84" s="684"/>
      <c r="FZM84" s="684"/>
      <c r="FZN84" s="684"/>
      <c r="FZO84" s="684"/>
      <c r="FZP84" s="684"/>
      <c r="FZQ84" s="684"/>
      <c r="FZR84" s="684"/>
      <c r="FZS84" s="684"/>
      <c r="FZT84" s="684"/>
      <c r="FZU84" s="684"/>
      <c r="FZV84" s="684"/>
      <c r="FZW84" s="684"/>
      <c r="FZX84" s="684"/>
      <c r="FZY84" s="684"/>
      <c r="FZZ84" s="684"/>
      <c r="GAA84" s="684"/>
      <c r="GAB84" s="684"/>
      <c r="GAC84" s="684"/>
      <c r="GAD84" s="684"/>
      <c r="GAE84" s="684"/>
      <c r="GAF84" s="684"/>
      <c r="GAG84" s="684"/>
      <c r="GAH84" s="684"/>
      <c r="GAI84" s="684"/>
      <c r="GAJ84" s="684"/>
      <c r="GAK84" s="684"/>
      <c r="GAL84" s="684"/>
      <c r="GAM84" s="684"/>
      <c r="GAN84" s="684"/>
      <c r="GAO84" s="684"/>
      <c r="GAP84" s="684"/>
      <c r="GAQ84" s="684"/>
      <c r="GAR84" s="684"/>
      <c r="GAS84" s="684"/>
      <c r="GAT84" s="684"/>
      <c r="GAU84" s="684"/>
      <c r="GAV84" s="684"/>
      <c r="GAW84" s="684"/>
      <c r="GAX84" s="684"/>
      <c r="GAY84" s="684"/>
      <c r="GAZ84" s="684"/>
      <c r="GBA84" s="684"/>
      <c r="GBB84" s="684"/>
      <c r="GBC84" s="684"/>
      <c r="GBD84" s="684"/>
      <c r="GBE84" s="684"/>
      <c r="GBF84" s="684"/>
      <c r="GBG84" s="684"/>
      <c r="GBH84" s="684"/>
      <c r="GBI84" s="684"/>
      <c r="GBJ84" s="684"/>
      <c r="GBK84" s="684"/>
      <c r="GBL84" s="684"/>
      <c r="GBM84" s="684"/>
      <c r="GBN84" s="684"/>
      <c r="GBO84" s="684"/>
      <c r="GBP84" s="684"/>
      <c r="GBQ84" s="684"/>
      <c r="GBR84" s="684"/>
      <c r="GBS84" s="684"/>
      <c r="GBT84" s="684"/>
      <c r="GBU84" s="684"/>
      <c r="GBV84" s="684"/>
      <c r="GBW84" s="684"/>
      <c r="GBX84" s="684"/>
      <c r="GBY84" s="684"/>
      <c r="GBZ84" s="684"/>
      <c r="GCA84" s="684"/>
      <c r="GCB84" s="684"/>
      <c r="GCC84" s="684"/>
      <c r="GCD84" s="684"/>
      <c r="GCE84" s="684"/>
      <c r="GCF84" s="684"/>
      <c r="GCG84" s="684"/>
      <c r="GCH84" s="684"/>
      <c r="GCI84" s="684"/>
      <c r="GCJ84" s="684"/>
      <c r="GCK84" s="684"/>
      <c r="GCL84" s="684"/>
      <c r="GCM84" s="684"/>
      <c r="GCN84" s="684"/>
      <c r="GCO84" s="684"/>
      <c r="GCP84" s="684"/>
      <c r="GCQ84" s="684"/>
      <c r="GCR84" s="684"/>
      <c r="GCS84" s="684"/>
      <c r="GCT84" s="684"/>
      <c r="GCU84" s="684"/>
      <c r="GCV84" s="684"/>
      <c r="GCW84" s="684"/>
      <c r="GCX84" s="684"/>
      <c r="GCY84" s="684"/>
      <c r="GCZ84" s="684"/>
      <c r="GDA84" s="684"/>
      <c r="GDB84" s="684"/>
      <c r="GDC84" s="684"/>
      <c r="GDD84" s="684"/>
      <c r="GDE84" s="684"/>
      <c r="GDF84" s="684"/>
      <c r="GDG84" s="684"/>
      <c r="GDH84" s="684"/>
      <c r="GDI84" s="684"/>
      <c r="GDJ84" s="684"/>
      <c r="GDK84" s="684"/>
      <c r="GDL84" s="684"/>
      <c r="GDM84" s="684"/>
      <c r="GDN84" s="684"/>
      <c r="GDO84" s="684"/>
      <c r="GDP84" s="684"/>
      <c r="GDQ84" s="684"/>
      <c r="GDR84" s="684"/>
      <c r="GDS84" s="684"/>
      <c r="GDT84" s="684"/>
      <c r="GDU84" s="684"/>
      <c r="GDV84" s="684"/>
      <c r="GDW84" s="684"/>
      <c r="GDX84" s="684"/>
      <c r="GDY84" s="684"/>
      <c r="GDZ84" s="684"/>
      <c r="GEA84" s="684"/>
      <c r="GEB84" s="684"/>
      <c r="GEC84" s="684"/>
      <c r="GED84" s="684"/>
      <c r="GEE84" s="684"/>
      <c r="GEF84" s="684"/>
      <c r="GEG84" s="684"/>
      <c r="GEH84" s="684"/>
      <c r="GEI84" s="684"/>
      <c r="GEJ84" s="684"/>
      <c r="GEK84" s="684"/>
      <c r="GEL84" s="684"/>
      <c r="GEM84" s="684"/>
      <c r="GEN84" s="684"/>
      <c r="GEO84" s="684"/>
      <c r="GEP84" s="684"/>
      <c r="GEQ84" s="684"/>
      <c r="GER84" s="684"/>
      <c r="GES84" s="684"/>
      <c r="GET84" s="684"/>
      <c r="GEU84" s="684"/>
      <c r="GEV84" s="684"/>
      <c r="GEW84" s="684"/>
      <c r="GEX84" s="684"/>
      <c r="GEY84" s="684"/>
      <c r="GEZ84" s="684"/>
      <c r="GFA84" s="684"/>
      <c r="GFB84" s="684"/>
      <c r="GFC84" s="684"/>
      <c r="GFD84" s="684"/>
      <c r="GFE84" s="684"/>
      <c r="GFF84" s="684"/>
      <c r="GFG84" s="684"/>
      <c r="GFH84" s="684"/>
      <c r="GFI84" s="684"/>
      <c r="GFJ84" s="684"/>
      <c r="GFK84" s="684"/>
      <c r="GFL84" s="684"/>
      <c r="GFM84" s="684"/>
      <c r="GFN84" s="684"/>
      <c r="GFO84" s="684"/>
      <c r="GFP84" s="684"/>
      <c r="GFQ84" s="684"/>
      <c r="GFR84" s="684"/>
      <c r="GFS84" s="684"/>
      <c r="GFT84" s="684"/>
      <c r="GFU84" s="684"/>
      <c r="GFV84" s="684"/>
      <c r="GFW84" s="684"/>
      <c r="GFX84" s="684"/>
      <c r="GFY84" s="684"/>
      <c r="GFZ84" s="684"/>
      <c r="GGA84" s="684"/>
      <c r="GGB84" s="684"/>
      <c r="GGC84" s="684"/>
      <c r="GGD84" s="684"/>
      <c r="GGE84" s="684"/>
      <c r="GGF84" s="684"/>
      <c r="GGG84" s="684"/>
      <c r="GGH84" s="684"/>
      <c r="GGI84" s="684"/>
      <c r="GGJ84" s="684"/>
      <c r="GGK84" s="684"/>
      <c r="GGL84" s="684"/>
      <c r="GGM84" s="684"/>
      <c r="GGN84" s="684"/>
      <c r="GGO84" s="684"/>
      <c r="GGP84" s="684"/>
      <c r="GGQ84" s="684"/>
      <c r="GGR84" s="684"/>
      <c r="GGS84" s="684"/>
      <c r="GGT84" s="684"/>
      <c r="GGU84" s="684"/>
      <c r="GGV84" s="684"/>
      <c r="GGW84" s="684"/>
      <c r="GGX84" s="684"/>
      <c r="GGY84" s="684"/>
      <c r="GGZ84" s="684"/>
      <c r="GHA84" s="684"/>
      <c r="GHB84" s="684"/>
      <c r="GHC84" s="684"/>
      <c r="GHD84" s="684"/>
      <c r="GHE84" s="684"/>
      <c r="GHF84" s="684"/>
      <c r="GHG84" s="684"/>
      <c r="GHH84" s="684"/>
      <c r="GHI84" s="684"/>
      <c r="GHJ84" s="684"/>
      <c r="GHK84" s="684"/>
      <c r="GHL84" s="684"/>
      <c r="GHM84" s="684"/>
      <c r="GHN84" s="684"/>
      <c r="GHO84" s="684"/>
      <c r="GHP84" s="684"/>
      <c r="GHQ84" s="684"/>
      <c r="GHR84" s="684"/>
      <c r="GHS84" s="684"/>
      <c r="GHT84" s="684"/>
      <c r="GHU84" s="684"/>
      <c r="GHV84" s="684"/>
      <c r="GHW84" s="684"/>
      <c r="GHX84" s="684"/>
      <c r="GHY84" s="684"/>
      <c r="GHZ84" s="684"/>
      <c r="GIA84" s="684"/>
      <c r="GIB84" s="684"/>
      <c r="GIC84" s="684"/>
      <c r="GID84" s="684"/>
      <c r="GIE84" s="684"/>
      <c r="GIF84" s="684"/>
      <c r="GIG84" s="684"/>
      <c r="GIH84" s="684"/>
      <c r="GII84" s="684"/>
      <c r="GIJ84" s="684"/>
      <c r="GIK84" s="684"/>
      <c r="GIL84" s="684"/>
      <c r="GIM84" s="684"/>
      <c r="GIN84" s="684"/>
      <c r="GIO84" s="684"/>
      <c r="GIP84" s="684"/>
      <c r="GIQ84" s="684"/>
      <c r="GIR84" s="684"/>
      <c r="GIS84" s="684"/>
      <c r="GIT84" s="684"/>
      <c r="GIU84" s="684"/>
      <c r="GIV84" s="684"/>
      <c r="GIW84" s="684"/>
      <c r="GIX84" s="684"/>
      <c r="GIY84" s="684"/>
      <c r="GIZ84" s="684"/>
      <c r="GJA84" s="684"/>
      <c r="GJB84" s="684"/>
      <c r="GJC84" s="684"/>
      <c r="GJD84" s="684"/>
      <c r="GJE84" s="684"/>
      <c r="GJF84" s="684"/>
      <c r="GJG84" s="684"/>
      <c r="GJH84" s="684"/>
      <c r="GJI84" s="684"/>
      <c r="GJJ84" s="684"/>
      <c r="GJK84" s="684"/>
      <c r="GJL84" s="684"/>
      <c r="GJM84" s="684"/>
      <c r="GJN84" s="684"/>
      <c r="GJO84" s="684"/>
      <c r="GJP84" s="684"/>
      <c r="GJQ84" s="684"/>
      <c r="GJR84" s="684"/>
      <c r="GJS84" s="684"/>
      <c r="GJT84" s="684"/>
      <c r="GJU84" s="684"/>
      <c r="GJV84" s="684"/>
      <c r="GJW84" s="684"/>
      <c r="GJX84" s="684"/>
      <c r="GJY84" s="684"/>
      <c r="GJZ84" s="684"/>
      <c r="GKA84" s="684"/>
      <c r="GKB84" s="684"/>
      <c r="GKC84" s="684"/>
      <c r="GKD84" s="684"/>
      <c r="GKE84" s="684"/>
      <c r="GKF84" s="684"/>
      <c r="GKG84" s="684"/>
      <c r="GKH84" s="684"/>
      <c r="GKI84" s="684"/>
      <c r="GKJ84" s="684"/>
      <c r="GKK84" s="684"/>
      <c r="GKL84" s="684"/>
      <c r="GKM84" s="684"/>
      <c r="GKN84" s="684"/>
      <c r="GKO84" s="684"/>
      <c r="GKP84" s="684"/>
      <c r="GKQ84" s="684"/>
      <c r="GKR84" s="684"/>
      <c r="GKS84" s="684"/>
      <c r="GKT84" s="684"/>
      <c r="GKU84" s="684"/>
      <c r="GKV84" s="684"/>
      <c r="GKW84" s="684"/>
      <c r="GKX84" s="684"/>
      <c r="GKY84" s="684"/>
      <c r="GKZ84" s="684"/>
      <c r="GLA84" s="684"/>
      <c r="GLB84" s="684"/>
      <c r="GLC84" s="684"/>
      <c r="GLD84" s="684"/>
      <c r="GLE84" s="684"/>
      <c r="GLF84" s="684"/>
      <c r="GLG84" s="684"/>
      <c r="GLH84" s="684"/>
      <c r="GLI84" s="684"/>
      <c r="GLJ84" s="684"/>
      <c r="GLK84" s="684"/>
      <c r="GLL84" s="684"/>
      <c r="GLM84" s="684"/>
      <c r="GLN84" s="684"/>
      <c r="GLO84" s="684"/>
      <c r="GLP84" s="684"/>
      <c r="GLQ84" s="684"/>
      <c r="GLR84" s="684"/>
      <c r="GLS84" s="684"/>
      <c r="GLT84" s="684"/>
      <c r="GLU84" s="684"/>
      <c r="GLV84" s="684"/>
      <c r="GLW84" s="684"/>
      <c r="GLX84" s="684"/>
      <c r="GLY84" s="684"/>
      <c r="GLZ84" s="684"/>
      <c r="GMA84" s="684"/>
      <c r="GMB84" s="684"/>
      <c r="GMC84" s="684"/>
      <c r="GMD84" s="684"/>
      <c r="GME84" s="684"/>
      <c r="GMF84" s="684"/>
      <c r="GMG84" s="684"/>
      <c r="GMH84" s="684"/>
      <c r="GMI84" s="684"/>
      <c r="GMJ84" s="684"/>
      <c r="GMK84" s="684"/>
      <c r="GML84" s="684"/>
      <c r="GMM84" s="684"/>
      <c r="GMN84" s="684"/>
      <c r="GMO84" s="684"/>
      <c r="GMP84" s="684"/>
      <c r="GMQ84" s="684"/>
      <c r="GMR84" s="684"/>
      <c r="GMS84" s="684"/>
      <c r="GMT84" s="684"/>
      <c r="GMU84" s="684"/>
      <c r="GMV84" s="684"/>
      <c r="GMW84" s="684"/>
      <c r="GMX84" s="684"/>
      <c r="GMY84" s="684"/>
      <c r="GMZ84" s="684"/>
      <c r="GNA84" s="684"/>
      <c r="GNB84" s="684"/>
      <c r="GNC84" s="684"/>
      <c r="GND84" s="684"/>
      <c r="GNE84" s="684"/>
      <c r="GNF84" s="684"/>
      <c r="GNG84" s="684"/>
      <c r="GNH84" s="684"/>
      <c r="GNI84" s="684"/>
      <c r="GNJ84" s="684"/>
      <c r="GNK84" s="684"/>
      <c r="GNL84" s="684"/>
      <c r="GNM84" s="684"/>
      <c r="GNN84" s="684"/>
      <c r="GNO84" s="684"/>
      <c r="GNP84" s="684"/>
      <c r="GNQ84" s="684"/>
      <c r="GNR84" s="684"/>
      <c r="GNS84" s="684"/>
      <c r="GNT84" s="684"/>
      <c r="GNU84" s="684"/>
      <c r="GNV84" s="684"/>
      <c r="GNW84" s="684"/>
      <c r="GNX84" s="684"/>
      <c r="GNY84" s="684"/>
      <c r="GNZ84" s="684"/>
      <c r="GOA84" s="684"/>
      <c r="GOB84" s="684"/>
      <c r="GOC84" s="684"/>
      <c r="GOD84" s="684"/>
      <c r="GOE84" s="684"/>
      <c r="GOF84" s="684"/>
      <c r="GOG84" s="684"/>
      <c r="GOH84" s="684"/>
      <c r="GOI84" s="684"/>
      <c r="GOJ84" s="684"/>
      <c r="GOK84" s="684"/>
      <c r="GOL84" s="684"/>
      <c r="GOM84" s="684"/>
      <c r="GON84" s="684"/>
      <c r="GOO84" s="684"/>
      <c r="GOP84" s="684"/>
      <c r="GOQ84" s="684"/>
      <c r="GOR84" s="684"/>
      <c r="GOS84" s="684"/>
      <c r="GOT84" s="684"/>
      <c r="GOU84" s="684"/>
      <c r="GOV84" s="684"/>
      <c r="GOW84" s="684"/>
      <c r="GOX84" s="684"/>
      <c r="GOY84" s="684"/>
      <c r="GOZ84" s="684"/>
      <c r="GPA84" s="684"/>
      <c r="GPB84" s="684"/>
      <c r="GPC84" s="684"/>
      <c r="GPD84" s="684"/>
      <c r="GPE84" s="684"/>
      <c r="GPF84" s="684"/>
      <c r="GPG84" s="684"/>
      <c r="GPH84" s="684"/>
      <c r="GPI84" s="684"/>
      <c r="GPJ84" s="684"/>
      <c r="GPK84" s="684"/>
      <c r="GPL84" s="684"/>
      <c r="GPM84" s="684"/>
      <c r="GPN84" s="684"/>
      <c r="GPO84" s="684"/>
      <c r="GPP84" s="684"/>
      <c r="GPQ84" s="684"/>
      <c r="GPR84" s="684"/>
      <c r="GPS84" s="684"/>
      <c r="GPT84" s="684"/>
      <c r="GPU84" s="684"/>
      <c r="GPV84" s="684"/>
      <c r="GPW84" s="684"/>
      <c r="GPX84" s="684"/>
      <c r="GPY84" s="684"/>
      <c r="GPZ84" s="684"/>
      <c r="GQA84" s="684"/>
      <c r="GQB84" s="684"/>
      <c r="GQC84" s="684"/>
      <c r="GQD84" s="684"/>
      <c r="GQE84" s="684"/>
      <c r="GQF84" s="684"/>
      <c r="GQG84" s="684"/>
      <c r="GQH84" s="684"/>
      <c r="GQI84" s="684"/>
      <c r="GQJ84" s="684"/>
      <c r="GQK84" s="684"/>
      <c r="GQL84" s="684"/>
      <c r="GQM84" s="684"/>
      <c r="GQN84" s="684"/>
      <c r="GQO84" s="684"/>
      <c r="GQP84" s="684"/>
      <c r="GQQ84" s="684"/>
      <c r="GQR84" s="684"/>
      <c r="GQS84" s="684"/>
      <c r="GQT84" s="684"/>
      <c r="GQU84" s="684"/>
      <c r="GQV84" s="684"/>
      <c r="GQW84" s="684"/>
      <c r="GQX84" s="684"/>
      <c r="GQY84" s="684"/>
      <c r="GQZ84" s="684"/>
      <c r="GRA84" s="684"/>
      <c r="GRB84" s="684"/>
      <c r="GRC84" s="684"/>
      <c r="GRD84" s="684"/>
      <c r="GRE84" s="684"/>
      <c r="GRF84" s="684"/>
      <c r="GRG84" s="684"/>
      <c r="GRH84" s="684"/>
      <c r="GRI84" s="684"/>
      <c r="GRJ84" s="684"/>
      <c r="GRK84" s="684"/>
      <c r="GRL84" s="684"/>
      <c r="GRM84" s="684"/>
      <c r="GRN84" s="684"/>
      <c r="GRO84" s="684"/>
      <c r="GRP84" s="684"/>
      <c r="GRQ84" s="684"/>
      <c r="GRR84" s="684"/>
      <c r="GRS84" s="684"/>
      <c r="GRT84" s="684"/>
      <c r="GRU84" s="684"/>
      <c r="GRV84" s="684"/>
      <c r="GRW84" s="684"/>
      <c r="GRX84" s="684"/>
      <c r="GRY84" s="684"/>
      <c r="GRZ84" s="684"/>
      <c r="GSA84" s="684"/>
      <c r="GSB84" s="684"/>
      <c r="GSC84" s="684"/>
      <c r="GSD84" s="684"/>
      <c r="GSE84" s="684"/>
      <c r="GSF84" s="684"/>
      <c r="GSG84" s="684"/>
      <c r="GSH84" s="684"/>
      <c r="GSI84" s="684"/>
      <c r="GSJ84" s="684"/>
      <c r="GSK84" s="684"/>
      <c r="GSL84" s="684"/>
      <c r="GSM84" s="684"/>
      <c r="GSN84" s="684"/>
      <c r="GSO84" s="684"/>
      <c r="GSP84" s="684"/>
      <c r="GSQ84" s="684"/>
      <c r="GSR84" s="684"/>
      <c r="GSS84" s="684"/>
      <c r="GST84" s="684"/>
      <c r="GSU84" s="684"/>
      <c r="GSV84" s="684"/>
      <c r="GSW84" s="684"/>
      <c r="GSX84" s="684"/>
      <c r="GSY84" s="684"/>
      <c r="GSZ84" s="684"/>
      <c r="GTA84" s="684"/>
      <c r="GTB84" s="684"/>
      <c r="GTC84" s="684"/>
      <c r="GTD84" s="684"/>
      <c r="GTE84" s="684"/>
      <c r="GTF84" s="684"/>
      <c r="GTG84" s="684"/>
      <c r="GTH84" s="684"/>
      <c r="GTI84" s="684"/>
      <c r="GTJ84" s="684"/>
      <c r="GTK84" s="684"/>
      <c r="GTL84" s="684"/>
      <c r="GTM84" s="684"/>
      <c r="GTN84" s="684"/>
      <c r="GTO84" s="684"/>
      <c r="GTP84" s="684"/>
      <c r="GTQ84" s="684"/>
      <c r="GTR84" s="684"/>
      <c r="GTS84" s="684"/>
      <c r="GTT84" s="684"/>
      <c r="GTU84" s="684"/>
      <c r="GTV84" s="684"/>
      <c r="GTW84" s="684"/>
      <c r="GTX84" s="684"/>
      <c r="GTY84" s="684"/>
      <c r="GTZ84" s="684"/>
      <c r="GUA84" s="684"/>
      <c r="GUB84" s="684"/>
      <c r="GUC84" s="684"/>
      <c r="GUD84" s="684"/>
      <c r="GUE84" s="684"/>
      <c r="GUF84" s="684"/>
      <c r="GUG84" s="684"/>
      <c r="GUH84" s="684"/>
      <c r="GUI84" s="684"/>
      <c r="GUJ84" s="684"/>
      <c r="GUK84" s="684"/>
      <c r="GUL84" s="684"/>
      <c r="GUM84" s="684"/>
      <c r="GUN84" s="684"/>
      <c r="GUO84" s="684"/>
      <c r="GUP84" s="684"/>
      <c r="GUQ84" s="684"/>
      <c r="GUR84" s="684"/>
      <c r="GUS84" s="684"/>
      <c r="GUT84" s="684"/>
      <c r="GUU84" s="684"/>
      <c r="GUV84" s="684"/>
      <c r="GUW84" s="684"/>
      <c r="GUX84" s="684"/>
      <c r="GUY84" s="684"/>
      <c r="GUZ84" s="684"/>
      <c r="GVA84" s="684"/>
      <c r="GVB84" s="684"/>
      <c r="GVC84" s="684"/>
      <c r="GVD84" s="684"/>
      <c r="GVE84" s="684"/>
      <c r="GVF84" s="684"/>
      <c r="GVG84" s="684"/>
      <c r="GVH84" s="684"/>
      <c r="GVI84" s="684"/>
      <c r="GVJ84" s="684"/>
      <c r="GVK84" s="684"/>
      <c r="GVL84" s="684"/>
      <c r="GVM84" s="684"/>
      <c r="GVN84" s="684"/>
      <c r="GVO84" s="684"/>
      <c r="GVP84" s="684"/>
      <c r="GVQ84" s="684"/>
      <c r="GVR84" s="684"/>
      <c r="GVS84" s="684"/>
      <c r="GVT84" s="684"/>
      <c r="GVU84" s="684"/>
      <c r="GVV84" s="684"/>
      <c r="GVW84" s="684"/>
      <c r="GVX84" s="684"/>
      <c r="GVY84" s="684"/>
      <c r="GVZ84" s="684"/>
      <c r="GWA84" s="684"/>
      <c r="GWB84" s="684"/>
      <c r="GWC84" s="684"/>
      <c r="GWD84" s="684"/>
      <c r="GWE84" s="684"/>
      <c r="GWF84" s="684"/>
      <c r="GWG84" s="684"/>
      <c r="GWH84" s="684"/>
      <c r="GWI84" s="684"/>
      <c r="GWJ84" s="684"/>
      <c r="GWK84" s="684"/>
      <c r="GWL84" s="684"/>
      <c r="GWM84" s="684"/>
      <c r="GWN84" s="684"/>
      <c r="GWO84" s="684"/>
      <c r="GWP84" s="684"/>
      <c r="GWQ84" s="684"/>
      <c r="GWR84" s="684"/>
      <c r="GWS84" s="684"/>
      <c r="GWT84" s="684"/>
      <c r="GWU84" s="684"/>
      <c r="GWV84" s="684"/>
      <c r="GWW84" s="684"/>
      <c r="GWX84" s="684"/>
      <c r="GWY84" s="684"/>
      <c r="GWZ84" s="684"/>
      <c r="GXA84" s="684"/>
      <c r="GXB84" s="684"/>
      <c r="GXC84" s="684"/>
      <c r="GXD84" s="684"/>
      <c r="GXE84" s="684"/>
      <c r="GXF84" s="684"/>
      <c r="GXG84" s="684"/>
      <c r="GXH84" s="684"/>
      <c r="GXI84" s="684"/>
      <c r="GXJ84" s="684"/>
      <c r="GXK84" s="684"/>
      <c r="GXL84" s="684"/>
      <c r="GXM84" s="684"/>
      <c r="GXN84" s="684"/>
      <c r="GXO84" s="684"/>
      <c r="GXP84" s="684"/>
      <c r="GXQ84" s="684"/>
      <c r="GXR84" s="684"/>
      <c r="GXS84" s="684"/>
      <c r="GXT84" s="684"/>
      <c r="GXU84" s="684"/>
      <c r="GXV84" s="684"/>
      <c r="GXW84" s="684"/>
      <c r="GXX84" s="684"/>
      <c r="GXY84" s="684"/>
      <c r="GXZ84" s="684"/>
      <c r="GYA84" s="684"/>
      <c r="GYB84" s="684"/>
      <c r="GYC84" s="684"/>
      <c r="GYD84" s="684"/>
      <c r="GYE84" s="684"/>
      <c r="GYF84" s="684"/>
      <c r="GYG84" s="684"/>
      <c r="GYH84" s="684"/>
      <c r="GYI84" s="684"/>
      <c r="GYJ84" s="684"/>
      <c r="GYK84" s="684"/>
      <c r="GYL84" s="684"/>
      <c r="GYM84" s="684"/>
      <c r="GYN84" s="684"/>
      <c r="GYO84" s="684"/>
      <c r="GYP84" s="684"/>
      <c r="GYQ84" s="684"/>
      <c r="GYR84" s="684"/>
      <c r="GYS84" s="684"/>
      <c r="GYT84" s="684"/>
      <c r="GYU84" s="684"/>
      <c r="GYV84" s="684"/>
      <c r="GYW84" s="684"/>
      <c r="GYX84" s="684"/>
      <c r="GYY84" s="684"/>
      <c r="GYZ84" s="684"/>
      <c r="GZA84" s="684"/>
      <c r="GZB84" s="684"/>
      <c r="GZC84" s="684"/>
      <c r="GZD84" s="684"/>
      <c r="GZE84" s="684"/>
      <c r="GZF84" s="684"/>
      <c r="GZG84" s="684"/>
      <c r="GZH84" s="684"/>
      <c r="GZI84" s="684"/>
      <c r="GZJ84" s="684"/>
      <c r="GZK84" s="684"/>
      <c r="GZL84" s="684"/>
      <c r="GZM84" s="684"/>
      <c r="GZN84" s="684"/>
      <c r="GZO84" s="684"/>
      <c r="GZP84" s="684"/>
      <c r="GZQ84" s="684"/>
      <c r="GZR84" s="684"/>
      <c r="GZS84" s="684"/>
      <c r="GZT84" s="684"/>
      <c r="GZU84" s="684"/>
      <c r="GZV84" s="684"/>
      <c r="GZW84" s="684"/>
      <c r="GZX84" s="684"/>
      <c r="GZY84" s="684"/>
      <c r="GZZ84" s="684"/>
      <c r="HAA84" s="684"/>
      <c r="HAB84" s="684"/>
      <c r="HAC84" s="684"/>
      <c r="HAD84" s="684"/>
      <c r="HAE84" s="684"/>
      <c r="HAF84" s="684"/>
      <c r="HAG84" s="684"/>
      <c r="HAH84" s="684"/>
      <c r="HAI84" s="684"/>
      <c r="HAJ84" s="684"/>
      <c r="HAK84" s="684"/>
      <c r="HAL84" s="684"/>
      <c r="HAM84" s="684"/>
      <c r="HAN84" s="684"/>
      <c r="HAO84" s="684"/>
      <c r="HAP84" s="684"/>
      <c r="HAQ84" s="684"/>
      <c r="HAR84" s="684"/>
      <c r="HAS84" s="684"/>
      <c r="HAT84" s="684"/>
      <c r="HAU84" s="684"/>
      <c r="HAV84" s="684"/>
      <c r="HAW84" s="684"/>
      <c r="HAX84" s="684"/>
      <c r="HAY84" s="684"/>
      <c r="HAZ84" s="684"/>
      <c r="HBA84" s="684"/>
      <c r="HBB84" s="684"/>
      <c r="HBC84" s="684"/>
      <c r="HBD84" s="684"/>
      <c r="HBE84" s="684"/>
      <c r="HBF84" s="684"/>
      <c r="HBG84" s="684"/>
      <c r="HBH84" s="684"/>
      <c r="HBI84" s="684"/>
      <c r="HBJ84" s="684"/>
      <c r="HBK84" s="684"/>
      <c r="HBL84" s="684"/>
      <c r="HBM84" s="684"/>
      <c r="HBN84" s="684"/>
      <c r="HBO84" s="684"/>
      <c r="HBP84" s="684"/>
      <c r="HBQ84" s="684"/>
      <c r="HBR84" s="684"/>
      <c r="HBS84" s="684"/>
      <c r="HBT84" s="684"/>
      <c r="HBU84" s="684"/>
      <c r="HBV84" s="684"/>
      <c r="HBW84" s="684"/>
      <c r="HBX84" s="684"/>
      <c r="HBY84" s="684"/>
      <c r="HBZ84" s="684"/>
      <c r="HCA84" s="684"/>
      <c r="HCB84" s="684"/>
      <c r="HCC84" s="684"/>
      <c r="HCD84" s="684"/>
      <c r="HCE84" s="684"/>
      <c r="HCF84" s="684"/>
      <c r="HCG84" s="684"/>
      <c r="HCH84" s="684"/>
      <c r="HCI84" s="684"/>
      <c r="HCJ84" s="684"/>
      <c r="HCK84" s="684"/>
      <c r="HCL84" s="684"/>
      <c r="HCM84" s="684"/>
      <c r="HCN84" s="684"/>
      <c r="HCO84" s="684"/>
      <c r="HCP84" s="684"/>
      <c r="HCQ84" s="684"/>
      <c r="HCR84" s="684"/>
      <c r="HCS84" s="684"/>
      <c r="HCT84" s="684"/>
      <c r="HCU84" s="684"/>
      <c r="HCV84" s="684"/>
      <c r="HCW84" s="684"/>
      <c r="HCX84" s="684"/>
      <c r="HCY84" s="684"/>
      <c r="HCZ84" s="684"/>
      <c r="HDA84" s="684"/>
      <c r="HDB84" s="684"/>
      <c r="HDC84" s="684"/>
      <c r="HDD84" s="684"/>
      <c r="HDE84" s="684"/>
      <c r="HDF84" s="684"/>
      <c r="HDG84" s="684"/>
      <c r="HDH84" s="684"/>
      <c r="HDI84" s="684"/>
      <c r="HDJ84" s="684"/>
      <c r="HDK84" s="684"/>
      <c r="HDL84" s="684"/>
      <c r="HDM84" s="684"/>
      <c r="HDN84" s="684"/>
      <c r="HDO84" s="684"/>
      <c r="HDP84" s="684"/>
      <c r="HDQ84" s="684"/>
      <c r="HDR84" s="684"/>
      <c r="HDS84" s="684"/>
      <c r="HDT84" s="684"/>
      <c r="HDU84" s="684"/>
      <c r="HDV84" s="684"/>
      <c r="HDW84" s="684"/>
      <c r="HDX84" s="684"/>
      <c r="HDY84" s="684"/>
      <c r="HDZ84" s="684"/>
      <c r="HEA84" s="684"/>
      <c r="HEB84" s="684"/>
      <c r="HEC84" s="684"/>
      <c r="HED84" s="684"/>
      <c r="HEE84" s="684"/>
      <c r="HEF84" s="684"/>
      <c r="HEG84" s="684"/>
      <c r="HEH84" s="684"/>
      <c r="HEI84" s="684"/>
      <c r="HEJ84" s="684"/>
      <c r="HEK84" s="684"/>
      <c r="HEL84" s="684"/>
      <c r="HEM84" s="684"/>
      <c r="HEN84" s="684"/>
      <c r="HEO84" s="684"/>
      <c r="HEP84" s="684"/>
      <c r="HEQ84" s="684"/>
      <c r="HER84" s="684"/>
      <c r="HES84" s="684"/>
      <c r="HET84" s="684"/>
      <c r="HEU84" s="684"/>
      <c r="HEV84" s="684"/>
      <c r="HEW84" s="684"/>
      <c r="HEX84" s="684"/>
      <c r="HEY84" s="684"/>
      <c r="HEZ84" s="684"/>
      <c r="HFA84" s="684"/>
      <c r="HFB84" s="684"/>
      <c r="HFC84" s="684"/>
      <c r="HFD84" s="684"/>
      <c r="HFE84" s="684"/>
      <c r="HFF84" s="684"/>
      <c r="HFG84" s="684"/>
      <c r="HFH84" s="684"/>
      <c r="HFI84" s="684"/>
      <c r="HFJ84" s="684"/>
      <c r="HFK84" s="684"/>
      <c r="HFL84" s="684"/>
      <c r="HFM84" s="684"/>
      <c r="HFN84" s="684"/>
      <c r="HFO84" s="684"/>
      <c r="HFP84" s="684"/>
      <c r="HFQ84" s="684"/>
      <c r="HFR84" s="684"/>
      <c r="HFS84" s="684"/>
      <c r="HFT84" s="684"/>
      <c r="HFU84" s="684"/>
      <c r="HFV84" s="684"/>
      <c r="HFW84" s="684"/>
      <c r="HFX84" s="684"/>
      <c r="HFY84" s="684"/>
      <c r="HFZ84" s="684"/>
      <c r="HGA84" s="684"/>
      <c r="HGB84" s="684"/>
      <c r="HGC84" s="684"/>
      <c r="HGD84" s="684"/>
      <c r="HGE84" s="684"/>
      <c r="HGF84" s="684"/>
      <c r="HGG84" s="684"/>
      <c r="HGH84" s="684"/>
      <c r="HGI84" s="684"/>
      <c r="HGJ84" s="684"/>
      <c r="HGK84" s="684"/>
      <c r="HGL84" s="684"/>
      <c r="HGM84" s="684"/>
      <c r="HGN84" s="684"/>
      <c r="HGO84" s="684"/>
      <c r="HGP84" s="684"/>
      <c r="HGQ84" s="684"/>
      <c r="HGR84" s="684"/>
      <c r="HGS84" s="684"/>
      <c r="HGT84" s="684"/>
      <c r="HGU84" s="684"/>
      <c r="HGV84" s="684"/>
      <c r="HGW84" s="684"/>
      <c r="HGX84" s="684"/>
      <c r="HGY84" s="684"/>
      <c r="HGZ84" s="684"/>
      <c r="HHA84" s="684"/>
      <c r="HHB84" s="684"/>
      <c r="HHC84" s="684"/>
      <c r="HHD84" s="684"/>
      <c r="HHE84" s="684"/>
      <c r="HHF84" s="684"/>
      <c r="HHG84" s="684"/>
      <c r="HHH84" s="684"/>
      <c r="HHI84" s="684"/>
      <c r="HHJ84" s="684"/>
      <c r="HHK84" s="684"/>
      <c r="HHL84" s="684"/>
      <c r="HHM84" s="684"/>
      <c r="HHN84" s="684"/>
      <c r="HHO84" s="684"/>
      <c r="HHP84" s="684"/>
      <c r="HHQ84" s="684"/>
      <c r="HHR84" s="684"/>
      <c r="HHS84" s="684"/>
      <c r="HHT84" s="684"/>
      <c r="HHU84" s="684"/>
      <c r="HHV84" s="684"/>
      <c r="HHW84" s="684"/>
      <c r="HHX84" s="684"/>
      <c r="HHY84" s="684"/>
      <c r="HHZ84" s="684"/>
      <c r="HIA84" s="684"/>
      <c r="HIB84" s="684"/>
      <c r="HIC84" s="684"/>
      <c r="HID84" s="684"/>
      <c r="HIE84" s="684"/>
      <c r="HIF84" s="684"/>
      <c r="HIG84" s="684"/>
      <c r="HIH84" s="684"/>
      <c r="HII84" s="684"/>
      <c r="HIJ84" s="684"/>
      <c r="HIK84" s="684"/>
      <c r="HIL84" s="684"/>
      <c r="HIM84" s="684"/>
      <c r="HIN84" s="684"/>
      <c r="HIO84" s="684"/>
      <c r="HIP84" s="684"/>
      <c r="HIQ84" s="684"/>
      <c r="HIR84" s="684"/>
      <c r="HIS84" s="684"/>
      <c r="HIT84" s="684"/>
      <c r="HIU84" s="684"/>
      <c r="HIV84" s="684"/>
      <c r="HIW84" s="684"/>
      <c r="HIX84" s="684"/>
      <c r="HIY84" s="684"/>
      <c r="HIZ84" s="684"/>
      <c r="HJA84" s="684"/>
      <c r="HJB84" s="684"/>
      <c r="HJC84" s="684"/>
      <c r="HJD84" s="684"/>
      <c r="HJE84" s="684"/>
      <c r="HJF84" s="684"/>
      <c r="HJG84" s="684"/>
      <c r="HJH84" s="684"/>
      <c r="HJI84" s="684"/>
      <c r="HJJ84" s="684"/>
      <c r="HJK84" s="684"/>
      <c r="HJL84" s="684"/>
      <c r="HJM84" s="684"/>
      <c r="HJN84" s="684"/>
      <c r="HJO84" s="684"/>
      <c r="HJP84" s="684"/>
      <c r="HJQ84" s="684"/>
      <c r="HJR84" s="684"/>
      <c r="HJS84" s="684"/>
      <c r="HJT84" s="684"/>
      <c r="HJU84" s="684"/>
      <c r="HJV84" s="684"/>
      <c r="HJW84" s="684"/>
      <c r="HJX84" s="684"/>
      <c r="HJY84" s="684"/>
      <c r="HJZ84" s="684"/>
      <c r="HKA84" s="684"/>
      <c r="HKB84" s="684"/>
      <c r="HKC84" s="684"/>
      <c r="HKD84" s="684"/>
      <c r="HKE84" s="684"/>
      <c r="HKF84" s="684"/>
      <c r="HKG84" s="684"/>
      <c r="HKH84" s="684"/>
      <c r="HKI84" s="684"/>
      <c r="HKJ84" s="684"/>
      <c r="HKK84" s="684"/>
      <c r="HKL84" s="684"/>
      <c r="HKM84" s="684"/>
      <c r="HKN84" s="684"/>
      <c r="HKO84" s="684"/>
      <c r="HKP84" s="684"/>
      <c r="HKQ84" s="684"/>
      <c r="HKR84" s="684"/>
      <c r="HKS84" s="684"/>
      <c r="HKT84" s="684"/>
      <c r="HKU84" s="684"/>
      <c r="HKV84" s="684"/>
      <c r="HKW84" s="684"/>
      <c r="HKX84" s="684"/>
      <c r="HKY84" s="684"/>
      <c r="HKZ84" s="684"/>
      <c r="HLA84" s="684"/>
      <c r="HLB84" s="684"/>
      <c r="HLC84" s="684"/>
      <c r="HLD84" s="684"/>
      <c r="HLE84" s="684"/>
      <c r="HLF84" s="684"/>
      <c r="HLG84" s="684"/>
      <c r="HLH84" s="684"/>
      <c r="HLI84" s="684"/>
      <c r="HLJ84" s="684"/>
      <c r="HLK84" s="684"/>
      <c r="HLL84" s="684"/>
      <c r="HLM84" s="684"/>
      <c r="HLN84" s="684"/>
      <c r="HLO84" s="684"/>
      <c r="HLP84" s="684"/>
      <c r="HLQ84" s="684"/>
      <c r="HLR84" s="684"/>
      <c r="HLS84" s="684"/>
      <c r="HLT84" s="684"/>
      <c r="HLU84" s="684"/>
      <c r="HLV84" s="684"/>
      <c r="HLW84" s="684"/>
      <c r="HLX84" s="684"/>
      <c r="HLY84" s="684"/>
      <c r="HLZ84" s="684"/>
      <c r="HMA84" s="684"/>
      <c r="HMB84" s="684"/>
      <c r="HMC84" s="684"/>
      <c r="HMD84" s="684"/>
      <c r="HME84" s="684"/>
      <c r="HMF84" s="684"/>
      <c r="HMG84" s="684"/>
      <c r="HMH84" s="684"/>
      <c r="HMI84" s="684"/>
      <c r="HMJ84" s="684"/>
      <c r="HMK84" s="684"/>
      <c r="HML84" s="684"/>
      <c r="HMM84" s="684"/>
      <c r="HMN84" s="684"/>
      <c r="HMO84" s="684"/>
      <c r="HMP84" s="684"/>
      <c r="HMQ84" s="684"/>
      <c r="HMR84" s="684"/>
      <c r="HMS84" s="684"/>
      <c r="HMT84" s="684"/>
      <c r="HMU84" s="684"/>
      <c r="HMV84" s="684"/>
      <c r="HMW84" s="684"/>
      <c r="HMX84" s="684"/>
      <c r="HMY84" s="684"/>
      <c r="HMZ84" s="684"/>
      <c r="HNA84" s="684"/>
      <c r="HNB84" s="684"/>
      <c r="HNC84" s="684"/>
      <c r="HND84" s="684"/>
      <c r="HNE84" s="684"/>
      <c r="HNF84" s="684"/>
      <c r="HNG84" s="684"/>
      <c r="HNH84" s="684"/>
      <c r="HNI84" s="684"/>
      <c r="HNJ84" s="684"/>
      <c r="HNK84" s="684"/>
      <c r="HNL84" s="684"/>
      <c r="HNM84" s="684"/>
      <c r="HNN84" s="684"/>
      <c r="HNO84" s="684"/>
      <c r="HNP84" s="684"/>
      <c r="HNQ84" s="684"/>
      <c r="HNR84" s="684"/>
      <c r="HNS84" s="684"/>
      <c r="HNT84" s="684"/>
      <c r="HNU84" s="684"/>
      <c r="HNV84" s="684"/>
      <c r="HNW84" s="684"/>
      <c r="HNX84" s="684"/>
      <c r="HNY84" s="684"/>
      <c r="HNZ84" s="684"/>
      <c r="HOA84" s="684"/>
      <c r="HOB84" s="684"/>
      <c r="HOC84" s="684"/>
      <c r="HOD84" s="684"/>
      <c r="HOE84" s="684"/>
      <c r="HOF84" s="684"/>
      <c r="HOG84" s="684"/>
      <c r="HOH84" s="684"/>
      <c r="HOI84" s="684"/>
      <c r="HOJ84" s="684"/>
      <c r="HOK84" s="684"/>
      <c r="HOL84" s="684"/>
      <c r="HOM84" s="684"/>
      <c r="HON84" s="684"/>
      <c r="HOO84" s="684"/>
      <c r="HOP84" s="684"/>
      <c r="HOQ84" s="684"/>
      <c r="HOR84" s="684"/>
      <c r="HOS84" s="684"/>
      <c r="HOT84" s="684"/>
      <c r="HOU84" s="684"/>
      <c r="HOV84" s="684"/>
      <c r="HOW84" s="684"/>
      <c r="HOX84" s="684"/>
      <c r="HOY84" s="684"/>
      <c r="HOZ84" s="684"/>
      <c r="HPA84" s="684"/>
      <c r="HPB84" s="684"/>
      <c r="HPC84" s="684"/>
      <c r="HPD84" s="684"/>
      <c r="HPE84" s="684"/>
      <c r="HPF84" s="684"/>
      <c r="HPG84" s="684"/>
      <c r="HPH84" s="684"/>
      <c r="HPI84" s="684"/>
      <c r="HPJ84" s="684"/>
      <c r="HPK84" s="684"/>
      <c r="HPL84" s="684"/>
      <c r="HPM84" s="684"/>
      <c r="HPN84" s="684"/>
      <c r="HPO84" s="684"/>
      <c r="HPP84" s="684"/>
      <c r="HPQ84" s="684"/>
      <c r="HPR84" s="684"/>
      <c r="HPS84" s="684"/>
      <c r="HPT84" s="684"/>
      <c r="HPU84" s="684"/>
      <c r="HPV84" s="684"/>
      <c r="HPW84" s="684"/>
      <c r="HPX84" s="684"/>
      <c r="HPY84" s="684"/>
      <c r="HPZ84" s="684"/>
      <c r="HQA84" s="684"/>
      <c r="HQB84" s="684"/>
      <c r="HQC84" s="684"/>
      <c r="HQD84" s="684"/>
      <c r="HQE84" s="684"/>
      <c r="HQF84" s="684"/>
      <c r="HQG84" s="684"/>
      <c r="HQH84" s="684"/>
      <c r="HQI84" s="684"/>
      <c r="HQJ84" s="684"/>
      <c r="HQK84" s="684"/>
      <c r="HQL84" s="684"/>
      <c r="HQM84" s="684"/>
      <c r="HQN84" s="684"/>
      <c r="HQO84" s="684"/>
      <c r="HQP84" s="684"/>
      <c r="HQQ84" s="684"/>
      <c r="HQR84" s="684"/>
      <c r="HQS84" s="684"/>
      <c r="HQT84" s="684"/>
      <c r="HQU84" s="684"/>
      <c r="HQV84" s="684"/>
      <c r="HQW84" s="684"/>
      <c r="HQX84" s="684"/>
      <c r="HQY84" s="684"/>
      <c r="HQZ84" s="684"/>
      <c r="HRA84" s="684"/>
      <c r="HRB84" s="684"/>
      <c r="HRC84" s="684"/>
      <c r="HRD84" s="684"/>
      <c r="HRE84" s="684"/>
      <c r="HRF84" s="684"/>
      <c r="HRG84" s="684"/>
      <c r="HRH84" s="684"/>
      <c r="HRI84" s="684"/>
      <c r="HRJ84" s="684"/>
      <c r="HRK84" s="684"/>
      <c r="HRL84" s="684"/>
      <c r="HRM84" s="684"/>
      <c r="HRN84" s="684"/>
      <c r="HRO84" s="684"/>
      <c r="HRP84" s="684"/>
      <c r="HRQ84" s="684"/>
      <c r="HRR84" s="684"/>
      <c r="HRS84" s="684"/>
      <c r="HRT84" s="684"/>
      <c r="HRU84" s="684"/>
      <c r="HRV84" s="684"/>
      <c r="HRW84" s="684"/>
      <c r="HRX84" s="684"/>
      <c r="HRY84" s="684"/>
      <c r="HRZ84" s="684"/>
      <c r="HSA84" s="684"/>
      <c r="HSB84" s="684"/>
      <c r="HSC84" s="684"/>
      <c r="HSD84" s="684"/>
      <c r="HSE84" s="684"/>
      <c r="HSF84" s="684"/>
      <c r="HSG84" s="684"/>
      <c r="HSH84" s="684"/>
      <c r="HSI84" s="684"/>
      <c r="HSJ84" s="684"/>
      <c r="HSK84" s="684"/>
      <c r="HSL84" s="684"/>
      <c r="HSM84" s="684"/>
      <c r="HSN84" s="684"/>
      <c r="HSO84" s="684"/>
      <c r="HSP84" s="684"/>
      <c r="HSQ84" s="684"/>
      <c r="HSR84" s="684"/>
      <c r="HSS84" s="684"/>
      <c r="HST84" s="684"/>
      <c r="HSU84" s="684"/>
      <c r="HSV84" s="684"/>
      <c r="HSW84" s="684"/>
      <c r="HSX84" s="684"/>
      <c r="HSY84" s="684"/>
      <c r="HSZ84" s="684"/>
      <c r="HTA84" s="684"/>
      <c r="HTB84" s="684"/>
      <c r="HTC84" s="684"/>
      <c r="HTD84" s="684"/>
      <c r="HTE84" s="684"/>
      <c r="HTF84" s="684"/>
      <c r="HTG84" s="684"/>
      <c r="HTH84" s="684"/>
      <c r="HTI84" s="684"/>
      <c r="HTJ84" s="684"/>
      <c r="HTK84" s="684"/>
      <c r="HTL84" s="684"/>
      <c r="HTM84" s="684"/>
      <c r="HTN84" s="684"/>
      <c r="HTO84" s="684"/>
      <c r="HTP84" s="684"/>
      <c r="HTQ84" s="684"/>
      <c r="HTR84" s="684"/>
      <c r="HTS84" s="684"/>
      <c r="HTT84" s="684"/>
      <c r="HTU84" s="684"/>
      <c r="HTV84" s="684"/>
      <c r="HTW84" s="684"/>
      <c r="HTX84" s="684"/>
      <c r="HTY84" s="684"/>
      <c r="HTZ84" s="684"/>
      <c r="HUA84" s="684"/>
      <c r="HUB84" s="684"/>
      <c r="HUC84" s="684"/>
      <c r="HUD84" s="684"/>
      <c r="HUE84" s="684"/>
      <c r="HUF84" s="684"/>
      <c r="HUG84" s="684"/>
      <c r="HUH84" s="684"/>
      <c r="HUI84" s="684"/>
      <c r="HUJ84" s="684"/>
      <c r="HUK84" s="684"/>
      <c r="HUL84" s="684"/>
      <c r="HUM84" s="684"/>
      <c r="HUN84" s="684"/>
      <c r="HUO84" s="684"/>
      <c r="HUP84" s="684"/>
      <c r="HUQ84" s="684"/>
      <c r="HUR84" s="684"/>
      <c r="HUS84" s="684"/>
      <c r="HUT84" s="684"/>
      <c r="HUU84" s="684"/>
      <c r="HUV84" s="684"/>
      <c r="HUW84" s="684"/>
      <c r="HUX84" s="684"/>
      <c r="HUY84" s="684"/>
      <c r="HUZ84" s="684"/>
      <c r="HVA84" s="684"/>
      <c r="HVB84" s="684"/>
      <c r="HVC84" s="684"/>
      <c r="HVD84" s="684"/>
      <c r="HVE84" s="684"/>
      <c r="HVF84" s="684"/>
      <c r="HVG84" s="684"/>
      <c r="HVH84" s="684"/>
      <c r="HVI84" s="684"/>
      <c r="HVJ84" s="684"/>
      <c r="HVK84" s="684"/>
      <c r="HVL84" s="684"/>
      <c r="HVM84" s="684"/>
      <c r="HVN84" s="684"/>
      <c r="HVO84" s="684"/>
      <c r="HVP84" s="684"/>
      <c r="HVQ84" s="684"/>
      <c r="HVR84" s="684"/>
      <c r="HVS84" s="684"/>
      <c r="HVT84" s="684"/>
      <c r="HVU84" s="684"/>
      <c r="HVV84" s="684"/>
      <c r="HVW84" s="684"/>
      <c r="HVX84" s="684"/>
      <c r="HVY84" s="684"/>
      <c r="HVZ84" s="684"/>
      <c r="HWA84" s="684"/>
      <c r="HWB84" s="684"/>
      <c r="HWC84" s="684"/>
      <c r="HWD84" s="684"/>
      <c r="HWE84" s="684"/>
      <c r="HWF84" s="684"/>
      <c r="HWG84" s="684"/>
      <c r="HWH84" s="684"/>
      <c r="HWI84" s="684"/>
      <c r="HWJ84" s="684"/>
      <c r="HWK84" s="684"/>
      <c r="HWL84" s="684"/>
      <c r="HWM84" s="684"/>
      <c r="HWN84" s="684"/>
      <c r="HWO84" s="684"/>
      <c r="HWP84" s="684"/>
      <c r="HWQ84" s="684"/>
      <c r="HWR84" s="684"/>
      <c r="HWS84" s="684"/>
      <c r="HWT84" s="684"/>
      <c r="HWU84" s="684"/>
      <c r="HWV84" s="684"/>
      <c r="HWW84" s="684"/>
      <c r="HWX84" s="684"/>
      <c r="HWY84" s="684"/>
      <c r="HWZ84" s="684"/>
      <c r="HXA84" s="684"/>
      <c r="HXB84" s="684"/>
      <c r="HXC84" s="684"/>
      <c r="HXD84" s="684"/>
      <c r="HXE84" s="684"/>
      <c r="HXF84" s="684"/>
      <c r="HXG84" s="684"/>
      <c r="HXH84" s="684"/>
      <c r="HXI84" s="684"/>
      <c r="HXJ84" s="684"/>
      <c r="HXK84" s="684"/>
      <c r="HXL84" s="684"/>
      <c r="HXM84" s="684"/>
      <c r="HXN84" s="684"/>
      <c r="HXO84" s="684"/>
      <c r="HXP84" s="684"/>
      <c r="HXQ84" s="684"/>
      <c r="HXR84" s="684"/>
      <c r="HXS84" s="684"/>
      <c r="HXT84" s="684"/>
      <c r="HXU84" s="684"/>
      <c r="HXV84" s="684"/>
      <c r="HXW84" s="684"/>
      <c r="HXX84" s="684"/>
      <c r="HXY84" s="684"/>
      <c r="HXZ84" s="684"/>
      <c r="HYA84" s="684"/>
      <c r="HYB84" s="684"/>
      <c r="HYC84" s="684"/>
      <c r="HYD84" s="684"/>
      <c r="HYE84" s="684"/>
      <c r="HYF84" s="684"/>
      <c r="HYG84" s="684"/>
      <c r="HYH84" s="684"/>
      <c r="HYI84" s="684"/>
      <c r="HYJ84" s="684"/>
      <c r="HYK84" s="684"/>
      <c r="HYL84" s="684"/>
      <c r="HYM84" s="684"/>
      <c r="HYN84" s="684"/>
      <c r="HYO84" s="684"/>
      <c r="HYP84" s="684"/>
      <c r="HYQ84" s="684"/>
      <c r="HYR84" s="684"/>
      <c r="HYS84" s="684"/>
      <c r="HYT84" s="684"/>
      <c r="HYU84" s="684"/>
      <c r="HYV84" s="684"/>
      <c r="HYW84" s="684"/>
      <c r="HYX84" s="684"/>
      <c r="HYY84" s="684"/>
      <c r="HYZ84" s="684"/>
      <c r="HZA84" s="684"/>
      <c r="HZB84" s="684"/>
      <c r="HZC84" s="684"/>
      <c r="HZD84" s="684"/>
      <c r="HZE84" s="684"/>
      <c r="HZF84" s="684"/>
      <c r="HZG84" s="684"/>
      <c r="HZH84" s="684"/>
      <c r="HZI84" s="684"/>
      <c r="HZJ84" s="684"/>
      <c r="HZK84" s="684"/>
      <c r="HZL84" s="684"/>
      <c r="HZM84" s="684"/>
      <c r="HZN84" s="684"/>
      <c r="HZO84" s="684"/>
      <c r="HZP84" s="684"/>
      <c r="HZQ84" s="684"/>
      <c r="HZR84" s="684"/>
      <c r="HZS84" s="684"/>
      <c r="HZT84" s="684"/>
      <c r="HZU84" s="684"/>
      <c r="HZV84" s="684"/>
      <c r="HZW84" s="684"/>
      <c r="HZX84" s="684"/>
      <c r="HZY84" s="684"/>
      <c r="HZZ84" s="684"/>
      <c r="IAA84" s="684"/>
      <c r="IAB84" s="684"/>
      <c r="IAC84" s="684"/>
      <c r="IAD84" s="684"/>
      <c r="IAE84" s="684"/>
      <c r="IAF84" s="684"/>
      <c r="IAG84" s="684"/>
      <c r="IAH84" s="684"/>
      <c r="IAI84" s="684"/>
      <c r="IAJ84" s="684"/>
      <c r="IAK84" s="684"/>
      <c r="IAL84" s="684"/>
      <c r="IAM84" s="684"/>
      <c r="IAN84" s="684"/>
      <c r="IAO84" s="684"/>
      <c r="IAP84" s="684"/>
      <c r="IAQ84" s="684"/>
      <c r="IAR84" s="684"/>
      <c r="IAS84" s="684"/>
      <c r="IAT84" s="684"/>
      <c r="IAU84" s="684"/>
      <c r="IAV84" s="684"/>
      <c r="IAW84" s="684"/>
      <c r="IAX84" s="684"/>
      <c r="IAY84" s="684"/>
      <c r="IAZ84" s="684"/>
      <c r="IBA84" s="684"/>
      <c r="IBB84" s="684"/>
      <c r="IBC84" s="684"/>
      <c r="IBD84" s="684"/>
      <c r="IBE84" s="684"/>
      <c r="IBF84" s="684"/>
      <c r="IBG84" s="684"/>
      <c r="IBH84" s="684"/>
      <c r="IBI84" s="684"/>
      <c r="IBJ84" s="684"/>
      <c r="IBK84" s="684"/>
      <c r="IBL84" s="684"/>
      <c r="IBM84" s="684"/>
      <c r="IBN84" s="684"/>
      <c r="IBO84" s="684"/>
      <c r="IBP84" s="684"/>
      <c r="IBQ84" s="684"/>
      <c r="IBR84" s="684"/>
      <c r="IBS84" s="684"/>
      <c r="IBT84" s="684"/>
      <c r="IBU84" s="684"/>
      <c r="IBV84" s="684"/>
      <c r="IBW84" s="684"/>
      <c r="IBX84" s="684"/>
      <c r="IBY84" s="684"/>
      <c r="IBZ84" s="684"/>
      <c r="ICA84" s="684"/>
      <c r="ICB84" s="684"/>
      <c r="ICC84" s="684"/>
      <c r="ICD84" s="684"/>
      <c r="ICE84" s="684"/>
      <c r="ICF84" s="684"/>
      <c r="ICG84" s="684"/>
      <c r="ICH84" s="684"/>
      <c r="ICI84" s="684"/>
      <c r="ICJ84" s="684"/>
      <c r="ICK84" s="684"/>
      <c r="ICL84" s="684"/>
      <c r="ICM84" s="684"/>
      <c r="ICN84" s="684"/>
      <c r="ICO84" s="684"/>
      <c r="ICP84" s="684"/>
      <c r="ICQ84" s="684"/>
      <c r="ICR84" s="684"/>
      <c r="ICS84" s="684"/>
      <c r="ICT84" s="684"/>
      <c r="ICU84" s="684"/>
      <c r="ICV84" s="684"/>
      <c r="ICW84" s="684"/>
      <c r="ICX84" s="684"/>
      <c r="ICY84" s="684"/>
      <c r="ICZ84" s="684"/>
      <c r="IDA84" s="684"/>
      <c r="IDB84" s="684"/>
      <c r="IDC84" s="684"/>
      <c r="IDD84" s="684"/>
      <c r="IDE84" s="684"/>
      <c r="IDF84" s="684"/>
      <c r="IDG84" s="684"/>
      <c r="IDH84" s="684"/>
      <c r="IDI84" s="684"/>
      <c r="IDJ84" s="684"/>
      <c r="IDK84" s="684"/>
      <c r="IDL84" s="684"/>
      <c r="IDM84" s="684"/>
      <c r="IDN84" s="684"/>
      <c r="IDO84" s="684"/>
      <c r="IDP84" s="684"/>
      <c r="IDQ84" s="684"/>
      <c r="IDR84" s="684"/>
      <c r="IDS84" s="684"/>
      <c r="IDT84" s="684"/>
      <c r="IDU84" s="684"/>
      <c r="IDV84" s="684"/>
      <c r="IDW84" s="684"/>
      <c r="IDX84" s="684"/>
      <c r="IDY84" s="684"/>
      <c r="IDZ84" s="684"/>
      <c r="IEA84" s="684"/>
      <c r="IEB84" s="684"/>
      <c r="IEC84" s="684"/>
      <c r="IED84" s="684"/>
      <c r="IEE84" s="684"/>
      <c r="IEF84" s="684"/>
      <c r="IEG84" s="684"/>
      <c r="IEH84" s="684"/>
      <c r="IEI84" s="684"/>
      <c r="IEJ84" s="684"/>
      <c r="IEK84" s="684"/>
      <c r="IEL84" s="684"/>
      <c r="IEM84" s="684"/>
      <c r="IEN84" s="684"/>
      <c r="IEO84" s="684"/>
      <c r="IEP84" s="684"/>
      <c r="IEQ84" s="684"/>
      <c r="IER84" s="684"/>
      <c r="IES84" s="684"/>
      <c r="IET84" s="684"/>
      <c r="IEU84" s="684"/>
      <c r="IEV84" s="684"/>
      <c r="IEW84" s="684"/>
      <c r="IEX84" s="684"/>
      <c r="IEY84" s="684"/>
      <c r="IEZ84" s="684"/>
      <c r="IFA84" s="684"/>
      <c r="IFB84" s="684"/>
      <c r="IFC84" s="684"/>
      <c r="IFD84" s="684"/>
      <c r="IFE84" s="684"/>
      <c r="IFF84" s="684"/>
      <c r="IFG84" s="684"/>
      <c r="IFH84" s="684"/>
      <c r="IFI84" s="684"/>
      <c r="IFJ84" s="684"/>
      <c r="IFK84" s="684"/>
      <c r="IFL84" s="684"/>
      <c r="IFM84" s="684"/>
      <c r="IFN84" s="684"/>
      <c r="IFO84" s="684"/>
      <c r="IFP84" s="684"/>
      <c r="IFQ84" s="684"/>
      <c r="IFR84" s="684"/>
      <c r="IFS84" s="684"/>
      <c r="IFT84" s="684"/>
      <c r="IFU84" s="684"/>
      <c r="IFV84" s="684"/>
      <c r="IFW84" s="684"/>
      <c r="IFX84" s="684"/>
      <c r="IFY84" s="684"/>
      <c r="IFZ84" s="684"/>
      <c r="IGA84" s="684"/>
      <c r="IGB84" s="684"/>
      <c r="IGC84" s="684"/>
      <c r="IGD84" s="684"/>
      <c r="IGE84" s="684"/>
      <c r="IGF84" s="684"/>
      <c r="IGG84" s="684"/>
      <c r="IGH84" s="684"/>
      <c r="IGI84" s="684"/>
      <c r="IGJ84" s="684"/>
      <c r="IGK84" s="684"/>
      <c r="IGL84" s="684"/>
      <c r="IGM84" s="684"/>
      <c r="IGN84" s="684"/>
      <c r="IGO84" s="684"/>
      <c r="IGP84" s="684"/>
      <c r="IGQ84" s="684"/>
      <c r="IGR84" s="684"/>
      <c r="IGS84" s="684"/>
      <c r="IGT84" s="684"/>
      <c r="IGU84" s="684"/>
      <c r="IGV84" s="684"/>
      <c r="IGW84" s="684"/>
      <c r="IGX84" s="684"/>
      <c r="IGY84" s="684"/>
      <c r="IGZ84" s="684"/>
      <c r="IHA84" s="684"/>
      <c r="IHB84" s="684"/>
      <c r="IHC84" s="684"/>
      <c r="IHD84" s="684"/>
      <c r="IHE84" s="684"/>
      <c r="IHF84" s="684"/>
      <c r="IHG84" s="684"/>
      <c r="IHH84" s="684"/>
      <c r="IHI84" s="684"/>
      <c r="IHJ84" s="684"/>
      <c r="IHK84" s="684"/>
      <c r="IHL84" s="684"/>
      <c r="IHM84" s="684"/>
      <c r="IHN84" s="684"/>
      <c r="IHO84" s="684"/>
      <c r="IHP84" s="684"/>
      <c r="IHQ84" s="684"/>
      <c r="IHR84" s="684"/>
      <c r="IHS84" s="684"/>
      <c r="IHT84" s="684"/>
      <c r="IHU84" s="684"/>
      <c r="IHV84" s="684"/>
      <c r="IHW84" s="684"/>
      <c r="IHX84" s="684"/>
      <c r="IHY84" s="684"/>
      <c r="IHZ84" s="684"/>
      <c r="IIA84" s="684"/>
      <c r="IIB84" s="684"/>
      <c r="IIC84" s="684"/>
      <c r="IID84" s="684"/>
      <c r="IIE84" s="684"/>
      <c r="IIF84" s="684"/>
      <c r="IIG84" s="684"/>
      <c r="IIH84" s="684"/>
      <c r="III84" s="684"/>
      <c r="IIJ84" s="684"/>
      <c r="IIK84" s="684"/>
      <c r="IIL84" s="684"/>
      <c r="IIM84" s="684"/>
      <c r="IIN84" s="684"/>
      <c r="IIO84" s="684"/>
      <c r="IIP84" s="684"/>
      <c r="IIQ84" s="684"/>
      <c r="IIR84" s="684"/>
      <c r="IIS84" s="684"/>
      <c r="IIT84" s="684"/>
      <c r="IIU84" s="684"/>
      <c r="IIV84" s="684"/>
      <c r="IIW84" s="684"/>
      <c r="IIX84" s="684"/>
      <c r="IIY84" s="684"/>
      <c r="IIZ84" s="684"/>
      <c r="IJA84" s="684"/>
      <c r="IJB84" s="684"/>
      <c r="IJC84" s="684"/>
      <c r="IJD84" s="684"/>
      <c r="IJE84" s="684"/>
      <c r="IJF84" s="684"/>
      <c r="IJG84" s="684"/>
      <c r="IJH84" s="684"/>
      <c r="IJI84" s="684"/>
      <c r="IJJ84" s="684"/>
      <c r="IJK84" s="684"/>
      <c r="IJL84" s="684"/>
      <c r="IJM84" s="684"/>
      <c r="IJN84" s="684"/>
      <c r="IJO84" s="684"/>
      <c r="IJP84" s="684"/>
      <c r="IJQ84" s="684"/>
      <c r="IJR84" s="684"/>
      <c r="IJS84" s="684"/>
      <c r="IJT84" s="684"/>
      <c r="IJU84" s="684"/>
      <c r="IJV84" s="684"/>
      <c r="IJW84" s="684"/>
      <c r="IJX84" s="684"/>
      <c r="IJY84" s="684"/>
      <c r="IJZ84" s="684"/>
      <c r="IKA84" s="684"/>
      <c r="IKB84" s="684"/>
      <c r="IKC84" s="684"/>
      <c r="IKD84" s="684"/>
      <c r="IKE84" s="684"/>
      <c r="IKF84" s="684"/>
      <c r="IKG84" s="684"/>
      <c r="IKH84" s="684"/>
      <c r="IKI84" s="684"/>
      <c r="IKJ84" s="684"/>
      <c r="IKK84" s="684"/>
      <c r="IKL84" s="684"/>
      <c r="IKM84" s="684"/>
      <c r="IKN84" s="684"/>
      <c r="IKO84" s="684"/>
      <c r="IKP84" s="684"/>
      <c r="IKQ84" s="684"/>
      <c r="IKR84" s="684"/>
      <c r="IKS84" s="684"/>
      <c r="IKT84" s="684"/>
      <c r="IKU84" s="684"/>
      <c r="IKV84" s="684"/>
      <c r="IKW84" s="684"/>
      <c r="IKX84" s="684"/>
      <c r="IKY84" s="684"/>
      <c r="IKZ84" s="684"/>
      <c r="ILA84" s="684"/>
      <c r="ILB84" s="684"/>
      <c r="ILC84" s="684"/>
      <c r="ILD84" s="684"/>
      <c r="ILE84" s="684"/>
      <c r="ILF84" s="684"/>
      <c r="ILG84" s="684"/>
      <c r="ILH84" s="684"/>
      <c r="ILI84" s="684"/>
      <c r="ILJ84" s="684"/>
      <c r="ILK84" s="684"/>
      <c r="ILL84" s="684"/>
      <c r="ILM84" s="684"/>
      <c r="ILN84" s="684"/>
      <c r="ILO84" s="684"/>
      <c r="ILP84" s="684"/>
      <c r="ILQ84" s="684"/>
      <c r="ILR84" s="684"/>
      <c r="ILS84" s="684"/>
      <c r="ILT84" s="684"/>
      <c r="ILU84" s="684"/>
      <c r="ILV84" s="684"/>
      <c r="ILW84" s="684"/>
      <c r="ILX84" s="684"/>
      <c r="ILY84" s="684"/>
      <c r="ILZ84" s="684"/>
      <c r="IMA84" s="684"/>
      <c r="IMB84" s="684"/>
      <c r="IMC84" s="684"/>
      <c r="IMD84" s="684"/>
      <c r="IME84" s="684"/>
      <c r="IMF84" s="684"/>
      <c r="IMG84" s="684"/>
      <c r="IMH84" s="684"/>
      <c r="IMI84" s="684"/>
      <c r="IMJ84" s="684"/>
      <c r="IMK84" s="684"/>
      <c r="IML84" s="684"/>
      <c r="IMM84" s="684"/>
      <c r="IMN84" s="684"/>
      <c r="IMO84" s="684"/>
      <c r="IMP84" s="684"/>
      <c r="IMQ84" s="684"/>
      <c r="IMR84" s="684"/>
      <c r="IMS84" s="684"/>
      <c r="IMT84" s="684"/>
      <c r="IMU84" s="684"/>
      <c r="IMV84" s="684"/>
      <c r="IMW84" s="684"/>
      <c r="IMX84" s="684"/>
      <c r="IMY84" s="684"/>
      <c r="IMZ84" s="684"/>
      <c r="INA84" s="684"/>
      <c r="INB84" s="684"/>
      <c r="INC84" s="684"/>
      <c r="IND84" s="684"/>
      <c r="INE84" s="684"/>
      <c r="INF84" s="684"/>
      <c r="ING84" s="684"/>
      <c r="INH84" s="684"/>
      <c r="INI84" s="684"/>
      <c r="INJ84" s="684"/>
      <c r="INK84" s="684"/>
      <c r="INL84" s="684"/>
      <c r="INM84" s="684"/>
      <c r="INN84" s="684"/>
      <c r="INO84" s="684"/>
      <c r="INP84" s="684"/>
      <c r="INQ84" s="684"/>
      <c r="INR84" s="684"/>
      <c r="INS84" s="684"/>
      <c r="INT84" s="684"/>
      <c r="INU84" s="684"/>
      <c r="INV84" s="684"/>
      <c r="INW84" s="684"/>
      <c r="INX84" s="684"/>
      <c r="INY84" s="684"/>
      <c r="INZ84" s="684"/>
      <c r="IOA84" s="684"/>
      <c r="IOB84" s="684"/>
      <c r="IOC84" s="684"/>
      <c r="IOD84" s="684"/>
      <c r="IOE84" s="684"/>
      <c r="IOF84" s="684"/>
      <c r="IOG84" s="684"/>
      <c r="IOH84" s="684"/>
      <c r="IOI84" s="684"/>
      <c r="IOJ84" s="684"/>
      <c r="IOK84" s="684"/>
      <c r="IOL84" s="684"/>
      <c r="IOM84" s="684"/>
      <c r="ION84" s="684"/>
      <c r="IOO84" s="684"/>
      <c r="IOP84" s="684"/>
      <c r="IOQ84" s="684"/>
      <c r="IOR84" s="684"/>
      <c r="IOS84" s="684"/>
      <c r="IOT84" s="684"/>
      <c r="IOU84" s="684"/>
      <c r="IOV84" s="684"/>
      <c r="IOW84" s="684"/>
      <c r="IOX84" s="684"/>
      <c r="IOY84" s="684"/>
      <c r="IOZ84" s="684"/>
      <c r="IPA84" s="684"/>
      <c r="IPB84" s="684"/>
      <c r="IPC84" s="684"/>
      <c r="IPD84" s="684"/>
      <c r="IPE84" s="684"/>
      <c r="IPF84" s="684"/>
      <c r="IPG84" s="684"/>
      <c r="IPH84" s="684"/>
      <c r="IPI84" s="684"/>
      <c r="IPJ84" s="684"/>
      <c r="IPK84" s="684"/>
      <c r="IPL84" s="684"/>
      <c r="IPM84" s="684"/>
      <c r="IPN84" s="684"/>
      <c r="IPO84" s="684"/>
      <c r="IPP84" s="684"/>
      <c r="IPQ84" s="684"/>
      <c r="IPR84" s="684"/>
      <c r="IPS84" s="684"/>
      <c r="IPT84" s="684"/>
      <c r="IPU84" s="684"/>
      <c r="IPV84" s="684"/>
      <c r="IPW84" s="684"/>
      <c r="IPX84" s="684"/>
      <c r="IPY84" s="684"/>
      <c r="IPZ84" s="684"/>
      <c r="IQA84" s="684"/>
      <c r="IQB84" s="684"/>
      <c r="IQC84" s="684"/>
      <c r="IQD84" s="684"/>
      <c r="IQE84" s="684"/>
      <c r="IQF84" s="684"/>
      <c r="IQG84" s="684"/>
      <c r="IQH84" s="684"/>
      <c r="IQI84" s="684"/>
      <c r="IQJ84" s="684"/>
      <c r="IQK84" s="684"/>
      <c r="IQL84" s="684"/>
      <c r="IQM84" s="684"/>
      <c r="IQN84" s="684"/>
      <c r="IQO84" s="684"/>
      <c r="IQP84" s="684"/>
      <c r="IQQ84" s="684"/>
      <c r="IQR84" s="684"/>
      <c r="IQS84" s="684"/>
      <c r="IQT84" s="684"/>
      <c r="IQU84" s="684"/>
      <c r="IQV84" s="684"/>
      <c r="IQW84" s="684"/>
      <c r="IQX84" s="684"/>
      <c r="IQY84" s="684"/>
      <c r="IQZ84" s="684"/>
      <c r="IRA84" s="684"/>
      <c r="IRB84" s="684"/>
      <c r="IRC84" s="684"/>
      <c r="IRD84" s="684"/>
      <c r="IRE84" s="684"/>
      <c r="IRF84" s="684"/>
      <c r="IRG84" s="684"/>
      <c r="IRH84" s="684"/>
      <c r="IRI84" s="684"/>
      <c r="IRJ84" s="684"/>
      <c r="IRK84" s="684"/>
      <c r="IRL84" s="684"/>
      <c r="IRM84" s="684"/>
      <c r="IRN84" s="684"/>
      <c r="IRO84" s="684"/>
      <c r="IRP84" s="684"/>
      <c r="IRQ84" s="684"/>
      <c r="IRR84" s="684"/>
      <c r="IRS84" s="684"/>
      <c r="IRT84" s="684"/>
      <c r="IRU84" s="684"/>
      <c r="IRV84" s="684"/>
      <c r="IRW84" s="684"/>
      <c r="IRX84" s="684"/>
      <c r="IRY84" s="684"/>
      <c r="IRZ84" s="684"/>
      <c r="ISA84" s="684"/>
      <c r="ISB84" s="684"/>
      <c r="ISC84" s="684"/>
      <c r="ISD84" s="684"/>
      <c r="ISE84" s="684"/>
      <c r="ISF84" s="684"/>
      <c r="ISG84" s="684"/>
      <c r="ISH84" s="684"/>
      <c r="ISI84" s="684"/>
      <c r="ISJ84" s="684"/>
      <c r="ISK84" s="684"/>
      <c r="ISL84" s="684"/>
      <c r="ISM84" s="684"/>
      <c r="ISN84" s="684"/>
      <c r="ISO84" s="684"/>
      <c r="ISP84" s="684"/>
      <c r="ISQ84" s="684"/>
      <c r="ISR84" s="684"/>
      <c r="ISS84" s="684"/>
      <c r="IST84" s="684"/>
      <c r="ISU84" s="684"/>
      <c r="ISV84" s="684"/>
      <c r="ISW84" s="684"/>
      <c r="ISX84" s="684"/>
      <c r="ISY84" s="684"/>
      <c r="ISZ84" s="684"/>
      <c r="ITA84" s="684"/>
      <c r="ITB84" s="684"/>
      <c r="ITC84" s="684"/>
      <c r="ITD84" s="684"/>
      <c r="ITE84" s="684"/>
      <c r="ITF84" s="684"/>
      <c r="ITG84" s="684"/>
      <c r="ITH84" s="684"/>
      <c r="ITI84" s="684"/>
      <c r="ITJ84" s="684"/>
      <c r="ITK84" s="684"/>
      <c r="ITL84" s="684"/>
      <c r="ITM84" s="684"/>
      <c r="ITN84" s="684"/>
      <c r="ITO84" s="684"/>
      <c r="ITP84" s="684"/>
      <c r="ITQ84" s="684"/>
      <c r="ITR84" s="684"/>
      <c r="ITS84" s="684"/>
      <c r="ITT84" s="684"/>
      <c r="ITU84" s="684"/>
      <c r="ITV84" s="684"/>
      <c r="ITW84" s="684"/>
      <c r="ITX84" s="684"/>
      <c r="ITY84" s="684"/>
      <c r="ITZ84" s="684"/>
      <c r="IUA84" s="684"/>
      <c r="IUB84" s="684"/>
      <c r="IUC84" s="684"/>
      <c r="IUD84" s="684"/>
      <c r="IUE84" s="684"/>
      <c r="IUF84" s="684"/>
      <c r="IUG84" s="684"/>
      <c r="IUH84" s="684"/>
      <c r="IUI84" s="684"/>
      <c r="IUJ84" s="684"/>
      <c r="IUK84" s="684"/>
      <c r="IUL84" s="684"/>
      <c r="IUM84" s="684"/>
      <c r="IUN84" s="684"/>
      <c r="IUO84" s="684"/>
      <c r="IUP84" s="684"/>
      <c r="IUQ84" s="684"/>
      <c r="IUR84" s="684"/>
      <c r="IUS84" s="684"/>
      <c r="IUT84" s="684"/>
      <c r="IUU84" s="684"/>
      <c r="IUV84" s="684"/>
      <c r="IUW84" s="684"/>
      <c r="IUX84" s="684"/>
      <c r="IUY84" s="684"/>
      <c r="IUZ84" s="684"/>
      <c r="IVA84" s="684"/>
      <c r="IVB84" s="684"/>
      <c r="IVC84" s="684"/>
      <c r="IVD84" s="684"/>
      <c r="IVE84" s="684"/>
      <c r="IVF84" s="684"/>
      <c r="IVG84" s="684"/>
      <c r="IVH84" s="684"/>
      <c r="IVI84" s="684"/>
      <c r="IVJ84" s="684"/>
      <c r="IVK84" s="684"/>
      <c r="IVL84" s="684"/>
      <c r="IVM84" s="684"/>
      <c r="IVN84" s="684"/>
      <c r="IVO84" s="684"/>
      <c r="IVP84" s="684"/>
      <c r="IVQ84" s="684"/>
      <c r="IVR84" s="684"/>
      <c r="IVS84" s="684"/>
      <c r="IVT84" s="684"/>
      <c r="IVU84" s="684"/>
      <c r="IVV84" s="684"/>
      <c r="IVW84" s="684"/>
      <c r="IVX84" s="684"/>
      <c r="IVY84" s="684"/>
      <c r="IVZ84" s="684"/>
      <c r="IWA84" s="684"/>
      <c r="IWB84" s="684"/>
      <c r="IWC84" s="684"/>
      <c r="IWD84" s="684"/>
      <c r="IWE84" s="684"/>
      <c r="IWF84" s="684"/>
      <c r="IWG84" s="684"/>
      <c r="IWH84" s="684"/>
      <c r="IWI84" s="684"/>
      <c r="IWJ84" s="684"/>
      <c r="IWK84" s="684"/>
      <c r="IWL84" s="684"/>
      <c r="IWM84" s="684"/>
      <c r="IWN84" s="684"/>
      <c r="IWO84" s="684"/>
      <c r="IWP84" s="684"/>
      <c r="IWQ84" s="684"/>
      <c r="IWR84" s="684"/>
      <c r="IWS84" s="684"/>
      <c r="IWT84" s="684"/>
      <c r="IWU84" s="684"/>
      <c r="IWV84" s="684"/>
      <c r="IWW84" s="684"/>
      <c r="IWX84" s="684"/>
      <c r="IWY84" s="684"/>
      <c r="IWZ84" s="684"/>
      <c r="IXA84" s="684"/>
      <c r="IXB84" s="684"/>
      <c r="IXC84" s="684"/>
      <c r="IXD84" s="684"/>
      <c r="IXE84" s="684"/>
      <c r="IXF84" s="684"/>
      <c r="IXG84" s="684"/>
      <c r="IXH84" s="684"/>
      <c r="IXI84" s="684"/>
      <c r="IXJ84" s="684"/>
      <c r="IXK84" s="684"/>
      <c r="IXL84" s="684"/>
      <c r="IXM84" s="684"/>
      <c r="IXN84" s="684"/>
      <c r="IXO84" s="684"/>
      <c r="IXP84" s="684"/>
      <c r="IXQ84" s="684"/>
      <c r="IXR84" s="684"/>
      <c r="IXS84" s="684"/>
      <c r="IXT84" s="684"/>
      <c r="IXU84" s="684"/>
      <c r="IXV84" s="684"/>
      <c r="IXW84" s="684"/>
      <c r="IXX84" s="684"/>
      <c r="IXY84" s="684"/>
      <c r="IXZ84" s="684"/>
      <c r="IYA84" s="684"/>
      <c r="IYB84" s="684"/>
      <c r="IYC84" s="684"/>
      <c r="IYD84" s="684"/>
      <c r="IYE84" s="684"/>
      <c r="IYF84" s="684"/>
      <c r="IYG84" s="684"/>
      <c r="IYH84" s="684"/>
      <c r="IYI84" s="684"/>
      <c r="IYJ84" s="684"/>
      <c r="IYK84" s="684"/>
      <c r="IYL84" s="684"/>
      <c r="IYM84" s="684"/>
      <c r="IYN84" s="684"/>
      <c r="IYO84" s="684"/>
      <c r="IYP84" s="684"/>
      <c r="IYQ84" s="684"/>
      <c r="IYR84" s="684"/>
      <c r="IYS84" s="684"/>
      <c r="IYT84" s="684"/>
      <c r="IYU84" s="684"/>
      <c r="IYV84" s="684"/>
      <c r="IYW84" s="684"/>
      <c r="IYX84" s="684"/>
      <c r="IYY84" s="684"/>
      <c r="IYZ84" s="684"/>
      <c r="IZA84" s="684"/>
      <c r="IZB84" s="684"/>
      <c r="IZC84" s="684"/>
      <c r="IZD84" s="684"/>
      <c r="IZE84" s="684"/>
      <c r="IZF84" s="684"/>
      <c r="IZG84" s="684"/>
      <c r="IZH84" s="684"/>
      <c r="IZI84" s="684"/>
      <c r="IZJ84" s="684"/>
      <c r="IZK84" s="684"/>
      <c r="IZL84" s="684"/>
      <c r="IZM84" s="684"/>
      <c r="IZN84" s="684"/>
      <c r="IZO84" s="684"/>
      <c r="IZP84" s="684"/>
      <c r="IZQ84" s="684"/>
      <c r="IZR84" s="684"/>
      <c r="IZS84" s="684"/>
      <c r="IZT84" s="684"/>
      <c r="IZU84" s="684"/>
      <c r="IZV84" s="684"/>
      <c r="IZW84" s="684"/>
      <c r="IZX84" s="684"/>
      <c r="IZY84" s="684"/>
      <c r="IZZ84" s="684"/>
      <c r="JAA84" s="684"/>
      <c r="JAB84" s="684"/>
      <c r="JAC84" s="684"/>
      <c r="JAD84" s="684"/>
      <c r="JAE84" s="684"/>
      <c r="JAF84" s="684"/>
      <c r="JAG84" s="684"/>
      <c r="JAH84" s="684"/>
      <c r="JAI84" s="684"/>
      <c r="JAJ84" s="684"/>
      <c r="JAK84" s="684"/>
      <c r="JAL84" s="684"/>
      <c r="JAM84" s="684"/>
      <c r="JAN84" s="684"/>
      <c r="JAO84" s="684"/>
      <c r="JAP84" s="684"/>
      <c r="JAQ84" s="684"/>
      <c r="JAR84" s="684"/>
      <c r="JAS84" s="684"/>
      <c r="JAT84" s="684"/>
      <c r="JAU84" s="684"/>
      <c r="JAV84" s="684"/>
      <c r="JAW84" s="684"/>
      <c r="JAX84" s="684"/>
      <c r="JAY84" s="684"/>
      <c r="JAZ84" s="684"/>
      <c r="JBA84" s="684"/>
      <c r="JBB84" s="684"/>
      <c r="JBC84" s="684"/>
      <c r="JBD84" s="684"/>
      <c r="JBE84" s="684"/>
      <c r="JBF84" s="684"/>
      <c r="JBG84" s="684"/>
      <c r="JBH84" s="684"/>
      <c r="JBI84" s="684"/>
      <c r="JBJ84" s="684"/>
      <c r="JBK84" s="684"/>
      <c r="JBL84" s="684"/>
      <c r="JBM84" s="684"/>
      <c r="JBN84" s="684"/>
      <c r="JBO84" s="684"/>
      <c r="JBP84" s="684"/>
      <c r="JBQ84" s="684"/>
      <c r="JBR84" s="684"/>
      <c r="JBS84" s="684"/>
      <c r="JBT84" s="684"/>
      <c r="JBU84" s="684"/>
      <c r="JBV84" s="684"/>
      <c r="JBW84" s="684"/>
      <c r="JBX84" s="684"/>
      <c r="JBY84" s="684"/>
      <c r="JBZ84" s="684"/>
      <c r="JCA84" s="684"/>
      <c r="JCB84" s="684"/>
      <c r="JCC84" s="684"/>
      <c r="JCD84" s="684"/>
      <c r="JCE84" s="684"/>
      <c r="JCF84" s="684"/>
      <c r="JCG84" s="684"/>
      <c r="JCH84" s="684"/>
      <c r="JCI84" s="684"/>
      <c r="JCJ84" s="684"/>
      <c r="JCK84" s="684"/>
      <c r="JCL84" s="684"/>
      <c r="JCM84" s="684"/>
      <c r="JCN84" s="684"/>
      <c r="JCO84" s="684"/>
      <c r="JCP84" s="684"/>
      <c r="JCQ84" s="684"/>
      <c r="JCR84" s="684"/>
      <c r="JCS84" s="684"/>
      <c r="JCT84" s="684"/>
      <c r="JCU84" s="684"/>
      <c r="JCV84" s="684"/>
      <c r="JCW84" s="684"/>
      <c r="JCX84" s="684"/>
      <c r="JCY84" s="684"/>
      <c r="JCZ84" s="684"/>
      <c r="JDA84" s="684"/>
      <c r="JDB84" s="684"/>
      <c r="JDC84" s="684"/>
      <c r="JDD84" s="684"/>
      <c r="JDE84" s="684"/>
      <c r="JDF84" s="684"/>
      <c r="JDG84" s="684"/>
      <c r="JDH84" s="684"/>
      <c r="JDI84" s="684"/>
      <c r="JDJ84" s="684"/>
      <c r="JDK84" s="684"/>
      <c r="JDL84" s="684"/>
      <c r="JDM84" s="684"/>
      <c r="JDN84" s="684"/>
      <c r="JDO84" s="684"/>
      <c r="JDP84" s="684"/>
      <c r="JDQ84" s="684"/>
      <c r="JDR84" s="684"/>
      <c r="JDS84" s="684"/>
      <c r="JDT84" s="684"/>
      <c r="JDU84" s="684"/>
      <c r="JDV84" s="684"/>
      <c r="JDW84" s="684"/>
      <c r="JDX84" s="684"/>
      <c r="JDY84" s="684"/>
      <c r="JDZ84" s="684"/>
      <c r="JEA84" s="684"/>
      <c r="JEB84" s="684"/>
      <c r="JEC84" s="684"/>
      <c r="JED84" s="684"/>
      <c r="JEE84" s="684"/>
      <c r="JEF84" s="684"/>
      <c r="JEG84" s="684"/>
      <c r="JEH84" s="684"/>
      <c r="JEI84" s="684"/>
      <c r="JEJ84" s="684"/>
      <c r="JEK84" s="684"/>
      <c r="JEL84" s="684"/>
      <c r="JEM84" s="684"/>
      <c r="JEN84" s="684"/>
      <c r="JEO84" s="684"/>
      <c r="JEP84" s="684"/>
      <c r="JEQ84" s="684"/>
      <c r="JER84" s="684"/>
      <c r="JES84" s="684"/>
      <c r="JET84" s="684"/>
      <c r="JEU84" s="684"/>
      <c r="JEV84" s="684"/>
      <c r="JEW84" s="684"/>
      <c r="JEX84" s="684"/>
      <c r="JEY84" s="684"/>
      <c r="JEZ84" s="684"/>
      <c r="JFA84" s="684"/>
      <c r="JFB84" s="684"/>
      <c r="JFC84" s="684"/>
      <c r="JFD84" s="684"/>
      <c r="JFE84" s="684"/>
      <c r="JFF84" s="684"/>
      <c r="JFG84" s="684"/>
      <c r="JFH84" s="684"/>
      <c r="JFI84" s="684"/>
      <c r="JFJ84" s="684"/>
      <c r="JFK84" s="684"/>
      <c r="JFL84" s="684"/>
      <c r="JFM84" s="684"/>
      <c r="JFN84" s="684"/>
      <c r="JFO84" s="684"/>
      <c r="JFP84" s="684"/>
      <c r="JFQ84" s="684"/>
      <c r="JFR84" s="684"/>
      <c r="JFS84" s="684"/>
      <c r="JFT84" s="684"/>
      <c r="JFU84" s="684"/>
      <c r="JFV84" s="684"/>
      <c r="JFW84" s="684"/>
      <c r="JFX84" s="684"/>
      <c r="JFY84" s="684"/>
      <c r="JFZ84" s="684"/>
      <c r="JGA84" s="684"/>
      <c r="JGB84" s="684"/>
      <c r="JGC84" s="684"/>
      <c r="JGD84" s="684"/>
      <c r="JGE84" s="684"/>
      <c r="JGF84" s="684"/>
      <c r="JGG84" s="684"/>
      <c r="JGH84" s="684"/>
      <c r="JGI84" s="684"/>
      <c r="JGJ84" s="684"/>
      <c r="JGK84" s="684"/>
      <c r="JGL84" s="684"/>
      <c r="JGM84" s="684"/>
      <c r="JGN84" s="684"/>
      <c r="JGO84" s="684"/>
      <c r="JGP84" s="684"/>
      <c r="JGQ84" s="684"/>
      <c r="JGR84" s="684"/>
      <c r="JGS84" s="684"/>
      <c r="JGT84" s="684"/>
      <c r="JGU84" s="684"/>
      <c r="JGV84" s="684"/>
      <c r="JGW84" s="684"/>
      <c r="JGX84" s="684"/>
      <c r="JGY84" s="684"/>
      <c r="JGZ84" s="684"/>
      <c r="JHA84" s="684"/>
      <c r="JHB84" s="684"/>
      <c r="JHC84" s="684"/>
      <c r="JHD84" s="684"/>
      <c r="JHE84" s="684"/>
      <c r="JHF84" s="684"/>
      <c r="JHG84" s="684"/>
      <c r="JHH84" s="684"/>
      <c r="JHI84" s="684"/>
      <c r="JHJ84" s="684"/>
      <c r="JHK84" s="684"/>
      <c r="JHL84" s="684"/>
      <c r="JHM84" s="684"/>
      <c r="JHN84" s="684"/>
      <c r="JHO84" s="684"/>
      <c r="JHP84" s="684"/>
      <c r="JHQ84" s="684"/>
      <c r="JHR84" s="684"/>
      <c r="JHS84" s="684"/>
      <c r="JHT84" s="684"/>
      <c r="JHU84" s="684"/>
      <c r="JHV84" s="684"/>
      <c r="JHW84" s="684"/>
      <c r="JHX84" s="684"/>
      <c r="JHY84" s="684"/>
      <c r="JHZ84" s="684"/>
      <c r="JIA84" s="684"/>
      <c r="JIB84" s="684"/>
      <c r="JIC84" s="684"/>
      <c r="JID84" s="684"/>
      <c r="JIE84" s="684"/>
      <c r="JIF84" s="684"/>
      <c r="JIG84" s="684"/>
      <c r="JIH84" s="684"/>
      <c r="JII84" s="684"/>
      <c r="JIJ84" s="684"/>
      <c r="JIK84" s="684"/>
      <c r="JIL84" s="684"/>
      <c r="JIM84" s="684"/>
      <c r="JIN84" s="684"/>
      <c r="JIO84" s="684"/>
      <c r="JIP84" s="684"/>
      <c r="JIQ84" s="684"/>
      <c r="JIR84" s="684"/>
      <c r="JIS84" s="684"/>
      <c r="JIT84" s="684"/>
      <c r="JIU84" s="684"/>
      <c r="JIV84" s="684"/>
      <c r="JIW84" s="684"/>
      <c r="JIX84" s="684"/>
      <c r="JIY84" s="684"/>
      <c r="JIZ84" s="684"/>
      <c r="JJA84" s="684"/>
      <c r="JJB84" s="684"/>
      <c r="JJC84" s="684"/>
      <c r="JJD84" s="684"/>
      <c r="JJE84" s="684"/>
      <c r="JJF84" s="684"/>
      <c r="JJG84" s="684"/>
      <c r="JJH84" s="684"/>
      <c r="JJI84" s="684"/>
      <c r="JJJ84" s="684"/>
      <c r="JJK84" s="684"/>
      <c r="JJL84" s="684"/>
      <c r="JJM84" s="684"/>
      <c r="JJN84" s="684"/>
      <c r="JJO84" s="684"/>
      <c r="JJP84" s="684"/>
      <c r="JJQ84" s="684"/>
      <c r="JJR84" s="684"/>
      <c r="JJS84" s="684"/>
      <c r="JJT84" s="684"/>
      <c r="JJU84" s="684"/>
      <c r="JJV84" s="684"/>
      <c r="JJW84" s="684"/>
      <c r="JJX84" s="684"/>
      <c r="JJY84" s="684"/>
      <c r="JJZ84" s="684"/>
      <c r="JKA84" s="684"/>
      <c r="JKB84" s="684"/>
      <c r="JKC84" s="684"/>
      <c r="JKD84" s="684"/>
      <c r="JKE84" s="684"/>
      <c r="JKF84" s="684"/>
      <c r="JKG84" s="684"/>
      <c r="JKH84" s="684"/>
      <c r="JKI84" s="684"/>
      <c r="JKJ84" s="684"/>
      <c r="JKK84" s="684"/>
      <c r="JKL84" s="684"/>
      <c r="JKM84" s="684"/>
      <c r="JKN84" s="684"/>
      <c r="JKO84" s="684"/>
      <c r="JKP84" s="684"/>
      <c r="JKQ84" s="684"/>
      <c r="JKR84" s="684"/>
      <c r="JKS84" s="684"/>
      <c r="JKT84" s="684"/>
      <c r="JKU84" s="684"/>
      <c r="JKV84" s="684"/>
      <c r="JKW84" s="684"/>
      <c r="JKX84" s="684"/>
      <c r="JKY84" s="684"/>
      <c r="JKZ84" s="684"/>
      <c r="JLA84" s="684"/>
      <c r="JLB84" s="684"/>
      <c r="JLC84" s="684"/>
      <c r="JLD84" s="684"/>
      <c r="JLE84" s="684"/>
      <c r="JLF84" s="684"/>
      <c r="JLG84" s="684"/>
      <c r="JLH84" s="684"/>
      <c r="JLI84" s="684"/>
      <c r="JLJ84" s="684"/>
      <c r="JLK84" s="684"/>
      <c r="JLL84" s="684"/>
      <c r="JLM84" s="684"/>
      <c r="JLN84" s="684"/>
      <c r="JLO84" s="684"/>
      <c r="JLP84" s="684"/>
      <c r="JLQ84" s="684"/>
      <c r="JLR84" s="684"/>
      <c r="JLS84" s="684"/>
      <c r="JLT84" s="684"/>
      <c r="JLU84" s="684"/>
      <c r="JLV84" s="684"/>
      <c r="JLW84" s="684"/>
      <c r="JLX84" s="684"/>
      <c r="JLY84" s="684"/>
      <c r="JLZ84" s="684"/>
      <c r="JMA84" s="684"/>
      <c r="JMB84" s="684"/>
      <c r="JMC84" s="684"/>
      <c r="JMD84" s="684"/>
      <c r="JME84" s="684"/>
      <c r="JMF84" s="684"/>
      <c r="JMG84" s="684"/>
      <c r="JMH84" s="684"/>
      <c r="JMI84" s="684"/>
      <c r="JMJ84" s="684"/>
      <c r="JMK84" s="684"/>
      <c r="JML84" s="684"/>
      <c r="JMM84" s="684"/>
      <c r="JMN84" s="684"/>
      <c r="JMO84" s="684"/>
      <c r="JMP84" s="684"/>
      <c r="JMQ84" s="684"/>
      <c r="JMR84" s="684"/>
      <c r="JMS84" s="684"/>
      <c r="JMT84" s="684"/>
      <c r="JMU84" s="684"/>
      <c r="JMV84" s="684"/>
      <c r="JMW84" s="684"/>
      <c r="JMX84" s="684"/>
      <c r="JMY84" s="684"/>
      <c r="JMZ84" s="684"/>
      <c r="JNA84" s="684"/>
      <c r="JNB84" s="684"/>
      <c r="JNC84" s="684"/>
      <c r="JND84" s="684"/>
      <c r="JNE84" s="684"/>
      <c r="JNF84" s="684"/>
      <c r="JNG84" s="684"/>
      <c r="JNH84" s="684"/>
      <c r="JNI84" s="684"/>
      <c r="JNJ84" s="684"/>
      <c r="JNK84" s="684"/>
      <c r="JNL84" s="684"/>
      <c r="JNM84" s="684"/>
      <c r="JNN84" s="684"/>
      <c r="JNO84" s="684"/>
      <c r="JNP84" s="684"/>
      <c r="JNQ84" s="684"/>
      <c r="JNR84" s="684"/>
      <c r="JNS84" s="684"/>
      <c r="JNT84" s="684"/>
      <c r="JNU84" s="684"/>
      <c r="JNV84" s="684"/>
      <c r="JNW84" s="684"/>
      <c r="JNX84" s="684"/>
      <c r="JNY84" s="684"/>
      <c r="JNZ84" s="684"/>
      <c r="JOA84" s="684"/>
      <c r="JOB84" s="684"/>
      <c r="JOC84" s="684"/>
      <c r="JOD84" s="684"/>
      <c r="JOE84" s="684"/>
      <c r="JOF84" s="684"/>
      <c r="JOG84" s="684"/>
      <c r="JOH84" s="684"/>
      <c r="JOI84" s="684"/>
      <c r="JOJ84" s="684"/>
      <c r="JOK84" s="684"/>
      <c r="JOL84" s="684"/>
      <c r="JOM84" s="684"/>
      <c r="JON84" s="684"/>
      <c r="JOO84" s="684"/>
      <c r="JOP84" s="684"/>
      <c r="JOQ84" s="684"/>
      <c r="JOR84" s="684"/>
      <c r="JOS84" s="684"/>
      <c r="JOT84" s="684"/>
      <c r="JOU84" s="684"/>
      <c r="JOV84" s="684"/>
      <c r="JOW84" s="684"/>
      <c r="JOX84" s="684"/>
      <c r="JOY84" s="684"/>
      <c r="JOZ84" s="684"/>
      <c r="JPA84" s="684"/>
      <c r="JPB84" s="684"/>
      <c r="JPC84" s="684"/>
      <c r="JPD84" s="684"/>
      <c r="JPE84" s="684"/>
      <c r="JPF84" s="684"/>
      <c r="JPG84" s="684"/>
      <c r="JPH84" s="684"/>
      <c r="JPI84" s="684"/>
      <c r="JPJ84" s="684"/>
      <c r="JPK84" s="684"/>
      <c r="JPL84" s="684"/>
      <c r="JPM84" s="684"/>
      <c r="JPN84" s="684"/>
      <c r="JPO84" s="684"/>
      <c r="JPP84" s="684"/>
      <c r="JPQ84" s="684"/>
      <c r="JPR84" s="684"/>
      <c r="JPS84" s="684"/>
      <c r="JPT84" s="684"/>
      <c r="JPU84" s="684"/>
      <c r="JPV84" s="684"/>
      <c r="JPW84" s="684"/>
      <c r="JPX84" s="684"/>
      <c r="JPY84" s="684"/>
      <c r="JPZ84" s="684"/>
      <c r="JQA84" s="684"/>
      <c r="JQB84" s="684"/>
      <c r="JQC84" s="684"/>
      <c r="JQD84" s="684"/>
      <c r="JQE84" s="684"/>
      <c r="JQF84" s="684"/>
      <c r="JQG84" s="684"/>
      <c r="JQH84" s="684"/>
      <c r="JQI84" s="684"/>
      <c r="JQJ84" s="684"/>
      <c r="JQK84" s="684"/>
      <c r="JQL84" s="684"/>
      <c r="JQM84" s="684"/>
      <c r="JQN84" s="684"/>
      <c r="JQO84" s="684"/>
      <c r="JQP84" s="684"/>
      <c r="JQQ84" s="684"/>
      <c r="JQR84" s="684"/>
      <c r="JQS84" s="684"/>
      <c r="JQT84" s="684"/>
      <c r="JQU84" s="684"/>
      <c r="JQV84" s="684"/>
      <c r="JQW84" s="684"/>
      <c r="JQX84" s="684"/>
      <c r="JQY84" s="684"/>
      <c r="JQZ84" s="684"/>
      <c r="JRA84" s="684"/>
      <c r="JRB84" s="684"/>
      <c r="JRC84" s="684"/>
      <c r="JRD84" s="684"/>
      <c r="JRE84" s="684"/>
      <c r="JRF84" s="684"/>
      <c r="JRG84" s="684"/>
      <c r="JRH84" s="684"/>
      <c r="JRI84" s="684"/>
      <c r="JRJ84" s="684"/>
      <c r="JRK84" s="684"/>
      <c r="JRL84" s="684"/>
      <c r="JRM84" s="684"/>
      <c r="JRN84" s="684"/>
      <c r="JRO84" s="684"/>
      <c r="JRP84" s="684"/>
      <c r="JRQ84" s="684"/>
      <c r="JRR84" s="684"/>
      <c r="JRS84" s="684"/>
      <c r="JRT84" s="684"/>
      <c r="JRU84" s="684"/>
      <c r="JRV84" s="684"/>
      <c r="JRW84" s="684"/>
      <c r="JRX84" s="684"/>
      <c r="JRY84" s="684"/>
      <c r="JRZ84" s="684"/>
      <c r="JSA84" s="684"/>
      <c r="JSB84" s="684"/>
      <c r="JSC84" s="684"/>
      <c r="JSD84" s="684"/>
      <c r="JSE84" s="684"/>
      <c r="JSF84" s="684"/>
      <c r="JSG84" s="684"/>
      <c r="JSH84" s="684"/>
      <c r="JSI84" s="684"/>
      <c r="JSJ84" s="684"/>
      <c r="JSK84" s="684"/>
      <c r="JSL84" s="684"/>
      <c r="JSM84" s="684"/>
      <c r="JSN84" s="684"/>
      <c r="JSO84" s="684"/>
      <c r="JSP84" s="684"/>
      <c r="JSQ84" s="684"/>
      <c r="JSR84" s="684"/>
      <c r="JSS84" s="684"/>
      <c r="JST84" s="684"/>
      <c r="JSU84" s="684"/>
      <c r="JSV84" s="684"/>
      <c r="JSW84" s="684"/>
      <c r="JSX84" s="684"/>
      <c r="JSY84" s="684"/>
      <c r="JSZ84" s="684"/>
      <c r="JTA84" s="684"/>
      <c r="JTB84" s="684"/>
      <c r="JTC84" s="684"/>
      <c r="JTD84" s="684"/>
      <c r="JTE84" s="684"/>
      <c r="JTF84" s="684"/>
      <c r="JTG84" s="684"/>
      <c r="JTH84" s="684"/>
      <c r="JTI84" s="684"/>
      <c r="JTJ84" s="684"/>
      <c r="JTK84" s="684"/>
      <c r="JTL84" s="684"/>
      <c r="JTM84" s="684"/>
      <c r="JTN84" s="684"/>
      <c r="JTO84" s="684"/>
      <c r="JTP84" s="684"/>
      <c r="JTQ84" s="684"/>
      <c r="JTR84" s="684"/>
      <c r="JTS84" s="684"/>
      <c r="JTT84" s="684"/>
      <c r="JTU84" s="684"/>
      <c r="JTV84" s="684"/>
      <c r="JTW84" s="684"/>
      <c r="JTX84" s="684"/>
      <c r="JTY84" s="684"/>
      <c r="JTZ84" s="684"/>
      <c r="JUA84" s="684"/>
      <c r="JUB84" s="684"/>
      <c r="JUC84" s="684"/>
      <c r="JUD84" s="684"/>
      <c r="JUE84" s="684"/>
      <c r="JUF84" s="684"/>
      <c r="JUG84" s="684"/>
      <c r="JUH84" s="684"/>
      <c r="JUI84" s="684"/>
      <c r="JUJ84" s="684"/>
      <c r="JUK84" s="684"/>
      <c r="JUL84" s="684"/>
      <c r="JUM84" s="684"/>
      <c r="JUN84" s="684"/>
      <c r="JUO84" s="684"/>
      <c r="JUP84" s="684"/>
      <c r="JUQ84" s="684"/>
      <c r="JUR84" s="684"/>
      <c r="JUS84" s="684"/>
      <c r="JUT84" s="684"/>
      <c r="JUU84" s="684"/>
      <c r="JUV84" s="684"/>
      <c r="JUW84" s="684"/>
      <c r="JUX84" s="684"/>
      <c r="JUY84" s="684"/>
      <c r="JUZ84" s="684"/>
      <c r="JVA84" s="684"/>
      <c r="JVB84" s="684"/>
      <c r="JVC84" s="684"/>
      <c r="JVD84" s="684"/>
      <c r="JVE84" s="684"/>
      <c r="JVF84" s="684"/>
      <c r="JVG84" s="684"/>
      <c r="JVH84" s="684"/>
      <c r="JVI84" s="684"/>
      <c r="JVJ84" s="684"/>
      <c r="JVK84" s="684"/>
      <c r="JVL84" s="684"/>
      <c r="JVM84" s="684"/>
      <c r="JVN84" s="684"/>
      <c r="JVO84" s="684"/>
      <c r="JVP84" s="684"/>
      <c r="JVQ84" s="684"/>
      <c r="JVR84" s="684"/>
      <c r="JVS84" s="684"/>
      <c r="JVT84" s="684"/>
      <c r="JVU84" s="684"/>
      <c r="JVV84" s="684"/>
      <c r="JVW84" s="684"/>
      <c r="JVX84" s="684"/>
      <c r="JVY84" s="684"/>
      <c r="JVZ84" s="684"/>
      <c r="JWA84" s="684"/>
      <c r="JWB84" s="684"/>
      <c r="JWC84" s="684"/>
      <c r="JWD84" s="684"/>
      <c r="JWE84" s="684"/>
      <c r="JWF84" s="684"/>
      <c r="JWG84" s="684"/>
      <c r="JWH84" s="684"/>
      <c r="JWI84" s="684"/>
      <c r="JWJ84" s="684"/>
      <c r="JWK84" s="684"/>
      <c r="JWL84" s="684"/>
      <c r="JWM84" s="684"/>
      <c r="JWN84" s="684"/>
      <c r="JWO84" s="684"/>
      <c r="JWP84" s="684"/>
      <c r="JWQ84" s="684"/>
      <c r="JWR84" s="684"/>
      <c r="JWS84" s="684"/>
      <c r="JWT84" s="684"/>
      <c r="JWU84" s="684"/>
      <c r="JWV84" s="684"/>
      <c r="JWW84" s="684"/>
      <c r="JWX84" s="684"/>
      <c r="JWY84" s="684"/>
      <c r="JWZ84" s="684"/>
      <c r="JXA84" s="684"/>
      <c r="JXB84" s="684"/>
      <c r="JXC84" s="684"/>
      <c r="JXD84" s="684"/>
      <c r="JXE84" s="684"/>
      <c r="JXF84" s="684"/>
      <c r="JXG84" s="684"/>
      <c r="JXH84" s="684"/>
      <c r="JXI84" s="684"/>
      <c r="JXJ84" s="684"/>
      <c r="JXK84" s="684"/>
      <c r="JXL84" s="684"/>
      <c r="JXM84" s="684"/>
      <c r="JXN84" s="684"/>
      <c r="JXO84" s="684"/>
      <c r="JXP84" s="684"/>
      <c r="JXQ84" s="684"/>
      <c r="JXR84" s="684"/>
      <c r="JXS84" s="684"/>
      <c r="JXT84" s="684"/>
      <c r="JXU84" s="684"/>
      <c r="JXV84" s="684"/>
      <c r="JXW84" s="684"/>
      <c r="JXX84" s="684"/>
      <c r="JXY84" s="684"/>
      <c r="JXZ84" s="684"/>
      <c r="JYA84" s="684"/>
      <c r="JYB84" s="684"/>
      <c r="JYC84" s="684"/>
      <c r="JYD84" s="684"/>
      <c r="JYE84" s="684"/>
      <c r="JYF84" s="684"/>
      <c r="JYG84" s="684"/>
      <c r="JYH84" s="684"/>
      <c r="JYI84" s="684"/>
      <c r="JYJ84" s="684"/>
      <c r="JYK84" s="684"/>
      <c r="JYL84" s="684"/>
      <c r="JYM84" s="684"/>
      <c r="JYN84" s="684"/>
      <c r="JYO84" s="684"/>
      <c r="JYP84" s="684"/>
      <c r="JYQ84" s="684"/>
      <c r="JYR84" s="684"/>
      <c r="JYS84" s="684"/>
      <c r="JYT84" s="684"/>
      <c r="JYU84" s="684"/>
      <c r="JYV84" s="684"/>
      <c r="JYW84" s="684"/>
      <c r="JYX84" s="684"/>
      <c r="JYY84" s="684"/>
      <c r="JYZ84" s="684"/>
      <c r="JZA84" s="684"/>
      <c r="JZB84" s="684"/>
      <c r="JZC84" s="684"/>
      <c r="JZD84" s="684"/>
      <c r="JZE84" s="684"/>
      <c r="JZF84" s="684"/>
      <c r="JZG84" s="684"/>
      <c r="JZH84" s="684"/>
      <c r="JZI84" s="684"/>
      <c r="JZJ84" s="684"/>
      <c r="JZK84" s="684"/>
      <c r="JZL84" s="684"/>
      <c r="JZM84" s="684"/>
      <c r="JZN84" s="684"/>
      <c r="JZO84" s="684"/>
      <c r="JZP84" s="684"/>
      <c r="JZQ84" s="684"/>
      <c r="JZR84" s="684"/>
      <c r="JZS84" s="684"/>
      <c r="JZT84" s="684"/>
      <c r="JZU84" s="684"/>
      <c r="JZV84" s="684"/>
      <c r="JZW84" s="684"/>
      <c r="JZX84" s="684"/>
      <c r="JZY84" s="684"/>
      <c r="JZZ84" s="684"/>
      <c r="KAA84" s="684"/>
      <c r="KAB84" s="684"/>
      <c r="KAC84" s="684"/>
      <c r="KAD84" s="684"/>
      <c r="KAE84" s="684"/>
      <c r="KAF84" s="684"/>
      <c r="KAG84" s="684"/>
      <c r="KAH84" s="684"/>
      <c r="KAI84" s="684"/>
      <c r="KAJ84" s="684"/>
      <c r="KAK84" s="684"/>
      <c r="KAL84" s="684"/>
      <c r="KAM84" s="684"/>
      <c r="KAN84" s="684"/>
      <c r="KAO84" s="684"/>
      <c r="KAP84" s="684"/>
      <c r="KAQ84" s="684"/>
      <c r="KAR84" s="684"/>
      <c r="KAS84" s="684"/>
      <c r="KAT84" s="684"/>
      <c r="KAU84" s="684"/>
      <c r="KAV84" s="684"/>
      <c r="KAW84" s="684"/>
      <c r="KAX84" s="684"/>
      <c r="KAY84" s="684"/>
      <c r="KAZ84" s="684"/>
      <c r="KBA84" s="684"/>
      <c r="KBB84" s="684"/>
      <c r="KBC84" s="684"/>
      <c r="KBD84" s="684"/>
      <c r="KBE84" s="684"/>
      <c r="KBF84" s="684"/>
      <c r="KBG84" s="684"/>
      <c r="KBH84" s="684"/>
      <c r="KBI84" s="684"/>
      <c r="KBJ84" s="684"/>
      <c r="KBK84" s="684"/>
      <c r="KBL84" s="684"/>
      <c r="KBM84" s="684"/>
      <c r="KBN84" s="684"/>
      <c r="KBO84" s="684"/>
      <c r="KBP84" s="684"/>
      <c r="KBQ84" s="684"/>
      <c r="KBR84" s="684"/>
      <c r="KBS84" s="684"/>
      <c r="KBT84" s="684"/>
      <c r="KBU84" s="684"/>
      <c r="KBV84" s="684"/>
      <c r="KBW84" s="684"/>
      <c r="KBX84" s="684"/>
      <c r="KBY84" s="684"/>
      <c r="KBZ84" s="684"/>
      <c r="KCA84" s="684"/>
      <c r="KCB84" s="684"/>
      <c r="KCC84" s="684"/>
      <c r="KCD84" s="684"/>
      <c r="KCE84" s="684"/>
      <c r="KCF84" s="684"/>
      <c r="KCG84" s="684"/>
      <c r="KCH84" s="684"/>
      <c r="KCI84" s="684"/>
      <c r="KCJ84" s="684"/>
      <c r="KCK84" s="684"/>
      <c r="KCL84" s="684"/>
      <c r="KCM84" s="684"/>
      <c r="KCN84" s="684"/>
      <c r="KCO84" s="684"/>
      <c r="KCP84" s="684"/>
      <c r="KCQ84" s="684"/>
      <c r="KCR84" s="684"/>
      <c r="KCS84" s="684"/>
      <c r="KCT84" s="684"/>
      <c r="KCU84" s="684"/>
      <c r="KCV84" s="684"/>
      <c r="KCW84" s="684"/>
      <c r="KCX84" s="684"/>
      <c r="KCY84" s="684"/>
      <c r="KCZ84" s="684"/>
      <c r="KDA84" s="684"/>
      <c r="KDB84" s="684"/>
      <c r="KDC84" s="684"/>
      <c r="KDD84" s="684"/>
      <c r="KDE84" s="684"/>
      <c r="KDF84" s="684"/>
      <c r="KDG84" s="684"/>
      <c r="KDH84" s="684"/>
      <c r="KDI84" s="684"/>
      <c r="KDJ84" s="684"/>
      <c r="KDK84" s="684"/>
      <c r="KDL84" s="684"/>
      <c r="KDM84" s="684"/>
      <c r="KDN84" s="684"/>
      <c r="KDO84" s="684"/>
      <c r="KDP84" s="684"/>
      <c r="KDQ84" s="684"/>
      <c r="KDR84" s="684"/>
      <c r="KDS84" s="684"/>
      <c r="KDT84" s="684"/>
      <c r="KDU84" s="684"/>
      <c r="KDV84" s="684"/>
      <c r="KDW84" s="684"/>
      <c r="KDX84" s="684"/>
      <c r="KDY84" s="684"/>
      <c r="KDZ84" s="684"/>
      <c r="KEA84" s="684"/>
      <c r="KEB84" s="684"/>
      <c r="KEC84" s="684"/>
      <c r="KED84" s="684"/>
      <c r="KEE84" s="684"/>
      <c r="KEF84" s="684"/>
      <c r="KEG84" s="684"/>
      <c r="KEH84" s="684"/>
      <c r="KEI84" s="684"/>
      <c r="KEJ84" s="684"/>
      <c r="KEK84" s="684"/>
      <c r="KEL84" s="684"/>
      <c r="KEM84" s="684"/>
      <c r="KEN84" s="684"/>
      <c r="KEO84" s="684"/>
      <c r="KEP84" s="684"/>
      <c r="KEQ84" s="684"/>
      <c r="KER84" s="684"/>
      <c r="KES84" s="684"/>
      <c r="KET84" s="684"/>
      <c r="KEU84" s="684"/>
      <c r="KEV84" s="684"/>
      <c r="KEW84" s="684"/>
      <c r="KEX84" s="684"/>
      <c r="KEY84" s="684"/>
      <c r="KEZ84" s="684"/>
      <c r="KFA84" s="684"/>
      <c r="KFB84" s="684"/>
      <c r="KFC84" s="684"/>
      <c r="KFD84" s="684"/>
      <c r="KFE84" s="684"/>
      <c r="KFF84" s="684"/>
      <c r="KFG84" s="684"/>
      <c r="KFH84" s="684"/>
      <c r="KFI84" s="684"/>
      <c r="KFJ84" s="684"/>
      <c r="KFK84" s="684"/>
      <c r="KFL84" s="684"/>
      <c r="KFM84" s="684"/>
      <c r="KFN84" s="684"/>
      <c r="KFO84" s="684"/>
      <c r="KFP84" s="684"/>
      <c r="KFQ84" s="684"/>
      <c r="KFR84" s="684"/>
      <c r="KFS84" s="684"/>
      <c r="KFT84" s="684"/>
      <c r="KFU84" s="684"/>
      <c r="KFV84" s="684"/>
      <c r="KFW84" s="684"/>
      <c r="KFX84" s="684"/>
      <c r="KFY84" s="684"/>
      <c r="KFZ84" s="684"/>
      <c r="KGA84" s="684"/>
      <c r="KGB84" s="684"/>
      <c r="KGC84" s="684"/>
      <c r="KGD84" s="684"/>
      <c r="KGE84" s="684"/>
      <c r="KGF84" s="684"/>
      <c r="KGG84" s="684"/>
      <c r="KGH84" s="684"/>
      <c r="KGI84" s="684"/>
      <c r="KGJ84" s="684"/>
      <c r="KGK84" s="684"/>
      <c r="KGL84" s="684"/>
      <c r="KGM84" s="684"/>
      <c r="KGN84" s="684"/>
      <c r="KGO84" s="684"/>
      <c r="KGP84" s="684"/>
      <c r="KGQ84" s="684"/>
      <c r="KGR84" s="684"/>
      <c r="KGS84" s="684"/>
      <c r="KGT84" s="684"/>
      <c r="KGU84" s="684"/>
      <c r="KGV84" s="684"/>
      <c r="KGW84" s="684"/>
      <c r="KGX84" s="684"/>
      <c r="KGY84" s="684"/>
      <c r="KGZ84" s="684"/>
      <c r="KHA84" s="684"/>
      <c r="KHB84" s="684"/>
      <c r="KHC84" s="684"/>
      <c r="KHD84" s="684"/>
      <c r="KHE84" s="684"/>
      <c r="KHF84" s="684"/>
      <c r="KHG84" s="684"/>
      <c r="KHH84" s="684"/>
      <c r="KHI84" s="684"/>
      <c r="KHJ84" s="684"/>
      <c r="KHK84" s="684"/>
      <c r="KHL84" s="684"/>
      <c r="KHM84" s="684"/>
      <c r="KHN84" s="684"/>
      <c r="KHO84" s="684"/>
      <c r="KHP84" s="684"/>
      <c r="KHQ84" s="684"/>
      <c r="KHR84" s="684"/>
      <c r="KHS84" s="684"/>
      <c r="KHT84" s="684"/>
      <c r="KHU84" s="684"/>
      <c r="KHV84" s="684"/>
      <c r="KHW84" s="684"/>
      <c r="KHX84" s="684"/>
      <c r="KHY84" s="684"/>
      <c r="KHZ84" s="684"/>
      <c r="KIA84" s="684"/>
      <c r="KIB84" s="684"/>
      <c r="KIC84" s="684"/>
      <c r="KID84" s="684"/>
      <c r="KIE84" s="684"/>
      <c r="KIF84" s="684"/>
      <c r="KIG84" s="684"/>
      <c r="KIH84" s="684"/>
      <c r="KII84" s="684"/>
      <c r="KIJ84" s="684"/>
      <c r="KIK84" s="684"/>
      <c r="KIL84" s="684"/>
      <c r="KIM84" s="684"/>
      <c r="KIN84" s="684"/>
      <c r="KIO84" s="684"/>
      <c r="KIP84" s="684"/>
      <c r="KIQ84" s="684"/>
      <c r="KIR84" s="684"/>
      <c r="KIS84" s="684"/>
      <c r="KIT84" s="684"/>
      <c r="KIU84" s="684"/>
      <c r="KIV84" s="684"/>
      <c r="KIW84" s="684"/>
      <c r="KIX84" s="684"/>
      <c r="KIY84" s="684"/>
      <c r="KIZ84" s="684"/>
      <c r="KJA84" s="684"/>
      <c r="KJB84" s="684"/>
      <c r="KJC84" s="684"/>
      <c r="KJD84" s="684"/>
      <c r="KJE84" s="684"/>
      <c r="KJF84" s="684"/>
      <c r="KJG84" s="684"/>
      <c r="KJH84" s="684"/>
      <c r="KJI84" s="684"/>
      <c r="KJJ84" s="684"/>
      <c r="KJK84" s="684"/>
      <c r="KJL84" s="684"/>
      <c r="KJM84" s="684"/>
      <c r="KJN84" s="684"/>
      <c r="KJO84" s="684"/>
      <c r="KJP84" s="684"/>
      <c r="KJQ84" s="684"/>
      <c r="KJR84" s="684"/>
      <c r="KJS84" s="684"/>
      <c r="KJT84" s="684"/>
      <c r="KJU84" s="684"/>
      <c r="KJV84" s="684"/>
      <c r="KJW84" s="684"/>
      <c r="KJX84" s="684"/>
      <c r="KJY84" s="684"/>
      <c r="KJZ84" s="684"/>
      <c r="KKA84" s="684"/>
      <c r="KKB84" s="684"/>
      <c r="KKC84" s="684"/>
      <c r="KKD84" s="684"/>
      <c r="KKE84" s="684"/>
      <c r="KKF84" s="684"/>
      <c r="KKG84" s="684"/>
      <c r="KKH84" s="684"/>
      <c r="KKI84" s="684"/>
      <c r="KKJ84" s="684"/>
      <c r="KKK84" s="684"/>
      <c r="KKL84" s="684"/>
      <c r="KKM84" s="684"/>
      <c r="KKN84" s="684"/>
      <c r="KKO84" s="684"/>
      <c r="KKP84" s="684"/>
      <c r="KKQ84" s="684"/>
      <c r="KKR84" s="684"/>
      <c r="KKS84" s="684"/>
      <c r="KKT84" s="684"/>
      <c r="KKU84" s="684"/>
      <c r="KKV84" s="684"/>
      <c r="KKW84" s="684"/>
      <c r="KKX84" s="684"/>
      <c r="KKY84" s="684"/>
      <c r="KKZ84" s="684"/>
      <c r="KLA84" s="684"/>
      <c r="KLB84" s="684"/>
      <c r="KLC84" s="684"/>
      <c r="KLD84" s="684"/>
      <c r="KLE84" s="684"/>
      <c r="KLF84" s="684"/>
      <c r="KLG84" s="684"/>
      <c r="KLH84" s="684"/>
      <c r="KLI84" s="684"/>
      <c r="KLJ84" s="684"/>
      <c r="KLK84" s="684"/>
      <c r="KLL84" s="684"/>
      <c r="KLM84" s="684"/>
      <c r="KLN84" s="684"/>
      <c r="KLO84" s="684"/>
      <c r="KLP84" s="684"/>
      <c r="KLQ84" s="684"/>
      <c r="KLR84" s="684"/>
      <c r="KLS84" s="684"/>
      <c r="KLT84" s="684"/>
      <c r="KLU84" s="684"/>
      <c r="KLV84" s="684"/>
      <c r="KLW84" s="684"/>
      <c r="KLX84" s="684"/>
      <c r="KLY84" s="684"/>
      <c r="KLZ84" s="684"/>
      <c r="KMA84" s="684"/>
      <c r="KMB84" s="684"/>
      <c r="KMC84" s="684"/>
      <c r="KMD84" s="684"/>
      <c r="KME84" s="684"/>
      <c r="KMF84" s="684"/>
      <c r="KMG84" s="684"/>
      <c r="KMH84" s="684"/>
      <c r="KMI84" s="684"/>
      <c r="KMJ84" s="684"/>
      <c r="KMK84" s="684"/>
      <c r="KML84" s="684"/>
      <c r="KMM84" s="684"/>
      <c r="KMN84" s="684"/>
      <c r="KMO84" s="684"/>
      <c r="KMP84" s="684"/>
      <c r="KMQ84" s="684"/>
      <c r="KMR84" s="684"/>
      <c r="KMS84" s="684"/>
      <c r="KMT84" s="684"/>
      <c r="KMU84" s="684"/>
      <c r="KMV84" s="684"/>
      <c r="KMW84" s="684"/>
      <c r="KMX84" s="684"/>
      <c r="KMY84" s="684"/>
      <c r="KMZ84" s="684"/>
      <c r="KNA84" s="684"/>
      <c r="KNB84" s="684"/>
      <c r="KNC84" s="684"/>
      <c r="KND84" s="684"/>
      <c r="KNE84" s="684"/>
      <c r="KNF84" s="684"/>
      <c r="KNG84" s="684"/>
      <c r="KNH84" s="684"/>
      <c r="KNI84" s="684"/>
      <c r="KNJ84" s="684"/>
      <c r="KNK84" s="684"/>
      <c r="KNL84" s="684"/>
      <c r="KNM84" s="684"/>
      <c r="KNN84" s="684"/>
      <c r="KNO84" s="684"/>
      <c r="KNP84" s="684"/>
      <c r="KNQ84" s="684"/>
      <c r="KNR84" s="684"/>
      <c r="KNS84" s="684"/>
      <c r="KNT84" s="684"/>
      <c r="KNU84" s="684"/>
      <c r="KNV84" s="684"/>
      <c r="KNW84" s="684"/>
      <c r="KNX84" s="684"/>
      <c r="KNY84" s="684"/>
      <c r="KNZ84" s="684"/>
      <c r="KOA84" s="684"/>
      <c r="KOB84" s="684"/>
      <c r="KOC84" s="684"/>
      <c r="KOD84" s="684"/>
      <c r="KOE84" s="684"/>
      <c r="KOF84" s="684"/>
      <c r="KOG84" s="684"/>
      <c r="KOH84" s="684"/>
      <c r="KOI84" s="684"/>
      <c r="KOJ84" s="684"/>
      <c r="KOK84" s="684"/>
      <c r="KOL84" s="684"/>
      <c r="KOM84" s="684"/>
      <c r="KON84" s="684"/>
      <c r="KOO84" s="684"/>
      <c r="KOP84" s="684"/>
      <c r="KOQ84" s="684"/>
      <c r="KOR84" s="684"/>
      <c r="KOS84" s="684"/>
      <c r="KOT84" s="684"/>
      <c r="KOU84" s="684"/>
      <c r="KOV84" s="684"/>
      <c r="KOW84" s="684"/>
      <c r="KOX84" s="684"/>
      <c r="KOY84" s="684"/>
      <c r="KOZ84" s="684"/>
      <c r="KPA84" s="684"/>
      <c r="KPB84" s="684"/>
      <c r="KPC84" s="684"/>
      <c r="KPD84" s="684"/>
      <c r="KPE84" s="684"/>
      <c r="KPF84" s="684"/>
      <c r="KPG84" s="684"/>
      <c r="KPH84" s="684"/>
      <c r="KPI84" s="684"/>
      <c r="KPJ84" s="684"/>
      <c r="KPK84" s="684"/>
      <c r="KPL84" s="684"/>
      <c r="KPM84" s="684"/>
      <c r="KPN84" s="684"/>
      <c r="KPO84" s="684"/>
      <c r="KPP84" s="684"/>
      <c r="KPQ84" s="684"/>
      <c r="KPR84" s="684"/>
      <c r="KPS84" s="684"/>
      <c r="KPT84" s="684"/>
      <c r="KPU84" s="684"/>
      <c r="KPV84" s="684"/>
      <c r="KPW84" s="684"/>
      <c r="KPX84" s="684"/>
      <c r="KPY84" s="684"/>
      <c r="KPZ84" s="684"/>
      <c r="KQA84" s="684"/>
      <c r="KQB84" s="684"/>
      <c r="KQC84" s="684"/>
      <c r="KQD84" s="684"/>
      <c r="KQE84" s="684"/>
      <c r="KQF84" s="684"/>
      <c r="KQG84" s="684"/>
      <c r="KQH84" s="684"/>
      <c r="KQI84" s="684"/>
      <c r="KQJ84" s="684"/>
      <c r="KQK84" s="684"/>
      <c r="KQL84" s="684"/>
      <c r="KQM84" s="684"/>
      <c r="KQN84" s="684"/>
      <c r="KQO84" s="684"/>
      <c r="KQP84" s="684"/>
      <c r="KQQ84" s="684"/>
      <c r="KQR84" s="684"/>
      <c r="KQS84" s="684"/>
      <c r="KQT84" s="684"/>
      <c r="KQU84" s="684"/>
      <c r="KQV84" s="684"/>
      <c r="KQW84" s="684"/>
      <c r="KQX84" s="684"/>
      <c r="KQY84" s="684"/>
      <c r="KQZ84" s="684"/>
      <c r="KRA84" s="684"/>
      <c r="KRB84" s="684"/>
      <c r="KRC84" s="684"/>
      <c r="KRD84" s="684"/>
      <c r="KRE84" s="684"/>
      <c r="KRF84" s="684"/>
      <c r="KRG84" s="684"/>
      <c r="KRH84" s="684"/>
      <c r="KRI84" s="684"/>
      <c r="KRJ84" s="684"/>
      <c r="KRK84" s="684"/>
      <c r="KRL84" s="684"/>
      <c r="KRM84" s="684"/>
      <c r="KRN84" s="684"/>
      <c r="KRO84" s="684"/>
      <c r="KRP84" s="684"/>
      <c r="KRQ84" s="684"/>
      <c r="KRR84" s="684"/>
      <c r="KRS84" s="684"/>
      <c r="KRT84" s="684"/>
      <c r="KRU84" s="684"/>
      <c r="KRV84" s="684"/>
      <c r="KRW84" s="684"/>
      <c r="KRX84" s="684"/>
      <c r="KRY84" s="684"/>
      <c r="KRZ84" s="684"/>
      <c r="KSA84" s="684"/>
      <c r="KSB84" s="684"/>
      <c r="KSC84" s="684"/>
      <c r="KSD84" s="684"/>
      <c r="KSE84" s="684"/>
      <c r="KSF84" s="684"/>
      <c r="KSG84" s="684"/>
      <c r="KSH84" s="684"/>
      <c r="KSI84" s="684"/>
      <c r="KSJ84" s="684"/>
      <c r="KSK84" s="684"/>
      <c r="KSL84" s="684"/>
      <c r="KSM84" s="684"/>
      <c r="KSN84" s="684"/>
      <c r="KSO84" s="684"/>
      <c r="KSP84" s="684"/>
      <c r="KSQ84" s="684"/>
      <c r="KSR84" s="684"/>
      <c r="KSS84" s="684"/>
      <c r="KST84" s="684"/>
      <c r="KSU84" s="684"/>
      <c r="KSV84" s="684"/>
      <c r="KSW84" s="684"/>
      <c r="KSX84" s="684"/>
      <c r="KSY84" s="684"/>
      <c r="KSZ84" s="684"/>
      <c r="KTA84" s="684"/>
      <c r="KTB84" s="684"/>
      <c r="KTC84" s="684"/>
      <c r="KTD84" s="684"/>
      <c r="KTE84" s="684"/>
      <c r="KTF84" s="684"/>
      <c r="KTG84" s="684"/>
      <c r="KTH84" s="684"/>
      <c r="KTI84" s="684"/>
      <c r="KTJ84" s="684"/>
      <c r="KTK84" s="684"/>
      <c r="KTL84" s="684"/>
      <c r="KTM84" s="684"/>
      <c r="KTN84" s="684"/>
      <c r="KTO84" s="684"/>
      <c r="KTP84" s="684"/>
      <c r="KTQ84" s="684"/>
      <c r="KTR84" s="684"/>
      <c r="KTS84" s="684"/>
      <c r="KTT84" s="684"/>
      <c r="KTU84" s="684"/>
      <c r="KTV84" s="684"/>
      <c r="KTW84" s="684"/>
      <c r="KTX84" s="684"/>
      <c r="KTY84" s="684"/>
      <c r="KTZ84" s="684"/>
      <c r="KUA84" s="684"/>
      <c r="KUB84" s="684"/>
      <c r="KUC84" s="684"/>
      <c r="KUD84" s="684"/>
      <c r="KUE84" s="684"/>
      <c r="KUF84" s="684"/>
      <c r="KUG84" s="684"/>
      <c r="KUH84" s="684"/>
      <c r="KUI84" s="684"/>
      <c r="KUJ84" s="684"/>
      <c r="KUK84" s="684"/>
      <c r="KUL84" s="684"/>
      <c r="KUM84" s="684"/>
      <c r="KUN84" s="684"/>
      <c r="KUO84" s="684"/>
      <c r="KUP84" s="684"/>
      <c r="KUQ84" s="684"/>
      <c r="KUR84" s="684"/>
      <c r="KUS84" s="684"/>
      <c r="KUT84" s="684"/>
      <c r="KUU84" s="684"/>
      <c r="KUV84" s="684"/>
      <c r="KUW84" s="684"/>
      <c r="KUX84" s="684"/>
      <c r="KUY84" s="684"/>
      <c r="KUZ84" s="684"/>
      <c r="KVA84" s="684"/>
      <c r="KVB84" s="684"/>
      <c r="KVC84" s="684"/>
      <c r="KVD84" s="684"/>
      <c r="KVE84" s="684"/>
      <c r="KVF84" s="684"/>
      <c r="KVG84" s="684"/>
      <c r="KVH84" s="684"/>
      <c r="KVI84" s="684"/>
      <c r="KVJ84" s="684"/>
      <c r="KVK84" s="684"/>
      <c r="KVL84" s="684"/>
      <c r="KVM84" s="684"/>
      <c r="KVN84" s="684"/>
      <c r="KVO84" s="684"/>
      <c r="KVP84" s="684"/>
      <c r="KVQ84" s="684"/>
      <c r="KVR84" s="684"/>
      <c r="KVS84" s="684"/>
      <c r="KVT84" s="684"/>
      <c r="KVU84" s="684"/>
      <c r="KVV84" s="684"/>
      <c r="KVW84" s="684"/>
      <c r="KVX84" s="684"/>
      <c r="KVY84" s="684"/>
      <c r="KVZ84" s="684"/>
      <c r="KWA84" s="684"/>
      <c r="KWB84" s="684"/>
      <c r="KWC84" s="684"/>
      <c r="KWD84" s="684"/>
      <c r="KWE84" s="684"/>
      <c r="KWF84" s="684"/>
      <c r="KWG84" s="684"/>
      <c r="KWH84" s="684"/>
      <c r="KWI84" s="684"/>
      <c r="KWJ84" s="684"/>
      <c r="KWK84" s="684"/>
      <c r="KWL84" s="684"/>
      <c r="KWM84" s="684"/>
      <c r="KWN84" s="684"/>
      <c r="KWO84" s="684"/>
      <c r="KWP84" s="684"/>
      <c r="KWQ84" s="684"/>
      <c r="KWR84" s="684"/>
      <c r="KWS84" s="684"/>
      <c r="KWT84" s="684"/>
      <c r="KWU84" s="684"/>
      <c r="KWV84" s="684"/>
      <c r="KWW84" s="684"/>
      <c r="KWX84" s="684"/>
      <c r="KWY84" s="684"/>
      <c r="KWZ84" s="684"/>
      <c r="KXA84" s="684"/>
      <c r="KXB84" s="684"/>
      <c r="KXC84" s="684"/>
      <c r="KXD84" s="684"/>
      <c r="KXE84" s="684"/>
      <c r="KXF84" s="684"/>
      <c r="KXG84" s="684"/>
      <c r="KXH84" s="684"/>
      <c r="KXI84" s="684"/>
      <c r="KXJ84" s="684"/>
      <c r="KXK84" s="684"/>
      <c r="KXL84" s="684"/>
      <c r="KXM84" s="684"/>
      <c r="KXN84" s="684"/>
      <c r="KXO84" s="684"/>
      <c r="KXP84" s="684"/>
      <c r="KXQ84" s="684"/>
      <c r="KXR84" s="684"/>
      <c r="KXS84" s="684"/>
      <c r="KXT84" s="684"/>
      <c r="KXU84" s="684"/>
      <c r="KXV84" s="684"/>
      <c r="KXW84" s="684"/>
      <c r="KXX84" s="684"/>
      <c r="KXY84" s="684"/>
      <c r="KXZ84" s="684"/>
      <c r="KYA84" s="684"/>
      <c r="KYB84" s="684"/>
      <c r="KYC84" s="684"/>
      <c r="KYD84" s="684"/>
      <c r="KYE84" s="684"/>
      <c r="KYF84" s="684"/>
      <c r="KYG84" s="684"/>
      <c r="KYH84" s="684"/>
      <c r="KYI84" s="684"/>
      <c r="KYJ84" s="684"/>
      <c r="KYK84" s="684"/>
      <c r="KYL84" s="684"/>
      <c r="KYM84" s="684"/>
      <c r="KYN84" s="684"/>
      <c r="KYO84" s="684"/>
      <c r="KYP84" s="684"/>
      <c r="KYQ84" s="684"/>
      <c r="KYR84" s="684"/>
      <c r="KYS84" s="684"/>
      <c r="KYT84" s="684"/>
      <c r="KYU84" s="684"/>
      <c r="KYV84" s="684"/>
      <c r="KYW84" s="684"/>
      <c r="KYX84" s="684"/>
      <c r="KYY84" s="684"/>
      <c r="KYZ84" s="684"/>
      <c r="KZA84" s="684"/>
      <c r="KZB84" s="684"/>
      <c r="KZC84" s="684"/>
      <c r="KZD84" s="684"/>
      <c r="KZE84" s="684"/>
      <c r="KZF84" s="684"/>
      <c r="KZG84" s="684"/>
      <c r="KZH84" s="684"/>
      <c r="KZI84" s="684"/>
      <c r="KZJ84" s="684"/>
      <c r="KZK84" s="684"/>
      <c r="KZL84" s="684"/>
      <c r="KZM84" s="684"/>
      <c r="KZN84" s="684"/>
      <c r="KZO84" s="684"/>
      <c r="KZP84" s="684"/>
      <c r="KZQ84" s="684"/>
      <c r="KZR84" s="684"/>
      <c r="KZS84" s="684"/>
      <c r="KZT84" s="684"/>
      <c r="KZU84" s="684"/>
      <c r="KZV84" s="684"/>
      <c r="KZW84" s="684"/>
      <c r="KZX84" s="684"/>
      <c r="KZY84" s="684"/>
      <c r="KZZ84" s="684"/>
      <c r="LAA84" s="684"/>
      <c r="LAB84" s="684"/>
      <c r="LAC84" s="684"/>
      <c r="LAD84" s="684"/>
      <c r="LAE84" s="684"/>
      <c r="LAF84" s="684"/>
      <c r="LAG84" s="684"/>
      <c r="LAH84" s="684"/>
      <c r="LAI84" s="684"/>
      <c r="LAJ84" s="684"/>
      <c r="LAK84" s="684"/>
      <c r="LAL84" s="684"/>
      <c r="LAM84" s="684"/>
      <c r="LAN84" s="684"/>
      <c r="LAO84" s="684"/>
      <c r="LAP84" s="684"/>
      <c r="LAQ84" s="684"/>
      <c r="LAR84" s="684"/>
      <c r="LAS84" s="684"/>
      <c r="LAT84" s="684"/>
      <c r="LAU84" s="684"/>
      <c r="LAV84" s="684"/>
      <c r="LAW84" s="684"/>
      <c r="LAX84" s="684"/>
      <c r="LAY84" s="684"/>
      <c r="LAZ84" s="684"/>
      <c r="LBA84" s="684"/>
      <c r="LBB84" s="684"/>
      <c r="LBC84" s="684"/>
      <c r="LBD84" s="684"/>
      <c r="LBE84" s="684"/>
      <c r="LBF84" s="684"/>
      <c r="LBG84" s="684"/>
      <c r="LBH84" s="684"/>
      <c r="LBI84" s="684"/>
      <c r="LBJ84" s="684"/>
      <c r="LBK84" s="684"/>
      <c r="LBL84" s="684"/>
      <c r="LBM84" s="684"/>
      <c r="LBN84" s="684"/>
      <c r="LBO84" s="684"/>
      <c r="LBP84" s="684"/>
      <c r="LBQ84" s="684"/>
      <c r="LBR84" s="684"/>
      <c r="LBS84" s="684"/>
      <c r="LBT84" s="684"/>
      <c r="LBU84" s="684"/>
      <c r="LBV84" s="684"/>
      <c r="LBW84" s="684"/>
      <c r="LBX84" s="684"/>
      <c r="LBY84" s="684"/>
      <c r="LBZ84" s="684"/>
      <c r="LCA84" s="684"/>
      <c r="LCB84" s="684"/>
      <c r="LCC84" s="684"/>
      <c r="LCD84" s="684"/>
      <c r="LCE84" s="684"/>
      <c r="LCF84" s="684"/>
      <c r="LCG84" s="684"/>
      <c r="LCH84" s="684"/>
      <c r="LCI84" s="684"/>
      <c r="LCJ84" s="684"/>
      <c r="LCK84" s="684"/>
      <c r="LCL84" s="684"/>
      <c r="LCM84" s="684"/>
      <c r="LCN84" s="684"/>
      <c r="LCO84" s="684"/>
      <c r="LCP84" s="684"/>
      <c r="LCQ84" s="684"/>
      <c r="LCR84" s="684"/>
      <c r="LCS84" s="684"/>
      <c r="LCT84" s="684"/>
      <c r="LCU84" s="684"/>
      <c r="LCV84" s="684"/>
      <c r="LCW84" s="684"/>
      <c r="LCX84" s="684"/>
      <c r="LCY84" s="684"/>
      <c r="LCZ84" s="684"/>
      <c r="LDA84" s="684"/>
      <c r="LDB84" s="684"/>
      <c r="LDC84" s="684"/>
      <c r="LDD84" s="684"/>
      <c r="LDE84" s="684"/>
      <c r="LDF84" s="684"/>
      <c r="LDG84" s="684"/>
      <c r="LDH84" s="684"/>
      <c r="LDI84" s="684"/>
      <c r="LDJ84" s="684"/>
      <c r="LDK84" s="684"/>
      <c r="LDL84" s="684"/>
      <c r="LDM84" s="684"/>
      <c r="LDN84" s="684"/>
      <c r="LDO84" s="684"/>
      <c r="LDP84" s="684"/>
      <c r="LDQ84" s="684"/>
      <c r="LDR84" s="684"/>
      <c r="LDS84" s="684"/>
      <c r="LDT84" s="684"/>
      <c r="LDU84" s="684"/>
      <c r="LDV84" s="684"/>
      <c r="LDW84" s="684"/>
      <c r="LDX84" s="684"/>
      <c r="LDY84" s="684"/>
      <c r="LDZ84" s="684"/>
      <c r="LEA84" s="684"/>
      <c r="LEB84" s="684"/>
      <c r="LEC84" s="684"/>
      <c r="LED84" s="684"/>
      <c r="LEE84" s="684"/>
      <c r="LEF84" s="684"/>
      <c r="LEG84" s="684"/>
      <c r="LEH84" s="684"/>
      <c r="LEI84" s="684"/>
      <c r="LEJ84" s="684"/>
      <c r="LEK84" s="684"/>
      <c r="LEL84" s="684"/>
      <c r="LEM84" s="684"/>
      <c r="LEN84" s="684"/>
      <c r="LEO84" s="684"/>
      <c r="LEP84" s="684"/>
      <c r="LEQ84" s="684"/>
      <c r="LER84" s="684"/>
      <c r="LES84" s="684"/>
      <c r="LET84" s="684"/>
      <c r="LEU84" s="684"/>
      <c r="LEV84" s="684"/>
      <c r="LEW84" s="684"/>
      <c r="LEX84" s="684"/>
      <c r="LEY84" s="684"/>
      <c r="LEZ84" s="684"/>
      <c r="LFA84" s="684"/>
      <c r="LFB84" s="684"/>
      <c r="LFC84" s="684"/>
      <c r="LFD84" s="684"/>
      <c r="LFE84" s="684"/>
      <c r="LFF84" s="684"/>
      <c r="LFG84" s="684"/>
      <c r="LFH84" s="684"/>
      <c r="LFI84" s="684"/>
      <c r="LFJ84" s="684"/>
      <c r="LFK84" s="684"/>
      <c r="LFL84" s="684"/>
      <c r="LFM84" s="684"/>
      <c r="LFN84" s="684"/>
      <c r="LFO84" s="684"/>
      <c r="LFP84" s="684"/>
      <c r="LFQ84" s="684"/>
      <c r="LFR84" s="684"/>
      <c r="LFS84" s="684"/>
      <c r="LFT84" s="684"/>
      <c r="LFU84" s="684"/>
      <c r="LFV84" s="684"/>
      <c r="LFW84" s="684"/>
      <c r="LFX84" s="684"/>
      <c r="LFY84" s="684"/>
      <c r="LFZ84" s="684"/>
      <c r="LGA84" s="684"/>
      <c r="LGB84" s="684"/>
      <c r="LGC84" s="684"/>
      <c r="LGD84" s="684"/>
      <c r="LGE84" s="684"/>
      <c r="LGF84" s="684"/>
      <c r="LGG84" s="684"/>
      <c r="LGH84" s="684"/>
      <c r="LGI84" s="684"/>
      <c r="LGJ84" s="684"/>
      <c r="LGK84" s="684"/>
      <c r="LGL84" s="684"/>
      <c r="LGM84" s="684"/>
      <c r="LGN84" s="684"/>
      <c r="LGO84" s="684"/>
      <c r="LGP84" s="684"/>
      <c r="LGQ84" s="684"/>
      <c r="LGR84" s="684"/>
      <c r="LGS84" s="684"/>
      <c r="LGT84" s="684"/>
      <c r="LGU84" s="684"/>
      <c r="LGV84" s="684"/>
      <c r="LGW84" s="684"/>
      <c r="LGX84" s="684"/>
      <c r="LGY84" s="684"/>
      <c r="LGZ84" s="684"/>
      <c r="LHA84" s="684"/>
      <c r="LHB84" s="684"/>
      <c r="LHC84" s="684"/>
      <c r="LHD84" s="684"/>
      <c r="LHE84" s="684"/>
      <c r="LHF84" s="684"/>
      <c r="LHG84" s="684"/>
      <c r="LHH84" s="684"/>
      <c r="LHI84" s="684"/>
      <c r="LHJ84" s="684"/>
      <c r="LHK84" s="684"/>
      <c r="LHL84" s="684"/>
      <c r="LHM84" s="684"/>
      <c r="LHN84" s="684"/>
      <c r="LHO84" s="684"/>
      <c r="LHP84" s="684"/>
      <c r="LHQ84" s="684"/>
      <c r="LHR84" s="684"/>
      <c r="LHS84" s="684"/>
      <c r="LHT84" s="684"/>
      <c r="LHU84" s="684"/>
      <c r="LHV84" s="684"/>
      <c r="LHW84" s="684"/>
      <c r="LHX84" s="684"/>
      <c r="LHY84" s="684"/>
      <c r="LHZ84" s="684"/>
      <c r="LIA84" s="684"/>
      <c r="LIB84" s="684"/>
      <c r="LIC84" s="684"/>
      <c r="LID84" s="684"/>
      <c r="LIE84" s="684"/>
      <c r="LIF84" s="684"/>
      <c r="LIG84" s="684"/>
      <c r="LIH84" s="684"/>
      <c r="LII84" s="684"/>
      <c r="LIJ84" s="684"/>
      <c r="LIK84" s="684"/>
      <c r="LIL84" s="684"/>
      <c r="LIM84" s="684"/>
      <c r="LIN84" s="684"/>
      <c r="LIO84" s="684"/>
      <c r="LIP84" s="684"/>
      <c r="LIQ84" s="684"/>
      <c r="LIR84" s="684"/>
      <c r="LIS84" s="684"/>
      <c r="LIT84" s="684"/>
      <c r="LIU84" s="684"/>
      <c r="LIV84" s="684"/>
      <c r="LIW84" s="684"/>
      <c r="LIX84" s="684"/>
      <c r="LIY84" s="684"/>
      <c r="LIZ84" s="684"/>
      <c r="LJA84" s="684"/>
      <c r="LJB84" s="684"/>
      <c r="LJC84" s="684"/>
      <c r="LJD84" s="684"/>
      <c r="LJE84" s="684"/>
      <c r="LJF84" s="684"/>
      <c r="LJG84" s="684"/>
      <c r="LJH84" s="684"/>
      <c r="LJI84" s="684"/>
      <c r="LJJ84" s="684"/>
      <c r="LJK84" s="684"/>
      <c r="LJL84" s="684"/>
      <c r="LJM84" s="684"/>
      <c r="LJN84" s="684"/>
      <c r="LJO84" s="684"/>
      <c r="LJP84" s="684"/>
      <c r="LJQ84" s="684"/>
      <c r="LJR84" s="684"/>
      <c r="LJS84" s="684"/>
      <c r="LJT84" s="684"/>
      <c r="LJU84" s="684"/>
      <c r="LJV84" s="684"/>
      <c r="LJW84" s="684"/>
      <c r="LJX84" s="684"/>
      <c r="LJY84" s="684"/>
      <c r="LJZ84" s="684"/>
      <c r="LKA84" s="684"/>
      <c r="LKB84" s="684"/>
      <c r="LKC84" s="684"/>
      <c r="LKD84" s="684"/>
      <c r="LKE84" s="684"/>
      <c r="LKF84" s="684"/>
      <c r="LKG84" s="684"/>
      <c r="LKH84" s="684"/>
      <c r="LKI84" s="684"/>
      <c r="LKJ84" s="684"/>
      <c r="LKK84" s="684"/>
      <c r="LKL84" s="684"/>
      <c r="LKM84" s="684"/>
      <c r="LKN84" s="684"/>
      <c r="LKO84" s="684"/>
      <c r="LKP84" s="684"/>
      <c r="LKQ84" s="684"/>
      <c r="LKR84" s="684"/>
      <c r="LKS84" s="684"/>
      <c r="LKT84" s="684"/>
      <c r="LKU84" s="684"/>
      <c r="LKV84" s="684"/>
      <c r="LKW84" s="684"/>
      <c r="LKX84" s="684"/>
      <c r="LKY84" s="684"/>
      <c r="LKZ84" s="684"/>
      <c r="LLA84" s="684"/>
      <c r="LLB84" s="684"/>
      <c r="LLC84" s="684"/>
      <c r="LLD84" s="684"/>
      <c r="LLE84" s="684"/>
      <c r="LLF84" s="684"/>
      <c r="LLG84" s="684"/>
      <c r="LLH84" s="684"/>
      <c r="LLI84" s="684"/>
      <c r="LLJ84" s="684"/>
      <c r="LLK84" s="684"/>
      <c r="LLL84" s="684"/>
      <c r="LLM84" s="684"/>
      <c r="LLN84" s="684"/>
      <c r="LLO84" s="684"/>
      <c r="LLP84" s="684"/>
      <c r="LLQ84" s="684"/>
      <c r="LLR84" s="684"/>
      <c r="LLS84" s="684"/>
      <c r="LLT84" s="684"/>
      <c r="LLU84" s="684"/>
      <c r="LLV84" s="684"/>
      <c r="LLW84" s="684"/>
      <c r="LLX84" s="684"/>
      <c r="LLY84" s="684"/>
      <c r="LLZ84" s="684"/>
      <c r="LMA84" s="684"/>
      <c r="LMB84" s="684"/>
      <c r="LMC84" s="684"/>
      <c r="LMD84" s="684"/>
      <c r="LME84" s="684"/>
      <c r="LMF84" s="684"/>
      <c r="LMG84" s="684"/>
      <c r="LMH84" s="684"/>
      <c r="LMI84" s="684"/>
      <c r="LMJ84" s="684"/>
      <c r="LMK84" s="684"/>
      <c r="LML84" s="684"/>
      <c r="LMM84" s="684"/>
      <c r="LMN84" s="684"/>
      <c r="LMO84" s="684"/>
      <c r="LMP84" s="684"/>
      <c r="LMQ84" s="684"/>
      <c r="LMR84" s="684"/>
      <c r="LMS84" s="684"/>
      <c r="LMT84" s="684"/>
      <c r="LMU84" s="684"/>
      <c r="LMV84" s="684"/>
      <c r="LMW84" s="684"/>
      <c r="LMX84" s="684"/>
      <c r="LMY84" s="684"/>
      <c r="LMZ84" s="684"/>
      <c r="LNA84" s="684"/>
      <c r="LNB84" s="684"/>
      <c r="LNC84" s="684"/>
      <c r="LND84" s="684"/>
      <c r="LNE84" s="684"/>
      <c r="LNF84" s="684"/>
      <c r="LNG84" s="684"/>
      <c r="LNH84" s="684"/>
      <c r="LNI84" s="684"/>
      <c r="LNJ84" s="684"/>
      <c r="LNK84" s="684"/>
      <c r="LNL84" s="684"/>
      <c r="LNM84" s="684"/>
      <c r="LNN84" s="684"/>
      <c r="LNO84" s="684"/>
      <c r="LNP84" s="684"/>
      <c r="LNQ84" s="684"/>
      <c r="LNR84" s="684"/>
      <c r="LNS84" s="684"/>
      <c r="LNT84" s="684"/>
      <c r="LNU84" s="684"/>
      <c r="LNV84" s="684"/>
      <c r="LNW84" s="684"/>
      <c r="LNX84" s="684"/>
      <c r="LNY84" s="684"/>
      <c r="LNZ84" s="684"/>
      <c r="LOA84" s="684"/>
      <c r="LOB84" s="684"/>
      <c r="LOC84" s="684"/>
      <c r="LOD84" s="684"/>
      <c r="LOE84" s="684"/>
      <c r="LOF84" s="684"/>
      <c r="LOG84" s="684"/>
      <c r="LOH84" s="684"/>
      <c r="LOI84" s="684"/>
      <c r="LOJ84" s="684"/>
      <c r="LOK84" s="684"/>
      <c r="LOL84" s="684"/>
      <c r="LOM84" s="684"/>
      <c r="LON84" s="684"/>
      <c r="LOO84" s="684"/>
      <c r="LOP84" s="684"/>
      <c r="LOQ84" s="684"/>
      <c r="LOR84" s="684"/>
      <c r="LOS84" s="684"/>
      <c r="LOT84" s="684"/>
      <c r="LOU84" s="684"/>
      <c r="LOV84" s="684"/>
      <c r="LOW84" s="684"/>
      <c r="LOX84" s="684"/>
      <c r="LOY84" s="684"/>
      <c r="LOZ84" s="684"/>
      <c r="LPA84" s="684"/>
      <c r="LPB84" s="684"/>
      <c r="LPC84" s="684"/>
      <c r="LPD84" s="684"/>
      <c r="LPE84" s="684"/>
      <c r="LPF84" s="684"/>
      <c r="LPG84" s="684"/>
      <c r="LPH84" s="684"/>
      <c r="LPI84" s="684"/>
      <c r="LPJ84" s="684"/>
      <c r="LPK84" s="684"/>
      <c r="LPL84" s="684"/>
      <c r="LPM84" s="684"/>
      <c r="LPN84" s="684"/>
      <c r="LPO84" s="684"/>
      <c r="LPP84" s="684"/>
      <c r="LPQ84" s="684"/>
      <c r="LPR84" s="684"/>
      <c r="LPS84" s="684"/>
      <c r="LPT84" s="684"/>
      <c r="LPU84" s="684"/>
      <c r="LPV84" s="684"/>
      <c r="LPW84" s="684"/>
      <c r="LPX84" s="684"/>
      <c r="LPY84" s="684"/>
      <c r="LPZ84" s="684"/>
      <c r="LQA84" s="684"/>
      <c r="LQB84" s="684"/>
      <c r="LQC84" s="684"/>
      <c r="LQD84" s="684"/>
      <c r="LQE84" s="684"/>
      <c r="LQF84" s="684"/>
      <c r="LQG84" s="684"/>
      <c r="LQH84" s="684"/>
      <c r="LQI84" s="684"/>
      <c r="LQJ84" s="684"/>
      <c r="LQK84" s="684"/>
      <c r="LQL84" s="684"/>
      <c r="LQM84" s="684"/>
      <c r="LQN84" s="684"/>
      <c r="LQO84" s="684"/>
      <c r="LQP84" s="684"/>
      <c r="LQQ84" s="684"/>
      <c r="LQR84" s="684"/>
      <c r="LQS84" s="684"/>
      <c r="LQT84" s="684"/>
      <c r="LQU84" s="684"/>
      <c r="LQV84" s="684"/>
      <c r="LQW84" s="684"/>
      <c r="LQX84" s="684"/>
      <c r="LQY84" s="684"/>
      <c r="LQZ84" s="684"/>
      <c r="LRA84" s="684"/>
      <c r="LRB84" s="684"/>
      <c r="LRC84" s="684"/>
      <c r="LRD84" s="684"/>
      <c r="LRE84" s="684"/>
      <c r="LRF84" s="684"/>
      <c r="LRG84" s="684"/>
      <c r="LRH84" s="684"/>
      <c r="LRI84" s="684"/>
      <c r="LRJ84" s="684"/>
      <c r="LRK84" s="684"/>
      <c r="LRL84" s="684"/>
      <c r="LRM84" s="684"/>
      <c r="LRN84" s="684"/>
      <c r="LRO84" s="684"/>
      <c r="LRP84" s="684"/>
      <c r="LRQ84" s="684"/>
      <c r="LRR84" s="684"/>
      <c r="LRS84" s="684"/>
      <c r="LRT84" s="684"/>
      <c r="LRU84" s="684"/>
      <c r="LRV84" s="684"/>
      <c r="LRW84" s="684"/>
      <c r="LRX84" s="684"/>
      <c r="LRY84" s="684"/>
      <c r="LRZ84" s="684"/>
      <c r="LSA84" s="684"/>
      <c r="LSB84" s="684"/>
      <c r="LSC84" s="684"/>
      <c r="LSD84" s="684"/>
      <c r="LSE84" s="684"/>
      <c r="LSF84" s="684"/>
      <c r="LSG84" s="684"/>
      <c r="LSH84" s="684"/>
      <c r="LSI84" s="684"/>
      <c r="LSJ84" s="684"/>
      <c r="LSK84" s="684"/>
      <c r="LSL84" s="684"/>
      <c r="LSM84" s="684"/>
      <c r="LSN84" s="684"/>
      <c r="LSO84" s="684"/>
      <c r="LSP84" s="684"/>
      <c r="LSQ84" s="684"/>
      <c r="LSR84" s="684"/>
      <c r="LSS84" s="684"/>
      <c r="LST84" s="684"/>
      <c r="LSU84" s="684"/>
      <c r="LSV84" s="684"/>
      <c r="LSW84" s="684"/>
      <c r="LSX84" s="684"/>
      <c r="LSY84" s="684"/>
      <c r="LSZ84" s="684"/>
      <c r="LTA84" s="684"/>
      <c r="LTB84" s="684"/>
      <c r="LTC84" s="684"/>
      <c r="LTD84" s="684"/>
      <c r="LTE84" s="684"/>
      <c r="LTF84" s="684"/>
      <c r="LTG84" s="684"/>
      <c r="LTH84" s="684"/>
      <c r="LTI84" s="684"/>
      <c r="LTJ84" s="684"/>
      <c r="LTK84" s="684"/>
      <c r="LTL84" s="684"/>
      <c r="LTM84" s="684"/>
      <c r="LTN84" s="684"/>
      <c r="LTO84" s="684"/>
      <c r="LTP84" s="684"/>
      <c r="LTQ84" s="684"/>
      <c r="LTR84" s="684"/>
      <c r="LTS84" s="684"/>
      <c r="LTT84" s="684"/>
      <c r="LTU84" s="684"/>
      <c r="LTV84" s="684"/>
      <c r="LTW84" s="684"/>
      <c r="LTX84" s="684"/>
      <c r="LTY84" s="684"/>
      <c r="LTZ84" s="684"/>
      <c r="LUA84" s="684"/>
      <c r="LUB84" s="684"/>
      <c r="LUC84" s="684"/>
      <c r="LUD84" s="684"/>
      <c r="LUE84" s="684"/>
      <c r="LUF84" s="684"/>
      <c r="LUG84" s="684"/>
      <c r="LUH84" s="684"/>
      <c r="LUI84" s="684"/>
      <c r="LUJ84" s="684"/>
      <c r="LUK84" s="684"/>
      <c r="LUL84" s="684"/>
      <c r="LUM84" s="684"/>
      <c r="LUN84" s="684"/>
      <c r="LUO84" s="684"/>
      <c r="LUP84" s="684"/>
      <c r="LUQ84" s="684"/>
      <c r="LUR84" s="684"/>
      <c r="LUS84" s="684"/>
      <c r="LUT84" s="684"/>
      <c r="LUU84" s="684"/>
      <c r="LUV84" s="684"/>
      <c r="LUW84" s="684"/>
      <c r="LUX84" s="684"/>
      <c r="LUY84" s="684"/>
      <c r="LUZ84" s="684"/>
      <c r="LVA84" s="684"/>
      <c r="LVB84" s="684"/>
      <c r="LVC84" s="684"/>
      <c r="LVD84" s="684"/>
      <c r="LVE84" s="684"/>
      <c r="LVF84" s="684"/>
      <c r="LVG84" s="684"/>
      <c r="LVH84" s="684"/>
      <c r="LVI84" s="684"/>
      <c r="LVJ84" s="684"/>
      <c r="LVK84" s="684"/>
      <c r="LVL84" s="684"/>
      <c r="LVM84" s="684"/>
      <c r="LVN84" s="684"/>
      <c r="LVO84" s="684"/>
      <c r="LVP84" s="684"/>
      <c r="LVQ84" s="684"/>
      <c r="LVR84" s="684"/>
      <c r="LVS84" s="684"/>
      <c r="LVT84" s="684"/>
      <c r="LVU84" s="684"/>
      <c r="LVV84" s="684"/>
      <c r="LVW84" s="684"/>
      <c r="LVX84" s="684"/>
      <c r="LVY84" s="684"/>
      <c r="LVZ84" s="684"/>
      <c r="LWA84" s="684"/>
      <c r="LWB84" s="684"/>
      <c r="LWC84" s="684"/>
      <c r="LWD84" s="684"/>
      <c r="LWE84" s="684"/>
      <c r="LWF84" s="684"/>
      <c r="LWG84" s="684"/>
      <c r="LWH84" s="684"/>
      <c r="LWI84" s="684"/>
      <c r="LWJ84" s="684"/>
      <c r="LWK84" s="684"/>
      <c r="LWL84" s="684"/>
      <c r="LWM84" s="684"/>
      <c r="LWN84" s="684"/>
      <c r="LWO84" s="684"/>
      <c r="LWP84" s="684"/>
      <c r="LWQ84" s="684"/>
      <c r="LWR84" s="684"/>
      <c r="LWS84" s="684"/>
      <c r="LWT84" s="684"/>
      <c r="LWU84" s="684"/>
      <c r="LWV84" s="684"/>
      <c r="LWW84" s="684"/>
      <c r="LWX84" s="684"/>
      <c r="LWY84" s="684"/>
      <c r="LWZ84" s="684"/>
      <c r="LXA84" s="684"/>
      <c r="LXB84" s="684"/>
      <c r="LXC84" s="684"/>
      <c r="LXD84" s="684"/>
      <c r="LXE84" s="684"/>
      <c r="LXF84" s="684"/>
      <c r="LXG84" s="684"/>
      <c r="LXH84" s="684"/>
      <c r="LXI84" s="684"/>
      <c r="LXJ84" s="684"/>
      <c r="LXK84" s="684"/>
      <c r="LXL84" s="684"/>
      <c r="LXM84" s="684"/>
      <c r="LXN84" s="684"/>
      <c r="LXO84" s="684"/>
      <c r="LXP84" s="684"/>
      <c r="LXQ84" s="684"/>
      <c r="LXR84" s="684"/>
      <c r="LXS84" s="684"/>
      <c r="LXT84" s="684"/>
      <c r="LXU84" s="684"/>
      <c r="LXV84" s="684"/>
      <c r="LXW84" s="684"/>
      <c r="LXX84" s="684"/>
      <c r="LXY84" s="684"/>
      <c r="LXZ84" s="684"/>
      <c r="LYA84" s="684"/>
      <c r="LYB84" s="684"/>
      <c r="LYC84" s="684"/>
      <c r="LYD84" s="684"/>
      <c r="LYE84" s="684"/>
      <c r="LYF84" s="684"/>
      <c r="LYG84" s="684"/>
      <c r="LYH84" s="684"/>
      <c r="LYI84" s="684"/>
      <c r="LYJ84" s="684"/>
      <c r="LYK84" s="684"/>
      <c r="LYL84" s="684"/>
      <c r="LYM84" s="684"/>
      <c r="LYN84" s="684"/>
      <c r="LYO84" s="684"/>
      <c r="LYP84" s="684"/>
      <c r="LYQ84" s="684"/>
      <c r="LYR84" s="684"/>
      <c r="LYS84" s="684"/>
      <c r="LYT84" s="684"/>
      <c r="LYU84" s="684"/>
      <c r="LYV84" s="684"/>
      <c r="LYW84" s="684"/>
      <c r="LYX84" s="684"/>
      <c r="LYY84" s="684"/>
      <c r="LYZ84" s="684"/>
      <c r="LZA84" s="684"/>
      <c r="LZB84" s="684"/>
      <c r="LZC84" s="684"/>
      <c r="LZD84" s="684"/>
      <c r="LZE84" s="684"/>
      <c r="LZF84" s="684"/>
      <c r="LZG84" s="684"/>
      <c r="LZH84" s="684"/>
      <c r="LZI84" s="684"/>
      <c r="LZJ84" s="684"/>
      <c r="LZK84" s="684"/>
      <c r="LZL84" s="684"/>
      <c r="LZM84" s="684"/>
      <c r="LZN84" s="684"/>
      <c r="LZO84" s="684"/>
      <c r="LZP84" s="684"/>
      <c r="LZQ84" s="684"/>
      <c r="LZR84" s="684"/>
      <c r="LZS84" s="684"/>
      <c r="LZT84" s="684"/>
      <c r="LZU84" s="684"/>
      <c r="LZV84" s="684"/>
      <c r="LZW84" s="684"/>
      <c r="LZX84" s="684"/>
      <c r="LZY84" s="684"/>
      <c r="LZZ84" s="684"/>
      <c r="MAA84" s="684"/>
      <c r="MAB84" s="684"/>
      <c r="MAC84" s="684"/>
      <c r="MAD84" s="684"/>
      <c r="MAE84" s="684"/>
      <c r="MAF84" s="684"/>
      <c r="MAG84" s="684"/>
      <c r="MAH84" s="684"/>
      <c r="MAI84" s="684"/>
      <c r="MAJ84" s="684"/>
      <c r="MAK84" s="684"/>
      <c r="MAL84" s="684"/>
      <c r="MAM84" s="684"/>
      <c r="MAN84" s="684"/>
      <c r="MAO84" s="684"/>
      <c r="MAP84" s="684"/>
      <c r="MAQ84" s="684"/>
      <c r="MAR84" s="684"/>
      <c r="MAS84" s="684"/>
      <c r="MAT84" s="684"/>
      <c r="MAU84" s="684"/>
      <c r="MAV84" s="684"/>
      <c r="MAW84" s="684"/>
      <c r="MAX84" s="684"/>
      <c r="MAY84" s="684"/>
      <c r="MAZ84" s="684"/>
      <c r="MBA84" s="684"/>
      <c r="MBB84" s="684"/>
      <c r="MBC84" s="684"/>
      <c r="MBD84" s="684"/>
      <c r="MBE84" s="684"/>
      <c r="MBF84" s="684"/>
      <c r="MBG84" s="684"/>
      <c r="MBH84" s="684"/>
      <c r="MBI84" s="684"/>
      <c r="MBJ84" s="684"/>
      <c r="MBK84" s="684"/>
      <c r="MBL84" s="684"/>
      <c r="MBM84" s="684"/>
      <c r="MBN84" s="684"/>
      <c r="MBO84" s="684"/>
      <c r="MBP84" s="684"/>
      <c r="MBQ84" s="684"/>
      <c r="MBR84" s="684"/>
      <c r="MBS84" s="684"/>
      <c r="MBT84" s="684"/>
      <c r="MBU84" s="684"/>
      <c r="MBV84" s="684"/>
      <c r="MBW84" s="684"/>
      <c r="MBX84" s="684"/>
      <c r="MBY84" s="684"/>
      <c r="MBZ84" s="684"/>
      <c r="MCA84" s="684"/>
      <c r="MCB84" s="684"/>
      <c r="MCC84" s="684"/>
      <c r="MCD84" s="684"/>
      <c r="MCE84" s="684"/>
      <c r="MCF84" s="684"/>
      <c r="MCG84" s="684"/>
      <c r="MCH84" s="684"/>
      <c r="MCI84" s="684"/>
      <c r="MCJ84" s="684"/>
      <c r="MCK84" s="684"/>
      <c r="MCL84" s="684"/>
      <c r="MCM84" s="684"/>
      <c r="MCN84" s="684"/>
      <c r="MCO84" s="684"/>
      <c r="MCP84" s="684"/>
      <c r="MCQ84" s="684"/>
      <c r="MCR84" s="684"/>
      <c r="MCS84" s="684"/>
      <c r="MCT84" s="684"/>
      <c r="MCU84" s="684"/>
      <c r="MCV84" s="684"/>
      <c r="MCW84" s="684"/>
      <c r="MCX84" s="684"/>
      <c r="MCY84" s="684"/>
      <c r="MCZ84" s="684"/>
      <c r="MDA84" s="684"/>
      <c r="MDB84" s="684"/>
      <c r="MDC84" s="684"/>
      <c r="MDD84" s="684"/>
      <c r="MDE84" s="684"/>
      <c r="MDF84" s="684"/>
      <c r="MDG84" s="684"/>
      <c r="MDH84" s="684"/>
      <c r="MDI84" s="684"/>
      <c r="MDJ84" s="684"/>
      <c r="MDK84" s="684"/>
      <c r="MDL84" s="684"/>
      <c r="MDM84" s="684"/>
      <c r="MDN84" s="684"/>
      <c r="MDO84" s="684"/>
      <c r="MDP84" s="684"/>
      <c r="MDQ84" s="684"/>
      <c r="MDR84" s="684"/>
      <c r="MDS84" s="684"/>
      <c r="MDT84" s="684"/>
      <c r="MDU84" s="684"/>
      <c r="MDV84" s="684"/>
      <c r="MDW84" s="684"/>
      <c r="MDX84" s="684"/>
      <c r="MDY84" s="684"/>
      <c r="MDZ84" s="684"/>
      <c r="MEA84" s="684"/>
      <c r="MEB84" s="684"/>
      <c r="MEC84" s="684"/>
      <c r="MED84" s="684"/>
      <c r="MEE84" s="684"/>
      <c r="MEF84" s="684"/>
      <c r="MEG84" s="684"/>
      <c r="MEH84" s="684"/>
      <c r="MEI84" s="684"/>
      <c r="MEJ84" s="684"/>
      <c r="MEK84" s="684"/>
      <c r="MEL84" s="684"/>
      <c r="MEM84" s="684"/>
      <c r="MEN84" s="684"/>
      <c r="MEO84" s="684"/>
      <c r="MEP84" s="684"/>
      <c r="MEQ84" s="684"/>
      <c r="MER84" s="684"/>
      <c r="MES84" s="684"/>
      <c r="MET84" s="684"/>
      <c r="MEU84" s="684"/>
      <c r="MEV84" s="684"/>
      <c r="MEW84" s="684"/>
      <c r="MEX84" s="684"/>
      <c r="MEY84" s="684"/>
      <c r="MEZ84" s="684"/>
      <c r="MFA84" s="684"/>
      <c r="MFB84" s="684"/>
      <c r="MFC84" s="684"/>
      <c r="MFD84" s="684"/>
      <c r="MFE84" s="684"/>
      <c r="MFF84" s="684"/>
      <c r="MFG84" s="684"/>
      <c r="MFH84" s="684"/>
      <c r="MFI84" s="684"/>
      <c r="MFJ84" s="684"/>
      <c r="MFK84" s="684"/>
      <c r="MFL84" s="684"/>
      <c r="MFM84" s="684"/>
      <c r="MFN84" s="684"/>
      <c r="MFO84" s="684"/>
      <c r="MFP84" s="684"/>
      <c r="MFQ84" s="684"/>
      <c r="MFR84" s="684"/>
      <c r="MFS84" s="684"/>
      <c r="MFT84" s="684"/>
      <c r="MFU84" s="684"/>
      <c r="MFV84" s="684"/>
      <c r="MFW84" s="684"/>
      <c r="MFX84" s="684"/>
      <c r="MFY84" s="684"/>
      <c r="MFZ84" s="684"/>
      <c r="MGA84" s="684"/>
      <c r="MGB84" s="684"/>
      <c r="MGC84" s="684"/>
      <c r="MGD84" s="684"/>
      <c r="MGE84" s="684"/>
      <c r="MGF84" s="684"/>
      <c r="MGG84" s="684"/>
      <c r="MGH84" s="684"/>
      <c r="MGI84" s="684"/>
      <c r="MGJ84" s="684"/>
      <c r="MGK84" s="684"/>
      <c r="MGL84" s="684"/>
      <c r="MGM84" s="684"/>
      <c r="MGN84" s="684"/>
      <c r="MGO84" s="684"/>
      <c r="MGP84" s="684"/>
      <c r="MGQ84" s="684"/>
      <c r="MGR84" s="684"/>
      <c r="MGS84" s="684"/>
      <c r="MGT84" s="684"/>
      <c r="MGU84" s="684"/>
      <c r="MGV84" s="684"/>
      <c r="MGW84" s="684"/>
      <c r="MGX84" s="684"/>
      <c r="MGY84" s="684"/>
      <c r="MGZ84" s="684"/>
      <c r="MHA84" s="684"/>
      <c r="MHB84" s="684"/>
      <c r="MHC84" s="684"/>
      <c r="MHD84" s="684"/>
      <c r="MHE84" s="684"/>
      <c r="MHF84" s="684"/>
      <c r="MHG84" s="684"/>
      <c r="MHH84" s="684"/>
      <c r="MHI84" s="684"/>
      <c r="MHJ84" s="684"/>
      <c r="MHK84" s="684"/>
      <c r="MHL84" s="684"/>
      <c r="MHM84" s="684"/>
      <c r="MHN84" s="684"/>
      <c r="MHO84" s="684"/>
      <c r="MHP84" s="684"/>
      <c r="MHQ84" s="684"/>
      <c r="MHR84" s="684"/>
      <c r="MHS84" s="684"/>
      <c r="MHT84" s="684"/>
      <c r="MHU84" s="684"/>
      <c r="MHV84" s="684"/>
      <c r="MHW84" s="684"/>
      <c r="MHX84" s="684"/>
      <c r="MHY84" s="684"/>
      <c r="MHZ84" s="684"/>
      <c r="MIA84" s="684"/>
      <c r="MIB84" s="684"/>
      <c r="MIC84" s="684"/>
      <c r="MID84" s="684"/>
      <c r="MIE84" s="684"/>
      <c r="MIF84" s="684"/>
      <c r="MIG84" s="684"/>
      <c r="MIH84" s="684"/>
      <c r="MII84" s="684"/>
      <c r="MIJ84" s="684"/>
      <c r="MIK84" s="684"/>
      <c r="MIL84" s="684"/>
      <c r="MIM84" s="684"/>
      <c r="MIN84" s="684"/>
      <c r="MIO84" s="684"/>
      <c r="MIP84" s="684"/>
      <c r="MIQ84" s="684"/>
      <c r="MIR84" s="684"/>
      <c r="MIS84" s="684"/>
      <c r="MIT84" s="684"/>
      <c r="MIU84" s="684"/>
      <c r="MIV84" s="684"/>
      <c r="MIW84" s="684"/>
      <c r="MIX84" s="684"/>
      <c r="MIY84" s="684"/>
      <c r="MIZ84" s="684"/>
      <c r="MJA84" s="684"/>
      <c r="MJB84" s="684"/>
      <c r="MJC84" s="684"/>
      <c r="MJD84" s="684"/>
      <c r="MJE84" s="684"/>
      <c r="MJF84" s="684"/>
      <c r="MJG84" s="684"/>
      <c r="MJH84" s="684"/>
      <c r="MJI84" s="684"/>
      <c r="MJJ84" s="684"/>
      <c r="MJK84" s="684"/>
      <c r="MJL84" s="684"/>
      <c r="MJM84" s="684"/>
      <c r="MJN84" s="684"/>
      <c r="MJO84" s="684"/>
      <c r="MJP84" s="684"/>
      <c r="MJQ84" s="684"/>
      <c r="MJR84" s="684"/>
      <c r="MJS84" s="684"/>
      <c r="MJT84" s="684"/>
      <c r="MJU84" s="684"/>
      <c r="MJV84" s="684"/>
      <c r="MJW84" s="684"/>
      <c r="MJX84" s="684"/>
      <c r="MJY84" s="684"/>
      <c r="MJZ84" s="684"/>
      <c r="MKA84" s="684"/>
      <c r="MKB84" s="684"/>
      <c r="MKC84" s="684"/>
      <c r="MKD84" s="684"/>
      <c r="MKE84" s="684"/>
      <c r="MKF84" s="684"/>
      <c r="MKG84" s="684"/>
      <c r="MKH84" s="684"/>
      <c r="MKI84" s="684"/>
      <c r="MKJ84" s="684"/>
      <c r="MKK84" s="684"/>
      <c r="MKL84" s="684"/>
      <c r="MKM84" s="684"/>
      <c r="MKN84" s="684"/>
      <c r="MKO84" s="684"/>
      <c r="MKP84" s="684"/>
      <c r="MKQ84" s="684"/>
      <c r="MKR84" s="684"/>
      <c r="MKS84" s="684"/>
      <c r="MKT84" s="684"/>
      <c r="MKU84" s="684"/>
      <c r="MKV84" s="684"/>
      <c r="MKW84" s="684"/>
      <c r="MKX84" s="684"/>
      <c r="MKY84" s="684"/>
      <c r="MKZ84" s="684"/>
      <c r="MLA84" s="684"/>
      <c r="MLB84" s="684"/>
      <c r="MLC84" s="684"/>
      <c r="MLD84" s="684"/>
      <c r="MLE84" s="684"/>
      <c r="MLF84" s="684"/>
      <c r="MLG84" s="684"/>
      <c r="MLH84" s="684"/>
      <c r="MLI84" s="684"/>
      <c r="MLJ84" s="684"/>
      <c r="MLK84" s="684"/>
      <c r="MLL84" s="684"/>
      <c r="MLM84" s="684"/>
      <c r="MLN84" s="684"/>
      <c r="MLO84" s="684"/>
      <c r="MLP84" s="684"/>
      <c r="MLQ84" s="684"/>
      <c r="MLR84" s="684"/>
      <c r="MLS84" s="684"/>
      <c r="MLT84" s="684"/>
      <c r="MLU84" s="684"/>
      <c r="MLV84" s="684"/>
      <c r="MLW84" s="684"/>
      <c r="MLX84" s="684"/>
      <c r="MLY84" s="684"/>
      <c r="MLZ84" s="684"/>
      <c r="MMA84" s="684"/>
      <c r="MMB84" s="684"/>
      <c r="MMC84" s="684"/>
      <c r="MMD84" s="684"/>
      <c r="MME84" s="684"/>
      <c r="MMF84" s="684"/>
      <c r="MMG84" s="684"/>
      <c r="MMH84" s="684"/>
      <c r="MMI84" s="684"/>
      <c r="MMJ84" s="684"/>
      <c r="MMK84" s="684"/>
      <c r="MML84" s="684"/>
      <c r="MMM84" s="684"/>
      <c r="MMN84" s="684"/>
      <c r="MMO84" s="684"/>
      <c r="MMP84" s="684"/>
      <c r="MMQ84" s="684"/>
      <c r="MMR84" s="684"/>
      <c r="MMS84" s="684"/>
      <c r="MMT84" s="684"/>
      <c r="MMU84" s="684"/>
      <c r="MMV84" s="684"/>
      <c r="MMW84" s="684"/>
      <c r="MMX84" s="684"/>
      <c r="MMY84" s="684"/>
      <c r="MMZ84" s="684"/>
      <c r="MNA84" s="684"/>
      <c r="MNB84" s="684"/>
      <c r="MNC84" s="684"/>
      <c r="MND84" s="684"/>
      <c r="MNE84" s="684"/>
      <c r="MNF84" s="684"/>
      <c r="MNG84" s="684"/>
      <c r="MNH84" s="684"/>
      <c r="MNI84" s="684"/>
      <c r="MNJ84" s="684"/>
      <c r="MNK84" s="684"/>
      <c r="MNL84" s="684"/>
      <c r="MNM84" s="684"/>
      <c r="MNN84" s="684"/>
      <c r="MNO84" s="684"/>
      <c r="MNP84" s="684"/>
      <c r="MNQ84" s="684"/>
      <c r="MNR84" s="684"/>
      <c r="MNS84" s="684"/>
      <c r="MNT84" s="684"/>
      <c r="MNU84" s="684"/>
      <c r="MNV84" s="684"/>
      <c r="MNW84" s="684"/>
      <c r="MNX84" s="684"/>
      <c r="MNY84" s="684"/>
      <c r="MNZ84" s="684"/>
      <c r="MOA84" s="684"/>
      <c r="MOB84" s="684"/>
      <c r="MOC84" s="684"/>
      <c r="MOD84" s="684"/>
      <c r="MOE84" s="684"/>
      <c r="MOF84" s="684"/>
      <c r="MOG84" s="684"/>
      <c r="MOH84" s="684"/>
      <c r="MOI84" s="684"/>
      <c r="MOJ84" s="684"/>
      <c r="MOK84" s="684"/>
      <c r="MOL84" s="684"/>
      <c r="MOM84" s="684"/>
      <c r="MON84" s="684"/>
      <c r="MOO84" s="684"/>
      <c r="MOP84" s="684"/>
      <c r="MOQ84" s="684"/>
      <c r="MOR84" s="684"/>
      <c r="MOS84" s="684"/>
      <c r="MOT84" s="684"/>
      <c r="MOU84" s="684"/>
      <c r="MOV84" s="684"/>
      <c r="MOW84" s="684"/>
      <c r="MOX84" s="684"/>
      <c r="MOY84" s="684"/>
      <c r="MOZ84" s="684"/>
      <c r="MPA84" s="684"/>
      <c r="MPB84" s="684"/>
      <c r="MPC84" s="684"/>
      <c r="MPD84" s="684"/>
      <c r="MPE84" s="684"/>
      <c r="MPF84" s="684"/>
      <c r="MPG84" s="684"/>
      <c r="MPH84" s="684"/>
      <c r="MPI84" s="684"/>
      <c r="MPJ84" s="684"/>
      <c r="MPK84" s="684"/>
      <c r="MPL84" s="684"/>
      <c r="MPM84" s="684"/>
      <c r="MPN84" s="684"/>
      <c r="MPO84" s="684"/>
      <c r="MPP84" s="684"/>
      <c r="MPQ84" s="684"/>
      <c r="MPR84" s="684"/>
      <c r="MPS84" s="684"/>
      <c r="MPT84" s="684"/>
      <c r="MPU84" s="684"/>
      <c r="MPV84" s="684"/>
      <c r="MPW84" s="684"/>
      <c r="MPX84" s="684"/>
      <c r="MPY84" s="684"/>
      <c r="MPZ84" s="684"/>
      <c r="MQA84" s="684"/>
      <c r="MQB84" s="684"/>
      <c r="MQC84" s="684"/>
      <c r="MQD84" s="684"/>
      <c r="MQE84" s="684"/>
      <c r="MQF84" s="684"/>
      <c r="MQG84" s="684"/>
      <c r="MQH84" s="684"/>
      <c r="MQI84" s="684"/>
      <c r="MQJ84" s="684"/>
      <c r="MQK84" s="684"/>
      <c r="MQL84" s="684"/>
      <c r="MQM84" s="684"/>
      <c r="MQN84" s="684"/>
      <c r="MQO84" s="684"/>
      <c r="MQP84" s="684"/>
      <c r="MQQ84" s="684"/>
      <c r="MQR84" s="684"/>
      <c r="MQS84" s="684"/>
      <c r="MQT84" s="684"/>
      <c r="MQU84" s="684"/>
      <c r="MQV84" s="684"/>
      <c r="MQW84" s="684"/>
      <c r="MQX84" s="684"/>
      <c r="MQY84" s="684"/>
      <c r="MQZ84" s="684"/>
      <c r="MRA84" s="684"/>
      <c r="MRB84" s="684"/>
      <c r="MRC84" s="684"/>
      <c r="MRD84" s="684"/>
      <c r="MRE84" s="684"/>
      <c r="MRF84" s="684"/>
      <c r="MRG84" s="684"/>
      <c r="MRH84" s="684"/>
      <c r="MRI84" s="684"/>
      <c r="MRJ84" s="684"/>
      <c r="MRK84" s="684"/>
      <c r="MRL84" s="684"/>
      <c r="MRM84" s="684"/>
      <c r="MRN84" s="684"/>
      <c r="MRO84" s="684"/>
      <c r="MRP84" s="684"/>
      <c r="MRQ84" s="684"/>
      <c r="MRR84" s="684"/>
      <c r="MRS84" s="684"/>
      <c r="MRT84" s="684"/>
      <c r="MRU84" s="684"/>
      <c r="MRV84" s="684"/>
      <c r="MRW84" s="684"/>
      <c r="MRX84" s="684"/>
      <c r="MRY84" s="684"/>
      <c r="MRZ84" s="684"/>
      <c r="MSA84" s="684"/>
      <c r="MSB84" s="684"/>
      <c r="MSC84" s="684"/>
      <c r="MSD84" s="684"/>
      <c r="MSE84" s="684"/>
      <c r="MSF84" s="684"/>
      <c r="MSG84" s="684"/>
      <c r="MSH84" s="684"/>
      <c r="MSI84" s="684"/>
      <c r="MSJ84" s="684"/>
      <c r="MSK84" s="684"/>
      <c r="MSL84" s="684"/>
      <c r="MSM84" s="684"/>
      <c r="MSN84" s="684"/>
      <c r="MSO84" s="684"/>
      <c r="MSP84" s="684"/>
      <c r="MSQ84" s="684"/>
      <c r="MSR84" s="684"/>
      <c r="MSS84" s="684"/>
      <c r="MST84" s="684"/>
      <c r="MSU84" s="684"/>
      <c r="MSV84" s="684"/>
      <c r="MSW84" s="684"/>
      <c r="MSX84" s="684"/>
      <c r="MSY84" s="684"/>
      <c r="MSZ84" s="684"/>
      <c r="MTA84" s="684"/>
      <c r="MTB84" s="684"/>
      <c r="MTC84" s="684"/>
      <c r="MTD84" s="684"/>
      <c r="MTE84" s="684"/>
      <c r="MTF84" s="684"/>
      <c r="MTG84" s="684"/>
      <c r="MTH84" s="684"/>
      <c r="MTI84" s="684"/>
      <c r="MTJ84" s="684"/>
      <c r="MTK84" s="684"/>
      <c r="MTL84" s="684"/>
      <c r="MTM84" s="684"/>
      <c r="MTN84" s="684"/>
      <c r="MTO84" s="684"/>
      <c r="MTP84" s="684"/>
      <c r="MTQ84" s="684"/>
      <c r="MTR84" s="684"/>
      <c r="MTS84" s="684"/>
      <c r="MTT84" s="684"/>
      <c r="MTU84" s="684"/>
      <c r="MTV84" s="684"/>
      <c r="MTW84" s="684"/>
      <c r="MTX84" s="684"/>
      <c r="MTY84" s="684"/>
      <c r="MTZ84" s="684"/>
      <c r="MUA84" s="684"/>
      <c r="MUB84" s="684"/>
      <c r="MUC84" s="684"/>
      <c r="MUD84" s="684"/>
      <c r="MUE84" s="684"/>
      <c r="MUF84" s="684"/>
      <c r="MUG84" s="684"/>
      <c r="MUH84" s="684"/>
      <c r="MUI84" s="684"/>
      <c r="MUJ84" s="684"/>
      <c r="MUK84" s="684"/>
      <c r="MUL84" s="684"/>
      <c r="MUM84" s="684"/>
      <c r="MUN84" s="684"/>
      <c r="MUO84" s="684"/>
      <c r="MUP84" s="684"/>
      <c r="MUQ84" s="684"/>
      <c r="MUR84" s="684"/>
      <c r="MUS84" s="684"/>
      <c r="MUT84" s="684"/>
      <c r="MUU84" s="684"/>
      <c r="MUV84" s="684"/>
      <c r="MUW84" s="684"/>
      <c r="MUX84" s="684"/>
      <c r="MUY84" s="684"/>
      <c r="MUZ84" s="684"/>
      <c r="MVA84" s="684"/>
      <c r="MVB84" s="684"/>
      <c r="MVC84" s="684"/>
      <c r="MVD84" s="684"/>
      <c r="MVE84" s="684"/>
      <c r="MVF84" s="684"/>
      <c r="MVG84" s="684"/>
      <c r="MVH84" s="684"/>
      <c r="MVI84" s="684"/>
      <c r="MVJ84" s="684"/>
      <c r="MVK84" s="684"/>
      <c r="MVL84" s="684"/>
      <c r="MVM84" s="684"/>
      <c r="MVN84" s="684"/>
      <c r="MVO84" s="684"/>
      <c r="MVP84" s="684"/>
      <c r="MVQ84" s="684"/>
      <c r="MVR84" s="684"/>
      <c r="MVS84" s="684"/>
      <c r="MVT84" s="684"/>
      <c r="MVU84" s="684"/>
      <c r="MVV84" s="684"/>
      <c r="MVW84" s="684"/>
      <c r="MVX84" s="684"/>
      <c r="MVY84" s="684"/>
      <c r="MVZ84" s="684"/>
      <c r="MWA84" s="684"/>
      <c r="MWB84" s="684"/>
      <c r="MWC84" s="684"/>
      <c r="MWD84" s="684"/>
      <c r="MWE84" s="684"/>
      <c r="MWF84" s="684"/>
      <c r="MWG84" s="684"/>
      <c r="MWH84" s="684"/>
      <c r="MWI84" s="684"/>
      <c r="MWJ84" s="684"/>
      <c r="MWK84" s="684"/>
      <c r="MWL84" s="684"/>
      <c r="MWM84" s="684"/>
      <c r="MWN84" s="684"/>
      <c r="MWO84" s="684"/>
      <c r="MWP84" s="684"/>
      <c r="MWQ84" s="684"/>
      <c r="MWR84" s="684"/>
      <c r="MWS84" s="684"/>
      <c r="MWT84" s="684"/>
      <c r="MWU84" s="684"/>
      <c r="MWV84" s="684"/>
      <c r="MWW84" s="684"/>
      <c r="MWX84" s="684"/>
      <c r="MWY84" s="684"/>
      <c r="MWZ84" s="684"/>
      <c r="MXA84" s="684"/>
      <c r="MXB84" s="684"/>
      <c r="MXC84" s="684"/>
      <c r="MXD84" s="684"/>
      <c r="MXE84" s="684"/>
      <c r="MXF84" s="684"/>
      <c r="MXG84" s="684"/>
      <c r="MXH84" s="684"/>
      <c r="MXI84" s="684"/>
      <c r="MXJ84" s="684"/>
      <c r="MXK84" s="684"/>
      <c r="MXL84" s="684"/>
      <c r="MXM84" s="684"/>
      <c r="MXN84" s="684"/>
      <c r="MXO84" s="684"/>
      <c r="MXP84" s="684"/>
      <c r="MXQ84" s="684"/>
      <c r="MXR84" s="684"/>
      <c r="MXS84" s="684"/>
      <c r="MXT84" s="684"/>
      <c r="MXU84" s="684"/>
      <c r="MXV84" s="684"/>
      <c r="MXW84" s="684"/>
      <c r="MXX84" s="684"/>
      <c r="MXY84" s="684"/>
      <c r="MXZ84" s="684"/>
      <c r="MYA84" s="684"/>
      <c r="MYB84" s="684"/>
      <c r="MYC84" s="684"/>
      <c r="MYD84" s="684"/>
      <c r="MYE84" s="684"/>
      <c r="MYF84" s="684"/>
      <c r="MYG84" s="684"/>
      <c r="MYH84" s="684"/>
      <c r="MYI84" s="684"/>
      <c r="MYJ84" s="684"/>
      <c r="MYK84" s="684"/>
      <c r="MYL84" s="684"/>
      <c r="MYM84" s="684"/>
      <c r="MYN84" s="684"/>
      <c r="MYO84" s="684"/>
      <c r="MYP84" s="684"/>
      <c r="MYQ84" s="684"/>
      <c r="MYR84" s="684"/>
      <c r="MYS84" s="684"/>
      <c r="MYT84" s="684"/>
      <c r="MYU84" s="684"/>
      <c r="MYV84" s="684"/>
      <c r="MYW84" s="684"/>
      <c r="MYX84" s="684"/>
      <c r="MYY84" s="684"/>
      <c r="MYZ84" s="684"/>
      <c r="MZA84" s="684"/>
      <c r="MZB84" s="684"/>
      <c r="MZC84" s="684"/>
      <c r="MZD84" s="684"/>
      <c r="MZE84" s="684"/>
      <c r="MZF84" s="684"/>
      <c r="MZG84" s="684"/>
      <c r="MZH84" s="684"/>
      <c r="MZI84" s="684"/>
      <c r="MZJ84" s="684"/>
      <c r="MZK84" s="684"/>
      <c r="MZL84" s="684"/>
      <c r="MZM84" s="684"/>
      <c r="MZN84" s="684"/>
      <c r="MZO84" s="684"/>
      <c r="MZP84" s="684"/>
      <c r="MZQ84" s="684"/>
      <c r="MZR84" s="684"/>
      <c r="MZS84" s="684"/>
      <c r="MZT84" s="684"/>
      <c r="MZU84" s="684"/>
      <c r="MZV84" s="684"/>
      <c r="MZW84" s="684"/>
      <c r="MZX84" s="684"/>
      <c r="MZY84" s="684"/>
      <c r="MZZ84" s="684"/>
      <c r="NAA84" s="684"/>
      <c r="NAB84" s="684"/>
      <c r="NAC84" s="684"/>
      <c r="NAD84" s="684"/>
      <c r="NAE84" s="684"/>
      <c r="NAF84" s="684"/>
      <c r="NAG84" s="684"/>
      <c r="NAH84" s="684"/>
      <c r="NAI84" s="684"/>
      <c r="NAJ84" s="684"/>
      <c r="NAK84" s="684"/>
      <c r="NAL84" s="684"/>
      <c r="NAM84" s="684"/>
      <c r="NAN84" s="684"/>
      <c r="NAO84" s="684"/>
      <c r="NAP84" s="684"/>
      <c r="NAQ84" s="684"/>
      <c r="NAR84" s="684"/>
      <c r="NAS84" s="684"/>
      <c r="NAT84" s="684"/>
      <c r="NAU84" s="684"/>
      <c r="NAV84" s="684"/>
      <c r="NAW84" s="684"/>
      <c r="NAX84" s="684"/>
      <c r="NAY84" s="684"/>
      <c r="NAZ84" s="684"/>
      <c r="NBA84" s="684"/>
      <c r="NBB84" s="684"/>
      <c r="NBC84" s="684"/>
      <c r="NBD84" s="684"/>
      <c r="NBE84" s="684"/>
      <c r="NBF84" s="684"/>
      <c r="NBG84" s="684"/>
      <c r="NBH84" s="684"/>
      <c r="NBI84" s="684"/>
      <c r="NBJ84" s="684"/>
      <c r="NBK84" s="684"/>
      <c r="NBL84" s="684"/>
      <c r="NBM84" s="684"/>
      <c r="NBN84" s="684"/>
      <c r="NBO84" s="684"/>
      <c r="NBP84" s="684"/>
      <c r="NBQ84" s="684"/>
      <c r="NBR84" s="684"/>
      <c r="NBS84" s="684"/>
      <c r="NBT84" s="684"/>
      <c r="NBU84" s="684"/>
      <c r="NBV84" s="684"/>
      <c r="NBW84" s="684"/>
      <c r="NBX84" s="684"/>
      <c r="NBY84" s="684"/>
      <c r="NBZ84" s="684"/>
      <c r="NCA84" s="684"/>
      <c r="NCB84" s="684"/>
      <c r="NCC84" s="684"/>
      <c r="NCD84" s="684"/>
      <c r="NCE84" s="684"/>
      <c r="NCF84" s="684"/>
      <c r="NCG84" s="684"/>
      <c r="NCH84" s="684"/>
      <c r="NCI84" s="684"/>
      <c r="NCJ84" s="684"/>
      <c r="NCK84" s="684"/>
      <c r="NCL84" s="684"/>
      <c r="NCM84" s="684"/>
      <c r="NCN84" s="684"/>
      <c r="NCO84" s="684"/>
      <c r="NCP84" s="684"/>
      <c r="NCQ84" s="684"/>
      <c r="NCR84" s="684"/>
      <c r="NCS84" s="684"/>
      <c r="NCT84" s="684"/>
      <c r="NCU84" s="684"/>
      <c r="NCV84" s="684"/>
      <c r="NCW84" s="684"/>
      <c r="NCX84" s="684"/>
      <c r="NCY84" s="684"/>
      <c r="NCZ84" s="684"/>
      <c r="NDA84" s="684"/>
      <c r="NDB84" s="684"/>
      <c r="NDC84" s="684"/>
      <c r="NDD84" s="684"/>
      <c r="NDE84" s="684"/>
      <c r="NDF84" s="684"/>
      <c r="NDG84" s="684"/>
      <c r="NDH84" s="684"/>
      <c r="NDI84" s="684"/>
      <c r="NDJ84" s="684"/>
      <c r="NDK84" s="684"/>
      <c r="NDL84" s="684"/>
      <c r="NDM84" s="684"/>
      <c r="NDN84" s="684"/>
      <c r="NDO84" s="684"/>
      <c r="NDP84" s="684"/>
      <c r="NDQ84" s="684"/>
      <c r="NDR84" s="684"/>
      <c r="NDS84" s="684"/>
      <c r="NDT84" s="684"/>
      <c r="NDU84" s="684"/>
      <c r="NDV84" s="684"/>
      <c r="NDW84" s="684"/>
      <c r="NDX84" s="684"/>
      <c r="NDY84" s="684"/>
      <c r="NDZ84" s="684"/>
      <c r="NEA84" s="684"/>
      <c r="NEB84" s="684"/>
      <c r="NEC84" s="684"/>
      <c r="NED84" s="684"/>
      <c r="NEE84" s="684"/>
      <c r="NEF84" s="684"/>
      <c r="NEG84" s="684"/>
      <c r="NEH84" s="684"/>
      <c r="NEI84" s="684"/>
      <c r="NEJ84" s="684"/>
      <c r="NEK84" s="684"/>
      <c r="NEL84" s="684"/>
      <c r="NEM84" s="684"/>
      <c r="NEN84" s="684"/>
      <c r="NEO84" s="684"/>
      <c r="NEP84" s="684"/>
      <c r="NEQ84" s="684"/>
      <c r="NER84" s="684"/>
      <c r="NES84" s="684"/>
      <c r="NET84" s="684"/>
      <c r="NEU84" s="684"/>
      <c r="NEV84" s="684"/>
      <c r="NEW84" s="684"/>
      <c r="NEX84" s="684"/>
      <c r="NEY84" s="684"/>
      <c r="NEZ84" s="684"/>
      <c r="NFA84" s="684"/>
      <c r="NFB84" s="684"/>
      <c r="NFC84" s="684"/>
      <c r="NFD84" s="684"/>
      <c r="NFE84" s="684"/>
      <c r="NFF84" s="684"/>
      <c r="NFG84" s="684"/>
      <c r="NFH84" s="684"/>
      <c r="NFI84" s="684"/>
      <c r="NFJ84" s="684"/>
      <c r="NFK84" s="684"/>
      <c r="NFL84" s="684"/>
      <c r="NFM84" s="684"/>
      <c r="NFN84" s="684"/>
      <c r="NFO84" s="684"/>
      <c r="NFP84" s="684"/>
      <c r="NFQ84" s="684"/>
      <c r="NFR84" s="684"/>
      <c r="NFS84" s="684"/>
      <c r="NFT84" s="684"/>
      <c r="NFU84" s="684"/>
      <c r="NFV84" s="684"/>
      <c r="NFW84" s="684"/>
      <c r="NFX84" s="684"/>
      <c r="NFY84" s="684"/>
      <c r="NFZ84" s="684"/>
      <c r="NGA84" s="684"/>
      <c r="NGB84" s="684"/>
      <c r="NGC84" s="684"/>
      <c r="NGD84" s="684"/>
      <c r="NGE84" s="684"/>
      <c r="NGF84" s="684"/>
      <c r="NGG84" s="684"/>
      <c r="NGH84" s="684"/>
      <c r="NGI84" s="684"/>
      <c r="NGJ84" s="684"/>
      <c r="NGK84" s="684"/>
      <c r="NGL84" s="684"/>
      <c r="NGM84" s="684"/>
      <c r="NGN84" s="684"/>
      <c r="NGO84" s="684"/>
      <c r="NGP84" s="684"/>
      <c r="NGQ84" s="684"/>
      <c r="NGR84" s="684"/>
      <c r="NGS84" s="684"/>
      <c r="NGT84" s="684"/>
      <c r="NGU84" s="684"/>
      <c r="NGV84" s="684"/>
      <c r="NGW84" s="684"/>
      <c r="NGX84" s="684"/>
      <c r="NGY84" s="684"/>
      <c r="NGZ84" s="684"/>
      <c r="NHA84" s="684"/>
      <c r="NHB84" s="684"/>
      <c r="NHC84" s="684"/>
      <c r="NHD84" s="684"/>
      <c r="NHE84" s="684"/>
      <c r="NHF84" s="684"/>
      <c r="NHG84" s="684"/>
      <c r="NHH84" s="684"/>
      <c r="NHI84" s="684"/>
      <c r="NHJ84" s="684"/>
      <c r="NHK84" s="684"/>
      <c r="NHL84" s="684"/>
      <c r="NHM84" s="684"/>
      <c r="NHN84" s="684"/>
      <c r="NHO84" s="684"/>
      <c r="NHP84" s="684"/>
      <c r="NHQ84" s="684"/>
      <c r="NHR84" s="684"/>
      <c r="NHS84" s="684"/>
      <c r="NHT84" s="684"/>
      <c r="NHU84" s="684"/>
      <c r="NHV84" s="684"/>
      <c r="NHW84" s="684"/>
      <c r="NHX84" s="684"/>
      <c r="NHY84" s="684"/>
      <c r="NHZ84" s="684"/>
      <c r="NIA84" s="684"/>
      <c r="NIB84" s="684"/>
      <c r="NIC84" s="684"/>
      <c r="NID84" s="684"/>
      <c r="NIE84" s="684"/>
      <c r="NIF84" s="684"/>
      <c r="NIG84" s="684"/>
      <c r="NIH84" s="684"/>
      <c r="NII84" s="684"/>
      <c r="NIJ84" s="684"/>
      <c r="NIK84" s="684"/>
      <c r="NIL84" s="684"/>
      <c r="NIM84" s="684"/>
      <c r="NIN84" s="684"/>
      <c r="NIO84" s="684"/>
      <c r="NIP84" s="684"/>
      <c r="NIQ84" s="684"/>
      <c r="NIR84" s="684"/>
      <c r="NIS84" s="684"/>
      <c r="NIT84" s="684"/>
      <c r="NIU84" s="684"/>
      <c r="NIV84" s="684"/>
      <c r="NIW84" s="684"/>
      <c r="NIX84" s="684"/>
      <c r="NIY84" s="684"/>
      <c r="NIZ84" s="684"/>
      <c r="NJA84" s="684"/>
      <c r="NJB84" s="684"/>
      <c r="NJC84" s="684"/>
      <c r="NJD84" s="684"/>
      <c r="NJE84" s="684"/>
      <c r="NJF84" s="684"/>
      <c r="NJG84" s="684"/>
      <c r="NJH84" s="684"/>
      <c r="NJI84" s="684"/>
      <c r="NJJ84" s="684"/>
      <c r="NJK84" s="684"/>
      <c r="NJL84" s="684"/>
      <c r="NJM84" s="684"/>
      <c r="NJN84" s="684"/>
      <c r="NJO84" s="684"/>
      <c r="NJP84" s="684"/>
      <c r="NJQ84" s="684"/>
      <c r="NJR84" s="684"/>
      <c r="NJS84" s="684"/>
      <c r="NJT84" s="684"/>
      <c r="NJU84" s="684"/>
      <c r="NJV84" s="684"/>
      <c r="NJW84" s="684"/>
      <c r="NJX84" s="684"/>
      <c r="NJY84" s="684"/>
      <c r="NJZ84" s="684"/>
      <c r="NKA84" s="684"/>
      <c r="NKB84" s="684"/>
      <c r="NKC84" s="684"/>
      <c r="NKD84" s="684"/>
      <c r="NKE84" s="684"/>
      <c r="NKF84" s="684"/>
      <c r="NKG84" s="684"/>
      <c r="NKH84" s="684"/>
      <c r="NKI84" s="684"/>
      <c r="NKJ84" s="684"/>
      <c r="NKK84" s="684"/>
      <c r="NKL84" s="684"/>
      <c r="NKM84" s="684"/>
      <c r="NKN84" s="684"/>
      <c r="NKO84" s="684"/>
      <c r="NKP84" s="684"/>
      <c r="NKQ84" s="684"/>
      <c r="NKR84" s="684"/>
      <c r="NKS84" s="684"/>
      <c r="NKT84" s="684"/>
      <c r="NKU84" s="684"/>
      <c r="NKV84" s="684"/>
      <c r="NKW84" s="684"/>
      <c r="NKX84" s="684"/>
      <c r="NKY84" s="684"/>
      <c r="NKZ84" s="684"/>
      <c r="NLA84" s="684"/>
      <c r="NLB84" s="684"/>
      <c r="NLC84" s="684"/>
      <c r="NLD84" s="684"/>
      <c r="NLE84" s="684"/>
      <c r="NLF84" s="684"/>
      <c r="NLG84" s="684"/>
      <c r="NLH84" s="684"/>
      <c r="NLI84" s="684"/>
      <c r="NLJ84" s="684"/>
      <c r="NLK84" s="684"/>
      <c r="NLL84" s="684"/>
      <c r="NLM84" s="684"/>
      <c r="NLN84" s="684"/>
      <c r="NLO84" s="684"/>
      <c r="NLP84" s="684"/>
      <c r="NLQ84" s="684"/>
      <c r="NLR84" s="684"/>
      <c r="NLS84" s="684"/>
      <c r="NLT84" s="684"/>
      <c r="NLU84" s="684"/>
      <c r="NLV84" s="684"/>
      <c r="NLW84" s="684"/>
      <c r="NLX84" s="684"/>
      <c r="NLY84" s="684"/>
      <c r="NLZ84" s="684"/>
      <c r="NMA84" s="684"/>
      <c r="NMB84" s="684"/>
      <c r="NMC84" s="684"/>
      <c r="NMD84" s="684"/>
      <c r="NME84" s="684"/>
      <c r="NMF84" s="684"/>
      <c r="NMG84" s="684"/>
      <c r="NMH84" s="684"/>
      <c r="NMI84" s="684"/>
      <c r="NMJ84" s="684"/>
      <c r="NMK84" s="684"/>
      <c r="NML84" s="684"/>
      <c r="NMM84" s="684"/>
      <c r="NMN84" s="684"/>
      <c r="NMO84" s="684"/>
      <c r="NMP84" s="684"/>
      <c r="NMQ84" s="684"/>
      <c r="NMR84" s="684"/>
      <c r="NMS84" s="684"/>
      <c r="NMT84" s="684"/>
      <c r="NMU84" s="684"/>
      <c r="NMV84" s="684"/>
      <c r="NMW84" s="684"/>
      <c r="NMX84" s="684"/>
      <c r="NMY84" s="684"/>
      <c r="NMZ84" s="684"/>
      <c r="NNA84" s="684"/>
      <c r="NNB84" s="684"/>
      <c r="NNC84" s="684"/>
      <c r="NND84" s="684"/>
      <c r="NNE84" s="684"/>
      <c r="NNF84" s="684"/>
      <c r="NNG84" s="684"/>
      <c r="NNH84" s="684"/>
      <c r="NNI84" s="684"/>
      <c r="NNJ84" s="684"/>
      <c r="NNK84" s="684"/>
      <c r="NNL84" s="684"/>
      <c r="NNM84" s="684"/>
      <c r="NNN84" s="684"/>
      <c r="NNO84" s="684"/>
      <c r="NNP84" s="684"/>
      <c r="NNQ84" s="684"/>
      <c r="NNR84" s="684"/>
      <c r="NNS84" s="684"/>
      <c r="NNT84" s="684"/>
      <c r="NNU84" s="684"/>
      <c r="NNV84" s="684"/>
      <c r="NNW84" s="684"/>
      <c r="NNX84" s="684"/>
      <c r="NNY84" s="684"/>
      <c r="NNZ84" s="684"/>
      <c r="NOA84" s="684"/>
      <c r="NOB84" s="684"/>
      <c r="NOC84" s="684"/>
      <c r="NOD84" s="684"/>
      <c r="NOE84" s="684"/>
      <c r="NOF84" s="684"/>
      <c r="NOG84" s="684"/>
      <c r="NOH84" s="684"/>
      <c r="NOI84" s="684"/>
      <c r="NOJ84" s="684"/>
      <c r="NOK84" s="684"/>
      <c r="NOL84" s="684"/>
      <c r="NOM84" s="684"/>
      <c r="NON84" s="684"/>
      <c r="NOO84" s="684"/>
      <c r="NOP84" s="684"/>
      <c r="NOQ84" s="684"/>
      <c r="NOR84" s="684"/>
      <c r="NOS84" s="684"/>
      <c r="NOT84" s="684"/>
      <c r="NOU84" s="684"/>
      <c r="NOV84" s="684"/>
      <c r="NOW84" s="684"/>
      <c r="NOX84" s="684"/>
      <c r="NOY84" s="684"/>
      <c r="NOZ84" s="684"/>
      <c r="NPA84" s="684"/>
      <c r="NPB84" s="684"/>
      <c r="NPC84" s="684"/>
      <c r="NPD84" s="684"/>
      <c r="NPE84" s="684"/>
      <c r="NPF84" s="684"/>
      <c r="NPG84" s="684"/>
      <c r="NPH84" s="684"/>
      <c r="NPI84" s="684"/>
      <c r="NPJ84" s="684"/>
      <c r="NPK84" s="684"/>
      <c r="NPL84" s="684"/>
      <c r="NPM84" s="684"/>
      <c r="NPN84" s="684"/>
      <c r="NPO84" s="684"/>
      <c r="NPP84" s="684"/>
      <c r="NPQ84" s="684"/>
      <c r="NPR84" s="684"/>
      <c r="NPS84" s="684"/>
      <c r="NPT84" s="684"/>
      <c r="NPU84" s="684"/>
      <c r="NPV84" s="684"/>
      <c r="NPW84" s="684"/>
      <c r="NPX84" s="684"/>
      <c r="NPY84" s="684"/>
      <c r="NPZ84" s="684"/>
      <c r="NQA84" s="684"/>
      <c r="NQB84" s="684"/>
      <c r="NQC84" s="684"/>
      <c r="NQD84" s="684"/>
      <c r="NQE84" s="684"/>
      <c r="NQF84" s="684"/>
      <c r="NQG84" s="684"/>
      <c r="NQH84" s="684"/>
      <c r="NQI84" s="684"/>
      <c r="NQJ84" s="684"/>
      <c r="NQK84" s="684"/>
      <c r="NQL84" s="684"/>
      <c r="NQM84" s="684"/>
      <c r="NQN84" s="684"/>
      <c r="NQO84" s="684"/>
      <c r="NQP84" s="684"/>
      <c r="NQQ84" s="684"/>
      <c r="NQR84" s="684"/>
      <c r="NQS84" s="684"/>
      <c r="NQT84" s="684"/>
      <c r="NQU84" s="684"/>
      <c r="NQV84" s="684"/>
      <c r="NQW84" s="684"/>
      <c r="NQX84" s="684"/>
      <c r="NQY84" s="684"/>
      <c r="NQZ84" s="684"/>
      <c r="NRA84" s="684"/>
      <c r="NRB84" s="684"/>
      <c r="NRC84" s="684"/>
      <c r="NRD84" s="684"/>
      <c r="NRE84" s="684"/>
      <c r="NRF84" s="684"/>
      <c r="NRG84" s="684"/>
      <c r="NRH84" s="684"/>
      <c r="NRI84" s="684"/>
      <c r="NRJ84" s="684"/>
      <c r="NRK84" s="684"/>
      <c r="NRL84" s="684"/>
      <c r="NRM84" s="684"/>
      <c r="NRN84" s="684"/>
      <c r="NRO84" s="684"/>
      <c r="NRP84" s="684"/>
      <c r="NRQ84" s="684"/>
      <c r="NRR84" s="684"/>
      <c r="NRS84" s="684"/>
      <c r="NRT84" s="684"/>
      <c r="NRU84" s="684"/>
      <c r="NRV84" s="684"/>
      <c r="NRW84" s="684"/>
      <c r="NRX84" s="684"/>
      <c r="NRY84" s="684"/>
      <c r="NRZ84" s="684"/>
      <c r="NSA84" s="684"/>
      <c r="NSB84" s="684"/>
      <c r="NSC84" s="684"/>
      <c r="NSD84" s="684"/>
      <c r="NSE84" s="684"/>
      <c r="NSF84" s="684"/>
      <c r="NSG84" s="684"/>
      <c r="NSH84" s="684"/>
      <c r="NSI84" s="684"/>
      <c r="NSJ84" s="684"/>
      <c r="NSK84" s="684"/>
      <c r="NSL84" s="684"/>
      <c r="NSM84" s="684"/>
      <c r="NSN84" s="684"/>
      <c r="NSO84" s="684"/>
      <c r="NSP84" s="684"/>
      <c r="NSQ84" s="684"/>
      <c r="NSR84" s="684"/>
      <c r="NSS84" s="684"/>
      <c r="NST84" s="684"/>
      <c r="NSU84" s="684"/>
      <c r="NSV84" s="684"/>
      <c r="NSW84" s="684"/>
      <c r="NSX84" s="684"/>
      <c r="NSY84" s="684"/>
      <c r="NSZ84" s="684"/>
      <c r="NTA84" s="684"/>
      <c r="NTB84" s="684"/>
      <c r="NTC84" s="684"/>
      <c r="NTD84" s="684"/>
      <c r="NTE84" s="684"/>
      <c r="NTF84" s="684"/>
      <c r="NTG84" s="684"/>
      <c r="NTH84" s="684"/>
      <c r="NTI84" s="684"/>
      <c r="NTJ84" s="684"/>
      <c r="NTK84" s="684"/>
      <c r="NTL84" s="684"/>
      <c r="NTM84" s="684"/>
      <c r="NTN84" s="684"/>
      <c r="NTO84" s="684"/>
      <c r="NTP84" s="684"/>
      <c r="NTQ84" s="684"/>
      <c r="NTR84" s="684"/>
      <c r="NTS84" s="684"/>
      <c r="NTT84" s="684"/>
      <c r="NTU84" s="684"/>
      <c r="NTV84" s="684"/>
      <c r="NTW84" s="684"/>
      <c r="NTX84" s="684"/>
      <c r="NTY84" s="684"/>
      <c r="NTZ84" s="684"/>
      <c r="NUA84" s="684"/>
      <c r="NUB84" s="684"/>
      <c r="NUC84" s="684"/>
      <c r="NUD84" s="684"/>
      <c r="NUE84" s="684"/>
      <c r="NUF84" s="684"/>
      <c r="NUG84" s="684"/>
      <c r="NUH84" s="684"/>
      <c r="NUI84" s="684"/>
      <c r="NUJ84" s="684"/>
      <c r="NUK84" s="684"/>
      <c r="NUL84" s="684"/>
      <c r="NUM84" s="684"/>
      <c r="NUN84" s="684"/>
      <c r="NUO84" s="684"/>
      <c r="NUP84" s="684"/>
      <c r="NUQ84" s="684"/>
      <c r="NUR84" s="684"/>
      <c r="NUS84" s="684"/>
      <c r="NUT84" s="684"/>
      <c r="NUU84" s="684"/>
      <c r="NUV84" s="684"/>
      <c r="NUW84" s="684"/>
      <c r="NUX84" s="684"/>
      <c r="NUY84" s="684"/>
      <c r="NUZ84" s="684"/>
      <c r="NVA84" s="684"/>
      <c r="NVB84" s="684"/>
      <c r="NVC84" s="684"/>
      <c r="NVD84" s="684"/>
      <c r="NVE84" s="684"/>
      <c r="NVF84" s="684"/>
      <c r="NVG84" s="684"/>
      <c r="NVH84" s="684"/>
      <c r="NVI84" s="684"/>
      <c r="NVJ84" s="684"/>
      <c r="NVK84" s="684"/>
      <c r="NVL84" s="684"/>
      <c r="NVM84" s="684"/>
      <c r="NVN84" s="684"/>
      <c r="NVO84" s="684"/>
      <c r="NVP84" s="684"/>
      <c r="NVQ84" s="684"/>
      <c r="NVR84" s="684"/>
      <c r="NVS84" s="684"/>
      <c r="NVT84" s="684"/>
      <c r="NVU84" s="684"/>
      <c r="NVV84" s="684"/>
      <c r="NVW84" s="684"/>
      <c r="NVX84" s="684"/>
      <c r="NVY84" s="684"/>
      <c r="NVZ84" s="684"/>
      <c r="NWA84" s="684"/>
      <c r="NWB84" s="684"/>
      <c r="NWC84" s="684"/>
      <c r="NWD84" s="684"/>
      <c r="NWE84" s="684"/>
      <c r="NWF84" s="684"/>
      <c r="NWG84" s="684"/>
      <c r="NWH84" s="684"/>
      <c r="NWI84" s="684"/>
      <c r="NWJ84" s="684"/>
      <c r="NWK84" s="684"/>
      <c r="NWL84" s="684"/>
      <c r="NWM84" s="684"/>
      <c r="NWN84" s="684"/>
      <c r="NWO84" s="684"/>
      <c r="NWP84" s="684"/>
      <c r="NWQ84" s="684"/>
      <c r="NWR84" s="684"/>
      <c r="NWS84" s="684"/>
      <c r="NWT84" s="684"/>
      <c r="NWU84" s="684"/>
      <c r="NWV84" s="684"/>
      <c r="NWW84" s="684"/>
      <c r="NWX84" s="684"/>
      <c r="NWY84" s="684"/>
      <c r="NWZ84" s="684"/>
      <c r="NXA84" s="684"/>
      <c r="NXB84" s="684"/>
      <c r="NXC84" s="684"/>
      <c r="NXD84" s="684"/>
      <c r="NXE84" s="684"/>
      <c r="NXF84" s="684"/>
      <c r="NXG84" s="684"/>
      <c r="NXH84" s="684"/>
      <c r="NXI84" s="684"/>
      <c r="NXJ84" s="684"/>
      <c r="NXK84" s="684"/>
      <c r="NXL84" s="684"/>
      <c r="NXM84" s="684"/>
      <c r="NXN84" s="684"/>
      <c r="NXO84" s="684"/>
      <c r="NXP84" s="684"/>
      <c r="NXQ84" s="684"/>
      <c r="NXR84" s="684"/>
      <c r="NXS84" s="684"/>
      <c r="NXT84" s="684"/>
      <c r="NXU84" s="684"/>
      <c r="NXV84" s="684"/>
      <c r="NXW84" s="684"/>
      <c r="NXX84" s="684"/>
      <c r="NXY84" s="684"/>
      <c r="NXZ84" s="684"/>
      <c r="NYA84" s="684"/>
      <c r="NYB84" s="684"/>
      <c r="NYC84" s="684"/>
      <c r="NYD84" s="684"/>
      <c r="NYE84" s="684"/>
      <c r="NYF84" s="684"/>
      <c r="NYG84" s="684"/>
      <c r="NYH84" s="684"/>
      <c r="NYI84" s="684"/>
      <c r="NYJ84" s="684"/>
      <c r="NYK84" s="684"/>
      <c r="NYL84" s="684"/>
      <c r="NYM84" s="684"/>
      <c r="NYN84" s="684"/>
      <c r="NYO84" s="684"/>
      <c r="NYP84" s="684"/>
      <c r="NYQ84" s="684"/>
      <c r="NYR84" s="684"/>
      <c r="NYS84" s="684"/>
      <c r="NYT84" s="684"/>
      <c r="NYU84" s="684"/>
      <c r="NYV84" s="684"/>
      <c r="NYW84" s="684"/>
      <c r="NYX84" s="684"/>
      <c r="NYY84" s="684"/>
      <c r="NYZ84" s="684"/>
      <c r="NZA84" s="684"/>
      <c r="NZB84" s="684"/>
      <c r="NZC84" s="684"/>
      <c r="NZD84" s="684"/>
      <c r="NZE84" s="684"/>
      <c r="NZF84" s="684"/>
      <c r="NZG84" s="684"/>
      <c r="NZH84" s="684"/>
      <c r="NZI84" s="684"/>
      <c r="NZJ84" s="684"/>
      <c r="NZK84" s="684"/>
      <c r="NZL84" s="684"/>
      <c r="NZM84" s="684"/>
      <c r="NZN84" s="684"/>
      <c r="NZO84" s="684"/>
      <c r="NZP84" s="684"/>
      <c r="NZQ84" s="684"/>
      <c r="NZR84" s="684"/>
      <c r="NZS84" s="684"/>
      <c r="NZT84" s="684"/>
      <c r="NZU84" s="684"/>
      <c r="NZV84" s="684"/>
      <c r="NZW84" s="684"/>
      <c r="NZX84" s="684"/>
      <c r="NZY84" s="684"/>
      <c r="NZZ84" s="684"/>
      <c r="OAA84" s="684"/>
      <c r="OAB84" s="684"/>
      <c r="OAC84" s="684"/>
      <c r="OAD84" s="684"/>
      <c r="OAE84" s="684"/>
      <c r="OAF84" s="684"/>
      <c r="OAG84" s="684"/>
      <c r="OAH84" s="684"/>
      <c r="OAI84" s="684"/>
      <c r="OAJ84" s="684"/>
      <c r="OAK84" s="684"/>
      <c r="OAL84" s="684"/>
      <c r="OAM84" s="684"/>
      <c r="OAN84" s="684"/>
      <c r="OAO84" s="684"/>
      <c r="OAP84" s="684"/>
      <c r="OAQ84" s="684"/>
      <c r="OAR84" s="684"/>
      <c r="OAS84" s="684"/>
      <c r="OAT84" s="684"/>
      <c r="OAU84" s="684"/>
      <c r="OAV84" s="684"/>
      <c r="OAW84" s="684"/>
      <c r="OAX84" s="684"/>
      <c r="OAY84" s="684"/>
      <c r="OAZ84" s="684"/>
      <c r="OBA84" s="684"/>
      <c r="OBB84" s="684"/>
      <c r="OBC84" s="684"/>
      <c r="OBD84" s="684"/>
      <c r="OBE84" s="684"/>
      <c r="OBF84" s="684"/>
      <c r="OBG84" s="684"/>
      <c r="OBH84" s="684"/>
      <c r="OBI84" s="684"/>
      <c r="OBJ84" s="684"/>
      <c r="OBK84" s="684"/>
      <c r="OBL84" s="684"/>
      <c r="OBM84" s="684"/>
      <c r="OBN84" s="684"/>
      <c r="OBO84" s="684"/>
      <c r="OBP84" s="684"/>
      <c r="OBQ84" s="684"/>
      <c r="OBR84" s="684"/>
      <c r="OBS84" s="684"/>
      <c r="OBT84" s="684"/>
      <c r="OBU84" s="684"/>
      <c r="OBV84" s="684"/>
      <c r="OBW84" s="684"/>
      <c r="OBX84" s="684"/>
      <c r="OBY84" s="684"/>
      <c r="OBZ84" s="684"/>
      <c r="OCA84" s="684"/>
      <c r="OCB84" s="684"/>
      <c r="OCC84" s="684"/>
      <c r="OCD84" s="684"/>
      <c r="OCE84" s="684"/>
      <c r="OCF84" s="684"/>
      <c r="OCG84" s="684"/>
      <c r="OCH84" s="684"/>
      <c r="OCI84" s="684"/>
      <c r="OCJ84" s="684"/>
      <c r="OCK84" s="684"/>
      <c r="OCL84" s="684"/>
      <c r="OCM84" s="684"/>
      <c r="OCN84" s="684"/>
      <c r="OCO84" s="684"/>
      <c r="OCP84" s="684"/>
      <c r="OCQ84" s="684"/>
      <c r="OCR84" s="684"/>
      <c r="OCS84" s="684"/>
      <c r="OCT84" s="684"/>
      <c r="OCU84" s="684"/>
      <c r="OCV84" s="684"/>
      <c r="OCW84" s="684"/>
      <c r="OCX84" s="684"/>
      <c r="OCY84" s="684"/>
      <c r="OCZ84" s="684"/>
      <c r="ODA84" s="684"/>
      <c r="ODB84" s="684"/>
      <c r="ODC84" s="684"/>
      <c r="ODD84" s="684"/>
      <c r="ODE84" s="684"/>
      <c r="ODF84" s="684"/>
      <c r="ODG84" s="684"/>
      <c r="ODH84" s="684"/>
      <c r="ODI84" s="684"/>
      <c r="ODJ84" s="684"/>
      <c r="ODK84" s="684"/>
      <c r="ODL84" s="684"/>
      <c r="ODM84" s="684"/>
      <c r="ODN84" s="684"/>
      <c r="ODO84" s="684"/>
      <c r="ODP84" s="684"/>
      <c r="ODQ84" s="684"/>
      <c r="ODR84" s="684"/>
      <c r="ODS84" s="684"/>
      <c r="ODT84" s="684"/>
      <c r="ODU84" s="684"/>
      <c r="ODV84" s="684"/>
      <c r="ODW84" s="684"/>
      <c r="ODX84" s="684"/>
      <c r="ODY84" s="684"/>
      <c r="ODZ84" s="684"/>
      <c r="OEA84" s="684"/>
      <c r="OEB84" s="684"/>
      <c r="OEC84" s="684"/>
      <c r="OED84" s="684"/>
      <c r="OEE84" s="684"/>
      <c r="OEF84" s="684"/>
      <c r="OEG84" s="684"/>
      <c r="OEH84" s="684"/>
      <c r="OEI84" s="684"/>
      <c r="OEJ84" s="684"/>
      <c r="OEK84" s="684"/>
      <c r="OEL84" s="684"/>
      <c r="OEM84" s="684"/>
      <c r="OEN84" s="684"/>
      <c r="OEO84" s="684"/>
      <c r="OEP84" s="684"/>
      <c r="OEQ84" s="684"/>
      <c r="OER84" s="684"/>
      <c r="OES84" s="684"/>
      <c r="OET84" s="684"/>
      <c r="OEU84" s="684"/>
      <c r="OEV84" s="684"/>
      <c r="OEW84" s="684"/>
      <c r="OEX84" s="684"/>
      <c r="OEY84" s="684"/>
      <c r="OEZ84" s="684"/>
      <c r="OFA84" s="684"/>
      <c r="OFB84" s="684"/>
      <c r="OFC84" s="684"/>
      <c r="OFD84" s="684"/>
      <c r="OFE84" s="684"/>
      <c r="OFF84" s="684"/>
      <c r="OFG84" s="684"/>
      <c r="OFH84" s="684"/>
      <c r="OFI84" s="684"/>
      <c r="OFJ84" s="684"/>
      <c r="OFK84" s="684"/>
      <c r="OFL84" s="684"/>
      <c r="OFM84" s="684"/>
      <c r="OFN84" s="684"/>
      <c r="OFO84" s="684"/>
      <c r="OFP84" s="684"/>
      <c r="OFQ84" s="684"/>
      <c r="OFR84" s="684"/>
      <c r="OFS84" s="684"/>
      <c r="OFT84" s="684"/>
      <c r="OFU84" s="684"/>
      <c r="OFV84" s="684"/>
      <c r="OFW84" s="684"/>
      <c r="OFX84" s="684"/>
      <c r="OFY84" s="684"/>
      <c r="OFZ84" s="684"/>
      <c r="OGA84" s="684"/>
      <c r="OGB84" s="684"/>
      <c r="OGC84" s="684"/>
      <c r="OGD84" s="684"/>
      <c r="OGE84" s="684"/>
      <c r="OGF84" s="684"/>
      <c r="OGG84" s="684"/>
      <c r="OGH84" s="684"/>
      <c r="OGI84" s="684"/>
      <c r="OGJ84" s="684"/>
      <c r="OGK84" s="684"/>
      <c r="OGL84" s="684"/>
      <c r="OGM84" s="684"/>
      <c r="OGN84" s="684"/>
      <c r="OGO84" s="684"/>
      <c r="OGP84" s="684"/>
      <c r="OGQ84" s="684"/>
      <c r="OGR84" s="684"/>
      <c r="OGS84" s="684"/>
      <c r="OGT84" s="684"/>
      <c r="OGU84" s="684"/>
      <c r="OGV84" s="684"/>
      <c r="OGW84" s="684"/>
      <c r="OGX84" s="684"/>
      <c r="OGY84" s="684"/>
      <c r="OGZ84" s="684"/>
      <c r="OHA84" s="684"/>
      <c r="OHB84" s="684"/>
      <c r="OHC84" s="684"/>
      <c r="OHD84" s="684"/>
      <c r="OHE84" s="684"/>
      <c r="OHF84" s="684"/>
      <c r="OHG84" s="684"/>
      <c r="OHH84" s="684"/>
      <c r="OHI84" s="684"/>
      <c r="OHJ84" s="684"/>
      <c r="OHK84" s="684"/>
      <c r="OHL84" s="684"/>
      <c r="OHM84" s="684"/>
      <c r="OHN84" s="684"/>
      <c r="OHO84" s="684"/>
      <c r="OHP84" s="684"/>
      <c r="OHQ84" s="684"/>
      <c r="OHR84" s="684"/>
      <c r="OHS84" s="684"/>
      <c r="OHT84" s="684"/>
      <c r="OHU84" s="684"/>
      <c r="OHV84" s="684"/>
      <c r="OHW84" s="684"/>
      <c r="OHX84" s="684"/>
      <c r="OHY84" s="684"/>
      <c r="OHZ84" s="684"/>
      <c r="OIA84" s="684"/>
      <c r="OIB84" s="684"/>
      <c r="OIC84" s="684"/>
      <c r="OID84" s="684"/>
      <c r="OIE84" s="684"/>
      <c r="OIF84" s="684"/>
      <c r="OIG84" s="684"/>
      <c r="OIH84" s="684"/>
      <c r="OII84" s="684"/>
      <c r="OIJ84" s="684"/>
      <c r="OIK84" s="684"/>
      <c r="OIL84" s="684"/>
      <c r="OIM84" s="684"/>
      <c r="OIN84" s="684"/>
      <c r="OIO84" s="684"/>
      <c r="OIP84" s="684"/>
      <c r="OIQ84" s="684"/>
      <c r="OIR84" s="684"/>
      <c r="OIS84" s="684"/>
      <c r="OIT84" s="684"/>
      <c r="OIU84" s="684"/>
      <c r="OIV84" s="684"/>
      <c r="OIW84" s="684"/>
      <c r="OIX84" s="684"/>
      <c r="OIY84" s="684"/>
      <c r="OIZ84" s="684"/>
      <c r="OJA84" s="684"/>
      <c r="OJB84" s="684"/>
      <c r="OJC84" s="684"/>
      <c r="OJD84" s="684"/>
      <c r="OJE84" s="684"/>
      <c r="OJF84" s="684"/>
      <c r="OJG84" s="684"/>
      <c r="OJH84" s="684"/>
      <c r="OJI84" s="684"/>
      <c r="OJJ84" s="684"/>
      <c r="OJK84" s="684"/>
      <c r="OJL84" s="684"/>
      <c r="OJM84" s="684"/>
      <c r="OJN84" s="684"/>
      <c r="OJO84" s="684"/>
      <c r="OJP84" s="684"/>
      <c r="OJQ84" s="684"/>
      <c r="OJR84" s="684"/>
      <c r="OJS84" s="684"/>
      <c r="OJT84" s="684"/>
      <c r="OJU84" s="684"/>
      <c r="OJV84" s="684"/>
      <c r="OJW84" s="684"/>
      <c r="OJX84" s="684"/>
      <c r="OJY84" s="684"/>
      <c r="OJZ84" s="684"/>
      <c r="OKA84" s="684"/>
      <c r="OKB84" s="684"/>
      <c r="OKC84" s="684"/>
      <c r="OKD84" s="684"/>
      <c r="OKE84" s="684"/>
      <c r="OKF84" s="684"/>
      <c r="OKG84" s="684"/>
      <c r="OKH84" s="684"/>
      <c r="OKI84" s="684"/>
      <c r="OKJ84" s="684"/>
      <c r="OKK84" s="684"/>
      <c r="OKL84" s="684"/>
      <c r="OKM84" s="684"/>
      <c r="OKN84" s="684"/>
      <c r="OKO84" s="684"/>
      <c r="OKP84" s="684"/>
      <c r="OKQ84" s="684"/>
      <c r="OKR84" s="684"/>
      <c r="OKS84" s="684"/>
      <c r="OKT84" s="684"/>
      <c r="OKU84" s="684"/>
      <c r="OKV84" s="684"/>
      <c r="OKW84" s="684"/>
      <c r="OKX84" s="684"/>
      <c r="OKY84" s="684"/>
      <c r="OKZ84" s="684"/>
      <c r="OLA84" s="684"/>
      <c r="OLB84" s="684"/>
      <c r="OLC84" s="684"/>
      <c r="OLD84" s="684"/>
      <c r="OLE84" s="684"/>
      <c r="OLF84" s="684"/>
      <c r="OLG84" s="684"/>
      <c r="OLH84" s="684"/>
      <c r="OLI84" s="684"/>
      <c r="OLJ84" s="684"/>
      <c r="OLK84" s="684"/>
      <c r="OLL84" s="684"/>
      <c r="OLM84" s="684"/>
      <c r="OLN84" s="684"/>
      <c r="OLO84" s="684"/>
      <c r="OLP84" s="684"/>
      <c r="OLQ84" s="684"/>
      <c r="OLR84" s="684"/>
      <c r="OLS84" s="684"/>
      <c r="OLT84" s="684"/>
      <c r="OLU84" s="684"/>
      <c r="OLV84" s="684"/>
      <c r="OLW84" s="684"/>
      <c r="OLX84" s="684"/>
      <c r="OLY84" s="684"/>
      <c r="OLZ84" s="684"/>
      <c r="OMA84" s="684"/>
      <c r="OMB84" s="684"/>
      <c r="OMC84" s="684"/>
      <c r="OMD84" s="684"/>
      <c r="OME84" s="684"/>
      <c r="OMF84" s="684"/>
      <c r="OMG84" s="684"/>
      <c r="OMH84" s="684"/>
      <c r="OMI84" s="684"/>
      <c r="OMJ84" s="684"/>
      <c r="OMK84" s="684"/>
      <c r="OML84" s="684"/>
      <c r="OMM84" s="684"/>
      <c r="OMN84" s="684"/>
      <c r="OMO84" s="684"/>
      <c r="OMP84" s="684"/>
      <c r="OMQ84" s="684"/>
      <c r="OMR84" s="684"/>
      <c r="OMS84" s="684"/>
      <c r="OMT84" s="684"/>
      <c r="OMU84" s="684"/>
      <c r="OMV84" s="684"/>
      <c r="OMW84" s="684"/>
      <c r="OMX84" s="684"/>
      <c r="OMY84" s="684"/>
      <c r="OMZ84" s="684"/>
      <c r="ONA84" s="684"/>
      <c r="ONB84" s="684"/>
      <c r="ONC84" s="684"/>
      <c r="OND84" s="684"/>
      <c r="ONE84" s="684"/>
      <c r="ONF84" s="684"/>
      <c r="ONG84" s="684"/>
      <c r="ONH84" s="684"/>
      <c r="ONI84" s="684"/>
      <c r="ONJ84" s="684"/>
      <c r="ONK84" s="684"/>
      <c r="ONL84" s="684"/>
      <c r="ONM84" s="684"/>
      <c r="ONN84" s="684"/>
      <c r="ONO84" s="684"/>
      <c r="ONP84" s="684"/>
      <c r="ONQ84" s="684"/>
      <c r="ONR84" s="684"/>
      <c r="ONS84" s="684"/>
      <c r="ONT84" s="684"/>
      <c r="ONU84" s="684"/>
      <c r="ONV84" s="684"/>
      <c r="ONW84" s="684"/>
      <c r="ONX84" s="684"/>
      <c r="ONY84" s="684"/>
      <c r="ONZ84" s="684"/>
      <c r="OOA84" s="684"/>
      <c r="OOB84" s="684"/>
      <c r="OOC84" s="684"/>
      <c r="OOD84" s="684"/>
      <c r="OOE84" s="684"/>
      <c r="OOF84" s="684"/>
      <c r="OOG84" s="684"/>
      <c r="OOH84" s="684"/>
      <c r="OOI84" s="684"/>
      <c r="OOJ84" s="684"/>
      <c r="OOK84" s="684"/>
      <c r="OOL84" s="684"/>
      <c r="OOM84" s="684"/>
      <c r="OON84" s="684"/>
      <c r="OOO84" s="684"/>
      <c r="OOP84" s="684"/>
      <c r="OOQ84" s="684"/>
      <c r="OOR84" s="684"/>
      <c r="OOS84" s="684"/>
      <c r="OOT84" s="684"/>
      <c r="OOU84" s="684"/>
      <c r="OOV84" s="684"/>
      <c r="OOW84" s="684"/>
      <c r="OOX84" s="684"/>
      <c r="OOY84" s="684"/>
      <c r="OOZ84" s="684"/>
      <c r="OPA84" s="684"/>
      <c r="OPB84" s="684"/>
      <c r="OPC84" s="684"/>
      <c r="OPD84" s="684"/>
      <c r="OPE84" s="684"/>
      <c r="OPF84" s="684"/>
      <c r="OPG84" s="684"/>
      <c r="OPH84" s="684"/>
      <c r="OPI84" s="684"/>
      <c r="OPJ84" s="684"/>
      <c r="OPK84" s="684"/>
      <c r="OPL84" s="684"/>
      <c r="OPM84" s="684"/>
      <c r="OPN84" s="684"/>
      <c r="OPO84" s="684"/>
      <c r="OPP84" s="684"/>
      <c r="OPQ84" s="684"/>
      <c r="OPR84" s="684"/>
      <c r="OPS84" s="684"/>
      <c r="OPT84" s="684"/>
      <c r="OPU84" s="684"/>
      <c r="OPV84" s="684"/>
      <c r="OPW84" s="684"/>
      <c r="OPX84" s="684"/>
      <c r="OPY84" s="684"/>
      <c r="OPZ84" s="684"/>
      <c r="OQA84" s="684"/>
      <c r="OQB84" s="684"/>
      <c r="OQC84" s="684"/>
      <c r="OQD84" s="684"/>
      <c r="OQE84" s="684"/>
      <c r="OQF84" s="684"/>
      <c r="OQG84" s="684"/>
      <c r="OQH84" s="684"/>
      <c r="OQI84" s="684"/>
      <c r="OQJ84" s="684"/>
      <c r="OQK84" s="684"/>
      <c r="OQL84" s="684"/>
      <c r="OQM84" s="684"/>
      <c r="OQN84" s="684"/>
      <c r="OQO84" s="684"/>
      <c r="OQP84" s="684"/>
      <c r="OQQ84" s="684"/>
      <c r="OQR84" s="684"/>
      <c r="OQS84" s="684"/>
      <c r="OQT84" s="684"/>
      <c r="OQU84" s="684"/>
      <c r="OQV84" s="684"/>
      <c r="OQW84" s="684"/>
      <c r="OQX84" s="684"/>
      <c r="OQY84" s="684"/>
      <c r="OQZ84" s="684"/>
      <c r="ORA84" s="684"/>
      <c r="ORB84" s="684"/>
      <c r="ORC84" s="684"/>
      <c r="ORD84" s="684"/>
      <c r="ORE84" s="684"/>
      <c r="ORF84" s="684"/>
      <c r="ORG84" s="684"/>
      <c r="ORH84" s="684"/>
      <c r="ORI84" s="684"/>
      <c r="ORJ84" s="684"/>
      <c r="ORK84" s="684"/>
      <c r="ORL84" s="684"/>
      <c r="ORM84" s="684"/>
      <c r="ORN84" s="684"/>
      <c r="ORO84" s="684"/>
      <c r="ORP84" s="684"/>
      <c r="ORQ84" s="684"/>
      <c r="ORR84" s="684"/>
      <c r="ORS84" s="684"/>
      <c r="ORT84" s="684"/>
      <c r="ORU84" s="684"/>
      <c r="ORV84" s="684"/>
      <c r="ORW84" s="684"/>
      <c r="ORX84" s="684"/>
      <c r="ORY84" s="684"/>
      <c r="ORZ84" s="684"/>
      <c r="OSA84" s="684"/>
      <c r="OSB84" s="684"/>
      <c r="OSC84" s="684"/>
      <c r="OSD84" s="684"/>
      <c r="OSE84" s="684"/>
      <c r="OSF84" s="684"/>
      <c r="OSG84" s="684"/>
      <c r="OSH84" s="684"/>
      <c r="OSI84" s="684"/>
      <c r="OSJ84" s="684"/>
      <c r="OSK84" s="684"/>
      <c r="OSL84" s="684"/>
      <c r="OSM84" s="684"/>
      <c r="OSN84" s="684"/>
      <c r="OSO84" s="684"/>
      <c r="OSP84" s="684"/>
      <c r="OSQ84" s="684"/>
      <c r="OSR84" s="684"/>
      <c r="OSS84" s="684"/>
      <c r="OST84" s="684"/>
      <c r="OSU84" s="684"/>
      <c r="OSV84" s="684"/>
      <c r="OSW84" s="684"/>
      <c r="OSX84" s="684"/>
      <c r="OSY84" s="684"/>
      <c r="OSZ84" s="684"/>
      <c r="OTA84" s="684"/>
      <c r="OTB84" s="684"/>
      <c r="OTC84" s="684"/>
      <c r="OTD84" s="684"/>
      <c r="OTE84" s="684"/>
      <c r="OTF84" s="684"/>
      <c r="OTG84" s="684"/>
      <c r="OTH84" s="684"/>
      <c r="OTI84" s="684"/>
      <c r="OTJ84" s="684"/>
      <c r="OTK84" s="684"/>
      <c r="OTL84" s="684"/>
      <c r="OTM84" s="684"/>
      <c r="OTN84" s="684"/>
      <c r="OTO84" s="684"/>
      <c r="OTP84" s="684"/>
      <c r="OTQ84" s="684"/>
      <c r="OTR84" s="684"/>
      <c r="OTS84" s="684"/>
      <c r="OTT84" s="684"/>
      <c r="OTU84" s="684"/>
      <c r="OTV84" s="684"/>
      <c r="OTW84" s="684"/>
      <c r="OTX84" s="684"/>
      <c r="OTY84" s="684"/>
      <c r="OTZ84" s="684"/>
      <c r="OUA84" s="684"/>
      <c r="OUB84" s="684"/>
      <c r="OUC84" s="684"/>
      <c r="OUD84" s="684"/>
      <c r="OUE84" s="684"/>
      <c r="OUF84" s="684"/>
      <c r="OUG84" s="684"/>
      <c r="OUH84" s="684"/>
      <c r="OUI84" s="684"/>
      <c r="OUJ84" s="684"/>
      <c r="OUK84" s="684"/>
      <c r="OUL84" s="684"/>
      <c r="OUM84" s="684"/>
      <c r="OUN84" s="684"/>
      <c r="OUO84" s="684"/>
      <c r="OUP84" s="684"/>
      <c r="OUQ84" s="684"/>
      <c r="OUR84" s="684"/>
      <c r="OUS84" s="684"/>
      <c r="OUT84" s="684"/>
      <c r="OUU84" s="684"/>
      <c r="OUV84" s="684"/>
      <c r="OUW84" s="684"/>
      <c r="OUX84" s="684"/>
      <c r="OUY84" s="684"/>
      <c r="OUZ84" s="684"/>
      <c r="OVA84" s="684"/>
      <c r="OVB84" s="684"/>
      <c r="OVC84" s="684"/>
      <c r="OVD84" s="684"/>
      <c r="OVE84" s="684"/>
      <c r="OVF84" s="684"/>
      <c r="OVG84" s="684"/>
      <c r="OVH84" s="684"/>
      <c r="OVI84" s="684"/>
      <c r="OVJ84" s="684"/>
      <c r="OVK84" s="684"/>
      <c r="OVL84" s="684"/>
      <c r="OVM84" s="684"/>
      <c r="OVN84" s="684"/>
      <c r="OVO84" s="684"/>
      <c r="OVP84" s="684"/>
      <c r="OVQ84" s="684"/>
      <c r="OVR84" s="684"/>
      <c r="OVS84" s="684"/>
      <c r="OVT84" s="684"/>
      <c r="OVU84" s="684"/>
      <c r="OVV84" s="684"/>
      <c r="OVW84" s="684"/>
      <c r="OVX84" s="684"/>
      <c r="OVY84" s="684"/>
      <c r="OVZ84" s="684"/>
      <c r="OWA84" s="684"/>
      <c r="OWB84" s="684"/>
      <c r="OWC84" s="684"/>
      <c r="OWD84" s="684"/>
      <c r="OWE84" s="684"/>
      <c r="OWF84" s="684"/>
      <c r="OWG84" s="684"/>
      <c r="OWH84" s="684"/>
      <c r="OWI84" s="684"/>
      <c r="OWJ84" s="684"/>
      <c r="OWK84" s="684"/>
      <c r="OWL84" s="684"/>
      <c r="OWM84" s="684"/>
      <c r="OWN84" s="684"/>
      <c r="OWO84" s="684"/>
      <c r="OWP84" s="684"/>
      <c r="OWQ84" s="684"/>
      <c r="OWR84" s="684"/>
      <c r="OWS84" s="684"/>
      <c r="OWT84" s="684"/>
      <c r="OWU84" s="684"/>
      <c r="OWV84" s="684"/>
      <c r="OWW84" s="684"/>
      <c r="OWX84" s="684"/>
      <c r="OWY84" s="684"/>
      <c r="OWZ84" s="684"/>
      <c r="OXA84" s="684"/>
      <c r="OXB84" s="684"/>
      <c r="OXC84" s="684"/>
      <c r="OXD84" s="684"/>
      <c r="OXE84" s="684"/>
      <c r="OXF84" s="684"/>
      <c r="OXG84" s="684"/>
      <c r="OXH84" s="684"/>
      <c r="OXI84" s="684"/>
      <c r="OXJ84" s="684"/>
      <c r="OXK84" s="684"/>
      <c r="OXL84" s="684"/>
      <c r="OXM84" s="684"/>
      <c r="OXN84" s="684"/>
      <c r="OXO84" s="684"/>
      <c r="OXP84" s="684"/>
      <c r="OXQ84" s="684"/>
      <c r="OXR84" s="684"/>
      <c r="OXS84" s="684"/>
      <c r="OXT84" s="684"/>
      <c r="OXU84" s="684"/>
      <c r="OXV84" s="684"/>
      <c r="OXW84" s="684"/>
      <c r="OXX84" s="684"/>
      <c r="OXY84" s="684"/>
      <c r="OXZ84" s="684"/>
      <c r="OYA84" s="684"/>
      <c r="OYB84" s="684"/>
      <c r="OYC84" s="684"/>
      <c r="OYD84" s="684"/>
      <c r="OYE84" s="684"/>
      <c r="OYF84" s="684"/>
      <c r="OYG84" s="684"/>
      <c r="OYH84" s="684"/>
      <c r="OYI84" s="684"/>
      <c r="OYJ84" s="684"/>
      <c r="OYK84" s="684"/>
      <c r="OYL84" s="684"/>
      <c r="OYM84" s="684"/>
      <c r="OYN84" s="684"/>
      <c r="OYO84" s="684"/>
      <c r="OYP84" s="684"/>
      <c r="OYQ84" s="684"/>
      <c r="OYR84" s="684"/>
      <c r="OYS84" s="684"/>
      <c r="OYT84" s="684"/>
      <c r="OYU84" s="684"/>
      <c r="OYV84" s="684"/>
      <c r="OYW84" s="684"/>
      <c r="OYX84" s="684"/>
      <c r="OYY84" s="684"/>
      <c r="OYZ84" s="684"/>
      <c r="OZA84" s="684"/>
      <c r="OZB84" s="684"/>
      <c r="OZC84" s="684"/>
      <c r="OZD84" s="684"/>
      <c r="OZE84" s="684"/>
      <c r="OZF84" s="684"/>
      <c r="OZG84" s="684"/>
      <c r="OZH84" s="684"/>
      <c r="OZI84" s="684"/>
      <c r="OZJ84" s="684"/>
      <c r="OZK84" s="684"/>
      <c r="OZL84" s="684"/>
      <c r="OZM84" s="684"/>
      <c r="OZN84" s="684"/>
      <c r="OZO84" s="684"/>
      <c r="OZP84" s="684"/>
      <c r="OZQ84" s="684"/>
      <c r="OZR84" s="684"/>
      <c r="OZS84" s="684"/>
      <c r="OZT84" s="684"/>
      <c r="OZU84" s="684"/>
      <c r="OZV84" s="684"/>
      <c r="OZW84" s="684"/>
      <c r="OZX84" s="684"/>
      <c r="OZY84" s="684"/>
      <c r="OZZ84" s="684"/>
      <c r="PAA84" s="684"/>
      <c r="PAB84" s="684"/>
      <c r="PAC84" s="684"/>
      <c r="PAD84" s="684"/>
      <c r="PAE84" s="684"/>
      <c r="PAF84" s="684"/>
      <c r="PAG84" s="684"/>
      <c r="PAH84" s="684"/>
      <c r="PAI84" s="684"/>
      <c r="PAJ84" s="684"/>
      <c r="PAK84" s="684"/>
      <c r="PAL84" s="684"/>
      <c r="PAM84" s="684"/>
      <c r="PAN84" s="684"/>
      <c r="PAO84" s="684"/>
      <c r="PAP84" s="684"/>
      <c r="PAQ84" s="684"/>
      <c r="PAR84" s="684"/>
      <c r="PAS84" s="684"/>
      <c r="PAT84" s="684"/>
      <c r="PAU84" s="684"/>
      <c r="PAV84" s="684"/>
      <c r="PAW84" s="684"/>
      <c r="PAX84" s="684"/>
      <c r="PAY84" s="684"/>
      <c r="PAZ84" s="684"/>
      <c r="PBA84" s="684"/>
      <c r="PBB84" s="684"/>
      <c r="PBC84" s="684"/>
      <c r="PBD84" s="684"/>
      <c r="PBE84" s="684"/>
      <c r="PBF84" s="684"/>
      <c r="PBG84" s="684"/>
      <c r="PBH84" s="684"/>
      <c r="PBI84" s="684"/>
      <c r="PBJ84" s="684"/>
      <c r="PBK84" s="684"/>
      <c r="PBL84" s="684"/>
      <c r="PBM84" s="684"/>
      <c r="PBN84" s="684"/>
      <c r="PBO84" s="684"/>
      <c r="PBP84" s="684"/>
      <c r="PBQ84" s="684"/>
      <c r="PBR84" s="684"/>
      <c r="PBS84" s="684"/>
      <c r="PBT84" s="684"/>
      <c r="PBU84" s="684"/>
      <c r="PBV84" s="684"/>
      <c r="PBW84" s="684"/>
      <c r="PBX84" s="684"/>
      <c r="PBY84" s="684"/>
      <c r="PBZ84" s="684"/>
      <c r="PCA84" s="684"/>
      <c r="PCB84" s="684"/>
      <c r="PCC84" s="684"/>
      <c r="PCD84" s="684"/>
      <c r="PCE84" s="684"/>
      <c r="PCF84" s="684"/>
      <c r="PCG84" s="684"/>
      <c r="PCH84" s="684"/>
      <c r="PCI84" s="684"/>
      <c r="PCJ84" s="684"/>
      <c r="PCK84" s="684"/>
      <c r="PCL84" s="684"/>
      <c r="PCM84" s="684"/>
      <c r="PCN84" s="684"/>
      <c r="PCO84" s="684"/>
      <c r="PCP84" s="684"/>
      <c r="PCQ84" s="684"/>
      <c r="PCR84" s="684"/>
      <c r="PCS84" s="684"/>
      <c r="PCT84" s="684"/>
      <c r="PCU84" s="684"/>
      <c r="PCV84" s="684"/>
      <c r="PCW84" s="684"/>
      <c r="PCX84" s="684"/>
      <c r="PCY84" s="684"/>
      <c r="PCZ84" s="684"/>
      <c r="PDA84" s="684"/>
      <c r="PDB84" s="684"/>
      <c r="PDC84" s="684"/>
      <c r="PDD84" s="684"/>
      <c r="PDE84" s="684"/>
      <c r="PDF84" s="684"/>
      <c r="PDG84" s="684"/>
      <c r="PDH84" s="684"/>
      <c r="PDI84" s="684"/>
      <c r="PDJ84" s="684"/>
      <c r="PDK84" s="684"/>
      <c r="PDL84" s="684"/>
      <c r="PDM84" s="684"/>
      <c r="PDN84" s="684"/>
      <c r="PDO84" s="684"/>
      <c r="PDP84" s="684"/>
      <c r="PDQ84" s="684"/>
      <c r="PDR84" s="684"/>
      <c r="PDS84" s="684"/>
      <c r="PDT84" s="684"/>
      <c r="PDU84" s="684"/>
      <c r="PDV84" s="684"/>
      <c r="PDW84" s="684"/>
      <c r="PDX84" s="684"/>
      <c r="PDY84" s="684"/>
      <c r="PDZ84" s="684"/>
      <c r="PEA84" s="684"/>
      <c r="PEB84" s="684"/>
      <c r="PEC84" s="684"/>
      <c r="PED84" s="684"/>
      <c r="PEE84" s="684"/>
      <c r="PEF84" s="684"/>
      <c r="PEG84" s="684"/>
      <c r="PEH84" s="684"/>
      <c r="PEI84" s="684"/>
      <c r="PEJ84" s="684"/>
      <c r="PEK84" s="684"/>
      <c r="PEL84" s="684"/>
      <c r="PEM84" s="684"/>
      <c r="PEN84" s="684"/>
      <c r="PEO84" s="684"/>
      <c r="PEP84" s="684"/>
      <c r="PEQ84" s="684"/>
      <c r="PER84" s="684"/>
      <c r="PES84" s="684"/>
      <c r="PET84" s="684"/>
      <c r="PEU84" s="684"/>
      <c r="PEV84" s="684"/>
      <c r="PEW84" s="684"/>
      <c r="PEX84" s="684"/>
      <c r="PEY84" s="684"/>
      <c r="PEZ84" s="684"/>
      <c r="PFA84" s="684"/>
      <c r="PFB84" s="684"/>
      <c r="PFC84" s="684"/>
      <c r="PFD84" s="684"/>
      <c r="PFE84" s="684"/>
      <c r="PFF84" s="684"/>
      <c r="PFG84" s="684"/>
      <c r="PFH84" s="684"/>
      <c r="PFI84" s="684"/>
      <c r="PFJ84" s="684"/>
      <c r="PFK84" s="684"/>
      <c r="PFL84" s="684"/>
      <c r="PFM84" s="684"/>
      <c r="PFN84" s="684"/>
      <c r="PFO84" s="684"/>
      <c r="PFP84" s="684"/>
      <c r="PFQ84" s="684"/>
      <c r="PFR84" s="684"/>
      <c r="PFS84" s="684"/>
      <c r="PFT84" s="684"/>
      <c r="PFU84" s="684"/>
      <c r="PFV84" s="684"/>
      <c r="PFW84" s="684"/>
      <c r="PFX84" s="684"/>
      <c r="PFY84" s="684"/>
      <c r="PFZ84" s="684"/>
      <c r="PGA84" s="684"/>
      <c r="PGB84" s="684"/>
      <c r="PGC84" s="684"/>
      <c r="PGD84" s="684"/>
      <c r="PGE84" s="684"/>
      <c r="PGF84" s="684"/>
      <c r="PGG84" s="684"/>
      <c r="PGH84" s="684"/>
      <c r="PGI84" s="684"/>
      <c r="PGJ84" s="684"/>
      <c r="PGK84" s="684"/>
      <c r="PGL84" s="684"/>
      <c r="PGM84" s="684"/>
      <c r="PGN84" s="684"/>
      <c r="PGO84" s="684"/>
      <c r="PGP84" s="684"/>
      <c r="PGQ84" s="684"/>
      <c r="PGR84" s="684"/>
      <c r="PGS84" s="684"/>
      <c r="PGT84" s="684"/>
      <c r="PGU84" s="684"/>
      <c r="PGV84" s="684"/>
      <c r="PGW84" s="684"/>
      <c r="PGX84" s="684"/>
      <c r="PGY84" s="684"/>
      <c r="PGZ84" s="684"/>
      <c r="PHA84" s="684"/>
      <c r="PHB84" s="684"/>
      <c r="PHC84" s="684"/>
      <c r="PHD84" s="684"/>
      <c r="PHE84" s="684"/>
      <c r="PHF84" s="684"/>
      <c r="PHG84" s="684"/>
      <c r="PHH84" s="684"/>
      <c r="PHI84" s="684"/>
      <c r="PHJ84" s="684"/>
      <c r="PHK84" s="684"/>
      <c r="PHL84" s="684"/>
      <c r="PHM84" s="684"/>
      <c r="PHN84" s="684"/>
      <c r="PHO84" s="684"/>
      <c r="PHP84" s="684"/>
      <c r="PHQ84" s="684"/>
      <c r="PHR84" s="684"/>
      <c r="PHS84" s="684"/>
      <c r="PHT84" s="684"/>
      <c r="PHU84" s="684"/>
      <c r="PHV84" s="684"/>
      <c r="PHW84" s="684"/>
      <c r="PHX84" s="684"/>
      <c r="PHY84" s="684"/>
      <c r="PHZ84" s="684"/>
      <c r="PIA84" s="684"/>
      <c r="PIB84" s="684"/>
      <c r="PIC84" s="684"/>
      <c r="PID84" s="684"/>
      <c r="PIE84" s="684"/>
      <c r="PIF84" s="684"/>
      <c r="PIG84" s="684"/>
      <c r="PIH84" s="684"/>
      <c r="PII84" s="684"/>
      <c r="PIJ84" s="684"/>
      <c r="PIK84" s="684"/>
      <c r="PIL84" s="684"/>
      <c r="PIM84" s="684"/>
      <c r="PIN84" s="684"/>
      <c r="PIO84" s="684"/>
      <c r="PIP84" s="684"/>
      <c r="PIQ84" s="684"/>
      <c r="PIR84" s="684"/>
      <c r="PIS84" s="684"/>
      <c r="PIT84" s="684"/>
      <c r="PIU84" s="684"/>
      <c r="PIV84" s="684"/>
      <c r="PIW84" s="684"/>
      <c r="PIX84" s="684"/>
      <c r="PIY84" s="684"/>
      <c r="PIZ84" s="684"/>
      <c r="PJA84" s="684"/>
      <c r="PJB84" s="684"/>
      <c r="PJC84" s="684"/>
      <c r="PJD84" s="684"/>
      <c r="PJE84" s="684"/>
      <c r="PJF84" s="684"/>
      <c r="PJG84" s="684"/>
      <c r="PJH84" s="684"/>
      <c r="PJI84" s="684"/>
      <c r="PJJ84" s="684"/>
      <c r="PJK84" s="684"/>
      <c r="PJL84" s="684"/>
      <c r="PJM84" s="684"/>
      <c r="PJN84" s="684"/>
      <c r="PJO84" s="684"/>
      <c r="PJP84" s="684"/>
      <c r="PJQ84" s="684"/>
      <c r="PJR84" s="684"/>
      <c r="PJS84" s="684"/>
      <c r="PJT84" s="684"/>
      <c r="PJU84" s="684"/>
      <c r="PJV84" s="684"/>
      <c r="PJW84" s="684"/>
      <c r="PJX84" s="684"/>
      <c r="PJY84" s="684"/>
      <c r="PJZ84" s="684"/>
      <c r="PKA84" s="684"/>
      <c r="PKB84" s="684"/>
      <c r="PKC84" s="684"/>
      <c r="PKD84" s="684"/>
      <c r="PKE84" s="684"/>
      <c r="PKF84" s="684"/>
      <c r="PKG84" s="684"/>
      <c r="PKH84" s="684"/>
      <c r="PKI84" s="684"/>
      <c r="PKJ84" s="684"/>
      <c r="PKK84" s="684"/>
      <c r="PKL84" s="684"/>
      <c r="PKM84" s="684"/>
      <c r="PKN84" s="684"/>
      <c r="PKO84" s="684"/>
      <c r="PKP84" s="684"/>
      <c r="PKQ84" s="684"/>
      <c r="PKR84" s="684"/>
      <c r="PKS84" s="684"/>
      <c r="PKT84" s="684"/>
      <c r="PKU84" s="684"/>
      <c r="PKV84" s="684"/>
      <c r="PKW84" s="684"/>
      <c r="PKX84" s="684"/>
      <c r="PKY84" s="684"/>
      <c r="PKZ84" s="684"/>
      <c r="PLA84" s="684"/>
      <c r="PLB84" s="684"/>
      <c r="PLC84" s="684"/>
      <c r="PLD84" s="684"/>
      <c r="PLE84" s="684"/>
      <c r="PLF84" s="684"/>
      <c r="PLG84" s="684"/>
      <c r="PLH84" s="684"/>
      <c r="PLI84" s="684"/>
      <c r="PLJ84" s="684"/>
      <c r="PLK84" s="684"/>
      <c r="PLL84" s="684"/>
      <c r="PLM84" s="684"/>
      <c r="PLN84" s="684"/>
      <c r="PLO84" s="684"/>
      <c r="PLP84" s="684"/>
      <c r="PLQ84" s="684"/>
      <c r="PLR84" s="684"/>
      <c r="PLS84" s="684"/>
      <c r="PLT84" s="684"/>
      <c r="PLU84" s="684"/>
      <c r="PLV84" s="684"/>
      <c r="PLW84" s="684"/>
      <c r="PLX84" s="684"/>
      <c r="PLY84" s="684"/>
      <c r="PLZ84" s="684"/>
      <c r="PMA84" s="684"/>
      <c r="PMB84" s="684"/>
      <c r="PMC84" s="684"/>
      <c r="PMD84" s="684"/>
      <c r="PME84" s="684"/>
      <c r="PMF84" s="684"/>
      <c r="PMG84" s="684"/>
      <c r="PMH84" s="684"/>
      <c r="PMI84" s="684"/>
      <c r="PMJ84" s="684"/>
      <c r="PMK84" s="684"/>
      <c r="PML84" s="684"/>
      <c r="PMM84" s="684"/>
      <c r="PMN84" s="684"/>
      <c r="PMO84" s="684"/>
      <c r="PMP84" s="684"/>
      <c r="PMQ84" s="684"/>
      <c r="PMR84" s="684"/>
      <c r="PMS84" s="684"/>
      <c r="PMT84" s="684"/>
      <c r="PMU84" s="684"/>
      <c r="PMV84" s="684"/>
      <c r="PMW84" s="684"/>
      <c r="PMX84" s="684"/>
      <c r="PMY84" s="684"/>
      <c r="PMZ84" s="684"/>
      <c r="PNA84" s="684"/>
      <c r="PNB84" s="684"/>
      <c r="PNC84" s="684"/>
      <c r="PND84" s="684"/>
      <c r="PNE84" s="684"/>
      <c r="PNF84" s="684"/>
      <c r="PNG84" s="684"/>
      <c r="PNH84" s="684"/>
      <c r="PNI84" s="684"/>
      <c r="PNJ84" s="684"/>
      <c r="PNK84" s="684"/>
      <c r="PNL84" s="684"/>
      <c r="PNM84" s="684"/>
      <c r="PNN84" s="684"/>
      <c r="PNO84" s="684"/>
      <c r="PNP84" s="684"/>
      <c r="PNQ84" s="684"/>
      <c r="PNR84" s="684"/>
      <c r="PNS84" s="684"/>
      <c r="PNT84" s="684"/>
      <c r="PNU84" s="684"/>
      <c r="PNV84" s="684"/>
      <c r="PNW84" s="684"/>
      <c r="PNX84" s="684"/>
      <c r="PNY84" s="684"/>
      <c r="PNZ84" s="684"/>
      <c r="POA84" s="684"/>
      <c r="POB84" s="684"/>
      <c r="POC84" s="684"/>
      <c r="POD84" s="684"/>
      <c r="POE84" s="684"/>
      <c r="POF84" s="684"/>
      <c r="POG84" s="684"/>
      <c r="POH84" s="684"/>
      <c r="POI84" s="684"/>
      <c r="POJ84" s="684"/>
      <c r="POK84" s="684"/>
      <c r="POL84" s="684"/>
      <c r="POM84" s="684"/>
      <c r="PON84" s="684"/>
      <c r="POO84" s="684"/>
      <c r="POP84" s="684"/>
      <c r="POQ84" s="684"/>
      <c r="POR84" s="684"/>
      <c r="POS84" s="684"/>
      <c r="POT84" s="684"/>
      <c r="POU84" s="684"/>
      <c r="POV84" s="684"/>
      <c r="POW84" s="684"/>
      <c r="POX84" s="684"/>
      <c r="POY84" s="684"/>
      <c r="POZ84" s="684"/>
      <c r="PPA84" s="684"/>
      <c r="PPB84" s="684"/>
      <c r="PPC84" s="684"/>
      <c r="PPD84" s="684"/>
      <c r="PPE84" s="684"/>
      <c r="PPF84" s="684"/>
      <c r="PPG84" s="684"/>
      <c r="PPH84" s="684"/>
      <c r="PPI84" s="684"/>
      <c r="PPJ84" s="684"/>
      <c r="PPK84" s="684"/>
      <c r="PPL84" s="684"/>
      <c r="PPM84" s="684"/>
      <c r="PPN84" s="684"/>
      <c r="PPO84" s="684"/>
      <c r="PPP84" s="684"/>
      <c r="PPQ84" s="684"/>
      <c r="PPR84" s="684"/>
      <c r="PPS84" s="684"/>
      <c r="PPT84" s="684"/>
      <c r="PPU84" s="684"/>
      <c r="PPV84" s="684"/>
      <c r="PPW84" s="684"/>
      <c r="PPX84" s="684"/>
      <c r="PPY84" s="684"/>
      <c r="PPZ84" s="684"/>
      <c r="PQA84" s="684"/>
      <c r="PQB84" s="684"/>
      <c r="PQC84" s="684"/>
      <c r="PQD84" s="684"/>
      <c r="PQE84" s="684"/>
      <c r="PQF84" s="684"/>
      <c r="PQG84" s="684"/>
      <c r="PQH84" s="684"/>
      <c r="PQI84" s="684"/>
      <c r="PQJ84" s="684"/>
      <c r="PQK84" s="684"/>
      <c r="PQL84" s="684"/>
      <c r="PQM84" s="684"/>
      <c r="PQN84" s="684"/>
      <c r="PQO84" s="684"/>
      <c r="PQP84" s="684"/>
      <c r="PQQ84" s="684"/>
      <c r="PQR84" s="684"/>
      <c r="PQS84" s="684"/>
      <c r="PQT84" s="684"/>
      <c r="PQU84" s="684"/>
      <c r="PQV84" s="684"/>
      <c r="PQW84" s="684"/>
      <c r="PQX84" s="684"/>
      <c r="PQY84" s="684"/>
      <c r="PQZ84" s="684"/>
      <c r="PRA84" s="684"/>
      <c r="PRB84" s="684"/>
      <c r="PRC84" s="684"/>
      <c r="PRD84" s="684"/>
      <c r="PRE84" s="684"/>
      <c r="PRF84" s="684"/>
      <c r="PRG84" s="684"/>
      <c r="PRH84" s="684"/>
      <c r="PRI84" s="684"/>
      <c r="PRJ84" s="684"/>
      <c r="PRK84" s="684"/>
      <c r="PRL84" s="684"/>
      <c r="PRM84" s="684"/>
      <c r="PRN84" s="684"/>
      <c r="PRO84" s="684"/>
      <c r="PRP84" s="684"/>
      <c r="PRQ84" s="684"/>
      <c r="PRR84" s="684"/>
      <c r="PRS84" s="684"/>
      <c r="PRT84" s="684"/>
      <c r="PRU84" s="684"/>
      <c r="PRV84" s="684"/>
      <c r="PRW84" s="684"/>
      <c r="PRX84" s="684"/>
      <c r="PRY84" s="684"/>
      <c r="PRZ84" s="684"/>
      <c r="PSA84" s="684"/>
      <c r="PSB84" s="684"/>
      <c r="PSC84" s="684"/>
      <c r="PSD84" s="684"/>
      <c r="PSE84" s="684"/>
      <c r="PSF84" s="684"/>
      <c r="PSG84" s="684"/>
      <c r="PSH84" s="684"/>
      <c r="PSI84" s="684"/>
      <c r="PSJ84" s="684"/>
      <c r="PSK84" s="684"/>
      <c r="PSL84" s="684"/>
      <c r="PSM84" s="684"/>
      <c r="PSN84" s="684"/>
      <c r="PSO84" s="684"/>
      <c r="PSP84" s="684"/>
      <c r="PSQ84" s="684"/>
      <c r="PSR84" s="684"/>
      <c r="PSS84" s="684"/>
      <c r="PST84" s="684"/>
      <c r="PSU84" s="684"/>
      <c r="PSV84" s="684"/>
      <c r="PSW84" s="684"/>
      <c r="PSX84" s="684"/>
      <c r="PSY84" s="684"/>
      <c r="PSZ84" s="684"/>
      <c r="PTA84" s="684"/>
      <c r="PTB84" s="684"/>
      <c r="PTC84" s="684"/>
      <c r="PTD84" s="684"/>
      <c r="PTE84" s="684"/>
      <c r="PTF84" s="684"/>
      <c r="PTG84" s="684"/>
      <c r="PTH84" s="684"/>
      <c r="PTI84" s="684"/>
      <c r="PTJ84" s="684"/>
      <c r="PTK84" s="684"/>
      <c r="PTL84" s="684"/>
      <c r="PTM84" s="684"/>
      <c r="PTN84" s="684"/>
      <c r="PTO84" s="684"/>
      <c r="PTP84" s="684"/>
      <c r="PTQ84" s="684"/>
      <c r="PTR84" s="684"/>
      <c r="PTS84" s="684"/>
      <c r="PTT84" s="684"/>
      <c r="PTU84" s="684"/>
      <c r="PTV84" s="684"/>
      <c r="PTW84" s="684"/>
      <c r="PTX84" s="684"/>
      <c r="PTY84" s="684"/>
      <c r="PTZ84" s="684"/>
      <c r="PUA84" s="684"/>
      <c r="PUB84" s="684"/>
      <c r="PUC84" s="684"/>
      <c r="PUD84" s="684"/>
      <c r="PUE84" s="684"/>
      <c r="PUF84" s="684"/>
      <c r="PUG84" s="684"/>
      <c r="PUH84" s="684"/>
      <c r="PUI84" s="684"/>
      <c r="PUJ84" s="684"/>
      <c r="PUK84" s="684"/>
      <c r="PUL84" s="684"/>
      <c r="PUM84" s="684"/>
      <c r="PUN84" s="684"/>
      <c r="PUO84" s="684"/>
      <c r="PUP84" s="684"/>
      <c r="PUQ84" s="684"/>
      <c r="PUR84" s="684"/>
      <c r="PUS84" s="684"/>
      <c r="PUT84" s="684"/>
      <c r="PUU84" s="684"/>
      <c r="PUV84" s="684"/>
      <c r="PUW84" s="684"/>
      <c r="PUX84" s="684"/>
      <c r="PUY84" s="684"/>
      <c r="PUZ84" s="684"/>
      <c r="PVA84" s="684"/>
      <c r="PVB84" s="684"/>
      <c r="PVC84" s="684"/>
      <c r="PVD84" s="684"/>
      <c r="PVE84" s="684"/>
      <c r="PVF84" s="684"/>
      <c r="PVG84" s="684"/>
      <c r="PVH84" s="684"/>
      <c r="PVI84" s="684"/>
      <c r="PVJ84" s="684"/>
      <c r="PVK84" s="684"/>
      <c r="PVL84" s="684"/>
      <c r="PVM84" s="684"/>
      <c r="PVN84" s="684"/>
      <c r="PVO84" s="684"/>
      <c r="PVP84" s="684"/>
      <c r="PVQ84" s="684"/>
      <c r="PVR84" s="684"/>
      <c r="PVS84" s="684"/>
      <c r="PVT84" s="684"/>
      <c r="PVU84" s="684"/>
      <c r="PVV84" s="684"/>
      <c r="PVW84" s="684"/>
      <c r="PVX84" s="684"/>
      <c r="PVY84" s="684"/>
      <c r="PVZ84" s="684"/>
      <c r="PWA84" s="684"/>
      <c r="PWB84" s="684"/>
      <c r="PWC84" s="684"/>
      <c r="PWD84" s="684"/>
      <c r="PWE84" s="684"/>
      <c r="PWF84" s="684"/>
      <c r="PWG84" s="684"/>
      <c r="PWH84" s="684"/>
      <c r="PWI84" s="684"/>
      <c r="PWJ84" s="684"/>
      <c r="PWK84" s="684"/>
      <c r="PWL84" s="684"/>
      <c r="PWM84" s="684"/>
      <c r="PWN84" s="684"/>
      <c r="PWO84" s="684"/>
      <c r="PWP84" s="684"/>
      <c r="PWQ84" s="684"/>
      <c r="PWR84" s="684"/>
      <c r="PWS84" s="684"/>
      <c r="PWT84" s="684"/>
      <c r="PWU84" s="684"/>
      <c r="PWV84" s="684"/>
      <c r="PWW84" s="684"/>
      <c r="PWX84" s="684"/>
      <c r="PWY84" s="684"/>
      <c r="PWZ84" s="684"/>
      <c r="PXA84" s="684"/>
      <c r="PXB84" s="684"/>
      <c r="PXC84" s="684"/>
      <c r="PXD84" s="684"/>
      <c r="PXE84" s="684"/>
      <c r="PXF84" s="684"/>
      <c r="PXG84" s="684"/>
      <c r="PXH84" s="684"/>
      <c r="PXI84" s="684"/>
      <c r="PXJ84" s="684"/>
      <c r="PXK84" s="684"/>
      <c r="PXL84" s="684"/>
      <c r="PXM84" s="684"/>
      <c r="PXN84" s="684"/>
      <c r="PXO84" s="684"/>
      <c r="PXP84" s="684"/>
      <c r="PXQ84" s="684"/>
      <c r="PXR84" s="684"/>
      <c r="PXS84" s="684"/>
      <c r="PXT84" s="684"/>
      <c r="PXU84" s="684"/>
      <c r="PXV84" s="684"/>
      <c r="PXW84" s="684"/>
      <c r="PXX84" s="684"/>
      <c r="PXY84" s="684"/>
      <c r="PXZ84" s="684"/>
      <c r="PYA84" s="684"/>
      <c r="PYB84" s="684"/>
      <c r="PYC84" s="684"/>
      <c r="PYD84" s="684"/>
      <c r="PYE84" s="684"/>
      <c r="PYF84" s="684"/>
      <c r="PYG84" s="684"/>
      <c r="PYH84" s="684"/>
      <c r="PYI84" s="684"/>
      <c r="PYJ84" s="684"/>
      <c r="PYK84" s="684"/>
      <c r="PYL84" s="684"/>
      <c r="PYM84" s="684"/>
      <c r="PYN84" s="684"/>
      <c r="PYO84" s="684"/>
      <c r="PYP84" s="684"/>
      <c r="PYQ84" s="684"/>
      <c r="PYR84" s="684"/>
      <c r="PYS84" s="684"/>
      <c r="PYT84" s="684"/>
      <c r="PYU84" s="684"/>
      <c r="PYV84" s="684"/>
      <c r="PYW84" s="684"/>
      <c r="PYX84" s="684"/>
      <c r="PYY84" s="684"/>
      <c r="PYZ84" s="684"/>
      <c r="PZA84" s="684"/>
      <c r="PZB84" s="684"/>
      <c r="PZC84" s="684"/>
      <c r="PZD84" s="684"/>
      <c r="PZE84" s="684"/>
      <c r="PZF84" s="684"/>
      <c r="PZG84" s="684"/>
      <c r="PZH84" s="684"/>
      <c r="PZI84" s="684"/>
      <c r="PZJ84" s="684"/>
      <c r="PZK84" s="684"/>
      <c r="PZL84" s="684"/>
      <c r="PZM84" s="684"/>
      <c r="PZN84" s="684"/>
      <c r="PZO84" s="684"/>
      <c r="PZP84" s="684"/>
      <c r="PZQ84" s="684"/>
      <c r="PZR84" s="684"/>
      <c r="PZS84" s="684"/>
      <c r="PZT84" s="684"/>
      <c r="PZU84" s="684"/>
      <c r="PZV84" s="684"/>
      <c r="PZW84" s="684"/>
      <c r="PZX84" s="684"/>
      <c r="PZY84" s="684"/>
      <c r="PZZ84" s="684"/>
      <c r="QAA84" s="684"/>
      <c r="QAB84" s="684"/>
      <c r="QAC84" s="684"/>
      <c r="QAD84" s="684"/>
      <c r="QAE84" s="684"/>
      <c r="QAF84" s="684"/>
      <c r="QAG84" s="684"/>
      <c r="QAH84" s="684"/>
      <c r="QAI84" s="684"/>
      <c r="QAJ84" s="684"/>
      <c r="QAK84" s="684"/>
      <c r="QAL84" s="684"/>
      <c r="QAM84" s="684"/>
      <c r="QAN84" s="684"/>
      <c r="QAO84" s="684"/>
      <c r="QAP84" s="684"/>
      <c r="QAQ84" s="684"/>
      <c r="QAR84" s="684"/>
      <c r="QAS84" s="684"/>
      <c r="QAT84" s="684"/>
      <c r="QAU84" s="684"/>
      <c r="QAV84" s="684"/>
      <c r="QAW84" s="684"/>
      <c r="QAX84" s="684"/>
      <c r="QAY84" s="684"/>
      <c r="QAZ84" s="684"/>
      <c r="QBA84" s="684"/>
      <c r="QBB84" s="684"/>
      <c r="QBC84" s="684"/>
      <c r="QBD84" s="684"/>
      <c r="QBE84" s="684"/>
      <c r="QBF84" s="684"/>
      <c r="QBG84" s="684"/>
      <c r="QBH84" s="684"/>
      <c r="QBI84" s="684"/>
      <c r="QBJ84" s="684"/>
      <c r="QBK84" s="684"/>
      <c r="QBL84" s="684"/>
      <c r="QBM84" s="684"/>
      <c r="QBN84" s="684"/>
      <c r="QBO84" s="684"/>
      <c r="QBP84" s="684"/>
      <c r="QBQ84" s="684"/>
      <c r="QBR84" s="684"/>
      <c r="QBS84" s="684"/>
      <c r="QBT84" s="684"/>
      <c r="QBU84" s="684"/>
      <c r="QBV84" s="684"/>
      <c r="QBW84" s="684"/>
      <c r="QBX84" s="684"/>
      <c r="QBY84" s="684"/>
      <c r="QBZ84" s="684"/>
      <c r="QCA84" s="684"/>
      <c r="QCB84" s="684"/>
      <c r="QCC84" s="684"/>
      <c r="QCD84" s="684"/>
      <c r="QCE84" s="684"/>
      <c r="QCF84" s="684"/>
      <c r="QCG84" s="684"/>
      <c r="QCH84" s="684"/>
      <c r="QCI84" s="684"/>
      <c r="QCJ84" s="684"/>
      <c r="QCK84" s="684"/>
      <c r="QCL84" s="684"/>
      <c r="QCM84" s="684"/>
      <c r="QCN84" s="684"/>
      <c r="QCO84" s="684"/>
      <c r="QCP84" s="684"/>
      <c r="QCQ84" s="684"/>
      <c r="QCR84" s="684"/>
      <c r="QCS84" s="684"/>
      <c r="QCT84" s="684"/>
      <c r="QCU84" s="684"/>
      <c r="QCV84" s="684"/>
      <c r="QCW84" s="684"/>
      <c r="QCX84" s="684"/>
      <c r="QCY84" s="684"/>
      <c r="QCZ84" s="684"/>
      <c r="QDA84" s="684"/>
      <c r="QDB84" s="684"/>
      <c r="QDC84" s="684"/>
      <c r="QDD84" s="684"/>
      <c r="QDE84" s="684"/>
      <c r="QDF84" s="684"/>
      <c r="QDG84" s="684"/>
      <c r="QDH84" s="684"/>
      <c r="QDI84" s="684"/>
      <c r="QDJ84" s="684"/>
      <c r="QDK84" s="684"/>
      <c r="QDL84" s="684"/>
      <c r="QDM84" s="684"/>
      <c r="QDN84" s="684"/>
      <c r="QDO84" s="684"/>
      <c r="QDP84" s="684"/>
      <c r="QDQ84" s="684"/>
      <c r="QDR84" s="684"/>
      <c r="QDS84" s="684"/>
      <c r="QDT84" s="684"/>
      <c r="QDU84" s="684"/>
      <c r="QDV84" s="684"/>
      <c r="QDW84" s="684"/>
      <c r="QDX84" s="684"/>
      <c r="QDY84" s="684"/>
      <c r="QDZ84" s="684"/>
      <c r="QEA84" s="684"/>
      <c r="QEB84" s="684"/>
      <c r="QEC84" s="684"/>
      <c r="QED84" s="684"/>
      <c r="QEE84" s="684"/>
      <c r="QEF84" s="684"/>
      <c r="QEG84" s="684"/>
      <c r="QEH84" s="684"/>
      <c r="QEI84" s="684"/>
      <c r="QEJ84" s="684"/>
      <c r="QEK84" s="684"/>
      <c r="QEL84" s="684"/>
      <c r="QEM84" s="684"/>
      <c r="QEN84" s="684"/>
      <c r="QEO84" s="684"/>
      <c r="QEP84" s="684"/>
      <c r="QEQ84" s="684"/>
      <c r="QER84" s="684"/>
      <c r="QES84" s="684"/>
      <c r="QET84" s="684"/>
      <c r="QEU84" s="684"/>
      <c r="QEV84" s="684"/>
      <c r="QEW84" s="684"/>
      <c r="QEX84" s="684"/>
      <c r="QEY84" s="684"/>
      <c r="QEZ84" s="684"/>
      <c r="QFA84" s="684"/>
      <c r="QFB84" s="684"/>
      <c r="QFC84" s="684"/>
      <c r="QFD84" s="684"/>
      <c r="QFE84" s="684"/>
      <c r="QFF84" s="684"/>
      <c r="QFG84" s="684"/>
      <c r="QFH84" s="684"/>
      <c r="QFI84" s="684"/>
      <c r="QFJ84" s="684"/>
      <c r="QFK84" s="684"/>
      <c r="QFL84" s="684"/>
      <c r="QFM84" s="684"/>
      <c r="QFN84" s="684"/>
      <c r="QFO84" s="684"/>
      <c r="QFP84" s="684"/>
      <c r="QFQ84" s="684"/>
      <c r="QFR84" s="684"/>
      <c r="QFS84" s="684"/>
      <c r="QFT84" s="684"/>
      <c r="QFU84" s="684"/>
      <c r="QFV84" s="684"/>
      <c r="QFW84" s="684"/>
      <c r="QFX84" s="684"/>
      <c r="QFY84" s="684"/>
      <c r="QFZ84" s="684"/>
      <c r="QGA84" s="684"/>
      <c r="QGB84" s="684"/>
      <c r="QGC84" s="684"/>
      <c r="QGD84" s="684"/>
      <c r="QGE84" s="684"/>
      <c r="QGF84" s="684"/>
      <c r="QGG84" s="684"/>
      <c r="QGH84" s="684"/>
      <c r="QGI84" s="684"/>
      <c r="QGJ84" s="684"/>
      <c r="QGK84" s="684"/>
      <c r="QGL84" s="684"/>
      <c r="QGM84" s="684"/>
      <c r="QGN84" s="684"/>
      <c r="QGO84" s="684"/>
      <c r="QGP84" s="684"/>
      <c r="QGQ84" s="684"/>
      <c r="QGR84" s="684"/>
      <c r="QGS84" s="684"/>
      <c r="QGT84" s="684"/>
      <c r="QGU84" s="684"/>
      <c r="QGV84" s="684"/>
      <c r="QGW84" s="684"/>
      <c r="QGX84" s="684"/>
      <c r="QGY84" s="684"/>
      <c r="QGZ84" s="684"/>
      <c r="QHA84" s="684"/>
      <c r="QHB84" s="684"/>
      <c r="QHC84" s="684"/>
      <c r="QHD84" s="684"/>
      <c r="QHE84" s="684"/>
      <c r="QHF84" s="684"/>
      <c r="QHG84" s="684"/>
      <c r="QHH84" s="684"/>
      <c r="QHI84" s="684"/>
      <c r="QHJ84" s="684"/>
      <c r="QHK84" s="684"/>
      <c r="QHL84" s="684"/>
      <c r="QHM84" s="684"/>
      <c r="QHN84" s="684"/>
      <c r="QHO84" s="684"/>
      <c r="QHP84" s="684"/>
      <c r="QHQ84" s="684"/>
      <c r="QHR84" s="684"/>
      <c r="QHS84" s="684"/>
      <c r="QHT84" s="684"/>
      <c r="QHU84" s="684"/>
      <c r="QHV84" s="684"/>
      <c r="QHW84" s="684"/>
      <c r="QHX84" s="684"/>
      <c r="QHY84" s="684"/>
      <c r="QHZ84" s="684"/>
      <c r="QIA84" s="684"/>
      <c r="QIB84" s="684"/>
      <c r="QIC84" s="684"/>
      <c r="QID84" s="684"/>
      <c r="QIE84" s="684"/>
      <c r="QIF84" s="684"/>
      <c r="QIG84" s="684"/>
      <c r="QIH84" s="684"/>
      <c r="QII84" s="684"/>
      <c r="QIJ84" s="684"/>
      <c r="QIK84" s="684"/>
      <c r="QIL84" s="684"/>
      <c r="QIM84" s="684"/>
      <c r="QIN84" s="684"/>
      <c r="QIO84" s="684"/>
      <c r="QIP84" s="684"/>
      <c r="QIQ84" s="684"/>
      <c r="QIR84" s="684"/>
      <c r="QIS84" s="684"/>
      <c r="QIT84" s="684"/>
      <c r="QIU84" s="684"/>
      <c r="QIV84" s="684"/>
      <c r="QIW84" s="684"/>
      <c r="QIX84" s="684"/>
      <c r="QIY84" s="684"/>
      <c r="QIZ84" s="684"/>
      <c r="QJA84" s="684"/>
      <c r="QJB84" s="684"/>
      <c r="QJC84" s="684"/>
      <c r="QJD84" s="684"/>
      <c r="QJE84" s="684"/>
      <c r="QJF84" s="684"/>
      <c r="QJG84" s="684"/>
      <c r="QJH84" s="684"/>
      <c r="QJI84" s="684"/>
      <c r="QJJ84" s="684"/>
      <c r="QJK84" s="684"/>
      <c r="QJL84" s="684"/>
      <c r="QJM84" s="684"/>
      <c r="QJN84" s="684"/>
      <c r="QJO84" s="684"/>
      <c r="QJP84" s="684"/>
      <c r="QJQ84" s="684"/>
      <c r="QJR84" s="684"/>
      <c r="QJS84" s="684"/>
      <c r="QJT84" s="684"/>
      <c r="QJU84" s="684"/>
      <c r="QJV84" s="684"/>
      <c r="QJW84" s="684"/>
      <c r="QJX84" s="684"/>
      <c r="QJY84" s="684"/>
      <c r="QJZ84" s="684"/>
      <c r="QKA84" s="684"/>
      <c r="QKB84" s="684"/>
      <c r="QKC84" s="684"/>
      <c r="QKD84" s="684"/>
      <c r="QKE84" s="684"/>
      <c r="QKF84" s="684"/>
      <c r="QKG84" s="684"/>
      <c r="QKH84" s="684"/>
      <c r="QKI84" s="684"/>
      <c r="QKJ84" s="684"/>
      <c r="QKK84" s="684"/>
      <c r="QKL84" s="684"/>
      <c r="QKM84" s="684"/>
      <c r="QKN84" s="684"/>
      <c r="QKO84" s="684"/>
      <c r="QKP84" s="684"/>
      <c r="QKQ84" s="684"/>
      <c r="QKR84" s="684"/>
      <c r="QKS84" s="684"/>
      <c r="QKT84" s="684"/>
      <c r="QKU84" s="684"/>
      <c r="QKV84" s="684"/>
      <c r="QKW84" s="684"/>
      <c r="QKX84" s="684"/>
      <c r="QKY84" s="684"/>
      <c r="QKZ84" s="684"/>
      <c r="QLA84" s="684"/>
      <c r="QLB84" s="684"/>
      <c r="QLC84" s="684"/>
      <c r="QLD84" s="684"/>
      <c r="QLE84" s="684"/>
      <c r="QLF84" s="684"/>
      <c r="QLG84" s="684"/>
      <c r="QLH84" s="684"/>
      <c r="QLI84" s="684"/>
      <c r="QLJ84" s="684"/>
      <c r="QLK84" s="684"/>
      <c r="QLL84" s="684"/>
      <c r="QLM84" s="684"/>
      <c r="QLN84" s="684"/>
      <c r="QLO84" s="684"/>
      <c r="QLP84" s="684"/>
      <c r="QLQ84" s="684"/>
      <c r="QLR84" s="684"/>
      <c r="QLS84" s="684"/>
      <c r="QLT84" s="684"/>
      <c r="QLU84" s="684"/>
      <c r="QLV84" s="684"/>
      <c r="QLW84" s="684"/>
      <c r="QLX84" s="684"/>
      <c r="QLY84" s="684"/>
      <c r="QLZ84" s="684"/>
      <c r="QMA84" s="684"/>
      <c r="QMB84" s="684"/>
      <c r="QMC84" s="684"/>
      <c r="QMD84" s="684"/>
      <c r="QME84" s="684"/>
      <c r="QMF84" s="684"/>
      <c r="QMG84" s="684"/>
      <c r="QMH84" s="684"/>
      <c r="QMI84" s="684"/>
      <c r="QMJ84" s="684"/>
      <c r="QMK84" s="684"/>
      <c r="QML84" s="684"/>
      <c r="QMM84" s="684"/>
      <c r="QMN84" s="684"/>
      <c r="QMO84" s="684"/>
      <c r="QMP84" s="684"/>
      <c r="QMQ84" s="684"/>
      <c r="QMR84" s="684"/>
      <c r="QMS84" s="684"/>
      <c r="QMT84" s="684"/>
      <c r="QMU84" s="684"/>
      <c r="QMV84" s="684"/>
      <c r="QMW84" s="684"/>
      <c r="QMX84" s="684"/>
      <c r="QMY84" s="684"/>
      <c r="QMZ84" s="684"/>
      <c r="QNA84" s="684"/>
      <c r="QNB84" s="684"/>
      <c r="QNC84" s="684"/>
      <c r="QND84" s="684"/>
      <c r="QNE84" s="684"/>
      <c r="QNF84" s="684"/>
      <c r="QNG84" s="684"/>
      <c r="QNH84" s="684"/>
      <c r="QNI84" s="684"/>
      <c r="QNJ84" s="684"/>
      <c r="QNK84" s="684"/>
      <c r="QNL84" s="684"/>
      <c r="QNM84" s="684"/>
      <c r="QNN84" s="684"/>
      <c r="QNO84" s="684"/>
      <c r="QNP84" s="684"/>
      <c r="QNQ84" s="684"/>
      <c r="QNR84" s="684"/>
      <c r="QNS84" s="684"/>
      <c r="QNT84" s="684"/>
      <c r="QNU84" s="684"/>
      <c r="QNV84" s="684"/>
      <c r="QNW84" s="684"/>
      <c r="QNX84" s="684"/>
      <c r="QNY84" s="684"/>
      <c r="QNZ84" s="684"/>
      <c r="QOA84" s="684"/>
      <c r="QOB84" s="684"/>
      <c r="QOC84" s="684"/>
      <c r="QOD84" s="684"/>
      <c r="QOE84" s="684"/>
      <c r="QOF84" s="684"/>
      <c r="QOG84" s="684"/>
      <c r="QOH84" s="684"/>
      <c r="QOI84" s="684"/>
      <c r="QOJ84" s="684"/>
      <c r="QOK84" s="684"/>
      <c r="QOL84" s="684"/>
      <c r="QOM84" s="684"/>
      <c r="QON84" s="684"/>
      <c r="QOO84" s="684"/>
      <c r="QOP84" s="684"/>
      <c r="QOQ84" s="684"/>
      <c r="QOR84" s="684"/>
      <c r="QOS84" s="684"/>
      <c r="QOT84" s="684"/>
      <c r="QOU84" s="684"/>
      <c r="QOV84" s="684"/>
      <c r="QOW84" s="684"/>
      <c r="QOX84" s="684"/>
      <c r="QOY84" s="684"/>
      <c r="QOZ84" s="684"/>
      <c r="QPA84" s="684"/>
      <c r="QPB84" s="684"/>
      <c r="QPC84" s="684"/>
      <c r="QPD84" s="684"/>
      <c r="QPE84" s="684"/>
      <c r="QPF84" s="684"/>
      <c r="QPG84" s="684"/>
      <c r="QPH84" s="684"/>
      <c r="QPI84" s="684"/>
      <c r="QPJ84" s="684"/>
      <c r="QPK84" s="684"/>
      <c r="QPL84" s="684"/>
      <c r="QPM84" s="684"/>
      <c r="QPN84" s="684"/>
      <c r="QPO84" s="684"/>
      <c r="QPP84" s="684"/>
      <c r="QPQ84" s="684"/>
      <c r="QPR84" s="684"/>
      <c r="QPS84" s="684"/>
      <c r="QPT84" s="684"/>
      <c r="QPU84" s="684"/>
      <c r="QPV84" s="684"/>
      <c r="QPW84" s="684"/>
      <c r="QPX84" s="684"/>
      <c r="QPY84" s="684"/>
      <c r="QPZ84" s="684"/>
      <c r="QQA84" s="684"/>
      <c r="QQB84" s="684"/>
      <c r="QQC84" s="684"/>
      <c r="QQD84" s="684"/>
      <c r="QQE84" s="684"/>
      <c r="QQF84" s="684"/>
      <c r="QQG84" s="684"/>
      <c r="QQH84" s="684"/>
      <c r="QQI84" s="684"/>
      <c r="QQJ84" s="684"/>
      <c r="QQK84" s="684"/>
      <c r="QQL84" s="684"/>
      <c r="QQM84" s="684"/>
      <c r="QQN84" s="684"/>
      <c r="QQO84" s="684"/>
      <c r="QQP84" s="684"/>
      <c r="QQQ84" s="684"/>
      <c r="QQR84" s="684"/>
      <c r="QQS84" s="684"/>
      <c r="QQT84" s="684"/>
      <c r="QQU84" s="684"/>
      <c r="QQV84" s="684"/>
      <c r="QQW84" s="684"/>
      <c r="QQX84" s="684"/>
      <c r="QQY84" s="684"/>
      <c r="QQZ84" s="684"/>
      <c r="QRA84" s="684"/>
      <c r="QRB84" s="684"/>
      <c r="QRC84" s="684"/>
      <c r="QRD84" s="684"/>
      <c r="QRE84" s="684"/>
      <c r="QRF84" s="684"/>
      <c r="QRG84" s="684"/>
      <c r="QRH84" s="684"/>
      <c r="QRI84" s="684"/>
      <c r="QRJ84" s="684"/>
      <c r="QRK84" s="684"/>
      <c r="QRL84" s="684"/>
      <c r="QRM84" s="684"/>
      <c r="QRN84" s="684"/>
      <c r="QRO84" s="684"/>
      <c r="QRP84" s="684"/>
      <c r="QRQ84" s="684"/>
      <c r="QRR84" s="684"/>
      <c r="QRS84" s="684"/>
      <c r="QRT84" s="684"/>
      <c r="QRU84" s="684"/>
      <c r="QRV84" s="684"/>
      <c r="QRW84" s="684"/>
      <c r="QRX84" s="684"/>
      <c r="QRY84" s="684"/>
      <c r="QRZ84" s="684"/>
      <c r="QSA84" s="684"/>
      <c r="QSB84" s="684"/>
      <c r="QSC84" s="684"/>
      <c r="QSD84" s="684"/>
      <c r="QSE84" s="684"/>
      <c r="QSF84" s="684"/>
      <c r="QSG84" s="684"/>
      <c r="QSH84" s="684"/>
      <c r="QSI84" s="684"/>
      <c r="QSJ84" s="684"/>
      <c r="QSK84" s="684"/>
      <c r="QSL84" s="684"/>
      <c r="QSM84" s="684"/>
      <c r="QSN84" s="684"/>
      <c r="QSO84" s="684"/>
      <c r="QSP84" s="684"/>
      <c r="QSQ84" s="684"/>
      <c r="QSR84" s="684"/>
      <c r="QSS84" s="684"/>
      <c r="QST84" s="684"/>
      <c r="QSU84" s="684"/>
      <c r="QSV84" s="684"/>
      <c r="QSW84" s="684"/>
      <c r="QSX84" s="684"/>
      <c r="QSY84" s="684"/>
      <c r="QSZ84" s="684"/>
      <c r="QTA84" s="684"/>
      <c r="QTB84" s="684"/>
      <c r="QTC84" s="684"/>
      <c r="QTD84" s="684"/>
      <c r="QTE84" s="684"/>
      <c r="QTF84" s="684"/>
      <c r="QTG84" s="684"/>
      <c r="QTH84" s="684"/>
      <c r="QTI84" s="684"/>
      <c r="QTJ84" s="684"/>
      <c r="QTK84" s="684"/>
      <c r="QTL84" s="684"/>
      <c r="QTM84" s="684"/>
      <c r="QTN84" s="684"/>
      <c r="QTO84" s="684"/>
      <c r="QTP84" s="684"/>
      <c r="QTQ84" s="684"/>
      <c r="QTR84" s="684"/>
      <c r="QTS84" s="684"/>
      <c r="QTT84" s="684"/>
      <c r="QTU84" s="684"/>
      <c r="QTV84" s="684"/>
      <c r="QTW84" s="684"/>
      <c r="QTX84" s="684"/>
      <c r="QTY84" s="684"/>
      <c r="QTZ84" s="684"/>
      <c r="QUA84" s="684"/>
      <c r="QUB84" s="684"/>
      <c r="QUC84" s="684"/>
      <c r="QUD84" s="684"/>
      <c r="QUE84" s="684"/>
      <c r="QUF84" s="684"/>
      <c r="QUG84" s="684"/>
      <c r="QUH84" s="684"/>
      <c r="QUI84" s="684"/>
      <c r="QUJ84" s="684"/>
      <c r="QUK84" s="684"/>
      <c r="QUL84" s="684"/>
      <c r="QUM84" s="684"/>
      <c r="QUN84" s="684"/>
      <c r="QUO84" s="684"/>
      <c r="QUP84" s="684"/>
      <c r="QUQ84" s="684"/>
      <c r="QUR84" s="684"/>
      <c r="QUS84" s="684"/>
      <c r="QUT84" s="684"/>
      <c r="QUU84" s="684"/>
      <c r="QUV84" s="684"/>
      <c r="QUW84" s="684"/>
      <c r="QUX84" s="684"/>
      <c r="QUY84" s="684"/>
      <c r="QUZ84" s="684"/>
      <c r="QVA84" s="684"/>
      <c r="QVB84" s="684"/>
      <c r="QVC84" s="684"/>
      <c r="QVD84" s="684"/>
      <c r="QVE84" s="684"/>
      <c r="QVF84" s="684"/>
      <c r="QVG84" s="684"/>
      <c r="QVH84" s="684"/>
      <c r="QVI84" s="684"/>
      <c r="QVJ84" s="684"/>
      <c r="QVK84" s="684"/>
      <c r="QVL84" s="684"/>
      <c r="QVM84" s="684"/>
      <c r="QVN84" s="684"/>
      <c r="QVO84" s="684"/>
      <c r="QVP84" s="684"/>
      <c r="QVQ84" s="684"/>
      <c r="QVR84" s="684"/>
      <c r="QVS84" s="684"/>
      <c r="QVT84" s="684"/>
      <c r="QVU84" s="684"/>
      <c r="QVV84" s="684"/>
      <c r="QVW84" s="684"/>
      <c r="QVX84" s="684"/>
      <c r="QVY84" s="684"/>
      <c r="QVZ84" s="684"/>
      <c r="QWA84" s="684"/>
      <c r="QWB84" s="684"/>
      <c r="QWC84" s="684"/>
      <c r="QWD84" s="684"/>
      <c r="QWE84" s="684"/>
      <c r="QWF84" s="684"/>
      <c r="QWG84" s="684"/>
      <c r="QWH84" s="684"/>
      <c r="QWI84" s="684"/>
      <c r="QWJ84" s="684"/>
      <c r="QWK84" s="684"/>
      <c r="QWL84" s="684"/>
      <c r="QWM84" s="684"/>
      <c r="QWN84" s="684"/>
      <c r="QWO84" s="684"/>
      <c r="QWP84" s="684"/>
      <c r="QWQ84" s="684"/>
      <c r="QWR84" s="684"/>
      <c r="QWS84" s="684"/>
      <c r="QWT84" s="684"/>
      <c r="QWU84" s="684"/>
      <c r="QWV84" s="684"/>
      <c r="QWW84" s="684"/>
      <c r="QWX84" s="684"/>
      <c r="QWY84" s="684"/>
      <c r="QWZ84" s="684"/>
      <c r="QXA84" s="684"/>
      <c r="QXB84" s="684"/>
      <c r="QXC84" s="684"/>
      <c r="QXD84" s="684"/>
      <c r="QXE84" s="684"/>
      <c r="QXF84" s="684"/>
      <c r="QXG84" s="684"/>
      <c r="QXH84" s="684"/>
      <c r="QXI84" s="684"/>
      <c r="QXJ84" s="684"/>
      <c r="QXK84" s="684"/>
      <c r="QXL84" s="684"/>
      <c r="QXM84" s="684"/>
      <c r="QXN84" s="684"/>
      <c r="QXO84" s="684"/>
      <c r="QXP84" s="684"/>
      <c r="QXQ84" s="684"/>
      <c r="QXR84" s="684"/>
      <c r="QXS84" s="684"/>
      <c r="QXT84" s="684"/>
      <c r="QXU84" s="684"/>
      <c r="QXV84" s="684"/>
      <c r="QXW84" s="684"/>
      <c r="QXX84" s="684"/>
      <c r="QXY84" s="684"/>
      <c r="QXZ84" s="684"/>
      <c r="QYA84" s="684"/>
      <c r="QYB84" s="684"/>
      <c r="QYC84" s="684"/>
      <c r="QYD84" s="684"/>
      <c r="QYE84" s="684"/>
      <c r="QYF84" s="684"/>
      <c r="QYG84" s="684"/>
      <c r="QYH84" s="684"/>
      <c r="QYI84" s="684"/>
      <c r="QYJ84" s="684"/>
      <c r="QYK84" s="684"/>
      <c r="QYL84" s="684"/>
      <c r="QYM84" s="684"/>
      <c r="QYN84" s="684"/>
      <c r="QYO84" s="684"/>
      <c r="QYP84" s="684"/>
      <c r="QYQ84" s="684"/>
      <c r="QYR84" s="684"/>
      <c r="QYS84" s="684"/>
      <c r="QYT84" s="684"/>
      <c r="QYU84" s="684"/>
      <c r="QYV84" s="684"/>
      <c r="QYW84" s="684"/>
      <c r="QYX84" s="684"/>
      <c r="QYY84" s="684"/>
      <c r="QYZ84" s="684"/>
      <c r="QZA84" s="684"/>
      <c r="QZB84" s="684"/>
      <c r="QZC84" s="684"/>
      <c r="QZD84" s="684"/>
      <c r="QZE84" s="684"/>
      <c r="QZF84" s="684"/>
      <c r="QZG84" s="684"/>
      <c r="QZH84" s="684"/>
      <c r="QZI84" s="684"/>
      <c r="QZJ84" s="684"/>
      <c r="QZK84" s="684"/>
      <c r="QZL84" s="684"/>
      <c r="QZM84" s="684"/>
      <c r="QZN84" s="684"/>
      <c r="QZO84" s="684"/>
      <c r="QZP84" s="684"/>
      <c r="QZQ84" s="684"/>
      <c r="QZR84" s="684"/>
      <c r="QZS84" s="684"/>
      <c r="QZT84" s="684"/>
      <c r="QZU84" s="684"/>
      <c r="QZV84" s="684"/>
      <c r="QZW84" s="684"/>
      <c r="QZX84" s="684"/>
      <c r="QZY84" s="684"/>
      <c r="QZZ84" s="684"/>
      <c r="RAA84" s="684"/>
      <c r="RAB84" s="684"/>
      <c r="RAC84" s="684"/>
      <c r="RAD84" s="684"/>
      <c r="RAE84" s="684"/>
      <c r="RAF84" s="684"/>
      <c r="RAG84" s="684"/>
      <c r="RAH84" s="684"/>
      <c r="RAI84" s="684"/>
      <c r="RAJ84" s="684"/>
      <c r="RAK84" s="684"/>
      <c r="RAL84" s="684"/>
      <c r="RAM84" s="684"/>
      <c r="RAN84" s="684"/>
      <c r="RAO84" s="684"/>
      <c r="RAP84" s="684"/>
      <c r="RAQ84" s="684"/>
      <c r="RAR84" s="684"/>
      <c r="RAS84" s="684"/>
      <c r="RAT84" s="684"/>
      <c r="RAU84" s="684"/>
      <c r="RAV84" s="684"/>
      <c r="RAW84" s="684"/>
      <c r="RAX84" s="684"/>
      <c r="RAY84" s="684"/>
      <c r="RAZ84" s="684"/>
      <c r="RBA84" s="684"/>
      <c r="RBB84" s="684"/>
      <c r="RBC84" s="684"/>
      <c r="RBD84" s="684"/>
      <c r="RBE84" s="684"/>
      <c r="RBF84" s="684"/>
      <c r="RBG84" s="684"/>
      <c r="RBH84" s="684"/>
      <c r="RBI84" s="684"/>
      <c r="RBJ84" s="684"/>
      <c r="RBK84" s="684"/>
      <c r="RBL84" s="684"/>
      <c r="RBM84" s="684"/>
      <c r="RBN84" s="684"/>
      <c r="RBO84" s="684"/>
      <c r="RBP84" s="684"/>
      <c r="RBQ84" s="684"/>
      <c r="RBR84" s="684"/>
      <c r="RBS84" s="684"/>
      <c r="RBT84" s="684"/>
      <c r="RBU84" s="684"/>
      <c r="RBV84" s="684"/>
      <c r="RBW84" s="684"/>
      <c r="RBX84" s="684"/>
      <c r="RBY84" s="684"/>
      <c r="RBZ84" s="684"/>
      <c r="RCA84" s="684"/>
      <c r="RCB84" s="684"/>
      <c r="RCC84" s="684"/>
      <c r="RCD84" s="684"/>
      <c r="RCE84" s="684"/>
      <c r="RCF84" s="684"/>
      <c r="RCG84" s="684"/>
      <c r="RCH84" s="684"/>
      <c r="RCI84" s="684"/>
      <c r="RCJ84" s="684"/>
      <c r="RCK84" s="684"/>
      <c r="RCL84" s="684"/>
      <c r="RCM84" s="684"/>
      <c r="RCN84" s="684"/>
      <c r="RCO84" s="684"/>
      <c r="RCP84" s="684"/>
      <c r="RCQ84" s="684"/>
      <c r="RCR84" s="684"/>
      <c r="RCS84" s="684"/>
      <c r="RCT84" s="684"/>
      <c r="RCU84" s="684"/>
      <c r="RCV84" s="684"/>
      <c r="RCW84" s="684"/>
      <c r="RCX84" s="684"/>
      <c r="RCY84" s="684"/>
      <c r="RCZ84" s="684"/>
      <c r="RDA84" s="684"/>
      <c r="RDB84" s="684"/>
      <c r="RDC84" s="684"/>
      <c r="RDD84" s="684"/>
      <c r="RDE84" s="684"/>
      <c r="RDF84" s="684"/>
      <c r="RDG84" s="684"/>
      <c r="RDH84" s="684"/>
      <c r="RDI84" s="684"/>
      <c r="RDJ84" s="684"/>
      <c r="RDK84" s="684"/>
      <c r="RDL84" s="684"/>
      <c r="RDM84" s="684"/>
      <c r="RDN84" s="684"/>
      <c r="RDO84" s="684"/>
      <c r="RDP84" s="684"/>
      <c r="RDQ84" s="684"/>
      <c r="RDR84" s="684"/>
      <c r="RDS84" s="684"/>
      <c r="RDT84" s="684"/>
      <c r="RDU84" s="684"/>
      <c r="RDV84" s="684"/>
      <c r="RDW84" s="684"/>
      <c r="RDX84" s="684"/>
      <c r="RDY84" s="684"/>
      <c r="RDZ84" s="684"/>
      <c r="REA84" s="684"/>
      <c r="REB84" s="684"/>
      <c r="REC84" s="684"/>
      <c r="RED84" s="684"/>
      <c r="REE84" s="684"/>
      <c r="REF84" s="684"/>
      <c r="REG84" s="684"/>
      <c r="REH84" s="684"/>
      <c r="REI84" s="684"/>
      <c r="REJ84" s="684"/>
      <c r="REK84" s="684"/>
      <c r="REL84" s="684"/>
      <c r="REM84" s="684"/>
      <c r="REN84" s="684"/>
      <c r="REO84" s="684"/>
      <c r="REP84" s="684"/>
      <c r="REQ84" s="684"/>
      <c r="RER84" s="684"/>
      <c r="RES84" s="684"/>
      <c r="RET84" s="684"/>
      <c r="REU84" s="684"/>
      <c r="REV84" s="684"/>
      <c r="REW84" s="684"/>
      <c r="REX84" s="684"/>
      <c r="REY84" s="684"/>
      <c r="REZ84" s="684"/>
      <c r="RFA84" s="684"/>
      <c r="RFB84" s="684"/>
      <c r="RFC84" s="684"/>
      <c r="RFD84" s="684"/>
      <c r="RFE84" s="684"/>
      <c r="RFF84" s="684"/>
      <c r="RFG84" s="684"/>
      <c r="RFH84" s="684"/>
      <c r="RFI84" s="684"/>
      <c r="RFJ84" s="684"/>
      <c r="RFK84" s="684"/>
      <c r="RFL84" s="684"/>
      <c r="RFM84" s="684"/>
      <c r="RFN84" s="684"/>
      <c r="RFO84" s="684"/>
      <c r="RFP84" s="684"/>
      <c r="RFQ84" s="684"/>
      <c r="RFR84" s="684"/>
      <c r="RFS84" s="684"/>
      <c r="RFT84" s="684"/>
      <c r="RFU84" s="684"/>
      <c r="RFV84" s="684"/>
      <c r="RFW84" s="684"/>
      <c r="RFX84" s="684"/>
      <c r="RFY84" s="684"/>
      <c r="RFZ84" s="684"/>
      <c r="RGA84" s="684"/>
      <c r="RGB84" s="684"/>
      <c r="RGC84" s="684"/>
      <c r="RGD84" s="684"/>
      <c r="RGE84" s="684"/>
      <c r="RGF84" s="684"/>
      <c r="RGG84" s="684"/>
      <c r="RGH84" s="684"/>
      <c r="RGI84" s="684"/>
      <c r="RGJ84" s="684"/>
      <c r="RGK84" s="684"/>
      <c r="RGL84" s="684"/>
      <c r="RGM84" s="684"/>
      <c r="RGN84" s="684"/>
      <c r="RGO84" s="684"/>
      <c r="RGP84" s="684"/>
      <c r="RGQ84" s="684"/>
      <c r="RGR84" s="684"/>
      <c r="RGS84" s="684"/>
      <c r="RGT84" s="684"/>
      <c r="RGU84" s="684"/>
      <c r="RGV84" s="684"/>
      <c r="RGW84" s="684"/>
      <c r="RGX84" s="684"/>
      <c r="RGY84" s="684"/>
      <c r="RGZ84" s="684"/>
      <c r="RHA84" s="684"/>
      <c r="RHB84" s="684"/>
      <c r="RHC84" s="684"/>
      <c r="RHD84" s="684"/>
      <c r="RHE84" s="684"/>
      <c r="RHF84" s="684"/>
      <c r="RHG84" s="684"/>
      <c r="RHH84" s="684"/>
      <c r="RHI84" s="684"/>
      <c r="RHJ84" s="684"/>
      <c r="RHK84" s="684"/>
      <c r="RHL84" s="684"/>
      <c r="RHM84" s="684"/>
      <c r="RHN84" s="684"/>
      <c r="RHO84" s="684"/>
      <c r="RHP84" s="684"/>
      <c r="RHQ84" s="684"/>
      <c r="RHR84" s="684"/>
      <c r="RHS84" s="684"/>
      <c r="RHT84" s="684"/>
      <c r="RHU84" s="684"/>
      <c r="RHV84" s="684"/>
      <c r="RHW84" s="684"/>
      <c r="RHX84" s="684"/>
      <c r="RHY84" s="684"/>
      <c r="RHZ84" s="684"/>
      <c r="RIA84" s="684"/>
      <c r="RIB84" s="684"/>
      <c r="RIC84" s="684"/>
      <c r="RID84" s="684"/>
      <c r="RIE84" s="684"/>
      <c r="RIF84" s="684"/>
      <c r="RIG84" s="684"/>
      <c r="RIH84" s="684"/>
      <c r="RII84" s="684"/>
      <c r="RIJ84" s="684"/>
      <c r="RIK84" s="684"/>
      <c r="RIL84" s="684"/>
      <c r="RIM84" s="684"/>
      <c r="RIN84" s="684"/>
      <c r="RIO84" s="684"/>
      <c r="RIP84" s="684"/>
      <c r="RIQ84" s="684"/>
      <c r="RIR84" s="684"/>
      <c r="RIS84" s="684"/>
      <c r="RIT84" s="684"/>
      <c r="RIU84" s="684"/>
      <c r="RIV84" s="684"/>
      <c r="RIW84" s="684"/>
      <c r="RIX84" s="684"/>
      <c r="RIY84" s="684"/>
      <c r="RIZ84" s="684"/>
      <c r="RJA84" s="684"/>
      <c r="RJB84" s="684"/>
      <c r="RJC84" s="684"/>
      <c r="RJD84" s="684"/>
      <c r="RJE84" s="684"/>
      <c r="RJF84" s="684"/>
      <c r="RJG84" s="684"/>
      <c r="RJH84" s="684"/>
      <c r="RJI84" s="684"/>
      <c r="RJJ84" s="684"/>
      <c r="RJK84" s="684"/>
      <c r="RJL84" s="684"/>
      <c r="RJM84" s="684"/>
      <c r="RJN84" s="684"/>
      <c r="RJO84" s="684"/>
      <c r="RJP84" s="684"/>
      <c r="RJQ84" s="684"/>
      <c r="RJR84" s="684"/>
      <c r="RJS84" s="684"/>
      <c r="RJT84" s="684"/>
      <c r="RJU84" s="684"/>
      <c r="RJV84" s="684"/>
      <c r="RJW84" s="684"/>
      <c r="RJX84" s="684"/>
      <c r="RJY84" s="684"/>
      <c r="RJZ84" s="684"/>
      <c r="RKA84" s="684"/>
      <c r="RKB84" s="684"/>
      <c r="RKC84" s="684"/>
      <c r="RKD84" s="684"/>
      <c r="RKE84" s="684"/>
      <c r="RKF84" s="684"/>
      <c r="RKG84" s="684"/>
      <c r="RKH84" s="684"/>
      <c r="RKI84" s="684"/>
      <c r="RKJ84" s="684"/>
      <c r="RKK84" s="684"/>
      <c r="RKL84" s="684"/>
      <c r="RKM84" s="684"/>
      <c r="RKN84" s="684"/>
      <c r="RKO84" s="684"/>
      <c r="RKP84" s="684"/>
      <c r="RKQ84" s="684"/>
      <c r="RKR84" s="684"/>
      <c r="RKS84" s="684"/>
      <c r="RKT84" s="684"/>
      <c r="RKU84" s="684"/>
      <c r="RKV84" s="684"/>
      <c r="RKW84" s="684"/>
      <c r="RKX84" s="684"/>
      <c r="RKY84" s="684"/>
      <c r="RKZ84" s="684"/>
      <c r="RLA84" s="684"/>
      <c r="RLB84" s="684"/>
      <c r="RLC84" s="684"/>
      <c r="RLD84" s="684"/>
      <c r="RLE84" s="684"/>
      <c r="RLF84" s="684"/>
      <c r="RLG84" s="684"/>
      <c r="RLH84" s="684"/>
      <c r="RLI84" s="684"/>
      <c r="RLJ84" s="684"/>
      <c r="RLK84" s="684"/>
      <c r="RLL84" s="684"/>
      <c r="RLM84" s="684"/>
      <c r="RLN84" s="684"/>
      <c r="RLO84" s="684"/>
      <c r="RLP84" s="684"/>
      <c r="RLQ84" s="684"/>
      <c r="RLR84" s="684"/>
      <c r="RLS84" s="684"/>
      <c r="RLT84" s="684"/>
      <c r="RLU84" s="684"/>
      <c r="RLV84" s="684"/>
      <c r="RLW84" s="684"/>
      <c r="RLX84" s="684"/>
      <c r="RLY84" s="684"/>
      <c r="RLZ84" s="684"/>
      <c r="RMA84" s="684"/>
      <c r="RMB84" s="684"/>
      <c r="RMC84" s="684"/>
      <c r="RMD84" s="684"/>
      <c r="RME84" s="684"/>
      <c r="RMF84" s="684"/>
      <c r="RMG84" s="684"/>
      <c r="RMH84" s="684"/>
      <c r="RMI84" s="684"/>
      <c r="RMJ84" s="684"/>
      <c r="RMK84" s="684"/>
      <c r="RML84" s="684"/>
      <c r="RMM84" s="684"/>
      <c r="RMN84" s="684"/>
      <c r="RMO84" s="684"/>
      <c r="RMP84" s="684"/>
      <c r="RMQ84" s="684"/>
      <c r="RMR84" s="684"/>
      <c r="RMS84" s="684"/>
      <c r="RMT84" s="684"/>
      <c r="RMU84" s="684"/>
      <c r="RMV84" s="684"/>
      <c r="RMW84" s="684"/>
      <c r="RMX84" s="684"/>
      <c r="RMY84" s="684"/>
      <c r="RMZ84" s="684"/>
      <c r="RNA84" s="684"/>
      <c r="RNB84" s="684"/>
      <c r="RNC84" s="684"/>
      <c r="RND84" s="684"/>
      <c r="RNE84" s="684"/>
      <c r="RNF84" s="684"/>
      <c r="RNG84" s="684"/>
      <c r="RNH84" s="684"/>
      <c r="RNI84" s="684"/>
      <c r="RNJ84" s="684"/>
      <c r="RNK84" s="684"/>
      <c r="RNL84" s="684"/>
      <c r="RNM84" s="684"/>
      <c r="RNN84" s="684"/>
      <c r="RNO84" s="684"/>
      <c r="RNP84" s="684"/>
      <c r="RNQ84" s="684"/>
      <c r="RNR84" s="684"/>
      <c r="RNS84" s="684"/>
      <c r="RNT84" s="684"/>
      <c r="RNU84" s="684"/>
      <c r="RNV84" s="684"/>
      <c r="RNW84" s="684"/>
      <c r="RNX84" s="684"/>
      <c r="RNY84" s="684"/>
      <c r="RNZ84" s="684"/>
      <c r="ROA84" s="684"/>
      <c r="ROB84" s="684"/>
      <c r="ROC84" s="684"/>
      <c r="ROD84" s="684"/>
      <c r="ROE84" s="684"/>
      <c r="ROF84" s="684"/>
      <c r="ROG84" s="684"/>
      <c r="ROH84" s="684"/>
      <c r="ROI84" s="684"/>
      <c r="ROJ84" s="684"/>
      <c r="ROK84" s="684"/>
      <c r="ROL84" s="684"/>
      <c r="ROM84" s="684"/>
      <c r="RON84" s="684"/>
      <c r="ROO84" s="684"/>
      <c r="ROP84" s="684"/>
      <c r="ROQ84" s="684"/>
      <c r="ROR84" s="684"/>
      <c r="ROS84" s="684"/>
      <c r="ROT84" s="684"/>
      <c r="ROU84" s="684"/>
      <c r="ROV84" s="684"/>
      <c r="ROW84" s="684"/>
      <c r="ROX84" s="684"/>
      <c r="ROY84" s="684"/>
      <c r="ROZ84" s="684"/>
      <c r="RPA84" s="684"/>
      <c r="RPB84" s="684"/>
      <c r="RPC84" s="684"/>
      <c r="RPD84" s="684"/>
      <c r="RPE84" s="684"/>
      <c r="RPF84" s="684"/>
      <c r="RPG84" s="684"/>
      <c r="RPH84" s="684"/>
      <c r="RPI84" s="684"/>
      <c r="RPJ84" s="684"/>
      <c r="RPK84" s="684"/>
      <c r="RPL84" s="684"/>
      <c r="RPM84" s="684"/>
      <c r="RPN84" s="684"/>
      <c r="RPO84" s="684"/>
      <c r="RPP84" s="684"/>
      <c r="RPQ84" s="684"/>
      <c r="RPR84" s="684"/>
      <c r="RPS84" s="684"/>
      <c r="RPT84" s="684"/>
      <c r="RPU84" s="684"/>
      <c r="RPV84" s="684"/>
      <c r="RPW84" s="684"/>
      <c r="RPX84" s="684"/>
      <c r="RPY84" s="684"/>
      <c r="RPZ84" s="684"/>
      <c r="RQA84" s="684"/>
      <c r="RQB84" s="684"/>
      <c r="RQC84" s="684"/>
      <c r="RQD84" s="684"/>
      <c r="RQE84" s="684"/>
      <c r="RQF84" s="684"/>
      <c r="RQG84" s="684"/>
      <c r="RQH84" s="684"/>
      <c r="RQI84" s="684"/>
      <c r="RQJ84" s="684"/>
      <c r="RQK84" s="684"/>
      <c r="RQL84" s="684"/>
      <c r="RQM84" s="684"/>
      <c r="RQN84" s="684"/>
      <c r="RQO84" s="684"/>
      <c r="RQP84" s="684"/>
      <c r="RQQ84" s="684"/>
      <c r="RQR84" s="684"/>
      <c r="RQS84" s="684"/>
      <c r="RQT84" s="684"/>
      <c r="RQU84" s="684"/>
      <c r="RQV84" s="684"/>
      <c r="RQW84" s="684"/>
      <c r="RQX84" s="684"/>
      <c r="RQY84" s="684"/>
      <c r="RQZ84" s="684"/>
      <c r="RRA84" s="684"/>
      <c r="RRB84" s="684"/>
      <c r="RRC84" s="684"/>
      <c r="RRD84" s="684"/>
      <c r="RRE84" s="684"/>
      <c r="RRF84" s="684"/>
      <c r="RRG84" s="684"/>
      <c r="RRH84" s="684"/>
      <c r="RRI84" s="684"/>
      <c r="RRJ84" s="684"/>
      <c r="RRK84" s="684"/>
      <c r="RRL84" s="684"/>
      <c r="RRM84" s="684"/>
      <c r="RRN84" s="684"/>
      <c r="RRO84" s="684"/>
      <c r="RRP84" s="684"/>
      <c r="RRQ84" s="684"/>
      <c r="RRR84" s="684"/>
      <c r="RRS84" s="684"/>
      <c r="RRT84" s="684"/>
      <c r="RRU84" s="684"/>
      <c r="RRV84" s="684"/>
      <c r="RRW84" s="684"/>
      <c r="RRX84" s="684"/>
      <c r="RRY84" s="684"/>
      <c r="RRZ84" s="684"/>
      <c r="RSA84" s="684"/>
      <c r="RSB84" s="684"/>
      <c r="RSC84" s="684"/>
      <c r="RSD84" s="684"/>
      <c r="RSE84" s="684"/>
      <c r="RSF84" s="684"/>
      <c r="RSG84" s="684"/>
      <c r="RSH84" s="684"/>
      <c r="RSI84" s="684"/>
      <c r="RSJ84" s="684"/>
      <c r="RSK84" s="684"/>
      <c r="RSL84" s="684"/>
      <c r="RSM84" s="684"/>
      <c r="RSN84" s="684"/>
      <c r="RSO84" s="684"/>
      <c r="RSP84" s="684"/>
      <c r="RSQ84" s="684"/>
      <c r="RSR84" s="684"/>
      <c r="RSS84" s="684"/>
      <c r="RST84" s="684"/>
      <c r="RSU84" s="684"/>
      <c r="RSV84" s="684"/>
      <c r="RSW84" s="684"/>
      <c r="RSX84" s="684"/>
      <c r="RSY84" s="684"/>
      <c r="RSZ84" s="684"/>
      <c r="RTA84" s="684"/>
      <c r="RTB84" s="684"/>
      <c r="RTC84" s="684"/>
      <c r="RTD84" s="684"/>
      <c r="RTE84" s="684"/>
      <c r="RTF84" s="684"/>
      <c r="RTG84" s="684"/>
      <c r="RTH84" s="684"/>
      <c r="RTI84" s="684"/>
      <c r="RTJ84" s="684"/>
      <c r="RTK84" s="684"/>
      <c r="RTL84" s="684"/>
      <c r="RTM84" s="684"/>
      <c r="RTN84" s="684"/>
      <c r="RTO84" s="684"/>
      <c r="RTP84" s="684"/>
      <c r="RTQ84" s="684"/>
      <c r="RTR84" s="684"/>
      <c r="RTS84" s="684"/>
      <c r="RTT84" s="684"/>
      <c r="RTU84" s="684"/>
      <c r="RTV84" s="684"/>
      <c r="RTW84" s="684"/>
      <c r="RTX84" s="684"/>
      <c r="RTY84" s="684"/>
      <c r="RTZ84" s="684"/>
      <c r="RUA84" s="684"/>
      <c r="RUB84" s="684"/>
      <c r="RUC84" s="684"/>
      <c r="RUD84" s="684"/>
      <c r="RUE84" s="684"/>
      <c r="RUF84" s="684"/>
      <c r="RUG84" s="684"/>
      <c r="RUH84" s="684"/>
      <c r="RUI84" s="684"/>
      <c r="RUJ84" s="684"/>
      <c r="RUK84" s="684"/>
      <c r="RUL84" s="684"/>
      <c r="RUM84" s="684"/>
      <c r="RUN84" s="684"/>
      <c r="RUO84" s="684"/>
      <c r="RUP84" s="684"/>
      <c r="RUQ84" s="684"/>
      <c r="RUR84" s="684"/>
      <c r="RUS84" s="684"/>
      <c r="RUT84" s="684"/>
      <c r="RUU84" s="684"/>
      <c r="RUV84" s="684"/>
      <c r="RUW84" s="684"/>
      <c r="RUX84" s="684"/>
      <c r="RUY84" s="684"/>
      <c r="RUZ84" s="684"/>
      <c r="RVA84" s="684"/>
      <c r="RVB84" s="684"/>
      <c r="RVC84" s="684"/>
      <c r="RVD84" s="684"/>
      <c r="RVE84" s="684"/>
      <c r="RVF84" s="684"/>
      <c r="RVG84" s="684"/>
      <c r="RVH84" s="684"/>
      <c r="RVI84" s="684"/>
      <c r="RVJ84" s="684"/>
      <c r="RVK84" s="684"/>
      <c r="RVL84" s="684"/>
      <c r="RVM84" s="684"/>
      <c r="RVN84" s="684"/>
      <c r="RVO84" s="684"/>
      <c r="RVP84" s="684"/>
      <c r="RVQ84" s="684"/>
      <c r="RVR84" s="684"/>
      <c r="RVS84" s="684"/>
      <c r="RVT84" s="684"/>
      <c r="RVU84" s="684"/>
      <c r="RVV84" s="684"/>
      <c r="RVW84" s="684"/>
      <c r="RVX84" s="684"/>
      <c r="RVY84" s="684"/>
      <c r="RVZ84" s="684"/>
      <c r="RWA84" s="684"/>
      <c r="RWB84" s="684"/>
      <c r="RWC84" s="684"/>
      <c r="RWD84" s="684"/>
      <c r="RWE84" s="684"/>
      <c r="RWF84" s="684"/>
      <c r="RWG84" s="684"/>
      <c r="RWH84" s="684"/>
      <c r="RWI84" s="684"/>
      <c r="RWJ84" s="684"/>
      <c r="RWK84" s="684"/>
      <c r="RWL84" s="684"/>
      <c r="RWM84" s="684"/>
      <c r="RWN84" s="684"/>
      <c r="RWO84" s="684"/>
      <c r="RWP84" s="684"/>
      <c r="RWQ84" s="684"/>
      <c r="RWR84" s="684"/>
      <c r="RWS84" s="684"/>
      <c r="RWT84" s="684"/>
      <c r="RWU84" s="684"/>
      <c r="RWV84" s="684"/>
      <c r="RWW84" s="684"/>
      <c r="RWX84" s="684"/>
      <c r="RWY84" s="684"/>
      <c r="RWZ84" s="684"/>
      <c r="RXA84" s="684"/>
      <c r="RXB84" s="684"/>
      <c r="RXC84" s="684"/>
      <c r="RXD84" s="684"/>
      <c r="RXE84" s="684"/>
      <c r="RXF84" s="684"/>
      <c r="RXG84" s="684"/>
      <c r="RXH84" s="684"/>
      <c r="RXI84" s="684"/>
      <c r="RXJ84" s="684"/>
      <c r="RXK84" s="684"/>
      <c r="RXL84" s="684"/>
      <c r="RXM84" s="684"/>
      <c r="RXN84" s="684"/>
      <c r="RXO84" s="684"/>
      <c r="RXP84" s="684"/>
      <c r="RXQ84" s="684"/>
      <c r="RXR84" s="684"/>
      <c r="RXS84" s="684"/>
      <c r="RXT84" s="684"/>
      <c r="RXU84" s="684"/>
      <c r="RXV84" s="684"/>
      <c r="RXW84" s="684"/>
      <c r="RXX84" s="684"/>
      <c r="RXY84" s="684"/>
      <c r="RXZ84" s="684"/>
      <c r="RYA84" s="684"/>
      <c r="RYB84" s="684"/>
      <c r="RYC84" s="684"/>
      <c r="RYD84" s="684"/>
      <c r="RYE84" s="684"/>
      <c r="RYF84" s="684"/>
      <c r="RYG84" s="684"/>
      <c r="RYH84" s="684"/>
      <c r="RYI84" s="684"/>
      <c r="RYJ84" s="684"/>
      <c r="RYK84" s="684"/>
      <c r="RYL84" s="684"/>
      <c r="RYM84" s="684"/>
      <c r="RYN84" s="684"/>
      <c r="RYO84" s="684"/>
      <c r="RYP84" s="684"/>
      <c r="RYQ84" s="684"/>
      <c r="RYR84" s="684"/>
      <c r="RYS84" s="684"/>
      <c r="RYT84" s="684"/>
      <c r="RYU84" s="684"/>
      <c r="RYV84" s="684"/>
      <c r="RYW84" s="684"/>
      <c r="RYX84" s="684"/>
      <c r="RYY84" s="684"/>
      <c r="RYZ84" s="684"/>
      <c r="RZA84" s="684"/>
      <c r="RZB84" s="684"/>
      <c r="RZC84" s="684"/>
      <c r="RZD84" s="684"/>
      <c r="RZE84" s="684"/>
      <c r="RZF84" s="684"/>
      <c r="RZG84" s="684"/>
      <c r="RZH84" s="684"/>
      <c r="RZI84" s="684"/>
      <c r="RZJ84" s="684"/>
      <c r="RZK84" s="684"/>
      <c r="RZL84" s="684"/>
      <c r="RZM84" s="684"/>
      <c r="RZN84" s="684"/>
      <c r="RZO84" s="684"/>
      <c r="RZP84" s="684"/>
      <c r="RZQ84" s="684"/>
      <c r="RZR84" s="684"/>
      <c r="RZS84" s="684"/>
      <c r="RZT84" s="684"/>
      <c r="RZU84" s="684"/>
      <c r="RZV84" s="684"/>
      <c r="RZW84" s="684"/>
      <c r="RZX84" s="684"/>
      <c r="RZY84" s="684"/>
      <c r="RZZ84" s="684"/>
      <c r="SAA84" s="684"/>
      <c r="SAB84" s="684"/>
      <c r="SAC84" s="684"/>
      <c r="SAD84" s="684"/>
      <c r="SAE84" s="684"/>
      <c r="SAF84" s="684"/>
      <c r="SAG84" s="684"/>
      <c r="SAH84" s="684"/>
      <c r="SAI84" s="684"/>
      <c r="SAJ84" s="684"/>
      <c r="SAK84" s="684"/>
      <c r="SAL84" s="684"/>
      <c r="SAM84" s="684"/>
      <c r="SAN84" s="684"/>
      <c r="SAO84" s="684"/>
      <c r="SAP84" s="684"/>
      <c r="SAQ84" s="684"/>
      <c r="SAR84" s="684"/>
      <c r="SAS84" s="684"/>
      <c r="SAT84" s="684"/>
      <c r="SAU84" s="684"/>
      <c r="SAV84" s="684"/>
      <c r="SAW84" s="684"/>
      <c r="SAX84" s="684"/>
      <c r="SAY84" s="684"/>
      <c r="SAZ84" s="684"/>
      <c r="SBA84" s="684"/>
      <c r="SBB84" s="684"/>
      <c r="SBC84" s="684"/>
      <c r="SBD84" s="684"/>
      <c r="SBE84" s="684"/>
      <c r="SBF84" s="684"/>
      <c r="SBG84" s="684"/>
      <c r="SBH84" s="684"/>
      <c r="SBI84" s="684"/>
      <c r="SBJ84" s="684"/>
      <c r="SBK84" s="684"/>
      <c r="SBL84" s="684"/>
      <c r="SBM84" s="684"/>
      <c r="SBN84" s="684"/>
      <c r="SBO84" s="684"/>
      <c r="SBP84" s="684"/>
      <c r="SBQ84" s="684"/>
      <c r="SBR84" s="684"/>
      <c r="SBS84" s="684"/>
      <c r="SBT84" s="684"/>
      <c r="SBU84" s="684"/>
      <c r="SBV84" s="684"/>
      <c r="SBW84" s="684"/>
      <c r="SBX84" s="684"/>
      <c r="SBY84" s="684"/>
      <c r="SBZ84" s="684"/>
      <c r="SCA84" s="684"/>
      <c r="SCB84" s="684"/>
      <c r="SCC84" s="684"/>
      <c r="SCD84" s="684"/>
      <c r="SCE84" s="684"/>
      <c r="SCF84" s="684"/>
      <c r="SCG84" s="684"/>
      <c r="SCH84" s="684"/>
      <c r="SCI84" s="684"/>
      <c r="SCJ84" s="684"/>
      <c r="SCK84" s="684"/>
      <c r="SCL84" s="684"/>
      <c r="SCM84" s="684"/>
      <c r="SCN84" s="684"/>
      <c r="SCO84" s="684"/>
      <c r="SCP84" s="684"/>
      <c r="SCQ84" s="684"/>
      <c r="SCR84" s="684"/>
      <c r="SCS84" s="684"/>
      <c r="SCT84" s="684"/>
      <c r="SCU84" s="684"/>
      <c r="SCV84" s="684"/>
      <c r="SCW84" s="684"/>
      <c r="SCX84" s="684"/>
      <c r="SCY84" s="684"/>
      <c r="SCZ84" s="684"/>
      <c r="SDA84" s="684"/>
      <c r="SDB84" s="684"/>
      <c r="SDC84" s="684"/>
      <c r="SDD84" s="684"/>
      <c r="SDE84" s="684"/>
      <c r="SDF84" s="684"/>
      <c r="SDG84" s="684"/>
      <c r="SDH84" s="684"/>
      <c r="SDI84" s="684"/>
      <c r="SDJ84" s="684"/>
      <c r="SDK84" s="684"/>
      <c r="SDL84" s="684"/>
      <c r="SDM84" s="684"/>
      <c r="SDN84" s="684"/>
      <c r="SDO84" s="684"/>
      <c r="SDP84" s="684"/>
      <c r="SDQ84" s="684"/>
      <c r="SDR84" s="684"/>
      <c r="SDS84" s="684"/>
      <c r="SDT84" s="684"/>
      <c r="SDU84" s="684"/>
      <c r="SDV84" s="684"/>
      <c r="SDW84" s="684"/>
      <c r="SDX84" s="684"/>
      <c r="SDY84" s="684"/>
      <c r="SDZ84" s="684"/>
      <c r="SEA84" s="684"/>
      <c r="SEB84" s="684"/>
      <c r="SEC84" s="684"/>
      <c r="SED84" s="684"/>
      <c r="SEE84" s="684"/>
      <c r="SEF84" s="684"/>
      <c r="SEG84" s="684"/>
      <c r="SEH84" s="684"/>
      <c r="SEI84" s="684"/>
      <c r="SEJ84" s="684"/>
      <c r="SEK84" s="684"/>
      <c r="SEL84" s="684"/>
      <c r="SEM84" s="684"/>
      <c r="SEN84" s="684"/>
      <c r="SEO84" s="684"/>
      <c r="SEP84" s="684"/>
      <c r="SEQ84" s="684"/>
      <c r="SER84" s="684"/>
      <c r="SES84" s="684"/>
      <c r="SET84" s="684"/>
      <c r="SEU84" s="684"/>
      <c r="SEV84" s="684"/>
      <c r="SEW84" s="684"/>
      <c r="SEX84" s="684"/>
      <c r="SEY84" s="684"/>
      <c r="SEZ84" s="684"/>
      <c r="SFA84" s="684"/>
      <c r="SFB84" s="684"/>
      <c r="SFC84" s="684"/>
      <c r="SFD84" s="684"/>
      <c r="SFE84" s="684"/>
      <c r="SFF84" s="684"/>
      <c r="SFG84" s="684"/>
      <c r="SFH84" s="684"/>
      <c r="SFI84" s="684"/>
      <c r="SFJ84" s="684"/>
      <c r="SFK84" s="684"/>
      <c r="SFL84" s="684"/>
      <c r="SFM84" s="684"/>
      <c r="SFN84" s="684"/>
      <c r="SFO84" s="684"/>
      <c r="SFP84" s="684"/>
      <c r="SFQ84" s="684"/>
      <c r="SFR84" s="684"/>
      <c r="SFS84" s="684"/>
      <c r="SFT84" s="684"/>
      <c r="SFU84" s="684"/>
      <c r="SFV84" s="684"/>
      <c r="SFW84" s="684"/>
      <c r="SFX84" s="684"/>
      <c r="SFY84" s="684"/>
      <c r="SFZ84" s="684"/>
      <c r="SGA84" s="684"/>
      <c r="SGB84" s="684"/>
      <c r="SGC84" s="684"/>
      <c r="SGD84" s="684"/>
      <c r="SGE84" s="684"/>
      <c r="SGF84" s="684"/>
      <c r="SGG84" s="684"/>
      <c r="SGH84" s="684"/>
      <c r="SGI84" s="684"/>
      <c r="SGJ84" s="684"/>
      <c r="SGK84" s="684"/>
      <c r="SGL84" s="684"/>
      <c r="SGM84" s="684"/>
      <c r="SGN84" s="684"/>
      <c r="SGO84" s="684"/>
      <c r="SGP84" s="684"/>
      <c r="SGQ84" s="684"/>
      <c r="SGR84" s="684"/>
      <c r="SGS84" s="684"/>
      <c r="SGT84" s="684"/>
      <c r="SGU84" s="684"/>
      <c r="SGV84" s="684"/>
      <c r="SGW84" s="684"/>
      <c r="SGX84" s="684"/>
      <c r="SGY84" s="684"/>
      <c r="SGZ84" s="684"/>
      <c r="SHA84" s="684"/>
      <c r="SHB84" s="684"/>
      <c r="SHC84" s="684"/>
      <c r="SHD84" s="684"/>
      <c r="SHE84" s="684"/>
      <c r="SHF84" s="684"/>
      <c r="SHG84" s="684"/>
      <c r="SHH84" s="684"/>
      <c r="SHI84" s="684"/>
      <c r="SHJ84" s="684"/>
      <c r="SHK84" s="684"/>
      <c r="SHL84" s="684"/>
      <c r="SHM84" s="684"/>
      <c r="SHN84" s="684"/>
      <c r="SHO84" s="684"/>
      <c r="SHP84" s="684"/>
      <c r="SHQ84" s="684"/>
      <c r="SHR84" s="684"/>
      <c r="SHS84" s="684"/>
      <c r="SHT84" s="684"/>
      <c r="SHU84" s="684"/>
      <c r="SHV84" s="684"/>
      <c r="SHW84" s="684"/>
      <c r="SHX84" s="684"/>
      <c r="SHY84" s="684"/>
      <c r="SHZ84" s="684"/>
      <c r="SIA84" s="684"/>
      <c r="SIB84" s="684"/>
      <c r="SIC84" s="684"/>
      <c r="SID84" s="684"/>
      <c r="SIE84" s="684"/>
      <c r="SIF84" s="684"/>
      <c r="SIG84" s="684"/>
      <c r="SIH84" s="684"/>
      <c r="SII84" s="684"/>
      <c r="SIJ84" s="684"/>
      <c r="SIK84" s="684"/>
      <c r="SIL84" s="684"/>
      <c r="SIM84" s="684"/>
      <c r="SIN84" s="684"/>
      <c r="SIO84" s="684"/>
      <c r="SIP84" s="684"/>
      <c r="SIQ84" s="684"/>
      <c r="SIR84" s="684"/>
      <c r="SIS84" s="684"/>
      <c r="SIT84" s="684"/>
      <c r="SIU84" s="684"/>
      <c r="SIV84" s="684"/>
      <c r="SIW84" s="684"/>
      <c r="SIX84" s="684"/>
      <c r="SIY84" s="684"/>
      <c r="SIZ84" s="684"/>
      <c r="SJA84" s="684"/>
      <c r="SJB84" s="684"/>
      <c r="SJC84" s="684"/>
      <c r="SJD84" s="684"/>
      <c r="SJE84" s="684"/>
      <c r="SJF84" s="684"/>
      <c r="SJG84" s="684"/>
      <c r="SJH84" s="684"/>
      <c r="SJI84" s="684"/>
      <c r="SJJ84" s="684"/>
      <c r="SJK84" s="684"/>
      <c r="SJL84" s="684"/>
      <c r="SJM84" s="684"/>
      <c r="SJN84" s="684"/>
      <c r="SJO84" s="684"/>
      <c r="SJP84" s="684"/>
      <c r="SJQ84" s="684"/>
      <c r="SJR84" s="684"/>
      <c r="SJS84" s="684"/>
      <c r="SJT84" s="684"/>
      <c r="SJU84" s="684"/>
      <c r="SJV84" s="684"/>
      <c r="SJW84" s="684"/>
      <c r="SJX84" s="684"/>
      <c r="SJY84" s="684"/>
      <c r="SJZ84" s="684"/>
      <c r="SKA84" s="684"/>
      <c r="SKB84" s="684"/>
      <c r="SKC84" s="684"/>
      <c r="SKD84" s="684"/>
      <c r="SKE84" s="684"/>
      <c r="SKF84" s="684"/>
      <c r="SKG84" s="684"/>
      <c r="SKH84" s="684"/>
      <c r="SKI84" s="684"/>
      <c r="SKJ84" s="684"/>
      <c r="SKK84" s="684"/>
      <c r="SKL84" s="684"/>
      <c r="SKM84" s="684"/>
      <c r="SKN84" s="684"/>
      <c r="SKO84" s="684"/>
      <c r="SKP84" s="684"/>
      <c r="SKQ84" s="684"/>
      <c r="SKR84" s="684"/>
      <c r="SKS84" s="684"/>
      <c r="SKT84" s="684"/>
      <c r="SKU84" s="684"/>
      <c r="SKV84" s="684"/>
      <c r="SKW84" s="684"/>
      <c r="SKX84" s="684"/>
      <c r="SKY84" s="684"/>
      <c r="SKZ84" s="684"/>
      <c r="SLA84" s="684"/>
      <c r="SLB84" s="684"/>
      <c r="SLC84" s="684"/>
      <c r="SLD84" s="684"/>
      <c r="SLE84" s="684"/>
      <c r="SLF84" s="684"/>
      <c r="SLG84" s="684"/>
      <c r="SLH84" s="684"/>
      <c r="SLI84" s="684"/>
      <c r="SLJ84" s="684"/>
      <c r="SLK84" s="684"/>
      <c r="SLL84" s="684"/>
      <c r="SLM84" s="684"/>
      <c r="SLN84" s="684"/>
      <c r="SLO84" s="684"/>
      <c r="SLP84" s="684"/>
      <c r="SLQ84" s="684"/>
      <c r="SLR84" s="684"/>
      <c r="SLS84" s="684"/>
      <c r="SLT84" s="684"/>
      <c r="SLU84" s="684"/>
      <c r="SLV84" s="684"/>
      <c r="SLW84" s="684"/>
      <c r="SLX84" s="684"/>
      <c r="SLY84" s="684"/>
      <c r="SLZ84" s="684"/>
      <c r="SMA84" s="684"/>
      <c r="SMB84" s="684"/>
      <c r="SMC84" s="684"/>
      <c r="SMD84" s="684"/>
      <c r="SME84" s="684"/>
      <c r="SMF84" s="684"/>
      <c r="SMG84" s="684"/>
      <c r="SMH84" s="684"/>
      <c r="SMI84" s="684"/>
      <c r="SMJ84" s="684"/>
      <c r="SMK84" s="684"/>
      <c r="SML84" s="684"/>
      <c r="SMM84" s="684"/>
      <c r="SMN84" s="684"/>
      <c r="SMO84" s="684"/>
      <c r="SMP84" s="684"/>
      <c r="SMQ84" s="684"/>
      <c r="SMR84" s="684"/>
      <c r="SMS84" s="684"/>
      <c r="SMT84" s="684"/>
      <c r="SMU84" s="684"/>
      <c r="SMV84" s="684"/>
      <c r="SMW84" s="684"/>
      <c r="SMX84" s="684"/>
      <c r="SMY84" s="684"/>
      <c r="SMZ84" s="684"/>
      <c r="SNA84" s="684"/>
      <c r="SNB84" s="684"/>
      <c r="SNC84" s="684"/>
      <c r="SND84" s="684"/>
      <c r="SNE84" s="684"/>
      <c r="SNF84" s="684"/>
      <c r="SNG84" s="684"/>
      <c r="SNH84" s="684"/>
      <c r="SNI84" s="684"/>
      <c r="SNJ84" s="684"/>
      <c r="SNK84" s="684"/>
      <c r="SNL84" s="684"/>
      <c r="SNM84" s="684"/>
      <c r="SNN84" s="684"/>
      <c r="SNO84" s="684"/>
      <c r="SNP84" s="684"/>
      <c r="SNQ84" s="684"/>
      <c r="SNR84" s="684"/>
      <c r="SNS84" s="684"/>
      <c r="SNT84" s="684"/>
      <c r="SNU84" s="684"/>
      <c r="SNV84" s="684"/>
      <c r="SNW84" s="684"/>
      <c r="SNX84" s="684"/>
      <c r="SNY84" s="684"/>
      <c r="SNZ84" s="684"/>
      <c r="SOA84" s="684"/>
      <c r="SOB84" s="684"/>
      <c r="SOC84" s="684"/>
      <c r="SOD84" s="684"/>
      <c r="SOE84" s="684"/>
      <c r="SOF84" s="684"/>
      <c r="SOG84" s="684"/>
      <c r="SOH84" s="684"/>
      <c r="SOI84" s="684"/>
      <c r="SOJ84" s="684"/>
      <c r="SOK84" s="684"/>
      <c r="SOL84" s="684"/>
      <c r="SOM84" s="684"/>
      <c r="SON84" s="684"/>
      <c r="SOO84" s="684"/>
      <c r="SOP84" s="684"/>
      <c r="SOQ84" s="684"/>
      <c r="SOR84" s="684"/>
      <c r="SOS84" s="684"/>
      <c r="SOT84" s="684"/>
      <c r="SOU84" s="684"/>
      <c r="SOV84" s="684"/>
      <c r="SOW84" s="684"/>
      <c r="SOX84" s="684"/>
      <c r="SOY84" s="684"/>
      <c r="SOZ84" s="684"/>
      <c r="SPA84" s="684"/>
      <c r="SPB84" s="684"/>
      <c r="SPC84" s="684"/>
      <c r="SPD84" s="684"/>
      <c r="SPE84" s="684"/>
      <c r="SPF84" s="684"/>
      <c r="SPG84" s="684"/>
      <c r="SPH84" s="684"/>
      <c r="SPI84" s="684"/>
      <c r="SPJ84" s="684"/>
      <c r="SPK84" s="684"/>
      <c r="SPL84" s="684"/>
      <c r="SPM84" s="684"/>
      <c r="SPN84" s="684"/>
      <c r="SPO84" s="684"/>
      <c r="SPP84" s="684"/>
      <c r="SPQ84" s="684"/>
      <c r="SPR84" s="684"/>
      <c r="SPS84" s="684"/>
      <c r="SPT84" s="684"/>
      <c r="SPU84" s="684"/>
      <c r="SPV84" s="684"/>
      <c r="SPW84" s="684"/>
      <c r="SPX84" s="684"/>
      <c r="SPY84" s="684"/>
      <c r="SPZ84" s="684"/>
      <c r="SQA84" s="684"/>
      <c r="SQB84" s="684"/>
      <c r="SQC84" s="684"/>
      <c r="SQD84" s="684"/>
      <c r="SQE84" s="684"/>
      <c r="SQF84" s="684"/>
      <c r="SQG84" s="684"/>
      <c r="SQH84" s="684"/>
      <c r="SQI84" s="684"/>
      <c r="SQJ84" s="684"/>
      <c r="SQK84" s="684"/>
      <c r="SQL84" s="684"/>
      <c r="SQM84" s="684"/>
      <c r="SQN84" s="684"/>
      <c r="SQO84" s="684"/>
      <c r="SQP84" s="684"/>
      <c r="SQQ84" s="684"/>
      <c r="SQR84" s="684"/>
      <c r="SQS84" s="684"/>
      <c r="SQT84" s="684"/>
      <c r="SQU84" s="684"/>
      <c r="SQV84" s="684"/>
      <c r="SQW84" s="684"/>
      <c r="SQX84" s="684"/>
      <c r="SQY84" s="684"/>
      <c r="SQZ84" s="684"/>
      <c r="SRA84" s="684"/>
      <c r="SRB84" s="684"/>
      <c r="SRC84" s="684"/>
      <c r="SRD84" s="684"/>
      <c r="SRE84" s="684"/>
      <c r="SRF84" s="684"/>
      <c r="SRG84" s="684"/>
      <c r="SRH84" s="684"/>
      <c r="SRI84" s="684"/>
      <c r="SRJ84" s="684"/>
      <c r="SRK84" s="684"/>
      <c r="SRL84" s="684"/>
      <c r="SRM84" s="684"/>
      <c r="SRN84" s="684"/>
      <c r="SRO84" s="684"/>
      <c r="SRP84" s="684"/>
      <c r="SRQ84" s="684"/>
      <c r="SRR84" s="684"/>
      <c r="SRS84" s="684"/>
      <c r="SRT84" s="684"/>
      <c r="SRU84" s="684"/>
      <c r="SRV84" s="684"/>
      <c r="SRW84" s="684"/>
      <c r="SRX84" s="684"/>
      <c r="SRY84" s="684"/>
      <c r="SRZ84" s="684"/>
      <c r="SSA84" s="684"/>
      <c r="SSB84" s="684"/>
      <c r="SSC84" s="684"/>
      <c r="SSD84" s="684"/>
      <c r="SSE84" s="684"/>
      <c r="SSF84" s="684"/>
      <c r="SSG84" s="684"/>
      <c r="SSH84" s="684"/>
      <c r="SSI84" s="684"/>
      <c r="SSJ84" s="684"/>
      <c r="SSK84" s="684"/>
      <c r="SSL84" s="684"/>
      <c r="SSM84" s="684"/>
      <c r="SSN84" s="684"/>
      <c r="SSO84" s="684"/>
      <c r="SSP84" s="684"/>
      <c r="SSQ84" s="684"/>
      <c r="SSR84" s="684"/>
      <c r="SSS84" s="684"/>
      <c r="SST84" s="684"/>
      <c r="SSU84" s="684"/>
      <c r="SSV84" s="684"/>
      <c r="SSW84" s="684"/>
      <c r="SSX84" s="684"/>
      <c r="SSY84" s="684"/>
      <c r="SSZ84" s="684"/>
      <c r="STA84" s="684"/>
      <c r="STB84" s="684"/>
      <c r="STC84" s="684"/>
      <c r="STD84" s="684"/>
      <c r="STE84" s="684"/>
      <c r="STF84" s="684"/>
      <c r="STG84" s="684"/>
      <c r="STH84" s="684"/>
      <c r="STI84" s="684"/>
      <c r="STJ84" s="684"/>
      <c r="STK84" s="684"/>
      <c r="STL84" s="684"/>
      <c r="STM84" s="684"/>
      <c r="STN84" s="684"/>
      <c r="STO84" s="684"/>
      <c r="STP84" s="684"/>
      <c r="STQ84" s="684"/>
      <c r="STR84" s="684"/>
      <c r="STS84" s="684"/>
      <c r="STT84" s="684"/>
      <c r="STU84" s="684"/>
      <c r="STV84" s="684"/>
      <c r="STW84" s="684"/>
      <c r="STX84" s="684"/>
      <c r="STY84" s="684"/>
      <c r="STZ84" s="684"/>
      <c r="SUA84" s="684"/>
      <c r="SUB84" s="684"/>
      <c r="SUC84" s="684"/>
      <c r="SUD84" s="684"/>
      <c r="SUE84" s="684"/>
      <c r="SUF84" s="684"/>
      <c r="SUG84" s="684"/>
      <c r="SUH84" s="684"/>
      <c r="SUI84" s="684"/>
      <c r="SUJ84" s="684"/>
      <c r="SUK84" s="684"/>
      <c r="SUL84" s="684"/>
      <c r="SUM84" s="684"/>
      <c r="SUN84" s="684"/>
      <c r="SUO84" s="684"/>
      <c r="SUP84" s="684"/>
      <c r="SUQ84" s="684"/>
      <c r="SUR84" s="684"/>
      <c r="SUS84" s="684"/>
      <c r="SUT84" s="684"/>
      <c r="SUU84" s="684"/>
      <c r="SUV84" s="684"/>
      <c r="SUW84" s="684"/>
      <c r="SUX84" s="684"/>
      <c r="SUY84" s="684"/>
      <c r="SUZ84" s="684"/>
      <c r="SVA84" s="684"/>
      <c r="SVB84" s="684"/>
      <c r="SVC84" s="684"/>
      <c r="SVD84" s="684"/>
      <c r="SVE84" s="684"/>
      <c r="SVF84" s="684"/>
      <c r="SVG84" s="684"/>
      <c r="SVH84" s="684"/>
      <c r="SVI84" s="684"/>
      <c r="SVJ84" s="684"/>
      <c r="SVK84" s="684"/>
      <c r="SVL84" s="684"/>
      <c r="SVM84" s="684"/>
      <c r="SVN84" s="684"/>
      <c r="SVO84" s="684"/>
      <c r="SVP84" s="684"/>
      <c r="SVQ84" s="684"/>
      <c r="SVR84" s="684"/>
      <c r="SVS84" s="684"/>
      <c r="SVT84" s="684"/>
      <c r="SVU84" s="684"/>
      <c r="SVV84" s="684"/>
      <c r="SVW84" s="684"/>
      <c r="SVX84" s="684"/>
      <c r="SVY84" s="684"/>
      <c r="SVZ84" s="684"/>
      <c r="SWA84" s="684"/>
      <c r="SWB84" s="684"/>
      <c r="SWC84" s="684"/>
      <c r="SWD84" s="684"/>
      <c r="SWE84" s="684"/>
      <c r="SWF84" s="684"/>
      <c r="SWG84" s="684"/>
      <c r="SWH84" s="684"/>
      <c r="SWI84" s="684"/>
      <c r="SWJ84" s="684"/>
      <c r="SWK84" s="684"/>
      <c r="SWL84" s="684"/>
      <c r="SWM84" s="684"/>
      <c r="SWN84" s="684"/>
      <c r="SWO84" s="684"/>
      <c r="SWP84" s="684"/>
      <c r="SWQ84" s="684"/>
      <c r="SWR84" s="684"/>
      <c r="SWS84" s="684"/>
      <c r="SWT84" s="684"/>
      <c r="SWU84" s="684"/>
      <c r="SWV84" s="684"/>
      <c r="SWW84" s="684"/>
      <c r="SWX84" s="684"/>
      <c r="SWY84" s="684"/>
      <c r="SWZ84" s="684"/>
      <c r="SXA84" s="684"/>
      <c r="SXB84" s="684"/>
      <c r="SXC84" s="684"/>
      <c r="SXD84" s="684"/>
      <c r="SXE84" s="684"/>
      <c r="SXF84" s="684"/>
      <c r="SXG84" s="684"/>
      <c r="SXH84" s="684"/>
      <c r="SXI84" s="684"/>
      <c r="SXJ84" s="684"/>
      <c r="SXK84" s="684"/>
      <c r="SXL84" s="684"/>
      <c r="SXM84" s="684"/>
      <c r="SXN84" s="684"/>
      <c r="SXO84" s="684"/>
      <c r="SXP84" s="684"/>
      <c r="SXQ84" s="684"/>
      <c r="SXR84" s="684"/>
      <c r="SXS84" s="684"/>
      <c r="SXT84" s="684"/>
      <c r="SXU84" s="684"/>
      <c r="SXV84" s="684"/>
      <c r="SXW84" s="684"/>
      <c r="SXX84" s="684"/>
      <c r="SXY84" s="684"/>
      <c r="SXZ84" s="684"/>
      <c r="SYA84" s="684"/>
      <c r="SYB84" s="684"/>
      <c r="SYC84" s="684"/>
      <c r="SYD84" s="684"/>
      <c r="SYE84" s="684"/>
      <c r="SYF84" s="684"/>
      <c r="SYG84" s="684"/>
      <c r="SYH84" s="684"/>
      <c r="SYI84" s="684"/>
      <c r="SYJ84" s="684"/>
      <c r="SYK84" s="684"/>
      <c r="SYL84" s="684"/>
      <c r="SYM84" s="684"/>
      <c r="SYN84" s="684"/>
      <c r="SYO84" s="684"/>
      <c r="SYP84" s="684"/>
      <c r="SYQ84" s="684"/>
      <c r="SYR84" s="684"/>
      <c r="SYS84" s="684"/>
      <c r="SYT84" s="684"/>
      <c r="SYU84" s="684"/>
      <c r="SYV84" s="684"/>
      <c r="SYW84" s="684"/>
      <c r="SYX84" s="684"/>
      <c r="SYY84" s="684"/>
      <c r="SYZ84" s="684"/>
      <c r="SZA84" s="684"/>
      <c r="SZB84" s="684"/>
      <c r="SZC84" s="684"/>
      <c r="SZD84" s="684"/>
      <c r="SZE84" s="684"/>
      <c r="SZF84" s="684"/>
      <c r="SZG84" s="684"/>
      <c r="SZH84" s="684"/>
      <c r="SZI84" s="684"/>
      <c r="SZJ84" s="684"/>
      <c r="SZK84" s="684"/>
      <c r="SZL84" s="684"/>
      <c r="SZM84" s="684"/>
      <c r="SZN84" s="684"/>
      <c r="SZO84" s="684"/>
      <c r="SZP84" s="684"/>
      <c r="SZQ84" s="684"/>
      <c r="SZR84" s="684"/>
      <c r="SZS84" s="684"/>
      <c r="SZT84" s="684"/>
      <c r="SZU84" s="684"/>
      <c r="SZV84" s="684"/>
      <c r="SZW84" s="684"/>
      <c r="SZX84" s="684"/>
      <c r="SZY84" s="684"/>
      <c r="SZZ84" s="684"/>
      <c r="TAA84" s="684"/>
      <c r="TAB84" s="684"/>
      <c r="TAC84" s="684"/>
      <c r="TAD84" s="684"/>
      <c r="TAE84" s="684"/>
      <c r="TAF84" s="684"/>
      <c r="TAG84" s="684"/>
      <c r="TAH84" s="684"/>
      <c r="TAI84" s="684"/>
      <c r="TAJ84" s="684"/>
      <c r="TAK84" s="684"/>
      <c r="TAL84" s="684"/>
      <c r="TAM84" s="684"/>
      <c r="TAN84" s="684"/>
      <c r="TAO84" s="684"/>
      <c r="TAP84" s="684"/>
      <c r="TAQ84" s="684"/>
      <c r="TAR84" s="684"/>
      <c r="TAS84" s="684"/>
      <c r="TAT84" s="684"/>
      <c r="TAU84" s="684"/>
      <c r="TAV84" s="684"/>
      <c r="TAW84" s="684"/>
      <c r="TAX84" s="684"/>
      <c r="TAY84" s="684"/>
      <c r="TAZ84" s="684"/>
      <c r="TBA84" s="684"/>
      <c r="TBB84" s="684"/>
      <c r="TBC84" s="684"/>
      <c r="TBD84" s="684"/>
      <c r="TBE84" s="684"/>
      <c r="TBF84" s="684"/>
      <c r="TBG84" s="684"/>
      <c r="TBH84" s="684"/>
      <c r="TBI84" s="684"/>
      <c r="TBJ84" s="684"/>
      <c r="TBK84" s="684"/>
      <c r="TBL84" s="684"/>
      <c r="TBM84" s="684"/>
      <c r="TBN84" s="684"/>
      <c r="TBO84" s="684"/>
      <c r="TBP84" s="684"/>
      <c r="TBQ84" s="684"/>
      <c r="TBR84" s="684"/>
      <c r="TBS84" s="684"/>
      <c r="TBT84" s="684"/>
      <c r="TBU84" s="684"/>
      <c r="TBV84" s="684"/>
      <c r="TBW84" s="684"/>
      <c r="TBX84" s="684"/>
      <c r="TBY84" s="684"/>
      <c r="TBZ84" s="684"/>
      <c r="TCA84" s="684"/>
      <c r="TCB84" s="684"/>
      <c r="TCC84" s="684"/>
      <c r="TCD84" s="684"/>
      <c r="TCE84" s="684"/>
      <c r="TCF84" s="684"/>
      <c r="TCG84" s="684"/>
      <c r="TCH84" s="684"/>
      <c r="TCI84" s="684"/>
      <c r="TCJ84" s="684"/>
      <c r="TCK84" s="684"/>
      <c r="TCL84" s="684"/>
      <c r="TCM84" s="684"/>
      <c r="TCN84" s="684"/>
      <c r="TCO84" s="684"/>
      <c r="TCP84" s="684"/>
      <c r="TCQ84" s="684"/>
      <c r="TCR84" s="684"/>
      <c r="TCS84" s="684"/>
      <c r="TCT84" s="684"/>
      <c r="TCU84" s="684"/>
      <c r="TCV84" s="684"/>
      <c r="TCW84" s="684"/>
      <c r="TCX84" s="684"/>
      <c r="TCY84" s="684"/>
      <c r="TCZ84" s="684"/>
      <c r="TDA84" s="684"/>
      <c r="TDB84" s="684"/>
      <c r="TDC84" s="684"/>
      <c r="TDD84" s="684"/>
      <c r="TDE84" s="684"/>
      <c r="TDF84" s="684"/>
      <c r="TDG84" s="684"/>
      <c r="TDH84" s="684"/>
      <c r="TDI84" s="684"/>
      <c r="TDJ84" s="684"/>
      <c r="TDK84" s="684"/>
      <c r="TDL84" s="684"/>
      <c r="TDM84" s="684"/>
      <c r="TDN84" s="684"/>
      <c r="TDO84" s="684"/>
      <c r="TDP84" s="684"/>
      <c r="TDQ84" s="684"/>
      <c r="TDR84" s="684"/>
      <c r="TDS84" s="684"/>
      <c r="TDT84" s="684"/>
      <c r="TDU84" s="684"/>
      <c r="TDV84" s="684"/>
      <c r="TDW84" s="684"/>
      <c r="TDX84" s="684"/>
      <c r="TDY84" s="684"/>
      <c r="TDZ84" s="684"/>
      <c r="TEA84" s="684"/>
      <c r="TEB84" s="684"/>
      <c r="TEC84" s="684"/>
      <c r="TED84" s="684"/>
      <c r="TEE84" s="684"/>
      <c r="TEF84" s="684"/>
      <c r="TEG84" s="684"/>
      <c r="TEH84" s="684"/>
      <c r="TEI84" s="684"/>
      <c r="TEJ84" s="684"/>
      <c r="TEK84" s="684"/>
      <c r="TEL84" s="684"/>
      <c r="TEM84" s="684"/>
      <c r="TEN84" s="684"/>
      <c r="TEO84" s="684"/>
      <c r="TEP84" s="684"/>
      <c r="TEQ84" s="684"/>
      <c r="TER84" s="684"/>
      <c r="TES84" s="684"/>
      <c r="TET84" s="684"/>
      <c r="TEU84" s="684"/>
      <c r="TEV84" s="684"/>
      <c r="TEW84" s="684"/>
      <c r="TEX84" s="684"/>
      <c r="TEY84" s="684"/>
      <c r="TEZ84" s="684"/>
      <c r="TFA84" s="684"/>
      <c r="TFB84" s="684"/>
      <c r="TFC84" s="684"/>
      <c r="TFD84" s="684"/>
      <c r="TFE84" s="684"/>
      <c r="TFF84" s="684"/>
      <c r="TFG84" s="684"/>
      <c r="TFH84" s="684"/>
      <c r="TFI84" s="684"/>
      <c r="TFJ84" s="684"/>
      <c r="TFK84" s="684"/>
      <c r="TFL84" s="684"/>
      <c r="TFM84" s="684"/>
      <c r="TFN84" s="684"/>
      <c r="TFO84" s="684"/>
      <c r="TFP84" s="684"/>
      <c r="TFQ84" s="684"/>
      <c r="TFR84" s="684"/>
      <c r="TFS84" s="684"/>
      <c r="TFT84" s="684"/>
      <c r="TFU84" s="684"/>
      <c r="TFV84" s="684"/>
      <c r="TFW84" s="684"/>
      <c r="TFX84" s="684"/>
      <c r="TFY84" s="684"/>
      <c r="TFZ84" s="684"/>
      <c r="TGA84" s="684"/>
      <c r="TGB84" s="684"/>
      <c r="TGC84" s="684"/>
      <c r="TGD84" s="684"/>
      <c r="TGE84" s="684"/>
      <c r="TGF84" s="684"/>
      <c r="TGG84" s="684"/>
      <c r="TGH84" s="684"/>
      <c r="TGI84" s="684"/>
      <c r="TGJ84" s="684"/>
      <c r="TGK84" s="684"/>
      <c r="TGL84" s="684"/>
      <c r="TGM84" s="684"/>
      <c r="TGN84" s="684"/>
      <c r="TGO84" s="684"/>
      <c r="TGP84" s="684"/>
      <c r="TGQ84" s="684"/>
      <c r="TGR84" s="684"/>
      <c r="TGS84" s="684"/>
      <c r="TGT84" s="684"/>
      <c r="TGU84" s="684"/>
      <c r="TGV84" s="684"/>
      <c r="TGW84" s="684"/>
      <c r="TGX84" s="684"/>
      <c r="TGY84" s="684"/>
      <c r="TGZ84" s="684"/>
      <c r="THA84" s="684"/>
      <c r="THB84" s="684"/>
      <c r="THC84" s="684"/>
      <c r="THD84" s="684"/>
      <c r="THE84" s="684"/>
      <c r="THF84" s="684"/>
      <c r="THG84" s="684"/>
      <c r="THH84" s="684"/>
      <c r="THI84" s="684"/>
      <c r="THJ84" s="684"/>
      <c r="THK84" s="684"/>
      <c r="THL84" s="684"/>
      <c r="THM84" s="684"/>
      <c r="THN84" s="684"/>
      <c r="THO84" s="684"/>
      <c r="THP84" s="684"/>
      <c r="THQ84" s="684"/>
      <c r="THR84" s="684"/>
      <c r="THS84" s="684"/>
      <c r="THT84" s="684"/>
      <c r="THU84" s="684"/>
      <c r="THV84" s="684"/>
      <c r="THW84" s="684"/>
      <c r="THX84" s="684"/>
      <c r="THY84" s="684"/>
      <c r="THZ84" s="684"/>
      <c r="TIA84" s="684"/>
      <c r="TIB84" s="684"/>
      <c r="TIC84" s="684"/>
      <c r="TID84" s="684"/>
      <c r="TIE84" s="684"/>
      <c r="TIF84" s="684"/>
      <c r="TIG84" s="684"/>
      <c r="TIH84" s="684"/>
      <c r="TII84" s="684"/>
      <c r="TIJ84" s="684"/>
      <c r="TIK84" s="684"/>
      <c r="TIL84" s="684"/>
      <c r="TIM84" s="684"/>
      <c r="TIN84" s="684"/>
      <c r="TIO84" s="684"/>
      <c r="TIP84" s="684"/>
      <c r="TIQ84" s="684"/>
      <c r="TIR84" s="684"/>
      <c r="TIS84" s="684"/>
      <c r="TIT84" s="684"/>
      <c r="TIU84" s="684"/>
      <c r="TIV84" s="684"/>
      <c r="TIW84" s="684"/>
      <c r="TIX84" s="684"/>
      <c r="TIY84" s="684"/>
      <c r="TIZ84" s="684"/>
      <c r="TJA84" s="684"/>
      <c r="TJB84" s="684"/>
      <c r="TJC84" s="684"/>
      <c r="TJD84" s="684"/>
      <c r="TJE84" s="684"/>
      <c r="TJF84" s="684"/>
      <c r="TJG84" s="684"/>
      <c r="TJH84" s="684"/>
      <c r="TJI84" s="684"/>
      <c r="TJJ84" s="684"/>
      <c r="TJK84" s="684"/>
      <c r="TJL84" s="684"/>
      <c r="TJM84" s="684"/>
      <c r="TJN84" s="684"/>
      <c r="TJO84" s="684"/>
      <c r="TJP84" s="684"/>
      <c r="TJQ84" s="684"/>
      <c r="TJR84" s="684"/>
      <c r="TJS84" s="684"/>
      <c r="TJT84" s="684"/>
      <c r="TJU84" s="684"/>
      <c r="TJV84" s="684"/>
      <c r="TJW84" s="684"/>
      <c r="TJX84" s="684"/>
      <c r="TJY84" s="684"/>
      <c r="TJZ84" s="684"/>
      <c r="TKA84" s="684"/>
      <c r="TKB84" s="684"/>
      <c r="TKC84" s="684"/>
      <c r="TKD84" s="684"/>
      <c r="TKE84" s="684"/>
      <c r="TKF84" s="684"/>
      <c r="TKG84" s="684"/>
      <c r="TKH84" s="684"/>
      <c r="TKI84" s="684"/>
      <c r="TKJ84" s="684"/>
      <c r="TKK84" s="684"/>
      <c r="TKL84" s="684"/>
      <c r="TKM84" s="684"/>
      <c r="TKN84" s="684"/>
      <c r="TKO84" s="684"/>
      <c r="TKP84" s="684"/>
      <c r="TKQ84" s="684"/>
      <c r="TKR84" s="684"/>
      <c r="TKS84" s="684"/>
      <c r="TKT84" s="684"/>
      <c r="TKU84" s="684"/>
      <c r="TKV84" s="684"/>
      <c r="TKW84" s="684"/>
      <c r="TKX84" s="684"/>
      <c r="TKY84" s="684"/>
      <c r="TKZ84" s="684"/>
      <c r="TLA84" s="684"/>
      <c r="TLB84" s="684"/>
      <c r="TLC84" s="684"/>
      <c r="TLD84" s="684"/>
      <c r="TLE84" s="684"/>
      <c r="TLF84" s="684"/>
      <c r="TLG84" s="684"/>
      <c r="TLH84" s="684"/>
      <c r="TLI84" s="684"/>
      <c r="TLJ84" s="684"/>
      <c r="TLK84" s="684"/>
      <c r="TLL84" s="684"/>
      <c r="TLM84" s="684"/>
      <c r="TLN84" s="684"/>
      <c r="TLO84" s="684"/>
      <c r="TLP84" s="684"/>
      <c r="TLQ84" s="684"/>
      <c r="TLR84" s="684"/>
      <c r="TLS84" s="684"/>
      <c r="TLT84" s="684"/>
      <c r="TLU84" s="684"/>
      <c r="TLV84" s="684"/>
      <c r="TLW84" s="684"/>
      <c r="TLX84" s="684"/>
      <c r="TLY84" s="684"/>
      <c r="TLZ84" s="684"/>
      <c r="TMA84" s="684"/>
      <c r="TMB84" s="684"/>
      <c r="TMC84" s="684"/>
      <c r="TMD84" s="684"/>
      <c r="TME84" s="684"/>
      <c r="TMF84" s="684"/>
      <c r="TMG84" s="684"/>
      <c r="TMH84" s="684"/>
      <c r="TMI84" s="684"/>
      <c r="TMJ84" s="684"/>
      <c r="TMK84" s="684"/>
      <c r="TML84" s="684"/>
      <c r="TMM84" s="684"/>
      <c r="TMN84" s="684"/>
      <c r="TMO84" s="684"/>
      <c r="TMP84" s="684"/>
      <c r="TMQ84" s="684"/>
      <c r="TMR84" s="684"/>
      <c r="TMS84" s="684"/>
      <c r="TMT84" s="684"/>
      <c r="TMU84" s="684"/>
      <c r="TMV84" s="684"/>
      <c r="TMW84" s="684"/>
      <c r="TMX84" s="684"/>
      <c r="TMY84" s="684"/>
      <c r="TMZ84" s="684"/>
      <c r="TNA84" s="684"/>
      <c r="TNB84" s="684"/>
      <c r="TNC84" s="684"/>
      <c r="TND84" s="684"/>
      <c r="TNE84" s="684"/>
      <c r="TNF84" s="684"/>
      <c r="TNG84" s="684"/>
      <c r="TNH84" s="684"/>
      <c r="TNI84" s="684"/>
      <c r="TNJ84" s="684"/>
      <c r="TNK84" s="684"/>
      <c r="TNL84" s="684"/>
      <c r="TNM84" s="684"/>
      <c r="TNN84" s="684"/>
      <c r="TNO84" s="684"/>
      <c r="TNP84" s="684"/>
      <c r="TNQ84" s="684"/>
      <c r="TNR84" s="684"/>
      <c r="TNS84" s="684"/>
      <c r="TNT84" s="684"/>
      <c r="TNU84" s="684"/>
      <c r="TNV84" s="684"/>
      <c r="TNW84" s="684"/>
      <c r="TNX84" s="684"/>
      <c r="TNY84" s="684"/>
      <c r="TNZ84" s="684"/>
      <c r="TOA84" s="684"/>
      <c r="TOB84" s="684"/>
      <c r="TOC84" s="684"/>
      <c r="TOD84" s="684"/>
      <c r="TOE84" s="684"/>
      <c r="TOF84" s="684"/>
      <c r="TOG84" s="684"/>
      <c r="TOH84" s="684"/>
      <c r="TOI84" s="684"/>
      <c r="TOJ84" s="684"/>
      <c r="TOK84" s="684"/>
      <c r="TOL84" s="684"/>
      <c r="TOM84" s="684"/>
      <c r="TON84" s="684"/>
      <c r="TOO84" s="684"/>
      <c r="TOP84" s="684"/>
      <c r="TOQ84" s="684"/>
      <c r="TOR84" s="684"/>
      <c r="TOS84" s="684"/>
      <c r="TOT84" s="684"/>
      <c r="TOU84" s="684"/>
      <c r="TOV84" s="684"/>
      <c r="TOW84" s="684"/>
      <c r="TOX84" s="684"/>
      <c r="TOY84" s="684"/>
      <c r="TOZ84" s="684"/>
      <c r="TPA84" s="684"/>
      <c r="TPB84" s="684"/>
      <c r="TPC84" s="684"/>
      <c r="TPD84" s="684"/>
      <c r="TPE84" s="684"/>
      <c r="TPF84" s="684"/>
      <c r="TPG84" s="684"/>
      <c r="TPH84" s="684"/>
      <c r="TPI84" s="684"/>
      <c r="TPJ84" s="684"/>
      <c r="TPK84" s="684"/>
      <c r="TPL84" s="684"/>
      <c r="TPM84" s="684"/>
      <c r="TPN84" s="684"/>
      <c r="TPO84" s="684"/>
      <c r="TPP84" s="684"/>
      <c r="TPQ84" s="684"/>
      <c r="TPR84" s="684"/>
      <c r="TPS84" s="684"/>
      <c r="TPT84" s="684"/>
      <c r="TPU84" s="684"/>
      <c r="TPV84" s="684"/>
      <c r="TPW84" s="684"/>
      <c r="TPX84" s="684"/>
      <c r="TPY84" s="684"/>
      <c r="TPZ84" s="684"/>
      <c r="TQA84" s="684"/>
      <c r="TQB84" s="684"/>
      <c r="TQC84" s="684"/>
      <c r="TQD84" s="684"/>
      <c r="TQE84" s="684"/>
      <c r="TQF84" s="684"/>
      <c r="TQG84" s="684"/>
      <c r="TQH84" s="684"/>
      <c r="TQI84" s="684"/>
      <c r="TQJ84" s="684"/>
      <c r="TQK84" s="684"/>
      <c r="TQL84" s="684"/>
      <c r="TQM84" s="684"/>
      <c r="TQN84" s="684"/>
      <c r="TQO84" s="684"/>
      <c r="TQP84" s="684"/>
      <c r="TQQ84" s="684"/>
      <c r="TQR84" s="684"/>
      <c r="TQS84" s="684"/>
      <c r="TQT84" s="684"/>
      <c r="TQU84" s="684"/>
      <c r="TQV84" s="684"/>
      <c r="TQW84" s="684"/>
      <c r="TQX84" s="684"/>
      <c r="TQY84" s="684"/>
      <c r="TQZ84" s="684"/>
      <c r="TRA84" s="684"/>
      <c r="TRB84" s="684"/>
      <c r="TRC84" s="684"/>
      <c r="TRD84" s="684"/>
      <c r="TRE84" s="684"/>
      <c r="TRF84" s="684"/>
      <c r="TRG84" s="684"/>
      <c r="TRH84" s="684"/>
      <c r="TRI84" s="684"/>
      <c r="TRJ84" s="684"/>
      <c r="TRK84" s="684"/>
      <c r="TRL84" s="684"/>
      <c r="TRM84" s="684"/>
      <c r="TRN84" s="684"/>
      <c r="TRO84" s="684"/>
      <c r="TRP84" s="684"/>
      <c r="TRQ84" s="684"/>
      <c r="TRR84" s="684"/>
      <c r="TRS84" s="684"/>
      <c r="TRT84" s="684"/>
      <c r="TRU84" s="684"/>
      <c r="TRV84" s="684"/>
      <c r="TRW84" s="684"/>
      <c r="TRX84" s="684"/>
      <c r="TRY84" s="684"/>
      <c r="TRZ84" s="684"/>
      <c r="TSA84" s="684"/>
      <c r="TSB84" s="684"/>
      <c r="TSC84" s="684"/>
      <c r="TSD84" s="684"/>
      <c r="TSE84" s="684"/>
      <c r="TSF84" s="684"/>
      <c r="TSG84" s="684"/>
      <c r="TSH84" s="684"/>
      <c r="TSI84" s="684"/>
      <c r="TSJ84" s="684"/>
      <c r="TSK84" s="684"/>
      <c r="TSL84" s="684"/>
      <c r="TSM84" s="684"/>
      <c r="TSN84" s="684"/>
      <c r="TSO84" s="684"/>
      <c r="TSP84" s="684"/>
      <c r="TSQ84" s="684"/>
      <c r="TSR84" s="684"/>
      <c r="TSS84" s="684"/>
      <c r="TST84" s="684"/>
      <c r="TSU84" s="684"/>
      <c r="TSV84" s="684"/>
      <c r="TSW84" s="684"/>
      <c r="TSX84" s="684"/>
      <c r="TSY84" s="684"/>
      <c r="TSZ84" s="684"/>
      <c r="TTA84" s="684"/>
      <c r="TTB84" s="684"/>
      <c r="TTC84" s="684"/>
      <c r="TTD84" s="684"/>
      <c r="TTE84" s="684"/>
      <c r="TTF84" s="684"/>
      <c r="TTG84" s="684"/>
      <c r="TTH84" s="684"/>
      <c r="TTI84" s="684"/>
      <c r="TTJ84" s="684"/>
      <c r="TTK84" s="684"/>
      <c r="TTL84" s="684"/>
      <c r="TTM84" s="684"/>
      <c r="TTN84" s="684"/>
      <c r="TTO84" s="684"/>
      <c r="TTP84" s="684"/>
      <c r="TTQ84" s="684"/>
      <c r="TTR84" s="684"/>
      <c r="TTS84" s="684"/>
      <c r="TTT84" s="684"/>
      <c r="TTU84" s="684"/>
      <c r="TTV84" s="684"/>
      <c r="TTW84" s="684"/>
      <c r="TTX84" s="684"/>
      <c r="TTY84" s="684"/>
      <c r="TTZ84" s="684"/>
      <c r="TUA84" s="684"/>
      <c r="TUB84" s="684"/>
      <c r="TUC84" s="684"/>
      <c r="TUD84" s="684"/>
      <c r="TUE84" s="684"/>
      <c r="TUF84" s="684"/>
      <c r="TUG84" s="684"/>
      <c r="TUH84" s="684"/>
      <c r="TUI84" s="684"/>
      <c r="TUJ84" s="684"/>
      <c r="TUK84" s="684"/>
      <c r="TUL84" s="684"/>
      <c r="TUM84" s="684"/>
      <c r="TUN84" s="684"/>
      <c r="TUO84" s="684"/>
      <c r="TUP84" s="684"/>
      <c r="TUQ84" s="684"/>
      <c r="TUR84" s="684"/>
      <c r="TUS84" s="684"/>
      <c r="TUT84" s="684"/>
      <c r="TUU84" s="684"/>
      <c r="TUV84" s="684"/>
      <c r="TUW84" s="684"/>
      <c r="TUX84" s="684"/>
      <c r="TUY84" s="684"/>
      <c r="TUZ84" s="684"/>
      <c r="TVA84" s="684"/>
      <c r="TVB84" s="684"/>
      <c r="TVC84" s="684"/>
      <c r="TVD84" s="684"/>
      <c r="TVE84" s="684"/>
      <c r="TVF84" s="684"/>
      <c r="TVG84" s="684"/>
      <c r="TVH84" s="684"/>
      <c r="TVI84" s="684"/>
      <c r="TVJ84" s="684"/>
      <c r="TVK84" s="684"/>
      <c r="TVL84" s="684"/>
      <c r="TVM84" s="684"/>
      <c r="TVN84" s="684"/>
      <c r="TVO84" s="684"/>
      <c r="TVP84" s="684"/>
      <c r="TVQ84" s="684"/>
      <c r="TVR84" s="684"/>
      <c r="TVS84" s="684"/>
      <c r="TVT84" s="684"/>
      <c r="TVU84" s="684"/>
      <c r="TVV84" s="684"/>
      <c r="TVW84" s="684"/>
      <c r="TVX84" s="684"/>
      <c r="TVY84" s="684"/>
      <c r="TVZ84" s="684"/>
      <c r="TWA84" s="684"/>
      <c r="TWB84" s="684"/>
      <c r="TWC84" s="684"/>
      <c r="TWD84" s="684"/>
      <c r="TWE84" s="684"/>
      <c r="TWF84" s="684"/>
      <c r="TWG84" s="684"/>
      <c r="TWH84" s="684"/>
      <c r="TWI84" s="684"/>
      <c r="TWJ84" s="684"/>
      <c r="TWK84" s="684"/>
      <c r="TWL84" s="684"/>
      <c r="TWM84" s="684"/>
      <c r="TWN84" s="684"/>
      <c r="TWO84" s="684"/>
      <c r="TWP84" s="684"/>
      <c r="TWQ84" s="684"/>
      <c r="TWR84" s="684"/>
      <c r="TWS84" s="684"/>
      <c r="TWT84" s="684"/>
      <c r="TWU84" s="684"/>
      <c r="TWV84" s="684"/>
      <c r="TWW84" s="684"/>
      <c r="TWX84" s="684"/>
      <c r="TWY84" s="684"/>
      <c r="TWZ84" s="684"/>
      <c r="TXA84" s="684"/>
      <c r="TXB84" s="684"/>
      <c r="TXC84" s="684"/>
      <c r="TXD84" s="684"/>
      <c r="TXE84" s="684"/>
      <c r="TXF84" s="684"/>
      <c r="TXG84" s="684"/>
      <c r="TXH84" s="684"/>
      <c r="TXI84" s="684"/>
      <c r="TXJ84" s="684"/>
      <c r="TXK84" s="684"/>
      <c r="TXL84" s="684"/>
      <c r="TXM84" s="684"/>
      <c r="TXN84" s="684"/>
      <c r="TXO84" s="684"/>
      <c r="TXP84" s="684"/>
      <c r="TXQ84" s="684"/>
      <c r="TXR84" s="684"/>
      <c r="TXS84" s="684"/>
      <c r="TXT84" s="684"/>
      <c r="TXU84" s="684"/>
      <c r="TXV84" s="684"/>
      <c r="TXW84" s="684"/>
      <c r="TXX84" s="684"/>
      <c r="TXY84" s="684"/>
      <c r="TXZ84" s="684"/>
      <c r="TYA84" s="684"/>
      <c r="TYB84" s="684"/>
      <c r="TYC84" s="684"/>
      <c r="TYD84" s="684"/>
      <c r="TYE84" s="684"/>
      <c r="TYF84" s="684"/>
      <c r="TYG84" s="684"/>
      <c r="TYH84" s="684"/>
      <c r="TYI84" s="684"/>
      <c r="TYJ84" s="684"/>
      <c r="TYK84" s="684"/>
      <c r="TYL84" s="684"/>
      <c r="TYM84" s="684"/>
      <c r="TYN84" s="684"/>
      <c r="TYO84" s="684"/>
      <c r="TYP84" s="684"/>
      <c r="TYQ84" s="684"/>
      <c r="TYR84" s="684"/>
      <c r="TYS84" s="684"/>
      <c r="TYT84" s="684"/>
      <c r="TYU84" s="684"/>
      <c r="TYV84" s="684"/>
      <c r="TYW84" s="684"/>
      <c r="TYX84" s="684"/>
      <c r="TYY84" s="684"/>
      <c r="TYZ84" s="684"/>
      <c r="TZA84" s="684"/>
      <c r="TZB84" s="684"/>
      <c r="TZC84" s="684"/>
      <c r="TZD84" s="684"/>
      <c r="TZE84" s="684"/>
      <c r="TZF84" s="684"/>
      <c r="TZG84" s="684"/>
      <c r="TZH84" s="684"/>
      <c r="TZI84" s="684"/>
      <c r="TZJ84" s="684"/>
      <c r="TZK84" s="684"/>
      <c r="TZL84" s="684"/>
      <c r="TZM84" s="684"/>
      <c r="TZN84" s="684"/>
      <c r="TZO84" s="684"/>
      <c r="TZP84" s="684"/>
      <c r="TZQ84" s="684"/>
      <c r="TZR84" s="684"/>
      <c r="TZS84" s="684"/>
      <c r="TZT84" s="684"/>
      <c r="TZU84" s="684"/>
      <c r="TZV84" s="684"/>
      <c r="TZW84" s="684"/>
      <c r="TZX84" s="684"/>
      <c r="TZY84" s="684"/>
      <c r="TZZ84" s="684"/>
      <c r="UAA84" s="684"/>
      <c r="UAB84" s="684"/>
      <c r="UAC84" s="684"/>
      <c r="UAD84" s="684"/>
      <c r="UAE84" s="684"/>
      <c r="UAF84" s="684"/>
      <c r="UAG84" s="684"/>
      <c r="UAH84" s="684"/>
      <c r="UAI84" s="684"/>
      <c r="UAJ84" s="684"/>
      <c r="UAK84" s="684"/>
      <c r="UAL84" s="684"/>
      <c r="UAM84" s="684"/>
      <c r="UAN84" s="684"/>
      <c r="UAO84" s="684"/>
      <c r="UAP84" s="684"/>
      <c r="UAQ84" s="684"/>
      <c r="UAR84" s="684"/>
      <c r="UAS84" s="684"/>
      <c r="UAT84" s="684"/>
      <c r="UAU84" s="684"/>
      <c r="UAV84" s="684"/>
      <c r="UAW84" s="684"/>
      <c r="UAX84" s="684"/>
      <c r="UAY84" s="684"/>
      <c r="UAZ84" s="684"/>
      <c r="UBA84" s="684"/>
      <c r="UBB84" s="684"/>
      <c r="UBC84" s="684"/>
      <c r="UBD84" s="684"/>
      <c r="UBE84" s="684"/>
      <c r="UBF84" s="684"/>
      <c r="UBG84" s="684"/>
      <c r="UBH84" s="684"/>
      <c r="UBI84" s="684"/>
      <c r="UBJ84" s="684"/>
      <c r="UBK84" s="684"/>
      <c r="UBL84" s="684"/>
      <c r="UBM84" s="684"/>
      <c r="UBN84" s="684"/>
      <c r="UBO84" s="684"/>
      <c r="UBP84" s="684"/>
      <c r="UBQ84" s="684"/>
      <c r="UBR84" s="684"/>
      <c r="UBS84" s="684"/>
      <c r="UBT84" s="684"/>
      <c r="UBU84" s="684"/>
      <c r="UBV84" s="684"/>
      <c r="UBW84" s="684"/>
      <c r="UBX84" s="684"/>
      <c r="UBY84" s="684"/>
      <c r="UBZ84" s="684"/>
      <c r="UCA84" s="684"/>
      <c r="UCB84" s="684"/>
      <c r="UCC84" s="684"/>
      <c r="UCD84" s="684"/>
      <c r="UCE84" s="684"/>
      <c r="UCF84" s="684"/>
      <c r="UCG84" s="684"/>
      <c r="UCH84" s="684"/>
      <c r="UCI84" s="684"/>
      <c r="UCJ84" s="684"/>
      <c r="UCK84" s="684"/>
      <c r="UCL84" s="684"/>
      <c r="UCM84" s="684"/>
      <c r="UCN84" s="684"/>
      <c r="UCO84" s="684"/>
      <c r="UCP84" s="684"/>
      <c r="UCQ84" s="684"/>
      <c r="UCR84" s="684"/>
      <c r="UCS84" s="684"/>
      <c r="UCT84" s="684"/>
      <c r="UCU84" s="684"/>
      <c r="UCV84" s="684"/>
      <c r="UCW84" s="684"/>
      <c r="UCX84" s="684"/>
      <c r="UCY84" s="684"/>
      <c r="UCZ84" s="684"/>
      <c r="UDA84" s="684"/>
      <c r="UDB84" s="684"/>
      <c r="UDC84" s="684"/>
      <c r="UDD84" s="684"/>
      <c r="UDE84" s="684"/>
      <c r="UDF84" s="684"/>
      <c r="UDG84" s="684"/>
      <c r="UDH84" s="684"/>
      <c r="UDI84" s="684"/>
      <c r="UDJ84" s="684"/>
      <c r="UDK84" s="684"/>
      <c r="UDL84" s="684"/>
      <c r="UDM84" s="684"/>
      <c r="UDN84" s="684"/>
      <c r="UDO84" s="684"/>
      <c r="UDP84" s="684"/>
      <c r="UDQ84" s="684"/>
      <c r="UDR84" s="684"/>
      <c r="UDS84" s="684"/>
      <c r="UDT84" s="684"/>
      <c r="UDU84" s="684"/>
      <c r="UDV84" s="684"/>
      <c r="UDW84" s="684"/>
      <c r="UDX84" s="684"/>
      <c r="UDY84" s="684"/>
      <c r="UDZ84" s="684"/>
      <c r="UEA84" s="684"/>
      <c r="UEB84" s="684"/>
      <c r="UEC84" s="684"/>
      <c r="UED84" s="684"/>
      <c r="UEE84" s="684"/>
      <c r="UEF84" s="684"/>
      <c r="UEG84" s="684"/>
      <c r="UEH84" s="684"/>
      <c r="UEI84" s="684"/>
      <c r="UEJ84" s="684"/>
      <c r="UEK84" s="684"/>
      <c r="UEL84" s="684"/>
      <c r="UEM84" s="684"/>
      <c r="UEN84" s="684"/>
      <c r="UEO84" s="684"/>
      <c r="UEP84" s="684"/>
      <c r="UEQ84" s="684"/>
      <c r="UER84" s="684"/>
      <c r="UES84" s="684"/>
      <c r="UET84" s="684"/>
      <c r="UEU84" s="684"/>
      <c r="UEV84" s="684"/>
      <c r="UEW84" s="684"/>
      <c r="UEX84" s="684"/>
      <c r="UEY84" s="684"/>
      <c r="UEZ84" s="684"/>
      <c r="UFA84" s="684"/>
      <c r="UFB84" s="684"/>
      <c r="UFC84" s="684"/>
      <c r="UFD84" s="684"/>
      <c r="UFE84" s="684"/>
      <c r="UFF84" s="684"/>
      <c r="UFG84" s="684"/>
      <c r="UFH84" s="684"/>
      <c r="UFI84" s="684"/>
      <c r="UFJ84" s="684"/>
      <c r="UFK84" s="684"/>
      <c r="UFL84" s="684"/>
      <c r="UFM84" s="684"/>
      <c r="UFN84" s="684"/>
      <c r="UFO84" s="684"/>
      <c r="UFP84" s="684"/>
      <c r="UFQ84" s="684"/>
      <c r="UFR84" s="684"/>
      <c r="UFS84" s="684"/>
      <c r="UFT84" s="684"/>
      <c r="UFU84" s="684"/>
      <c r="UFV84" s="684"/>
      <c r="UFW84" s="684"/>
      <c r="UFX84" s="684"/>
      <c r="UFY84" s="684"/>
      <c r="UFZ84" s="684"/>
      <c r="UGA84" s="684"/>
      <c r="UGB84" s="684"/>
      <c r="UGC84" s="684"/>
      <c r="UGD84" s="684"/>
      <c r="UGE84" s="684"/>
      <c r="UGF84" s="684"/>
      <c r="UGG84" s="684"/>
      <c r="UGH84" s="684"/>
      <c r="UGI84" s="684"/>
      <c r="UGJ84" s="684"/>
      <c r="UGK84" s="684"/>
      <c r="UGL84" s="684"/>
      <c r="UGM84" s="684"/>
      <c r="UGN84" s="684"/>
      <c r="UGO84" s="684"/>
      <c r="UGP84" s="684"/>
      <c r="UGQ84" s="684"/>
      <c r="UGR84" s="684"/>
      <c r="UGS84" s="684"/>
      <c r="UGT84" s="684"/>
      <c r="UGU84" s="684"/>
      <c r="UGV84" s="684"/>
      <c r="UGW84" s="684"/>
      <c r="UGX84" s="684"/>
      <c r="UGY84" s="684"/>
      <c r="UGZ84" s="684"/>
      <c r="UHA84" s="684"/>
      <c r="UHB84" s="684"/>
      <c r="UHC84" s="684"/>
      <c r="UHD84" s="684"/>
      <c r="UHE84" s="684"/>
      <c r="UHF84" s="684"/>
      <c r="UHG84" s="684"/>
      <c r="UHH84" s="684"/>
      <c r="UHI84" s="684"/>
      <c r="UHJ84" s="684"/>
      <c r="UHK84" s="684"/>
      <c r="UHL84" s="684"/>
      <c r="UHM84" s="684"/>
      <c r="UHN84" s="684"/>
      <c r="UHO84" s="684"/>
      <c r="UHP84" s="684"/>
      <c r="UHQ84" s="684"/>
      <c r="UHR84" s="684"/>
      <c r="UHS84" s="684"/>
      <c r="UHT84" s="684"/>
      <c r="UHU84" s="684"/>
      <c r="UHV84" s="684"/>
      <c r="UHW84" s="684"/>
      <c r="UHX84" s="684"/>
      <c r="UHY84" s="684"/>
      <c r="UHZ84" s="684"/>
      <c r="UIA84" s="684"/>
      <c r="UIB84" s="684"/>
      <c r="UIC84" s="684"/>
      <c r="UID84" s="684"/>
      <c r="UIE84" s="684"/>
      <c r="UIF84" s="684"/>
      <c r="UIG84" s="684"/>
      <c r="UIH84" s="684"/>
      <c r="UII84" s="684"/>
      <c r="UIJ84" s="684"/>
      <c r="UIK84" s="684"/>
      <c r="UIL84" s="684"/>
      <c r="UIM84" s="684"/>
      <c r="UIN84" s="684"/>
      <c r="UIO84" s="684"/>
      <c r="UIP84" s="684"/>
      <c r="UIQ84" s="684"/>
      <c r="UIR84" s="684"/>
      <c r="UIS84" s="684"/>
      <c r="UIT84" s="684"/>
      <c r="UIU84" s="684"/>
      <c r="UIV84" s="684"/>
      <c r="UIW84" s="684"/>
      <c r="UIX84" s="684"/>
      <c r="UIY84" s="684"/>
      <c r="UIZ84" s="684"/>
      <c r="UJA84" s="684"/>
      <c r="UJB84" s="684"/>
      <c r="UJC84" s="684"/>
      <c r="UJD84" s="684"/>
      <c r="UJE84" s="684"/>
      <c r="UJF84" s="684"/>
      <c r="UJG84" s="684"/>
      <c r="UJH84" s="684"/>
      <c r="UJI84" s="684"/>
      <c r="UJJ84" s="684"/>
      <c r="UJK84" s="684"/>
      <c r="UJL84" s="684"/>
      <c r="UJM84" s="684"/>
      <c r="UJN84" s="684"/>
      <c r="UJO84" s="684"/>
      <c r="UJP84" s="684"/>
      <c r="UJQ84" s="684"/>
      <c r="UJR84" s="684"/>
      <c r="UJS84" s="684"/>
      <c r="UJT84" s="684"/>
      <c r="UJU84" s="684"/>
      <c r="UJV84" s="684"/>
      <c r="UJW84" s="684"/>
      <c r="UJX84" s="684"/>
      <c r="UJY84" s="684"/>
      <c r="UJZ84" s="684"/>
      <c r="UKA84" s="684"/>
      <c r="UKB84" s="684"/>
      <c r="UKC84" s="684"/>
      <c r="UKD84" s="684"/>
      <c r="UKE84" s="684"/>
      <c r="UKF84" s="684"/>
      <c r="UKG84" s="684"/>
      <c r="UKH84" s="684"/>
      <c r="UKI84" s="684"/>
      <c r="UKJ84" s="684"/>
      <c r="UKK84" s="684"/>
      <c r="UKL84" s="684"/>
      <c r="UKM84" s="684"/>
      <c r="UKN84" s="684"/>
      <c r="UKO84" s="684"/>
      <c r="UKP84" s="684"/>
      <c r="UKQ84" s="684"/>
      <c r="UKR84" s="684"/>
      <c r="UKS84" s="684"/>
      <c r="UKT84" s="684"/>
      <c r="UKU84" s="684"/>
      <c r="UKV84" s="684"/>
      <c r="UKW84" s="684"/>
      <c r="UKX84" s="684"/>
      <c r="UKY84" s="684"/>
      <c r="UKZ84" s="684"/>
      <c r="ULA84" s="684"/>
      <c r="ULB84" s="684"/>
      <c r="ULC84" s="684"/>
      <c r="ULD84" s="684"/>
      <c r="ULE84" s="684"/>
      <c r="ULF84" s="684"/>
      <c r="ULG84" s="684"/>
      <c r="ULH84" s="684"/>
      <c r="ULI84" s="684"/>
      <c r="ULJ84" s="684"/>
      <c r="ULK84" s="684"/>
      <c r="ULL84" s="684"/>
      <c r="ULM84" s="684"/>
      <c r="ULN84" s="684"/>
      <c r="ULO84" s="684"/>
      <c r="ULP84" s="684"/>
      <c r="ULQ84" s="684"/>
      <c r="ULR84" s="684"/>
      <c r="ULS84" s="684"/>
      <c r="ULT84" s="684"/>
      <c r="ULU84" s="684"/>
      <c r="ULV84" s="684"/>
      <c r="ULW84" s="684"/>
      <c r="ULX84" s="684"/>
      <c r="ULY84" s="684"/>
      <c r="ULZ84" s="684"/>
      <c r="UMA84" s="684"/>
      <c r="UMB84" s="684"/>
      <c r="UMC84" s="684"/>
      <c r="UMD84" s="684"/>
      <c r="UME84" s="684"/>
      <c r="UMF84" s="684"/>
      <c r="UMG84" s="684"/>
      <c r="UMH84" s="684"/>
      <c r="UMI84" s="684"/>
      <c r="UMJ84" s="684"/>
      <c r="UMK84" s="684"/>
      <c r="UML84" s="684"/>
      <c r="UMM84" s="684"/>
      <c r="UMN84" s="684"/>
      <c r="UMO84" s="684"/>
      <c r="UMP84" s="684"/>
      <c r="UMQ84" s="684"/>
      <c r="UMR84" s="684"/>
      <c r="UMS84" s="684"/>
      <c r="UMT84" s="684"/>
      <c r="UMU84" s="684"/>
      <c r="UMV84" s="684"/>
      <c r="UMW84" s="684"/>
      <c r="UMX84" s="684"/>
      <c r="UMY84" s="684"/>
      <c r="UMZ84" s="684"/>
      <c r="UNA84" s="684"/>
      <c r="UNB84" s="684"/>
      <c r="UNC84" s="684"/>
      <c r="UND84" s="684"/>
      <c r="UNE84" s="684"/>
      <c r="UNF84" s="684"/>
      <c r="UNG84" s="684"/>
      <c r="UNH84" s="684"/>
      <c r="UNI84" s="684"/>
      <c r="UNJ84" s="684"/>
      <c r="UNK84" s="684"/>
      <c r="UNL84" s="684"/>
      <c r="UNM84" s="684"/>
      <c r="UNN84" s="684"/>
      <c r="UNO84" s="684"/>
      <c r="UNP84" s="684"/>
      <c r="UNQ84" s="684"/>
      <c r="UNR84" s="684"/>
      <c r="UNS84" s="684"/>
      <c r="UNT84" s="684"/>
      <c r="UNU84" s="684"/>
      <c r="UNV84" s="684"/>
      <c r="UNW84" s="684"/>
      <c r="UNX84" s="684"/>
      <c r="UNY84" s="684"/>
      <c r="UNZ84" s="684"/>
      <c r="UOA84" s="684"/>
      <c r="UOB84" s="684"/>
      <c r="UOC84" s="684"/>
      <c r="UOD84" s="684"/>
      <c r="UOE84" s="684"/>
      <c r="UOF84" s="684"/>
      <c r="UOG84" s="684"/>
      <c r="UOH84" s="684"/>
      <c r="UOI84" s="684"/>
      <c r="UOJ84" s="684"/>
      <c r="UOK84" s="684"/>
      <c r="UOL84" s="684"/>
      <c r="UOM84" s="684"/>
      <c r="UON84" s="684"/>
      <c r="UOO84" s="684"/>
      <c r="UOP84" s="684"/>
      <c r="UOQ84" s="684"/>
      <c r="UOR84" s="684"/>
      <c r="UOS84" s="684"/>
      <c r="UOT84" s="684"/>
      <c r="UOU84" s="684"/>
      <c r="UOV84" s="684"/>
      <c r="UOW84" s="684"/>
      <c r="UOX84" s="684"/>
      <c r="UOY84" s="684"/>
      <c r="UOZ84" s="684"/>
      <c r="UPA84" s="684"/>
      <c r="UPB84" s="684"/>
      <c r="UPC84" s="684"/>
      <c r="UPD84" s="684"/>
      <c r="UPE84" s="684"/>
      <c r="UPF84" s="684"/>
      <c r="UPG84" s="684"/>
      <c r="UPH84" s="684"/>
      <c r="UPI84" s="684"/>
      <c r="UPJ84" s="684"/>
      <c r="UPK84" s="684"/>
      <c r="UPL84" s="684"/>
      <c r="UPM84" s="684"/>
      <c r="UPN84" s="684"/>
      <c r="UPO84" s="684"/>
      <c r="UPP84" s="684"/>
      <c r="UPQ84" s="684"/>
      <c r="UPR84" s="684"/>
      <c r="UPS84" s="684"/>
      <c r="UPT84" s="684"/>
      <c r="UPU84" s="684"/>
      <c r="UPV84" s="684"/>
      <c r="UPW84" s="684"/>
      <c r="UPX84" s="684"/>
      <c r="UPY84" s="684"/>
      <c r="UPZ84" s="684"/>
      <c r="UQA84" s="684"/>
      <c r="UQB84" s="684"/>
      <c r="UQC84" s="684"/>
      <c r="UQD84" s="684"/>
      <c r="UQE84" s="684"/>
      <c r="UQF84" s="684"/>
      <c r="UQG84" s="684"/>
      <c r="UQH84" s="684"/>
      <c r="UQI84" s="684"/>
      <c r="UQJ84" s="684"/>
      <c r="UQK84" s="684"/>
      <c r="UQL84" s="684"/>
      <c r="UQM84" s="684"/>
      <c r="UQN84" s="684"/>
      <c r="UQO84" s="684"/>
      <c r="UQP84" s="684"/>
      <c r="UQQ84" s="684"/>
      <c r="UQR84" s="684"/>
      <c r="UQS84" s="684"/>
      <c r="UQT84" s="684"/>
      <c r="UQU84" s="684"/>
      <c r="UQV84" s="684"/>
      <c r="UQW84" s="684"/>
      <c r="UQX84" s="684"/>
      <c r="UQY84" s="684"/>
      <c r="UQZ84" s="684"/>
      <c r="URA84" s="684"/>
      <c r="URB84" s="684"/>
      <c r="URC84" s="684"/>
      <c r="URD84" s="684"/>
      <c r="URE84" s="684"/>
      <c r="URF84" s="684"/>
      <c r="URG84" s="684"/>
      <c r="URH84" s="684"/>
      <c r="URI84" s="684"/>
      <c r="URJ84" s="684"/>
      <c r="URK84" s="684"/>
      <c r="URL84" s="684"/>
      <c r="URM84" s="684"/>
      <c r="URN84" s="684"/>
      <c r="URO84" s="684"/>
      <c r="URP84" s="684"/>
      <c r="URQ84" s="684"/>
      <c r="URR84" s="684"/>
      <c r="URS84" s="684"/>
      <c r="URT84" s="684"/>
      <c r="URU84" s="684"/>
      <c r="URV84" s="684"/>
      <c r="URW84" s="684"/>
      <c r="URX84" s="684"/>
      <c r="URY84" s="684"/>
      <c r="URZ84" s="684"/>
      <c r="USA84" s="684"/>
      <c r="USB84" s="684"/>
      <c r="USC84" s="684"/>
      <c r="USD84" s="684"/>
      <c r="USE84" s="684"/>
      <c r="USF84" s="684"/>
      <c r="USG84" s="684"/>
      <c r="USH84" s="684"/>
      <c r="USI84" s="684"/>
      <c r="USJ84" s="684"/>
      <c r="USK84" s="684"/>
      <c r="USL84" s="684"/>
      <c r="USM84" s="684"/>
      <c r="USN84" s="684"/>
      <c r="USO84" s="684"/>
      <c r="USP84" s="684"/>
      <c r="USQ84" s="684"/>
      <c r="USR84" s="684"/>
      <c r="USS84" s="684"/>
      <c r="UST84" s="684"/>
      <c r="USU84" s="684"/>
      <c r="USV84" s="684"/>
      <c r="USW84" s="684"/>
      <c r="USX84" s="684"/>
      <c r="USY84" s="684"/>
      <c r="USZ84" s="684"/>
      <c r="UTA84" s="684"/>
      <c r="UTB84" s="684"/>
      <c r="UTC84" s="684"/>
      <c r="UTD84" s="684"/>
      <c r="UTE84" s="684"/>
      <c r="UTF84" s="684"/>
      <c r="UTG84" s="684"/>
      <c r="UTH84" s="684"/>
      <c r="UTI84" s="684"/>
      <c r="UTJ84" s="684"/>
      <c r="UTK84" s="684"/>
      <c r="UTL84" s="684"/>
      <c r="UTM84" s="684"/>
      <c r="UTN84" s="684"/>
      <c r="UTO84" s="684"/>
      <c r="UTP84" s="684"/>
      <c r="UTQ84" s="684"/>
      <c r="UTR84" s="684"/>
      <c r="UTS84" s="684"/>
      <c r="UTT84" s="684"/>
      <c r="UTU84" s="684"/>
      <c r="UTV84" s="684"/>
      <c r="UTW84" s="684"/>
      <c r="UTX84" s="684"/>
      <c r="UTY84" s="684"/>
      <c r="UTZ84" s="684"/>
      <c r="UUA84" s="684"/>
      <c r="UUB84" s="684"/>
      <c r="UUC84" s="684"/>
      <c r="UUD84" s="684"/>
      <c r="UUE84" s="684"/>
      <c r="UUF84" s="684"/>
      <c r="UUG84" s="684"/>
      <c r="UUH84" s="684"/>
      <c r="UUI84" s="684"/>
      <c r="UUJ84" s="684"/>
      <c r="UUK84" s="684"/>
      <c r="UUL84" s="684"/>
      <c r="UUM84" s="684"/>
      <c r="UUN84" s="684"/>
      <c r="UUO84" s="684"/>
      <c r="UUP84" s="684"/>
      <c r="UUQ84" s="684"/>
      <c r="UUR84" s="684"/>
      <c r="UUS84" s="684"/>
      <c r="UUT84" s="684"/>
      <c r="UUU84" s="684"/>
      <c r="UUV84" s="684"/>
      <c r="UUW84" s="684"/>
      <c r="UUX84" s="684"/>
      <c r="UUY84" s="684"/>
      <c r="UUZ84" s="684"/>
      <c r="UVA84" s="684"/>
      <c r="UVB84" s="684"/>
      <c r="UVC84" s="684"/>
      <c r="UVD84" s="684"/>
      <c r="UVE84" s="684"/>
      <c r="UVF84" s="684"/>
      <c r="UVG84" s="684"/>
      <c r="UVH84" s="684"/>
      <c r="UVI84" s="684"/>
      <c r="UVJ84" s="684"/>
      <c r="UVK84" s="684"/>
      <c r="UVL84" s="684"/>
      <c r="UVM84" s="684"/>
      <c r="UVN84" s="684"/>
      <c r="UVO84" s="684"/>
      <c r="UVP84" s="684"/>
      <c r="UVQ84" s="684"/>
      <c r="UVR84" s="684"/>
      <c r="UVS84" s="684"/>
      <c r="UVT84" s="684"/>
      <c r="UVU84" s="684"/>
      <c r="UVV84" s="684"/>
      <c r="UVW84" s="684"/>
      <c r="UVX84" s="684"/>
      <c r="UVY84" s="684"/>
      <c r="UVZ84" s="684"/>
      <c r="UWA84" s="684"/>
      <c r="UWB84" s="684"/>
      <c r="UWC84" s="684"/>
      <c r="UWD84" s="684"/>
      <c r="UWE84" s="684"/>
      <c r="UWF84" s="684"/>
      <c r="UWG84" s="684"/>
      <c r="UWH84" s="684"/>
      <c r="UWI84" s="684"/>
      <c r="UWJ84" s="684"/>
      <c r="UWK84" s="684"/>
      <c r="UWL84" s="684"/>
      <c r="UWM84" s="684"/>
      <c r="UWN84" s="684"/>
      <c r="UWO84" s="684"/>
      <c r="UWP84" s="684"/>
      <c r="UWQ84" s="684"/>
      <c r="UWR84" s="684"/>
      <c r="UWS84" s="684"/>
      <c r="UWT84" s="684"/>
      <c r="UWU84" s="684"/>
      <c r="UWV84" s="684"/>
      <c r="UWW84" s="684"/>
      <c r="UWX84" s="684"/>
      <c r="UWY84" s="684"/>
      <c r="UWZ84" s="684"/>
      <c r="UXA84" s="684"/>
      <c r="UXB84" s="684"/>
      <c r="UXC84" s="684"/>
      <c r="UXD84" s="684"/>
      <c r="UXE84" s="684"/>
      <c r="UXF84" s="684"/>
      <c r="UXG84" s="684"/>
      <c r="UXH84" s="684"/>
      <c r="UXI84" s="684"/>
      <c r="UXJ84" s="684"/>
      <c r="UXK84" s="684"/>
      <c r="UXL84" s="684"/>
      <c r="UXM84" s="684"/>
      <c r="UXN84" s="684"/>
      <c r="UXO84" s="684"/>
      <c r="UXP84" s="684"/>
      <c r="UXQ84" s="684"/>
      <c r="UXR84" s="684"/>
      <c r="UXS84" s="684"/>
      <c r="UXT84" s="684"/>
      <c r="UXU84" s="684"/>
      <c r="UXV84" s="684"/>
      <c r="UXW84" s="684"/>
      <c r="UXX84" s="684"/>
      <c r="UXY84" s="684"/>
      <c r="UXZ84" s="684"/>
      <c r="UYA84" s="684"/>
      <c r="UYB84" s="684"/>
      <c r="UYC84" s="684"/>
      <c r="UYD84" s="684"/>
      <c r="UYE84" s="684"/>
      <c r="UYF84" s="684"/>
      <c r="UYG84" s="684"/>
      <c r="UYH84" s="684"/>
      <c r="UYI84" s="684"/>
      <c r="UYJ84" s="684"/>
      <c r="UYK84" s="684"/>
      <c r="UYL84" s="684"/>
      <c r="UYM84" s="684"/>
      <c r="UYN84" s="684"/>
      <c r="UYO84" s="684"/>
      <c r="UYP84" s="684"/>
      <c r="UYQ84" s="684"/>
      <c r="UYR84" s="684"/>
      <c r="UYS84" s="684"/>
      <c r="UYT84" s="684"/>
      <c r="UYU84" s="684"/>
      <c r="UYV84" s="684"/>
      <c r="UYW84" s="684"/>
      <c r="UYX84" s="684"/>
      <c r="UYY84" s="684"/>
      <c r="UYZ84" s="684"/>
      <c r="UZA84" s="684"/>
      <c r="UZB84" s="684"/>
      <c r="UZC84" s="684"/>
      <c r="UZD84" s="684"/>
      <c r="UZE84" s="684"/>
      <c r="UZF84" s="684"/>
      <c r="UZG84" s="684"/>
      <c r="UZH84" s="684"/>
      <c r="UZI84" s="684"/>
      <c r="UZJ84" s="684"/>
      <c r="UZK84" s="684"/>
      <c r="UZL84" s="684"/>
      <c r="UZM84" s="684"/>
      <c r="UZN84" s="684"/>
      <c r="UZO84" s="684"/>
      <c r="UZP84" s="684"/>
      <c r="UZQ84" s="684"/>
      <c r="UZR84" s="684"/>
      <c r="UZS84" s="684"/>
      <c r="UZT84" s="684"/>
      <c r="UZU84" s="684"/>
      <c r="UZV84" s="684"/>
      <c r="UZW84" s="684"/>
      <c r="UZX84" s="684"/>
      <c r="UZY84" s="684"/>
      <c r="UZZ84" s="684"/>
      <c r="VAA84" s="684"/>
      <c r="VAB84" s="684"/>
      <c r="VAC84" s="684"/>
      <c r="VAD84" s="684"/>
      <c r="VAE84" s="684"/>
      <c r="VAF84" s="684"/>
      <c r="VAG84" s="684"/>
      <c r="VAH84" s="684"/>
      <c r="VAI84" s="684"/>
      <c r="VAJ84" s="684"/>
      <c r="VAK84" s="684"/>
      <c r="VAL84" s="684"/>
      <c r="VAM84" s="684"/>
      <c r="VAN84" s="684"/>
      <c r="VAO84" s="684"/>
      <c r="VAP84" s="684"/>
      <c r="VAQ84" s="684"/>
      <c r="VAR84" s="684"/>
      <c r="VAS84" s="684"/>
      <c r="VAT84" s="684"/>
      <c r="VAU84" s="684"/>
      <c r="VAV84" s="684"/>
      <c r="VAW84" s="684"/>
      <c r="VAX84" s="684"/>
      <c r="VAY84" s="684"/>
      <c r="VAZ84" s="684"/>
      <c r="VBA84" s="684"/>
      <c r="VBB84" s="684"/>
      <c r="VBC84" s="684"/>
      <c r="VBD84" s="684"/>
      <c r="VBE84" s="684"/>
      <c r="VBF84" s="684"/>
      <c r="VBG84" s="684"/>
      <c r="VBH84" s="684"/>
      <c r="VBI84" s="684"/>
      <c r="VBJ84" s="684"/>
      <c r="VBK84" s="684"/>
      <c r="VBL84" s="684"/>
      <c r="VBM84" s="684"/>
      <c r="VBN84" s="684"/>
      <c r="VBO84" s="684"/>
      <c r="VBP84" s="684"/>
      <c r="VBQ84" s="684"/>
      <c r="VBR84" s="684"/>
      <c r="VBS84" s="684"/>
      <c r="VBT84" s="684"/>
      <c r="VBU84" s="684"/>
      <c r="VBV84" s="684"/>
      <c r="VBW84" s="684"/>
      <c r="VBX84" s="684"/>
      <c r="VBY84" s="684"/>
      <c r="VBZ84" s="684"/>
      <c r="VCA84" s="684"/>
      <c r="VCB84" s="684"/>
      <c r="VCC84" s="684"/>
      <c r="VCD84" s="684"/>
      <c r="VCE84" s="684"/>
      <c r="VCF84" s="684"/>
      <c r="VCG84" s="684"/>
      <c r="VCH84" s="684"/>
      <c r="VCI84" s="684"/>
      <c r="VCJ84" s="684"/>
      <c r="VCK84" s="684"/>
      <c r="VCL84" s="684"/>
      <c r="VCM84" s="684"/>
      <c r="VCN84" s="684"/>
      <c r="VCO84" s="684"/>
      <c r="VCP84" s="684"/>
      <c r="VCQ84" s="684"/>
      <c r="VCR84" s="684"/>
      <c r="VCS84" s="684"/>
      <c r="VCT84" s="684"/>
      <c r="VCU84" s="684"/>
      <c r="VCV84" s="684"/>
      <c r="VCW84" s="684"/>
      <c r="VCX84" s="684"/>
      <c r="VCY84" s="684"/>
      <c r="VCZ84" s="684"/>
      <c r="VDA84" s="684"/>
      <c r="VDB84" s="684"/>
      <c r="VDC84" s="684"/>
      <c r="VDD84" s="684"/>
      <c r="VDE84" s="684"/>
      <c r="VDF84" s="684"/>
      <c r="VDG84" s="684"/>
      <c r="VDH84" s="684"/>
      <c r="VDI84" s="684"/>
      <c r="VDJ84" s="684"/>
      <c r="VDK84" s="684"/>
      <c r="VDL84" s="684"/>
      <c r="VDM84" s="684"/>
      <c r="VDN84" s="684"/>
      <c r="VDO84" s="684"/>
      <c r="VDP84" s="684"/>
      <c r="VDQ84" s="684"/>
      <c r="VDR84" s="684"/>
      <c r="VDS84" s="684"/>
      <c r="VDT84" s="684"/>
      <c r="VDU84" s="684"/>
      <c r="VDV84" s="684"/>
      <c r="VDW84" s="684"/>
      <c r="VDX84" s="684"/>
      <c r="VDY84" s="684"/>
      <c r="VDZ84" s="684"/>
      <c r="VEA84" s="684"/>
      <c r="VEB84" s="684"/>
      <c r="VEC84" s="684"/>
      <c r="VED84" s="684"/>
      <c r="VEE84" s="684"/>
      <c r="VEF84" s="684"/>
      <c r="VEG84" s="684"/>
      <c r="VEH84" s="684"/>
      <c r="VEI84" s="684"/>
      <c r="VEJ84" s="684"/>
      <c r="VEK84" s="684"/>
      <c r="VEL84" s="684"/>
      <c r="VEM84" s="684"/>
      <c r="VEN84" s="684"/>
      <c r="VEO84" s="684"/>
      <c r="VEP84" s="684"/>
      <c r="VEQ84" s="684"/>
      <c r="VER84" s="684"/>
      <c r="VES84" s="684"/>
      <c r="VET84" s="684"/>
      <c r="VEU84" s="684"/>
      <c r="VEV84" s="684"/>
      <c r="VEW84" s="684"/>
      <c r="VEX84" s="684"/>
      <c r="VEY84" s="684"/>
      <c r="VEZ84" s="684"/>
      <c r="VFA84" s="684"/>
      <c r="VFB84" s="684"/>
      <c r="VFC84" s="684"/>
      <c r="VFD84" s="684"/>
      <c r="VFE84" s="684"/>
      <c r="VFF84" s="684"/>
      <c r="VFG84" s="684"/>
      <c r="VFH84" s="684"/>
      <c r="VFI84" s="684"/>
      <c r="VFJ84" s="684"/>
      <c r="VFK84" s="684"/>
      <c r="VFL84" s="684"/>
      <c r="VFM84" s="684"/>
      <c r="VFN84" s="684"/>
      <c r="VFO84" s="684"/>
      <c r="VFP84" s="684"/>
      <c r="VFQ84" s="684"/>
      <c r="VFR84" s="684"/>
      <c r="VFS84" s="684"/>
      <c r="VFT84" s="684"/>
      <c r="VFU84" s="684"/>
      <c r="VFV84" s="684"/>
      <c r="VFW84" s="684"/>
      <c r="VFX84" s="684"/>
      <c r="VFY84" s="684"/>
      <c r="VFZ84" s="684"/>
      <c r="VGA84" s="684"/>
      <c r="VGB84" s="684"/>
      <c r="VGC84" s="684"/>
      <c r="VGD84" s="684"/>
      <c r="VGE84" s="684"/>
      <c r="VGF84" s="684"/>
      <c r="VGG84" s="684"/>
      <c r="VGH84" s="684"/>
      <c r="VGI84" s="684"/>
      <c r="VGJ84" s="684"/>
      <c r="VGK84" s="684"/>
      <c r="VGL84" s="684"/>
      <c r="VGM84" s="684"/>
      <c r="VGN84" s="684"/>
      <c r="VGO84" s="684"/>
      <c r="VGP84" s="684"/>
      <c r="VGQ84" s="684"/>
      <c r="VGR84" s="684"/>
      <c r="VGS84" s="684"/>
      <c r="VGT84" s="684"/>
      <c r="VGU84" s="684"/>
      <c r="VGV84" s="684"/>
      <c r="VGW84" s="684"/>
      <c r="VGX84" s="684"/>
      <c r="VGY84" s="684"/>
      <c r="VGZ84" s="684"/>
      <c r="VHA84" s="684"/>
      <c r="VHB84" s="684"/>
      <c r="VHC84" s="684"/>
      <c r="VHD84" s="684"/>
      <c r="VHE84" s="684"/>
      <c r="VHF84" s="684"/>
      <c r="VHG84" s="684"/>
      <c r="VHH84" s="684"/>
      <c r="VHI84" s="684"/>
      <c r="VHJ84" s="684"/>
      <c r="VHK84" s="684"/>
      <c r="VHL84" s="684"/>
      <c r="VHM84" s="684"/>
      <c r="VHN84" s="684"/>
      <c r="VHO84" s="684"/>
      <c r="VHP84" s="684"/>
      <c r="VHQ84" s="684"/>
      <c r="VHR84" s="684"/>
      <c r="VHS84" s="684"/>
      <c r="VHT84" s="684"/>
      <c r="VHU84" s="684"/>
      <c r="VHV84" s="684"/>
      <c r="VHW84" s="684"/>
      <c r="VHX84" s="684"/>
      <c r="VHY84" s="684"/>
      <c r="VHZ84" s="684"/>
      <c r="VIA84" s="684"/>
      <c r="VIB84" s="684"/>
      <c r="VIC84" s="684"/>
      <c r="VID84" s="684"/>
      <c r="VIE84" s="684"/>
      <c r="VIF84" s="684"/>
      <c r="VIG84" s="684"/>
      <c r="VIH84" s="684"/>
      <c r="VII84" s="684"/>
      <c r="VIJ84" s="684"/>
      <c r="VIK84" s="684"/>
      <c r="VIL84" s="684"/>
      <c r="VIM84" s="684"/>
      <c r="VIN84" s="684"/>
      <c r="VIO84" s="684"/>
      <c r="VIP84" s="684"/>
      <c r="VIQ84" s="684"/>
      <c r="VIR84" s="684"/>
      <c r="VIS84" s="684"/>
      <c r="VIT84" s="684"/>
      <c r="VIU84" s="684"/>
      <c r="VIV84" s="684"/>
      <c r="VIW84" s="684"/>
      <c r="VIX84" s="684"/>
      <c r="VIY84" s="684"/>
      <c r="VIZ84" s="684"/>
      <c r="VJA84" s="684"/>
      <c r="VJB84" s="684"/>
      <c r="VJC84" s="684"/>
      <c r="VJD84" s="684"/>
      <c r="VJE84" s="684"/>
      <c r="VJF84" s="684"/>
      <c r="VJG84" s="684"/>
      <c r="VJH84" s="684"/>
      <c r="VJI84" s="684"/>
      <c r="VJJ84" s="684"/>
      <c r="VJK84" s="684"/>
      <c r="VJL84" s="684"/>
      <c r="VJM84" s="684"/>
      <c r="VJN84" s="684"/>
      <c r="VJO84" s="684"/>
      <c r="VJP84" s="684"/>
      <c r="VJQ84" s="684"/>
      <c r="VJR84" s="684"/>
      <c r="VJS84" s="684"/>
      <c r="VJT84" s="684"/>
      <c r="VJU84" s="684"/>
      <c r="VJV84" s="684"/>
      <c r="VJW84" s="684"/>
      <c r="VJX84" s="684"/>
      <c r="VJY84" s="684"/>
      <c r="VJZ84" s="684"/>
      <c r="VKA84" s="684"/>
      <c r="VKB84" s="684"/>
      <c r="VKC84" s="684"/>
      <c r="VKD84" s="684"/>
      <c r="VKE84" s="684"/>
      <c r="VKF84" s="684"/>
      <c r="VKG84" s="684"/>
      <c r="VKH84" s="684"/>
      <c r="VKI84" s="684"/>
      <c r="VKJ84" s="684"/>
      <c r="VKK84" s="684"/>
      <c r="VKL84" s="684"/>
      <c r="VKM84" s="684"/>
      <c r="VKN84" s="684"/>
      <c r="VKO84" s="684"/>
      <c r="VKP84" s="684"/>
      <c r="VKQ84" s="684"/>
      <c r="VKR84" s="684"/>
      <c r="VKS84" s="684"/>
      <c r="VKT84" s="684"/>
      <c r="VKU84" s="684"/>
      <c r="VKV84" s="684"/>
      <c r="VKW84" s="684"/>
      <c r="VKX84" s="684"/>
      <c r="VKY84" s="684"/>
      <c r="VKZ84" s="684"/>
      <c r="VLA84" s="684"/>
      <c r="VLB84" s="684"/>
      <c r="VLC84" s="684"/>
      <c r="VLD84" s="684"/>
      <c r="VLE84" s="684"/>
      <c r="VLF84" s="684"/>
      <c r="VLG84" s="684"/>
      <c r="VLH84" s="684"/>
      <c r="VLI84" s="684"/>
      <c r="VLJ84" s="684"/>
      <c r="VLK84" s="684"/>
      <c r="VLL84" s="684"/>
      <c r="VLM84" s="684"/>
      <c r="VLN84" s="684"/>
      <c r="VLO84" s="684"/>
      <c r="VLP84" s="684"/>
      <c r="VLQ84" s="684"/>
      <c r="VLR84" s="684"/>
      <c r="VLS84" s="684"/>
      <c r="VLT84" s="684"/>
      <c r="VLU84" s="684"/>
      <c r="VLV84" s="684"/>
      <c r="VLW84" s="684"/>
      <c r="VLX84" s="684"/>
      <c r="VLY84" s="684"/>
      <c r="VLZ84" s="684"/>
      <c r="VMA84" s="684"/>
      <c r="VMB84" s="684"/>
      <c r="VMC84" s="684"/>
      <c r="VMD84" s="684"/>
      <c r="VME84" s="684"/>
      <c r="VMF84" s="684"/>
      <c r="VMG84" s="684"/>
      <c r="VMH84" s="684"/>
      <c r="VMI84" s="684"/>
      <c r="VMJ84" s="684"/>
      <c r="VMK84" s="684"/>
      <c r="VML84" s="684"/>
      <c r="VMM84" s="684"/>
      <c r="VMN84" s="684"/>
      <c r="VMO84" s="684"/>
      <c r="VMP84" s="684"/>
      <c r="VMQ84" s="684"/>
      <c r="VMR84" s="684"/>
      <c r="VMS84" s="684"/>
      <c r="VMT84" s="684"/>
      <c r="VMU84" s="684"/>
      <c r="VMV84" s="684"/>
      <c r="VMW84" s="684"/>
      <c r="VMX84" s="684"/>
      <c r="VMY84" s="684"/>
      <c r="VMZ84" s="684"/>
      <c r="VNA84" s="684"/>
      <c r="VNB84" s="684"/>
      <c r="VNC84" s="684"/>
      <c r="VND84" s="684"/>
      <c r="VNE84" s="684"/>
      <c r="VNF84" s="684"/>
      <c r="VNG84" s="684"/>
      <c r="VNH84" s="684"/>
      <c r="VNI84" s="684"/>
      <c r="VNJ84" s="684"/>
      <c r="VNK84" s="684"/>
      <c r="VNL84" s="684"/>
      <c r="VNM84" s="684"/>
      <c r="VNN84" s="684"/>
      <c r="VNO84" s="684"/>
      <c r="VNP84" s="684"/>
      <c r="VNQ84" s="684"/>
      <c r="VNR84" s="684"/>
      <c r="VNS84" s="684"/>
      <c r="VNT84" s="684"/>
      <c r="VNU84" s="684"/>
      <c r="VNV84" s="684"/>
      <c r="VNW84" s="684"/>
      <c r="VNX84" s="684"/>
      <c r="VNY84" s="684"/>
      <c r="VNZ84" s="684"/>
      <c r="VOA84" s="684"/>
      <c r="VOB84" s="684"/>
      <c r="VOC84" s="684"/>
      <c r="VOD84" s="684"/>
      <c r="VOE84" s="684"/>
      <c r="VOF84" s="684"/>
      <c r="VOG84" s="684"/>
      <c r="VOH84" s="684"/>
      <c r="VOI84" s="684"/>
      <c r="VOJ84" s="684"/>
      <c r="VOK84" s="684"/>
      <c r="VOL84" s="684"/>
      <c r="VOM84" s="684"/>
      <c r="VON84" s="684"/>
      <c r="VOO84" s="684"/>
      <c r="VOP84" s="684"/>
      <c r="VOQ84" s="684"/>
      <c r="VOR84" s="684"/>
      <c r="VOS84" s="684"/>
      <c r="VOT84" s="684"/>
      <c r="VOU84" s="684"/>
      <c r="VOV84" s="684"/>
      <c r="VOW84" s="684"/>
      <c r="VOX84" s="684"/>
      <c r="VOY84" s="684"/>
      <c r="VOZ84" s="684"/>
      <c r="VPA84" s="684"/>
      <c r="VPB84" s="684"/>
      <c r="VPC84" s="684"/>
      <c r="VPD84" s="684"/>
      <c r="VPE84" s="684"/>
      <c r="VPF84" s="684"/>
      <c r="VPG84" s="684"/>
      <c r="VPH84" s="684"/>
      <c r="VPI84" s="684"/>
      <c r="VPJ84" s="684"/>
      <c r="VPK84" s="684"/>
      <c r="VPL84" s="684"/>
      <c r="VPM84" s="684"/>
      <c r="VPN84" s="684"/>
      <c r="VPO84" s="684"/>
      <c r="VPP84" s="684"/>
      <c r="VPQ84" s="684"/>
      <c r="VPR84" s="684"/>
      <c r="VPS84" s="684"/>
      <c r="VPT84" s="684"/>
      <c r="VPU84" s="684"/>
      <c r="VPV84" s="684"/>
      <c r="VPW84" s="684"/>
      <c r="VPX84" s="684"/>
      <c r="VPY84" s="684"/>
      <c r="VPZ84" s="684"/>
      <c r="VQA84" s="684"/>
      <c r="VQB84" s="684"/>
      <c r="VQC84" s="684"/>
      <c r="VQD84" s="684"/>
      <c r="VQE84" s="684"/>
      <c r="VQF84" s="684"/>
      <c r="VQG84" s="684"/>
      <c r="VQH84" s="684"/>
      <c r="VQI84" s="684"/>
      <c r="VQJ84" s="684"/>
      <c r="VQK84" s="684"/>
      <c r="VQL84" s="684"/>
      <c r="VQM84" s="684"/>
      <c r="VQN84" s="684"/>
      <c r="VQO84" s="684"/>
      <c r="VQP84" s="684"/>
      <c r="VQQ84" s="684"/>
      <c r="VQR84" s="684"/>
      <c r="VQS84" s="684"/>
      <c r="VQT84" s="684"/>
      <c r="VQU84" s="684"/>
      <c r="VQV84" s="684"/>
      <c r="VQW84" s="684"/>
      <c r="VQX84" s="684"/>
      <c r="VQY84" s="684"/>
      <c r="VQZ84" s="684"/>
      <c r="VRA84" s="684"/>
      <c r="VRB84" s="684"/>
      <c r="VRC84" s="684"/>
      <c r="VRD84" s="684"/>
      <c r="VRE84" s="684"/>
      <c r="VRF84" s="684"/>
      <c r="VRG84" s="684"/>
      <c r="VRH84" s="684"/>
      <c r="VRI84" s="684"/>
      <c r="VRJ84" s="684"/>
      <c r="VRK84" s="684"/>
      <c r="VRL84" s="684"/>
      <c r="VRM84" s="684"/>
      <c r="VRN84" s="684"/>
      <c r="VRO84" s="684"/>
      <c r="VRP84" s="684"/>
      <c r="VRQ84" s="684"/>
      <c r="VRR84" s="684"/>
      <c r="VRS84" s="684"/>
      <c r="VRT84" s="684"/>
      <c r="VRU84" s="684"/>
      <c r="VRV84" s="684"/>
      <c r="VRW84" s="684"/>
      <c r="VRX84" s="684"/>
      <c r="VRY84" s="684"/>
      <c r="VRZ84" s="684"/>
      <c r="VSA84" s="684"/>
      <c r="VSB84" s="684"/>
      <c r="VSC84" s="684"/>
      <c r="VSD84" s="684"/>
      <c r="VSE84" s="684"/>
      <c r="VSF84" s="684"/>
      <c r="VSG84" s="684"/>
      <c r="VSH84" s="684"/>
      <c r="VSI84" s="684"/>
      <c r="VSJ84" s="684"/>
      <c r="VSK84" s="684"/>
      <c r="VSL84" s="684"/>
      <c r="VSM84" s="684"/>
      <c r="VSN84" s="684"/>
      <c r="VSO84" s="684"/>
      <c r="VSP84" s="684"/>
      <c r="VSQ84" s="684"/>
      <c r="VSR84" s="684"/>
      <c r="VSS84" s="684"/>
      <c r="VST84" s="684"/>
      <c r="VSU84" s="684"/>
      <c r="VSV84" s="684"/>
      <c r="VSW84" s="684"/>
      <c r="VSX84" s="684"/>
      <c r="VSY84" s="684"/>
      <c r="VSZ84" s="684"/>
      <c r="VTA84" s="684"/>
      <c r="VTB84" s="684"/>
      <c r="VTC84" s="684"/>
      <c r="VTD84" s="684"/>
      <c r="VTE84" s="684"/>
      <c r="VTF84" s="684"/>
      <c r="VTG84" s="684"/>
      <c r="VTH84" s="684"/>
      <c r="VTI84" s="684"/>
      <c r="VTJ84" s="684"/>
      <c r="VTK84" s="684"/>
      <c r="VTL84" s="684"/>
      <c r="VTM84" s="684"/>
      <c r="VTN84" s="684"/>
      <c r="VTO84" s="684"/>
      <c r="VTP84" s="684"/>
      <c r="VTQ84" s="684"/>
      <c r="VTR84" s="684"/>
      <c r="VTS84" s="684"/>
      <c r="VTT84" s="684"/>
      <c r="VTU84" s="684"/>
      <c r="VTV84" s="684"/>
      <c r="VTW84" s="684"/>
      <c r="VTX84" s="684"/>
      <c r="VTY84" s="684"/>
      <c r="VTZ84" s="684"/>
      <c r="VUA84" s="684"/>
      <c r="VUB84" s="684"/>
      <c r="VUC84" s="684"/>
      <c r="VUD84" s="684"/>
      <c r="VUE84" s="684"/>
      <c r="VUF84" s="684"/>
      <c r="VUG84" s="684"/>
      <c r="VUH84" s="684"/>
      <c r="VUI84" s="684"/>
      <c r="VUJ84" s="684"/>
      <c r="VUK84" s="684"/>
      <c r="VUL84" s="684"/>
      <c r="VUM84" s="684"/>
      <c r="VUN84" s="684"/>
      <c r="VUO84" s="684"/>
      <c r="VUP84" s="684"/>
      <c r="VUQ84" s="684"/>
      <c r="VUR84" s="684"/>
      <c r="VUS84" s="684"/>
      <c r="VUT84" s="684"/>
      <c r="VUU84" s="684"/>
      <c r="VUV84" s="684"/>
      <c r="VUW84" s="684"/>
      <c r="VUX84" s="684"/>
      <c r="VUY84" s="684"/>
      <c r="VUZ84" s="684"/>
      <c r="VVA84" s="684"/>
      <c r="VVB84" s="684"/>
      <c r="VVC84" s="684"/>
      <c r="VVD84" s="684"/>
      <c r="VVE84" s="684"/>
      <c r="VVF84" s="684"/>
      <c r="VVG84" s="684"/>
      <c r="VVH84" s="684"/>
      <c r="VVI84" s="684"/>
      <c r="VVJ84" s="684"/>
      <c r="VVK84" s="684"/>
      <c r="VVL84" s="684"/>
      <c r="VVM84" s="684"/>
      <c r="VVN84" s="684"/>
      <c r="VVO84" s="684"/>
      <c r="VVP84" s="684"/>
      <c r="VVQ84" s="684"/>
      <c r="VVR84" s="684"/>
      <c r="VVS84" s="684"/>
      <c r="VVT84" s="684"/>
      <c r="VVU84" s="684"/>
      <c r="VVV84" s="684"/>
      <c r="VVW84" s="684"/>
      <c r="VVX84" s="684"/>
      <c r="VVY84" s="684"/>
      <c r="VVZ84" s="684"/>
      <c r="VWA84" s="684"/>
      <c r="VWB84" s="684"/>
      <c r="VWC84" s="684"/>
      <c r="VWD84" s="684"/>
      <c r="VWE84" s="684"/>
      <c r="VWF84" s="684"/>
      <c r="VWG84" s="684"/>
      <c r="VWH84" s="684"/>
      <c r="VWI84" s="684"/>
      <c r="VWJ84" s="684"/>
      <c r="VWK84" s="684"/>
      <c r="VWL84" s="684"/>
      <c r="VWM84" s="684"/>
      <c r="VWN84" s="684"/>
      <c r="VWO84" s="684"/>
      <c r="VWP84" s="684"/>
      <c r="VWQ84" s="684"/>
      <c r="VWR84" s="684"/>
      <c r="VWS84" s="684"/>
      <c r="VWT84" s="684"/>
      <c r="VWU84" s="684"/>
      <c r="VWV84" s="684"/>
      <c r="VWW84" s="684"/>
      <c r="VWX84" s="684"/>
      <c r="VWY84" s="684"/>
      <c r="VWZ84" s="684"/>
      <c r="VXA84" s="684"/>
      <c r="VXB84" s="684"/>
      <c r="VXC84" s="684"/>
      <c r="VXD84" s="684"/>
      <c r="VXE84" s="684"/>
      <c r="VXF84" s="684"/>
      <c r="VXG84" s="684"/>
      <c r="VXH84" s="684"/>
      <c r="VXI84" s="684"/>
      <c r="VXJ84" s="684"/>
      <c r="VXK84" s="684"/>
      <c r="VXL84" s="684"/>
      <c r="VXM84" s="684"/>
      <c r="VXN84" s="684"/>
      <c r="VXO84" s="684"/>
      <c r="VXP84" s="684"/>
      <c r="VXQ84" s="684"/>
      <c r="VXR84" s="684"/>
      <c r="VXS84" s="684"/>
      <c r="VXT84" s="684"/>
      <c r="VXU84" s="684"/>
      <c r="VXV84" s="684"/>
      <c r="VXW84" s="684"/>
      <c r="VXX84" s="684"/>
      <c r="VXY84" s="684"/>
      <c r="VXZ84" s="684"/>
      <c r="VYA84" s="684"/>
      <c r="VYB84" s="684"/>
      <c r="VYC84" s="684"/>
      <c r="VYD84" s="684"/>
      <c r="VYE84" s="684"/>
      <c r="VYF84" s="684"/>
      <c r="VYG84" s="684"/>
      <c r="VYH84" s="684"/>
      <c r="VYI84" s="684"/>
      <c r="VYJ84" s="684"/>
      <c r="VYK84" s="684"/>
      <c r="VYL84" s="684"/>
      <c r="VYM84" s="684"/>
      <c r="VYN84" s="684"/>
      <c r="VYO84" s="684"/>
      <c r="VYP84" s="684"/>
      <c r="VYQ84" s="684"/>
      <c r="VYR84" s="684"/>
      <c r="VYS84" s="684"/>
      <c r="VYT84" s="684"/>
      <c r="VYU84" s="684"/>
      <c r="VYV84" s="684"/>
      <c r="VYW84" s="684"/>
      <c r="VYX84" s="684"/>
      <c r="VYY84" s="684"/>
      <c r="VYZ84" s="684"/>
      <c r="VZA84" s="684"/>
      <c r="VZB84" s="684"/>
      <c r="VZC84" s="684"/>
      <c r="VZD84" s="684"/>
      <c r="VZE84" s="684"/>
      <c r="VZF84" s="684"/>
      <c r="VZG84" s="684"/>
      <c r="VZH84" s="684"/>
      <c r="VZI84" s="684"/>
      <c r="VZJ84" s="684"/>
      <c r="VZK84" s="684"/>
      <c r="VZL84" s="684"/>
      <c r="VZM84" s="684"/>
      <c r="VZN84" s="684"/>
      <c r="VZO84" s="684"/>
      <c r="VZP84" s="684"/>
      <c r="VZQ84" s="684"/>
      <c r="VZR84" s="684"/>
      <c r="VZS84" s="684"/>
      <c r="VZT84" s="684"/>
      <c r="VZU84" s="684"/>
      <c r="VZV84" s="684"/>
      <c r="VZW84" s="684"/>
      <c r="VZX84" s="684"/>
      <c r="VZY84" s="684"/>
      <c r="VZZ84" s="684"/>
      <c r="WAA84" s="684"/>
      <c r="WAB84" s="684"/>
      <c r="WAC84" s="684"/>
      <c r="WAD84" s="684"/>
      <c r="WAE84" s="684"/>
      <c r="WAF84" s="684"/>
      <c r="WAG84" s="684"/>
      <c r="WAH84" s="684"/>
      <c r="WAI84" s="684"/>
      <c r="WAJ84" s="684"/>
      <c r="WAK84" s="684"/>
      <c r="WAL84" s="684"/>
      <c r="WAM84" s="684"/>
      <c r="WAN84" s="684"/>
      <c r="WAO84" s="684"/>
      <c r="WAP84" s="684"/>
      <c r="WAQ84" s="684"/>
      <c r="WAR84" s="684"/>
      <c r="WAS84" s="684"/>
      <c r="WAT84" s="684"/>
      <c r="WAU84" s="684"/>
      <c r="WAV84" s="684"/>
      <c r="WAW84" s="684"/>
      <c r="WAX84" s="684"/>
      <c r="WAY84" s="684"/>
      <c r="WAZ84" s="684"/>
      <c r="WBA84" s="684"/>
      <c r="WBB84" s="684"/>
      <c r="WBC84" s="684"/>
      <c r="WBD84" s="684"/>
      <c r="WBE84" s="684"/>
      <c r="WBF84" s="684"/>
      <c r="WBG84" s="684"/>
      <c r="WBH84" s="684"/>
      <c r="WBI84" s="684"/>
      <c r="WBJ84" s="684"/>
      <c r="WBK84" s="684"/>
      <c r="WBL84" s="684"/>
      <c r="WBM84" s="684"/>
      <c r="WBN84" s="684"/>
      <c r="WBO84" s="684"/>
      <c r="WBP84" s="684"/>
      <c r="WBQ84" s="684"/>
      <c r="WBR84" s="684"/>
      <c r="WBS84" s="684"/>
      <c r="WBT84" s="684"/>
      <c r="WBU84" s="684"/>
      <c r="WBV84" s="684"/>
      <c r="WBW84" s="684"/>
      <c r="WBX84" s="684"/>
      <c r="WBY84" s="684"/>
      <c r="WBZ84" s="684"/>
      <c r="WCA84" s="684"/>
      <c r="WCB84" s="684"/>
      <c r="WCC84" s="684"/>
      <c r="WCD84" s="684"/>
      <c r="WCE84" s="684"/>
      <c r="WCF84" s="684"/>
      <c r="WCG84" s="684"/>
      <c r="WCH84" s="684"/>
      <c r="WCI84" s="684"/>
      <c r="WCJ84" s="684"/>
      <c r="WCK84" s="684"/>
      <c r="WCL84" s="684"/>
      <c r="WCM84" s="684"/>
      <c r="WCN84" s="684"/>
      <c r="WCO84" s="684"/>
      <c r="WCP84" s="684"/>
      <c r="WCQ84" s="684"/>
      <c r="WCR84" s="684"/>
      <c r="WCS84" s="684"/>
      <c r="WCT84" s="684"/>
      <c r="WCU84" s="684"/>
      <c r="WCV84" s="684"/>
      <c r="WCW84" s="684"/>
      <c r="WCX84" s="684"/>
      <c r="WCY84" s="684"/>
      <c r="WCZ84" s="684"/>
      <c r="WDA84" s="684"/>
      <c r="WDB84" s="684"/>
      <c r="WDC84" s="684"/>
      <c r="WDD84" s="684"/>
      <c r="WDE84" s="684"/>
      <c r="WDF84" s="684"/>
      <c r="WDG84" s="684"/>
      <c r="WDH84" s="684"/>
      <c r="WDI84" s="684"/>
      <c r="WDJ84" s="684"/>
      <c r="WDK84" s="684"/>
      <c r="WDL84" s="684"/>
      <c r="WDM84" s="684"/>
      <c r="WDN84" s="684"/>
      <c r="WDO84" s="684"/>
      <c r="WDP84" s="684"/>
      <c r="WDQ84" s="684"/>
      <c r="WDR84" s="684"/>
      <c r="WDS84" s="684"/>
      <c r="WDT84" s="684"/>
      <c r="WDU84" s="684"/>
      <c r="WDV84" s="684"/>
      <c r="WDW84" s="684"/>
      <c r="WDX84" s="684"/>
      <c r="WDY84" s="684"/>
      <c r="WDZ84" s="684"/>
      <c r="WEA84" s="684"/>
      <c r="WEB84" s="684"/>
      <c r="WEC84" s="684"/>
      <c r="WED84" s="684"/>
      <c r="WEE84" s="684"/>
      <c r="WEF84" s="684"/>
      <c r="WEG84" s="684"/>
      <c r="WEH84" s="684"/>
      <c r="WEI84" s="684"/>
      <c r="WEJ84" s="684"/>
      <c r="WEK84" s="684"/>
      <c r="WEL84" s="684"/>
      <c r="WEM84" s="684"/>
      <c r="WEN84" s="684"/>
      <c r="WEO84" s="684"/>
      <c r="WEP84" s="684"/>
      <c r="WEQ84" s="684"/>
      <c r="WER84" s="684"/>
      <c r="WES84" s="684"/>
      <c r="WET84" s="684"/>
      <c r="WEU84" s="684"/>
      <c r="WEV84" s="684"/>
      <c r="WEW84" s="684"/>
      <c r="WEX84" s="684"/>
      <c r="WEY84" s="684"/>
      <c r="WEZ84" s="684"/>
      <c r="WFA84" s="684"/>
      <c r="WFB84" s="684"/>
      <c r="WFC84" s="684"/>
      <c r="WFD84" s="684"/>
      <c r="WFE84" s="684"/>
      <c r="WFF84" s="684"/>
      <c r="WFG84" s="684"/>
      <c r="WFH84" s="684"/>
      <c r="WFI84" s="684"/>
      <c r="WFJ84" s="684"/>
      <c r="WFK84" s="684"/>
      <c r="WFL84" s="684"/>
      <c r="WFM84" s="684"/>
      <c r="WFN84" s="684"/>
      <c r="WFO84" s="684"/>
      <c r="WFP84" s="684"/>
      <c r="WFQ84" s="684"/>
      <c r="WFR84" s="684"/>
      <c r="WFS84" s="684"/>
      <c r="WFT84" s="684"/>
      <c r="WFU84" s="684"/>
      <c r="WFV84" s="684"/>
      <c r="WFW84" s="684"/>
      <c r="WFX84" s="684"/>
      <c r="WFY84" s="684"/>
      <c r="WFZ84" s="684"/>
      <c r="WGA84" s="684"/>
      <c r="WGB84" s="684"/>
      <c r="WGC84" s="684"/>
      <c r="WGD84" s="684"/>
      <c r="WGE84" s="684"/>
      <c r="WGF84" s="684"/>
      <c r="WGG84" s="684"/>
      <c r="WGH84" s="684"/>
      <c r="WGI84" s="684"/>
      <c r="WGJ84" s="684"/>
      <c r="WGK84" s="684"/>
      <c r="WGL84" s="684"/>
      <c r="WGM84" s="684"/>
      <c r="WGN84" s="684"/>
      <c r="WGO84" s="684"/>
      <c r="WGP84" s="684"/>
      <c r="WGQ84" s="684"/>
      <c r="WGR84" s="684"/>
      <c r="WGS84" s="684"/>
      <c r="WGT84" s="684"/>
      <c r="WGU84" s="684"/>
      <c r="WGV84" s="684"/>
      <c r="WGW84" s="684"/>
      <c r="WGX84" s="684"/>
      <c r="WGY84" s="684"/>
      <c r="WGZ84" s="684"/>
      <c r="WHA84" s="684"/>
      <c r="WHB84" s="684"/>
      <c r="WHC84" s="684"/>
      <c r="WHD84" s="684"/>
      <c r="WHE84" s="684"/>
      <c r="WHF84" s="684"/>
      <c r="WHG84" s="684"/>
      <c r="WHH84" s="684"/>
      <c r="WHI84" s="684"/>
      <c r="WHJ84" s="684"/>
      <c r="WHK84" s="684"/>
      <c r="WHL84" s="684"/>
      <c r="WHM84" s="684"/>
      <c r="WHN84" s="684"/>
      <c r="WHO84" s="684"/>
      <c r="WHP84" s="684"/>
      <c r="WHQ84" s="684"/>
      <c r="WHR84" s="684"/>
      <c r="WHS84" s="684"/>
      <c r="WHT84" s="684"/>
      <c r="WHU84" s="684"/>
      <c r="WHV84" s="684"/>
      <c r="WHW84" s="684"/>
      <c r="WHX84" s="684"/>
      <c r="WHY84" s="684"/>
      <c r="WHZ84" s="684"/>
      <c r="WIA84" s="684"/>
      <c r="WIB84" s="684"/>
      <c r="WIC84" s="684"/>
      <c r="WID84" s="684"/>
      <c r="WIE84" s="684"/>
      <c r="WIF84" s="684"/>
      <c r="WIG84" s="684"/>
      <c r="WIH84" s="684"/>
      <c r="WII84" s="684"/>
      <c r="WIJ84" s="684"/>
      <c r="WIK84" s="684"/>
      <c r="WIL84" s="684"/>
      <c r="WIM84" s="684"/>
      <c r="WIN84" s="684"/>
      <c r="WIO84" s="684"/>
      <c r="WIP84" s="684"/>
      <c r="WIQ84" s="684"/>
      <c r="WIR84" s="684"/>
      <c r="WIS84" s="684"/>
      <c r="WIT84" s="684"/>
      <c r="WIU84" s="684"/>
      <c r="WIV84" s="684"/>
      <c r="WIW84" s="684"/>
      <c r="WIX84" s="684"/>
      <c r="WIY84" s="684"/>
      <c r="WIZ84" s="684"/>
      <c r="WJA84" s="684"/>
      <c r="WJB84" s="684"/>
      <c r="WJC84" s="684"/>
      <c r="WJD84" s="684"/>
      <c r="WJE84" s="684"/>
      <c r="WJF84" s="684"/>
      <c r="WJG84" s="684"/>
      <c r="WJH84" s="684"/>
      <c r="WJI84" s="684"/>
      <c r="WJJ84" s="684"/>
      <c r="WJK84" s="684"/>
      <c r="WJL84" s="684"/>
      <c r="WJM84" s="684"/>
      <c r="WJN84" s="684"/>
      <c r="WJO84" s="684"/>
      <c r="WJP84" s="684"/>
      <c r="WJQ84" s="684"/>
      <c r="WJR84" s="684"/>
      <c r="WJS84" s="684"/>
      <c r="WJT84" s="684"/>
      <c r="WJU84" s="684"/>
      <c r="WJV84" s="684"/>
      <c r="WJW84" s="684"/>
      <c r="WJX84" s="684"/>
      <c r="WJY84" s="684"/>
      <c r="WJZ84" s="684"/>
      <c r="WKA84" s="684"/>
      <c r="WKB84" s="684"/>
      <c r="WKC84" s="684"/>
      <c r="WKD84" s="684"/>
      <c r="WKE84" s="684"/>
      <c r="WKF84" s="684"/>
      <c r="WKG84" s="684"/>
      <c r="WKH84" s="684"/>
      <c r="WKI84" s="684"/>
      <c r="WKJ84" s="684"/>
      <c r="WKK84" s="684"/>
      <c r="WKL84" s="684"/>
      <c r="WKM84" s="684"/>
      <c r="WKN84" s="684"/>
      <c r="WKO84" s="684"/>
      <c r="WKP84" s="684"/>
      <c r="WKQ84" s="684"/>
      <c r="WKR84" s="684"/>
      <c r="WKS84" s="684"/>
      <c r="WKT84" s="684"/>
      <c r="WKU84" s="684"/>
      <c r="WKV84" s="684"/>
      <c r="WKW84" s="684"/>
      <c r="WKX84" s="684"/>
      <c r="WKY84" s="684"/>
      <c r="WKZ84" s="684"/>
      <c r="WLA84" s="684"/>
      <c r="WLB84" s="684"/>
      <c r="WLC84" s="684"/>
      <c r="WLD84" s="684"/>
      <c r="WLE84" s="684"/>
      <c r="WLF84" s="684"/>
      <c r="WLG84" s="684"/>
      <c r="WLH84" s="684"/>
      <c r="WLI84" s="684"/>
      <c r="WLJ84" s="684"/>
      <c r="WLK84" s="684"/>
      <c r="WLL84" s="684"/>
      <c r="WLM84" s="684"/>
      <c r="WLN84" s="684"/>
      <c r="WLO84" s="684"/>
      <c r="WLP84" s="684"/>
      <c r="WLQ84" s="684"/>
      <c r="WLR84" s="684"/>
      <c r="WLS84" s="684"/>
      <c r="WLT84" s="684"/>
      <c r="WLU84" s="684"/>
      <c r="WLV84" s="684"/>
      <c r="WLW84" s="684"/>
      <c r="WLX84" s="684"/>
      <c r="WLY84" s="684"/>
      <c r="WLZ84" s="684"/>
      <c r="WMA84" s="684"/>
      <c r="WMB84" s="684"/>
      <c r="WMC84" s="684"/>
      <c r="WMD84" s="684"/>
      <c r="WME84" s="684"/>
      <c r="WMF84" s="684"/>
      <c r="WMG84" s="684"/>
      <c r="WMH84" s="684"/>
      <c r="WMI84" s="684"/>
      <c r="WMJ84" s="684"/>
      <c r="WMK84" s="684"/>
      <c r="WML84" s="684"/>
      <c r="WMM84" s="684"/>
      <c r="WMN84" s="684"/>
      <c r="WMO84" s="684"/>
      <c r="WMP84" s="684"/>
      <c r="WMQ84" s="684"/>
      <c r="WMR84" s="684"/>
      <c r="WMS84" s="684"/>
      <c r="WMT84" s="684"/>
      <c r="WMU84" s="684"/>
      <c r="WMV84" s="684"/>
      <c r="WMW84" s="684"/>
      <c r="WMX84" s="684"/>
      <c r="WMY84" s="684"/>
      <c r="WMZ84" s="684"/>
      <c r="WNA84" s="684"/>
      <c r="WNB84" s="684"/>
      <c r="WNC84" s="684"/>
      <c r="WND84" s="684"/>
      <c r="WNE84" s="684"/>
      <c r="WNF84" s="684"/>
      <c r="WNG84" s="684"/>
      <c r="WNH84" s="684"/>
      <c r="WNI84" s="684"/>
      <c r="WNJ84" s="684"/>
      <c r="WNK84" s="684"/>
      <c r="WNL84" s="684"/>
      <c r="WNM84" s="684"/>
      <c r="WNN84" s="684"/>
      <c r="WNO84" s="684"/>
      <c r="WNP84" s="684"/>
      <c r="WNQ84" s="684"/>
      <c r="WNR84" s="684"/>
      <c r="WNS84" s="684"/>
      <c r="WNT84" s="684"/>
      <c r="WNU84" s="684"/>
      <c r="WNV84" s="684"/>
      <c r="WNW84" s="684"/>
      <c r="WNX84" s="684"/>
      <c r="WNY84" s="684"/>
      <c r="WNZ84" s="684"/>
      <c r="WOA84" s="684"/>
      <c r="WOB84" s="684"/>
      <c r="WOC84" s="684"/>
      <c r="WOD84" s="684"/>
      <c r="WOE84" s="684"/>
      <c r="WOF84" s="684"/>
      <c r="WOG84" s="684"/>
      <c r="WOH84" s="684"/>
      <c r="WOI84" s="684"/>
      <c r="WOJ84" s="684"/>
      <c r="WOK84" s="684"/>
      <c r="WOL84" s="684"/>
      <c r="WOM84" s="684"/>
      <c r="WON84" s="684"/>
      <c r="WOO84" s="684"/>
      <c r="WOP84" s="684"/>
      <c r="WOQ84" s="684"/>
      <c r="WOR84" s="684"/>
      <c r="WOS84" s="684"/>
      <c r="WOT84" s="684"/>
      <c r="WOU84" s="684"/>
      <c r="WOV84" s="684"/>
      <c r="WOW84" s="684"/>
      <c r="WOX84" s="684"/>
      <c r="WOY84" s="684"/>
      <c r="WOZ84" s="684"/>
      <c r="WPA84" s="684"/>
      <c r="WPB84" s="684"/>
      <c r="WPC84" s="684"/>
      <c r="WPD84" s="684"/>
      <c r="WPE84" s="684"/>
      <c r="WPF84" s="684"/>
      <c r="WPG84" s="684"/>
      <c r="WPH84" s="684"/>
      <c r="WPI84" s="684"/>
      <c r="WPJ84" s="684"/>
      <c r="WPK84" s="684"/>
      <c r="WPL84" s="684"/>
      <c r="WPM84" s="684"/>
      <c r="WPN84" s="684"/>
      <c r="WPO84" s="684"/>
      <c r="WPP84" s="684"/>
      <c r="WPQ84" s="684"/>
      <c r="WPR84" s="684"/>
      <c r="WPS84" s="684"/>
      <c r="WPT84" s="684"/>
      <c r="WPU84" s="684"/>
      <c r="WPV84" s="684"/>
      <c r="WPW84" s="684"/>
      <c r="WPX84" s="684"/>
      <c r="WPY84" s="684"/>
      <c r="WPZ84" s="684"/>
      <c r="WQA84" s="684"/>
      <c r="WQB84" s="684"/>
      <c r="WQC84" s="684"/>
      <c r="WQD84" s="684"/>
      <c r="WQE84" s="684"/>
      <c r="WQF84" s="684"/>
      <c r="WQG84" s="684"/>
      <c r="WQH84" s="684"/>
      <c r="WQI84" s="684"/>
      <c r="WQJ84" s="684"/>
      <c r="WQK84" s="684"/>
      <c r="WQL84" s="684"/>
      <c r="WQM84" s="684"/>
      <c r="WQN84" s="684"/>
      <c r="WQO84" s="684"/>
      <c r="WQP84" s="684"/>
      <c r="WQQ84" s="684"/>
      <c r="WQR84" s="684"/>
      <c r="WQS84" s="684"/>
      <c r="WQT84" s="684"/>
      <c r="WQU84" s="684"/>
      <c r="WQV84" s="684"/>
      <c r="WQW84" s="684"/>
      <c r="WQX84" s="684"/>
      <c r="WQY84" s="684"/>
      <c r="WQZ84" s="684"/>
      <c r="WRA84" s="684"/>
      <c r="WRB84" s="684"/>
      <c r="WRC84" s="684"/>
      <c r="WRD84" s="684"/>
      <c r="WRE84" s="684"/>
      <c r="WRF84" s="684"/>
      <c r="WRG84" s="684"/>
      <c r="WRH84" s="684"/>
      <c r="WRI84" s="684"/>
      <c r="WRJ84" s="684"/>
      <c r="WRK84" s="684"/>
      <c r="WRL84" s="684"/>
      <c r="WRM84" s="684"/>
      <c r="WRN84" s="684"/>
      <c r="WRO84" s="684"/>
      <c r="WRP84" s="684"/>
      <c r="WRQ84" s="684"/>
      <c r="WRR84" s="684"/>
      <c r="WRS84" s="684"/>
      <c r="WRT84" s="684"/>
      <c r="WRU84" s="684"/>
      <c r="WRV84" s="684"/>
      <c r="WRW84" s="684"/>
      <c r="WRX84" s="684"/>
      <c r="WRY84" s="684"/>
      <c r="WRZ84" s="684"/>
      <c r="WSA84" s="684"/>
      <c r="WSB84" s="684"/>
      <c r="WSC84" s="684"/>
      <c r="WSD84" s="684"/>
      <c r="WSE84" s="684"/>
      <c r="WSF84" s="684"/>
      <c r="WSG84" s="684"/>
      <c r="WSH84" s="684"/>
      <c r="WSI84" s="684"/>
      <c r="WSJ84" s="684"/>
      <c r="WSK84" s="684"/>
      <c r="WSL84" s="684"/>
      <c r="WSM84" s="684"/>
      <c r="WSN84" s="684"/>
      <c r="WSO84" s="684"/>
      <c r="WSP84" s="684"/>
      <c r="WSQ84" s="684"/>
      <c r="WSR84" s="684"/>
      <c r="WSS84" s="684"/>
      <c r="WST84" s="684"/>
      <c r="WSU84" s="684"/>
      <c r="WSV84" s="684"/>
      <c r="WSW84" s="684"/>
      <c r="WSX84" s="684"/>
      <c r="WSY84" s="684"/>
      <c r="WSZ84" s="684"/>
      <c r="WTA84" s="684"/>
      <c r="WTB84" s="684"/>
      <c r="WTC84" s="684"/>
      <c r="WTD84" s="684"/>
      <c r="WTE84" s="684"/>
      <c r="WTF84" s="684"/>
      <c r="WTG84" s="684"/>
      <c r="WTH84" s="684"/>
      <c r="WTI84" s="684"/>
      <c r="WTJ84" s="684"/>
      <c r="WTK84" s="684"/>
      <c r="WTL84" s="684"/>
      <c r="WTM84" s="684"/>
      <c r="WTN84" s="684"/>
      <c r="WTO84" s="684"/>
      <c r="WTP84" s="684"/>
      <c r="WTQ84" s="684"/>
      <c r="WTR84" s="684"/>
      <c r="WTS84" s="684"/>
      <c r="WTT84" s="684"/>
      <c r="WTU84" s="684"/>
      <c r="WTV84" s="684"/>
      <c r="WTW84" s="684"/>
      <c r="WTX84" s="684"/>
      <c r="WTY84" s="684"/>
      <c r="WTZ84" s="684"/>
      <c r="WUA84" s="684"/>
      <c r="WUB84" s="684"/>
      <c r="WUC84" s="684"/>
      <c r="WUD84" s="684"/>
      <c r="WUE84" s="684"/>
      <c r="WUF84" s="684"/>
      <c r="WUG84" s="684"/>
      <c r="WUH84" s="684"/>
      <c r="WUI84" s="684"/>
      <c r="WUJ84" s="684"/>
      <c r="WUK84" s="684"/>
      <c r="WUL84" s="684"/>
      <c r="WUM84" s="684"/>
      <c r="WUN84" s="684"/>
      <c r="WUO84" s="684"/>
      <c r="WUP84" s="684"/>
      <c r="WUQ84" s="684"/>
      <c r="WUR84" s="684"/>
      <c r="WUS84" s="684"/>
      <c r="WUT84" s="684"/>
      <c r="WUU84" s="684"/>
      <c r="WUV84" s="684"/>
      <c r="WUW84" s="684"/>
      <c r="WUX84" s="684"/>
      <c r="WUY84" s="684"/>
      <c r="WUZ84" s="684"/>
      <c r="WVA84" s="684"/>
      <c r="WVB84" s="684"/>
      <c r="WVC84" s="684"/>
      <c r="WVD84" s="684"/>
      <c r="WVE84" s="684"/>
      <c r="WVF84" s="684"/>
      <c r="WVG84" s="684"/>
      <c r="WVH84" s="684"/>
      <c r="WVI84" s="684"/>
      <c r="WVJ84" s="684"/>
      <c r="WVK84" s="684"/>
      <c r="WVL84" s="684"/>
      <c r="WVM84" s="684"/>
      <c r="WVN84" s="684"/>
      <c r="WVO84" s="684"/>
      <c r="WVP84" s="684"/>
      <c r="WVQ84" s="684"/>
      <c r="WVR84" s="684"/>
      <c r="WVS84" s="684"/>
      <c r="WVT84" s="684"/>
      <c r="WVU84" s="684"/>
      <c r="WVV84" s="684"/>
      <c r="WVW84" s="684"/>
      <c r="WVX84" s="684"/>
      <c r="WVY84" s="684"/>
      <c r="WVZ84" s="684"/>
      <c r="WWA84" s="684"/>
      <c r="WWB84" s="684"/>
      <c r="WWC84" s="684"/>
      <c r="WWD84" s="684"/>
      <c r="WWE84" s="684"/>
      <c r="WWF84" s="684"/>
      <c r="WWG84" s="684"/>
      <c r="WWH84" s="684"/>
      <c r="WWI84" s="684"/>
      <c r="WWJ84" s="684"/>
      <c r="WWK84" s="684"/>
      <c r="WWL84" s="684"/>
      <c r="WWM84" s="684"/>
      <c r="WWN84" s="684"/>
      <c r="WWO84" s="684"/>
      <c r="WWP84" s="684"/>
      <c r="WWQ84" s="684"/>
      <c r="WWR84" s="684"/>
      <c r="WWS84" s="684"/>
      <c r="WWT84" s="684"/>
      <c r="WWU84" s="684"/>
      <c r="WWV84" s="684"/>
      <c r="WWW84" s="684"/>
      <c r="WWX84" s="684"/>
      <c r="WWY84" s="684"/>
      <c r="WWZ84" s="684"/>
      <c r="WXA84" s="684"/>
      <c r="WXB84" s="684"/>
      <c r="WXC84" s="684"/>
      <c r="WXD84" s="684"/>
      <c r="WXE84" s="684"/>
      <c r="WXF84" s="684"/>
      <c r="WXG84" s="684"/>
      <c r="WXH84" s="684"/>
      <c r="WXI84" s="684"/>
      <c r="WXJ84" s="684"/>
      <c r="WXK84" s="684"/>
      <c r="WXL84" s="684"/>
      <c r="WXM84" s="684"/>
      <c r="WXN84" s="684"/>
      <c r="WXO84" s="684"/>
      <c r="WXP84" s="684"/>
      <c r="WXQ84" s="684"/>
      <c r="WXR84" s="684"/>
      <c r="WXS84" s="684"/>
      <c r="WXT84" s="684"/>
      <c r="WXU84" s="684"/>
      <c r="WXV84" s="684"/>
      <c r="WXW84" s="684"/>
      <c r="WXX84" s="684"/>
      <c r="WXY84" s="684"/>
      <c r="WXZ84" s="684"/>
      <c r="WYA84" s="684"/>
      <c r="WYB84" s="684"/>
      <c r="WYC84" s="684"/>
      <c r="WYD84" s="684"/>
      <c r="WYE84" s="684"/>
      <c r="WYF84" s="684"/>
      <c r="WYG84" s="684"/>
      <c r="WYH84" s="684"/>
      <c r="WYI84" s="684"/>
      <c r="WYJ84" s="684"/>
      <c r="WYK84" s="684"/>
      <c r="WYL84" s="684"/>
      <c r="WYM84" s="684"/>
      <c r="WYN84" s="684"/>
      <c r="WYO84" s="684"/>
      <c r="WYP84" s="684"/>
      <c r="WYQ84" s="684"/>
      <c r="WYR84" s="684"/>
      <c r="WYS84" s="684"/>
      <c r="WYT84" s="684"/>
      <c r="WYU84" s="684"/>
      <c r="WYV84" s="684"/>
      <c r="WYW84" s="684"/>
      <c r="WYX84" s="684"/>
      <c r="WYY84" s="684"/>
      <c r="WYZ84" s="684"/>
      <c r="WZA84" s="684"/>
      <c r="WZB84" s="684"/>
      <c r="WZC84" s="684"/>
      <c r="WZD84" s="684"/>
      <c r="WZE84" s="684"/>
      <c r="WZF84" s="684"/>
      <c r="WZG84" s="684"/>
      <c r="WZH84" s="684"/>
      <c r="WZI84" s="684"/>
      <c r="WZJ84" s="684"/>
      <c r="WZK84" s="684"/>
      <c r="WZL84" s="684"/>
      <c r="WZM84" s="684"/>
      <c r="WZN84" s="684"/>
      <c r="WZO84" s="684"/>
      <c r="WZP84" s="684"/>
      <c r="WZQ84" s="684"/>
      <c r="WZR84" s="684"/>
      <c r="WZS84" s="684"/>
      <c r="WZT84" s="684"/>
      <c r="WZU84" s="684"/>
      <c r="WZV84" s="684"/>
      <c r="WZW84" s="684"/>
      <c r="WZX84" s="684"/>
      <c r="WZY84" s="684"/>
      <c r="WZZ84" s="684"/>
      <c r="XAA84" s="684"/>
      <c r="XAB84" s="684"/>
      <c r="XAC84" s="684"/>
      <c r="XAD84" s="684"/>
      <c r="XAE84" s="684"/>
      <c r="XAF84" s="684"/>
      <c r="XAG84" s="684"/>
      <c r="XAH84" s="684"/>
      <c r="XAI84" s="684"/>
      <c r="XAJ84" s="684"/>
      <c r="XAK84" s="684"/>
      <c r="XAL84" s="684"/>
      <c r="XAM84" s="684"/>
      <c r="XAN84" s="684"/>
      <c r="XAO84" s="684"/>
      <c r="XAP84" s="684"/>
      <c r="XAQ84" s="684"/>
      <c r="XAR84" s="684"/>
      <c r="XAS84" s="684"/>
      <c r="XAT84" s="684"/>
      <c r="XAU84" s="684"/>
      <c r="XAV84" s="684"/>
      <c r="XAW84" s="684"/>
      <c r="XAX84" s="684"/>
      <c r="XAY84" s="684"/>
      <c r="XAZ84" s="684"/>
      <c r="XBA84" s="684"/>
      <c r="XBB84" s="684"/>
      <c r="XBC84" s="684"/>
      <c r="XBD84" s="684"/>
      <c r="XBE84" s="684"/>
      <c r="XBF84" s="684"/>
      <c r="XBG84" s="684"/>
      <c r="XBH84" s="684"/>
      <c r="XBI84" s="684"/>
      <c r="XBJ84" s="684"/>
      <c r="XBK84" s="684"/>
      <c r="XBL84" s="684"/>
      <c r="XBM84" s="684"/>
      <c r="XBN84" s="684"/>
      <c r="XBO84" s="684"/>
      <c r="XBP84" s="684"/>
      <c r="XBQ84" s="684"/>
      <c r="XBR84" s="684"/>
      <c r="XBS84" s="684"/>
      <c r="XBT84" s="684"/>
      <c r="XBU84" s="684"/>
      <c r="XBV84" s="684"/>
      <c r="XBW84" s="684"/>
      <c r="XBX84" s="684"/>
      <c r="XBY84" s="684"/>
      <c r="XBZ84" s="684"/>
      <c r="XCA84" s="684"/>
      <c r="XCB84" s="684"/>
      <c r="XCC84" s="684"/>
      <c r="XCD84" s="684"/>
      <c r="XCE84" s="684"/>
      <c r="XCF84" s="684"/>
      <c r="XCG84" s="684"/>
      <c r="XCH84" s="684"/>
      <c r="XCI84" s="684"/>
      <c r="XCJ84" s="684"/>
      <c r="XCK84" s="684"/>
      <c r="XCL84" s="684"/>
      <c r="XCM84" s="684"/>
      <c r="XCN84" s="684"/>
      <c r="XCO84" s="684"/>
      <c r="XCP84" s="684"/>
      <c r="XCQ84" s="684"/>
      <c r="XCR84" s="684"/>
      <c r="XCS84" s="684"/>
      <c r="XCT84" s="684"/>
      <c r="XCU84" s="684"/>
      <c r="XCV84" s="684"/>
      <c r="XCW84" s="684"/>
      <c r="XCX84" s="684"/>
      <c r="XCY84" s="684"/>
      <c r="XCZ84" s="684"/>
      <c r="XDA84" s="684"/>
      <c r="XDB84" s="684"/>
      <c r="XDC84" s="684"/>
      <c r="XDD84" s="684"/>
      <c r="XDE84" s="684"/>
      <c r="XDF84" s="684"/>
      <c r="XDG84" s="684"/>
      <c r="XDH84" s="684"/>
      <c r="XDI84" s="684"/>
      <c r="XDJ84" s="684"/>
      <c r="XDK84" s="684"/>
      <c r="XDL84" s="684"/>
      <c r="XDM84" s="684"/>
      <c r="XDN84" s="684"/>
      <c r="XDO84" s="684"/>
      <c r="XDP84" s="684"/>
      <c r="XDQ84" s="684"/>
      <c r="XDR84" s="684"/>
      <c r="XDS84" s="684"/>
      <c r="XDT84" s="684"/>
      <c r="XDU84" s="684"/>
      <c r="XDV84" s="684"/>
      <c r="XDW84" s="684"/>
      <c r="XDX84" s="684"/>
      <c r="XDY84" s="684"/>
      <c r="XDZ84" s="684"/>
      <c r="XEA84" s="684"/>
      <c r="XEB84" s="684"/>
      <c r="XEC84" s="684"/>
      <c r="XED84" s="684"/>
      <c r="XEE84" s="684"/>
      <c r="XEF84" s="684"/>
      <c r="XEG84" s="684"/>
      <c r="XEH84" s="684"/>
      <c r="XEI84" s="684"/>
      <c r="XEJ84" s="684"/>
      <c r="XEK84" s="684"/>
      <c r="XEL84" s="684"/>
      <c r="XEM84" s="684"/>
      <c r="XEN84" s="684"/>
      <c r="XEO84" s="684"/>
      <c r="XEP84" s="684"/>
      <c r="XEQ84" s="684"/>
      <c r="XER84" s="684"/>
      <c r="XES84" s="684"/>
      <c r="XET84" s="684"/>
      <c r="XEU84" s="684"/>
      <c r="XEV84" s="684"/>
      <c r="XEW84" s="684"/>
      <c r="XEX84" s="684"/>
      <c r="XEY84" s="684"/>
      <c r="XEZ84" s="684"/>
      <c r="XFA84" s="684"/>
      <c r="XFB84" s="684"/>
      <c r="XFC84" s="684"/>
      <c r="XFD84" s="684"/>
    </row>
    <row r="85" spans="1:16384" s="126" customFormat="1" ht="16.5" thickBot="1">
      <c r="A85" s="4414" t="s">
        <v>3235</v>
      </c>
      <c r="B85" s="4415"/>
      <c r="C85" s="4415"/>
      <c r="D85" s="4415"/>
      <c r="E85" s="4415"/>
      <c r="F85" s="4415"/>
      <c r="G85" s="4416"/>
      <c r="H85" s="931"/>
      <c r="I85" s="931"/>
      <c r="J85" s="931"/>
      <c r="K85" s="931"/>
      <c r="L85" s="931"/>
      <c r="M85" s="931"/>
      <c r="N85" s="931"/>
      <c r="O85" s="931"/>
      <c r="P85" s="931"/>
      <c r="Q85" s="931"/>
      <c r="R85" s="931"/>
      <c r="S85" s="931"/>
      <c r="T85" s="931"/>
      <c r="U85" s="931"/>
      <c r="V85" s="931"/>
      <c r="W85" s="931"/>
      <c r="X85" s="931"/>
      <c r="Y85" s="931"/>
      <c r="Z85" s="931"/>
      <c r="AA85" s="931"/>
      <c r="AB85" s="931"/>
      <c r="AC85" s="931"/>
      <c r="AD85" s="931"/>
      <c r="AE85" s="931"/>
      <c r="AF85" s="931"/>
      <c r="AG85" s="931"/>
      <c r="AH85" s="931"/>
      <c r="AI85" s="931"/>
      <c r="AJ85" s="931"/>
      <c r="AK85" s="931"/>
      <c r="AL85" s="931"/>
      <c r="AM85" s="931"/>
      <c r="AN85" s="931"/>
      <c r="AO85" s="931"/>
      <c r="AP85" s="931"/>
      <c r="AQ85" s="931"/>
      <c r="AR85" s="931"/>
      <c r="AS85" s="931"/>
      <c r="AT85" s="931"/>
      <c r="AU85" s="931"/>
      <c r="AV85" s="931"/>
      <c r="AW85" s="931"/>
      <c r="AX85" s="931"/>
      <c r="AY85" s="931"/>
      <c r="AZ85" s="931"/>
      <c r="BA85" s="931"/>
      <c r="BB85" s="931"/>
      <c r="BC85" s="931"/>
      <c r="BD85" s="931"/>
      <c r="BE85" s="931"/>
      <c r="BF85" s="931"/>
      <c r="BG85" s="931"/>
      <c r="BH85" s="931"/>
      <c r="BI85" s="931"/>
      <c r="BJ85" s="931"/>
      <c r="BK85" s="931"/>
      <c r="BL85" s="931"/>
      <c r="BM85" s="931"/>
      <c r="BN85" s="931"/>
      <c r="BO85" s="931"/>
      <c r="BP85" s="931"/>
      <c r="BQ85" s="931"/>
      <c r="BR85" s="931"/>
      <c r="BS85" s="931"/>
      <c r="BT85" s="931"/>
      <c r="BU85" s="931"/>
      <c r="BV85" s="931"/>
      <c r="BW85" s="931"/>
      <c r="BX85" s="931"/>
      <c r="BY85" s="931"/>
      <c r="BZ85" s="931"/>
      <c r="CA85" s="931"/>
      <c r="CB85" s="931"/>
      <c r="CC85" s="931"/>
      <c r="CD85" s="931"/>
      <c r="CE85" s="931"/>
      <c r="CF85" s="931"/>
      <c r="CG85" s="931"/>
      <c r="CH85" s="931"/>
      <c r="CI85" s="931"/>
      <c r="CJ85" s="931"/>
      <c r="CK85" s="931"/>
      <c r="CL85" s="931"/>
      <c r="CM85" s="931"/>
      <c r="CN85" s="931"/>
      <c r="CO85" s="931"/>
      <c r="CP85" s="931"/>
      <c r="CQ85" s="931"/>
      <c r="CR85" s="931"/>
      <c r="CS85" s="931"/>
      <c r="CT85" s="931"/>
      <c r="CU85" s="931"/>
      <c r="CV85" s="931"/>
      <c r="CW85" s="931"/>
      <c r="CX85" s="931"/>
      <c r="CY85" s="931"/>
      <c r="CZ85" s="931"/>
      <c r="DA85" s="931"/>
      <c r="DB85" s="931"/>
      <c r="DC85" s="931"/>
      <c r="DD85" s="931"/>
      <c r="DE85" s="931"/>
      <c r="DF85" s="931"/>
      <c r="DG85" s="931"/>
      <c r="DH85" s="931"/>
      <c r="DI85" s="931"/>
      <c r="DJ85" s="931"/>
      <c r="DK85" s="931"/>
      <c r="DL85" s="931"/>
      <c r="DM85" s="931"/>
      <c r="DN85" s="931"/>
      <c r="DO85" s="931"/>
      <c r="DP85" s="931"/>
      <c r="DQ85" s="931"/>
      <c r="DR85" s="931"/>
      <c r="DS85" s="931"/>
      <c r="DT85" s="931"/>
      <c r="DU85" s="931"/>
      <c r="DV85" s="931"/>
      <c r="DW85" s="931"/>
      <c r="DX85" s="931"/>
      <c r="DY85" s="931"/>
      <c r="DZ85" s="931"/>
      <c r="EA85" s="931"/>
      <c r="EB85" s="931"/>
      <c r="EC85" s="931"/>
      <c r="ED85" s="931"/>
      <c r="EE85" s="931"/>
      <c r="EF85" s="931"/>
      <c r="EG85" s="931"/>
      <c r="EH85" s="931"/>
      <c r="EI85" s="931"/>
      <c r="EJ85" s="931"/>
      <c r="EK85" s="931"/>
      <c r="EL85" s="931"/>
      <c r="EM85" s="931"/>
      <c r="EN85" s="931"/>
      <c r="EO85" s="931"/>
      <c r="EP85" s="931"/>
      <c r="EQ85" s="931"/>
      <c r="ER85" s="931"/>
      <c r="ES85" s="931"/>
      <c r="ET85" s="931"/>
      <c r="EU85" s="931"/>
      <c r="EV85" s="931"/>
      <c r="EW85" s="931"/>
      <c r="EX85" s="931"/>
      <c r="EY85" s="931"/>
      <c r="EZ85" s="931"/>
      <c r="FA85" s="931"/>
      <c r="FB85" s="931"/>
      <c r="FC85" s="931"/>
      <c r="FD85" s="931"/>
      <c r="FE85" s="931"/>
      <c r="FF85" s="931"/>
      <c r="FG85" s="931"/>
      <c r="FH85" s="931"/>
      <c r="FI85" s="931"/>
      <c r="FJ85" s="931"/>
      <c r="FK85" s="931"/>
      <c r="FL85" s="931"/>
      <c r="FM85" s="931"/>
      <c r="FN85" s="931"/>
      <c r="FO85" s="931"/>
      <c r="FP85" s="931"/>
      <c r="FQ85" s="931"/>
      <c r="FR85" s="931"/>
      <c r="FS85" s="931"/>
      <c r="FT85" s="931"/>
      <c r="FU85" s="931"/>
      <c r="FV85" s="931"/>
      <c r="FW85" s="931"/>
      <c r="FX85" s="931"/>
      <c r="FY85" s="931"/>
      <c r="FZ85" s="931"/>
      <c r="GA85" s="931"/>
      <c r="GB85" s="931"/>
      <c r="GC85" s="931"/>
      <c r="GD85" s="931"/>
      <c r="GE85" s="931"/>
      <c r="GF85" s="931"/>
      <c r="GG85" s="931"/>
      <c r="GH85" s="931"/>
      <c r="GI85" s="931"/>
      <c r="GJ85" s="931"/>
      <c r="GK85" s="931"/>
      <c r="GL85" s="931"/>
      <c r="GM85" s="931"/>
      <c r="GN85" s="931"/>
      <c r="GO85" s="931"/>
      <c r="GP85" s="931"/>
      <c r="GQ85" s="931"/>
      <c r="GR85" s="931"/>
      <c r="GS85" s="931"/>
      <c r="GT85" s="931"/>
      <c r="GU85" s="931"/>
      <c r="GV85" s="931"/>
      <c r="GW85" s="931"/>
      <c r="GX85" s="931"/>
      <c r="GY85" s="931"/>
      <c r="GZ85" s="931"/>
      <c r="HA85" s="931"/>
      <c r="HB85" s="931"/>
      <c r="HC85" s="931"/>
      <c r="HD85" s="931"/>
      <c r="HE85" s="931"/>
      <c r="HF85" s="931"/>
      <c r="HG85" s="931"/>
      <c r="HH85" s="931"/>
      <c r="HI85" s="931"/>
      <c r="HJ85" s="931"/>
      <c r="HK85" s="931"/>
      <c r="HL85" s="931"/>
      <c r="HM85" s="931"/>
      <c r="HN85" s="931"/>
      <c r="HO85" s="931"/>
      <c r="HP85" s="931"/>
      <c r="HQ85" s="931"/>
      <c r="HR85" s="931"/>
      <c r="HS85" s="931"/>
      <c r="HT85" s="931"/>
      <c r="HU85" s="931"/>
      <c r="HV85" s="931"/>
      <c r="HW85" s="931"/>
      <c r="HX85" s="931"/>
      <c r="HY85" s="931"/>
      <c r="HZ85" s="931"/>
      <c r="IA85" s="931"/>
      <c r="IB85" s="931"/>
      <c r="IC85" s="931"/>
      <c r="ID85" s="931"/>
      <c r="IE85" s="931"/>
      <c r="IF85" s="931"/>
      <c r="IG85" s="931"/>
      <c r="IH85" s="931"/>
      <c r="II85" s="931"/>
      <c r="IJ85" s="931"/>
      <c r="IK85" s="931"/>
      <c r="IL85" s="931"/>
      <c r="IM85" s="931"/>
      <c r="IN85" s="931"/>
      <c r="IO85" s="931"/>
      <c r="IP85" s="931"/>
      <c r="IQ85" s="931"/>
      <c r="IR85" s="931"/>
      <c r="IS85" s="931"/>
      <c r="IT85" s="931"/>
      <c r="IU85" s="931"/>
      <c r="IV85" s="931"/>
      <c r="IW85" s="931"/>
      <c r="IX85" s="931"/>
      <c r="IY85" s="931"/>
      <c r="IZ85" s="931"/>
      <c r="JA85" s="931"/>
      <c r="JB85" s="931"/>
      <c r="JC85" s="931"/>
      <c r="JD85" s="931"/>
      <c r="JE85" s="931"/>
      <c r="JF85" s="931"/>
      <c r="JG85" s="931"/>
      <c r="JH85" s="931"/>
      <c r="JI85" s="931"/>
      <c r="JJ85" s="931"/>
      <c r="JK85" s="931"/>
      <c r="JL85" s="931"/>
      <c r="JM85" s="931"/>
      <c r="JN85" s="931"/>
      <c r="JO85" s="931"/>
      <c r="JP85" s="931"/>
      <c r="JQ85" s="931"/>
      <c r="JR85" s="931"/>
      <c r="JS85" s="931"/>
      <c r="JT85" s="931"/>
      <c r="JU85" s="931"/>
      <c r="JV85" s="931"/>
      <c r="JW85" s="931"/>
      <c r="JX85" s="931"/>
      <c r="JY85" s="931"/>
      <c r="JZ85" s="931"/>
      <c r="KA85" s="931"/>
      <c r="KB85" s="931"/>
      <c r="KC85" s="931"/>
      <c r="KD85" s="931"/>
      <c r="KE85" s="931"/>
      <c r="KF85" s="931"/>
      <c r="KG85" s="931"/>
      <c r="KH85" s="931"/>
      <c r="KI85" s="931"/>
      <c r="KJ85" s="931"/>
      <c r="KK85" s="931"/>
      <c r="KL85" s="931"/>
      <c r="KM85" s="931"/>
      <c r="KN85" s="931"/>
      <c r="KO85" s="931"/>
      <c r="KP85" s="931"/>
      <c r="KQ85" s="931"/>
      <c r="KR85" s="931"/>
      <c r="KS85" s="931"/>
      <c r="KT85" s="931"/>
      <c r="KU85" s="931"/>
      <c r="KV85" s="931"/>
      <c r="KW85" s="931"/>
      <c r="KX85" s="931"/>
      <c r="KY85" s="931"/>
      <c r="KZ85" s="931"/>
      <c r="LA85" s="931"/>
      <c r="LB85" s="931"/>
      <c r="LC85" s="931"/>
      <c r="LD85" s="931"/>
      <c r="LE85" s="931"/>
      <c r="LF85" s="931"/>
      <c r="LG85" s="931"/>
      <c r="LH85" s="931"/>
      <c r="LI85" s="931"/>
      <c r="LJ85" s="931"/>
      <c r="LK85" s="931"/>
      <c r="LL85" s="931"/>
      <c r="LM85" s="931"/>
      <c r="LN85" s="931"/>
      <c r="LO85" s="931"/>
      <c r="LP85" s="931"/>
      <c r="LQ85" s="931"/>
      <c r="LR85" s="931"/>
      <c r="LS85" s="931"/>
      <c r="LT85" s="931"/>
      <c r="LU85" s="931"/>
      <c r="LV85" s="931"/>
      <c r="LW85" s="931"/>
      <c r="LX85" s="931"/>
      <c r="LY85" s="931"/>
      <c r="LZ85" s="931"/>
      <c r="MA85" s="931"/>
      <c r="MB85" s="931"/>
      <c r="MC85" s="931"/>
      <c r="MD85" s="931"/>
      <c r="ME85" s="931"/>
      <c r="MF85" s="931"/>
      <c r="MG85" s="931"/>
      <c r="MH85" s="931"/>
      <c r="MI85" s="931"/>
      <c r="MJ85" s="931"/>
      <c r="MK85" s="931"/>
      <c r="ML85" s="931"/>
      <c r="MM85" s="931"/>
      <c r="MN85" s="931"/>
      <c r="MO85" s="931"/>
      <c r="MP85" s="931"/>
      <c r="MQ85" s="931"/>
      <c r="MR85" s="931"/>
      <c r="MS85" s="931"/>
      <c r="MT85" s="931"/>
      <c r="MU85" s="931"/>
      <c r="MV85" s="931"/>
      <c r="MW85" s="931"/>
      <c r="MX85" s="931"/>
      <c r="MY85" s="931"/>
      <c r="MZ85" s="931"/>
      <c r="NA85" s="931"/>
      <c r="NB85" s="931"/>
      <c r="NC85" s="931"/>
      <c r="ND85" s="931"/>
      <c r="NE85" s="931"/>
      <c r="NF85" s="931"/>
      <c r="NG85" s="931"/>
      <c r="NH85" s="931"/>
      <c r="NI85" s="931"/>
      <c r="NJ85" s="931"/>
      <c r="NK85" s="931"/>
      <c r="NL85" s="931"/>
      <c r="NM85" s="931"/>
      <c r="NN85" s="931"/>
      <c r="NO85" s="931"/>
      <c r="NP85" s="931"/>
      <c r="NQ85" s="931"/>
      <c r="NR85" s="931"/>
      <c r="NS85" s="931"/>
      <c r="NT85" s="931"/>
      <c r="NU85" s="931"/>
      <c r="NV85" s="931"/>
      <c r="NW85" s="931"/>
      <c r="NX85" s="931"/>
      <c r="NY85" s="931"/>
      <c r="NZ85" s="931"/>
      <c r="OA85" s="931"/>
      <c r="OB85" s="931"/>
      <c r="OC85" s="931"/>
      <c r="OD85" s="931"/>
      <c r="OE85" s="931"/>
      <c r="OF85" s="931"/>
      <c r="OG85" s="931"/>
      <c r="OH85" s="931"/>
      <c r="OI85" s="931"/>
      <c r="OJ85" s="931"/>
      <c r="OK85" s="931"/>
      <c r="OL85" s="931"/>
      <c r="OM85" s="931"/>
      <c r="ON85" s="931"/>
      <c r="OO85" s="931"/>
      <c r="OP85" s="931"/>
      <c r="OQ85" s="931"/>
      <c r="OR85" s="931"/>
      <c r="OS85" s="931"/>
      <c r="OT85" s="931"/>
      <c r="OU85" s="931"/>
      <c r="OV85" s="931"/>
      <c r="OW85" s="931"/>
      <c r="OX85" s="931"/>
      <c r="OY85" s="931"/>
      <c r="OZ85" s="931"/>
      <c r="PA85" s="931"/>
      <c r="PB85" s="931"/>
      <c r="PC85" s="931"/>
      <c r="PD85" s="931"/>
      <c r="PE85" s="931"/>
      <c r="PF85" s="931"/>
      <c r="PG85" s="931"/>
      <c r="PH85" s="931"/>
      <c r="PI85" s="931"/>
      <c r="PJ85" s="931"/>
      <c r="PK85" s="931"/>
      <c r="PL85" s="931"/>
      <c r="PM85" s="931"/>
      <c r="PN85" s="931"/>
      <c r="PO85" s="931"/>
      <c r="PP85" s="931"/>
      <c r="PQ85" s="931"/>
      <c r="PR85" s="931"/>
      <c r="PS85" s="931"/>
      <c r="PT85" s="931"/>
      <c r="PU85" s="931"/>
      <c r="PV85" s="931"/>
      <c r="PW85" s="931"/>
      <c r="PX85" s="931"/>
      <c r="PY85" s="931"/>
      <c r="PZ85" s="931"/>
      <c r="QA85" s="931"/>
      <c r="QB85" s="931"/>
      <c r="QC85" s="931"/>
      <c r="QD85" s="931"/>
      <c r="QE85" s="931"/>
      <c r="QF85" s="931"/>
      <c r="QG85" s="931"/>
      <c r="QH85" s="931"/>
      <c r="QI85" s="931"/>
      <c r="QJ85" s="931"/>
      <c r="QK85" s="931"/>
      <c r="QL85" s="931"/>
      <c r="QM85" s="931"/>
      <c r="QN85" s="931"/>
      <c r="QO85" s="931"/>
      <c r="QP85" s="931"/>
      <c r="QQ85" s="931"/>
      <c r="QR85" s="931"/>
      <c r="QS85" s="931"/>
      <c r="QT85" s="931"/>
      <c r="QU85" s="931"/>
      <c r="QV85" s="931"/>
      <c r="QW85" s="931"/>
      <c r="QX85" s="931"/>
      <c r="QY85" s="931"/>
      <c r="QZ85" s="931"/>
      <c r="RA85" s="931"/>
      <c r="RB85" s="931"/>
      <c r="RC85" s="931"/>
      <c r="RD85" s="931"/>
      <c r="RE85" s="931"/>
      <c r="RF85" s="931"/>
      <c r="RG85" s="931"/>
      <c r="RH85" s="931"/>
      <c r="RI85" s="931"/>
      <c r="RJ85" s="931"/>
      <c r="RK85" s="931"/>
      <c r="RL85" s="931"/>
      <c r="RM85" s="931"/>
      <c r="RN85" s="931"/>
      <c r="RO85" s="931"/>
      <c r="RP85" s="931"/>
      <c r="RQ85" s="931"/>
      <c r="RR85" s="931"/>
      <c r="RS85" s="931"/>
      <c r="RT85" s="931"/>
      <c r="RU85" s="931"/>
      <c r="RV85" s="931"/>
      <c r="RW85" s="931"/>
      <c r="RX85" s="931"/>
      <c r="RY85" s="931"/>
      <c r="RZ85" s="931"/>
      <c r="SA85" s="931"/>
      <c r="SB85" s="931"/>
      <c r="SC85" s="931"/>
      <c r="SD85" s="931"/>
      <c r="SE85" s="931"/>
      <c r="SF85" s="931"/>
      <c r="SG85" s="931"/>
      <c r="SH85" s="931"/>
      <c r="SI85" s="931"/>
      <c r="SJ85" s="931"/>
      <c r="SK85" s="931"/>
      <c r="SL85" s="931"/>
      <c r="SM85" s="931"/>
      <c r="SN85" s="931"/>
      <c r="SO85" s="931"/>
      <c r="SP85" s="931"/>
      <c r="SQ85" s="931"/>
      <c r="SR85" s="931"/>
      <c r="SS85" s="931"/>
      <c r="ST85" s="931"/>
      <c r="SU85" s="931"/>
      <c r="SV85" s="931"/>
      <c r="SW85" s="931"/>
      <c r="SX85" s="931"/>
      <c r="SY85" s="931"/>
      <c r="SZ85" s="931"/>
      <c r="TA85" s="931"/>
      <c r="TB85" s="931"/>
      <c r="TC85" s="931"/>
      <c r="TD85" s="931"/>
      <c r="TE85" s="931"/>
      <c r="TF85" s="931"/>
      <c r="TG85" s="931"/>
      <c r="TH85" s="931"/>
      <c r="TI85" s="931"/>
      <c r="TJ85" s="931"/>
      <c r="TK85" s="931"/>
      <c r="TL85" s="931"/>
      <c r="TM85" s="931"/>
      <c r="TN85" s="931"/>
      <c r="TO85" s="931"/>
      <c r="TP85" s="931"/>
      <c r="TQ85" s="931"/>
      <c r="TR85" s="931"/>
      <c r="TS85" s="931"/>
      <c r="TT85" s="931"/>
      <c r="TU85" s="931"/>
      <c r="TV85" s="931"/>
      <c r="TW85" s="931"/>
      <c r="TX85" s="931"/>
      <c r="TY85" s="931"/>
      <c r="TZ85" s="931"/>
      <c r="UA85" s="931"/>
      <c r="UB85" s="931"/>
      <c r="UC85" s="931"/>
      <c r="UD85" s="931"/>
      <c r="UE85" s="931"/>
      <c r="UF85" s="931"/>
      <c r="UG85" s="931"/>
      <c r="UH85" s="931"/>
      <c r="UI85" s="931"/>
      <c r="UJ85" s="931"/>
      <c r="UK85" s="931"/>
      <c r="UL85" s="931"/>
      <c r="UM85" s="931"/>
      <c r="UN85" s="931"/>
      <c r="UO85" s="931"/>
      <c r="UP85" s="931"/>
      <c r="UQ85" s="931"/>
      <c r="UR85" s="931"/>
      <c r="US85" s="931"/>
      <c r="UT85" s="931"/>
      <c r="UU85" s="931"/>
      <c r="UV85" s="931"/>
      <c r="UW85" s="931"/>
      <c r="UX85" s="931"/>
      <c r="UY85" s="931"/>
      <c r="UZ85" s="931"/>
      <c r="VA85" s="931"/>
      <c r="VB85" s="931"/>
      <c r="VC85" s="931"/>
      <c r="VD85" s="931"/>
      <c r="VE85" s="931"/>
      <c r="VF85" s="931"/>
      <c r="VG85" s="931"/>
      <c r="VH85" s="931"/>
      <c r="VI85" s="931"/>
      <c r="VJ85" s="931"/>
      <c r="VK85" s="931"/>
      <c r="VL85" s="931"/>
      <c r="VM85" s="931"/>
      <c r="VN85" s="931"/>
      <c r="VO85" s="931"/>
      <c r="VP85" s="931"/>
      <c r="VQ85" s="931"/>
      <c r="VR85" s="931"/>
      <c r="VS85" s="931"/>
      <c r="VT85" s="931"/>
      <c r="VU85" s="931"/>
      <c r="VV85" s="931"/>
      <c r="VW85" s="931"/>
      <c r="VX85" s="931"/>
      <c r="VY85" s="931"/>
      <c r="VZ85" s="931"/>
      <c r="WA85" s="931"/>
      <c r="WB85" s="931"/>
      <c r="WC85" s="931"/>
      <c r="WD85" s="931"/>
      <c r="WE85" s="931"/>
      <c r="WF85" s="931"/>
      <c r="WG85" s="931"/>
      <c r="WH85" s="931"/>
      <c r="WI85" s="931"/>
      <c r="WJ85" s="931"/>
      <c r="WK85" s="931"/>
      <c r="WL85" s="931"/>
      <c r="WM85" s="931"/>
      <c r="WN85" s="931"/>
      <c r="WO85" s="931"/>
      <c r="WP85" s="931"/>
      <c r="WQ85" s="931"/>
      <c r="WR85" s="931"/>
      <c r="WS85" s="931"/>
      <c r="WT85" s="931"/>
      <c r="WU85" s="931"/>
      <c r="WV85" s="931"/>
      <c r="WW85" s="931"/>
      <c r="WX85" s="931"/>
      <c r="WY85" s="931"/>
      <c r="WZ85" s="931"/>
      <c r="XA85" s="931"/>
      <c r="XB85" s="931"/>
      <c r="XC85" s="931"/>
      <c r="XD85" s="931"/>
      <c r="XE85" s="931"/>
      <c r="XF85" s="931"/>
      <c r="XG85" s="931"/>
      <c r="XH85" s="931"/>
      <c r="XI85" s="931"/>
      <c r="XJ85" s="931"/>
      <c r="XK85" s="931"/>
      <c r="XL85" s="931"/>
      <c r="XM85" s="931"/>
      <c r="XN85" s="931"/>
      <c r="XO85" s="931"/>
      <c r="XP85" s="931"/>
      <c r="XQ85" s="931"/>
      <c r="XR85" s="931"/>
      <c r="XS85" s="931"/>
      <c r="XT85" s="931"/>
      <c r="XU85" s="931"/>
      <c r="XV85" s="931"/>
      <c r="XW85" s="931"/>
      <c r="XX85" s="931"/>
      <c r="XY85" s="931"/>
      <c r="XZ85" s="931"/>
      <c r="YA85" s="931"/>
      <c r="YB85" s="931"/>
      <c r="YC85" s="931"/>
      <c r="YD85" s="931"/>
      <c r="YE85" s="931"/>
      <c r="YF85" s="931"/>
      <c r="YG85" s="931"/>
      <c r="YH85" s="931"/>
      <c r="YI85" s="931"/>
      <c r="YJ85" s="931"/>
      <c r="YK85" s="931"/>
      <c r="YL85" s="931"/>
      <c r="YM85" s="931"/>
      <c r="YN85" s="931"/>
      <c r="YO85" s="931"/>
      <c r="YP85" s="931"/>
      <c r="YQ85" s="931"/>
      <c r="YR85" s="931"/>
      <c r="YS85" s="931"/>
      <c r="YT85" s="931"/>
      <c r="YU85" s="931"/>
      <c r="YV85" s="931"/>
      <c r="YW85" s="931"/>
      <c r="YX85" s="931"/>
      <c r="YY85" s="931"/>
      <c r="YZ85" s="931"/>
      <c r="ZA85" s="931"/>
      <c r="ZB85" s="931"/>
      <c r="ZC85" s="931"/>
      <c r="ZD85" s="931"/>
      <c r="ZE85" s="931"/>
      <c r="ZF85" s="931"/>
      <c r="ZG85" s="931"/>
      <c r="ZH85" s="931"/>
      <c r="ZI85" s="931"/>
      <c r="ZJ85" s="931"/>
      <c r="ZK85" s="931"/>
      <c r="ZL85" s="931"/>
      <c r="ZM85" s="931"/>
      <c r="ZN85" s="931"/>
      <c r="ZO85" s="931"/>
      <c r="ZP85" s="931"/>
      <c r="ZQ85" s="931"/>
      <c r="ZR85" s="931"/>
      <c r="ZS85" s="931"/>
      <c r="ZT85" s="931"/>
      <c r="ZU85" s="931"/>
      <c r="ZV85" s="931"/>
      <c r="ZW85" s="931"/>
      <c r="ZX85" s="931"/>
      <c r="ZY85" s="931"/>
      <c r="ZZ85" s="931"/>
      <c r="AAA85" s="931"/>
      <c r="AAB85" s="931"/>
      <c r="AAC85" s="931"/>
      <c r="AAD85" s="931"/>
      <c r="AAE85" s="931"/>
      <c r="AAF85" s="931"/>
      <c r="AAG85" s="931"/>
      <c r="AAH85" s="931"/>
      <c r="AAI85" s="931"/>
      <c r="AAJ85" s="931"/>
      <c r="AAK85" s="931"/>
      <c r="AAL85" s="931"/>
      <c r="AAM85" s="931"/>
      <c r="AAN85" s="931"/>
      <c r="AAO85" s="931"/>
      <c r="AAP85" s="931"/>
      <c r="AAQ85" s="931"/>
      <c r="AAR85" s="931"/>
      <c r="AAS85" s="931"/>
      <c r="AAT85" s="931"/>
      <c r="AAU85" s="931"/>
      <c r="AAV85" s="931"/>
      <c r="AAW85" s="931"/>
      <c r="AAX85" s="931"/>
      <c r="AAY85" s="931"/>
      <c r="AAZ85" s="931"/>
      <c r="ABA85" s="931"/>
      <c r="ABB85" s="931"/>
      <c r="ABC85" s="931"/>
      <c r="ABD85" s="931"/>
      <c r="ABE85" s="931"/>
      <c r="ABF85" s="931"/>
      <c r="ABG85" s="931"/>
      <c r="ABH85" s="931"/>
      <c r="ABI85" s="931"/>
      <c r="ABJ85" s="931"/>
      <c r="ABK85" s="931"/>
      <c r="ABL85" s="931"/>
      <c r="ABM85" s="931"/>
      <c r="ABN85" s="931"/>
      <c r="ABO85" s="931"/>
      <c r="ABP85" s="931"/>
      <c r="ABQ85" s="931"/>
      <c r="ABR85" s="931"/>
      <c r="ABS85" s="931"/>
      <c r="ABT85" s="931"/>
      <c r="ABU85" s="931"/>
      <c r="ABV85" s="931"/>
      <c r="ABW85" s="931"/>
      <c r="ABX85" s="931"/>
      <c r="ABY85" s="931"/>
      <c r="ABZ85" s="931"/>
      <c r="ACA85" s="931"/>
      <c r="ACB85" s="931"/>
      <c r="ACC85" s="931"/>
      <c r="ACD85" s="931"/>
      <c r="ACE85" s="931"/>
      <c r="ACF85" s="931"/>
      <c r="ACG85" s="931"/>
      <c r="ACH85" s="931"/>
      <c r="ACI85" s="931"/>
      <c r="ACJ85" s="931"/>
      <c r="ACK85" s="931"/>
      <c r="ACL85" s="931"/>
      <c r="ACM85" s="931"/>
      <c r="ACN85" s="931"/>
      <c r="ACO85" s="931"/>
      <c r="ACP85" s="931"/>
      <c r="ACQ85" s="931"/>
      <c r="ACR85" s="931"/>
      <c r="ACS85" s="931"/>
      <c r="ACT85" s="931"/>
      <c r="ACU85" s="931"/>
      <c r="ACV85" s="931"/>
      <c r="ACW85" s="931"/>
      <c r="ACX85" s="931"/>
      <c r="ACY85" s="931"/>
      <c r="ACZ85" s="931"/>
      <c r="ADA85" s="931"/>
      <c r="ADB85" s="931"/>
      <c r="ADC85" s="931"/>
      <c r="ADD85" s="931"/>
      <c r="ADE85" s="931"/>
      <c r="ADF85" s="931"/>
      <c r="ADG85" s="931"/>
      <c r="ADH85" s="931"/>
      <c r="ADI85" s="931"/>
      <c r="ADJ85" s="931"/>
      <c r="ADK85" s="931"/>
      <c r="ADL85" s="931"/>
      <c r="ADM85" s="931"/>
      <c r="ADN85" s="931"/>
      <c r="ADO85" s="931"/>
      <c r="ADP85" s="931"/>
      <c r="ADQ85" s="931"/>
      <c r="ADR85" s="931"/>
      <c r="ADS85" s="931"/>
      <c r="ADT85" s="931"/>
      <c r="ADU85" s="931"/>
      <c r="ADV85" s="931"/>
      <c r="ADW85" s="931"/>
      <c r="ADX85" s="931"/>
      <c r="ADY85" s="931"/>
      <c r="ADZ85" s="931"/>
      <c r="AEA85" s="931"/>
      <c r="AEB85" s="931"/>
      <c r="AEC85" s="931"/>
      <c r="AED85" s="931"/>
      <c r="AEE85" s="931"/>
      <c r="AEF85" s="931"/>
      <c r="AEG85" s="931"/>
      <c r="AEH85" s="931"/>
      <c r="AEI85" s="931"/>
      <c r="AEJ85" s="931"/>
      <c r="AEK85" s="931"/>
      <c r="AEL85" s="931"/>
      <c r="AEM85" s="931"/>
      <c r="AEN85" s="931"/>
      <c r="AEO85" s="931"/>
      <c r="AEP85" s="931"/>
      <c r="AEQ85" s="931"/>
      <c r="AER85" s="931"/>
      <c r="AES85" s="931"/>
      <c r="AET85" s="931"/>
      <c r="AEU85" s="931"/>
      <c r="AEV85" s="931"/>
      <c r="AEW85" s="931"/>
      <c r="AEX85" s="931"/>
      <c r="AEY85" s="931"/>
      <c r="AEZ85" s="931"/>
      <c r="AFA85" s="931"/>
      <c r="AFB85" s="931"/>
      <c r="AFC85" s="931"/>
      <c r="AFD85" s="931"/>
      <c r="AFE85" s="931"/>
      <c r="AFF85" s="931"/>
      <c r="AFG85" s="931"/>
      <c r="AFH85" s="931"/>
      <c r="AFI85" s="931"/>
      <c r="AFJ85" s="931"/>
      <c r="AFK85" s="931"/>
      <c r="AFL85" s="931"/>
      <c r="AFM85" s="931"/>
      <c r="AFN85" s="931"/>
      <c r="AFO85" s="931"/>
      <c r="AFP85" s="931"/>
      <c r="AFQ85" s="931"/>
      <c r="AFR85" s="931"/>
      <c r="AFS85" s="931"/>
      <c r="AFT85" s="931"/>
      <c r="AFU85" s="931"/>
      <c r="AFV85" s="931"/>
      <c r="AFW85" s="931"/>
      <c r="AFX85" s="931"/>
      <c r="AFY85" s="931"/>
      <c r="AFZ85" s="931"/>
      <c r="AGA85" s="931"/>
      <c r="AGB85" s="931"/>
      <c r="AGC85" s="931"/>
      <c r="AGD85" s="931"/>
      <c r="AGE85" s="931"/>
      <c r="AGF85" s="931"/>
      <c r="AGG85" s="931"/>
      <c r="AGH85" s="931"/>
      <c r="AGI85" s="931"/>
      <c r="AGJ85" s="931"/>
      <c r="AGK85" s="931"/>
      <c r="AGL85" s="931"/>
      <c r="AGM85" s="931"/>
      <c r="AGN85" s="931"/>
      <c r="AGO85" s="931"/>
      <c r="AGP85" s="931"/>
      <c r="AGQ85" s="931"/>
      <c r="AGR85" s="931"/>
      <c r="AGS85" s="931"/>
      <c r="AGT85" s="931"/>
      <c r="AGU85" s="931"/>
      <c r="AGV85" s="931"/>
      <c r="AGW85" s="931"/>
      <c r="AGX85" s="931"/>
      <c r="AGY85" s="931"/>
      <c r="AGZ85" s="931"/>
      <c r="AHA85" s="931"/>
      <c r="AHB85" s="931"/>
      <c r="AHC85" s="931"/>
      <c r="AHD85" s="931"/>
      <c r="AHE85" s="931"/>
      <c r="AHF85" s="931"/>
      <c r="AHG85" s="931"/>
      <c r="AHH85" s="931"/>
      <c r="AHI85" s="931"/>
      <c r="AHJ85" s="931"/>
      <c r="AHK85" s="931"/>
      <c r="AHL85" s="931"/>
      <c r="AHM85" s="931"/>
      <c r="AHN85" s="931"/>
      <c r="AHO85" s="931"/>
      <c r="AHP85" s="931"/>
      <c r="AHQ85" s="931"/>
      <c r="AHR85" s="931"/>
      <c r="AHS85" s="931"/>
      <c r="AHT85" s="931"/>
      <c r="AHU85" s="931"/>
      <c r="AHV85" s="931"/>
      <c r="AHW85" s="931"/>
      <c r="AHX85" s="931"/>
      <c r="AHY85" s="931"/>
      <c r="AHZ85" s="931"/>
      <c r="AIA85" s="931"/>
      <c r="AIB85" s="931"/>
      <c r="AIC85" s="931"/>
      <c r="AID85" s="931"/>
      <c r="AIE85" s="931"/>
      <c r="AIF85" s="931"/>
      <c r="AIG85" s="931"/>
      <c r="AIH85" s="931"/>
      <c r="AII85" s="931"/>
      <c r="AIJ85" s="931"/>
      <c r="AIK85" s="931"/>
      <c r="AIL85" s="931"/>
      <c r="AIM85" s="931"/>
      <c r="AIN85" s="931"/>
      <c r="AIO85" s="931"/>
      <c r="AIP85" s="931"/>
      <c r="AIQ85" s="931"/>
      <c r="AIR85" s="931"/>
      <c r="AIS85" s="931"/>
      <c r="AIT85" s="931"/>
      <c r="AIU85" s="931"/>
      <c r="AIV85" s="931"/>
      <c r="AIW85" s="931"/>
      <c r="AIX85" s="931"/>
      <c r="AIY85" s="931"/>
      <c r="AIZ85" s="931"/>
      <c r="AJA85" s="931"/>
      <c r="AJB85" s="931"/>
      <c r="AJC85" s="931"/>
      <c r="AJD85" s="931"/>
      <c r="AJE85" s="931"/>
      <c r="AJF85" s="931"/>
      <c r="AJG85" s="931"/>
      <c r="AJH85" s="931"/>
      <c r="AJI85" s="931"/>
      <c r="AJJ85" s="931"/>
      <c r="AJK85" s="931"/>
      <c r="AJL85" s="931"/>
      <c r="AJM85" s="931"/>
      <c r="AJN85" s="931"/>
      <c r="AJO85" s="931"/>
      <c r="AJP85" s="931"/>
      <c r="AJQ85" s="931"/>
      <c r="AJR85" s="931"/>
      <c r="AJS85" s="931"/>
      <c r="AJT85" s="931"/>
      <c r="AJU85" s="931"/>
      <c r="AJV85" s="931"/>
      <c r="AJW85" s="931"/>
      <c r="AJX85" s="931"/>
      <c r="AJY85" s="931"/>
      <c r="AJZ85" s="931"/>
      <c r="AKA85" s="931"/>
      <c r="AKB85" s="931"/>
      <c r="AKC85" s="931"/>
      <c r="AKD85" s="931"/>
      <c r="AKE85" s="931"/>
      <c r="AKF85" s="931"/>
      <c r="AKG85" s="931"/>
      <c r="AKH85" s="931"/>
      <c r="AKI85" s="931"/>
      <c r="AKJ85" s="931"/>
      <c r="AKK85" s="931"/>
      <c r="AKL85" s="931"/>
      <c r="AKM85" s="931"/>
      <c r="AKN85" s="931"/>
      <c r="AKO85" s="931"/>
      <c r="AKP85" s="931"/>
      <c r="AKQ85" s="931"/>
      <c r="AKR85" s="931"/>
      <c r="AKS85" s="931"/>
      <c r="AKT85" s="931"/>
      <c r="AKU85" s="931"/>
      <c r="AKV85" s="931"/>
      <c r="AKW85" s="931"/>
      <c r="AKX85" s="931"/>
      <c r="AKY85" s="931"/>
      <c r="AKZ85" s="931"/>
      <c r="ALA85" s="931"/>
      <c r="ALB85" s="931"/>
      <c r="ALC85" s="931"/>
      <c r="ALD85" s="931"/>
      <c r="ALE85" s="931"/>
      <c r="ALF85" s="931"/>
      <c r="ALG85" s="931"/>
      <c r="ALH85" s="931"/>
      <c r="ALI85" s="931"/>
      <c r="ALJ85" s="931"/>
      <c r="ALK85" s="931"/>
      <c r="ALL85" s="931"/>
      <c r="ALM85" s="931"/>
      <c r="ALN85" s="931"/>
      <c r="ALO85" s="931"/>
      <c r="ALP85" s="931"/>
      <c r="ALQ85" s="931"/>
      <c r="ALR85" s="931"/>
      <c r="ALS85" s="931"/>
      <c r="ALT85" s="931"/>
      <c r="ALU85" s="931"/>
      <c r="ALV85" s="931"/>
      <c r="ALW85" s="931"/>
      <c r="ALX85" s="931"/>
      <c r="ALY85" s="931"/>
      <c r="ALZ85" s="931"/>
      <c r="AMA85" s="931"/>
      <c r="AMB85" s="931"/>
      <c r="AMC85" s="931"/>
      <c r="AMD85" s="931"/>
      <c r="AME85" s="931"/>
      <c r="AMF85" s="931"/>
      <c r="AMG85" s="931"/>
      <c r="AMH85" s="931"/>
      <c r="AMI85" s="931"/>
      <c r="AMJ85" s="931"/>
      <c r="AMK85" s="931"/>
      <c r="AML85" s="931"/>
      <c r="AMM85" s="931"/>
      <c r="AMN85" s="931"/>
      <c r="AMO85" s="931"/>
      <c r="AMP85" s="931"/>
      <c r="AMQ85" s="931"/>
      <c r="AMR85" s="931"/>
      <c r="AMS85" s="931"/>
      <c r="AMT85" s="931"/>
      <c r="AMU85" s="931"/>
      <c r="AMV85" s="931"/>
      <c r="AMW85" s="931"/>
      <c r="AMX85" s="931"/>
      <c r="AMY85" s="931"/>
      <c r="AMZ85" s="931"/>
      <c r="ANA85" s="931"/>
      <c r="ANB85" s="931"/>
      <c r="ANC85" s="931"/>
      <c r="AND85" s="931"/>
      <c r="ANE85" s="931"/>
      <c r="ANF85" s="931"/>
      <c r="ANG85" s="931"/>
      <c r="ANH85" s="931"/>
      <c r="ANI85" s="931"/>
      <c r="ANJ85" s="931"/>
      <c r="ANK85" s="931"/>
      <c r="ANL85" s="931"/>
      <c r="ANM85" s="931"/>
      <c r="ANN85" s="931"/>
      <c r="ANO85" s="931"/>
      <c r="ANP85" s="931"/>
      <c r="ANQ85" s="931"/>
      <c r="ANR85" s="931"/>
      <c r="ANS85" s="931"/>
      <c r="ANT85" s="931"/>
      <c r="ANU85" s="931"/>
      <c r="ANV85" s="931"/>
      <c r="ANW85" s="931"/>
      <c r="ANX85" s="931"/>
      <c r="ANY85" s="931"/>
      <c r="ANZ85" s="931"/>
      <c r="AOA85" s="931"/>
      <c r="AOB85" s="931"/>
      <c r="AOC85" s="931"/>
      <c r="AOD85" s="931"/>
      <c r="AOE85" s="931"/>
      <c r="AOF85" s="931"/>
      <c r="AOG85" s="931"/>
      <c r="AOH85" s="931"/>
      <c r="AOI85" s="931"/>
      <c r="AOJ85" s="931"/>
      <c r="AOK85" s="931"/>
      <c r="AOL85" s="931"/>
      <c r="AOM85" s="931"/>
      <c r="AON85" s="931"/>
      <c r="AOO85" s="931"/>
      <c r="AOP85" s="931"/>
      <c r="AOQ85" s="931"/>
      <c r="AOR85" s="931"/>
      <c r="AOS85" s="931"/>
      <c r="AOT85" s="931"/>
      <c r="AOU85" s="931"/>
      <c r="AOV85" s="931"/>
      <c r="AOW85" s="931"/>
      <c r="AOX85" s="931"/>
      <c r="AOY85" s="931"/>
      <c r="AOZ85" s="931"/>
      <c r="APA85" s="931"/>
      <c r="APB85" s="931"/>
      <c r="APC85" s="931"/>
      <c r="APD85" s="931"/>
      <c r="APE85" s="931"/>
      <c r="APF85" s="931"/>
      <c r="APG85" s="931"/>
      <c r="APH85" s="931"/>
      <c r="API85" s="931"/>
      <c r="APJ85" s="931"/>
      <c r="APK85" s="931"/>
      <c r="APL85" s="931"/>
      <c r="APM85" s="931"/>
      <c r="APN85" s="931"/>
      <c r="APO85" s="931"/>
      <c r="APP85" s="931"/>
      <c r="APQ85" s="931"/>
      <c r="APR85" s="931"/>
      <c r="APS85" s="931"/>
      <c r="APT85" s="931"/>
      <c r="APU85" s="931"/>
      <c r="APV85" s="931"/>
      <c r="APW85" s="931"/>
      <c r="APX85" s="931"/>
      <c r="APY85" s="931"/>
      <c r="APZ85" s="931"/>
      <c r="AQA85" s="931"/>
      <c r="AQB85" s="931"/>
      <c r="AQC85" s="931"/>
      <c r="AQD85" s="931"/>
      <c r="AQE85" s="931"/>
      <c r="AQF85" s="931"/>
      <c r="AQG85" s="931"/>
      <c r="AQH85" s="931"/>
      <c r="AQI85" s="931"/>
      <c r="AQJ85" s="931"/>
      <c r="AQK85" s="931"/>
      <c r="AQL85" s="931"/>
      <c r="AQM85" s="931"/>
      <c r="AQN85" s="931"/>
      <c r="AQO85" s="931"/>
      <c r="AQP85" s="931"/>
      <c r="AQQ85" s="931"/>
      <c r="AQR85" s="931"/>
      <c r="AQS85" s="931"/>
      <c r="AQT85" s="931"/>
      <c r="AQU85" s="931"/>
      <c r="AQV85" s="931"/>
      <c r="AQW85" s="931"/>
      <c r="AQX85" s="931"/>
      <c r="AQY85" s="931"/>
      <c r="AQZ85" s="931"/>
      <c r="ARA85" s="931"/>
      <c r="ARB85" s="931"/>
      <c r="ARC85" s="931"/>
      <c r="ARD85" s="931"/>
      <c r="ARE85" s="931"/>
      <c r="ARF85" s="931"/>
      <c r="ARG85" s="931"/>
      <c r="ARH85" s="931"/>
      <c r="ARI85" s="931"/>
      <c r="ARJ85" s="931"/>
      <c r="ARK85" s="931"/>
      <c r="ARL85" s="931"/>
      <c r="ARM85" s="931"/>
      <c r="ARN85" s="931"/>
      <c r="ARO85" s="931"/>
      <c r="ARP85" s="931"/>
      <c r="ARQ85" s="931"/>
      <c r="ARR85" s="931"/>
      <c r="ARS85" s="931"/>
      <c r="ART85" s="931"/>
      <c r="ARU85" s="931"/>
      <c r="ARV85" s="931"/>
      <c r="ARW85" s="931"/>
      <c r="ARX85" s="931"/>
      <c r="ARY85" s="931"/>
      <c r="ARZ85" s="931"/>
      <c r="ASA85" s="931"/>
      <c r="ASB85" s="931"/>
      <c r="ASC85" s="931"/>
      <c r="ASD85" s="931"/>
      <c r="ASE85" s="931"/>
      <c r="ASF85" s="931"/>
      <c r="ASG85" s="931"/>
      <c r="ASH85" s="931"/>
      <c r="ASI85" s="931"/>
      <c r="ASJ85" s="931"/>
      <c r="ASK85" s="931"/>
      <c r="ASL85" s="931"/>
      <c r="ASM85" s="931"/>
      <c r="ASN85" s="931"/>
      <c r="ASO85" s="931"/>
      <c r="ASP85" s="931"/>
      <c r="ASQ85" s="931"/>
      <c r="ASR85" s="931"/>
      <c r="ASS85" s="931"/>
      <c r="AST85" s="931"/>
      <c r="ASU85" s="931"/>
      <c r="ASV85" s="931"/>
      <c r="ASW85" s="931"/>
      <c r="ASX85" s="931"/>
      <c r="ASY85" s="931"/>
      <c r="ASZ85" s="931"/>
      <c r="ATA85" s="931"/>
      <c r="ATB85" s="931"/>
      <c r="ATC85" s="931"/>
      <c r="ATD85" s="931"/>
      <c r="ATE85" s="931"/>
      <c r="ATF85" s="931"/>
      <c r="ATG85" s="931"/>
      <c r="ATH85" s="931"/>
      <c r="ATI85" s="931"/>
      <c r="ATJ85" s="931"/>
      <c r="ATK85" s="931"/>
      <c r="ATL85" s="931"/>
      <c r="ATM85" s="931"/>
      <c r="ATN85" s="931"/>
      <c r="ATO85" s="931"/>
      <c r="ATP85" s="931"/>
      <c r="ATQ85" s="931"/>
      <c r="ATR85" s="931"/>
      <c r="ATS85" s="931"/>
      <c r="ATT85" s="931"/>
      <c r="ATU85" s="931"/>
      <c r="ATV85" s="931"/>
      <c r="ATW85" s="931"/>
      <c r="ATX85" s="931"/>
      <c r="ATY85" s="931"/>
      <c r="ATZ85" s="931"/>
      <c r="AUA85" s="931"/>
      <c r="AUB85" s="931"/>
      <c r="AUC85" s="931"/>
      <c r="AUD85" s="931"/>
      <c r="AUE85" s="931"/>
      <c r="AUF85" s="931"/>
      <c r="AUG85" s="931"/>
      <c r="AUH85" s="931"/>
      <c r="AUI85" s="931"/>
      <c r="AUJ85" s="931"/>
      <c r="AUK85" s="931"/>
      <c r="AUL85" s="931"/>
      <c r="AUM85" s="931"/>
      <c r="AUN85" s="931"/>
      <c r="AUO85" s="931"/>
      <c r="AUP85" s="931"/>
      <c r="AUQ85" s="931"/>
      <c r="AUR85" s="931"/>
      <c r="AUS85" s="931"/>
      <c r="AUT85" s="931"/>
      <c r="AUU85" s="931"/>
      <c r="AUV85" s="931"/>
      <c r="AUW85" s="931"/>
      <c r="AUX85" s="931"/>
      <c r="AUY85" s="931"/>
      <c r="AUZ85" s="931"/>
      <c r="AVA85" s="931"/>
      <c r="AVB85" s="931"/>
      <c r="AVC85" s="931"/>
      <c r="AVD85" s="931"/>
      <c r="AVE85" s="931"/>
      <c r="AVF85" s="931"/>
      <c r="AVG85" s="931"/>
      <c r="AVH85" s="931"/>
      <c r="AVI85" s="931"/>
      <c r="AVJ85" s="931"/>
      <c r="AVK85" s="931"/>
      <c r="AVL85" s="931"/>
      <c r="AVM85" s="931"/>
      <c r="AVN85" s="931"/>
      <c r="AVO85" s="931"/>
      <c r="AVP85" s="931"/>
      <c r="AVQ85" s="931"/>
      <c r="AVR85" s="931"/>
      <c r="AVS85" s="931"/>
      <c r="AVT85" s="931"/>
      <c r="AVU85" s="931"/>
      <c r="AVV85" s="931"/>
      <c r="AVW85" s="931"/>
      <c r="AVX85" s="931"/>
      <c r="AVY85" s="931"/>
      <c r="AVZ85" s="931"/>
      <c r="AWA85" s="931"/>
      <c r="AWB85" s="931"/>
      <c r="AWC85" s="931"/>
      <c r="AWD85" s="931"/>
      <c r="AWE85" s="931"/>
      <c r="AWF85" s="931"/>
      <c r="AWG85" s="931"/>
      <c r="AWH85" s="931"/>
      <c r="AWI85" s="931"/>
      <c r="AWJ85" s="931"/>
      <c r="AWK85" s="931"/>
      <c r="AWL85" s="931"/>
      <c r="AWM85" s="931"/>
      <c r="AWN85" s="931"/>
      <c r="AWO85" s="931"/>
      <c r="AWP85" s="931"/>
      <c r="AWQ85" s="931"/>
      <c r="AWR85" s="931"/>
      <c r="AWS85" s="931"/>
      <c r="AWT85" s="931"/>
      <c r="AWU85" s="931"/>
      <c r="AWV85" s="931"/>
      <c r="AWW85" s="931"/>
      <c r="AWX85" s="931"/>
      <c r="AWY85" s="931"/>
      <c r="AWZ85" s="931"/>
      <c r="AXA85" s="931"/>
      <c r="AXB85" s="931"/>
      <c r="AXC85" s="931"/>
      <c r="AXD85" s="931"/>
      <c r="AXE85" s="931"/>
      <c r="AXF85" s="931"/>
      <c r="AXG85" s="931"/>
      <c r="AXH85" s="931"/>
      <c r="AXI85" s="931"/>
      <c r="AXJ85" s="931"/>
      <c r="AXK85" s="931"/>
      <c r="AXL85" s="931"/>
      <c r="AXM85" s="931"/>
      <c r="AXN85" s="931"/>
      <c r="AXO85" s="931"/>
      <c r="AXP85" s="931"/>
      <c r="AXQ85" s="931"/>
      <c r="AXR85" s="931"/>
      <c r="AXS85" s="931"/>
      <c r="AXT85" s="931"/>
      <c r="AXU85" s="931"/>
      <c r="AXV85" s="931"/>
      <c r="AXW85" s="931"/>
      <c r="AXX85" s="931"/>
      <c r="AXY85" s="931"/>
      <c r="AXZ85" s="931"/>
      <c r="AYA85" s="931"/>
      <c r="AYB85" s="931"/>
      <c r="AYC85" s="931"/>
      <c r="AYD85" s="931"/>
      <c r="AYE85" s="931"/>
      <c r="AYF85" s="931"/>
      <c r="AYG85" s="931"/>
      <c r="AYH85" s="931"/>
      <c r="AYI85" s="931"/>
      <c r="AYJ85" s="931"/>
      <c r="AYK85" s="931"/>
      <c r="AYL85" s="931"/>
      <c r="AYM85" s="931"/>
      <c r="AYN85" s="931"/>
      <c r="AYO85" s="931"/>
      <c r="AYP85" s="931"/>
      <c r="AYQ85" s="931"/>
      <c r="AYR85" s="931"/>
      <c r="AYS85" s="931"/>
      <c r="AYT85" s="931"/>
      <c r="AYU85" s="931"/>
      <c r="AYV85" s="931"/>
      <c r="AYW85" s="931"/>
      <c r="AYX85" s="931"/>
      <c r="AYY85" s="931"/>
      <c r="AYZ85" s="931"/>
      <c r="AZA85" s="931"/>
      <c r="AZB85" s="931"/>
      <c r="AZC85" s="931"/>
      <c r="AZD85" s="931"/>
      <c r="AZE85" s="931"/>
      <c r="AZF85" s="931"/>
      <c r="AZG85" s="931"/>
      <c r="AZH85" s="931"/>
      <c r="AZI85" s="931"/>
      <c r="AZJ85" s="931"/>
      <c r="AZK85" s="931"/>
      <c r="AZL85" s="931"/>
      <c r="AZM85" s="931"/>
      <c r="AZN85" s="931"/>
      <c r="AZO85" s="931"/>
      <c r="AZP85" s="931"/>
      <c r="AZQ85" s="931"/>
      <c r="AZR85" s="931"/>
      <c r="AZS85" s="931"/>
      <c r="AZT85" s="931"/>
      <c r="AZU85" s="931"/>
      <c r="AZV85" s="931"/>
      <c r="AZW85" s="931"/>
      <c r="AZX85" s="931"/>
      <c r="AZY85" s="931"/>
      <c r="AZZ85" s="931"/>
      <c r="BAA85" s="931"/>
      <c r="BAB85" s="931"/>
      <c r="BAC85" s="931"/>
      <c r="BAD85" s="931"/>
      <c r="BAE85" s="931"/>
      <c r="BAF85" s="931"/>
      <c r="BAG85" s="931"/>
      <c r="BAH85" s="931"/>
      <c r="BAI85" s="931"/>
      <c r="BAJ85" s="931"/>
      <c r="BAK85" s="931"/>
      <c r="BAL85" s="931"/>
      <c r="BAM85" s="931"/>
      <c r="BAN85" s="931"/>
      <c r="BAO85" s="931"/>
      <c r="BAP85" s="931"/>
      <c r="BAQ85" s="931"/>
      <c r="BAR85" s="931"/>
      <c r="BAS85" s="931"/>
      <c r="BAT85" s="931"/>
      <c r="BAU85" s="931"/>
      <c r="BAV85" s="931"/>
      <c r="BAW85" s="931"/>
      <c r="BAX85" s="931"/>
      <c r="BAY85" s="931"/>
      <c r="BAZ85" s="931"/>
      <c r="BBA85" s="931"/>
      <c r="BBB85" s="931"/>
      <c r="BBC85" s="931"/>
      <c r="BBD85" s="931"/>
      <c r="BBE85" s="931"/>
      <c r="BBF85" s="931"/>
      <c r="BBG85" s="931"/>
      <c r="BBH85" s="931"/>
      <c r="BBI85" s="931"/>
      <c r="BBJ85" s="931"/>
      <c r="BBK85" s="931"/>
      <c r="BBL85" s="931"/>
      <c r="BBM85" s="931"/>
      <c r="BBN85" s="931"/>
      <c r="BBO85" s="931"/>
      <c r="BBP85" s="931"/>
      <c r="BBQ85" s="931"/>
      <c r="BBR85" s="931"/>
      <c r="BBS85" s="931"/>
      <c r="BBT85" s="931"/>
      <c r="BBU85" s="931"/>
      <c r="BBV85" s="931"/>
      <c r="BBW85" s="931"/>
      <c r="BBX85" s="931"/>
      <c r="BBY85" s="931"/>
      <c r="BBZ85" s="931"/>
      <c r="BCA85" s="931"/>
      <c r="BCB85" s="931"/>
      <c r="BCC85" s="931"/>
      <c r="BCD85" s="931"/>
      <c r="BCE85" s="931"/>
      <c r="BCF85" s="931"/>
      <c r="BCG85" s="931"/>
      <c r="BCH85" s="931"/>
      <c r="BCI85" s="931"/>
      <c r="BCJ85" s="931"/>
      <c r="BCK85" s="931"/>
      <c r="BCL85" s="931"/>
      <c r="BCM85" s="931"/>
      <c r="BCN85" s="931"/>
      <c r="BCO85" s="931"/>
      <c r="BCP85" s="931"/>
      <c r="BCQ85" s="931"/>
      <c r="BCR85" s="931"/>
      <c r="BCS85" s="931"/>
      <c r="BCT85" s="931"/>
      <c r="BCU85" s="931"/>
      <c r="BCV85" s="931"/>
      <c r="BCW85" s="931"/>
      <c r="BCX85" s="931"/>
      <c r="BCY85" s="931"/>
      <c r="BCZ85" s="931"/>
      <c r="BDA85" s="931"/>
      <c r="BDB85" s="931"/>
      <c r="BDC85" s="931"/>
      <c r="BDD85" s="931"/>
      <c r="BDE85" s="931"/>
      <c r="BDF85" s="931"/>
      <c r="BDG85" s="931"/>
      <c r="BDH85" s="931"/>
      <c r="BDI85" s="931"/>
      <c r="BDJ85" s="931"/>
      <c r="BDK85" s="931"/>
      <c r="BDL85" s="931"/>
      <c r="BDM85" s="931"/>
      <c r="BDN85" s="931"/>
      <c r="BDO85" s="931"/>
      <c r="BDP85" s="931"/>
      <c r="BDQ85" s="931"/>
      <c r="BDR85" s="931"/>
      <c r="BDS85" s="931"/>
      <c r="BDT85" s="931"/>
      <c r="BDU85" s="931"/>
      <c r="BDV85" s="931"/>
      <c r="BDW85" s="931"/>
      <c r="BDX85" s="931"/>
      <c r="BDY85" s="931"/>
      <c r="BDZ85" s="931"/>
      <c r="BEA85" s="931"/>
      <c r="BEB85" s="931"/>
      <c r="BEC85" s="931"/>
      <c r="BED85" s="931"/>
      <c r="BEE85" s="931"/>
      <c r="BEF85" s="931"/>
      <c r="BEG85" s="931"/>
      <c r="BEH85" s="931"/>
      <c r="BEI85" s="931"/>
      <c r="BEJ85" s="931"/>
      <c r="BEK85" s="931"/>
      <c r="BEL85" s="931"/>
      <c r="BEM85" s="931"/>
      <c r="BEN85" s="931"/>
      <c r="BEO85" s="931"/>
      <c r="BEP85" s="931"/>
      <c r="BEQ85" s="931"/>
      <c r="BER85" s="931"/>
      <c r="BES85" s="931"/>
      <c r="BET85" s="931"/>
      <c r="BEU85" s="931"/>
      <c r="BEV85" s="931"/>
      <c r="BEW85" s="931"/>
      <c r="BEX85" s="931"/>
      <c r="BEY85" s="931"/>
      <c r="BEZ85" s="931"/>
      <c r="BFA85" s="931"/>
      <c r="BFB85" s="931"/>
      <c r="BFC85" s="931"/>
      <c r="BFD85" s="931"/>
      <c r="BFE85" s="931"/>
      <c r="BFF85" s="931"/>
      <c r="BFG85" s="931"/>
      <c r="BFH85" s="931"/>
      <c r="BFI85" s="931"/>
      <c r="BFJ85" s="931"/>
      <c r="BFK85" s="931"/>
      <c r="BFL85" s="931"/>
      <c r="BFM85" s="931"/>
      <c r="BFN85" s="931"/>
      <c r="BFO85" s="931"/>
      <c r="BFP85" s="931"/>
      <c r="BFQ85" s="931"/>
      <c r="BFR85" s="931"/>
      <c r="BFS85" s="931"/>
      <c r="BFT85" s="931"/>
      <c r="BFU85" s="931"/>
      <c r="BFV85" s="931"/>
      <c r="BFW85" s="931"/>
      <c r="BFX85" s="931"/>
      <c r="BFY85" s="931"/>
      <c r="BFZ85" s="931"/>
      <c r="BGA85" s="931"/>
      <c r="BGB85" s="931"/>
      <c r="BGC85" s="931"/>
      <c r="BGD85" s="931"/>
      <c r="BGE85" s="931"/>
      <c r="BGF85" s="931"/>
      <c r="BGG85" s="931"/>
      <c r="BGH85" s="931"/>
      <c r="BGI85" s="931"/>
      <c r="BGJ85" s="931"/>
      <c r="BGK85" s="931"/>
      <c r="BGL85" s="931"/>
      <c r="BGM85" s="931"/>
      <c r="BGN85" s="931"/>
      <c r="BGO85" s="931"/>
      <c r="BGP85" s="931"/>
      <c r="BGQ85" s="931"/>
      <c r="BGR85" s="931"/>
      <c r="BGS85" s="931"/>
      <c r="BGT85" s="931"/>
      <c r="BGU85" s="931"/>
      <c r="BGV85" s="931"/>
      <c r="BGW85" s="931"/>
      <c r="BGX85" s="931"/>
      <c r="BGY85" s="931"/>
      <c r="BGZ85" s="931"/>
      <c r="BHA85" s="931"/>
      <c r="BHB85" s="931"/>
      <c r="BHC85" s="931"/>
      <c r="BHD85" s="931"/>
      <c r="BHE85" s="931"/>
      <c r="BHF85" s="931"/>
      <c r="BHG85" s="931"/>
      <c r="BHH85" s="931"/>
      <c r="BHI85" s="931"/>
      <c r="BHJ85" s="931"/>
      <c r="BHK85" s="931"/>
      <c r="BHL85" s="931"/>
      <c r="BHM85" s="931"/>
      <c r="BHN85" s="931"/>
      <c r="BHO85" s="931"/>
      <c r="BHP85" s="931"/>
      <c r="BHQ85" s="931"/>
      <c r="BHR85" s="931"/>
      <c r="BHS85" s="931"/>
      <c r="BHT85" s="931"/>
      <c r="BHU85" s="931"/>
      <c r="BHV85" s="931"/>
      <c r="BHW85" s="931"/>
      <c r="BHX85" s="931"/>
      <c r="BHY85" s="931"/>
      <c r="BHZ85" s="931"/>
      <c r="BIA85" s="931"/>
      <c r="BIB85" s="931"/>
      <c r="BIC85" s="931"/>
      <c r="BID85" s="931"/>
      <c r="BIE85" s="931"/>
      <c r="BIF85" s="931"/>
      <c r="BIG85" s="931"/>
      <c r="BIH85" s="931"/>
      <c r="BII85" s="931"/>
      <c r="BIJ85" s="931"/>
      <c r="BIK85" s="931"/>
      <c r="BIL85" s="931"/>
      <c r="BIM85" s="931"/>
      <c r="BIN85" s="931"/>
      <c r="BIO85" s="931"/>
      <c r="BIP85" s="931"/>
      <c r="BIQ85" s="931"/>
      <c r="BIR85" s="931"/>
      <c r="BIS85" s="931"/>
      <c r="BIT85" s="931"/>
      <c r="BIU85" s="931"/>
      <c r="BIV85" s="931"/>
      <c r="BIW85" s="931"/>
      <c r="BIX85" s="931"/>
      <c r="BIY85" s="931"/>
      <c r="BIZ85" s="931"/>
      <c r="BJA85" s="931"/>
      <c r="BJB85" s="931"/>
      <c r="BJC85" s="931"/>
      <c r="BJD85" s="931"/>
      <c r="BJE85" s="931"/>
      <c r="BJF85" s="931"/>
      <c r="BJG85" s="931"/>
      <c r="BJH85" s="931"/>
      <c r="BJI85" s="931"/>
      <c r="BJJ85" s="931"/>
      <c r="BJK85" s="931"/>
      <c r="BJL85" s="931"/>
      <c r="BJM85" s="931"/>
      <c r="BJN85" s="931"/>
      <c r="BJO85" s="931"/>
      <c r="BJP85" s="931"/>
      <c r="BJQ85" s="931"/>
      <c r="BJR85" s="931"/>
      <c r="BJS85" s="931"/>
      <c r="BJT85" s="931"/>
      <c r="BJU85" s="931"/>
      <c r="BJV85" s="931"/>
      <c r="BJW85" s="931"/>
      <c r="BJX85" s="931"/>
      <c r="BJY85" s="931"/>
      <c r="BJZ85" s="931"/>
      <c r="BKA85" s="931"/>
      <c r="BKB85" s="931"/>
      <c r="BKC85" s="931"/>
      <c r="BKD85" s="931"/>
      <c r="BKE85" s="931"/>
      <c r="BKF85" s="931"/>
      <c r="BKG85" s="931"/>
      <c r="BKH85" s="931"/>
      <c r="BKI85" s="931"/>
      <c r="BKJ85" s="931"/>
      <c r="BKK85" s="931"/>
      <c r="BKL85" s="931"/>
      <c r="BKM85" s="931"/>
      <c r="BKN85" s="931"/>
      <c r="BKO85" s="931"/>
      <c r="BKP85" s="931"/>
      <c r="BKQ85" s="931"/>
      <c r="BKR85" s="931"/>
      <c r="BKS85" s="931"/>
      <c r="BKT85" s="931"/>
      <c r="BKU85" s="931"/>
      <c r="BKV85" s="931"/>
      <c r="BKW85" s="931"/>
      <c r="BKX85" s="931"/>
      <c r="BKY85" s="931"/>
      <c r="BKZ85" s="931"/>
      <c r="BLA85" s="931"/>
      <c r="BLB85" s="931"/>
      <c r="BLC85" s="931"/>
      <c r="BLD85" s="931"/>
      <c r="BLE85" s="931"/>
      <c r="BLF85" s="931"/>
      <c r="BLG85" s="931"/>
      <c r="BLH85" s="931"/>
      <c r="BLI85" s="931"/>
      <c r="BLJ85" s="931"/>
      <c r="BLK85" s="931"/>
      <c r="BLL85" s="931"/>
      <c r="BLM85" s="931"/>
      <c r="BLN85" s="931"/>
      <c r="BLO85" s="931"/>
      <c r="BLP85" s="931"/>
      <c r="BLQ85" s="931"/>
      <c r="BLR85" s="931"/>
      <c r="BLS85" s="931"/>
      <c r="BLT85" s="931"/>
      <c r="BLU85" s="931"/>
      <c r="BLV85" s="931"/>
      <c r="BLW85" s="931"/>
      <c r="BLX85" s="931"/>
      <c r="BLY85" s="931"/>
      <c r="BLZ85" s="931"/>
      <c r="BMA85" s="931"/>
      <c r="BMB85" s="931"/>
      <c r="BMC85" s="931"/>
      <c r="BMD85" s="931"/>
      <c r="BME85" s="931"/>
      <c r="BMF85" s="931"/>
      <c r="BMG85" s="931"/>
      <c r="BMH85" s="931"/>
      <c r="BMI85" s="931"/>
      <c r="BMJ85" s="931"/>
      <c r="BMK85" s="931"/>
      <c r="BML85" s="931"/>
      <c r="BMM85" s="931"/>
      <c r="BMN85" s="931"/>
      <c r="BMO85" s="931"/>
      <c r="BMP85" s="931"/>
      <c r="BMQ85" s="931"/>
      <c r="BMR85" s="931"/>
      <c r="BMS85" s="931"/>
      <c r="BMT85" s="931"/>
      <c r="BMU85" s="931"/>
      <c r="BMV85" s="931"/>
      <c r="BMW85" s="931"/>
      <c r="BMX85" s="931"/>
      <c r="BMY85" s="931"/>
      <c r="BMZ85" s="931"/>
      <c r="BNA85" s="931"/>
      <c r="BNB85" s="931"/>
      <c r="BNC85" s="931"/>
      <c r="BND85" s="931"/>
      <c r="BNE85" s="931"/>
      <c r="BNF85" s="931"/>
      <c r="BNG85" s="931"/>
      <c r="BNH85" s="931"/>
      <c r="BNI85" s="931"/>
      <c r="BNJ85" s="931"/>
      <c r="BNK85" s="931"/>
      <c r="BNL85" s="931"/>
      <c r="BNM85" s="931"/>
      <c r="BNN85" s="931"/>
      <c r="BNO85" s="931"/>
      <c r="BNP85" s="931"/>
      <c r="BNQ85" s="931"/>
      <c r="BNR85" s="931"/>
      <c r="BNS85" s="931"/>
      <c r="BNT85" s="931"/>
      <c r="BNU85" s="931"/>
      <c r="BNV85" s="931"/>
      <c r="BNW85" s="931"/>
      <c r="BNX85" s="931"/>
      <c r="BNY85" s="931"/>
      <c r="BNZ85" s="931"/>
      <c r="BOA85" s="931"/>
      <c r="BOB85" s="931"/>
      <c r="BOC85" s="931"/>
      <c r="BOD85" s="931"/>
      <c r="BOE85" s="931"/>
      <c r="BOF85" s="931"/>
      <c r="BOG85" s="931"/>
      <c r="BOH85" s="931"/>
      <c r="BOI85" s="931"/>
      <c r="BOJ85" s="931"/>
      <c r="BOK85" s="931"/>
      <c r="BOL85" s="931"/>
      <c r="BOM85" s="931"/>
      <c r="BON85" s="931"/>
      <c r="BOO85" s="931"/>
      <c r="BOP85" s="931"/>
      <c r="BOQ85" s="931"/>
      <c r="BOR85" s="931"/>
      <c r="BOS85" s="931"/>
      <c r="BOT85" s="931"/>
      <c r="BOU85" s="931"/>
      <c r="BOV85" s="931"/>
      <c r="BOW85" s="931"/>
      <c r="BOX85" s="931"/>
      <c r="BOY85" s="931"/>
      <c r="BOZ85" s="931"/>
      <c r="BPA85" s="931"/>
      <c r="BPB85" s="931"/>
      <c r="BPC85" s="931"/>
      <c r="BPD85" s="931"/>
      <c r="BPE85" s="931"/>
      <c r="BPF85" s="931"/>
      <c r="BPG85" s="931"/>
      <c r="BPH85" s="931"/>
      <c r="BPI85" s="931"/>
      <c r="BPJ85" s="931"/>
      <c r="BPK85" s="931"/>
      <c r="BPL85" s="931"/>
      <c r="BPM85" s="931"/>
      <c r="BPN85" s="931"/>
      <c r="BPO85" s="931"/>
      <c r="BPP85" s="931"/>
      <c r="BPQ85" s="931"/>
      <c r="BPR85" s="931"/>
      <c r="BPS85" s="931"/>
      <c r="BPT85" s="931"/>
      <c r="BPU85" s="931"/>
      <c r="BPV85" s="931"/>
      <c r="BPW85" s="931"/>
      <c r="BPX85" s="931"/>
      <c r="BPY85" s="931"/>
      <c r="BPZ85" s="931"/>
      <c r="BQA85" s="931"/>
      <c r="BQB85" s="931"/>
      <c r="BQC85" s="931"/>
      <c r="BQD85" s="931"/>
      <c r="BQE85" s="931"/>
      <c r="BQF85" s="931"/>
      <c r="BQG85" s="931"/>
      <c r="BQH85" s="931"/>
      <c r="BQI85" s="931"/>
      <c r="BQJ85" s="931"/>
      <c r="BQK85" s="931"/>
      <c r="BQL85" s="931"/>
      <c r="BQM85" s="931"/>
      <c r="BQN85" s="931"/>
      <c r="BQO85" s="931"/>
      <c r="BQP85" s="931"/>
      <c r="BQQ85" s="931"/>
      <c r="BQR85" s="931"/>
      <c r="BQS85" s="931"/>
      <c r="BQT85" s="931"/>
      <c r="BQU85" s="931"/>
      <c r="BQV85" s="931"/>
      <c r="BQW85" s="931"/>
      <c r="BQX85" s="931"/>
      <c r="BQY85" s="931"/>
      <c r="BQZ85" s="931"/>
      <c r="BRA85" s="931"/>
      <c r="BRB85" s="931"/>
      <c r="BRC85" s="931"/>
      <c r="BRD85" s="931"/>
      <c r="BRE85" s="931"/>
      <c r="BRF85" s="931"/>
      <c r="BRG85" s="931"/>
      <c r="BRH85" s="931"/>
      <c r="BRI85" s="931"/>
      <c r="BRJ85" s="931"/>
      <c r="BRK85" s="931"/>
      <c r="BRL85" s="931"/>
      <c r="BRM85" s="931"/>
      <c r="BRN85" s="931"/>
      <c r="BRO85" s="931"/>
      <c r="BRP85" s="931"/>
      <c r="BRQ85" s="931"/>
      <c r="BRR85" s="931"/>
      <c r="BRS85" s="931"/>
      <c r="BRT85" s="931"/>
      <c r="BRU85" s="931"/>
      <c r="BRV85" s="931"/>
      <c r="BRW85" s="931"/>
      <c r="BRX85" s="931"/>
      <c r="BRY85" s="931"/>
      <c r="BRZ85" s="931"/>
      <c r="BSA85" s="931"/>
      <c r="BSB85" s="931"/>
      <c r="BSC85" s="931"/>
      <c r="BSD85" s="931"/>
      <c r="BSE85" s="931"/>
      <c r="BSF85" s="931"/>
      <c r="BSG85" s="931"/>
      <c r="BSH85" s="931"/>
      <c r="BSI85" s="931"/>
      <c r="BSJ85" s="931"/>
      <c r="BSK85" s="931"/>
      <c r="BSL85" s="931"/>
      <c r="BSM85" s="931"/>
      <c r="BSN85" s="931"/>
      <c r="BSO85" s="931"/>
      <c r="BSP85" s="931"/>
      <c r="BSQ85" s="931"/>
      <c r="BSR85" s="931"/>
      <c r="BSS85" s="931"/>
      <c r="BST85" s="931"/>
      <c r="BSU85" s="931"/>
      <c r="BSV85" s="931"/>
      <c r="BSW85" s="931"/>
      <c r="BSX85" s="931"/>
      <c r="BSY85" s="931"/>
      <c r="BSZ85" s="931"/>
      <c r="BTA85" s="931"/>
      <c r="BTB85" s="931"/>
      <c r="BTC85" s="931"/>
      <c r="BTD85" s="931"/>
      <c r="BTE85" s="931"/>
      <c r="BTF85" s="931"/>
      <c r="BTG85" s="931"/>
      <c r="BTH85" s="931"/>
      <c r="BTI85" s="931"/>
      <c r="BTJ85" s="931"/>
      <c r="BTK85" s="931"/>
      <c r="BTL85" s="931"/>
      <c r="BTM85" s="931"/>
      <c r="BTN85" s="931"/>
      <c r="BTO85" s="931"/>
      <c r="BTP85" s="931"/>
      <c r="BTQ85" s="931"/>
      <c r="BTR85" s="931"/>
      <c r="BTS85" s="931"/>
      <c r="BTT85" s="931"/>
      <c r="BTU85" s="931"/>
      <c r="BTV85" s="931"/>
      <c r="BTW85" s="931"/>
      <c r="BTX85" s="931"/>
      <c r="BTY85" s="931"/>
      <c r="BTZ85" s="931"/>
      <c r="BUA85" s="931"/>
      <c r="BUB85" s="931"/>
      <c r="BUC85" s="931"/>
      <c r="BUD85" s="931"/>
      <c r="BUE85" s="931"/>
      <c r="BUF85" s="931"/>
      <c r="BUG85" s="931"/>
      <c r="BUH85" s="931"/>
      <c r="BUI85" s="931"/>
      <c r="BUJ85" s="931"/>
      <c r="BUK85" s="931"/>
      <c r="BUL85" s="931"/>
      <c r="BUM85" s="931"/>
      <c r="BUN85" s="931"/>
      <c r="BUO85" s="931"/>
      <c r="BUP85" s="931"/>
      <c r="BUQ85" s="931"/>
      <c r="BUR85" s="931"/>
      <c r="BUS85" s="931"/>
      <c r="BUT85" s="931"/>
      <c r="BUU85" s="931"/>
      <c r="BUV85" s="931"/>
      <c r="BUW85" s="931"/>
      <c r="BUX85" s="931"/>
      <c r="BUY85" s="931"/>
      <c r="BUZ85" s="931"/>
      <c r="BVA85" s="931"/>
      <c r="BVB85" s="931"/>
      <c r="BVC85" s="931"/>
      <c r="BVD85" s="931"/>
      <c r="BVE85" s="931"/>
      <c r="BVF85" s="931"/>
      <c r="BVG85" s="931"/>
      <c r="BVH85" s="931"/>
      <c r="BVI85" s="931"/>
      <c r="BVJ85" s="931"/>
      <c r="BVK85" s="931"/>
      <c r="BVL85" s="931"/>
      <c r="BVM85" s="931"/>
      <c r="BVN85" s="931"/>
      <c r="BVO85" s="931"/>
      <c r="BVP85" s="931"/>
      <c r="BVQ85" s="931"/>
      <c r="BVR85" s="931"/>
      <c r="BVS85" s="931"/>
      <c r="BVT85" s="931"/>
      <c r="BVU85" s="931"/>
      <c r="BVV85" s="931"/>
      <c r="BVW85" s="931"/>
      <c r="BVX85" s="931"/>
      <c r="BVY85" s="931"/>
      <c r="BVZ85" s="931"/>
      <c r="BWA85" s="931"/>
      <c r="BWB85" s="931"/>
      <c r="BWC85" s="931"/>
      <c r="BWD85" s="931"/>
      <c r="BWE85" s="931"/>
      <c r="BWF85" s="931"/>
      <c r="BWG85" s="931"/>
      <c r="BWH85" s="931"/>
      <c r="BWI85" s="931"/>
      <c r="BWJ85" s="931"/>
      <c r="BWK85" s="931"/>
      <c r="BWL85" s="931"/>
      <c r="BWM85" s="931"/>
      <c r="BWN85" s="931"/>
      <c r="BWO85" s="931"/>
      <c r="BWP85" s="931"/>
      <c r="BWQ85" s="931"/>
      <c r="BWR85" s="931"/>
      <c r="BWS85" s="931"/>
      <c r="BWT85" s="931"/>
      <c r="BWU85" s="931"/>
      <c r="BWV85" s="931"/>
      <c r="BWW85" s="931"/>
      <c r="BWX85" s="931"/>
      <c r="BWY85" s="931"/>
      <c r="BWZ85" s="931"/>
      <c r="BXA85" s="931"/>
      <c r="BXB85" s="931"/>
      <c r="BXC85" s="931"/>
      <c r="BXD85" s="931"/>
      <c r="BXE85" s="931"/>
      <c r="BXF85" s="931"/>
      <c r="BXG85" s="931"/>
      <c r="BXH85" s="931"/>
      <c r="BXI85" s="931"/>
      <c r="BXJ85" s="931"/>
      <c r="BXK85" s="931"/>
      <c r="BXL85" s="931"/>
      <c r="BXM85" s="931"/>
      <c r="BXN85" s="931"/>
      <c r="BXO85" s="931"/>
      <c r="BXP85" s="931"/>
      <c r="BXQ85" s="931"/>
      <c r="BXR85" s="931"/>
      <c r="BXS85" s="931"/>
      <c r="BXT85" s="931"/>
      <c r="BXU85" s="931"/>
      <c r="BXV85" s="931"/>
      <c r="BXW85" s="931"/>
      <c r="BXX85" s="931"/>
      <c r="BXY85" s="931"/>
      <c r="BXZ85" s="931"/>
      <c r="BYA85" s="931"/>
      <c r="BYB85" s="931"/>
      <c r="BYC85" s="931"/>
      <c r="BYD85" s="931"/>
      <c r="BYE85" s="931"/>
      <c r="BYF85" s="931"/>
      <c r="BYG85" s="931"/>
      <c r="BYH85" s="931"/>
      <c r="BYI85" s="931"/>
      <c r="BYJ85" s="931"/>
      <c r="BYK85" s="931"/>
      <c r="BYL85" s="931"/>
      <c r="BYM85" s="931"/>
      <c r="BYN85" s="931"/>
      <c r="BYO85" s="931"/>
      <c r="BYP85" s="931"/>
      <c r="BYQ85" s="931"/>
      <c r="BYR85" s="931"/>
      <c r="BYS85" s="931"/>
      <c r="BYT85" s="931"/>
      <c r="BYU85" s="931"/>
      <c r="BYV85" s="931"/>
      <c r="BYW85" s="931"/>
      <c r="BYX85" s="931"/>
      <c r="BYY85" s="931"/>
      <c r="BYZ85" s="931"/>
      <c r="BZA85" s="931"/>
      <c r="BZB85" s="931"/>
      <c r="BZC85" s="931"/>
      <c r="BZD85" s="931"/>
      <c r="BZE85" s="931"/>
      <c r="BZF85" s="931"/>
      <c r="BZG85" s="931"/>
      <c r="BZH85" s="931"/>
      <c r="BZI85" s="931"/>
      <c r="BZJ85" s="931"/>
      <c r="BZK85" s="931"/>
      <c r="BZL85" s="931"/>
      <c r="BZM85" s="931"/>
      <c r="BZN85" s="931"/>
      <c r="BZO85" s="931"/>
      <c r="BZP85" s="931"/>
      <c r="BZQ85" s="931"/>
      <c r="BZR85" s="931"/>
      <c r="BZS85" s="931"/>
      <c r="BZT85" s="931"/>
      <c r="BZU85" s="931"/>
      <c r="BZV85" s="931"/>
      <c r="BZW85" s="931"/>
      <c r="BZX85" s="931"/>
      <c r="BZY85" s="931"/>
      <c r="BZZ85" s="931"/>
      <c r="CAA85" s="931"/>
      <c r="CAB85" s="931"/>
      <c r="CAC85" s="931"/>
      <c r="CAD85" s="931"/>
      <c r="CAE85" s="931"/>
      <c r="CAF85" s="931"/>
      <c r="CAG85" s="931"/>
      <c r="CAH85" s="931"/>
      <c r="CAI85" s="931"/>
      <c r="CAJ85" s="931"/>
      <c r="CAK85" s="931"/>
      <c r="CAL85" s="931"/>
      <c r="CAM85" s="931"/>
      <c r="CAN85" s="931"/>
      <c r="CAO85" s="931"/>
      <c r="CAP85" s="931"/>
      <c r="CAQ85" s="931"/>
      <c r="CAR85" s="931"/>
      <c r="CAS85" s="931"/>
      <c r="CAT85" s="931"/>
      <c r="CAU85" s="931"/>
      <c r="CAV85" s="931"/>
      <c r="CAW85" s="931"/>
      <c r="CAX85" s="931"/>
      <c r="CAY85" s="931"/>
      <c r="CAZ85" s="931"/>
      <c r="CBA85" s="931"/>
      <c r="CBB85" s="931"/>
      <c r="CBC85" s="931"/>
      <c r="CBD85" s="931"/>
      <c r="CBE85" s="931"/>
      <c r="CBF85" s="931"/>
      <c r="CBG85" s="931"/>
      <c r="CBH85" s="931"/>
      <c r="CBI85" s="931"/>
      <c r="CBJ85" s="931"/>
      <c r="CBK85" s="931"/>
      <c r="CBL85" s="931"/>
      <c r="CBM85" s="931"/>
      <c r="CBN85" s="931"/>
      <c r="CBO85" s="931"/>
      <c r="CBP85" s="931"/>
      <c r="CBQ85" s="931"/>
      <c r="CBR85" s="931"/>
      <c r="CBS85" s="931"/>
      <c r="CBT85" s="931"/>
      <c r="CBU85" s="931"/>
      <c r="CBV85" s="931"/>
      <c r="CBW85" s="931"/>
      <c r="CBX85" s="931"/>
      <c r="CBY85" s="931"/>
      <c r="CBZ85" s="931"/>
      <c r="CCA85" s="931"/>
      <c r="CCB85" s="931"/>
      <c r="CCC85" s="931"/>
      <c r="CCD85" s="931"/>
      <c r="CCE85" s="931"/>
      <c r="CCF85" s="931"/>
      <c r="CCG85" s="931"/>
      <c r="CCH85" s="931"/>
      <c r="CCI85" s="931"/>
      <c r="CCJ85" s="931"/>
      <c r="CCK85" s="931"/>
      <c r="CCL85" s="931"/>
      <c r="CCM85" s="931"/>
      <c r="CCN85" s="931"/>
      <c r="CCO85" s="931"/>
      <c r="CCP85" s="931"/>
      <c r="CCQ85" s="931"/>
      <c r="CCR85" s="931"/>
      <c r="CCS85" s="931"/>
      <c r="CCT85" s="931"/>
      <c r="CCU85" s="931"/>
      <c r="CCV85" s="931"/>
      <c r="CCW85" s="931"/>
      <c r="CCX85" s="931"/>
      <c r="CCY85" s="931"/>
      <c r="CCZ85" s="931"/>
      <c r="CDA85" s="931"/>
      <c r="CDB85" s="931"/>
      <c r="CDC85" s="931"/>
      <c r="CDD85" s="931"/>
      <c r="CDE85" s="931"/>
      <c r="CDF85" s="931"/>
      <c r="CDG85" s="931"/>
      <c r="CDH85" s="931"/>
      <c r="CDI85" s="931"/>
      <c r="CDJ85" s="931"/>
      <c r="CDK85" s="931"/>
      <c r="CDL85" s="931"/>
      <c r="CDM85" s="931"/>
      <c r="CDN85" s="931"/>
      <c r="CDO85" s="931"/>
      <c r="CDP85" s="931"/>
      <c r="CDQ85" s="931"/>
      <c r="CDR85" s="931"/>
      <c r="CDS85" s="931"/>
      <c r="CDT85" s="931"/>
      <c r="CDU85" s="931"/>
      <c r="CDV85" s="931"/>
      <c r="CDW85" s="931"/>
      <c r="CDX85" s="931"/>
      <c r="CDY85" s="931"/>
      <c r="CDZ85" s="931"/>
      <c r="CEA85" s="931"/>
      <c r="CEB85" s="931"/>
      <c r="CEC85" s="931"/>
      <c r="CED85" s="931"/>
      <c r="CEE85" s="931"/>
      <c r="CEF85" s="931"/>
      <c r="CEG85" s="931"/>
      <c r="CEH85" s="931"/>
      <c r="CEI85" s="931"/>
      <c r="CEJ85" s="931"/>
      <c r="CEK85" s="931"/>
      <c r="CEL85" s="931"/>
      <c r="CEM85" s="931"/>
      <c r="CEN85" s="931"/>
      <c r="CEO85" s="931"/>
      <c r="CEP85" s="931"/>
      <c r="CEQ85" s="931"/>
      <c r="CER85" s="931"/>
      <c r="CES85" s="931"/>
      <c r="CET85" s="931"/>
      <c r="CEU85" s="931"/>
      <c r="CEV85" s="931"/>
      <c r="CEW85" s="931"/>
      <c r="CEX85" s="931"/>
      <c r="CEY85" s="931"/>
      <c r="CEZ85" s="931"/>
      <c r="CFA85" s="931"/>
      <c r="CFB85" s="931"/>
      <c r="CFC85" s="931"/>
      <c r="CFD85" s="931"/>
      <c r="CFE85" s="931"/>
      <c r="CFF85" s="931"/>
      <c r="CFG85" s="931"/>
      <c r="CFH85" s="931"/>
      <c r="CFI85" s="931"/>
      <c r="CFJ85" s="931"/>
      <c r="CFK85" s="931"/>
      <c r="CFL85" s="931"/>
      <c r="CFM85" s="931"/>
      <c r="CFN85" s="931"/>
      <c r="CFO85" s="931"/>
      <c r="CFP85" s="931"/>
      <c r="CFQ85" s="931"/>
      <c r="CFR85" s="931"/>
      <c r="CFS85" s="931"/>
      <c r="CFT85" s="931"/>
      <c r="CFU85" s="931"/>
      <c r="CFV85" s="931"/>
      <c r="CFW85" s="931"/>
      <c r="CFX85" s="931"/>
      <c r="CFY85" s="931"/>
      <c r="CFZ85" s="931"/>
      <c r="CGA85" s="931"/>
      <c r="CGB85" s="931"/>
      <c r="CGC85" s="931"/>
      <c r="CGD85" s="931"/>
      <c r="CGE85" s="931"/>
      <c r="CGF85" s="931"/>
      <c r="CGG85" s="931"/>
      <c r="CGH85" s="931"/>
      <c r="CGI85" s="931"/>
      <c r="CGJ85" s="931"/>
      <c r="CGK85" s="931"/>
      <c r="CGL85" s="931"/>
      <c r="CGM85" s="931"/>
      <c r="CGN85" s="931"/>
      <c r="CGO85" s="931"/>
      <c r="CGP85" s="931"/>
      <c r="CGQ85" s="931"/>
      <c r="CGR85" s="931"/>
      <c r="CGS85" s="931"/>
      <c r="CGT85" s="931"/>
      <c r="CGU85" s="931"/>
      <c r="CGV85" s="931"/>
      <c r="CGW85" s="931"/>
      <c r="CGX85" s="931"/>
      <c r="CGY85" s="931"/>
      <c r="CGZ85" s="931"/>
      <c r="CHA85" s="931"/>
      <c r="CHB85" s="931"/>
      <c r="CHC85" s="931"/>
      <c r="CHD85" s="931"/>
      <c r="CHE85" s="931"/>
      <c r="CHF85" s="931"/>
      <c r="CHG85" s="931"/>
      <c r="CHH85" s="931"/>
      <c r="CHI85" s="931"/>
      <c r="CHJ85" s="931"/>
      <c r="CHK85" s="931"/>
      <c r="CHL85" s="931"/>
      <c r="CHM85" s="931"/>
      <c r="CHN85" s="931"/>
      <c r="CHO85" s="931"/>
      <c r="CHP85" s="931"/>
      <c r="CHQ85" s="931"/>
      <c r="CHR85" s="931"/>
      <c r="CHS85" s="931"/>
      <c r="CHT85" s="931"/>
      <c r="CHU85" s="931"/>
      <c r="CHV85" s="931"/>
      <c r="CHW85" s="931"/>
      <c r="CHX85" s="931"/>
      <c r="CHY85" s="931"/>
      <c r="CHZ85" s="931"/>
      <c r="CIA85" s="931"/>
      <c r="CIB85" s="931"/>
      <c r="CIC85" s="931"/>
      <c r="CID85" s="931"/>
      <c r="CIE85" s="931"/>
      <c r="CIF85" s="931"/>
      <c r="CIG85" s="931"/>
      <c r="CIH85" s="931"/>
      <c r="CII85" s="931"/>
      <c r="CIJ85" s="931"/>
      <c r="CIK85" s="931"/>
      <c r="CIL85" s="931"/>
      <c r="CIM85" s="931"/>
      <c r="CIN85" s="931"/>
      <c r="CIO85" s="931"/>
      <c r="CIP85" s="931"/>
      <c r="CIQ85" s="931"/>
      <c r="CIR85" s="931"/>
      <c r="CIS85" s="931"/>
      <c r="CIT85" s="931"/>
      <c r="CIU85" s="931"/>
      <c r="CIV85" s="931"/>
      <c r="CIW85" s="931"/>
      <c r="CIX85" s="931"/>
      <c r="CIY85" s="931"/>
      <c r="CIZ85" s="931"/>
      <c r="CJA85" s="931"/>
      <c r="CJB85" s="931"/>
      <c r="CJC85" s="931"/>
      <c r="CJD85" s="931"/>
      <c r="CJE85" s="931"/>
      <c r="CJF85" s="931"/>
      <c r="CJG85" s="931"/>
      <c r="CJH85" s="931"/>
      <c r="CJI85" s="931"/>
      <c r="CJJ85" s="931"/>
      <c r="CJK85" s="931"/>
      <c r="CJL85" s="931"/>
      <c r="CJM85" s="931"/>
      <c r="CJN85" s="931"/>
      <c r="CJO85" s="931"/>
      <c r="CJP85" s="931"/>
      <c r="CJQ85" s="931"/>
      <c r="CJR85" s="931"/>
      <c r="CJS85" s="931"/>
      <c r="CJT85" s="931"/>
      <c r="CJU85" s="931"/>
      <c r="CJV85" s="931"/>
      <c r="CJW85" s="931"/>
      <c r="CJX85" s="931"/>
      <c r="CJY85" s="931"/>
      <c r="CJZ85" s="931"/>
      <c r="CKA85" s="931"/>
      <c r="CKB85" s="931"/>
      <c r="CKC85" s="931"/>
      <c r="CKD85" s="931"/>
      <c r="CKE85" s="931"/>
      <c r="CKF85" s="931"/>
      <c r="CKG85" s="931"/>
      <c r="CKH85" s="931"/>
      <c r="CKI85" s="931"/>
      <c r="CKJ85" s="931"/>
      <c r="CKK85" s="931"/>
      <c r="CKL85" s="931"/>
      <c r="CKM85" s="931"/>
      <c r="CKN85" s="931"/>
      <c r="CKO85" s="931"/>
      <c r="CKP85" s="931"/>
      <c r="CKQ85" s="931"/>
      <c r="CKR85" s="931"/>
      <c r="CKS85" s="931"/>
      <c r="CKT85" s="931"/>
      <c r="CKU85" s="931"/>
      <c r="CKV85" s="931"/>
      <c r="CKW85" s="931"/>
      <c r="CKX85" s="931"/>
      <c r="CKY85" s="931"/>
      <c r="CKZ85" s="931"/>
      <c r="CLA85" s="931"/>
      <c r="CLB85" s="931"/>
      <c r="CLC85" s="931"/>
      <c r="CLD85" s="931"/>
      <c r="CLE85" s="931"/>
      <c r="CLF85" s="931"/>
      <c r="CLG85" s="931"/>
      <c r="CLH85" s="931"/>
      <c r="CLI85" s="931"/>
      <c r="CLJ85" s="931"/>
      <c r="CLK85" s="931"/>
      <c r="CLL85" s="931"/>
      <c r="CLM85" s="931"/>
      <c r="CLN85" s="931"/>
      <c r="CLO85" s="931"/>
      <c r="CLP85" s="931"/>
      <c r="CLQ85" s="931"/>
      <c r="CLR85" s="931"/>
      <c r="CLS85" s="931"/>
      <c r="CLT85" s="931"/>
      <c r="CLU85" s="931"/>
      <c r="CLV85" s="931"/>
      <c r="CLW85" s="931"/>
      <c r="CLX85" s="931"/>
      <c r="CLY85" s="931"/>
      <c r="CLZ85" s="931"/>
      <c r="CMA85" s="931"/>
      <c r="CMB85" s="931"/>
      <c r="CMC85" s="931"/>
      <c r="CMD85" s="931"/>
      <c r="CME85" s="931"/>
      <c r="CMF85" s="931"/>
      <c r="CMG85" s="931"/>
      <c r="CMH85" s="931"/>
      <c r="CMI85" s="931"/>
      <c r="CMJ85" s="931"/>
      <c r="CMK85" s="931"/>
      <c r="CML85" s="931"/>
      <c r="CMM85" s="931"/>
      <c r="CMN85" s="931"/>
      <c r="CMO85" s="931"/>
      <c r="CMP85" s="931"/>
      <c r="CMQ85" s="931"/>
      <c r="CMR85" s="931"/>
      <c r="CMS85" s="931"/>
      <c r="CMT85" s="931"/>
      <c r="CMU85" s="931"/>
      <c r="CMV85" s="931"/>
      <c r="CMW85" s="931"/>
      <c r="CMX85" s="931"/>
      <c r="CMY85" s="931"/>
      <c r="CMZ85" s="931"/>
      <c r="CNA85" s="931"/>
      <c r="CNB85" s="931"/>
      <c r="CNC85" s="931"/>
      <c r="CND85" s="931"/>
      <c r="CNE85" s="931"/>
      <c r="CNF85" s="931"/>
      <c r="CNG85" s="931"/>
      <c r="CNH85" s="931"/>
      <c r="CNI85" s="931"/>
      <c r="CNJ85" s="931"/>
      <c r="CNK85" s="931"/>
      <c r="CNL85" s="931"/>
      <c r="CNM85" s="931"/>
      <c r="CNN85" s="931"/>
      <c r="CNO85" s="931"/>
      <c r="CNP85" s="931"/>
      <c r="CNQ85" s="931"/>
      <c r="CNR85" s="931"/>
      <c r="CNS85" s="931"/>
      <c r="CNT85" s="931"/>
      <c r="CNU85" s="931"/>
      <c r="CNV85" s="931"/>
      <c r="CNW85" s="931"/>
      <c r="CNX85" s="931"/>
      <c r="CNY85" s="931"/>
      <c r="CNZ85" s="931"/>
      <c r="COA85" s="931"/>
      <c r="COB85" s="931"/>
      <c r="COC85" s="931"/>
      <c r="COD85" s="931"/>
      <c r="COE85" s="931"/>
      <c r="COF85" s="931"/>
      <c r="COG85" s="931"/>
      <c r="COH85" s="931"/>
      <c r="COI85" s="931"/>
      <c r="COJ85" s="931"/>
      <c r="COK85" s="931"/>
      <c r="COL85" s="931"/>
      <c r="COM85" s="931"/>
      <c r="CON85" s="931"/>
      <c r="COO85" s="931"/>
      <c r="COP85" s="931"/>
      <c r="COQ85" s="931"/>
      <c r="COR85" s="931"/>
      <c r="COS85" s="931"/>
      <c r="COT85" s="931"/>
      <c r="COU85" s="931"/>
      <c r="COV85" s="931"/>
      <c r="COW85" s="931"/>
      <c r="COX85" s="931"/>
      <c r="COY85" s="931"/>
      <c r="COZ85" s="931"/>
      <c r="CPA85" s="931"/>
      <c r="CPB85" s="931"/>
      <c r="CPC85" s="931"/>
      <c r="CPD85" s="931"/>
      <c r="CPE85" s="931"/>
      <c r="CPF85" s="931"/>
      <c r="CPG85" s="931"/>
      <c r="CPH85" s="931"/>
      <c r="CPI85" s="931"/>
      <c r="CPJ85" s="931"/>
      <c r="CPK85" s="931"/>
      <c r="CPL85" s="931"/>
      <c r="CPM85" s="931"/>
      <c r="CPN85" s="931"/>
      <c r="CPO85" s="931"/>
      <c r="CPP85" s="931"/>
      <c r="CPQ85" s="931"/>
      <c r="CPR85" s="931"/>
      <c r="CPS85" s="931"/>
      <c r="CPT85" s="931"/>
      <c r="CPU85" s="931"/>
      <c r="CPV85" s="931"/>
      <c r="CPW85" s="931"/>
      <c r="CPX85" s="931"/>
      <c r="CPY85" s="931"/>
      <c r="CPZ85" s="931"/>
      <c r="CQA85" s="931"/>
      <c r="CQB85" s="931"/>
      <c r="CQC85" s="931"/>
      <c r="CQD85" s="931"/>
      <c r="CQE85" s="931"/>
      <c r="CQF85" s="931"/>
      <c r="CQG85" s="931"/>
      <c r="CQH85" s="931"/>
      <c r="CQI85" s="931"/>
      <c r="CQJ85" s="931"/>
      <c r="CQK85" s="931"/>
      <c r="CQL85" s="931"/>
      <c r="CQM85" s="931"/>
      <c r="CQN85" s="931"/>
      <c r="CQO85" s="931"/>
      <c r="CQP85" s="931"/>
      <c r="CQQ85" s="931"/>
      <c r="CQR85" s="931"/>
      <c r="CQS85" s="931"/>
      <c r="CQT85" s="931"/>
      <c r="CQU85" s="931"/>
      <c r="CQV85" s="931"/>
      <c r="CQW85" s="931"/>
      <c r="CQX85" s="931"/>
      <c r="CQY85" s="931"/>
      <c r="CQZ85" s="931"/>
      <c r="CRA85" s="931"/>
      <c r="CRB85" s="931"/>
      <c r="CRC85" s="931"/>
      <c r="CRD85" s="931"/>
      <c r="CRE85" s="931"/>
      <c r="CRF85" s="931"/>
      <c r="CRG85" s="931"/>
      <c r="CRH85" s="931"/>
      <c r="CRI85" s="931"/>
      <c r="CRJ85" s="931"/>
      <c r="CRK85" s="931"/>
      <c r="CRL85" s="931"/>
      <c r="CRM85" s="931"/>
      <c r="CRN85" s="931"/>
      <c r="CRO85" s="931"/>
      <c r="CRP85" s="931"/>
      <c r="CRQ85" s="931"/>
      <c r="CRR85" s="931"/>
      <c r="CRS85" s="931"/>
      <c r="CRT85" s="931"/>
      <c r="CRU85" s="931"/>
      <c r="CRV85" s="931"/>
      <c r="CRW85" s="931"/>
      <c r="CRX85" s="931"/>
      <c r="CRY85" s="931"/>
      <c r="CRZ85" s="931"/>
      <c r="CSA85" s="931"/>
      <c r="CSB85" s="931"/>
      <c r="CSC85" s="931"/>
      <c r="CSD85" s="931"/>
      <c r="CSE85" s="931"/>
      <c r="CSF85" s="931"/>
      <c r="CSG85" s="931"/>
      <c r="CSH85" s="931"/>
      <c r="CSI85" s="931"/>
      <c r="CSJ85" s="931"/>
      <c r="CSK85" s="931"/>
      <c r="CSL85" s="931"/>
      <c r="CSM85" s="931"/>
      <c r="CSN85" s="931"/>
      <c r="CSO85" s="931"/>
      <c r="CSP85" s="931"/>
      <c r="CSQ85" s="931"/>
      <c r="CSR85" s="931"/>
      <c r="CSS85" s="931"/>
      <c r="CST85" s="931"/>
      <c r="CSU85" s="931"/>
      <c r="CSV85" s="931"/>
      <c r="CSW85" s="931"/>
      <c r="CSX85" s="931"/>
      <c r="CSY85" s="931"/>
      <c r="CSZ85" s="931"/>
      <c r="CTA85" s="931"/>
      <c r="CTB85" s="931"/>
      <c r="CTC85" s="931"/>
      <c r="CTD85" s="931"/>
      <c r="CTE85" s="931"/>
      <c r="CTF85" s="931"/>
      <c r="CTG85" s="931"/>
      <c r="CTH85" s="931"/>
      <c r="CTI85" s="931"/>
      <c r="CTJ85" s="931"/>
      <c r="CTK85" s="931"/>
      <c r="CTL85" s="931"/>
      <c r="CTM85" s="931"/>
      <c r="CTN85" s="931"/>
      <c r="CTO85" s="931"/>
      <c r="CTP85" s="931"/>
      <c r="CTQ85" s="931"/>
      <c r="CTR85" s="931"/>
      <c r="CTS85" s="931"/>
      <c r="CTT85" s="931"/>
      <c r="CTU85" s="931"/>
      <c r="CTV85" s="931"/>
      <c r="CTW85" s="931"/>
      <c r="CTX85" s="931"/>
      <c r="CTY85" s="931"/>
      <c r="CTZ85" s="931"/>
      <c r="CUA85" s="931"/>
      <c r="CUB85" s="931"/>
      <c r="CUC85" s="931"/>
      <c r="CUD85" s="931"/>
      <c r="CUE85" s="931"/>
      <c r="CUF85" s="931"/>
      <c r="CUG85" s="931"/>
      <c r="CUH85" s="931"/>
      <c r="CUI85" s="931"/>
      <c r="CUJ85" s="931"/>
      <c r="CUK85" s="931"/>
      <c r="CUL85" s="931"/>
      <c r="CUM85" s="931"/>
      <c r="CUN85" s="931"/>
      <c r="CUO85" s="931"/>
      <c r="CUP85" s="931"/>
      <c r="CUQ85" s="931"/>
      <c r="CUR85" s="931"/>
      <c r="CUS85" s="931"/>
      <c r="CUT85" s="931"/>
      <c r="CUU85" s="931"/>
      <c r="CUV85" s="931"/>
      <c r="CUW85" s="931"/>
      <c r="CUX85" s="931"/>
      <c r="CUY85" s="931"/>
      <c r="CUZ85" s="931"/>
      <c r="CVA85" s="931"/>
      <c r="CVB85" s="931"/>
      <c r="CVC85" s="931"/>
      <c r="CVD85" s="931"/>
      <c r="CVE85" s="931"/>
      <c r="CVF85" s="931"/>
      <c r="CVG85" s="931"/>
      <c r="CVH85" s="931"/>
      <c r="CVI85" s="931"/>
      <c r="CVJ85" s="931"/>
      <c r="CVK85" s="931"/>
      <c r="CVL85" s="931"/>
      <c r="CVM85" s="931"/>
      <c r="CVN85" s="931"/>
      <c r="CVO85" s="931"/>
      <c r="CVP85" s="931"/>
      <c r="CVQ85" s="931"/>
      <c r="CVR85" s="931"/>
      <c r="CVS85" s="931"/>
      <c r="CVT85" s="931"/>
      <c r="CVU85" s="931"/>
      <c r="CVV85" s="931"/>
      <c r="CVW85" s="931"/>
      <c r="CVX85" s="931"/>
      <c r="CVY85" s="931"/>
      <c r="CVZ85" s="931"/>
      <c r="CWA85" s="931"/>
      <c r="CWB85" s="931"/>
      <c r="CWC85" s="931"/>
      <c r="CWD85" s="931"/>
      <c r="CWE85" s="931"/>
      <c r="CWF85" s="931"/>
      <c r="CWG85" s="931"/>
      <c r="CWH85" s="931"/>
      <c r="CWI85" s="931"/>
      <c r="CWJ85" s="931"/>
      <c r="CWK85" s="931"/>
      <c r="CWL85" s="931"/>
      <c r="CWM85" s="931"/>
      <c r="CWN85" s="931"/>
      <c r="CWO85" s="931"/>
      <c r="CWP85" s="931"/>
      <c r="CWQ85" s="931"/>
      <c r="CWR85" s="931"/>
      <c r="CWS85" s="931"/>
      <c r="CWT85" s="931"/>
      <c r="CWU85" s="931"/>
      <c r="CWV85" s="931"/>
      <c r="CWW85" s="931"/>
      <c r="CWX85" s="931"/>
      <c r="CWY85" s="931"/>
      <c r="CWZ85" s="931"/>
      <c r="CXA85" s="931"/>
      <c r="CXB85" s="931"/>
      <c r="CXC85" s="931"/>
      <c r="CXD85" s="931"/>
      <c r="CXE85" s="931"/>
      <c r="CXF85" s="931"/>
      <c r="CXG85" s="931"/>
      <c r="CXH85" s="931"/>
      <c r="CXI85" s="931"/>
      <c r="CXJ85" s="931"/>
      <c r="CXK85" s="931"/>
      <c r="CXL85" s="931"/>
      <c r="CXM85" s="931"/>
      <c r="CXN85" s="931"/>
      <c r="CXO85" s="931"/>
      <c r="CXP85" s="931"/>
      <c r="CXQ85" s="931"/>
      <c r="CXR85" s="931"/>
      <c r="CXS85" s="931"/>
      <c r="CXT85" s="931"/>
      <c r="CXU85" s="931"/>
      <c r="CXV85" s="931"/>
      <c r="CXW85" s="931"/>
      <c r="CXX85" s="931"/>
      <c r="CXY85" s="931"/>
      <c r="CXZ85" s="931"/>
      <c r="CYA85" s="931"/>
      <c r="CYB85" s="931"/>
      <c r="CYC85" s="931"/>
      <c r="CYD85" s="931"/>
      <c r="CYE85" s="931"/>
      <c r="CYF85" s="931"/>
      <c r="CYG85" s="931"/>
      <c r="CYH85" s="931"/>
      <c r="CYI85" s="931"/>
      <c r="CYJ85" s="931"/>
      <c r="CYK85" s="931"/>
      <c r="CYL85" s="931"/>
      <c r="CYM85" s="931"/>
      <c r="CYN85" s="931"/>
      <c r="CYO85" s="931"/>
      <c r="CYP85" s="931"/>
      <c r="CYQ85" s="931"/>
      <c r="CYR85" s="931"/>
      <c r="CYS85" s="931"/>
      <c r="CYT85" s="931"/>
      <c r="CYU85" s="931"/>
      <c r="CYV85" s="931"/>
      <c r="CYW85" s="931"/>
      <c r="CYX85" s="931"/>
      <c r="CYY85" s="931"/>
      <c r="CYZ85" s="931"/>
      <c r="CZA85" s="931"/>
      <c r="CZB85" s="931"/>
      <c r="CZC85" s="931"/>
      <c r="CZD85" s="931"/>
      <c r="CZE85" s="931"/>
      <c r="CZF85" s="931"/>
      <c r="CZG85" s="931"/>
      <c r="CZH85" s="931"/>
      <c r="CZI85" s="931"/>
      <c r="CZJ85" s="931"/>
      <c r="CZK85" s="931"/>
      <c r="CZL85" s="931"/>
      <c r="CZM85" s="931"/>
      <c r="CZN85" s="931"/>
      <c r="CZO85" s="931"/>
      <c r="CZP85" s="931"/>
      <c r="CZQ85" s="931"/>
      <c r="CZR85" s="931"/>
      <c r="CZS85" s="931"/>
      <c r="CZT85" s="931"/>
      <c r="CZU85" s="931"/>
      <c r="CZV85" s="931"/>
      <c r="CZW85" s="931"/>
      <c r="CZX85" s="931"/>
      <c r="CZY85" s="931"/>
      <c r="CZZ85" s="931"/>
      <c r="DAA85" s="931"/>
      <c r="DAB85" s="931"/>
      <c r="DAC85" s="931"/>
      <c r="DAD85" s="931"/>
      <c r="DAE85" s="931"/>
      <c r="DAF85" s="931"/>
      <c r="DAG85" s="931"/>
      <c r="DAH85" s="931"/>
      <c r="DAI85" s="931"/>
      <c r="DAJ85" s="931"/>
      <c r="DAK85" s="931"/>
      <c r="DAL85" s="931"/>
      <c r="DAM85" s="931"/>
      <c r="DAN85" s="931"/>
      <c r="DAO85" s="931"/>
      <c r="DAP85" s="931"/>
      <c r="DAQ85" s="931"/>
      <c r="DAR85" s="931"/>
      <c r="DAS85" s="931"/>
      <c r="DAT85" s="931"/>
      <c r="DAU85" s="931"/>
      <c r="DAV85" s="931"/>
      <c r="DAW85" s="931"/>
      <c r="DAX85" s="931"/>
      <c r="DAY85" s="931"/>
      <c r="DAZ85" s="931"/>
      <c r="DBA85" s="931"/>
      <c r="DBB85" s="931"/>
      <c r="DBC85" s="931"/>
      <c r="DBD85" s="931"/>
      <c r="DBE85" s="931"/>
      <c r="DBF85" s="931"/>
      <c r="DBG85" s="931"/>
      <c r="DBH85" s="931"/>
      <c r="DBI85" s="931"/>
      <c r="DBJ85" s="931"/>
      <c r="DBK85" s="931"/>
      <c r="DBL85" s="931"/>
      <c r="DBM85" s="931"/>
      <c r="DBN85" s="931"/>
      <c r="DBO85" s="931"/>
      <c r="DBP85" s="931"/>
      <c r="DBQ85" s="931"/>
      <c r="DBR85" s="931"/>
      <c r="DBS85" s="931"/>
      <c r="DBT85" s="931"/>
      <c r="DBU85" s="931"/>
      <c r="DBV85" s="931"/>
      <c r="DBW85" s="931"/>
      <c r="DBX85" s="931"/>
      <c r="DBY85" s="931"/>
      <c r="DBZ85" s="931"/>
      <c r="DCA85" s="931"/>
      <c r="DCB85" s="931"/>
      <c r="DCC85" s="931"/>
      <c r="DCD85" s="931"/>
      <c r="DCE85" s="931"/>
      <c r="DCF85" s="931"/>
      <c r="DCG85" s="931"/>
      <c r="DCH85" s="931"/>
      <c r="DCI85" s="931"/>
      <c r="DCJ85" s="931"/>
      <c r="DCK85" s="931"/>
      <c r="DCL85" s="931"/>
      <c r="DCM85" s="931"/>
      <c r="DCN85" s="931"/>
      <c r="DCO85" s="931"/>
      <c r="DCP85" s="931"/>
      <c r="DCQ85" s="931"/>
      <c r="DCR85" s="931"/>
      <c r="DCS85" s="931"/>
      <c r="DCT85" s="931"/>
      <c r="DCU85" s="931"/>
      <c r="DCV85" s="931"/>
      <c r="DCW85" s="931"/>
      <c r="DCX85" s="931"/>
      <c r="DCY85" s="931"/>
      <c r="DCZ85" s="931"/>
      <c r="DDA85" s="931"/>
      <c r="DDB85" s="931"/>
      <c r="DDC85" s="931"/>
      <c r="DDD85" s="931"/>
      <c r="DDE85" s="931"/>
      <c r="DDF85" s="931"/>
      <c r="DDG85" s="931"/>
      <c r="DDH85" s="931"/>
      <c r="DDI85" s="931"/>
      <c r="DDJ85" s="931"/>
      <c r="DDK85" s="931"/>
      <c r="DDL85" s="931"/>
      <c r="DDM85" s="931"/>
      <c r="DDN85" s="931"/>
      <c r="DDO85" s="931"/>
      <c r="DDP85" s="931"/>
      <c r="DDQ85" s="931"/>
      <c r="DDR85" s="931"/>
      <c r="DDS85" s="931"/>
      <c r="DDT85" s="931"/>
      <c r="DDU85" s="931"/>
      <c r="DDV85" s="931"/>
      <c r="DDW85" s="931"/>
      <c r="DDX85" s="931"/>
      <c r="DDY85" s="931"/>
      <c r="DDZ85" s="931"/>
      <c r="DEA85" s="931"/>
      <c r="DEB85" s="931"/>
      <c r="DEC85" s="931"/>
      <c r="DED85" s="931"/>
      <c r="DEE85" s="931"/>
      <c r="DEF85" s="931"/>
      <c r="DEG85" s="931"/>
      <c r="DEH85" s="931"/>
      <c r="DEI85" s="931"/>
      <c r="DEJ85" s="931"/>
      <c r="DEK85" s="931"/>
      <c r="DEL85" s="931"/>
      <c r="DEM85" s="931"/>
      <c r="DEN85" s="931"/>
      <c r="DEO85" s="931"/>
      <c r="DEP85" s="931"/>
      <c r="DEQ85" s="931"/>
      <c r="DER85" s="931"/>
      <c r="DES85" s="931"/>
      <c r="DET85" s="931"/>
      <c r="DEU85" s="931"/>
      <c r="DEV85" s="931"/>
      <c r="DEW85" s="931"/>
      <c r="DEX85" s="931"/>
      <c r="DEY85" s="931"/>
      <c r="DEZ85" s="931"/>
      <c r="DFA85" s="931"/>
      <c r="DFB85" s="931"/>
      <c r="DFC85" s="931"/>
      <c r="DFD85" s="931"/>
      <c r="DFE85" s="931"/>
      <c r="DFF85" s="931"/>
      <c r="DFG85" s="931"/>
      <c r="DFH85" s="931"/>
      <c r="DFI85" s="931"/>
      <c r="DFJ85" s="931"/>
      <c r="DFK85" s="931"/>
      <c r="DFL85" s="931"/>
      <c r="DFM85" s="931"/>
      <c r="DFN85" s="931"/>
      <c r="DFO85" s="931"/>
      <c r="DFP85" s="931"/>
      <c r="DFQ85" s="931"/>
      <c r="DFR85" s="931"/>
      <c r="DFS85" s="931"/>
      <c r="DFT85" s="931"/>
      <c r="DFU85" s="931"/>
      <c r="DFV85" s="931"/>
      <c r="DFW85" s="931"/>
      <c r="DFX85" s="931"/>
      <c r="DFY85" s="931"/>
      <c r="DFZ85" s="931"/>
      <c r="DGA85" s="931"/>
      <c r="DGB85" s="931"/>
      <c r="DGC85" s="931"/>
      <c r="DGD85" s="931"/>
      <c r="DGE85" s="931"/>
      <c r="DGF85" s="931"/>
      <c r="DGG85" s="931"/>
      <c r="DGH85" s="931"/>
      <c r="DGI85" s="931"/>
      <c r="DGJ85" s="931"/>
      <c r="DGK85" s="931"/>
      <c r="DGL85" s="931"/>
      <c r="DGM85" s="931"/>
      <c r="DGN85" s="931"/>
      <c r="DGO85" s="931"/>
      <c r="DGP85" s="931"/>
      <c r="DGQ85" s="931"/>
      <c r="DGR85" s="931"/>
      <c r="DGS85" s="931"/>
      <c r="DGT85" s="931"/>
      <c r="DGU85" s="931"/>
      <c r="DGV85" s="931"/>
      <c r="DGW85" s="931"/>
      <c r="DGX85" s="931"/>
      <c r="DGY85" s="931"/>
      <c r="DGZ85" s="931"/>
      <c r="DHA85" s="931"/>
      <c r="DHB85" s="931"/>
      <c r="DHC85" s="931"/>
      <c r="DHD85" s="931"/>
      <c r="DHE85" s="931"/>
      <c r="DHF85" s="931"/>
      <c r="DHG85" s="931"/>
      <c r="DHH85" s="931"/>
      <c r="DHI85" s="931"/>
      <c r="DHJ85" s="931"/>
      <c r="DHK85" s="931"/>
      <c r="DHL85" s="931"/>
      <c r="DHM85" s="931"/>
      <c r="DHN85" s="931"/>
      <c r="DHO85" s="931"/>
      <c r="DHP85" s="931"/>
      <c r="DHQ85" s="931"/>
      <c r="DHR85" s="931"/>
      <c r="DHS85" s="931"/>
      <c r="DHT85" s="931"/>
      <c r="DHU85" s="931"/>
      <c r="DHV85" s="931"/>
      <c r="DHW85" s="931"/>
      <c r="DHX85" s="931"/>
      <c r="DHY85" s="931"/>
      <c r="DHZ85" s="931"/>
      <c r="DIA85" s="931"/>
      <c r="DIB85" s="931"/>
      <c r="DIC85" s="931"/>
      <c r="DID85" s="931"/>
      <c r="DIE85" s="931"/>
      <c r="DIF85" s="931"/>
      <c r="DIG85" s="931"/>
      <c r="DIH85" s="931"/>
      <c r="DII85" s="931"/>
      <c r="DIJ85" s="931"/>
      <c r="DIK85" s="931"/>
      <c r="DIL85" s="931"/>
      <c r="DIM85" s="931"/>
      <c r="DIN85" s="931"/>
      <c r="DIO85" s="931"/>
      <c r="DIP85" s="931"/>
      <c r="DIQ85" s="931"/>
      <c r="DIR85" s="931"/>
      <c r="DIS85" s="931"/>
      <c r="DIT85" s="931"/>
      <c r="DIU85" s="931"/>
      <c r="DIV85" s="931"/>
      <c r="DIW85" s="931"/>
      <c r="DIX85" s="931"/>
      <c r="DIY85" s="931"/>
      <c r="DIZ85" s="931"/>
      <c r="DJA85" s="931"/>
      <c r="DJB85" s="931"/>
      <c r="DJC85" s="931"/>
      <c r="DJD85" s="931"/>
      <c r="DJE85" s="931"/>
      <c r="DJF85" s="931"/>
      <c r="DJG85" s="931"/>
      <c r="DJH85" s="931"/>
      <c r="DJI85" s="931"/>
      <c r="DJJ85" s="931"/>
      <c r="DJK85" s="931"/>
      <c r="DJL85" s="931"/>
      <c r="DJM85" s="931"/>
      <c r="DJN85" s="931"/>
      <c r="DJO85" s="931"/>
      <c r="DJP85" s="931"/>
      <c r="DJQ85" s="931"/>
      <c r="DJR85" s="931"/>
      <c r="DJS85" s="931"/>
      <c r="DJT85" s="931"/>
      <c r="DJU85" s="931"/>
      <c r="DJV85" s="931"/>
      <c r="DJW85" s="931"/>
      <c r="DJX85" s="931"/>
      <c r="DJY85" s="931"/>
      <c r="DJZ85" s="931"/>
      <c r="DKA85" s="931"/>
      <c r="DKB85" s="931"/>
      <c r="DKC85" s="931"/>
      <c r="DKD85" s="931"/>
      <c r="DKE85" s="931"/>
      <c r="DKF85" s="931"/>
      <c r="DKG85" s="931"/>
      <c r="DKH85" s="931"/>
      <c r="DKI85" s="931"/>
      <c r="DKJ85" s="931"/>
      <c r="DKK85" s="931"/>
      <c r="DKL85" s="931"/>
      <c r="DKM85" s="931"/>
      <c r="DKN85" s="931"/>
      <c r="DKO85" s="931"/>
      <c r="DKP85" s="931"/>
      <c r="DKQ85" s="931"/>
      <c r="DKR85" s="931"/>
      <c r="DKS85" s="931"/>
      <c r="DKT85" s="931"/>
      <c r="DKU85" s="931"/>
      <c r="DKV85" s="931"/>
      <c r="DKW85" s="931"/>
      <c r="DKX85" s="931"/>
      <c r="DKY85" s="931"/>
      <c r="DKZ85" s="931"/>
      <c r="DLA85" s="931"/>
      <c r="DLB85" s="931"/>
      <c r="DLC85" s="931"/>
      <c r="DLD85" s="931"/>
      <c r="DLE85" s="931"/>
      <c r="DLF85" s="931"/>
      <c r="DLG85" s="931"/>
      <c r="DLH85" s="931"/>
      <c r="DLI85" s="931"/>
      <c r="DLJ85" s="931"/>
      <c r="DLK85" s="931"/>
      <c r="DLL85" s="931"/>
      <c r="DLM85" s="931"/>
      <c r="DLN85" s="931"/>
      <c r="DLO85" s="931"/>
      <c r="DLP85" s="931"/>
      <c r="DLQ85" s="931"/>
      <c r="DLR85" s="931"/>
      <c r="DLS85" s="931"/>
      <c r="DLT85" s="931"/>
      <c r="DLU85" s="931"/>
      <c r="DLV85" s="931"/>
      <c r="DLW85" s="931"/>
      <c r="DLX85" s="931"/>
      <c r="DLY85" s="931"/>
      <c r="DLZ85" s="931"/>
      <c r="DMA85" s="931"/>
      <c r="DMB85" s="931"/>
      <c r="DMC85" s="931"/>
      <c r="DMD85" s="931"/>
      <c r="DME85" s="931"/>
      <c r="DMF85" s="931"/>
      <c r="DMG85" s="931"/>
      <c r="DMH85" s="931"/>
      <c r="DMI85" s="931"/>
      <c r="DMJ85" s="931"/>
      <c r="DMK85" s="931"/>
      <c r="DML85" s="931"/>
      <c r="DMM85" s="931"/>
      <c r="DMN85" s="931"/>
      <c r="DMO85" s="931"/>
      <c r="DMP85" s="931"/>
      <c r="DMQ85" s="931"/>
      <c r="DMR85" s="931"/>
      <c r="DMS85" s="931"/>
      <c r="DMT85" s="931"/>
      <c r="DMU85" s="931"/>
      <c r="DMV85" s="931"/>
      <c r="DMW85" s="931"/>
      <c r="DMX85" s="931"/>
      <c r="DMY85" s="931"/>
      <c r="DMZ85" s="931"/>
      <c r="DNA85" s="931"/>
      <c r="DNB85" s="931"/>
      <c r="DNC85" s="931"/>
      <c r="DND85" s="931"/>
      <c r="DNE85" s="931"/>
      <c r="DNF85" s="931"/>
      <c r="DNG85" s="931"/>
      <c r="DNH85" s="931"/>
      <c r="DNI85" s="931"/>
      <c r="DNJ85" s="931"/>
      <c r="DNK85" s="931"/>
      <c r="DNL85" s="931"/>
      <c r="DNM85" s="931"/>
      <c r="DNN85" s="931"/>
      <c r="DNO85" s="931"/>
      <c r="DNP85" s="931"/>
      <c r="DNQ85" s="931"/>
      <c r="DNR85" s="931"/>
      <c r="DNS85" s="931"/>
      <c r="DNT85" s="931"/>
      <c r="DNU85" s="931"/>
      <c r="DNV85" s="931"/>
      <c r="DNW85" s="931"/>
      <c r="DNX85" s="931"/>
      <c r="DNY85" s="931"/>
      <c r="DNZ85" s="931"/>
      <c r="DOA85" s="931"/>
      <c r="DOB85" s="931"/>
      <c r="DOC85" s="931"/>
      <c r="DOD85" s="931"/>
      <c r="DOE85" s="931"/>
      <c r="DOF85" s="931"/>
      <c r="DOG85" s="931"/>
      <c r="DOH85" s="931"/>
      <c r="DOI85" s="931"/>
      <c r="DOJ85" s="931"/>
      <c r="DOK85" s="931"/>
      <c r="DOL85" s="931"/>
      <c r="DOM85" s="931"/>
      <c r="DON85" s="931"/>
      <c r="DOO85" s="931"/>
      <c r="DOP85" s="931"/>
      <c r="DOQ85" s="931"/>
      <c r="DOR85" s="931"/>
      <c r="DOS85" s="931"/>
      <c r="DOT85" s="931"/>
      <c r="DOU85" s="931"/>
      <c r="DOV85" s="931"/>
      <c r="DOW85" s="931"/>
      <c r="DOX85" s="931"/>
      <c r="DOY85" s="931"/>
      <c r="DOZ85" s="931"/>
      <c r="DPA85" s="931"/>
      <c r="DPB85" s="931"/>
      <c r="DPC85" s="931"/>
      <c r="DPD85" s="931"/>
      <c r="DPE85" s="931"/>
      <c r="DPF85" s="931"/>
      <c r="DPG85" s="931"/>
      <c r="DPH85" s="931"/>
      <c r="DPI85" s="931"/>
      <c r="DPJ85" s="931"/>
      <c r="DPK85" s="931"/>
      <c r="DPL85" s="931"/>
      <c r="DPM85" s="931"/>
      <c r="DPN85" s="931"/>
      <c r="DPO85" s="931"/>
      <c r="DPP85" s="931"/>
      <c r="DPQ85" s="931"/>
      <c r="DPR85" s="931"/>
      <c r="DPS85" s="931"/>
      <c r="DPT85" s="931"/>
      <c r="DPU85" s="931"/>
      <c r="DPV85" s="931"/>
      <c r="DPW85" s="931"/>
      <c r="DPX85" s="931"/>
      <c r="DPY85" s="931"/>
      <c r="DPZ85" s="931"/>
      <c r="DQA85" s="931"/>
      <c r="DQB85" s="931"/>
      <c r="DQC85" s="931"/>
      <c r="DQD85" s="931"/>
      <c r="DQE85" s="931"/>
      <c r="DQF85" s="931"/>
      <c r="DQG85" s="931"/>
      <c r="DQH85" s="931"/>
      <c r="DQI85" s="931"/>
      <c r="DQJ85" s="931"/>
      <c r="DQK85" s="931"/>
      <c r="DQL85" s="931"/>
      <c r="DQM85" s="931"/>
      <c r="DQN85" s="931"/>
      <c r="DQO85" s="931"/>
      <c r="DQP85" s="931"/>
      <c r="DQQ85" s="931"/>
      <c r="DQR85" s="931"/>
      <c r="DQS85" s="931"/>
      <c r="DQT85" s="931"/>
      <c r="DQU85" s="931"/>
      <c r="DQV85" s="931"/>
      <c r="DQW85" s="931"/>
      <c r="DQX85" s="931"/>
      <c r="DQY85" s="931"/>
      <c r="DQZ85" s="931"/>
      <c r="DRA85" s="931"/>
      <c r="DRB85" s="931"/>
      <c r="DRC85" s="931"/>
      <c r="DRD85" s="931"/>
      <c r="DRE85" s="931"/>
      <c r="DRF85" s="931"/>
      <c r="DRG85" s="931"/>
      <c r="DRH85" s="931"/>
      <c r="DRI85" s="931"/>
      <c r="DRJ85" s="931"/>
      <c r="DRK85" s="931"/>
      <c r="DRL85" s="931"/>
      <c r="DRM85" s="931"/>
      <c r="DRN85" s="931"/>
      <c r="DRO85" s="931"/>
      <c r="DRP85" s="931"/>
      <c r="DRQ85" s="931"/>
      <c r="DRR85" s="931"/>
      <c r="DRS85" s="931"/>
      <c r="DRT85" s="931"/>
      <c r="DRU85" s="931"/>
      <c r="DRV85" s="931"/>
      <c r="DRW85" s="931"/>
      <c r="DRX85" s="931"/>
      <c r="DRY85" s="931"/>
      <c r="DRZ85" s="931"/>
      <c r="DSA85" s="931"/>
      <c r="DSB85" s="931"/>
      <c r="DSC85" s="931"/>
      <c r="DSD85" s="931"/>
      <c r="DSE85" s="931"/>
      <c r="DSF85" s="931"/>
      <c r="DSG85" s="931"/>
      <c r="DSH85" s="931"/>
      <c r="DSI85" s="931"/>
      <c r="DSJ85" s="931"/>
      <c r="DSK85" s="931"/>
      <c r="DSL85" s="931"/>
      <c r="DSM85" s="931"/>
      <c r="DSN85" s="931"/>
      <c r="DSO85" s="931"/>
      <c r="DSP85" s="931"/>
      <c r="DSQ85" s="931"/>
      <c r="DSR85" s="931"/>
      <c r="DSS85" s="931"/>
      <c r="DST85" s="931"/>
      <c r="DSU85" s="931"/>
      <c r="DSV85" s="931"/>
      <c r="DSW85" s="931"/>
      <c r="DSX85" s="931"/>
      <c r="DSY85" s="931"/>
      <c r="DSZ85" s="931"/>
      <c r="DTA85" s="931"/>
      <c r="DTB85" s="931"/>
      <c r="DTC85" s="931"/>
      <c r="DTD85" s="931"/>
      <c r="DTE85" s="931"/>
      <c r="DTF85" s="931"/>
      <c r="DTG85" s="931"/>
      <c r="DTH85" s="931"/>
      <c r="DTI85" s="931"/>
      <c r="DTJ85" s="931"/>
      <c r="DTK85" s="931"/>
      <c r="DTL85" s="931"/>
      <c r="DTM85" s="931"/>
      <c r="DTN85" s="931"/>
      <c r="DTO85" s="931"/>
      <c r="DTP85" s="931"/>
      <c r="DTQ85" s="931"/>
      <c r="DTR85" s="931"/>
      <c r="DTS85" s="931"/>
      <c r="DTT85" s="931"/>
      <c r="DTU85" s="931"/>
      <c r="DTV85" s="931"/>
      <c r="DTW85" s="931"/>
      <c r="DTX85" s="931"/>
      <c r="DTY85" s="931"/>
      <c r="DTZ85" s="931"/>
      <c r="DUA85" s="931"/>
      <c r="DUB85" s="931"/>
      <c r="DUC85" s="931"/>
      <c r="DUD85" s="931"/>
      <c r="DUE85" s="931"/>
      <c r="DUF85" s="931"/>
      <c r="DUG85" s="931"/>
      <c r="DUH85" s="931"/>
      <c r="DUI85" s="931"/>
      <c r="DUJ85" s="931"/>
      <c r="DUK85" s="931"/>
      <c r="DUL85" s="931"/>
      <c r="DUM85" s="931"/>
      <c r="DUN85" s="931"/>
      <c r="DUO85" s="931"/>
      <c r="DUP85" s="931"/>
      <c r="DUQ85" s="931"/>
      <c r="DUR85" s="931"/>
      <c r="DUS85" s="931"/>
      <c r="DUT85" s="931"/>
      <c r="DUU85" s="931"/>
      <c r="DUV85" s="931"/>
      <c r="DUW85" s="931"/>
      <c r="DUX85" s="931"/>
      <c r="DUY85" s="931"/>
      <c r="DUZ85" s="931"/>
      <c r="DVA85" s="931"/>
      <c r="DVB85" s="931"/>
      <c r="DVC85" s="931"/>
      <c r="DVD85" s="931"/>
      <c r="DVE85" s="931"/>
      <c r="DVF85" s="931"/>
      <c r="DVG85" s="931"/>
      <c r="DVH85" s="931"/>
      <c r="DVI85" s="931"/>
      <c r="DVJ85" s="931"/>
      <c r="DVK85" s="931"/>
      <c r="DVL85" s="931"/>
      <c r="DVM85" s="931"/>
      <c r="DVN85" s="931"/>
      <c r="DVO85" s="931"/>
      <c r="DVP85" s="931"/>
      <c r="DVQ85" s="931"/>
      <c r="DVR85" s="931"/>
      <c r="DVS85" s="931"/>
      <c r="DVT85" s="931"/>
      <c r="DVU85" s="931"/>
      <c r="DVV85" s="931"/>
      <c r="DVW85" s="931"/>
      <c r="DVX85" s="931"/>
      <c r="DVY85" s="931"/>
      <c r="DVZ85" s="931"/>
      <c r="DWA85" s="931"/>
      <c r="DWB85" s="931"/>
      <c r="DWC85" s="931"/>
      <c r="DWD85" s="931"/>
      <c r="DWE85" s="931"/>
      <c r="DWF85" s="931"/>
      <c r="DWG85" s="931"/>
      <c r="DWH85" s="931"/>
      <c r="DWI85" s="931"/>
      <c r="DWJ85" s="931"/>
      <c r="DWK85" s="931"/>
      <c r="DWL85" s="931"/>
      <c r="DWM85" s="931"/>
      <c r="DWN85" s="931"/>
      <c r="DWO85" s="931"/>
      <c r="DWP85" s="931"/>
      <c r="DWQ85" s="931"/>
      <c r="DWR85" s="931"/>
      <c r="DWS85" s="931"/>
      <c r="DWT85" s="931"/>
      <c r="DWU85" s="931"/>
      <c r="DWV85" s="931"/>
      <c r="DWW85" s="931"/>
      <c r="DWX85" s="931"/>
      <c r="DWY85" s="931"/>
      <c r="DWZ85" s="931"/>
      <c r="DXA85" s="931"/>
      <c r="DXB85" s="931"/>
      <c r="DXC85" s="931"/>
      <c r="DXD85" s="931"/>
      <c r="DXE85" s="931"/>
      <c r="DXF85" s="931"/>
      <c r="DXG85" s="931"/>
      <c r="DXH85" s="931"/>
      <c r="DXI85" s="931"/>
      <c r="DXJ85" s="931"/>
      <c r="DXK85" s="931"/>
      <c r="DXL85" s="931"/>
      <c r="DXM85" s="931"/>
      <c r="DXN85" s="931"/>
      <c r="DXO85" s="931"/>
      <c r="DXP85" s="931"/>
      <c r="DXQ85" s="931"/>
      <c r="DXR85" s="931"/>
      <c r="DXS85" s="931"/>
      <c r="DXT85" s="931"/>
      <c r="DXU85" s="931"/>
      <c r="DXV85" s="931"/>
      <c r="DXW85" s="931"/>
      <c r="DXX85" s="931"/>
      <c r="DXY85" s="931"/>
      <c r="DXZ85" s="931"/>
      <c r="DYA85" s="931"/>
      <c r="DYB85" s="931"/>
      <c r="DYC85" s="931"/>
      <c r="DYD85" s="931"/>
      <c r="DYE85" s="931"/>
      <c r="DYF85" s="931"/>
      <c r="DYG85" s="931"/>
      <c r="DYH85" s="931"/>
      <c r="DYI85" s="931"/>
      <c r="DYJ85" s="931"/>
      <c r="DYK85" s="931"/>
      <c r="DYL85" s="931"/>
      <c r="DYM85" s="931"/>
      <c r="DYN85" s="931"/>
      <c r="DYO85" s="931"/>
      <c r="DYP85" s="931"/>
      <c r="DYQ85" s="931"/>
      <c r="DYR85" s="931"/>
      <c r="DYS85" s="931"/>
      <c r="DYT85" s="931"/>
      <c r="DYU85" s="931"/>
      <c r="DYV85" s="931"/>
      <c r="DYW85" s="931"/>
      <c r="DYX85" s="931"/>
      <c r="DYY85" s="931"/>
      <c r="DYZ85" s="931"/>
      <c r="DZA85" s="931"/>
      <c r="DZB85" s="931"/>
      <c r="DZC85" s="931"/>
      <c r="DZD85" s="931"/>
      <c r="DZE85" s="931"/>
      <c r="DZF85" s="931"/>
      <c r="DZG85" s="931"/>
      <c r="DZH85" s="931"/>
      <c r="DZI85" s="931"/>
      <c r="DZJ85" s="931"/>
      <c r="DZK85" s="931"/>
      <c r="DZL85" s="931"/>
      <c r="DZM85" s="931"/>
      <c r="DZN85" s="931"/>
      <c r="DZO85" s="931"/>
      <c r="DZP85" s="931"/>
      <c r="DZQ85" s="931"/>
      <c r="DZR85" s="931"/>
      <c r="DZS85" s="931"/>
      <c r="DZT85" s="931"/>
      <c r="DZU85" s="931"/>
      <c r="DZV85" s="931"/>
      <c r="DZW85" s="931"/>
      <c r="DZX85" s="931"/>
      <c r="DZY85" s="931"/>
      <c r="DZZ85" s="931"/>
      <c r="EAA85" s="931"/>
      <c r="EAB85" s="931"/>
      <c r="EAC85" s="931"/>
      <c r="EAD85" s="931"/>
      <c r="EAE85" s="931"/>
      <c r="EAF85" s="931"/>
      <c r="EAG85" s="931"/>
      <c r="EAH85" s="931"/>
      <c r="EAI85" s="931"/>
      <c r="EAJ85" s="931"/>
      <c r="EAK85" s="931"/>
      <c r="EAL85" s="931"/>
      <c r="EAM85" s="931"/>
      <c r="EAN85" s="931"/>
      <c r="EAO85" s="931"/>
      <c r="EAP85" s="931"/>
      <c r="EAQ85" s="931"/>
      <c r="EAR85" s="931"/>
      <c r="EAS85" s="931"/>
      <c r="EAT85" s="931"/>
      <c r="EAU85" s="931"/>
      <c r="EAV85" s="931"/>
      <c r="EAW85" s="931"/>
      <c r="EAX85" s="931"/>
      <c r="EAY85" s="931"/>
      <c r="EAZ85" s="931"/>
      <c r="EBA85" s="931"/>
      <c r="EBB85" s="931"/>
      <c r="EBC85" s="931"/>
      <c r="EBD85" s="931"/>
      <c r="EBE85" s="931"/>
      <c r="EBF85" s="931"/>
      <c r="EBG85" s="931"/>
      <c r="EBH85" s="931"/>
      <c r="EBI85" s="931"/>
      <c r="EBJ85" s="931"/>
      <c r="EBK85" s="931"/>
      <c r="EBL85" s="931"/>
      <c r="EBM85" s="931"/>
      <c r="EBN85" s="931"/>
      <c r="EBO85" s="931"/>
      <c r="EBP85" s="931"/>
      <c r="EBQ85" s="931"/>
      <c r="EBR85" s="931"/>
      <c r="EBS85" s="931"/>
      <c r="EBT85" s="931"/>
      <c r="EBU85" s="931"/>
      <c r="EBV85" s="931"/>
      <c r="EBW85" s="931"/>
      <c r="EBX85" s="931"/>
      <c r="EBY85" s="931"/>
      <c r="EBZ85" s="931"/>
      <c r="ECA85" s="931"/>
      <c r="ECB85" s="931"/>
      <c r="ECC85" s="931"/>
      <c r="ECD85" s="931"/>
      <c r="ECE85" s="931"/>
      <c r="ECF85" s="931"/>
      <c r="ECG85" s="931"/>
      <c r="ECH85" s="931"/>
      <c r="ECI85" s="931"/>
      <c r="ECJ85" s="931"/>
      <c r="ECK85" s="931"/>
      <c r="ECL85" s="931"/>
      <c r="ECM85" s="931"/>
      <c r="ECN85" s="931"/>
      <c r="ECO85" s="931"/>
      <c r="ECP85" s="931"/>
      <c r="ECQ85" s="931"/>
      <c r="ECR85" s="931"/>
      <c r="ECS85" s="931"/>
      <c r="ECT85" s="931"/>
      <c r="ECU85" s="931"/>
      <c r="ECV85" s="931"/>
      <c r="ECW85" s="931"/>
      <c r="ECX85" s="931"/>
      <c r="ECY85" s="931"/>
      <c r="ECZ85" s="931"/>
      <c r="EDA85" s="931"/>
      <c r="EDB85" s="931"/>
      <c r="EDC85" s="931"/>
      <c r="EDD85" s="931"/>
      <c r="EDE85" s="931"/>
      <c r="EDF85" s="931"/>
      <c r="EDG85" s="931"/>
      <c r="EDH85" s="931"/>
      <c r="EDI85" s="931"/>
      <c r="EDJ85" s="931"/>
      <c r="EDK85" s="931"/>
      <c r="EDL85" s="931"/>
      <c r="EDM85" s="931"/>
      <c r="EDN85" s="931"/>
      <c r="EDO85" s="931"/>
      <c r="EDP85" s="931"/>
      <c r="EDQ85" s="931"/>
      <c r="EDR85" s="931"/>
      <c r="EDS85" s="931"/>
      <c r="EDT85" s="931"/>
      <c r="EDU85" s="931"/>
      <c r="EDV85" s="931"/>
      <c r="EDW85" s="931"/>
      <c r="EDX85" s="931"/>
      <c r="EDY85" s="931"/>
      <c r="EDZ85" s="931"/>
      <c r="EEA85" s="931"/>
      <c r="EEB85" s="931"/>
      <c r="EEC85" s="931"/>
      <c r="EED85" s="931"/>
      <c r="EEE85" s="931"/>
      <c r="EEF85" s="931"/>
      <c r="EEG85" s="931"/>
      <c r="EEH85" s="931"/>
      <c r="EEI85" s="931"/>
      <c r="EEJ85" s="931"/>
      <c r="EEK85" s="931"/>
      <c r="EEL85" s="931"/>
      <c r="EEM85" s="931"/>
      <c r="EEN85" s="931"/>
      <c r="EEO85" s="931"/>
      <c r="EEP85" s="931"/>
      <c r="EEQ85" s="931"/>
      <c r="EER85" s="931"/>
      <c r="EES85" s="931"/>
      <c r="EET85" s="931"/>
      <c r="EEU85" s="931"/>
      <c r="EEV85" s="931"/>
      <c r="EEW85" s="931"/>
      <c r="EEX85" s="931"/>
      <c r="EEY85" s="931"/>
      <c r="EEZ85" s="931"/>
      <c r="EFA85" s="931"/>
      <c r="EFB85" s="931"/>
      <c r="EFC85" s="931"/>
      <c r="EFD85" s="931"/>
      <c r="EFE85" s="931"/>
      <c r="EFF85" s="931"/>
      <c r="EFG85" s="931"/>
      <c r="EFH85" s="931"/>
      <c r="EFI85" s="931"/>
      <c r="EFJ85" s="931"/>
      <c r="EFK85" s="931"/>
      <c r="EFL85" s="931"/>
      <c r="EFM85" s="931"/>
      <c r="EFN85" s="931"/>
      <c r="EFO85" s="931"/>
      <c r="EFP85" s="931"/>
      <c r="EFQ85" s="931"/>
      <c r="EFR85" s="931"/>
      <c r="EFS85" s="931"/>
      <c r="EFT85" s="931"/>
      <c r="EFU85" s="931"/>
      <c r="EFV85" s="931"/>
      <c r="EFW85" s="931"/>
      <c r="EFX85" s="931"/>
      <c r="EFY85" s="931"/>
      <c r="EFZ85" s="931"/>
      <c r="EGA85" s="931"/>
      <c r="EGB85" s="931"/>
      <c r="EGC85" s="931"/>
      <c r="EGD85" s="931"/>
      <c r="EGE85" s="931"/>
      <c r="EGF85" s="931"/>
      <c r="EGG85" s="931"/>
      <c r="EGH85" s="931"/>
      <c r="EGI85" s="931"/>
      <c r="EGJ85" s="931"/>
      <c r="EGK85" s="931"/>
      <c r="EGL85" s="931"/>
      <c r="EGM85" s="931"/>
      <c r="EGN85" s="931"/>
      <c r="EGO85" s="931"/>
      <c r="EGP85" s="931"/>
      <c r="EGQ85" s="931"/>
      <c r="EGR85" s="931"/>
      <c r="EGS85" s="931"/>
      <c r="EGT85" s="931"/>
      <c r="EGU85" s="931"/>
      <c r="EGV85" s="931"/>
      <c r="EGW85" s="931"/>
      <c r="EGX85" s="931"/>
      <c r="EGY85" s="931"/>
      <c r="EGZ85" s="931"/>
      <c r="EHA85" s="931"/>
      <c r="EHB85" s="931"/>
      <c r="EHC85" s="931"/>
      <c r="EHD85" s="931"/>
      <c r="EHE85" s="931"/>
      <c r="EHF85" s="931"/>
      <c r="EHG85" s="931"/>
      <c r="EHH85" s="931"/>
      <c r="EHI85" s="931"/>
      <c r="EHJ85" s="931"/>
      <c r="EHK85" s="931"/>
      <c r="EHL85" s="931"/>
      <c r="EHM85" s="931"/>
      <c r="EHN85" s="931"/>
      <c r="EHO85" s="931"/>
      <c r="EHP85" s="931"/>
      <c r="EHQ85" s="931"/>
      <c r="EHR85" s="931"/>
      <c r="EHS85" s="931"/>
      <c r="EHT85" s="931"/>
      <c r="EHU85" s="931"/>
      <c r="EHV85" s="931"/>
      <c r="EHW85" s="931"/>
      <c r="EHX85" s="931"/>
      <c r="EHY85" s="931"/>
      <c r="EHZ85" s="931"/>
      <c r="EIA85" s="931"/>
      <c r="EIB85" s="931"/>
      <c r="EIC85" s="931"/>
      <c r="EID85" s="931"/>
      <c r="EIE85" s="931"/>
      <c r="EIF85" s="931"/>
      <c r="EIG85" s="931"/>
      <c r="EIH85" s="931"/>
      <c r="EII85" s="931"/>
      <c r="EIJ85" s="931"/>
      <c r="EIK85" s="931"/>
      <c r="EIL85" s="931"/>
      <c r="EIM85" s="931"/>
      <c r="EIN85" s="931"/>
      <c r="EIO85" s="931"/>
      <c r="EIP85" s="931"/>
      <c r="EIQ85" s="931"/>
      <c r="EIR85" s="931"/>
      <c r="EIS85" s="931"/>
      <c r="EIT85" s="931"/>
      <c r="EIU85" s="931"/>
      <c r="EIV85" s="931"/>
      <c r="EIW85" s="931"/>
      <c r="EIX85" s="931"/>
      <c r="EIY85" s="931"/>
      <c r="EIZ85" s="931"/>
      <c r="EJA85" s="931"/>
      <c r="EJB85" s="931"/>
      <c r="EJC85" s="931"/>
      <c r="EJD85" s="931"/>
      <c r="EJE85" s="931"/>
      <c r="EJF85" s="931"/>
      <c r="EJG85" s="931"/>
      <c r="EJH85" s="931"/>
      <c r="EJI85" s="931"/>
      <c r="EJJ85" s="931"/>
      <c r="EJK85" s="931"/>
      <c r="EJL85" s="931"/>
      <c r="EJM85" s="931"/>
      <c r="EJN85" s="931"/>
      <c r="EJO85" s="931"/>
      <c r="EJP85" s="931"/>
      <c r="EJQ85" s="931"/>
      <c r="EJR85" s="931"/>
      <c r="EJS85" s="931"/>
      <c r="EJT85" s="931"/>
      <c r="EJU85" s="931"/>
      <c r="EJV85" s="931"/>
      <c r="EJW85" s="931"/>
      <c r="EJX85" s="931"/>
      <c r="EJY85" s="931"/>
      <c r="EJZ85" s="931"/>
      <c r="EKA85" s="931"/>
      <c r="EKB85" s="931"/>
      <c r="EKC85" s="931"/>
      <c r="EKD85" s="931"/>
      <c r="EKE85" s="931"/>
      <c r="EKF85" s="931"/>
      <c r="EKG85" s="931"/>
      <c r="EKH85" s="931"/>
      <c r="EKI85" s="931"/>
      <c r="EKJ85" s="931"/>
      <c r="EKK85" s="931"/>
      <c r="EKL85" s="931"/>
      <c r="EKM85" s="931"/>
      <c r="EKN85" s="931"/>
      <c r="EKO85" s="931"/>
      <c r="EKP85" s="931"/>
      <c r="EKQ85" s="931"/>
      <c r="EKR85" s="931"/>
      <c r="EKS85" s="931"/>
      <c r="EKT85" s="931"/>
      <c r="EKU85" s="931"/>
      <c r="EKV85" s="931"/>
      <c r="EKW85" s="931"/>
      <c r="EKX85" s="931"/>
      <c r="EKY85" s="931"/>
      <c r="EKZ85" s="931"/>
      <c r="ELA85" s="931"/>
      <c r="ELB85" s="931"/>
      <c r="ELC85" s="931"/>
      <c r="ELD85" s="931"/>
      <c r="ELE85" s="931"/>
      <c r="ELF85" s="931"/>
      <c r="ELG85" s="931"/>
      <c r="ELH85" s="931"/>
      <c r="ELI85" s="931"/>
      <c r="ELJ85" s="931"/>
      <c r="ELK85" s="931"/>
      <c r="ELL85" s="931"/>
      <c r="ELM85" s="931"/>
      <c r="ELN85" s="931"/>
      <c r="ELO85" s="931"/>
      <c r="ELP85" s="931"/>
      <c r="ELQ85" s="931"/>
      <c r="ELR85" s="931"/>
      <c r="ELS85" s="931"/>
      <c r="ELT85" s="931"/>
      <c r="ELU85" s="931"/>
      <c r="ELV85" s="931"/>
      <c r="ELW85" s="931"/>
      <c r="ELX85" s="931"/>
      <c r="ELY85" s="931"/>
      <c r="ELZ85" s="931"/>
      <c r="EMA85" s="931"/>
      <c r="EMB85" s="931"/>
      <c r="EMC85" s="931"/>
      <c r="EMD85" s="931"/>
      <c r="EME85" s="931"/>
      <c r="EMF85" s="931"/>
      <c r="EMG85" s="931"/>
      <c r="EMH85" s="931"/>
      <c r="EMI85" s="931"/>
      <c r="EMJ85" s="931"/>
      <c r="EMK85" s="931"/>
      <c r="EML85" s="931"/>
      <c r="EMM85" s="931"/>
      <c r="EMN85" s="931"/>
      <c r="EMO85" s="931"/>
      <c r="EMP85" s="931"/>
      <c r="EMQ85" s="931"/>
      <c r="EMR85" s="931"/>
      <c r="EMS85" s="931"/>
      <c r="EMT85" s="931"/>
      <c r="EMU85" s="931"/>
      <c r="EMV85" s="931"/>
      <c r="EMW85" s="931"/>
      <c r="EMX85" s="931"/>
      <c r="EMY85" s="931"/>
      <c r="EMZ85" s="931"/>
      <c r="ENA85" s="931"/>
      <c r="ENB85" s="931"/>
      <c r="ENC85" s="931"/>
      <c r="END85" s="931"/>
      <c r="ENE85" s="931"/>
      <c r="ENF85" s="931"/>
      <c r="ENG85" s="931"/>
      <c r="ENH85" s="931"/>
      <c r="ENI85" s="931"/>
      <c r="ENJ85" s="931"/>
      <c r="ENK85" s="931"/>
      <c r="ENL85" s="931"/>
      <c r="ENM85" s="931"/>
      <c r="ENN85" s="931"/>
      <c r="ENO85" s="931"/>
      <c r="ENP85" s="931"/>
      <c r="ENQ85" s="931"/>
      <c r="ENR85" s="931"/>
      <c r="ENS85" s="931"/>
      <c r="ENT85" s="931"/>
      <c r="ENU85" s="931"/>
      <c r="ENV85" s="931"/>
      <c r="ENW85" s="931"/>
      <c r="ENX85" s="931"/>
      <c r="ENY85" s="931"/>
      <c r="ENZ85" s="931"/>
      <c r="EOA85" s="931"/>
      <c r="EOB85" s="931"/>
      <c r="EOC85" s="931"/>
      <c r="EOD85" s="931"/>
      <c r="EOE85" s="931"/>
      <c r="EOF85" s="931"/>
      <c r="EOG85" s="931"/>
      <c r="EOH85" s="931"/>
      <c r="EOI85" s="931"/>
      <c r="EOJ85" s="931"/>
      <c r="EOK85" s="931"/>
      <c r="EOL85" s="931"/>
      <c r="EOM85" s="931"/>
      <c r="EON85" s="931"/>
      <c r="EOO85" s="931"/>
      <c r="EOP85" s="931"/>
      <c r="EOQ85" s="931"/>
      <c r="EOR85" s="931"/>
      <c r="EOS85" s="931"/>
      <c r="EOT85" s="931"/>
      <c r="EOU85" s="931"/>
      <c r="EOV85" s="931"/>
      <c r="EOW85" s="931"/>
      <c r="EOX85" s="931"/>
      <c r="EOY85" s="931"/>
      <c r="EOZ85" s="931"/>
      <c r="EPA85" s="931"/>
      <c r="EPB85" s="931"/>
      <c r="EPC85" s="931"/>
      <c r="EPD85" s="931"/>
      <c r="EPE85" s="931"/>
      <c r="EPF85" s="931"/>
      <c r="EPG85" s="931"/>
      <c r="EPH85" s="931"/>
      <c r="EPI85" s="931"/>
      <c r="EPJ85" s="931"/>
      <c r="EPK85" s="931"/>
      <c r="EPL85" s="931"/>
      <c r="EPM85" s="931"/>
      <c r="EPN85" s="931"/>
      <c r="EPO85" s="931"/>
      <c r="EPP85" s="931"/>
      <c r="EPQ85" s="931"/>
      <c r="EPR85" s="931"/>
      <c r="EPS85" s="931"/>
      <c r="EPT85" s="931"/>
      <c r="EPU85" s="931"/>
      <c r="EPV85" s="931"/>
      <c r="EPW85" s="931"/>
      <c r="EPX85" s="931"/>
      <c r="EPY85" s="931"/>
      <c r="EPZ85" s="931"/>
      <c r="EQA85" s="931"/>
      <c r="EQB85" s="931"/>
      <c r="EQC85" s="931"/>
      <c r="EQD85" s="931"/>
      <c r="EQE85" s="931"/>
      <c r="EQF85" s="931"/>
      <c r="EQG85" s="931"/>
      <c r="EQH85" s="931"/>
      <c r="EQI85" s="931"/>
      <c r="EQJ85" s="931"/>
      <c r="EQK85" s="931"/>
      <c r="EQL85" s="931"/>
      <c r="EQM85" s="931"/>
      <c r="EQN85" s="931"/>
      <c r="EQO85" s="931"/>
      <c r="EQP85" s="931"/>
      <c r="EQQ85" s="931"/>
      <c r="EQR85" s="931"/>
      <c r="EQS85" s="931"/>
      <c r="EQT85" s="931"/>
      <c r="EQU85" s="931"/>
      <c r="EQV85" s="931"/>
      <c r="EQW85" s="931"/>
      <c r="EQX85" s="931"/>
      <c r="EQY85" s="931"/>
      <c r="EQZ85" s="931"/>
      <c r="ERA85" s="931"/>
      <c r="ERB85" s="931"/>
      <c r="ERC85" s="931"/>
      <c r="ERD85" s="931"/>
      <c r="ERE85" s="931"/>
      <c r="ERF85" s="931"/>
      <c r="ERG85" s="931"/>
      <c r="ERH85" s="931"/>
      <c r="ERI85" s="931"/>
      <c r="ERJ85" s="931"/>
      <c r="ERK85" s="931"/>
      <c r="ERL85" s="931"/>
      <c r="ERM85" s="931"/>
      <c r="ERN85" s="931"/>
      <c r="ERO85" s="931"/>
      <c r="ERP85" s="931"/>
      <c r="ERQ85" s="931"/>
      <c r="ERR85" s="931"/>
      <c r="ERS85" s="931"/>
      <c r="ERT85" s="931"/>
      <c r="ERU85" s="931"/>
      <c r="ERV85" s="931"/>
      <c r="ERW85" s="931"/>
      <c r="ERX85" s="931"/>
      <c r="ERY85" s="931"/>
      <c r="ERZ85" s="931"/>
      <c r="ESA85" s="931"/>
      <c r="ESB85" s="931"/>
      <c r="ESC85" s="931"/>
      <c r="ESD85" s="931"/>
      <c r="ESE85" s="931"/>
      <c r="ESF85" s="931"/>
      <c r="ESG85" s="931"/>
      <c r="ESH85" s="931"/>
      <c r="ESI85" s="931"/>
      <c r="ESJ85" s="931"/>
      <c r="ESK85" s="931"/>
      <c r="ESL85" s="931"/>
      <c r="ESM85" s="931"/>
      <c r="ESN85" s="931"/>
      <c r="ESO85" s="931"/>
      <c r="ESP85" s="931"/>
      <c r="ESQ85" s="931"/>
      <c r="ESR85" s="931"/>
      <c r="ESS85" s="931"/>
      <c r="EST85" s="931"/>
      <c r="ESU85" s="931"/>
      <c r="ESV85" s="931"/>
      <c r="ESW85" s="931"/>
      <c r="ESX85" s="931"/>
      <c r="ESY85" s="931"/>
      <c r="ESZ85" s="931"/>
      <c r="ETA85" s="931"/>
      <c r="ETB85" s="931"/>
      <c r="ETC85" s="931"/>
      <c r="ETD85" s="931"/>
      <c r="ETE85" s="931"/>
      <c r="ETF85" s="931"/>
      <c r="ETG85" s="931"/>
      <c r="ETH85" s="931"/>
      <c r="ETI85" s="931"/>
      <c r="ETJ85" s="931"/>
      <c r="ETK85" s="931"/>
      <c r="ETL85" s="931"/>
      <c r="ETM85" s="931"/>
      <c r="ETN85" s="931"/>
      <c r="ETO85" s="931"/>
      <c r="ETP85" s="931"/>
      <c r="ETQ85" s="931"/>
      <c r="ETR85" s="931"/>
      <c r="ETS85" s="931"/>
      <c r="ETT85" s="931"/>
      <c r="ETU85" s="931"/>
      <c r="ETV85" s="931"/>
      <c r="ETW85" s="931"/>
      <c r="ETX85" s="931"/>
      <c r="ETY85" s="931"/>
      <c r="ETZ85" s="931"/>
      <c r="EUA85" s="931"/>
      <c r="EUB85" s="931"/>
      <c r="EUC85" s="931"/>
      <c r="EUD85" s="931"/>
      <c r="EUE85" s="931"/>
      <c r="EUF85" s="931"/>
      <c r="EUG85" s="931"/>
      <c r="EUH85" s="931"/>
      <c r="EUI85" s="931"/>
      <c r="EUJ85" s="931"/>
      <c r="EUK85" s="931"/>
      <c r="EUL85" s="931"/>
      <c r="EUM85" s="931"/>
      <c r="EUN85" s="931"/>
      <c r="EUO85" s="931"/>
      <c r="EUP85" s="931"/>
      <c r="EUQ85" s="931"/>
      <c r="EUR85" s="931"/>
      <c r="EUS85" s="931"/>
      <c r="EUT85" s="931"/>
      <c r="EUU85" s="931"/>
      <c r="EUV85" s="931"/>
      <c r="EUW85" s="931"/>
      <c r="EUX85" s="931"/>
      <c r="EUY85" s="931"/>
      <c r="EUZ85" s="931"/>
      <c r="EVA85" s="931"/>
      <c r="EVB85" s="931"/>
      <c r="EVC85" s="931"/>
      <c r="EVD85" s="931"/>
      <c r="EVE85" s="931"/>
      <c r="EVF85" s="931"/>
      <c r="EVG85" s="931"/>
      <c r="EVH85" s="931"/>
      <c r="EVI85" s="931"/>
      <c r="EVJ85" s="931"/>
      <c r="EVK85" s="931"/>
      <c r="EVL85" s="931"/>
      <c r="EVM85" s="931"/>
      <c r="EVN85" s="931"/>
      <c r="EVO85" s="931"/>
      <c r="EVP85" s="931"/>
      <c r="EVQ85" s="931"/>
      <c r="EVR85" s="931"/>
      <c r="EVS85" s="931"/>
      <c r="EVT85" s="931"/>
      <c r="EVU85" s="931"/>
      <c r="EVV85" s="931"/>
      <c r="EVW85" s="931"/>
      <c r="EVX85" s="931"/>
      <c r="EVY85" s="931"/>
      <c r="EVZ85" s="931"/>
      <c r="EWA85" s="931"/>
      <c r="EWB85" s="931"/>
      <c r="EWC85" s="931"/>
      <c r="EWD85" s="931"/>
      <c r="EWE85" s="931"/>
      <c r="EWF85" s="931"/>
      <c r="EWG85" s="931"/>
      <c r="EWH85" s="931"/>
      <c r="EWI85" s="931"/>
      <c r="EWJ85" s="931"/>
      <c r="EWK85" s="931"/>
      <c r="EWL85" s="931"/>
      <c r="EWM85" s="931"/>
      <c r="EWN85" s="931"/>
      <c r="EWO85" s="931"/>
      <c r="EWP85" s="931"/>
      <c r="EWQ85" s="931"/>
      <c r="EWR85" s="931"/>
      <c r="EWS85" s="931"/>
      <c r="EWT85" s="931"/>
      <c r="EWU85" s="931"/>
      <c r="EWV85" s="931"/>
      <c r="EWW85" s="931"/>
      <c r="EWX85" s="931"/>
      <c r="EWY85" s="931"/>
      <c r="EWZ85" s="931"/>
      <c r="EXA85" s="931"/>
      <c r="EXB85" s="931"/>
      <c r="EXC85" s="931"/>
      <c r="EXD85" s="931"/>
      <c r="EXE85" s="931"/>
      <c r="EXF85" s="931"/>
      <c r="EXG85" s="931"/>
      <c r="EXH85" s="931"/>
      <c r="EXI85" s="931"/>
      <c r="EXJ85" s="931"/>
      <c r="EXK85" s="931"/>
      <c r="EXL85" s="931"/>
      <c r="EXM85" s="931"/>
      <c r="EXN85" s="931"/>
      <c r="EXO85" s="931"/>
      <c r="EXP85" s="931"/>
      <c r="EXQ85" s="931"/>
      <c r="EXR85" s="931"/>
      <c r="EXS85" s="931"/>
      <c r="EXT85" s="931"/>
      <c r="EXU85" s="931"/>
      <c r="EXV85" s="931"/>
      <c r="EXW85" s="931"/>
      <c r="EXX85" s="931"/>
      <c r="EXY85" s="931"/>
      <c r="EXZ85" s="931"/>
      <c r="EYA85" s="931"/>
      <c r="EYB85" s="931"/>
      <c r="EYC85" s="931"/>
      <c r="EYD85" s="931"/>
      <c r="EYE85" s="931"/>
      <c r="EYF85" s="931"/>
      <c r="EYG85" s="931"/>
      <c r="EYH85" s="931"/>
      <c r="EYI85" s="931"/>
      <c r="EYJ85" s="931"/>
      <c r="EYK85" s="931"/>
      <c r="EYL85" s="931"/>
      <c r="EYM85" s="931"/>
      <c r="EYN85" s="931"/>
      <c r="EYO85" s="931"/>
      <c r="EYP85" s="931"/>
      <c r="EYQ85" s="931"/>
      <c r="EYR85" s="931"/>
      <c r="EYS85" s="931"/>
      <c r="EYT85" s="931"/>
      <c r="EYU85" s="931"/>
      <c r="EYV85" s="931"/>
      <c r="EYW85" s="931"/>
      <c r="EYX85" s="931"/>
      <c r="EYY85" s="931"/>
      <c r="EYZ85" s="931"/>
      <c r="EZA85" s="931"/>
      <c r="EZB85" s="931"/>
      <c r="EZC85" s="931"/>
      <c r="EZD85" s="931"/>
      <c r="EZE85" s="931"/>
      <c r="EZF85" s="931"/>
      <c r="EZG85" s="931"/>
      <c r="EZH85" s="931"/>
      <c r="EZI85" s="931"/>
      <c r="EZJ85" s="931"/>
      <c r="EZK85" s="931"/>
      <c r="EZL85" s="931"/>
      <c r="EZM85" s="931"/>
      <c r="EZN85" s="931"/>
      <c r="EZO85" s="931"/>
      <c r="EZP85" s="931"/>
      <c r="EZQ85" s="931"/>
      <c r="EZR85" s="931"/>
      <c r="EZS85" s="931"/>
      <c r="EZT85" s="931"/>
      <c r="EZU85" s="931"/>
      <c r="EZV85" s="931"/>
      <c r="EZW85" s="931"/>
      <c r="EZX85" s="931"/>
      <c r="EZY85" s="931"/>
      <c r="EZZ85" s="931"/>
      <c r="FAA85" s="931"/>
      <c r="FAB85" s="931"/>
      <c r="FAC85" s="931"/>
      <c r="FAD85" s="931"/>
      <c r="FAE85" s="931"/>
      <c r="FAF85" s="931"/>
      <c r="FAG85" s="931"/>
      <c r="FAH85" s="931"/>
      <c r="FAI85" s="931"/>
      <c r="FAJ85" s="931"/>
      <c r="FAK85" s="931"/>
      <c r="FAL85" s="931"/>
      <c r="FAM85" s="931"/>
      <c r="FAN85" s="931"/>
      <c r="FAO85" s="931"/>
      <c r="FAP85" s="931"/>
      <c r="FAQ85" s="931"/>
      <c r="FAR85" s="931"/>
      <c r="FAS85" s="931"/>
      <c r="FAT85" s="931"/>
      <c r="FAU85" s="931"/>
      <c r="FAV85" s="931"/>
      <c r="FAW85" s="931"/>
      <c r="FAX85" s="931"/>
      <c r="FAY85" s="931"/>
      <c r="FAZ85" s="931"/>
      <c r="FBA85" s="931"/>
      <c r="FBB85" s="931"/>
      <c r="FBC85" s="931"/>
      <c r="FBD85" s="931"/>
      <c r="FBE85" s="931"/>
      <c r="FBF85" s="931"/>
      <c r="FBG85" s="931"/>
      <c r="FBH85" s="931"/>
      <c r="FBI85" s="931"/>
      <c r="FBJ85" s="931"/>
      <c r="FBK85" s="931"/>
      <c r="FBL85" s="931"/>
      <c r="FBM85" s="931"/>
      <c r="FBN85" s="931"/>
      <c r="FBO85" s="931"/>
      <c r="FBP85" s="931"/>
      <c r="FBQ85" s="931"/>
      <c r="FBR85" s="931"/>
      <c r="FBS85" s="931"/>
      <c r="FBT85" s="931"/>
      <c r="FBU85" s="931"/>
      <c r="FBV85" s="931"/>
      <c r="FBW85" s="931"/>
      <c r="FBX85" s="931"/>
      <c r="FBY85" s="931"/>
      <c r="FBZ85" s="931"/>
      <c r="FCA85" s="931"/>
      <c r="FCB85" s="931"/>
      <c r="FCC85" s="931"/>
      <c r="FCD85" s="931"/>
      <c r="FCE85" s="931"/>
      <c r="FCF85" s="931"/>
      <c r="FCG85" s="931"/>
      <c r="FCH85" s="931"/>
      <c r="FCI85" s="931"/>
      <c r="FCJ85" s="931"/>
      <c r="FCK85" s="931"/>
      <c r="FCL85" s="931"/>
      <c r="FCM85" s="931"/>
      <c r="FCN85" s="931"/>
      <c r="FCO85" s="931"/>
      <c r="FCP85" s="931"/>
      <c r="FCQ85" s="931"/>
      <c r="FCR85" s="931"/>
      <c r="FCS85" s="931"/>
      <c r="FCT85" s="931"/>
      <c r="FCU85" s="931"/>
      <c r="FCV85" s="931"/>
      <c r="FCW85" s="931"/>
      <c r="FCX85" s="931"/>
      <c r="FCY85" s="931"/>
      <c r="FCZ85" s="931"/>
      <c r="FDA85" s="931"/>
      <c r="FDB85" s="931"/>
      <c r="FDC85" s="931"/>
      <c r="FDD85" s="931"/>
      <c r="FDE85" s="931"/>
      <c r="FDF85" s="931"/>
      <c r="FDG85" s="931"/>
      <c r="FDH85" s="931"/>
      <c r="FDI85" s="931"/>
      <c r="FDJ85" s="931"/>
      <c r="FDK85" s="931"/>
      <c r="FDL85" s="931"/>
      <c r="FDM85" s="931"/>
      <c r="FDN85" s="931"/>
      <c r="FDO85" s="931"/>
      <c r="FDP85" s="931"/>
      <c r="FDQ85" s="931"/>
      <c r="FDR85" s="931"/>
      <c r="FDS85" s="931"/>
      <c r="FDT85" s="931"/>
      <c r="FDU85" s="931"/>
      <c r="FDV85" s="931"/>
      <c r="FDW85" s="931"/>
      <c r="FDX85" s="931"/>
      <c r="FDY85" s="931"/>
      <c r="FDZ85" s="931"/>
      <c r="FEA85" s="931"/>
      <c r="FEB85" s="931"/>
      <c r="FEC85" s="931"/>
      <c r="FED85" s="931"/>
      <c r="FEE85" s="931"/>
      <c r="FEF85" s="931"/>
      <c r="FEG85" s="931"/>
      <c r="FEH85" s="931"/>
      <c r="FEI85" s="931"/>
      <c r="FEJ85" s="931"/>
      <c r="FEK85" s="931"/>
      <c r="FEL85" s="931"/>
      <c r="FEM85" s="931"/>
      <c r="FEN85" s="931"/>
      <c r="FEO85" s="931"/>
      <c r="FEP85" s="931"/>
      <c r="FEQ85" s="931"/>
      <c r="FER85" s="931"/>
      <c r="FES85" s="931"/>
      <c r="FET85" s="931"/>
      <c r="FEU85" s="931"/>
      <c r="FEV85" s="931"/>
      <c r="FEW85" s="931"/>
      <c r="FEX85" s="931"/>
      <c r="FEY85" s="931"/>
      <c r="FEZ85" s="931"/>
      <c r="FFA85" s="931"/>
      <c r="FFB85" s="931"/>
      <c r="FFC85" s="931"/>
      <c r="FFD85" s="931"/>
      <c r="FFE85" s="931"/>
      <c r="FFF85" s="931"/>
      <c r="FFG85" s="931"/>
      <c r="FFH85" s="931"/>
      <c r="FFI85" s="931"/>
      <c r="FFJ85" s="931"/>
      <c r="FFK85" s="931"/>
      <c r="FFL85" s="931"/>
      <c r="FFM85" s="931"/>
      <c r="FFN85" s="931"/>
      <c r="FFO85" s="931"/>
      <c r="FFP85" s="931"/>
      <c r="FFQ85" s="931"/>
      <c r="FFR85" s="931"/>
      <c r="FFS85" s="931"/>
      <c r="FFT85" s="931"/>
      <c r="FFU85" s="931"/>
      <c r="FFV85" s="931"/>
      <c r="FFW85" s="931"/>
      <c r="FFX85" s="931"/>
      <c r="FFY85" s="931"/>
      <c r="FFZ85" s="931"/>
      <c r="FGA85" s="931"/>
      <c r="FGB85" s="931"/>
      <c r="FGC85" s="931"/>
      <c r="FGD85" s="931"/>
      <c r="FGE85" s="931"/>
      <c r="FGF85" s="931"/>
      <c r="FGG85" s="931"/>
      <c r="FGH85" s="931"/>
      <c r="FGI85" s="931"/>
      <c r="FGJ85" s="931"/>
      <c r="FGK85" s="931"/>
      <c r="FGL85" s="931"/>
      <c r="FGM85" s="931"/>
      <c r="FGN85" s="931"/>
      <c r="FGO85" s="931"/>
      <c r="FGP85" s="931"/>
      <c r="FGQ85" s="931"/>
      <c r="FGR85" s="931"/>
      <c r="FGS85" s="931"/>
      <c r="FGT85" s="931"/>
      <c r="FGU85" s="931"/>
      <c r="FGV85" s="931"/>
      <c r="FGW85" s="931"/>
      <c r="FGX85" s="931"/>
      <c r="FGY85" s="931"/>
      <c r="FGZ85" s="931"/>
      <c r="FHA85" s="931"/>
      <c r="FHB85" s="931"/>
      <c r="FHC85" s="931"/>
      <c r="FHD85" s="931"/>
      <c r="FHE85" s="931"/>
      <c r="FHF85" s="931"/>
      <c r="FHG85" s="931"/>
      <c r="FHH85" s="931"/>
      <c r="FHI85" s="931"/>
      <c r="FHJ85" s="931"/>
      <c r="FHK85" s="931"/>
      <c r="FHL85" s="931"/>
      <c r="FHM85" s="931"/>
      <c r="FHN85" s="931"/>
      <c r="FHO85" s="931"/>
      <c r="FHP85" s="931"/>
      <c r="FHQ85" s="931"/>
      <c r="FHR85" s="931"/>
      <c r="FHS85" s="931"/>
      <c r="FHT85" s="931"/>
      <c r="FHU85" s="931"/>
      <c r="FHV85" s="931"/>
      <c r="FHW85" s="931"/>
      <c r="FHX85" s="931"/>
      <c r="FHY85" s="931"/>
      <c r="FHZ85" s="931"/>
      <c r="FIA85" s="931"/>
      <c r="FIB85" s="931"/>
      <c r="FIC85" s="931"/>
      <c r="FID85" s="931"/>
      <c r="FIE85" s="931"/>
      <c r="FIF85" s="931"/>
      <c r="FIG85" s="931"/>
      <c r="FIH85" s="931"/>
      <c r="FII85" s="931"/>
      <c r="FIJ85" s="931"/>
      <c r="FIK85" s="931"/>
      <c r="FIL85" s="931"/>
      <c r="FIM85" s="931"/>
      <c r="FIN85" s="931"/>
      <c r="FIO85" s="931"/>
      <c r="FIP85" s="931"/>
      <c r="FIQ85" s="931"/>
      <c r="FIR85" s="931"/>
      <c r="FIS85" s="931"/>
      <c r="FIT85" s="931"/>
      <c r="FIU85" s="931"/>
      <c r="FIV85" s="931"/>
      <c r="FIW85" s="931"/>
      <c r="FIX85" s="931"/>
      <c r="FIY85" s="931"/>
      <c r="FIZ85" s="931"/>
      <c r="FJA85" s="931"/>
      <c r="FJB85" s="931"/>
      <c r="FJC85" s="931"/>
      <c r="FJD85" s="931"/>
      <c r="FJE85" s="931"/>
      <c r="FJF85" s="931"/>
      <c r="FJG85" s="931"/>
      <c r="FJH85" s="931"/>
      <c r="FJI85" s="931"/>
      <c r="FJJ85" s="931"/>
      <c r="FJK85" s="931"/>
      <c r="FJL85" s="931"/>
      <c r="FJM85" s="931"/>
      <c r="FJN85" s="931"/>
      <c r="FJO85" s="931"/>
      <c r="FJP85" s="931"/>
      <c r="FJQ85" s="931"/>
      <c r="FJR85" s="931"/>
      <c r="FJS85" s="931"/>
      <c r="FJT85" s="931"/>
      <c r="FJU85" s="931"/>
      <c r="FJV85" s="931"/>
      <c r="FJW85" s="931"/>
      <c r="FJX85" s="931"/>
      <c r="FJY85" s="931"/>
      <c r="FJZ85" s="931"/>
      <c r="FKA85" s="931"/>
      <c r="FKB85" s="931"/>
      <c r="FKC85" s="931"/>
      <c r="FKD85" s="931"/>
      <c r="FKE85" s="931"/>
      <c r="FKF85" s="931"/>
      <c r="FKG85" s="931"/>
      <c r="FKH85" s="931"/>
      <c r="FKI85" s="931"/>
      <c r="FKJ85" s="931"/>
      <c r="FKK85" s="931"/>
      <c r="FKL85" s="931"/>
      <c r="FKM85" s="931"/>
      <c r="FKN85" s="931"/>
      <c r="FKO85" s="931"/>
      <c r="FKP85" s="931"/>
      <c r="FKQ85" s="931"/>
      <c r="FKR85" s="931"/>
      <c r="FKS85" s="931"/>
      <c r="FKT85" s="931"/>
      <c r="FKU85" s="931"/>
      <c r="FKV85" s="931"/>
      <c r="FKW85" s="931"/>
      <c r="FKX85" s="931"/>
      <c r="FKY85" s="931"/>
      <c r="FKZ85" s="931"/>
      <c r="FLA85" s="931"/>
      <c r="FLB85" s="931"/>
      <c r="FLC85" s="931"/>
      <c r="FLD85" s="931"/>
      <c r="FLE85" s="931"/>
      <c r="FLF85" s="931"/>
      <c r="FLG85" s="931"/>
      <c r="FLH85" s="931"/>
      <c r="FLI85" s="931"/>
      <c r="FLJ85" s="931"/>
      <c r="FLK85" s="931"/>
      <c r="FLL85" s="931"/>
      <c r="FLM85" s="931"/>
      <c r="FLN85" s="931"/>
      <c r="FLO85" s="931"/>
      <c r="FLP85" s="931"/>
      <c r="FLQ85" s="931"/>
      <c r="FLR85" s="931"/>
      <c r="FLS85" s="931"/>
      <c r="FLT85" s="931"/>
      <c r="FLU85" s="931"/>
      <c r="FLV85" s="931"/>
      <c r="FLW85" s="931"/>
      <c r="FLX85" s="931"/>
      <c r="FLY85" s="931"/>
      <c r="FLZ85" s="931"/>
      <c r="FMA85" s="931"/>
      <c r="FMB85" s="931"/>
      <c r="FMC85" s="931"/>
      <c r="FMD85" s="931"/>
      <c r="FME85" s="931"/>
      <c r="FMF85" s="931"/>
      <c r="FMG85" s="931"/>
      <c r="FMH85" s="931"/>
      <c r="FMI85" s="931"/>
      <c r="FMJ85" s="931"/>
      <c r="FMK85" s="931"/>
      <c r="FML85" s="931"/>
      <c r="FMM85" s="931"/>
      <c r="FMN85" s="931"/>
      <c r="FMO85" s="931"/>
      <c r="FMP85" s="931"/>
      <c r="FMQ85" s="931"/>
      <c r="FMR85" s="931"/>
      <c r="FMS85" s="931"/>
      <c r="FMT85" s="931"/>
      <c r="FMU85" s="931"/>
      <c r="FMV85" s="931"/>
      <c r="FMW85" s="931"/>
      <c r="FMX85" s="931"/>
      <c r="FMY85" s="931"/>
      <c r="FMZ85" s="931"/>
      <c r="FNA85" s="931"/>
      <c r="FNB85" s="931"/>
      <c r="FNC85" s="931"/>
      <c r="FND85" s="931"/>
      <c r="FNE85" s="931"/>
      <c r="FNF85" s="931"/>
      <c r="FNG85" s="931"/>
      <c r="FNH85" s="931"/>
      <c r="FNI85" s="931"/>
      <c r="FNJ85" s="931"/>
      <c r="FNK85" s="931"/>
      <c r="FNL85" s="931"/>
      <c r="FNM85" s="931"/>
      <c r="FNN85" s="931"/>
      <c r="FNO85" s="931"/>
      <c r="FNP85" s="931"/>
      <c r="FNQ85" s="931"/>
      <c r="FNR85" s="931"/>
      <c r="FNS85" s="931"/>
      <c r="FNT85" s="931"/>
      <c r="FNU85" s="931"/>
      <c r="FNV85" s="931"/>
      <c r="FNW85" s="931"/>
      <c r="FNX85" s="931"/>
      <c r="FNY85" s="931"/>
      <c r="FNZ85" s="931"/>
      <c r="FOA85" s="931"/>
      <c r="FOB85" s="931"/>
      <c r="FOC85" s="931"/>
      <c r="FOD85" s="931"/>
      <c r="FOE85" s="931"/>
      <c r="FOF85" s="931"/>
      <c r="FOG85" s="931"/>
      <c r="FOH85" s="931"/>
      <c r="FOI85" s="931"/>
      <c r="FOJ85" s="931"/>
      <c r="FOK85" s="931"/>
      <c r="FOL85" s="931"/>
      <c r="FOM85" s="931"/>
      <c r="FON85" s="931"/>
      <c r="FOO85" s="931"/>
      <c r="FOP85" s="931"/>
      <c r="FOQ85" s="931"/>
      <c r="FOR85" s="931"/>
      <c r="FOS85" s="931"/>
      <c r="FOT85" s="931"/>
      <c r="FOU85" s="931"/>
      <c r="FOV85" s="931"/>
      <c r="FOW85" s="931"/>
      <c r="FOX85" s="931"/>
      <c r="FOY85" s="931"/>
      <c r="FOZ85" s="931"/>
      <c r="FPA85" s="931"/>
      <c r="FPB85" s="931"/>
      <c r="FPC85" s="931"/>
      <c r="FPD85" s="931"/>
      <c r="FPE85" s="931"/>
      <c r="FPF85" s="931"/>
      <c r="FPG85" s="931"/>
      <c r="FPH85" s="931"/>
      <c r="FPI85" s="931"/>
      <c r="FPJ85" s="931"/>
      <c r="FPK85" s="931"/>
      <c r="FPL85" s="931"/>
      <c r="FPM85" s="931"/>
      <c r="FPN85" s="931"/>
      <c r="FPO85" s="931"/>
      <c r="FPP85" s="931"/>
      <c r="FPQ85" s="931"/>
      <c r="FPR85" s="931"/>
      <c r="FPS85" s="931"/>
      <c r="FPT85" s="931"/>
      <c r="FPU85" s="931"/>
      <c r="FPV85" s="931"/>
      <c r="FPW85" s="931"/>
      <c r="FPX85" s="931"/>
      <c r="FPY85" s="931"/>
      <c r="FPZ85" s="931"/>
      <c r="FQA85" s="931"/>
      <c r="FQB85" s="931"/>
      <c r="FQC85" s="931"/>
      <c r="FQD85" s="931"/>
      <c r="FQE85" s="931"/>
      <c r="FQF85" s="931"/>
      <c r="FQG85" s="931"/>
      <c r="FQH85" s="931"/>
      <c r="FQI85" s="931"/>
      <c r="FQJ85" s="931"/>
      <c r="FQK85" s="931"/>
      <c r="FQL85" s="931"/>
      <c r="FQM85" s="931"/>
      <c r="FQN85" s="931"/>
      <c r="FQO85" s="931"/>
      <c r="FQP85" s="931"/>
      <c r="FQQ85" s="931"/>
      <c r="FQR85" s="931"/>
      <c r="FQS85" s="931"/>
      <c r="FQT85" s="931"/>
      <c r="FQU85" s="931"/>
      <c r="FQV85" s="931"/>
      <c r="FQW85" s="931"/>
      <c r="FQX85" s="931"/>
      <c r="FQY85" s="931"/>
      <c r="FQZ85" s="931"/>
      <c r="FRA85" s="931"/>
      <c r="FRB85" s="931"/>
      <c r="FRC85" s="931"/>
      <c r="FRD85" s="931"/>
      <c r="FRE85" s="931"/>
      <c r="FRF85" s="931"/>
      <c r="FRG85" s="931"/>
      <c r="FRH85" s="931"/>
      <c r="FRI85" s="931"/>
      <c r="FRJ85" s="931"/>
      <c r="FRK85" s="931"/>
      <c r="FRL85" s="931"/>
      <c r="FRM85" s="931"/>
      <c r="FRN85" s="931"/>
      <c r="FRO85" s="931"/>
      <c r="FRP85" s="931"/>
      <c r="FRQ85" s="931"/>
      <c r="FRR85" s="931"/>
      <c r="FRS85" s="931"/>
      <c r="FRT85" s="931"/>
      <c r="FRU85" s="931"/>
      <c r="FRV85" s="931"/>
      <c r="FRW85" s="931"/>
      <c r="FRX85" s="931"/>
      <c r="FRY85" s="931"/>
      <c r="FRZ85" s="931"/>
      <c r="FSA85" s="931"/>
      <c r="FSB85" s="931"/>
      <c r="FSC85" s="931"/>
      <c r="FSD85" s="931"/>
      <c r="FSE85" s="931"/>
      <c r="FSF85" s="931"/>
      <c r="FSG85" s="931"/>
      <c r="FSH85" s="931"/>
      <c r="FSI85" s="931"/>
      <c r="FSJ85" s="931"/>
      <c r="FSK85" s="931"/>
      <c r="FSL85" s="931"/>
      <c r="FSM85" s="931"/>
      <c r="FSN85" s="931"/>
      <c r="FSO85" s="931"/>
      <c r="FSP85" s="931"/>
      <c r="FSQ85" s="931"/>
      <c r="FSR85" s="931"/>
      <c r="FSS85" s="931"/>
      <c r="FST85" s="931"/>
      <c r="FSU85" s="931"/>
      <c r="FSV85" s="931"/>
      <c r="FSW85" s="931"/>
      <c r="FSX85" s="931"/>
      <c r="FSY85" s="931"/>
      <c r="FSZ85" s="931"/>
      <c r="FTA85" s="931"/>
      <c r="FTB85" s="931"/>
      <c r="FTC85" s="931"/>
      <c r="FTD85" s="931"/>
      <c r="FTE85" s="931"/>
      <c r="FTF85" s="931"/>
      <c r="FTG85" s="931"/>
      <c r="FTH85" s="931"/>
      <c r="FTI85" s="931"/>
      <c r="FTJ85" s="931"/>
      <c r="FTK85" s="931"/>
      <c r="FTL85" s="931"/>
      <c r="FTM85" s="931"/>
      <c r="FTN85" s="931"/>
      <c r="FTO85" s="931"/>
      <c r="FTP85" s="931"/>
      <c r="FTQ85" s="931"/>
      <c r="FTR85" s="931"/>
      <c r="FTS85" s="931"/>
      <c r="FTT85" s="931"/>
      <c r="FTU85" s="931"/>
      <c r="FTV85" s="931"/>
      <c r="FTW85" s="931"/>
      <c r="FTX85" s="931"/>
      <c r="FTY85" s="931"/>
      <c r="FTZ85" s="931"/>
      <c r="FUA85" s="931"/>
      <c r="FUB85" s="931"/>
      <c r="FUC85" s="931"/>
      <c r="FUD85" s="931"/>
      <c r="FUE85" s="931"/>
      <c r="FUF85" s="931"/>
      <c r="FUG85" s="931"/>
      <c r="FUH85" s="931"/>
      <c r="FUI85" s="931"/>
      <c r="FUJ85" s="931"/>
      <c r="FUK85" s="931"/>
      <c r="FUL85" s="931"/>
      <c r="FUM85" s="931"/>
      <c r="FUN85" s="931"/>
      <c r="FUO85" s="931"/>
      <c r="FUP85" s="931"/>
      <c r="FUQ85" s="931"/>
      <c r="FUR85" s="931"/>
      <c r="FUS85" s="931"/>
      <c r="FUT85" s="931"/>
      <c r="FUU85" s="931"/>
      <c r="FUV85" s="931"/>
      <c r="FUW85" s="931"/>
      <c r="FUX85" s="931"/>
      <c r="FUY85" s="931"/>
      <c r="FUZ85" s="931"/>
      <c r="FVA85" s="931"/>
      <c r="FVB85" s="931"/>
      <c r="FVC85" s="931"/>
      <c r="FVD85" s="931"/>
      <c r="FVE85" s="931"/>
      <c r="FVF85" s="931"/>
      <c r="FVG85" s="931"/>
      <c r="FVH85" s="931"/>
      <c r="FVI85" s="931"/>
      <c r="FVJ85" s="931"/>
      <c r="FVK85" s="931"/>
      <c r="FVL85" s="931"/>
      <c r="FVM85" s="931"/>
      <c r="FVN85" s="931"/>
      <c r="FVO85" s="931"/>
      <c r="FVP85" s="931"/>
      <c r="FVQ85" s="931"/>
      <c r="FVR85" s="931"/>
      <c r="FVS85" s="931"/>
      <c r="FVT85" s="931"/>
      <c r="FVU85" s="931"/>
      <c r="FVV85" s="931"/>
      <c r="FVW85" s="931"/>
      <c r="FVX85" s="931"/>
      <c r="FVY85" s="931"/>
      <c r="FVZ85" s="931"/>
      <c r="FWA85" s="931"/>
      <c r="FWB85" s="931"/>
      <c r="FWC85" s="931"/>
      <c r="FWD85" s="931"/>
      <c r="FWE85" s="931"/>
      <c r="FWF85" s="931"/>
      <c r="FWG85" s="931"/>
      <c r="FWH85" s="931"/>
      <c r="FWI85" s="931"/>
      <c r="FWJ85" s="931"/>
      <c r="FWK85" s="931"/>
      <c r="FWL85" s="931"/>
      <c r="FWM85" s="931"/>
      <c r="FWN85" s="931"/>
      <c r="FWO85" s="931"/>
      <c r="FWP85" s="931"/>
      <c r="FWQ85" s="931"/>
      <c r="FWR85" s="931"/>
      <c r="FWS85" s="931"/>
      <c r="FWT85" s="931"/>
      <c r="FWU85" s="931"/>
      <c r="FWV85" s="931"/>
      <c r="FWW85" s="931"/>
      <c r="FWX85" s="931"/>
      <c r="FWY85" s="931"/>
      <c r="FWZ85" s="931"/>
      <c r="FXA85" s="931"/>
      <c r="FXB85" s="931"/>
      <c r="FXC85" s="931"/>
      <c r="FXD85" s="931"/>
      <c r="FXE85" s="931"/>
      <c r="FXF85" s="931"/>
      <c r="FXG85" s="931"/>
      <c r="FXH85" s="931"/>
      <c r="FXI85" s="931"/>
      <c r="FXJ85" s="931"/>
      <c r="FXK85" s="931"/>
      <c r="FXL85" s="931"/>
      <c r="FXM85" s="931"/>
      <c r="FXN85" s="931"/>
      <c r="FXO85" s="931"/>
      <c r="FXP85" s="931"/>
      <c r="FXQ85" s="931"/>
      <c r="FXR85" s="931"/>
      <c r="FXS85" s="931"/>
      <c r="FXT85" s="931"/>
      <c r="FXU85" s="931"/>
      <c r="FXV85" s="931"/>
      <c r="FXW85" s="931"/>
      <c r="FXX85" s="931"/>
      <c r="FXY85" s="931"/>
      <c r="FXZ85" s="931"/>
      <c r="FYA85" s="931"/>
      <c r="FYB85" s="931"/>
      <c r="FYC85" s="931"/>
      <c r="FYD85" s="931"/>
      <c r="FYE85" s="931"/>
      <c r="FYF85" s="931"/>
      <c r="FYG85" s="931"/>
      <c r="FYH85" s="931"/>
      <c r="FYI85" s="931"/>
      <c r="FYJ85" s="931"/>
      <c r="FYK85" s="931"/>
      <c r="FYL85" s="931"/>
      <c r="FYM85" s="931"/>
      <c r="FYN85" s="931"/>
      <c r="FYO85" s="931"/>
      <c r="FYP85" s="931"/>
      <c r="FYQ85" s="931"/>
      <c r="FYR85" s="931"/>
      <c r="FYS85" s="931"/>
      <c r="FYT85" s="931"/>
      <c r="FYU85" s="931"/>
      <c r="FYV85" s="931"/>
      <c r="FYW85" s="931"/>
      <c r="FYX85" s="931"/>
      <c r="FYY85" s="931"/>
      <c r="FYZ85" s="931"/>
      <c r="FZA85" s="931"/>
      <c r="FZB85" s="931"/>
      <c r="FZC85" s="931"/>
      <c r="FZD85" s="931"/>
      <c r="FZE85" s="931"/>
      <c r="FZF85" s="931"/>
      <c r="FZG85" s="931"/>
      <c r="FZH85" s="931"/>
      <c r="FZI85" s="931"/>
      <c r="FZJ85" s="931"/>
      <c r="FZK85" s="931"/>
      <c r="FZL85" s="931"/>
      <c r="FZM85" s="931"/>
      <c r="FZN85" s="931"/>
      <c r="FZO85" s="931"/>
      <c r="FZP85" s="931"/>
      <c r="FZQ85" s="931"/>
      <c r="FZR85" s="931"/>
      <c r="FZS85" s="931"/>
      <c r="FZT85" s="931"/>
      <c r="FZU85" s="931"/>
      <c r="FZV85" s="931"/>
      <c r="FZW85" s="931"/>
      <c r="FZX85" s="931"/>
      <c r="FZY85" s="931"/>
      <c r="FZZ85" s="931"/>
      <c r="GAA85" s="931"/>
      <c r="GAB85" s="931"/>
      <c r="GAC85" s="931"/>
      <c r="GAD85" s="931"/>
      <c r="GAE85" s="931"/>
      <c r="GAF85" s="931"/>
      <c r="GAG85" s="931"/>
      <c r="GAH85" s="931"/>
      <c r="GAI85" s="931"/>
      <c r="GAJ85" s="931"/>
      <c r="GAK85" s="931"/>
      <c r="GAL85" s="931"/>
      <c r="GAM85" s="931"/>
      <c r="GAN85" s="931"/>
      <c r="GAO85" s="931"/>
      <c r="GAP85" s="931"/>
      <c r="GAQ85" s="931"/>
      <c r="GAR85" s="931"/>
      <c r="GAS85" s="931"/>
      <c r="GAT85" s="931"/>
      <c r="GAU85" s="931"/>
      <c r="GAV85" s="931"/>
      <c r="GAW85" s="931"/>
      <c r="GAX85" s="931"/>
      <c r="GAY85" s="931"/>
      <c r="GAZ85" s="931"/>
      <c r="GBA85" s="931"/>
      <c r="GBB85" s="931"/>
      <c r="GBC85" s="931"/>
      <c r="GBD85" s="931"/>
      <c r="GBE85" s="931"/>
      <c r="GBF85" s="931"/>
      <c r="GBG85" s="931"/>
      <c r="GBH85" s="931"/>
      <c r="GBI85" s="931"/>
      <c r="GBJ85" s="931"/>
      <c r="GBK85" s="931"/>
      <c r="GBL85" s="931"/>
      <c r="GBM85" s="931"/>
      <c r="GBN85" s="931"/>
      <c r="GBO85" s="931"/>
      <c r="GBP85" s="931"/>
      <c r="GBQ85" s="931"/>
      <c r="GBR85" s="931"/>
      <c r="GBS85" s="931"/>
      <c r="GBT85" s="931"/>
      <c r="GBU85" s="931"/>
      <c r="GBV85" s="931"/>
      <c r="GBW85" s="931"/>
      <c r="GBX85" s="931"/>
      <c r="GBY85" s="931"/>
      <c r="GBZ85" s="931"/>
      <c r="GCA85" s="931"/>
      <c r="GCB85" s="931"/>
      <c r="GCC85" s="931"/>
      <c r="GCD85" s="931"/>
      <c r="GCE85" s="931"/>
      <c r="GCF85" s="931"/>
      <c r="GCG85" s="931"/>
      <c r="GCH85" s="931"/>
      <c r="GCI85" s="931"/>
      <c r="GCJ85" s="931"/>
      <c r="GCK85" s="931"/>
      <c r="GCL85" s="931"/>
      <c r="GCM85" s="931"/>
      <c r="GCN85" s="931"/>
      <c r="GCO85" s="931"/>
      <c r="GCP85" s="931"/>
      <c r="GCQ85" s="931"/>
      <c r="GCR85" s="931"/>
      <c r="GCS85" s="931"/>
      <c r="GCT85" s="931"/>
      <c r="GCU85" s="931"/>
      <c r="GCV85" s="931"/>
      <c r="GCW85" s="931"/>
      <c r="GCX85" s="931"/>
      <c r="GCY85" s="931"/>
      <c r="GCZ85" s="931"/>
      <c r="GDA85" s="931"/>
      <c r="GDB85" s="931"/>
      <c r="GDC85" s="931"/>
      <c r="GDD85" s="931"/>
      <c r="GDE85" s="931"/>
      <c r="GDF85" s="931"/>
      <c r="GDG85" s="931"/>
      <c r="GDH85" s="931"/>
      <c r="GDI85" s="931"/>
      <c r="GDJ85" s="931"/>
      <c r="GDK85" s="931"/>
      <c r="GDL85" s="931"/>
      <c r="GDM85" s="931"/>
      <c r="GDN85" s="931"/>
      <c r="GDO85" s="931"/>
      <c r="GDP85" s="931"/>
      <c r="GDQ85" s="931"/>
      <c r="GDR85" s="931"/>
      <c r="GDS85" s="931"/>
      <c r="GDT85" s="931"/>
      <c r="GDU85" s="931"/>
      <c r="GDV85" s="931"/>
      <c r="GDW85" s="931"/>
      <c r="GDX85" s="931"/>
      <c r="GDY85" s="931"/>
      <c r="GDZ85" s="931"/>
      <c r="GEA85" s="931"/>
      <c r="GEB85" s="931"/>
      <c r="GEC85" s="931"/>
      <c r="GED85" s="931"/>
      <c r="GEE85" s="931"/>
      <c r="GEF85" s="931"/>
      <c r="GEG85" s="931"/>
      <c r="GEH85" s="931"/>
      <c r="GEI85" s="931"/>
      <c r="GEJ85" s="931"/>
      <c r="GEK85" s="931"/>
      <c r="GEL85" s="931"/>
      <c r="GEM85" s="931"/>
      <c r="GEN85" s="931"/>
      <c r="GEO85" s="931"/>
      <c r="GEP85" s="931"/>
      <c r="GEQ85" s="931"/>
      <c r="GER85" s="931"/>
      <c r="GES85" s="931"/>
      <c r="GET85" s="931"/>
      <c r="GEU85" s="931"/>
      <c r="GEV85" s="931"/>
      <c r="GEW85" s="931"/>
      <c r="GEX85" s="931"/>
      <c r="GEY85" s="931"/>
      <c r="GEZ85" s="931"/>
      <c r="GFA85" s="931"/>
      <c r="GFB85" s="931"/>
      <c r="GFC85" s="931"/>
      <c r="GFD85" s="931"/>
      <c r="GFE85" s="931"/>
      <c r="GFF85" s="931"/>
      <c r="GFG85" s="931"/>
      <c r="GFH85" s="931"/>
      <c r="GFI85" s="931"/>
      <c r="GFJ85" s="931"/>
      <c r="GFK85" s="931"/>
      <c r="GFL85" s="931"/>
      <c r="GFM85" s="931"/>
      <c r="GFN85" s="931"/>
      <c r="GFO85" s="931"/>
      <c r="GFP85" s="931"/>
      <c r="GFQ85" s="931"/>
      <c r="GFR85" s="931"/>
      <c r="GFS85" s="931"/>
      <c r="GFT85" s="931"/>
      <c r="GFU85" s="931"/>
      <c r="GFV85" s="931"/>
      <c r="GFW85" s="931"/>
      <c r="GFX85" s="931"/>
      <c r="GFY85" s="931"/>
      <c r="GFZ85" s="931"/>
      <c r="GGA85" s="931"/>
      <c r="GGB85" s="931"/>
      <c r="GGC85" s="931"/>
      <c r="GGD85" s="931"/>
      <c r="GGE85" s="931"/>
      <c r="GGF85" s="931"/>
      <c r="GGG85" s="931"/>
      <c r="GGH85" s="931"/>
      <c r="GGI85" s="931"/>
      <c r="GGJ85" s="931"/>
      <c r="GGK85" s="931"/>
      <c r="GGL85" s="931"/>
      <c r="GGM85" s="931"/>
      <c r="GGN85" s="931"/>
      <c r="GGO85" s="931"/>
      <c r="GGP85" s="931"/>
      <c r="GGQ85" s="931"/>
      <c r="GGR85" s="931"/>
      <c r="GGS85" s="931"/>
      <c r="GGT85" s="931"/>
      <c r="GGU85" s="931"/>
      <c r="GGV85" s="931"/>
      <c r="GGW85" s="931"/>
      <c r="GGX85" s="931"/>
      <c r="GGY85" s="931"/>
      <c r="GGZ85" s="931"/>
      <c r="GHA85" s="931"/>
      <c r="GHB85" s="931"/>
      <c r="GHC85" s="931"/>
      <c r="GHD85" s="931"/>
      <c r="GHE85" s="931"/>
      <c r="GHF85" s="931"/>
      <c r="GHG85" s="931"/>
      <c r="GHH85" s="931"/>
      <c r="GHI85" s="931"/>
      <c r="GHJ85" s="931"/>
      <c r="GHK85" s="931"/>
      <c r="GHL85" s="931"/>
      <c r="GHM85" s="931"/>
      <c r="GHN85" s="931"/>
      <c r="GHO85" s="931"/>
      <c r="GHP85" s="931"/>
      <c r="GHQ85" s="931"/>
      <c r="GHR85" s="931"/>
      <c r="GHS85" s="931"/>
      <c r="GHT85" s="931"/>
      <c r="GHU85" s="931"/>
      <c r="GHV85" s="931"/>
      <c r="GHW85" s="931"/>
      <c r="GHX85" s="931"/>
      <c r="GHY85" s="931"/>
      <c r="GHZ85" s="931"/>
      <c r="GIA85" s="931"/>
      <c r="GIB85" s="931"/>
      <c r="GIC85" s="931"/>
      <c r="GID85" s="931"/>
      <c r="GIE85" s="931"/>
      <c r="GIF85" s="931"/>
      <c r="GIG85" s="931"/>
      <c r="GIH85" s="931"/>
      <c r="GII85" s="931"/>
      <c r="GIJ85" s="931"/>
      <c r="GIK85" s="931"/>
      <c r="GIL85" s="931"/>
      <c r="GIM85" s="931"/>
      <c r="GIN85" s="931"/>
      <c r="GIO85" s="931"/>
      <c r="GIP85" s="931"/>
      <c r="GIQ85" s="931"/>
      <c r="GIR85" s="931"/>
      <c r="GIS85" s="931"/>
      <c r="GIT85" s="931"/>
      <c r="GIU85" s="931"/>
      <c r="GIV85" s="931"/>
      <c r="GIW85" s="931"/>
      <c r="GIX85" s="931"/>
      <c r="GIY85" s="931"/>
      <c r="GIZ85" s="931"/>
      <c r="GJA85" s="931"/>
      <c r="GJB85" s="931"/>
      <c r="GJC85" s="931"/>
      <c r="GJD85" s="931"/>
      <c r="GJE85" s="931"/>
      <c r="GJF85" s="931"/>
      <c r="GJG85" s="931"/>
      <c r="GJH85" s="931"/>
      <c r="GJI85" s="931"/>
      <c r="GJJ85" s="931"/>
      <c r="GJK85" s="931"/>
      <c r="GJL85" s="931"/>
      <c r="GJM85" s="931"/>
      <c r="GJN85" s="931"/>
      <c r="GJO85" s="931"/>
      <c r="GJP85" s="931"/>
      <c r="GJQ85" s="931"/>
      <c r="GJR85" s="931"/>
      <c r="GJS85" s="931"/>
      <c r="GJT85" s="931"/>
      <c r="GJU85" s="931"/>
      <c r="GJV85" s="931"/>
      <c r="GJW85" s="931"/>
      <c r="GJX85" s="931"/>
      <c r="GJY85" s="931"/>
      <c r="GJZ85" s="931"/>
      <c r="GKA85" s="931"/>
      <c r="GKB85" s="931"/>
      <c r="GKC85" s="931"/>
      <c r="GKD85" s="931"/>
      <c r="GKE85" s="931"/>
      <c r="GKF85" s="931"/>
      <c r="GKG85" s="931"/>
      <c r="GKH85" s="931"/>
      <c r="GKI85" s="931"/>
      <c r="GKJ85" s="931"/>
      <c r="GKK85" s="931"/>
      <c r="GKL85" s="931"/>
      <c r="GKM85" s="931"/>
      <c r="GKN85" s="931"/>
      <c r="GKO85" s="931"/>
      <c r="GKP85" s="931"/>
      <c r="GKQ85" s="931"/>
      <c r="GKR85" s="931"/>
      <c r="GKS85" s="931"/>
      <c r="GKT85" s="931"/>
      <c r="GKU85" s="931"/>
      <c r="GKV85" s="931"/>
      <c r="GKW85" s="931"/>
      <c r="GKX85" s="931"/>
      <c r="GKY85" s="931"/>
      <c r="GKZ85" s="931"/>
      <c r="GLA85" s="931"/>
      <c r="GLB85" s="931"/>
      <c r="GLC85" s="931"/>
      <c r="GLD85" s="931"/>
      <c r="GLE85" s="931"/>
      <c r="GLF85" s="931"/>
      <c r="GLG85" s="931"/>
      <c r="GLH85" s="931"/>
      <c r="GLI85" s="931"/>
      <c r="GLJ85" s="931"/>
      <c r="GLK85" s="931"/>
      <c r="GLL85" s="931"/>
      <c r="GLM85" s="931"/>
      <c r="GLN85" s="931"/>
      <c r="GLO85" s="931"/>
      <c r="GLP85" s="931"/>
      <c r="GLQ85" s="931"/>
      <c r="GLR85" s="931"/>
      <c r="GLS85" s="931"/>
      <c r="GLT85" s="931"/>
      <c r="GLU85" s="931"/>
      <c r="GLV85" s="931"/>
      <c r="GLW85" s="931"/>
      <c r="GLX85" s="931"/>
      <c r="GLY85" s="931"/>
      <c r="GLZ85" s="931"/>
      <c r="GMA85" s="931"/>
      <c r="GMB85" s="931"/>
      <c r="GMC85" s="931"/>
      <c r="GMD85" s="931"/>
      <c r="GME85" s="931"/>
      <c r="GMF85" s="931"/>
      <c r="GMG85" s="931"/>
      <c r="GMH85" s="931"/>
      <c r="GMI85" s="931"/>
      <c r="GMJ85" s="931"/>
      <c r="GMK85" s="931"/>
      <c r="GML85" s="931"/>
      <c r="GMM85" s="931"/>
      <c r="GMN85" s="931"/>
      <c r="GMO85" s="931"/>
      <c r="GMP85" s="931"/>
      <c r="GMQ85" s="931"/>
      <c r="GMR85" s="931"/>
      <c r="GMS85" s="931"/>
      <c r="GMT85" s="931"/>
      <c r="GMU85" s="931"/>
      <c r="GMV85" s="931"/>
      <c r="GMW85" s="931"/>
      <c r="GMX85" s="931"/>
      <c r="GMY85" s="931"/>
      <c r="GMZ85" s="931"/>
      <c r="GNA85" s="931"/>
      <c r="GNB85" s="931"/>
      <c r="GNC85" s="931"/>
      <c r="GND85" s="931"/>
      <c r="GNE85" s="931"/>
      <c r="GNF85" s="931"/>
      <c r="GNG85" s="931"/>
      <c r="GNH85" s="931"/>
      <c r="GNI85" s="931"/>
      <c r="GNJ85" s="931"/>
      <c r="GNK85" s="931"/>
      <c r="GNL85" s="931"/>
      <c r="GNM85" s="931"/>
      <c r="GNN85" s="931"/>
      <c r="GNO85" s="931"/>
      <c r="GNP85" s="931"/>
      <c r="GNQ85" s="931"/>
      <c r="GNR85" s="931"/>
      <c r="GNS85" s="931"/>
      <c r="GNT85" s="931"/>
      <c r="GNU85" s="931"/>
      <c r="GNV85" s="931"/>
      <c r="GNW85" s="931"/>
      <c r="GNX85" s="931"/>
      <c r="GNY85" s="931"/>
      <c r="GNZ85" s="931"/>
      <c r="GOA85" s="931"/>
      <c r="GOB85" s="931"/>
      <c r="GOC85" s="931"/>
      <c r="GOD85" s="931"/>
      <c r="GOE85" s="931"/>
      <c r="GOF85" s="931"/>
      <c r="GOG85" s="931"/>
      <c r="GOH85" s="931"/>
      <c r="GOI85" s="931"/>
      <c r="GOJ85" s="931"/>
      <c r="GOK85" s="931"/>
      <c r="GOL85" s="931"/>
      <c r="GOM85" s="931"/>
      <c r="GON85" s="931"/>
      <c r="GOO85" s="931"/>
      <c r="GOP85" s="931"/>
      <c r="GOQ85" s="931"/>
      <c r="GOR85" s="931"/>
      <c r="GOS85" s="931"/>
      <c r="GOT85" s="931"/>
      <c r="GOU85" s="931"/>
      <c r="GOV85" s="931"/>
      <c r="GOW85" s="931"/>
      <c r="GOX85" s="931"/>
      <c r="GOY85" s="931"/>
      <c r="GOZ85" s="931"/>
      <c r="GPA85" s="931"/>
      <c r="GPB85" s="931"/>
      <c r="GPC85" s="931"/>
      <c r="GPD85" s="931"/>
      <c r="GPE85" s="931"/>
      <c r="GPF85" s="931"/>
      <c r="GPG85" s="931"/>
      <c r="GPH85" s="931"/>
      <c r="GPI85" s="931"/>
      <c r="GPJ85" s="931"/>
      <c r="GPK85" s="931"/>
      <c r="GPL85" s="931"/>
      <c r="GPM85" s="931"/>
      <c r="GPN85" s="931"/>
      <c r="GPO85" s="931"/>
      <c r="GPP85" s="931"/>
      <c r="GPQ85" s="931"/>
      <c r="GPR85" s="931"/>
      <c r="GPS85" s="931"/>
      <c r="GPT85" s="931"/>
      <c r="GPU85" s="931"/>
      <c r="GPV85" s="931"/>
      <c r="GPW85" s="931"/>
      <c r="GPX85" s="931"/>
      <c r="GPY85" s="931"/>
      <c r="GPZ85" s="931"/>
      <c r="GQA85" s="931"/>
      <c r="GQB85" s="931"/>
      <c r="GQC85" s="931"/>
      <c r="GQD85" s="931"/>
      <c r="GQE85" s="931"/>
      <c r="GQF85" s="931"/>
      <c r="GQG85" s="931"/>
      <c r="GQH85" s="931"/>
      <c r="GQI85" s="931"/>
      <c r="GQJ85" s="931"/>
      <c r="GQK85" s="931"/>
      <c r="GQL85" s="931"/>
      <c r="GQM85" s="931"/>
      <c r="GQN85" s="931"/>
      <c r="GQO85" s="931"/>
      <c r="GQP85" s="931"/>
      <c r="GQQ85" s="931"/>
      <c r="GQR85" s="931"/>
      <c r="GQS85" s="931"/>
      <c r="GQT85" s="931"/>
      <c r="GQU85" s="931"/>
      <c r="GQV85" s="931"/>
      <c r="GQW85" s="931"/>
      <c r="GQX85" s="931"/>
      <c r="GQY85" s="931"/>
      <c r="GQZ85" s="931"/>
      <c r="GRA85" s="931"/>
      <c r="GRB85" s="931"/>
      <c r="GRC85" s="931"/>
      <c r="GRD85" s="931"/>
      <c r="GRE85" s="931"/>
      <c r="GRF85" s="931"/>
      <c r="GRG85" s="931"/>
      <c r="GRH85" s="931"/>
      <c r="GRI85" s="931"/>
      <c r="GRJ85" s="931"/>
      <c r="GRK85" s="931"/>
      <c r="GRL85" s="931"/>
      <c r="GRM85" s="931"/>
      <c r="GRN85" s="931"/>
      <c r="GRO85" s="931"/>
      <c r="GRP85" s="931"/>
      <c r="GRQ85" s="931"/>
      <c r="GRR85" s="931"/>
      <c r="GRS85" s="931"/>
      <c r="GRT85" s="931"/>
      <c r="GRU85" s="931"/>
      <c r="GRV85" s="931"/>
      <c r="GRW85" s="931"/>
      <c r="GRX85" s="931"/>
      <c r="GRY85" s="931"/>
      <c r="GRZ85" s="931"/>
      <c r="GSA85" s="931"/>
      <c r="GSB85" s="931"/>
      <c r="GSC85" s="931"/>
      <c r="GSD85" s="931"/>
      <c r="GSE85" s="931"/>
      <c r="GSF85" s="931"/>
      <c r="GSG85" s="931"/>
      <c r="GSH85" s="931"/>
      <c r="GSI85" s="931"/>
      <c r="GSJ85" s="931"/>
      <c r="GSK85" s="931"/>
      <c r="GSL85" s="931"/>
      <c r="GSM85" s="931"/>
      <c r="GSN85" s="931"/>
      <c r="GSO85" s="931"/>
      <c r="GSP85" s="931"/>
      <c r="GSQ85" s="931"/>
      <c r="GSR85" s="931"/>
      <c r="GSS85" s="931"/>
      <c r="GST85" s="931"/>
      <c r="GSU85" s="931"/>
      <c r="GSV85" s="931"/>
      <c r="GSW85" s="931"/>
      <c r="GSX85" s="931"/>
      <c r="GSY85" s="931"/>
      <c r="GSZ85" s="931"/>
      <c r="GTA85" s="931"/>
      <c r="GTB85" s="931"/>
      <c r="GTC85" s="931"/>
      <c r="GTD85" s="931"/>
      <c r="GTE85" s="931"/>
      <c r="GTF85" s="931"/>
      <c r="GTG85" s="931"/>
      <c r="GTH85" s="931"/>
      <c r="GTI85" s="931"/>
      <c r="GTJ85" s="931"/>
      <c r="GTK85" s="931"/>
      <c r="GTL85" s="931"/>
      <c r="GTM85" s="931"/>
      <c r="GTN85" s="931"/>
      <c r="GTO85" s="931"/>
      <c r="GTP85" s="931"/>
      <c r="GTQ85" s="931"/>
      <c r="GTR85" s="931"/>
      <c r="GTS85" s="931"/>
      <c r="GTT85" s="931"/>
      <c r="GTU85" s="931"/>
      <c r="GTV85" s="931"/>
      <c r="GTW85" s="931"/>
      <c r="GTX85" s="931"/>
      <c r="GTY85" s="931"/>
      <c r="GTZ85" s="931"/>
      <c r="GUA85" s="931"/>
      <c r="GUB85" s="931"/>
      <c r="GUC85" s="931"/>
      <c r="GUD85" s="931"/>
      <c r="GUE85" s="931"/>
      <c r="GUF85" s="931"/>
      <c r="GUG85" s="931"/>
      <c r="GUH85" s="931"/>
      <c r="GUI85" s="931"/>
      <c r="GUJ85" s="931"/>
      <c r="GUK85" s="931"/>
      <c r="GUL85" s="931"/>
      <c r="GUM85" s="931"/>
      <c r="GUN85" s="931"/>
      <c r="GUO85" s="931"/>
      <c r="GUP85" s="931"/>
      <c r="GUQ85" s="931"/>
      <c r="GUR85" s="931"/>
      <c r="GUS85" s="931"/>
      <c r="GUT85" s="931"/>
      <c r="GUU85" s="931"/>
      <c r="GUV85" s="931"/>
      <c r="GUW85" s="931"/>
      <c r="GUX85" s="931"/>
      <c r="GUY85" s="931"/>
      <c r="GUZ85" s="931"/>
      <c r="GVA85" s="931"/>
      <c r="GVB85" s="931"/>
      <c r="GVC85" s="931"/>
      <c r="GVD85" s="931"/>
      <c r="GVE85" s="931"/>
      <c r="GVF85" s="931"/>
      <c r="GVG85" s="931"/>
      <c r="GVH85" s="931"/>
      <c r="GVI85" s="931"/>
      <c r="GVJ85" s="931"/>
      <c r="GVK85" s="931"/>
      <c r="GVL85" s="931"/>
      <c r="GVM85" s="931"/>
      <c r="GVN85" s="931"/>
      <c r="GVO85" s="931"/>
      <c r="GVP85" s="931"/>
      <c r="GVQ85" s="931"/>
      <c r="GVR85" s="931"/>
      <c r="GVS85" s="931"/>
      <c r="GVT85" s="931"/>
      <c r="GVU85" s="931"/>
      <c r="GVV85" s="931"/>
      <c r="GVW85" s="931"/>
      <c r="GVX85" s="931"/>
      <c r="GVY85" s="931"/>
      <c r="GVZ85" s="931"/>
      <c r="GWA85" s="931"/>
      <c r="GWB85" s="931"/>
      <c r="GWC85" s="931"/>
      <c r="GWD85" s="931"/>
      <c r="GWE85" s="931"/>
      <c r="GWF85" s="931"/>
      <c r="GWG85" s="931"/>
      <c r="GWH85" s="931"/>
      <c r="GWI85" s="931"/>
      <c r="GWJ85" s="931"/>
      <c r="GWK85" s="931"/>
      <c r="GWL85" s="931"/>
      <c r="GWM85" s="931"/>
      <c r="GWN85" s="931"/>
      <c r="GWO85" s="931"/>
      <c r="GWP85" s="931"/>
      <c r="GWQ85" s="931"/>
      <c r="GWR85" s="931"/>
      <c r="GWS85" s="931"/>
      <c r="GWT85" s="931"/>
      <c r="GWU85" s="931"/>
      <c r="GWV85" s="931"/>
      <c r="GWW85" s="931"/>
      <c r="GWX85" s="931"/>
      <c r="GWY85" s="931"/>
      <c r="GWZ85" s="931"/>
      <c r="GXA85" s="931"/>
      <c r="GXB85" s="931"/>
      <c r="GXC85" s="931"/>
      <c r="GXD85" s="931"/>
      <c r="GXE85" s="931"/>
      <c r="GXF85" s="931"/>
      <c r="GXG85" s="931"/>
      <c r="GXH85" s="931"/>
      <c r="GXI85" s="931"/>
      <c r="GXJ85" s="931"/>
      <c r="GXK85" s="931"/>
      <c r="GXL85" s="931"/>
      <c r="GXM85" s="931"/>
      <c r="GXN85" s="931"/>
      <c r="GXO85" s="931"/>
      <c r="GXP85" s="931"/>
      <c r="GXQ85" s="931"/>
      <c r="GXR85" s="931"/>
      <c r="GXS85" s="931"/>
      <c r="GXT85" s="931"/>
      <c r="GXU85" s="931"/>
      <c r="GXV85" s="931"/>
      <c r="GXW85" s="931"/>
      <c r="GXX85" s="931"/>
      <c r="GXY85" s="931"/>
      <c r="GXZ85" s="931"/>
      <c r="GYA85" s="931"/>
      <c r="GYB85" s="931"/>
      <c r="GYC85" s="931"/>
      <c r="GYD85" s="931"/>
      <c r="GYE85" s="931"/>
      <c r="GYF85" s="931"/>
      <c r="GYG85" s="931"/>
      <c r="GYH85" s="931"/>
      <c r="GYI85" s="931"/>
      <c r="GYJ85" s="931"/>
      <c r="GYK85" s="931"/>
      <c r="GYL85" s="931"/>
      <c r="GYM85" s="931"/>
      <c r="GYN85" s="931"/>
      <c r="GYO85" s="931"/>
      <c r="GYP85" s="931"/>
      <c r="GYQ85" s="931"/>
      <c r="GYR85" s="931"/>
      <c r="GYS85" s="931"/>
      <c r="GYT85" s="931"/>
      <c r="GYU85" s="931"/>
      <c r="GYV85" s="931"/>
      <c r="GYW85" s="931"/>
      <c r="GYX85" s="931"/>
      <c r="GYY85" s="931"/>
      <c r="GYZ85" s="931"/>
      <c r="GZA85" s="931"/>
      <c r="GZB85" s="931"/>
      <c r="GZC85" s="931"/>
      <c r="GZD85" s="931"/>
      <c r="GZE85" s="931"/>
      <c r="GZF85" s="931"/>
      <c r="GZG85" s="931"/>
      <c r="GZH85" s="931"/>
      <c r="GZI85" s="931"/>
      <c r="GZJ85" s="931"/>
      <c r="GZK85" s="931"/>
      <c r="GZL85" s="931"/>
      <c r="GZM85" s="931"/>
      <c r="GZN85" s="931"/>
      <c r="GZO85" s="931"/>
      <c r="GZP85" s="931"/>
      <c r="GZQ85" s="931"/>
      <c r="GZR85" s="931"/>
      <c r="GZS85" s="931"/>
      <c r="GZT85" s="931"/>
      <c r="GZU85" s="931"/>
      <c r="GZV85" s="931"/>
      <c r="GZW85" s="931"/>
      <c r="GZX85" s="931"/>
      <c r="GZY85" s="931"/>
      <c r="GZZ85" s="931"/>
      <c r="HAA85" s="931"/>
      <c r="HAB85" s="931"/>
      <c r="HAC85" s="931"/>
      <c r="HAD85" s="931"/>
      <c r="HAE85" s="931"/>
      <c r="HAF85" s="931"/>
      <c r="HAG85" s="931"/>
      <c r="HAH85" s="931"/>
      <c r="HAI85" s="931"/>
      <c r="HAJ85" s="931"/>
      <c r="HAK85" s="931"/>
      <c r="HAL85" s="931"/>
      <c r="HAM85" s="931"/>
      <c r="HAN85" s="931"/>
      <c r="HAO85" s="931"/>
      <c r="HAP85" s="931"/>
      <c r="HAQ85" s="931"/>
      <c r="HAR85" s="931"/>
      <c r="HAS85" s="931"/>
      <c r="HAT85" s="931"/>
      <c r="HAU85" s="931"/>
      <c r="HAV85" s="931"/>
      <c r="HAW85" s="931"/>
      <c r="HAX85" s="931"/>
      <c r="HAY85" s="931"/>
      <c r="HAZ85" s="931"/>
      <c r="HBA85" s="931"/>
      <c r="HBB85" s="931"/>
      <c r="HBC85" s="931"/>
      <c r="HBD85" s="931"/>
      <c r="HBE85" s="931"/>
      <c r="HBF85" s="931"/>
      <c r="HBG85" s="931"/>
      <c r="HBH85" s="931"/>
      <c r="HBI85" s="931"/>
      <c r="HBJ85" s="931"/>
      <c r="HBK85" s="931"/>
      <c r="HBL85" s="931"/>
      <c r="HBM85" s="931"/>
      <c r="HBN85" s="931"/>
      <c r="HBO85" s="931"/>
      <c r="HBP85" s="931"/>
      <c r="HBQ85" s="931"/>
      <c r="HBR85" s="931"/>
      <c r="HBS85" s="931"/>
      <c r="HBT85" s="931"/>
      <c r="HBU85" s="931"/>
      <c r="HBV85" s="931"/>
      <c r="HBW85" s="931"/>
      <c r="HBX85" s="931"/>
      <c r="HBY85" s="931"/>
      <c r="HBZ85" s="931"/>
      <c r="HCA85" s="931"/>
      <c r="HCB85" s="931"/>
      <c r="HCC85" s="931"/>
      <c r="HCD85" s="931"/>
      <c r="HCE85" s="931"/>
      <c r="HCF85" s="931"/>
      <c r="HCG85" s="931"/>
      <c r="HCH85" s="931"/>
      <c r="HCI85" s="931"/>
      <c r="HCJ85" s="931"/>
      <c r="HCK85" s="931"/>
      <c r="HCL85" s="931"/>
      <c r="HCM85" s="931"/>
      <c r="HCN85" s="931"/>
      <c r="HCO85" s="931"/>
      <c r="HCP85" s="931"/>
      <c r="HCQ85" s="931"/>
      <c r="HCR85" s="931"/>
      <c r="HCS85" s="931"/>
      <c r="HCT85" s="931"/>
      <c r="HCU85" s="931"/>
      <c r="HCV85" s="931"/>
      <c r="HCW85" s="931"/>
      <c r="HCX85" s="931"/>
      <c r="HCY85" s="931"/>
      <c r="HCZ85" s="931"/>
      <c r="HDA85" s="931"/>
      <c r="HDB85" s="931"/>
      <c r="HDC85" s="931"/>
      <c r="HDD85" s="931"/>
      <c r="HDE85" s="931"/>
      <c r="HDF85" s="931"/>
      <c r="HDG85" s="931"/>
      <c r="HDH85" s="931"/>
      <c r="HDI85" s="931"/>
      <c r="HDJ85" s="931"/>
      <c r="HDK85" s="931"/>
      <c r="HDL85" s="931"/>
      <c r="HDM85" s="931"/>
      <c r="HDN85" s="931"/>
      <c r="HDO85" s="931"/>
      <c r="HDP85" s="931"/>
      <c r="HDQ85" s="931"/>
      <c r="HDR85" s="931"/>
      <c r="HDS85" s="931"/>
      <c r="HDT85" s="931"/>
      <c r="HDU85" s="931"/>
      <c r="HDV85" s="931"/>
      <c r="HDW85" s="931"/>
      <c r="HDX85" s="931"/>
      <c r="HDY85" s="931"/>
      <c r="HDZ85" s="931"/>
      <c r="HEA85" s="931"/>
      <c r="HEB85" s="931"/>
      <c r="HEC85" s="931"/>
      <c r="HED85" s="931"/>
      <c r="HEE85" s="931"/>
      <c r="HEF85" s="931"/>
      <c r="HEG85" s="931"/>
      <c r="HEH85" s="931"/>
      <c r="HEI85" s="931"/>
      <c r="HEJ85" s="931"/>
      <c r="HEK85" s="931"/>
      <c r="HEL85" s="931"/>
      <c r="HEM85" s="931"/>
      <c r="HEN85" s="931"/>
      <c r="HEO85" s="931"/>
      <c r="HEP85" s="931"/>
      <c r="HEQ85" s="931"/>
      <c r="HER85" s="931"/>
      <c r="HES85" s="931"/>
      <c r="HET85" s="931"/>
      <c r="HEU85" s="931"/>
      <c r="HEV85" s="931"/>
      <c r="HEW85" s="931"/>
      <c r="HEX85" s="931"/>
      <c r="HEY85" s="931"/>
      <c r="HEZ85" s="931"/>
      <c r="HFA85" s="931"/>
      <c r="HFB85" s="931"/>
      <c r="HFC85" s="931"/>
      <c r="HFD85" s="931"/>
      <c r="HFE85" s="931"/>
      <c r="HFF85" s="931"/>
      <c r="HFG85" s="931"/>
      <c r="HFH85" s="931"/>
      <c r="HFI85" s="931"/>
      <c r="HFJ85" s="931"/>
      <c r="HFK85" s="931"/>
      <c r="HFL85" s="931"/>
      <c r="HFM85" s="931"/>
      <c r="HFN85" s="931"/>
      <c r="HFO85" s="931"/>
      <c r="HFP85" s="931"/>
      <c r="HFQ85" s="931"/>
      <c r="HFR85" s="931"/>
      <c r="HFS85" s="931"/>
      <c r="HFT85" s="931"/>
      <c r="HFU85" s="931"/>
      <c r="HFV85" s="931"/>
      <c r="HFW85" s="931"/>
      <c r="HFX85" s="931"/>
      <c r="HFY85" s="931"/>
      <c r="HFZ85" s="931"/>
      <c r="HGA85" s="931"/>
      <c r="HGB85" s="931"/>
      <c r="HGC85" s="931"/>
      <c r="HGD85" s="931"/>
      <c r="HGE85" s="931"/>
      <c r="HGF85" s="931"/>
      <c r="HGG85" s="931"/>
      <c r="HGH85" s="931"/>
      <c r="HGI85" s="931"/>
      <c r="HGJ85" s="931"/>
      <c r="HGK85" s="931"/>
      <c r="HGL85" s="931"/>
      <c r="HGM85" s="931"/>
      <c r="HGN85" s="931"/>
      <c r="HGO85" s="931"/>
      <c r="HGP85" s="931"/>
      <c r="HGQ85" s="931"/>
      <c r="HGR85" s="931"/>
      <c r="HGS85" s="931"/>
      <c r="HGT85" s="931"/>
      <c r="HGU85" s="931"/>
      <c r="HGV85" s="931"/>
      <c r="HGW85" s="931"/>
      <c r="HGX85" s="931"/>
      <c r="HGY85" s="931"/>
      <c r="HGZ85" s="931"/>
      <c r="HHA85" s="931"/>
      <c r="HHB85" s="931"/>
      <c r="HHC85" s="931"/>
      <c r="HHD85" s="931"/>
      <c r="HHE85" s="931"/>
      <c r="HHF85" s="931"/>
      <c r="HHG85" s="931"/>
      <c r="HHH85" s="931"/>
      <c r="HHI85" s="931"/>
      <c r="HHJ85" s="931"/>
      <c r="HHK85" s="931"/>
      <c r="HHL85" s="931"/>
      <c r="HHM85" s="931"/>
      <c r="HHN85" s="931"/>
      <c r="HHO85" s="931"/>
      <c r="HHP85" s="931"/>
      <c r="HHQ85" s="931"/>
      <c r="HHR85" s="931"/>
      <c r="HHS85" s="931"/>
      <c r="HHT85" s="931"/>
      <c r="HHU85" s="931"/>
      <c r="HHV85" s="931"/>
      <c r="HHW85" s="931"/>
      <c r="HHX85" s="931"/>
      <c r="HHY85" s="931"/>
      <c r="HHZ85" s="931"/>
      <c r="HIA85" s="931"/>
      <c r="HIB85" s="931"/>
      <c r="HIC85" s="931"/>
      <c r="HID85" s="931"/>
      <c r="HIE85" s="931"/>
      <c r="HIF85" s="931"/>
      <c r="HIG85" s="931"/>
      <c r="HIH85" s="931"/>
      <c r="HII85" s="931"/>
      <c r="HIJ85" s="931"/>
      <c r="HIK85" s="931"/>
      <c r="HIL85" s="931"/>
      <c r="HIM85" s="931"/>
      <c r="HIN85" s="931"/>
      <c r="HIO85" s="931"/>
      <c r="HIP85" s="931"/>
      <c r="HIQ85" s="931"/>
      <c r="HIR85" s="931"/>
      <c r="HIS85" s="931"/>
      <c r="HIT85" s="931"/>
      <c r="HIU85" s="931"/>
      <c r="HIV85" s="931"/>
      <c r="HIW85" s="931"/>
      <c r="HIX85" s="931"/>
      <c r="HIY85" s="931"/>
      <c r="HIZ85" s="931"/>
      <c r="HJA85" s="931"/>
      <c r="HJB85" s="931"/>
      <c r="HJC85" s="931"/>
      <c r="HJD85" s="931"/>
      <c r="HJE85" s="931"/>
      <c r="HJF85" s="931"/>
      <c r="HJG85" s="931"/>
      <c r="HJH85" s="931"/>
      <c r="HJI85" s="931"/>
      <c r="HJJ85" s="931"/>
      <c r="HJK85" s="931"/>
      <c r="HJL85" s="931"/>
      <c r="HJM85" s="931"/>
      <c r="HJN85" s="931"/>
      <c r="HJO85" s="931"/>
      <c r="HJP85" s="931"/>
      <c r="HJQ85" s="931"/>
      <c r="HJR85" s="931"/>
      <c r="HJS85" s="931"/>
      <c r="HJT85" s="931"/>
      <c r="HJU85" s="931"/>
      <c r="HJV85" s="931"/>
      <c r="HJW85" s="931"/>
      <c r="HJX85" s="931"/>
      <c r="HJY85" s="931"/>
      <c r="HJZ85" s="931"/>
      <c r="HKA85" s="931"/>
      <c r="HKB85" s="931"/>
      <c r="HKC85" s="931"/>
      <c r="HKD85" s="931"/>
      <c r="HKE85" s="931"/>
      <c r="HKF85" s="931"/>
      <c r="HKG85" s="931"/>
      <c r="HKH85" s="931"/>
      <c r="HKI85" s="931"/>
      <c r="HKJ85" s="931"/>
      <c r="HKK85" s="931"/>
      <c r="HKL85" s="931"/>
      <c r="HKM85" s="931"/>
      <c r="HKN85" s="931"/>
      <c r="HKO85" s="931"/>
      <c r="HKP85" s="931"/>
      <c r="HKQ85" s="931"/>
      <c r="HKR85" s="931"/>
      <c r="HKS85" s="931"/>
      <c r="HKT85" s="931"/>
      <c r="HKU85" s="931"/>
      <c r="HKV85" s="931"/>
      <c r="HKW85" s="931"/>
      <c r="HKX85" s="931"/>
      <c r="HKY85" s="931"/>
      <c r="HKZ85" s="931"/>
      <c r="HLA85" s="931"/>
      <c r="HLB85" s="931"/>
      <c r="HLC85" s="931"/>
      <c r="HLD85" s="931"/>
      <c r="HLE85" s="931"/>
      <c r="HLF85" s="931"/>
      <c r="HLG85" s="931"/>
      <c r="HLH85" s="931"/>
      <c r="HLI85" s="931"/>
      <c r="HLJ85" s="931"/>
      <c r="HLK85" s="931"/>
      <c r="HLL85" s="931"/>
      <c r="HLM85" s="931"/>
      <c r="HLN85" s="931"/>
      <c r="HLO85" s="931"/>
      <c r="HLP85" s="931"/>
      <c r="HLQ85" s="931"/>
      <c r="HLR85" s="931"/>
      <c r="HLS85" s="931"/>
      <c r="HLT85" s="931"/>
      <c r="HLU85" s="931"/>
      <c r="HLV85" s="931"/>
      <c r="HLW85" s="931"/>
      <c r="HLX85" s="931"/>
      <c r="HLY85" s="931"/>
      <c r="HLZ85" s="931"/>
      <c r="HMA85" s="931"/>
      <c r="HMB85" s="931"/>
      <c r="HMC85" s="931"/>
      <c r="HMD85" s="931"/>
      <c r="HME85" s="931"/>
      <c r="HMF85" s="931"/>
      <c r="HMG85" s="931"/>
      <c r="HMH85" s="931"/>
      <c r="HMI85" s="931"/>
      <c r="HMJ85" s="931"/>
      <c r="HMK85" s="931"/>
      <c r="HML85" s="931"/>
      <c r="HMM85" s="931"/>
      <c r="HMN85" s="931"/>
      <c r="HMO85" s="931"/>
      <c r="HMP85" s="931"/>
      <c r="HMQ85" s="931"/>
      <c r="HMR85" s="931"/>
      <c r="HMS85" s="931"/>
      <c r="HMT85" s="931"/>
      <c r="HMU85" s="931"/>
      <c r="HMV85" s="931"/>
      <c r="HMW85" s="931"/>
      <c r="HMX85" s="931"/>
      <c r="HMY85" s="931"/>
      <c r="HMZ85" s="931"/>
      <c r="HNA85" s="931"/>
      <c r="HNB85" s="931"/>
      <c r="HNC85" s="931"/>
      <c r="HND85" s="931"/>
      <c r="HNE85" s="931"/>
      <c r="HNF85" s="931"/>
      <c r="HNG85" s="931"/>
      <c r="HNH85" s="931"/>
      <c r="HNI85" s="931"/>
      <c r="HNJ85" s="931"/>
      <c r="HNK85" s="931"/>
      <c r="HNL85" s="931"/>
      <c r="HNM85" s="931"/>
      <c r="HNN85" s="931"/>
      <c r="HNO85" s="931"/>
      <c r="HNP85" s="931"/>
      <c r="HNQ85" s="931"/>
      <c r="HNR85" s="931"/>
      <c r="HNS85" s="931"/>
      <c r="HNT85" s="931"/>
      <c r="HNU85" s="931"/>
      <c r="HNV85" s="931"/>
      <c r="HNW85" s="931"/>
      <c r="HNX85" s="931"/>
      <c r="HNY85" s="931"/>
      <c r="HNZ85" s="931"/>
      <c r="HOA85" s="931"/>
      <c r="HOB85" s="931"/>
      <c r="HOC85" s="931"/>
      <c r="HOD85" s="931"/>
      <c r="HOE85" s="931"/>
      <c r="HOF85" s="931"/>
      <c r="HOG85" s="931"/>
      <c r="HOH85" s="931"/>
      <c r="HOI85" s="931"/>
      <c r="HOJ85" s="931"/>
      <c r="HOK85" s="931"/>
      <c r="HOL85" s="931"/>
      <c r="HOM85" s="931"/>
      <c r="HON85" s="931"/>
      <c r="HOO85" s="931"/>
      <c r="HOP85" s="931"/>
      <c r="HOQ85" s="931"/>
      <c r="HOR85" s="931"/>
      <c r="HOS85" s="931"/>
      <c r="HOT85" s="931"/>
      <c r="HOU85" s="931"/>
      <c r="HOV85" s="931"/>
      <c r="HOW85" s="931"/>
      <c r="HOX85" s="931"/>
      <c r="HOY85" s="931"/>
      <c r="HOZ85" s="931"/>
      <c r="HPA85" s="931"/>
      <c r="HPB85" s="931"/>
      <c r="HPC85" s="931"/>
      <c r="HPD85" s="931"/>
      <c r="HPE85" s="931"/>
      <c r="HPF85" s="931"/>
      <c r="HPG85" s="931"/>
      <c r="HPH85" s="931"/>
      <c r="HPI85" s="931"/>
      <c r="HPJ85" s="931"/>
      <c r="HPK85" s="931"/>
      <c r="HPL85" s="931"/>
      <c r="HPM85" s="931"/>
      <c r="HPN85" s="931"/>
      <c r="HPO85" s="931"/>
      <c r="HPP85" s="931"/>
      <c r="HPQ85" s="931"/>
      <c r="HPR85" s="931"/>
      <c r="HPS85" s="931"/>
      <c r="HPT85" s="931"/>
      <c r="HPU85" s="931"/>
      <c r="HPV85" s="931"/>
      <c r="HPW85" s="931"/>
      <c r="HPX85" s="931"/>
      <c r="HPY85" s="931"/>
      <c r="HPZ85" s="931"/>
      <c r="HQA85" s="931"/>
      <c r="HQB85" s="931"/>
      <c r="HQC85" s="931"/>
      <c r="HQD85" s="931"/>
      <c r="HQE85" s="931"/>
      <c r="HQF85" s="931"/>
      <c r="HQG85" s="931"/>
      <c r="HQH85" s="931"/>
      <c r="HQI85" s="931"/>
      <c r="HQJ85" s="931"/>
      <c r="HQK85" s="931"/>
      <c r="HQL85" s="931"/>
      <c r="HQM85" s="931"/>
      <c r="HQN85" s="931"/>
      <c r="HQO85" s="931"/>
      <c r="HQP85" s="931"/>
      <c r="HQQ85" s="931"/>
      <c r="HQR85" s="931"/>
      <c r="HQS85" s="931"/>
      <c r="HQT85" s="931"/>
      <c r="HQU85" s="931"/>
      <c r="HQV85" s="931"/>
      <c r="HQW85" s="931"/>
      <c r="HQX85" s="931"/>
      <c r="HQY85" s="931"/>
      <c r="HQZ85" s="931"/>
      <c r="HRA85" s="931"/>
      <c r="HRB85" s="931"/>
      <c r="HRC85" s="931"/>
      <c r="HRD85" s="931"/>
      <c r="HRE85" s="931"/>
      <c r="HRF85" s="931"/>
      <c r="HRG85" s="931"/>
      <c r="HRH85" s="931"/>
      <c r="HRI85" s="931"/>
      <c r="HRJ85" s="931"/>
      <c r="HRK85" s="931"/>
      <c r="HRL85" s="931"/>
      <c r="HRM85" s="931"/>
      <c r="HRN85" s="931"/>
      <c r="HRO85" s="931"/>
      <c r="HRP85" s="931"/>
      <c r="HRQ85" s="931"/>
      <c r="HRR85" s="931"/>
      <c r="HRS85" s="931"/>
      <c r="HRT85" s="931"/>
      <c r="HRU85" s="931"/>
      <c r="HRV85" s="931"/>
      <c r="HRW85" s="931"/>
      <c r="HRX85" s="931"/>
      <c r="HRY85" s="931"/>
      <c r="HRZ85" s="931"/>
      <c r="HSA85" s="931"/>
      <c r="HSB85" s="931"/>
      <c r="HSC85" s="931"/>
      <c r="HSD85" s="931"/>
      <c r="HSE85" s="931"/>
      <c r="HSF85" s="931"/>
      <c r="HSG85" s="931"/>
      <c r="HSH85" s="931"/>
      <c r="HSI85" s="931"/>
      <c r="HSJ85" s="931"/>
      <c r="HSK85" s="931"/>
      <c r="HSL85" s="931"/>
      <c r="HSM85" s="931"/>
      <c r="HSN85" s="931"/>
      <c r="HSO85" s="931"/>
      <c r="HSP85" s="931"/>
      <c r="HSQ85" s="931"/>
      <c r="HSR85" s="931"/>
      <c r="HSS85" s="931"/>
      <c r="HST85" s="931"/>
      <c r="HSU85" s="931"/>
      <c r="HSV85" s="931"/>
      <c r="HSW85" s="931"/>
      <c r="HSX85" s="931"/>
      <c r="HSY85" s="931"/>
      <c r="HSZ85" s="931"/>
      <c r="HTA85" s="931"/>
      <c r="HTB85" s="931"/>
      <c r="HTC85" s="931"/>
      <c r="HTD85" s="931"/>
      <c r="HTE85" s="931"/>
      <c r="HTF85" s="931"/>
      <c r="HTG85" s="931"/>
      <c r="HTH85" s="931"/>
      <c r="HTI85" s="931"/>
      <c r="HTJ85" s="931"/>
      <c r="HTK85" s="931"/>
      <c r="HTL85" s="931"/>
      <c r="HTM85" s="931"/>
      <c r="HTN85" s="931"/>
      <c r="HTO85" s="931"/>
      <c r="HTP85" s="931"/>
      <c r="HTQ85" s="931"/>
      <c r="HTR85" s="931"/>
      <c r="HTS85" s="931"/>
      <c r="HTT85" s="931"/>
      <c r="HTU85" s="931"/>
      <c r="HTV85" s="931"/>
      <c r="HTW85" s="931"/>
      <c r="HTX85" s="931"/>
      <c r="HTY85" s="931"/>
      <c r="HTZ85" s="931"/>
      <c r="HUA85" s="931"/>
      <c r="HUB85" s="931"/>
      <c r="HUC85" s="931"/>
      <c r="HUD85" s="931"/>
      <c r="HUE85" s="931"/>
      <c r="HUF85" s="931"/>
      <c r="HUG85" s="931"/>
      <c r="HUH85" s="931"/>
      <c r="HUI85" s="931"/>
      <c r="HUJ85" s="931"/>
      <c r="HUK85" s="931"/>
      <c r="HUL85" s="931"/>
      <c r="HUM85" s="931"/>
      <c r="HUN85" s="931"/>
      <c r="HUO85" s="931"/>
      <c r="HUP85" s="931"/>
      <c r="HUQ85" s="931"/>
      <c r="HUR85" s="931"/>
      <c r="HUS85" s="931"/>
      <c r="HUT85" s="931"/>
      <c r="HUU85" s="931"/>
      <c r="HUV85" s="931"/>
      <c r="HUW85" s="931"/>
      <c r="HUX85" s="931"/>
      <c r="HUY85" s="931"/>
      <c r="HUZ85" s="931"/>
      <c r="HVA85" s="931"/>
      <c r="HVB85" s="931"/>
      <c r="HVC85" s="931"/>
      <c r="HVD85" s="931"/>
      <c r="HVE85" s="931"/>
      <c r="HVF85" s="931"/>
      <c r="HVG85" s="931"/>
      <c r="HVH85" s="931"/>
      <c r="HVI85" s="931"/>
      <c r="HVJ85" s="931"/>
      <c r="HVK85" s="931"/>
      <c r="HVL85" s="931"/>
      <c r="HVM85" s="931"/>
      <c r="HVN85" s="931"/>
      <c r="HVO85" s="931"/>
      <c r="HVP85" s="931"/>
      <c r="HVQ85" s="931"/>
      <c r="HVR85" s="931"/>
      <c r="HVS85" s="931"/>
      <c r="HVT85" s="931"/>
      <c r="HVU85" s="931"/>
      <c r="HVV85" s="931"/>
      <c r="HVW85" s="931"/>
      <c r="HVX85" s="931"/>
      <c r="HVY85" s="931"/>
      <c r="HVZ85" s="931"/>
      <c r="HWA85" s="931"/>
      <c r="HWB85" s="931"/>
      <c r="HWC85" s="931"/>
      <c r="HWD85" s="931"/>
      <c r="HWE85" s="931"/>
      <c r="HWF85" s="931"/>
      <c r="HWG85" s="931"/>
      <c r="HWH85" s="931"/>
      <c r="HWI85" s="931"/>
      <c r="HWJ85" s="931"/>
      <c r="HWK85" s="931"/>
      <c r="HWL85" s="931"/>
      <c r="HWM85" s="931"/>
      <c r="HWN85" s="931"/>
      <c r="HWO85" s="931"/>
      <c r="HWP85" s="931"/>
      <c r="HWQ85" s="931"/>
      <c r="HWR85" s="931"/>
      <c r="HWS85" s="931"/>
      <c r="HWT85" s="931"/>
      <c r="HWU85" s="931"/>
      <c r="HWV85" s="931"/>
      <c r="HWW85" s="931"/>
      <c r="HWX85" s="931"/>
      <c r="HWY85" s="931"/>
      <c r="HWZ85" s="931"/>
      <c r="HXA85" s="931"/>
      <c r="HXB85" s="931"/>
      <c r="HXC85" s="931"/>
      <c r="HXD85" s="931"/>
      <c r="HXE85" s="931"/>
      <c r="HXF85" s="931"/>
      <c r="HXG85" s="931"/>
      <c r="HXH85" s="931"/>
      <c r="HXI85" s="931"/>
      <c r="HXJ85" s="931"/>
      <c r="HXK85" s="931"/>
      <c r="HXL85" s="931"/>
      <c r="HXM85" s="931"/>
      <c r="HXN85" s="931"/>
      <c r="HXO85" s="931"/>
      <c r="HXP85" s="931"/>
      <c r="HXQ85" s="931"/>
      <c r="HXR85" s="931"/>
      <c r="HXS85" s="931"/>
      <c r="HXT85" s="931"/>
      <c r="HXU85" s="931"/>
      <c r="HXV85" s="931"/>
      <c r="HXW85" s="931"/>
      <c r="HXX85" s="931"/>
      <c r="HXY85" s="931"/>
      <c r="HXZ85" s="931"/>
      <c r="HYA85" s="931"/>
      <c r="HYB85" s="931"/>
      <c r="HYC85" s="931"/>
      <c r="HYD85" s="931"/>
      <c r="HYE85" s="931"/>
      <c r="HYF85" s="931"/>
      <c r="HYG85" s="931"/>
      <c r="HYH85" s="931"/>
      <c r="HYI85" s="931"/>
      <c r="HYJ85" s="931"/>
      <c r="HYK85" s="931"/>
      <c r="HYL85" s="931"/>
      <c r="HYM85" s="931"/>
      <c r="HYN85" s="931"/>
      <c r="HYO85" s="931"/>
      <c r="HYP85" s="931"/>
      <c r="HYQ85" s="931"/>
      <c r="HYR85" s="931"/>
      <c r="HYS85" s="931"/>
      <c r="HYT85" s="931"/>
      <c r="HYU85" s="931"/>
      <c r="HYV85" s="931"/>
      <c r="HYW85" s="931"/>
      <c r="HYX85" s="931"/>
      <c r="HYY85" s="931"/>
      <c r="HYZ85" s="931"/>
      <c r="HZA85" s="931"/>
      <c r="HZB85" s="931"/>
      <c r="HZC85" s="931"/>
      <c r="HZD85" s="931"/>
      <c r="HZE85" s="931"/>
      <c r="HZF85" s="931"/>
      <c r="HZG85" s="931"/>
      <c r="HZH85" s="931"/>
      <c r="HZI85" s="931"/>
      <c r="HZJ85" s="931"/>
      <c r="HZK85" s="931"/>
      <c r="HZL85" s="931"/>
      <c r="HZM85" s="931"/>
      <c r="HZN85" s="931"/>
      <c r="HZO85" s="931"/>
      <c r="HZP85" s="931"/>
      <c r="HZQ85" s="931"/>
      <c r="HZR85" s="931"/>
      <c r="HZS85" s="931"/>
      <c r="HZT85" s="931"/>
      <c r="HZU85" s="931"/>
      <c r="HZV85" s="931"/>
      <c r="HZW85" s="931"/>
      <c r="HZX85" s="931"/>
      <c r="HZY85" s="931"/>
      <c r="HZZ85" s="931"/>
      <c r="IAA85" s="931"/>
      <c r="IAB85" s="931"/>
      <c r="IAC85" s="931"/>
      <c r="IAD85" s="931"/>
      <c r="IAE85" s="931"/>
      <c r="IAF85" s="931"/>
      <c r="IAG85" s="931"/>
      <c r="IAH85" s="931"/>
      <c r="IAI85" s="931"/>
      <c r="IAJ85" s="931"/>
      <c r="IAK85" s="931"/>
      <c r="IAL85" s="931"/>
      <c r="IAM85" s="931"/>
      <c r="IAN85" s="931"/>
      <c r="IAO85" s="931"/>
      <c r="IAP85" s="931"/>
      <c r="IAQ85" s="931"/>
      <c r="IAR85" s="931"/>
      <c r="IAS85" s="931"/>
      <c r="IAT85" s="931"/>
      <c r="IAU85" s="931"/>
      <c r="IAV85" s="931"/>
      <c r="IAW85" s="931"/>
      <c r="IAX85" s="931"/>
      <c r="IAY85" s="931"/>
      <c r="IAZ85" s="931"/>
      <c r="IBA85" s="931"/>
      <c r="IBB85" s="931"/>
      <c r="IBC85" s="931"/>
      <c r="IBD85" s="931"/>
      <c r="IBE85" s="931"/>
      <c r="IBF85" s="931"/>
      <c r="IBG85" s="931"/>
      <c r="IBH85" s="931"/>
      <c r="IBI85" s="931"/>
      <c r="IBJ85" s="931"/>
      <c r="IBK85" s="931"/>
      <c r="IBL85" s="931"/>
      <c r="IBM85" s="931"/>
      <c r="IBN85" s="931"/>
      <c r="IBO85" s="931"/>
      <c r="IBP85" s="931"/>
      <c r="IBQ85" s="931"/>
      <c r="IBR85" s="931"/>
      <c r="IBS85" s="931"/>
      <c r="IBT85" s="931"/>
      <c r="IBU85" s="931"/>
      <c r="IBV85" s="931"/>
      <c r="IBW85" s="931"/>
      <c r="IBX85" s="931"/>
      <c r="IBY85" s="931"/>
      <c r="IBZ85" s="931"/>
      <c r="ICA85" s="931"/>
      <c r="ICB85" s="931"/>
      <c r="ICC85" s="931"/>
      <c r="ICD85" s="931"/>
      <c r="ICE85" s="931"/>
      <c r="ICF85" s="931"/>
      <c r="ICG85" s="931"/>
      <c r="ICH85" s="931"/>
      <c r="ICI85" s="931"/>
      <c r="ICJ85" s="931"/>
      <c r="ICK85" s="931"/>
      <c r="ICL85" s="931"/>
      <c r="ICM85" s="931"/>
      <c r="ICN85" s="931"/>
      <c r="ICO85" s="931"/>
      <c r="ICP85" s="931"/>
      <c r="ICQ85" s="931"/>
      <c r="ICR85" s="931"/>
      <c r="ICS85" s="931"/>
      <c r="ICT85" s="931"/>
      <c r="ICU85" s="931"/>
      <c r="ICV85" s="931"/>
      <c r="ICW85" s="931"/>
      <c r="ICX85" s="931"/>
      <c r="ICY85" s="931"/>
      <c r="ICZ85" s="931"/>
      <c r="IDA85" s="931"/>
      <c r="IDB85" s="931"/>
      <c r="IDC85" s="931"/>
      <c r="IDD85" s="931"/>
      <c r="IDE85" s="931"/>
      <c r="IDF85" s="931"/>
      <c r="IDG85" s="931"/>
      <c r="IDH85" s="931"/>
      <c r="IDI85" s="931"/>
      <c r="IDJ85" s="931"/>
      <c r="IDK85" s="931"/>
      <c r="IDL85" s="931"/>
      <c r="IDM85" s="931"/>
      <c r="IDN85" s="931"/>
      <c r="IDO85" s="931"/>
      <c r="IDP85" s="931"/>
      <c r="IDQ85" s="931"/>
      <c r="IDR85" s="931"/>
      <c r="IDS85" s="931"/>
      <c r="IDT85" s="931"/>
      <c r="IDU85" s="931"/>
      <c r="IDV85" s="931"/>
      <c r="IDW85" s="931"/>
      <c r="IDX85" s="931"/>
      <c r="IDY85" s="931"/>
      <c r="IDZ85" s="931"/>
      <c r="IEA85" s="931"/>
      <c r="IEB85" s="931"/>
      <c r="IEC85" s="931"/>
      <c r="IED85" s="931"/>
      <c r="IEE85" s="931"/>
      <c r="IEF85" s="931"/>
      <c r="IEG85" s="931"/>
      <c r="IEH85" s="931"/>
      <c r="IEI85" s="931"/>
      <c r="IEJ85" s="931"/>
      <c r="IEK85" s="931"/>
      <c r="IEL85" s="931"/>
      <c r="IEM85" s="931"/>
      <c r="IEN85" s="931"/>
      <c r="IEO85" s="931"/>
      <c r="IEP85" s="931"/>
      <c r="IEQ85" s="931"/>
      <c r="IER85" s="931"/>
      <c r="IES85" s="931"/>
      <c r="IET85" s="931"/>
      <c r="IEU85" s="931"/>
      <c r="IEV85" s="931"/>
      <c r="IEW85" s="931"/>
      <c r="IEX85" s="931"/>
      <c r="IEY85" s="931"/>
      <c r="IEZ85" s="931"/>
      <c r="IFA85" s="931"/>
      <c r="IFB85" s="931"/>
      <c r="IFC85" s="931"/>
      <c r="IFD85" s="931"/>
      <c r="IFE85" s="931"/>
      <c r="IFF85" s="931"/>
      <c r="IFG85" s="931"/>
      <c r="IFH85" s="931"/>
      <c r="IFI85" s="931"/>
      <c r="IFJ85" s="931"/>
      <c r="IFK85" s="931"/>
      <c r="IFL85" s="931"/>
      <c r="IFM85" s="931"/>
      <c r="IFN85" s="931"/>
      <c r="IFO85" s="931"/>
      <c r="IFP85" s="931"/>
      <c r="IFQ85" s="931"/>
      <c r="IFR85" s="931"/>
      <c r="IFS85" s="931"/>
      <c r="IFT85" s="931"/>
      <c r="IFU85" s="931"/>
      <c r="IFV85" s="931"/>
      <c r="IFW85" s="931"/>
      <c r="IFX85" s="931"/>
      <c r="IFY85" s="931"/>
      <c r="IFZ85" s="931"/>
      <c r="IGA85" s="931"/>
      <c r="IGB85" s="931"/>
      <c r="IGC85" s="931"/>
      <c r="IGD85" s="931"/>
      <c r="IGE85" s="931"/>
      <c r="IGF85" s="931"/>
      <c r="IGG85" s="931"/>
      <c r="IGH85" s="931"/>
      <c r="IGI85" s="931"/>
      <c r="IGJ85" s="931"/>
      <c r="IGK85" s="931"/>
      <c r="IGL85" s="931"/>
      <c r="IGM85" s="931"/>
      <c r="IGN85" s="931"/>
      <c r="IGO85" s="931"/>
      <c r="IGP85" s="931"/>
      <c r="IGQ85" s="931"/>
      <c r="IGR85" s="931"/>
      <c r="IGS85" s="931"/>
      <c r="IGT85" s="931"/>
      <c r="IGU85" s="931"/>
      <c r="IGV85" s="931"/>
      <c r="IGW85" s="931"/>
      <c r="IGX85" s="931"/>
      <c r="IGY85" s="931"/>
      <c r="IGZ85" s="931"/>
      <c r="IHA85" s="931"/>
      <c r="IHB85" s="931"/>
      <c r="IHC85" s="931"/>
      <c r="IHD85" s="931"/>
      <c r="IHE85" s="931"/>
      <c r="IHF85" s="931"/>
      <c r="IHG85" s="931"/>
      <c r="IHH85" s="931"/>
      <c r="IHI85" s="931"/>
      <c r="IHJ85" s="931"/>
      <c r="IHK85" s="931"/>
      <c r="IHL85" s="931"/>
      <c r="IHM85" s="931"/>
      <c r="IHN85" s="931"/>
      <c r="IHO85" s="931"/>
      <c r="IHP85" s="931"/>
      <c r="IHQ85" s="931"/>
      <c r="IHR85" s="931"/>
      <c r="IHS85" s="931"/>
      <c r="IHT85" s="931"/>
      <c r="IHU85" s="931"/>
      <c r="IHV85" s="931"/>
      <c r="IHW85" s="931"/>
      <c r="IHX85" s="931"/>
      <c r="IHY85" s="931"/>
      <c r="IHZ85" s="931"/>
      <c r="IIA85" s="931"/>
      <c r="IIB85" s="931"/>
      <c r="IIC85" s="931"/>
      <c r="IID85" s="931"/>
      <c r="IIE85" s="931"/>
      <c r="IIF85" s="931"/>
      <c r="IIG85" s="931"/>
      <c r="IIH85" s="931"/>
      <c r="III85" s="931"/>
      <c r="IIJ85" s="931"/>
      <c r="IIK85" s="931"/>
      <c r="IIL85" s="931"/>
      <c r="IIM85" s="931"/>
      <c r="IIN85" s="931"/>
      <c r="IIO85" s="931"/>
      <c r="IIP85" s="931"/>
      <c r="IIQ85" s="931"/>
      <c r="IIR85" s="931"/>
      <c r="IIS85" s="931"/>
      <c r="IIT85" s="931"/>
      <c r="IIU85" s="931"/>
      <c r="IIV85" s="931"/>
      <c r="IIW85" s="931"/>
      <c r="IIX85" s="931"/>
      <c r="IIY85" s="931"/>
      <c r="IIZ85" s="931"/>
      <c r="IJA85" s="931"/>
      <c r="IJB85" s="931"/>
      <c r="IJC85" s="931"/>
      <c r="IJD85" s="931"/>
      <c r="IJE85" s="931"/>
      <c r="IJF85" s="931"/>
      <c r="IJG85" s="931"/>
      <c r="IJH85" s="931"/>
      <c r="IJI85" s="931"/>
      <c r="IJJ85" s="931"/>
      <c r="IJK85" s="931"/>
      <c r="IJL85" s="931"/>
      <c r="IJM85" s="931"/>
      <c r="IJN85" s="931"/>
      <c r="IJO85" s="931"/>
      <c r="IJP85" s="931"/>
      <c r="IJQ85" s="931"/>
      <c r="IJR85" s="931"/>
      <c r="IJS85" s="931"/>
      <c r="IJT85" s="931"/>
      <c r="IJU85" s="931"/>
      <c r="IJV85" s="931"/>
      <c r="IJW85" s="931"/>
      <c r="IJX85" s="931"/>
      <c r="IJY85" s="931"/>
      <c r="IJZ85" s="931"/>
      <c r="IKA85" s="931"/>
      <c r="IKB85" s="931"/>
      <c r="IKC85" s="931"/>
      <c r="IKD85" s="931"/>
      <c r="IKE85" s="931"/>
      <c r="IKF85" s="931"/>
      <c r="IKG85" s="931"/>
      <c r="IKH85" s="931"/>
      <c r="IKI85" s="931"/>
      <c r="IKJ85" s="931"/>
      <c r="IKK85" s="931"/>
      <c r="IKL85" s="931"/>
      <c r="IKM85" s="931"/>
      <c r="IKN85" s="931"/>
      <c r="IKO85" s="931"/>
      <c r="IKP85" s="931"/>
      <c r="IKQ85" s="931"/>
      <c r="IKR85" s="931"/>
      <c r="IKS85" s="931"/>
      <c r="IKT85" s="931"/>
      <c r="IKU85" s="931"/>
      <c r="IKV85" s="931"/>
      <c r="IKW85" s="931"/>
      <c r="IKX85" s="931"/>
      <c r="IKY85" s="931"/>
      <c r="IKZ85" s="931"/>
      <c r="ILA85" s="931"/>
      <c r="ILB85" s="931"/>
      <c r="ILC85" s="931"/>
      <c r="ILD85" s="931"/>
      <c r="ILE85" s="931"/>
      <c r="ILF85" s="931"/>
      <c r="ILG85" s="931"/>
      <c r="ILH85" s="931"/>
      <c r="ILI85" s="931"/>
      <c r="ILJ85" s="931"/>
      <c r="ILK85" s="931"/>
      <c r="ILL85" s="931"/>
      <c r="ILM85" s="931"/>
      <c r="ILN85" s="931"/>
      <c r="ILO85" s="931"/>
      <c r="ILP85" s="931"/>
      <c r="ILQ85" s="931"/>
      <c r="ILR85" s="931"/>
      <c r="ILS85" s="931"/>
      <c r="ILT85" s="931"/>
      <c r="ILU85" s="931"/>
      <c r="ILV85" s="931"/>
      <c r="ILW85" s="931"/>
      <c r="ILX85" s="931"/>
      <c r="ILY85" s="931"/>
      <c r="ILZ85" s="931"/>
      <c r="IMA85" s="931"/>
      <c r="IMB85" s="931"/>
      <c r="IMC85" s="931"/>
      <c r="IMD85" s="931"/>
      <c r="IME85" s="931"/>
      <c r="IMF85" s="931"/>
      <c r="IMG85" s="931"/>
      <c r="IMH85" s="931"/>
      <c r="IMI85" s="931"/>
      <c r="IMJ85" s="931"/>
      <c r="IMK85" s="931"/>
      <c r="IML85" s="931"/>
      <c r="IMM85" s="931"/>
      <c r="IMN85" s="931"/>
      <c r="IMO85" s="931"/>
      <c r="IMP85" s="931"/>
      <c r="IMQ85" s="931"/>
      <c r="IMR85" s="931"/>
      <c r="IMS85" s="931"/>
      <c r="IMT85" s="931"/>
      <c r="IMU85" s="931"/>
      <c r="IMV85" s="931"/>
      <c r="IMW85" s="931"/>
      <c r="IMX85" s="931"/>
      <c r="IMY85" s="931"/>
      <c r="IMZ85" s="931"/>
      <c r="INA85" s="931"/>
      <c r="INB85" s="931"/>
      <c r="INC85" s="931"/>
      <c r="IND85" s="931"/>
      <c r="INE85" s="931"/>
      <c r="INF85" s="931"/>
      <c r="ING85" s="931"/>
      <c r="INH85" s="931"/>
      <c r="INI85" s="931"/>
      <c r="INJ85" s="931"/>
      <c r="INK85" s="931"/>
      <c r="INL85" s="931"/>
      <c r="INM85" s="931"/>
      <c r="INN85" s="931"/>
      <c r="INO85" s="931"/>
      <c r="INP85" s="931"/>
      <c r="INQ85" s="931"/>
      <c r="INR85" s="931"/>
      <c r="INS85" s="931"/>
      <c r="INT85" s="931"/>
      <c r="INU85" s="931"/>
      <c r="INV85" s="931"/>
      <c r="INW85" s="931"/>
      <c r="INX85" s="931"/>
      <c r="INY85" s="931"/>
      <c r="INZ85" s="931"/>
      <c r="IOA85" s="931"/>
      <c r="IOB85" s="931"/>
      <c r="IOC85" s="931"/>
      <c r="IOD85" s="931"/>
      <c r="IOE85" s="931"/>
      <c r="IOF85" s="931"/>
      <c r="IOG85" s="931"/>
      <c r="IOH85" s="931"/>
      <c r="IOI85" s="931"/>
      <c r="IOJ85" s="931"/>
      <c r="IOK85" s="931"/>
      <c r="IOL85" s="931"/>
      <c r="IOM85" s="931"/>
      <c r="ION85" s="931"/>
      <c r="IOO85" s="931"/>
      <c r="IOP85" s="931"/>
      <c r="IOQ85" s="931"/>
      <c r="IOR85" s="931"/>
      <c r="IOS85" s="931"/>
      <c r="IOT85" s="931"/>
      <c r="IOU85" s="931"/>
      <c r="IOV85" s="931"/>
      <c r="IOW85" s="931"/>
      <c r="IOX85" s="931"/>
      <c r="IOY85" s="931"/>
      <c r="IOZ85" s="931"/>
      <c r="IPA85" s="931"/>
      <c r="IPB85" s="931"/>
      <c r="IPC85" s="931"/>
      <c r="IPD85" s="931"/>
      <c r="IPE85" s="931"/>
      <c r="IPF85" s="931"/>
      <c r="IPG85" s="931"/>
      <c r="IPH85" s="931"/>
      <c r="IPI85" s="931"/>
      <c r="IPJ85" s="931"/>
      <c r="IPK85" s="931"/>
      <c r="IPL85" s="931"/>
      <c r="IPM85" s="931"/>
      <c r="IPN85" s="931"/>
      <c r="IPO85" s="931"/>
      <c r="IPP85" s="931"/>
      <c r="IPQ85" s="931"/>
      <c r="IPR85" s="931"/>
      <c r="IPS85" s="931"/>
      <c r="IPT85" s="931"/>
      <c r="IPU85" s="931"/>
      <c r="IPV85" s="931"/>
      <c r="IPW85" s="931"/>
      <c r="IPX85" s="931"/>
      <c r="IPY85" s="931"/>
      <c r="IPZ85" s="931"/>
      <c r="IQA85" s="931"/>
      <c r="IQB85" s="931"/>
      <c r="IQC85" s="931"/>
      <c r="IQD85" s="931"/>
      <c r="IQE85" s="931"/>
      <c r="IQF85" s="931"/>
      <c r="IQG85" s="931"/>
      <c r="IQH85" s="931"/>
      <c r="IQI85" s="931"/>
      <c r="IQJ85" s="931"/>
      <c r="IQK85" s="931"/>
      <c r="IQL85" s="931"/>
      <c r="IQM85" s="931"/>
      <c r="IQN85" s="931"/>
      <c r="IQO85" s="931"/>
      <c r="IQP85" s="931"/>
      <c r="IQQ85" s="931"/>
      <c r="IQR85" s="931"/>
      <c r="IQS85" s="931"/>
      <c r="IQT85" s="931"/>
      <c r="IQU85" s="931"/>
      <c r="IQV85" s="931"/>
      <c r="IQW85" s="931"/>
      <c r="IQX85" s="931"/>
      <c r="IQY85" s="931"/>
      <c r="IQZ85" s="931"/>
      <c r="IRA85" s="931"/>
      <c r="IRB85" s="931"/>
      <c r="IRC85" s="931"/>
      <c r="IRD85" s="931"/>
      <c r="IRE85" s="931"/>
      <c r="IRF85" s="931"/>
      <c r="IRG85" s="931"/>
      <c r="IRH85" s="931"/>
      <c r="IRI85" s="931"/>
      <c r="IRJ85" s="931"/>
      <c r="IRK85" s="931"/>
      <c r="IRL85" s="931"/>
      <c r="IRM85" s="931"/>
      <c r="IRN85" s="931"/>
      <c r="IRO85" s="931"/>
      <c r="IRP85" s="931"/>
      <c r="IRQ85" s="931"/>
      <c r="IRR85" s="931"/>
      <c r="IRS85" s="931"/>
      <c r="IRT85" s="931"/>
      <c r="IRU85" s="931"/>
      <c r="IRV85" s="931"/>
      <c r="IRW85" s="931"/>
      <c r="IRX85" s="931"/>
      <c r="IRY85" s="931"/>
      <c r="IRZ85" s="931"/>
      <c r="ISA85" s="931"/>
      <c r="ISB85" s="931"/>
      <c r="ISC85" s="931"/>
      <c r="ISD85" s="931"/>
      <c r="ISE85" s="931"/>
      <c r="ISF85" s="931"/>
      <c r="ISG85" s="931"/>
      <c r="ISH85" s="931"/>
      <c r="ISI85" s="931"/>
      <c r="ISJ85" s="931"/>
      <c r="ISK85" s="931"/>
      <c r="ISL85" s="931"/>
      <c r="ISM85" s="931"/>
      <c r="ISN85" s="931"/>
      <c r="ISO85" s="931"/>
      <c r="ISP85" s="931"/>
      <c r="ISQ85" s="931"/>
      <c r="ISR85" s="931"/>
      <c r="ISS85" s="931"/>
      <c r="IST85" s="931"/>
      <c r="ISU85" s="931"/>
      <c r="ISV85" s="931"/>
      <c r="ISW85" s="931"/>
      <c r="ISX85" s="931"/>
      <c r="ISY85" s="931"/>
      <c r="ISZ85" s="931"/>
      <c r="ITA85" s="931"/>
      <c r="ITB85" s="931"/>
      <c r="ITC85" s="931"/>
      <c r="ITD85" s="931"/>
      <c r="ITE85" s="931"/>
      <c r="ITF85" s="931"/>
      <c r="ITG85" s="931"/>
      <c r="ITH85" s="931"/>
      <c r="ITI85" s="931"/>
      <c r="ITJ85" s="931"/>
      <c r="ITK85" s="931"/>
      <c r="ITL85" s="931"/>
      <c r="ITM85" s="931"/>
      <c r="ITN85" s="931"/>
      <c r="ITO85" s="931"/>
      <c r="ITP85" s="931"/>
      <c r="ITQ85" s="931"/>
      <c r="ITR85" s="931"/>
      <c r="ITS85" s="931"/>
      <c r="ITT85" s="931"/>
      <c r="ITU85" s="931"/>
      <c r="ITV85" s="931"/>
      <c r="ITW85" s="931"/>
      <c r="ITX85" s="931"/>
      <c r="ITY85" s="931"/>
      <c r="ITZ85" s="931"/>
      <c r="IUA85" s="931"/>
      <c r="IUB85" s="931"/>
      <c r="IUC85" s="931"/>
      <c r="IUD85" s="931"/>
      <c r="IUE85" s="931"/>
      <c r="IUF85" s="931"/>
      <c r="IUG85" s="931"/>
      <c r="IUH85" s="931"/>
      <c r="IUI85" s="931"/>
      <c r="IUJ85" s="931"/>
      <c r="IUK85" s="931"/>
      <c r="IUL85" s="931"/>
      <c r="IUM85" s="931"/>
      <c r="IUN85" s="931"/>
      <c r="IUO85" s="931"/>
      <c r="IUP85" s="931"/>
      <c r="IUQ85" s="931"/>
      <c r="IUR85" s="931"/>
      <c r="IUS85" s="931"/>
      <c r="IUT85" s="931"/>
      <c r="IUU85" s="931"/>
      <c r="IUV85" s="931"/>
      <c r="IUW85" s="931"/>
      <c r="IUX85" s="931"/>
      <c r="IUY85" s="931"/>
      <c r="IUZ85" s="931"/>
      <c r="IVA85" s="931"/>
      <c r="IVB85" s="931"/>
      <c r="IVC85" s="931"/>
      <c r="IVD85" s="931"/>
      <c r="IVE85" s="931"/>
      <c r="IVF85" s="931"/>
      <c r="IVG85" s="931"/>
      <c r="IVH85" s="931"/>
      <c r="IVI85" s="931"/>
      <c r="IVJ85" s="931"/>
      <c r="IVK85" s="931"/>
      <c r="IVL85" s="931"/>
      <c r="IVM85" s="931"/>
      <c r="IVN85" s="931"/>
      <c r="IVO85" s="931"/>
      <c r="IVP85" s="931"/>
      <c r="IVQ85" s="931"/>
      <c r="IVR85" s="931"/>
      <c r="IVS85" s="931"/>
      <c r="IVT85" s="931"/>
      <c r="IVU85" s="931"/>
      <c r="IVV85" s="931"/>
      <c r="IVW85" s="931"/>
      <c r="IVX85" s="931"/>
      <c r="IVY85" s="931"/>
      <c r="IVZ85" s="931"/>
      <c r="IWA85" s="931"/>
      <c r="IWB85" s="931"/>
      <c r="IWC85" s="931"/>
      <c r="IWD85" s="931"/>
      <c r="IWE85" s="931"/>
      <c r="IWF85" s="931"/>
      <c r="IWG85" s="931"/>
      <c r="IWH85" s="931"/>
      <c r="IWI85" s="931"/>
      <c r="IWJ85" s="931"/>
      <c r="IWK85" s="931"/>
      <c r="IWL85" s="931"/>
      <c r="IWM85" s="931"/>
      <c r="IWN85" s="931"/>
      <c r="IWO85" s="931"/>
      <c r="IWP85" s="931"/>
      <c r="IWQ85" s="931"/>
      <c r="IWR85" s="931"/>
      <c r="IWS85" s="931"/>
      <c r="IWT85" s="931"/>
      <c r="IWU85" s="931"/>
      <c r="IWV85" s="931"/>
      <c r="IWW85" s="931"/>
      <c r="IWX85" s="931"/>
      <c r="IWY85" s="931"/>
      <c r="IWZ85" s="931"/>
      <c r="IXA85" s="931"/>
      <c r="IXB85" s="931"/>
      <c r="IXC85" s="931"/>
      <c r="IXD85" s="931"/>
      <c r="IXE85" s="931"/>
      <c r="IXF85" s="931"/>
      <c r="IXG85" s="931"/>
      <c r="IXH85" s="931"/>
      <c r="IXI85" s="931"/>
      <c r="IXJ85" s="931"/>
      <c r="IXK85" s="931"/>
      <c r="IXL85" s="931"/>
      <c r="IXM85" s="931"/>
      <c r="IXN85" s="931"/>
      <c r="IXO85" s="931"/>
      <c r="IXP85" s="931"/>
      <c r="IXQ85" s="931"/>
      <c r="IXR85" s="931"/>
      <c r="IXS85" s="931"/>
      <c r="IXT85" s="931"/>
      <c r="IXU85" s="931"/>
      <c r="IXV85" s="931"/>
      <c r="IXW85" s="931"/>
      <c r="IXX85" s="931"/>
      <c r="IXY85" s="931"/>
      <c r="IXZ85" s="931"/>
      <c r="IYA85" s="931"/>
      <c r="IYB85" s="931"/>
      <c r="IYC85" s="931"/>
      <c r="IYD85" s="931"/>
      <c r="IYE85" s="931"/>
      <c r="IYF85" s="931"/>
      <c r="IYG85" s="931"/>
      <c r="IYH85" s="931"/>
      <c r="IYI85" s="931"/>
      <c r="IYJ85" s="931"/>
      <c r="IYK85" s="931"/>
      <c r="IYL85" s="931"/>
      <c r="IYM85" s="931"/>
      <c r="IYN85" s="931"/>
      <c r="IYO85" s="931"/>
      <c r="IYP85" s="931"/>
      <c r="IYQ85" s="931"/>
      <c r="IYR85" s="931"/>
      <c r="IYS85" s="931"/>
      <c r="IYT85" s="931"/>
      <c r="IYU85" s="931"/>
      <c r="IYV85" s="931"/>
      <c r="IYW85" s="931"/>
      <c r="IYX85" s="931"/>
      <c r="IYY85" s="931"/>
      <c r="IYZ85" s="931"/>
      <c r="IZA85" s="931"/>
      <c r="IZB85" s="931"/>
      <c r="IZC85" s="931"/>
      <c r="IZD85" s="931"/>
      <c r="IZE85" s="931"/>
      <c r="IZF85" s="931"/>
      <c r="IZG85" s="931"/>
      <c r="IZH85" s="931"/>
      <c r="IZI85" s="931"/>
      <c r="IZJ85" s="931"/>
      <c r="IZK85" s="931"/>
      <c r="IZL85" s="931"/>
      <c r="IZM85" s="931"/>
      <c r="IZN85" s="931"/>
      <c r="IZO85" s="931"/>
      <c r="IZP85" s="931"/>
      <c r="IZQ85" s="931"/>
      <c r="IZR85" s="931"/>
      <c r="IZS85" s="931"/>
      <c r="IZT85" s="931"/>
      <c r="IZU85" s="931"/>
      <c r="IZV85" s="931"/>
      <c r="IZW85" s="931"/>
      <c r="IZX85" s="931"/>
      <c r="IZY85" s="931"/>
      <c r="IZZ85" s="931"/>
      <c r="JAA85" s="931"/>
      <c r="JAB85" s="931"/>
      <c r="JAC85" s="931"/>
      <c r="JAD85" s="931"/>
      <c r="JAE85" s="931"/>
      <c r="JAF85" s="931"/>
      <c r="JAG85" s="931"/>
      <c r="JAH85" s="931"/>
      <c r="JAI85" s="931"/>
      <c r="JAJ85" s="931"/>
      <c r="JAK85" s="931"/>
      <c r="JAL85" s="931"/>
      <c r="JAM85" s="931"/>
      <c r="JAN85" s="931"/>
      <c r="JAO85" s="931"/>
      <c r="JAP85" s="931"/>
      <c r="JAQ85" s="931"/>
      <c r="JAR85" s="931"/>
      <c r="JAS85" s="931"/>
      <c r="JAT85" s="931"/>
      <c r="JAU85" s="931"/>
      <c r="JAV85" s="931"/>
      <c r="JAW85" s="931"/>
      <c r="JAX85" s="931"/>
      <c r="JAY85" s="931"/>
      <c r="JAZ85" s="931"/>
      <c r="JBA85" s="931"/>
      <c r="JBB85" s="931"/>
      <c r="JBC85" s="931"/>
      <c r="JBD85" s="931"/>
      <c r="JBE85" s="931"/>
      <c r="JBF85" s="931"/>
      <c r="JBG85" s="931"/>
      <c r="JBH85" s="931"/>
      <c r="JBI85" s="931"/>
      <c r="JBJ85" s="931"/>
      <c r="JBK85" s="931"/>
      <c r="JBL85" s="931"/>
      <c r="JBM85" s="931"/>
      <c r="JBN85" s="931"/>
      <c r="JBO85" s="931"/>
      <c r="JBP85" s="931"/>
      <c r="JBQ85" s="931"/>
      <c r="JBR85" s="931"/>
      <c r="JBS85" s="931"/>
      <c r="JBT85" s="931"/>
      <c r="JBU85" s="931"/>
      <c r="JBV85" s="931"/>
      <c r="JBW85" s="931"/>
      <c r="JBX85" s="931"/>
      <c r="JBY85" s="931"/>
      <c r="JBZ85" s="931"/>
      <c r="JCA85" s="931"/>
      <c r="JCB85" s="931"/>
      <c r="JCC85" s="931"/>
      <c r="JCD85" s="931"/>
      <c r="JCE85" s="931"/>
      <c r="JCF85" s="931"/>
      <c r="JCG85" s="931"/>
      <c r="JCH85" s="931"/>
      <c r="JCI85" s="931"/>
      <c r="JCJ85" s="931"/>
      <c r="JCK85" s="931"/>
      <c r="JCL85" s="931"/>
      <c r="JCM85" s="931"/>
      <c r="JCN85" s="931"/>
      <c r="JCO85" s="931"/>
      <c r="JCP85" s="931"/>
      <c r="JCQ85" s="931"/>
      <c r="JCR85" s="931"/>
      <c r="JCS85" s="931"/>
      <c r="JCT85" s="931"/>
      <c r="JCU85" s="931"/>
      <c r="JCV85" s="931"/>
      <c r="JCW85" s="931"/>
      <c r="JCX85" s="931"/>
      <c r="JCY85" s="931"/>
      <c r="JCZ85" s="931"/>
      <c r="JDA85" s="931"/>
      <c r="JDB85" s="931"/>
      <c r="JDC85" s="931"/>
      <c r="JDD85" s="931"/>
      <c r="JDE85" s="931"/>
      <c r="JDF85" s="931"/>
      <c r="JDG85" s="931"/>
      <c r="JDH85" s="931"/>
      <c r="JDI85" s="931"/>
      <c r="JDJ85" s="931"/>
      <c r="JDK85" s="931"/>
      <c r="JDL85" s="931"/>
      <c r="JDM85" s="931"/>
      <c r="JDN85" s="931"/>
      <c r="JDO85" s="931"/>
      <c r="JDP85" s="931"/>
      <c r="JDQ85" s="931"/>
      <c r="JDR85" s="931"/>
      <c r="JDS85" s="931"/>
      <c r="JDT85" s="931"/>
      <c r="JDU85" s="931"/>
      <c r="JDV85" s="931"/>
      <c r="JDW85" s="931"/>
      <c r="JDX85" s="931"/>
      <c r="JDY85" s="931"/>
      <c r="JDZ85" s="931"/>
      <c r="JEA85" s="931"/>
      <c r="JEB85" s="931"/>
      <c r="JEC85" s="931"/>
      <c r="JED85" s="931"/>
      <c r="JEE85" s="931"/>
      <c r="JEF85" s="931"/>
      <c r="JEG85" s="931"/>
      <c r="JEH85" s="931"/>
      <c r="JEI85" s="931"/>
      <c r="JEJ85" s="931"/>
      <c r="JEK85" s="931"/>
      <c r="JEL85" s="931"/>
      <c r="JEM85" s="931"/>
      <c r="JEN85" s="931"/>
      <c r="JEO85" s="931"/>
      <c r="JEP85" s="931"/>
      <c r="JEQ85" s="931"/>
      <c r="JER85" s="931"/>
      <c r="JES85" s="931"/>
      <c r="JET85" s="931"/>
      <c r="JEU85" s="931"/>
      <c r="JEV85" s="931"/>
      <c r="JEW85" s="931"/>
      <c r="JEX85" s="931"/>
      <c r="JEY85" s="931"/>
      <c r="JEZ85" s="931"/>
      <c r="JFA85" s="931"/>
      <c r="JFB85" s="931"/>
      <c r="JFC85" s="931"/>
      <c r="JFD85" s="931"/>
      <c r="JFE85" s="931"/>
      <c r="JFF85" s="931"/>
      <c r="JFG85" s="931"/>
      <c r="JFH85" s="931"/>
      <c r="JFI85" s="931"/>
      <c r="JFJ85" s="931"/>
      <c r="JFK85" s="931"/>
      <c r="JFL85" s="931"/>
      <c r="JFM85" s="931"/>
      <c r="JFN85" s="931"/>
      <c r="JFO85" s="931"/>
      <c r="JFP85" s="931"/>
      <c r="JFQ85" s="931"/>
      <c r="JFR85" s="931"/>
      <c r="JFS85" s="931"/>
      <c r="JFT85" s="931"/>
      <c r="JFU85" s="931"/>
      <c r="JFV85" s="931"/>
      <c r="JFW85" s="931"/>
      <c r="JFX85" s="931"/>
      <c r="JFY85" s="931"/>
      <c r="JFZ85" s="931"/>
      <c r="JGA85" s="931"/>
      <c r="JGB85" s="931"/>
      <c r="JGC85" s="931"/>
      <c r="JGD85" s="931"/>
      <c r="JGE85" s="931"/>
      <c r="JGF85" s="931"/>
      <c r="JGG85" s="931"/>
      <c r="JGH85" s="931"/>
      <c r="JGI85" s="931"/>
      <c r="JGJ85" s="931"/>
      <c r="JGK85" s="931"/>
      <c r="JGL85" s="931"/>
      <c r="JGM85" s="931"/>
      <c r="JGN85" s="931"/>
      <c r="JGO85" s="931"/>
      <c r="JGP85" s="931"/>
      <c r="JGQ85" s="931"/>
      <c r="JGR85" s="931"/>
      <c r="JGS85" s="931"/>
      <c r="JGT85" s="931"/>
      <c r="JGU85" s="931"/>
      <c r="JGV85" s="931"/>
      <c r="JGW85" s="931"/>
      <c r="JGX85" s="931"/>
      <c r="JGY85" s="931"/>
      <c r="JGZ85" s="931"/>
      <c r="JHA85" s="931"/>
      <c r="JHB85" s="931"/>
      <c r="JHC85" s="931"/>
      <c r="JHD85" s="931"/>
      <c r="JHE85" s="931"/>
      <c r="JHF85" s="931"/>
      <c r="JHG85" s="931"/>
      <c r="JHH85" s="931"/>
      <c r="JHI85" s="931"/>
      <c r="JHJ85" s="931"/>
      <c r="JHK85" s="931"/>
      <c r="JHL85" s="931"/>
      <c r="JHM85" s="931"/>
      <c r="JHN85" s="931"/>
      <c r="JHO85" s="931"/>
      <c r="JHP85" s="931"/>
      <c r="JHQ85" s="931"/>
      <c r="JHR85" s="931"/>
      <c r="JHS85" s="931"/>
      <c r="JHT85" s="931"/>
      <c r="JHU85" s="931"/>
      <c r="JHV85" s="931"/>
      <c r="JHW85" s="931"/>
      <c r="JHX85" s="931"/>
      <c r="JHY85" s="931"/>
      <c r="JHZ85" s="931"/>
      <c r="JIA85" s="931"/>
      <c r="JIB85" s="931"/>
      <c r="JIC85" s="931"/>
      <c r="JID85" s="931"/>
      <c r="JIE85" s="931"/>
      <c r="JIF85" s="931"/>
      <c r="JIG85" s="931"/>
      <c r="JIH85" s="931"/>
      <c r="JII85" s="931"/>
      <c r="JIJ85" s="931"/>
      <c r="JIK85" s="931"/>
      <c r="JIL85" s="931"/>
      <c r="JIM85" s="931"/>
      <c r="JIN85" s="931"/>
      <c r="JIO85" s="931"/>
      <c r="JIP85" s="931"/>
      <c r="JIQ85" s="931"/>
      <c r="JIR85" s="931"/>
      <c r="JIS85" s="931"/>
      <c r="JIT85" s="931"/>
      <c r="JIU85" s="931"/>
      <c r="JIV85" s="931"/>
      <c r="JIW85" s="931"/>
      <c r="JIX85" s="931"/>
      <c r="JIY85" s="931"/>
      <c r="JIZ85" s="931"/>
      <c r="JJA85" s="931"/>
      <c r="JJB85" s="931"/>
      <c r="JJC85" s="931"/>
      <c r="JJD85" s="931"/>
      <c r="JJE85" s="931"/>
      <c r="JJF85" s="931"/>
      <c r="JJG85" s="931"/>
      <c r="JJH85" s="931"/>
      <c r="JJI85" s="931"/>
      <c r="JJJ85" s="931"/>
      <c r="JJK85" s="931"/>
      <c r="JJL85" s="931"/>
      <c r="JJM85" s="931"/>
      <c r="JJN85" s="931"/>
      <c r="JJO85" s="931"/>
      <c r="JJP85" s="931"/>
      <c r="JJQ85" s="931"/>
      <c r="JJR85" s="931"/>
      <c r="JJS85" s="931"/>
      <c r="JJT85" s="931"/>
      <c r="JJU85" s="931"/>
      <c r="JJV85" s="931"/>
      <c r="JJW85" s="931"/>
      <c r="JJX85" s="931"/>
      <c r="JJY85" s="931"/>
      <c r="JJZ85" s="931"/>
      <c r="JKA85" s="931"/>
      <c r="JKB85" s="931"/>
      <c r="JKC85" s="931"/>
      <c r="JKD85" s="931"/>
      <c r="JKE85" s="931"/>
      <c r="JKF85" s="931"/>
      <c r="JKG85" s="931"/>
      <c r="JKH85" s="931"/>
      <c r="JKI85" s="931"/>
      <c r="JKJ85" s="931"/>
      <c r="JKK85" s="931"/>
      <c r="JKL85" s="931"/>
      <c r="JKM85" s="931"/>
      <c r="JKN85" s="931"/>
      <c r="JKO85" s="931"/>
      <c r="JKP85" s="931"/>
      <c r="JKQ85" s="931"/>
      <c r="JKR85" s="931"/>
      <c r="JKS85" s="931"/>
      <c r="JKT85" s="931"/>
      <c r="JKU85" s="931"/>
      <c r="JKV85" s="931"/>
      <c r="JKW85" s="931"/>
      <c r="JKX85" s="931"/>
      <c r="JKY85" s="931"/>
      <c r="JKZ85" s="931"/>
      <c r="JLA85" s="931"/>
      <c r="JLB85" s="931"/>
      <c r="JLC85" s="931"/>
      <c r="JLD85" s="931"/>
      <c r="JLE85" s="931"/>
      <c r="JLF85" s="931"/>
      <c r="JLG85" s="931"/>
      <c r="JLH85" s="931"/>
      <c r="JLI85" s="931"/>
      <c r="JLJ85" s="931"/>
      <c r="JLK85" s="931"/>
      <c r="JLL85" s="931"/>
      <c r="JLM85" s="931"/>
      <c r="JLN85" s="931"/>
      <c r="JLO85" s="931"/>
      <c r="JLP85" s="931"/>
      <c r="JLQ85" s="931"/>
      <c r="JLR85" s="931"/>
      <c r="JLS85" s="931"/>
      <c r="JLT85" s="931"/>
      <c r="JLU85" s="931"/>
      <c r="JLV85" s="931"/>
      <c r="JLW85" s="931"/>
      <c r="JLX85" s="931"/>
      <c r="JLY85" s="931"/>
      <c r="JLZ85" s="931"/>
      <c r="JMA85" s="931"/>
      <c r="JMB85" s="931"/>
      <c r="JMC85" s="931"/>
      <c r="JMD85" s="931"/>
      <c r="JME85" s="931"/>
      <c r="JMF85" s="931"/>
      <c r="JMG85" s="931"/>
      <c r="JMH85" s="931"/>
      <c r="JMI85" s="931"/>
      <c r="JMJ85" s="931"/>
      <c r="JMK85" s="931"/>
      <c r="JML85" s="931"/>
      <c r="JMM85" s="931"/>
      <c r="JMN85" s="931"/>
      <c r="JMO85" s="931"/>
      <c r="JMP85" s="931"/>
      <c r="JMQ85" s="931"/>
      <c r="JMR85" s="931"/>
      <c r="JMS85" s="931"/>
      <c r="JMT85" s="931"/>
      <c r="JMU85" s="931"/>
      <c r="JMV85" s="931"/>
      <c r="JMW85" s="931"/>
      <c r="JMX85" s="931"/>
      <c r="JMY85" s="931"/>
      <c r="JMZ85" s="931"/>
      <c r="JNA85" s="931"/>
      <c r="JNB85" s="931"/>
      <c r="JNC85" s="931"/>
      <c r="JND85" s="931"/>
      <c r="JNE85" s="931"/>
      <c r="JNF85" s="931"/>
      <c r="JNG85" s="931"/>
      <c r="JNH85" s="931"/>
      <c r="JNI85" s="931"/>
      <c r="JNJ85" s="931"/>
      <c r="JNK85" s="931"/>
      <c r="JNL85" s="931"/>
      <c r="JNM85" s="931"/>
      <c r="JNN85" s="931"/>
      <c r="JNO85" s="931"/>
      <c r="JNP85" s="931"/>
      <c r="JNQ85" s="931"/>
      <c r="JNR85" s="931"/>
      <c r="JNS85" s="931"/>
      <c r="JNT85" s="931"/>
      <c r="JNU85" s="931"/>
      <c r="JNV85" s="931"/>
      <c r="JNW85" s="931"/>
      <c r="JNX85" s="931"/>
      <c r="JNY85" s="931"/>
      <c r="JNZ85" s="931"/>
      <c r="JOA85" s="931"/>
      <c r="JOB85" s="931"/>
      <c r="JOC85" s="931"/>
      <c r="JOD85" s="931"/>
      <c r="JOE85" s="931"/>
      <c r="JOF85" s="931"/>
      <c r="JOG85" s="931"/>
      <c r="JOH85" s="931"/>
      <c r="JOI85" s="931"/>
      <c r="JOJ85" s="931"/>
      <c r="JOK85" s="931"/>
      <c r="JOL85" s="931"/>
      <c r="JOM85" s="931"/>
      <c r="JON85" s="931"/>
      <c r="JOO85" s="931"/>
      <c r="JOP85" s="931"/>
      <c r="JOQ85" s="931"/>
      <c r="JOR85" s="931"/>
      <c r="JOS85" s="931"/>
      <c r="JOT85" s="931"/>
      <c r="JOU85" s="931"/>
      <c r="JOV85" s="931"/>
      <c r="JOW85" s="931"/>
      <c r="JOX85" s="931"/>
      <c r="JOY85" s="931"/>
      <c r="JOZ85" s="931"/>
      <c r="JPA85" s="931"/>
      <c r="JPB85" s="931"/>
      <c r="JPC85" s="931"/>
      <c r="JPD85" s="931"/>
      <c r="JPE85" s="931"/>
      <c r="JPF85" s="931"/>
      <c r="JPG85" s="931"/>
      <c r="JPH85" s="931"/>
      <c r="JPI85" s="931"/>
      <c r="JPJ85" s="931"/>
      <c r="JPK85" s="931"/>
      <c r="JPL85" s="931"/>
      <c r="JPM85" s="931"/>
      <c r="JPN85" s="931"/>
      <c r="JPO85" s="931"/>
      <c r="JPP85" s="931"/>
      <c r="JPQ85" s="931"/>
      <c r="JPR85" s="931"/>
      <c r="JPS85" s="931"/>
      <c r="JPT85" s="931"/>
      <c r="JPU85" s="931"/>
      <c r="JPV85" s="931"/>
      <c r="JPW85" s="931"/>
      <c r="JPX85" s="931"/>
      <c r="JPY85" s="931"/>
      <c r="JPZ85" s="931"/>
      <c r="JQA85" s="931"/>
      <c r="JQB85" s="931"/>
      <c r="JQC85" s="931"/>
      <c r="JQD85" s="931"/>
      <c r="JQE85" s="931"/>
      <c r="JQF85" s="931"/>
      <c r="JQG85" s="931"/>
      <c r="JQH85" s="931"/>
      <c r="JQI85" s="931"/>
      <c r="JQJ85" s="931"/>
      <c r="JQK85" s="931"/>
      <c r="JQL85" s="931"/>
      <c r="JQM85" s="931"/>
      <c r="JQN85" s="931"/>
      <c r="JQO85" s="931"/>
      <c r="JQP85" s="931"/>
      <c r="JQQ85" s="931"/>
      <c r="JQR85" s="931"/>
      <c r="JQS85" s="931"/>
      <c r="JQT85" s="931"/>
      <c r="JQU85" s="931"/>
      <c r="JQV85" s="931"/>
      <c r="JQW85" s="931"/>
      <c r="JQX85" s="931"/>
      <c r="JQY85" s="931"/>
      <c r="JQZ85" s="931"/>
      <c r="JRA85" s="931"/>
      <c r="JRB85" s="931"/>
      <c r="JRC85" s="931"/>
      <c r="JRD85" s="931"/>
      <c r="JRE85" s="931"/>
      <c r="JRF85" s="931"/>
      <c r="JRG85" s="931"/>
      <c r="JRH85" s="931"/>
      <c r="JRI85" s="931"/>
      <c r="JRJ85" s="931"/>
      <c r="JRK85" s="931"/>
      <c r="JRL85" s="931"/>
      <c r="JRM85" s="931"/>
      <c r="JRN85" s="931"/>
      <c r="JRO85" s="931"/>
      <c r="JRP85" s="931"/>
      <c r="JRQ85" s="931"/>
      <c r="JRR85" s="931"/>
      <c r="JRS85" s="931"/>
      <c r="JRT85" s="931"/>
      <c r="JRU85" s="931"/>
      <c r="JRV85" s="931"/>
      <c r="JRW85" s="931"/>
      <c r="JRX85" s="931"/>
      <c r="JRY85" s="931"/>
      <c r="JRZ85" s="931"/>
      <c r="JSA85" s="931"/>
      <c r="JSB85" s="931"/>
      <c r="JSC85" s="931"/>
      <c r="JSD85" s="931"/>
      <c r="JSE85" s="931"/>
      <c r="JSF85" s="931"/>
      <c r="JSG85" s="931"/>
      <c r="JSH85" s="931"/>
      <c r="JSI85" s="931"/>
      <c r="JSJ85" s="931"/>
      <c r="JSK85" s="931"/>
      <c r="JSL85" s="931"/>
      <c r="JSM85" s="931"/>
      <c r="JSN85" s="931"/>
      <c r="JSO85" s="931"/>
      <c r="JSP85" s="931"/>
      <c r="JSQ85" s="931"/>
      <c r="JSR85" s="931"/>
      <c r="JSS85" s="931"/>
      <c r="JST85" s="931"/>
      <c r="JSU85" s="931"/>
      <c r="JSV85" s="931"/>
      <c r="JSW85" s="931"/>
      <c r="JSX85" s="931"/>
      <c r="JSY85" s="931"/>
      <c r="JSZ85" s="931"/>
      <c r="JTA85" s="931"/>
      <c r="JTB85" s="931"/>
      <c r="JTC85" s="931"/>
      <c r="JTD85" s="931"/>
      <c r="JTE85" s="931"/>
      <c r="JTF85" s="931"/>
      <c r="JTG85" s="931"/>
      <c r="JTH85" s="931"/>
      <c r="JTI85" s="931"/>
      <c r="JTJ85" s="931"/>
      <c r="JTK85" s="931"/>
      <c r="JTL85" s="931"/>
      <c r="JTM85" s="931"/>
      <c r="JTN85" s="931"/>
      <c r="JTO85" s="931"/>
      <c r="JTP85" s="931"/>
      <c r="JTQ85" s="931"/>
      <c r="JTR85" s="931"/>
      <c r="JTS85" s="931"/>
      <c r="JTT85" s="931"/>
      <c r="JTU85" s="931"/>
      <c r="JTV85" s="931"/>
      <c r="JTW85" s="931"/>
      <c r="JTX85" s="931"/>
      <c r="JTY85" s="931"/>
      <c r="JTZ85" s="931"/>
      <c r="JUA85" s="931"/>
      <c r="JUB85" s="931"/>
      <c r="JUC85" s="931"/>
      <c r="JUD85" s="931"/>
      <c r="JUE85" s="931"/>
      <c r="JUF85" s="931"/>
      <c r="JUG85" s="931"/>
      <c r="JUH85" s="931"/>
      <c r="JUI85" s="931"/>
      <c r="JUJ85" s="931"/>
      <c r="JUK85" s="931"/>
      <c r="JUL85" s="931"/>
      <c r="JUM85" s="931"/>
      <c r="JUN85" s="931"/>
      <c r="JUO85" s="931"/>
      <c r="JUP85" s="931"/>
      <c r="JUQ85" s="931"/>
      <c r="JUR85" s="931"/>
      <c r="JUS85" s="931"/>
      <c r="JUT85" s="931"/>
      <c r="JUU85" s="931"/>
      <c r="JUV85" s="931"/>
      <c r="JUW85" s="931"/>
      <c r="JUX85" s="931"/>
      <c r="JUY85" s="931"/>
      <c r="JUZ85" s="931"/>
      <c r="JVA85" s="931"/>
      <c r="JVB85" s="931"/>
      <c r="JVC85" s="931"/>
      <c r="JVD85" s="931"/>
      <c r="JVE85" s="931"/>
      <c r="JVF85" s="931"/>
      <c r="JVG85" s="931"/>
      <c r="JVH85" s="931"/>
      <c r="JVI85" s="931"/>
      <c r="JVJ85" s="931"/>
      <c r="JVK85" s="931"/>
      <c r="JVL85" s="931"/>
      <c r="JVM85" s="931"/>
      <c r="JVN85" s="931"/>
      <c r="JVO85" s="931"/>
      <c r="JVP85" s="931"/>
      <c r="JVQ85" s="931"/>
      <c r="JVR85" s="931"/>
      <c r="JVS85" s="931"/>
      <c r="JVT85" s="931"/>
      <c r="JVU85" s="931"/>
      <c r="JVV85" s="931"/>
      <c r="JVW85" s="931"/>
      <c r="JVX85" s="931"/>
      <c r="JVY85" s="931"/>
      <c r="JVZ85" s="931"/>
      <c r="JWA85" s="931"/>
      <c r="JWB85" s="931"/>
      <c r="JWC85" s="931"/>
      <c r="JWD85" s="931"/>
      <c r="JWE85" s="931"/>
      <c r="JWF85" s="931"/>
      <c r="JWG85" s="931"/>
      <c r="JWH85" s="931"/>
      <c r="JWI85" s="931"/>
      <c r="JWJ85" s="931"/>
      <c r="JWK85" s="931"/>
      <c r="JWL85" s="931"/>
      <c r="JWM85" s="931"/>
      <c r="JWN85" s="931"/>
      <c r="JWO85" s="931"/>
      <c r="JWP85" s="931"/>
      <c r="JWQ85" s="931"/>
      <c r="JWR85" s="931"/>
      <c r="JWS85" s="931"/>
      <c r="JWT85" s="931"/>
      <c r="JWU85" s="931"/>
      <c r="JWV85" s="931"/>
      <c r="JWW85" s="931"/>
      <c r="JWX85" s="931"/>
      <c r="JWY85" s="931"/>
      <c r="JWZ85" s="931"/>
      <c r="JXA85" s="931"/>
      <c r="JXB85" s="931"/>
      <c r="JXC85" s="931"/>
      <c r="JXD85" s="931"/>
      <c r="JXE85" s="931"/>
      <c r="JXF85" s="931"/>
      <c r="JXG85" s="931"/>
      <c r="JXH85" s="931"/>
      <c r="JXI85" s="931"/>
      <c r="JXJ85" s="931"/>
      <c r="JXK85" s="931"/>
      <c r="JXL85" s="931"/>
      <c r="JXM85" s="931"/>
      <c r="JXN85" s="931"/>
      <c r="JXO85" s="931"/>
      <c r="JXP85" s="931"/>
      <c r="JXQ85" s="931"/>
      <c r="JXR85" s="931"/>
      <c r="JXS85" s="931"/>
      <c r="JXT85" s="931"/>
      <c r="JXU85" s="931"/>
      <c r="JXV85" s="931"/>
      <c r="JXW85" s="931"/>
      <c r="JXX85" s="931"/>
      <c r="JXY85" s="931"/>
      <c r="JXZ85" s="931"/>
      <c r="JYA85" s="931"/>
      <c r="JYB85" s="931"/>
      <c r="JYC85" s="931"/>
      <c r="JYD85" s="931"/>
      <c r="JYE85" s="931"/>
      <c r="JYF85" s="931"/>
      <c r="JYG85" s="931"/>
      <c r="JYH85" s="931"/>
      <c r="JYI85" s="931"/>
      <c r="JYJ85" s="931"/>
      <c r="JYK85" s="931"/>
      <c r="JYL85" s="931"/>
      <c r="JYM85" s="931"/>
      <c r="JYN85" s="931"/>
      <c r="JYO85" s="931"/>
      <c r="JYP85" s="931"/>
      <c r="JYQ85" s="931"/>
      <c r="JYR85" s="931"/>
      <c r="JYS85" s="931"/>
      <c r="JYT85" s="931"/>
      <c r="JYU85" s="931"/>
      <c r="JYV85" s="931"/>
      <c r="JYW85" s="931"/>
      <c r="JYX85" s="931"/>
      <c r="JYY85" s="931"/>
      <c r="JYZ85" s="931"/>
      <c r="JZA85" s="931"/>
      <c r="JZB85" s="931"/>
      <c r="JZC85" s="931"/>
      <c r="JZD85" s="931"/>
      <c r="JZE85" s="931"/>
      <c r="JZF85" s="931"/>
      <c r="JZG85" s="931"/>
      <c r="JZH85" s="931"/>
      <c r="JZI85" s="931"/>
      <c r="JZJ85" s="931"/>
      <c r="JZK85" s="931"/>
      <c r="JZL85" s="931"/>
      <c r="JZM85" s="931"/>
      <c r="JZN85" s="931"/>
      <c r="JZO85" s="931"/>
      <c r="JZP85" s="931"/>
      <c r="JZQ85" s="931"/>
      <c r="JZR85" s="931"/>
      <c r="JZS85" s="931"/>
      <c r="JZT85" s="931"/>
      <c r="JZU85" s="931"/>
      <c r="JZV85" s="931"/>
      <c r="JZW85" s="931"/>
      <c r="JZX85" s="931"/>
      <c r="JZY85" s="931"/>
      <c r="JZZ85" s="931"/>
      <c r="KAA85" s="931"/>
      <c r="KAB85" s="931"/>
      <c r="KAC85" s="931"/>
      <c r="KAD85" s="931"/>
      <c r="KAE85" s="931"/>
      <c r="KAF85" s="931"/>
      <c r="KAG85" s="931"/>
      <c r="KAH85" s="931"/>
      <c r="KAI85" s="931"/>
      <c r="KAJ85" s="931"/>
      <c r="KAK85" s="931"/>
      <c r="KAL85" s="931"/>
      <c r="KAM85" s="931"/>
      <c r="KAN85" s="931"/>
      <c r="KAO85" s="931"/>
      <c r="KAP85" s="931"/>
      <c r="KAQ85" s="931"/>
      <c r="KAR85" s="931"/>
      <c r="KAS85" s="931"/>
      <c r="KAT85" s="931"/>
      <c r="KAU85" s="931"/>
      <c r="KAV85" s="931"/>
      <c r="KAW85" s="931"/>
      <c r="KAX85" s="931"/>
      <c r="KAY85" s="931"/>
      <c r="KAZ85" s="931"/>
      <c r="KBA85" s="931"/>
      <c r="KBB85" s="931"/>
      <c r="KBC85" s="931"/>
      <c r="KBD85" s="931"/>
      <c r="KBE85" s="931"/>
      <c r="KBF85" s="931"/>
      <c r="KBG85" s="931"/>
      <c r="KBH85" s="931"/>
      <c r="KBI85" s="931"/>
      <c r="KBJ85" s="931"/>
      <c r="KBK85" s="931"/>
      <c r="KBL85" s="931"/>
      <c r="KBM85" s="931"/>
      <c r="KBN85" s="931"/>
      <c r="KBO85" s="931"/>
      <c r="KBP85" s="931"/>
      <c r="KBQ85" s="931"/>
      <c r="KBR85" s="931"/>
      <c r="KBS85" s="931"/>
      <c r="KBT85" s="931"/>
      <c r="KBU85" s="931"/>
      <c r="KBV85" s="931"/>
      <c r="KBW85" s="931"/>
      <c r="KBX85" s="931"/>
      <c r="KBY85" s="931"/>
      <c r="KBZ85" s="931"/>
      <c r="KCA85" s="931"/>
      <c r="KCB85" s="931"/>
      <c r="KCC85" s="931"/>
      <c r="KCD85" s="931"/>
      <c r="KCE85" s="931"/>
      <c r="KCF85" s="931"/>
      <c r="KCG85" s="931"/>
      <c r="KCH85" s="931"/>
      <c r="KCI85" s="931"/>
      <c r="KCJ85" s="931"/>
      <c r="KCK85" s="931"/>
      <c r="KCL85" s="931"/>
      <c r="KCM85" s="931"/>
      <c r="KCN85" s="931"/>
      <c r="KCO85" s="931"/>
      <c r="KCP85" s="931"/>
      <c r="KCQ85" s="931"/>
      <c r="KCR85" s="931"/>
      <c r="KCS85" s="931"/>
      <c r="KCT85" s="931"/>
      <c r="KCU85" s="931"/>
      <c r="KCV85" s="931"/>
      <c r="KCW85" s="931"/>
      <c r="KCX85" s="931"/>
      <c r="KCY85" s="931"/>
      <c r="KCZ85" s="931"/>
      <c r="KDA85" s="931"/>
      <c r="KDB85" s="931"/>
      <c r="KDC85" s="931"/>
      <c r="KDD85" s="931"/>
      <c r="KDE85" s="931"/>
      <c r="KDF85" s="931"/>
      <c r="KDG85" s="931"/>
      <c r="KDH85" s="931"/>
      <c r="KDI85" s="931"/>
      <c r="KDJ85" s="931"/>
      <c r="KDK85" s="931"/>
      <c r="KDL85" s="931"/>
      <c r="KDM85" s="931"/>
      <c r="KDN85" s="931"/>
      <c r="KDO85" s="931"/>
      <c r="KDP85" s="931"/>
      <c r="KDQ85" s="931"/>
      <c r="KDR85" s="931"/>
      <c r="KDS85" s="931"/>
      <c r="KDT85" s="931"/>
      <c r="KDU85" s="931"/>
      <c r="KDV85" s="931"/>
      <c r="KDW85" s="931"/>
      <c r="KDX85" s="931"/>
      <c r="KDY85" s="931"/>
      <c r="KDZ85" s="931"/>
      <c r="KEA85" s="931"/>
      <c r="KEB85" s="931"/>
      <c r="KEC85" s="931"/>
      <c r="KED85" s="931"/>
      <c r="KEE85" s="931"/>
      <c r="KEF85" s="931"/>
      <c r="KEG85" s="931"/>
      <c r="KEH85" s="931"/>
      <c r="KEI85" s="931"/>
      <c r="KEJ85" s="931"/>
      <c r="KEK85" s="931"/>
      <c r="KEL85" s="931"/>
      <c r="KEM85" s="931"/>
      <c r="KEN85" s="931"/>
      <c r="KEO85" s="931"/>
      <c r="KEP85" s="931"/>
      <c r="KEQ85" s="931"/>
      <c r="KER85" s="931"/>
      <c r="KES85" s="931"/>
      <c r="KET85" s="931"/>
      <c r="KEU85" s="931"/>
      <c r="KEV85" s="931"/>
      <c r="KEW85" s="931"/>
      <c r="KEX85" s="931"/>
      <c r="KEY85" s="931"/>
      <c r="KEZ85" s="931"/>
      <c r="KFA85" s="931"/>
      <c r="KFB85" s="931"/>
      <c r="KFC85" s="931"/>
      <c r="KFD85" s="931"/>
      <c r="KFE85" s="931"/>
      <c r="KFF85" s="931"/>
      <c r="KFG85" s="931"/>
      <c r="KFH85" s="931"/>
      <c r="KFI85" s="931"/>
      <c r="KFJ85" s="931"/>
      <c r="KFK85" s="931"/>
      <c r="KFL85" s="931"/>
      <c r="KFM85" s="931"/>
      <c r="KFN85" s="931"/>
      <c r="KFO85" s="931"/>
      <c r="KFP85" s="931"/>
      <c r="KFQ85" s="931"/>
      <c r="KFR85" s="931"/>
      <c r="KFS85" s="931"/>
      <c r="KFT85" s="931"/>
      <c r="KFU85" s="931"/>
      <c r="KFV85" s="931"/>
      <c r="KFW85" s="931"/>
      <c r="KFX85" s="931"/>
      <c r="KFY85" s="931"/>
      <c r="KFZ85" s="931"/>
      <c r="KGA85" s="931"/>
      <c r="KGB85" s="931"/>
      <c r="KGC85" s="931"/>
      <c r="KGD85" s="931"/>
      <c r="KGE85" s="931"/>
      <c r="KGF85" s="931"/>
      <c r="KGG85" s="931"/>
      <c r="KGH85" s="931"/>
      <c r="KGI85" s="931"/>
      <c r="KGJ85" s="931"/>
      <c r="KGK85" s="931"/>
      <c r="KGL85" s="931"/>
      <c r="KGM85" s="931"/>
      <c r="KGN85" s="931"/>
      <c r="KGO85" s="931"/>
      <c r="KGP85" s="931"/>
      <c r="KGQ85" s="931"/>
      <c r="KGR85" s="931"/>
      <c r="KGS85" s="931"/>
      <c r="KGT85" s="931"/>
      <c r="KGU85" s="931"/>
      <c r="KGV85" s="931"/>
      <c r="KGW85" s="931"/>
      <c r="KGX85" s="931"/>
      <c r="KGY85" s="931"/>
      <c r="KGZ85" s="931"/>
      <c r="KHA85" s="931"/>
      <c r="KHB85" s="931"/>
      <c r="KHC85" s="931"/>
      <c r="KHD85" s="931"/>
      <c r="KHE85" s="931"/>
      <c r="KHF85" s="931"/>
      <c r="KHG85" s="931"/>
      <c r="KHH85" s="931"/>
      <c r="KHI85" s="931"/>
      <c r="KHJ85" s="931"/>
      <c r="KHK85" s="931"/>
      <c r="KHL85" s="931"/>
      <c r="KHM85" s="931"/>
      <c r="KHN85" s="931"/>
      <c r="KHO85" s="931"/>
      <c r="KHP85" s="931"/>
      <c r="KHQ85" s="931"/>
      <c r="KHR85" s="931"/>
      <c r="KHS85" s="931"/>
      <c r="KHT85" s="931"/>
      <c r="KHU85" s="931"/>
      <c r="KHV85" s="931"/>
      <c r="KHW85" s="931"/>
      <c r="KHX85" s="931"/>
      <c r="KHY85" s="931"/>
      <c r="KHZ85" s="931"/>
      <c r="KIA85" s="931"/>
      <c r="KIB85" s="931"/>
      <c r="KIC85" s="931"/>
      <c r="KID85" s="931"/>
      <c r="KIE85" s="931"/>
      <c r="KIF85" s="931"/>
      <c r="KIG85" s="931"/>
      <c r="KIH85" s="931"/>
      <c r="KII85" s="931"/>
      <c r="KIJ85" s="931"/>
      <c r="KIK85" s="931"/>
      <c r="KIL85" s="931"/>
      <c r="KIM85" s="931"/>
      <c r="KIN85" s="931"/>
      <c r="KIO85" s="931"/>
      <c r="KIP85" s="931"/>
      <c r="KIQ85" s="931"/>
      <c r="KIR85" s="931"/>
      <c r="KIS85" s="931"/>
      <c r="KIT85" s="931"/>
      <c r="KIU85" s="931"/>
      <c r="KIV85" s="931"/>
      <c r="KIW85" s="931"/>
      <c r="KIX85" s="931"/>
      <c r="KIY85" s="931"/>
      <c r="KIZ85" s="931"/>
      <c r="KJA85" s="931"/>
      <c r="KJB85" s="931"/>
      <c r="KJC85" s="931"/>
      <c r="KJD85" s="931"/>
      <c r="KJE85" s="931"/>
      <c r="KJF85" s="931"/>
      <c r="KJG85" s="931"/>
      <c r="KJH85" s="931"/>
      <c r="KJI85" s="931"/>
      <c r="KJJ85" s="931"/>
      <c r="KJK85" s="931"/>
      <c r="KJL85" s="931"/>
      <c r="KJM85" s="931"/>
      <c r="KJN85" s="931"/>
      <c r="KJO85" s="931"/>
      <c r="KJP85" s="931"/>
      <c r="KJQ85" s="931"/>
      <c r="KJR85" s="931"/>
      <c r="KJS85" s="931"/>
      <c r="KJT85" s="931"/>
      <c r="KJU85" s="931"/>
      <c r="KJV85" s="931"/>
      <c r="KJW85" s="931"/>
      <c r="KJX85" s="931"/>
      <c r="KJY85" s="931"/>
      <c r="KJZ85" s="931"/>
      <c r="KKA85" s="931"/>
      <c r="KKB85" s="931"/>
      <c r="KKC85" s="931"/>
      <c r="KKD85" s="931"/>
      <c r="KKE85" s="931"/>
      <c r="KKF85" s="931"/>
      <c r="KKG85" s="931"/>
      <c r="KKH85" s="931"/>
      <c r="KKI85" s="931"/>
      <c r="KKJ85" s="931"/>
      <c r="KKK85" s="931"/>
      <c r="KKL85" s="931"/>
      <c r="KKM85" s="931"/>
      <c r="KKN85" s="931"/>
      <c r="KKO85" s="931"/>
      <c r="KKP85" s="931"/>
      <c r="KKQ85" s="931"/>
      <c r="KKR85" s="931"/>
      <c r="KKS85" s="931"/>
      <c r="KKT85" s="931"/>
      <c r="KKU85" s="931"/>
      <c r="KKV85" s="931"/>
      <c r="KKW85" s="931"/>
      <c r="KKX85" s="931"/>
      <c r="KKY85" s="931"/>
      <c r="KKZ85" s="931"/>
      <c r="KLA85" s="931"/>
      <c r="KLB85" s="931"/>
      <c r="KLC85" s="931"/>
      <c r="KLD85" s="931"/>
      <c r="KLE85" s="931"/>
      <c r="KLF85" s="931"/>
      <c r="KLG85" s="931"/>
      <c r="KLH85" s="931"/>
      <c r="KLI85" s="931"/>
      <c r="KLJ85" s="931"/>
      <c r="KLK85" s="931"/>
      <c r="KLL85" s="931"/>
      <c r="KLM85" s="931"/>
      <c r="KLN85" s="931"/>
      <c r="KLO85" s="931"/>
      <c r="KLP85" s="931"/>
      <c r="KLQ85" s="931"/>
      <c r="KLR85" s="931"/>
      <c r="KLS85" s="931"/>
      <c r="KLT85" s="931"/>
      <c r="KLU85" s="931"/>
      <c r="KLV85" s="931"/>
      <c r="KLW85" s="931"/>
      <c r="KLX85" s="931"/>
      <c r="KLY85" s="931"/>
      <c r="KLZ85" s="931"/>
      <c r="KMA85" s="931"/>
      <c r="KMB85" s="931"/>
      <c r="KMC85" s="931"/>
      <c r="KMD85" s="931"/>
      <c r="KME85" s="931"/>
      <c r="KMF85" s="931"/>
      <c r="KMG85" s="931"/>
      <c r="KMH85" s="931"/>
      <c r="KMI85" s="931"/>
      <c r="KMJ85" s="931"/>
      <c r="KMK85" s="931"/>
      <c r="KML85" s="931"/>
      <c r="KMM85" s="931"/>
      <c r="KMN85" s="931"/>
      <c r="KMO85" s="931"/>
      <c r="KMP85" s="931"/>
      <c r="KMQ85" s="931"/>
      <c r="KMR85" s="931"/>
      <c r="KMS85" s="931"/>
      <c r="KMT85" s="931"/>
      <c r="KMU85" s="931"/>
      <c r="KMV85" s="931"/>
      <c r="KMW85" s="931"/>
      <c r="KMX85" s="931"/>
      <c r="KMY85" s="931"/>
      <c r="KMZ85" s="931"/>
      <c r="KNA85" s="931"/>
      <c r="KNB85" s="931"/>
      <c r="KNC85" s="931"/>
      <c r="KND85" s="931"/>
      <c r="KNE85" s="931"/>
      <c r="KNF85" s="931"/>
      <c r="KNG85" s="931"/>
      <c r="KNH85" s="931"/>
      <c r="KNI85" s="931"/>
      <c r="KNJ85" s="931"/>
      <c r="KNK85" s="931"/>
      <c r="KNL85" s="931"/>
      <c r="KNM85" s="931"/>
      <c r="KNN85" s="931"/>
      <c r="KNO85" s="931"/>
      <c r="KNP85" s="931"/>
      <c r="KNQ85" s="931"/>
      <c r="KNR85" s="931"/>
      <c r="KNS85" s="931"/>
      <c r="KNT85" s="931"/>
      <c r="KNU85" s="931"/>
      <c r="KNV85" s="931"/>
      <c r="KNW85" s="931"/>
      <c r="KNX85" s="931"/>
      <c r="KNY85" s="931"/>
      <c r="KNZ85" s="931"/>
      <c r="KOA85" s="931"/>
      <c r="KOB85" s="931"/>
      <c r="KOC85" s="931"/>
      <c r="KOD85" s="931"/>
      <c r="KOE85" s="931"/>
      <c r="KOF85" s="931"/>
      <c r="KOG85" s="931"/>
      <c r="KOH85" s="931"/>
      <c r="KOI85" s="931"/>
      <c r="KOJ85" s="931"/>
      <c r="KOK85" s="931"/>
      <c r="KOL85" s="931"/>
      <c r="KOM85" s="931"/>
      <c r="KON85" s="931"/>
      <c r="KOO85" s="931"/>
      <c r="KOP85" s="931"/>
      <c r="KOQ85" s="931"/>
      <c r="KOR85" s="931"/>
      <c r="KOS85" s="931"/>
      <c r="KOT85" s="931"/>
      <c r="KOU85" s="931"/>
      <c r="KOV85" s="931"/>
      <c r="KOW85" s="931"/>
      <c r="KOX85" s="931"/>
      <c r="KOY85" s="931"/>
      <c r="KOZ85" s="931"/>
      <c r="KPA85" s="931"/>
      <c r="KPB85" s="931"/>
      <c r="KPC85" s="931"/>
      <c r="KPD85" s="931"/>
      <c r="KPE85" s="931"/>
      <c r="KPF85" s="931"/>
      <c r="KPG85" s="931"/>
      <c r="KPH85" s="931"/>
      <c r="KPI85" s="931"/>
      <c r="KPJ85" s="931"/>
      <c r="KPK85" s="931"/>
      <c r="KPL85" s="931"/>
      <c r="KPM85" s="931"/>
      <c r="KPN85" s="931"/>
      <c r="KPO85" s="931"/>
      <c r="KPP85" s="931"/>
      <c r="KPQ85" s="931"/>
      <c r="KPR85" s="931"/>
      <c r="KPS85" s="931"/>
      <c r="KPT85" s="931"/>
      <c r="KPU85" s="931"/>
      <c r="KPV85" s="931"/>
      <c r="KPW85" s="931"/>
      <c r="KPX85" s="931"/>
      <c r="KPY85" s="931"/>
      <c r="KPZ85" s="931"/>
      <c r="KQA85" s="931"/>
      <c r="KQB85" s="931"/>
      <c r="KQC85" s="931"/>
      <c r="KQD85" s="931"/>
      <c r="KQE85" s="931"/>
      <c r="KQF85" s="931"/>
      <c r="KQG85" s="931"/>
      <c r="KQH85" s="931"/>
      <c r="KQI85" s="931"/>
      <c r="KQJ85" s="931"/>
      <c r="KQK85" s="931"/>
      <c r="KQL85" s="931"/>
      <c r="KQM85" s="931"/>
      <c r="KQN85" s="931"/>
      <c r="KQO85" s="931"/>
      <c r="KQP85" s="931"/>
      <c r="KQQ85" s="931"/>
      <c r="KQR85" s="931"/>
      <c r="KQS85" s="931"/>
      <c r="KQT85" s="931"/>
      <c r="KQU85" s="931"/>
      <c r="KQV85" s="931"/>
      <c r="KQW85" s="931"/>
      <c r="KQX85" s="931"/>
      <c r="KQY85" s="931"/>
      <c r="KQZ85" s="931"/>
      <c r="KRA85" s="931"/>
      <c r="KRB85" s="931"/>
      <c r="KRC85" s="931"/>
      <c r="KRD85" s="931"/>
      <c r="KRE85" s="931"/>
      <c r="KRF85" s="931"/>
      <c r="KRG85" s="931"/>
      <c r="KRH85" s="931"/>
      <c r="KRI85" s="931"/>
      <c r="KRJ85" s="931"/>
      <c r="KRK85" s="931"/>
      <c r="KRL85" s="931"/>
      <c r="KRM85" s="931"/>
      <c r="KRN85" s="931"/>
      <c r="KRO85" s="931"/>
      <c r="KRP85" s="931"/>
      <c r="KRQ85" s="931"/>
      <c r="KRR85" s="931"/>
      <c r="KRS85" s="931"/>
      <c r="KRT85" s="931"/>
      <c r="KRU85" s="931"/>
      <c r="KRV85" s="931"/>
      <c r="KRW85" s="931"/>
      <c r="KRX85" s="931"/>
      <c r="KRY85" s="931"/>
      <c r="KRZ85" s="931"/>
      <c r="KSA85" s="931"/>
      <c r="KSB85" s="931"/>
      <c r="KSC85" s="931"/>
      <c r="KSD85" s="931"/>
      <c r="KSE85" s="931"/>
      <c r="KSF85" s="931"/>
      <c r="KSG85" s="931"/>
      <c r="KSH85" s="931"/>
      <c r="KSI85" s="931"/>
      <c r="KSJ85" s="931"/>
      <c r="KSK85" s="931"/>
      <c r="KSL85" s="931"/>
      <c r="KSM85" s="931"/>
      <c r="KSN85" s="931"/>
      <c r="KSO85" s="931"/>
      <c r="KSP85" s="931"/>
      <c r="KSQ85" s="931"/>
      <c r="KSR85" s="931"/>
      <c r="KSS85" s="931"/>
      <c r="KST85" s="931"/>
      <c r="KSU85" s="931"/>
      <c r="KSV85" s="931"/>
      <c r="KSW85" s="931"/>
      <c r="KSX85" s="931"/>
      <c r="KSY85" s="931"/>
      <c r="KSZ85" s="931"/>
      <c r="KTA85" s="931"/>
      <c r="KTB85" s="931"/>
      <c r="KTC85" s="931"/>
      <c r="KTD85" s="931"/>
      <c r="KTE85" s="931"/>
      <c r="KTF85" s="931"/>
      <c r="KTG85" s="931"/>
      <c r="KTH85" s="931"/>
      <c r="KTI85" s="931"/>
      <c r="KTJ85" s="931"/>
      <c r="KTK85" s="931"/>
      <c r="KTL85" s="931"/>
      <c r="KTM85" s="931"/>
      <c r="KTN85" s="931"/>
      <c r="KTO85" s="931"/>
      <c r="KTP85" s="931"/>
      <c r="KTQ85" s="931"/>
      <c r="KTR85" s="931"/>
      <c r="KTS85" s="931"/>
      <c r="KTT85" s="931"/>
      <c r="KTU85" s="931"/>
      <c r="KTV85" s="931"/>
      <c r="KTW85" s="931"/>
      <c r="KTX85" s="931"/>
      <c r="KTY85" s="931"/>
      <c r="KTZ85" s="931"/>
      <c r="KUA85" s="931"/>
      <c r="KUB85" s="931"/>
      <c r="KUC85" s="931"/>
      <c r="KUD85" s="931"/>
      <c r="KUE85" s="931"/>
      <c r="KUF85" s="931"/>
      <c r="KUG85" s="931"/>
      <c r="KUH85" s="931"/>
      <c r="KUI85" s="931"/>
      <c r="KUJ85" s="931"/>
      <c r="KUK85" s="931"/>
      <c r="KUL85" s="931"/>
      <c r="KUM85" s="931"/>
      <c r="KUN85" s="931"/>
      <c r="KUO85" s="931"/>
      <c r="KUP85" s="931"/>
      <c r="KUQ85" s="931"/>
      <c r="KUR85" s="931"/>
      <c r="KUS85" s="931"/>
      <c r="KUT85" s="931"/>
      <c r="KUU85" s="931"/>
      <c r="KUV85" s="931"/>
      <c r="KUW85" s="931"/>
      <c r="KUX85" s="931"/>
      <c r="KUY85" s="931"/>
      <c r="KUZ85" s="931"/>
      <c r="KVA85" s="931"/>
      <c r="KVB85" s="931"/>
      <c r="KVC85" s="931"/>
      <c r="KVD85" s="931"/>
      <c r="KVE85" s="931"/>
      <c r="KVF85" s="931"/>
      <c r="KVG85" s="931"/>
      <c r="KVH85" s="931"/>
      <c r="KVI85" s="931"/>
      <c r="KVJ85" s="931"/>
      <c r="KVK85" s="931"/>
      <c r="KVL85" s="931"/>
      <c r="KVM85" s="931"/>
      <c r="KVN85" s="931"/>
      <c r="KVO85" s="931"/>
      <c r="KVP85" s="931"/>
      <c r="KVQ85" s="931"/>
      <c r="KVR85" s="931"/>
      <c r="KVS85" s="931"/>
      <c r="KVT85" s="931"/>
      <c r="KVU85" s="931"/>
      <c r="KVV85" s="931"/>
      <c r="KVW85" s="931"/>
      <c r="KVX85" s="931"/>
      <c r="KVY85" s="931"/>
      <c r="KVZ85" s="931"/>
      <c r="KWA85" s="931"/>
      <c r="KWB85" s="931"/>
      <c r="KWC85" s="931"/>
      <c r="KWD85" s="931"/>
      <c r="KWE85" s="931"/>
      <c r="KWF85" s="931"/>
      <c r="KWG85" s="931"/>
      <c r="KWH85" s="931"/>
      <c r="KWI85" s="931"/>
      <c r="KWJ85" s="931"/>
      <c r="KWK85" s="931"/>
      <c r="KWL85" s="931"/>
      <c r="KWM85" s="931"/>
      <c r="KWN85" s="931"/>
      <c r="KWO85" s="931"/>
      <c r="KWP85" s="931"/>
      <c r="KWQ85" s="931"/>
      <c r="KWR85" s="931"/>
      <c r="KWS85" s="931"/>
      <c r="KWT85" s="931"/>
      <c r="KWU85" s="931"/>
      <c r="KWV85" s="931"/>
      <c r="KWW85" s="931"/>
      <c r="KWX85" s="931"/>
      <c r="KWY85" s="931"/>
      <c r="KWZ85" s="931"/>
      <c r="KXA85" s="931"/>
      <c r="KXB85" s="931"/>
      <c r="KXC85" s="931"/>
      <c r="KXD85" s="931"/>
      <c r="KXE85" s="931"/>
      <c r="KXF85" s="931"/>
      <c r="KXG85" s="931"/>
      <c r="KXH85" s="931"/>
      <c r="KXI85" s="931"/>
      <c r="KXJ85" s="931"/>
      <c r="KXK85" s="931"/>
      <c r="KXL85" s="931"/>
      <c r="KXM85" s="931"/>
      <c r="KXN85" s="931"/>
      <c r="KXO85" s="931"/>
      <c r="KXP85" s="931"/>
      <c r="KXQ85" s="931"/>
      <c r="KXR85" s="931"/>
      <c r="KXS85" s="931"/>
      <c r="KXT85" s="931"/>
      <c r="KXU85" s="931"/>
      <c r="KXV85" s="931"/>
      <c r="KXW85" s="931"/>
      <c r="KXX85" s="931"/>
      <c r="KXY85" s="931"/>
      <c r="KXZ85" s="931"/>
      <c r="KYA85" s="931"/>
      <c r="KYB85" s="931"/>
      <c r="KYC85" s="931"/>
      <c r="KYD85" s="931"/>
      <c r="KYE85" s="931"/>
      <c r="KYF85" s="931"/>
      <c r="KYG85" s="931"/>
      <c r="KYH85" s="931"/>
      <c r="KYI85" s="931"/>
      <c r="KYJ85" s="931"/>
      <c r="KYK85" s="931"/>
      <c r="KYL85" s="931"/>
      <c r="KYM85" s="931"/>
      <c r="KYN85" s="931"/>
      <c r="KYO85" s="931"/>
      <c r="KYP85" s="931"/>
      <c r="KYQ85" s="931"/>
      <c r="KYR85" s="931"/>
      <c r="KYS85" s="931"/>
      <c r="KYT85" s="931"/>
      <c r="KYU85" s="931"/>
      <c r="KYV85" s="931"/>
      <c r="KYW85" s="931"/>
      <c r="KYX85" s="931"/>
      <c r="KYY85" s="931"/>
      <c r="KYZ85" s="931"/>
      <c r="KZA85" s="931"/>
      <c r="KZB85" s="931"/>
      <c r="KZC85" s="931"/>
      <c r="KZD85" s="931"/>
      <c r="KZE85" s="931"/>
      <c r="KZF85" s="931"/>
      <c r="KZG85" s="931"/>
      <c r="KZH85" s="931"/>
      <c r="KZI85" s="931"/>
      <c r="KZJ85" s="931"/>
      <c r="KZK85" s="931"/>
      <c r="KZL85" s="931"/>
      <c r="KZM85" s="931"/>
      <c r="KZN85" s="931"/>
      <c r="KZO85" s="931"/>
      <c r="KZP85" s="931"/>
      <c r="KZQ85" s="931"/>
      <c r="KZR85" s="931"/>
      <c r="KZS85" s="931"/>
      <c r="KZT85" s="931"/>
      <c r="KZU85" s="931"/>
      <c r="KZV85" s="931"/>
      <c r="KZW85" s="931"/>
      <c r="KZX85" s="931"/>
      <c r="KZY85" s="931"/>
      <c r="KZZ85" s="931"/>
      <c r="LAA85" s="931"/>
      <c r="LAB85" s="931"/>
      <c r="LAC85" s="931"/>
      <c r="LAD85" s="931"/>
      <c r="LAE85" s="931"/>
      <c r="LAF85" s="931"/>
      <c r="LAG85" s="931"/>
      <c r="LAH85" s="931"/>
      <c r="LAI85" s="931"/>
      <c r="LAJ85" s="931"/>
      <c r="LAK85" s="931"/>
      <c r="LAL85" s="931"/>
      <c r="LAM85" s="931"/>
      <c r="LAN85" s="931"/>
      <c r="LAO85" s="931"/>
      <c r="LAP85" s="931"/>
      <c r="LAQ85" s="931"/>
      <c r="LAR85" s="931"/>
      <c r="LAS85" s="931"/>
      <c r="LAT85" s="931"/>
      <c r="LAU85" s="931"/>
      <c r="LAV85" s="931"/>
      <c r="LAW85" s="931"/>
      <c r="LAX85" s="931"/>
      <c r="LAY85" s="931"/>
      <c r="LAZ85" s="931"/>
      <c r="LBA85" s="931"/>
      <c r="LBB85" s="931"/>
      <c r="LBC85" s="931"/>
      <c r="LBD85" s="931"/>
      <c r="LBE85" s="931"/>
      <c r="LBF85" s="931"/>
      <c r="LBG85" s="931"/>
      <c r="LBH85" s="931"/>
      <c r="LBI85" s="931"/>
      <c r="LBJ85" s="931"/>
      <c r="LBK85" s="931"/>
      <c r="LBL85" s="931"/>
      <c r="LBM85" s="931"/>
      <c r="LBN85" s="931"/>
      <c r="LBO85" s="931"/>
      <c r="LBP85" s="931"/>
      <c r="LBQ85" s="931"/>
      <c r="LBR85" s="931"/>
      <c r="LBS85" s="931"/>
      <c r="LBT85" s="931"/>
      <c r="LBU85" s="931"/>
      <c r="LBV85" s="931"/>
      <c r="LBW85" s="931"/>
      <c r="LBX85" s="931"/>
      <c r="LBY85" s="931"/>
      <c r="LBZ85" s="931"/>
      <c r="LCA85" s="931"/>
      <c r="LCB85" s="931"/>
      <c r="LCC85" s="931"/>
      <c r="LCD85" s="931"/>
      <c r="LCE85" s="931"/>
      <c r="LCF85" s="931"/>
      <c r="LCG85" s="931"/>
      <c r="LCH85" s="931"/>
      <c r="LCI85" s="931"/>
      <c r="LCJ85" s="931"/>
      <c r="LCK85" s="931"/>
      <c r="LCL85" s="931"/>
      <c r="LCM85" s="931"/>
      <c r="LCN85" s="931"/>
      <c r="LCO85" s="931"/>
      <c r="LCP85" s="931"/>
      <c r="LCQ85" s="931"/>
      <c r="LCR85" s="931"/>
      <c r="LCS85" s="931"/>
      <c r="LCT85" s="931"/>
      <c r="LCU85" s="931"/>
      <c r="LCV85" s="931"/>
      <c r="LCW85" s="931"/>
      <c r="LCX85" s="931"/>
      <c r="LCY85" s="931"/>
      <c r="LCZ85" s="931"/>
      <c r="LDA85" s="931"/>
      <c r="LDB85" s="931"/>
      <c r="LDC85" s="931"/>
      <c r="LDD85" s="931"/>
      <c r="LDE85" s="931"/>
      <c r="LDF85" s="931"/>
      <c r="LDG85" s="931"/>
      <c r="LDH85" s="931"/>
      <c r="LDI85" s="931"/>
      <c r="LDJ85" s="931"/>
      <c r="LDK85" s="931"/>
      <c r="LDL85" s="931"/>
      <c r="LDM85" s="931"/>
      <c r="LDN85" s="931"/>
      <c r="LDO85" s="931"/>
      <c r="LDP85" s="931"/>
      <c r="LDQ85" s="931"/>
      <c r="LDR85" s="931"/>
      <c r="LDS85" s="931"/>
      <c r="LDT85" s="931"/>
      <c r="LDU85" s="931"/>
      <c r="LDV85" s="931"/>
      <c r="LDW85" s="931"/>
      <c r="LDX85" s="931"/>
      <c r="LDY85" s="931"/>
      <c r="LDZ85" s="931"/>
      <c r="LEA85" s="931"/>
      <c r="LEB85" s="931"/>
      <c r="LEC85" s="931"/>
      <c r="LED85" s="931"/>
      <c r="LEE85" s="931"/>
      <c r="LEF85" s="931"/>
      <c r="LEG85" s="931"/>
      <c r="LEH85" s="931"/>
      <c r="LEI85" s="931"/>
      <c r="LEJ85" s="931"/>
      <c r="LEK85" s="931"/>
      <c r="LEL85" s="931"/>
      <c r="LEM85" s="931"/>
      <c r="LEN85" s="931"/>
      <c r="LEO85" s="931"/>
      <c r="LEP85" s="931"/>
      <c r="LEQ85" s="931"/>
      <c r="LER85" s="931"/>
      <c r="LES85" s="931"/>
      <c r="LET85" s="931"/>
      <c r="LEU85" s="931"/>
      <c r="LEV85" s="931"/>
      <c r="LEW85" s="931"/>
      <c r="LEX85" s="931"/>
      <c r="LEY85" s="931"/>
      <c r="LEZ85" s="931"/>
      <c r="LFA85" s="931"/>
      <c r="LFB85" s="931"/>
      <c r="LFC85" s="931"/>
      <c r="LFD85" s="931"/>
      <c r="LFE85" s="931"/>
      <c r="LFF85" s="931"/>
      <c r="LFG85" s="931"/>
      <c r="LFH85" s="931"/>
      <c r="LFI85" s="931"/>
      <c r="LFJ85" s="931"/>
      <c r="LFK85" s="931"/>
      <c r="LFL85" s="931"/>
      <c r="LFM85" s="931"/>
      <c r="LFN85" s="931"/>
      <c r="LFO85" s="931"/>
      <c r="LFP85" s="931"/>
      <c r="LFQ85" s="931"/>
      <c r="LFR85" s="931"/>
      <c r="LFS85" s="931"/>
      <c r="LFT85" s="931"/>
      <c r="LFU85" s="931"/>
      <c r="LFV85" s="931"/>
      <c r="LFW85" s="931"/>
      <c r="LFX85" s="931"/>
      <c r="LFY85" s="931"/>
      <c r="LFZ85" s="931"/>
      <c r="LGA85" s="931"/>
      <c r="LGB85" s="931"/>
      <c r="LGC85" s="931"/>
      <c r="LGD85" s="931"/>
      <c r="LGE85" s="931"/>
      <c r="LGF85" s="931"/>
      <c r="LGG85" s="931"/>
      <c r="LGH85" s="931"/>
      <c r="LGI85" s="931"/>
      <c r="LGJ85" s="931"/>
      <c r="LGK85" s="931"/>
      <c r="LGL85" s="931"/>
      <c r="LGM85" s="931"/>
      <c r="LGN85" s="931"/>
      <c r="LGO85" s="931"/>
      <c r="LGP85" s="931"/>
      <c r="LGQ85" s="931"/>
      <c r="LGR85" s="931"/>
      <c r="LGS85" s="931"/>
      <c r="LGT85" s="931"/>
      <c r="LGU85" s="931"/>
      <c r="LGV85" s="931"/>
      <c r="LGW85" s="931"/>
      <c r="LGX85" s="931"/>
      <c r="LGY85" s="931"/>
      <c r="LGZ85" s="931"/>
      <c r="LHA85" s="931"/>
      <c r="LHB85" s="931"/>
      <c r="LHC85" s="931"/>
      <c r="LHD85" s="931"/>
      <c r="LHE85" s="931"/>
      <c r="LHF85" s="931"/>
      <c r="LHG85" s="931"/>
      <c r="LHH85" s="931"/>
      <c r="LHI85" s="931"/>
      <c r="LHJ85" s="931"/>
      <c r="LHK85" s="931"/>
      <c r="LHL85" s="931"/>
      <c r="LHM85" s="931"/>
      <c r="LHN85" s="931"/>
      <c r="LHO85" s="931"/>
      <c r="LHP85" s="931"/>
      <c r="LHQ85" s="931"/>
      <c r="LHR85" s="931"/>
      <c r="LHS85" s="931"/>
      <c r="LHT85" s="931"/>
      <c r="LHU85" s="931"/>
      <c r="LHV85" s="931"/>
      <c r="LHW85" s="931"/>
      <c r="LHX85" s="931"/>
      <c r="LHY85" s="931"/>
      <c r="LHZ85" s="931"/>
      <c r="LIA85" s="931"/>
      <c r="LIB85" s="931"/>
      <c r="LIC85" s="931"/>
      <c r="LID85" s="931"/>
      <c r="LIE85" s="931"/>
      <c r="LIF85" s="931"/>
      <c r="LIG85" s="931"/>
      <c r="LIH85" s="931"/>
      <c r="LII85" s="931"/>
      <c r="LIJ85" s="931"/>
      <c r="LIK85" s="931"/>
      <c r="LIL85" s="931"/>
      <c r="LIM85" s="931"/>
      <c r="LIN85" s="931"/>
      <c r="LIO85" s="931"/>
      <c r="LIP85" s="931"/>
      <c r="LIQ85" s="931"/>
      <c r="LIR85" s="931"/>
      <c r="LIS85" s="931"/>
      <c r="LIT85" s="931"/>
      <c r="LIU85" s="931"/>
      <c r="LIV85" s="931"/>
      <c r="LIW85" s="931"/>
      <c r="LIX85" s="931"/>
      <c r="LIY85" s="931"/>
      <c r="LIZ85" s="931"/>
      <c r="LJA85" s="931"/>
      <c r="LJB85" s="931"/>
      <c r="LJC85" s="931"/>
      <c r="LJD85" s="931"/>
      <c r="LJE85" s="931"/>
      <c r="LJF85" s="931"/>
      <c r="LJG85" s="931"/>
      <c r="LJH85" s="931"/>
      <c r="LJI85" s="931"/>
      <c r="LJJ85" s="931"/>
      <c r="LJK85" s="931"/>
      <c r="LJL85" s="931"/>
      <c r="LJM85" s="931"/>
      <c r="LJN85" s="931"/>
      <c r="LJO85" s="931"/>
      <c r="LJP85" s="931"/>
      <c r="LJQ85" s="931"/>
      <c r="LJR85" s="931"/>
      <c r="LJS85" s="931"/>
      <c r="LJT85" s="931"/>
      <c r="LJU85" s="931"/>
      <c r="LJV85" s="931"/>
      <c r="LJW85" s="931"/>
      <c r="LJX85" s="931"/>
      <c r="LJY85" s="931"/>
      <c r="LJZ85" s="931"/>
      <c r="LKA85" s="931"/>
      <c r="LKB85" s="931"/>
      <c r="LKC85" s="931"/>
      <c r="LKD85" s="931"/>
      <c r="LKE85" s="931"/>
      <c r="LKF85" s="931"/>
      <c r="LKG85" s="931"/>
      <c r="LKH85" s="931"/>
      <c r="LKI85" s="931"/>
      <c r="LKJ85" s="931"/>
      <c r="LKK85" s="931"/>
      <c r="LKL85" s="931"/>
      <c r="LKM85" s="931"/>
      <c r="LKN85" s="931"/>
      <c r="LKO85" s="931"/>
      <c r="LKP85" s="931"/>
      <c r="LKQ85" s="931"/>
      <c r="LKR85" s="931"/>
      <c r="LKS85" s="931"/>
      <c r="LKT85" s="931"/>
      <c r="LKU85" s="931"/>
      <c r="LKV85" s="931"/>
      <c r="LKW85" s="931"/>
      <c r="LKX85" s="931"/>
      <c r="LKY85" s="931"/>
      <c r="LKZ85" s="931"/>
      <c r="LLA85" s="931"/>
      <c r="LLB85" s="931"/>
      <c r="LLC85" s="931"/>
      <c r="LLD85" s="931"/>
      <c r="LLE85" s="931"/>
      <c r="LLF85" s="931"/>
      <c r="LLG85" s="931"/>
      <c r="LLH85" s="931"/>
      <c r="LLI85" s="931"/>
      <c r="LLJ85" s="931"/>
      <c r="LLK85" s="931"/>
      <c r="LLL85" s="931"/>
      <c r="LLM85" s="931"/>
      <c r="LLN85" s="931"/>
      <c r="LLO85" s="931"/>
      <c r="LLP85" s="931"/>
      <c r="LLQ85" s="931"/>
      <c r="LLR85" s="931"/>
      <c r="LLS85" s="931"/>
      <c r="LLT85" s="931"/>
      <c r="LLU85" s="931"/>
      <c r="LLV85" s="931"/>
      <c r="LLW85" s="931"/>
      <c r="LLX85" s="931"/>
      <c r="LLY85" s="931"/>
      <c r="LLZ85" s="931"/>
      <c r="LMA85" s="931"/>
      <c r="LMB85" s="931"/>
      <c r="LMC85" s="931"/>
      <c r="LMD85" s="931"/>
      <c r="LME85" s="931"/>
      <c r="LMF85" s="931"/>
      <c r="LMG85" s="931"/>
      <c r="LMH85" s="931"/>
      <c r="LMI85" s="931"/>
      <c r="LMJ85" s="931"/>
      <c r="LMK85" s="931"/>
      <c r="LML85" s="931"/>
      <c r="LMM85" s="931"/>
      <c r="LMN85" s="931"/>
      <c r="LMO85" s="931"/>
      <c r="LMP85" s="931"/>
      <c r="LMQ85" s="931"/>
      <c r="LMR85" s="931"/>
      <c r="LMS85" s="931"/>
      <c r="LMT85" s="931"/>
      <c r="LMU85" s="931"/>
      <c r="LMV85" s="931"/>
      <c r="LMW85" s="931"/>
      <c r="LMX85" s="931"/>
      <c r="LMY85" s="931"/>
      <c r="LMZ85" s="931"/>
      <c r="LNA85" s="931"/>
      <c r="LNB85" s="931"/>
      <c r="LNC85" s="931"/>
      <c r="LND85" s="931"/>
      <c r="LNE85" s="931"/>
      <c r="LNF85" s="931"/>
      <c r="LNG85" s="931"/>
      <c r="LNH85" s="931"/>
      <c r="LNI85" s="931"/>
      <c r="LNJ85" s="931"/>
      <c r="LNK85" s="931"/>
      <c r="LNL85" s="931"/>
      <c r="LNM85" s="931"/>
      <c r="LNN85" s="931"/>
      <c r="LNO85" s="931"/>
      <c r="LNP85" s="931"/>
      <c r="LNQ85" s="931"/>
      <c r="LNR85" s="931"/>
      <c r="LNS85" s="931"/>
      <c r="LNT85" s="931"/>
      <c r="LNU85" s="931"/>
      <c r="LNV85" s="931"/>
      <c r="LNW85" s="931"/>
      <c r="LNX85" s="931"/>
      <c r="LNY85" s="931"/>
      <c r="LNZ85" s="931"/>
      <c r="LOA85" s="931"/>
      <c r="LOB85" s="931"/>
      <c r="LOC85" s="931"/>
      <c r="LOD85" s="931"/>
      <c r="LOE85" s="931"/>
      <c r="LOF85" s="931"/>
      <c r="LOG85" s="931"/>
      <c r="LOH85" s="931"/>
      <c r="LOI85" s="931"/>
      <c r="LOJ85" s="931"/>
      <c r="LOK85" s="931"/>
      <c r="LOL85" s="931"/>
      <c r="LOM85" s="931"/>
      <c r="LON85" s="931"/>
      <c r="LOO85" s="931"/>
      <c r="LOP85" s="931"/>
      <c r="LOQ85" s="931"/>
      <c r="LOR85" s="931"/>
      <c r="LOS85" s="931"/>
      <c r="LOT85" s="931"/>
      <c r="LOU85" s="931"/>
      <c r="LOV85" s="931"/>
      <c r="LOW85" s="931"/>
      <c r="LOX85" s="931"/>
      <c r="LOY85" s="931"/>
      <c r="LOZ85" s="931"/>
      <c r="LPA85" s="931"/>
      <c r="LPB85" s="931"/>
      <c r="LPC85" s="931"/>
      <c r="LPD85" s="931"/>
      <c r="LPE85" s="931"/>
      <c r="LPF85" s="931"/>
      <c r="LPG85" s="931"/>
      <c r="LPH85" s="931"/>
      <c r="LPI85" s="931"/>
      <c r="LPJ85" s="931"/>
      <c r="LPK85" s="931"/>
      <c r="LPL85" s="931"/>
      <c r="LPM85" s="931"/>
      <c r="LPN85" s="931"/>
      <c r="LPO85" s="931"/>
      <c r="LPP85" s="931"/>
      <c r="LPQ85" s="931"/>
      <c r="LPR85" s="931"/>
      <c r="LPS85" s="931"/>
      <c r="LPT85" s="931"/>
      <c r="LPU85" s="931"/>
      <c r="LPV85" s="931"/>
      <c r="LPW85" s="931"/>
      <c r="LPX85" s="931"/>
      <c r="LPY85" s="931"/>
      <c r="LPZ85" s="931"/>
      <c r="LQA85" s="931"/>
      <c r="LQB85" s="931"/>
      <c r="LQC85" s="931"/>
      <c r="LQD85" s="931"/>
      <c r="LQE85" s="931"/>
      <c r="LQF85" s="931"/>
      <c r="LQG85" s="931"/>
      <c r="LQH85" s="931"/>
      <c r="LQI85" s="931"/>
      <c r="LQJ85" s="931"/>
      <c r="LQK85" s="931"/>
      <c r="LQL85" s="931"/>
      <c r="LQM85" s="931"/>
      <c r="LQN85" s="931"/>
      <c r="LQO85" s="931"/>
      <c r="LQP85" s="931"/>
      <c r="LQQ85" s="931"/>
      <c r="LQR85" s="931"/>
      <c r="LQS85" s="931"/>
      <c r="LQT85" s="931"/>
      <c r="LQU85" s="931"/>
      <c r="LQV85" s="931"/>
      <c r="LQW85" s="931"/>
      <c r="LQX85" s="931"/>
      <c r="LQY85" s="931"/>
      <c r="LQZ85" s="931"/>
      <c r="LRA85" s="931"/>
      <c r="LRB85" s="931"/>
      <c r="LRC85" s="931"/>
      <c r="LRD85" s="931"/>
      <c r="LRE85" s="931"/>
      <c r="LRF85" s="931"/>
      <c r="LRG85" s="931"/>
      <c r="LRH85" s="931"/>
      <c r="LRI85" s="931"/>
      <c r="LRJ85" s="931"/>
      <c r="LRK85" s="931"/>
      <c r="LRL85" s="931"/>
      <c r="LRM85" s="931"/>
      <c r="LRN85" s="931"/>
      <c r="LRO85" s="931"/>
      <c r="LRP85" s="931"/>
      <c r="LRQ85" s="931"/>
      <c r="LRR85" s="931"/>
      <c r="LRS85" s="931"/>
      <c r="LRT85" s="931"/>
      <c r="LRU85" s="931"/>
      <c r="LRV85" s="931"/>
      <c r="LRW85" s="931"/>
      <c r="LRX85" s="931"/>
      <c r="LRY85" s="931"/>
      <c r="LRZ85" s="931"/>
      <c r="LSA85" s="931"/>
      <c r="LSB85" s="931"/>
      <c r="LSC85" s="931"/>
      <c r="LSD85" s="931"/>
      <c r="LSE85" s="931"/>
      <c r="LSF85" s="931"/>
      <c r="LSG85" s="931"/>
      <c r="LSH85" s="931"/>
      <c r="LSI85" s="931"/>
      <c r="LSJ85" s="931"/>
      <c r="LSK85" s="931"/>
      <c r="LSL85" s="931"/>
      <c r="LSM85" s="931"/>
      <c r="LSN85" s="931"/>
      <c r="LSO85" s="931"/>
      <c r="LSP85" s="931"/>
      <c r="LSQ85" s="931"/>
      <c r="LSR85" s="931"/>
      <c r="LSS85" s="931"/>
      <c r="LST85" s="931"/>
      <c r="LSU85" s="931"/>
      <c r="LSV85" s="931"/>
      <c r="LSW85" s="931"/>
      <c r="LSX85" s="931"/>
      <c r="LSY85" s="931"/>
      <c r="LSZ85" s="931"/>
      <c r="LTA85" s="931"/>
      <c r="LTB85" s="931"/>
      <c r="LTC85" s="931"/>
      <c r="LTD85" s="931"/>
      <c r="LTE85" s="931"/>
      <c r="LTF85" s="931"/>
      <c r="LTG85" s="931"/>
      <c r="LTH85" s="931"/>
      <c r="LTI85" s="931"/>
      <c r="LTJ85" s="931"/>
      <c r="LTK85" s="931"/>
      <c r="LTL85" s="931"/>
      <c r="LTM85" s="931"/>
      <c r="LTN85" s="931"/>
      <c r="LTO85" s="931"/>
      <c r="LTP85" s="931"/>
      <c r="LTQ85" s="931"/>
      <c r="LTR85" s="931"/>
      <c r="LTS85" s="931"/>
      <c r="LTT85" s="931"/>
      <c r="LTU85" s="931"/>
      <c r="LTV85" s="931"/>
      <c r="LTW85" s="931"/>
      <c r="LTX85" s="931"/>
      <c r="LTY85" s="931"/>
      <c r="LTZ85" s="931"/>
      <c r="LUA85" s="931"/>
      <c r="LUB85" s="931"/>
      <c r="LUC85" s="931"/>
      <c r="LUD85" s="931"/>
      <c r="LUE85" s="931"/>
      <c r="LUF85" s="931"/>
      <c r="LUG85" s="931"/>
      <c r="LUH85" s="931"/>
      <c r="LUI85" s="931"/>
      <c r="LUJ85" s="931"/>
      <c r="LUK85" s="931"/>
      <c r="LUL85" s="931"/>
      <c r="LUM85" s="931"/>
      <c r="LUN85" s="931"/>
      <c r="LUO85" s="931"/>
      <c r="LUP85" s="931"/>
      <c r="LUQ85" s="931"/>
      <c r="LUR85" s="931"/>
      <c r="LUS85" s="931"/>
      <c r="LUT85" s="931"/>
      <c r="LUU85" s="931"/>
      <c r="LUV85" s="931"/>
      <c r="LUW85" s="931"/>
      <c r="LUX85" s="931"/>
      <c r="LUY85" s="931"/>
      <c r="LUZ85" s="931"/>
      <c r="LVA85" s="931"/>
      <c r="LVB85" s="931"/>
      <c r="LVC85" s="931"/>
      <c r="LVD85" s="931"/>
      <c r="LVE85" s="931"/>
      <c r="LVF85" s="931"/>
      <c r="LVG85" s="931"/>
      <c r="LVH85" s="931"/>
      <c r="LVI85" s="931"/>
      <c r="LVJ85" s="931"/>
      <c r="LVK85" s="931"/>
      <c r="LVL85" s="931"/>
      <c r="LVM85" s="931"/>
      <c r="LVN85" s="931"/>
      <c r="LVO85" s="931"/>
      <c r="LVP85" s="931"/>
      <c r="LVQ85" s="931"/>
      <c r="LVR85" s="931"/>
      <c r="LVS85" s="931"/>
      <c r="LVT85" s="931"/>
      <c r="LVU85" s="931"/>
      <c r="LVV85" s="931"/>
      <c r="LVW85" s="931"/>
      <c r="LVX85" s="931"/>
      <c r="LVY85" s="931"/>
      <c r="LVZ85" s="931"/>
      <c r="LWA85" s="931"/>
      <c r="LWB85" s="931"/>
      <c r="LWC85" s="931"/>
      <c r="LWD85" s="931"/>
      <c r="LWE85" s="931"/>
      <c r="LWF85" s="931"/>
      <c r="LWG85" s="931"/>
      <c r="LWH85" s="931"/>
      <c r="LWI85" s="931"/>
      <c r="LWJ85" s="931"/>
      <c r="LWK85" s="931"/>
      <c r="LWL85" s="931"/>
      <c r="LWM85" s="931"/>
      <c r="LWN85" s="931"/>
      <c r="LWO85" s="931"/>
      <c r="LWP85" s="931"/>
      <c r="LWQ85" s="931"/>
      <c r="LWR85" s="931"/>
      <c r="LWS85" s="931"/>
      <c r="LWT85" s="931"/>
      <c r="LWU85" s="931"/>
      <c r="LWV85" s="931"/>
      <c r="LWW85" s="931"/>
      <c r="LWX85" s="931"/>
      <c r="LWY85" s="931"/>
      <c r="LWZ85" s="931"/>
      <c r="LXA85" s="931"/>
      <c r="LXB85" s="931"/>
      <c r="LXC85" s="931"/>
      <c r="LXD85" s="931"/>
      <c r="LXE85" s="931"/>
      <c r="LXF85" s="931"/>
      <c r="LXG85" s="931"/>
      <c r="LXH85" s="931"/>
      <c r="LXI85" s="931"/>
      <c r="LXJ85" s="931"/>
      <c r="LXK85" s="931"/>
      <c r="LXL85" s="931"/>
      <c r="LXM85" s="931"/>
      <c r="LXN85" s="931"/>
      <c r="LXO85" s="931"/>
      <c r="LXP85" s="931"/>
      <c r="LXQ85" s="931"/>
      <c r="LXR85" s="931"/>
      <c r="LXS85" s="931"/>
      <c r="LXT85" s="931"/>
      <c r="LXU85" s="931"/>
      <c r="LXV85" s="931"/>
      <c r="LXW85" s="931"/>
      <c r="LXX85" s="931"/>
      <c r="LXY85" s="931"/>
      <c r="LXZ85" s="931"/>
      <c r="LYA85" s="931"/>
      <c r="LYB85" s="931"/>
      <c r="LYC85" s="931"/>
      <c r="LYD85" s="931"/>
      <c r="LYE85" s="931"/>
      <c r="LYF85" s="931"/>
      <c r="LYG85" s="931"/>
      <c r="LYH85" s="931"/>
      <c r="LYI85" s="931"/>
      <c r="LYJ85" s="931"/>
      <c r="LYK85" s="931"/>
      <c r="LYL85" s="931"/>
      <c r="LYM85" s="931"/>
      <c r="LYN85" s="931"/>
      <c r="LYO85" s="931"/>
      <c r="LYP85" s="931"/>
      <c r="LYQ85" s="931"/>
      <c r="LYR85" s="931"/>
      <c r="LYS85" s="931"/>
      <c r="LYT85" s="931"/>
      <c r="LYU85" s="931"/>
      <c r="LYV85" s="931"/>
      <c r="LYW85" s="931"/>
      <c r="LYX85" s="931"/>
      <c r="LYY85" s="931"/>
      <c r="LYZ85" s="931"/>
      <c r="LZA85" s="931"/>
      <c r="LZB85" s="931"/>
      <c r="LZC85" s="931"/>
      <c r="LZD85" s="931"/>
      <c r="LZE85" s="931"/>
      <c r="LZF85" s="931"/>
      <c r="LZG85" s="931"/>
      <c r="LZH85" s="931"/>
      <c r="LZI85" s="931"/>
      <c r="LZJ85" s="931"/>
      <c r="LZK85" s="931"/>
      <c r="LZL85" s="931"/>
      <c r="LZM85" s="931"/>
      <c r="LZN85" s="931"/>
      <c r="LZO85" s="931"/>
      <c r="LZP85" s="931"/>
      <c r="LZQ85" s="931"/>
      <c r="LZR85" s="931"/>
      <c r="LZS85" s="931"/>
      <c r="LZT85" s="931"/>
      <c r="LZU85" s="931"/>
      <c r="LZV85" s="931"/>
      <c r="LZW85" s="931"/>
      <c r="LZX85" s="931"/>
      <c r="LZY85" s="931"/>
      <c r="LZZ85" s="931"/>
      <c r="MAA85" s="931"/>
      <c r="MAB85" s="931"/>
      <c r="MAC85" s="931"/>
      <c r="MAD85" s="931"/>
      <c r="MAE85" s="931"/>
      <c r="MAF85" s="931"/>
      <c r="MAG85" s="931"/>
      <c r="MAH85" s="931"/>
      <c r="MAI85" s="931"/>
      <c r="MAJ85" s="931"/>
      <c r="MAK85" s="931"/>
      <c r="MAL85" s="931"/>
      <c r="MAM85" s="931"/>
      <c r="MAN85" s="931"/>
      <c r="MAO85" s="931"/>
      <c r="MAP85" s="931"/>
      <c r="MAQ85" s="931"/>
      <c r="MAR85" s="931"/>
      <c r="MAS85" s="931"/>
      <c r="MAT85" s="931"/>
      <c r="MAU85" s="931"/>
      <c r="MAV85" s="931"/>
      <c r="MAW85" s="931"/>
      <c r="MAX85" s="931"/>
      <c r="MAY85" s="931"/>
      <c r="MAZ85" s="931"/>
      <c r="MBA85" s="931"/>
      <c r="MBB85" s="931"/>
      <c r="MBC85" s="931"/>
      <c r="MBD85" s="931"/>
      <c r="MBE85" s="931"/>
      <c r="MBF85" s="931"/>
      <c r="MBG85" s="931"/>
      <c r="MBH85" s="931"/>
      <c r="MBI85" s="931"/>
      <c r="MBJ85" s="931"/>
      <c r="MBK85" s="931"/>
      <c r="MBL85" s="931"/>
      <c r="MBM85" s="931"/>
      <c r="MBN85" s="931"/>
      <c r="MBO85" s="931"/>
      <c r="MBP85" s="931"/>
      <c r="MBQ85" s="931"/>
      <c r="MBR85" s="931"/>
      <c r="MBS85" s="931"/>
      <c r="MBT85" s="931"/>
      <c r="MBU85" s="931"/>
      <c r="MBV85" s="931"/>
      <c r="MBW85" s="931"/>
      <c r="MBX85" s="931"/>
      <c r="MBY85" s="931"/>
      <c r="MBZ85" s="931"/>
      <c r="MCA85" s="931"/>
      <c r="MCB85" s="931"/>
      <c r="MCC85" s="931"/>
      <c r="MCD85" s="931"/>
      <c r="MCE85" s="931"/>
      <c r="MCF85" s="931"/>
      <c r="MCG85" s="931"/>
      <c r="MCH85" s="931"/>
      <c r="MCI85" s="931"/>
      <c r="MCJ85" s="931"/>
      <c r="MCK85" s="931"/>
      <c r="MCL85" s="931"/>
      <c r="MCM85" s="931"/>
      <c r="MCN85" s="931"/>
      <c r="MCO85" s="931"/>
      <c r="MCP85" s="931"/>
      <c r="MCQ85" s="931"/>
      <c r="MCR85" s="931"/>
      <c r="MCS85" s="931"/>
      <c r="MCT85" s="931"/>
      <c r="MCU85" s="931"/>
      <c r="MCV85" s="931"/>
      <c r="MCW85" s="931"/>
      <c r="MCX85" s="931"/>
      <c r="MCY85" s="931"/>
      <c r="MCZ85" s="931"/>
      <c r="MDA85" s="931"/>
      <c r="MDB85" s="931"/>
      <c r="MDC85" s="931"/>
      <c r="MDD85" s="931"/>
      <c r="MDE85" s="931"/>
      <c r="MDF85" s="931"/>
      <c r="MDG85" s="931"/>
      <c r="MDH85" s="931"/>
      <c r="MDI85" s="931"/>
      <c r="MDJ85" s="931"/>
      <c r="MDK85" s="931"/>
      <c r="MDL85" s="931"/>
      <c r="MDM85" s="931"/>
      <c r="MDN85" s="931"/>
      <c r="MDO85" s="931"/>
      <c r="MDP85" s="931"/>
      <c r="MDQ85" s="931"/>
      <c r="MDR85" s="931"/>
      <c r="MDS85" s="931"/>
      <c r="MDT85" s="931"/>
      <c r="MDU85" s="931"/>
      <c r="MDV85" s="931"/>
      <c r="MDW85" s="931"/>
      <c r="MDX85" s="931"/>
      <c r="MDY85" s="931"/>
      <c r="MDZ85" s="931"/>
      <c r="MEA85" s="931"/>
      <c r="MEB85" s="931"/>
      <c r="MEC85" s="931"/>
      <c r="MED85" s="931"/>
      <c r="MEE85" s="931"/>
      <c r="MEF85" s="931"/>
      <c r="MEG85" s="931"/>
      <c r="MEH85" s="931"/>
      <c r="MEI85" s="931"/>
      <c r="MEJ85" s="931"/>
      <c r="MEK85" s="931"/>
      <c r="MEL85" s="931"/>
      <c r="MEM85" s="931"/>
      <c r="MEN85" s="931"/>
      <c r="MEO85" s="931"/>
      <c r="MEP85" s="931"/>
      <c r="MEQ85" s="931"/>
      <c r="MER85" s="931"/>
      <c r="MES85" s="931"/>
      <c r="MET85" s="931"/>
      <c r="MEU85" s="931"/>
      <c r="MEV85" s="931"/>
      <c r="MEW85" s="931"/>
      <c r="MEX85" s="931"/>
      <c r="MEY85" s="931"/>
      <c r="MEZ85" s="931"/>
      <c r="MFA85" s="931"/>
      <c r="MFB85" s="931"/>
      <c r="MFC85" s="931"/>
      <c r="MFD85" s="931"/>
      <c r="MFE85" s="931"/>
      <c r="MFF85" s="931"/>
      <c r="MFG85" s="931"/>
      <c r="MFH85" s="931"/>
      <c r="MFI85" s="931"/>
      <c r="MFJ85" s="931"/>
      <c r="MFK85" s="931"/>
      <c r="MFL85" s="931"/>
      <c r="MFM85" s="931"/>
      <c r="MFN85" s="931"/>
      <c r="MFO85" s="931"/>
      <c r="MFP85" s="931"/>
      <c r="MFQ85" s="931"/>
      <c r="MFR85" s="931"/>
      <c r="MFS85" s="931"/>
      <c r="MFT85" s="931"/>
      <c r="MFU85" s="931"/>
      <c r="MFV85" s="931"/>
      <c r="MFW85" s="931"/>
      <c r="MFX85" s="931"/>
      <c r="MFY85" s="931"/>
      <c r="MFZ85" s="931"/>
      <c r="MGA85" s="931"/>
      <c r="MGB85" s="931"/>
      <c r="MGC85" s="931"/>
      <c r="MGD85" s="931"/>
      <c r="MGE85" s="931"/>
      <c r="MGF85" s="931"/>
      <c r="MGG85" s="931"/>
      <c r="MGH85" s="931"/>
      <c r="MGI85" s="931"/>
      <c r="MGJ85" s="931"/>
      <c r="MGK85" s="931"/>
      <c r="MGL85" s="931"/>
      <c r="MGM85" s="931"/>
      <c r="MGN85" s="931"/>
      <c r="MGO85" s="931"/>
      <c r="MGP85" s="931"/>
      <c r="MGQ85" s="931"/>
      <c r="MGR85" s="931"/>
      <c r="MGS85" s="931"/>
      <c r="MGT85" s="931"/>
      <c r="MGU85" s="931"/>
      <c r="MGV85" s="931"/>
      <c r="MGW85" s="931"/>
      <c r="MGX85" s="931"/>
      <c r="MGY85" s="931"/>
      <c r="MGZ85" s="931"/>
      <c r="MHA85" s="931"/>
      <c r="MHB85" s="931"/>
      <c r="MHC85" s="931"/>
      <c r="MHD85" s="931"/>
      <c r="MHE85" s="931"/>
      <c r="MHF85" s="931"/>
      <c r="MHG85" s="931"/>
      <c r="MHH85" s="931"/>
      <c r="MHI85" s="931"/>
      <c r="MHJ85" s="931"/>
      <c r="MHK85" s="931"/>
      <c r="MHL85" s="931"/>
      <c r="MHM85" s="931"/>
      <c r="MHN85" s="931"/>
      <c r="MHO85" s="931"/>
      <c r="MHP85" s="931"/>
      <c r="MHQ85" s="931"/>
      <c r="MHR85" s="931"/>
      <c r="MHS85" s="931"/>
      <c r="MHT85" s="931"/>
      <c r="MHU85" s="931"/>
      <c r="MHV85" s="931"/>
      <c r="MHW85" s="931"/>
      <c r="MHX85" s="931"/>
      <c r="MHY85" s="931"/>
      <c r="MHZ85" s="931"/>
      <c r="MIA85" s="931"/>
      <c r="MIB85" s="931"/>
      <c r="MIC85" s="931"/>
      <c r="MID85" s="931"/>
      <c r="MIE85" s="931"/>
      <c r="MIF85" s="931"/>
      <c r="MIG85" s="931"/>
      <c r="MIH85" s="931"/>
      <c r="MII85" s="931"/>
      <c r="MIJ85" s="931"/>
      <c r="MIK85" s="931"/>
      <c r="MIL85" s="931"/>
      <c r="MIM85" s="931"/>
      <c r="MIN85" s="931"/>
      <c r="MIO85" s="931"/>
      <c r="MIP85" s="931"/>
      <c r="MIQ85" s="931"/>
      <c r="MIR85" s="931"/>
      <c r="MIS85" s="931"/>
      <c r="MIT85" s="931"/>
      <c r="MIU85" s="931"/>
      <c r="MIV85" s="931"/>
      <c r="MIW85" s="931"/>
      <c r="MIX85" s="931"/>
      <c r="MIY85" s="931"/>
      <c r="MIZ85" s="931"/>
      <c r="MJA85" s="931"/>
      <c r="MJB85" s="931"/>
      <c r="MJC85" s="931"/>
      <c r="MJD85" s="931"/>
      <c r="MJE85" s="931"/>
      <c r="MJF85" s="931"/>
      <c r="MJG85" s="931"/>
      <c r="MJH85" s="931"/>
      <c r="MJI85" s="931"/>
      <c r="MJJ85" s="931"/>
      <c r="MJK85" s="931"/>
      <c r="MJL85" s="931"/>
      <c r="MJM85" s="931"/>
      <c r="MJN85" s="931"/>
      <c r="MJO85" s="931"/>
      <c r="MJP85" s="931"/>
      <c r="MJQ85" s="931"/>
      <c r="MJR85" s="931"/>
      <c r="MJS85" s="931"/>
      <c r="MJT85" s="931"/>
      <c r="MJU85" s="931"/>
      <c r="MJV85" s="931"/>
      <c r="MJW85" s="931"/>
      <c r="MJX85" s="931"/>
      <c r="MJY85" s="931"/>
      <c r="MJZ85" s="931"/>
      <c r="MKA85" s="931"/>
      <c r="MKB85" s="931"/>
      <c r="MKC85" s="931"/>
      <c r="MKD85" s="931"/>
      <c r="MKE85" s="931"/>
      <c r="MKF85" s="931"/>
      <c r="MKG85" s="931"/>
      <c r="MKH85" s="931"/>
      <c r="MKI85" s="931"/>
      <c r="MKJ85" s="931"/>
      <c r="MKK85" s="931"/>
      <c r="MKL85" s="931"/>
      <c r="MKM85" s="931"/>
      <c r="MKN85" s="931"/>
      <c r="MKO85" s="931"/>
      <c r="MKP85" s="931"/>
      <c r="MKQ85" s="931"/>
      <c r="MKR85" s="931"/>
      <c r="MKS85" s="931"/>
      <c r="MKT85" s="931"/>
      <c r="MKU85" s="931"/>
      <c r="MKV85" s="931"/>
      <c r="MKW85" s="931"/>
      <c r="MKX85" s="931"/>
      <c r="MKY85" s="931"/>
      <c r="MKZ85" s="931"/>
      <c r="MLA85" s="931"/>
      <c r="MLB85" s="931"/>
      <c r="MLC85" s="931"/>
      <c r="MLD85" s="931"/>
      <c r="MLE85" s="931"/>
      <c r="MLF85" s="931"/>
      <c r="MLG85" s="931"/>
      <c r="MLH85" s="931"/>
      <c r="MLI85" s="931"/>
      <c r="MLJ85" s="931"/>
      <c r="MLK85" s="931"/>
      <c r="MLL85" s="931"/>
      <c r="MLM85" s="931"/>
      <c r="MLN85" s="931"/>
      <c r="MLO85" s="931"/>
      <c r="MLP85" s="931"/>
      <c r="MLQ85" s="931"/>
      <c r="MLR85" s="931"/>
      <c r="MLS85" s="931"/>
      <c r="MLT85" s="931"/>
      <c r="MLU85" s="931"/>
      <c r="MLV85" s="931"/>
      <c r="MLW85" s="931"/>
      <c r="MLX85" s="931"/>
      <c r="MLY85" s="931"/>
      <c r="MLZ85" s="931"/>
      <c r="MMA85" s="931"/>
      <c r="MMB85" s="931"/>
      <c r="MMC85" s="931"/>
      <c r="MMD85" s="931"/>
      <c r="MME85" s="931"/>
      <c r="MMF85" s="931"/>
      <c r="MMG85" s="931"/>
      <c r="MMH85" s="931"/>
      <c r="MMI85" s="931"/>
      <c r="MMJ85" s="931"/>
      <c r="MMK85" s="931"/>
      <c r="MML85" s="931"/>
      <c r="MMM85" s="931"/>
      <c r="MMN85" s="931"/>
      <c r="MMO85" s="931"/>
      <c r="MMP85" s="931"/>
      <c r="MMQ85" s="931"/>
      <c r="MMR85" s="931"/>
      <c r="MMS85" s="931"/>
      <c r="MMT85" s="931"/>
      <c r="MMU85" s="931"/>
      <c r="MMV85" s="931"/>
      <c r="MMW85" s="931"/>
      <c r="MMX85" s="931"/>
      <c r="MMY85" s="931"/>
      <c r="MMZ85" s="931"/>
      <c r="MNA85" s="931"/>
      <c r="MNB85" s="931"/>
      <c r="MNC85" s="931"/>
      <c r="MND85" s="931"/>
      <c r="MNE85" s="931"/>
      <c r="MNF85" s="931"/>
      <c r="MNG85" s="931"/>
      <c r="MNH85" s="931"/>
      <c r="MNI85" s="931"/>
      <c r="MNJ85" s="931"/>
      <c r="MNK85" s="931"/>
      <c r="MNL85" s="931"/>
      <c r="MNM85" s="931"/>
      <c r="MNN85" s="931"/>
      <c r="MNO85" s="931"/>
      <c r="MNP85" s="931"/>
      <c r="MNQ85" s="931"/>
      <c r="MNR85" s="931"/>
      <c r="MNS85" s="931"/>
      <c r="MNT85" s="931"/>
      <c r="MNU85" s="931"/>
      <c r="MNV85" s="931"/>
      <c r="MNW85" s="931"/>
      <c r="MNX85" s="931"/>
      <c r="MNY85" s="931"/>
      <c r="MNZ85" s="931"/>
      <c r="MOA85" s="931"/>
      <c r="MOB85" s="931"/>
      <c r="MOC85" s="931"/>
      <c r="MOD85" s="931"/>
      <c r="MOE85" s="931"/>
      <c r="MOF85" s="931"/>
      <c r="MOG85" s="931"/>
      <c r="MOH85" s="931"/>
      <c r="MOI85" s="931"/>
      <c r="MOJ85" s="931"/>
      <c r="MOK85" s="931"/>
      <c r="MOL85" s="931"/>
      <c r="MOM85" s="931"/>
      <c r="MON85" s="931"/>
      <c r="MOO85" s="931"/>
      <c r="MOP85" s="931"/>
      <c r="MOQ85" s="931"/>
      <c r="MOR85" s="931"/>
      <c r="MOS85" s="931"/>
      <c r="MOT85" s="931"/>
      <c r="MOU85" s="931"/>
      <c r="MOV85" s="931"/>
      <c r="MOW85" s="931"/>
      <c r="MOX85" s="931"/>
      <c r="MOY85" s="931"/>
      <c r="MOZ85" s="931"/>
      <c r="MPA85" s="931"/>
      <c r="MPB85" s="931"/>
      <c r="MPC85" s="931"/>
      <c r="MPD85" s="931"/>
      <c r="MPE85" s="931"/>
      <c r="MPF85" s="931"/>
      <c r="MPG85" s="931"/>
      <c r="MPH85" s="931"/>
      <c r="MPI85" s="931"/>
      <c r="MPJ85" s="931"/>
      <c r="MPK85" s="931"/>
      <c r="MPL85" s="931"/>
      <c r="MPM85" s="931"/>
      <c r="MPN85" s="931"/>
      <c r="MPO85" s="931"/>
      <c r="MPP85" s="931"/>
      <c r="MPQ85" s="931"/>
      <c r="MPR85" s="931"/>
      <c r="MPS85" s="931"/>
      <c r="MPT85" s="931"/>
      <c r="MPU85" s="931"/>
      <c r="MPV85" s="931"/>
      <c r="MPW85" s="931"/>
      <c r="MPX85" s="931"/>
      <c r="MPY85" s="931"/>
      <c r="MPZ85" s="931"/>
      <c r="MQA85" s="931"/>
      <c r="MQB85" s="931"/>
      <c r="MQC85" s="931"/>
      <c r="MQD85" s="931"/>
      <c r="MQE85" s="931"/>
      <c r="MQF85" s="931"/>
      <c r="MQG85" s="931"/>
      <c r="MQH85" s="931"/>
      <c r="MQI85" s="931"/>
      <c r="MQJ85" s="931"/>
      <c r="MQK85" s="931"/>
      <c r="MQL85" s="931"/>
      <c r="MQM85" s="931"/>
      <c r="MQN85" s="931"/>
      <c r="MQO85" s="931"/>
      <c r="MQP85" s="931"/>
      <c r="MQQ85" s="931"/>
      <c r="MQR85" s="931"/>
      <c r="MQS85" s="931"/>
      <c r="MQT85" s="931"/>
      <c r="MQU85" s="931"/>
      <c r="MQV85" s="931"/>
      <c r="MQW85" s="931"/>
      <c r="MQX85" s="931"/>
      <c r="MQY85" s="931"/>
      <c r="MQZ85" s="931"/>
      <c r="MRA85" s="931"/>
      <c r="MRB85" s="931"/>
      <c r="MRC85" s="931"/>
      <c r="MRD85" s="931"/>
      <c r="MRE85" s="931"/>
      <c r="MRF85" s="931"/>
      <c r="MRG85" s="931"/>
      <c r="MRH85" s="931"/>
      <c r="MRI85" s="931"/>
      <c r="MRJ85" s="931"/>
      <c r="MRK85" s="931"/>
      <c r="MRL85" s="931"/>
      <c r="MRM85" s="931"/>
      <c r="MRN85" s="931"/>
      <c r="MRO85" s="931"/>
      <c r="MRP85" s="931"/>
      <c r="MRQ85" s="931"/>
      <c r="MRR85" s="931"/>
      <c r="MRS85" s="931"/>
      <c r="MRT85" s="931"/>
      <c r="MRU85" s="931"/>
      <c r="MRV85" s="931"/>
      <c r="MRW85" s="931"/>
      <c r="MRX85" s="931"/>
      <c r="MRY85" s="931"/>
      <c r="MRZ85" s="931"/>
      <c r="MSA85" s="931"/>
      <c r="MSB85" s="931"/>
      <c r="MSC85" s="931"/>
      <c r="MSD85" s="931"/>
      <c r="MSE85" s="931"/>
      <c r="MSF85" s="931"/>
      <c r="MSG85" s="931"/>
      <c r="MSH85" s="931"/>
      <c r="MSI85" s="931"/>
      <c r="MSJ85" s="931"/>
      <c r="MSK85" s="931"/>
      <c r="MSL85" s="931"/>
      <c r="MSM85" s="931"/>
      <c r="MSN85" s="931"/>
      <c r="MSO85" s="931"/>
      <c r="MSP85" s="931"/>
      <c r="MSQ85" s="931"/>
      <c r="MSR85" s="931"/>
      <c r="MSS85" s="931"/>
      <c r="MST85" s="931"/>
      <c r="MSU85" s="931"/>
      <c r="MSV85" s="931"/>
      <c r="MSW85" s="931"/>
      <c r="MSX85" s="931"/>
      <c r="MSY85" s="931"/>
      <c r="MSZ85" s="931"/>
      <c r="MTA85" s="931"/>
      <c r="MTB85" s="931"/>
      <c r="MTC85" s="931"/>
      <c r="MTD85" s="931"/>
      <c r="MTE85" s="931"/>
      <c r="MTF85" s="931"/>
      <c r="MTG85" s="931"/>
      <c r="MTH85" s="931"/>
      <c r="MTI85" s="931"/>
      <c r="MTJ85" s="931"/>
      <c r="MTK85" s="931"/>
      <c r="MTL85" s="931"/>
      <c r="MTM85" s="931"/>
      <c r="MTN85" s="931"/>
      <c r="MTO85" s="931"/>
      <c r="MTP85" s="931"/>
      <c r="MTQ85" s="931"/>
      <c r="MTR85" s="931"/>
      <c r="MTS85" s="931"/>
      <c r="MTT85" s="931"/>
      <c r="MTU85" s="931"/>
      <c r="MTV85" s="931"/>
      <c r="MTW85" s="931"/>
      <c r="MTX85" s="931"/>
      <c r="MTY85" s="931"/>
      <c r="MTZ85" s="931"/>
      <c r="MUA85" s="931"/>
      <c r="MUB85" s="931"/>
      <c r="MUC85" s="931"/>
      <c r="MUD85" s="931"/>
      <c r="MUE85" s="931"/>
      <c r="MUF85" s="931"/>
      <c r="MUG85" s="931"/>
      <c r="MUH85" s="931"/>
      <c r="MUI85" s="931"/>
      <c r="MUJ85" s="931"/>
      <c r="MUK85" s="931"/>
      <c r="MUL85" s="931"/>
      <c r="MUM85" s="931"/>
      <c r="MUN85" s="931"/>
      <c r="MUO85" s="931"/>
      <c r="MUP85" s="931"/>
      <c r="MUQ85" s="931"/>
      <c r="MUR85" s="931"/>
      <c r="MUS85" s="931"/>
      <c r="MUT85" s="931"/>
      <c r="MUU85" s="931"/>
      <c r="MUV85" s="931"/>
      <c r="MUW85" s="931"/>
      <c r="MUX85" s="931"/>
      <c r="MUY85" s="931"/>
      <c r="MUZ85" s="931"/>
      <c r="MVA85" s="931"/>
      <c r="MVB85" s="931"/>
      <c r="MVC85" s="931"/>
      <c r="MVD85" s="931"/>
      <c r="MVE85" s="931"/>
      <c r="MVF85" s="931"/>
      <c r="MVG85" s="931"/>
      <c r="MVH85" s="931"/>
      <c r="MVI85" s="931"/>
      <c r="MVJ85" s="931"/>
      <c r="MVK85" s="931"/>
      <c r="MVL85" s="931"/>
      <c r="MVM85" s="931"/>
      <c r="MVN85" s="931"/>
      <c r="MVO85" s="931"/>
      <c r="MVP85" s="931"/>
      <c r="MVQ85" s="931"/>
      <c r="MVR85" s="931"/>
      <c r="MVS85" s="931"/>
      <c r="MVT85" s="931"/>
      <c r="MVU85" s="931"/>
      <c r="MVV85" s="931"/>
      <c r="MVW85" s="931"/>
      <c r="MVX85" s="931"/>
      <c r="MVY85" s="931"/>
      <c r="MVZ85" s="931"/>
      <c r="MWA85" s="931"/>
      <c r="MWB85" s="931"/>
      <c r="MWC85" s="931"/>
      <c r="MWD85" s="931"/>
      <c r="MWE85" s="931"/>
      <c r="MWF85" s="931"/>
      <c r="MWG85" s="931"/>
      <c r="MWH85" s="931"/>
      <c r="MWI85" s="931"/>
      <c r="MWJ85" s="931"/>
      <c r="MWK85" s="931"/>
      <c r="MWL85" s="931"/>
      <c r="MWM85" s="931"/>
      <c r="MWN85" s="931"/>
      <c r="MWO85" s="931"/>
      <c r="MWP85" s="931"/>
      <c r="MWQ85" s="931"/>
      <c r="MWR85" s="931"/>
      <c r="MWS85" s="931"/>
      <c r="MWT85" s="931"/>
      <c r="MWU85" s="931"/>
      <c r="MWV85" s="931"/>
      <c r="MWW85" s="931"/>
      <c r="MWX85" s="931"/>
      <c r="MWY85" s="931"/>
      <c r="MWZ85" s="931"/>
      <c r="MXA85" s="931"/>
      <c r="MXB85" s="931"/>
      <c r="MXC85" s="931"/>
      <c r="MXD85" s="931"/>
      <c r="MXE85" s="931"/>
      <c r="MXF85" s="931"/>
      <c r="MXG85" s="931"/>
      <c r="MXH85" s="931"/>
      <c r="MXI85" s="931"/>
      <c r="MXJ85" s="931"/>
      <c r="MXK85" s="931"/>
      <c r="MXL85" s="931"/>
      <c r="MXM85" s="931"/>
      <c r="MXN85" s="931"/>
      <c r="MXO85" s="931"/>
      <c r="MXP85" s="931"/>
      <c r="MXQ85" s="931"/>
      <c r="MXR85" s="931"/>
      <c r="MXS85" s="931"/>
      <c r="MXT85" s="931"/>
      <c r="MXU85" s="931"/>
      <c r="MXV85" s="931"/>
      <c r="MXW85" s="931"/>
      <c r="MXX85" s="931"/>
      <c r="MXY85" s="931"/>
      <c r="MXZ85" s="931"/>
      <c r="MYA85" s="931"/>
      <c r="MYB85" s="931"/>
      <c r="MYC85" s="931"/>
      <c r="MYD85" s="931"/>
      <c r="MYE85" s="931"/>
      <c r="MYF85" s="931"/>
      <c r="MYG85" s="931"/>
      <c r="MYH85" s="931"/>
      <c r="MYI85" s="931"/>
      <c r="MYJ85" s="931"/>
      <c r="MYK85" s="931"/>
      <c r="MYL85" s="931"/>
      <c r="MYM85" s="931"/>
      <c r="MYN85" s="931"/>
      <c r="MYO85" s="931"/>
      <c r="MYP85" s="931"/>
      <c r="MYQ85" s="931"/>
      <c r="MYR85" s="931"/>
      <c r="MYS85" s="931"/>
      <c r="MYT85" s="931"/>
      <c r="MYU85" s="931"/>
      <c r="MYV85" s="931"/>
      <c r="MYW85" s="931"/>
      <c r="MYX85" s="931"/>
      <c r="MYY85" s="931"/>
      <c r="MYZ85" s="931"/>
      <c r="MZA85" s="931"/>
      <c r="MZB85" s="931"/>
      <c r="MZC85" s="931"/>
      <c r="MZD85" s="931"/>
      <c r="MZE85" s="931"/>
      <c r="MZF85" s="931"/>
      <c r="MZG85" s="931"/>
      <c r="MZH85" s="931"/>
      <c r="MZI85" s="931"/>
      <c r="MZJ85" s="931"/>
      <c r="MZK85" s="931"/>
      <c r="MZL85" s="931"/>
      <c r="MZM85" s="931"/>
      <c r="MZN85" s="931"/>
      <c r="MZO85" s="931"/>
      <c r="MZP85" s="931"/>
      <c r="MZQ85" s="931"/>
      <c r="MZR85" s="931"/>
      <c r="MZS85" s="931"/>
      <c r="MZT85" s="931"/>
      <c r="MZU85" s="931"/>
      <c r="MZV85" s="931"/>
      <c r="MZW85" s="931"/>
      <c r="MZX85" s="931"/>
      <c r="MZY85" s="931"/>
      <c r="MZZ85" s="931"/>
      <c r="NAA85" s="931"/>
      <c r="NAB85" s="931"/>
      <c r="NAC85" s="931"/>
      <c r="NAD85" s="931"/>
      <c r="NAE85" s="931"/>
      <c r="NAF85" s="931"/>
      <c r="NAG85" s="931"/>
      <c r="NAH85" s="931"/>
      <c r="NAI85" s="931"/>
      <c r="NAJ85" s="931"/>
      <c r="NAK85" s="931"/>
      <c r="NAL85" s="931"/>
      <c r="NAM85" s="931"/>
      <c r="NAN85" s="931"/>
      <c r="NAO85" s="931"/>
      <c r="NAP85" s="931"/>
      <c r="NAQ85" s="931"/>
      <c r="NAR85" s="931"/>
      <c r="NAS85" s="931"/>
      <c r="NAT85" s="931"/>
      <c r="NAU85" s="931"/>
      <c r="NAV85" s="931"/>
      <c r="NAW85" s="931"/>
      <c r="NAX85" s="931"/>
      <c r="NAY85" s="931"/>
      <c r="NAZ85" s="931"/>
      <c r="NBA85" s="931"/>
      <c r="NBB85" s="931"/>
      <c r="NBC85" s="931"/>
      <c r="NBD85" s="931"/>
      <c r="NBE85" s="931"/>
      <c r="NBF85" s="931"/>
      <c r="NBG85" s="931"/>
      <c r="NBH85" s="931"/>
      <c r="NBI85" s="931"/>
      <c r="NBJ85" s="931"/>
      <c r="NBK85" s="931"/>
      <c r="NBL85" s="931"/>
      <c r="NBM85" s="931"/>
      <c r="NBN85" s="931"/>
      <c r="NBO85" s="931"/>
      <c r="NBP85" s="931"/>
      <c r="NBQ85" s="931"/>
      <c r="NBR85" s="931"/>
      <c r="NBS85" s="931"/>
      <c r="NBT85" s="931"/>
      <c r="NBU85" s="931"/>
      <c r="NBV85" s="931"/>
      <c r="NBW85" s="931"/>
      <c r="NBX85" s="931"/>
      <c r="NBY85" s="931"/>
      <c r="NBZ85" s="931"/>
      <c r="NCA85" s="931"/>
      <c r="NCB85" s="931"/>
      <c r="NCC85" s="931"/>
      <c r="NCD85" s="931"/>
      <c r="NCE85" s="931"/>
      <c r="NCF85" s="931"/>
      <c r="NCG85" s="931"/>
      <c r="NCH85" s="931"/>
      <c r="NCI85" s="931"/>
      <c r="NCJ85" s="931"/>
      <c r="NCK85" s="931"/>
      <c r="NCL85" s="931"/>
      <c r="NCM85" s="931"/>
      <c r="NCN85" s="931"/>
      <c r="NCO85" s="931"/>
      <c r="NCP85" s="931"/>
      <c r="NCQ85" s="931"/>
      <c r="NCR85" s="931"/>
      <c r="NCS85" s="931"/>
      <c r="NCT85" s="931"/>
      <c r="NCU85" s="931"/>
      <c r="NCV85" s="931"/>
      <c r="NCW85" s="931"/>
      <c r="NCX85" s="931"/>
      <c r="NCY85" s="931"/>
      <c r="NCZ85" s="931"/>
      <c r="NDA85" s="931"/>
      <c r="NDB85" s="931"/>
      <c r="NDC85" s="931"/>
      <c r="NDD85" s="931"/>
      <c r="NDE85" s="931"/>
      <c r="NDF85" s="931"/>
      <c r="NDG85" s="931"/>
      <c r="NDH85" s="931"/>
      <c r="NDI85" s="931"/>
      <c r="NDJ85" s="931"/>
      <c r="NDK85" s="931"/>
      <c r="NDL85" s="931"/>
      <c r="NDM85" s="931"/>
      <c r="NDN85" s="931"/>
      <c r="NDO85" s="931"/>
      <c r="NDP85" s="931"/>
      <c r="NDQ85" s="931"/>
      <c r="NDR85" s="931"/>
      <c r="NDS85" s="931"/>
      <c r="NDT85" s="931"/>
      <c r="NDU85" s="931"/>
      <c r="NDV85" s="931"/>
      <c r="NDW85" s="931"/>
      <c r="NDX85" s="931"/>
      <c r="NDY85" s="931"/>
      <c r="NDZ85" s="931"/>
      <c r="NEA85" s="931"/>
      <c r="NEB85" s="931"/>
      <c r="NEC85" s="931"/>
      <c r="NED85" s="931"/>
      <c r="NEE85" s="931"/>
      <c r="NEF85" s="931"/>
      <c r="NEG85" s="931"/>
      <c r="NEH85" s="931"/>
      <c r="NEI85" s="931"/>
      <c r="NEJ85" s="931"/>
      <c r="NEK85" s="931"/>
      <c r="NEL85" s="931"/>
      <c r="NEM85" s="931"/>
      <c r="NEN85" s="931"/>
      <c r="NEO85" s="931"/>
      <c r="NEP85" s="931"/>
      <c r="NEQ85" s="931"/>
      <c r="NER85" s="931"/>
      <c r="NES85" s="931"/>
      <c r="NET85" s="931"/>
      <c r="NEU85" s="931"/>
      <c r="NEV85" s="931"/>
      <c r="NEW85" s="931"/>
      <c r="NEX85" s="931"/>
      <c r="NEY85" s="931"/>
      <c r="NEZ85" s="931"/>
      <c r="NFA85" s="931"/>
      <c r="NFB85" s="931"/>
      <c r="NFC85" s="931"/>
      <c r="NFD85" s="931"/>
      <c r="NFE85" s="931"/>
      <c r="NFF85" s="931"/>
      <c r="NFG85" s="931"/>
      <c r="NFH85" s="931"/>
      <c r="NFI85" s="931"/>
      <c r="NFJ85" s="931"/>
      <c r="NFK85" s="931"/>
      <c r="NFL85" s="931"/>
      <c r="NFM85" s="931"/>
      <c r="NFN85" s="931"/>
      <c r="NFO85" s="931"/>
      <c r="NFP85" s="931"/>
      <c r="NFQ85" s="931"/>
      <c r="NFR85" s="931"/>
      <c r="NFS85" s="931"/>
      <c r="NFT85" s="931"/>
      <c r="NFU85" s="931"/>
      <c r="NFV85" s="931"/>
      <c r="NFW85" s="931"/>
      <c r="NFX85" s="931"/>
      <c r="NFY85" s="931"/>
      <c r="NFZ85" s="931"/>
      <c r="NGA85" s="931"/>
      <c r="NGB85" s="931"/>
      <c r="NGC85" s="931"/>
      <c r="NGD85" s="931"/>
      <c r="NGE85" s="931"/>
      <c r="NGF85" s="931"/>
      <c r="NGG85" s="931"/>
      <c r="NGH85" s="931"/>
      <c r="NGI85" s="931"/>
      <c r="NGJ85" s="931"/>
      <c r="NGK85" s="931"/>
      <c r="NGL85" s="931"/>
      <c r="NGM85" s="931"/>
      <c r="NGN85" s="931"/>
      <c r="NGO85" s="931"/>
      <c r="NGP85" s="931"/>
      <c r="NGQ85" s="931"/>
      <c r="NGR85" s="931"/>
      <c r="NGS85" s="931"/>
      <c r="NGT85" s="931"/>
      <c r="NGU85" s="931"/>
      <c r="NGV85" s="931"/>
      <c r="NGW85" s="931"/>
      <c r="NGX85" s="931"/>
      <c r="NGY85" s="931"/>
      <c r="NGZ85" s="931"/>
      <c r="NHA85" s="931"/>
      <c r="NHB85" s="931"/>
      <c r="NHC85" s="931"/>
      <c r="NHD85" s="931"/>
      <c r="NHE85" s="931"/>
      <c r="NHF85" s="931"/>
      <c r="NHG85" s="931"/>
      <c r="NHH85" s="931"/>
      <c r="NHI85" s="931"/>
      <c r="NHJ85" s="931"/>
      <c r="NHK85" s="931"/>
      <c r="NHL85" s="931"/>
      <c r="NHM85" s="931"/>
      <c r="NHN85" s="931"/>
      <c r="NHO85" s="931"/>
      <c r="NHP85" s="931"/>
      <c r="NHQ85" s="931"/>
      <c r="NHR85" s="931"/>
      <c r="NHS85" s="931"/>
      <c r="NHT85" s="931"/>
      <c r="NHU85" s="931"/>
      <c r="NHV85" s="931"/>
      <c r="NHW85" s="931"/>
      <c r="NHX85" s="931"/>
      <c r="NHY85" s="931"/>
      <c r="NHZ85" s="931"/>
      <c r="NIA85" s="931"/>
      <c r="NIB85" s="931"/>
      <c r="NIC85" s="931"/>
      <c r="NID85" s="931"/>
      <c r="NIE85" s="931"/>
      <c r="NIF85" s="931"/>
      <c r="NIG85" s="931"/>
      <c r="NIH85" s="931"/>
      <c r="NII85" s="931"/>
      <c r="NIJ85" s="931"/>
      <c r="NIK85" s="931"/>
      <c r="NIL85" s="931"/>
      <c r="NIM85" s="931"/>
      <c r="NIN85" s="931"/>
      <c r="NIO85" s="931"/>
      <c r="NIP85" s="931"/>
      <c r="NIQ85" s="931"/>
      <c r="NIR85" s="931"/>
      <c r="NIS85" s="931"/>
      <c r="NIT85" s="931"/>
      <c r="NIU85" s="931"/>
      <c r="NIV85" s="931"/>
      <c r="NIW85" s="931"/>
      <c r="NIX85" s="931"/>
      <c r="NIY85" s="931"/>
      <c r="NIZ85" s="931"/>
      <c r="NJA85" s="931"/>
      <c r="NJB85" s="931"/>
      <c r="NJC85" s="931"/>
      <c r="NJD85" s="931"/>
      <c r="NJE85" s="931"/>
      <c r="NJF85" s="931"/>
      <c r="NJG85" s="931"/>
      <c r="NJH85" s="931"/>
      <c r="NJI85" s="931"/>
      <c r="NJJ85" s="931"/>
      <c r="NJK85" s="931"/>
      <c r="NJL85" s="931"/>
      <c r="NJM85" s="931"/>
      <c r="NJN85" s="931"/>
      <c r="NJO85" s="931"/>
      <c r="NJP85" s="931"/>
      <c r="NJQ85" s="931"/>
      <c r="NJR85" s="931"/>
      <c r="NJS85" s="931"/>
      <c r="NJT85" s="931"/>
      <c r="NJU85" s="931"/>
      <c r="NJV85" s="931"/>
      <c r="NJW85" s="931"/>
      <c r="NJX85" s="931"/>
      <c r="NJY85" s="931"/>
      <c r="NJZ85" s="931"/>
      <c r="NKA85" s="931"/>
      <c r="NKB85" s="931"/>
      <c r="NKC85" s="931"/>
      <c r="NKD85" s="931"/>
      <c r="NKE85" s="931"/>
      <c r="NKF85" s="931"/>
      <c r="NKG85" s="931"/>
      <c r="NKH85" s="931"/>
      <c r="NKI85" s="931"/>
      <c r="NKJ85" s="931"/>
      <c r="NKK85" s="931"/>
      <c r="NKL85" s="931"/>
      <c r="NKM85" s="931"/>
      <c r="NKN85" s="931"/>
      <c r="NKO85" s="931"/>
      <c r="NKP85" s="931"/>
      <c r="NKQ85" s="931"/>
      <c r="NKR85" s="931"/>
      <c r="NKS85" s="931"/>
      <c r="NKT85" s="931"/>
      <c r="NKU85" s="931"/>
      <c r="NKV85" s="931"/>
      <c r="NKW85" s="931"/>
      <c r="NKX85" s="931"/>
      <c r="NKY85" s="931"/>
      <c r="NKZ85" s="931"/>
      <c r="NLA85" s="931"/>
      <c r="NLB85" s="931"/>
      <c r="NLC85" s="931"/>
      <c r="NLD85" s="931"/>
      <c r="NLE85" s="931"/>
      <c r="NLF85" s="931"/>
      <c r="NLG85" s="931"/>
      <c r="NLH85" s="931"/>
      <c r="NLI85" s="931"/>
      <c r="NLJ85" s="931"/>
      <c r="NLK85" s="931"/>
      <c r="NLL85" s="931"/>
      <c r="NLM85" s="931"/>
      <c r="NLN85" s="931"/>
      <c r="NLO85" s="931"/>
      <c r="NLP85" s="931"/>
      <c r="NLQ85" s="931"/>
      <c r="NLR85" s="931"/>
      <c r="NLS85" s="931"/>
      <c r="NLT85" s="931"/>
      <c r="NLU85" s="931"/>
      <c r="NLV85" s="931"/>
      <c r="NLW85" s="931"/>
      <c r="NLX85" s="931"/>
      <c r="NLY85" s="931"/>
      <c r="NLZ85" s="931"/>
      <c r="NMA85" s="931"/>
      <c r="NMB85" s="931"/>
      <c r="NMC85" s="931"/>
      <c r="NMD85" s="931"/>
      <c r="NME85" s="931"/>
      <c r="NMF85" s="931"/>
      <c r="NMG85" s="931"/>
      <c r="NMH85" s="931"/>
      <c r="NMI85" s="931"/>
      <c r="NMJ85" s="931"/>
      <c r="NMK85" s="931"/>
      <c r="NML85" s="931"/>
      <c r="NMM85" s="931"/>
      <c r="NMN85" s="931"/>
      <c r="NMO85" s="931"/>
      <c r="NMP85" s="931"/>
      <c r="NMQ85" s="931"/>
      <c r="NMR85" s="931"/>
      <c r="NMS85" s="931"/>
      <c r="NMT85" s="931"/>
      <c r="NMU85" s="931"/>
      <c r="NMV85" s="931"/>
      <c r="NMW85" s="931"/>
      <c r="NMX85" s="931"/>
      <c r="NMY85" s="931"/>
      <c r="NMZ85" s="931"/>
      <c r="NNA85" s="931"/>
      <c r="NNB85" s="931"/>
      <c r="NNC85" s="931"/>
      <c r="NND85" s="931"/>
      <c r="NNE85" s="931"/>
      <c r="NNF85" s="931"/>
      <c r="NNG85" s="931"/>
      <c r="NNH85" s="931"/>
      <c r="NNI85" s="931"/>
      <c r="NNJ85" s="931"/>
      <c r="NNK85" s="931"/>
      <c r="NNL85" s="931"/>
      <c r="NNM85" s="931"/>
      <c r="NNN85" s="931"/>
      <c r="NNO85" s="931"/>
      <c r="NNP85" s="931"/>
      <c r="NNQ85" s="931"/>
      <c r="NNR85" s="931"/>
      <c r="NNS85" s="931"/>
      <c r="NNT85" s="931"/>
      <c r="NNU85" s="931"/>
      <c r="NNV85" s="931"/>
      <c r="NNW85" s="931"/>
      <c r="NNX85" s="931"/>
      <c r="NNY85" s="931"/>
      <c r="NNZ85" s="931"/>
      <c r="NOA85" s="931"/>
      <c r="NOB85" s="931"/>
      <c r="NOC85" s="931"/>
      <c r="NOD85" s="931"/>
      <c r="NOE85" s="931"/>
      <c r="NOF85" s="931"/>
      <c r="NOG85" s="931"/>
      <c r="NOH85" s="931"/>
      <c r="NOI85" s="931"/>
      <c r="NOJ85" s="931"/>
      <c r="NOK85" s="931"/>
      <c r="NOL85" s="931"/>
      <c r="NOM85" s="931"/>
      <c r="NON85" s="931"/>
      <c r="NOO85" s="931"/>
      <c r="NOP85" s="931"/>
      <c r="NOQ85" s="931"/>
      <c r="NOR85" s="931"/>
      <c r="NOS85" s="931"/>
      <c r="NOT85" s="931"/>
      <c r="NOU85" s="931"/>
      <c r="NOV85" s="931"/>
      <c r="NOW85" s="931"/>
      <c r="NOX85" s="931"/>
      <c r="NOY85" s="931"/>
      <c r="NOZ85" s="931"/>
      <c r="NPA85" s="931"/>
      <c r="NPB85" s="931"/>
      <c r="NPC85" s="931"/>
      <c r="NPD85" s="931"/>
      <c r="NPE85" s="931"/>
      <c r="NPF85" s="931"/>
      <c r="NPG85" s="931"/>
      <c r="NPH85" s="931"/>
      <c r="NPI85" s="931"/>
      <c r="NPJ85" s="931"/>
      <c r="NPK85" s="931"/>
      <c r="NPL85" s="931"/>
      <c r="NPM85" s="931"/>
      <c r="NPN85" s="931"/>
      <c r="NPO85" s="931"/>
      <c r="NPP85" s="931"/>
      <c r="NPQ85" s="931"/>
      <c r="NPR85" s="931"/>
      <c r="NPS85" s="931"/>
      <c r="NPT85" s="931"/>
      <c r="NPU85" s="931"/>
      <c r="NPV85" s="931"/>
      <c r="NPW85" s="931"/>
      <c r="NPX85" s="931"/>
      <c r="NPY85" s="931"/>
      <c r="NPZ85" s="931"/>
      <c r="NQA85" s="931"/>
      <c r="NQB85" s="931"/>
      <c r="NQC85" s="931"/>
      <c r="NQD85" s="931"/>
      <c r="NQE85" s="931"/>
      <c r="NQF85" s="931"/>
      <c r="NQG85" s="931"/>
      <c r="NQH85" s="931"/>
      <c r="NQI85" s="931"/>
      <c r="NQJ85" s="931"/>
      <c r="NQK85" s="931"/>
      <c r="NQL85" s="931"/>
      <c r="NQM85" s="931"/>
      <c r="NQN85" s="931"/>
      <c r="NQO85" s="931"/>
      <c r="NQP85" s="931"/>
      <c r="NQQ85" s="931"/>
      <c r="NQR85" s="931"/>
      <c r="NQS85" s="931"/>
      <c r="NQT85" s="931"/>
      <c r="NQU85" s="931"/>
      <c r="NQV85" s="931"/>
      <c r="NQW85" s="931"/>
      <c r="NQX85" s="931"/>
      <c r="NQY85" s="931"/>
      <c r="NQZ85" s="931"/>
      <c r="NRA85" s="931"/>
      <c r="NRB85" s="931"/>
      <c r="NRC85" s="931"/>
      <c r="NRD85" s="931"/>
      <c r="NRE85" s="931"/>
      <c r="NRF85" s="931"/>
      <c r="NRG85" s="931"/>
      <c r="NRH85" s="931"/>
      <c r="NRI85" s="931"/>
      <c r="NRJ85" s="931"/>
      <c r="NRK85" s="931"/>
      <c r="NRL85" s="931"/>
      <c r="NRM85" s="931"/>
      <c r="NRN85" s="931"/>
      <c r="NRO85" s="931"/>
      <c r="NRP85" s="931"/>
      <c r="NRQ85" s="931"/>
      <c r="NRR85" s="931"/>
      <c r="NRS85" s="931"/>
      <c r="NRT85" s="931"/>
      <c r="NRU85" s="931"/>
      <c r="NRV85" s="931"/>
      <c r="NRW85" s="931"/>
      <c r="NRX85" s="931"/>
      <c r="NRY85" s="931"/>
      <c r="NRZ85" s="931"/>
      <c r="NSA85" s="931"/>
      <c r="NSB85" s="931"/>
      <c r="NSC85" s="931"/>
      <c r="NSD85" s="931"/>
      <c r="NSE85" s="931"/>
      <c r="NSF85" s="931"/>
      <c r="NSG85" s="931"/>
      <c r="NSH85" s="931"/>
      <c r="NSI85" s="931"/>
      <c r="NSJ85" s="931"/>
      <c r="NSK85" s="931"/>
      <c r="NSL85" s="931"/>
      <c r="NSM85" s="931"/>
      <c r="NSN85" s="931"/>
      <c r="NSO85" s="931"/>
      <c r="NSP85" s="931"/>
      <c r="NSQ85" s="931"/>
      <c r="NSR85" s="931"/>
      <c r="NSS85" s="931"/>
      <c r="NST85" s="931"/>
      <c r="NSU85" s="931"/>
      <c r="NSV85" s="931"/>
      <c r="NSW85" s="931"/>
      <c r="NSX85" s="931"/>
      <c r="NSY85" s="931"/>
      <c r="NSZ85" s="931"/>
      <c r="NTA85" s="931"/>
      <c r="NTB85" s="931"/>
      <c r="NTC85" s="931"/>
      <c r="NTD85" s="931"/>
      <c r="NTE85" s="931"/>
      <c r="NTF85" s="931"/>
      <c r="NTG85" s="931"/>
      <c r="NTH85" s="931"/>
      <c r="NTI85" s="931"/>
      <c r="NTJ85" s="931"/>
      <c r="NTK85" s="931"/>
      <c r="NTL85" s="931"/>
      <c r="NTM85" s="931"/>
      <c r="NTN85" s="931"/>
      <c r="NTO85" s="931"/>
      <c r="NTP85" s="931"/>
      <c r="NTQ85" s="931"/>
      <c r="NTR85" s="931"/>
      <c r="NTS85" s="931"/>
      <c r="NTT85" s="931"/>
      <c r="NTU85" s="931"/>
      <c r="NTV85" s="931"/>
      <c r="NTW85" s="931"/>
      <c r="NTX85" s="931"/>
      <c r="NTY85" s="931"/>
      <c r="NTZ85" s="931"/>
      <c r="NUA85" s="931"/>
      <c r="NUB85" s="931"/>
      <c r="NUC85" s="931"/>
      <c r="NUD85" s="931"/>
      <c r="NUE85" s="931"/>
      <c r="NUF85" s="931"/>
      <c r="NUG85" s="931"/>
      <c r="NUH85" s="931"/>
      <c r="NUI85" s="931"/>
      <c r="NUJ85" s="931"/>
      <c r="NUK85" s="931"/>
      <c r="NUL85" s="931"/>
      <c r="NUM85" s="931"/>
      <c r="NUN85" s="931"/>
      <c r="NUO85" s="931"/>
      <c r="NUP85" s="931"/>
      <c r="NUQ85" s="931"/>
      <c r="NUR85" s="931"/>
      <c r="NUS85" s="931"/>
      <c r="NUT85" s="931"/>
      <c r="NUU85" s="931"/>
      <c r="NUV85" s="931"/>
      <c r="NUW85" s="931"/>
      <c r="NUX85" s="931"/>
      <c r="NUY85" s="931"/>
      <c r="NUZ85" s="931"/>
      <c r="NVA85" s="931"/>
      <c r="NVB85" s="931"/>
      <c r="NVC85" s="931"/>
      <c r="NVD85" s="931"/>
      <c r="NVE85" s="931"/>
      <c r="NVF85" s="931"/>
      <c r="NVG85" s="931"/>
      <c r="NVH85" s="931"/>
      <c r="NVI85" s="931"/>
      <c r="NVJ85" s="931"/>
      <c r="NVK85" s="931"/>
      <c r="NVL85" s="931"/>
      <c r="NVM85" s="931"/>
      <c r="NVN85" s="931"/>
      <c r="NVO85" s="931"/>
      <c r="NVP85" s="931"/>
      <c r="NVQ85" s="931"/>
      <c r="NVR85" s="931"/>
      <c r="NVS85" s="931"/>
      <c r="NVT85" s="931"/>
      <c r="NVU85" s="931"/>
      <c r="NVV85" s="931"/>
      <c r="NVW85" s="931"/>
      <c r="NVX85" s="931"/>
      <c r="NVY85" s="931"/>
      <c r="NVZ85" s="931"/>
      <c r="NWA85" s="931"/>
      <c r="NWB85" s="931"/>
      <c r="NWC85" s="931"/>
      <c r="NWD85" s="931"/>
      <c r="NWE85" s="931"/>
      <c r="NWF85" s="931"/>
      <c r="NWG85" s="931"/>
      <c r="NWH85" s="931"/>
      <c r="NWI85" s="931"/>
      <c r="NWJ85" s="931"/>
      <c r="NWK85" s="931"/>
      <c r="NWL85" s="931"/>
      <c r="NWM85" s="931"/>
      <c r="NWN85" s="931"/>
      <c r="NWO85" s="931"/>
      <c r="NWP85" s="931"/>
      <c r="NWQ85" s="931"/>
      <c r="NWR85" s="931"/>
      <c r="NWS85" s="931"/>
      <c r="NWT85" s="931"/>
      <c r="NWU85" s="931"/>
      <c r="NWV85" s="931"/>
      <c r="NWW85" s="931"/>
      <c r="NWX85" s="931"/>
      <c r="NWY85" s="931"/>
      <c r="NWZ85" s="931"/>
      <c r="NXA85" s="931"/>
      <c r="NXB85" s="931"/>
      <c r="NXC85" s="931"/>
      <c r="NXD85" s="931"/>
      <c r="NXE85" s="931"/>
      <c r="NXF85" s="931"/>
      <c r="NXG85" s="931"/>
      <c r="NXH85" s="931"/>
      <c r="NXI85" s="931"/>
      <c r="NXJ85" s="931"/>
      <c r="NXK85" s="931"/>
      <c r="NXL85" s="931"/>
      <c r="NXM85" s="931"/>
      <c r="NXN85" s="931"/>
      <c r="NXO85" s="931"/>
      <c r="NXP85" s="931"/>
      <c r="NXQ85" s="931"/>
      <c r="NXR85" s="931"/>
      <c r="NXS85" s="931"/>
      <c r="NXT85" s="931"/>
      <c r="NXU85" s="931"/>
      <c r="NXV85" s="931"/>
      <c r="NXW85" s="931"/>
      <c r="NXX85" s="931"/>
      <c r="NXY85" s="931"/>
      <c r="NXZ85" s="931"/>
      <c r="NYA85" s="931"/>
      <c r="NYB85" s="931"/>
      <c r="NYC85" s="931"/>
      <c r="NYD85" s="931"/>
      <c r="NYE85" s="931"/>
      <c r="NYF85" s="931"/>
      <c r="NYG85" s="931"/>
      <c r="NYH85" s="931"/>
      <c r="NYI85" s="931"/>
      <c r="NYJ85" s="931"/>
      <c r="NYK85" s="931"/>
      <c r="NYL85" s="931"/>
      <c r="NYM85" s="931"/>
      <c r="NYN85" s="931"/>
      <c r="NYO85" s="931"/>
      <c r="NYP85" s="931"/>
      <c r="NYQ85" s="931"/>
      <c r="NYR85" s="931"/>
      <c r="NYS85" s="931"/>
      <c r="NYT85" s="931"/>
      <c r="NYU85" s="931"/>
      <c r="NYV85" s="931"/>
      <c r="NYW85" s="931"/>
      <c r="NYX85" s="931"/>
      <c r="NYY85" s="931"/>
      <c r="NYZ85" s="931"/>
      <c r="NZA85" s="931"/>
      <c r="NZB85" s="931"/>
      <c r="NZC85" s="931"/>
      <c r="NZD85" s="931"/>
      <c r="NZE85" s="931"/>
      <c r="NZF85" s="931"/>
      <c r="NZG85" s="931"/>
      <c r="NZH85" s="931"/>
      <c r="NZI85" s="931"/>
      <c r="NZJ85" s="931"/>
      <c r="NZK85" s="931"/>
      <c r="NZL85" s="931"/>
      <c r="NZM85" s="931"/>
      <c r="NZN85" s="931"/>
      <c r="NZO85" s="931"/>
      <c r="NZP85" s="931"/>
      <c r="NZQ85" s="931"/>
      <c r="NZR85" s="931"/>
      <c r="NZS85" s="931"/>
      <c r="NZT85" s="931"/>
      <c r="NZU85" s="931"/>
      <c r="NZV85" s="931"/>
      <c r="NZW85" s="931"/>
      <c r="NZX85" s="931"/>
      <c r="NZY85" s="931"/>
      <c r="NZZ85" s="931"/>
      <c r="OAA85" s="931"/>
      <c r="OAB85" s="931"/>
      <c r="OAC85" s="931"/>
      <c r="OAD85" s="931"/>
      <c r="OAE85" s="931"/>
      <c r="OAF85" s="931"/>
      <c r="OAG85" s="931"/>
      <c r="OAH85" s="931"/>
      <c r="OAI85" s="931"/>
      <c r="OAJ85" s="931"/>
      <c r="OAK85" s="931"/>
      <c r="OAL85" s="931"/>
      <c r="OAM85" s="931"/>
      <c r="OAN85" s="931"/>
      <c r="OAO85" s="931"/>
      <c r="OAP85" s="931"/>
      <c r="OAQ85" s="931"/>
      <c r="OAR85" s="931"/>
      <c r="OAS85" s="931"/>
      <c r="OAT85" s="931"/>
      <c r="OAU85" s="931"/>
      <c r="OAV85" s="931"/>
      <c r="OAW85" s="931"/>
      <c r="OAX85" s="931"/>
      <c r="OAY85" s="931"/>
      <c r="OAZ85" s="931"/>
      <c r="OBA85" s="931"/>
      <c r="OBB85" s="931"/>
      <c r="OBC85" s="931"/>
      <c r="OBD85" s="931"/>
      <c r="OBE85" s="931"/>
      <c r="OBF85" s="931"/>
      <c r="OBG85" s="931"/>
      <c r="OBH85" s="931"/>
      <c r="OBI85" s="931"/>
      <c r="OBJ85" s="931"/>
      <c r="OBK85" s="931"/>
      <c r="OBL85" s="931"/>
      <c r="OBM85" s="931"/>
      <c r="OBN85" s="931"/>
      <c r="OBO85" s="931"/>
      <c r="OBP85" s="931"/>
      <c r="OBQ85" s="931"/>
      <c r="OBR85" s="931"/>
      <c r="OBS85" s="931"/>
      <c r="OBT85" s="931"/>
      <c r="OBU85" s="931"/>
      <c r="OBV85" s="931"/>
      <c r="OBW85" s="931"/>
      <c r="OBX85" s="931"/>
      <c r="OBY85" s="931"/>
      <c r="OBZ85" s="931"/>
      <c r="OCA85" s="931"/>
      <c r="OCB85" s="931"/>
      <c r="OCC85" s="931"/>
      <c r="OCD85" s="931"/>
      <c r="OCE85" s="931"/>
      <c r="OCF85" s="931"/>
      <c r="OCG85" s="931"/>
      <c r="OCH85" s="931"/>
      <c r="OCI85" s="931"/>
      <c r="OCJ85" s="931"/>
      <c r="OCK85" s="931"/>
      <c r="OCL85" s="931"/>
      <c r="OCM85" s="931"/>
      <c r="OCN85" s="931"/>
      <c r="OCO85" s="931"/>
      <c r="OCP85" s="931"/>
      <c r="OCQ85" s="931"/>
      <c r="OCR85" s="931"/>
      <c r="OCS85" s="931"/>
      <c r="OCT85" s="931"/>
      <c r="OCU85" s="931"/>
      <c r="OCV85" s="931"/>
      <c r="OCW85" s="931"/>
      <c r="OCX85" s="931"/>
      <c r="OCY85" s="931"/>
      <c r="OCZ85" s="931"/>
      <c r="ODA85" s="931"/>
      <c r="ODB85" s="931"/>
      <c r="ODC85" s="931"/>
      <c r="ODD85" s="931"/>
      <c r="ODE85" s="931"/>
      <c r="ODF85" s="931"/>
      <c r="ODG85" s="931"/>
      <c r="ODH85" s="931"/>
      <c r="ODI85" s="931"/>
      <c r="ODJ85" s="931"/>
      <c r="ODK85" s="931"/>
      <c r="ODL85" s="931"/>
      <c r="ODM85" s="931"/>
      <c r="ODN85" s="931"/>
      <c r="ODO85" s="931"/>
      <c r="ODP85" s="931"/>
      <c r="ODQ85" s="931"/>
      <c r="ODR85" s="931"/>
      <c r="ODS85" s="931"/>
      <c r="ODT85" s="931"/>
      <c r="ODU85" s="931"/>
      <c r="ODV85" s="931"/>
      <c r="ODW85" s="931"/>
      <c r="ODX85" s="931"/>
      <c r="ODY85" s="931"/>
      <c r="ODZ85" s="931"/>
      <c r="OEA85" s="931"/>
      <c r="OEB85" s="931"/>
      <c r="OEC85" s="931"/>
      <c r="OED85" s="931"/>
      <c r="OEE85" s="931"/>
      <c r="OEF85" s="931"/>
      <c r="OEG85" s="931"/>
      <c r="OEH85" s="931"/>
      <c r="OEI85" s="931"/>
      <c r="OEJ85" s="931"/>
      <c r="OEK85" s="931"/>
      <c r="OEL85" s="931"/>
      <c r="OEM85" s="931"/>
      <c r="OEN85" s="931"/>
      <c r="OEO85" s="931"/>
      <c r="OEP85" s="931"/>
      <c r="OEQ85" s="931"/>
      <c r="OER85" s="931"/>
      <c r="OES85" s="931"/>
      <c r="OET85" s="931"/>
      <c r="OEU85" s="931"/>
      <c r="OEV85" s="931"/>
      <c r="OEW85" s="931"/>
      <c r="OEX85" s="931"/>
      <c r="OEY85" s="931"/>
      <c r="OEZ85" s="931"/>
      <c r="OFA85" s="931"/>
      <c r="OFB85" s="931"/>
      <c r="OFC85" s="931"/>
      <c r="OFD85" s="931"/>
      <c r="OFE85" s="931"/>
      <c r="OFF85" s="931"/>
      <c r="OFG85" s="931"/>
      <c r="OFH85" s="931"/>
      <c r="OFI85" s="931"/>
      <c r="OFJ85" s="931"/>
      <c r="OFK85" s="931"/>
      <c r="OFL85" s="931"/>
      <c r="OFM85" s="931"/>
      <c r="OFN85" s="931"/>
      <c r="OFO85" s="931"/>
      <c r="OFP85" s="931"/>
      <c r="OFQ85" s="931"/>
      <c r="OFR85" s="931"/>
      <c r="OFS85" s="931"/>
      <c r="OFT85" s="931"/>
      <c r="OFU85" s="931"/>
      <c r="OFV85" s="931"/>
      <c r="OFW85" s="931"/>
      <c r="OFX85" s="931"/>
      <c r="OFY85" s="931"/>
      <c r="OFZ85" s="931"/>
      <c r="OGA85" s="931"/>
      <c r="OGB85" s="931"/>
      <c r="OGC85" s="931"/>
      <c r="OGD85" s="931"/>
      <c r="OGE85" s="931"/>
      <c r="OGF85" s="931"/>
      <c r="OGG85" s="931"/>
      <c r="OGH85" s="931"/>
      <c r="OGI85" s="931"/>
      <c r="OGJ85" s="931"/>
      <c r="OGK85" s="931"/>
      <c r="OGL85" s="931"/>
      <c r="OGM85" s="931"/>
      <c r="OGN85" s="931"/>
      <c r="OGO85" s="931"/>
      <c r="OGP85" s="931"/>
      <c r="OGQ85" s="931"/>
      <c r="OGR85" s="931"/>
      <c r="OGS85" s="931"/>
      <c r="OGT85" s="931"/>
      <c r="OGU85" s="931"/>
      <c r="OGV85" s="931"/>
      <c r="OGW85" s="931"/>
      <c r="OGX85" s="931"/>
      <c r="OGY85" s="931"/>
      <c r="OGZ85" s="931"/>
      <c r="OHA85" s="931"/>
      <c r="OHB85" s="931"/>
      <c r="OHC85" s="931"/>
      <c r="OHD85" s="931"/>
      <c r="OHE85" s="931"/>
      <c r="OHF85" s="931"/>
      <c r="OHG85" s="931"/>
      <c r="OHH85" s="931"/>
      <c r="OHI85" s="931"/>
      <c r="OHJ85" s="931"/>
      <c r="OHK85" s="931"/>
      <c r="OHL85" s="931"/>
      <c r="OHM85" s="931"/>
      <c r="OHN85" s="931"/>
      <c r="OHO85" s="931"/>
      <c r="OHP85" s="931"/>
      <c r="OHQ85" s="931"/>
      <c r="OHR85" s="931"/>
      <c r="OHS85" s="931"/>
      <c r="OHT85" s="931"/>
      <c r="OHU85" s="931"/>
      <c r="OHV85" s="931"/>
      <c r="OHW85" s="931"/>
      <c r="OHX85" s="931"/>
      <c r="OHY85" s="931"/>
      <c r="OHZ85" s="931"/>
      <c r="OIA85" s="931"/>
      <c r="OIB85" s="931"/>
      <c r="OIC85" s="931"/>
      <c r="OID85" s="931"/>
      <c r="OIE85" s="931"/>
      <c r="OIF85" s="931"/>
      <c r="OIG85" s="931"/>
      <c r="OIH85" s="931"/>
      <c r="OII85" s="931"/>
      <c r="OIJ85" s="931"/>
      <c r="OIK85" s="931"/>
      <c r="OIL85" s="931"/>
      <c r="OIM85" s="931"/>
      <c r="OIN85" s="931"/>
      <c r="OIO85" s="931"/>
      <c r="OIP85" s="931"/>
      <c r="OIQ85" s="931"/>
      <c r="OIR85" s="931"/>
      <c r="OIS85" s="931"/>
      <c r="OIT85" s="931"/>
      <c r="OIU85" s="931"/>
      <c r="OIV85" s="931"/>
      <c r="OIW85" s="931"/>
      <c r="OIX85" s="931"/>
      <c r="OIY85" s="931"/>
      <c r="OIZ85" s="931"/>
      <c r="OJA85" s="931"/>
      <c r="OJB85" s="931"/>
      <c r="OJC85" s="931"/>
      <c r="OJD85" s="931"/>
      <c r="OJE85" s="931"/>
      <c r="OJF85" s="931"/>
      <c r="OJG85" s="931"/>
      <c r="OJH85" s="931"/>
      <c r="OJI85" s="931"/>
      <c r="OJJ85" s="931"/>
      <c r="OJK85" s="931"/>
      <c r="OJL85" s="931"/>
      <c r="OJM85" s="931"/>
      <c r="OJN85" s="931"/>
      <c r="OJO85" s="931"/>
      <c r="OJP85" s="931"/>
      <c r="OJQ85" s="931"/>
      <c r="OJR85" s="931"/>
      <c r="OJS85" s="931"/>
      <c r="OJT85" s="931"/>
      <c r="OJU85" s="931"/>
      <c r="OJV85" s="931"/>
      <c r="OJW85" s="931"/>
      <c r="OJX85" s="931"/>
      <c r="OJY85" s="931"/>
      <c r="OJZ85" s="931"/>
      <c r="OKA85" s="931"/>
      <c r="OKB85" s="931"/>
      <c r="OKC85" s="931"/>
      <c r="OKD85" s="931"/>
      <c r="OKE85" s="931"/>
      <c r="OKF85" s="931"/>
      <c r="OKG85" s="931"/>
      <c r="OKH85" s="931"/>
      <c r="OKI85" s="931"/>
      <c r="OKJ85" s="931"/>
      <c r="OKK85" s="931"/>
      <c r="OKL85" s="931"/>
      <c r="OKM85" s="931"/>
      <c r="OKN85" s="931"/>
      <c r="OKO85" s="931"/>
      <c r="OKP85" s="931"/>
      <c r="OKQ85" s="931"/>
      <c r="OKR85" s="931"/>
      <c r="OKS85" s="931"/>
      <c r="OKT85" s="931"/>
      <c r="OKU85" s="931"/>
      <c r="OKV85" s="931"/>
      <c r="OKW85" s="931"/>
      <c r="OKX85" s="931"/>
      <c r="OKY85" s="931"/>
      <c r="OKZ85" s="931"/>
      <c r="OLA85" s="931"/>
      <c r="OLB85" s="931"/>
      <c r="OLC85" s="931"/>
      <c r="OLD85" s="931"/>
      <c r="OLE85" s="931"/>
      <c r="OLF85" s="931"/>
      <c r="OLG85" s="931"/>
      <c r="OLH85" s="931"/>
      <c r="OLI85" s="931"/>
      <c r="OLJ85" s="931"/>
      <c r="OLK85" s="931"/>
      <c r="OLL85" s="931"/>
      <c r="OLM85" s="931"/>
      <c r="OLN85" s="931"/>
      <c r="OLO85" s="931"/>
      <c r="OLP85" s="931"/>
      <c r="OLQ85" s="931"/>
      <c r="OLR85" s="931"/>
      <c r="OLS85" s="931"/>
      <c r="OLT85" s="931"/>
      <c r="OLU85" s="931"/>
      <c r="OLV85" s="931"/>
      <c r="OLW85" s="931"/>
      <c r="OLX85" s="931"/>
      <c r="OLY85" s="931"/>
      <c r="OLZ85" s="931"/>
      <c r="OMA85" s="931"/>
      <c r="OMB85" s="931"/>
      <c r="OMC85" s="931"/>
      <c r="OMD85" s="931"/>
      <c r="OME85" s="931"/>
      <c r="OMF85" s="931"/>
      <c r="OMG85" s="931"/>
      <c r="OMH85" s="931"/>
      <c r="OMI85" s="931"/>
      <c r="OMJ85" s="931"/>
      <c r="OMK85" s="931"/>
      <c r="OML85" s="931"/>
      <c r="OMM85" s="931"/>
      <c r="OMN85" s="931"/>
      <c r="OMO85" s="931"/>
      <c r="OMP85" s="931"/>
      <c r="OMQ85" s="931"/>
      <c r="OMR85" s="931"/>
      <c r="OMS85" s="931"/>
      <c r="OMT85" s="931"/>
      <c r="OMU85" s="931"/>
      <c r="OMV85" s="931"/>
      <c r="OMW85" s="931"/>
      <c r="OMX85" s="931"/>
      <c r="OMY85" s="931"/>
      <c r="OMZ85" s="931"/>
      <c r="ONA85" s="931"/>
      <c r="ONB85" s="931"/>
      <c r="ONC85" s="931"/>
      <c r="OND85" s="931"/>
      <c r="ONE85" s="931"/>
      <c r="ONF85" s="931"/>
      <c r="ONG85" s="931"/>
      <c r="ONH85" s="931"/>
      <c r="ONI85" s="931"/>
      <c r="ONJ85" s="931"/>
      <c r="ONK85" s="931"/>
      <c r="ONL85" s="931"/>
      <c r="ONM85" s="931"/>
      <c r="ONN85" s="931"/>
      <c r="ONO85" s="931"/>
      <c r="ONP85" s="931"/>
      <c r="ONQ85" s="931"/>
      <c r="ONR85" s="931"/>
      <c r="ONS85" s="931"/>
      <c r="ONT85" s="931"/>
      <c r="ONU85" s="931"/>
      <c r="ONV85" s="931"/>
      <c r="ONW85" s="931"/>
      <c r="ONX85" s="931"/>
      <c r="ONY85" s="931"/>
      <c r="ONZ85" s="931"/>
      <c r="OOA85" s="931"/>
      <c r="OOB85" s="931"/>
      <c r="OOC85" s="931"/>
      <c r="OOD85" s="931"/>
      <c r="OOE85" s="931"/>
      <c r="OOF85" s="931"/>
      <c r="OOG85" s="931"/>
      <c r="OOH85" s="931"/>
      <c r="OOI85" s="931"/>
      <c r="OOJ85" s="931"/>
      <c r="OOK85" s="931"/>
      <c r="OOL85" s="931"/>
      <c r="OOM85" s="931"/>
      <c r="OON85" s="931"/>
      <c r="OOO85" s="931"/>
      <c r="OOP85" s="931"/>
      <c r="OOQ85" s="931"/>
      <c r="OOR85" s="931"/>
      <c r="OOS85" s="931"/>
      <c r="OOT85" s="931"/>
      <c r="OOU85" s="931"/>
      <c r="OOV85" s="931"/>
      <c r="OOW85" s="931"/>
      <c r="OOX85" s="931"/>
      <c r="OOY85" s="931"/>
      <c r="OOZ85" s="931"/>
      <c r="OPA85" s="931"/>
      <c r="OPB85" s="931"/>
      <c r="OPC85" s="931"/>
      <c r="OPD85" s="931"/>
      <c r="OPE85" s="931"/>
      <c r="OPF85" s="931"/>
      <c r="OPG85" s="931"/>
      <c r="OPH85" s="931"/>
      <c r="OPI85" s="931"/>
      <c r="OPJ85" s="931"/>
      <c r="OPK85" s="931"/>
      <c r="OPL85" s="931"/>
      <c r="OPM85" s="931"/>
      <c r="OPN85" s="931"/>
      <c r="OPO85" s="931"/>
      <c r="OPP85" s="931"/>
      <c r="OPQ85" s="931"/>
      <c r="OPR85" s="931"/>
      <c r="OPS85" s="931"/>
      <c r="OPT85" s="931"/>
      <c r="OPU85" s="931"/>
      <c r="OPV85" s="931"/>
      <c r="OPW85" s="931"/>
      <c r="OPX85" s="931"/>
      <c r="OPY85" s="931"/>
      <c r="OPZ85" s="931"/>
      <c r="OQA85" s="931"/>
      <c r="OQB85" s="931"/>
      <c r="OQC85" s="931"/>
      <c r="OQD85" s="931"/>
      <c r="OQE85" s="931"/>
      <c r="OQF85" s="931"/>
      <c r="OQG85" s="931"/>
      <c r="OQH85" s="931"/>
      <c r="OQI85" s="931"/>
      <c r="OQJ85" s="931"/>
      <c r="OQK85" s="931"/>
      <c r="OQL85" s="931"/>
      <c r="OQM85" s="931"/>
      <c r="OQN85" s="931"/>
      <c r="OQO85" s="931"/>
      <c r="OQP85" s="931"/>
      <c r="OQQ85" s="931"/>
      <c r="OQR85" s="931"/>
      <c r="OQS85" s="931"/>
      <c r="OQT85" s="931"/>
      <c r="OQU85" s="931"/>
      <c r="OQV85" s="931"/>
      <c r="OQW85" s="931"/>
      <c r="OQX85" s="931"/>
      <c r="OQY85" s="931"/>
      <c r="OQZ85" s="931"/>
      <c r="ORA85" s="931"/>
      <c r="ORB85" s="931"/>
      <c r="ORC85" s="931"/>
      <c r="ORD85" s="931"/>
      <c r="ORE85" s="931"/>
      <c r="ORF85" s="931"/>
      <c r="ORG85" s="931"/>
      <c r="ORH85" s="931"/>
      <c r="ORI85" s="931"/>
      <c r="ORJ85" s="931"/>
      <c r="ORK85" s="931"/>
      <c r="ORL85" s="931"/>
      <c r="ORM85" s="931"/>
      <c r="ORN85" s="931"/>
      <c r="ORO85" s="931"/>
      <c r="ORP85" s="931"/>
      <c r="ORQ85" s="931"/>
      <c r="ORR85" s="931"/>
      <c r="ORS85" s="931"/>
      <c r="ORT85" s="931"/>
      <c r="ORU85" s="931"/>
      <c r="ORV85" s="931"/>
      <c r="ORW85" s="931"/>
      <c r="ORX85" s="931"/>
      <c r="ORY85" s="931"/>
      <c r="ORZ85" s="931"/>
      <c r="OSA85" s="931"/>
      <c r="OSB85" s="931"/>
      <c r="OSC85" s="931"/>
      <c r="OSD85" s="931"/>
      <c r="OSE85" s="931"/>
      <c r="OSF85" s="931"/>
      <c r="OSG85" s="931"/>
      <c r="OSH85" s="931"/>
      <c r="OSI85" s="931"/>
      <c r="OSJ85" s="931"/>
      <c r="OSK85" s="931"/>
      <c r="OSL85" s="931"/>
      <c r="OSM85" s="931"/>
      <c r="OSN85" s="931"/>
      <c r="OSO85" s="931"/>
      <c r="OSP85" s="931"/>
      <c r="OSQ85" s="931"/>
      <c r="OSR85" s="931"/>
      <c r="OSS85" s="931"/>
      <c r="OST85" s="931"/>
      <c r="OSU85" s="931"/>
      <c r="OSV85" s="931"/>
      <c r="OSW85" s="931"/>
      <c r="OSX85" s="931"/>
      <c r="OSY85" s="931"/>
      <c r="OSZ85" s="931"/>
      <c r="OTA85" s="931"/>
      <c r="OTB85" s="931"/>
      <c r="OTC85" s="931"/>
      <c r="OTD85" s="931"/>
      <c r="OTE85" s="931"/>
      <c r="OTF85" s="931"/>
      <c r="OTG85" s="931"/>
      <c r="OTH85" s="931"/>
      <c r="OTI85" s="931"/>
      <c r="OTJ85" s="931"/>
      <c r="OTK85" s="931"/>
      <c r="OTL85" s="931"/>
      <c r="OTM85" s="931"/>
      <c r="OTN85" s="931"/>
      <c r="OTO85" s="931"/>
      <c r="OTP85" s="931"/>
      <c r="OTQ85" s="931"/>
      <c r="OTR85" s="931"/>
      <c r="OTS85" s="931"/>
      <c r="OTT85" s="931"/>
      <c r="OTU85" s="931"/>
      <c r="OTV85" s="931"/>
      <c r="OTW85" s="931"/>
      <c r="OTX85" s="931"/>
      <c r="OTY85" s="931"/>
      <c r="OTZ85" s="931"/>
      <c r="OUA85" s="931"/>
      <c r="OUB85" s="931"/>
      <c r="OUC85" s="931"/>
      <c r="OUD85" s="931"/>
      <c r="OUE85" s="931"/>
      <c r="OUF85" s="931"/>
      <c r="OUG85" s="931"/>
      <c r="OUH85" s="931"/>
      <c r="OUI85" s="931"/>
      <c r="OUJ85" s="931"/>
      <c r="OUK85" s="931"/>
      <c r="OUL85" s="931"/>
      <c r="OUM85" s="931"/>
      <c r="OUN85" s="931"/>
      <c r="OUO85" s="931"/>
      <c r="OUP85" s="931"/>
      <c r="OUQ85" s="931"/>
      <c r="OUR85" s="931"/>
      <c r="OUS85" s="931"/>
      <c r="OUT85" s="931"/>
      <c r="OUU85" s="931"/>
      <c r="OUV85" s="931"/>
      <c r="OUW85" s="931"/>
      <c r="OUX85" s="931"/>
      <c r="OUY85" s="931"/>
      <c r="OUZ85" s="931"/>
      <c r="OVA85" s="931"/>
      <c r="OVB85" s="931"/>
      <c r="OVC85" s="931"/>
      <c r="OVD85" s="931"/>
      <c r="OVE85" s="931"/>
      <c r="OVF85" s="931"/>
      <c r="OVG85" s="931"/>
      <c r="OVH85" s="931"/>
      <c r="OVI85" s="931"/>
      <c r="OVJ85" s="931"/>
      <c r="OVK85" s="931"/>
      <c r="OVL85" s="931"/>
      <c r="OVM85" s="931"/>
      <c r="OVN85" s="931"/>
      <c r="OVO85" s="931"/>
      <c r="OVP85" s="931"/>
      <c r="OVQ85" s="931"/>
      <c r="OVR85" s="931"/>
      <c r="OVS85" s="931"/>
      <c r="OVT85" s="931"/>
      <c r="OVU85" s="931"/>
      <c r="OVV85" s="931"/>
      <c r="OVW85" s="931"/>
      <c r="OVX85" s="931"/>
      <c r="OVY85" s="931"/>
      <c r="OVZ85" s="931"/>
      <c r="OWA85" s="931"/>
      <c r="OWB85" s="931"/>
      <c r="OWC85" s="931"/>
      <c r="OWD85" s="931"/>
      <c r="OWE85" s="931"/>
      <c r="OWF85" s="931"/>
      <c r="OWG85" s="931"/>
      <c r="OWH85" s="931"/>
      <c r="OWI85" s="931"/>
      <c r="OWJ85" s="931"/>
      <c r="OWK85" s="931"/>
      <c r="OWL85" s="931"/>
      <c r="OWM85" s="931"/>
      <c r="OWN85" s="931"/>
      <c r="OWO85" s="931"/>
      <c r="OWP85" s="931"/>
      <c r="OWQ85" s="931"/>
      <c r="OWR85" s="931"/>
      <c r="OWS85" s="931"/>
      <c r="OWT85" s="931"/>
      <c r="OWU85" s="931"/>
      <c r="OWV85" s="931"/>
      <c r="OWW85" s="931"/>
      <c r="OWX85" s="931"/>
      <c r="OWY85" s="931"/>
      <c r="OWZ85" s="931"/>
      <c r="OXA85" s="931"/>
      <c r="OXB85" s="931"/>
      <c r="OXC85" s="931"/>
      <c r="OXD85" s="931"/>
      <c r="OXE85" s="931"/>
      <c r="OXF85" s="931"/>
      <c r="OXG85" s="931"/>
      <c r="OXH85" s="931"/>
      <c r="OXI85" s="931"/>
      <c r="OXJ85" s="931"/>
      <c r="OXK85" s="931"/>
      <c r="OXL85" s="931"/>
      <c r="OXM85" s="931"/>
      <c r="OXN85" s="931"/>
      <c r="OXO85" s="931"/>
      <c r="OXP85" s="931"/>
      <c r="OXQ85" s="931"/>
      <c r="OXR85" s="931"/>
      <c r="OXS85" s="931"/>
      <c r="OXT85" s="931"/>
      <c r="OXU85" s="931"/>
      <c r="OXV85" s="931"/>
      <c r="OXW85" s="931"/>
      <c r="OXX85" s="931"/>
      <c r="OXY85" s="931"/>
      <c r="OXZ85" s="931"/>
      <c r="OYA85" s="931"/>
      <c r="OYB85" s="931"/>
      <c r="OYC85" s="931"/>
      <c r="OYD85" s="931"/>
      <c r="OYE85" s="931"/>
      <c r="OYF85" s="931"/>
      <c r="OYG85" s="931"/>
      <c r="OYH85" s="931"/>
      <c r="OYI85" s="931"/>
      <c r="OYJ85" s="931"/>
      <c r="OYK85" s="931"/>
      <c r="OYL85" s="931"/>
      <c r="OYM85" s="931"/>
      <c r="OYN85" s="931"/>
      <c r="OYO85" s="931"/>
      <c r="OYP85" s="931"/>
      <c r="OYQ85" s="931"/>
      <c r="OYR85" s="931"/>
      <c r="OYS85" s="931"/>
      <c r="OYT85" s="931"/>
      <c r="OYU85" s="931"/>
      <c r="OYV85" s="931"/>
      <c r="OYW85" s="931"/>
      <c r="OYX85" s="931"/>
      <c r="OYY85" s="931"/>
      <c r="OYZ85" s="931"/>
      <c r="OZA85" s="931"/>
      <c r="OZB85" s="931"/>
      <c r="OZC85" s="931"/>
      <c r="OZD85" s="931"/>
      <c r="OZE85" s="931"/>
      <c r="OZF85" s="931"/>
      <c r="OZG85" s="931"/>
      <c r="OZH85" s="931"/>
      <c r="OZI85" s="931"/>
      <c r="OZJ85" s="931"/>
      <c r="OZK85" s="931"/>
      <c r="OZL85" s="931"/>
      <c r="OZM85" s="931"/>
      <c r="OZN85" s="931"/>
      <c r="OZO85" s="931"/>
      <c r="OZP85" s="931"/>
      <c r="OZQ85" s="931"/>
      <c r="OZR85" s="931"/>
      <c r="OZS85" s="931"/>
      <c r="OZT85" s="931"/>
      <c r="OZU85" s="931"/>
      <c r="OZV85" s="931"/>
      <c r="OZW85" s="931"/>
      <c r="OZX85" s="931"/>
      <c r="OZY85" s="931"/>
      <c r="OZZ85" s="931"/>
      <c r="PAA85" s="931"/>
      <c r="PAB85" s="931"/>
      <c r="PAC85" s="931"/>
      <c r="PAD85" s="931"/>
      <c r="PAE85" s="931"/>
      <c r="PAF85" s="931"/>
      <c r="PAG85" s="931"/>
      <c r="PAH85" s="931"/>
      <c r="PAI85" s="931"/>
      <c r="PAJ85" s="931"/>
      <c r="PAK85" s="931"/>
      <c r="PAL85" s="931"/>
      <c r="PAM85" s="931"/>
      <c r="PAN85" s="931"/>
      <c r="PAO85" s="931"/>
      <c r="PAP85" s="931"/>
      <c r="PAQ85" s="931"/>
      <c r="PAR85" s="931"/>
      <c r="PAS85" s="931"/>
      <c r="PAT85" s="931"/>
      <c r="PAU85" s="931"/>
      <c r="PAV85" s="931"/>
      <c r="PAW85" s="931"/>
      <c r="PAX85" s="931"/>
      <c r="PAY85" s="931"/>
      <c r="PAZ85" s="931"/>
      <c r="PBA85" s="931"/>
      <c r="PBB85" s="931"/>
      <c r="PBC85" s="931"/>
      <c r="PBD85" s="931"/>
      <c r="PBE85" s="931"/>
      <c r="PBF85" s="931"/>
      <c r="PBG85" s="931"/>
      <c r="PBH85" s="931"/>
      <c r="PBI85" s="931"/>
      <c r="PBJ85" s="931"/>
      <c r="PBK85" s="931"/>
      <c r="PBL85" s="931"/>
      <c r="PBM85" s="931"/>
      <c r="PBN85" s="931"/>
      <c r="PBO85" s="931"/>
      <c r="PBP85" s="931"/>
      <c r="PBQ85" s="931"/>
      <c r="PBR85" s="931"/>
      <c r="PBS85" s="931"/>
      <c r="PBT85" s="931"/>
      <c r="PBU85" s="931"/>
      <c r="PBV85" s="931"/>
      <c r="PBW85" s="931"/>
      <c r="PBX85" s="931"/>
      <c r="PBY85" s="931"/>
      <c r="PBZ85" s="931"/>
      <c r="PCA85" s="931"/>
      <c r="PCB85" s="931"/>
      <c r="PCC85" s="931"/>
      <c r="PCD85" s="931"/>
      <c r="PCE85" s="931"/>
      <c r="PCF85" s="931"/>
      <c r="PCG85" s="931"/>
      <c r="PCH85" s="931"/>
      <c r="PCI85" s="931"/>
      <c r="PCJ85" s="931"/>
      <c r="PCK85" s="931"/>
      <c r="PCL85" s="931"/>
      <c r="PCM85" s="931"/>
      <c r="PCN85" s="931"/>
      <c r="PCO85" s="931"/>
      <c r="PCP85" s="931"/>
      <c r="PCQ85" s="931"/>
      <c r="PCR85" s="931"/>
      <c r="PCS85" s="931"/>
      <c r="PCT85" s="931"/>
      <c r="PCU85" s="931"/>
      <c r="PCV85" s="931"/>
      <c r="PCW85" s="931"/>
      <c r="PCX85" s="931"/>
      <c r="PCY85" s="931"/>
      <c r="PCZ85" s="931"/>
      <c r="PDA85" s="931"/>
      <c r="PDB85" s="931"/>
      <c r="PDC85" s="931"/>
      <c r="PDD85" s="931"/>
      <c r="PDE85" s="931"/>
      <c r="PDF85" s="931"/>
      <c r="PDG85" s="931"/>
      <c r="PDH85" s="931"/>
      <c r="PDI85" s="931"/>
      <c r="PDJ85" s="931"/>
      <c r="PDK85" s="931"/>
      <c r="PDL85" s="931"/>
      <c r="PDM85" s="931"/>
      <c r="PDN85" s="931"/>
      <c r="PDO85" s="931"/>
      <c r="PDP85" s="931"/>
      <c r="PDQ85" s="931"/>
      <c r="PDR85" s="931"/>
      <c r="PDS85" s="931"/>
      <c r="PDT85" s="931"/>
      <c r="PDU85" s="931"/>
      <c r="PDV85" s="931"/>
      <c r="PDW85" s="931"/>
      <c r="PDX85" s="931"/>
      <c r="PDY85" s="931"/>
      <c r="PDZ85" s="931"/>
      <c r="PEA85" s="931"/>
      <c r="PEB85" s="931"/>
      <c r="PEC85" s="931"/>
      <c r="PED85" s="931"/>
      <c r="PEE85" s="931"/>
      <c r="PEF85" s="931"/>
      <c r="PEG85" s="931"/>
      <c r="PEH85" s="931"/>
      <c r="PEI85" s="931"/>
      <c r="PEJ85" s="931"/>
      <c r="PEK85" s="931"/>
      <c r="PEL85" s="931"/>
      <c r="PEM85" s="931"/>
      <c r="PEN85" s="931"/>
      <c r="PEO85" s="931"/>
      <c r="PEP85" s="931"/>
      <c r="PEQ85" s="931"/>
      <c r="PER85" s="931"/>
      <c r="PES85" s="931"/>
      <c r="PET85" s="931"/>
      <c r="PEU85" s="931"/>
      <c r="PEV85" s="931"/>
      <c r="PEW85" s="931"/>
      <c r="PEX85" s="931"/>
      <c r="PEY85" s="931"/>
      <c r="PEZ85" s="931"/>
      <c r="PFA85" s="931"/>
      <c r="PFB85" s="931"/>
      <c r="PFC85" s="931"/>
      <c r="PFD85" s="931"/>
      <c r="PFE85" s="931"/>
      <c r="PFF85" s="931"/>
      <c r="PFG85" s="931"/>
      <c r="PFH85" s="931"/>
      <c r="PFI85" s="931"/>
      <c r="PFJ85" s="931"/>
      <c r="PFK85" s="931"/>
      <c r="PFL85" s="931"/>
      <c r="PFM85" s="931"/>
      <c r="PFN85" s="931"/>
      <c r="PFO85" s="931"/>
      <c r="PFP85" s="931"/>
      <c r="PFQ85" s="931"/>
      <c r="PFR85" s="931"/>
      <c r="PFS85" s="931"/>
      <c r="PFT85" s="931"/>
      <c r="PFU85" s="931"/>
      <c r="PFV85" s="931"/>
      <c r="PFW85" s="931"/>
      <c r="PFX85" s="931"/>
      <c r="PFY85" s="931"/>
      <c r="PFZ85" s="931"/>
      <c r="PGA85" s="931"/>
      <c r="PGB85" s="931"/>
      <c r="PGC85" s="931"/>
      <c r="PGD85" s="931"/>
      <c r="PGE85" s="931"/>
      <c r="PGF85" s="931"/>
      <c r="PGG85" s="931"/>
      <c r="PGH85" s="931"/>
      <c r="PGI85" s="931"/>
      <c r="PGJ85" s="931"/>
      <c r="PGK85" s="931"/>
      <c r="PGL85" s="931"/>
      <c r="PGM85" s="931"/>
      <c r="PGN85" s="931"/>
      <c r="PGO85" s="931"/>
      <c r="PGP85" s="931"/>
      <c r="PGQ85" s="931"/>
      <c r="PGR85" s="931"/>
      <c r="PGS85" s="931"/>
      <c r="PGT85" s="931"/>
      <c r="PGU85" s="931"/>
      <c r="PGV85" s="931"/>
      <c r="PGW85" s="931"/>
      <c r="PGX85" s="931"/>
      <c r="PGY85" s="931"/>
      <c r="PGZ85" s="931"/>
      <c r="PHA85" s="931"/>
      <c r="PHB85" s="931"/>
      <c r="PHC85" s="931"/>
      <c r="PHD85" s="931"/>
      <c r="PHE85" s="931"/>
      <c r="PHF85" s="931"/>
      <c r="PHG85" s="931"/>
      <c r="PHH85" s="931"/>
      <c r="PHI85" s="931"/>
      <c r="PHJ85" s="931"/>
      <c r="PHK85" s="931"/>
      <c r="PHL85" s="931"/>
      <c r="PHM85" s="931"/>
      <c r="PHN85" s="931"/>
      <c r="PHO85" s="931"/>
      <c r="PHP85" s="931"/>
      <c r="PHQ85" s="931"/>
      <c r="PHR85" s="931"/>
      <c r="PHS85" s="931"/>
      <c r="PHT85" s="931"/>
      <c r="PHU85" s="931"/>
      <c r="PHV85" s="931"/>
      <c r="PHW85" s="931"/>
      <c r="PHX85" s="931"/>
      <c r="PHY85" s="931"/>
      <c r="PHZ85" s="931"/>
      <c r="PIA85" s="931"/>
      <c r="PIB85" s="931"/>
      <c r="PIC85" s="931"/>
      <c r="PID85" s="931"/>
      <c r="PIE85" s="931"/>
      <c r="PIF85" s="931"/>
      <c r="PIG85" s="931"/>
      <c r="PIH85" s="931"/>
      <c r="PII85" s="931"/>
      <c r="PIJ85" s="931"/>
      <c r="PIK85" s="931"/>
      <c r="PIL85" s="931"/>
      <c r="PIM85" s="931"/>
      <c r="PIN85" s="931"/>
      <c r="PIO85" s="931"/>
      <c r="PIP85" s="931"/>
      <c r="PIQ85" s="931"/>
      <c r="PIR85" s="931"/>
      <c r="PIS85" s="931"/>
      <c r="PIT85" s="931"/>
      <c r="PIU85" s="931"/>
      <c r="PIV85" s="931"/>
      <c r="PIW85" s="931"/>
      <c r="PIX85" s="931"/>
      <c r="PIY85" s="931"/>
      <c r="PIZ85" s="931"/>
      <c r="PJA85" s="931"/>
      <c r="PJB85" s="931"/>
      <c r="PJC85" s="931"/>
      <c r="PJD85" s="931"/>
      <c r="PJE85" s="931"/>
      <c r="PJF85" s="931"/>
      <c r="PJG85" s="931"/>
      <c r="PJH85" s="931"/>
      <c r="PJI85" s="931"/>
      <c r="PJJ85" s="931"/>
      <c r="PJK85" s="931"/>
      <c r="PJL85" s="931"/>
      <c r="PJM85" s="931"/>
      <c r="PJN85" s="931"/>
      <c r="PJO85" s="931"/>
      <c r="PJP85" s="931"/>
      <c r="PJQ85" s="931"/>
      <c r="PJR85" s="931"/>
      <c r="PJS85" s="931"/>
      <c r="PJT85" s="931"/>
      <c r="PJU85" s="931"/>
      <c r="PJV85" s="931"/>
      <c r="PJW85" s="931"/>
      <c r="PJX85" s="931"/>
      <c r="PJY85" s="931"/>
      <c r="PJZ85" s="931"/>
      <c r="PKA85" s="931"/>
      <c r="PKB85" s="931"/>
      <c r="PKC85" s="931"/>
      <c r="PKD85" s="931"/>
      <c r="PKE85" s="931"/>
      <c r="PKF85" s="931"/>
      <c r="PKG85" s="931"/>
      <c r="PKH85" s="931"/>
      <c r="PKI85" s="931"/>
      <c r="PKJ85" s="931"/>
      <c r="PKK85" s="931"/>
      <c r="PKL85" s="931"/>
      <c r="PKM85" s="931"/>
      <c r="PKN85" s="931"/>
      <c r="PKO85" s="931"/>
      <c r="PKP85" s="931"/>
      <c r="PKQ85" s="931"/>
      <c r="PKR85" s="931"/>
      <c r="PKS85" s="931"/>
      <c r="PKT85" s="931"/>
      <c r="PKU85" s="931"/>
      <c r="PKV85" s="931"/>
      <c r="PKW85" s="931"/>
      <c r="PKX85" s="931"/>
      <c r="PKY85" s="931"/>
      <c r="PKZ85" s="931"/>
      <c r="PLA85" s="931"/>
      <c r="PLB85" s="931"/>
      <c r="PLC85" s="931"/>
      <c r="PLD85" s="931"/>
      <c r="PLE85" s="931"/>
      <c r="PLF85" s="931"/>
      <c r="PLG85" s="931"/>
      <c r="PLH85" s="931"/>
      <c r="PLI85" s="931"/>
      <c r="PLJ85" s="931"/>
      <c r="PLK85" s="931"/>
      <c r="PLL85" s="931"/>
      <c r="PLM85" s="931"/>
      <c r="PLN85" s="931"/>
      <c r="PLO85" s="931"/>
      <c r="PLP85" s="931"/>
      <c r="PLQ85" s="931"/>
      <c r="PLR85" s="931"/>
      <c r="PLS85" s="931"/>
      <c r="PLT85" s="931"/>
      <c r="PLU85" s="931"/>
      <c r="PLV85" s="931"/>
      <c r="PLW85" s="931"/>
      <c r="PLX85" s="931"/>
      <c r="PLY85" s="931"/>
      <c r="PLZ85" s="931"/>
      <c r="PMA85" s="931"/>
      <c r="PMB85" s="931"/>
      <c r="PMC85" s="931"/>
      <c r="PMD85" s="931"/>
      <c r="PME85" s="931"/>
      <c r="PMF85" s="931"/>
      <c r="PMG85" s="931"/>
      <c r="PMH85" s="931"/>
      <c r="PMI85" s="931"/>
      <c r="PMJ85" s="931"/>
      <c r="PMK85" s="931"/>
      <c r="PML85" s="931"/>
      <c r="PMM85" s="931"/>
      <c r="PMN85" s="931"/>
      <c r="PMO85" s="931"/>
      <c r="PMP85" s="931"/>
      <c r="PMQ85" s="931"/>
      <c r="PMR85" s="931"/>
      <c r="PMS85" s="931"/>
      <c r="PMT85" s="931"/>
      <c r="PMU85" s="931"/>
      <c r="PMV85" s="931"/>
      <c r="PMW85" s="931"/>
      <c r="PMX85" s="931"/>
      <c r="PMY85" s="931"/>
      <c r="PMZ85" s="931"/>
      <c r="PNA85" s="931"/>
      <c r="PNB85" s="931"/>
      <c r="PNC85" s="931"/>
      <c r="PND85" s="931"/>
      <c r="PNE85" s="931"/>
      <c r="PNF85" s="931"/>
      <c r="PNG85" s="931"/>
      <c r="PNH85" s="931"/>
      <c r="PNI85" s="931"/>
      <c r="PNJ85" s="931"/>
      <c r="PNK85" s="931"/>
      <c r="PNL85" s="931"/>
      <c r="PNM85" s="931"/>
      <c r="PNN85" s="931"/>
      <c r="PNO85" s="931"/>
      <c r="PNP85" s="931"/>
      <c r="PNQ85" s="931"/>
      <c r="PNR85" s="931"/>
      <c r="PNS85" s="931"/>
      <c r="PNT85" s="931"/>
      <c r="PNU85" s="931"/>
      <c r="PNV85" s="931"/>
      <c r="PNW85" s="931"/>
      <c r="PNX85" s="931"/>
      <c r="PNY85" s="931"/>
      <c r="PNZ85" s="931"/>
      <c r="POA85" s="931"/>
      <c r="POB85" s="931"/>
      <c r="POC85" s="931"/>
      <c r="POD85" s="931"/>
      <c r="POE85" s="931"/>
      <c r="POF85" s="931"/>
      <c r="POG85" s="931"/>
      <c r="POH85" s="931"/>
      <c r="POI85" s="931"/>
      <c r="POJ85" s="931"/>
      <c r="POK85" s="931"/>
      <c r="POL85" s="931"/>
      <c r="POM85" s="931"/>
      <c r="PON85" s="931"/>
      <c r="POO85" s="931"/>
      <c r="POP85" s="931"/>
      <c r="POQ85" s="931"/>
      <c r="POR85" s="931"/>
      <c r="POS85" s="931"/>
      <c r="POT85" s="931"/>
      <c r="POU85" s="931"/>
      <c r="POV85" s="931"/>
      <c r="POW85" s="931"/>
      <c r="POX85" s="931"/>
      <c r="POY85" s="931"/>
      <c r="POZ85" s="931"/>
      <c r="PPA85" s="931"/>
      <c r="PPB85" s="931"/>
      <c r="PPC85" s="931"/>
      <c r="PPD85" s="931"/>
      <c r="PPE85" s="931"/>
      <c r="PPF85" s="931"/>
      <c r="PPG85" s="931"/>
      <c r="PPH85" s="931"/>
      <c r="PPI85" s="931"/>
      <c r="PPJ85" s="931"/>
      <c r="PPK85" s="931"/>
      <c r="PPL85" s="931"/>
      <c r="PPM85" s="931"/>
      <c r="PPN85" s="931"/>
      <c r="PPO85" s="931"/>
      <c r="PPP85" s="931"/>
      <c r="PPQ85" s="931"/>
      <c r="PPR85" s="931"/>
      <c r="PPS85" s="931"/>
      <c r="PPT85" s="931"/>
      <c r="PPU85" s="931"/>
      <c r="PPV85" s="931"/>
      <c r="PPW85" s="931"/>
      <c r="PPX85" s="931"/>
      <c r="PPY85" s="931"/>
      <c r="PPZ85" s="931"/>
      <c r="PQA85" s="931"/>
      <c r="PQB85" s="931"/>
      <c r="PQC85" s="931"/>
      <c r="PQD85" s="931"/>
      <c r="PQE85" s="931"/>
      <c r="PQF85" s="931"/>
      <c r="PQG85" s="931"/>
      <c r="PQH85" s="931"/>
      <c r="PQI85" s="931"/>
      <c r="PQJ85" s="931"/>
      <c r="PQK85" s="931"/>
      <c r="PQL85" s="931"/>
      <c r="PQM85" s="931"/>
      <c r="PQN85" s="931"/>
      <c r="PQO85" s="931"/>
      <c r="PQP85" s="931"/>
      <c r="PQQ85" s="931"/>
      <c r="PQR85" s="931"/>
      <c r="PQS85" s="931"/>
      <c r="PQT85" s="931"/>
      <c r="PQU85" s="931"/>
      <c r="PQV85" s="931"/>
      <c r="PQW85" s="931"/>
      <c r="PQX85" s="931"/>
      <c r="PQY85" s="931"/>
      <c r="PQZ85" s="931"/>
      <c r="PRA85" s="931"/>
      <c r="PRB85" s="931"/>
      <c r="PRC85" s="931"/>
      <c r="PRD85" s="931"/>
      <c r="PRE85" s="931"/>
      <c r="PRF85" s="931"/>
      <c r="PRG85" s="931"/>
      <c r="PRH85" s="931"/>
      <c r="PRI85" s="931"/>
      <c r="PRJ85" s="931"/>
      <c r="PRK85" s="931"/>
      <c r="PRL85" s="931"/>
      <c r="PRM85" s="931"/>
      <c r="PRN85" s="931"/>
      <c r="PRO85" s="931"/>
      <c r="PRP85" s="931"/>
      <c r="PRQ85" s="931"/>
      <c r="PRR85" s="931"/>
      <c r="PRS85" s="931"/>
      <c r="PRT85" s="931"/>
      <c r="PRU85" s="931"/>
      <c r="PRV85" s="931"/>
      <c r="PRW85" s="931"/>
      <c r="PRX85" s="931"/>
      <c r="PRY85" s="931"/>
      <c r="PRZ85" s="931"/>
      <c r="PSA85" s="931"/>
      <c r="PSB85" s="931"/>
      <c r="PSC85" s="931"/>
      <c r="PSD85" s="931"/>
      <c r="PSE85" s="931"/>
      <c r="PSF85" s="931"/>
      <c r="PSG85" s="931"/>
      <c r="PSH85" s="931"/>
      <c r="PSI85" s="931"/>
      <c r="PSJ85" s="931"/>
      <c r="PSK85" s="931"/>
      <c r="PSL85" s="931"/>
      <c r="PSM85" s="931"/>
      <c r="PSN85" s="931"/>
      <c r="PSO85" s="931"/>
      <c r="PSP85" s="931"/>
      <c r="PSQ85" s="931"/>
      <c r="PSR85" s="931"/>
      <c r="PSS85" s="931"/>
      <c r="PST85" s="931"/>
      <c r="PSU85" s="931"/>
      <c r="PSV85" s="931"/>
      <c r="PSW85" s="931"/>
      <c r="PSX85" s="931"/>
      <c r="PSY85" s="931"/>
      <c r="PSZ85" s="931"/>
      <c r="PTA85" s="931"/>
      <c r="PTB85" s="931"/>
      <c r="PTC85" s="931"/>
      <c r="PTD85" s="931"/>
      <c r="PTE85" s="931"/>
      <c r="PTF85" s="931"/>
      <c r="PTG85" s="931"/>
      <c r="PTH85" s="931"/>
      <c r="PTI85" s="931"/>
      <c r="PTJ85" s="931"/>
      <c r="PTK85" s="931"/>
      <c r="PTL85" s="931"/>
      <c r="PTM85" s="931"/>
      <c r="PTN85" s="931"/>
      <c r="PTO85" s="931"/>
      <c r="PTP85" s="931"/>
      <c r="PTQ85" s="931"/>
      <c r="PTR85" s="931"/>
      <c r="PTS85" s="931"/>
      <c r="PTT85" s="931"/>
      <c r="PTU85" s="931"/>
      <c r="PTV85" s="931"/>
      <c r="PTW85" s="931"/>
      <c r="PTX85" s="931"/>
      <c r="PTY85" s="931"/>
      <c r="PTZ85" s="931"/>
      <c r="PUA85" s="931"/>
      <c r="PUB85" s="931"/>
      <c r="PUC85" s="931"/>
      <c r="PUD85" s="931"/>
      <c r="PUE85" s="931"/>
      <c r="PUF85" s="931"/>
      <c r="PUG85" s="931"/>
      <c r="PUH85" s="931"/>
      <c r="PUI85" s="931"/>
      <c r="PUJ85" s="931"/>
      <c r="PUK85" s="931"/>
      <c r="PUL85" s="931"/>
      <c r="PUM85" s="931"/>
      <c r="PUN85" s="931"/>
      <c r="PUO85" s="931"/>
      <c r="PUP85" s="931"/>
      <c r="PUQ85" s="931"/>
      <c r="PUR85" s="931"/>
      <c r="PUS85" s="931"/>
      <c r="PUT85" s="931"/>
      <c r="PUU85" s="931"/>
      <c r="PUV85" s="931"/>
      <c r="PUW85" s="931"/>
      <c r="PUX85" s="931"/>
      <c r="PUY85" s="931"/>
      <c r="PUZ85" s="931"/>
      <c r="PVA85" s="931"/>
      <c r="PVB85" s="931"/>
      <c r="PVC85" s="931"/>
      <c r="PVD85" s="931"/>
      <c r="PVE85" s="931"/>
      <c r="PVF85" s="931"/>
      <c r="PVG85" s="931"/>
      <c r="PVH85" s="931"/>
      <c r="PVI85" s="931"/>
      <c r="PVJ85" s="931"/>
      <c r="PVK85" s="931"/>
      <c r="PVL85" s="931"/>
      <c r="PVM85" s="931"/>
      <c r="PVN85" s="931"/>
      <c r="PVO85" s="931"/>
      <c r="PVP85" s="931"/>
      <c r="PVQ85" s="931"/>
      <c r="PVR85" s="931"/>
      <c r="PVS85" s="931"/>
      <c r="PVT85" s="931"/>
      <c r="PVU85" s="931"/>
      <c r="PVV85" s="931"/>
      <c r="PVW85" s="931"/>
      <c r="PVX85" s="931"/>
      <c r="PVY85" s="931"/>
      <c r="PVZ85" s="931"/>
      <c r="PWA85" s="931"/>
      <c r="PWB85" s="931"/>
      <c r="PWC85" s="931"/>
      <c r="PWD85" s="931"/>
      <c r="PWE85" s="931"/>
      <c r="PWF85" s="931"/>
      <c r="PWG85" s="931"/>
      <c r="PWH85" s="931"/>
      <c r="PWI85" s="931"/>
      <c r="PWJ85" s="931"/>
      <c r="PWK85" s="931"/>
      <c r="PWL85" s="931"/>
      <c r="PWM85" s="931"/>
      <c r="PWN85" s="931"/>
      <c r="PWO85" s="931"/>
      <c r="PWP85" s="931"/>
      <c r="PWQ85" s="931"/>
      <c r="PWR85" s="931"/>
      <c r="PWS85" s="931"/>
      <c r="PWT85" s="931"/>
      <c r="PWU85" s="931"/>
      <c r="PWV85" s="931"/>
      <c r="PWW85" s="931"/>
      <c r="PWX85" s="931"/>
      <c r="PWY85" s="931"/>
      <c r="PWZ85" s="931"/>
      <c r="PXA85" s="931"/>
      <c r="PXB85" s="931"/>
      <c r="PXC85" s="931"/>
      <c r="PXD85" s="931"/>
      <c r="PXE85" s="931"/>
      <c r="PXF85" s="931"/>
      <c r="PXG85" s="931"/>
      <c r="PXH85" s="931"/>
      <c r="PXI85" s="931"/>
      <c r="PXJ85" s="931"/>
      <c r="PXK85" s="931"/>
      <c r="PXL85" s="931"/>
      <c r="PXM85" s="931"/>
      <c r="PXN85" s="931"/>
      <c r="PXO85" s="931"/>
      <c r="PXP85" s="931"/>
      <c r="PXQ85" s="931"/>
      <c r="PXR85" s="931"/>
      <c r="PXS85" s="931"/>
      <c r="PXT85" s="931"/>
      <c r="PXU85" s="931"/>
      <c r="PXV85" s="931"/>
      <c r="PXW85" s="931"/>
      <c r="PXX85" s="931"/>
      <c r="PXY85" s="931"/>
      <c r="PXZ85" s="931"/>
      <c r="PYA85" s="931"/>
      <c r="PYB85" s="931"/>
      <c r="PYC85" s="931"/>
      <c r="PYD85" s="931"/>
      <c r="PYE85" s="931"/>
      <c r="PYF85" s="931"/>
      <c r="PYG85" s="931"/>
      <c r="PYH85" s="931"/>
      <c r="PYI85" s="931"/>
      <c r="PYJ85" s="931"/>
      <c r="PYK85" s="931"/>
      <c r="PYL85" s="931"/>
      <c r="PYM85" s="931"/>
      <c r="PYN85" s="931"/>
      <c r="PYO85" s="931"/>
      <c r="PYP85" s="931"/>
      <c r="PYQ85" s="931"/>
      <c r="PYR85" s="931"/>
      <c r="PYS85" s="931"/>
      <c r="PYT85" s="931"/>
      <c r="PYU85" s="931"/>
      <c r="PYV85" s="931"/>
      <c r="PYW85" s="931"/>
      <c r="PYX85" s="931"/>
      <c r="PYY85" s="931"/>
      <c r="PYZ85" s="931"/>
      <c r="PZA85" s="931"/>
      <c r="PZB85" s="931"/>
      <c r="PZC85" s="931"/>
      <c r="PZD85" s="931"/>
      <c r="PZE85" s="931"/>
      <c r="PZF85" s="931"/>
      <c r="PZG85" s="931"/>
      <c r="PZH85" s="931"/>
      <c r="PZI85" s="931"/>
      <c r="PZJ85" s="931"/>
      <c r="PZK85" s="931"/>
      <c r="PZL85" s="931"/>
      <c r="PZM85" s="931"/>
      <c r="PZN85" s="931"/>
      <c r="PZO85" s="931"/>
      <c r="PZP85" s="931"/>
      <c r="PZQ85" s="931"/>
      <c r="PZR85" s="931"/>
      <c r="PZS85" s="931"/>
      <c r="PZT85" s="931"/>
      <c r="PZU85" s="931"/>
      <c r="PZV85" s="931"/>
      <c r="PZW85" s="931"/>
      <c r="PZX85" s="931"/>
      <c r="PZY85" s="931"/>
      <c r="PZZ85" s="931"/>
      <c r="QAA85" s="931"/>
      <c r="QAB85" s="931"/>
      <c r="QAC85" s="931"/>
      <c r="QAD85" s="931"/>
      <c r="QAE85" s="931"/>
      <c r="QAF85" s="931"/>
      <c r="QAG85" s="931"/>
      <c r="QAH85" s="931"/>
      <c r="QAI85" s="931"/>
      <c r="QAJ85" s="931"/>
      <c r="QAK85" s="931"/>
      <c r="QAL85" s="931"/>
      <c r="QAM85" s="931"/>
      <c r="QAN85" s="931"/>
      <c r="QAO85" s="931"/>
      <c r="QAP85" s="931"/>
      <c r="QAQ85" s="931"/>
      <c r="QAR85" s="931"/>
      <c r="QAS85" s="931"/>
      <c r="QAT85" s="931"/>
      <c r="QAU85" s="931"/>
      <c r="QAV85" s="931"/>
      <c r="QAW85" s="931"/>
      <c r="QAX85" s="931"/>
      <c r="QAY85" s="931"/>
      <c r="QAZ85" s="931"/>
      <c r="QBA85" s="931"/>
      <c r="QBB85" s="931"/>
      <c r="QBC85" s="931"/>
      <c r="QBD85" s="931"/>
      <c r="QBE85" s="931"/>
      <c r="QBF85" s="931"/>
      <c r="QBG85" s="931"/>
      <c r="QBH85" s="931"/>
      <c r="QBI85" s="931"/>
      <c r="QBJ85" s="931"/>
      <c r="QBK85" s="931"/>
      <c r="QBL85" s="931"/>
      <c r="QBM85" s="931"/>
      <c r="QBN85" s="931"/>
      <c r="QBO85" s="931"/>
      <c r="QBP85" s="931"/>
      <c r="QBQ85" s="931"/>
      <c r="QBR85" s="931"/>
      <c r="QBS85" s="931"/>
      <c r="QBT85" s="931"/>
      <c r="QBU85" s="931"/>
      <c r="QBV85" s="931"/>
      <c r="QBW85" s="931"/>
      <c r="QBX85" s="931"/>
      <c r="QBY85" s="931"/>
      <c r="QBZ85" s="931"/>
      <c r="QCA85" s="931"/>
      <c r="QCB85" s="931"/>
      <c r="QCC85" s="931"/>
      <c r="QCD85" s="931"/>
      <c r="QCE85" s="931"/>
      <c r="QCF85" s="931"/>
      <c r="QCG85" s="931"/>
      <c r="QCH85" s="931"/>
      <c r="QCI85" s="931"/>
      <c r="QCJ85" s="931"/>
      <c r="QCK85" s="931"/>
      <c r="QCL85" s="931"/>
      <c r="QCM85" s="931"/>
      <c r="QCN85" s="931"/>
      <c r="QCO85" s="931"/>
      <c r="QCP85" s="931"/>
      <c r="QCQ85" s="931"/>
      <c r="QCR85" s="931"/>
      <c r="QCS85" s="931"/>
      <c r="QCT85" s="931"/>
      <c r="QCU85" s="931"/>
      <c r="QCV85" s="931"/>
      <c r="QCW85" s="931"/>
      <c r="QCX85" s="931"/>
      <c r="QCY85" s="931"/>
      <c r="QCZ85" s="931"/>
      <c r="QDA85" s="931"/>
      <c r="QDB85" s="931"/>
      <c r="QDC85" s="931"/>
      <c r="QDD85" s="931"/>
      <c r="QDE85" s="931"/>
      <c r="QDF85" s="931"/>
      <c r="QDG85" s="931"/>
      <c r="QDH85" s="931"/>
      <c r="QDI85" s="931"/>
      <c r="QDJ85" s="931"/>
      <c r="QDK85" s="931"/>
      <c r="QDL85" s="931"/>
      <c r="QDM85" s="931"/>
      <c r="QDN85" s="931"/>
      <c r="QDO85" s="931"/>
      <c r="QDP85" s="931"/>
      <c r="QDQ85" s="931"/>
      <c r="QDR85" s="931"/>
      <c r="QDS85" s="931"/>
      <c r="QDT85" s="931"/>
      <c r="QDU85" s="931"/>
      <c r="QDV85" s="931"/>
      <c r="QDW85" s="931"/>
      <c r="QDX85" s="931"/>
      <c r="QDY85" s="931"/>
      <c r="QDZ85" s="931"/>
      <c r="QEA85" s="931"/>
      <c r="QEB85" s="931"/>
      <c r="QEC85" s="931"/>
      <c r="QED85" s="931"/>
      <c r="QEE85" s="931"/>
      <c r="QEF85" s="931"/>
      <c r="QEG85" s="931"/>
      <c r="QEH85" s="931"/>
      <c r="QEI85" s="931"/>
      <c r="QEJ85" s="931"/>
      <c r="QEK85" s="931"/>
      <c r="QEL85" s="931"/>
      <c r="QEM85" s="931"/>
      <c r="QEN85" s="931"/>
      <c r="QEO85" s="931"/>
      <c r="QEP85" s="931"/>
      <c r="QEQ85" s="931"/>
      <c r="QER85" s="931"/>
      <c r="QES85" s="931"/>
      <c r="QET85" s="931"/>
      <c r="QEU85" s="931"/>
      <c r="QEV85" s="931"/>
      <c r="QEW85" s="931"/>
      <c r="QEX85" s="931"/>
      <c r="QEY85" s="931"/>
      <c r="QEZ85" s="931"/>
      <c r="QFA85" s="931"/>
      <c r="QFB85" s="931"/>
      <c r="QFC85" s="931"/>
      <c r="QFD85" s="931"/>
      <c r="QFE85" s="931"/>
      <c r="QFF85" s="931"/>
      <c r="QFG85" s="931"/>
      <c r="QFH85" s="931"/>
      <c r="QFI85" s="931"/>
      <c r="QFJ85" s="931"/>
      <c r="QFK85" s="931"/>
      <c r="QFL85" s="931"/>
      <c r="QFM85" s="931"/>
      <c r="QFN85" s="931"/>
      <c r="QFO85" s="931"/>
      <c r="QFP85" s="931"/>
      <c r="QFQ85" s="931"/>
      <c r="QFR85" s="931"/>
      <c r="QFS85" s="931"/>
      <c r="QFT85" s="931"/>
      <c r="QFU85" s="931"/>
      <c r="QFV85" s="931"/>
      <c r="QFW85" s="931"/>
      <c r="QFX85" s="931"/>
      <c r="QFY85" s="931"/>
      <c r="QFZ85" s="931"/>
      <c r="QGA85" s="931"/>
      <c r="QGB85" s="931"/>
      <c r="QGC85" s="931"/>
      <c r="QGD85" s="931"/>
      <c r="QGE85" s="931"/>
      <c r="QGF85" s="931"/>
      <c r="QGG85" s="931"/>
      <c r="QGH85" s="931"/>
      <c r="QGI85" s="931"/>
      <c r="QGJ85" s="931"/>
      <c r="QGK85" s="931"/>
      <c r="QGL85" s="931"/>
      <c r="QGM85" s="931"/>
      <c r="QGN85" s="931"/>
      <c r="QGO85" s="931"/>
      <c r="QGP85" s="931"/>
      <c r="QGQ85" s="931"/>
      <c r="QGR85" s="931"/>
      <c r="QGS85" s="931"/>
      <c r="QGT85" s="931"/>
      <c r="QGU85" s="931"/>
      <c r="QGV85" s="931"/>
      <c r="QGW85" s="931"/>
      <c r="QGX85" s="931"/>
      <c r="QGY85" s="931"/>
      <c r="QGZ85" s="931"/>
      <c r="QHA85" s="931"/>
      <c r="QHB85" s="931"/>
      <c r="QHC85" s="931"/>
      <c r="QHD85" s="931"/>
      <c r="QHE85" s="931"/>
      <c r="QHF85" s="931"/>
      <c r="QHG85" s="931"/>
      <c r="QHH85" s="931"/>
      <c r="QHI85" s="931"/>
      <c r="QHJ85" s="931"/>
      <c r="QHK85" s="931"/>
      <c r="QHL85" s="931"/>
      <c r="QHM85" s="931"/>
      <c r="QHN85" s="931"/>
      <c r="QHO85" s="931"/>
      <c r="QHP85" s="931"/>
      <c r="QHQ85" s="931"/>
      <c r="QHR85" s="931"/>
      <c r="QHS85" s="931"/>
      <c r="QHT85" s="931"/>
      <c r="QHU85" s="931"/>
      <c r="QHV85" s="931"/>
      <c r="QHW85" s="931"/>
      <c r="QHX85" s="931"/>
      <c r="QHY85" s="931"/>
      <c r="QHZ85" s="931"/>
      <c r="QIA85" s="931"/>
      <c r="QIB85" s="931"/>
      <c r="QIC85" s="931"/>
      <c r="QID85" s="931"/>
      <c r="QIE85" s="931"/>
      <c r="QIF85" s="931"/>
      <c r="QIG85" s="931"/>
      <c r="QIH85" s="931"/>
      <c r="QII85" s="931"/>
      <c r="QIJ85" s="931"/>
      <c r="QIK85" s="931"/>
      <c r="QIL85" s="931"/>
      <c r="QIM85" s="931"/>
      <c r="QIN85" s="931"/>
      <c r="QIO85" s="931"/>
      <c r="QIP85" s="931"/>
      <c r="QIQ85" s="931"/>
      <c r="QIR85" s="931"/>
      <c r="QIS85" s="931"/>
      <c r="QIT85" s="931"/>
      <c r="QIU85" s="931"/>
      <c r="QIV85" s="931"/>
      <c r="QIW85" s="931"/>
      <c r="QIX85" s="931"/>
      <c r="QIY85" s="931"/>
      <c r="QIZ85" s="931"/>
      <c r="QJA85" s="931"/>
      <c r="QJB85" s="931"/>
      <c r="QJC85" s="931"/>
      <c r="QJD85" s="931"/>
      <c r="QJE85" s="931"/>
      <c r="QJF85" s="931"/>
      <c r="QJG85" s="931"/>
      <c r="QJH85" s="931"/>
      <c r="QJI85" s="931"/>
      <c r="QJJ85" s="931"/>
      <c r="QJK85" s="931"/>
      <c r="QJL85" s="931"/>
      <c r="QJM85" s="931"/>
      <c r="QJN85" s="931"/>
      <c r="QJO85" s="931"/>
      <c r="QJP85" s="931"/>
      <c r="QJQ85" s="931"/>
      <c r="QJR85" s="931"/>
      <c r="QJS85" s="931"/>
      <c r="QJT85" s="931"/>
      <c r="QJU85" s="931"/>
      <c r="QJV85" s="931"/>
      <c r="QJW85" s="931"/>
      <c r="QJX85" s="931"/>
      <c r="QJY85" s="931"/>
      <c r="QJZ85" s="931"/>
      <c r="QKA85" s="931"/>
      <c r="QKB85" s="931"/>
      <c r="QKC85" s="931"/>
      <c r="QKD85" s="931"/>
      <c r="QKE85" s="931"/>
      <c r="QKF85" s="931"/>
      <c r="QKG85" s="931"/>
      <c r="QKH85" s="931"/>
      <c r="QKI85" s="931"/>
      <c r="QKJ85" s="931"/>
      <c r="QKK85" s="931"/>
      <c r="QKL85" s="931"/>
      <c r="QKM85" s="931"/>
      <c r="QKN85" s="931"/>
      <c r="QKO85" s="931"/>
      <c r="QKP85" s="931"/>
      <c r="QKQ85" s="931"/>
      <c r="QKR85" s="931"/>
      <c r="QKS85" s="931"/>
      <c r="QKT85" s="931"/>
      <c r="QKU85" s="931"/>
      <c r="QKV85" s="931"/>
      <c r="QKW85" s="931"/>
      <c r="QKX85" s="931"/>
      <c r="QKY85" s="931"/>
      <c r="QKZ85" s="931"/>
      <c r="QLA85" s="931"/>
      <c r="QLB85" s="931"/>
      <c r="QLC85" s="931"/>
      <c r="QLD85" s="931"/>
      <c r="QLE85" s="931"/>
      <c r="QLF85" s="931"/>
      <c r="QLG85" s="931"/>
      <c r="QLH85" s="931"/>
      <c r="QLI85" s="931"/>
      <c r="QLJ85" s="931"/>
      <c r="QLK85" s="931"/>
      <c r="QLL85" s="931"/>
      <c r="QLM85" s="931"/>
      <c r="QLN85" s="931"/>
      <c r="QLO85" s="931"/>
      <c r="QLP85" s="931"/>
      <c r="QLQ85" s="931"/>
      <c r="QLR85" s="931"/>
      <c r="QLS85" s="931"/>
      <c r="QLT85" s="931"/>
      <c r="QLU85" s="931"/>
      <c r="QLV85" s="931"/>
      <c r="QLW85" s="931"/>
      <c r="QLX85" s="931"/>
      <c r="QLY85" s="931"/>
      <c r="QLZ85" s="931"/>
      <c r="QMA85" s="931"/>
      <c r="QMB85" s="931"/>
      <c r="QMC85" s="931"/>
      <c r="QMD85" s="931"/>
      <c r="QME85" s="931"/>
      <c r="QMF85" s="931"/>
      <c r="QMG85" s="931"/>
      <c r="QMH85" s="931"/>
      <c r="QMI85" s="931"/>
      <c r="QMJ85" s="931"/>
      <c r="QMK85" s="931"/>
      <c r="QML85" s="931"/>
      <c r="QMM85" s="931"/>
      <c r="QMN85" s="931"/>
      <c r="QMO85" s="931"/>
      <c r="QMP85" s="931"/>
      <c r="QMQ85" s="931"/>
      <c r="QMR85" s="931"/>
      <c r="QMS85" s="931"/>
      <c r="QMT85" s="931"/>
      <c r="QMU85" s="931"/>
      <c r="QMV85" s="931"/>
      <c r="QMW85" s="931"/>
      <c r="QMX85" s="931"/>
      <c r="QMY85" s="931"/>
      <c r="QMZ85" s="931"/>
      <c r="QNA85" s="931"/>
      <c r="QNB85" s="931"/>
      <c r="QNC85" s="931"/>
      <c r="QND85" s="931"/>
      <c r="QNE85" s="931"/>
      <c r="QNF85" s="931"/>
      <c r="QNG85" s="931"/>
      <c r="QNH85" s="931"/>
      <c r="QNI85" s="931"/>
      <c r="QNJ85" s="931"/>
      <c r="QNK85" s="931"/>
      <c r="QNL85" s="931"/>
      <c r="QNM85" s="931"/>
      <c r="QNN85" s="931"/>
      <c r="QNO85" s="931"/>
      <c r="QNP85" s="931"/>
      <c r="QNQ85" s="931"/>
      <c r="QNR85" s="931"/>
      <c r="QNS85" s="931"/>
      <c r="QNT85" s="931"/>
      <c r="QNU85" s="931"/>
      <c r="QNV85" s="931"/>
      <c r="QNW85" s="931"/>
      <c r="QNX85" s="931"/>
      <c r="QNY85" s="931"/>
      <c r="QNZ85" s="931"/>
      <c r="QOA85" s="931"/>
      <c r="QOB85" s="931"/>
      <c r="QOC85" s="931"/>
      <c r="QOD85" s="931"/>
      <c r="QOE85" s="931"/>
      <c r="QOF85" s="931"/>
      <c r="QOG85" s="931"/>
      <c r="QOH85" s="931"/>
      <c r="QOI85" s="931"/>
      <c r="QOJ85" s="931"/>
      <c r="QOK85" s="931"/>
      <c r="QOL85" s="931"/>
      <c r="QOM85" s="931"/>
      <c r="QON85" s="931"/>
      <c r="QOO85" s="931"/>
      <c r="QOP85" s="931"/>
      <c r="QOQ85" s="931"/>
      <c r="QOR85" s="931"/>
      <c r="QOS85" s="931"/>
      <c r="QOT85" s="931"/>
      <c r="QOU85" s="931"/>
      <c r="QOV85" s="931"/>
      <c r="QOW85" s="931"/>
      <c r="QOX85" s="931"/>
      <c r="QOY85" s="931"/>
      <c r="QOZ85" s="931"/>
      <c r="QPA85" s="931"/>
      <c r="QPB85" s="931"/>
      <c r="QPC85" s="931"/>
      <c r="QPD85" s="931"/>
      <c r="QPE85" s="931"/>
      <c r="QPF85" s="931"/>
      <c r="QPG85" s="931"/>
      <c r="QPH85" s="931"/>
      <c r="QPI85" s="931"/>
      <c r="QPJ85" s="931"/>
      <c r="QPK85" s="931"/>
      <c r="QPL85" s="931"/>
      <c r="QPM85" s="931"/>
      <c r="QPN85" s="931"/>
      <c r="QPO85" s="931"/>
      <c r="QPP85" s="931"/>
      <c r="QPQ85" s="931"/>
      <c r="QPR85" s="931"/>
      <c r="QPS85" s="931"/>
      <c r="QPT85" s="931"/>
      <c r="QPU85" s="931"/>
      <c r="QPV85" s="931"/>
      <c r="QPW85" s="931"/>
      <c r="QPX85" s="931"/>
      <c r="QPY85" s="931"/>
      <c r="QPZ85" s="931"/>
      <c r="QQA85" s="931"/>
      <c r="QQB85" s="931"/>
      <c r="QQC85" s="931"/>
      <c r="QQD85" s="931"/>
      <c r="QQE85" s="931"/>
      <c r="QQF85" s="931"/>
      <c r="QQG85" s="931"/>
      <c r="QQH85" s="931"/>
      <c r="QQI85" s="931"/>
      <c r="QQJ85" s="931"/>
      <c r="QQK85" s="931"/>
      <c r="QQL85" s="931"/>
      <c r="QQM85" s="931"/>
      <c r="QQN85" s="931"/>
      <c r="QQO85" s="931"/>
      <c r="QQP85" s="931"/>
      <c r="QQQ85" s="931"/>
      <c r="QQR85" s="931"/>
      <c r="QQS85" s="931"/>
      <c r="QQT85" s="931"/>
      <c r="QQU85" s="931"/>
      <c r="QQV85" s="931"/>
      <c r="QQW85" s="931"/>
      <c r="QQX85" s="931"/>
      <c r="QQY85" s="931"/>
      <c r="QQZ85" s="931"/>
      <c r="QRA85" s="931"/>
      <c r="QRB85" s="931"/>
      <c r="QRC85" s="931"/>
      <c r="QRD85" s="931"/>
      <c r="QRE85" s="931"/>
      <c r="QRF85" s="931"/>
      <c r="QRG85" s="931"/>
      <c r="QRH85" s="931"/>
      <c r="QRI85" s="931"/>
      <c r="QRJ85" s="931"/>
      <c r="QRK85" s="931"/>
      <c r="QRL85" s="931"/>
      <c r="QRM85" s="931"/>
      <c r="QRN85" s="931"/>
      <c r="QRO85" s="931"/>
      <c r="QRP85" s="931"/>
      <c r="QRQ85" s="931"/>
      <c r="QRR85" s="931"/>
      <c r="QRS85" s="931"/>
      <c r="QRT85" s="931"/>
      <c r="QRU85" s="931"/>
      <c r="QRV85" s="931"/>
      <c r="QRW85" s="931"/>
      <c r="QRX85" s="931"/>
      <c r="QRY85" s="931"/>
      <c r="QRZ85" s="931"/>
      <c r="QSA85" s="931"/>
      <c r="QSB85" s="931"/>
      <c r="QSC85" s="931"/>
      <c r="QSD85" s="931"/>
      <c r="QSE85" s="931"/>
      <c r="QSF85" s="931"/>
      <c r="QSG85" s="931"/>
      <c r="QSH85" s="931"/>
      <c r="QSI85" s="931"/>
      <c r="QSJ85" s="931"/>
      <c r="QSK85" s="931"/>
      <c r="QSL85" s="931"/>
      <c r="QSM85" s="931"/>
      <c r="QSN85" s="931"/>
      <c r="QSO85" s="931"/>
      <c r="QSP85" s="931"/>
      <c r="QSQ85" s="931"/>
      <c r="QSR85" s="931"/>
      <c r="QSS85" s="931"/>
      <c r="QST85" s="931"/>
      <c r="QSU85" s="931"/>
      <c r="QSV85" s="931"/>
      <c r="QSW85" s="931"/>
      <c r="QSX85" s="931"/>
      <c r="QSY85" s="931"/>
      <c r="QSZ85" s="931"/>
      <c r="QTA85" s="931"/>
      <c r="QTB85" s="931"/>
      <c r="QTC85" s="931"/>
      <c r="QTD85" s="931"/>
      <c r="QTE85" s="931"/>
      <c r="QTF85" s="931"/>
      <c r="QTG85" s="931"/>
      <c r="QTH85" s="931"/>
      <c r="QTI85" s="931"/>
      <c r="QTJ85" s="931"/>
      <c r="QTK85" s="931"/>
      <c r="QTL85" s="931"/>
      <c r="QTM85" s="931"/>
      <c r="QTN85" s="931"/>
      <c r="QTO85" s="931"/>
      <c r="QTP85" s="931"/>
      <c r="QTQ85" s="931"/>
      <c r="QTR85" s="931"/>
      <c r="QTS85" s="931"/>
      <c r="QTT85" s="931"/>
      <c r="QTU85" s="931"/>
      <c r="QTV85" s="931"/>
      <c r="QTW85" s="931"/>
      <c r="QTX85" s="931"/>
      <c r="QTY85" s="931"/>
      <c r="QTZ85" s="931"/>
      <c r="QUA85" s="931"/>
      <c r="QUB85" s="931"/>
      <c r="QUC85" s="931"/>
      <c r="QUD85" s="931"/>
      <c r="QUE85" s="931"/>
      <c r="QUF85" s="931"/>
      <c r="QUG85" s="931"/>
      <c r="QUH85" s="931"/>
      <c r="QUI85" s="931"/>
      <c r="QUJ85" s="931"/>
      <c r="QUK85" s="931"/>
      <c r="QUL85" s="931"/>
      <c r="QUM85" s="931"/>
      <c r="QUN85" s="931"/>
      <c r="QUO85" s="931"/>
      <c r="QUP85" s="931"/>
      <c r="QUQ85" s="931"/>
      <c r="QUR85" s="931"/>
      <c r="QUS85" s="931"/>
      <c r="QUT85" s="931"/>
      <c r="QUU85" s="931"/>
      <c r="QUV85" s="931"/>
      <c r="QUW85" s="931"/>
      <c r="QUX85" s="931"/>
      <c r="QUY85" s="931"/>
      <c r="QUZ85" s="931"/>
      <c r="QVA85" s="931"/>
      <c r="QVB85" s="931"/>
      <c r="QVC85" s="931"/>
      <c r="QVD85" s="931"/>
      <c r="QVE85" s="931"/>
      <c r="QVF85" s="931"/>
      <c r="QVG85" s="931"/>
      <c r="QVH85" s="931"/>
      <c r="QVI85" s="931"/>
      <c r="QVJ85" s="931"/>
      <c r="QVK85" s="931"/>
      <c r="QVL85" s="931"/>
      <c r="QVM85" s="931"/>
      <c r="QVN85" s="931"/>
      <c r="QVO85" s="931"/>
      <c r="QVP85" s="931"/>
      <c r="QVQ85" s="931"/>
      <c r="QVR85" s="931"/>
      <c r="QVS85" s="931"/>
      <c r="QVT85" s="931"/>
      <c r="QVU85" s="931"/>
      <c r="QVV85" s="931"/>
      <c r="QVW85" s="931"/>
      <c r="QVX85" s="931"/>
      <c r="QVY85" s="931"/>
      <c r="QVZ85" s="931"/>
      <c r="QWA85" s="931"/>
      <c r="QWB85" s="931"/>
      <c r="QWC85" s="931"/>
      <c r="QWD85" s="931"/>
      <c r="QWE85" s="931"/>
      <c r="QWF85" s="931"/>
      <c r="QWG85" s="931"/>
      <c r="QWH85" s="931"/>
      <c r="QWI85" s="931"/>
      <c r="QWJ85" s="931"/>
      <c r="QWK85" s="931"/>
      <c r="QWL85" s="931"/>
      <c r="QWM85" s="931"/>
      <c r="QWN85" s="931"/>
      <c r="QWO85" s="931"/>
      <c r="QWP85" s="931"/>
      <c r="QWQ85" s="931"/>
      <c r="QWR85" s="931"/>
      <c r="QWS85" s="931"/>
      <c r="QWT85" s="931"/>
      <c r="QWU85" s="931"/>
      <c r="QWV85" s="931"/>
      <c r="QWW85" s="931"/>
      <c r="QWX85" s="931"/>
      <c r="QWY85" s="931"/>
      <c r="QWZ85" s="931"/>
      <c r="QXA85" s="931"/>
      <c r="QXB85" s="931"/>
      <c r="QXC85" s="931"/>
      <c r="QXD85" s="931"/>
      <c r="QXE85" s="931"/>
      <c r="QXF85" s="931"/>
      <c r="QXG85" s="931"/>
      <c r="QXH85" s="931"/>
      <c r="QXI85" s="931"/>
      <c r="QXJ85" s="931"/>
      <c r="QXK85" s="931"/>
      <c r="QXL85" s="931"/>
      <c r="QXM85" s="931"/>
      <c r="QXN85" s="931"/>
      <c r="QXO85" s="931"/>
      <c r="QXP85" s="931"/>
      <c r="QXQ85" s="931"/>
      <c r="QXR85" s="931"/>
      <c r="QXS85" s="931"/>
      <c r="QXT85" s="931"/>
      <c r="QXU85" s="931"/>
      <c r="QXV85" s="931"/>
      <c r="QXW85" s="931"/>
      <c r="QXX85" s="931"/>
      <c r="QXY85" s="931"/>
      <c r="QXZ85" s="931"/>
      <c r="QYA85" s="931"/>
      <c r="QYB85" s="931"/>
      <c r="QYC85" s="931"/>
      <c r="QYD85" s="931"/>
      <c r="QYE85" s="931"/>
      <c r="QYF85" s="931"/>
      <c r="QYG85" s="931"/>
      <c r="QYH85" s="931"/>
      <c r="QYI85" s="931"/>
      <c r="QYJ85" s="931"/>
      <c r="QYK85" s="931"/>
      <c r="QYL85" s="931"/>
      <c r="QYM85" s="931"/>
      <c r="QYN85" s="931"/>
      <c r="QYO85" s="931"/>
      <c r="QYP85" s="931"/>
      <c r="QYQ85" s="931"/>
      <c r="QYR85" s="931"/>
      <c r="QYS85" s="931"/>
      <c r="QYT85" s="931"/>
      <c r="QYU85" s="931"/>
      <c r="QYV85" s="931"/>
      <c r="QYW85" s="931"/>
      <c r="QYX85" s="931"/>
      <c r="QYY85" s="931"/>
      <c r="QYZ85" s="931"/>
      <c r="QZA85" s="931"/>
      <c r="QZB85" s="931"/>
      <c r="QZC85" s="931"/>
      <c r="QZD85" s="931"/>
      <c r="QZE85" s="931"/>
      <c r="QZF85" s="931"/>
      <c r="QZG85" s="931"/>
      <c r="QZH85" s="931"/>
      <c r="QZI85" s="931"/>
      <c r="QZJ85" s="931"/>
      <c r="QZK85" s="931"/>
      <c r="QZL85" s="931"/>
      <c r="QZM85" s="931"/>
      <c r="QZN85" s="931"/>
      <c r="QZO85" s="931"/>
      <c r="QZP85" s="931"/>
      <c r="QZQ85" s="931"/>
      <c r="QZR85" s="931"/>
      <c r="QZS85" s="931"/>
      <c r="QZT85" s="931"/>
      <c r="QZU85" s="931"/>
      <c r="QZV85" s="931"/>
      <c r="QZW85" s="931"/>
      <c r="QZX85" s="931"/>
      <c r="QZY85" s="931"/>
      <c r="QZZ85" s="931"/>
      <c r="RAA85" s="931"/>
      <c r="RAB85" s="931"/>
      <c r="RAC85" s="931"/>
      <c r="RAD85" s="931"/>
      <c r="RAE85" s="931"/>
      <c r="RAF85" s="931"/>
      <c r="RAG85" s="931"/>
      <c r="RAH85" s="931"/>
      <c r="RAI85" s="931"/>
      <c r="RAJ85" s="931"/>
      <c r="RAK85" s="931"/>
      <c r="RAL85" s="931"/>
      <c r="RAM85" s="931"/>
      <c r="RAN85" s="931"/>
      <c r="RAO85" s="931"/>
      <c r="RAP85" s="931"/>
      <c r="RAQ85" s="931"/>
      <c r="RAR85" s="931"/>
      <c r="RAS85" s="931"/>
      <c r="RAT85" s="931"/>
      <c r="RAU85" s="931"/>
      <c r="RAV85" s="931"/>
      <c r="RAW85" s="931"/>
      <c r="RAX85" s="931"/>
      <c r="RAY85" s="931"/>
      <c r="RAZ85" s="931"/>
      <c r="RBA85" s="931"/>
      <c r="RBB85" s="931"/>
      <c r="RBC85" s="931"/>
      <c r="RBD85" s="931"/>
      <c r="RBE85" s="931"/>
      <c r="RBF85" s="931"/>
      <c r="RBG85" s="931"/>
      <c r="RBH85" s="931"/>
      <c r="RBI85" s="931"/>
      <c r="RBJ85" s="931"/>
      <c r="RBK85" s="931"/>
      <c r="RBL85" s="931"/>
      <c r="RBM85" s="931"/>
      <c r="RBN85" s="931"/>
      <c r="RBO85" s="931"/>
      <c r="RBP85" s="931"/>
      <c r="RBQ85" s="931"/>
      <c r="RBR85" s="931"/>
      <c r="RBS85" s="931"/>
      <c r="RBT85" s="931"/>
      <c r="RBU85" s="931"/>
      <c r="RBV85" s="931"/>
      <c r="RBW85" s="931"/>
      <c r="RBX85" s="931"/>
      <c r="RBY85" s="931"/>
      <c r="RBZ85" s="931"/>
      <c r="RCA85" s="931"/>
      <c r="RCB85" s="931"/>
      <c r="RCC85" s="931"/>
      <c r="RCD85" s="931"/>
      <c r="RCE85" s="931"/>
      <c r="RCF85" s="931"/>
      <c r="RCG85" s="931"/>
      <c r="RCH85" s="931"/>
      <c r="RCI85" s="931"/>
      <c r="RCJ85" s="931"/>
      <c r="RCK85" s="931"/>
      <c r="RCL85" s="931"/>
      <c r="RCM85" s="931"/>
      <c r="RCN85" s="931"/>
      <c r="RCO85" s="931"/>
      <c r="RCP85" s="931"/>
      <c r="RCQ85" s="931"/>
      <c r="RCR85" s="931"/>
      <c r="RCS85" s="931"/>
      <c r="RCT85" s="931"/>
      <c r="RCU85" s="931"/>
      <c r="RCV85" s="931"/>
      <c r="RCW85" s="931"/>
      <c r="RCX85" s="931"/>
      <c r="RCY85" s="931"/>
      <c r="RCZ85" s="931"/>
      <c r="RDA85" s="931"/>
      <c r="RDB85" s="931"/>
      <c r="RDC85" s="931"/>
      <c r="RDD85" s="931"/>
      <c r="RDE85" s="931"/>
      <c r="RDF85" s="931"/>
      <c r="RDG85" s="931"/>
      <c r="RDH85" s="931"/>
      <c r="RDI85" s="931"/>
      <c r="RDJ85" s="931"/>
      <c r="RDK85" s="931"/>
      <c r="RDL85" s="931"/>
      <c r="RDM85" s="931"/>
      <c r="RDN85" s="931"/>
      <c r="RDO85" s="931"/>
      <c r="RDP85" s="931"/>
      <c r="RDQ85" s="931"/>
      <c r="RDR85" s="931"/>
      <c r="RDS85" s="931"/>
      <c r="RDT85" s="931"/>
      <c r="RDU85" s="931"/>
      <c r="RDV85" s="931"/>
      <c r="RDW85" s="931"/>
      <c r="RDX85" s="931"/>
      <c r="RDY85" s="931"/>
      <c r="RDZ85" s="931"/>
      <c r="REA85" s="931"/>
      <c r="REB85" s="931"/>
      <c r="REC85" s="931"/>
      <c r="RED85" s="931"/>
      <c r="REE85" s="931"/>
      <c r="REF85" s="931"/>
      <c r="REG85" s="931"/>
      <c r="REH85" s="931"/>
      <c r="REI85" s="931"/>
      <c r="REJ85" s="931"/>
      <c r="REK85" s="931"/>
      <c r="REL85" s="931"/>
      <c r="REM85" s="931"/>
      <c r="REN85" s="931"/>
      <c r="REO85" s="931"/>
      <c r="REP85" s="931"/>
      <c r="REQ85" s="931"/>
      <c r="RER85" s="931"/>
      <c r="RES85" s="931"/>
      <c r="RET85" s="931"/>
      <c r="REU85" s="931"/>
      <c r="REV85" s="931"/>
      <c r="REW85" s="931"/>
      <c r="REX85" s="931"/>
      <c r="REY85" s="931"/>
      <c r="REZ85" s="931"/>
      <c r="RFA85" s="931"/>
      <c r="RFB85" s="931"/>
      <c r="RFC85" s="931"/>
      <c r="RFD85" s="931"/>
      <c r="RFE85" s="931"/>
      <c r="RFF85" s="931"/>
      <c r="RFG85" s="931"/>
      <c r="RFH85" s="931"/>
      <c r="RFI85" s="931"/>
      <c r="RFJ85" s="931"/>
      <c r="RFK85" s="931"/>
      <c r="RFL85" s="931"/>
      <c r="RFM85" s="931"/>
      <c r="RFN85" s="931"/>
      <c r="RFO85" s="931"/>
      <c r="RFP85" s="931"/>
      <c r="RFQ85" s="931"/>
      <c r="RFR85" s="931"/>
      <c r="RFS85" s="931"/>
      <c r="RFT85" s="931"/>
      <c r="RFU85" s="931"/>
      <c r="RFV85" s="931"/>
      <c r="RFW85" s="931"/>
      <c r="RFX85" s="931"/>
      <c r="RFY85" s="931"/>
      <c r="RFZ85" s="931"/>
      <c r="RGA85" s="931"/>
      <c r="RGB85" s="931"/>
      <c r="RGC85" s="931"/>
      <c r="RGD85" s="931"/>
      <c r="RGE85" s="931"/>
      <c r="RGF85" s="931"/>
      <c r="RGG85" s="931"/>
      <c r="RGH85" s="931"/>
      <c r="RGI85" s="931"/>
      <c r="RGJ85" s="931"/>
      <c r="RGK85" s="931"/>
      <c r="RGL85" s="931"/>
      <c r="RGM85" s="931"/>
      <c r="RGN85" s="931"/>
      <c r="RGO85" s="931"/>
      <c r="RGP85" s="931"/>
      <c r="RGQ85" s="931"/>
      <c r="RGR85" s="931"/>
      <c r="RGS85" s="931"/>
      <c r="RGT85" s="931"/>
      <c r="RGU85" s="931"/>
      <c r="RGV85" s="931"/>
      <c r="RGW85" s="931"/>
      <c r="RGX85" s="931"/>
      <c r="RGY85" s="931"/>
      <c r="RGZ85" s="931"/>
      <c r="RHA85" s="931"/>
      <c r="RHB85" s="931"/>
      <c r="RHC85" s="931"/>
      <c r="RHD85" s="931"/>
      <c r="RHE85" s="931"/>
      <c r="RHF85" s="931"/>
      <c r="RHG85" s="931"/>
      <c r="RHH85" s="931"/>
      <c r="RHI85" s="931"/>
      <c r="RHJ85" s="931"/>
      <c r="RHK85" s="931"/>
      <c r="RHL85" s="931"/>
      <c r="RHM85" s="931"/>
      <c r="RHN85" s="931"/>
      <c r="RHO85" s="931"/>
      <c r="RHP85" s="931"/>
      <c r="RHQ85" s="931"/>
      <c r="RHR85" s="931"/>
      <c r="RHS85" s="931"/>
      <c r="RHT85" s="931"/>
      <c r="RHU85" s="931"/>
      <c r="RHV85" s="931"/>
      <c r="RHW85" s="931"/>
      <c r="RHX85" s="931"/>
      <c r="RHY85" s="931"/>
      <c r="RHZ85" s="931"/>
      <c r="RIA85" s="931"/>
      <c r="RIB85" s="931"/>
      <c r="RIC85" s="931"/>
      <c r="RID85" s="931"/>
      <c r="RIE85" s="931"/>
      <c r="RIF85" s="931"/>
      <c r="RIG85" s="931"/>
      <c r="RIH85" s="931"/>
      <c r="RII85" s="931"/>
      <c r="RIJ85" s="931"/>
      <c r="RIK85" s="931"/>
      <c r="RIL85" s="931"/>
      <c r="RIM85" s="931"/>
      <c r="RIN85" s="931"/>
      <c r="RIO85" s="931"/>
      <c r="RIP85" s="931"/>
      <c r="RIQ85" s="931"/>
      <c r="RIR85" s="931"/>
      <c r="RIS85" s="931"/>
      <c r="RIT85" s="931"/>
      <c r="RIU85" s="931"/>
      <c r="RIV85" s="931"/>
      <c r="RIW85" s="931"/>
      <c r="RIX85" s="931"/>
      <c r="RIY85" s="931"/>
      <c r="RIZ85" s="931"/>
      <c r="RJA85" s="931"/>
      <c r="RJB85" s="931"/>
      <c r="RJC85" s="931"/>
      <c r="RJD85" s="931"/>
      <c r="RJE85" s="931"/>
      <c r="RJF85" s="931"/>
      <c r="RJG85" s="931"/>
      <c r="RJH85" s="931"/>
      <c r="RJI85" s="931"/>
      <c r="RJJ85" s="931"/>
      <c r="RJK85" s="931"/>
      <c r="RJL85" s="931"/>
      <c r="RJM85" s="931"/>
      <c r="RJN85" s="931"/>
      <c r="RJO85" s="931"/>
      <c r="RJP85" s="931"/>
      <c r="RJQ85" s="931"/>
      <c r="RJR85" s="931"/>
      <c r="RJS85" s="931"/>
      <c r="RJT85" s="931"/>
      <c r="RJU85" s="931"/>
      <c r="RJV85" s="931"/>
      <c r="RJW85" s="931"/>
      <c r="RJX85" s="931"/>
      <c r="RJY85" s="931"/>
      <c r="RJZ85" s="931"/>
      <c r="RKA85" s="931"/>
      <c r="RKB85" s="931"/>
      <c r="RKC85" s="931"/>
      <c r="RKD85" s="931"/>
      <c r="RKE85" s="931"/>
      <c r="RKF85" s="931"/>
      <c r="RKG85" s="931"/>
      <c r="RKH85" s="931"/>
      <c r="RKI85" s="931"/>
      <c r="RKJ85" s="931"/>
      <c r="RKK85" s="931"/>
      <c r="RKL85" s="931"/>
      <c r="RKM85" s="931"/>
      <c r="RKN85" s="931"/>
      <c r="RKO85" s="931"/>
      <c r="RKP85" s="931"/>
      <c r="RKQ85" s="931"/>
      <c r="RKR85" s="931"/>
      <c r="RKS85" s="931"/>
      <c r="RKT85" s="931"/>
      <c r="RKU85" s="931"/>
      <c r="RKV85" s="931"/>
      <c r="RKW85" s="931"/>
      <c r="RKX85" s="931"/>
      <c r="RKY85" s="931"/>
      <c r="RKZ85" s="931"/>
      <c r="RLA85" s="931"/>
      <c r="RLB85" s="931"/>
      <c r="RLC85" s="931"/>
      <c r="RLD85" s="931"/>
      <c r="RLE85" s="931"/>
      <c r="RLF85" s="931"/>
      <c r="RLG85" s="931"/>
      <c r="RLH85" s="931"/>
      <c r="RLI85" s="931"/>
      <c r="RLJ85" s="931"/>
      <c r="RLK85" s="931"/>
      <c r="RLL85" s="931"/>
      <c r="RLM85" s="931"/>
      <c r="RLN85" s="931"/>
      <c r="RLO85" s="931"/>
      <c r="RLP85" s="931"/>
      <c r="RLQ85" s="931"/>
      <c r="RLR85" s="931"/>
      <c r="RLS85" s="931"/>
      <c r="RLT85" s="931"/>
      <c r="RLU85" s="931"/>
      <c r="RLV85" s="931"/>
      <c r="RLW85" s="931"/>
      <c r="RLX85" s="931"/>
      <c r="RLY85" s="931"/>
      <c r="RLZ85" s="931"/>
      <c r="RMA85" s="931"/>
      <c r="RMB85" s="931"/>
      <c r="RMC85" s="931"/>
      <c r="RMD85" s="931"/>
      <c r="RME85" s="931"/>
      <c r="RMF85" s="931"/>
      <c r="RMG85" s="931"/>
      <c r="RMH85" s="931"/>
      <c r="RMI85" s="931"/>
      <c r="RMJ85" s="931"/>
      <c r="RMK85" s="931"/>
      <c r="RML85" s="931"/>
      <c r="RMM85" s="931"/>
      <c r="RMN85" s="931"/>
      <c r="RMO85" s="931"/>
      <c r="RMP85" s="931"/>
      <c r="RMQ85" s="931"/>
      <c r="RMR85" s="931"/>
      <c r="RMS85" s="931"/>
      <c r="RMT85" s="931"/>
      <c r="RMU85" s="931"/>
      <c r="RMV85" s="931"/>
      <c r="RMW85" s="931"/>
      <c r="RMX85" s="931"/>
      <c r="RMY85" s="931"/>
      <c r="RMZ85" s="931"/>
      <c r="RNA85" s="931"/>
      <c r="RNB85" s="931"/>
      <c r="RNC85" s="931"/>
      <c r="RND85" s="931"/>
      <c r="RNE85" s="931"/>
      <c r="RNF85" s="931"/>
      <c r="RNG85" s="931"/>
      <c r="RNH85" s="931"/>
      <c r="RNI85" s="931"/>
      <c r="RNJ85" s="931"/>
      <c r="RNK85" s="931"/>
      <c r="RNL85" s="931"/>
      <c r="RNM85" s="931"/>
      <c r="RNN85" s="931"/>
      <c r="RNO85" s="931"/>
      <c r="RNP85" s="931"/>
      <c r="RNQ85" s="931"/>
      <c r="RNR85" s="931"/>
      <c r="RNS85" s="931"/>
      <c r="RNT85" s="931"/>
      <c r="RNU85" s="931"/>
      <c r="RNV85" s="931"/>
      <c r="RNW85" s="931"/>
      <c r="RNX85" s="931"/>
      <c r="RNY85" s="931"/>
      <c r="RNZ85" s="931"/>
      <c r="ROA85" s="931"/>
      <c r="ROB85" s="931"/>
      <c r="ROC85" s="931"/>
      <c r="ROD85" s="931"/>
      <c r="ROE85" s="931"/>
      <c r="ROF85" s="931"/>
      <c r="ROG85" s="931"/>
      <c r="ROH85" s="931"/>
      <c r="ROI85" s="931"/>
      <c r="ROJ85" s="931"/>
      <c r="ROK85" s="931"/>
      <c r="ROL85" s="931"/>
      <c r="ROM85" s="931"/>
      <c r="RON85" s="931"/>
      <c r="ROO85" s="931"/>
      <c r="ROP85" s="931"/>
      <c r="ROQ85" s="931"/>
      <c r="ROR85" s="931"/>
      <c r="ROS85" s="931"/>
      <c r="ROT85" s="931"/>
      <c r="ROU85" s="931"/>
      <c r="ROV85" s="931"/>
      <c r="ROW85" s="931"/>
      <c r="ROX85" s="931"/>
      <c r="ROY85" s="931"/>
      <c r="ROZ85" s="931"/>
      <c r="RPA85" s="931"/>
      <c r="RPB85" s="931"/>
      <c r="RPC85" s="931"/>
      <c r="RPD85" s="931"/>
      <c r="RPE85" s="931"/>
      <c r="RPF85" s="931"/>
      <c r="RPG85" s="931"/>
      <c r="RPH85" s="931"/>
      <c r="RPI85" s="931"/>
      <c r="RPJ85" s="931"/>
      <c r="RPK85" s="931"/>
      <c r="RPL85" s="931"/>
      <c r="RPM85" s="931"/>
      <c r="RPN85" s="931"/>
      <c r="RPO85" s="931"/>
      <c r="RPP85" s="931"/>
      <c r="RPQ85" s="931"/>
      <c r="RPR85" s="931"/>
      <c r="RPS85" s="931"/>
      <c r="RPT85" s="931"/>
      <c r="RPU85" s="931"/>
      <c r="RPV85" s="931"/>
      <c r="RPW85" s="931"/>
      <c r="RPX85" s="931"/>
      <c r="RPY85" s="931"/>
      <c r="RPZ85" s="931"/>
      <c r="RQA85" s="931"/>
      <c r="RQB85" s="931"/>
      <c r="RQC85" s="931"/>
      <c r="RQD85" s="931"/>
      <c r="RQE85" s="931"/>
      <c r="RQF85" s="931"/>
      <c r="RQG85" s="931"/>
      <c r="RQH85" s="931"/>
      <c r="RQI85" s="931"/>
      <c r="RQJ85" s="931"/>
      <c r="RQK85" s="931"/>
      <c r="RQL85" s="931"/>
      <c r="RQM85" s="931"/>
      <c r="RQN85" s="931"/>
      <c r="RQO85" s="931"/>
      <c r="RQP85" s="931"/>
      <c r="RQQ85" s="931"/>
      <c r="RQR85" s="931"/>
      <c r="RQS85" s="931"/>
      <c r="RQT85" s="931"/>
      <c r="RQU85" s="931"/>
      <c r="RQV85" s="931"/>
      <c r="RQW85" s="931"/>
      <c r="RQX85" s="931"/>
      <c r="RQY85" s="931"/>
      <c r="RQZ85" s="931"/>
      <c r="RRA85" s="931"/>
      <c r="RRB85" s="931"/>
      <c r="RRC85" s="931"/>
      <c r="RRD85" s="931"/>
      <c r="RRE85" s="931"/>
      <c r="RRF85" s="931"/>
      <c r="RRG85" s="931"/>
      <c r="RRH85" s="931"/>
      <c r="RRI85" s="931"/>
      <c r="RRJ85" s="931"/>
      <c r="RRK85" s="931"/>
      <c r="RRL85" s="931"/>
      <c r="RRM85" s="931"/>
      <c r="RRN85" s="931"/>
      <c r="RRO85" s="931"/>
      <c r="RRP85" s="931"/>
      <c r="RRQ85" s="931"/>
      <c r="RRR85" s="931"/>
      <c r="RRS85" s="931"/>
      <c r="RRT85" s="931"/>
      <c r="RRU85" s="931"/>
      <c r="RRV85" s="931"/>
      <c r="RRW85" s="931"/>
      <c r="RRX85" s="931"/>
      <c r="RRY85" s="931"/>
      <c r="RRZ85" s="931"/>
      <c r="RSA85" s="931"/>
      <c r="RSB85" s="931"/>
      <c r="RSC85" s="931"/>
      <c r="RSD85" s="931"/>
      <c r="RSE85" s="931"/>
      <c r="RSF85" s="931"/>
      <c r="RSG85" s="931"/>
      <c r="RSH85" s="931"/>
      <c r="RSI85" s="931"/>
      <c r="RSJ85" s="931"/>
      <c r="RSK85" s="931"/>
      <c r="RSL85" s="931"/>
      <c r="RSM85" s="931"/>
      <c r="RSN85" s="931"/>
      <c r="RSO85" s="931"/>
      <c r="RSP85" s="931"/>
      <c r="RSQ85" s="931"/>
      <c r="RSR85" s="931"/>
      <c r="RSS85" s="931"/>
      <c r="RST85" s="931"/>
      <c r="RSU85" s="931"/>
      <c r="RSV85" s="931"/>
      <c r="RSW85" s="931"/>
      <c r="RSX85" s="931"/>
      <c r="RSY85" s="931"/>
      <c r="RSZ85" s="931"/>
      <c r="RTA85" s="931"/>
      <c r="RTB85" s="931"/>
      <c r="RTC85" s="931"/>
      <c r="RTD85" s="931"/>
      <c r="RTE85" s="931"/>
      <c r="RTF85" s="931"/>
      <c r="RTG85" s="931"/>
      <c r="RTH85" s="931"/>
      <c r="RTI85" s="931"/>
      <c r="RTJ85" s="931"/>
      <c r="RTK85" s="931"/>
      <c r="RTL85" s="931"/>
      <c r="RTM85" s="931"/>
      <c r="RTN85" s="931"/>
      <c r="RTO85" s="931"/>
      <c r="RTP85" s="931"/>
      <c r="RTQ85" s="931"/>
      <c r="RTR85" s="931"/>
      <c r="RTS85" s="931"/>
      <c r="RTT85" s="931"/>
      <c r="RTU85" s="931"/>
      <c r="RTV85" s="931"/>
      <c r="RTW85" s="931"/>
      <c r="RTX85" s="931"/>
      <c r="RTY85" s="931"/>
      <c r="RTZ85" s="931"/>
      <c r="RUA85" s="931"/>
      <c r="RUB85" s="931"/>
      <c r="RUC85" s="931"/>
      <c r="RUD85" s="931"/>
      <c r="RUE85" s="931"/>
      <c r="RUF85" s="931"/>
      <c r="RUG85" s="931"/>
      <c r="RUH85" s="931"/>
      <c r="RUI85" s="931"/>
      <c r="RUJ85" s="931"/>
      <c r="RUK85" s="931"/>
      <c r="RUL85" s="931"/>
      <c r="RUM85" s="931"/>
      <c r="RUN85" s="931"/>
      <c r="RUO85" s="931"/>
      <c r="RUP85" s="931"/>
      <c r="RUQ85" s="931"/>
      <c r="RUR85" s="931"/>
      <c r="RUS85" s="931"/>
      <c r="RUT85" s="931"/>
      <c r="RUU85" s="931"/>
      <c r="RUV85" s="931"/>
      <c r="RUW85" s="931"/>
      <c r="RUX85" s="931"/>
      <c r="RUY85" s="931"/>
      <c r="RUZ85" s="931"/>
      <c r="RVA85" s="931"/>
      <c r="RVB85" s="931"/>
      <c r="RVC85" s="931"/>
      <c r="RVD85" s="931"/>
      <c r="RVE85" s="931"/>
      <c r="RVF85" s="931"/>
      <c r="RVG85" s="931"/>
      <c r="RVH85" s="931"/>
      <c r="RVI85" s="931"/>
      <c r="RVJ85" s="931"/>
      <c r="RVK85" s="931"/>
      <c r="RVL85" s="931"/>
      <c r="RVM85" s="931"/>
      <c r="RVN85" s="931"/>
      <c r="RVO85" s="931"/>
      <c r="RVP85" s="931"/>
      <c r="RVQ85" s="931"/>
      <c r="RVR85" s="931"/>
      <c r="RVS85" s="931"/>
      <c r="RVT85" s="931"/>
      <c r="RVU85" s="931"/>
      <c r="RVV85" s="931"/>
      <c r="RVW85" s="931"/>
      <c r="RVX85" s="931"/>
      <c r="RVY85" s="931"/>
      <c r="RVZ85" s="931"/>
      <c r="RWA85" s="931"/>
      <c r="RWB85" s="931"/>
      <c r="RWC85" s="931"/>
      <c r="RWD85" s="931"/>
      <c r="RWE85" s="931"/>
      <c r="RWF85" s="931"/>
      <c r="RWG85" s="931"/>
      <c r="RWH85" s="931"/>
      <c r="RWI85" s="931"/>
      <c r="RWJ85" s="931"/>
      <c r="RWK85" s="931"/>
      <c r="RWL85" s="931"/>
      <c r="RWM85" s="931"/>
      <c r="RWN85" s="931"/>
      <c r="RWO85" s="931"/>
      <c r="RWP85" s="931"/>
      <c r="RWQ85" s="931"/>
      <c r="RWR85" s="931"/>
      <c r="RWS85" s="931"/>
      <c r="RWT85" s="931"/>
      <c r="RWU85" s="931"/>
      <c r="RWV85" s="931"/>
      <c r="RWW85" s="931"/>
      <c r="RWX85" s="931"/>
      <c r="RWY85" s="931"/>
      <c r="RWZ85" s="931"/>
      <c r="RXA85" s="931"/>
      <c r="RXB85" s="931"/>
      <c r="RXC85" s="931"/>
      <c r="RXD85" s="931"/>
      <c r="RXE85" s="931"/>
      <c r="RXF85" s="931"/>
      <c r="RXG85" s="931"/>
      <c r="RXH85" s="931"/>
      <c r="RXI85" s="931"/>
      <c r="RXJ85" s="931"/>
      <c r="RXK85" s="931"/>
      <c r="RXL85" s="931"/>
      <c r="RXM85" s="931"/>
      <c r="RXN85" s="931"/>
      <c r="RXO85" s="931"/>
      <c r="RXP85" s="931"/>
      <c r="RXQ85" s="931"/>
      <c r="RXR85" s="931"/>
      <c r="RXS85" s="931"/>
      <c r="RXT85" s="931"/>
      <c r="RXU85" s="931"/>
      <c r="RXV85" s="931"/>
      <c r="RXW85" s="931"/>
      <c r="RXX85" s="931"/>
      <c r="RXY85" s="931"/>
      <c r="RXZ85" s="931"/>
      <c r="RYA85" s="931"/>
      <c r="RYB85" s="931"/>
      <c r="RYC85" s="931"/>
      <c r="RYD85" s="931"/>
      <c r="RYE85" s="931"/>
      <c r="RYF85" s="931"/>
      <c r="RYG85" s="931"/>
      <c r="RYH85" s="931"/>
      <c r="RYI85" s="931"/>
      <c r="RYJ85" s="931"/>
      <c r="RYK85" s="931"/>
      <c r="RYL85" s="931"/>
      <c r="RYM85" s="931"/>
      <c r="RYN85" s="931"/>
      <c r="RYO85" s="931"/>
      <c r="RYP85" s="931"/>
      <c r="RYQ85" s="931"/>
      <c r="RYR85" s="931"/>
      <c r="RYS85" s="931"/>
      <c r="RYT85" s="931"/>
      <c r="RYU85" s="931"/>
      <c r="RYV85" s="931"/>
      <c r="RYW85" s="931"/>
      <c r="RYX85" s="931"/>
      <c r="RYY85" s="931"/>
      <c r="RYZ85" s="931"/>
      <c r="RZA85" s="931"/>
      <c r="RZB85" s="931"/>
      <c r="RZC85" s="931"/>
      <c r="RZD85" s="931"/>
      <c r="RZE85" s="931"/>
      <c r="RZF85" s="931"/>
      <c r="RZG85" s="931"/>
      <c r="RZH85" s="931"/>
      <c r="RZI85" s="931"/>
      <c r="RZJ85" s="931"/>
      <c r="RZK85" s="931"/>
      <c r="RZL85" s="931"/>
      <c r="RZM85" s="931"/>
      <c r="RZN85" s="931"/>
      <c r="RZO85" s="931"/>
      <c r="RZP85" s="931"/>
      <c r="RZQ85" s="931"/>
      <c r="RZR85" s="931"/>
      <c r="RZS85" s="931"/>
      <c r="RZT85" s="931"/>
      <c r="RZU85" s="931"/>
      <c r="RZV85" s="931"/>
      <c r="RZW85" s="931"/>
      <c r="RZX85" s="931"/>
      <c r="RZY85" s="931"/>
      <c r="RZZ85" s="931"/>
      <c r="SAA85" s="931"/>
      <c r="SAB85" s="931"/>
      <c r="SAC85" s="931"/>
      <c r="SAD85" s="931"/>
      <c r="SAE85" s="931"/>
      <c r="SAF85" s="931"/>
      <c r="SAG85" s="931"/>
      <c r="SAH85" s="931"/>
      <c r="SAI85" s="931"/>
      <c r="SAJ85" s="931"/>
      <c r="SAK85" s="931"/>
      <c r="SAL85" s="931"/>
      <c r="SAM85" s="931"/>
      <c r="SAN85" s="931"/>
      <c r="SAO85" s="931"/>
      <c r="SAP85" s="931"/>
      <c r="SAQ85" s="931"/>
      <c r="SAR85" s="931"/>
      <c r="SAS85" s="931"/>
      <c r="SAT85" s="931"/>
      <c r="SAU85" s="931"/>
      <c r="SAV85" s="931"/>
      <c r="SAW85" s="931"/>
      <c r="SAX85" s="931"/>
      <c r="SAY85" s="931"/>
      <c r="SAZ85" s="931"/>
      <c r="SBA85" s="931"/>
      <c r="SBB85" s="931"/>
      <c r="SBC85" s="931"/>
      <c r="SBD85" s="931"/>
      <c r="SBE85" s="931"/>
      <c r="SBF85" s="931"/>
      <c r="SBG85" s="931"/>
      <c r="SBH85" s="931"/>
      <c r="SBI85" s="931"/>
      <c r="SBJ85" s="931"/>
      <c r="SBK85" s="931"/>
      <c r="SBL85" s="931"/>
      <c r="SBM85" s="931"/>
      <c r="SBN85" s="931"/>
      <c r="SBO85" s="931"/>
      <c r="SBP85" s="931"/>
      <c r="SBQ85" s="931"/>
      <c r="SBR85" s="931"/>
      <c r="SBS85" s="931"/>
      <c r="SBT85" s="931"/>
      <c r="SBU85" s="931"/>
      <c r="SBV85" s="931"/>
      <c r="SBW85" s="931"/>
      <c r="SBX85" s="931"/>
      <c r="SBY85" s="931"/>
      <c r="SBZ85" s="931"/>
      <c r="SCA85" s="931"/>
      <c r="SCB85" s="931"/>
      <c r="SCC85" s="931"/>
      <c r="SCD85" s="931"/>
      <c r="SCE85" s="931"/>
      <c r="SCF85" s="931"/>
      <c r="SCG85" s="931"/>
      <c r="SCH85" s="931"/>
      <c r="SCI85" s="931"/>
      <c r="SCJ85" s="931"/>
      <c r="SCK85" s="931"/>
      <c r="SCL85" s="931"/>
      <c r="SCM85" s="931"/>
      <c r="SCN85" s="931"/>
      <c r="SCO85" s="931"/>
      <c r="SCP85" s="931"/>
      <c r="SCQ85" s="931"/>
      <c r="SCR85" s="931"/>
      <c r="SCS85" s="931"/>
      <c r="SCT85" s="931"/>
      <c r="SCU85" s="931"/>
      <c r="SCV85" s="931"/>
      <c r="SCW85" s="931"/>
      <c r="SCX85" s="931"/>
      <c r="SCY85" s="931"/>
      <c r="SCZ85" s="931"/>
      <c r="SDA85" s="931"/>
      <c r="SDB85" s="931"/>
      <c r="SDC85" s="931"/>
      <c r="SDD85" s="931"/>
      <c r="SDE85" s="931"/>
      <c r="SDF85" s="931"/>
      <c r="SDG85" s="931"/>
      <c r="SDH85" s="931"/>
      <c r="SDI85" s="931"/>
      <c r="SDJ85" s="931"/>
      <c r="SDK85" s="931"/>
      <c r="SDL85" s="931"/>
      <c r="SDM85" s="931"/>
      <c r="SDN85" s="931"/>
      <c r="SDO85" s="931"/>
      <c r="SDP85" s="931"/>
      <c r="SDQ85" s="931"/>
      <c r="SDR85" s="931"/>
      <c r="SDS85" s="931"/>
      <c r="SDT85" s="931"/>
      <c r="SDU85" s="931"/>
      <c r="SDV85" s="931"/>
      <c r="SDW85" s="931"/>
      <c r="SDX85" s="931"/>
      <c r="SDY85" s="931"/>
      <c r="SDZ85" s="931"/>
      <c r="SEA85" s="931"/>
      <c r="SEB85" s="931"/>
      <c r="SEC85" s="931"/>
      <c r="SED85" s="931"/>
      <c r="SEE85" s="931"/>
      <c r="SEF85" s="931"/>
      <c r="SEG85" s="931"/>
      <c r="SEH85" s="931"/>
      <c r="SEI85" s="931"/>
      <c r="SEJ85" s="931"/>
      <c r="SEK85" s="931"/>
      <c r="SEL85" s="931"/>
      <c r="SEM85" s="931"/>
      <c r="SEN85" s="931"/>
      <c r="SEO85" s="931"/>
      <c r="SEP85" s="931"/>
      <c r="SEQ85" s="931"/>
      <c r="SER85" s="931"/>
      <c r="SES85" s="931"/>
      <c r="SET85" s="931"/>
      <c r="SEU85" s="931"/>
      <c r="SEV85" s="931"/>
      <c r="SEW85" s="931"/>
      <c r="SEX85" s="931"/>
      <c r="SEY85" s="931"/>
      <c r="SEZ85" s="931"/>
      <c r="SFA85" s="931"/>
      <c r="SFB85" s="931"/>
      <c r="SFC85" s="931"/>
      <c r="SFD85" s="931"/>
      <c r="SFE85" s="931"/>
      <c r="SFF85" s="931"/>
      <c r="SFG85" s="931"/>
      <c r="SFH85" s="931"/>
      <c r="SFI85" s="931"/>
      <c r="SFJ85" s="931"/>
      <c r="SFK85" s="931"/>
      <c r="SFL85" s="931"/>
      <c r="SFM85" s="931"/>
      <c r="SFN85" s="931"/>
      <c r="SFO85" s="931"/>
      <c r="SFP85" s="931"/>
      <c r="SFQ85" s="931"/>
      <c r="SFR85" s="931"/>
      <c r="SFS85" s="931"/>
      <c r="SFT85" s="931"/>
      <c r="SFU85" s="931"/>
      <c r="SFV85" s="931"/>
      <c r="SFW85" s="931"/>
      <c r="SFX85" s="931"/>
      <c r="SFY85" s="931"/>
      <c r="SFZ85" s="931"/>
      <c r="SGA85" s="931"/>
      <c r="SGB85" s="931"/>
      <c r="SGC85" s="931"/>
      <c r="SGD85" s="931"/>
      <c r="SGE85" s="931"/>
      <c r="SGF85" s="931"/>
      <c r="SGG85" s="931"/>
      <c r="SGH85" s="931"/>
      <c r="SGI85" s="931"/>
      <c r="SGJ85" s="931"/>
      <c r="SGK85" s="931"/>
      <c r="SGL85" s="931"/>
      <c r="SGM85" s="931"/>
      <c r="SGN85" s="931"/>
      <c r="SGO85" s="931"/>
      <c r="SGP85" s="931"/>
      <c r="SGQ85" s="931"/>
      <c r="SGR85" s="931"/>
      <c r="SGS85" s="931"/>
      <c r="SGT85" s="931"/>
      <c r="SGU85" s="931"/>
      <c r="SGV85" s="931"/>
      <c r="SGW85" s="931"/>
      <c r="SGX85" s="931"/>
      <c r="SGY85" s="931"/>
      <c r="SGZ85" s="931"/>
      <c r="SHA85" s="931"/>
      <c r="SHB85" s="931"/>
      <c r="SHC85" s="931"/>
      <c r="SHD85" s="931"/>
      <c r="SHE85" s="931"/>
      <c r="SHF85" s="931"/>
      <c r="SHG85" s="931"/>
      <c r="SHH85" s="931"/>
      <c r="SHI85" s="931"/>
      <c r="SHJ85" s="931"/>
      <c r="SHK85" s="931"/>
      <c r="SHL85" s="931"/>
      <c r="SHM85" s="931"/>
      <c r="SHN85" s="931"/>
      <c r="SHO85" s="931"/>
      <c r="SHP85" s="931"/>
      <c r="SHQ85" s="931"/>
      <c r="SHR85" s="931"/>
      <c r="SHS85" s="931"/>
      <c r="SHT85" s="931"/>
      <c r="SHU85" s="931"/>
      <c r="SHV85" s="931"/>
      <c r="SHW85" s="931"/>
      <c r="SHX85" s="931"/>
      <c r="SHY85" s="931"/>
      <c r="SHZ85" s="931"/>
      <c r="SIA85" s="931"/>
      <c r="SIB85" s="931"/>
      <c r="SIC85" s="931"/>
      <c r="SID85" s="931"/>
      <c r="SIE85" s="931"/>
      <c r="SIF85" s="931"/>
      <c r="SIG85" s="931"/>
      <c r="SIH85" s="931"/>
      <c r="SII85" s="931"/>
      <c r="SIJ85" s="931"/>
      <c r="SIK85" s="931"/>
      <c r="SIL85" s="931"/>
      <c r="SIM85" s="931"/>
      <c r="SIN85" s="931"/>
      <c r="SIO85" s="931"/>
      <c r="SIP85" s="931"/>
      <c r="SIQ85" s="931"/>
      <c r="SIR85" s="931"/>
      <c r="SIS85" s="931"/>
      <c r="SIT85" s="931"/>
      <c r="SIU85" s="931"/>
      <c r="SIV85" s="931"/>
      <c r="SIW85" s="931"/>
      <c r="SIX85" s="931"/>
      <c r="SIY85" s="931"/>
      <c r="SIZ85" s="931"/>
      <c r="SJA85" s="931"/>
      <c r="SJB85" s="931"/>
      <c r="SJC85" s="931"/>
      <c r="SJD85" s="931"/>
      <c r="SJE85" s="931"/>
      <c r="SJF85" s="931"/>
      <c r="SJG85" s="931"/>
      <c r="SJH85" s="931"/>
      <c r="SJI85" s="931"/>
      <c r="SJJ85" s="931"/>
      <c r="SJK85" s="931"/>
      <c r="SJL85" s="931"/>
      <c r="SJM85" s="931"/>
      <c r="SJN85" s="931"/>
      <c r="SJO85" s="931"/>
      <c r="SJP85" s="931"/>
      <c r="SJQ85" s="931"/>
      <c r="SJR85" s="931"/>
      <c r="SJS85" s="931"/>
      <c r="SJT85" s="931"/>
      <c r="SJU85" s="931"/>
      <c r="SJV85" s="931"/>
      <c r="SJW85" s="931"/>
      <c r="SJX85" s="931"/>
      <c r="SJY85" s="931"/>
      <c r="SJZ85" s="931"/>
      <c r="SKA85" s="931"/>
      <c r="SKB85" s="931"/>
      <c r="SKC85" s="931"/>
      <c r="SKD85" s="931"/>
      <c r="SKE85" s="931"/>
      <c r="SKF85" s="931"/>
      <c r="SKG85" s="931"/>
      <c r="SKH85" s="931"/>
      <c r="SKI85" s="931"/>
      <c r="SKJ85" s="931"/>
      <c r="SKK85" s="931"/>
      <c r="SKL85" s="931"/>
      <c r="SKM85" s="931"/>
      <c r="SKN85" s="931"/>
      <c r="SKO85" s="931"/>
      <c r="SKP85" s="931"/>
      <c r="SKQ85" s="931"/>
      <c r="SKR85" s="931"/>
      <c r="SKS85" s="931"/>
      <c r="SKT85" s="931"/>
      <c r="SKU85" s="931"/>
      <c r="SKV85" s="931"/>
      <c r="SKW85" s="931"/>
      <c r="SKX85" s="931"/>
      <c r="SKY85" s="931"/>
      <c r="SKZ85" s="931"/>
      <c r="SLA85" s="931"/>
      <c r="SLB85" s="931"/>
      <c r="SLC85" s="931"/>
      <c r="SLD85" s="931"/>
      <c r="SLE85" s="931"/>
      <c r="SLF85" s="931"/>
      <c r="SLG85" s="931"/>
      <c r="SLH85" s="931"/>
      <c r="SLI85" s="931"/>
      <c r="SLJ85" s="931"/>
      <c r="SLK85" s="931"/>
      <c r="SLL85" s="931"/>
      <c r="SLM85" s="931"/>
      <c r="SLN85" s="931"/>
      <c r="SLO85" s="931"/>
      <c r="SLP85" s="931"/>
      <c r="SLQ85" s="931"/>
      <c r="SLR85" s="931"/>
      <c r="SLS85" s="931"/>
      <c r="SLT85" s="931"/>
      <c r="SLU85" s="931"/>
      <c r="SLV85" s="931"/>
      <c r="SLW85" s="931"/>
      <c r="SLX85" s="931"/>
      <c r="SLY85" s="931"/>
      <c r="SLZ85" s="931"/>
      <c r="SMA85" s="931"/>
      <c r="SMB85" s="931"/>
      <c r="SMC85" s="931"/>
      <c r="SMD85" s="931"/>
      <c r="SME85" s="931"/>
      <c r="SMF85" s="931"/>
      <c r="SMG85" s="931"/>
      <c r="SMH85" s="931"/>
      <c r="SMI85" s="931"/>
      <c r="SMJ85" s="931"/>
      <c r="SMK85" s="931"/>
      <c r="SML85" s="931"/>
      <c r="SMM85" s="931"/>
      <c r="SMN85" s="931"/>
      <c r="SMO85" s="931"/>
      <c r="SMP85" s="931"/>
      <c r="SMQ85" s="931"/>
      <c r="SMR85" s="931"/>
      <c r="SMS85" s="931"/>
      <c r="SMT85" s="931"/>
      <c r="SMU85" s="931"/>
      <c r="SMV85" s="931"/>
      <c r="SMW85" s="931"/>
      <c r="SMX85" s="931"/>
      <c r="SMY85" s="931"/>
      <c r="SMZ85" s="931"/>
      <c r="SNA85" s="931"/>
      <c r="SNB85" s="931"/>
      <c r="SNC85" s="931"/>
      <c r="SND85" s="931"/>
      <c r="SNE85" s="931"/>
      <c r="SNF85" s="931"/>
      <c r="SNG85" s="931"/>
      <c r="SNH85" s="931"/>
      <c r="SNI85" s="931"/>
      <c r="SNJ85" s="931"/>
      <c r="SNK85" s="931"/>
      <c r="SNL85" s="931"/>
      <c r="SNM85" s="931"/>
      <c r="SNN85" s="931"/>
      <c r="SNO85" s="931"/>
      <c r="SNP85" s="931"/>
      <c r="SNQ85" s="931"/>
      <c r="SNR85" s="931"/>
      <c r="SNS85" s="931"/>
      <c r="SNT85" s="931"/>
      <c r="SNU85" s="931"/>
      <c r="SNV85" s="931"/>
      <c r="SNW85" s="931"/>
      <c r="SNX85" s="931"/>
      <c r="SNY85" s="931"/>
      <c r="SNZ85" s="931"/>
      <c r="SOA85" s="931"/>
      <c r="SOB85" s="931"/>
      <c r="SOC85" s="931"/>
      <c r="SOD85" s="931"/>
      <c r="SOE85" s="931"/>
      <c r="SOF85" s="931"/>
      <c r="SOG85" s="931"/>
      <c r="SOH85" s="931"/>
      <c r="SOI85" s="931"/>
      <c r="SOJ85" s="931"/>
      <c r="SOK85" s="931"/>
      <c r="SOL85" s="931"/>
      <c r="SOM85" s="931"/>
      <c r="SON85" s="931"/>
      <c r="SOO85" s="931"/>
      <c r="SOP85" s="931"/>
      <c r="SOQ85" s="931"/>
      <c r="SOR85" s="931"/>
      <c r="SOS85" s="931"/>
      <c r="SOT85" s="931"/>
      <c r="SOU85" s="931"/>
      <c r="SOV85" s="931"/>
      <c r="SOW85" s="931"/>
      <c r="SOX85" s="931"/>
      <c r="SOY85" s="931"/>
      <c r="SOZ85" s="931"/>
      <c r="SPA85" s="931"/>
      <c r="SPB85" s="931"/>
      <c r="SPC85" s="931"/>
      <c r="SPD85" s="931"/>
      <c r="SPE85" s="931"/>
      <c r="SPF85" s="931"/>
      <c r="SPG85" s="931"/>
      <c r="SPH85" s="931"/>
      <c r="SPI85" s="931"/>
      <c r="SPJ85" s="931"/>
      <c r="SPK85" s="931"/>
      <c r="SPL85" s="931"/>
      <c r="SPM85" s="931"/>
      <c r="SPN85" s="931"/>
      <c r="SPO85" s="931"/>
      <c r="SPP85" s="931"/>
      <c r="SPQ85" s="931"/>
      <c r="SPR85" s="931"/>
      <c r="SPS85" s="931"/>
      <c r="SPT85" s="931"/>
      <c r="SPU85" s="931"/>
      <c r="SPV85" s="931"/>
      <c r="SPW85" s="931"/>
      <c r="SPX85" s="931"/>
      <c r="SPY85" s="931"/>
      <c r="SPZ85" s="931"/>
      <c r="SQA85" s="931"/>
      <c r="SQB85" s="931"/>
      <c r="SQC85" s="931"/>
      <c r="SQD85" s="931"/>
      <c r="SQE85" s="931"/>
      <c r="SQF85" s="931"/>
      <c r="SQG85" s="931"/>
      <c r="SQH85" s="931"/>
      <c r="SQI85" s="931"/>
      <c r="SQJ85" s="931"/>
      <c r="SQK85" s="931"/>
      <c r="SQL85" s="931"/>
      <c r="SQM85" s="931"/>
      <c r="SQN85" s="931"/>
      <c r="SQO85" s="931"/>
      <c r="SQP85" s="931"/>
      <c r="SQQ85" s="931"/>
      <c r="SQR85" s="931"/>
      <c r="SQS85" s="931"/>
      <c r="SQT85" s="931"/>
      <c r="SQU85" s="931"/>
      <c r="SQV85" s="931"/>
      <c r="SQW85" s="931"/>
      <c r="SQX85" s="931"/>
      <c r="SQY85" s="931"/>
      <c r="SQZ85" s="931"/>
      <c r="SRA85" s="931"/>
      <c r="SRB85" s="931"/>
      <c r="SRC85" s="931"/>
      <c r="SRD85" s="931"/>
      <c r="SRE85" s="931"/>
      <c r="SRF85" s="931"/>
      <c r="SRG85" s="931"/>
      <c r="SRH85" s="931"/>
      <c r="SRI85" s="931"/>
      <c r="SRJ85" s="931"/>
      <c r="SRK85" s="931"/>
      <c r="SRL85" s="931"/>
      <c r="SRM85" s="931"/>
      <c r="SRN85" s="931"/>
      <c r="SRO85" s="931"/>
      <c r="SRP85" s="931"/>
      <c r="SRQ85" s="931"/>
      <c r="SRR85" s="931"/>
      <c r="SRS85" s="931"/>
      <c r="SRT85" s="931"/>
      <c r="SRU85" s="931"/>
      <c r="SRV85" s="931"/>
      <c r="SRW85" s="931"/>
      <c r="SRX85" s="931"/>
      <c r="SRY85" s="931"/>
      <c r="SRZ85" s="931"/>
      <c r="SSA85" s="931"/>
      <c r="SSB85" s="931"/>
      <c r="SSC85" s="931"/>
      <c r="SSD85" s="931"/>
      <c r="SSE85" s="931"/>
      <c r="SSF85" s="931"/>
      <c r="SSG85" s="931"/>
      <c r="SSH85" s="931"/>
      <c r="SSI85" s="931"/>
      <c r="SSJ85" s="931"/>
      <c r="SSK85" s="931"/>
      <c r="SSL85" s="931"/>
      <c r="SSM85" s="931"/>
      <c r="SSN85" s="931"/>
      <c r="SSO85" s="931"/>
      <c r="SSP85" s="931"/>
      <c r="SSQ85" s="931"/>
      <c r="SSR85" s="931"/>
      <c r="SSS85" s="931"/>
      <c r="SST85" s="931"/>
      <c r="SSU85" s="931"/>
      <c r="SSV85" s="931"/>
      <c r="SSW85" s="931"/>
      <c r="SSX85" s="931"/>
      <c r="SSY85" s="931"/>
      <c r="SSZ85" s="931"/>
      <c r="STA85" s="931"/>
      <c r="STB85" s="931"/>
      <c r="STC85" s="931"/>
      <c r="STD85" s="931"/>
      <c r="STE85" s="931"/>
      <c r="STF85" s="931"/>
      <c r="STG85" s="931"/>
      <c r="STH85" s="931"/>
      <c r="STI85" s="931"/>
      <c r="STJ85" s="931"/>
      <c r="STK85" s="931"/>
      <c r="STL85" s="931"/>
      <c r="STM85" s="931"/>
      <c r="STN85" s="931"/>
      <c r="STO85" s="931"/>
      <c r="STP85" s="931"/>
      <c r="STQ85" s="931"/>
      <c r="STR85" s="931"/>
      <c r="STS85" s="931"/>
      <c r="STT85" s="931"/>
      <c r="STU85" s="931"/>
      <c r="STV85" s="931"/>
      <c r="STW85" s="931"/>
      <c r="STX85" s="931"/>
      <c r="STY85" s="931"/>
      <c r="STZ85" s="931"/>
      <c r="SUA85" s="931"/>
      <c r="SUB85" s="931"/>
      <c r="SUC85" s="931"/>
      <c r="SUD85" s="931"/>
      <c r="SUE85" s="931"/>
      <c r="SUF85" s="931"/>
      <c r="SUG85" s="931"/>
      <c r="SUH85" s="931"/>
      <c r="SUI85" s="931"/>
      <c r="SUJ85" s="931"/>
      <c r="SUK85" s="931"/>
      <c r="SUL85" s="931"/>
      <c r="SUM85" s="931"/>
      <c r="SUN85" s="931"/>
      <c r="SUO85" s="931"/>
      <c r="SUP85" s="931"/>
      <c r="SUQ85" s="931"/>
      <c r="SUR85" s="931"/>
      <c r="SUS85" s="931"/>
      <c r="SUT85" s="931"/>
      <c r="SUU85" s="931"/>
      <c r="SUV85" s="931"/>
      <c r="SUW85" s="931"/>
      <c r="SUX85" s="931"/>
      <c r="SUY85" s="931"/>
      <c r="SUZ85" s="931"/>
      <c r="SVA85" s="931"/>
      <c r="SVB85" s="931"/>
      <c r="SVC85" s="931"/>
      <c r="SVD85" s="931"/>
      <c r="SVE85" s="931"/>
      <c r="SVF85" s="931"/>
      <c r="SVG85" s="931"/>
      <c r="SVH85" s="931"/>
      <c r="SVI85" s="931"/>
      <c r="SVJ85" s="931"/>
      <c r="SVK85" s="931"/>
      <c r="SVL85" s="931"/>
      <c r="SVM85" s="931"/>
      <c r="SVN85" s="931"/>
      <c r="SVO85" s="931"/>
      <c r="SVP85" s="931"/>
      <c r="SVQ85" s="931"/>
      <c r="SVR85" s="931"/>
      <c r="SVS85" s="931"/>
      <c r="SVT85" s="931"/>
      <c r="SVU85" s="931"/>
      <c r="SVV85" s="931"/>
      <c r="SVW85" s="931"/>
      <c r="SVX85" s="931"/>
      <c r="SVY85" s="931"/>
      <c r="SVZ85" s="931"/>
      <c r="SWA85" s="931"/>
      <c r="SWB85" s="931"/>
      <c r="SWC85" s="931"/>
      <c r="SWD85" s="931"/>
      <c r="SWE85" s="931"/>
      <c r="SWF85" s="931"/>
      <c r="SWG85" s="931"/>
      <c r="SWH85" s="931"/>
      <c r="SWI85" s="931"/>
      <c r="SWJ85" s="931"/>
      <c r="SWK85" s="931"/>
      <c r="SWL85" s="931"/>
      <c r="SWM85" s="931"/>
      <c r="SWN85" s="931"/>
      <c r="SWO85" s="931"/>
      <c r="SWP85" s="931"/>
      <c r="SWQ85" s="931"/>
      <c r="SWR85" s="931"/>
      <c r="SWS85" s="931"/>
      <c r="SWT85" s="931"/>
      <c r="SWU85" s="931"/>
      <c r="SWV85" s="931"/>
      <c r="SWW85" s="931"/>
      <c r="SWX85" s="931"/>
      <c r="SWY85" s="931"/>
      <c r="SWZ85" s="931"/>
      <c r="SXA85" s="931"/>
      <c r="SXB85" s="931"/>
      <c r="SXC85" s="931"/>
      <c r="SXD85" s="931"/>
      <c r="SXE85" s="931"/>
      <c r="SXF85" s="931"/>
      <c r="SXG85" s="931"/>
      <c r="SXH85" s="931"/>
      <c r="SXI85" s="931"/>
      <c r="SXJ85" s="931"/>
      <c r="SXK85" s="931"/>
      <c r="SXL85" s="931"/>
      <c r="SXM85" s="931"/>
      <c r="SXN85" s="931"/>
      <c r="SXO85" s="931"/>
      <c r="SXP85" s="931"/>
      <c r="SXQ85" s="931"/>
      <c r="SXR85" s="931"/>
      <c r="SXS85" s="931"/>
      <c r="SXT85" s="931"/>
      <c r="SXU85" s="931"/>
      <c r="SXV85" s="931"/>
      <c r="SXW85" s="931"/>
      <c r="SXX85" s="931"/>
      <c r="SXY85" s="931"/>
      <c r="SXZ85" s="931"/>
      <c r="SYA85" s="931"/>
      <c r="SYB85" s="931"/>
      <c r="SYC85" s="931"/>
      <c r="SYD85" s="931"/>
      <c r="SYE85" s="931"/>
      <c r="SYF85" s="931"/>
      <c r="SYG85" s="931"/>
      <c r="SYH85" s="931"/>
      <c r="SYI85" s="931"/>
      <c r="SYJ85" s="931"/>
      <c r="SYK85" s="931"/>
      <c r="SYL85" s="931"/>
      <c r="SYM85" s="931"/>
      <c r="SYN85" s="931"/>
      <c r="SYO85" s="931"/>
      <c r="SYP85" s="931"/>
      <c r="SYQ85" s="931"/>
      <c r="SYR85" s="931"/>
      <c r="SYS85" s="931"/>
      <c r="SYT85" s="931"/>
      <c r="SYU85" s="931"/>
      <c r="SYV85" s="931"/>
      <c r="SYW85" s="931"/>
      <c r="SYX85" s="931"/>
      <c r="SYY85" s="931"/>
      <c r="SYZ85" s="931"/>
      <c r="SZA85" s="931"/>
      <c r="SZB85" s="931"/>
      <c r="SZC85" s="931"/>
      <c r="SZD85" s="931"/>
      <c r="SZE85" s="931"/>
      <c r="SZF85" s="931"/>
      <c r="SZG85" s="931"/>
      <c r="SZH85" s="931"/>
      <c r="SZI85" s="931"/>
      <c r="SZJ85" s="931"/>
      <c r="SZK85" s="931"/>
      <c r="SZL85" s="931"/>
      <c r="SZM85" s="931"/>
      <c r="SZN85" s="931"/>
      <c r="SZO85" s="931"/>
      <c r="SZP85" s="931"/>
      <c r="SZQ85" s="931"/>
      <c r="SZR85" s="931"/>
      <c r="SZS85" s="931"/>
      <c r="SZT85" s="931"/>
      <c r="SZU85" s="931"/>
      <c r="SZV85" s="931"/>
      <c r="SZW85" s="931"/>
      <c r="SZX85" s="931"/>
      <c r="SZY85" s="931"/>
      <c r="SZZ85" s="931"/>
      <c r="TAA85" s="931"/>
      <c r="TAB85" s="931"/>
      <c r="TAC85" s="931"/>
      <c r="TAD85" s="931"/>
      <c r="TAE85" s="931"/>
      <c r="TAF85" s="931"/>
      <c r="TAG85" s="931"/>
      <c r="TAH85" s="931"/>
      <c r="TAI85" s="931"/>
      <c r="TAJ85" s="931"/>
      <c r="TAK85" s="931"/>
      <c r="TAL85" s="931"/>
      <c r="TAM85" s="931"/>
      <c r="TAN85" s="931"/>
      <c r="TAO85" s="931"/>
      <c r="TAP85" s="931"/>
      <c r="TAQ85" s="931"/>
      <c r="TAR85" s="931"/>
      <c r="TAS85" s="931"/>
      <c r="TAT85" s="931"/>
      <c r="TAU85" s="931"/>
      <c r="TAV85" s="931"/>
      <c r="TAW85" s="931"/>
      <c r="TAX85" s="931"/>
      <c r="TAY85" s="931"/>
      <c r="TAZ85" s="931"/>
      <c r="TBA85" s="931"/>
      <c r="TBB85" s="931"/>
      <c r="TBC85" s="931"/>
      <c r="TBD85" s="931"/>
      <c r="TBE85" s="931"/>
      <c r="TBF85" s="931"/>
      <c r="TBG85" s="931"/>
      <c r="TBH85" s="931"/>
      <c r="TBI85" s="931"/>
      <c r="TBJ85" s="931"/>
      <c r="TBK85" s="931"/>
      <c r="TBL85" s="931"/>
      <c r="TBM85" s="931"/>
      <c r="TBN85" s="931"/>
      <c r="TBO85" s="931"/>
      <c r="TBP85" s="931"/>
      <c r="TBQ85" s="931"/>
      <c r="TBR85" s="931"/>
      <c r="TBS85" s="931"/>
      <c r="TBT85" s="931"/>
      <c r="TBU85" s="931"/>
      <c r="TBV85" s="931"/>
      <c r="TBW85" s="931"/>
      <c r="TBX85" s="931"/>
      <c r="TBY85" s="931"/>
      <c r="TBZ85" s="931"/>
      <c r="TCA85" s="931"/>
      <c r="TCB85" s="931"/>
      <c r="TCC85" s="931"/>
      <c r="TCD85" s="931"/>
      <c r="TCE85" s="931"/>
      <c r="TCF85" s="931"/>
      <c r="TCG85" s="931"/>
      <c r="TCH85" s="931"/>
      <c r="TCI85" s="931"/>
      <c r="TCJ85" s="931"/>
      <c r="TCK85" s="931"/>
      <c r="TCL85" s="931"/>
      <c r="TCM85" s="931"/>
      <c r="TCN85" s="931"/>
      <c r="TCO85" s="931"/>
      <c r="TCP85" s="931"/>
      <c r="TCQ85" s="931"/>
      <c r="TCR85" s="931"/>
      <c r="TCS85" s="931"/>
      <c r="TCT85" s="931"/>
      <c r="TCU85" s="931"/>
      <c r="TCV85" s="931"/>
      <c r="TCW85" s="931"/>
      <c r="TCX85" s="931"/>
      <c r="TCY85" s="931"/>
      <c r="TCZ85" s="931"/>
      <c r="TDA85" s="931"/>
      <c r="TDB85" s="931"/>
      <c r="TDC85" s="931"/>
      <c r="TDD85" s="931"/>
      <c r="TDE85" s="931"/>
      <c r="TDF85" s="931"/>
      <c r="TDG85" s="931"/>
      <c r="TDH85" s="931"/>
      <c r="TDI85" s="931"/>
      <c r="TDJ85" s="931"/>
      <c r="TDK85" s="931"/>
      <c r="TDL85" s="931"/>
      <c r="TDM85" s="931"/>
      <c r="TDN85" s="931"/>
      <c r="TDO85" s="931"/>
      <c r="TDP85" s="931"/>
      <c r="TDQ85" s="931"/>
      <c r="TDR85" s="931"/>
      <c r="TDS85" s="931"/>
      <c r="TDT85" s="931"/>
      <c r="TDU85" s="931"/>
      <c r="TDV85" s="931"/>
      <c r="TDW85" s="931"/>
      <c r="TDX85" s="931"/>
      <c r="TDY85" s="931"/>
      <c r="TDZ85" s="931"/>
      <c r="TEA85" s="931"/>
      <c r="TEB85" s="931"/>
      <c r="TEC85" s="931"/>
      <c r="TED85" s="931"/>
      <c r="TEE85" s="931"/>
      <c r="TEF85" s="931"/>
      <c r="TEG85" s="931"/>
      <c r="TEH85" s="931"/>
      <c r="TEI85" s="931"/>
      <c r="TEJ85" s="931"/>
      <c r="TEK85" s="931"/>
      <c r="TEL85" s="931"/>
      <c r="TEM85" s="931"/>
      <c r="TEN85" s="931"/>
      <c r="TEO85" s="931"/>
      <c r="TEP85" s="931"/>
      <c r="TEQ85" s="931"/>
      <c r="TER85" s="931"/>
      <c r="TES85" s="931"/>
      <c r="TET85" s="931"/>
      <c r="TEU85" s="931"/>
      <c r="TEV85" s="931"/>
      <c r="TEW85" s="931"/>
      <c r="TEX85" s="931"/>
      <c r="TEY85" s="931"/>
      <c r="TEZ85" s="931"/>
      <c r="TFA85" s="931"/>
      <c r="TFB85" s="931"/>
      <c r="TFC85" s="931"/>
      <c r="TFD85" s="931"/>
      <c r="TFE85" s="931"/>
      <c r="TFF85" s="931"/>
      <c r="TFG85" s="931"/>
      <c r="TFH85" s="931"/>
      <c r="TFI85" s="931"/>
      <c r="TFJ85" s="931"/>
      <c r="TFK85" s="931"/>
      <c r="TFL85" s="931"/>
      <c r="TFM85" s="931"/>
      <c r="TFN85" s="931"/>
      <c r="TFO85" s="931"/>
      <c r="TFP85" s="931"/>
      <c r="TFQ85" s="931"/>
      <c r="TFR85" s="931"/>
      <c r="TFS85" s="931"/>
      <c r="TFT85" s="931"/>
      <c r="TFU85" s="931"/>
      <c r="TFV85" s="931"/>
      <c r="TFW85" s="931"/>
      <c r="TFX85" s="931"/>
      <c r="TFY85" s="931"/>
      <c r="TFZ85" s="931"/>
      <c r="TGA85" s="931"/>
      <c r="TGB85" s="931"/>
      <c r="TGC85" s="931"/>
      <c r="TGD85" s="931"/>
      <c r="TGE85" s="931"/>
      <c r="TGF85" s="931"/>
      <c r="TGG85" s="931"/>
      <c r="TGH85" s="931"/>
      <c r="TGI85" s="931"/>
      <c r="TGJ85" s="931"/>
      <c r="TGK85" s="931"/>
      <c r="TGL85" s="931"/>
      <c r="TGM85" s="931"/>
      <c r="TGN85" s="931"/>
      <c r="TGO85" s="931"/>
      <c r="TGP85" s="931"/>
      <c r="TGQ85" s="931"/>
      <c r="TGR85" s="931"/>
      <c r="TGS85" s="931"/>
      <c r="TGT85" s="931"/>
      <c r="TGU85" s="931"/>
      <c r="TGV85" s="931"/>
      <c r="TGW85" s="931"/>
      <c r="TGX85" s="931"/>
      <c r="TGY85" s="931"/>
      <c r="TGZ85" s="931"/>
      <c r="THA85" s="931"/>
      <c r="THB85" s="931"/>
      <c r="THC85" s="931"/>
      <c r="THD85" s="931"/>
      <c r="THE85" s="931"/>
      <c r="THF85" s="931"/>
      <c r="THG85" s="931"/>
      <c r="THH85" s="931"/>
      <c r="THI85" s="931"/>
      <c r="THJ85" s="931"/>
      <c r="THK85" s="931"/>
      <c r="THL85" s="931"/>
      <c r="THM85" s="931"/>
      <c r="THN85" s="931"/>
      <c r="THO85" s="931"/>
      <c r="THP85" s="931"/>
      <c r="THQ85" s="931"/>
      <c r="THR85" s="931"/>
      <c r="THS85" s="931"/>
      <c r="THT85" s="931"/>
      <c r="THU85" s="931"/>
      <c r="THV85" s="931"/>
      <c r="THW85" s="931"/>
      <c r="THX85" s="931"/>
      <c r="THY85" s="931"/>
      <c r="THZ85" s="931"/>
      <c r="TIA85" s="931"/>
      <c r="TIB85" s="931"/>
      <c r="TIC85" s="931"/>
      <c r="TID85" s="931"/>
      <c r="TIE85" s="931"/>
      <c r="TIF85" s="931"/>
      <c r="TIG85" s="931"/>
      <c r="TIH85" s="931"/>
      <c r="TII85" s="931"/>
      <c r="TIJ85" s="931"/>
      <c r="TIK85" s="931"/>
      <c r="TIL85" s="931"/>
      <c r="TIM85" s="931"/>
      <c r="TIN85" s="931"/>
      <c r="TIO85" s="931"/>
      <c r="TIP85" s="931"/>
      <c r="TIQ85" s="931"/>
      <c r="TIR85" s="931"/>
      <c r="TIS85" s="931"/>
      <c r="TIT85" s="931"/>
      <c r="TIU85" s="931"/>
      <c r="TIV85" s="931"/>
      <c r="TIW85" s="931"/>
      <c r="TIX85" s="931"/>
      <c r="TIY85" s="931"/>
      <c r="TIZ85" s="931"/>
      <c r="TJA85" s="931"/>
      <c r="TJB85" s="931"/>
      <c r="TJC85" s="931"/>
      <c r="TJD85" s="931"/>
      <c r="TJE85" s="931"/>
      <c r="TJF85" s="931"/>
      <c r="TJG85" s="931"/>
      <c r="TJH85" s="931"/>
      <c r="TJI85" s="931"/>
      <c r="TJJ85" s="931"/>
      <c r="TJK85" s="931"/>
      <c r="TJL85" s="931"/>
      <c r="TJM85" s="931"/>
      <c r="TJN85" s="931"/>
      <c r="TJO85" s="931"/>
      <c r="TJP85" s="931"/>
      <c r="TJQ85" s="931"/>
      <c r="TJR85" s="931"/>
      <c r="TJS85" s="931"/>
      <c r="TJT85" s="931"/>
      <c r="TJU85" s="931"/>
      <c r="TJV85" s="931"/>
      <c r="TJW85" s="931"/>
      <c r="TJX85" s="931"/>
      <c r="TJY85" s="931"/>
      <c r="TJZ85" s="931"/>
      <c r="TKA85" s="931"/>
      <c r="TKB85" s="931"/>
      <c r="TKC85" s="931"/>
      <c r="TKD85" s="931"/>
      <c r="TKE85" s="931"/>
      <c r="TKF85" s="931"/>
      <c r="TKG85" s="931"/>
      <c r="TKH85" s="931"/>
      <c r="TKI85" s="931"/>
      <c r="TKJ85" s="931"/>
      <c r="TKK85" s="931"/>
      <c r="TKL85" s="931"/>
      <c r="TKM85" s="931"/>
      <c r="TKN85" s="931"/>
      <c r="TKO85" s="931"/>
      <c r="TKP85" s="931"/>
      <c r="TKQ85" s="931"/>
      <c r="TKR85" s="931"/>
      <c r="TKS85" s="931"/>
      <c r="TKT85" s="931"/>
      <c r="TKU85" s="931"/>
      <c r="TKV85" s="931"/>
      <c r="TKW85" s="931"/>
      <c r="TKX85" s="931"/>
      <c r="TKY85" s="931"/>
      <c r="TKZ85" s="931"/>
      <c r="TLA85" s="931"/>
      <c r="TLB85" s="931"/>
      <c r="TLC85" s="931"/>
      <c r="TLD85" s="931"/>
      <c r="TLE85" s="931"/>
      <c r="TLF85" s="931"/>
      <c r="TLG85" s="931"/>
      <c r="TLH85" s="931"/>
      <c r="TLI85" s="931"/>
      <c r="TLJ85" s="931"/>
      <c r="TLK85" s="931"/>
      <c r="TLL85" s="931"/>
      <c r="TLM85" s="931"/>
      <c r="TLN85" s="931"/>
      <c r="TLO85" s="931"/>
      <c r="TLP85" s="931"/>
      <c r="TLQ85" s="931"/>
      <c r="TLR85" s="931"/>
      <c r="TLS85" s="931"/>
      <c r="TLT85" s="931"/>
      <c r="TLU85" s="931"/>
      <c r="TLV85" s="931"/>
      <c r="TLW85" s="931"/>
      <c r="TLX85" s="931"/>
      <c r="TLY85" s="931"/>
      <c r="TLZ85" s="931"/>
      <c r="TMA85" s="931"/>
      <c r="TMB85" s="931"/>
      <c r="TMC85" s="931"/>
      <c r="TMD85" s="931"/>
      <c r="TME85" s="931"/>
      <c r="TMF85" s="931"/>
      <c r="TMG85" s="931"/>
      <c r="TMH85" s="931"/>
      <c r="TMI85" s="931"/>
      <c r="TMJ85" s="931"/>
      <c r="TMK85" s="931"/>
      <c r="TML85" s="931"/>
      <c r="TMM85" s="931"/>
      <c r="TMN85" s="931"/>
      <c r="TMO85" s="931"/>
      <c r="TMP85" s="931"/>
      <c r="TMQ85" s="931"/>
      <c r="TMR85" s="931"/>
      <c r="TMS85" s="931"/>
      <c r="TMT85" s="931"/>
      <c r="TMU85" s="931"/>
      <c r="TMV85" s="931"/>
      <c r="TMW85" s="931"/>
      <c r="TMX85" s="931"/>
      <c r="TMY85" s="931"/>
      <c r="TMZ85" s="931"/>
      <c r="TNA85" s="931"/>
      <c r="TNB85" s="931"/>
      <c r="TNC85" s="931"/>
      <c r="TND85" s="931"/>
      <c r="TNE85" s="931"/>
      <c r="TNF85" s="931"/>
      <c r="TNG85" s="931"/>
      <c r="TNH85" s="931"/>
      <c r="TNI85" s="931"/>
      <c r="TNJ85" s="931"/>
      <c r="TNK85" s="931"/>
      <c r="TNL85" s="931"/>
      <c r="TNM85" s="931"/>
      <c r="TNN85" s="931"/>
      <c r="TNO85" s="931"/>
      <c r="TNP85" s="931"/>
      <c r="TNQ85" s="931"/>
      <c r="TNR85" s="931"/>
      <c r="TNS85" s="931"/>
      <c r="TNT85" s="931"/>
      <c r="TNU85" s="931"/>
      <c r="TNV85" s="931"/>
      <c r="TNW85" s="931"/>
      <c r="TNX85" s="931"/>
      <c r="TNY85" s="931"/>
      <c r="TNZ85" s="931"/>
      <c r="TOA85" s="931"/>
      <c r="TOB85" s="931"/>
      <c r="TOC85" s="931"/>
      <c r="TOD85" s="931"/>
      <c r="TOE85" s="931"/>
      <c r="TOF85" s="931"/>
      <c r="TOG85" s="931"/>
      <c r="TOH85" s="931"/>
      <c r="TOI85" s="931"/>
      <c r="TOJ85" s="931"/>
      <c r="TOK85" s="931"/>
      <c r="TOL85" s="931"/>
      <c r="TOM85" s="931"/>
      <c r="TON85" s="931"/>
      <c r="TOO85" s="931"/>
      <c r="TOP85" s="931"/>
      <c r="TOQ85" s="931"/>
      <c r="TOR85" s="931"/>
      <c r="TOS85" s="931"/>
      <c r="TOT85" s="931"/>
      <c r="TOU85" s="931"/>
      <c r="TOV85" s="931"/>
      <c r="TOW85" s="931"/>
      <c r="TOX85" s="931"/>
      <c r="TOY85" s="931"/>
      <c r="TOZ85" s="931"/>
      <c r="TPA85" s="931"/>
      <c r="TPB85" s="931"/>
      <c r="TPC85" s="931"/>
      <c r="TPD85" s="931"/>
      <c r="TPE85" s="931"/>
      <c r="TPF85" s="931"/>
      <c r="TPG85" s="931"/>
      <c r="TPH85" s="931"/>
      <c r="TPI85" s="931"/>
      <c r="TPJ85" s="931"/>
      <c r="TPK85" s="931"/>
      <c r="TPL85" s="931"/>
      <c r="TPM85" s="931"/>
      <c r="TPN85" s="931"/>
      <c r="TPO85" s="931"/>
      <c r="TPP85" s="931"/>
      <c r="TPQ85" s="931"/>
      <c r="TPR85" s="931"/>
      <c r="TPS85" s="931"/>
      <c r="TPT85" s="931"/>
      <c r="TPU85" s="931"/>
      <c r="TPV85" s="931"/>
      <c r="TPW85" s="931"/>
      <c r="TPX85" s="931"/>
      <c r="TPY85" s="931"/>
      <c r="TPZ85" s="931"/>
      <c r="TQA85" s="931"/>
      <c r="TQB85" s="931"/>
      <c r="TQC85" s="931"/>
      <c r="TQD85" s="931"/>
      <c r="TQE85" s="931"/>
      <c r="TQF85" s="931"/>
      <c r="TQG85" s="931"/>
      <c r="TQH85" s="931"/>
      <c r="TQI85" s="931"/>
      <c r="TQJ85" s="931"/>
      <c r="TQK85" s="931"/>
      <c r="TQL85" s="931"/>
      <c r="TQM85" s="931"/>
      <c r="TQN85" s="931"/>
      <c r="TQO85" s="931"/>
      <c r="TQP85" s="931"/>
      <c r="TQQ85" s="931"/>
      <c r="TQR85" s="931"/>
      <c r="TQS85" s="931"/>
      <c r="TQT85" s="931"/>
      <c r="TQU85" s="931"/>
      <c r="TQV85" s="931"/>
      <c r="TQW85" s="931"/>
      <c r="TQX85" s="931"/>
      <c r="TQY85" s="931"/>
      <c r="TQZ85" s="931"/>
      <c r="TRA85" s="931"/>
      <c r="TRB85" s="931"/>
      <c r="TRC85" s="931"/>
      <c r="TRD85" s="931"/>
      <c r="TRE85" s="931"/>
      <c r="TRF85" s="931"/>
      <c r="TRG85" s="931"/>
      <c r="TRH85" s="931"/>
      <c r="TRI85" s="931"/>
      <c r="TRJ85" s="931"/>
      <c r="TRK85" s="931"/>
      <c r="TRL85" s="931"/>
      <c r="TRM85" s="931"/>
      <c r="TRN85" s="931"/>
      <c r="TRO85" s="931"/>
      <c r="TRP85" s="931"/>
      <c r="TRQ85" s="931"/>
      <c r="TRR85" s="931"/>
      <c r="TRS85" s="931"/>
      <c r="TRT85" s="931"/>
      <c r="TRU85" s="931"/>
      <c r="TRV85" s="931"/>
      <c r="TRW85" s="931"/>
      <c r="TRX85" s="931"/>
      <c r="TRY85" s="931"/>
      <c r="TRZ85" s="931"/>
      <c r="TSA85" s="931"/>
      <c r="TSB85" s="931"/>
      <c r="TSC85" s="931"/>
      <c r="TSD85" s="931"/>
      <c r="TSE85" s="931"/>
      <c r="TSF85" s="931"/>
      <c r="TSG85" s="931"/>
      <c r="TSH85" s="931"/>
      <c r="TSI85" s="931"/>
      <c r="TSJ85" s="931"/>
      <c r="TSK85" s="931"/>
      <c r="TSL85" s="931"/>
      <c r="TSM85" s="931"/>
      <c r="TSN85" s="931"/>
      <c r="TSO85" s="931"/>
      <c r="TSP85" s="931"/>
      <c r="TSQ85" s="931"/>
      <c r="TSR85" s="931"/>
      <c r="TSS85" s="931"/>
      <c r="TST85" s="931"/>
      <c r="TSU85" s="931"/>
      <c r="TSV85" s="931"/>
      <c r="TSW85" s="931"/>
      <c r="TSX85" s="931"/>
      <c r="TSY85" s="931"/>
      <c r="TSZ85" s="931"/>
      <c r="TTA85" s="931"/>
      <c r="TTB85" s="931"/>
      <c r="TTC85" s="931"/>
      <c r="TTD85" s="931"/>
      <c r="TTE85" s="931"/>
      <c r="TTF85" s="931"/>
      <c r="TTG85" s="931"/>
      <c r="TTH85" s="931"/>
      <c r="TTI85" s="931"/>
      <c r="TTJ85" s="931"/>
      <c r="TTK85" s="931"/>
      <c r="TTL85" s="931"/>
      <c r="TTM85" s="931"/>
      <c r="TTN85" s="931"/>
      <c r="TTO85" s="931"/>
      <c r="TTP85" s="931"/>
      <c r="TTQ85" s="931"/>
      <c r="TTR85" s="931"/>
      <c r="TTS85" s="931"/>
      <c r="TTT85" s="931"/>
      <c r="TTU85" s="931"/>
      <c r="TTV85" s="931"/>
      <c r="TTW85" s="931"/>
      <c r="TTX85" s="931"/>
      <c r="TTY85" s="931"/>
      <c r="TTZ85" s="931"/>
      <c r="TUA85" s="931"/>
      <c r="TUB85" s="931"/>
      <c r="TUC85" s="931"/>
      <c r="TUD85" s="931"/>
      <c r="TUE85" s="931"/>
      <c r="TUF85" s="931"/>
      <c r="TUG85" s="931"/>
      <c r="TUH85" s="931"/>
      <c r="TUI85" s="931"/>
      <c r="TUJ85" s="931"/>
      <c r="TUK85" s="931"/>
      <c r="TUL85" s="931"/>
      <c r="TUM85" s="931"/>
      <c r="TUN85" s="931"/>
      <c r="TUO85" s="931"/>
      <c r="TUP85" s="931"/>
      <c r="TUQ85" s="931"/>
      <c r="TUR85" s="931"/>
      <c r="TUS85" s="931"/>
      <c r="TUT85" s="931"/>
      <c r="TUU85" s="931"/>
      <c r="TUV85" s="931"/>
      <c r="TUW85" s="931"/>
      <c r="TUX85" s="931"/>
      <c r="TUY85" s="931"/>
      <c r="TUZ85" s="931"/>
      <c r="TVA85" s="931"/>
      <c r="TVB85" s="931"/>
      <c r="TVC85" s="931"/>
      <c r="TVD85" s="931"/>
      <c r="TVE85" s="931"/>
      <c r="TVF85" s="931"/>
      <c r="TVG85" s="931"/>
      <c r="TVH85" s="931"/>
      <c r="TVI85" s="931"/>
      <c r="TVJ85" s="931"/>
      <c r="TVK85" s="931"/>
      <c r="TVL85" s="931"/>
      <c r="TVM85" s="931"/>
      <c r="TVN85" s="931"/>
      <c r="TVO85" s="931"/>
      <c r="TVP85" s="931"/>
      <c r="TVQ85" s="931"/>
      <c r="TVR85" s="931"/>
      <c r="TVS85" s="931"/>
      <c r="TVT85" s="931"/>
      <c r="TVU85" s="931"/>
      <c r="TVV85" s="931"/>
      <c r="TVW85" s="931"/>
      <c r="TVX85" s="931"/>
      <c r="TVY85" s="931"/>
      <c r="TVZ85" s="931"/>
      <c r="TWA85" s="931"/>
      <c r="TWB85" s="931"/>
      <c r="TWC85" s="931"/>
      <c r="TWD85" s="931"/>
      <c r="TWE85" s="931"/>
      <c r="TWF85" s="931"/>
      <c r="TWG85" s="931"/>
      <c r="TWH85" s="931"/>
      <c r="TWI85" s="931"/>
      <c r="TWJ85" s="931"/>
      <c r="TWK85" s="931"/>
      <c r="TWL85" s="931"/>
      <c r="TWM85" s="931"/>
      <c r="TWN85" s="931"/>
      <c r="TWO85" s="931"/>
      <c r="TWP85" s="931"/>
      <c r="TWQ85" s="931"/>
      <c r="TWR85" s="931"/>
      <c r="TWS85" s="931"/>
      <c r="TWT85" s="931"/>
      <c r="TWU85" s="931"/>
      <c r="TWV85" s="931"/>
      <c r="TWW85" s="931"/>
      <c r="TWX85" s="931"/>
      <c r="TWY85" s="931"/>
      <c r="TWZ85" s="931"/>
      <c r="TXA85" s="931"/>
      <c r="TXB85" s="931"/>
      <c r="TXC85" s="931"/>
      <c r="TXD85" s="931"/>
      <c r="TXE85" s="931"/>
      <c r="TXF85" s="931"/>
      <c r="TXG85" s="931"/>
      <c r="TXH85" s="931"/>
      <c r="TXI85" s="931"/>
      <c r="TXJ85" s="931"/>
      <c r="TXK85" s="931"/>
      <c r="TXL85" s="931"/>
      <c r="TXM85" s="931"/>
      <c r="TXN85" s="931"/>
      <c r="TXO85" s="931"/>
      <c r="TXP85" s="931"/>
      <c r="TXQ85" s="931"/>
      <c r="TXR85" s="931"/>
      <c r="TXS85" s="931"/>
      <c r="TXT85" s="931"/>
      <c r="TXU85" s="931"/>
      <c r="TXV85" s="931"/>
      <c r="TXW85" s="931"/>
      <c r="TXX85" s="931"/>
      <c r="TXY85" s="931"/>
      <c r="TXZ85" s="931"/>
      <c r="TYA85" s="931"/>
      <c r="TYB85" s="931"/>
      <c r="TYC85" s="931"/>
      <c r="TYD85" s="931"/>
      <c r="TYE85" s="931"/>
      <c r="TYF85" s="931"/>
      <c r="TYG85" s="931"/>
      <c r="TYH85" s="931"/>
      <c r="TYI85" s="931"/>
      <c r="TYJ85" s="931"/>
      <c r="TYK85" s="931"/>
      <c r="TYL85" s="931"/>
      <c r="TYM85" s="931"/>
      <c r="TYN85" s="931"/>
      <c r="TYO85" s="931"/>
      <c r="TYP85" s="931"/>
      <c r="TYQ85" s="931"/>
      <c r="TYR85" s="931"/>
      <c r="TYS85" s="931"/>
      <c r="TYT85" s="931"/>
      <c r="TYU85" s="931"/>
      <c r="TYV85" s="931"/>
      <c r="TYW85" s="931"/>
      <c r="TYX85" s="931"/>
      <c r="TYY85" s="931"/>
      <c r="TYZ85" s="931"/>
      <c r="TZA85" s="931"/>
      <c r="TZB85" s="931"/>
      <c r="TZC85" s="931"/>
      <c r="TZD85" s="931"/>
      <c r="TZE85" s="931"/>
      <c r="TZF85" s="931"/>
      <c r="TZG85" s="931"/>
      <c r="TZH85" s="931"/>
      <c r="TZI85" s="931"/>
      <c r="TZJ85" s="931"/>
      <c r="TZK85" s="931"/>
      <c r="TZL85" s="931"/>
      <c r="TZM85" s="931"/>
      <c r="TZN85" s="931"/>
      <c r="TZO85" s="931"/>
      <c r="TZP85" s="931"/>
      <c r="TZQ85" s="931"/>
      <c r="TZR85" s="931"/>
      <c r="TZS85" s="931"/>
      <c r="TZT85" s="931"/>
      <c r="TZU85" s="931"/>
      <c r="TZV85" s="931"/>
      <c r="TZW85" s="931"/>
      <c r="TZX85" s="931"/>
      <c r="TZY85" s="931"/>
      <c r="TZZ85" s="931"/>
      <c r="UAA85" s="931"/>
      <c r="UAB85" s="931"/>
      <c r="UAC85" s="931"/>
      <c r="UAD85" s="931"/>
      <c r="UAE85" s="931"/>
      <c r="UAF85" s="931"/>
      <c r="UAG85" s="931"/>
      <c r="UAH85" s="931"/>
      <c r="UAI85" s="931"/>
      <c r="UAJ85" s="931"/>
      <c r="UAK85" s="931"/>
      <c r="UAL85" s="931"/>
      <c r="UAM85" s="931"/>
      <c r="UAN85" s="931"/>
      <c r="UAO85" s="931"/>
      <c r="UAP85" s="931"/>
      <c r="UAQ85" s="931"/>
      <c r="UAR85" s="931"/>
      <c r="UAS85" s="931"/>
      <c r="UAT85" s="931"/>
      <c r="UAU85" s="931"/>
      <c r="UAV85" s="931"/>
      <c r="UAW85" s="931"/>
      <c r="UAX85" s="931"/>
      <c r="UAY85" s="931"/>
      <c r="UAZ85" s="931"/>
      <c r="UBA85" s="931"/>
      <c r="UBB85" s="931"/>
      <c r="UBC85" s="931"/>
      <c r="UBD85" s="931"/>
      <c r="UBE85" s="931"/>
      <c r="UBF85" s="931"/>
      <c r="UBG85" s="931"/>
      <c r="UBH85" s="931"/>
      <c r="UBI85" s="931"/>
      <c r="UBJ85" s="931"/>
      <c r="UBK85" s="931"/>
      <c r="UBL85" s="931"/>
      <c r="UBM85" s="931"/>
      <c r="UBN85" s="931"/>
      <c r="UBO85" s="931"/>
      <c r="UBP85" s="931"/>
      <c r="UBQ85" s="931"/>
      <c r="UBR85" s="931"/>
      <c r="UBS85" s="931"/>
      <c r="UBT85" s="931"/>
      <c r="UBU85" s="931"/>
      <c r="UBV85" s="931"/>
      <c r="UBW85" s="931"/>
      <c r="UBX85" s="931"/>
      <c r="UBY85" s="931"/>
      <c r="UBZ85" s="931"/>
      <c r="UCA85" s="931"/>
      <c r="UCB85" s="931"/>
      <c r="UCC85" s="931"/>
      <c r="UCD85" s="931"/>
      <c r="UCE85" s="931"/>
      <c r="UCF85" s="931"/>
      <c r="UCG85" s="931"/>
      <c r="UCH85" s="931"/>
      <c r="UCI85" s="931"/>
      <c r="UCJ85" s="931"/>
      <c r="UCK85" s="931"/>
      <c r="UCL85" s="931"/>
      <c r="UCM85" s="931"/>
      <c r="UCN85" s="931"/>
      <c r="UCO85" s="931"/>
      <c r="UCP85" s="931"/>
      <c r="UCQ85" s="931"/>
      <c r="UCR85" s="931"/>
      <c r="UCS85" s="931"/>
      <c r="UCT85" s="931"/>
      <c r="UCU85" s="931"/>
      <c r="UCV85" s="931"/>
      <c r="UCW85" s="931"/>
      <c r="UCX85" s="931"/>
      <c r="UCY85" s="931"/>
      <c r="UCZ85" s="931"/>
      <c r="UDA85" s="931"/>
      <c r="UDB85" s="931"/>
      <c r="UDC85" s="931"/>
      <c r="UDD85" s="931"/>
      <c r="UDE85" s="931"/>
      <c r="UDF85" s="931"/>
      <c r="UDG85" s="931"/>
      <c r="UDH85" s="931"/>
      <c r="UDI85" s="931"/>
      <c r="UDJ85" s="931"/>
      <c r="UDK85" s="931"/>
      <c r="UDL85" s="931"/>
      <c r="UDM85" s="931"/>
      <c r="UDN85" s="931"/>
      <c r="UDO85" s="931"/>
      <c r="UDP85" s="931"/>
      <c r="UDQ85" s="931"/>
      <c r="UDR85" s="931"/>
      <c r="UDS85" s="931"/>
      <c r="UDT85" s="931"/>
      <c r="UDU85" s="931"/>
      <c r="UDV85" s="931"/>
      <c r="UDW85" s="931"/>
      <c r="UDX85" s="931"/>
      <c r="UDY85" s="931"/>
      <c r="UDZ85" s="931"/>
      <c r="UEA85" s="931"/>
      <c r="UEB85" s="931"/>
      <c r="UEC85" s="931"/>
      <c r="UED85" s="931"/>
      <c r="UEE85" s="931"/>
      <c r="UEF85" s="931"/>
      <c r="UEG85" s="931"/>
      <c r="UEH85" s="931"/>
      <c r="UEI85" s="931"/>
      <c r="UEJ85" s="931"/>
      <c r="UEK85" s="931"/>
      <c r="UEL85" s="931"/>
      <c r="UEM85" s="931"/>
      <c r="UEN85" s="931"/>
      <c r="UEO85" s="931"/>
      <c r="UEP85" s="931"/>
      <c r="UEQ85" s="931"/>
      <c r="UER85" s="931"/>
      <c r="UES85" s="931"/>
      <c r="UET85" s="931"/>
      <c r="UEU85" s="931"/>
      <c r="UEV85" s="931"/>
      <c r="UEW85" s="931"/>
      <c r="UEX85" s="931"/>
      <c r="UEY85" s="931"/>
      <c r="UEZ85" s="931"/>
      <c r="UFA85" s="931"/>
      <c r="UFB85" s="931"/>
      <c r="UFC85" s="931"/>
      <c r="UFD85" s="931"/>
      <c r="UFE85" s="931"/>
      <c r="UFF85" s="931"/>
      <c r="UFG85" s="931"/>
      <c r="UFH85" s="931"/>
      <c r="UFI85" s="931"/>
      <c r="UFJ85" s="931"/>
      <c r="UFK85" s="931"/>
      <c r="UFL85" s="931"/>
      <c r="UFM85" s="931"/>
      <c r="UFN85" s="931"/>
      <c r="UFO85" s="931"/>
      <c r="UFP85" s="931"/>
      <c r="UFQ85" s="931"/>
      <c r="UFR85" s="931"/>
      <c r="UFS85" s="931"/>
      <c r="UFT85" s="931"/>
      <c r="UFU85" s="931"/>
      <c r="UFV85" s="931"/>
      <c r="UFW85" s="931"/>
      <c r="UFX85" s="931"/>
      <c r="UFY85" s="931"/>
      <c r="UFZ85" s="931"/>
      <c r="UGA85" s="931"/>
      <c r="UGB85" s="931"/>
      <c r="UGC85" s="931"/>
      <c r="UGD85" s="931"/>
      <c r="UGE85" s="931"/>
      <c r="UGF85" s="931"/>
      <c r="UGG85" s="931"/>
      <c r="UGH85" s="931"/>
      <c r="UGI85" s="931"/>
      <c r="UGJ85" s="931"/>
      <c r="UGK85" s="931"/>
      <c r="UGL85" s="931"/>
      <c r="UGM85" s="931"/>
      <c r="UGN85" s="931"/>
      <c r="UGO85" s="931"/>
      <c r="UGP85" s="931"/>
      <c r="UGQ85" s="931"/>
      <c r="UGR85" s="931"/>
      <c r="UGS85" s="931"/>
      <c r="UGT85" s="931"/>
      <c r="UGU85" s="931"/>
      <c r="UGV85" s="931"/>
      <c r="UGW85" s="931"/>
      <c r="UGX85" s="931"/>
      <c r="UGY85" s="931"/>
      <c r="UGZ85" s="931"/>
      <c r="UHA85" s="931"/>
      <c r="UHB85" s="931"/>
      <c r="UHC85" s="931"/>
      <c r="UHD85" s="931"/>
      <c r="UHE85" s="931"/>
      <c r="UHF85" s="931"/>
      <c r="UHG85" s="931"/>
      <c r="UHH85" s="931"/>
      <c r="UHI85" s="931"/>
      <c r="UHJ85" s="931"/>
      <c r="UHK85" s="931"/>
      <c r="UHL85" s="931"/>
      <c r="UHM85" s="931"/>
      <c r="UHN85" s="931"/>
      <c r="UHO85" s="931"/>
      <c r="UHP85" s="931"/>
      <c r="UHQ85" s="931"/>
      <c r="UHR85" s="931"/>
      <c r="UHS85" s="931"/>
      <c r="UHT85" s="931"/>
      <c r="UHU85" s="931"/>
      <c r="UHV85" s="931"/>
      <c r="UHW85" s="931"/>
      <c r="UHX85" s="931"/>
      <c r="UHY85" s="931"/>
      <c r="UHZ85" s="931"/>
      <c r="UIA85" s="931"/>
      <c r="UIB85" s="931"/>
      <c r="UIC85" s="931"/>
      <c r="UID85" s="931"/>
      <c r="UIE85" s="931"/>
      <c r="UIF85" s="931"/>
      <c r="UIG85" s="931"/>
      <c r="UIH85" s="931"/>
      <c r="UII85" s="931"/>
      <c r="UIJ85" s="931"/>
      <c r="UIK85" s="931"/>
      <c r="UIL85" s="931"/>
      <c r="UIM85" s="931"/>
      <c r="UIN85" s="931"/>
      <c r="UIO85" s="931"/>
      <c r="UIP85" s="931"/>
      <c r="UIQ85" s="931"/>
      <c r="UIR85" s="931"/>
      <c r="UIS85" s="931"/>
      <c r="UIT85" s="931"/>
      <c r="UIU85" s="931"/>
      <c r="UIV85" s="931"/>
      <c r="UIW85" s="931"/>
      <c r="UIX85" s="931"/>
      <c r="UIY85" s="931"/>
      <c r="UIZ85" s="931"/>
      <c r="UJA85" s="931"/>
      <c r="UJB85" s="931"/>
      <c r="UJC85" s="931"/>
      <c r="UJD85" s="931"/>
      <c r="UJE85" s="931"/>
      <c r="UJF85" s="931"/>
      <c r="UJG85" s="931"/>
      <c r="UJH85" s="931"/>
      <c r="UJI85" s="931"/>
      <c r="UJJ85" s="931"/>
      <c r="UJK85" s="931"/>
      <c r="UJL85" s="931"/>
      <c r="UJM85" s="931"/>
      <c r="UJN85" s="931"/>
      <c r="UJO85" s="931"/>
      <c r="UJP85" s="931"/>
      <c r="UJQ85" s="931"/>
      <c r="UJR85" s="931"/>
      <c r="UJS85" s="931"/>
      <c r="UJT85" s="931"/>
      <c r="UJU85" s="931"/>
      <c r="UJV85" s="931"/>
      <c r="UJW85" s="931"/>
      <c r="UJX85" s="931"/>
      <c r="UJY85" s="931"/>
      <c r="UJZ85" s="931"/>
      <c r="UKA85" s="931"/>
      <c r="UKB85" s="931"/>
      <c r="UKC85" s="931"/>
      <c r="UKD85" s="931"/>
      <c r="UKE85" s="931"/>
      <c r="UKF85" s="931"/>
      <c r="UKG85" s="931"/>
      <c r="UKH85" s="931"/>
      <c r="UKI85" s="931"/>
      <c r="UKJ85" s="931"/>
      <c r="UKK85" s="931"/>
      <c r="UKL85" s="931"/>
      <c r="UKM85" s="931"/>
      <c r="UKN85" s="931"/>
      <c r="UKO85" s="931"/>
      <c r="UKP85" s="931"/>
      <c r="UKQ85" s="931"/>
      <c r="UKR85" s="931"/>
      <c r="UKS85" s="931"/>
      <c r="UKT85" s="931"/>
      <c r="UKU85" s="931"/>
      <c r="UKV85" s="931"/>
      <c r="UKW85" s="931"/>
      <c r="UKX85" s="931"/>
      <c r="UKY85" s="931"/>
      <c r="UKZ85" s="931"/>
      <c r="ULA85" s="931"/>
      <c r="ULB85" s="931"/>
      <c r="ULC85" s="931"/>
      <c r="ULD85" s="931"/>
      <c r="ULE85" s="931"/>
      <c r="ULF85" s="931"/>
      <c r="ULG85" s="931"/>
      <c r="ULH85" s="931"/>
      <c r="ULI85" s="931"/>
      <c r="ULJ85" s="931"/>
      <c r="ULK85" s="931"/>
      <c r="ULL85" s="931"/>
      <c r="ULM85" s="931"/>
      <c r="ULN85" s="931"/>
      <c r="ULO85" s="931"/>
      <c r="ULP85" s="931"/>
      <c r="ULQ85" s="931"/>
      <c r="ULR85" s="931"/>
      <c r="ULS85" s="931"/>
      <c r="ULT85" s="931"/>
      <c r="ULU85" s="931"/>
      <c r="ULV85" s="931"/>
      <c r="ULW85" s="931"/>
      <c r="ULX85" s="931"/>
      <c r="ULY85" s="931"/>
      <c r="ULZ85" s="931"/>
      <c r="UMA85" s="931"/>
      <c r="UMB85" s="931"/>
      <c r="UMC85" s="931"/>
      <c r="UMD85" s="931"/>
      <c r="UME85" s="931"/>
      <c r="UMF85" s="931"/>
      <c r="UMG85" s="931"/>
      <c r="UMH85" s="931"/>
      <c r="UMI85" s="931"/>
      <c r="UMJ85" s="931"/>
      <c r="UMK85" s="931"/>
      <c r="UML85" s="931"/>
      <c r="UMM85" s="931"/>
      <c r="UMN85" s="931"/>
      <c r="UMO85" s="931"/>
      <c r="UMP85" s="931"/>
      <c r="UMQ85" s="931"/>
      <c r="UMR85" s="931"/>
      <c r="UMS85" s="931"/>
      <c r="UMT85" s="931"/>
      <c r="UMU85" s="931"/>
      <c r="UMV85" s="931"/>
      <c r="UMW85" s="931"/>
      <c r="UMX85" s="931"/>
      <c r="UMY85" s="931"/>
      <c r="UMZ85" s="931"/>
      <c r="UNA85" s="931"/>
      <c r="UNB85" s="931"/>
      <c r="UNC85" s="931"/>
      <c r="UND85" s="931"/>
      <c r="UNE85" s="931"/>
      <c r="UNF85" s="931"/>
      <c r="UNG85" s="931"/>
      <c r="UNH85" s="931"/>
      <c r="UNI85" s="931"/>
      <c r="UNJ85" s="931"/>
      <c r="UNK85" s="931"/>
      <c r="UNL85" s="931"/>
      <c r="UNM85" s="931"/>
      <c r="UNN85" s="931"/>
      <c r="UNO85" s="931"/>
      <c r="UNP85" s="931"/>
      <c r="UNQ85" s="931"/>
      <c r="UNR85" s="931"/>
      <c r="UNS85" s="931"/>
      <c r="UNT85" s="931"/>
      <c r="UNU85" s="931"/>
      <c r="UNV85" s="931"/>
      <c r="UNW85" s="931"/>
      <c r="UNX85" s="931"/>
      <c r="UNY85" s="931"/>
      <c r="UNZ85" s="931"/>
      <c r="UOA85" s="931"/>
      <c r="UOB85" s="931"/>
      <c r="UOC85" s="931"/>
      <c r="UOD85" s="931"/>
      <c r="UOE85" s="931"/>
      <c r="UOF85" s="931"/>
      <c r="UOG85" s="931"/>
      <c r="UOH85" s="931"/>
      <c r="UOI85" s="931"/>
      <c r="UOJ85" s="931"/>
      <c r="UOK85" s="931"/>
      <c r="UOL85" s="931"/>
      <c r="UOM85" s="931"/>
      <c r="UON85" s="931"/>
      <c r="UOO85" s="931"/>
      <c r="UOP85" s="931"/>
      <c r="UOQ85" s="931"/>
      <c r="UOR85" s="931"/>
      <c r="UOS85" s="931"/>
      <c r="UOT85" s="931"/>
      <c r="UOU85" s="931"/>
      <c r="UOV85" s="931"/>
      <c r="UOW85" s="931"/>
      <c r="UOX85" s="931"/>
      <c r="UOY85" s="931"/>
      <c r="UOZ85" s="931"/>
      <c r="UPA85" s="931"/>
      <c r="UPB85" s="931"/>
      <c r="UPC85" s="931"/>
      <c r="UPD85" s="931"/>
      <c r="UPE85" s="931"/>
      <c r="UPF85" s="931"/>
      <c r="UPG85" s="931"/>
      <c r="UPH85" s="931"/>
      <c r="UPI85" s="931"/>
      <c r="UPJ85" s="931"/>
      <c r="UPK85" s="931"/>
      <c r="UPL85" s="931"/>
      <c r="UPM85" s="931"/>
      <c r="UPN85" s="931"/>
      <c r="UPO85" s="931"/>
      <c r="UPP85" s="931"/>
      <c r="UPQ85" s="931"/>
      <c r="UPR85" s="931"/>
      <c r="UPS85" s="931"/>
      <c r="UPT85" s="931"/>
      <c r="UPU85" s="931"/>
      <c r="UPV85" s="931"/>
      <c r="UPW85" s="931"/>
      <c r="UPX85" s="931"/>
      <c r="UPY85" s="931"/>
      <c r="UPZ85" s="931"/>
      <c r="UQA85" s="931"/>
      <c r="UQB85" s="931"/>
      <c r="UQC85" s="931"/>
      <c r="UQD85" s="931"/>
      <c r="UQE85" s="931"/>
      <c r="UQF85" s="931"/>
      <c r="UQG85" s="931"/>
      <c r="UQH85" s="931"/>
      <c r="UQI85" s="931"/>
      <c r="UQJ85" s="931"/>
      <c r="UQK85" s="931"/>
      <c r="UQL85" s="931"/>
      <c r="UQM85" s="931"/>
      <c r="UQN85" s="931"/>
      <c r="UQO85" s="931"/>
      <c r="UQP85" s="931"/>
      <c r="UQQ85" s="931"/>
      <c r="UQR85" s="931"/>
      <c r="UQS85" s="931"/>
      <c r="UQT85" s="931"/>
      <c r="UQU85" s="931"/>
      <c r="UQV85" s="931"/>
      <c r="UQW85" s="931"/>
      <c r="UQX85" s="931"/>
      <c r="UQY85" s="931"/>
      <c r="UQZ85" s="931"/>
      <c r="URA85" s="931"/>
      <c r="URB85" s="931"/>
      <c r="URC85" s="931"/>
      <c r="URD85" s="931"/>
      <c r="URE85" s="931"/>
      <c r="URF85" s="931"/>
      <c r="URG85" s="931"/>
      <c r="URH85" s="931"/>
      <c r="URI85" s="931"/>
      <c r="URJ85" s="931"/>
      <c r="URK85" s="931"/>
      <c r="URL85" s="931"/>
      <c r="URM85" s="931"/>
      <c r="URN85" s="931"/>
      <c r="URO85" s="931"/>
      <c r="URP85" s="931"/>
      <c r="URQ85" s="931"/>
      <c r="URR85" s="931"/>
      <c r="URS85" s="931"/>
      <c r="URT85" s="931"/>
      <c r="URU85" s="931"/>
      <c r="URV85" s="931"/>
      <c r="URW85" s="931"/>
      <c r="URX85" s="931"/>
      <c r="URY85" s="931"/>
      <c r="URZ85" s="931"/>
      <c r="USA85" s="931"/>
      <c r="USB85" s="931"/>
      <c r="USC85" s="931"/>
      <c r="USD85" s="931"/>
      <c r="USE85" s="931"/>
      <c r="USF85" s="931"/>
      <c r="USG85" s="931"/>
      <c r="USH85" s="931"/>
      <c r="USI85" s="931"/>
      <c r="USJ85" s="931"/>
      <c r="USK85" s="931"/>
      <c r="USL85" s="931"/>
      <c r="USM85" s="931"/>
      <c r="USN85" s="931"/>
      <c r="USO85" s="931"/>
      <c r="USP85" s="931"/>
      <c r="USQ85" s="931"/>
      <c r="USR85" s="931"/>
      <c r="USS85" s="931"/>
      <c r="UST85" s="931"/>
      <c r="USU85" s="931"/>
      <c r="USV85" s="931"/>
      <c r="USW85" s="931"/>
      <c r="USX85" s="931"/>
      <c r="USY85" s="931"/>
      <c r="USZ85" s="931"/>
      <c r="UTA85" s="931"/>
      <c r="UTB85" s="931"/>
      <c r="UTC85" s="931"/>
      <c r="UTD85" s="931"/>
      <c r="UTE85" s="931"/>
      <c r="UTF85" s="931"/>
      <c r="UTG85" s="931"/>
      <c r="UTH85" s="931"/>
      <c r="UTI85" s="931"/>
      <c r="UTJ85" s="931"/>
      <c r="UTK85" s="931"/>
      <c r="UTL85" s="931"/>
      <c r="UTM85" s="931"/>
      <c r="UTN85" s="931"/>
      <c r="UTO85" s="931"/>
      <c r="UTP85" s="931"/>
      <c r="UTQ85" s="931"/>
      <c r="UTR85" s="931"/>
      <c r="UTS85" s="931"/>
      <c r="UTT85" s="931"/>
      <c r="UTU85" s="931"/>
      <c r="UTV85" s="931"/>
      <c r="UTW85" s="931"/>
      <c r="UTX85" s="931"/>
      <c r="UTY85" s="931"/>
      <c r="UTZ85" s="931"/>
      <c r="UUA85" s="931"/>
      <c r="UUB85" s="931"/>
      <c r="UUC85" s="931"/>
      <c r="UUD85" s="931"/>
      <c r="UUE85" s="931"/>
      <c r="UUF85" s="931"/>
      <c r="UUG85" s="931"/>
      <c r="UUH85" s="931"/>
      <c r="UUI85" s="931"/>
      <c r="UUJ85" s="931"/>
      <c r="UUK85" s="931"/>
      <c r="UUL85" s="931"/>
      <c r="UUM85" s="931"/>
      <c r="UUN85" s="931"/>
      <c r="UUO85" s="931"/>
      <c r="UUP85" s="931"/>
      <c r="UUQ85" s="931"/>
      <c r="UUR85" s="931"/>
      <c r="UUS85" s="931"/>
      <c r="UUT85" s="931"/>
      <c r="UUU85" s="931"/>
      <c r="UUV85" s="931"/>
      <c r="UUW85" s="931"/>
      <c r="UUX85" s="931"/>
      <c r="UUY85" s="931"/>
      <c r="UUZ85" s="931"/>
      <c r="UVA85" s="931"/>
      <c r="UVB85" s="931"/>
      <c r="UVC85" s="931"/>
      <c r="UVD85" s="931"/>
      <c r="UVE85" s="931"/>
      <c r="UVF85" s="931"/>
      <c r="UVG85" s="931"/>
      <c r="UVH85" s="931"/>
      <c r="UVI85" s="931"/>
      <c r="UVJ85" s="931"/>
      <c r="UVK85" s="931"/>
      <c r="UVL85" s="931"/>
      <c r="UVM85" s="931"/>
      <c r="UVN85" s="931"/>
      <c r="UVO85" s="931"/>
      <c r="UVP85" s="931"/>
      <c r="UVQ85" s="931"/>
      <c r="UVR85" s="931"/>
      <c r="UVS85" s="931"/>
      <c r="UVT85" s="931"/>
      <c r="UVU85" s="931"/>
      <c r="UVV85" s="931"/>
      <c r="UVW85" s="931"/>
      <c r="UVX85" s="931"/>
      <c r="UVY85" s="931"/>
      <c r="UVZ85" s="931"/>
      <c r="UWA85" s="931"/>
      <c r="UWB85" s="931"/>
      <c r="UWC85" s="931"/>
      <c r="UWD85" s="931"/>
      <c r="UWE85" s="931"/>
      <c r="UWF85" s="931"/>
      <c r="UWG85" s="931"/>
      <c r="UWH85" s="931"/>
      <c r="UWI85" s="931"/>
      <c r="UWJ85" s="931"/>
      <c r="UWK85" s="931"/>
      <c r="UWL85" s="931"/>
      <c r="UWM85" s="931"/>
      <c r="UWN85" s="931"/>
      <c r="UWO85" s="931"/>
      <c r="UWP85" s="931"/>
      <c r="UWQ85" s="931"/>
      <c r="UWR85" s="931"/>
      <c r="UWS85" s="931"/>
      <c r="UWT85" s="931"/>
      <c r="UWU85" s="931"/>
      <c r="UWV85" s="931"/>
      <c r="UWW85" s="931"/>
      <c r="UWX85" s="931"/>
      <c r="UWY85" s="931"/>
      <c r="UWZ85" s="931"/>
      <c r="UXA85" s="931"/>
      <c r="UXB85" s="931"/>
      <c r="UXC85" s="931"/>
      <c r="UXD85" s="931"/>
      <c r="UXE85" s="931"/>
      <c r="UXF85" s="931"/>
      <c r="UXG85" s="931"/>
      <c r="UXH85" s="931"/>
      <c r="UXI85" s="931"/>
      <c r="UXJ85" s="931"/>
      <c r="UXK85" s="931"/>
      <c r="UXL85" s="931"/>
      <c r="UXM85" s="931"/>
      <c r="UXN85" s="931"/>
      <c r="UXO85" s="931"/>
      <c r="UXP85" s="931"/>
      <c r="UXQ85" s="931"/>
      <c r="UXR85" s="931"/>
      <c r="UXS85" s="931"/>
      <c r="UXT85" s="931"/>
      <c r="UXU85" s="931"/>
      <c r="UXV85" s="931"/>
      <c r="UXW85" s="931"/>
      <c r="UXX85" s="931"/>
      <c r="UXY85" s="931"/>
      <c r="UXZ85" s="931"/>
      <c r="UYA85" s="931"/>
      <c r="UYB85" s="931"/>
      <c r="UYC85" s="931"/>
      <c r="UYD85" s="931"/>
      <c r="UYE85" s="931"/>
      <c r="UYF85" s="931"/>
      <c r="UYG85" s="931"/>
      <c r="UYH85" s="931"/>
      <c r="UYI85" s="931"/>
      <c r="UYJ85" s="931"/>
      <c r="UYK85" s="931"/>
      <c r="UYL85" s="931"/>
      <c r="UYM85" s="931"/>
      <c r="UYN85" s="931"/>
      <c r="UYO85" s="931"/>
      <c r="UYP85" s="931"/>
      <c r="UYQ85" s="931"/>
      <c r="UYR85" s="931"/>
      <c r="UYS85" s="931"/>
      <c r="UYT85" s="931"/>
      <c r="UYU85" s="931"/>
      <c r="UYV85" s="931"/>
      <c r="UYW85" s="931"/>
      <c r="UYX85" s="931"/>
      <c r="UYY85" s="931"/>
      <c r="UYZ85" s="931"/>
      <c r="UZA85" s="931"/>
      <c r="UZB85" s="931"/>
      <c r="UZC85" s="931"/>
      <c r="UZD85" s="931"/>
      <c r="UZE85" s="931"/>
      <c r="UZF85" s="931"/>
      <c r="UZG85" s="931"/>
      <c r="UZH85" s="931"/>
      <c r="UZI85" s="931"/>
      <c r="UZJ85" s="931"/>
      <c r="UZK85" s="931"/>
      <c r="UZL85" s="931"/>
      <c r="UZM85" s="931"/>
      <c r="UZN85" s="931"/>
      <c r="UZO85" s="931"/>
      <c r="UZP85" s="931"/>
      <c r="UZQ85" s="931"/>
      <c r="UZR85" s="931"/>
      <c r="UZS85" s="931"/>
      <c r="UZT85" s="931"/>
      <c r="UZU85" s="931"/>
      <c r="UZV85" s="931"/>
      <c r="UZW85" s="931"/>
      <c r="UZX85" s="931"/>
      <c r="UZY85" s="931"/>
      <c r="UZZ85" s="931"/>
      <c r="VAA85" s="931"/>
      <c r="VAB85" s="931"/>
      <c r="VAC85" s="931"/>
      <c r="VAD85" s="931"/>
      <c r="VAE85" s="931"/>
      <c r="VAF85" s="931"/>
      <c r="VAG85" s="931"/>
      <c r="VAH85" s="931"/>
      <c r="VAI85" s="931"/>
      <c r="VAJ85" s="931"/>
      <c r="VAK85" s="931"/>
      <c r="VAL85" s="931"/>
      <c r="VAM85" s="931"/>
      <c r="VAN85" s="931"/>
      <c r="VAO85" s="931"/>
      <c r="VAP85" s="931"/>
      <c r="VAQ85" s="931"/>
      <c r="VAR85" s="931"/>
      <c r="VAS85" s="931"/>
      <c r="VAT85" s="931"/>
      <c r="VAU85" s="931"/>
      <c r="VAV85" s="931"/>
      <c r="VAW85" s="931"/>
      <c r="VAX85" s="931"/>
      <c r="VAY85" s="931"/>
      <c r="VAZ85" s="931"/>
      <c r="VBA85" s="931"/>
      <c r="VBB85" s="931"/>
      <c r="VBC85" s="931"/>
      <c r="VBD85" s="931"/>
      <c r="VBE85" s="931"/>
      <c r="VBF85" s="931"/>
      <c r="VBG85" s="931"/>
      <c r="VBH85" s="931"/>
      <c r="VBI85" s="931"/>
      <c r="VBJ85" s="931"/>
      <c r="VBK85" s="931"/>
      <c r="VBL85" s="931"/>
      <c r="VBM85" s="931"/>
      <c r="VBN85" s="931"/>
      <c r="VBO85" s="931"/>
      <c r="VBP85" s="931"/>
      <c r="VBQ85" s="931"/>
      <c r="VBR85" s="931"/>
      <c r="VBS85" s="931"/>
      <c r="VBT85" s="931"/>
      <c r="VBU85" s="931"/>
      <c r="VBV85" s="931"/>
      <c r="VBW85" s="931"/>
      <c r="VBX85" s="931"/>
      <c r="VBY85" s="931"/>
      <c r="VBZ85" s="931"/>
      <c r="VCA85" s="931"/>
      <c r="VCB85" s="931"/>
      <c r="VCC85" s="931"/>
      <c r="VCD85" s="931"/>
      <c r="VCE85" s="931"/>
      <c r="VCF85" s="931"/>
      <c r="VCG85" s="931"/>
      <c r="VCH85" s="931"/>
      <c r="VCI85" s="931"/>
      <c r="VCJ85" s="931"/>
      <c r="VCK85" s="931"/>
      <c r="VCL85" s="931"/>
      <c r="VCM85" s="931"/>
      <c r="VCN85" s="931"/>
      <c r="VCO85" s="931"/>
      <c r="VCP85" s="931"/>
      <c r="VCQ85" s="931"/>
      <c r="VCR85" s="931"/>
      <c r="VCS85" s="931"/>
      <c r="VCT85" s="931"/>
      <c r="VCU85" s="931"/>
      <c r="VCV85" s="931"/>
      <c r="VCW85" s="931"/>
      <c r="VCX85" s="931"/>
      <c r="VCY85" s="931"/>
      <c r="VCZ85" s="931"/>
      <c r="VDA85" s="931"/>
      <c r="VDB85" s="931"/>
      <c r="VDC85" s="931"/>
      <c r="VDD85" s="931"/>
      <c r="VDE85" s="931"/>
      <c r="VDF85" s="931"/>
      <c r="VDG85" s="931"/>
      <c r="VDH85" s="931"/>
      <c r="VDI85" s="931"/>
      <c r="VDJ85" s="931"/>
      <c r="VDK85" s="931"/>
      <c r="VDL85" s="931"/>
      <c r="VDM85" s="931"/>
      <c r="VDN85" s="931"/>
      <c r="VDO85" s="931"/>
      <c r="VDP85" s="931"/>
      <c r="VDQ85" s="931"/>
      <c r="VDR85" s="931"/>
      <c r="VDS85" s="931"/>
      <c r="VDT85" s="931"/>
      <c r="VDU85" s="931"/>
      <c r="VDV85" s="931"/>
      <c r="VDW85" s="931"/>
      <c r="VDX85" s="931"/>
      <c r="VDY85" s="931"/>
      <c r="VDZ85" s="931"/>
      <c r="VEA85" s="931"/>
      <c r="VEB85" s="931"/>
      <c r="VEC85" s="931"/>
      <c r="VED85" s="931"/>
      <c r="VEE85" s="931"/>
      <c r="VEF85" s="931"/>
      <c r="VEG85" s="931"/>
      <c r="VEH85" s="931"/>
      <c r="VEI85" s="931"/>
      <c r="VEJ85" s="931"/>
      <c r="VEK85" s="931"/>
      <c r="VEL85" s="931"/>
      <c r="VEM85" s="931"/>
      <c r="VEN85" s="931"/>
      <c r="VEO85" s="931"/>
      <c r="VEP85" s="931"/>
      <c r="VEQ85" s="931"/>
      <c r="VER85" s="931"/>
      <c r="VES85" s="931"/>
      <c r="VET85" s="931"/>
      <c r="VEU85" s="931"/>
      <c r="VEV85" s="931"/>
      <c r="VEW85" s="931"/>
      <c r="VEX85" s="931"/>
      <c r="VEY85" s="931"/>
      <c r="VEZ85" s="931"/>
      <c r="VFA85" s="931"/>
      <c r="VFB85" s="931"/>
      <c r="VFC85" s="931"/>
      <c r="VFD85" s="931"/>
      <c r="VFE85" s="931"/>
      <c r="VFF85" s="931"/>
      <c r="VFG85" s="931"/>
      <c r="VFH85" s="931"/>
      <c r="VFI85" s="931"/>
      <c r="VFJ85" s="931"/>
      <c r="VFK85" s="931"/>
      <c r="VFL85" s="931"/>
      <c r="VFM85" s="931"/>
      <c r="VFN85" s="931"/>
      <c r="VFO85" s="931"/>
      <c r="VFP85" s="931"/>
      <c r="VFQ85" s="931"/>
      <c r="VFR85" s="931"/>
      <c r="VFS85" s="931"/>
      <c r="VFT85" s="931"/>
      <c r="VFU85" s="931"/>
      <c r="VFV85" s="931"/>
      <c r="VFW85" s="931"/>
      <c r="VFX85" s="931"/>
      <c r="VFY85" s="931"/>
      <c r="VFZ85" s="931"/>
      <c r="VGA85" s="931"/>
      <c r="VGB85" s="931"/>
      <c r="VGC85" s="931"/>
      <c r="VGD85" s="931"/>
      <c r="VGE85" s="931"/>
      <c r="VGF85" s="931"/>
      <c r="VGG85" s="931"/>
      <c r="VGH85" s="931"/>
      <c r="VGI85" s="931"/>
      <c r="VGJ85" s="931"/>
      <c r="VGK85" s="931"/>
      <c r="VGL85" s="931"/>
      <c r="VGM85" s="931"/>
      <c r="VGN85" s="931"/>
      <c r="VGO85" s="931"/>
      <c r="VGP85" s="931"/>
      <c r="VGQ85" s="931"/>
      <c r="VGR85" s="931"/>
      <c r="VGS85" s="931"/>
      <c r="VGT85" s="931"/>
      <c r="VGU85" s="931"/>
      <c r="VGV85" s="931"/>
      <c r="VGW85" s="931"/>
      <c r="VGX85" s="931"/>
      <c r="VGY85" s="931"/>
      <c r="VGZ85" s="931"/>
      <c r="VHA85" s="931"/>
      <c r="VHB85" s="931"/>
      <c r="VHC85" s="931"/>
      <c r="VHD85" s="931"/>
      <c r="VHE85" s="931"/>
      <c r="VHF85" s="931"/>
      <c r="VHG85" s="931"/>
      <c r="VHH85" s="931"/>
      <c r="VHI85" s="931"/>
      <c r="VHJ85" s="931"/>
      <c r="VHK85" s="931"/>
      <c r="VHL85" s="931"/>
      <c r="VHM85" s="931"/>
      <c r="VHN85" s="931"/>
      <c r="VHO85" s="931"/>
      <c r="VHP85" s="931"/>
      <c r="VHQ85" s="931"/>
      <c r="VHR85" s="931"/>
      <c r="VHS85" s="931"/>
      <c r="VHT85" s="931"/>
      <c r="VHU85" s="931"/>
      <c r="VHV85" s="931"/>
      <c r="VHW85" s="931"/>
      <c r="VHX85" s="931"/>
      <c r="VHY85" s="931"/>
      <c r="VHZ85" s="931"/>
      <c r="VIA85" s="931"/>
      <c r="VIB85" s="931"/>
      <c r="VIC85" s="931"/>
      <c r="VID85" s="931"/>
      <c r="VIE85" s="931"/>
      <c r="VIF85" s="931"/>
      <c r="VIG85" s="931"/>
      <c r="VIH85" s="931"/>
      <c r="VII85" s="931"/>
      <c r="VIJ85" s="931"/>
      <c r="VIK85" s="931"/>
      <c r="VIL85" s="931"/>
      <c r="VIM85" s="931"/>
      <c r="VIN85" s="931"/>
      <c r="VIO85" s="931"/>
      <c r="VIP85" s="931"/>
      <c r="VIQ85" s="931"/>
      <c r="VIR85" s="931"/>
      <c r="VIS85" s="931"/>
      <c r="VIT85" s="931"/>
      <c r="VIU85" s="931"/>
      <c r="VIV85" s="931"/>
      <c r="VIW85" s="931"/>
      <c r="VIX85" s="931"/>
      <c r="VIY85" s="931"/>
      <c r="VIZ85" s="931"/>
      <c r="VJA85" s="931"/>
      <c r="VJB85" s="931"/>
      <c r="VJC85" s="931"/>
      <c r="VJD85" s="931"/>
      <c r="VJE85" s="931"/>
      <c r="VJF85" s="931"/>
      <c r="VJG85" s="931"/>
      <c r="VJH85" s="931"/>
      <c r="VJI85" s="931"/>
      <c r="VJJ85" s="931"/>
      <c r="VJK85" s="931"/>
      <c r="VJL85" s="931"/>
      <c r="VJM85" s="931"/>
      <c r="VJN85" s="931"/>
      <c r="VJO85" s="931"/>
      <c r="VJP85" s="931"/>
      <c r="VJQ85" s="931"/>
      <c r="VJR85" s="931"/>
      <c r="VJS85" s="931"/>
      <c r="VJT85" s="931"/>
      <c r="VJU85" s="931"/>
      <c r="VJV85" s="931"/>
      <c r="VJW85" s="931"/>
      <c r="VJX85" s="931"/>
      <c r="VJY85" s="931"/>
      <c r="VJZ85" s="931"/>
      <c r="VKA85" s="931"/>
      <c r="VKB85" s="931"/>
      <c r="VKC85" s="931"/>
      <c r="VKD85" s="931"/>
      <c r="VKE85" s="931"/>
      <c r="VKF85" s="931"/>
      <c r="VKG85" s="931"/>
      <c r="VKH85" s="931"/>
      <c r="VKI85" s="931"/>
      <c r="VKJ85" s="931"/>
      <c r="VKK85" s="931"/>
      <c r="VKL85" s="931"/>
      <c r="VKM85" s="931"/>
      <c r="VKN85" s="931"/>
      <c r="VKO85" s="931"/>
      <c r="VKP85" s="931"/>
      <c r="VKQ85" s="931"/>
      <c r="VKR85" s="931"/>
      <c r="VKS85" s="931"/>
      <c r="VKT85" s="931"/>
      <c r="VKU85" s="931"/>
      <c r="VKV85" s="931"/>
      <c r="VKW85" s="931"/>
      <c r="VKX85" s="931"/>
      <c r="VKY85" s="931"/>
      <c r="VKZ85" s="931"/>
      <c r="VLA85" s="931"/>
      <c r="VLB85" s="931"/>
      <c r="VLC85" s="931"/>
      <c r="VLD85" s="931"/>
      <c r="VLE85" s="931"/>
      <c r="VLF85" s="931"/>
      <c r="VLG85" s="931"/>
      <c r="VLH85" s="931"/>
      <c r="VLI85" s="931"/>
      <c r="VLJ85" s="931"/>
      <c r="VLK85" s="931"/>
      <c r="VLL85" s="931"/>
      <c r="VLM85" s="931"/>
      <c r="VLN85" s="931"/>
      <c r="VLO85" s="931"/>
      <c r="VLP85" s="931"/>
      <c r="VLQ85" s="931"/>
      <c r="VLR85" s="931"/>
      <c r="VLS85" s="931"/>
      <c r="VLT85" s="931"/>
      <c r="VLU85" s="931"/>
      <c r="VLV85" s="931"/>
      <c r="VLW85" s="931"/>
      <c r="VLX85" s="931"/>
      <c r="VLY85" s="931"/>
      <c r="VLZ85" s="931"/>
      <c r="VMA85" s="931"/>
      <c r="VMB85" s="931"/>
      <c r="VMC85" s="931"/>
      <c r="VMD85" s="931"/>
      <c r="VME85" s="931"/>
      <c r="VMF85" s="931"/>
      <c r="VMG85" s="931"/>
      <c r="VMH85" s="931"/>
      <c r="VMI85" s="931"/>
      <c r="VMJ85" s="931"/>
      <c r="VMK85" s="931"/>
      <c r="VML85" s="931"/>
      <c r="VMM85" s="931"/>
      <c r="VMN85" s="931"/>
      <c r="VMO85" s="931"/>
      <c r="VMP85" s="931"/>
      <c r="VMQ85" s="931"/>
      <c r="VMR85" s="931"/>
      <c r="VMS85" s="931"/>
      <c r="VMT85" s="931"/>
      <c r="VMU85" s="931"/>
      <c r="VMV85" s="931"/>
      <c r="VMW85" s="931"/>
      <c r="VMX85" s="931"/>
      <c r="VMY85" s="931"/>
      <c r="VMZ85" s="931"/>
      <c r="VNA85" s="931"/>
      <c r="VNB85" s="931"/>
      <c r="VNC85" s="931"/>
      <c r="VND85" s="931"/>
      <c r="VNE85" s="931"/>
      <c r="VNF85" s="931"/>
      <c r="VNG85" s="931"/>
      <c r="VNH85" s="931"/>
      <c r="VNI85" s="931"/>
      <c r="VNJ85" s="931"/>
      <c r="VNK85" s="931"/>
      <c r="VNL85" s="931"/>
      <c r="VNM85" s="931"/>
      <c r="VNN85" s="931"/>
      <c r="VNO85" s="931"/>
      <c r="VNP85" s="931"/>
      <c r="VNQ85" s="931"/>
      <c r="VNR85" s="931"/>
      <c r="VNS85" s="931"/>
      <c r="VNT85" s="931"/>
      <c r="VNU85" s="931"/>
      <c r="VNV85" s="931"/>
      <c r="VNW85" s="931"/>
      <c r="VNX85" s="931"/>
      <c r="VNY85" s="931"/>
      <c r="VNZ85" s="931"/>
      <c r="VOA85" s="931"/>
      <c r="VOB85" s="931"/>
      <c r="VOC85" s="931"/>
      <c r="VOD85" s="931"/>
      <c r="VOE85" s="931"/>
      <c r="VOF85" s="931"/>
      <c r="VOG85" s="931"/>
      <c r="VOH85" s="931"/>
      <c r="VOI85" s="931"/>
      <c r="VOJ85" s="931"/>
      <c r="VOK85" s="931"/>
      <c r="VOL85" s="931"/>
      <c r="VOM85" s="931"/>
      <c r="VON85" s="931"/>
      <c r="VOO85" s="931"/>
      <c r="VOP85" s="931"/>
      <c r="VOQ85" s="931"/>
      <c r="VOR85" s="931"/>
      <c r="VOS85" s="931"/>
      <c r="VOT85" s="931"/>
      <c r="VOU85" s="931"/>
      <c r="VOV85" s="931"/>
      <c r="VOW85" s="931"/>
      <c r="VOX85" s="931"/>
      <c r="VOY85" s="931"/>
      <c r="VOZ85" s="931"/>
      <c r="VPA85" s="931"/>
      <c r="VPB85" s="931"/>
      <c r="VPC85" s="931"/>
      <c r="VPD85" s="931"/>
      <c r="VPE85" s="931"/>
      <c r="VPF85" s="931"/>
      <c r="VPG85" s="931"/>
      <c r="VPH85" s="931"/>
      <c r="VPI85" s="931"/>
      <c r="VPJ85" s="931"/>
      <c r="VPK85" s="931"/>
      <c r="VPL85" s="931"/>
      <c r="VPM85" s="931"/>
      <c r="VPN85" s="931"/>
      <c r="VPO85" s="931"/>
      <c r="VPP85" s="931"/>
      <c r="VPQ85" s="931"/>
      <c r="VPR85" s="931"/>
      <c r="VPS85" s="931"/>
      <c r="VPT85" s="931"/>
      <c r="VPU85" s="931"/>
      <c r="VPV85" s="931"/>
      <c r="VPW85" s="931"/>
      <c r="VPX85" s="931"/>
      <c r="VPY85" s="931"/>
      <c r="VPZ85" s="931"/>
      <c r="VQA85" s="931"/>
      <c r="VQB85" s="931"/>
      <c r="VQC85" s="931"/>
      <c r="VQD85" s="931"/>
      <c r="VQE85" s="931"/>
      <c r="VQF85" s="931"/>
      <c r="VQG85" s="931"/>
      <c r="VQH85" s="931"/>
      <c r="VQI85" s="931"/>
      <c r="VQJ85" s="931"/>
      <c r="VQK85" s="931"/>
      <c r="VQL85" s="931"/>
      <c r="VQM85" s="931"/>
      <c r="VQN85" s="931"/>
      <c r="VQO85" s="931"/>
      <c r="VQP85" s="931"/>
      <c r="VQQ85" s="931"/>
      <c r="VQR85" s="931"/>
      <c r="VQS85" s="931"/>
      <c r="VQT85" s="931"/>
      <c r="VQU85" s="931"/>
      <c r="VQV85" s="931"/>
      <c r="VQW85" s="931"/>
      <c r="VQX85" s="931"/>
      <c r="VQY85" s="931"/>
      <c r="VQZ85" s="931"/>
      <c r="VRA85" s="931"/>
      <c r="VRB85" s="931"/>
      <c r="VRC85" s="931"/>
      <c r="VRD85" s="931"/>
      <c r="VRE85" s="931"/>
      <c r="VRF85" s="931"/>
      <c r="VRG85" s="931"/>
      <c r="VRH85" s="931"/>
      <c r="VRI85" s="931"/>
      <c r="VRJ85" s="931"/>
      <c r="VRK85" s="931"/>
      <c r="VRL85" s="931"/>
      <c r="VRM85" s="931"/>
      <c r="VRN85" s="931"/>
      <c r="VRO85" s="931"/>
      <c r="VRP85" s="931"/>
      <c r="VRQ85" s="931"/>
      <c r="VRR85" s="931"/>
      <c r="VRS85" s="931"/>
      <c r="VRT85" s="931"/>
      <c r="VRU85" s="931"/>
      <c r="VRV85" s="931"/>
      <c r="VRW85" s="931"/>
      <c r="VRX85" s="931"/>
      <c r="VRY85" s="931"/>
      <c r="VRZ85" s="931"/>
      <c r="VSA85" s="931"/>
      <c r="VSB85" s="931"/>
      <c r="VSC85" s="931"/>
      <c r="VSD85" s="931"/>
      <c r="VSE85" s="931"/>
      <c r="VSF85" s="931"/>
      <c r="VSG85" s="931"/>
      <c r="VSH85" s="931"/>
      <c r="VSI85" s="931"/>
      <c r="VSJ85" s="931"/>
      <c r="VSK85" s="931"/>
      <c r="VSL85" s="931"/>
      <c r="VSM85" s="931"/>
      <c r="VSN85" s="931"/>
      <c r="VSO85" s="931"/>
      <c r="VSP85" s="931"/>
      <c r="VSQ85" s="931"/>
      <c r="VSR85" s="931"/>
      <c r="VSS85" s="931"/>
      <c r="VST85" s="931"/>
      <c r="VSU85" s="931"/>
      <c r="VSV85" s="931"/>
      <c r="VSW85" s="931"/>
      <c r="VSX85" s="931"/>
      <c r="VSY85" s="931"/>
      <c r="VSZ85" s="931"/>
      <c r="VTA85" s="931"/>
      <c r="VTB85" s="931"/>
      <c r="VTC85" s="931"/>
      <c r="VTD85" s="931"/>
      <c r="VTE85" s="931"/>
      <c r="VTF85" s="931"/>
      <c r="VTG85" s="931"/>
      <c r="VTH85" s="931"/>
      <c r="VTI85" s="931"/>
      <c r="VTJ85" s="931"/>
      <c r="VTK85" s="931"/>
      <c r="VTL85" s="931"/>
      <c r="VTM85" s="931"/>
      <c r="VTN85" s="931"/>
      <c r="VTO85" s="931"/>
      <c r="VTP85" s="931"/>
      <c r="VTQ85" s="931"/>
      <c r="VTR85" s="931"/>
      <c r="VTS85" s="931"/>
      <c r="VTT85" s="931"/>
      <c r="VTU85" s="931"/>
      <c r="VTV85" s="931"/>
      <c r="VTW85" s="931"/>
      <c r="VTX85" s="931"/>
      <c r="VTY85" s="931"/>
      <c r="VTZ85" s="931"/>
      <c r="VUA85" s="931"/>
      <c r="VUB85" s="931"/>
      <c r="VUC85" s="931"/>
      <c r="VUD85" s="931"/>
      <c r="VUE85" s="931"/>
      <c r="VUF85" s="931"/>
      <c r="VUG85" s="931"/>
      <c r="VUH85" s="931"/>
      <c r="VUI85" s="931"/>
      <c r="VUJ85" s="931"/>
      <c r="VUK85" s="931"/>
      <c r="VUL85" s="931"/>
      <c r="VUM85" s="931"/>
      <c r="VUN85" s="931"/>
      <c r="VUO85" s="931"/>
      <c r="VUP85" s="931"/>
      <c r="VUQ85" s="931"/>
      <c r="VUR85" s="931"/>
      <c r="VUS85" s="931"/>
      <c r="VUT85" s="931"/>
      <c r="VUU85" s="931"/>
      <c r="VUV85" s="931"/>
      <c r="VUW85" s="931"/>
      <c r="VUX85" s="931"/>
      <c r="VUY85" s="931"/>
      <c r="VUZ85" s="931"/>
      <c r="VVA85" s="931"/>
      <c r="VVB85" s="931"/>
      <c r="VVC85" s="931"/>
      <c r="VVD85" s="931"/>
      <c r="VVE85" s="931"/>
      <c r="VVF85" s="931"/>
      <c r="VVG85" s="931"/>
      <c r="VVH85" s="931"/>
      <c r="VVI85" s="931"/>
      <c r="VVJ85" s="931"/>
      <c r="VVK85" s="931"/>
      <c r="VVL85" s="931"/>
      <c r="VVM85" s="931"/>
      <c r="VVN85" s="931"/>
      <c r="VVO85" s="931"/>
      <c r="VVP85" s="931"/>
      <c r="VVQ85" s="931"/>
      <c r="VVR85" s="931"/>
      <c r="VVS85" s="931"/>
      <c r="VVT85" s="931"/>
      <c r="VVU85" s="931"/>
      <c r="VVV85" s="931"/>
      <c r="VVW85" s="931"/>
      <c r="VVX85" s="931"/>
      <c r="VVY85" s="931"/>
      <c r="VVZ85" s="931"/>
      <c r="VWA85" s="931"/>
      <c r="VWB85" s="931"/>
      <c r="VWC85" s="931"/>
      <c r="VWD85" s="931"/>
      <c r="VWE85" s="931"/>
      <c r="VWF85" s="931"/>
      <c r="VWG85" s="931"/>
      <c r="VWH85" s="931"/>
      <c r="VWI85" s="931"/>
      <c r="VWJ85" s="931"/>
      <c r="VWK85" s="931"/>
      <c r="VWL85" s="931"/>
      <c r="VWM85" s="931"/>
      <c r="VWN85" s="931"/>
      <c r="VWO85" s="931"/>
      <c r="VWP85" s="931"/>
      <c r="VWQ85" s="931"/>
      <c r="VWR85" s="931"/>
      <c r="VWS85" s="931"/>
      <c r="VWT85" s="931"/>
      <c r="VWU85" s="931"/>
      <c r="VWV85" s="931"/>
      <c r="VWW85" s="931"/>
      <c r="VWX85" s="931"/>
      <c r="VWY85" s="931"/>
      <c r="VWZ85" s="931"/>
      <c r="VXA85" s="931"/>
      <c r="VXB85" s="931"/>
      <c r="VXC85" s="931"/>
      <c r="VXD85" s="931"/>
      <c r="VXE85" s="931"/>
      <c r="VXF85" s="931"/>
      <c r="VXG85" s="931"/>
      <c r="VXH85" s="931"/>
      <c r="VXI85" s="931"/>
      <c r="VXJ85" s="931"/>
      <c r="VXK85" s="931"/>
      <c r="VXL85" s="931"/>
      <c r="VXM85" s="931"/>
      <c r="VXN85" s="931"/>
      <c r="VXO85" s="931"/>
      <c r="VXP85" s="931"/>
      <c r="VXQ85" s="931"/>
      <c r="VXR85" s="931"/>
      <c r="VXS85" s="931"/>
      <c r="VXT85" s="931"/>
      <c r="VXU85" s="931"/>
      <c r="VXV85" s="931"/>
      <c r="VXW85" s="931"/>
      <c r="VXX85" s="931"/>
      <c r="VXY85" s="931"/>
      <c r="VXZ85" s="931"/>
      <c r="VYA85" s="931"/>
      <c r="VYB85" s="931"/>
      <c r="VYC85" s="931"/>
      <c r="VYD85" s="931"/>
      <c r="VYE85" s="931"/>
      <c r="VYF85" s="931"/>
      <c r="VYG85" s="931"/>
      <c r="VYH85" s="931"/>
      <c r="VYI85" s="931"/>
      <c r="VYJ85" s="931"/>
      <c r="VYK85" s="931"/>
      <c r="VYL85" s="931"/>
      <c r="VYM85" s="931"/>
      <c r="VYN85" s="931"/>
      <c r="VYO85" s="931"/>
      <c r="VYP85" s="931"/>
      <c r="VYQ85" s="931"/>
      <c r="VYR85" s="931"/>
      <c r="VYS85" s="931"/>
      <c r="VYT85" s="931"/>
      <c r="VYU85" s="931"/>
      <c r="VYV85" s="931"/>
      <c r="VYW85" s="931"/>
      <c r="VYX85" s="931"/>
      <c r="VYY85" s="931"/>
      <c r="VYZ85" s="931"/>
      <c r="VZA85" s="931"/>
      <c r="VZB85" s="931"/>
      <c r="VZC85" s="931"/>
      <c r="VZD85" s="931"/>
      <c r="VZE85" s="931"/>
      <c r="VZF85" s="931"/>
      <c r="VZG85" s="931"/>
      <c r="VZH85" s="931"/>
      <c r="VZI85" s="931"/>
      <c r="VZJ85" s="931"/>
      <c r="VZK85" s="931"/>
      <c r="VZL85" s="931"/>
      <c r="VZM85" s="931"/>
      <c r="VZN85" s="931"/>
      <c r="VZO85" s="931"/>
      <c r="VZP85" s="931"/>
      <c r="VZQ85" s="931"/>
      <c r="VZR85" s="931"/>
      <c r="VZS85" s="931"/>
      <c r="VZT85" s="931"/>
      <c r="VZU85" s="931"/>
      <c r="VZV85" s="931"/>
      <c r="VZW85" s="931"/>
      <c r="VZX85" s="931"/>
      <c r="VZY85" s="931"/>
      <c r="VZZ85" s="931"/>
      <c r="WAA85" s="931"/>
      <c r="WAB85" s="931"/>
      <c r="WAC85" s="931"/>
      <c r="WAD85" s="931"/>
      <c r="WAE85" s="931"/>
      <c r="WAF85" s="931"/>
      <c r="WAG85" s="931"/>
      <c r="WAH85" s="931"/>
      <c r="WAI85" s="931"/>
      <c r="WAJ85" s="931"/>
      <c r="WAK85" s="931"/>
      <c r="WAL85" s="931"/>
      <c r="WAM85" s="931"/>
      <c r="WAN85" s="931"/>
      <c r="WAO85" s="931"/>
      <c r="WAP85" s="931"/>
      <c r="WAQ85" s="931"/>
      <c r="WAR85" s="931"/>
      <c r="WAS85" s="931"/>
      <c r="WAT85" s="931"/>
      <c r="WAU85" s="931"/>
      <c r="WAV85" s="931"/>
      <c r="WAW85" s="931"/>
      <c r="WAX85" s="931"/>
      <c r="WAY85" s="931"/>
      <c r="WAZ85" s="931"/>
      <c r="WBA85" s="931"/>
      <c r="WBB85" s="931"/>
      <c r="WBC85" s="931"/>
      <c r="WBD85" s="931"/>
      <c r="WBE85" s="931"/>
      <c r="WBF85" s="931"/>
      <c r="WBG85" s="931"/>
      <c r="WBH85" s="931"/>
      <c r="WBI85" s="931"/>
      <c r="WBJ85" s="931"/>
      <c r="WBK85" s="931"/>
      <c r="WBL85" s="931"/>
      <c r="WBM85" s="931"/>
      <c r="WBN85" s="931"/>
      <c r="WBO85" s="931"/>
      <c r="WBP85" s="931"/>
      <c r="WBQ85" s="931"/>
      <c r="WBR85" s="931"/>
      <c r="WBS85" s="931"/>
      <c r="WBT85" s="931"/>
      <c r="WBU85" s="931"/>
      <c r="WBV85" s="931"/>
      <c r="WBW85" s="931"/>
      <c r="WBX85" s="931"/>
      <c r="WBY85" s="931"/>
      <c r="WBZ85" s="931"/>
      <c r="WCA85" s="931"/>
      <c r="WCB85" s="931"/>
      <c r="WCC85" s="931"/>
      <c r="WCD85" s="931"/>
      <c r="WCE85" s="931"/>
      <c r="WCF85" s="931"/>
      <c r="WCG85" s="931"/>
      <c r="WCH85" s="931"/>
      <c r="WCI85" s="931"/>
      <c r="WCJ85" s="931"/>
      <c r="WCK85" s="931"/>
      <c r="WCL85" s="931"/>
      <c r="WCM85" s="931"/>
      <c r="WCN85" s="931"/>
      <c r="WCO85" s="931"/>
      <c r="WCP85" s="931"/>
      <c r="WCQ85" s="931"/>
      <c r="WCR85" s="931"/>
      <c r="WCS85" s="931"/>
      <c r="WCT85" s="931"/>
      <c r="WCU85" s="931"/>
      <c r="WCV85" s="931"/>
      <c r="WCW85" s="931"/>
      <c r="WCX85" s="931"/>
      <c r="WCY85" s="931"/>
      <c r="WCZ85" s="931"/>
      <c r="WDA85" s="931"/>
      <c r="WDB85" s="931"/>
      <c r="WDC85" s="931"/>
      <c r="WDD85" s="931"/>
      <c r="WDE85" s="931"/>
      <c r="WDF85" s="931"/>
      <c r="WDG85" s="931"/>
      <c r="WDH85" s="931"/>
      <c r="WDI85" s="931"/>
      <c r="WDJ85" s="931"/>
      <c r="WDK85" s="931"/>
      <c r="WDL85" s="931"/>
      <c r="WDM85" s="931"/>
      <c r="WDN85" s="931"/>
      <c r="WDO85" s="931"/>
      <c r="WDP85" s="931"/>
      <c r="WDQ85" s="931"/>
      <c r="WDR85" s="931"/>
      <c r="WDS85" s="931"/>
      <c r="WDT85" s="931"/>
      <c r="WDU85" s="931"/>
      <c r="WDV85" s="931"/>
      <c r="WDW85" s="931"/>
      <c r="WDX85" s="931"/>
      <c r="WDY85" s="931"/>
      <c r="WDZ85" s="931"/>
      <c r="WEA85" s="931"/>
      <c r="WEB85" s="931"/>
      <c r="WEC85" s="931"/>
      <c r="WED85" s="931"/>
      <c r="WEE85" s="931"/>
      <c r="WEF85" s="931"/>
      <c r="WEG85" s="931"/>
      <c r="WEH85" s="931"/>
      <c r="WEI85" s="931"/>
      <c r="WEJ85" s="931"/>
      <c r="WEK85" s="931"/>
      <c r="WEL85" s="931"/>
      <c r="WEM85" s="931"/>
      <c r="WEN85" s="931"/>
      <c r="WEO85" s="931"/>
      <c r="WEP85" s="931"/>
      <c r="WEQ85" s="931"/>
      <c r="WER85" s="931"/>
      <c r="WES85" s="931"/>
      <c r="WET85" s="931"/>
      <c r="WEU85" s="931"/>
      <c r="WEV85" s="931"/>
      <c r="WEW85" s="931"/>
      <c r="WEX85" s="931"/>
      <c r="WEY85" s="931"/>
      <c r="WEZ85" s="931"/>
      <c r="WFA85" s="931"/>
      <c r="WFB85" s="931"/>
      <c r="WFC85" s="931"/>
      <c r="WFD85" s="931"/>
      <c r="WFE85" s="931"/>
      <c r="WFF85" s="931"/>
      <c r="WFG85" s="931"/>
      <c r="WFH85" s="931"/>
      <c r="WFI85" s="931"/>
      <c r="WFJ85" s="931"/>
      <c r="WFK85" s="931"/>
      <c r="WFL85" s="931"/>
      <c r="WFM85" s="931"/>
      <c r="WFN85" s="931"/>
      <c r="WFO85" s="931"/>
      <c r="WFP85" s="931"/>
      <c r="WFQ85" s="931"/>
      <c r="WFR85" s="931"/>
      <c r="WFS85" s="931"/>
      <c r="WFT85" s="931"/>
      <c r="WFU85" s="931"/>
      <c r="WFV85" s="931"/>
      <c r="WFW85" s="931"/>
      <c r="WFX85" s="931"/>
      <c r="WFY85" s="931"/>
      <c r="WFZ85" s="931"/>
      <c r="WGA85" s="931"/>
      <c r="WGB85" s="931"/>
      <c r="WGC85" s="931"/>
      <c r="WGD85" s="931"/>
      <c r="WGE85" s="931"/>
      <c r="WGF85" s="931"/>
      <c r="WGG85" s="931"/>
      <c r="WGH85" s="931"/>
      <c r="WGI85" s="931"/>
      <c r="WGJ85" s="931"/>
      <c r="WGK85" s="931"/>
      <c r="WGL85" s="931"/>
      <c r="WGM85" s="931"/>
      <c r="WGN85" s="931"/>
      <c r="WGO85" s="931"/>
      <c r="WGP85" s="931"/>
      <c r="WGQ85" s="931"/>
      <c r="WGR85" s="931"/>
      <c r="WGS85" s="931"/>
      <c r="WGT85" s="931"/>
      <c r="WGU85" s="931"/>
      <c r="WGV85" s="931"/>
      <c r="WGW85" s="931"/>
      <c r="WGX85" s="931"/>
      <c r="WGY85" s="931"/>
      <c r="WGZ85" s="931"/>
      <c r="WHA85" s="931"/>
      <c r="WHB85" s="931"/>
      <c r="WHC85" s="931"/>
      <c r="WHD85" s="931"/>
      <c r="WHE85" s="931"/>
      <c r="WHF85" s="931"/>
      <c r="WHG85" s="931"/>
      <c r="WHH85" s="931"/>
      <c r="WHI85" s="931"/>
      <c r="WHJ85" s="931"/>
      <c r="WHK85" s="931"/>
      <c r="WHL85" s="931"/>
      <c r="WHM85" s="931"/>
      <c r="WHN85" s="931"/>
      <c r="WHO85" s="931"/>
      <c r="WHP85" s="931"/>
      <c r="WHQ85" s="931"/>
      <c r="WHR85" s="931"/>
      <c r="WHS85" s="931"/>
      <c r="WHT85" s="931"/>
      <c r="WHU85" s="931"/>
      <c r="WHV85" s="931"/>
      <c r="WHW85" s="931"/>
      <c r="WHX85" s="931"/>
      <c r="WHY85" s="931"/>
      <c r="WHZ85" s="931"/>
      <c r="WIA85" s="931"/>
      <c r="WIB85" s="931"/>
      <c r="WIC85" s="931"/>
      <c r="WID85" s="931"/>
      <c r="WIE85" s="931"/>
      <c r="WIF85" s="931"/>
      <c r="WIG85" s="931"/>
      <c r="WIH85" s="931"/>
      <c r="WII85" s="931"/>
      <c r="WIJ85" s="931"/>
      <c r="WIK85" s="931"/>
      <c r="WIL85" s="931"/>
      <c r="WIM85" s="931"/>
      <c r="WIN85" s="931"/>
      <c r="WIO85" s="931"/>
      <c r="WIP85" s="931"/>
      <c r="WIQ85" s="931"/>
      <c r="WIR85" s="931"/>
      <c r="WIS85" s="931"/>
      <c r="WIT85" s="931"/>
      <c r="WIU85" s="931"/>
      <c r="WIV85" s="931"/>
      <c r="WIW85" s="931"/>
      <c r="WIX85" s="931"/>
      <c r="WIY85" s="931"/>
      <c r="WIZ85" s="931"/>
      <c r="WJA85" s="931"/>
      <c r="WJB85" s="931"/>
      <c r="WJC85" s="931"/>
      <c r="WJD85" s="931"/>
      <c r="WJE85" s="931"/>
      <c r="WJF85" s="931"/>
      <c r="WJG85" s="931"/>
      <c r="WJH85" s="931"/>
      <c r="WJI85" s="931"/>
      <c r="WJJ85" s="931"/>
      <c r="WJK85" s="931"/>
      <c r="WJL85" s="931"/>
      <c r="WJM85" s="931"/>
      <c r="WJN85" s="931"/>
      <c r="WJO85" s="931"/>
      <c r="WJP85" s="931"/>
      <c r="WJQ85" s="931"/>
      <c r="WJR85" s="931"/>
      <c r="WJS85" s="931"/>
      <c r="WJT85" s="931"/>
      <c r="WJU85" s="931"/>
      <c r="WJV85" s="931"/>
      <c r="WJW85" s="931"/>
      <c r="WJX85" s="931"/>
      <c r="WJY85" s="931"/>
      <c r="WJZ85" s="931"/>
      <c r="WKA85" s="931"/>
      <c r="WKB85" s="931"/>
      <c r="WKC85" s="931"/>
      <c r="WKD85" s="931"/>
      <c r="WKE85" s="931"/>
      <c r="WKF85" s="931"/>
      <c r="WKG85" s="931"/>
      <c r="WKH85" s="931"/>
      <c r="WKI85" s="931"/>
      <c r="WKJ85" s="931"/>
      <c r="WKK85" s="931"/>
      <c r="WKL85" s="931"/>
      <c r="WKM85" s="931"/>
      <c r="WKN85" s="931"/>
      <c r="WKO85" s="931"/>
      <c r="WKP85" s="931"/>
      <c r="WKQ85" s="931"/>
      <c r="WKR85" s="931"/>
      <c r="WKS85" s="931"/>
      <c r="WKT85" s="931"/>
      <c r="WKU85" s="931"/>
      <c r="WKV85" s="931"/>
      <c r="WKW85" s="931"/>
      <c r="WKX85" s="931"/>
      <c r="WKY85" s="931"/>
      <c r="WKZ85" s="931"/>
      <c r="WLA85" s="931"/>
      <c r="WLB85" s="931"/>
      <c r="WLC85" s="931"/>
      <c r="WLD85" s="931"/>
      <c r="WLE85" s="931"/>
      <c r="WLF85" s="931"/>
      <c r="WLG85" s="931"/>
      <c r="WLH85" s="931"/>
      <c r="WLI85" s="931"/>
      <c r="WLJ85" s="931"/>
      <c r="WLK85" s="931"/>
      <c r="WLL85" s="931"/>
      <c r="WLM85" s="931"/>
      <c r="WLN85" s="931"/>
      <c r="WLO85" s="931"/>
      <c r="WLP85" s="931"/>
      <c r="WLQ85" s="931"/>
      <c r="WLR85" s="931"/>
      <c r="WLS85" s="931"/>
      <c r="WLT85" s="931"/>
      <c r="WLU85" s="931"/>
      <c r="WLV85" s="931"/>
      <c r="WLW85" s="931"/>
      <c r="WLX85" s="931"/>
      <c r="WLY85" s="931"/>
      <c r="WLZ85" s="931"/>
      <c r="WMA85" s="931"/>
      <c r="WMB85" s="931"/>
      <c r="WMC85" s="931"/>
      <c r="WMD85" s="931"/>
      <c r="WME85" s="931"/>
      <c r="WMF85" s="931"/>
      <c r="WMG85" s="931"/>
      <c r="WMH85" s="931"/>
      <c r="WMI85" s="931"/>
      <c r="WMJ85" s="931"/>
      <c r="WMK85" s="931"/>
      <c r="WML85" s="931"/>
      <c r="WMM85" s="931"/>
      <c r="WMN85" s="931"/>
      <c r="WMO85" s="931"/>
      <c r="WMP85" s="931"/>
      <c r="WMQ85" s="931"/>
      <c r="WMR85" s="931"/>
      <c r="WMS85" s="931"/>
      <c r="WMT85" s="931"/>
      <c r="WMU85" s="931"/>
      <c r="WMV85" s="931"/>
      <c r="WMW85" s="931"/>
      <c r="WMX85" s="931"/>
      <c r="WMY85" s="931"/>
      <c r="WMZ85" s="931"/>
      <c r="WNA85" s="931"/>
      <c r="WNB85" s="931"/>
      <c r="WNC85" s="931"/>
      <c r="WND85" s="931"/>
      <c r="WNE85" s="931"/>
      <c r="WNF85" s="931"/>
      <c r="WNG85" s="931"/>
      <c r="WNH85" s="931"/>
      <c r="WNI85" s="931"/>
      <c r="WNJ85" s="931"/>
      <c r="WNK85" s="931"/>
      <c r="WNL85" s="931"/>
      <c r="WNM85" s="931"/>
      <c r="WNN85" s="931"/>
      <c r="WNO85" s="931"/>
      <c r="WNP85" s="931"/>
      <c r="WNQ85" s="931"/>
      <c r="WNR85" s="931"/>
      <c r="WNS85" s="931"/>
      <c r="WNT85" s="931"/>
      <c r="WNU85" s="931"/>
      <c r="WNV85" s="931"/>
      <c r="WNW85" s="931"/>
      <c r="WNX85" s="931"/>
      <c r="WNY85" s="931"/>
      <c r="WNZ85" s="931"/>
      <c r="WOA85" s="931"/>
      <c r="WOB85" s="931"/>
      <c r="WOC85" s="931"/>
      <c r="WOD85" s="931"/>
      <c r="WOE85" s="931"/>
      <c r="WOF85" s="931"/>
      <c r="WOG85" s="931"/>
      <c r="WOH85" s="931"/>
      <c r="WOI85" s="931"/>
      <c r="WOJ85" s="931"/>
      <c r="WOK85" s="931"/>
      <c r="WOL85" s="931"/>
      <c r="WOM85" s="931"/>
      <c r="WON85" s="931"/>
      <c r="WOO85" s="931"/>
      <c r="WOP85" s="931"/>
      <c r="WOQ85" s="931"/>
      <c r="WOR85" s="931"/>
      <c r="WOS85" s="931"/>
      <c r="WOT85" s="931"/>
      <c r="WOU85" s="931"/>
      <c r="WOV85" s="931"/>
      <c r="WOW85" s="931"/>
      <c r="WOX85" s="931"/>
      <c r="WOY85" s="931"/>
      <c r="WOZ85" s="931"/>
      <c r="WPA85" s="931"/>
      <c r="WPB85" s="931"/>
      <c r="WPC85" s="931"/>
      <c r="WPD85" s="931"/>
      <c r="WPE85" s="931"/>
      <c r="WPF85" s="931"/>
      <c r="WPG85" s="931"/>
      <c r="WPH85" s="931"/>
      <c r="WPI85" s="931"/>
      <c r="WPJ85" s="931"/>
      <c r="WPK85" s="931"/>
      <c r="WPL85" s="931"/>
      <c r="WPM85" s="931"/>
      <c r="WPN85" s="931"/>
      <c r="WPO85" s="931"/>
      <c r="WPP85" s="931"/>
      <c r="WPQ85" s="931"/>
      <c r="WPR85" s="931"/>
      <c r="WPS85" s="931"/>
      <c r="WPT85" s="931"/>
      <c r="WPU85" s="931"/>
      <c r="WPV85" s="931"/>
      <c r="WPW85" s="931"/>
      <c r="WPX85" s="931"/>
      <c r="WPY85" s="931"/>
      <c r="WPZ85" s="931"/>
      <c r="WQA85" s="931"/>
      <c r="WQB85" s="931"/>
      <c r="WQC85" s="931"/>
      <c r="WQD85" s="931"/>
      <c r="WQE85" s="931"/>
      <c r="WQF85" s="931"/>
      <c r="WQG85" s="931"/>
      <c r="WQH85" s="931"/>
      <c r="WQI85" s="931"/>
      <c r="WQJ85" s="931"/>
      <c r="WQK85" s="931"/>
      <c r="WQL85" s="931"/>
      <c r="WQM85" s="931"/>
      <c r="WQN85" s="931"/>
      <c r="WQO85" s="931"/>
      <c r="WQP85" s="931"/>
      <c r="WQQ85" s="931"/>
      <c r="WQR85" s="931"/>
      <c r="WQS85" s="931"/>
      <c r="WQT85" s="931"/>
      <c r="WQU85" s="931"/>
      <c r="WQV85" s="931"/>
      <c r="WQW85" s="931"/>
      <c r="WQX85" s="931"/>
      <c r="WQY85" s="931"/>
      <c r="WQZ85" s="931"/>
      <c r="WRA85" s="931"/>
      <c r="WRB85" s="931"/>
      <c r="WRC85" s="931"/>
      <c r="WRD85" s="931"/>
      <c r="WRE85" s="931"/>
      <c r="WRF85" s="931"/>
      <c r="WRG85" s="931"/>
      <c r="WRH85" s="931"/>
      <c r="WRI85" s="931"/>
      <c r="WRJ85" s="931"/>
      <c r="WRK85" s="931"/>
      <c r="WRL85" s="931"/>
      <c r="WRM85" s="931"/>
      <c r="WRN85" s="931"/>
      <c r="WRO85" s="931"/>
      <c r="WRP85" s="931"/>
      <c r="WRQ85" s="931"/>
      <c r="WRR85" s="931"/>
      <c r="WRS85" s="931"/>
      <c r="WRT85" s="931"/>
      <c r="WRU85" s="931"/>
      <c r="WRV85" s="931"/>
      <c r="WRW85" s="931"/>
      <c r="WRX85" s="931"/>
      <c r="WRY85" s="931"/>
      <c r="WRZ85" s="931"/>
      <c r="WSA85" s="931"/>
      <c r="WSB85" s="931"/>
      <c r="WSC85" s="931"/>
      <c r="WSD85" s="931"/>
      <c r="WSE85" s="931"/>
      <c r="WSF85" s="931"/>
      <c r="WSG85" s="931"/>
      <c r="WSH85" s="931"/>
      <c r="WSI85" s="931"/>
      <c r="WSJ85" s="931"/>
      <c r="WSK85" s="931"/>
      <c r="WSL85" s="931"/>
      <c r="WSM85" s="931"/>
      <c r="WSN85" s="931"/>
      <c r="WSO85" s="931"/>
      <c r="WSP85" s="931"/>
      <c r="WSQ85" s="931"/>
      <c r="WSR85" s="931"/>
      <c r="WSS85" s="931"/>
      <c r="WST85" s="931"/>
      <c r="WSU85" s="931"/>
      <c r="WSV85" s="931"/>
      <c r="WSW85" s="931"/>
      <c r="WSX85" s="931"/>
      <c r="WSY85" s="931"/>
      <c r="WSZ85" s="931"/>
      <c r="WTA85" s="931"/>
      <c r="WTB85" s="931"/>
      <c r="WTC85" s="931"/>
      <c r="WTD85" s="931"/>
      <c r="WTE85" s="931"/>
      <c r="WTF85" s="931"/>
      <c r="WTG85" s="931"/>
      <c r="WTH85" s="931"/>
      <c r="WTI85" s="931"/>
      <c r="WTJ85" s="931"/>
      <c r="WTK85" s="931"/>
      <c r="WTL85" s="931"/>
      <c r="WTM85" s="931"/>
      <c r="WTN85" s="931"/>
      <c r="WTO85" s="931"/>
      <c r="WTP85" s="931"/>
      <c r="WTQ85" s="931"/>
      <c r="WTR85" s="931"/>
      <c r="WTS85" s="931"/>
      <c r="WTT85" s="931"/>
      <c r="WTU85" s="931"/>
      <c r="WTV85" s="931"/>
      <c r="WTW85" s="931"/>
      <c r="WTX85" s="931"/>
      <c r="WTY85" s="931"/>
      <c r="WTZ85" s="931"/>
      <c r="WUA85" s="931"/>
      <c r="WUB85" s="931"/>
      <c r="WUC85" s="931"/>
      <c r="WUD85" s="931"/>
      <c r="WUE85" s="931"/>
      <c r="WUF85" s="931"/>
      <c r="WUG85" s="931"/>
      <c r="WUH85" s="931"/>
      <c r="WUI85" s="931"/>
      <c r="WUJ85" s="931"/>
      <c r="WUK85" s="931"/>
      <c r="WUL85" s="931"/>
      <c r="WUM85" s="931"/>
      <c r="WUN85" s="931"/>
      <c r="WUO85" s="931"/>
      <c r="WUP85" s="931"/>
      <c r="WUQ85" s="931"/>
      <c r="WUR85" s="931"/>
      <c r="WUS85" s="931"/>
      <c r="WUT85" s="931"/>
      <c r="WUU85" s="931"/>
      <c r="WUV85" s="931"/>
      <c r="WUW85" s="931"/>
      <c r="WUX85" s="931"/>
      <c r="WUY85" s="931"/>
      <c r="WUZ85" s="931"/>
      <c r="WVA85" s="931"/>
      <c r="WVB85" s="931"/>
      <c r="WVC85" s="931"/>
      <c r="WVD85" s="931"/>
      <c r="WVE85" s="931"/>
      <c r="WVF85" s="931"/>
      <c r="WVG85" s="931"/>
      <c r="WVH85" s="931"/>
      <c r="WVI85" s="931"/>
      <c r="WVJ85" s="931"/>
      <c r="WVK85" s="931"/>
      <c r="WVL85" s="931"/>
      <c r="WVM85" s="931"/>
      <c r="WVN85" s="931"/>
      <c r="WVO85" s="931"/>
      <c r="WVP85" s="931"/>
      <c r="WVQ85" s="931"/>
      <c r="WVR85" s="931"/>
      <c r="WVS85" s="931"/>
      <c r="WVT85" s="931"/>
      <c r="WVU85" s="931"/>
      <c r="WVV85" s="931"/>
      <c r="WVW85" s="931"/>
      <c r="WVX85" s="931"/>
      <c r="WVY85" s="931"/>
      <c r="WVZ85" s="931"/>
      <c r="WWA85" s="931"/>
      <c r="WWB85" s="931"/>
      <c r="WWC85" s="931"/>
      <c r="WWD85" s="931"/>
      <c r="WWE85" s="931"/>
      <c r="WWF85" s="931"/>
      <c r="WWG85" s="931"/>
      <c r="WWH85" s="931"/>
      <c r="WWI85" s="931"/>
      <c r="WWJ85" s="931"/>
      <c r="WWK85" s="931"/>
      <c r="WWL85" s="931"/>
      <c r="WWM85" s="931"/>
      <c r="WWN85" s="931"/>
      <c r="WWO85" s="931"/>
      <c r="WWP85" s="931"/>
      <c r="WWQ85" s="931"/>
      <c r="WWR85" s="931"/>
      <c r="WWS85" s="931"/>
      <c r="WWT85" s="931"/>
      <c r="WWU85" s="931"/>
      <c r="WWV85" s="931"/>
      <c r="WWW85" s="931"/>
      <c r="WWX85" s="931"/>
      <c r="WWY85" s="931"/>
      <c r="WWZ85" s="931"/>
      <c r="WXA85" s="931"/>
      <c r="WXB85" s="931"/>
      <c r="WXC85" s="931"/>
      <c r="WXD85" s="931"/>
      <c r="WXE85" s="931"/>
      <c r="WXF85" s="931"/>
      <c r="WXG85" s="931"/>
      <c r="WXH85" s="931"/>
      <c r="WXI85" s="931"/>
      <c r="WXJ85" s="931"/>
      <c r="WXK85" s="931"/>
      <c r="WXL85" s="931"/>
      <c r="WXM85" s="931"/>
      <c r="WXN85" s="931"/>
      <c r="WXO85" s="931"/>
      <c r="WXP85" s="931"/>
      <c r="WXQ85" s="931"/>
      <c r="WXR85" s="931"/>
      <c r="WXS85" s="931"/>
      <c r="WXT85" s="931"/>
      <c r="WXU85" s="931"/>
      <c r="WXV85" s="931"/>
      <c r="WXW85" s="931"/>
      <c r="WXX85" s="931"/>
      <c r="WXY85" s="931"/>
      <c r="WXZ85" s="931"/>
      <c r="WYA85" s="931"/>
      <c r="WYB85" s="931"/>
      <c r="WYC85" s="931"/>
      <c r="WYD85" s="931"/>
      <c r="WYE85" s="931"/>
      <c r="WYF85" s="931"/>
      <c r="WYG85" s="931"/>
      <c r="WYH85" s="931"/>
      <c r="WYI85" s="931"/>
      <c r="WYJ85" s="931"/>
      <c r="WYK85" s="931"/>
      <c r="WYL85" s="931"/>
      <c r="WYM85" s="931"/>
      <c r="WYN85" s="931"/>
      <c r="WYO85" s="931"/>
      <c r="WYP85" s="931"/>
      <c r="WYQ85" s="931"/>
      <c r="WYR85" s="931"/>
      <c r="WYS85" s="931"/>
      <c r="WYT85" s="931"/>
      <c r="WYU85" s="931"/>
      <c r="WYV85" s="931"/>
      <c r="WYW85" s="931"/>
      <c r="WYX85" s="931"/>
      <c r="WYY85" s="931"/>
      <c r="WYZ85" s="931"/>
      <c r="WZA85" s="931"/>
      <c r="WZB85" s="931"/>
      <c r="WZC85" s="931"/>
      <c r="WZD85" s="931"/>
      <c r="WZE85" s="931"/>
      <c r="WZF85" s="931"/>
      <c r="WZG85" s="931"/>
      <c r="WZH85" s="931"/>
      <c r="WZI85" s="931"/>
      <c r="WZJ85" s="931"/>
      <c r="WZK85" s="931"/>
      <c r="WZL85" s="931"/>
      <c r="WZM85" s="931"/>
      <c r="WZN85" s="931"/>
      <c r="WZO85" s="931"/>
      <c r="WZP85" s="931"/>
      <c r="WZQ85" s="931"/>
      <c r="WZR85" s="931"/>
      <c r="WZS85" s="931"/>
      <c r="WZT85" s="931"/>
      <c r="WZU85" s="931"/>
      <c r="WZV85" s="931"/>
      <c r="WZW85" s="931"/>
      <c r="WZX85" s="931"/>
      <c r="WZY85" s="931"/>
      <c r="WZZ85" s="931"/>
      <c r="XAA85" s="931"/>
      <c r="XAB85" s="931"/>
      <c r="XAC85" s="931"/>
      <c r="XAD85" s="931"/>
      <c r="XAE85" s="931"/>
      <c r="XAF85" s="931"/>
      <c r="XAG85" s="931"/>
      <c r="XAH85" s="931"/>
      <c r="XAI85" s="931"/>
      <c r="XAJ85" s="931"/>
      <c r="XAK85" s="931"/>
      <c r="XAL85" s="931"/>
      <c r="XAM85" s="931"/>
      <c r="XAN85" s="931"/>
      <c r="XAO85" s="931"/>
      <c r="XAP85" s="931"/>
      <c r="XAQ85" s="931"/>
      <c r="XAR85" s="931"/>
      <c r="XAS85" s="931"/>
      <c r="XAT85" s="931"/>
      <c r="XAU85" s="931"/>
      <c r="XAV85" s="931"/>
      <c r="XAW85" s="931"/>
      <c r="XAX85" s="931"/>
      <c r="XAY85" s="931"/>
      <c r="XAZ85" s="931"/>
      <c r="XBA85" s="931"/>
      <c r="XBB85" s="931"/>
      <c r="XBC85" s="931"/>
      <c r="XBD85" s="931"/>
      <c r="XBE85" s="931"/>
      <c r="XBF85" s="931"/>
      <c r="XBG85" s="931"/>
      <c r="XBH85" s="931"/>
      <c r="XBI85" s="931"/>
      <c r="XBJ85" s="931"/>
      <c r="XBK85" s="931"/>
      <c r="XBL85" s="931"/>
      <c r="XBM85" s="931"/>
      <c r="XBN85" s="931"/>
      <c r="XBO85" s="931"/>
      <c r="XBP85" s="931"/>
      <c r="XBQ85" s="931"/>
      <c r="XBR85" s="931"/>
      <c r="XBS85" s="931"/>
      <c r="XBT85" s="931"/>
      <c r="XBU85" s="931"/>
      <c r="XBV85" s="931"/>
      <c r="XBW85" s="931"/>
      <c r="XBX85" s="931"/>
      <c r="XBY85" s="931"/>
      <c r="XBZ85" s="931"/>
      <c r="XCA85" s="931"/>
      <c r="XCB85" s="931"/>
      <c r="XCC85" s="931"/>
      <c r="XCD85" s="931"/>
      <c r="XCE85" s="931"/>
      <c r="XCF85" s="931"/>
      <c r="XCG85" s="931"/>
      <c r="XCH85" s="931"/>
      <c r="XCI85" s="931"/>
      <c r="XCJ85" s="931"/>
      <c r="XCK85" s="931"/>
      <c r="XCL85" s="931"/>
      <c r="XCM85" s="931"/>
      <c r="XCN85" s="931"/>
      <c r="XCO85" s="931"/>
      <c r="XCP85" s="931"/>
      <c r="XCQ85" s="931"/>
      <c r="XCR85" s="931"/>
      <c r="XCS85" s="931"/>
      <c r="XCT85" s="931"/>
      <c r="XCU85" s="931"/>
      <c r="XCV85" s="931"/>
      <c r="XCW85" s="931"/>
      <c r="XCX85" s="931"/>
      <c r="XCY85" s="931"/>
      <c r="XCZ85" s="931"/>
      <c r="XDA85" s="931"/>
      <c r="XDB85" s="931"/>
      <c r="XDC85" s="931"/>
      <c r="XDD85" s="931"/>
      <c r="XDE85" s="931"/>
      <c r="XDF85" s="931"/>
      <c r="XDG85" s="931"/>
      <c r="XDH85" s="931"/>
      <c r="XDI85" s="931"/>
      <c r="XDJ85" s="931"/>
      <c r="XDK85" s="931"/>
      <c r="XDL85" s="931"/>
      <c r="XDM85" s="931"/>
      <c r="XDN85" s="931"/>
      <c r="XDO85" s="931"/>
      <c r="XDP85" s="931"/>
      <c r="XDQ85" s="931"/>
      <c r="XDR85" s="931"/>
      <c r="XDS85" s="931"/>
      <c r="XDT85" s="931"/>
      <c r="XDU85" s="931"/>
      <c r="XDV85" s="931"/>
      <c r="XDW85" s="931"/>
      <c r="XDX85" s="931"/>
      <c r="XDY85" s="931"/>
      <c r="XDZ85" s="931"/>
      <c r="XEA85" s="931"/>
      <c r="XEB85" s="931"/>
      <c r="XEC85" s="931"/>
      <c r="XED85" s="931"/>
      <c r="XEE85" s="931"/>
      <c r="XEF85" s="931"/>
      <c r="XEG85" s="931"/>
      <c r="XEH85" s="931"/>
      <c r="XEI85" s="931"/>
      <c r="XEJ85" s="931"/>
      <c r="XEK85" s="931"/>
      <c r="XEL85" s="931"/>
      <c r="XEM85" s="931"/>
      <c r="XEN85" s="931"/>
      <c r="XEO85" s="931"/>
      <c r="XEP85" s="931"/>
      <c r="XEQ85" s="931"/>
      <c r="XER85" s="931"/>
      <c r="XES85" s="931"/>
      <c r="XET85" s="931"/>
      <c r="XEU85" s="931"/>
      <c r="XEV85" s="931"/>
      <c r="XEW85" s="931"/>
      <c r="XEX85" s="931"/>
      <c r="XEY85" s="931"/>
      <c r="XEZ85" s="931"/>
      <c r="XFA85" s="931"/>
      <c r="XFB85" s="931"/>
      <c r="XFC85" s="931"/>
      <c r="XFD85" s="931"/>
    </row>
    <row r="86" spans="1:16384">
      <c r="A86" s="599" t="s">
        <v>608</v>
      </c>
      <c r="B86" s="590" t="s">
        <v>459</v>
      </c>
      <c r="C86" s="691" t="s">
        <v>459</v>
      </c>
      <c r="D86" s="4227" t="str">
        <f>$A86&amp;"  "&amp;$A87</f>
        <v>twauslihspxy03  twauslihspxy04</v>
      </c>
      <c r="E86" s="4222" t="str">
        <f>$B86&amp;"  "&amp;$B87</f>
        <v>10.134.68.58  10.134.68.59</v>
      </c>
      <c r="F86" s="4332" t="s">
        <v>76</v>
      </c>
      <c r="G86" s="4420" t="s">
        <v>1740</v>
      </c>
      <c r="I86" s="931"/>
      <c r="J86" s="684"/>
    </row>
    <row r="87" spans="1:16384" ht="13.5" thickBot="1">
      <c r="A87" s="301" t="s">
        <v>609</v>
      </c>
      <c r="B87" s="69" t="s">
        <v>460</v>
      </c>
      <c r="C87" s="692" t="s">
        <v>460</v>
      </c>
      <c r="D87" s="4221"/>
      <c r="E87" s="4223"/>
      <c r="F87" s="4307"/>
      <c r="G87" s="4339"/>
      <c r="I87" s="931"/>
    </row>
    <row r="88" spans="1:16384">
      <c r="A88" s="483" t="s">
        <v>606</v>
      </c>
      <c r="B88" s="443" t="s">
        <v>704</v>
      </c>
      <c r="C88" s="696" t="s">
        <v>704</v>
      </c>
      <c r="D88" s="4214" t="str">
        <f>$A88&amp;"  "&amp;$A89</f>
        <v>twauslihspxy01  twauslihspxy02</v>
      </c>
      <c r="E88" s="4224" t="str">
        <f>$B88&amp;"  "&amp;$B89</f>
        <v>10.134.100.41  10.134.100.42</v>
      </c>
      <c r="F88" s="4313" t="s">
        <v>75</v>
      </c>
      <c r="G88" s="4339"/>
      <c r="I88" s="931"/>
    </row>
    <row r="89" spans="1:16384" ht="13.5" thickBot="1">
      <c r="A89" s="484" t="s">
        <v>607</v>
      </c>
      <c r="B89" s="485" t="s">
        <v>629</v>
      </c>
      <c r="C89" s="704" t="s">
        <v>629</v>
      </c>
      <c r="D89" s="4215"/>
      <c r="E89" s="4225"/>
      <c r="F89" s="4277"/>
      <c r="G89" s="4421"/>
      <c r="I89" s="931"/>
    </row>
    <row r="90" spans="1:16384">
      <c r="A90" s="349" t="s">
        <v>612</v>
      </c>
      <c r="B90" s="500" t="s">
        <v>461</v>
      </c>
      <c r="C90" s="694" t="s">
        <v>461</v>
      </c>
      <c r="D90" s="4220" t="str">
        <f>$A90&amp;"  "&amp;$A91</f>
        <v>pwauslihspxy03  pwauslihspxy04</v>
      </c>
      <c r="E90" s="4226" t="str">
        <f>$B90&amp;"  "&amp;$B91</f>
        <v>10.136.68.48  10.136.68.49</v>
      </c>
      <c r="F90" s="4274" t="s">
        <v>76</v>
      </c>
      <c r="G90" s="4338" t="s">
        <v>1739</v>
      </c>
      <c r="I90" s="931"/>
    </row>
    <row r="91" spans="1:16384" ht="13.5" thickBot="1">
      <c r="A91" s="301" t="s">
        <v>613</v>
      </c>
      <c r="B91" s="69" t="s">
        <v>462</v>
      </c>
      <c r="C91" s="692" t="s">
        <v>462</v>
      </c>
      <c r="D91" s="4221"/>
      <c r="E91" s="4223"/>
      <c r="F91" s="4307"/>
      <c r="G91" s="4339"/>
      <c r="I91" s="931"/>
    </row>
    <row r="92" spans="1:16384" ht="15">
      <c r="A92" s="483" t="s">
        <v>610</v>
      </c>
      <c r="B92" s="445" t="s">
        <v>696</v>
      </c>
      <c r="C92" s="705" t="s">
        <v>696</v>
      </c>
      <c r="D92" s="4214" t="str">
        <f>$A92&amp;"  "&amp;$A93</f>
        <v>pwauslihspxy01  pwauslihspxy02</v>
      </c>
      <c r="E92" s="4224" t="str">
        <f>$B92&amp;"  "&amp;$B93</f>
        <v>10.136.100.36  10.136.100.43</v>
      </c>
      <c r="F92" s="4313" t="s">
        <v>75</v>
      </c>
      <c r="G92" s="4339"/>
      <c r="I92" s="931"/>
    </row>
    <row r="93" spans="1:16384" ht="13.5" thickBot="1">
      <c r="A93" s="484" t="s">
        <v>611</v>
      </c>
      <c r="B93" s="485" t="s">
        <v>697</v>
      </c>
      <c r="C93" s="704" t="s">
        <v>697</v>
      </c>
      <c r="D93" s="4215"/>
      <c r="E93" s="4225"/>
      <c r="F93" s="4277"/>
      <c r="G93" s="4421"/>
      <c r="I93" s="931"/>
    </row>
    <row r="94" spans="1:16384" ht="13.5" thickBot="1"/>
    <row r="95" spans="1:16384" s="931" customFormat="1" ht="16.5" thickBot="1">
      <c r="A95" s="4417" t="s">
        <v>3784</v>
      </c>
      <c r="B95" s="4418"/>
      <c r="C95" s="4418"/>
      <c r="D95" s="4418"/>
      <c r="E95" s="4418"/>
      <c r="F95" s="4418"/>
      <c r="G95" s="4419"/>
    </row>
    <row r="96" spans="1:16384" s="931" customFormat="1">
      <c r="A96" s="2311" t="s">
        <v>3782</v>
      </c>
      <c r="B96" s="590" t="s">
        <v>3780</v>
      </c>
      <c r="C96" s="691"/>
      <c r="D96" s="4227" t="str">
        <f t="shared" ref="D96" si="2">$A96&amp;"  "&amp;$A97</f>
        <v>twauslapweb001  twauslapweb002</v>
      </c>
      <c r="E96" s="4222" t="str">
        <f t="shared" ref="E96" si="3">$B96&amp;"  "&amp;$B97</f>
        <v>10.134.68.106  10.134.68.107</v>
      </c>
      <c r="F96" s="4332" t="s">
        <v>76</v>
      </c>
      <c r="G96" s="4420" t="s">
        <v>3775</v>
      </c>
    </row>
    <row r="97" spans="1:7" s="931" customFormat="1" ht="13.5" thickBot="1">
      <c r="A97" s="2311" t="s">
        <v>3783</v>
      </c>
      <c r="B97" s="590" t="s">
        <v>3781</v>
      </c>
      <c r="C97" s="692"/>
      <c r="D97" s="4221"/>
      <c r="E97" s="4223"/>
      <c r="F97" s="4307"/>
      <c r="G97" s="4339"/>
    </row>
    <row r="98" spans="1:7" s="931" customFormat="1">
      <c r="A98" s="483"/>
      <c r="B98" s="443"/>
      <c r="C98" s="696"/>
      <c r="D98" s="4214" t="str">
        <f t="shared" ref="D98" si="4">$A98&amp;"  "&amp;$A99</f>
        <v xml:space="preserve">  </v>
      </c>
      <c r="E98" s="4224" t="str">
        <f t="shared" ref="E98" si="5">$B98&amp;"  "&amp;$B99</f>
        <v xml:space="preserve">  </v>
      </c>
      <c r="F98" s="4313" t="s">
        <v>75</v>
      </c>
      <c r="G98" s="4339"/>
    </row>
    <row r="99" spans="1:7" s="931" customFormat="1" ht="13.5" thickBot="1">
      <c r="A99" s="484"/>
      <c r="B99" s="485"/>
      <c r="C99" s="704"/>
      <c r="D99" s="4215"/>
      <c r="E99" s="4225"/>
      <c r="F99" s="4277"/>
      <c r="G99" s="4421"/>
    </row>
    <row r="100" spans="1:7" s="931" customFormat="1" ht="12.75" customHeight="1" thickBot="1">
      <c r="A100" s="481" t="s">
        <v>3778</v>
      </c>
      <c r="B100" s="500" t="s">
        <v>3776</v>
      </c>
      <c r="C100" s="694"/>
      <c r="D100" s="4220" t="str">
        <f t="shared" ref="D100" si="6">$A100&amp;"  "&amp;$A101</f>
        <v>pwauslapweb001  pwauslapweb002</v>
      </c>
      <c r="E100" s="4226" t="str">
        <f t="shared" ref="E100" si="7">$B100&amp;"  "&amp;$B101</f>
        <v>10.136.68.97  10.136.68.98</v>
      </c>
      <c r="F100" s="4274" t="s">
        <v>76</v>
      </c>
      <c r="G100" s="4420" t="s">
        <v>3775</v>
      </c>
    </row>
    <row r="101" spans="1:7" s="931" customFormat="1" ht="13.5" thickBot="1">
      <c r="A101" s="2310" t="s">
        <v>3779</v>
      </c>
      <c r="B101" s="500" t="s">
        <v>3777</v>
      </c>
      <c r="C101" s="692"/>
      <c r="D101" s="4221"/>
      <c r="E101" s="4223"/>
      <c r="F101" s="4307"/>
      <c r="G101" s="4339"/>
    </row>
    <row r="102" spans="1:7" s="931" customFormat="1" ht="15">
      <c r="A102" s="483"/>
      <c r="B102" s="445"/>
      <c r="C102" s="705"/>
      <c r="D102" s="4214" t="str">
        <f t="shared" ref="D102" si="8">$A102&amp;"  "&amp;$A103</f>
        <v xml:space="preserve">  </v>
      </c>
      <c r="E102" s="4224" t="str">
        <f t="shared" ref="E102" si="9">$B102&amp;"  "&amp;$B103</f>
        <v xml:space="preserve">  </v>
      </c>
      <c r="F102" s="4313" t="s">
        <v>75</v>
      </c>
      <c r="G102" s="4339"/>
    </row>
    <row r="103" spans="1:7" s="931" customFormat="1" ht="13.5" thickBot="1">
      <c r="A103" s="484"/>
      <c r="B103" s="485"/>
      <c r="C103" s="704"/>
      <c r="D103" s="4215"/>
      <c r="E103" s="4225"/>
      <c r="F103" s="4277"/>
      <c r="G103" s="4421"/>
    </row>
    <row r="104" spans="1:7" s="931" customFormat="1" ht="13.5" thickBot="1">
      <c r="D104" s="56"/>
    </row>
    <row r="105" spans="1:7" s="931" customFormat="1" ht="16.5" thickBot="1">
      <c r="A105" s="4417" t="s">
        <v>5188</v>
      </c>
      <c r="B105" s="4418"/>
      <c r="C105" s="4418"/>
      <c r="D105" s="4418"/>
      <c r="E105" s="4418"/>
      <c r="F105" s="4418"/>
      <c r="G105" s="4419"/>
    </row>
    <row r="106" spans="1:7" s="931" customFormat="1" ht="25.5">
      <c r="A106" s="2311" t="s">
        <v>5261</v>
      </c>
      <c r="B106" s="2632"/>
      <c r="C106" s="3119" t="s">
        <v>5189</v>
      </c>
      <c r="D106" s="4422" t="s">
        <v>5192</v>
      </c>
      <c r="E106" s="4423" t="s">
        <v>5189</v>
      </c>
      <c r="F106" s="4332"/>
      <c r="G106" s="4420"/>
    </row>
    <row r="107" spans="1:7" s="931" customFormat="1" ht="13.5" thickBot="1">
      <c r="A107" s="2311"/>
      <c r="B107" s="2632"/>
      <c r="C107" s="2632"/>
      <c r="D107" s="4221"/>
      <c r="E107" s="4223"/>
      <c r="F107" s="4307"/>
      <c r="G107" s="4339"/>
    </row>
    <row r="108" spans="1:7" s="931" customFormat="1">
      <c r="A108" s="597" t="s">
        <v>5262</v>
      </c>
      <c r="B108" s="443"/>
      <c r="C108" s="696" t="s">
        <v>5263</v>
      </c>
      <c r="D108" s="4424" t="s">
        <v>5525</v>
      </c>
      <c r="E108" s="4224" t="s">
        <v>5263</v>
      </c>
      <c r="F108" s="4313"/>
      <c r="G108" s="4339"/>
    </row>
    <row r="109" spans="1:7" s="931" customFormat="1" ht="13.5" thickBot="1">
      <c r="A109" s="484"/>
      <c r="B109" s="485"/>
      <c r="C109" s="704"/>
      <c r="D109" s="4215"/>
      <c r="E109" s="4225"/>
      <c r="F109" s="4277"/>
      <c r="G109" s="4421"/>
    </row>
    <row r="110" spans="1:7" s="931" customFormat="1" ht="13.5" thickBot="1"/>
    <row r="111" spans="1:7" s="931" customFormat="1" ht="16.5" thickBot="1">
      <c r="A111" s="4417" t="s">
        <v>3785</v>
      </c>
      <c r="B111" s="4418"/>
      <c r="C111" s="4418"/>
      <c r="D111" s="4419"/>
    </row>
    <row r="112" spans="1:7" s="931" customFormat="1" ht="12.75" customHeight="1">
      <c r="A112" s="2312" t="s">
        <v>3786</v>
      </c>
      <c r="B112" s="4407" t="s">
        <v>3800</v>
      </c>
      <c r="C112" s="4408"/>
      <c r="D112" s="2317" t="s">
        <v>3787</v>
      </c>
    </row>
    <row r="113" spans="1:8" s="931" customFormat="1">
      <c r="A113" s="728" t="s">
        <v>3788</v>
      </c>
      <c r="B113" s="4407" t="s">
        <v>3800</v>
      </c>
      <c r="C113" s="4408"/>
      <c r="D113" s="2314" t="s">
        <v>3789</v>
      </c>
    </row>
    <row r="114" spans="1:8" s="931" customFormat="1" ht="13.5" thickBot="1">
      <c r="A114" s="2315" t="s">
        <v>3788</v>
      </c>
      <c r="B114" s="4409" t="s">
        <v>3800</v>
      </c>
      <c r="C114" s="4410"/>
      <c r="D114" s="2316" t="s">
        <v>3790</v>
      </c>
    </row>
    <row r="115" spans="1:8" s="931" customFormat="1" ht="13.5" thickBot="1">
      <c r="A115" s="2318"/>
      <c r="B115" s="2319"/>
      <c r="C115" s="2319"/>
      <c r="D115" s="2318"/>
    </row>
    <row r="116" spans="1:8" s="931" customFormat="1" ht="15.75" thickBot="1">
      <c r="A116" s="4411" t="s">
        <v>3799</v>
      </c>
      <c r="B116" s="4412"/>
      <c r="C116" s="4412"/>
      <c r="D116" s="4413"/>
    </row>
    <row r="117" spans="1:8" s="931" customFormat="1" ht="15">
      <c r="A117" s="2320" t="s">
        <v>3795</v>
      </c>
      <c r="B117" s="2321" t="s">
        <v>3791</v>
      </c>
      <c r="C117" s="2321"/>
      <c r="D117" s="2322"/>
    </row>
    <row r="118" spans="1:8" s="931" customFormat="1" ht="15">
      <c r="A118" s="2323" t="s">
        <v>3796</v>
      </c>
      <c r="B118" s="2313" t="s">
        <v>3792</v>
      </c>
      <c r="C118" s="2313"/>
      <c r="D118" s="2314"/>
    </row>
    <row r="119" spans="1:8" s="931" customFormat="1" ht="15">
      <c r="A119" s="2323" t="s">
        <v>3797</v>
      </c>
      <c r="B119" s="2313" t="s">
        <v>3793</v>
      </c>
      <c r="C119" s="2313"/>
      <c r="D119" s="2314"/>
    </row>
    <row r="120" spans="1:8" s="931" customFormat="1" ht="15.75" thickBot="1">
      <c r="A120" s="2324" t="s">
        <v>3798</v>
      </c>
      <c r="B120" s="1102" t="s">
        <v>3794</v>
      </c>
      <c r="C120" s="1102"/>
      <c r="D120" s="2300"/>
    </row>
    <row r="121" spans="1:8" s="931" customFormat="1">
      <c r="D121" s="56"/>
    </row>
    <row r="122" spans="1:8" s="931" customFormat="1">
      <c r="D122" s="56"/>
    </row>
    <row r="123" spans="1:8">
      <c r="A123" s="6" t="s">
        <v>2603</v>
      </c>
    </row>
    <row r="124" spans="1:8">
      <c r="A124" s="888" t="s">
        <v>2584</v>
      </c>
      <c r="B124" s="887" t="s">
        <v>2580</v>
      </c>
    </row>
    <row r="125" spans="1:8">
      <c r="A125" s="888" t="s">
        <v>2585</v>
      </c>
      <c r="B125" s="887" t="s">
        <v>2581</v>
      </c>
    </row>
    <row r="126" spans="1:8">
      <c r="A126" s="888" t="s">
        <v>2586</v>
      </c>
      <c r="B126" s="887" t="s">
        <v>2582</v>
      </c>
    </row>
    <row r="127" spans="1:8">
      <c r="A127" s="888" t="s">
        <v>2587</v>
      </c>
      <c r="B127" s="887" t="s">
        <v>2583</v>
      </c>
    </row>
    <row r="128" spans="1:8" s="684" customFormat="1">
      <c r="A128" s="503"/>
      <c r="B128" s="126"/>
      <c r="D128" s="56"/>
      <c r="H128" s="931"/>
    </row>
    <row r="129" spans="1:5">
      <c r="A129" s="6" t="s">
        <v>2602</v>
      </c>
    </row>
    <row r="130" spans="1:5">
      <c r="A130" s="888" t="s">
        <v>2595</v>
      </c>
      <c r="B130" s="887" t="s">
        <v>2588</v>
      </c>
    </row>
    <row r="131" spans="1:5">
      <c r="A131" s="888" t="s">
        <v>2596</v>
      </c>
      <c r="B131" s="887" t="s">
        <v>2589</v>
      </c>
    </row>
    <row r="132" spans="1:5">
      <c r="A132" s="888" t="s">
        <v>2597</v>
      </c>
      <c r="B132" s="887" t="s">
        <v>2590</v>
      </c>
    </row>
    <row r="133" spans="1:5">
      <c r="A133" s="888" t="s">
        <v>2598</v>
      </c>
      <c r="B133" s="887" t="s">
        <v>2591</v>
      </c>
    </row>
    <row r="134" spans="1:5">
      <c r="A134" s="888" t="s">
        <v>2599</v>
      </c>
      <c r="B134" s="887" t="s">
        <v>2592</v>
      </c>
    </row>
    <row r="135" spans="1:5">
      <c r="A135" s="888" t="s">
        <v>2600</v>
      </c>
      <c r="B135" s="887" t="s">
        <v>2593</v>
      </c>
    </row>
    <row r="136" spans="1:5">
      <c r="A136" s="888" t="s">
        <v>2601</v>
      </c>
      <c r="B136" s="887" t="s">
        <v>2594</v>
      </c>
    </row>
    <row r="138" spans="1:5" ht="13.5" thickBot="1">
      <c r="A138" s="6" t="s">
        <v>3407</v>
      </c>
    </row>
    <row r="139" spans="1:5">
      <c r="A139" s="605" t="s">
        <v>3408</v>
      </c>
      <c r="B139" s="112" t="s">
        <v>3411</v>
      </c>
    </row>
    <row r="140" spans="1:5">
      <c r="A140" s="1551" t="s">
        <v>3409</v>
      </c>
      <c r="B140" s="942" t="s">
        <v>3412</v>
      </c>
    </row>
    <row r="141" spans="1:5" ht="13.5" thickBot="1">
      <c r="A141" s="1550" t="s">
        <v>3410</v>
      </c>
      <c r="B141" s="418" t="s">
        <v>3413</v>
      </c>
    </row>
    <row r="143" spans="1:5" ht="15.75" thickBot="1">
      <c r="A143" s="1582" t="s">
        <v>3429</v>
      </c>
    </row>
    <row r="144" spans="1:5" ht="13.5" thickBot="1">
      <c r="A144" s="4389" t="s">
        <v>3439</v>
      </c>
      <c r="B144" s="4390"/>
      <c r="C144" s="4390"/>
      <c r="D144" s="4390"/>
      <c r="E144" s="4391"/>
    </row>
    <row r="145" spans="1:6" s="931" customFormat="1">
      <c r="A145" s="1573" t="s">
        <v>3430</v>
      </c>
      <c r="B145" s="1574" t="s">
        <v>3436</v>
      </c>
      <c r="C145" s="1575"/>
      <c r="D145" s="1576" t="s">
        <v>3440</v>
      </c>
      <c r="E145" s="3255" t="s">
        <v>3441</v>
      </c>
      <c r="F145" s="3260" t="s">
        <v>5509</v>
      </c>
    </row>
    <row r="146" spans="1:6">
      <c r="A146" s="1570" t="s">
        <v>3432</v>
      </c>
      <c r="B146" s="4405" t="s">
        <v>5499</v>
      </c>
      <c r="C146" s="4406"/>
      <c r="D146" s="1569" t="s">
        <v>3437</v>
      </c>
      <c r="E146" s="3256">
        <v>445</v>
      </c>
      <c r="F146" s="3261" t="s">
        <v>5514</v>
      </c>
    </row>
    <row r="147" spans="1:6">
      <c r="A147" s="1570" t="s">
        <v>3433</v>
      </c>
      <c r="B147" s="4399" t="s">
        <v>5504</v>
      </c>
      <c r="C147" s="4400"/>
      <c r="D147" s="1569" t="s">
        <v>3435</v>
      </c>
      <c r="E147" s="3256">
        <v>2049</v>
      </c>
      <c r="F147" s="3261" t="s">
        <v>5515</v>
      </c>
    </row>
    <row r="148" spans="1:6">
      <c r="A148" s="4392" t="s">
        <v>3431</v>
      </c>
      <c r="B148" s="4393"/>
      <c r="C148" s="4393"/>
      <c r="D148" s="4393"/>
      <c r="E148" s="4394"/>
      <c r="F148" s="3261"/>
    </row>
    <row r="149" spans="1:6">
      <c r="A149" s="1570" t="s">
        <v>3432</v>
      </c>
      <c r="B149" s="4405" t="s">
        <v>5516</v>
      </c>
      <c r="C149" s="4406"/>
      <c r="D149" s="1569" t="s">
        <v>3434</v>
      </c>
      <c r="E149" s="3256">
        <v>445</v>
      </c>
      <c r="F149" s="3261" t="s">
        <v>5518</v>
      </c>
    </row>
    <row r="150" spans="1:6" s="931" customFormat="1" ht="13.5" thickBot="1">
      <c r="A150" s="1577" t="s">
        <v>3433</v>
      </c>
      <c r="B150" s="4401" t="s">
        <v>5517</v>
      </c>
      <c r="C150" s="4402"/>
      <c r="D150" s="1578" t="s">
        <v>3434</v>
      </c>
      <c r="E150" s="3257">
        <v>2049</v>
      </c>
      <c r="F150" s="3261" t="s">
        <v>5519</v>
      </c>
    </row>
    <row r="151" spans="1:6" ht="13.5" thickBot="1">
      <c r="A151" s="4389" t="s">
        <v>2636</v>
      </c>
      <c r="B151" s="4390"/>
      <c r="C151" s="4390"/>
      <c r="D151" s="4390"/>
      <c r="E151" s="4390"/>
      <c r="F151" s="3261"/>
    </row>
    <row r="152" spans="1:6">
      <c r="A152" s="1579" t="s">
        <v>3432</v>
      </c>
      <c r="B152" s="4403" t="s">
        <v>5500</v>
      </c>
      <c r="C152" s="4404"/>
      <c r="D152" s="1580" t="s">
        <v>3438</v>
      </c>
      <c r="E152" s="3258">
        <v>445</v>
      </c>
      <c r="F152" s="3261" t="s">
        <v>5510</v>
      </c>
    </row>
    <row r="153" spans="1:6" ht="13.5" thickBot="1">
      <c r="A153" s="1577" t="s">
        <v>3433</v>
      </c>
      <c r="B153" s="4401" t="s">
        <v>5505</v>
      </c>
      <c r="C153" s="4402"/>
      <c r="D153" s="1578" t="s">
        <v>3438</v>
      </c>
      <c r="E153" s="3257">
        <v>2049</v>
      </c>
      <c r="F153" s="3261" t="s">
        <v>5511</v>
      </c>
    </row>
    <row r="154" spans="1:6" s="931" customFormat="1" ht="13.5" thickBot="1">
      <c r="A154" s="4389" t="s">
        <v>59</v>
      </c>
      <c r="B154" s="4390"/>
      <c r="C154" s="4390"/>
      <c r="D154" s="4390"/>
      <c r="E154" s="4390"/>
      <c r="F154" s="3261"/>
    </row>
    <row r="155" spans="1:6" s="931" customFormat="1">
      <c r="A155" s="1581" t="s">
        <v>3432</v>
      </c>
      <c r="B155" s="4395" t="s">
        <v>5501</v>
      </c>
      <c r="C155" s="4396"/>
      <c r="D155" s="1580" t="s">
        <v>3438</v>
      </c>
      <c r="E155" s="3258">
        <v>445</v>
      </c>
      <c r="F155" s="3261" t="s">
        <v>5512</v>
      </c>
    </row>
    <row r="156" spans="1:6" s="931" customFormat="1" ht="13.5" thickBot="1">
      <c r="A156" s="1571" t="s">
        <v>3433</v>
      </c>
      <c r="B156" s="4397" t="s">
        <v>5506</v>
      </c>
      <c r="C156" s="4398"/>
      <c r="D156" s="1572" t="s">
        <v>3438</v>
      </c>
      <c r="E156" s="3259">
        <v>2049</v>
      </c>
      <c r="F156" s="3262" t="s">
        <v>5513</v>
      </c>
    </row>
    <row r="157" spans="1:6">
      <c r="A157" s="931"/>
      <c r="B157" s="931"/>
      <c r="C157" s="931"/>
      <c r="E157" s="931"/>
    </row>
    <row r="159" spans="1:6">
      <c r="A159" s="4199" t="s">
        <v>3887</v>
      </c>
      <c r="B159" s="4199"/>
      <c r="C159" s="4199"/>
    </row>
    <row r="160" spans="1:6" ht="15">
      <c r="A160" s="4200" t="s">
        <v>3881</v>
      </c>
      <c r="B160" s="4200"/>
      <c r="C160" s="2425" t="s">
        <v>3882</v>
      </c>
    </row>
    <row r="161" spans="1:3" ht="15">
      <c r="A161" s="4200" t="s">
        <v>3883</v>
      </c>
      <c r="B161" s="4200"/>
      <c r="C161" s="2425" t="s">
        <v>3884</v>
      </c>
    </row>
    <row r="162" spans="1:3" ht="15">
      <c r="A162" s="4200" t="s">
        <v>3885</v>
      </c>
      <c r="B162" s="4200"/>
      <c r="C162" s="2425" t="s">
        <v>3886</v>
      </c>
    </row>
  </sheetData>
  <mergeCells count="231">
    <mergeCell ref="A105:G105"/>
    <mergeCell ref="D106:D107"/>
    <mergeCell ref="E106:E107"/>
    <mergeCell ref="F106:F107"/>
    <mergeCell ref="G106:G109"/>
    <mergeCell ref="D108:D109"/>
    <mergeCell ref="E108:E109"/>
    <mergeCell ref="F108:F109"/>
    <mergeCell ref="B112:C112"/>
    <mergeCell ref="B113:C113"/>
    <mergeCell ref="B114:C114"/>
    <mergeCell ref="A116:D116"/>
    <mergeCell ref="A85:G85"/>
    <mergeCell ref="A95:G95"/>
    <mergeCell ref="A111:D111"/>
    <mergeCell ref="D96:D97"/>
    <mergeCell ref="E96:E97"/>
    <mergeCell ref="F96:F97"/>
    <mergeCell ref="G96:G99"/>
    <mergeCell ref="D98:D99"/>
    <mergeCell ref="E98:E99"/>
    <mergeCell ref="F98:F99"/>
    <mergeCell ref="D100:D101"/>
    <mergeCell ref="E100:E101"/>
    <mergeCell ref="F100:F101"/>
    <mergeCell ref="G100:G103"/>
    <mergeCell ref="D102:D103"/>
    <mergeCell ref="E102:E103"/>
    <mergeCell ref="F102:F103"/>
    <mergeCell ref="F92:F93"/>
    <mergeCell ref="G86:G89"/>
    <mergeCell ref="G90:G93"/>
    <mergeCell ref="F88:F89"/>
    <mergeCell ref="A144:E144"/>
    <mergeCell ref="A151:E151"/>
    <mergeCell ref="A154:E154"/>
    <mergeCell ref="A148:E148"/>
    <mergeCell ref="B155:C155"/>
    <mergeCell ref="B156:C156"/>
    <mergeCell ref="B147:C147"/>
    <mergeCell ref="B150:C150"/>
    <mergeCell ref="B152:C152"/>
    <mergeCell ref="B153:C153"/>
    <mergeCell ref="B146:C146"/>
    <mergeCell ref="B149:C149"/>
    <mergeCell ref="E83:E84"/>
    <mergeCell ref="G55:G56"/>
    <mergeCell ref="G67:G68"/>
    <mergeCell ref="G65:G66"/>
    <mergeCell ref="E61:E62"/>
    <mergeCell ref="E65:E66"/>
    <mergeCell ref="F69:F70"/>
    <mergeCell ref="F81:F82"/>
    <mergeCell ref="G81:G82"/>
    <mergeCell ref="F55:F56"/>
    <mergeCell ref="E79:E80"/>
    <mergeCell ref="E73:E74"/>
    <mergeCell ref="H27:H30"/>
    <mergeCell ref="H23:H24"/>
    <mergeCell ref="H31:H32"/>
    <mergeCell ref="D31:D32"/>
    <mergeCell ref="E43:E44"/>
    <mergeCell ref="F43:F44"/>
    <mergeCell ref="F57:F60"/>
    <mergeCell ref="G41:G44"/>
    <mergeCell ref="D41:D42"/>
    <mergeCell ref="D43:D44"/>
    <mergeCell ref="D49:D50"/>
    <mergeCell ref="E41:E42"/>
    <mergeCell ref="D53:D54"/>
    <mergeCell ref="D55:D56"/>
    <mergeCell ref="D57:D60"/>
    <mergeCell ref="E57:E60"/>
    <mergeCell ref="D45:D46"/>
    <mergeCell ref="D47:D48"/>
    <mergeCell ref="E45:E46"/>
    <mergeCell ref="E47:E48"/>
    <mergeCell ref="F45:F46"/>
    <mergeCell ref="G45:G46"/>
    <mergeCell ref="G53:G54"/>
    <mergeCell ref="E49:E50"/>
    <mergeCell ref="A1:M1"/>
    <mergeCell ref="G19:G22"/>
    <mergeCell ref="G3:G18"/>
    <mergeCell ref="D19:D20"/>
    <mergeCell ref="D21:D22"/>
    <mergeCell ref="H19:H20"/>
    <mergeCell ref="H21:H22"/>
    <mergeCell ref="D23:D24"/>
    <mergeCell ref="D25:D26"/>
    <mergeCell ref="F19:F20"/>
    <mergeCell ref="F21:F22"/>
    <mergeCell ref="E19:E20"/>
    <mergeCell ref="E21:E22"/>
    <mergeCell ref="E23:E24"/>
    <mergeCell ref="E25:E26"/>
    <mergeCell ref="I19:I20"/>
    <mergeCell ref="I21:I22"/>
    <mergeCell ref="I23:I24"/>
    <mergeCell ref="I25:I26"/>
    <mergeCell ref="H25:H26"/>
    <mergeCell ref="F90:F91"/>
    <mergeCell ref="F33:F34"/>
    <mergeCell ref="G23:G24"/>
    <mergeCell ref="G25:G26"/>
    <mergeCell ref="F27:F30"/>
    <mergeCell ref="G33:G34"/>
    <mergeCell ref="F23:F24"/>
    <mergeCell ref="F25:F26"/>
    <mergeCell ref="G27:G30"/>
    <mergeCell ref="F35:F36"/>
    <mergeCell ref="G35:G36"/>
    <mergeCell ref="F53:F54"/>
    <mergeCell ref="F83:F84"/>
    <mergeCell ref="G83:G84"/>
    <mergeCell ref="F73:F74"/>
    <mergeCell ref="F75:F76"/>
    <mergeCell ref="F31:F32"/>
    <mergeCell ref="G31:G32"/>
    <mergeCell ref="F47:F48"/>
    <mergeCell ref="G47:G48"/>
    <mergeCell ref="G57:G60"/>
    <mergeCell ref="F86:F87"/>
    <mergeCell ref="F49:F50"/>
    <mergeCell ref="G49:G50"/>
    <mergeCell ref="E27:E30"/>
    <mergeCell ref="E33:E34"/>
    <mergeCell ref="E35:E36"/>
    <mergeCell ref="E51:E52"/>
    <mergeCell ref="E53:E54"/>
    <mergeCell ref="E31:E32"/>
    <mergeCell ref="D69:D70"/>
    <mergeCell ref="D71:D72"/>
    <mergeCell ref="E71:E72"/>
    <mergeCell ref="D51:D52"/>
    <mergeCell ref="D61:D62"/>
    <mergeCell ref="D65:D66"/>
    <mergeCell ref="D67:D68"/>
    <mergeCell ref="E67:E68"/>
    <mergeCell ref="D63:D64"/>
    <mergeCell ref="D27:D30"/>
    <mergeCell ref="D77:D78"/>
    <mergeCell ref="D79:D80"/>
    <mergeCell ref="E63:E64"/>
    <mergeCell ref="E77:E78"/>
    <mergeCell ref="E75:E76"/>
    <mergeCell ref="E69:E70"/>
    <mergeCell ref="E55:E56"/>
    <mergeCell ref="D73:D74"/>
    <mergeCell ref="D75:D76"/>
    <mergeCell ref="H37:H38"/>
    <mergeCell ref="D37:D38"/>
    <mergeCell ref="D39:D40"/>
    <mergeCell ref="H33:H34"/>
    <mergeCell ref="H35:H36"/>
    <mergeCell ref="H67:H68"/>
    <mergeCell ref="H79:H80"/>
    <mergeCell ref="H81:H82"/>
    <mergeCell ref="H77:H78"/>
    <mergeCell ref="G71:G76"/>
    <mergeCell ref="H71:H76"/>
    <mergeCell ref="H69:H70"/>
    <mergeCell ref="F71:F72"/>
    <mergeCell ref="F37:F38"/>
    <mergeCell ref="G37:G38"/>
    <mergeCell ref="F39:F40"/>
    <mergeCell ref="G39:G40"/>
    <mergeCell ref="F41:F42"/>
    <mergeCell ref="F65:F66"/>
    <mergeCell ref="F67:F68"/>
    <mergeCell ref="F51:F52"/>
    <mergeCell ref="F79:F80"/>
    <mergeCell ref="G79:G80"/>
    <mergeCell ref="H49:H50"/>
    <mergeCell ref="I51:I52"/>
    <mergeCell ref="I53:I54"/>
    <mergeCell ref="I55:I56"/>
    <mergeCell ref="I57:I60"/>
    <mergeCell ref="I61:I64"/>
    <mergeCell ref="I65:I66"/>
    <mergeCell ref="I67:I68"/>
    <mergeCell ref="I69:I70"/>
    <mergeCell ref="D33:D34"/>
    <mergeCell ref="D35:D36"/>
    <mergeCell ref="E37:E38"/>
    <mergeCell ref="E39:E40"/>
    <mergeCell ref="H55:H56"/>
    <mergeCell ref="H65:H66"/>
    <mergeCell ref="H47:H48"/>
    <mergeCell ref="H51:H52"/>
    <mergeCell ref="H53:H54"/>
    <mergeCell ref="H39:H40"/>
    <mergeCell ref="H41:H44"/>
    <mergeCell ref="H45:H46"/>
    <mergeCell ref="H57:H60"/>
    <mergeCell ref="G61:G64"/>
    <mergeCell ref="F61:F64"/>
    <mergeCell ref="H61:H64"/>
    <mergeCell ref="I27:I30"/>
    <mergeCell ref="I31:I32"/>
    <mergeCell ref="I33:I34"/>
    <mergeCell ref="I35:I36"/>
    <mergeCell ref="I37:I38"/>
    <mergeCell ref="I39:I40"/>
    <mergeCell ref="I41:I44"/>
    <mergeCell ref="I45:I46"/>
    <mergeCell ref="I47:I48"/>
    <mergeCell ref="I49:I50"/>
    <mergeCell ref="A159:C159"/>
    <mergeCell ref="A160:B160"/>
    <mergeCell ref="A161:B161"/>
    <mergeCell ref="A162:B162"/>
    <mergeCell ref="I71:I76"/>
    <mergeCell ref="I77:I78"/>
    <mergeCell ref="I79:I80"/>
    <mergeCell ref="I81:I82"/>
    <mergeCell ref="I83:I84"/>
    <mergeCell ref="H83:H84"/>
    <mergeCell ref="F77:F78"/>
    <mergeCell ref="G77:G78"/>
    <mergeCell ref="D88:D89"/>
    <mergeCell ref="D81:D82"/>
    <mergeCell ref="E81:E82"/>
    <mergeCell ref="D90:D91"/>
    <mergeCell ref="D92:D93"/>
    <mergeCell ref="E86:E87"/>
    <mergeCell ref="E88:E89"/>
    <mergeCell ref="E90:E91"/>
    <mergeCell ref="E92:E93"/>
    <mergeCell ref="D86:D87"/>
    <mergeCell ref="D83:D84"/>
  </mergeCells>
  <pageMargins left="0.7" right="0.7" top="0.75" bottom="0.75" header="0.3" footer="0.3"/>
  <pageSetup paperSize="17" orientation="portrait"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5"/>
  <dimension ref="A1:M383"/>
  <sheetViews>
    <sheetView showGridLines="0" workbookViewId="0">
      <selection sqref="A1:M1"/>
    </sheetView>
  </sheetViews>
  <sheetFormatPr defaultRowHeight="12.75"/>
  <cols>
    <col min="1" max="1" width="22.7109375" bestFit="1" customWidth="1"/>
    <col min="2" max="2" width="19.140625" style="433" customWidth="1"/>
    <col min="3" max="3" width="18.42578125" customWidth="1"/>
    <col min="4" max="4" width="11.7109375" style="353" customWidth="1"/>
    <col min="5" max="5" width="11.28515625" customWidth="1"/>
    <col min="6" max="6" width="39" customWidth="1"/>
  </cols>
  <sheetData>
    <row r="1" spans="1:13" s="433" customFormat="1" ht="27" thickBot="1">
      <c r="A1" s="4425" t="s">
        <v>1959</v>
      </c>
      <c r="B1" s="4425"/>
      <c r="C1" s="4425"/>
      <c r="D1" s="4425"/>
      <c r="E1" s="4425"/>
      <c r="F1" s="4425"/>
      <c r="G1" s="4425"/>
      <c r="H1" s="4425"/>
      <c r="I1" s="4425"/>
      <c r="J1" s="4425"/>
      <c r="K1" s="4425"/>
      <c r="L1" s="4425"/>
      <c r="M1" s="4425"/>
    </row>
    <row r="2" spans="1:13" s="433" customFormat="1" ht="17.25" customHeight="1" thickBot="1">
      <c r="A2" s="634" t="s">
        <v>2183</v>
      </c>
      <c r="B2" s="634" t="s">
        <v>2184</v>
      </c>
      <c r="C2" s="634" t="s">
        <v>2185</v>
      </c>
      <c r="D2" s="635" t="s">
        <v>2186</v>
      </c>
      <c r="E2" s="616"/>
      <c r="F2" s="617"/>
      <c r="G2" s="617"/>
      <c r="H2" s="617"/>
      <c r="I2" s="617"/>
      <c r="J2" s="617"/>
      <c r="K2" s="617"/>
      <c r="L2" s="617"/>
      <c r="M2" s="618"/>
    </row>
    <row r="3" spans="1:13" ht="13.5" thickBot="1">
      <c r="A3" s="625" t="s">
        <v>2011</v>
      </c>
      <c r="B3" s="636" t="s">
        <v>2015</v>
      </c>
      <c r="C3" s="636" t="s">
        <v>44</v>
      </c>
      <c r="D3" s="638" t="e">
        <f>IF(VLOOKUP($A3,'Distributed Assets'!$V$28:$V$102,1,FALSE)=$A3,"Found","")</f>
        <v>#N/A</v>
      </c>
    </row>
    <row r="4" spans="1:13">
      <c r="A4" s="627" t="s">
        <v>1999</v>
      </c>
      <c r="B4" s="326" t="s">
        <v>2015</v>
      </c>
      <c r="C4" s="326" t="s">
        <v>44</v>
      </c>
      <c r="D4" s="639" t="e">
        <f>IF(VLOOKUP($A4,'Distributed Assets'!$V$28:$V$102,1,FALSE)=$A4,"Found","")</f>
        <v>#N/A</v>
      </c>
      <c r="F4" s="605" t="s">
        <v>2198</v>
      </c>
      <c r="G4" s="675" t="str">
        <f>IF(COUNTIF($D$3:$D$383,"Found")&gt;0,"YES", "No")</f>
        <v>No</v>
      </c>
    </row>
    <row r="5" spans="1:13" ht="13.5" thickBot="1">
      <c r="A5" s="627" t="s">
        <v>1979</v>
      </c>
      <c r="B5" s="326" t="s">
        <v>2015</v>
      </c>
      <c r="C5" s="326" t="s">
        <v>44</v>
      </c>
      <c r="D5" s="639" t="e">
        <f>IF(VLOOKUP($A5,'Distributed Assets'!$V$28:$V$102,1,FALSE)=$A5,"Found","")</f>
        <v>#N/A</v>
      </c>
      <c r="F5" s="676" t="s">
        <v>2199</v>
      </c>
      <c r="G5" s="677" t="str">
        <f>IF(COUNTIF($E$3:$E$383,"Found")&gt;0,"YES", "No")</f>
        <v>No</v>
      </c>
    </row>
    <row r="6" spans="1:13" ht="13.5" thickBot="1">
      <c r="A6" s="627" t="s">
        <v>1962</v>
      </c>
      <c r="B6" s="326" t="s">
        <v>2015</v>
      </c>
      <c r="C6" s="326" t="s">
        <v>44</v>
      </c>
      <c r="D6" s="639" t="e">
        <f>IF(VLOOKUP($A6,'Distributed Assets'!$V$28:$V$102,1,FALSE)=$A6,"Found","")</f>
        <v>#N/A</v>
      </c>
    </row>
    <row r="7" spans="1:13" ht="14.25" customHeight="1" thickBot="1">
      <c r="A7" s="627" t="s">
        <v>2005</v>
      </c>
      <c r="B7" s="326" t="s">
        <v>2015</v>
      </c>
      <c r="C7" s="326" t="s">
        <v>44</v>
      </c>
      <c r="D7" s="639" t="e">
        <f>IF(VLOOKUP($A7,'Distributed Assets'!$V$28:$V$102,1,FALSE)=$A7,"Found","")</f>
        <v>#N/A</v>
      </c>
      <c r="F7" s="678" t="str">
        <f>IF(OR($G$4="YES",$G$5="Yes"),"Admin Simp found in this LBoM"," Admin Simp not found")</f>
        <v xml:space="preserve"> Admin Simp not found</v>
      </c>
    </row>
    <row r="8" spans="1:13">
      <c r="A8" s="627" t="s">
        <v>2000</v>
      </c>
      <c r="B8" s="326" t="s">
        <v>2015</v>
      </c>
      <c r="C8" s="326" t="s">
        <v>44</v>
      </c>
      <c r="D8" s="639" t="e">
        <f>IF(VLOOKUP($A8,'Distributed Assets'!$V$28:$V$102,1,FALSE)=$A8,"Found","")</f>
        <v>#N/A</v>
      </c>
    </row>
    <row r="9" spans="1:13">
      <c r="A9" s="627" t="s">
        <v>1971</v>
      </c>
      <c r="B9" s="326" t="s">
        <v>2015</v>
      </c>
      <c r="C9" s="326" t="s">
        <v>44</v>
      </c>
      <c r="D9" s="639" t="e">
        <f>IF(VLOOKUP($A9,'Distributed Assets'!$V$28:$V$102,1,FALSE)=$A9,"Found","")</f>
        <v>#N/A</v>
      </c>
    </row>
    <row r="10" spans="1:13">
      <c r="A10" s="627" t="s">
        <v>1982</v>
      </c>
      <c r="B10" s="326" t="s">
        <v>2015</v>
      </c>
      <c r="C10" s="326" t="s">
        <v>44</v>
      </c>
      <c r="D10" s="639" t="e">
        <f>IF(VLOOKUP($A10,'Distributed Assets'!$V$28:$V$102,1,FALSE)=$A10,"Found","")</f>
        <v>#N/A</v>
      </c>
    </row>
    <row r="11" spans="1:13">
      <c r="A11" s="627" t="s">
        <v>1983</v>
      </c>
      <c r="B11" s="326" t="s">
        <v>2015</v>
      </c>
      <c r="C11" s="326" t="s">
        <v>44</v>
      </c>
      <c r="D11" s="639" t="e">
        <f>IF(VLOOKUP($A11,'Distributed Assets'!$V$28:$V$102,1,FALSE)=$A11,"Found","")</f>
        <v>#N/A</v>
      </c>
    </row>
    <row r="12" spans="1:13">
      <c r="A12" s="309" t="s">
        <v>1961</v>
      </c>
      <c r="B12" s="326" t="s">
        <v>2015</v>
      </c>
      <c r="C12" s="326" t="s">
        <v>44</v>
      </c>
      <c r="D12" s="639" t="e">
        <f>IF(VLOOKUP($A12,'Distributed Assets'!$V$28:$V$102,1,FALSE)=$A12,"Found","")</f>
        <v>#N/A</v>
      </c>
    </row>
    <row r="13" spans="1:13">
      <c r="A13" s="627" t="s">
        <v>1985</v>
      </c>
      <c r="B13" s="326" t="s">
        <v>2015</v>
      </c>
      <c r="C13" s="326" t="s">
        <v>44</v>
      </c>
      <c r="D13" s="639" t="e">
        <f>IF(VLOOKUP($A13,'Distributed Assets'!$V$28:$V$102,1,FALSE)=$A13,"Found","")</f>
        <v>#N/A</v>
      </c>
    </row>
    <row r="14" spans="1:13">
      <c r="A14" s="627" t="s">
        <v>1970</v>
      </c>
      <c r="B14" s="326" t="s">
        <v>2015</v>
      </c>
      <c r="C14" s="326" t="s">
        <v>44</v>
      </c>
      <c r="D14" s="639" t="e">
        <f>IF(VLOOKUP($A14,'Distributed Assets'!$V$28:$V$102,1,FALSE)=$A14,"Found","")</f>
        <v>#N/A</v>
      </c>
    </row>
    <row r="15" spans="1:13">
      <c r="A15" s="627" t="s">
        <v>1968</v>
      </c>
      <c r="B15" s="326" t="s">
        <v>2015</v>
      </c>
      <c r="C15" s="326" t="s">
        <v>44</v>
      </c>
      <c r="D15" s="639" t="e">
        <f>IF(VLOOKUP($A15,'Distributed Assets'!$V$28:$V$102,1,FALSE)=$A15,"Found","")</f>
        <v>#N/A</v>
      </c>
    </row>
    <row r="16" spans="1:13">
      <c r="A16" s="627" t="s">
        <v>1991</v>
      </c>
      <c r="B16" s="326" t="s">
        <v>2015</v>
      </c>
      <c r="C16" s="326" t="s">
        <v>44</v>
      </c>
      <c r="D16" s="639" t="e">
        <f>IF(VLOOKUP($A16,'Distributed Assets'!$V$28:$V$102,1,FALSE)=$A16,"Found","")</f>
        <v>#N/A</v>
      </c>
    </row>
    <row r="17" spans="1:4">
      <c r="A17" s="627" t="s">
        <v>2007</v>
      </c>
      <c r="B17" s="326" t="s">
        <v>2015</v>
      </c>
      <c r="C17" s="326" t="s">
        <v>44</v>
      </c>
      <c r="D17" s="639" t="e">
        <f>IF(VLOOKUP($A17,'Distributed Assets'!$V$28:$V$102,1,FALSE)=$A17,"Found","")</f>
        <v>#N/A</v>
      </c>
    </row>
    <row r="18" spans="1:4">
      <c r="A18" s="627" t="s">
        <v>1965</v>
      </c>
      <c r="B18" s="326" t="s">
        <v>2015</v>
      </c>
      <c r="C18" s="326" t="s">
        <v>44</v>
      </c>
      <c r="D18" s="639" t="e">
        <f>IF(VLOOKUP($A18,'Distributed Assets'!$V$28:$V$102,1,FALSE)=$A18,"Found","")</f>
        <v>#N/A</v>
      </c>
    </row>
    <row r="19" spans="1:4">
      <c r="A19" s="627" t="s">
        <v>2013</v>
      </c>
      <c r="B19" s="326" t="s">
        <v>2015</v>
      </c>
      <c r="C19" s="326" t="s">
        <v>44</v>
      </c>
      <c r="D19" s="639" t="e">
        <f>IF(VLOOKUP($A19,'Distributed Assets'!$V$28:$V$102,1,FALSE)=$A19,"Found","")</f>
        <v>#N/A</v>
      </c>
    </row>
    <row r="20" spans="1:4">
      <c r="A20" s="627" t="s">
        <v>2002</v>
      </c>
      <c r="B20" s="326" t="s">
        <v>2015</v>
      </c>
      <c r="C20" s="326" t="s">
        <v>44</v>
      </c>
      <c r="D20" s="639" t="e">
        <f>IF(VLOOKUP($A20,'Distributed Assets'!$V$28:$V$102,1,FALSE)=$A20,"Found","")</f>
        <v>#N/A</v>
      </c>
    </row>
    <row r="21" spans="1:4">
      <c r="A21" s="627" t="s">
        <v>392</v>
      </c>
      <c r="B21" s="326" t="s">
        <v>2015</v>
      </c>
      <c r="C21" s="326" t="s">
        <v>44</v>
      </c>
      <c r="D21" s="639" t="e">
        <f>IF(VLOOKUP($A21,'Distributed Assets'!$V$28:$V$102,1,FALSE)=$A21,"Found","")</f>
        <v>#N/A</v>
      </c>
    </row>
    <row r="22" spans="1:4">
      <c r="A22" s="627" t="s">
        <v>393</v>
      </c>
      <c r="B22" s="326" t="s">
        <v>2015</v>
      </c>
      <c r="C22" s="326" t="s">
        <v>44</v>
      </c>
      <c r="D22" s="639" t="e">
        <f>IF(VLOOKUP($A22,'Distributed Assets'!$V$28:$V$102,1,FALSE)=$A22,"Found","")</f>
        <v>#N/A</v>
      </c>
    </row>
    <row r="23" spans="1:4">
      <c r="A23" s="627" t="s">
        <v>1967</v>
      </c>
      <c r="B23" s="326" t="s">
        <v>2015</v>
      </c>
      <c r="C23" s="326" t="s">
        <v>44</v>
      </c>
      <c r="D23" s="639" t="e">
        <f>IF(VLOOKUP($A23,'Distributed Assets'!$V$28:$V$102,1,FALSE)=$A23,"Found","")</f>
        <v>#N/A</v>
      </c>
    </row>
    <row r="24" spans="1:4">
      <c r="A24" s="627" t="s">
        <v>1989</v>
      </c>
      <c r="B24" s="326" t="s">
        <v>2015</v>
      </c>
      <c r="C24" s="326" t="s">
        <v>44</v>
      </c>
      <c r="D24" s="639" t="e">
        <f>IF(VLOOKUP($A24,'Distributed Assets'!$V$28:$V$102,1,FALSE)=$A24,"Found","")</f>
        <v>#N/A</v>
      </c>
    </row>
    <row r="25" spans="1:4">
      <c r="A25" s="627" t="s">
        <v>2010</v>
      </c>
      <c r="B25" s="326" t="s">
        <v>2015</v>
      </c>
      <c r="C25" s="326" t="s">
        <v>44</v>
      </c>
      <c r="D25" s="639" t="e">
        <f>IF(VLOOKUP($A25,'Distributed Assets'!$V$28:$V$102,1,FALSE)=$A25,"Found","")</f>
        <v>#N/A</v>
      </c>
    </row>
    <row r="26" spans="1:4">
      <c r="A26" s="627" t="s">
        <v>1995</v>
      </c>
      <c r="B26" s="326" t="s">
        <v>2015</v>
      </c>
      <c r="C26" s="326" t="s">
        <v>44</v>
      </c>
      <c r="D26" s="639" t="e">
        <f>IF(VLOOKUP($A26,'Distributed Assets'!$V$28:$V$102,1,FALSE)=$A26,"Found","")</f>
        <v>#N/A</v>
      </c>
    </row>
    <row r="27" spans="1:4">
      <c r="A27" s="627" t="s">
        <v>1998</v>
      </c>
      <c r="B27" s="326" t="s">
        <v>2015</v>
      </c>
      <c r="C27" s="326" t="s">
        <v>44</v>
      </c>
      <c r="D27" s="639" t="e">
        <f>IF(VLOOKUP($A27,'Distributed Assets'!$V$28:$V$102,1,FALSE)=$A27,"Found","")</f>
        <v>#N/A</v>
      </c>
    </row>
    <row r="28" spans="1:4">
      <c r="A28" s="627" t="s">
        <v>1984</v>
      </c>
      <c r="B28" s="326" t="s">
        <v>2015</v>
      </c>
      <c r="C28" s="326" t="s">
        <v>44</v>
      </c>
      <c r="D28" s="639" t="e">
        <f>IF(VLOOKUP($A28,'Distributed Assets'!$V$28:$V$102,1,FALSE)=$A28,"Found","")</f>
        <v>#N/A</v>
      </c>
    </row>
    <row r="29" spans="1:4">
      <c r="A29" s="627" t="s">
        <v>1964</v>
      </c>
      <c r="B29" s="326" t="s">
        <v>2015</v>
      </c>
      <c r="C29" s="326" t="s">
        <v>44</v>
      </c>
      <c r="D29" s="639" t="e">
        <f>IF(VLOOKUP($A29,'Distributed Assets'!$V$28:$V$102,1,FALSE)=$A29,"Found","")</f>
        <v>#N/A</v>
      </c>
    </row>
    <row r="30" spans="1:4">
      <c r="A30" s="627" t="s">
        <v>394</v>
      </c>
      <c r="B30" s="326" t="s">
        <v>2015</v>
      </c>
      <c r="C30" s="326" t="s">
        <v>44</v>
      </c>
      <c r="D30" s="639" t="e">
        <f>IF(VLOOKUP($A30,'Distributed Assets'!$V$28:$V$102,1,FALSE)=$A30,"Found","")</f>
        <v>#N/A</v>
      </c>
    </row>
    <row r="31" spans="1:4">
      <c r="A31" s="627" t="s">
        <v>401</v>
      </c>
      <c r="B31" s="326" t="s">
        <v>2015</v>
      </c>
      <c r="C31" s="326" t="s">
        <v>44</v>
      </c>
      <c r="D31" s="639" t="e">
        <f>IF(VLOOKUP($A31,'Distributed Assets'!$V$28:$V$102,1,FALSE)=$A31,"Found","")</f>
        <v>#N/A</v>
      </c>
    </row>
    <row r="32" spans="1:4">
      <c r="A32" s="627" t="s">
        <v>399</v>
      </c>
      <c r="B32" s="326" t="s">
        <v>2015</v>
      </c>
      <c r="C32" s="326" t="s">
        <v>44</v>
      </c>
      <c r="D32" s="639" t="e">
        <f>IF(VLOOKUP($A32,'Distributed Assets'!$V$28:$V$102,1,FALSE)=$A32,"Found","")</f>
        <v>#N/A</v>
      </c>
    </row>
    <row r="33" spans="1:4">
      <c r="A33" s="627" t="s">
        <v>400</v>
      </c>
      <c r="B33" s="326" t="s">
        <v>2015</v>
      </c>
      <c r="C33" s="326" t="s">
        <v>44</v>
      </c>
      <c r="D33" s="639" t="e">
        <f>IF(VLOOKUP($A33,'Distributed Assets'!$V$28:$V$102,1,FALSE)=$A33,"Found","")</f>
        <v>#N/A</v>
      </c>
    </row>
    <row r="34" spans="1:4">
      <c r="A34" s="627" t="s">
        <v>402</v>
      </c>
      <c r="B34" s="326" t="s">
        <v>2015</v>
      </c>
      <c r="C34" s="326" t="s">
        <v>44</v>
      </c>
      <c r="D34" s="639" t="e">
        <f>IF(VLOOKUP($A34,'Distributed Assets'!$V$28:$V$102,1,FALSE)=$A34,"Found","")</f>
        <v>#N/A</v>
      </c>
    </row>
    <row r="35" spans="1:4">
      <c r="A35" s="627" t="s">
        <v>403</v>
      </c>
      <c r="B35" s="326" t="s">
        <v>2015</v>
      </c>
      <c r="C35" s="326" t="s">
        <v>44</v>
      </c>
      <c r="D35" s="639" t="e">
        <f>IF(VLOOKUP($A35,'Distributed Assets'!$V$28:$V$102,1,FALSE)=$A35,"Found","")</f>
        <v>#N/A</v>
      </c>
    </row>
    <row r="36" spans="1:4">
      <c r="A36" s="627" t="s">
        <v>1988</v>
      </c>
      <c r="B36" s="326" t="s">
        <v>2015</v>
      </c>
      <c r="C36" s="326" t="s">
        <v>44</v>
      </c>
      <c r="D36" s="639" t="e">
        <f>IF(VLOOKUP($A36,'Distributed Assets'!$V$28:$V$102,1,FALSE)=$A36,"Found","")</f>
        <v>#N/A</v>
      </c>
    </row>
    <row r="37" spans="1:4">
      <c r="A37" s="627" t="s">
        <v>2004</v>
      </c>
      <c r="B37" s="326" t="s">
        <v>2015</v>
      </c>
      <c r="C37" s="326" t="s">
        <v>44</v>
      </c>
      <c r="D37" s="639" t="e">
        <f>IF(VLOOKUP($A37,'Distributed Assets'!$V$28:$V$102,1,FALSE)=$A37,"Found","")</f>
        <v>#N/A</v>
      </c>
    </row>
    <row r="38" spans="1:4">
      <c r="A38" s="627" t="s">
        <v>1972</v>
      </c>
      <c r="B38" s="326" t="s">
        <v>2015</v>
      </c>
      <c r="C38" s="326" t="s">
        <v>44</v>
      </c>
      <c r="D38" s="639" t="e">
        <f>IF(VLOOKUP($A38,'Distributed Assets'!$V$28:$V$102,1,FALSE)=$A38,"Found","")</f>
        <v>#N/A</v>
      </c>
    </row>
    <row r="39" spans="1:4">
      <c r="A39" s="627" t="s">
        <v>1963</v>
      </c>
      <c r="B39" s="326" t="s">
        <v>2015</v>
      </c>
      <c r="C39" s="326" t="s">
        <v>44</v>
      </c>
      <c r="D39" s="639" t="e">
        <f>IF(VLOOKUP($A39,'Distributed Assets'!$V$28:$V$102,1,FALSE)=$A39,"Found","")</f>
        <v>#N/A</v>
      </c>
    </row>
    <row r="40" spans="1:4">
      <c r="A40" s="627" t="s">
        <v>2003</v>
      </c>
      <c r="B40" s="326" t="s">
        <v>2015</v>
      </c>
      <c r="C40" s="326" t="s">
        <v>44</v>
      </c>
      <c r="D40" s="639" t="e">
        <f>IF(VLOOKUP($A40,'Distributed Assets'!$V$28:$V$102,1,FALSE)=$A40,"Found","")</f>
        <v>#N/A</v>
      </c>
    </row>
    <row r="41" spans="1:4">
      <c r="A41" s="627" t="s">
        <v>2006</v>
      </c>
      <c r="B41" s="326" t="s">
        <v>2015</v>
      </c>
      <c r="C41" s="326" t="s">
        <v>44</v>
      </c>
      <c r="D41" s="639" t="e">
        <f>IF(VLOOKUP($A41,'Distributed Assets'!$V$28:$V$102,1,FALSE)=$A41,"Found","")</f>
        <v>#N/A</v>
      </c>
    </row>
    <row r="42" spans="1:4">
      <c r="A42" s="627" t="s">
        <v>1976</v>
      </c>
      <c r="B42" s="326" t="s">
        <v>2015</v>
      </c>
      <c r="C42" s="326" t="s">
        <v>44</v>
      </c>
      <c r="D42" s="639" t="e">
        <f>IF(VLOOKUP($A42,'Distributed Assets'!$V$28:$V$102,1,FALSE)=$A42,"Found","")</f>
        <v>#N/A</v>
      </c>
    </row>
    <row r="43" spans="1:4">
      <c r="A43" s="627" t="s">
        <v>395</v>
      </c>
      <c r="B43" s="326" t="s">
        <v>2015</v>
      </c>
      <c r="C43" s="326" t="s">
        <v>44</v>
      </c>
      <c r="D43" s="639" t="e">
        <f>IF(VLOOKUP($A43,'Distributed Assets'!$V$28:$V$102,1,FALSE)=$A43,"Found","")</f>
        <v>#N/A</v>
      </c>
    </row>
    <row r="44" spans="1:4">
      <c r="A44" s="627" t="s">
        <v>1990</v>
      </c>
      <c r="B44" s="326" t="s">
        <v>2015</v>
      </c>
      <c r="C44" s="326" t="s">
        <v>44</v>
      </c>
      <c r="D44" s="639" t="e">
        <f>IF(VLOOKUP($A44,'Distributed Assets'!$V$28:$V$102,1,FALSE)=$A44,"Found","")</f>
        <v>#N/A</v>
      </c>
    </row>
    <row r="45" spans="1:4">
      <c r="A45" s="627" t="s">
        <v>1997</v>
      </c>
      <c r="B45" s="326" t="s">
        <v>2015</v>
      </c>
      <c r="C45" s="326" t="s">
        <v>44</v>
      </c>
      <c r="D45" s="639" t="e">
        <f>IF(VLOOKUP($A45,'Distributed Assets'!$V$28:$V$102,1,FALSE)=$A45,"Found","")</f>
        <v>#N/A</v>
      </c>
    </row>
    <row r="46" spans="1:4">
      <c r="A46" s="627" t="s">
        <v>2014</v>
      </c>
      <c r="B46" s="326" t="s">
        <v>2015</v>
      </c>
      <c r="C46" s="326" t="s">
        <v>44</v>
      </c>
      <c r="D46" s="639" t="e">
        <f>IF(VLOOKUP($A46,'Distributed Assets'!$V$28:$V$102,1,FALSE)=$A46,"Found","")</f>
        <v>#N/A</v>
      </c>
    </row>
    <row r="47" spans="1:4">
      <c r="A47" s="627" t="s">
        <v>1966</v>
      </c>
      <c r="B47" s="326" t="s">
        <v>2015</v>
      </c>
      <c r="C47" s="326" t="s">
        <v>44</v>
      </c>
      <c r="D47" s="639" t="e">
        <f>IF(VLOOKUP($A47,'Distributed Assets'!$V$28:$V$102,1,FALSE)=$A47,"Found","")</f>
        <v>#N/A</v>
      </c>
    </row>
    <row r="48" spans="1:4">
      <c r="A48" s="627" t="s">
        <v>627</v>
      </c>
      <c r="B48" s="326" t="s">
        <v>2015</v>
      </c>
      <c r="C48" s="326" t="s">
        <v>44</v>
      </c>
      <c r="D48" s="639" t="e">
        <f>IF(VLOOKUP($A48,'Distributed Assets'!$V$28:$V$102,1,FALSE)=$A48,"Found","")</f>
        <v>#N/A</v>
      </c>
    </row>
    <row r="49" spans="1:4">
      <c r="A49" s="627" t="s">
        <v>628</v>
      </c>
      <c r="B49" s="326" t="s">
        <v>2015</v>
      </c>
      <c r="C49" s="326" t="s">
        <v>44</v>
      </c>
      <c r="D49" s="639" t="e">
        <f>IF(VLOOKUP($A49,'Distributed Assets'!$V$28:$V$102,1,FALSE)=$A49,"Found","")</f>
        <v>#N/A</v>
      </c>
    </row>
    <row r="50" spans="1:4">
      <c r="A50" s="627" t="s">
        <v>397</v>
      </c>
      <c r="B50" s="326" t="s">
        <v>2015</v>
      </c>
      <c r="C50" s="326" t="s">
        <v>44</v>
      </c>
      <c r="D50" s="639" t="e">
        <f>IF(VLOOKUP($A50,'Distributed Assets'!$V$28:$V$102,1,FALSE)=$A50,"Found","")</f>
        <v>#N/A</v>
      </c>
    </row>
    <row r="51" spans="1:4">
      <c r="A51" s="627" t="s">
        <v>398</v>
      </c>
      <c r="B51" s="326" t="s">
        <v>2015</v>
      </c>
      <c r="C51" s="326" t="s">
        <v>44</v>
      </c>
      <c r="D51" s="639" t="e">
        <f>IF(VLOOKUP($A51,'Distributed Assets'!$V$28:$V$102,1,FALSE)=$A51,"Found","")</f>
        <v>#N/A</v>
      </c>
    </row>
    <row r="52" spans="1:4">
      <c r="A52" s="627" t="s">
        <v>624</v>
      </c>
      <c r="B52" s="326" t="s">
        <v>2015</v>
      </c>
      <c r="C52" s="326" t="s">
        <v>44</v>
      </c>
      <c r="D52" s="639" t="e">
        <f>IF(VLOOKUP($A52,'Distributed Assets'!$V$28:$V$102,1,FALSE)=$A52,"Found","")</f>
        <v>#N/A</v>
      </c>
    </row>
    <row r="53" spans="1:4">
      <c r="A53" s="627" t="s">
        <v>623</v>
      </c>
      <c r="B53" s="326" t="s">
        <v>2015</v>
      </c>
      <c r="C53" s="326" t="s">
        <v>44</v>
      </c>
      <c r="D53" s="639" t="e">
        <f>IF(VLOOKUP($A53,'Distributed Assets'!$V$28:$V$102,1,FALSE)=$A53,"Found","")</f>
        <v>#N/A</v>
      </c>
    </row>
    <row r="54" spans="1:4">
      <c r="A54" s="627" t="s">
        <v>618</v>
      </c>
      <c r="B54" s="326" t="s">
        <v>2015</v>
      </c>
      <c r="C54" s="326" t="s">
        <v>44</v>
      </c>
      <c r="D54" s="639" t="e">
        <f>IF(VLOOKUP($A54,'Distributed Assets'!$V$28:$V$102,1,FALSE)=$A54,"Found","")</f>
        <v>#N/A</v>
      </c>
    </row>
    <row r="55" spans="1:4">
      <c r="A55" s="627" t="s">
        <v>619</v>
      </c>
      <c r="B55" s="326" t="s">
        <v>2015</v>
      </c>
      <c r="C55" s="326" t="s">
        <v>44</v>
      </c>
      <c r="D55" s="639" t="e">
        <f>IF(VLOOKUP($A55,'Distributed Assets'!$V$28:$V$102,1,FALSE)=$A55,"Found","")</f>
        <v>#N/A</v>
      </c>
    </row>
    <row r="56" spans="1:4">
      <c r="A56" s="627" t="s">
        <v>620</v>
      </c>
      <c r="B56" s="326" t="s">
        <v>2015</v>
      </c>
      <c r="C56" s="326" t="s">
        <v>44</v>
      </c>
      <c r="D56" s="639" t="e">
        <f>IF(VLOOKUP($A56,'Distributed Assets'!$V$28:$V$102,1,FALSE)=$A56,"Found","")</f>
        <v>#N/A</v>
      </c>
    </row>
    <row r="57" spans="1:4">
      <c r="A57" s="627" t="s">
        <v>621</v>
      </c>
      <c r="B57" s="326" t="s">
        <v>2015</v>
      </c>
      <c r="C57" s="326" t="s">
        <v>44</v>
      </c>
      <c r="D57" s="639" t="e">
        <f>IF(VLOOKUP($A57,'Distributed Assets'!$V$28:$V$102,1,FALSE)=$A57,"Found","")</f>
        <v>#N/A</v>
      </c>
    </row>
    <row r="58" spans="1:4">
      <c r="A58" s="627" t="s">
        <v>410</v>
      </c>
      <c r="B58" s="326" t="s">
        <v>2015</v>
      </c>
      <c r="C58" s="326" t="s">
        <v>44</v>
      </c>
      <c r="D58" s="639" t="e">
        <f>IF(VLOOKUP($A58,'Distributed Assets'!$V$28:$V$102,1,FALSE)=$A58,"Found","")</f>
        <v>#N/A</v>
      </c>
    </row>
    <row r="59" spans="1:4">
      <c r="A59" s="627" t="s">
        <v>411</v>
      </c>
      <c r="B59" s="326" t="s">
        <v>2015</v>
      </c>
      <c r="C59" s="326" t="s">
        <v>44</v>
      </c>
      <c r="D59" s="639" t="e">
        <f>IF(VLOOKUP($A59,'Distributed Assets'!$V$28:$V$102,1,FALSE)=$A59,"Found","")</f>
        <v>#N/A</v>
      </c>
    </row>
    <row r="60" spans="1:4">
      <c r="A60" s="627" t="s">
        <v>412</v>
      </c>
      <c r="B60" s="326" t="s">
        <v>2015</v>
      </c>
      <c r="C60" s="326" t="s">
        <v>44</v>
      </c>
      <c r="D60" s="639" t="e">
        <f>IF(VLOOKUP($A60,'Distributed Assets'!$V$28:$V$102,1,FALSE)=$A60,"Found","")</f>
        <v>#N/A</v>
      </c>
    </row>
    <row r="61" spans="1:4">
      <c r="A61" s="627" t="s">
        <v>413</v>
      </c>
      <c r="B61" s="326" t="s">
        <v>2015</v>
      </c>
      <c r="C61" s="326" t="s">
        <v>44</v>
      </c>
      <c r="D61" s="639" t="e">
        <f>IF(VLOOKUP($A61,'Distributed Assets'!$V$28:$V$102,1,FALSE)=$A61,"Found","")</f>
        <v>#N/A</v>
      </c>
    </row>
    <row r="62" spans="1:4">
      <c r="A62" s="627" t="s">
        <v>406</v>
      </c>
      <c r="B62" s="326" t="s">
        <v>2015</v>
      </c>
      <c r="C62" s="326" t="s">
        <v>44</v>
      </c>
      <c r="D62" s="639" t="e">
        <f>IF(VLOOKUP($A62,'Distributed Assets'!$V$28:$V$102,1,FALSE)=$A62,"Found","")</f>
        <v>#N/A</v>
      </c>
    </row>
    <row r="63" spans="1:4">
      <c r="A63" s="627" t="s">
        <v>407</v>
      </c>
      <c r="B63" s="326" t="s">
        <v>2015</v>
      </c>
      <c r="C63" s="326" t="s">
        <v>44</v>
      </c>
      <c r="D63" s="639" t="e">
        <f>IF(VLOOKUP($A63,'Distributed Assets'!$V$28:$V$102,1,FALSE)=$A63,"Found","")</f>
        <v>#N/A</v>
      </c>
    </row>
    <row r="64" spans="1:4">
      <c r="A64" s="627" t="s">
        <v>1992</v>
      </c>
      <c r="B64" s="326" t="s">
        <v>2015</v>
      </c>
      <c r="C64" s="326" t="s">
        <v>44</v>
      </c>
      <c r="D64" s="639" t="e">
        <f>IF(VLOOKUP($A64,'Distributed Assets'!$V$28:$V$102,1,FALSE)=$A64,"Found","")</f>
        <v>#N/A</v>
      </c>
    </row>
    <row r="65" spans="1:4">
      <c r="A65" s="309" t="s">
        <v>1960</v>
      </c>
      <c r="B65" s="326" t="s">
        <v>2015</v>
      </c>
      <c r="C65" s="326" t="s">
        <v>44</v>
      </c>
      <c r="D65" s="639" t="e">
        <f>IF(VLOOKUP($A65,'Distributed Assets'!$V$28:$V$102,1,FALSE)=$A65,"Found","")</f>
        <v>#N/A</v>
      </c>
    </row>
    <row r="66" spans="1:4">
      <c r="A66" s="627" t="s">
        <v>1980</v>
      </c>
      <c r="B66" s="326" t="s">
        <v>2015</v>
      </c>
      <c r="C66" s="326" t="s">
        <v>44</v>
      </c>
      <c r="D66" s="639" t="e">
        <f>IF(VLOOKUP($A66,'Distributed Assets'!$V$28:$V$102,1,FALSE)=$A66,"Found","")</f>
        <v>#N/A</v>
      </c>
    </row>
    <row r="67" spans="1:4">
      <c r="A67" s="627" t="s">
        <v>622</v>
      </c>
      <c r="B67" s="326" t="s">
        <v>2015</v>
      </c>
      <c r="C67" s="326" t="s">
        <v>44</v>
      </c>
      <c r="D67" s="639" t="e">
        <f>IF(VLOOKUP($A67,'Distributed Assets'!$V$28:$V$102,1,FALSE)=$A67,"Found","")</f>
        <v>#N/A</v>
      </c>
    </row>
    <row r="68" spans="1:4">
      <c r="A68" s="627" t="s">
        <v>625</v>
      </c>
      <c r="B68" s="326" t="s">
        <v>2015</v>
      </c>
      <c r="C68" s="326" t="s">
        <v>44</v>
      </c>
      <c r="D68" s="639" t="e">
        <f>IF(VLOOKUP($A68,'Distributed Assets'!$V$28:$V$102,1,FALSE)=$A68,"Found","")</f>
        <v>#N/A</v>
      </c>
    </row>
    <row r="69" spans="1:4">
      <c r="A69" s="627" t="s">
        <v>626</v>
      </c>
      <c r="B69" s="326" t="s">
        <v>2015</v>
      </c>
      <c r="C69" s="326" t="s">
        <v>44</v>
      </c>
      <c r="D69" s="639" t="e">
        <f>IF(VLOOKUP($A69,'Distributed Assets'!$V$28:$V$102,1,FALSE)=$A69,"Found","")</f>
        <v>#N/A</v>
      </c>
    </row>
    <row r="70" spans="1:4">
      <c r="A70" s="627" t="s">
        <v>1977</v>
      </c>
      <c r="B70" s="326" t="s">
        <v>2015</v>
      </c>
      <c r="C70" s="326" t="s">
        <v>44</v>
      </c>
      <c r="D70" s="639" t="e">
        <f>IF(VLOOKUP($A70,'Distributed Assets'!$V$28:$V$102,1,FALSE)=$A70,"Found","")</f>
        <v>#N/A</v>
      </c>
    </row>
    <row r="71" spans="1:4">
      <c r="A71" s="627" t="s">
        <v>1996</v>
      </c>
      <c r="B71" s="326" t="s">
        <v>2015</v>
      </c>
      <c r="C71" s="326" t="s">
        <v>44</v>
      </c>
      <c r="D71" s="639" t="e">
        <f>IF(VLOOKUP($A71,'Distributed Assets'!$V$28:$V$102,1,FALSE)=$A71,"Found","")</f>
        <v>#N/A</v>
      </c>
    </row>
    <row r="72" spans="1:4">
      <c r="A72" s="627" t="s">
        <v>614</v>
      </c>
      <c r="B72" s="326" t="s">
        <v>2015</v>
      </c>
      <c r="C72" s="326" t="s">
        <v>44</v>
      </c>
      <c r="D72" s="639" t="e">
        <f>IF(VLOOKUP($A72,'Distributed Assets'!$V$28:$V$102,1,FALSE)=$A72,"Found","")</f>
        <v>#N/A</v>
      </c>
    </row>
    <row r="73" spans="1:4">
      <c r="A73" s="627" t="s">
        <v>615</v>
      </c>
      <c r="B73" s="326" t="s">
        <v>2015</v>
      </c>
      <c r="C73" s="326" t="s">
        <v>44</v>
      </c>
      <c r="D73" s="639" t="e">
        <f>IF(VLOOKUP($A73,'Distributed Assets'!$V$28:$V$102,1,FALSE)=$A73,"Found","")</f>
        <v>#N/A</v>
      </c>
    </row>
    <row r="74" spans="1:4">
      <c r="A74" s="627" t="s">
        <v>408</v>
      </c>
      <c r="B74" s="326" t="s">
        <v>2015</v>
      </c>
      <c r="C74" s="326" t="s">
        <v>44</v>
      </c>
      <c r="D74" s="639" t="e">
        <f>IF(VLOOKUP($A74,'Distributed Assets'!$V$28:$V$102,1,FALSE)=$A74,"Found","")</f>
        <v>#N/A</v>
      </c>
    </row>
    <row r="75" spans="1:4">
      <c r="A75" s="627" t="s">
        <v>409</v>
      </c>
      <c r="B75" s="326" t="s">
        <v>2015</v>
      </c>
      <c r="C75" s="326" t="s">
        <v>44</v>
      </c>
      <c r="D75" s="639" t="e">
        <f>IF(VLOOKUP($A75,'Distributed Assets'!$V$28:$V$102,1,FALSE)=$A75,"Found","")</f>
        <v>#N/A</v>
      </c>
    </row>
    <row r="76" spans="1:4">
      <c r="A76" s="627" t="s">
        <v>616</v>
      </c>
      <c r="B76" s="326" t="s">
        <v>2015</v>
      </c>
      <c r="C76" s="326" t="s">
        <v>44</v>
      </c>
      <c r="D76" s="639" t="e">
        <f>IF(VLOOKUP($A76,'Distributed Assets'!$V$28:$V$102,1,FALSE)=$A76,"Found","")</f>
        <v>#N/A</v>
      </c>
    </row>
    <row r="77" spans="1:4">
      <c r="A77" s="627" t="s">
        <v>617</v>
      </c>
      <c r="B77" s="326" t="s">
        <v>2015</v>
      </c>
      <c r="C77" s="326" t="s">
        <v>44</v>
      </c>
      <c r="D77" s="639" t="e">
        <f>IF(VLOOKUP($A77,'Distributed Assets'!$V$28:$V$102,1,FALSE)=$A77,"Found","")</f>
        <v>#N/A</v>
      </c>
    </row>
    <row r="78" spans="1:4">
      <c r="A78" s="627" t="s">
        <v>1969</v>
      </c>
      <c r="B78" s="326" t="s">
        <v>2015</v>
      </c>
      <c r="C78" s="326" t="s">
        <v>44</v>
      </c>
      <c r="D78" s="639" t="e">
        <f>IF(VLOOKUP($A78,'Distributed Assets'!$V$28:$V$102,1,FALSE)=$A78,"Found","")</f>
        <v>#N/A</v>
      </c>
    </row>
    <row r="79" spans="1:4">
      <c r="A79" s="627" t="s">
        <v>1986</v>
      </c>
      <c r="B79" s="326" t="s">
        <v>2015</v>
      </c>
      <c r="C79" s="326" t="s">
        <v>44</v>
      </c>
      <c r="D79" s="639" t="e">
        <f>IF(VLOOKUP($A79,'Distributed Assets'!$V$28:$V$102,1,FALSE)=$A79,"Found","")</f>
        <v>#N/A</v>
      </c>
    </row>
    <row r="80" spans="1:4">
      <c r="A80" s="627" t="s">
        <v>2009</v>
      </c>
      <c r="B80" s="326" t="s">
        <v>2015</v>
      </c>
      <c r="C80" s="326" t="s">
        <v>44</v>
      </c>
      <c r="D80" s="639" t="e">
        <f>IF(VLOOKUP($A80,'Distributed Assets'!$V$28:$V$102,1,FALSE)=$A80,"Found","")</f>
        <v>#N/A</v>
      </c>
    </row>
    <row r="81" spans="1:4">
      <c r="A81" s="627" t="s">
        <v>1981</v>
      </c>
      <c r="B81" s="326" t="s">
        <v>2015</v>
      </c>
      <c r="C81" s="326" t="s">
        <v>44</v>
      </c>
      <c r="D81" s="639" t="e">
        <f>IF(VLOOKUP($A81,'Distributed Assets'!$V$28:$V$102,1,FALSE)=$A81,"Found","")</f>
        <v>#N/A</v>
      </c>
    </row>
    <row r="82" spans="1:4">
      <c r="A82" s="627" t="s">
        <v>1974</v>
      </c>
      <c r="B82" s="326" t="s">
        <v>2015</v>
      </c>
      <c r="C82" s="326" t="s">
        <v>44</v>
      </c>
      <c r="D82" s="639" t="e">
        <f>IF(VLOOKUP($A82,'Distributed Assets'!$V$28:$V$102,1,FALSE)=$A82,"Found","")</f>
        <v>#N/A</v>
      </c>
    </row>
    <row r="83" spans="1:4">
      <c r="A83" s="627" t="s">
        <v>2001</v>
      </c>
      <c r="B83" s="326" t="s">
        <v>2015</v>
      </c>
      <c r="C83" s="326" t="s">
        <v>44</v>
      </c>
      <c r="D83" s="639" t="e">
        <f>IF(VLOOKUP($A83,'Distributed Assets'!$V$28:$V$102,1,FALSE)=$A83,"Found","")</f>
        <v>#N/A</v>
      </c>
    </row>
    <row r="84" spans="1:4">
      <c r="A84" s="627" t="s">
        <v>1994</v>
      </c>
      <c r="B84" s="326" t="s">
        <v>2015</v>
      </c>
      <c r="C84" s="326" t="s">
        <v>44</v>
      </c>
      <c r="D84" s="639" t="e">
        <f>IF(VLOOKUP($A84,'Distributed Assets'!$V$28:$V$102,1,FALSE)=$A84,"Found","")</f>
        <v>#N/A</v>
      </c>
    </row>
    <row r="85" spans="1:4">
      <c r="A85" s="627" t="s">
        <v>1978</v>
      </c>
      <c r="B85" s="326" t="s">
        <v>2015</v>
      </c>
      <c r="C85" s="326" t="s">
        <v>44</v>
      </c>
      <c r="D85" s="639" t="e">
        <f>IF(VLOOKUP($A85,'Distributed Assets'!$V$28:$V$102,1,FALSE)=$A85,"Found","")</f>
        <v>#N/A</v>
      </c>
    </row>
    <row r="86" spans="1:4">
      <c r="A86" s="627" t="s">
        <v>1987</v>
      </c>
      <c r="B86" s="326" t="s">
        <v>2015</v>
      </c>
      <c r="C86" s="326" t="s">
        <v>44</v>
      </c>
      <c r="D86" s="639" t="e">
        <f>IF(VLOOKUP($A86,'Distributed Assets'!$V$28:$V$102,1,FALSE)=$A86,"Found","")</f>
        <v>#N/A</v>
      </c>
    </row>
    <row r="87" spans="1:4">
      <c r="A87" s="627" t="s">
        <v>2008</v>
      </c>
      <c r="B87" s="326" t="s">
        <v>2015</v>
      </c>
      <c r="C87" s="326" t="s">
        <v>44</v>
      </c>
      <c r="D87" s="639" t="e">
        <f>IF(VLOOKUP($A87,'Distributed Assets'!$V$28:$V$102,1,FALSE)=$A87,"Found","")</f>
        <v>#N/A</v>
      </c>
    </row>
    <row r="88" spans="1:4">
      <c r="A88" s="627" t="s">
        <v>1973</v>
      </c>
      <c r="B88" s="326" t="s">
        <v>2015</v>
      </c>
      <c r="C88" s="326" t="s">
        <v>44</v>
      </c>
      <c r="D88" s="639" t="e">
        <f>IF(VLOOKUP($A88,'Distributed Assets'!$V$28:$V$102,1,FALSE)=$A88,"Found","")</f>
        <v>#N/A</v>
      </c>
    </row>
    <row r="89" spans="1:4">
      <c r="A89" s="627" t="s">
        <v>1975</v>
      </c>
      <c r="B89" s="326" t="s">
        <v>2015</v>
      </c>
      <c r="C89" s="326" t="s">
        <v>44</v>
      </c>
      <c r="D89" s="639" t="e">
        <f>IF(VLOOKUP($A89,'Distributed Assets'!$V$28:$V$102,1,FALSE)=$A89,"Found","")</f>
        <v>#N/A</v>
      </c>
    </row>
    <row r="90" spans="1:4">
      <c r="A90" s="627" t="s">
        <v>1993</v>
      </c>
      <c r="B90" s="326" t="s">
        <v>2015</v>
      </c>
      <c r="C90" s="326" t="s">
        <v>44</v>
      </c>
      <c r="D90" s="639" t="e">
        <f>IF(VLOOKUP($A90,'Distributed Assets'!$V$28:$V$102,1,FALSE)=$A90,"Found","")</f>
        <v>#N/A</v>
      </c>
    </row>
    <row r="91" spans="1:4">
      <c r="A91" s="627" t="s">
        <v>2012</v>
      </c>
      <c r="B91" s="326" t="s">
        <v>2015</v>
      </c>
      <c r="C91" s="326" t="s">
        <v>44</v>
      </c>
      <c r="D91" s="639" t="e">
        <f>IF(VLOOKUP($A91,'Distributed Assets'!$V$28:$V$102,1,FALSE)=$A91,"Found","")</f>
        <v>#N/A</v>
      </c>
    </row>
    <row r="92" spans="1:4">
      <c r="A92" s="627" t="s">
        <v>404</v>
      </c>
      <c r="B92" s="326" t="s">
        <v>2015</v>
      </c>
      <c r="C92" s="326" t="s">
        <v>44</v>
      </c>
      <c r="D92" s="639" t="e">
        <f>IF(VLOOKUP($A92,'Distributed Assets'!$V$28:$V$102,1,FALSE)=$A92,"Found","")</f>
        <v>#N/A</v>
      </c>
    </row>
    <row r="93" spans="1:4">
      <c r="A93" s="627" t="s">
        <v>405</v>
      </c>
      <c r="B93" s="326" t="s">
        <v>2015</v>
      </c>
      <c r="C93" s="326" t="s">
        <v>44</v>
      </c>
      <c r="D93" s="639" t="e">
        <f>IF(VLOOKUP($A93,'Distributed Assets'!$V$28:$V$102,1,FALSE)=$A93,"Found","")</f>
        <v>#N/A</v>
      </c>
    </row>
    <row r="94" spans="1:4">
      <c r="A94" s="627" t="s">
        <v>2021</v>
      </c>
      <c r="B94" s="628" t="s">
        <v>40</v>
      </c>
      <c r="C94" s="326" t="s">
        <v>44</v>
      </c>
      <c r="D94" s="639" t="e">
        <f>IF(VLOOKUP($A94,'Distributed Assets'!$V$28:$V$102,1,FALSE)=$A94,"Found","")</f>
        <v>#N/A</v>
      </c>
    </row>
    <row r="95" spans="1:4">
      <c r="A95" s="627" t="s">
        <v>2020</v>
      </c>
      <c r="B95" s="628" t="s">
        <v>40</v>
      </c>
      <c r="C95" s="326" t="s">
        <v>44</v>
      </c>
      <c r="D95" s="639" t="e">
        <f>IF(VLOOKUP($A95,'Distributed Assets'!$V$28:$V$102,1,FALSE)=$A95,"Found","")</f>
        <v>#N/A</v>
      </c>
    </row>
    <row r="96" spans="1:4">
      <c r="A96" s="627" t="s">
        <v>2016</v>
      </c>
      <c r="B96" s="628" t="s">
        <v>40</v>
      </c>
      <c r="C96" s="326" t="s">
        <v>44</v>
      </c>
      <c r="D96" s="639" t="e">
        <f>IF(VLOOKUP($A96,'Distributed Assets'!$V$28:$V$102,1,FALSE)=$A96,"Found","")</f>
        <v>#N/A</v>
      </c>
    </row>
    <row r="97" spans="1:5">
      <c r="A97" s="627" t="s">
        <v>2017</v>
      </c>
      <c r="B97" s="628" t="s">
        <v>40</v>
      </c>
      <c r="C97" s="326" t="s">
        <v>44</v>
      </c>
      <c r="D97" s="639" t="e">
        <f>IF(VLOOKUP($A97,'Distributed Assets'!$V$28:$V$102,1,FALSE)=$A97,"Found","")</f>
        <v>#N/A</v>
      </c>
    </row>
    <row r="98" spans="1:5">
      <c r="A98" s="627" t="s">
        <v>2019</v>
      </c>
      <c r="B98" s="628" t="s">
        <v>40</v>
      </c>
      <c r="C98" s="326" t="s">
        <v>44</v>
      </c>
      <c r="D98" s="639" t="e">
        <f>IF(VLOOKUP($A98,'Distributed Assets'!$V$28:$V$102,1,FALSE)=$A98,"Found","")</f>
        <v>#N/A</v>
      </c>
    </row>
    <row r="99" spans="1:5">
      <c r="A99" s="627" t="s">
        <v>396</v>
      </c>
      <c r="B99" s="628" t="s">
        <v>40</v>
      </c>
      <c r="C99" s="326" t="s">
        <v>44</v>
      </c>
      <c r="D99" s="639" t="e">
        <f>IF(VLOOKUP($A99,'Distributed Assets'!$V$28:$V$102,1,FALSE)=$A99,"Found","")</f>
        <v>#N/A</v>
      </c>
    </row>
    <row r="100" spans="1:5">
      <c r="A100" s="627" t="s">
        <v>702</v>
      </c>
      <c r="B100" s="628" t="s">
        <v>40</v>
      </c>
      <c r="C100" s="326" t="s">
        <v>44</v>
      </c>
      <c r="D100" s="639" t="e">
        <f>IF(VLOOKUP($A100,'Distributed Assets'!$V$28:$V$102,1,FALSE)=$A100,"Found","")</f>
        <v>#N/A</v>
      </c>
    </row>
    <row r="101" spans="1:5" ht="13.5" thickBot="1">
      <c r="A101" s="656" t="s">
        <v>2018</v>
      </c>
      <c r="B101" s="657" t="s">
        <v>40</v>
      </c>
      <c r="C101" s="666" t="s">
        <v>44</v>
      </c>
      <c r="D101" s="651" t="e">
        <f>IF(VLOOKUP($A101,'Distributed Assets'!$V$28:$V$102,1,FALSE)=$A101,"Found","")</f>
        <v>#N/A</v>
      </c>
    </row>
    <row r="102" spans="1:5">
      <c r="A102" s="619" t="s">
        <v>2049</v>
      </c>
      <c r="B102" s="620" t="s">
        <v>53</v>
      </c>
      <c r="C102" s="620" t="s">
        <v>2191</v>
      </c>
      <c r="D102" s="664" t="e">
        <f>IF(VLOOKUP($A102,'Database (All)'!$O$7:$O$103,1,FALSE)=$A102,"Found","N/A")</f>
        <v>#N/A</v>
      </c>
      <c r="E102" s="658" t="e">
        <f>IF(VLOOKUP($A102,'Database (All)'!$P$7:$P$103,1,FALSE)=$A102,"Found","N/A")</f>
        <v>#N/A</v>
      </c>
    </row>
    <row r="103" spans="1:5">
      <c r="A103" s="621" t="s">
        <v>2036</v>
      </c>
      <c r="B103" s="622" t="s">
        <v>53</v>
      </c>
      <c r="C103" s="622" t="s">
        <v>2191</v>
      </c>
      <c r="D103" s="649" t="e">
        <f>IF(VLOOKUP($A103,'Database (All)'!$O$7:$O$103,1,FALSE)=$A103,"Found","N/A")</f>
        <v>#N/A</v>
      </c>
      <c r="E103" s="641" t="e">
        <f>IF(VLOOKUP($A103,'Database (All)'!$P$7:$P$103,1,FALSE)=$A103,"Found","N/A")</f>
        <v>#N/A</v>
      </c>
    </row>
    <row r="104" spans="1:5">
      <c r="A104" s="621" t="s">
        <v>2036</v>
      </c>
      <c r="B104" s="622" t="s">
        <v>53</v>
      </c>
      <c r="C104" s="622" t="s">
        <v>2191</v>
      </c>
      <c r="D104" s="649" t="e">
        <f>IF(VLOOKUP($A104,'Database (All)'!$O$7:$O$103,1,FALSE)=$A104,"Found","N/A")</f>
        <v>#N/A</v>
      </c>
      <c r="E104" s="641" t="e">
        <f>IF(VLOOKUP($A104,'Database (All)'!$P$7:$P$103,1,FALSE)=$A104,"Found","N/A")</f>
        <v>#N/A</v>
      </c>
    </row>
    <row r="105" spans="1:5">
      <c r="A105" s="621" t="s">
        <v>2036</v>
      </c>
      <c r="B105" s="622" t="s">
        <v>53</v>
      </c>
      <c r="C105" s="622" t="s">
        <v>2191</v>
      </c>
      <c r="D105" s="649" t="e">
        <f>IF(VLOOKUP($A105,'Database (All)'!$O$7:$O$103,1,FALSE)=$A105,"Found","N/A")</f>
        <v>#N/A</v>
      </c>
      <c r="E105" s="641" t="e">
        <f>IF(VLOOKUP($A105,'Database (All)'!$P$7:$P$103,1,FALSE)=$A105,"Found","N/A")</f>
        <v>#N/A</v>
      </c>
    </row>
    <row r="106" spans="1:5">
      <c r="A106" s="621" t="s">
        <v>2029</v>
      </c>
      <c r="B106" s="622" t="s">
        <v>53</v>
      </c>
      <c r="C106" s="622" t="s">
        <v>2191</v>
      </c>
      <c r="D106" s="649" t="e">
        <f>IF(VLOOKUP($A106,'Database (All)'!$O$7:$O$103,1,FALSE)=$A106,"Found","N/A")</f>
        <v>#N/A</v>
      </c>
      <c r="E106" s="641" t="e">
        <f>IF(VLOOKUP($A106,'Database (All)'!$P$7:$P$103,1,FALSE)=$A106,"Found","N/A")</f>
        <v>#N/A</v>
      </c>
    </row>
    <row r="107" spans="1:5">
      <c r="A107" s="621" t="s">
        <v>2035</v>
      </c>
      <c r="B107" s="622" t="s">
        <v>53</v>
      </c>
      <c r="C107" s="622" t="s">
        <v>2191</v>
      </c>
      <c r="D107" s="649" t="e">
        <f>IF(VLOOKUP($A107,'Database (All)'!$O$7:$O$103,1,FALSE)=$A107,"Found","N/A")</f>
        <v>#N/A</v>
      </c>
      <c r="E107" s="641" t="e">
        <f>IF(VLOOKUP($A107,'Database (All)'!$P$7:$P$103,1,FALSE)=$A107,"Found","N/A")</f>
        <v>#N/A</v>
      </c>
    </row>
    <row r="108" spans="1:5">
      <c r="A108" s="645" t="s">
        <v>2032</v>
      </c>
      <c r="B108" s="622" t="s">
        <v>53</v>
      </c>
      <c r="C108" s="622" t="s">
        <v>2191</v>
      </c>
      <c r="D108" s="649" t="e">
        <f>IF(VLOOKUP($A108,'Database (All)'!$O$7:$O$103,1,FALSE)=$A108,"Found","N/A")</f>
        <v>#N/A</v>
      </c>
      <c r="E108" s="641" t="e">
        <f>IF(VLOOKUP($A108,'Database (All)'!$P$7:$P$103,1,FALSE)=$A108,"Found","N/A")</f>
        <v>#N/A</v>
      </c>
    </row>
    <row r="109" spans="1:5">
      <c r="A109" s="645" t="s">
        <v>2046</v>
      </c>
      <c r="B109" s="622" t="s">
        <v>53</v>
      </c>
      <c r="C109" s="622" t="s">
        <v>2191</v>
      </c>
      <c r="D109" s="649" t="e">
        <f>IF(VLOOKUP($A109,'Database (All)'!$O$7:$O$103,1,FALSE)=$A109,"Found","N/A")</f>
        <v>#N/A</v>
      </c>
      <c r="E109" s="641" t="e">
        <f>IF(VLOOKUP($A109,'Database (All)'!$P$7:$P$103,1,FALSE)=$A109,"Found","N/A")</f>
        <v>#N/A</v>
      </c>
    </row>
    <row r="110" spans="1:5">
      <c r="A110" s="621" t="s">
        <v>2039</v>
      </c>
      <c r="B110" s="622" t="s">
        <v>53</v>
      </c>
      <c r="C110" s="622" t="s">
        <v>2191</v>
      </c>
      <c r="D110" s="649" t="e">
        <f>IF(VLOOKUP($A110,'Database (All)'!$O$7:$O$103,1,FALSE)=$A110,"Found","N/A")</f>
        <v>#N/A</v>
      </c>
      <c r="E110" s="641" t="e">
        <f>IF(VLOOKUP($A110,'Database (All)'!$P$7:$P$103,1,FALSE)=$A110,"Found","N/A")</f>
        <v>#N/A</v>
      </c>
    </row>
    <row r="111" spans="1:5">
      <c r="A111" s="621" t="s">
        <v>2033</v>
      </c>
      <c r="B111" s="622" t="s">
        <v>53</v>
      </c>
      <c r="C111" s="622" t="s">
        <v>2191</v>
      </c>
      <c r="D111" s="649" t="e">
        <f>IF(VLOOKUP($A111,'Database (All)'!$O$7:$O$103,1,FALSE)=$A111,"Found","N/A")</f>
        <v>#N/A</v>
      </c>
      <c r="E111" s="641" t="e">
        <f>IF(VLOOKUP($A111,'Database (All)'!$P$7:$P$103,1,FALSE)=$A111,"Found","N/A")</f>
        <v>#N/A</v>
      </c>
    </row>
    <row r="112" spans="1:5">
      <c r="A112" s="621" t="s">
        <v>2038</v>
      </c>
      <c r="B112" s="622" t="s">
        <v>53</v>
      </c>
      <c r="C112" s="622" t="s">
        <v>2191</v>
      </c>
      <c r="D112" s="649" t="e">
        <f>IF(VLOOKUP($A112,'Database (All)'!$O$7:$O$103,1,FALSE)=$A112,"Found","N/A")</f>
        <v>#N/A</v>
      </c>
      <c r="E112" s="641" t="e">
        <f>IF(VLOOKUP($A112,'Database (All)'!$P$7:$P$103,1,FALSE)=$A112,"Found","N/A")</f>
        <v>#N/A</v>
      </c>
    </row>
    <row r="113" spans="1:5">
      <c r="A113" s="621" t="s">
        <v>2052</v>
      </c>
      <c r="B113" s="622" t="s">
        <v>53</v>
      </c>
      <c r="C113" s="622" t="s">
        <v>2191</v>
      </c>
      <c r="D113" s="649" t="e">
        <f>IF(VLOOKUP($A113,'Database (All)'!$O$7:$O$103,1,FALSE)=$A113,"Found","N/A")</f>
        <v>#N/A</v>
      </c>
      <c r="E113" s="641" t="e">
        <f>IF(VLOOKUP($A113,'Database (All)'!$P$7:$P$103,1,FALSE)=$A113,"Found","N/A")</f>
        <v>#N/A</v>
      </c>
    </row>
    <row r="114" spans="1:5">
      <c r="A114" s="621" t="s">
        <v>2042</v>
      </c>
      <c r="B114" s="622" t="s">
        <v>53</v>
      </c>
      <c r="C114" s="622" t="s">
        <v>2191</v>
      </c>
      <c r="D114" s="649" t="e">
        <f>IF(VLOOKUP($A114,'Database (All)'!$O$7:$O$103,1,FALSE)=$A114,"Found","N/A")</f>
        <v>#N/A</v>
      </c>
      <c r="E114" s="641" t="e">
        <f>IF(VLOOKUP($A114,'Database (All)'!$P$7:$P$103,1,FALSE)=$A114,"Found","N/A")</f>
        <v>#N/A</v>
      </c>
    </row>
    <row r="115" spans="1:5">
      <c r="A115" s="621" t="s">
        <v>2050</v>
      </c>
      <c r="B115" s="622" t="s">
        <v>53</v>
      </c>
      <c r="C115" s="622" t="s">
        <v>2191</v>
      </c>
      <c r="D115" s="649" t="e">
        <f>IF(VLOOKUP($A115,'Database (All)'!$O$7:$O$103,1,FALSE)=$A115,"Found","N/A")</f>
        <v>#N/A</v>
      </c>
      <c r="E115" s="641" t="e">
        <f>IF(VLOOKUP($A115,'Database (All)'!$P$7:$P$103,1,FALSE)=$A115,"Found","N/A")</f>
        <v>#N/A</v>
      </c>
    </row>
    <row r="116" spans="1:5">
      <c r="A116" s="621" t="s">
        <v>2041</v>
      </c>
      <c r="B116" s="622" t="s">
        <v>53</v>
      </c>
      <c r="C116" s="622" t="s">
        <v>2191</v>
      </c>
      <c r="D116" s="649" t="e">
        <f>IF(VLOOKUP($A116,'Database (All)'!$O$7:$O$103,1,FALSE)=$A116,"Found","N/A")</f>
        <v>#N/A</v>
      </c>
      <c r="E116" s="641" t="e">
        <f>IF(VLOOKUP($A116,'Database (All)'!$P$7:$P$103,1,FALSE)=$A116,"Found","N/A")</f>
        <v>#N/A</v>
      </c>
    </row>
    <row r="117" spans="1:5">
      <c r="A117" s="621" t="s">
        <v>2041</v>
      </c>
      <c r="B117" s="622" t="s">
        <v>53</v>
      </c>
      <c r="C117" s="622" t="s">
        <v>2191</v>
      </c>
      <c r="D117" s="649" t="e">
        <f>IF(VLOOKUP($A117,'Database (All)'!$O$7:$O$103,1,FALSE)=$A117,"Found","N/A")</f>
        <v>#N/A</v>
      </c>
      <c r="E117" s="641" t="e">
        <f>IF(VLOOKUP($A117,'Database (All)'!$P$7:$P$103,1,FALSE)=$A117,"Found","N/A")</f>
        <v>#N/A</v>
      </c>
    </row>
    <row r="118" spans="1:5">
      <c r="A118" s="621" t="s">
        <v>2051</v>
      </c>
      <c r="B118" s="622" t="s">
        <v>53</v>
      </c>
      <c r="C118" s="622" t="s">
        <v>2191</v>
      </c>
      <c r="D118" s="649" t="e">
        <f>IF(VLOOKUP($A118,'Database (All)'!$O$7:$O$103,1,FALSE)=$A118,"Found","N/A")</f>
        <v>#N/A</v>
      </c>
      <c r="E118" s="641" t="e">
        <f>IF(VLOOKUP($A118,'Database (All)'!$P$7:$P$103,1,FALSE)=$A118,"Found","N/A")</f>
        <v>#N/A</v>
      </c>
    </row>
    <row r="119" spans="1:5">
      <c r="A119" s="621" t="s">
        <v>2023</v>
      </c>
      <c r="B119" s="622" t="s">
        <v>53</v>
      </c>
      <c r="C119" s="622" t="s">
        <v>2191</v>
      </c>
      <c r="D119" s="649" t="e">
        <f>IF(VLOOKUP($A119,'Database (All)'!$O$7:$O$103,1,FALSE)=$A119,"Found","N/A")</f>
        <v>#N/A</v>
      </c>
      <c r="E119" s="641" t="e">
        <f>IF(VLOOKUP($A119,'Database (All)'!$P$7:$P$103,1,FALSE)=$A119,"Found","N/A")</f>
        <v>#N/A</v>
      </c>
    </row>
    <row r="120" spans="1:5">
      <c r="A120" s="621" t="s">
        <v>2023</v>
      </c>
      <c r="B120" s="622" t="s">
        <v>53</v>
      </c>
      <c r="C120" s="622" t="s">
        <v>2191</v>
      </c>
      <c r="D120" s="649" t="e">
        <f>IF(VLOOKUP($A120,'Database (All)'!$O$7:$O$103,1,FALSE)=$A120,"Found","N/A")</f>
        <v>#N/A</v>
      </c>
      <c r="E120" s="641" t="e">
        <f>IF(VLOOKUP($A120,'Database (All)'!$P$7:$P$103,1,FALSE)=$A120,"Found","N/A")</f>
        <v>#N/A</v>
      </c>
    </row>
    <row r="121" spans="1:5">
      <c r="A121" s="621" t="s">
        <v>2043</v>
      </c>
      <c r="B121" s="622" t="s">
        <v>53</v>
      </c>
      <c r="C121" s="622" t="s">
        <v>2191</v>
      </c>
      <c r="D121" s="649" t="e">
        <f>IF(VLOOKUP($A121,'Database (All)'!$O$7:$O$103,1,FALSE)=$A121,"Found","N/A")</f>
        <v>#N/A</v>
      </c>
      <c r="E121" s="641" t="e">
        <f>IF(VLOOKUP($A121,'Database (All)'!$P$7:$P$103,1,FALSE)=$A121,"Found","N/A")</f>
        <v>#N/A</v>
      </c>
    </row>
    <row r="122" spans="1:5">
      <c r="A122" s="621" t="s">
        <v>2044</v>
      </c>
      <c r="B122" s="622" t="s">
        <v>53</v>
      </c>
      <c r="C122" s="622" t="s">
        <v>2191</v>
      </c>
      <c r="D122" s="649" t="e">
        <f>IF(VLOOKUP($A122,'Database (All)'!$O$7:$O$103,1,FALSE)=$A122,"Found","N/A")</f>
        <v>#N/A</v>
      </c>
      <c r="E122" s="641" t="e">
        <f>IF(VLOOKUP($A122,'Database (All)'!$P$7:$P$103,1,FALSE)=$A122,"Found","N/A")</f>
        <v>#N/A</v>
      </c>
    </row>
    <row r="123" spans="1:5">
      <c r="A123" s="621" t="s">
        <v>2044</v>
      </c>
      <c r="B123" s="622" t="s">
        <v>53</v>
      </c>
      <c r="C123" s="622" t="s">
        <v>2191</v>
      </c>
      <c r="D123" s="649" t="e">
        <f>IF(VLOOKUP($A123,'Database (All)'!$O$7:$O$103,1,FALSE)=$A123,"Found","N/A")</f>
        <v>#N/A</v>
      </c>
      <c r="E123" s="641" t="e">
        <f>IF(VLOOKUP($A123,'Database (All)'!$P$7:$P$103,1,FALSE)=$A123,"Found","N/A")</f>
        <v>#N/A</v>
      </c>
    </row>
    <row r="124" spans="1:5">
      <c r="A124" s="621" t="s">
        <v>2026</v>
      </c>
      <c r="B124" s="622" t="s">
        <v>53</v>
      </c>
      <c r="C124" s="622" t="s">
        <v>2191</v>
      </c>
      <c r="D124" s="649" t="e">
        <f>IF(VLOOKUP($A124,'Database (All)'!$O$7:$O$103,1,FALSE)=$A124,"Found","N/A")</f>
        <v>#N/A</v>
      </c>
      <c r="E124" s="641" t="e">
        <f>IF(VLOOKUP($A124,'Database (All)'!$P$7:$P$103,1,FALSE)=$A124,"Found","N/A")</f>
        <v>#N/A</v>
      </c>
    </row>
    <row r="125" spans="1:5">
      <c r="A125" s="621" t="s">
        <v>2026</v>
      </c>
      <c r="B125" s="622" t="s">
        <v>53</v>
      </c>
      <c r="C125" s="622" t="s">
        <v>2191</v>
      </c>
      <c r="D125" s="649" t="e">
        <f>IF(VLOOKUP($A125,'Database (All)'!$O$7:$O$103,1,FALSE)=$A125,"Found","N/A")</f>
        <v>#N/A</v>
      </c>
      <c r="E125" s="641" t="e">
        <f>IF(VLOOKUP($A125,'Database (All)'!$P$7:$P$103,1,FALSE)=$A125,"Found","N/A")</f>
        <v>#N/A</v>
      </c>
    </row>
    <row r="126" spans="1:5">
      <c r="A126" s="621" t="s">
        <v>2026</v>
      </c>
      <c r="B126" s="622" t="s">
        <v>53</v>
      </c>
      <c r="C126" s="622" t="s">
        <v>2191</v>
      </c>
      <c r="D126" s="649" t="e">
        <f>IF(VLOOKUP($A126,'Database (All)'!$O$7:$O$103,1,FALSE)=$A126,"Found","N/A")</f>
        <v>#N/A</v>
      </c>
      <c r="E126" s="641" t="e">
        <f>IF(VLOOKUP($A126,'Database (All)'!$P$7:$P$103,1,FALSE)=$A126,"Found","N/A")</f>
        <v>#N/A</v>
      </c>
    </row>
    <row r="127" spans="1:5">
      <c r="A127" s="621" t="s">
        <v>2024</v>
      </c>
      <c r="B127" s="622" t="s">
        <v>53</v>
      </c>
      <c r="C127" s="622" t="s">
        <v>2191</v>
      </c>
      <c r="D127" s="649" t="e">
        <f>IF(VLOOKUP($A127,'Database (All)'!$O$7:$O$103,1,FALSE)=$A127,"Found","N/A")</f>
        <v>#N/A</v>
      </c>
      <c r="E127" s="641" t="e">
        <f>IF(VLOOKUP($A127,'Database (All)'!$P$7:$P$103,1,FALSE)=$A127,"Found","N/A")</f>
        <v>#N/A</v>
      </c>
    </row>
    <row r="128" spans="1:5">
      <c r="A128" s="621" t="s">
        <v>2024</v>
      </c>
      <c r="B128" s="622" t="s">
        <v>53</v>
      </c>
      <c r="C128" s="622" t="s">
        <v>2191</v>
      </c>
      <c r="D128" s="649" t="e">
        <f>IF(VLOOKUP($A128,'Database (All)'!$O$7:$O$103,1,FALSE)=$A128,"Found","N/A")</f>
        <v>#N/A</v>
      </c>
      <c r="E128" s="641" t="e">
        <f>IF(VLOOKUP($A128,'Database (All)'!$P$7:$P$103,1,FALSE)=$A128,"Found","N/A")</f>
        <v>#N/A</v>
      </c>
    </row>
    <row r="129" spans="1:5">
      <c r="A129" s="621" t="s">
        <v>2024</v>
      </c>
      <c r="B129" s="622" t="s">
        <v>53</v>
      </c>
      <c r="C129" s="622" t="s">
        <v>2191</v>
      </c>
      <c r="D129" s="649" t="e">
        <f>IF(VLOOKUP($A129,'Database (All)'!$O$7:$O$103,1,FALSE)=$A129,"Found","N/A")</f>
        <v>#N/A</v>
      </c>
      <c r="E129" s="641" t="e">
        <f>IF(VLOOKUP($A129,'Database (All)'!$P$7:$P$103,1,FALSE)=$A129,"Found","N/A")</f>
        <v>#N/A</v>
      </c>
    </row>
    <row r="130" spans="1:5">
      <c r="A130" s="621" t="s">
        <v>2047</v>
      </c>
      <c r="B130" s="622" t="s">
        <v>53</v>
      </c>
      <c r="C130" s="622" t="s">
        <v>2191</v>
      </c>
      <c r="D130" s="649" t="e">
        <f>IF(VLOOKUP($A130,'Database (All)'!$O$7:$O$103,1,FALSE)=$A130,"Found","N/A")</f>
        <v>#N/A</v>
      </c>
      <c r="E130" s="641" t="e">
        <f>IF(VLOOKUP($A130,'Database (All)'!$P$7:$P$103,1,FALSE)=$A130,"Found","N/A")</f>
        <v>#N/A</v>
      </c>
    </row>
    <row r="131" spans="1:5">
      <c r="A131" s="621" t="s">
        <v>2031</v>
      </c>
      <c r="B131" s="622" t="s">
        <v>53</v>
      </c>
      <c r="C131" s="622" t="s">
        <v>2191</v>
      </c>
      <c r="D131" s="649" t="e">
        <f>IF(VLOOKUP($A131,'Database (All)'!$O$7:$O$103,1,FALSE)=$A131,"Found","N/A")</f>
        <v>#N/A</v>
      </c>
      <c r="E131" s="641" t="e">
        <f>IF(VLOOKUP($A131,'Database (All)'!$P$7:$P$103,1,FALSE)=$A131,"Found","N/A")</f>
        <v>#N/A</v>
      </c>
    </row>
    <row r="132" spans="1:5">
      <c r="A132" s="621" t="s">
        <v>2031</v>
      </c>
      <c r="B132" s="622" t="s">
        <v>53</v>
      </c>
      <c r="C132" s="622" t="s">
        <v>2191</v>
      </c>
      <c r="D132" s="649" t="e">
        <f>IF(VLOOKUP($A132,'Database (All)'!$O$7:$O$103,1,FALSE)=$A132,"Found","N/A")</f>
        <v>#N/A</v>
      </c>
      <c r="E132" s="641" t="e">
        <f>IF(VLOOKUP($A132,'Database (All)'!$P$7:$P$103,1,FALSE)=$A132,"Found","N/A")</f>
        <v>#N/A</v>
      </c>
    </row>
    <row r="133" spans="1:5">
      <c r="A133" s="621" t="s">
        <v>2030</v>
      </c>
      <c r="B133" s="622" t="s">
        <v>53</v>
      </c>
      <c r="C133" s="622" t="s">
        <v>2191</v>
      </c>
      <c r="D133" s="649" t="e">
        <f>IF(VLOOKUP($A133,'Database (All)'!$O$7:$O$103,1,FALSE)=$A133,"Found","N/A")</f>
        <v>#N/A</v>
      </c>
      <c r="E133" s="641" t="e">
        <f>IF(VLOOKUP($A133,'Database (All)'!$P$7:$P$103,1,FALSE)=$A133,"Found","N/A")</f>
        <v>#N/A</v>
      </c>
    </row>
    <row r="134" spans="1:5">
      <c r="A134" s="621" t="s">
        <v>2030</v>
      </c>
      <c r="B134" s="622" t="s">
        <v>53</v>
      </c>
      <c r="C134" s="622" t="s">
        <v>2191</v>
      </c>
      <c r="D134" s="649" t="e">
        <f>IF(VLOOKUP($A134,'Database (All)'!$O$7:$O$103,1,FALSE)=$A134,"Found","N/A")</f>
        <v>#N/A</v>
      </c>
      <c r="E134" s="641" t="e">
        <f>IF(VLOOKUP($A134,'Database (All)'!$P$7:$P$103,1,FALSE)=$A134,"Found","N/A")</f>
        <v>#N/A</v>
      </c>
    </row>
    <row r="135" spans="1:5">
      <c r="A135" s="621" t="s">
        <v>2048</v>
      </c>
      <c r="B135" s="622" t="s">
        <v>53</v>
      </c>
      <c r="C135" s="622" t="s">
        <v>2191</v>
      </c>
      <c r="D135" s="649" t="e">
        <f>IF(VLOOKUP($A135,'Database (All)'!$O$7:$O$103,1,FALSE)=$A135,"Found","N/A")</f>
        <v>#N/A</v>
      </c>
      <c r="E135" s="641" t="e">
        <f>IF(VLOOKUP($A135,'Database (All)'!$P$7:$P$103,1,FALSE)=$A135,"Found","N/A")</f>
        <v>#N/A</v>
      </c>
    </row>
    <row r="136" spans="1:5">
      <c r="A136" s="621" t="s">
        <v>2048</v>
      </c>
      <c r="B136" s="622" t="s">
        <v>53</v>
      </c>
      <c r="C136" s="622" t="s">
        <v>2191</v>
      </c>
      <c r="D136" s="649" t="e">
        <f>IF(VLOOKUP($A136,'Database (All)'!$O$7:$O$103,1,FALSE)=$A136,"Found","N/A")</f>
        <v>#N/A</v>
      </c>
      <c r="E136" s="641" t="e">
        <f>IF(VLOOKUP($A136,'Database (All)'!$P$7:$P$103,1,FALSE)=$A136,"Found","N/A")</f>
        <v>#N/A</v>
      </c>
    </row>
    <row r="137" spans="1:5">
      <c r="A137" s="621" t="s">
        <v>2045</v>
      </c>
      <c r="B137" s="622" t="s">
        <v>53</v>
      </c>
      <c r="C137" s="622" t="s">
        <v>2191</v>
      </c>
      <c r="D137" s="649" t="e">
        <f>IF(VLOOKUP($A137,'Database (All)'!$O$7:$O$103,1,FALSE)=$A137,"Found","N/A")</f>
        <v>#N/A</v>
      </c>
      <c r="E137" s="641" t="e">
        <f>IF(VLOOKUP($A137,'Database (All)'!$P$7:$P$103,1,FALSE)=$A137,"Found","N/A")</f>
        <v>#N/A</v>
      </c>
    </row>
    <row r="138" spans="1:5">
      <c r="A138" s="621" t="s">
        <v>2045</v>
      </c>
      <c r="B138" s="622" t="s">
        <v>53</v>
      </c>
      <c r="C138" s="622" t="s">
        <v>2191</v>
      </c>
      <c r="D138" s="649" t="e">
        <f>IF(VLOOKUP($A138,'Database (All)'!$O$7:$O$103,1,FALSE)=$A138,"Found","N/A")</f>
        <v>#N/A</v>
      </c>
      <c r="E138" s="641" t="e">
        <f>IF(VLOOKUP($A138,'Database (All)'!$P$7:$P$103,1,FALSE)=$A138,"Found","N/A")</f>
        <v>#N/A</v>
      </c>
    </row>
    <row r="139" spans="1:5">
      <c r="A139" s="621" t="s">
        <v>2025</v>
      </c>
      <c r="B139" s="622" t="s">
        <v>53</v>
      </c>
      <c r="C139" s="622" t="s">
        <v>2191</v>
      </c>
      <c r="D139" s="649" t="e">
        <f>IF(VLOOKUP($A139,'Database (All)'!$O$7:$O$103,1,FALSE)=$A139,"Found","N/A")</f>
        <v>#N/A</v>
      </c>
      <c r="E139" s="641" t="e">
        <f>IF(VLOOKUP($A139,'Database (All)'!$P$7:$P$103,1,FALSE)=$A139,"Found","N/A")</f>
        <v>#N/A</v>
      </c>
    </row>
    <row r="140" spans="1:5">
      <c r="A140" s="621" t="s">
        <v>2025</v>
      </c>
      <c r="B140" s="622" t="s">
        <v>53</v>
      </c>
      <c r="C140" s="622" t="s">
        <v>2191</v>
      </c>
      <c r="D140" s="649" t="e">
        <f>IF(VLOOKUP($A140,'Database (All)'!$O$7:$O$103,1,FALSE)=$A140,"Found","N/A")</f>
        <v>#N/A</v>
      </c>
      <c r="E140" s="641" t="e">
        <f>IF(VLOOKUP($A140,'Database (All)'!$P$7:$P$103,1,FALSE)=$A140,"Found","N/A")</f>
        <v>#N/A</v>
      </c>
    </row>
    <row r="141" spans="1:5">
      <c r="A141" s="621" t="s">
        <v>2028</v>
      </c>
      <c r="B141" s="622" t="s">
        <v>53</v>
      </c>
      <c r="C141" s="622" t="s">
        <v>2191</v>
      </c>
      <c r="D141" s="649" t="e">
        <f>IF(VLOOKUP($A141,'Database (All)'!$O$7:$O$103,1,FALSE)=$A141,"Found","N/A")</f>
        <v>#N/A</v>
      </c>
      <c r="E141" s="641" t="e">
        <f>IF(VLOOKUP($A141,'Database (All)'!$P$7:$P$103,1,FALSE)=$A141,"Found","N/A")</f>
        <v>#N/A</v>
      </c>
    </row>
    <row r="142" spans="1:5">
      <c r="A142" s="621" t="s">
        <v>2028</v>
      </c>
      <c r="B142" s="622" t="s">
        <v>53</v>
      </c>
      <c r="C142" s="622" t="s">
        <v>2191</v>
      </c>
      <c r="D142" s="649" t="e">
        <f>IF(VLOOKUP($A142,'Database (All)'!$O$7:$O$103,1,FALSE)=$A142,"Found","N/A")</f>
        <v>#N/A</v>
      </c>
      <c r="E142" s="641" t="e">
        <f>IF(VLOOKUP($A142,'Database (All)'!$P$7:$P$103,1,FALSE)=$A142,"Found","N/A")</f>
        <v>#N/A</v>
      </c>
    </row>
    <row r="143" spans="1:5">
      <c r="A143" s="621" t="s">
        <v>2028</v>
      </c>
      <c r="B143" s="622" t="s">
        <v>53</v>
      </c>
      <c r="C143" s="622" t="s">
        <v>2191</v>
      </c>
      <c r="D143" s="649" t="e">
        <f>IF(VLOOKUP($A143,'Database (All)'!$O$7:$O$103,1,FALSE)=$A143,"Found","N/A")</f>
        <v>#N/A</v>
      </c>
      <c r="E143" s="641" t="e">
        <f>IF(VLOOKUP($A143,'Database (All)'!$P$7:$P$103,1,FALSE)=$A143,"Found","N/A")</f>
        <v>#N/A</v>
      </c>
    </row>
    <row r="144" spans="1:5">
      <c r="A144" s="621" t="s">
        <v>2022</v>
      </c>
      <c r="B144" s="622" t="s">
        <v>53</v>
      </c>
      <c r="C144" s="622" t="s">
        <v>2191</v>
      </c>
      <c r="D144" s="649" t="e">
        <f>IF(VLOOKUP($A144,'Database (All)'!$O$7:$O$103,1,FALSE)=$A144,"Found","N/A")</f>
        <v>#N/A</v>
      </c>
      <c r="E144" s="641" t="e">
        <f>IF(VLOOKUP($A144,'Database (All)'!$P$7:$P$103,1,FALSE)=$A144,"Found","N/A")</f>
        <v>#N/A</v>
      </c>
    </row>
    <row r="145" spans="1:5">
      <c r="A145" s="621" t="s">
        <v>2022</v>
      </c>
      <c r="B145" s="622" t="s">
        <v>53</v>
      </c>
      <c r="C145" s="622" t="s">
        <v>2191</v>
      </c>
      <c r="D145" s="649" t="e">
        <f>IF(VLOOKUP($A145,'Database (All)'!$O$7:$O$103,1,FALSE)=$A145,"Found","N/A")</f>
        <v>#N/A</v>
      </c>
      <c r="E145" s="641" t="e">
        <f>IF(VLOOKUP($A145,'Database (All)'!$P$7:$P$103,1,FALSE)=$A145,"Found","N/A")</f>
        <v>#N/A</v>
      </c>
    </row>
    <row r="146" spans="1:5">
      <c r="A146" s="621" t="s">
        <v>2037</v>
      </c>
      <c r="B146" s="622" t="s">
        <v>53</v>
      </c>
      <c r="C146" s="622" t="s">
        <v>2191</v>
      </c>
      <c r="D146" s="649" t="e">
        <f>IF(VLOOKUP($A146,'Database (All)'!$O$7:$O$103,1,FALSE)=$A146,"Found","N/A")</f>
        <v>#N/A</v>
      </c>
      <c r="E146" s="641" t="e">
        <f>IF(VLOOKUP($A146,'Database (All)'!$P$7:$P$103,1,FALSE)=$A146,"Found","N/A")</f>
        <v>#N/A</v>
      </c>
    </row>
    <row r="147" spans="1:5">
      <c r="A147" s="621" t="s">
        <v>2037</v>
      </c>
      <c r="B147" s="622" t="s">
        <v>53</v>
      </c>
      <c r="C147" s="622" t="s">
        <v>2191</v>
      </c>
      <c r="D147" s="649" t="e">
        <f>IF(VLOOKUP($A147,'Database (All)'!$O$7:$O$103,1,FALSE)=$A147,"Found","N/A")</f>
        <v>#N/A</v>
      </c>
      <c r="E147" s="641" t="e">
        <f>IF(VLOOKUP($A147,'Database (All)'!$P$7:$P$103,1,FALSE)=$A147,"Found","N/A")</f>
        <v>#N/A</v>
      </c>
    </row>
    <row r="148" spans="1:5">
      <c r="A148" s="621" t="s">
        <v>2034</v>
      </c>
      <c r="B148" s="622" t="s">
        <v>53</v>
      </c>
      <c r="C148" s="622" t="s">
        <v>2191</v>
      </c>
      <c r="D148" s="649" t="e">
        <f>IF(VLOOKUP($A148,'Database (All)'!$O$7:$O$103,1,FALSE)=$A148,"Found","N/A")</f>
        <v>#N/A</v>
      </c>
      <c r="E148" s="641" t="e">
        <f>IF(VLOOKUP($A148,'Database (All)'!$P$7:$P$103,1,FALSE)=$A148,"Found","N/A")</f>
        <v>#N/A</v>
      </c>
    </row>
    <row r="149" spans="1:5">
      <c r="A149" s="621" t="s">
        <v>2027</v>
      </c>
      <c r="B149" s="622" t="s">
        <v>53</v>
      </c>
      <c r="C149" s="622" t="s">
        <v>2191</v>
      </c>
      <c r="D149" s="649" t="e">
        <f>IF(VLOOKUP($A149,'Database (All)'!$O$7:$O$103,1,FALSE)=$A149,"Found","N/A")</f>
        <v>#N/A</v>
      </c>
      <c r="E149" s="641" t="e">
        <f>IF(VLOOKUP($A149,'Database (All)'!$P$7:$P$103,1,FALSE)=$A149,"Found","N/A")</f>
        <v>#N/A</v>
      </c>
    </row>
    <row r="150" spans="1:5" ht="13.5" thickBot="1">
      <c r="A150" s="637" t="s">
        <v>2040</v>
      </c>
      <c r="B150" s="633" t="s">
        <v>53</v>
      </c>
      <c r="C150" s="633" t="s">
        <v>2191</v>
      </c>
      <c r="D150" s="660" t="e">
        <f>IF(VLOOKUP($A150,'Database (All)'!$O$7:$O$103,1,FALSE)=$A150,"Found","N/A")</f>
        <v>#N/A</v>
      </c>
      <c r="E150" s="642" t="e">
        <f>IF(VLOOKUP($A150,'Database (All)'!$P$7:$P$103,1,FALSE)=$A150,"Found","N/A")</f>
        <v>#N/A</v>
      </c>
    </row>
    <row r="151" spans="1:5">
      <c r="A151" s="625" t="s">
        <v>2056</v>
      </c>
      <c r="B151" s="626" t="s">
        <v>1167</v>
      </c>
      <c r="C151" s="626" t="s">
        <v>2191</v>
      </c>
      <c r="D151" s="668" t="e">
        <f>IF(VLOOKUP($A151,'Database (All)'!$O$7:$O$103,1,FALSE)=$A151,"Found","N/A")</f>
        <v>#N/A</v>
      </c>
      <c r="E151" s="638" t="e">
        <f>IF(VLOOKUP($A151,'Database (All)'!$P$7:$P$103,1,FALSE)=$A151,"Found","N/A")</f>
        <v>#N/A</v>
      </c>
    </row>
    <row r="152" spans="1:5">
      <c r="A152" s="627" t="s">
        <v>2057</v>
      </c>
      <c r="B152" s="628" t="s">
        <v>1167</v>
      </c>
      <c r="C152" s="628" t="s">
        <v>2191</v>
      </c>
      <c r="D152" s="650" t="e">
        <f>IF(VLOOKUP($A152,'Database (All)'!$O$7:$O$103,1,FALSE)=$A152,"Found","N/A")</f>
        <v>#N/A</v>
      </c>
      <c r="E152" s="639" t="e">
        <f>IF(VLOOKUP($A152,'Database (All)'!$P$7:$P$103,1,FALSE)=$A152,"Found","N/A")</f>
        <v>#N/A</v>
      </c>
    </row>
    <row r="153" spans="1:5">
      <c r="A153" s="627" t="s">
        <v>2058</v>
      </c>
      <c r="B153" s="628" t="s">
        <v>1167</v>
      </c>
      <c r="C153" s="628" t="s">
        <v>2191</v>
      </c>
      <c r="D153" s="650" t="e">
        <f>IF(VLOOKUP($A153,'Database (All)'!$O$7:$O$103,1,FALSE)=$A153,"Found","N/A")</f>
        <v>#N/A</v>
      </c>
      <c r="E153" s="639" t="e">
        <f>IF(VLOOKUP($A153,'Database (All)'!$P$7:$P$103,1,FALSE)=$A153,"Found","N/A")</f>
        <v>#N/A</v>
      </c>
    </row>
    <row r="154" spans="1:5">
      <c r="A154" s="627" t="s">
        <v>72</v>
      </c>
      <c r="B154" s="628" t="s">
        <v>1167</v>
      </c>
      <c r="C154" s="628" t="s">
        <v>2191</v>
      </c>
      <c r="D154" s="650" t="e">
        <f>IF(VLOOKUP($A154,'Database (All)'!$O$7:$O$103,1,FALSE)=$A154,"Found","N/A")</f>
        <v>#N/A</v>
      </c>
      <c r="E154" s="639" t="e">
        <f>IF(VLOOKUP($A154,'Database (All)'!$P$7:$P$103,1,FALSE)=$A154,"Found","N/A")</f>
        <v>#N/A</v>
      </c>
    </row>
    <row r="155" spans="1:5">
      <c r="A155" s="627" t="s">
        <v>2053</v>
      </c>
      <c r="B155" s="628" t="s">
        <v>1167</v>
      </c>
      <c r="C155" s="628" t="s">
        <v>2191</v>
      </c>
      <c r="D155" s="650" t="e">
        <f>IF(VLOOKUP($A155,'Database (All)'!$O$7:$O$103,1,FALSE)=$A155,"Found","N/A")</f>
        <v>#N/A</v>
      </c>
      <c r="E155" s="639" t="e">
        <f>IF(VLOOKUP($A155,'Database (All)'!$P$7:$P$103,1,FALSE)=$A155,"Found","N/A")</f>
        <v>#N/A</v>
      </c>
    </row>
    <row r="156" spans="1:5">
      <c r="A156" s="627" t="s">
        <v>2024</v>
      </c>
      <c r="B156" s="628" t="s">
        <v>1167</v>
      </c>
      <c r="C156" s="628" t="s">
        <v>2191</v>
      </c>
      <c r="D156" s="650" t="e">
        <f>IF(VLOOKUP($A156,'Database (All)'!$O$7:$O$103,1,FALSE)=$A156,"Found","N/A")</f>
        <v>#N/A</v>
      </c>
      <c r="E156" s="639" t="e">
        <f>IF(VLOOKUP($A156,'Database (All)'!$P$7:$P$103,1,FALSE)=$A156,"Found","N/A")</f>
        <v>#N/A</v>
      </c>
    </row>
    <row r="157" spans="1:5">
      <c r="A157" s="627" t="s">
        <v>2054</v>
      </c>
      <c r="B157" s="628" t="s">
        <v>1167</v>
      </c>
      <c r="C157" s="628" t="s">
        <v>2191</v>
      </c>
      <c r="D157" s="650" t="e">
        <f>IF(VLOOKUP($A157,'Database (All)'!$O$7:$O$103,1,FALSE)=$A157,"Found","N/A")</f>
        <v>#N/A</v>
      </c>
      <c r="E157" s="639" t="e">
        <f>IF(VLOOKUP($A157,'Database (All)'!$P$7:$P$103,1,FALSE)=$A157,"Found","N/A")</f>
        <v>#N/A</v>
      </c>
    </row>
    <row r="158" spans="1:5">
      <c r="A158" s="627" t="s">
        <v>2055</v>
      </c>
      <c r="B158" s="628" t="s">
        <v>1167</v>
      </c>
      <c r="C158" s="628" t="s">
        <v>2191</v>
      </c>
      <c r="D158" s="650" t="e">
        <f>IF(VLOOKUP($A158,'Database (All)'!$O$7:$O$103,1,FALSE)=$A158,"Found","N/A")</f>
        <v>#N/A</v>
      </c>
      <c r="E158" s="639" t="e">
        <f>IF(VLOOKUP($A158,'Database (All)'!$P$7:$P$103,1,FALSE)=$A158,"Found","N/A")</f>
        <v>#N/A</v>
      </c>
    </row>
    <row r="159" spans="1:5">
      <c r="A159" s="627" t="s">
        <v>2055</v>
      </c>
      <c r="B159" s="628" t="s">
        <v>1167</v>
      </c>
      <c r="C159" s="628" t="s">
        <v>2191</v>
      </c>
      <c r="D159" s="650" t="e">
        <f>IF(VLOOKUP($A159,'Database (All)'!$O$7:$O$103,1,FALSE)=$A159,"Found","N/A")</f>
        <v>#N/A</v>
      </c>
      <c r="E159" s="639" t="e">
        <f>IF(VLOOKUP($A159,'Database (All)'!$P$7:$P$103,1,FALSE)=$A159,"Found","N/A")</f>
        <v>#N/A</v>
      </c>
    </row>
    <row r="160" spans="1:5" ht="13.5" thickBot="1">
      <c r="A160" s="629" t="s">
        <v>2054</v>
      </c>
      <c r="B160" s="630" t="s">
        <v>1167</v>
      </c>
      <c r="C160" s="630" t="s">
        <v>2191</v>
      </c>
      <c r="D160" s="667" t="e">
        <f>IF(VLOOKUP($A160,'Database (All)'!$O$7:$O$103,1,FALSE)=$A160,"Found","N/A")</f>
        <v>#N/A</v>
      </c>
      <c r="E160" s="640" t="e">
        <f>IF(VLOOKUP($A160,'Database (All)'!$P$7:$P$103,1,FALSE)=$A160,"Found","N/A")</f>
        <v>#N/A</v>
      </c>
    </row>
    <row r="161" spans="1:5">
      <c r="A161" s="619" t="s">
        <v>2150</v>
      </c>
      <c r="B161" s="620" t="s">
        <v>695</v>
      </c>
      <c r="C161" s="620" t="s">
        <v>2191</v>
      </c>
      <c r="D161" s="664" t="e">
        <f>IF(VLOOKUP($A161,'Database (All)'!$O$7:$O$103,1,FALSE)=$A161,"Found","N/A")</f>
        <v>#N/A</v>
      </c>
      <c r="E161" s="658" t="e">
        <f>IF(VLOOKUP($A161,'Database (All)'!$P$7:$P$103,1,FALSE)=$A161,"Found","N/A")</f>
        <v>#N/A</v>
      </c>
    </row>
    <row r="162" spans="1:5">
      <c r="A162" s="621" t="s">
        <v>2188</v>
      </c>
      <c r="B162" s="622" t="s">
        <v>695</v>
      </c>
      <c r="C162" s="622" t="s">
        <v>2191</v>
      </c>
      <c r="D162" s="649" t="e">
        <f>IF(VLOOKUP($A162,'Database (All)'!$O$7:$O$103,1,FALSE)=$A162,"Found","N/A")</f>
        <v>#N/A</v>
      </c>
      <c r="E162" s="641" t="e">
        <f>IF(VLOOKUP($A162,'Database (All)'!$P$7:$P$103,1,FALSE)=$A162,"Found","N/A")</f>
        <v>#N/A</v>
      </c>
    </row>
    <row r="163" spans="1:5">
      <c r="A163" s="621" t="s">
        <v>2187</v>
      </c>
      <c r="B163" s="622" t="s">
        <v>695</v>
      </c>
      <c r="C163" s="622" t="s">
        <v>2191</v>
      </c>
      <c r="D163" s="649" t="e">
        <f>IF(VLOOKUP($A163,'Database (All)'!$O$7:$O$103,1,FALSE)=$A163,"Found","N/A")</f>
        <v>#N/A</v>
      </c>
      <c r="E163" s="641" t="e">
        <f>IF(VLOOKUP($A163,'Database (All)'!$P$7:$P$103,1,FALSE)=$A163,"Found","N/A")</f>
        <v>#N/A</v>
      </c>
    </row>
    <row r="164" spans="1:5">
      <c r="A164" s="621" t="s">
        <v>2189</v>
      </c>
      <c r="B164" s="622" t="s">
        <v>695</v>
      </c>
      <c r="C164" s="622" t="s">
        <v>2191</v>
      </c>
      <c r="D164" s="649" t="e">
        <f>IF(VLOOKUP($A164,'Database (All)'!$O$7:$O$103,1,FALSE)=$A164,"Found","N/A")</f>
        <v>#N/A</v>
      </c>
      <c r="E164" s="641" t="e">
        <f>IF(VLOOKUP($A164,'Database (All)'!$P$7:$P$103,1,FALSE)=$A164,"Found","N/A")</f>
        <v>#N/A</v>
      </c>
    </row>
    <row r="165" spans="1:5">
      <c r="A165" s="621" t="s">
        <v>2151</v>
      </c>
      <c r="B165" s="622" t="s">
        <v>695</v>
      </c>
      <c r="C165" s="622" t="s">
        <v>2191</v>
      </c>
      <c r="D165" s="649" t="e">
        <f>IF(VLOOKUP($A165,'Database (All)'!$O$7:$O$103,1,FALSE)=$A165,"Found","N/A")</f>
        <v>#N/A</v>
      </c>
      <c r="E165" s="641" t="e">
        <f>IF(VLOOKUP($A165,'Database (All)'!$P$7:$P$103,1,FALSE)=$A165,"Found","N/A")</f>
        <v>#N/A</v>
      </c>
    </row>
    <row r="166" spans="1:5">
      <c r="A166" s="621" t="s">
        <v>2190</v>
      </c>
      <c r="B166" s="622" t="s">
        <v>695</v>
      </c>
      <c r="C166" s="622" t="s">
        <v>2191</v>
      </c>
      <c r="D166" s="649" t="e">
        <f>IF(VLOOKUP($A166,'Database (All)'!$O$7:$O$103,1,FALSE)=$A166,"Found","N/A")</f>
        <v>#N/A</v>
      </c>
      <c r="E166" s="641" t="e">
        <f>IF(VLOOKUP($A166,'Database (All)'!$P$7:$P$103,1,FALSE)=$A166,"Found","N/A")</f>
        <v>#N/A</v>
      </c>
    </row>
    <row r="167" spans="1:5">
      <c r="A167" s="621" t="s">
        <v>2147</v>
      </c>
      <c r="B167" s="622" t="s">
        <v>695</v>
      </c>
      <c r="C167" s="622" t="s">
        <v>2191</v>
      </c>
      <c r="D167" s="649" t="e">
        <f>IF(VLOOKUP($A167,'Database (All)'!$O$7:$O$103,1,FALSE)=$A167,"Found","N/A")</f>
        <v>#N/A</v>
      </c>
      <c r="E167" s="641" t="e">
        <f>IF(VLOOKUP($A167,'Database (All)'!$P$7:$P$103,1,FALSE)=$A167,"Found","N/A")</f>
        <v>#N/A</v>
      </c>
    </row>
    <row r="168" spans="1:5">
      <c r="A168" s="621" t="s">
        <v>2147</v>
      </c>
      <c r="B168" s="622" t="s">
        <v>695</v>
      </c>
      <c r="C168" s="622" t="s">
        <v>2191</v>
      </c>
      <c r="D168" s="649" t="e">
        <f>IF(VLOOKUP($A168,'Database (All)'!$O$7:$O$103,1,FALSE)=$A168,"Found","N/A")</f>
        <v>#N/A</v>
      </c>
      <c r="E168" s="641" t="e">
        <f>IF(VLOOKUP($A168,'Database (All)'!$P$7:$P$103,1,FALSE)=$A168,"Found","N/A")</f>
        <v>#N/A</v>
      </c>
    </row>
    <row r="169" spans="1:5">
      <c r="A169" s="621" t="s">
        <v>2148</v>
      </c>
      <c r="B169" s="622" t="s">
        <v>695</v>
      </c>
      <c r="C169" s="622" t="s">
        <v>2191</v>
      </c>
      <c r="D169" s="649" t="e">
        <f>IF(VLOOKUP($A169,'Database (All)'!$O$7:$O$103,1,FALSE)=$A169,"Found","N/A")</f>
        <v>#N/A</v>
      </c>
      <c r="E169" s="641" t="e">
        <f>IF(VLOOKUP($A169,'Database (All)'!$P$7:$P$103,1,FALSE)=$A169,"Found","N/A")</f>
        <v>#N/A</v>
      </c>
    </row>
    <row r="170" spans="1:5">
      <c r="A170" s="621" t="s">
        <v>2148</v>
      </c>
      <c r="B170" s="622" t="s">
        <v>695</v>
      </c>
      <c r="C170" s="622" t="s">
        <v>2191</v>
      </c>
      <c r="D170" s="649" t="e">
        <f>IF(VLOOKUP($A170,'Database (All)'!$O$7:$O$103,1,FALSE)=$A170,"Found","N/A")</f>
        <v>#N/A</v>
      </c>
      <c r="E170" s="641" t="e">
        <f>IF(VLOOKUP($A170,'Database (All)'!$P$7:$P$103,1,FALSE)=$A170,"Found","N/A")</f>
        <v>#N/A</v>
      </c>
    </row>
    <row r="171" spans="1:5">
      <c r="A171" s="621" t="s">
        <v>2149</v>
      </c>
      <c r="B171" s="622" t="s">
        <v>695</v>
      </c>
      <c r="C171" s="622" t="s">
        <v>2191</v>
      </c>
      <c r="D171" s="649" t="e">
        <f>IF(VLOOKUP($A171,'Database (All)'!$O$7:$O$103,1,FALSE)=$A171,"Found","N/A")</f>
        <v>#N/A</v>
      </c>
      <c r="E171" s="641" t="e">
        <f>IF(VLOOKUP($A171,'Database (All)'!$P$7:$P$103,1,FALSE)=$A171,"Found","N/A")</f>
        <v>#N/A</v>
      </c>
    </row>
    <row r="172" spans="1:5">
      <c r="A172" s="621" t="s">
        <v>2190</v>
      </c>
      <c r="B172" s="622" t="s">
        <v>695</v>
      </c>
      <c r="C172" s="622" t="s">
        <v>2191</v>
      </c>
      <c r="D172" s="649" t="e">
        <f>IF(VLOOKUP($A172,'Database (All)'!$O$7:$O$103,1,FALSE)=$A172,"Found","N/A")</f>
        <v>#N/A</v>
      </c>
      <c r="E172" s="641" t="e">
        <f>IF(VLOOKUP($A172,'Database (All)'!$P$7:$P$103,1,FALSE)=$A172,"Found","N/A")</f>
        <v>#N/A</v>
      </c>
    </row>
    <row r="173" spans="1:5">
      <c r="A173" s="621" t="s">
        <v>2152</v>
      </c>
      <c r="B173" s="622" t="s">
        <v>695</v>
      </c>
      <c r="C173" s="622" t="s">
        <v>2191</v>
      </c>
      <c r="D173" s="649" t="e">
        <f>IF(VLOOKUP($A173,'Database (All)'!$O$7:$O$103,1,FALSE)=$A173,"Found","N/A")</f>
        <v>#N/A</v>
      </c>
      <c r="E173" s="641" t="e">
        <f>IF(VLOOKUP($A173,'Database (All)'!$P$7:$P$103,1,FALSE)=$A173,"Found","N/A")</f>
        <v>#N/A</v>
      </c>
    </row>
    <row r="174" spans="1:5" ht="13.5" thickBot="1">
      <c r="A174" s="623" t="s">
        <v>700</v>
      </c>
      <c r="B174" s="624" t="s">
        <v>695</v>
      </c>
      <c r="C174" s="624" t="s">
        <v>2191</v>
      </c>
      <c r="D174" s="665" t="e">
        <f>IF(VLOOKUP($A174,'Database (All)'!$O$7:$O$103,1,FALSE)=$A174,"Found","N/A")</f>
        <v>#N/A</v>
      </c>
      <c r="E174" s="659" t="e">
        <f>IF(VLOOKUP($A174,'Database (All)'!$P$7:$P$103,1,FALSE)=$A174,"Found","N/A")</f>
        <v>#N/A</v>
      </c>
    </row>
    <row r="175" spans="1:5">
      <c r="A175" s="661" t="s">
        <v>2153</v>
      </c>
      <c r="B175" s="662" t="s">
        <v>2160</v>
      </c>
      <c r="C175" s="662" t="s">
        <v>2191</v>
      </c>
      <c r="D175" s="663" t="e">
        <f>IF(VLOOKUP($A175,'Database (All)'!$Q$7:$Q$103,1,FALSE)=$A175,"Found","")</f>
        <v>#N/A</v>
      </c>
    </row>
    <row r="176" spans="1:5">
      <c r="A176" s="627" t="s">
        <v>2154</v>
      </c>
      <c r="B176" s="628" t="s">
        <v>2160</v>
      </c>
      <c r="C176" s="628" t="s">
        <v>2191</v>
      </c>
      <c r="D176" s="639" t="e">
        <f>IF(VLOOKUP($A176,'Database (All)'!$Q$7:$Q$103,1,FALSE)=$A176,"Found","")</f>
        <v>#N/A</v>
      </c>
    </row>
    <row r="177" spans="1:4">
      <c r="A177" s="627" t="s">
        <v>2155</v>
      </c>
      <c r="B177" s="628" t="s">
        <v>2160</v>
      </c>
      <c r="C177" s="628" t="s">
        <v>2191</v>
      </c>
      <c r="D177" s="639" t="e">
        <f>IF(VLOOKUP($A177,'Database (All)'!$Q$7:$Q$103,1,FALSE)=$A177,"Found","")</f>
        <v>#N/A</v>
      </c>
    </row>
    <row r="178" spans="1:4">
      <c r="A178" s="627" t="s">
        <v>2159</v>
      </c>
      <c r="B178" s="628" t="s">
        <v>2160</v>
      </c>
      <c r="C178" s="628" t="s">
        <v>2191</v>
      </c>
      <c r="D178" s="639" t="e">
        <f>IF(VLOOKUP($A178,'Database (All)'!$Q$7:$Q$103,1,FALSE)=$A178,"Found","")</f>
        <v>#N/A</v>
      </c>
    </row>
    <row r="179" spans="1:4">
      <c r="A179" s="627" t="s">
        <v>2158</v>
      </c>
      <c r="B179" s="628" t="s">
        <v>2160</v>
      </c>
      <c r="C179" s="628" t="s">
        <v>2191</v>
      </c>
      <c r="D179" s="639" t="e">
        <f>IF(VLOOKUP($A179,'Database (All)'!$Q$7:$Q$103,1,FALSE)=$A179,"Found","")</f>
        <v>#N/A</v>
      </c>
    </row>
    <row r="180" spans="1:4">
      <c r="A180" s="627" t="s">
        <v>2157</v>
      </c>
      <c r="B180" s="628" t="s">
        <v>2160</v>
      </c>
      <c r="C180" s="628" t="s">
        <v>2191</v>
      </c>
      <c r="D180" s="639" t="e">
        <f>IF(VLOOKUP($A180,'Database (All)'!$Q$7:$Q$103,1,FALSE)=$A180,"Found","")</f>
        <v>#N/A</v>
      </c>
    </row>
    <row r="181" spans="1:4" ht="13.5" thickBot="1">
      <c r="A181" s="629" t="s">
        <v>2156</v>
      </c>
      <c r="B181" s="630" t="s">
        <v>2160</v>
      </c>
      <c r="C181" s="630" t="s">
        <v>2191</v>
      </c>
      <c r="D181" s="640" t="e">
        <f>IF(VLOOKUP($A181,'Database (All)'!$Q$7:$Q$103,1,FALSE)=$A181,"Found","")</f>
        <v>#N/A</v>
      </c>
    </row>
    <row r="182" spans="1:4">
      <c r="A182" s="619" t="s">
        <v>2172</v>
      </c>
      <c r="B182" s="620" t="s">
        <v>2176</v>
      </c>
      <c r="C182" s="620" t="s">
        <v>56</v>
      </c>
      <c r="D182" s="658" t="e">
        <f>IF(VLOOKUP($A182,'MQ Messaging'!$B$9:$B$46,1,FALSE)=$A182,"Found","")</f>
        <v>#N/A</v>
      </c>
    </row>
    <row r="183" spans="1:4">
      <c r="A183" s="621" t="s">
        <v>2163</v>
      </c>
      <c r="B183" s="622" t="s">
        <v>2176</v>
      </c>
      <c r="C183" s="622" t="s">
        <v>56</v>
      </c>
      <c r="D183" s="641" t="e">
        <f>IF(VLOOKUP($A183,'MQ Messaging'!$B$9:$B$46,1,FALSE)=$A183,"Found","")</f>
        <v>#N/A</v>
      </c>
    </row>
    <row r="184" spans="1:4">
      <c r="A184" s="621" t="s">
        <v>2174</v>
      </c>
      <c r="B184" s="622" t="s">
        <v>2176</v>
      </c>
      <c r="C184" s="622" t="s">
        <v>56</v>
      </c>
      <c r="D184" s="641" t="e">
        <f>IF(VLOOKUP($A184,'MQ Messaging'!$B$9:$B$46,1,FALSE)=$A184,"Found","")</f>
        <v>#N/A</v>
      </c>
    </row>
    <row r="185" spans="1:4">
      <c r="A185" s="621" t="s">
        <v>2168</v>
      </c>
      <c r="B185" s="622" t="s">
        <v>2176</v>
      </c>
      <c r="C185" s="622" t="s">
        <v>56</v>
      </c>
      <c r="D185" s="641" t="e">
        <f>IF(VLOOKUP($A185,'MQ Messaging'!$B$9:$B$46,1,FALSE)=$A185,"Found","")</f>
        <v>#N/A</v>
      </c>
    </row>
    <row r="186" spans="1:4">
      <c r="A186" s="621" t="s">
        <v>2162</v>
      </c>
      <c r="B186" s="622" t="s">
        <v>2176</v>
      </c>
      <c r="C186" s="622" t="s">
        <v>56</v>
      </c>
      <c r="D186" s="641" t="e">
        <f>IF(VLOOKUP($A186,'MQ Messaging'!$B$9:$B$46,1,FALSE)=$A186,"Found","")</f>
        <v>#N/A</v>
      </c>
    </row>
    <row r="187" spans="1:4">
      <c r="A187" s="621" t="s">
        <v>2170</v>
      </c>
      <c r="B187" s="622" t="s">
        <v>2176</v>
      </c>
      <c r="C187" s="622" t="s">
        <v>56</v>
      </c>
      <c r="D187" s="641" t="e">
        <f>IF(VLOOKUP($A187,'MQ Messaging'!$B$9:$B$46,1,FALSE)=$A187,"Found","")</f>
        <v>#N/A</v>
      </c>
    </row>
    <row r="188" spans="1:4">
      <c r="A188" s="621" t="s">
        <v>2167</v>
      </c>
      <c r="B188" s="622" t="s">
        <v>2176</v>
      </c>
      <c r="C188" s="622" t="s">
        <v>56</v>
      </c>
      <c r="D188" s="641" t="e">
        <f>IF(VLOOKUP($A188,'MQ Messaging'!$B$9:$B$46,1,FALSE)=$A188,"Found","")</f>
        <v>#N/A</v>
      </c>
    </row>
    <row r="189" spans="1:4">
      <c r="A189" s="621" t="s">
        <v>2173</v>
      </c>
      <c r="B189" s="622" t="s">
        <v>2176</v>
      </c>
      <c r="C189" s="622" t="s">
        <v>56</v>
      </c>
      <c r="D189" s="641" t="e">
        <f>IF(VLOOKUP($A189,'MQ Messaging'!$B$9:$B$46,1,FALSE)=$A189,"Found","")</f>
        <v>#N/A</v>
      </c>
    </row>
    <row r="190" spans="1:4">
      <c r="A190" s="621" t="s">
        <v>2169</v>
      </c>
      <c r="B190" s="622" t="s">
        <v>2176</v>
      </c>
      <c r="C190" s="622" t="s">
        <v>56</v>
      </c>
      <c r="D190" s="641" t="e">
        <f>IF(VLOOKUP($A190,'MQ Messaging'!$B$9:$B$46,1,FALSE)=$A190,"Found","")</f>
        <v>#N/A</v>
      </c>
    </row>
    <row r="191" spans="1:4">
      <c r="A191" s="621" t="s">
        <v>2165</v>
      </c>
      <c r="B191" s="622" t="s">
        <v>2176</v>
      </c>
      <c r="C191" s="622" t="s">
        <v>56</v>
      </c>
      <c r="D191" s="641" t="e">
        <f>IF(VLOOKUP($A191,'MQ Messaging'!$B$9:$B$46,1,FALSE)=$A191,"Found","")</f>
        <v>#N/A</v>
      </c>
    </row>
    <row r="192" spans="1:4">
      <c r="A192" s="621" t="s">
        <v>2166</v>
      </c>
      <c r="B192" s="622" t="s">
        <v>2176</v>
      </c>
      <c r="C192" s="622" t="s">
        <v>56</v>
      </c>
      <c r="D192" s="641" t="e">
        <f>IF(VLOOKUP($A192,'MQ Messaging'!$B$9:$B$46,1,FALSE)=$A192,"Found","")</f>
        <v>#N/A</v>
      </c>
    </row>
    <row r="193" spans="1:5">
      <c r="A193" s="621" t="s">
        <v>2164</v>
      </c>
      <c r="B193" s="622" t="s">
        <v>2176</v>
      </c>
      <c r="C193" s="622" t="s">
        <v>56</v>
      </c>
      <c r="D193" s="641" t="e">
        <f>IF(VLOOKUP($A193,'MQ Messaging'!$B$9:$B$46,1,FALSE)=$A193,"Found","")</f>
        <v>#N/A</v>
      </c>
    </row>
    <row r="194" spans="1:5">
      <c r="A194" s="621" t="s">
        <v>564</v>
      </c>
      <c r="B194" s="622" t="s">
        <v>2176</v>
      </c>
      <c r="C194" s="622" t="s">
        <v>56</v>
      </c>
      <c r="D194" s="641" t="e">
        <f>IF(VLOOKUP($A194,'MQ Messaging'!$B$9:$B$46,1,FALSE)=$A194,"Found","")</f>
        <v>#N/A</v>
      </c>
    </row>
    <row r="195" spans="1:5">
      <c r="A195" s="621" t="s">
        <v>535</v>
      </c>
      <c r="B195" s="622" t="s">
        <v>2176</v>
      </c>
      <c r="C195" s="622" t="s">
        <v>56</v>
      </c>
      <c r="D195" s="641" t="e">
        <f>IF(VLOOKUP($A195,'MQ Messaging'!$B$9:$B$46,1,FALSE)=$A195,"Found","")</f>
        <v>#N/A</v>
      </c>
    </row>
    <row r="196" spans="1:5">
      <c r="A196" s="621" t="s">
        <v>2161</v>
      </c>
      <c r="B196" s="622" t="s">
        <v>2176</v>
      </c>
      <c r="C196" s="622" t="s">
        <v>56</v>
      </c>
      <c r="D196" s="641" t="e">
        <f>IF(VLOOKUP($A196,'MQ Messaging'!$B$9:$B$46,1,FALSE)=$A196,"Found","")</f>
        <v>#N/A</v>
      </c>
    </row>
    <row r="197" spans="1:5">
      <c r="A197" s="621" t="s">
        <v>536</v>
      </c>
      <c r="B197" s="622" t="s">
        <v>2176</v>
      </c>
      <c r="C197" s="622" t="s">
        <v>56</v>
      </c>
      <c r="D197" s="641" t="e">
        <f>IF(VLOOKUP($A197,'MQ Messaging'!$B$9:$B$46,1,FALSE)=$A197,"Found","")</f>
        <v>#N/A</v>
      </c>
    </row>
    <row r="198" spans="1:5">
      <c r="A198" s="621" t="s">
        <v>2175</v>
      </c>
      <c r="B198" s="622" t="s">
        <v>2176</v>
      </c>
      <c r="C198" s="622" t="s">
        <v>56</v>
      </c>
      <c r="D198" s="641" t="e">
        <f>IF(VLOOKUP($A198,'MQ Messaging'!$B$9:$B$46,1,FALSE)=$A198,"Found","")</f>
        <v>#N/A</v>
      </c>
    </row>
    <row r="199" spans="1:5" ht="13.5" thickBot="1">
      <c r="A199" s="623" t="s">
        <v>2171</v>
      </c>
      <c r="B199" s="624" t="s">
        <v>2176</v>
      </c>
      <c r="C199" s="624" t="s">
        <v>56</v>
      </c>
      <c r="D199" s="659" t="e">
        <f>IF(VLOOKUP($A199,'MQ Messaging'!$B$9:$B$46,1,FALSE)=$A199,"Found","")</f>
        <v>#N/A</v>
      </c>
    </row>
    <row r="200" spans="1:5">
      <c r="A200" s="625" t="s">
        <v>2154</v>
      </c>
      <c r="B200" s="626" t="s">
        <v>2179</v>
      </c>
      <c r="C200" s="626" t="s">
        <v>2191</v>
      </c>
      <c r="D200" s="655" t="e">
        <f>IF(VLOOKUP($A200,'Database (All)'!$O$7:$O$103,1,FALSE)=$A200,"Found","N/A")</f>
        <v>#N/A</v>
      </c>
      <c r="E200" s="638" t="e">
        <f>IF(VLOOKUP($A200,'Database (All)'!$P$7:$P$103,1,FALSE)=$A200,"Found","N/A")</f>
        <v>#N/A</v>
      </c>
    </row>
    <row r="201" spans="1:5">
      <c r="A201" s="627" t="s">
        <v>2035</v>
      </c>
      <c r="B201" s="628" t="s">
        <v>2179</v>
      </c>
      <c r="C201" s="628" t="s">
        <v>2191</v>
      </c>
      <c r="D201" s="651" t="e">
        <f>IF(VLOOKUP($A201,'Database (All)'!$O$7:$O$103,1,FALSE)=$A201,"Found","N/A")</f>
        <v>#N/A</v>
      </c>
      <c r="E201" s="639" t="e">
        <f>IF(VLOOKUP($A201,'Database (All)'!$P$7:$P$103,1,FALSE)=$A201,"Found","N/A")</f>
        <v>#N/A</v>
      </c>
    </row>
    <row r="202" spans="1:5">
      <c r="A202" s="627" t="s">
        <v>2159</v>
      </c>
      <c r="B202" s="628" t="s">
        <v>2179</v>
      </c>
      <c r="C202" s="628" t="s">
        <v>2191</v>
      </c>
      <c r="D202" s="651" t="e">
        <f>IF(VLOOKUP($A202,'Database (All)'!$O$7:$O$103,1,FALSE)=$A202,"Found","N/A")</f>
        <v>#N/A</v>
      </c>
      <c r="E202" s="639" t="e">
        <f>IF(VLOOKUP($A202,'Database (All)'!$P$7:$P$103,1,FALSE)=$A202,"Found","N/A")</f>
        <v>#N/A</v>
      </c>
    </row>
    <row r="203" spans="1:5">
      <c r="A203" s="627" t="s">
        <v>2177</v>
      </c>
      <c r="B203" s="628" t="s">
        <v>2179</v>
      </c>
      <c r="C203" s="628" t="s">
        <v>2191</v>
      </c>
      <c r="D203" s="651" t="e">
        <f>IF(VLOOKUP($A203,'Database (All)'!$O$7:$O$103,1,FALSE)=$A203,"Found","N/A")</f>
        <v>#N/A</v>
      </c>
      <c r="E203" s="639" t="e">
        <f>IF(VLOOKUP($A203,'Database (All)'!$P$7:$P$103,1,FALSE)=$A203,"Found","N/A")</f>
        <v>#N/A</v>
      </c>
    </row>
    <row r="204" spans="1:5" ht="13.5" thickBot="1">
      <c r="A204" s="629" t="s">
        <v>2178</v>
      </c>
      <c r="B204" s="630" t="s">
        <v>2179</v>
      </c>
      <c r="C204" s="630" t="s">
        <v>2191</v>
      </c>
      <c r="D204" s="640" t="e">
        <f>IF(VLOOKUP($A204,'Database (All)'!$O$7:$O$103,1,FALSE)=$A204,"Found","N/A")</f>
        <v>#N/A</v>
      </c>
      <c r="E204" s="640" t="e">
        <f>IF(VLOOKUP($A204,'Database (All)'!$P$7:$P$103,1,FALSE)=$A204,"Found","N/A")</f>
        <v>#N/A</v>
      </c>
    </row>
    <row r="205" spans="1:5" ht="13.5" thickBot="1">
      <c r="A205" s="652" t="s">
        <v>2180</v>
      </c>
      <c r="B205" s="653" t="s">
        <v>2182</v>
      </c>
      <c r="C205" s="653" t="s">
        <v>2192</v>
      </c>
      <c r="D205" s="654" t="s">
        <v>2193</v>
      </c>
    </row>
    <row r="206" spans="1:5" ht="13.5" thickBot="1">
      <c r="A206" s="631" t="s">
        <v>2181</v>
      </c>
      <c r="B206" s="632" t="s">
        <v>2182</v>
      </c>
      <c r="C206" s="632" t="s">
        <v>2192</v>
      </c>
      <c r="D206" s="644" t="s">
        <v>2193</v>
      </c>
    </row>
    <row r="207" spans="1:5" ht="13.5" thickBot="1">
      <c r="A207" s="625" t="s">
        <v>2097</v>
      </c>
      <c r="B207" s="626" t="s">
        <v>2146</v>
      </c>
      <c r="C207" s="626"/>
      <c r="D207" s="644" t="s">
        <v>2193</v>
      </c>
    </row>
    <row r="208" spans="1:5" ht="13.5" thickBot="1">
      <c r="A208" s="627" t="s">
        <v>2094</v>
      </c>
      <c r="B208" s="628" t="s">
        <v>2146</v>
      </c>
      <c r="C208" s="628"/>
      <c r="D208" s="644" t="s">
        <v>2193</v>
      </c>
    </row>
    <row r="209" spans="1:4" ht="13.5" thickBot="1">
      <c r="A209" s="627" t="s">
        <v>2112</v>
      </c>
      <c r="B209" s="628" t="s">
        <v>2146</v>
      </c>
      <c r="C209" s="628"/>
      <c r="D209" s="644" t="s">
        <v>2193</v>
      </c>
    </row>
    <row r="210" spans="1:4" ht="13.5" thickBot="1">
      <c r="A210" s="627" t="s">
        <v>2072</v>
      </c>
      <c r="B210" s="628" t="s">
        <v>2146</v>
      </c>
      <c r="C210" s="628"/>
      <c r="D210" s="644" t="s">
        <v>2193</v>
      </c>
    </row>
    <row r="211" spans="1:4" ht="13.5" thickBot="1">
      <c r="A211" s="627" t="s">
        <v>2140</v>
      </c>
      <c r="B211" s="628" t="s">
        <v>2146</v>
      </c>
      <c r="C211" s="628"/>
      <c r="D211" s="644" t="s">
        <v>2193</v>
      </c>
    </row>
    <row r="212" spans="1:4" ht="13.5" thickBot="1">
      <c r="A212" s="627" t="s">
        <v>2082</v>
      </c>
      <c r="B212" s="628" t="s">
        <v>2146</v>
      </c>
      <c r="C212" s="628"/>
      <c r="D212" s="644" t="s">
        <v>2193</v>
      </c>
    </row>
    <row r="213" spans="1:4" ht="13.5" thickBot="1">
      <c r="A213" s="627" t="s">
        <v>2102</v>
      </c>
      <c r="B213" s="628" t="s">
        <v>2146</v>
      </c>
      <c r="C213" s="628"/>
      <c r="D213" s="644" t="s">
        <v>2193</v>
      </c>
    </row>
    <row r="214" spans="1:4" ht="13.5" thickBot="1">
      <c r="A214" s="627" t="s">
        <v>2079</v>
      </c>
      <c r="B214" s="628" t="s">
        <v>2146</v>
      </c>
      <c r="C214" s="628"/>
      <c r="D214" s="644" t="s">
        <v>2193</v>
      </c>
    </row>
    <row r="215" spans="1:4" ht="13.5" thickBot="1">
      <c r="A215" s="627" t="s">
        <v>2121</v>
      </c>
      <c r="B215" s="628" t="s">
        <v>2146</v>
      </c>
      <c r="C215" s="628"/>
      <c r="D215" s="644" t="s">
        <v>2193</v>
      </c>
    </row>
    <row r="216" spans="1:4" ht="13.5" thickBot="1">
      <c r="A216" s="627" t="s">
        <v>2093</v>
      </c>
      <c r="B216" s="628" t="s">
        <v>2146</v>
      </c>
      <c r="C216" s="628"/>
      <c r="D216" s="644" t="s">
        <v>2193</v>
      </c>
    </row>
    <row r="217" spans="1:4" ht="13.5" thickBot="1">
      <c r="A217" s="627" t="s">
        <v>2117</v>
      </c>
      <c r="B217" s="628" t="s">
        <v>2146</v>
      </c>
      <c r="C217" s="628"/>
      <c r="D217" s="644" t="s">
        <v>2193</v>
      </c>
    </row>
    <row r="218" spans="1:4" ht="13.5" thickBot="1">
      <c r="A218" s="627" t="s">
        <v>2090</v>
      </c>
      <c r="B218" s="628" t="s">
        <v>2146</v>
      </c>
      <c r="C218" s="628"/>
      <c r="D218" s="644" t="s">
        <v>2193</v>
      </c>
    </row>
    <row r="219" spans="1:4" ht="13.5" thickBot="1">
      <c r="A219" s="627" t="s">
        <v>2064</v>
      </c>
      <c r="B219" s="628" t="s">
        <v>2146</v>
      </c>
      <c r="C219" s="628"/>
      <c r="D219" s="644" t="s">
        <v>2193</v>
      </c>
    </row>
    <row r="220" spans="1:4" ht="13.5" thickBot="1">
      <c r="A220" s="627" t="s">
        <v>2108</v>
      </c>
      <c r="B220" s="628" t="s">
        <v>2146</v>
      </c>
      <c r="C220" s="628"/>
      <c r="D220" s="644" t="s">
        <v>2193</v>
      </c>
    </row>
    <row r="221" spans="1:4" ht="13.5" thickBot="1">
      <c r="A221" s="627" t="s">
        <v>2080</v>
      </c>
      <c r="B221" s="628" t="s">
        <v>2146</v>
      </c>
      <c r="C221" s="628"/>
      <c r="D221" s="644" t="s">
        <v>2193</v>
      </c>
    </row>
    <row r="222" spans="1:4" ht="13.5" thickBot="1">
      <c r="A222" s="627" t="s">
        <v>2133</v>
      </c>
      <c r="B222" s="628" t="s">
        <v>2146</v>
      </c>
      <c r="C222" s="628"/>
      <c r="D222" s="644" t="s">
        <v>2193</v>
      </c>
    </row>
    <row r="223" spans="1:4" ht="13.5" thickBot="1">
      <c r="A223" s="627" t="s">
        <v>2111</v>
      </c>
      <c r="B223" s="628" t="s">
        <v>2146</v>
      </c>
      <c r="C223" s="628"/>
      <c r="D223" s="644" t="s">
        <v>2193</v>
      </c>
    </row>
    <row r="224" spans="1:4" ht="13.5" thickBot="1">
      <c r="A224" s="627" t="s">
        <v>2135</v>
      </c>
      <c r="B224" s="628" t="s">
        <v>2146</v>
      </c>
      <c r="C224" s="628"/>
      <c r="D224" s="644" t="s">
        <v>2193</v>
      </c>
    </row>
    <row r="225" spans="1:4" ht="13.5" thickBot="1">
      <c r="A225" s="627" t="s">
        <v>2120</v>
      </c>
      <c r="B225" s="628" t="s">
        <v>2146</v>
      </c>
      <c r="C225" s="628"/>
      <c r="D225" s="644" t="s">
        <v>2193</v>
      </c>
    </row>
    <row r="226" spans="1:4" ht="13.5" thickBot="1">
      <c r="A226" s="627" t="s">
        <v>2084</v>
      </c>
      <c r="B226" s="628" t="s">
        <v>2146</v>
      </c>
      <c r="C226" s="628"/>
      <c r="D226" s="644" t="s">
        <v>2193</v>
      </c>
    </row>
    <row r="227" spans="1:4" ht="13.5" thickBot="1">
      <c r="A227" s="627" t="s">
        <v>2124</v>
      </c>
      <c r="B227" s="628" t="s">
        <v>2146</v>
      </c>
      <c r="C227" s="628"/>
      <c r="D227" s="644" t="s">
        <v>2193</v>
      </c>
    </row>
    <row r="228" spans="1:4" ht="13.5" thickBot="1">
      <c r="A228" s="627" t="s">
        <v>2130</v>
      </c>
      <c r="B228" s="628" t="s">
        <v>2146</v>
      </c>
      <c r="C228" s="628"/>
      <c r="D228" s="644" t="s">
        <v>2193</v>
      </c>
    </row>
    <row r="229" spans="1:4" ht="13.5" thickBot="1">
      <c r="A229" s="627" t="s">
        <v>2126</v>
      </c>
      <c r="B229" s="628" t="s">
        <v>2146</v>
      </c>
      <c r="C229" s="628"/>
      <c r="D229" s="644" t="s">
        <v>2193</v>
      </c>
    </row>
    <row r="230" spans="1:4" ht="13.5" thickBot="1">
      <c r="A230" s="627" t="s">
        <v>2122</v>
      </c>
      <c r="B230" s="628" t="s">
        <v>2146</v>
      </c>
      <c r="C230" s="628"/>
      <c r="D230" s="644" t="s">
        <v>2193</v>
      </c>
    </row>
    <row r="231" spans="1:4" ht="13.5" thickBot="1">
      <c r="A231" s="627" t="s">
        <v>2069</v>
      </c>
      <c r="B231" s="628" t="s">
        <v>2146</v>
      </c>
      <c r="C231" s="628"/>
      <c r="D231" s="644" t="s">
        <v>2193</v>
      </c>
    </row>
    <row r="232" spans="1:4" ht="13.5" thickBot="1">
      <c r="A232" s="627" t="s">
        <v>2100</v>
      </c>
      <c r="B232" s="628" t="s">
        <v>2146</v>
      </c>
      <c r="C232" s="628"/>
      <c r="D232" s="644" t="s">
        <v>2193</v>
      </c>
    </row>
    <row r="233" spans="1:4" ht="13.5" thickBot="1">
      <c r="A233" s="627" t="s">
        <v>2109</v>
      </c>
      <c r="B233" s="628" t="s">
        <v>2146</v>
      </c>
      <c r="C233" s="628"/>
      <c r="D233" s="644" t="s">
        <v>2193</v>
      </c>
    </row>
    <row r="234" spans="1:4" ht="13.5" thickBot="1">
      <c r="A234" s="627" t="s">
        <v>2075</v>
      </c>
      <c r="B234" s="628" t="s">
        <v>2146</v>
      </c>
      <c r="C234" s="628"/>
      <c r="D234" s="644" t="s">
        <v>2193</v>
      </c>
    </row>
    <row r="235" spans="1:4" ht="13.5" thickBot="1">
      <c r="A235" s="627" t="s">
        <v>2101</v>
      </c>
      <c r="B235" s="628" t="s">
        <v>2146</v>
      </c>
      <c r="C235" s="628"/>
      <c r="D235" s="644" t="s">
        <v>2193</v>
      </c>
    </row>
    <row r="236" spans="1:4" ht="13.5" thickBot="1">
      <c r="A236" s="627" t="s">
        <v>2110</v>
      </c>
      <c r="B236" s="628" t="s">
        <v>2146</v>
      </c>
      <c r="C236" s="628"/>
      <c r="D236" s="644" t="s">
        <v>2193</v>
      </c>
    </row>
    <row r="237" spans="1:4" ht="13.5" thickBot="1">
      <c r="A237" s="627" t="s">
        <v>2085</v>
      </c>
      <c r="B237" s="628" t="s">
        <v>2146</v>
      </c>
      <c r="C237" s="628"/>
      <c r="D237" s="644" t="s">
        <v>2193</v>
      </c>
    </row>
    <row r="238" spans="1:4" ht="13.5" thickBot="1">
      <c r="A238" s="627" t="s">
        <v>2129</v>
      </c>
      <c r="B238" s="628" t="s">
        <v>2146</v>
      </c>
      <c r="C238" s="628"/>
      <c r="D238" s="644" t="s">
        <v>2193</v>
      </c>
    </row>
    <row r="239" spans="1:4" ht="13.5" thickBot="1">
      <c r="A239" s="627" t="s">
        <v>2098</v>
      </c>
      <c r="B239" s="628" t="s">
        <v>2146</v>
      </c>
      <c r="C239" s="628"/>
      <c r="D239" s="644" t="s">
        <v>2193</v>
      </c>
    </row>
    <row r="240" spans="1:4" ht="13.5" thickBot="1">
      <c r="A240" s="627" t="s">
        <v>2087</v>
      </c>
      <c r="B240" s="628" t="s">
        <v>2146</v>
      </c>
      <c r="C240" s="628"/>
      <c r="D240" s="644" t="s">
        <v>2193</v>
      </c>
    </row>
    <row r="241" spans="1:4" ht="13.5" thickBot="1">
      <c r="A241" s="627" t="s">
        <v>2128</v>
      </c>
      <c r="B241" s="628" t="s">
        <v>2146</v>
      </c>
      <c r="C241" s="628"/>
      <c r="D241" s="644" t="s">
        <v>2193</v>
      </c>
    </row>
    <row r="242" spans="1:4" ht="13.5" thickBot="1">
      <c r="A242" s="627" t="s">
        <v>2136</v>
      </c>
      <c r="B242" s="628" t="s">
        <v>2146</v>
      </c>
      <c r="C242" s="628"/>
      <c r="D242" s="644" t="s">
        <v>2193</v>
      </c>
    </row>
    <row r="243" spans="1:4" ht="13.5" thickBot="1">
      <c r="A243" s="627" t="s">
        <v>2096</v>
      </c>
      <c r="B243" s="628" t="s">
        <v>2146</v>
      </c>
      <c r="C243" s="628"/>
      <c r="D243" s="644" t="s">
        <v>2193</v>
      </c>
    </row>
    <row r="244" spans="1:4" ht="13.5" thickBot="1">
      <c r="A244" s="627" t="s">
        <v>2115</v>
      </c>
      <c r="B244" s="628" t="s">
        <v>2146</v>
      </c>
      <c r="C244" s="628"/>
      <c r="D244" s="644" t="s">
        <v>2193</v>
      </c>
    </row>
    <row r="245" spans="1:4" ht="13.5" thickBot="1">
      <c r="A245" s="627" t="s">
        <v>2141</v>
      </c>
      <c r="B245" s="628" t="s">
        <v>2146</v>
      </c>
      <c r="C245" s="628"/>
      <c r="D245" s="644" t="s">
        <v>2193</v>
      </c>
    </row>
    <row r="246" spans="1:4" ht="13.5" thickBot="1">
      <c r="A246" s="627" t="s">
        <v>2103</v>
      </c>
      <c r="B246" s="628" t="s">
        <v>2146</v>
      </c>
      <c r="C246" s="628"/>
      <c r="D246" s="644" t="s">
        <v>2193</v>
      </c>
    </row>
    <row r="247" spans="1:4" ht="13.5" thickBot="1">
      <c r="A247" s="627" t="s">
        <v>2099</v>
      </c>
      <c r="B247" s="628" t="s">
        <v>2146</v>
      </c>
      <c r="C247" s="628"/>
      <c r="D247" s="644" t="s">
        <v>2193</v>
      </c>
    </row>
    <row r="248" spans="1:4" ht="13.5" thickBot="1">
      <c r="A248" s="627" t="s">
        <v>2063</v>
      </c>
      <c r="B248" s="628" t="s">
        <v>2146</v>
      </c>
      <c r="C248" s="628"/>
      <c r="D248" s="644" t="s">
        <v>2193</v>
      </c>
    </row>
    <row r="249" spans="1:4" ht="13.5" thickBot="1">
      <c r="A249" s="627" t="s">
        <v>2134</v>
      </c>
      <c r="B249" s="628" t="s">
        <v>2146</v>
      </c>
      <c r="C249" s="628"/>
      <c r="D249" s="644" t="s">
        <v>2193</v>
      </c>
    </row>
    <row r="250" spans="1:4" ht="13.5" thickBot="1">
      <c r="A250" s="627" t="s">
        <v>2139</v>
      </c>
      <c r="B250" s="628" t="s">
        <v>2146</v>
      </c>
      <c r="C250" s="628"/>
      <c r="D250" s="644" t="s">
        <v>2193</v>
      </c>
    </row>
    <row r="251" spans="1:4" ht="13.5" thickBot="1">
      <c r="A251" s="627" t="s">
        <v>2119</v>
      </c>
      <c r="B251" s="628" t="s">
        <v>2146</v>
      </c>
      <c r="C251" s="628"/>
      <c r="D251" s="644" t="s">
        <v>2193</v>
      </c>
    </row>
    <row r="252" spans="1:4" ht="13.5" thickBot="1">
      <c r="A252" s="627" t="s">
        <v>2145</v>
      </c>
      <c r="B252" s="628" t="s">
        <v>2146</v>
      </c>
      <c r="C252" s="628"/>
      <c r="D252" s="644" t="s">
        <v>2193</v>
      </c>
    </row>
    <row r="253" spans="1:4" ht="13.5" thickBot="1">
      <c r="A253" s="627" t="s">
        <v>2066</v>
      </c>
      <c r="B253" s="628" t="s">
        <v>2146</v>
      </c>
      <c r="C253" s="628"/>
      <c r="D253" s="644" t="s">
        <v>2193</v>
      </c>
    </row>
    <row r="254" spans="1:4" ht="13.5" thickBot="1">
      <c r="A254" s="627" t="s">
        <v>2116</v>
      </c>
      <c r="B254" s="628" t="s">
        <v>2146</v>
      </c>
      <c r="C254" s="628"/>
      <c r="D254" s="644" t="s">
        <v>2193</v>
      </c>
    </row>
    <row r="255" spans="1:4" ht="13.5" thickBot="1">
      <c r="A255" s="627" t="s">
        <v>2137</v>
      </c>
      <c r="B255" s="628" t="s">
        <v>2146</v>
      </c>
      <c r="C255" s="628"/>
      <c r="D255" s="644" t="s">
        <v>2193</v>
      </c>
    </row>
    <row r="256" spans="1:4" ht="13.5" thickBot="1">
      <c r="A256" s="627" t="s">
        <v>2086</v>
      </c>
      <c r="B256" s="628" t="s">
        <v>2146</v>
      </c>
      <c r="C256" s="628"/>
      <c r="D256" s="644" t="s">
        <v>2193</v>
      </c>
    </row>
    <row r="257" spans="1:4" ht="13.5" thickBot="1">
      <c r="A257" s="627" t="s">
        <v>2077</v>
      </c>
      <c r="B257" s="628" t="s">
        <v>2146</v>
      </c>
      <c r="C257" s="628"/>
      <c r="D257" s="644" t="s">
        <v>2193</v>
      </c>
    </row>
    <row r="258" spans="1:4" ht="13.5" thickBot="1">
      <c r="A258" s="627" t="s">
        <v>2107</v>
      </c>
      <c r="B258" s="628" t="s">
        <v>2146</v>
      </c>
      <c r="C258" s="628"/>
      <c r="D258" s="644" t="s">
        <v>2193</v>
      </c>
    </row>
    <row r="259" spans="1:4" ht="13.5" thickBot="1">
      <c r="A259" s="627" t="s">
        <v>2065</v>
      </c>
      <c r="B259" s="628" t="s">
        <v>2146</v>
      </c>
      <c r="C259" s="628"/>
      <c r="D259" s="644" t="s">
        <v>2193</v>
      </c>
    </row>
    <row r="260" spans="1:4" ht="13.5" thickBot="1">
      <c r="A260" s="627" t="s">
        <v>2127</v>
      </c>
      <c r="B260" s="628" t="s">
        <v>2146</v>
      </c>
      <c r="C260" s="628"/>
      <c r="D260" s="644" t="s">
        <v>2193</v>
      </c>
    </row>
    <row r="261" spans="1:4" ht="13.5" thickBot="1">
      <c r="A261" s="627" t="s">
        <v>2076</v>
      </c>
      <c r="B261" s="628" t="s">
        <v>2146</v>
      </c>
      <c r="C261" s="628"/>
      <c r="D261" s="644" t="s">
        <v>2193</v>
      </c>
    </row>
    <row r="262" spans="1:4" ht="13.5" thickBot="1">
      <c r="A262" s="627" t="s">
        <v>2071</v>
      </c>
      <c r="B262" s="628" t="s">
        <v>2146</v>
      </c>
      <c r="C262" s="628"/>
      <c r="D262" s="644" t="s">
        <v>2193</v>
      </c>
    </row>
    <row r="263" spans="1:4" ht="13.5" thickBot="1">
      <c r="A263" s="627" t="s">
        <v>2123</v>
      </c>
      <c r="B263" s="628" t="s">
        <v>2146</v>
      </c>
      <c r="C263" s="628"/>
      <c r="D263" s="644" t="s">
        <v>2193</v>
      </c>
    </row>
    <row r="264" spans="1:4" ht="13.5" thickBot="1">
      <c r="A264" s="627" t="s">
        <v>2062</v>
      </c>
      <c r="B264" s="628" t="s">
        <v>2146</v>
      </c>
      <c r="C264" s="628"/>
      <c r="D264" s="644" t="s">
        <v>2193</v>
      </c>
    </row>
    <row r="265" spans="1:4" ht="13.5" thickBot="1">
      <c r="A265" s="627" t="s">
        <v>2144</v>
      </c>
      <c r="B265" s="628" t="s">
        <v>2146</v>
      </c>
      <c r="C265" s="628"/>
      <c r="D265" s="644" t="s">
        <v>2193</v>
      </c>
    </row>
    <row r="266" spans="1:4" ht="13.5" thickBot="1">
      <c r="A266" s="627" t="s">
        <v>2095</v>
      </c>
      <c r="B266" s="628" t="s">
        <v>2146</v>
      </c>
      <c r="C266" s="628"/>
      <c r="D266" s="644" t="s">
        <v>2193</v>
      </c>
    </row>
    <row r="267" spans="1:4" ht="13.5" thickBot="1">
      <c r="A267" s="627" t="s">
        <v>2088</v>
      </c>
      <c r="B267" s="628" t="s">
        <v>2146</v>
      </c>
      <c r="C267" s="628"/>
      <c r="D267" s="644" t="s">
        <v>2193</v>
      </c>
    </row>
    <row r="268" spans="1:4" ht="13.5" thickBot="1">
      <c r="A268" s="627" t="s">
        <v>2125</v>
      </c>
      <c r="B268" s="628" t="s">
        <v>2146</v>
      </c>
      <c r="C268" s="628"/>
      <c r="D268" s="644" t="s">
        <v>2193</v>
      </c>
    </row>
    <row r="269" spans="1:4" ht="13.5" thickBot="1">
      <c r="A269" s="627" t="s">
        <v>2132</v>
      </c>
      <c r="B269" s="628" t="s">
        <v>2146</v>
      </c>
      <c r="C269" s="628"/>
      <c r="D269" s="644" t="s">
        <v>2193</v>
      </c>
    </row>
    <row r="270" spans="1:4" ht="13.5" thickBot="1">
      <c r="A270" s="627" t="s">
        <v>2113</v>
      </c>
      <c r="B270" s="628" t="s">
        <v>2146</v>
      </c>
      <c r="C270" s="628"/>
      <c r="D270" s="644" t="s">
        <v>2193</v>
      </c>
    </row>
    <row r="271" spans="1:4" ht="13.5" thickBot="1">
      <c r="A271" s="627" t="s">
        <v>2081</v>
      </c>
      <c r="B271" s="628" t="s">
        <v>2146</v>
      </c>
      <c r="C271" s="628"/>
      <c r="D271" s="644" t="s">
        <v>2193</v>
      </c>
    </row>
    <row r="272" spans="1:4" ht="13.5" thickBot="1">
      <c r="A272" s="627" t="s">
        <v>2092</v>
      </c>
      <c r="B272" s="628" t="s">
        <v>2146</v>
      </c>
      <c r="C272" s="628"/>
      <c r="D272" s="644" t="s">
        <v>2193</v>
      </c>
    </row>
    <row r="273" spans="1:4" ht="13.5" thickBot="1">
      <c r="A273" s="627" t="s">
        <v>2067</v>
      </c>
      <c r="B273" s="628" t="s">
        <v>2146</v>
      </c>
      <c r="C273" s="628"/>
      <c r="D273" s="644" t="s">
        <v>2193</v>
      </c>
    </row>
    <row r="274" spans="1:4" ht="13.5" thickBot="1">
      <c r="A274" s="627" t="s">
        <v>2074</v>
      </c>
      <c r="B274" s="628" t="s">
        <v>2146</v>
      </c>
      <c r="C274" s="628"/>
      <c r="D274" s="644" t="s">
        <v>2193</v>
      </c>
    </row>
    <row r="275" spans="1:4" ht="13.5" thickBot="1">
      <c r="A275" s="627" t="s">
        <v>2061</v>
      </c>
      <c r="B275" s="628" t="s">
        <v>2146</v>
      </c>
      <c r="C275" s="628"/>
      <c r="D275" s="644" t="s">
        <v>2193</v>
      </c>
    </row>
    <row r="276" spans="1:4" ht="13.5" thickBot="1">
      <c r="A276" s="627" t="s">
        <v>2114</v>
      </c>
      <c r="B276" s="628" t="s">
        <v>2146</v>
      </c>
      <c r="C276" s="628"/>
      <c r="D276" s="644" t="s">
        <v>2193</v>
      </c>
    </row>
    <row r="277" spans="1:4" ht="13.5" thickBot="1">
      <c r="A277" s="627" t="s">
        <v>2070</v>
      </c>
      <c r="B277" s="628" t="s">
        <v>2146</v>
      </c>
      <c r="C277" s="628"/>
      <c r="D277" s="644" t="s">
        <v>2193</v>
      </c>
    </row>
    <row r="278" spans="1:4" ht="13.5" thickBot="1">
      <c r="A278" s="627" t="s">
        <v>2073</v>
      </c>
      <c r="B278" s="628" t="s">
        <v>2146</v>
      </c>
      <c r="C278" s="628"/>
      <c r="D278" s="644" t="s">
        <v>2193</v>
      </c>
    </row>
    <row r="279" spans="1:4" ht="13.5" thickBot="1">
      <c r="A279" s="627" t="s">
        <v>2078</v>
      </c>
      <c r="B279" s="628" t="s">
        <v>2146</v>
      </c>
      <c r="C279" s="628"/>
      <c r="D279" s="644" t="s">
        <v>2193</v>
      </c>
    </row>
    <row r="280" spans="1:4" ht="13.5" thickBot="1">
      <c r="A280" s="627" t="s">
        <v>2104</v>
      </c>
      <c r="B280" s="628" t="s">
        <v>2146</v>
      </c>
      <c r="C280" s="628"/>
      <c r="D280" s="644" t="s">
        <v>2193</v>
      </c>
    </row>
    <row r="281" spans="1:4" ht="13.5" thickBot="1">
      <c r="A281" s="627" t="s">
        <v>2143</v>
      </c>
      <c r="B281" s="628" t="s">
        <v>2146</v>
      </c>
      <c r="C281" s="628"/>
      <c r="D281" s="644" t="s">
        <v>2193</v>
      </c>
    </row>
    <row r="282" spans="1:4" ht="13.5" thickBot="1">
      <c r="A282" s="627" t="s">
        <v>2106</v>
      </c>
      <c r="B282" s="628" t="s">
        <v>2146</v>
      </c>
      <c r="C282" s="628"/>
      <c r="D282" s="644" t="s">
        <v>2193</v>
      </c>
    </row>
    <row r="283" spans="1:4" ht="13.5" thickBot="1">
      <c r="A283" s="627" t="s">
        <v>2118</v>
      </c>
      <c r="B283" s="628" t="s">
        <v>2146</v>
      </c>
      <c r="C283" s="628"/>
      <c r="D283" s="644" t="s">
        <v>2193</v>
      </c>
    </row>
    <row r="284" spans="1:4" ht="13.5" thickBot="1">
      <c r="A284" s="627" t="s">
        <v>2138</v>
      </c>
      <c r="B284" s="628" t="s">
        <v>2146</v>
      </c>
      <c r="C284" s="628"/>
      <c r="D284" s="644" t="s">
        <v>2193</v>
      </c>
    </row>
    <row r="285" spans="1:4" ht="13.5" thickBot="1">
      <c r="A285" s="627" t="s">
        <v>2083</v>
      </c>
      <c r="B285" s="628" t="s">
        <v>2146</v>
      </c>
      <c r="C285" s="628"/>
      <c r="D285" s="644" t="s">
        <v>2193</v>
      </c>
    </row>
    <row r="286" spans="1:4" ht="13.5" thickBot="1">
      <c r="A286" s="627" t="s">
        <v>2142</v>
      </c>
      <c r="B286" s="628" t="s">
        <v>2146</v>
      </c>
      <c r="C286" s="628"/>
      <c r="D286" s="644" t="s">
        <v>2193</v>
      </c>
    </row>
    <row r="287" spans="1:4" ht="13.5" thickBot="1">
      <c r="A287" s="627" t="s">
        <v>2091</v>
      </c>
      <c r="B287" s="628" t="s">
        <v>2146</v>
      </c>
      <c r="C287" s="628"/>
      <c r="D287" s="644" t="s">
        <v>2193</v>
      </c>
    </row>
    <row r="288" spans="1:4" ht="13.5" thickBot="1">
      <c r="A288" s="627" t="s">
        <v>2131</v>
      </c>
      <c r="B288" s="628" t="s">
        <v>2146</v>
      </c>
      <c r="C288" s="628"/>
      <c r="D288" s="644" t="s">
        <v>2193</v>
      </c>
    </row>
    <row r="289" spans="1:4" ht="13.5" thickBot="1">
      <c r="A289" s="627" t="s">
        <v>2068</v>
      </c>
      <c r="B289" s="628" t="s">
        <v>2146</v>
      </c>
      <c r="C289" s="628"/>
      <c r="D289" s="644" t="s">
        <v>2193</v>
      </c>
    </row>
    <row r="290" spans="1:4" ht="13.5" thickBot="1">
      <c r="A290" s="627" t="s">
        <v>2105</v>
      </c>
      <c r="B290" s="628" t="s">
        <v>2146</v>
      </c>
      <c r="C290" s="628"/>
      <c r="D290" s="644" t="s">
        <v>2193</v>
      </c>
    </row>
    <row r="291" spans="1:4" ht="13.5" thickBot="1">
      <c r="A291" s="627" t="s">
        <v>2060</v>
      </c>
      <c r="B291" s="628" t="s">
        <v>2146</v>
      </c>
      <c r="C291" s="628"/>
      <c r="D291" s="644" t="s">
        <v>2193</v>
      </c>
    </row>
    <row r="292" spans="1:4" ht="13.5" thickBot="1">
      <c r="A292" s="627" t="s">
        <v>2089</v>
      </c>
      <c r="B292" s="628" t="s">
        <v>2146</v>
      </c>
      <c r="C292" s="628"/>
      <c r="D292" s="644" t="s">
        <v>2193</v>
      </c>
    </row>
    <row r="293" spans="1:4" ht="13.5" thickBot="1">
      <c r="A293" s="629" t="s">
        <v>2059</v>
      </c>
      <c r="B293" s="630" t="s">
        <v>2146</v>
      </c>
      <c r="C293" s="630"/>
      <c r="D293" s="644" t="s">
        <v>2193</v>
      </c>
    </row>
    <row r="294" spans="1:4">
      <c r="A294" s="614"/>
      <c r="B294" s="614"/>
      <c r="C294" s="614"/>
      <c r="D294" s="643" t="e">
        <f>IF(VLOOKUP($A294,'Distributed Assets'!$V$28:$V$102,1,FALSE)=$A294,"Found","")</f>
        <v>#N/A</v>
      </c>
    </row>
    <row r="295" spans="1:4">
      <c r="A295" s="615"/>
      <c r="B295" s="615"/>
      <c r="C295" s="615"/>
      <c r="D295" s="117" t="e">
        <f>IF(VLOOKUP($A295,'Distributed Assets'!$V$28:$V$102,1,FALSE)=$A295,"Found","")</f>
        <v>#N/A</v>
      </c>
    </row>
    <row r="296" spans="1:4">
      <c r="A296" s="615"/>
      <c r="B296" s="615"/>
      <c r="C296" s="615"/>
      <c r="D296" s="117" t="e">
        <f>IF(VLOOKUP($A296,'Distributed Assets'!$V$28:$V$102,1,FALSE)=$A296,"Found","")</f>
        <v>#N/A</v>
      </c>
    </row>
    <row r="297" spans="1:4">
      <c r="C297" s="674"/>
    </row>
    <row r="298" spans="1:4">
      <c r="C298" s="674"/>
    </row>
    <row r="299" spans="1:4">
      <c r="C299" s="674"/>
    </row>
    <row r="300" spans="1:4">
      <c r="C300" s="674"/>
    </row>
    <row r="301" spans="1:4">
      <c r="C301" s="674"/>
    </row>
    <row r="302" spans="1:4">
      <c r="C302" s="674"/>
    </row>
    <row r="303" spans="1:4">
      <c r="C303" s="674"/>
    </row>
    <row r="304" spans="1:4">
      <c r="C304" s="674"/>
    </row>
    <row r="305" spans="3:3">
      <c r="C305" s="674"/>
    </row>
    <row r="306" spans="3:3">
      <c r="C306" s="674"/>
    </row>
    <row r="307" spans="3:3">
      <c r="C307" s="674"/>
    </row>
    <row r="308" spans="3:3">
      <c r="C308" s="674"/>
    </row>
    <row r="309" spans="3:3">
      <c r="C309" s="674"/>
    </row>
    <row r="310" spans="3:3">
      <c r="C310" s="674"/>
    </row>
    <row r="311" spans="3:3">
      <c r="C311" s="674"/>
    </row>
    <row r="312" spans="3:3">
      <c r="C312" s="674"/>
    </row>
    <row r="313" spans="3:3">
      <c r="C313" s="674"/>
    </row>
    <row r="314" spans="3:3">
      <c r="C314" s="674"/>
    </row>
    <row r="315" spans="3:3">
      <c r="C315" s="674"/>
    </row>
    <row r="316" spans="3:3">
      <c r="C316" s="674"/>
    </row>
    <row r="317" spans="3:3">
      <c r="C317" s="674"/>
    </row>
    <row r="318" spans="3:3">
      <c r="C318" s="674"/>
    </row>
    <row r="319" spans="3:3">
      <c r="C319" s="674"/>
    </row>
    <row r="320" spans="3:3">
      <c r="C320" s="674"/>
    </row>
    <row r="321" spans="3:3">
      <c r="C321" s="674"/>
    </row>
    <row r="322" spans="3:3">
      <c r="C322" s="674"/>
    </row>
    <row r="323" spans="3:3">
      <c r="C323" s="674"/>
    </row>
    <row r="324" spans="3:3">
      <c r="C324" s="674"/>
    </row>
    <row r="325" spans="3:3">
      <c r="C325" s="674"/>
    </row>
    <row r="326" spans="3:3">
      <c r="C326" s="674"/>
    </row>
    <row r="327" spans="3:3">
      <c r="C327" s="674"/>
    </row>
    <row r="328" spans="3:3">
      <c r="C328" s="674"/>
    </row>
    <row r="329" spans="3:3">
      <c r="C329" s="674"/>
    </row>
    <row r="330" spans="3:3">
      <c r="C330" s="674"/>
    </row>
    <row r="331" spans="3:3">
      <c r="C331" s="674"/>
    </row>
    <row r="332" spans="3:3">
      <c r="C332" s="674"/>
    </row>
    <row r="333" spans="3:3">
      <c r="C333" s="674"/>
    </row>
    <row r="334" spans="3:3">
      <c r="C334" s="674"/>
    </row>
    <row r="335" spans="3:3">
      <c r="C335" s="674"/>
    </row>
    <row r="336" spans="3:3">
      <c r="C336" s="674"/>
    </row>
    <row r="337" spans="3:3">
      <c r="C337" s="674"/>
    </row>
    <row r="338" spans="3:3">
      <c r="C338" s="674"/>
    </row>
    <row r="339" spans="3:3">
      <c r="C339" s="674"/>
    </row>
    <row r="340" spans="3:3">
      <c r="C340" s="674"/>
    </row>
    <row r="341" spans="3:3">
      <c r="C341" s="674"/>
    </row>
    <row r="342" spans="3:3">
      <c r="C342" s="674"/>
    </row>
    <row r="343" spans="3:3">
      <c r="C343" s="674"/>
    </row>
    <row r="344" spans="3:3">
      <c r="C344" s="674"/>
    </row>
    <row r="345" spans="3:3">
      <c r="C345" s="674"/>
    </row>
    <row r="346" spans="3:3">
      <c r="C346" s="674"/>
    </row>
    <row r="347" spans="3:3">
      <c r="C347" s="674"/>
    </row>
    <row r="348" spans="3:3">
      <c r="C348" s="674"/>
    </row>
    <row r="349" spans="3:3">
      <c r="C349" s="674"/>
    </row>
    <row r="350" spans="3:3">
      <c r="C350" s="674"/>
    </row>
    <row r="351" spans="3:3">
      <c r="C351" s="674"/>
    </row>
    <row r="352" spans="3:3">
      <c r="C352" s="674"/>
    </row>
    <row r="353" spans="3:3">
      <c r="C353" s="674"/>
    </row>
    <row r="354" spans="3:3">
      <c r="C354" s="674"/>
    </row>
    <row r="355" spans="3:3">
      <c r="C355" s="674"/>
    </row>
    <row r="356" spans="3:3">
      <c r="C356" s="674"/>
    </row>
    <row r="357" spans="3:3">
      <c r="C357" s="674"/>
    </row>
    <row r="358" spans="3:3">
      <c r="C358" s="674"/>
    </row>
    <row r="359" spans="3:3">
      <c r="C359" s="674"/>
    </row>
    <row r="360" spans="3:3">
      <c r="C360" s="674"/>
    </row>
    <row r="361" spans="3:3">
      <c r="C361" s="674"/>
    </row>
    <row r="362" spans="3:3">
      <c r="C362" s="674"/>
    </row>
    <row r="363" spans="3:3">
      <c r="C363" s="674"/>
    </row>
    <row r="364" spans="3:3">
      <c r="C364" s="674"/>
    </row>
    <row r="365" spans="3:3">
      <c r="C365" s="674"/>
    </row>
    <row r="366" spans="3:3">
      <c r="C366" s="674"/>
    </row>
    <row r="367" spans="3:3">
      <c r="C367" s="674"/>
    </row>
    <row r="368" spans="3:3">
      <c r="C368" s="674"/>
    </row>
    <row r="369" spans="3:3">
      <c r="C369" s="674"/>
    </row>
    <row r="370" spans="3:3">
      <c r="C370" s="674"/>
    </row>
    <row r="371" spans="3:3">
      <c r="C371" s="674"/>
    </row>
    <row r="372" spans="3:3">
      <c r="C372" s="674"/>
    </row>
    <row r="373" spans="3:3">
      <c r="C373" s="674"/>
    </row>
    <row r="374" spans="3:3">
      <c r="C374" s="674"/>
    </row>
    <row r="375" spans="3:3">
      <c r="C375" s="674"/>
    </row>
    <row r="376" spans="3:3">
      <c r="C376" s="674"/>
    </row>
    <row r="377" spans="3:3">
      <c r="C377" s="674"/>
    </row>
    <row r="378" spans="3:3">
      <c r="C378" s="674"/>
    </row>
    <row r="379" spans="3:3">
      <c r="C379" s="674"/>
    </row>
    <row r="380" spans="3:3">
      <c r="C380" s="674"/>
    </row>
    <row r="381" spans="3:3">
      <c r="C381" s="674"/>
    </row>
    <row r="382" spans="3:3">
      <c r="C382" s="674"/>
    </row>
    <row r="383" spans="3:3">
      <c r="C383" s="674"/>
    </row>
  </sheetData>
  <sortState xmlns:xlrd2="http://schemas.microsoft.com/office/spreadsheetml/2017/richdata2" ref="A279:A285">
    <sortCondition ref="A279:A285"/>
  </sortState>
  <mergeCells count="1">
    <mergeCell ref="A1:M1"/>
  </mergeCells>
  <conditionalFormatting sqref="D3:D296">
    <cfRule type="expression" dxfId="4" priority="4">
      <formula>$D3="Found"</formula>
    </cfRule>
  </conditionalFormatting>
  <conditionalFormatting sqref="E102:E174">
    <cfRule type="expression" dxfId="3" priority="3">
      <formula>$E102="Found"</formula>
    </cfRule>
  </conditionalFormatting>
  <conditionalFormatting sqref="E200:E204">
    <cfRule type="expression" dxfId="2" priority="2">
      <formula>$E200="Found"</formula>
    </cfRule>
  </conditionalFormatting>
  <conditionalFormatting sqref="F7">
    <cfRule type="expression" dxfId="1" priority="1">
      <formula>$F$7="Admin Simp found in this LBoM"</formula>
    </cfRule>
  </conditionalFormatting>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60"/>
  <dimension ref="A1:H16"/>
  <sheetViews>
    <sheetView showGridLines="0" workbookViewId="0">
      <selection activeCell="B27" sqref="B27"/>
    </sheetView>
  </sheetViews>
  <sheetFormatPr defaultRowHeight="12.75"/>
  <cols>
    <col min="2" max="2" width="23.140625" customWidth="1"/>
    <col min="4" max="4" width="19.5703125" customWidth="1"/>
    <col min="5" max="5" width="10.140625" customWidth="1"/>
    <col min="6" max="6" width="19.7109375" customWidth="1"/>
  </cols>
  <sheetData>
    <row r="1" spans="1:8" ht="25.5">
      <c r="B1" s="2560" t="s">
        <v>4090</v>
      </c>
    </row>
    <row r="2" spans="1:8" ht="13.5" thickBot="1">
      <c r="G2" s="931"/>
      <c r="H2" s="931"/>
    </row>
    <row r="3" spans="1:8" ht="13.5" thickBot="1">
      <c r="A3" s="2558" t="s">
        <v>2555</v>
      </c>
      <c r="B3" s="2559"/>
      <c r="D3" s="1884" t="s">
        <v>4088</v>
      </c>
      <c r="E3" s="1666"/>
      <c r="G3" s="931"/>
      <c r="H3" s="931"/>
    </row>
    <row r="4" spans="1:8">
      <c r="A4" s="4123" t="str">
        <f>IF(B3&lt;&gt;"",VLOOKUP($B$3,dist_assets,7,FALSE),"")</f>
        <v/>
      </c>
      <c r="B4" s="4123"/>
      <c r="D4" s="1884" t="s">
        <v>4089</v>
      </c>
      <c r="E4" s="1666"/>
      <c r="G4" s="931"/>
      <c r="H4" s="931"/>
    </row>
    <row r="5" spans="1:8" ht="111" customHeight="1">
      <c r="B5" s="4426" t="s">
        <v>4091</v>
      </c>
      <c r="C5" s="4426"/>
      <c r="D5" s="4426"/>
      <c r="F5" s="2553" t="str">
        <f>IF(AND(E3="",E4=""),CONCATENATE("C: ",CHAR(10),"D:", CHAR(10),"V:",CHAR(10),"W:",CHAR(10),"X:",CHAR(10),"Y:",CHAR(10),"Z:",CHAR(10)),
SQL_FS($E3,$E$4))</f>
        <v xml:space="preserve">C: 
D:
V:
W:
X:
Y:
Z:
</v>
      </c>
      <c r="G5" s="931"/>
      <c r="H5" s="931"/>
    </row>
    <row r="6" spans="1:8">
      <c r="G6" s="931"/>
      <c r="H6" s="931"/>
    </row>
    <row r="7" spans="1:8">
      <c r="G7" s="931"/>
      <c r="H7" s="931"/>
    </row>
    <row r="8" spans="1:8">
      <c r="G8" s="931"/>
      <c r="H8" s="931"/>
    </row>
    <row r="9" spans="1:8">
      <c r="G9" s="931"/>
      <c r="H9" s="931"/>
    </row>
    <row r="10" spans="1:8">
      <c r="G10" s="931"/>
      <c r="H10" s="931"/>
    </row>
    <row r="11" spans="1:8">
      <c r="G11" s="931"/>
      <c r="H11" s="931"/>
    </row>
    <row r="12" spans="1:8">
      <c r="G12" s="931"/>
      <c r="H12" s="931"/>
    </row>
    <row r="13" spans="1:8">
      <c r="G13" s="931"/>
      <c r="H13" s="931"/>
    </row>
    <row r="14" spans="1:8">
      <c r="G14" s="931"/>
      <c r="H14" s="931"/>
    </row>
    <row r="15" spans="1:8">
      <c r="G15" s="931"/>
      <c r="H15" s="931"/>
    </row>
    <row r="16" spans="1:8">
      <c r="G16" s="931"/>
      <c r="H16" s="931"/>
    </row>
  </sheetData>
  <mergeCells count="2">
    <mergeCell ref="A4:B4"/>
    <mergeCell ref="B5:D5"/>
  </mergeCells>
  <conditionalFormatting sqref="F5">
    <cfRule type="expression" dxfId="0" priority="1892">
      <formula>AND($B5&lt;&gt;"",$D5="existing",$O5&lt;&gt;"")</formula>
    </cfRule>
  </conditionalFormatting>
  <dataValidations count="1">
    <dataValidation type="list" allowBlank="1" showInputMessage="1" showErrorMessage="1" sqref="B3" xr:uid="{00000000-0002-0000-2B00-000000000000}">
      <formula1>Assetlist</formula1>
    </dataValidation>
  </dataValidation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7"/>
  <dimension ref="A1:P56"/>
  <sheetViews>
    <sheetView showGridLines="0" zoomScaleNormal="100" workbookViewId="0">
      <selection activeCell="N28" sqref="N28"/>
    </sheetView>
  </sheetViews>
  <sheetFormatPr defaultColWidth="9.140625" defaultRowHeight="12.75"/>
  <cols>
    <col min="1" max="1" width="29.5703125" style="684" customWidth="1"/>
    <col min="2" max="2" width="18.28515625" style="684" customWidth="1"/>
    <col min="3" max="3" width="5.28515625" style="684" customWidth="1"/>
    <col min="4" max="4" width="31.7109375" style="684" customWidth="1"/>
    <col min="5" max="5" width="8.5703125" style="684" customWidth="1"/>
    <col min="6" max="6" width="7.28515625" style="684" customWidth="1"/>
    <col min="7" max="7" width="16.42578125" style="684" customWidth="1"/>
    <col min="8" max="8" width="9.140625" style="684"/>
    <col min="9" max="9" width="9.5703125" style="684" customWidth="1"/>
    <col min="10" max="10" width="18.5703125" style="353" customWidth="1"/>
    <col min="11" max="11" width="9.140625" style="684"/>
    <col min="12" max="12" width="16.42578125" style="684" customWidth="1"/>
    <col min="13" max="13" width="9.140625" style="684"/>
    <col min="14" max="14" width="20.28515625" style="684" customWidth="1"/>
    <col min="15" max="16384" width="9.140625" style="684"/>
  </cols>
  <sheetData>
    <row r="1" spans="1:16" s="931" customFormat="1" ht="24.75" customHeight="1">
      <c r="J1" s="2424"/>
    </row>
    <row r="2" spans="1:16">
      <c r="A2" s="927" t="s">
        <v>5575</v>
      </c>
      <c r="G2" s="6" t="s">
        <v>3933</v>
      </c>
    </row>
    <row r="3" spans="1:16" ht="13.5" thickBot="1">
      <c r="A3" s="931"/>
      <c r="C3" s="4429" t="s">
        <v>3935</v>
      </c>
      <c r="D3" s="4429"/>
      <c r="E3" s="4429"/>
      <c r="O3" s="931"/>
      <c r="P3" s="931"/>
    </row>
    <row r="4" spans="1:16" ht="15.75" customHeight="1" thickBot="1">
      <c r="A4" s="2547" t="s">
        <v>2640</v>
      </c>
      <c r="B4" s="2548"/>
      <c r="C4" s="931"/>
      <c r="E4" s="1099" t="s">
        <v>2633</v>
      </c>
      <c r="F4" s="2493">
        <v>100</v>
      </c>
      <c r="G4" s="2483" t="s">
        <v>2641</v>
      </c>
      <c r="H4" s="2927">
        <v>10</v>
      </c>
      <c r="J4" s="4436" t="str">
        <f>_xlfn.TEXTJOIN(CHAR(10),TRUE,_xlfn.TEXTJOIN("     ",TRUE,$G4:$H33))</f>
        <v>/db2home     10     /db2dba     10     /db2_software     10     /db2_audit     5     /db2data1     13     /db2data2     13     /db2data3     13     /db2data4     13     /db2data5     13     /db2data6     13     /db2data7     13     /db2data8     13     /db2data9     13     /db2data10     13     /db2index1     11     /db2index2     11     /db2index3     11     /db2index4     11     /db2index5     11     /db2index6     11     /db2index7     11     /db2index8     11     /db2index9     11     /db2index10     11     /db2backup1     32     /db2backup2     32     /db2backup3     32     /db2backup4     32     /db2backup5     32     /db2logs     40</v>
      </c>
      <c r="L4" s="4427"/>
      <c r="O4" s="931"/>
      <c r="P4" s="931"/>
    </row>
    <row r="5" spans="1:16">
      <c r="A5" s="2494" t="s">
        <v>3934</v>
      </c>
      <c r="B5" s="2495"/>
      <c r="C5" s="931"/>
      <c r="G5" s="2484" t="s">
        <v>2645</v>
      </c>
      <c r="H5" s="2928">
        <v>10</v>
      </c>
      <c r="J5" s="4437"/>
      <c r="L5" s="4428"/>
      <c r="O5" s="931"/>
      <c r="P5" s="931"/>
    </row>
    <row r="6" spans="1:16">
      <c r="A6" s="2496" t="s">
        <v>3931</v>
      </c>
      <c r="B6" s="2497"/>
      <c r="C6" s="931"/>
      <c r="D6" s="931"/>
      <c r="G6" s="2926" t="s">
        <v>5342</v>
      </c>
      <c r="H6" s="3402">
        <v>10</v>
      </c>
      <c r="I6" s="354" t="s">
        <v>5341</v>
      </c>
      <c r="J6" s="4437"/>
      <c r="L6" s="4428"/>
      <c r="O6" s="931"/>
      <c r="P6" s="931"/>
    </row>
    <row r="7" spans="1:16">
      <c r="A7" s="2496" t="s">
        <v>3932</v>
      </c>
      <c r="B7" s="2497"/>
      <c r="C7" s="931"/>
      <c r="D7" s="931"/>
      <c r="G7" s="2485" t="s">
        <v>2646</v>
      </c>
      <c r="H7" s="2928">
        <v>5</v>
      </c>
      <c r="I7" s="354" t="s">
        <v>5341</v>
      </c>
      <c r="J7" s="4437"/>
      <c r="L7" s="4428"/>
      <c r="O7" s="931"/>
      <c r="P7" s="931"/>
    </row>
    <row r="8" spans="1:16">
      <c r="A8" s="2498" t="s">
        <v>2642</v>
      </c>
      <c r="B8" s="2497"/>
      <c r="C8" s="931"/>
      <c r="D8" s="354" t="s">
        <v>4085</v>
      </c>
      <c r="G8" s="2486" t="s">
        <v>2630</v>
      </c>
      <c r="H8" s="2928">
        <f t="shared" ref="H8:H17" si="0">ROUNDUP((db2size / 10) * 1.3, 0)</f>
        <v>13</v>
      </c>
      <c r="J8" s="4437"/>
      <c r="L8" s="4428"/>
      <c r="O8" s="931"/>
      <c r="P8" s="931"/>
    </row>
    <row r="9" spans="1:16">
      <c r="A9" s="2498" t="s">
        <v>2643</v>
      </c>
      <c r="B9" s="2497"/>
      <c r="C9" s="931"/>
      <c r="D9" s="931"/>
      <c r="G9" s="2486" t="s">
        <v>2631</v>
      </c>
      <c r="H9" s="2928">
        <f t="shared" si="0"/>
        <v>13</v>
      </c>
      <c r="J9" s="4437"/>
      <c r="L9" s="4428"/>
      <c r="O9" s="931"/>
      <c r="P9" s="931"/>
    </row>
    <row r="10" spans="1:16" ht="13.5" thickBot="1">
      <c r="A10" s="2499" t="s">
        <v>2644</v>
      </c>
      <c r="B10" s="2500"/>
      <c r="C10" s="931"/>
      <c r="D10" s="931"/>
      <c r="E10" s="931"/>
      <c r="G10" s="2486" t="s">
        <v>2632</v>
      </c>
      <c r="H10" s="2928">
        <f t="shared" si="0"/>
        <v>13</v>
      </c>
      <c r="J10" s="4437"/>
      <c r="L10" s="4428"/>
      <c r="O10" s="931"/>
      <c r="P10" s="931"/>
    </row>
    <row r="11" spans="1:16" ht="15" customHeight="1" thickBot="1">
      <c r="A11" s="931"/>
      <c r="B11" s="931"/>
      <c r="C11" s="931"/>
      <c r="E11" s="931"/>
      <c r="G11" s="2486" t="s">
        <v>2634</v>
      </c>
      <c r="H11" s="2928">
        <f t="shared" si="0"/>
        <v>13</v>
      </c>
      <c r="J11" s="4437"/>
      <c r="L11" s="4428"/>
      <c r="M11" s="2490"/>
      <c r="O11" s="931"/>
      <c r="P11" s="931"/>
    </row>
    <row r="12" spans="1:16" ht="12.75" customHeight="1">
      <c r="A12" s="4430" t="s">
        <v>3936</v>
      </c>
      <c r="B12" s="4431"/>
      <c r="E12" s="931"/>
      <c r="G12" s="2486" t="s">
        <v>2635</v>
      </c>
      <c r="H12" s="2928">
        <f t="shared" si="0"/>
        <v>13</v>
      </c>
      <c r="J12" s="4437"/>
      <c r="L12" s="4428"/>
      <c r="O12" s="931"/>
      <c r="P12" s="931"/>
    </row>
    <row r="13" spans="1:16">
      <c r="A13" s="4432"/>
      <c r="B13" s="4433"/>
      <c r="E13" s="931"/>
      <c r="G13" s="2486" t="s">
        <v>2637</v>
      </c>
      <c r="H13" s="2928">
        <f t="shared" si="0"/>
        <v>13</v>
      </c>
      <c r="J13" s="4437"/>
      <c r="L13" s="4428"/>
      <c r="O13" s="931"/>
      <c r="P13" s="931"/>
    </row>
    <row r="14" spans="1:16">
      <c r="A14" s="4432"/>
      <c r="B14" s="4433"/>
      <c r="E14" s="931"/>
      <c r="G14" s="2486" t="s">
        <v>2638</v>
      </c>
      <c r="H14" s="2928">
        <f t="shared" si="0"/>
        <v>13</v>
      </c>
      <c r="J14" s="4437"/>
      <c r="L14" s="4428"/>
      <c r="O14" s="931"/>
      <c r="P14" s="931"/>
    </row>
    <row r="15" spans="1:16">
      <c r="A15" s="4432"/>
      <c r="B15" s="4433"/>
      <c r="E15" s="931"/>
      <c r="G15" s="2486" t="s">
        <v>2639</v>
      </c>
      <c r="H15" s="2928">
        <f t="shared" si="0"/>
        <v>13</v>
      </c>
      <c r="J15" s="4437"/>
      <c r="L15" s="4428"/>
      <c r="O15" s="931"/>
      <c r="P15" s="931"/>
    </row>
    <row r="16" spans="1:16">
      <c r="A16" s="4432"/>
      <c r="B16" s="4433"/>
      <c r="E16" s="931"/>
      <c r="G16" s="2486" t="s">
        <v>3903</v>
      </c>
      <c r="H16" s="2928">
        <f t="shared" si="0"/>
        <v>13</v>
      </c>
      <c r="J16" s="4437"/>
      <c r="L16" s="4428"/>
      <c r="O16" s="931"/>
      <c r="P16" s="931"/>
    </row>
    <row r="17" spans="1:16">
      <c r="A17" s="4432"/>
      <c r="B17" s="4433"/>
      <c r="E17" s="931"/>
      <c r="F17" s="2482"/>
      <c r="G17" s="2486" t="s">
        <v>3904</v>
      </c>
      <c r="H17" s="2928">
        <f t="shared" si="0"/>
        <v>13</v>
      </c>
      <c r="J17" s="4437"/>
      <c r="L17" s="4428"/>
      <c r="O17" s="931"/>
      <c r="P17" s="931"/>
    </row>
    <row r="18" spans="1:16">
      <c r="A18" s="4432"/>
      <c r="B18" s="4433"/>
      <c r="E18" s="931"/>
      <c r="G18" s="2485" t="s">
        <v>3905</v>
      </c>
      <c r="H18" s="2928">
        <f t="shared" ref="H18:H27" si="1">ROUNDUP((db2size / 10) * 1.1, 0)</f>
        <v>11</v>
      </c>
      <c r="J18" s="4437"/>
      <c r="L18" s="4428"/>
      <c r="O18" s="931"/>
      <c r="P18" s="931"/>
    </row>
    <row r="19" spans="1:16">
      <c r="A19" s="4432"/>
      <c r="B19" s="4433"/>
      <c r="E19" s="931"/>
      <c r="G19" s="2485" t="s">
        <v>3906</v>
      </c>
      <c r="H19" s="2928">
        <f t="shared" si="1"/>
        <v>11</v>
      </c>
      <c r="J19" s="4437"/>
      <c r="L19" s="4428"/>
      <c r="O19" s="931"/>
      <c r="P19" s="931"/>
    </row>
    <row r="20" spans="1:16">
      <c r="A20" s="4432"/>
      <c r="B20" s="4433"/>
      <c r="E20" s="931"/>
      <c r="G20" s="2485" t="s">
        <v>3907</v>
      </c>
      <c r="H20" s="2928">
        <f t="shared" si="1"/>
        <v>11</v>
      </c>
      <c r="J20" s="4437"/>
      <c r="L20" s="4428"/>
      <c r="O20" s="931"/>
      <c r="P20" s="931"/>
    </row>
    <row r="21" spans="1:16">
      <c r="A21" s="4432"/>
      <c r="B21" s="4433"/>
      <c r="E21" s="931"/>
      <c r="G21" s="2485" t="s">
        <v>3908</v>
      </c>
      <c r="H21" s="2928">
        <f t="shared" si="1"/>
        <v>11</v>
      </c>
      <c r="J21" s="4437"/>
      <c r="L21" s="4428"/>
      <c r="O21" s="931"/>
      <c r="P21" s="931"/>
    </row>
    <row r="22" spans="1:16">
      <c r="A22" s="4432"/>
      <c r="B22" s="4433"/>
      <c r="E22" s="931"/>
      <c r="G22" s="2485" t="s">
        <v>3909</v>
      </c>
      <c r="H22" s="2928">
        <f t="shared" si="1"/>
        <v>11</v>
      </c>
      <c r="J22" s="4437"/>
      <c r="L22" s="4428"/>
      <c r="O22" s="931"/>
      <c r="P22" s="931"/>
    </row>
    <row r="23" spans="1:16">
      <c r="A23" s="4432"/>
      <c r="B23" s="4433"/>
      <c r="C23" s="931"/>
      <c r="D23" s="931"/>
      <c r="E23" s="931"/>
      <c r="G23" s="2485" t="s">
        <v>3910</v>
      </c>
      <c r="H23" s="2928">
        <f t="shared" si="1"/>
        <v>11</v>
      </c>
      <c r="J23" s="4437"/>
      <c r="L23" s="4428"/>
      <c r="O23" s="931"/>
      <c r="P23" s="931"/>
    </row>
    <row r="24" spans="1:16">
      <c r="A24" s="4432"/>
      <c r="B24" s="4433"/>
      <c r="E24" s="931"/>
      <c r="G24" s="2485" t="s">
        <v>3911</v>
      </c>
      <c r="H24" s="2928">
        <f t="shared" si="1"/>
        <v>11</v>
      </c>
      <c r="J24" s="4437"/>
      <c r="L24" s="4428"/>
      <c r="O24" s="931"/>
      <c r="P24" s="931"/>
    </row>
    <row r="25" spans="1:16">
      <c r="A25" s="4432"/>
      <c r="B25" s="4433"/>
      <c r="G25" s="2485" t="s">
        <v>3912</v>
      </c>
      <c r="H25" s="2928">
        <f t="shared" si="1"/>
        <v>11</v>
      </c>
      <c r="J25" s="4437"/>
      <c r="L25" s="4428"/>
      <c r="O25" s="931"/>
      <c r="P25" s="931"/>
    </row>
    <row r="26" spans="1:16">
      <c r="A26" s="4432"/>
      <c r="B26" s="4433"/>
      <c r="G26" s="2485" t="s">
        <v>3913</v>
      </c>
      <c r="H26" s="2928">
        <f t="shared" si="1"/>
        <v>11</v>
      </c>
      <c r="J26" s="4437"/>
      <c r="L26" s="4428"/>
      <c r="O26" s="931"/>
      <c r="P26" s="931"/>
    </row>
    <row r="27" spans="1:16">
      <c r="A27" s="4432"/>
      <c r="B27" s="4433"/>
      <c r="G27" s="2485" t="s">
        <v>3914</v>
      </c>
      <c r="H27" s="2928">
        <f t="shared" si="1"/>
        <v>11</v>
      </c>
      <c r="J27" s="4437"/>
      <c r="L27" s="4428"/>
      <c r="O27" s="931"/>
      <c r="P27" s="931"/>
    </row>
    <row r="28" spans="1:16">
      <c r="A28" s="4432"/>
      <c r="B28" s="4433"/>
      <c r="G28" s="2485" t="s">
        <v>5576</v>
      </c>
      <c r="H28" s="2928">
        <f>ROUNDUP((((db2size * 0.6) * 2) / 5) * 1.3, 0)</f>
        <v>32</v>
      </c>
      <c r="J28" s="4437"/>
      <c r="O28" s="931"/>
      <c r="P28" s="931"/>
    </row>
    <row r="29" spans="1:16" ht="12.75" customHeight="1">
      <c r="A29" s="4432"/>
      <c r="B29" s="4433"/>
      <c r="G29" s="2485" t="s">
        <v>5577</v>
      </c>
      <c r="H29" s="2928">
        <f>ROUNDUP((((db2size * 0.6) * 2) / 5) * 1.3, 0)</f>
        <v>32</v>
      </c>
      <c r="I29" s="931"/>
      <c r="J29" s="4437"/>
      <c r="K29" s="931"/>
      <c r="L29" s="931"/>
      <c r="M29" s="931"/>
      <c r="N29" s="931"/>
      <c r="O29" s="931"/>
      <c r="P29" s="931"/>
    </row>
    <row r="30" spans="1:16">
      <c r="A30" s="4432"/>
      <c r="B30" s="4433"/>
      <c r="G30" s="2485" t="s">
        <v>5578</v>
      </c>
      <c r="H30" s="2928">
        <f>ROUNDUP((((db2size * 0.6) * 2) / 5) * 1.3, 0)</f>
        <v>32</v>
      </c>
      <c r="I30" s="931"/>
      <c r="J30" s="4437"/>
      <c r="K30" s="931"/>
      <c r="L30" s="931"/>
      <c r="M30" s="931"/>
      <c r="N30" s="931"/>
    </row>
    <row r="31" spans="1:16" ht="13.5" thickBot="1">
      <c r="A31" s="4434"/>
      <c r="B31" s="4435"/>
      <c r="C31" s="931"/>
      <c r="D31" s="931"/>
      <c r="E31" s="931"/>
      <c r="F31" s="931"/>
      <c r="G31" s="2485" t="s">
        <v>5579</v>
      </c>
      <c r="H31" s="2928">
        <f>ROUNDUP((((db2size * 0.6) * 2) / 5) * 1.3, 0)</f>
        <v>32</v>
      </c>
      <c r="I31" s="931"/>
      <c r="J31" s="4437"/>
      <c r="K31" s="931"/>
      <c r="L31" s="931"/>
      <c r="M31" s="931"/>
      <c r="N31" s="931"/>
    </row>
    <row r="32" spans="1:16">
      <c r="A32" s="931"/>
      <c r="B32" s="931"/>
      <c r="C32" s="931"/>
      <c r="D32" s="931"/>
      <c r="E32" s="931"/>
      <c r="F32" s="931"/>
      <c r="G32" s="2485" t="s">
        <v>5580</v>
      </c>
      <c r="H32" s="2928">
        <f>ROUNDUP((((db2size * 0.6) * 2) / 5) * 1.3, 0)</f>
        <v>32</v>
      </c>
      <c r="I32" s="931"/>
      <c r="J32" s="4437"/>
      <c r="K32" s="931"/>
      <c r="L32" s="931"/>
      <c r="M32" s="931"/>
      <c r="N32" s="931"/>
    </row>
    <row r="33" spans="1:14" ht="12.75" customHeight="1" thickBot="1">
      <c r="A33" s="931"/>
      <c r="B33" s="931"/>
      <c r="C33" s="931"/>
      <c r="D33" s="4426"/>
      <c r="E33" s="4426"/>
      <c r="F33" s="931"/>
      <c r="G33" s="2487" t="s">
        <v>3915</v>
      </c>
      <c r="H33" s="2929">
        <f>ROUNDUP(db2size * 0.4, 0)</f>
        <v>40</v>
      </c>
      <c r="I33" s="931"/>
      <c r="J33" s="4438"/>
      <c r="K33" s="931"/>
      <c r="L33" s="931"/>
      <c r="M33" s="931"/>
      <c r="N33" s="931"/>
    </row>
    <row r="34" spans="1:14">
      <c r="A34" s="931"/>
      <c r="B34" s="931"/>
      <c r="C34" s="931"/>
      <c r="D34" s="4426"/>
      <c r="E34" s="4426"/>
      <c r="F34" s="931"/>
      <c r="G34" s="931"/>
      <c r="H34" s="3399"/>
      <c r="I34" s="931"/>
      <c r="J34" s="3400"/>
      <c r="K34" s="931"/>
      <c r="L34" s="931"/>
      <c r="M34" s="931"/>
      <c r="N34" s="931"/>
    </row>
    <row r="35" spans="1:14">
      <c r="A35" s="931"/>
      <c r="B35" s="931"/>
      <c r="C35" s="931"/>
      <c r="D35" s="931"/>
      <c r="E35" s="931"/>
      <c r="F35" s="931"/>
      <c r="J35" s="3401"/>
    </row>
    <row r="36" spans="1:14">
      <c r="A36" s="931"/>
      <c r="B36" s="931"/>
      <c r="C36" s="931"/>
      <c r="D36" s="931"/>
      <c r="E36" s="931"/>
      <c r="F36" s="931"/>
      <c r="J36" s="3401"/>
    </row>
    <row r="37" spans="1:14">
      <c r="A37" s="931"/>
      <c r="B37" s="931"/>
      <c r="C37" s="931"/>
      <c r="D37" s="931"/>
      <c r="E37" s="931"/>
      <c r="F37" s="931"/>
      <c r="G37" s="2488" t="s">
        <v>3929</v>
      </c>
      <c r="H37" s="2489">
        <f>SUM(H4:H33)</f>
        <v>475</v>
      </c>
      <c r="I37" s="405" t="s">
        <v>3930</v>
      </c>
      <c r="J37" s="3401"/>
      <c r="L37" s="354"/>
    </row>
    <row r="38" spans="1:14">
      <c r="A38" s="931"/>
      <c r="B38" s="931"/>
      <c r="C38" s="931"/>
      <c r="D38" s="931"/>
      <c r="E38" s="931"/>
      <c r="F38" s="931"/>
      <c r="G38" s="931"/>
      <c r="H38" s="931"/>
      <c r="J38" s="3401"/>
      <c r="L38" s="33"/>
    </row>
    <row r="39" spans="1:14">
      <c r="A39" s="931"/>
      <c r="B39" s="931"/>
      <c r="C39" s="931"/>
      <c r="D39" s="931"/>
      <c r="E39" s="931"/>
      <c r="F39" s="931"/>
      <c r="G39" s="931"/>
      <c r="H39" s="931"/>
      <c r="I39" s="931"/>
      <c r="J39" s="3401"/>
      <c r="K39" s="931"/>
      <c r="L39" s="33"/>
    </row>
    <row r="40" spans="1:14">
      <c r="A40" s="931"/>
      <c r="B40" s="931"/>
      <c r="C40" s="931"/>
      <c r="D40" s="931"/>
      <c r="E40"/>
      <c r="F40" s="931"/>
      <c r="G40" s="931"/>
      <c r="H40" s="931"/>
      <c r="I40" s="931"/>
      <c r="J40" s="3401"/>
      <c r="K40" s="931"/>
    </row>
    <row r="41" spans="1:14">
      <c r="A41" s="931"/>
      <c r="B41" s="931"/>
      <c r="C41" s="931"/>
      <c r="D41" s="931"/>
      <c r="E41" s="931"/>
      <c r="F41" s="931"/>
      <c r="G41" s="931"/>
      <c r="H41" s="931"/>
      <c r="I41" s="931"/>
      <c r="J41" s="3401"/>
      <c r="K41" s="931"/>
    </row>
    <row r="42" spans="1:14">
      <c r="A42" s="931"/>
      <c r="B42" s="931"/>
      <c r="C42" s="931"/>
      <c r="D42" s="931"/>
      <c r="E42" s="931"/>
      <c r="F42" s="931"/>
      <c r="G42" s="931"/>
      <c r="H42" s="931"/>
      <c r="I42" s="931"/>
      <c r="J42" s="3401"/>
      <c r="K42" s="931"/>
    </row>
    <row r="43" spans="1:14">
      <c r="A43" s="931"/>
      <c r="B43" s="931"/>
      <c r="C43" s="931"/>
      <c r="D43" s="931"/>
      <c r="E43" s="931"/>
      <c r="F43" s="931"/>
      <c r="G43" s="931"/>
      <c r="H43" s="931"/>
      <c r="I43" s="931"/>
      <c r="J43" s="3401"/>
      <c r="K43" s="931"/>
    </row>
    <row r="44" spans="1:14">
      <c r="A44" s="931"/>
      <c r="B44" s="931"/>
      <c r="C44" s="931"/>
      <c r="D44" s="931"/>
      <c r="E44" s="931"/>
      <c r="F44" s="931"/>
      <c r="G44" s="931"/>
      <c r="H44" s="931"/>
      <c r="I44" s="931"/>
      <c r="J44" s="3401"/>
      <c r="K44" s="931"/>
    </row>
    <row r="45" spans="1:14">
      <c r="A45" s="931"/>
      <c r="B45" s="931"/>
      <c r="C45" s="931"/>
      <c r="D45" s="931"/>
      <c r="E45" s="931"/>
      <c r="F45" s="931"/>
      <c r="G45" s="931"/>
      <c r="H45" s="931"/>
      <c r="I45" s="931"/>
      <c r="J45" s="3401"/>
      <c r="K45" s="931"/>
    </row>
    <row r="46" spans="1:14">
      <c r="A46" s="931"/>
      <c r="B46" s="931"/>
      <c r="C46" s="931"/>
      <c r="D46" s="931"/>
      <c r="E46" s="931"/>
      <c r="F46" s="931"/>
      <c r="G46" s="931"/>
      <c r="H46" s="931"/>
      <c r="I46" s="931"/>
      <c r="J46" s="3401"/>
      <c r="K46" s="931"/>
    </row>
    <row r="47" spans="1:14">
      <c r="A47" s="931"/>
      <c r="B47" s="931"/>
      <c r="C47" s="931"/>
      <c r="D47" s="931"/>
      <c r="E47" s="931"/>
      <c r="F47" s="931"/>
      <c r="G47" s="931"/>
      <c r="H47" s="931"/>
      <c r="I47" s="931"/>
      <c r="J47" s="3401"/>
      <c r="K47" s="931"/>
    </row>
    <row r="48" spans="1:14">
      <c r="A48" s="931"/>
      <c r="B48" s="931"/>
      <c r="C48" s="931"/>
      <c r="D48" s="931"/>
      <c r="E48" s="931"/>
      <c r="F48" s="931"/>
      <c r="G48" s="931"/>
      <c r="H48" s="931"/>
      <c r="I48" s="931"/>
      <c r="J48" s="3401"/>
      <c r="K48" s="931"/>
    </row>
    <row r="49" spans="1:11">
      <c r="A49" s="931"/>
      <c r="B49" s="931"/>
      <c r="C49" s="931"/>
      <c r="D49" s="931"/>
      <c r="G49" s="931"/>
      <c r="H49" s="931"/>
      <c r="I49" s="931"/>
      <c r="J49" s="3401"/>
      <c r="K49" s="931"/>
    </row>
    <row r="50" spans="1:11">
      <c r="A50" s="931"/>
      <c r="B50" s="931"/>
      <c r="C50" s="931"/>
      <c r="D50" s="931"/>
      <c r="G50" s="931"/>
      <c r="H50" s="931"/>
      <c r="I50" s="931"/>
      <c r="J50" s="3401"/>
      <c r="K50" s="931"/>
    </row>
    <row r="51" spans="1:11">
      <c r="G51" s="931"/>
      <c r="H51" s="931"/>
      <c r="I51" s="931"/>
      <c r="J51" s="3401"/>
      <c r="K51" s="931"/>
    </row>
    <row r="52" spans="1:11">
      <c r="G52" s="931"/>
      <c r="H52" s="931"/>
      <c r="I52" s="931"/>
      <c r="J52" s="3401"/>
      <c r="K52" s="931"/>
    </row>
    <row r="53" spans="1:11">
      <c r="G53" s="931"/>
      <c r="H53" s="931"/>
      <c r="I53" s="931"/>
      <c r="J53" s="3401"/>
      <c r="K53" s="931"/>
    </row>
    <row r="54" spans="1:11">
      <c r="G54" s="931"/>
      <c r="H54" s="931"/>
      <c r="I54" s="931"/>
      <c r="J54" s="2424"/>
      <c r="K54" s="931"/>
    </row>
    <row r="55" spans="1:11">
      <c r="G55" s="931"/>
      <c r="H55" s="931"/>
      <c r="I55" s="931"/>
      <c r="J55" s="2424"/>
      <c r="K55" s="931"/>
    </row>
    <row r="56" spans="1:11">
      <c r="I56" s="931"/>
      <c r="J56" s="2424"/>
      <c r="K56" s="931"/>
    </row>
  </sheetData>
  <mergeCells count="5">
    <mergeCell ref="L4:L27"/>
    <mergeCell ref="C3:E3"/>
    <mergeCell ref="A12:B31"/>
    <mergeCell ref="D33:E34"/>
    <mergeCell ref="J4:J33"/>
  </mergeCells>
  <phoneticPr fontId="25" type="noConversion"/>
  <pageMargins left="0.7" right="0.7" top="0.75" bottom="0.75" header="0.3" footer="0.3"/>
  <pageSetup orientation="portrait"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0"/>
  <dimension ref="A1:AA10"/>
  <sheetViews>
    <sheetView showGridLines="0" zoomScale="80" zoomScaleNormal="80" workbookViewId="0">
      <selection activeCell="S28" sqref="S28"/>
    </sheetView>
  </sheetViews>
  <sheetFormatPr defaultRowHeight="12.75"/>
  <cols>
    <col min="1" max="1" width="17" customWidth="1"/>
    <col min="2" max="2" width="22.42578125" customWidth="1"/>
    <col min="4" max="4" width="3.140625" customWidth="1"/>
    <col min="5" max="5" width="25" customWidth="1"/>
    <col min="6" max="6" width="14.140625" style="2361" customWidth="1"/>
    <col min="7" max="7" width="7.28515625" style="2424" customWidth="1"/>
    <col min="8" max="8" width="36.42578125" customWidth="1"/>
    <col min="9" max="9" width="7.5703125" customWidth="1"/>
    <col min="10" max="10" width="49.85546875" customWidth="1"/>
    <col min="12" max="12" width="2.42578125" customWidth="1"/>
    <col min="13" max="13" width="16.28515625" customWidth="1"/>
    <col min="14" max="14" width="12.42578125" customWidth="1"/>
  </cols>
  <sheetData>
    <row r="1" spans="1:27" s="931" customFormat="1" ht="31.5" customHeight="1">
      <c r="A1" s="4439" t="s">
        <v>3838</v>
      </c>
      <c r="B1" s="4439"/>
      <c r="C1" s="4439"/>
      <c r="D1" s="4439"/>
      <c r="E1" s="4439"/>
      <c r="F1" s="4439"/>
      <c r="G1" s="4439"/>
      <c r="H1" s="4439"/>
      <c r="I1" s="4439"/>
      <c r="J1" s="4439"/>
      <c r="K1" s="354"/>
      <c r="L1" s="354"/>
      <c r="M1" s="354"/>
      <c r="N1" s="354"/>
      <c r="O1" s="354"/>
      <c r="AA1" s="354" t="s">
        <v>3842</v>
      </c>
    </row>
    <row r="2" spans="1:27" s="931" customFormat="1" ht="6.75" customHeight="1" thickBot="1">
      <c r="F2" s="2361"/>
      <c r="G2" s="2424"/>
    </row>
    <row r="3" spans="1:27" ht="45" customHeight="1" thickBot="1">
      <c r="A3" s="792" t="s">
        <v>3837</v>
      </c>
      <c r="B3" s="2371"/>
      <c r="C3" s="2365" t="s">
        <v>3841</v>
      </c>
      <c r="D3" s="2364"/>
      <c r="E3" s="2366" t="s">
        <v>2203</v>
      </c>
      <c r="F3" s="2362" t="s">
        <v>3840</v>
      </c>
      <c r="G3" s="2550"/>
      <c r="J3" s="2546" t="s">
        <v>4084</v>
      </c>
      <c r="P3" s="439"/>
    </row>
    <row r="4" spans="1:27" ht="90" thickBot="1">
      <c r="A4" s="2367"/>
      <c r="B4" s="2368" t="s">
        <v>3839</v>
      </c>
      <c r="C4" s="2370"/>
      <c r="D4" s="1726"/>
      <c r="E4" s="2543" t="str">
        <f>CONCATENATE("/data:  ", $C4 * 0.7, "GB", CHAR(10),
                        "/indx:  ", $C4  * 0.3, "GB", CHAR(10),
                        "/temp:  ", $C4  * 0.1, "GB", CHAR(10),
                        "/undo:  ", $C4  * 0.1, "GB", CHAR(10),
                        "/oracle:  ", "50GB", CHAR(10),
                        "/redo:  ", $C4  * 0.1 &amp; "GB", CHAR(10),
                        "/backup:  ", $C4  * 2.2, "GB")</f>
        <v>/data:  0GB
/indx:  0GB
/temp:  0GB
/undo:  0GB
/oracle:  50GB
/redo:  0GB
/backup:  0GB</v>
      </c>
      <c r="F4" s="2369">
        <f>(($C4*0.7) + ($C4*0.3) + ($C4*0.1) + ($C4*0.1) + 50 +  ($C4*0.1) +  ($C4*2.2))</f>
        <v>50</v>
      </c>
      <c r="G4" s="1654"/>
      <c r="H4" s="2551" t="s">
        <v>4086</v>
      </c>
      <c r="J4" s="2545" t="s">
        <v>4083</v>
      </c>
      <c r="P4" s="3653"/>
      <c r="Q4" s="3653"/>
      <c r="R4" s="3653"/>
    </row>
    <row r="5" spans="1:27" ht="39" thickBot="1">
      <c r="A5" s="792" t="s">
        <v>3837</v>
      </c>
      <c r="B5" s="2371"/>
      <c r="C5" s="2365" t="s">
        <v>3841</v>
      </c>
      <c r="D5" s="2364"/>
      <c r="E5" s="2366" t="s">
        <v>2203</v>
      </c>
      <c r="F5" s="2362" t="s">
        <v>3840</v>
      </c>
      <c r="G5" s="2550"/>
    </row>
    <row r="6" spans="1:27" ht="90" thickBot="1">
      <c r="A6" s="2367"/>
      <c r="B6" s="2368" t="s">
        <v>3839</v>
      </c>
      <c r="C6" s="2370"/>
      <c r="D6" s="1726"/>
      <c r="E6" s="2543" t="str">
        <f>CONCATENATE("/data:  ", $C6 * 0.7, "GB", CHAR(10),
                        "/indx:  ", $C6  * 0.3, "GB", CHAR(10),
                        "/temp:  ", $C6  * 0.1, "GB", CHAR(10),
                        "/undo:  ", $C6  * 0.1, "GB", CHAR(10),
                        "/oracle:  ", "50GB", CHAR(10),
                        "/redo:  ", $C6  * 0.1 &amp; "GB", CHAR(10),
                        "/backup:  ", $C6  * 2.2, "GB")</f>
        <v>/data:  0GB
/indx:  0GB
/temp:  0GB
/undo:  0GB
/oracle:  50GB
/redo:  0GB
/backup:  0GB</v>
      </c>
      <c r="F6" s="2369">
        <f>(($C6*0.7) + ($C6*0.3) + ($C6*0.1) + ($C6*0.1) + 50 +  ($C6*0.1) +  ($C6*2.2))</f>
        <v>50</v>
      </c>
      <c r="G6" s="1654"/>
    </row>
    <row r="7" spans="1:27" ht="39" thickBot="1">
      <c r="A7" s="792" t="s">
        <v>3837</v>
      </c>
      <c r="B7" s="2371"/>
      <c r="C7" s="2365" t="s">
        <v>3841</v>
      </c>
      <c r="D7" s="2364"/>
      <c r="E7" s="2366" t="s">
        <v>2203</v>
      </c>
      <c r="F7" s="2362" t="s">
        <v>3840</v>
      </c>
      <c r="G7" s="2550"/>
    </row>
    <row r="8" spans="1:27" ht="90" thickBot="1">
      <c r="A8" s="2367"/>
      <c r="B8" s="2368" t="s">
        <v>3839</v>
      </c>
      <c r="C8" s="2370"/>
      <c r="D8" s="1726"/>
      <c r="E8" s="2544" t="str">
        <f>CONCATENATE("/data:  ", $C8 * 0.7, "GB", CHAR(10),
                        "/indx:  ", $C8  * 0.3, "GB", CHAR(10),
                        "/temp:  ", $C8  * 0.1, "GB", CHAR(10),
                        "/undo:  ", $C8  * 0.1, "GB", CHAR(10),
                        "/oracle:  ", "50GB", CHAR(10),
                        "/redo:  ", $C8  * 0.1 &amp; "GB", CHAR(10),
                        "/backup:  ", $C8  * 2.2, "GB")</f>
        <v>/data:  0GB
/indx:  0GB
/temp:  0GB
/undo:  0GB
/oracle:  50GB
/redo:  0GB
/backup:  0GB</v>
      </c>
      <c r="F8" s="2369">
        <f>(($C8*0.7) + ($C8*0.3) + ($C8*0.1) + ($C8*0.1) + 50 +  ($C8*0.1) +  ($C8*2.2))</f>
        <v>50</v>
      </c>
      <c r="G8" s="1654"/>
    </row>
    <row r="9" spans="1:27" ht="39" thickBot="1">
      <c r="A9" s="792" t="s">
        <v>3837</v>
      </c>
      <c r="B9" s="2371"/>
      <c r="C9" s="2365"/>
      <c r="D9" s="2364"/>
      <c r="E9" s="2366" t="s">
        <v>2203</v>
      </c>
      <c r="F9" s="2362" t="s">
        <v>3840</v>
      </c>
      <c r="G9" s="2550"/>
    </row>
    <row r="10" spans="1:27" ht="90" thickBot="1">
      <c r="A10" s="2367"/>
      <c r="B10" s="2368" t="s">
        <v>3839</v>
      </c>
      <c r="C10" s="2370"/>
      <c r="D10" s="1726"/>
      <c r="E10" s="2543" t="str">
        <f>CONCATENATE("/data:  ", $C10 * 0.7, "GB", CHAR(10),
                        "/indx:  ", $C10  * 0.3, "GB", CHAR(10),
                        "/temp:  ", $C10  * 0.1, "GB", CHAR(10),
                        "/undo:  ", $C10  * 0.1, "GB", CHAR(10),
                        "/oracle:  ", "50GB", CHAR(10),
                        "/redo:  ", $C10  * 0.1 &amp; "GB", CHAR(10),
                        "/backup:  ", $C10  * 2.2, "GB")</f>
        <v>/data:  0GB
/indx:  0GB
/temp:  0GB
/undo:  0GB
/oracle:  50GB
/redo:  0GB
/backup:  0GB</v>
      </c>
      <c r="F10" s="2369">
        <f>(($C10*0.7) + ($C10*0.3) + ($C10*0.1) + ($C10*0.1) + 50 +  ($C10*0.1) +  ($C10*2.2))</f>
        <v>50</v>
      </c>
      <c r="G10" s="1654"/>
    </row>
  </sheetData>
  <mergeCells count="2">
    <mergeCell ref="P4:R4"/>
    <mergeCell ref="A1:J1"/>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4"/>
  <dimension ref="A1:E42"/>
  <sheetViews>
    <sheetView showGridLines="0" zoomScale="70" zoomScaleNormal="70" workbookViewId="0">
      <selection activeCell="G17" sqref="G17"/>
    </sheetView>
  </sheetViews>
  <sheetFormatPr defaultRowHeight="12.75"/>
  <cols>
    <col min="1" max="1" width="18.28515625" customWidth="1"/>
    <col min="2" max="2" width="6.28515625" style="56" customWidth="1"/>
    <col min="3" max="3" width="18.42578125" customWidth="1"/>
    <col min="4" max="4" width="9.140625" style="2271"/>
  </cols>
  <sheetData>
    <row r="1" spans="1:5" s="931" customFormat="1" ht="27.75" customHeight="1" thickBot="1">
      <c r="A1" s="2294"/>
      <c r="B1" s="2295"/>
      <c r="C1" s="2294"/>
      <c r="D1" s="2296"/>
    </row>
    <row r="2" spans="1:5" s="931" customFormat="1" ht="13.5" thickBot="1">
      <c r="A2" s="2280" t="s">
        <v>3723</v>
      </c>
      <c r="B2" s="2281" t="s">
        <v>3724</v>
      </c>
      <c r="C2" s="2282" t="s">
        <v>3725</v>
      </c>
      <c r="D2" s="2283" t="s">
        <v>3736</v>
      </c>
      <c r="E2" s="354" t="s">
        <v>3735</v>
      </c>
    </row>
    <row r="3" spans="1:5" ht="15">
      <c r="A3" s="2285" t="s">
        <v>3710</v>
      </c>
      <c r="B3" s="4443"/>
      <c r="C3" s="4444"/>
      <c r="D3" s="4445"/>
    </row>
    <row r="4" spans="1:5">
      <c r="A4" s="1551" t="s">
        <v>3726</v>
      </c>
      <c r="B4" s="1664">
        <v>516</v>
      </c>
      <c r="C4" s="1884" t="s">
        <v>454</v>
      </c>
      <c r="D4" s="2288">
        <v>96</v>
      </c>
    </row>
    <row r="5" spans="1:5">
      <c r="A5" s="1551" t="s">
        <v>3727</v>
      </c>
      <c r="B5" s="1664">
        <v>525</v>
      </c>
      <c r="C5" s="1884" t="s">
        <v>959</v>
      </c>
      <c r="D5" s="2288">
        <v>57.5</v>
      </c>
    </row>
    <row r="6" spans="1:5" ht="13.5" thickBot="1">
      <c r="A6" s="1550" t="s">
        <v>1285</v>
      </c>
      <c r="B6" s="2270">
        <v>515</v>
      </c>
      <c r="C6" s="921" t="s">
        <v>807</v>
      </c>
      <c r="D6" s="1100">
        <v>58.6</v>
      </c>
    </row>
    <row r="7" spans="1:5" ht="13.5" thickBot="1">
      <c r="A7" s="126"/>
      <c r="B7" s="2279"/>
      <c r="C7" s="126"/>
      <c r="D7" s="70"/>
    </row>
    <row r="8" spans="1:5" ht="15.75" thickBot="1">
      <c r="A8" s="2293" t="s">
        <v>3711</v>
      </c>
      <c r="B8" s="4440"/>
      <c r="C8" s="4441"/>
      <c r="D8" s="4442"/>
    </row>
    <row r="9" spans="1:5">
      <c r="A9" s="605" t="s">
        <v>3707</v>
      </c>
      <c r="B9" s="2286">
        <v>2401</v>
      </c>
      <c r="C9" s="329" t="s">
        <v>3011</v>
      </c>
      <c r="D9" s="2287">
        <v>46.3</v>
      </c>
    </row>
    <row r="10" spans="1:5">
      <c r="A10" s="1551" t="s">
        <v>3708</v>
      </c>
      <c r="B10" s="1664">
        <v>2405</v>
      </c>
      <c r="C10" s="1884" t="s">
        <v>3256</v>
      </c>
      <c r="D10" s="2288">
        <v>13.6</v>
      </c>
    </row>
    <row r="11" spans="1:5">
      <c r="A11" s="1551" t="s">
        <v>3733</v>
      </c>
      <c r="B11" s="1664">
        <v>2411</v>
      </c>
      <c r="C11" s="1884" t="s">
        <v>3262</v>
      </c>
      <c r="D11" s="2288">
        <v>5</v>
      </c>
    </row>
    <row r="12" spans="1:5" ht="13.5" thickBot="1">
      <c r="A12" s="1550" t="s">
        <v>1285</v>
      </c>
      <c r="B12" s="2270">
        <v>2422</v>
      </c>
      <c r="C12" s="1532" t="s">
        <v>3016</v>
      </c>
      <c r="D12" s="1100">
        <v>6.4</v>
      </c>
    </row>
    <row r="13" spans="1:5" ht="13.5" thickBot="1">
      <c r="A13" s="126"/>
      <c r="B13" s="2279"/>
      <c r="C13" s="126"/>
      <c r="D13" s="70"/>
    </row>
    <row r="14" spans="1:5" ht="15">
      <c r="A14" s="2285" t="s">
        <v>723</v>
      </c>
      <c r="B14" s="4443"/>
      <c r="C14" s="4444"/>
      <c r="D14" s="4445"/>
    </row>
    <row r="15" spans="1:5">
      <c r="A15" s="1551" t="s">
        <v>3712</v>
      </c>
      <c r="B15" s="1664">
        <v>1720</v>
      </c>
      <c r="C15" s="1884" t="s">
        <v>466</v>
      </c>
      <c r="D15" s="2288">
        <v>98.6</v>
      </c>
    </row>
    <row r="16" spans="1:5">
      <c r="A16" s="1551" t="s">
        <v>3713</v>
      </c>
      <c r="B16" s="1664">
        <v>1721</v>
      </c>
      <c r="C16" s="1884" t="s">
        <v>1143</v>
      </c>
      <c r="D16" s="2288">
        <v>99.2</v>
      </c>
    </row>
    <row r="17" spans="1:4">
      <c r="A17" s="1551" t="s">
        <v>3714</v>
      </c>
      <c r="B17" s="1664">
        <v>1722</v>
      </c>
      <c r="C17" s="1884" t="s">
        <v>1145</v>
      </c>
      <c r="D17" s="2288">
        <v>13.3</v>
      </c>
    </row>
    <row r="18" spans="1:4">
      <c r="A18" s="1551" t="s">
        <v>3715</v>
      </c>
      <c r="B18" s="1664">
        <v>1728</v>
      </c>
      <c r="C18" s="1884" t="s">
        <v>585</v>
      </c>
      <c r="D18" s="2288">
        <v>96.1</v>
      </c>
    </row>
    <row r="19" spans="1:4">
      <c r="A19" s="1551" t="s">
        <v>3716</v>
      </c>
      <c r="B19" s="1664">
        <v>1729</v>
      </c>
      <c r="C19" s="1884" t="s">
        <v>2228</v>
      </c>
      <c r="D19" s="2288">
        <v>56.6</v>
      </c>
    </row>
    <row r="20" spans="1:4">
      <c r="A20" s="2289" t="s">
        <v>3717</v>
      </c>
      <c r="B20" s="2290">
        <v>1730</v>
      </c>
      <c r="C20" s="2292" t="s">
        <v>2376</v>
      </c>
      <c r="D20" s="2288">
        <v>3.1</v>
      </c>
    </row>
    <row r="21" spans="1:4" ht="7.5" customHeight="1">
      <c r="A21" s="1071"/>
      <c r="B21" s="1664"/>
      <c r="C21" s="1666"/>
      <c r="D21" s="2291"/>
    </row>
    <row r="22" spans="1:4">
      <c r="A22" s="1541" t="s">
        <v>3728</v>
      </c>
      <c r="B22" s="1663">
        <v>1716</v>
      </c>
      <c r="C22" s="1696" t="s">
        <v>287</v>
      </c>
      <c r="D22" s="2288">
        <v>97.3</v>
      </c>
    </row>
    <row r="23" spans="1:4">
      <c r="A23" s="1551" t="s">
        <v>3729</v>
      </c>
      <c r="B23" s="1664">
        <v>1716</v>
      </c>
      <c r="C23" s="1884" t="s">
        <v>3697</v>
      </c>
      <c r="D23" s="2288">
        <v>4.3</v>
      </c>
    </row>
    <row r="24" spans="1:4">
      <c r="A24" s="1551" t="s">
        <v>3731</v>
      </c>
      <c r="B24" s="1664">
        <v>1717</v>
      </c>
      <c r="C24" s="1884" t="s">
        <v>137</v>
      </c>
      <c r="D24" s="2288">
        <v>10.199999999999999</v>
      </c>
    </row>
    <row r="25" spans="1:4">
      <c r="A25" s="1551" t="s">
        <v>3730</v>
      </c>
      <c r="B25" s="1664">
        <v>1718</v>
      </c>
      <c r="C25" s="1884" t="s">
        <v>288</v>
      </c>
      <c r="D25" s="2288">
        <v>35.6</v>
      </c>
    </row>
    <row r="26" spans="1:4">
      <c r="A26" s="1551" t="s">
        <v>3732</v>
      </c>
      <c r="B26" s="1664">
        <v>1719</v>
      </c>
      <c r="C26" s="1884" t="s">
        <v>136</v>
      </c>
      <c r="D26" s="2288">
        <v>7.3</v>
      </c>
    </row>
    <row r="27" spans="1:4" s="931" customFormat="1" ht="13.5" thickBot="1">
      <c r="A27" s="1550" t="s">
        <v>3709</v>
      </c>
      <c r="B27" s="2270">
        <v>1736</v>
      </c>
      <c r="C27" s="1532" t="s">
        <v>197</v>
      </c>
      <c r="D27" s="1100">
        <v>63.6</v>
      </c>
    </row>
    <row r="28" spans="1:4" s="931" customFormat="1" ht="13.5" thickBot="1">
      <c r="A28" s="503"/>
      <c r="B28" s="2279"/>
      <c r="C28" s="126"/>
      <c r="D28" s="70"/>
    </row>
    <row r="29" spans="1:4" ht="15">
      <c r="A29" s="2285" t="s">
        <v>3707</v>
      </c>
      <c r="B29" s="4443"/>
      <c r="C29" s="4444"/>
      <c r="D29" s="4445"/>
    </row>
    <row r="30" spans="1:4">
      <c r="A30" s="1551" t="s">
        <v>3712</v>
      </c>
      <c r="B30" s="1664">
        <v>2720</v>
      </c>
      <c r="C30" s="1884" t="s">
        <v>468</v>
      </c>
      <c r="D30" s="2288">
        <v>84.1</v>
      </c>
    </row>
    <row r="31" spans="1:4">
      <c r="A31" s="1551" t="s">
        <v>3713</v>
      </c>
      <c r="B31" s="1664">
        <v>2721</v>
      </c>
      <c r="C31" s="1884" t="s">
        <v>1127</v>
      </c>
      <c r="D31" s="2288">
        <v>78.099999999999994</v>
      </c>
    </row>
    <row r="32" spans="1:4">
      <c r="A32" s="1551" t="s">
        <v>3714</v>
      </c>
      <c r="B32" s="1664">
        <v>2722</v>
      </c>
      <c r="C32" s="1884" t="s">
        <v>1129</v>
      </c>
      <c r="D32" s="2288">
        <v>8</v>
      </c>
    </row>
    <row r="33" spans="1:4">
      <c r="A33" s="1551" t="s">
        <v>3715</v>
      </c>
      <c r="B33" s="1664">
        <v>2728</v>
      </c>
      <c r="C33" s="1884" t="s">
        <v>587</v>
      </c>
      <c r="D33" s="2288">
        <v>97.6</v>
      </c>
    </row>
    <row r="34" spans="1:4">
      <c r="A34" s="1551" t="s">
        <v>3716</v>
      </c>
      <c r="B34" s="1664">
        <v>2729</v>
      </c>
      <c r="C34" s="1884" t="s">
        <v>2348</v>
      </c>
      <c r="D34" s="2288">
        <v>6.3</v>
      </c>
    </row>
    <row r="35" spans="1:4">
      <c r="A35" s="1551" t="s">
        <v>3717</v>
      </c>
      <c r="B35" s="1664">
        <v>2730</v>
      </c>
      <c r="C35" s="1884" t="s">
        <v>2350</v>
      </c>
      <c r="D35" s="2288">
        <v>3.2</v>
      </c>
    </row>
    <row r="36" spans="1:4" ht="4.5" customHeight="1">
      <c r="A36" s="1071"/>
      <c r="B36" s="1664"/>
      <c r="C36" s="1666"/>
      <c r="D36" s="2288"/>
    </row>
    <row r="37" spans="1:4">
      <c r="A37" s="1551" t="s">
        <v>3720</v>
      </c>
      <c r="B37" s="1664">
        <v>2716</v>
      </c>
      <c r="C37" s="1884" t="s">
        <v>291</v>
      </c>
      <c r="D37" s="2288">
        <v>46.8</v>
      </c>
    </row>
    <row r="38" spans="1:4">
      <c r="A38" s="1551" t="s">
        <v>3721</v>
      </c>
      <c r="B38" s="1892"/>
      <c r="C38" s="2284" t="s">
        <v>3734</v>
      </c>
      <c r="D38" s="2288"/>
    </row>
    <row r="39" spans="1:4">
      <c r="A39" s="1551" t="s">
        <v>3718</v>
      </c>
      <c r="B39" s="1664">
        <v>2717</v>
      </c>
      <c r="C39" s="1884" t="s">
        <v>150</v>
      </c>
      <c r="D39" s="2288">
        <v>9.3000000000000007</v>
      </c>
    </row>
    <row r="40" spans="1:4">
      <c r="A40" s="1551" t="s">
        <v>3722</v>
      </c>
      <c r="B40" s="1664">
        <v>2718</v>
      </c>
      <c r="C40" s="1884" t="s">
        <v>292</v>
      </c>
      <c r="D40" s="2288">
        <v>27.2</v>
      </c>
    </row>
    <row r="41" spans="1:4">
      <c r="A41" s="1551" t="s">
        <v>3719</v>
      </c>
      <c r="B41" s="1664">
        <v>2719</v>
      </c>
      <c r="C41" s="1884" t="s">
        <v>148</v>
      </c>
      <c r="D41" s="2288">
        <v>8.4</v>
      </c>
    </row>
    <row r="42" spans="1:4" ht="13.5" thickBot="1">
      <c r="A42" s="1550" t="s">
        <v>3709</v>
      </c>
      <c r="B42" s="2270">
        <v>2736</v>
      </c>
      <c r="C42" s="1532" t="s">
        <v>293</v>
      </c>
      <c r="D42" s="1100">
        <v>35.799999999999997</v>
      </c>
    </row>
  </sheetData>
  <mergeCells count="4">
    <mergeCell ref="B8:D8"/>
    <mergeCell ref="B3:D3"/>
    <mergeCell ref="B14:D14"/>
    <mergeCell ref="B29:D29"/>
  </mergeCells>
  <conditionalFormatting sqref="D4:D6">
    <cfRule type="colorScale" priority="14">
      <colorScale>
        <cfvo type="num" val="0"/>
        <cfvo type="num" val="50"/>
        <cfvo type="num" val="100"/>
        <color rgb="FF92D050"/>
        <color rgb="FFFFEB84"/>
        <color rgb="FFFF0000"/>
      </colorScale>
    </cfRule>
  </conditionalFormatting>
  <conditionalFormatting sqref="D9:D12">
    <cfRule type="colorScale" priority="6">
      <colorScale>
        <cfvo type="num" val="0"/>
        <cfvo type="num" val="50"/>
        <cfvo type="num" val="100"/>
        <color rgb="FF92D050"/>
        <color rgb="FFFFEB84"/>
        <color rgb="FFFF0000"/>
      </colorScale>
    </cfRule>
  </conditionalFormatting>
  <conditionalFormatting sqref="D15:D20">
    <cfRule type="colorScale" priority="5">
      <colorScale>
        <cfvo type="num" val="0"/>
        <cfvo type="num" val="50"/>
        <cfvo type="num" val="100"/>
        <color rgb="FF92D050"/>
        <color rgb="FFFFEB84"/>
        <color rgb="FFFF0000"/>
      </colorScale>
    </cfRule>
  </conditionalFormatting>
  <conditionalFormatting sqref="D22:D27">
    <cfRule type="colorScale" priority="4">
      <colorScale>
        <cfvo type="num" val="0"/>
        <cfvo type="num" val="50"/>
        <cfvo type="num" val="100"/>
        <color rgb="FF92D050"/>
        <color rgb="FFFFEB84"/>
        <color rgb="FFFF0000"/>
      </colorScale>
    </cfRule>
  </conditionalFormatting>
  <conditionalFormatting sqref="D30:D35">
    <cfRule type="colorScale" priority="3">
      <colorScale>
        <cfvo type="num" val="0"/>
        <cfvo type="num" val="50"/>
        <cfvo type="num" val="100"/>
        <color rgb="FF92D050"/>
        <color rgb="FFFFEB84"/>
        <color rgb="FFFF0000"/>
      </colorScale>
    </cfRule>
  </conditionalFormatting>
  <conditionalFormatting sqref="D37">
    <cfRule type="colorScale" priority="2">
      <colorScale>
        <cfvo type="num" val="0"/>
        <cfvo type="num" val="50"/>
        <cfvo type="num" val="100"/>
        <color rgb="FF92D050"/>
        <color rgb="FFFFEB84"/>
        <color rgb="FFFF0000"/>
      </colorScale>
    </cfRule>
  </conditionalFormatting>
  <conditionalFormatting sqref="D39:D42">
    <cfRule type="colorScale" priority="1">
      <colorScale>
        <cfvo type="num" val="0"/>
        <cfvo type="num" val="50"/>
        <cfvo type="num" val="100"/>
        <color rgb="FF92D050"/>
        <color rgb="FFFFEB84"/>
        <color rgb="FFFF0000"/>
      </colorScale>
    </cfRule>
  </conditionalFormatting>
  <pageMargins left="0.7" right="0.7" top="0.75" bottom="0.75" header="0.3" footer="0.3"/>
  <pageSetup orientation="portrait" r:id="rId1"/>
  <drawing r:id="rId2"/>
  <legacyDrawing r:id="rId3"/>
  <oleObjects>
    <mc:AlternateContent xmlns:mc="http://schemas.openxmlformats.org/markup-compatibility/2006">
      <mc:Choice Requires="x14">
        <oleObject progId="Presentation" dvAspect="DVASPECT_ICON" shapeId="575490" r:id="rId4">
          <objectPr defaultSize="0" autoPict="0" r:id="rId5">
            <anchor moveWithCells="1">
              <from>
                <xdr:col>7</xdr:col>
                <xdr:colOff>228600</xdr:colOff>
                <xdr:row>5</xdr:row>
                <xdr:rowOff>0</xdr:rowOff>
              </from>
              <to>
                <xdr:col>9</xdr:col>
                <xdr:colOff>304800</xdr:colOff>
                <xdr:row>10</xdr:row>
                <xdr:rowOff>104775</xdr:rowOff>
              </to>
            </anchor>
          </objectPr>
        </oleObject>
      </mc:Choice>
      <mc:Fallback>
        <oleObject progId="Presentation" dvAspect="DVASPECT_ICON" shapeId="575490" r:id="rId4"/>
      </mc:Fallback>
    </mc:AlternateContent>
  </oleObjec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HCSC Document" ma:contentTypeID="0x01010069CE749EA4B24C4CBEE01E9FA745B770002BDE47D636F60041A3AF0A265C050649" ma:contentTypeVersion="48" ma:contentTypeDescription="" ma:contentTypeScope="" ma:versionID="620afba207a4285c83bb5ffced0e40a4">
  <xsd:schema xmlns:xsd="http://www.w3.org/2001/XMLSchema" xmlns:xs="http://www.w3.org/2001/XMLSchema" xmlns:p="http://schemas.microsoft.com/office/2006/metadata/properties" xmlns:ns1="http://schemas.microsoft.com/sharepoint/v3" xmlns:ns2="5c010ad1-c08e-4983-b227-f5575219fce8" xmlns:ns3="15c20377-777f-49ed-811e-745d5c8813c5" xmlns:ns4="8eca23d5-5bd1-4c19-8160-6fb745670d27" xmlns:ns5="http://schemas.microsoft.com/sharepoint/v4" targetNamespace="http://schemas.microsoft.com/office/2006/metadata/properties" ma:root="true" ma:fieldsID="4b26ba514533ac6ddef9ff3e30aacb3b" ns1:_="" ns2:_="" ns3:_="" ns4:_="" ns5:_="">
    <xsd:import namespace="http://schemas.microsoft.com/sharepoint/v3"/>
    <xsd:import namespace="5c010ad1-c08e-4983-b227-f5575219fce8"/>
    <xsd:import namespace="15c20377-777f-49ed-811e-745d5c8813c5"/>
    <xsd:import namespace="8eca23d5-5bd1-4c19-8160-6fb745670d27"/>
    <xsd:import namespace="http://schemas.microsoft.com/sharepoint/v4"/>
    <xsd:element name="properties">
      <xsd:complexType>
        <xsd:sequence>
          <xsd:element name="documentManagement">
            <xsd:complexType>
              <xsd:all>
                <xsd:element ref="ns2:Zone"/>
                <xsd:element ref="ns2:TaxKeywordTaxHTField" minOccurs="0"/>
                <xsd:element ref="ns2:TaxCatchAll" minOccurs="0"/>
                <xsd:element ref="ns2:TaxCatchAllLabel" minOccurs="0"/>
                <xsd:element ref="ns3:_dlc_DocId" minOccurs="0"/>
                <xsd:element ref="ns3:_dlc_DocIdUrl" minOccurs="0"/>
                <xsd:element ref="ns3:_dlc_DocIdPersistId" minOccurs="0"/>
                <xsd:element ref="ns1:_ip_UnifiedCompliancePolicyProperties" minOccurs="0"/>
                <xsd:element ref="ns1:_ip_UnifiedCompliancePolicyUIAction" minOccurs="0"/>
                <xsd:element ref="ns4:MediaServiceMetadata" minOccurs="0"/>
                <xsd:element ref="ns4:MediaServiceFastMetadata" minOccurs="0"/>
                <xsd:element ref="ns4:ISEStatus"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Environments" minOccurs="0"/>
                <xsd:element ref="ns5:IconOverlay" minOccurs="0"/>
                <xsd:element ref="ns4:Assigned_x0020_To0" minOccurs="0"/>
                <xsd:element ref="ns4:MediaServiceAutoKeyPoints" minOccurs="0"/>
                <xsd:element ref="ns4:MediaServiceKeyPoints" minOccurs="0"/>
                <xsd:element ref="ns4:LBOMNumber" minOccurs="0"/>
                <xsd:element ref="ns4:ApplicationName" minOccurs="0"/>
                <xsd:element ref="ns4:ApplicationID" minOccurs="0"/>
                <xsd:element ref="ns4:ProjectID" minOccurs="0"/>
                <xsd:element ref="ns4:ProjectName" minOccurs="0"/>
                <xsd:element ref="ns4:Designer" minOccurs="0"/>
                <xsd:element ref="ns4:Integrator" minOccurs="0"/>
                <xsd:element ref="ns4:Phase" minOccurs="0"/>
                <xsd:element ref="ns4:CCC_x0020_Status" minOccurs="0"/>
                <xsd:element ref="ns4:CCCHandOff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description="" ma:hidden="true" ma:internalName="_ip_UnifiedCompliancePolicyProperties">
      <xsd:simpleType>
        <xsd:restriction base="dms:Note"/>
      </xsd:simpleType>
    </xsd:element>
    <xsd:element name="_ip_UnifiedCompliancePolicyUIAction" ma:index="17" nillable="true" ma:displayName="Unified Compliance Policy UI Action" ma:descrip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c010ad1-c08e-4983-b227-f5575219fce8" elementFormDefault="qualified">
    <xsd:import namespace="http://schemas.microsoft.com/office/2006/documentManagement/types"/>
    <xsd:import namespace="http://schemas.microsoft.com/office/infopath/2007/PartnerControls"/>
    <xsd:element name="Zone" ma:index="3" ma:displayName="Zone" ma:default="Zone 2" ma:format="Dropdown" ma:internalName="Zone">
      <xsd:simpleType>
        <xsd:restriction base="dms:Choice">
          <xsd:enumeration value="Zone 2"/>
          <xsd:enumeration value="(Zone 3) Account and Member Management"/>
          <xsd:enumeration value="(Zone 3) Benefits and Claim Management"/>
          <xsd:enumeration value="(Zone 3) Corporate Administration"/>
          <xsd:enumeration value="(Zone 3) Corporate Planning and Governance"/>
          <xsd:enumeration value="(Zone 3) Financial Management"/>
          <xsd:enumeration value="(Zone 3) Health Care Management"/>
          <xsd:enumeration value="(Zone 3) Human Resources Management"/>
          <xsd:enumeration value="(Zone 3) Information Management"/>
          <xsd:enumeration value="(Zone 3) Legal and Compliance Management"/>
          <xsd:enumeration value="(Zone 3) Provider Management"/>
          <xsd:enumeration value="(Zone 3) Sales, Marketing and Communications"/>
          <xsd:enumeration value="(Zone 3) Technology Management"/>
        </xsd:restriction>
      </xsd:simpleType>
    </xsd:element>
    <xsd:element name="TaxKeywordTaxHTField" ma:index="9" nillable="true" ma:taxonomy="true" ma:internalName="TaxKeywordTaxHTField" ma:taxonomyFieldName="TaxKeyword"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d85f31a5-28c7-4cbe-b085-7a424754c951}" ma:internalName="TaxCatchAll" ma:showField="CatchAllData" ma:web="cc1c7b61-adc0-4ca5-9f0e-684c7759b62a">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d85f31a5-28c7-4cbe-b085-7a424754c951}" ma:internalName="TaxCatchAllLabel" ma:readOnly="true" ma:showField="CatchAllDataLabel" ma:web="cc1c7b61-adc0-4ca5-9f0e-684c7759b62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5c20377-777f-49ed-811e-745d5c8813c5" elementFormDefault="qualified">
    <xsd:import namespace="http://schemas.microsoft.com/office/2006/documentManagement/types"/>
    <xsd:import namespace="http://schemas.microsoft.com/office/infopath/2007/PartnerControls"/>
    <xsd:element name="_dlc_DocId" ma:index="13" nillable="true" ma:displayName="Document ID Value" ma:description="The value of the document ID assigned to this item." ma:internalName="_dlc_DocId" ma:readOnly="true">
      <xsd:simpleType>
        <xsd:restriction base="dms:Text"/>
      </xsd:simpleType>
    </xsd:element>
    <xsd:element name="_dlc_DocIdUrl" ma:index="1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5"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eca23d5-5bd1-4c19-8160-6fb745670d27" elementFormDefault="qualified">
    <xsd:import namespace="http://schemas.microsoft.com/office/2006/documentManagement/types"/>
    <xsd:import namespace="http://schemas.microsoft.com/office/infopath/2007/PartnerControls"/>
    <xsd:element name="MediaServiceMetadata" ma:index="18" nillable="true" ma:displayName="MediaServiceMetadata" ma:description="" ma:hidden="true" ma:internalName="MediaServiceMetadata" ma:readOnly="true">
      <xsd:simpleType>
        <xsd:restriction base="dms:Note"/>
      </xsd:simpleType>
    </xsd:element>
    <xsd:element name="MediaServiceFastMetadata" ma:index="19" nillable="true" ma:displayName="MediaServiceFastMetadata" ma:description="" ma:hidden="true" ma:internalName="MediaServiceFastMetadata" ma:readOnly="true">
      <xsd:simpleType>
        <xsd:restriction base="dms:Note"/>
      </xsd:simpleType>
    </xsd:element>
    <xsd:element name="ISEStatus" ma:index="20" nillable="true" ma:displayName="DocumentStatus" ma:default="Design" ma:format="Dropdown" ma:indexed="true" ma:internalName="ISEStatus">
      <xsd:simpleType>
        <xsd:restriction base="dms:Choice">
          <xsd:enumeration value="Initial Engagement"/>
          <xsd:enumeration value="ISE"/>
          <xsd:enumeration value="Design"/>
          <xsd:enumeration value="DCC"/>
          <xsd:enumeration value="Integration"/>
          <xsd:enumeration value="ICC"/>
          <xsd:enumeration value="Provisioning"/>
          <xsd:enumeration value="Archive - Duplicate Entry"/>
          <xsd:enumeration value="Archive - No Impact"/>
          <xsd:enumeration value="Archive - Implementation Completed"/>
        </xsd:restriction>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MediaServiceAutoTags" ma:index="24" nillable="true" ma:displayName="Tags" ma:internalName="MediaServiceAutoTags" ma:readOnly="true">
      <xsd:simpleType>
        <xsd:restriction base="dms:Text"/>
      </xsd:simpleType>
    </xsd:element>
    <xsd:element name="MediaServiceOCR" ma:index="25" nillable="true" ma:displayName="Extracted Text" ma:internalName="MediaServiceOCR" ma:readOnly="true">
      <xsd:simpleType>
        <xsd:restriction base="dms:Note">
          <xsd:maxLength value="255"/>
        </xsd:restriction>
      </xsd:simpleType>
    </xsd:element>
    <xsd:element name="Environments" ma:index="26" nillable="true" ma:displayName="Environments" ma:internalName="Environments">
      <xsd:simpleType>
        <xsd:restriction base="dms:Text">
          <xsd:maxLength value="255"/>
        </xsd:restriction>
      </xsd:simpleType>
    </xsd:element>
    <xsd:element name="Assigned_x0020_To0" ma:index="28" nillable="true" ma:displayName="Assigned To" ma:internalName="Assigned_x0020_To0">
      <xsd:simpleType>
        <xsd:restriction base="dms:Text">
          <xsd:maxLength value="255"/>
        </xsd:restriction>
      </xsd:simpleType>
    </xsd:element>
    <xsd:element name="MediaServiceAutoKeyPoints" ma:index="29" nillable="true" ma:displayName="MediaServiceAutoKeyPoints" ma:hidden="true" ma:internalName="MediaServiceAutoKeyPoints" ma:readOnly="true">
      <xsd:simpleType>
        <xsd:restriction base="dms:Note"/>
      </xsd:simpleType>
    </xsd:element>
    <xsd:element name="MediaServiceKeyPoints" ma:index="30" nillable="true" ma:displayName="KeyPoints" ma:internalName="MediaServiceKeyPoints" ma:readOnly="true">
      <xsd:simpleType>
        <xsd:restriction base="dms:Note">
          <xsd:maxLength value="255"/>
        </xsd:restriction>
      </xsd:simpleType>
    </xsd:element>
    <xsd:element name="LBOMNumber" ma:index="31" nillable="true" ma:displayName="Engagement Number" ma:decimals="0" ma:format="Dropdown" ma:internalName="LBOMNumber" ma:percentage="FALSE">
      <xsd:simpleType>
        <xsd:restriction base="dms:Number"/>
      </xsd:simpleType>
    </xsd:element>
    <xsd:element name="ApplicationName" ma:index="32" nillable="true" ma:displayName="ApplicationName" ma:description="Enter the Official Application Name as described in Clarity and is associated to the Application ID number." ma:internalName="ApplicationName">
      <xsd:simpleType>
        <xsd:restriction base="dms:Text">
          <xsd:maxLength value="255"/>
        </xsd:restriction>
      </xsd:simpleType>
    </xsd:element>
    <xsd:element name="ApplicationID" ma:index="33" nillable="true" ma:displayName="ApplicationID" ma:description="Enter the entire Application number as displayed in Clarity." ma:internalName="ApplicationID">
      <xsd:simpleType>
        <xsd:restriction base="dms:Text">
          <xsd:maxLength value="12"/>
        </xsd:restriction>
      </xsd:simpleType>
    </xsd:element>
    <xsd:element name="ProjectID" ma:index="34" nillable="true" ma:displayName="ProjectID" ma:description="Please enter the entire project code. &#10;Ex:  P00011111" ma:internalName="ProjectID">
      <xsd:simpleType>
        <xsd:restriction base="dms:Text">
          <xsd:maxLength value="12"/>
        </xsd:restriction>
      </xsd:simpleType>
    </xsd:element>
    <xsd:element name="ProjectName" ma:index="35" nillable="true" ma:displayName="ProjectName" ma:internalName="ProjectName">
      <xsd:simpleType>
        <xsd:restriction base="dms:Text">
          <xsd:maxLength value="255"/>
        </xsd:restriction>
      </xsd:simpleType>
    </xsd:element>
    <xsd:element name="Designer" ma:index="36" nillable="true" ma:displayName="Designer" ma:internalName="Designer">
      <xsd:simpleType>
        <xsd:restriction base="dms:Text">
          <xsd:maxLength value="255"/>
        </xsd:restriction>
      </xsd:simpleType>
    </xsd:element>
    <xsd:element name="Integrator" ma:index="37" nillable="true" ma:displayName="Integrator" ma:internalName="Integrator">
      <xsd:simpleType>
        <xsd:restriction base="dms:Text">
          <xsd:maxLength value="255"/>
        </xsd:restriction>
      </xsd:simpleType>
    </xsd:element>
    <xsd:element name="Phase" ma:index="38" nillable="true" ma:displayName="Phase" ma:default="Design" ma:format="Dropdown" ma:indexed="true" ma:internalName="Phase">
      <xsd:simpleType>
        <xsd:restriction base="dms:Choice">
          <xsd:enumeration value="Data Center"/>
          <xsd:enumeration value="Design"/>
          <xsd:enumeration value="Integration"/>
          <xsd:enumeration value="Provisioning"/>
        </xsd:restriction>
      </xsd:simpleType>
    </xsd:element>
    <xsd:element name="CCC_x0020_Status" ma:index="39" nillable="true" ma:displayName="CCC Status" ma:default="New" ma:format="Dropdown" ma:internalName="CCC_x0020_Status">
      <xsd:simpleType>
        <xsd:restriction base="dms:Choice">
          <xsd:enumeration value="New"/>
          <xsd:enumeration value="In Progress"/>
          <xsd:enumeration value="Complete"/>
        </xsd:restriction>
      </xsd:simpleType>
    </xsd:element>
    <xsd:element name="CCCHandOffDate" ma:index="40" nillable="true" ma:displayName="CCCHandOffDate" ma:format="DateOnly" ma:indexed="true" ma:internalName="CCCHandOff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SharedContentType xmlns="Microsoft.SharePoint.Taxonomy.ContentTypeSync" SourceId="54530e2d-b1ea-4ada-8c7e-d095980ec340" ContentTypeId="0x01010069CE749EA4B24C4CBEE01E9FA745B770"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_dlc_DocId xmlns="15c20377-777f-49ed-811e-745d5c8813c5">INFRASE-980951731-26617</_dlc_DocId>
    <_dlc_DocIdUrl xmlns="15c20377-777f-49ed-811e-745d5c8813c5">
      <Url>https://myfyi.sharepoint.com/teams/infrase/_layouts/15/DocIdRedir.aspx?ID=INFRASE-980951731-26617</Url>
      <Description>INFRASE-980951731-26617</Description>
    </_dlc_DocIdUrl>
    <_ip_UnifiedCompliancePolicyUIAction xmlns="http://schemas.microsoft.com/sharepoint/v3" xsi:nil="true"/>
    <_ip_UnifiedCompliancePolicyProperties xmlns="http://schemas.microsoft.com/sharepoint/v3" xsi:nil="true"/>
    <Zone xmlns="5c010ad1-c08e-4983-b227-f5575219fce8">Zone 2</Zone>
    <Environments xmlns="8eca23d5-5bd1-4c19-8160-6fb745670d27">Development,Prod 2.0,Alt-Prod,Test 2.0</Environments>
    <ApplicationName xmlns="8eca23d5-5bd1-4c19-8160-6fb745670d27">Linux Infrastructure Management</ApplicationName>
    <Integrator xmlns="8eca23d5-5bd1-4c19-8160-6fb745670d27">Cara Gilmore</Integrator>
    <ApplicationID xmlns="8eca23d5-5bd1-4c19-8160-6fb745670d27">APP00000000</ApplicationID>
    <ProjectID xmlns="8eca23d5-5bd1-4c19-8160-6fb745670d27">P00025443</ProjectID>
    <TaxCatchAll xmlns="5c010ad1-c08e-4983-b227-f5575219fce8"/>
    <IconOverlay xmlns="http://schemas.microsoft.com/sharepoint/v4" xsi:nil="true"/>
    <Assigned_x0020_To0 xmlns="8eca23d5-5bd1-4c19-8160-6fb745670d27" xsi:nil="true"/>
    <Designer xmlns="8eca23d5-5bd1-4c19-8160-6fb745670d27">Cara Gilmore</Designer>
    <CCCHandOffDate xmlns="8eca23d5-5bd1-4c19-8160-6fb745670d27" xsi:nil="true"/>
    <LBOMNumber xmlns="8eca23d5-5bd1-4c19-8160-6fb745670d27">20213598</LBOMNumber>
    <ISEStatus xmlns="8eca23d5-5bd1-4c19-8160-6fb745670d27">Provisioning</ISEStatus>
    <CCC_x0020_Status xmlns="8eca23d5-5bd1-4c19-8160-6fb745670d27">New</CCC_x0020_Status>
    <ProjectName xmlns="8eca23d5-5bd1-4c19-8160-6fb745670d27">Linux Version Upgrades</ProjectName>
    <Phase xmlns="8eca23d5-5bd1-4c19-8160-6fb745670d27">Design</Phase>
    <TaxKeywordTaxHTField xmlns="5c010ad1-c08e-4983-b227-f5575219fce8">
      <Terms xmlns="http://schemas.microsoft.com/office/infopath/2007/PartnerControls"/>
    </TaxKeywordTaxHTField>
    <_dlc_DocIdPersistId xmlns="15c20377-777f-49ed-811e-745d5c8813c5">false</_dlc_DocIdPersistId>
  </documentManagement>
</p:properties>
</file>

<file path=customXml/itemProps1.xml><?xml version="1.0" encoding="utf-8"?>
<ds:datastoreItem xmlns:ds="http://schemas.openxmlformats.org/officeDocument/2006/customXml" ds:itemID="{7802315D-71A6-4F42-B585-DBE7295AEA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c010ad1-c08e-4983-b227-f5575219fce8"/>
    <ds:schemaRef ds:uri="15c20377-777f-49ed-811e-745d5c8813c5"/>
    <ds:schemaRef ds:uri="8eca23d5-5bd1-4c19-8160-6fb745670d27"/>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64AA52-656F-4FA4-AA38-1982E077F454}">
  <ds:schemaRefs>
    <ds:schemaRef ds:uri="http://schemas.microsoft.com/sharepoint/events"/>
  </ds:schemaRefs>
</ds:datastoreItem>
</file>

<file path=customXml/itemProps3.xml><?xml version="1.0" encoding="utf-8"?>
<ds:datastoreItem xmlns:ds="http://schemas.openxmlformats.org/officeDocument/2006/customXml" ds:itemID="{5841ABB3-BC2C-43B3-A750-B4EC6F69EB8E}">
  <ds:schemaRefs>
    <ds:schemaRef ds:uri="Microsoft.SharePoint.Taxonomy.ContentTypeSync"/>
  </ds:schemaRefs>
</ds:datastoreItem>
</file>

<file path=customXml/itemProps4.xml><?xml version="1.0" encoding="utf-8"?>
<ds:datastoreItem xmlns:ds="http://schemas.openxmlformats.org/officeDocument/2006/customXml" ds:itemID="{09AC56D2-D855-4CFF-926D-C4E6A40C039F}">
  <ds:schemaRefs>
    <ds:schemaRef ds:uri="http://schemas.microsoft.com/sharepoint/v3/contenttype/forms"/>
  </ds:schemaRefs>
</ds:datastoreItem>
</file>

<file path=customXml/itemProps5.xml><?xml version="1.0" encoding="utf-8"?>
<ds:datastoreItem xmlns:ds="http://schemas.openxmlformats.org/officeDocument/2006/customXml" ds:itemID="{451A5507-AA08-4044-B0FF-F2989BEA0C82}">
  <ds:schemaRefs>
    <ds:schemaRef ds:uri="http://purl.org/dc/elements/1.1/"/>
    <ds:schemaRef ds:uri="http://schemas.microsoft.com/office/2006/metadata/properties"/>
    <ds:schemaRef ds:uri="http://schemas.microsoft.com/sharepoint/v3"/>
    <ds:schemaRef ds:uri="8eca23d5-5bd1-4c19-8160-6fb745670d27"/>
    <ds:schemaRef ds:uri="http://purl.org/dc/terms/"/>
    <ds:schemaRef ds:uri="http://schemas.openxmlformats.org/package/2006/metadata/core-properties"/>
    <ds:schemaRef ds:uri="5c010ad1-c08e-4983-b227-f5575219fce8"/>
    <ds:schemaRef ds:uri="http://schemas.microsoft.com/office/2006/documentManagement/types"/>
    <ds:schemaRef ds:uri="http://schemas.microsoft.com/office/infopath/2007/PartnerControls"/>
    <ds:schemaRef ds:uri="http://schemas.microsoft.com/sharepoint/v4"/>
    <ds:schemaRef ds:uri="15c20377-777f-49ed-811e-745d5c8813c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505</vt:i4>
      </vt:variant>
    </vt:vector>
  </HeadingPairs>
  <TitlesOfParts>
    <vt:vector size="552" baseType="lpstr">
      <vt:lpstr>Table of Contents</vt:lpstr>
      <vt:lpstr>Project Details</vt:lpstr>
      <vt:lpstr>VMware</vt:lpstr>
      <vt:lpstr>NAS</vt:lpstr>
      <vt:lpstr>Middleware - Web</vt:lpstr>
      <vt:lpstr>New DB Request</vt:lpstr>
      <vt:lpstr>SQL OPT File Refresh</vt:lpstr>
      <vt:lpstr>EAA Siteminder</vt:lpstr>
      <vt:lpstr>SD &amp; D Provisioning  Notes</vt:lpstr>
      <vt:lpstr>Distributed Assets</vt:lpstr>
      <vt:lpstr>IP</vt:lpstr>
      <vt:lpstr>Open Systems</vt:lpstr>
      <vt:lpstr>Windows HTTP FTP</vt:lpstr>
      <vt:lpstr>Windows</vt:lpstr>
      <vt:lpstr>DNS</vt:lpstr>
      <vt:lpstr>NAS Details</vt:lpstr>
      <vt:lpstr>Storage</vt:lpstr>
      <vt:lpstr>Backup</vt:lpstr>
      <vt:lpstr>Database (All)</vt:lpstr>
      <vt:lpstr>Scheduler</vt:lpstr>
      <vt:lpstr>Apache IHS</vt:lpstr>
      <vt:lpstr>Reverse Proxy</vt:lpstr>
      <vt:lpstr>BlueCoat Proxy</vt:lpstr>
      <vt:lpstr>Network.Firewall</vt:lpstr>
      <vt:lpstr>Network.Loadbalancer</vt:lpstr>
      <vt:lpstr>Traffic Manager</vt:lpstr>
      <vt:lpstr>Datapower </vt:lpstr>
      <vt:lpstr>MQ Messaging</vt:lpstr>
      <vt:lpstr>PAM</vt:lpstr>
      <vt:lpstr>Monitoring</vt:lpstr>
      <vt:lpstr>Decommissioning</vt:lpstr>
      <vt:lpstr>Mainframe Scope</vt:lpstr>
      <vt:lpstr>MF-CICS</vt:lpstr>
      <vt:lpstr>MF-DB2</vt:lpstr>
      <vt:lpstr>MF-DB1</vt:lpstr>
      <vt:lpstr>MF-WLM</vt:lpstr>
      <vt:lpstr>MF-Comm</vt:lpstr>
      <vt:lpstr>MF-OSSP</vt:lpstr>
      <vt:lpstr>Release Notes</vt:lpstr>
      <vt:lpstr>BOM FUNCTIONS</vt:lpstr>
      <vt:lpstr>HostNamingStandard</vt:lpstr>
      <vt:lpstr>Host Reference</vt:lpstr>
      <vt:lpstr>Admin Simp CIs</vt:lpstr>
      <vt:lpstr>SQL Drive Space</vt:lpstr>
      <vt:lpstr>DB2 File Structures</vt:lpstr>
      <vt:lpstr>Oracle File Structures</vt:lpstr>
      <vt:lpstr>Network Lookup</vt:lpstr>
      <vt:lpstr>Admin_Simp</vt:lpstr>
      <vt:lpstr>AdvMon</vt:lpstr>
      <vt:lpstr>AIX</vt:lpstr>
      <vt:lpstr>AltProd</vt:lpstr>
      <vt:lpstr>altprod_date</vt:lpstr>
      <vt:lpstr>app_dev_team</vt:lpstr>
      <vt:lpstr>app_id</vt:lpstr>
      <vt:lpstr>App_Names</vt:lpstr>
      <vt:lpstr>app_owner</vt:lpstr>
      <vt:lpstr>app_shortname</vt:lpstr>
      <vt:lpstr>app_support_team</vt:lpstr>
      <vt:lpstr>app_support_team_email</vt:lpstr>
      <vt:lpstr>app_technical_contact</vt:lpstr>
      <vt:lpstr>Appliance</vt:lpstr>
      <vt:lpstr>asset_ident</vt:lpstr>
      <vt:lpstr>asset_removal</vt:lpstr>
      <vt:lpstr>AssetBeginLine</vt:lpstr>
      <vt:lpstr>AssetEndLine</vt:lpstr>
      <vt:lpstr>Axway</vt:lpstr>
      <vt:lpstr>azure_dev</vt:lpstr>
      <vt:lpstr>azure_prod</vt:lpstr>
      <vt:lpstr>azure_sandbox</vt:lpstr>
      <vt:lpstr>azure_test</vt:lpstr>
      <vt:lpstr>BCI</vt:lpstr>
      <vt:lpstr>budget_number</vt:lpstr>
      <vt:lpstr>CAPAM_Middleware</vt:lpstr>
      <vt:lpstr>Cics_programmer</vt:lpstr>
      <vt:lpstr>clarity</vt:lpstr>
      <vt:lpstr>clarity_proj_name</vt:lpstr>
      <vt:lpstr>CPU_Type</vt:lpstr>
      <vt:lpstr>da_hostname</vt:lpstr>
      <vt:lpstr>Database_all</vt:lpstr>
      <vt:lpstr>Datapower</vt:lpstr>
      <vt:lpstr>db_table</vt:lpstr>
      <vt:lpstr>db_version</vt:lpstr>
      <vt:lpstr>DB2_Excludes</vt:lpstr>
      <vt:lpstr>db2size</vt:lpstr>
      <vt:lpstr>decom</vt:lpstr>
      <vt:lpstr>decom_array</vt:lpstr>
      <vt:lpstr>decom_assets</vt:lpstr>
      <vt:lpstr>Default_Procesor_Pool</vt:lpstr>
      <vt:lpstr>Dev</vt:lpstr>
      <vt:lpstr>dev_date</vt:lpstr>
      <vt:lpstr>dev_environment</vt:lpstr>
      <vt:lpstr>Dev_HADOOP_01</vt:lpstr>
      <vt:lpstr>Dev_OS_01_WAU</vt:lpstr>
      <vt:lpstr>Dev_OS_03_BL_CHI</vt:lpstr>
      <vt:lpstr>Dev_SITEMINDER_01</vt:lpstr>
      <vt:lpstr>Dev_SQL_01_CHI</vt:lpstr>
      <vt:lpstr>Dev_SQL_01_WAU</vt:lpstr>
      <vt:lpstr>Dev_SQL_02_WAU</vt:lpstr>
      <vt:lpstr>dev_Tomee_export_apps</vt:lpstr>
      <vt:lpstr>dev_Tomee_export_logs</vt:lpstr>
      <vt:lpstr>Dev_WAU_SQL_02</vt:lpstr>
      <vt:lpstr>DEV_WINTEL_01_BL_CHI</vt:lpstr>
      <vt:lpstr>diagram_checkout</vt:lpstr>
      <vt:lpstr>diagram_details</vt:lpstr>
      <vt:lpstr>diagram_filename</vt:lpstr>
      <vt:lpstr>dist_assets</vt:lpstr>
      <vt:lpstr>dist_assets_dball_signoff</vt:lpstr>
      <vt:lpstr>dist_assets_was_signoff</vt:lpstr>
      <vt:lpstr>DNS</vt:lpstr>
      <vt:lpstr>DNS_AliasRecordCol</vt:lpstr>
      <vt:lpstr>DNS_AssetCol</vt:lpstr>
      <vt:lpstr>DNS_AssetVIPcol</vt:lpstr>
      <vt:lpstr>DNS_BAOjobID</vt:lpstr>
      <vt:lpstr>DNS_CheckerResultsCol</vt:lpstr>
      <vt:lpstr>DNS_Comments</vt:lpstr>
      <vt:lpstr>DNS_createAliasRecord_ws_URL</vt:lpstr>
      <vt:lpstr>DNS_createCNAMErecord_ws_URL</vt:lpstr>
      <vt:lpstr>DNS_HostRecordCol</vt:lpstr>
      <vt:lpstr>DNS_InfobloxConsoleURL</vt:lpstr>
      <vt:lpstr>DNS_IPaddressCol</vt:lpstr>
      <vt:lpstr>DNS_PhaseCol</vt:lpstr>
      <vt:lpstr>DNS_Provisioner_Debug</vt:lpstr>
      <vt:lpstr>DNS_Provisioner_IbsearchCmd1</vt:lpstr>
      <vt:lpstr>DNS_Provisioner_IbsearchCmd2</vt:lpstr>
      <vt:lpstr>DNS_Provisioner_IP_validation_RegEx</vt:lpstr>
      <vt:lpstr>DNS_Provisioner_NslookupCmd1</vt:lpstr>
      <vt:lpstr>DNS_Provisioner_NslookupCmd2</vt:lpstr>
      <vt:lpstr>DNS_ProvisionerResultsCol</vt:lpstr>
      <vt:lpstr>DNS_ProvisionerTimestampCol</vt:lpstr>
      <vt:lpstr>dns_record_type</vt:lpstr>
      <vt:lpstr>DNS_RecordTypeCol</vt:lpstr>
      <vt:lpstr>DNS_ResolveInDMZcol</vt:lpstr>
      <vt:lpstr>DNS_TargetIbxEnv</vt:lpstr>
      <vt:lpstr>DNS_utility_directory</vt:lpstr>
      <vt:lpstr>DR</vt:lpstr>
      <vt:lpstr>dr_critical</vt:lpstr>
      <vt:lpstr>dr_critical_tier</vt:lpstr>
      <vt:lpstr>dr_date</vt:lpstr>
      <vt:lpstr>dr_Level</vt:lpstr>
      <vt:lpstr>dr_level_summary</vt:lpstr>
      <vt:lpstr>dr_table</vt:lpstr>
      <vt:lpstr>DWAUVAVMVC01</vt:lpstr>
      <vt:lpstr>EAS_IA</vt:lpstr>
      <vt:lpstr>EAS_SA</vt:lpstr>
      <vt:lpstr>EDH_Excludes</vt:lpstr>
      <vt:lpstr>egateway</vt:lpstr>
      <vt:lpstr>env_date_1</vt:lpstr>
      <vt:lpstr>env_date_10</vt:lpstr>
      <vt:lpstr>env_date_11</vt:lpstr>
      <vt:lpstr>env_date_12</vt:lpstr>
      <vt:lpstr>env_date_13</vt:lpstr>
      <vt:lpstr>env_date_14</vt:lpstr>
      <vt:lpstr>env_date_15</vt:lpstr>
      <vt:lpstr>env_date_16</vt:lpstr>
      <vt:lpstr>env_date_2</vt:lpstr>
      <vt:lpstr>env_date_3</vt:lpstr>
      <vt:lpstr>env_date_4</vt:lpstr>
      <vt:lpstr>env_date_5</vt:lpstr>
      <vt:lpstr>env_date_6</vt:lpstr>
      <vt:lpstr>env_date_7</vt:lpstr>
      <vt:lpstr>env_date_8</vt:lpstr>
      <vt:lpstr>env_date_9</vt:lpstr>
      <vt:lpstr>esb_action_2.0</vt:lpstr>
      <vt:lpstr>esb_action2_2.0</vt:lpstr>
      <vt:lpstr>esb_dmz_members</vt:lpstr>
      <vt:lpstr>esb_dps_2.0</vt:lpstr>
      <vt:lpstr>esb_in_2.0_dmz</vt:lpstr>
      <vt:lpstr>esb_in_dmz</vt:lpstr>
      <vt:lpstr>esb_in_fw_dest_add</vt:lpstr>
      <vt:lpstr>esb_in_fw_env</vt:lpstr>
      <vt:lpstr>esb_out_2.0</vt:lpstr>
      <vt:lpstr>esb_out_2.0_dmz</vt:lpstr>
      <vt:lpstr>esb_out_dmz</vt:lpstr>
      <vt:lpstr>esb_out_trust</vt:lpstr>
      <vt:lpstr>esb_ports</vt:lpstr>
      <vt:lpstr>ESX</vt:lpstr>
      <vt:lpstr>firewall</vt:lpstr>
      <vt:lpstr>FTP</vt:lpstr>
      <vt:lpstr>ftw_date</vt:lpstr>
      <vt:lpstr>FTW_NICE_01</vt:lpstr>
      <vt:lpstr>FTW_Nuance_01</vt:lpstr>
      <vt:lpstr>Ftw_svc_name</vt:lpstr>
      <vt:lpstr>fwid</vt:lpstr>
      <vt:lpstr>Government</vt:lpstr>
      <vt:lpstr>Group</vt:lpstr>
      <vt:lpstr>GTM</vt:lpstr>
      <vt:lpstr>hacmp</vt:lpstr>
      <vt:lpstr>HACMP_active_active</vt:lpstr>
      <vt:lpstr>HACMP_active_passive</vt:lpstr>
      <vt:lpstr>HACMP_oracle_rac</vt:lpstr>
      <vt:lpstr>HCL_DB_Groups</vt:lpstr>
      <vt:lpstr>help_dbAll</vt:lpstr>
      <vt:lpstr>help_DeComm</vt:lpstr>
      <vt:lpstr>help_distAssets</vt:lpstr>
      <vt:lpstr>help_Dns</vt:lpstr>
      <vt:lpstr>help_firewall</vt:lpstr>
      <vt:lpstr>help_GTM</vt:lpstr>
      <vt:lpstr>help_ICCProvNotes</vt:lpstr>
      <vt:lpstr>help_ihs</vt:lpstr>
      <vt:lpstr>help_IP</vt:lpstr>
      <vt:lpstr>help_mainframeScope</vt:lpstr>
      <vt:lpstr>help_Monitoring</vt:lpstr>
      <vt:lpstr>help_NAS</vt:lpstr>
      <vt:lpstr>help_NasDetails</vt:lpstr>
      <vt:lpstr>help_NetwLoadBal</vt:lpstr>
      <vt:lpstr>help_newDBreq</vt:lpstr>
      <vt:lpstr>VMware!help_OpenSystems</vt:lpstr>
      <vt:lpstr>help_OpenSystems</vt:lpstr>
      <vt:lpstr>help_ProjDetails</vt:lpstr>
      <vt:lpstr>help_Siteminder</vt:lpstr>
      <vt:lpstr>help_SqlOptFile</vt:lpstr>
      <vt:lpstr>help_Storage</vt:lpstr>
      <vt:lpstr>help_tsm</vt:lpstr>
      <vt:lpstr>help_websphere</vt:lpstr>
      <vt:lpstr>help_Windows</vt:lpstr>
      <vt:lpstr>'BlueCoat Proxy'!help_WinHttpFtp</vt:lpstr>
      <vt:lpstr>help_WinHttpFtp</vt:lpstr>
      <vt:lpstr>help_zena</vt:lpstr>
      <vt:lpstr>HTC_Excludes</vt:lpstr>
      <vt:lpstr>IHS</vt:lpstr>
      <vt:lpstr>Imperva</vt:lpstr>
      <vt:lpstr>Import_list</vt:lpstr>
      <vt:lpstr>inbound_requested</vt:lpstr>
      <vt:lpstr>inbound_requestid</vt:lpstr>
      <vt:lpstr>infrastructure_integrator</vt:lpstr>
      <vt:lpstr>Intel</vt:lpstr>
      <vt:lpstr>io_51521_51733</vt:lpstr>
      <vt:lpstr>io_51740_51795</vt:lpstr>
      <vt:lpstr>io_51895_52739</vt:lpstr>
      <vt:lpstr>io_52494_53143</vt:lpstr>
      <vt:lpstr>io_53331_53335</vt:lpstr>
      <vt:lpstr>io_53360_53368</vt:lpstr>
      <vt:lpstr>io_53416_53453</vt:lpstr>
      <vt:lpstr>io_53506_53559</vt:lpstr>
      <vt:lpstr>io_53564_53568</vt:lpstr>
      <vt:lpstr>io_53594_53611</vt:lpstr>
      <vt:lpstr>io_54594_54693</vt:lpstr>
      <vt:lpstr>io_54666_54672</vt:lpstr>
      <vt:lpstr>io_54774_54775</vt:lpstr>
      <vt:lpstr>io_54820_54843</vt:lpstr>
      <vt:lpstr>io_54858_54872</vt:lpstr>
      <vt:lpstr>io_55088_55122</vt:lpstr>
      <vt:lpstr>io_55455_55476</vt:lpstr>
      <vt:lpstr>io_55500_55501</vt:lpstr>
      <vt:lpstr>io_55504_55506</vt:lpstr>
      <vt:lpstr>io_55509_55528</vt:lpstr>
      <vt:lpstr>io_55577_55596</vt:lpstr>
      <vt:lpstr>io_55599_55603</vt:lpstr>
      <vt:lpstr>io_55610_55612</vt:lpstr>
      <vt:lpstr>io_55618_55632</vt:lpstr>
      <vt:lpstr>io_55663_55678</vt:lpstr>
      <vt:lpstr>io_55680_55683</vt:lpstr>
      <vt:lpstr>io_55695_55702</vt:lpstr>
      <vt:lpstr>io_57269_54803</vt:lpstr>
      <vt:lpstr>io_58298_58345</vt:lpstr>
      <vt:lpstr>io_58436_58444</vt:lpstr>
      <vt:lpstr>io_58510_58452</vt:lpstr>
      <vt:lpstr>io_58513_58525</vt:lpstr>
      <vt:lpstr>io_58529_58532</vt:lpstr>
      <vt:lpstr>io_58533_58534</vt:lpstr>
      <vt:lpstr>io_58535_58536</vt:lpstr>
      <vt:lpstr>io_58539_58541</vt:lpstr>
      <vt:lpstr>io_66707_66730</vt:lpstr>
      <vt:lpstr>io_66780_66784</vt:lpstr>
      <vt:lpstr>io_66817_66885</vt:lpstr>
      <vt:lpstr>io_67028_67066</vt:lpstr>
      <vt:lpstr>IP</vt:lpstr>
      <vt:lpstr>IP_AdminOfDevice</vt:lpstr>
      <vt:lpstr>IP_AssetCol</vt:lpstr>
      <vt:lpstr>IP_AssetIPNumCol</vt:lpstr>
      <vt:lpstr>IP_BAOjobID</vt:lpstr>
      <vt:lpstr>IP_CheckerResultsCol</vt:lpstr>
      <vt:lpstr>IP_DeviceType</vt:lpstr>
      <vt:lpstr>IP_Environment</vt:lpstr>
      <vt:lpstr>IP_Gateway</vt:lpstr>
      <vt:lpstr>IP_HostName</vt:lpstr>
      <vt:lpstr>IP_HostRecord</vt:lpstr>
      <vt:lpstr>IP_InfobloxConsoleURL</vt:lpstr>
      <vt:lpstr>IP_InterfaceDescription</vt:lpstr>
      <vt:lpstr>IP_IPaddress</vt:lpstr>
      <vt:lpstr>IP_IPinstanceCol</vt:lpstr>
      <vt:lpstr>IP_Layer</vt:lpstr>
      <vt:lpstr>IP_PhaseCol</vt:lpstr>
      <vt:lpstr>IP_Provisioner_Debug</vt:lpstr>
      <vt:lpstr>IP_ProvisionerTimestampCol</vt:lpstr>
      <vt:lpstr>IP_ResolveInDMZcol</vt:lpstr>
      <vt:lpstr>IP_SubnetMask</vt:lpstr>
      <vt:lpstr>IP_TargetIbxEnv</vt:lpstr>
      <vt:lpstr>IP_URL</vt:lpstr>
      <vt:lpstr>IP_VIP_IPaddress</vt:lpstr>
      <vt:lpstr>IP_VIP_MemberPort</vt:lpstr>
      <vt:lpstr>IP_VIP_number</vt:lpstr>
      <vt:lpstr>IP_VIP_PoolMembers</vt:lpstr>
      <vt:lpstr>IP_VIP_VIPenvironment</vt:lpstr>
      <vt:lpstr>IP_VIP_VIPinstance</vt:lpstr>
      <vt:lpstr>IP_VIP_VIPlayer</vt:lpstr>
      <vt:lpstr>IS</vt:lpstr>
      <vt:lpstr>ISE</vt:lpstr>
      <vt:lpstr>ise_participants</vt:lpstr>
      <vt:lpstr>isresource</vt:lpstr>
      <vt:lpstr>ITAM_number</vt:lpstr>
      <vt:lpstr>lanmac</vt:lpstr>
      <vt:lpstr>LB_Phase</vt:lpstr>
      <vt:lpstr>LB_SSL_Termination</vt:lpstr>
      <vt:lpstr>lb_template</vt:lpstr>
      <vt:lpstr>lbom_description</vt:lpstr>
      <vt:lpstr>lbom_number</vt:lpstr>
      <vt:lpstr>legacy_hostnames</vt:lpstr>
      <vt:lpstr>Linux</vt:lpstr>
      <vt:lpstr>list_ad_domains</vt:lpstr>
      <vt:lpstr>list_appliance</vt:lpstr>
      <vt:lpstr>list_domain</vt:lpstr>
      <vt:lpstr>list_fsalayers</vt:lpstr>
      <vt:lpstr>list_pod_layers</vt:lpstr>
      <vt:lpstr>list_Pod_np_Layers</vt:lpstr>
      <vt:lpstr>list_snowgroups</vt:lpstr>
      <vt:lpstr>List_StorageAssets</vt:lpstr>
      <vt:lpstr>list_wasver</vt:lpstr>
      <vt:lpstr>list_windows_ftp_servers</vt:lpstr>
      <vt:lpstr>list_winver</vt:lpstr>
      <vt:lpstr>List1</vt:lpstr>
      <vt:lpstr>List10</vt:lpstr>
      <vt:lpstr>List11</vt:lpstr>
      <vt:lpstr>List3</vt:lpstr>
      <vt:lpstr>List5</vt:lpstr>
      <vt:lpstr>List6</vt:lpstr>
      <vt:lpstr>List7</vt:lpstr>
      <vt:lpstr>List8</vt:lpstr>
      <vt:lpstr>List9</vt:lpstr>
      <vt:lpstr>load_balancer</vt:lpstr>
      <vt:lpstr>location_table</vt:lpstr>
      <vt:lpstr>Locations</vt:lpstr>
      <vt:lpstr>MF</vt:lpstr>
      <vt:lpstr>MF_CICS</vt:lpstr>
      <vt:lpstr>MF_Class_of_Service</vt:lpstr>
      <vt:lpstr>MF_COMM</vt:lpstr>
      <vt:lpstr>MF_CYCLE_environment</vt:lpstr>
      <vt:lpstr>MF_DB1</vt:lpstr>
      <vt:lpstr>MF_DB2</vt:lpstr>
      <vt:lpstr>MF_Language</vt:lpstr>
      <vt:lpstr>MF_Operations</vt:lpstr>
      <vt:lpstr>MF_OSSP</vt:lpstr>
      <vt:lpstr>MF_Prod_environment</vt:lpstr>
      <vt:lpstr>MF_Source</vt:lpstr>
      <vt:lpstr>MF_TEST_environment</vt:lpstr>
      <vt:lpstr>MF_Volume</vt:lpstr>
      <vt:lpstr>MF_WLM</vt:lpstr>
      <vt:lpstr>Middleware_software</vt:lpstr>
      <vt:lpstr>MiddlewareWeb</vt:lpstr>
      <vt:lpstr>Monitoring</vt:lpstr>
      <vt:lpstr>MQ</vt:lpstr>
      <vt:lpstr>MQ_A_Records</vt:lpstr>
      <vt:lpstr>MQ_C_NAMES</vt:lpstr>
      <vt:lpstr>MQ_Hostname</vt:lpstr>
      <vt:lpstr>NamingStd_ClusterCol</vt:lpstr>
      <vt:lpstr>NamingStd_NodeCol</vt:lpstr>
      <vt:lpstr>NamingStd_ProdstatusCol</vt:lpstr>
      <vt:lpstr>NamingStd_SitesCol</vt:lpstr>
      <vt:lpstr>NAS</vt:lpstr>
      <vt:lpstr>NAS_Dev_Size</vt:lpstr>
      <vt:lpstr>NAS_NFS</vt:lpstr>
      <vt:lpstr>NAS_NFS_GID_Alt</vt:lpstr>
      <vt:lpstr>NAS_NFS_GID_Dev</vt:lpstr>
      <vt:lpstr>NAS_NFS_GID_Pod</vt:lpstr>
      <vt:lpstr>NAS_NFS_GID_Prod</vt:lpstr>
      <vt:lpstr>NAS_NFS_GID_ProdFW</vt:lpstr>
      <vt:lpstr>NAS_NFS_GID_Test</vt:lpstr>
      <vt:lpstr>NAS_NFS_UID_Alt</vt:lpstr>
      <vt:lpstr>NAS_NFS_UID_Dev</vt:lpstr>
      <vt:lpstr>NAS_NFS_UID_Pod</vt:lpstr>
      <vt:lpstr>NAS_NFS_UID_Prod</vt:lpstr>
      <vt:lpstr>NAS_NFS_UID_ProdFW</vt:lpstr>
      <vt:lpstr>NAS_NFS_UID_Test</vt:lpstr>
      <vt:lpstr>NAS_Pod_Size</vt:lpstr>
      <vt:lpstr>NAS_Prod_Size</vt:lpstr>
      <vt:lpstr>NAS_ProdFW_Size</vt:lpstr>
      <vt:lpstr>nas_short_name</vt:lpstr>
      <vt:lpstr>NAS_SMB</vt:lpstr>
      <vt:lpstr>nas_table</vt:lpstr>
      <vt:lpstr>NAS_Test_Size</vt:lpstr>
      <vt:lpstr>NAS_Win_AD_Group_Alt</vt:lpstr>
      <vt:lpstr>NAS_Win_AD_Group_Dev</vt:lpstr>
      <vt:lpstr>NAS_Win_AD_Group_Pod</vt:lpstr>
      <vt:lpstr>NAS_Win_AD_Group_Prod</vt:lpstr>
      <vt:lpstr>NAS_Win_AD_Group_ProdFW</vt:lpstr>
      <vt:lpstr>NAS_Win_AD_Group_Test</vt:lpstr>
      <vt:lpstr>NAS_Win_NPID_Alt</vt:lpstr>
      <vt:lpstr>NAS_Win_NPID_Dev</vt:lpstr>
      <vt:lpstr>NAS_Win_NPID_Pod</vt:lpstr>
      <vt:lpstr>NAS_Win_NPID_Prod</vt:lpstr>
      <vt:lpstr>NAS_Win_NPID_ProdFW</vt:lpstr>
      <vt:lpstr>NAS_Win_NPID_Test</vt:lpstr>
      <vt:lpstr>new_db</vt:lpstr>
      <vt:lpstr>New_vlan</vt:lpstr>
      <vt:lpstr>newdbreq</vt:lpstr>
      <vt:lpstr>no_phi</vt:lpstr>
      <vt:lpstr>Novell</vt:lpstr>
      <vt:lpstr>Offshore</vt:lpstr>
      <vt:lpstr>Onshore</vt:lpstr>
      <vt:lpstr>Open_Systems</vt:lpstr>
      <vt:lpstr>OPT_file</vt:lpstr>
      <vt:lpstr>oracle_table</vt:lpstr>
      <vt:lpstr>oracle_version</vt:lpstr>
      <vt:lpstr>Other</vt:lpstr>
      <vt:lpstr>outbound_required</vt:lpstr>
      <vt:lpstr>P_7</vt:lpstr>
      <vt:lpstr>P_8</vt:lpstr>
      <vt:lpstr>P7_PVU</vt:lpstr>
      <vt:lpstr>P8_PVU</vt:lpstr>
      <vt:lpstr>paas_prod</vt:lpstr>
      <vt:lpstr>paas_test</vt:lpstr>
      <vt:lpstr>PAM</vt:lpstr>
      <vt:lpstr>pcf_prod</vt:lpstr>
      <vt:lpstr>pcf_test</vt:lpstr>
      <vt:lpstr>PFTW_GENPOP_FTW_01</vt:lpstr>
      <vt:lpstr>PFTW_PRIVATE_ODS_01_FTW</vt:lpstr>
      <vt:lpstr>PFTW_WINDOWS_SQL_01</vt:lpstr>
      <vt:lpstr>PFTWVAVMVC01</vt:lpstr>
      <vt:lpstr>phi_access</vt:lpstr>
      <vt:lpstr>phi_used</vt:lpstr>
      <vt:lpstr>PII</vt:lpstr>
      <vt:lpstr>pm</vt:lpstr>
      <vt:lpstr>POC</vt:lpstr>
      <vt:lpstr>portfolio</vt:lpstr>
      <vt:lpstr>prd_Tomee_export_apps</vt:lpstr>
      <vt:lpstr>prd_Tomee_export_logs</vt:lpstr>
      <vt:lpstr>Pro</vt:lpstr>
      <vt:lpstr>Prod</vt:lpstr>
      <vt:lpstr>prod_date</vt:lpstr>
      <vt:lpstr>Prod_environment</vt:lpstr>
      <vt:lpstr>Prod_INFRASTRUCTURE_VMWARE_CORE_02_SYN02</vt:lpstr>
      <vt:lpstr>Prod_NON_SRM_01_BL</vt:lpstr>
      <vt:lpstr>Prod_OPENSYSTEMS_OS_01_SYN03</vt:lpstr>
      <vt:lpstr>Prod_OS_07_RH</vt:lpstr>
      <vt:lpstr>Prod_PRIVATE_EAA_WAU_01</vt:lpstr>
      <vt:lpstr>Prod_PRIVATE_EAA_WAU_02</vt:lpstr>
      <vt:lpstr>Prod_PRIVATE_GEMFIRE_01</vt:lpstr>
      <vt:lpstr>Prod_PRIVATE_HADOOP_01</vt:lpstr>
      <vt:lpstr>Prod_PRIVATE_WAS_02_SYN02</vt:lpstr>
      <vt:lpstr>Prod_WINDOWS_SQL_03</vt:lpstr>
      <vt:lpstr>Prod_WINDOWS_WINTEL_02_SYN03</vt:lpstr>
      <vt:lpstr>Prod_WINTEL_08_BL</vt:lpstr>
      <vt:lpstr>prodftw</vt:lpstr>
      <vt:lpstr>ProjDet_AppNameCol</vt:lpstr>
      <vt:lpstr>project_tier</vt:lpstr>
      <vt:lpstr>Proxy</vt:lpstr>
      <vt:lpstr>pwauessvc01</vt:lpstr>
      <vt:lpstr>pwauessvc02</vt:lpstr>
      <vt:lpstr>pwauessvc03</vt:lpstr>
      <vt:lpstr>pwauessvc04</vt:lpstr>
      <vt:lpstr>pwauessvc05</vt:lpstr>
      <vt:lpstr>pwausxmqmapp01</vt:lpstr>
      <vt:lpstr>pwausxmqmapp02</vt:lpstr>
      <vt:lpstr>pwausxmqmapp03</vt:lpstr>
      <vt:lpstr>pwausxmqmapp04</vt:lpstr>
      <vt:lpstr>PWAUVAVMVC01</vt:lpstr>
      <vt:lpstr>PWAUVAVMVC03</vt:lpstr>
      <vt:lpstr>Q_MGR</vt:lpstr>
      <vt:lpstr>Retail</vt:lpstr>
      <vt:lpstr>rftwessvc01</vt:lpstr>
      <vt:lpstr>rftwessvc02</vt:lpstr>
      <vt:lpstr>rftwessvc03</vt:lpstr>
      <vt:lpstr>rftwessvc04</vt:lpstr>
      <vt:lpstr>rftwessvc05</vt:lpstr>
      <vt:lpstr>SensitiveInfoAcrossEnvs</vt:lpstr>
      <vt:lpstr>Siteminder</vt:lpstr>
      <vt:lpstr>size_array</vt:lpstr>
      <vt:lpstr>Solaris</vt:lpstr>
      <vt:lpstr>spi_access</vt:lpstr>
      <vt:lpstr>spi_used</vt:lpstr>
      <vt:lpstr>SQL_2012_VM_Excludes</vt:lpstr>
      <vt:lpstr>SQL_2014_VM_Excludes</vt:lpstr>
      <vt:lpstr>SQL_2016_VM_Excludes</vt:lpstr>
      <vt:lpstr>SQL_2017_VM_Excludes</vt:lpstr>
      <vt:lpstr>SQL_Drive_Sizes</vt:lpstr>
      <vt:lpstr>standard_server_types</vt:lpstr>
      <vt:lpstr>standard_sizes</vt:lpstr>
      <vt:lpstr>standard_sizes_tomee</vt:lpstr>
      <vt:lpstr>Storage</vt:lpstr>
      <vt:lpstr>tab_names</vt:lpstr>
      <vt:lpstr>TAP</vt:lpstr>
      <vt:lpstr>Tes</vt:lpstr>
      <vt:lpstr>Test</vt:lpstr>
      <vt:lpstr>Test_date</vt:lpstr>
      <vt:lpstr>Test_environment</vt:lpstr>
      <vt:lpstr>Test_OPENSYSTEMS_OS_02_SYN01</vt:lpstr>
      <vt:lpstr>TEST_PRIVATE_GEMFIRE_01</vt:lpstr>
      <vt:lpstr>Test_PRIVATE_HADOOP_01</vt:lpstr>
      <vt:lpstr>test_Tomee_export_apps</vt:lpstr>
      <vt:lpstr>test_Tomee_export_logs</vt:lpstr>
      <vt:lpstr>Test_WAU_SQL_04</vt:lpstr>
      <vt:lpstr>Test_WINTEL_01_BL</vt:lpstr>
      <vt:lpstr>Test_WINTEL_02_SYN01</vt:lpstr>
      <vt:lpstr>today</vt:lpstr>
      <vt:lpstr>TrafficManager</vt:lpstr>
      <vt:lpstr>true_false</vt:lpstr>
      <vt:lpstr>TSM</vt:lpstr>
      <vt:lpstr>twausxmqmapp01</vt:lpstr>
      <vt:lpstr>twausxmqmapp02</vt:lpstr>
      <vt:lpstr>twausxmqmapp03</vt:lpstr>
      <vt:lpstr>twausxmqmapp04</vt:lpstr>
      <vt:lpstr>TWAUVAVMVC01</vt:lpstr>
      <vt:lpstr>UAT_NICE_01</vt:lpstr>
      <vt:lpstr>under_assessment</vt:lpstr>
      <vt:lpstr>VCenter</vt:lpstr>
      <vt:lpstr>version_main_number</vt:lpstr>
      <vt:lpstr>version_number</vt:lpstr>
      <vt:lpstr>VIP_AssetVIP</vt:lpstr>
      <vt:lpstr>VIP_AssetVIPcol</vt:lpstr>
      <vt:lpstr>VIP_DestinationNAT</vt:lpstr>
      <vt:lpstr>VIP_HealthMonitorCol</vt:lpstr>
      <vt:lpstr>VIP_LoadBalancingMethodCol</vt:lpstr>
      <vt:lpstr>VIP_MemberIPsCol</vt:lpstr>
      <vt:lpstr>VIP_NATFWRULE</vt:lpstr>
      <vt:lpstr>VIP_NotesCol</vt:lpstr>
      <vt:lpstr>VIP_PersistenceCol</vt:lpstr>
      <vt:lpstr>VIP_PortCol</vt:lpstr>
      <vt:lpstr>VIP_SourceIPmaskCol</vt:lpstr>
      <vt:lpstr>VIP_SSLcertificateCol</vt:lpstr>
      <vt:lpstr>VIP_SSLredirectCol</vt:lpstr>
      <vt:lpstr>VIP_SSLterminationCol</vt:lpstr>
      <vt:lpstr>VIP_TemplateCol</vt:lpstr>
      <vt:lpstr>VIP_VirtualIPcol</vt:lpstr>
      <vt:lpstr>visio_filename</vt:lpstr>
      <vt:lpstr>vlan_array</vt:lpstr>
      <vt:lpstr>vm_template</vt:lpstr>
      <vt:lpstr>VMTab</vt:lpstr>
      <vt:lpstr>VMware</vt:lpstr>
      <vt:lpstr>was_ver</vt:lpstr>
      <vt:lpstr>WAU_NICE_01</vt:lpstr>
      <vt:lpstr>Wau_svc_name</vt:lpstr>
      <vt:lpstr>Websphere_8_5</vt:lpstr>
      <vt:lpstr>Win_DR</vt:lpstr>
      <vt:lpstr>Windows</vt:lpstr>
      <vt:lpstr>windows_dns_1</vt:lpstr>
      <vt:lpstr>windows_dns_2</vt:lpstr>
      <vt:lpstr>windows_ftp</vt:lpstr>
      <vt:lpstr>Windows_SQL_04</vt:lpstr>
      <vt:lpstr>Windows_tab</vt:lpstr>
      <vt:lpstr>yes_no</vt:lpstr>
      <vt:lpstr>Zena</vt:lpstr>
      <vt:lpstr>zena_clients</vt:lpstr>
      <vt:lpstr>zOS</vt:lpstr>
      <vt:lpstr>ZOSBSYS</vt:lpstr>
      <vt:lpstr>ZOSESYS</vt:lpstr>
      <vt:lpstr>ZOSFSYS</vt:lpstr>
      <vt:lpstr>ZOSGSYS</vt:lpstr>
      <vt:lpstr>ZOSHSYS</vt:lpstr>
      <vt:lpstr>ZOSJSYS</vt:lpstr>
      <vt:lpstr>ZOSKSYS</vt:lpstr>
      <vt:lpstr>ZOSLSYS</vt:lpstr>
      <vt:lpstr>ZOSMSYS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LBOM Template</dc:title>
  <dc:creator>S. Cierniak</dc:creator>
  <cp:keywords/>
  <cp:lastModifiedBy>Cara Gilmore</cp:lastModifiedBy>
  <cp:lastPrinted>2014-01-13T18:24:45Z</cp:lastPrinted>
  <dcterms:created xsi:type="dcterms:W3CDTF">1996-10-14T23:33:28Z</dcterms:created>
  <dcterms:modified xsi:type="dcterms:W3CDTF">2021-01-22T15:23:31Z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ReviewCycleID">
    <vt:i4>-1228004011</vt:i4>
  </property>
  <property fmtid="{D5CDD505-2E9C-101B-9397-08002B2CF9AE}" pid="3" name="ContentTypeId">
    <vt:lpwstr>0x01010069CE749EA4B24C4CBEE01E9FA745B770002BDE47D636F60041A3AF0A265C050649</vt:lpwstr>
  </property>
  <property fmtid="{D5CDD505-2E9C-101B-9397-08002B2CF9AE}" pid="4" name="_dlc_DocIdItemGuid">
    <vt:lpwstr>c7f46a4b-786b-4a67-9369-6133e81cade2</vt:lpwstr>
  </property>
  <property fmtid="{D5CDD505-2E9C-101B-9397-08002B2CF9AE}" pid="5" name="TaxKeyword">
    <vt:lpwstr/>
  </property>
  <property fmtid="{D5CDD505-2E9C-101B-9397-08002B2CF9AE}" pid="6" name="_ReviewingToolsShownOnce">
    <vt:lpwstr/>
  </property>
  <property fmtid="{D5CDD505-2E9C-101B-9397-08002B2CF9AE}" pid="7" name="Order">
    <vt:r8>2040600</vt:r8>
  </property>
  <property fmtid="{D5CDD505-2E9C-101B-9397-08002B2CF9AE}" pid="8" name="xd_Signature">
    <vt:bool>false</vt:bool>
  </property>
  <property fmtid="{D5CDD505-2E9C-101B-9397-08002B2CF9AE}" pid="9" name="xd_ProgID">
    <vt:lpwstr/>
  </property>
  <property fmtid="{D5CDD505-2E9C-101B-9397-08002B2CF9AE}" pid="10" name="SharedWithUsers">
    <vt:lpwstr/>
  </property>
  <property fmtid="{D5CDD505-2E9C-101B-9397-08002B2CF9AE}" pid="11" name="TemplateUrl">
    <vt:lpwstr/>
  </property>
  <property fmtid="{D5CDD505-2E9C-101B-9397-08002B2CF9AE}" pid="12" name="ComplianceAssetId">
    <vt:lpwstr/>
  </property>
</Properties>
</file>